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elly\Desktop\Impact Real Estate Infrastructure\4.0 Products\4.1.2 Feasbility Modeling\"/>
    </mc:Choice>
  </mc:AlternateContent>
  <xr:revisionPtr revIDLastSave="0" documentId="8_{A9629C2E-FA3A-46FB-887D-866040ACEE47}" xr6:coauthVersionLast="47" xr6:coauthVersionMax="47" xr10:uidLastSave="{00000000-0000-0000-0000-000000000000}"/>
  <bookViews>
    <workbookView xWindow="28680" yWindow="-120" windowWidth="29040" windowHeight="15720" xr2:uid="{00000000-000D-0000-FFFF-FFFF00000000}"/>
  </bookViews>
  <sheets>
    <sheet name="Business Rules" sheetId="55" r:id="rId1"/>
    <sheet name="00_PLATFORM_INDEX" sheetId="35" r:id="rId2"/>
    <sheet name="INPUT_CONTROL_MAP" sheetId="53" r:id="rId3"/>
    <sheet name="STG_SOURCE_INTAKE" sheetId="36" r:id="rId4"/>
    <sheet name="MAP_FIELD_MAPPING" sheetId="37" r:id="rId5"/>
    <sheet name="DATA_UNIT_MIX" sheetId="41" r:id="rId6"/>
    <sheet name="DATA_RENT_ROLL" sheetId="42" r:id="rId7"/>
    <sheet name="DATA_OPERATING_ACTUALS" sheetId="43" r:id="rId8"/>
    <sheet name="DATA_AGREEMENTS" sheetId="44" r:id="rId9"/>
    <sheet name="DATA_CAPITAL_NEEDS" sheetId="45" r:id="rId10"/>
    <sheet name="01_Property Summary" sheetId="10" r:id="rId11"/>
    <sheet name="01_Base Yr. Inputs" sheetId="11" r:id="rId12"/>
    <sheet name="02_Rent Engine" sheetId="12" r:id="rId13"/>
    <sheet name="02_Debt Engine" sheetId="13" r:id="rId14"/>
    <sheet name="02A_Debt Schedule" sheetId="14" r:id="rId15"/>
    <sheet name="00_PORTFOLIO ROLLUP" sheetId="8" r:id="rId16"/>
    <sheet name="00_MODEL_CONTROL" sheetId="32" r:id="rId17"/>
    <sheet name="LEGACY_INVESTOR_SUMMARY" sheetId="2" r:id="rId18"/>
    <sheet name="00_PORTFOLIO_REGISTER" sheetId="3" r:id="rId19"/>
    <sheet name="00_PORTFOLIO SUMMARY" sheetId="4" r:id="rId20"/>
    <sheet name="00_RENT_TRACKER" sheetId="5" r:id="rId21"/>
    <sheet name="00_CAPITAL_PLAN" sheetId="6" r:id="rId22"/>
    <sheet name="00_ASSUMPTIONS_GUIDE" sheetId="7" r:id="rId23"/>
    <sheet name="01_Assumptions" sheetId="9" r:id="rId24"/>
    <sheet name="BLD_AB" sheetId="15" r:id="rId25"/>
    <sheet name="BLD_AC" sheetId="16" r:id="rId26"/>
    <sheet name="BLD_BT" sheetId="17" r:id="rId27"/>
    <sheet name="BLD_CH" sheetId="18" r:id="rId28"/>
    <sheet name="BLD_CC" sheetId="19" r:id="rId29"/>
    <sheet name="BLD_EA" sheetId="20" r:id="rId30"/>
    <sheet name="BLD_EE" sheetId="21" r:id="rId31"/>
    <sheet name="BLD_JP" sheetId="22" r:id="rId32"/>
    <sheet name="BLD_MH" sheetId="23" r:id="rId33"/>
    <sheet name="BLD_MM" sheetId="24" r:id="rId34"/>
    <sheet name="BLD_NT" sheetId="25" r:id="rId35"/>
    <sheet name="BLD_NG" sheetId="26" r:id="rId36"/>
    <sheet name="BLD_RG" sheetId="27" r:id="rId37"/>
    <sheet name="BLD_AS" sheetId="28" r:id="rId38"/>
    <sheet name="BLD_PS" sheetId="29" r:id="rId39"/>
    <sheet name="BLD_PM" sheetId="30" r:id="rId40"/>
    <sheet name="BLD_CD" sheetId="31" r:id="rId41"/>
    <sheet name="DATA_PROPERTY_MASTER" sheetId="38" r:id="rId42"/>
    <sheet name="DATA_DEBT_MASTER" sheetId="40" r:id="rId43"/>
    <sheet name="DATA_ASSET_CLASSIFICATION" sheetId="39" r:id="rId44"/>
    <sheet name="DATA_METRIC_LONG" sheetId="46" r:id="rId45"/>
    <sheet name="DATA_CAPITAL_FLOW" sheetId="49" r:id="rId46"/>
    <sheet name="DATA_CAPITAL_FLOW_RECON" sheetId="50" r:id="rId47"/>
    <sheet name="DATA_AGGREGATION_AUDIT" sheetId="51" r:id="rId48"/>
    <sheet name="00_INVESTOR SUMMARY" sheetId="1" r:id="rId49"/>
    <sheet name="OUT_CAPITAL_FLOW_SUMMARY" sheetId="52" r:id="rId50"/>
    <sheet name="OUT_PLATFORM_READINESS" sheetId="48" r:id="rId51"/>
    <sheet name="OUT_AUDIT_SUMMARY" sheetId="56" r:id="rId52"/>
    <sheet name="DATA_QUALITY_CHECKS" sheetId="47" r:id="rId53"/>
    <sheet name="00_MODEL_CHECKS" sheetId="33" r:id="rId54"/>
    <sheet name="00_CHANGE_LOG" sheetId="34" r:id="rId55"/>
  </sheets>
  <definedNames>
    <definedName name="_xlnm._FilterDatabase" localSheetId="48" hidden="1">'00_INVESTOR SUMMARY'!$A$37:$L$54</definedName>
  </definedNames>
  <calcPr calcId="191029" iterate="1"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8" i="47" l="1"/>
  <c r="D107" i="47"/>
  <c r="E107" i="47" s="1"/>
  <c r="C103" i="47"/>
  <c r="C102" i="47"/>
  <c r="D28" i="47"/>
  <c r="E28" i="47" s="1"/>
  <c r="D27" i="47"/>
  <c r="E27" i="47" s="1"/>
  <c r="D26" i="47"/>
  <c r="E26" i="47" s="1"/>
  <c r="D25" i="47"/>
  <c r="E25" i="47" s="1"/>
  <c r="D24" i="47"/>
  <c r="E24" i="47" s="1"/>
  <c r="E23" i="47"/>
  <c r="D23" i="47"/>
  <c r="D22" i="47"/>
  <c r="E22" i="47" s="1"/>
  <c r="D19" i="47"/>
  <c r="E19" i="47" s="1"/>
  <c r="C18" i="47"/>
  <c r="C17" i="47"/>
  <c r="D16" i="47" a="1"/>
  <c r="D16" i="47" s="1"/>
  <c r="E16" i="47" s="1"/>
  <c r="C16" i="47"/>
  <c r="D15" i="47"/>
  <c r="E15" i="47" s="1"/>
  <c r="D14" i="47" a="1"/>
  <c r="D14" i="47" s="1"/>
  <c r="E12" i="47"/>
  <c r="D11" i="47"/>
  <c r="E11" i="47" s="1"/>
  <c r="D10" i="47"/>
  <c r="C6" i="47"/>
  <c r="C5" i="47"/>
  <c r="D27" i="48"/>
  <c r="B27" i="48"/>
  <c r="B26" i="48"/>
  <c r="D25" i="48"/>
  <c r="B25" i="48"/>
  <c r="B24" i="48"/>
  <c r="B23" i="48"/>
  <c r="D23" i="48" s="1"/>
  <c r="B22" i="48"/>
  <c r="D22" i="48" s="1"/>
  <c r="D20" i="48"/>
  <c r="B20" i="48"/>
  <c r="B18" i="48"/>
  <c r="D18" i="48" s="1"/>
  <c r="B7" i="48"/>
  <c r="B5" i="52"/>
  <c r="G54" i="1"/>
  <c r="H54" i="1" s="1"/>
  <c r="L54" i="1" s="1"/>
  <c r="G53" i="1"/>
  <c r="H53" i="1" s="1"/>
  <c r="L53" i="1" s="1"/>
  <c r="G52" i="1"/>
  <c r="H52" i="1" s="1"/>
  <c r="L52" i="1" s="1"/>
  <c r="H51" i="1"/>
  <c r="L51" i="1" s="1"/>
  <c r="G51" i="1"/>
  <c r="K33" i="1"/>
  <c r="F33" i="1"/>
  <c r="F32" i="1"/>
  <c r="F31" i="1"/>
  <c r="K30" i="1"/>
  <c r="F30" i="1"/>
  <c r="F29" i="1"/>
  <c r="B11" i="1"/>
  <c r="L6" i="1"/>
  <c r="B6" i="1"/>
  <c r="D4934" i="49"/>
  <c r="D4933" i="49"/>
  <c r="D4932" i="49"/>
  <c r="D4931" i="49"/>
  <c r="D4930" i="49"/>
  <c r="D4929" i="49"/>
  <c r="D4928" i="49"/>
  <c r="D4927" i="49"/>
  <c r="D4926" i="49"/>
  <c r="D4925" i="49"/>
  <c r="D4924" i="49"/>
  <c r="D4923" i="49"/>
  <c r="D4922" i="49"/>
  <c r="D4921" i="49"/>
  <c r="D4920" i="49"/>
  <c r="D4919" i="49"/>
  <c r="D4918" i="49"/>
  <c r="D4645" i="49"/>
  <c r="D4644" i="49"/>
  <c r="D4643" i="49"/>
  <c r="D4642" i="49"/>
  <c r="D4641" i="49"/>
  <c r="D4640" i="49"/>
  <c r="D4639" i="49"/>
  <c r="D4638" i="49"/>
  <c r="D4637" i="49"/>
  <c r="D4636" i="49"/>
  <c r="D4635" i="49"/>
  <c r="D4634" i="49"/>
  <c r="D4633" i="49"/>
  <c r="D4632" i="49"/>
  <c r="D4631" i="49"/>
  <c r="D4630" i="49"/>
  <c r="D4629" i="49"/>
  <c r="D4356" i="49"/>
  <c r="D4355" i="49"/>
  <c r="D4354" i="49"/>
  <c r="D4353" i="49"/>
  <c r="D4352" i="49"/>
  <c r="D4351" i="49"/>
  <c r="D4350" i="49"/>
  <c r="D4349" i="49"/>
  <c r="D4348" i="49"/>
  <c r="D4347" i="49"/>
  <c r="D4346" i="49"/>
  <c r="D4345" i="49"/>
  <c r="D4344" i="49"/>
  <c r="D4343" i="49"/>
  <c r="D4342" i="49"/>
  <c r="D4341" i="49"/>
  <c r="D4340" i="49"/>
  <c r="D4067" i="49"/>
  <c r="D4066" i="49"/>
  <c r="D4065" i="49"/>
  <c r="D4064" i="49"/>
  <c r="D4063" i="49"/>
  <c r="D4062" i="49"/>
  <c r="D4061" i="49"/>
  <c r="D4060" i="49"/>
  <c r="D4059" i="49"/>
  <c r="D4058" i="49"/>
  <c r="D4057" i="49"/>
  <c r="D4056" i="49"/>
  <c r="D4055" i="49"/>
  <c r="D4054" i="49"/>
  <c r="D4053" i="49"/>
  <c r="D4052" i="49"/>
  <c r="D4051" i="49"/>
  <c r="D3778" i="49"/>
  <c r="D3777" i="49"/>
  <c r="D3776" i="49"/>
  <c r="D3775" i="49"/>
  <c r="D3774" i="49"/>
  <c r="D3773" i="49"/>
  <c r="D3772" i="49"/>
  <c r="D3771" i="49"/>
  <c r="D3770" i="49"/>
  <c r="D3769" i="49"/>
  <c r="D3768" i="49"/>
  <c r="D3767" i="49"/>
  <c r="D3766" i="49"/>
  <c r="D3765" i="49"/>
  <c r="D3764" i="49"/>
  <c r="D3763" i="49"/>
  <c r="D3762" i="49"/>
  <c r="D3489" i="49"/>
  <c r="D3488" i="49"/>
  <c r="D3487" i="49"/>
  <c r="D3486" i="49"/>
  <c r="D3485" i="49"/>
  <c r="D3484" i="49"/>
  <c r="D3483" i="49"/>
  <c r="D3482" i="49"/>
  <c r="D3481" i="49"/>
  <c r="D3480" i="49"/>
  <c r="D3479" i="49"/>
  <c r="D3478" i="49"/>
  <c r="D3477" i="49"/>
  <c r="D3476" i="49"/>
  <c r="D3475" i="49"/>
  <c r="D3474" i="49"/>
  <c r="D3473" i="49"/>
  <c r="D3200" i="49"/>
  <c r="D3199" i="49"/>
  <c r="D3198" i="49"/>
  <c r="D3197" i="49"/>
  <c r="D3196" i="49"/>
  <c r="D3195" i="49"/>
  <c r="D3194" i="49"/>
  <c r="D3193" i="49"/>
  <c r="D3192" i="49"/>
  <c r="D3191" i="49"/>
  <c r="D3190" i="49"/>
  <c r="D3189" i="49"/>
  <c r="D3188" i="49"/>
  <c r="D3187" i="49"/>
  <c r="D3186" i="49"/>
  <c r="D3185" i="49"/>
  <c r="D3184" i="49"/>
  <c r="D2911" i="49"/>
  <c r="D2910" i="49"/>
  <c r="D2909" i="49"/>
  <c r="D2908" i="49"/>
  <c r="D2907" i="49"/>
  <c r="D2906" i="49"/>
  <c r="D2905" i="49"/>
  <c r="D2904" i="49"/>
  <c r="D2903" i="49"/>
  <c r="D2902" i="49"/>
  <c r="D2901" i="49"/>
  <c r="D2900" i="49"/>
  <c r="D2899" i="49"/>
  <c r="D2898" i="49"/>
  <c r="D2897" i="49"/>
  <c r="D2896" i="49"/>
  <c r="D2895" i="49"/>
  <c r="D2622" i="49"/>
  <c r="D2621" i="49"/>
  <c r="D2620" i="49"/>
  <c r="D2619" i="49"/>
  <c r="D2618" i="49"/>
  <c r="D2617" i="49"/>
  <c r="D2616" i="49"/>
  <c r="D2615" i="49"/>
  <c r="D2614" i="49"/>
  <c r="D2613" i="49"/>
  <c r="D2612" i="49"/>
  <c r="D2611" i="49"/>
  <c r="D2610" i="49"/>
  <c r="D2609" i="49"/>
  <c r="D2608" i="49"/>
  <c r="D2607" i="49"/>
  <c r="D2606" i="49"/>
  <c r="D2333" i="49"/>
  <c r="D2332" i="49"/>
  <c r="D2331" i="49"/>
  <c r="D2330" i="49"/>
  <c r="D2329" i="49"/>
  <c r="D2328" i="49"/>
  <c r="D2327" i="49"/>
  <c r="D2326" i="49"/>
  <c r="D2325" i="49"/>
  <c r="D2324" i="49"/>
  <c r="D2323" i="49"/>
  <c r="D2322" i="49"/>
  <c r="D2321" i="49"/>
  <c r="D2320" i="49"/>
  <c r="D2319" i="49"/>
  <c r="D2318" i="49"/>
  <c r="D2317" i="49"/>
  <c r="C2060" i="49"/>
  <c r="D2044" i="49"/>
  <c r="D2043" i="49"/>
  <c r="D2042" i="49"/>
  <c r="D2041" i="49"/>
  <c r="D2040" i="49"/>
  <c r="D2039" i="49"/>
  <c r="D2038" i="49"/>
  <c r="D2037" i="49"/>
  <c r="D2036" i="49"/>
  <c r="D2035" i="49"/>
  <c r="D2034" i="49"/>
  <c r="D2033" i="49"/>
  <c r="D2032" i="49"/>
  <c r="D2031" i="49"/>
  <c r="D2030" i="49"/>
  <c r="D2029" i="49"/>
  <c r="D2028" i="49"/>
  <c r="C1905" i="49"/>
  <c r="D1755" i="49"/>
  <c r="D1754" i="49"/>
  <c r="D1753" i="49"/>
  <c r="D1752" i="49"/>
  <c r="D1751" i="49"/>
  <c r="D1750" i="49"/>
  <c r="D1749" i="49"/>
  <c r="D1748" i="49"/>
  <c r="D1747" i="49"/>
  <c r="D1746" i="49"/>
  <c r="D1745" i="49"/>
  <c r="D1744" i="49"/>
  <c r="D1743" i="49"/>
  <c r="D1742" i="49"/>
  <c r="D1741" i="49"/>
  <c r="D1740" i="49"/>
  <c r="D1739" i="49"/>
  <c r="C1528" i="49"/>
  <c r="D1466" i="49"/>
  <c r="D1465" i="49"/>
  <c r="D1464" i="49"/>
  <c r="D1463" i="49"/>
  <c r="D1462" i="49"/>
  <c r="D1461" i="49"/>
  <c r="D1460" i="49"/>
  <c r="D1459" i="49"/>
  <c r="D1458" i="49"/>
  <c r="D1457" i="49"/>
  <c r="D1456" i="49"/>
  <c r="D1455" i="49"/>
  <c r="D1454" i="49"/>
  <c r="D1453" i="49"/>
  <c r="D1452" i="49"/>
  <c r="D1451" i="49"/>
  <c r="D1450" i="49"/>
  <c r="C1259" i="49"/>
  <c r="D1177" i="49"/>
  <c r="D1176" i="49"/>
  <c r="D1175" i="49"/>
  <c r="D1174" i="49"/>
  <c r="D1173" i="49"/>
  <c r="D1172" i="49"/>
  <c r="D1171" i="49"/>
  <c r="D1170" i="49"/>
  <c r="D1169" i="49"/>
  <c r="D1168" i="49"/>
  <c r="D1167" i="49"/>
  <c r="D1166" i="49"/>
  <c r="D1165" i="49"/>
  <c r="D1164" i="49"/>
  <c r="D1163" i="49"/>
  <c r="D1162" i="49"/>
  <c r="D1161" i="49"/>
  <c r="C1128" i="49"/>
  <c r="C1070" i="49"/>
  <c r="G1070" i="49" s="1"/>
  <c r="C1038" i="49"/>
  <c r="C1012" i="49"/>
  <c r="C949" i="49"/>
  <c r="C925" i="49"/>
  <c r="C912" i="49"/>
  <c r="C889" i="49"/>
  <c r="D888" i="49"/>
  <c r="D887" i="49"/>
  <c r="D886" i="49"/>
  <c r="D885" i="49"/>
  <c r="D884" i="49"/>
  <c r="D883" i="49"/>
  <c r="D882" i="49"/>
  <c r="D881" i="49"/>
  <c r="D880" i="49"/>
  <c r="C880" i="49"/>
  <c r="D879" i="49"/>
  <c r="D878" i="49"/>
  <c r="D877" i="49"/>
  <c r="D876" i="49"/>
  <c r="D875" i="49"/>
  <c r="D874" i="49"/>
  <c r="D873" i="49"/>
  <c r="D872" i="49"/>
  <c r="C792" i="49"/>
  <c r="C712" i="49"/>
  <c r="C673" i="49"/>
  <c r="C604" i="49"/>
  <c r="D599" i="49"/>
  <c r="D598" i="49"/>
  <c r="D597" i="49"/>
  <c r="D596" i="49"/>
  <c r="D595" i="49"/>
  <c r="D594" i="49"/>
  <c r="D593" i="49"/>
  <c r="D592" i="49"/>
  <c r="D591" i="49"/>
  <c r="D590" i="49"/>
  <c r="D589" i="49"/>
  <c r="D588" i="49"/>
  <c r="D587" i="49"/>
  <c r="D586" i="49"/>
  <c r="D585" i="49"/>
  <c r="D584" i="49"/>
  <c r="D583" i="49"/>
  <c r="C566" i="49"/>
  <c r="C537" i="49"/>
  <c r="C525" i="49"/>
  <c r="H525" i="49" s="1"/>
  <c r="C492" i="49"/>
  <c r="C479" i="49"/>
  <c r="C440" i="49"/>
  <c r="C402" i="49"/>
  <c r="C386" i="49"/>
  <c r="D310" i="49"/>
  <c r="D309" i="49"/>
  <c r="C309" i="49"/>
  <c r="D308" i="49"/>
  <c r="D307" i="49"/>
  <c r="D306" i="49"/>
  <c r="D305" i="49"/>
  <c r="D304" i="49"/>
  <c r="D303" i="49"/>
  <c r="D302" i="49"/>
  <c r="D301" i="49"/>
  <c r="D300" i="49"/>
  <c r="D299" i="49"/>
  <c r="D298" i="49"/>
  <c r="D297" i="49"/>
  <c r="D296" i="49"/>
  <c r="D295" i="49"/>
  <c r="D294" i="49"/>
  <c r="P293" i="49"/>
  <c r="O293" i="49"/>
  <c r="N293" i="49"/>
  <c r="M293" i="49"/>
  <c r="P292" i="49"/>
  <c r="O292" i="49"/>
  <c r="N292" i="49"/>
  <c r="M292" i="49"/>
  <c r="P291" i="49"/>
  <c r="O291" i="49"/>
  <c r="N291" i="49"/>
  <c r="M291" i="49"/>
  <c r="P290" i="49"/>
  <c r="O290" i="49"/>
  <c r="N290" i="49"/>
  <c r="M290" i="49"/>
  <c r="P289" i="49"/>
  <c r="O289" i="49"/>
  <c r="N289" i="49"/>
  <c r="M289" i="49"/>
  <c r="P288" i="49"/>
  <c r="O288" i="49"/>
  <c r="N288" i="49"/>
  <c r="M288" i="49"/>
  <c r="P287" i="49"/>
  <c r="O287" i="49"/>
  <c r="N287" i="49"/>
  <c r="M287" i="49"/>
  <c r="P286" i="49"/>
  <c r="O286" i="49"/>
  <c r="N286" i="49"/>
  <c r="M286" i="49"/>
  <c r="P285" i="49"/>
  <c r="O285" i="49"/>
  <c r="N285" i="49"/>
  <c r="M285" i="49"/>
  <c r="P284" i="49"/>
  <c r="O284" i="49"/>
  <c r="N284" i="49"/>
  <c r="M284" i="49"/>
  <c r="P283" i="49"/>
  <c r="O283" i="49"/>
  <c r="N283" i="49"/>
  <c r="M283" i="49"/>
  <c r="P282" i="49"/>
  <c r="O282" i="49"/>
  <c r="N282" i="49"/>
  <c r="M282" i="49"/>
  <c r="P281" i="49"/>
  <c r="O281" i="49"/>
  <c r="N281" i="49"/>
  <c r="M281" i="49"/>
  <c r="P280" i="49"/>
  <c r="O280" i="49"/>
  <c r="N280" i="49"/>
  <c r="M280" i="49"/>
  <c r="P279" i="49"/>
  <c r="O279" i="49"/>
  <c r="N279" i="49"/>
  <c r="M279" i="49"/>
  <c r="P278" i="49"/>
  <c r="O278" i="49"/>
  <c r="N278" i="49"/>
  <c r="M278" i="49"/>
  <c r="P277" i="49"/>
  <c r="O277" i="49"/>
  <c r="N277" i="49"/>
  <c r="M277" i="49"/>
  <c r="P276" i="49"/>
  <c r="O276" i="49"/>
  <c r="N276" i="49"/>
  <c r="M276" i="49"/>
  <c r="P275" i="49"/>
  <c r="O275" i="49"/>
  <c r="N275" i="49"/>
  <c r="M275" i="49"/>
  <c r="P274" i="49"/>
  <c r="O274" i="49"/>
  <c r="N274" i="49"/>
  <c r="M274" i="49"/>
  <c r="P273" i="49"/>
  <c r="O273" i="49"/>
  <c r="N273" i="49"/>
  <c r="M273" i="49"/>
  <c r="P272" i="49"/>
  <c r="O272" i="49"/>
  <c r="N272" i="49"/>
  <c r="M272" i="49"/>
  <c r="P271" i="49"/>
  <c r="O271" i="49"/>
  <c r="N271" i="49"/>
  <c r="M271" i="49"/>
  <c r="P270" i="49"/>
  <c r="O270" i="49"/>
  <c r="N270" i="49"/>
  <c r="M270" i="49"/>
  <c r="P269" i="49"/>
  <c r="O269" i="49"/>
  <c r="N269" i="49"/>
  <c r="M269" i="49"/>
  <c r="P268" i="49"/>
  <c r="O268" i="49"/>
  <c r="N268" i="49"/>
  <c r="M268" i="49"/>
  <c r="P267" i="49"/>
  <c r="O267" i="49"/>
  <c r="N267" i="49"/>
  <c r="M267" i="49"/>
  <c r="P266" i="49"/>
  <c r="O266" i="49"/>
  <c r="N266" i="49"/>
  <c r="M266" i="49"/>
  <c r="P265" i="49"/>
  <c r="O265" i="49"/>
  <c r="N265" i="49"/>
  <c r="M265" i="49"/>
  <c r="P264" i="49"/>
  <c r="O264" i="49"/>
  <c r="N264" i="49"/>
  <c r="M264" i="49"/>
  <c r="P263" i="49"/>
  <c r="O263" i="49"/>
  <c r="N263" i="49"/>
  <c r="M263" i="49"/>
  <c r="P262" i="49"/>
  <c r="O262" i="49"/>
  <c r="N262" i="49"/>
  <c r="M262" i="49"/>
  <c r="P261" i="49"/>
  <c r="O261" i="49"/>
  <c r="N261" i="49"/>
  <c r="M261" i="49"/>
  <c r="P260" i="49"/>
  <c r="O260" i="49"/>
  <c r="N260" i="49"/>
  <c r="M260" i="49"/>
  <c r="P259" i="49"/>
  <c r="O259" i="49"/>
  <c r="N259" i="49"/>
  <c r="M259" i="49"/>
  <c r="P258" i="49"/>
  <c r="O258" i="49"/>
  <c r="N258" i="49"/>
  <c r="M258" i="49"/>
  <c r="P257" i="49"/>
  <c r="O257" i="49"/>
  <c r="N257" i="49"/>
  <c r="M257" i="49"/>
  <c r="P256" i="49"/>
  <c r="O256" i="49"/>
  <c r="N256" i="49"/>
  <c r="M256" i="49"/>
  <c r="P255" i="49"/>
  <c r="O255" i="49"/>
  <c r="N255" i="49"/>
  <c r="M255" i="49"/>
  <c r="P254" i="49"/>
  <c r="O254" i="49"/>
  <c r="N254" i="49"/>
  <c r="M254" i="49"/>
  <c r="P253" i="49"/>
  <c r="O253" i="49"/>
  <c r="N253" i="49"/>
  <c r="M253" i="49"/>
  <c r="P252" i="49"/>
  <c r="O252" i="49"/>
  <c r="N252" i="49"/>
  <c r="M252" i="49"/>
  <c r="P251" i="49"/>
  <c r="O251" i="49"/>
  <c r="N251" i="49"/>
  <c r="M251" i="49"/>
  <c r="P250" i="49"/>
  <c r="O250" i="49"/>
  <c r="N250" i="49"/>
  <c r="M250" i="49"/>
  <c r="P249" i="49"/>
  <c r="O249" i="49"/>
  <c r="N249" i="49"/>
  <c r="M249" i="49"/>
  <c r="P248" i="49"/>
  <c r="O248" i="49"/>
  <c r="N248" i="49"/>
  <c r="M248" i="49"/>
  <c r="P247" i="49"/>
  <c r="O247" i="49"/>
  <c r="N247" i="49"/>
  <c r="M247" i="49"/>
  <c r="P246" i="49"/>
  <c r="O246" i="49"/>
  <c r="N246" i="49"/>
  <c r="M246" i="49"/>
  <c r="P245" i="49"/>
  <c r="O245" i="49"/>
  <c r="N245" i="49"/>
  <c r="M245" i="49"/>
  <c r="P244" i="49"/>
  <c r="O244" i="49"/>
  <c r="N244" i="49"/>
  <c r="M244" i="49"/>
  <c r="P243" i="49"/>
  <c r="O243" i="49"/>
  <c r="N243" i="49"/>
  <c r="M243" i="49"/>
  <c r="P242" i="49"/>
  <c r="O242" i="49"/>
  <c r="N242" i="49"/>
  <c r="M242" i="49"/>
  <c r="P241" i="49"/>
  <c r="O241" i="49"/>
  <c r="N241" i="49"/>
  <c r="M241" i="49"/>
  <c r="P240" i="49"/>
  <c r="O240" i="49"/>
  <c r="N240" i="49"/>
  <c r="M240" i="49"/>
  <c r="P239" i="49"/>
  <c r="O239" i="49"/>
  <c r="N239" i="49"/>
  <c r="M239" i="49"/>
  <c r="P238" i="49"/>
  <c r="O238" i="49"/>
  <c r="N238" i="49"/>
  <c r="M238" i="49"/>
  <c r="P237" i="49"/>
  <c r="O237" i="49"/>
  <c r="N237" i="49"/>
  <c r="M237" i="49"/>
  <c r="P236" i="49"/>
  <c r="O236" i="49"/>
  <c r="N236" i="49"/>
  <c r="M236" i="49"/>
  <c r="P235" i="49"/>
  <c r="O235" i="49"/>
  <c r="N235" i="49"/>
  <c r="M235" i="49"/>
  <c r="P234" i="49"/>
  <c r="O234" i="49"/>
  <c r="N234" i="49"/>
  <c r="M234" i="49"/>
  <c r="P233" i="49"/>
  <c r="O233" i="49"/>
  <c r="N233" i="49"/>
  <c r="M233" i="49"/>
  <c r="P232" i="49"/>
  <c r="O232" i="49"/>
  <c r="N232" i="49"/>
  <c r="M232" i="49"/>
  <c r="P231" i="49"/>
  <c r="O231" i="49"/>
  <c r="N231" i="49"/>
  <c r="M231" i="49"/>
  <c r="P230" i="49"/>
  <c r="O230" i="49"/>
  <c r="N230" i="49"/>
  <c r="M230" i="49"/>
  <c r="P229" i="49"/>
  <c r="O229" i="49"/>
  <c r="N229" i="49"/>
  <c r="M229" i="49"/>
  <c r="P228" i="49"/>
  <c r="O228" i="49"/>
  <c r="N228" i="49"/>
  <c r="M228" i="49"/>
  <c r="P227" i="49"/>
  <c r="O227" i="49"/>
  <c r="N227" i="49"/>
  <c r="M227" i="49"/>
  <c r="P226" i="49"/>
  <c r="O226" i="49"/>
  <c r="N226" i="49"/>
  <c r="M226" i="49"/>
  <c r="P225" i="49"/>
  <c r="O225" i="49"/>
  <c r="N225" i="49"/>
  <c r="M225" i="49"/>
  <c r="P224" i="49"/>
  <c r="O224" i="49"/>
  <c r="N224" i="49"/>
  <c r="M224" i="49"/>
  <c r="P223" i="49"/>
  <c r="O223" i="49"/>
  <c r="N223" i="49"/>
  <c r="M223" i="49"/>
  <c r="P222" i="49"/>
  <c r="O222" i="49"/>
  <c r="N222" i="49"/>
  <c r="M222" i="49"/>
  <c r="P221" i="49"/>
  <c r="O221" i="49"/>
  <c r="N221" i="49"/>
  <c r="M221" i="49"/>
  <c r="P220" i="49"/>
  <c r="O220" i="49"/>
  <c r="N220" i="49"/>
  <c r="M220" i="49"/>
  <c r="P219" i="49"/>
  <c r="O219" i="49"/>
  <c r="N219" i="49"/>
  <c r="M219" i="49"/>
  <c r="P218" i="49"/>
  <c r="O218" i="49"/>
  <c r="N218" i="49"/>
  <c r="M218" i="49"/>
  <c r="P217" i="49"/>
  <c r="O217" i="49"/>
  <c r="N217" i="49"/>
  <c r="M217" i="49"/>
  <c r="P216" i="49"/>
  <c r="O216" i="49"/>
  <c r="N216" i="49"/>
  <c r="M216" i="49"/>
  <c r="P215" i="49"/>
  <c r="O215" i="49"/>
  <c r="N215" i="49"/>
  <c r="M215" i="49"/>
  <c r="P214" i="49"/>
  <c r="O214" i="49"/>
  <c r="N214" i="49"/>
  <c r="M214" i="49"/>
  <c r="P213" i="49"/>
  <c r="O213" i="49"/>
  <c r="N213" i="49"/>
  <c r="M213" i="49"/>
  <c r="P212" i="49"/>
  <c r="O212" i="49"/>
  <c r="N212" i="49"/>
  <c r="M212" i="49"/>
  <c r="P211" i="49"/>
  <c r="O211" i="49"/>
  <c r="N211" i="49"/>
  <c r="M211" i="49"/>
  <c r="P210" i="49"/>
  <c r="O210" i="49"/>
  <c r="N210" i="49"/>
  <c r="M210" i="49"/>
  <c r="P209" i="49"/>
  <c r="O209" i="49"/>
  <c r="N209" i="49"/>
  <c r="M209" i="49"/>
  <c r="P208" i="49"/>
  <c r="O208" i="49"/>
  <c r="N208" i="49"/>
  <c r="M208" i="49"/>
  <c r="P207" i="49"/>
  <c r="O207" i="49"/>
  <c r="N207" i="49"/>
  <c r="M207" i="49"/>
  <c r="P206" i="49"/>
  <c r="O206" i="49"/>
  <c r="N206" i="49"/>
  <c r="M206" i="49"/>
  <c r="P205" i="49"/>
  <c r="O205" i="49"/>
  <c r="N205" i="49"/>
  <c r="M205" i="49"/>
  <c r="P204" i="49"/>
  <c r="O204" i="49"/>
  <c r="N204" i="49"/>
  <c r="M204" i="49"/>
  <c r="P203" i="49"/>
  <c r="O203" i="49"/>
  <c r="N203" i="49"/>
  <c r="M203" i="49"/>
  <c r="P202" i="49"/>
  <c r="O202" i="49"/>
  <c r="N202" i="49"/>
  <c r="M202" i="49"/>
  <c r="P201" i="49"/>
  <c r="O201" i="49"/>
  <c r="N201" i="49"/>
  <c r="M201" i="49"/>
  <c r="P200" i="49"/>
  <c r="O200" i="49"/>
  <c r="N200" i="49"/>
  <c r="M200" i="49"/>
  <c r="P199" i="49"/>
  <c r="O199" i="49"/>
  <c r="N199" i="49"/>
  <c r="M199" i="49"/>
  <c r="P198" i="49"/>
  <c r="O198" i="49"/>
  <c r="N198" i="49"/>
  <c r="M198" i="49"/>
  <c r="P197" i="49"/>
  <c r="O197" i="49"/>
  <c r="N197" i="49"/>
  <c r="M197" i="49"/>
  <c r="P196" i="49"/>
  <c r="O196" i="49"/>
  <c r="N196" i="49"/>
  <c r="M196" i="49"/>
  <c r="P195" i="49"/>
  <c r="O195" i="49"/>
  <c r="N195" i="49"/>
  <c r="M195" i="49"/>
  <c r="P194" i="49"/>
  <c r="O194" i="49"/>
  <c r="N194" i="49"/>
  <c r="M194" i="49"/>
  <c r="P193" i="49"/>
  <c r="O193" i="49"/>
  <c r="N193" i="49"/>
  <c r="M193" i="49"/>
  <c r="P192" i="49"/>
  <c r="O192" i="49"/>
  <c r="N192" i="49"/>
  <c r="M192" i="49"/>
  <c r="P191" i="49"/>
  <c r="O191" i="49"/>
  <c r="N191" i="49"/>
  <c r="M191" i="49"/>
  <c r="P190" i="49"/>
  <c r="O190" i="49"/>
  <c r="N190" i="49"/>
  <c r="M190" i="49"/>
  <c r="P189" i="49"/>
  <c r="O189" i="49"/>
  <c r="N189" i="49"/>
  <c r="M189" i="49"/>
  <c r="P188" i="49"/>
  <c r="O188" i="49"/>
  <c r="N188" i="49"/>
  <c r="M188" i="49"/>
  <c r="P187" i="49"/>
  <c r="O187" i="49"/>
  <c r="N187" i="49"/>
  <c r="M187" i="49"/>
  <c r="P186" i="49"/>
  <c r="O186" i="49"/>
  <c r="N186" i="49"/>
  <c r="M186" i="49"/>
  <c r="P185" i="49"/>
  <c r="O185" i="49"/>
  <c r="N185" i="49"/>
  <c r="M185" i="49"/>
  <c r="P184" i="49"/>
  <c r="O184" i="49"/>
  <c r="N184" i="49"/>
  <c r="M184" i="49"/>
  <c r="P183" i="49"/>
  <c r="O183" i="49"/>
  <c r="N183" i="49"/>
  <c r="M183" i="49"/>
  <c r="P182" i="49"/>
  <c r="O182" i="49"/>
  <c r="N182" i="49"/>
  <c r="M182" i="49"/>
  <c r="P181" i="49"/>
  <c r="O181" i="49"/>
  <c r="N181" i="49"/>
  <c r="M181" i="49"/>
  <c r="P180" i="49"/>
  <c r="O180" i="49"/>
  <c r="N180" i="49"/>
  <c r="M180" i="49"/>
  <c r="P179" i="49"/>
  <c r="O179" i="49"/>
  <c r="N179" i="49"/>
  <c r="M179" i="49"/>
  <c r="P178" i="49"/>
  <c r="O178" i="49"/>
  <c r="N178" i="49"/>
  <c r="M178" i="49"/>
  <c r="P177" i="49"/>
  <c r="O177" i="49"/>
  <c r="N177" i="49"/>
  <c r="M177" i="49"/>
  <c r="P176" i="49"/>
  <c r="O176" i="49"/>
  <c r="N176" i="49"/>
  <c r="M176" i="49"/>
  <c r="P175" i="49"/>
  <c r="O175" i="49"/>
  <c r="N175" i="49"/>
  <c r="M175" i="49"/>
  <c r="P174" i="49"/>
  <c r="O174" i="49"/>
  <c r="N174" i="49"/>
  <c r="M174" i="49"/>
  <c r="P173" i="49"/>
  <c r="O173" i="49"/>
  <c r="N173" i="49"/>
  <c r="M173" i="49"/>
  <c r="P172" i="49"/>
  <c r="O172" i="49"/>
  <c r="N172" i="49"/>
  <c r="M172" i="49"/>
  <c r="P171" i="49"/>
  <c r="O171" i="49"/>
  <c r="N171" i="49"/>
  <c r="M171" i="49"/>
  <c r="P170" i="49"/>
  <c r="O170" i="49"/>
  <c r="N170" i="49"/>
  <c r="M170" i="49"/>
  <c r="P169" i="49"/>
  <c r="O169" i="49"/>
  <c r="N169" i="49"/>
  <c r="M169" i="49"/>
  <c r="P168" i="49"/>
  <c r="O168" i="49"/>
  <c r="N168" i="49"/>
  <c r="M168" i="49"/>
  <c r="P167" i="49"/>
  <c r="O167" i="49"/>
  <c r="N167" i="49"/>
  <c r="M167" i="49"/>
  <c r="P166" i="49"/>
  <c r="O166" i="49"/>
  <c r="N166" i="49"/>
  <c r="M166" i="49"/>
  <c r="P165" i="49"/>
  <c r="O165" i="49"/>
  <c r="N165" i="49"/>
  <c r="M165" i="49"/>
  <c r="P164" i="49"/>
  <c r="O164" i="49"/>
  <c r="N164" i="49"/>
  <c r="M164" i="49"/>
  <c r="P163" i="49"/>
  <c r="O163" i="49"/>
  <c r="N163" i="49"/>
  <c r="M163" i="49"/>
  <c r="P162" i="49"/>
  <c r="O162" i="49"/>
  <c r="N162" i="49"/>
  <c r="M162" i="49"/>
  <c r="P161" i="49"/>
  <c r="O161" i="49"/>
  <c r="N161" i="49"/>
  <c r="M161" i="49"/>
  <c r="P160" i="49"/>
  <c r="O160" i="49"/>
  <c r="N160" i="49"/>
  <c r="M160" i="49"/>
  <c r="P159" i="49"/>
  <c r="O159" i="49"/>
  <c r="N159" i="49"/>
  <c r="M159" i="49"/>
  <c r="P158" i="49"/>
  <c r="O158" i="49"/>
  <c r="N158" i="49"/>
  <c r="M158" i="49"/>
  <c r="P157" i="49"/>
  <c r="O157" i="49"/>
  <c r="N157" i="49"/>
  <c r="M157" i="49"/>
  <c r="P156" i="49"/>
  <c r="O156" i="49"/>
  <c r="N156" i="49"/>
  <c r="M156" i="49"/>
  <c r="P155" i="49"/>
  <c r="O155" i="49"/>
  <c r="N155" i="49"/>
  <c r="M155" i="49"/>
  <c r="P154" i="49"/>
  <c r="O154" i="49"/>
  <c r="N154" i="49"/>
  <c r="M154" i="49"/>
  <c r="P153" i="49"/>
  <c r="O153" i="49"/>
  <c r="N153" i="49"/>
  <c r="M153" i="49"/>
  <c r="P152" i="49"/>
  <c r="O152" i="49"/>
  <c r="N152" i="49"/>
  <c r="M152" i="49"/>
  <c r="P151" i="49"/>
  <c r="O151" i="49"/>
  <c r="N151" i="49"/>
  <c r="M151" i="49"/>
  <c r="P150" i="49"/>
  <c r="O150" i="49"/>
  <c r="N150" i="49"/>
  <c r="M150" i="49"/>
  <c r="P149" i="49"/>
  <c r="O149" i="49"/>
  <c r="N149" i="49"/>
  <c r="M149" i="49"/>
  <c r="P148" i="49"/>
  <c r="O148" i="49"/>
  <c r="N148" i="49"/>
  <c r="M148" i="49"/>
  <c r="P147" i="49"/>
  <c r="O147" i="49"/>
  <c r="N147" i="49"/>
  <c r="M147" i="49"/>
  <c r="P146" i="49"/>
  <c r="O146" i="49"/>
  <c r="N146" i="49"/>
  <c r="M146" i="49"/>
  <c r="P145" i="49"/>
  <c r="O145" i="49"/>
  <c r="N145" i="49"/>
  <c r="M145" i="49"/>
  <c r="P144" i="49"/>
  <c r="O144" i="49"/>
  <c r="N144" i="49"/>
  <c r="M144" i="49"/>
  <c r="P143" i="49"/>
  <c r="O143" i="49"/>
  <c r="N143" i="49"/>
  <c r="M143" i="49"/>
  <c r="P142" i="49"/>
  <c r="O142" i="49"/>
  <c r="N142" i="49"/>
  <c r="M142" i="49"/>
  <c r="P141" i="49"/>
  <c r="O141" i="49"/>
  <c r="N141" i="49"/>
  <c r="M141" i="49"/>
  <c r="P140" i="49"/>
  <c r="O140" i="49"/>
  <c r="N140" i="49"/>
  <c r="M140" i="49"/>
  <c r="P139" i="49"/>
  <c r="O139" i="49"/>
  <c r="N139" i="49"/>
  <c r="M139" i="49"/>
  <c r="P138" i="49"/>
  <c r="O138" i="49"/>
  <c r="N138" i="49"/>
  <c r="M138" i="49"/>
  <c r="P137" i="49"/>
  <c r="O137" i="49"/>
  <c r="N137" i="49"/>
  <c r="M137" i="49"/>
  <c r="P136" i="49"/>
  <c r="O136" i="49"/>
  <c r="N136" i="49"/>
  <c r="M136" i="49"/>
  <c r="P135" i="49"/>
  <c r="O135" i="49"/>
  <c r="N135" i="49"/>
  <c r="M135" i="49"/>
  <c r="P134" i="49"/>
  <c r="O134" i="49"/>
  <c r="N134" i="49"/>
  <c r="M134" i="49"/>
  <c r="P133" i="49"/>
  <c r="O133" i="49"/>
  <c r="N133" i="49"/>
  <c r="M133" i="49"/>
  <c r="P132" i="49"/>
  <c r="O132" i="49"/>
  <c r="N132" i="49"/>
  <c r="M132" i="49"/>
  <c r="P131" i="49"/>
  <c r="O131" i="49"/>
  <c r="N131" i="49"/>
  <c r="M131" i="49"/>
  <c r="P130" i="49"/>
  <c r="O130" i="49"/>
  <c r="N130" i="49"/>
  <c r="M130" i="49"/>
  <c r="P129" i="49"/>
  <c r="O129" i="49"/>
  <c r="N129" i="49"/>
  <c r="M129" i="49"/>
  <c r="P128" i="49"/>
  <c r="O128" i="49"/>
  <c r="N128" i="49"/>
  <c r="M128" i="49"/>
  <c r="P127" i="49"/>
  <c r="O127" i="49"/>
  <c r="N127" i="49"/>
  <c r="M127" i="49"/>
  <c r="P126" i="49"/>
  <c r="O126" i="49"/>
  <c r="N126" i="49"/>
  <c r="M126" i="49"/>
  <c r="P125" i="49"/>
  <c r="O125" i="49"/>
  <c r="N125" i="49"/>
  <c r="M125" i="49"/>
  <c r="P124" i="49"/>
  <c r="O124" i="49"/>
  <c r="N124" i="49"/>
  <c r="M124" i="49"/>
  <c r="P123" i="49"/>
  <c r="O123" i="49"/>
  <c r="N123" i="49"/>
  <c r="M123" i="49"/>
  <c r="P122" i="49"/>
  <c r="O122" i="49"/>
  <c r="N122" i="49"/>
  <c r="M122" i="49"/>
  <c r="P121" i="49"/>
  <c r="O121" i="49"/>
  <c r="N121" i="49"/>
  <c r="M121" i="49"/>
  <c r="P120" i="49"/>
  <c r="O120" i="49"/>
  <c r="N120" i="49"/>
  <c r="M120" i="49"/>
  <c r="P119" i="49"/>
  <c r="O119" i="49"/>
  <c r="N119" i="49"/>
  <c r="M119" i="49"/>
  <c r="P118" i="49"/>
  <c r="O118" i="49"/>
  <c r="N118" i="49"/>
  <c r="M118" i="49"/>
  <c r="P117" i="49"/>
  <c r="O117" i="49"/>
  <c r="N117" i="49"/>
  <c r="M117" i="49"/>
  <c r="P116" i="49"/>
  <c r="O116" i="49"/>
  <c r="N116" i="49"/>
  <c r="M116" i="49"/>
  <c r="P115" i="49"/>
  <c r="O115" i="49"/>
  <c r="N115" i="49"/>
  <c r="M115" i="49"/>
  <c r="P114" i="49"/>
  <c r="O114" i="49"/>
  <c r="N114" i="49"/>
  <c r="M114" i="49"/>
  <c r="P113" i="49"/>
  <c r="O113" i="49"/>
  <c r="N113" i="49"/>
  <c r="M113" i="49"/>
  <c r="P112" i="49"/>
  <c r="O112" i="49"/>
  <c r="N112" i="49"/>
  <c r="M112" i="49"/>
  <c r="P111" i="49"/>
  <c r="O111" i="49"/>
  <c r="N111" i="49"/>
  <c r="M111" i="49"/>
  <c r="P110" i="49"/>
  <c r="O110" i="49"/>
  <c r="N110" i="49"/>
  <c r="M110" i="49"/>
  <c r="P109" i="49"/>
  <c r="O109" i="49"/>
  <c r="N109" i="49"/>
  <c r="M109" i="49"/>
  <c r="P108" i="49"/>
  <c r="O108" i="49"/>
  <c r="N108" i="49"/>
  <c r="M108" i="49"/>
  <c r="P107" i="49"/>
  <c r="O107" i="49"/>
  <c r="N107" i="49"/>
  <c r="M107" i="49"/>
  <c r="P106" i="49"/>
  <c r="O106" i="49"/>
  <c r="N106" i="49"/>
  <c r="M106" i="49"/>
  <c r="P105" i="49"/>
  <c r="O105" i="49"/>
  <c r="N105" i="49"/>
  <c r="M105" i="49"/>
  <c r="P104" i="49"/>
  <c r="O104" i="49"/>
  <c r="N104" i="49"/>
  <c r="M104" i="49"/>
  <c r="P103" i="49"/>
  <c r="O103" i="49"/>
  <c r="N103" i="49"/>
  <c r="M103" i="49"/>
  <c r="P102" i="49"/>
  <c r="O102" i="49"/>
  <c r="N102" i="49"/>
  <c r="M102" i="49"/>
  <c r="P101" i="49"/>
  <c r="O101" i="49"/>
  <c r="N101" i="49"/>
  <c r="M101" i="49"/>
  <c r="P100" i="49"/>
  <c r="O100" i="49"/>
  <c r="N100" i="49"/>
  <c r="M100" i="49"/>
  <c r="P99" i="49"/>
  <c r="O99" i="49"/>
  <c r="N99" i="49"/>
  <c r="M99" i="49"/>
  <c r="P98" i="49"/>
  <c r="O98" i="49"/>
  <c r="N98" i="49"/>
  <c r="M98" i="49"/>
  <c r="P97" i="49"/>
  <c r="O97" i="49"/>
  <c r="N97" i="49"/>
  <c r="M97" i="49"/>
  <c r="P96" i="49"/>
  <c r="O96" i="49"/>
  <c r="N96" i="49"/>
  <c r="M96" i="49"/>
  <c r="P95" i="49"/>
  <c r="O95" i="49"/>
  <c r="N95" i="49"/>
  <c r="M95" i="49"/>
  <c r="P94" i="49"/>
  <c r="O94" i="49"/>
  <c r="N94" i="49"/>
  <c r="M94" i="49"/>
  <c r="P93" i="49"/>
  <c r="O93" i="49"/>
  <c r="N93" i="49"/>
  <c r="M93" i="49"/>
  <c r="P92" i="49"/>
  <c r="O92" i="49"/>
  <c r="N92" i="49"/>
  <c r="M92" i="49"/>
  <c r="P91" i="49"/>
  <c r="O91" i="49"/>
  <c r="N91" i="49"/>
  <c r="M91" i="49"/>
  <c r="P90" i="49"/>
  <c r="O90" i="49"/>
  <c r="N90" i="49"/>
  <c r="M90" i="49"/>
  <c r="P89" i="49"/>
  <c r="O89" i="49"/>
  <c r="N89" i="49"/>
  <c r="M89" i="49"/>
  <c r="P88" i="49"/>
  <c r="O88" i="49"/>
  <c r="N88" i="49"/>
  <c r="M88" i="49"/>
  <c r="P87" i="49"/>
  <c r="O87" i="49"/>
  <c r="N87" i="49"/>
  <c r="M87" i="49"/>
  <c r="P86" i="49"/>
  <c r="O86" i="49"/>
  <c r="N86" i="49"/>
  <c r="M86" i="49"/>
  <c r="P85" i="49"/>
  <c r="O85" i="49"/>
  <c r="N85" i="49"/>
  <c r="M85" i="49"/>
  <c r="P84" i="49"/>
  <c r="O84" i="49"/>
  <c r="N84" i="49"/>
  <c r="M84" i="49"/>
  <c r="P83" i="49"/>
  <c r="O83" i="49"/>
  <c r="N83" i="49"/>
  <c r="M83" i="49"/>
  <c r="P82" i="49"/>
  <c r="O82" i="49"/>
  <c r="N82" i="49"/>
  <c r="M82" i="49"/>
  <c r="P81" i="49"/>
  <c r="O81" i="49"/>
  <c r="N81" i="49"/>
  <c r="M81" i="49"/>
  <c r="P80" i="49"/>
  <c r="O80" i="49"/>
  <c r="N80" i="49"/>
  <c r="M80" i="49"/>
  <c r="P79" i="49"/>
  <c r="O79" i="49"/>
  <c r="N79" i="49"/>
  <c r="M79" i="49"/>
  <c r="P78" i="49"/>
  <c r="O78" i="49"/>
  <c r="N78" i="49"/>
  <c r="M78" i="49"/>
  <c r="P77" i="49"/>
  <c r="O77" i="49"/>
  <c r="N77" i="49"/>
  <c r="M77" i="49"/>
  <c r="P76" i="49"/>
  <c r="O76" i="49"/>
  <c r="N76" i="49"/>
  <c r="M76" i="49"/>
  <c r="P75" i="49"/>
  <c r="O75" i="49"/>
  <c r="N75" i="49"/>
  <c r="M75" i="49"/>
  <c r="P74" i="49"/>
  <c r="O74" i="49"/>
  <c r="N74" i="49"/>
  <c r="M74" i="49"/>
  <c r="P73" i="49"/>
  <c r="O73" i="49"/>
  <c r="N73" i="49"/>
  <c r="M73" i="49"/>
  <c r="P72" i="49"/>
  <c r="O72" i="49"/>
  <c r="N72" i="49"/>
  <c r="M72" i="49"/>
  <c r="P71" i="49"/>
  <c r="O71" i="49"/>
  <c r="N71" i="49"/>
  <c r="M71" i="49"/>
  <c r="P70" i="49"/>
  <c r="O70" i="49"/>
  <c r="N70" i="49"/>
  <c r="M70" i="49"/>
  <c r="P69" i="49"/>
  <c r="O69" i="49"/>
  <c r="N69" i="49"/>
  <c r="M69" i="49"/>
  <c r="P68" i="49"/>
  <c r="O68" i="49"/>
  <c r="N68" i="49"/>
  <c r="M68" i="49"/>
  <c r="P67" i="49"/>
  <c r="O67" i="49"/>
  <c r="N67" i="49"/>
  <c r="M67" i="49"/>
  <c r="P66" i="49"/>
  <c r="O66" i="49"/>
  <c r="N66" i="49"/>
  <c r="M66" i="49"/>
  <c r="P65" i="49"/>
  <c r="O65" i="49"/>
  <c r="N65" i="49"/>
  <c r="M65" i="49"/>
  <c r="P64" i="49"/>
  <c r="O64" i="49"/>
  <c r="N64" i="49"/>
  <c r="M64" i="49"/>
  <c r="P63" i="49"/>
  <c r="O63" i="49"/>
  <c r="N63" i="49"/>
  <c r="M63" i="49"/>
  <c r="P62" i="49"/>
  <c r="O62" i="49"/>
  <c r="N62" i="49"/>
  <c r="M62" i="49"/>
  <c r="P61" i="49"/>
  <c r="O61" i="49"/>
  <c r="N61" i="49"/>
  <c r="M61" i="49"/>
  <c r="P60" i="49"/>
  <c r="O60" i="49"/>
  <c r="N60" i="49"/>
  <c r="M60" i="49"/>
  <c r="P59" i="49"/>
  <c r="O59" i="49"/>
  <c r="N59" i="49"/>
  <c r="M59" i="49"/>
  <c r="P58" i="49"/>
  <c r="O58" i="49"/>
  <c r="N58" i="49"/>
  <c r="M58" i="49"/>
  <c r="P57" i="49"/>
  <c r="O57" i="49"/>
  <c r="N57" i="49"/>
  <c r="M57" i="49"/>
  <c r="P56" i="49"/>
  <c r="O56" i="49"/>
  <c r="N56" i="49"/>
  <c r="M56" i="49"/>
  <c r="P55" i="49"/>
  <c r="O55" i="49"/>
  <c r="N55" i="49"/>
  <c r="M55" i="49"/>
  <c r="P54" i="49"/>
  <c r="O54" i="49"/>
  <c r="N54" i="49"/>
  <c r="M54" i="49"/>
  <c r="P53" i="49"/>
  <c r="O53" i="49"/>
  <c r="N53" i="49"/>
  <c r="M53" i="49"/>
  <c r="P52" i="49"/>
  <c r="O52" i="49"/>
  <c r="N52" i="49"/>
  <c r="M52" i="49"/>
  <c r="P51" i="49"/>
  <c r="O51" i="49"/>
  <c r="N51" i="49"/>
  <c r="M51" i="49"/>
  <c r="P50" i="49"/>
  <c r="O50" i="49"/>
  <c r="N50" i="49"/>
  <c r="M50" i="49"/>
  <c r="P49" i="49"/>
  <c r="O49" i="49"/>
  <c r="N49" i="49"/>
  <c r="M49" i="49"/>
  <c r="P48" i="49"/>
  <c r="O48" i="49"/>
  <c r="N48" i="49"/>
  <c r="M48" i="49"/>
  <c r="P47" i="49"/>
  <c r="O47" i="49"/>
  <c r="N47" i="49"/>
  <c r="M47" i="49"/>
  <c r="P46" i="49"/>
  <c r="O46" i="49"/>
  <c r="N46" i="49"/>
  <c r="M46" i="49"/>
  <c r="P45" i="49"/>
  <c r="O45" i="49"/>
  <c r="N45" i="49"/>
  <c r="M45" i="49"/>
  <c r="P44" i="49"/>
  <c r="O44" i="49"/>
  <c r="N44" i="49"/>
  <c r="M44" i="49"/>
  <c r="P43" i="49"/>
  <c r="O43" i="49"/>
  <c r="N43" i="49"/>
  <c r="M43" i="49"/>
  <c r="P42" i="49"/>
  <c r="O42" i="49"/>
  <c r="N42" i="49"/>
  <c r="M42" i="49"/>
  <c r="P41" i="49"/>
  <c r="O41" i="49"/>
  <c r="N41" i="49"/>
  <c r="M41" i="49"/>
  <c r="P40" i="49"/>
  <c r="O40" i="49"/>
  <c r="N40" i="49"/>
  <c r="M40" i="49"/>
  <c r="P39" i="49"/>
  <c r="O39" i="49"/>
  <c r="N39" i="49"/>
  <c r="M39" i="49"/>
  <c r="P38" i="49"/>
  <c r="O38" i="49"/>
  <c r="N38" i="49"/>
  <c r="M38" i="49"/>
  <c r="P37" i="49"/>
  <c r="O37" i="49"/>
  <c r="N37" i="49"/>
  <c r="M37" i="49"/>
  <c r="P36" i="49"/>
  <c r="O36" i="49"/>
  <c r="N36" i="49"/>
  <c r="M36" i="49"/>
  <c r="P35" i="49"/>
  <c r="O35" i="49"/>
  <c r="N35" i="49"/>
  <c r="M35" i="49"/>
  <c r="P34" i="49"/>
  <c r="O34" i="49"/>
  <c r="N34" i="49"/>
  <c r="M34" i="49"/>
  <c r="P33" i="49"/>
  <c r="O33" i="49"/>
  <c r="N33" i="49"/>
  <c r="M33" i="49"/>
  <c r="P32" i="49"/>
  <c r="O32" i="49"/>
  <c r="N32" i="49"/>
  <c r="M32" i="49"/>
  <c r="P31" i="49"/>
  <c r="O31" i="49"/>
  <c r="N31" i="49"/>
  <c r="M31" i="49"/>
  <c r="P30" i="49"/>
  <c r="O30" i="49"/>
  <c r="N30" i="49"/>
  <c r="M30" i="49"/>
  <c r="P29" i="49"/>
  <c r="O29" i="49"/>
  <c r="N29" i="49"/>
  <c r="M29" i="49"/>
  <c r="P28" i="49"/>
  <c r="O28" i="49"/>
  <c r="N28" i="49"/>
  <c r="M28" i="49"/>
  <c r="P27" i="49"/>
  <c r="O27" i="49"/>
  <c r="N27" i="49"/>
  <c r="M27" i="49"/>
  <c r="P26" i="49"/>
  <c r="O26" i="49"/>
  <c r="N26" i="49"/>
  <c r="M26" i="49"/>
  <c r="P25" i="49"/>
  <c r="O25" i="49"/>
  <c r="N25" i="49"/>
  <c r="M25" i="49"/>
  <c r="P24" i="49"/>
  <c r="O24" i="49"/>
  <c r="N24" i="49"/>
  <c r="M24" i="49"/>
  <c r="P23" i="49"/>
  <c r="O23" i="49"/>
  <c r="N23" i="49"/>
  <c r="M23" i="49"/>
  <c r="P22" i="49"/>
  <c r="O22" i="49"/>
  <c r="N22" i="49"/>
  <c r="M22" i="49"/>
  <c r="P21" i="49"/>
  <c r="O21" i="49"/>
  <c r="N21" i="49"/>
  <c r="M21" i="49"/>
  <c r="D21" i="49"/>
  <c r="B21" i="50" s="1"/>
  <c r="P20" i="49"/>
  <c r="O20" i="49"/>
  <c r="N20" i="49"/>
  <c r="M20" i="49"/>
  <c r="D20" i="49"/>
  <c r="B20" i="50" s="1"/>
  <c r="P19" i="49"/>
  <c r="O19" i="49"/>
  <c r="N19" i="49"/>
  <c r="M19" i="49"/>
  <c r="D19" i="49"/>
  <c r="B19" i="50" s="1"/>
  <c r="P18" i="49"/>
  <c r="O18" i="49"/>
  <c r="N18" i="49"/>
  <c r="M18" i="49"/>
  <c r="D18" i="49"/>
  <c r="B18" i="50" s="1"/>
  <c r="P17" i="49"/>
  <c r="O17" i="49"/>
  <c r="N17" i="49"/>
  <c r="M17" i="49"/>
  <c r="D17" i="49"/>
  <c r="B17" i="50" s="1"/>
  <c r="P16" i="49"/>
  <c r="O16" i="49"/>
  <c r="N16" i="49"/>
  <c r="M16" i="49"/>
  <c r="D16" i="49"/>
  <c r="B16" i="50" s="1"/>
  <c r="P15" i="49"/>
  <c r="O15" i="49"/>
  <c r="N15" i="49"/>
  <c r="M15" i="49"/>
  <c r="D15" i="49"/>
  <c r="B15" i="50" s="1"/>
  <c r="P14" i="49"/>
  <c r="O14" i="49"/>
  <c r="N14" i="49"/>
  <c r="M14" i="49"/>
  <c r="D14" i="49"/>
  <c r="B14" i="50" s="1"/>
  <c r="P13" i="49"/>
  <c r="O13" i="49"/>
  <c r="N13" i="49"/>
  <c r="M13" i="49"/>
  <c r="D13" i="49"/>
  <c r="B13" i="50" s="1"/>
  <c r="P12" i="49"/>
  <c r="O12" i="49"/>
  <c r="N12" i="49"/>
  <c r="M12" i="49"/>
  <c r="D12" i="49"/>
  <c r="B12" i="50" s="1"/>
  <c r="P11" i="49"/>
  <c r="O11" i="49"/>
  <c r="N11" i="49"/>
  <c r="M11" i="49"/>
  <c r="D11" i="49"/>
  <c r="B11" i="50" s="1"/>
  <c r="P10" i="49"/>
  <c r="O10" i="49"/>
  <c r="N10" i="49"/>
  <c r="M10" i="49"/>
  <c r="D10" i="49"/>
  <c r="B10" i="50" s="1"/>
  <c r="P9" i="49"/>
  <c r="O9" i="49"/>
  <c r="N9" i="49"/>
  <c r="M9" i="49"/>
  <c r="D9" i="49"/>
  <c r="B9" i="50" s="1"/>
  <c r="P8" i="49"/>
  <c r="O8" i="49"/>
  <c r="N8" i="49"/>
  <c r="M8" i="49"/>
  <c r="D8" i="49"/>
  <c r="B8" i="50" s="1"/>
  <c r="P7" i="49"/>
  <c r="O7" i="49"/>
  <c r="N7" i="49"/>
  <c r="M7" i="49"/>
  <c r="D7" i="49"/>
  <c r="B7" i="50" s="1"/>
  <c r="P6" i="49"/>
  <c r="O6" i="49"/>
  <c r="N6" i="49"/>
  <c r="M6" i="49"/>
  <c r="D6" i="49"/>
  <c r="B6" i="50" s="1"/>
  <c r="P5" i="49"/>
  <c r="O5" i="49"/>
  <c r="N5" i="49"/>
  <c r="M5" i="49"/>
  <c r="D5" i="49"/>
  <c r="F820" i="46"/>
  <c r="F819" i="46"/>
  <c r="F818" i="46"/>
  <c r="F817" i="46"/>
  <c r="F816" i="46"/>
  <c r="F815" i="46"/>
  <c r="F814" i="46"/>
  <c r="F813" i="46"/>
  <c r="F812" i="46"/>
  <c r="F811" i="46"/>
  <c r="F810" i="46"/>
  <c r="F809" i="46"/>
  <c r="F808" i="46"/>
  <c r="F807" i="46"/>
  <c r="F806" i="46"/>
  <c r="F805" i="46"/>
  <c r="F804" i="46"/>
  <c r="F803" i="46"/>
  <c r="F802" i="46"/>
  <c r="F801" i="46"/>
  <c r="F800" i="46"/>
  <c r="F799" i="46"/>
  <c r="F798" i="46"/>
  <c r="F797" i="46"/>
  <c r="F796" i="46"/>
  <c r="F795" i="46"/>
  <c r="F794" i="46"/>
  <c r="F793" i="46"/>
  <c r="F792" i="46"/>
  <c r="F791" i="46"/>
  <c r="F790" i="46"/>
  <c r="F789" i="46"/>
  <c r="F788" i="46"/>
  <c r="F787" i="46"/>
  <c r="F786" i="46"/>
  <c r="F785" i="46"/>
  <c r="F784" i="46"/>
  <c r="F783" i="46"/>
  <c r="F782" i="46"/>
  <c r="F781" i="46"/>
  <c r="F780" i="46"/>
  <c r="F779" i="46"/>
  <c r="F778" i="46"/>
  <c r="F777" i="46"/>
  <c r="F776" i="46"/>
  <c r="F775" i="46"/>
  <c r="F774" i="46"/>
  <c r="F773" i="46"/>
  <c r="F772" i="46"/>
  <c r="F771" i="46"/>
  <c r="F770" i="46"/>
  <c r="F769" i="46"/>
  <c r="F768" i="46"/>
  <c r="F767" i="46"/>
  <c r="F766" i="46"/>
  <c r="F765" i="46"/>
  <c r="F764" i="46"/>
  <c r="F763" i="46"/>
  <c r="F762" i="46"/>
  <c r="F761" i="46"/>
  <c r="F760" i="46"/>
  <c r="F759" i="46"/>
  <c r="F758" i="46"/>
  <c r="F757" i="46"/>
  <c r="F756" i="46"/>
  <c r="F755" i="46"/>
  <c r="F754" i="46"/>
  <c r="F753" i="46"/>
  <c r="F752" i="46"/>
  <c r="F751" i="46"/>
  <c r="F750" i="46"/>
  <c r="F749" i="46"/>
  <c r="F748" i="46"/>
  <c r="F747" i="46"/>
  <c r="F746" i="46"/>
  <c r="F745" i="46"/>
  <c r="F744" i="46"/>
  <c r="F743" i="46"/>
  <c r="F742" i="46"/>
  <c r="F741" i="46"/>
  <c r="F740" i="46"/>
  <c r="F739" i="46"/>
  <c r="F738" i="46"/>
  <c r="F737" i="46"/>
  <c r="F736" i="46"/>
  <c r="F735" i="46"/>
  <c r="F734" i="46"/>
  <c r="F733" i="46"/>
  <c r="F732" i="46"/>
  <c r="F731" i="46"/>
  <c r="F730" i="46"/>
  <c r="F729" i="46"/>
  <c r="F728" i="46"/>
  <c r="F727" i="46"/>
  <c r="F726" i="46"/>
  <c r="F725" i="46"/>
  <c r="F724" i="46"/>
  <c r="F723" i="46"/>
  <c r="F722" i="46"/>
  <c r="F721" i="46"/>
  <c r="F720" i="46"/>
  <c r="F719" i="46"/>
  <c r="F718" i="46"/>
  <c r="F717" i="46"/>
  <c r="F716" i="46"/>
  <c r="F715" i="46"/>
  <c r="F714" i="46"/>
  <c r="F713" i="46"/>
  <c r="F712" i="46"/>
  <c r="F711" i="46"/>
  <c r="F710" i="46"/>
  <c r="F709" i="46"/>
  <c r="F708" i="46"/>
  <c r="F707" i="46"/>
  <c r="F706" i="46"/>
  <c r="F705" i="46"/>
  <c r="F704" i="46"/>
  <c r="F703" i="46"/>
  <c r="F702" i="46"/>
  <c r="F701" i="46"/>
  <c r="F700" i="46"/>
  <c r="F699" i="46"/>
  <c r="F698" i="46"/>
  <c r="F697" i="46"/>
  <c r="F696" i="46"/>
  <c r="F695" i="46"/>
  <c r="F694" i="46"/>
  <c r="F693" i="46"/>
  <c r="F692" i="46"/>
  <c r="F691" i="46"/>
  <c r="F690" i="46"/>
  <c r="F689" i="46"/>
  <c r="F688" i="46"/>
  <c r="F687" i="46"/>
  <c r="F686" i="46"/>
  <c r="F685" i="46"/>
  <c r="F684" i="46"/>
  <c r="F683" i="46"/>
  <c r="F682" i="46"/>
  <c r="F681" i="46"/>
  <c r="F680" i="46"/>
  <c r="F679" i="46"/>
  <c r="F678" i="46"/>
  <c r="F677" i="46"/>
  <c r="F676" i="46"/>
  <c r="F675" i="46"/>
  <c r="F674" i="46"/>
  <c r="F673" i="46"/>
  <c r="F672" i="46"/>
  <c r="F671" i="46"/>
  <c r="F670" i="46"/>
  <c r="F669" i="46"/>
  <c r="F668" i="46"/>
  <c r="F667" i="46"/>
  <c r="F666" i="46"/>
  <c r="F665" i="46"/>
  <c r="F664" i="46"/>
  <c r="F663" i="46"/>
  <c r="F662" i="46"/>
  <c r="F661" i="46"/>
  <c r="F660" i="46"/>
  <c r="F659" i="46"/>
  <c r="F658" i="46"/>
  <c r="F657" i="46"/>
  <c r="F656" i="46"/>
  <c r="F655" i="46"/>
  <c r="F654" i="46"/>
  <c r="F653" i="46"/>
  <c r="F652" i="46"/>
  <c r="F651" i="46"/>
  <c r="F650" i="46"/>
  <c r="F649" i="46"/>
  <c r="F648" i="46"/>
  <c r="F647" i="46"/>
  <c r="F646" i="46"/>
  <c r="F645" i="46"/>
  <c r="F644" i="46"/>
  <c r="F643" i="46"/>
  <c r="F642" i="46"/>
  <c r="F641" i="46"/>
  <c r="F640" i="46"/>
  <c r="F639" i="46"/>
  <c r="F638" i="46"/>
  <c r="F637" i="46"/>
  <c r="F636" i="46"/>
  <c r="F635" i="46"/>
  <c r="F634" i="46"/>
  <c r="F633" i="46"/>
  <c r="F632" i="46"/>
  <c r="F631" i="46"/>
  <c r="F630" i="46"/>
  <c r="F629" i="46"/>
  <c r="G628" i="46"/>
  <c r="F628" i="46"/>
  <c r="F627" i="46"/>
  <c r="F626" i="46"/>
  <c r="F625" i="46"/>
  <c r="F624" i="46"/>
  <c r="F623" i="46"/>
  <c r="F622" i="46"/>
  <c r="F621" i="46"/>
  <c r="F620" i="46"/>
  <c r="F619" i="46"/>
  <c r="F618" i="46"/>
  <c r="F617" i="46"/>
  <c r="F616" i="46"/>
  <c r="F615" i="46"/>
  <c r="F614" i="46"/>
  <c r="F613" i="46"/>
  <c r="F612" i="46"/>
  <c r="F611" i="46"/>
  <c r="F610" i="46"/>
  <c r="F609" i="46"/>
  <c r="F608" i="46"/>
  <c r="F607" i="46"/>
  <c r="F606" i="46"/>
  <c r="F605" i="46"/>
  <c r="F604" i="46"/>
  <c r="F603" i="46"/>
  <c r="F602" i="46"/>
  <c r="F601" i="46"/>
  <c r="F600" i="46"/>
  <c r="F599" i="46"/>
  <c r="F598" i="46"/>
  <c r="F597" i="46"/>
  <c r="G596" i="46"/>
  <c r="F596" i="46"/>
  <c r="F595" i="46"/>
  <c r="F594" i="46"/>
  <c r="F593" i="46"/>
  <c r="G592" i="46"/>
  <c r="F592" i="46"/>
  <c r="F591" i="46"/>
  <c r="F590" i="46"/>
  <c r="F589" i="46"/>
  <c r="F588" i="46"/>
  <c r="F587" i="46"/>
  <c r="F586" i="46"/>
  <c r="F585" i="46"/>
  <c r="F584" i="46"/>
  <c r="F583" i="46"/>
  <c r="F582" i="46"/>
  <c r="F581" i="46"/>
  <c r="F580" i="46"/>
  <c r="F579" i="46"/>
  <c r="F578" i="46"/>
  <c r="F577" i="46"/>
  <c r="F576" i="46"/>
  <c r="F575" i="46"/>
  <c r="F574" i="46"/>
  <c r="F573" i="46"/>
  <c r="F572" i="46"/>
  <c r="F571" i="46"/>
  <c r="F570" i="46"/>
  <c r="F569" i="46"/>
  <c r="F568" i="46"/>
  <c r="F567" i="46"/>
  <c r="F566" i="46"/>
  <c r="F565" i="46"/>
  <c r="F564" i="46"/>
  <c r="F563" i="46"/>
  <c r="F562" i="46"/>
  <c r="F561" i="46"/>
  <c r="F560" i="46"/>
  <c r="F559" i="46"/>
  <c r="F558" i="46"/>
  <c r="F557" i="46"/>
  <c r="F556" i="46"/>
  <c r="F555" i="46"/>
  <c r="F554" i="46"/>
  <c r="F553" i="46"/>
  <c r="F552" i="46"/>
  <c r="F551" i="46"/>
  <c r="F550" i="46"/>
  <c r="F549" i="46"/>
  <c r="F548" i="46"/>
  <c r="F547" i="46"/>
  <c r="F546" i="46"/>
  <c r="F545" i="46"/>
  <c r="F544" i="46"/>
  <c r="F543" i="46"/>
  <c r="F542" i="46"/>
  <c r="F541" i="46"/>
  <c r="F540" i="46"/>
  <c r="F539" i="46"/>
  <c r="F538" i="46"/>
  <c r="F537" i="46"/>
  <c r="F536" i="46"/>
  <c r="F535" i="46"/>
  <c r="F534" i="46"/>
  <c r="F533" i="46"/>
  <c r="F532" i="46"/>
  <c r="F531" i="46"/>
  <c r="F530" i="46"/>
  <c r="F529" i="46"/>
  <c r="F528" i="46"/>
  <c r="F527" i="46"/>
  <c r="F526" i="46"/>
  <c r="F525" i="46"/>
  <c r="F524" i="46"/>
  <c r="F523" i="46"/>
  <c r="F522" i="46"/>
  <c r="F521" i="46"/>
  <c r="F520" i="46"/>
  <c r="F519" i="46"/>
  <c r="F518" i="46"/>
  <c r="F517" i="46"/>
  <c r="F516" i="46"/>
  <c r="F515" i="46"/>
  <c r="F514" i="46"/>
  <c r="F513" i="46"/>
  <c r="F512" i="46"/>
  <c r="F511" i="46"/>
  <c r="F510" i="46"/>
  <c r="F509" i="46"/>
  <c r="F508" i="46"/>
  <c r="F507" i="46"/>
  <c r="F506" i="46"/>
  <c r="F505" i="46"/>
  <c r="F504" i="46"/>
  <c r="F503" i="46"/>
  <c r="F502" i="46"/>
  <c r="F501" i="46"/>
  <c r="F500" i="46"/>
  <c r="F499" i="46"/>
  <c r="F498" i="46"/>
  <c r="F497" i="46"/>
  <c r="F496" i="46"/>
  <c r="F495" i="46"/>
  <c r="F494" i="46"/>
  <c r="F493" i="46"/>
  <c r="F492" i="46"/>
  <c r="F491" i="46"/>
  <c r="F490" i="46"/>
  <c r="F489" i="46"/>
  <c r="F488" i="46"/>
  <c r="F487" i="46"/>
  <c r="F486" i="46"/>
  <c r="F485" i="46"/>
  <c r="F484" i="46"/>
  <c r="F483" i="46"/>
  <c r="F482" i="46"/>
  <c r="F481" i="46"/>
  <c r="F480" i="46"/>
  <c r="F479" i="46"/>
  <c r="F478" i="46"/>
  <c r="F477" i="46"/>
  <c r="F476" i="46"/>
  <c r="F475" i="46"/>
  <c r="F474" i="46"/>
  <c r="F473" i="46"/>
  <c r="F472" i="46"/>
  <c r="F471" i="46"/>
  <c r="F470" i="46"/>
  <c r="F469" i="46"/>
  <c r="F468" i="46"/>
  <c r="F467" i="46"/>
  <c r="F466" i="46"/>
  <c r="F465" i="46"/>
  <c r="F464" i="46"/>
  <c r="F463" i="46"/>
  <c r="F462" i="46"/>
  <c r="F461" i="46"/>
  <c r="F460" i="46"/>
  <c r="F459" i="46"/>
  <c r="F458" i="46"/>
  <c r="F457" i="46"/>
  <c r="F456" i="46"/>
  <c r="F455" i="46"/>
  <c r="F454" i="46"/>
  <c r="F453" i="46"/>
  <c r="F452" i="46"/>
  <c r="F451" i="46"/>
  <c r="F450" i="46"/>
  <c r="F449" i="46"/>
  <c r="F448" i="46"/>
  <c r="F447" i="46"/>
  <c r="F446" i="46"/>
  <c r="F445" i="46"/>
  <c r="F444" i="46"/>
  <c r="F443" i="46"/>
  <c r="F442" i="46"/>
  <c r="F441" i="46"/>
  <c r="F440" i="46"/>
  <c r="F439" i="46"/>
  <c r="F438" i="46"/>
  <c r="F437" i="46"/>
  <c r="F436" i="46"/>
  <c r="F435" i="46"/>
  <c r="F434" i="46"/>
  <c r="F433" i="46"/>
  <c r="F432" i="46"/>
  <c r="F431" i="46"/>
  <c r="F430" i="46"/>
  <c r="F429" i="46"/>
  <c r="F428" i="46"/>
  <c r="F427" i="46"/>
  <c r="F426" i="46"/>
  <c r="F425" i="46"/>
  <c r="F424" i="46"/>
  <c r="F423" i="46"/>
  <c r="F422" i="46"/>
  <c r="F421" i="46"/>
  <c r="F420" i="46"/>
  <c r="F419" i="46"/>
  <c r="F418" i="46"/>
  <c r="F417" i="46"/>
  <c r="F416" i="46"/>
  <c r="F415" i="46"/>
  <c r="F414" i="46"/>
  <c r="F413" i="46"/>
  <c r="F412" i="46"/>
  <c r="F411" i="46"/>
  <c r="F410" i="46"/>
  <c r="G409" i="46"/>
  <c r="F409" i="46"/>
  <c r="F408" i="46"/>
  <c r="F407" i="46"/>
  <c r="F406" i="46"/>
  <c r="F405" i="46"/>
  <c r="F404" i="46"/>
  <c r="F403" i="46"/>
  <c r="F402" i="46"/>
  <c r="F401" i="46"/>
  <c r="F400" i="46"/>
  <c r="G399" i="46"/>
  <c r="F399" i="46"/>
  <c r="F398" i="46"/>
  <c r="F397" i="46"/>
  <c r="F396" i="46"/>
  <c r="F395" i="46"/>
  <c r="F394" i="46"/>
  <c r="F393" i="46"/>
  <c r="F392" i="46"/>
  <c r="F391" i="46"/>
  <c r="F390" i="46"/>
  <c r="F389" i="46"/>
  <c r="F388" i="46"/>
  <c r="F387" i="46"/>
  <c r="F386" i="46"/>
  <c r="F385" i="46"/>
  <c r="F384" i="46"/>
  <c r="F383" i="46"/>
  <c r="F382" i="46"/>
  <c r="F381" i="46"/>
  <c r="F380" i="46"/>
  <c r="F379" i="46"/>
  <c r="F378" i="46"/>
  <c r="F377" i="46"/>
  <c r="F376" i="46"/>
  <c r="F375" i="46"/>
  <c r="F374" i="46"/>
  <c r="F373" i="46"/>
  <c r="F372" i="46"/>
  <c r="F371" i="46"/>
  <c r="F370" i="46"/>
  <c r="F369" i="46"/>
  <c r="F368" i="46"/>
  <c r="F367" i="46"/>
  <c r="F366" i="46"/>
  <c r="F365" i="46"/>
  <c r="F364" i="46"/>
  <c r="F363" i="46"/>
  <c r="F362" i="46"/>
  <c r="F361" i="46"/>
  <c r="F360" i="46"/>
  <c r="F359" i="46"/>
  <c r="F358" i="46"/>
  <c r="F357" i="46"/>
  <c r="F356" i="46"/>
  <c r="F355" i="46"/>
  <c r="F354" i="46"/>
  <c r="F353" i="46"/>
  <c r="F352" i="46"/>
  <c r="F351" i="46"/>
  <c r="F350" i="46"/>
  <c r="F349" i="46"/>
  <c r="F348" i="46"/>
  <c r="F347" i="46"/>
  <c r="F346" i="46"/>
  <c r="F345" i="46"/>
  <c r="F344" i="46"/>
  <c r="F343" i="46"/>
  <c r="F342" i="46"/>
  <c r="F341" i="46"/>
  <c r="G340" i="46"/>
  <c r="F340" i="46"/>
  <c r="F339" i="46"/>
  <c r="F338" i="46"/>
  <c r="F337" i="46"/>
  <c r="F336" i="46"/>
  <c r="F335" i="46"/>
  <c r="F334" i="46"/>
  <c r="F333" i="46"/>
  <c r="F332" i="46"/>
  <c r="F331" i="46"/>
  <c r="F330" i="46"/>
  <c r="F329" i="46"/>
  <c r="F328" i="46"/>
  <c r="F327" i="46"/>
  <c r="G326" i="46"/>
  <c r="F326" i="46"/>
  <c r="F325" i="46"/>
  <c r="F324" i="46"/>
  <c r="F323" i="46"/>
  <c r="F322" i="46"/>
  <c r="F321" i="46"/>
  <c r="F320" i="46"/>
  <c r="F319" i="46"/>
  <c r="F318" i="46"/>
  <c r="F317" i="46"/>
  <c r="F316" i="46"/>
  <c r="F315" i="46"/>
  <c r="F314" i="46"/>
  <c r="F313" i="46"/>
  <c r="F312" i="46"/>
  <c r="F311" i="46"/>
  <c r="F310" i="46"/>
  <c r="F309" i="46"/>
  <c r="F308" i="46"/>
  <c r="F307" i="46"/>
  <c r="F306" i="46"/>
  <c r="F305" i="46"/>
  <c r="F304" i="46"/>
  <c r="F303" i="46"/>
  <c r="F302" i="46"/>
  <c r="F301" i="46"/>
  <c r="F300" i="46"/>
  <c r="F299" i="46"/>
  <c r="F298" i="46"/>
  <c r="F297" i="46"/>
  <c r="F296" i="46"/>
  <c r="G295" i="46"/>
  <c r="F295" i="46"/>
  <c r="F294" i="46"/>
  <c r="F293" i="46"/>
  <c r="F292" i="46"/>
  <c r="F291" i="46"/>
  <c r="F290" i="46"/>
  <c r="F289" i="46"/>
  <c r="F288" i="46"/>
  <c r="F287" i="46"/>
  <c r="F286" i="46"/>
  <c r="F285" i="46"/>
  <c r="F284" i="46"/>
  <c r="F283" i="46"/>
  <c r="F282" i="46"/>
  <c r="F281" i="46"/>
  <c r="F280" i="46"/>
  <c r="F279" i="46"/>
  <c r="F278" i="46"/>
  <c r="F277" i="46"/>
  <c r="F276" i="46"/>
  <c r="F275" i="46"/>
  <c r="F274" i="46"/>
  <c r="F273" i="46"/>
  <c r="F272" i="46"/>
  <c r="F271" i="46"/>
  <c r="F270" i="46"/>
  <c r="F269" i="46"/>
  <c r="F268" i="46"/>
  <c r="F267" i="46"/>
  <c r="F266" i="46"/>
  <c r="F265" i="46"/>
  <c r="F264" i="46"/>
  <c r="F263" i="46"/>
  <c r="F262" i="46"/>
  <c r="F261" i="46"/>
  <c r="F260" i="46"/>
  <c r="F259" i="46"/>
  <c r="F258" i="46"/>
  <c r="F257" i="46"/>
  <c r="F256" i="46"/>
  <c r="F255" i="46"/>
  <c r="G254" i="46"/>
  <c r="F254" i="46"/>
  <c r="F253" i="46"/>
  <c r="F252" i="46"/>
  <c r="F251" i="46"/>
  <c r="F250" i="46"/>
  <c r="F249" i="46"/>
  <c r="F248" i="46"/>
  <c r="F247" i="46"/>
  <c r="F246" i="46"/>
  <c r="F245" i="46"/>
  <c r="F244" i="46"/>
  <c r="F243" i="46"/>
  <c r="F242" i="46"/>
  <c r="F241" i="46"/>
  <c r="F240" i="46"/>
  <c r="F239" i="46"/>
  <c r="F238" i="46"/>
  <c r="F237" i="46"/>
  <c r="F236" i="46"/>
  <c r="F235" i="46"/>
  <c r="F234" i="46"/>
  <c r="F233" i="46"/>
  <c r="F232" i="46"/>
  <c r="F231" i="46"/>
  <c r="F230" i="46"/>
  <c r="F229" i="46"/>
  <c r="F228" i="46"/>
  <c r="F227" i="46"/>
  <c r="F226" i="46"/>
  <c r="F225" i="46"/>
  <c r="F224" i="46"/>
  <c r="F223" i="46"/>
  <c r="F222" i="46"/>
  <c r="F221" i="46"/>
  <c r="F220" i="46"/>
  <c r="F219" i="46"/>
  <c r="F218" i="46"/>
  <c r="F217" i="46"/>
  <c r="F216" i="46"/>
  <c r="F215" i="46"/>
  <c r="F214" i="46"/>
  <c r="F213" i="46"/>
  <c r="F212" i="46"/>
  <c r="F211" i="46"/>
  <c r="F210" i="46"/>
  <c r="F209" i="46"/>
  <c r="F208" i="46"/>
  <c r="F207" i="46"/>
  <c r="F206" i="46"/>
  <c r="F205" i="46"/>
  <c r="F204" i="46"/>
  <c r="F203" i="46"/>
  <c r="F202" i="46"/>
  <c r="F201" i="46"/>
  <c r="F200" i="46"/>
  <c r="F199" i="46"/>
  <c r="F198" i="46"/>
  <c r="F197" i="46"/>
  <c r="F196" i="46"/>
  <c r="F195" i="46"/>
  <c r="F194" i="46"/>
  <c r="F193" i="46"/>
  <c r="F192" i="46"/>
  <c r="F191" i="46"/>
  <c r="F190" i="46"/>
  <c r="F189" i="46"/>
  <c r="F188" i="46"/>
  <c r="F187" i="46"/>
  <c r="F186" i="46"/>
  <c r="F185" i="46"/>
  <c r="F184" i="46"/>
  <c r="F183" i="46"/>
  <c r="F182" i="46"/>
  <c r="F181" i="46"/>
  <c r="F180" i="46"/>
  <c r="F179" i="46"/>
  <c r="F178" i="46"/>
  <c r="F177" i="46"/>
  <c r="F176" i="46"/>
  <c r="F175" i="46"/>
  <c r="F174" i="46"/>
  <c r="F173" i="46"/>
  <c r="F172" i="46"/>
  <c r="G171" i="46"/>
  <c r="F171" i="46"/>
  <c r="F170" i="46"/>
  <c r="F169" i="46"/>
  <c r="F168" i="46"/>
  <c r="F167" i="46"/>
  <c r="F166" i="46"/>
  <c r="F165" i="46"/>
  <c r="F164" i="46"/>
  <c r="F163" i="46"/>
  <c r="F162"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9" i="46"/>
  <c r="F128"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G79" i="46"/>
  <c r="F79" i="46"/>
  <c r="F78" i="46"/>
  <c r="F77" i="46"/>
  <c r="F76" i="46"/>
  <c r="F75" i="46"/>
  <c r="F74" i="46"/>
  <c r="F73" i="46"/>
  <c r="F72" i="46"/>
  <c r="F71" i="46"/>
  <c r="F70" i="46"/>
  <c r="F69" i="46"/>
  <c r="F68" i="46"/>
  <c r="F67" i="46"/>
  <c r="F66" i="46"/>
  <c r="F65" i="46"/>
  <c r="F64" i="46"/>
  <c r="F63" i="46"/>
  <c r="F62" i="46"/>
  <c r="F61" i="46"/>
  <c r="F60" i="46"/>
  <c r="F59" i="46"/>
  <c r="F58" i="46"/>
  <c r="F57" i="46"/>
  <c r="F56" i="46"/>
  <c r="F55" i="46"/>
  <c r="F54" i="46"/>
  <c r="F53" i="46"/>
  <c r="F52" i="46"/>
  <c r="F51" i="46"/>
  <c r="F50" i="46"/>
  <c r="F49" i="46"/>
  <c r="F48" i="46"/>
  <c r="F47" i="46"/>
  <c r="F46" i="46"/>
  <c r="F45" i="46"/>
  <c r="G44" i="46"/>
  <c r="F44" i="46"/>
  <c r="F43" i="46"/>
  <c r="F42" i="46"/>
  <c r="F41" i="46"/>
  <c r="G40" i="46"/>
  <c r="F40" i="46"/>
  <c r="F39" i="46"/>
  <c r="F38" i="46"/>
  <c r="F37" i="46"/>
  <c r="F36" i="46"/>
  <c r="F35" i="46"/>
  <c r="F34" i="46"/>
  <c r="F33" i="46"/>
  <c r="F32" i="46"/>
  <c r="F31" i="46"/>
  <c r="F30" i="46"/>
  <c r="F29" i="46"/>
  <c r="F28" i="46"/>
  <c r="F27" i="46"/>
  <c r="F26" i="46"/>
  <c r="F25" i="46"/>
  <c r="F24" i="46"/>
  <c r="F23" i="46"/>
  <c r="F22" i="46"/>
  <c r="F21" i="46"/>
  <c r="F20" i="46"/>
  <c r="F19" i="46"/>
  <c r="F18" i="46"/>
  <c r="F17" i="46"/>
  <c r="F16" i="46"/>
  <c r="F15" i="46"/>
  <c r="F14" i="46"/>
  <c r="F13" i="46"/>
  <c r="F12" i="46"/>
  <c r="F11" i="46"/>
  <c r="F10" i="46"/>
  <c r="F9" i="46"/>
  <c r="F8" i="46"/>
  <c r="F7" i="46"/>
  <c r="F6" i="46"/>
  <c r="F5" i="46"/>
  <c r="Z24" i="39"/>
  <c r="B24" i="39"/>
  <c r="B54" i="1" s="1"/>
  <c r="A24" i="39"/>
  <c r="Z23" i="39"/>
  <c r="G23" i="39"/>
  <c r="F23" i="39"/>
  <c r="D23" i="39"/>
  <c r="B23" i="39"/>
  <c r="B53" i="1" s="1"/>
  <c r="A23" i="39"/>
  <c r="E23" i="39" s="1"/>
  <c r="Z22" i="39"/>
  <c r="E22" i="39"/>
  <c r="D22" i="39"/>
  <c r="B22" i="39"/>
  <c r="B52" i="1" s="1"/>
  <c r="A22" i="39"/>
  <c r="G22" i="39" s="1"/>
  <c r="Z21" i="39"/>
  <c r="E21" i="39"/>
  <c r="B21" i="39"/>
  <c r="B51" i="1" s="1"/>
  <c r="A21" i="39"/>
  <c r="G21" i="39" s="1"/>
  <c r="Z20" i="39"/>
  <c r="B20" i="39"/>
  <c r="B50" i="1" s="1"/>
  <c r="A20" i="39"/>
  <c r="D20" i="39" s="1"/>
  <c r="Z19" i="39"/>
  <c r="G19" i="39"/>
  <c r="F19" i="39"/>
  <c r="D19" i="39"/>
  <c r="B19" i="39"/>
  <c r="B49" i="1" s="1"/>
  <c r="A19" i="39"/>
  <c r="E19" i="39" s="1"/>
  <c r="Z18" i="39"/>
  <c r="W18" i="39"/>
  <c r="G18" i="39"/>
  <c r="F18" i="39"/>
  <c r="E18" i="39"/>
  <c r="B18" i="39"/>
  <c r="B48" i="1" s="1"/>
  <c r="A18" i="39"/>
  <c r="D18" i="39" s="1"/>
  <c r="Z17" i="39"/>
  <c r="G17" i="39"/>
  <c r="B17" i="39"/>
  <c r="B47" i="1" s="1"/>
  <c r="A17" i="39"/>
  <c r="E17" i="39" s="1"/>
  <c r="Z16" i="39"/>
  <c r="B16" i="39"/>
  <c r="B46" i="1" s="1"/>
  <c r="A16" i="39"/>
  <c r="Z15" i="39"/>
  <c r="F15" i="39"/>
  <c r="B15" i="39"/>
  <c r="B45" i="1" s="1"/>
  <c r="A15" i="39"/>
  <c r="G15" i="39" s="1"/>
  <c r="Z14" i="39"/>
  <c r="G14" i="39"/>
  <c r="E14" i="39"/>
  <c r="D14" i="39"/>
  <c r="B14" i="39"/>
  <c r="B44" i="1" s="1"/>
  <c r="A14" i="39"/>
  <c r="F14" i="39" s="1"/>
  <c r="Z13" i="39"/>
  <c r="B13" i="39"/>
  <c r="B43" i="1" s="1"/>
  <c r="A13" i="39"/>
  <c r="G13" i="39" s="1"/>
  <c r="Z12" i="39"/>
  <c r="B12" i="39"/>
  <c r="B42" i="1" s="1"/>
  <c r="A12" i="39"/>
  <c r="Z11" i="39"/>
  <c r="G11" i="39"/>
  <c r="F11" i="39"/>
  <c r="E11" i="39"/>
  <c r="D11" i="39"/>
  <c r="B11" i="39"/>
  <c r="B41" i="1" s="1"/>
  <c r="A11" i="39"/>
  <c r="Z10" i="39"/>
  <c r="B10" i="39"/>
  <c r="B40" i="1" s="1"/>
  <c r="A10" i="39"/>
  <c r="G10" i="39" s="1"/>
  <c r="Z9" i="39"/>
  <c r="B9" i="39"/>
  <c r="B39" i="1" s="1"/>
  <c r="A9" i="39"/>
  <c r="Z8" i="39"/>
  <c r="B8" i="39"/>
  <c r="B38" i="1" s="1"/>
  <c r="A8" i="39"/>
  <c r="D8" i="39" s="1"/>
  <c r="D5" i="39"/>
  <c r="C5" i="39"/>
  <c r="B5" i="39"/>
  <c r="A20" i="40"/>
  <c r="A19" i="40"/>
  <c r="C17" i="40"/>
  <c r="A17" i="40"/>
  <c r="A15" i="40"/>
  <c r="C11" i="40"/>
  <c r="A8" i="40"/>
  <c r="E21" i="38"/>
  <c r="C21" i="40" s="1"/>
  <c r="A21" i="38"/>
  <c r="A21" i="40" s="1"/>
  <c r="E20" i="38"/>
  <c r="C20" i="40" s="1"/>
  <c r="A20" i="38"/>
  <c r="I20" i="38" s="1"/>
  <c r="K19" i="38"/>
  <c r="J19" i="38"/>
  <c r="E19" i="38"/>
  <c r="C19" i="40" s="1"/>
  <c r="A19" i="38"/>
  <c r="L19" i="38" s="1"/>
  <c r="D19" i="40" s="1"/>
  <c r="E18" i="38"/>
  <c r="C18" i="40" s="1"/>
  <c r="A18" i="38"/>
  <c r="K17" i="38"/>
  <c r="I17" i="38"/>
  <c r="E17" i="38"/>
  <c r="A17" i="38"/>
  <c r="L16" i="38"/>
  <c r="D16" i="40" s="1"/>
  <c r="J16" i="38"/>
  <c r="E16" i="38"/>
  <c r="A16" i="38"/>
  <c r="A16" i="40" s="1"/>
  <c r="L15" i="38"/>
  <c r="D15" i="40" s="1"/>
  <c r="J15" i="38"/>
  <c r="E15" i="38"/>
  <c r="A15" i="38"/>
  <c r="L14" i="38"/>
  <c r="D14" i="40" s="1"/>
  <c r="E14" i="38"/>
  <c r="C14" i="40" s="1"/>
  <c r="A14" i="38"/>
  <c r="A14" i="40" s="1"/>
  <c r="L13" i="38"/>
  <c r="D13" i="40" s="1"/>
  <c r="E13" i="38"/>
  <c r="C13" i="40" s="1"/>
  <c r="A13" i="38"/>
  <c r="C2692" i="49" s="1"/>
  <c r="L12" i="38"/>
  <c r="D12" i="40" s="1"/>
  <c r="J12" i="38"/>
  <c r="E12" i="38"/>
  <c r="C12" i="40" s="1"/>
  <c r="A12" i="38"/>
  <c r="C2544" i="49" s="1"/>
  <c r="J11" i="38"/>
  <c r="I11" i="38"/>
  <c r="E11" i="38"/>
  <c r="A11" i="38"/>
  <c r="A11" i="40" s="1"/>
  <c r="K10" i="38"/>
  <c r="J10" i="38"/>
  <c r="E10" i="38"/>
  <c r="A10" i="38"/>
  <c r="C1779" i="49" s="1"/>
  <c r="K9" i="38"/>
  <c r="E9" i="38"/>
  <c r="G223" i="46" s="1"/>
  <c r="A9" i="38"/>
  <c r="C1465" i="49" s="1"/>
  <c r="E8" i="38"/>
  <c r="A8" i="38"/>
  <c r="C1356" i="49" s="1"/>
  <c r="L7" i="38"/>
  <c r="D7" i="40" s="1"/>
  <c r="K7" i="38"/>
  <c r="J7" i="38"/>
  <c r="E7" i="38"/>
  <c r="A7" i="38"/>
  <c r="C1031" i="49" s="1"/>
  <c r="J6" i="38"/>
  <c r="E6" i="38"/>
  <c r="A6" i="38"/>
  <c r="C635" i="49" s="1"/>
  <c r="J5" i="38"/>
  <c r="I5" i="38"/>
  <c r="E5" i="38"/>
  <c r="G31" i="46" s="1"/>
  <c r="A5" i="38"/>
  <c r="C563" i="49" s="1"/>
  <c r="C85" i="31"/>
  <c r="C79" i="31"/>
  <c r="E72" i="31"/>
  <c r="C72" i="31"/>
  <c r="F17" i="31"/>
  <c r="E17" i="31"/>
  <c r="F12" i="31"/>
  <c r="F72" i="31" s="1"/>
  <c r="F9" i="31"/>
  <c r="E9" i="31"/>
  <c r="E43" i="31" s="1"/>
  <c r="F8" i="31"/>
  <c r="E8" i="31"/>
  <c r="G7" i="31"/>
  <c r="F7" i="31"/>
  <c r="E7" i="31"/>
  <c r="F6" i="31"/>
  <c r="E31" i="31" s="1"/>
  <c r="E6" i="31"/>
  <c r="E34" i="31" s="1"/>
  <c r="F5" i="31"/>
  <c r="E5" i="31"/>
  <c r="E16" i="31" s="1"/>
  <c r="C5" i="31"/>
  <c r="J3" i="31"/>
  <c r="G3" i="31"/>
  <c r="F3" i="31"/>
  <c r="E3" i="31"/>
  <c r="J2" i="31"/>
  <c r="G2" i="31"/>
  <c r="C6" i="31" s="1"/>
  <c r="E1" i="31"/>
  <c r="E80" i="30"/>
  <c r="E79" i="30"/>
  <c r="E72" i="30"/>
  <c r="F12" i="30"/>
  <c r="G12" i="30" s="1"/>
  <c r="F9" i="30"/>
  <c r="E9" i="30"/>
  <c r="E43" i="30" s="1"/>
  <c r="F8" i="30"/>
  <c r="E8" i="30"/>
  <c r="G7" i="30"/>
  <c r="F7" i="30"/>
  <c r="C72" i="30" s="1"/>
  <c r="E7" i="30"/>
  <c r="F6" i="30"/>
  <c r="E6" i="30"/>
  <c r="E29" i="30" s="1"/>
  <c r="C6" i="30"/>
  <c r="F5" i="30"/>
  <c r="E5" i="30"/>
  <c r="C5" i="30"/>
  <c r="G3" i="30"/>
  <c r="F3" i="30"/>
  <c r="E3" i="30"/>
  <c r="G2" i="30"/>
  <c r="F2" i="30"/>
  <c r="E30" i="30" s="1"/>
  <c r="E1" i="30"/>
  <c r="E85" i="29"/>
  <c r="E82" i="29"/>
  <c r="E72" i="29"/>
  <c r="E80" i="29" s="1"/>
  <c r="C72" i="29"/>
  <c r="E37" i="29"/>
  <c r="E33" i="29"/>
  <c r="E31" i="29"/>
  <c r="E30" i="29"/>
  <c r="E29" i="29"/>
  <c r="E28" i="29"/>
  <c r="E27" i="29"/>
  <c r="F17" i="29"/>
  <c r="F12" i="29"/>
  <c r="F72" i="29" s="1"/>
  <c r="F9" i="29"/>
  <c r="E9" i="29"/>
  <c r="E43" i="29" s="1"/>
  <c r="F8" i="29"/>
  <c r="E8" i="29"/>
  <c r="G7" i="29"/>
  <c r="F7" i="29"/>
  <c r="E7" i="29"/>
  <c r="F6" i="29"/>
  <c r="E35" i="29" s="1"/>
  <c r="E6" i="29"/>
  <c r="F5" i="29"/>
  <c r="E17" i="29" s="1"/>
  <c r="E5" i="29"/>
  <c r="E14" i="29" s="1"/>
  <c r="C5" i="29"/>
  <c r="J3" i="29"/>
  <c r="G3" i="29"/>
  <c r="F3" i="29"/>
  <c r="E3" i="29"/>
  <c r="G2" i="29"/>
  <c r="C6" i="29" s="1"/>
  <c r="F2" i="29"/>
  <c r="E38" i="29" s="1"/>
  <c r="E1" i="29"/>
  <c r="E79" i="28"/>
  <c r="F72" i="28"/>
  <c r="F80" i="28" s="1"/>
  <c r="E72" i="28"/>
  <c r="E85" i="28" s="1"/>
  <c r="F34" i="28"/>
  <c r="F12" i="28"/>
  <c r="F17" i="28" s="1"/>
  <c r="F9" i="28"/>
  <c r="E44" i="28" s="1"/>
  <c r="E9" i="28"/>
  <c r="E43" i="28" s="1"/>
  <c r="F8" i="28"/>
  <c r="E8" i="28"/>
  <c r="G7" i="28"/>
  <c r="F7" i="28"/>
  <c r="C72" i="28" s="1"/>
  <c r="E7" i="28"/>
  <c r="F6" i="28"/>
  <c r="E6" i="28"/>
  <c r="E28" i="28" s="1"/>
  <c r="F5" i="28"/>
  <c r="E5" i="28"/>
  <c r="G3" i="28"/>
  <c r="F3" i="28"/>
  <c r="E3" i="28"/>
  <c r="J2" i="28"/>
  <c r="G2" i="28"/>
  <c r="C5" i="28" s="1"/>
  <c r="F2" i="28"/>
  <c r="E35" i="28" s="1"/>
  <c r="E1" i="28"/>
  <c r="C79" i="27"/>
  <c r="E72" i="27"/>
  <c r="F12" i="27"/>
  <c r="F15" i="27" s="1"/>
  <c r="F9" i="27"/>
  <c r="E9" i="27"/>
  <c r="E43" i="27" s="1"/>
  <c r="F8" i="27"/>
  <c r="E8" i="27"/>
  <c r="G7" i="27"/>
  <c r="F7" i="27"/>
  <c r="C72" i="27" s="1"/>
  <c r="E7" i="27"/>
  <c r="F6" i="27"/>
  <c r="E6" i="27"/>
  <c r="F5" i="27"/>
  <c r="E5" i="27"/>
  <c r="J3" i="27"/>
  <c r="G3" i="27"/>
  <c r="F3" i="27"/>
  <c r="E3" i="27"/>
  <c r="G2" i="27"/>
  <c r="F2" i="27"/>
  <c r="C85" i="27" s="1"/>
  <c r="E1" i="27"/>
  <c r="E82" i="26"/>
  <c r="F72" i="26"/>
  <c r="E72" i="26"/>
  <c r="E37" i="26"/>
  <c r="G12" i="26"/>
  <c r="G38" i="26" s="1"/>
  <c r="F12" i="26"/>
  <c r="F37" i="26" s="1"/>
  <c r="F9" i="26"/>
  <c r="E9" i="26"/>
  <c r="E43" i="26" s="1"/>
  <c r="F44" i="26" s="1"/>
  <c r="F8" i="26"/>
  <c r="E8" i="26"/>
  <c r="G7" i="26"/>
  <c r="F7" i="26"/>
  <c r="C72" i="26" s="1"/>
  <c r="E7" i="26"/>
  <c r="F6" i="26"/>
  <c r="E6" i="26"/>
  <c r="F5" i="26"/>
  <c r="E5" i="26"/>
  <c r="G3" i="26"/>
  <c r="F3" i="26"/>
  <c r="E3" i="26"/>
  <c r="G2" i="26"/>
  <c r="C5" i="26" s="1"/>
  <c r="F2" i="26"/>
  <c r="E1" i="26"/>
  <c r="E72" i="25"/>
  <c r="E43" i="25"/>
  <c r="F12" i="25"/>
  <c r="F9" i="25"/>
  <c r="F44" i="25" s="1"/>
  <c r="E9" i="25"/>
  <c r="F8" i="25"/>
  <c r="E8" i="25"/>
  <c r="G7" i="25"/>
  <c r="F7" i="25"/>
  <c r="C72" i="25" s="1"/>
  <c r="E7" i="25"/>
  <c r="F6" i="25"/>
  <c r="E6" i="25"/>
  <c r="F5" i="25"/>
  <c r="E5" i="25"/>
  <c r="G3" i="25"/>
  <c r="F3" i="25"/>
  <c r="E3" i="25"/>
  <c r="G2" i="25"/>
  <c r="C6" i="25" s="1"/>
  <c r="F2" i="25"/>
  <c r="E34" i="25" s="1"/>
  <c r="E1" i="25"/>
  <c r="C85" i="24"/>
  <c r="C79" i="24"/>
  <c r="F72" i="24"/>
  <c r="E72" i="24"/>
  <c r="E82" i="24" s="1"/>
  <c r="E43" i="24"/>
  <c r="E28" i="24"/>
  <c r="F12" i="24"/>
  <c r="F9" i="24"/>
  <c r="E9" i="24"/>
  <c r="F8" i="24"/>
  <c r="E8" i="24"/>
  <c r="G7" i="24"/>
  <c r="F7" i="24"/>
  <c r="C72" i="24" s="1"/>
  <c r="E7" i="24"/>
  <c r="F6" i="24"/>
  <c r="E6" i="24"/>
  <c r="E30" i="24" s="1"/>
  <c r="C6" i="24"/>
  <c r="F5" i="24"/>
  <c r="E5" i="24"/>
  <c r="J3" i="24"/>
  <c r="G3" i="24"/>
  <c r="F3" i="24"/>
  <c r="E3" i="24"/>
  <c r="G2" i="24"/>
  <c r="C5" i="24" s="1"/>
  <c r="F2" i="24"/>
  <c r="F36" i="24" s="1"/>
  <c r="E1" i="24"/>
  <c r="E82" i="23"/>
  <c r="E80" i="23"/>
  <c r="E72" i="23"/>
  <c r="F12" i="23"/>
  <c r="F9" i="23"/>
  <c r="E9" i="23"/>
  <c r="E43" i="23" s="1"/>
  <c r="E44" i="23" s="1"/>
  <c r="F8" i="23"/>
  <c r="E8" i="23"/>
  <c r="G7" i="23"/>
  <c r="F7" i="23"/>
  <c r="C72" i="23" s="1"/>
  <c r="E7" i="23"/>
  <c r="F6" i="23"/>
  <c r="E6" i="23"/>
  <c r="F38" i="23" s="1"/>
  <c r="F5" i="23"/>
  <c r="E5" i="23"/>
  <c r="G3" i="23"/>
  <c r="F3" i="23"/>
  <c r="E3" i="23"/>
  <c r="G2" i="23"/>
  <c r="F2" i="23"/>
  <c r="C79" i="23" s="1"/>
  <c r="E1" i="23"/>
  <c r="E85" i="22"/>
  <c r="C85" i="22"/>
  <c r="C79" i="22"/>
  <c r="E72" i="22"/>
  <c r="E79" i="22" s="1"/>
  <c r="F12" i="22"/>
  <c r="F9" i="22"/>
  <c r="E9" i="22"/>
  <c r="E43" i="22" s="1"/>
  <c r="F8" i="22"/>
  <c r="E8" i="22"/>
  <c r="G7" i="22"/>
  <c r="F7" i="22"/>
  <c r="C72" i="22" s="1"/>
  <c r="E7" i="22"/>
  <c r="F6" i="22"/>
  <c r="E6" i="22"/>
  <c r="F5" i="22"/>
  <c r="E5" i="22"/>
  <c r="J3" i="22"/>
  <c r="G3" i="22"/>
  <c r="F3" i="22"/>
  <c r="E3" i="22"/>
  <c r="J2" i="22"/>
  <c r="G2" i="22"/>
  <c r="C5" i="22" s="1"/>
  <c r="F2" i="22"/>
  <c r="E1" i="22"/>
  <c r="E72" i="21"/>
  <c r="E80" i="21" s="1"/>
  <c r="C72" i="21"/>
  <c r="E29" i="21"/>
  <c r="F12" i="21"/>
  <c r="F9" i="21"/>
  <c r="E9" i="21"/>
  <c r="E43" i="21" s="1"/>
  <c r="F8" i="21"/>
  <c r="E8" i="21"/>
  <c r="G7" i="21"/>
  <c r="F7" i="21"/>
  <c r="E7" i="21"/>
  <c r="F6" i="21"/>
  <c r="E6" i="21"/>
  <c r="F5" i="21"/>
  <c r="E14" i="21" s="1"/>
  <c r="E5" i="21"/>
  <c r="G3" i="21"/>
  <c r="F3" i="21"/>
  <c r="E3" i="21"/>
  <c r="G2" i="21"/>
  <c r="F2" i="21"/>
  <c r="E36" i="21" s="1"/>
  <c r="E1" i="21"/>
  <c r="F72" i="20"/>
  <c r="E72" i="20"/>
  <c r="E82" i="20" s="1"/>
  <c r="G36" i="20"/>
  <c r="G12" i="20"/>
  <c r="G27" i="20" s="1"/>
  <c r="F12" i="20"/>
  <c r="F27" i="20" s="1"/>
  <c r="F9" i="20"/>
  <c r="E9" i="20"/>
  <c r="E43" i="20" s="1"/>
  <c r="F8" i="20"/>
  <c r="E8" i="20"/>
  <c r="G7" i="20"/>
  <c r="F7" i="20"/>
  <c r="C72" i="20" s="1"/>
  <c r="E7" i="20"/>
  <c r="F6" i="20"/>
  <c r="E6" i="20"/>
  <c r="F5" i="20"/>
  <c r="E5" i="20"/>
  <c r="G3" i="20"/>
  <c r="F3" i="20"/>
  <c r="E3" i="20"/>
  <c r="G2" i="20"/>
  <c r="F2" i="20"/>
  <c r="F14" i="20" s="1"/>
  <c r="E1" i="20"/>
  <c r="E72" i="19"/>
  <c r="F12" i="19"/>
  <c r="F9" i="19"/>
  <c r="E9" i="19"/>
  <c r="E43" i="19" s="1"/>
  <c r="F8" i="19"/>
  <c r="E8" i="19"/>
  <c r="G7" i="19"/>
  <c r="F7" i="19"/>
  <c r="C72" i="19" s="1"/>
  <c r="E7" i="19"/>
  <c r="F6" i="19"/>
  <c r="E6" i="19"/>
  <c r="F5" i="19"/>
  <c r="E5" i="19"/>
  <c r="G3" i="19"/>
  <c r="F3" i="19"/>
  <c r="E3" i="19"/>
  <c r="G2" i="19"/>
  <c r="C5" i="19" s="1"/>
  <c r="F2" i="19"/>
  <c r="E38" i="19" s="1"/>
  <c r="E1" i="19"/>
  <c r="E72" i="18"/>
  <c r="E85" i="18" s="1"/>
  <c r="E43" i="18"/>
  <c r="E18" i="18"/>
  <c r="F14" i="18"/>
  <c r="F12" i="18"/>
  <c r="F72" i="18" s="1"/>
  <c r="F85" i="18" s="1"/>
  <c r="F9" i="18"/>
  <c r="E9" i="18"/>
  <c r="F8" i="18"/>
  <c r="E8" i="18"/>
  <c r="G7" i="18"/>
  <c r="F7" i="18"/>
  <c r="C72" i="18" s="1"/>
  <c r="E7" i="18"/>
  <c r="F6" i="18"/>
  <c r="E6" i="18"/>
  <c r="C6" i="18"/>
  <c r="F5" i="18"/>
  <c r="E5" i="18"/>
  <c r="J3" i="18"/>
  <c r="G3" i="18"/>
  <c r="F3" i="18"/>
  <c r="E3" i="18"/>
  <c r="G2" i="18"/>
  <c r="C5" i="18" s="1"/>
  <c r="F2" i="18"/>
  <c r="C85" i="18" s="1"/>
  <c r="E1" i="18"/>
  <c r="E72" i="17"/>
  <c r="G12" i="17"/>
  <c r="F12" i="17"/>
  <c r="F9" i="17"/>
  <c r="E9" i="17"/>
  <c r="E43" i="17" s="1"/>
  <c r="F8" i="17"/>
  <c r="E8" i="17"/>
  <c r="G7" i="17"/>
  <c r="F7" i="17"/>
  <c r="C72" i="17" s="1"/>
  <c r="E7" i="17"/>
  <c r="F6" i="17"/>
  <c r="E6" i="17"/>
  <c r="E30" i="17" s="1"/>
  <c r="F5" i="17"/>
  <c r="E17" i="17" s="1"/>
  <c r="E5" i="17"/>
  <c r="G3" i="17"/>
  <c r="F3" i="17"/>
  <c r="E3" i="17"/>
  <c r="G2" i="17"/>
  <c r="C6" i="17" s="1"/>
  <c r="F2" i="17"/>
  <c r="E79" i="17" s="1"/>
  <c r="E1" i="17"/>
  <c r="C85" i="16"/>
  <c r="E72" i="16"/>
  <c r="E82" i="16" s="1"/>
  <c r="E17" i="16"/>
  <c r="F15" i="16"/>
  <c r="F14" i="16"/>
  <c r="F12" i="16"/>
  <c r="F37" i="16" s="1"/>
  <c r="F9" i="16"/>
  <c r="E9" i="16"/>
  <c r="E43" i="16" s="1"/>
  <c r="F8" i="16"/>
  <c r="E8" i="16"/>
  <c r="G7" i="16"/>
  <c r="F7" i="16"/>
  <c r="C72" i="16" s="1"/>
  <c r="E7" i="16"/>
  <c r="F6" i="16"/>
  <c r="E6" i="16"/>
  <c r="C6" i="16"/>
  <c r="F5" i="16"/>
  <c r="E5" i="16"/>
  <c r="J3" i="16"/>
  <c r="G3" i="16"/>
  <c r="F3" i="16"/>
  <c r="E3" i="16"/>
  <c r="G2" i="16"/>
  <c r="C5" i="16" s="1"/>
  <c r="F2" i="16"/>
  <c r="E14" i="16" s="1"/>
  <c r="E1" i="16"/>
  <c r="C85" i="15"/>
  <c r="E82" i="15"/>
  <c r="E79" i="15"/>
  <c r="F72" i="15"/>
  <c r="E72" i="15"/>
  <c r="C72" i="15"/>
  <c r="F12" i="15"/>
  <c r="F9" i="15"/>
  <c r="E9" i="15"/>
  <c r="E43" i="15" s="1"/>
  <c r="F8" i="15"/>
  <c r="E8" i="15"/>
  <c r="G7" i="15"/>
  <c r="F7" i="15"/>
  <c r="E7" i="15"/>
  <c r="F6" i="15"/>
  <c r="E6" i="15"/>
  <c r="E34" i="15" s="1"/>
  <c r="F5" i="15"/>
  <c r="F16" i="15" s="1"/>
  <c r="E5" i="15"/>
  <c r="G3" i="15"/>
  <c r="F3" i="15"/>
  <c r="E3" i="15"/>
  <c r="J2" i="15"/>
  <c r="G2" i="15"/>
  <c r="C5" i="15" s="1"/>
  <c r="F2" i="15"/>
  <c r="C79" i="15" s="1"/>
  <c r="E1" i="15"/>
  <c r="E36" i="7"/>
  <c r="D36" i="7"/>
  <c r="D30" i="7"/>
  <c r="C30" i="7"/>
  <c r="E30" i="7" s="1"/>
  <c r="E29" i="7"/>
  <c r="D29" i="7"/>
  <c r="C29" i="7"/>
  <c r="C28" i="7"/>
  <c r="D28" i="7" s="1"/>
  <c r="C27" i="7"/>
  <c r="E27" i="7" s="1"/>
  <c r="D26" i="7"/>
  <c r="C26" i="7"/>
  <c r="E26" i="7" s="1"/>
  <c r="C25" i="7"/>
  <c r="E25" i="7" s="1"/>
  <c r="E24" i="7"/>
  <c r="C24" i="7"/>
  <c r="D24" i="7" s="1"/>
  <c r="E23" i="7"/>
  <c r="D23" i="7"/>
  <c r="C23" i="7"/>
  <c r="C22" i="7"/>
  <c r="D22" i="7" s="1"/>
  <c r="C18" i="7"/>
  <c r="C17" i="7"/>
  <c r="D17" i="7" s="1"/>
  <c r="E13" i="7"/>
  <c r="D13" i="7"/>
  <c r="C13" i="7"/>
  <c r="D12" i="7"/>
  <c r="C12" i="7"/>
  <c r="E12" i="7" s="1"/>
  <c r="E11" i="7"/>
  <c r="D11" i="7"/>
  <c r="C11" i="7"/>
  <c r="C10" i="7"/>
  <c r="C9" i="7"/>
  <c r="E9" i="7" s="1"/>
  <c r="C8" i="7"/>
  <c r="D8" i="7" s="1"/>
  <c r="D7" i="7"/>
  <c r="C7" i="7"/>
  <c r="E7" i="7" s="1"/>
  <c r="B23" i="6"/>
  <c r="B22" i="6"/>
  <c r="H22" i="6" s="1"/>
  <c r="H21" i="6"/>
  <c r="B21" i="6"/>
  <c r="B20" i="6"/>
  <c r="B19" i="6"/>
  <c r="H19" i="6" s="1"/>
  <c r="B18" i="6"/>
  <c r="H17" i="6"/>
  <c r="B17" i="6"/>
  <c r="B16" i="6"/>
  <c r="H15" i="6"/>
  <c r="B15" i="6"/>
  <c r="B14" i="6"/>
  <c r="H14" i="6" s="1"/>
  <c r="B13" i="6"/>
  <c r="B12" i="6"/>
  <c r="B11" i="6"/>
  <c r="B10" i="6"/>
  <c r="H10" i="6" s="1"/>
  <c r="H9" i="6"/>
  <c r="B9" i="6"/>
  <c r="B8" i="6"/>
  <c r="B7" i="6"/>
  <c r="B23" i="5"/>
  <c r="B22" i="5"/>
  <c r="B21" i="5"/>
  <c r="B20" i="5"/>
  <c r="B19" i="5"/>
  <c r="B18" i="5"/>
  <c r="B17" i="5"/>
  <c r="B16" i="5"/>
  <c r="B15" i="5"/>
  <c r="B14" i="5"/>
  <c r="B13" i="5"/>
  <c r="B12" i="5"/>
  <c r="B11" i="5"/>
  <c r="B10" i="5"/>
  <c r="B9" i="5"/>
  <c r="B8" i="5"/>
  <c r="B7" i="5"/>
  <c r="B26" i="4"/>
  <c r="B25" i="4"/>
  <c r="B24" i="4"/>
  <c r="B23" i="4"/>
  <c r="B22" i="4"/>
  <c r="B21" i="4"/>
  <c r="B20" i="4"/>
  <c r="B19" i="4"/>
  <c r="B18" i="4"/>
  <c r="B17" i="4"/>
  <c r="B16" i="4"/>
  <c r="B15" i="4"/>
  <c r="B14" i="4"/>
  <c r="B13" i="4"/>
  <c r="B12" i="4"/>
  <c r="B11" i="4"/>
  <c r="B10" i="4"/>
  <c r="K9" i="4"/>
  <c r="I9" i="4"/>
  <c r="G9" i="4"/>
  <c r="E9" i="4"/>
  <c r="C5" i="4"/>
  <c r="B21" i="3"/>
  <c r="B20" i="3"/>
  <c r="C20" i="3" s="1"/>
  <c r="B19" i="3"/>
  <c r="D19" i="3" s="1"/>
  <c r="D18" i="3"/>
  <c r="B18" i="3"/>
  <c r="C17" i="3"/>
  <c r="B17" i="3"/>
  <c r="D17" i="3" s="1"/>
  <c r="B16" i="3"/>
  <c r="B15" i="3"/>
  <c r="B14" i="3"/>
  <c r="B13" i="3"/>
  <c r="B12" i="3"/>
  <c r="C12" i="3" s="1"/>
  <c r="D11" i="3"/>
  <c r="C11" i="3"/>
  <c r="B11" i="3"/>
  <c r="B10" i="3"/>
  <c r="C9" i="3"/>
  <c r="B9" i="3"/>
  <c r="D9" i="3" s="1"/>
  <c r="B8" i="3"/>
  <c r="D7" i="3"/>
  <c r="B7" i="3"/>
  <c r="B6" i="3"/>
  <c r="B5" i="3"/>
  <c r="F16" i="2"/>
  <c r="E16" i="2"/>
  <c r="D16" i="2"/>
  <c r="C16" i="2"/>
  <c r="B16" i="2"/>
  <c r="B30" i="32"/>
  <c r="B29" i="32"/>
  <c r="B28" i="32"/>
  <c r="B26" i="32"/>
  <c r="B25" i="32"/>
  <c r="B24" i="32"/>
  <c r="D21" i="32"/>
  <c r="D21" i="38" s="1"/>
  <c r="C21" i="32"/>
  <c r="C21" i="38" s="1"/>
  <c r="B21" i="32"/>
  <c r="B21" i="38" s="1"/>
  <c r="B21" i="40" s="1"/>
  <c r="D20" i="32"/>
  <c r="D20" i="38" s="1"/>
  <c r="C20" i="32"/>
  <c r="C20" i="38" s="1"/>
  <c r="B20" i="32"/>
  <c r="B20" i="38" s="1"/>
  <c r="B20" i="40" s="1"/>
  <c r="D19" i="32"/>
  <c r="D19" i="38" s="1"/>
  <c r="C19" i="32"/>
  <c r="C19" i="38" s="1"/>
  <c r="B19" i="32"/>
  <c r="B19" i="38" s="1"/>
  <c r="D18" i="32"/>
  <c r="D18" i="38" s="1"/>
  <c r="C18" i="32"/>
  <c r="C18" i="38" s="1"/>
  <c r="B18" i="32"/>
  <c r="B18" i="38" s="1"/>
  <c r="B18" i="40" s="1"/>
  <c r="D17" i="32"/>
  <c r="D17" i="38" s="1"/>
  <c r="C17" i="32"/>
  <c r="C17" i="38" s="1"/>
  <c r="B17" i="32"/>
  <c r="B17" i="38" s="1"/>
  <c r="B17" i="40" s="1"/>
  <c r="D16" i="32"/>
  <c r="D16" i="38" s="1"/>
  <c r="C16" i="32"/>
  <c r="C16" i="38" s="1"/>
  <c r="B16" i="32"/>
  <c r="B16" i="38" s="1"/>
  <c r="B16" i="40" s="1"/>
  <c r="D15" i="32"/>
  <c r="D15" i="38" s="1"/>
  <c r="C15" i="32"/>
  <c r="C15" i="38" s="1"/>
  <c r="B15" i="32"/>
  <c r="B15" i="38" s="1"/>
  <c r="B15" i="40" s="1"/>
  <c r="D14" i="32"/>
  <c r="D14" i="38" s="1"/>
  <c r="C14" i="32"/>
  <c r="C14" i="38" s="1"/>
  <c r="B14" i="32"/>
  <c r="B14" i="38" s="1"/>
  <c r="B14" i="40" s="1"/>
  <c r="D13" i="32"/>
  <c r="D13" i="38" s="1"/>
  <c r="C13" i="32"/>
  <c r="C13" i="38" s="1"/>
  <c r="B13" i="32"/>
  <c r="B13" i="38" s="1"/>
  <c r="D12" i="32"/>
  <c r="D12" i="38" s="1"/>
  <c r="C12" i="32"/>
  <c r="C12" i="38" s="1"/>
  <c r="B12" i="32"/>
  <c r="B12" i="38" s="1"/>
  <c r="B12" i="40" s="1"/>
  <c r="D11" i="32"/>
  <c r="D11" i="38" s="1"/>
  <c r="C11" i="32"/>
  <c r="C11" i="38" s="1"/>
  <c r="B11" i="32"/>
  <c r="B11" i="38" s="1"/>
  <c r="B11" i="40" s="1"/>
  <c r="D10" i="32"/>
  <c r="D10" i="38" s="1"/>
  <c r="C10" i="32"/>
  <c r="C10" i="38" s="1"/>
  <c r="B10" i="32"/>
  <c r="B10" i="38" s="1"/>
  <c r="D9" i="32"/>
  <c r="D9" i="38" s="1"/>
  <c r="C9" i="32"/>
  <c r="C9" i="38" s="1"/>
  <c r="B9" i="32"/>
  <c r="B9" i="38" s="1"/>
  <c r="D8" i="32"/>
  <c r="D8" i="38" s="1"/>
  <c r="C8" i="32"/>
  <c r="C8" i="38" s="1"/>
  <c r="B8" i="32"/>
  <c r="B8" i="38" s="1"/>
  <c r="B8" i="40" s="1"/>
  <c r="D7" i="32"/>
  <c r="D7" i="38" s="1"/>
  <c r="C7" i="32"/>
  <c r="C7" i="38" s="1"/>
  <c r="B7" i="32"/>
  <c r="B7" i="38" s="1"/>
  <c r="D6" i="32"/>
  <c r="D6" i="38" s="1"/>
  <c r="C6" i="32"/>
  <c r="C6" i="38" s="1"/>
  <c r="B6" i="32"/>
  <c r="B6" i="38" s="1"/>
  <c r="D5" i="32"/>
  <c r="D5" i="38" s="1"/>
  <c r="C5" i="32"/>
  <c r="C5" i="38" s="1"/>
  <c r="B5" i="32"/>
  <c r="B5" i="38" s="1"/>
  <c r="E81" i="8"/>
  <c r="E72" i="8"/>
  <c r="F12" i="8"/>
  <c r="F72" i="8" s="1"/>
  <c r="U8" i="8"/>
  <c r="T8" i="8"/>
  <c r="S8" i="8"/>
  <c r="R8" i="8"/>
  <c r="Q8" i="8"/>
  <c r="P8" i="8"/>
  <c r="O8" i="8"/>
  <c r="N8" i="8"/>
  <c r="M8" i="8"/>
  <c r="L8" i="8"/>
  <c r="K8" i="8"/>
  <c r="J8" i="8"/>
  <c r="I8" i="8"/>
  <c r="H8" i="8"/>
  <c r="G8" i="8"/>
  <c r="F8" i="8"/>
  <c r="E8" i="8"/>
  <c r="E4" i="8"/>
  <c r="J3" i="8"/>
  <c r="E3" i="8"/>
  <c r="H6" i="1" s="1"/>
  <c r="J2" i="8"/>
  <c r="E2" i="8"/>
  <c r="E1" i="8"/>
  <c r="G4" i="14"/>
  <c r="H4" i="14" s="1"/>
  <c r="I4" i="14" s="1"/>
  <c r="D4" i="14"/>
  <c r="E4" i="14" s="1"/>
  <c r="F4" i="14" s="1"/>
  <c r="B137" i="13"/>
  <c r="B130" i="13" a="1"/>
  <c r="B146" i="13" s="1"/>
  <c r="G129" i="13"/>
  <c r="H129" i="13" s="1"/>
  <c r="I129" i="13" s="1"/>
  <c r="J129" i="13" s="1"/>
  <c r="K129" i="13" s="1"/>
  <c r="L129" i="13" s="1"/>
  <c r="M129" i="13" s="1"/>
  <c r="N129" i="13" s="1"/>
  <c r="O129" i="13" s="1"/>
  <c r="P129" i="13" s="1"/>
  <c r="Q129" i="13" s="1"/>
  <c r="R129" i="13" s="1"/>
  <c r="S129" i="13" s="1"/>
  <c r="T129" i="13" s="1"/>
  <c r="U129" i="13" s="1"/>
  <c r="V129" i="13" s="1"/>
  <c r="W129" i="13" s="1"/>
  <c r="X129" i="13" s="1"/>
  <c r="Y129" i="13" s="1"/>
  <c r="Z129" i="13" s="1"/>
  <c r="B115" i="13"/>
  <c r="B114" i="13"/>
  <c r="B108" i="13"/>
  <c r="B107" i="13"/>
  <c r="B102" i="13" a="1"/>
  <c r="B106" i="13" s="1"/>
  <c r="H101" i="13"/>
  <c r="I101" i="13" s="1"/>
  <c r="J101" i="13" s="1"/>
  <c r="K101" i="13" s="1"/>
  <c r="L101" i="13" s="1"/>
  <c r="M101" i="13" s="1"/>
  <c r="N101" i="13" s="1"/>
  <c r="O101" i="13" s="1"/>
  <c r="P101" i="13" s="1"/>
  <c r="Q101" i="13" s="1"/>
  <c r="R101" i="13" s="1"/>
  <c r="S101" i="13" s="1"/>
  <c r="T101" i="13" s="1"/>
  <c r="U101" i="13" s="1"/>
  <c r="V101" i="13" s="1"/>
  <c r="W101" i="13" s="1"/>
  <c r="X101" i="13" s="1"/>
  <c r="Y101" i="13" s="1"/>
  <c r="Z101" i="13" s="1"/>
  <c r="G101" i="13"/>
  <c r="B74" i="13" a="1"/>
  <c r="B89" i="13" s="1"/>
  <c r="B74" i="13"/>
  <c r="G73" i="13"/>
  <c r="H73" i="13" s="1"/>
  <c r="I73" i="13" s="1"/>
  <c r="J73" i="13" s="1"/>
  <c r="K73" i="13" s="1"/>
  <c r="L73" i="13" s="1"/>
  <c r="M73" i="13" s="1"/>
  <c r="N73" i="13" s="1"/>
  <c r="O73" i="13" s="1"/>
  <c r="P73" i="13" s="1"/>
  <c r="Q73" i="13" s="1"/>
  <c r="R73" i="13" s="1"/>
  <c r="S73" i="13" s="1"/>
  <c r="T73" i="13" s="1"/>
  <c r="U73" i="13" s="1"/>
  <c r="V73" i="13" s="1"/>
  <c r="W73" i="13" s="1"/>
  <c r="X73" i="13" s="1"/>
  <c r="Y73" i="13" s="1"/>
  <c r="Z73" i="13" s="1"/>
  <c r="B46" i="13" a="1"/>
  <c r="B54" i="13" s="1"/>
  <c r="H45" i="13"/>
  <c r="I45" i="13" s="1"/>
  <c r="J45" i="13" s="1"/>
  <c r="K45" i="13" s="1"/>
  <c r="L45" i="13" s="1"/>
  <c r="M45" i="13" s="1"/>
  <c r="N45" i="13" s="1"/>
  <c r="O45" i="13" s="1"/>
  <c r="P45" i="13" s="1"/>
  <c r="Q45" i="13" s="1"/>
  <c r="R45" i="13" s="1"/>
  <c r="S45" i="13" s="1"/>
  <c r="T45" i="13" s="1"/>
  <c r="U45" i="13" s="1"/>
  <c r="V45" i="13" s="1"/>
  <c r="W45" i="13" s="1"/>
  <c r="X45" i="13" s="1"/>
  <c r="Y45" i="13" s="1"/>
  <c r="Z45" i="13" s="1"/>
  <c r="G45" i="13"/>
  <c r="U31" i="13"/>
  <c r="V31" i="13" s="1"/>
  <c r="T31" i="13"/>
  <c r="U29" i="13"/>
  <c r="T29" i="13"/>
  <c r="U27" i="13"/>
  <c r="T27" i="13"/>
  <c r="U26" i="13"/>
  <c r="T26" i="13"/>
  <c r="V26" i="13" s="1"/>
  <c r="U25" i="13"/>
  <c r="V25" i="13" s="1"/>
  <c r="T25" i="13"/>
  <c r="V23" i="13"/>
  <c r="U23" i="13"/>
  <c r="T23" i="13"/>
  <c r="U22" i="13"/>
  <c r="T22" i="13"/>
  <c r="V22" i="13" s="1"/>
  <c r="W22" i="13" s="1"/>
  <c r="U21" i="13"/>
  <c r="T21" i="13"/>
  <c r="V21" i="13" s="1"/>
  <c r="U20" i="13"/>
  <c r="T20" i="13"/>
  <c r="V20" i="13" s="1"/>
  <c r="U19" i="13"/>
  <c r="T19" i="13"/>
  <c r="B33" i="13"/>
  <c r="K33" i="13" s="1"/>
  <c r="E21" i="6" s="1"/>
  <c r="B29" i="13"/>
  <c r="N29" i="13" s="1"/>
  <c r="B19" i="13" a="1"/>
  <c r="B35" i="13" s="1"/>
  <c r="J35" i="13" s="1"/>
  <c r="B19" i="13"/>
  <c r="E2" i="15" s="1"/>
  <c r="G66" i="15" s="1"/>
  <c r="C14" i="13"/>
  <c r="C13" i="13"/>
  <c r="C12" i="13"/>
  <c r="C11" i="13"/>
  <c r="C10" i="13"/>
  <c r="C8" i="13"/>
  <c r="C7" i="13"/>
  <c r="C6" i="13"/>
  <c r="C5" i="13"/>
  <c r="B5" i="12" a="1"/>
  <c r="B20" i="12" s="1"/>
  <c r="B5" i="12"/>
  <c r="E5" i="12" s="1"/>
  <c r="T206" i="45"/>
  <c r="R206" i="45"/>
  <c r="J206" i="45"/>
  <c r="A206" i="45"/>
  <c r="T205" i="45"/>
  <c r="R205" i="45"/>
  <c r="J205" i="45"/>
  <c r="C205" i="45"/>
  <c r="A205" i="45"/>
  <c r="T204" i="45"/>
  <c r="R204" i="45"/>
  <c r="J204" i="45"/>
  <c r="C204" i="45"/>
  <c r="A204" i="45"/>
  <c r="T203" i="45"/>
  <c r="R203" i="45"/>
  <c r="J203" i="45"/>
  <c r="A203" i="45"/>
  <c r="T202" i="45"/>
  <c r="R202" i="45"/>
  <c r="J202" i="45"/>
  <c r="A202" i="45"/>
  <c r="T201" i="45"/>
  <c r="R201" i="45"/>
  <c r="J201" i="45"/>
  <c r="A201" i="45"/>
  <c r="T200" i="45"/>
  <c r="R200" i="45"/>
  <c r="J200" i="45"/>
  <c r="A200" i="45"/>
  <c r="T199" i="45"/>
  <c r="R199" i="45"/>
  <c r="J199" i="45"/>
  <c r="C199" i="45"/>
  <c r="A199" i="45"/>
  <c r="T198" i="45"/>
  <c r="R198" i="45"/>
  <c r="J198" i="45"/>
  <c r="A198" i="45"/>
  <c r="T197" i="45"/>
  <c r="R197" i="45"/>
  <c r="J197" i="45"/>
  <c r="A197" i="45"/>
  <c r="T196" i="45"/>
  <c r="R196" i="45"/>
  <c r="J196" i="45"/>
  <c r="A196" i="45"/>
  <c r="T195" i="45"/>
  <c r="R195" i="45"/>
  <c r="J195" i="45"/>
  <c r="C195" i="45"/>
  <c r="A195" i="45"/>
  <c r="T194" i="45"/>
  <c r="R194" i="45"/>
  <c r="J194" i="45"/>
  <c r="C194" i="45"/>
  <c r="A194" i="45"/>
  <c r="T193" i="45"/>
  <c r="R193" i="45"/>
  <c r="J193" i="45"/>
  <c r="A193" i="45"/>
  <c r="T192" i="45"/>
  <c r="R192" i="45"/>
  <c r="J192" i="45"/>
  <c r="A192" i="45"/>
  <c r="T191" i="45"/>
  <c r="R191" i="45"/>
  <c r="J191" i="45"/>
  <c r="A191" i="45"/>
  <c r="T190" i="45"/>
  <c r="R190" i="45"/>
  <c r="J190" i="45"/>
  <c r="C190" i="45"/>
  <c r="A190" i="45"/>
  <c r="T189" i="45"/>
  <c r="R189" i="45"/>
  <c r="J189" i="45"/>
  <c r="C189" i="45"/>
  <c r="A189" i="45"/>
  <c r="T188" i="45"/>
  <c r="R188" i="45"/>
  <c r="J188" i="45"/>
  <c r="A188" i="45"/>
  <c r="T187" i="45"/>
  <c r="R187" i="45"/>
  <c r="J187" i="45"/>
  <c r="A187" i="45"/>
  <c r="T186" i="45"/>
  <c r="R186" i="45"/>
  <c r="J186" i="45"/>
  <c r="A186" i="45"/>
  <c r="T185" i="45"/>
  <c r="R185" i="45"/>
  <c r="J185" i="45"/>
  <c r="C185" i="45"/>
  <c r="A185" i="45"/>
  <c r="T184" i="45"/>
  <c r="R184" i="45"/>
  <c r="J184" i="45"/>
  <c r="A184" i="45"/>
  <c r="T183" i="45"/>
  <c r="R183" i="45"/>
  <c r="J183" i="45"/>
  <c r="A183" i="45"/>
  <c r="T182" i="45"/>
  <c r="R182" i="45"/>
  <c r="J182" i="45"/>
  <c r="A182" i="45"/>
  <c r="T181" i="45"/>
  <c r="R181" i="45"/>
  <c r="J181" i="45"/>
  <c r="A181" i="45"/>
  <c r="T180" i="45"/>
  <c r="R180" i="45"/>
  <c r="J180" i="45"/>
  <c r="C180" i="45"/>
  <c r="A180" i="45"/>
  <c r="T179" i="45"/>
  <c r="R179" i="45"/>
  <c r="J179" i="45"/>
  <c r="C179" i="45"/>
  <c r="A179" i="45"/>
  <c r="T178" i="45"/>
  <c r="R178" i="45"/>
  <c r="J178" i="45"/>
  <c r="C178" i="45"/>
  <c r="A178" i="45"/>
  <c r="T177" i="45"/>
  <c r="R177" i="45"/>
  <c r="J177" i="45"/>
  <c r="C177" i="45"/>
  <c r="A177" i="45"/>
  <c r="T176" i="45"/>
  <c r="R176" i="45"/>
  <c r="J176" i="45"/>
  <c r="A176" i="45"/>
  <c r="T175" i="45"/>
  <c r="R175" i="45"/>
  <c r="J175" i="45"/>
  <c r="C175" i="45"/>
  <c r="A175" i="45"/>
  <c r="T174" i="45"/>
  <c r="R174" i="45"/>
  <c r="J174" i="45"/>
  <c r="C174" i="45"/>
  <c r="A174" i="45"/>
  <c r="T173" i="45"/>
  <c r="R173" i="45"/>
  <c r="J173" i="45"/>
  <c r="C173" i="45"/>
  <c r="A173" i="45"/>
  <c r="T172" i="45"/>
  <c r="R172" i="45"/>
  <c r="J172" i="45"/>
  <c r="A172" i="45"/>
  <c r="T171" i="45"/>
  <c r="R171" i="45"/>
  <c r="J171" i="45"/>
  <c r="A171" i="45"/>
  <c r="T170" i="45"/>
  <c r="R170" i="45"/>
  <c r="J170" i="45"/>
  <c r="A170" i="45"/>
  <c r="T169" i="45"/>
  <c r="R169" i="45"/>
  <c r="J169" i="45"/>
  <c r="C169" i="45"/>
  <c r="A169" i="45"/>
  <c r="T168" i="45"/>
  <c r="R168" i="45"/>
  <c r="J168" i="45"/>
  <c r="C168" i="45"/>
  <c r="A168" i="45"/>
  <c r="T167" i="45"/>
  <c r="R167" i="45"/>
  <c r="J167" i="45"/>
  <c r="C167" i="45"/>
  <c r="A167" i="45"/>
  <c r="T166" i="45"/>
  <c r="R166" i="45"/>
  <c r="J166" i="45"/>
  <c r="C166" i="45"/>
  <c r="A166" i="45"/>
  <c r="T165" i="45"/>
  <c r="R165" i="45"/>
  <c r="J165" i="45"/>
  <c r="C165" i="45"/>
  <c r="A165" i="45"/>
  <c r="T164" i="45"/>
  <c r="R164" i="45"/>
  <c r="J164" i="45"/>
  <c r="A164" i="45"/>
  <c r="T163" i="45"/>
  <c r="R163" i="45"/>
  <c r="J163" i="45"/>
  <c r="C163" i="45"/>
  <c r="A163" i="45"/>
  <c r="T162" i="45"/>
  <c r="R162" i="45"/>
  <c r="J162" i="45"/>
  <c r="C162" i="45"/>
  <c r="A162" i="45"/>
  <c r="T161" i="45"/>
  <c r="R161" i="45"/>
  <c r="J161" i="45"/>
  <c r="C161" i="45"/>
  <c r="A161" i="45"/>
  <c r="T160" i="45"/>
  <c r="R160" i="45"/>
  <c r="J160" i="45"/>
  <c r="A160" i="45"/>
  <c r="T159" i="45"/>
  <c r="R159" i="45"/>
  <c r="J159" i="45"/>
  <c r="C159" i="45"/>
  <c r="A159" i="45"/>
  <c r="T158" i="45"/>
  <c r="R158" i="45"/>
  <c r="J158" i="45"/>
  <c r="C158" i="45"/>
  <c r="A158" i="45"/>
  <c r="T157" i="45"/>
  <c r="R157" i="45"/>
  <c r="J157" i="45"/>
  <c r="C157" i="45"/>
  <c r="A157" i="45"/>
  <c r="T156" i="45"/>
  <c r="R156" i="45"/>
  <c r="J156" i="45"/>
  <c r="C156" i="45"/>
  <c r="A156" i="45"/>
  <c r="T155" i="45"/>
  <c r="R155" i="45"/>
  <c r="J155" i="45"/>
  <c r="C155" i="45"/>
  <c r="A155" i="45"/>
  <c r="T154" i="45"/>
  <c r="R154" i="45"/>
  <c r="J154" i="45"/>
  <c r="A154" i="45"/>
  <c r="T153" i="45"/>
  <c r="R153" i="45"/>
  <c r="J153" i="45"/>
  <c r="C153" i="45"/>
  <c r="A153" i="45"/>
  <c r="T152" i="45"/>
  <c r="R152" i="45"/>
  <c r="J152" i="45"/>
  <c r="C152" i="45"/>
  <c r="A152" i="45"/>
  <c r="T151" i="45"/>
  <c r="R151" i="45"/>
  <c r="J151" i="45"/>
  <c r="A151" i="45"/>
  <c r="T150" i="45"/>
  <c r="R150" i="45"/>
  <c r="J150" i="45"/>
  <c r="A150" i="45"/>
  <c r="T149" i="45"/>
  <c r="R149" i="45"/>
  <c r="J149" i="45"/>
  <c r="A149" i="45"/>
  <c r="T148" i="45"/>
  <c r="R148" i="45"/>
  <c r="J148" i="45"/>
  <c r="A148" i="45"/>
  <c r="T147" i="45"/>
  <c r="R147" i="45"/>
  <c r="J147" i="45"/>
  <c r="A147" i="45"/>
  <c r="T146" i="45"/>
  <c r="R146" i="45"/>
  <c r="J146" i="45"/>
  <c r="A146" i="45"/>
  <c r="T145" i="45"/>
  <c r="R145" i="45"/>
  <c r="J145" i="45"/>
  <c r="A145" i="45"/>
  <c r="T144" i="45"/>
  <c r="R144" i="45"/>
  <c r="J144" i="45"/>
  <c r="A144" i="45"/>
  <c r="T143" i="45"/>
  <c r="R143" i="45"/>
  <c r="J143" i="45"/>
  <c r="C143" i="45"/>
  <c r="A143" i="45"/>
  <c r="T142" i="45"/>
  <c r="R142" i="45"/>
  <c r="J142" i="45"/>
  <c r="C142" i="45"/>
  <c r="A142" i="45"/>
  <c r="T141" i="45"/>
  <c r="R141" i="45"/>
  <c r="J141" i="45"/>
  <c r="C141" i="45"/>
  <c r="A141" i="45"/>
  <c r="T140" i="45"/>
  <c r="R140" i="45"/>
  <c r="J140" i="45"/>
  <c r="C140" i="45"/>
  <c r="A140" i="45"/>
  <c r="T139" i="45"/>
  <c r="R139" i="45"/>
  <c r="J139" i="45"/>
  <c r="C139" i="45"/>
  <c r="A139" i="45"/>
  <c r="T138" i="45"/>
  <c r="R138" i="45"/>
  <c r="J138" i="45"/>
  <c r="C138" i="45"/>
  <c r="A138" i="45"/>
  <c r="T137" i="45"/>
  <c r="R137" i="45"/>
  <c r="J137" i="45"/>
  <c r="A137" i="45"/>
  <c r="T136" i="45"/>
  <c r="R136" i="45"/>
  <c r="J136" i="45"/>
  <c r="A136" i="45"/>
  <c r="T135" i="45"/>
  <c r="R135" i="45"/>
  <c r="J135" i="45"/>
  <c r="C135" i="45"/>
  <c r="A135" i="45"/>
  <c r="T134" i="45"/>
  <c r="R134" i="45"/>
  <c r="J134" i="45"/>
  <c r="A134" i="45"/>
  <c r="T133" i="45"/>
  <c r="R133" i="45"/>
  <c r="J133" i="45"/>
  <c r="C133" i="45"/>
  <c r="A133" i="45"/>
  <c r="T132" i="45"/>
  <c r="R132" i="45"/>
  <c r="J132" i="45"/>
  <c r="A132" i="45"/>
  <c r="T131" i="45"/>
  <c r="R131" i="45"/>
  <c r="J131" i="45"/>
  <c r="C131" i="45"/>
  <c r="A131" i="45"/>
  <c r="T130" i="45"/>
  <c r="R130" i="45"/>
  <c r="J130" i="45"/>
  <c r="C130" i="45"/>
  <c r="A130" i="45"/>
  <c r="T129" i="45"/>
  <c r="R129" i="45"/>
  <c r="J129" i="45"/>
  <c r="A129" i="45"/>
  <c r="T128" i="45"/>
  <c r="R128" i="45"/>
  <c r="J128" i="45"/>
  <c r="A128" i="45"/>
  <c r="T127" i="45"/>
  <c r="R127" i="45"/>
  <c r="J127" i="45"/>
  <c r="A127" i="45"/>
  <c r="T126" i="45"/>
  <c r="R126" i="45"/>
  <c r="J126" i="45"/>
  <c r="A126" i="45"/>
  <c r="T125" i="45"/>
  <c r="R125" i="45"/>
  <c r="J125" i="45"/>
  <c r="C125" i="45"/>
  <c r="A125" i="45"/>
  <c r="T124" i="45"/>
  <c r="R124" i="45"/>
  <c r="J124" i="45"/>
  <c r="A124" i="45"/>
  <c r="T123" i="45"/>
  <c r="R123" i="45"/>
  <c r="J123" i="45"/>
  <c r="A123" i="45"/>
  <c r="T122" i="45"/>
  <c r="R122" i="45"/>
  <c r="J122" i="45"/>
  <c r="A122" i="45"/>
  <c r="T121" i="45"/>
  <c r="R121" i="45"/>
  <c r="J121" i="45"/>
  <c r="C121" i="45"/>
  <c r="A121" i="45"/>
  <c r="T120" i="45"/>
  <c r="R120" i="45"/>
  <c r="J120" i="45"/>
  <c r="C120" i="45"/>
  <c r="A120" i="45"/>
  <c r="T119" i="45"/>
  <c r="R119" i="45"/>
  <c r="J119" i="45"/>
  <c r="C119" i="45"/>
  <c r="A119" i="45"/>
  <c r="T118" i="45"/>
  <c r="R118" i="45"/>
  <c r="J118" i="45"/>
  <c r="C118" i="45"/>
  <c r="A118" i="45"/>
  <c r="T117" i="45"/>
  <c r="R117" i="45"/>
  <c r="J117" i="45"/>
  <c r="C117" i="45"/>
  <c r="A117" i="45"/>
  <c r="T116" i="45"/>
  <c r="R116" i="45"/>
  <c r="J116" i="45"/>
  <c r="C116" i="45"/>
  <c r="A116" i="45"/>
  <c r="T115" i="45"/>
  <c r="R115" i="45"/>
  <c r="J115" i="45"/>
  <c r="A115" i="45"/>
  <c r="T114" i="45"/>
  <c r="R114" i="45"/>
  <c r="J114" i="45"/>
  <c r="C114" i="45"/>
  <c r="A114" i="45"/>
  <c r="T113" i="45"/>
  <c r="R113" i="45"/>
  <c r="J113" i="45"/>
  <c r="C113" i="45"/>
  <c r="A113" i="45"/>
  <c r="T112" i="45"/>
  <c r="R112" i="45"/>
  <c r="J112" i="45"/>
  <c r="A112" i="45"/>
  <c r="T111" i="45"/>
  <c r="R111" i="45"/>
  <c r="J111" i="45"/>
  <c r="C111" i="45"/>
  <c r="A111" i="45"/>
  <c r="T110" i="45"/>
  <c r="R110" i="45"/>
  <c r="J110" i="45"/>
  <c r="A110" i="45"/>
  <c r="T109" i="45"/>
  <c r="R109" i="45"/>
  <c r="J109" i="45"/>
  <c r="C109" i="45"/>
  <c r="A109" i="45"/>
  <c r="T108" i="45"/>
  <c r="R108" i="45"/>
  <c r="J108" i="45"/>
  <c r="A108" i="45"/>
  <c r="T107" i="45"/>
  <c r="R107" i="45"/>
  <c r="J107" i="45"/>
  <c r="A107" i="45"/>
  <c r="T106" i="45"/>
  <c r="R106" i="45"/>
  <c r="J106" i="45"/>
  <c r="C106" i="45"/>
  <c r="A106" i="45"/>
  <c r="T105" i="45"/>
  <c r="R105" i="45"/>
  <c r="J105" i="45"/>
  <c r="A105" i="45"/>
  <c r="T104" i="45"/>
  <c r="R104" i="45"/>
  <c r="J104" i="45"/>
  <c r="C104" i="45"/>
  <c r="A104" i="45"/>
  <c r="T103" i="45"/>
  <c r="R103" i="45"/>
  <c r="J103" i="45"/>
  <c r="C103" i="45"/>
  <c r="A103" i="45"/>
  <c r="T102" i="45"/>
  <c r="R102" i="45"/>
  <c r="J102" i="45"/>
  <c r="C102" i="45"/>
  <c r="A102" i="45"/>
  <c r="T101" i="45"/>
  <c r="R101" i="45"/>
  <c r="J101" i="45"/>
  <c r="C101" i="45"/>
  <c r="A101" i="45"/>
  <c r="T100" i="45"/>
  <c r="R100" i="45"/>
  <c r="J100" i="45"/>
  <c r="A100" i="45"/>
  <c r="T99" i="45"/>
  <c r="R99" i="45"/>
  <c r="J99" i="45"/>
  <c r="C99" i="45"/>
  <c r="A99" i="45"/>
  <c r="T98" i="45"/>
  <c r="R98" i="45"/>
  <c r="J98" i="45"/>
  <c r="C98" i="45"/>
  <c r="A98" i="45"/>
  <c r="T97" i="45"/>
  <c r="R97" i="45"/>
  <c r="J97" i="45"/>
  <c r="C97" i="45"/>
  <c r="A97" i="45"/>
  <c r="T96" i="45"/>
  <c r="R96" i="45"/>
  <c r="J96" i="45"/>
  <c r="C96" i="45"/>
  <c r="A96" i="45"/>
  <c r="T95" i="45"/>
  <c r="R95" i="45"/>
  <c r="J95" i="45"/>
  <c r="C95" i="45"/>
  <c r="A95" i="45"/>
  <c r="T94" i="45"/>
  <c r="R94" i="45"/>
  <c r="J94" i="45"/>
  <c r="C94" i="45"/>
  <c r="A94" i="45"/>
  <c r="T93" i="45"/>
  <c r="R93" i="45"/>
  <c r="J93" i="45"/>
  <c r="A93" i="45"/>
  <c r="T92" i="45"/>
  <c r="R92" i="45"/>
  <c r="J92" i="45"/>
  <c r="C92" i="45"/>
  <c r="A92" i="45"/>
  <c r="T91" i="45"/>
  <c r="R91" i="45"/>
  <c r="J91" i="45"/>
  <c r="C91" i="45"/>
  <c r="A91" i="45"/>
  <c r="T90" i="45"/>
  <c r="R90" i="45"/>
  <c r="J90" i="45"/>
  <c r="A90" i="45"/>
  <c r="T89" i="45"/>
  <c r="R89" i="45"/>
  <c r="J89" i="45"/>
  <c r="C89" i="45"/>
  <c r="A89" i="45"/>
  <c r="T88" i="45"/>
  <c r="R88" i="45"/>
  <c r="J88" i="45"/>
  <c r="A88" i="45"/>
  <c r="T87" i="45"/>
  <c r="R87" i="45"/>
  <c r="J87" i="45"/>
  <c r="C87" i="45"/>
  <c r="A87" i="45"/>
  <c r="T86" i="45"/>
  <c r="R86" i="45"/>
  <c r="J86" i="45"/>
  <c r="C86" i="45"/>
  <c r="A86" i="45"/>
  <c r="T85" i="45"/>
  <c r="R85" i="45"/>
  <c r="J85" i="45"/>
  <c r="A85" i="45"/>
  <c r="T84" i="45"/>
  <c r="R84" i="45"/>
  <c r="J84" i="45"/>
  <c r="C84" i="45"/>
  <c r="A84" i="45"/>
  <c r="T83" i="45"/>
  <c r="R83" i="45"/>
  <c r="J83" i="45"/>
  <c r="A83" i="45"/>
  <c r="T82" i="45"/>
  <c r="R82" i="45"/>
  <c r="J82" i="45"/>
  <c r="C82" i="45"/>
  <c r="A82" i="45"/>
  <c r="T81" i="45"/>
  <c r="R81" i="45"/>
  <c r="J81" i="45"/>
  <c r="C81" i="45"/>
  <c r="A81" i="45"/>
  <c r="T80" i="45"/>
  <c r="R80" i="45"/>
  <c r="J80" i="45"/>
  <c r="A80" i="45"/>
  <c r="T79" i="45"/>
  <c r="R79" i="45"/>
  <c r="J79" i="45"/>
  <c r="C79" i="45"/>
  <c r="A79" i="45"/>
  <c r="T78" i="45"/>
  <c r="R78" i="45"/>
  <c r="J78" i="45"/>
  <c r="C78" i="45"/>
  <c r="A78" i="45"/>
  <c r="T77" i="45"/>
  <c r="R77" i="45"/>
  <c r="J77" i="45"/>
  <c r="C77" i="45"/>
  <c r="A77" i="45"/>
  <c r="T76" i="45"/>
  <c r="R76" i="45"/>
  <c r="J76" i="45"/>
  <c r="A76" i="45"/>
  <c r="T75" i="45"/>
  <c r="R75" i="45"/>
  <c r="J75" i="45"/>
  <c r="A75" i="45"/>
  <c r="T74" i="45"/>
  <c r="R74" i="45"/>
  <c r="J74" i="45"/>
  <c r="C74" i="45"/>
  <c r="A74" i="45"/>
  <c r="T73" i="45"/>
  <c r="R73" i="45"/>
  <c r="J73" i="45"/>
  <c r="C73" i="45"/>
  <c r="A73" i="45"/>
  <c r="T72" i="45"/>
  <c r="R72" i="45"/>
  <c r="J72" i="45"/>
  <c r="C72" i="45"/>
  <c r="A72" i="45"/>
  <c r="T71" i="45"/>
  <c r="R71" i="45"/>
  <c r="J71" i="45"/>
  <c r="A71" i="45"/>
  <c r="T70" i="45"/>
  <c r="R70" i="45"/>
  <c r="J70" i="45"/>
  <c r="A70" i="45"/>
  <c r="T69" i="45"/>
  <c r="R69" i="45"/>
  <c r="J69" i="45"/>
  <c r="C69" i="45"/>
  <c r="A69" i="45"/>
  <c r="T68" i="45"/>
  <c r="R68" i="45"/>
  <c r="J68" i="45"/>
  <c r="A68" i="45"/>
  <c r="T67" i="45"/>
  <c r="R67" i="45"/>
  <c r="J67" i="45"/>
  <c r="C67" i="45"/>
  <c r="A67" i="45"/>
  <c r="T66" i="45"/>
  <c r="R66" i="45"/>
  <c r="J66" i="45"/>
  <c r="A66" i="45"/>
  <c r="T65" i="45"/>
  <c r="R65" i="45"/>
  <c r="J65" i="45"/>
  <c r="C65" i="45"/>
  <c r="A65" i="45"/>
  <c r="T64" i="45"/>
  <c r="R64" i="45"/>
  <c r="J64" i="45"/>
  <c r="A64" i="45"/>
  <c r="T63" i="45"/>
  <c r="R63" i="45"/>
  <c r="J63" i="45"/>
  <c r="A63" i="45"/>
  <c r="T62" i="45"/>
  <c r="R62" i="45"/>
  <c r="J62" i="45"/>
  <c r="A62" i="45"/>
  <c r="T61" i="45"/>
  <c r="R61" i="45"/>
  <c r="J61" i="45"/>
  <c r="A61" i="45"/>
  <c r="T60" i="45"/>
  <c r="R60" i="45"/>
  <c r="J60" i="45"/>
  <c r="C60" i="45"/>
  <c r="A60" i="45"/>
  <c r="T59" i="45"/>
  <c r="R59" i="45"/>
  <c r="J59" i="45"/>
  <c r="C59" i="45"/>
  <c r="A59" i="45"/>
  <c r="T58" i="45"/>
  <c r="R58" i="45"/>
  <c r="J58" i="45"/>
  <c r="C58" i="45"/>
  <c r="A58" i="45"/>
  <c r="T57" i="45"/>
  <c r="R57" i="45"/>
  <c r="J57" i="45"/>
  <c r="A57" i="45"/>
  <c r="T56" i="45"/>
  <c r="R56" i="45"/>
  <c r="J56" i="45"/>
  <c r="C56" i="45"/>
  <c r="A56" i="45"/>
  <c r="T55" i="45"/>
  <c r="R55" i="45"/>
  <c r="J55" i="45"/>
  <c r="C55" i="45"/>
  <c r="A55" i="45"/>
  <c r="T54" i="45"/>
  <c r="R54" i="45"/>
  <c r="J54" i="45"/>
  <c r="A54" i="45"/>
  <c r="T53" i="45"/>
  <c r="R53" i="45"/>
  <c r="J53" i="45"/>
  <c r="C53" i="45"/>
  <c r="A53" i="45"/>
  <c r="T52" i="45"/>
  <c r="R52" i="45"/>
  <c r="J52" i="45"/>
  <c r="A52" i="45"/>
  <c r="T51" i="45"/>
  <c r="R51" i="45"/>
  <c r="J51" i="45"/>
  <c r="C51" i="45"/>
  <c r="A51" i="45"/>
  <c r="T50" i="45"/>
  <c r="R50" i="45"/>
  <c r="J50" i="45"/>
  <c r="C50" i="45"/>
  <c r="A50" i="45"/>
  <c r="T49" i="45"/>
  <c r="R49" i="45"/>
  <c r="J49" i="45"/>
  <c r="A49" i="45"/>
  <c r="T48" i="45"/>
  <c r="R48" i="45"/>
  <c r="J48" i="45"/>
  <c r="C48" i="45"/>
  <c r="A48" i="45"/>
  <c r="T47" i="45"/>
  <c r="R47" i="45"/>
  <c r="J47" i="45"/>
  <c r="C47" i="45"/>
  <c r="A47" i="45"/>
  <c r="T46" i="45"/>
  <c r="R46" i="45"/>
  <c r="J46" i="45"/>
  <c r="A46" i="45"/>
  <c r="T45" i="45"/>
  <c r="R45" i="45"/>
  <c r="J45" i="45"/>
  <c r="C45" i="45"/>
  <c r="A45" i="45"/>
  <c r="T44" i="45"/>
  <c r="R44" i="45"/>
  <c r="J44" i="45"/>
  <c r="A44" i="45"/>
  <c r="T43" i="45"/>
  <c r="R43" i="45"/>
  <c r="J43" i="45"/>
  <c r="C43" i="45"/>
  <c r="A43" i="45"/>
  <c r="T42" i="45"/>
  <c r="R42" i="45"/>
  <c r="J42" i="45"/>
  <c r="C42" i="45"/>
  <c r="A42" i="45"/>
  <c r="T41" i="45"/>
  <c r="R41" i="45"/>
  <c r="J41" i="45"/>
  <c r="C41" i="45"/>
  <c r="A41" i="45"/>
  <c r="T40" i="45"/>
  <c r="R40" i="45"/>
  <c r="J40" i="45"/>
  <c r="A40" i="45"/>
  <c r="T39" i="45"/>
  <c r="R39" i="45"/>
  <c r="J39" i="45"/>
  <c r="A39" i="45"/>
  <c r="T38" i="45"/>
  <c r="R38" i="45"/>
  <c r="J38" i="45"/>
  <c r="C38" i="45"/>
  <c r="A38" i="45"/>
  <c r="T37" i="45"/>
  <c r="R37" i="45"/>
  <c r="J37" i="45"/>
  <c r="C37" i="45"/>
  <c r="A37" i="45"/>
  <c r="T36" i="45"/>
  <c r="R36" i="45"/>
  <c r="J36" i="45"/>
  <c r="C36" i="45"/>
  <c r="A36" i="45"/>
  <c r="T35" i="45"/>
  <c r="R35" i="45"/>
  <c r="J35" i="45"/>
  <c r="C35" i="45"/>
  <c r="A35" i="45"/>
  <c r="T34" i="45"/>
  <c r="R34" i="45"/>
  <c r="J34" i="45"/>
  <c r="A34" i="45"/>
  <c r="T33" i="45"/>
  <c r="R33" i="45"/>
  <c r="J33" i="45"/>
  <c r="C33" i="45"/>
  <c r="A33" i="45"/>
  <c r="T32" i="45"/>
  <c r="R32" i="45"/>
  <c r="J32" i="45"/>
  <c r="A32" i="45"/>
  <c r="T31" i="45"/>
  <c r="R31" i="45"/>
  <c r="J31" i="45"/>
  <c r="C31" i="45"/>
  <c r="A31" i="45"/>
  <c r="T30" i="45"/>
  <c r="R30" i="45"/>
  <c r="J30" i="45"/>
  <c r="C30" i="45"/>
  <c r="A30" i="45"/>
  <c r="T29" i="45"/>
  <c r="R29" i="45"/>
  <c r="J29" i="45"/>
  <c r="A29" i="45"/>
  <c r="T28" i="45"/>
  <c r="R28" i="45"/>
  <c r="J28" i="45"/>
  <c r="A28" i="45"/>
  <c r="T27" i="45"/>
  <c r="R27" i="45"/>
  <c r="J27" i="45"/>
  <c r="A27" i="45"/>
  <c r="T26" i="45"/>
  <c r="R26" i="45"/>
  <c r="J26" i="45"/>
  <c r="A26" i="45"/>
  <c r="T25" i="45"/>
  <c r="R25" i="45"/>
  <c r="J25" i="45"/>
  <c r="C25" i="45"/>
  <c r="A25" i="45"/>
  <c r="T24" i="45"/>
  <c r="R24" i="45"/>
  <c r="J24" i="45"/>
  <c r="A24" i="45"/>
  <c r="T23" i="45"/>
  <c r="R23" i="45"/>
  <c r="J23" i="45"/>
  <c r="C23" i="45"/>
  <c r="A23" i="45"/>
  <c r="T22" i="45"/>
  <c r="R22" i="45"/>
  <c r="J22" i="45"/>
  <c r="A22" i="45"/>
  <c r="T21" i="45"/>
  <c r="R21" i="45"/>
  <c r="J21" i="45"/>
  <c r="C21" i="45"/>
  <c r="A21" i="45"/>
  <c r="T20" i="45"/>
  <c r="R20" i="45"/>
  <c r="J20" i="45"/>
  <c r="C20" i="45"/>
  <c r="A20" i="45"/>
  <c r="T19" i="45"/>
  <c r="R19" i="45"/>
  <c r="J19" i="45"/>
  <c r="C19" i="45"/>
  <c r="A19" i="45"/>
  <c r="T18" i="45"/>
  <c r="R18" i="45"/>
  <c r="J18" i="45"/>
  <c r="C18" i="45"/>
  <c r="A18" i="45"/>
  <c r="T17" i="45"/>
  <c r="R17" i="45"/>
  <c r="J17" i="45"/>
  <c r="C17" i="45"/>
  <c r="A17" i="45"/>
  <c r="T16" i="45"/>
  <c r="R16" i="45"/>
  <c r="J16" i="45"/>
  <c r="A16" i="45"/>
  <c r="T15" i="45"/>
  <c r="R15" i="45"/>
  <c r="J15" i="45"/>
  <c r="C15" i="45"/>
  <c r="A15" i="45"/>
  <c r="T14" i="45"/>
  <c r="R14" i="45"/>
  <c r="J14" i="45"/>
  <c r="C14" i="45"/>
  <c r="A14" i="45"/>
  <c r="T13" i="45"/>
  <c r="R13" i="45"/>
  <c r="J13" i="45"/>
  <c r="C13" i="45"/>
  <c r="A13" i="45"/>
  <c r="T12" i="45"/>
  <c r="R12" i="45"/>
  <c r="J12" i="45"/>
  <c r="C12" i="45"/>
  <c r="A12" i="45"/>
  <c r="T11" i="45"/>
  <c r="R11" i="45"/>
  <c r="J11" i="45"/>
  <c r="A11" i="45"/>
  <c r="T10" i="45"/>
  <c r="R10" i="45"/>
  <c r="J10" i="45"/>
  <c r="A10" i="45"/>
  <c r="T9" i="45"/>
  <c r="R9" i="45"/>
  <c r="J9" i="45"/>
  <c r="C9" i="45"/>
  <c r="A9" i="45"/>
  <c r="T8" i="45"/>
  <c r="R8" i="45"/>
  <c r="J8" i="45"/>
  <c r="C8" i="45"/>
  <c r="A8" i="45"/>
  <c r="T7" i="45"/>
  <c r="R7" i="45"/>
  <c r="J7" i="45"/>
  <c r="A7" i="45"/>
  <c r="U206" i="44"/>
  <c r="S206" i="44"/>
  <c r="C206" i="44"/>
  <c r="A206" i="44"/>
  <c r="U205" i="44"/>
  <c r="S205" i="44"/>
  <c r="C205" i="44"/>
  <c r="A205" i="44"/>
  <c r="U204" i="44"/>
  <c r="S204" i="44"/>
  <c r="A204" i="44"/>
  <c r="U203" i="44"/>
  <c r="S203" i="44"/>
  <c r="C203" i="44"/>
  <c r="A203" i="44"/>
  <c r="U202" i="44"/>
  <c r="S202" i="44"/>
  <c r="C202" i="44"/>
  <c r="A202" i="44"/>
  <c r="U201" i="44"/>
  <c r="S201" i="44"/>
  <c r="A201" i="44"/>
  <c r="U200" i="44"/>
  <c r="S200" i="44"/>
  <c r="C200" i="44"/>
  <c r="A200" i="44"/>
  <c r="U199" i="44"/>
  <c r="S199" i="44"/>
  <c r="A199" i="44"/>
  <c r="U198" i="44"/>
  <c r="S198" i="44"/>
  <c r="A198" i="44"/>
  <c r="U197" i="44"/>
  <c r="S197" i="44"/>
  <c r="C197" i="44"/>
  <c r="A197" i="44"/>
  <c r="U196" i="44"/>
  <c r="S196" i="44"/>
  <c r="C196" i="44"/>
  <c r="A196" i="44"/>
  <c r="U195" i="44"/>
  <c r="S195" i="44"/>
  <c r="A195" i="44"/>
  <c r="U194" i="44"/>
  <c r="S194" i="44"/>
  <c r="C194" i="44"/>
  <c r="A194" i="44"/>
  <c r="U193" i="44"/>
  <c r="S193" i="44"/>
  <c r="C193" i="44"/>
  <c r="A193" i="44"/>
  <c r="U192" i="44"/>
  <c r="S192" i="44"/>
  <c r="A192" i="44"/>
  <c r="U191" i="44"/>
  <c r="S191" i="44"/>
  <c r="C191" i="44"/>
  <c r="A191" i="44"/>
  <c r="U190" i="44"/>
  <c r="S190" i="44"/>
  <c r="C190" i="44"/>
  <c r="A190" i="44"/>
  <c r="U189" i="44"/>
  <c r="S189" i="44"/>
  <c r="A189" i="44"/>
  <c r="U188" i="44"/>
  <c r="S188" i="44"/>
  <c r="C188" i="44"/>
  <c r="A188" i="44"/>
  <c r="U187" i="44"/>
  <c r="S187" i="44"/>
  <c r="C187" i="44"/>
  <c r="A187" i="44"/>
  <c r="U186" i="44"/>
  <c r="S186" i="44"/>
  <c r="A186" i="44"/>
  <c r="U185" i="44"/>
  <c r="S185" i="44"/>
  <c r="C185" i="44"/>
  <c r="A185" i="44"/>
  <c r="U184" i="44"/>
  <c r="S184" i="44"/>
  <c r="C184" i="44"/>
  <c r="A184" i="44"/>
  <c r="U183" i="44"/>
  <c r="S183" i="44"/>
  <c r="A183" i="44"/>
  <c r="U182" i="44"/>
  <c r="S182" i="44"/>
  <c r="C182" i="44"/>
  <c r="A182" i="44"/>
  <c r="U181" i="44"/>
  <c r="S181" i="44"/>
  <c r="C181" i="44"/>
  <c r="A181" i="44"/>
  <c r="U180" i="44"/>
  <c r="S180" i="44"/>
  <c r="A180" i="44"/>
  <c r="U179" i="44"/>
  <c r="S179" i="44"/>
  <c r="C179" i="44"/>
  <c r="A179" i="44"/>
  <c r="U178" i="44"/>
  <c r="S178" i="44"/>
  <c r="C178" i="44"/>
  <c r="A178" i="44"/>
  <c r="U177" i="44"/>
  <c r="S177" i="44"/>
  <c r="A177" i="44"/>
  <c r="U176" i="44"/>
  <c r="S176" i="44"/>
  <c r="A176" i="44"/>
  <c r="U175" i="44"/>
  <c r="S175" i="44"/>
  <c r="C175" i="44"/>
  <c r="A175" i="44"/>
  <c r="U174" i="44"/>
  <c r="S174" i="44"/>
  <c r="A174" i="44"/>
  <c r="U173" i="44"/>
  <c r="S173" i="44"/>
  <c r="C173" i="44"/>
  <c r="A173" i="44"/>
  <c r="U172" i="44"/>
  <c r="S172" i="44"/>
  <c r="C172" i="44"/>
  <c r="A172" i="44"/>
  <c r="U171" i="44"/>
  <c r="S171" i="44"/>
  <c r="A171" i="44"/>
  <c r="U170" i="44"/>
  <c r="S170" i="44"/>
  <c r="C170" i="44"/>
  <c r="A170" i="44"/>
  <c r="U169" i="44"/>
  <c r="S169" i="44"/>
  <c r="C169" i="44"/>
  <c r="A169" i="44"/>
  <c r="U168" i="44"/>
  <c r="S168" i="44"/>
  <c r="A168" i="44"/>
  <c r="U167" i="44"/>
  <c r="S167" i="44"/>
  <c r="C167" i="44"/>
  <c r="A167" i="44"/>
  <c r="U166" i="44"/>
  <c r="S166" i="44"/>
  <c r="C166" i="44"/>
  <c r="A166" i="44"/>
  <c r="U165" i="44"/>
  <c r="S165" i="44"/>
  <c r="A165" i="44"/>
  <c r="U164" i="44"/>
  <c r="S164" i="44"/>
  <c r="C164" i="44"/>
  <c r="A164" i="44"/>
  <c r="U163" i="44"/>
  <c r="S163" i="44"/>
  <c r="A163" i="44"/>
  <c r="U162" i="44"/>
  <c r="S162" i="44"/>
  <c r="A162" i="44"/>
  <c r="U161" i="44"/>
  <c r="S161" i="44"/>
  <c r="C161" i="44"/>
  <c r="A161" i="44"/>
  <c r="U160" i="44"/>
  <c r="S160" i="44"/>
  <c r="C160" i="44"/>
  <c r="A160" i="44"/>
  <c r="U159" i="44"/>
  <c r="S159" i="44"/>
  <c r="A159" i="44"/>
  <c r="U158" i="44"/>
  <c r="S158" i="44"/>
  <c r="C158" i="44"/>
  <c r="A158" i="44"/>
  <c r="U157" i="44"/>
  <c r="S157" i="44"/>
  <c r="C157" i="44"/>
  <c r="A157" i="44"/>
  <c r="U156" i="44"/>
  <c r="S156" i="44"/>
  <c r="A156" i="44"/>
  <c r="U155" i="44"/>
  <c r="S155" i="44"/>
  <c r="C155" i="44"/>
  <c r="A155" i="44"/>
  <c r="U154" i="44"/>
  <c r="S154" i="44"/>
  <c r="C154" i="44"/>
  <c r="A154" i="44"/>
  <c r="U153" i="44"/>
  <c r="S153" i="44"/>
  <c r="A153" i="44"/>
  <c r="U152" i="44"/>
  <c r="S152" i="44"/>
  <c r="C152" i="44"/>
  <c r="A152" i="44"/>
  <c r="U151" i="44"/>
  <c r="S151" i="44"/>
  <c r="C151" i="44"/>
  <c r="A151" i="44"/>
  <c r="U150" i="44"/>
  <c r="S150" i="44"/>
  <c r="A150" i="44"/>
  <c r="U149" i="44"/>
  <c r="S149" i="44"/>
  <c r="C149" i="44"/>
  <c r="A149" i="44"/>
  <c r="U148" i="44"/>
  <c r="S148" i="44"/>
  <c r="C148" i="44"/>
  <c r="A148" i="44"/>
  <c r="U147" i="44"/>
  <c r="S147" i="44"/>
  <c r="A147" i="44"/>
  <c r="U146" i="44"/>
  <c r="S146" i="44"/>
  <c r="C146" i="44"/>
  <c r="A146" i="44"/>
  <c r="U145" i="44"/>
  <c r="S145" i="44"/>
  <c r="C145" i="44"/>
  <c r="A145" i="44"/>
  <c r="U144" i="44"/>
  <c r="S144" i="44"/>
  <c r="A144" i="44"/>
  <c r="U143" i="44"/>
  <c r="S143" i="44"/>
  <c r="C143" i="44"/>
  <c r="A143" i="44"/>
  <c r="U142" i="44"/>
  <c r="S142" i="44"/>
  <c r="C142" i="44"/>
  <c r="A142" i="44"/>
  <c r="U141" i="44"/>
  <c r="S141" i="44"/>
  <c r="A141" i="44"/>
  <c r="U140" i="44"/>
  <c r="S140" i="44"/>
  <c r="A140" i="44"/>
  <c r="U139" i="44"/>
  <c r="S139" i="44"/>
  <c r="C139" i="44"/>
  <c r="A139" i="44"/>
  <c r="U138" i="44"/>
  <c r="S138" i="44"/>
  <c r="A138" i="44"/>
  <c r="U137" i="44"/>
  <c r="S137" i="44"/>
  <c r="C137" i="44"/>
  <c r="A137" i="44"/>
  <c r="U136" i="44"/>
  <c r="S136" i="44"/>
  <c r="C136" i="44"/>
  <c r="A136" i="44"/>
  <c r="U135" i="44"/>
  <c r="S135" i="44"/>
  <c r="A135" i="44"/>
  <c r="U134" i="44"/>
  <c r="S134" i="44"/>
  <c r="C134" i="44"/>
  <c r="A134" i="44"/>
  <c r="U133" i="44"/>
  <c r="S133" i="44"/>
  <c r="C133" i="44"/>
  <c r="A133" i="44"/>
  <c r="U132" i="44"/>
  <c r="S132" i="44"/>
  <c r="A132" i="44"/>
  <c r="U131" i="44"/>
  <c r="S131" i="44"/>
  <c r="C131" i="44"/>
  <c r="A131" i="44"/>
  <c r="U130" i="44"/>
  <c r="S130" i="44"/>
  <c r="C130" i="44"/>
  <c r="A130" i="44"/>
  <c r="U129" i="44"/>
  <c r="S129" i="44"/>
  <c r="A129" i="44"/>
  <c r="U128" i="44"/>
  <c r="S128" i="44"/>
  <c r="C128" i="44"/>
  <c r="A128" i="44"/>
  <c r="U127" i="44"/>
  <c r="S127" i="44"/>
  <c r="A127" i="44"/>
  <c r="U126" i="44"/>
  <c r="S126" i="44"/>
  <c r="A126" i="44"/>
  <c r="U125" i="44"/>
  <c r="S125" i="44"/>
  <c r="C125" i="44"/>
  <c r="A125" i="44"/>
  <c r="U124" i="44"/>
  <c r="S124" i="44"/>
  <c r="C124" i="44"/>
  <c r="A124" i="44"/>
  <c r="U123" i="44"/>
  <c r="S123" i="44"/>
  <c r="A123" i="44"/>
  <c r="U122" i="44"/>
  <c r="S122" i="44"/>
  <c r="C122" i="44"/>
  <c r="A122" i="44"/>
  <c r="U121" i="44"/>
  <c r="S121" i="44"/>
  <c r="C121" i="44"/>
  <c r="A121" i="44"/>
  <c r="U120" i="44"/>
  <c r="S120" i="44"/>
  <c r="A120" i="44"/>
  <c r="U119" i="44"/>
  <c r="S119" i="44"/>
  <c r="C119" i="44"/>
  <c r="A119" i="44"/>
  <c r="U118" i="44"/>
  <c r="S118" i="44"/>
  <c r="C118" i="44"/>
  <c r="A118" i="44"/>
  <c r="U117" i="44"/>
  <c r="S117" i="44"/>
  <c r="A117" i="44"/>
  <c r="U116" i="44"/>
  <c r="S116" i="44"/>
  <c r="C116" i="44"/>
  <c r="A116" i="44"/>
  <c r="U115" i="44"/>
  <c r="S115" i="44"/>
  <c r="C115" i="44"/>
  <c r="A115" i="44"/>
  <c r="U114" i="44"/>
  <c r="S114" i="44"/>
  <c r="A114" i="44"/>
  <c r="U113" i="44"/>
  <c r="S113" i="44"/>
  <c r="C113" i="44"/>
  <c r="A113" i="44"/>
  <c r="U112" i="44"/>
  <c r="S112" i="44"/>
  <c r="C112" i="44"/>
  <c r="A112" i="44"/>
  <c r="U111" i="44"/>
  <c r="S111" i="44"/>
  <c r="A111" i="44"/>
  <c r="U110" i="44"/>
  <c r="S110" i="44"/>
  <c r="C110" i="44"/>
  <c r="A110" i="44"/>
  <c r="U109" i="44"/>
  <c r="S109" i="44"/>
  <c r="C109" i="44"/>
  <c r="A109" i="44"/>
  <c r="U108" i="44"/>
  <c r="S108" i="44"/>
  <c r="A108" i="44"/>
  <c r="U107" i="44"/>
  <c r="S107" i="44"/>
  <c r="C107" i="44"/>
  <c r="A107" i="44"/>
  <c r="U106" i="44"/>
  <c r="S106" i="44"/>
  <c r="C106" i="44"/>
  <c r="A106" i="44"/>
  <c r="U105" i="44"/>
  <c r="S105" i="44"/>
  <c r="A105" i="44"/>
  <c r="U104" i="44"/>
  <c r="S104" i="44"/>
  <c r="A104" i="44"/>
  <c r="U103" i="44"/>
  <c r="S103" i="44"/>
  <c r="C103" i="44"/>
  <c r="A103" i="44"/>
  <c r="U102" i="44"/>
  <c r="S102" i="44"/>
  <c r="A102" i="44"/>
  <c r="U101" i="44"/>
  <c r="S101" i="44"/>
  <c r="C101" i="44"/>
  <c r="A101" i="44"/>
  <c r="U100" i="44"/>
  <c r="S100" i="44"/>
  <c r="C100" i="44"/>
  <c r="A100" i="44"/>
  <c r="U99" i="44"/>
  <c r="S99" i="44"/>
  <c r="A99" i="44"/>
  <c r="U98" i="44"/>
  <c r="S98" i="44"/>
  <c r="C98" i="44"/>
  <c r="A98" i="44"/>
  <c r="U97" i="44"/>
  <c r="S97" i="44"/>
  <c r="C97" i="44"/>
  <c r="A97" i="44"/>
  <c r="U96" i="44"/>
  <c r="S96" i="44"/>
  <c r="A96" i="44"/>
  <c r="U95" i="44"/>
  <c r="S95" i="44"/>
  <c r="C95" i="44"/>
  <c r="A95" i="44"/>
  <c r="U94" i="44"/>
  <c r="S94" i="44"/>
  <c r="C94" i="44"/>
  <c r="A94" i="44"/>
  <c r="U93" i="44"/>
  <c r="S93" i="44"/>
  <c r="A93" i="44"/>
  <c r="U92" i="44"/>
  <c r="S92" i="44"/>
  <c r="C92" i="44"/>
  <c r="A92" i="44"/>
  <c r="U91" i="44"/>
  <c r="S91" i="44"/>
  <c r="A91" i="44"/>
  <c r="U90" i="44"/>
  <c r="S90" i="44"/>
  <c r="A90" i="44"/>
  <c r="U89" i="44"/>
  <c r="S89" i="44"/>
  <c r="C89" i="44"/>
  <c r="A89" i="44"/>
  <c r="U88" i="44"/>
  <c r="S88" i="44"/>
  <c r="C88" i="44"/>
  <c r="A88" i="44"/>
  <c r="U87" i="44"/>
  <c r="S87" i="44"/>
  <c r="A87" i="44"/>
  <c r="U86" i="44"/>
  <c r="S86" i="44"/>
  <c r="C86" i="44"/>
  <c r="A86" i="44"/>
  <c r="U85" i="44"/>
  <c r="S85" i="44"/>
  <c r="C85" i="44"/>
  <c r="A85" i="44"/>
  <c r="U84" i="44"/>
  <c r="S84" i="44"/>
  <c r="A84" i="44"/>
  <c r="U83" i="44"/>
  <c r="S83" i="44"/>
  <c r="C83" i="44"/>
  <c r="A83" i="44"/>
  <c r="U82" i="44"/>
  <c r="S82" i="44"/>
  <c r="C82" i="44"/>
  <c r="A82" i="44"/>
  <c r="U81" i="44"/>
  <c r="S81" i="44"/>
  <c r="A81" i="44"/>
  <c r="U80" i="44"/>
  <c r="S80" i="44"/>
  <c r="C80" i="44"/>
  <c r="A80" i="44"/>
  <c r="U79" i="44"/>
  <c r="S79" i="44"/>
  <c r="C79" i="44"/>
  <c r="A79" i="44"/>
  <c r="U78" i="44"/>
  <c r="S78" i="44"/>
  <c r="A78" i="44"/>
  <c r="U77" i="44"/>
  <c r="S77" i="44"/>
  <c r="C77" i="44"/>
  <c r="A77" i="44"/>
  <c r="U76" i="44"/>
  <c r="S76" i="44"/>
  <c r="C76" i="44"/>
  <c r="A76" i="44"/>
  <c r="U75" i="44"/>
  <c r="S75" i="44"/>
  <c r="A75" i="44"/>
  <c r="U74" i="44"/>
  <c r="S74" i="44"/>
  <c r="C74" i="44"/>
  <c r="A74" i="44"/>
  <c r="U73" i="44"/>
  <c r="S73" i="44"/>
  <c r="C73" i="44"/>
  <c r="A73" i="44"/>
  <c r="U72" i="44"/>
  <c r="S72" i="44"/>
  <c r="A72" i="44"/>
  <c r="U71" i="44"/>
  <c r="S71" i="44"/>
  <c r="C71" i="44"/>
  <c r="A71" i="44"/>
  <c r="U70" i="44"/>
  <c r="S70" i="44"/>
  <c r="C70" i="44"/>
  <c r="A70" i="44"/>
  <c r="U69" i="44"/>
  <c r="S69" i="44"/>
  <c r="A69" i="44"/>
  <c r="U68" i="44"/>
  <c r="S68" i="44"/>
  <c r="A68" i="44"/>
  <c r="U67" i="44"/>
  <c r="S67" i="44"/>
  <c r="C67" i="44"/>
  <c r="A67" i="44"/>
  <c r="U66" i="44"/>
  <c r="S66" i="44"/>
  <c r="A66" i="44"/>
  <c r="U65" i="44"/>
  <c r="S65" i="44"/>
  <c r="C65" i="44"/>
  <c r="A65" i="44"/>
  <c r="U64" i="44"/>
  <c r="S64" i="44"/>
  <c r="C64" i="44"/>
  <c r="A64" i="44"/>
  <c r="U63" i="44"/>
  <c r="S63" i="44"/>
  <c r="A63" i="44"/>
  <c r="U62" i="44"/>
  <c r="S62" i="44"/>
  <c r="C62" i="44"/>
  <c r="A62" i="44"/>
  <c r="U61" i="44"/>
  <c r="S61" i="44"/>
  <c r="C61" i="44"/>
  <c r="A61" i="44"/>
  <c r="U60" i="44"/>
  <c r="S60" i="44"/>
  <c r="A60" i="44"/>
  <c r="U59" i="44"/>
  <c r="S59" i="44"/>
  <c r="C59" i="44"/>
  <c r="A59" i="44"/>
  <c r="U58" i="44"/>
  <c r="S58" i="44"/>
  <c r="C58" i="44"/>
  <c r="A58" i="44"/>
  <c r="U57" i="44"/>
  <c r="S57" i="44"/>
  <c r="A57" i="44"/>
  <c r="U56" i="44"/>
  <c r="S56" i="44"/>
  <c r="C56" i="44"/>
  <c r="A56" i="44"/>
  <c r="U55" i="44"/>
  <c r="S55" i="44"/>
  <c r="A55" i="44"/>
  <c r="U54" i="44"/>
  <c r="S54" i="44"/>
  <c r="A54" i="44"/>
  <c r="U53" i="44"/>
  <c r="S53" i="44"/>
  <c r="C53" i="44"/>
  <c r="A53" i="44"/>
  <c r="U52" i="44"/>
  <c r="S52" i="44"/>
  <c r="C52" i="44"/>
  <c r="A52" i="44"/>
  <c r="U51" i="44"/>
  <c r="S51" i="44"/>
  <c r="A51" i="44"/>
  <c r="U50" i="44"/>
  <c r="S50" i="44"/>
  <c r="C50" i="44"/>
  <c r="A50" i="44"/>
  <c r="U49" i="44"/>
  <c r="S49" i="44"/>
  <c r="C49" i="44"/>
  <c r="A49" i="44"/>
  <c r="U48" i="44"/>
  <c r="S48" i="44"/>
  <c r="A48" i="44"/>
  <c r="U47" i="44"/>
  <c r="S47" i="44"/>
  <c r="C47" i="44"/>
  <c r="A47" i="44"/>
  <c r="U46" i="44"/>
  <c r="S46" i="44"/>
  <c r="C46" i="44"/>
  <c r="A46" i="44"/>
  <c r="U45" i="44"/>
  <c r="S45" i="44"/>
  <c r="A45" i="44"/>
  <c r="U44" i="44"/>
  <c r="S44" i="44"/>
  <c r="C44" i="44"/>
  <c r="A44" i="44"/>
  <c r="U43" i="44"/>
  <c r="S43" i="44"/>
  <c r="C43" i="44"/>
  <c r="A43" i="44"/>
  <c r="U42" i="44"/>
  <c r="S42" i="44"/>
  <c r="A42" i="44"/>
  <c r="U41" i="44"/>
  <c r="S41" i="44"/>
  <c r="C41" i="44"/>
  <c r="A41" i="44"/>
  <c r="U40" i="44"/>
  <c r="S40" i="44"/>
  <c r="C40" i="44"/>
  <c r="A40" i="44"/>
  <c r="U39" i="44"/>
  <c r="S39" i="44"/>
  <c r="A39" i="44"/>
  <c r="U38" i="44"/>
  <c r="S38" i="44"/>
  <c r="C38" i="44"/>
  <c r="A38" i="44"/>
  <c r="U37" i="44"/>
  <c r="S37" i="44"/>
  <c r="C37" i="44"/>
  <c r="A37" i="44"/>
  <c r="U36" i="44"/>
  <c r="S36" i="44"/>
  <c r="A36" i="44"/>
  <c r="U35" i="44"/>
  <c r="S35" i="44"/>
  <c r="C35" i="44"/>
  <c r="A35" i="44"/>
  <c r="U34" i="44"/>
  <c r="S34" i="44"/>
  <c r="C34" i="44"/>
  <c r="A34" i="44"/>
  <c r="U33" i="44"/>
  <c r="S33" i="44"/>
  <c r="A33" i="44"/>
  <c r="U32" i="44"/>
  <c r="S32" i="44"/>
  <c r="A32" i="44"/>
  <c r="U31" i="44"/>
  <c r="S31" i="44"/>
  <c r="C31" i="44"/>
  <c r="A31" i="44"/>
  <c r="U30" i="44"/>
  <c r="S30" i="44"/>
  <c r="A30" i="44"/>
  <c r="U29" i="44"/>
  <c r="S29" i="44"/>
  <c r="C29" i="44"/>
  <c r="A29" i="44"/>
  <c r="U28" i="44"/>
  <c r="S28" i="44"/>
  <c r="C28" i="44"/>
  <c r="A28" i="44"/>
  <c r="U27" i="44"/>
  <c r="S27" i="44"/>
  <c r="A27" i="44"/>
  <c r="U26" i="44"/>
  <c r="S26" i="44"/>
  <c r="C26" i="44"/>
  <c r="A26" i="44"/>
  <c r="U25" i="44"/>
  <c r="S25" i="44"/>
  <c r="C25" i="44"/>
  <c r="A25" i="44"/>
  <c r="U24" i="44"/>
  <c r="S24" i="44"/>
  <c r="A24" i="44"/>
  <c r="U23" i="44"/>
  <c r="S23" i="44"/>
  <c r="C23" i="44"/>
  <c r="A23" i="44"/>
  <c r="U22" i="44"/>
  <c r="S22" i="44"/>
  <c r="C22" i="44"/>
  <c r="A22" i="44"/>
  <c r="U21" i="44"/>
  <c r="S21" i="44"/>
  <c r="A21" i="44"/>
  <c r="U20" i="44"/>
  <c r="S20" i="44"/>
  <c r="C20" i="44"/>
  <c r="A20" i="44"/>
  <c r="U19" i="44"/>
  <c r="S19" i="44"/>
  <c r="A19" i="44"/>
  <c r="U18" i="44"/>
  <c r="S18" i="44"/>
  <c r="A18" i="44"/>
  <c r="U17" i="44"/>
  <c r="S17" i="44"/>
  <c r="C17" i="44"/>
  <c r="A17" i="44"/>
  <c r="U16" i="44"/>
  <c r="S16" i="44"/>
  <c r="C16" i="44"/>
  <c r="A16" i="44"/>
  <c r="U15" i="44"/>
  <c r="S15" i="44"/>
  <c r="A15" i="44"/>
  <c r="U14" i="44"/>
  <c r="S14" i="44"/>
  <c r="C14" i="44"/>
  <c r="A14" i="44"/>
  <c r="U13" i="44"/>
  <c r="S13" i="44"/>
  <c r="C13" i="44"/>
  <c r="A13" i="44"/>
  <c r="U12" i="44"/>
  <c r="S12" i="44"/>
  <c r="A12" i="44"/>
  <c r="U11" i="44"/>
  <c r="S11" i="44"/>
  <c r="C11" i="44"/>
  <c r="A11" i="44"/>
  <c r="U10" i="44"/>
  <c r="S10" i="44"/>
  <c r="C10" i="44"/>
  <c r="A10" i="44"/>
  <c r="U9" i="44"/>
  <c r="S9" i="44"/>
  <c r="A9" i="44"/>
  <c r="U8" i="44"/>
  <c r="S8" i="44"/>
  <c r="C8" i="44"/>
  <c r="A8" i="44"/>
  <c r="U7" i="44"/>
  <c r="S7" i="44"/>
  <c r="C7" i="44"/>
  <c r="A7" i="44"/>
  <c r="R206" i="43"/>
  <c r="P206" i="43"/>
  <c r="A206" i="43"/>
  <c r="R205" i="43"/>
  <c r="P205" i="43"/>
  <c r="C205" i="43"/>
  <c r="A205" i="43"/>
  <c r="R204" i="43"/>
  <c r="P204" i="43"/>
  <c r="C204" i="43"/>
  <c r="A204" i="43"/>
  <c r="R203" i="43"/>
  <c r="P203" i="43"/>
  <c r="A203" i="43"/>
  <c r="R202" i="43"/>
  <c r="P202" i="43"/>
  <c r="C202" i="43"/>
  <c r="A202" i="43"/>
  <c r="R201" i="43"/>
  <c r="P201" i="43"/>
  <c r="C201" i="43"/>
  <c r="A201" i="43"/>
  <c r="R200" i="43"/>
  <c r="P200" i="43"/>
  <c r="A200" i="43"/>
  <c r="R199" i="43"/>
  <c r="P199" i="43"/>
  <c r="C199" i="43"/>
  <c r="A199" i="43"/>
  <c r="R198" i="43"/>
  <c r="P198" i="43"/>
  <c r="C198" i="43"/>
  <c r="A198" i="43"/>
  <c r="R197" i="43"/>
  <c r="P197" i="43"/>
  <c r="A197" i="43"/>
  <c r="R196" i="43"/>
  <c r="P196" i="43"/>
  <c r="A196" i="43"/>
  <c r="R195" i="43"/>
  <c r="P195" i="43"/>
  <c r="C195" i="43"/>
  <c r="A195" i="43"/>
  <c r="R194" i="43"/>
  <c r="P194" i="43"/>
  <c r="A194" i="43"/>
  <c r="R193" i="43"/>
  <c r="P193" i="43"/>
  <c r="C193" i="43"/>
  <c r="A193" i="43"/>
  <c r="R192" i="43"/>
  <c r="P192" i="43"/>
  <c r="C192" i="43"/>
  <c r="A192" i="43"/>
  <c r="R191" i="43"/>
  <c r="P191" i="43"/>
  <c r="A191" i="43"/>
  <c r="R190" i="43"/>
  <c r="P190" i="43"/>
  <c r="C190" i="43"/>
  <c r="A190" i="43"/>
  <c r="R189" i="43"/>
  <c r="P189" i="43"/>
  <c r="C189" i="43"/>
  <c r="A189" i="43"/>
  <c r="R188" i="43"/>
  <c r="P188" i="43"/>
  <c r="A188" i="43"/>
  <c r="R187" i="43"/>
  <c r="P187" i="43"/>
  <c r="C187" i="43"/>
  <c r="A187" i="43"/>
  <c r="R186" i="43"/>
  <c r="P186" i="43"/>
  <c r="C186" i="43"/>
  <c r="A186" i="43"/>
  <c r="R185" i="43"/>
  <c r="P185" i="43"/>
  <c r="A185" i="43"/>
  <c r="R184" i="43"/>
  <c r="P184" i="43"/>
  <c r="C184" i="43"/>
  <c r="A184" i="43"/>
  <c r="R183" i="43"/>
  <c r="P183" i="43"/>
  <c r="A183" i="43"/>
  <c r="R182" i="43"/>
  <c r="P182" i="43"/>
  <c r="A182" i="43"/>
  <c r="R181" i="43"/>
  <c r="P181" i="43"/>
  <c r="C181" i="43"/>
  <c r="A181" i="43"/>
  <c r="R180" i="43"/>
  <c r="P180" i="43"/>
  <c r="C180" i="43"/>
  <c r="A180" i="43"/>
  <c r="R179" i="43"/>
  <c r="P179" i="43"/>
  <c r="A179" i="43"/>
  <c r="R178" i="43"/>
  <c r="P178" i="43"/>
  <c r="C178" i="43"/>
  <c r="A178" i="43"/>
  <c r="R177" i="43"/>
  <c r="P177" i="43"/>
  <c r="C177" i="43"/>
  <c r="A177" i="43"/>
  <c r="R176" i="43"/>
  <c r="P176" i="43"/>
  <c r="A176" i="43"/>
  <c r="R175" i="43"/>
  <c r="P175" i="43"/>
  <c r="C175" i="43"/>
  <c r="A175" i="43"/>
  <c r="R174" i="43"/>
  <c r="P174" i="43"/>
  <c r="C174" i="43"/>
  <c r="A174" i="43"/>
  <c r="R173" i="43"/>
  <c r="P173" i="43"/>
  <c r="A173" i="43"/>
  <c r="R172" i="43"/>
  <c r="P172" i="43"/>
  <c r="C172" i="43"/>
  <c r="A172" i="43"/>
  <c r="R171" i="43"/>
  <c r="P171" i="43"/>
  <c r="C171" i="43"/>
  <c r="A171" i="43"/>
  <c r="R170" i="43"/>
  <c r="P170" i="43"/>
  <c r="A170" i="43"/>
  <c r="R169" i="43"/>
  <c r="P169" i="43"/>
  <c r="C169" i="43"/>
  <c r="A169" i="43"/>
  <c r="R168" i="43"/>
  <c r="P168" i="43"/>
  <c r="C168" i="43"/>
  <c r="A168" i="43"/>
  <c r="R167" i="43"/>
  <c r="P167" i="43"/>
  <c r="A167" i="43"/>
  <c r="R166" i="43"/>
  <c r="P166" i="43"/>
  <c r="C166" i="43"/>
  <c r="A166" i="43"/>
  <c r="R165" i="43"/>
  <c r="P165" i="43"/>
  <c r="C165" i="43"/>
  <c r="A165" i="43"/>
  <c r="R164" i="43"/>
  <c r="P164" i="43"/>
  <c r="A164" i="43"/>
  <c r="R163" i="43"/>
  <c r="P163" i="43"/>
  <c r="C163" i="43"/>
  <c r="A163" i="43"/>
  <c r="R162" i="43"/>
  <c r="P162" i="43"/>
  <c r="C162" i="43"/>
  <c r="A162" i="43"/>
  <c r="R161" i="43"/>
  <c r="P161" i="43"/>
  <c r="A161" i="43"/>
  <c r="R160" i="43"/>
  <c r="P160" i="43"/>
  <c r="A160" i="43"/>
  <c r="R159" i="43"/>
  <c r="P159" i="43"/>
  <c r="C159" i="43"/>
  <c r="A159" i="43"/>
  <c r="R158" i="43"/>
  <c r="P158" i="43"/>
  <c r="A158" i="43"/>
  <c r="R157" i="43"/>
  <c r="P157" i="43"/>
  <c r="C157" i="43"/>
  <c r="A157" i="43"/>
  <c r="R156" i="43"/>
  <c r="P156" i="43"/>
  <c r="C156" i="43"/>
  <c r="A156" i="43"/>
  <c r="R155" i="43"/>
  <c r="P155" i="43"/>
  <c r="A155" i="43"/>
  <c r="R154" i="43"/>
  <c r="P154" i="43"/>
  <c r="C154" i="43"/>
  <c r="A154" i="43"/>
  <c r="R153" i="43"/>
  <c r="P153" i="43"/>
  <c r="C153" i="43"/>
  <c r="A153" i="43"/>
  <c r="R152" i="43"/>
  <c r="P152" i="43"/>
  <c r="A152" i="43"/>
  <c r="R151" i="43"/>
  <c r="P151" i="43"/>
  <c r="C151" i="43"/>
  <c r="A151" i="43"/>
  <c r="R150" i="43"/>
  <c r="P150" i="43"/>
  <c r="C150" i="43"/>
  <c r="A150" i="43"/>
  <c r="R149" i="43"/>
  <c r="P149" i="43"/>
  <c r="A149" i="43"/>
  <c r="R148" i="43"/>
  <c r="P148" i="43"/>
  <c r="C148" i="43"/>
  <c r="A148" i="43"/>
  <c r="R147" i="43"/>
  <c r="P147" i="43"/>
  <c r="A147" i="43"/>
  <c r="R146" i="43"/>
  <c r="P146" i="43"/>
  <c r="A146" i="43"/>
  <c r="R145" i="43"/>
  <c r="P145" i="43"/>
  <c r="C145" i="43"/>
  <c r="A145" i="43"/>
  <c r="R144" i="43"/>
  <c r="P144" i="43"/>
  <c r="C144" i="43"/>
  <c r="A144" i="43"/>
  <c r="R143" i="43"/>
  <c r="P143" i="43"/>
  <c r="A143" i="43"/>
  <c r="R142" i="43"/>
  <c r="P142" i="43"/>
  <c r="C142" i="43"/>
  <c r="A142" i="43"/>
  <c r="R141" i="43"/>
  <c r="P141" i="43"/>
  <c r="C141" i="43"/>
  <c r="A141" i="43"/>
  <c r="R140" i="43"/>
  <c r="P140" i="43"/>
  <c r="A140" i="43"/>
  <c r="R139" i="43"/>
  <c r="P139" i="43"/>
  <c r="C139" i="43"/>
  <c r="A139" i="43"/>
  <c r="R138" i="43"/>
  <c r="P138" i="43"/>
  <c r="C138" i="43"/>
  <c r="A138" i="43"/>
  <c r="R137" i="43"/>
  <c r="P137" i="43"/>
  <c r="A137" i="43"/>
  <c r="R136" i="43"/>
  <c r="P136" i="43"/>
  <c r="C136" i="43"/>
  <c r="A136" i="43"/>
  <c r="R135" i="43"/>
  <c r="P135" i="43"/>
  <c r="C135" i="43"/>
  <c r="A135" i="43"/>
  <c r="R134" i="43"/>
  <c r="P134" i="43"/>
  <c r="A134" i="43"/>
  <c r="R133" i="43"/>
  <c r="P133" i="43"/>
  <c r="C133" i="43"/>
  <c r="A133" i="43"/>
  <c r="R132" i="43"/>
  <c r="P132" i="43"/>
  <c r="C132" i="43"/>
  <c r="A132" i="43"/>
  <c r="R131" i="43"/>
  <c r="P131" i="43"/>
  <c r="A131" i="43"/>
  <c r="R130" i="43"/>
  <c r="P130" i="43"/>
  <c r="C130" i="43"/>
  <c r="A130" i="43"/>
  <c r="R129" i="43"/>
  <c r="P129" i="43"/>
  <c r="C129" i="43"/>
  <c r="A129" i="43"/>
  <c r="R128" i="43"/>
  <c r="P128" i="43"/>
  <c r="A128" i="43"/>
  <c r="R127" i="43"/>
  <c r="P127" i="43"/>
  <c r="C127" i="43"/>
  <c r="A127" i="43"/>
  <c r="R126" i="43"/>
  <c r="P126" i="43"/>
  <c r="C126" i="43"/>
  <c r="A126" i="43"/>
  <c r="R125" i="43"/>
  <c r="P125" i="43"/>
  <c r="A125" i="43"/>
  <c r="R124" i="43"/>
  <c r="P124" i="43"/>
  <c r="A124" i="43"/>
  <c r="R123" i="43"/>
  <c r="P123" i="43"/>
  <c r="C123" i="43"/>
  <c r="A123" i="43"/>
  <c r="R122" i="43"/>
  <c r="P122" i="43"/>
  <c r="A122" i="43"/>
  <c r="R121" i="43"/>
  <c r="P121" i="43"/>
  <c r="C121" i="43"/>
  <c r="A121" i="43"/>
  <c r="R120" i="43"/>
  <c r="P120" i="43"/>
  <c r="C120" i="43"/>
  <c r="A120" i="43"/>
  <c r="R119" i="43"/>
  <c r="P119" i="43"/>
  <c r="A119" i="43"/>
  <c r="R118" i="43"/>
  <c r="P118" i="43"/>
  <c r="C118" i="43"/>
  <c r="A118" i="43"/>
  <c r="R117" i="43"/>
  <c r="P117" i="43"/>
  <c r="C117" i="43"/>
  <c r="A117" i="43"/>
  <c r="R116" i="43"/>
  <c r="P116" i="43"/>
  <c r="A116" i="43"/>
  <c r="R115" i="43"/>
  <c r="P115" i="43"/>
  <c r="C115" i="43"/>
  <c r="A115" i="43"/>
  <c r="R114" i="43"/>
  <c r="P114" i="43"/>
  <c r="C114" i="43"/>
  <c r="A114" i="43"/>
  <c r="R113" i="43"/>
  <c r="P113" i="43"/>
  <c r="A113" i="43"/>
  <c r="R112" i="43"/>
  <c r="P112" i="43"/>
  <c r="C112" i="43"/>
  <c r="A112" i="43"/>
  <c r="R111" i="43"/>
  <c r="P111" i="43"/>
  <c r="C111" i="43"/>
  <c r="A111" i="43"/>
  <c r="R110" i="43"/>
  <c r="P110" i="43"/>
  <c r="A110" i="43"/>
  <c r="R109" i="43"/>
  <c r="P109" i="43"/>
  <c r="C109" i="43"/>
  <c r="A109" i="43"/>
  <c r="R108" i="43"/>
  <c r="P108" i="43"/>
  <c r="C108" i="43"/>
  <c r="A108" i="43"/>
  <c r="R107" i="43"/>
  <c r="P107" i="43"/>
  <c r="A107" i="43"/>
  <c r="R106" i="43"/>
  <c r="P106" i="43"/>
  <c r="C106" i="43"/>
  <c r="A106" i="43"/>
  <c r="R105" i="43"/>
  <c r="P105" i="43"/>
  <c r="C105" i="43"/>
  <c r="A105" i="43"/>
  <c r="R104" i="43"/>
  <c r="P104" i="43"/>
  <c r="A104" i="43"/>
  <c r="R103" i="43"/>
  <c r="P103" i="43"/>
  <c r="C103" i="43"/>
  <c r="A103" i="43"/>
  <c r="R102" i="43"/>
  <c r="P102" i="43"/>
  <c r="C102" i="43"/>
  <c r="A102" i="43"/>
  <c r="R101" i="43"/>
  <c r="P101" i="43"/>
  <c r="A101" i="43"/>
  <c r="R100" i="43"/>
  <c r="P100" i="43"/>
  <c r="C100" i="43"/>
  <c r="A100" i="43"/>
  <c r="R99" i="43"/>
  <c r="P99" i="43"/>
  <c r="C99" i="43"/>
  <c r="A99" i="43"/>
  <c r="R98" i="43"/>
  <c r="P98" i="43"/>
  <c r="A98" i="43"/>
  <c r="R97" i="43"/>
  <c r="P97" i="43"/>
  <c r="C97" i="43"/>
  <c r="A97" i="43"/>
  <c r="R96" i="43"/>
  <c r="P96" i="43"/>
  <c r="C96" i="43"/>
  <c r="A96" i="43"/>
  <c r="R95" i="43"/>
  <c r="P95" i="43"/>
  <c r="A95" i="43"/>
  <c r="R94" i="43"/>
  <c r="P94" i="43"/>
  <c r="C94" i="43"/>
  <c r="A94" i="43"/>
  <c r="R93" i="43"/>
  <c r="P93" i="43"/>
  <c r="C93" i="43"/>
  <c r="A93" i="43"/>
  <c r="R92" i="43"/>
  <c r="P92" i="43"/>
  <c r="A92" i="43"/>
  <c r="R91" i="43"/>
  <c r="P91" i="43"/>
  <c r="C91" i="43"/>
  <c r="A91" i="43"/>
  <c r="R90" i="43"/>
  <c r="P90" i="43"/>
  <c r="C90" i="43"/>
  <c r="A90" i="43"/>
  <c r="R89" i="43"/>
  <c r="P89" i="43"/>
  <c r="A89" i="43"/>
  <c r="R88" i="43"/>
  <c r="P88" i="43"/>
  <c r="C88" i="43"/>
  <c r="A88" i="43"/>
  <c r="R87" i="43"/>
  <c r="P87" i="43"/>
  <c r="C87" i="43"/>
  <c r="A87" i="43"/>
  <c r="R86" i="43"/>
  <c r="P86" i="43"/>
  <c r="A86" i="43"/>
  <c r="R85" i="43"/>
  <c r="P85" i="43"/>
  <c r="C85" i="43"/>
  <c r="A85" i="43"/>
  <c r="R84" i="43"/>
  <c r="P84" i="43"/>
  <c r="C84" i="43"/>
  <c r="A84" i="43"/>
  <c r="R83" i="43"/>
  <c r="P83" i="43"/>
  <c r="A83" i="43"/>
  <c r="R82" i="43"/>
  <c r="P82" i="43"/>
  <c r="C82" i="43"/>
  <c r="A82" i="43"/>
  <c r="R81" i="43"/>
  <c r="P81" i="43"/>
  <c r="C81" i="43"/>
  <c r="A81" i="43"/>
  <c r="R80" i="43"/>
  <c r="P80" i="43"/>
  <c r="A80" i="43"/>
  <c r="R79" i="43"/>
  <c r="P79" i="43"/>
  <c r="C79" i="43"/>
  <c r="A79" i="43"/>
  <c r="R78" i="43"/>
  <c r="P78" i="43"/>
  <c r="C78" i="43"/>
  <c r="A78" i="43"/>
  <c r="R77" i="43"/>
  <c r="P77" i="43"/>
  <c r="A77" i="43"/>
  <c r="R76" i="43"/>
  <c r="P76" i="43"/>
  <c r="C76" i="43"/>
  <c r="A76" i="43"/>
  <c r="R75" i="43"/>
  <c r="P75" i="43"/>
  <c r="C75" i="43"/>
  <c r="A75" i="43"/>
  <c r="R74" i="43"/>
  <c r="P74" i="43"/>
  <c r="A74" i="43"/>
  <c r="R73" i="43"/>
  <c r="P73" i="43"/>
  <c r="C73" i="43"/>
  <c r="A73" i="43"/>
  <c r="R72" i="43"/>
  <c r="P72" i="43"/>
  <c r="C72" i="43"/>
  <c r="A72" i="43"/>
  <c r="R71" i="43"/>
  <c r="P71" i="43"/>
  <c r="A71" i="43"/>
  <c r="R70" i="43"/>
  <c r="P70" i="43"/>
  <c r="C70" i="43"/>
  <c r="A70" i="43"/>
  <c r="R69" i="43"/>
  <c r="P69" i="43"/>
  <c r="C69" i="43"/>
  <c r="A69" i="43"/>
  <c r="R68" i="43"/>
  <c r="P68" i="43"/>
  <c r="A68" i="43"/>
  <c r="R67" i="43"/>
  <c r="P67" i="43"/>
  <c r="C67" i="43"/>
  <c r="A67" i="43"/>
  <c r="R66" i="43"/>
  <c r="P66" i="43"/>
  <c r="C66" i="43"/>
  <c r="A66" i="43"/>
  <c r="R65" i="43"/>
  <c r="P65" i="43"/>
  <c r="A65" i="43"/>
  <c r="R64" i="43"/>
  <c r="P64" i="43"/>
  <c r="C64" i="43"/>
  <c r="A64" i="43"/>
  <c r="R63" i="43"/>
  <c r="P63" i="43"/>
  <c r="C63" i="43"/>
  <c r="A63" i="43"/>
  <c r="R62" i="43"/>
  <c r="P62" i="43"/>
  <c r="A62" i="43"/>
  <c r="R61" i="43"/>
  <c r="P61" i="43"/>
  <c r="C61" i="43"/>
  <c r="A61" i="43"/>
  <c r="R60" i="43"/>
  <c r="P60" i="43"/>
  <c r="C60" i="43"/>
  <c r="A60" i="43"/>
  <c r="R59" i="43"/>
  <c r="P59" i="43"/>
  <c r="A59" i="43"/>
  <c r="R58" i="43"/>
  <c r="P58" i="43"/>
  <c r="C58" i="43"/>
  <c r="A58" i="43"/>
  <c r="R57" i="43"/>
  <c r="P57" i="43"/>
  <c r="C57" i="43"/>
  <c r="A57" i="43"/>
  <c r="R56" i="43"/>
  <c r="P56" i="43"/>
  <c r="A56" i="43"/>
  <c r="R55" i="43"/>
  <c r="P55" i="43"/>
  <c r="C55" i="43"/>
  <c r="A55" i="43"/>
  <c r="R54" i="43"/>
  <c r="P54" i="43"/>
  <c r="C54" i="43"/>
  <c r="A54" i="43"/>
  <c r="R53" i="43"/>
  <c r="P53" i="43"/>
  <c r="A53" i="43"/>
  <c r="R52" i="43"/>
  <c r="P52" i="43"/>
  <c r="C52" i="43"/>
  <c r="A52" i="43"/>
  <c r="R51" i="43"/>
  <c r="P51" i="43"/>
  <c r="C51" i="43"/>
  <c r="A51" i="43"/>
  <c r="R50" i="43"/>
  <c r="P50" i="43"/>
  <c r="A50" i="43"/>
  <c r="R49" i="43"/>
  <c r="P49" i="43"/>
  <c r="C49" i="43"/>
  <c r="A49" i="43"/>
  <c r="R48" i="43"/>
  <c r="P48" i="43"/>
  <c r="C48" i="43"/>
  <c r="A48" i="43"/>
  <c r="R47" i="43"/>
  <c r="P47" i="43"/>
  <c r="A47" i="43"/>
  <c r="R46" i="43"/>
  <c r="P46" i="43"/>
  <c r="C46" i="43"/>
  <c r="A46" i="43"/>
  <c r="R45" i="43"/>
  <c r="P45" i="43"/>
  <c r="C45" i="43"/>
  <c r="A45" i="43"/>
  <c r="R44" i="43"/>
  <c r="P44" i="43"/>
  <c r="A44" i="43"/>
  <c r="R43" i="43"/>
  <c r="P43" i="43"/>
  <c r="C43" i="43"/>
  <c r="A43" i="43"/>
  <c r="R42" i="43"/>
  <c r="P42" i="43"/>
  <c r="C42" i="43"/>
  <c r="A42" i="43"/>
  <c r="R41" i="43"/>
  <c r="P41" i="43"/>
  <c r="A41" i="43"/>
  <c r="R40" i="43"/>
  <c r="P40" i="43"/>
  <c r="C40" i="43"/>
  <c r="A40" i="43"/>
  <c r="R39" i="43"/>
  <c r="P39" i="43"/>
  <c r="C39" i="43"/>
  <c r="A39" i="43"/>
  <c r="R38" i="43"/>
  <c r="P38" i="43"/>
  <c r="A38" i="43"/>
  <c r="R37" i="43"/>
  <c r="P37" i="43"/>
  <c r="C37" i="43"/>
  <c r="A37" i="43"/>
  <c r="R36" i="43"/>
  <c r="P36" i="43"/>
  <c r="C36" i="43"/>
  <c r="A36" i="43"/>
  <c r="R35" i="43"/>
  <c r="P35" i="43"/>
  <c r="A35" i="43"/>
  <c r="R34" i="43"/>
  <c r="P34" i="43"/>
  <c r="C34" i="43"/>
  <c r="A34" i="43"/>
  <c r="R33" i="43"/>
  <c r="P33" i="43"/>
  <c r="C33" i="43"/>
  <c r="A33" i="43"/>
  <c r="R32" i="43"/>
  <c r="P32" i="43"/>
  <c r="A32" i="43"/>
  <c r="R31" i="43"/>
  <c r="P31" i="43"/>
  <c r="C31" i="43"/>
  <c r="A31" i="43"/>
  <c r="R30" i="43"/>
  <c r="P30" i="43"/>
  <c r="C30" i="43"/>
  <c r="A30" i="43"/>
  <c r="R29" i="43"/>
  <c r="P29" i="43"/>
  <c r="A29" i="43"/>
  <c r="R28" i="43"/>
  <c r="P28" i="43"/>
  <c r="C28" i="43"/>
  <c r="A28" i="43"/>
  <c r="R27" i="43"/>
  <c r="P27" i="43"/>
  <c r="C27" i="43"/>
  <c r="A27" i="43"/>
  <c r="R26" i="43"/>
  <c r="P26" i="43"/>
  <c r="A26" i="43"/>
  <c r="R25" i="43"/>
  <c r="P25" i="43"/>
  <c r="C25" i="43"/>
  <c r="A25" i="43"/>
  <c r="R24" i="43"/>
  <c r="P24" i="43"/>
  <c r="C24" i="43"/>
  <c r="A24" i="43"/>
  <c r="R23" i="43"/>
  <c r="P23" i="43"/>
  <c r="A23" i="43"/>
  <c r="R22" i="43"/>
  <c r="P22" i="43"/>
  <c r="C22" i="43"/>
  <c r="A22" i="43"/>
  <c r="R21" i="43"/>
  <c r="P21" i="43"/>
  <c r="C21" i="43"/>
  <c r="A21" i="43"/>
  <c r="R20" i="43"/>
  <c r="P20" i="43"/>
  <c r="A20" i="43"/>
  <c r="R19" i="43"/>
  <c r="P19" i="43"/>
  <c r="C19" i="43"/>
  <c r="A19" i="43"/>
  <c r="R18" i="43"/>
  <c r="P18" i="43"/>
  <c r="C18" i="43"/>
  <c r="A18" i="43"/>
  <c r="R17" i="43"/>
  <c r="P17" i="43"/>
  <c r="A17" i="43"/>
  <c r="R16" i="43"/>
  <c r="P16" i="43"/>
  <c r="C16" i="43"/>
  <c r="A16" i="43"/>
  <c r="R15" i="43"/>
  <c r="P15" i="43"/>
  <c r="C15" i="43"/>
  <c r="A15" i="43"/>
  <c r="R14" i="43"/>
  <c r="P14" i="43"/>
  <c r="A14" i="43"/>
  <c r="R13" i="43"/>
  <c r="P13" i="43"/>
  <c r="C13" i="43"/>
  <c r="A13" i="43"/>
  <c r="R12" i="43"/>
  <c r="P12" i="43"/>
  <c r="C12" i="43"/>
  <c r="A12" i="43"/>
  <c r="R11" i="43"/>
  <c r="P11" i="43"/>
  <c r="A11" i="43"/>
  <c r="R10" i="43"/>
  <c r="P10" i="43"/>
  <c r="C10" i="43"/>
  <c r="A10" i="43"/>
  <c r="R9" i="43"/>
  <c r="P9" i="43"/>
  <c r="C9" i="43"/>
  <c r="A9" i="43"/>
  <c r="R8" i="43"/>
  <c r="P8" i="43"/>
  <c r="A8" i="43"/>
  <c r="R7" i="43"/>
  <c r="P7" i="43"/>
  <c r="C7" i="43"/>
  <c r="A7" i="43"/>
  <c r="W206" i="42"/>
  <c r="R206" i="42"/>
  <c r="Q206" i="42"/>
  <c r="P206" i="42"/>
  <c r="A206" i="42"/>
  <c r="W205" i="42"/>
  <c r="R205" i="42"/>
  <c r="Q205" i="42"/>
  <c r="P205" i="42"/>
  <c r="C205" i="42"/>
  <c r="A205" i="42"/>
  <c r="W204" i="42"/>
  <c r="R204" i="42"/>
  <c r="Q204" i="42"/>
  <c r="P204" i="42"/>
  <c r="A204" i="42"/>
  <c r="W203" i="42"/>
  <c r="R203" i="42"/>
  <c r="Q203" i="42"/>
  <c r="P203" i="42"/>
  <c r="C203" i="42"/>
  <c r="A203" i="42"/>
  <c r="W202" i="42"/>
  <c r="R202" i="42"/>
  <c r="Q202" i="42"/>
  <c r="P202" i="42"/>
  <c r="A202" i="42"/>
  <c r="W201" i="42"/>
  <c r="R201" i="42"/>
  <c r="Q201" i="42"/>
  <c r="P201" i="42"/>
  <c r="C201" i="42"/>
  <c r="A201" i="42"/>
  <c r="W200" i="42"/>
  <c r="R200" i="42"/>
  <c r="Q200" i="42"/>
  <c r="P200" i="42"/>
  <c r="A200" i="42"/>
  <c r="W199" i="42"/>
  <c r="R199" i="42"/>
  <c r="Q199" i="42"/>
  <c r="P199" i="42"/>
  <c r="C199" i="42"/>
  <c r="A199" i="42"/>
  <c r="W198" i="42"/>
  <c r="R198" i="42"/>
  <c r="Q198" i="42"/>
  <c r="P198" i="42"/>
  <c r="A198" i="42"/>
  <c r="W197" i="42"/>
  <c r="R197" i="42"/>
  <c r="Q197" i="42"/>
  <c r="P197" i="42"/>
  <c r="C197" i="42"/>
  <c r="A197" i="42"/>
  <c r="W196" i="42"/>
  <c r="R196" i="42"/>
  <c r="Q196" i="42"/>
  <c r="P196" i="42"/>
  <c r="A196" i="42"/>
  <c r="W195" i="42"/>
  <c r="R195" i="42"/>
  <c r="Q195" i="42"/>
  <c r="P195" i="42"/>
  <c r="C195" i="42"/>
  <c r="A195" i="42"/>
  <c r="W194" i="42"/>
  <c r="R194" i="42"/>
  <c r="Q194" i="42"/>
  <c r="P194" i="42"/>
  <c r="A194" i="42"/>
  <c r="W193" i="42"/>
  <c r="R193" i="42"/>
  <c r="Q193" i="42"/>
  <c r="P193" i="42"/>
  <c r="C193" i="42"/>
  <c r="A193" i="42"/>
  <c r="W192" i="42"/>
  <c r="R192" i="42"/>
  <c r="Q192" i="42"/>
  <c r="P192" i="42"/>
  <c r="A192" i="42"/>
  <c r="W191" i="42"/>
  <c r="R191" i="42"/>
  <c r="Q191" i="42"/>
  <c r="P191" i="42"/>
  <c r="C191" i="42"/>
  <c r="A191" i="42"/>
  <c r="W190" i="42"/>
  <c r="R190" i="42"/>
  <c r="Q190" i="42"/>
  <c r="P190" i="42"/>
  <c r="A190" i="42"/>
  <c r="W189" i="42"/>
  <c r="R189" i="42"/>
  <c r="Q189" i="42"/>
  <c r="P189" i="42"/>
  <c r="C189" i="42"/>
  <c r="A189" i="42"/>
  <c r="W188" i="42"/>
  <c r="R188" i="42"/>
  <c r="Q188" i="42"/>
  <c r="P188" i="42"/>
  <c r="A188" i="42"/>
  <c r="W187" i="42"/>
  <c r="R187" i="42"/>
  <c r="Q187" i="42"/>
  <c r="P187" i="42"/>
  <c r="C187" i="42"/>
  <c r="A187" i="42"/>
  <c r="W186" i="42"/>
  <c r="R186" i="42"/>
  <c r="Q186" i="42"/>
  <c r="P186" i="42"/>
  <c r="A186" i="42"/>
  <c r="W185" i="42"/>
  <c r="R185" i="42"/>
  <c r="Q185" i="42"/>
  <c r="P185" i="42"/>
  <c r="C185" i="42"/>
  <c r="A185" i="42"/>
  <c r="W184" i="42"/>
  <c r="R184" i="42"/>
  <c r="Q184" i="42"/>
  <c r="P184" i="42"/>
  <c r="A184" i="42"/>
  <c r="W183" i="42"/>
  <c r="R183" i="42"/>
  <c r="Q183" i="42"/>
  <c r="P183" i="42"/>
  <c r="C183" i="42"/>
  <c r="A183" i="42"/>
  <c r="W182" i="42"/>
  <c r="R182" i="42"/>
  <c r="Q182" i="42"/>
  <c r="P182" i="42"/>
  <c r="A182" i="42"/>
  <c r="W181" i="42"/>
  <c r="R181" i="42"/>
  <c r="Q181" i="42"/>
  <c r="P181" i="42"/>
  <c r="C181" i="42"/>
  <c r="A181" i="42"/>
  <c r="W180" i="42"/>
  <c r="R180" i="42"/>
  <c r="Q180" i="42"/>
  <c r="P180" i="42"/>
  <c r="A180" i="42"/>
  <c r="W179" i="42"/>
  <c r="R179" i="42"/>
  <c r="Q179" i="42"/>
  <c r="P179" i="42"/>
  <c r="C179" i="42"/>
  <c r="A179" i="42"/>
  <c r="W178" i="42"/>
  <c r="R178" i="42"/>
  <c r="Q178" i="42"/>
  <c r="P178" i="42"/>
  <c r="A178" i="42"/>
  <c r="W177" i="42"/>
  <c r="R177" i="42"/>
  <c r="Q177" i="42"/>
  <c r="P177" i="42"/>
  <c r="C177" i="42"/>
  <c r="A177" i="42"/>
  <c r="W176" i="42"/>
  <c r="R176" i="42"/>
  <c r="Q176" i="42"/>
  <c r="P176" i="42"/>
  <c r="A176" i="42"/>
  <c r="W175" i="42"/>
  <c r="R175" i="42"/>
  <c r="Q175" i="42"/>
  <c r="P175" i="42"/>
  <c r="C175" i="42"/>
  <c r="A175" i="42"/>
  <c r="W174" i="42"/>
  <c r="R174" i="42"/>
  <c r="Q174" i="42"/>
  <c r="P174" i="42"/>
  <c r="A174" i="42"/>
  <c r="W173" i="42"/>
  <c r="R173" i="42"/>
  <c r="Q173" i="42"/>
  <c r="P173" i="42"/>
  <c r="C173" i="42"/>
  <c r="A173" i="42"/>
  <c r="W172" i="42"/>
  <c r="R172" i="42"/>
  <c r="Q172" i="42"/>
  <c r="P172" i="42"/>
  <c r="A172" i="42"/>
  <c r="W171" i="42"/>
  <c r="R171" i="42"/>
  <c r="Q171" i="42"/>
  <c r="P171" i="42"/>
  <c r="C171" i="42"/>
  <c r="A171" i="42"/>
  <c r="W170" i="42"/>
  <c r="R170" i="42"/>
  <c r="Q170" i="42"/>
  <c r="P170" i="42"/>
  <c r="A170" i="42"/>
  <c r="W169" i="42"/>
  <c r="R169" i="42"/>
  <c r="Q169" i="42"/>
  <c r="P169" i="42"/>
  <c r="C169" i="42"/>
  <c r="A169" i="42"/>
  <c r="W168" i="42"/>
  <c r="R168" i="42"/>
  <c r="Q168" i="42"/>
  <c r="P168" i="42"/>
  <c r="A168" i="42"/>
  <c r="W167" i="42"/>
  <c r="R167" i="42"/>
  <c r="Q167" i="42"/>
  <c r="P167" i="42"/>
  <c r="C167" i="42"/>
  <c r="A167" i="42"/>
  <c r="W166" i="42"/>
  <c r="R166" i="42"/>
  <c r="Q166" i="42"/>
  <c r="P166" i="42"/>
  <c r="A166" i="42"/>
  <c r="W165" i="42"/>
  <c r="R165" i="42"/>
  <c r="Q165" i="42"/>
  <c r="P165" i="42"/>
  <c r="C165" i="42"/>
  <c r="A165" i="42"/>
  <c r="W164" i="42"/>
  <c r="R164" i="42"/>
  <c r="Q164" i="42"/>
  <c r="P164" i="42"/>
  <c r="A164" i="42"/>
  <c r="W163" i="42"/>
  <c r="R163" i="42"/>
  <c r="Q163" i="42"/>
  <c r="P163" i="42"/>
  <c r="C163" i="42"/>
  <c r="A163" i="42"/>
  <c r="W162" i="42"/>
  <c r="R162" i="42"/>
  <c r="Q162" i="42"/>
  <c r="P162" i="42"/>
  <c r="A162" i="42"/>
  <c r="W161" i="42"/>
  <c r="R161" i="42"/>
  <c r="Q161" i="42"/>
  <c r="P161" i="42"/>
  <c r="C161" i="42"/>
  <c r="A161" i="42"/>
  <c r="W160" i="42"/>
  <c r="R160" i="42"/>
  <c r="Q160" i="42"/>
  <c r="P160" i="42"/>
  <c r="A160" i="42"/>
  <c r="W159" i="42"/>
  <c r="R159" i="42"/>
  <c r="Q159" i="42"/>
  <c r="P159" i="42"/>
  <c r="C159" i="42"/>
  <c r="A159" i="42"/>
  <c r="W158" i="42"/>
  <c r="R158" i="42"/>
  <c r="Q158" i="42"/>
  <c r="P158" i="42"/>
  <c r="A158" i="42"/>
  <c r="W157" i="42"/>
  <c r="R157" i="42"/>
  <c r="Q157" i="42"/>
  <c r="P157" i="42"/>
  <c r="C157" i="42"/>
  <c r="A157" i="42"/>
  <c r="W156" i="42"/>
  <c r="R156" i="42"/>
  <c r="Q156" i="42"/>
  <c r="P156" i="42"/>
  <c r="A156" i="42"/>
  <c r="W155" i="42"/>
  <c r="R155" i="42"/>
  <c r="Q155" i="42"/>
  <c r="P155" i="42"/>
  <c r="C155" i="42"/>
  <c r="A155" i="42"/>
  <c r="W154" i="42"/>
  <c r="R154" i="42"/>
  <c r="Q154" i="42"/>
  <c r="P154" i="42"/>
  <c r="A154" i="42"/>
  <c r="W153" i="42"/>
  <c r="R153" i="42"/>
  <c r="Q153" i="42"/>
  <c r="P153" i="42"/>
  <c r="C153" i="42"/>
  <c r="A153" i="42"/>
  <c r="W152" i="42"/>
  <c r="R152" i="42"/>
  <c r="Q152" i="42"/>
  <c r="P152" i="42"/>
  <c r="A152" i="42"/>
  <c r="W151" i="42"/>
  <c r="R151" i="42"/>
  <c r="Q151" i="42"/>
  <c r="P151" i="42"/>
  <c r="C151" i="42"/>
  <c r="A151" i="42"/>
  <c r="W150" i="42"/>
  <c r="R150" i="42"/>
  <c r="Q150" i="42"/>
  <c r="P150" i="42"/>
  <c r="A150" i="42"/>
  <c r="W149" i="42"/>
  <c r="R149" i="42"/>
  <c r="Q149" i="42"/>
  <c r="P149" i="42"/>
  <c r="C149" i="42"/>
  <c r="A149" i="42"/>
  <c r="W148" i="42"/>
  <c r="R148" i="42"/>
  <c r="Q148" i="42"/>
  <c r="P148" i="42"/>
  <c r="A148" i="42"/>
  <c r="W147" i="42"/>
  <c r="R147" i="42"/>
  <c r="Q147" i="42"/>
  <c r="P147" i="42"/>
  <c r="C147" i="42"/>
  <c r="A147" i="42"/>
  <c r="W146" i="42"/>
  <c r="R146" i="42"/>
  <c r="Q146" i="42"/>
  <c r="P146" i="42"/>
  <c r="A146" i="42"/>
  <c r="W145" i="42"/>
  <c r="R145" i="42"/>
  <c r="Q145" i="42"/>
  <c r="P145" i="42"/>
  <c r="C145" i="42"/>
  <c r="A145" i="42"/>
  <c r="W144" i="42"/>
  <c r="R144" i="42"/>
  <c r="Q144" i="42"/>
  <c r="P144" i="42"/>
  <c r="A144" i="42"/>
  <c r="W143" i="42"/>
  <c r="R143" i="42"/>
  <c r="Q143" i="42"/>
  <c r="P143" i="42"/>
  <c r="C143" i="42"/>
  <c r="A143" i="42"/>
  <c r="W142" i="42"/>
  <c r="R142" i="42"/>
  <c r="Q142" i="42"/>
  <c r="P142" i="42"/>
  <c r="A142" i="42"/>
  <c r="W141" i="42"/>
  <c r="R141" i="42"/>
  <c r="Q141" i="42"/>
  <c r="P141" i="42"/>
  <c r="C141" i="42"/>
  <c r="A141" i="42"/>
  <c r="W140" i="42"/>
  <c r="R140" i="42"/>
  <c r="Q140" i="42"/>
  <c r="P140" i="42"/>
  <c r="A140" i="42"/>
  <c r="W139" i="42"/>
  <c r="R139" i="42"/>
  <c r="Q139" i="42"/>
  <c r="P139" i="42"/>
  <c r="C139" i="42"/>
  <c r="A139" i="42"/>
  <c r="W138" i="42"/>
  <c r="R138" i="42"/>
  <c r="Q138" i="42"/>
  <c r="P138" i="42"/>
  <c r="A138" i="42"/>
  <c r="W137" i="42"/>
  <c r="R137" i="42"/>
  <c r="Q137" i="42"/>
  <c r="P137" i="42"/>
  <c r="C137" i="42"/>
  <c r="A137" i="42"/>
  <c r="W136" i="42"/>
  <c r="R136" i="42"/>
  <c r="Q136" i="42"/>
  <c r="P136" i="42"/>
  <c r="A136" i="42"/>
  <c r="W135" i="42"/>
  <c r="R135" i="42"/>
  <c r="Q135" i="42"/>
  <c r="P135" i="42"/>
  <c r="C135" i="42"/>
  <c r="A135" i="42"/>
  <c r="W134" i="42"/>
  <c r="R134" i="42"/>
  <c r="Q134" i="42"/>
  <c r="P134" i="42"/>
  <c r="A134" i="42"/>
  <c r="W133" i="42"/>
  <c r="R133" i="42"/>
  <c r="Q133" i="42"/>
  <c r="P133" i="42"/>
  <c r="C133" i="42"/>
  <c r="A133" i="42"/>
  <c r="W132" i="42"/>
  <c r="R132" i="42"/>
  <c r="Q132" i="42"/>
  <c r="P132" i="42"/>
  <c r="A132" i="42"/>
  <c r="W131" i="42"/>
  <c r="R131" i="42"/>
  <c r="Q131" i="42"/>
  <c r="P131" i="42"/>
  <c r="C131" i="42"/>
  <c r="A131" i="42"/>
  <c r="W130" i="42"/>
  <c r="R130" i="42"/>
  <c r="Q130" i="42"/>
  <c r="P130" i="42"/>
  <c r="A130" i="42"/>
  <c r="W129" i="42"/>
  <c r="R129" i="42"/>
  <c r="Q129" i="42"/>
  <c r="P129" i="42"/>
  <c r="C129" i="42"/>
  <c r="A129" i="42"/>
  <c r="W128" i="42"/>
  <c r="R128" i="42"/>
  <c r="Q128" i="42"/>
  <c r="P128" i="42"/>
  <c r="A128" i="42"/>
  <c r="W127" i="42"/>
  <c r="R127" i="42"/>
  <c r="Q127" i="42"/>
  <c r="P127" i="42"/>
  <c r="C127" i="42"/>
  <c r="A127" i="42"/>
  <c r="W126" i="42"/>
  <c r="R126" i="42"/>
  <c r="Q126" i="42"/>
  <c r="P126" i="42"/>
  <c r="A126" i="42"/>
  <c r="W125" i="42"/>
  <c r="R125" i="42"/>
  <c r="Q125" i="42"/>
  <c r="P125" i="42"/>
  <c r="C125" i="42"/>
  <c r="A125" i="42"/>
  <c r="W124" i="42"/>
  <c r="R124" i="42"/>
  <c r="Q124" i="42"/>
  <c r="P124" i="42"/>
  <c r="A124" i="42"/>
  <c r="W123" i="42"/>
  <c r="R123" i="42"/>
  <c r="Q123" i="42"/>
  <c r="P123" i="42"/>
  <c r="C123" i="42"/>
  <c r="A123" i="42"/>
  <c r="W122" i="42"/>
  <c r="R122" i="42"/>
  <c r="Q122" i="42"/>
  <c r="P122" i="42"/>
  <c r="A122" i="42"/>
  <c r="W121" i="42"/>
  <c r="R121" i="42"/>
  <c r="Q121" i="42"/>
  <c r="P121" i="42"/>
  <c r="C121" i="42"/>
  <c r="A121" i="42"/>
  <c r="W120" i="42"/>
  <c r="R120" i="42"/>
  <c r="Q120" i="42"/>
  <c r="P120" i="42"/>
  <c r="A120" i="42"/>
  <c r="W119" i="42"/>
  <c r="R119" i="42"/>
  <c r="Q119" i="42"/>
  <c r="P119" i="42"/>
  <c r="C119" i="42"/>
  <c r="A119" i="42"/>
  <c r="W118" i="42"/>
  <c r="R118" i="42"/>
  <c r="Q118" i="42"/>
  <c r="P118" i="42"/>
  <c r="A118" i="42"/>
  <c r="W117" i="42"/>
  <c r="R117" i="42"/>
  <c r="Q117" i="42"/>
  <c r="P117" i="42"/>
  <c r="C117" i="42"/>
  <c r="A117" i="42"/>
  <c r="W116" i="42"/>
  <c r="R116" i="42"/>
  <c r="Q116" i="42"/>
  <c r="P116" i="42"/>
  <c r="A116" i="42"/>
  <c r="W115" i="42"/>
  <c r="R115" i="42"/>
  <c r="Q115" i="42"/>
  <c r="P115" i="42"/>
  <c r="C115" i="42"/>
  <c r="A115" i="42"/>
  <c r="W114" i="42"/>
  <c r="R114" i="42"/>
  <c r="Q114" i="42"/>
  <c r="P114" i="42"/>
  <c r="A114" i="42"/>
  <c r="W113" i="42"/>
  <c r="R113" i="42"/>
  <c r="Q113" i="42"/>
  <c r="P113" i="42"/>
  <c r="C113" i="42"/>
  <c r="A113" i="42"/>
  <c r="W112" i="42"/>
  <c r="R112" i="42"/>
  <c r="Q112" i="42"/>
  <c r="P112" i="42"/>
  <c r="A112" i="42"/>
  <c r="W111" i="42"/>
  <c r="R111" i="42"/>
  <c r="Q111" i="42"/>
  <c r="P111" i="42"/>
  <c r="C111" i="42"/>
  <c r="A111" i="42"/>
  <c r="W110" i="42"/>
  <c r="R110" i="42"/>
  <c r="Q110" i="42"/>
  <c r="P110" i="42"/>
  <c r="A110" i="42"/>
  <c r="W109" i="42"/>
  <c r="R109" i="42"/>
  <c r="Q109" i="42"/>
  <c r="P109" i="42"/>
  <c r="C109" i="42"/>
  <c r="A109" i="42"/>
  <c r="W108" i="42"/>
  <c r="R108" i="42"/>
  <c r="Q108" i="42"/>
  <c r="P108" i="42"/>
  <c r="A108" i="42"/>
  <c r="W107" i="42"/>
  <c r="R107" i="42"/>
  <c r="Q107" i="42"/>
  <c r="P107" i="42"/>
  <c r="C107" i="42"/>
  <c r="A107" i="42"/>
  <c r="W106" i="42"/>
  <c r="R106" i="42"/>
  <c r="Q106" i="42"/>
  <c r="P106" i="42"/>
  <c r="A106" i="42"/>
  <c r="W105" i="42"/>
  <c r="R105" i="42"/>
  <c r="Q105" i="42"/>
  <c r="P105" i="42"/>
  <c r="C105" i="42"/>
  <c r="A105" i="42"/>
  <c r="W104" i="42"/>
  <c r="R104" i="42"/>
  <c r="Q104" i="42"/>
  <c r="P104" i="42"/>
  <c r="A104" i="42"/>
  <c r="W103" i="42"/>
  <c r="R103" i="42"/>
  <c r="Q103" i="42"/>
  <c r="P103" i="42"/>
  <c r="C103" i="42"/>
  <c r="A103" i="42"/>
  <c r="W102" i="42"/>
  <c r="R102" i="42"/>
  <c r="Q102" i="42"/>
  <c r="P102" i="42"/>
  <c r="A102" i="42"/>
  <c r="W101" i="42"/>
  <c r="R101" i="42"/>
  <c r="Q101" i="42"/>
  <c r="P101" i="42"/>
  <c r="C101" i="42"/>
  <c r="A101" i="42"/>
  <c r="W100" i="42"/>
  <c r="R100" i="42"/>
  <c r="Q100" i="42"/>
  <c r="P100" i="42"/>
  <c r="A100" i="42"/>
  <c r="W99" i="42"/>
  <c r="R99" i="42"/>
  <c r="Q99" i="42"/>
  <c r="P99" i="42"/>
  <c r="C99" i="42"/>
  <c r="A99" i="42"/>
  <c r="W98" i="42"/>
  <c r="R98" i="42"/>
  <c r="Q98" i="42"/>
  <c r="P98" i="42"/>
  <c r="A98" i="42"/>
  <c r="W97" i="42"/>
  <c r="R97" i="42"/>
  <c r="Q97" i="42"/>
  <c r="P97" i="42"/>
  <c r="C97" i="42"/>
  <c r="A97" i="42"/>
  <c r="W96" i="42"/>
  <c r="R96" i="42"/>
  <c r="Q96" i="42"/>
  <c r="P96" i="42"/>
  <c r="A96" i="42"/>
  <c r="W95" i="42"/>
  <c r="R95" i="42"/>
  <c r="Q95" i="42"/>
  <c r="P95" i="42"/>
  <c r="C95" i="42"/>
  <c r="A95" i="42"/>
  <c r="W94" i="42"/>
  <c r="R94" i="42"/>
  <c r="Q94" i="42"/>
  <c r="P94" i="42"/>
  <c r="A94" i="42"/>
  <c r="W93" i="42"/>
  <c r="R93" i="42"/>
  <c r="Q93" i="42"/>
  <c r="P93" i="42"/>
  <c r="C93" i="42"/>
  <c r="A93" i="42"/>
  <c r="W92" i="42"/>
  <c r="R92" i="42"/>
  <c r="Q92" i="42"/>
  <c r="P92" i="42"/>
  <c r="A92" i="42"/>
  <c r="W91" i="42"/>
  <c r="R91" i="42"/>
  <c r="Q91" i="42"/>
  <c r="P91" i="42"/>
  <c r="C91" i="42"/>
  <c r="A91" i="42"/>
  <c r="W90" i="42"/>
  <c r="R90" i="42"/>
  <c r="Q90" i="42"/>
  <c r="P90" i="42"/>
  <c r="A90" i="42"/>
  <c r="W89" i="42"/>
  <c r="R89" i="42"/>
  <c r="Q89" i="42"/>
  <c r="P89" i="42"/>
  <c r="C89" i="42"/>
  <c r="A89" i="42"/>
  <c r="W88" i="42"/>
  <c r="R88" i="42"/>
  <c r="Q88" i="42"/>
  <c r="P88" i="42"/>
  <c r="A88" i="42"/>
  <c r="W87" i="42"/>
  <c r="R87" i="42"/>
  <c r="Q87" i="42"/>
  <c r="P87" i="42"/>
  <c r="C87" i="42"/>
  <c r="A87" i="42"/>
  <c r="W86" i="42"/>
  <c r="R86" i="42"/>
  <c r="Q86" i="42"/>
  <c r="P86" i="42"/>
  <c r="A86" i="42"/>
  <c r="W85" i="42"/>
  <c r="R85" i="42"/>
  <c r="Q85" i="42"/>
  <c r="P85" i="42"/>
  <c r="C85" i="42"/>
  <c r="A85" i="42"/>
  <c r="W84" i="42"/>
  <c r="R84" i="42"/>
  <c r="Q84" i="42"/>
  <c r="P84" i="42"/>
  <c r="A84" i="42"/>
  <c r="W83" i="42"/>
  <c r="R83" i="42"/>
  <c r="Q83" i="42"/>
  <c r="P83" i="42"/>
  <c r="C83" i="42"/>
  <c r="A83" i="42"/>
  <c r="W82" i="42"/>
  <c r="R82" i="42"/>
  <c r="Q82" i="42"/>
  <c r="P82" i="42"/>
  <c r="A82" i="42"/>
  <c r="W81" i="42"/>
  <c r="R81" i="42"/>
  <c r="Q81" i="42"/>
  <c r="P81" i="42"/>
  <c r="C81" i="42"/>
  <c r="A81" i="42"/>
  <c r="W80" i="42"/>
  <c r="R80" i="42"/>
  <c r="Q80" i="42"/>
  <c r="P80" i="42"/>
  <c r="A80" i="42"/>
  <c r="W79" i="42"/>
  <c r="R79" i="42"/>
  <c r="Q79" i="42"/>
  <c r="P79" i="42"/>
  <c r="C79" i="42"/>
  <c r="A79" i="42"/>
  <c r="W78" i="42"/>
  <c r="R78" i="42"/>
  <c r="Q78" i="42"/>
  <c r="P78" i="42"/>
  <c r="A78" i="42"/>
  <c r="W77" i="42"/>
  <c r="R77" i="42"/>
  <c r="Q77" i="42"/>
  <c r="P77" i="42"/>
  <c r="C77" i="42"/>
  <c r="A77" i="42"/>
  <c r="W76" i="42"/>
  <c r="R76" i="42"/>
  <c r="Q76" i="42"/>
  <c r="P76" i="42"/>
  <c r="A76" i="42"/>
  <c r="W75" i="42"/>
  <c r="R75" i="42"/>
  <c r="Q75" i="42"/>
  <c r="P75" i="42"/>
  <c r="C75" i="42"/>
  <c r="A75" i="42"/>
  <c r="W74" i="42"/>
  <c r="R74" i="42"/>
  <c r="Q74" i="42"/>
  <c r="P74" i="42"/>
  <c r="A74" i="42"/>
  <c r="W73" i="42"/>
  <c r="R73" i="42"/>
  <c r="Q73" i="42"/>
  <c r="P73" i="42"/>
  <c r="C73" i="42"/>
  <c r="A73" i="42"/>
  <c r="W72" i="42"/>
  <c r="R72" i="42"/>
  <c r="Q72" i="42"/>
  <c r="P72" i="42"/>
  <c r="A72" i="42"/>
  <c r="W71" i="42"/>
  <c r="R71" i="42"/>
  <c r="Q71" i="42"/>
  <c r="P71" i="42"/>
  <c r="C71" i="42"/>
  <c r="A71" i="42"/>
  <c r="W70" i="42"/>
  <c r="R70" i="42"/>
  <c r="Q70" i="42"/>
  <c r="P70" i="42"/>
  <c r="A70" i="42"/>
  <c r="W69" i="42"/>
  <c r="R69" i="42"/>
  <c r="Q69" i="42"/>
  <c r="P69" i="42"/>
  <c r="C69" i="42"/>
  <c r="A69" i="42"/>
  <c r="W68" i="42"/>
  <c r="R68" i="42"/>
  <c r="Q68" i="42"/>
  <c r="P68" i="42"/>
  <c r="A68" i="42"/>
  <c r="W67" i="42"/>
  <c r="R67" i="42"/>
  <c r="Q67" i="42"/>
  <c r="P67" i="42"/>
  <c r="C67" i="42"/>
  <c r="A67" i="42"/>
  <c r="W66" i="42"/>
  <c r="R66" i="42"/>
  <c r="Q66" i="42"/>
  <c r="P66" i="42"/>
  <c r="A66" i="42"/>
  <c r="W65" i="42"/>
  <c r="R65" i="42"/>
  <c r="Q65" i="42"/>
  <c r="P65" i="42"/>
  <c r="C65" i="42"/>
  <c r="A65" i="42"/>
  <c r="W64" i="42"/>
  <c r="R64" i="42"/>
  <c r="Q64" i="42"/>
  <c r="P64" i="42"/>
  <c r="A64" i="42"/>
  <c r="W63" i="42"/>
  <c r="R63" i="42"/>
  <c r="Q63" i="42"/>
  <c r="P63" i="42"/>
  <c r="C63" i="42"/>
  <c r="A63" i="42"/>
  <c r="W62" i="42"/>
  <c r="R62" i="42"/>
  <c r="Q62" i="42"/>
  <c r="P62" i="42"/>
  <c r="A62" i="42"/>
  <c r="W61" i="42"/>
  <c r="R61" i="42"/>
  <c r="Q61" i="42"/>
  <c r="P61" i="42"/>
  <c r="C61" i="42"/>
  <c r="A61" i="42"/>
  <c r="W60" i="42"/>
  <c r="R60" i="42"/>
  <c r="Q60" i="42"/>
  <c r="P60" i="42"/>
  <c r="A60" i="42"/>
  <c r="W59" i="42"/>
  <c r="R59" i="42"/>
  <c r="Q59" i="42"/>
  <c r="P59" i="42"/>
  <c r="C59" i="42"/>
  <c r="A59" i="42"/>
  <c r="W58" i="42"/>
  <c r="R58" i="42"/>
  <c r="Q58" i="42"/>
  <c r="P58" i="42"/>
  <c r="A58" i="42"/>
  <c r="W57" i="42"/>
  <c r="R57" i="42"/>
  <c r="Q57" i="42"/>
  <c r="P57" i="42"/>
  <c r="C57" i="42"/>
  <c r="A57" i="42"/>
  <c r="W56" i="42"/>
  <c r="R56" i="42"/>
  <c r="Q56" i="42"/>
  <c r="P56" i="42"/>
  <c r="A56" i="42"/>
  <c r="W55" i="42"/>
  <c r="R55" i="42"/>
  <c r="Q55" i="42"/>
  <c r="P55" i="42"/>
  <c r="C55" i="42"/>
  <c r="A55" i="42"/>
  <c r="W54" i="42"/>
  <c r="R54" i="42"/>
  <c r="Q54" i="42"/>
  <c r="P54" i="42"/>
  <c r="A54" i="42"/>
  <c r="W53" i="42"/>
  <c r="R53" i="42"/>
  <c r="Q53" i="42"/>
  <c r="P53" i="42"/>
  <c r="C53" i="42"/>
  <c r="A53" i="42"/>
  <c r="W52" i="42"/>
  <c r="R52" i="42"/>
  <c r="Q52" i="42"/>
  <c r="P52" i="42"/>
  <c r="A52" i="42"/>
  <c r="W51" i="42"/>
  <c r="R51" i="42"/>
  <c r="Q51" i="42"/>
  <c r="P51" i="42"/>
  <c r="C51" i="42"/>
  <c r="A51" i="42"/>
  <c r="W50" i="42"/>
  <c r="R50" i="42"/>
  <c r="Q50" i="42"/>
  <c r="P50" i="42"/>
  <c r="A50" i="42"/>
  <c r="W49" i="42"/>
  <c r="R49" i="42"/>
  <c r="Q49" i="42"/>
  <c r="P49" i="42"/>
  <c r="C49" i="42"/>
  <c r="A49" i="42"/>
  <c r="W48" i="42"/>
  <c r="R48" i="42"/>
  <c r="Q48" i="42"/>
  <c r="P48" i="42"/>
  <c r="A48" i="42"/>
  <c r="W47" i="42"/>
  <c r="R47" i="42"/>
  <c r="Q47" i="42"/>
  <c r="P47" i="42"/>
  <c r="C47" i="42"/>
  <c r="A47" i="42"/>
  <c r="W46" i="42"/>
  <c r="R46" i="42"/>
  <c r="Q46" i="42"/>
  <c r="P46" i="42"/>
  <c r="A46" i="42"/>
  <c r="W45" i="42"/>
  <c r="R45" i="42"/>
  <c r="Q45" i="42"/>
  <c r="P45" i="42"/>
  <c r="C45" i="42"/>
  <c r="A45" i="42"/>
  <c r="W44" i="42"/>
  <c r="R44" i="42"/>
  <c r="Q44" i="42"/>
  <c r="P44" i="42"/>
  <c r="A44" i="42"/>
  <c r="W43" i="42"/>
  <c r="R43" i="42"/>
  <c r="Q43" i="42"/>
  <c r="P43" i="42"/>
  <c r="C43" i="42"/>
  <c r="A43" i="42"/>
  <c r="W42" i="42"/>
  <c r="R42" i="42"/>
  <c r="Q42" i="42"/>
  <c r="P42" i="42"/>
  <c r="A42" i="42"/>
  <c r="W41" i="42"/>
  <c r="R41" i="42"/>
  <c r="Q41" i="42"/>
  <c r="P41" i="42"/>
  <c r="C41" i="42"/>
  <c r="A41" i="42"/>
  <c r="W40" i="42"/>
  <c r="R40" i="42"/>
  <c r="Q40" i="42"/>
  <c r="P40" i="42"/>
  <c r="A40" i="42"/>
  <c r="W39" i="42"/>
  <c r="R39" i="42"/>
  <c r="Q39" i="42"/>
  <c r="P39" i="42"/>
  <c r="C39" i="42"/>
  <c r="A39" i="42"/>
  <c r="W38" i="42"/>
  <c r="R38" i="42"/>
  <c r="Q38" i="42"/>
  <c r="P38" i="42"/>
  <c r="A38" i="42"/>
  <c r="W37" i="42"/>
  <c r="R37" i="42"/>
  <c r="Q37" i="42"/>
  <c r="P37" i="42"/>
  <c r="C37" i="42"/>
  <c r="A37" i="42"/>
  <c r="W36" i="42"/>
  <c r="R36" i="42"/>
  <c r="Q36" i="42"/>
  <c r="P36" i="42"/>
  <c r="A36" i="42"/>
  <c r="W35" i="42"/>
  <c r="R35" i="42"/>
  <c r="Q35" i="42"/>
  <c r="P35" i="42"/>
  <c r="C35" i="42"/>
  <c r="A35" i="42"/>
  <c r="W34" i="42"/>
  <c r="R34" i="42"/>
  <c r="Q34" i="42"/>
  <c r="P34" i="42"/>
  <c r="A34" i="42"/>
  <c r="W33" i="42"/>
  <c r="R33" i="42"/>
  <c r="Q33" i="42"/>
  <c r="P33" i="42"/>
  <c r="C33" i="42"/>
  <c r="A33" i="42"/>
  <c r="W32" i="42"/>
  <c r="R32" i="42"/>
  <c r="Q32" i="42"/>
  <c r="P32" i="42"/>
  <c r="A32" i="42"/>
  <c r="W31" i="42"/>
  <c r="R31" i="42"/>
  <c r="Q31" i="42"/>
  <c r="P31" i="42"/>
  <c r="C31" i="42"/>
  <c r="A31" i="42"/>
  <c r="W30" i="42"/>
  <c r="R30" i="42"/>
  <c r="Q30" i="42"/>
  <c r="P30" i="42"/>
  <c r="A30" i="42"/>
  <c r="W29" i="42"/>
  <c r="R29" i="42"/>
  <c r="Q29" i="42"/>
  <c r="P29" i="42"/>
  <c r="C29" i="42"/>
  <c r="A29" i="42"/>
  <c r="W28" i="42"/>
  <c r="R28" i="42"/>
  <c r="Q28" i="42"/>
  <c r="P28" i="42"/>
  <c r="A28" i="42"/>
  <c r="W27" i="42"/>
  <c r="R27" i="42"/>
  <c r="Q27" i="42"/>
  <c r="P27" i="42"/>
  <c r="C27" i="42"/>
  <c r="A27" i="42"/>
  <c r="W26" i="42"/>
  <c r="R26" i="42"/>
  <c r="Q26" i="42"/>
  <c r="P26" i="42"/>
  <c r="A26" i="42"/>
  <c r="W25" i="42"/>
  <c r="R25" i="42"/>
  <c r="Q25" i="42"/>
  <c r="P25" i="42"/>
  <c r="C25" i="42"/>
  <c r="A25" i="42"/>
  <c r="W24" i="42"/>
  <c r="R24" i="42"/>
  <c r="Q24" i="42"/>
  <c r="P24" i="42"/>
  <c r="A24" i="42"/>
  <c r="W23" i="42"/>
  <c r="R23" i="42"/>
  <c r="Q23" i="42"/>
  <c r="P23" i="42"/>
  <c r="C23" i="42"/>
  <c r="A23" i="42"/>
  <c r="W22" i="42"/>
  <c r="R22" i="42"/>
  <c r="Q22" i="42"/>
  <c r="P22" i="42"/>
  <c r="A22" i="42"/>
  <c r="W21" i="42"/>
  <c r="R21" i="42"/>
  <c r="Q21" i="42"/>
  <c r="P21" i="42"/>
  <c r="C21" i="42"/>
  <c r="A21" i="42"/>
  <c r="W20" i="42"/>
  <c r="R20" i="42"/>
  <c r="Q20" i="42"/>
  <c r="P20" i="42"/>
  <c r="A20" i="42"/>
  <c r="W19" i="42"/>
  <c r="R19" i="42"/>
  <c r="Q19" i="42"/>
  <c r="P19" i="42"/>
  <c r="C19" i="42"/>
  <c r="A19" i="42"/>
  <c r="W18" i="42"/>
  <c r="R18" i="42"/>
  <c r="Q18" i="42"/>
  <c r="P18" i="42"/>
  <c r="A18" i="42"/>
  <c r="W17" i="42"/>
  <c r="R17" i="42"/>
  <c r="Q17" i="42"/>
  <c r="P17" i="42"/>
  <c r="C17" i="42"/>
  <c r="A17" i="42"/>
  <c r="W16" i="42"/>
  <c r="R16" i="42"/>
  <c r="Q16" i="42"/>
  <c r="P16" i="42"/>
  <c r="A16" i="42"/>
  <c r="W15" i="42"/>
  <c r="R15" i="42"/>
  <c r="Q15" i="42"/>
  <c r="P15" i="42"/>
  <c r="C15" i="42"/>
  <c r="A15" i="42"/>
  <c r="W14" i="42"/>
  <c r="R14" i="42"/>
  <c r="Q14" i="42"/>
  <c r="P14" i="42"/>
  <c r="A14" i="42"/>
  <c r="W13" i="42"/>
  <c r="R13" i="42"/>
  <c r="Q13" i="42"/>
  <c r="P13" i="42"/>
  <c r="C13" i="42"/>
  <c r="A13" i="42"/>
  <c r="W12" i="42"/>
  <c r="R12" i="42"/>
  <c r="Q12" i="42"/>
  <c r="P12" i="42"/>
  <c r="A12" i="42"/>
  <c r="W11" i="42"/>
  <c r="R11" i="42"/>
  <c r="Q11" i="42"/>
  <c r="P11" i="42"/>
  <c r="C11" i="42"/>
  <c r="A11" i="42"/>
  <c r="W10" i="42"/>
  <c r="R10" i="42"/>
  <c r="Q10" i="42"/>
  <c r="P10" i="42"/>
  <c r="A10" i="42"/>
  <c r="W9" i="42"/>
  <c r="R9" i="42"/>
  <c r="Q9" i="42"/>
  <c r="P9" i="42"/>
  <c r="C9" i="42"/>
  <c r="A9" i="42"/>
  <c r="W8" i="42"/>
  <c r="R8" i="42"/>
  <c r="Q8" i="42"/>
  <c r="P8" i="42"/>
  <c r="A8" i="42"/>
  <c r="W7" i="42"/>
  <c r="R7" i="42"/>
  <c r="Q7" i="42"/>
  <c r="P7" i="42"/>
  <c r="C7" i="42"/>
  <c r="A7" i="42"/>
  <c r="V206" i="41"/>
  <c r="N206" i="41"/>
  <c r="M206" i="41"/>
  <c r="A206" i="41"/>
  <c r="V205" i="41"/>
  <c r="N205" i="41"/>
  <c r="M205" i="41"/>
  <c r="C205" i="41"/>
  <c r="A205" i="41"/>
  <c r="V204" i="41"/>
  <c r="N204" i="41"/>
  <c r="M204" i="41"/>
  <c r="C204" i="41"/>
  <c r="A204" i="41"/>
  <c r="V203" i="41"/>
  <c r="N203" i="41"/>
  <c r="M203" i="41"/>
  <c r="A203" i="41"/>
  <c r="V202" i="41"/>
  <c r="N202" i="41"/>
  <c r="M202" i="41"/>
  <c r="C202" i="41"/>
  <c r="A202" i="41"/>
  <c r="V201" i="41"/>
  <c r="N201" i="41"/>
  <c r="M201" i="41"/>
  <c r="A201" i="41"/>
  <c r="V200" i="41"/>
  <c r="N200" i="41"/>
  <c r="M200" i="41"/>
  <c r="C200" i="41"/>
  <c r="A200" i="41"/>
  <c r="V199" i="41"/>
  <c r="N199" i="41"/>
  <c r="M199" i="41"/>
  <c r="C199" i="41"/>
  <c r="A199" i="41"/>
  <c r="V198" i="41"/>
  <c r="N198" i="41"/>
  <c r="M198" i="41"/>
  <c r="C198" i="41"/>
  <c r="A198" i="41"/>
  <c r="V197" i="41"/>
  <c r="N197" i="41"/>
  <c r="M197" i="41"/>
  <c r="C197" i="41"/>
  <c r="A197" i="41"/>
  <c r="V196" i="41"/>
  <c r="N196" i="41"/>
  <c r="M196" i="41"/>
  <c r="C196" i="41"/>
  <c r="A196" i="41"/>
  <c r="V195" i="41"/>
  <c r="N195" i="41"/>
  <c r="M195" i="41"/>
  <c r="C195" i="41"/>
  <c r="A195" i="41"/>
  <c r="V194" i="41"/>
  <c r="N194" i="41"/>
  <c r="M194" i="41"/>
  <c r="A194" i="41"/>
  <c r="V193" i="41"/>
  <c r="N193" i="41"/>
  <c r="M193" i="41"/>
  <c r="C193" i="41"/>
  <c r="A193" i="41"/>
  <c r="V192" i="41"/>
  <c r="N192" i="41"/>
  <c r="M192" i="41"/>
  <c r="C192" i="41"/>
  <c r="A192" i="41"/>
  <c r="V191" i="41"/>
  <c r="N191" i="41"/>
  <c r="M191" i="41"/>
  <c r="A191" i="41"/>
  <c r="V190" i="41"/>
  <c r="N190" i="41"/>
  <c r="M190" i="41"/>
  <c r="C190" i="41"/>
  <c r="A190" i="41"/>
  <c r="V189" i="41"/>
  <c r="N189" i="41"/>
  <c r="M189" i="41"/>
  <c r="A189" i="41"/>
  <c r="V188" i="41"/>
  <c r="N188" i="41"/>
  <c r="M188" i="41"/>
  <c r="C188" i="41"/>
  <c r="A188" i="41"/>
  <c r="V187" i="41"/>
  <c r="N187" i="41"/>
  <c r="M187" i="41"/>
  <c r="C187" i="41"/>
  <c r="A187" i="41"/>
  <c r="V186" i="41"/>
  <c r="N186" i="41"/>
  <c r="M186" i="41"/>
  <c r="C186" i="41"/>
  <c r="A186" i="41"/>
  <c r="V185" i="41"/>
  <c r="N185" i="41"/>
  <c r="M185" i="41"/>
  <c r="C185" i="41"/>
  <c r="A185" i="41"/>
  <c r="V184" i="41"/>
  <c r="N184" i="41"/>
  <c r="M184" i="41"/>
  <c r="C184" i="41"/>
  <c r="A184" i="41"/>
  <c r="V183" i="41"/>
  <c r="N183" i="41"/>
  <c r="M183" i="41"/>
  <c r="C183" i="41"/>
  <c r="A183" i="41"/>
  <c r="V182" i="41"/>
  <c r="N182" i="41"/>
  <c r="M182" i="41"/>
  <c r="A182" i="41"/>
  <c r="V181" i="41"/>
  <c r="N181" i="41"/>
  <c r="M181" i="41"/>
  <c r="C181" i="41"/>
  <c r="A181" i="41"/>
  <c r="V180" i="41"/>
  <c r="N180" i="41"/>
  <c r="M180" i="41"/>
  <c r="C180" i="41"/>
  <c r="A180" i="41"/>
  <c r="V179" i="41"/>
  <c r="N179" i="41"/>
  <c r="M179" i="41"/>
  <c r="A179" i="41"/>
  <c r="V178" i="41"/>
  <c r="N178" i="41"/>
  <c r="M178" i="41"/>
  <c r="C178" i="41"/>
  <c r="A178" i="41"/>
  <c r="V177" i="41"/>
  <c r="N177" i="41"/>
  <c r="M177" i="41"/>
  <c r="A177" i="41"/>
  <c r="V176" i="41"/>
  <c r="N176" i="41"/>
  <c r="M176" i="41"/>
  <c r="C176" i="41"/>
  <c r="A176" i="41"/>
  <c r="V175" i="41"/>
  <c r="N175" i="41"/>
  <c r="M175" i="41"/>
  <c r="C175" i="41"/>
  <c r="A175" i="41"/>
  <c r="V174" i="41"/>
  <c r="N174" i="41"/>
  <c r="M174" i="41"/>
  <c r="C174" i="41"/>
  <c r="A174" i="41"/>
  <c r="V173" i="41"/>
  <c r="N173" i="41"/>
  <c r="M173" i="41"/>
  <c r="C173" i="41"/>
  <c r="A173" i="41"/>
  <c r="V172" i="41"/>
  <c r="N172" i="41"/>
  <c r="M172" i="41"/>
  <c r="C172" i="41"/>
  <c r="A172" i="41"/>
  <c r="V171" i="41"/>
  <c r="N171" i="41"/>
  <c r="M171" i="41"/>
  <c r="C171" i="41"/>
  <c r="A171" i="41"/>
  <c r="V170" i="41"/>
  <c r="N170" i="41"/>
  <c r="M170" i="41"/>
  <c r="A170" i="41"/>
  <c r="V169" i="41"/>
  <c r="N169" i="41"/>
  <c r="M169" i="41"/>
  <c r="C169" i="41"/>
  <c r="A169" i="41"/>
  <c r="V168" i="41"/>
  <c r="N168" i="41"/>
  <c r="M168" i="41"/>
  <c r="C168" i="41"/>
  <c r="A168" i="41"/>
  <c r="V167" i="41"/>
  <c r="N167" i="41"/>
  <c r="M167" i="41"/>
  <c r="A167" i="41"/>
  <c r="V166" i="41"/>
  <c r="N166" i="41"/>
  <c r="M166" i="41"/>
  <c r="C166" i="41"/>
  <c r="A166" i="41"/>
  <c r="V165" i="41"/>
  <c r="N165" i="41"/>
  <c r="M165" i="41"/>
  <c r="A165" i="41"/>
  <c r="V164" i="41"/>
  <c r="N164" i="41"/>
  <c r="M164" i="41"/>
  <c r="C164" i="41"/>
  <c r="A164" i="41"/>
  <c r="V163" i="41"/>
  <c r="N163" i="41"/>
  <c r="M163" i="41"/>
  <c r="C163" i="41"/>
  <c r="A163" i="41"/>
  <c r="V162" i="41"/>
  <c r="N162" i="41"/>
  <c r="M162" i="41"/>
  <c r="C162" i="41"/>
  <c r="A162" i="41"/>
  <c r="V161" i="41"/>
  <c r="N161" i="41"/>
  <c r="M161" i="41"/>
  <c r="C161" i="41"/>
  <c r="A161" i="41"/>
  <c r="V160" i="41"/>
  <c r="N160" i="41"/>
  <c r="M160" i="41"/>
  <c r="C160" i="41"/>
  <c r="A160" i="41"/>
  <c r="V159" i="41"/>
  <c r="N159" i="41"/>
  <c r="M159" i="41"/>
  <c r="C159" i="41"/>
  <c r="A159" i="41"/>
  <c r="V158" i="41"/>
  <c r="N158" i="41"/>
  <c r="M158" i="41"/>
  <c r="A158" i="41"/>
  <c r="V157" i="41"/>
  <c r="N157" i="41"/>
  <c r="M157" i="41"/>
  <c r="C157" i="41"/>
  <c r="A157" i="41"/>
  <c r="V156" i="41"/>
  <c r="N156" i="41"/>
  <c r="M156" i="41"/>
  <c r="C156" i="41"/>
  <c r="A156" i="41"/>
  <c r="V155" i="41"/>
  <c r="N155" i="41"/>
  <c r="M155" i="41"/>
  <c r="A155" i="41"/>
  <c r="V154" i="41"/>
  <c r="N154" i="41"/>
  <c r="M154" i="41"/>
  <c r="C154" i="41"/>
  <c r="A154" i="41"/>
  <c r="V153" i="41"/>
  <c r="N153" i="41"/>
  <c r="M153" i="41"/>
  <c r="A153" i="41"/>
  <c r="V152" i="41"/>
  <c r="N152" i="41"/>
  <c r="M152" i="41"/>
  <c r="C152" i="41"/>
  <c r="A152" i="41"/>
  <c r="V151" i="41"/>
  <c r="N151" i="41"/>
  <c r="M151" i="41"/>
  <c r="C151" i="41"/>
  <c r="A151" i="41"/>
  <c r="V150" i="41"/>
  <c r="N150" i="41"/>
  <c r="M150" i="41"/>
  <c r="C150" i="41"/>
  <c r="A150" i="41"/>
  <c r="V149" i="41"/>
  <c r="N149" i="41"/>
  <c r="M149" i="41"/>
  <c r="C149" i="41"/>
  <c r="A149" i="41"/>
  <c r="V148" i="41"/>
  <c r="N148" i="41"/>
  <c r="M148" i="41"/>
  <c r="C148" i="41"/>
  <c r="A148" i="41"/>
  <c r="V147" i="41"/>
  <c r="N147" i="41"/>
  <c r="M147" i="41"/>
  <c r="C147" i="41"/>
  <c r="A147" i="41"/>
  <c r="V146" i="41"/>
  <c r="N146" i="41"/>
  <c r="M146" i="41"/>
  <c r="A146" i="41"/>
  <c r="V145" i="41"/>
  <c r="N145" i="41"/>
  <c r="M145" i="41"/>
  <c r="C145" i="41"/>
  <c r="A145" i="41"/>
  <c r="V144" i="41"/>
  <c r="N144" i="41"/>
  <c r="M144" i="41"/>
  <c r="C144" i="41"/>
  <c r="A144" i="41"/>
  <c r="V143" i="41"/>
  <c r="N143" i="41"/>
  <c r="M143" i="41"/>
  <c r="A143" i="41"/>
  <c r="V142" i="41"/>
  <c r="N142" i="41"/>
  <c r="M142" i="41"/>
  <c r="C142" i="41"/>
  <c r="A142" i="41"/>
  <c r="V141" i="41"/>
  <c r="N141" i="41"/>
  <c r="M141" i="41"/>
  <c r="A141" i="41"/>
  <c r="V140" i="41"/>
  <c r="N140" i="41"/>
  <c r="M140" i="41"/>
  <c r="C140" i="41"/>
  <c r="A140" i="41"/>
  <c r="V139" i="41"/>
  <c r="N139" i="41"/>
  <c r="M139" i="41"/>
  <c r="C139" i="41"/>
  <c r="A139" i="41"/>
  <c r="V138" i="41"/>
  <c r="N138" i="41"/>
  <c r="M138" i="41"/>
  <c r="C138" i="41"/>
  <c r="A138" i="41"/>
  <c r="V137" i="41"/>
  <c r="N137" i="41"/>
  <c r="M137" i="41"/>
  <c r="C137" i="41"/>
  <c r="A137" i="41"/>
  <c r="V136" i="41"/>
  <c r="N136" i="41"/>
  <c r="M136" i="41"/>
  <c r="C136" i="41"/>
  <c r="A136" i="41"/>
  <c r="V135" i="41"/>
  <c r="N135" i="41"/>
  <c r="M135" i="41"/>
  <c r="C135" i="41"/>
  <c r="A135" i="41"/>
  <c r="V134" i="41"/>
  <c r="N134" i="41"/>
  <c r="M134" i="41"/>
  <c r="A134" i="41"/>
  <c r="V133" i="41"/>
  <c r="N133" i="41"/>
  <c r="M133" i="41"/>
  <c r="C133" i="41"/>
  <c r="A133" i="41"/>
  <c r="V132" i="41"/>
  <c r="N132" i="41"/>
  <c r="M132" i="41"/>
  <c r="C132" i="41"/>
  <c r="A132" i="41"/>
  <c r="V131" i="41"/>
  <c r="N131" i="41"/>
  <c r="M131" i="41"/>
  <c r="A131" i="41"/>
  <c r="V130" i="41"/>
  <c r="N130" i="41"/>
  <c r="M130" i="41"/>
  <c r="C130" i="41"/>
  <c r="A130" i="41"/>
  <c r="V129" i="41"/>
  <c r="N129" i="41"/>
  <c r="M129" i="41"/>
  <c r="C129" i="41"/>
  <c r="A129" i="41"/>
  <c r="V128" i="41"/>
  <c r="N128" i="41"/>
  <c r="M128" i="41"/>
  <c r="C128" i="41"/>
  <c r="A128" i="41"/>
  <c r="V127" i="41"/>
  <c r="N127" i="41"/>
  <c r="M127" i="41"/>
  <c r="C127" i="41"/>
  <c r="A127" i="41"/>
  <c r="V126" i="41"/>
  <c r="N126" i="41"/>
  <c r="M126" i="41"/>
  <c r="C126" i="41"/>
  <c r="A126" i="41"/>
  <c r="V125" i="41"/>
  <c r="N125" i="41"/>
  <c r="M125" i="41"/>
  <c r="C125" i="41"/>
  <c r="A125" i="41"/>
  <c r="V124" i="41"/>
  <c r="N124" i="41"/>
  <c r="M124" i="41"/>
  <c r="C124" i="41"/>
  <c r="A124" i="41"/>
  <c r="V123" i="41"/>
  <c r="N123" i="41"/>
  <c r="M123" i="41"/>
  <c r="C123" i="41"/>
  <c r="A123" i="41"/>
  <c r="V122" i="41"/>
  <c r="N122" i="41"/>
  <c r="M122" i="41"/>
  <c r="A122" i="41"/>
  <c r="V121" i="41"/>
  <c r="N121" i="41"/>
  <c r="M121" i="41"/>
  <c r="C121" i="41"/>
  <c r="A121" i="41"/>
  <c r="V120" i="41"/>
  <c r="N120" i="41"/>
  <c r="M120" i="41"/>
  <c r="C120" i="41"/>
  <c r="A120" i="41"/>
  <c r="V119" i="41"/>
  <c r="N119" i="41"/>
  <c r="M119" i="41"/>
  <c r="A119" i="41"/>
  <c r="V118" i="41"/>
  <c r="N118" i="41"/>
  <c r="M118" i="41"/>
  <c r="C118" i="41"/>
  <c r="A118" i="41"/>
  <c r="V117" i="41"/>
  <c r="N117" i="41"/>
  <c r="M117" i="41"/>
  <c r="C117" i="41"/>
  <c r="A117" i="41"/>
  <c r="V116" i="41"/>
  <c r="N116" i="41"/>
  <c r="M116" i="41"/>
  <c r="C116" i="41"/>
  <c r="A116" i="41"/>
  <c r="V115" i="41"/>
  <c r="N115" i="41"/>
  <c r="M115" i="41"/>
  <c r="C115" i="41"/>
  <c r="A115" i="41"/>
  <c r="V114" i="41"/>
  <c r="N114" i="41"/>
  <c r="M114" i="41"/>
  <c r="C114" i="41"/>
  <c r="A114" i="41"/>
  <c r="V113" i="41"/>
  <c r="N113" i="41"/>
  <c r="M113" i="41"/>
  <c r="C113" i="41"/>
  <c r="A113" i="41"/>
  <c r="V112" i="41"/>
  <c r="N112" i="41"/>
  <c r="M112" i="41"/>
  <c r="C112" i="41"/>
  <c r="A112" i="41"/>
  <c r="V111" i="41"/>
  <c r="N111" i="41"/>
  <c r="M111" i="41"/>
  <c r="C111" i="41"/>
  <c r="A111" i="41"/>
  <c r="V110" i="41"/>
  <c r="N110" i="41"/>
  <c r="M110" i="41"/>
  <c r="A110" i="41"/>
  <c r="V109" i="41"/>
  <c r="N109" i="41"/>
  <c r="M109" i="41"/>
  <c r="C109" i="41"/>
  <c r="A109" i="41"/>
  <c r="V108" i="41"/>
  <c r="N108" i="41"/>
  <c r="M108" i="41"/>
  <c r="C108" i="41"/>
  <c r="A108" i="41"/>
  <c r="V107" i="41"/>
  <c r="N107" i="41"/>
  <c r="M107" i="41"/>
  <c r="A107" i="41"/>
  <c r="V106" i="41"/>
  <c r="N106" i="41"/>
  <c r="M106" i="41"/>
  <c r="C106" i="41"/>
  <c r="A106" i="41"/>
  <c r="V105" i="41"/>
  <c r="N105" i="41"/>
  <c r="M105" i="41"/>
  <c r="C105" i="41"/>
  <c r="A105" i="41"/>
  <c r="V104" i="41"/>
  <c r="N104" i="41"/>
  <c r="M104" i="41"/>
  <c r="C104" i="41"/>
  <c r="A104" i="41"/>
  <c r="V103" i="41"/>
  <c r="N103" i="41"/>
  <c r="M103" i="41"/>
  <c r="C103" i="41"/>
  <c r="A103" i="41"/>
  <c r="V102" i="41"/>
  <c r="N102" i="41"/>
  <c r="M102" i="41"/>
  <c r="C102" i="41"/>
  <c r="A102" i="41"/>
  <c r="V101" i="41"/>
  <c r="N101" i="41"/>
  <c r="M101" i="41"/>
  <c r="C101" i="41"/>
  <c r="A101" i="41"/>
  <c r="V100" i="41"/>
  <c r="N100" i="41"/>
  <c r="M100" i="41"/>
  <c r="C100" i="41"/>
  <c r="A100" i="41"/>
  <c r="V99" i="41"/>
  <c r="N99" i="41"/>
  <c r="M99" i="41"/>
  <c r="C99" i="41"/>
  <c r="A99" i="41"/>
  <c r="V98" i="41"/>
  <c r="N98" i="41"/>
  <c r="M98" i="41"/>
  <c r="A98" i="41"/>
  <c r="V97" i="41"/>
  <c r="N97" i="41"/>
  <c r="M97" i="41"/>
  <c r="C97" i="41"/>
  <c r="A97" i="41"/>
  <c r="V96" i="41"/>
  <c r="N96" i="41"/>
  <c r="M96" i="41"/>
  <c r="C96" i="41"/>
  <c r="A96" i="41"/>
  <c r="V95" i="41"/>
  <c r="N95" i="41"/>
  <c r="M95" i="41"/>
  <c r="A95" i="41"/>
  <c r="V94" i="41"/>
  <c r="N94" i="41"/>
  <c r="M94" i="41"/>
  <c r="C94" i="41"/>
  <c r="A94" i="41"/>
  <c r="V93" i="41"/>
  <c r="N93" i="41"/>
  <c r="M93" i="41"/>
  <c r="C93" i="41"/>
  <c r="A93" i="41"/>
  <c r="V92" i="41"/>
  <c r="N92" i="41"/>
  <c r="M92" i="41"/>
  <c r="C92" i="41"/>
  <c r="A92" i="41"/>
  <c r="V91" i="41"/>
  <c r="N91" i="41"/>
  <c r="M91" i="41"/>
  <c r="C91" i="41"/>
  <c r="A91" i="41"/>
  <c r="V90" i="41"/>
  <c r="N90" i="41"/>
  <c r="M90" i="41"/>
  <c r="C90" i="41"/>
  <c r="A90" i="41"/>
  <c r="V89" i="41"/>
  <c r="N89" i="41"/>
  <c r="M89" i="41"/>
  <c r="C89" i="41"/>
  <c r="A89" i="41"/>
  <c r="V88" i="41"/>
  <c r="N88" i="41"/>
  <c r="M88" i="41"/>
  <c r="C88" i="41"/>
  <c r="A88" i="41"/>
  <c r="V87" i="41"/>
  <c r="N87" i="41"/>
  <c r="M87" i="41"/>
  <c r="C87" i="41"/>
  <c r="A87" i="41"/>
  <c r="V86" i="41"/>
  <c r="N86" i="41"/>
  <c r="M86" i="41"/>
  <c r="A86" i="41"/>
  <c r="V85" i="41"/>
  <c r="N85" i="41"/>
  <c r="M85" i="41"/>
  <c r="C85" i="41"/>
  <c r="A85" i="41"/>
  <c r="V84" i="41"/>
  <c r="N84" i="41"/>
  <c r="M84" i="41"/>
  <c r="C84" i="41"/>
  <c r="A84" i="41"/>
  <c r="V83" i="41"/>
  <c r="N83" i="41"/>
  <c r="M83" i="41"/>
  <c r="A83" i="41"/>
  <c r="V82" i="41"/>
  <c r="N82" i="41"/>
  <c r="M82" i="41"/>
  <c r="C82" i="41"/>
  <c r="A82" i="41"/>
  <c r="V81" i="41"/>
  <c r="N81" i="41"/>
  <c r="M81" i="41"/>
  <c r="C81" i="41"/>
  <c r="A81" i="41"/>
  <c r="V80" i="41"/>
  <c r="N80" i="41"/>
  <c r="M80" i="41"/>
  <c r="C80" i="41"/>
  <c r="A80" i="41"/>
  <c r="V79" i="41"/>
  <c r="N79" i="41"/>
  <c r="M79" i="41"/>
  <c r="C79" i="41"/>
  <c r="A79" i="41"/>
  <c r="V78" i="41"/>
  <c r="N78" i="41"/>
  <c r="M78" i="41"/>
  <c r="C78" i="41"/>
  <c r="A78" i="41"/>
  <c r="V77" i="41"/>
  <c r="N77" i="41"/>
  <c r="M77" i="41"/>
  <c r="C77" i="41"/>
  <c r="A77" i="41"/>
  <c r="V76" i="41"/>
  <c r="N76" i="41"/>
  <c r="M76" i="41"/>
  <c r="C76" i="41"/>
  <c r="A76" i="41"/>
  <c r="V75" i="41"/>
  <c r="N75" i="41"/>
  <c r="M75" i="41"/>
  <c r="C75" i="41"/>
  <c r="A75" i="41"/>
  <c r="V74" i="41"/>
  <c r="N74" i="41"/>
  <c r="M74" i="41"/>
  <c r="A74" i="41"/>
  <c r="V73" i="41"/>
  <c r="N73" i="41"/>
  <c r="M73" i="41"/>
  <c r="C73" i="41"/>
  <c r="A73" i="41"/>
  <c r="V72" i="41"/>
  <c r="N72" i="41"/>
  <c r="M72" i="41"/>
  <c r="C72" i="41"/>
  <c r="A72" i="41"/>
  <c r="V71" i="41"/>
  <c r="N71" i="41"/>
  <c r="M71" i="41"/>
  <c r="A71" i="41"/>
  <c r="V70" i="41"/>
  <c r="N70" i="41"/>
  <c r="M70" i="41"/>
  <c r="C70" i="41"/>
  <c r="A70" i="41"/>
  <c r="V69" i="41"/>
  <c r="N69" i="41"/>
  <c r="M69" i="41"/>
  <c r="C69" i="41"/>
  <c r="A69" i="41"/>
  <c r="V68" i="41"/>
  <c r="N68" i="41"/>
  <c r="M68" i="41"/>
  <c r="C68" i="41"/>
  <c r="A68" i="41"/>
  <c r="V67" i="41"/>
  <c r="N67" i="41"/>
  <c r="M67" i="41"/>
  <c r="C67" i="41"/>
  <c r="A67" i="41"/>
  <c r="V66" i="41"/>
  <c r="N66" i="41"/>
  <c r="M66" i="41"/>
  <c r="C66" i="41"/>
  <c r="A66" i="41"/>
  <c r="V65" i="41"/>
  <c r="N65" i="41"/>
  <c r="M65" i="41"/>
  <c r="C65" i="41"/>
  <c r="A65" i="41"/>
  <c r="V64" i="41"/>
  <c r="N64" i="41"/>
  <c r="M64" i="41"/>
  <c r="C64" i="41"/>
  <c r="A64" i="41"/>
  <c r="V63" i="41"/>
  <c r="N63" i="41"/>
  <c r="M63" i="41"/>
  <c r="C63" i="41"/>
  <c r="A63" i="41"/>
  <c r="V62" i="41"/>
  <c r="N62" i="41"/>
  <c r="M62" i="41"/>
  <c r="A62" i="41"/>
  <c r="V61" i="41"/>
  <c r="N61" i="41"/>
  <c r="M61" i="41"/>
  <c r="C61" i="41"/>
  <c r="A61" i="41"/>
  <c r="V60" i="41"/>
  <c r="N60" i="41"/>
  <c r="M60" i="41"/>
  <c r="C60" i="41"/>
  <c r="A60" i="41"/>
  <c r="V59" i="41"/>
  <c r="N59" i="41"/>
  <c r="M59" i="41"/>
  <c r="A59" i="41"/>
  <c r="V58" i="41"/>
  <c r="N58" i="41"/>
  <c r="M58" i="41"/>
  <c r="C58" i="41"/>
  <c r="A58" i="41"/>
  <c r="V57" i="41"/>
  <c r="N57" i="41"/>
  <c r="M57" i="41"/>
  <c r="C57" i="41"/>
  <c r="A57" i="41"/>
  <c r="V56" i="41"/>
  <c r="N56" i="41"/>
  <c r="M56" i="41"/>
  <c r="C56" i="41"/>
  <c r="A56" i="41"/>
  <c r="V55" i="41"/>
  <c r="N55" i="41"/>
  <c r="M55" i="41"/>
  <c r="C55" i="41"/>
  <c r="A55" i="41"/>
  <c r="V54" i="41"/>
  <c r="N54" i="41"/>
  <c r="M54" i="41"/>
  <c r="C54" i="41"/>
  <c r="A54" i="41"/>
  <c r="V53" i="41"/>
  <c r="N53" i="41"/>
  <c r="M53" i="41"/>
  <c r="C53" i="41"/>
  <c r="A53" i="41"/>
  <c r="V52" i="41"/>
  <c r="N52" i="41"/>
  <c r="M52" i="41"/>
  <c r="C52" i="41"/>
  <c r="A52" i="41"/>
  <c r="V51" i="41"/>
  <c r="N51" i="41"/>
  <c r="M51" i="41"/>
  <c r="C51" i="41"/>
  <c r="A51" i="41"/>
  <c r="V50" i="41"/>
  <c r="N50" i="41"/>
  <c r="M50" i="41"/>
  <c r="A50" i="41"/>
  <c r="V49" i="41"/>
  <c r="N49" i="41"/>
  <c r="M49" i="41"/>
  <c r="C49" i="41"/>
  <c r="A49" i="41"/>
  <c r="V48" i="41"/>
  <c r="N48" i="41"/>
  <c r="M48" i="41"/>
  <c r="C48" i="41"/>
  <c r="A48" i="41"/>
  <c r="V47" i="41"/>
  <c r="N47" i="41"/>
  <c r="M47" i="41"/>
  <c r="A47" i="41"/>
  <c r="V46" i="41"/>
  <c r="N46" i="41"/>
  <c r="M46" i="41"/>
  <c r="C46" i="41"/>
  <c r="A46" i="41"/>
  <c r="V45" i="41"/>
  <c r="N45" i="41"/>
  <c r="M45" i="41"/>
  <c r="C45" i="41"/>
  <c r="A45" i="41"/>
  <c r="V44" i="41"/>
  <c r="N44" i="41"/>
  <c r="M44" i="41"/>
  <c r="C44" i="41"/>
  <c r="A44" i="41"/>
  <c r="V43" i="41"/>
  <c r="N43" i="41"/>
  <c r="M43" i="41"/>
  <c r="C43" i="41"/>
  <c r="A43" i="41"/>
  <c r="V42" i="41"/>
  <c r="N42" i="41"/>
  <c r="M42" i="41"/>
  <c r="C42" i="41"/>
  <c r="A42" i="41"/>
  <c r="V41" i="41"/>
  <c r="N41" i="41"/>
  <c r="M41" i="41"/>
  <c r="C41" i="41"/>
  <c r="A41" i="41"/>
  <c r="V40" i="41"/>
  <c r="N40" i="41"/>
  <c r="M40" i="41"/>
  <c r="C40" i="41"/>
  <c r="A40" i="41"/>
  <c r="V39" i="41"/>
  <c r="N39" i="41"/>
  <c r="M39" i="41"/>
  <c r="C39" i="41"/>
  <c r="A39" i="41"/>
  <c r="V38" i="41"/>
  <c r="N38" i="41"/>
  <c r="M38" i="41"/>
  <c r="A38" i="41"/>
  <c r="V37" i="41"/>
  <c r="N37" i="41"/>
  <c r="M37" i="41"/>
  <c r="C37" i="41"/>
  <c r="A37" i="41"/>
  <c r="V36" i="41"/>
  <c r="N36" i="41"/>
  <c r="M36" i="41"/>
  <c r="C36" i="41"/>
  <c r="A36" i="41"/>
  <c r="V35" i="41"/>
  <c r="N35" i="41"/>
  <c r="M35" i="41"/>
  <c r="A35" i="41"/>
  <c r="V34" i="41"/>
  <c r="N34" i="41"/>
  <c r="M34" i="41"/>
  <c r="C34" i="41"/>
  <c r="A34" i="41"/>
  <c r="V33" i="41"/>
  <c r="N33" i="41"/>
  <c r="M33" i="41"/>
  <c r="C33" i="41"/>
  <c r="A33" i="41"/>
  <c r="V32" i="41"/>
  <c r="N32" i="41"/>
  <c r="M32" i="41"/>
  <c r="C32" i="41"/>
  <c r="A32" i="41"/>
  <c r="V31" i="41"/>
  <c r="N31" i="41"/>
  <c r="M31" i="41"/>
  <c r="C31" i="41"/>
  <c r="A31" i="41"/>
  <c r="V30" i="41"/>
  <c r="N30" i="41"/>
  <c r="M30" i="41"/>
  <c r="C30" i="41"/>
  <c r="A30" i="41"/>
  <c r="V29" i="41"/>
  <c r="N29" i="41"/>
  <c r="M29" i="41"/>
  <c r="C29" i="41"/>
  <c r="A29" i="41"/>
  <c r="V28" i="41"/>
  <c r="N28" i="41"/>
  <c r="M28" i="41"/>
  <c r="C28" i="41"/>
  <c r="A28" i="41"/>
  <c r="V27" i="41"/>
  <c r="N27" i="41"/>
  <c r="M27" i="41"/>
  <c r="C27" i="41"/>
  <c r="A27" i="41"/>
  <c r="V26" i="41"/>
  <c r="N26" i="41"/>
  <c r="M26" i="41"/>
  <c r="A26" i="41"/>
  <c r="V25" i="41"/>
  <c r="N25" i="41"/>
  <c r="M25" i="41"/>
  <c r="C25" i="41"/>
  <c r="A25" i="41"/>
  <c r="V24" i="41"/>
  <c r="N24" i="41"/>
  <c r="M24" i="41"/>
  <c r="C24" i="41"/>
  <c r="A24" i="41"/>
  <c r="V23" i="41"/>
  <c r="N23" i="41"/>
  <c r="M23" i="41"/>
  <c r="A23" i="41"/>
  <c r="V22" i="41"/>
  <c r="N22" i="41"/>
  <c r="M22" i="41"/>
  <c r="C22" i="41"/>
  <c r="A22" i="41"/>
  <c r="V21" i="41"/>
  <c r="N21" i="41"/>
  <c r="M21" i="41"/>
  <c r="C21" i="41"/>
  <c r="A21" i="41"/>
  <c r="V20" i="41"/>
  <c r="N20" i="41"/>
  <c r="M20" i="41"/>
  <c r="C20" i="41"/>
  <c r="A20" i="41"/>
  <c r="V19" i="41"/>
  <c r="N19" i="41"/>
  <c r="M19" i="41"/>
  <c r="C19" i="41"/>
  <c r="A19" i="41"/>
  <c r="V18" i="41"/>
  <c r="N18" i="41"/>
  <c r="M18" i="41"/>
  <c r="C18" i="41"/>
  <c r="A18" i="41"/>
  <c r="V17" i="41"/>
  <c r="N17" i="41"/>
  <c r="M17" i="41"/>
  <c r="C17" i="41"/>
  <c r="A17" i="41"/>
  <c r="V16" i="41"/>
  <c r="N16" i="41"/>
  <c r="M16" i="41"/>
  <c r="C16" i="41"/>
  <c r="A16" i="41"/>
  <c r="V15" i="41"/>
  <c r="N15" i="41"/>
  <c r="M15" i="41"/>
  <c r="C15" i="41"/>
  <c r="A15" i="41"/>
  <c r="V14" i="41"/>
  <c r="N14" i="41"/>
  <c r="M14" i="41"/>
  <c r="A14" i="41"/>
  <c r="V13" i="41"/>
  <c r="N13" i="41"/>
  <c r="M13" i="41"/>
  <c r="C13" i="41"/>
  <c r="A13" i="41"/>
  <c r="V12" i="41"/>
  <c r="N12" i="41"/>
  <c r="M12" i="41"/>
  <c r="C12" i="41"/>
  <c r="A12" i="41"/>
  <c r="V11" i="41"/>
  <c r="N11" i="41"/>
  <c r="M11" i="41"/>
  <c r="A11" i="41"/>
  <c r="V10" i="41"/>
  <c r="N10" i="41"/>
  <c r="M10" i="41"/>
  <c r="C10" i="41"/>
  <c r="A10" i="41"/>
  <c r="V9" i="41"/>
  <c r="N9" i="41"/>
  <c r="M9" i="41"/>
  <c r="C9" i="41"/>
  <c r="A9" i="41"/>
  <c r="V8" i="41"/>
  <c r="N8" i="41"/>
  <c r="M8" i="41"/>
  <c r="C8" i="41"/>
  <c r="A8" i="41"/>
  <c r="V7" i="41"/>
  <c r="N7" i="41"/>
  <c r="M7" i="41"/>
  <c r="C7" i="41"/>
  <c r="A7" i="41"/>
  <c r="B16" i="35"/>
  <c r="B15" i="35"/>
  <c r="D43" i="33"/>
  <c r="E43" i="33" s="1"/>
  <c r="D38" i="33"/>
  <c r="E38" i="33" s="1"/>
  <c r="D37" i="33"/>
  <c r="E37" i="33" s="1"/>
  <c r="D36" i="33"/>
  <c r="E36" i="33" s="1"/>
  <c r="D35" i="33"/>
  <c r="E35" i="33" s="1"/>
  <c r="D34" i="33"/>
  <c r="E34" i="33" s="1"/>
  <c r="D33" i="33"/>
  <c r="E33" i="33" s="1"/>
  <c r="D32" i="33"/>
  <c r="E32" i="33" s="1"/>
  <c r="D29" i="33"/>
  <c r="E29" i="33" s="1"/>
  <c r="D27" i="33"/>
  <c r="E27" i="33" s="1"/>
  <c r="D25" i="33" a="1"/>
  <c r="D25" i="33"/>
  <c r="E25" i="33" s="1"/>
  <c r="D21" i="33"/>
  <c r="E21" i="33" s="1"/>
  <c r="N80" i="51"/>
  <c r="W79" i="51"/>
  <c r="K79" i="51"/>
  <c r="T78" i="51"/>
  <c r="H78" i="51"/>
  <c r="Q77" i="51"/>
  <c r="E77" i="51"/>
  <c r="N76" i="51"/>
  <c r="W75" i="51"/>
  <c r="K75" i="51"/>
  <c r="T74" i="51"/>
  <c r="H74" i="51"/>
  <c r="Q73" i="51"/>
  <c r="E73" i="51"/>
  <c r="N72" i="51"/>
  <c r="W71" i="51"/>
  <c r="K71" i="51"/>
  <c r="T70" i="51"/>
  <c r="H70" i="51"/>
  <c r="Q69" i="51"/>
  <c r="E69" i="51"/>
  <c r="N68" i="51"/>
  <c r="W67" i="51"/>
  <c r="K67" i="51"/>
  <c r="T66" i="51"/>
  <c r="H66" i="51"/>
  <c r="Q65" i="51"/>
  <c r="E65" i="51"/>
  <c r="N64" i="51"/>
  <c r="W63" i="51"/>
  <c r="K63" i="51"/>
  <c r="T62" i="51"/>
  <c r="H62" i="51"/>
  <c r="Q61" i="51"/>
  <c r="E61" i="51"/>
  <c r="N60" i="51"/>
  <c r="W59" i="51"/>
  <c r="K59" i="51"/>
  <c r="T58" i="51"/>
  <c r="W80" i="51"/>
  <c r="K80" i="51"/>
  <c r="T79" i="51"/>
  <c r="H79" i="51"/>
  <c r="Q78" i="51"/>
  <c r="E78" i="51"/>
  <c r="N77" i="51"/>
  <c r="W76" i="51"/>
  <c r="K76" i="51"/>
  <c r="T75" i="51"/>
  <c r="H75" i="51"/>
  <c r="Q74" i="51"/>
  <c r="E74" i="51"/>
  <c r="N73" i="51"/>
  <c r="W72" i="51"/>
  <c r="K72" i="51"/>
  <c r="T71" i="51"/>
  <c r="H71" i="51"/>
  <c r="Q70" i="51"/>
  <c r="E70" i="51"/>
  <c r="N69" i="51"/>
  <c r="W68" i="51"/>
  <c r="K68" i="51"/>
  <c r="T67" i="51"/>
  <c r="H67" i="51"/>
  <c r="Q66" i="51"/>
  <c r="E66" i="51"/>
  <c r="N65" i="51"/>
  <c r="W64" i="51"/>
  <c r="K64" i="51"/>
  <c r="T63" i="51"/>
  <c r="H63" i="51"/>
  <c r="Q62" i="51"/>
  <c r="E62" i="51"/>
  <c r="N61" i="51"/>
  <c r="W60" i="51"/>
  <c r="K60" i="51"/>
  <c r="T59" i="51"/>
  <c r="H59" i="51"/>
  <c r="Q58" i="51"/>
  <c r="E58" i="51"/>
  <c r="N57" i="51"/>
  <c r="W56" i="51"/>
  <c r="D106" i="47"/>
  <c r="T80" i="51"/>
  <c r="F80" i="51"/>
  <c r="M79" i="51"/>
  <c r="S78" i="51"/>
  <c r="D78" i="51"/>
  <c r="K77" i="51"/>
  <c r="R76" i="51"/>
  <c r="D76" i="51"/>
  <c r="J75" i="51"/>
  <c r="P74" i="51"/>
  <c r="W73" i="51"/>
  <c r="I73" i="51"/>
  <c r="P72" i="51"/>
  <c r="V71" i="51"/>
  <c r="G71" i="51"/>
  <c r="N70" i="51"/>
  <c r="U69" i="51"/>
  <c r="G69" i="51"/>
  <c r="M68" i="51"/>
  <c r="S67" i="51"/>
  <c r="E67" i="51"/>
  <c r="L66" i="51"/>
  <c r="S65" i="51"/>
  <c r="D65" i="51"/>
  <c r="J64" i="51"/>
  <c r="Q63" i="51"/>
  <c r="X62" i="51"/>
  <c r="J62" i="51"/>
  <c r="P61" i="51"/>
  <c r="V60" i="51"/>
  <c r="H60" i="51"/>
  <c r="O59" i="51"/>
  <c r="V58" i="51"/>
  <c r="H58" i="51"/>
  <c r="P57" i="51"/>
  <c r="X56" i="51"/>
  <c r="K56" i="51"/>
  <c r="U55" i="51"/>
  <c r="I55" i="51"/>
  <c r="S54" i="51"/>
  <c r="G54" i="51"/>
  <c r="Q53" i="51"/>
  <c r="E53" i="51"/>
  <c r="O52" i="51"/>
  <c r="M51" i="51"/>
  <c r="W50" i="51"/>
  <c r="K50" i="51"/>
  <c r="U49" i="51"/>
  <c r="I49" i="51"/>
  <c r="S48" i="51"/>
  <c r="G48" i="51"/>
  <c r="Q47" i="51"/>
  <c r="E47" i="51"/>
  <c r="O46" i="51"/>
  <c r="M45" i="51"/>
  <c r="W44" i="51"/>
  <c r="K44" i="51"/>
  <c r="U43" i="51"/>
  <c r="I43" i="51"/>
  <c r="S42" i="51"/>
  <c r="G42" i="51"/>
  <c r="Q41" i="51"/>
  <c r="E41" i="51"/>
  <c r="O80" i="51"/>
  <c r="U79" i="51"/>
  <c r="F79" i="51"/>
  <c r="M78" i="51"/>
  <c r="T77" i="51"/>
  <c r="F77" i="51"/>
  <c r="L76" i="51"/>
  <c r="R75" i="51"/>
  <c r="D75" i="51"/>
  <c r="K74" i="51"/>
  <c r="R73" i="51"/>
  <c r="X72" i="51"/>
  <c r="I72" i="51"/>
  <c r="P71" i="51"/>
  <c r="W70" i="51"/>
  <c r="I70" i="51"/>
  <c r="O69" i="51"/>
  <c r="U68" i="51"/>
  <c r="G68" i="51"/>
  <c r="N67" i="51"/>
  <c r="U66" i="51"/>
  <c r="F66" i="51"/>
  <c r="L65" i="51"/>
  <c r="S64" i="51"/>
  <c r="E64" i="51"/>
  <c r="L63" i="51"/>
  <c r="R62" i="51"/>
  <c r="X61" i="51"/>
  <c r="J61" i="51"/>
  <c r="Q60" i="51"/>
  <c r="X59" i="51"/>
  <c r="I59" i="51"/>
  <c r="O58" i="51"/>
  <c r="W57" i="51"/>
  <c r="J57" i="51"/>
  <c r="R56" i="51"/>
  <c r="F56" i="51"/>
  <c r="P55" i="51"/>
  <c r="D55" i="51"/>
  <c r="N54" i="51"/>
  <c r="X53" i="51"/>
  <c r="L53" i="51"/>
  <c r="V52" i="51"/>
  <c r="J52" i="51"/>
  <c r="T51" i="51"/>
  <c r="H51" i="51"/>
  <c r="R50" i="51"/>
  <c r="F50" i="51"/>
  <c r="P49" i="51"/>
  <c r="D49" i="51"/>
  <c r="N48" i="51"/>
  <c r="X47" i="51"/>
  <c r="L47" i="51"/>
  <c r="V46" i="51"/>
  <c r="J46" i="51"/>
  <c r="T45" i="51"/>
  <c r="H45" i="51"/>
  <c r="R80" i="51"/>
  <c r="V79" i="51"/>
  <c r="D79" i="51"/>
  <c r="I78" i="51"/>
  <c r="L77" i="51"/>
  <c r="P76" i="51"/>
  <c r="S75" i="51"/>
  <c r="W74" i="51"/>
  <c r="F74" i="51"/>
  <c r="J73" i="51"/>
  <c r="M72" i="51"/>
  <c r="Q71" i="51"/>
  <c r="U70" i="51"/>
  <c r="X69" i="51"/>
  <c r="H69" i="51"/>
  <c r="J68" i="51"/>
  <c r="O67" i="51"/>
  <c r="R66" i="51"/>
  <c r="V65" i="51"/>
  <c r="F65" i="51"/>
  <c r="H64" i="51"/>
  <c r="M63" i="51"/>
  <c r="O62" i="51"/>
  <c r="T61" i="51"/>
  <c r="X60" i="51"/>
  <c r="F60" i="51"/>
  <c r="J59" i="51"/>
  <c r="M58" i="51"/>
  <c r="S57" i="51"/>
  <c r="D57" i="51"/>
  <c r="I56" i="51"/>
  <c r="Q55" i="51"/>
  <c r="X54" i="51"/>
  <c r="J54" i="51"/>
  <c r="R53" i="51"/>
  <c r="K52" i="51"/>
  <c r="R51" i="51"/>
  <c r="D51" i="51"/>
  <c r="L50" i="51"/>
  <c r="S49" i="51"/>
  <c r="E49" i="51"/>
  <c r="L48" i="51"/>
  <c r="T47" i="51"/>
  <c r="F47" i="51"/>
  <c r="M46" i="51"/>
  <c r="U45" i="51"/>
  <c r="F45" i="51"/>
  <c r="O44" i="51"/>
  <c r="X43" i="51"/>
  <c r="K43" i="51"/>
  <c r="T42" i="51"/>
  <c r="F42" i="51"/>
  <c r="O41" i="51"/>
  <c r="X40" i="51"/>
  <c r="L40" i="51"/>
  <c r="V39" i="51"/>
  <c r="J39" i="51"/>
  <c r="T38" i="51"/>
  <c r="H38" i="51"/>
  <c r="R37" i="51"/>
  <c r="F37" i="51"/>
  <c r="P36" i="51"/>
  <c r="D36" i="51"/>
  <c r="N35" i="51"/>
  <c r="X34" i="51"/>
  <c r="L34" i="51"/>
  <c r="V33" i="51"/>
  <c r="J33" i="51"/>
  <c r="T32" i="51"/>
  <c r="H32" i="51"/>
  <c r="R31" i="51"/>
  <c r="F31" i="51"/>
  <c r="P30" i="51"/>
  <c r="D30" i="51"/>
  <c r="N29" i="51"/>
  <c r="X28" i="51"/>
  <c r="L28" i="51"/>
  <c r="V27" i="51"/>
  <c r="J27" i="51"/>
  <c r="T26" i="51"/>
  <c r="H26" i="51"/>
  <c r="R25" i="51"/>
  <c r="F25" i="51"/>
  <c r="P24" i="51"/>
  <c r="D24" i="51"/>
  <c r="N23" i="51"/>
  <c r="X22" i="51"/>
  <c r="L22" i="51"/>
  <c r="Q80" i="51"/>
  <c r="S79" i="51"/>
  <c r="X78" i="51"/>
  <c r="G78" i="51"/>
  <c r="J77" i="51"/>
  <c r="O76" i="51"/>
  <c r="Q75" i="51"/>
  <c r="V74" i="51"/>
  <c r="D74" i="51"/>
  <c r="H73" i="51"/>
  <c r="L72" i="51"/>
  <c r="O71" i="51"/>
  <c r="S70" i="51"/>
  <c r="W69" i="51"/>
  <c r="F69" i="51"/>
  <c r="I68" i="51"/>
  <c r="M67" i="51"/>
  <c r="P66" i="51"/>
  <c r="U65" i="51"/>
  <c r="X64" i="51"/>
  <c r="G64" i="51"/>
  <c r="J63" i="51"/>
  <c r="N62" i="51"/>
  <c r="S61" i="51"/>
  <c r="U60" i="51"/>
  <c r="E60" i="51"/>
  <c r="G59" i="51"/>
  <c r="L58" i="51"/>
  <c r="R57" i="51"/>
  <c r="V56" i="51"/>
  <c r="H56" i="51"/>
  <c r="P80" i="51"/>
  <c r="R79" i="51"/>
  <c r="W78" i="51"/>
  <c r="F78" i="51"/>
  <c r="I77" i="51"/>
  <c r="M80" i="51"/>
  <c r="Q79" i="51"/>
  <c r="V78" i="51"/>
  <c r="X77" i="51"/>
  <c r="H77" i="51"/>
  <c r="J76" i="51"/>
  <c r="O75" i="51"/>
  <c r="S74" i="51"/>
  <c r="V73" i="51"/>
  <c r="F73" i="51"/>
  <c r="H72" i="51"/>
  <c r="M71" i="51"/>
  <c r="P70" i="51"/>
  <c r="T69" i="51"/>
  <c r="X68" i="51"/>
  <c r="F68" i="51"/>
  <c r="J67" i="51"/>
  <c r="N66" i="51"/>
  <c r="R65" i="51"/>
  <c r="U64" i="51"/>
  <c r="D64" i="51"/>
  <c r="G63" i="51"/>
  <c r="L62" i="51"/>
  <c r="O61" i="51"/>
  <c r="S60" i="51"/>
  <c r="V59" i="51"/>
  <c r="E59" i="51"/>
  <c r="J58" i="51"/>
  <c r="O57" i="51"/>
  <c r="T56" i="51"/>
  <c r="E56" i="51"/>
  <c r="M55" i="51"/>
  <c r="U54" i="51"/>
  <c r="F54" i="51"/>
  <c r="N53" i="51"/>
  <c r="U52" i="51"/>
  <c r="G52" i="51"/>
  <c r="O51" i="51"/>
  <c r="V50" i="51"/>
  <c r="H50" i="51"/>
  <c r="O49" i="51"/>
  <c r="W48" i="51"/>
  <c r="I48" i="51"/>
  <c r="P47" i="51"/>
  <c r="X46" i="51"/>
  <c r="I46" i="51"/>
  <c r="Q45" i="51"/>
  <c r="L44" i="51"/>
  <c r="T43" i="51"/>
  <c r="G43" i="51"/>
  <c r="P42" i="51"/>
  <c r="L41" i="51"/>
  <c r="U40" i="51"/>
  <c r="I40" i="51"/>
  <c r="S39" i="51"/>
  <c r="G39" i="51"/>
  <c r="Q38" i="51"/>
  <c r="E38" i="51"/>
  <c r="O37" i="51"/>
  <c r="M36" i="51"/>
  <c r="W35" i="51"/>
  <c r="K35" i="51"/>
  <c r="U34" i="51"/>
  <c r="I34" i="51"/>
  <c r="S33" i="51"/>
  <c r="G33" i="51"/>
  <c r="Q32" i="51"/>
  <c r="E32" i="51"/>
  <c r="O31" i="51"/>
  <c r="M30" i="51"/>
  <c r="W29" i="51"/>
  <c r="K29" i="51"/>
  <c r="U28" i="51"/>
  <c r="I28" i="51"/>
  <c r="S27" i="51"/>
  <c r="G27" i="51"/>
  <c r="Q26" i="51"/>
  <c r="E26" i="51"/>
  <c r="O25" i="51"/>
  <c r="M24" i="51"/>
  <c r="W23" i="51"/>
  <c r="K23" i="51"/>
  <c r="U22" i="51"/>
  <c r="I22" i="51"/>
  <c r="J80" i="51"/>
  <c r="O79" i="51"/>
  <c r="R78" i="51"/>
  <c r="V77" i="51"/>
  <c r="D77" i="51"/>
  <c r="H76" i="51"/>
  <c r="M75" i="51"/>
  <c r="O74" i="51"/>
  <c r="T73" i="51"/>
  <c r="V72" i="51"/>
  <c r="F72" i="51"/>
  <c r="J71" i="51"/>
  <c r="M70" i="51"/>
  <c r="R69" i="51"/>
  <c r="T68" i="51"/>
  <c r="X80" i="51"/>
  <c r="G80" i="51"/>
  <c r="J79" i="51"/>
  <c r="N78" i="51"/>
  <c r="R77" i="51"/>
  <c r="U76" i="51"/>
  <c r="E76" i="51"/>
  <c r="G75" i="51"/>
  <c r="L74" i="51"/>
  <c r="O73" i="51"/>
  <c r="S72" i="51"/>
  <c r="X71" i="51"/>
  <c r="E71" i="51"/>
  <c r="J70" i="51"/>
  <c r="L69" i="51"/>
  <c r="V80" i="51"/>
  <c r="I79" i="51"/>
  <c r="P77" i="51"/>
  <c r="F76" i="51"/>
  <c r="R74" i="51"/>
  <c r="K73" i="51"/>
  <c r="U71" i="51"/>
  <c r="L70" i="51"/>
  <c r="D69" i="51"/>
  <c r="V67" i="51"/>
  <c r="V66" i="51"/>
  <c r="P65" i="51"/>
  <c r="P64" i="51"/>
  <c r="O63" i="51"/>
  <c r="K62" i="51"/>
  <c r="I61" i="51"/>
  <c r="I60" i="51"/>
  <c r="D59" i="51"/>
  <c r="D58" i="51"/>
  <c r="F57" i="51"/>
  <c r="D56" i="51"/>
  <c r="J55" i="51"/>
  <c r="O54" i="51"/>
  <c r="T53" i="51"/>
  <c r="X52" i="51"/>
  <c r="F52" i="51"/>
  <c r="K51" i="51"/>
  <c r="P50" i="51"/>
  <c r="V49" i="51"/>
  <c r="H48" i="51"/>
  <c r="M47" i="51"/>
  <c r="R46" i="51"/>
  <c r="W45" i="51"/>
  <c r="E45" i="51"/>
  <c r="J44" i="51"/>
  <c r="Q43" i="51"/>
  <c r="X42" i="51"/>
  <c r="I42" i="51"/>
  <c r="N41" i="51"/>
  <c r="T40" i="51"/>
  <c r="F40" i="51"/>
  <c r="N39" i="51"/>
  <c r="U80" i="51"/>
  <c r="G79" i="51"/>
  <c r="O77" i="51"/>
  <c r="X75" i="51"/>
  <c r="N74" i="51"/>
  <c r="G73" i="51"/>
  <c r="S71" i="51"/>
  <c r="K70" i="51"/>
  <c r="V68" i="51"/>
  <c r="U67" i="51"/>
  <c r="S66" i="51"/>
  <c r="O65" i="51"/>
  <c r="O64" i="51"/>
  <c r="S80" i="51"/>
  <c r="E79" i="51"/>
  <c r="M77" i="51"/>
  <c r="V75" i="51"/>
  <c r="M74" i="51"/>
  <c r="D73" i="51"/>
  <c r="R71" i="51"/>
  <c r="G70" i="51"/>
  <c r="S68" i="51"/>
  <c r="R67" i="51"/>
  <c r="O66" i="51"/>
  <c r="M65" i="51"/>
  <c r="M64" i="51"/>
  <c r="I63" i="51"/>
  <c r="G62" i="51"/>
  <c r="G61" i="51"/>
  <c r="D60" i="51"/>
  <c r="W58" i="51"/>
  <c r="V57" i="51"/>
  <c r="U56" i="51"/>
  <c r="X55" i="51"/>
  <c r="G55" i="51"/>
  <c r="L54" i="51"/>
  <c r="P53" i="51"/>
  <c r="T52" i="51"/>
  <c r="D52" i="51"/>
  <c r="I51" i="51"/>
  <c r="N50" i="51"/>
  <c r="R49" i="51"/>
  <c r="V48" i="51"/>
  <c r="E48" i="51"/>
  <c r="J47" i="51"/>
  <c r="P46" i="51"/>
  <c r="S45" i="51"/>
  <c r="X44" i="51"/>
  <c r="H44" i="51"/>
  <c r="O43" i="51"/>
  <c r="V42" i="51"/>
  <c r="E42" i="51"/>
  <c r="K41" i="51"/>
  <c r="R40" i="51"/>
  <c r="D40" i="51"/>
  <c r="L39" i="51"/>
  <c r="S38" i="51"/>
  <c r="D38" i="51"/>
  <c r="L37" i="51"/>
  <c r="T36" i="51"/>
  <c r="F36" i="51"/>
  <c r="M35" i="51"/>
  <c r="T34" i="51"/>
  <c r="F34" i="51"/>
  <c r="N33" i="51"/>
  <c r="V32" i="51"/>
  <c r="G32" i="51"/>
  <c r="N31" i="51"/>
  <c r="V30" i="51"/>
  <c r="H30" i="51"/>
  <c r="P29" i="51"/>
  <c r="L80" i="51"/>
  <c r="U78" i="51"/>
  <c r="G77" i="51"/>
  <c r="U75" i="51"/>
  <c r="J74" i="51"/>
  <c r="U72" i="51"/>
  <c r="N71" i="51"/>
  <c r="F70" i="51"/>
  <c r="R68" i="51"/>
  <c r="Q67" i="51"/>
  <c r="M66" i="51"/>
  <c r="K65" i="51"/>
  <c r="L64" i="51"/>
  <c r="F63" i="51"/>
  <c r="F62" i="51"/>
  <c r="F61" i="51"/>
  <c r="U59" i="51"/>
  <c r="U58" i="51"/>
  <c r="U57" i="51"/>
  <c r="S56" i="51"/>
  <c r="W55" i="51"/>
  <c r="F55" i="51"/>
  <c r="K54" i="51"/>
  <c r="O53" i="51"/>
  <c r="S52" i="51"/>
  <c r="X51" i="51"/>
  <c r="G51" i="51"/>
  <c r="M50" i="51"/>
  <c r="Q49" i="51"/>
  <c r="U48" i="51"/>
  <c r="D48" i="51"/>
  <c r="I47" i="51"/>
  <c r="N46" i="51"/>
  <c r="R45" i="51"/>
  <c r="V44" i="51"/>
  <c r="G44" i="51"/>
  <c r="N43" i="51"/>
  <c r="U42" i="51"/>
  <c r="D42" i="51"/>
  <c r="J41" i="51"/>
  <c r="Q40" i="51"/>
  <c r="K39" i="51"/>
  <c r="R38" i="51"/>
  <c r="K37" i="51"/>
  <c r="S36" i="51"/>
  <c r="E36" i="51"/>
  <c r="L35" i="51"/>
  <c r="S34" i="51"/>
  <c r="E34" i="51"/>
  <c r="M33" i="51"/>
  <c r="U32" i="51"/>
  <c r="F32" i="51"/>
  <c r="M31" i="51"/>
  <c r="U30" i="51"/>
  <c r="G30" i="51"/>
  <c r="O29" i="51"/>
  <c r="V28" i="51"/>
  <c r="G28" i="51"/>
  <c r="O27" i="51"/>
  <c r="W26" i="51"/>
  <c r="I26" i="51"/>
  <c r="P25" i="51"/>
  <c r="W24" i="51"/>
  <c r="I24" i="51"/>
  <c r="Q23" i="51"/>
  <c r="J22" i="51"/>
  <c r="I80" i="51"/>
  <c r="P78" i="51"/>
  <c r="X76" i="51"/>
  <c r="P75" i="51"/>
  <c r="I74" i="51"/>
  <c r="T72" i="51"/>
  <c r="L71" i="51"/>
  <c r="D70" i="51"/>
  <c r="Q68" i="51"/>
  <c r="P67" i="51"/>
  <c r="K66" i="51"/>
  <c r="J65" i="51"/>
  <c r="I64" i="51"/>
  <c r="E63" i="51"/>
  <c r="D62" i="51"/>
  <c r="D61" i="51"/>
  <c r="S59" i="51"/>
  <c r="S58" i="51"/>
  <c r="T57" i="51"/>
  <c r="Q56" i="51"/>
  <c r="V55" i="51"/>
  <c r="E55" i="51"/>
  <c r="I54" i="51"/>
  <c r="M53" i="51"/>
  <c r="R52" i="51"/>
  <c r="W51" i="51"/>
  <c r="F51" i="51"/>
  <c r="J50" i="51"/>
  <c r="N49" i="51"/>
  <c r="T48" i="51"/>
  <c r="H47" i="51"/>
  <c r="L46" i="51"/>
  <c r="P45" i="51"/>
  <c r="U44" i="51"/>
  <c r="F44" i="51"/>
  <c r="M43" i="51"/>
  <c r="R42" i="51"/>
  <c r="X41" i="51"/>
  <c r="I41" i="51"/>
  <c r="P40" i="51"/>
  <c r="X39" i="51"/>
  <c r="I39" i="51"/>
  <c r="P38" i="51"/>
  <c r="X37" i="51"/>
  <c r="J37" i="51"/>
  <c r="R36" i="51"/>
  <c r="J35" i="51"/>
  <c r="R34" i="51"/>
  <c r="D34" i="51"/>
  <c r="L33" i="51"/>
  <c r="S32" i="51"/>
  <c r="D32" i="51"/>
  <c r="L31" i="51"/>
  <c r="T30" i="51"/>
  <c r="F30" i="51"/>
  <c r="M29" i="51"/>
  <c r="T28" i="51"/>
  <c r="F28" i="51"/>
  <c r="N27" i="51"/>
  <c r="V26" i="51"/>
  <c r="G26" i="51"/>
  <c r="N25" i="51"/>
  <c r="V24" i="51"/>
  <c r="H24" i="51"/>
  <c r="P23" i="51"/>
  <c r="W22" i="51"/>
  <c r="H22" i="51"/>
  <c r="H80" i="51"/>
  <c r="O78" i="51"/>
  <c r="V76" i="51"/>
  <c r="N75" i="51"/>
  <c r="G74" i="51"/>
  <c r="R72" i="51"/>
  <c r="I71" i="51"/>
  <c r="V69" i="51"/>
  <c r="P68" i="51"/>
  <c r="L67" i="51"/>
  <c r="J66" i="51"/>
  <c r="I65" i="51"/>
  <c r="F64" i="51"/>
  <c r="D63" i="51"/>
  <c r="W61" i="51"/>
  <c r="T60" i="51"/>
  <c r="R59" i="51"/>
  <c r="R58" i="51"/>
  <c r="Q57" i="51"/>
  <c r="P56" i="51"/>
  <c r="T55" i="51"/>
  <c r="H54" i="51"/>
  <c r="K53" i="51"/>
  <c r="Q52" i="51"/>
  <c r="V51" i="51"/>
  <c r="E51" i="51"/>
  <c r="I50" i="51"/>
  <c r="M49" i="51"/>
  <c r="R48" i="51"/>
  <c r="W47" i="51"/>
  <c r="G47" i="51"/>
  <c r="K46" i="51"/>
  <c r="O45" i="51"/>
  <c r="T44" i="51"/>
  <c r="E44" i="51"/>
  <c r="L43" i="51"/>
  <c r="Q42" i="51"/>
  <c r="W41" i="51"/>
  <c r="H41" i="51"/>
  <c r="O40" i="51"/>
  <c r="W39" i="51"/>
  <c r="H39" i="51"/>
  <c r="J78" i="51"/>
  <c r="F75" i="51"/>
  <c r="J72" i="51"/>
  <c r="M69" i="51"/>
  <c r="F67" i="51"/>
  <c r="V64" i="51"/>
  <c r="V62" i="51"/>
  <c r="H61" i="51"/>
  <c r="L59" i="51"/>
  <c r="K57" i="51"/>
  <c r="W77" i="51"/>
  <c r="E75" i="51"/>
  <c r="G72" i="51"/>
  <c r="K69" i="51"/>
  <c r="D67" i="51"/>
  <c r="T64" i="51"/>
  <c r="U62" i="51"/>
  <c r="R60" i="51"/>
  <c r="F59" i="51"/>
  <c r="I57" i="51"/>
  <c r="R55" i="51"/>
  <c r="M54" i="51"/>
  <c r="F53" i="51"/>
  <c r="Q51" i="51"/>
  <c r="G50" i="51"/>
  <c r="F49" i="51"/>
  <c r="R47" i="51"/>
  <c r="G46" i="51"/>
  <c r="D45" i="51"/>
  <c r="S43" i="51"/>
  <c r="M42" i="51"/>
  <c r="G41" i="51"/>
  <c r="G40" i="51"/>
  <c r="G38" i="51"/>
  <c r="H37" i="51"/>
  <c r="K36" i="51"/>
  <c r="P35" i="51"/>
  <c r="P34" i="51"/>
  <c r="U77" i="51"/>
  <c r="X74" i="51"/>
  <c r="E72" i="51"/>
  <c r="J69" i="51"/>
  <c r="X66" i="51"/>
  <c r="R64" i="51"/>
  <c r="S62" i="51"/>
  <c r="P60" i="51"/>
  <c r="X58" i="51"/>
  <c r="H57" i="51"/>
  <c r="O55" i="51"/>
  <c r="E54" i="51"/>
  <c r="D53" i="51"/>
  <c r="P51" i="51"/>
  <c r="E50" i="51"/>
  <c r="X48" i="51"/>
  <c r="O47" i="51"/>
  <c r="F46" i="51"/>
  <c r="S44" i="51"/>
  <c r="R43" i="51"/>
  <c r="L42" i="51"/>
  <c r="F41" i="51"/>
  <c r="E40" i="51"/>
  <c r="X38" i="51"/>
  <c r="F38" i="51"/>
  <c r="G37" i="51"/>
  <c r="J36" i="51"/>
  <c r="O35" i="51"/>
  <c r="O34" i="51"/>
  <c r="R33" i="51"/>
  <c r="W32" i="51"/>
  <c r="W31" i="51"/>
  <c r="E31" i="51"/>
  <c r="I30" i="51"/>
  <c r="I29" i="51"/>
  <c r="O28" i="51"/>
  <c r="T27" i="51"/>
  <c r="F26" i="51"/>
  <c r="K25" i="51"/>
  <c r="Q24" i="51"/>
  <c r="U23" i="51"/>
  <c r="E23" i="51"/>
  <c r="G22" i="51"/>
  <c r="E80" i="51"/>
  <c r="T76" i="51"/>
  <c r="X73" i="51"/>
  <c r="F71" i="51"/>
  <c r="O68" i="51"/>
  <c r="I66" i="51"/>
  <c r="X63" i="51"/>
  <c r="M62" i="51"/>
  <c r="M60" i="51"/>
  <c r="N58" i="51"/>
  <c r="E57" i="51"/>
  <c r="L55" i="51"/>
  <c r="P52" i="51"/>
  <c r="L51" i="51"/>
  <c r="P48" i="51"/>
  <c r="K47" i="51"/>
  <c r="D46" i="51"/>
  <c r="Q44" i="51"/>
  <c r="J43" i="51"/>
  <c r="J42" i="51"/>
  <c r="T39" i="51"/>
  <c r="V38" i="51"/>
  <c r="V37" i="51"/>
  <c r="D37" i="51"/>
  <c r="H36" i="51"/>
  <c r="H35" i="51"/>
  <c r="M34" i="51"/>
  <c r="P33" i="51"/>
  <c r="P32" i="51"/>
  <c r="U31" i="51"/>
  <c r="X30" i="51"/>
  <c r="G29" i="51"/>
  <c r="M28" i="51"/>
  <c r="Q27" i="51"/>
  <c r="U26" i="51"/>
  <c r="I25" i="51"/>
  <c r="N24" i="51"/>
  <c r="S23" i="51"/>
  <c r="V22" i="51"/>
  <c r="E22" i="51"/>
  <c r="D80" i="51"/>
  <c r="S76" i="51"/>
  <c r="U73" i="51"/>
  <c r="D71" i="51"/>
  <c r="L68" i="51"/>
  <c r="G66" i="51"/>
  <c r="V63" i="51"/>
  <c r="I62" i="51"/>
  <c r="L60" i="51"/>
  <c r="K58" i="51"/>
  <c r="O56" i="51"/>
  <c r="K55" i="51"/>
  <c r="W53" i="51"/>
  <c r="N52" i="51"/>
  <c r="J51" i="51"/>
  <c r="X49" i="51"/>
  <c r="O48" i="51"/>
  <c r="D47" i="51"/>
  <c r="X45" i="51"/>
  <c r="P44" i="51"/>
  <c r="H43" i="51"/>
  <c r="S77" i="51"/>
  <c r="Q72" i="51"/>
  <c r="D68" i="51"/>
  <c r="U63" i="51"/>
  <c r="K61" i="51"/>
  <c r="X57" i="51"/>
  <c r="H55" i="51"/>
  <c r="I53" i="51"/>
  <c r="J49" i="51"/>
  <c r="J45" i="51"/>
  <c r="F43" i="51"/>
  <c r="S41" i="51"/>
  <c r="H40" i="51"/>
  <c r="O38" i="51"/>
  <c r="P37" i="51"/>
  <c r="L36" i="51"/>
  <c r="F35" i="51"/>
  <c r="D33" i="51"/>
  <c r="X31" i="51"/>
  <c r="W30" i="51"/>
  <c r="U29" i="51"/>
  <c r="W28" i="51"/>
  <c r="X27" i="51"/>
  <c r="D27" i="51"/>
  <c r="X25" i="51"/>
  <c r="E25" i="51"/>
  <c r="F24" i="51"/>
  <c r="H23" i="51"/>
  <c r="K22" i="51"/>
  <c r="Q76" i="51"/>
  <c r="O72" i="51"/>
  <c r="X67" i="51"/>
  <c r="S63" i="51"/>
  <c r="O60" i="51"/>
  <c r="M57" i="51"/>
  <c r="W54" i="51"/>
  <c r="H53" i="51"/>
  <c r="X50" i="51"/>
  <c r="H49" i="51"/>
  <c r="W46" i="51"/>
  <c r="I45" i="51"/>
  <c r="M76" i="51"/>
  <c r="D72" i="51"/>
  <c r="I67" i="51"/>
  <c r="R63" i="51"/>
  <c r="J60" i="51"/>
  <c r="L57" i="51"/>
  <c r="V54" i="51"/>
  <c r="G53" i="51"/>
  <c r="U50" i="51"/>
  <c r="G49" i="51"/>
  <c r="U46" i="51"/>
  <c r="G45" i="51"/>
  <c r="D43" i="51"/>
  <c r="P41" i="51"/>
  <c r="R39" i="51"/>
  <c r="M38" i="51"/>
  <c r="M37" i="51"/>
  <c r="G36" i="51"/>
  <c r="D35" i="51"/>
  <c r="W33" i="51"/>
  <c r="X32" i="51"/>
  <c r="T31" i="51"/>
  <c r="R30" i="51"/>
  <c r="S29" i="51"/>
  <c r="R28" i="51"/>
  <c r="U27" i="51"/>
  <c r="S26" i="51"/>
  <c r="V25" i="51"/>
  <c r="X24" i="51"/>
  <c r="F23" i="51"/>
  <c r="D22" i="51"/>
  <c r="L75" i="51"/>
  <c r="R70" i="51"/>
  <c r="D66" i="51"/>
  <c r="W62" i="51"/>
  <c r="P59" i="51"/>
  <c r="M56" i="51"/>
  <c r="Q54" i="51"/>
  <c r="L52" i="51"/>
  <c r="Q50" i="51"/>
  <c r="K48" i="51"/>
  <c r="Q46" i="51"/>
  <c r="M44" i="51"/>
  <c r="O42" i="51"/>
  <c r="W40" i="51"/>
  <c r="O39" i="51"/>
  <c r="J38" i="51"/>
  <c r="X36" i="51"/>
  <c r="U35" i="51"/>
  <c r="V34" i="51"/>
  <c r="Q33" i="51"/>
  <c r="N32" i="51"/>
  <c r="P31" i="51"/>
  <c r="N30" i="51"/>
  <c r="L29" i="51"/>
  <c r="N79" i="51"/>
  <c r="S73" i="51"/>
  <c r="P69" i="51"/>
  <c r="T65" i="51"/>
  <c r="U61" i="51"/>
  <c r="P58" i="51"/>
  <c r="G56" i="51"/>
  <c r="V53" i="51"/>
  <c r="E52" i="51"/>
  <c r="W49" i="51"/>
  <c r="V47" i="51"/>
  <c r="V45" i="51"/>
  <c r="H42" i="51"/>
  <c r="N40" i="51"/>
  <c r="L79" i="51"/>
  <c r="O70" i="51"/>
  <c r="P63" i="51"/>
  <c r="G58" i="51"/>
  <c r="D54" i="51"/>
  <c r="S50" i="51"/>
  <c r="N47" i="51"/>
  <c r="W43" i="51"/>
  <c r="M41" i="51"/>
  <c r="E39" i="51"/>
  <c r="Q37" i="51"/>
  <c r="V35" i="51"/>
  <c r="K34" i="51"/>
  <c r="E33" i="51"/>
  <c r="Q31" i="51"/>
  <c r="J30" i="51"/>
  <c r="R27" i="51"/>
  <c r="O26" i="51"/>
  <c r="M25" i="51"/>
  <c r="K24" i="51"/>
  <c r="I23" i="51"/>
  <c r="L78" i="51"/>
  <c r="S69" i="51"/>
  <c r="N63" i="51"/>
  <c r="F58" i="51"/>
  <c r="U53" i="51"/>
  <c r="O50" i="51"/>
  <c r="T46" i="51"/>
  <c r="V43" i="51"/>
  <c r="D41" i="51"/>
  <c r="D39" i="51"/>
  <c r="N37" i="51"/>
  <c r="T35" i="51"/>
  <c r="J34" i="51"/>
  <c r="K31" i="51"/>
  <c r="E30" i="51"/>
  <c r="S28" i="51"/>
  <c r="P27" i="51"/>
  <c r="N26" i="51"/>
  <c r="L25" i="51"/>
  <c r="J24" i="51"/>
  <c r="G23" i="51"/>
  <c r="K78" i="51"/>
  <c r="I69" i="51"/>
  <c r="P62" i="51"/>
  <c r="G57" i="51"/>
  <c r="S53" i="51"/>
  <c r="D50" i="51"/>
  <c r="S46" i="51"/>
  <c r="P43" i="51"/>
  <c r="V40" i="51"/>
  <c r="W38" i="51"/>
  <c r="I37" i="51"/>
  <c r="S35" i="51"/>
  <c r="H34" i="51"/>
  <c r="R32" i="51"/>
  <c r="J31" i="51"/>
  <c r="X29" i="51"/>
  <c r="Q28" i="51"/>
  <c r="M27" i="51"/>
  <c r="M26" i="51"/>
  <c r="J25" i="51"/>
  <c r="G24" i="51"/>
  <c r="D23" i="51"/>
  <c r="I76" i="51"/>
  <c r="H68" i="51"/>
  <c r="V61" i="51"/>
  <c r="N56" i="51"/>
  <c r="J53" i="51"/>
  <c r="T49" i="51"/>
  <c r="H46" i="51"/>
  <c r="E43" i="51"/>
  <c r="S40" i="51"/>
  <c r="U38" i="51"/>
  <c r="E37" i="51"/>
  <c r="R35" i="51"/>
  <c r="G34" i="51"/>
  <c r="O32" i="51"/>
  <c r="I31" i="51"/>
  <c r="V29" i="51"/>
  <c r="P28" i="51"/>
  <c r="L27" i="51"/>
  <c r="L26" i="51"/>
  <c r="H25" i="51"/>
  <c r="E24" i="51"/>
  <c r="T22" i="51"/>
  <c r="P79" i="51"/>
  <c r="X65" i="51"/>
  <c r="I58" i="51"/>
  <c r="H52" i="51"/>
  <c r="S47" i="51"/>
  <c r="G76" i="51"/>
  <c r="W65" i="51"/>
  <c r="L56" i="51"/>
  <c r="U51" i="51"/>
  <c r="E46" i="51"/>
  <c r="V41" i="51"/>
  <c r="N38" i="51"/>
  <c r="O36" i="51"/>
  <c r="X33" i="51"/>
  <c r="I32" i="51"/>
  <c r="T29" i="51"/>
  <c r="E28" i="51"/>
  <c r="K26" i="51"/>
  <c r="S24" i="51"/>
  <c r="S22" i="51"/>
  <c r="I75" i="51"/>
  <c r="H65" i="51"/>
  <c r="J56" i="51"/>
  <c r="S51" i="51"/>
  <c r="N45" i="51"/>
  <c r="U41" i="51"/>
  <c r="L38" i="51"/>
  <c r="N36" i="51"/>
  <c r="U33" i="51"/>
  <c r="R29" i="51"/>
  <c r="D28" i="51"/>
  <c r="J26" i="51"/>
  <c r="R24" i="51"/>
  <c r="R22" i="51"/>
  <c r="U74" i="51"/>
  <c r="G65" i="51"/>
  <c r="N51" i="51"/>
  <c r="L45" i="51"/>
  <c r="T41" i="51"/>
  <c r="K38" i="51"/>
  <c r="I36" i="51"/>
  <c r="T33" i="51"/>
  <c r="V31" i="51"/>
  <c r="Q29" i="51"/>
  <c r="D26" i="51"/>
  <c r="O24" i="51"/>
  <c r="Q22" i="51"/>
  <c r="P73" i="51"/>
  <c r="Q64" i="51"/>
  <c r="S55" i="51"/>
  <c r="T50" i="51"/>
  <c r="K45" i="51"/>
  <c r="R41" i="51"/>
  <c r="I38" i="51"/>
  <c r="X35" i="51"/>
  <c r="O33" i="51"/>
  <c r="S31" i="51"/>
  <c r="J29" i="51"/>
  <c r="W27" i="51"/>
  <c r="W25" i="51"/>
  <c r="L24" i="51"/>
  <c r="P22" i="51"/>
  <c r="G60" i="51"/>
  <c r="K49" i="51"/>
  <c r="N42" i="51"/>
  <c r="T37" i="51"/>
  <c r="Q34" i="51"/>
  <c r="D31" i="51"/>
  <c r="J28" i="51"/>
  <c r="S25" i="51"/>
  <c r="L23" i="51"/>
  <c r="X79" i="51"/>
  <c r="Q59" i="51"/>
  <c r="Q48" i="51"/>
  <c r="K42" i="51"/>
  <c r="S37" i="51"/>
  <c r="N34" i="51"/>
  <c r="S30" i="51"/>
  <c r="H28" i="51"/>
  <c r="Q25" i="51"/>
  <c r="J23" i="51"/>
  <c r="X70" i="51"/>
  <c r="N55" i="51"/>
  <c r="F48" i="51"/>
  <c r="J40" i="51"/>
  <c r="U36" i="51"/>
  <c r="H33" i="51"/>
  <c r="L30" i="51"/>
  <c r="H27" i="51"/>
  <c r="U24" i="51"/>
  <c r="M22" i="51"/>
  <c r="V70" i="51"/>
  <c r="T54" i="51"/>
  <c r="U47" i="51"/>
  <c r="U39" i="51"/>
  <c r="Q36" i="51"/>
  <c r="F33" i="51"/>
  <c r="K30" i="51"/>
  <c r="F27" i="51"/>
  <c r="T24" i="51"/>
  <c r="F22" i="51"/>
  <c r="G67" i="51"/>
  <c r="L49" i="51"/>
  <c r="P39" i="51"/>
  <c r="W34" i="51"/>
  <c r="F29" i="51"/>
  <c r="T25" i="51"/>
  <c r="W66" i="51"/>
  <c r="M48" i="51"/>
  <c r="M39" i="51"/>
  <c r="K33" i="51"/>
  <c r="E29" i="51"/>
  <c r="G25" i="51"/>
  <c r="R61" i="51"/>
  <c r="J48" i="51"/>
  <c r="F39" i="51"/>
  <c r="M61" i="51"/>
  <c r="R44" i="51"/>
  <c r="W37" i="51"/>
  <c r="M32" i="51"/>
  <c r="N28" i="51"/>
  <c r="X23" i="51"/>
  <c r="L61" i="51"/>
  <c r="N44" i="51"/>
  <c r="U37" i="51"/>
  <c r="L32" i="51"/>
  <c r="K28" i="51"/>
  <c r="V23" i="51"/>
  <c r="N59" i="51"/>
  <c r="I44" i="51"/>
  <c r="W36" i="51"/>
  <c r="K32" i="51"/>
  <c r="K27" i="51"/>
  <c r="T23" i="51"/>
  <c r="M59" i="51"/>
  <c r="D44" i="51"/>
  <c r="V36" i="51"/>
  <c r="J32" i="51"/>
  <c r="I27" i="51"/>
  <c r="R23" i="51"/>
  <c r="M73" i="51"/>
  <c r="Q39" i="51"/>
  <c r="D29" i="51"/>
  <c r="L73" i="51"/>
  <c r="Q35" i="51"/>
  <c r="E27" i="51"/>
  <c r="E68" i="51"/>
  <c r="I35" i="51"/>
  <c r="X26" i="51"/>
  <c r="W52" i="51"/>
  <c r="U25" i="51"/>
  <c r="M52" i="51"/>
  <c r="O30" i="51"/>
  <c r="I52" i="51"/>
  <c r="H29" i="51"/>
  <c r="R26" i="51"/>
  <c r="K40" i="51"/>
  <c r="O23" i="51"/>
  <c r="M40" i="51"/>
  <c r="G35" i="51"/>
  <c r="E35" i="51"/>
  <c r="I33" i="51"/>
  <c r="H31" i="51"/>
  <c r="G31" i="51"/>
  <c r="Q30" i="51"/>
  <c r="P26" i="51"/>
  <c r="D25" i="51"/>
  <c r="M23" i="51"/>
  <c r="O22" i="51"/>
  <c r="N22" i="51"/>
  <c r="R54" i="51"/>
  <c r="W42" i="51"/>
  <c r="P54" i="51"/>
  <c r="D42" i="33"/>
  <c r="H12" i="30" l="1"/>
  <c r="G72" i="30"/>
  <c r="G36" i="30"/>
  <c r="G14" i="30"/>
  <c r="B144" i="13"/>
  <c r="E14" i="19"/>
  <c r="E30" i="28"/>
  <c r="G207" i="46"/>
  <c r="G215" i="46"/>
  <c r="G235" i="46"/>
  <c r="G799" i="46"/>
  <c r="G33" i="13"/>
  <c r="C21" i="6" s="1"/>
  <c r="B131" i="13"/>
  <c r="B145" i="13"/>
  <c r="E15" i="18"/>
  <c r="C6" i="19"/>
  <c r="E32" i="19"/>
  <c r="F16" i="20"/>
  <c r="E32" i="24"/>
  <c r="C6" i="26"/>
  <c r="H12" i="26"/>
  <c r="F30" i="28"/>
  <c r="K21" i="38"/>
  <c r="F22" i="39"/>
  <c r="G19" i="46"/>
  <c r="G26" i="46"/>
  <c r="G33" i="46"/>
  <c r="G75" i="46"/>
  <c r="G85" i="46"/>
  <c r="G111" i="46"/>
  <c r="G143" i="46"/>
  <c r="G163" i="46"/>
  <c r="G199" i="46"/>
  <c r="G244" i="46"/>
  <c r="G275" i="46"/>
  <c r="G331" i="46"/>
  <c r="G351" i="46"/>
  <c r="G380" i="46"/>
  <c r="G391" i="46"/>
  <c r="G428" i="46"/>
  <c r="G614" i="46"/>
  <c r="C390" i="49"/>
  <c r="C441" i="49"/>
  <c r="C496" i="49"/>
  <c r="C544" i="49"/>
  <c r="G544" i="49" s="1"/>
  <c r="C680" i="49"/>
  <c r="C826" i="49"/>
  <c r="C893" i="49"/>
  <c r="C932" i="49"/>
  <c r="C1021" i="49"/>
  <c r="C2253" i="49"/>
  <c r="B21" i="13"/>
  <c r="B26" i="14" s="1"/>
  <c r="J33" i="13"/>
  <c r="B109" i="13"/>
  <c r="B132" i="13"/>
  <c r="E44" i="15"/>
  <c r="E18" i="16"/>
  <c r="F15" i="18"/>
  <c r="E36" i="19"/>
  <c r="G14" i="20"/>
  <c r="C85" i="23"/>
  <c r="F32" i="24"/>
  <c r="C79" i="25"/>
  <c r="F17" i="26"/>
  <c r="F31" i="28"/>
  <c r="E80" i="28"/>
  <c r="E32" i="29"/>
  <c r="K5" i="38"/>
  <c r="A5" i="40"/>
  <c r="A13" i="40"/>
  <c r="G49" i="46"/>
  <c r="G67" i="46"/>
  <c r="G172" i="46"/>
  <c r="G208" i="46"/>
  <c r="G236" i="46"/>
  <c r="G255" i="46"/>
  <c r="G315" i="46"/>
  <c r="G323" i="46"/>
  <c r="G419" i="46"/>
  <c r="G448" i="46"/>
  <c r="G467" i="46"/>
  <c r="G589" i="46"/>
  <c r="C392" i="49"/>
  <c r="C444" i="49"/>
  <c r="C500" i="49"/>
  <c r="C685" i="49"/>
  <c r="C851" i="49"/>
  <c r="C899" i="49"/>
  <c r="C936" i="49"/>
  <c r="C1025" i="49"/>
  <c r="G1025" i="49" s="1"/>
  <c r="C1079" i="49"/>
  <c r="C1211" i="49"/>
  <c r="B23" i="13"/>
  <c r="N23" i="13" s="1"/>
  <c r="B110" i="13"/>
  <c r="B133" i="13"/>
  <c r="J3" i="15"/>
  <c r="F18" i="16"/>
  <c r="F44" i="17"/>
  <c r="G16" i="20"/>
  <c r="C85" i="21"/>
  <c r="J3" i="23"/>
  <c r="F35" i="24"/>
  <c r="J2" i="25"/>
  <c r="C85" i="25"/>
  <c r="F29" i="26"/>
  <c r="G17" i="26"/>
  <c r="E32" i="28"/>
  <c r="E15" i="29"/>
  <c r="F38" i="31"/>
  <c r="G175" i="46"/>
  <c r="I13" i="38"/>
  <c r="C5" i="40"/>
  <c r="E10" i="39"/>
  <c r="G13" i="46"/>
  <c r="G20" i="46"/>
  <c r="G27" i="46"/>
  <c r="G104" i="46"/>
  <c r="G124" i="46"/>
  <c r="G164" i="46"/>
  <c r="G182" i="46"/>
  <c r="G200" i="46"/>
  <c r="G287" i="46"/>
  <c r="G307" i="46"/>
  <c r="G352" i="46"/>
  <c r="G392" i="46"/>
  <c r="G439" i="46"/>
  <c r="G459" i="46"/>
  <c r="G500" i="46"/>
  <c r="G607" i="46"/>
  <c r="G615" i="46"/>
  <c r="G779" i="46"/>
  <c r="C315" i="49"/>
  <c r="C393" i="49"/>
  <c r="C461" i="49"/>
  <c r="C502" i="49"/>
  <c r="C551" i="49"/>
  <c r="C587" i="49"/>
  <c r="C692" i="49"/>
  <c r="C852" i="49"/>
  <c r="C902" i="49"/>
  <c r="C938" i="49"/>
  <c r="C1087" i="49"/>
  <c r="C1221" i="49"/>
  <c r="B25" i="13"/>
  <c r="B111" i="13"/>
  <c r="B135" i="13"/>
  <c r="C72" i="8"/>
  <c r="D11" i="33" s="1"/>
  <c r="E11" i="33" s="1"/>
  <c r="F33" i="16"/>
  <c r="C5" i="17"/>
  <c r="E80" i="22"/>
  <c r="E17" i="23"/>
  <c r="G33" i="26"/>
  <c r="F33" i="28"/>
  <c r="C85" i="28"/>
  <c r="F16" i="29"/>
  <c r="E34" i="29"/>
  <c r="I8" i="38"/>
  <c r="J13" i="38"/>
  <c r="I16" i="38"/>
  <c r="I19" i="38"/>
  <c r="A7" i="40"/>
  <c r="F10" i="39"/>
  <c r="G35" i="46"/>
  <c r="G43" i="46"/>
  <c r="G68" i="46"/>
  <c r="G135" i="46"/>
  <c r="G218" i="46"/>
  <c r="G316" i="46"/>
  <c r="G362" i="46"/>
  <c r="G412" i="46"/>
  <c r="G523" i="46"/>
  <c r="G599" i="46"/>
  <c r="C322" i="49"/>
  <c r="C398" i="49"/>
  <c r="C464" i="49"/>
  <c r="C517" i="49"/>
  <c r="C553" i="49"/>
  <c r="C599" i="49"/>
  <c r="C697" i="49"/>
  <c r="C906" i="49"/>
  <c r="C943" i="49"/>
  <c r="G943" i="49" s="1"/>
  <c r="C1033" i="49"/>
  <c r="C1099" i="49"/>
  <c r="C1228" i="49"/>
  <c r="B27" i="13"/>
  <c r="L27" i="13" s="1"/>
  <c r="B112" i="13"/>
  <c r="B136" i="13"/>
  <c r="E79" i="8"/>
  <c r="E16" i="15"/>
  <c r="F16" i="17"/>
  <c r="F27" i="21"/>
  <c r="E82" i="22"/>
  <c r="E37" i="23"/>
  <c r="E37" i="24"/>
  <c r="F34" i="26"/>
  <c r="E34" i="28"/>
  <c r="I6" i="38"/>
  <c r="K13" i="38"/>
  <c r="D21" i="39"/>
  <c r="G7" i="46"/>
  <c r="G14" i="46"/>
  <c r="G21" i="46"/>
  <c r="G28" i="46"/>
  <c r="G51" i="46"/>
  <c r="G88" i="46"/>
  <c r="G97" i="46"/>
  <c r="G105" i="46"/>
  <c r="G157" i="46"/>
  <c r="G183" i="46"/>
  <c r="G193" i="46"/>
  <c r="G229" i="46"/>
  <c r="G268" i="46"/>
  <c r="G308" i="46"/>
  <c r="G403" i="46"/>
  <c r="G535" i="46"/>
  <c r="G608" i="46"/>
  <c r="C303" i="49"/>
  <c r="C340" i="49"/>
  <c r="C401" i="49"/>
  <c r="C470" i="49"/>
  <c r="C521" i="49"/>
  <c r="C557" i="49"/>
  <c r="C709" i="49"/>
  <c r="C910" i="49"/>
  <c r="C1034" i="49"/>
  <c r="C1100" i="49"/>
  <c r="C1251" i="49"/>
  <c r="C1491" i="49"/>
  <c r="C1804" i="49"/>
  <c r="G211" i="46"/>
  <c r="G219" i="46"/>
  <c r="G239" i="46"/>
  <c r="B138" i="13"/>
  <c r="C19" i="3"/>
  <c r="E80" i="16"/>
  <c r="F18" i="18"/>
  <c r="F31" i="21"/>
  <c r="J3" i="25"/>
  <c r="E18" i="29"/>
  <c r="F44" i="31"/>
  <c r="K6" i="38"/>
  <c r="J9" i="38"/>
  <c r="L11" i="38"/>
  <c r="D11" i="40" s="1"/>
  <c r="C8" i="40"/>
  <c r="D13" i="39"/>
  <c r="D15" i="39"/>
  <c r="G8" i="46"/>
  <c r="G15" i="46"/>
  <c r="G52" i="46"/>
  <c r="G62" i="46"/>
  <c r="G98" i="46"/>
  <c r="G167" i="46"/>
  <c r="G176" i="46"/>
  <c r="G203" i="46"/>
  <c r="G259" i="46"/>
  <c r="G280" i="46"/>
  <c r="G301" i="46"/>
  <c r="G355" i="46"/>
  <c r="G395" i="46"/>
  <c r="G572" i="46"/>
  <c r="G583" i="46"/>
  <c r="C406" i="49"/>
  <c r="C482" i="49"/>
  <c r="G525" i="49"/>
  <c r="C569" i="49"/>
  <c r="C614" i="49"/>
  <c r="C716" i="49"/>
  <c r="C886" i="49"/>
  <c r="C913" i="49"/>
  <c r="C962" i="49"/>
  <c r="C1044" i="49"/>
  <c r="G1044" i="49" s="1"/>
  <c r="C1135" i="49"/>
  <c r="C1314" i="49"/>
  <c r="C1554" i="49"/>
  <c r="B34" i="13"/>
  <c r="N34" i="13" s="1"/>
  <c r="V27" i="13"/>
  <c r="X27" i="13" s="1"/>
  <c r="B118" i="13"/>
  <c r="B139" i="13"/>
  <c r="D9" i="7"/>
  <c r="E17" i="7"/>
  <c r="D27" i="7"/>
  <c r="G12" i="18"/>
  <c r="E32" i="18"/>
  <c r="E32" i="21"/>
  <c r="E30" i="25"/>
  <c r="E36" i="28"/>
  <c r="F27" i="31"/>
  <c r="A9" i="40"/>
  <c r="E15" i="39"/>
  <c r="G23" i="46"/>
  <c r="G38" i="46"/>
  <c r="G45" i="46"/>
  <c r="G71" i="46"/>
  <c r="G128" i="46"/>
  <c r="G212" i="46"/>
  <c r="G319" i="46"/>
  <c r="G327" i="46"/>
  <c r="G337" i="46"/>
  <c r="G347" i="46"/>
  <c r="G376" i="46"/>
  <c r="G415" i="46"/>
  <c r="G424" i="46"/>
  <c r="G434" i="46"/>
  <c r="G463" i="46"/>
  <c r="G619" i="46"/>
  <c r="C351" i="49"/>
  <c r="C409" i="49"/>
  <c r="C483" i="49"/>
  <c r="G483" i="49" s="1"/>
  <c r="C571" i="49"/>
  <c r="C626" i="49"/>
  <c r="C733" i="49"/>
  <c r="C917" i="49"/>
  <c r="G917" i="49" s="1"/>
  <c r="C982" i="49"/>
  <c r="C1145" i="49"/>
  <c r="C1367" i="49"/>
  <c r="C1570" i="49"/>
  <c r="B48" i="13"/>
  <c r="B103" i="13"/>
  <c r="B140" i="13"/>
  <c r="E85" i="16"/>
  <c r="E80" i="20"/>
  <c r="F34" i="21"/>
  <c r="E33" i="25"/>
  <c r="F37" i="27"/>
  <c r="F72" i="30"/>
  <c r="E14" i="31"/>
  <c r="G379" i="46"/>
  <c r="A10" i="40"/>
  <c r="G9" i="46"/>
  <c r="G16" i="46"/>
  <c r="G63" i="46"/>
  <c r="G91" i="46"/>
  <c r="G160" i="46"/>
  <c r="G196" i="46"/>
  <c r="G311" i="46"/>
  <c r="G356" i="46"/>
  <c r="G484" i="46"/>
  <c r="G495" i="46"/>
  <c r="G603" i="46"/>
  <c r="G611" i="46"/>
  <c r="C371" i="49"/>
  <c r="C410" i="49"/>
  <c r="C529" i="49"/>
  <c r="G529" i="49" s="1"/>
  <c r="C579" i="49"/>
  <c r="C638" i="49"/>
  <c r="C756" i="49"/>
  <c r="C995" i="49"/>
  <c r="C1046" i="49"/>
  <c r="C1393" i="49"/>
  <c r="C1581" i="49"/>
  <c r="V19" i="13"/>
  <c r="V29" i="13"/>
  <c r="B49" i="13"/>
  <c r="B104" i="13"/>
  <c r="B141" i="13"/>
  <c r="D5" i="33"/>
  <c r="E5" i="33" s="1"/>
  <c r="G34" i="18"/>
  <c r="E38" i="21"/>
  <c r="E85" i="23"/>
  <c r="F38" i="27"/>
  <c r="F28" i="29"/>
  <c r="F15" i="31"/>
  <c r="I7" i="38"/>
  <c r="G290" i="46"/>
  <c r="I12" i="38"/>
  <c r="G39" i="46"/>
  <c r="G100" i="46"/>
  <c r="G151" i="46"/>
  <c r="G187" i="46"/>
  <c r="G320" i="46"/>
  <c r="G367" i="46"/>
  <c r="G416" i="46"/>
  <c r="G435" i="46"/>
  <c r="G445" i="46"/>
  <c r="G455" i="46"/>
  <c r="G464" i="46"/>
  <c r="G595" i="46"/>
  <c r="C297" i="49"/>
  <c r="C377" i="49"/>
  <c r="C413" i="49"/>
  <c r="C490" i="49"/>
  <c r="C583" i="49"/>
  <c r="C650" i="49"/>
  <c r="C768" i="49"/>
  <c r="C888" i="49"/>
  <c r="C919" i="49"/>
  <c r="C1007" i="49"/>
  <c r="C1057" i="49"/>
  <c r="C1398" i="49"/>
  <c r="C1591" i="49"/>
  <c r="B130" i="13"/>
  <c r="B143" i="13"/>
  <c r="E14" i="18"/>
  <c r="E44" i="21"/>
  <c r="J2" i="23"/>
  <c r="F27" i="24"/>
  <c r="F16" i="26"/>
  <c r="F27" i="27"/>
  <c r="E79" i="29"/>
  <c r="I10" i="38"/>
  <c r="G511" i="46"/>
  <c r="G10" i="46"/>
  <c r="G25" i="46"/>
  <c r="G32" i="46"/>
  <c r="G47" i="46"/>
  <c r="G55" i="46"/>
  <c r="G92" i="46"/>
  <c r="G110" i="46"/>
  <c r="G179" i="46"/>
  <c r="G243" i="46"/>
  <c r="G304" i="46"/>
  <c r="G475" i="46"/>
  <c r="G507" i="46"/>
  <c r="G604" i="46"/>
  <c r="G668" i="46"/>
  <c r="C380" i="49"/>
  <c r="C415" i="49"/>
  <c r="C491" i="49"/>
  <c r="C536" i="49"/>
  <c r="C654" i="49"/>
  <c r="C775" i="49"/>
  <c r="C923" i="49"/>
  <c r="C1008" i="49"/>
  <c r="C1066" i="49"/>
  <c r="C1403" i="49"/>
  <c r="C1645" i="49"/>
  <c r="E42" i="33"/>
  <c r="Y25" i="51"/>
  <c r="Y29" i="51"/>
  <c r="Y44" i="51"/>
  <c r="Y31" i="51"/>
  <c r="Y26" i="51"/>
  <c r="Y28" i="51"/>
  <c r="Y23" i="51"/>
  <c r="Y50" i="51"/>
  <c r="Y39" i="51"/>
  <c r="Y41" i="51"/>
  <c r="Y54" i="51"/>
  <c r="Y22" i="51"/>
  <c r="Y35" i="51"/>
  <c r="Y43" i="51"/>
  <c r="Y27" i="51"/>
  <c r="Y33" i="51"/>
  <c r="Y47" i="51"/>
  <c r="Y37" i="51"/>
  <c r="Y46" i="51"/>
  <c r="Y53" i="51"/>
  <c r="Y45" i="51"/>
  <c r="Y32" i="51"/>
  <c r="Y34" i="51"/>
  <c r="Y42" i="51"/>
  <c r="Y48" i="51"/>
  <c r="Y38" i="51"/>
  <c r="Y40" i="51"/>
  <c r="Y52" i="51"/>
  <c r="Y24" i="51"/>
  <c r="Y30" i="51"/>
  <c r="Y36" i="51"/>
  <c r="Y51" i="51"/>
  <c r="Y49" i="51"/>
  <c r="Y55" i="51"/>
  <c r="E106" i="47"/>
  <c r="F20" i="12"/>
  <c r="C34" i="13"/>
  <c r="D20" i="12"/>
  <c r="D22" i="5" s="1"/>
  <c r="E20" i="12"/>
  <c r="C20" i="12"/>
  <c r="J4" i="14"/>
  <c r="F79" i="8"/>
  <c r="F81" i="8"/>
  <c r="F86" i="8"/>
  <c r="F83" i="8"/>
  <c r="X31" i="13"/>
  <c r="W31" i="13"/>
  <c r="Y31" i="13" s="1"/>
  <c r="X26" i="13"/>
  <c r="W26" i="13"/>
  <c r="X29" i="13"/>
  <c r="W29" i="13"/>
  <c r="B8" i="12"/>
  <c r="H27" i="13"/>
  <c r="G27" i="13"/>
  <c r="H13" i="3" s="1"/>
  <c r="D27" i="13"/>
  <c r="N27" i="13"/>
  <c r="W20" i="13"/>
  <c r="X21" i="13"/>
  <c r="E23" i="13"/>
  <c r="B59" i="13"/>
  <c r="B47" i="13"/>
  <c r="B55" i="13"/>
  <c r="B60" i="13"/>
  <c r="B46" i="13"/>
  <c r="B58" i="13"/>
  <c r="B56" i="13"/>
  <c r="B53" i="13"/>
  <c r="B50" i="13"/>
  <c r="B51" i="13"/>
  <c r="B79" i="13"/>
  <c r="B86" i="14"/>
  <c r="I10" i="32"/>
  <c r="I21" i="32"/>
  <c r="D16" i="3"/>
  <c r="M43" i="15"/>
  <c r="V47" i="15"/>
  <c r="I60" i="15"/>
  <c r="W66" i="15"/>
  <c r="E31" i="22"/>
  <c r="E33" i="22"/>
  <c r="E35" i="22"/>
  <c r="E37" i="22"/>
  <c r="E28" i="22"/>
  <c r="E29" i="22"/>
  <c r="E30" i="22"/>
  <c r="E34" i="22"/>
  <c r="E38" i="22"/>
  <c r="E27" i="22"/>
  <c r="E32" i="22"/>
  <c r="E36" i="22"/>
  <c r="G712" i="49"/>
  <c r="M712" i="49"/>
  <c r="M932" i="49"/>
  <c r="G932" i="49"/>
  <c r="G1066" i="49"/>
  <c r="M1066" i="49"/>
  <c r="B18" i="12"/>
  <c r="B156" i="14"/>
  <c r="J34" i="13"/>
  <c r="E34" i="13"/>
  <c r="K34" i="13"/>
  <c r="E22" i="6" s="1"/>
  <c r="G34" i="13"/>
  <c r="E21" i="13"/>
  <c r="G29" i="13"/>
  <c r="B52" i="13"/>
  <c r="B85" i="13"/>
  <c r="F6" i="1"/>
  <c r="A5" i="39"/>
  <c r="C79" i="8"/>
  <c r="D12" i="33" s="1"/>
  <c r="E12" i="33" s="1"/>
  <c r="C86" i="8"/>
  <c r="D13" i="33" s="1"/>
  <c r="E13" i="33" s="1"/>
  <c r="I19" i="32"/>
  <c r="H19" i="3"/>
  <c r="D9" i="4"/>
  <c r="S43" i="15"/>
  <c r="Q60" i="15"/>
  <c r="F85" i="15"/>
  <c r="F79" i="15"/>
  <c r="L75" i="15"/>
  <c r="G36" i="17"/>
  <c r="G32" i="17"/>
  <c r="G28" i="17"/>
  <c r="G18" i="17"/>
  <c r="G14" i="17"/>
  <c r="G37" i="17"/>
  <c r="G33" i="17"/>
  <c r="G29" i="17"/>
  <c r="G15" i="17"/>
  <c r="G72" i="17"/>
  <c r="H12" i="17"/>
  <c r="G44" i="17"/>
  <c r="G34" i="17"/>
  <c r="G16" i="17"/>
  <c r="G35" i="17"/>
  <c r="G31" i="17"/>
  <c r="G27" i="17"/>
  <c r="G17" i="17"/>
  <c r="G30" i="17"/>
  <c r="C6" i="22"/>
  <c r="F85" i="24"/>
  <c r="F79" i="24"/>
  <c r="E14" i="27"/>
  <c r="E18" i="27"/>
  <c r="E17" i="27"/>
  <c r="E15" i="27"/>
  <c r="D10" i="7"/>
  <c r="E10" i="7"/>
  <c r="D21" i="3"/>
  <c r="C21" i="3"/>
  <c r="E22" i="7"/>
  <c r="E35" i="15"/>
  <c r="E31" i="15"/>
  <c r="E27" i="15"/>
  <c r="E36" i="15"/>
  <c r="E32" i="15"/>
  <c r="E28" i="15"/>
  <c r="E33" i="15"/>
  <c r="E38" i="15"/>
  <c r="E29" i="15"/>
  <c r="L66" i="15"/>
  <c r="E79" i="19"/>
  <c r="E82" i="19"/>
  <c r="E17" i="21"/>
  <c r="B6" i="12"/>
  <c r="L25" i="13"/>
  <c r="H25" i="13"/>
  <c r="E25" i="13"/>
  <c r="N25" i="13"/>
  <c r="F13" i="6" s="1"/>
  <c r="X19" i="13"/>
  <c r="K25" i="13"/>
  <c r="E13" i="6" s="1"/>
  <c r="F47" i="8"/>
  <c r="B6" i="40"/>
  <c r="B19" i="40"/>
  <c r="H23" i="6"/>
  <c r="G43" i="15"/>
  <c r="F60" i="15"/>
  <c r="M492" i="49"/>
  <c r="G492" i="49"/>
  <c r="H492" i="49"/>
  <c r="M925" i="49"/>
  <c r="G925" i="49"/>
  <c r="D6" i="33"/>
  <c r="E6" i="33" s="1"/>
  <c r="B12" i="12"/>
  <c r="W19" i="13"/>
  <c r="X20" i="13"/>
  <c r="B11" i="48"/>
  <c r="D11" i="48" s="1"/>
  <c r="C14" i="47"/>
  <c r="D5" i="3"/>
  <c r="I18" i="32"/>
  <c r="I6" i="32"/>
  <c r="I14" i="32"/>
  <c r="I15" i="32"/>
  <c r="I13" i="32"/>
  <c r="D19" i="33" a="1"/>
  <c r="D19" i="33" s="1"/>
  <c r="E19" i="33" s="1"/>
  <c r="I11" i="32"/>
  <c r="I5" i="32"/>
  <c r="C5" i="3"/>
  <c r="I8" i="32"/>
  <c r="I7" i="32"/>
  <c r="I16" i="32"/>
  <c r="F29" i="15"/>
  <c r="O43" i="15"/>
  <c r="J60" i="15"/>
  <c r="X66" i="15"/>
  <c r="I75" i="15"/>
  <c r="E80" i="19"/>
  <c r="B5" i="50"/>
  <c r="B15" i="12"/>
  <c r="H33" i="13"/>
  <c r="N33" i="13"/>
  <c r="B146" i="14"/>
  <c r="L33" i="13"/>
  <c r="M33" i="13" s="1"/>
  <c r="D21" i="13"/>
  <c r="W27" i="13"/>
  <c r="B9" i="40"/>
  <c r="D8" i="3"/>
  <c r="R43" i="15"/>
  <c r="M60" i="15"/>
  <c r="J75" i="15"/>
  <c r="M537" i="49"/>
  <c r="G537" i="49"/>
  <c r="H537" i="49"/>
  <c r="M650" i="49"/>
  <c r="G650" i="49"/>
  <c r="D15" i="33"/>
  <c r="E15" i="33" s="1"/>
  <c r="B19" i="12"/>
  <c r="K21" i="13"/>
  <c r="E9" i="6" s="1"/>
  <c r="X25" i="13"/>
  <c r="B87" i="13"/>
  <c r="F33" i="15"/>
  <c r="V43" i="15"/>
  <c r="R60" i="15"/>
  <c r="M75" i="15"/>
  <c r="F36" i="19"/>
  <c r="F32" i="19"/>
  <c r="F28" i="19"/>
  <c r="F18" i="19"/>
  <c r="F14" i="19"/>
  <c r="F37" i="19"/>
  <c r="F33" i="19"/>
  <c r="F29" i="19"/>
  <c r="F15" i="19"/>
  <c r="F31" i="19"/>
  <c r="F35" i="19"/>
  <c r="F30" i="19"/>
  <c r="F16" i="19"/>
  <c r="F34" i="19"/>
  <c r="F38" i="19"/>
  <c r="F72" i="19"/>
  <c r="F44" i="19"/>
  <c r="F27" i="19"/>
  <c r="F17" i="19"/>
  <c r="W25" i="13"/>
  <c r="E19" i="13"/>
  <c r="N21" i="13"/>
  <c r="J29" i="13"/>
  <c r="B57" i="13"/>
  <c r="I17" i="32"/>
  <c r="F11" i="6"/>
  <c r="H11" i="6"/>
  <c r="H18" i="6"/>
  <c r="F22" i="6"/>
  <c r="E8" i="7"/>
  <c r="D25" i="7"/>
  <c r="T60" i="15"/>
  <c r="U75" i="15"/>
  <c r="G38" i="17"/>
  <c r="G12" i="19"/>
  <c r="F37" i="23"/>
  <c r="F33" i="23"/>
  <c r="F29" i="23"/>
  <c r="F15" i="23"/>
  <c r="G12" i="23"/>
  <c r="F44" i="23"/>
  <c r="F16" i="23"/>
  <c r="F14" i="23"/>
  <c r="F32" i="23"/>
  <c r="F27" i="23"/>
  <c r="F36" i="23"/>
  <c r="F31" i="23"/>
  <c r="F72" i="23"/>
  <c r="F35" i="23"/>
  <c r="F30" i="23"/>
  <c r="F18" i="23"/>
  <c r="F28" i="23"/>
  <c r="F34" i="23"/>
  <c r="F17" i="23"/>
  <c r="H36" i="26"/>
  <c r="H32" i="26"/>
  <c r="H28" i="26"/>
  <c r="H18" i="26"/>
  <c r="H14" i="26"/>
  <c r="H44" i="26"/>
  <c r="H16" i="26"/>
  <c r="H37" i="26"/>
  <c r="H35" i="26"/>
  <c r="H31" i="26"/>
  <c r="H72" i="26"/>
  <c r="H30" i="26"/>
  <c r="H34" i="26"/>
  <c r="H29" i="26"/>
  <c r="H27" i="26"/>
  <c r="H15" i="26"/>
  <c r="H38" i="26"/>
  <c r="H33" i="26"/>
  <c r="H17" i="26"/>
  <c r="I12" i="26"/>
  <c r="C4335" i="49"/>
  <c r="C4329" i="49"/>
  <c r="C4323" i="49"/>
  <c r="C4317" i="49"/>
  <c r="C4311" i="49"/>
  <c r="C4305" i="49"/>
  <c r="C4299" i="49"/>
  <c r="C4293" i="49"/>
  <c r="C4287" i="49"/>
  <c r="C4281" i="49"/>
  <c r="C4275" i="49"/>
  <c r="C4269" i="49"/>
  <c r="C4263" i="49"/>
  <c r="C4257" i="49"/>
  <c r="C4251" i="49"/>
  <c r="C4245" i="49"/>
  <c r="C4239" i="49"/>
  <c r="C4233" i="49"/>
  <c r="C4227" i="49"/>
  <c r="C4221" i="49"/>
  <c r="C4215" i="49"/>
  <c r="C4209" i="49"/>
  <c r="C4203" i="49"/>
  <c r="C4197" i="49"/>
  <c r="C4191" i="49"/>
  <c r="C4185" i="49"/>
  <c r="C4179" i="49"/>
  <c r="C4173" i="49"/>
  <c r="C4167" i="49"/>
  <c r="C4161" i="49"/>
  <c r="C4155" i="49"/>
  <c r="C4339" i="49"/>
  <c r="C4336" i="49"/>
  <c r="C4326" i="49"/>
  <c r="C4316" i="49"/>
  <c r="C4313" i="49"/>
  <c r="C4303" i="49"/>
  <c r="C4300" i="49"/>
  <c r="C4290" i="49"/>
  <c r="C4280" i="49"/>
  <c r="C4277" i="49"/>
  <c r="C4267" i="49"/>
  <c r="C4264" i="49"/>
  <c r="C4254" i="49"/>
  <c r="C4244" i="49"/>
  <c r="C4241" i="49"/>
  <c r="C4231" i="49"/>
  <c r="C4228" i="49"/>
  <c r="C4218" i="49"/>
  <c r="C4208" i="49"/>
  <c r="C4205" i="49"/>
  <c r="C4195" i="49"/>
  <c r="C4192" i="49"/>
  <c r="C4182" i="49"/>
  <c r="C4172" i="49"/>
  <c r="C4169" i="49"/>
  <c r="C4159" i="49"/>
  <c r="C4156" i="49"/>
  <c r="C4149" i="49"/>
  <c r="C4143" i="49"/>
  <c r="C4137" i="49"/>
  <c r="C4131" i="49"/>
  <c r="C4125" i="49"/>
  <c r="C4119" i="49"/>
  <c r="C4113" i="49"/>
  <c r="C4107" i="49"/>
  <c r="C4101" i="49"/>
  <c r="C4095" i="49"/>
  <c r="C4089" i="49"/>
  <c r="C4333" i="49"/>
  <c r="C4330" i="49"/>
  <c r="C4320" i="49"/>
  <c r="C4310" i="49"/>
  <c r="C4307" i="49"/>
  <c r="C4297" i="49"/>
  <c r="C4294" i="49"/>
  <c r="C4284" i="49"/>
  <c r="C4274" i="49"/>
  <c r="C4271" i="49"/>
  <c r="C4261" i="49"/>
  <c r="C4258" i="49"/>
  <c r="C4248" i="49"/>
  <c r="C4238" i="49"/>
  <c r="C4235" i="49"/>
  <c r="C4225" i="49"/>
  <c r="C4222" i="49"/>
  <c r="C4212" i="49"/>
  <c r="C4202" i="49"/>
  <c r="C4199" i="49"/>
  <c r="C4189" i="49"/>
  <c r="C4186" i="49"/>
  <c r="C4176" i="49"/>
  <c r="C4166" i="49"/>
  <c r="C4163" i="49"/>
  <c r="C4153" i="49"/>
  <c r="C4144" i="49"/>
  <c r="C4138" i="49"/>
  <c r="C4132" i="49"/>
  <c r="C4126" i="49"/>
  <c r="C4120" i="49"/>
  <c r="C4114" i="49"/>
  <c r="C4108" i="49"/>
  <c r="C4102" i="49"/>
  <c r="C4096" i="49"/>
  <c r="C4090" i="49"/>
  <c r="C4084" i="49"/>
  <c r="C4078" i="49"/>
  <c r="C4072" i="49"/>
  <c r="C4066" i="49"/>
  <c r="C4060" i="49"/>
  <c r="C4054" i="49"/>
  <c r="C4076" i="49"/>
  <c r="C4073" i="49"/>
  <c r="C4059" i="49"/>
  <c r="C4056" i="49"/>
  <c r="C4331" i="49"/>
  <c r="C4318" i="49"/>
  <c r="C4286" i="49"/>
  <c r="C4273" i="49"/>
  <c r="C4262" i="49"/>
  <c r="C4260" i="49"/>
  <c r="C4249" i="49"/>
  <c r="C4247" i="49"/>
  <c r="C4236" i="49"/>
  <c r="C4234" i="49"/>
  <c r="C4223" i="49"/>
  <c r="C4210" i="49"/>
  <c r="C4178" i="49"/>
  <c r="C4165" i="49"/>
  <c r="C4154" i="49"/>
  <c r="C4152" i="49"/>
  <c r="C4148" i="49"/>
  <c r="C4146" i="49"/>
  <c r="C4130" i="49"/>
  <c r="C4128" i="49"/>
  <c r="C4112" i="49"/>
  <c r="C4110" i="49"/>
  <c r="C4094" i="49"/>
  <c r="C4092" i="49"/>
  <c r="C4063" i="49"/>
  <c r="C4080" i="49"/>
  <c r="C4070" i="49"/>
  <c r="C4067" i="49"/>
  <c r="C4327" i="49"/>
  <c r="C4314" i="49"/>
  <c r="C4308" i="49"/>
  <c r="C4282" i="49"/>
  <c r="C4279" i="49"/>
  <c r="C4253" i="49"/>
  <c r="C4213" i="49"/>
  <c r="C4187" i="49"/>
  <c r="C4184" i="49"/>
  <c r="C4158" i="49"/>
  <c r="C4135" i="49"/>
  <c r="C4116" i="49"/>
  <c r="C4099" i="49"/>
  <c r="C4071" i="49"/>
  <c r="C4302" i="49"/>
  <c r="C4276" i="49"/>
  <c r="C4207" i="49"/>
  <c r="C4181" i="49"/>
  <c r="C4147" i="49"/>
  <c r="C4111" i="49"/>
  <c r="C4069" i="49"/>
  <c r="C4296" i="49"/>
  <c r="C4270" i="49"/>
  <c r="C4256" i="49"/>
  <c r="C4230" i="49"/>
  <c r="C4204" i="49"/>
  <c r="C4201" i="49"/>
  <c r="C4175" i="49"/>
  <c r="C4142" i="49"/>
  <c r="C4123" i="49"/>
  <c r="C4106" i="49"/>
  <c r="C4087" i="49"/>
  <c r="C4058" i="49"/>
  <c r="C4255" i="49"/>
  <c r="C4250" i="49"/>
  <c r="C4229" i="49"/>
  <c r="C4224" i="49"/>
  <c r="C4198" i="49"/>
  <c r="C4160" i="49"/>
  <c r="C4118" i="49"/>
  <c r="C4115" i="49"/>
  <c r="C4304" i="49"/>
  <c r="C4278" i="49"/>
  <c r="C4252" i="49"/>
  <c r="C4183" i="49"/>
  <c r="C4157" i="49"/>
  <c r="C4127" i="49"/>
  <c r="C4091" i="49"/>
  <c r="C4074" i="49"/>
  <c r="C4065" i="49"/>
  <c r="C4061" i="49"/>
  <c r="C4334" i="49"/>
  <c r="C4328" i="49"/>
  <c r="C4322" i="49"/>
  <c r="C4301" i="49"/>
  <c r="C4242" i="49"/>
  <c r="C4232" i="49"/>
  <c r="C4188" i="49"/>
  <c r="C4168" i="49"/>
  <c r="C4124" i="49"/>
  <c r="C4103" i="49"/>
  <c r="C4083" i="49"/>
  <c r="C4064" i="49"/>
  <c r="C4053" i="49"/>
  <c r="C4266" i="49"/>
  <c r="C4246" i="49"/>
  <c r="C4193" i="49"/>
  <c r="C4177" i="49"/>
  <c r="C4086" i="49"/>
  <c r="C4306" i="49"/>
  <c r="C4291" i="49"/>
  <c r="C4237" i="49"/>
  <c r="C4217" i="49"/>
  <c r="C4140" i="49"/>
  <c r="C4136" i="49"/>
  <c r="C4055" i="49"/>
  <c r="C4338" i="49"/>
  <c r="C4332" i="49"/>
  <c r="C4295" i="49"/>
  <c r="C4226" i="49"/>
  <c r="C4216" i="49"/>
  <c r="C4206" i="49"/>
  <c r="C4162" i="49"/>
  <c r="C4139" i="49"/>
  <c r="C4098" i="49"/>
  <c r="C4082" i="49"/>
  <c r="C4079" i="49"/>
  <c r="C4052" i="49"/>
  <c r="C4337" i="49"/>
  <c r="C4321" i="49"/>
  <c r="C4315" i="49"/>
  <c r="C4240" i="49"/>
  <c r="C4171" i="49"/>
  <c r="C4151" i="49"/>
  <c r="C4122" i="49"/>
  <c r="C4325" i="49"/>
  <c r="C4289" i="49"/>
  <c r="C4214" i="49"/>
  <c r="C4196" i="49"/>
  <c r="C4164" i="49"/>
  <c r="C4324" i="49"/>
  <c r="C4272" i="49"/>
  <c r="C4117" i="49"/>
  <c r="C4220" i="49"/>
  <c r="C4170" i="49"/>
  <c r="C4104" i="49"/>
  <c r="C4077" i="49"/>
  <c r="C4057" i="49"/>
  <c r="C4211" i="49"/>
  <c r="C4062" i="49"/>
  <c r="C4288" i="49"/>
  <c r="C4194" i="49"/>
  <c r="C4145" i="49"/>
  <c r="C4109" i="49"/>
  <c r="C4088" i="49"/>
  <c r="C4081" i="49"/>
  <c r="C4075" i="49"/>
  <c r="C4312" i="49"/>
  <c r="C4129" i="49"/>
  <c r="C4309" i="49"/>
  <c r="C4259" i="49"/>
  <c r="C4243" i="49"/>
  <c r="C4174" i="49"/>
  <c r="C4190" i="49"/>
  <c r="C4141" i="49"/>
  <c r="C4097" i="49"/>
  <c r="C4150" i="49"/>
  <c r="C4298" i="49"/>
  <c r="C4180" i="49"/>
  <c r="C4105" i="49"/>
  <c r="C4319" i="49"/>
  <c r="C4292" i="49"/>
  <c r="C4265" i="49"/>
  <c r="C4200" i="49"/>
  <c r="C4100" i="49"/>
  <c r="C4121" i="49"/>
  <c r="C4068" i="49"/>
  <c r="C4133" i="49"/>
  <c r="C4085" i="49"/>
  <c r="C4268" i="49"/>
  <c r="C4051" i="49"/>
  <c r="C4134" i="49"/>
  <c r="C4219" i="49"/>
  <c r="C4093" i="49"/>
  <c r="C4283" i="49"/>
  <c r="C4285" i="49"/>
  <c r="A18" i="40"/>
  <c r="L18" i="38"/>
  <c r="D18" i="40" s="1"/>
  <c r="J18" i="38"/>
  <c r="G818" i="46"/>
  <c r="G763" i="46"/>
  <c r="G752" i="46"/>
  <c r="G747" i="46"/>
  <c r="G687" i="46"/>
  <c r="G644" i="46"/>
  <c r="G639" i="46"/>
  <c r="K18" i="38"/>
  <c r="G781" i="46"/>
  <c r="G775" i="46"/>
  <c r="G758" i="46"/>
  <c r="G719" i="46"/>
  <c r="G703" i="46"/>
  <c r="G676" i="46"/>
  <c r="G671" i="46"/>
  <c r="I18" i="38"/>
  <c r="G812" i="46"/>
  <c r="G797" i="46"/>
  <c r="G751" i="46"/>
  <c r="G691" i="46"/>
  <c r="G643" i="46"/>
  <c r="G806" i="46"/>
  <c r="G740" i="46"/>
  <c r="G664" i="46"/>
  <c r="G632" i="46"/>
  <c r="G739" i="46"/>
  <c r="G712" i="46"/>
  <c r="G707" i="46"/>
  <c r="G647" i="46"/>
  <c r="G631" i="46"/>
  <c r="G804" i="46"/>
  <c r="G789" i="46"/>
  <c r="G783" i="46"/>
  <c r="G716" i="46"/>
  <c r="G711" i="46"/>
  <c r="C196" i="45"/>
  <c r="C184" i="45"/>
  <c r="C172" i="45"/>
  <c r="C160" i="45"/>
  <c r="C148" i="45"/>
  <c r="C136" i="45"/>
  <c r="C124" i="45"/>
  <c r="C112" i="45"/>
  <c r="C100" i="45"/>
  <c r="C88" i="45"/>
  <c r="C76" i="45"/>
  <c r="C64" i="45"/>
  <c r="C52" i="45"/>
  <c r="C40" i="45"/>
  <c r="C28" i="45"/>
  <c r="C16" i="45"/>
  <c r="G819" i="46"/>
  <c r="G760" i="46"/>
  <c r="G736" i="46"/>
  <c r="G811" i="46"/>
  <c r="G727" i="46"/>
  <c r="G704" i="46"/>
  <c r="G635" i="46"/>
  <c r="G743" i="46"/>
  <c r="G683" i="46"/>
  <c r="G655" i="46"/>
  <c r="C200" i="45"/>
  <c r="C188" i="45"/>
  <c r="C176" i="45"/>
  <c r="C164" i="45"/>
  <c r="G640" i="46"/>
  <c r="G816" i="46"/>
  <c r="G651" i="46"/>
  <c r="C206" i="45"/>
  <c r="C154" i="45"/>
  <c r="C137" i="45"/>
  <c r="C132" i="45"/>
  <c r="C115" i="45"/>
  <c r="C110" i="45"/>
  <c r="C93" i="45"/>
  <c r="C71" i="45"/>
  <c r="C54" i="45"/>
  <c r="C49" i="45"/>
  <c r="C32" i="45"/>
  <c r="C27" i="45"/>
  <c r="C10" i="45"/>
  <c r="C206" i="41"/>
  <c r="C194" i="41"/>
  <c r="C182" i="41"/>
  <c r="C170" i="41"/>
  <c r="C158" i="41"/>
  <c r="C146" i="41"/>
  <c r="C134" i="41"/>
  <c r="C122" i="41"/>
  <c r="C110" i="41"/>
  <c r="C98" i="41"/>
  <c r="C86" i="41"/>
  <c r="C74" i="41"/>
  <c r="C62" i="41"/>
  <c r="C50" i="41"/>
  <c r="C38" i="41"/>
  <c r="C26" i="41"/>
  <c r="C14" i="41"/>
  <c r="C201" i="45"/>
  <c r="C191" i="45"/>
  <c r="C181" i="45"/>
  <c r="C171" i="45"/>
  <c r="C149" i="45"/>
  <c r="C144" i="45"/>
  <c r="C127" i="45"/>
  <c r="C105" i="45"/>
  <c r="C83" i="45"/>
  <c r="C66" i="45"/>
  <c r="C44" i="45"/>
  <c r="C39" i="45"/>
  <c r="C22" i="45"/>
  <c r="C178" i="42"/>
  <c r="C172" i="42"/>
  <c r="C170" i="42"/>
  <c r="C166" i="42"/>
  <c r="C162" i="42"/>
  <c r="C160" i="42"/>
  <c r="C156" i="42"/>
  <c r="C154" i="42"/>
  <c r="C150" i="42"/>
  <c r="C146" i="42"/>
  <c r="C144" i="42"/>
  <c r="C140" i="42"/>
  <c r="C138" i="42"/>
  <c r="C134" i="42"/>
  <c r="C132" i="42"/>
  <c r="C128" i="42"/>
  <c r="C126" i="42"/>
  <c r="C122" i="42"/>
  <c r="C120" i="42"/>
  <c r="C116" i="42"/>
  <c r="C114" i="42"/>
  <c r="C110" i="42"/>
  <c r="C108" i="42"/>
  <c r="C104" i="42"/>
  <c r="C100" i="42"/>
  <c r="C98" i="42"/>
  <c r="C94" i="42"/>
  <c r="C92" i="42"/>
  <c r="C88" i="42"/>
  <c r="C86" i="42"/>
  <c r="C82" i="42"/>
  <c r="C80" i="42"/>
  <c r="C76" i="42"/>
  <c r="C74" i="42"/>
  <c r="C70" i="42"/>
  <c r="C68" i="42"/>
  <c r="C64" i="42"/>
  <c r="C62" i="42"/>
  <c r="C58" i="42"/>
  <c r="C56" i="42"/>
  <c r="C52" i="42"/>
  <c r="C50" i="42"/>
  <c r="C46" i="42"/>
  <c r="C44" i="42"/>
  <c r="C40" i="42"/>
  <c r="C36" i="42"/>
  <c r="C34" i="42"/>
  <c r="C30" i="42"/>
  <c r="C26" i="42"/>
  <c r="C24" i="42"/>
  <c r="C20" i="42"/>
  <c r="C18" i="42"/>
  <c r="C14" i="42"/>
  <c r="C10" i="42"/>
  <c r="C8" i="42"/>
  <c r="C201" i="41"/>
  <c r="C177" i="41"/>
  <c r="C153" i="41"/>
  <c r="C141" i="41"/>
  <c r="C186" i="45"/>
  <c r="C122" i="45"/>
  <c r="C61" i="45"/>
  <c r="C206" i="42"/>
  <c r="C204" i="42"/>
  <c r="C202" i="42"/>
  <c r="C200" i="42"/>
  <c r="C198" i="42"/>
  <c r="C196" i="42"/>
  <c r="C194" i="42"/>
  <c r="C192" i="42"/>
  <c r="C190" i="42"/>
  <c r="C188" i="42"/>
  <c r="C186" i="42"/>
  <c r="C184" i="42"/>
  <c r="C182" i="42"/>
  <c r="C180" i="42"/>
  <c r="C176" i="42"/>
  <c r="C174" i="42"/>
  <c r="C168" i="42"/>
  <c r="C164" i="42"/>
  <c r="C158" i="42"/>
  <c r="C152" i="42"/>
  <c r="C148" i="42"/>
  <c r="C142" i="42"/>
  <c r="C136" i="42"/>
  <c r="C130" i="42"/>
  <c r="C124" i="42"/>
  <c r="C118" i="42"/>
  <c r="C112" i="42"/>
  <c r="C106" i="42"/>
  <c r="C102" i="42"/>
  <c r="C96" i="42"/>
  <c r="C90" i="42"/>
  <c r="C84" i="42"/>
  <c r="C78" i="42"/>
  <c r="C72" i="42"/>
  <c r="C66" i="42"/>
  <c r="C60" i="42"/>
  <c r="C54" i="42"/>
  <c r="C48" i="42"/>
  <c r="C42" i="42"/>
  <c r="C38" i="42"/>
  <c r="C32" i="42"/>
  <c r="C28" i="42"/>
  <c r="C22" i="42"/>
  <c r="C16" i="42"/>
  <c r="C12" i="42"/>
  <c r="C189" i="41"/>
  <c r="C165" i="41"/>
  <c r="G770" i="46"/>
  <c r="G675" i="46"/>
  <c r="C203" i="45"/>
  <c r="C198" i="45"/>
  <c r="C193" i="45"/>
  <c r="C183" i="45"/>
  <c r="C151" i="45"/>
  <c r="C146" i="45"/>
  <c r="C129" i="45"/>
  <c r="C107" i="45"/>
  <c r="C90" i="45"/>
  <c r="C85" i="45"/>
  <c r="C68" i="45"/>
  <c r="C63" i="45"/>
  <c r="C46" i="45"/>
  <c r="C29" i="45"/>
  <c r="C24" i="45"/>
  <c r="C7" i="45"/>
  <c r="C204" i="44"/>
  <c r="C201" i="44"/>
  <c r="C198" i="44"/>
  <c r="C195" i="44"/>
  <c r="C192" i="44"/>
  <c r="C189" i="44"/>
  <c r="C186" i="44"/>
  <c r="C183" i="44"/>
  <c r="C180" i="44"/>
  <c r="C177" i="44"/>
  <c r="C174" i="44"/>
  <c r="C171" i="44"/>
  <c r="C168" i="44"/>
  <c r="C165" i="44"/>
  <c r="C162" i="44"/>
  <c r="C159" i="44"/>
  <c r="C156" i="44"/>
  <c r="C153" i="44"/>
  <c r="C150" i="44"/>
  <c r="C147" i="44"/>
  <c r="C144" i="44"/>
  <c r="C141" i="44"/>
  <c r="C138" i="44"/>
  <c r="C135" i="44"/>
  <c r="C132" i="44"/>
  <c r="C129" i="44"/>
  <c r="C126" i="44"/>
  <c r="C123" i="44"/>
  <c r="C120" i="44"/>
  <c r="C117" i="44"/>
  <c r="C114" i="44"/>
  <c r="C111" i="44"/>
  <c r="C108" i="44"/>
  <c r="C105" i="44"/>
  <c r="C102" i="44"/>
  <c r="C99" i="44"/>
  <c r="C96" i="44"/>
  <c r="C93" i="44"/>
  <c r="C90" i="44"/>
  <c r="C87" i="44"/>
  <c r="C84" i="44"/>
  <c r="C81" i="44"/>
  <c r="C78" i="44"/>
  <c r="C75" i="44"/>
  <c r="C72" i="44"/>
  <c r="C69" i="44"/>
  <c r="C66" i="44"/>
  <c r="C63" i="44"/>
  <c r="C60" i="44"/>
  <c r="C57" i="44"/>
  <c r="C54" i="44"/>
  <c r="C51" i="44"/>
  <c r="C48" i="44"/>
  <c r="C45" i="44"/>
  <c r="C42" i="44"/>
  <c r="C39" i="44"/>
  <c r="C36" i="44"/>
  <c r="C33" i="44"/>
  <c r="C30" i="44"/>
  <c r="C27" i="44"/>
  <c r="C24" i="44"/>
  <c r="C21" i="44"/>
  <c r="C18" i="44"/>
  <c r="C15" i="44"/>
  <c r="C12" i="44"/>
  <c r="C9" i="44"/>
  <c r="C206" i="43"/>
  <c r="C203" i="43"/>
  <c r="C200" i="43"/>
  <c r="C197" i="43"/>
  <c r="C194" i="43"/>
  <c r="C191" i="43"/>
  <c r="C188" i="43"/>
  <c r="C185" i="43"/>
  <c r="C182" i="43"/>
  <c r="C179" i="43"/>
  <c r="C176" i="43"/>
  <c r="C173" i="43"/>
  <c r="C170" i="43"/>
  <c r="C167" i="43"/>
  <c r="C164" i="43"/>
  <c r="C161" i="43"/>
  <c r="C158" i="43"/>
  <c r="C155" i="43"/>
  <c r="C152" i="43"/>
  <c r="C149" i="43"/>
  <c r="C146" i="43"/>
  <c r="C143" i="43"/>
  <c r="C140" i="43"/>
  <c r="C137" i="43"/>
  <c r="C134" i="43"/>
  <c r="C131" i="43"/>
  <c r="C128" i="43"/>
  <c r="C125" i="43"/>
  <c r="C122" i="43"/>
  <c r="C119" i="43"/>
  <c r="C116" i="43"/>
  <c r="C113" i="43"/>
  <c r="C110" i="43"/>
  <c r="C107" i="43"/>
  <c r="C104" i="43"/>
  <c r="C101" i="43"/>
  <c r="C98" i="43"/>
  <c r="C95" i="43"/>
  <c r="C92" i="43"/>
  <c r="C89" i="43"/>
  <c r="C86" i="43"/>
  <c r="C83" i="43"/>
  <c r="C80" i="43"/>
  <c r="C77" i="43"/>
  <c r="C74" i="43"/>
  <c r="C71" i="43"/>
  <c r="C68" i="43"/>
  <c r="C65" i="43"/>
  <c r="C62" i="43"/>
  <c r="C59" i="43"/>
  <c r="C56" i="43"/>
  <c r="C53" i="43"/>
  <c r="C50" i="43"/>
  <c r="C47" i="43"/>
  <c r="C44" i="43"/>
  <c r="C41" i="43"/>
  <c r="C38" i="43"/>
  <c r="C35" i="43"/>
  <c r="C32" i="43"/>
  <c r="C29" i="43"/>
  <c r="C26" i="43"/>
  <c r="C23" i="43"/>
  <c r="C20" i="43"/>
  <c r="C17" i="43"/>
  <c r="C14" i="43"/>
  <c r="C11" i="43"/>
  <c r="C8" i="43"/>
  <c r="C203" i="41"/>
  <c r="C191" i="41"/>
  <c r="C179" i="41"/>
  <c r="C167" i="41"/>
  <c r="C155" i="41"/>
  <c r="C143" i="41"/>
  <c r="C131" i="41"/>
  <c r="C119" i="41"/>
  <c r="C107" i="41"/>
  <c r="C95" i="41"/>
  <c r="C83" i="41"/>
  <c r="C71" i="41"/>
  <c r="C59" i="41"/>
  <c r="C47" i="41"/>
  <c r="C35" i="41"/>
  <c r="C23" i="41"/>
  <c r="C11" i="41"/>
  <c r="B14" i="35"/>
  <c r="G778" i="46"/>
  <c r="G748" i="46"/>
  <c r="G700" i="46"/>
  <c r="G801" i="46"/>
  <c r="G680" i="46"/>
  <c r="C202" i="45"/>
  <c r="C197" i="45"/>
  <c r="C192" i="45"/>
  <c r="C187" i="45"/>
  <c r="C182" i="45"/>
  <c r="C150" i="45"/>
  <c r="C145" i="45"/>
  <c r="C128" i="45"/>
  <c r="C123" i="45"/>
  <c r="G793" i="46"/>
  <c r="G715" i="46"/>
  <c r="C170" i="45"/>
  <c r="C147" i="45"/>
  <c r="C134" i="45"/>
  <c r="C126" i="45"/>
  <c r="C108" i="45"/>
  <c r="C80" i="45"/>
  <c r="C75" i="45"/>
  <c r="C70" i="45"/>
  <c r="C62" i="45"/>
  <c r="C57" i="45"/>
  <c r="C34" i="45"/>
  <c r="C26" i="45"/>
  <c r="C11" i="45"/>
  <c r="C199" i="44"/>
  <c r="C176" i="44"/>
  <c r="C163" i="44"/>
  <c r="C140" i="44"/>
  <c r="C127" i="44"/>
  <c r="C104" i="44"/>
  <c r="C91" i="44"/>
  <c r="C68" i="44"/>
  <c r="C55" i="44"/>
  <c r="C32" i="44"/>
  <c r="C19" i="44"/>
  <c r="C196" i="43"/>
  <c r="C183" i="43"/>
  <c r="C160" i="43"/>
  <c r="C147" i="43"/>
  <c r="C124" i="43"/>
  <c r="G723" i="46"/>
  <c r="G814" i="46"/>
  <c r="G667" i="46"/>
  <c r="G679" i="46"/>
  <c r="G1221" i="49"/>
  <c r="M1221" i="49"/>
  <c r="D5" i="12"/>
  <c r="D7" i="5" s="1"/>
  <c r="E27" i="13"/>
  <c r="D34" i="13"/>
  <c r="B61" i="13"/>
  <c r="I9" i="32"/>
  <c r="H9" i="4"/>
  <c r="H8" i="6"/>
  <c r="W75" i="15"/>
  <c r="F32" i="16"/>
  <c r="E35" i="16"/>
  <c r="E27" i="16"/>
  <c r="E36" i="16"/>
  <c r="E28" i="16"/>
  <c r="F29" i="16"/>
  <c r="F36" i="16"/>
  <c r="E32" i="16"/>
  <c r="F28" i="16"/>
  <c r="E31" i="16"/>
  <c r="F79" i="20"/>
  <c r="F85" i="20"/>
  <c r="E15" i="23"/>
  <c r="E16" i="23"/>
  <c r="I8" i="39"/>
  <c r="L19" i="13"/>
  <c r="M19" i="13" s="1"/>
  <c r="N19" i="13"/>
  <c r="F7" i="6" s="1"/>
  <c r="B6" i="14"/>
  <c r="J19" i="13"/>
  <c r="H19" i="13"/>
  <c r="D19" i="13"/>
  <c r="G19" i="13"/>
  <c r="H5" i="3" s="1"/>
  <c r="K19" i="13"/>
  <c r="E7" i="6" s="1"/>
  <c r="X22" i="13"/>
  <c r="Y22" i="13" s="1"/>
  <c r="J27" i="13"/>
  <c r="D33" i="13"/>
  <c r="H34" i="13"/>
  <c r="B62" i="13"/>
  <c r="B5" i="40"/>
  <c r="H12" i="6"/>
  <c r="F35" i="15"/>
  <c r="F31" i="15"/>
  <c r="F27" i="15"/>
  <c r="F17" i="15"/>
  <c r="F36" i="15"/>
  <c r="F32" i="15"/>
  <c r="F28" i="15"/>
  <c r="F18" i="15"/>
  <c r="F14" i="15"/>
  <c r="G12" i="15"/>
  <c r="F37" i="15"/>
  <c r="F44" i="15"/>
  <c r="F15" i="15"/>
  <c r="E30" i="15"/>
  <c r="E37" i="15"/>
  <c r="K47" i="15"/>
  <c r="C6" i="20"/>
  <c r="C5" i="20"/>
  <c r="E16" i="21"/>
  <c r="M587" i="49"/>
  <c r="G587" i="49"/>
  <c r="C19" i="13"/>
  <c r="F5" i="12"/>
  <c r="C5" i="12"/>
  <c r="H21" i="13"/>
  <c r="L21" i="13"/>
  <c r="M21" i="13" s="1"/>
  <c r="J21" i="13"/>
  <c r="G21" i="13"/>
  <c r="C5" i="52"/>
  <c r="D4942" i="49"/>
  <c r="D4947" i="49"/>
  <c r="D4948" i="49"/>
  <c r="D4951" i="49"/>
  <c r="D4940" i="49"/>
  <c r="D4937" i="49"/>
  <c r="D4943" i="49"/>
  <c r="D4949" i="49"/>
  <c r="D4938" i="49"/>
  <c r="D4946" i="49"/>
  <c r="D4941" i="49"/>
  <c r="D4661" i="49"/>
  <c r="D4655" i="49"/>
  <c r="D4649" i="49"/>
  <c r="D4936" i="49"/>
  <c r="D4944" i="49"/>
  <c r="D4659" i="49"/>
  <c r="D4656" i="49"/>
  <c r="D4646" i="49"/>
  <c r="D4370" i="49"/>
  <c r="D4364" i="49"/>
  <c r="D4358" i="49"/>
  <c r="D4654" i="49"/>
  <c r="D4647" i="49"/>
  <c r="D4371" i="49"/>
  <c r="D4365" i="49"/>
  <c r="D4359" i="49"/>
  <c r="D4657" i="49"/>
  <c r="D4652" i="49"/>
  <c r="D4650" i="49"/>
  <c r="D4368" i="49"/>
  <c r="D4366" i="49"/>
  <c r="D4083" i="49"/>
  <c r="D4651" i="49"/>
  <c r="D4373" i="49"/>
  <c r="D4084" i="49"/>
  <c r="D4078" i="49"/>
  <c r="D4072" i="49"/>
  <c r="D3790" i="49"/>
  <c r="D3784" i="49"/>
  <c r="D4939" i="49"/>
  <c r="D4357" i="49"/>
  <c r="D4653" i="49"/>
  <c r="D4360" i="49"/>
  <c r="D4080" i="49"/>
  <c r="D4070" i="49"/>
  <c r="D3788" i="49"/>
  <c r="D3785" i="49"/>
  <c r="D3506" i="49"/>
  <c r="D3500" i="49"/>
  <c r="D3494" i="49"/>
  <c r="D4950" i="49"/>
  <c r="D4069" i="49"/>
  <c r="D4648" i="49"/>
  <c r="D4372" i="49"/>
  <c r="D4662" i="49"/>
  <c r="D4367" i="49"/>
  <c r="D4074" i="49"/>
  <c r="D4660" i="49"/>
  <c r="D4363" i="49"/>
  <c r="D4082" i="49"/>
  <c r="D4369" i="49"/>
  <c r="D4076" i="49"/>
  <c r="D3795" i="49"/>
  <c r="D3783" i="49"/>
  <c r="D3499" i="49"/>
  <c r="D3495" i="49"/>
  <c r="D4935" i="49"/>
  <c r="D4073" i="49"/>
  <c r="D3491" i="49"/>
  <c r="D4361" i="49"/>
  <c r="D4079" i="49"/>
  <c r="D3793" i="49"/>
  <c r="D3786" i="49"/>
  <c r="D3781" i="49"/>
  <c r="D3504" i="49"/>
  <c r="D3791" i="49"/>
  <c r="D3779" i="49"/>
  <c r="D3496" i="49"/>
  <c r="D4068" i="49"/>
  <c r="D3492" i="49"/>
  <c r="D4077" i="49"/>
  <c r="D3213" i="49"/>
  <c r="D3207" i="49"/>
  <c r="D3201" i="49"/>
  <c r="D4071" i="49"/>
  <c r="D3497" i="49"/>
  <c r="D4081" i="49"/>
  <c r="D3787" i="49"/>
  <c r="D3214" i="49"/>
  <c r="D3208" i="49"/>
  <c r="D3202" i="49"/>
  <c r="D2926" i="49"/>
  <c r="D2920" i="49"/>
  <c r="D2914" i="49"/>
  <c r="D4075" i="49"/>
  <c r="D3501" i="49"/>
  <c r="D3490" i="49"/>
  <c r="D3794" i="49"/>
  <c r="D3212" i="49"/>
  <c r="D3210" i="49"/>
  <c r="D4945" i="49"/>
  <c r="D3782" i="49"/>
  <c r="D3493" i="49"/>
  <c r="D2924" i="49"/>
  <c r="D2921" i="49"/>
  <c r="D2634" i="49"/>
  <c r="D2628" i="49"/>
  <c r="D3780" i="49"/>
  <c r="D2928" i="49"/>
  <c r="D2918" i="49"/>
  <c r="D2915" i="49"/>
  <c r="D2635" i="49"/>
  <c r="D2629" i="49"/>
  <c r="D2623" i="49"/>
  <c r="D3204" i="49"/>
  <c r="D2923" i="49"/>
  <c r="D2916" i="49"/>
  <c r="D2631" i="49"/>
  <c r="D3505" i="49"/>
  <c r="D3789" i="49"/>
  <c r="D3498" i="49"/>
  <c r="D3209" i="49"/>
  <c r="D2638" i="49"/>
  <c r="D2625" i="49"/>
  <c r="D2348" i="49"/>
  <c r="D2342" i="49"/>
  <c r="D2336" i="49"/>
  <c r="D2060" i="49"/>
  <c r="D2054" i="49"/>
  <c r="D2048" i="49"/>
  <c r="D3217" i="49"/>
  <c r="D3206" i="49"/>
  <c r="D2919" i="49"/>
  <c r="D2912" i="49"/>
  <c r="D2632" i="49"/>
  <c r="D2349" i="49"/>
  <c r="D2343" i="49"/>
  <c r="D2337" i="49"/>
  <c r="D2061" i="49"/>
  <c r="D2055" i="49"/>
  <c r="D2049" i="49"/>
  <c r="D4658" i="49"/>
  <c r="D2917" i="49"/>
  <c r="D2636" i="49"/>
  <c r="D2624" i="49"/>
  <c r="D2341" i="49"/>
  <c r="D2338" i="49"/>
  <c r="D2058" i="49"/>
  <c r="D2045" i="49"/>
  <c r="D3502" i="49"/>
  <c r="D3205" i="49"/>
  <c r="D2345" i="49"/>
  <c r="D2335" i="49"/>
  <c r="D2052" i="49"/>
  <c r="D2922" i="49"/>
  <c r="D2633" i="49"/>
  <c r="D2339" i="49"/>
  <c r="D2059" i="49"/>
  <c r="D2056" i="49"/>
  <c r="D2046" i="49"/>
  <c r="D3203" i="49"/>
  <c r="D2925" i="49"/>
  <c r="D2927" i="49"/>
  <c r="D1772" i="49"/>
  <c r="D1769" i="49"/>
  <c r="D1759" i="49"/>
  <c r="D3215" i="49"/>
  <c r="D2627" i="49"/>
  <c r="D2053" i="49"/>
  <c r="D2051" i="49"/>
  <c r="D4362" i="49"/>
  <c r="D2626" i="49"/>
  <c r="D2630" i="49"/>
  <c r="D2334" i="49"/>
  <c r="D2050" i="49"/>
  <c r="D3503" i="49"/>
  <c r="D2340" i="49"/>
  <c r="D1767" i="49"/>
  <c r="D1762" i="49"/>
  <c r="D2347" i="49"/>
  <c r="D1476" i="49"/>
  <c r="D1188" i="49"/>
  <c r="D2057" i="49"/>
  <c r="D1757" i="49"/>
  <c r="D1472" i="49"/>
  <c r="D1468" i="49"/>
  <c r="D1184" i="49"/>
  <c r="D1180" i="49"/>
  <c r="D1763" i="49"/>
  <c r="D1761" i="49"/>
  <c r="D1481" i="49"/>
  <c r="D1193" i="49"/>
  <c r="D2346" i="49"/>
  <c r="D1765" i="49"/>
  <c r="D1477" i="49"/>
  <c r="D1473" i="49"/>
  <c r="D1189" i="49"/>
  <c r="D1185" i="49"/>
  <c r="D904" i="49"/>
  <c r="D898" i="49"/>
  <c r="D892" i="49"/>
  <c r="D616" i="49"/>
  <c r="D610" i="49"/>
  <c r="D2639" i="49"/>
  <c r="D2350" i="49"/>
  <c r="D1771" i="49"/>
  <c r="D1482" i="49"/>
  <c r="D1768" i="49"/>
  <c r="D2913" i="49"/>
  <c r="D1764" i="49"/>
  <c r="D1760" i="49"/>
  <c r="D1483" i="49"/>
  <c r="D1191" i="49"/>
  <c r="D1181" i="49"/>
  <c r="D3792" i="49"/>
  <c r="D2637" i="49"/>
  <c r="D1758" i="49"/>
  <c r="D1756" i="49"/>
  <c r="D1183" i="49"/>
  <c r="D901" i="49"/>
  <c r="D891" i="49"/>
  <c r="D2047" i="49"/>
  <c r="D1187" i="49"/>
  <c r="D1480" i="49"/>
  <c r="D1475" i="49"/>
  <c r="D1470" i="49"/>
  <c r="D905" i="49"/>
  <c r="D895" i="49"/>
  <c r="D606" i="49"/>
  <c r="D600" i="49"/>
  <c r="D613" i="49"/>
  <c r="D1770" i="49"/>
  <c r="D1467" i="49"/>
  <c r="D1182" i="49"/>
  <c r="D1190" i="49"/>
  <c r="D3211" i="49"/>
  <c r="D1478" i="49"/>
  <c r="D897" i="49"/>
  <c r="D324" i="49"/>
  <c r="D318" i="49"/>
  <c r="D312" i="49"/>
  <c r="D605" i="49"/>
  <c r="D602" i="49"/>
  <c r="D1192" i="49"/>
  <c r="D1179" i="49"/>
  <c r="D903" i="49"/>
  <c r="D615" i="49"/>
  <c r="D608" i="49"/>
  <c r="D325" i="49"/>
  <c r="D319" i="49"/>
  <c r="D313" i="49"/>
  <c r="D1186" i="49"/>
  <c r="D603" i="49"/>
  <c r="D894" i="49"/>
  <c r="D323" i="49"/>
  <c r="D35" i="49"/>
  <c r="B35" i="50" s="1"/>
  <c r="D2344" i="49"/>
  <c r="D30" i="49"/>
  <c r="B30" i="50" s="1"/>
  <c r="D25" i="49"/>
  <c r="B25" i="50" s="1"/>
  <c r="D890" i="49"/>
  <c r="D607" i="49"/>
  <c r="D38" i="49"/>
  <c r="B38" i="50" s="1"/>
  <c r="D1474" i="49"/>
  <c r="D893" i="49"/>
  <c r="D896" i="49"/>
  <c r="D604" i="49"/>
  <c r="D326" i="49"/>
  <c r="D322" i="49"/>
  <c r="D36" i="49"/>
  <c r="B36" i="50" s="1"/>
  <c r="D31" i="49"/>
  <c r="B31" i="50" s="1"/>
  <c r="D899" i="49"/>
  <c r="D29" i="49"/>
  <c r="B29" i="50" s="1"/>
  <c r="D321" i="49"/>
  <c r="D612" i="49"/>
  <c r="D611" i="49"/>
  <c r="D601" i="49"/>
  <c r="D327" i="49"/>
  <c r="D23" i="49"/>
  <c r="B23" i="50" s="1"/>
  <c r="D1766" i="49"/>
  <c r="D1178" i="49"/>
  <c r="D889" i="49"/>
  <c r="D316" i="49"/>
  <c r="D1471" i="49"/>
  <c r="D315" i="49"/>
  <c r="D33" i="49"/>
  <c r="B33" i="50" s="1"/>
  <c r="D22" i="49"/>
  <c r="B22" i="50" s="1"/>
  <c r="D24" i="49"/>
  <c r="B24" i="50" s="1"/>
  <c r="D1479" i="49"/>
  <c r="D609" i="49"/>
  <c r="D37" i="49"/>
  <c r="B37" i="50" s="1"/>
  <c r="D28" i="49"/>
  <c r="B28" i="50" s="1"/>
  <c r="D902" i="49"/>
  <c r="D314" i="49"/>
  <c r="D26" i="49"/>
  <c r="B26" i="50" s="1"/>
  <c r="D1469" i="49"/>
  <c r="D32" i="49"/>
  <c r="B32" i="50" s="1"/>
  <c r="D320" i="49"/>
  <c r="D900" i="49"/>
  <c r="D614" i="49"/>
  <c r="D27" i="49"/>
  <c r="B27" i="50" s="1"/>
  <c r="D3216" i="49"/>
  <c r="D1194" i="49"/>
  <c r="D317" i="49"/>
  <c r="D34" i="49"/>
  <c r="B34" i="50" s="1"/>
  <c r="G12" i="8"/>
  <c r="D311" i="49"/>
  <c r="T75" i="15"/>
  <c r="H75" i="15"/>
  <c r="R66" i="15"/>
  <c r="F66" i="15"/>
  <c r="O60" i="15"/>
  <c r="U47" i="15"/>
  <c r="I47" i="15"/>
  <c r="X43" i="15"/>
  <c r="L43" i="15"/>
  <c r="S75" i="15"/>
  <c r="G75" i="15"/>
  <c r="Q66" i="15"/>
  <c r="E66" i="15"/>
  <c r="N60" i="15"/>
  <c r="T47" i="15"/>
  <c r="H47" i="15"/>
  <c r="W43" i="15"/>
  <c r="K43" i="15"/>
  <c r="R75" i="15"/>
  <c r="F75" i="15"/>
  <c r="Q75" i="15"/>
  <c r="E75" i="15"/>
  <c r="O66" i="15"/>
  <c r="X60" i="15"/>
  <c r="L60" i="15"/>
  <c r="R47" i="15"/>
  <c r="F47" i="15"/>
  <c r="U43" i="15"/>
  <c r="I43" i="15"/>
  <c r="P75" i="15"/>
  <c r="N66" i="15"/>
  <c r="W60" i="15"/>
  <c r="K60" i="15"/>
  <c r="Q47" i="15"/>
  <c r="E47" i="15"/>
  <c r="T43" i="15"/>
  <c r="H43" i="15"/>
  <c r="O75" i="15"/>
  <c r="Y66" i="15"/>
  <c r="M66" i="15"/>
  <c r="Y75" i="15"/>
  <c r="U66" i="15"/>
  <c r="H60" i="15"/>
  <c r="J47" i="15"/>
  <c r="Q43" i="15"/>
  <c r="X75" i="15"/>
  <c r="T66" i="15"/>
  <c r="Y60" i="15"/>
  <c r="G60" i="15"/>
  <c r="Y47" i="15"/>
  <c r="G47" i="15"/>
  <c r="P43" i="15"/>
  <c r="V75" i="15"/>
  <c r="P66" i="15"/>
  <c r="U60" i="15"/>
  <c r="E60" i="15"/>
  <c r="W47" i="15"/>
  <c r="N43" i="15"/>
  <c r="N75" i="15"/>
  <c r="K66" i="15"/>
  <c r="S60" i="15"/>
  <c r="S47" i="15"/>
  <c r="J43" i="15"/>
  <c r="K75" i="15"/>
  <c r="H66" i="15"/>
  <c r="P60" i="15"/>
  <c r="N47" i="15"/>
  <c r="Y43" i="15"/>
  <c r="F43" i="15"/>
  <c r="V66" i="15"/>
  <c r="V60" i="15"/>
  <c r="M47" i="15"/>
  <c r="J66" i="15"/>
  <c r="F72" i="22"/>
  <c r="F35" i="22"/>
  <c r="F31" i="22"/>
  <c r="F27" i="22"/>
  <c r="F17" i="22"/>
  <c r="F36" i="22"/>
  <c r="F32" i="22"/>
  <c r="F28" i="22"/>
  <c r="F18" i="22"/>
  <c r="F14" i="22"/>
  <c r="F33" i="22"/>
  <c r="F37" i="22"/>
  <c r="F15" i="22"/>
  <c r="F30" i="22"/>
  <c r="F16" i="22"/>
  <c r="G12" i="22"/>
  <c r="F29" i="22"/>
  <c r="E18" i="24"/>
  <c r="F14" i="24"/>
  <c r="E15" i="24"/>
  <c r="E16" i="24"/>
  <c r="B13" i="12"/>
  <c r="B21" i="12"/>
  <c r="B9" i="12"/>
  <c r="B17" i="12"/>
  <c r="B16" i="12"/>
  <c r="B14" i="12"/>
  <c r="B11" i="12"/>
  <c r="B7" i="12"/>
  <c r="B10" i="12"/>
  <c r="L23" i="13"/>
  <c r="M23" i="13" s="1"/>
  <c r="H23" i="13"/>
  <c r="K23" i="13"/>
  <c r="E11" i="6" s="1"/>
  <c r="J23" i="13"/>
  <c r="G23" i="13"/>
  <c r="H9" i="3" s="1"/>
  <c r="D23" i="13"/>
  <c r="C10" i="3"/>
  <c r="H16" i="6"/>
  <c r="F34" i="15"/>
  <c r="O47" i="15"/>
  <c r="M604" i="49"/>
  <c r="G604" i="49"/>
  <c r="G880" i="49"/>
  <c r="M880" i="49"/>
  <c r="B88" i="13"/>
  <c r="B76" i="13"/>
  <c r="B84" i="13"/>
  <c r="B81" i="13"/>
  <c r="I15" i="40" s="1"/>
  <c r="B80" i="13"/>
  <c r="B78" i="13"/>
  <c r="B90" i="13"/>
  <c r="B75" i="13"/>
  <c r="B86" i="13"/>
  <c r="B77" i="13"/>
  <c r="D10" i="3"/>
  <c r="D13" i="3"/>
  <c r="C13" i="3"/>
  <c r="C16" i="3"/>
  <c r="H20" i="6"/>
  <c r="P47" i="15"/>
  <c r="S66" i="15"/>
  <c r="E85" i="19"/>
  <c r="F38" i="22"/>
  <c r="L29" i="13"/>
  <c r="M29" i="13" s="1"/>
  <c r="H29" i="13"/>
  <c r="E29" i="13"/>
  <c r="D29" i="13"/>
  <c r="K29" i="13"/>
  <c r="B106" i="14"/>
  <c r="B82" i="13"/>
  <c r="B66" i="14"/>
  <c r="C8" i="3"/>
  <c r="H13" i="6"/>
  <c r="X47" i="15"/>
  <c r="F33" i="18"/>
  <c r="E33" i="18"/>
  <c r="F36" i="18"/>
  <c r="F28" i="18"/>
  <c r="G37" i="18"/>
  <c r="G29" i="18"/>
  <c r="F37" i="18"/>
  <c r="E37" i="18"/>
  <c r="G33" i="18"/>
  <c r="F29" i="18"/>
  <c r="E29" i="18"/>
  <c r="E36" i="18"/>
  <c r="F32" i="18"/>
  <c r="E36" i="20"/>
  <c r="F29" i="20"/>
  <c r="F38" i="20"/>
  <c r="E32" i="20"/>
  <c r="G38" i="20"/>
  <c r="F34" i="22"/>
  <c r="B83" i="13"/>
  <c r="F9" i="4"/>
  <c r="F38" i="15"/>
  <c r="E29" i="20"/>
  <c r="L35" i="13"/>
  <c r="M35" i="13" s="1"/>
  <c r="H35" i="13"/>
  <c r="B166" i="14"/>
  <c r="N35" i="13"/>
  <c r="F23" i="6" s="1"/>
  <c r="K35" i="13"/>
  <c r="E23" i="6" s="1"/>
  <c r="G35" i="13"/>
  <c r="C23" i="6" s="1"/>
  <c r="D35" i="13"/>
  <c r="E35" i="13"/>
  <c r="B46" i="14"/>
  <c r="H7" i="6"/>
  <c r="F34" i="20"/>
  <c r="F15" i="24"/>
  <c r="F16" i="25"/>
  <c r="E16" i="25"/>
  <c r="E15" i="25"/>
  <c r="F17" i="25"/>
  <c r="F14" i="25"/>
  <c r="E18" i="25"/>
  <c r="E33" i="27"/>
  <c r="E32" i="27"/>
  <c r="E31" i="27"/>
  <c r="E36" i="27"/>
  <c r="E28" i="27"/>
  <c r="E37" i="27"/>
  <c r="E29" i="27"/>
  <c r="E35" i="27"/>
  <c r="F28" i="27"/>
  <c r="G79" i="30"/>
  <c r="G85" i="30"/>
  <c r="G82" i="30"/>
  <c r="G80" i="30"/>
  <c r="B24" i="13"/>
  <c r="B32" i="13"/>
  <c r="B20" i="13"/>
  <c r="I9" i="39" s="1"/>
  <c r="B31" i="13"/>
  <c r="B30" i="13"/>
  <c r="B28" i="13"/>
  <c r="B26" i="13"/>
  <c r="B22" i="13"/>
  <c r="H21" i="40" s="1"/>
  <c r="X23" i="13"/>
  <c r="D25" i="13"/>
  <c r="K27" i="13"/>
  <c r="E15" i="6" s="1"/>
  <c r="E33" i="13"/>
  <c r="L34" i="13"/>
  <c r="M34" i="13" s="1"/>
  <c r="I12" i="32"/>
  <c r="I20" i="32"/>
  <c r="H15" i="3"/>
  <c r="C15" i="3"/>
  <c r="D15" i="3"/>
  <c r="C18" i="3"/>
  <c r="J9" i="4"/>
  <c r="D18" i="7"/>
  <c r="E18" i="7"/>
  <c r="F30" i="15"/>
  <c r="L47" i="15"/>
  <c r="I66" i="15"/>
  <c r="E28" i="18"/>
  <c r="F44" i="22"/>
  <c r="E31" i="23"/>
  <c r="E35" i="23"/>
  <c r="E30" i="23"/>
  <c r="E38" i="23"/>
  <c r="E33" i="23"/>
  <c r="E14" i="25"/>
  <c r="F85" i="29"/>
  <c r="F79" i="29"/>
  <c r="F80" i="29"/>
  <c r="F82" i="29"/>
  <c r="C85" i="17"/>
  <c r="E36" i="17"/>
  <c r="E32" i="17"/>
  <c r="E28" i="17"/>
  <c r="E18" i="17"/>
  <c r="E14" i="17"/>
  <c r="J3" i="17"/>
  <c r="E37" i="17"/>
  <c r="E33" i="17"/>
  <c r="E29" i="17"/>
  <c r="E15" i="17"/>
  <c r="E31" i="17"/>
  <c r="E44" i="17"/>
  <c r="E34" i="17"/>
  <c r="E16" i="17"/>
  <c r="F35" i="17"/>
  <c r="F27" i="17"/>
  <c r="F17" i="17"/>
  <c r="J2" i="17"/>
  <c r="F34" i="17"/>
  <c r="E38" i="17"/>
  <c r="C29" i="47"/>
  <c r="A38" i="1"/>
  <c r="C8" i="39"/>
  <c r="P386" i="49" s="1"/>
  <c r="G8" i="39"/>
  <c r="M949" i="49"/>
  <c r="F8" i="39"/>
  <c r="E8" i="39"/>
  <c r="M995" i="49"/>
  <c r="M1031" i="49"/>
  <c r="M1025" i="49"/>
  <c r="M502" i="49"/>
  <c r="M479" i="49"/>
  <c r="M569" i="49"/>
  <c r="M910" i="49"/>
  <c r="M919" i="49"/>
  <c r="G919" i="49"/>
  <c r="F72" i="21"/>
  <c r="G12" i="21"/>
  <c r="F33" i="21"/>
  <c r="F18" i="21"/>
  <c r="F35" i="21"/>
  <c r="F37" i="21"/>
  <c r="F30" i="21"/>
  <c r="F28" i="21"/>
  <c r="F15" i="21"/>
  <c r="F17" i="21"/>
  <c r="F38" i="21"/>
  <c r="F44" i="21"/>
  <c r="F14" i="21"/>
  <c r="F32" i="21"/>
  <c r="G29" i="26"/>
  <c r="G27" i="26"/>
  <c r="G14" i="26"/>
  <c r="G36" i="26"/>
  <c r="G15" i="26"/>
  <c r="G31" i="26"/>
  <c r="G72" i="26"/>
  <c r="G35" i="26"/>
  <c r="G30" i="26"/>
  <c r="G34" i="26"/>
  <c r="G18" i="26"/>
  <c r="G28" i="26"/>
  <c r="G16" i="26"/>
  <c r="E28" i="26"/>
  <c r="G44" i="26"/>
  <c r="I17" i="40"/>
  <c r="M673" i="49"/>
  <c r="G673" i="49"/>
  <c r="E27" i="17"/>
  <c r="F31" i="17"/>
  <c r="E80" i="17"/>
  <c r="E82" i="17"/>
  <c r="C85" i="19"/>
  <c r="E44" i="19"/>
  <c r="E16" i="19"/>
  <c r="E33" i="19"/>
  <c r="E31" i="19"/>
  <c r="E18" i="19"/>
  <c r="E37" i="19"/>
  <c r="E35" i="19"/>
  <c r="C79" i="19"/>
  <c r="J3" i="19"/>
  <c r="E28" i="19"/>
  <c r="E15" i="19"/>
  <c r="E29" i="19"/>
  <c r="E17" i="19"/>
  <c r="J2" i="19"/>
  <c r="E27" i="19"/>
  <c r="E37" i="25"/>
  <c r="E28" i="25"/>
  <c r="F32" i="25"/>
  <c r="E32" i="25"/>
  <c r="E27" i="25"/>
  <c r="F36" i="25"/>
  <c r="F31" i="25"/>
  <c r="F35" i="25"/>
  <c r="E35" i="25"/>
  <c r="F30" i="25"/>
  <c r="F38" i="25"/>
  <c r="F34" i="25"/>
  <c r="G37" i="26"/>
  <c r="C6" i="27"/>
  <c r="C5" i="27"/>
  <c r="M1228" i="49"/>
  <c r="G1228" i="49"/>
  <c r="C7" i="3"/>
  <c r="E17" i="6"/>
  <c r="F17" i="6"/>
  <c r="C17" i="6"/>
  <c r="E17" i="15"/>
  <c r="E18" i="15"/>
  <c r="E14" i="15"/>
  <c r="E15" i="15"/>
  <c r="E35" i="17"/>
  <c r="E85" i="17"/>
  <c r="E34" i="19"/>
  <c r="G35" i="20"/>
  <c r="G37" i="20"/>
  <c r="G28" i="20"/>
  <c r="G15" i="20"/>
  <c r="G19" i="20" s="1"/>
  <c r="G32" i="20"/>
  <c r="G30" i="20"/>
  <c r="G17" i="20"/>
  <c r="G72" i="20"/>
  <c r="G44" i="20"/>
  <c r="G31" i="20"/>
  <c r="G18" i="20"/>
  <c r="H12" i="20"/>
  <c r="G29" i="20"/>
  <c r="G34" i="20"/>
  <c r="G33" i="20"/>
  <c r="F29" i="21"/>
  <c r="F36" i="21"/>
  <c r="E29" i="25"/>
  <c r="E35" i="26"/>
  <c r="E31" i="26"/>
  <c r="E27" i="26"/>
  <c r="E17" i="26"/>
  <c r="E44" i="26"/>
  <c r="F33" i="26"/>
  <c r="F31" i="26"/>
  <c r="E18" i="26"/>
  <c r="E16" i="26"/>
  <c r="F27" i="26"/>
  <c r="C85" i="26"/>
  <c r="E36" i="26"/>
  <c r="F15" i="26"/>
  <c r="E79" i="26"/>
  <c r="E15" i="26"/>
  <c r="J3" i="26"/>
  <c r="C79" i="26"/>
  <c r="F35" i="26"/>
  <c r="F30" i="26"/>
  <c r="E14" i="26"/>
  <c r="E19" i="26" s="1"/>
  <c r="E30" i="26"/>
  <c r="E32" i="26"/>
  <c r="E38" i="26"/>
  <c r="E33" i="26"/>
  <c r="J2" i="26"/>
  <c r="E34" i="26"/>
  <c r="E29" i="26"/>
  <c r="G32" i="26"/>
  <c r="E27" i="31"/>
  <c r="E35" i="31"/>
  <c r="E30" i="31"/>
  <c r="E38" i="31"/>
  <c r="E33" i="31"/>
  <c r="E28" i="31"/>
  <c r="E29" i="31"/>
  <c r="E36" i="31"/>
  <c r="E32" i="31"/>
  <c r="F33" i="31"/>
  <c r="F37" i="31"/>
  <c r="E37" i="31"/>
  <c r="F34" i="31"/>
  <c r="F31" i="31"/>
  <c r="E82" i="31"/>
  <c r="E80" i="31"/>
  <c r="E85" i="31"/>
  <c r="E79" i="31"/>
  <c r="G578" i="46"/>
  <c r="G553" i="46"/>
  <c r="G542" i="46"/>
  <c r="G547" i="46"/>
  <c r="C16" i="40"/>
  <c r="G579" i="46"/>
  <c r="G536" i="46"/>
  <c r="G568" i="46"/>
  <c r="G563" i="46"/>
  <c r="G556" i="46"/>
  <c r="G539" i="46"/>
  <c r="G575" i="46"/>
  <c r="G567" i="46"/>
  <c r="G560" i="46"/>
  <c r="G559" i="46"/>
  <c r="G571" i="46"/>
  <c r="G1251" i="49"/>
  <c r="M1251" i="49"/>
  <c r="C6" i="21"/>
  <c r="C5" i="21"/>
  <c r="F82" i="28"/>
  <c r="F79" i="28"/>
  <c r="F85" i="28"/>
  <c r="P402" i="49"/>
  <c r="G402" i="49"/>
  <c r="M402" i="49"/>
  <c r="H402" i="49"/>
  <c r="G826" i="49"/>
  <c r="M826" i="49"/>
  <c r="M943" i="49"/>
  <c r="C79" i="17"/>
  <c r="E30" i="19"/>
  <c r="F16" i="21"/>
  <c r="E18" i="22"/>
  <c r="E16" i="22"/>
  <c r="E15" i="22"/>
  <c r="E17" i="22"/>
  <c r="E14" i="22"/>
  <c r="E82" i="27"/>
  <c r="E85" i="27"/>
  <c r="E79" i="27"/>
  <c r="E80" i="27"/>
  <c r="G543" i="46"/>
  <c r="M888" i="49"/>
  <c r="G888" i="49"/>
  <c r="E44" i="31"/>
  <c r="M563" i="49"/>
  <c r="H563" i="49"/>
  <c r="G563" i="49"/>
  <c r="M1465" i="49"/>
  <c r="G1465" i="49"/>
  <c r="M351" i="49"/>
  <c r="G351" i="49"/>
  <c r="P351" i="49"/>
  <c r="H351" i="49"/>
  <c r="H441" i="49"/>
  <c r="G441" i="49"/>
  <c r="M441" i="49"/>
  <c r="J6" i="1"/>
  <c r="F43" i="8"/>
  <c r="E83" i="8"/>
  <c r="E86" i="8"/>
  <c r="B7" i="40"/>
  <c r="E85" i="15"/>
  <c r="E80" i="15"/>
  <c r="F36" i="17"/>
  <c r="F32" i="17"/>
  <c r="F28" i="17"/>
  <c r="F18" i="17"/>
  <c r="F14" i="17"/>
  <c r="F37" i="17"/>
  <c r="F33" i="17"/>
  <c r="F29" i="17"/>
  <c r="F15" i="17"/>
  <c r="F30" i="17"/>
  <c r="F38" i="17"/>
  <c r="G44" i="18"/>
  <c r="G35" i="18"/>
  <c r="G31" i="18"/>
  <c r="G27" i="18"/>
  <c r="G17" i="18"/>
  <c r="G36" i="18"/>
  <c r="G32" i="18"/>
  <c r="G28" i="18"/>
  <c r="G18" i="18"/>
  <c r="G14" i="18"/>
  <c r="G30" i="18"/>
  <c r="G38" i="18"/>
  <c r="E44" i="24"/>
  <c r="H72" i="30"/>
  <c r="H35" i="30"/>
  <c r="H29" i="30"/>
  <c r="H18" i="30"/>
  <c r="I12" i="30"/>
  <c r="H36" i="30"/>
  <c r="H17" i="30"/>
  <c r="H14" i="30"/>
  <c r="H15" i="30"/>
  <c r="H34" i="30"/>
  <c r="H28" i="30"/>
  <c r="H27" i="30"/>
  <c r="H16" i="30"/>
  <c r="H32" i="30"/>
  <c r="H37" i="30"/>
  <c r="H44" i="30"/>
  <c r="G685" i="49"/>
  <c r="M685" i="49"/>
  <c r="G851" i="49"/>
  <c r="M851" i="49"/>
  <c r="M1570" i="49"/>
  <c r="G1570" i="49"/>
  <c r="B13" i="40"/>
  <c r="E82" i="18"/>
  <c r="E79" i="18"/>
  <c r="F33" i="20"/>
  <c r="F35" i="20"/>
  <c r="F37" i="20"/>
  <c r="F28" i="20"/>
  <c r="F15" i="20"/>
  <c r="F32" i="20"/>
  <c r="F30" i="20"/>
  <c r="F17" i="20"/>
  <c r="J3" i="21"/>
  <c r="E31" i="21"/>
  <c r="E33" i="21"/>
  <c r="E18" i="21"/>
  <c r="E35" i="21"/>
  <c r="C79" i="21"/>
  <c r="E37" i="21"/>
  <c r="E30" i="21"/>
  <c r="E28" i="21"/>
  <c r="E15" i="21"/>
  <c r="E82" i="21"/>
  <c r="E79" i="21"/>
  <c r="C6" i="23"/>
  <c r="C5" i="23"/>
  <c r="F85" i="30"/>
  <c r="E85" i="30"/>
  <c r="F79" i="30"/>
  <c r="E44" i="30"/>
  <c r="F37" i="30"/>
  <c r="F32" i="30"/>
  <c r="F27" i="30"/>
  <c r="C79" i="30"/>
  <c r="F35" i="30"/>
  <c r="E15" i="30"/>
  <c r="E38" i="30"/>
  <c r="F33" i="30"/>
  <c r="C85" i="30"/>
  <c r="E33" i="30"/>
  <c r="E82" i="30"/>
  <c r="E37" i="30"/>
  <c r="E32" i="30"/>
  <c r="F29" i="30"/>
  <c r="E18" i="30"/>
  <c r="F15" i="30"/>
  <c r="F80" i="30"/>
  <c r="F36" i="30"/>
  <c r="G31" i="30"/>
  <c r="G28" i="30"/>
  <c r="G38" i="30"/>
  <c r="G33" i="30"/>
  <c r="F14" i="30"/>
  <c r="E14" i="30"/>
  <c r="G35" i="30"/>
  <c r="G34" i="30"/>
  <c r="F28" i="30"/>
  <c r="G27" i="30"/>
  <c r="G17" i="30"/>
  <c r="G16" i="30"/>
  <c r="E35" i="30"/>
  <c r="E34" i="30"/>
  <c r="E28" i="30"/>
  <c r="E27" i="30"/>
  <c r="F17" i="30"/>
  <c r="E16" i="30"/>
  <c r="F82" i="30"/>
  <c r="G29" i="30"/>
  <c r="F18" i="30"/>
  <c r="E17" i="30"/>
  <c r="J3" i="30"/>
  <c r="H30" i="30"/>
  <c r="M733" i="49"/>
  <c r="G733" i="49"/>
  <c r="M889" i="49"/>
  <c r="G889" i="49"/>
  <c r="M2060" i="49"/>
  <c r="G2060" i="49"/>
  <c r="W21" i="13"/>
  <c r="Y21" i="13" s="1"/>
  <c r="G43" i="8"/>
  <c r="D12" i="3"/>
  <c r="D20" i="3"/>
  <c r="C15" i="6"/>
  <c r="F36" i="20"/>
  <c r="E85" i="20"/>
  <c r="E79" i="20"/>
  <c r="J2" i="21"/>
  <c r="E27" i="21"/>
  <c r="E85" i="21"/>
  <c r="J2" i="30"/>
  <c r="G1491" i="49"/>
  <c r="M1491" i="49"/>
  <c r="W23" i="13"/>
  <c r="Y23" i="13" s="1"/>
  <c r="B10" i="40"/>
  <c r="C6" i="3"/>
  <c r="C14" i="3"/>
  <c r="F9" i="6"/>
  <c r="F21" i="6"/>
  <c r="F72" i="17"/>
  <c r="E80" i="18"/>
  <c r="F18" i="20"/>
  <c r="F31" i="20"/>
  <c r="F44" i="20"/>
  <c r="F72" i="27"/>
  <c r="G12" i="27"/>
  <c r="F14" i="27"/>
  <c r="F44" i="27"/>
  <c r="F31" i="27"/>
  <c r="F29" i="27"/>
  <c r="F16" i="27"/>
  <c r="F35" i="27"/>
  <c r="F33" i="27"/>
  <c r="F34" i="27"/>
  <c r="F32" i="27"/>
  <c r="F18" i="27"/>
  <c r="F30" i="27"/>
  <c r="F17" i="27"/>
  <c r="E31" i="30"/>
  <c r="P390" i="49"/>
  <c r="H390" i="49"/>
  <c r="M390" i="49"/>
  <c r="M482" i="49"/>
  <c r="P482" i="49"/>
  <c r="G482" i="49"/>
  <c r="H482" i="49"/>
  <c r="M536" i="49"/>
  <c r="H536" i="49"/>
  <c r="G536" i="49"/>
  <c r="G626" i="49"/>
  <c r="M626" i="49"/>
  <c r="M1645" i="49"/>
  <c r="G1645" i="49"/>
  <c r="G1905" i="49"/>
  <c r="M1905" i="49"/>
  <c r="B117" i="13"/>
  <c r="B105" i="13"/>
  <c r="B113" i="13"/>
  <c r="B102" i="13"/>
  <c r="B116" i="13"/>
  <c r="E47" i="8"/>
  <c r="D6" i="3"/>
  <c r="D14" i="3"/>
  <c r="F15" i="6"/>
  <c r="E28" i="7"/>
  <c r="C6" i="15"/>
  <c r="E44" i="20"/>
  <c r="E38" i="20"/>
  <c r="E34" i="20"/>
  <c r="E30" i="20"/>
  <c r="E16" i="20"/>
  <c r="J2" i="20"/>
  <c r="E35" i="20"/>
  <c r="E31" i="20"/>
  <c r="E27" i="20"/>
  <c r="E17" i="20"/>
  <c r="E18" i="20"/>
  <c r="E33" i="20"/>
  <c r="C79" i="20"/>
  <c r="E37" i="20"/>
  <c r="E28" i="20"/>
  <c r="J3" i="20"/>
  <c r="E15" i="20"/>
  <c r="E14" i="20"/>
  <c r="C85" i="20"/>
  <c r="E34" i="21"/>
  <c r="E44" i="22"/>
  <c r="E82" i="25"/>
  <c r="E80" i="25"/>
  <c r="E85" i="25"/>
  <c r="E79" i="25"/>
  <c r="F36" i="27"/>
  <c r="F31" i="30"/>
  <c r="E36" i="30"/>
  <c r="A39" i="1"/>
  <c r="C9" i="39"/>
  <c r="P673" i="49" s="1"/>
  <c r="F9" i="39"/>
  <c r="G9" i="39"/>
  <c r="E9" i="39"/>
  <c r="D9" i="39"/>
  <c r="G390" i="49"/>
  <c r="P536" i="49"/>
  <c r="G599" i="49"/>
  <c r="M599" i="49"/>
  <c r="M709" i="49"/>
  <c r="G709" i="49"/>
  <c r="M756" i="49"/>
  <c r="G756" i="49"/>
  <c r="M923" i="49"/>
  <c r="G923" i="49"/>
  <c r="G1367" i="49"/>
  <c r="M1367" i="49"/>
  <c r="F17" i="16"/>
  <c r="F27" i="16"/>
  <c r="F31" i="16"/>
  <c r="F35" i="16"/>
  <c r="C79" i="16"/>
  <c r="G12" i="24"/>
  <c r="F44" i="24"/>
  <c r="F31" i="24"/>
  <c r="F18" i="24"/>
  <c r="F16" i="24"/>
  <c r="F37" i="24"/>
  <c r="E14" i="28"/>
  <c r="E18" i="28"/>
  <c r="F36" i="28"/>
  <c r="F32" i="28"/>
  <c r="F28" i="28"/>
  <c r="F18" i="28"/>
  <c r="F14" i="28"/>
  <c r="F29" i="28"/>
  <c r="F27" i="28"/>
  <c r="F16" i="28"/>
  <c r="F44" i="28"/>
  <c r="F31" i="29"/>
  <c r="F14" i="29"/>
  <c r="F34" i="29"/>
  <c r="F29" i="29"/>
  <c r="G12" i="29"/>
  <c r="F44" i="29"/>
  <c r="F36" i="29"/>
  <c r="F33" i="29"/>
  <c r="F30" i="29"/>
  <c r="F27" i="29"/>
  <c r="F15" i="29"/>
  <c r="F18" i="29"/>
  <c r="F35" i="29"/>
  <c r="F37" i="29"/>
  <c r="F38" i="29"/>
  <c r="I10" i="40"/>
  <c r="J15" i="40"/>
  <c r="A46" i="1"/>
  <c r="C16" i="39"/>
  <c r="G16" i="39"/>
  <c r="F16" i="39"/>
  <c r="E16" i="39"/>
  <c r="D16" i="39"/>
  <c r="M380" i="49"/>
  <c r="H380" i="49"/>
  <c r="P380" i="49"/>
  <c r="G380" i="49"/>
  <c r="G697" i="49"/>
  <c r="M697" i="49"/>
  <c r="M1099" i="49"/>
  <c r="G1099" i="49"/>
  <c r="M1393" i="49"/>
  <c r="G1393" i="49"/>
  <c r="B142" i="13"/>
  <c r="E79" i="16"/>
  <c r="E17" i="18"/>
  <c r="E27" i="18"/>
  <c r="E31" i="18"/>
  <c r="E35" i="18"/>
  <c r="E35" i="8" s="1"/>
  <c r="C79" i="18"/>
  <c r="E35" i="24"/>
  <c r="E31" i="24"/>
  <c r="E27" i="24"/>
  <c r="E17" i="24"/>
  <c r="E36" i="24"/>
  <c r="E34" i="24"/>
  <c r="J2" i="24"/>
  <c r="E29" i="24"/>
  <c r="E29" i="8" s="1"/>
  <c r="F17" i="24"/>
  <c r="F28" i="24"/>
  <c r="E33" i="24"/>
  <c r="E38" i="24"/>
  <c r="E85" i="26"/>
  <c r="E80" i="26"/>
  <c r="C6" i="28"/>
  <c r="G12" i="28"/>
  <c r="F35" i="28"/>
  <c r="C85" i="29"/>
  <c r="E36" i="29"/>
  <c r="E39" i="29" s="1"/>
  <c r="C79" i="29"/>
  <c r="E44" i="29"/>
  <c r="E16" i="29"/>
  <c r="E19" i="29" s="1"/>
  <c r="J2" i="29"/>
  <c r="F32" i="29"/>
  <c r="G1779" i="49"/>
  <c r="M1779" i="49"/>
  <c r="C4913" i="49"/>
  <c r="C4907" i="49"/>
  <c r="C4901" i="49"/>
  <c r="C4895" i="49"/>
  <c r="C4889" i="49"/>
  <c r="C4883" i="49"/>
  <c r="C4877" i="49"/>
  <c r="C4871" i="49"/>
  <c r="C4865" i="49"/>
  <c r="C4859" i="49"/>
  <c r="C4853" i="49"/>
  <c r="C4847" i="49"/>
  <c r="C4841" i="49"/>
  <c r="C4835" i="49"/>
  <c r="C4829" i="49"/>
  <c r="C4823" i="49"/>
  <c r="C4817" i="49"/>
  <c r="C4811" i="49"/>
  <c r="C4805" i="49"/>
  <c r="C4799" i="49"/>
  <c r="C4793" i="49"/>
  <c r="C4787" i="49"/>
  <c r="C4781" i="49"/>
  <c r="C4775" i="49"/>
  <c r="C4769" i="49"/>
  <c r="C4763" i="49"/>
  <c r="C4757" i="49"/>
  <c r="C4751" i="49"/>
  <c r="C4745" i="49"/>
  <c r="C4739" i="49"/>
  <c r="C4733" i="49"/>
  <c r="C4727" i="49"/>
  <c r="C4721" i="49"/>
  <c r="C4715" i="49"/>
  <c r="C4709" i="49"/>
  <c r="C4703" i="49"/>
  <c r="C4697" i="49"/>
  <c r="C4691" i="49"/>
  <c r="C4914" i="49"/>
  <c r="C4908" i="49"/>
  <c r="C4902" i="49"/>
  <c r="C4896" i="49"/>
  <c r="C4890" i="49"/>
  <c r="C4884" i="49"/>
  <c r="C4878" i="49"/>
  <c r="C4872" i="49"/>
  <c r="C4866" i="49"/>
  <c r="C4860" i="49"/>
  <c r="C4854" i="49"/>
  <c r="C4848" i="49"/>
  <c r="C4842" i="49"/>
  <c r="C4836" i="49"/>
  <c r="C4830" i="49"/>
  <c r="C4824" i="49"/>
  <c r="C4818" i="49"/>
  <c r="C4812" i="49"/>
  <c r="C4806" i="49"/>
  <c r="C4800" i="49"/>
  <c r="C4794" i="49"/>
  <c r="C4788" i="49"/>
  <c r="C4782" i="49"/>
  <c r="C4776" i="49"/>
  <c r="C4770" i="49"/>
  <c r="C4764" i="49"/>
  <c r="C4758" i="49"/>
  <c r="C4752" i="49"/>
  <c r="C4746" i="49"/>
  <c r="C4740" i="49"/>
  <c r="C4734" i="49"/>
  <c r="C4728" i="49"/>
  <c r="C4722" i="49"/>
  <c r="C4716" i="49"/>
  <c r="C4710" i="49"/>
  <c r="C4704" i="49"/>
  <c r="C4698" i="49"/>
  <c r="C4692" i="49"/>
  <c r="C4906" i="49"/>
  <c r="C4904" i="49"/>
  <c r="C4888" i="49"/>
  <c r="C4886" i="49"/>
  <c r="C4881" i="49"/>
  <c r="C4870" i="49"/>
  <c r="C4867" i="49"/>
  <c r="C4857" i="49"/>
  <c r="C4844" i="49"/>
  <c r="C4834" i="49"/>
  <c r="C4831" i="49"/>
  <c r="C4821" i="49"/>
  <c r="C4808" i="49"/>
  <c r="C4798" i="49"/>
  <c r="C4795" i="49"/>
  <c r="C4785" i="49"/>
  <c r="C4772" i="49"/>
  <c r="C4911" i="49"/>
  <c r="C4893" i="49"/>
  <c r="C4879" i="49"/>
  <c r="C4876" i="49"/>
  <c r="C4909" i="49"/>
  <c r="C4891" i="49"/>
  <c r="C4864" i="49"/>
  <c r="C4861" i="49"/>
  <c r="C4851" i="49"/>
  <c r="C4838" i="49"/>
  <c r="C4828" i="49"/>
  <c r="C4825" i="49"/>
  <c r="C4815" i="49"/>
  <c r="C4802" i="49"/>
  <c r="C4792" i="49"/>
  <c r="C4789" i="49"/>
  <c r="C4779" i="49"/>
  <c r="C4766" i="49"/>
  <c r="C4756" i="49"/>
  <c r="C4753" i="49"/>
  <c r="C4743" i="49"/>
  <c r="C4730" i="49"/>
  <c r="C4720" i="49"/>
  <c r="C4717" i="49"/>
  <c r="C4707" i="49"/>
  <c r="C4694" i="49"/>
  <c r="C4685" i="49"/>
  <c r="C4679" i="49"/>
  <c r="C4673" i="49"/>
  <c r="C4667" i="49"/>
  <c r="C4661" i="49"/>
  <c r="C4655" i="49"/>
  <c r="C4649" i="49"/>
  <c r="C4643" i="49"/>
  <c r="C4637" i="49"/>
  <c r="C4631" i="49"/>
  <c r="C4869" i="49"/>
  <c r="C4858" i="49"/>
  <c r="C4856" i="49"/>
  <c r="C4845" i="49"/>
  <c r="C4843" i="49"/>
  <c r="C4832" i="49"/>
  <c r="C4819" i="49"/>
  <c r="C4774" i="49"/>
  <c r="C4899" i="49"/>
  <c r="C4762" i="49"/>
  <c r="C4760" i="49"/>
  <c r="C4755" i="49"/>
  <c r="C4748" i="49"/>
  <c r="C4741" i="49"/>
  <c r="C4736" i="49"/>
  <c r="C4729" i="49"/>
  <c r="C4688" i="49"/>
  <c r="C4678" i="49"/>
  <c r="C4675" i="49"/>
  <c r="C4915" i="49"/>
  <c r="C4885" i="49"/>
  <c r="C4880" i="49"/>
  <c r="C4873" i="49"/>
  <c r="C4862" i="49"/>
  <c r="C4849" i="49"/>
  <c r="C4804" i="49"/>
  <c r="C4791" i="49"/>
  <c r="C4780" i="49"/>
  <c r="C4778" i="49"/>
  <c r="C4767" i="49"/>
  <c r="C4642" i="49"/>
  <c r="C4639" i="49"/>
  <c r="C4912" i="49"/>
  <c r="C4898" i="49"/>
  <c r="C4765" i="49"/>
  <c r="C4708" i="49"/>
  <c r="C4701" i="49"/>
  <c r="C4696" i="49"/>
  <c r="C4682" i="49"/>
  <c r="C4672" i="49"/>
  <c r="C4669" i="49"/>
  <c r="C4659" i="49"/>
  <c r="C4656" i="49"/>
  <c r="C4646" i="49"/>
  <c r="C4887" i="49"/>
  <c r="C4737" i="49"/>
  <c r="C4732" i="49"/>
  <c r="C4714" i="49"/>
  <c r="C4711" i="49"/>
  <c r="C4706" i="49"/>
  <c r="C4686" i="49"/>
  <c r="C4668" i="49"/>
  <c r="C4632" i="49"/>
  <c r="C4903" i="49"/>
  <c r="C4863" i="49"/>
  <c r="C4850" i="49"/>
  <c r="C4840" i="49"/>
  <c r="C4837" i="49"/>
  <c r="C4827" i="49"/>
  <c r="C4814" i="49"/>
  <c r="C4801" i="49"/>
  <c r="C4750" i="49"/>
  <c r="C4747" i="49"/>
  <c r="C4742" i="49"/>
  <c r="C4724" i="49"/>
  <c r="C4719" i="49"/>
  <c r="C4693" i="49"/>
  <c r="C4684" i="49"/>
  <c r="C4666" i="49"/>
  <c r="C4654" i="49"/>
  <c r="C4647" i="49"/>
  <c r="C4882" i="49"/>
  <c r="C4875" i="49"/>
  <c r="C4868" i="49"/>
  <c r="C4855" i="49"/>
  <c r="C4846" i="49"/>
  <c r="C4833" i="49"/>
  <c r="C4820" i="49"/>
  <c r="C4810" i="49"/>
  <c r="C4807" i="49"/>
  <c r="C4797" i="49"/>
  <c r="C4784" i="49"/>
  <c r="C4771" i="49"/>
  <c r="C4640" i="49"/>
  <c r="C4630" i="49"/>
  <c r="C4809" i="49"/>
  <c r="C4644" i="49"/>
  <c r="C4718" i="49"/>
  <c r="C4699" i="49"/>
  <c r="C4695" i="49"/>
  <c r="C4664" i="49"/>
  <c r="C4852" i="49"/>
  <c r="C4813" i="49"/>
  <c r="C4803" i="49"/>
  <c r="C4900" i="49"/>
  <c r="C4894" i="49"/>
  <c r="C4761" i="49"/>
  <c r="C4749" i="49"/>
  <c r="C4738" i="49"/>
  <c r="C4726" i="49"/>
  <c r="C4681" i="49"/>
  <c r="C4651" i="49"/>
  <c r="C4783" i="49"/>
  <c r="C4633" i="49"/>
  <c r="C4905" i="49"/>
  <c r="C4744" i="49"/>
  <c r="C4687" i="49"/>
  <c r="C4677" i="49"/>
  <c r="C4657" i="49"/>
  <c r="C4653" i="49"/>
  <c r="C4636" i="49"/>
  <c r="C4897" i="49"/>
  <c r="C4826" i="49"/>
  <c r="C4790" i="49"/>
  <c r="C4768" i="49"/>
  <c r="C4645" i="49"/>
  <c r="C4665" i="49"/>
  <c r="C4725" i="49"/>
  <c r="C4713" i="49"/>
  <c r="C4702" i="49"/>
  <c r="C4690" i="49"/>
  <c r="C4676" i="49"/>
  <c r="C4671" i="49"/>
  <c r="C4660" i="49"/>
  <c r="C4652" i="49"/>
  <c r="C4648" i="49"/>
  <c r="C4754" i="49"/>
  <c r="C4705" i="49"/>
  <c r="C4874" i="49"/>
  <c r="C4773" i="49"/>
  <c r="C4735" i="49"/>
  <c r="C4670" i="49"/>
  <c r="C4635" i="49"/>
  <c r="C4786" i="49"/>
  <c r="C4822" i="49"/>
  <c r="C4723" i="49"/>
  <c r="C4662" i="49"/>
  <c r="C4638" i="49"/>
  <c r="C4917" i="49"/>
  <c r="C4796" i="49"/>
  <c r="C4731" i="49"/>
  <c r="C4683" i="49"/>
  <c r="C4674" i="49"/>
  <c r="C4634" i="49"/>
  <c r="C4916" i="49"/>
  <c r="C4892" i="49"/>
  <c r="C4759" i="49"/>
  <c r="C4689" i="49"/>
  <c r="C4910" i="49"/>
  <c r="C4816" i="49"/>
  <c r="C4777" i="49"/>
  <c r="C4663" i="49"/>
  <c r="C4629" i="49"/>
  <c r="C4839" i="49"/>
  <c r="C4712" i="49"/>
  <c r="C4680" i="49"/>
  <c r="C4700" i="49"/>
  <c r="C4650" i="49"/>
  <c r="C4641" i="49"/>
  <c r="C4658" i="49"/>
  <c r="K20" i="38"/>
  <c r="J20" i="38"/>
  <c r="L20" i="38"/>
  <c r="D20" i="40" s="1"/>
  <c r="I5" i="40"/>
  <c r="H5" i="40"/>
  <c r="G283" i="46"/>
  <c r="G496" i="46"/>
  <c r="M500" i="49"/>
  <c r="P500" i="49"/>
  <c r="H500" i="49"/>
  <c r="G500" i="49"/>
  <c r="M1259" i="49"/>
  <c r="G1259" i="49"/>
  <c r="M1398" i="49"/>
  <c r="G1398" i="49"/>
  <c r="J2" i="16"/>
  <c r="E16" i="16"/>
  <c r="E30" i="16"/>
  <c r="E34" i="16"/>
  <c r="E38" i="16"/>
  <c r="E44" i="16"/>
  <c r="F17" i="18"/>
  <c r="F27" i="18"/>
  <c r="F31" i="18"/>
  <c r="F35" i="18"/>
  <c r="F79" i="18"/>
  <c r="F33" i="24"/>
  <c r="F38" i="24"/>
  <c r="F85" i="26"/>
  <c r="E29" i="28"/>
  <c r="E27" i="28"/>
  <c r="E33" i="28"/>
  <c r="E31" i="28"/>
  <c r="C7" i="40"/>
  <c r="G146" i="46"/>
  <c r="G136" i="46"/>
  <c r="G112" i="46"/>
  <c r="G103" i="46"/>
  <c r="G131" i="46"/>
  <c r="G121" i="46"/>
  <c r="G107" i="46"/>
  <c r="G140" i="46"/>
  <c r="G115" i="46"/>
  <c r="G139" i="46"/>
  <c r="C10" i="40"/>
  <c r="C15" i="40"/>
  <c r="G532" i="46"/>
  <c r="P406" i="49"/>
  <c r="M406" i="49"/>
  <c r="H406" i="49"/>
  <c r="G406" i="49"/>
  <c r="Q525" i="49"/>
  <c r="J525" i="49"/>
  <c r="M768" i="49"/>
  <c r="P768" i="49"/>
  <c r="G768" i="49"/>
  <c r="F16" i="16"/>
  <c r="F30" i="16"/>
  <c r="F34" i="16"/>
  <c r="F38" i="16"/>
  <c r="F44" i="16"/>
  <c r="E44" i="18"/>
  <c r="F29" i="24"/>
  <c r="F34" i="24"/>
  <c r="E37" i="28"/>
  <c r="F38" i="28"/>
  <c r="G21" i="40"/>
  <c r="I21" i="40"/>
  <c r="G251" i="46"/>
  <c r="G265" i="46"/>
  <c r="G284" i="46"/>
  <c r="G491" i="46"/>
  <c r="H409" i="49"/>
  <c r="M409" i="49"/>
  <c r="G409" i="49"/>
  <c r="P409" i="49"/>
  <c r="M614" i="49"/>
  <c r="G614" i="49"/>
  <c r="P638" i="49"/>
  <c r="G638" i="49"/>
  <c r="M792" i="49"/>
  <c r="G792" i="49"/>
  <c r="G1591" i="49"/>
  <c r="G12" i="16"/>
  <c r="F72" i="16"/>
  <c r="J2" i="18"/>
  <c r="E16" i="18"/>
  <c r="E30" i="18"/>
  <c r="E34" i="18"/>
  <c r="E38" i="18"/>
  <c r="F44" i="18"/>
  <c r="E79" i="23"/>
  <c r="F79" i="26"/>
  <c r="E15" i="28"/>
  <c r="F37" i="28"/>
  <c r="P635" i="49"/>
  <c r="G635" i="49"/>
  <c r="M635" i="49"/>
  <c r="G248" i="46"/>
  <c r="G291" i="46"/>
  <c r="G272" i="46"/>
  <c r="G247" i="46"/>
  <c r="G271" i="46"/>
  <c r="G517" i="46"/>
  <c r="G506" i="46"/>
  <c r="G499" i="46"/>
  <c r="G520" i="46"/>
  <c r="G488" i="46"/>
  <c r="G531" i="46"/>
  <c r="G503" i="46"/>
  <c r="G487" i="46"/>
  <c r="G524" i="46"/>
  <c r="F8" i="40"/>
  <c r="H8" i="40"/>
  <c r="E8" i="40"/>
  <c r="J8" i="40"/>
  <c r="G127" i="46"/>
  <c r="G279" i="46"/>
  <c r="G527" i="46"/>
  <c r="M297" i="49"/>
  <c r="G297" i="49"/>
  <c r="P297" i="49"/>
  <c r="H297" i="49"/>
  <c r="M410" i="49"/>
  <c r="P410" i="49"/>
  <c r="G410" i="49"/>
  <c r="H410" i="49"/>
  <c r="H517" i="49"/>
  <c r="P517" i="49"/>
  <c r="M517" i="49"/>
  <c r="G517" i="49"/>
  <c r="P557" i="49"/>
  <c r="M557" i="49"/>
  <c r="H557" i="49"/>
  <c r="G557" i="49"/>
  <c r="M1528" i="49"/>
  <c r="G1528" i="49"/>
  <c r="M1591" i="49"/>
  <c r="B134" i="13"/>
  <c r="E15" i="16"/>
  <c r="E29" i="16"/>
  <c r="E33" i="16"/>
  <c r="E37" i="16"/>
  <c r="E37" i="8" s="1"/>
  <c r="F16" i="18"/>
  <c r="F30" i="18"/>
  <c r="F34" i="18"/>
  <c r="F38" i="18"/>
  <c r="E14" i="24"/>
  <c r="F30" i="24"/>
  <c r="E79" i="24"/>
  <c r="E85" i="24"/>
  <c r="E80" i="24"/>
  <c r="E38" i="25"/>
  <c r="E36" i="25"/>
  <c r="E31" i="25"/>
  <c r="F37" i="25"/>
  <c r="F33" i="25"/>
  <c r="F29" i="25"/>
  <c r="F15" i="25"/>
  <c r="F72" i="25"/>
  <c r="G12" i="25"/>
  <c r="F27" i="25"/>
  <c r="F18" i="25"/>
  <c r="E17" i="25"/>
  <c r="F28" i="25"/>
  <c r="E44" i="25"/>
  <c r="F15" i="28"/>
  <c r="E16" i="28"/>
  <c r="E17" i="28"/>
  <c r="G95" i="46"/>
  <c r="G87" i="46"/>
  <c r="G74" i="46"/>
  <c r="G69" i="46"/>
  <c r="G99" i="46"/>
  <c r="G61" i="46"/>
  <c r="G56" i="46"/>
  <c r="G76" i="46"/>
  <c r="G59" i="46"/>
  <c r="C6" i="40"/>
  <c r="I13" i="40"/>
  <c r="A52" i="1"/>
  <c r="C22" i="39"/>
  <c r="G64" i="46"/>
  <c r="G81" i="46"/>
  <c r="G147" i="46"/>
  <c r="M440" i="49"/>
  <c r="P440" i="49"/>
  <c r="H440" i="49"/>
  <c r="G440" i="49"/>
  <c r="M638" i="49"/>
  <c r="M962" i="49"/>
  <c r="G962" i="49"/>
  <c r="M464" i="49"/>
  <c r="H464" i="49"/>
  <c r="G464" i="49"/>
  <c r="P464" i="49"/>
  <c r="H571" i="49"/>
  <c r="G571" i="49"/>
  <c r="P571" i="49"/>
  <c r="M571" i="49"/>
  <c r="H579" i="49"/>
  <c r="G579" i="49"/>
  <c r="P579" i="49"/>
  <c r="M579" i="49"/>
  <c r="M852" i="49"/>
  <c r="G852" i="49"/>
  <c r="M1070" i="49"/>
  <c r="M1403" i="49"/>
  <c r="G1403" i="49"/>
  <c r="G1581" i="49"/>
  <c r="M1581" i="49"/>
  <c r="F82" i="31"/>
  <c r="F80" i="31"/>
  <c r="F85" i="31"/>
  <c r="F79" i="31"/>
  <c r="A42" i="1"/>
  <c r="C12" i="39"/>
  <c r="G12" i="39"/>
  <c r="F12" i="39"/>
  <c r="E12" i="39"/>
  <c r="G343" i="46"/>
  <c r="G387" i="46"/>
  <c r="M303" i="49"/>
  <c r="G303" i="49"/>
  <c r="H303" i="49"/>
  <c r="P303" i="49"/>
  <c r="H413" i="49"/>
  <c r="G413" i="49"/>
  <c r="M413" i="49"/>
  <c r="P496" i="49"/>
  <c r="M496" i="49"/>
  <c r="H496" i="49"/>
  <c r="G496" i="49"/>
  <c r="M654" i="49"/>
  <c r="G654" i="49"/>
  <c r="M1007" i="49"/>
  <c r="G1007" i="49"/>
  <c r="P1007" i="49"/>
  <c r="E36" i="23"/>
  <c r="E32" i="23"/>
  <c r="E28" i="23"/>
  <c r="E18" i="23"/>
  <c r="E14" i="23"/>
  <c r="E27" i="23"/>
  <c r="E29" i="23"/>
  <c r="G44" i="30"/>
  <c r="G37" i="30"/>
  <c r="G32" i="30"/>
  <c r="G15" i="30"/>
  <c r="G19" i="30" s="1"/>
  <c r="G30" i="30"/>
  <c r="G18" i="30"/>
  <c r="M1356" i="49"/>
  <c r="G1356" i="49"/>
  <c r="M2544" i="49"/>
  <c r="G2544" i="49"/>
  <c r="G481" i="46"/>
  <c r="G470" i="46"/>
  <c r="C5201" i="49"/>
  <c r="C5195" i="49"/>
  <c r="C5189" i="49"/>
  <c r="C5183" i="49"/>
  <c r="C5177" i="49"/>
  <c r="C5171" i="49"/>
  <c r="C5165" i="49"/>
  <c r="C5159" i="49"/>
  <c r="C5153" i="49"/>
  <c r="C5147" i="49"/>
  <c r="C5141" i="49"/>
  <c r="C5135" i="49"/>
  <c r="C5129" i="49"/>
  <c r="C5123" i="49"/>
  <c r="C5117" i="49"/>
  <c r="C5111" i="49"/>
  <c r="C5105" i="49"/>
  <c r="C5099" i="49"/>
  <c r="C5093" i="49"/>
  <c r="C5087" i="49"/>
  <c r="C5081" i="49"/>
  <c r="C5075" i="49"/>
  <c r="C5200" i="49"/>
  <c r="C5196" i="49"/>
  <c r="C5179" i="49"/>
  <c r="C5202" i="49"/>
  <c r="C5192" i="49"/>
  <c r="C5172" i="49"/>
  <c r="C5155" i="49"/>
  <c r="C5138" i="49"/>
  <c r="C5121" i="49"/>
  <c r="C5104" i="49"/>
  <c r="C5100" i="49"/>
  <c r="C5083" i="49"/>
  <c r="C5206" i="49"/>
  <c r="C5186" i="49"/>
  <c r="C5199" i="49"/>
  <c r="C5204" i="49"/>
  <c r="C5197" i="49"/>
  <c r="C5162" i="49"/>
  <c r="C5152" i="49"/>
  <c r="C5142" i="49"/>
  <c r="C5132" i="49"/>
  <c r="C5122" i="49"/>
  <c r="C5112" i="49"/>
  <c r="C5102" i="49"/>
  <c r="C5092" i="49"/>
  <c r="C5082" i="49"/>
  <c r="C5072" i="49"/>
  <c r="C5064" i="49"/>
  <c r="C5060" i="49"/>
  <c r="C5055" i="49"/>
  <c r="C5049" i="49"/>
  <c r="C5043" i="49"/>
  <c r="C5037" i="49"/>
  <c r="C5031" i="49"/>
  <c r="C5025" i="49"/>
  <c r="C5019" i="49"/>
  <c r="C5013" i="49"/>
  <c r="C5007" i="49"/>
  <c r="C5190" i="49"/>
  <c r="C5185" i="49"/>
  <c r="C5175" i="49"/>
  <c r="C5169" i="49"/>
  <c r="C5149" i="49"/>
  <c r="C5139" i="49"/>
  <c r="C5119" i="49"/>
  <c r="C5109" i="49"/>
  <c r="C5089" i="49"/>
  <c r="C5188" i="49"/>
  <c r="C5182" i="49"/>
  <c r="C5167" i="49"/>
  <c r="C5160" i="49"/>
  <c r="C5136" i="49"/>
  <c r="C5131" i="49"/>
  <c r="C5107" i="49"/>
  <c r="C5080" i="49"/>
  <c r="C5062" i="49"/>
  <c r="C5042" i="49"/>
  <c r="C5038" i="49"/>
  <c r="C5021" i="49"/>
  <c r="C5004" i="49"/>
  <c r="C4998" i="49"/>
  <c r="C4992" i="49"/>
  <c r="C4986" i="49"/>
  <c r="C4980" i="49"/>
  <c r="C4974" i="49"/>
  <c r="C4968" i="49"/>
  <c r="C4962" i="49"/>
  <c r="C4956" i="49"/>
  <c r="C4950" i="49"/>
  <c r="C4944" i="49"/>
  <c r="C4938" i="49"/>
  <c r="C4932" i="49"/>
  <c r="C5174" i="49"/>
  <c r="C5148" i="49"/>
  <c r="C5203" i="49"/>
  <c r="C5163" i="49"/>
  <c r="C5158" i="49"/>
  <c r="C5156" i="49"/>
  <c r="C5151" i="49"/>
  <c r="C5127" i="49"/>
  <c r="C5103" i="49"/>
  <c r="C5098" i="49"/>
  <c r="C5096" i="49"/>
  <c r="C5078" i="49"/>
  <c r="C5063" i="49"/>
  <c r="C5052" i="49"/>
  <c r="C5035" i="49"/>
  <c r="C5018" i="49"/>
  <c r="C5014" i="49"/>
  <c r="C5000" i="49"/>
  <c r="C4994" i="49"/>
  <c r="C4988" i="49"/>
  <c r="C4982" i="49"/>
  <c r="C4976" i="49"/>
  <c r="C4970" i="49"/>
  <c r="C4964" i="49"/>
  <c r="C5194" i="49"/>
  <c r="C5181" i="49"/>
  <c r="C5168" i="49"/>
  <c r="C5154" i="49"/>
  <c r="C5205" i="49"/>
  <c r="C5173" i="49"/>
  <c r="C5140" i="49"/>
  <c r="C5073" i="49"/>
  <c r="C5059" i="49"/>
  <c r="C5051" i="49"/>
  <c r="C5040" i="49"/>
  <c r="C5001" i="49"/>
  <c r="C5170" i="49"/>
  <c r="C5125" i="49"/>
  <c r="C5193" i="49"/>
  <c r="C5144" i="49"/>
  <c r="C5118" i="49"/>
  <c r="C5113" i="49"/>
  <c r="C5101" i="49"/>
  <c r="C5079" i="49"/>
  <c r="C5067" i="49"/>
  <c r="C5056" i="49"/>
  <c r="C5020" i="49"/>
  <c r="C5008" i="49"/>
  <c r="C5003" i="49"/>
  <c r="C4995" i="49"/>
  <c r="C4985" i="49"/>
  <c r="C4972" i="49"/>
  <c r="C4946" i="49"/>
  <c r="C4929" i="49"/>
  <c r="C5130" i="49"/>
  <c r="C5128" i="49"/>
  <c r="C5108" i="49"/>
  <c r="C5094" i="49"/>
  <c r="C5077" i="49"/>
  <c r="C5065" i="49"/>
  <c r="C5184" i="49"/>
  <c r="C5176" i="49"/>
  <c r="C5150" i="49"/>
  <c r="C5120" i="49"/>
  <c r="C5054" i="49"/>
  <c r="C5030" i="49"/>
  <c r="C5006" i="49"/>
  <c r="C4989" i="49"/>
  <c r="C4979" i="49"/>
  <c r="C4966" i="49"/>
  <c r="C4955" i="49"/>
  <c r="C4951" i="49"/>
  <c r="C4934" i="49"/>
  <c r="C5187" i="49"/>
  <c r="C5143" i="49"/>
  <c r="C5076" i="49"/>
  <c r="C5070" i="49"/>
  <c r="C5097" i="49"/>
  <c r="C5047" i="49"/>
  <c r="C5011" i="49"/>
  <c r="C5009" i="49"/>
  <c r="C5005" i="49"/>
  <c r="C4945" i="49"/>
  <c r="C4928" i="49"/>
  <c r="C4919" i="49"/>
  <c r="C5164" i="49"/>
  <c r="C5133" i="49"/>
  <c r="C5090" i="49"/>
  <c r="C5074" i="49"/>
  <c r="C5071" i="49"/>
  <c r="C5068" i="49"/>
  <c r="C4999" i="49"/>
  <c r="C4990" i="49"/>
  <c r="C4983" i="49"/>
  <c r="C4978" i="49"/>
  <c r="C4971" i="49"/>
  <c r="C4959" i="49"/>
  <c r="C4948" i="49"/>
  <c r="C4925" i="49"/>
  <c r="C5180" i="49"/>
  <c r="C5114" i="49"/>
  <c r="C5110" i="49"/>
  <c r="C5086" i="49"/>
  <c r="C5023" i="49"/>
  <c r="C5017" i="49"/>
  <c r="C5015" i="49"/>
  <c r="C4940" i="49"/>
  <c r="C4937" i="49"/>
  <c r="C4920" i="49"/>
  <c r="C5198" i="49"/>
  <c r="C5178" i="49"/>
  <c r="C5124" i="49"/>
  <c r="C5044" i="49"/>
  <c r="C4967" i="49"/>
  <c r="C4960" i="49"/>
  <c r="C5191" i="49"/>
  <c r="C5166" i="49"/>
  <c r="C5145" i="49"/>
  <c r="C5066" i="49"/>
  <c r="C5058" i="49"/>
  <c r="C5050" i="49"/>
  <c r="C5033" i="49"/>
  <c r="C5024" i="49"/>
  <c r="C4981" i="49"/>
  <c r="C4958" i="49"/>
  <c r="C4939" i="49"/>
  <c r="C5115" i="49"/>
  <c r="C5061" i="49"/>
  <c r="C5002" i="49"/>
  <c r="C5137" i="49"/>
  <c r="C5126" i="49"/>
  <c r="C5088" i="49"/>
  <c r="C5057" i="49"/>
  <c r="C5053" i="49"/>
  <c r="C5046" i="49"/>
  <c r="C5036" i="49"/>
  <c r="C4991" i="49"/>
  <c r="C4973" i="49"/>
  <c r="C4965" i="49"/>
  <c r="C4953" i="49"/>
  <c r="C4941" i="49"/>
  <c r="C5157" i="49"/>
  <c r="C5039" i="49"/>
  <c r="C4996" i="49"/>
  <c r="C4943" i="49"/>
  <c r="C4927" i="49"/>
  <c r="C5029" i="49"/>
  <c r="C4993" i="49"/>
  <c r="C5010" i="49"/>
  <c r="C5146" i="49"/>
  <c r="C5095" i="49"/>
  <c r="C5034" i="49"/>
  <c r="C4977" i="49"/>
  <c r="C5048" i="49"/>
  <c r="C4997" i="49"/>
  <c r="C4969" i="49"/>
  <c r="C4947" i="49"/>
  <c r="C4930" i="49"/>
  <c r="C5069" i="49"/>
  <c r="C5028" i="49"/>
  <c r="C5022" i="49"/>
  <c r="C4954" i="49"/>
  <c r="C4926" i="49"/>
  <c r="C4949" i="49"/>
  <c r="C4933" i="49"/>
  <c r="C4922" i="49"/>
  <c r="C5027" i="49"/>
  <c r="C5134" i="49"/>
  <c r="C5041" i="49"/>
  <c r="C4923" i="49"/>
  <c r="C5116" i="49"/>
  <c r="C4963" i="49"/>
  <c r="C4918" i="49"/>
  <c r="C4952" i="49"/>
  <c r="C4942" i="49"/>
  <c r="C5161" i="49"/>
  <c r="C5032" i="49"/>
  <c r="C4987" i="49"/>
  <c r="C4975" i="49"/>
  <c r="C4931" i="49"/>
  <c r="C4935" i="49"/>
  <c r="C5091" i="49"/>
  <c r="C5085" i="49"/>
  <c r="C5016" i="49"/>
  <c r="C5012" i="49"/>
  <c r="C4961" i="49"/>
  <c r="C4924" i="49"/>
  <c r="C5045" i="49"/>
  <c r="C4984" i="49"/>
  <c r="C4921" i="49"/>
  <c r="C4957" i="49"/>
  <c r="C5106" i="49"/>
  <c r="C5084" i="49"/>
  <c r="C4936" i="49"/>
  <c r="C5026" i="49"/>
  <c r="I21" i="38"/>
  <c r="L21" i="38"/>
  <c r="D21" i="40" s="1"/>
  <c r="J21" i="38"/>
  <c r="G14" i="40"/>
  <c r="F14" i="40"/>
  <c r="H14" i="40"/>
  <c r="E14" i="40"/>
  <c r="G16" i="40"/>
  <c r="D12" i="39"/>
  <c r="A43" i="1"/>
  <c r="C13" i="39"/>
  <c r="P1905" i="49" s="1"/>
  <c r="F13" i="39"/>
  <c r="A50" i="1"/>
  <c r="C20" i="39"/>
  <c r="G20" i="39"/>
  <c r="F20" i="39"/>
  <c r="E20" i="39"/>
  <c r="G232" i="46"/>
  <c r="G344" i="46"/>
  <c r="G363" i="46"/>
  <c r="G373" i="46"/>
  <c r="G383" i="46"/>
  <c r="G431" i="46"/>
  <c r="G460" i="46"/>
  <c r="P377" i="49"/>
  <c r="M377" i="49"/>
  <c r="G377" i="49"/>
  <c r="H377" i="49"/>
  <c r="M392" i="49"/>
  <c r="H392" i="49"/>
  <c r="G392" i="49"/>
  <c r="P392" i="49"/>
  <c r="P413" i="49"/>
  <c r="M566" i="49"/>
  <c r="H566" i="49"/>
  <c r="G566" i="49"/>
  <c r="G583" i="49"/>
  <c r="P583" i="49"/>
  <c r="M583" i="49"/>
  <c r="G995" i="49"/>
  <c r="M1033" i="49"/>
  <c r="G1033" i="49"/>
  <c r="G1554" i="49"/>
  <c r="M1554" i="49"/>
  <c r="M1804" i="49"/>
  <c r="G1804" i="49"/>
  <c r="J9" i="40"/>
  <c r="I9" i="40"/>
  <c r="H9" i="40"/>
  <c r="G11" i="40"/>
  <c r="F11" i="40"/>
  <c r="A40" i="1"/>
  <c r="C10" i="39"/>
  <c r="P1070" i="49" s="1"/>
  <c r="A47" i="1"/>
  <c r="C17" i="39"/>
  <c r="F17" i="39"/>
  <c r="A54" i="1"/>
  <c r="C24" i="39"/>
  <c r="G24" i="39"/>
  <c r="F24" i="39"/>
  <c r="E24" i="39"/>
  <c r="G451" i="46"/>
  <c r="G471" i="46"/>
  <c r="P371" i="49"/>
  <c r="M371" i="49"/>
  <c r="P393" i="49"/>
  <c r="M393" i="49"/>
  <c r="G393" i="49"/>
  <c r="H415" i="49"/>
  <c r="P415" i="49"/>
  <c r="M415" i="49"/>
  <c r="G415" i="49"/>
  <c r="P483" i="49"/>
  <c r="M483" i="49"/>
  <c r="H483" i="49"/>
  <c r="P551" i="49"/>
  <c r="M551" i="49"/>
  <c r="H551" i="49"/>
  <c r="G551" i="49"/>
  <c r="P680" i="49"/>
  <c r="M680" i="49"/>
  <c r="G680" i="49"/>
  <c r="M2253" i="49"/>
  <c r="G2253" i="49"/>
  <c r="E15" i="31"/>
  <c r="E18" i="31"/>
  <c r="F36" i="31"/>
  <c r="F32" i="31"/>
  <c r="F28" i="31"/>
  <c r="F18" i="31"/>
  <c r="F14" i="31"/>
  <c r="F35" i="31"/>
  <c r="F30" i="31"/>
  <c r="F16" i="31"/>
  <c r="A44" i="1"/>
  <c r="C14" i="39"/>
  <c r="A51" i="1"/>
  <c r="C21" i="39"/>
  <c r="F21" i="39"/>
  <c r="G359" i="46"/>
  <c r="G388" i="46"/>
  <c r="G398" i="46"/>
  <c r="G427" i="46"/>
  <c r="M309" i="49"/>
  <c r="G309" i="49"/>
  <c r="H309" i="49"/>
  <c r="M315" i="49"/>
  <c r="G315" i="49"/>
  <c r="H315" i="49"/>
  <c r="P322" i="49"/>
  <c r="M322" i="49"/>
  <c r="G322" i="49"/>
  <c r="G371" i="49"/>
  <c r="M386" i="49"/>
  <c r="H386" i="49"/>
  <c r="H393" i="49"/>
  <c r="M401" i="49"/>
  <c r="H401" i="49"/>
  <c r="P401" i="49"/>
  <c r="P461" i="49"/>
  <c r="M461" i="49"/>
  <c r="H461" i="49"/>
  <c r="G461" i="49"/>
  <c r="P491" i="49"/>
  <c r="H491" i="49"/>
  <c r="M491" i="49"/>
  <c r="G491" i="49"/>
  <c r="P521" i="49"/>
  <c r="M521" i="49"/>
  <c r="G521" i="49"/>
  <c r="P692" i="49"/>
  <c r="G692" i="49"/>
  <c r="M692" i="49"/>
  <c r="M716" i="49"/>
  <c r="G716" i="49"/>
  <c r="P775" i="49"/>
  <c r="M775" i="49"/>
  <c r="G775" i="49"/>
  <c r="M893" i="49"/>
  <c r="G893" i="49"/>
  <c r="M1211" i="49"/>
  <c r="M1314" i="49"/>
  <c r="E34" i="23"/>
  <c r="C5" i="25"/>
  <c r="F36" i="26"/>
  <c r="F32" i="26"/>
  <c r="F28" i="26"/>
  <c r="F18" i="26"/>
  <c r="F14" i="26"/>
  <c r="F19" i="26" s="1"/>
  <c r="F38" i="26"/>
  <c r="E44" i="27"/>
  <c r="E38" i="27"/>
  <c r="E34" i="27"/>
  <c r="E30" i="27"/>
  <c r="E16" i="27"/>
  <c r="J2" i="27"/>
  <c r="E27" i="27"/>
  <c r="C79" i="28"/>
  <c r="J3" i="28"/>
  <c r="E38" i="28"/>
  <c r="E82" i="28"/>
  <c r="G12" i="31"/>
  <c r="F29" i="31"/>
  <c r="C9" i="40"/>
  <c r="D10" i="39"/>
  <c r="E13" i="39"/>
  <c r="D17" i="39"/>
  <c r="A48" i="1"/>
  <c r="C18" i="39"/>
  <c r="D24" i="39"/>
  <c r="G423" i="46"/>
  <c r="G452" i="46"/>
  <c r="P315" i="49"/>
  <c r="H322" i="49"/>
  <c r="H371" i="49"/>
  <c r="G386" i="49"/>
  <c r="G401" i="49"/>
  <c r="M470" i="49"/>
  <c r="P470" i="49"/>
  <c r="H470" i="49"/>
  <c r="G470" i="49"/>
  <c r="H521" i="49"/>
  <c r="P544" i="49"/>
  <c r="M544" i="49"/>
  <c r="H544" i="49"/>
  <c r="H569" i="49"/>
  <c r="G569" i="49"/>
  <c r="P569" i="49"/>
  <c r="M1079" i="49"/>
  <c r="G1079" i="49"/>
  <c r="P1079" i="49"/>
  <c r="G1211" i="49"/>
  <c r="G1314" i="49"/>
  <c r="G625" i="46"/>
  <c r="G650" i="46"/>
  <c r="G661" i="46"/>
  <c r="G686" i="46"/>
  <c r="G697" i="46"/>
  <c r="G722" i="46"/>
  <c r="G733" i="46"/>
  <c r="G794" i="46"/>
  <c r="P340" i="49"/>
  <c r="M340" i="49"/>
  <c r="M398" i="49"/>
  <c r="P398" i="49"/>
  <c r="H398" i="49"/>
  <c r="G398" i="49"/>
  <c r="P444" i="49"/>
  <c r="M444" i="49"/>
  <c r="H444" i="49"/>
  <c r="G444" i="49"/>
  <c r="P479" i="49"/>
  <c r="H479" i="49"/>
  <c r="G479" i="49"/>
  <c r="M490" i="49"/>
  <c r="H490" i="49"/>
  <c r="P490" i="49"/>
  <c r="G490" i="49"/>
  <c r="H502" i="49"/>
  <c r="G502" i="49"/>
  <c r="P525" i="49"/>
  <c r="M525" i="49"/>
  <c r="H529" i="49"/>
  <c r="P529" i="49"/>
  <c r="M529" i="49"/>
  <c r="H553" i="49"/>
  <c r="G553" i="49"/>
  <c r="M553" i="49"/>
  <c r="C586" i="49"/>
  <c r="C596" i="49"/>
  <c r="C603" i="49"/>
  <c r="C662" i="49"/>
  <c r="C721" i="49"/>
  <c r="C745" i="49"/>
  <c r="C780" i="49"/>
  <c r="C804" i="49"/>
  <c r="C828" i="49"/>
  <c r="C863" i="49"/>
  <c r="M902" i="49"/>
  <c r="G902" i="49"/>
  <c r="G910" i="49"/>
  <c r="M917" i="49"/>
  <c r="M1100" i="49"/>
  <c r="G1100" i="49"/>
  <c r="C1261" i="49"/>
  <c r="C1462" i="49"/>
  <c r="C1758" i="49"/>
  <c r="C341" i="49"/>
  <c r="C369" i="49"/>
  <c r="C376" i="49"/>
  <c r="C418" i="49"/>
  <c r="C453" i="49"/>
  <c r="P502" i="49"/>
  <c r="C530" i="49"/>
  <c r="C580" i="49"/>
  <c r="C590" i="49"/>
  <c r="C764" i="49"/>
  <c r="C823" i="49"/>
  <c r="C847" i="49"/>
  <c r="M1057" i="49"/>
  <c r="C1662" i="49"/>
  <c r="C1815" i="49"/>
  <c r="C1929" i="49"/>
  <c r="C2044" i="49"/>
  <c r="L5" i="38"/>
  <c r="D5" i="40" s="1"/>
  <c r="L6" i="38"/>
  <c r="D6" i="40" s="1"/>
  <c r="L8" i="38"/>
  <c r="D8" i="40" s="1"/>
  <c r="L9" i="38"/>
  <c r="D9" i="40" s="1"/>
  <c r="L10" i="38"/>
  <c r="D10" i="40" s="1"/>
  <c r="K11" i="38"/>
  <c r="K12" i="38"/>
  <c r="I14" i="38"/>
  <c r="K15" i="38"/>
  <c r="K16" i="38"/>
  <c r="J17" i="38"/>
  <c r="G11" i="46"/>
  <c r="G122" i="46"/>
  <c r="G133" i="46"/>
  <c r="G158" i="46"/>
  <c r="G169" i="46"/>
  <c r="G194" i="46"/>
  <c r="G205" i="46"/>
  <c r="G230" i="46"/>
  <c r="G241" i="46"/>
  <c r="G266" i="46"/>
  <c r="G277" i="46"/>
  <c r="G302" i="46"/>
  <c r="G313" i="46"/>
  <c r="G338" i="46"/>
  <c r="G349" i="46"/>
  <c r="G374" i="46"/>
  <c r="G385" i="46"/>
  <c r="G410" i="46"/>
  <c r="G421" i="46"/>
  <c r="G446" i="46"/>
  <c r="G457" i="46"/>
  <c r="G482" i="46"/>
  <c r="G493" i="46"/>
  <c r="G518" i="46"/>
  <c r="G529" i="46"/>
  <c r="G554" i="46"/>
  <c r="G565" i="46"/>
  <c r="G590" i="46"/>
  <c r="G601" i="46"/>
  <c r="G626" i="46"/>
  <c r="G637" i="46"/>
  <c r="G662" i="46"/>
  <c r="G673" i="46"/>
  <c r="G698" i="46"/>
  <c r="G709" i="46"/>
  <c r="G734" i="46"/>
  <c r="G745" i="46"/>
  <c r="G756" i="46"/>
  <c r="G787" i="46"/>
  <c r="C352" i="49"/>
  <c r="C359" i="49"/>
  <c r="C411" i="49"/>
  <c r="C426" i="49"/>
  <c r="C499" i="49"/>
  <c r="C503" i="49"/>
  <c r="C534" i="49"/>
  <c r="C584" i="49"/>
  <c r="C597" i="49"/>
  <c r="C617" i="49"/>
  <c r="C676" i="49"/>
  <c r="C700" i="49"/>
  <c r="C842" i="49"/>
  <c r="C866" i="49"/>
  <c r="G1057" i="49"/>
  <c r="C1216" i="49"/>
  <c r="C1373" i="49"/>
  <c r="C1479" i="49"/>
  <c r="C1933" i="49"/>
  <c r="C7" i="47"/>
  <c r="C10" i="47"/>
  <c r="E10" i="47" s="1"/>
  <c r="D5" i="47"/>
  <c r="E5" i="47" s="1"/>
  <c r="B5" i="48"/>
  <c r="D5" i="48" s="1"/>
  <c r="C582" i="49"/>
  <c r="C576" i="49"/>
  <c r="C570" i="49"/>
  <c r="C564" i="49"/>
  <c r="C558" i="49"/>
  <c r="C552" i="49"/>
  <c r="C546" i="49"/>
  <c r="C540" i="49"/>
  <c r="C581" i="49"/>
  <c r="C578" i="49"/>
  <c r="C568" i="49"/>
  <c r="C565" i="49"/>
  <c r="C555" i="49"/>
  <c r="C545" i="49"/>
  <c r="C542" i="49"/>
  <c r="C526" i="49"/>
  <c r="C522" i="49"/>
  <c r="C509" i="49"/>
  <c r="C505" i="49"/>
  <c r="C488" i="49"/>
  <c r="C471" i="49"/>
  <c r="C454" i="49"/>
  <c r="C450" i="49"/>
  <c r="C437" i="49"/>
  <c r="C433" i="49"/>
  <c r="C416" i="49"/>
  <c r="C399" i="49"/>
  <c r="C382" i="49"/>
  <c r="C535" i="49"/>
  <c r="C518" i="49"/>
  <c r="C501" i="49"/>
  <c r="C484" i="49"/>
  <c r="C480" i="49"/>
  <c r="C467" i="49"/>
  <c r="C463" i="49"/>
  <c r="C446" i="49"/>
  <c r="C429" i="49"/>
  <c r="C412" i="49"/>
  <c r="C408" i="49"/>
  <c r="C395" i="49"/>
  <c r="C391" i="49"/>
  <c r="C378" i="49"/>
  <c r="C372" i="49"/>
  <c r="C366" i="49"/>
  <c r="C360" i="49"/>
  <c r="C354" i="49"/>
  <c r="C348" i="49"/>
  <c r="C342" i="49"/>
  <c r="C336" i="49"/>
  <c r="C330" i="49"/>
  <c r="C324" i="49"/>
  <c r="C318" i="49"/>
  <c r="C312" i="49"/>
  <c r="C306" i="49"/>
  <c r="C300" i="49"/>
  <c r="C294" i="49"/>
  <c r="C575" i="49"/>
  <c r="C572" i="49"/>
  <c r="C562" i="49"/>
  <c r="C559" i="49"/>
  <c r="C549" i="49"/>
  <c r="C539" i="49"/>
  <c r="C531" i="49"/>
  <c r="C514" i="49"/>
  <c r="C510" i="49"/>
  <c r="C497" i="49"/>
  <c r="C493" i="49"/>
  <c r="C476" i="49"/>
  <c r="C459" i="49"/>
  <c r="C442" i="49"/>
  <c r="C438" i="49"/>
  <c r="C425" i="49"/>
  <c r="C421" i="49"/>
  <c r="C404" i="49"/>
  <c r="C387" i="49"/>
  <c r="G810" i="46"/>
  <c r="G798" i="46"/>
  <c r="G786" i="46"/>
  <c r="G774" i="46"/>
  <c r="G762" i="46"/>
  <c r="C527" i="49"/>
  <c r="C523" i="49"/>
  <c r="C506" i="49"/>
  <c r="C489" i="49"/>
  <c r="C472" i="49"/>
  <c r="C468" i="49"/>
  <c r="C455" i="49"/>
  <c r="C451" i="49"/>
  <c r="C434" i="49"/>
  <c r="C417" i="49"/>
  <c r="C400" i="49"/>
  <c r="C396" i="49"/>
  <c r="C383" i="49"/>
  <c r="C379" i="49"/>
  <c r="C373" i="49"/>
  <c r="C367" i="49"/>
  <c r="C361" i="49"/>
  <c r="C355" i="49"/>
  <c r="C349" i="49"/>
  <c r="C343" i="49"/>
  <c r="C337" i="49"/>
  <c r="C331" i="49"/>
  <c r="C325" i="49"/>
  <c r="C319" i="49"/>
  <c r="C313" i="49"/>
  <c r="C307" i="49"/>
  <c r="C301" i="49"/>
  <c r="C295" i="49"/>
  <c r="G817" i="46"/>
  <c r="C532" i="49"/>
  <c r="C528" i="49"/>
  <c r="C515" i="49"/>
  <c r="C511" i="49"/>
  <c r="C494" i="49"/>
  <c r="C477" i="49"/>
  <c r="C460" i="49"/>
  <c r="C456" i="49"/>
  <c r="C443" i="49"/>
  <c r="C439" i="49"/>
  <c r="C422" i="49"/>
  <c r="C405" i="49"/>
  <c r="C388" i="49"/>
  <c r="C384" i="49"/>
  <c r="C374" i="49"/>
  <c r="C368" i="49"/>
  <c r="C362" i="49"/>
  <c r="C356" i="49"/>
  <c r="C350" i="49"/>
  <c r="C344" i="49"/>
  <c r="C338" i="49"/>
  <c r="C332" i="49"/>
  <c r="C326" i="49"/>
  <c r="C320" i="49"/>
  <c r="C314" i="49"/>
  <c r="C308" i="49"/>
  <c r="C302" i="49"/>
  <c r="C296" i="49"/>
  <c r="C550" i="49"/>
  <c r="C538" i="49"/>
  <c r="C486" i="49"/>
  <c r="C457" i="49"/>
  <c r="C448" i="49"/>
  <c r="C430" i="49"/>
  <c r="C428" i="49"/>
  <c r="C419" i="49"/>
  <c r="C358" i="49"/>
  <c r="C327" i="49"/>
  <c r="C317" i="49"/>
  <c r="C305" i="49"/>
  <c r="G803" i="46"/>
  <c r="G785" i="46"/>
  <c r="G767" i="46"/>
  <c r="G742" i="46"/>
  <c r="G730" i="46"/>
  <c r="G718" i="46"/>
  <c r="G706" i="46"/>
  <c r="G694" i="46"/>
  <c r="G682" i="46"/>
  <c r="G670" i="46"/>
  <c r="G658" i="46"/>
  <c r="G646" i="46"/>
  <c r="G634" i="46"/>
  <c r="G622" i="46"/>
  <c r="G610" i="46"/>
  <c r="G598" i="46"/>
  <c r="G586" i="46"/>
  <c r="G574" i="46"/>
  <c r="G562" i="46"/>
  <c r="G550" i="46"/>
  <c r="G538" i="46"/>
  <c r="G526" i="46"/>
  <c r="G514" i="46"/>
  <c r="G502" i="46"/>
  <c r="G490" i="46"/>
  <c r="G478" i="46"/>
  <c r="G466" i="46"/>
  <c r="G454" i="46"/>
  <c r="G442" i="46"/>
  <c r="G430" i="46"/>
  <c r="G418" i="46"/>
  <c r="G406" i="46"/>
  <c r="G394" i="46"/>
  <c r="G382" i="46"/>
  <c r="G370" i="46"/>
  <c r="G358" i="46"/>
  <c r="G346" i="46"/>
  <c r="G334" i="46"/>
  <c r="G322" i="46"/>
  <c r="G310" i="46"/>
  <c r="G298" i="46"/>
  <c r="G286" i="46"/>
  <c r="G274" i="46"/>
  <c r="G262" i="46"/>
  <c r="G250" i="46"/>
  <c r="G238" i="46"/>
  <c r="G226" i="46"/>
  <c r="G214" i="46"/>
  <c r="G202" i="46"/>
  <c r="G190" i="46"/>
  <c r="G178" i="46"/>
  <c r="G166" i="46"/>
  <c r="G154" i="46"/>
  <c r="G142" i="46"/>
  <c r="G130" i="46"/>
  <c r="G118" i="46"/>
  <c r="G106" i="46"/>
  <c r="G94" i="46"/>
  <c r="G82" i="46"/>
  <c r="G70" i="46"/>
  <c r="G58" i="46"/>
  <c r="G46" i="46"/>
  <c r="G34" i="46"/>
  <c r="G22" i="46"/>
  <c r="C577" i="49"/>
  <c r="C524" i="49"/>
  <c r="C504" i="49"/>
  <c r="C495" i="49"/>
  <c r="C475" i="49"/>
  <c r="C466" i="49"/>
  <c r="C414" i="49"/>
  <c r="C385" i="49"/>
  <c r="C364" i="49"/>
  <c r="C333" i="49"/>
  <c r="C323" i="49"/>
  <c r="C299" i="49"/>
  <c r="G808" i="46"/>
  <c r="G795" i="46"/>
  <c r="G790" i="46"/>
  <c r="G772" i="46"/>
  <c r="G759" i="46"/>
  <c r="G754" i="46"/>
  <c r="G749" i="46"/>
  <c r="G737" i="46"/>
  <c r="G725" i="46"/>
  <c r="G713" i="46"/>
  <c r="G701" i="46"/>
  <c r="G689" i="46"/>
  <c r="G677" i="46"/>
  <c r="G665" i="46"/>
  <c r="G653" i="46"/>
  <c r="G641" i="46"/>
  <c r="G629" i="46"/>
  <c r="G617" i="46"/>
  <c r="G605" i="46"/>
  <c r="G593" i="46"/>
  <c r="G581" i="46"/>
  <c r="G569" i="46"/>
  <c r="G557" i="46"/>
  <c r="G545" i="46"/>
  <c r="G533" i="46"/>
  <c r="G521" i="46"/>
  <c r="G509" i="46"/>
  <c r="G497" i="46"/>
  <c r="G485" i="46"/>
  <c r="G473" i="46"/>
  <c r="G461" i="46"/>
  <c r="G449" i="46"/>
  <c r="G437" i="46"/>
  <c r="G425" i="46"/>
  <c r="G413" i="46"/>
  <c r="G401" i="46"/>
  <c r="G389" i="46"/>
  <c r="G377" i="46"/>
  <c r="G365" i="46"/>
  <c r="G353" i="46"/>
  <c r="G341" i="46"/>
  <c r="G329" i="46"/>
  <c r="G317" i="46"/>
  <c r="G305" i="46"/>
  <c r="G293" i="46"/>
  <c r="G281" i="46"/>
  <c r="G269" i="46"/>
  <c r="G257" i="46"/>
  <c r="G245" i="46"/>
  <c r="G233" i="46"/>
  <c r="G221" i="46"/>
  <c r="G209" i="46"/>
  <c r="G197" i="46"/>
  <c r="G185" i="46"/>
  <c r="G173" i="46"/>
  <c r="G161" i="46"/>
  <c r="G149" i="46"/>
  <c r="G137" i="46"/>
  <c r="G125" i="46"/>
  <c r="G113" i="46"/>
  <c r="G101" i="46"/>
  <c r="G89" i="46"/>
  <c r="G77" i="46"/>
  <c r="G65" i="46"/>
  <c r="G53" i="46"/>
  <c r="G41" i="46"/>
  <c r="G29" i="46"/>
  <c r="G17" i="46"/>
  <c r="G5" i="46"/>
  <c r="C567" i="49"/>
  <c r="C547" i="49"/>
  <c r="C533" i="49"/>
  <c r="C513" i="49"/>
  <c r="C452" i="49"/>
  <c r="C432" i="49"/>
  <c r="C423" i="49"/>
  <c r="C403" i="49"/>
  <c r="C394" i="49"/>
  <c r="C370" i="49"/>
  <c r="C339" i="49"/>
  <c r="C329" i="49"/>
  <c r="G813" i="46"/>
  <c r="G805" i="46"/>
  <c r="G800" i="46"/>
  <c r="G782" i="46"/>
  <c r="G777" i="46"/>
  <c r="G769" i="46"/>
  <c r="G764" i="46"/>
  <c r="G744" i="46"/>
  <c r="G732" i="46"/>
  <c r="G720" i="46"/>
  <c r="G708" i="46"/>
  <c r="G696" i="46"/>
  <c r="G684" i="46"/>
  <c r="G672" i="46"/>
  <c r="G660" i="46"/>
  <c r="G648" i="46"/>
  <c r="G636" i="46"/>
  <c r="G624" i="46"/>
  <c r="G612" i="46"/>
  <c r="G600" i="46"/>
  <c r="G588" i="46"/>
  <c r="G576" i="46"/>
  <c r="G564" i="46"/>
  <c r="G552" i="46"/>
  <c r="G540" i="46"/>
  <c r="G528" i="46"/>
  <c r="G516" i="46"/>
  <c r="G504" i="46"/>
  <c r="G492" i="46"/>
  <c r="G480" i="46"/>
  <c r="G468" i="46"/>
  <c r="G456" i="46"/>
  <c r="G444" i="46"/>
  <c r="G432" i="46"/>
  <c r="G420" i="46"/>
  <c r="G408" i="46"/>
  <c r="G396" i="46"/>
  <c r="G384" i="46"/>
  <c r="G372" i="46"/>
  <c r="G360" i="46"/>
  <c r="G348" i="46"/>
  <c r="G336" i="46"/>
  <c r="G324" i="46"/>
  <c r="G312" i="46"/>
  <c r="G300" i="46"/>
  <c r="G288" i="46"/>
  <c r="G276" i="46"/>
  <c r="G264" i="46"/>
  <c r="G252" i="46"/>
  <c r="G240" i="46"/>
  <c r="G228" i="46"/>
  <c r="G216" i="46"/>
  <c r="G204" i="46"/>
  <c r="G192" i="46"/>
  <c r="G180" i="46"/>
  <c r="G168" i="46"/>
  <c r="G156" i="46"/>
  <c r="G144" i="46"/>
  <c r="G132" i="46"/>
  <c r="G120" i="46"/>
  <c r="G108" i="46"/>
  <c r="G96" i="46"/>
  <c r="G84" i="46"/>
  <c r="G72" i="46"/>
  <c r="G60" i="46"/>
  <c r="G48" i="46"/>
  <c r="G36" i="46"/>
  <c r="G24" i="46"/>
  <c r="G12" i="46"/>
  <c r="C574" i="49"/>
  <c r="C554" i="49"/>
  <c r="C474" i="49"/>
  <c r="C465" i="49"/>
  <c r="C447" i="49"/>
  <c r="C445" i="49"/>
  <c r="C436" i="49"/>
  <c r="C407" i="49"/>
  <c r="C357" i="49"/>
  <c r="C347" i="49"/>
  <c r="C316" i="49"/>
  <c r="C304" i="49"/>
  <c r="G807" i="46"/>
  <c r="G802" i="46"/>
  <c r="G784" i="46"/>
  <c r="G771" i="46"/>
  <c r="G766" i="46"/>
  <c r="G741" i="46"/>
  <c r="G729" i="46"/>
  <c r="G717" i="46"/>
  <c r="G705" i="46"/>
  <c r="G693" i="46"/>
  <c r="G681" i="46"/>
  <c r="G669" i="46"/>
  <c r="G657" i="46"/>
  <c r="G645" i="46"/>
  <c r="G633" i="46"/>
  <c r="G621" i="46"/>
  <c r="G609" i="46"/>
  <c r="G597" i="46"/>
  <c r="G585" i="46"/>
  <c r="G573" i="46"/>
  <c r="G561" i="46"/>
  <c r="G549" i="46"/>
  <c r="G537" i="46"/>
  <c r="G525" i="46"/>
  <c r="G513" i="46"/>
  <c r="G501" i="46"/>
  <c r="G489" i="46"/>
  <c r="G477" i="46"/>
  <c r="G465" i="46"/>
  <c r="G453" i="46"/>
  <c r="G441" i="46"/>
  <c r="G429" i="46"/>
  <c r="G417" i="46"/>
  <c r="G405" i="46"/>
  <c r="G393" i="46"/>
  <c r="G381" i="46"/>
  <c r="G369" i="46"/>
  <c r="G357" i="46"/>
  <c r="G345" i="46"/>
  <c r="G333" i="46"/>
  <c r="G321" i="46"/>
  <c r="G309" i="46"/>
  <c r="G297" i="46"/>
  <c r="G285" i="46"/>
  <c r="G273" i="46"/>
  <c r="G261" i="46"/>
  <c r="G249" i="46"/>
  <c r="G237" i="46"/>
  <c r="G225" i="46"/>
  <c r="G213" i="46"/>
  <c r="G201" i="46"/>
  <c r="G189" i="46"/>
  <c r="G177" i="46"/>
  <c r="G165" i="46"/>
  <c r="G153" i="46"/>
  <c r="G141" i="46"/>
  <c r="G129" i="46"/>
  <c r="G117" i="46"/>
  <c r="C573" i="49"/>
  <c r="C561" i="49"/>
  <c r="C541" i="49"/>
  <c r="C516" i="49"/>
  <c r="C507" i="49"/>
  <c r="C498" i="49"/>
  <c r="C487" i="49"/>
  <c r="C478" i="49"/>
  <c r="C458" i="49"/>
  <c r="C449" i="49"/>
  <c r="C397" i="49"/>
  <c r="C375" i="49"/>
  <c r="C365" i="49"/>
  <c r="C334" i="49"/>
  <c r="G809" i="46"/>
  <c r="G791" i="46"/>
  <c r="G773" i="46"/>
  <c r="G755" i="46"/>
  <c r="G750" i="46"/>
  <c r="G738" i="46"/>
  <c r="G726" i="46"/>
  <c r="G714" i="46"/>
  <c r="G702" i="46"/>
  <c r="G690" i="46"/>
  <c r="G678" i="46"/>
  <c r="G666" i="46"/>
  <c r="G654" i="46"/>
  <c r="G642" i="46"/>
  <c r="G630" i="46"/>
  <c r="G618" i="46"/>
  <c r="G606" i="46"/>
  <c r="G594" i="46"/>
  <c r="G582" i="46"/>
  <c r="G570" i="46"/>
  <c r="G558" i="46"/>
  <c r="G546" i="46"/>
  <c r="G534" i="46"/>
  <c r="G522" i="46"/>
  <c r="G510" i="46"/>
  <c r="G498" i="46"/>
  <c r="G486" i="46"/>
  <c r="G474" i="46"/>
  <c r="G462" i="46"/>
  <c r="G450" i="46"/>
  <c r="G438" i="46"/>
  <c r="G426" i="46"/>
  <c r="G414" i="46"/>
  <c r="G402" i="46"/>
  <c r="G390" i="46"/>
  <c r="G378" i="46"/>
  <c r="G366" i="46"/>
  <c r="G354" i="46"/>
  <c r="G342" i="46"/>
  <c r="G330" i="46"/>
  <c r="G318" i="46"/>
  <c r="G306" i="46"/>
  <c r="G294" i="46"/>
  <c r="G282" i="46"/>
  <c r="G270" i="46"/>
  <c r="G258" i="46"/>
  <c r="G246" i="46"/>
  <c r="G234" i="46"/>
  <c r="G222" i="46"/>
  <c r="G210" i="46"/>
  <c r="G198" i="46"/>
  <c r="G186" i="46"/>
  <c r="G174" i="46"/>
  <c r="G162" i="46"/>
  <c r="G150" i="46"/>
  <c r="G138" i="46"/>
  <c r="G126" i="46"/>
  <c r="G114" i="46"/>
  <c r="G102" i="46"/>
  <c r="G90" i="46"/>
  <c r="G78" i="46"/>
  <c r="G66" i="46"/>
  <c r="G54" i="46"/>
  <c r="G42" i="46"/>
  <c r="G30" i="46"/>
  <c r="G18" i="46"/>
  <c r="P1031" i="49"/>
  <c r="G1031" i="49"/>
  <c r="L17" i="38"/>
  <c r="D17" i="40" s="1"/>
  <c r="A41" i="1"/>
  <c r="C11" i="39"/>
  <c r="P1228" i="49" s="1"/>
  <c r="A45" i="1"/>
  <c r="C15" i="39"/>
  <c r="P2544" i="49" s="1"/>
  <c r="A49" i="1"/>
  <c r="C19" i="39"/>
  <c r="A53" i="1"/>
  <c r="C23" i="39"/>
  <c r="G6" i="46"/>
  <c r="G37" i="46"/>
  <c r="G50" i="46"/>
  <c r="G73" i="46"/>
  <c r="G86" i="46"/>
  <c r="G109" i="46"/>
  <c r="G119" i="46"/>
  <c r="G155" i="46"/>
  <c r="G191" i="46"/>
  <c r="G227" i="46"/>
  <c r="G263" i="46"/>
  <c r="G299" i="46"/>
  <c r="G335" i="46"/>
  <c r="G371" i="46"/>
  <c r="G407" i="46"/>
  <c r="G443" i="46"/>
  <c r="G479" i="46"/>
  <c r="G515" i="46"/>
  <c r="G551" i="46"/>
  <c r="G587" i="46"/>
  <c r="G623" i="46"/>
  <c r="G659" i="46"/>
  <c r="G695" i="46"/>
  <c r="G731" i="46"/>
  <c r="G753" i="46"/>
  <c r="G757" i="46"/>
  <c r="G768" i="46"/>
  <c r="G776" i="46"/>
  <c r="G780" i="46"/>
  <c r="G788" i="46"/>
  <c r="G796" i="46"/>
  <c r="G815" i="46"/>
  <c r="C298" i="49"/>
  <c r="C310" i="49"/>
  <c r="C345" i="49"/>
  <c r="C381" i="49"/>
  <c r="C469" i="49"/>
  <c r="C473" i="49"/>
  <c r="C519" i="49"/>
  <c r="M906" i="49"/>
  <c r="G906" i="49"/>
  <c r="P913" i="49"/>
  <c r="M913" i="49"/>
  <c r="G913" i="49"/>
  <c r="G949" i="49"/>
  <c r="P1021" i="49"/>
  <c r="M1021" i="49"/>
  <c r="G1021" i="49"/>
  <c r="C867" i="49"/>
  <c r="C861" i="49"/>
  <c r="C855" i="49"/>
  <c r="C849" i="49"/>
  <c r="C843" i="49"/>
  <c r="C837" i="49"/>
  <c r="C831" i="49"/>
  <c r="C825" i="49"/>
  <c r="C819" i="49"/>
  <c r="C813" i="49"/>
  <c r="C807" i="49"/>
  <c r="C801" i="49"/>
  <c r="C795" i="49"/>
  <c r="C789" i="49"/>
  <c r="C783" i="49"/>
  <c r="C777" i="49"/>
  <c r="C771" i="49"/>
  <c r="C765" i="49"/>
  <c r="C759" i="49"/>
  <c r="C753" i="49"/>
  <c r="C747" i="49"/>
  <c r="C741" i="49"/>
  <c r="C735" i="49"/>
  <c r="C729" i="49"/>
  <c r="C723" i="49"/>
  <c r="C717" i="49"/>
  <c r="C711" i="49"/>
  <c r="C705" i="49"/>
  <c r="C699" i="49"/>
  <c r="C693" i="49"/>
  <c r="C687" i="49"/>
  <c r="C681" i="49"/>
  <c r="C675" i="49"/>
  <c r="C669" i="49"/>
  <c r="C663" i="49"/>
  <c r="C657" i="49"/>
  <c r="C651" i="49"/>
  <c r="C645" i="49"/>
  <c r="C639" i="49"/>
  <c r="C633" i="49"/>
  <c r="C627" i="49"/>
  <c r="C621" i="49"/>
  <c r="C615" i="49"/>
  <c r="C609" i="49"/>
  <c r="C871" i="49"/>
  <c r="C868" i="49"/>
  <c r="C858" i="49"/>
  <c r="C848" i="49"/>
  <c r="C845" i="49"/>
  <c r="C835" i="49"/>
  <c r="C832" i="49"/>
  <c r="C822" i="49"/>
  <c r="C812" i="49"/>
  <c r="C809" i="49"/>
  <c r="C799" i="49"/>
  <c r="C796" i="49"/>
  <c r="C786" i="49"/>
  <c r="C776" i="49"/>
  <c r="C773" i="49"/>
  <c r="C763" i="49"/>
  <c r="C760" i="49"/>
  <c r="C750" i="49"/>
  <c r="C740" i="49"/>
  <c r="C737" i="49"/>
  <c r="C727" i="49"/>
  <c r="C724" i="49"/>
  <c r="C714" i="49"/>
  <c r="C704" i="49"/>
  <c r="C701" i="49"/>
  <c r="C691" i="49"/>
  <c r="C688" i="49"/>
  <c r="C678" i="49"/>
  <c r="C668" i="49"/>
  <c r="C665" i="49"/>
  <c r="C655" i="49"/>
  <c r="C652" i="49"/>
  <c r="C642" i="49"/>
  <c r="C632" i="49"/>
  <c r="C629" i="49"/>
  <c r="C619" i="49"/>
  <c r="C616" i="49"/>
  <c r="C606" i="49"/>
  <c r="C600" i="49"/>
  <c r="C594" i="49"/>
  <c r="C588" i="49"/>
  <c r="C598" i="49"/>
  <c r="C595" i="49"/>
  <c r="C869" i="49"/>
  <c r="C864" i="49"/>
  <c r="C862" i="49"/>
  <c r="C857" i="49"/>
  <c r="C850" i="49"/>
  <c r="C838" i="49"/>
  <c r="C800" i="49"/>
  <c r="C793" i="49"/>
  <c r="C788" i="49"/>
  <c r="C781" i="49"/>
  <c r="C774" i="49"/>
  <c r="C769" i="49"/>
  <c r="C767" i="49"/>
  <c r="C762" i="49"/>
  <c r="C755" i="49"/>
  <c r="C748" i="49"/>
  <c r="C743" i="49"/>
  <c r="C736" i="49"/>
  <c r="C698" i="49"/>
  <c r="C686" i="49"/>
  <c r="C679" i="49"/>
  <c r="C674" i="49"/>
  <c r="C672" i="49"/>
  <c r="C667" i="49"/>
  <c r="C660" i="49"/>
  <c r="C653" i="49"/>
  <c r="C648" i="49"/>
  <c r="C646" i="49"/>
  <c r="C641" i="49"/>
  <c r="C634" i="49"/>
  <c r="C622" i="49"/>
  <c r="C605" i="49"/>
  <c r="C602" i="49"/>
  <c r="C585" i="49"/>
  <c r="C836" i="49"/>
  <c r="C829" i="49"/>
  <c r="C824" i="49"/>
  <c r="C817" i="49"/>
  <c r="C810" i="49"/>
  <c r="C805" i="49"/>
  <c r="C803" i="49"/>
  <c r="C798" i="49"/>
  <c r="C791" i="49"/>
  <c r="C784" i="49"/>
  <c r="C779" i="49"/>
  <c r="C772" i="49"/>
  <c r="C734" i="49"/>
  <c r="C722" i="49"/>
  <c r="C715" i="49"/>
  <c r="C710" i="49"/>
  <c r="C708" i="49"/>
  <c r="C703" i="49"/>
  <c r="C696" i="49"/>
  <c r="C689" i="49"/>
  <c r="C684" i="49"/>
  <c r="C682" i="49"/>
  <c r="C677" i="49"/>
  <c r="C670" i="49"/>
  <c r="C658" i="49"/>
  <c r="C620" i="49"/>
  <c r="C613" i="49"/>
  <c r="C608" i="49"/>
  <c r="C592" i="49"/>
  <c r="C589" i="49"/>
  <c r="C865" i="49"/>
  <c r="C860" i="49"/>
  <c r="C853" i="49"/>
  <c r="C846" i="49"/>
  <c r="C841" i="49"/>
  <c r="C839" i="49"/>
  <c r="C834" i="49"/>
  <c r="C827" i="49"/>
  <c r="C820" i="49"/>
  <c r="C815" i="49"/>
  <c r="C808" i="49"/>
  <c r="C770" i="49"/>
  <c r="C758" i="49"/>
  <c r="C751" i="49"/>
  <c r="C746" i="49"/>
  <c r="C744" i="49"/>
  <c r="C739" i="49"/>
  <c r="C732" i="49"/>
  <c r="C725" i="49"/>
  <c r="C720" i="49"/>
  <c r="C718" i="49"/>
  <c r="C713" i="49"/>
  <c r="C706" i="49"/>
  <c r="C694" i="49"/>
  <c r="C656" i="49"/>
  <c r="C649" i="49"/>
  <c r="C644" i="49"/>
  <c r="C637" i="49"/>
  <c r="C630" i="49"/>
  <c r="C625" i="49"/>
  <c r="C623" i="49"/>
  <c r="C618" i="49"/>
  <c r="C611" i="49"/>
  <c r="C854" i="49"/>
  <c r="C833" i="49"/>
  <c r="C830" i="49"/>
  <c r="C806" i="49"/>
  <c r="C664" i="49"/>
  <c r="C661" i="49"/>
  <c r="C640" i="49"/>
  <c r="C856" i="49"/>
  <c r="C821" i="49"/>
  <c r="C818" i="49"/>
  <c r="C797" i="49"/>
  <c r="C794" i="49"/>
  <c r="C738" i="49"/>
  <c r="C628" i="49"/>
  <c r="C593" i="49"/>
  <c r="C591" i="49"/>
  <c r="C844" i="49"/>
  <c r="C785" i="49"/>
  <c r="C782" i="49"/>
  <c r="C761" i="49"/>
  <c r="C726" i="49"/>
  <c r="C702" i="49"/>
  <c r="C643" i="49"/>
  <c r="C859" i="49"/>
  <c r="C749" i="49"/>
  <c r="C690" i="49"/>
  <c r="C666" i="49"/>
  <c r="C631" i="49"/>
  <c r="C610" i="49"/>
  <c r="C607" i="49"/>
  <c r="C870" i="49"/>
  <c r="C814" i="49"/>
  <c r="C811" i="49"/>
  <c r="C790" i="49"/>
  <c r="C787" i="49"/>
  <c r="C752" i="49"/>
  <c r="C731" i="49"/>
  <c r="C728" i="49"/>
  <c r="C840" i="49"/>
  <c r="C816" i="49"/>
  <c r="C757" i="49"/>
  <c r="C730" i="49"/>
  <c r="C671" i="49"/>
  <c r="C647" i="49"/>
  <c r="C612" i="49"/>
  <c r="C601" i="49"/>
  <c r="C1448" i="49"/>
  <c r="C1442" i="49"/>
  <c r="C1436" i="49"/>
  <c r="C1430" i="49"/>
  <c r="C1424" i="49"/>
  <c r="C1418" i="49"/>
  <c r="C1412" i="49"/>
  <c r="C1406" i="49"/>
  <c r="C1400" i="49"/>
  <c r="C1394" i="49"/>
  <c r="C1388" i="49"/>
  <c r="C1382" i="49"/>
  <c r="C1376" i="49"/>
  <c r="C1370" i="49"/>
  <c r="C1364" i="49"/>
  <c r="C1358" i="49"/>
  <c r="C1352" i="49"/>
  <c r="C1346" i="49"/>
  <c r="C1340" i="49"/>
  <c r="C1334" i="49"/>
  <c r="C1328" i="49"/>
  <c r="C1322" i="49"/>
  <c r="C1316" i="49"/>
  <c r="C1310" i="49"/>
  <c r="C1304" i="49"/>
  <c r="C1298" i="49"/>
  <c r="C1292" i="49"/>
  <c r="C1286" i="49"/>
  <c r="C1280" i="49"/>
  <c r="C1274" i="49"/>
  <c r="C1268" i="49"/>
  <c r="C1262" i="49"/>
  <c r="C1256" i="49"/>
  <c r="C1250" i="49"/>
  <c r="C1244" i="49"/>
  <c r="C1238" i="49"/>
  <c r="C1232" i="49"/>
  <c r="C1226" i="49"/>
  <c r="C1220" i="49"/>
  <c r="C1214" i="49"/>
  <c r="C1208" i="49"/>
  <c r="C1202" i="49"/>
  <c r="C1196" i="49"/>
  <c r="C1190" i="49"/>
  <c r="C1184" i="49"/>
  <c r="C1178" i="49"/>
  <c r="C1172" i="49"/>
  <c r="C1166" i="49"/>
  <c r="C1446" i="49"/>
  <c r="C1429" i="49"/>
  <c r="C1425" i="49"/>
  <c r="C1408" i="49"/>
  <c r="C1391" i="49"/>
  <c r="C1374" i="49"/>
  <c r="C1357" i="49"/>
  <c r="C1353" i="49"/>
  <c r="C1336" i="49"/>
  <c r="C1319" i="49"/>
  <c r="C1302" i="49"/>
  <c r="C1285" i="49"/>
  <c r="C1281" i="49"/>
  <c r="C1264" i="49"/>
  <c r="C1247" i="49"/>
  <c r="C1230" i="49"/>
  <c r="C1213" i="49"/>
  <c r="C1209" i="49"/>
  <c r="C1192" i="49"/>
  <c r="C1175" i="49"/>
  <c r="C1438" i="49"/>
  <c r="C1421" i="49"/>
  <c r="C1404" i="49"/>
  <c r="C1387" i="49"/>
  <c r="C1383" i="49"/>
  <c r="C1366" i="49"/>
  <c r="C1349" i="49"/>
  <c r="C1332" i="49"/>
  <c r="C1315" i="49"/>
  <c r="C1311" i="49"/>
  <c r="C1294" i="49"/>
  <c r="C1277" i="49"/>
  <c r="C1260" i="49"/>
  <c r="C1243" i="49"/>
  <c r="C1239" i="49"/>
  <c r="C1222" i="49"/>
  <c r="C1205" i="49"/>
  <c r="C1188" i="49"/>
  <c r="C1171" i="49"/>
  <c r="C1167" i="49"/>
  <c r="C1434" i="49"/>
  <c r="C1417" i="49"/>
  <c r="C1413" i="49"/>
  <c r="C1396" i="49"/>
  <c r="C1379" i="49"/>
  <c r="C1362" i="49"/>
  <c r="C1345" i="49"/>
  <c r="C1341" i="49"/>
  <c r="C1324" i="49"/>
  <c r="C1307" i="49"/>
  <c r="C1290" i="49"/>
  <c r="C1273" i="49"/>
  <c r="C1269" i="49"/>
  <c r="C1252" i="49"/>
  <c r="C1235" i="49"/>
  <c r="C1218" i="49"/>
  <c r="C1201" i="49"/>
  <c r="C1197" i="49"/>
  <c r="C1180" i="49"/>
  <c r="C1163" i="49"/>
  <c r="C1447" i="49"/>
  <c r="C1443" i="49"/>
  <c r="C1426" i="49"/>
  <c r="C1409" i="49"/>
  <c r="C1392" i="49"/>
  <c r="C1375" i="49"/>
  <c r="C1371" i="49"/>
  <c r="C1354" i="49"/>
  <c r="C1337" i="49"/>
  <c r="C1320" i="49"/>
  <c r="C1303" i="49"/>
  <c r="C1299" i="49"/>
  <c r="C1282" i="49"/>
  <c r="C1265" i="49"/>
  <c r="C1248" i="49"/>
  <c r="C1231" i="49"/>
  <c r="C1227" i="49"/>
  <c r="C1210" i="49"/>
  <c r="C1193" i="49"/>
  <c r="C1176" i="49"/>
  <c r="C1435" i="49"/>
  <c r="C1431" i="49"/>
  <c r="C1414" i="49"/>
  <c r="C1397" i="49"/>
  <c r="C1380" i="49"/>
  <c r="C1363" i="49"/>
  <c r="C1359" i="49"/>
  <c r="C1444" i="49"/>
  <c r="C1415" i="49"/>
  <c r="C1395" i="49"/>
  <c r="C1386" i="49"/>
  <c r="C1350" i="49"/>
  <c r="C1309" i="49"/>
  <c r="C1305" i="49"/>
  <c r="C1295" i="49"/>
  <c r="C1254" i="49"/>
  <c r="C1240" i="49"/>
  <c r="C1199" i="49"/>
  <c r="C1189" i="49"/>
  <c r="C1185" i="49"/>
  <c r="C1168" i="49"/>
  <c r="C1401" i="49"/>
  <c r="C1399" i="49"/>
  <c r="C1384" i="49"/>
  <c r="C1348" i="49"/>
  <c r="C1331" i="49"/>
  <c r="C1318" i="49"/>
  <c r="C1288" i="49"/>
  <c r="C1275" i="49"/>
  <c r="C1258" i="49"/>
  <c r="C1245" i="49"/>
  <c r="C1215" i="49"/>
  <c r="C1433" i="49"/>
  <c r="C1428" i="49"/>
  <c r="C1423" i="49"/>
  <c r="C1416" i="49"/>
  <c r="C1411" i="49"/>
  <c r="C1335" i="49"/>
  <c r="C1183" i="49"/>
  <c r="C1445" i="49"/>
  <c r="C1440" i="49"/>
  <c r="C1279" i="49"/>
  <c r="C1249" i="49"/>
  <c r="C1236" i="49"/>
  <c r="C1219" i="49"/>
  <c r="C1206" i="49"/>
  <c r="C1200" i="49"/>
  <c r="C1187" i="49"/>
  <c r="C1381" i="49"/>
  <c r="C1369" i="49"/>
  <c r="C1339" i="49"/>
  <c r="C1326" i="49"/>
  <c r="C1296" i="49"/>
  <c r="C1283" i="49"/>
  <c r="C1266" i="49"/>
  <c r="C1253" i="49"/>
  <c r="C1234" i="49"/>
  <c r="C1223" i="49"/>
  <c r="C1217" i="49"/>
  <c r="C1204" i="49"/>
  <c r="C1191" i="49"/>
  <c r="C1164" i="49"/>
  <c r="C1437" i="49"/>
  <c r="C1432" i="49"/>
  <c r="C1427" i="49"/>
  <c r="C1420" i="49"/>
  <c r="C1405" i="49"/>
  <c r="C1347" i="49"/>
  <c r="C1317" i="49"/>
  <c r="C1195" i="49"/>
  <c r="C1170" i="49"/>
  <c r="C1162" i="49"/>
  <c r="C1419" i="49"/>
  <c r="C1407" i="49"/>
  <c r="C1402" i="49"/>
  <c r="C1342" i="49"/>
  <c r="C1325" i="49"/>
  <c r="C1312" i="49"/>
  <c r="C1306" i="49"/>
  <c r="C1293" i="49"/>
  <c r="C1276" i="49"/>
  <c r="C1263" i="49"/>
  <c r="C1233" i="49"/>
  <c r="C1203" i="49"/>
  <c r="C1173" i="49"/>
  <c r="C1390" i="49"/>
  <c r="C1385" i="49"/>
  <c r="C1351" i="49"/>
  <c r="C1338" i="49"/>
  <c r="C1321" i="49"/>
  <c r="C1308" i="49"/>
  <c r="C1278" i="49"/>
  <c r="C1169" i="49"/>
  <c r="C1329" i="49"/>
  <c r="C1365" i="49"/>
  <c r="C1360" i="49"/>
  <c r="C1355" i="49"/>
  <c r="C1389" i="49"/>
  <c r="C1333" i="49"/>
  <c r="C1179" i="49"/>
  <c r="C1165" i="49"/>
  <c r="C1161" i="49"/>
  <c r="C1422" i="49"/>
  <c r="C1255" i="49"/>
  <c r="C1242" i="49"/>
  <c r="C1225" i="49"/>
  <c r="C1212" i="49"/>
  <c r="C1182" i="49"/>
  <c r="C1441" i="49"/>
  <c r="C1372" i="49"/>
  <c r="C1297" i="49"/>
  <c r="C1267" i="49"/>
  <c r="C1237" i="49"/>
  <c r="C1224" i="49"/>
  <c r="C1207" i="49"/>
  <c r="C1194" i="49"/>
  <c r="C1181" i="49"/>
  <c r="C1177" i="49"/>
  <c r="C1174" i="49"/>
  <c r="C1344" i="49"/>
  <c r="C1327" i="49"/>
  <c r="C1301" i="49"/>
  <c r="C1284" i="49"/>
  <c r="C1241" i="49"/>
  <c r="C1198" i="49"/>
  <c r="K8" i="38"/>
  <c r="C1410" i="49"/>
  <c r="C1343" i="49"/>
  <c r="C1300" i="49"/>
  <c r="C1257" i="49"/>
  <c r="J8" i="38"/>
  <c r="C1449" i="49"/>
  <c r="C1439" i="49"/>
  <c r="C1361" i="49"/>
  <c r="C1291" i="49"/>
  <c r="C1378" i="49"/>
  <c r="C1368" i="49"/>
  <c r="C1289" i="49"/>
  <c r="C1272" i="49"/>
  <c r="C1246" i="49"/>
  <c r="C1229" i="49"/>
  <c r="C1186" i="49"/>
  <c r="C1330" i="49"/>
  <c r="C1313" i="49"/>
  <c r="C1287" i="49"/>
  <c r="C1270" i="49"/>
  <c r="C1736" i="49"/>
  <c r="C1730" i="49"/>
  <c r="C1724" i="49"/>
  <c r="C1718" i="49"/>
  <c r="C1712" i="49"/>
  <c r="C1706" i="49"/>
  <c r="C1700" i="49"/>
  <c r="C1694" i="49"/>
  <c r="C1688" i="49"/>
  <c r="C1682" i="49"/>
  <c r="C1676" i="49"/>
  <c r="C1670" i="49"/>
  <c r="C1664" i="49"/>
  <c r="C1658" i="49"/>
  <c r="C1652" i="49"/>
  <c r="C1646" i="49"/>
  <c r="C1640" i="49"/>
  <c r="C1634" i="49"/>
  <c r="C1628" i="49"/>
  <c r="C1622" i="49"/>
  <c r="C1616" i="49"/>
  <c r="C1610" i="49"/>
  <c r="C1604" i="49"/>
  <c r="C1598" i="49"/>
  <c r="C1592" i="49"/>
  <c r="C1586" i="49"/>
  <c r="C1580" i="49"/>
  <c r="C1574" i="49"/>
  <c r="C1568" i="49"/>
  <c r="C1562" i="49"/>
  <c r="C1556" i="49"/>
  <c r="C1550" i="49"/>
  <c r="C1544" i="49"/>
  <c r="C1538" i="49"/>
  <c r="C1532" i="49"/>
  <c r="C1526" i="49"/>
  <c r="C1520" i="49"/>
  <c r="C1514" i="49"/>
  <c r="C1508" i="49"/>
  <c r="C1502" i="49"/>
  <c r="C1496" i="49"/>
  <c r="C1490" i="49"/>
  <c r="C1484" i="49"/>
  <c r="C1478" i="49"/>
  <c r="C1472" i="49"/>
  <c r="C1466" i="49"/>
  <c r="C1460" i="49"/>
  <c r="C1454" i="49"/>
  <c r="C1738" i="49"/>
  <c r="C1732" i="49"/>
  <c r="C1726" i="49"/>
  <c r="C1720" i="49"/>
  <c r="C1714" i="49"/>
  <c r="C1708" i="49"/>
  <c r="C1702" i="49"/>
  <c r="C1696" i="49"/>
  <c r="C1690" i="49"/>
  <c r="C1684" i="49"/>
  <c r="C1678" i="49"/>
  <c r="C1672" i="49"/>
  <c r="C1713" i="49"/>
  <c r="C1677" i="49"/>
  <c r="C1654" i="49"/>
  <c r="C1727" i="49"/>
  <c r="C1717" i="49"/>
  <c r="C1704" i="49"/>
  <c r="C1691" i="49"/>
  <c r="C1681" i="49"/>
  <c r="C1655" i="49"/>
  <c r="C1733" i="49"/>
  <c r="C1695" i="49"/>
  <c r="C1683" i="49"/>
  <c r="C1666" i="49"/>
  <c r="C1647" i="49"/>
  <c r="C1644" i="49"/>
  <c r="C1632" i="49"/>
  <c r="C1615" i="49"/>
  <c r="C1611" i="49"/>
  <c r="C1594" i="49"/>
  <c r="C1577" i="49"/>
  <c r="C1560" i="49"/>
  <c r="C1543" i="49"/>
  <c r="C1539" i="49"/>
  <c r="C1707" i="49"/>
  <c r="C1669" i="49"/>
  <c r="C1641" i="49"/>
  <c r="C1624" i="49"/>
  <c r="C1607" i="49"/>
  <c r="C1731" i="49"/>
  <c r="C1725" i="49"/>
  <c r="C1723" i="49"/>
  <c r="C1667" i="49"/>
  <c r="C1650" i="49"/>
  <c r="C1630" i="49"/>
  <c r="C1627" i="49"/>
  <c r="C1608" i="49"/>
  <c r="C1575" i="49"/>
  <c r="C1565" i="49"/>
  <c r="C1545" i="49"/>
  <c r="C1535" i="49"/>
  <c r="C1518" i="49"/>
  <c r="C1501" i="49"/>
  <c r="C1497" i="49"/>
  <c r="C1480" i="49"/>
  <c r="C1463" i="49"/>
  <c r="C1729" i="49"/>
  <c r="C1679" i="49"/>
  <c r="C1675" i="49"/>
  <c r="C1673" i="49"/>
  <c r="C1671" i="49"/>
  <c r="C1665" i="49"/>
  <c r="C1648" i="49"/>
  <c r="C1633" i="49"/>
  <c r="C1619" i="49"/>
  <c r="C1600" i="49"/>
  <c r="C1597" i="49"/>
  <c r="C1585" i="49"/>
  <c r="C1582" i="49"/>
  <c r="C1555" i="49"/>
  <c r="C1552" i="49"/>
  <c r="C1531" i="49"/>
  <c r="C1527" i="49"/>
  <c r="C1510" i="49"/>
  <c r="C1493" i="49"/>
  <c r="C1476" i="49"/>
  <c r="C1459" i="49"/>
  <c r="C1455" i="49"/>
  <c r="C1737" i="49"/>
  <c r="C1710" i="49"/>
  <c r="C1661" i="49"/>
  <c r="C1625" i="49"/>
  <c r="C1603" i="49"/>
  <c r="C1572" i="49"/>
  <c r="C1569" i="49"/>
  <c r="C1542" i="49"/>
  <c r="C1523" i="49"/>
  <c r="C1506" i="49"/>
  <c r="C1489" i="49"/>
  <c r="C1485" i="49"/>
  <c r="C1468" i="49"/>
  <c r="C1451" i="49"/>
  <c r="C1735" i="49"/>
  <c r="C1685" i="49"/>
  <c r="C1663" i="49"/>
  <c r="C1659" i="49"/>
  <c r="C1636" i="49"/>
  <c r="C1617" i="49"/>
  <c r="C1614" i="49"/>
  <c r="C1595" i="49"/>
  <c r="C1589" i="49"/>
  <c r="C1579" i="49"/>
  <c r="C1559" i="49"/>
  <c r="C1549" i="49"/>
  <c r="C1519" i="49"/>
  <c r="C1515" i="49"/>
  <c r="C1498" i="49"/>
  <c r="C1481" i="49"/>
  <c r="C1464" i="49"/>
  <c r="C1722" i="49"/>
  <c r="C1716" i="49"/>
  <c r="C1693" i="49"/>
  <c r="C1657" i="49"/>
  <c r="C1653" i="49"/>
  <c r="C1631" i="49"/>
  <c r="C1612" i="49"/>
  <c r="C1609" i="49"/>
  <c r="C1583" i="49"/>
  <c r="C1573" i="49"/>
  <c r="C1563" i="49"/>
  <c r="C1553" i="49"/>
  <c r="C1524" i="49"/>
  <c r="C1507" i="49"/>
  <c r="C1503" i="49"/>
  <c r="C1486" i="49"/>
  <c r="C1469" i="49"/>
  <c r="C1452" i="49"/>
  <c r="C1711" i="49"/>
  <c r="C1686" i="49"/>
  <c r="C1689" i="49"/>
  <c r="C1642" i="49"/>
  <c r="C1626" i="49"/>
  <c r="C1618" i="49"/>
  <c r="C1599" i="49"/>
  <c r="C1547" i="49"/>
  <c r="C1474" i="49"/>
  <c r="C1461" i="49"/>
  <c r="C1457" i="49"/>
  <c r="C1453" i="49"/>
  <c r="C1728" i="49"/>
  <c r="C1703" i="49"/>
  <c r="C1623" i="49"/>
  <c r="C1701" i="49"/>
  <c r="C1698" i="49"/>
  <c r="C1687" i="49"/>
  <c r="C1680" i="49"/>
  <c r="C1596" i="49"/>
  <c r="C1593" i="49"/>
  <c r="C1590" i="49"/>
  <c r="C1566" i="49"/>
  <c r="C1561" i="49"/>
  <c r="C1512" i="49"/>
  <c r="C1505" i="49"/>
  <c r="C1500" i="49"/>
  <c r="C1495" i="49"/>
  <c r="C1488" i="49"/>
  <c r="C1656" i="49"/>
  <c r="C1651" i="49"/>
  <c r="C1643" i="49"/>
  <c r="C1639" i="49"/>
  <c r="C1605" i="49"/>
  <c r="C1602" i="49"/>
  <c r="C1534" i="49"/>
  <c r="C1529" i="49"/>
  <c r="C1522" i="49"/>
  <c r="C1517" i="49"/>
  <c r="C1660" i="49"/>
  <c r="C1587" i="49"/>
  <c r="C1558" i="49"/>
  <c r="C1450" i="49"/>
  <c r="C1721" i="49"/>
  <c r="C1705" i="49"/>
  <c r="C1668" i="49"/>
  <c r="C1621" i="49"/>
  <c r="C1601" i="49"/>
  <c r="C1576" i="49"/>
  <c r="C1571" i="49"/>
  <c r="C1536" i="49"/>
  <c r="C1492" i="49"/>
  <c r="C1487" i="49"/>
  <c r="C1482" i="49"/>
  <c r="C1475" i="49"/>
  <c r="C1470" i="49"/>
  <c r="C1715" i="49"/>
  <c r="C1584" i="49"/>
  <c r="C1557" i="49"/>
  <c r="C1533" i="49"/>
  <c r="C1511" i="49"/>
  <c r="C1456" i="49"/>
  <c r="C1719" i="49"/>
  <c r="C1637" i="49"/>
  <c r="C1578" i="49"/>
  <c r="C1458" i="49"/>
  <c r="C1564" i="49"/>
  <c r="C1629" i="49"/>
  <c r="C1548" i="49"/>
  <c r="C1537" i="49"/>
  <c r="C1483" i="49"/>
  <c r="C1473" i="49"/>
  <c r="C1699" i="49"/>
  <c r="C1635" i="49"/>
  <c r="C1620" i="49"/>
  <c r="C1521" i="49"/>
  <c r="C1516" i="49"/>
  <c r="C1477" i="49"/>
  <c r="C1613" i="49"/>
  <c r="C1546" i="49"/>
  <c r="C1541" i="49"/>
  <c r="C1467" i="49"/>
  <c r="C1697" i="49"/>
  <c r="C1649" i="49"/>
  <c r="C1567" i="49"/>
  <c r="C1551" i="49"/>
  <c r="C1540" i="49"/>
  <c r="C1530" i="49"/>
  <c r="C1525" i="49"/>
  <c r="C1509" i="49"/>
  <c r="C1504" i="49"/>
  <c r="C1499" i="49"/>
  <c r="C1494" i="49"/>
  <c r="I9" i="38"/>
  <c r="C1674" i="49"/>
  <c r="C1588" i="49"/>
  <c r="C1638" i="49"/>
  <c r="C1734" i="49"/>
  <c r="C1692" i="49"/>
  <c r="C1513" i="49"/>
  <c r="C1471" i="49"/>
  <c r="C1994" i="49"/>
  <c r="C1958" i="49"/>
  <c r="C1922" i="49"/>
  <c r="C1886" i="49"/>
  <c r="C1850" i="49"/>
  <c r="C1814" i="49"/>
  <c r="C1794" i="49"/>
  <c r="C1790" i="49"/>
  <c r="C1784" i="49"/>
  <c r="C1778" i="49"/>
  <c r="C1772" i="49"/>
  <c r="C1766" i="49"/>
  <c r="C1760" i="49"/>
  <c r="C1754" i="49"/>
  <c r="C1748" i="49"/>
  <c r="C1742" i="49"/>
  <c r="C2024" i="49"/>
  <c r="C1988" i="49"/>
  <c r="C1952" i="49"/>
  <c r="C1916" i="49"/>
  <c r="C1880" i="49"/>
  <c r="C1844" i="49"/>
  <c r="C1808" i="49"/>
  <c r="C1785" i="49"/>
  <c r="C2021" i="49"/>
  <c r="C2011" i="49"/>
  <c r="C2008" i="49"/>
  <c r="C1998" i="49"/>
  <c r="C2018" i="49"/>
  <c r="C1982" i="49"/>
  <c r="C1946" i="49"/>
  <c r="C1910" i="49"/>
  <c r="C1874" i="49"/>
  <c r="C1838" i="49"/>
  <c r="C1802" i="49"/>
  <c r="C1786" i="49"/>
  <c r="C1780" i="49"/>
  <c r="C1774" i="49"/>
  <c r="C1768" i="49"/>
  <c r="C1762" i="49"/>
  <c r="C1756" i="49"/>
  <c r="C1750" i="49"/>
  <c r="C1744" i="49"/>
  <c r="C2019" i="49"/>
  <c r="C1984" i="49"/>
  <c r="C1961" i="49"/>
  <c r="C1953" i="49"/>
  <c r="C1938" i="49"/>
  <c r="C1934" i="49"/>
  <c r="C1930" i="49"/>
  <c r="C1915" i="49"/>
  <c r="C1907" i="49"/>
  <c r="C1884" i="49"/>
  <c r="C1863" i="49"/>
  <c r="C1861" i="49"/>
  <c r="C1840" i="49"/>
  <c r="C1817" i="49"/>
  <c r="C1809" i="49"/>
  <c r="C1749" i="49"/>
  <c r="C2012" i="49"/>
  <c r="C1989" i="49"/>
  <c r="C1974" i="49"/>
  <c r="C1970" i="49"/>
  <c r="C1966" i="49"/>
  <c r="C1951" i="49"/>
  <c r="C1943" i="49"/>
  <c r="C1920" i="49"/>
  <c r="C1899" i="49"/>
  <c r="C1897" i="49"/>
  <c r="C1876" i="49"/>
  <c r="C1853" i="49"/>
  <c r="C1845" i="49"/>
  <c r="C1830" i="49"/>
  <c r="C1826" i="49"/>
  <c r="C1822" i="49"/>
  <c r="C1807" i="49"/>
  <c r="C1799" i="49"/>
  <c r="C1782" i="49"/>
  <c r="C1776" i="49"/>
  <c r="C1763" i="49"/>
  <c r="C1753" i="49"/>
  <c r="C1740" i="49"/>
  <c r="C2022" i="49"/>
  <c r="C2017" i="49"/>
  <c r="C2027" i="49"/>
  <c r="C2014" i="49"/>
  <c r="C2006" i="49"/>
  <c r="C1991" i="49"/>
  <c r="C1975" i="49"/>
  <c r="C1968" i="49"/>
  <c r="C1945" i="49"/>
  <c r="C1869" i="49"/>
  <c r="C1862" i="49"/>
  <c r="C1846" i="49"/>
  <c r="C1832" i="49"/>
  <c r="C1823" i="49"/>
  <c r="C1800" i="49"/>
  <c r="C1791" i="49"/>
  <c r="C1787" i="49"/>
  <c r="C1769" i="49"/>
  <c r="C1977" i="49"/>
  <c r="C1954" i="49"/>
  <c r="C1947" i="49"/>
  <c r="C1931" i="49"/>
  <c r="C1924" i="49"/>
  <c r="C1917" i="49"/>
  <c r="C1908" i="49"/>
  <c r="C1901" i="49"/>
  <c r="C1894" i="49"/>
  <c r="C1892" i="49"/>
  <c r="C1887" i="49"/>
  <c r="C1885" i="49"/>
  <c r="C1878" i="49"/>
  <c r="C1871" i="49"/>
  <c r="C1864" i="49"/>
  <c r="C1855" i="49"/>
  <c r="C1848" i="49"/>
  <c r="C1841" i="49"/>
  <c r="C1825" i="49"/>
  <c r="C1818" i="49"/>
  <c r="C1795" i="49"/>
  <c r="C1793" i="49"/>
  <c r="C1789" i="49"/>
  <c r="C1745" i="49"/>
  <c r="C1985" i="49"/>
  <c r="C1963" i="49"/>
  <c r="C1960" i="49"/>
  <c r="C1949" i="49"/>
  <c r="C1891" i="49"/>
  <c r="C1883" i="49"/>
  <c r="C1833" i="49"/>
  <c r="C2023" i="49"/>
  <c r="C2015" i="49"/>
  <c r="C2005" i="49"/>
  <c r="C2002" i="49"/>
  <c r="C1999" i="49"/>
  <c r="C1996" i="49"/>
  <c r="C1993" i="49"/>
  <c r="C1979" i="49"/>
  <c r="C1935" i="49"/>
  <c r="C1927" i="49"/>
  <c r="C1877" i="49"/>
  <c r="C1866" i="49"/>
  <c r="C1852" i="49"/>
  <c r="C1751" i="49"/>
  <c r="C1971" i="49"/>
  <c r="C1913" i="49"/>
  <c r="C1902" i="49"/>
  <c r="C1888" i="49"/>
  <c r="C1827" i="49"/>
  <c r="C1819" i="49"/>
  <c r="C1816" i="49"/>
  <c r="C1805" i="49"/>
  <c r="C1757" i="49"/>
  <c r="C1755" i="49"/>
  <c r="C2026" i="49"/>
  <c r="C1990" i="49"/>
  <c r="C1976" i="49"/>
  <c r="C1965" i="49"/>
  <c r="C1957" i="49"/>
  <c r="C1940" i="49"/>
  <c r="C1932" i="49"/>
  <c r="C1921" i="49"/>
  <c r="C1918" i="49"/>
  <c r="C1896" i="49"/>
  <c r="C1893" i="49"/>
  <c r="C1882" i="49"/>
  <c r="C1868" i="49"/>
  <c r="C1857" i="49"/>
  <c r="C1849" i="49"/>
  <c r="C1835" i="49"/>
  <c r="C1824" i="49"/>
  <c r="C1813" i="49"/>
  <c r="C1767" i="49"/>
  <c r="C1761" i="49"/>
  <c r="C1759" i="49"/>
  <c r="C1747" i="49"/>
  <c r="C1743" i="49"/>
  <c r="C1741" i="49"/>
  <c r="C1739" i="49"/>
  <c r="C1987" i="49"/>
  <c r="C1973" i="49"/>
  <c r="C1956" i="49"/>
  <c r="C1923" i="49"/>
  <c r="C1912" i="49"/>
  <c r="C1854" i="49"/>
  <c r="C1843" i="49"/>
  <c r="C1829" i="49"/>
  <c r="C1821" i="49"/>
  <c r="C1796" i="49"/>
  <c r="C1773" i="49"/>
  <c r="C2004" i="49"/>
  <c r="C1980" i="49"/>
  <c r="C1875" i="49"/>
  <c r="C1870" i="49"/>
  <c r="C1851" i="49"/>
  <c r="C1847" i="49"/>
  <c r="C1828" i="49"/>
  <c r="C1903" i="49"/>
  <c r="C1898" i="49"/>
  <c r="C1889" i="49"/>
  <c r="C1865" i="49"/>
  <c r="C1856" i="49"/>
  <c r="C1842" i="49"/>
  <c r="C1837" i="49"/>
  <c r="C1771" i="49"/>
  <c r="C2009" i="49"/>
  <c r="C2003" i="49"/>
  <c r="C1983" i="49"/>
  <c r="C1941" i="49"/>
  <c r="C1926" i="49"/>
  <c r="C1879" i="49"/>
  <c r="C1860" i="49"/>
  <c r="C1764" i="49"/>
  <c r="C2025" i="49"/>
  <c r="C2020" i="49"/>
  <c r="C2007" i="49"/>
  <c r="C1881" i="49"/>
  <c r="C1858" i="49"/>
  <c r="C1839" i="49"/>
  <c r="C1810" i="49"/>
  <c r="C1792" i="49"/>
  <c r="C2010" i="49"/>
  <c r="C1959" i="49"/>
  <c r="C1925" i="49"/>
  <c r="C1811" i="49"/>
  <c r="C1803" i="49"/>
  <c r="C1746" i="49"/>
  <c r="C1967" i="49"/>
  <c r="C1895" i="49"/>
  <c r="C1859" i="49"/>
  <c r="C1831" i="49"/>
  <c r="C1777" i="49"/>
  <c r="C2000" i="49"/>
  <c r="C1937" i="49"/>
  <c r="C1909" i="49"/>
  <c r="C1873" i="49"/>
  <c r="C1867" i="49"/>
  <c r="C1783" i="49"/>
  <c r="C1788" i="49"/>
  <c r="C2016" i="49"/>
  <c r="C1997" i="49"/>
  <c r="C1972" i="49"/>
  <c r="C1964" i="49"/>
  <c r="C1914" i="49"/>
  <c r="C1900" i="49"/>
  <c r="C1872" i="49"/>
  <c r="C1836" i="49"/>
  <c r="C1765" i="49"/>
  <c r="C1978" i="49"/>
  <c r="C1962" i="49"/>
  <c r="C1955" i="49"/>
  <c r="C1948" i="49"/>
  <c r="C1834" i="49"/>
  <c r="C1820" i="49"/>
  <c r="C1812" i="49"/>
  <c r="C1806" i="49"/>
  <c r="C2001" i="49"/>
  <c r="C1939" i="49"/>
  <c r="C1911" i="49"/>
  <c r="C1797" i="49"/>
  <c r="C1981" i="49"/>
  <c r="C1950" i="49"/>
  <c r="C1936" i="49"/>
  <c r="C1781" i="49"/>
  <c r="C1770" i="49"/>
  <c r="C2013" i="49"/>
  <c r="C1995" i="49"/>
  <c r="C1906" i="49"/>
  <c r="C1752" i="49"/>
  <c r="C1919" i="49"/>
  <c r="C1904" i="49"/>
  <c r="C1890" i="49"/>
  <c r="C1942" i="49"/>
  <c r="C1928" i="49"/>
  <c r="C1944" i="49"/>
  <c r="C1801" i="49"/>
  <c r="C1775" i="49"/>
  <c r="C1798" i="49"/>
  <c r="C1969" i="49"/>
  <c r="C1992" i="49"/>
  <c r="C1986" i="49"/>
  <c r="C2300" i="49"/>
  <c r="C2264" i="49"/>
  <c r="C2228" i="49"/>
  <c r="C2192" i="49"/>
  <c r="C2156" i="49"/>
  <c r="C2120" i="49"/>
  <c r="C2084" i="49"/>
  <c r="C2048" i="49"/>
  <c r="C2030" i="49"/>
  <c r="C2294" i="49"/>
  <c r="C2258" i="49"/>
  <c r="C2222" i="49"/>
  <c r="C2186" i="49"/>
  <c r="C2150" i="49"/>
  <c r="C2114" i="49"/>
  <c r="C2078" i="49"/>
  <c r="C2031" i="49"/>
  <c r="C2314" i="49"/>
  <c r="C2304" i="49"/>
  <c r="C2301" i="49"/>
  <c r="C2291" i="49"/>
  <c r="C2281" i="49"/>
  <c r="C2278" i="49"/>
  <c r="C2268" i="49"/>
  <c r="C2265" i="49"/>
  <c r="C2255" i="49"/>
  <c r="C2245" i="49"/>
  <c r="C2242" i="49"/>
  <c r="C2232" i="49"/>
  <c r="C2229" i="49"/>
  <c r="C2219" i="49"/>
  <c r="C2209" i="49"/>
  <c r="C2206" i="49"/>
  <c r="C2196" i="49"/>
  <c r="C2193" i="49"/>
  <c r="C2183" i="49"/>
  <c r="C2173" i="49"/>
  <c r="C2170" i="49"/>
  <c r="C2160" i="49"/>
  <c r="C2157" i="49"/>
  <c r="C2147" i="49"/>
  <c r="C2137" i="49"/>
  <c r="C2134" i="49"/>
  <c r="C2124" i="49"/>
  <c r="C2121" i="49"/>
  <c r="C2111" i="49"/>
  <c r="C2101" i="49"/>
  <c r="C2098" i="49"/>
  <c r="C2088" i="49"/>
  <c r="C2085" i="49"/>
  <c r="C2075" i="49"/>
  <c r="C2065" i="49"/>
  <c r="C2062" i="49"/>
  <c r="C2052" i="49"/>
  <c r="C2049" i="49"/>
  <c r="C2288" i="49"/>
  <c r="C2252" i="49"/>
  <c r="C2216" i="49"/>
  <c r="C2180" i="49"/>
  <c r="C2144" i="49"/>
  <c r="C2108" i="49"/>
  <c r="C2072" i="49"/>
  <c r="C2042" i="49"/>
  <c r="C2311" i="49"/>
  <c r="C2308" i="49"/>
  <c r="C2298" i="49"/>
  <c r="C2295" i="49"/>
  <c r="C2285" i="49"/>
  <c r="C2275" i="49"/>
  <c r="C2272" i="49"/>
  <c r="C2262" i="49"/>
  <c r="C2259" i="49"/>
  <c r="C2249" i="49"/>
  <c r="C2239" i="49"/>
  <c r="C2236" i="49"/>
  <c r="C2226" i="49"/>
  <c r="C2223" i="49"/>
  <c r="C2213" i="49"/>
  <c r="C2203" i="49"/>
  <c r="C2200" i="49"/>
  <c r="C2190" i="49"/>
  <c r="C2187" i="49"/>
  <c r="C2177" i="49"/>
  <c r="C2167" i="49"/>
  <c r="C2164" i="49"/>
  <c r="C2154" i="49"/>
  <c r="C2151" i="49"/>
  <c r="C2141" i="49"/>
  <c r="C2284" i="49"/>
  <c r="C2269" i="49"/>
  <c r="C2257" i="49"/>
  <c r="C2237" i="49"/>
  <c r="C2217" i="49"/>
  <c r="C2215" i="49"/>
  <c r="C2205" i="49"/>
  <c r="C2163" i="49"/>
  <c r="C2148" i="49"/>
  <c r="C2138" i="49"/>
  <c r="C2136" i="49"/>
  <c r="C2125" i="49"/>
  <c r="C2123" i="49"/>
  <c r="C2112" i="49"/>
  <c r="C2110" i="49"/>
  <c r="C2099" i="49"/>
  <c r="C2097" i="49"/>
  <c r="C2086" i="49"/>
  <c r="C2073" i="49"/>
  <c r="C2316" i="49"/>
  <c r="C2306" i="49"/>
  <c r="C2296" i="49"/>
  <c r="C2274" i="49"/>
  <c r="C2227" i="49"/>
  <c r="C2286" i="49"/>
  <c r="C2276" i="49"/>
  <c r="C2266" i="49"/>
  <c r="C2254" i="49"/>
  <c r="C2212" i="49"/>
  <c r="C2197" i="49"/>
  <c r="C2185" i="49"/>
  <c r="C2165" i="49"/>
  <c r="C2145" i="49"/>
  <c r="C2143" i="49"/>
  <c r="C2131" i="49"/>
  <c r="C2129" i="49"/>
  <c r="C2118" i="49"/>
  <c r="C2116" i="49"/>
  <c r="C2313" i="49"/>
  <c r="C2271" i="49"/>
  <c r="C2256" i="49"/>
  <c r="C2246" i="49"/>
  <c r="C2244" i="49"/>
  <c r="C2234" i="49"/>
  <c r="C2224" i="49"/>
  <c r="C2202" i="49"/>
  <c r="C2155" i="49"/>
  <c r="C2090" i="49"/>
  <c r="C2066" i="49"/>
  <c r="C2041" i="49"/>
  <c r="C2037" i="49"/>
  <c r="C2035" i="49"/>
  <c r="C2312" i="49"/>
  <c r="C2290" i="49"/>
  <c r="C2279" i="49"/>
  <c r="C2199" i="49"/>
  <c r="C2100" i="49"/>
  <c r="C2087" i="49"/>
  <c r="C2074" i="49"/>
  <c r="C2061" i="49"/>
  <c r="C2053" i="49"/>
  <c r="C2315" i="49"/>
  <c r="C2282" i="49"/>
  <c r="C2260" i="49"/>
  <c r="C2238" i="49"/>
  <c r="C2189" i="49"/>
  <c r="C2176" i="49"/>
  <c r="C2153" i="49"/>
  <c r="C2102" i="49"/>
  <c r="C2297" i="49"/>
  <c r="C2293" i="49"/>
  <c r="C2241" i="49"/>
  <c r="C2230" i="49"/>
  <c r="C2182" i="49"/>
  <c r="C2179" i="49"/>
  <c r="C2169" i="49"/>
  <c r="C2166" i="49"/>
  <c r="C2133" i="49"/>
  <c r="C2119" i="49"/>
  <c r="C2089" i="49"/>
  <c r="C2076" i="49"/>
  <c r="C2071" i="49"/>
  <c r="C2063" i="49"/>
  <c r="C2058" i="49"/>
  <c r="C2050" i="49"/>
  <c r="C2045" i="49"/>
  <c r="C2036" i="49"/>
  <c r="C2034" i="49"/>
  <c r="C2289" i="49"/>
  <c r="C2263" i="49"/>
  <c r="C2172" i="49"/>
  <c r="C2162" i="49"/>
  <c r="C2159" i="49"/>
  <c r="C2152" i="49"/>
  <c r="C2146" i="49"/>
  <c r="C2139" i="49"/>
  <c r="C2113" i="49"/>
  <c r="C2107" i="49"/>
  <c r="C2094" i="49"/>
  <c r="C2081" i="49"/>
  <c r="C2068" i="49"/>
  <c r="C2055" i="49"/>
  <c r="C2029" i="49"/>
  <c r="C2307" i="49"/>
  <c r="C2303" i="49"/>
  <c r="C2247" i="49"/>
  <c r="C2225" i="49"/>
  <c r="C2149" i="49"/>
  <c r="C2130" i="49"/>
  <c r="C2126" i="49"/>
  <c r="C2093" i="49"/>
  <c r="C2046" i="49"/>
  <c r="C2302" i="49"/>
  <c r="C2280" i="49"/>
  <c r="C2208" i="49"/>
  <c r="C2198" i="49"/>
  <c r="C2188" i="49"/>
  <c r="C2104" i="49"/>
  <c r="C2096" i="49"/>
  <c r="C2054" i="49"/>
  <c r="C2309" i="49"/>
  <c r="C2273" i="49"/>
  <c r="C2251" i="49"/>
  <c r="C2240" i="49"/>
  <c r="C2218" i="49"/>
  <c r="C2178" i="49"/>
  <c r="C2168" i="49"/>
  <c r="C2158" i="49"/>
  <c r="C2117" i="49"/>
  <c r="C2077" i="49"/>
  <c r="C2069" i="49"/>
  <c r="C2057" i="49"/>
  <c r="C2039" i="49"/>
  <c r="C2033" i="49"/>
  <c r="C2235" i="49"/>
  <c r="C2207" i="49"/>
  <c r="C2092" i="49"/>
  <c r="C2283" i="49"/>
  <c r="C2261" i="49"/>
  <c r="C2201" i="49"/>
  <c r="C2181" i="49"/>
  <c r="C2103" i="49"/>
  <c r="C2091" i="49"/>
  <c r="C2250" i="49"/>
  <c r="C2211" i="49"/>
  <c r="C2195" i="49"/>
  <c r="C2161" i="49"/>
  <c r="C2128" i="49"/>
  <c r="C2122" i="49"/>
  <c r="C2221" i="49"/>
  <c r="C2194" i="49"/>
  <c r="C2135" i="49"/>
  <c r="C2106" i="49"/>
  <c r="C2079" i="49"/>
  <c r="C2059" i="49"/>
  <c r="C2028" i="49"/>
  <c r="C2277" i="49"/>
  <c r="C2267" i="49"/>
  <c r="C2248" i="49"/>
  <c r="C2231" i="49"/>
  <c r="C2142" i="49"/>
  <c r="C2127" i="49"/>
  <c r="C2191" i="49"/>
  <c r="C2083" i="49"/>
  <c r="C2051" i="49"/>
  <c r="C2243" i="49"/>
  <c r="C2233" i="49"/>
  <c r="C2140" i="49"/>
  <c r="C2115" i="49"/>
  <c r="C2095" i="49"/>
  <c r="C2299" i="49"/>
  <c r="C2171" i="49"/>
  <c r="C2105" i="49"/>
  <c r="C2082" i="49"/>
  <c r="C2070" i="49"/>
  <c r="C2040" i="49"/>
  <c r="C2214" i="49"/>
  <c r="C2047" i="49"/>
  <c r="C2184" i="49"/>
  <c r="C2080" i="49"/>
  <c r="C2056" i="49"/>
  <c r="C2292" i="49"/>
  <c r="C2210" i="49"/>
  <c r="C2067" i="49"/>
  <c r="C2305" i="49"/>
  <c r="C2109" i="49"/>
  <c r="C2043" i="49"/>
  <c r="C2032" i="49"/>
  <c r="C2310" i="49"/>
  <c r="C2270" i="49"/>
  <c r="C2175" i="49"/>
  <c r="C2204" i="49"/>
  <c r="C2174" i="49"/>
  <c r="C2038" i="49"/>
  <c r="C2220" i="49"/>
  <c r="C2287" i="49"/>
  <c r="C2132" i="49"/>
  <c r="C2064" i="49"/>
  <c r="P2692" i="49"/>
  <c r="M2692" i="49"/>
  <c r="G2692" i="49"/>
  <c r="A6" i="40"/>
  <c r="A12" i="40"/>
  <c r="G57" i="46"/>
  <c r="G80" i="46"/>
  <c r="G83" i="46"/>
  <c r="G93" i="46"/>
  <c r="G116" i="46"/>
  <c r="G123" i="46"/>
  <c r="G148" i="46"/>
  <c r="G152" i="46"/>
  <c r="G159" i="46"/>
  <c r="G184" i="46"/>
  <c r="G188" i="46"/>
  <c r="G195" i="46"/>
  <c r="G220" i="46"/>
  <c r="G224" i="46"/>
  <c r="G231" i="46"/>
  <c r="G256" i="46"/>
  <c r="G260" i="46"/>
  <c r="G267" i="46"/>
  <c r="G292" i="46"/>
  <c r="G296" i="46"/>
  <c r="G303" i="46"/>
  <c r="G328" i="46"/>
  <c r="G332" i="46"/>
  <c r="G339" i="46"/>
  <c r="G364" i="46"/>
  <c r="G368" i="46"/>
  <c r="G375" i="46"/>
  <c r="G400" i="46"/>
  <c r="G404" i="46"/>
  <c r="G411" i="46"/>
  <c r="G436" i="46"/>
  <c r="G440" i="46"/>
  <c r="G447" i="46"/>
  <c r="G472" i="46"/>
  <c r="G476" i="46"/>
  <c r="G483" i="46"/>
  <c r="G508" i="46"/>
  <c r="G512" i="46"/>
  <c r="G519" i="46"/>
  <c r="G544" i="46"/>
  <c r="G548" i="46"/>
  <c r="G555" i="46"/>
  <c r="G580" i="46"/>
  <c r="G584" i="46"/>
  <c r="G591" i="46"/>
  <c r="G616" i="46"/>
  <c r="G620" i="46"/>
  <c r="G627" i="46"/>
  <c r="G652" i="46"/>
  <c r="G656" i="46"/>
  <c r="G663" i="46"/>
  <c r="G688" i="46"/>
  <c r="G692" i="46"/>
  <c r="G699" i="46"/>
  <c r="G724" i="46"/>
  <c r="G728" i="46"/>
  <c r="G735" i="46"/>
  <c r="G761" i="46"/>
  <c r="G765" i="46"/>
  <c r="G792" i="46"/>
  <c r="C321" i="49"/>
  <c r="C328" i="49"/>
  <c r="C335" i="49"/>
  <c r="C363" i="49"/>
  <c r="C427" i="49"/>
  <c r="C431" i="49"/>
  <c r="C462" i="49"/>
  <c r="C508" i="49"/>
  <c r="C543" i="49"/>
  <c r="C560" i="49"/>
  <c r="C624" i="49"/>
  <c r="C659" i="49"/>
  <c r="C683" i="49"/>
  <c r="C707" i="49"/>
  <c r="C742" i="49"/>
  <c r="C766" i="49"/>
  <c r="M899" i="49"/>
  <c r="G899" i="49"/>
  <c r="M936" i="49"/>
  <c r="P936" i="49"/>
  <c r="G936" i="49"/>
  <c r="P943" i="49"/>
  <c r="P1087" i="49"/>
  <c r="M1087" i="49"/>
  <c r="M1135" i="49"/>
  <c r="P1135" i="49"/>
  <c r="G1135" i="49"/>
  <c r="C1271" i="49"/>
  <c r="C1377" i="49"/>
  <c r="C1606" i="49"/>
  <c r="C1709" i="49"/>
  <c r="C2603" i="49"/>
  <c r="C2600" i="49"/>
  <c r="C2593" i="49"/>
  <c r="C2587" i="49"/>
  <c r="C2581" i="49"/>
  <c r="C2575" i="49"/>
  <c r="C2569" i="49"/>
  <c r="C2563" i="49"/>
  <c r="C2557" i="49"/>
  <c r="C2551" i="49"/>
  <c r="C2545" i="49"/>
  <c r="C2539" i="49"/>
  <c r="C2533" i="49"/>
  <c r="C2527" i="49"/>
  <c r="C2521" i="49"/>
  <c r="C2515" i="49"/>
  <c r="C2509" i="49"/>
  <c r="C2503" i="49"/>
  <c r="C2497" i="49"/>
  <c r="C2491" i="49"/>
  <c r="C2485" i="49"/>
  <c r="C2479" i="49"/>
  <c r="C2473" i="49"/>
  <c r="C2467" i="49"/>
  <c r="C2461" i="49"/>
  <c r="C2455" i="49"/>
  <c r="C2449" i="49"/>
  <c r="C2443" i="49"/>
  <c r="C2437" i="49"/>
  <c r="C2431" i="49"/>
  <c r="C2425" i="49"/>
  <c r="C2419" i="49"/>
  <c r="C2413" i="49"/>
  <c r="C2407" i="49"/>
  <c r="C2401" i="49"/>
  <c r="C2395" i="49"/>
  <c r="C2389" i="49"/>
  <c r="C2383" i="49"/>
  <c r="C2377" i="49"/>
  <c r="C2597" i="49"/>
  <c r="C2601" i="49"/>
  <c r="C2598" i="49"/>
  <c r="C2589" i="49"/>
  <c r="C2583" i="49"/>
  <c r="C2577" i="49"/>
  <c r="C2571" i="49"/>
  <c r="C2565" i="49"/>
  <c r="C2559" i="49"/>
  <c r="C2553" i="49"/>
  <c r="C2547" i="49"/>
  <c r="C2541" i="49"/>
  <c r="C2535" i="49"/>
  <c r="C2529" i="49"/>
  <c r="C2523" i="49"/>
  <c r="C2517" i="49"/>
  <c r="C2511" i="49"/>
  <c r="C2505" i="49"/>
  <c r="C2499" i="49"/>
  <c r="C2493" i="49"/>
  <c r="C2487" i="49"/>
  <c r="C2481" i="49"/>
  <c r="C2572" i="49"/>
  <c r="C2570" i="49"/>
  <c r="C2562" i="49"/>
  <c r="C2531" i="49"/>
  <c r="C2500" i="49"/>
  <c r="C2498" i="49"/>
  <c r="C2490" i="49"/>
  <c r="C2474" i="49"/>
  <c r="C2456" i="49"/>
  <c r="C2438" i="49"/>
  <c r="C2420" i="49"/>
  <c r="C2402" i="49"/>
  <c r="C2384" i="49"/>
  <c r="C2354" i="49"/>
  <c r="C2331" i="49"/>
  <c r="C2584" i="49"/>
  <c r="C2582" i="49"/>
  <c r="C2574" i="49"/>
  <c r="C2543" i="49"/>
  <c r="C2512" i="49"/>
  <c r="C2510" i="49"/>
  <c r="C2502" i="49"/>
  <c r="C2348" i="49"/>
  <c r="C2324" i="49"/>
  <c r="C2604" i="49"/>
  <c r="C2599" i="49"/>
  <c r="C2590" i="49"/>
  <c r="C2588" i="49"/>
  <c r="C2580" i="49"/>
  <c r="C2549" i="49"/>
  <c r="C2518" i="49"/>
  <c r="C2516" i="49"/>
  <c r="C2508" i="49"/>
  <c r="C2472" i="49"/>
  <c r="C2470" i="49"/>
  <c r="C2454" i="49"/>
  <c r="C2452" i="49"/>
  <c r="C2436" i="49"/>
  <c r="C2434" i="49"/>
  <c r="C2418" i="49"/>
  <c r="C2416" i="49"/>
  <c r="C2400" i="49"/>
  <c r="C2398" i="49"/>
  <c r="C2382" i="49"/>
  <c r="C2380" i="49"/>
  <c r="C2368" i="49"/>
  <c r="C2358" i="49"/>
  <c r="C2355" i="49"/>
  <c r="C2345" i="49"/>
  <c r="C2335" i="49"/>
  <c r="C2332" i="49"/>
  <c r="C2328" i="49"/>
  <c r="C2321" i="49"/>
  <c r="C2317" i="49"/>
  <c r="C2594" i="49"/>
  <c r="C2586" i="49"/>
  <c r="C2555" i="49"/>
  <c r="C2524" i="49"/>
  <c r="C2522" i="49"/>
  <c r="C2514" i="49"/>
  <c r="C2483" i="49"/>
  <c r="C2468" i="49"/>
  <c r="C2450" i="49"/>
  <c r="C2432" i="49"/>
  <c r="C2414" i="49"/>
  <c r="C2396" i="49"/>
  <c r="C2378" i="49"/>
  <c r="C2342" i="49"/>
  <c r="C2325" i="49"/>
  <c r="C2592" i="49"/>
  <c r="C2561" i="49"/>
  <c r="C2530" i="49"/>
  <c r="C2528" i="49"/>
  <c r="C2520" i="49"/>
  <c r="C2489" i="49"/>
  <c r="C2477" i="49"/>
  <c r="C2475" i="49"/>
  <c r="C2459" i="49"/>
  <c r="C2457" i="49"/>
  <c r="C2441" i="49"/>
  <c r="C2439" i="49"/>
  <c r="C2423" i="49"/>
  <c r="C2421" i="49"/>
  <c r="C2405" i="49"/>
  <c r="C2403" i="49"/>
  <c r="C2387" i="49"/>
  <c r="C2385" i="49"/>
  <c r="C2371" i="49"/>
  <c r="C2365" i="49"/>
  <c r="C2362" i="49"/>
  <c r="C2352" i="49"/>
  <c r="C2349" i="49"/>
  <c r="C2339" i="49"/>
  <c r="C2560" i="49"/>
  <c r="C2542" i="49"/>
  <c r="C2525" i="49"/>
  <c r="C2507" i="49"/>
  <c r="C2486" i="49"/>
  <c r="C2476" i="49"/>
  <c r="C2451" i="49"/>
  <c r="C2448" i="49"/>
  <c r="C2445" i="49"/>
  <c r="C2361" i="49"/>
  <c r="C2346" i="49"/>
  <c r="C2336" i="49"/>
  <c r="C2334" i="49"/>
  <c r="C2318" i="49"/>
  <c r="C2595" i="49"/>
  <c r="C2482" i="49"/>
  <c r="C2442" i="49"/>
  <c r="C2426" i="49"/>
  <c r="C2417" i="49"/>
  <c r="C2411" i="49"/>
  <c r="C2392" i="49"/>
  <c r="C2351" i="49"/>
  <c r="C2329" i="49"/>
  <c r="C2327" i="49"/>
  <c r="C2469" i="49"/>
  <c r="C2466" i="49"/>
  <c r="C2463" i="49"/>
  <c r="C2386" i="49"/>
  <c r="C2363" i="49"/>
  <c r="C2343" i="49"/>
  <c r="C2341" i="49"/>
  <c r="C2322" i="49"/>
  <c r="C2320" i="49"/>
  <c r="C2591" i="49"/>
  <c r="C2573" i="49"/>
  <c r="C2556" i="49"/>
  <c r="C2552" i="49"/>
  <c r="C2538" i="49"/>
  <c r="C2534" i="49"/>
  <c r="C2496" i="49"/>
  <c r="C2460" i="49"/>
  <c r="C2444" i="49"/>
  <c r="C2435" i="49"/>
  <c r="C2429" i="49"/>
  <c r="C2410" i="49"/>
  <c r="C2353" i="49"/>
  <c r="C2333" i="49"/>
  <c r="C2488" i="49"/>
  <c r="C2478" i="49"/>
  <c r="C2462" i="49"/>
  <c r="C2453" i="49"/>
  <c r="C2447" i="49"/>
  <c r="C2428" i="49"/>
  <c r="C2532" i="49"/>
  <c r="C2513" i="49"/>
  <c r="C2501" i="49"/>
  <c r="C2430" i="49"/>
  <c r="C2394" i="49"/>
  <c r="C2364" i="49"/>
  <c r="C2605" i="49"/>
  <c r="C2579" i="49"/>
  <c r="C2568" i="49"/>
  <c r="C2550" i="49"/>
  <c r="C2537" i="49"/>
  <c r="C2519" i="49"/>
  <c r="C2440" i="49"/>
  <c r="C2399" i="49"/>
  <c r="C2367" i="49"/>
  <c r="C2356" i="49"/>
  <c r="C2567" i="49"/>
  <c r="C2548" i="49"/>
  <c r="C2536" i="49"/>
  <c r="C2506" i="49"/>
  <c r="C2471" i="49"/>
  <c r="C2408" i="49"/>
  <c r="C2379" i="49"/>
  <c r="C2337" i="49"/>
  <c r="C2585" i="49"/>
  <c r="C2566" i="49"/>
  <c r="C2554" i="49"/>
  <c r="C2494" i="49"/>
  <c r="C2424" i="49"/>
  <c r="C2375" i="49"/>
  <c r="C2359" i="49"/>
  <c r="C2596" i="49"/>
  <c r="C2578" i="49"/>
  <c r="C2433" i="49"/>
  <c r="C2422" i="49"/>
  <c r="C2393" i="49"/>
  <c r="C2388" i="49"/>
  <c r="C2374" i="49"/>
  <c r="C2366" i="49"/>
  <c r="C2344" i="49"/>
  <c r="C2330" i="49"/>
  <c r="C2390" i="49"/>
  <c r="C2360" i="49"/>
  <c r="C2347" i="49"/>
  <c r="C2340" i="49"/>
  <c r="C2602" i="49"/>
  <c r="C2558" i="49"/>
  <c r="C2412" i="49"/>
  <c r="C2404" i="49"/>
  <c r="C2381" i="49"/>
  <c r="C2458" i="49"/>
  <c r="C2372" i="49"/>
  <c r="C2576" i="49"/>
  <c r="C2546" i="49"/>
  <c r="C2464" i="49"/>
  <c r="C2370" i="49"/>
  <c r="C2319" i="49"/>
  <c r="C2480" i="49"/>
  <c r="C2376" i="49"/>
  <c r="C2326" i="49"/>
  <c r="C2495" i="49"/>
  <c r="C2446" i="49"/>
  <c r="C2350" i="49"/>
  <c r="C2564" i="49"/>
  <c r="C2526" i="49"/>
  <c r="C2427" i="49"/>
  <c r="C2540" i="49"/>
  <c r="C2504" i="49"/>
  <c r="C2409" i="49"/>
  <c r="C2357" i="49"/>
  <c r="C2397" i="49"/>
  <c r="C2373" i="49"/>
  <c r="C2369" i="49"/>
  <c r="C2465" i="49"/>
  <c r="C2338" i="49"/>
  <c r="C2415" i="49"/>
  <c r="C2323" i="49"/>
  <c r="C2406" i="49"/>
  <c r="C2492" i="49"/>
  <c r="C2391" i="49"/>
  <c r="C2484" i="49"/>
  <c r="C3183" i="49"/>
  <c r="C3177" i="49"/>
  <c r="C3178" i="49"/>
  <c r="C3172" i="49"/>
  <c r="C3166" i="49"/>
  <c r="C3160" i="49"/>
  <c r="C3154" i="49"/>
  <c r="C3148" i="49"/>
  <c r="C3142" i="49"/>
  <c r="C3136" i="49"/>
  <c r="C3130" i="49"/>
  <c r="C3124" i="49"/>
  <c r="C3118" i="49"/>
  <c r="C3112" i="49"/>
  <c r="C3106" i="49"/>
  <c r="C3100" i="49"/>
  <c r="C3094" i="49"/>
  <c r="C3088" i="49"/>
  <c r="C3082" i="49"/>
  <c r="C3076" i="49"/>
  <c r="C3070" i="49"/>
  <c r="C3064" i="49"/>
  <c r="C3058" i="49"/>
  <c r="C3052" i="49"/>
  <c r="C3046" i="49"/>
  <c r="C3040" i="49"/>
  <c r="C3034" i="49"/>
  <c r="C3028" i="49"/>
  <c r="C3022" i="49"/>
  <c r="C3016" i="49"/>
  <c r="C3010" i="49"/>
  <c r="C3004" i="49"/>
  <c r="C2998" i="49"/>
  <c r="C2992" i="49"/>
  <c r="C2986" i="49"/>
  <c r="C2980" i="49"/>
  <c r="C2974" i="49"/>
  <c r="C2968" i="49"/>
  <c r="C2962" i="49"/>
  <c r="C2956" i="49"/>
  <c r="C2950" i="49"/>
  <c r="C2944" i="49"/>
  <c r="C2938" i="49"/>
  <c r="C2932" i="49"/>
  <c r="C2926" i="49"/>
  <c r="C2920" i="49"/>
  <c r="C2914" i="49"/>
  <c r="C2908" i="49"/>
  <c r="C2902" i="49"/>
  <c r="C2896" i="49"/>
  <c r="C3169" i="49"/>
  <c r="C3159" i="49"/>
  <c r="C3156" i="49"/>
  <c r="C3146" i="49"/>
  <c r="C3143" i="49"/>
  <c r="C3133" i="49"/>
  <c r="C3123" i="49"/>
  <c r="C3120" i="49"/>
  <c r="C3110" i="49"/>
  <c r="C3107" i="49"/>
  <c r="C3097" i="49"/>
  <c r="C3087" i="49"/>
  <c r="C3084" i="49"/>
  <c r="C3175" i="49"/>
  <c r="C2907" i="49"/>
  <c r="C2904" i="49"/>
  <c r="C3173" i="49"/>
  <c r="C3117" i="49"/>
  <c r="C3104" i="49"/>
  <c r="C3091" i="49"/>
  <c r="C3032" i="49"/>
  <c r="C3006" i="49"/>
  <c r="C2937" i="49"/>
  <c r="C3181" i="49"/>
  <c r="C3171" i="49"/>
  <c r="C3158" i="49"/>
  <c r="C3147" i="49"/>
  <c r="C3145" i="49"/>
  <c r="C3134" i="49"/>
  <c r="C3132" i="49"/>
  <c r="C3121" i="49"/>
  <c r="C3119" i="49"/>
  <c r="C3108" i="49"/>
  <c r="C3095" i="49"/>
  <c r="C3075" i="49"/>
  <c r="C3063" i="49"/>
  <c r="C3056" i="49"/>
  <c r="C3051" i="49"/>
  <c r="C3049" i="49"/>
  <c r="C3044" i="49"/>
  <c r="C3037" i="49"/>
  <c r="C3030" i="49"/>
  <c r="C3025" i="49"/>
  <c r="C3023" i="49"/>
  <c r="C3018" i="49"/>
  <c r="C3011" i="49"/>
  <c r="C2999" i="49"/>
  <c r="C2961" i="49"/>
  <c r="C2954" i="49"/>
  <c r="C2949" i="49"/>
  <c r="C2942" i="49"/>
  <c r="C2935" i="49"/>
  <c r="C2930" i="49"/>
  <c r="C2928" i="49"/>
  <c r="C2923" i="49"/>
  <c r="C2916" i="49"/>
  <c r="C2911" i="49"/>
  <c r="C3068" i="49"/>
  <c r="C3042" i="49"/>
  <c r="C2973" i="49"/>
  <c r="C2947" i="49"/>
  <c r="C2921" i="49"/>
  <c r="C2909" i="49"/>
  <c r="C2906" i="49"/>
  <c r="C2901" i="49"/>
  <c r="C3180" i="49"/>
  <c r="C3153" i="49"/>
  <c r="C3140" i="49"/>
  <c r="C3127" i="49"/>
  <c r="C3114" i="49"/>
  <c r="C3101" i="49"/>
  <c r="C3078" i="49"/>
  <c r="C3009" i="49"/>
  <c r="C2983" i="49"/>
  <c r="C2957" i="49"/>
  <c r="C2899" i="49"/>
  <c r="C3170" i="49"/>
  <c r="C3168" i="49"/>
  <c r="C3157" i="49"/>
  <c r="C3155" i="49"/>
  <c r="C3144" i="49"/>
  <c r="C3131" i="49"/>
  <c r="C3099" i="49"/>
  <c r="C3086" i="49"/>
  <c r="C3071" i="49"/>
  <c r="C3033" i="49"/>
  <c r="C3026" i="49"/>
  <c r="C3021" i="49"/>
  <c r="C3014" i="49"/>
  <c r="C3007" i="49"/>
  <c r="C3002" i="49"/>
  <c r="C3000" i="49"/>
  <c r="C2995" i="49"/>
  <c r="C2988" i="49"/>
  <c r="C2981" i="49"/>
  <c r="C2976" i="49"/>
  <c r="C2969" i="49"/>
  <c r="C2931" i="49"/>
  <c r="C2919" i="49"/>
  <c r="C2912" i="49"/>
  <c r="C3039" i="49"/>
  <c r="C3012" i="49"/>
  <c r="C2953" i="49"/>
  <c r="C2929" i="49"/>
  <c r="C3161" i="49"/>
  <c r="C3150" i="49"/>
  <c r="C3080" i="49"/>
  <c r="C3062" i="49"/>
  <c r="C3059" i="49"/>
  <c r="C3027" i="49"/>
  <c r="C3003" i="49"/>
  <c r="C2997" i="49"/>
  <c r="C2917" i="49"/>
  <c r="C3128" i="49"/>
  <c r="C3102" i="49"/>
  <c r="C3098" i="49"/>
  <c r="C3077" i="49"/>
  <c r="C3074" i="49"/>
  <c r="C3065" i="49"/>
  <c r="C3053" i="49"/>
  <c r="C3050" i="49"/>
  <c r="C3047" i="49"/>
  <c r="C3015" i="49"/>
  <c r="C2994" i="49"/>
  <c r="C2991" i="49"/>
  <c r="C2985" i="49"/>
  <c r="C2967" i="49"/>
  <c r="C2964" i="49"/>
  <c r="C3165" i="49"/>
  <c r="C3139" i="49"/>
  <c r="C3135" i="49"/>
  <c r="C3113" i="49"/>
  <c r="C3109" i="49"/>
  <c r="C3105" i="49"/>
  <c r="C3083" i="49"/>
  <c r="C3041" i="49"/>
  <c r="C3038" i="49"/>
  <c r="C3035" i="49"/>
  <c r="C3029" i="49"/>
  <c r="C3017" i="49"/>
  <c r="C2982" i="49"/>
  <c r="C2979" i="49"/>
  <c r="C2970" i="49"/>
  <c r="C2958" i="49"/>
  <c r="C2955" i="49"/>
  <c r="C2952" i="49"/>
  <c r="C2903" i="49"/>
  <c r="C2898" i="49"/>
  <c r="C3176" i="49"/>
  <c r="C3164" i="49"/>
  <c r="C3138" i="49"/>
  <c r="C3116" i="49"/>
  <c r="C3090" i="49"/>
  <c r="C3005" i="49"/>
  <c r="C2993" i="49"/>
  <c r="C2946" i="49"/>
  <c r="C2943" i="49"/>
  <c r="C2940" i="49"/>
  <c r="C2934" i="49"/>
  <c r="C2922" i="49"/>
  <c r="C3149" i="49"/>
  <c r="C3079" i="49"/>
  <c r="C3073" i="49"/>
  <c r="C3020" i="49"/>
  <c r="C2990" i="49"/>
  <c r="C2895" i="49"/>
  <c r="C3141" i="49"/>
  <c r="C3111" i="49"/>
  <c r="C3089" i="49"/>
  <c r="C2963" i="49"/>
  <c r="C2939" i="49"/>
  <c r="C2933" i="49"/>
  <c r="C2915" i="49"/>
  <c r="C2910" i="49"/>
  <c r="C2897" i="49"/>
  <c r="C3126" i="49"/>
  <c r="C3096" i="49"/>
  <c r="C3081" i="49"/>
  <c r="C3069" i="49"/>
  <c r="C2927" i="49"/>
  <c r="C3125" i="49"/>
  <c r="C3103" i="49"/>
  <c r="C3057" i="49"/>
  <c r="C3045" i="49"/>
  <c r="C2905" i="49"/>
  <c r="C3162" i="49"/>
  <c r="C3137" i="49"/>
  <c r="C3093" i="49"/>
  <c r="C3031" i="49"/>
  <c r="C3019" i="49"/>
  <c r="C2972" i="49"/>
  <c r="C2966" i="49"/>
  <c r="C2960" i="49"/>
  <c r="C2948" i="49"/>
  <c r="C2913" i="49"/>
  <c r="C2900" i="49"/>
  <c r="C3151" i="49"/>
  <c r="C3129" i="49"/>
  <c r="C3060" i="49"/>
  <c r="C3054" i="49"/>
  <c r="C3036" i="49"/>
  <c r="C3001" i="49"/>
  <c r="C2977" i="49"/>
  <c r="C2971" i="49"/>
  <c r="C3179" i="49"/>
  <c r="C3163" i="49"/>
  <c r="C2945" i="49"/>
  <c r="C3061" i="49"/>
  <c r="C2978" i="49"/>
  <c r="C3115" i="49"/>
  <c r="C3085" i="49"/>
  <c r="C3048" i="49"/>
  <c r="C3024" i="49"/>
  <c r="C2989" i="49"/>
  <c r="C2965" i="49"/>
  <c r="C2941" i="49"/>
  <c r="C2936" i="49"/>
  <c r="C2924" i="49"/>
  <c r="C3174" i="49"/>
  <c r="C3013" i="49"/>
  <c r="C2987" i="49"/>
  <c r="C2918" i="49"/>
  <c r="C3167" i="49"/>
  <c r="C3055" i="49"/>
  <c r="C3008" i="49"/>
  <c r="C2984" i="49"/>
  <c r="C2959" i="49"/>
  <c r="C3072" i="49"/>
  <c r="C2996" i="49"/>
  <c r="C3182" i="49"/>
  <c r="C2951" i="49"/>
  <c r="C3066" i="49"/>
  <c r="C3152" i="49"/>
  <c r="C3122" i="49"/>
  <c r="C2975" i="49"/>
  <c r="C3043" i="49"/>
  <c r="C3092" i="49"/>
  <c r="C3067" i="49"/>
  <c r="C2925" i="49"/>
  <c r="K14" i="38"/>
  <c r="J14" i="38"/>
  <c r="C3468" i="49"/>
  <c r="C3464" i="49"/>
  <c r="C3451" i="49"/>
  <c r="C3447" i="49"/>
  <c r="C3460" i="49"/>
  <c r="C3443" i="49"/>
  <c r="C3426" i="49"/>
  <c r="C3422" i="49"/>
  <c r="C3456" i="49"/>
  <c r="C3452" i="49"/>
  <c r="C3439" i="49"/>
  <c r="C3435" i="49"/>
  <c r="C3418" i="49"/>
  <c r="C3469" i="49"/>
  <c r="C3465" i="49"/>
  <c r="C3448" i="49"/>
  <c r="C3431" i="49"/>
  <c r="C3414" i="49"/>
  <c r="C3410" i="49"/>
  <c r="C3397" i="49"/>
  <c r="C3393" i="49"/>
  <c r="C3376" i="49"/>
  <c r="C3359" i="49"/>
  <c r="C3342" i="49"/>
  <c r="C3338" i="49"/>
  <c r="C3461" i="49"/>
  <c r="C3444" i="49"/>
  <c r="C3440" i="49"/>
  <c r="C3427" i="49"/>
  <c r="C3423" i="49"/>
  <c r="C3406" i="49"/>
  <c r="C3389" i="49"/>
  <c r="C3372" i="49"/>
  <c r="C3368" i="49"/>
  <c r="C3355" i="49"/>
  <c r="C3351" i="49"/>
  <c r="C3334" i="49"/>
  <c r="C3328" i="49"/>
  <c r="C3322" i="49"/>
  <c r="C3316" i="49"/>
  <c r="C3310" i="49"/>
  <c r="C3304" i="49"/>
  <c r="C3298" i="49"/>
  <c r="C3292" i="49"/>
  <c r="C3286" i="49"/>
  <c r="C3280" i="49"/>
  <c r="C3274" i="49"/>
  <c r="C3268" i="49"/>
  <c r="C3262" i="49"/>
  <c r="C3256" i="49"/>
  <c r="C3250" i="49"/>
  <c r="C3244" i="49"/>
  <c r="C3238" i="49"/>
  <c r="C3232" i="49"/>
  <c r="C3226" i="49"/>
  <c r="C3220" i="49"/>
  <c r="C3436" i="49"/>
  <c r="C3430" i="49"/>
  <c r="C3420" i="49"/>
  <c r="C3416" i="49"/>
  <c r="C3409" i="49"/>
  <c r="C3390" i="49"/>
  <c r="C3357" i="49"/>
  <c r="C3354" i="49"/>
  <c r="C3335" i="49"/>
  <c r="C3454" i="49"/>
  <c r="C3445" i="49"/>
  <c r="C3434" i="49"/>
  <c r="C3412" i="49"/>
  <c r="C3404" i="49"/>
  <c r="C3401" i="49"/>
  <c r="C3382" i="49"/>
  <c r="C3379" i="49"/>
  <c r="C3360" i="49"/>
  <c r="C3346" i="49"/>
  <c r="C3332" i="49"/>
  <c r="C3329" i="49"/>
  <c r="C3319" i="49"/>
  <c r="C3309" i="49"/>
  <c r="C3306" i="49"/>
  <c r="C3296" i="49"/>
  <c r="C3293" i="49"/>
  <c r="C3283" i="49"/>
  <c r="C3273" i="49"/>
  <c r="C3270" i="49"/>
  <c r="C3260" i="49"/>
  <c r="C3257" i="49"/>
  <c r="C3247" i="49"/>
  <c r="C3237" i="49"/>
  <c r="C3234" i="49"/>
  <c r="C3224" i="49"/>
  <c r="C3221" i="49"/>
  <c r="C3213" i="49"/>
  <c r="C3207" i="49"/>
  <c r="C3201" i="49"/>
  <c r="C3195" i="49"/>
  <c r="C3189" i="49"/>
  <c r="C3472" i="49"/>
  <c r="C3463" i="49"/>
  <c r="C3407" i="49"/>
  <c r="C3385" i="49"/>
  <c r="C3374" i="49"/>
  <c r="C3371" i="49"/>
  <c r="C3352" i="49"/>
  <c r="C3349" i="49"/>
  <c r="C3458" i="49"/>
  <c r="C3449" i="49"/>
  <c r="C3399" i="49"/>
  <c r="C3396" i="49"/>
  <c r="C3377" i="49"/>
  <c r="C3363" i="49"/>
  <c r="C3344" i="49"/>
  <c r="C3341" i="49"/>
  <c r="C3326" i="49"/>
  <c r="C3323" i="49"/>
  <c r="C3313" i="49"/>
  <c r="C3303" i="49"/>
  <c r="C3300" i="49"/>
  <c r="C3290" i="49"/>
  <c r="C3287" i="49"/>
  <c r="C3277" i="49"/>
  <c r="C3267" i="49"/>
  <c r="C3264" i="49"/>
  <c r="C3254" i="49"/>
  <c r="C3251" i="49"/>
  <c r="C3241" i="49"/>
  <c r="C3231" i="49"/>
  <c r="C3228" i="49"/>
  <c r="C3218" i="49"/>
  <c r="C3214" i="49"/>
  <c r="C3208" i="49"/>
  <c r="C3202" i="49"/>
  <c r="C3196" i="49"/>
  <c r="C3190" i="49"/>
  <c r="C3184" i="49"/>
  <c r="C3467" i="49"/>
  <c r="C3438" i="49"/>
  <c r="C3402" i="49"/>
  <c r="C3388" i="49"/>
  <c r="C3369" i="49"/>
  <c r="C3366" i="49"/>
  <c r="C3432" i="49"/>
  <c r="C3425" i="49"/>
  <c r="C3358" i="49"/>
  <c r="C3339" i="49"/>
  <c r="C3330" i="49"/>
  <c r="C3317" i="49"/>
  <c r="C3285" i="49"/>
  <c r="C3272" i="49"/>
  <c r="C3261" i="49"/>
  <c r="C3259" i="49"/>
  <c r="C3248" i="49"/>
  <c r="C3246" i="49"/>
  <c r="C3235" i="49"/>
  <c r="C3233" i="49"/>
  <c r="C3222" i="49"/>
  <c r="C3205" i="49"/>
  <c r="C3203" i="49"/>
  <c r="C3470" i="49"/>
  <c r="C3466" i="49"/>
  <c r="C3462" i="49"/>
  <c r="C3459" i="49"/>
  <c r="C3455" i="49"/>
  <c r="C3398" i="49"/>
  <c r="C3337" i="49"/>
  <c r="C3428" i="49"/>
  <c r="C3411" i="49"/>
  <c r="C3353" i="49"/>
  <c r="C3315" i="49"/>
  <c r="C3302" i="49"/>
  <c r="C3291" i="49"/>
  <c r="C3289" i="49"/>
  <c r="C3278" i="49"/>
  <c r="C3276" i="49"/>
  <c r="C3265" i="49"/>
  <c r="C3263" i="49"/>
  <c r="C3252" i="49"/>
  <c r="C3239" i="49"/>
  <c r="C3212" i="49"/>
  <c r="C3210" i="49"/>
  <c r="C3453" i="49"/>
  <c r="C3446" i="49"/>
  <c r="C3442" i="49"/>
  <c r="C3408" i="49"/>
  <c r="C3400" i="49"/>
  <c r="C3392" i="49"/>
  <c r="C3381" i="49"/>
  <c r="C3348" i="49"/>
  <c r="C3336" i="49"/>
  <c r="C3321" i="49"/>
  <c r="C3308" i="49"/>
  <c r="C3297" i="49"/>
  <c r="C3295" i="49"/>
  <c r="C3284" i="49"/>
  <c r="C3282" i="49"/>
  <c r="C3271" i="49"/>
  <c r="C3269" i="49"/>
  <c r="C3258" i="49"/>
  <c r="C3245" i="49"/>
  <c r="C3215" i="49"/>
  <c r="C3199" i="49"/>
  <c r="C3197" i="49"/>
  <c r="C3194" i="49"/>
  <c r="C3192" i="49"/>
  <c r="C3187" i="49"/>
  <c r="C3185" i="49"/>
  <c r="C3457" i="49"/>
  <c r="C3450" i="49"/>
  <c r="C3424" i="49"/>
  <c r="C3417" i="49"/>
  <c r="C3405" i="49"/>
  <c r="C3394" i="49"/>
  <c r="C3386" i="49"/>
  <c r="C3384" i="49"/>
  <c r="C3373" i="49"/>
  <c r="C3365" i="49"/>
  <c r="C3350" i="49"/>
  <c r="C3325" i="49"/>
  <c r="C3299" i="49"/>
  <c r="C3255" i="49"/>
  <c r="C3229" i="49"/>
  <c r="C3225" i="49"/>
  <c r="C3441" i="49"/>
  <c r="C3383" i="49"/>
  <c r="C3266" i="49"/>
  <c r="C3240" i="49"/>
  <c r="C3236" i="49"/>
  <c r="C3204" i="49"/>
  <c r="C3191" i="49"/>
  <c r="C3378" i="49"/>
  <c r="C3364" i="49"/>
  <c r="C3356" i="49"/>
  <c r="C3340" i="49"/>
  <c r="C3243" i="49"/>
  <c r="C3186" i="49"/>
  <c r="C3421" i="49"/>
  <c r="C3391" i="49"/>
  <c r="C3387" i="49"/>
  <c r="C3343" i="49"/>
  <c r="C3324" i="49"/>
  <c r="C3320" i="49"/>
  <c r="C3294" i="49"/>
  <c r="C3415" i="49"/>
  <c r="C3331" i="49"/>
  <c r="C3327" i="49"/>
  <c r="C3305" i="49"/>
  <c r="C3301" i="49"/>
  <c r="C3275" i="49"/>
  <c r="C3217" i="49"/>
  <c r="C3206" i="49"/>
  <c r="C3198" i="49"/>
  <c r="C3193" i="49"/>
  <c r="C3429" i="49"/>
  <c r="C3370" i="49"/>
  <c r="C3347" i="49"/>
  <c r="C3471" i="49"/>
  <c r="C3437" i="49"/>
  <c r="C3361" i="49"/>
  <c r="C3333" i="49"/>
  <c r="C3314" i="49"/>
  <c r="C3219" i="49"/>
  <c r="C3209" i="49"/>
  <c r="C3307" i="49"/>
  <c r="C3288" i="49"/>
  <c r="C3200" i="49"/>
  <c r="C3375" i="49"/>
  <c r="C3367" i="49"/>
  <c r="C3312" i="49"/>
  <c r="C3281" i="49"/>
  <c r="C3249" i="49"/>
  <c r="C3230" i="49"/>
  <c r="C3345" i="49"/>
  <c r="C3242" i="49"/>
  <c r="C3223" i="49"/>
  <c r="C3188" i="49"/>
  <c r="C3419" i="49"/>
  <c r="C3403" i="49"/>
  <c r="C3227" i="49"/>
  <c r="C3433" i="49"/>
  <c r="C3413" i="49"/>
  <c r="C3395" i="49"/>
  <c r="C3211" i="49"/>
  <c r="C3362" i="49"/>
  <c r="C3279" i="49"/>
  <c r="C3253" i="49"/>
  <c r="C3216" i="49"/>
  <c r="C3380" i="49"/>
  <c r="C3318" i="49"/>
  <c r="C3311" i="49"/>
  <c r="I15" i="38"/>
  <c r="C3756" i="49"/>
  <c r="C3752" i="49"/>
  <c r="C3739" i="49"/>
  <c r="C3735" i="49"/>
  <c r="C3718" i="49"/>
  <c r="C3759" i="49"/>
  <c r="C3749" i="49"/>
  <c r="C3729" i="49"/>
  <c r="C3719" i="49"/>
  <c r="C3702" i="49"/>
  <c r="C3698" i="49"/>
  <c r="C3685" i="49"/>
  <c r="C3681" i="49"/>
  <c r="C3664" i="49"/>
  <c r="C3647" i="49"/>
  <c r="C3630" i="49"/>
  <c r="C3626" i="49"/>
  <c r="C3613" i="49"/>
  <c r="C3609" i="49"/>
  <c r="C3592" i="49"/>
  <c r="C3575" i="49"/>
  <c r="C3558" i="49"/>
  <c r="C3554" i="49"/>
  <c r="C3541" i="49"/>
  <c r="C3537" i="49"/>
  <c r="C3520" i="49"/>
  <c r="C3503" i="49"/>
  <c r="C3481" i="49"/>
  <c r="C3477" i="49"/>
  <c r="C3746" i="49"/>
  <c r="C3736" i="49"/>
  <c r="C3716" i="49"/>
  <c r="C3709" i="49"/>
  <c r="C3706" i="49"/>
  <c r="C3694" i="49"/>
  <c r="C3677" i="49"/>
  <c r="C3660" i="49"/>
  <c r="C3656" i="49"/>
  <c r="C3643" i="49"/>
  <c r="C3639" i="49"/>
  <c r="C3622" i="49"/>
  <c r="C3605" i="49"/>
  <c r="C3588" i="49"/>
  <c r="C3584" i="49"/>
  <c r="C3571" i="49"/>
  <c r="C3567" i="49"/>
  <c r="C3550" i="49"/>
  <c r="C3533" i="49"/>
  <c r="C3516" i="49"/>
  <c r="C3512" i="49"/>
  <c r="C3499" i="49"/>
  <c r="C3495" i="49"/>
  <c r="C3486" i="49"/>
  <c r="C3753" i="49"/>
  <c r="C3726" i="49"/>
  <c r="C3723" i="49"/>
  <c r="C3690" i="49"/>
  <c r="C3686" i="49"/>
  <c r="C3673" i="49"/>
  <c r="C3669" i="49"/>
  <c r="C3652" i="49"/>
  <c r="C3635" i="49"/>
  <c r="C3618" i="49"/>
  <c r="C3614" i="49"/>
  <c r="C3601" i="49"/>
  <c r="C3597" i="49"/>
  <c r="C3580" i="49"/>
  <c r="C3563" i="49"/>
  <c r="C3546" i="49"/>
  <c r="C3542" i="49"/>
  <c r="C3529" i="49"/>
  <c r="C3525" i="49"/>
  <c r="C3508" i="49"/>
  <c r="C3491" i="49"/>
  <c r="C3482" i="49"/>
  <c r="C3473" i="49"/>
  <c r="C3743" i="49"/>
  <c r="C3740" i="49"/>
  <c r="C3733" i="49"/>
  <c r="C3713" i="49"/>
  <c r="C3710" i="49"/>
  <c r="C3703" i="49"/>
  <c r="C3699" i="49"/>
  <c r="C3682" i="49"/>
  <c r="C3665" i="49"/>
  <c r="C3648" i="49"/>
  <c r="C3644" i="49"/>
  <c r="C3631" i="49"/>
  <c r="C3627" i="49"/>
  <c r="C3610" i="49"/>
  <c r="C3593" i="49"/>
  <c r="C3576" i="49"/>
  <c r="C3572" i="49"/>
  <c r="C3559" i="49"/>
  <c r="C3555" i="49"/>
  <c r="C3538" i="49"/>
  <c r="C3521" i="49"/>
  <c r="C3504" i="49"/>
  <c r="C3500" i="49"/>
  <c r="C3478" i="49"/>
  <c r="C3760" i="49"/>
  <c r="C3750" i="49"/>
  <c r="C3730" i="49"/>
  <c r="C3720" i="49"/>
  <c r="C3695" i="49"/>
  <c r="C3678" i="49"/>
  <c r="C3674" i="49"/>
  <c r="C3661" i="49"/>
  <c r="C3657" i="49"/>
  <c r="C3640" i="49"/>
  <c r="C3623" i="49"/>
  <c r="C3606" i="49"/>
  <c r="C3602" i="49"/>
  <c r="C3589" i="49"/>
  <c r="C3585" i="49"/>
  <c r="C3568" i="49"/>
  <c r="C3551" i="49"/>
  <c r="C3534" i="49"/>
  <c r="C3530" i="49"/>
  <c r="C3517" i="49"/>
  <c r="C3513" i="49"/>
  <c r="C3496" i="49"/>
  <c r="C3487" i="49"/>
  <c r="C3483" i="49"/>
  <c r="C3758" i="49"/>
  <c r="C3731" i="49"/>
  <c r="C3704" i="49"/>
  <c r="C3693" i="49"/>
  <c r="C3684" i="49"/>
  <c r="C3655" i="49"/>
  <c r="C3632" i="49"/>
  <c r="C3603" i="49"/>
  <c r="C3594" i="49"/>
  <c r="C3574" i="49"/>
  <c r="C3565" i="49"/>
  <c r="C3545" i="49"/>
  <c r="C3748" i="49"/>
  <c r="C3670" i="49"/>
  <c r="C3650" i="49"/>
  <c r="C3641" i="49"/>
  <c r="C3621" i="49"/>
  <c r="C3612" i="49"/>
  <c r="C3583" i="49"/>
  <c r="C3560" i="49"/>
  <c r="C3531" i="49"/>
  <c r="C3522" i="49"/>
  <c r="C3502" i="49"/>
  <c r="C3493" i="49"/>
  <c r="C3474" i="49"/>
  <c r="C3721" i="49"/>
  <c r="C3711" i="49"/>
  <c r="C3688" i="49"/>
  <c r="C3679" i="49"/>
  <c r="C3668" i="49"/>
  <c r="C3659" i="49"/>
  <c r="C3598" i="49"/>
  <c r="C3578" i="49"/>
  <c r="C3569" i="49"/>
  <c r="C3549" i="49"/>
  <c r="C3540" i="49"/>
  <c r="C3511" i="49"/>
  <c r="C3738" i="49"/>
  <c r="C3728" i="49"/>
  <c r="C3697" i="49"/>
  <c r="C3645" i="49"/>
  <c r="C3636" i="49"/>
  <c r="C3616" i="49"/>
  <c r="C3607" i="49"/>
  <c r="C3596" i="49"/>
  <c r="C3587" i="49"/>
  <c r="C3526" i="49"/>
  <c r="C3506" i="49"/>
  <c r="C3497" i="49"/>
  <c r="C3488" i="49"/>
  <c r="C3484" i="49"/>
  <c r="C3476" i="49"/>
  <c r="C3757" i="49"/>
  <c r="C3755" i="49"/>
  <c r="C3692" i="49"/>
  <c r="C3683" i="49"/>
  <c r="C3663" i="49"/>
  <c r="C3654" i="49"/>
  <c r="C3634" i="49"/>
  <c r="C3625" i="49"/>
  <c r="C3573" i="49"/>
  <c r="C3564" i="49"/>
  <c r="C3544" i="49"/>
  <c r="C3535" i="49"/>
  <c r="C3524" i="49"/>
  <c r="C3515" i="49"/>
  <c r="C3480" i="49"/>
  <c r="C3747" i="49"/>
  <c r="C3745" i="49"/>
  <c r="C3701" i="49"/>
  <c r="C3672" i="49"/>
  <c r="C3620" i="49"/>
  <c r="C3611" i="49"/>
  <c r="C3591" i="49"/>
  <c r="C3582" i="49"/>
  <c r="C3562" i="49"/>
  <c r="C3553" i="49"/>
  <c r="C3501" i="49"/>
  <c r="C3492" i="49"/>
  <c r="C3742" i="49"/>
  <c r="C3717" i="49"/>
  <c r="C3662" i="49"/>
  <c r="C3653" i="49"/>
  <c r="C3604" i="49"/>
  <c r="C3595" i="49"/>
  <c r="C3514" i="49"/>
  <c r="C3505" i="49"/>
  <c r="C3761" i="49"/>
  <c r="C3732" i="49"/>
  <c r="C3707" i="49"/>
  <c r="C3680" i="49"/>
  <c r="C3671" i="49"/>
  <c r="C3590" i="49"/>
  <c r="C3581" i="49"/>
  <c r="C3532" i="49"/>
  <c r="C3523" i="49"/>
  <c r="C3722" i="49"/>
  <c r="C3689" i="49"/>
  <c r="C3608" i="49"/>
  <c r="C3599" i="49"/>
  <c r="C3518" i="49"/>
  <c r="C3509" i="49"/>
  <c r="C3489" i="49"/>
  <c r="C3687" i="49"/>
  <c r="C3638" i="49"/>
  <c r="C3629" i="49"/>
  <c r="C3548" i="49"/>
  <c r="C3539" i="49"/>
  <c r="C3479" i="49"/>
  <c r="C3754" i="49"/>
  <c r="C3725" i="49"/>
  <c r="C3696" i="49"/>
  <c r="C3615" i="49"/>
  <c r="C3566" i="49"/>
  <c r="C3557" i="49"/>
  <c r="C3675" i="49"/>
  <c r="C3637" i="49"/>
  <c r="C3543" i="49"/>
  <c r="C3714" i="49"/>
  <c r="C3705" i="49"/>
  <c r="C3667" i="49"/>
  <c r="C3651" i="49"/>
  <c r="C3628" i="49"/>
  <c r="C3536" i="49"/>
  <c r="C3666" i="49"/>
  <c r="C3658" i="49"/>
  <c r="C3528" i="49"/>
  <c r="C3744" i="49"/>
  <c r="C3712" i="49"/>
  <c r="C3649" i="49"/>
  <c r="C3633" i="49"/>
  <c r="C3490" i="49"/>
  <c r="C3510" i="49"/>
  <c r="C3715" i="49"/>
  <c r="C3700" i="49"/>
  <c r="C3676" i="49"/>
  <c r="C3727" i="49"/>
  <c r="C3619" i="49"/>
  <c r="C3579" i="49"/>
  <c r="C3527" i="49"/>
  <c r="C3741" i="49"/>
  <c r="C3646" i="49"/>
  <c r="C3617" i="49"/>
  <c r="C3552" i="49"/>
  <c r="C3737" i="49"/>
  <c r="C3724" i="49"/>
  <c r="C3642" i="49"/>
  <c r="C3577" i="49"/>
  <c r="C3708" i="49"/>
  <c r="C3498" i="49"/>
  <c r="C3734" i="49"/>
  <c r="C3485" i="49"/>
  <c r="C3624" i="49"/>
  <c r="C3600" i="49"/>
  <c r="C3547" i="49"/>
  <c r="C3519" i="49"/>
  <c r="C3475" i="49"/>
  <c r="C3570" i="49"/>
  <c r="C3586" i="49"/>
  <c r="C3507" i="49"/>
  <c r="C3556" i="49"/>
  <c r="C3494" i="49"/>
  <c r="C3561" i="49"/>
  <c r="C3751" i="49"/>
  <c r="C3691" i="49"/>
  <c r="C4048" i="49"/>
  <c r="C4042" i="49"/>
  <c r="C4036" i="49"/>
  <c r="C4030" i="49"/>
  <c r="C4024" i="49"/>
  <c r="C4018" i="49"/>
  <c r="C4012" i="49"/>
  <c r="C4006" i="49"/>
  <c r="C4000" i="49"/>
  <c r="C3994" i="49"/>
  <c r="C3988" i="49"/>
  <c r="C3982" i="49"/>
  <c r="C3976" i="49"/>
  <c r="C3970" i="49"/>
  <c r="C3964" i="49"/>
  <c r="C3958" i="49"/>
  <c r="C3952" i="49"/>
  <c r="C3946" i="49"/>
  <c r="C3940" i="49"/>
  <c r="C3934" i="49"/>
  <c r="C3928" i="49"/>
  <c r="C3922" i="49"/>
  <c r="C3916" i="49"/>
  <c r="C3910" i="49"/>
  <c r="C3904" i="49"/>
  <c r="C3898" i="49"/>
  <c r="C3892" i="49"/>
  <c r="C3886" i="49"/>
  <c r="C3880" i="49"/>
  <c r="C3874" i="49"/>
  <c r="C3868" i="49"/>
  <c r="C3862" i="49"/>
  <c r="C3856" i="49"/>
  <c r="C3850" i="49"/>
  <c r="C3844" i="49"/>
  <c r="C3838" i="49"/>
  <c r="C3832" i="49"/>
  <c r="C3826" i="49"/>
  <c r="C3820" i="49"/>
  <c r="C3814" i="49"/>
  <c r="C3808" i="49"/>
  <c r="C3802" i="49"/>
  <c r="C3796" i="49"/>
  <c r="C3790" i="49"/>
  <c r="C3784" i="49"/>
  <c r="C3778" i="49"/>
  <c r="C4046" i="49"/>
  <c r="C4043" i="49"/>
  <c r="C4033" i="49"/>
  <c r="C4023" i="49"/>
  <c r="C4020" i="49"/>
  <c r="C4010" i="49"/>
  <c r="C4007" i="49"/>
  <c r="C3997" i="49"/>
  <c r="C3987" i="49"/>
  <c r="C3984" i="49"/>
  <c r="C3974" i="49"/>
  <c r="C3971" i="49"/>
  <c r="C3961" i="49"/>
  <c r="C3951" i="49"/>
  <c r="C3948" i="49"/>
  <c r="C3938" i="49"/>
  <c r="C3935" i="49"/>
  <c r="C3925" i="49"/>
  <c r="C3915" i="49"/>
  <c r="C3912" i="49"/>
  <c r="C4049" i="49"/>
  <c r="C4047" i="49"/>
  <c r="C4045" i="49"/>
  <c r="C4037" i="49"/>
  <c r="C4041" i="49"/>
  <c r="C4039" i="49"/>
  <c r="C4031" i="49"/>
  <c r="C4016" i="49"/>
  <c r="C4008" i="49"/>
  <c r="C3993" i="49"/>
  <c r="C3985" i="49"/>
  <c r="C3962" i="49"/>
  <c r="C3941" i="49"/>
  <c r="C3939" i="49"/>
  <c r="C3932" i="49"/>
  <c r="C3927" i="49"/>
  <c r="C3920" i="49"/>
  <c r="C3913" i="49"/>
  <c r="C3908" i="49"/>
  <c r="C3906" i="49"/>
  <c r="C3895" i="49"/>
  <c r="C3887" i="49"/>
  <c r="C3884" i="49"/>
  <c r="C3873" i="49"/>
  <c r="C3840" i="49"/>
  <c r="C3829" i="49"/>
  <c r="C3821" i="49"/>
  <c r="C3818" i="49"/>
  <c r="C3769" i="49"/>
  <c r="C3765" i="49"/>
  <c r="C4050" i="49"/>
  <c r="C4035" i="49"/>
  <c r="C4027" i="49"/>
  <c r="C4004" i="49"/>
  <c r="C3983" i="49"/>
  <c r="C3981" i="49"/>
  <c r="C3960" i="49"/>
  <c r="C3876" i="49"/>
  <c r="C3865" i="49"/>
  <c r="C3857" i="49"/>
  <c r="C3854" i="49"/>
  <c r="C4026" i="49"/>
  <c r="C4011" i="49"/>
  <c r="C3929" i="49"/>
  <c r="C3921" i="49"/>
  <c r="C3878" i="49"/>
  <c r="C3861" i="49"/>
  <c r="C3766" i="49"/>
  <c r="C4034" i="49"/>
  <c r="C4025" i="49"/>
  <c r="C3891" i="49"/>
  <c r="C3859" i="49"/>
  <c r="C3842" i="49"/>
  <c r="C3825" i="49"/>
  <c r="C3807" i="49"/>
  <c r="C3795" i="49"/>
  <c r="C3788" i="49"/>
  <c r="C3783" i="49"/>
  <c r="C3773" i="49"/>
  <c r="C4013" i="49"/>
  <c r="C3990" i="49"/>
  <c r="C3967" i="49"/>
  <c r="C3953" i="49"/>
  <c r="C3944" i="49"/>
  <c r="C3937" i="49"/>
  <c r="C3933" i="49"/>
  <c r="C3931" i="49"/>
  <c r="C3889" i="49"/>
  <c r="C3872" i="49"/>
  <c r="C3870" i="49"/>
  <c r="C3855" i="49"/>
  <c r="C3823" i="49"/>
  <c r="C3812" i="49"/>
  <c r="C3805" i="49"/>
  <c r="C3800" i="49"/>
  <c r="C3770" i="49"/>
  <c r="C4028" i="49"/>
  <c r="C4015" i="49"/>
  <c r="C4001" i="49"/>
  <c r="C3992" i="49"/>
  <c r="C3978" i="49"/>
  <c r="C3969" i="49"/>
  <c r="C3955" i="49"/>
  <c r="C3902" i="49"/>
  <c r="C3900" i="49"/>
  <c r="C3885" i="49"/>
  <c r="C3883" i="49"/>
  <c r="C3853" i="49"/>
  <c r="C3851" i="49"/>
  <c r="C3836" i="49"/>
  <c r="C3834" i="49"/>
  <c r="C3819" i="49"/>
  <c r="C3810" i="49"/>
  <c r="C3798" i="49"/>
  <c r="C3793" i="49"/>
  <c r="C3786" i="49"/>
  <c r="C3781" i="49"/>
  <c r="C3763" i="49"/>
  <c r="C4017" i="49"/>
  <c r="C3999" i="49"/>
  <c r="C3918" i="49"/>
  <c r="C3914" i="49"/>
  <c r="C3896" i="49"/>
  <c r="C3881" i="49"/>
  <c r="C3866" i="49"/>
  <c r="C3864" i="49"/>
  <c r="C3849" i="49"/>
  <c r="C3847" i="49"/>
  <c r="C3817" i="49"/>
  <c r="C3815" i="49"/>
  <c r="C3803" i="49"/>
  <c r="C3791" i="49"/>
  <c r="C3779" i="49"/>
  <c r="C3776" i="49"/>
  <c r="C3767" i="49"/>
  <c r="C4029" i="49"/>
  <c r="C4019" i="49"/>
  <c r="C3980" i="49"/>
  <c r="C3968" i="49"/>
  <c r="C3919" i="49"/>
  <c r="C3882" i="49"/>
  <c r="C3869" i="49"/>
  <c r="C3843" i="49"/>
  <c r="C3837" i="49"/>
  <c r="C3830" i="49"/>
  <c r="C3785" i="49"/>
  <c r="C3782" i="49"/>
  <c r="C4038" i="49"/>
  <c r="C3972" i="49"/>
  <c r="C3956" i="49"/>
  <c r="C3901" i="49"/>
  <c r="C3888" i="49"/>
  <c r="C3875" i="49"/>
  <c r="C3827" i="49"/>
  <c r="C3811" i="49"/>
  <c r="C4003" i="49"/>
  <c r="C3991" i="49"/>
  <c r="C3975" i="49"/>
  <c r="C3959" i="49"/>
  <c r="C3936" i="49"/>
  <c r="C3911" i="49"/>
  <c r="C3894" i="49"/>
  <c r="C3846" i="49"/>
  <c r="C3833" i="49"/>
  <c r="C3799" i="49"/>
  <c r="C3995" i="49"/>
  <c r="C3979" i="49"/>
  <c r="C3852" i="49"/>
  <c r="C3839" i="49"/>
  <c r="C3771" i="49"/>
  <c r="C4022" i="49"/>
  <c r="C4014" i="49"/>
  <c r="C3998" i="49"/>
  <c r="C3943" i="49"/>
  <c r="C3907" i="49"/>
  <c r="C3871" i="49"/>
  <c r="C3858" i="49"/>
  <c r="C3845" i="49"/>
  <c r="C3787" i="49"/>
  <c r="C4032" i="49"/>
  <c r="C4002" i="49"/>
  <c r="C3963" i="49"/>
  <c r="C3947" i="49"/>
  <c r="C3890" i="49"/>
  <c r="C3877" i="49"/>
  <c r="C3816" i="49"/>
  <c r="C3813" i="49"/>
  <c r="C3764" i="49"/>
  <c r="C4009" i="49"/>
  <c r="C3977" i="49"/>
  <c r="C3930" i="49"/>
  <c r="C3909" i="49"/>
  <c r="C4044" i="49"/>
  <c r="C3945" i="49"/>
  <c r="C3923" i="49"/>
  <c r="C3824" i="49"/>
  <c r="C3806" i="49"/>
  <c r="C3863" i="49"/>
  <c r="C3831" i="49"/>
  <c r="C3794" i="49"/>
  <c r="C3777" i="49"/>
  <c r="C3942" i="49"/>
  <c r="C3893" i="49"/>
  <c r="C3841" i="49"/>
  <c r="C3828" i="49"/>
  <c r="C3804" i="49"/>
  <c r="C3792" i="49"/>
  <c r="C4005" i="49"/>
  <c r="C3989" i="49"/>
  <c r="C3973" i="49"/>
  <c r="C3860" i="49"/>
  <c r="C3848" i="49"/>
  <c r="C3780" i="49"/>
  <c r="C3899" i="49"/>
  <c r="C3801" i="49"/>
  <c r="C3949" i="49"/>
  <c r="C3774" i="49"/>
  <c r="C3768" i="49"/>
  <c r="C3986" i="49"/>
  <c r="C3762" i="49"/>
  <c r="C3957" i="49"/>
  <c r="C3772" i="49"/>
  <c r="C3835" i="49"/>
  <c r="C4021" i="49"/>
  <c r="C3954" i="49"/>
  <c r="C3797" i="49"/>
  <c r="C3996" i="49"/>
  <c r="C3950" i="49"/>
  <c r="C3789" i="49"/>
  <c r="C3897" i="49"/>
  <c r="C3822" i="49"/>
  <c r="C3966" i="49"/>
  <c r="C3924" i="49"/>
  <c r="C3917" i="49"/>
  <c r="C3879" i="49"/>
  <c r="C3775" i="49"/>
  <c r="C3903" i="49"/>
  <c r="C3809" i="49"/>
  <c r="C3965" i="49"/>
  <c r="C3905" i="49"/>
  <c r="C4040" i="49"/>
  <c r="C3867" i="49"/>
  <c r="C3926" i="49"/>
  <c r="G134" i="46"/>
  <c r="G145" i="46"/>
  <c r="G170" i="46"/>
  <c r="G181" i="46"/>
  <c r="G206" i="46"/>
  <c r="G217" i="46"/>
  <c r="G242" i="46"/>
  <c r="G253" i="46"/>
  <c r="G278" i="46"/>
  <c r="G289" i="46"/>
  <c r="G314" i="46"/>
  <c r="G325" i="46"/>
  <c r="G350" i="46"/>
  <c r="G361" i="46"/>
  <c r="G386" i="46"/>
  <c r="G397" i="46"/>
  <c r="G422" i="46"/>
  <c r="G433" i="46"/>
  <c r="G458" i="46"/>
  <c r="G469" i="46"/>
  <c r="G494" i="46"/>
  <c r="G505" i="46"/>
  <c r="G530" i="46"/>
  <c r="G541" i="46"/>
  <c r="G566" i="46"/>
  <c r="G577" i="46"/>
  <c r="G602" i="46"/>
  <c r="G613" i="46"/>
  <c r="G638" i="46"/>
  <c r="G649" i="46"/>
  <c r="G674" i="46"/>
  <c r="G685" i="46"/>
  <c r="G710" i="46"/>
  <c r="G721" i="46"/>
  <c r="G746" i="46"/>
  <c r="G820" i="46"/>
  <c r="C311" i="49"/>
  <c r="C346" i="49"/>
  <c r="C353" i="49"/>
  <c r="C389" i="49"/>
  <c r="C420" i="49"/>
  <c r="C424" i="49"/>
  <c r="C435" i="49"/>
  <c r="C481" i="49"/>
  <c r="C485" i="49"/>
  <c r="C512" i="49"/>
  <c r="C520" i="49"/>
  <c r="C548" i="49"/>
  <c r="C556" i="49"/>
  <c r="C636" i="49"/>
  <c r="C695" i="49"/>
  <c r="C719" i="49"/>
  <c r="C754" i="49"/>
  <c r="C778" i="49"/>
  <c r="C802" i="49"/>
  <c r="G886" i="49"/>
  <c r="M886" i="49"/>
  <c r="P886" i="49"/>
  <c r="M1044" i="49"/>
  <c r="P1044" i="49"/>
  <c r="G1087" i="49"/>
  <c r="C1323" i="49"/>
  <c r="C958" i="49"/>
  <c r="C984" i="49"/>
  <c r="C988" i="49"/>
  <c r="C1010" i="49"/>
  <c r="C1014" i="49"/>
  <c r="C1018" i="49"/>
  <c r="C1040" i="49"/>
  <c r="C1110" i="49"/>
  <c r="C900" i="49"/>
  <c r="C904" i="49"/>
  <c r="C926" i="49"/>
  <c r="C930" i="49"/>
  <c r="C956" i="49"/>
  <c r="M912" i="49"/>
  <c r="G912" i="49"/>
  <c r="M938" i="49"/>
  <c r="G938" i="49"/>
  <c r="G982" i="49"/>
  <c r="P982" i="49"/>
  <c r="M1008" i="49"/>
  <c r="P1008" i="49"/>
  <c r="G1008" i="49"/>
  <c r="G1012" i="49"/>
  <c r="P1012" i="49"/>
  <c r="P1034" i="49"/>
  <c r="M1034" i="49"/>
  <c r="G1034" i="49"/>
  <c r="M1038" i="49"/>
  <c r="P1038" i="49"/>
  <c r="M1046" i="49"/>
  <c r="G1046" i="49"/>
  <c r="P1128" i="49"/>
  <c r="G1128" i="49"/>
  <c r="M1145" i="49"/>
  <c r="G1145" i="49"/>
  <c r="C882" i="49"/>
  <c r="C971" i="49"/>
  <c r="C997" i="49"/>
  <c r="C1001" i="49"/>
  <c r="C1027" i="49"/>
  <c r="M1128" i="49"/>
  <c r="F16" i="30"/>
  <c r="F30" i="30"/>
  <c r="F34" i="30"/>
  <c r="F38" i="30"/>
  <c r="F44" i="30"/>
  <c r="D6" i="47"/>
  <c r="E6" i="47" s="1"/>
  <c r="B6" i="48"/>
  <c r="D6" i="48" s="1"/>
  <c r="C1160" i="49"/>
  <c r="C1154" i="49"/>
  <c r="C1148" i="49"/>
  <c r="C1142" i="49"/>
  <c r="C1136" i="49"/>
  <c r="C1130" i="49"/>
  <c r="C1158" i="49"/>
  <c r="C1141" i="49"/>
  <c r="C1137" i="49"/>
  <c r="C1124" i="49"/>
  <c r="C1118" i="49"/>
  <c r="C1150" i="49"/>
  <c r="C1133" i="49"/>
  <c r="C1146" i="49"/>
  <c r="C1129" i="49"/>
  <c r="C1125" i="49"/>
  <c r="C1119" i="49"/>
  <c r="C1113" i="49"/>
  <c r="C1107" i="49"/>
  <c r="C1101" i="49"/>
  <c r="C1095" i="49"/>
  <c r="C1089" i="49"/>
  <c r="C1083" i="49"/>
  <c r="C1077" i="49"/>
  <c r="C1071" i="49"/>
  <c r="C1065" i="49"/>
  <c r="C1059" i="49"/>
  <c r="C1053" i="49"/>
  <c r="C1047" i="49"/>
  <c r="C1041" i="49"/>
  <c r="C1035" i="49"/>
  <c r="C1029" i="49"/>
  <c r="C1023" i="49"/>
  <c r="C1017" i="49"/>
  <c r="C1011" i="49"/>
  <c r="C1005" i="49"/>
  <c r="C999" i="49"/>
  <c r="C993" i="49"/>
  <c r="C987" i="49"/>
  <c r="C981" i="49"/>
  <c r="C975" i="49"/>
  <c r="C969" i="49"/>
  <c r="C963" i="49"/>
  <c r="C957" i="49"/>
  <c r="C951" i="49"/>
  <c r="C945" i="49"/>
  <c r="C939" i="49"/>
  <c r="C933" i="49"/>
  <c r="C927" i="49"/>
  <c r="C921" i="49"/>
  <c r="C915" i="49"/>
  <c r="C909" i="49"/>
  <c r="C903" i="49"/>
  <c r="C897" i="49"/>
  <c r="C891" i="49"/>
  <c r="C885" i="49"/>
  <c r="C879" i="49"/>
  <c r="C873" i="49"/>
  <c r="C1159" i="49"/>
  <c r="C1155" i="49"/>
  <c r="C1138" i="49"/>
  <c r="C1153" i="49"/>
  <c r="C1149" i="49"/>
  <c r="C1139" i="49"/>
  <c r="C1152" i="49"/>
  <c r="C884" i="49"/>
  <c r="C881" i="49"/>
  <c r="C874" i="49"/>
  <c r="C1156" i="49"/>
  <c r="C1126" i="49"/>
  <c r="C1120" i="49"/>
  <c r="C1104" i="49"/>
  <c r="C1094" i="49"/>
  <c r="C1091" i="49"/>
  <c r="C1081" i="49"/>
  <c r="C1078" i="49"/>
  <c r="C1068" i="49"/>
  <c r="C1058" i="49"/>
  <c r="C1055" i="49"/>
  <c r="C1045" i="49"/>
  <c r="C1042" i="49"/>
  <c r="C1032" i="49"/>
  <c r="C1022" i="49"/>
  <c r="C1019" i="49"/>
  <c r="C1009" i="49"/>
  <c r="C1006" i="49"/>
  <c r="C996" i="49"/>
  <c r="C986" i="49"/>
  <c r="C983" i="49"/>
  <c r="C973" i="49"/>
  <c r="C970" i="49"/>
  <c r="C960" i="49"/>
  <c r="C950" i="49"/>
  <c r="C947" i="49"/>
  <c r="C937" i="49"/>
  <c r="C934" i="49"/>
  <c r="C924" i="49"/>
  <c r="C914" i="49"/>
  <c r="C911" i="49"/>
  <c r="C901" i="49"/>
  <c r="C898" i="49"/>
  <c r="C1143" i="49"/>
  <c r="C1122" i="49"/>
  <c r="C1116" i="49"/>
  <c r="C1114" i="49"/>
  <c r="C1111" i="49"/>
  <c r="C1108" i="49"/>
  <c r="C1098" i="49"/>
  <c r="C1088" i="49"/>
  <c r="C1085" i="49"/>
  <c r="C1075" i="49"/>
  <c r="C1072" i="49"/>
  <c r="C1062" i="49"/>
  <c r="C1052" i="49"/>
  <c r="C1049" i="49"/>
  <c r="C1039" i="49"/>
  <c r="C1036" i="49"/>
  <c r="C1026" i="49"/>
  <c r="C1016" i="49"/>
  <c r="C1013" i="49"/>
  <c r="C1003" i="49"/>
  <c r="C1000" i="49"/>
  <c r="C990" i="49"/>
  <c r="C980" i="49"/>
  <c r="C977" i="49"/>
  <c r="C967" i="49"/>
  <c r="C964" i="49"/>
  <c r="C954" i="49"/>
  <c r="C944" i="49"/>
  <c r="C941" i="49"/>
  <c r="C931" i="49"/>
  <c r="C928" i="49"/>
  <c r="C918" i="49"/>
  <c r="C908" i="49"/>
  <c r="C905" i="49"/>
  <c r="C895" i="49"/>
  <c r="C892" i="49"/>
  <c r="C878" i="49"/>
  <c r="C875" i="49"/>
  <c r="C1151" i="49"/>
  <c r="C1132" i="49"/>
  <c r="C1105" i="49"/>
  <c r="C1102" i="49"/>
  <c r="C1092" i="49"/>
  <c r="C1082" i="49"/>
  <c r="C1140" i="49"/>
  <c r="C1127" i="49"/>
  <c r="C1123" i="49"/>
  <c r="C1115" i="49"/>
  <c r="C1093" i="49"/>
  <c r="C887" i="49"/>
  <c r="C1112" i="49"/>
  <c r="C1109" i="49"/>
  <c r="C1076" i="49"/>
  <c r="C1074" i="49"/>
  <c r="C1063" i="49"/>
  <c r="C1061" i="49"/>
  <c r="C1050" i="49"/>
  <c r="C1048" i="49"/>
  <c r="C1037" i="49"/>
  <c r="C1024" i="49"/>
  <c r="C992" i="49"/>
  <c r="C979" i="49"/>
  <c r="C968" i="49"/>
  <c r="C966" i="49"/>
  <c r="C955" i="49"/>
  <c r="C953" i="49"/>
  <c r="C942" i="49"/>
  <c r="C940" i="49"/>
  <c r="C929" i="49"/>
  <c r="C916" i="49"/>
  <c r="C876" i="49"/>
  <c r="C1157" i="49"/>
  <c r="C1144" i="49"/>
  <c r="C1131" i="49"/>
  <c r="C1106" i="49"/>
  <c r="C1103" i="49"/>
  <c r="C1090" i="49"/>
  <c r="C1080" i="49"/>
  <c r="C1069" i="49"/>
  <c r="C1067" i="49"/>
  <c r="C1056" i="49"/>
  <c r="C1054" i="49"/>
  <c r="C1043" i="49"/>
  <c r="C1030" i="49"/>
  <c r="C998" i="49"/>
  <c r="C985" i="49"/>
  <c r="C974" i="49"/>
  <c r="C972" i="49"/>
  <c r="C961" i="49"/>
  <c r="C959" i="49"/>
  <c r="C948" i="49"/>
  <c r="C946" i="49"/>
  <c r="C935" i="49"/>
  <c r="C922" i="49"/>
  <c r="C883" i="49"/>
  <c r="C1147" i="49"/>
  <c r="C1134" i="49"/>
  <c r="C1097" i="49"/>
  <c r="C1073" i="49"/>
  <c r="C1060" i="49"/>
  <c r="C1028" i="49"/>
  <c r="C1015" i="49"/>
  <c r="C1004" i="49"/>
  <c r="C1002" i="49"/>
  <c r="C991" i="49"/>
  <c r="C989" i="49"/>
  <c r="C978" i="49"/>
  <c r="C976" i="49"/>
  <c r="C965" i="49"/>
  <c r="C952" i="49"/>
  <c r="C920" i="49"/>
  <c r="C907" i="49"/>
  <c r="C896" i="49"/>
  <c r="C894" i="49"/>
  <c r="C890" i="49"/>
  <c r="C872" i="49"/>
  <c r="C1117" i="49"/>
  <c r="C1096" i="49"/>
  <c r="C1084" i="49"/>
  <c r="C2890" i="49"/>
  <c r="C2884" i="49"/>
  <c r="C2878" i="49"/>
  <c r="C2872" i="49"/>
  <c r="C2866" i="49"/>
  <c r="C2860" i="49"/>
  <c r="C2854" i="49"/>
  <c r="C2848" i="49"/>
  <c r="C2842" i="49"/>
  <c r="C2836" i="49"/>
  <c r="C2830" i="49"/>
  <c r="C2824" i="49"/>
  <c r="C2818" i="49"/>
  <c r="C2812" i="49"/>
  <c r="C2806" i="49"/>
  <c r="C2800" i="49"/>
  <c r="C2794" i="49"/>
  <c r="C2788" i="49"/>
  <c r="C2782" i="49"/>
  <c r="C2776" i="49"/>
  <c r="C2770" i="49"/>
  <c r="C2764" i="49"/>
  <c r="C2758" i="49"/>
  <c r="C2752" i="49"/>
  <c r="C2746" i="49"/>
  <c r="C2740" i="49"/>
  <c r="C2887" i="49"/>
  <c r="C2877" i="49"/>
  <c r="C2874" i="49"/>
  <c r="C2864" i="49"/>
  <c r="C2861" i="49"/>
  <c r="C2851" i="49"/>
  <c r="C2841" i="49"/>
  <c r="C2838" i="49"/>
  <c r="C2828" i="49"/>
  <c r="C2825" i="49"/>
  <c r="C2815" i="49"/>
  <c r="C2805" i="49"/>
  <c r="C2802" i="49"/>
  <c r="C2792" i="49"/>
  <c r="C2789" i="49"/>
  <c r="C2779" i="49"/>
  <c r="C2769" i="49"/>
  <c r="C2766" i="49"/>
  <c r="C2756" i="49"/>
  <c r="C2753" i="49"/>
  <c r="C2743" i="49"/>
  <c r="C2894" i="49"/>
  <c r="C2891" i="49"/>
  <c r="C2881" i="49"/>
  <c r="C2871" i="49"/>
  <c r="C2868" i="49"/>
  <c r="C2858" i="49"/>
  <c r="C2855" i="49"/>
  <c r="C2845" i="49"/>
  <c r="C2835" i="49"/>
  <c r="C2832" i="49"/>
  <c r="C2822" i="49"/>
  <c r="C2819" i="49"/>
  <c r="C2809" i="49"/>
  <c r="C2799" i="49"/>
  <c r="C2796" i="49"/>
  <c r="C2786" i="49"/>
  <c r="C2783" i="49"/>
  <c r="C2773" i="49"/>
  <c r="C2763" i="49"/>
  <c r="C2760" i="49"/>
  <c r="C2750" i="49"/>
  <c r="C2747" i="49"/>
  <c r="C2737" i="49"/>
  <c r="C2733" i="49"/>
  <c r="C2729" i="49"/>
  <c r="C2893" i="49"/>
  <c r="C2886" i="49"/>
  <c r="C2879" i="49"/>
  <c r="C2867" i="49"/>
  <c r="C2829" i="49"/>
  <c r="C2817" i="49"/>
  <c r="C2810" i="49"/>
  <c r="C2803" i="49"/>
  <c r="C2798" i="49"/>
  <c r="C2791" i="49"/>
  <c r="C2784" i="49"/>
  <c r="C2777" i="49"/>
  <c r="C2772" i="49"/>
  <c r="C2765" i="49"/>
  <c r="C2734" i="49"/>
  <c r="C2731" i="49"/>
  <c r="C2706" i="49"/>
  <c r="C2670" i="49"/>
  <c r="C2634" i="49"/>
  <c r="C2716" i="49"/>
  <c r="C2713" i="49"/>
  <c r="C2703" i="49"/>
  <c r="C2693" i="49"/>
  <c r="C2690" i="49"/>
  <c r="C2680" i="49"/>
  <c r="C2677" i="49"/>
  <c r="C2667" i="49"/>
  <c r="C2657" i="49"/>
  <c r="C2654" i="49"/>
  <c r="C2644" i="49"/>
  <c r="C2641" i="49"/>
  <c r="C2631" i="49"/>
  <c r="C2610" i="49"/>
  <c r="C2865" i="49"/>
  <c r="C2853" i="49"/>
  <c r="C2846" i="49"/>
  <c r="C2839" i="49"/>
  <c r="C2834" i="49"/>
  <c r="C2827" i="49"/>
  <c r="C2820" i="49"/>
  <c r="C2813" i="49"/>
  <c r="C2808" i="49"/>
  <c r="C2801" i="49"/>
  <c r="C2751" i="49"/>
  <c r="C2744" i="49"/>
  <c r="C2739" i="49"/>
  <c r="C2726" i="49"/>
  <c r="C2700" i="49"/>
  <c r="C2664" i="49"/>
  <c r="C2628" i="49"/>
  <c r="C2621" i="49"/>
  <c r="C2618" i="49"/>
  <c r="C2614" i="49"/>
  <c r="C2607" i="49"/>
  <c r="C2889" i="49"/>
  <c r="C2882" i="49"/>
  <c r="C2875" i="49"/>
  <c r="C2870" i="49"/>
  <c r="C2863" i="49"/>
  <c r="C2856" i="49"/>
  <c r="C2849" i="49"/>
  <c r="C2844" i="49"/>
  <c r="C2837" i="49"/>
  <c r="C2787" i="49"/>
  <c r="C2780" i="49"/>
  <c r="C2775" i="49"/>
  <c r="C2768" i="49"/>
  <c r="C2761" i="49"/>
  <c r="C2754" i="49"/>
  <c r="C2749" i="49"/>
  <c r="C2742" i="49"/>
  <c r="C2694" i="49"/>
  <c r="C2658" i="49"/>
  <c r="C2735" i="49"/>
  <c r="C2732" i="49"/>
  <c r="C2717" i="49"/>
  <c r="C2714" i="49"/>
  <c r="C2704" i="49"/>
  <c r="C2701" i="49"/>
  <c r="C2691" i="49"/>
  <c r="C2681" i="49"/>
  <c r="C2678" i="49"/>
  <c r="C2668" i="49"/>
  <c r="C2665" i="49"/>
  <c r="C2655" i="49"/>
  <c r="C2645" i="49"/>
  <c r="C2642" i="49"/>
  <c r="C2632" i="49"/>
  <c r="C2629" i="49"/>
  <c r="C2622" i="49"/>
  <c r="C2831" i="49"/>
  <c r="C2807" i="49"/>
  <c r="C2804" i="49"/>
  <c r="C2748" i="49"/>
  <c r="C2745" i="49"/>
  <c r="C2698" i="49"/>
  <c r="C2688" i="49"/>
  <c r="C2686" i="49"/>
  <c r="C2676" i="49"/>
  <c r="C2666" i="49"/>
  <c r="C2661" i="49"/>
  <c r="C2869" i="49"/>
  <c r="C2759" i="49"/>
  <c r="C2730" i="49"/>
  <c r="C2715" i="49"/>
  <c r="C2710" i="49"/>
  <c r="C2695" i="49"/>
  <c r="C2683" i="49"/>
  <c r="C2626" i="49"/>
  <c r="C2615" i="49"/>
  <c r="C2613" i="49"/>
  <c r="C2609" i="49"/>
  <c r="C2892" i="49"/>
  <c r="C2857" i="49"/>
  <c r="C2833" i="49"/>
  <c r="C2774" i="49"/>
  <c r="C2705" i="49"/>
  <c r="C2685" i="49"/>
  <c r="C2673" i="49"/>
  <c r="C2653" i="49"/>
  <c r="C2648" i="49"/>
  <c r="C2619" i="49"/>
  <c r="C2880" i="49"/>
  <c r="C2821" i="49"/>
  <c r="C2797" i="49"/>
  <c r="C2762" i="49"/>
  <c r="C2741" i="49"/>
  <c r="C2738" i="49"/>
  <c r="C2727" i="49"/>
  <c r="C2707" i="49"/>
  <c r="C2675" i="49"/>
  <c r="C2663" i="49"/>
  <c r="C2643" i="49"/>
  <c r="C2638" i="49"/>
  <c r="C2623" i="49"/>
  <c r="C2617" i="49"/>
  <c r="C2785" i="49"/>
  <c r="C2724" i="49"/>
  <c r="C2722" i="49"/>
  <c r="C2712" i="49"/>
  <c r="C2702" i="49"/>
  <c r="C2697" i="49"/>
  <c r="C2633" i="49"/>
  <c r="C2840" i="49"/>
  <c r="C2816" i="49"/>
  <c r="C2696" i="49"/>
  <c r="C2649" i="49"/>
  <c r="C2624" i="49"/>
  <c r="C2862" i="49"/>
  <c r="C2795" i="49"/>
  <c r="C2725" i="49"/>
  <c r="C2708" i="49"/>
  <c r="C2682" i="49"/>
  <c r="C2674" i="49"/>
  <c r="C2640" i="49"/>
  <c r="C2636" i="49"/>
  <c r="C2885" i="49"/>
  <c r="C2850" i="49"/>
  <c r="C2826" i="49"/>
  <c r="C2652" i="49"/>
  <c r="C2635" i="49"/>
  <c r="C2620" i="49"/>
  <c r="C2873" i="49"/>
  <c r="C2814" i="49"/>
  <c r="C2720" i="49"/>
  <c r="C2699" i="49"/>
  <c r="C2719" i="49"/>
  <c r="C2672" i="49"/>
  <c r="C2656" i="49"/>
  <c r="C2639" i="49"/>
  <c r="C2630" i="49"/>
  <c r="C2606" i="49"/>
  <c r="C2711" i="49"/>
  <c r="C2689" i="49"/>
  <c r="C2660" i="49"/>
  <c r="C2611" i="49"/>
  <c r="C2767" i="49"/>
  <c r="C2646" i="49"/>
  <c r="C2852" i="49"/>
  <c r="C2811" i="49"/>
  <c r="C2793" i="49"/>
  <c r="C2718" i="49"/>
  <c r="C2659" i="49"/>
  <c r="C2859" i="49"/>
  <c r="C2723" i="49"/>
  <c r="C2709" i="49"/>
  <c r="C2687" i="49"/>
  <c r="C2637" i="49"/>
  <c r="C2608" i="49"/>
  <c r="C2781" i="49"/>
  <c r="C2771" i="49"/>
  <c r="C2728" i="49"/>
  <c r="C2721" i="49"/>
  <c r="C2684" i="49"/>
  <c r="C2616" i="49"/>
  <c r="C2671" i="49"/>
  <c r="C2627" i="49"/>
  <c r="C2823" i="49"/>
  <c r="C2790" i="49"/>
  <c r="C2757" i="49"/>
  <c r="C2888" i="49"/>
  <c r="C2679" i="49"/>
  <c r="C2651" i="49"/>
  <c r="C2847" i="49"/>
  <c r="C2650" i="49"/>
  <c r="C2625" i="49"/>
  <c r="C2876" i="49"/>
  <c r="C2669" i="49"/>
  <c r="C2647" i="49"/>
  <c r="C2755" i="49"/>
  <c r="C2612" i="49"/>
  <c r="C2778" i="49"/>
  <c r="C2736" i="49"/>
  <c r="C2883" i="49"/>
  <c r="C2662" i="49"/>
  <c r="C2843" i="49"/>
  <c r="C4625" i="49"/>
  <c r="C4619" i="49"/>
  <c r="C4613" i="49"/>
  <c r="C4607" i="49"/>
  <c r="C4601" i="49"/>
  <c r="C4595" i="49"/>
  <c r="C4589" i="49"/>
  <c r="C4583" i="49"/>
  <c r="C4577" i="49"/>
  <c r="C4571" i="49"/>
  <c r="C4622" i="49"/>
  <c r="C4612" i="49"/>
  <c r="C4609" i="49"/>
  <c r="C4599" i="49"/>
  <c r="C4596" i="49"/>
  <c r="C4586" i="49"/>
  <c r="C4576" i="49"/>
  <c r="C4573" i="49"/>
  <c r="C4566" i="49"/>
  <c r="C4560" i="49"/>
  <c r="C4554" i="49"/>
  <c r="C4548" i="49"/>
  <c r="C4542" i="49"/>
  <c r="C4536" i="49"/>
  <c r="C4530" i="49"/>
  <c r="C4524" i="49"/>
  <c r="C4518" i="49"/>
  <c r="C4512" i="49"/>
  <c r="C4506" i="49"/>
  <c r="C4500" i="49"/>
  <c r="C4494" i="49"/>
  <c r="C4488" i="49"/>
  <c r="C4482" i="49"/>
  <c r="C4476" i="49"/>
  <c r="C4470" i="49"/>
  <c r="C4464" i="49"/>
  <c r="C4627" i="49"/>
  <c r="C4620" i="49"/>
  <c r="C4615" i="49"/>
  <c r="C4608" i="49"/>
  <c r="C4570" i="49"/>
  <c r="C4558" i="49"/>
  <c r="C4555" i="49"/>
  <c r="C4545" i="49"/>
  <c r="C4535" i="49"/>
  <c r="C4532" i="49"/>
  <c r="C4522" i="49"/>
  <c r="C4519" i="49"/>
  <c r="C4509" i="49"/>
  <c r="C4499" i="49"/>
  <c r="C4496" i="49"/>
  <c r="C4486" i="49"/>
  <c r="C4483" i="49"/>
  <c r="C4473" i="49"/>
  <c r="C4463" i="49"/>
  <c r="C4454" i="49"/>
  <c r="C4448" i="49"/>
  <c r="C4442" i="49"/>
  <c r="C4436" i="49"/>
  <c r="C4430" i="49"/>
  <c r="C4424" i="49"/>
  <c r="C4418" i="49"/>
  <c r="C4412" i="49"/>
  <c r="C4406" i="49"/>
  <c r="C4400" i="49"/>
  <c r="C4394" i="49"/>
  <c r="C4388" i="49"/>
  <c r="C4382" i="49"/>
  <c r="C4376" i="49"/>
  <c r="C4370" i="49"/>
  <c r="C4364" i="49"/>
  <c r="C4606" i="49"/>
  <c r="C4594" i="49"/>
  <c r="C4587" i="49"/>
  <c r="C4582" i="49"/>
  <c r="C4580" i="49"/>
  <c r="C4575" i="49"/>
  <c r="C4568" i="49"/>
  <c r="C4565" i="49"/>
  <c r="C4562" i="49"/>
  <c r="C4552" i="49"/>
  <c r="C4549" i="49"/>
  <c r="C4539" i="49"/>
  <c r="C4529" i="49"/>
  <c r="C4526" i="49"/>
  <c r="C4516" i="49"/>
  <c r="C4513" i="49"/>
  <c r="C4503" i="49"/>
  <c r="C4493" i="49"/>
  <c r="C4490" i="49"/>
  <c r="C4480" i="49"/>
  <c r="C4477" i="49"/>
  <c r="C4467" i="49"/>
  <c r="C4460" i="49"/>
  <c r="C4455" i="49"/>
  <c r="C4449" i="49"/>
  <c r="C4443" i="49"/>
  <c r="C4437" i="49"/>
  <c r="C4431" i="49"/>
  <c r="C4425" i="49"/>
  <c r="C4419" i="49"/>
  <c r="C4413" i="49"/>
  <c r="C4407" i="49"/>
  <c r="C4401" i="49"/>
  <c r="C4395" i="49"/>
  <c r="C4389" i="49"/>
  <c r="C4383" i="49"/>
  <c r="C4377" i="49"/>
  <c r="C4371" i="49"/>
  <c r="C4365" i="49"/>
  <c r="C4359" i="49"/>
  <c r="C4353" i="49"/>
  <c r="C4347" i="49"/>
  <c r="C4341" i="49"/>
  <c r="C4604" i="49"/>
  <c r="C4581" i="49"/>
  <c r="C4578" i="49"/>
  <c r="C4559" i="49"/>
  <c r="C4557" i="49"/>
  <c r="C4546" i="49"/>
  <c r="C4544" i="49"/>
  <c r="C4533" i="49"/>
  <c r="C4531" i="49"/>
  <c r="C4520" i="49"/>
  <c r="C4507" i="49"/>
  <c r="C4475" i="49"/>
  <c r="C4462" i="49"/>
  <c r="C4356" i="49"/>
  <c r="C4458" i="49"/>
  <c r="C4456" i="49"/>
  <c r="C4440" i="49"/>
  <c r="C4438" i="49"/>
  <c r="C4422" i="49"/>
  <c r="C4420" i="49"/>
  <c r="C4404" i="49"/>
  <c r="C4402" i="49"/>
  <c r="C4386" i="49"/>
  <c r="C4384" i="49"/>
  <c r="C4368" i="49"/>
  <c r="C4366" i="49"/>
  <c r="C4617" i="49"/>
  <c r="C4614" i="49"/>
  <c r="C4591" i="49"/>
  <c r="C4563" i="49"/>
  <c r="C4561" i="49"/>
  <c r="C4550" i="49"/>
  <c r="C4537" i="49"/>
  <c r="C4505" i="49"/>
  <c r="C4492" i="49"/>
  <c r="C4481" i="49"/>
  <c r="C4479" i="49"/>
  <c r="C4468" i="49"/>
  <c r="C4466" i="49"/>
  <c r="C4346" i="49"/>
  <c r="C4343" i="49"/>
  <c r="C4447" i="49"/>
  <c r="C4445" i="49"/>
  <c r="C4429" i="49"/>
  <c r="C4427" i="49"/>
  <c r="C4411" i="49"/>
  <c r="C4409" i="49"/>
  <c r="C4393" i="49"/>
  <c r="C4391" i="49"/>
  <c r="C4375" i="49"/>
  <c r="C4373" i="49"/>
  <c r="C4350" i="49"/>
  <c r="C4626" i="49"/>
  <c r="C4603" i="49"/>
  <c r="C4584" i="49"/>
  <c r="C4572" i="49"/>
  <c r="C4453" i="49"/>
  <c r="C4439" i="49"/>
  <c r="C4423" i="49"/>
  <c r="C4415" i="49"/>
  <c r="C4399" i="49"/>
  <c r="C4385" i="49"/>
  <c r="C4369" i="49"/>
  <c r="C4361" i="49"/>
  <c r="C4342" i="49"/>
  <c r="C4618" i="49"/>
  <c r="C4590" i="49"/>
  <c r="C4358" i="49"/>
  <c r="C4567" i="49"/>
  <c r="C4452" i="49"/>
  <c r="C4444" i="49"/>
  <c r="C4428" i="49"/>
  <c r="C4414" i="49"/>
  <c r="C4398" i="49"/>
  <c r="C4390" i="49"/>
  <c r="C4374" i="49"/>
  <c r="C4360" i="49"/>
  <c r="C4352" i="49"/>
  <c r="C4457" i="49"/>
  <c r="C4441" i="49"/>
  <c r="C4433" i="49"/>
  <c r="C4417" i="49"/>
  <c r="C4403" i="49"/>
  <c r="C4387" i="49"/>
  <c r="C4379" i="49"/>
  <c r="C4363" i="49"/>
  <c r="C4579" i="49"/>
  <c r="C4525" i="49"/>
  <c r="C4515" i="49"/>
  <c r="C4421" i="49"/>
  <c r="C4405" i="49"/>
  <c r="C4397" i="49"/>
  <c r="C4381" i="49"/>
  <c r="C4354" i="49"/>
  <c r="C4340" i="49"/>
  <c r="C4598" i="49"/>
  <c r="C4592" i="49"/>
  <c r="C4543" i="49"/>
  <c r="C4534" i="49"/>
  <c r="C4510" i="49"/>
  <c r="C4495" i="49"/>
  <c r="C4485" i="49"/>
  <c r="C4471" i="49"/>
  <c r="C4351" i="49"/>
  <c r="C4611" i="49"/>
  <c r="C4605" i="49"/>
  <c r="C4597" i="49"/>
  <c r="C4461" i="49"/>
  <c r="C4432" i="49"/>
  <c r="C4416" i="49"/>
  <c r="C4408" i="49"/>
  <c r="C4396" i="49"/>
  <c r="C4392" i="49"/>
  <c r="C4380" i="49"/>
  <c r="C4372" i="49"/>
  <c r="C4348" i="49"/>
  <c r="C4624" i="49"/>
  <c r="C4616" i="49"/>
  <c r="C4514" i="49"/>
  <c r="C4504" i="49"/>
  <c r="C4465" i="49"/>
  <c r="C4610" i="49"/>
  <c r="C4564" i="49"/>
  <c r="C4553" i="49"/>
  <c r="C4538" i="49"/>
  <c r="C4528" i="49"/>
  <c r="C4489" i="49"/>
  <c r="C4367" i="49"/>
  <c r="C4345" i="49"/>
  <c r="C4602" i="49"/>
  <c r="C4569" i="49"/>
  <c r="C4541" i="49"/>
  <c r="C4498" i="49"/>
  <c r="C4344" i="49"/>
  <c r="C4523" i="49"/>
  <c r="C4491" i="49"/>
  <c r="C4451" i="49"/>
  <c r="C4410" i="49"/>
  <c r="C4355" i="49"/>
  <c r="C4623" i="49"/>
  <c r="C4556" i="49"/>
  <c r="C4547" i="49"/>
  <c r="C4540" i="49"/>
  <c r="C4472" i="49"/>
  <c r="C4450" i="49"/>
  <c r="C4621" i="49"/>
  <c r="C4588" i="49"/>
  <c r="C4497" i="49"/>
  <c r="C4574" i="49"/>
  <c r="C4459" i="49"/>
  <c r="C4434" i="49"/>
  <c r="C4362" i="49"/>
  <c r="C4349" i="49"/>
  <c r="C4527" i="49"/>
  <c r="C4501" i="49"/>
  <c r="C4484" i="49"/>
  <c r="C4446" i="49"/>
  <c r="C4593" i="49"/>
  <c r="C4511" i="49"/>
  <c r="C4469" i="49"/>
  <c r="C4628" i="49"/>
  <c r="C4521" i="49"/>
  <c r="C4508" i="49"/>
  <c r="C4478" i="49"/>
  <c r="C4357" i="49"/>
  <c r="C4585" i="49"/>
  <c r="C4551" i="49"/>
  <c r="C4517" i="49"/>
  <c r="C4487" i="49"/>
  <c r="C4435" i="49"/>
  <c r="C4426" i="49"/>
  <c r="C4600" i="49"/>
  <c r="C4502" i="49"/>
  <c r="C4474" i="49"/>
  <c r="C4378" i="49"/>
  <c r="P912" i="49"/>
  <c r="M982" i="49"/>
  <c r="C994" i="49"/>
  <c r="C1020" i="49"/>
  <c r="G1038" i="49"/>
  <c r="C1051" i="49"/>
  <c r="C1064" i="49"/>
  <c r="C1086" i="49"/>
  <c r="P1145" i="49"/>
  <c r="C877" i="49"/>
  <c r="M1012" i="49"/>
  <c r="P1046" i="49"/>
  <c r="C1121" i="49"/>
  <c r="D7" i="48"/>
  <c r="E14" i="47"/>
  <c r="O18" i="38"/>
  <c r="O13" i="38"/>
  <c r="O14" i="38"/>
  <c r="O15" i="38"/>
  <c r="D9" i="51"/>
  <c r="D16" i="51"/>
  <c r="D8" i="51"/>
  <c r="E14" i="51"/>
  <c r="D17" i="51"/>
  <c r="O20" i="38"/>
  <c r="E678" i="46"/>
  <c r="O6" i="38"/>
  <c r="D10" i="51"/>
  <c r="D12" i="51"/>
  <c r="O21" i="38"/>
  <c r="E8" i="51"/>
  <c r="E15" i="51"/>
  <c r="O19" i="38"/>
  <c r="O5" i="38"/>
  <c r="O11" i="38"/>
  <c r="D15" i="51"/>
  <c r="O17" i="38"/>
  <c r="O7" i="38"/>
  <c r="F10" i="51"/>
  <c r="E10" i="51"/>
  <c r="E13" i="51"/>
  <c r="F8" i="51"/>
  <c r="E9" i="51"/>
  <c r="D14" i="51"/>
  <c r="D11" i="51"/>
  <c r="D13" i="51"/>
  <c r="O12" i="38"/>
  <c r="O16" i="38"/>
  <c r="O8" i="38"/>
  <c r="G16" i="51"/>
  <c r="O9" i="38"/>
  <c r="E11" i="51"/>
  <c r="F16" i="51"/>
  <c r="O10" i="38"/>
  <c r="E16" i="51"/>
  <c r="E17" i="51"/>
  <c r="E12" i="51"/>
  <c r="E34" i="8" l="1"/>
  <c r="C11" i="6"/>
  <c r="J25" i="13"/>
  <c r="G25" i="13"/>
  <c r="P917" i="49"/>
  <c r="P893" i="49"/>
  <c r="P1403" i="49"/>
  <c r="G15" i="40"/>
  <c r="P441" i="49"/>
  <c r="J5" i="40"/>
  <c r="Y29" i="13"/>
  <c r="P910" i="49"/>
  <c r="E19" i="24"/>
  <c r="P309" i="49"/>
  <c r="P1057" i="49"/>
  <c r="P902" i="49"/>
  <c r="F39" i="24"/>
  <c r="M27" i="13"/>
  <c r="M25" i="13"/>
  <c r="P949" i="49"/>
  <c r="P995" i="49"/>
  <c r="P888" i="49"/>
  <c r="E19" i="25"/>
  <c r="H21" i="3"/>
  <c r="P889" i="49"/>
  <c r="H12" i="18"/>
  <c r="G16" i="18"/>
  <c r="G15" i="18"/>
  <c r="G72" i="18"/>
  <c r="P962" i="49"/>
  <c r="P1314" i="49"/>
  <c r="P923" i="49"/>
  <c r="F39" i="17"/>
  <c r="P1211" i="49"/>
  <c r="F19" i="18"/>
  <c r="J7" i="40"/>
  <c r="F19" i="22"/>
  <c r="P1100" i="49"/>
  <c r="P1099" i="49"/>
  <c r="F20" i="40"/>
  <c r="P925" i="49"/>
  <c r="H340" i="49"/>
  <c r="J340" i="49" s="1"/>
  <c r="Q340" i="49" s="1"/>
  <c r="G340" i="49"/>
  <c r="P1025" i="49"/>
  <c r="P563" i="49"/>
  <c r="F17" i="40"/>
  <c r="H24" i="6"/>
  <c r="P880" i="49"/>
  <c r="H38" i="30"/>
  <c r="H39" i="30" s="1"/>
  <c r="H33" i="30"/>
  <c r="H31" i="30"/>
  <c r="D7" i="47"/>
  <c r="E7" i="47" s="1"/>
  <c r="J678" i="46"/>
  <c r="M4585" i="49"/>
  <c r="G4585" i="49"/>
  <c r="P4585" i="49"/>
  <c r="G4602" i="49"/>
  <c r="P4602" i="49"/>
  <c r="M4602" i="49"/>
  <c r="G4354" i="49"/>
  <c r="M4354" i="49"/>
  <c r="P4354" i="49"/>
  <c r="P4452" i="49"/>
  <c r="M4452" i="49"/>
  <c r="G4452" i="49"/>
  <c r="P4411" i="49"/>
  <c r="G4411" i="49"/>
  <c r="M4411" i="49"/>
  <c r="M4520" i="49"/>
  <c r="G4520" i="49"/>
  <c r="P4520" i="49"/>
  <c r="G4425" i="49"/>
  <c r="M4425" i="49"/>
  <c r="P4425" i="49"/>
  <c r="M4406" i="49"/>
  <c r="G4406" i="49"/>
  <c r="P4406" i="49"/>
  <c r="G4608" i="49"/>
  <c r="P4608" i="49"/>
  <c r="M4608" i="49"/>
  <c r="G4586" i="49"/>
  <c r="P4586" i="49"/>
  <c r="M4586" i="49"/>
  <c r="P2647" i="49"/>
  <c r="M2647" i="49"/>
  <c r="G2647" i="49"/>
  <c r="M2711" i="49"/>
  <c r="G2711" i="49"/>
  <c r="P2711" i="49"/>
  <c r="M2635" i="49"/>
  <c r="G2635" i="49"/>
  <c r="P2635" i="49"/>
  <c r="P2797" i="49"/>
  <c r="M2797" i="49"/>
  <c r="G2797" i="49"/>
  <c r="M2661" i="49"/>
  <c r="G2661" i="49"/>
  <c r="P2661" i="49"/>
  <c r="M2714" i="49"/>
  <c r="P2714" i="49"/>
  <c r="G2714" i="49"/>
  <c r="G2614" i="49"/>
  <c r="P2614" i="49"/>
  <c r="M2614" i="49"/>
  <c r="G2813" i="49"/>
  <c r="M2813" i="49"/>
  <c r="P2813" i="49"/>
  <c r="P2706" i="49"/>
  <c r="G2706" i="49"/>
  <c r="M2706" i="49"/>
  <c r="G2773" i="49"/>
  <c r="P2773" i="49"/>
  <c r="M2773" i="49"/>
  <c r="P2858" i="49"/>
  <c r="G2858" i="49"/>
  <c r="M2858" i="49"/>
  <c r="G2789" i="49"/>
  <c r="P2789" i="49"/>
  <c r="M2789" i="49"/>
  <c r="M2874" i="49"/>
  <c r="P2874" i="49"/>
  <c r="G2874" i="49"/>
  <c r="P2794" i="49"/>
  <c r="G2794" i="49"/>
  <c r="M2794" i="49"/>
  <c r="P2866" i="49"/>
  <c r="G2866" i="49"/>
  <c r="M2866" i="49"/>
  <c r="P907" i="49"/>
  <c r="M907" i="49"/>
  <c r="G907" i="49"/>
  <c r="G1060" i="49"/>
  <c r="P1060" i="49"/>
  <c r="M1060" i="49"/>
  <c r="P1103" i="49"/>
  <c r="M1103" i="49"/>
  <c r="G1103" i="49"/>
  <c r="P1132" i="49"/>
  <c r="M1132" i="49"/>
  <c r="G1132" i="49"/>
  <c r="G944" i="49"/>
  <c r="M944" i="49"/>
  <c r="P944" i="49"/>
  <c r="M950" i="49"/>
  <c r="G950" i="49"/>
  <c r="P950" i="49"/>
  <c r="M1156" i="49"/>
  <c r="P1156" i="49"/>
  <c r="G1156" i="49"/>
  <c r="M1023" i="49"/>
  <c r="G1023" i="49"/>
  <c r="P1023" i="49"/>
  <c r="G1137" i="49"/>
  <c r="P1137" i="49"/>
  <c r="M1137" i="49"/>
  <c r="H403" i="49"/>
  <c r="G403" i="49"/>
  <c r="P403" i="49"/>
  <c r="M403" i="49"/>
  <c r="M524" i="49"/>
  <c r="H524" i="49"/>
  <c r="G524" i="49"/>
  <c r="P524" i="49"/>
  <c r="G425" i="49"/>
  <c r="M425" i="49"/>
  <c r="P425" i="49"/>
  <c r="H425" i="49"/>
  <c r="H559" i="49"/>
  <c r="G559" i="49"/>
  <c r="P559" i="49"/>
  <c r="M559" i="49"/>
  <c r="P342" i="49"/>
  <c r="H342" i="49"/>
  <c r="G342" i="49"/>
  <c r="M342" i="49"/>
  <c r="M446" i="49"/>
  <c r="H446" i="49"/>
  <c r="P446" i="49"/>
  <c r="G446" i="49"/>
  <c r="M437" i="49"/>
  <c r="P437" i="49"/>
  <c r="H437" i="49"/>
  <c r="G437" i="49"/>
  <c r="H565" i="49"/>
  <c r="G565" i="49"/>
  <c r="P565" i="49"/>
  <c r="M565" i="49"/>
  <c r="G676" i="49"/>
  <c r="M676" i="49"/>
  <c r="P676" i="49"/>
  <c r="P376" i="49"/>
  <c r="H376" i="49"/>
  <c r="G376" i="49"/>
  <c r="M376" i="49"/>
  <c r="P745" i="49"/>
  <c r="M745" i="49"/>
  <c r="G745" i="49"/>
  <c r="J569" i="49"/>
  <c r="Q569" i="49" s="1"/>
  <c r="J322" i="49"/>
  <c r="Q322" i="49" s="1"/>
  <c r="P5084" i="49"/>
  <c r="G5084" i="49"/>
  <c r="M5084" i="49"/>
  <c r="M4935" i="49"/>
  <c r="G4935" i="49"/>
  <c r="P4935" i="49"/>
  <c r="P5041" i="49"/>
  <c r="M5041" i="49"/>
  <c r="G5041" i="49"/>
  <c r="M4947" i="49"/>
  <c r="P4947" i="49"/>
  <c r="G4947" i="49"/>
  <c r="G4943" i="49"/>
  <c r="M4943" i="49"/>
  <c r="P4943" i="49"/>
  <c r="G5057" i="49"/>
  <c r="P5057" i="49"/>
  <c r="M5057" i="49"/>
  <c r="G5050" i="49"/>
  <c r="P5050" i="49"/>
  <c r="M5050" i="49"/>
  <c r="G4920" i="49"/>
  <c r="P4920" i="49"/>
  <c r="M4920" i="49"/>
  <c r="G4959" i="49"/>
  <c r="P4959" i="49"/>
  <c r="M4959" i="49"/>
  <c r="P4919" i="49"/>
  <c r="M4919" i="49"/>
  <c r="G4919" i="49"/>
  <c r="G4934" i="49"/>
  <c r="M4934" i="49"/>
  <c r="P4934" i="49"/>
  <c r="G5184" i="49"/>
  <c r="P5184" i="49"/>
  <c r="M5184" i="49"/>
  <c r="P5003" i="49"/>
  <c r="M5003" i="49"/>
  <c r="G5003" i="49"/>
  <c r="P5125" i="49"/>
  <c r="M5125" i="49"/>
  <c r="G5125" i="49"/>
  <c r="M5168" i="49"/>
  <c r="G5168" i="49"/>
  <c r="P5168" i="49"/>
  <c r="P5035" i="49"/>
  <c r="M5035" i="49"/>
  <c r="G5035" i="49"/>
  <c r="M5203" i="49"/>
  <c r="P5203" i="49"/>
  <c r="G5203" i="49"/>
  <c r="P4986" i="49"/>
  <c r="G4986" i="49"/>
  <c r="M4986" i="49"/>
  <c r="G5160" i="49"/>
  <c r="M5160" i="49"/>
  <c r="P5160" i="49"/>
  <c r="G5190" i="49"/>
  <c r="P5190" i="49"/>
  <c r="M5190" i="49"/>
  <c r="P5064" i="49"/>
  <c r="G5064" i="49"/>
  <c r="M5064" i="49"/>
  <c r="M5204" i="49"/>
  <c r="P5204" i="49"/>
  <c r="G5204" i="49"/>
  <c r="P4658" i="49"/>
  <c r="M4658" i="49"/>
  <c r="G4658" i="49"/>
  <c r="P4689" i="49"/>
  <c r="M4689" i="49"/>
  <c r="G4689" i="49"/>
  <c r="G4723" i="49"/>
  <c r="P4723" i="49"/>
  <c r="M4723" i="49"/>
  <c r="M4660" i="49"/>
  <c r="P4660" i="49"/>
  <c r="G4660" i="49"/>
  <c r="G4897" i="49"/>
  <c r="M4897" i="49"/>
  <c r="P4897" i="49"/>
  <c r="P4726" i="49"/>
  <c r="M4726" i="49"/>
  <c r="G4726" i="49"/>
  <c r="M4718" i="49"/>
  <c r="P4718" i="49"/>
  <c r="G4718" i="49"/>
  <c r="P4846" i="49"/>
  <c r="M4846" i="49"/>
  <c r="G4846" i="49"/>
  <c r="P4742" i="49"/>
  <c r="M4742" i="49"/>
  <c r="G4742" i="49"/>
  <c r="G4668" i="49"/>
  <c r="P4668" i="49"/>
  <c r="M4668" i="49"/>
  <c r="P4672" i="49"/>
  <c r="G4672" i="49"/>
  <c r="M4672" i="49"/>
  <c r="P4780" i="49"/>
  <c r="M4780" i="49"/>
  <c r="G4780" i="49"/>
  <c r="G4729" i="49"/>
  <c r="M4729" i="49"/>
  <c r="P4729" i="49"/>
  <c r="P4845" i="49"/>
  <c r="M4845" i="49"/>
  <c r="G4845" i="49"/>
  <c r="M4679" i="49"/>
  <c r="G4679" i="49"/>
  <c r="P4679" i="49"/>
  <c r="G4789" i="49"/>
  <c r="M4789" i="49"/>
  <c r="P4789" i="49"/>
  <c r="P4876" i="49"/>
  <c r="G4876" i="49"/>
  <c r="M4876" i="49"/>
  <c r="P4844" i="49"/>
  <c r="M4844" i="49"/>
  <c r="G4844" i="49"/>
  <c r="G4710" i="49"/>
  <c r="P4710" i="49"/>
  <c r="M4710" i="49"/>
  <c r="G4782" i="49"/>
  <c r="M4782" i="49"/>
  <c r="P4782" i="49"/>
  <c r="G4854" i="49"/>
  <c r="P4854" i="49"/>
  <c r="M4854" i="49"/>
  <c r="P4697" i="49"/>
  <c r="M4697" i="49"/>
  <c r="G4697" i="49"/>
  <c r="G4769" i="49"/>
  <c r="M4769" i="49"/>
  <c r="P4769" i="49"/>
  <c r="G4841" i="49"/>
  <c r="P4841" i="49"/>
  <c r="M4841" i="49"/>
  <c r="G4913" i="49"/>
  <c r="M4913" i="49"/>
  <c r="P4913" i="49"/>
  <c r="M4527" i="49"/>
  <c r="P4527" i="49"/>
  <c r="G4527" i="49"/>
  <c r="P4547" i="49"/>
  <c r="M4547" i="49"/>
  <c r="G4547" i="49"/>
  <c r="P4605" i="49"/>
  <c r="M4605" i="49"/>
  <c r="G4605" i="49"/>
  <c r="P4417" i="49"/>
  <c r="G4417" i="49"/>
  <c r="M4417" i="49"/>
  <c r="M4439" i="49"/>
  <c r="P4439" i="49"/>
  <c r="G4439" i="49"/>
  <c r="P4505" i="49"/>
  <c r="G4505" i="49"/>
  <c r="M4505" i="49"/>
  <c r="G4353" i="49"/>
  <c r="P4353" i="49"/>
  <c r="M4353" i="49"/>
  <c r="M4503" i="49"/>
  <c r="G4503" i="49"/>
  <c r="P4503" i="49"/>
  <c r="G4580" i="49"/>
  <c r="P4580" i="49"/>
  <c r="M4580" i="49"/>
  <c r="P4486" i="49"/>
  <c r="M4486" i="49"/>
  <c r="G4486" i="49"/>
  <c r="M4512" i="49"/>
  <c r="P4512" i="49"/>
  <c r="G4512" i="49"/>
  <c r="M4607" i="49"/>
  <c r="P4607" i="49"/>
  <c r="G4607" i="49"/>
  <c r="P2627" i="49"/>
  <c r="G2627" i="49"/>
  <c r="M2627" i="49"/>
  <c r="M2862" i="49"/>
  <c r="G2862" i="49"/>
  <c r="P2862" i="49"/>
  <c r="M2892" i="49"/>
  <c r="P2892" i="49"/>
  <c r="G2892" i="49"/>
  <c r="P2780" i="49"/>
  <c r="G2780" i="49"/>
  <c r="M2780" i="49"/>
  <c r="G2829" i="49"/>
  <c r="P2829" i="49"/>
  <c r="M2829" i="49"/>
  <c r="M972" i="49"/>
  <c r="P972" i="49"/>
  <c r="G972" i="49"/>
  <c r="P1109" i="49"/>
  <c r="G1109" i="49"/>
  <c r="M1109" i="49"/>
  <c r="G1036" i="49"/>
  <c r="M1036" i="49"/>
  <c r="P1036" i="49"/>
  <c r="G1042" i="49"/>
  <c r="P1042" i="49"/>
  <c r="M1042" i="49"/>
  <c r="M879" i="49"/>
  <c r="P879" i="49"/>
  <c r="G879" i="49"/>
  <c r="M1095" i="49"/>
  <c r="G1095" i="49"/>
  <c r="P1095" i="49"/>
  <c r="P420" i="49"/>
  <c r="H420" i="49"/>
  <c r="M420" i="49"/>
  <c r="G420" i="49"/>
  <c r="H438" i="49"/>
  <c r="G438" i="49"/>
  <c r="P438" i="49"/>
  <c r="M438" i="49"/>
  <c r="P562" i="49"/>
  <c r="G562" i="49"/>
  <c r="M562" i="49"/>
  <c r="H562" i="49"/>
  <c r="P348" i="49"/>
  <c r="H348" i="49"/>
  <c r="G348" i="49"/>
  <c r="M348" i="49"/>
  <c r="H463" i="49"/>
  <c r="M463" i="49"/>
  <c r="P463" i="49"/>
  <c r="G463" i="49"/>
  <c r="M369" i="49"/>
  <c r="G369" i="49"/>
  <c r="H369" i="49"/>
  <c r="P369" i="49"/>
  <c r="J544" i="49"/>
  <c r="Q544" i="49" s="1"/>
  <c r="G5106" i="49"/>
  <c r="M5106" i="49"/>
  <c r="P5106" i="49"/>
  <c r="P4931" i="49"/>
  <c r="M4931" i="49"/>
  <c r="G4931" i="49"/>
  <c r="P5134" i="49"/>
  <c r="M5134" i="49"/>
  <c r="G5134" i="49"/>
  <c r="G4969" i="49"/>
  <c r="M4969" i="49"/>
  <c r="P4969" i="49"/>
  <c r="P4996" i="49"/>
  <c r="M4996" i="49"/>
  <c r="G4996" i="49"/>
  <c r="G5088" i="49"/>
  <c r="M5088" i="49"/>
  <c r="P5088" i="49"/>
  <c r="P5058" i="49"/>
  <c r="M5058" i="49"/>
  <c r="G5058" i="49"/>
  <c r="G4937" i="49"/>
  <c r="M4937" i="49"/>
  <c r="P4937" i="49"/>
  <c r="G4971" i="49"/>
  <c r="P4971" i="49"/>
  <c r="M4971" i="49"/>
  <c r="P4928" i="49"/>
  <c r="M4928" i="49"/>
  <c r="G4928" i="49"/>
  <c r="G4951" i="49"/>
  <c r="M4951" i="49"/>
  <c r="P4951" i="49"/>
  <c r="P5065" i="49"/>
  <c r="G5065" i="49"/>
  <c r="M5065" i="49"/>
  <c r="G5008" i="49"/>
  <c r="P5008" i="49"/>
  <c r="M5008" i="49"/>
  <c r="M5170" i="49"/>
  <c r="G5170" i="49"/>
  <c r="P5170" i="49"/>
  <c r="P5181" i="49"/>
  <c r="M5181" i="49"/>
  <c r="G5181" i="49"/>
  <c r="M5052" i="49"/>
  <c r="G5052" i="49"/>
  <c r="P5052" i="49"/>
  <c r="G5148" i="49"/>
  <c r="M5148" i="49"/>
  <c r="P5148" i="49"/>
  <c r="P4992" i="49"/>
  <c r="G4992" i="49"/>
  <c r="M4992" i="49"/>
  <c r="P5167" i="49"/>
  <c r="G5167" i="49"/>
  <c r="M5167" i="49"/>
  <c r="M5072" i="49"/>
  <c r="G5072" i="49"/>
  <c r="P5072" i="49"/>
  <c r="F19" i="20"/>
  <c r="F15" i="8"/>
  <c r="F29" i="8"/>
  <c r="F79" i="21"/>
  <c r="F85" i="21"/>
  <c r="G4616" i="49"/>
  <c r="P4616" i="49"/>
  <c r="M4616" i="49"/>
  <c r="M4402" i="49"/>
  <c r="G4402" i="49"/>
  <c r="P4402" i="49"/>
  <c r="G2723" i="49"/>
  <c r="P2723" i="49"/>
  <c r="M2723" i="49"/>
  <c r="P2785" i="49"/>
  <c r="M2785" i="49"/>
  <c r="G2785" i="49"/>
  <c r="M2629" i="49"/>
  <c r="G2629" i="49"/>
  <c r="P2629" i="49"/>
  <c r="M2654" i="49"/>
  <c r="G2654" i="49"/>
  <c r="P2654" i="49"/>
  <c r="M966" i="49"/>
  <c r="G966" i="49"/>
  <c r="P966" i="49"/>
  <c r="G1114" i="49"/>
  <c r="M1114" i="49"/>
  <c r="P1114" i="49"/>
  <c r="M951" i="49"/>
  <c r="G951" i="49"/>
  <c r="P951" i="49"/>
  <c r="P4611" i="49"/>
  <c r="G4611" i="49"/>
  <c r="M4611" i="49"/>
  <c r="M2624" i="49"/>
  <c r="P2624" i="49"/>
  <c r="G2624" i="49"/>
  <c r="M2787" i="49"/>
  <c r="G2787" i="49"/>
  <c r="P2787" i="49"/>
  <c r="G2872" i="49"/>
  <c r="M2872" i="49"/>
  <c r="P2872" i="49"/>
  <c r="M617" i="49"/>
  <c r="P617" i="49"/>
  <c r="G617" i="49"/>
  <c r="P1064" i="49"/>
  <c r="G1064" i="49"/>
  <c r="M1064" i="49"/>
  <c r="G4348" i="49"/>
  <c r="P4348" i="49"/>
  <c r="M4348" i="49"/>
  <c r="G4572" i="49"/>
  <c r="P4572" i="49"/>
  <c r="M4572" i="49"/>
  <c r="P4516" i="49"/>
  <c r="G4516" i="49"/>
  <c r="M4516" i="49"/>
  <c r="P4524" i="49"/>
  <c r="M4524" i="49"/>
  <c r="G4524" i="49"/>
  <c r="P2616" i="49"/>
  <c r="M2616" i="49"/>
  <c r="G2616" i="49"/>
  <c r="P2623" i="49"/>
  <c r="M2623" i="49"/>
  <c r="G2623" i="49"/>
  <c r="M2676" i="49"/>
  <c r="P2676" i="49"/>
  <c r="G2676" i="49"/>
  <c r="G2837" i="49"/>
  <c r="P2837" i="49"/>
  <c r="M2837" i="49"/>
  <c r="M2667" i="49"/>
  <c r="P2667" i="49"/>
  <c r="G2667" i="49"/>
  <c r="P2786" i="49"/>
  <c r="G2786" i="49"/>
  <c r="M2786" i="49"/>
  <c r="P2887" i="49"/>
  <c r="M2887" i="49"/>
  <c r="G2887" i="49"/>
  <c r="P985" i="49"/>
  <c r="G985" i="49"/>
  <c r="M985" i="49"/>
  <c r="P1122" i="49"/>
  <c r="M1122" i="49"/>
  <c r="G1122" i="49"/>
  <c r="M363" i="49"/>
  <c r="G363" i="49"/>
  <c r="H363" i="49"/>
  <c r="P363" i="49"/>
  <c r="P2211" i="49"/>
  <c r="M2211" i="49"/>
  <c r="G2211" i="49"/>
  <c r="M2053" i="49"/>
  <c r="P2053" i="49"/>
  <c r="G2053" i="49"/>
  <c r="M2308" i="49"/>
  <c r="G2308" i="49"/>
  <c r="P2308" i="49"/>
  <c r="G2031" i="49"/>
  <c r="P2031" i="49"/>
  <c r="M2031" i="49"/>
  <c r="M1918" i="49"/>
  <c r="P1918" i="49"/>
  <c r="G1918" i="49"/>
  <c r="M1899" i="49"/>
  <c r="G1899" i="49"/>
  <c r="P1899" i="49"/>
  <c r="M1790" i="49"/>
  <c r="G1790" i="49"/>
  <c r="P1790" i="49"/>
  <c r="J47" i="1"/>
  <c r="G5126" i="49"/>
  <c r="P5126" i="49"/>
  <c r="M5126" i="49"/>
  <c r="P4750" i="49"/>
  <c r="G4750" i="49"/>
  <c r="M4750" i="49"/>
  <c r="F19" i="17"/>
  <c r="F14" i="8"/>
  <c r="P4623" i="49"/>
  <c r="M4623" i="49"/>
  <c r="G4623" i="49"/>
  <c r="P4550" i="49"/>
  <c r="M4550" i="49"/>
  <c r="G4550" i="49"/>
  <c r="M4499" i="49"/>
  <c r="P4499" i="49"/>
  <c r="G4499" i="49"/>
  <c r="P2659" i="49"/>
  <c r="M2659" i="49"/>
  <c r="G2659" i="49"/>
  <c r="M2642" i="49"/>
  <c r="P2642" i="49"/>
  <c r="G2642" i="49"/>
  <c r="G2879" i="49"/>
  <c r="P2879" i="49"/>
  <c r="M2879" i="49"/>
  <c r="P1097" i="49"/>
  <c r="M1097" i="49"/>
  <c r="G1097" i="49"/>
  <c r="M2230" i="49"/>
  <c r="G2230" i="49"/>
  <c r="P2230" i="49"/>
  <c r="P2156" i="49"/>
  <c r="G2156" i="49"/>
  <c r="M2156" i="49"/>
  <c r="M2019" i="49"/>
  <c r="G2019" i="49"/>
  <c r="P2019" i="49"/>
  <c r="P432" i="49"/>
  <c r="M432" i="49"/>
  <c r="H432" i="49"/>
  <c r="G432" i="49"/>
  <c r="M356" i="49"/>
  <c r="H356" i="49"/>
  <c r="G356" i="49"/>
  <c r="P356" i="49"/>
  <c r="H400" i="49"/>
  <c r="G400" i="49"/>
  <c r="P400" i="49"/>
  <c r="M400" i="49"/>
  <c r="G442" i="49"/>
  <c r="H442" i="49"/>
  <c r="M442" i="49"/>
  <c r="P442" i="49"/>
  <c r="M454" i="49"/>
  <c r="H454" i="49"/>
  <c r="G454" i="49"/>
  <c r="P454" i="49"/>
  <c r="P597" i="49"/>
  <c r="M597" i="49"/>
  <c r="G597" i="49"/>
  <c r="P341" i="49"/>
  <c r="H341" i="49"/>
  <c r="G341" i="49"/>
  <c r="M341" i="49"/>
  <c r="P4978" i="49"/>
  <c r="M4978" i="49"/>
  <c r="G4978" i="49"/>
  <c r="M2619" i="49"/>
  <c r="P2619" i="49"/>
  <c r="G2619" i="49"/>
  <c r="P1144" i="49"/>
  <c r="M1144" i="49"/>
  <c r="G1144" i="49"/>
  <c r="P967" i="49"/>
  <c r="G967" i="49"/>
  <c r="M967" i="49"/>
  <c r="P973" i="49"/>
  <c r="M973" i="49"/>
  <c r="G973" i="49"/>
  <c r="P897" i="49"/>
  <c r="M897" i="49"/>
  <c r="G897" i="49"/>
  <c r="P1113" i="49"/>
  <c r="M1113" i="49"/>
  <c r="G1113" i="49"/>
  <c r="M1110" i="49"/>
  <c r="P1110" i="49"/>
  <c r="G1110" i="49"/>
  <c r="P2250" i="49"/>
  <c r="M2250" i="49"/>
  <c r="G2250" i="49"/>
  <c r="P2090" i="49"/>
  <c r="M2090" i="49"/>
  <c r="G2090" i="49"/>
  <c r="M2311" i="49"/>
  <c r="G2311" i="49"/>
  <c r="P2311" i="49"/>
  <c r="M1919" i="49"/>
  <c r="P1919" i="49"/>
  <c r="G1919" i="49"/>
  <c r="M1864" i="49"/>
  <c r="G1864" i="49"/>
  <c r="P1864" i="49"/>
  <c r="P478" i="49"/>
  <c r="M478" i="49"/>
  <c r="H478" i="49"/>
  <c r="G478" i="49"/>
  <c r="M452" i="49"/>
  <c r="H452" i="49"/>
  <c r="P452" i="49"/>
  <c r="G452" i="49"/>
  <c r="P323" i="49"/>
  <c r="M323" i="49"/>
  <c r="H323" i="49"/>
  <c r="G323" i="49"/>
  <c r="P550" i="49"/>
  <c r="M550" i="49"/>
  <c r="H550" i="49"/>
  <c r="G550" i="49"/>
  <c r="M362" i="49"/>
  <c r="H362" i="49"/>
  <c r="G362" i="49"/>
  <c r="P362" i="49"/>
  <c r="H331" i="49"/>
  <c r="G331" i="49"/>
  <c r="P331" i="49"/>
  <c r="M331" i="49"/>
  <c r="H417" i="49"/>
  <c r="G417" i="49"/>
  <c r="M417" i="49"/>
  <c r="P417" i="49"/>
  <c r="G480" i="49"/>
  <c r="P480" i="49"/>
  <c r="H480" i="49"/>
  <c r="M480" i="49"/>
  <c r="M5004" i="49"/>
  <c r="P5004" i="49"/>
  <c r="G5004" i="49"/>
  <c r="G5013" i="49"/>
  <c r="P5013" i="49"/>
  <c r="M5013" i="49"/>
  <c r="J297" i="49"/>
  <c r="Q297" i="49" s="1"/>
  <c r="P4700" i="49"/>
  <c r="M4700" i="49"/>
  <c r="G4700" i="49"/>
  <c r="P4690" i="49"/>
  <c r="G4690" i="49"/>
  <c r="M4690" i="49"/>
  <c r="P4761" i="49"/>
  <c r="M4761" i="49"/>
  <c r="G4761" i="49"/>
  <c r="P4875" i="49"/>
  <c r="G4875" i="49"/>
  <c r="M4875" i="49"/>
  <c r="G4711" i="49"/>
  <c r="M4711" i="49"/>
  <c r="P4711" i="49"/>
  <c r="G4849" i="49"/>
  <c r="P4849" i="49"/>
  <c r="M4849" i="49"/>
  <c r="P4707" i="49"/>
  <c r="G4707" i="49"/>
  <c r="M4707" i="49"/>
  <c r="G4800" i="49"/>
  <c r="P4800" i="49"/>
  <c r="M4800" i="49"/>
  <c r="G2793" i="49"/>
  <c r="P2793" i="49"/>
  <c r="M2793" i="49"/>
  <c r="G2885" i="49"/>
  <c r="P2885" i="49"/>
  <c r="M2885" i="49"/>
  <c r="M2648" i="49"/>
  <c r="G2648" i="49"/>
  <c r="P2648" i="49"/>
  <c r="M2688" i="49"/>
  <c r="G2688" i="49"/>
  <c r="P2688" i="49"/>
  <c r="M2658" i="49"/>
  <c r="G2658" i="49"/>
  <c r="P2658" i="49"/>
  <c r="G2839" i="49"/>
  <c r="P2839" i="49"/>
  <c r="M2839" i="49"/>
  <c r="M2772" i="49"/>
  <c r="P2772" i="49"/>
  <c r="G2772" i="49"/>
  <c r="G2893" i="49"/>
  <c r="M2893" i="49"/>
  <c r="P2893" i="49"/>
  <c r="G2815" i="49"/>
  <c r="P2815" i="49"/>
  <c r="M2815" i="49"/>
  <c r="P2890" i="49"/>
  <c r="M2890" i="49"/>
  <c r="G2890" i="49"/>
  <c r="G1030" i="49"/>
  <c r="M1030" i="49"/>
  <c r="P1030" i="49"/>
  <c r="M1115" i="49"/>
  <c r="G1115" i="49"/>
  <c r="P1115" i="49"/>
  <c r="M1062" i="49"/>
  <c r="G1062" i="49"/>
  <c r="P1062" i="49"/>
  <c r="P1152" i="49"/>
  <c r="M1152" i="49"/>
  <c r="G1152" i="49"/>
  <c r="P1047" i="49"/>
  <c r="M1047" i="49"/>
  <c r="G1047" i="49"/>
  <c r="G3797" i="49"/>
  <c r="M3797" i="49"/>
  <c r="P3797" i="49"/>
  <c r="G3995" i="49"/>
  <c r="M3995" i="49"/>
  <c r="P3995" i="49"/>
  <c r="P3763" i="49"/>
  <c r="G3763" i="49"/>
  <c r="M3763" i="49"/>
  <c r="G4025" i="49"/>
  <c r="P4025" i="49"/>
  <c r="M4025" i="49"/>
  <c r="M3984" i="49"/>
  <c r="P3984" i="49"/>
  <c r="G3984" i="49"/>
  <c r="P707" i="49"/>
  <c r="G707" i="49"/>
  <c r="M707" i="49"/>
  <c r="P2175" i="49"/>
  <c r="G2175" i="49"/>
  <c r="M2175" i="49"/>
  <c r="G2091" i="49"/>
  <c r="P2091" i="49"/>
  <c r="M2091" i="49"/>
  <c r="P2293" i="49"/>
  <c r="M2293" i="49"/>
  <c r="G2293" i="49"/>
  <c r="M2160" i="49"/>
  <c r="G2160" i="49"/>
  <c r="P2160" i="49"/>
  <c r="G1767" i="49"/>
  <c r="P1767" i="49"/>
  <c r="M1767" i="49"/>
  <c r="P1537" i="49"/>
  <c r="M1537" i="49"/>
  <c r="G1537" i="49"/>
  <c r="G1605" i="49"/>
  <c r="P1605" i="49"/>
  <c r="M1605" i="49"/>
  <c r="M1657" i="49"/>
  <c r="G1657" i="49"/>
  <c r="P1657" i="49"/>
  <c r="P1459" i="49"/>
  <c r="G1459" i="49"/>
  <c r="M1459" i="49"/>
  <c r="G1501" i="49"/>
  <c r="P1501" i="49"/>
  <c r="M1501" i="49"/>
  <c r="G1611" i="49"/>
  <c r="P1611" i="49"/>
  <c r="M1611" i="49"/>
  <c r="P1708" i="49"/>
  <c r="G1708" i="49"/>
  <c r="M1708" i="49"/>
  <c r="M1634" i="49"/>
  <c r="P1634" i="49"/>
  <c r="G1634" i="49"/>
  <c r="P1368" i="49"/>
  <c r="M1368" i="49"/>
  <c r="G1368" i="49"/>
  <c r="P1338" i="49"/>
  <c r="M1338" i="49"/>
  <c r="G1338" i="49"/>
  <c r="M1325" i="49"/>
  <c r="G1325" i="49"/>
  <c r="P1325" i="49"/>
  <c r="P1440" i="49"/>
  <c r="M1440" i="49"/>
  <c r="G1440" i="49"/>
  <c r="M1240" i="49"/>
  <c r="G1240" i="49"/>
  <c r="P1240" i="49"/>
  <c r="G1324" i="49"/>
  <c r="M1324" i="49"/>
  <c r="P1324" i="49"/>
  <c r="G1205" i="49"/>
  <c r="P1205" i="49"/>
  <c r="M1205" i="49"/>
  <c r="G1383" i="49"/>
  <c r="P1383" i="49"/>
  <c r="M1383" i="49"/>
  <c r="G1281" i="49"/>
  <c r="M1281" i="49"/>
  <c r="P1281" i="49"/>
  <c r="M1304" i="49"/>
  <c r="P1304" i="49"/>
  <c r="G1304" i="49"/>
  <c r="M1448" i="49"/>
  <c r="P1448" i="49"/>
  <c r="G1448" i="49"/>
  <c r="H487" i="49"/>
  <c r="P487" i="49"/>
  <c r="M487" i="49"/>
  <c r="G487" i="49"/>
  <c r="M296" i="49"/>
  <c r="H296" i="49"/>
  <c r="G296" i="49"/>
  <c r="P296" i="49"/>
  <c r="P294" i="49"/>
  <c r="H294" i="49"/>
  <c r="M294" i="49"/>
  <c r="G294" i="49"/>
  <c r="P484" i="49"/>
  <c r="G484" i="49"/>
  <c r="M484" i="49"/>
  <c r="H484" i="49"/>
  <c r="P534" i="49"/>
  <c r="M534" i="49"/>
  <c r="G534" i="49"/>
  <c r="H534" i="49"/>
  <c r="P5017" i="49"/>
  <c r="G5017" i="49"/>
  <c r="M5017" i="49"/>
  <c r="E39" i="20"/>
  <c r="P2811" i="49"/>
  <c r="M2811" i="49"/>
  <c r="G2811" i="49"/>
  <c r="P2752" i="49"/>
  <c r="M2752" i="49"/>
  <c r="G2752" i="49"/>
  <c r="P3903" i="49"/>
  <c r="M3903" i="49"/>
  <c r="G3903" i="49"/>
  <c r="M3882" i="49"/>
  <c r="G3882" i="49"/>
  <c r="P3882" i="49"/>
  <c r="M3990" i="49"/>
  <c r="P3990" i="49"/>
  <c r="G3990" i="49"/>
  <c r="G3987" i="49"/>
  <c r="P3987" i="49"/>
  <c r="M3987" i="49"/>
  <c r="P683" i="49"/>
  <c r="G683" i="49"/>
  <c r="M683" i="49"/>
  <c r="M2243" i="49"/>
  <c r="G2243" i="49"/>
  <c r="P2243" i="49"/>
  <c r="M2239" i="49"/>
  <c r="G2239" i="49"/>
  <c r="P2239" i="49"/>
  <c r="M1813" i="49"/>
  <c r="P1813" i="49"/>
  <c r="G1813" i="49"/>
  <c r="G1595" i="49"/>
  <c r="M1595" i="49"/>
  <c r="P1595" i="49"/>
  <c r="G1179" i="49"/>
  <c r="P1179" i="49"/>
  <c r="M1179" i="49"/>
  <c r="P1432" i="49"/>
  <c r="M1432" i="49"/>
  <c r="G1432" i="49"/>
  <c r="P1288" i="49"/>
  <c r="M1288" i="49"/>
  <c r="G1288" i="49"/>
  <c r="P1254" i="49"/>
  <c r="M1254" i="49"/>
  <c r="G1254" i="49"/>
  <c r="G1163" i="49"/>
  <c r="P1163" i="49"/>
  <c r="M1163" i="49"/>
  <c r="G1341" i="49"/>
  <c r="M1341" i="49"/>
  <c r="P1341" i="49"/>
  <c r="P1387" i="49"/>
  <c r="G1387" i="49"/>
  <c r="M1387" i="49"/>
  <c r="P1166" i="49"/>
  <c r="M1166" i="49"/>
  <c r="G1166" i="49"/>
  <c r="P1310" i="49"/>
  <c r="M1310" i="49"/>
  <c r="G1310" i="49"/>
  <c r="P1382" i="49"/>
  <c r="G1382" i="49"/>
  <c r="M1382" i="49"/>
  <c r="M726" i="49"/>
  <c r="P726" i="49"/>
  <c r="G726" i="49"/>
  <c r="G839" i="49"/>
  <c r="P839" i="49"/>
  <c r="M839" i="49"/>
  <c r="P781" i="49"/>
  <c r="M781" i="49"/>
  <c r="G781" i="49"/>
  <c r="P723" i="49"/>
  <c r="G723" i="49"/>
  <c r="M723" i="49"/>
  <c r="M498" i="49"/>
  <c r="H498" i="49"/>
  <c r="G498" i="49"/>
  <c r="P498" i="49"/>
  <c r="H451" i="49"/>
  <c r="G451" i="49"/>
  <c r="P451" i="49"/>
  <c r="M451" i="49"/>
  <c r="P764" i="49"/>
  <c r="M764" i="49"/>
  <c r="G764" i="49"/>
  <c r="J461" i="49"/>
  <c r="Q461" i="49" s="1"/>
  <c r="F39" i="21"/>
  <c r="M905" i="49"/>
  <c r="G905" i="49"/>
  <c r="P905" i="49"/>
  <c r="M3871" i="49"/>
  <c r="G3871" i="49"/>
  <c r="P3871" i="49"/>
  <c r="M3670" i="49"/>
  <c r="G3670" i="49"/>
  <c r="P3670" i="49"/>
  <c r="M3327" i="49"/>
  <c r="P3327" i="49"/>
  <c r="G3327" i="49"/>
  <c r="M3400" i="49"/>
  <c r="P3400" i="49"/>
  <c r="G3400" i="49"/>
  <c r="G3251" i="49"/>
  <c r="M3251" i="49"/>
  <c r="P3251" i="49"/>
  <c r="G3329" i="49"/>
  <c r="P3329" i="49"/>
  <c r="M3329" i="49"/>
  <c r="M3310" i="49"/>
  <c r="G3310" i="49"/>
  <c r="P3310" i="49"/>
  <c r="M3460" i="49"/>
  <c r="P3460" i="49"/>
  <c r="G3460" i="49"/>
  <c r="P3057" i="49"/>
  <c r="M3057" i="49"/>
  <c r="G3057" i="49"/>
  <c r="G3015" i="49"/>
  <c r="P3015" i="49"/>
  <c r="M3015" i="49"/>
  <c r="G2909" i="49"/>
  <c r="M2909" i="49"/>
  <c r="P2909" i="49"/>
  <c r="P2907" i="49"/>
  <c r="G2907" i="49"/>
  <c r="M2907" i="49"/>
  <c r="P3022" i="49"/>
  <c r="M3022" i="49"/>
  <c r="G3022" i="49"/>
  <c r="G3166" i="49"/>
  <c r="M3166" i="49"/>
  <c r="P3166" i="49"/>
  <c r="P2519" i="49"/>
  <c r="M2519" i="49"/>
  <c r="G2519" i="49"/>
  <c r="P2442" i="49"/>
  <c r="G2442" i="49"/>
  <c r="M2442" i="49"/>
  <c r="G2468" i="49"/>
  <c r="M2468" i="49"/>
  <c r="P2468" i="49"/>
  <c r="M2541" i="49"/>
  <c r="G2541" i="49"/>
  <c r="P2541" i="49"/>
  <c r="G1709" i="49"/>
  <c r="P1709" i="49"/>
  <c r="M1709" i="49"/>
  <c r="P2214" i="49"/>
  <c r="M2214" i="49"/>
  <c r="G2214" i="49"/>
  <c r="P2088" i="49"/>
  <c r="M2088" i="49"/>
  <c r="G2088" i="49"/>
  <c r="M1999" i="49"/>
  <c r="P1999" i="49"/>
  <c r="G1999" i="49"/>
  <c r="P1470" i="49"/>
  <c r="M1470" i="49"/>
  <c r="G1470" i="49"/>
  <c r="G1333" i="49"/>
  <c r="P1333" i="49"/>
  <c r="M1333" i="49"/>
  <c r="G1437" i="49"/>
  <c r="P1437" i="49"/>
  <c r="M1437" i="49"/>
  <c r="P1183" i="49"/>
  <c r="M1183" i="49"/>
  <c r="G1183" i="49"/>
  <c r="M1414" i="49"/>
  <c r="G1414" i="49"/>
  <c r="P1414" i="49"/>
  <c r="G1180" i="49"/>
  <c r="P1180" i="49"/>
  <c r="M1180" i="49"/>
  <c r="G1239" i="49"/>
  <c r="P1239" i="49"/>
  <c r="M1239" i="49"/>
  <c r="P1302" i="49"/>
  <c r="M1302" i="49"/>
  <c r="G1302" i="49"/>
  <c r="G1244" i="49"/>
  <c r="P1244" i="49"/>
  <c r="M1244" i="49"/>
  <c r="G1388" i="49"/>
  <c r="P1388" i="49"/>
  <c r="M1388" i="49"/>
  <c r="G814" i="49"/>
  <c r="P814" i="49"/>
  <c r="M814" i="49"/>
  <c r="M630" i="49"/>
  <c r="P630" i="49"/>
  <c r="G630" i="49"/>
  <c r="M677" i="49"/>
  <c r="G677" i="49"/>
  <c r="P677" i="49"/>
  <c r="M602" i="49"/>
  <c r="G602" i="49"/>
  <c r="P602" i="49"/>
  <c r="P594" i="49"/>
  <c r="M594" i="49"/>
  <c r="G594" i="49"/>
  <c r="M848" i="49"/>
  <c r="G848" i="49"/>
  <c r="P848" i="49"/>
  <c r="P801" i="49"/>
  <c r="M801" i="49"/>
  <c r="G801" i="49"/>
  <c r="M507" i="49"/>
  <c r="H507" i="49"/>
  <c r="P507" i="49"/>
  <c r="G507" i="49"/>
  <c r="H349" i="49"/>
  <c r="G349" i="49"/>
  <c r="M349" i="49"/>
  <c r="P349" i="49"/>
  <c r="J380" i="49"/>
  <c r="Q380" i="49" s="1"/>
  <c r="G36" i="29"/>
  <c r="G32" i="29"/>
  <c r="G28" i="29"/>
  <c r="G18" i="29"/>
  <c r="G14" i="29"/>
  <c r="G17" i="29"/>
  <c r="G33" i="29"/>
  <c r="G30" i="29"/>
  <c r="G27" i="29"/>
  <c r="G16" i="29"/>
  <c r="G38" i="29"/>
  <c r="G37" i="29"/>
  <c r="G35" i="29"/>
  <c r="G29" i="29"/>
  <c r="G15" i="29"/>
  <c r="H12" i="29"/>
  <c r="G44" i="29"/>
  <c r="G34" i="29"/>
  <c r="G31" i="29"/>
  <c r="G72" i="29"/>
  <c r="F79" i="27"/>
  <c r="F85" i="27"/>
  <c r="E19" i="19"/>
  <c r="J537" i="49"/>
  <c r="Q537" i="49" s="1"/>
  <c r="G754" i="49"/>
  <c r="P754" i="49"/>
  <c r="M754" i="49"/>
  <c r="P474" i="49"/>
  <c r="M474" i="49"/>
  <c r="G474" i="49"/>
  <c r="H474" i="49"/>
  <c r="J44" i="1"/>
  <c r="P2060" i="49"/>
  <c r="P2253" i="49"/>
  <c r="P4357" i="49"/>
  <c r="G4357" i="49"/>
  <c r="M4357" i="49"/>
  <c r="M4556" i="49"/>
  <c r="G4556" i="49"/>
  <c r="P4556" i="49"/>
  <c r="P4345" i="49"/>
  <c r="M4345" i="49"/>
  <c r="G4345" i="49"/>
  <c r="P4381" i="49"/>
  <c r="M4381" i="49"/>
  <c r="G4381" i="49"/>
  <c r="M4433" i="49"/>
  <c r="P4433" i="49"/>
  <c r="G4433" i="49"/>
  <c r="M4567" i="49"/>
  <c r="G4567" i="49"/>
  <c r="P4567" i="49"/>
  <c r="P4453" i="49"/>
  <c r="G4453" i="49"/>
  <c r="M4453" i="49"/>
  <c r="M4427" i="49"/>
  <c r="G4427" i="49"/>
  <c r="P4427" i="49"/>
  <c r="G4537" i="49"/>
  <c r="P4537" i="49"/>
  <c r="M4537" i="49"/>
  <c r="P4404" i="49"/>
  <c r="G4404" i="49"/>
  <c r="M4404" i="49"/>
  <c r="G4359" i="49"/>
  <c r="P4359" i="49"/>
  <c r="M4359" i="49"/>
  <c r="G4513" i="49"/>
  <c r="P4513" i="49"/>
  <c r="M4513" i="49"/>
  <c r="G4582" i="49"/>
  <c r="P4582" i="49"/>
  <c r="M4582" i="49"/>
  <c r="P4412" i="49"/>
  <c r="G4412" i="49"/>
  <c r="M4412" i="49"/>
  <c r="M4496" i="49"/>
  <c r="G4496" i="49"/>
  <c r="P4496" i="49"/>
  <c r="M4615" i="49"/>
  <c r="G4615" i="49"/>
  <c r="P4615" i="49"/>
  <c r="P4518" i="49"/>
  <c r="G4518" i="49"/>
  <c r="M4518" i="49"/>
  <c r="G4596" i="49"/>
  <c r="M4596" i="49"/>
  <c r="P4596" i="49"/>
  <c r="G4613" i="49"/>
  <c r="P4613" i="49"/>
  <c r="M4613" i="49"/>
  <c r="P2669" i="49"/>
  <c r="M2669" i="49"/>
  <c r="G2669" i="49"/>
  <c r="P2859" i="49"/>
  <c r="M2859" i="49"/>
  <c r="G2859" i="49"/>
  <c r="M2606" i="49"/>
  <c r="P2606" i="49"/>
  <c r="G2606" i="49"/>
  <c r="P2617" i="49"/>
  <c r="M2617" i="49"/>
  <c r="G2617" i="49"/>
  <c r="P2821" i="49"/>
  <c r="M2821" i="49"/>
  <c r="G2821" i="49"/>
  <c r="P2609" i="49"/>
  <c r="M2609" i="49"/>
  <c r="G2609" i="49"/>
  <c r="M2666" i="49"/>
  <c r="P2666" i="49"/>
  <c r="G2666" i="49"/>
  <c r="M2632" i="49"/>
  <c r="G2632" i="49"/>
  <c r="P2632" i="49"/>
  <c r="M2717" i="49"/>
  <c r="P2717" i="49"/>
  <c r="G2717" i="49"/>
  <c r="M2618" i="49"/>
  <c r="G2618" i="49"/>
  <c r="P2618" i="49"/>
  <c r="M2820" i="49"/>
  <c r="P2820" i="49"/>
  <c r="G2820" i="49"/>
  <c r="P2657" i="49"/>
  <c r="M2657" i="49"/>
  <c r="G2657" i="49"/>
  <c r="P2731" i="49"/>
  <c r="M2731" i="49"/>
  <c r="G2731" i="49"/>
  <c r="G2867" i="49"/>
  <c r="P2867" i="49"/>
  <c r="M2867" i="49"/>
  <c r="M2868" i="49"/>
  <c r="G2868" i="49"/>
  <c r="P2868" i="49"/>
  <c r="P2792" i="49"/>
  <c r="M2792" i="49"/>
  <c r="G2792" i="49"/>
  <c r="G2877" i="49"/>
  <c r="P2877" i="49"/>
  <c r="M2877" i="49"/>
  <c r="G1323" i="49"/>
  <c r="P1323" i="49"/>
  <c r="M1323" i="49"/>
  <c r="M554" i="49"/>
  <c r="P554" i="49"/>
  <c r="H554" i="49"/>
  <c r="G554" i="49"/>
  <c r="P423" i="49"/>
  <c r="M423" i="49"/>
  <c r="H423" i="49"/>
  <c r="G423" i="49"/>
  <c r="H577" i="49"/>
  <c r="G577" i="49"/>
  <c r="P577" i="49"/>
  <c r="M577" i="49"/>
  <c r="P4478" i="49"/>
  <c r="M4478" i="49"/>
  <c r="G4478" i="49"/>
  <c r="P4362" i="49"/>
  <c r="M4362" i="49"/>
  <c r="G4362" i="49"/>
  <c r="M4367" i="49"/>
  <c r="P4367" i="49"/>
  <c r="G4367" i="49"/>
  <c r="P4351" i="49"/>
  <c r="M4351" i="49"/>
  <c r="G4351" i="49"/>
  <c r="M4397" i="49"/>
  <c r="P4397" i="49"/>
  <c r="G4397" i="49"/>
  <c r="P4441" i="49"/>
  <c r="M4441" i="49"/>
  <c r="G4441" i="49"/>
  <c r="P4429" i="49"/>
  <c r="G4429" i="49"/>
  <c r="M4429" i="49"/>
  <c r="M4420" i="49"/>
  <c r="G4420" i="49"/>
  <c r="P4420" i="49"/>
  <c r="G4365" i="49"/>
  <c r="P4365" i="49"/>
  <c r="M4365" i="49"/>
  <c r="G4437" i="49"/>
  <c r="P4437" i="49"/>
  <c r="M4437" i="49"/>
  <c r="P4587" i="49"/>
  <c r="G4587" i="49"/>
  <c r="M4587" i="49"/>
  <c r="M4418" i="49"/>
  <c r="G4418" i="49"/>
  <c r="P4418" i="49"/>
  <c r="G4620" i="49"/>
  <c r="M4620" i="49"/>
  <c r="P4620" i="49"/>
  <c r="P4599" i="49"/>
  <c r="G4599" i="49"/>
  <c r="M4599" i="49"/>
  <c r="G4619" i="49"/>
  <c r="P4619" i="49"/>
  <c r="M4619" i="49"/>
  <c r="P2876" i="49"/>
  <c r="M2876" i="49"/>
  <c r="G2876" i="49"/>
  <c r="M2630" i="49"/>
  <c r="P2630" i="49"/>
  <c r="G2630" i="49"/>
  <c r="M2649" i="49"/>
  <c r="P2649" i="49"/>
  <c r="G2649" i="49"/>
  <c r="M2613" i="49"/>
  <c r="P2613" i="49"/>
  <c r="G2613" i="49"/>
  <c r="G2621" i="49"/>
  <c r="M2621" i="49"/>
  <c r="P2621" i="49"/>
  <c r="G2806" i="49"/>
  <c r="M2806" i="49"/>
  <c r="P2806" i="49"/>
  <c r="M2174" i="49"/>
  <c r="G2174" i="49"/>
  <c r="P2174" i="49"/>
  <c r="M2056" i="49"/>
  <c r="G2056" i="49"/>
  <c r="P2056" i="49"/>
  <c r="P2277" i="49"/>
  <c r="M2277" i="49"/>
  <c r="G2277" i="49"/>
  <c r="M2039" i="49"/>
  <c r="G2039" i="49"/>
  <c r="P2039" i="49"/>
  <c r="P2130" i="49"/>
  <c r="M2130" i="49"/>
  <c r="G2130" i="49"/>
  <c r="P2113" i="49"/>
  <c r="M2113" i="49"/>
  <c r="G2113" i="49"/>
  <c r="M2066" i="49"/>
  <c r="P2066" i="49"/>
  <c r="G2066" i="49"/>
  <c r="M2118" i="49"/>
  <c r="G2118" i="49"/>
  <c r="P2118" i="49"/>
  <c r="P2286" i="49"/>
  <c r="M2286" i="49"/>
  <c r="G2286" i="49"/>
  <c r="M2123" i="49"/>
  <c r="P2123" i="49"/>
  <c r="G2123" i="49"/>
  <c r="M2284" i="49"/>
  <c r="P2284" i="49"/>
  <c r="G2284" i="49"/>
  <c r="M2062" i="49"/>
  <c r="G2062" i="49"/>
  <c r="P2062" i="49"/>
  <c r="M2147" i="49"/>
  <c r="P2147" i="49"/>
  <c r="G2147" i="49"/>
  <c r="M1904" i="49"/>
  <c r="P1904" i="49"/>
  <c r="G1904" i="49"/>
  <c r="M1911" i="49"/>
  <c r="P1911" i="49"/>
  <c r="G1911" i="49"/>
  <c r="P1836" i="49"/>
  <c r="M1836" i="49"/>
  <c r="G1836" i="49"/>
  <c r="M1959" i="49"/>
  <c r="G1959" i="49"/>
  <c r="P1959" i="49"/>
  <c r="P1879" i="49"/>
  <c r="M1879" i="49"/>
  <c r="G1879" i="49"/>
  <c r="M1898" i="49"/>
  <c r="P1898" i="49"/>
  <c r="G1898" i="49"/>
  <c r="M1829" i="49"/>
  <c r="P1829" i="49"/>
  <c r="G1829" i="49"/>
  <c r="G1759" i="49"/>
  <c r="P1759" i="49"/>
  <c r="M1759" i="49"/>
  <c r="P1935" i="49"/>
  <c r="M1935" i="49"/>
  <c r="G1935" i="49"/>
  <c r="M1949" i="49"/>
  <c r="P1949" i="49"/>
  <c r="G1949" i="49"/>
  <c r="M1855" i="49"/>
  <c r="G1855" i="49"/>
  <c r="P1855" i="49"/>
  <c r="M1931" i="49"/>
  <c r="P1931" i="49"/>
  <c r="G1931" i="49"/>
  <c r="G1869" i="49"/>
  <c r="P1869" i="49"/>
  <c r="M1869" i="49"/>
  <c r="G1763" i="49"/>
  <c r="P1763" i="49"/>
  <c r="M1763" i="49"/>
  <c r="M1840" i="49"/>
  <c r="P1840" i="49"/>
  <c r="G1840" i="49"/>
  <c r="M1910" i="49"/>
  <c r="G1910" i="49"/>
  <c r="P1910" i="49"/>
  <c r="P574" i="49"/>
  <c r="M574" i="49"/>
  <c r="H574" i="49"/>
  <c r="G574" i="49"/>
  <c r="M477" i="49"/>
  <c r="H477" i="49"/>
  <c r="G477" i="49"/>
  <c r="P477" i="49"/>
  <c r="M572" i="49"/>
  <c r="G572" i="49"/>
  <c r="H572" i="49"/>
  <c r="P572" i="49"/>
  <c r="P467" i="49"/>
  <c r="H467" i="49"/>
  <c r="M467" i="49"/>
  <c r="G467" i="49"/>
  <c r="M578" i="49"/>
  <c r="G578" i="49"/>
  <c r="P578" i="49"/>
  <c r="H578" i="49"/>
  <c r="G4957" i="49"/>
  <c r="P4957" i="49"/>
  <c r="M4957" i="49"/>
  <c r="G4975" i="49"/>
  <c r="M4975" i="49"/>
  <c r="P4975" i="49"/>
  <c r="M5027" i="49"/>
  <c r="G5027" i="49"/>
  <c r="P5027" i="49"/>
  <c r="G4997" i="49"/>
  <c r="M4997" i="49"/>
  <c r="P4997" i="49"/>
  <c r="P5039" i="49"/>
  <c r="M5039" i="49"/>
  <c r="G5039" i="49"/>
  <c r="P4940" i="49"/>
  <c r="G4940" i="49"/>
  <c r="M4940" i="49"/>
  <c r="G4945" i="49"/>
  <c r="P4945" i="49"/>
  <c r="M4945" i="49"/>
  <c r="G4955" i="49"/>
  <c r="P4955" i="49"/>
  <c r="M4955" i="49"/>
  <c r="P5077" i="49"/>
  <c r="G5077" i="49"/>
  <c r="M5077" i="49"/>
  <c r="G5020" i="49"/>
  <c r="M5020" i="49"/>
  <c r="P5020" i="49"/>
  <c r="G5001" i="49"/>
  <c r="P5001" i="49"/>
  <c r="M5001" i="49"/>
  <c r="M5194" i="49"/>
  <c r="G5194" i="49"/>
  <c r="P5194" i="49"/>
  <c r="G5063" i="49"/>
  <c r="P5063" i="49"/>
  <c r="M5063" i="49"/>
  <c r="M5174" i="49"/>
  <c r="P5174" i="49"/>
  <c r="G5174" i="49"/>
  <c r="P4998" i="49"/>
  <c r="G4998" i="49"/>
  <c r="M4998" i="49"/>
  <c r="P5182" i="49"/>
  <c r="M5182" i="49"/>
  <c r="G5182" i="49"/>
  <c r="M5007" i="49"/>
  <c r="P5007" i="49"/>
  <c r="G5007" i="49"/>
  <c r="P5199" i="49"/>
  <c r="G5199" i="49"/>
  <c r="M5199" i="49"/>
  <c r="G4650" i="49"/>
  <c r="M4650" i="49"/>
  <c r="P4650" i="49"/>
  <c r="M4892" i="49"/>
  <c r="P4892" i="49"/>
  <c r="G4892" i="49"/>
  <c r="P4786" i="49"/>
  <c r="M4786" i="49"/>
  <c r="G4786" i="49"/>
  <c r="M4676" i="49"/>
  <c r="G4676" i="49"/>
  <c r="P4676" i="49"/>
  <c r="P4653" i="49"/>
  <c r="G4653" i="49"/>
  <c r="M4653" i="49"/>
  <c r="P4749" i="49"/>
  <c r="M4749" i="49"/>
  <c r="G4749" i="49"/>
  <c r="P4809" i="49"/>
  <c r="M4809" i="49"/>
  <c r="G4809" i="49"/>
  <c r="M4868" i="49"/>
  <c r="G4868" i="49"/>
  <c r="P4868" i="49"/>
  <c r="M4706" i="49"/>
  <c r="G4706" i="49"/>
  <c r="P4706" i="49"/>
  <c r="P4696" i="49"/>
  <c r="G4696" i="49"/>
  <c r="M4696" i="49"/>
  <c r="P4804" i="49"/>
  <c r="G4804" i="49"/>
  <c r="M4804" i="49"/>
  <c r="P4858" i="49"/>
  <c r="M4858" i="49"/>
  <c r="G4858" i="49"/>
  <c r="M4694" i="49"/>
  <c r="G4694" i="49"/>
  <c r="P4694" i="49"/>
  <c r="G4802" i="49"/>
  <c r="P4802" i="49"/>
  <c r="M4802" i="49"/>
  <c r="P4893" i="49"/>
  <c r="G4893" i="49"/>
  <c r="M4893" i="49"/>
  <c r="G4867" i="49"/>
  <c r="M4867" i="49"/>
  <c r="P4867" i="49"/>
  <c r="G4722" i="49"/>
  <c r="P4722" i="49"/>
  <c r="M4722" i="49"/>
  <c r="G4794" i="49"/>
  <c r="P4794" i="49"/>
  <c r="M4794" i="49"/>
  <c r="G4866" i="49"/>
  <c r="P4866" i="49"/>
  <c r="M4866" i="49"/>
  <c r="P4709" i="49"/>
  <c r="M4709" i="49"/>
  <c r="G4709" i="49"/>
  <c r="P4781" i="49"/>
  <c r="M4781" i="49"/>
  <c r="G4781" i="49"/>
  <c r="P4853" i="49"/>
  <c r="M4853" i="49"/>
  <c r="G4853" i="49"/>
  <c r="E39" i="18"/>
  <c r="M2684" i="49"/>
  <c r="G2684" i="49"/>
  <c r="P2684" i="49"/>
  <c r="P2718" i="49"/>
  <c r="M2718" i="49"/>
  <c r="G2718" i="49"/>
  <c r="M2850" i="49"/>
  <c r="P2850" i="49"/>
  <c r="G2850" i="49"/>
  <c r="G2638" i="49"/>
  <c r="P2638" i="49"/>
  <c r="M2638" i="49"/>
  <c r="M2615" i="49"/>
  <c r="G2615" i="49"/>
  <c r="P2615" i="49"/>
  <c r="P2686" i="49"/>
  <c r="M2686" i="49"/>
  <c r="G2686" i="49"/>
  <c r="P2735" i="49"/>
  <c r="M2735" i="49"/>
  <c r="G2735" i="49"/>
  <c r="M2844" i="49"/>
  <c r="G2844" i="49"/>
  <c r="P2844" i="49"/>
  <c r="G2628" i="49"/>
  <c r="P2628" i="49"/>
  <c r="M2628" i="49"/>
  <c r="G2765" i="49"/>
  <c r="P2765" i="49"/>
  <c r="M2765" i="49"/>
  <c r="M2886" i="49"/>
  <c r="P2886" i="49"/>
  <c r="G2886" i="49"/>
  <c r="M2796" i="49"/>
  <c r="G2796" i="49"/>
  <c r="P2796" i="49"/>
  <c r="P2805" i="49"/>
  <c r="G2805" i="49"/>
  <c r="M2805" i="49"/>
  <c r="G2740" i="49"/>
  <c r="P2740" i="49"/>
  <c r="M2740" i="49"/>
  <c r="G2812" i="49"/>
  <c r="P2812" i="49"/>
  <c r="M2812" i="49"/>
  <c r="P965" i="49"/>
  <c r="M965" i="49"/>
  <c r="G965" i="49"/>
  <c r="P992" i="49"/>
  <c r="M992" i="49"/>
  <c r="G992" i="49"/>
  <c r="P878" i="49"/>
  <c r="M878" i="49"/>
  <c r="G878" i="49"/>
  <c r="M1058" i="49"/>
  <c r="G1058" i="49"/>
  <c r="P1058" i="49"/>
  <c r="G742" i="49"/>
  <c r="P742" i="49"/>
  <c r="M742" i="49"/>
  <c r="P335" i="49"/>
  <c r="H335" i="49"/>
  <c r="G335" i="49"/>
  <c r="M335" i="49"/>
  <c r="G6" i="40"/>
  <c r="F6" i="40"/>
  <c r="I6" i="40"/>
  <c r="E6" i="40"/>
  <c r="J6" i="40"/>
  <c r="H6" i="40"/>
  <c r="C9" i="47"/>
  <c r="M2204" i="49"/>
  <c r="G2204" i="49"/>
  <c r="P2204" i="49"/>
  <c r="M2080" i="49"/>
  <c r="P2080" i="49"/>
  <c r="G2080" i="49"/>
  <c r="M2028" i="49"/>
  <c r="G2028" i="49"/>
  <c r="P2028" i="49"/>
  <c r="M2057" i="49"/>
  <c r="P2057" i="49"/>
  <c r="G2057" i="49"/>
  <c r="P2054" i="49"/>
  <c r="G2054" i="49"/>
  <c r="M2054" i="49"/>
  <c r="P2149" i="49"/>
  <c r="G2149" i="49"/>
  <c r="M2149" i="49"/>
  <c r="P2139" i="49"/>
  <c r="M2139" i="49"/>
  <c r="G2139" i="49"/>
  <c r="G2058" i="49"/>
  <c r="P2058" i="49"/>
  <c r="M2058" i="49"/>
  <c r="M2061" i="49"/>
  <c r="G2061" i="49"/>
  <c r="P2061" i="49"/>
  <c r="M2129" i="49"/>
  <c r="P2129" i="49"/>
  <c r="G2129" i="49"/>
  <c r="M2227" i="49"/>
  <c r="G2227" i="49"/>
  <c r="P2227" i="49"/>
  <c r="M2125" i="49"/>
  <c r="P2125" i="49"/>
  <c r="G2125" i="49"/>
  <c r="M2141" i="49"/>
  <c r="G2141" i="49"/>
  <c r="P2141" i="49"/>
  <c r="P2065" i="49"/>
  <c r="M2065" i="49"/>
  <c r="G2065" i="49"/>
  <c r="M2157" i="49"/>
  <c r="G2157" i="49"/>
  <c r="P2157" i="49"/>
  <c r="M2242" i="49"/>
  <c r="G2242" i="49"/>
  <c r="P2242" i="49"/>
  <c r="P2192" i="49"/>
  <c r="M2192" i="49"/>
  <c r="G2192" i="49"/>
  <c r="P1939" i="49"/>
  <c r="M1939" i="49"/>
  <c r="G1939" i="49"/>
  <c r="M1937" i="49"/>
  <c r="G1937" i="49"/>
  <c r="P1937" i="49"/>
  <c r="P2010" i="49"/>
  <c r="M2010" i="49"/>
  <c r="G2010" i="49"/>
  <c r="M1926" i="49"/>
  <c r="P1926" i="49"/>
  <c r="G1926" i="49"/>
  <c r="M1843" i="49"/>
  <c r="P1843" i="49"/>
  <c r="G1843" i="49"/>
  <c r="G1761" i="49"/>
  <c r="P1761" i="49"/>
  <c r="M1761" i="49"/>
  <c r="M1819" i="49"/>
  <c r="G1819" i="49"/>
  <c r="P1819" i="49"/>
  <c r="M1960" i="49"/>
  <c r="G1960" i="49"/>
  <c r="P1960" i="49"/>
  <c r="M1945" i="49"/>
  <c r="G1945" i="49"/>
  <c r="P1945" i="49"/>
  <c r="M1920" i="49"/>
  <c r="P1920" i="49"/>
  <c r="G1920" i="49"/>
  <c r="P1794" i="49"/>
  <c r="G1794" i="49"/>
  <c r="M1794" i="49"/>
  <c r="M584" i="49"/>
  <c r="G584" i="49"/>
  <c r="P584" i="49"/>
  <c r="P2650" i="49"/>
  <c r="M2650" i="49"/>
  <c r="G2650" i="49"/>
  <c r="G2746" i="49"/>
  <c r="P2746" i="49"/>
  <c r="M2746" i="49"/>
  <c r="M3942" i="49"/>
  <c r="G3942" i="49"/>
  <c r="P3942" i="49"/>
  <c r="P366" i="49"/>
  <c r="H366" i="49"/>
  <c r="G366" i="49"/>
  <c r="M366" i="49"/>
  <c r="M540" i="49"/>
  <c r="H540" i="49"/>
  <c r="G540" i="49"/>
  <c r="P540" i="49"/>
  <c r="P1462" i="49"/>
  <c r="M1462" i="49"/>
  <c r="G1462" i="49"/>
  <c r="P4984" i="49"/>
  <c r="G4984" i="49"/>
  <c r="M4984" i="49"/>
  <c r="G4977" i="49"/>
  <c r="P4977" i="49"/>
  <c r="M4977" i="49"/>
  <c r="P4941" i="49"/>
  <c r="M4941" i="49"/>
  <c r="G4941" i="49"/>
  <c r="G4979" i="49"/>
  <c r="P4979" i="49"/>
  <c r="M4979" i="49"/>
  <c r="G2843" i="49"/>
  <c r="P2843" i="49"/>
  <c r="M2843" i="49"/>
  <c r="P2728" i="49"/>
  <c r="G2728" i="49"/>
  <c r="M2728" i="49"/>
  <c r="G2663" i="49"/>
  <c r="M2663" i="49"/>
  <c r="P2663" i="49"/>
  <c r="M2694" i="49"/>
  <c r="P2694" i="49"/>
  <c r="G2694" i="49"/>
  <c r="G2729" i="49"/>
  <c r="M2729" i="49"/>
  <c r="P2729" i="49"/>
  <c r="M978" i="49"/>
  <c r="P978" i="49"/>
  <c r="G978" i="49"/>
  <c r="M1043" i="49"/>
  <c r="G1043" i="49"/>
  <c r="P1043" i="49"/>
  <c r="M876" i="49"/>
  <c r="P876" i="49"/>
  <c r="G876" i="49"/>
  <c r="P895" i="49"/>
  <c r="G895" i="49"/>
  <c r="M895" i="49"/>
  <c r="G1072" i="49"/>
  <c r="M1072" i="49"/>
  <c r="P1072" i="49"/>
  <c r="P901" i="49"/>
  <c r="G901" i="49"/>
  <c r="M901" i="49"/>
  <c r="G1078" i="49"/>
  <c r="M1078" i="49"/>
  <c r="P1078" i="49"/>
  <c r="M909" i="49"/>
  <c r="P909" i="49"/>
  <c r="G909" i="49"/>
  <c r="G1142" i="49"/>
  <c r="P1142" i="49"/>
  <c r="M1142" i="49"/>
  <c r="P1027" i="49"/>
  <c r="M1027" i="49"/>
  <c r="G1027" i="49"/>
  <c r="M3780" i="49"/>
  <c r="G3780" i="49"/>
  <c r="P3780" i="49"/>
  <c r="M3858" i="49"/>
  <c r="P3858" i="49"/>
  <c r="G3858" i="49"/>
  <c r="G3875" i="49"/>
  <c r="P3875" i="49"/>
  <c r="M3875" i="49"/>
  <c r="G3817" i="49"/>
  <c r="M3817" i="49"/>
  <c r="P3817" i="49"/>
  <c r="M3900" i="49"/>
  <c r="G3900" i="49"/>
  <c r="P3900" i="49"/>
  <c r="M3960" i="49"/>
  <c r="G3960" i="49"/>
  <c r="P3960" i="49"/>
  <c r="G4049" i="49"/>
  <c r="M4049" i="49"/>
  <c r="P4049" i="49"/>
  <c r="M321" i="49"/>
  <c r="G321" i="49"/>
  <c r="P321" i="49"/>
  <c r="H321" i="49"/>
  <c r="P2270" i="49"/>
  <c r="M2270" i="49"/>
  <c r="G2270" i="49"/>
  <c r="M2079" i="49"/>
  <c r="G2079" i="49"/>
  <c r="P2079" i="49"/>
  <c r="P2077" i="49"/>
  <c r="G2077" i="49"/>
  <c r="M2077" i="49"/>
  <c r="M2104" i="49"/>
  <c r="P2104" i="49"/>
  <c r="G2104" i="49"/>
  <c r="M2152" i="49"/>
  <c r="P2152" i="49"/>
  <c r="G2152" i="49"/>
  <c r="G2071" i="49"/>
  <c r="P2071" i="49"/>
  <c r="M2071" i="49"/>
  <c r="M2087" i="49"/>
  <c r="P2087" i="49"/>
  <c r="G2087" i="49"/>
  <c r="P2143" i="49"/>
  <c r="G2143" i="49"/>
  <c r="M2143" i="49"/>
  <c r="M2154" i="49"/>
  <c r="G2154" i="49"/>
  <c r="P2154" i="49"/>
  <c r="M2085" i="49"/>
  <c r="G2085" i="49"/>
  <c r="P2085" i="49"/>
  <c r="G2150" i="49"/>
  <c r="M2150" i="49"/>
  <c r="P2150" i="49"/>
  <c r="P2264" i="49"/>
  <c r="G2264" i="49"/>
  <c r="M2264" i="49"/>
  <c r="M1992" i="49"/>
  <c r="P1992" i="49"/>
  <c r="G1992" i="49"/>
  <c r="P1806" i="49"/>
  <c r="M1806" i="49"/>
  <c r="G1806" i="49"/>
  <c r="P1777" i="49"/>
  <c r="M1777" i="49"/>
  <c r="G1777" i="49"/>
  <c r="M1810" i="49"/>
  <c r="P1810" i="49"/>
  <c r="G1810" i="49"/>
  <c r="M1983" i="49"/>
  <c r="P1983" i="49"/>
  <c r="G1983" i="49"/>
  <c r="M1940" i="49"/>
  <c r="G1940" i="49"/>
  <c r="P1940" i="49"/>
  <c r="M1985" i="49"/>
  <c r="P1985" i="49"/>
  <c r="G1985" i="49"/>
  <c r="M1799" i="49"/>
  <c r="P1799" i="49"/>
  <c r="G1799" i="49"/>
  <c r="M2024" i="49"/>
  <c r="G2024" i="49"/>
  <c r="P2024" i="49"/>
  <c r="G1593" i="49"/>
  <c r="P1593" i="49"/>
  <c r="M1593" i="49"/>
  <c r="P1378" i="49"/>
  <c r="M1378" i="49"/>
  <c r="G1378" i="49"/>
  <c r="P1267" i="49"/>
  <c r="M1267" i="49"/>
  <c r="G1267" i="49"/>
  <c r="M1342" i="49"/>
  <c r="G1342" i="49"/>
  <c r="P1342" i="49"/>
  <c r="P1445" i="49"/>
  <c r="G1445" i="49"/>
  <c r="M1445" i="49"/>
  <c r="G1299" i="49"/>
  <c r="M1299" i="49"/>
  <c r="P1299" i="49"/>
  <c r="P1222" i="49"/>
  <c r="M1222" i="49"/>
  <c r="G1222" i="49"/>
  <c r="P1238" i="49"/>
  <c r="M1238" i="49"/>
  <c r="G1238" i="49"/>
  <c r="P821" i="49"/>
  <c r="M821" i="49"/>
  <c r="G821" i="49"/>
  <c r="P625" i="49"/>
  <c r="M625" i="49"/>
  <c r="G625" i="49"/>
  <c r="M732" i="49"/>
  <c r="P732" i="49"/>
  <c r="G732" i="49"/>
  <c r="G670" i="49"/>
  <c r="P670" i="49"/>
  <c r="M670" i="49"/>
  <c r="G772" i="49"/>
  <c r="M772" i="49"/>
  <c r="P772" i="49"/>
  <c r="G585" i="49"/>
  <c r="P585" i="49"/>
  <c r="M585" i="49"/>
  <c r="P674" i="49"/>
  <c r="M674" i="49"/>
  <c r="G674" i="49"/>
  <c r="P588" i="49"/>
  <c r="M588" i="49"/>
  <c r="G588" i="49"/>
  <c r="M668" i="49"/>
  <c r="G668" i="49"/>
  <c r="P668" i="49"/>
  <c r="G760" i="49"/>
  <c r="M760" i="49"/>
  <c r="P760" i="49"/>
  <c r="M651" i="49"/>
  <c r="G651" i="49"/>
  <c r="P651" i="49"/>
  <c r="P795" i="49"/>
  <c r="M795" i="49"/>
  <c r="G795" i="49"/>
  <c r="M867" i="49"/>
  <c r="G867" i="49"/>
  <c r="P867" i="49"/>
  <c r="P364" i="49"/>
  <c r="M364" i="49"/>
  <c r="H364" i="49"/>
  <c r="G364" i="49"/>
  <c r="M302" i="49"/>
  <c r="H302" i="49"/>
  <c r="G302" i="49"/>
  <c r="P302" i="49"/>
  <c r="M374" i="49"/>
  <c r="H374" i="49"/>
  <c r="G374" i="49"/>
  <c r="P374" i="49"/>
  <c r="M515" i="49"/>
  <c r="H515" i="49"/>
  <c r="G515" i="49"/>
  <c r="P515" i="49"/>
  <c r="H343" i="49"/>
  <c r="G343" i="49"/>
  <c r="M343" i="49"/>
  <c r="P343" i="49"/>
  <c r="G1261" i="49"/>
  <c r="P1261" i="49"/>
  <c r="M1261" i="49"/>
  <c r="M5045" i="49"/>
  <c r="P5045" i="49"/>
  <c r="G5045" i="49"/>
  <c r="P5161" i="49"/>
  <c r="G5161" i="49"/>
  <c r="M5161" i="49"/>
  <c r="M4949" i="49"/>
  <c r="G4949" i="49"/>
  <c r="P4949" i="49"/>
  <c r="P5034" i="49"/>
  <c r="G5034" i="49"/>
  <c r="M5034" i="49"/>
  <c r="P4953" i="49"/>
  <c r="G4953" i="49"/>
  <c r="M4953" i="49"/>
  <c r="M5061" i="49"/>
  <c r="G5061" i="49"/>
  <c r="P5061" i="49"/>
  <c r="P5191" i="49"/>
  <c r="M5191" i="49"/>
  <c r="G5191" i="49"/>
  <c r="M5200" i="49"/>
  <c r="P5200" i="49"/>
  <c r="G5200" i="49"/>
  <c r="G5117" i="49"/>
  <c r="P5117" i="49"/>
  <c r="M5117" i="49"/>
  <c r="M5189" i="49"/>
  <c r="G5189" i="49"/>
  <c r="P5189" i="49"/>
  <c r="J496" i="49"/>
  <c r="Q496" i="49" s="1"/>
  <c r="E33" i="8"/>
  <c r="J390" i="49"/>
  <c r="Q390" i="49" s="1"/>
  <c r="G1096" i="49"/>
  <c r="P1096" i="49"/>
  <c r="M1096" i="49"/>
  <c r="M989" i="49"/>
  <c r="G989" i="49"/>
  <c r="P989" i="49"/>
  <c r="G922" i="49"/>
  <c r="M922" i="49"/>
  <c r="P922" i="49"/>
  <c r="G1054" i="49"/>
  <c r="P1054" i="49"/>
  <c r="M1054" i="49"/>
  <c r="G916" i="49"/>
  <c r="P916" i="49"/>
  <c r="M916" i="49"/>
  <c r="G1048" i="49"/>
  <c r="M1048" i="49"/>
  <c r="P1048" i="49"/>
  <c r="P1127" i="49"/>
  <c r="M1127" i="49"/>
  <c r="G1127" i="49"/>
  <c r="M990" i="49"/>
  <c r="G990" i="49"/>
  <c r="P990" i="49"/>
  <c r="P1075" i="49"/>
  <c r="G1075" i="49"/>
  <c r="M1075" i="49"/>
  <c r="P911" i="49"/>
  <c r="G911" i="49"/>
  <c r="M911" i="49"/>
  <c r="M996" i="49"/>
  <c r="G996" i="49"/>
  <c r="P996" i="49"/>
  <c r="P1081" i="49"/>
  <c r="M1081" i="49"/>
  <c r="G1081" i="49"/>
  <c r="G1149" i="49"/>
  <c r="P1149" i="49"/>
  <c r="M1149" i="49"/>
  <c r="M915" i="49"/>
  <c r="G915" i="49"/>
  <c r="P915" i="49"/>
  <c r="M987" i="49"/>
  <c r="G987" i="49"/>
  <c r="P987" i="49"/>
  <c r="M1059" i="49"/>
  <c r="G1059" i="49"/>
  <c r="P1059" i="49"/>
  <c r="G1129" i="49"/>
  <c r="P1129" i="49"/>
  <c r="M1129" i="49"/>
  <c r="P1148" i="49"/>
  <c r="M1148" i="49"/>
  <c r="G1148" i="49"/>
  <c r="G3775" i="49"/>
  <c r="P3775" i="49"/>
  <c r="M3775" i="49"/>
  <c r="M4021" i="49"/>
  <c r="P4021" i="49"/>
  <c r="G4021" i="49"/>
  <c r="P3848" i="49"/>
  <c r="M3848" i="49"/>
  <c r="G3848" i="49"/>
  <c r="P3794" i="49"/>
  <c r="M3794" i="49"/>
  <c r="G3794" i="49"/>
  <c r="M3764" i="49"/>
  <c r="G3764" i="49"/>
  <c r="P3764" i="49"/>
  <c r="G3833" i="49"/>
  <c r="M3833" i="49"/>
  <c r="P3833" i="49"/>
  <c r="M3888" i="49"/>
  <c r="P3888" i="49"/>
  <c r="G3888" i="49"/>
  <c r="G3919" i="49"/>
  <c r="P3919" i="49"/>
  <c r="M3919" i="49"/>
  <c r="P3847" i="49"/>
  <c r="M3847" i="49"/>
  <c r="G3847" i="49"/>
  <c r="M3786" i="49"/>
  <c r="G3786" i="49"/>
  <c r="P3786" i="49"/>
  <c r="P3902" i="49"/>
  <c r="G3902" i="49"/>
  <c r="M3902" i="49"/>
  <c r="G3823" i="49"/>
  <c r="P3823" i="49"/>
  <c r="M3823" i="49"/>
  <c r="G4013" i="49"/>
  <c r="P4013" i="49"/>
  <c r="M4013" i="49"/>
  <c r="M3766" i="49"/>
  <c r="P3766" i="49"/>
  <c r="G3766" i="49"/>
  <c r="G3981" i="49"/>
  <c r="M3981" i="49"/>
  <c r="P3981" i="49"/>
  <c r="P3873" i="49"/>
  <c r="M3873" i="49"/>
  <c r="G3873" i="49"/>
  <c r="P3962" i="49"/>
  <c r="M3962" i="49"/>
  <c r="G3962" i="49"/>
  <c r="M3912" i="49"/>
  <c r="G3912" i="49"/>
  <c r="P3912" i="49"/>
  <c r="G3997" i="49"/>
  <c r="M3997" i="49"/>
  <c r="P3997" i="49"/>
  <c r="M3802" i="49"/>
  <c r="G3802" i="49"/>
  <c r="P3802" i="49"/>
  <c r="M3874" i="49"/>
  <c r="P3874" i="49"/>
  <c r="G3874" i="49"/>
  <c r="M3946" i="49"/>
  <c r="P3946" i="49"/>
  <c r="G3946" i="49"/>
  <c r="M4018" i="49"/>
  <c r="P4018" i="49"/>
  <c r="G4018" i="49"/>
  <c r="P3570" i="49"/>
  <c r="M3570" i="49"/>
  <c r="G3570" i="49"/>
  <c r="M3724" i="49"/>
  <c r="P3724" i="49"/>
  <c r="G3724" i="49"/>
  <c r="P3715" i="49"/>
  <c r="M3715" i="49"/>
  <c r="G3715" i="49"/>
  <c r="P3651" i="49"/>
  <c r="M3651" i="49"/>
  <c r="G3651" i="49"/>
  <c r="M3754" i="49"/>
  <c r="P3754" i="49"/>
  <c r="G3754" i="49"/>
  <c r="P3689" i="49"/>
  <c r="M3689" i="49"/>
  <c r="G3689" i="49"/>
  <c r="M3514" i="49"/>
  <c r="P3514" i="49"/>
  <c r="G3514" i="49"/>
  <c r="P3591" i="49"/>
  <c r="M3591" i="49"/>
  <c r="G3591" i="49"/>
  <c r="M3564" i="49"/>
  <c r="G3564" i="49"/>
  <c r="P3564" i="49"/>
  <c r="M3488" i="49"/>
  <c r="G3488" i="49"/>
  <c r="P3488" i="49"/>
  <c r="P3738" i="49"/>
  <c r="M3738" i="49"/>
  <c r="G3738" i="49"/>
  <c r="P3721" i="49"/>
  <c r="M3721" i="49"/>
  <c r="G3721" i="49"/>
  <c r="P3731" i="49"/>
  <c r="M3731" i="49"/>
  <c r="G3731" i="49"/>
  <c r="G3589" i="49"/>
  <c r="M3589" i="49"/>
  <c r="P3589" i="49"/>
  <c r="G3750" i="49"/>
  <c r="P3750" i="49"/>
  <c r="M3750" i="49"/>
  <c r="M3610" i="49"/>
  <c r="G3610" i="49"/>
  <c r="P3610" i="49"/>
  <c r="M3740" i="49"/>
  <c r="G3740" i="49"/>
  <c r="P3740" i="49"/>
  <c r="G3597" i="49"/>
  <c r="P3597" i="49"/>
  <c r="M3597" i="49"/>
  <c r="G3753" i="49"/>
  <c r="M3753" i="49"/>
  <c r="P3753" i="49"/>
  <c r="G3605" i="49"/>
  <c r="M3605" i="49"/>
  <c r="P3605" i="49"/>
  <c r="P3746" i="49"/>
  <c r="G3746" i="49"/>
  <c r="M3746" i="49"/>
  <c r="P3613" i="49"/>
  <c r="M3613" i="49"/>
  <c r="G3613" i="49"/>
  <c r="P3759" i="49"/>
  <c r="M3759" i="49"/>
  <c r="G3759" i="49"/>
  <c r="M3395" i="49"/>
  <c r="G3395" i="49"/>
  <c r="P3395" i="49"/>
  <c r="G3281" i="49"/>
  <c r="M3281" i="49"/>
  <c r="P3281" i="49"/>
  <c r="P3437" i="49"/>
  <c r="M3437" i="49"/>
  <c r="G3437" i="49"/>
  <c r="M3340" i="49"/>
  <c r="P3340" i="49"/>
  <c r="G3340" i="49"/>
  <c r="P3229" i="49"/>
  <c r="M3229" i="49"/>
  <c r="G3229" i="49"/>
  <c r="M3424" i="49"/>
  <c r="P3424" i="49"/>
  <c r="G3424" i="49"/>
  <c r="G3269" i="49"/>
  <c r="P3269" i="49"/>
  <c r="M3269" i="49"/>
  <c r="P3278" i="49"/>
  <c r="M3278" i="49"/>
  <c r="G3278" i="49"/>
  <c r="M3462" i="49"/>
  <c r="P3462" i="49"/>
  <c r="G3462" i="49"/>
  <c r="P3272" i="49"/>
  <c r="M3272" i="49"/>
  <c r="G3272" i="49"/>
  <c r="P3438" i="49"/>
  <c r="G3438" i="49"/>
  <c r="M3438" i="49"/>
  <c r="G3341" i="49"/>
  <c r="M3341" i="49"/>
  <c r="P3341" i="49"/>
  <c r="G3385" i="49"/>
  <c r="M3385" i="49"/>
  <c r="P3385" i="49"/>
  <c r="G3237" i="49"/>
  <c r="P3237" i="49"/>
  <c r="M3237" i="49"/>
  <c r="P3335" i="49"/>
  <c r="G3335" i="49"/>
  <c r="M3335" i="49"/>
  <c r="M3238" i="49"/>
  <c r="G3238" i="49"/>
  <c r="P3238" i="49"/>
  <c r="G3427" i="49"/>
  <c r="P3427" i="49"/>
  <c r="M3427" i="49"/>
  <c r="G3431" i="49"/>
  <c r="P3431" i="49"/>
  <c r="M3431" i="49"/>
  <c r="G2951" i="49"/>
  <c r="M2951" i="49"/>
  <c r="P2951" i="49"/>
  <c r="M3174" i="49"/>
  <c r="P3174" i="49"/>
  <c r="G3174" i="49"/>
  <c r="G2945" i="49"/>
  <c r="M2945" i="49"/>
  <c r="P2945" i="49"/>
  <c r="P2913" i="49"/>
  <c r="M2913" i="49"/>
  <c r="G2913" i="49"/>
  <c r="G2939" i="49"/>
  <c r="P2939" i="49"/>
  <c r="M2939" i="49"/>
  <c r="M2934" i="49"/>
  <c r="P2934" i="49"/>
  <c r="G2934" i="49"/>
  <c r="G2903" i="49"/>
  <c r="P2903" i="49"/>
  <c r="M2903" i="49"/>
  <c r="G3083" i="49"/>
  <c r="P3083" i="49"/>
  <c r="M3083" i="49"/>
  <c r="G3003" i="49"/>
  <c r="P3003" i="49"/>
  <c r="M3003" i="49"/>
  <c r="M2919" i="49"/>
  <c r="P2919" i="49"/>
  <c r="G2919" i="49"/>
  <c r="P3026" i="49"/>
  <c r="M3026" i="49"/>
  <c r="G3026" i="49"/>
  <c r="G2957" i="49"/>
  <c r="M2957" i="49"/>
  <c r="P2957" i="49"/>
  <c r="P2942" i="49"/>
  <c r="M2942" i="49"/>
  <c r="G2942" i="49"/>
  <c r="G3049" i="49"/>
  <c r="P3049" i="49"/>
  <c r="M3049" i="49"/>
  <c r="M3147" i="49"/>
  <c r="G3147" i="49"/>
  <c r="P3147" i="49"/>
  <c r="M3156" i="49"/>
  <c r="P3156" i="49"/>
  <c r="G3156" i="49"/>
  <c r="M2950" i="49"/>
  <c r="G2950" i="49"/>
  <c r="P2950" i="49"/>
  <c r="G3094" i="49"/>
  <c r="P3094" i="49"/>
  <c r="M3094" i="49"/>
  <c r="M2373" i="49"/>
  <c r="G2373" i="49"/>
  <c r="P2373" i="49"/>
  <c r="M2326" i="49"/>
  <c r="G2326" i="49"/>
  <c r="P2326" i="49"/>
  <c r="P2412" i="49"/>
  <c r="M2412" i="49"/>
  <c r="G2412" i="49"/>
  <c r="P2393" i="49"/>
  <c r="M2393" i="49"/>
  <c r="G2393" i="49"/>
  <c r="P2337" i="49"/>
  <c r="G2337" i="49"/>
  <c r="M2337" i="49"/>
  <c r="M2428" i="49"/>
  <c r="P2428" i="49"/>
  <c r="G2428" i="49"/>
  <c r="P2460" i="49"/>
  <c r="G2460" i="49"/>
  <c r="M2460" i="49"/>
  <c r="M2363" i="49"/>
  <c r="P2363" i="49"/>
  <c r="G2363" i="49"/>
  <c r="G2486" i="49"/>
  <c r="P2486" i="49"/>
  <c r="M2486" i="49"/>
  <c r="P2387" i="49"/>
  <c r="M2387" i="49"/>
  <c r="G2387" i="49"/>
  <c r="M2520" i="49"/>
  <c r="G2520" i="49"/>
  <c r="P2520" i="49"/>
  <c r="P2335" i="49"/>
  <c r="M2335" i="49"/>
  <c r="G2335" i="49"/>
  <c r="P2436" i="49"/>
  <c r="G2436" i="49"/>
  <c r="M2436" i="49"/>
  <c r="P2599" i="49"/>
  <c r="M2599" i="49"/>
  <c r="G2599" i="49"/>
  <c r="P2354" i="49"/>
  <c r="M2354" i="49"/>
  <c r="G2354" i="49"/>
  <c r="G2570" i="49"/>
  <c r="M2570" i="49"/>
  <c r="P2570" i="49"/>
  <c r="P2377" i="49"/>
  <c r="G2377" i="49"/>
  <c r="M2377" i="49"/>
  <c r="P2449" i="49"/>
  <c r="M2449" i="49"/>
  <c r="G2449" i="49"/>
  <c r="P2521" i="49"/>
  <c r="G2521" i="49"/>
  <c r="M2521" i="49"/>
  <c r="P2593" i="49"/>
  <c r="M2593" i="49"/>
  <c r="G2593" i="49"/>
  <c r="G659" i="49"/>
  <c r="P659" i="49"/>
  <c r="M659" i="49"/>
  <c r="P2310" i="49"/>
  <c r="M2310" i="49"/>
  <c r="G2310" i="49"/>
  <c r="M2051" i="49"/>
  <c r="P2051" i="49"/>
  <c r="G2051" i="49"/>
  <c r="P2106" i="49"/>
  <c r="M2106" i="49"/>
  <c r="G2106" i="49"/>
  <c r="M2181" i="49"/>
  <c r="P2181" i="49"/>
  <c r="G2181" i="49"/>
  <c r="M2117" i="49"/>
  <c r="G2117" i="49"/>
  <c r="P2117" i="49"/>
  <c r="M2188" i="49"/>
  <c r="P2188" i="49"/>
  <c r="G2188" i="49"/>
  <c r="M2303" i="49"/>
  <c r="P2303" i="49"/>
  <c r="G2303" i="49"/>
  <c r="M2159" i="49"/>
  <c r="P2159" i="49"/>
  <c r="G2159" i="49"/>
  <c r="P2076" i="49"/>
  <c r="M2076" i="49"/>
  <c r="G2076" i="49"/>
  <c r="M2102" i="49"/>
  <c r="G2102" i="49"/>
  <c r="P2102" i="49"/>
  <c r="P2100" i="49"/>
  <c r="M2100" i="49"/>
  <c r="G2100" i="49"/>
  <c r="M2224" i="49"/>
  <c r="P2224" i="49"/>
  <c r="G2224" i="49"/>
  <c r="M2145" i="49"/>
  <c r="P2145" i="49"/>
  <c r="G2145" i="49"/>
  <c r="P2306" i="49"/>
  <c r="G2306" i="49"/>
  <c r="M2306" i="49"/>
  <c r="P2148" i="49"/>
  <c r="M2148" i="49"/>
  <c r="G2148" i="49"/>
  <c r="M2164" i="49"/>
  <c r="G2164" i="49"/>
  <c r="P2164" i="49"/>
  <c r="M2249" i="49"/>
  <c r="G2249" i="49"/>
  <c r="P2249" i="49"/>
  <c r="M2108" i="49"/>
  <c r="G2108" i="49"/>
  <c r="P2108" i="49"/>
  <c r="G2173" i="49"/>
  <c r="M2173" i="49"/>
  <c r="P2173" i="49"/>
  <c r="M2265" i="49"/>
  <c r="G2265" i="49"/>
  <c r="P2265" i="49"/>
  <c r="P2186" i="49"/>
  <c r="G2186" i="49"/>
  <c r="M2186" i="49"/>
  <c r="P2300" i="49"/>
  <c r="M2300" i="49"/>
  <c r="G2300" i="49"/>
  <c r="M1969" i="49"/>
  <c r="P1969" i="49"/>
  <c r="G1969" i="49"/>
  <c r="M1995" i="49"/>
  <c r="G1995" i="49"/>
  <c r="P1995" i="49"/>
  <c r="M1812" i="49"/>
  <c r="P1812" i="49"/>
  <c r="G1812" i="49"/>
  <c r="M1964" i="49"/>
  <c r="P1964" i="49"/>
  <c r="G1964" i="49"/>
  <c r="P1831" i="49"/>
  <c r="M1831" i="49"/>
  <c r="G1831" i="49"/>
  <c r="M1839" i="49"/>
  <c r="G1839" i="49"/>
  <c r="P1839" i="49"/>
  <c r="M2003" i="49"/>
  <c r="P2003" i="49"/>
  <c r="G2003" i="49"/>
  <c r="M1851" i="49"/>
  <c r="G1851" i="49"/>
  <c r="P1851" i="49"/>
  <c r="M1923" i="49"/>
  <c r="G1923" i="49"/>
  <c r="P1923" i="49"/>
  <c r="M1824" i="49"/>
  <c r="G1824" i="49"/>
  <c r="P1824" i="49"/>
  <c r="M1957" i="49"/>
  <c r="G1957" i="49"/>
  <c r="P1957" i="49"/>
  <c r="P1902" i="49"/>
  <c r="G1902" i="49"/>
  <c r="M1902" i="49"/>
  <c r="G1745" i="49"/>
  <c r="P1745" i="49"/>
  <c r="M1745" i="49"/>
  <c r="M1885" i="49"/>
  <c r="G1885" i="49"/>
  <c r="P1885" i="49"/>
  <c r="G1769" i="49"/>
  <c r="P1769" i="49"/>
  <c r="M1769" i="49"/>
  <c r="M1991" i="49"/>
  <c r="G1991" i="49"/>
  <c r="P1991" i="49"/>
  <c r="P1807" i="49"/>
  <c r="M1807" i="49"/>
  <c r="G1807" i="49"/>
  <c r="M1966" i="49"/>
  <c r="P1966" i="49"/>
  <c r="G1966" i="49"/>
  <c r="M1907" i="49"/>
  <c r="P1907" i="49"/>
  <c r="G1907" i="49"/>
  <c r="G1762" i="49"/>
  <c r="M1762" i="49"/>
  <c r="P1762" i="49"/>
  <c r="G1998" i="49"/>
  <c r="P1998" i="49"/>
  <c r="M1998" i="49"/>
  <c r="P1742" i="49"/>
  <c r="G1742" i="49"/>
  <c r="M1742" i="49"/>
  <c r="G1886" i="49"/>
  <c r="P1886" i="49"/>
  <c r="M1886" i="49"/>
  <c r="M1499" i="49"/>
  <c r="P1499" i="49"/>
  <c r="G1499" i="49"/>
  <c r="M1546" i="49"/>
  <c r="G1546" i="49"/>
  <c r="P1546" i="49"/>
  <c r="G1629" i="49"/>
  <c r="P1629" i="49"/>
  <c r="M1629" i="49"/>
  <c r="G1721" i="49"/>
  <c r="M1721" i="49"/>
  <c r="P1721" i="49"/>
  <c r="M1643" i="49"/>
  <c r="G1643" i="49"/>
  <c r="P1643" i="49"/>
  <c r="P1596" i="49"/>
  <c r="M1596" i="49"/>
  <c r="G1596" i="49"/>
  <c r="P1547" i="49"/>
  <c r="M1547" i="49"/>
  <c r="G1547" i="49"/>
  <c r="M1507" i="49"/>
  <c r="G1507" i="49"/>
  <c r="P1507" i="49"/>
  <c r="P1716" i="49"/>
  <c r="M1716" i="49"/>
  <c r="G1716" i="49"/>
  <c r="P1614" i="49"/>
  <c r="G1614" i="49"/>
  <c r="M1614" i="49"/>
  <c r="G1523" i="49"/>
  <c r="M1523" i="49"/>
  <c r="P1523" i="49"/>
  <c r="P1493" i="49"/>
  <c r="G1493" i="49"/>
  <c r="M1493" i="49"/>
  <c r="P1648" i="49"/>
  <c r="M1648" i="49"/>
  <c r="G1648" i="49"/>
  <c r="P1535" i="49"/>
  <c r="M1535" i="49"/>
  <c r="G1535" i="49"/>
  <c r="P1607" i="49"/>
  <c r="G1607" i="49"/>
  <c r="M1607" i="49"/>
  <c r="P1632" i="49"/>
  <c r="M1632" i="49"/>
  <c r="G1632" i="49"/>
  <c r="G1727" i="49"/>
  <c r="P1727" i="49"/>
  <c r="M1727" i="49"/>
  <c r="G1720" i="49"/>
  <c r="P1720" i="49"/>
  <c r="M1720" i="49"/>
  <c r="G1502" i="49"/>
  <c r="M1502" i="49"/>
  <c r="P1502" i="49"/>
  <c r="P1574" i="49"/>
  <c r="M1574" i="49"/>
  <c r="G1574" i="49"/>
  <c r="G1646" i="49"/>
  <c r="P1646" i="49"/>
  <c r="M1646" i="49"/>
  <c r="P1718" i="49"/>
  <c r="M1718" i="49"/>
  <c r="G1718" i="49"/>
  <c r="M1291" i="49"/>
  <c r="G1291" i="49"/>
  <c r="P1291" i="49"/>
  <c r="P1284" i="49"/>
  <c r="M1284" i="49"/>
  <c r="G1284" i="49"/>
  <c r="P1297" i="49"/>
  <c r="G1297" i="49"/>
  <c r="M1297" i="49"/>
  <c r="P1385" i="49"/>
  <c r="M1385" i="49"/>
  <c r="G1385" i="49"/>
  <c r="P1402" i="49"/>
  <c r="M1402" i="49"/>
  <c r="G1402" i="49"/>
  <c r="P1339" i="49"/>
  <c r="G1339" i="49"/>
  <c r="M1339" i="49"/>
  <c r="P1318" i="49"/>
  <c r="M1318" i="49"/>
  <c r="G1318" i="49"/>
  <c r="G1295" i="49"/>
  <c r="P1295" i="49"/>
  <c r="M1295" i="49"/>
  <c r="G1303" i="49"/>
  <c r="P1303" i="49"/>
  <c r="M1303" i="49"/>
  <c r="G1345" i="49"/>
  <c r="M1345" i="49"/>
  <c r="P1345" i="49"/>
  <c r="P1404" i="49"/>
  <c r="M1404" i="49"/>
  <c r="G1404" i="49"/>
  <c r="G1172" i="49"/>
  <c r="M1172" i="49"/>
  <c r="P1172" i="49"/>
  <c r="G1316" i="49"/>
  <c r="P1316" i="49"/>
  <c r="M1316" i="49"/>
  <c r="P647" i="49"/>
  <c r="G647" i="49"/>
  <c r="M647" i="49"/>
  <c r="M761" i="49"/>
  <c r="P761" i="49"/>
  <c r="G761" i="49"/>
  <c r="G856" i="49"/>
  <c r="M856" i="49"/>
  <c r="P856" i="49"/>
  <c r="P739" i="49"/>
  <c r="M739" i="49"/>
  <c r="G739" i="49"/>
  <c r="P841" i="49"/>
  <c r="M841" i="49"/>
  <c r="G841" i="49"/>
  <c r="M779" i="49"/>
  <c r="G779" i="49"/>
  <c r="P779" i="49"/>
  <c r="P679" i="49"/>
  <c r="M679" i="49"/>
  <c r="G679" i="49"/>
  <c r="P788" i="49"/>
  <c r="G788" i="49"/>
  <c r="M788" i="49"/>
  <c r="M678" i="49"/>
  <c r="P678" i="49"/>
  <c r="G678" i="49"/>
  <c r="P763" i="49"/>
  <c r="M763" i="49"/>
  <c r="G763" i="49"/>
  <c r="P657" i="49"/>
  <c r="M657" i="49"/>
  <c r="G657" i="49"/>
  <c r="P729" i="49"/>
  <c r="G729" i="49"/>
  <c r="M729" i="49"/>
  <c r="J45" i="1"/>
  <c r="M327" i="49"/>
  <c r="G327" i="49"/>
  <c r="P327" i="49"/>
  <c r="H327" i="49"/>
  <c r="M308" i="49"/>
  <c r="H308" i="49"/>
  <c r="G308" i="49"/>
  <c r="P308" i="49"/>
  <c r="M384" i="49"/>
  <c r="H384" i="49"/>
  <c r="G384" i="49"/>
  <c r="P384" i="49"/>
  <c r="M528" i="49"/>
  <c r="H528" i="49"/>
  <c r="P528" i="49"/>
  <c r="G528" i="49"/>
  <c r="H455" i="49"/>
  <c r="G455" i="49"/>
  <c r="P455" i="49"/>
  <c r="M455" i="49"/>
  <c r="M5083" i="49"/>
  <c r="G5083" i="49"/>
  <c r="P5083" i="49"/>
  <c r="G5123" i="49"/>
  <c r="P5123" i="49"/>
  <c r="M5123" i="49"/>
  <c r="M5195" i="49"/>
  <c r="P5195" i="49"/>
  <c r="G5195" i="49"/>
  <c r="P877" i="49"/>
  <c r="M877" i="49"/>
  <c r="G877" i="49"/>
  <c r="M4426" i="49"/>
  <c r="G4426" i="49"/>
  <c r="P4426" i="49"/>
  <c r="P4511" i="49"/>
  <c r="M4511" i="49"/>
  <c r="G4511" i="49"/>
  <c r="P4588" i="49"/>
  <c r="M4588" i="49"/>
  <c r="G4588" i="49"/>
  <c r="G4523" i="49"/>
  <c r="P4523" i="49"/>
  <c r="M4523" i="49"/>
  <c r="P4564" i="49"/>
  <c r="G4564" i="49"/>
  <c r="M4564" i="49"/>
  <c r="M4408" i="49"/>
  <c r="G4408" i="49"/>
  <c r="P4408" i="49"/>
  <c r="P4534" i="49"/>
  <c r="M4534" i="49"/>
  <c r="G4534" i="49"/>
  <c r="M4579" i="49"/>
  <c r="G4579" i="49"/>
  <c r="P4579" i="49"/>
  <c r="M4390" i="49"/>
  <c r="G4390" i="49"/>
  <c r="P4390" i="49"/>
  <c r="P4369" i="49"/>
  <c r="M4369" i="49"/>
  <c r="G4369" i="49"/>
  <c r="M4373" i="49"/>
  <c r="G4373" i="49"/>
  <c r="P4373" i="49"/>
  <c r="G4466" i="49"/>
  <c r="P4466" i="49"/>
  <c r="M4466" i="49"/>
  <c r="P4617" i="49"/>
  <c r="M4617" i="49"/>
  <c r="G4617" i="49"/>
  <c r="P4458" i="49"/>
  <c r="G4458" i="49"/>
  <c r="M4458" i="49"/>
  <c r="G4578" i="49"/>
  <c r="P4578" i="49"/>
  <c r="M4578" i="49"/>
  <c r="G4395" i="49"/>
  <c r="P4395" i="49"/>
  <c r="M4395" i="49"/>
  <c r="M4467" i="49"/>
  <c r="G4467" i="49"/>
  <c r="P4467" i="49"/>
  <c r="P4552" i="49"/>
  <c r="G4552" i="49"/>
  <c r="M4552" i="49"/>
  <c r="P4376" i="49"/>
  <c r="M4376" i="49"/>
  <c r="G4376" i="49"/>
  <c r="P4448" i="49"/>
  <c r="M4448" i="49"/>
  <c r="G4448" i="49"/>
  <c r="G4535" i="49"/>
  <c r="M4535" i="49"/>
  <c r="P4535" i="49"/>
  <c r="P4482" i="49"/>
  <c r="M4482" i="49"/>
  <c r="G4482" i="49"/>
  <c r="P4554" i="49"/>
  <c r="M4554" i="49"/>
  <c r="G4554" i="49"/>
  <c r="P4577" i="49"/>
  <c r="M4577" i="49"/>
  <c r="G4577" i="49"/>
  <c r="P1117" i="49"/>
  <c r="M1117" i="49"/>
  <c r="G1117" i="49"/>
  <c r="P991" i="49"/>
  <c r="M991" i="49"/>
  <c r="G991" i="49"/>
  <c r="M935" i="49"/>
  <c r="G935" i="49"/>
  <c r="P935" i="49"/>
  <c r="M1056" i="49"/>
  <c r="G1056" i="49"/>
  <c r="P1056" i="49"/>
  <c r="P929" i="49"/>
  <c r="M929" i="49"/>
  <c r="G929" i="49"/>
  <c r="M1050" i="49"/>
  <c r="P1050" i="49"/>
  <c r="G1050" i="49"/>
  <c r="P1140" i="49"/>
  <c r="M1140" i="49"/>
  <c r="G1140" i="49"/>
  <c r="G908" i="49"/>
  <c r="P908" i="49"/>
  <c r="M908" i="49"/>
  <c r="G1000" i="49"/>
  <c r="M1000" i="49"/>
  <c r="P1000" i="49"/>
  <c r="M1085" i="49"/>
  <c r="G1085" i="49"/>
  <c r="P1085" i="49"/>
  <c r="G914" i="49"/>
  <c r="P914" i="49"/>
  <c r="M914" i="49"/>
  <c r="G1006" i="49"/>
  <c r="P1006" i="49"/>
  <c r="M1006" i="49"/>
  <c r="P1091" i="49"/>
  <c r="M1091" i="49"/>
  <c r="G1091" i="49"/>
  <c r="P1153" i="49"/>
  <c r="M1153" i="49"/>
  <c r="G1153" i="49"/>
  <c r="G921" i="49"/>
  <c r="P921" i="49"/>
  <c r="M921" i="49"/>
  <c r="G993" i="49"/>
  <c r="P993" i="49"/>
  <c r="M993" i="49"/>
  <c r="G1065" i="49"/>
  <c r="M1065" i="49"/>
  <c r="P1065" i="49"/>
  <c r="P1146" i="49"/>
  <c r="G1146" i="49"/>
  <c r="M1146" i="49"/>
  <c r="G1154" i="49"/>
  <c r="P1154" i="49"/>
  <c r="M1154" i="49"/>
  <c r="P1001" i="49"/>
  <c r="G1001" i="49"/>
  <c r="M1001" i="49"/>
  <c r="M512" i="49"/>
  <c r="P512" i="49"/>
  <c r="H512" i="49"/>
  <c r="G512" i="49"/>
  <c r="G3879" i="49"/>
  <c r="M3879" i="49"/>
  <c r="P3879" i="49"/>
  <c r="M3835" i="49"/>
  <c r="G3835" i="49"/>
  <c r="P3835" i="49"/>
  <c r="P3860" i="49"/>
  <c r="M3860" i="49"/>
  <c r="G3860" i="49"/>
  <c r="P3831" i="49"/>
  <c r="G3831" i="49"/>
  <c r="M3831" i="49"/>
  <c r="P3813" i="49"/>
  <c r="M3813" i="49"/>
  <c r="G3813" i="49"/>
  <c r="P3907" i="49"/>
  <c r="M3907" i="49"/>
  <c r="G3907" i="49"/>
  <c r="M3846" i="49"/>
  <c r="G3846" i="49"/>
  <c r="P3846" i="49"/>
  <c r="G3901" i="49"/>
  <c r="P3901" i="49"/>
  <c r="M3901" i="49"/>
  <c r="P3968" i="49"/>
  <c r="G3968" i="49"/>
  <c r="M3968" i="49"/>
  <c r="M3849" i="49"/>
  <c r="G3849" i="49"/>
  <c r="P3849" i="49"/>
  <c r="G3793" i="49"/>
  <c r="P3793" i="49"/>
  <c r="M3793" i="49"/>
  <c r="G3955" i="49"/>
  <c r="P3955" i="49"/>
  <c r="M3955" i="49"/>
  <c r="M3855" i="49"/>
  <c r="G3855" i="49"/>
  <c r="P3855" i="49"/>
  <c r="P3773" i="49"/>
  <c r="M3773" i="49"/>
  <c r="G3773" i="49"/>
  <c r="M3861" i="49"/>
  <c r="P3861" i="49"/>
  <c r="G3861" i="49"/>
  <c r="G3983" i="49"/>
  <c r="M3983" i="49"/>
  <c r="P3983" i="49"/>
  <c r="P3884" i="49"/>
  <c r="M3884" i="49"/>
  <c r="G3884" i="49"/>
  <c r="M3985" i="49"/>
  <c r="P3985" i="49"/>
  <c r="G3985" i="49"/>
  <c r="P3915" i="49"/>
  <c r="G3915" i="49"/>
  <c r="M3915" i="49"/>
  <c r="G4007" i="49"/>
  <c r="P4007" i="49"/>
  <c r="M4007" i="49"/>
  <c r="P3808" i="49"/>
  <c r="M3808" i="49"/>
  <c r="G3808" i="49"/>
  <c r="P3880" i="49"/>
  <c r="M3880" i="49"/>
  <c r="G3880" i="49"/>
  <c r="M3952" i="49"/>
  <c r="G3952" i="49"/>
  <c r="P3952" i="49"/>
  <c r="M4024" i="49"/>
  <c r="P4024" i="49"/>
  <c r="G4024" i="49"/>
  <c r="P3475" i="49"/>
  <c r="M3475" i="49"/>
  <c r="G3475" i="49"/>
  <c r="M3737" i="49"/>
  <c r="G3737" i="49"/>
  <c r="P3737" i="49"/>
  <c r="P3510" i="49"/>
  <c r="M3510" i="49"/>
  <c r="G3510" i="49"/>
  <c r="P3667" i="49"/>
  <c r="M3667" i="49"/>
  <c r="G3667" i="49"/>
  <c r="M3479" i="49"/>
  <c r="G3479" i="49"/>
  <c r="P3479" i="49"/>
  <c r="P3722" i="49"/>
  <c r="G3722" i="49"/>
  <c r="M3722" i="49"/>
  <c r="P3595" i="49"/>
  <c r="M3595" i="49"/>
  <c r="G3595" i="49"/>
  <c r="M3611" i="49"/>
  <c r="G3611" i="49"/>
  <c r="P3611" i="49"/>
  <c r="M3573" i="49"/>
  <c r="G3573" i="49"/>
  <c r="P3573" i="49"/>
  <c r="P3497" i="49"/>
  <c r="M3497" i="49"/>
  <c r="G3497" i="49"/>
  <c r="P3511" i="49"/>
  <c r="G3511" i="49"/>
  <c r="M3511" i="49"/>
  <c r="M3474" i="49"/>
  <c r="G3474" i="49"/>
  <c r="P3474" i="49"/>
  <c r="M3748" i="49"/>
  <c r="P3748" i="49"/>
  <c r="G3748" i="49"/>
  <c r="P3758" i="49"/>
  <c r="M3758" i="49"/>
  <c r="G3758" i="49"/>
  <c r="M3602" i="49"/>
  <c r="G3602" i="49"/>
  <c r="P3602" i="49"/>
  <c r="M3760" i="49"/>
  <c r="G3760" i="49"/>
  <c r="P3760" i="49"/>
  <c r="G3627" i="49"/>
  <c r="P3627" i="49"/>
  <c r="M3627" i="49"/>
  <c r="G3743" i="49"/>
  <c r="M3743" i="49"/>
  <c r="P3743" i="49"/>
  <c r="G3601" i="49"/>
  <c r="P3601" i="49"/>
  <c r="M3601" i="49"/>
  <c r="M3486" i="49"/>
  <c r="G3486" i="49"/>
  <c r="P3486" i="49"/>
  <c r="M3622" i="49"/>
  <c r="P3622" i="49"/>
  <c r="G3622" i="49"/>
  <c r="P3477" i="49"/>
  <c r="G3477" i="49"/>
  <c r="M3477" i="49"/>
  <c r="P3626" i="49"/>
  <c r="G3626" i="49"/>
  <c r="M3626" i="49"/>
  <c r="M3718" i="49"/>
  <c r="P3718" i="49"/>
  <c r="G3718" i="49"/>
  <c r="P3413" i="49"/>
  <c r="M3413" i="49"/>
  <c r="G3413" i="49"/>
  <c r="M3312" i="49"/>
  <c r="P3312" i="49"/>
  <c r="G3312" i="49"/>
  <c r="P3471" i="49"/>
  <c r="M3471" i="49"/>
  <c r="G3471" i="49"/>
  <c r="P3331" i="49"/>
  <c r="M3331" i="49"/>
  <c r="G3331" i="49"/>
  <c r="P3356" i="49"/>
  <c r="M3356" i="49"/>
  <c r="G3356" i="49"/>
  <c r="M3255" i="49"/>
  <c r="P3255" i="49"/>
  <c r="G3255" i="49"/>
  <c r="P3450" i="49"/>
  <c r="M3450" i="49"/>
  <c r="G3450" i="49"/>
  <c r="M3271" i="49"/>
  <c r="G3271" i="49"/>
  <c r="P3271" i="49"/>
  <c r="P3408" i="49"/>
  <c r="M3408" i="49"/>
  <c r="G3408" i="49"/>
  <c r="G3289" i="49"/>
  <c r="P3289" i="49"/>
  <c r="M3289" i="49"/>
  <c r="M3466" i="49"/>
  <c r="G3466" i="49"/>
  <c r="P3466" i="49"/>
  <c r="P3285" i="49"/>
  <c r="M3285" i="49"/>
  <c r="G3285" i="49"/>
  <c r="P3467" i="49"/>
  <c r="M3467" i="49"/>
  <c r="G3467" i="49"/>
  <c r="P3254" i="49"/>
  <c r="G3254" i="49"/>
  <c r="M3254" i="49"/>
  <c r="M3344" i="49"/>
  <c r="G3344" i="49"/>
  <c r="P3344" i="49"/>
  <c r="G3407" i="49"/>
  <c r="P3407" i="49"/>
  <c r="M3407" i="49"/>
  <c r="P3247" i="49"/>
  <c r="G3247" i="49"/>
  <c r="M3247" i="49"/>
  <c r="P3332" i="49"/>
  <c r="G3332" i="49"/>
  <c r="M3332" i="49"/>
  <c r="P3354" i="49"/>
  <c r="M3354" i="49"/>
  <c r="G3354" i="49"/>
  <c r="G3244" i="49"/>
  <c r="M3244" i="49"/>
  <c r="P3244" i="49"/>
  <c r="G3316" i="49"/>
  <c r="P3316" i="49"/>
  <c r="M3316" i="49"/>
  <c r="M3440" i="49"/>
  <c r="G3440" i="49"/>
  <c r="P3440" i="49"/>
  <c r="M3448" i="49"/>
  <c r="G3448" i="49"/>
  <c r="P3448" i="49"/>
  <c r="M3447" i="49"/>
  <c r="G3447" i="49"/>
  <c r="P3447" i="49"/>
  <c r="P3182" i="49"/>
  <c r="G3182" i="49"/>
  <c r="M3182" i="49"/>
  <c r="P2924" i="49"/>
  <c r="M2924" i="49"/>
  <c r="G2924" i="49"/>
  <c r="G3163" i="49"/>
  <c r="P3163" i="49"/>
  <c r="M3163" i="49"/>
  <c r="P2948" i="49"/>
  <c r="M2948" i="49"/>
  <c r="G2948" i="49"/>
  <c r="P3103" i="49"/>
  <c r="M3103" i="49"/>
  <c r="G3103" i="49"/>
  <c r="G2963" i="49"/>
  <c r="P2963" i="49"/>
  <c r="M2963" i="49"/>
  <c r="M2940" i="49"/>
  <c r="G2940" i="49"/>
  <c r="P2940" i="49"/>
  <c r="M2952" i="49"/>
  <c r="G2952" i="49"/>
  <c r="P2952" i="49"/>
  <c r="M3105" i="49"/>
  <c r="G3105" i="49"/>
  <c r="P3105" i="49"/>
  <c r="G3047" i="49"/>
  <c r="M3047" i="49"/>
  <c r="P3047" i="49"/>
  <c r="M3027" i="49"/>
  <c r="P3027" i="49"/>
  <c r="G3027" i="49"/>
  <c r="M2931" i="49"/>
  <c r="G2931" i="49"/>
  <c r="P2931" i="49"/>
  <c r="M3033" i="49"/>
  <c r="P3033" i="49"/>
  <c r="G3033" i="49"/>
  <c r="M2983" i="49"/>
  <c r="P2983" i="49"/>
  <c r="G2983" i="49"/>
  <c r="G2921" i="49"/>
  <c r="M2921" i="49"/>
  <c r="P2921" i="49"/>
  <c r="M2949" i="49"/>
  <c r="G2949" i="49"/>
  <c r="P2949" i="49"/>
  <c r="P3051" i="49"/>
  <c r="M3051" i="49"/>
  <c r="G3051" i="49"/>
  <c r="P3158" i="49"/>
  <c r="M3158" i="49"/>
  <c r="G3158" i="49"/>
  <c r="P3175" i="49"/>
  <c r="G3175" i="49"/>
  <c r="M3175" i="49"/>
  <c r="P3159" i="49"/>
  <c r="M3159" i="49"/>
  <c r="G3159" i="49"/>
  <c r="P2956" i="49"/>
  <c r="G2956" i="49"/>
  <c r="M2956" i="49"/>
  <c r="M3028" i="49"/>
  <c r="P3028" i="49"/>
  <c r="G3028" i="49"/>
  <c r="P3100" i="49"/>
  <c r="M3100" i="49"/>
  <c r="G3100" i="49"/>
  <c r="G3172" i="49"/>
  <c r="P3172" i="49"/>
  <c r="M3172" i="49"/>
  <c r="M2397" i="49"/>
  <c r="P2397" i="49"/>
  <c r="G2397" i="49"/>
  <c r="P2376" i="49"/>
  <c r="M2376" i="49"/>
  <c r="G2376" i="49"/>
  <c r="G2558" i="49"/>
  <c r="P2558" i="49"/>
  <c r="M2558" i="49"/>
  <c r="M2422" i="49"/>
  <c r="P2422" i="49"/>
  <c r="G2422" i="49"/>
  <c r="M2379" i="49"/>
  <c r="P2379" i="49"/>
  <c r="G2379" i="49"/>
  <c r="P2537" i="49"/>
  <c r="M2537" i="49"/>
  <c r="G2537" i="49"/>
  <c r="P2447" i="49"/>
  <c r="M2447" i="49"/>
  <c r="G2447" i="49"/>
  <c r="G2496" i="49"/>
  <c r="P2496" i="49"/>
  <c r="M2496" i="49"/>
  <c r="M2386" i="49"/>
  <c r="G2386" i="49"/>
  <c r="P2386" i="49"/>
  <c r="M2482" i="49"/>
  <c r="G2482" i="49"/>
  <c r="P2482" i="49"/>
  <c r="P2507" i="49"/>
  <c r="M2507" i="49"/>
  <c r="G2507" i="49"/>
  <c r="M2403" i="49"/>
  <c r="G2403" i="49"/>
  <c r="P2403" i="49"/>
  <c r="G2528" i="49"/>
  <c r="P2528" i="49"/>
  <c r="M2528" i="49"/>
  <c r="P2483" i="49"/>
  <c r="M2483" i="49"/>
  <c r="G2483" i="49"/>
  <c r="M2345" i="49"/>
  <c r="P2345" i="49"/>
  <c r="G2345" i="49"/>
  <c r="M2452" i="49"/>
  <c r="G2452" i="49"/>
  <c r="P2452" i="49"/>
  <c r="G2604" i="49"/>
  <c r="M2604" i="49"/>
  <c r="P2604" i="49"/>
  <c r="G2384" i="49"/>
  <c r="M2384" i="49"/>
  <c r="P2384" i="49"/>
  <c r="M2572" i="49"/>
  <c r="G2572" i="49"/>
  <c r="P2572" i="49"/>
  <c r="M2547" i="49"/>
  <c r="P2547" i="49"/>
  <c r="G2547" i="49"/>
  <c r="M2383" i="49"/>
  <c r="G2383" i="49"/>
  <c r="P2383" i="49"/>
  <c r="M2455" i="49"/>
  <c r="P2455" i="49"/>
  <c r="G2455" i="49"/>
  <c r="P2527" i="49"/>
  <c r="M2527" i="49"/>
  <c r="G2527" i="49"/>
  <c r="M2600" i="49"/>
  <c r="P2600" i="49"/>
  <c r="G2600" i="49"/>
  <c r="M1606" i="49"/>
  <c r="G1606" i="49"/>
  <c r="P1606" i="49"/>
  <c r="M2032" i="49"/>
  <c r="G2032" i="49"/>
  <c r="P2032" i="49"/>
  <c r="P2040" i="49"/>
  <c r="M2040" i="49"/>
  <c r="G2040" i="49"/>
  <c r="M2083" i="49"/>
  <c r="P2083" i="49"/>
  <c r="G2083" i="49"/>
  <c r="M2135" i="49"/>
  <c r="G2135" i="49"/>
  <c r="P2135" i="49"/>
  <c r="M2201" i="49"/>
  <c r="P2201" i="49"/>
  <c r="G2201" i="49"/>
  <c r="M2158" i="49"/>
  <c r="G2158" i="49"/>
  <c r="P2158" i="49"/>
  <c r="P2198" i="49"/>
  <c r="M2198" i="49"/>
  <c r="G2198" i="49"/>
  <c r="G2307" i="49"/>
  <c r="P2307" i="49"/>
  <c r="M2307" i="49"/>
  <c r="P2162" i="49"/>
  <c r="M2162" i="49"/>
  <c r="G2162" i="49"/>
  <c r="M2089" i="49"/>
  <c r="G2089" i="49"/>
  <c r="P2089" i="49"/>
  <c r="M2153" i="49"/>
  <c r="G2153" i="49"/>
  <c r="P2153" i="49"/>
  <c r="G2199" i="49"/>
  <c r="P2199" i="49"/>
  <c r="M2199" i="49"/>
  <c r="P2234" i="49"/>
  <c r="G2234" i="49"/>
  <c r="M2234" i="49"/>
  <c r="M2165" i="49"/>
  <c r="P2165" i="49"/>
  <c r="G2165" i="49"/>
  <c r="P2316" i="49"/>
  <c r="G2316" i="49"/>
  <c r="M2316" i="49"/>
  <c r="G2163" i="49"/>
  <c r="P2163" i="49"/>
  <c r="M2163" i="49"/>
  <c r="M2167" i="49"/>
  <c r="G2167" i="49"/>
  <c r="P2167" i="49"/>
  <c r="M2259" i="49"/>
  <c r="G2259" i="49"/>
  <c r="P2259" i="49"/>
  <c r="M2144" i="49"/>
  <c r="G2144" i="49"/>
  <c r="P2144" i="49"/>
  <c r="M2098" i="49"/>
  <c r="P2098" i="49"/>
  <c r="G2098" i="49"/>
  <c r="M2183" i="49"/>
  <c r="P2183" i="49"/>
  <c r="G2183" i="49"/>
  <c r="P2268" i="49"/>
  <c r="M2268" i="49"/>
  <c r="G2268" i="49"/>
  <c r="G2222" i="49"/>
  <c r="P2222" i="49"/>
  <c r="M2222" i="49"/>
  <c r="M1798" i="49"/>
  <c r="P1798" i="49"/>
  <c r="G1798" i="49"/>
  <c r="P2013" i="49"/>
  <c r="M2013" i="49"/>
  <c r="G2013" i="49"/>
  <c r="M1820" i="49"/>
  <c r="P1820" i="49"/>
  <c r="G1820" i="49"/>
  <c r="M1972" i="49"/>
  <c r="P1972" i="49"/>
  <c r="G1972" i="49"/>
  <c r="M1859" i="49"/>
  <c r="P1859" i="49"/>
  <c r="G1859" i="49"/>
  <c r="M1858" i="49"/>
  <c r="P1858" i="49"/>
  <c r="G1858" i="49"/>
  <c r="M2009" i="49"/>
  <c r="G2009" i="49"/>
  <c r="P2009" i="49"/>
  <c r="M1870" i="49"/>
  <c r="G1870" i="49"/>
  <c r="P1870" i="49"/>
  <c r="M1956" i="49"/>
  <c r="G1956" i="49"/>
  <c r="P1956" i="49"/>
  <c r="M1835" i="49"/>
  <c r="P1835" i="49"/>
  <c r="G1835" i="49"/>
  <c r="G1965" i="49"/>
  <c r="P1965" i="49"/>
  <c r="M1965" i="49"/>
  <c r="M1913" i="49"/>
  <c r="G1913" i="49"/>
  <c r="P1913" i="49"/>
  <c r="M2002" i="49"/>
  <c r="G2002" i="49"/>
  <c r="P2002" i="49"/>
  <c r="P1789" i="49"/>
  <c r="G1789" i="49"/>
  <c r="M1789" i="49"/>
  <c r="M1887" i="49"/>
  <c r="G1887" i="49"/>
  <c r="P1887" i="49"/>
  <c r="G1787" i="49"/>
  <c r="P1787" i="49"/>
  <c r="M1787" i="49"/>
  <c r="M2006" i="49"/>
  <c r="G2006" i="49"/>
  <c r="P2006" i="49"/>
  <c r="M1822" i="49"/>
  <c r="P1822" i="49"/>
  <c r="G1822" i="49"/>
  <c r="M1970" i="49"/>
  <c r="G1970" i="49"/>
  <c r="P1970" i="49"/>
  <c r="G1915" i="49"/>
  <c r="P1915" i="49"/>
  <c r="M1915" i="49"/>
  <c r="P1768" i="49"/>
  <c r="G1768" i="49"/>
  <c r="M1768" i="49"/>
  <c r="M2008" i="49"/>
  <c r="P2008" i="49"/>
  <c r="G2008" i="49"/>
  <c r="P1748" i="49"/>
  <c r="M1748" i="49"/>
  <c r="G1748" i="49"/>
  <c r="M1922" i="49"/>
  <c r="G1922" i="49"/>
  <c r="P1922" i="49"/>
  <c r="P1504" i="49"/>
  <c r="M1504" i="49"/>
  <c r="G1504" i="49"/>
  <c r="M1613" i="49"/>
  <c r="P1613" i="49"/>
  <c r="G1613" i="49"/>
  <c r="P1564" i="49"/>
  <c r="M1564" i="49"/>
  <c r="G1564" i="49"/>
  <c r="P1475" i="49"/>
  <c r="M1475" i="49"/>
  <c r="G1475" i="49"/>
  <c r="P1450" i="49"/>
  <c r="G1450" i="49"/>
  <c r="M1450" i="49"/>
  <c r="P1651" i="49"/>
  <c r="M1651" i="49"/>
  <c r="G1651" i="49"/>
  <c r="P1680" i="49"/>
  <c r="M1680" i="49"/>
  <c r="G1680" i="49"/>
  <c r="G1599" i="49"/>
  <c r="P1599" i="49"/>
  <c r="M1599" i="49"/>
  <c r="P1524" i="49"/>
  <c r="M1524" i="49"/>
  <c r="G1524" i="49"/>
  <c r="P1722" i="49"/>
  <c r="M1722" i="49"/>
  <c r="G1722" i="49"/>
  <c r="G1617" i="49"/>
  <c r="M1617" i="49"/>
  <c r="P1617" i="49"/>
  <c r="P1542" i="49"/>
  <c r="G1542" i="49"/>
  <c r="M1542" i="49"/>
  <c r="G1510" i="49"/>
  <c r="P1510" i="49"/>
  <c r="M1510" i="49"/>
  <c r="G1665" i="49"/>
  <c r="P1665" i="49"/>
  <c r="M1665" i="49"/>
  <c r="G1545" i="49"/>
  <c r="M1545" i="49"/>
  <c r="P1545" i="49"/>
  <c r="M1624" i="49"/>
  <c r="P1624" i="49"/>
  <c r="G1624" i="49"/>
  <c r="P1644" i="49"/>
  <c r="M1644" i="49"/>
  <c r="G1644" i="49"/>
  <c r="P1654" i="49"/>
  <c r="M1654" i="49"/>
  <c r="G1654" i="49"/>
  <c r="G1726" i="49"/>
  <c r="P1726" i="49"/>
  <c r="M1726" i="49"/>
  <c r="P1508" i="49"/>
  <c r="M1508" i="49"/>
  <c r="G1508" i="49"/>
  <c r="M1580" i="49"/>
  <c r="G1580" i="49"/>
  <c r="P1580" i="49"/>
  <c r="G1652" i="49"/>
  <c r="M1652" i="49"/>
  <c r="P1652" i="49"/>
  <c r="P1724" i="49"/>
  <c r="M1724" i="49"/>
  <c r="G1724" i="49"/>
  <c r="M1270" i="49"/>
  <c r="G1270" i="49"/>
  <c r="P1270" i="49"/>
  <c r="G1361" i="49"/>
  <c r="P1361" i="49"/>
  <c r="M1361" i="49"/>
  <c r="P1301" i="49"/>
  <c r="G1301" i="49"/>
  <c r="M1301" i="49"/>
  <c r="M1372" i="49"/>
  <c r="G1372" i="49"/>
  <c r="P1372" i="49"/>
  <c r="G1389" i="49"/>
  <c r="M1389" i="49"/>
  <c r="P1389" i="49"/>
  <c r="P1390" i="49"/>
  <c r="M1390" i="49"/>
  <c r="G1390" i="49"/>
  <c r="G1407" i="49"/>
  <c r="P1407" i="49"/>
  <c r="M1407" i="49"/>
  <c r="P1164" i="49"/>
  <c r="M1164" i="49"/>
  <c r="G1164" i="49"/>
  <c r="P1369" i="49"/>
  <c r="M1369" i="49"/>
  <c r="G1369" i="49"/>
  <c r="G1335" i="49"/>
  <c r="P1335" i="49"/>
  <c r="M1335" i="49"/>
  <c r="P1331" i="49"/>
  <c r="G1331" i="49"/>
  <c r="M1331" i="49"/>
  <c r="G1305" i="49"/>
  <c r="P1305" i="49"/>
  <c r="M1305" i="49"/>
  <c r="G1431" i="49"/>
  <c r="M1431" i="49"/>
  <c r="P1431" i="49"/>
  <c r="P1320" i="49"/>
  <c r="G1320" i="49"/>
  <c r="M1320" i="49"/>
  <c r="G1197" i="49"/>
  <c r="P1197" i="49"/>
  <c r="M1197" i="49"/>
  <c r="P1362" i="49"/>
  <c r="G1362" i="49"/>
  <c r="M1362" i="49"/>
  <c r="G1243" i="49"/>
  <c r="M1243" i="49"/>
  <c r="P1243" i="49"/>
  <c r="M1421" i="49"/>
  <c r="G1421" i="49"/>
  <c r="P1421" i="49"/>
  <c r="P1319" i="49"/>
  <c r="M1319" i="49"/>
  <c r="G1319" i="49"/>
  <c r="P1178" i="49"/>
  <c r="M1178" i="49"/>
  <c r="G1178" i="49"/>
  <c r="P1250" i="49"/>
  <c r="M1250" i="49"/>
  <c r="G1250" i="49"/>
  <c r="P1322" i="49"/>
  <c r="M1322" i="49"/>
  <c r="G1322" i="49"/>
  <c r="P1394" i="49"/>
  <c r="M1394" i="49"/>
  <c r="G1394" i="49"/>
  <c r="P671" i="49"/>
  <c r="M671" i="49"/>
  <c r="G671" i="49"/>
  <c r="M870" i="49"/>
  <c r="P870" i="49"/>
  <c r="G870" i="49"/>
  <c r="M782" i="49"/>
  <c r="G782" i="49"/>
  <c r="P782" i="49"/>
  <c r="G640" i="49"/>
  <c r="M640" i="49"/>
  <c r="P640" i="49"/>
  <c r="P637" i="49"/>
  <c r="M637" i="49"/>
  <c r="G637" i="49"/>
  <c r="M744" i="49"/>
  <c r="G744" i="49"/>
  <c r="P744" i="49"/>
  <c r="M846" i="49"/>
  <c r="P846" i="49"/>
  <c r="G846" i="49"/>
  <c r="G682" i="49"/>
  <c r="M682" i="49"/>
  <c r="P682" i="49"/>
  <c r="G784" i="49"/>
  <c r="M784" i="49"/>
  <c r="P784" i="49"/>
  <c r="G605" i="49"/>
  <c r="P605" i="49"/>
  <c r="M605" i="49"/>
  <c r="M686" i="49"/>
  <c r="P686" i="49"/>
  <c r="G686" i="49"/>
  <c r="P793" i="49"/>
  <c r="G793" i="49"/>
  <c r="M793" i="49"/>
  <c r="P600" i="49"/>
  <c r="M600" i="49"/>
  <c r="G600" i="49"/>
  <c r="G688" i="49"/>
  <c r="P688" i="49"/>
  <c r="M688" i="49"/>
  <c r="P773" i="49"/>
  <c r="M773" i="49"/>
  <c r="G773" i="49"/>
  <c r="M858" i="49"/>
  <c r="P858" i="49"/>
  <c r="G858" i="49"/>
  <c r="M663" i="49"/>
  <c r="G663" i="49"/>
  <c r="P663" i="49"/>
  <c r="M735" i="49"/>
  <c r="P735" i="49"/>
  <c r="G735" i="49"/>
  <c r="M807" i="49"/>
  <c r="P807" i="49"/>
  <c r="G807" i="49"/>
  <c r="H519" i="49"/>
  <c r="G519" i="49"/>
  <c r="P519" i="49"/>
  <c r="M519" i="49"/>
  <c r="P516" i="49"/>
  <c r="M516" i="49"/>
  <c r="H516" i="49"/>
  <c r="G516" i="49"/>
  <c r="P358" i="49"/>
  <c r="M358" i="49"/>
  <c r="H358" i="49"/>
  <c r="G358" i="49"/>
  <c r="M314" i="49"/>
  <c r="H314" i="49"/>
  <c r="G314" i="49"/>
  <c r="P314" i="49"/>
  <c r="M388" i="49"/>
  <c r="H388" i="49"/>
  <c r="G388" i="49"/>
  <c r="P388" i="49"/>
  <c r="M532" i="49"/>
  <c r="H532" i="49"/>
  <c r="G532" i="49"/>
  <c r="P532" i="49"/>
  <c r="H355" i="49"/>
  <c r="G355" i="49"/>
  <c r="P355" i="49"/>
  <c r="M355" i="49"/>
  <c r="H468" i="49"/>
  <c r="G468" i="49"/>
  <c r="M468" i="49"/>
  <c r="P468" i="49"/>
  <c r="J48" i="1"/>
  <c r="E39" i="27"/>
  <c r="G5100" i="49"/>
  <c r="M5100" i="49"/>
  <c r="P5100" i="49"/>
  <c r="G5129" i="49"/>
  <c r="M5129" i="49"/>
  <c r="P5129" i="49"/>
  <c r="M5201" i="49"/>
  <c r="P5201" i="49"/>
  <c r="G5201" i="49"/>
  <c r="J464" i="49"/>
  <c r="Q464" i="49"/>
  <c r="F21" i="40"/>
  <c r="P1779" i="49"/>
  <c r="G72" i="28"/>
  <c r="G37" i="28"/>
  <c r="G33" i="28"/>
  <c r="G29" i="28"/>
  <c r="G15" i="28"/>
  <c r="G16" i="28"/>
  <c r="G14" i="28"/>
  <c r="G31" i="28"/>
  <c r="G35" i="28"/>
  <c r="G28" i="28"/>
  <c r="G38" i="28"/>
  <c r="G27" i="28"/>
  <c r="H12" i="28"/>
  <c r="G36" i="28"/>
  <c r="G34" i="28"/>
  <c r="G30" i="28"/>
  <c r="G17" i="28"/>
  <c r="G44" i="28"/>
  <c r="G32" i="28"/>
  <c r="G18" i="28"/>
  <c r="F31" i="8"/>
  <c r="J39" i="1"/>
  <c r="P587" i="49"/>
  <c r="P851" i="49"/>
  <c r="P733" i="49"/>
  <c r="P697" i="49"/>
  <c r="P792" i="49"/>
  <c r="P852" i="49"/>
  <c r="P654" i="49"/>
  <c r="P716" i="49"/>
  <c r="P604" i="49"/>
  <c r="P756" i="49"/>
  <c r="P599" i="49"/>
  <c r="P614" i="49"/>
  <c r="P712" i="49"/>
  <c r="P826" i="49"/>
  <c r="P650" i="49"/>
  <c r="P709" i="49"/>
  <c r="P626" i="49"/>
  <c r="P685" i="49"/>
  <c r="G39" i="26"/>
  <c r="E31" i="8"/>
  <c r="M4922" i="49"/>
  <c r="G4922" i="49"/>
  <c r="P4922" i="49"/>
  <c r="P5157" i="49"/>
  <c r="M5157" i="49"/>
  <c r="G5157" i="49"/>
  <c r="P5015" i="49"/>
  <c r="G5015" i="49"/>
  <c r="M5015" i="49"/>
  <c r="G5056" i="49"/>
  <c r="P5056" i="49"/>
  <c r="M5056" i="49"/>
  <c r="J42" i="1"/>
  <c r="P1581" i="49"/>
  <c r="P1645" i="49"/>
  <c r="P1465" i="49"/>
  <c r="P1570" i="49"/>
  <c r="P1591" i="49"/>
  <c r="P1528" i="49"/>
  <c r="P1491" i="49"/>
  <c r="P4635" i="49"/>
  <c r="G4635" i="49"/>
  <c r="M4635" i="49"/>
  <c r="M4657" i="49"/>
  <c r="P4657" i="49"/>
  <c r="G4657" i="49"/>
  <c r="M4630" i="49"/>
  <c r="G4630" i="49"/>
  <c r="P4630" i="49"/>
  <c r="G4801" i="49"/>
  <c r="P4801" i="49"/>
  <c r="M4801" i="49"/>
  <c r="P4701" i="49"/>
  <c r="G4701" i="49"/>
  <c r="M4701" i="49"/>
  <c r="P4748" i="49"/>
  <c r="M4748" i="49"/>
  <c r="G4748" i="49"/>
  <c r="P4869" i="49"/>
  <c r="G4869" i="49"/>
  <c r="M4869" i="49"/>
  <c r="P4815" i="49"/>
  <c r="G4815" i="49"/>
  <c r="M4815" i="49"/>
  <c r="P4911" i="49"/>
  <c r="G4911" i="49"/>
  <c r="M4911" i="49"/>
  <c r="P4870" i="49"/>
  <c r="M4870" i="49"/>
  <c r="G4870" i="49"/>
  <c r="G4728" i="49"/>
  <c r="P4728" i="49"/>
  <c r="M4728" i="49"/>
  <c r="G4872" i="49"/>
  <c r="P4872" i="49"/>
  <c r="M4872" i="49"/>
  <c r="G4715" i="49"/>
  <c r="P4715" i="49"/>
  <c r="M4715" i="49"/>
  <c r="P4787" i="49"/>
  <c r="M4787" i="49"/>
  <c r="G4787" i="49"/>
  <c r="P4859" i="49"/>
  <c r="M4859" i="49"/>
  <c r="G4859" i="49"/>
  <c r="M2721" i="49"/>
  <c r="P2721" i="49"/>
  <c r="G2721" i="49"/>
  <c r="P2816" i="49"/>
  <c r="G2816" i="49"/>
  <c r="M2816" i="49"/>
  <c r="M2655" i="49"/>
  <c r="P2655" i="49"/>
  <c r="G2655" i="49"/>
  <c r="G2680" i="49"/>
  <c r="P2680" i="49"/>
  <c r="M2680" i="49"/>
  <c r="G2799" i="49"/>
  <c r="M2799" i="49"/>
  <c r="P2799" i="49"/>
  <c r="M2818" i="49"/>
  <c r="G2818" i="49"/>
  <c r="P2818" i="49"/>
  <c r="G976" i="49"/>
  <c r="M976" i="49"/>
  <c r="P976" i="49"/>
  <c r="G1024" i="49"/>
  <c r="P1024" i="49"/>
  <c r="M1024" i="49"/>
  <c r="M977" i="49"/>
  <c r="G977" i="49"/>
  <c r="P977" i="49"/>
  <c r="M1068" i="49"/>
  <c r="P1068" i="49"/>
  <c r="G1068" i="49"/>
  <c r="P903" i="49"/>
  <c r="G903" i="49"/>
  <c r="M903" i="49"/>
  <c r="G1119" i="49"/>
  <c r="P1119" i="49"/>
  <c r="M1119" i="49"/>
  <c r="G3977" i="49"/>
  <c r="M3977" i="49"/>
  <c r="P3977" i="49"/>
  <c r="G3869" i="49"/>
  <c r="P3869" i="49"/>
  <c r="M3869" i="49"/>
  <c r="M3885" i="49"/>
  <c r="G3885" i="49"/>
  <c r="P3885" i="49"/>
  <c r="P3829" i="49"/>
  <c r="M3829" i="49"/>
  <c r="G3829" i="49"/>
  <c r="G4006" i="49"/>
  <c r="M4006" i="49"/>
  <c r="P4006" i="49"/>
  <c r="M2233" i="49"/>
  <c r="G2233" i="49"/>
  <c r="P2233" i="49"/>
  <c r="M2069" i="49"/>
  <c r="G2069" i="49"/>
  <c r="P2069" i="49"/>
  <c r="M2146" i="49"/>
  <c r="P2146" i="49"/>
  <c r="G2146" i="49"/>
  <c r="M2074" i="49"/>
  <c r="P2074" i="49"/>
  <c r="G2074" i="49"/>
  <c r="G2274" i="49"/>
  <c r="P2274" i="49"/>
  <c r="M2274" i="49"/>
  <c r="M2236" i="49"/>
  <c r="G2236" i="49"/>
  <c r="P2236" i="49"/>
  <c r="M2114" i="49"/>
  <c r="G2114" i="49"/>
  <c r="P2114" i="49"/>
  <c r="G2001" i="49"/>
  <c r="P2001" i="49"/>
  <c r="M2001" i="49"/>
  <c r="M1792" i="49"/>
  <c r="G1792" i="49"/>
  <c r="P1792" i="49"/>
  <c r="G1932" i="49"/>
  <c r="M1932" i="49"/>
  <c r="P1932" i="49"/>
  <c r="M1943" i="49"/>
  <c r="P1943" i="49"/>
  <c r="G1943" i="49"/>
  <c r="P1668" i="49"/>
  <c r="M1668" i="49"/>
  <c r="G1668" i="49"/>
  <c r="P1165" i="49"/>
  <c r="M1165" i="49"/>
  <c r="G1165" i="49"/>
  <c r="P1296" i="49"/>
  <c r="M1296" i="49"/>
  <c r="G1296" i="49"/>
  <c r="G1282" i="49"/>
  <c r="P1282" i="49"/>
  <c r="M1282" i="49"/>
  <c r="M1232" i="49"/>
  <c r="G1232" i="49"/>
  <c r="P1232" i="49"/>
  <c r="M333" i="49"/>
  <c r="G333" i="49"/>
  <c r="P333" i="49"/>
  <c r="H333" i="49"/>
  <c r="P305" i="49"/>
  <c r="G305" i="49"/>
  <c r="M305" i="49"/>
  <c r="H305" i="49"/>
  <c r="H337" i="49"/>
  <c r="G337" i="49"/>
  <c r="M337" i="49"/>
  <c r="P337" i="49"/>
  <c r="M1933" i="49"/>
  <c r="G1933" i="49"/>
  <c r="P1933" i="49"/>
  <c r="P5002" i="49"/>
  <c r="M5002" i="49"/>
  <c r="G5002" i="49"/>
  <c r="G5108" i="49"/>
  <c r="P5108" i="49"/>
  <c r="M5108" i="49"/>
  <c r="P2847" i="49"/>
  <c r="M2847" i="49"/>
  <c r="G2847" i="49"/>
  <c r="M2653" i="49"/>
  <c r="G2653" i="49"/>
  <c r="P2653" i="49"/>
  <c r="M2665" i="49"/>
  <c r="G2665" i="49"/>
  <c r="P2665" i="49"/>
  <c r="P2846" i="49"/>
  <c r="G2846" i="49"/>
  <c r="M2846" i="49"/>
  <c r="P2894" i="49"/>
  <c r="G2894" i="49"/>
  <c r="M2894" i="49"/>
  <c r="G1084" i="49"/>
  <c r="P1084" i="49"/>
  <c r="M1084" i="49"/>
  <c r="P1123" i="49"/>
  <c r="G1123" i="49"/>
  <c r="M1123" i="49"/>
  <c r="P986" i="49"/>
  <c r="M986" i="49"/>
  <c r="G986" i="49"/>
  <c r="M1053" i="49"/>
  <c r="P1053" i="49"/>
  <c r="G1053" i="49"/>
  <c r="P3777" i="49"/>
  <c r="G3777" i="49"/>
  <c r="M3777" i="49"/>
  <c r="P3796" i="49"/>
  <c r="M3796" i="49"/>
  <c r="G3796" i="49"/>
  <c r="M2047" i="49"/>
  <c r="G2047" i="49"/>
  <c r="P2047" i="49"/>
  <c r="P2247" i="49"/>
  <c r="G2247" i="49"/>
  <c r="M2247" i="49"/>
  <c r="G2202" i="49"/>
  <c r="M2202" i="49"/>
  <c r="P2202" i="49"/>
  <c r="M2138" i="49"/>
  <c r="G2138" i="49"/>
  <c r="P2138" i="49"/>
  <c r="M2170" i="49"/>
  <c r="G2170" i="49"/>
  <c r="P2170" i="49"/>
  <c r="P1914" i="49"/>
  <c r="M1914" i="49"/>
  <c r="G1914" i="49"/>
  <c r="M1912" i="49"/>
  <c r="P1912" i="49"/>
  <c r="G1912" i="49"/>
  <c r="M1996" i="49"/>
  <c r="P1996" i="49"/>
  <c r="G1996" i="49"/>
  <c r="G1977" i="49"/>
  <c r="M1977" i="49"/>
  <c r="P1977" i="49"/>
  <c r="P1951" i="49"/>
  <c r="M1951" i="49"/>
  <c r="G1951" i="49"/>
  <c r="G1756" i="49"/>
  <c r="P1756" i="49"/>
  <c r="M1756" i="49"/>
  <c r="P1850" i="49"/>
  <c r="M1850" i="49"/>
  <c r="G1850" i="49"/>
  <c r="M1541" i="49"/>
  <c r="P1541" i="49"/>
  <c r="G1541" i="49"/>
  <c r="P1548" i="49"/>
  <c r="G1548" i="49"/>
  <c r="M1548" i="49"/>
  <c r="P1705" i="49"/>
  <c r="G1705" i="49"/>
  <c r="M1705" i="49"/>
  <c r="P1639" i="49"/>
  <c r="G1639" i="49"/>
  <c r="M1639" i="49"/>
  <c r="P1474" i="49"/>
  <c r="M1474" i="49"/>
  <c r="G1474" i="49"/>
  <c r="G1693" i="49"/>
  <c r="P1693" i="49"/>
  <c r="M1693" i="49"/>
  <c r="P1506" i="49"/>
  <c r="G1506" i="49"/>
  <c r="M1506" i="49"/>
  <c r="P1476" i="49"/>
  <c r="G1476" i="49"/>
  <c r="M1476" i="49"/>
  <c r="G1633" i="49"/>
  <c r="P1633" i="49"/>
  <c r="M1633" i="49"/>
  <c r="P1518" i="49"/>
  <c r="M1518" i="49"/>
  <c r="G1518" i="49"/>
  <c r="P1615" i="49"/>
  <c r="M1615" i="49"/>
  <c r="G1615" i="49"/>
  <c r="M1717" i="49"/>
  <c r="P1717" i="49"/>
  <c r="G1717" i="49"/>
  <c r="M1714" i="49"/>
  <c r="G1714" i="49"/>
  <c r="P1714" i="49"/>
  <c r="P1496" i="49"/>
  <c r="M1496" i="49"/>
  <c r="G1496" i="49"/>
  <c r="P1568" i="49"/>
  <c r="M1568" i="49"/>
  <c r="G1568" i="49"/>
  <c r="P1712" i="49"/>
  <c r="G1712" i="49"/>
  <c r="M1712" i="49"/>
  <c r="P1241" i="49"/>
  <c r="M1241" i="49"/>
  <c r="G1241" i="49"/>
  <c r="P1326" i="49"/>
  <c r="M1326" i="49"/>
  <c r="G1326" i="49"/>
  <c r="M1397" i="49"/>
  <c r="G1397" i="49"/>
  <c r="P1397" i="49"/>
  <c r="M1285" i="49"/>
  <c r="P1285" i="49"/>
  <c r="G1285" i="49"/>
  <c r="P317" i="49"/>
  <c r="M317" i="49"/>
  <c r="H317" i="49"/>
  <c r="G317" i="49"/>
  <c r="P997" i="49"/>
  <c r="M997" i="49"/>
  <c r="G997" i="49"/>
  <c r="H485" i="49"/>
  <c r="G485" i="49"/>
  <c r="P485" i="49"/>
  <c r="M485" i="49"/>
  <c r="G3917" i="49"/>
  <c r="P3917" i="49"/>
  <c r="M3917" i="49"/>
  <c r="M3772" i="49"/>
  <c r="P3772" i="49"/>
  <c r="G3772" i="49"/>
  <c r="P3973" i="49"/>
  <c r="M3973" i="49"/>
  <c r="G3973" i="49"/>
  <c r="G3863" i="49"/>
  <c r="M3863" i="49"/>
  <c r="P3863" i="49"/>
  <c r="M3816" i="49"/>
  <c r="G3816" i="49"/>
  <c r="P3816" i="49"/>
  <c r="P3943" i="49"/>
  <c r="M3943" i="49"/>
  <c r="G3943" i="49"/>
  <c r="M3894" i="49"/>
  <c r="P3894" i="49"/>
  <c r="G3894" i="49"/>
  <c r="P3956" i="49"/>
  <c r="M3956" i="49"/>
  <c r="G3956" i="49"/>
  <c r="P3980" i="49"/>
  <c r="M3980" i="49"/>
  <c r="G3980" i="49"/>
  <c r="M3864" i="49"/>
  <c r="G3864" i="49"/>
  <c r="P3864" i="49"/>
  <c r="M3798" i="49"/>
  <c r="G3798" i="49"/>
  <c r="P3798" i="49"/>
  <c r="M3969" i="49"/>
  <c r="P3969" i="49"/>
  <c r="G3969" i="49"/>
  <c r="M3870" i="49"/>
  <c r="G3870" i="49"/>
  <c r="P3870" i="49"/>
  <c r="P3783" i="49"/>
  <c r="M3783" i="49"/>
  <c r="G3783" i="49"/>
  <c r="P3878" i="49"/>
  <c r="M3878" i="49"/>
  <c r="G3878" i="49"/>
  <c r="P4004" i="49"/>
  <c r="G4004" i="49"/>
  <c r="M4004" i="49"/>
  <c r="G3887" i="49"/>
  <c r="M3887" i="49"/>
  <c r="P3887" i="49"/>
  <c r="P3993" i="49"/>
  <c r="G3993" i="49"/>
  <c r="M3993" i="49"/>
  <c r="G3925" i="49"/>
  <c r="P3925" i="49"/>
  <c r="M3925" i="49"/>
  <c r="P4010" i="49"/>
  <c r="G4010" i="49"/>
  <c r="M4010" i="49"/>
  <c r="P3814" i="49"/>
  <c r="G3814" i="49"/>
  <c r="M3814" i="49"/>
  <c r="P3886" i="49"/>
  <c r="M3886" i="49"/>
  <c r="G3886" i="49"/>
  <c r="G3958" i="49"/>
  <c r="P3958" i="49"/>
  <c r="M3958" i="49"/>
  <c r="G4030" i="49"/>
  <c r="P4030" i="49"/>
  <c r="M4030" i="49"/>
  <c r="P3519" i="49"/>
  <c r="M3519" i="49"/>
  <c r="G3519" i="49"/>
  <c r="M3552" i="49"/>
  <c r="P3552" i="49"/>
  <c r="G3552" i="49"/>
  <c r="M3490" i="49"/>
  <c r="P3490" i="49"/>
  <c r="G3490" i="49"/>
  <c r="P3705" i="49"/>
  <c r="M3705" i="49"/>
  <c r="G3705" i="49"/>
  <c r="M3539" i="49"/>
  <c r="G3539" i="49"/>
  <c r="P3539" i="49"/>
  <c r="P3523" i="49"/>
  <c r="M3523" i="49"/>
  <c r="G3523" i="49"/>
  <c r="M3604" i="49"/>
  <c r="P3604" i="49"/>
  <c r="G3604" i="49"/>
  <c r="P3620" i="49"/>
  <c r="M3620" i="49"/>
  <c r="G3620" i="49"/>
  <c r="P3625" i="49"/>
  <c r="G3625" i="49"/>
  <c r="M3625" i="49"/>
  <c r="P3506" i="49"/>
  <c r="M3506" i="49"/>
  <c r="G3506" i="49"/>
  <c r="P3540" i="49"/>
  <c r="M3540" i="49"/>
  <c r="G3540" i="49"/>
  <c r="P3493" i="49"/>
  <c r="M3493" i="49"/>
  <c r="G3493" i="49"/>
  <c r="P3545" i="49"/>
  <c r="G3545" i="49"/>
  <c r="M3545" i="49"/>
  <c r="M3483" i="49"/>
  <c r="G3483" i="49"/>
  <c r="P3483" i="49"/>
  <c r="G3606" i="49"/>
  <c r="P3606" i="49"/>
  <c r="M3606" i="49"/>
  <c r="M3478" i="49"/>
  <c r="G3478" i="49"/>
  <c r="P3478" i="49"/>
  <c r="G3631" i="49"/>
  <c r="P3631" i="49"/>
  <c r="M3631" i="49"/>
  <c r="G3473" i="49"/>
  <c r="P3473" i="49"/>
  <c r="M3473" i="49"/>
  <c r="G3614" i="49"/>
  <c r="M3614" i="49"/>
  <c r="P3614" i="49"/>
  <c r="G3495" i="49"/>
  <c r="P3495" i="49"/>
  <c r="M3495" i="49"/>
  <c r="G3639" i="49"/>
  <c r="M3639" i="49"/>
  <c r="P3639" i="49"/>
  <c r="P3481" i="49"/>
  <c r="M3481" i="49"/>
  <c r="G3481" i="49"/>
  <c r="P3630" i="49"/>
  <c r="G3630" i="49"/>
  <c r="M3630" i="49"/>
  <c r="P3735" i="49"/>
  <c r="M3735" i="49"/>
  <c r="G3735" i="49"/>
  <c r="P3433" i="49"/>
  <c r="M3433" i="49"/>
  <c r="G3433" i="49"/>
  <c r="P3367" i="49"/>
  <c r="M3367" i="49"/>
  <c r="G3367" i="49"/>
  <c r="G3347" i="49"/>
  <c r="M3347" i="49"/>
  <c r="P3347" i="49"/>
  <c r="M3415" i="49"/>
  <c r="G3415" i="49"/>
  <c r="P3415" i="49"/>
  <c r="M3364" i="49"/>
  <c r="G3364" i="49"/>
  <c r="P3364" i="49"/>
  <c r="G3299" i="49"/>
  <c r="P3299" i="49"/>
  <c r="M3299" i="49"/>
  <c r="M3457" i="49"/>
  <c r="G3457" i="49"/>
  <c r="P3457" i="49"/>
  <c r="M3282" i="49"/>
  <c r="P3282" i="49"/>
  <c r="G3282" i="49"/>
  <c r="M3442" i="49"/>
  <c r="P3442" i="49"/>
  <c r="G3442" i="49"/>
  <c r="M3291" i="49"/>
  <c r="G3291" i="49"/>
  <c r="P3291" i="49"/>
  <c r="M3470" i="49"/>
  <c r="G3470" i="49"/>
  <c r="P3470" i="49"/>
  <c r="G3317" i="49"/>
  <c r="M3317" i="49"/>
  <c r="P3317" i="49"/>
  <c r="G3184" i="49"/>
  <c r="P3184" i="49"/>
  <c r="M3184" i="49"/>
  <c r="M3264" i="49"/>
  <c r="G3264" i="49"/>
  <c r="P3264" i="49"/>
  <c r="G3363" i="49"/>
  <c r="M3363" i="49"/>
  <c r="P3363" i="49"/>
  <c r="P3463" i="49"/>
  <c r="G3463" i="49"/>
  <c r="M3463" i="49"/>
  <c r="G3257" i="49"/>
  <c r="P3257" i="49"/>
  <c r="M3257" i="49"/>
  <c r="M3346" i="49"/>
  <c r="G3346" i="49"/>
  <c r="P3346" i="49"/>
  <c r="P3357" i="49"/>
  <c r="G3357" i="49"/>
  <c r="M3357" i="49"/>
  <c r="G3250" i="49"/>
  <c r="P3250" i="49"/>
  <c r="M3250" i="49"/>
  <c r="P3322" i="49"/>
  <c r="G3322" i="49"/>
  <c r="M3322" i="49"/>
  <c r="G3444" i="49"/>
  <c r="P3444" i="49"/>
  <c r="M3444" i="49"/>
  <c r="G3465" i="49"/>
  <c r="M3465" i="49"/>
  <c r="P3465" i="49"/>
  <c r="P3451" i="49"/>
  <c r="M3451" i="49"/>
  <c r="G3451" i="49"/>
  <c r="P2996" i="49"/>
  <c r="M2996" i="49"/>
  <c r="G2996" i="49"/>
  <c r="P2936" i="49"/>
  <c r="M2936" i="49"/>
  <c r="G2936" i="49"/>
  <c r="M3179" i="49"/>
  <c r="G3179" i="49"/>
  <c r="P3179" i="49"/>
  <c r="P2960" i="49"/>
  <c r="M2960" i="49"/>
  <c r="G2960" i="49"/>
  <c r="G3125" i="49"/>
  <c r="P3125" i="49"/>
  <c r="M3125" i="49"/>
  <c r="G3089" i="49"/>
  <c r="P3089" i="49"/>
  <c r="M3089" i="49"/>
  <c r="M2943" i="49"/>
  <c r="G2943" i="49"/>
  <c r="P2943" i="49"/>
  <c r="M2955" i="49"/>
  <c r="P2955" i="49"/>
  <c r="G2955" i="49"/>
  <c r="M3109" i="49"/>
  <c r="P3109" i="49"/>
  <c r="G3109" i="49"/>
  <c r="P3050" i="49"/>
  <c r="M3050" i="49"/>
  <c r="G3050" i="49"/>
  <c r="G3059" i="49"/>
  <c r="M3059" i="49"/>
  <c r="P3059" i="49"/>
  <c r="G2969" i="49"/>
  <c r="M2969" i="49"/>
  <c r="P2969" i="49"/>
  <c r="G3071" i="49"/>
  <c r="M3071" i="49"/>
  <c r="P3071" i="49"/>
  <c r="M3009" i="49"/>
  <c r="G3009" i="49"/>
  <c r="P3009" i="49"/>
  <c r="G2947" i="49"/>
  <c r="M2947" i="49"/>
  <c r="P2947" i="49"/>
  <c r="P2954" i="49"/>
  <c r="G2954" i="49"/>
  <c r="M2954" i="49"/>
  <c r="P3056" i="49"/>
  <c r="M3056" i="49"/>
  <c r="G3056" i="49"/>
  <c r="P3171" i="49"/>
  <c r="M3171" i="49"/>
  <c r="G3171" i="49"/>
  <c r="M3084" i="49"/>
  <c r="P3084" i="49"/>
  <c r="G3084" i="49"/>
  <c r="G3169" i="49"/>
  <c r="P3169" i="49"/>
  <c r="M3169" i="49"/>
  <c r="P2962" i="49"/>
  <c r="M2962" i="49"/>
  <c r="G2962" i="49"/>
  <c r="P3034" i="49"/>
  <c r="M3034" i="49"/>
  <c r="G3034" i="49"/>
  <c r="G3106" i="49"/>
  <c r="M3106" i="49"/>
  <c r="P3106" i="49"/>
  <c r="G3178" i="49"/>
  <c r="M3178" i="49"/>
  <c r="P3178" i="49"/>
  <c r="M2357" i="49"/>
  <c r="P2357" i="49"/>
  <c r="G2357" i="49"/>
  <c r="G2480" i="49"/>
  <c r="P2480" i="49"/>
  <c r="M2480" i="49"/>
  <c r="P2602" i="49"/>
  <c r="G2602" i="49"/>
  <c r="M2602" i="49"/>
  <c r="M2433" i="49"/>
  <c r="P2433" i="49"/>
  <c r="G2433" i="49"/>
  <c r="G2408" i="49"/>
  <c r="P2408" i="49"/>
  <c r="M2408" i="49"/>
  <c r="P2550" i="49"/>
  <c r="M2550" i="49"/>
  <c r="G2550" i="49"/>
  <c r="P2453" i="49"/>
  <c r="M2453" i="49"/>
  <c r="G2453" i="49"/>
  <c r="G2534" i="49"/>
  <c r="M2534" i="49"/>
  <c r="P2534" i="49"/>
  <c r="M2463" i="49"/>
  <c r="G2463" i="49"/>
  <c r="P2463" i="49"/>
  <c r="M2595" i="49"/>
  <c r="P2595" i="49"/>
  <c r="G2595" i="49"/>
  <c r="P2525" i="49"/>
  <c r="M2525" i="49"/>
  <c r="G2525" i="49"/>
  <c r="P2405" i="49"/>
  <c r="M2405" i="49"/>
  <c r="G2405" i="49"/>
  <c r="M2530" i="49"/>
  <c r="G2530" i="49"/>
  <c r="P2530" i="49"/>
  <c r="G2514" i="49"/>
  <c r="P2514" i="49"/>
  <c r="M2514" i="49"/>
  <c r="M2355" i="49"/>
  <c r="G2355" i="49"/>
  <c r="P2355" i="49"/>
  <c r="G2454" i="49"/>
  <c r="P2454" i="49"/>
  <c r="M2454" i="49"/>
  <c r="G2324" i="49"/>
  <c r="M2324" i="49"/>
  <c r="P2324" i="49"/>
  <c r="G2402" i="49"/>
  <c r="P2402" i="49"/>
  <c r="M2402" i="49"/>
  <c r="M2481" i="49"/>
  <c r="G2481" i="49"/>
  <c r="P2481" i="49"/>
  <c r="M2553" i="49"/>
  <c r="G2553" i="49"/>
  <c r="P2553" i="49"/>
  <c r="M2389" i="49"/>
  <c r="G2389" i="49"/>
  <c r="P2389" i="49"/>
  <c r="M2461" i="49"/>
  <c r="G2461" i="49"/>
  <c r="P2461" i="49"/>
  <c r="P2533" i="49"/>
  <c r="G2533" i="49"/>
  <c r="M2533" i="49"/>
  <c r="P2603" i="49"/>
  <c r="M2603" i="49"/>
  <c r="G2603" i="49"/>
  <c r="G1377" i="49"/>
  <c r="P1377" i="49"/>
  <c r="M1377" i="49"/>
  <c r="G1509" i="49"/>
  <c r="P1509" i="49"/>
  <c r="M1509" i="49"/>
  <c r="G1477" i="49"/>
  <c r="P1477" i="49"/>
  <c r="M1477" i="49"/>
  <c r="P1458" i="49"/>
  <c r="M1458" i="49"/>
  <c r="G1458" i="49"/>
  <c r="P1482" i="49"/>
  <c r="M1482" i="49"/>
  <c r="G1482" i="49"/>
  <c r="P1558" i="49"/>
  <c r="G1558" i="49"/>
  <c r="M1558" i="49"/>
  <c r="P1656" i="49"/>
  <c r="M1656" i="49"/>
  <c r="G1656" i="49"/>
  <c r="M1687" i="49"/>
  <c r="G1687" i="49"/>
  <c r="P1687" i="49"/>
  <c r="P1618" i="49"/>
  <c r="G1618" i="49"/>
  <c r="M1618" i="49"/>
  <c r="M1553" i="49"/>
  <c r="G1553" i="49"/>
  <c r="P1553" i="49"/>
  <c r="P1464" i="49"/>
  <c r="G1464" i="49"/>
  <c r="M1464" i="49"/>
  <c r="G1636" i="49"/>
  <c r="P1636" i="49"/>
  <c r="M1636" i="49"/>
  <c r="G1569" i="49"/>
  <c r="P1569" i="49"/>
  <c r="M1569" i="49"/>
  <c r="G1527" i="49"/>
  <c r="P1527" i="49"/>
  <c r="M1527" i="49"/>
  <c r="G1671" i="49"/>
  <c r="M1671" i="49"/>
  <c r="P1671" i="49"/>
  <c r="G1565" i="49"/>
  <c r="P1565" i="49"/>
  <c r="M1565" i="49"/>
  <c r="G1641" i="49"/>
  <c r="P1641" i="49"/>
  <c r="M1641" i="49"/>
  <c r="G1647" i="49"/>
  <c r="M1647" i="49"/>
  <c r="P1647" i="49"/>
  <c r="G1677" i="49"/>
  <c r="M1677" i="49"/>
  <c r="P1677" i="49"/>
  <c r="P1732" i="49"/>
  <c r="M1732" i="49"/>
  <c r="G1732" i="49"/>
  <c r="P1514" i="49"/>
  <c r="M1514" i="49"/>
  <c r="G1514" i="49"/>
  <c r="G1586" i="49"/>
  <c r="M1586" i="49"/>
  <c r="P1586" i="49"/>
  <c r="G1658" i="49"/>
  <c r="P1658" i="49"/>
  <c r="M1658" i="49"/>
  <c r="P1730" i="49"/>
  <c r="M1730" i="49"/>
  <c r="G1730" i="49"/>
  <c r="G1287" i="49"/>
  <c r="M1287" i="49"/>
  <c r="P1287" i="49"/>
  <c r="G1439" i="49"/>
  <c r="P1439" i="49"/>
  <c r="M1439" i="49"/>
  <c r="P1327" i="49"/>
  <c r="M1327" i="49"/>
  <c r="G1327" i="49"/>
  <c r="P1441" i="49"/>
  <c r="M1441" i="49"/>
  <c r="G1441" i="49"/>
  <c r="M1355" i="49"/>
  <c r="P1355" i="49"/>
  <c r="G1355" i="49"/>
  <c r="G1173" i="49"/>
  <c r="M1173" i="49"/>
  <c r="P1173" i="49"/>
  <c r="G1419" i="49"/>
  <c r="P1419" i="49"/>
  <c r="M1419" i="49"/>
  <c r="G1191" i="49"/>
  <c r="P1191" i="49"/>
  <c r="M1191" i="49"/>
  <c r="P1381" i="49"/>
  <c r="M1381" i="49"/>
  <c r="G1381" i="49"/>
  <c r="P1411" i="49"/>
  <c r="M1411" i="49"/>
  <c r="G1411" i="49"/>
  <c r="P1348" i="49"/>
  <c r="G1348" i="49"/>
  <c r="M1348" i="49"/>
  <c r="P1309" i="49"/>
  <c r="M1309" i="49"/>
  <c r="G1309" i="49"/>
  <c r="M1435" i="49"/>
  <c r="G1435" i="49"/>
  <c r="P1435" i="49"/>
  <c r="G1337" i="49"/>
  <c r="P1337" i="49"/>
  <c r="M1337" i="49"/>
  <c r="G1201" i="49"/>
  <c r="P1201" i="49"/>
  <c r="M1201" i="49"/>
  <c r="G1379" i="49"/>
  <c r="P1379" i="49"/>
  <c r="M1379" i="49"/>
  <c r="P1260" i="49"/>
  <c r="G1260" i="49"/>
  <c r="M1260" i="49"/>
  <c r="G1438" i="49"/>
  <c r="P1438" i="49"/>
  <c r="M1438" i="49"/>
  <c r="M1336" i="49"/>
  <c r="P1336" i="49"/>
  <c r="G1336" i="49"/>
  <c r="G1184" i="49"/>
  <c r="P1184" i="49"/>
  <c r="M1184" i="49"/>
  <c r="G1256" i="49"/>
  <c r="M1256" i="49"/>
  <c r="P1256" i="49"/>
  <c r="G1328" i="49"/>
  <c r="M1328" i="49"/>
  <c r="P1328" i="49"/>
  <c r="G1400" i="49"/>
  <c r="P1400" i="49"/>
  <c r="M1400" i="49"/>
  <c r="G730" i="49"/>
  <c r="P730" i="49"/>
  <c r="M730" i="49"/>
  <c r="P607" i="49"/>
  <c r="M607" i="49"/>
  <c r="G607" i="49"/>
  <c r="P785" i="49"/>
  <c r="G785" i="49"/>
  <c r="M785" i="49"/>
  <c r="P661" i="49"/>
  <c r="M661" i="49"/>
  <c r="G661" i="49"/>
  <c r="P644" i="49"/>
  <c r="M644" i="49"/>
  <c r="G644" i="49"/>
  <c r="M746" i="49"/>
  <c r="G746" i="49"/>
  <c r="P746" i="49"/>
  <c r="P853" i="49"/>
  <c r="M853" i="49"/>
  <c r="G853" i="49"/>
  <c r="M684" i="49"/>
  <c r="G684" i="49"/>
  <c r="P684" i="49"/>
  <c r="P791" i="49"/>
  <c r="M791" i="49"/>
  <c r="G791" i="49"/>
  <c r="G622" i="49"/>
  <c r="M622" i="49"/>
  <c r="P622" i="49"/>
  <c r="G698" i="49"/>
  <c r="P698" i="49"/>
  <c r="M698" i="49"/>
  <c r="M800" i="49"/>
  <c r="G800" i="49"/>
  <c r="P800" i="49"/>
  <c r="M606" i="49"/>
  <c r="P606" i="49"/>
  <c r="G606" i="49"/>
  <c r="P691" i="49"/>
  <c r="G691" i="49"/>
  <c r="M691" i="49"/>
  <c r="P776" i="49"/>
  <c r="M776" i="49"/>
  <c r="G776" i="49"/>
  <c r="G868" i="49"/>
  <c r="P868" i="49"/>
  <c r="M868" i="49"/>
  <c r="P669" i="49"/>
  <c r="M669" i="49"/>
  <c r="G669" i="49"/>
  <c r="M741" i="49"/>
  <c r="G741" i="49"/>
  <c r="P741" i="49"/>
  <c r="P813" i="49"/>
  <c r="G813" i="49"/>
  <c r="M813" i="49"/>
  <c r="M473" i="49"/>
  <c r="H473" i="49"/>
  <c r="P473" i="49"/>
  <c r="G473" i="49"/>
  <c r="P863" i="49"/>
  <c r="G863" i="49"/>
  <c r="M863" i="49"/>
  <c r="J490" i="49"/>
  <c r="Q490" i="49" s="1"/>
  <c r="J398" i="49"/>
  <c r="Q398" i="49" s="1"/>
  <c r="J315" i="49"/>
  <c r="Q315" i="49" s="1"/>
  <c r="F39" i="31"/>
  <c r="P1554" i="49"/>
  <c r="P5104" i="49"/>
  <c r="M5104" i="49"/>
  <c r="G5104" i="49"/>
  <c r="G5135" i="49"/>
  <c r="M5135" i="49"/>
  <c r="P5135" i="49"/>
  <c r="E19" i="16"/>
  <c r="E15" i="8"/>
  <c r="F79" i="16"/>
  <c r="F85" i="16"/>
  <c r="F39" i="18"/>
  <c r="F39" i="16"/>
  <c r="F27" i="8"/>
  <c r="L31" i="13"/>
  <c r="D31" i="13"/>
  <c r="B126" i="14"/>
  <c r="N31" i="13"/>
  <c r="F19" i="6" s="1"/>
  <c r="H31" i="13"/>
  <c r="J31" i="13"/>
  <c r="E31" i="13"/>
  <c r="K31" i="13"/>
  <c r="E19" i="6" s="1"/>
  <c r="G31" i="13"/>
  <c r="F28" i="8"/>
  <c r="P4051" i="49"/>
  <c r="M4051" i="49"/>
  <c r="G4051" i="49"/>
  <c r="G4180" i="49"/>
  <c r="M4180" i="49"/>
  <c r="P4180" i="49"/>
  <c r="P4075" i="49"/>
  <c r="M4075" i="49"/>
  <c r="G4075" i="49"/>
  <c r="M4170" i="49"/>
  <c r="G4170" i="49"/>
  <c r="P4170" i="49"/>
  <c r="P4171" i="49"/>
  <c r="G4171" i="49"/>
  <c r="M4171" i="49"/>
  <c r="G4216" i="49"/>
  <c r="M4216" i="49"/>
  <c r="P4216" i="49"/>
  <c r="M4086" i="49"/>
  <c r="P4086" i="49"/>
  <c r="G4086" i="49"/>
  <c r="M4232" i="49"/>
  <c r="G4232" i="49"/>
  <c r="P4232" i="49"/>
  <c r="P4183" i="49"/>
  <c r="M4183" i="49"/>
  <c r="G4183" i="49"/>
  <c r="P4058" i="49"/>
  <c r="G4058" i="49"/>
  <c r="M4058" i="49"/>
  <c r="M4069" i="49"/>
  <c r="G4069" i="49"/>
  <c r="P4069" i="49"/>
  <c r="P4184" i="49"/>
  <c r="G4184" i="49"/>
  <c r="M4184" i="49"/>
  <c r="M4063" i="49"/>
  <c r="G4063" i="49"/>
  <c r="P4063" i="49"/>
  <c r="P4178" i="49"/>
  <c r="G4178" i="49"/>
  <c r="M4178" i="49"/>
  <c r="M4331" i="49"/>
  <c r="P4331" i="49"/>
  <c r="G4331" i="49"/>
  <c r="G4096" i="49"/>
  <c r="M4096" i="49"/>
  <c r="P4096" i="49"/>
  <c r="G4176" i="49"/>
  <c r="P4176" i="49"/>
  <c r="M4176" i="49"/>
  <c r="P4261" i="49"/>
  <c r="G4261" i="49"/>
  <c r="M4261" i="49"/>
  <c r="M4095" i="49"/>
  <c r="G4095" i="49"/>
  <c r="P4095" i="49"/>
  <c r="M4169" i="49"/>
  <c r="G4169" i="49"/>
  <c r="P4169" i="49"/>
  <c r="P4254" i="49"/>
  <c r="M4254" i="49"/>
  <c r="G4254" i="49"/>
  <c r="P4339" i="49"/>
  <c r="M4339" i="49"/>
  <c r="G4339" i="49"/>
  <c r="G4221" i="49"/>
  <c r="M4221" i="49"/>
  <c r="P4221" i="49"/>
  <c r="M4293" i="49"/>
  <c r="G4293" i="49"/>
  <c r="P4293" i="49"/>
  <c r="P847" i="49"/>
  <c r="G847" i="49"/>
  <c r="M847" i="49"/>
  <c r="G4921" i="49"/>
  <c r="P4921" i="49"/>
  <c r="M4921" i="49"/>
  <c r="G4987" i="49"/>
  <c r="P4987" i="49"/>
  <c r="M4987" i="49"/>
  <c r="M5048" i="49"/>
  <c r="P5048" i="49"/>
  <c r="G5048" i="49"/>
  <c r="G5137" i="49"/>
  <c r="P5137" i="49"/>
  <c r="M5137" i="49"/>
  <c r="P5145" i="49"/>
  <c r="M5145" i="49"/>
  <c r="G5145" i="49"/>
  <c r="G4983" i="49"/>
  <c r="M4983" i="49"/>
  <c r="P4983" i="49"/>
  <c r="P5005" i="49"/>
  <c r="M5005" i="49"/>
  <c r="G5005" i="49"/>
  <c r="P4966" i="49"/>
  <c r="G4966" i="49"/>
  <c r="M4966" i="49"/>
  <c r="G5094" i="49"/>
  <c r="P5094" i="49"/>
  <c r="M5094" i="49"/>
  <c r="P4964" i="49"/>
  <c r="G4964" i="49"/>
  <c r="M4964" i="49"/>
  <c r="P5078" i="49"/>
  <c r="G5078" i="49"/>
  <c r="M5078" i="49"/>
  <c r="G4932" i="49"/>
  <c r="P4932" i="49"/>
  <c r="M4932" i="49"/>
  <c r="G5188" i="49"/>
  <c r="P5188" i="49"/>
  <c r="M5188" i="49"/>
  <c r="G5092" i="49"/>
  <c r="M5092" i="49"/>
  <c r="P5092" i="49"/>
  <c r="M4916" i="49"/>
  <c r="P4916" i="49"/>
  <c r="G4916" i="49"/>
  <c r="P2656" i="49"/>
  <c r="M2656" i="49"/>
  <c r="G2656" i="49"/>
  <c r="P2626" i="49"/>
  <c r="M2626" i="49"/>
  <c r="G2626" i="49"/>
  <c r="G2849" i="49"/>
  <c r="P2849" i="49"/>
  <c r="M2849" i="49"/>
  <c r="G2891" i="49"/>
  <c r="P2891" i="49"/>
  <c r="M2891" i="49"/>
  <c r="M1147" i="49"/>
  <c r="G1147" i="49"/>
  <c r="P1147" i="49"/>
  <c r="G898" i="49"/>
  <c r="P898" i="49"/>
  <c r="M898" i="49"/>
  <c r="G3809" i="49"/>
  <c r="P3809" i="49"/>
  <c r="M3809" i="49"/>
  <c r="G3845" i="49"/>
  <c r="P3845" i="49"/>
  <c r="M3845" i="49"/>
  <c r="G3805" i="49"/>
  <c r="P3805" i="49"/>
  <c r="M3805" i="49"/>
  <c r="M3862" i="49"/>
  <c r="P3862" i="49"/>
  <c r="G3862" i="49"/>
  <c r="M2059" i="49"/>
  <c r="G2059" i="49"/>
  <c r="P2059" i="49"/>
  <c r="M2225" i="49"/>
  <c r="P2225" i="49"/>
  <c r="G2225" i="49"/>
  <c r="M2155" i="49"/>
  <c r="P2155" i="49"/>
  <c r="G2155" i="49"/>
  <c r="G2042" i="49"/>
  <c r="P2042" i="49"/>
  <c r="M2042" i="49"/>
  <c r="P1986" i="49"/>
  <c r="M1986" i="49"/>
  <c r="G1986" i="49"/>
  <c r="G1941" i="49"/>
  <c r="M1941" i="49"/>
  <c r="P1941" i="49"/>
  <c r="M1968" i="49"/>
  <c r="G1968" i="49"/>
  <c r="P1968" i="49"/>
  <c r="M1486" i="49"/>
  <c r="G1486" i="49"/>
  <c r="P1486" i="49"/>
  <c r="M1490" i="49"/>
  <c r="G1490" i="49"/>
  <c r="P1490" i="49"/>
  <c r="G1447" i="49"/>
  <c r="M1447" i="49"/>
  <c r="P1447" i="49"/>
  <c r="M476" i="49"/>
  <c r="G476" i="49"/>
  <c r="P476" i="49"/>
  <c r="H476" i="49"/>
  <c r="G5166" i="49"/>
  <c r="P5166" i="49"/>
  <c r="M5166" i="49"/>
  <c r="P2840" i="49"/>
  <c r="M2840" i="49"/>
  <c r="G2840" i="49"/>
  <c r="G2809" i="49"/>
  <c r="P2809" i="49"/>
  <c r="M2809" i="49"/>
  <c r="G1125" i="49"/>
  <c r="M1125" i="49"/>
  <c r="P1125" i="49"/>
  <c r="P4012" i="49"/>
  <c r="M4012" i="49"/>
  <c r="G4012" i="49"/>
  <c r="G4487" i="49"/>
  <c r="P4487" i="49"/>
  <c r="M4487" i="49"/>
  <c r="P4446" i="49"/>
  <c r="M4446" i="49"/>
  <c r="G4446" i="49"/>
  <c r="M4450" i="49"/>
  <c r="G4450" i="49"/>
  <c r="P4450" i="49"/>
  <c r="P4498" i="49"/>
  <c r="M4498" i="49"/>
  <c r="G4498" i="49"/>
  <c r="G4465" i="49"/>
  <c r="P4465" i="49"/>
  <c r="M4465" i="49"/>
  <c r="M4432" i="49"/>
  <c r="G4432" i="49"/>
  <c r="P4432" i="49"/>
  <c r="G4592" i="49"/>
  <c r="M4592" i="49"/>
  <c r="P4592" i="49"/>
  <c r="M4379" i="49"/>
  <c r="P4379" i="49"/>
  <c r="G4379" i="49"/>
  <c r="M4414" i="49"/>
  <c r="G4414" i="49"/>
  <c r="P4414" i="49"/>
  <c r="P4399" i="49"/>
  <c r="M4399" i="49"/>
  <c r="G4399" i="49"/>
  <c r="M4391" i="49"/>
  <c r="G4391" i="49"/>
  <c r="P4391" i="49"/>
  <c r="M4479" i="49"/>
  <c r="G4479" i="49"/>
  <c r="P4479" i="49"/>
  <c r="P4368" i="49"/>
  <c r="M4368" i="49"/>
  <c r="G4368" i="49"/>
  <c r="P4462" i="49"/>
  <c r="M4462" i="49"/>
  <c r="G4462" i="49"/>
  <c r="P4604" i="49"/>
  <c r="M4604" i="49"/>
  <c r="G4604" i="49"/>
  <c r="G4407" i="49"/>
  <c r="M4407" i="49"/>
  <c r="P4407" i="49"/>
  <c r="P4480" i="49"/>
  <c r="G4480" i="49"/>
  <c r="M4480" i="49"/>
  <c r="G4565" i="49"/>
  <c r="M4565" i="49"/>
  <c r="P4565" i="49"/>
  <c r="G4388" i="49"/>
  <c r="M4388" i="49"/>
  <c r="P4388" i="49"/>
  <c r="P4463" i="49"/>
  <c r="M4463" i="49"/>
  <c r="G4463" i="49"/>
  <c r="G4555" i="49"/>
  <c r="M4555" i="49"/>
  <c r="P4555" i="49"/>
  <c r="M4494" i="49"/>
  <c r="G4494" i="49"/>
  <c r="P4494" i="49"/>
  <c r="M4566" i="49"/>
  <c r="P4566" i="49"/>
  <c r="G4566" i="49"/>
  <c r="G4589" i="49"/>
  <c r="P4589" i="49"/>
  <c r="M4589" i="49"/>
  <c r="G904" i="49"/>
  <c r="P904" i="49"/>
  <c r="M904" i="49"/>
  <c r="M984" i="49"/>
  <c r="G984" i="49"/>
  <c r="P984" i="49"/>
  <c r="H481" i="49"/>
  <c r="M481" i="49"/>
  <c r="G481" i="49"/>
  <c r="P481" i="49"/>
  <c r="M3924" i="49"/>
  <c r="P3924" i="49"/>
  <c r="G3924" i="49"/>
  <c r="P3957" i="49"/>
  <c r="M3957" i="49"/>
  <c r="G3957" i="49"/>
  <c r="G3989" i="49"/>
  <c r="P3989" i="49"/>
  <c r="M3989" i="49"/>
  <c r="P3806" i="49"/>
  <c r="M3806" i="49"/>
  <c r="G3806" i="49"/>
  <c r="P3877" i="49"/>
  <c r="M3877" i="49"/>
  <c r="G3877" i="49"/>
  <c r="P3998" i="49"/>
  <c r="M3998" i="49"/>
  <c r="G3998" i="49"/>
  <c r="G3911" i="49"/>
  <c r="P3911" i="49"/>
  <c r="M3911" i="49"/>
  <c r="M3972" i="49"/>
  <c r="G3972" i="49"/>
  <c r="P3972" i="49"/>
  <c r="G4019" i="49"/>
  <c r="M4019" i="49"/>
  <c r="P4019" i="49"/>
  <c r="P3866" i="49"/>
  <c r="M3866" i="49"/>
  <c r="G3866" i="49"/>
  <c r="M3810" i="49"/>
  <c r="G3810" i="49"/>
  <c r="P3810" i="49"/>
  <c r="M3978" i="49"/>
  <c r="G3978" i="49"/>
  <c r="P3978" i="49"/>
  <c r="P3872" i="49"/>
  <c r="G3872" i="49"/>
  <c r="M3872" i="49"/>
  <c r="P3788" i="49"/>
  <c r="G3788" i="49"/>
  <c r="M3788" i="49"/>
  <c r="M3921" i="49"/>
  <c r="P3921" i="49"/>
  <c r="G3921" i="49"/>
  <c r="G4027" i="49"/>
  <c r="P4027" i="49"/>
  <c r="M4027" i="49"/>
  <c r="G3895" i="49"/>
  <c r="M3895" i="49"/>
  <c r="P3895" i="49"/>
  <c r="M4008" i="49"/>
  <c r="P4008" i="49"/>
  <c r="G4008" i="49"/>
  <c r="G3935" i="49"/>
  <c r="M3935" i="49"/>
  <c r="P3935" i="49"/>
  <c r="M4020" i="49"/>
  <c r="G4020" i="49"/>
  <c r="P4020" i="49"/>
  <c r="P3820" i="49"/>
  <c r="G3820" i="49"/>
  <c r="M3820" i="49"/>
  <c r="P3892" i="49"/>
  <c r="M3892" i="49"/>
  <c r="G3892" i="49"/>
  <c r="G3964" i="49"/>
  <c r="P3964" i="49"/>
  <c r="M3964" i="49"/>
  <c r="P4036" i="49"/>
  <c r="M4036" i="49"/>
  <c r="G4036" i="49"/>
  <c r="M3547" i="49"/>
  <c r="G3547" i="49"/>
  <c r="P3547" i="49"/>
  <c r="P3617" i="49"/>
  <c r="G3617" i="49"/>
  <c r="M3617" i="49"/>
  <c r="P3633" i="49"/>
  <c r="M3633" i="49"/>
  <c r="G3633" i="49"/>
  <c r="M3714" i="49"/>
  <c r="G3714" i="49"/>
  <c r="P3714" i="49"/>
  <c r="P3548" i="49"/>
  <c r="M3548" i="49"/>
  <c r="G3548" i="49"/>
  <c r="M3532" i="49"/>
  <c r="P3532" i="49"/>
  <c r="G3532" i="49"/>
  <c r="M3653" i="49"/>
  <c r="G3653" i="49"/>
  <c r="P3653" i="49"/>
  <c r="P3672" i="49"/>
  <c r="M3672" i="49"/>
  <c r="G3672" i="49"/>
  <c r="M3634" i="49"/>
  <c r="P3634" i="49"/>
  <c r="G3634" i="49"/>
  <c r="M3526" i="49"/>
  <c r="G3526" i="49"/>
  <c r="P3526" i="49"/>
  <c r="P3549" i="49"/>
  <c r="G3549" i="49"/>
  <c r="M3549" i="49"/>
  <c r="M3502" i="49"/>
  <c r="P3502" i="49"/>
  <c r="G3502" i="49"/>
  <c r="P3565" i="49"/>
  <c r="M3565" i="49"/>
  <c r="G3565" i="49"/>
  <c r="G3487" i="49"/>
  <c r="P3487" i="49"/>
  <c r="M3487" i="49"/>
  <c r="G3623" i="49"/>
  <c r="M3623" i="49"/>
  <c r="P3623" i="49"/>
  <c r="G3500" i="49"/>
  <c r="P3500" i="49"/>
  <c r="M3500" i="49"/>
  <c r="G3644" i="49"/>
  <c r="P3644" i="49"/>
  <c r="M3644" i="49"/>
  <c r="G3482" i="49"/>
  <c r="M3482" i="49"/>
  <c r="P3482" i="49"/>
  <c r="G3618" i="49"/>
  <c r="M3618" i="49"/>
  <c r="P3618" i="49"/>
  <c r="M3499" i="49"/>
  <c r="G3499" i="49"/>
  <c r="P3499" i="49"/>
  <c r="M3643" i="49"/>
  <c r="G3643" i="49"/>
  <c r="P3643" i="49"/>
  <c r="P3503" i="49"/>
  <c r="M3503" i="49"/>
  <c r="G3503" i="49"/>
  <c r="P3647" i="49"/>
  <c r="M3647" i="49"/>
  <c r="G3647" i="49"/>
  <c r="P3739" i="49"/>
  <c r="M3739" i="49"/>
  <c r="G3739" i="49"/>
  <c r="G3227" i="49"/>
  <c r="P3227" i="49"/>
  <c r="M3227" i="49"/>
  <c r="P3375" i="49"/>
  <c r="M3375" i="49"/>
  <c r="G3375" i="49"/>
  <c r="M3370" i="49"/>
  <c r="P3370" i="49"/>
  <c r="G3370" i="49"/>
  <c r="M3294" i="49"/>
  <c r="G3294" i="49"/>
  <c r="P3294" i="49"/>
  <c r="M3378" i="49"/>
  <c r="P3378" i="49"/>
  <c r="G3378" i="49"/>
  <c r="P3325" i="49"/>
  <c r="M3325" i="49"/>
  <c r="G3325" i="49"/>
  <c r="M3185" i="49"/>
  <c r="G3185" i="49"/>
  <c r="P3185" i="49"/>
  <c r="P3284" i="49"/>
  <c r="M3284" i="49"/>
  <c r="G3284" i="49"/>
  <c r="P3446" i="49"/>
  <c r="M3446" i="49"/>
  <c r="G3446" i="49"/>
  <c r="P3302" i="49"/>
  <c r="G3302" i="49"/>
  <c r="M3302" i="49"/>
  <c r="M3203" i="49"/>
  <c r="G3203" i="49"/>
  <c r="P3203" i="49"/>
  <c r="M3330" i="49"/>
  <c r="G3330" i="49"/>
  <c r="P3330" i="49"/>
  <c r="G3190" i="49"/>
  <c r="P3190" i="49"/>
  <c r="M3190" i="49"/>
  <c r="G3267" i="49"/>
  <c r="M3267" i="49"/>
  <c r="P3267" i="49"/>
  <c r="G3377" i="49"/>
  <c r="M3377" i="49"/>
  <c r="P3377" i="49"/>
  <c r="M3472" i="49"/>
  <c r="P3472" i="49"/>
  <c r="G3472" i="49"/>
  <c r="P3260" i="49"/>
  <c r="M3260" i="49"/>
  <c r="G3260" i="49"/>
  <c r="G3360" i="49"/>
  <c r="M3360" i="49"/>
  <c r="P3360" i="49"/>
  <c r="G3390" i="49"/>
  <c r="P3390" i="49"/>
  <c r="M3390" i="49"/>
  <c r="P3256" i="49"/>
  <c r="M3256" i="49"/>
  <c r="G3256" i="49"/>
  <c r="P3328" i="49"/>
  <c r="G3328" i="49"/>
  <c r="M3328" i="49"/>
  <c r="G3461" i="49"/>
  <c r="M3461" i="49"/>
  <c r="P3461" i="49"/>
  <c r="G3469" i="49"/>
  <c r="P3469" i="49"/>
  <c r="M3469" i="49"/>
  <c r="P3464" i="49"/>
  <c r="M3464" i="49"/>
  <c r="G3464" i="49"/>
  <c r="M3072" i="49"/>
  <c r="P3072" i="49"/>
  <c r="G3072" i="49"/>
  <c r="M2941" i="49"/>
  <c r="G2941" i="49"/>
  <c r="P2941" i="49"/>
  <c r="M2971" i="49"/>
  <c r="G2971" i="49"/>
  <c r="P2971" i="49"/>
  <c r="P2966" i="49"/>
  <c r="G2966" i="49"/>
  <c r="M2966" i="49"/>
  <c r="G2927" i="49"/>
  <c r="P2927" i="49"/>
  <c r="M2927" i="49"/>
  <c r="M3111" i="49"/>
  <c r="P3111" i="49"/>
  <c r="G3111" i="49"/>
  <c r="M2946" i="49"/>
  <c r="P2946" i="49"/>
  <c r="G2946" i="49"/>
  <c r="M2958" i="49"/>
  <c r="P2958" i="49"/>
  <c r="G2958" i="49"/>
  <c r="G3113" i="49"/>
  <c r="P3113" i="49"/>
  <c r="M3113" i="49"/>
  <c r="G3053" i="49"/>
  <c r="M3053" i="49"/>
  <c r="P3053" i="49"/>
  <c r="P3062" i="49"/>
  <c r="M3062" i="49"/>
  <c r="G3062" i="49"/>
  <c r="M2976" i="49"/>
  <c r="P2976" i="49"/>
  <c r="G2976" i="49"/>
  <c r="P3086" i="49"/>
  <c r="M3086" i="49"/>
  <c r="G3086" i="49"/>
  <c r="M3078" i="49"/>
  <c r="P3078" i="49"/>
  <c r="G3078" i="49"/>
  <c r="G2973" i="49"/>
  <c r="M2973" i="49"/>
  <c r="P2973" i="49"/>
  <c r="M2961" i="49"/>
  <c r="G2961" i="49"/>
  <c r="P2961" i="49"/>
  <c r="M3063" i="49"/>
  <c r="G3063" i="49"/>
  <c r="P3063" i="49"/>
  <c r="P3181" i="49"/>
  <c r="M3181" i="49"/>
  <c r="G3181" i="49"/>
  <c r="P3087" i="49"/>
  <c r="M3087" i="49"/>
  <c r="G3087" i="49"/>
  <c r="G2896" i="49"/>
  <c r="P2896" i="49"/>
  <c r="M2896" i="49"/>
  <c r="M2968" i="49"/>
  <c r="G2968" i="49"/>
  <c r="P2968" i="49"/>
  <c r="M3040" i="49"/>
  <c r="P3040" i="49"/>
  <c r="G3040" i="49"/>
  <c r="P3112" i="49"/>
  <c r="M3112" i="49"/>
  <c r="G3112" i="49"/>
  <c r="P3177" i="49"/>
  <c r="M3177" i="49"/>
  <c r="G3177" i="49"/>
  <c r="P2484" i="49"/>
  <c r="M2484" i="49"/>
  <c r="G2484" i="49"/>
  <c r="M2409" i="49"/>
  <c r="G2409" i="49"/>
  <c r="P2409" i="49"/>
  <c r="M2319" i="49"/>
  <c r="P2319" i="49"/>
  <c r="G2319" i="49"/>
  <c r="P2340" i="49"/>
  <c r="M2340" i="49"/>
  <c r="G2340" i="49"/>
  <c r="M2578" i="49"/>
  <c r="G2578" i="49"/>
  <c r="P2578" i="49"/>
  <c r="P2471" i="49"/>
  <c r="M2471" i="49"/>
  <c r="G2471" i="49"/>
  <c r="P2568" i="49"/>
  <c r="G2568" i="49"/>
  <c r="M2568" i="49"/>
  <c r="G2462" i="49"/>
  <c r="P2462" i="49"/>
  <c r="M2462" i="49"/>
  <c r="P2538" i="49"/>
  <c r="M2538" i="49"/>
  <c r="G2538" i="49"/>
  <c r="P2466" i="49"/>
  <c r="M2466" i="49"/>
  <c r="G2466" i="49"/>
  <c r="G2318" i="49"/>
  <c r="P2318" i="49"/>
  <c r="M2318" i="49"/>
  <c r="M2542" i="49"/>
  <c r="G2542" i="49"/>
  <c r="P2542" i="49"/>
  <c r="M2421" i="49"/>
  <c r="G2421" i="49"/>
  <c r="P2421" i="49"/>
  <c r="P2561" i="49"/>
  <c r="M2561" i="49"/>
  <c r="G2561" i="49"/>
  <c r="G2522" i="49"/>
  <c r="M2522" i="49"/>
  <c r="P2522" i="49"/>
  <c r="M2358" i="49"/>
  <c r="G2358" i="49"/>
  <c r="P2358" i="49"/>
  <c r="M2470" i="49"/>
  <c r="G2470" i="49"/>
  <c r="P2470" i="49"/>
  <c r="M2348" i="49"/>
  <c r="G2348" i="49"/>
  <c r="P2348" i="49"/>
  <c r="G2420" i="49"/>
  <c r="M2420" i="49"/>
  <c r="P2420" i="49"/>
  <c r="M2487" i="49"/>
  <c r="P2487" i="49"/>
  <c r="G2487" i="49"/>
  <c r="M2559" i="49"/>
  <c r="P2559" i="49"/>
  <c r="G2559" i="49"/>
  <c r="P2395" i="49"/>
  <c r="M2395" i="49"/>
  <c r="G2395" i="49"/>
  <c r="P2467" i="49"/>
  <c r="G2467" i="49"/>
  <c r="M2467" i="49"/>
  <c r="P2539" i="49"/>
  <c r="G2539" i="49"/>
  <c r="M2539" i="49"/>
  <c r="P1271" i="49"/>
  <c r="M1271" i="49"/>
  <c r="G1271" i="49"/>
  <c r="P1471" i="49"/>
  <c r="M1471" i="49"/>
  <c r="G1471" i="49"/>
  <c r="P1525" i="49"/>
  <c r="M1525" i="49"/>
  <c r="G1525" i="49"/>
  <c r="M1516" i="49"/>
  <c r="P1516" i="49"/>
  <c r="G1516" i="49"/>
  <c r="P1578" i="49"/>
  <c r="M1578" i="49"/>
  <c r="G1578" i="49"/>
  <c r="P1487" i="49"/>
  <c r="M1487" i="49"/>
  <c r="G1487" i="49"/>
  <c r="G1587" i="49"/>
  <c r="M1587" i="49"/>
  <c r="P1587" i="49"/>
  <c r="P1488" i="49"/>
  <c r="G1488" i="49"/>
  <c r="M1488" i="49"/>
  <c r="P1698" i="49"/>
  <c r="G1698" i="49"/>
  <c r="M1698" i="49"/>
  <c r="P1626" i="49"/>
  <c r="M1626" i="49"/>
  <c r="G1626" i="49"/>
  <c r="G1563" i="49"/>
  <c r="M1563" i="49"/>
  <c r="P1563" i="49"/>
  <c r="G1481" i="49"/>
  <c r="P1481" i="49"/>
  <c r="M1481" i="49"/>
  <c r="G1659" i="49"/>
  <c r="M1659" i="49"/>
  <c r="P1659" i="49"/>
  <c r="P1572" i="49"/>
  <c r="G1572" i="49"/>
  <c r="M1572" i="49"/>
  <c r="P1531" i="49"/>
  <c r="M1531" i="49"/>
  <c r="G1531" i="49"/>
  <c r="G1673" i="49"/>
  <c r="P1673" i="49"/>
  <c r="M1673" i="49"/>
  <c r="G1575" i="49"/>
  <c r="P1575" i="49"/>
  <c r="M1575" i="49"/>
  <c r="P1669" i="49"/>
  <c r="M1669" i="49"/>
  <c r="G1669" i="49"/>
  <c r="P1666" i="49"/>
  <c r="G1666" i="49"/>
  <c r="M1666" i="49"/>
  <c r="G1713" i="49"/>
  <c r="P1713" i="49"/>
  <c r="M1713" i="49"/>
  <c r="G1738" i="49"/>
  <c r="P1738" i="49"/>
  <c r="M1738" i="49"/>
  <c r="M1520" i="49"/>
  <c r="G1520" i="49"/>
  <c r="P1520" i="49"/>
  <c r="G1592" i="49"/>
  <c r="P1592" i="49"/>
  <c r="M1592" i="49"/>
  <c r="M1664" i="49"/>
  <c r="G1664" i="49"/>
  <c r="P1664" i="49"/>
  <c r="P1736" i="49"/>
  <c r="M1736" i="49"/>
  <c r="G1736" i="49"/>
  <c r="P1313" i="49"/>
  <c r="M1313" i="49"/>
  <c r="G1313" i="49"/>
  <c r="G1449" i="49"/>
  <c r="P1449" i="49"/>
  <c r="M1449" i="49"/>
  <c r="P1344" i="49"/>
  <c r="G1344" i="49"/>
  <c r="M1344" i="49"/>
  <c r="P1182" i="49"/>
  <c r="M1182" i="49"/>
  <c r="G1182" i="49"/>
  <c r="P1360" i="49"/>
  <c r="G1360" i="49"/>
  <c r="M1360" i="49"/>
  <c r="G1203" i="49"/>
  <c r="P1203" i="49"/>
  <c r="M1203" i="49"/>
  <c r="M1162" i="49"/>
  <c r="G1162" i="49"/>
  <c r="P1162" i="49"/>
  <c r="P1204" i="49"/>
  <c r="G1204" i="49"/>
  <c r="M1204" i="49"/>
  <c r="P1187" i="49"/>
  <c r="G1187" i="49"/>
  <c r="M1187" i="49"/>
  <c r="P1416" i="49"/>
  <c r="M1416" i="49"/>
  <c r="G1416" i="49"/>
  <c r="M1384" i="49"/>
  <c r="G1384" i="49"/>
  <c r="P1384" i="49"/>
  <c r="P1350" i="49"/>
  <c r="G1350" i="49"/>
  <c r="M1350" i="49"/>
  <c r="P1176" i="49"/>
  <c r="G1176" i="49"/>
  <c r="M1176" i="49"/>
  <c r="G1354" i="49"/>
  <c r="P1354" i="49"/>
  <c r="M1354" i="49"/>
  <c r="P1218" i="49"/>
  <c r="G1218" i="49"/>
  <c r="M1218" i="49"/>
  <c r="G1396" i="49"/>
  <c r="M1396" i="49"/>
  <c r="P1396" i="49"/>
  <c r="M1277" i="49"/>
  <c r="G1277" i="49"/>
  <c r="P1277" i="49"/>
  <c r="M1175" i="49"/>
  <c r="P1175" i="49"/>
  <c r="G1175" i="49"/>
  <c r="G1353" i="49"/>
  <c r="P1353" i="49"/>
  <c r="M1353" i="49"/>
  <c r="M1190" i="49"/>
  <c r="P1190" i="49"/>
  <c r="G1190" i="49"/>
  <c r="M1262" i="49"/>
  <c r="G1262" i="49"/>
  <c r="P1262" i="49"/>
  <c r="M1334" i="49"/>
  <c r="P1334" i="49"/>
  <c r="G1334" i="49"/>
  <c r="M1406" i="49"/>
  <c r="G1406" i="49"/>
  <c r="P1406" i="49"/>
  <c r="P757" i="49"/>
  <c r="G757" i="49"/>
  <c r="M757" i="49"/>
  <c r="G610" i="49"/>
  <c r="M610" i="49"/>
  <c r="P610" i="49"/>
  <c r="G844" i="49"/>
  <c r="P844" i="49"/>
  <c r="M844" i="49"/>
  <c r="G664" i="49"/>
  <c r="P664" i="49"/>
  <c r="M664" i="49"/>
  <c r="P649" i="49"/>
  <c r="G649" i="49"/>
  <c r="M649" i="49"/>
  <c r="P751" i="49"/>
  <c r="M751" i="49"/>
  <c r="G751" i="49"/>
  <c r="P860" i="49"/>
  <c r="M860" i="49"/>
  <c r="G860" i="49"/>
  <c r="M689" i="49"/>
  <c r="G689" i="49"/>
  <c r="P689" i="49"/>
  <c r="M798" i="49"/>
  <c r="G798" i="49"/>
  <c r="P798" i="49"/>
  <c r="G634" i="49"/>
  <c r="P634" i="49"/>
  <c r="M634" i="49"/>
  <c r="G736" i="49"/>
  <c r="M736" i="49"/>
  <c r="P736" i="49"/>
  <c r="G838" i="49"/>
  <c r="M838" i="49"/>
  <c r="P838" i="49"/>
  <c r="G616" i="49"/>
  <c r="P616" i="49"/>
  <c r="M616" i="49"/>
  <c r="M701" i="49"/>
  <c r="G701" i="49"/>
  <c r="P701" i="49"/>
  <c r="M786" i="49"/>
  <c r="G786" i="49"/>
  <c r="P786" i="49"/>
  <c r="P871" i="49"/>
  <c r="G871" i="49"/>
  <c r="M871" i="49"/>
  <c r="G675" i="49"/>
  <c r="M675" i="49"/>
  <c r="P675" i="49"/>
  <c r="G747" i="49"/>
  <c r="P747" i="49"/>
  <c r="M747" i="49"/>
  <c r="G819" i="49"/>
  <c r="M819" i="49"/>
  <c r="P819" i="49"/>
  <c r="H469" i="49"/>
  <c r="M469" i="49"/>
  <c r="P469" i="49"/>
  <c r="G469" i="49"/>
  <c r="J41" i="1"/>
  <c r="P1259" i="49"/>
  <c r="P1367" i="49"/>
  <c r="P1393" i="49"/>
  <c r="P1398" i="49"/>
  <c r="P1356" i="49"/>
  <c r="P1221" i="49"/>
  <c r="P1251" i="49"/>
  <c r="H445" i="49"/>
  <c r="P445" i="49"/>
  <c r="M445" i="49"/>
  <c r="G445" i="49"/>
  <c r="M828" i="49"/>
  <c r="P828" i="49"/>
  <c r="G828" i="49"/>
  <c r="J553" i="49"/>
  <c r="Q553" i="49" s="1"/>
  <c r="P5121" i="49"/>
  <c r="M5121" i="49"/>
  <c r="G5121" i="49"/>
  <c r="P5141" i="49"/>
  <c r="G5141" i="49"/>
  <c r="M5141" i="49"/>
  <c r="E36" i="8"/>
  <c r="G72" i="16"/>
  <c r="H12" i="16"/>
  <c r="G44" i="16"/>
  <c r="G38" i="16"/>
  <c r="G34" i="16"/>
  <c r="G30" i="16"/>
  <c r="G16" i="16"/>
  <c r="G35" i="16"/>
  <c r="G31" i="16"/>
  <c r="G27" i="16"/>
  <c r="G17" i="16"/>
  <c r="G32" i="16"/>
  <c r="G14" i="16"/>
  <c r="G33" i="16"/>
  <c r="G15" i="16"/>
  <c r="G36" i="16"/>
  <c r="G28" i="16"/>
  <c r="G29" i="16"/>
  <c r="G37" i="16"/>
  <c r="G18" i="16"/>
  <c r="F19" i="29"/>
  <c r="E19" i="28"/>
  <c r="E39" i="25"/>
  <c r="M1086" i="49"/>
  <c r="P1086" i="49"/>
  <c r="G1086" i="49"/>
  <c r="P4624" i="49"/>
  <c r="M4624" i="49"/>
  <c r="G4624" i="49"/>
  <c r="G4531" i="49"/>
  <c r="P4531" i="49"/>
  <c r="M4531" i="49"/>
  <c r="M2671" i="49"/>
  <c r="G2671" i="49"/>
  <c r="P2671" i="49"/>
  <c r="G2783" i="49"/>
  <c r="P2783" i="49"/>
  <c r="M2783" i="49"/>
  <c r="H427" i="49"/>
  <c r="P427" i="49"/>
  <c r="M427" i="49"/>
  <c r="G427" i="49"/>
  <c r="P568" i="49"/>
  <c r="H568" i="49"/>
  <c r="M568" i="49"/>
  <c r="G568" i="49"/>
  <c r="P4358" i="49"/>
  <c r="G4358" i="49"/>
  <c r="M4358" i="49"/>
  <c r="M2826" i="49"/>
  <c r="G2826" i="49"/>
  <c r="P2826" i="49"/>
  <c r="M2880" i="49"/>
  <c r="P2880" i="49"/>
  <c r="G2880" i="49"/>
  <c r="M2732" i="49"/>
  <c r="P2732" i="49"/>
  <c r="G2732" i="49"/>
  <c r="P2827" i="49"/>
  <c r="G2827" i="49"/>
  <c r="M2827" i="49"/>
  <c r="M2734" i="49"/>
  <c r="P2734" i="49"/>
  <c r="G2734" i="49"/>
  <c r="G2871" i="49"/>
  <c r="P2871" i="49"/>
  <c r="M2871" i="49"/>
  <c r="M2802" i="49"/>
  <c r="P2802" i="49"/>
  <c r="G2802" i="49"/>
  <c r="G2878" i="49"/>
  <c r="P2878" i="49"/>
  <c r="M2878" i="49"/>
  <c r="G952" i="49"/>
  <c r="P952" i="49"/>
  <c r="M952" i="49"/>
  <c r="G1131" i="49"/>
  <c r="P1131" i="49"/>
  <c r="M1131" i="49"/>
  <c r="P979" i="49"/>
  <c r="G979" i="49"/>
  <c r="M979" i="49"/>
  <c r="P887" i="49"/>
  <c r="M887" i="49"/>
  <c r="G887" i="49"/>
  <c r="M875" i="49"/>
  <c r="P875" i="49"/>
  <c r="G875" i="49"/>
  <c r="G964" i="49"/>
  <c r="M964" i="49"/>
  <c r="P964" i="49"/>
  <c r="G970" i="49"/>
  <c r="M970" i="49"/>
  <c r="P970" i="49"/>
  <c r="P1055" i="49"/>
  <c r="M1055" i="49"/>
  <c r="G1055" i="49"/>
  <c r="M881" i="49"/>
  <c r="G881" i="49"/>
  <c r="P881" i="49"/>
  <c r="G891" i="49"/>
  <c r="P891" i="49"/>
  <c r="M891" i="49"/>
  <c r="M963" i="49"/>
  <c r="G963" i="49"/>
  <c r="P963" i="49"/>
  <c r="G1035" i="49"/>
  <c r="P1035" i="49"/>
  <c r="M1035" i="49"/>
  <c r="P1107" i="49"/>
  <c r="M1107" i="49"/>
  <c r="G1107" i="49"/>
  <c r="P1158" i="49"/>
  <c r="G1158" i="49"/>
  <c r="M1158" i="49"/>
  <c r="G766" i="49"/>
  <c r="P766" i="49"/>
  <c r="M766" i="49"/>
  <c r="M2115" i="49"/>
  <c r="G2115" i="49"/>
  <c r="P2115" i="49"/>
  <c r="M2050" i="49"/>
  <c r="G2050" i="49"/>
  <c r="P2050" i="49"/>
  <c r="M2223" i="49"/>
  <c r="G2223" i="49"/>
  <c r="P2223" i="49"/>
  <c r="G2232" i="49"/>
  <c r="P2232" i="49"/>
  <c r="M2232" i="49"/>
  <c r="G1909" i="49"/>
  <c r="P1909" i="49"/>
  <c r="M1909" i="49"/>
  <c r="M1816" i="49"/>
  <c r="G1816" i="49"/>
  <c r="P1816" i="49"/>
  <c r="P1916" i="49"/>
  <c r="M1916" i="49"/>
  <c r="G1916" i="49"/>
  <c r="M458" i="49"/>
  <c r="P458" i="49"/>
  <c r="H458" i="49"/>
  <c r="G458" i="49"/>
  <c r="P299" i="49"/>
  <c r="M299" i="49"/>
  <c r="H299" i="49"/>
  <c r="G299" i="49"/>
  <c r="P538" i="49"/>
  <c r="M538" i="49"/>
  <c r="H538" i="49"/>
  <c r="G538" i="49"/>
  <c r="H325" i="49"/>
  <c r="G325" i="49"/>
  <c r="P325" i="49"/>
  <c r="M325" i="49"/>
  <c r="P354" i="49"/>
  <c r="M354" i="49"/>
  <c r="H354" i="49"/>
  <c r="G354" i="49"/>
  <c r="J392" i="49"/>
  <c r="Q392" i="49" s="1"/>
  <c r="G5066" i="49"/>
  <c r="P5066" i="49"/>
  <c r="M5066" i="49"/>
  <c r="G5082" i="49"/>
  <c r="P5082" i="49"/>
  <c r="M5082" i="49"/>
  <c r="G4741" i="49"/>
  <c r="P4741" i="49"/>
  <c r="M4741" i="49"/>
  <c r="P1051" i="49"/>
  <c r="G1051" i="49"/>
  <c r="M1051" i="49"/>
  <c r="M2625" i="49"/>
  <c r="G2625" i="49"/>
  <c r="P2625" i="49"/>
  <c r="M2696" i="49"/>
  <c r="P2696" i="49"/>
  <c r="G2696" i="49"/>
  <c r="M2645" i="49"/>
  <c r="P2645" i="49"/>
  <c r="G2645" i="49"/>
  <c r="P2834" i="49"/>
  <c r="G2834" i="49"/>
  <c r="M2834" i="49"/>
  <c r="G2881" i="49"/>
  <c r="P2881" i="49"/>
  <c r="M2881" i="49"/>
  <c r="G2884" i="49"/>
  <c r="M2884" i="49"/>
  <c r="P2884" i="49"/>
  <c r="P998" i="49"/>
  <c r="G998" i="49"/>
  <c r="M998" i="49"/>
  <c r="P1093" i="49"/>
  <c r="M1093" i="49"/>
  <c r="G1093" i="49"/>
  <c r="G1052" i="49"/>
  <c r="M1052" i="49"/>
  <c r="P1052" i="49"/>
  <c r="G1143" i="49"/>
  <c r="M1143" i="49"/>
  <c r="P1143" i="49"/>
  <c r="P884" i="49"/>
  <c r="M884" i="49"/>
  <c r="G884" i="49"/>
  <c r="P969" i="49"/>
  <c r="M969" i="49"/>
  <c r="G969" i="49"/>
  <c r="P1041" i="49"/>
  <c r="M1041" i="49"/>
  <c r="G1041" i="49"/>
  <c r="M1130" i="49"/>
  <c r="G1130" i="49"/>
  <c r="P1130" i="49"/>
  <c r="P1744" i="49"/>
  <c r="G1744" i="49"/>
  <c r="M1744" i="49"/>
  <c r="M494" i="49"/>
  <c r="H494" i="49"/>
  <c r="G494" i="49"/>
  <c r="P494" i="49"/>
  <c r="G459" i="49"/>
  <c r="H459" i="49"/>
  <c r="P459" i="49"/>
  <c r="M459" i="49"/>
  <c r="G575" i="49"/>
  <c r="M575" i="49"/>
  <c r="P575" i="49"/>
  <c r="H575" i="49"/>
  <c r="P360" i="49"/>
  <c r="G360" i="49"/>
  <c r="H360" i="49"/>
  <c r="M360" i="49"/>
  <c r="P471" i="49"/>
  <c r="H471" i="49"/>
  <c r="G471" i="49"/>
  <c r="M471" i="49"/>
  <c r="P581" i="49"/>
  <c r="H581" i="49"/>
  <c r="G581" i="49"/>
  <c r="M581" i="49"/>
  <c r="P1758" i="49"/>
  <c r="M1758" i="49"/>
  <c r="G1758" i="49"/>
  <c r="G5040" i="49"/>
  <c r="M5040" i="49"/>
  <c r="P5040" i="49"/>
  <c r="M2643" i="49"/>
  <c r="P2643" i="49"/>
  <c r="G2643" i="49"/>
  <c r="G2664" i="49"/>
  <c r="P2664" i="49"/>
  <c r="M2664" i="49"/>
  <c r="P1157" i="49"/>
  <c r="G1157" i="49"/>
  <c r="M1157" i="49"/>
  <c r="G892" i="49"/>
  <c r="M892" i="49"/>
  <c r="P892" i="49"/>
  <c r="M983" i="49"/>
  <c r="G983" i="49"/>
  <c r="P983" i="49"/>
  <c r="P975" i="49"/>
  <c r="G975" i="49"/>
  <c r="M975" i="49"/>
  <c r="P1136" i="49"/>
  <c r="M1136" i="49"/>
  <c r="G1136" i="49"/>
  <c r="M1040" i="49"/>
  <c r="P1040" i="49"/>
  <c r="G1040" i="49"/>
  <c r="G3899" i="49"/>
  <c r="P3899" i="49"/>
  <c r="M3899" i="49"/>
  <c r="G3827" i="49"/>
  <c r="M3827" i="49"/>
  <c r="P3827" i="49"/>
  <c r="G3815" i="49"/>
  <c r="M3815" i="49"/>
  <c r="P3815" i="49"/>
  <c r="P3967" i="49"/>
  <c r="M3967" i="49"/>
  <c r="G3967" i="49"/>
  <c r="M3876" i="49"/>
  <c r="G3876" i="49"/>
  <c r="P3876" i="49"/>
  <c r="M3939" i="49"/>
  <c r="G3939" i="49"/>
  <c r="P3939" i="49"/>
  <c r="M4047" i="49"/>
  <c r="P4047" i="49"/>
  <c r="G4047" i="49"/>
  <c r="M3790" i="49"/>
  <c r="G3790" i="49"/>
  <c r="P3790" i="49"/>
  <c r="P3934" i="49"/>
  <c r="M3934" i="49"/>
  <c r="G3934" i="49"/>
  <c r="P328" i="49"/>
  <c r="G328" i="49"/>
  <c r="M328" i="49"/>
  <c r="H328" i="49"/>
  <c r="P2184" i="49"/>
  <c r="M2184" i="49"/>
  <c r="G2184" i="49"/>
  <c r="M2096" i="49"/>
  <c r="P2096" i="49"/>
  <c r="G2096" i="49"/>
  <c r="M2063" i="49"/>
  <c r="G2063" i="49"/>
  <c r="P2063" i="49"/>
  <c r="P2136" i="49"/>
  <c r="G2136" i="49"/>
  <c r="M2136" i="49"/>
  <c r="M2075" i="49"/>
  <c r="P2075" i="49"/>
  <c r="G2075" i="49"/>
  <c r="P2228" i="49"/>
  <c r="M2228" i="49"/>
  <c r="G2228" i="49"/>
  <c r="M1900" i="49"/>
  <c r="P1900" i="49"/>
  <c r="G1900" i="49"/>
  <c r="M1828" i="49"/>
  <c r="P1828" i="49"/>
  <c r="G1828" i="49"/>
  <c r="P1827" i="49"/>
  <c r="M1827" i="49"/>
  <c r="G1827" i="49"/>
  <c r="M1963" i="49"/>
  <c r="G1963" i="49"/>
  <c r="P1963" i="49"/>
  <c r="M1871" i="49"/>
  <c r="G1871" i="49"/>
  <c r="P1871" i="49"/>
  <c r="P1782" i="49"/>
  <c r="M1782" i="49"/>
  <c r="G1782" i="49"/>
  <c r="M1750" i="49"/>
  <c r="P1750" i="49"/>
  <c r="G1750" i="49"/>
  <c r="P1814" i="49"/>
  <c r="M1814" i="49"/>
  <c r="G1814" i="49"/>
  <c r="P1584" i="49"/>
  <c r="M1584" i="49"/>
  <c r="G1584" i="49"/>
  <c r="G1461" i="49"/>
  <c r="M1461" i="49"/>
  <c r="P1461" i="49"/>
  <c r="G1489" i="49"/>
  <c r="P1489" i="49"/>
  <c r="M1489" i="49"/>
  <c r="G1725" i="49"/>
  <c r="P1725" i="49"/>
  <c r="M1725" i="49"/>
  <c r="G1562" i="49"/>
  <c r="P1562" i="49"/>
  <c r="M1562" i="49"/>
  <c r="P1237" i="49"/>
  <c r="M1237" i="49"/>
  <c r="G1237" i="49"/>
  <c r="G1275" i="49"/>
  <c r="P1275" i="49"/>
  <c r="M1275" i="49"/>
  <c r="M1376" i="49"/>
  <c r="P1376" i="49"/>
  <c r="G1376" i="49"/>
  <c r="M368" i="49"/>
  <c r="H368" i="49"/>
  <c r="G368" i="49"/>
  <c r="P368" i="49"/>
  <c r="H511" i="49"/>
  <c r="M511" i="49"/>
  <c r="G511" i="49"/>
  <c r="P511" i="49"/>
  <c r="M434" i="49"/>
  <c r="H434" i="49"/>
  <c r="G434" i="49"/>
  <c r="P434" i="49"/>
  <c r="M488" i="49"/>
  <c r="P488" i="49"/>
  <c r="H488" i="49"/>
  <c r="G488" i="49"/>
  <c r="P823" i="49"/>
  <c r="M823" i="49"/>
  <c r="G823" i="49"/>
  <c r="G4933" i="49"/>
  <c r="P4933" i="49"/>
  <c r="M4933" i="49"/>
  <c r="G5009" i="49"/>
  <c r="M5009" i="49"/>
  <c r="P5009" i="49"/>
  <c r="F32" i="8"/>
  <c r="M2636" i="49"/>
  <c r="P2636" i="49"/>
  <c r="G2636" i="49"/>
  <c r="P2698" i="49"/>
  <c r="M2698" i="49"/>
  <c r="G2698" i="49"/>
  <c r="G2700" i="49"/>
  <c r="P2700" i="49"/>
  <c r="M2700" i="49"/>
  <c r="G2777" i="49"/>
  <c r="M2777" i="49"/>
  <c r="P2777" i="49"/>
  <c r="P2824" i="49"/>
  <c r="M2824" i="49"/>
  <c r="G2824" i="49"/>
  <c r="P1037" i="49"/>
  <c r="G1037" i="49"/>
  <c r="M1037" i="49"/>
  <c r="M981" i="49"/>
  <c r="P981" i="49"/>
  <c r="G981" i="49"/>
  <c r="P4009" i="49"/>
  <c r="M4009" i="49"/>
  <c r="G4009" i="49"/>
  <c r="P3812" i="49"/>
  <c r="M3812" i="49"/>
  <c r="G3812" i="49"/>
  <c r="G3868" i="49"/>
  <c r="M3868" i="49"/>
  <c r="P3868" i="49"/>
  <c r="P2103" i="49"/>
  <c r="M2103" i="49"/>
  <c r="G2103" i="49"/>
  <c r="M2297" i="49"/>
  <c r="G2297" i="49"/>
  <c r="P2297" i="49"/>
  <c r="M2296" i="49"/>
  <c r="P2296" i="49"/>
  <c r="G2296" i="49"/>
  <c r="M2072" i="49"/>
  <c r="G2072" i="49"/>
  <c r="P2072" i="49"/>
  <c r="M1906" i="49"/>
  <c r="P1906" i="49"/>
  <c r="G1906" i="49"/>
  <c r="M1847" i="49"/>
  <c r="G1847" i="49"/>
  <c r="P1847" i="49"/>
  <c r="M1888" i="49"/>
  <c r="G1888" i="49"/>
  <c r="P1888" i="49"/>
  <c r="P1878" i="49"/>
  <c r="M1878" i="49"/>
  <c r="G1878" i="49"/>
  <c r="P1975" i="49"/>
  <c r="M1975" i="49"/>
  <c r="G1975" i="49"/>
  <c r="M1884" i="49"/>
  <c r="P1884" i="49"/>
  <c r="G1884" i="49"/>
  <c r="M2018" i="49"/>
  <c r="G2018" i="49"/>
  <c r="P2018" i="49"/>
  <c r="P1494" i="49"/>
  <c r="G1494" i="49"/>
  <c r="M1494" i="49"/>
  <c r="G1715" i="49"/>
  <c r="M1715" i="49"/>
  <c r="P1715" i="49"/>
  <c r="G1503" i="49"/>
  <c r="M1503" i="49"/>
  <c r="P1503" i="49"/>
  <c r="G1731" i="49"/>
  <c r="P1731" i="49"/>
  <c r="M1731" i="49"/>
  <c r="M1351" i="49"/>
  <c r="P1351" i="49"/>
  <c r="G1351" i="49"/>
  <c r="P845" i="49"/>
  <c r="M845" i="49"/>
  <c r="G845" i="49"/>
  <c r="M4517" i="49"/>
  <c r="P4517" i="49"/>
  <c r="G4517" i="49"/>
  <c r="M4484" i="49"/>
  <c r="G4484" i="49"/>
  <c r="P4484" i="49"/>
  <c r="P4472" i="49"/>
  <c r="M4472" i="49"/>
  <c r="G4472" i="49"/>
  <c r="P4541" i="49"/>
  <c r="M4541" i="49"/>
  <c r="G4541" i="49"/>
  <c r="P4504" i="49"/>
  <c r="M4504" i="49"/>
  <c r="G4504" i="49"/>
  <c r="M4461" i="49"/>
  <c r="G4461" i="49"/>
  <c r="P4461" i="49"/>
  <c r="P4598" i="49"/>
  <c r="M4598" i="49"/>
  <c r="G4598" i="49"/>
  <c r="P4387" i="49"/>
  <c r="M4387" i="49"/>
  <c r="G4387" i="49"/>
  <c r="P4428" i="49"/>
  <c r="G4428" i="49"/>
  <c r="M4428" i="49"/>
  <c r="M4415" i="49"/>
  <c r="P4415" i="49"/>
  <c r="G4415" i="49"/>
  <c r="P4393" i="49"/>
  <c r="G4393" i="49"/>
  <c r="M4393" i="49"/>
  <c r="M4481" i="49"/>
  <c r="G4481" i="49"/>
  <c r="P4481" i="49"/>
  <c r="M4384" i="49"/>
  <c r="G4384" i="49"/>
  <c r="P4384" i="49"/>
  <c r="P4475" i="49"/>
  <c r="M4475" i="49"/>
  <c r="G4475" i="49"/>
  <c r="P4341" i="49"/>
  <c r="M4341" i="49"/>
  <c r="G4341" i="49"/>
  <c r="G4413" i="49"/>
  <c r="P4413" i="49"/>
  <c r="M4413" i="49"/>
  <c r="G4490" i="49"/>
  <c r="M4490" i="49"/>
  <c r="P4490" i="49"/>
  <c r="P4568" i="49"/>
  <c r="M4568" i="49"/>
  <c r="G4568" i="49"/>
  <c r="P4394" i="49"/>
  <c r="M4394" i="49"/>
  <c r="G4394" i="49"/>
  <c r="M4473" i="49"/>
  <c r="P4473" i="49"/>
  <c r="G4473" i="49"/>
  <c r="P4558" i="49"/>
  <c r="M4558" i="49"/>
  <c r="G4558" i="49"/>
  <c r="G4500" i="49"/>
  <c r="P4500" i="49"/>
  <c r="M4500" i="49"/>
  <c r="M4573" i="49"/>
  <c r="G4573" i="49"/>
  <c r="P4573" i="49"/>
  <c r="P4595" i="49"/>
  <c r="M4595" i="49"/>
  <c r="G4595" i="49"/>
  <c r="M2612" i="49"/>
  <c r="P2612" i="49"/>
  <c r="G2612" i="49"/>
  <c r="M2790" i="49"/>
  <c r="G2790" i="49"/>
  <c r="P2790" i="49"/>
  <c r="G2687" i="49"/>
  <c r="M2687" i="49"/>
  <c r="P2687" i="49"/>
  <c r="M2660" i="49"/>
  <c r="P2660" i="49"/>
  <c r="G2660" i="49"/>
  <c r="G2873" i="49"/>
  <c r="P2873" i="49"/>
  <c r="M2873" i="49"/>
  <c r="P2725" i="49"/>
  <c r="G2725" i="49"/>
  <c r="M2725" i="49"/>
  <c r="P2722" i="49"/>
  <c r="M2722" i="49"/>
  <c r="G2722" i="49"/>
  <c r="G2741" i="49"/>
  <c r="P2741" i="49"/>
  <c r="M2741" i="49"/>
  <c r="P2833" i="49"/>
  <c r="M2833" i="49"/>
  <c r="G2833" i="49"/>
  <c r="G2759" i="49"/>
  <c r="P2759" i="49"/>
  <c r="M2759" i="49"/>
  <c r="G2831" i="49"/>
  <c r="P2831" i="49"/>
  <c r="M2831" i="49"/>
  <c r="M2701" i="49"/>
  <c r="G2701" i="49"/>
  <c r="P2701" i="49"/>
  <c r="P2768" i="49"/>
  <c r="G2768" i="49"/>
  <c r="M2768" i="49"/>
  <c r="P2889" i="49"/>
  <c r="G2889" i="49"/>
  <c r="M2889" i="49"/>
  <c r="G2801" i="49"/>
  <c r="P2801" i="49"/>
  <c r="M2801" i="49"/>
  <c r="G2641" i="49"/>
  <c r="M2641" i="49"/>
  <c r="P2641" i="49"/>
  <c r="P2634" i="49"/>
  <c r="G2634" i="49"/>
  <c r="M2634" i="49"/>
  <c r="P2810" i="49"/>
  <c r="G2810" i="49"/>
  <c r="M2810" i="49"/>
  <c r="M2760" i="49"/>
  <c r="G2760" i="49"/>
  <c r="P2760" i="49"/>
  <c r="G2845" i="49"/>
  <c r="P2845" i="49"/>
  <c r="M2845" i="49"/>
  <c r="P2769" i="49"/>
  <c r="M2769" i="49"/>
  <c r="G2769" i="49"/>
  <c r="G2861" i="49"/>
  <c r="P2861" i="49"/>
  <c r="M2861" i="49"/>
  <c r="G2782" i="49"/>
  <c r="P2782" i="49"/>
  <c r="M2782" i="49"/>
  <c r="P2854" i="49"/>
  <c r="M2854" i="49"/>
  <c r="G2854" i="49"/>
  <c r="M971" i="49"/>
  <c r="G971" i="49"/>
  <c r="P971" i="49"/>
  <c r="G802" i="49"/>
  <c r="P802" i="49"/>
  <c r="M802" i="49"/>
  <c r="M435" i="49"/>
  <c r="H435" i="49"/>
  <c r="G435" i="49"/>
  <c r="P435" i="49"/>
  <c r="P3600" i="49"/>
  <c r="M3600" i="49"/>
  <c r="G3600" i="49"/>
  <c r="M3646" i="49"/>
  <c r="P3646" i="49"/>
  <c r="G3646" i="49"/>
  <c r="M3649" i="49"/>
  <c r="G3649" i="49"/>
  <c r="P3649" i="49"/>
  <c r="M3543" i="49"/>
  <c r="G3543" i="49"/>
  <c r="P3543" i="49"/>
  <c r="P3629" i="49"/>
  <c r="M3629" i="49"/>
  <c r="G3629" i="49"/>
  <c r="M3581" i="49"/>
  <c r="G3581" i="49"/>
  <c r="P3581" i="49"/>
  <c r="M3662" i="49"/>
  <c r="P3662" i="49"/>
  <c r="G3662" i="49"/>
  <c r="P3701" i="49"/>
  <c r="M3701" i="49"/>
  <c r="G3701" i="49"/>
  <c r="P3654" i="49"/>
  <c r="M3654" i="49"/>
  <c r="G3654" i="49"/>
  <c r="P3587" i="49"/>
  <c r="G3587" i="49"/>
  <c r="M3587" i="49"/>
  <c r="P3569" i="49"/>
  <c r="M3569" i="49"/>
  <c r="G3569" i="49"/>
  <c r="M3522" i="49"/>
  <c r="G3522" i="49"/>
  <c r="P3522" i="49"/>
  <c r="M3574" i="49"/>
  <c r="P3574" i="49"/>
  <c r="G3574" i="49"/>
  <c r="M3496" i="49"/>
  <c r="G3496" i="49"/>
  <c r="P3496" i="49"/>
  <c r="M3640" i="49"/>
  <c r="G3640" i="49"/>
  <c r="P3640" i="49"/>
  <c r="G3504" i="49"/>
  <c r="M3504" i="49"/>
  <c r="P3504" i="49"/>
  <c r="G3648" i="49"/>
  <c r="M3648" i="49"/>
  <c r="P3648" i="49"/>
  <c r="G3491" i="49"/>
  <c r="P3491" i="49"/>
  <c r="M3491" i="49"/>
  <c r="G3635" i="49"/>
  <c r="P3635" i="49"/>
  <c r="M3635" i="49"/>
  <c r="G3512" i="49"/>
  <c r="P3512" i="49"/>
  <c r="M3512" i="49"/>
  <c r="G3656" i="49"/>
  <c r="P3656" i="49"/>
  <c r="M3656" i="49"/>
  <c r="M3520" i="49"/>
  <c r="G3520" i="49"/>
  <c r="P3520" i="49"/>
  <c r="M3664" i="49"/>
  <c r="P3664" i="49"/>
  <c r="G3664" i="49"/>
  <c r="P3752" i="49"/>
  <c r="M3752" i="49"/>
  <c r="G3752" i="49"/>
  <c r="G3311" i="49"/>
  <c r="P3311" i="49"/>
  <c r="M3311" i="49"/>
  <c r="M3403" i="49"/>
  <c r="P3403" i="49"/>
  <c r="G3403" i="49"/>
  <c r="P3200" i="49"/>
  <c r="M3200" i="49"/>
  <c r="G3200" i="49"/>
  <c r="P3429" i="49"/>
  <c r="M3429" i="49"/>
  <c r="G3429" i="49"/>
  <c r="P3320" i="49"/>
  <c r="M3320" i="49"/>
  <c r="G3320" i="49"/>
  <c r="M3191" i="49"/>
  <c r="G3191" i="49"/>
  <c r="P3191" i="49"/>
  <c r="M3350" i="49"/>
  <c r="P3350" i="49"/>
  <c r="G3350" i="49"/>
  <c r="P3187" i="49"/>
  <c r="G3187" i="49"/>
  <c r="M3187" i="49"/>
  <c r="P3295" i="49"/>
  <c r="G3295" i="49"/>
  <c r="M3295" i="49"/>
  <c r="M3453" i="49"/>
  <c r="G3453" i="49"/>
  <c r="P3453" i="49"/>
  <c r="P3315" i="49"/>
  <c r="G3315" i="49"/>
  <c r="M3315" i="49"/>
  <c r="P3205" i="49"/>
  <c r="G3205" i="49"/>
  <c r="M3205" i="49"/>
  <c r="G3339" i="49"/>
  <c r="P3339" i="49"/>
  <c r="M3339" i="49"/>
  <c r="G3196" i="49"/>
  <c r="M3196" i="49"/>
  <c r="P3196" i="49"/>
  <c r="G3277" i="49"/>
  <c r="P3277" i="49"/>
  <c r="M3277" i="49"/>
  <c r="P3396" i="49"/>
  <c r="G3396" i="49"/>
  <c r="M3396" i="49"/>
  <c r="G3189" i="49"/>
  <c r="M3189" i="49"/>
  <c r="P3189" i="49"/>
  <c r="M3270" i="49"/>
  <c r="G3270" i="49"/>
  <c r="P3270" i="49"/>
  <c r="P3379" i="49"/>
  <c r="G3379" i="49"/>
  <c r="M3379" i="49"/>
  <c r="P3409" i="49"/>
  <c r="G3409" i="49"/>
  <c r="M3409" i="49"/>
  <c r="P3262" i="49"/>
  <c r="M3262" i="49"/>
  <c r="G3262" i="49"/>
  <c r="M3334" i="49"/>
  <c r="P3334" i="49"/>
  <c r="G3334" i="49"/>
  <c r="G3338" i="49"/>
  <c r="P3338" i="49"/>
  <c r="M3338" i="49"/>
  <c r="M3418" i="49"/>
  <c r="G3418" i="49"/>
  <c r="P3418" i="49"/>
  <c r="P3468" i="49"/>
  <c r="M3468" i="49"/>
  <c r="G3468" i="49"/>
  <c r="M2925" i="49"/>
  <c r="P2925" i="49"/>
  <c r="G2925" i="49"/>
  <c r="G2959" i="49"/>
  <c r="P2959" i="49"/>
  <c r="M2959" i="49"/>
  <c r="M2965" i="49"/>
  <c r="P2965" i="49"/>
  <c r="G2965" i="49"/>
  <c r="P2977" i="49"/>
  <c r="M2977" i="49"/>
  <c r="G2977" i="49"/>
  <c r="P2972" i="49"/>
  <c r="M2972" i="49"/>
  <c r="G2972" i="49"/>
  <c r="M3069" i="49"/>
  <c r="P3069" i="49"/>
  <c r="G3069" i="49"/>
  <c r="M3141" i="49"/>
  <c r="P3141" i="49"/>
  <c r="G3141" i="49"/>
  <c r="G2993" i="49"/>
  <c r="P2993" i="49"/>
  <c r="M2993" i="49"/>
  <c r="M2970" i="49"/>
  <c r="P2970" i="49"/>
  <c r="G2970" i="49"/>
  <c r="P3135" i="49"/>
  <c r="M3135" i="49"/>
  <c r="G3135" i="49"/>
  <c r="G3065" i="49"/>
  <c r="P3065" i="49"/>
  <c r="M3065" i="49"/>
  <c r="P3080" i="49"/>
  <c r="G3080" i="49"/>
  <c r="M3080" i="49"/>
  <c r="G2981" i="49"/>
  <c r="M2981" i="49"/>
  <c r="P2981" i="49"/>
  <c r="P3099" i="49"/>
  <c r="M3099" i="49"/>
  <c r="G3099" i="49"/>
  <c r="G3101" i="49"/>
  <c r="M3101" i="49"/>
  <c r="P3101" i="49"/>
  <c r="M3042" i="49"/>
  <c r="G3042" i="49"/>
  <c r="P3042" i="49"/>
  <c r="G2999" i="49"/>
  <c r="P2999" i="49"/>
  <c r="M2999" i="49"/>
  <c r="G3075" i="49"/>
  <c r="P3075" i="49"/>
  <c r="M3075" i="49"/>
  <c r="P2937" i="49"/>
  <c r="M2937" i="49"/>
  <c r="G2937" i="49"/>
  <c r="M3097" i="49"/>
  <c r="P3097" i="49"/>
  <c r="G3097" i="49"/>
  <c r="P2902" i="49"/>
  <c r="M2902" i="49"/>
  <c r="G2902" i="49"/>
  <c r="M2974" i="49"/>
  <c r="P2974" i="49"/>
  <c r="G2974" i="49"/>
  <c r="M3046" i="49"/>
  <c r="P3046" i="49"/>
  <c r="G3046" i="49"/>
  <c r="M3118" i="49"/>
  <c r="G3118" i="49"/>
  <c r="P3118" i="49"/>
  <c r="P3183" i="49"/>
  <c r="M3183" i="49"/>
  <c r="G3183" i="49"/>
  <c r="M2391" i="49"/>
  <c r="G2391" i="49"/>
  <c r="P2391" i="49"/>
  <c r="G2504" i="49"/>
  <c r="P2504" i="49"/>
  <c r="M2504" i="49"/>
  <c r="P2370" i="49"/>
  <c r="M2370" i="49"/>
  <c r="G2370" i="49"/>
  <c r="P2347" i="49"/>
  <c r="M2347" i="49"/>
  <c r="G2347" i="49"/>
  <c r="M2596" i="49"/>
  <c r="P2596" i="49"/>
  <c r="G2596" i="49"/>
  <c r="M2506" i="49"/>
  <c r="G2506" i="49"/>
  <c r="P2506" i="49"/>
  <c r="P2579" i="49"/>
  <c r="M2579" i="49"/>
  <c r="G2579" i="49"/>
  <c r="P2478" i="49"/>
  <c r="M2478" i="49"/>
  <c r="G2478" i="49"/>
  <c r="G2552" i="49"/>
  <c r="P2552" i="49"/>
  <c r="M2552" i="49"/>
  <c r="M2469" i="49"/>
  <c r="P2469" i="49"/>
  <c r="G2469" i="49"/>
  <c r="P2334" i="49"/>
  <c r="G2334" i="49"/>
  <c r="M2334" i="49"/>
  <c r="M2560" i="49"/>
  <c r="G2560" i="49"/>
  <c r="P2560" i="49"/>
  <c r="P2423" i="49"/>
  <c r="M2423" i="49"/>
  <c r="G2423" i="49"/>
  <c r="M2592" i="49"/>
  <c r="G2592" i="49"/>
  <c r="P2592" i="49"/>
  <c r="M2524" i="49"/>
  <c r="G2524" i="49"/>
  <c r="P2524" i="49"/>
  <c r="M2368" i="49"/>
  <c r="G2368" i="49"/>
  <c r="P2368" i="49"/>
  <c r="M2472" i="49"/>
  <c r="G2472" i="49"/>
  <c r="P2472" i="49"/>
  <c r="G2502" i="49"/>
  <c r="P2502" i="49"/>
  <c r="M2502" i="49"/>
  <c r="G2438" i="49"/>
  <c r="M2438" i="49"/>
  <c r="P2438" i="49"/>
  <c r="M2493" i="49"/>
  <c r="G2493" i="49"/>
  <c r="P2493" i="49"/>
  <c r="M2565" i="49"/>
  <c r="G2565" i="49"/>
  <c r="P2565" i="49"/>
  <c r="M2401" i="49"/>
  <c r="P2401" i="49"/>
  <c r="G2401" i="49"/>
  <c r="M2473" i="49"/>
  <c r="P2473" i="49"/>
  <c r="G2473" i="49"/>
  <c r="P2545" i="49"/>
  <c r="G2545" i="49"/>
  <c r="M2545" i="49"/>
  <c r="M816" i="49"/>
  <c r="G816" i="49"/>
  <c r="P816" i="49"/>
  <c r="P631" i="49"/>
  <c r="G631" i="49"/>
  <c r="M631" i="49"/>
  <c r="P591" i="49"/>
  <c r="M591" i="49"/>
  <c r="G591" i="49"/>
  <c r="G806" i="49"/>
  <c r="P806" i="49"/>
  <c r="M806" i="49"/>
  <c r="M656" i="49"/>
  <c r="G656" i="49"/>
  <c r="P656" i="49"/>
  <c r="M758" i="49"/>
  <c r="G758" i="49"/>
  <c r="P758" i="49"/>
  <c r="P865" i="49"/>
  <c r="G865" i="49"/>
  <c r="M865" i="49"/>
  <c r="M696" i="49"/>
  <c r="P696" i="49"/>
  <c r="G696" i="49"/>
  <c r="G803" i="49"/>
  <c r="M803" i="49"/>
  <c r="P803" i="49"/>
  <c r="P641" i="49"/>
  <c r="M641" i="49"/>
  <c r="G641" i="49"/>
  <c r="P743" i="49"/>
  <c r="M743" i="49"/>
  <c r="G743" i="49"/>
  <c r="G850" i="49"/>
  <c r="P850" i="49"/>
  <c r="M850" i="49"/>
  <c r="P619" i="49"/>
  <c r="G619" i="49"/>
  <c r="M619" i="49"/>
  <c r="P704" i="49"/>
  <c r="M704" i="49"/>
  <c r="G704" i="49"/>
  <c r="G796" i="49"/>
  <c r="M796" i="49"/>
  <c r="P796" i="49"/>
  <c r="P609" i="49"/>
  <c r="M609" i="49"/>
  <c r="G609" i="49"/>
  <c r="P681" i="49"/>
  <c r="M681" i="49"/>
  <c r="G681" i="49"/>
  <c r="M753" i="49"/>
  <c r="G753" i="49"/>
  <c r="P753" i="49"/>
  <c r="P825" i="49"/>
  <c r="M825" i="49"/>
  <c r="G825" i="49"/>
  <c r="P381" i="49"/>
  <c r="H381" i="49"/>
  <c r="G381" i="49"/>
  <c r="M381" i="49"/>
  <c r="H447" i="49"/>
  <c r="G447" i="49"/>
  <c r="P447" i="49"/>
  <c r="M447" i="49"/>
  <c r="P370" i="49"/>
  <c r="G370" i="49"/>
  <c r="M370" i="49"/>
  <c r="H370" i="49"/>
  <c r="M804" i="49"/>
  <c r="P804" i="49"/>
  <c r="G804" i="49"/>
  <c r="J401" i="49"/>
  <c r="Q401" i="49" s="1"/>
  <c r="P4985" i="49"/>
  <c r="M4985" i="49"/>
  <c r="G4985" i="49"/>
  <c r="P5193" i="49"/>
  <c r="M5193" i="49"/>
  <c r="G5193" i="49"/>
  <c r="G5154" i="49"/>
  <c r="P5154" i="49"/>
  <c r="M5154" i="49"/>
  <c r="G5014" i="49"/>
  <c r="M5014" i="49"/>
  <c r="P5014" i="49"/>
  <c r="G5158" i="49"/>
  <c r="P5158" i="49"/>
  <c r="M5158" i="49"/>
  <c r="P4974" i="49"/>
  <c r="M4974" i="49"/>
  <c r="G4974" i="49"/>
  <c r="M5131" i="49"/>
  <c r="P5131" i="49"/>
  <c r="G5131" i="49"/>
  <c r="P5175" i="49"/>
  <c r="G5175" i="49"/>
  <c r="M5175" i="49"/>
  <c r="P5055" i="49"/>
  <c r="M5055" i="49"/>
  <c r="G5055" i="49"/>
  <c r="P5162" i="49"/>
  <c r="G5162" i="49"/>
  <c r="M5162" i="49"/>
  <c r="G5138" i="49"/>
  <c r="P5138" i="49"/>
  <c r="M5138" i="49"/>
  <c r="G5075" i="49"/>
  <c r="P5075" i="49"/>
  <c r="M5075" i="49"/>
  <c r="G5147" i="49"/>
  <c r="M5147" i="49"/>
  <c r="P5147" i="49"/>
  <c r="E44" i="8"/>
  <c r="Q500" i="49"/>
  <c r="J500" i="49"/>
  <c r="J536" i="49"/>
  <c r="Q536" i="49" s="1"/>
  <c r="F36" i="8"/>
  <c r="M4349" i="49"/>
  <c r="P4349" i="49"/>
  <c r="G4349" i="49"/>
  <c r="G4431" i="49"/>
  <c r="P4431" i="49"/>
  <c r="M4431" i="49"/>
  <c r="M2652" i="49"/>
  <c r="G2652" i="49"/>
  <c r="P2652" i="49"/>
  <c r="P2800" i="49"/>
  <c r="M2800" i="49"/>
  <c r="G2800" i="49"/>
  <c r="P450" i="49"/>
  <c r="H450" i="49"/>
  <c r="G450" i="49"/>
  <c r="M450" i="49"/>
  <c r="M4533" i="49"/>
  <c r="G4533" i="49"/>
  <c r="P4533" i="49"/>
  <c r="M1049" i="49"/>
  <c r="G1049" i="49"/>
  <c r="P1049" i="49"/>
  <c r="M2309" i="49"/>
  <c r="P2309" i="49"/>
  <c r="G2309" i="49"/>
  <c r="M2639" i="49"/>
  <c r="G2639" i="49"/>
  <c r="P2639" i="49"/>
  <c r="G2677" i="49"/>
  <c r="P2677" i="49"/>
  <c r="M2677" i="49"/>
  <c r="P1134" i="49"/>
  <c r="G1134" i="49"/>
  <c r="M1134" i="49"/>
  <c r="M2140" i="49"/>
  <c r="G2140" i="49"/>
  <c r="P2140" i="49"/>
  <c r="P2241" i="49"/>
  <c r="M2241" i="49"/>
  <c r="G2241" i="49"/>
  <c r="M2226" i="49"/>
  <c r="G2226" i="49"/>
  <c r="P2226" i="49"/>
  <c r="P2078" i="49"/>
  <c r="M2078" i="49"/>
  <c r="G2078" i="49"/>
  <c r="P1872" i="49"/>
  <c r="M1872" i="49"/>
  <c r="G1872" i="49"/>
  <c r="M1903" i="49"/>
  <c r="P1903" i="49"/>
  <c r="G1903" i="49"/>
  <c r="M1921" i="49"/>
  <c r="P1921" i="49"/>
  <c r="G1921" i="49"/>
  <c r="M1979" i="49"/>
  <c r="P1979" i="49"/>
  <c r="G1979" i="49"/>
  <c r="M1947" i="49"/>
  <c r="G1947" i="49"/>
  <c r="P1947" i="49"/>
  <c r="P1776" i="49"/>
  <c r="M1776" i="49"/>
  <c r="G1776" i="49"/>
  <c r="M1861" i="49"/>
  <c r="P1861" i="49"/>
  <c r="G1861" i="49"/>
  <c r="M1946" i="49"/>
  <c r="G1946" i="49"/>
  <c r="P1946" i="49"/>
  <c r="G1952" i="49"/>
  <c r="P1952" i="49"/>
  <c r="M1952" i="49"/>
  <c r="M2131" i="49"/>
  <c r="G2131" i="49"/>
  <c r="P2131" i="49"/>
  <c r="M2151" i="49"/>
  <c r="G2151" i="49"/>
  <c r="P2151" i="49"/>
  <c r="M2245" i="49"/>
  <c r="G2245" i="49"/>
  <c r="P2245" i="49"/>
  <c r="P1752" i="49"/>
  <c r="M1752" i="49"/>
  <c r="G1752" i="49"/>
  <c r="P2000" i="49"/>
  <c r="M2000" i="49"/>
  <c r="G2000" i="49"/>
  <c r="P1854" i="49"/>
  <c r="M1854" i="49"/>
  <c r="G1854" i="49"/>
  <c r="M1993" i="49"/>
  <c r="G1993" i="49"/>
  <c r="P1993" i="49"/>
  <c r="M1954" i="49"/>
  <c r="P1954" i="49"/>
  <c r="G1954" i="49"/>
  <c r="M1863" i="49"/>
  <c r="G1863" i="49"/>
  <c r="P1863" i="49"/>
  <c r="M1982" i="49"/>
  <c r="G1982" i="49"/>
  <c r="P1982" i="49"/>
  <c r="P1988" i="49"/>
  <c r="M1988" i="49"/>
  <c r="G1988" i="49"/>
  <c r="G1467" i="49"/>
  <c r="P1467" i="49"/>
  <c r="M1467" i="49"/>
  <c r="P1590" i="49"/>
  <c r="M1590" i="49"/>
  <c r="G1590" i="49"/>
  <c r="G1589" i="49"/>
  <c r="P1589" i="49"/>
  <c r="M1589" i="49"/>
  <c r="P1619" i="49"/>
  <c r="G1619" i="49"/>
  <c r="M1619" i="49"/>
  <c r="P1704" i="49"/>
  <c r="G1704" i="49"/>
  <c r="M1704" i="49"/>
  <c r="P1706" i="49"/>
  <c r="G1706" i="49"/>
  <c r="M1706" i="49"/>
  <c r="M1198" i="49"/>
  <c r="G1198" i="49"/>
  <c r="P1198" i="49"/>
  <c r="M1427" i="49"/>
  <c r="P1427" i="49"/>
  <c r="G1427" i="49"/>
  <c r="P1380" i="49"/>
  <c r="M1380" i="49"/>
  <c r="G1380" i="49"/>
  <c r="P1446" i="49"/>
  <c r="G1446" i="49"/>
  <c r="M1446" i="49"/>
  <c r="G5032" i="49"/>
  <c r="P5032" i="49"/>
  <c r="M5032" i="49"/>
  <c r="P4990" i="49"/>
  <c r="M4990" i="49"/>
  <c r="G4990" i="49"/>
  <c r="M2672" i="49"/>
  <c r="P2672" i="49"/>
  <c r="G2672" i="49"/>
  <c r="P2683" i="49"/>
  <c r="G2683" i="49"/>
  <c r="M2683" i="49"/>
  <c r="M2856" i="49"/>
  <c r="P2856" i="49"/>
  <c r="G2856" i="49"/>
  <c r="M2690" i="49"/>
  <c r="G2690" i="49"/>
  <c r="P2690" i="49"/>
  <c r="G2825" i="49"/>
  <c r="M2825" i="49"/>
  <c r="P2825" i="49"/>
  <c r="P883" i="49"/>
  <c r="M883" i="49"/>
  <c r="G883" i="49"/>
  <c r="G980" i="49"/>
  <c r="P980" i="49"/>
  <c r="M980" i="49"/>
  <c r="M1139" i="49"/>
  <c r="P1139" i="49"/>
  <c r="G1139" i="49"/>
  <c r="M548" i="49"/>
  <c r="H548" i="49"/>
  <c r="P548" i="49"/>
  <c r="G548" i="49"/>
  <c r="M3954" i="49"/>
  <c r="G3954" i="49"/>
  <c r="P3954" i="49"/>
  <c r="M3799" i="49"/>
  <c r="P3799" i="49"/>
  <c r="G3799" i="49"/>
  <c r="G3781" i="49"/>
  <c r="P3781" i="49"/>
  <c r="M3781" i="49"/>
  <c r="P4034" i="49"/>
  <c r="M4034" i="49"/>
  <c r="G4034" i="49"/>
  <c r="M3840" i="49"/>
  <c r="G3840" i="49"/>
  <c r="P3840" i="49"/>
  <c r="G3941" i="49"/>
  <c r="P3941" i="49"/>
  <c r="M3941" i="49"/>
  <c r="P3940" i="49"/>
  <c r="G3940" i="49"/>
  <c r="M3940" i="49"/>
  <c r="M2255" i="49"/>
  <c r="P2255" i="49"/>
  <c r="G2255" i="49"/>
  <c r="P1640" i="49"/>
  <c r="M1640" i="49"/>
  <c r="G1640" i="49"/>
  <c r="M4551" i="49"/>
  <c r="G4551" i="49"/>
  <c r="P4551" i="49"/>
  <c r="G4501" i="49"/>
  <c r="P4501" i="49"/>
  <c r="M4501" i="49"/>
  <c r="P4540" i="49"/>
  <c r="M4540" i="49"/>
  <c r="G4540" i="49"/>
  <c r="P4569" i="49"/>
  <c r="M4569" i="49"/>
  <c r="G4569" i="49"/>
  <c r="P4514" i="49"/>
  <c r="M4514" i="49"/>
  <c r="G4514" i="49"/>
  <c r="M4597" i="49"/>
  <c r="P4597" i="49"/>
  <c r="G4597" i="49"/>
  <c r="M4340" i="49"/>
  <c r="G4340" i="49"/>
  <c r="P4340" i="49"/>
  <c r="M4403" i="49"/>
  <c r="P4403" i="49"/>
  <c r="G4403" i="49"/>
  <c r="M4444" i="49"/>
  <c r="G4444" i="49"/>
  <c r="P4444" i="49"/>
  <c r="P4423" i="49"/>
  <c r="M4423" i="49"/>
  <c r="G4423" i="49"/>
  <c r="M4409" i="49"/>
  <c r="G4409" i="49"/>
  <c r="P4409" i="49"/>
  <c r="P4492" i="49"/>
  <c r="G4492" i="49"/>
  <c r="M4492" i="49"/>
  <c r="P4386" i="49"/>
  <c r="M4386" i="49"/>
  <c r="G4386" i="49"/>
  <c r="G4507" i="49"/>
  <c r="M4507" i="49"/>
  <c r="P4507" i="49"/>
  <c r="M4347" i="49"/>
  <c r="G4347" i="49"/>
  <c r="P4347" i="49"/>
  <c r="G4419" i="49"/>
  <c r="P4419" i="49"/>
  <c r="M4419" i="49"/>
  <c r="G4493" i="49"/>
  <c r="P4493" i="49"/>
  <c r="M4493" i="49"/>
  <c r="P4575" i="49"/>
  <c r="G4575" i="49"/>
  <c r="M4575" i="49"/>
  <c r="M4400" i="49"/>
  <c r="G4400" i="49"/>
  <c r="P4400" i="49"/>
  <c r="G4483" i="49"/>
  <c r="M4483" i="49"/>
  <c r="P4483" i="49"/>
  <c r="G4570" i="49"/>
  <c r="M4570" i="49"/>
  <c r="P4570" i="49"/>
  <c r="G4506" i="49"/>
  <c r="P4506" i="49"/>
  <c r="M4506" i="49"/>
  <c r="P4576" i="49"/>
  <c r="M4576" i="49"/>
  <c r="G4576" i="49"/>
  <c r="P4601" i="49"/>
  <c r="G4601" i="49"/>
  <c r="M4601" i="49"/>
  <c r="G778" i="49"/>
  <c r="P778" i="49"/>
  <c r="M778" i="49"/>
  <c r="P424" i="49"/>
  <c r="M424" i="49"/>
  <c r="G424" i="49"/>
  <c r="H424" i="49"/>
  <c r="M3691" i="49"/>
  <c r="G3691" i="49"/>
  <c r="P3691" i="49"/>
  <c r="M3624" i="49"/>
  <c r="P3624" i="49"/>
  <c r="G3624" i="49"/>
  <c r="P3741" i="49"/>
  <c r="M3741" i="49"/>
  <c r="G3741" i="49"/>
  <c r="M3712" i="49"/>
  <c r="P3712" i="49"/>
  <c r="G3712" i="49"/>
  <c r="P3637" i="49"/>
  <c r="M3637" i="49"/>
  <c r="G3637" i="49"/>
  <c r="P3638" i="49"/>
  <c r="M3638" i="49"/>
  <c r="G3638" i="49"/>
  <c r="M3590" i="49"/>
  <c r="G3590" i="49"/>
  <c r="P3590" i="49"/>
  <c r="M3717" i="49"/>
  <c r="G3717" i="49"/>
  <c r="P3717" i="49"/>
  <c r="M3745" i="49"/>
  <c r="P3745" i="49"/>
  <c r="G3745" i="49"/>
  <c r="P3663" i="49"/>
  <c r="M3663" i="49"/>
  <c r="G3663" i="49"/>
  <c r="P3596" i="49"/>
  <c r="G3596" i="49"/>
  <c r="M3596" i="49"/>
  <c r="P3578" i="49"/>
  <c r="M3578" i="49"/>
  <c r="G3578" i="49"/>
  <c r="P3531" i="49"/>
  <c r="M3531" i="49"/>
  <c r="G3531" i="49"/>
  <c r="M3594" i="49"/>
  <c r="G3594" i="49"/>
  <c r="P3594" i="49"/>
  <c r="M3513" i="49"/>
  <c r="G3513" i="49"/>
  <c r="P3513" i="49"/>
  <c r="M3657" i="49"/>
  <c r="G3657" i="49"/>
  <c r="P3657" i="49"/>
  <c r="G3521" i="49"/>
  <c r="P3521" i="49"/>
  <c r="M3521" i="49"/>
  <c r="G3665" i="49"/>
  <c r="P3665" i="49"/>
  <c r="M3665" i="49"/>
  <c r="M3508" i="49"/>
  <c r="G3508" i="49"/>
  <c r="P3508" i="49"/>
  <c r="M3652" i="49"/>
  <c r="G3652" i="49"/>
  <c r="P3652" i="49"/>
  <c r="P3516" i="49"/>
  <c r="M3516" i="49"/>
  <c r="G3516" i="49"/>
  <c r="P3660" i="49"/>
  <c r="M3660" i="49"/>
  <c r="G3660" i="49"/>
  <c r="P3537" i="49"/>
  <c r="M3537" i="49"/>
  <c r="G3537" i="49"/>
  <c r="M3681" i="49"/>
  <c r="G3681" i="49"/>
  <c r="P3681" i="49"/>
  <c r="G3756" i="49"/>
  <c r="P3756" i="49"/>
  <c r="M3756" i="49"/>
  <c r="M3318" i="49"/>
  <c r="P3318" i="49"/>
  <c r="G3318" i="49"/>
  <c r="G3419" i="49"/>
  <c r="P3419" i="49"/>
  <c r="M3419" i="49"/>
  <c r="M3288" i="49"/>
  <c r="P3288" i="49"/>
  <c r="G3288" i="49"/>
  <c r="P3193" i="49"/>
  <c r="M3193" i="49"/>
  <c r="G3193" i="49"/>
  <c r="M3324" i="49"/>
  <c r="P3324" i="49"/>
  <c r="G3324" i="49"/>
  <c r="M3204" i="49"/>
  <c r="P3204" i="49"/>
  <c r="G3204" i="49"/>
  <c r="M3365" i="49"/>
  <c r="P3365" i="49"/>
  <c r="G3365" i="49"/>
  <c r="M3192" i="49"/>
  <c r="P3192" i="49"/>
  <c r="G3192" i="49"/>
  <c r="M3297" i="49"/>
  <c r="G3297" i="49"/>
  <c r="P3297" i="49"/>
  <c r="M3210" i="49"/>
  <c r="G3210" i="49"/>
  <c r="P3210" i="49"/>
  <c r="P3353" i="49"/>
  <c r="M3353" i="49"/>
  <c r="G3353" i="49"/>
  <c r="M3222" i="49"/>
  <c r="G3222" i="49"/>
  <c r="P3222" i="49"/>
  <c r="M3358" i="49"/>
  <c r="G3358" i="49"/>
  <c r="P3358" i="49"/>
  <c r="G3202" i="49"/>
  <c r="P3202" i="49"/>
  <c r="M3202" i="49"/>
  <c r="G3287" i="49"/>
  <c r="M3287" i="49"/>
  <c r="P3287" i="49"/>
  <c r="M3399" i="49"/>
  <c r="G3399" i="49"/>
  <c r="P3399" i="49"/>
  <c r="P3195" i="49"/>
  <c r="M3195" i="49"/>
  <c r="G3195" i="49"/>
  <c r="P3273" i="49"/>
  <c r="G3273" i="49"/>
  <c r="M3273" i="49"/>
  <c r="M3382" i="49"/>
  <c r="G3382" i="49"/>
  <c r="P3382" i="49"/>
  <c r="P3416" i="49"/>
  <c r="M3416" i="49"/>
  <c r="G3416" i="49"/>
  <c r="M3268" i="49"/>
  <c r="P3268" i="49"/>
  <c r="G3268" i="49"/>
  <c r="G3351" i="49"/>
  <c r="P3351" i="49"/>
  <c r="M3351" i="49"/>
  <c r="P3342" i="49"/>
  <c r="M3342" i="49"/>
  <c r="G3342" i="49"/>
  <c r="G3435" i="49"/>
  <c r="P3435" i="49"/>
  <c r="M3435" i="49"/>
  <c r="M3067" i="49"/>
  <c r="P3067" i="49"/>
  <c r="G3067" i="49"/>
  <c r="P2984" i="49"/>
  <c r="M2984" i="49"/>
  <c r="G2984" i="49"/>
  <c r="P2989" i="49"/>
  <c r="M2989" i="49"/>
  <c r="G2989" i="49"/>
  <c r="M3001" i="49"/>
  <c r="P3001" i="49"/>
  <c r="G3001" i="49"/>
  <c r="P3019" i="49"/>
  <c r="M3019" i="49"/>
  <c r="G3019" i="49"/>
  <c r="G3081" i="49"/>
  <c r="P3081" i="49"/>
  <c r="M3081" i="49"/>
  <c r="P2895" i="49"/>
  <c r="M2895" i="49"/>
  <c r="G2895" i="49"/>
  <c r="G3005" i="49"/>
  <c r="P3005" i="49"/>
  <c r="M3005" i="49"/>
  <c r="P2979" i="49"/>
  <c r="M2979" i="49"/>
  <c r="G2979" i="49"/>
  <c r="P3139" i="49"/>
  <c r="G3139" i="49"/>
  <c r="M3139" i="49"/>
  <c r="P3074" i="49"/>
  <c r="M3074" i="49"/>
  <c r="G3074" i="49"/>
  <c r="M3150" i="49"/>
  <c r="G3150" i="49"/>
  <c r="P3150" i="49"/>
  <c r="M2988" i="49"/>
  <c r="P2988" i="49"/>
  <c r="G2988" i="49"/>
  <c r="G3131" i="49"/>
  <c r="M3131" i="49"/>
  <c r="P3131" i="49"/>
  <c r="M3114" i="49"/>
  <c r="G3114" i="49"/>
  <c r="P3114" i="49"/>
  <c r="P3068" i="49"/>
  <c r="G3068" i="49"/>
  <c r="M3068" i="49"/>
  <c r="G3011" i="49"/>
  <c r="P3011" i="49"/>
  <c r="M3011" i="49"/>
  <c r="G3095" i="49"/>
  <c r="M3095" i="49"/>
  <c r="P3095" i="49"/>
  <c r="M3006" i="49"/>
  <c r="G3006" i="49"/>
  <c r="P3006" i="49"/>
  <c r="G3107" i="49"/>
  <c r="M3107" i="49"/>
  <c r="P3107" i="49"/>
  <c r="P2908" i="49"/>
  <c r="M2908" i="49"/>
  <c r="G2908" i="49"/>
  <c r="G2980" i="49"/>
  <c r="M2980" i="49"/>
  <c r="P2980" i="49"/>
  <c r="M3052" i="49"/>
  <c r="G3052" i="49"/>
  <c r="P3052" i="49"/>
  <c r="M3124" i="49"/>
  <c r="P3124" i="49"/>
  <c r="G3124" i="49"/>
  <c r="G2492" i="49"/>
  <c r="M2492" i="49"/>
  <c r="P2492" i="49"/>
  <c r="G2540" i="49"/>
  <c r="P2540" i="49"/>
  <c r="M2540" i="49"/>
  <c r="M2464" i="49"/>
  <c r="P2464" i="49"/>
  <c r="G2464" i="49"/>
  <c r="P2360" i="49"/>
  <c r="M2360" i="49"/>
  <c r="G2360" i="49"/>
  <c r="M2359" i="49"/>
  <c r="G2359" i="49"/>
  <c r="P2359" i="49"/>
  <c r="M2536" i="49"/>
  <c r="G2536" i="49"/>
  <c r="P2536" i="49"/>
  <c r="P2605" i="49"/>
  <c r="G2605" i="49"/>
  <c r="M2605" i="49"/>
  <c r="M2488" i="49"/>
  <c r="G2488" i="49"/>
  <c r="P2488" i="49"/>
  <c r="P2556" i="49"/>
  <c r="G2556" i="49"/>
  <c r="M2556" i="49"/>
  <c r="M2327" i="49"/>
  <c r="P2327" i="49"/>
  <c r="G2327" i="49"/>
  <c r="M2336" i="49"/>
  <c r="G2336" i="49"/>
  <c r="P2336" i="49"/>
  <c r="M2339" i="49"/>
  <c r="G2339" i="49"/>
  <c r="P2339" i="49"/>
  <c r="M2439" i="49"/>
  <c r="G2439" i="49"/>
  <c r="P2439" i="49"/>
  <c r="M2325" i="49"/>
  <c r="G2325" i="49"/>
  <c r="P2325" i="49"/>
  <c r="P2555" i="49"/>
  <c r="M2555" i="49"/>
  <c r="G2555" i="49"/>
  <c r="M2380" i="49"/>
  <c r="G2380" i="49"/>
  <c r="P2380" i="49"/>
  <c r="M2508" i="49"/>
  <c r="G2508" i="49"/>
  <c r="P2508" i="49"/>
  <c r="G2510" i="49"/>
  <c r="M2510" i="49"/>
  <c r="P2510" i="49"/>
  <c r="G2456" i="49"/>
  <c r="P2456" i="49"/>
  <c r="M2456" i="49"/>
  <c r="M2499" i="49"/>
  <c r="P2499" i="49"/>
  <c r="G2499" i="49"/>
  <c r="M2571" i="49"/>
  <c r="P2571" i="49"/>
  <c r="G2571" i="49"/>
  <c r="M2407" i="49"/>
  <c r="G2407" i="49"/>
  <c r="P2407" i="49"/>
  <c r="P2479" i="49"/>
  <c r="M2479" i="49"/>
  <c r="G2479" i="49"/>
  <c r="P2551" i="49"/>
  <c r="M2551" i="49"/>
  <c r="G2551" i="49"/>
  <c r="M840" i="49"/>
  <c r="P840" i="49"/>
  <c r="G840" i="49"/>
  <c r="M666" i="49"/>
  <c r="P666" i="49"/>
  <c r="G666" i="49"/>
  <c r="P465" i="49"/>
  <c r="M465" i="49"/>
  <c r="G465" i="49"/>
  <c r="H465" i="49"/>
  <c r="P394" i="49"/>
  <c r="M394" i="49"/>
  <c r="G394" i="49"/>
  <c r="H394" i="49"/>
  <c r="H421" i="49"/>
  <c r="G421" i="49"/>
  <c r="P421" i="49"/>
  <c r="M421" i="49"/>
  <c r="G549" i="49"/>
  <c r="P549" i="49"/>
  <c r="H549" i="49"/>
  <c r="M549" i="49"/>
  <c r="P336" i="49"/>
  <c r="M336" i="49"/>
  <c r="G336" i="49"/>
  <c r="H336" i="49"/>
  <c r="P429" i="49"/>
  <c r="H429" i="49"/>
  <c r="M429" i="49"/>
  <c r="G429" i="49"/>
  <c r="H433" i="49"/>
  <c r="P433" i="49"/>
  <c r="G433" i="49"/>
  <c r="M433" i="49"/>
  <c r="G555" i="49"/>
  <c r="P555" i="49"/>
  <c r="M555" i="49"/>
  <c r="H555" i="49"/>
  <c r="H582" i="49"/>
  <c r="G582" i="49"/>
  <c r="M582" i="49"/>
  <c r="P582" i="49"/>
  <c r="G700" i="49"/>
  <c r="P700" i="49"/>
  <c r="M700" i="49"/>
  <c r="M780" i="49"/>
  <c r="G780" i="49"/>
  <c r="P780" i="49"/>
  <c r="J371" i="49"/>
  <c r="Q371" i="49" s="1"/>
  <c r="J43" i="1"/>
  <c r="P1804" i="49"/>
  <c r="P5198" i="49"/>
  <c r="M5198" i="49"/>
  <c r="G5198" i="49"/>
  <c r="P4948" i="49"/>
  <c r="M4948" i="49"/>
  <c r="G4948" i="49"/>
  <c r="G5164" i="49"/>
  <c r="P5164" i="49"/>
  <c r="M5164" i="49"/>
  <c r="P5187" i="49"/>
  <c r="G5187" i="49"/>
  <c r="M5187" i="49"/>
  <c r="M5176" i="49"/>
  <c r="P5176" i="49"/>
  <c r="G5176" i="49"/>
  <c r="G4995" i="49"/>
  <c r="M4995" i="49"/>
  <c r="P4995" i="49"/>
  <c r="P5018" i="49"/>
  <c r="M5018" i="49"/>
  <c r="G5018" i="49"/>
  <c r="P5163" i="49"/>
  <c r="M5163" i="49"/>
  <c r="G5163" i="49"/>
  <c r="P4980" i="49"/>
  <c r="M4980" i="49"/>
  <c r="G4980" i="49"/>
  <c r="G5136" i="49"/>
  <c r="P5136" i="49"/>
  <c r="M5136" i="49"/>
  <c r="P5185" i="49"/>
  <c r="G5185" i="49"/>
  <c r="M5185" i="49"/>
  <c r="P5060" i="49"/>
  <c r="M5060" i="49"/>
  <c r="G5060" i="49"/>
  <c r="P5197" i="49"/>
  <c r="M5197" i="49"/>
  <c r="G5197" i="49"/>
  <c r="P5155" i="49"/>
  <c r="M5155" i="49"/>
  <c r="G5155" i="49"/>
  <c r="J579" i="49"/>
  <c r="Q579" i="49" s="1"/>
  <c r="J409" i="49"/>
  <c r="Q409" i="49" s="1"/>
  <c r="E38" i="8"/>
  <c r="M4910" i="49"/>
  <c r="P4910" i="49"/>
  <c r="G4910" i="49"/>
  <c r="G4662" i="49"/>
  <c r="P4662" i="49"/>
  <c r="M4662" i="49"/>
  <c r="G4652" i="49"/>
  <c r="P4652" i="49"/>
  <c r="M4652" i="49"/>
  <c r="P4826" i="49"/>
  <c r="M4826" i="49"/>
  <c r="G4826" i="49"/>
  <c r="M4681" i="49"/>
  <c r="P4681" i="49"/>
  <c r="G4681" i="49"/>
  <c r="G4699" i="49"/>
  <c r="P4699" i="49"/>
  <c r="M4699" i="49"/>
  <c r="P4833" i="49"/>
  <c r="M4833" i="49"/>
  <c r="G4833" i="49"/>
  <c r="G4724" i="49"/>
  <c r="M4724" i="49"/>
  <c r="P4724" i="49"/>
  <c r="G4632" i="49"/>
  <c r="M4632" i="49"/>
  <c r="P4632" i="49"/>
  <c r="M4669" i="49"/>
  <c r="P4669" i="49"/>
  <c r="G4669" i="49"/>
  <c r="G4778" i="49"/>
  <c r="M4778" i="49"/>
  <c r="P4778" i="49"/>
  <c r="G4688" i="49"/>
  <c r="M4688" i="49"/>
  <c r="P4688" i="49"/>
  <c r="G4843" i="49"/>
  <c r="P4843" i="49"/>
  <c r="M4843" i="49"/>
  <c r="M4673" i="49"/>
  <c r="G4673" i="49"/>
  <c r="P4673" i="49"/>
  <c r="P4779" i="49"/>
  <c r="G4779" i="49"/>
  <c r="M4779" i="49"/>
  <c r="G4909" i="49"/>
  <c r="M4909" i="49"/>
  <c r="P4909" i="49"/>
  <c r="P4834" i="49"/>
  <c r="G4834" i="49"/>
  <c r="M4834" i="49"/>
  <c r="G4704" i="49"/>
  <c r="P4704" i="49"/>
  <c r="M4704" i="49"/>
  <c r="G4776" i="49"/>
  <c r="M4776" i="49"/>
  <c r="P4776" i="49"/>
  <c r="G4848" i="49"/>
  <c r="M4848" i="49"/>
  <c r="P4848" i="49"/>
  <c r="G4691" i="49"/>
  <c r="M4691" i="49"/>
  <c r="P4691" i="49"/>
  <c r="G4763" i="49"/>
  <c r="M4763" i="49"/>
  <c r="P4763" i="49"/>
  <c r="M4835" i="49"/>
  <c r="G4835" i="49"/>
  <c r="P4835" i="49"/>
  <c r="M4907" i="49"/>
  <c r="P4907" i="49"/>
  <c r="G4907" i="49"/>
  <c r="B36" i="14"/>
  <c r="J22" i="13"/>
  <c r="E22" i="13"/>
  <c r="H22" i="13"/>
  <c r="L22" i="13"/>
  <c r="G22" i="13"/>
  <c r="N22" i="13"/>
  <c r="F10" i="6" s="1"/>
  <c r="D22" i="13"/>
  <c r="K22" i="13"/>
  <c r="E10" i="6" s="1"/>
  <c r="F19" i="25"/>
  <c r="I106" i="14"/>
  <c r="F16" i="12"/>
  <c r="C16" i="12"/>
  <c r="C30" i="13"/>
  <c r="E16" i="12"/>
  <c r="D16" i="12"/>
  <c r="D18" i="5" s="1"/>
  <c r="F85" i="22"/>
  <c r="F79" i="22"/>
  <c r="I20" i="39"/>
  <c r="E2" i="25"/>
  <c r="I12" i="39"/>
  <c r="M4283" i="49"/>
  <c r="P4283" i="49"/>
  <c r="G4283" i="49"/>
  <c r="M4265" i="49"/>
  <c r="G4265" i="49"/>
  <c r="P4265" i="49"/>
  <c r="M4259" i="49"/>
  <c r="P4259" i="49"/>
  <c r="G4259" i="49"/>
  <c r="M4211" i="49"/>
  <c r="P4211" i="49"/>
  <c r="G4211" i="49"/>
  <c r="M4289" i="49"/>
  <c r="P4289" i="49"/>
  <c r="G4289" i="49"/>
  <c r="M4098" i="49"/>
  <c r="P4098" i="49"/>
  <c r="G4098" i="49"/>
  <c r="M4217" i="49"/>
  <c r="P4217" i="49"/>
  <c r="G4217" i="49"/>
  <c r="M4103" i="49"/>
  <c r="G4103" i="49"/>
  <c r="P4103" i="49"/>
  <c r="M4074" i="49"/>
  <c r="G4074" i="49"/>
  <c r="P4074" i="49"/>
  <c r="G4224" i="49"/>
  <c r="P4224" i="49"/>
  <c r="M4224" i="49"/>
  <c r="F33" i="8"/>
  <c r="E19" i="22"/>
  <c r="F39" i="26"/>
  <c r="G39" i="20"/>
  <c r="E26" i="13"/>
  <c r="N26" i="13"/>
  <c r="F14" i="6" s="1"/>
  <c r="L26" i="13"/>
  <c r="J26" i="13"/>
  <c r="G26" i="13"/>
  <c r="H26" i="13"/>
  <c r="K26" i="13"/>
  <c r="E14" i="6" s="1"/>
  <c r="B76" i="14"/>
  <c r="D26" i="13"/>
  <c r="I11" i="40"/>
  <c r="I24" i="39"/>
  <c r="H13" i="40"/>
  <c r="I19" i="39"/>
  <c r="I13" i="39"/>
  <c r="P4093" i="49"/>
  <c r="M4093" i="49"/>
  <c r="G4093" i="49"/>
  <c r="P4292" i="49"/>
  <c r="G4292" i="49"/>
  <c r="M4292" i="49"/>
  <c r="P4309" i="49"/>
  <c r="M4309" i="49"/>
  <c r="G4309" i="49"/>
  <c r="G4057" i="49"/>
  <c r="P4057" i="49"/>
  <c r="M4057" i="49"/>
  <c r="M4325" i="49"/>
  <c r="P4325" i="49"/>
  <c r="G4325" i="49"/>
  <c r="M4139" i="49"/>
  <c r="G4139" i="49"/>
  <c r="P4139" i="49"/>
  <c r="P4237" i="49"/>
  <c r="M4237" i="49"/>
  <c r="G4237" i="49"/>
  <c r="P4124" i="49"/>
  <c r="M4124" i="49"/>
  <c r="G4124" i="49"/>
  <c r="M4091" i="49"/>
  <c r="G4091" i="49"/>
  <c r="P4091" i="49"/>
  <c r="M4229" i="49"/>
  <c r="G4229" i="49"/>
  <c r="P4229" i="49"/>
  <c r="P4256" i="49"/>
  <c r="G4256" i="49"/>
  <c r="M4256" i="49"/>
  <c r="M4116" i="49"/>
  <c r="P4116" i="49"/>
  <c r="G4116" i="49"/>
  <c r="G4067" i="49"/>
  <c r="P4067" i="49"/>
  <c r="M4067" i="49"/>
  <c r="G4152" i="49"/>
  <c r="P4152" i="49"/>
  <c r="M4152" i="49"/>
  <c r="P4273" i="49"/>
  <c r="G4273" i="49"/>
  <c r="M4273" i="49"/>
  <c r="P4078" i="49"/>
  <c r="M4078" i="49"/>
  <c r="G4078" i="49"/>
  <c r="P4153" i="49"/>
  <c r="G4153" i="49"/>
  <c r="M4153" i="49"/>
  <c r="G4238" i="49"/>
  <c r="M4238" i="49"/>
  <c r="P4238" i="49"/>
  <c r="G4330" i="49"/>
  <c r="M4330" i="49"/>
  <c r="P4330" i="49"/>
  <c r="G4149" i="49"/>
  <c r="P4149" i="49"/>
  <c r="M4149" i="49"/>
  <c r="P4231" i="49"/>
  <c r="M4231" i="49"/>
  <c r="G4231" i="49"/>
  <c r="G4316" i="49"/>
  <c r="P4316" i="49"/>
  <c r="M4316" i="49"/>
  <c r="M4203" i="49"/>
  <c r="P4203" i="49"/>
  <c r="G4203" i="49"/>
  <c r="M4275" i="49"/>
  <c r="P4275" i="49"/>
  <c r="G4275" i="49"/>
  <c r="E15" i="12"/>
  <c r="C15" i="12"/>
  <c r="C29" i="13"/>
  <c r="F15" i="12"/>
  <c r="D15" i="12"/>
  <c r="D17" i="5" s="1"/>
  <c r="J21" i="40"/>
  <c r="P4641" i="49"/>
  <c r="G4641" i="49"/>
  <c r="M4641" i="49"/>
  <c r="G4759" i="49"/>
  <c r="P4759" i="49"/>
  <c r="M4759" i="49"/>
  <c r="P4822" i="49"/>
  <c r="M4822" i="49"/>
  <c r="G4822" i="49"/>
  <c r="P4671" i="49"/>
  <c r="G4671" i="49"/>
  <c r="M4671" i="49"/>
  <c r="G4636" i="49"/>
  <c r="P4636" i="49"/>
  <c r="M4636" i="49"/>
  <c r="P4738" i="49"/>
  <c r="G4738" i="49"/>
  <c r="M4738" i="49"/>
  <c r="G4644" i="49"/>
  <c r="M4644" i="49"/>
  <c r="P4644" i="49"/>
  <c r="G4855" i="49"/>
  <c r="M4855" i="49"/>
  <c r="P4855" i="49"/>
  <c r="G4747" i="49"/>
  <c r="M4747" i="49"/>
  <c r="P4747" i="49"/>
  <c r="G4686" i="49"/>
  <c r="M4686" i="49"/>
  <c r="P4686" i="49"/>
  <c r="G4682" i="49"/>
  <c r="P4682" i="49"/>
  <c r="M4682" i="49"/>
  <c r="P4791" i="49"/>
  <c r="G4791" i="49"/>
  <c r="M4791" i="49"/>
  <c r="P4736" i="49"/>
  <c r="M4736" i="49"/>
  <c r="G4736" i="49"/>
  <c r="P4856" i="49"/>
  <c r="G4856" i="49"/>
  <c r="M4856" i="49"/>
  <c r="G4685" i="49"/>
  <c r="P4685" i="49"/>
  <c r="M4685" i="49"/>
  <c r="P4792" i="49"/>
  <c r="G4792" i="49"/>
  <c r="M4792" i="49"/>
  <c r="G4879" i="49"/>
  <c r="M4879" i="49"/>
  <c r="P4879" i="49"/>
  <c r="P4857" i="49"/>
  <c r="M4857" i="49"/>
  <c r="G4857" i="49"/>
  <c r="G4716" i="49"/>
  <c r="P4716" i="49"/>
  <c r="M4716" i="49"/>
  <c r="G4788" i="49"/>
  <c r="P4788" i="49"/>
  <c r="M4788" i="49"/>
  <c r="G4860" i="49"/>
  <c r="P4860" i="49"/>
  <c r="M4860" i="49"/>
  <c r="G4703" i="49"/>
  <c r="M4703" i="49"/>
  <c r="P4703" i="49"/>
  <c r="P4775" i="49"/>
  <c r="M4775" i="49"/>
  <c r="G4775" i="49"/>
  <c r="G4847" i="49"/>
  <c r="P4847" i="49"/>
  <c r="M4847" i="49"/>
  <c r="E17" i="8"/>
  <c r="F15" i="40"/>
  <c r="F35" i="8"/>
  <c r="G39" i="30"/>
  <c r="F39" i="20"/>
  <c r="F37" i="8"/>
  <c r="E20" i="40"/>
  <c r="E39" i="31"/>
  <c r="H17" i="40"/>
  <c r="F39" i="27"/>
  <c r="D46" i="14"/>
  <c r="C46" i="14"/>
  <c r="I46" i="14"/>
  <c r="C107" i="14"/>
  <c r="Q29" i="13"/>
  <c r="R29" i="13" s="1"/>
  <c r="O29" i="13"/>
  <c r="I29" i="13"/>
  <c r="D106" i="14" s="1"/>
  <c r="C47" i="14"/>
  <c r="Q23" i="13"/>
  <c r="R23" i="13" s="1"/>
  <c r="I23" i="13"/>
  <c r="F46" i="14" s="1"/>
  <c r="O23" i="13"/>
  <c r="F9" i="12"/>
  <c r="C9" i="12"/>
  <c r="C23" i="13"/>
  <c r="D9" i="12"/>
  <c r="D11" i="5" s="1"/>
  <c r="E9" i="12"/>
  <c r="E11" i="40"/>
  <c r="I17" i="39"/>
  <c r="P4219" i="49"/>
  <c r="M4219" i="49"/>
  <c r="G4219" i="49"/>
  <c r="M4319" i="49"/>
  <c r="P4319" i="49"/>
  <c r="G4319" i="49"/>
  <c r="P4129" i="49"/>
  <c r="M4129" i="49"/>
  <c r="G4129" i="49"/>
  <c r="G4077" i="49"/>
  <c r="M4077" i="49"/>
  <c r="P4077" i="49"/>
  <c r="M4122" i="49"/>
  <c r="P4122" i="49"/>
  <c r="G4122" i="49"/>
  <c r="G4162" i="49"/>
  <c r="M4162" i="49"/>
  <c r="P4162" i="49"/>
  <c r="P4291" i="49"/>
  <c r="M4291" i="49"/>
  <c r="G4291" i="49"/>
  <c r="G4168" i="49"/>
  <c r="P4168" i="49"/>
  <c r="M4168" i="49"/>
  <c r="M4127" i="49"/>
  <c r="G4127" i="49"/>
  <c r="P4127" i="49"/>
  <c r="P4250" i="49"/>
  <c r="G4250" i="49"/>
  <c r="M4250" i="49"/>
  <c r="G4270" i="49"/>
  <c r="M4270" i="49"/>
  <c r="P4270" i="49"/>
  <c r="P4135" i="49"/>
  <c r="G4135" i="49"/>
  <c r="M4135" i="49"/>
  <c r="P4070" i="49"/>
  <c r="G4070" i="49"/>
  <c r="M4070" i="49"/>
  <c r="M4154" i="49"/>
  <c r="P4154" i="49"/>
  <c r="G4154" i="49"/>
  <c r="P4286" i="49"/>
  <c r="G4286" i="49"/>
  <c r="M4286" i="49"/>
  <c r="P4084" i="49"/>
  <c r="M4084" i="49"/>
  <c r="G4084" i="49"/>
  <c r="M4163" i="49"/>
  <c r="G4163" i="49"/>
  <c r="P4163" i="49"/>
  <c r="G4248" i="49"/>
  <c r="P4248" i="49"/>
  <c r="M4248" i="49"/>
  <c r="P4333" i="49"/>
  <c r="G4333" i="49"/>
  <c r="M4333" i="49"/>
  <c r="G4156" i="49"/>
  <c r="M4156" i="49"/>
  <c r="P4156" i="49"/>
  <c r="M4241" i="49"/>
  <c r="G4241" i="49"/>
  <c r="P4241" i="49"/>
  <c r="P4326" i="49"/>
  <c r="M4326" i="49"/>
  <c r="G4326" i="49"/>
  <c r="M4209" i="49"/>
  <c r="G4209" i="49"/>
  <c r="P4209" i="49"/>
  <c r="M4281" i="49"/>
  <c r="G4281" i="49"/>
  <c r="P4281" i="49"/>
  <c r="H20" i="40"/>
  <c r="E17" i="40"/>
  <c r="G85" i="26"/>
  <c r="G79" i="26"/>
  <c r="G82" i="26"/>
  <c r="G80" i="26"/>
  <c r="G37" i="21"/>
  <c r="G33" i="21"/>
  <c r="G29" i="21"/>
  <c r="G15" i="21"/>
  <c r="G44" i="21"/>
  <c r="G38" i="21"/>
  <c r="G34" i="21"/>
  <c r="G30" i="21"/>
  <c r="G16" i="21"/>
  <c r="G35" i="21"/>
  <c r="G28" i="21"/>
  <c r="G17" i="21"/>
  <c r="G72" i="21"/>
  <c r="G32" i="21"/>
  <c r="G27" i="21"/>
  <c r="G31" i="21"/>
  <c r="G36" i="21"/>
  <c r="H12" i="21"/>
  <c r="G14" i="21"/>
  <c r="G18" i="21"/>
  <c r="N30" i="13"/>
  <c r="F18" i="6" s="1"/>
  <c r="B116" i="14"/>
  <c r="J30" i="13"/>
  <c r="L30" i="13"/>
  <c r="K30" i="13"/>
  <c r="E18" i="6" s="1"/>
  <c r="H30" i="13"/>
  <c r="E30" i="13"/>
  <c r="D30" i="13"/>
  <c r="G30" i="13"/>
  <c r="E2" i="16"/>
  <c r="G27" i="15"/>
  <c r="H12" i="15"/>
  <c r="G38" i="15"/>
  <c r="G32" i="15"/>
  <c r="G18" i="15"/>
  <c r="G44" i="15"/>
  <c r="G36" i="15"/>
  <c r="G30" i="15"/>
  <c r="G16" i="15"/>
  <c r="G35" i="15"/>
  <c r="G17" i="15"/>
  <c r="G14" i="15"/>
  <c r="G37" i="15"/>
  <c r="G72" i="15"/>
  <c r="G28" i="15"/>
  <c r="G33" i="15"/>
  <c r="G15" i="15"/>
  <c r="G31" i="15"/>
  <c r="G29" i="15"/>
  <c r="G34" i="15"/>
  <c r="F39" i="15"/>
  <c r="I16" i="39"/>
  <c r="E32" i="8"/>
  <c r="H19" i="26"/>
  <c r="F79" i="19"/>
  <c r="F85" i="19"/>
  <c r="H37" i="17"/>
  <c r="H33" i="17"/>
  <c r="H29" i="17"/>
  <c r="H15" i="17"/>
  <c r="H72" i="17"/>
  <c r="I12" i="17"/>
  <c r="H44" i="17"/>
  <c r="H38" i="17"/>
  <c r="H34" i="17"/>
  <c r="H30" i="17"/>
  <c r="H16" i="17"/>
  <c r="H32" i="17"/>
  <c r="H14" i="17"/>
  <c r="H19" i="17" s="1"/>
  <c r="H35" i="17"/>
  <c r="H27" i="17"/>
  <c r="H17" i="17"/>
  <c r="H31" i="17"/>
  <c r="H36" i="17"/>
  <c r="H28" i="17"/>
  <c r="H18" i="17"/>
  <c r="M4268" i="49"/>
  <c r="G4268" i="49"/>
  <c r="P4268" i="49"/>
  <c r="M4298" i="49"/>
  <c r="P4298" i="49"/>
  <c r="G4298" i="49"/>
  <c r="P4081" i="49"/>
  <c r="M4081" i="49"/>
  <c r="G4081" i="49"/>
  <c r="P4220" i="49"/>
  <c r="M4220" i="49"/>
  <c r="G4220" i="49"/>
  <c r="G4240" i="49"/>
  <c r="P4240" i="49"/>
  <c r="M4240" i="49"/>
  <c r="M4226" i="49"/>
  <c r="P4226" i="49"/>
  <c r="G4226" i="49"/>
  <c r="P4177" i="49"/>
  <c r="M4177" i="49"/>
  <c r="G4177" i="49"/>
  <c r="M4242" i="49"/>
  <c r="G4242" i="49"/>
  <c r="P4242" i="49"/>
  <c r="G4252" i="49"/>
  <c r="M4252" i="49"/>
  <c r="P4252" i="49"/>
  <c r="P4087" i="49"/>
  <c r="G4087" i="49"/>
  <c r="M4087" i="49"/>
  <c r="P4111" i="49"/>
  <c r="M4111" i="49"/>
  <c r="G4111" i="49"/>
  <c r="M4187" i="49"/>
  <c r="P4187" i="49"/>
  <c r="G4187" i="49"/>
  <c r="M4092" i="49"/>
  <c r="P4092" i="49"/>
  <c r="G4092" i="49"/>
  <c r="G4210" i="49"/>
  <c r="P4210" i="49"/>
  <c r="M4210" i="49"/>
  <c r="M4056" i="49"/>
  <c r="G4056" i="49"/>
  <c r="P4056" i="49"/>
  <c r="G4102" i="49"/>
  <c r="P4102" i="49"/>
  <c r="M4102" i="49"/>
  <c r="G4186" i="49"/>
  <c r="M4186" i="49"/>
  <c r="P4186" i="49"/>
  <c r="M4271" i="49"/>
  <c r="G4271" i="49"/>
  <c r="P4271" i="49"/>
  <c r="G4101" i="49"/>
  <c r="M4101" i="49"/>
  <c r="P4101" i="49"/>
  <c r="M4172" i="49"/>
  <c r="G4172" i="49"/>
  <c r="P4172" i="49"/>
  <c r="G4264" i="49"/>
  <c r="M4264" i="49"/>
  <c r="P4264" i="49"/>
  <c r="P4155" i="49"/>
  <c r="G4155" i="49"/>
  <c r="M4155" i="49"/>
  <c r="P4227" i="49"/>
  <c r="M4227" i="49"/>
  <c r="G4227" i="49"/>
  <c r="P4299" i="49"/>
  <c r="G4299" i="49"/>
  <c r="M4299" i="49"/>
  <c r="M4378" i="49"/>
  <c r="G4378" i="49"/>
  <c r="P4378" i="49"/>
  <c r="P4508" i="49"/>
  <c r="M4508" i="49"/>
  <c r="G4508" i="49"/>
  <c r="P4434" i="49"/>
  <c r="M4434" i="49"/>
  <c r="G4434" i="49"/>
  <c r="M4355" i="49"/>
  <c r="P4355" i="49"/>
  <c r="G4355" i="49"/>
  <c r="G4489" i="49"/>
  <c r="P4489" i="49"/>
  <c r="M4489" i="49"/>
  <c r="M4372" i="49"/>
  <c r="G4372" i="49"/>
  <c r="P4372" i="49"/>
  <c r="G4471" i="49"/>
  <c r="M4471" i="49"/>
  <c r="P4471" i="49"/>
  <c r="P4405" i="49"/>
  <c r="M4405" i="49"/>
  <c r="G4405" i="49"/>
  <c r="M4457" i="49"/>
  <c r="P4457" i="49"/>
  <c r="G4457" i="49"/>
  <c r="G4590" i="49"/>
  <c r="P4590" i="49"/>
  <c r="M4590" i="49"/>
  <c r="G4584" i="49"/>
  <c r="M4584" i="49"/>
  <c r="P4584" i="49"/>
  <c r="M4445" i="49"/>
  <c r="G4445" i="49"/>
  <c r="P4445" i="49"/>
  <c r="G4561" i="49"/>
  <c r="M4561" i="49"/>
  <c r="P4561" i="49"/>
  <c r="P4422" i="49"/>
  <c r="M4422" i="49"/>
  <c r="G4422" i="49"/>
  <c r="P4544" i="49"/>
  <c r="M4544" i="49"/>
  <c r="G4544" i="49"/>
  <c r="G4371" i="49"/>
  <c r="M4371" i="49"/>
  <c r="P4371" i="49"/>
  <c r="G4443" i="49"/>
  <c r="M4443" i="49"/>
  <c r="P4443" i="49"/>
  <c r="G4526" i="49"/>
  <c r="P4526" i="49"/>
  <c r="M4526" i="49"/>
  <c r="M4594" i="49"/>
  <c r="G4594" i="49"/>
  <c r="P4594" i="49"/>
  <c r="P4424" i="49"/>
  <c r="M4424" i="49"/>
  <c r="G4424" i="49"/>
  <c r="M4509" i="49"/>
  <c r="G4509" i="49"/>
  <c r="P4509" i="49"/>
  <c r="M4627" i="49"/>
  <c r="P4627" i="49"/>
  <c r="G4627" i="49"/>
  <c r="M4530" i="49"/>
  <c r="P4530" i="49"/>
  <c r="G4530" i="49"/>
  <c r="M4609" i="49"/>
  <c r="P4609" i="49"/>
  <c r="G4609" i="49"/>
  <c r="G4625" i="49"/>
  <c r="P4625" i="49"/>
  <c r="M4625" i="49"/>
  <c r="P2662" i="49"/>
  <c r="M2662" i="49"/>
  <c r="G2662" i="49"/>
  <c r="G2651" i="49"/>
  <c r="P2651" i="49"/>
  <c r="M2651" i="49"/>
  <c r="G2771" i="49"/>
  <c r="P2771" i="49"/>
  <c r="M2771" i="49"/>
  <c r="P2852" i="49"/>
  <c r="G2852" i="49"/>
  <c r="M2852" i="49"/>
  <c r="P2719" i="49"/>
  <c r="M2719" i="49"/>
  <c r="G2719" i="49"/>
  <c r="P2640" i="49"/>
  <c r="M2640" i="49"/>
  <c r="G2640" i="49"/>
  <c r="P2633" i="49"/>
  <c r="M2633" i="49"/>
  <c r="G2633" i="49"/>
  <c r="M2675" i="49"/>
  <c r="G2675" i="49"/>
  <c r="P2675" i="49"/>
  <c r="M2673" i="49"/>
  <c r="P2673" i="49"/>
  <c r="G2673" i="49"/>
  <c r="P2695" i="49"/>
  <c r="M2695" i="49"/>
  <c r="G2695" i="49"/>
  <c r="P2745" i="49"/>
  <c r="G2745" i="49"/>
  <c r="M2745" i="49"/>
  <c r="M2668" i="49"/>
  <c r="P2668" i="49"/>
  <c r="G2668" i="49"/>
  <c r="M2742" i="49"/>
  <c r="P2742" i="49"/>
  <c r="G2742" i="49"/>
  <c r="P2863" i="49"/>
  <c r="G2863" i="49"/>
  <c r="M2863" i="49"/>
  <c r="G2726" i="49"/>
  <c r="P2726" i="49"/>
  <c r="M2726" i="49"/>
  <c r="P2853" i="49"/>
  <c r="G2853" i="49"/>
  <c r="M2853" i="49"/>
  <c r="P2693" i="49"/>
  <c r="M2693" i="49"/>
  <c r="G2693" i="49"/>
  <c r="M2784" i="49"/>
  <c r="P2784" i="49"/>
  <c r="G2784" i="49"/>
  <c r="G2733" i="49"/>
  <c r="P2733" i="49"/>
  <c r="M2733" i="49"/>
  <c r="G2819" i="49"/>
  <c r="P2819" i="49"/>
  <c r="M2819" i="49"/>
  <c r="P2743" i="49"/>
  <c r="M2743" i="49"/>
  <c r="G2743" i="49"/>
  <c r="P2828" i="49"/>
  <c r="M2828" i="49"/>
  <c r="G2828" i="49"/>
  <c r="P2758" i="49"/>
  <c r="G2758" i="49"/>
  <c r="M2758" i="49"/>
  <c r="P2830" i="49"/>
  <c r="M2830" i="49"/>
  <c r="G2830" i="49"/>
  <c r="M872" i="49"/>
  <c r="G872" i="49"/>
  <c r="P872" i="49"/>
  <c r="M1002" i="49"/>
  <c r="G1002" i="49"/>
  <c r="P1002" i="49"/>
  <c r="G946" i="49"/>
  <c r="P946" i="49"/>
  <c r="M946" i="49"/>
  <c r="P1067" i="49"/>
  <c r="M1067" i="49"/>
  <c r="G1067" i="49"/>
  <c r="G940" i="49"/>
  <c r="P940" i="49"/>
  <c r="M940" i="49"/>
  <c r="M1061" i="49"/>
  <c r="P1061" i="49"/>
  <c r="G1061" i="49"/>
  <c r="M1082" i="49"/>
  <c r="G1082" i="49"/>
  <c r="P1082" i="49"/>
  <c r="M918" i="49"/>
  <c r="G918" i="49"/>
  <c r="P918" i="49"/>
  <c r="P1003" i="49"/>
  <c r="G1003" i="49"/>
  <c r="M1003" i="49"/>
  <c r="G1088" i="49"/>
  <c r="M1088" i="49"/>
  <c r="P1088" i="49"/>
  <c r="M924" i="49"/>
  <c r="P924" i="49"/>
  <c r="G924" i="49"/>
  <c r="P1009" i="49"/>
  <c r="G1009" i="49"/>
  <c r="M1009" i="49"/>
  <c r="P1094" i="49"/>
  <c r="M1094" i="49"/>
  <c r="G1094" i="49"/>
  <c r="G1138" i="49"/>
  <c r="P1138" i="49"/>
  <c r="M1138" i="49"/>
  <c r="G927" i="49"/>
  <c r="M927" i="49"/>
  <c r="P927" i="49"/>
  <c r="P999" i="49"/>
  <c r="M999" i="49"/>
  <c r="G999" i="49"/>
  <c r="M1071" i="49"/>
  <c r="G1071" i="49"/>
  <c r="P1071" i="49"/>
  <c r="M1133" i="49"/>
  <c r="P1133" i="49"/>
  <c r="G1133" i="49"/>
  <c r="M1160" i="49"/>
  <c r="P1160" i="49"/>
  <c r="G1160" i="49"/>
  <c r="M882" i="49"/>
  <c r="G882" i="49"/>
  <c r="P882" i="49"/>
  <c r="G1018" i="49"/>
  <c r="P1018" i="49"/>
  <c r="M1018" i="49"/>
  <c r="P719" i="49"/>
  <c r="M719" i="49"/>
  <c r="G719" i="49"/>
  <c r="P389" i="49"/>
  <c r="M389" i="49"/>
  <c r="H389" i="49"/>
  <c r="G389" i="49"/>
  <c r="M3966" i="49"/>
  <c r="P3966" i="49"/>
  <c r="G3966" i="49"/>
  <c r="M3762" i="49"/>
  <c r="P3762" i="49"/>
  <c r="G3762" i="49"/>
  <c r="M4005" i="49"/>
  <c r="P4005" i="49"/>
  <c r="G4005" i="49"/>
  <c r="P3824" i="49"/>
  <c r="G3824" i="49"/>
  <c r="M3824" i="49"/>
  <c r="P3890" i="49"/>
  <c r="G3890" i="49"/>
  <c r="M3890" i="49"/>
  <c r="M4014" i="49"/>
  <c r="G4014" i="49"/>
  <c r="P4014" i="49"/>
  <c r="M3936" i="49"/>
  <c r="P3936" i="49"/>
  <c r="G3936" i="49"/>
  <c r="M4038" i="49"/>
  <c r="P4038" i="49"/>
  <c r="G4038" i="49"/>
  <c r="M4029" i="49"/>
  <c r="G4029" i="49"/>
  <c r="P4029" i="49"/>
  <c r="G3881" i="49"/>
  <c r="M3881" i="49"/>
  <c r="P3881" i="49"/>
  <c r="M3819" i="49"/>
  <c r="G3819" i="49"/>
  <c r="P3819" i="49"/>
  <c r="P3992" i="49"/>
  <c r="M3992" i="49"/>
  <c r="G3992" i="49"/>
  <c r="G3889" i="49"/>
  <c r="M3889" i="49"/>
  <c r="P3889" i="49"/>
  <c r="P3795" i="49"/>
  <c r="M3795" i="49"/>
  <c r="G3795" i="49"/>
  <c r="G3929" i="49"/>
  <c r="M3929" i="49"/>
  <c r="P3929" i="49"/>
  <c r="P4035" i="49"/>
  <c r="G4035" i="49"/>
  <c r="M4035" i="49"/>
  <c r="M3906" i="49"/>
  <c r="G3906" i="49"/>
  <c r="P3906" i="49"/>
  <c r="P4016" i="49"/>
  <c r="G4016" i="49"/>
  <c r="M4016" i="49"/>
  <c r="P3938" i="49"/>
  <c r="M3938" i="49"/>
  <c r="G3938" i="49"/>
  <c r="M4023" i="49"/>
  <c r="P4023" i="49"/>
  <c r="G4023" i="49"/>
  <c r="P3826" i="49"/>
  <c r="M3826" i="49"/>
  <c r="G3826" i="49"/>
  <c r="G3898" i="49"/>
  <c r="M3898" i="49"/>
  <c r="P3898" i="49"/>
  <c r="P3970" i="49"/>
  <c r="M3970" i="49"/>
  <c r="G3970" i="49"/>
  <c r="P4042" i="49"/>
  <c r="M4042" i="49"/>
  <c r="G4042" i="49"/>
  <c r="P3751" i="49"/>
  <c r="M3751" i="49"/>
  <c r="G3751" i="49"/>
  <c r="P3485" i="49"/>
  <c r="M3485" i="49"/>
  <c r="G3485" i="49"/>
  <c r="P3527" i="49"/>
  <c r="M3527" i="49"/>
  <c r="G3527" i="49"/>
  <c r="G3744" i="49"/>
  <c r="M3744" i="49"/>
  <c r="P3744" i="49"/>
  <c r="P3675" i="49"/>
  <c r="M3675" i="49"/>
  <c r="G3675" i="49"/>
  <c r="M3687" i="49"/>
  <c r="G3687" i="49"/>
  <c r="P3687" i="49"/>
  <c r="P3671" i="49"/>
  <c r="M3671" i="49"/>
  <c r="G3671" i="49"/>
  <c r="M3742" i="49"/>
  <c r="P3742" i="49"/>
  <c r="G3742" i="49"/>
  <c r="M3747" i="49"/>
  <c r="G3747" i="49"/>
  <c r="P3747" i="49"/>
  <c r="M3683" i="49"/>
  <c r="G3683" i="49"/>
  <c r="P3683" i="49"/>
  <c r="M3607" i="49"/>
  <c r="P3607" i="49"/>
  <c r="G3607" i="49"/>
  <c r="M3598" i="49"/>
  <c r="G3598" i="49"/>
  <c r="P3598" i="49"/>
  <c r="M3560" i="49"/>
  <c r="G3560" i="49"/>
  <c r="P3560" i="49"/>
  <c r="P3603" i="49"/>
  <c r="M3603" i="49"/>
  <c r="G3603" i="49"/>
  <c r="G3517" i="49"/>
  <c r="P3517" i="49"/>
  <c r="M3517" i="49"/>
  <c r="G3661" i="49"/>
  <c r="M3661" i="49"/>
  <c r="P3661" i="49"/>
  <c r="M3538" i="49"/>
  <c r="G3538" i="49"/>
  <c r="P3538" i="49"/>
  <c r="M3682" i="49"/>
  <c r="G3682" i="49"/>
  <c r="P3682" i="49"/>
  <c r="G3525" i="49"/>
  <c r="P3525" i="49"/>
  <c r="M3525" i="49"/>
  <c r="G3669" i="49"/>
  <c r="P3669" i="49"/>
  <c r="M3669" i="49"/>
  <c r="M3533" i="49"/>
  <c r="G3533" i="49"/>
  <c r="P3533" i="49"/>
  <c r="G3677" i="49"/>
  <c r="P3677" i="49"/>
  <c r="M3677" i="49"/>
  <c r="P3541" i="49"/>
  <c r="M3541" i="49"/>
  <c r="G3541" i="49"/>
  <c r="P3685" i="49"/>
  <c r="M3685" i="49"/>
  <c r="G3685" i="49"/>
  <c r="M3380" i="49"/>
  <c r="G3380" i="49"/>
  <c r="P3380" i="49"/>
  <c r="P3188" i="49"/>
  <c r="M3188" i="49"/>
  <c r="G3188" i="49"/>
  <c r="M3307" i="49"/>
  <c r="G3307" i="49"/>
  <c r="P3307" i="49"/>
  <c r="M3198" i="49"/>
  <c r="P3198" i="49"/>
  <c r="G3198" i="49"/>
  <c r="G3343" i="49"/>
  <c r="P3343" i="49"/>
  <c r="M3343" i="49"/>
  <c r="P3236" i="49"/>
  <c r="M3236" i="49"/>
  <c r="G3236" i="49"/>
  <c r="P3373" i="49"/>
  <c r="M3373" i="49"/>
  <c r="G3373" i="49"/>
  <c r="P3194" i="49"/>
  <c r="G3194" i="49"/>
  <c r="M3194" i="49"/>
  <c r="P3308" i="49"/>
  <c r="G3308" i="49"/>
  <c r="M3308" i="49"/>
  <c r="P3212" i="49"/>
  <c r="G3212" i="49"/>
  <c r="M3212" i="49"/>
  <c r="M3411" i="49"/>
  <c r="G3411" i="49"/>
  <c r="P3411" i="49"/>
  <c r="G3233" i="49"/>
  <c r="P3233" i="49"/>
  <c r="M3233" i="49"/>
  <c r="P3425" i="49"/>
  <c r="M3425" i="49"/>
  <c r="G3425" i="49"/>
  <c r="G3208" i="49"/>
  <c r="M3208" i="49"/>
  <c r="P3208" i="49"/>
  <c r="P3290" i="49"/>
  <c r="G3290" i="49"/>
  <c r="M3290" i="49"/>
  <c r="M3449" i="49"/>
  <c r="G3449" i="49"/>
  <c r="P3449" i="49"/>
  <c r="G3201" i="49"/>
  <c r="M3201" i="49"/>
  <c r="P3201" i="49"/>
  <c r="P3283" i="49"/>
  <c r="M3283" i="49"/>
  <c r="G3283" i="49"/>
  <c r="G3401" i="49"/>
  <c r="P3401" i="49"/>
  <c r="M3401" i="49"/>
  <c r="M3420" i="49"/>
  <c r="P3420" i="49"/>
  <c r="G3420" i="49"/>
  <c r="M3274" i="49"/>
  <c r="G3274" i="49"/>
  <c r="P3274" i="49"/>
  <c r="M3355" i="49"/>
  <c r="G3355" i="49"/>
  <c r="P3355" i="49"/>
  <c r="P3359" i="49"/>
  <c r="M3359" i="49"/>
  <c r="G3359" i="49"/>
  <c r="G3439" i="49"/>
  <c r="P3439" i="49"/>
  <c r="M3439" i="49"/>
  <c r="P3092" i="49"/>
  <c r="M3092" i="49"/>
  <c r="G3092" i="49"/>
  <c r="P3008" i="49"/>
  <c r="M3008" i="49"/>
  <c r="G3008" i="49"/>
  <c r="M3024" i="49"/>
  <c r="P3024" i="49"/>
  <c r="G3024" i="49"/>
  <c r="M3036" i="49"/>
  <c r="P3036" i="49"/>
  <c r="G3036" i="49"/>
  <c r="P3031" i="49"/>
  <c r="M3031" i="49"/>
  <c r="G3031" i="49"/>
  <c r="M3096" i="49"/>
  <c r="P3096" i="49"/>
  <c r="G3096" i="49"/>
  <c r="P2990" i="49"/>
  <c r="M2990" i="49"/>
  <c r="G2990" i="49"/>
  <c r="M3090" i="49"/>
  <c r="P3090" i="49"/>
  <c r="G3090" i="49"/>
  <c r="M2982" i="49"/>
  <c r="P2982" i="49"/>
  <c r="G2982" i="49"/>
  <c r="P3165" i="49"/>
  <c r="G3165" i="49"/>
  <c r="M3165" i="49"/>
  <c r="G3077" i="49"/>
  <c r="P3077" i="49"/>
  <c r="M3077" i="49"/>
  <c r="G3161" i="49"/>
  <c r="P3161" i="49"/>
  <c r="M3161" i="49"/>
  <c r="M2995" i="49"/>
  <c r="P2995" i="49"/>
  <c r="G2995" i="49"/>
  <c r="M3144" i="49"/>
  <c r="G3144" i="49"/>
  <c r="P3144" i="49"/>
  <c r="G3127" i="49"/>
  <c r="P3127" i="49"/>
  <c r="M3127" i="49"/>
  <c r="G2911" i="49"/>
  <c r="P2911" i="49"/>
  <c r="M2911" i="49"/>
  <c r="M3018" i="49"/>
  <c r="G3018" i="49"/>
  <c r="P3018" i="49"/>
  <c r="M3108" i="49"/>
  <c r="G3108" i="49"/>
  <c r="P3108" i="49"/>
  <c r="P3032" i="49"/>
  <c r="M3032" i="49"/>
  <c r="G3032" i="49"/>
  <c r="P3110" i="49"/>
  <c r="M3110" i="49"/>
  <c r="G3110" i="49"/>
  <c r="M2914" i="49"/>
  <c r="G2914" i="49"/>
  <c r="P2914" i="49"/>
  <c r="P2986" i="49"/>
  <c r="M2986" i="49"/>
  <c r="G2986" i="49"/>
  <c r="P3058" i="49"/>
  <c r="M3058" i="49"/>
  <c r="G3058" i="49"/>
  <c r="G3130" i="49"/>
  <c r="P3130" i="49"/>
  <c r="M3130" i="49"/>
  <c r="P2406" i="49"/>
  <c r="M2406" i="49"/>
  <c r="G2406" i="49"/>
  <c r="M2427" i="49"/>
  <c r="G2427" i="49"/>
  <c r="P2427" i="49"/>
  <c r="G2546" i="49"/>
  <c r="P2546" i="49"/>
  <c r="M2546" i="49"/>
  <c r="G2390" i="49"/>
  <c r="P2390" i="49"/>
  <c r="M2390" i="49"/>
  <c r="P2375" i="49"/>
  <c r="M2375" i="49"/>
  <c r="G2375" i="49"/>
  <c r="M2548" i="49"/>
  <c r="G2548" i="49"/>
  <c r="P2548" i="49"/>
  <c r="P2364" i="49"/>
  <c r="M2364" i="49"/>
  <c r="G2364" i="49"/>
  <c r="M2333" i="49"/>
  <c r="G2333" i="49"/>
  <c r="P2333" i="49"/>
  <c r="P2573" i="49"/>
  <c r="M2573" i="49"/>
  <c r="G2573" i="49"/>
  <c r="M2329" i="49"/>
  <c r="G2329" i="49"/>
  <c r="P2329" i="49"/>
  <c r="P2346" i="49"/>
  <c r="M2346" i="49"/>
  <c r="G2346" i="49"/>
  <c r="M2349" i="49"/>
  <c r="G2349" i="49"/>
  <c r="P2349" i="49"/>
  <c r="P2441" i="49"/>
  <c r="M2441" i="49"/>
  <c r="G2441" i="49"/>
  <c r="M2342" i="49"/>
  <c r="G2342" i="49"/>
  <c r="P2342" i="49"/>
  <c r="G2586" i="49"/>
  <c r="P2586" i="49"/>
  <c r="M2586" i="49"/>
  <c r="P2382" i="49"/>
  <c r="M2382" i="49"/>
  <c r="G2382" i="49"/>
  <c r="G2516" i="49"/>
  <c r="P2516" i="49"/>
  <c r="M2516" i="49"/>
  <c r="M2512" i="49"/>
  <c r="G2512" i="49"/>
  <c r="P2512" i="49"/>
  <c r="G2474" i="49"/>
  <c r="P2474" i="49"/>
  <c r="M2474" i="49"/>
  <c r="M2505" i="49"/>
  <c r="P2505" i="49"/>
  <c r="G2505" i="49"/>
  <c r="M2577" i="49"/>
  <c r="P2577" i="49"/>
  <c r="G2577" i="49"/>
  <c r="P2413" i="49"/>
  <c r="M2413" i="49"/>
  <c r="G2413" i="49"/>
  <c r="P2485" i="49"/>
  <c r="G2485" i="49"/>
  <c r="M2485" i="49"/>
  <c r="P2557" i="49"/>
  <c r="G2557" i="49"/>
  <c r="M2557" i="49"/>
  <c r="M624" i="49"/>
  <c r="P624" i="49"/>
  <c r="G624" i="49"/>
  <c r="M2043" i="49"/>
  <c r="G2043" i="49"/>
  <c r="P2043" i="49"/>
  <c r="P2070" i="49"/>
  <c r="M2070" i="49"/>
  <c r="G2070" i="49"/>
  <c r="M2191" i="49"/>
  <c r="P2191" i="49"/>
  <c r="G2191" i="49"/>
  <c r="M2194" i="49"/>
  <c r="G2194" i="49"/>
  <c r="P2194" i="49"/>
  <c r="M2261" i="49"/>
  <c r="G2261" i="49"/>
  <c r="P2261" i="49"/>
  <c r="M2168" i="49"/>
  <c r="P2168" i="49"/>
  <c r="G2168" i="49"/>
  <c r="P2208" i="49"/>
  <c r="M2208" i="49"/>
  <c r="G2208" i="49"/>
  <c r="M2029" i="49"/>
  <c r="P2029" i="49"/>
  <c r="G2029" i="49"/>
  <c r="P2172" i="49"/>
  <c r="M2172" i="49"/>
  <c r="G2172" i="49"/>
  <c r="M2119" i="49"/>
  <c r="G2119" i="49"/>
  <c r="P2119" i="49"/>
  <c r="M2176" i="49"/>
  <c r="G2176" i="49"/>
  <c r="P2176" i="49"/>
  <c r="M2279" i="49"/>
  <c r="G2279" i="49"/>
  <c r="P2279" i="49"/>
  <c r="P2244" i="49"/>
  <c r="G2244" i="49"/>
  <c r="M2244" i="49"/>
  <c r="P2185" i="49"/>
  <c r="G2185" i="49"/>
  <c r="M2185" i="49"/>
  <c r="M2073" i="49"/>
  <c r="P2073" i="49"/>
  <c r="G2073" i="49"/>
  <c r="P2205" i="49"/>
  <c r="M2205" i="49"/>
  <c r="G2205" i="49"/>
  <c r="M2177" i="49"/>
  <c r="G2177" i="49"/>
  <c r="P2177" i="49"/>
  <c r="M2262" i="49"/>
  <c r="G2262" i="49"/>
  <c r="P2262" i="49"/>
  <c r="M2180" i="49"/>
  <c r="G2180" i="49"/>
  <c r="P2180" i="49"/>
  <c r="P2101" i="49"/>
  <c r="G2101" i="49"/>
  <c r="M2101" i="49"/>
  <c r="M2193" i="49"/>
  <c r="G2193" i="49"/>
  <c r="P2193" i="49"/>
  <c r="M2278" i="49"/>
  <c r="P2278" i="49"/>
  <c r="G2278" i="49"/>
  <c r="P2258" i="49"/>
  <c r="M2258" i="49"/>
  <c r="G2258" i="49"/>
  <c r="G1775" i="49"/>
  <c r="P1775" i="49"/>
  <c r="M1775" i="49"/>
  <c r="P1770" i="49"/>
  <c r="G1770" i="49"/>
  <c r="M1770" i="49"/>
  <c r="M1834" i="49"/>
  <c r="G1834" i="49"/>
  <c r="P1834" i="49"/>
  <c r="M1997" i="49"/>
  <c r="P1997" i="49"/>
  <c r="G1997" i="49"/>
  <c r="M1895" i="49"/>
  <c r="G1895" i="49"/>
  <c r="P1895" i="49"/>
  <c r="M1881" i="49"/>
  <c r="G1881" i="49"/>
  <c r="P1881" i="49"/>
  <c r="P1771" i="49"/>
  <c r="M1771" i="49"/>
  <c r="G1771" i="49"/>
  <c r="M1875" i="49"/>
  <c r="P1875" i="49"/>
  <c r="G1875" i="49"/>
  <c r="M1973" i="49"/>
  <c r="P1973" i="49"/>
  <c r="G1973" i="49"/>
  <c r="M1849" i="49"/>
  <c r="G1849" i="49"/>
  <c r="P1849" i="49"/>
  <c r="M1976" i="49"/>
  <c r="G1976" i="49"/>
  <c r="P1976" i="49"/>
  <c r="P1971" i="49"/>
  <c r="G1971" i="49"/>
  <c r="M1971" i="49"/>
  <c r="M2005" i="49"/>
  <c r="G2005" i="49"/>
  <c r="P2005" i="49"/>
  <c r="P1793" i="49"/>
  <c r="M1793" i="49"/>
  <c r="G1793" i="49"/>
  <c r="G1892" i="49"/>
  <c r="P1892" i="49"/>
  <c r="M1892" i="49"/>
  <c r="P1791" i="49"/>
  <c r="M1791" i="49"/>
  <c r="G1791" i="49"/>
  <c r="M2014" i="49"/>
  <c r="P2014" i="49"/>
  <c r="G2014" i="49"/>
  <c r="M1826" i="49"/>
  <c r="P1826" i="49"/>
  <c r="G1826" i="49"/>
  <c r="P1974" i="49"/>
  <c r="M1974" i="49"/>
  <c r="G1974" i="49"/>
  <c r="M1930" i="49"/>
  <c r="P1930" i="49"/>
  <c r="G1930" i="49"/>
  <c r="G1774" i="49"/>
  <c r="P1774" i="49"/>
  <c r="M1774" i="49"/>
  <c r="G2011" i="49"/>
  <c r="M2011" i="49"/>
  <c r="P2011" i="49"/>
  <c r="P1754" i="49"/>
  <c r="M1754" i="49"/>
  <c r="G1754" i="49"/>
  <c r="P1958" i="49"/>
  <c r="M1958" i="49"/>
  <c r="G1958" i="49"/>
  <c r="P1513" i="49"/>
  <c r="M1513" i="49"/>
  <c r="G1513" i="49"/>
  <c r="P1530" i="49"/>
  <c r="M1530" i="49"/>
  <c r="G1530" i="49"/>
  <c r="G1521" i="49"/>
  <c r="P1521" i="49"/>
  <c r="M1521" i="49"/>
  <c r="G1637" i="49"/>
  <c r="P1637" i="49"/>
  <c r="M1637" i="49"/>
  <c r="P1492" i="49"/>
  <c r="M1492" i="49"/>
  <c r="G1492" i="49"/>
  <c r="G1660" i="49"/>
  <c r="P1660" i="49"/>
  <c r="M1660" i="49"/>
  <c r="M1495" i="49"/>
  <c r="G1495" i="49"/>
  <c r="P1495" i="49"/>
  <c r="G1701" i="49"/>
  <c r="M1701" i="49"/>
  <c r="P1701" i="49"/>
  <c r="M1642" i="49"/>
  <c r="G1642" i="49"/>
  <c r="P1642" i="49"/>
  <c r="M1573" i="49"/>
  <c r="P1573" i="49"/>
  <c r="G1573" i="49"/>
  <c r="G1498" i="49"/>
  <c r="P1498" i="49"/>
  <c r="M1498" i="49"/>
  <c r="G1663" i="49"/>
  <c r="P1663" i="49"/>
  <c r="M1663" i="49"/>
  <c r="G1603" i="49"/>
  <c r="P1603" i="49"/>
  <c r="M1603" i="49"/>
  <c r="G1552" i="49"/>
  <c r="P1552" i="49"/>
  <c r="M1552" i="49"/>
  <c r="M1675" i="49"/>
  <c r="G1675" i="49"/>
  <c r="P1675" i="49"/>
  <c r="P1608" i="49"/>
  <c r="M1608" i="49"/>
  <c r="G1608" i="49"/>
  <c r="G1707" i="49"/>
  <c r="P1707" i="49"/>
  <c r="M1707" i="49"/>
  <c r="G1683" i="49"/>
  <c r="P1683" i="49"/>
  <c r="M1683" i="49"/>
  <c r="M1672" i="49"/>
  <c r="P1672" i="49"/>
  <c r="G1672" i="49"/>
  <c r="P1454" i="49"/>
  <c r="M1454" i="49"/>
  <c r="G1454" i="49"/>
  <c r="P1526" i="49"/>
  <c r="M1526" i="49"/>
  <c r="G1526" i="49"/>
  <c r="M1598" i="49"/>
  <c r="P1598" i="49"/>
  <c r="G1598" i="49"/>
  <c r="P1670" i="49"/>
  <c r="M1670" i="49"/>
  <c r="G1670" i="49"/>
  <c r="P1330" i="49"/>
  <c r="M1330" i="49"/>
  <c r="G1330" i="49"/>
  <c r="P1174" i="49"/>
  <c r="M1174" i="49"/>
  <c r="G1174" i="49"/>
  <c r="P1212" i="49"/>
  <c r="M1212" i="49"/>
  <c r="G1212" i="49"/>
  <c r="G1365" i="49"/>
  <c r="P1365" i="49"/>
  <c r="M1365" i="49"/>
  <c r="G1233" i="49"/>
  <c r="P1233" i="49"/>
  <c r="M1233" i="49"/>
  <c r="P1170" i="49"/>
  <c r="M1170" i="49"/>
  <c r="G1170" i="49"/>
  <c r="G1217" i="49"/>
  <c r="P1217" i="49"/>
  <c r="M1217" i="49"/>
  <c r="P1200" i="49"/>
  <c r="G1200" i="49"/>
  <c r="M1200" i="49"/>
  <c r="M1423" i="49"/>
  <c r="G1423" i="49"/>
  <c r="P1423" i="49"/>
  <c r="P1399" i="49"/>
  <c r="M1399" i="49"/>
  <c r="G1399" i="49"/>
  <c r="P1386" i="49"/>
  <c r="M1386" i="49"/>
  <c r="G1386" i="49"/>
  <c r="G1193" i="49"/>
  <c r="P1193" i="49"/>
  <c r="M1193" i="49"/>
  <c r="G1371" i="49"/>
  <c r="P1371" i="49"/>
  <c r="M1371" i="49"/>
  <c r="G1235" i="49"/>
  <c r="P1235" i="49"/>
  <c r="M1235" i="49"/>
  <c r="G1413" i="49"/>
  <c r="M1413" i="49"/>
  <c r="P1413" i="49"/>
  <c r="M1294" i="49"/>
  <c r="G1294" i="49"/>
  <c r="P1294" i="49"/>
  <c r="M1192" i="49"/>
  <c r="G1192" i="49"/>
  <c r="P1192" i="49"/>
  <c r="G1357" i="49"/>
  <c r="P1357" i="49"/>
  <c r="M1357" i="49"/>
  <c r="P1196" i="49"/>
  <c r="M1196" i="49"/>
  <c r="G1196" i="49"/>
  <c r="M1268" i="49"/>
  <c r="P1268" i="49"/>
  <c r="G1268" i="49"/>
  <c r="P1340" i="49"/>
  <c r="G1340" i="49"/>
  <c r="M1340" i="49"/>
  <c r="P1412" i="49"/>
  <c r="G1412" i="49"/>
  <c r="M1412" i="49"/>
  <c r="P728" i="49"/>
  <c r="M728" i="49"/>
  <c r="G728" i="49"/>
  <c r="M690" i="49"/>
  <c r="P690" i="49"/>
  <c r="G690" i="49"/>
  <c r="M593" i="49"/>
  <c r="G593" i="49"/>
  <c r="P593" i="49"/>
  <c r="M830" i="49"/>
  <c r="P830" i="49"/>
  <c r="G830" i="49"/>
  <c r="G694" i="49"/>
  <c r="M694" i="49"/>
  <c r="P694" i="49"/>
  <c r="G770" i="49"/>
  <c r="M770" i="49"/>
  <c r="P770" i="49"/>
  <c r="G589" i="49"/>
  <c r="M589" i="49"/>
  <c r="P589" i="49"/>
  <c r="P703" i="49"/>
  <c r="G703" i="49"/>
  <c r="M703" i="49"/>
  <c r="P805" i="49"/>
  <c r="G805" i="49"/>
  <c r="M805" i="49"/>
  <c r="G646" i="49"/>
  <c r="M646" i="49"/>
  <c r="P646" i="49"/>
  <c r="G748" i="49"/>
  <c r="M748" i="49"/>
  <c r="P748" i="49"/>
  <c r="M857" i="49"/>
  <c r="P857" i="49"/>
  <c r="G857" i="49"/>
  <c r="P629" i="49"/>
  <c r="M629" i="49"/>
  <c r="G629" i="49"/>
  <c r="M714" i="49"/>
  <c r="P714" i="49"/>
  <c r="G714" i="49"/>
  <c r="P799" i="49"/>
  <c r="M799" i="49"/>
  <c r="G799" i="49"/>
  <c r="G615" i="49"/>
  <c r="P615" i="49"/>
  <c r="M615" i="49"/>
  <c r="M687" i="49"/>
  <c r="G687" i="49"/>
  <c r="P687" i="49"/>
  <c r="P759" i="49"/>
  <c r="M759" i="49"/>
  <c r="G759" i="49"/>
  <c r="G831" i="49"/>
  <c r="P831" i="49"/>
  <c r="M831" i="49"/>
  <c r="M345" i="49"/>
  <c r="G345" i="49"/>
  <c r="P345" i="49"/>
  <c r="H345" i="49"/>
  <c r="H541" i="49"/>
  <c r="G541" i="49"/>
  <c r="P541" i="49"/>
  <c r="M541" i="49"/>
  <c r="P304" i="49"/>
  <c r="M304" i="49"/>
  <c r="H304" i="49"/>
  <c r="G304" i="49"/>
  <c r="G513" i="49"/>
  <c r="P513" i="49"/>
  <c r="M513" i="49"/>
  <c r="H513" i="49"/>
  <c r="H385" i="49"/>
  <c r="P385" i="49"/>
  <c r="G385" i="49"/>
  <c r="M385" i="49"/>
  <c r="P419" i="49"/>
  <c r="M419" i="49"/>
  <c r="H419" i="49"/>
  <c r="G419" i="49"/>
  <c r="M320" i="49"/>
  <c r="H320" i="49"/>
  <c r="G320" i="49"/>
  <c r="P320" i="49"/>
  <c r="M405" i="49"/>
  <c r="H405" i="49"/>
  <c r="G405" i="49"/>
  <c r="P405" i="49"/>
  <c r="H361" i="49"/>
  <c r="G361" i="49"/>
  <c r="P361" i="49"/>
  <c r="M361" i="49"/>
  <c r="H472" i="49"/>
  <c r="G472" i="49"/>
  <c r="M472" i="49"/>
  <c r="P472" i="49"/>
  <c r="H493" i="49"/>
  <c r="G493" i="49"/>
  <c r="P493" i="49"/>
  <c r="M493" i="49"/>
  <c r="P300" i="49"/>
  <c r="M300" i="49"/>
  <c r="G300" i="49"/>
  <c r="H300" i="49"/>
  <c r="P372" i="49"/>
  <c r="H372" i="49"/>
  <c r="G372" i="49"/>
  <c r="M372" i="49"/>
  <c r="P501" i="49"/>
  <c r="M501" i="49"/>
  <c r="G501" i="49"/>
  <c r="H501" i="49"/>
  <c r="H505" i="49"/>
  <c r="P505" i="49"/>
  <c r="M505" i="49"/>
  <c r="G505" i="49"/>
  <c r="H546" i="49"/>
  <c r="G546" i="49"/>
  <c r="P546" i="49"/>
  <c r="M546" i="49"/>
  <c r="G1479" i="49"/>
  <c r="P1479" i="49"/>
  <c r="M1479" i="49"/>
  <c r="M503" i="49"/>
  <c r="G503" i="49"/>
  <c r="P503" i="49"/>
  <c r="H503" i="49"/>
  <c r="M2044" i="49"/>
  <c r="P2044" i="49"/>
  <c r="G2044" i="49"/>
  <c r="M590" i="49"/>
  <c r="P590" i="49"/>
  <c r="G590" i="49"/>
  <c r="P721" i="49"/>
  <c r="G721" i="49"/>
  <c r="M721" i="49"/>
  <c r="J529" i="49"/>
  <c r="Q529" i="49" s="1"/>
  <c r="J479" i="49"/>
  <c r="Q479" i="49" s="1"/>
  <c r="E19" i="31"/>
  <c r="J551" i="49"/>
  <c r="Q551" i="49" s="1"/>
  <c r="J415" i="49"/>
  <c r="Q415" i="49" s="1"/>
  <c r="F9" i="40"/>
  <c r="Q377" i="49"/>
  <c r="J377" i="49"/>
  <c r="G4924" i="49"/>
  <c r="P4924" i="49"/>
  <c r="M4924" i="49"/>
  <c r="P4942" i="49"/>
  <c r="M4942" i="49"/>
  <c r="G4942" i="49"/>
  <c r="M4926" i="49"/>
  <c r="G4926" i="49"/>
  <c r="P4926" i="49"/>
  <c r="P5095" i="49"/>
  <c r="M5095" i="49"/>
  <c r="G5095" i="49"/>
  <c r="G4965" i="49"/>
  <c r="P4965" i="49"/>
  <c r="M4965" i="49"/>
  <c r="P5115" i="49"/>
  <c r="M5115" i="49"/>
  <c r="G5115" i="49"/>
  <c r="N5115" i="49"/>
  <c r="O5115" i="49" s="1"/>
  <c r="P5023" i="49"/>
  <c r="G5023" i="49"/>
  <c r="M5023" i="49"/>
  <c r="G4999" i="49"/>
  <c r="P4999" i="49"/>
  <c r="M4999" i="49"/>
  <c r="P5011" i="49"/>
  <c r="M5011" i="49"/>
  <c r="G5011" i="49"/>
  <c r="G4989" i="49"/>
  <c r="M4989" i="49"/>
  <c r="P4989" i="49"/>
  <c r="P5128" i="49"/>
  <c r="M5128" i="49"/>
  <c r="G5128" i="49"/>
  <c r="M5067" i="49"/>
  <c r="G5067" i="49"/>
  <c r="P5067" i="49"/>
  <c r="P5051" i="49"/>
  <c r="M5051" i="49"/>
  <c r="G5051" i="49"/>
  <c r="M4970" i="49"/>
  <c r="G4970" i="49"/>
  <c r="P4970" i="49"/>
  <c r="G5096" i="49"/>
  <c r="P5096" i="49"/>
  <c r="M5096" i="49"/>
  <c r="G4938" i="49"/>
  <c r="M4938" i="49"/>
  <c r="P4938" i="49"/>
  <c r="G5021" i="49"/>
  <c r="M5021" i="49"/>
  <c r="P5021" i="49"/>
  <c r="P5089" i="49"/>
  <c r="M5089" i="49"/>
  <c r="G5089" i="49"/>
  <c r="P5019" i="49"/>
  <c r="G5019" i="49"/>
  <c r="M5019" i="49"/>
  <c r="P5102" i="49"/>
  <c r="M5102" i="49"/>
  <c r="G5102" i="49"/>
  <c r="G5172" i="49"/>
  <c r="M5172" i="49"/>
  <c r="P5172" i="49"/>
  <c r="M5081" i="49"/>
  <c r="G5081" i="49"/>
  <c r="P5081" i="49"/>
  <c r="G5153" i="49"/>
  <c r="P5153" i="49"/>
  <c r="M5153" i="49"/>
  <c r="E10" i="40"/>
  <c r="F44" i="8"/>
  <c r="E39" i="28"/>
  <c r="G5" i="40"/>
  <c r="P4712" i="49"/>
  <c r="M4712" i="49"/>
  <c r="G4712" i="49"/>
  <c r="G4674" i="49"/>
  <c r="P4674" i="49"/>
  <c r="M4674" i="49"/>
  <c r="G4735" i="49"/>
  <c r="P4735" i="49"/>
  <c r="M4735" i="49"/>
  <c r="P4713" i="49"/>
  <c r="M4713" i="49"/>
  <c r="G4713" i="49"/>
  <c r="M4687" i="49"/>
  <c r="P4687" i="49"/>
  <c r="G4687" i="49"/>
  <c r="P4900" i="49"/>
  <c r="M4900" i="49"/>
  <c r="G4900" i="49"/>
  <c r="G4771" i="49"/>
  <c r="P4771" i="49"/>
  <c r="M4771" i="49"/>
  <c r="P4647" i="49"/>
  <c r="M4647" i="49"/>
  <c r="G4647" i="49"/>
  <c r="P4827" i="49"/>
  <c r="M4827" i="49"/>
  <c r="G4827" i="49"/>
  <c r="P4732" i="49"/>
  <c r="M4732" i="49"/>
  <c r="G4732" i="49"/>
  <c r="G4765" i="49"/>
  <c r="M4765" i="49"/>
  <c r="P4765" i="49"/>
  <c r="G4873" i="49"/>
  <c r="M4873" i="49"/>
  <c r="P4873" i="49"/>
  <c r="G4760" i="49"/>
  <c r="P4760" i="49"/>
  <c r="M4760" i="49"/>
  <c r="M4637" i="49"/>
  <c r="P4637" i="49"/>
  <c r="G4637" i="49"/>
  <c r="P4720" i="49"/>
  <c r="M4720" i="49"/>
  <c r="G4720" i="49"/>
  <c r="P4828" i="49"/>
  <c r="G4828" i="49"/>
  <c r="M4828" i="49"/>
  <c r="P4785" i="49"/>
  <c r="G4785" i="49"/>
  <c r="M4785" i="49"/>
  <c r="M4886" i="49"/>
  <c r="P4886" i="49"/>
  <c r="G4886" i="49"/>
  <c r="G4740" i="49"/>
  <c r="P4740" i="49"/>
  <c r="M4740" i="49"/>
  <c r="G4812" i="49"/>
  <c r="M4812" i="49"/>
  <c r="P4812" i="49"/>
  <c r="G4884" i="49"/>
  <c r="P4884" i="49"/>
  <c r="M4884" i="49"/>
  <c r="G4727" i="49"/>
  <c r="M4727" i="49"/>
  <c r="P4727" i="49"/>
  <c r="M4799" i="49"/>
  <c r="G4799" i="49"/>
  <c r="P4799" i="49"/>
  <c r="M4871" i="49"/>
  <c r="G4871" i="49"/>
  <c r="P4871" i="49"/>
  <c r="J10" i="40"/>
  <c r="J482" i="49"/>
  <c r="Q482" i="49" s="1"/>
  <c r="E7" i="40"/>
  <c r="E19" i="30"/>
  <c r="Q402" i="49"/>
  <c r="J402" i="49"/>
  <c r="G79" i="20"/>
  <c r="G85" i="20"/>
  <c r="G80" i="20"/>
  <c r="G82" i="20"/>
  <c r="J17" i="40"/>
  <c r="P899" i="49"/>
  <c r="E28" i="8"/>
  <c r="G39" i="17"/>
  <c r="C22" i="5"/>
  <c r="P4474" i="49"/>
  <c r="G4474" i="49"/>
  <c r="M4474" i="49"/>
  <c r="M4521" i="49"/>
  <c r="P4521" i="49"/>
  <c r="G4521" i="49"/>
  <c r="G4459" i="49"/>
  <c r="P4459" i="49"/>
  <c r="M4459" i="49"/>
  <c r="P4528" i="49"/>
  <c r="M4528" i="49"/>
  <c r="G4528" i="49"/>
  <c r="P4380" i="49"/>
  <c r="M4380" i="49"/>
  <c r="G4380" i="49"/>
  <c r="M4485" i="49"/>
  <c r="P4485" i="49"/>
  <c r="G4485" i="49"/>
  <c r="M4421" i="49"/>
  <c r="P4421" i="49"/>
  <c r="G4421" i="49"/>
  <c r="P4352" i="49"/>
  <c r="G4352" i="49"/>
  <c r="M4352" i="49"/>
  <c r="M4603" i="49"/>
  <c r="G4603" i="49"/>
  <c r="P4603" i="49"/>
  <c r="P4447" i="49"/>
  <c r="G4447" i="49"/>
  <c r="M4447" i="49"/>
  <c r="M4563" i="49"/>
  <c r="P4563" i="49"/>
  <c r="G4563" i="49"/>
  <c r="M4438" i="49"/>
  <c r="G4438" i="49"/>
  <c r="P4438" i="49"/>
  <c r="G4377" i="49"/>
  <c r="M4377" i="49"/>
  <c r="P4377" i="49"/>
  <c r="G4449" i="49"/>
  <c r="P4449" i="49"/>
  <c r="M4449" i="49"/>
  <c r="G4529" i="49"/>
  <c r="M4529" i="49"/>
  <c r="P4529" i="49"/>
  <c r="G4606" i="49"/>
  <c r="P4606" i="49"/>
  <c r="M4606" i="49"/>
  <c r="P4430" i="49"/>
  <c r="M4430" i="49"/>
  <c r="G4430" i="49"/>
  <c r="G4464" i="49"/>
  <c r="M4464" i="49"/>
  <c r="P4464" i="49"/>
  <c r="G4536" i="49"/>
  <c r="P4536" i="49"/>
  <c r="M4536" i="49"/>
  <c r="P4612" i="49"/>
  <c r="G4612" i="49"/>
  <c r="M4612" i="49"/>
  <c r="P2883" i="49"/>
  <c r="M2883" i="49"/>
  <c r="G2883" i="49"/>
  <c r="P2781" i="49"/>
  <c r="M2781" i="49"/>
  <c r="G2781" i="49"/>
  <c r="G2674" i="49"/>
  <c r="P2674" i="49"/>
  <c r="M2674" i="49"/>
  <c r="M2707" i="49"/>
  <c r="G2707" i="49"/>
  <c r="P2707" i="49"/>
  <c r="M2748" i="49"/>
  <c r="P2748" i="49"/>
  <c r="G2748" i="49"/>
  <c r="P2739" i="49"/>
  <c r="G2739" i="49"/>
  <c r="M2739" i="49"/>
  <c r="P2822" i="49"/>
  <c r="G2822" i="49"/>
  <c r="M2822" i="49"/>
  <c r="M890" i="49"/>
  <c r="G890" i="49"/>
  <c r="P890" i="49"/>
  <c r="M948" i="49"/>
  <c r="G948" i="49"/>
  <c r="P948" i="49"/>
  <c r="M942" i="49"/>
  <c r="P942" i="49"/>
  <c r="G942" i="49"/>
  <c r="P1063" i="49"/>
  <c r="M1063" i="49"/>
  <c r="G1063" i="49"/>
  <c r="G928" i="49"/>
  <c r="M928" i="49"/>
  <c r="P928" i="49"/>
  <c r="M1013" i="49"/>
  <c r="G1013" i="49"/>
  <c r="P1013" i="49"/>
  <c r="G934" i="49"/>
  <c r="P934" i="49"/>
  <c r="M934" i="49"/>
  <c r="M1104" i="49"/>
  <c r="G1104" i="49"/>
  <c r="P1104" i="49"/>
  <c r="P933" i="49"/>
  <c r="M933" i="49"/>
  <c r="G933" i="49"/>
  <c r="P1077" i="49"/>
  <c r="G1077" i="49"/>
  <c r="M1077" i="49"/>
  <c r="P1150" i="49"/>
  <c r="M1150" i="49"/>
  <c r="G1150" i="49"/>
  <c r="P956" i="49"/>
  <c r="M956" i="49"/>
  <c r="G956" i="49"/>
  <c r="M1014" i="49"/>
  <c r="P1014" i="49"/>
  <c r="G1014" i="49"/>
  <c r="G695" i="49"/>
  <c r="P695" i="49"/>
  <c r="M695" i="49"/>
  <c r="P3926" i="49"/>
  <c r="M3926" i="49"/>
  <c r="G3926" i="49"/>
  <c r="P3986" i="49"/>
  <c r="M3986" i="49"/>
  <c r="G3986" i="49"/>
  <c r="G3947" i="49"/>
  <c r="P3947" i="49"/>
  <c r="M3947" i="49"/>
  <c r="P4022" i="49"/>
  <c r="M4022" i="49"/>
  <c r="G4022" i="49"/>
  <c r="P3782" i="49"/>
  <c r="M3782" i="49"/>
  <c r="G3782" i="49"/>
  <c r="G3767" i="49"/>
  <c r="M3767" i="49"/>
  <c r="P3767" i="49"/>
  <c r="P3896" i="49"/>
  <c r="M3896" i="49"/>
  <c r="G3896" i="49"/>
  <c r="G4001" i="49"/>
  <c r="M4001" i="49"/>
  <c r="P4001" i="49"/>
  <c r="G3931" i="49"/>
  <c r="P3931" i="49"/>
  <c r="M3931" i="49"/>
  <c r="G3807" i="49"/>
  <c r="P3807" i="49"/>
  <c r="M3807" i="49"/>
  <c r="M4050" i="49"/>
  <c r="G4050" i="49"/>
  <c r="P4050" i="49"/>
  <c r="P3908" i="49"/>
  <c r="G3908" i="49"/>
  <c r="M3908" i="49"/>
  <c r="G4031" i="49"/>
  <c r="M4031" i="49"/>
  <c r="P4031" i="49"/>
  <c r="M3948" i="49"/>
  <c r="P3948" i="49"/>
  <c r="G3948" i="49"/>
  <c r="G3832" i="49"/>
  <c r="M3832" i="49"/>
  <c r="P3832" i="49"/>
  <c r="P3904" i="49"/>
  <c r="G3904" i="49"/>
  <c r="M3904" i="49"/>
  <c r="P3976" i="49"/>
  <c r="G3976" i="49"/>
  <c r="M3976" i="49"/>
  <c r="P4048" i="49"/>
  <c r="M4048" i="49"/>
  <c r="G4048" i="49"/>
  <c r="M3734" i="49"/>
  <c r="P3734" i="49"/>
  <c r="G3734" i="49"/>
  <c r="P3528" i="49"/>
  <c r="M3528" i="49"/>
  <c r="G3528" i="49"/>
  <c r="P3489" i="49"/>
  <c r="M3489" i="49"/>
  <c r="G3489" i="49"/>
  <c r="M3492" i="49"/>
  <c r="G3492" i="49"/>
  <c r="P3492" i="49"/>
  <c r="P3480" i="49"/>
  <c r="M3480" i="49"/>
  <c r="G3480" i="49"/>
  <c r="M3616" i="49"/>
  <c r="P3616" i="49"/>
  <c r="G3616" i="49"/>
  <c r="P3659" i="49"/>
  <c r="G3659" i="49"/>
  <c r="M3659" i="49"/>
  <c r="P3583" i="49"/>
  <c r="G3583" i="49"/>
  <c r="M3583" i="49"/>
  <c r="M3632" i="49"/>
  <c r="G3632" i="49"/>
  <c r="P3632" i="49"/>
  <c r="M3674" i="49"/>
  <c r="G3674" i="49"/>
  <c r="P3674" i="49"/>
  <c r="G3555" i="49"/>
  <c r="P3555" i="49"/>
  <c r="M3555" i="49"/>
  <c r="G3699" i="49"/>
  <c r="M3699" i="49"/>
  <c r="P3699" i="49"/>
  <c r="G3529" i="49"/>
  <c r="P3529" i="49"/>
  <c r="M3529" i="49"/>
  <c r="G3673" i="49"/>
  <c r="P3673" i="49"/>
  <c r="M3673" i="49"/>
  <c r="M3694" i="49"/>
  <c r="P3694" i="49"/>
  <c r="G3694" i="49"/>
  <c r="P3554" i="49"/>
  <c r="M3554" i="49"/>
  <c r="G3554" i="49"/>
  <c r="P3698" i="49"/>
  <c r="G3698" i="49"/>
  <c r="M3698" i="49"/>
  <c r="P3223" i="49"/>
  <c r="M3223" i="49"/>
  <c r="G3223" i="49"/>
  <c r="P3387" i="49"/>
  <c r="G3387" i="49"/>
  <c r="M3387" i="49"/>
  <c r="M3197" i="49"/>
  <c r="G3197" i="49"/>
  <c r="P3197" i="49"/>
  <c r="M3432" i="49"/>
  <c r="G3432" i="49"/>
  <c r="P3432" i="49"/>
  <c r="P3404" i="49"/>
  <c r="G3404" i="49"/>
  <c r="M3404" i="49"/>
  <c r="M3048" i="49"/>
  <c r="P3048" i="49"/>
  <c r="G3048" i="49"/>
  <c r="G3093" i="49"/>
  <c r="P3093" i="49"/>
  <c r="M3093" i="49"/>
  <c r="P3020" i="49"/>
  <c r="M3020" i="49"/>
  <c r="G3020" i="49"/>
  <c r="G3017" i="49"/>
  <c r="M3017" i="49"/>
  <c r="P3017" i="49"/>
  <c r="P3098" i="49"/>
  <c r="M3098" i="49"/>
  <c r="G3098" i="49"/>
  <c r="M2929" i="49"/>
  <c r="P2929" i="49"/>
  <c r="G2929" i="49"/>
  <c r="G3155" i="49"/>
  <c r="P3155" i="49"/>
  <c r="M3155" i="49"/>
  <c r="P3140" i="49"/>
  <c r="G3140" i="49"/>
  <c r="M3140" i="49"/>
  <c r="M2916" i="49"/>
  <c r="P2916" i="49"/>
  <c r="G2916" i="49"/>
  <c r="G3119" i="49"/>
  <c r="P3119" i="49"/>
  <c r="M3119" i="49"/>
  <c r="G3091" i="49"/>
  <c r="M3091" i="49"/>
  <c r="P3091" i="49"/>
  <c r="M3120" i="49"/>
  <c r="P3120" i="49"/>
  <c r="G3120" i="49"/>
  <c r="G2992" i="49"/>
  <c r="P2992" i="49"/>
  <c r="M2992" i="49"/>
  <c r="M3064" i="49"/>
  <c r="G3064" i="49"/>
  <c r="P3064" i="49"/>
  <c r="M3136" i="49"/>
  <c r="P3136" i="49"/>
  <c r="G3136" i="49"/>
  <c r="P2323" i="49"/>
  <c r="M2323" i="49"/>
  <c r="G2323" i="49"/>
  <c r="G2576" i="49"/>
  <c r="P2576" i="49"/>
  <c r="M2576" i="49"/>
  <c r="P2424" i="49"/>
  <c r="G2424" i="49"/>
  <c r="M2424" i="49"/>
  <c r="M2353" i="49"/>
  <c r="G2353" i="49"/>
  <c r="P2353" i="49"/>
  <c r="M2351" i="49"/>
  <c r="G2351" i="49"/>
  <c r="P2351" i="49"/>
  <c r="M2352" i="49"/>
  <c r="G2352" i="49"/>
  <c r="P2352" i="49"/>
  <c r="G2378" i="49"/>
  <c r="M2378" i="49"/>
  <c r="P2378" i="49"/>
  <c r="M2398" i="49"/>
  <c r="P2398" i="49"/>
  <c r="G2398" i="49"/>
  <c r="P2543" i="49"/>
  <c r="M2543" i="49"/>
  <c r="G2543" i="49"/>
  <c r="M2511" i="49"/>
  <c r="P2511" i="49"/>
  <c r="G2511" i="49"/>
  <c r="M2583" i="49"/>
  <c r="P2583" i="49"/>
  <c r="G2583" i="49"/>
  <c r="P2491" i="49"/>
  <c r="M2491" i="49"/>
  <c r="G2491" i="49"/>
  <c r="P2563" i="49"/>
  <c r="M2563" i="49"/>
  <c r="G2563" i="49"/>
  <c r="M2109" i="49"/>
  <c r="G2109" i="49"/>
  <c r="P2109" i="49"/>
  <c r="G2127" i="49"/>
  <c r="P2127" i="49"/>
  <c r="M2127" i="49"/>
  <c r="P2178" i="49"/>
  <c r="M2178" i="49"/>
  <c r="G2178" i="49"/>
  <c r="G2133" i="49"/>
  <c r="M2133" i="49"/>
  <c r="P2133" i="49"/>
  <c r="M2086" i="49"/>
  <c r="P2086" i="49"/>
  <c r="G2086" i="49"/>
  <c r="M2216" i="49"/>
  <c r="G2216" i="49"/>
  <c r="P2216" i="49"/>
  <c r="G1781" i="49"/>
  <c r="P1781" i="49"/>
  <c r="M1781" i="49"/>
  <c r="P2016" i="49"/>
  <c r="M2016" i="49"/>
  <c r="G2016" i="49"/>
  <c r="P2007" i="49"/>
  <c r="M2007" i="49"/>
  <c r="G2007" i="49"/>
  <c r="P1987" i="49"/>
  <c r="M1987" i="49"/>
  <c r="G1987" i="49"/>
  <c r="M1990" i="49"/>
  <c r="P1990" i="49"/>
  <c r="G1990" i="49"/>
  <c r="G1751" i="49"/>
  <c r="M1751" i="49"/>
  <c r="P1751" i="49"/>
  <c r="G1795" i="49"/>
  <c r="P1795" i="49"/>
  <c r="M1795" i="49"/>
  <c r="M1894" i="49"/>
  <c r="G1894" i="49"/>
  <c r="P1894" i="49"/>
  <c r="M2027" i="49"/>
  <c r="P2027" i="49"/>
  <c r="G2027" i="49"/>
  <c r="M1989" i="49"/>
  <c r="G1989" i="49"/>
  <c r="P1989" i="49"/>
  <c r="M1934" i="49"/>
  <c r="P1934" i="49"/>
  <c r="G1934" i="49"/>
  <c r="M2021" i="49"/>
  <c r="P2021" i="49"/>
  <c r="G2021" i="49"/>
  <c r="P1760" i="49"/>
  <c r="M1760" i="49"/>
  <c r="G1760" i="49"/>
  <c r="P1994" i="49"/>
  <c r="G1994" i="49"/>
  <c r="M1994" i="49"/>
  <c r="P1692" i="49"/>
  <c r="M1692" i="49"/>
  <c r="G1692" i="49"/>
  <c r="P1517" i="49"/>
  <c r="G1517" i="49"/>
  <c r="M1517" i="49"/>
  <c r="G1685" i="49"/>
  <c r="M1685" i="49"/>
  <c r="P1685" i="49"/>
  <c r="P1627" i="49"/>
  <c r="M1627" i="49"/>
  <c r="G1627" i="49"/>
  <c r="G1460" i="49"/>
  <c r="P1460" i="49"/>
  <c r="M1460" i="49"/>
  <c r="G1257" i="49"/>
  <c r="M1257" i="49"/>
  <c r="P1257" i="49"/>
  <c r="P1225" i="49"/>
  <c r="M1225" i="49"/>
  <c r="G1225" i="49"/>
  <c r="G1329" i="49"/>
  <c r="M1329" i="49"/>
  <c r="P1329" i="49"/>
  <c r="P1195" i="49"/>
  <c r="M1195" i="49"/>
  <c r="G1195" i="49"/>
  <c r="G1223" i="49"/>
  <c r="P1223" i="49"/>
  <c r="M1223" i="49"/>
  <c r="P1428" i="49"/>
  <c r="M1428" i="49"/>
  <c r="G1428" i="49"/>
  <c r="G1395" i="49"/>
  <c r="P1395" i="49"/>
  <c r="M1395" i="49"/>
  <c r="G1210" i="49"/>
  <c r="P1210" i="49"/>
  <c r="M1210" i="49"/>
  <c r="G1252" i="49"/>
  <c r="P1252" i="49"/>
  <c r="M1252" i="49"/>
  <c r="G1417" i="49"/>
  <c r="P1417" i="49"/>
  <c r="M1417" i="49"/>
  <c r="G1311" i="49"/>
  <c r="M1311" i="49"/>
  <c r="P1311" i="49"/>
  <c r="G1209" i="49"/>
  <c r="P1209" i="49"/>
  <c r="M1209" i="49"/>
  <c r="M1202" i="49"/>
  <c r="G1202" i="49"/>
  <c r="P1202" i="49"/>
  <c r="M1274" i="49"/>
  <c r="G1274" i="49"/>
  <c r="P1274" i="49"/>
  <c r="M1346" i="49"/>
  <c r="G1346" i="49"/>
  <c r="P1346" i="49"/>
  <c r="M1418" i="49"/>
  <c r="G1418" i="49"/>
  <c r="P1418" i="49"/>
  <c r="G731" i="49"/>
  <c r="P731" i="49"/>
  <c r="M731" i="49"/>
  <c r="M833" i="49"/>
  <c r="P833" i="49"/>
  <c r="G833" i="49"/>
  <c r="M708" i="49"/>
  <c r="G708" i="49"/>
  <c r="P708" i="49"/>
  <c r="P755" i="49"/>
  <c r="M755" i="49"/>
  <c r="G755" i="49"/>
  <c r="G724" i="49"/>
  <c r="P724" i="49"/>
  <c r="M724" i="49"/>
  <c r="P765" i="49"/>
  <c r="M765" i="49"/>
  <c r="G765" i="49"/>
  <c r="P316" i="49"/>
  <c r="M316" i="49"/>
  <c r="H316" i="49"/>
  <c r="G316" i="49"/>
  <c r="M414" i="49"/>
  <c r="G414" i="49"/>
  <c r="H414" i="49"/>
  <c r="P414" i="49"/>
  <c r="M428" i="49"/>
  <c r="P428" i="49"/>
  <c r="H428" i="49"/>
  <c r="G428" i="49"/>
  <c r="M326" i="49"/>
  <c r="H326" i="49"/>
  <c r="G326" i="49"/>
  <c r="P326" i="49"/>
  <c r="M422" i="49"/>
  <c r="H422" i="49"/>
  <c r="G422" i="49"/>
  <c r="P422" i="49"/>
  <c r="H295" i="49"/>
  <c r="G295" i="49"/>
  <c r="P295" i="49"/>
  <c r="M295" i="49"/>
  <c r="H367" i="49"/>
  <c r="G367" i="49"/>
  <c r="P367" i="49"/>
  <c r="M367" i="49"/>
  <c r="H489" i="49"/>
  <c r="G489" i="49"/>
  <c r="P489" i="49"/>
  <c r="M489" i="49"/>
  <c r="G497" i="49"/>
  <c r="M497" i="49"/>
  <c r="H497" i="49"/>
  <c r="P497" i="49"/>
  <c r="P306" i="49"/>
  <c r="M306" i="49"/>
  <c r="H306" i="49"/>
  <c r="G306" i="49"/>
  <c r="M518" i="49"/>
  <c r="P518" i="49"/>
  <c r="H518" i="49"/>
  <c r="G518" i="49"/>
  <c r="P509" i="49"/>
  <c r="M509" i="49"/>
  <c r="G509" i="49"/>
  <c r="H509" i="49"/>
  <c r="P1373" i="49"/>
  <c r="M1373" i="49"/>
  <c r="G1373" i="49"/>
  <c r="G1929" i="49"/>
  <c r="P1929" i="49"/>
  <c r="M1929" i="49"/>
  <c r="J51" i="1"/>
  <c r="S21" i="39"/>
  <c r="U21" i="39" s="1"/>
  <c r="N4162" i="49" s="1"/>
  <c r="O4162" i="49" s="1"/>
  <c r="G9" i="40"/>
  <c r="H16" i="40"/>
  <c r="P4961" i="49"/>
  <c r="M4961" i="49"/>
  <c r="G4961" i="49"/>
  <c r="P4954" i="49"/>
  <c r="G4954" i="49"/>
  <c r="M4954" i="49"/>
  <c r="G4973" i="49"/>
  <c r="P4973" i="49"/>
  <c r="M4973" i="49"/>
  <c r="P4960" i="49"/>
  <c r="M4960" i="49"/>
  <c r="G4960" i="49"/>
  <c r="P5068" i="49"/>
  <c r="M5068" i="49"/>
  <c r="G5068" i="49"/>
  <c r="G5006" i="49"/>
  <c r="P5006" i="49"/>
  <c r="M5006" i="49"/>
  <c r="P5079" i="49"/>
  <c r="G5079" i="49"/>
  <c r="M5079" i="49"/>
  <c r="M4976" i="49"/>
  <c r="G4976" i="49"/>
  <c r="P4976" i="49"/>
  <c r="M4944" i="49"/>
  <c r="P4944" i="49"/>
  <c r="G4944" i="49"/>
  <c r="P5109" i="49"/>
  <c r="G5109" i="49"/>
  <c r="M5109" i="49"/>
  <c r="G5112" i="49"/>
  <c r="P5112" i="49"/>
  <c r="M5112" i="49"/>
  <c r="P5186" i="49"/>
  <c r="M5186" i="49"/>
  <c r="G5186" i="49"/>
  <c r="M5087" i="49"/>
  <c r="G5087" i="49"/>
  <c r="P5087" i="49"/>
  <c r="G5159" i="49"/>
  <c r="P5159" i="49"/>
  <c r="M5159" i="49"/>
  <c r="F38" i="8"/>
  <c r="P4839" i="49"/>
  <c r="M4839" i="49"/>
  <c r="G4839" i="49"/>
  <c r="P4725" i="49"/>
  <c r="M4725" i="49"/>
  <c r="G4725" i="49"/>
  <c r="N4784" i="49"/>
  <c r="O4784" i="49" s="1"/>
  <c r="P4784" i="49"/>
  <c r="M4784" i="49"/>
  <c r="G4784" i="49"/>
  <c r="P4737" i="49"/>
  <c r="G4737" i="49"/>
  <c r="M4737" i="49"/>
  <c r="P4762" i="49"/>
  <c r="M4762" i="49"/>
  <c r="G4762" i="49"/>
  <c r="G4795" i="49"/>
  <c r="M4795" i="49"/>
  <c r="P4795" i="49"/>
  <c r="G4890" i="49"/>
  <c r="M4890" i="49"/>
  <c r="P4890" i="49"/>
  <c r="H19" i="30"/>
  <c r="N24" i="13"/>
  <c r="F12" i="6" s="1"/>
  <c r="B56" i="14"/>
  <c r="J24" i="13"/>
  <c r="K24" i="13"/>
  <c r="E12" i="6" s="1"/>
  <c r="G24" i="13"/>
  <c r="D24" i="13"/>
  <c r="L24" i="13"/>
  <c r="E24" i="13"/>
  <c r="H24" i="13"/>
  <c r="F19" i="15"/>
  <c r="O19" i="13"/>
  <c r="Q19" i="13"/>
  <c r="R19" i="13" s="1"/>
  <c r="I19" i="13"/>
  <c r="K6" i="14" s="1"/>
  <c r="C7" i="14"/>
  <c r="M4110" i="49"/>
  <c r="P4110" i="49"/>
  <c r="G4110" i="49"/>
  <c r="G8" i="40"/>
  <c r="E15" i="40"/>
  <c r="F5" i="40"/>
  <c r="G4680" i="49"/>
  <c r="P4680" i="49"/>
  <c r="M4680" i="49"/>
  <c r="P4634" i="49"/>
  <c r="G4634" i="49"/>
  <c r="M4634" i="49"/>
  <c r="M4670" i="49"/>
  <c r="P4670" i="49"/>
  <c r="G4670" i="49"/>
  <c r="P4702" i="49"/>
  <c r="M4702" i="49"/>
  <c r="G4702" i="49"/>
  <c r="P4677" i="49"/>
  <c r="G4677" i="49"/>
  <c r="M4677" i="49"/>
  <c r="P4894" i="49"/>
  <c r="M4894" i="49"/>
  <c r="G4894" i="49"/>
  <c r="M4640" i="49"/>
  <c r="G4640" i="49"/>
  <c r="P4640" i="49"/>
  <c r="P4882" i="49"/>
  <c r="M4882" i="49"/>
  <c r="G4882" i="49"/>
  <c r="P4814" i="49"/>
  <c r="M4814" i="49"/>
  <c r="G4814" i="49"/>
  <c r="P4714" i="49"/>
  <c r="G4714" i="49"/>
  <c r="M4714" i="49"/>
  <c r="P4708" i="49"/>
  <c r="M4708" i="49"/>
  <c r="G4708" i="49"/>
  <c r="P4862" i="49"/>
  <c r="M4862" i="49"/>
  <c r="G4862" i="49"/>
  <c r="P4755" i="49"/>
  <c r="G4755" i="49"/>
  <c r="M4755" i="49"/>
  <c r="P4631" i="49"/>
  <c r="M4631" i="49"/>
  <c r="G4631" i="49"/>
  <c r="G4717" i="49"/>
  <c r="P4717" i="49"/>
  <c r="M4717" i="49"/>
  <c r="G4825" i="49"/>
  <c r="M4825" i="49"/>
  <c r="P4825" i="49"/>
  <c r="G4772" i="49"/>
  <c r="P4772" i="49"/>
  <c r="M4772" i="49"/>
  <c r="P4881" i="49"/>
  <c r="M4881" i="49"/>
  <c r="G4881" i="49"/>
  <c r="G4734" i="49"/>
  <c r="M4734" i="49"/>
  <c r="P4734" i="49"/>
  <c r="G4806" i="49"/>
  <c r="M4806" i="49"/>
  <c r="P4806" i="49"/>
  <c r="G4878" i="49"/>
  <c r="P4878" i="49"/>
  <c r="M4878" i="49"/>
  <c r="M4721" i="49"/>
  <c r="P4721" i="49"/>
  <c r="G4721" i="49"/>
  <c r="M4793" i="49"/>
  <c r="G4793" i="49"/>
  <c r="P4793" i="49"/>
  <c r="M4865" i="49"/>
  <c r="P4865" i="49"/>
  <c r="G4865" i="49"/>
  <c r="H10" i="40"/>
  <c r="F39" i="29"/>
  <c r="F17" i="8"/>
  <c r="E19" i="20"/>
  <c r="F39" i="30"/>
  <c r="E19" i="21"/>
  <c r="H79" i="30"/>
  <c r="H85" i="30"/>
  <c r="F18" i="8"/>
  <c r="G20" i="40"/>
  <c r="I25" i="13"/>
  <c r="H14" i="39" s="1"/>
  <c r="C67" i="14"/>
  <c r="R25" i="13"/>
  <c r="Q25" i="13"/>
  <c r="O25" i="13"/>
  <c r="E20" i="13"/>
  <c r="N20" i="13"/>
  <c r="F8" i="6" s="1"/>
  <c r="G20" i="13"/>
  <c r="D20" i="13"/>
  <c r="K20" i="13"/>
  <c r="E8" i="6" s="1"/>
  <c r="J20" i="13"/>
  <c r="B16" i="14"/>
  <c r="H11" i="40"/>
  <c r="E2" i="23"/>
  <c r="L20" i="13"/>
  <c r="H20" i="13"/>
  <c r="G8" i="19"/>
  <c r="I23" i="39"/>
  <c r="I15" i="39"/>
  <c r="E2" i="19"/>
  <c r="E2" i="21"/>
  <c r="E9" i="40"/>
  <c r="H12" i="39"/>
  <c r="E2" i="18"/>
  <c r="G19" i="40"/>
  <c r="E16" i="40"/>
  <c r="I21" i="39"/>
  <c r="I14" i="39"/>
  <c r="E2" i="22"/>
  <c r="F26" i="14"/>
  <c r="G8" i="21"/>
  <c r="G23" i="21" s="1"/>
  <c r="E19" i="40"/>
  <c r="I8" i="40"/>
  <c r="I20" i="40"/>
  <c r="J13" i="40"/>
  <c r="I16" i="40"/>
  <c r="J19" i="40"/>
  <c r="I19" i="40"/>
  <c r="C9" i="6"/>
  <c r="H7" i="3"/>
  <c r="M1020" i="49"/>
  <c r="G1020" i="49"/>
  <c r="P1020" i="49"/>
  <c r="P4410" i="49"/>
  <c r="G4410" i="49"/>
  <c r="M4410" i="49"/>
  <c r="G4618" i="49"/>
  <c r="M4618" i="49"/>
  <c r="P4618" i="49"/>
  <c r="P4546" i="49"/>
  <c r="G4546" i="49"/>
  <c r="M4546" i="49"/>
  <c r="G4519" i="49"/>
  <c r="P4519" i="49"/>
  <c r="M4519" i="49"/>
  <c r="M2679" i="49"/>
  <c r="P2679" i="49"/>
  <c r="G2679" i="49"/>
  <c r="P2646" i="49"/>
  <c r="M2646" i="49"/>
  <c r="G2646" i="49"/>
  <c r="P2699" i="49"/>
  <c r="M2699" i="49"/>
  <c r="G2699" i="49"/>
  <c r="M2697" i="49"/>
  <c r="G2697" i="49"/>
  <c r="P2697" i="49"/>
  <c r="M2685" i="49"/>
  <c r="P2685" i="49"/>
  <c r="G2685" i="49"/>
  <c r="G2710" i="49"/>
  <c r="M2710" i="49"/>
  <c r="P2710" i="49"/>
  <c r="M2678" i="49"/>
  <c r="G2678" i="49"/>
  <c r="P2678" i="49"/>
  <c r="G2749" i="49"/>
  <c r="P2749" i="49"/>
  <c r="M2749" i="49"/>
  <c r="P2870" i="49"/>
  <c r="G2870" i="49"/>
  <c r="M2870" i="49"/>
  <c r="G2865" i="49"/>
  <c r="P2865" i="49"/>
  <c r="M2865" i="49"/>
  <c r="M2703" i="49"/>
  <c r="G2703" i="49"/>
  <c r="P2703" i="49"/>
  <c r="P2791" i="49"/>
  <c r="M2791" i="49"/>
  <c r="G2791" i="49"/>
  <c r="G2737" i="49"/>
  <c r="P2737" i="49"/>
  <c r="M2737" i="49"/>
  <c r="G2753" i="49"/>
  <c r="M2753" i="49"/>
  <c r="P2753" i="49"/>
  <c r="M2838" i="49"/>
  <c r="P2838" i="49"/>
  <c r="G2838" i="49"/>
  <c r="P2764" i="49"/>
  <c r="M2764" i="49"/>
  <c r="G2764" i="49"/>
  <c r="M2836" i="49"/>
  <c r="G2836" i="49"/>
  <c r="P2836" i="49"/>
  <c r="M1004" i="49"/>
  <c r="P1004" i="49"/>
  <c r="G1004" i="49"/>
  <c r="P1069" i="49"/>
  <c r="M1069" i="49"/>
  <c r="G1069" i="49"/>
  <c r="M1092" i="49"/>
  <c r="G1092" i="49"/>
  <c r="P1092" i="49"/>
  <c r="M1098" i="49"/>
  <c r="G1098" i="49"/>
  <c r="P1098" i="49"/>
  <c r="P1019" i="49"/>
  <c r="G1019" i="49"/>
  <c r="M1019" i="49"/>
  <c r="G1155" i="49"/>
  <c r="P1155" i="49"/>
  <c r="M1155" i="49"/>
  <c r="P1005" i="49"/>
  <c r="G1005" i="49"/>
  <c r="M1005" i="49"/>
  <c r="M3822" i="49"/>
  <c r="P3822" i="49"/>
  <c r="G3822" i="49"/>
  <c r="M3792" i="49"/>
  <c r="P3792" i="49"/>
  <c r="G3792" i="49"/>
  <c r="G3959" i="49"/>
  <c r="M3959" i="49"/>
  <c r="P3959" i="49"/>
  <c r="M3834" i="49"/>
  <c r="G3834" i="49"/>
  <c r="P3834" i="49"/>
  <c r="M4011" i="49"/>
  <c r="P4011" i="49"/>
  <c r="G4011" i="49"/>
  <c r="G4033" i="49"/>
  <c r="P4033" i="49"/>
  <c r="M4033" i="49"/>
  <c r="P3579" i="49"/>
  <c r="M3579" i="49"/>
  <c r="G3579" i="49"/>
  <c r="P3557" i="49"/>
  <c r="M3557" i="49"/>
  <c r="G3557" i="49"/>
  <c r="P3680" i="49"/>
  <c r="M3680" i="49"/>
  <c r="G3680" i="49"/>
  <c r="P3692" i="49"/>
  <c r="M3692" i="49"/>
  <c r="G3692" i="49"/>
  <c r="M3530" i="49"/>
  <c r="G3530" i="49"/>
  <c r="P3530" i="49"/>
  <c r="M3550" i="49"/>
  <c r="P3550" i="49"/>
  <c r="G3550" i="49"/>
  <c r="M3216" i="49"/>
  <c r="P3216" i="49"/>
  <c r="G3216" i="49"/>
  <c r="M3209" i="49"/>
  <c r="G3209" i="49"/>
  <c r="P3209" i="49"/>
  <c r="P3206" i="49"/>
  <c r="M3206" i="49"/>
  <c r="G3206" i="49"/>
  <c r="M3240" i="49"/>
  <c r="P3240" i="49"/>
  <c r="G3240" i="49"/>
  <c r="P3384" i="49"/>
  <c r="M3384" i="49"/>
  <c r="G3384" i="49"/>
  <c r="P3321" i="49"/>
  <c r="G3321" i="49"/>
  <c r="M3321" i="49"/>
  <c r="G3239" i="49"/>
  <c r="P3239" i="49"/>
  <c r="M3239" i="49"/>
  <c r="M3428" i="49"/>
  <c r="G3428" i="49"/>
  <c r="P3428" i="49"/>
  <c r="M3235" i="49"/>
  <c r="G3235" i="49"/>
  <c r="P3235" i="49"/>
  <c r="G3214" i="49"/>
  <c r="P3214" i="49"/>
  <c r="M3214" i="49"/>
  <c r="M3300" i="49"/>
  <c r="G3300" i="49"/>
  <c r="P3300" i="49"/>
  <c r="P3458" i="49"/>
  <c r="M3458" i="49"/>
  <c r="G3458" i="49"/>
  <c r="P3207" i="49"/>
  <c r="G3207" i="49"/>
  <c r="M3207" i="49"/>
  <c r="G3293" i="49"/>
  <c r="M3293" i="49"/>
  <c r="P3293" i="49"/>
  <c r="M3430" i="49"/>
  <c r="P3430" i="49"/>
  <c r="G3430" i="49"/>
  <c r="G3280" i="49"/>
  <c r="M3280" i="49"/>
  <c r="P3280" i="49"/>
  <c r="G3368" i="49"/>
  <c r="M3368" i="49"/>
  <c r="P3368" i="49"/>
  <c r="M3376" i="49"/>
  <c r="P3376" i="49"/>
  <c r="G3376" i="49"/>
  <c r="G3452" i="49"/>
  <c r="P3452" i="49"/>
  <c r="M3452" i="49"/>
  <c r="M3043" i="49"/>
  <c r="G3043" i="49"/>
  <c r="P3043" i="49"/>
  <c r="M3055" i="49"/>
  <c r="P3055" i="49"/>
  <c r="G3055" i="49"/>
  <c r="M3054" i="49"/>
  <c r="G3054" i="49"/>
  <c r="P3054" i="49"/>
  <c r="M3126" i="49"/>
  <c r="P3126" i="49"/>
  <c r="G3126" i="49"/>
  <c r="P3116" i="49"/>
  <c r="M3116" i="49"/>
  <c r="G3116" i="49"/>
  <c r="M2964" i="49"/>
  <c r="G2964" i="49"/>
  <c r="P2964" i="49"/>
  <c r="M3000" i="49"/>
  <c r="P3000" i="49"/>
  <c r="G3000" i="49"/>
  <c r="G3023" i="49"/>
  <c r="M3023" i="49"/>
  <c r="P3023" i="49"/>
  <c r="G2920" i="49"/>
  <c r="P2920" i="49"/>
  <c r="M2920" i="49"/>
  <c r="P2526" i="49"/>
  <c r="G2526" i="49"/>
  <c r="M2526" i="49"/>
  <c r="P2330" i="49"/>
  <c r="M2330" i="49"/>
  <c r="G2330" i="49"/>
  <c r="P2567" i="49"/>
  <c r="M2567" i="49"/>
  <c r="G2567" i="49"/>
  <c r="P2591" i="49"/>
  <c r="M2591" i="49"/>
  <c r="G2591" i="49"/>
  <c r="G2361" i="49"/>
  <c r="P2361" i="49"/>
  <c r="M2361" i="49"/>
  <c r="M2457" i="49"/>
  <c r="G2457" i="49"/>
  <c r="P2457" i="49"/>
  <c r="M2594" i="49"/>
  <c r="G2594" i="49"/>
  <c r="P2594" i="49"/>
  <c r="M2490" i="49"/>
  <c r="G2490" i="49"/>
  <c r="P2490" i="49"/>
  <c r="M2419" i="49"/>
  <c r="P2419" i="49"/>
  <c r="G2419" i="49"/>
  <c r="M560" i="49"/>
  <c r="P560" i="49"/>
  <c r="H560" i="49"/>
  <c r="G560" i="49"/>
  <c r="M2082" i="49"/>
  <c r="G2082" i="49"/>
  <c r="P2082" i="49"/>
  <c r="P2221" i="49"/>
  <c r="M2221" i="49"/>
  <c r="G2221" i="49"/>
  <c r="P2283" i="49"/>
  <c r="M2283" i="49"/>
  <c r="G2283" i="49"/>
  <c r="P2280" i="49"/>
  <c r="M2280" i="49"/>
  <c r="G2280" i="49"/>
  <c r="G2055" i="49"/>
  <c r="P2055" i="49"/>
  <c r="M2055" i="49"/>
  <c r="M2263" i="49"/>
  <c r="P2263" i="49"/>
  <c r="G2263" i="49"/>
  <c r="M2189" i="49"/>
  <c r="G2189" i="49"/>
  <c r="P2189" i="49"/>
  <c r="M2246" i="49"/>
  <c r="G2246" i="49"/>
  <c r="P2246" i="49"/>
  <c r="M2197" i="49"/>
  <c r="G2197" i="49"/>
  <c r="P2197" i="49"/>
  <c r="P2215" i="49"/>
  <c r="M2215" i="49"/>
  <c r="G2215" i="49"/>
  <c r="M2187" i="49"/>
  <c r="G2187" i="49"/>
  <c r="P2187" i="49"/>
  <c r="M2272" i="49"/>
  <c r="G2272" i="49"/>
  <c r="P2272" i="49"/>
  <c r="M2111" i="49"/>
  <c r="P2111" i="49"/>
  <c r="G2111" i="49"/>
  <c r="P2196" i="49"/>
  <c r="M2196" i="49"/>
  <c r="G2196" i="49"/>
  <c r="M2281" i="49"/>
  <c r="G2281" i="49"/>
  <c r="P2281" i="49"/>
  <c r="G2294" i="49"/>
  <c r="P2294" i="49"/>
  <c r="M2294" i="49"/>
  <c r="M1801" i="49"/>
  <c r="G1801" i="49"/>
  <c r="P1801" i="49"/>
  <c r="M1948" i="49"/>
  <c r="P1948" i="49"/>
  <c r="G1948" i="49"/>
  <c r="M1967" i="49"/>
  <c r="P1967" i="49"/>
  <c r="G1967" i="49"/>
  <c r="P1837" i="49"/>
  <c r="M1837" i="49"/>
  <c r="G1837" i="49"/>
  <c r="G1857" i="49"/>
  <c r="M1857" i="49"/>
  <c r="P1857" i="49"/>
  <c r="M2015" i="49"/>
  <c r="G2015" i="49"/>
  <c r="P2015" i="49"/>
  <c r="P1800" i="49"/>
  <c r="M1800" i="49"/>
  <c r="G1800" i="49"/>
  <c r="G1780" i="49"/>
  <c r="P1780" i="49"/>
  <c r="M1780" i="49"/>
  <c r="P1540" i="49"/>
  <c r="M1540" i="49"/>
  <c r="G1540" i="49"/>
  <c r="P1620" i="49"/>
  <c r="G1620" i="49"/>
  <c r="M1620" i="49"/>
  <c r="G1719" i="49"/>
  <c r="P1719" i="49"/>
  <c r="M1719" i="49"/>
  <c r="P1536" i="49"/>
  <c r="M1536" i="49"/>
  <c r="G1536" i="49"/>
  <c r="G1623" i="49"/>
  <c r="M1623" i="49"/>
  <c r="P1623" i="49"/>
  <c r="G1689" i="49"/>
  <c r="P1689" i="49"/>
  <c r="M1689" i="49"/>
  <c r="M1583" i="49"/>
  <c r="G1583" i="49"/>
  <c r="P1583" i="49"/>
  <c r="G1515" i="49"/>
  <c r="P1515" i="49"/>
  <c r="M1515" i="49"/>
  <c r="G1625" i="49"/>
  <c r="M1625" i="49"/>
  <c r="P1625" i="49"/>
  <c r="P1555" i="49"/>
  <c r="M1555" i="49"/>
  <c r="G1555" i="49"/>
  <c r="G1679" i="49"/>
  <c r="M1679" i="49"/>
  <c r="P1679" i="49"/>
  <c r="G1539" i="49"/>
  <c r="M1539" i="49"/>
  <c r="P1539" i="49"/>
  <c r="G1695" i="49"/>
  <c r="P1695" i="49"/>
  <c r="M1695" i="49"/>
  <c r="M1678" i="49"/>
  <c r="P1678" i="49"/>
  <c r="G1678" i="49"/>
  <c r="G1532" i="49"/>
  <c r="M1532" i="49"/>
  <c r="P1532" i="49"/>
  <c r="M1604" i="49"/>
  <c r="P1604" i="49"/>
  <c r="G1604" i="49"/>
  <c r="P1676" i="49"/>
  <c r="G1676" i="49"/>
  <c r="M1676" i="49"/>
  <c r="P1186" i="49"/>
  <c r="M1186" i="49"/>
  <c r="G1186" i="49"/>
  <c r="M1177" i="49"/>
  <c r="G1177" i="49"/>
  <c r="P1177" i="49"/>
  <c r="G1263" i="49"/>
  <c r="P1263" i="49"/>
  <c r="M1263" i="49"/>
  <c r="P1206" i="49"/>
  <c r="G1206" i="49"/>
  <c r="M1206" i="49"/>
  <c r="G1375" i="49"/>
  <c r="M1375" i="49"/>
  <c r="P1375" i="49"/>
  <c r="P1374" i="49"/>
  <c r="M1374" i="49"/>
  <c r="G1374" i="49"/>
  <c r="G628" i="49"/>
  <c r="P628" i="49"/>
  <c r="M628" i="49"/>
  <c r="G808" i="49"/>
  <c r="M808" i="49"/>
  <c r="P808" i="49"/>
  <c r="M810" i="49"/>
  <c r="G810" i="49"/>
  <c r="P810" i="49"/>
  <c r="P809" i="49"/>
  <c r="G809" i="49"/>
  <c r="M809" i="49"/>
  <c r="P310" i="49"/>
  <c r="M310" i="49"/>
  <c r="H310" i="49"/>
  <c r="G310" i="49"/>
  <c r="M561" i="49"/>
  <c r="H561" i="49"/>
  <c r="G561" i="49"/>
  <c r="P561" i="49"/>
  <c r="P4952" i="49"/>
  <c r="M4952" i="49"/>
  <c r="G4952" i="49"/>
  <c r="G5146" i="49"/>
  <c r="M5146" i="49"/>
  <c r="P5146" i="49"/>
  <c r="G4939" i="49"/>
  <c r="M4939" i="49"/>
  <c r="P4939" i="49"/>
  <c r="G5086" i="49"/>
  <c r="M5086" i="49"/>
  <c r="P5086" i="49"/>
  <c r="P5047" i="49"/>
  <c r="G5047" i="49"/>
  <c r="M5047" i="49"/>
  <c r="G5130" i="49"/>
  <c r="M5130" i="49"/>
  <c r="P5130" i="49"/>
  <c r="G5059" i="49"/>
  <c r="M5059" i="49"/>
  <c r="P5059" i="49"/>
  <c r="P5098" i="49"/>
  <c r="M5098" i="49"/>
  <c r="G5098" i="49"/>
  <c r="G5038" i="49"/>
  <c r="M5038" i="49"/>
  <c r="P5038" i="49"/>
  <c r="P5025" i="49"/>
  <c r="G5025" i="49"/>
  <c r="M5025" i="49"/>
  <c r="G5192" i="49"/>
  <c r="M5192" i="49"/>
  <c r="P5192" i="49"/>
  <c r="E39" i="23"/>
  <c r="J517" i="49"/>
  <c r="Q517" i="49" s="1"/>
  <c r="P4683" i="49"/>
  <c r="M4683" i="49"/>
  <c r="G4683" i="49"/>
  <c r="P4773" i="49"/>
  <c r="M4773" i="49"/>
  <c r="G4773" i="49"/>
  <c r="P4744" i="49"/>
  <c r="M4744" i="49"/>
  <c r="G4744" i="49"/>
  <c r="P4803" i="49"/>
  <c r="M4803" i="49"/>
  <c r="G4803" i="49"/>
  <c r="G4654" i="49"/>
  <c r="P4654" i="49"/>
  <c r="M4654" i="49"/>
  <c r="G4837" i="49"/>
  <c r="P4837" i="49"/>
  <c r="N4837" i="49"/>
  <c r="O4837" i="49" s="1"/>
  <c r="M4837" i="49"/>
  <c r="M4898" i="49"/>
  <c r="P4898" i="49"/>
  <c r="G4898" i="49"/>
  <c r="M4880" i="49"/>
  <c r="P4880" i="49"/>
  <c r="G4880" i="49"/>
  <c r="G4643" i="49"/>
  <c r="P4643" i="49"/>
  <c r="M4643" i="49"/>
  <c r="P4730" i="49"/>
  <c r="M4730" i="49"/>
  <c r="G4730" i="49"/>
  <c r="G4838" i="49"/>
  <c r="P4838" i="49"/>
  <c r="M4838" i="49"/>
  <c r="P4888" i="49"/>
  <c r="M4888" i="49"/>
  <c r="G4888" i="49"/>
  <c r="G4746" i="49"/>
  <c r="M4746" i="49"/>
  <c r="P4746" i="49"/>
  <c r="G4818" i="49"/>
  <c r="P4818" i="49"/>
  <c r="M4818" i="49"/>
  <c r="P4733" i="49"/>
  <c r="M4733" i="49"/>
  <c r="G4733" i="49"/>
  <c r="G4805" i="49"/>
  <c r="P4805" i="49"/>
  <c r="M4805" i="49"/>
  <c r="M4877" i="49"/>
  <c r="P4877" i="49"/>
  <c r="G4877" i="49"/>
  <c r="E39" i="24"/>
  <c r="H7" i="40"/>
  <c r="Q441" i="49"/>
  <c r="J441" i="49"/>
  <c r="E19" i="17"/>
  <c r="E14" i="8"/>
  <c r="F19" i="24"/>
  <c r="I11" i="39"/>
  <c r="I10" i="39"/>
  <c r="M4133" i="49"/>
  <c r="G4133" i="49"/>
  <c r="P4133" i="49"/>
  <c r="M4097" i="49"/>
  <c r="G4097" i="49"/>
  <c r="N4097" i="49"/>
  <c r="O4097" i="49" s="1"/>
  <c r="P4097" i="49"/>
  <c r="M4109" i="49"/>
  <c r="G4109" i="49"/>
  <c r="P4109" i="49"/>
  <c r="P4272" i="49"/>
  <c r="M4272" i="49"/>
  <c r="G4272" i="49"/>
  <c r="P4321" i="49"/>
  <c r="M4321" i="49"/>
  <c r="G4321" i="49"/>
  <c r="M4332" i="49"/>
  <c r="P4332" i="49"/>
  <c r="G4332" i="49"/>
  <c r="G4246" i="49"/>
  <c r="P4246" i="49"/>
  <c r="M4246" i="49"/>
  <c r="P4322" i="49"/>
  <c r="M4322" i="49"/>
  <c r="G4322" i="49"/>
  <c r="M4304" i="49"/>
  <c r="G4304" i="49"/>
  <c r="P4304" i="49"/>
  <c r="N4304" i="49"/>
  <c r="O4304" i="49" s="1"/>
  <c r="P4123" i="49"/>
  <c r="G4123" i="49"/>
  <c r="M4123" i="49"/>
  <c r="M4181" i="49"/>
  <c r="P4181" i="49"/>
  <c r="G4181" i="49"/>
  <c r="M4253" i="49"/>
  <c r="P4253" i="49"/>
  <c r="G4253" i="49"/>
  <c r="G4234" i="49"/>
  <c r="P4234" i="49"/>
  <c r="M4234" i="49"/>
  <c r="G4073" i="49"/>
  <c r="P4073" i="49"/>
  <c r="M4073" i="49"/>
  <c r="G4114" i="49"/>
  <c r="P4114" i="49"/>
  <c r="M4114" i="49"/>
  <c r="M4199" i="49"/>
  <c r="G4199" i="49"/>
  <c r="P4199" i="49"/>
  <c r="G4284" i="49"/>
  <c r="P4284" i="49"/>
  <c r="M4284" i="49"/>
  <c r="M4113" i="49"/>
  <c r="G4113" i="49"/>
  <c r="P4113" i="49"/>
  <c r="G4192" i="49"/>
  <c r="P4192" i="49"/>
  <c r="M4192" i="49"/>
  <c r="M4277" i="49"/>
  <c r="G4277" i="49"/>
  <c r="P4277" i="49"/>
  <c r="M4167" i="49"/>
  <c r="P4167" i="49"/>
  <c r="G4167" i="49"/>
  <c r="M4239" i="49"/>
  <c r="G4239" i="49"/>
  <c r="P4239" i="49"/>
  <c r="M4311" i="49"/>
  <c r="P4311" i="49"/>
  <c r="G4311" i="49"/>
  <c r="H19" i="40"/>
  <c r="P4502" i="49"/>
  <c r="M4502" i="49"/>
  <c r="G4502" i="49"/>
  <c r="P4628" i="49"/>
  <c r="M4628" i="49"/>
  <c r="G4628" i="49"/>
  <c r="P4574" i="49"/>
  <c r="M4574" i="49"/>
  <c r="G4574" i="49"/>
  <c r="M4451" i="49"/>
  <c r="P4451" i="49"/>
  <c r="G4451" i="49"/>
  <c r="M4538" i="49"/>
  <c r="G4538" i="49"/>
  <c r="P4538" i="49"/>
  <c r="P4392" i="49"/>
  <c r="M4392" i="49"/>
  <c r="G4392" i="49"/>
  <c r="G4495" i="49"/>
  <c r="P4495" i="49"/>
  <c r="M4495" i="49"/>
  <c r="M4515" i="49"/>
  <c r="P4515" i="49"/>
  <c r="G4515" i="49"/>
  <c r="M4360" i="49"/>
  <c r="G4360" i="49"/>
  <c r="P4360" i="49"/>
  <c r="G4342" i="49"/>
  <c r="M4342" i="49"/>
  <c r="P4342" i="49"/>
  <c r="G4626" i="49"/>
  <c r="P4626" i="49"/>
  <c r="M4626" i="49"/>
  <c r="M4343" i="49"/>
  <c r="G4343" i="49"/>
  <c r="P4343" i="49"/>
  <c r="M4591" i="49"/>
  <c r="P4591" i="49"/>
  <c r="G4591" i="49"/>
  <c r="P4440" i="49"/>
  <c r="M4440" i="49"/>
  <c r="G4440" i="49"/>
  <c r="M4557" i="49"/>
  <c r="P4557" i="49"/>
  <c r="G4557" i="49"/>
  <c r="G4383" i="49"/>
  <c r="P4383" i="49"/>
  <c r="M4383" i="49"/>
  <c r="G4455" i="49"/>
  <c r="P4455" i="49"/>
  <c r="M4455" i="49"/>
  <c r="M4539" i="49"/>
  <c r="G4539" i="49"/>
  <c r="P4539" i="49"/>
  <c r="M4364" i="49"/>
  <c r="G4364" i="49"/>
  <c r="P4364" i="49"/>
  <c r="M4436" i="49"/>
  <c r="G4436" i="49"/>
  <c r="P4436" i="49"/>
  <c r="P4522" i="49"/>
  <c r="G4522" i="49"/>
  <c r="M4522" i="49"/>
  <c r="G4470" i="49"/>
  <c r="M4470" i="49"/>
  <c r="P4470" i="49"/>
  <c r="G4542" i="49"/>
  <c r="P4542" i="49"/>
  <c r="M4542" i="49"/>
  <c r="G4622" i="49"/>
  <c r="P4622" i="49"/>
  <c r="M4622" i="49"/>
  <c r="M2736" i="49"/>
  <c r="P2736" i="49"/>
  <c r="G2736" i="49"/>
  <c r="P2888" i="49"/>
  <c r="G2888" i="49"/>
  <c r="M2888" i="49"/>
  <c r="M2608" i="49"/>
  <c r="G2608" i="49"/>
  <c r="P2608" i="49"/>
  <c r="G2767" i="49"/>
  <c r="P2767" i="49"/>
  <c r="M2767" i="49"/>
  <c r="M2720" i="49"/>
  <c r="G2720" i="49"/>
  <c r="P2720" i="49"/>
  <c r="P2682" i="49"/>
  <c r="M2682" i="49"/>
  <c r="G2682" i="49"/>
  <c r="M2702" i="49"/>
  <c r="G2702" i="49"/>
  <c r="P2702" i="49"/>
  <c r="P2727" i="49"/>
  <c r="M2727" i="49"/>
  <c r="G2727" i="49"/>
  <c r="P2705" i="49"/>
  <c r="M2705" i="49"/>
  <c r="G2705" i="49"/>
  <c r="M2715" i="49"/>
  <c r="G2715" i="49"/>
  <c r="P2715" i="49"/>
  <c r="P2804" i="49"/>
  <c r="M2804" i="49"/>
  <c r="G2804" i="49"/>
  <c r="M2681" i="49"/>
  <c r="P2681" i="49"/>
  <c r="G2681" i="49"/>
  <c r="M2754" i="49"/>
  <c r="G2754" i="49"/>
  <c r="P2754" i="49"/>
  <c r="G2875" i="49"/>
  <c r="P2875" i="49"/>
  <c r="M2875" i="49"/>
  <c r="P2744" i="49"/>
  <c r="G2744" i="49"/>
  <c r="M2744" i="49"/>
  <c r="P2610" i="49"/>
  <c r="M2610" i="49"/>
  <c r="G2610" i="49"/>
  <c r="G2713" i="49"/>
  <c r="P2713" i="49"/>
  <c r="M2713" i="49"/>
  <c r="P2798" i="49"/>
  <c r="M2798" i="49"/>
  <c r="G2798" i="49"/>
  <c r="G2747" i="49"/>
  <c r="P2747" i="49"/>
  <c r="M2747" i="49"/>
  <c r="M2832" i="49"/>
  <c r="G2832" i="49"/>
  <c r="P2832" i="49"/>
  <c r="P2756" i="49"/>
  <c r="G2756" i="49"/>
  <c r="M2756" i="49"/>
  <c r="G2841" i="49"/>
  <c r="P2841" i="49"/>
  <c r="M2841" i="49"/>
  <c r="G2770" i="49"/>
  <c r="P2770" i="49"/>
  <c r="M2770" i="49"/>
  <c r="G2842" i="49"/>
  <c r="P2842" i="49"/>
  <c r="M2842" i="49"/>
  <c r="M894" i="49"/>
  <c r="G894" i="49"/>
  <c r="P894" i="49"/>
  <c r="P1015" i="49"/>
  <c r="M1015" i="49"/>
  <c r="G1015" i="49"/>
  <c r="P959" i="49"/>
  <c r="M959" i="49"/>
  <c r="G959" i="49"/>
  <c r="M1080" i="49"/>
  <c r="P1080" i="49"/>
  <c r="G1080" i="49"/>
  <c r="M953" i="49"/>
  <c r="G953" i="49"/>
  <c r="P953" i="49"/>
  <c r="M1074" i="49"/>
  <c r="G1074" i="49"/>
  <c r="P1074" i="49"/>
  <c r="G1102" i="49"/>
  <c r="M1102" i="49"/>
  <c r="P1102" i="49"/>
  <c r="P931" i="49"/>
  <c r="G931" i="49"/>
  <c r="M931" i="49"/>
  <c r="G1016" i="49"/>
  <c r="P1016" i="49"/>
  <c r="M1016" i="49"/>
  <c r="G1108" i="49"/>
  <c r="M1108" i="49"/>
  <c r="P1108" i="49"/>
  <c r="P937" i="49"/>
  <c r="M937" i="49"/>
  <c r="G937" i="49"/>
  <c r="G1022" i="49"/>
  <c r="P1022" i="49"/>
  <c r="M1022" i="49"/>
  <c r="G1120" i="49"/>
  <c r="M1120" i="49"/>
  <c r="P1120" i="49"/>
  <c r="G1159" i="49"/>
  <c r="P1159" i="49"/>
  <c r="M1159" i="49"/>
  <c r="P939" i="49"/>
  <c r="M939" i="49"/>
  <c r="G939" i="49"/>
  <c r="P1011" i="49"/>
  <c r="G1011" i="49"/>
  <c r="M1011" i="49"/>
  <c r="P1083" i="49"/>
  <c r="M1083" i="49"/>
  <c r="G1083" i="49"/>
  <c r="G1118" i="49"/>
  <c r="P1118" i="49"/>
  <c r="M1118" i="49"/>
  <c r="M930" i="49"/>
  <c r="P930" i="49"/>
  <c r="G930" i="49"/>
  <c r="M1010" i="49"/>
  <c r="G1010" i="49"/>
  <c r="P1010" i="49"/>
  <c r="M636" i="49"/>
  <c r="G636" i="49"/>
  <c r="P636" i="49"/>
  <c r="P346" i="49"/>
  <c r="N346" i="49"/>
  <c r="O346" i="49" s="1"/>
  <c r="G346" i="49"/>
  <c r="H346" i="49"/>
  <c r="M346" i="49"/>
  <c r="P3867" i="49"/>
  <c r="M3867" i="49"/>
  <c r="G3867" i="49"/>
  <c r="M3897" i="49"/>
  <c r="P3897" i="49"/>
  <c r="G3897" i="49"/>
  <c r="P3768" i="49"/>
  <c r="M3768" i="49"/>
  <c r="G3768" i="49"/>
  <c r="M3804" i="49"/>
  <c r="P3804" i="49"/>
  <c r="G3804" i="49"/>
  <c r="G3945" i="49"/>
  <c r="P3945" i="49"/>
  <c r="M3945" i="49"/>
  <c r="P3963" i="49"/>
  <c r="M3963" i="49"/>
  <c r="G3963" i="49"/>
  <c r="M3771" i="49"/>
  <c r="G3771" i="49"/>
  <c r="P3771" i="49"/>
  <c r="M3975" i="49"/>
  <c r="G3975" i="49"/>
  <c r="P3975" i="49"/>
  <c r="G3785" i="49"/>
  <c r="P3785" i="49"/>
  <c r="M3785" i="49"/>
  <c r="P3776" i="49"/>
  <c r="G3776" i="49"/>
  <c r="M3776" i="49"/>
  <c r="P3914" i="49"/>
  <c r="M3914" i="49"/>
  <c r="G3914" i="49"/>
  <c r="P3836" i="49"/>
  <c r="G3836" i="49"/>
  <c r="M3836" i="49"/>
  <c r="P4015" i="49"/>
  <c r="M4015" i="49"/>
  <c r="G4015" i="49"/>
  <c r="M3933" i="49"/>
  <c r="P3933" i="49"/>
  <c r="G3933" i="49"/>
  <c r="M3825" i="49"/>
  <c r="P3825" i="49"/>
  <c r="G3825" i="49"/>
  <c r="M4026" i="49"/>
  <c r="P4026" i="49"/>
  <c r="G4026" i="49"/>
  <c r="P3765" i="49"/>
  <c r="G3765" i="49"/>
  <c r="M3765" i="49"/>
  <c r="P3913" i="49"/>
  <c r="G3913" i="49"/>
  <c r="M3913" i="49"/>
  <c r="G4039" i="49"/>
  <c r="P4039" i="49"/>
  <c r="M4039" i="49"/>
  <c r="G3951" i="49"/>
  <c r="P3951" i="49"/>
  <c r="M3951" i="49"/>
  <c r="G4043" i="49"/>
  <c r="M4043" i="49"/>
  <c r="P4043" i="49"/>
  <c r="M3838" i="49"/>
  <c r="G3838" i="49"/>
  <c r="P3838" i="49"/>
  <c r="M3910" i="49"/>
  <c r="G3910" i="49"/>
  <c r="P3910" i="49"/>
  <c r="M3982" i="49"/>
  <c r="P3982" i="49"/>
  <c r="G3982" i="49"/>
  <c r="P3494" i="49"/>
  <c r="M3494" i="49"/>
  <c r="G3494" i="49"/>
  <c r="P3498" i="49"/>
  <c r="G3498" i="49"/>
  <c r="M3498" i="49"/>
  <c r="M3619" i="49"/>
  <c r="G3619" i="49"/>
  <c r="P3619" i="49"/>
  <c r="M3658" i="49"/>
  <c r="P3658" i="49"/>
  <c r="G3658" i="49"/>
  <c r="P3566" i="49"/>
  <c r="M3566" i="49"/>
  <c r="G3566" i="49"/>
  <c r="M3509" i="49"/>
  <c r="G3509" i="49"/>
  <c r="P3509" i="49"/>
  <c r="M3707" i="49"/>
  <c r="G3707" i="49"/>
  <c r="P3707" i="49"/>
  <c r="M3501" i="49"/>
  <c r="G3501" i="49"/>
  <c r="P3501" i="49"/>
  <c r="P3515" i="49"/>
  <c r="G3515" i="49"/>
  <c r="M3515" i="49"/>
  <c r="P3755" i="49"/>
  <c r="G3755" i="49"/>
  <c r="M3755" i="49"/>
  <c r="M3636" i="49"/>
  <c r="G3636" i="49"/>
  <c r="P3636" i="49"/>
  <c r="P3668" i="49"/>
  <c r="G3668" i="49"/>
  <c r="M3668" i="49"/>
  <c r="P3612" i="49"/>
  <c r="M3612" i="49"/>
  <c r="G3612" i="49"/>
  <c r="P3655" i="49"/>
  <c r="M3655" i="49"/>
  <c r="G3655" i="49"/>
  <c r="G3534" i="49"/>
  <c r="P3534" i="49"/>
  <c r="M3534" i="49"/>
  <c r="G3678" i="49"/>
  <c r="P3678" i="49"/>
  <c r="M3678" i="49"/>
  <c r="G3559" i="49"/>
  <c r="P3559" i="49"/>
  <c r="M3559" i="49"/>
  <c r="G3703" i="49"/>
  <c r="P3703" i="49"/>
  <c r="M3703" i="49"/>
  <c r="G3542" i="49"/>
  <c r="M3542" i="49"/>
  <c r="P3542" i="49"/>
  <c r="G3686" i="49"/>
  <c r="P3686" i="49"/>
  <c r="M3686" i="49"/>
  <c r="G3567" i="49"/>
  <c r="P3567" i="49"/>
  <c r="M3567" i="49"/>
  <c r="M3706" i="49"/>
  <c r="G3706" i="49"/>
  <c r="P3706" i="49"/>
  <c r="P3558" i="49"/>
  <c r="G3558" i="49"/>
  <c r="M3558" i="49"/>
  <c r="P3702" i="49"/>
  <c r="M3702" i="49"/>
  <c r="G3702" i="49"/>
  <c r="P3253" i="49"/>
  <c r="M3253" i="49"/>
  <c r="G3253" i="49"/>
  <c r="P3242" i="49"/>
  <c r="M3242" i="49"/>
  <c r="G3242" i="49"/>
  <c r="M3219" i="49"/>
  <c r="P3219" i="49"/>
  <c r="G3219" i="49"/>
  <c r="P3217" i="49"/>
  <c r="M3217" i="49"/>
  <c r="G3217" i="49"/>
  <c r="M3391" i="49"/>
  <c r="G3391" i="49"/>
  <c r="P3391" i="49"/>
  <c r="P3266" i="49"/>
  <c r="M3266" i="49"/>
  <c r="G3266" i="49"/>
  <c r="M3386" i="49"/>
  <c r="P3386" i="49"/>
  <c r="G3386" i="49"/>
  <c r="P3199" i="49"/>
  <c r="G3199" i="49"/>
  <c r="M3199" i="49"/>
  <c r="M3336" i="49"/>
  <c r="G3336" i="49"/>
  <c r="P3336" i="49"/>
  <c r="M3252" i="49"/>
  <c r="P3252" i="49"/>
  <c r="G3252" i="49"/>
  <c r="P3337" i="49"/>
  <c r="M3337" i="49"/>
  <c r="G3337" i="49"/>
  <c r="M3246" i="49"/>
  <c r="P3246" i="49"/>
  <c r="G3246" i="49"/>
  <c r="P3366" i="49"/>
  <c r="G3366" i="49"/>
  <c r="M3366" i="49"/>
  <c r="P3218" i="49"/>
  <c r="G3218" i="49"/>
  <c r="M3218" i="49"/>
  <c r="G3303" i="49"/>
  <c r="P3303" i="49"/>
  <c r="M3303" i="49"/>
  <c r="P3349" i="49"/>
  <c r="G3349" i="49"/>
  <c r="M3349" i="49"/>
  <c r="P3213" i="49"/>
  <c r="M3213" i="49"/>
  <c r="G3213" i="49"/>
  <c r="P3296" i="49"/>
  <c r="G3296" i="49"/>
  <c r="M3296" i="49"/>
  <c r="M3412" i="49"/>
  <c r="P3412" i="49"/>
  <c r="G3412" i="49"/>
  <c r="M3436" i="49"/>
  <c r="G3436" i="49"/>
  <c r="P3436" i="49"/>
  <c r="P3286" i="49"/>
  <c r="M3286" i="49"/>
  <c r="G3286" i="49"/>
  <c r="M3372" i="49"/>
  <c r="P3372" i="49"/>
  <c r="G3372" i="49"/>
  <c r="G3393" i="49"/>
  <c r="M3393" i="49"/>
  <c r="P3393" i="49"/>
  <c r="G3456" i="49"/>
  <c r="M3456" i="49"/>
  <c r="P3456" i="49"/>
  <c r="G2975" i="49"/>
  <c r="P2975" i="49"/>
  <c r="M2975" i="49"/>
  <c r="G3167" i="49"/>
  <c r="M3167" i="49"/>
  <c r="P3167" i="49"/>
  <c r="M3085" i="49"/>
  <c r="G3085" i="49"/>
  <c r="P3085" i="49"/>
  <c r="M3060" i="49"/>
  <c r="P3060" i="49"/>
  <c r="G3060" i="49"/>
  <c r="G3137" i="49"/>
  <c r="M3137" i="49"/>
  <c r="P3137" i="49"/>
  <c r="G2897" i="49"/>
  <c r="P2897" i="49"/>
  <c r="M2897" i="49"/>
  <c r="M3073" i="49"/>
  <c r="G3073" i="49"/>
  <c r="P3073" i="49"/>
  <c r="M3138" i="49"/>
  <c r="P3138" i="49"/>
  <c r="G3138" i="49"/>
  <c r="G3029" i="49"/>
  <c r="P3029" i="49"/>
  <c r="M3029" i="49"/>
  <c r="P2967" i="49"/>
  <c r="M2967" i="49"/>
  <c r="G2967" i="49"/>
  <c r="M3102" i="49"/>
  <c r="P3102" i="49"/>
  <c r="G3102" i="49"/>
  <c r="M2953" i="49"/>
  <c r="G2953" i="49"/>
  <c r="P2953" i="49"/>
  <c r="P3002" i="49"/>
  <c r="M3002" i="49"/>
  <c r="G3002" i="49"/>
  <c r="M3157" i="49"/>
  <c r="G3157" i="49"/>
  <c r="P3157" i="49"/>
  <c r="G3153" i="49"/>
  <c r="M3153" i="49"/>
  <c r="P3153" i="49"/>
  <c r="G2923" i="49"/>
  <c r="M2923" i="49"/>
  <c r="P2923" i="49"/>
  <c r="P3025" i="49"/>
  <c r="M3025" i="49"/>
  <c r="G3025" i="49"/>
  <c r="M3121" i="49"/>
  <c r="G3121" i="49"/>
  <c r="P3121" i="49"/>
  <c r="P3104" i="49"/>
  <c r="G3104" i="49"/>
  <c r="M3104" i="49"/>
  <c r="M3123" i="49"/>
  <c r="P3123" i="49"/>
  <c r="G3123" i="49"/>
  <c r="M2926" i="49"/>
  <c r="G2926" i="49"/>
  <c r="P2926" i="49"/>
  <c r="P2998" i="49"/>
  <c r="M2998" i="49"/>
  <c r="G2998" i="49"/>
  <c r="P3070" i="49"/>
  <c r="M3070" i="49"/>
  <c r="G3070" i="49"/>
  <c r="P3142" i="49"/>
  <c r="M3142" i="49"/>
  <c r="G3142" i="49"/>
  <c r="M2415" i="49"/>
  <c r="P2415" i="49"/>
  <c r="G2415" i="49"/>
  <c r="G2564" i="49"/>
  <c r="P2564" i="49"/>
  <c r="M2564" i="49"/>
  <c r="P2372" i="49"/>
  <c r="M2372" i="49"/>
  <c r="G2372" i="49"/>
  <c r="M2344" i="49"/>
  <c r="P2344" i="49"/>
  <c r="G2344" i="49"/>
  <c r="M2494" i="49"/>
  <c r="G2494" i="49"/>
  <c r="P2494" i="49"/>
  <c r="M2356" i="49"/>
  <c r="G2356" i="49"/>
  <c r="P2356" i="49"/>
  <c r="P2430" i="49"/>
  <c r="M2430" i="49"/>
  <c r="G2430" i="49"/>
  <c r="M2410" i="49"/>
  <c r="P2410" i="49"/>
  <c r="G2410" i="49"/>
  <c r="M2320" i="49"/>
  <c r="P2320" i="49"/>
  <c r="G2320" i="49"/>
  <c r="M2392" i="49"/>
  <c r="P2392" i="49"/>
  <c r="G2392" i="49"/>
  <c r="M2445" i="49"/>
  <c r="G2445" i="49"/>
  <c r="P2445" i="49"/>
  <c r="M2362" i="49"/>
  <c r="G2362" i="49"/>
  <c r="P2362" i="49"/>
  <c r="P2459" i="49"/>
  <c r="M2459" i="49"/>
  <c r="G2459" i="49"/>
  <c r="G2396" i="49"/>
  <c r="M2396" i="49"/>
  <c r="P2396" i="49"/>
  <c r="P2317" i="49"/>
  <c r="M2317" i="49"/>
  <c r="G2317" i="49"/>
  <c r="P2400" i="49"/>
  <c r="M2400" i="49"/>
  <c r="G2400" i="49"/>
  <c r="P2549" i="49"/>
  <c r="M2549" i="49"/>
  <c r="G2549" i="49"/>
  <c r="G2574" i="49"/>
  <c r="P2574" i="49"/>
  <c r="M2574" i="49"/>
  <c r="G2498" i="49"/>
  <c r="P2498" i="49"/>
  <c r="M2498" i="49"/>
  <c r="M2517" i="49"/>
  <c r="P2517" i="49"/>
  <c r="G2517" i="49"/>
  <c r="M2589" i="49"/>
  <c r="P2589" i="49"/>
  <c r="G2589" i="49"/>
  <c r="M2425" i="49"/>
  <c r="G2425" i="49"/>
  <c r="P2425" i="49"/>
  <c r="P2497" i="49"/>
  <c r="M2497" i="49"/>
  <c r="G2497" i="49"/>
  <c r="P2569" i="49"/>
  <c r="M2569" i="49"/>
  <c r="G2569" i="49"/>
  <c r="H543" i="49"/>
  <c r="G543" i="49"/>
  <c r="P543" i="49"/>
  <c r="M543" i="49"/>
  <c r="M2132" i="49"/>
  <c r="P2132" i="49"/>
  <c r="G2132" i="49"/>
  <c r="M2305" i="49"/>
  <c r="G2305" i="49"/>
  <c r="P2305" i="49"/>
  <c r="M2105" i="49"/>
  <c r="G2105" i="49"/>
  <c r="P2105" i="49"/>
  <c r="P2142" i="49"/>
  <c r="M2142" i="49"/>
  <c r="G2142" i="49"/>
  <c r="M2122" i="49"/>
  <c r="G2122" i="49"/>
  <c r="P2122" i="49"/>
  <c r="M2092" i="49"/>
  <c r="G2092" i="49"/>
  <c r="P2092" i="49"/>
  <c r="M2218" i="49"/>
  <c r="P2218" i="49"/>
  <c r="G2218" i="49"/>
  <c r="M2302" i="49"/>
  <c r="G2302" i="49"/>
  <c r="P2302" i="49"/>
  <c r="M2068" i="49"/>
  <c r="P2068" i="49"/>
  <c r="G2068" i="49"/>
  <c r="M2289" i="49"/>
  <c r="P2289" i="49"/>
  <c r="G2289" i="49"/>
  <c r="G2166" i="49"/>
  <c r="M2166" i="49"/>
  <c r="P2166" i="49"/>
  <c r="P2238" i="49"/>
  <c r="G2238" i="49"/>
  <c r="M2238" i="49"/>
  <c r="M2312" i="49"/>
  <c r="P2312" i="49"/>
  <c r="G2312" i="49"/>
  <c r="P2256" i="49"/>
  <c r="M2256" i="49"/>
  <c r="G2256" i="49"/>
  <c r="M2212" i="49"/>
  <c r="G2212" i="49"/>
  <c r="P2212" i="49"/>
  <c r="G2097" i="49"/>
  <c r="P2097" i="49"/>
  <c r="M2097" i="49"/>
  <c r="M2217" i="49"/>
  <c r="P2217" i="49"/>
  <c r="G2217" i="49"/>
  <c r="M2190" i="49"/>
  <c r="G2190" i="49"/>
  <c r="P2190" i="49"/>
  <c r="M2275" i="49"/>
  <c r="G2275" i="49"/>
  <c r="P2275" i="49"/>
  <c r="M2252" i="49"/>
  <c r="G2252" i="49"/>
  <c r="P2252" i="49"/>
  <c r="M2121" i="49"/>
  <c r="G2121" i="49"/>
  <c r="P2121" i="49"/>
  <c r="M2206" i="49"/>
  <c r="P2206" i="49"/>
  <c r="G2206" i="49"/>
  <c r="M2291" i="49"/>
  <c r="G2291" i="49"/>
  <c r="P2291" i="49"/>
  <c r="P2030" i="49"/>
  <c r="G2030" i="49"/>
  <c r="M2030" i="49"/>
  <c r="P1944" i="49"/>
  <c r="M1944" i="49"/>
  <c r="G1944" i="49"/>
  <c r="M1936" i="49"/>
  <c r="G1936" i="49"/>
  <c r="P1936" i="49"/>
  <c r="M1955" i="49"/>
  <c r="G1955" i="49"/>
  <c r="P1955" i="49"/>
  <c r="P1788" i="49"/>
  <c r="G1788" i="49"/>
  <c r="M1788" i="49"/>
  <c r="P1746" i="49"/>
  <c r="M1746" i="49"/>
  <c r="G1746" i="49"/>
  <c r="M2020" i="49"/>
  <c r="P2020" i="49"/>
  <c r="G2020" i="49"/>
  <c r="P1842" i="49"/>
  <c r="M1842" i="49"/>
  <c r="G1842" i="49"/>
  <c r="G2004" i="49"/>
  <c r="P2004" i="49"/>
  <c r="M2004" i="49"/>
  <c r="G1739" i="49"/>
  <c r="P1739" i="49"/>
  <c r="M1739" i="49"/>
  <c r="M1868" i="49"/>
  <c r="P1868" i="49"/>
  <c r="G1868" i="49"/>
  <c r="M2026" i="49"/>
  <c r="P2026" i="49"/>
  <c r="G2026" i="49"/>
  <c r="M1852" i="49"/>
  <c r="P1852" i="49"/>
  <c r="G1852" i="49"/>
  <c r="P2023" i="49"/>
  <c r="G2023" i="49"/>
  <c r="M2023" i="49"/>
  <c r="P1818" i="49"/>
  <c r="G1818" i="49"/>
  <c r="M1818" i="49"/>
  <c r="M1901" i="49"/>
  <c r="G1901" i="49"/>
  <c r="P1901" i="49"/>
  <c r="M1823" i="49"/>
  <c r="P1823" i="49"/>
  <c r="G1823" i="49"/>
  <c r="G2017" i="49"/>
  <c r="P2017" i="49"/>
  <c r="M2017" i="49"/>
  <c r="M1845" i="49"/>
  <c r="G1845" i="49"/>
  <c r="P1845" i="49"/>
  <c r="M2012" i="49"/>
  <c r="P2012" i="49"/>
  <c r="G2012" i="49"/>
  <c r="P1938" i="49"/>
  <c r="G1938" i="49"/>
  <c r="M1938" i="49"/>
  <c r="G1786" i="49"/>
  <c r="P1786" i="49"/>
  <c r="M1786" i="49"/>
  <c r="G1785" i="49"/>
  <c r="P1785" i="49"/>
  <c r="M1785" i="49"/>
  <c r="P1766" i="49"/>
  <c r="M1766" i="49"/>
  <c r="G1766" i="49"/>
  <c r="P1734" i="49"/>
  <c r="G1734" i="49"/>
  <c r="M1734" i="49"/>
  <c r="G1551" i="49"/>
  <c r="P1551" i="49"/>
  <c r="M1551" i="49"/>
  <c r="G1635" i="49"/>
  <c r="P1635" i="49"/>
  <c r="M1635" i="49"/>
  <c r="M1456" i="49"/>
  <c r="G1456" i="49"/>
  <c r="P1456" i="49"/>
  <c r="P1571" i="49"/>
  <c r="M1571" i="49"/>
  <c r="G1571" i="49"/>
  <c r="G1522" i="49"/>
  <c r="M1522" i="49"/>
  <c r="P1522" i="49"/>
  <c r="M1505" i="49"/>
  <c r="P1505" i="49"/>
  <c r="G1505" i="49"/>
  <c r="G1703" i="49"/>
  <c r="M1703" i="49"/>
  <c r="P1703" i="49"/>
  <c r="P1686" i="49"/>
  <c r="G1686" i="49"/>
  <c r="M1686" i="49"/>
  <c r="M1609" i="49"/>
  <c r="G1609" i="49"/>
  <c r="P1609" i="49"/>
  <c r="G1519" i="49"/>
  <c r="M1519" i="49"/>
  <c r="P1519" i="49"/>
  <c r="G1735" i="49"/>
  <c r="P1735" i="49"/>
  <c r="M1735" i="49"/>
  <c r="M1661" i="49"/>
  <c r="G1661" i="49"/>
  <c r="P1661" i="49"/>
  <c r="G1582" i="49"/>
  <c r="M1582" i="49"/>
  <c r="P1582" i="49"/>
  <c r="M1729" i="49"/>
  <c r="P1729" i="49"/>
  <c r="G1729" i="49"/>
  <c r="P1630" i="49"/>
  <c r="G1630" i="49"/>
  <c r="M1630" i="49"/>
  <c r="M1543" i="49"/>
  <c r="P1543" i="49"/>
  <c r="G1543" i="49"/>
  <c r="G1733" i="49"/>
  <c r="M1733" i="49"/>
  <c r="P1733" i="49"/>
  <c r="G1684" i="49"/>
  <c r="P1684" i="49"/>
  <c r="M1684" i="49"/>
  <c r="P1466" i="49"/>
  <c r="G1466" i="49"/>
  <c r="M1466" i="49"/>
  <c r="P1538" i="49"/>
  <c r="M1538" i="49"/>
  <c r="G1538" i="49"/>
  <c r="P1610" i="49"/>
  <c r="M1610" i="49"/>
  <c r="G1610" i="49"/>
  <c r="P1682" i="49"/>
  <c r="M1682" i="49"/>
  <c r="G1682" i="49"/>
  <c r="P1229" i="49"/>
  <c r="M1229" i="49"/>
  <c r="G1229" i="49"/>
  <c r="M1300" i="49"/>
  <c r="P1300" i="49"/>
  <c r="G1300" i="49"/>
  <c r="M1181" i="49"/>
  <c r="G1181" i="49"/>
  <c r="P1181" i="49"/>
  <c r="P1242" i="49"/>
  <c r="G1242" i="49"/>
  <c r="M1242" i="49"/>
  <c r="P1169" i="49"/>
  <c r="M1169" i="49"/>
  <c r="G1169" i="49"/>
  <c r="P1276" i="49"/>
  <c r="G1276" i="49"/>
  <c r="M1276" i="49"/>
  <c r="G1317" i="49"/>
  <c r="M1317" i="49"/>
  <c r="P1317" i="49"/>
  <c r="M1234" i="49"/>
  <c r="G1234" i="49"/>
  <c r="P1234" i="49"/>
  <c r="M1219" i="49"/>
  <c r="G1219" i="49"/>
  <c r="P1219" i="49"/>
  <c r="G1433" i="49"/>
  <c r="P1433" i="49"/>
  <c r="M1433" i="49"/>
  <c r="M1168" i="49"/>
  <c r="G1168" i="49"/>
  <c r="P1168" i="49"/>
  <c r="P1415" i="49"/>
  <c r="M1415" i="49"/>
  <c r="G1415" i="49"/>
  <c r="G1227" i="49"/>
  <c r="P1227" i="49"/>
  <c r="M1227" i="49"/>
  <c r="P1392" i="49"/>
  <c r="G1392" i="49"/>
  <c r="M1392" i="49"/>
  <c r="G1269" i="49"/>
  <c r="M1269" i="49"/>
  <c r="P1269" i="49"/>
  <c r="P1434" i="49"/>
  <c r="G1434" i="49"/>
  <c r="M1434" i="49"/>
  <c r="M1315" i="49"/>
  <c r="G1315" i="49"/>
  <c r="P1315" i="49"/>
  <c r="G1213" i="49"/>
  <c r="M1213" i="49"/>
  <c r="P1213" i="49"/>
  <c r="P1391" i="49"/>
  <c r="G1391" i="49"/>
  <c r="M1391" i="49"/>
  <c r="P1208" i="49"/>
  <c r="M1208" i="49"/>
  <c r="G1208" i="49"/>
  <c r="P1280" i="49"/>
  <c r="M1280" i="49"/>
  <c r="G1280" i="49"/>
  <c r="P1352" i="49"/>
  <c r="M1352" i="49"/>
  <c r="G1352" i="49"/>
  <c r="P1424" i="49"/>
  <c r="M1424" i="49"/>
  <c r="G1424" i="49"/>
  <c r="P752" i="49"/>
  <c r="M752" i="49"/>
  <c r="G752" i="49"/>
  <c r="P859" i="49"/>
  <c r="M859" i="49"/>
  <c r="G859" i="49"/>
  <c r="M738" i="49"/>
  <c r="P738" i="49"/>
  <c r="G738" i="49"/>
  <c r="P854" i="49"/>
  <c r="M854" i="49"/>
  <c r="G854" i="49"/>
  <c r="M713" i="49"/>
  <c r="G713" i="49"/>
  <c r="P713" i="49"/>
  <c r="M815" i="49"/>
  <c r="G815" i="49"/>
  <c r="P815" i="49"/>
  <c r="P608" i="49"/>
  <c r="G608" i="49"/>
  <c r="M608" i="49"/>
  <c r="G710" i="49"/>
  <c r="P710" i="49"/>
  <c r="M710" i="49"/>
  <c r="P817" i="49"/>
  <c r="M817" i="49"/>
  <c r="G817" i="49"/>
  <c r="M653" i="49"/>
  <c r="G653" i="49"/>
  <c r="P653" i="49"/>
  <c r="M762" i="49"/>
  <c r="P762" i="49"/>
  <c r="G762" i="49"/>
  <c r="M864" i="49"/>
  <c r="P864" i="49"/>
  <c r="G864" i="49"/>
  <c r="M642" i="49"/>
  <c r="P642" i="49"/>
  <c r="G642" i="49"/>
  <c r="P727" i="49"/>
  <c r="M727" i="49"/>
  <c r="G727" i="49"/>
  <c r="G812" i="49"/>
  <c r="P812" i="49"/>
  <c r="M812" i="49"/>
  <c r="M627" i="49"/>
  <c r="G627" i="49"/>
  <c r="P627" i="49"/>
  <c r="M699" i="49"/>
  <c r="P699" i="49"/>
  <c r="G699" i="49"/>
  <c r="M771" i="49"/>
  <c r="P771" i="49"/>
  <c r="G771" i="49"/>
  <c r="M843" i="49"/>
  <c r="G843" i="49"/>
  <c r="P843" i="49"/>
  <c r="P298" i="49"/>
  <c r="M298" i="49"/>
  <c r="G298" i="49"/>
  <c r="H298" i="49"/>
  <c r="J53" i="1"/>
  <c r="S23" i="39"/>
  <c r="U23" i="39" s="1"/>
  <c r="N4662" i="49" s="1"/>
  <c r="O4662" i="49" s="1"/>
  <c r="P365" i="49"/>
  <c r="H365" i="49"/>
  <c r="M365" i="49"/>
  <c r="G365" i="49"/>
  <c r="P573" i="49"/>
  <c r="M573" i="49"/>
  <c r="H573" i="49"/>
  <c r="G573" i="49"/>
  <c r="P347" i="49"/>
  <c r="N347" i="49"/>
  <c r="O347" i="49" s="1"/>
  <c r="M347" i="49"/>
  <c r="H347" i="49"/>
  <c r="G347" i="49"/>
  <c r="H547" i="49"/>
  <c r="G547" i="49"/>
  <c r="P547" i="49"/>
  <c r="M547" i="49"/>
  <c r="P466" i="49"/>
  <c r="M466" i="49"/>
  <c r="G466" i="49"/>
  <c r="H466" i="49"/>
  <c r="H430" i="49"/>
  <c r="G430" i="49"/>
  <c r="P430" i="49"/>
  <c r="M430" i="49"/>
  <c r="M332" i="49"/>
  <c r="H332" i="49"/>
  <c r="G332" i="49"/>
  <c r="P332" i="49"/>
  <c r="H439" i="49"/>
  <c r="N439" i="49"/>
  <c r="O439" i="49" s="1"/>
  <c r="M439" i="49"/>
  <c r="G439" i="49"/>
  <c r="P439" i="49"/>
  <c r="H301" i="49"/>
  <c r="G301" i="49"/>
  <c r="P301" i="49"/>
  <c r="M301" i="49"/>
  <c r="H373" i="49"/>
  <c r="G373" i="49"/>
  <c r="P373" i="49"/>
  <c r="M373" i="49"/>
  <c r="M506" i="49"/>
  <c r="H506" i="49"/>
  <c r="G506" i="49"/>
  <c r="P506" i="49"/>
  <c r="H510" i="49"/>
  <c r="G510" i="49"/>
  <c r="P510" i="49"/>
  <c r="M510" i="49"/>
  <c r="P312" i="49"/>
  <c r="M312" i="49"/>
  <c r="H312" i="49"/>
  <c r="G312" i="49"/>
  <c r="H391" i="49"/>
  <c r="P391" i="49"/>
  <c r="N391" i="49"/>
  <c r="O391" i="49" s="1"/>
  <c r="G391" i="49"/>
  <c r="M391" i="49"/>
  <c r="H535" i="49"/>
  <c r="M535" i="49"/>
  <c r="G535" i="49"/>
  <c r="P535" i="49"/>
  <c r="P522" i="49"/>
  <c r="H522" i="49"/>
  <c r="G522" i="49"/>
  <c r="M522" i="49"/>
  <c r="N522" i="49"/>
  <c r="O522" i="49" s="1"/>
  <c r="P558" i="49"/>
  <c r="M558" i="49"/>
  <c r="H558" i="49"/>
  <c r="G558" i="49"/>
  <c r="P1216" i="49"/>
  <c r="M1216" i="49"/>
  <c r="G1216" i="49"/>
  <c r="M426" i="49"/>
  <c r="H426" i="49"/>
  <c r="G426" i="49"/>
  <c r="N426" i="49"/>
  <c r="O426" i="49" s="1"/>
  <c r="P426" i="49"/>
  <c r="M1815" i="49"/>
  <c r="G1815" i="49"/>
  <c r="P1815" i="49"/>
  <c r="M530" i="49"/>
  <c r="P530" i="49"/>
  <c r="G530" i="49"/>
  <c r="H530" i="49"/>
  <c r="P603" i="49"/>
  <c r="M603" i="49"/>
  <c r="G603" i="49"/>
  <c r="J521" i="49"/>
  <c r="Q521" i="49" s="1"/>
  <c r="J491" i="49"/>
  <c r="Q491" i="49" s="1"/>
  <c r="J393" i="49"/>
  <c r="Q393" i="49" s="1"/>
  <c r="J309" i="49"/>
  <c r="Q309" i="49" s="1"/>
  <c r="J16" i="40"/>
  <c r="P5012" i="49"/>
  <c r="M5012" i="49"/>
  <c r="G5012" i="49"/>
  <c r="P4918" i="49"/>
  <c r="M4918" i="49"/>
  <c r="G4918" i="49"/>
  <c r="P5022" i="49"/>
  <c r="M5022" i="49"/>
  <c r="G5022" i="49"/>
  <c r="M5010" i="49"/>
  <c r="G5010" i="49"/>
  <c r="P5010" i="49"/>
  <c r="P4991" i="49"/>
  <c r="M4991" i="49"/>
  <c r="G4991" i="49"/>
  <c r="P4958" i="49"/>
  <c r="M4958" i="49"/>
  <c r="G4958" i="49"/>
  <c r="P4967" i="49"/>
  <c r="M4967" i="49"/>
  <c r="G4967" i="49"/>
  <c r="M5110" i="49"/>
  <c r="P5110" i="49"/>
  <c r="G5110" i="49"/>
  <c r="G5071" i="49"/>
  <c r="M5071" i="49"/>
  <c r="P5071" i="49"/>
  <c r="P5097" i="49"/>
  <c r="M5097" i="49"/>
  <c r="G5097" i="49"/>
  <c r="G5030" i="49"/>
  <c r="P5030" i="49"/>
  <c r="M5030" i="49"/>
  <c r="P5101" i="49"/>
  <c r="G5101" i="49"/>
  <c r="M5101" i="49"/>
  <c r="P5073" i="49"/>
  <c r="G5073" i="49"/>
  <c r="M5073" i="49"/>
  <c r="P4982" i="49"/>
  <c r="M4982" i="49"/>
  <c r="G4982" i="49"/>
  <c r="P5103" i="49"/>
  <c r="G5103" i="49"/>
  <c r="M5103" i="49"/>
  <c r="M4950" i="49"/>
  <c r="P4950" i="49"/>
  <c r="G4950" i="49"/>
  <c r="P5042" i="49"/>
  <c r="G5042" i="49"/>
  <c r="M5042" i="49"/>
  <c r="P5119" i="49"/>
  <c r="M5119" i="49"/>
  <c r="G5119" i="49"/>
  <c r="M5031" i="49"/>
  <c r="P5031" i="49"/>
  <c r="G5031" i="49"/>
  <c r="M5122" i="49"/>
  <c r="P5122" i="49"/>
  <c r="G5122" i="49"/>
  <c r="M5206" i="49"/>
  <c r="G5206" i="49"/>
  <c r="P5206" i="49"/>
  <c r="N5206" i="49"/>
  <c r="O5206" i="49" s="1"/>
  <c r="G5202" i="49"/>
  <c r="M5202" i="49"/>
  <c r="P5202" i="49"/>
  <c r="M5093" i="49"/>
  <c r="G5093" i="49"/>
  <c r="P5093" i="49"/>
  <c r="M5165" i="49"/>
  <c r="G5165" i="49"/>
  <c r="P5165" i="49"/>
  <c r="J413" i="49"/>
  <c r="Q413" i="49" s="1"/>
  <c r="F39" i="25"/>
  <c r="J410" i="49"/>
  <c r="Q410" i="49" s="1"/>
  <c r="F34" i="8"/>
  <c r="P4629" i="49"/>
  <c r="G4629" i="49"/>
  <c r="M4629" i="49"/>
  <c r="P4731" i="49"/>
  <c r="N4731" i="49"/>
  <c r="O4731" i="49" s="1"/>
  <c r="M4731" i="49"/>
  <c r="G4731" i="49"/>
  <c r="N4874" i="49"/>
  <c r="O4874" i="49" s="1"/>
  <c r="M4874" i="49"/>
  <c r="G4874" i="49"/>
  <c r="P4874" i="49"/>
  <c r="P4665" i="49"/>
  <c r="G4665" i="49"/>
  <c r="M4665" i="49"/>
  <c r="P4905" i="49"/>
  <c r="M4905" i="49"/>
  <c r="G4905" i="49"/>
  <c r="G4813" i="49"/>
  <c r="P4813" i="49"/>
  <c r="N4813" i="49"/>
  <c r="O4813" i="49" s="1"/>
  <c r="M4813" i="49"/>
  <c r="P4797" i="49"/>
  <c r="G4797" i="49"/>
  <c r="M4797" i="49"/>
  <c r="G4666" i="49"/>
  <c r="P4666" i="49"/>
  <c r="N4666" i="49"/>
  <c r="O4666" i="49" s="1"/>
  <c r="M4666" i="49"/>
  <c r="P4840" i="49"/>
  <c r="M4840" i="49"/>
  <c r="G4840" i="49"/>
  <c r="P4887" i="49"/>
  <c r="M4887" i="49"/>
  <c r="G4887" i="49"/>
  <c r="P4912" i="49"/>
  <c r="M4912" i="49"/>
  <c r="N4912" i="49"/>
  <c r="O4912" i="49" s="1"/>
  <c r="G4912" i="49"/>
  <c r="G4885" i="49"/>
  <c r="P4885" i="49"/>
  <c r="M4885" i="49"/>
  <c r="P4899" i="49"/>
  <c r="M4899" i="49"/>
  <c r="G4899" i="49"/>
  <c r="G4649" i="49"/>
  <c r="M4649" i="49"/>
  <c r="P4649" i="49"/>
  <c r="P4743" i="49"/>
  <c r="N4743" i="49"/>
  <c r="O4743" i="49" s="1"/>
  <c r="M4743" i="49"/>
  <c r="G4743" i="49"/>
  <c r="P4851" i="49"/>
  <c r="G4851" i="49"/>
  <c r="M4851" i="49"/>
  <c r="P4798" i="49"/>
  <c r="G4798" i="49"/>
  <c r="N4798" i="49"/>
  <c r="O4798" i="49" s="1"/>
  <c r="M4798" i="49"/>
  <c r="M4904" i="49"/>
  <c r="G4904" i="49"/>
  <c r="P4904" i="49"/>
  <c r="G4752" i="49"/>
  <c r="P4752" i="49"/>
  <c r="M4752" i="49"/>
  <c r="G4824" i="49"/>
  <c r="P4824" i="49"/>
  <c r="M4824" i="49"/>
  <c r="G4896" i="49"/>
  <c r="P4896" i="49"/>
  <c r="M4896" i="49"/>
  <c r="M4739" i="49"/>
  <c r="G4739" i="49"/>
  <c r="P4739" i="49"/>
  <c r="N4739" i="49"/>
  <c r="O4739" i="49" s="1"/>
  <c r="G4811" i="49"/>
  <c r="P4811" i="49"/>
  <c r="M4811" i="49"/>
  <c r="P4883" i="49"/>
  <c r="G4883" i="49"/>
  <c r="M4883" i="49"/>
  <c r="J46" i="1"/>
  <c r="F39" i="28"/>
  <c r="I7" i="40"/>
  <c r="E39" i="30"/>
  <c r="F19" i="30"/>
  <c r="G17" i="40"/>
  <c r="F19" i="21"/>
  <c r="D5" i="1"/>
  <c r="J38" i="1"/>
  <c r="B5" i="1"/>
  <c r="S8" i="39"/>
  <c r="U8" i="39" s="1"/>
  <c r="N381" i="49" s="1"/>
  <c r="O381" i="49" s="1"/>
  <c r="P537" i="49"/>
  <c r="P492" i="49"/>
  <c r="P566" i="49"/>
  <c r="E18" i="8"/>
  <c r="H66" i="14"/>
  <c r="D66" i="14"/>
  <c r="J66" i="14"/>
  <c r="F66" i="14"/>
  <c r="I66" i="14"/>
  <c r="G66" i="14"/>
  <c r="C66" i="14"/>
  <c r="E66" i="14"/>
  <c r="F10" i="12"/>
  <c r="D10" i="12"/>
  <c r="D12" i="5" s="1"/>
  <c r="E10" i="12"/>
  <c r="C24" i="13"/>
  <c r="C10" i="12"/>
  <c r="G5" i="12"/>
  <c r="H5" i="12" s="1"/>
  <c r="E7" i="5"/>
  <c r="E2" i="17"/>
  <c r="I18" i="39"/>
  <c r="E39" i="16"/>
  <c r="E27" i="8"/>
  <c r="F79" i="23"/>
  <c r="F85" i="23"/>
  <c r="E19" i="27"/>
  <c r="D6" i="1"/>
  <c r="J21" i="39"/>
  <c r="J17" i="39"/>
  <c r="J13" i="39"/>
  <c r="J9" i="39"/>
  <c r="J19" i="39"/>
  <c r="J12" i="39"/>
  <c r="J15" i="39"/>
  <c r="J8" i="39"/>
  <c r="J11" i="39"/>
  <c r="J18" i="39"/>
  <c r="J16" i="39"/>
  <c r="J20" i="39"/>
  <c r="J10" i="39"/>
  <c r="J23" i="39"/>
  <c r="J22" i="39"/>
  <c r="J24" i="39"/>
  <c r="J14" i="39"/>
  <c r="P353" i="49"/>
  <c r="N353" i="49"/>
  <c r="O353" i="49" s="1"/>
  <c r="M353" i="49"/>
  <c r="G353" i="49"/>
  <c r="H353" i="49"/>
  <c r="G3923" i="49"/>
  <c r="M3923" i="49"/>
  <c r="P3923" i="49"/>
  <c r="P3561" i="49"/>
  <c r="M3561" i="49"/>
  <c r="G3561" i="49"/>
  <c r="P2394" i="49"/>
  <c r="M2394" i="49"/>
  <c r="G2394" i="49"/>
  <c r="M2518" i="49"/>
  <c r="G2518" i="49"/>
  <c r="P2518" i="49"/>
  <c r="P2064" i="49"/>
  <c r="M2064" i="49"/>
  <c r="G2064" i="49"/>
  <c r="M2290" i="49"/>
  <c r="P2290" i="49"/>
  <c r="G2290" i="49"/>
  <c r="P1980" i="49"/>
  <c r="M1980" i="49"/>
  <c r="G1980" i="49"/>
  <c r="P1830" i="49"/>
  <c r="G1830" i="49"/>
  <c r="M1830" i="49"/>
  <c r="P1500" i="49"/>
  <c r="M1500" i="49"/>
  <c r="G1500" i="49"/>
  <c r="G1401" i="49"/>
  <c r="M1401" i="49"/>
  <c r="P1401" i="49"/>
  <c r="P749" i="49"/>
  <c r="G749" i="49"/>
  <c r="M749" i="49"/>
  <c r="G706" i="49"/>
  <c r="P706" i="49"/>
  <c r="M706" i="49"/>
  <c r="P592" i="49"/>
  <c r="G592" i="49"/>
  <c r="M592" i="49"/>
  <c r="M648" i="49"/>
  <c r="P648" i="49"/>
  <c r="G648" i="49"/>
  <c r="G862" i="49"/>
  <c r="M862" i="49"/>
  <c r="P862" i="49"/>
  <c r="M632" i="49"/>
  <c r="G632" i="49"/>
  <c r="P632" i="49"/>
  <c r="P621" i="49"/>
  <c r="M621" i="49"/>
  <c r="G621" i="49"/>
  <c r="P693" i="49"/>
  <c r="M693" i="49"/>
  <c r="G693" i="49"/>
  <c r="P837" i="49"/>
  <c r="G837" i="49"/>
  <c r="M837" i="49"/>
  <c r="P334" i="49"/>
  <c r="H334" i="49"/>
  <c r="M334" i="49"/>
  <c r="G334" i="49"/>
  <c r="P533" i="49"/>
  <c r="N533" i="49"/>
  <c r="O533" i="49" s="1"/>
  <c r="M533" i="49"/>
  <c r="H533" i="49"/>
  <c r="G533" i="49"/>
  <c r="P378" i="49"/>
  <c r="M378" i="49"/>
  <c r="H378" i="49"/>
  <c r="G378" i="49"/>
  <c r="G552" i="49"/>
  <c r="M552" i="49"/>
  <c r="H552" i="49"/>
  <c r="P552" i="49"/>
  <c r="H499" i="49"/>
  <c r="P499" i="49"/>
  <c r="M499" i="49"/>
  <c r="G499" i="49"/>
  <c r="P580" i="49"/>
  <c r="M580" i="49"/>
  <c r="H580" i="49"/>
  <c r="G580" i="49"/>
  <c r="G662" i="49"/>
  <c r="P662" i="49"/>
  <c r="M662" i="49"/>
  <c r="J14" i="40"/>
  <c r="G994" i="49"/>
  <c r="M994" i="49"/>
  <c r="P994" i="49"/>
  <c r="P4600" i="49"/>
  <c r="M4600" i="49"/>
  <c r="G4600" i="49"/>
  <c r="P4469" i="49"/>
  <c r="M4469" i="49"/>
  <c r="G4469" i="49"/>
  <c r="M4497" i="49"/>
  <c r="G4497" i="49"/>
  <c r="P4497" i="49"/>
  <c r="M4491" i="49"/>
  <c r="P4491" i="49"/>
  <c r="G4491" i="49"/>
  <c r="M4553" i="49"/>
  <c r="P4553" i="49"/>
  <c r="G4553" i="49"/>
  <c r="M4396" i="49"/>
  <c r="G4396" i="49"/>
  <c r="P4396" i="49"/>
  <c r="P4510" i="49"/>
  <c r="G4510" i="49"/>
  <c r="M4510" i="49"/>
  <c r="G4525" i="49"/>
  <c r="M4525" i="49"/>
  <c r="P4525" i="49"/>
  <c r="P4374" i="49"/>
  <c r="G4374" i="49"/>
  <c r="M4374" i="49"/>
  <c r="M4361" i="49"/>
  <c r="G4361" i="49"/>
  <c r="P4361" i="49"/>
  <c r="G4350" i="49"/>
  <c r="P4350" i="49"/>
  <c r="M4350" i="49"/>
  <c r="G4346" i="49"/>
  <c r="P4346" i="49"/>
  <c r="M4346" i="49"/>
  <c r="G4614" i="49"/>
  <c r="P4614" i="49"/>
  <c r="M4614" i="49"/>
  <c r="M4456" i="49"/>
  <c r="G4456" i="49"/>
  <c r="P4456" i="49"/>
  <c r="G4559" i="49"/>
  <c r="P4559" i="49"/>
  <c r="M4559" i="49"/>
  <c r="G4389" i="49"/>
  <c r="M4389" i="49"/>
  <c r="P4389" i="49"/>
  <c r="G4460" i="49"/>
  <c r="P4460" i="49"/>
  <c r="M4460" i="49"/>
  <c r="G4549" i="49"/>
  <c r="M4549" i="49"/>
  <c r="P4549" i="49"/>
  <c r="P4370" i="49"/>
  <c r="M4370" i="49"/>
  <c r="G4370" i="49"/>
  <c r="G4442" i="49"/>
  <c r="P4442" i="49"/>
  <c r="M4442" i="49"/>
  <c r="P4532" i="49"/>
  <c r="M4532" i="49"/>
  <c r="G4532" i="49"/>
  <c r="P4476" i="49"/>
  <c r="M4476" i="49"/>
  <c r="G4476" i="49"/>
  <c r="G4548" i="49"/>
  <c r="M4548" i="49"/>
  <c r="P4548" i="49"/>
  <c r="M4571" i="49"/>
  <c r="P4571" i="49"/>
  <c r="G4571" i="49"/>
  <c r="M2778" i="49"/>
  <c r="P2778" i="49"/>
  <c r="G2778" i="49"/>
  <c r="G2757" i="49"/>
  <c r="P2757" i="49"/>
  <c r="M2757" i="49"/>
  <c r="M2637" i="49"/>
  <c r="P2637" i="49"/>
  <c r="G2637" i="49"/>
  <c r="G2611" i="49"/>
  <c r="P2611" i="49"/>
  <c r="M2611" i="49"/>
  <c r="M2814" i="49"/>
  <c r="P2814" i="49"/>
  <c r="G2814" i="49"/>
  <c r="M2708" i="49"/>
  <c r="P2708" i="49"/>
  <c r="G2708" i="49"/>
  <c r="P2712" i="49"/>
  <c r="G2712" i="49"/>
  <c r="M2712" i="49"/>
  <c r="P2738" i="49"/>
  <c r="M2738" i="49"/>
  <c r="G2738" i="49"/>
  <c r="P2774" i="49"/>
  <c r="M2774" i="49"/>
  <c r="G2774" i="49"/>
  <c r="M2730" i="49"/>
  <c r="P2730" i="49"/>
  <c r="G2730" i="49"/>
  <c r="G2807" i="49"/>
  <c r="P2807" i="49"/>
  <c r="M2807" i="49"/>
  <c r="M2691" i="49"/>
  <c r="G2691" i="49"/>
  <c r="P2691" i="49"/>
  <c r="P2761" i="49"/>
  <c r="M2761" i="49"/>
  <c r="G2761" i="49"/>
  <c r="P2882" i="49"/>
  <c r="M2882" i="49"/>
  <c r="G2882" i="49"/>
  <c r="G2751" i="49"/>
  <c r="M2751" i="49"/>
  <c r="P2751" i="49"/>
  <c r="M2631" i="49"/>
  <c r="G2631" i="49"/>
  <c r="P2631" i="49"/>
  <c r="P2716" i="49"/>
  <c r="G2716" i="49"/>
  <c r="M2716" i="49"/>
  <c r="G2803" i="49"/>
  <c r="P2803" i="49"/>
  <c r="M2803" i="49"/>
  <c r="P2750" i="49"/>
  <c r="G2750" i="49"/>
  <c r="M2750" i="49"/>
  <c r="G2835" i="49"/>
  <c r="P2835" i="49"/>
  <c r="M2835" i="49"/>
  <c r="M2766" i="49"/>
  <c r="P2766" i="49"/>
  <c r="G2766" i="49"/>
  <c r="G2851" i="49"/>
  <c r="P2851" i="49"/>
  <c r="M2851" i="49"/>
  <c r="G2776" i="49"/>
  <c r="P2776" i="49"/>
  <c r="M2776" i="49"/>
  <c r="G2848" i="49"/>
  <c r="M2848" i="49"/>
  <c r="P2848" i="49"/>
  <c r="M896" i="49"/>
  <c r="P896" i="49"/>
  <c r="G896" i="49"/>
  <c r="P1028" i="49"/>
  <c r="M1028" i="49"/>
  <c r="G1028" i="49"/>
  <c r="P961" i="49"/>
  <c r="M961" i="49"/>
  <c r="G961" i="49"/>
  <c r="G1090" i="49"/>
  <c r="P1090" i="49"/>
  <c r="M1090" i="49"/>
  <c r="P955" i="49"/>
  <c r="M955" i="49"/>
  <c r="G955" i="49"/>
  <c r="M1076" i="49"/>
  <c r="P1076" i="49"/>
  <c r="G1076" i="49"/>
  <c r="P1105" i="49"/>
  <c r="M1105" i="49"/>
  <c r="G1105" i="49"/>
  <c r="M941" i="49"/>
  <c r="G941" i="49"/>
  <c r="P941" i="49"/>
  <c r="M1026" i="49"/>
  <c r="G1026" i="49"/>
  <c r="P1026" i="49"/>
  <c r="P1111" i="49"/>
  <c r="G1111" i="49"/>
  <c r="M1111" i="49"/>
  <c r="P947" i="49"/>
  <c r="M947" i="49"/>
  <c r="G947" i="49"/>
  <c r="M1032" i="49"/>
  <c r="P1032" i="49"/>
  <c r="G1032" i="49"/>
  <c r="M1126" i="49"/>
  <c r="G1126" i="49"/>
  <c r="P1126" i="49"/>
  <c r="P873" i="49"/>
  <c r="M873" i="49"/>
  <c r="G873" i="49"/>
  <c r="M945" i="49"/>
  <c r="P945" i="49"/>
  <c r="G945" i="49"/>
  <c r="M1017" i="49"/>
  <c r="P1017" i="49"/>
  <c r="G1017" i="49"/>
  <c r="M1089" i="49"/>
  <c r="G1089" i="49"/>
  <c r="P1089" i="49"/>
  <c r="G1124" i="49"/>
  <c r="P1124" i="49"/>
  <c r="M1124" i="49"/>
  <c r="P926" i="49"/>
  <c r="M926" i="49"/>
  <c r="G926" i="49"/>
  <c r="G988" i="49"/>
  <c r="P988" i="49"/>
  <c r="M988" i="49"/>
  <c r="P556" i="49"/>
  <c r="H556" i="49"/>
  <c r="G556" i="49"/>
  <c r="N556" i="49"/>
  <c r="O556" i="49" s="1"/>
  <c r="M556" i="49"/>
  <c r="P311" i="49"/>
  <c r="H311" i="49"/>
  <c r="M311" i="49"/>
  <c r="G311" i="49"/>
  <c r="P4040" i="49"/>
  <c r="G4040" i="49"/>
  <c r="M4040" i="49"/>
  <c r="M3789" i="49"/>
  <c r="P3789" i="49"/>
  <c r="G3789" i="49"/>
  <c r="M3774" i="49"/>
  <c r="G3774" i="49"/>
  <c r="P3774" i="49"/>
  <c r="M3828" i="49"/>
  <c r="P3828" i="49"/>
  <c r="G3828" i="49"/>
  <c r="M4044" i="49"/>
  <c r="P4044" i="49"/>
  <c r="G4044" i="49"/>
  <c r="M4002" i="49"/>
  <c r="P4002" i="49"/>
  <c r="G4002" i="49"/>
  <c r="G3839" i="49"/>
  <c r="P3839" i="49"/>
  <c r="M3839" i="49"/>
  <c r="G3991" i="49"/>
  <c r="M3991" i="49"/>
  <c r="P3991" i="49"/>
  <c r="P3830" i="49"/>
  <c r="M3830" i="49"/>
  <c r="G3830" i="49"/>
  <c r="G3779" i="49"/>
  <c r="M3779" i="49"/>
  <c r="P3779" i="49"/>
  <c r="M3918" i="49"/>
  <c r="G3918" i="49"/>
  <c r="P3918" i="49"/>
  <c r="G3851" i="49"/>
  <c r="M3851" i="49"/>
  <c r="P3851" i="49"/>
  <c r="P4028" i="49"/>
  <c r="M4028" i="49"/>
  <c r="G4028" i="49"/>
  <c r="G3937" i="49"/>
  <c r="P3937" i="49"/>
  <c r="M3937" i="49"/>
  <c r="P3842" i="49"/>
  <c r="M3842" i="49"/>
  <c r="G3842" i="49"/>
  <c r="P3854" i="49"/>
  <c r="M3854" i="49"/>
  <c r="G3854" i="49"/>
  <c r="P3769" i="49"/>
  <c r="M3769" i="49"/>
  <c r="G3769" i="49"/>
  <c r="P3920" i="49"/>
  <c r="M3920" i="49"/>
  <c r="G3920" i="49"/>
  <c r="M4041" i="49"/>
  <c r="P4041" i="49"/>
  <c r="G4041" i="49"/>
  <c r="P3961" i="49"/>
  <c r="G3961" i="49"/>
  <c r="M3961" i="49"/>
  <c r="P4046" i="49"/>
  <c r="M4046" i="49"/>
  <c r="G4046" i="49"/>
  <c r="G3844" i="49"/>
  <c r="M3844" i="49"/>
  <c r="P3844" i="49"/>
  <c r="M3916" i="49"/>
  <c r="P3916" i="49"/>
  <c r="G3916" i="49"/>
  <c r="M3988" i="49"/>
  <c r="P3988" i="49"/>
  <c r="G3988" i="49"/>
  <c r="M3556" i="49"/>
  <c r="G3556" i="49"/>
  <c r="P3556" i="49"/>
  <c r="P3708" i="49"/>
  <c r="M3708" i="49"/>
  <c r="G3708" i="49"/>
  <c r="G3727" i="49"/>
  <c r="M3727" i="49"/>
  <c r="P3727" i="49"/>
  <c r="M3666" i="49"/>
  <c r="G3666" i="49"/>
  <c r="P3666" i="49"/>
  <c r="M3615" i="49"/>
  <c r="G3615" i="49"/>
  <c r="P3615" i="49"/>
  <c r="M3518" i="49"/>
  <c r="P3518" i="49"/>
  <c r="G3518" i="49"/>
  <c r="P3732" i="49"/>
  <c r="M3732" i="49"/>
  <c r="G3732" i="49"/>
  <c r="P3553" i="49"/>
  <c r="M3553" i="49"/>
  <c r="G3553" i="49"/>
  <c r="P3524" i="49"/>
  <c r="M3524" i="49"/>
  <c r="G3524" i="49"/>
  <c r="M3757" i="49"/>
  <c r="G3757" i="49"/>
  <c r="P3757" i="49"/>
  <c r="M3645" i="49"/>
  <c r="G3645" i="49"/>
  <c r="P3645" i="49"/>
  <c r="M3679" i="49"/>
  <c r="G3679" i="49"/>
  <c r="P3679" i="49"/>
  <c r="P3621" i="49"/>
  <c r="M3621" i="49"/>
  <c r="G3621" i="49"/>
  <c r="P3684" i="49"/>
  <c r="M3684" i="49"/>
  <c r="G3684" i="49"/>
  <c r="G3551" i="49"/>
  <c r="M3551" i="49"/>
  <c r="P3551" i="49"/>
  <c r="G3695" i="49"/>
  <c r="M3695" i="49"/>
  <c r="P3695" i="49"/>
  <c r="G3572" i="49"/>
  <c r="M3572" i="49"/>
  <c r="P3572" i="49"/>
  <c r="G3710" i="49"/>
  <c r="M3710" i="49"/>
  <c r="P3710" i="49"/>
  <c r="G3546" i="49"/>
  <c r="P3546" i="49"/>
  <c r="M3546" i="49"/>
  <c r="G3690" i="49"/>
  <c r="M3690" i="49"/>
  <c r="P3690" i="49"/>
  <c r="M3571" i="49"/>
  <c r="G3571" i="49"/>
  <c r="P3571" i="49"/>
  <c r="G3709" i="49"/>
  <c r="P3709" i="49"/>
  <c r="M3709" i="49"/>
  <c r="P3575" i="49"/>
  <c r="M3575" i="49"/>
  <c r="G3575" i="49"/>
  <c r="P3719" i="49"/>
  <c r="M3719" i="49"/>
  <c r="G3719" i="49"/>
  <c r="P3279" i="49"/>
  <c r="M3279" i="49"/>
  <c r="G3279" i="49"/>
  <c r="P3345" i="49"/>
  <c r="G3345" i="49"/>
  <c r="M3345" i="49"/>
  <c r="P3314" i="49"/>
  <c r="M3314" i="49"/>
  <c r="G3314" i="49"/>
  <c r="G3275" i="49"/>
  <c r="P3275" i="49"/>
  <c r="M3275" i="49"/>
  <c r="P3421" i="49"/>
  <c r="M3421" i="49"/>
  <c r="G3421" i="49"/>
  <c r="P3383" i="49"/>
  <c r="M3383" i="49"/>
  <c r="G3383" i="49"/>
  <c r="M3394" i="49"/>
  <c r="G3394" i="49"/>
  <c r="P3394" i="49"/>
  <c r="M3215" i="49"/>
  <c r="G3215" i="49"/>
  <c r="P3215" i="49"/>
  <c r="M3348" i="49"/>
  <c r="P3348" i="49"/>
  <c r="G3348" i="49"/>
  <c r="G3263" i="49"/>
  <c r="M3263" i="49"/>
  <c r="P3263" i="49"/>
  <c r="G3398" i="49"/>
  <c r="P3398" i="49"/>
  <c r="M3398" i="49"/>
  <c r="P3248" i="49"/>
  <c r="M3248" i="49"/>
  <c r="G3248" i="49"/>
  <c r="M3369" i="49"/>
  <c r="G3369" i="49"/>
  <c r="P3369" i="49"/>
  <c r="M3228" i="49"/>
  <c r="G3228" i="49"/>
  <c r="P3228" i="49"/>
  <c r="G3313" i="49"/>
  <c r="P3313" i="49"/>
  <c r="M3313" i="49"/>
  <c r="M3352" i="49"/>
  <c r="G3352" i="49"/>
  <c r="P3352" i="49"/>
  <c r="G3221" i="49"/>
  <c r="P3221" i="49"/>
  <c r="M3221" i="49"/>
  <c r="M3306" i="49"/>
  <c r="G3306" i="49"/>
  <c r="P3306" i="49"/>
  <c r="P3434" i="49"/>
  <c r="G3434" i="49"/>
  <c r="M3434" i="49"/>
  <c r="P3220" i="49"/>
  <c r="G3220" i="49"/>
  <c r="M3220" i="49"/>
  <c r="P3292" i="49"/>
  <c r="M3292" i="49"/>
  <c r="G3292" i="49"/>
  <c r="P3389" i="49"/>
  <c r="M3389" i="49"/>
  <c r="G3389" i="49"/>
  <c r="P3397" i="49"/>
  <c r="M3397" i="49"/>
  <c r="G3397" i="49"/>
  <c r="G3422" i="49"/>
  <c r="M3422" i="49"/>
  <c r="P3422" i="49"/>
  <c r="P3122" i="49"/>
  <c r="M3122" i="49"/>
  <c r="G3122" i="49"/>
  <c r="P2918" i="49"/>
  <c r="M2918" i="49"/>
  <c r="G2918" i="49"/>
  <c r="P3115" i="49"/>
  <c r="M3115" i="49"/>
  <c r="G3115" i="49"/>
  <c r="P3129" i="49"/>
  <c r="M3129" i="49"/>
  <c r="G3129" i="49"/>
  <c r="M3162" i="49"/>
  <c r="G3162" i="49"/>
  <c r="P3162" i="49"/>
  <c r="M2910" i="49"/>
  <c r="P2910" i="49"/>
  <c r="G2910" i="49"/>
  <c r="M3079" i="49"/>
  <c r="P3079" i="49"/>
  <c r="G3079" i="49"/>
  <c r="P3164" i="49"/>
  <c r="M3164" i="49"/>
  <c r="G3164" i="49"/>
  <c r="G3035" i="49"/>
  <c r="M3035" i="49"/>
  <c r="P3035" i="49"/>
  <c r="G2985" i="49"/>
  <c r="M2985" i="49"/>
  <c r="P2985" i="49"/>
  <c r="P3128" i="49"/>
  <c r="M3128" i="49"/>
  <c r="G3128" i="49"/>
  <c r="M3012" i="49"/>
  <c r="P3012" i="49"/>
  <c r="G3012" i="49"/>
  <c r="M3007" i="49"/>
  <c r="P3007" i="49"/>
  <c r="G3007" i="49"/>
  <c r="M3168" i="49"/>
  <c r="P3168" i="49"/>
  <c r="G3168" i="49"/>
  <c r="M3180" i="49"/>
  <c r="G3180" i="49"/>
  <c r="P3180" i="49"/>
  <c r="M2928" i="49"/>
  <c r="G2928" i="49"/>
  <c r="P2928" i="49"/>
  <c r="M3030" i="49"/>
  <c r="G3030" i="49"/>
  <c r="P3030" i="49"/>
  <c r="M3132" i="49"/>
  <c r="G3132" i="49"/>
  <c r="P3132" i="49"/>
  <c r="G3117" i="49"/>
  <c r="M3117" i="49"/>
  <c r="P3117" i="49"/>
  <c r="M3133" i="49"/>
  <c r="G3133" i="49"/>
  <c r="P3133" i="49"/>
  <c r="M2932" i="49"/>
  <c r="P2932" i="49"/>
  <c r="G2932" i="49"/>
  <c r="M3004" i="49"/>
  <c r="G3004" i="49"/>
  <c r="P3004" i="49"/>
  <c r="M3076" i="49"/>
  <c r="P3076" i="49"/>
  <c r="G3076" i="49"/>
  <c r="P3148" i="49"/>
  <c r="M3148" i="49"/>
  <c r="G3148" i="49"/>
  <c r="M2338" i="49"/>
  <c r="G2338" i="49"/>
  <c r="P2338" i="49"/>
  <c r="M2350" i="49"/>
  <c r="P2350" i="49"/>
  <c r="G2350" i="49"/>
  <c r="M2458" i="49"/>
  <c r="P2458" i="49"/>
  <c r="G2458" i="49"/>
  <c r="M2366" i="49"/>
  <c r="P2366" i="49"/>
  <c r="G2366" i="49"/>
  <c r="M2554" i="49"/>
  <c r="G2554" i="49"/>
  <c r="P2554" i="49"/>
  <c r="P2367" i="49"/>
  <c r="G2367" i="49"/>
  <c r="M2367" i="49"/>
  <c r="P2501" i="49"/>
  <c r="M2501" i="49"/>
  <c r="G2501" i="49"/>
  <c r="P2429" i="49"/>
  <c r="M2429" i="49"/>
  <c r="G2429" i="49"/>
  <c r="P2322" i="49"/>
  <c r="M2322" i="49"/>
  <c r="G2322" i="49"/>
  <c r="P2411" i="49"/>
  <c r="M2411" i="49"/>
  <c r="G2411" i="49"/>
  <c r="P2448" i="49"/>
  <c r="M2448" i="49"/>
  <c r="G2448" i="49"/>
  <c r="M2365" i="49"/>
  <c r="G2365" i="49"/>
  <c r="P2365" i="49"/>
  <c r="M2475" i="49"/>
  <c r="G2475" i="49"/>
  <c r="P2475" i="49"/>
  <c r="G2414" i="49"/>
  <c r="M2414" i="49"/>
  <c r="P2414" i="49"/>
  <c r="M2321" i="49"/>
  <c r="P2321" i="49"/>
  <c r="G2321" i="49"/>
  <c r="M2416" i="49"/>
  <c r="P2416" i="49"/>
  <c r="G2416" i="49"/>
  <c r="P2580" i="49"/>
  <c r="M2580" i="49"/>
  <c r="G2580" i="49"/>
  <c r="G2582" i="49"/>
  <c r="M2582" i="49"/>
  <c r="P2582" i="49"/>
  <c r="M2500" i="49"/>
  <c r="G2500" i="49"/>
  <c r="P2500" i="49"/>
  <c r="M2523" i="49"/>
  <c r="P2523" i="49"/>
  <c r="G2523" i="49"/>
  <c r="M2598" i="49"/>
  <c r="G2598" i="49"/>
  <c r="P2598" i="49"/>
  <c r="P2431" i="49"/>
  <c r="M2431" i="49"/>
  <c r="G2431" i="49"/>
  <c r="P2503" i="49"/>
  <c r="M2503" i="49"/>
  <c r="G2503" i="49"/>
  <c r="P2575" i="49"/>
  <c r="M2575" i="49"/>
  <c r="G2575" i="49"/>
  <c r="P508" i="49"/>
  <c r="M508" i="49"/>
  <c r="H508" i="49"/>
  <c r="G508" i="49"/>
  <c r="P2287" i="49"/>
  <c r="M2287" i="49"/>
  <c r="G2287" i="49"/>
  <c r="P2067" i="49"/>
  <c r="M2067" i="49"/>
  <c r="G2067" i="49"/>
  <c r="M2171" i="49"/>
  <c r="G2171" i="49"/>
  <c r="P2171" i="49"/>
  <c r="M2231" i="49"/>
  <c r="P2231" i="49"/>
  <c r="G2231" i="49"/>
  <c r="M2128" i="49"/>
  <c r="G2128" i="49"/>
  <c r="P2128" i="49"/>
  <c r="M2207" i="49"/>
  <c r="G2207" i="49"/>
  <c r="P2207" i="49"/>
  <c r="M2240" i="49"/>
  <c r="P2240" i="49"/>
  <c r="G2240" i="49"/>
  <c r="M2046" i="49"/>
  <c r="G2046" i="49"/>
  <c r="P2046" i="49"/>
  <c r="M2081" i="49"/>
  <c r="P2081" i="49"/>
  <c r="G2081" i="49"/>
  <c r="G2034" i="49"/>
  <c r="M2034" i="49"/>
  <c r="P2034" i="49"/>
  <c r="P2169" i="49"/>
  <c r="G2169" i="49"/>
  <c r="M2169" i="49"/>
  <c r="M2260" i="49"/>
  <c r="P2260" i="49"/>
  <c r="G2260" i="49"/>
  <c r="M2035" i="49"/>
  <c r="G2035" i="49"/>
  <c r="P2035" i="49"/>
  <c r="G2271" i="49"/>
  <c r="M2271" i="49"/>
  <c r="P2271" i="49"/>
  <c r="M2254" i="49"/>
  <c r="P2254" i="49"/>
  <c r="G2254" i="49"/>
  <c r="M2099" i="49"/>
  <c r="P2099" i="49"/>
  <c r="G2099" i="49"/>
  <c r="M2237" i="49"/>
  <c r="P2237" i="49"/>
  <c r="G2237" i="49"/>
  <c r="M2200" i="49"/>
  <c r="G2200" i="49"/>
  <c r="P2200" i="49"/>
  <c r="M2285" i="49"/>
  <c r="G2285" i="49"/>
  <c r="P2285" i="49"/>
  <c r="M2288" i="49"/>
  <c r="G2288" i="49"/>
  <c r="P2288" i="49"/>
  <c r="M2124" i="49"/>
  <c r="P2124" i="49"/>
  <c r="G2124" i="49"/>
  <c r="M2209" i="49"/>
  <c r="P2209" i="49"/>
  <c r="G2209" i="49"/>
  <c r="M2301" i="49"/>
  <c r="G2301" i="49"/>
  <c r="P2301" i="49"/>
  <c r="G2048" i="49"/>
  <c r="P2048" i="49"/>
  <c r="M2048" i="49"/>
  <c r="P1928" i="49"/>
  <c r="M1928" i="49"/>
  <c r="G1928" i="49"/>
  <c r="P1950" i="49"/>
  <c r="M1950" i="49"/>
  <c r="G1950" i="49"/>
  <c r="P1962" i="49"/>
  <c r="M1962" i="49"/>
  <c r="G1962" i="49"/>
  <c r="P1783" i="49"/>
  <c r="M1783" i="49"/>
  <c r="G1783" i="49"/>
  <c r="M1803" i="49"/>
  <c r="P1803" i="49"/>
  <c r="G1803" i="49"/>
  <c r="M2025" i="49"/>
  <c r="G2025" i="49"/>
  <c r="P2025" i="49"/>
  <c r="M1856" i="49"/>
  <c r="G1856" i="49"/>
  <c r="P1856" i="49"/>
  <c r="G1773" i="49"/>
  <c r="M1773" i="49"/>
  <c r="P1773" i="49"/>
  <c r="P1741" i="49"/>
  <c r="M1741" i="49"/>
  <c r="G1741" i="49"/>
  <c r="M1882" i="49"/>
  <c r="P1882" i="49"/>
  <c r="G1882" i="49"/>
  <c r="G1755" i="49"/>
  <c r="P1755" i="49"/>
  <c r="M1755" i="49"/>
  <c r="P1866" i="49"/>
  <c r="M1866" i="49"/>
  <c r="G1866" i="49"/>
  <c r="P1833" i="49"/>
  <c r="M1833" i="49"/>
  <c r="G1833" i="49"/>
  <c r="M1825" i="49"/>
  <c r="G1825" i="49"/>
  <c r="P1825" i="49"/>
  <c r="P1908" i="49"/>
  <c r="M1908" i="49"/>
  <c r="G1908" i="49"/>
  <c r="M1832" i="49"/>
  <c r="G1832" i="49"/>
  <c r="P1832" i="49"/>
  <c r="P2022" i="49"/>
  <c r="M2022" i="49"/>
  <c r="G2022" i="49"/>
  <c r="M1853" i="49"/>
  <c r="G1853" i="49"/>
  <c r="P1853" i="49"/>
  <c r="G1749" i="49"/>
  <c r="M1749" i="49"/>
  <c r="P1749" i="49"/>
  <c r="M1953" i="49"/>
  <c r="G1953" i="49"/>
  <c r="P1953" i="49"/>
  <c r="M1802" i="49"/>
  <c r="G1802" i="49"/>
  <c r="P1802" i="49"/>
  <c r="P1808" i="49"/>
  <c r="G1808" i="49"/>
  <c r="M1808" i="49"/>
  <c r="P1772" i="49"/>
  <c r="M1772" i="49"/>
  <c r="G1772" i="49"/>
  <c r="P1638" i="49"/>
  <c r="M1638" i="49"/>
  <c r="G1638" i="49"/>
  <c r="P1567" i="49"/>
  <c r="M1567" i="49"/>
  <c r="G1567" i="49"/>
  <c r="P1699" i="49"/>
  <c r="M1699" i="49"/>
  <c r="G1699" i="49"/>
  <c r="G1511" i="49"/>
  <c r="P1511" i="49"/>
  <c r="M1511" i="49"/>
  <c r="M1576" i="49"/>
  <c r="G1576" i="49"/>
  <c r="P1576" i="49"/>
  <c r="P1529" i="49"/>
  <c r="M1529" i="49"/>
  <c r="G1529" i="49"/>
  <c r="P1512" i="49"/>
  <c r="M1512" i="49"/>
  <c r="G1512" i="49"/>
  <c r="P1728" i="49"/>
  <c r="M1728" i="49"/>
  <c r="G1728" i="49"/>
  <c r="M1711" i="49"/>
  <c r="G1711" i="49"/>
  <c r="P1711" i="49"/>
  <c r="G1612" i="49"/>
  <c r="P1612" i="49"/>
  <c r="M1612" i="49"/>
  <c r="M1549" i="49"/>
  <c r="G1549" i="49"/>
  <c r="P1549" i="49"/>
  <c r="G1451" i="49"/>
  <c r="P1451" i="49"/>
  <c r="M1451" i="49"/>
  <c r="P1710" i="49"/>
  <c r="M1710" i="49"/>
  <c r="G1710" i="49"/>
  <c r="P1585" i="49"/>
  <c r="G1585" i="49"/>
  <c r="M1585" i="49"/>
  <c r="P1463" i="49"/>
  <c r="M1463" i="49"/>
  <c r="G1463" i="49"/>
  <c r="P1650" i="49"/>
  <c r="G1650" i="49"/>
  <c r="M1650" i="49"/>
  <c r="P1560" i="49"/>
  <c r="M1560" i="49"/>
  <c r="G1560" i="49"/>
  <c r="P1655" i="49"/>
  <c r="M1655" i="49"/>
  <c r="G1655" i="49"/>
  <c r="P1690" i="49"/>
  <c r="M1690" i="49"/>
  <c r="G1690" i="49"/>
  <c r="G1472" i="49"/>
  <c r="P1472" i="49"/>
  <c r="M1472" i="49"/>
  <c r="P1544" i="49"/>
  <c r="M1544" i="49"/>
  <c r="G1544" i="49"/>
  <c r="G1616" i="49"/>
  <c r="P1616" i="49"/>
  <c r="M1616" i="49"/>
  <c r="P1688" i="49"/>
  <c r="M1688" i="49"/>
  <c r="G1688" i="49"/>
  <c r="P1246" i="49"/>
  <c r="G1246" i="49"/>
  <c r="M1246" i="49"/>
  <c r="P1343" i="49"/>
  <c r="M1343" i="49"/>
  <c r="G1343" i="49"/>
  <c r="P1194" i="49"/>
  <c r="M1194" i="49"/>
  <c r="G1194" i="49"/>
  <c r="P1255" i="49"/>
  <c r="M1255" i="49"/>
  <c r="G1255" i="49"/>
  <c r="P1278" i="49"/>
  <c r="G1278" i="49"/>
  <c r="M1278" i="49"/>
  <c r="G1293" i="49"/>
  <c r="P1293" i="49"/>
  <c r="M1293" i="49"/>
  <c r="G1347" i="49"/>
  <c r="P1347" i="49"/>
  <c r="M1347" i="49"/>
  <c r="M1253" i="49"/>
  <c r="G1253" i="49"/>
  <c r="P1253" i="49"/>
  <c r="P1236" i="49"/>
  <c r="M1236" i="49"/>
  <c r="G1236" i="49"/>
  <c r="G1215" i="49"/>
  <c r="M1215" i="49"/>
  <c r="P1215" i="49"/>
  <c r="G1185" i="49"/>
  <c r="M1185" i="49"/>
  <c r="P1185" i="49"/>
  <c r="M1444" i="49"/>
  <c r="G1444" i="49"/>
  <c r="P1444" i="49"/>
  <c r="G1231" i="49"/>
  <c r="P1231" i="49"/>
  <c r="M1231" i="49"/>
  <c r="G1409" i="49"/>
  <c r="M1409" i="49"/>
  <c r="P1409" i="49"/>
  <c r="G1273" i="49"/>
  <c r="P1273" i="49"/>
  <c r="M1273" i="49"/>
  <c r="G1167" i="49"/>
  <c r="P1167" i="49"/>
  <c r="M1167" i="49"/>
  <c r="P1332" i="49"/>
  <c r="M1332" i="49"/>
  <c r="G1332" i="49"/>
  <c r="P1230" i="49"/>
  <c r="G1230" i="49"/>
  <c r="M1230" i="49"/>
  <c r="P1408" i="49"/>
  <c r="M1408" i="49"/>
  <c r="G1408" i="49"/>
  <c r="G1214" i="49"/>
  <c r="P1214" i="49"/>
  <c r="M1214" i="49"/>
  <c r="G1286" i="49"/>
  <c r="M1286" i="49"/>
  <c r="P1286" i="49"/>
  <c r="G1358" i="49"/>
  <c r="P1358" i="49"/>
  <c r="M1358" i="49"/>
  <c r="G1430" i="49"/>
  <c r="M1430" i="49"/>
  <c r="P1430" i="49"/>
  <c r="P787" i="49"/>
  <c r="G787" i="49"/>
  <c r="M787" i="49"/>
  <c r="M794" i="49"/>
  <c r="P794" i="49"/>
  <c r="G794" i="49"/>
  <c r="P611" i="49"/>
  <c r="M611" i="49"/>
  <c r="G611" i="49"/>
  <c r="G718" i="49"/>
  <c r="P718" i="49"/>
  <c r="M718" i="49"/>
  <c r="G820" i="49"/>
  <c r="M820" i="49"/>
  <c r="P820" i="49"/>
  <c r="P613" i="49"/>
  <c r="G613" i="49"/>
  <c r="M613" i="49"/>
  <c r="P715" i="49"/>
  <c r="M715" i="49"/>
  <c r="G715" i="49"/>
  <c r="P824" i="49"/>
  <c r="G824" i="49"/>
  <c r="M824" i="49"/>
  <c r="M660" i="49"/>
  <c r="P660" i="49"/>
  <c r="G660" i="49"/>
  <c r="G767" i="49"/>
  <c r="M767" i="49"/>
  <c r="P767" i="49"/>
  <c r="M869" i="49"/>
  <c r="G869" i="49"/>
  <c r="P869" i="49"/>
  <c r="G652" i="49"/>
  <c r="P652" i="49"/>
  <c r="M652" i="49"/>
  <c r="P737" i="49"/>
  <c r="G737" i="49"/>
  <c r="M737" i="49"/>
  <c r="M822" i="49"/>
  <c r="G822" i="49"/>
  <c r="P822" i="49"/>
  <c r="P633" i="49"/>
  <c r="M633" i="49"/>
  <c r="G633" i="49"/>
  <c r="M705" i="49"/>
  <c r="G705" i="49"/>
  <c r="P705" i="49"/>
  <c r="M777" i="49"/>
  <c r="G777" i="49"/>
  <c r="P777" i="49"/>
  <c r="P849" i="49"/>
  <c r="G849" i="49"/>
  <c r="M849" i="49"/>
  <c r="M375" i="49"/>
  <c r="G375" i="49"/>
  <c r="P375" i="49"/>
  <c r="H375" i="49"/>
  <c r="N357" i="49"/>
  <c r="O357" i="49" s="1"/>
  <c r="M357" i="49"/>
  <c r="G357" i="49"/>
  <c r="P357" i="49"/>
  <c r="H357" i="49"/>
  <c r="P567" i="49"/>
  <c r="M567" i="49"/>
  <c r="H567" i="49"/>
  <c r="G567" i="49"/>
  <c r="H475" i="49"/>
  <c r="P475" i="49"/>
  <c r="G475" i="49"/>
  <c r="M475" i="49"/>
  <c r="M448" i="49"/>
  <c r="G448" i="49"/>
  <c r="P448" i="49"/>
  <c r="H448" i="49"/>
  <c r="M338" i="49"/>
  <c r="H338" i="49"/>
  <c r="G338" i="49"/>
  <c r="P338" i="49"/>
  <c r="N338" i="49"/>
  <c r="O338" i="49" s="1"/>
  <c r="M443" i="49"/>
  <c r="H443" i="49"/>
  <c r="G443" i="49"/>
  <c r="P443" i="49"/>
  <c r="H307" i="49"/>
  <c r="G307" i="49"/>
  <c r="M307" i="49"/>
  <c r="P307" i="49"/>
  <c r="H379" i="49"/>
  <c r="G379" i="49"/>
  <c r="P379" i="49"/>
  <c r="M379" i="49"/>
  <c r="H523" i="49"/>
  <c r="G523" i="49"/>
  <c r="M523" i="49"/>
  <c r="P523" i="49"/>
  <c r="G514" i="49"/>
  <c r="P514" i="49"/>
  <c r="M514" i="49"/>
  <c r="N514" i="49"/>
  <c r="O514" i="49" s="1"/>
  <c r="H514" i="49"/>
  <c r="P318" i="49"/>
  <c r="N318" i="49"/>
  <c r="O318" i="49" s="1"/>
  <c r="M318" i="49"/>
  <c r="G318" i="49"/>
  <c r="H318" i="49"/>
  <c r="P395" i="49"/>
  <c r="M395" i="49"/>
  <c r="G395" i="49"/>
  <c r="H395" i="49"/>
  <c r="P382" i="49"/>
  <c r="M382" i="49"/>
  <c r="G382" i="49"/>
  <c r="H382" i="49"/>
  <c r="M526" i="49"/>
  <c r="H526" i="49"/>
  <c r="P526" i="49"/>
  <c r="G526" i="49"/>
  <c r="P564" i="49"/>
  <c r="M564" i="49"/>
  <c r="H564" i="49"/>
  <c r="G564" i="49"/>
  <c r="P411" i="49"/>
  <c r="M411" i="49"/>
  <c r="G411" i="49"/>
  <c r="H411" i="49"/>
  <c r="P1662" i="49"/>
  <c r="M1662" i="49"/>
  <c r="G1662" i="49"/>
  <c r="M596" i="49"/>
  <c r="G596" i="49"/>
  <c r="P596" i="49"/>
  <c r="J386" i="49"/>
  <c r="Q386" i="49" s="1"/>
  <c r="J54" i="1"/>
  <c r="S24" i="39"/>
  <c r="U24" i="39" s="1"/>
  <c r="N5034" i="49" s="1"/>
  <c r="O5034" i="49" s="1"/>
  <c r="J40" i="1"/>
  <c r="P1066" i="49"/>
  <c r="P932" i="49"/>
  <c r="J566" i="49"/>
  <c r="Q566" i="49"/>
  <c r="M5016" i="49"/>
  <c r="G5016" i="49"/>
  <c r="P5016" i="49"/>
  <c r="G4963" i="49"/>
  <c r="P4963" i="49"/>
  <c r="M4963" i="49"/>
  <c r="M5028" i="49"/>
  <c r="G5028" i="49"/>
  <c r="P5028" i="49"/>
  <c r="G4993" i="49"/>
  <c r="N4993" i="49"/>
  <c r="O4993" i="49" s="1"/>
  <c r="M4993" i="49"/>
  <c r="P4993" i="49"/>
  <c r="P5036" i="49"/>
  <c r="G5036" i="49"/>
  <c r="M5036" i="49"/>
  <c r="G4981" i="49"/>
  <c r="P4981" i="49"/>
  <c r="M4981" i="49"/>
  <c r="G5044" i="49"/>
  <c r="N5044" i="49"/>
  <c r="O5044" i="49" s="1"/>
  <c r="P5044" i="49"/>
  <c r="M5044" i="49"/>
  <c r="P5114" i="49"/>
  <c r="M5114" i="49"/>
  <c r="G5114" i="49"/>
  <c r="P5074" i="49"/>
  <c r="M5074" i="49"/>
  <c r="G5074" i="49"/>
  <c r="G5070" i="49"/>
  <c r="P5070" i="49"/>
  <c r="M5070" i="49"/>
  <c r="G5054" i="49"/>
  <c r="M5054" i="49"/>
  <c r="P5054" i="49"/>
  <c r="G4929" i="49"/>
  <c r="P4929" i="49"/>
  <c r="M4929" i="49"/>
  <c r="M5113" i="49"/>
  <c r="G5113" i="49"/>
  <c r="P5113" i="49"/>
  <c r="M5140" i="49"/>
  <c r="P5140" i="49"/>
  <c r="G5140" i="49"/>
  <c r="M4988" i="49"/>
  <c r="G4988" i="49"/>
  <c r="P4988" i="49"/>
  <c r="P5127" i="49"/>
  <c r="M5127" i="49"/>
  <c r="G5127" i="49"/>
  <c r="M4956" i="49"/>
  <c r="G4956" i="49"/>
  <c r="P4956" i="49"/>
  <c r="M5062" i="49"/>
  <c r="G5062" i="49"/>
  <c r="P5062" i="49"/>
  <c r="P5139" i="49"/>
  <c r="M5139" i="49"/>
  <c r="G5139" i="49"/>
  <c r="G5037" i="49"/>
  <c r="P5037" i="49"/>
  <c r="M5037" i="49"/>
  <c r="P5132" i="49"/>
  <c r="G5132" i="49"/>
  <c r="M5132" i="49"/>
  <c r="G5099" i="49"/>
  <c r="P5099" i="49"/>
  <c r="M5099" i="49"/>
  <c r="P5171" i="49"/>
  <c r="M5171" i="49"/>
  <c r="N5171" i="49"/>
  <c r="O5171" i="49" s="1"/>
  <c r="G5171" i="49"/>
  <c r="E19" i="23"/>
  <c r="Q571" i="49"/>
  <c r="J571" i="49"/>
  <c r="F30" i="8"/>
  <c r="J406" i="49"/>
  <c r="Q406" i="49" s="1"/>
  <c r="F13" i="40"/>
  <c r="M4663" i="49"/>
  <c r="G4663" i="49"/>
  <c r="P4663" i="49"/>
  <c r="N4663" i="49"/>
  <c r="O4663" i="49" s="1"/>
  <c r="N4796" i="49"/>
  <c r="O4796" i="49" s="1"/>
  <c r="M4796" i="49"/>
  <c r="G4796" i="49"/>
  <c r="P4796" i="49"/>
  <c r="G4705" i="49"/>
  <c r="P4705" i="49"/>
  <c r="M4705" i="49"/>
  <c r="M4645" i="49"/>
  <c r="N4645" i="49"/>
  <c r="O4645" i="49" s="1"/>
  <c r="G4645" i="49"/>
  <c r="P4645" i="49"/>
  <c r="M4633" i="49"/>
  <c r="G4633" i="49"/>
  <c r="P4633" i="49"/>
  <c r="P4852" i="49"/>
  <c r="N4852" i="49"/>
  <c r="O4852" i="49" s="1"/>
  <c r="M4852" i="49"/>
  <c r="G4852" i="49"/>
  <c r="G4807" i="49"/>
  <c r="P4807" i="49"/>
  <c r="M4807" i="49"/>
  <c r="P4684" i="49"/>
  <c r="G4684" i="49"/>
  <c r="M4684" i="49"/>
  <c r="G4850" i="49"/>
  <c r="M4850" i="49"/>
  <c r="P4850" i="49"/>
  <c r="G4646" i="49"/>
  <c r="M4646" i="49"/>
  <c r="P4646" i="49"/>
  <c r="M4639" i="49"/>
  <c r="G4639" i="49"/>
  <c r="P4639" i="49"/>
  <c r="G4915" i="49"/>
  <c r="M4915" i="49"/>
  <c r="P4915" i="49"/>
  <c r="N4915" i="49"/>
  <c r="O4915" i="49" s="1"/>
  <c r="P4774" i="49"/>
  <c r="M4774" i="49"/>
  <c r="G4774" i="49"/>
  <c r="P4655" i="49"/>
  <c r="M4655" i="49"/>
  <c r="G4655" i="49"/>
  <c r="G4753" i="49"/>
  <c r="M4753" i="49"/>
  <c r="P4753" i="49"/>
  <c r="N4753" i="49"/>
  <c r="O4753" i="49" s="1"/>
  <c r="G4861" i="49"/>
  <c r="M4861" i="49"/>
  <c r="P4861" i="49"/>
  <c r="M4808" i="49"/>
  <c r="G4808" i="49"/>
  <c r="P4808" i="49"/>
  <c r="P4906" i="49"/>
  <c r="M4906" i="49"/>
  <c r="N4906" i="49"/>
  <c r="O4906" i="49" s="1"/>
  <c r="G4906" i="49"/>
  <c r="G4758" i="49"/>
  <c r="P4758" i="49"/>
  <c r="M4758" i="49"/>
  <c r="G4830" i="49"/>
  <c r="P4830" i="49"/>
  <c r="M4830" i="49"/>
  <c r="N4830" i="49"/>
  <c r="O4830" i="49" s="1"/>
  <c r="G4902" i="49"/>
  <c r="P4902" i="49"/>
  <c r="N4902" i="49"/>
  <c r="O4902" i="49" s="1"/>
  <c r="M4902" i="49"/>
  <c r="P4745" i="49"/>
  <c r="G4745" i="49"/>
  <c r="M4745" i="49"/>
  <c r="P4817" i="49"/>
  <c r="G4817" i="49"/>
  <c r="M4817" i="49"/>
  <c r="N4889" i="49"/>
  <c r="O4889" i="49" s="1"/>
  <c r="M4889" i="49"/>
  <c r="P4889" i="49"/>
  <c r="G4889" i="49"/>
  <c r="F10" i="40"/>
  <c r="F7" i="40"/>
  <c r="G39" i="18"/>
  <c r="J351" i="49"/>
  <c r="Q351" i="49" s="1"/>
  <c r="D29" i="47"/>
  <c r="E29" i="47" s="1"/>
  <c r="D39" i="33"/>
  <c r="E39" i="33" s="1"/>
  <c r="F7" i="12"/>
  <c r="C21" i="13"/>
  <c r="C7" i="12"/>
  <c r="D7" i="12"/>
  <c r="D9" i="5" s="1"/>
  <c r="E7" i="12"/>
  <c r="D5" i="52"/>
  <c r="D4959" i="49"/>
  <c r="D4963" i="49"/>
  <c r="D4964" i="49"/>
  <c r="D4952" i="49"/>
  <c r="D4960" i="49"/>
  <c r="D4968" i="49"/>
  <c r="D4965" i="49"/>
  <c r="D4953" i="49"/>
  <c r="D4955" i="49"/>
  <c r="D4679" i="49"/>
  <c r="D4673" i="49"/>
  <c r="D4667" i="49"/>
  <c r="D4957" i="49"/>
  <c r="D4962" i="49"/>
  <c r="D4678" i="49"/>
  <c r="D4675" i="49"/>
  <c r="D4966" i="49"/>
  <c r="D4672" i="49"/>
  <c r="D4669" i="49"/>
  <c r="D4958" i="49"/>
  <c r="D4954" i="49"/>
  <c r="D4388" i="49"/>
  <c r="D4382" i="49"/>
  <c r="D4376" i="49"/>
  <c r="D4666" i="49"/>
  <c r="D4389" i="49"/>
  <c r="D4383" i="49"/>
  <c r="D4377" i="49"/>
  <c r="D4677" i="49"/>
  <c r="D4671" i="49"/>
  <c r="D4664" i="49"/>
  <c r="D4386" i="49"/>
  <c r="D4384" i="49"/>
  <c r="D4101" i="49"/>
  <c r="D4095" i="49"/>
  <c r="D4089" i="49"/>
  <c r="D4956" i="49"/>
  <c r="D4375" i="49"/>
  <c r="D4096" i="49"/>
  <c r="D4090" i="49"/>
  <c r="D3808" i="49"/>
  <c r="D3802" i="49"/>
  <c r="D3796" i="49"/>
  <c r="D4967" i="49"/>
  <c r="D4094" i="49"/>
  <c r="D4092" i="49"/>
  <c r="D4665" i="49"/>
  <c r="D4390" i="49"/>
  <c r="D4374" i="49"/>
  <c r="D4099" i="49"/>
  <c r="D4097" i="49"/>
  <c r="D3811" i="49"/>
  <c r="D3801" i="49"/>
  <c r="D3798" i="49"/>
  <c r="D3518" i="49"/>
  <c r="D3512" i="49"/>
  <c r="D4961" i="49"/>
  <c r="D4676" i="49"/>
  <c r="D4670" i="49"/>
  <c r="D4380" i="49"/>
  <c r="D4087" i="49"/>
  <c r="D4668" i="49"/>
  <c r="D4674" i="49"/>
  <c r="D4091" i="49"/>
  <c r="D3810" i="49"/>
  <c r="D3807" i="49"/>
  <c r="D3799" i="49"/>
  <c r="D4387" i="49"/>
  <c r="D4379" i="49"/>
  <c r="D4086" i="49"/>
  <c r="D3516" i="49"/>
  <c r="D3812" i="49"/>
  <c r="D3805" i="49"/>
  <c r="D3800" i="49"/>
  <c r="D3508" i="49"/>
  <c r="D4098" i="49"/>
  <c r="D3521" i="49"/>
  <c r="D4663" i="49"/>
  <c r="D4381" i="49"/>
  <c r="D3803" i="49"/>
  <c r="D3517" i="49"/>
  <c r="D3513" i="49"/>
  <c r="D3232" i="49"/>
  <c r="D3226" i="49"/>
  <c r="D3220" i="49"/>
  <c r="D4378" i="49"/>
  <c r="D3509" i="49"/>
  <c r="D3522" i="49"/>
  <c r="D3520" i="49"/>
  <c r="D3511" i="49"/>
  <c r="D3234" i="49"/>
  <c r="D3224" i="49"/>
  <c r="D3221" i="49"/>
  <c r="D4385" i="49"/>
  <c r="D4088" i="49"/>
  <c r="D3515" i="49"/>
  <c r="D3231" i="49"/>
  <c r="D3228" i="49"/>
  <c r="D3218" i="49"/>
  <c r="D2944" i="49"/>
  <c r="D2938" i="49"/>
  <c r="D2932" i="49"/>
  <c r="D4093" i="49"/>
  <c r="D3519" i="49"/>
  <c r="D3510" i="49"/>
  <c r="D3806" i="49"/>
  <c r="D3523" i="49"/>
  <c r="D4100" i="49"/>
  <c r="D4085" i="49"/>
  <c r="D2937" i="49"/>
  <c r="D2934" i="49"/>
  <c r="D2652" i="49"/>
  <c r="D2646" i="49"/>
  <c r="D2640" i="49"/>
  <c r="D2941" i="49"/>
  <c r="D2931" i="49"/>
  <c r="D2653" i="49"/>
  <c r="D2647" i="49"/>
  <c r="D2641" i="49"/>
  <c r="D3230" i="49"/>
  <c r="D2942" i="49"/>
  <c r="D2935" i="49"/>
  <c r="D2930" i="49"/>
  <c r="D2654" i="49"/>
  <c r="D2644" i="49"/>
  <c r="D3809" i="49"/>
  <c r="D2945" i="49"/>
  <c r="D2940" i="49"/>
  <c r="D2933" i="49"/>
  <c r="D2651" i="49"/>
  <c r="D2648" i="49"/>
  <c r="D2366" i="49"/>
  <c r="D2360" i="49"/>
  <c r="D2354" i="49"/>
  <c r="D2078" i="49"/>
  <c r="D2072" i="49"/>
  <c r="D2066" i="49"/>
  <c r="D2655" i="49"/>
  <c r="D2645" i="49"/>
  <c r="D2642" i="49"/>
  <c r="D2367" i="49"/>
  <c r="D2361" i="49"/>
  <c r="D2355" i="49"/>
  <c r="D2073" i="49"/>
  <c r="D2067" i="49"/>
  <c r="D3797" i="49"/>
  <c r="D3233" i="49"/>
  <c r="D2656" i="49"/>
  <c r="D2364" i="49"/>
  <c r="D2351" i="49"/>
  <c r="D2071" i="49"/>
  <c r="D2068" i="49"/>
  <c r="D3219" i="49"/>
  <c r="D3225" i="49"/>
  <c r="D2358" i="49"/>
  <c r="D2075" i="49"/>
  <c r="D2065" i="49"/>
  <c r="D2062" i="49"/>
  <c r="D3514" i="49"/>
  <c r="D2943" i="49"/>
  <c r="D2643" i="49"/>
  <c r="D3223" i="49"/>
  <c r="D2365" i="49"/>
  <c r="D2362" i="49"/>
  <c r="D2352" i="49"/>
  <c r="D2069" i="49"/>
  <c r="D1787" i="49"/>
  <c r="D1784" i="49"/>
  <c r="D2363" i="49"/>
  <c r="D2353" i="49"/>
  <c r="D2077" i="49"/>
  <c r="D2064" i="49"/>
  <c r="D1773" i="49"/>
  <c r="D2936" i="49"/>
  <c r="D3507" i="49"/>
  <c r="D2356" i="49"/>
  <c r="D3229" i="49"/>
  <c r="D2076" i="49"/>
  <c r="D2063" i="49"/>
  <c r="D2359" i="49"/>
  <c r="D1789" i="49"/>
  <c r="D1785" i="49"/>
  <c r="D3227" i="49"/>
  <c r="D1783" i="49"/>
  <c r="D1781" i="49"/>
  <c r="D1774" i="49"/>
  <c r="D2929" i="49"/>
  <c r="D2650" i="49"/>
  <c r="D1780" i="49"/>
  <c r="D1776" i="49"/>
  <c r="D1493" i="49"/>
  <c r="D1205" i="49"/>
  <c r="D1778" i="49"/>
  <c r="D1489" i="49"/>
  <c r="D1485" i="49"/>
  <c r="D1201" i="49"/>
  <c r="D1197" i="49"/>
  <c r="D2939" i="49"/>
  <c r="D1782" i="49"/>
  <c r="D1498" i="49"/>
  <c r="D1210" i="49"/>
  <c r="D1494" i="49"/>
  <c r="D1206" i="49"/>
  <c r="D922" i="49"/>
  <c r="D916" i="49"/>
  <c r="D910" i="49"/>
  <c r="D628" i="49"/>
  <c r="D622" i="49"/>
  <c r="D3222" i="49"/>
  <c r="D1786" i="49"/>
  <c r="D1779" i="49"/>
  <c r="D1777" i="49"/>
  <c r="D1775" i="49"/>
  <c r="D1499" i="49"/>
  <c r="D2074" i="49"/>
  <c r="D3804" i="49"/>
  <c r="D1492" i="49"/>
  <c r="D1195" i="49"/>
  <c r="D2070" i="49"/>
  <c r="D1490" i="49"/>
  <c r="D1202" i="49"/>
  <c r="D1196" i="49"/>
  <c r="D914" i="49"/>
  <c r="D911" i="49"/>
  <c r="D1200" i="49"/>
  <c r="D1788" i="49"/>
  <c r="D1487" i="49"/>
  <c r="D1204" i="49"/>
  <c r="D921" i="49"/>
  <c r="D918" i="49"/>
  <c r="D908" i="49"/>
  <c r="D1497" i="49"/>
  <c r="D626" i="49"/>
  <c r="D623" i="49"/>
  <c r="D629" i="49"/>
  <c r="D342" i="49"/>
  <c r="D336" i="49"/>
  <c r="D330" i="49"/>
  <c r="D1488" i="49"/>
  <c r="D627" i="49"/>
  <c r="D620" i="49"/>
  <c r="D343" i="49"/>
  <c r="D337" i="49"/>
  <c r="D331" i="49"/>
  <c r="D2649" i="49"/>
  <c r="D1491" i="49"/>
  <c r="D1209" i="49"/>
  <c r="D1199" i="49"/>
  <c r="D1211" i="49"/>
  <c r="D1198" i="49"/>
  <c r="D1496" i="49"/>
  <c r="D1486" i="49"/>
  <c r="D1207" i="49"/>
  <c r="D920" i="49"/>
  <c r="D333" i="49"/>
  <c r="D53" i="49"/>
  <c r="B53" i="50" s="1"/>
  <c r="D625" i="49"/>
  <c r="D339" i="49"/>
  <c r="D329" i="49"/>
  <c r="D48" i="49"/>
  <c r="B48" i="50" s="1"/>
  <c r="D43" i="49"/>
  <c r="B43" i="50" s="1"/>
  <c r="D1495" i="49"/>
  <c r="D912" i="49"/>
  <c r="D631" i="49"/>
  <c r="D335" i="49"/>
  <c r="D919" i="49"/>
  <c r="D915" i="49"/>
  <c r="D619" i="49"/>
  <c r="D1203" i="49"/>
  <c r="D633" i="49"/>
  <c r="D618" i="49"/>
  <c r="D54" i="49"/>
  <c r="B54" i="50" s="1"/>
  <c r="D49" i="49"/>
  <c r="B49" i="50" s="1"/>
  <c r="D1500" i="49"/>
  <c r="D344" i="49"/>
  <c r="D340" i="49"/>
  <c r="D47" i="49"/>
  <c r="B47" i="50" s="1"/>
  <c r="D1484" i="49"/>
  <c r="D624" i="49"/>
  <c r="D328" i="49"/>
  <c r="D44" i="49"/>
  <c r="B44" i="50" s="1"/>
  <c r="D913" i="49"/>
  <c r="D906" i="49"/>
  <c r="D338" i="49"/>
  <c r="D341" i="49"/>
  <c r="D334" i="49"/>
  <c r="D55" i="49"/>
  <c r="B55" i="50" s="1"/>
  <c r="D51" i="49"/>
  <c r="B51" i="50" s="1"/>
  <c r="D632" i="49"/>
  <c r="D42" i="49"/>
  <c r="B42" i="50" s="1"/>
  <c r="D621" i="49"/>
  <c r="D1208" i="49"/>
  <c r="D46" i="49"/>
  <c r="B46" i="50" s="1"/>
  <c r="D2357" i="49"/>
  <c r="D630" i="49"/>
  <c r="D41" i="49"/>
  <c r="B41" i="50" s="1"/>
  <c r="D332" i="49"/>
  <c r="D40" i="49"/>
  <c r="B40" i="50" s="1"/>
  <c r="H12" i="8"/>
  <c r="D917" i="49"/>
  <c r="D45" i="49"/>
  <c r="B45" i="50" s="1"/>
  <c r="D50" i="49"/>
  <c r="B50" i="50" s="1"/>
  <c r="D52" i="49"/>
  <c r="B52" i="50" s="1"/>
  <c r="D39" i="49"/>
  <c r="B39" i="50" s="1"/>
  <c r="G72" i="8"/>
  <c r="D617" i="49"/>
  <c r="D909" i="49"/>
  <c r="D907" i="49"/>
  <c r="G47" i="8"/>
  <c r="H18" i="39"/>
  <c r="E2" i="27"/>
  <c r="I22" i="39"/>
  <c r="F19" i="40"/>
  <c r="E6" i="12"/>
  <c r="C20" i="13"/>
  <c r="F6" i="12"/>
  <c r="D6" i="12"/>
  <c r="D8" i="5" s="1"/>
  <c r="C6" i="12"/>
  <c r="E39" i="15"/>
  <c r="H397" i="49"/>
  <c r="N397" i="49"/>
  <c r="O397" i="49" s="1"/>
  <c r="M397" i="49"/>
  <c r="P397" i="49"/>
  <c r="G397" i="49"/>
  <c r="P407" i="49"/>
  <c r="M407" i="49"/>
  <c r="H407" i="49"/>
  <c r="G407" i="49"/>
  <c r="P329" i="49"/>
  <c r="G329" i="49"/>
  <c r="M329" i="49"/>
  <c r="H329" i="49"/>
  <c r="P495" i="49"/>
  <c r="M495" i="49"/>
  <c r="H495" i="49"/>
  <c r="G495" i="49"/>
  <c r="H457" i="49"/>
  <c r="P457" i="49"/>
  <c r="N457" i="49"/>
  <c r="O457" i="49" s="1"/>
  <c r="M457" i="49"/>
  <c r="G457" i="49"/>
  <c r="M344" i="49"/>
  <c r="H344" i="49"/>
  <c r="G344" i="49"/>
  <c r="P344" i="49"/>
  <c r="M456" i="49"/>
  <c r="H456" i="49"/>
  <c r="P456" i="49"/>
  <c r="G456" i="49"/>
  <c r="H313" i="49"/>
  <c r="G313" i="49"/>
  <c r="P313" i="49"/>
  <c r="M313" i="49"/>
  <c r="H383" i="49"/>
  <c r="G383" i="49"/>
  <c r="P383" i="49"/>
  <c r="M383" i="49"/>
  <c r="H527" i="49"/>
  <c r="G527" i="49"/>
  <c r="P527" i="49"/>
  <c r="M527" i="49"/>
  <c r="N527" i="49"/>
  <c r="O527" i="49" s="1"/>
  <c r="G387" i="49"/>
  <c r="M387" i="49"/>
  <c r="H387" i="49"/>
  <c r="P387" i="49"/>
  <c r="G531" i="49"/>
  <c r="H531" i="49"/>
  <c r="P531" i="49"/>
  <c r="M531" i="49"/>
  <c r="P324" i="49"/>
  <c r="N324" i="49"/>
  <c r="O324" i="49" s="1"/>
  <c r="H324" i="49"/>
  <c r="M324" i="49"/>
  <c r="G324" i="49"/>
  <c r="G408" i="49"/>
  <c r="P408" i="49"/>
  <c r="M408" i="49"/>
  <c r="H408" i="49"/>
  <c r="P399" i="49"/>
  <c r="H399" i="49"/>
  <c r="G399" i="49"/>
  <c r="M399" i="49"/>
  <c r="M542" i="49"/>
  <c r="H542" i="49"/>
  <c r="P542" i="49"/>
  <c r="G542" i="49"/>
  <c r="P570" i="49"/>
  <c r="M570" i="49"/>
  <c r="H570" i="49"/>
  <c r="G570" i="49"/>
  <c r="M866" i="49"/>
  <c r="P866" i="49"/>
  <c r="G866" i="49"/>
  <c r="P359" i="49"/>
  <c r="N359" i="49"/>
  <c r="O359" i="49" s="1"/>
  <c r="M359" i="49"/>
  <c r="G359" i="49"/>
  <c r="H359" i="49"/>
  <c r="P453" i="49"/>
  <c r="N453" i="49"/>
  <c r="O453" i="49" s="1"/>
  <c r="G453" i="49"/>
  <c r="M453" i="49"/>
  <c r="H453" i="49"/>
  <c r="P586" i="49"/>
  <c r="M586" i="49"/>
  <c r="G586" i="49"/>
  <c r="Q444" i="49"/>
  <c r="J444" i="49"/>
  <c r="J470" i="49"/>
  <c r="Q470" i="49" s="1"/>
  <c r="J483" i="49"/>
  <c r="Q483" i="49" s="1"/>
  <c r="P1033" i="49"/>
  <c r="G5026" i="49"/>
  <c r="P5026" i="49"/>
  <c r="M5026" i="49"/>
  <c r="P5085" i="49"/>
  <c r="G5085" i="49"/>
  <c r="M5085" i="49"/>
  <c r="G5116" i="49"/>
  <c r="M5116" i="49"/>
  <c r="P5116" i="49"/>
  <c r="G5069" i="49"/>
  <c r="P5069" i="49"/>
  <c r="M5069" i="49"/>
  <c r="P5029" i="49"/>
  <c r="M5029" i="49"/>
  <c r="G5029" i="49"/>
  <c r="P5046" i="49"/>
  <c r="G5046" i="49"/>
  <c r="M5046" i="49"/>
  <c r="M5024" i="49"/>
  <c r="P5024" i="49"/>
  <c r="G5024" i="49"/>
  <c r="G5124" i="49"/>
  <c r="P5124" i="49"/>
  <c r="M5124" i="49"/>
  <c r="G5180" i="49"/>
  <c r="M5180" i="49"/>
  <c r="P5180" i="49"/>
  <c r="M5090" i="49"/>
  <c r="P5090" i="49"/>
  <c r="G5090" i="49"/>
  <c r="G5076" i="49"/>
  <c r="M5076" i="49"/>
  <c r="P5076" i="49"/>
  <c r="M5120" i="49"/>
  <c r="P5120" i="49"/>
  <c r="G5120" i="49"/>
  <c r="M4946" i="49"/>
  <c r="P4946" i="49"/>
  <c r="G4946" i="49"/>
  <c r="G5118" i="49"/>
  <c r="M5118" i="49"/>
  <c r="P5118" i="49"/>
  <c r="P5173" i="49"/>
  <c r="M5173" i="49"/>
  <c r="G5173" i="49"/>
  <c r="P4994" i="49"/>
  <c r="M4994" i="49"/>
  <c r="G4994" i="49"/>
  <c r="P5151" i="49"/>
  <c r="M5151" i="49"/>
  <c r="G5151" i="49"/>
  <c r="P4962" i="49"/>
  <c r="M4962" i="49"/>
  <c r="G4962" i="49"/>
  <c r="M5080" i="49"/>
  <c r="P5080" i="49"/>
  <c r="G5080" i="49"/>
  <c r="P5149" i="49"/>
  <c r="M5149" i="49"/>
  <c r="G5149" i="49"/>
  <c r="G5043" i="49"/>
  <c r="P5043" i="49"/>
  <c r="M5043" i="49"/>
  <c r="G5142" i="49"/>
  <c r="P5142" i="49"/>
  <c r="M5142" i="49"/>
  <c r="N5142" i="49"/>
  <c r="O5142" i="49" s="1"/>
  <c r="G5179" i="49"/>
  <c r="P5179" i="49"/>
  <c r="M5179" i="49"/>
  <c r="M5105" i="49"/>
  <c r="P5105" i="49"/>
  <c r="G5105" i="49"/>
  <c r="P5177" i="49"/>
  <c r="M5177" i="49"/>
  <c r="G5177" i="49"/>
  <c r="J303" i="49"/>
  <c r="Q303" i="49" s="1"/>
  <c r="Q440" i="49"/>
  <c r="J440" i="49"/>
  <c r="J52" i="1"/>
  <c r="S22" i="39"/>
  <c r="U22" i="39" s="1"/>
  <c r="N4459" i="49" s="1"/>
  <c r="O4459" i="49" s="1"/>
  <c r="G44" i="25"/>
  <c r="G38" i="25"/>
  <c r="G34" i="25"/>
  <c r="G30" i="25"/>
  <c r="G16" i="25"/>
  <c r="G14" i="25"/>
  <c r="G35" i="25"/>
  <c r="G33" i="25"/>
  <c r="G37" i="25"/>
  <c r="G32" i="25"/>
  <c r="G27" i="25"/>
  <c r="G36" i="25"/>
  <c r="G31" i="25"/>
  <c r="G15" i="25"/>
  <c r="G72" i="25"/>
  <c r="H12" i="25"/>
  <c r="G18" i="25"/>
  <c r="G29" i="25"/>
  <c r="G17" i="25"/>
  <c r="G28" i="25"/>
  <c r="E21" i="40"/>
  <c r="F19" i="16"/>
  <c r="E30" i="8"/>
  <c r="G13" i="40"/>
  <c r="G4777" i="49"/>
  <c r="P4777" i="49"/>
  <c r="M4777" i="49"/>
  <c r="P4917" i="49"/>
  <c r="N4917" i="49"/>
  <c r="O4917" i="49" s="1"/>
  <c r="M4917" i="49"/>
  <c r="G4917" i="49"/>
  <c r="N4754" i="49"/>
  <c r="O4754" i="49" s="1"/>
  <c r="M4754" i="49"/>
  <c r="P4754" i="49"/>
  <c r="G4754" i="49"/>
  <c r="P4768" i="49"/>
  <c r="M4768" i="49"/>
  <c r="G4768" i="49"/>
  <c r="N4768" i="49"/>
  <c r="O4768" i="49" s="1"/>
  <c r="G4783" i="49"/>
  <c r="N4783" i="49"/>
  <c r="O4783" i="49" s="1"/>
  <c r="M4783" i="49"/>
  <c r="P4783" i="49"/>
  <c r="P4664" i="49"/>
  <c r="G4664" i="49"/>
  <c r="M4664" i="49"/>
  <c r="P4810" i="49"/>
  <c r="N4810" i="49"/>
  <c r="O4810" i="49" s="1"/>
  <c r="G4810" i="49"/>
  <c r="M4810" i="49"/>
  <c r="G4693" i="49"/>
  <c r="M4693" i="49"/>
  <c r="P4693" i="49"/>
  <c r="N4693" i="49"/>
  <c r="O4693" i="49" s="1"/>
  <c r="P4863" i="49"/>
  <c r="N4863" i="49"/>
  <c r="O4863" i="49" s="1"/>
  <c r="G4863" i="49"/>
  <c r="M4863" i="49"/>
  <c r="G4656" i="49"/>
  <c r="M4656" i="49"/>
  <c r="P4656" i="49"/>
  <c r="G4642" i="49"/>
  <c r="N4642" i="49"/>
  <c r="O4642" i="49" s="1"/>
  <c r="M4642" i="49"/>
  <c r="P4642" i="49"/>
  <c r="M4675" i="49"/>
  <c r="G4675" i="49"/>
  <c r="P4675" i="49"/>
  <c r="G4819" i="49"/>
  <c r="M4819" i="49"/>
  <c r="P4819" i="49"/>
  <c r="P4661" i="49"/>
  <c r="G4661" i="49"/>
  <c r="N4661" i="49"/>
  <c r="O4661" i="49" s="1"/>
  <c r="M4661" i="49"/>
  <c r="P4756" i="49"/>
  <c r="M4756" i="49"/>
  <c r="G4756" i="49"/>
  <c r="P4864" i="49"/>
  <c r="G4864" i="49"/>
  <c r="N4864" i="49"/>
  <c r="O4864" i="49" s="1"/>
  <c r="M4864" i="49"/>
  <c r="P4821" i="49"/>
  <c r="N4821" i="49"/>
  <c r="O4821" i="49" s="1"/>
  <c r="G4821" i="49"/>
  <c r="M4821" i="49"/>
  <c r="G4692" i="49"/>
  <c r="N4692" i="49"/>
  <c r="O4692" i="49" s="1"/>
  <c r="P4692" i="49"/>
  <c r="M4692" i="49"/>
  <c r="G4764" i="49"/>
  <c r="N4764" i="49"/>
  <c r="O4764" i="49" s="1"/>
  <c r="P4764" i="49"/>
  <c r="M4764" i="49"/>
  <c r="G4836" i="49"/>
  <c r="P4836" i="49"/>
  <c r="M4836" i="49"/>
  <c r="G4908" i="49"/>
  <c r="P4908" i="49"/>
  <c r="M4908" i="49"/>
  <c r="N4908" i="49"/>
  <c r="O4908" i="49" s="1"/>
  <c r="N4751" i="49"/>
  <c r="O4751" i="49" s="1"/>
  <c r="M4751" i="49"/>
  <c r="G4751" i="49"/>
  <c r="P4751" i="49"/>
  <c r="P4823" i="49"/>
  <c r="N4823" i="49"/>
  <c r="O4823" i="49" s="1"/>
  <c r="G4823" i="49"/>
  <c r="M4823" i="49"/>
  <c r="G4895" i="49"/>
  <c r="P4895" i="49"/>
  <c r="N4895" i="49"/>
  <c r="O4895" i="49" s="1"/>
  <c r="M4895" i="49"/>
  <c r="G10" i="40"/>
  <c r="F19" i="28"/>
  <c r="G7" i="40"/>
  <c r="F19" i="27"/>
  <c r="E39" i="21"/>
  <c r="E39" i="26"/>
  <c r="H35" i="20"/>
  <c r="H31" i="20"/>
  <c r="H27" i="20"/>
  <c r="H17" i="20"/>
  <c r="H36" i="20"/>
  <c r="H32" i="20"/>
  <c r="H28" i="20"/>
  <c r="H18" i="20"/>
  <c r="H14" i="20"/>
  <c r="H37" i="20"/>
  <c r="H15" i="20"/>
  <c r="H30" i="20"/>
  <c r="H72" i="20"/>
  <c r="H34" i="20"/>
  <c r="H16" i="20"/>
  <c r="H33" i="20"/>
  <c r="I12" i="20"/>
  <c r="H38" i="20"/>
  <c r="H29" i="20"/>
  <c r="H44" i="20"/>
  <c r="E19" i="15"/>
  <c r="E39" i="19"/>
  <c r="G3905" i="49"/>
  <c r="P3905" i="49"/>
  <c r="M3905" i="49"/>
  <c r="P3950" i="49"/>
  <c r="M3950" i="49"/>
  <c r="G3950" i="49"/>
  <c r="M3949" i="49"/>
  <c r="P3949" i="49"/>
  <c r="G3949" i="49"/>
  <c r="M3841" i="49"/>
  <c r="P3841" i="49"/>
  <c r="G3841" i="49"/>
  <c r="G3909" i="49"/>
  <c r="M3909" i="49"/>
  <c r="P3909" i="49"/>
  <c r="M4032" i="49"/>
  <c r="P4032" i="49"/>
  <c r="G4032" i="49"/>
  <c r="M3852" i="49"/>
  <c r="P3852" i="49"/>
  <c r="G3852" i="49"/>
  <c r="P4003" i="49"/>
  <c r="M4003" i="49"/>
  <c r="G4003" i="49"/>
  <c r="P3837" i="49"/>
  <c r="G3837" i="49"/>
  <c r="M3837" i="49"/>
  <c r="G3791" i="49"/>
  <c r="M3791" i="49"/>
  <c r="P3791" i="49"/>
  <c r="P3999" i="49"/>
  <c r="G3999" i="49"/>
  <c r="M3999" i="49"/>
  <c r="G3853" i="49"/>
  <c r="P3853" i="49"/>
  <c r="M3853" i="49"/>
  <c r="G3770" i="49"/>
  <c r="P3770" i="49"/>
  <c r="M3770" i="49"/>
  <c r="P3944" i="49"/>
  <c r="M3944" i="49"/>
  <c r="G3944" i="49"/>
  <c r="G3859" i="49"/>
  <c r="P3859" i="49"/>
  <c r="M3859" i="49"/>
  <c r="G3857" i="49"/>
  <c r="M3857" i="49"/>
  <c r="P3857" i="49"/>
  <c r="P3818" i="49"/>
  <c r="G3818" i="49"/>
  <c r="M3818" i="49"/>
  <c r="P3927" i="49"/>
  <c r="G3927" i="49"/>
  <c r="M3927" i="49"/>
  <c r="G4037" i="49"/>
  <c r="M4037" i="49"/>
  <c r="P4037" i="49"/>
  <c r="G3971" i="49"/>
  <c r="P3971" i="49"/>
  <c r="M3971" i="49"/>
  <c r="P3778" i="49"/>
  <c r="M3778" i="49"/>
  <c r="G3778" i="49"/>
  <c r="P3850" i="49"/>
  <c r="G3850" i="49"/>
  <c r="M3850" i="49"/>
  <c r="G3922" i="49"/>
  <c r="P3922" i="49"/>
  <c r="M3922" i="49"/>
  <c r="G3994" i="49"/>
  <c r="P3994" i="49"/>
  <c r="M3994" i="49"/>
  <c r="P3507" i="49"/>
  <c r="M3507" i="49"/>
  <c r="G3507" i="49"/>
  <c r="M3577" i="49"/>
  <c r="G3577" i="49"/>
  <c r="P3577" i="49"/>
  <c r="M3676" i="49"/>
  <c r="P3676" i="49"/>
  <c r="G3676" i="49"/>
  <c r="P3536" i="49"/>
  <c r="G3536" i="49"/>
  <c r="M3536" i="49"/>
  <c r="M3696" i="49"/>
  <c r="P3696" i="49"/>
  <c r="G3696" i="49"/>
  <c r="P3599" i="49"/>
  <c r="M3599" i="49"/>
  <c r="G3599" i="49"/>
  <c r="G3761" i="49"/>
  <c r="P3761" i="49"/>
  <c r="M3761" i="49"/>
  <c r="M3562" i="49"/>
  <c r="P3562" i="49"/>
  <c r="G3562" i="49"/>
  <c r="M3535" i="49"/>
  <c r="P3535" i="49"/>
  <c r="G3535" i="49"/>
  <c r="P3476" i="49"/>
  <c r="G3476" i="49"/>
  <c r="M3476" i="49"/>
  <c r="P3697" i="49"/>
  <c r="G3697" i="49"/>
  <c r="M3697" i="49"/>
  <c r="M3688" i="49"/>
  <c r="P3688" i="49"/>
  <c r="G3688" i="49"/>
  <c r="P3641" i="49"/>
  <c r="M3641" i="49"/>
  <c r="G3641" i="49"/>
  <c r="P3693" i="49"/>
  <c r="M3693" i="49"/>
  <c r="G3693" i="49"/>
  <c r="M3568" i="49"/>
  <c r="G3568" i="49"/>
  <c r="P3568" i="49"/>
  <c r="G3720" i="49"/>
  <c r="P3720" i="49"/>
  <c r="M3720" i="49"/>
  <c r="G3576" i="49"/>
  <c r="P3576" i="49"/>
  <c r="M3576" i="49"/>
  <c r="G3713" i="49"/>
  <c r="P3713" i="49"/>
  <c r="M3713" i="49"/>
  <c r="G3563" i="49"/>
  <c r="M3563" i="49"/>
  <c r="P3563" i="49"/>
  <c r="G3723" i="49"/>
  <c r="P3723" i="49"/>
  <c r="M3723" i="49"/>
  <c r="G3584" i="49"/>
  <c r="P3584" i="49"/>
  <c r="M3584" i="49"/>
  <c r="G3716" i="49"/>
  <c r="M3716" i="49"/>
  <c r="P3716" i="49"/>
  <c r="M3592" i="49"/>
  <c r="P3592" i="49"/>
  <c r="G3592" i="49"/>
  <c r="P3729" i="49"/>
  <c r="M3729" i="49"/>
  <c r="G3729" i="49"/>
  <c r="P3362" i="49"/>
  <c r="M3362" i="49"/>
  <c r="G3362" i="49"/>
  <c r="P3230" i="49"/>
  <c r="M3230" i="49"/>
  <c r="G3230" i="49"/>
  <c r="M3333" i="49"/>
  <c r="G3333" i="49"/>
  <c r="P3333" i="49"/>
  <c r="P3301" i="49"/>
  <c r="M3301" i="49"/>
  <c r="G3301" i="49"/>
  <c r="M3186" i="49"/>
  <c r="G3186" i="49"/>
  <c r="P3186" i="49"/>
  <c r="P3441" i="49"/>
  <c r="M3441" i="49"/>
  <c r="G3441" i="49"/>
  <c r="M3405" i="49"/>
  <c r="G3405" i="49"/>
  <c r="P3405" i="49"/>
  <c r="G3245" i="49"/>
  <c r="M3245" i="49"/>
  <c r="P3245" i="49"/>
  <c r="G3381" i="49"/>
  <c r="P3381" i="49"/>
  <c r="M3381" i="49"/>
  <c r="P3265" i="49"/>
  <c r="M3265" i="49"/>
  <c r="G3265" i="49"/>
  <c r="P3455" i="49"/>
  <c r="M3455" i="49"/>
  <c r="G3455" i="49"/>
  <c r="P3259" i="49"/>
  <c r="M3259" i="49"/>
  <c r="G3259" i="49"/>
  <c r="M3388" i="49"/>
  <c r="G3388" i="49"/>
  <c r="P3388" i="49"/>
  <c r="G3231" i="49"/>
  <c r="P3231" i="49"/>
  <c r="M3231" i="49"/>
  <c r="G3323" i="49"/>
  <c r="M3323" i="49"/>
  <c r="P3323" i="49"/>
  <c r="G3371" i="49"/>
  <c r="M3371" i="49"/>
  <c r="P3371" i="49"/>
  <c r="P3224" i="49"/>
  <c r="G3224" i="49"/>
  <c r="M3224" i="49"/>
  <c r="P3309" i="49"/>
  <c r="M3309" i="49"/>
  <c r="G3309" i="49"/>
  <c r="M3445" i="49"/>
  <c r="P3445" i="49"/>
  <c r="G3445" i="49"/>
  <c r="P3226" i="49"/>
  <c r="G3226" i="49"/>
  <c r="M3226" i="49"/>
  <c r="P3298" i="49"/>
  <c r="M3298" i="49"/>
  <c r="G3298" i="49"/>
  <c r="M3406" i="49"/>
  <c r="P3406" i="49"/>
  <c r="G3406" i="49"/>
  <c r="M3410" i="49"/>
  <c r="G3410" i="49"/>
  <c r="P3410" i="49"/>
  <c r="P3426" i="49"/>
  <c r="M3426" i="49"/>
  <c r="G3426" i="49"/>
  <c r="P3152" i="49"/>
  <c r="M3152" i="49"/>
  <c r="G3152" i="49"/>
  <c r="G2987" i="49"/>
  <c r="M2987" i="49"/>
  <c r="P2987" i="49"/>
  <c r="P2978" i="49"/>
  <c r="M2978" i="49"/>
  <c r="G2978" i="49"/>
  <c r="P3151" i="49"/>
  <c r="M3151" i="49"/>
  <c r="G3151" i="49"/>
  <c r="G2905" i="49"/>
  <c r="P2905" i="49"/>
  <c r="M2905" i="49"/>
  <c r="G2915" i="49"/>
  <c r="M2915" i="49"/>
  <c r="P2915" i="49"/>
  <c r="G3149" i="49"/>
  <c r="M3149" i="49"/>
  <c r="P3149" i="49"/>
  <c r="P3176" i="49"/>
  <c r="M3176" i="49"/>
  <c r="G3176" i="49"/>
  <c r="P3038" i="49"/>
  <c r="M3038" i="49"/>
  <c r="G3038" i="49"/>
  <c r="M2991" i="49"/>
  <c r="G2991" i="49"/>
  <c r="P2991" i="49"/>
  <c r="P2917" i="49"/>
  <c r="M2917" i="49"/>
  <c r="G2917" i="49"/>
  <c r="P3039" i="49"/>
  <c r="M3039" i="49"/>
  <c r="G3039" i="49"/>
  <c r="P3014" i="49"/>
  <c r="M3014" i="49"/>
  <c r="G3014" i="49"/>
  <c r="P3170" i="49"/>
  <c r="M3170" i="49"/>
  <c r="G3170" i="49"/>
  <c r="G2901" i="49"/>
  <c r="M2901" i="49"/>
  <c r="P2901" i="49"/>
  <c r="P2930" i="49"/>
  <c r="M2930" i="49"/>
  <c r="G2930" i="49"/>
  <c r="M3037" i="49"/>
  <c r="P3037" i="49"/>
  <c r="G3037" i="49"/>
  <c r="P3134" i="49"/>
  <c r="M3134" i="49"/>
  <c r="G3134" i="49"/>
  <c r="G3173" i="49"/>
  <c r="M3173" i="49"/>
  <c r="P3173" i="49"/>
  <c r="G3143" i="49"/>
  <c r="M3143" i="49"/>
  <c r="P3143" i="49"/>
  <c r="M2938" i="49"/>
  <c r="P2938" i="49"/>
  <c r="G2938" i="49"/>
  <c r="M3010" i="49"/>
  <c r="P3010" i="49"/>
  <c r="G3010" i="49"/>
  <c r="M3082" i="49"/>
  <c r="G3082" i="49"/>
  <c r="P3082" i="49"/>
  <c r="M3154" i="49"/>
  <c r="G3154" i="49"/>
  <c r="P3154" i="49"/>
  <c r="P2465" i="49"/>
  <c r="M2465" i="49"/>
  <c r="G2465" i="49"/>
  <c r="M2446" i="49"/>
  <c r="P2446" i="49"/>
  <c r="G2446" i="49"/>
  <c r="P2381" i="49"/>
  <c r="M2381" i="49"/>
  <c r="G2381" i="49"/>
  <c r="M2374" i="49"/>
  <c r="P2374" i="49"/>
  <c r="G2374" i="49"/>
  <c r="M2566" i="49"/>
  <c r="G2566" i="49"/>
  <c r="P2566" i="49"/>
  <c r="P2399" i="49"/>
  <c r="M2399" i="49"/>
  <c r="G2399" i="49"/>
  <c r="P2513" i="49"/>
  <c r="M2513" i="49"/>
  <c r="G2513" i="49"/>
  <c r="P2435" i="49"/>
  <c r="M2435" i="49"/>
  <c r="G2435" i="49"/>
  <c r="P2341" i="49"/>
  <c r="G2341" i="49"/>
  <c r="M2341" i="49"/>
  <c r="P2417" i="49"/>
  <c r="M2417" i="49"/>
  <c r="G2417" i="49"/>
  <c r="M2451" i="49"/>
  <c r="P2451" i="49"/>
  <c r="G2451" i="49"/>
  <c r="G2371" i="49"/>
  <c r="M2371" i="49"/>
  <c r="P2371" i="49"/>
  <c r="P2477" i="49"/>
  <c r="M2477" i="49"/>
  <c r="G2477" i="49"/>
  <c r="G2432" i="49"/>
  <c r="M2432" i="49"/>
  <c r="P2432" i="49"/>
  <c r="P2328" i="49"/>
  <c r="M2328" i="49"/>
  <c r="G2328" i="49"/>
  <c r="P2418" i="49"/>
  <c r="M2418" i="49"/>
  <c r="G2418" i="49"/>
  <c r="G2588" i="49"/>
  <c r="M2588" i="49"/>
  <c r="P2588" i="49"/>
  <c r="M2584" i="49"/>
  <c r="G2584" i="49"/>
  <c r="P2584" i="49"/>
  <c r="P2531" i="49"/>
  <c r="M2531" i="49"/>
  <c r="G2531" i="49"/>
  <c r="M2529" i="49"/>
  <c r="P2529" i="49"/>
  <c r="G2529" i="49"/>
  <c r="M2601" i="49"/>
  <c r="G2601" i="49"/>
  <c r="P2601" i="49"/>
  <c r="M2437" i="49"/>
  <c r="P2437" i="49"/>
  <c r="G2437" i="49"/>
  <c r="P2509" i="49"/>
  <c r="M2509" i="49"/>
  <c r="G2509" i="49"/>
  <c r="P2581" i="49"/>
  <c r="M2581" i="49"/>
  <c r="G2581" i="49"/>
  <c r="P462" i="49"/>
  <c r="N462" i="49"/>
  <c r="O462" i="49" s="1"/>
  <c r="H462" i="49"/>
  <c r="G462" i="49"/>
  <c r="M462" i="49"/>
  <c r="P2220" i="49"/>
  <c r="M2220" i="49"/>
  <c r="G2220" i="49"/>
  <c r="M2210" i="49"/>
  <c r="G2210" i="49"/>
  <c r="P2210" i="49"/>
  <c r="M2299" i="49"/>
  <c r="P2299" i="49"/>
  <c r="G2299" i="49"/>
  <c r="M2248" i="49"/>
  <c r="P2248" i="49"/>
  <c r="G2248" i="49"/>
  <c r="M2161" i="49"/>
  <c r="G2161" i="49"/>
  <c r="P2161" i="49"/>
  <c r="G2235" i="49"/>
  <c r="M2235" i="49"/>
  <c r="P2235" i="49"/>
  <c r="P2251" i="49"/>
  <c r="M2251" i="49"/>
  <c r="G2251" i="49"/>
  <c r="M2093" i="49"/>
  <c r="P2093" i="49"/>
  <c r="G2093" i="49"/>
  <c r="M2094" i="49"/>
  <c r="G2094" i="49"/>
  <c r="P2094" i="49"/>
  <c r="P2036" i="49"/>
  <c r="M2036" i="49"/>
  <c r="G2036" i="49"/>
  <c r="P2179" i="49"/>
  <c r="M2179" i="49"/>
  <c r="G2179" i="49"/>
  <c r="M2282" i="49"/>
  <c r="G2282" i="49"/>
  <c r="P2282" i="49"/>
  <c r="P2037" i="49"/>
  <c r="G2037" i="49"/>
  <c r="M2037" i="49"/>
  <c r="P2313" i="49"/>
  <c r="M2313" i="49"/>
  <c r="G2313" i="49"/>
  <c r="M2266" i="49"/>
  <c r="G2266" i="49"/>
  <c r="P2266" i="49"/>
  <c r="M2110" i="49"/>
  <c r="G2110" i="49"/>
  <c r="P2110" i="49"/>
  <c r="P2257" i="49"/>
  <c r="M2257" i="49"/>
  <c r="G2257" i="49"/>
  <c r="M2203" i="49"/>
  <c r="G2203" i="49"/>
  <c r="P2203" i="49"/>
  <c r="M2295" i="49"/>
  <c r="G2295" i="49"/>
  <c r="P2295" i="49"/>
  <c r="M2049" i="49"/>
  <c r="G2049" i="49"/>
  <c r="P2049" i="49"/>
  <c r="M2134" i="49"/>
  <c r="G2134" i="49"/>
  <c r="P2134" i="49"/>
  <c r="M2219" i="49"/>
  <c r="P2219" i="49"/>
  <c r="G2219" i="49"/>
  <c r="M2304" i="49"/>
  <c r="G2304" i="49"/>
  <c r="P2304" i="49"/>
  <c r="G2084" i="49"/>
  <c r="P2084" i="49"/>
  <c r="M2084" i="49"/>
  <c r="M1942" i="49"/>
  <c r="P1942" i="49"/>
  <c r="G1942" i="49"/>
  <c r="P1981" i="49"/>
  <c r="M1981" i="49"/>
  <c r="G1981" i="49"/>
  <c r="M1978" i="49"/>
  <c r="G1978" i="49"/>
  <c r="P1978" i="49"/>
  <c r="M1867" i="49"/>
  <c r="G1867" i="49"/>
  <c r="P1867" i="49"/>
  <c r="M1811" i="49"/>
  <c r="G1811" i="49"/>
  <c r="P1811" i="49"/>
  <c r="P1764" i="49"/>
  <c r="M1764" i="49"/>
  <c r="G1764" i="49"/>
  <c r="M1865" i="49"/>
  <c r="P1865" i="49"/>
  <c r="G1865" i="49"/>
  <c r="M1796" i="49"/>
  <c r="P1796" i="49"/>
  <c r="G1796" i="49"/>
  <c r="G1743" i="49"/>
  <c r="M1743" i="49"/>
  <c r="P1743" i="49"/>
  <c r="G1893" i="49"/>
  <c r="P1893" i="49"/>
  <c r="M1893" i="49"/>
  <c r="G1757" i="49"/>
  <c r="M1757" i="49"/>
  <c r="P1757" i="49"/>
  <c r="M1877" i="49"/>
  <c r="G1877" i="49"/>
  <c r="P1877" i="49"/>
  <c r="M1883" i="49"/>
  <c r="P1883" i="49"/>
  <c r="G1883" i="49"/>
  <c r="M1841" i="49"/>
  <c r="G1841" i="49"/>
  <c r="P1841" i="49"/>
  <c r="M1917" i="49"/>
  <c r="G1917" i="49"/>
  <c r="P1917" i="49"/>
  <c r="M1846" i="49"/>
  <c r="P1846" i="49"/>
  <c r="G1846" i="49"/>
  <c r="P1740" i="49"/>
  <c r="G1740" i="49"/>
  <c r="M1740" i="49"/>
  <c r="M1876" i="49"/>
  <c r="P1876" i="49"/>
  <c r="G1876" i="49"/>
  <c r="M1809" i="49"/>
  <c r="G1809" i="49"/>
  <c r="P1809" i="49"/>
  <c r="M1961" i="49"/>
  <c r="G1961" i="49"/>
  <c r="P1961" i="49"/>
  <c r="M1838" i="49"/>
  <c r="P1838" i="49"/>
  <c r="G1838" i="49"/>
  <c r="G1844" i="49"/>
  <c r="P1844" i="49"/>
  <c r="M1844" i="49"/>
  <c r="P1778" i="49"/>
  <c r="G1778" i="49"/>
  <c r="M1778" i="49"/>
  <c r="P1588" i="49"/>
  <c r="M1588" i="49"/>
  <c r="G1588" i="49"/>
  <c r="P1649" i="49"/>
  <c r="M1649" i="49"/>
  <c r="G1649" i="49"/>
  <c r="G1473" i="49"/>
  <c r="M1473" i="49"/>
  <c r="P1473" i="49"/>
  <c r="G1533" i="49"/>
  <c r="M1533" i="49"/>
  <c r="P1533" i="49"/>
  <c r="P1601" i="49"/>
  <c r="M1601" i="49"/>
  <c r="G1601" i="49"/>
  <c r="P1534" i="49"/>
  <c r="M1534" i="49"/>
  <c r="G1534" i="49"/>
  <c r="P1561" i="49"/>
  <c r="M1561" i="49"/>
  <c r="G1561" i="49"/>
  <c r="P1453" i="49"/>
  <c r="M1453" i="49"/>
  <c r="G1453" i="49"/>
  <c r="P1452" i="49"/>
  <c r="M1452" i="49"/>
  <c r="G1452" i="49"/>
  <c r="M1631" i="49"/>
  <c r="G1631" i="49"/>
  <c r="P1631" i="49"/>
  <c r="G1559" i="49"/>
  <c r="P1559" i="49"/>
  <c r="M1559" i="49"/>
  <c r="G1468" i="49"/>
  <c r="P1468" i="49"/>
  <c r="M1468" i="49"/>
  <c r="G1737" i="49"/>
  <c r="M1737" i="49"/>
  <c r="P1737" i="49"/>
  <c r="P1597" i="49"/>
  <c r="M1597" i="49"/>
  <c r="G1597" i="49"/>
  <c r="P1480" i="49"/>
  <c r="G1480" i="49"/>
  <c r="M1480" i="49"/>
  <c r="M1667" i="49"/>
  <c r="P1667" i="49"/>
  <c r="G1667" i="49"/>
  <c r="P1577" i="49"/>
  <c r="M1577" i="49"/>
  <c r="G1577" i="49"/>
  <c r="G1681" i="49"/>
  <c r="M1681" i="49"/>
  <c r="P1681" i="49"/>
  <c r="P1696" i="49"/>
  <c r="M1696" i="49"/>
  <c r="G1696" i="49"/>
  <c r="M1478" i="49"/>
  <c r="G1478" i="49"/>
  <c r="P1478" i="49"/>
  <c r="P1550" i="49"/>
  <c r="M1550" i="49"/>
  <c r="G1550" i="49"/>
  <c r="P1622" i="49"/>
  <c r="G1622" i="49"/>
  <c r="M1622" i="49"/>
  <c r="P1694" i="49"/>
  <c r="M1694" i="49"/>
  <c r="G1694" i="49"/>
  <c r="P1272" i="49"/>
  <c r="M1272" i="49"/>
  <c r="G1272" i="49"/>
  <c r="P1410" i="49"/>
  <c r="M1410" i="49"/>
  <c r="G1410" i="49"/>
  <c r="M1207" i="49"/>
  <c r="G1207" i="49"/>
  <c r="P1207" i="49"/>
  <c r="P1422" i="49"/>
  <c r="G1422" i="49"/>
  <c r="M1422" i="49"/>
  <c r="P1308" i="49"/>
  <c r="M1308" i="49"/>
  <c r="G1308" i="49"/>
  <c r="P1306" i="49"/>
  <c r="G1306" i="49"/>
  <c r="M1306" i="49"/>
  <c r="G1405" i="49"/>
  <c r="P1405" i="49"/>
  <c r="M1405" i="49"/>
  <c r="P1266" i="49"/>
  <c r="M1266" i="49"/>
  <c r="G1266" i="49"/>
  <c r="M1249" i="49"/>
  <c r="G1249" i="49"/>
  <c r="P1249" i="49"/>
  <c r="G1245" i="49"/>
  <c r="M1245" i="49"/>
  <c r="P1245" i="49"/>
  <c r="G1189" i="49"/>
  <c r="M1189" i="49"/>
  <c r="P1189" i="49"/>
  <c r="G1359" i="49"/>
  <c r="M1359" i="49"/>
  <c r="P1359" i="49"/>
  <c r="P1248" i="49"/>
  <c r="G1248" i="49"/>
  <c r="M1248" i="49"/>
  <c r="G1426" i="49"/>
  <c r="M1426" i="49"/>
  <c r="P1426" i="49"/>
  <c r="P1290" i="49"/>
  <c r="G1290" i="49"/>
  <c r="M1290" i="49"/>
  <c r="P1171" i="49"/>
  <c r="M1171" i="49"/>
  <c r="G1171" i="49"/>
  <c r="P1349" i="49"/>
  <c r="M1349" i="49"/>
  <c r="G1349" i="49"/>
  <c r="G1247" i="49"/>
  <c r="P1247" i="49"/>
  <c r="M1247" i="49"/>
  <c r="G1425" i="49"/>
  <c r="P1425" i="49"/>
  <c r="M1425" i="49"/>
  <c r="P1220" i="49"/>
  <c r="M1220" i="49"/>
  <c r="G1220" i="49"/>
  <c r="P1292" i="49"/>
  <c r="M1292" i="49"/>
  <c r="G1292" i="49"/>
  <c r="P1364" i="49"/>
  <c r="M1364" i="49"/>
  <c r="G1364" i="49"/>
  <c r="P1436" i="49"/>
  <c r="M1436" i="49"/>
  <c r="G1436" i="49"/>
  <c r="G601" i="49"/>
  <c r="M601" i="49"/>
  <c r="P601" i="49"/>
  <c r="G790" i="49"/>
  <c r="P790" i="49"/>
  <c r="M790" i="49"/>
  <c r="P643" i="49"/>
  <c r="G643" i="49"/>
  <c r="M643" i="49"/>
  <c r="M797" i="49"/>
  <c r="P797" i="49"/>
  <c r="G797" i="49"/>
  <c r="M618" i="49"/>
  <c r="G618" i="49"/>
  <c r="P618" i="49"/>
  <c r="M720" i="49"/>
  <c r="G720" i="49"/>
  <c r="P720" i="49"/>
  <c r="P827" i="49"/>
  <c r="M827" i="49"/>
  <c r="G827" i="49"/>
  <c r="M620" i="49"/>
  <c r="G620" i="49"/>
  <c r="P620" i="49"/>
  <c r="M722" i="49"/>
  <c r="G722" i="49"/>
  <c r="P722" i="49"/>
  <c r="P829" i="49"/>
  <c r="G829" i="49"/>
  <c r="M829" i="49"/>
  <c r="P667" i="49"/>
  <c r="G667" i="49"/>
  <c r="M667" i="49"/>
  <c r="P769" i="49"/>
  <c r="M769" i="49"/>
  <c r="G769" i="49"/>
  <c r="G595" i="49"/>
  <c r="M595" i="49"/>
  <c r="P595" i="49"/>
  <c r="P655" i="49"/>
  <c r="G655" i="49"/>
  <c r="M655" i="49"/>
  <c r="P740" i="49"/>
  <c r="M740" i="49"/>
  <c r="G740" i="49"/>
  <c r="G832" i="49"/>
  <c r="P832" i="49"/>
  <c r="M832" i="49"/>
  <c r="G639" i="49"/>
  <c r="M639" i="49"/>
  <c r="P639" i="49"/>
  <c r="G711" i="49"/>
  <c r="P711" i="49"/>
  <c r="M711" i="49"/>
  <c r="G783" i="49"/>
  <c r="P783" i="49"/>
  <c r="M783" i="49"/>
  <c r="G855" i="49"/>
  <c r="M855" i="49"/>
  <c r="P855" i="49"/>
  <c r="M1121" i="49"/>
  <c r="P1121" i="49"/>
  <c r="G1121" i="49"/>
  <c r="P4435" i="49"/>
  <c r="M4435" i="49"/>
  <c r="G4435" i="49"/>
  <c r="P4593" i="49"/>
  <c r="G4593" i="49"/>
  <c r="M4593" i="49"/>
  <c r="M4621" i="49"/>
  <c r="P4621" i="49"/>
  <c r="G4621" i="49"/>
  <c r="P4344" i="49"/>
  <c r="M4344" i="49"/>
  <c r="G4344" i="49"/>
  <c r="P4610" i="49"/>
  <c r="M4610" i="49"/>
  <c r="G4610" i="49"/>
  <c r="P4416" i="49"/>
  <c r="M4416" i="49"/>
  <c r="G4416" i="49"/>
  <c r="G4543" i="49"/>
  <c r="M4543" i="49"/>
  <c r="P4543" i="49"/>
  <c r="P4363" i="49"/>
  <c r="G4363" i="49"/>
  <c r="M4363" i="49"/>
  <c r="P4398" i="49"/>
  <c r="M4398" i="49"/>
  <c r="G4398" i="49"/>
  <c r="M4385" i="49"/>
  <c r="P4385" i="49"/>
  <c r="G4385" i="49"/>
  <c r="P4375" i="49"/>
  <c r="G4375" i="49"/>
  <c r="M4375" i="49"/>
  <c r="P4468" i="49"/>
  <c r="M4468" i="49"/>
  <c r="G4468" i="49"/>
  <c r="M4366" i="49"/>
  <c r="G4366" i="49"/>
  <c r="P4366" i="49"/>
  <c r="M4356" i="49"/>
  <c r="G4356" i="49"/>
  <c r="P4356" i="49"/>
  <c r="P4581" i="49"/>
  <c r="M4581" i="49"/>
  <c r="G4581" i="49"/>
  <c r="G4401" i="49"/>
  <c r="P4401" i="49"/>
  <c r="M4401" i="49"/>
  <c r="G4477" i="49"/>
  <c r="M4477" i="49"/>
  <c r="P4477" i="49"/>
  <c r="G4562" i="49"/>
  <c r="P4562" i="49"/>
  <c r="M4562" i="49"/>
  <c r="M4382" i="49"/>
  <c r="G4382" i="49"/>
  <c r="P4382" i="49"/>
  <c r="M4454" i="49"/>
  <c r="G4454" i="49"/>
  <c r="P4454" i="49"/>
  <c r="M4545" i="49"/>
  <c r="P4545" i="49"/>
  <c r="G4545" i="49"/>
  <c r="P4488" i="49"/>
  <c r="M4488" i="49"/>
  <c r="G4488" i="49"/>
  <c r="P4560" i="49"/>
  <c r="N4560" i="49"/>
  <c r="O4560" i="49" s="1"/>
  <c r="M4560" i="49"/>
  <c r="G4560" i="49"/>
  <c r="G4583" i="49"/>
  <c r="P4583" i="49"/>
  <c r="M4583" i="49"/>
  <c r="P2755" i="49"/>
  <c r="M2755" i="49"/>
  <c r="G2755" i="49"/>
  <c r="P2823" i="49"/>
  <c r="M2823" i="49"/>
  <c r="G2823" i="49"/>
  <c r="M2709" i="49"/>
  <c r="P2709" i="49"/>
  <c r="G2709" i="49"/>
  <c r="P2689" i="49"/>
  <c r="M2689" i="49"/>
  <c r="G2689" i="49"/>
  <c r="M2620" i="49"/>
  <c r="G2620" i="49"/>
  <c r="P2620" i="49"/>
  <c r="G2795" i="49"/>
  <c r="P2795" i="49"/>
  <c r="M2795" i="49"/>
  <c r="M2724" i="49"/>
  <c r="G2724" i="49"/>
  <c r="P2724" i="49"/>
  <c r="P2762" i="49"/>
  <c r="M2762" i="49"/>
  <c r="G2762" i="49"/>
  <c r="P2857" i="49"/>
  <c r="M2857" i="49"/>
  <c r="G2857" i="49"/>
  <c r="P2869" i="49"/>
  <c r="G2869" i="49"/>
  <c r="M2869" i="49"/>
  <c r="M2622" i="49"/>
  <c r="P2622" i="49"/>
  <c r="G2622" i="49"/>
  <c r="M2704" i="49"/>
  <c r="P2704" i="49"/>
  <c r="G2704" i="49"/>
  <c r="P2775" i="49"/>
  <c r="G2775" i="49"/>
  <c r="M2775" i="49"/>
  <c r="M2607" i="49"/>
  <c r="G2607" i="49"/>
  <c r="P2607" i="49"/>
  <c r="M2808" i="49"/>
  <c r="G2808" i="49"/>
  <c r="P2808" i="49"/>
  <c r="M2644" i="49"/>
  <c r="G2644" i="49"/>
  <c r="P2644" i="49"/>
  <c r="P2670" i="49"/>
  <c r="M2670" i="49"/>
  <c r="G2670" i="49"/>
  <c r="P2817" i="49"/>
  <c r="M2817" i="49"/>
  <c r="G2817" i="49"/>
  <c r="G2763" i="49"/>
  <c r="P2763" i="49"/>
  <c r="M2763" i="49"/>
  <c r="G2855" i="49"/>
  <c r="P2855" i="49"/>
  <c r="M2855" i="49"/>
  <c r="P2779" i="49"/>
  <c r="M2779" i="49"/>
  <c r="G2779" i="49"/>
  <c r="P2864" i="49"/>
  <c r="M2864" i="49"/>
  <c r="G2864" i="49"/>
  <c r="P2788" i="49"/>
  <c r="M2788" i="49"/>
  <c r="G2788" i="49"/>
  <c r="P2860" i="49"/>
  <c r="G2860" i="49"/>
  <c r="M2860" i="49"/>
  <c r="P920" i="49"/>
  <c r="M920" i="49"/>
  <c r="G920" i="49"/>
  <c r="P1073" i="49"/>
  <c r="M1073" i="49"/>
  <c r="G1073" i="49"/>
  <c r="M974" i="49"/>
  <c r="G974" i="49"/>
  <c r="P974" i="49"/>
  <c r="P1106" i="49"/>
  <c r="G1106" i="49"/>
  <c r="M1106" i="49"/>
  <c r="M968" i="49"/>
  <c r="G968" i="49"/>
  <c r="P968" i="49"/>
  <c r="M1112" i="49"/>
  <c r="G1112" i="49"/>
  <c r="P1112" i="49"/>
  <c r="G1151" i="49"/>
  <c r="P1151" i="49"/>
  <c r="M1151" i="49"/>
  <c r="M954" i="49"/>
  <c r="G954" i="49"/>
  <c r="P954" i="49"/>
  <c r="P1039" i="49"/>
  <c r="G1039" i="49"/>
  <c r="M1039" i="49"/>
  <c r="P1116" i="49"/>
  <c r="M1116" i="49"/>
  <c r="G1116" i="49"/>
  <c r="M960" i="49"/>
  <c r="P960" i="49"/>
  <c r="G960" i="49"/>
  <c r="P1045" i="49"/>
  <c r="M1045" i="49"/>
  <c r="G1045" i="49"/>
  <c r="G874" i="49"/>
  <c r="M874" i="49"/>
  <c r="P874" i="49"/>
  <c r="G885" i="49"/>
  <c r="M885" i="49"/>
  <c r="P885" i="49"/>
  <c r="G957" i="49"/>
  <c r="M957" i="49"/>
  <c r="P957" i="49"/>
  <c r="G1029" i="49"/>
  <c r="P1029" i="49"/>
  <c r="M1029" i="49"/>
  <c r="G1101" i="49"/>
  <c r="P1101" i="49"/>
  <c r="M1101" i="49"/>
  <c r="G1141" i="49"/>
  <c r="P1141" i="49"/>
  <c r="M1141" i="49"/>
  <c r="M900" i="49"/>
  <c r="P900" i="49"/>
  <c r="G900" i="49"/>
  <c r="G958" i="49"/>
  <c r="M958" i="49"/>
  <c r="P958" i="49"/>
  <c r="M520" i="49"/>
  <c r="G520" i="49"/>
  <c r="P520" i="49"/>
  <c r="H520" i="49"/>
  <c r="G3965" i="49"/>
  <c r="M3965" i="49"/>
  <c r="P3965" i="49"/>
  <c r="M3996" i="49"/>
  <c r="P3996" i="49"/>
  <c r="G3996" i="49"/>
  <c r="P3801" i="49"/>
  <c r="M3801" i="49"/>
  <c r="G3801" i="49"/>
  <c r="G3893" i="49"/>
  <c r="M3893" i="49"/>
  <c r="P3893" i="49"/>
  <c r="M3930" i="49"/>
  <c r="P3930" i="49"/>
  <c r="G3930" i="49"/>
  <c r="P3787" i="49"/>
  <c r="M3787" i="49"/>
  <c r="G3787" i="49"/>
  <c r="P3979" i="49"/>
  <c r="M3979" i="49"/>
  <c r="G3979" i="49"/>
  <c r="P3811" i="49"/>
  <c r="M3811" i="49"/>
  <c r="G3811" i="49"/>
  <c r="G3843" i="49"/>
  <c r="P3843" i="49"/>
  <c r="M3843" i="49"/>
  <c r="G3803" i="49"/>
  <c r="P3803" i="49"/>
  <c r="M3803" i="49"/>
  <c r="G4017" i="49"/>
  <c r="P4017" i="49"/>
  <c r="M4017" i="49"/>
  <c r="G3883" i="49"/>
  <c r="P3883" i="49"/>
  <c r="M3883" i="49"/>
  <c r="P3800" i="49"/>
  <c r="G3800" i="49"/>
  <c r="M3800" i="49"/>
  <c r="G3953" i="49"/>
  <c r="P3953" i="49"/>
  <c r="M3953" i="49"/>
  <c r="P3891" i="49"/>
  <c r="M3891" i="49"/>
  <c r="G3891" i="49"/>
  <c r="M3865" i="49"/>
  <c r="G3865" i="49"/>
  <c r="P3865" i="49"/>
  <c r="G3821" i="49"/>
  <c r="M3821" i="49"/>
  <c r="P3821" i="49"/>
  <c r="P3932" i="49"/>
  <c r="G3932" i="49"/>
  <c r="M3932" i="49"/>
  <c r="P4045" i="49"/>
  <c r="M4045" i="49"/>
  <c r="G4045" i="49"/>
  <c r="P3974" i="49"/>
  <c r="G3974" i="49"/>
  <c r="M3974" i="49"/>
  <c r="M3784" i="49"/>
  <c r="P3784" i="49"/>
  <c r="G3784" i="49"/>
  <c r="P3856" i="49"/>
  <c r="M3856" i="49"/>
  <c r="G3856" i="49"/>
  <c r="M3928" i="49"/>
  <c r="P3928" i="49"/>
  <c r="G3928" i="49"/>
  <c r="M4000" i="49"/>
  <c r="G4000" i="49"/>
  <c r="P4000" i="49"/>
  <c r="M3586" i="49"/>
  <c r="P3586" i="49"/>
  <c r="G3586" i="49"/>
  <c r="P3642" i="49"/>
  <c r="M3642" i="49"/>
  <c r="G3642" i="49"/>
  <c r="M3700" i="49"/>
  <c r="G3700" i="49"/>
  <c r="P3700" i="49"/>
  <c r="M3628" i="49"/>
  <c r="G3628" i="49"/>
  <c r="P3628" i="49"/>
  <c r="P3725" i="49"/>
  <c r="M3725" i="49"/>
  <c r="G3725" i="49"/>
  <c r="P3608" i="49"/>
  <c r="G3608" i="49"/>
  <c r="M3608" i="49"/>
  <c r="M3505" i="49"/>
  <c r="G3505" i="49"/>
  <c r="P3505" i="49"/>
  <c r="P3582" i="49"/>
  <c r="M3582" i="49"/>
  <c r="G3582" i="49"/>
  <c r="M3544" i="49"/>
  <c r="P3544" i="49"/>
  <c r="G3544" i="49"/>
  <c r="M3484" i="49"/>
  <c r="P3484" i="49"/>
  <c r="G3484" i="49"/>
  <c r="M3728" i="49"/>
  <c r="P3728" i="49"/>
  <c r="G3728" i="49"/>
  <c r="M3711" i="49"/>
  <c r="P3711" i="49"/>
  <c r="G3711" i="49"/>
  <c r="P3650" i="49"/>
  <c r="M3650" i="49"/>
  <c r="G3650" i="49"/>
  <c r="M3704" i="49"/>
  <c r="P3704" i="49"/>
  <c r="G3704" i="49"/>
  <c r="M3585" i="49"/>
  <c r="G3585" i="49"/>
  <c r="P3585" i="49"/>
  <c r="M3730" i="49"/>
  <c r="G3730" i="49"/>
  <c r="P3730" i="49"/>
  <c r="G3593" i="49"/>
  <c r="P3593" i="49"/>
  <c r="M3593" i="49"/>
  <c r="G3733" i="49"/>
  <c r="M3733" i="49"/>
  <c r="P3733" i="49"/>
  <c r="M3580" i="49"/>
  <c r="G3580" i="49"/>
  <c r="P3580" i="49"/>
  <c r="G3726" i="49"/>
  <c r="P3726" i="49"/>
  <c r="M3726" i="49"/>
  <c r="P3588" i="49"/>
  <c r="M3588" i="49"/>
  <c r="G3588" i="49"/>
  <c r="M3736" i="49"/>
  <c r="G3736" i="49"/>
  <c r="P3736" i="49"/>
  <c r="M3609" i="49"/>
  <c r="G3609" i="49"/>
  <c r="P3609" i="49"/>
  <c r="P3749" i="49"/>
  <c r="M3749" i="49"/>
  <c r="G3749" i="49"/>
  <c r="P3211" i="49"/>
  <c r="G3211" i="49"/>
  <c r="M3211" i="49"/>
  <c r="P3249" i="49"/>
  <c r="M3249" i="49"/>
  <c r="G3249" i="49"/>
  <c r="M3361" i="49"/>
  <c r="P3361" i="49"/>
  <c r="G3361" i="49"/>
  <c r="G3305" i="49"/>
  <c r="P3305" i="49"/>
  <c r="M3305" i="49"/>
  <c r="P3243" i="49"/>
  <c r="M3243" i="49"/>
  <c r="G3243" i="49"/>
  <c r="M3225" i="49"/>
  <c r="G3225" i="49"/>
  <c r="P3225" i="49"/>
  <c r="P3417" i="49"/>
  <c r="M3417" i="49"/>
  <c r="G3417" i="49"/>
  <c r="M3258" i="49"/>
  <c r="G3258" i="49"/>
  <c r="P3258" i="49"/>
  <c r="P3392" i="49"/>
  <c r="M3392" i="49"/>
  <c r="G3392" i="49"/>
  <c r="M3276" i="49"/>
  <c r="G3276" i="49"/>
  <c r="P3276" i="49"/>
  <c r="P3459" i="49"/>
  <c r="G3459" i="49"/>
  <c r="M3459" i="49"/>
  <c r="M3261" i="49"/>
  <c r="G3261" i="49"/>
  <c r="P3261" i="49"/>
  <c r="G3402" i="49"/>
  <c r="M3402" i="49"/>
  <c r="P3402" i="49"/>
  <c r="G3241" i="49"/>
  <c r="P3241" i="49"/>
  <c r="M3241" i="49"/>
  <c r="P3326" i="49"/>
  <c r="G3326" i="49"/>
  <c r="M3326" i="49"/>
  <c r="G3374" i="49"/>
  <c r="P3374" i="49"/>
  <c r="M3374" i="49"/>
  <c r="M3234" i="49"/>
  <c r="P3234" i="49"/>
  <c r="G3234" i="49"/>
  <c r="G3319" i="49"/>
  <c r="P3319" i="49"/>
  <c r="M3319" i="49"/>
  <c r="M3454" i="49"/>
  <c r="P3454" i="49"/>
  <c r="G3454" i="49"/>
  <c r="M3232" i="49"/>
  <c r="P3232" i="49"/>
  <c r="G3232" i="49"/>
  <c r="M3304" i="49"/>
  <c r="G3304" i="49"/>
  <c r="P3304" i="49"/>
  <c r="G3423" i="49"/>
  <c r="P3423" i="49"/>
  <c r="M3423" i="49"/>
  <c r="G3414" i="49"/>
  <c r="P3414" i="49"/>
  <c r="M3414" i="49"/>
  <c r="G3443" i="49"/>
  <c r="M3443" i="49"/>
  <c r="P3443" i="49"/>
  <c r="M3066" i="49"/>
  <c r="G3066" i="49"/>
  <c r="P3066" i="49"/>
  <c r="P3013" i="49"/>
  <c r="M3013" i="49"/>
  <c r="G3013" i="49"/>
  <c r="G3061" i="49"/>
  <c r="P3061" i="49"/>
  <c r="M3061" i="49"/>
  <c r="P2900" i="49"/>
  <c r="M2900" i="49"/>
  <c r="G2900" i="49"/>
  <c r="M3045" i="49"/>
  <c r="G3045" i="49"/>
  <c r="P3045" i="49"/>
  <c r="G2933" i="49"/>
  <c r="M2933" i="49"/>
  <c r="P2933" i="49"/>
  <c r="M2922" i="49"/>
  <c r="G2922" i="49"/>
  <c r="P2922" i="49"/>
  <c r="M2898" i="49"/>
  <c r="G2898" i="49"/>
  <c r="P2898" i="49"/>
  <c r="G3041" i="49"/>
  <c r="M3041" i="49"/>
  <c r="P3041" i="49"/>
  <c r="M2994" i="49"/>
  <c r="G2994" i="49"/>
  <c r="P2994" i="49"/>
  <c r="M2997" i="49"/>
  <c r="G2997" i="49"/>
  <c r="P2997" i="49"/>
  <c r="P2912" i="49"/>
  <c r="M2912" i="49"/>
  <c r="G2912" i="49"/>
  <c r="M3021" i="49"/>
  <c r="P3021" i="49"/>
  <c r="G3021" i="49"/>
  <c r="M2899" i="49"/>
  <c r="G2899" i="49"/>
  <c r="P2899" i="49"/>
  <c r="P2906" i="49"/>
  <c r="G2906" i="49"/>
  <c r="M2906" i="49"/>
  <c r="M2935" i="49"/>
  <c r="G2935" i="49"/>
  <c r="P2935" i="49"/>
  <c r="P3044" i="49"/>
  <c r="M3044" i="49"/>
  <c r="G3044" i="49"/>
  <c r="M3145" i="49"/>
  <c r="P3145" i="49"/>
  <c r="G3145" i="49"/>
  <c r="M2904" i="49"/>
  <c r="G2904" i="49"/>
  <c r="P2904" i="49"/>
  <c r="P3146" i="49"/>
  <c r="M3146" i="49"/>
  <c r="G3146" i="49"/>
  <c r="P2944" i="49"/>
  <c r="G2944" i="49"/>
  <c r="M2944" i="49"/>
  <c r="M3016" i="49"/>
  <c r="G3016" i="49"/>
  <c r="P3016" i="49"/>
  <c r="M3088" i="49"/>
  <c r="P3088" i="49"/>
  <c r="G3088" i="49"/>
  <c r="M3160" i="49"/>
  <c r="G3160" i="49"/>
  <c r="P3160" i="49"/>
  <c r="M2369" i="49"/>
  <c r="P2369" i="49"/>
  <c r="G2369" i="49"/>
  <c r="P2495" i="49"/>
  <c r="M2495" i="49"/>
  <c r="G2495" i="49"/>
  <c r="M2404" i="49"/>
  <c r="P2404" i="49"/>
  <c r="G2404" i="49"/>
  <c r="P2388" i="49"/>
  <c r="M2388" i="49"/>
  <c r="G2388" i="49"/>
  <c r="P2585" i="49"/>
  <c r="M2585" i="49"/>
  <c r="G2585" i="49"/>
  <c r="M2440" i="49"/>
  <c r="P2440" i="49"/>
  <c r="G2440" i="49"/>
  <c r="M2532" i="49"/>
  <c r="G2532" i="49"/>
  <c r="P2532" i="49"/>
  <c r="G2444" i="49"/>
  <c r="P2444" i="49"/>
  <c r="M2444" i="49"/>
  <c r="M2343" i="49"/>
  <c r="P2343" i="49"/>
  <c r="G2343" i="49"/>
  <c r="G2426" i="49"/>
  <c r="P2426" i="49"/>
  <c r="M2426" i="49"/>
  <c r="M2476" i="49"/>
  <c r="P2476" i="49"/>
  <c r="G2476" i="49"/>
  <c r="M2385" i="49"/>
  <c r="G2385" i="49"/>
  <c r="P2385" i="49"/>
  <c r="P2489" i="49"/>
  <c r="M2489" i="49"/>
  <c r="G2489" i="49"/>
  <c r="G2450" i="49"/>
  <c r="M2450" i="49"/>
  <c r="P2450" i="49"/>
  <c r="M2332" i="49"/>
  <c r="G2332" i="49"/>
  <c r="P2332" i="49"/>
  <c r="M2434" i="49"/>
  <c r="P2434" i="49"/>
  <c r="G2434" i="49"/>
  <c r="M2590" i="49"/>
  <c r="G2590" i="49"/>
  <c r="P2590" i="49"/>
  <c r="P2331" i="49"/>
  <c r="M2331" i="49"/>
  <c r="G2331" i="49"/>
  <c r="P2562" i="49"/>
  <c r="M2562" i="49"/>
  <c r="G2562" i="49"/>
  <c r="M2535" i="49"/>
  <c r="G2535" i="49"/>
  <c r="P2535" i="49"/>
  <c r="G2597" i="49"/>
  <c r="P2597" i="49"/>
  <c r="M2597" i="49"/>
  <c r="M2443" i="49"/>
  <c r="G2443" i="49"/>
  <c r="P2443" i="49"/>
  <c r="P2515" i="49"/>
  <c r="M2515" i="49"/>
  <c r="G2515" i="49"/>
  <c r="P2587" i="49"/>
  <c r="M2587" i="49"/>
  <c r="G2587" i="49"/>
  <c r="M431" i="49"/>
  <c r="G431" i="49"/>
  <c r="H431" i="49"/>
  <c r="P431" i="49"/>
  <c r="G12" i="40"/>
  <c r="F12" i="40"/>
  <c r="J12" i="40"/>
  <c r="I12" i="40"/>
  <c r="H12" i="40"/>
  <c r="E12" i="40"/>
  <c r="M2038" i="49"/>
  <c r="P2038" i="49"/>
  <c r="G2038" i="49"/>
  <c r="P2292" i="49"/>
  <c r="M2292" i="49"/>
  <c r="G2292" i="49"/>
  <c r="M2095" i="49"/>
  <c r="G2095" i="49"/>
  <c r="P2095" i="49"/>
  <c r="M2267" i="49"/>
  <c r="P2267" i="49"/>
  <c r="G2267" i="49"/>
  <c r="M2195" i="49"/>
  <c r="P2195" i="49"/>
  <c r="G2195" i="49"/>
  <c r="M2033" i="49"/>
  <c r="P2033" i="49"/>
  <c r="G2033" i="49"/>
  <c r="M2273" i="49"/>
  <c r="P2273" i="49"/>
  <c r="G2273" i="49"/>
  <c r="P2126" i="49"/>
  <c r="M2126" i="49"/>
  <c r="G2126" i="49"/>
  <c r="M2107" i="49"/>
  <c r="G2107" i="49"/>
  <c r="P2107" i="49"/>
  <c r="M2045" i="49"/>
  <c r="G2045" i="49"/>
  <c r="P2045" i="49"/>
  <c r="M2182" i="49"/>
  <c r="P2182" i="49"/>
  <c r="G2182" i="49"/>
  <c r="M2315" i="49"/>
  <c r="G2315" i="49"/>
  <c r="P2315" i="49"/>
  <c r="P2041" i="49"/>
  <c r="G2041" i="49"/>
  <c r="M2041" i="49"/>
  <c r="M2116" i="49"/>
  <c r="P2116" i="49"/>
  <c r="G2116" i="49"/>
  <c r="M2276" i="49"/>
  <c r="G2276" i="49"/>
  <c r="P2276" i="49"/>
  <c r="P2112" i="49"/>
  <c r="M2112" i="49"/>
  <c r="G2112" i="49"/>
  <c r="M2269" i="49"/>
  <c r="G2269" i="49"/>
  <c r="P2269" i="49"/>
  <c r="M2213" i="49"/>
  <c r="G2213" i="49"/>
  <c r="P2213" i="49"/>
  <c r="M2298" i="49"/>
  <c r="G2298" i="49"/>
  <c r="P2298" i="49"/>
  <c r="P2052" i="49"/>
  <c r="M2052" i="49"/>
  <c r="G2052" i="49"/>
  <c r="P2137" i="49"/>
  <c r="M2137" i="49"/>
  <c r="G2137" i="49"/>
  <c r="M2229" i="49"/>
  <c r="G2229" i="49"/>
  <c r="P2229" i="49"/>
  <c r="M2314" i="49"/>
  <c r="P2314" i="49"/>
  <c r="G2314" i="49"/>
  <c r="P2120" i="49"/>
  <c r="M2120" i="49"/>
  <c r="G2120" i="49"/>
  <c r="P1890" i="49"/>
  <c r="M1890" i="49"/>
  <c r="G1890" i="49"/>
  <c r="G1797" i="49"/>
  <c r="M1797" i="49"/>
  <c r="P1797" i="49"/>
  <c r="M1765" i="49"/>
  <c r="G1765" i="49"/>
  <c r="P1765" i="49"/>
  <c r="P1873" i="49"/>
  <c r="M1873" i="49"/>
  <c r="G1873" i="49"/>
  <c r="M1925" i="49"/>
  <c r="P1925" i="49"/>
  <c r="G1925" i="49"/>
  <c r="M1860" i="49"/>
  <c r="G1860" i="49"/>
  <c r="P1860" i="49"/>
  <c r="M1889" i="49"/>
  <c r="P1889" i="49"/>
  <c r="G1889" i="49"/>
  <c r="G1821" i="49"/>
  <c r="P1821" i="49"/>
  <c r="M1821" i="49"/>
  <c r="M1747" i="49"/>
  <c r="G1747" i="49"/>
  <c r="P1747" i="49"/>
  <c r="M1896" i="49"/>
  <c r="G1896" i="49"/>
  <c r="P1896" i="49"/>
  <c r="M1805" i="49"/>
  <c r="G1805" i="49"/>
  <c r="P1805" i="49"/>
  <c r="M1927" i="49"/>
  <c r="P1927" i="49"/>
  <c r="G1927" i="49"/>
  <c r="M1891" i="49"/>
  <c r="P1891" i="49"/>
  <c r="G1891" i="49"/>
  <c r="M1848" i="49"/>
  <c r="G1848" i="49"/>
  <c r="P1848" i="49"/>
  <c r="M1924" i="49"/>
  <c r="G1924" i="49"/>
  <c r="P1924" i="49"/>
  <c r="M1862" i="49"/>
  <c r="P1862" i="49"/>
  <c r="G1862" i="49"/>
  <c r="M1753" i="49"/>
  <c r="G1753" i="49"/>
  <c r="P1753" i="49"/>
  <c r="M1897" i="49"/>
  <c r="P1897" i="49"/>
  <c r="G1897" i="49"/>
  <c r="M1817" i="49"/>
  <c r="P1817" i="49"/>
  <c r="G1817" i="49"/>
  <c r="M1984" i="49"/>
  <c r="G1984" i="49"/>
  <c r="P1984" i="49"/>
  <c r="M1874" i="49"/>
  <c r="G1874" i="49"/>
  <c r="P1874" i="49"/>
  <c r="M1880" i="49"/>
  <c r="G1880" i="49"/>
  <c r="P1880" i="49"/>
  <c r="P1784" i="49"/>
  <c r="M1784" i="49"/>
  <c r="G1784" i="49"/>
  <c r="P1674" i="49"/>
  <c r="G1674" i="49"/>
  <c r="M1674" i="49"/>
  <c r="G1697" i="49"/>
  <c r="P1697" i="49"/>
  <c r="M1697" i="49"/>
  <c r="P1483" i="49"/>
  <c r="M1483" i="49"/>
  <c r="G1483" i="49"/>
  <c r="G1557" i="49"/>
  <c r="P1557" i="49"/>
  <c r="M1557" i="49"/>
  <c r="M1621" i="49"/>
  <c r="P1621" i="49"/>
  <c r="G1621" i="49"/>
  <c r="P1602" i="49"/>
  <c r="G1602" i="49"/>
  <c r="M1602" i="49"/>
  <c r="P1566" i="49"/>
  <c r="M1566" i="49"/>
  <c r="G1566" i="49"/>
  <c r="P1457" i="49"/>
  <c r="M1457" i="49"/>
  <c r="G1457" i="49"/>
  <c r="M1469" i="49"/>
  <c r="G1469" i="49"/>
  <c r="P1469" i="49"/>
  <c r="G1653" i="49"/>
  <c r="P1653" i="49"/>
  <c r="M1653" i="49"/>
  <c r="G1579" i="49"/>
  <c r="M1579" i="49"/>
  <c r="P1579" i="49"/>
  <c r="G1485" i="49"/>
  <c r="M1485" i="49"/>
  <c r="P1485" i="49"/>
  <c r="G1455" i="49"/>
  <c r="P1455" i="49"/>
  <c r="M1455" i="49"/>
  <c r="M1600" i="49"/>
  <c r="P1600" i="49"/>
  <c r="G1600" i="49"/>
  <c r="G1497" i="49"/>
  <c r="P1497" i="49"/>
  <c r="M1497" i="49"/>
  <c r="G1723" i="49"/>
  <c r="P1723" i="49"/>
  <c r="M1723" i="49"/>
  <c r="P1594" i="49"/>
  <c r="G1594" i="49"/>
  <c r="M1594" i="49"/>
  <c r="G1691" i="49"/>
  <c r="M1691" i="49"/>
  <c r="P1691" i="49"/>
  <c r="G1702" i="49"/>
  <c r="P1702" i="49"/>
  <c r="M1702" i="49"/>
  <c r="P1484" i="49"/>
  <c r="M1484" i="49"/>
  <c r="G1484" i="49"/>
  <c r="M1556" i="49"/>
  <c r="G1556" i="49"/>
  <c r="P1556" i="49"/>
  <c r="M1628" i="49"/>
  <c r="G1628" i="49"/>
  <c r="P1628" i="49"/>
  <c r="P1700" i="49"/>
  <c r="G1700" i="49"/>
  <c r="M1700" i="49"/>
  <c r="P1289" i="49"/>
  <c r="M1289" i="49"/>
  <c r="G1289" i="49"/>
  <c r="P1224" i="49"/>
  <c r="M1224" i="49"/>
  <c r="G1224" i="49"/>
  <c r="G1161" i="49"/>
  <c r="P1161" i="49"/>
  <c r="M1161" i="49"/>
  <c r="M1321" i="49"/>
  <c r="P1321" i="49"/>
  <c r="G1321" i="49"/>
  <c r="M1312" i="49"/>
  <c r="G1312" i="49"/>
  <c r="P1312" i="49"/>
  <c r="P1420" i="49"/>
  <c r="M1420" i="49"/>
  <c r="G1420" i="49"/>
  <c r="M1283" i="49"/>
  <c r="G1283" i="49"/>
  <c r="P1283" i="49"/>
  <c r="M1279" i="49"/>
  <c r="G1279" i="49"/>
  <c r="P1279" i="49"/>
  <c r="P1258" i="49"/>
  <c r="M1258" i="49"/>
  <c r="G1258" i="49"/>
  <c r="P1199" i="49"/>
  <c r="M1199" i="49"/>
  <c r="G1199" i="49"/>
  <c r="M1363" i="49"/>
  <c r="G1363" i="49"/>
  <c r="P1363" i="49"/>
  <c r="G1265" i="49"/>
  <c r="P1265" i="49"/>
  <c r="M1265" i="49"/>
  <c r="G1443" i="49"/>
  <c r="P1443" i="49"/>
  <c r="M1443" i="49"/>
  <c r="G1307" i="49"/>
  <c r="P1307" i="49"/>
  <c r="M1307" i="49"/>
  <c r="P1188" i="49"/>
  <c r="M1188" i="49"/>
  <c r="G1188" i="49"/>
  <c r="P1366" i="49"/>
  <c r="M1366" i="49"/>
  <c r="G1366" i="49"/>
  <c r="M1264" i="49"/>
  <c r="G1264" i="49"/>
  <c r="P1264" i="49"/>
  <c r="P1429" i="49"/>
  <c r="M1429" i="49"/>
  <c r="G1429" i="49"/>
  <c r="M1226" i="49"/>
  <c r="G1226" i="49"/>
  <c r="P1226" i="49"/>
  <c r="M1298" i="49"/>
  <c r="P1298" i="49"/>
  <c r="G1298" i="49"/>
  <c r="P1370" i="49"/>
  <c r="M1370" i="49"/>
  <c r="G1370" i="49"/>
  <c r="P1442" i="49"/>
  <c r="G1442" i="49"/>
  <c r="M1442" i="49"/>
  <c r="M612" i="49"/>
  <c r="P612" i="49"/>
  <c r="G612" i="49"/>
  <c r="P811" i="49"/>
  <c r="M811" i="49"/>
  <c r="G811" i="49"/>
  <c r="M702" i="49"/>
  <c r="P702" i="49"/>
  <c r="G702" i="49"/>
  <c r="P818" i="49"/>
  <c r="M818" i="49"/>
  <c r="G818" i="49"/>
  <c r="G623" i="49"/>
  <c r="P623" i="49"/>
  <c r="M623" i="49"/>
  <c r="M725" i="49"/>
  <c r="P725" i="49"/>
  <c r="G725" i="49"/>
  <c r="M834" i="49"/>
  <c r="G834" i="49"/>
  <c r="P834" i="49"/>
  <c r="G658" i="49"/>
  <c r="M658" i="49"/>
  <c r="P658" i="49"/>
  <c r="G734" i="49"/>
  <c r="M734" i="49"/>
  <c r="P734" i="49"/>
  <c r="M836" i="49"/>
  <c r="G836" i="49"/>
  <c r="P836" i="49"/>
  <c r="M672" i="49"/>
  <c r="G672" i="49"/>
  <c r="P672" i="49"/>
  <c r="M774" i="49"/>
  <c r="P774" i="49"/>
  <c r="G774" i="49"/>
  <c r="P598" i="49"/>
  <c r="M598" i="49"/>
  <c r="G598" i="49"/>
  <c r="M665" i="49"/>
  <c r="G665" i="49"/>
  <c r="P665" i="49"/>
  <c r="M750" i="49"/>
  <c r="G750" i="49"/>
  <c r="P750" i="49"/>
  <c r="P835" i="49"/>
  <c r="M835" i="49"/>
  <c r="G835" i="49"/>
  <c r="P645" i="49"/>
  <c r="M645" i="49"/>
  <c r="G645" i="49"/>
  <c r="G717" i="49"/>
  <c r="M717" i="49"/>
  <c r="P717" i="49"/>
  <c r="M789" i="49"/>
  <c r="G789" i="49"/>
  <c r="P789" i="49"/>
  <c r="P861" i="49"/>
  <c r="M861" i="49"/>
  <c r="G861" i="49"/>
  <c r="P906" i="49"/>
  <c r="J49" i="1"/>
  <c r="P449" i="49"/>
  <c r="M449" i="49"/>
  <c r="H449" i="49"/>
  <c r="G449" i="49"/>
  <c r="P436" i="49"/>
  <c r="M436" i="49"/>
  <c r="H436" i="49"/>
  <c r="G436" i="49"/>
  <c r="M339" i="49"/>
  <c r="G339" i="49"/>
  <c r="H339" i="49"/>
  <c r="P339" i="49"/>
  <c r="P504" i="49"/>
  <c r="M504" i="49"/>
  <c r="G504" i="49"/>
  <c r="H504" i="49"/>
  <c r="N486" i="49"/>
  <c r="O486" i="49" s="1"/>
  <c r="M486" i="49"/>
  <c r="G486" i="49"/>
  <c r="P486" i="49"/>
  <c r="H486" i="49"/>
  <c r="M350" i="49"/>
  <c r="H350" i="49"/>
  <c r="G350" i="49"/>
  <c r="P350" i="49"/>
  <c r="M460" i="49"/>
  <c r="H460" i="49"/>
  <c r="G460" i="49"/>
  <c r="P460" i="49"/>
  <c r="H319" i="49"/>
  <c r="G319" i="49"/>
  <c r="P319" i="49"/>
  <c r="M319" i="49"/>
  <c r="H396" i="49"/>
  <c r="G396" i="49"/>
  <c r="M396" i="49"/>
  <c r="P396" i="49"/>
  <c r="M404" i="49"/>
  <c r="G404" i="49"/>
  <c r="N404" i="49"/>
  <c r="O404" i="49" s="1"/>
  <c r="H404" i="49"/>
  <c r="P404" i="49"/>
  <c r="G539" i="49"/>
  <c r="P539" i="49"/>
  <c r="H539" i="49"/>
  <c r="M539" i="49"/>
  <c r="P330" i="49"/>
  <c r="M330" i="49"/>
  <c r="H330" i="49"/>
  <c r="G330" i="49"/>
  <c r="P412" i="49"/>
  <c r="H412" i="49"/>
  <c r="G412" i="49"/>
  <c r="M412" i="49"/>
  <c r="M416" i="49"/>
  <c r="P416" i="49"/>
  <c r="H416" i="49"/>
  <c r="G416" i="49"/>
  <c r="H545" i="49"/>
  <c r="G545" i="49"/>
  <c r="P545" i="49"/>
  <c r="N545" i="49"/>
  <c r="O545" i="49" s="1"/>
  <c r="M545" i="49"/>
  <c r="M576" i="49"/>
  <c r="H576" i="49"/>
  <c r="G576" i="49"/>
  <c r="P576" i="49"/>
  <c r="G842" i="49"/>
  <c r="P842" i="49"/>
  <c r="M842" i="49"/>
  <c r="P352" i="49"/>
  <c r="N352" i="49"/>
  <c r="O352" i="49" s="1"/>
  <c r="H352" i="49"/>
  <c r="M352" i="49"/>
  <c r="G352" i="49"/>
  <c r="N418" i="49"/>
  <c r="O418" i="49" s="1"/>
  <c r="M418" i="49"/>
  <c r="H418" i="49"/>
  <c r="P418" i="49"/>
  <c r="G418" i="49"/>
  <c r="J502" i="49"/>
  <c r="Q502" i="49" s="1"/>
  <c r="G35" i="31"/>
  <c r="G30" i="31"/>
  <c r="G18" i="31"/>
  <c r="G38" i="31"/>
  <c r="G33" i="31"/>
  <c r="G28" i="31"/>
  <c r="G44" i="31"/>
  <c r="G37" i="31"/>
  <c r="G36" i="31"/>
  <c r="G32" i="31"/>
  <c r="G29" i="31"/>
  <c r="G17" i="31"/>
  <c r="G14" i="31"/>
  <c r="G34" i="31"/>
  <c r="G16" i="31"/>
  <c r="G72" i="31"/>
  <c r="G27" i="31"/>
  <c r="H12" i="31"/>
  <c r="G31" i="31"/>
  <c r="G15" i="31"/>
  <c r="F19" i="31"/>
  <c r="J11" i="40"/>
  <c r="J50" i="1"/>
  <c r="F16" i="40"/>
  <c r="P4936" i="49"/>
  <c r="M4936" i="49"/>
  <c r="G4936" i="49"/>
  <c r="P5091" i="49"/>
  <c r="M5091" i="49"/>
  <c r="G5091" i="49"/>
  <c r="P4923" i="49"/>
  <c r="M4923" i="49"/>
  <c r="G4923" i="49"/>
  <c r="P4930" i="49"/>
  <c r="N4930" i="49"/>
  <c r="O4930" i="49" s="1"/>
  <c r="G4930" i="49"/>
  <c r="M4930" i="49"/>
  <c r="P4927" i="49"/>
  <c r="N4927" i="49"/>
  <c r="O4927" i="49" s="1"/>
  <c r="G4927" i="49"/>
  <c r="M4927" i="49"/>
  <c r="P5053" i="49"/>
  <c r="M5053" i="49"/>
  <c r="G5053" i="49"/>
  <c r="N5053" i="49"/>
  <c r="O5053" i="49" s="1"/>
  <c r="P5033" i="49"/>
  <c r="N5033" i="49"/>
  <c r="O5033" i="49" s="1"/>
  <c r="M5033" i="49"/>
  <c r="G5033" i="49"/>
  <c r="G5178" i="49"/>
  <c r="P5178" i="49"/>
  <c r="M5178" i="49"/>
  <c r="M4925" i="49"/>
  <c r="G4925" i="49"/>
  <c r="P4925" i="49"/>
  <c r="N4925" i="49"/>
  <c r="O4925" i="49" s="1"/>
  <c r="P5133" i="49"/>
  <c r="N5133" i="49"/>
  <c r="O5133" i="49" s="1"/>
  <c r="G5133" i="49"/>
  <c r="M5133" i="49"/>
  <c r="G5143" i="49"/>
  <c r="M5143" i="49"/>
  <c r="P5143" i="49"/>
  <c r="N5150" i="49"/>
  <c r="O5150" i="49" s="1"/>
  <c r="M5150" i="49"/>
  <c r="P5150" i="49"/>
  <c r="G5150" i="49"/>
  <c r="P4972" i="49"/>
  <c r="G4972" i="49"/>
  <c r="M4972" i="49"/>
  <c r="N5144" i="49"/>
  <c r="O5144" i="49" s="1"/>
  <c r="M5144" i="49"/>
  <c r="P5144" i="49"/>
  <c r="G5144" i="49"/>
  <c r="P5205" i="49"/>
  <c r="G5205" i="49"/>
  <c r="N5205" i="49"/>
  <c r="O5205" i="49" s="1"/>
  <c r="M5205" i="49"/>
  <c r="P5000" i="49"/>
  <c r="N5000" i="49"/>
  <c r="O5000" i="49" s="1"/>
  <c r="M5000" i="49"/>
  <c r="G5000" i="49"/>
  <c r="N5156" i="49"/>
  <c r="O5156" i="49" s="1"/>
  <c r="G5156" i="49"/>
  <c r="P5156" i="49"/>
  <c r="M5156" i="49"/>
  <c r="P4968" i="49"/>
  <c r="G4968" i="49"/>
  <c r="M4968" i="49"/>
  <c r="N5107" i="49"/>
  <c r="O5107" i="49" s="1"/>
  <c r="P5107" i="49"/>
  <c r="G5107" i="49"/>
  <c r="M5107" i="49"/>
  <c r="P5169" i="49"/>
  <c r="G5169" i="49"/>
  <c r="M5169" i="49"/>
  <c r="P5049" i="49"/>
  <c r="M5049" i="49"/>
  <c r="G5049" i="49"/>
  <c r="P5152" i="49"/>
  <c r="N5152" i="49"/>
  <c r="O5152" i="49" s="1"/>
  <c r="G5152" i="49"/>
  <c r="M5152" i="49"/>
  <c r="G5196" i="49"/>
  <c r="P5196" i="49"/>
  <c r="N5196" i="49"/>
  <c r="O5196" i="49" s="1"/>
  <c r="M5196" i="49"/>
  <c r="P5111" i="49"/>
  <c r="M5111" i="49"/>
  <c r="G5111" i="49"/>
  <c r="N5111" i="49"/>
  <c r="O5111" i="49" s="1"/>
  <c r="M5183" i="49"/>
  <c r="G5183" i="49"/>
  <c r="P5183" i="49"/>
  <c r="N5183" i="49"/>
  <c r="O5183" i="49" s="1"/>
  <c r="F85" i="25"/>
  <c r="F79" i="25"/>
  <c r="J557" i="49"/>
  <c r="Q557" i="49" s="1"/>
  <c r="E19" i="18"/>
  <c r="E16" i="8"/>
  <c r="E5" i="40"/>
  <c r="P4816" i="49"/>
  <c r="N4816" i="49"/>
  <c r="O4816" i="49" s="1"/>
  <c r="M4816" i="49"/>
  <c r="G4816" i="49"/>
  <c r="G4638" i="49"/>
  <c r="N4638" i="49"/>
  <c r="O4638" i="49" s="1"/>
  <c r="M4638" i="49"/>
  <c r="P4638" i="49"/>
  <c r="P4648" i="49"/>
  <c r="N4648" i="49"/>
  <c r="O4648" i="49" s="1"/>
  <c r="M4648" i="49"/>
  <c r="G4648" i="49"/>
  <c r="N4790" i="49"/>
  <c r="O4790" i="49" s="1"/>
  <c r="P4790" i="49"/>
  <c r="M4790" i="49"/>
  <c r="G4790" i="49"/>
  <c r="M4651" i="49"/>
  <c r="P4651" i="49"/>
  <c r="G4651" i="49"/>
  <c r="N4651" i="49"/>
  <c r="O4651" i="49" s="1"/>
  <c r="P4695" i="49"/>
  <c r="N4695" i="49"/>
  <c r="O4695" i="49" s="1"/>
  <c r="M4695" i="49"/>
  <c r="G4695" i="49"/>
  <c r="N4820" i="49"/>
  <c r="O4820" i="49" s="1"/>
  <c r="P4820" i="49"/>
  <c r="G4820" i="49"/>
  <c r="M4820" i="49"/>
  <c r="P4719" i="49"/>
  <c r="N4719" i="49"/>
  <c r="O4719" i="49" s="1"/>
  <c r="G4719" i="49"/>
  <c r="M4719" i="49"/>
  <c r="G4903" i="49"/>
  <c r="P4903" i="49"/>
  <c r="N4903" i="49"/>
  <c r="O4903" i="49" s="1"/>
  <c r="M4903" i="49"/>
  <c r="P4659" i="49"/>
  <c r="G4659" i="49"/>
  <c r="M4659" i="49"/>
  <c r="N4659" i="49"/>
  <c r="O4659" i="49" s="1"/>
  <c r="P4767" i="49"/>
  <c r="N4767" i="49"/>
  <c r="O4767" i="49" s="1"/>
  <c r="M4767" i="49"/>
  <c r="G4767" i="49"/>
  <c r="M4678" i="49"/>
  <c r="G4678" i="49"/>
  <c r="P4678" i="49"/>
  <c r="M4832" i="49"/>
  <c r="G4832" i="49"/>
  <c r="P4832" i="49"/>
  <c r="N4667" i="49"/>
  <c r="O4667" i="49" s="1"/>
  <c r="P4667" i="49"/>
  <c r="M4667" i="49"/>
  <c r="G4667" i="49"/>
  <c r="N4766" i="49"/>
  <c r="O4766" i="49" s="1"/>
  <c r="P4766" i="49"/>
  <c r="M4766" i="49"/>
  <c r="G4766" i="49"/>
  <c r="G4891" i="49"/>
  <c r="N4891" i="49"/>
  <c r="O4891" i="49" s="1"/>
  <c r="M4891" i="49"/>
  <c r="P4891" i="49"/>
  <c r="G4831" i="49"/>
  <c r="P4831" i="49"/>
  <c r="M4831" i="49"/>
  <c r="N4831" i="49"/>
  <c r="O4831" i="49" s="1"/>
  <c r="G4698" i="49"/>
  <c r="M4698" i="49"/>
  <c r="N4698" i="49"/>
  <c r="O4698" i="49" s="1"/>
  <c r="P4698" i="49"/>
  <c r="G4770" i="49"/>
  <c r="N4770" i="49"/>
  <c r="O4770" i="49" s="1"/>
  <c r="M4770" i="49"/>
  <c r="P4770" i="49"/>
  <c r="G4842" i="49"/>
  <c r="M4842" i="49"/>
  <c r="P4842" i="49"/>
  <c r="G4914" i="49"/>
  <c r="P4914" i="49"/>
  <c r="N4914" i="49"/>
  <c r="O4914" i="49" s="1"/>
  <c r="M4914" i="49"/>
  <c r="M4757" i="49"/>
  <c r="P4757" i="49"/>
  <c r="N4757" i="49"/>
  <c r="O4757" i="49" s="1"/>
  <c r="G4757" i="49"/>
  <c r="M4829" i="49"/>
  <c r="P4829" i="49"/>
  <c r="G4829" i="49"/>
  <c r="P4901" i="49"/>
  <c r="M4901" i="49"/>
  <c r="G4901" i="49"/>
  <c r="N4901" i="49"/>
  <c r="O4901" i="49" s="1"/>
  <c r="H15" i="40"/>
  <c r="G35" i="24"/>
  <c r="G31" i="24"/>
  <c r="G27" i="24"/>
  <c r="G17" i="24"/>
  <c r="G38" i="24"/>
  <c r="G14" i="24"/>
  <c r="G33" i="24"/>
  <c r="G18" i="24"/>
  <c r="G34" i="24"/>
  <c r="G29" i="24"/>
  <c r="G28" i="24"/>
  <c r="G44" i="24"/>
  <c r="G37" i="24"/>
  <c r="H12" i="24"/>
  <c r="G32" i="24"/>
  <c r="G72" i="24"/>
  <c r="G15" i="24"/>
  <c r="G30" i="24"/>
  <c r="G36" i="24"/>
  <c r="G16" i="24"/>
  <c r="G44" i="27"/>
  <c r="G38" i="27"/>
  <c r="G34" i="27"/>
  <c r="G30" i="27"/>
  <c r="G16" i="27"/>
  <c r="G31" i="27"/>
  <c r="G29" i="27"/>
  <c r="G18" i="27"/>
  <c r="G33" i="27"/>
  <c r="G32" i="27"/>
  <c r="G17" i="27"/>
  <c r="G28" i="27"/>
  <c r="H12" i="27"/>
  <c r="G37" i="27"/>
  <c r="G35" i="27"/>
  <c r="G72" i="27"/>
  <c r="G14" i="27"/>
  <c r="G27" i="27"/>
  <c r="G15" i="27"/>
  <c r="G36" i="27"/>
  <c r="I35" i="30"/>
  <c r="I31" i="30"/>
  <c r="I27" i="30"/>
  <c r="I17" i="30"/>
  <c r="I72" i="30"/>
  <c r="I30" i="30"/>
  <c r="I18" i="30"/>
  <c r="I38" i="30"/>
  <c r="I33" i="30"/>
  <c r="I28" i="30"/>
  <c r="I29" i="30"/>
  <c r="J12" i="30"/>
  <c r="I44" i="30"/>
  <c r="I37" i="30"/>
  <c r="I32" i="30"/>
  <c r="I15" i="30"/>
  <c r="I34" i="30"/>
  <c r="I16" i="30"/>
  <c r="I36" i="30"/>
  <c r="I14" i="30"/>
  <c r="G19" i="18"/>
  <c r="J563" i="49"/>
  <c r="Q563" i="49" s="1"/>
  <c r="J20" i="40"/>
  <c r="G19" i="26"/>
  <c r="P919" i="49"/>
  <c r="P553" i="49"/>
  <c r="P938" i="49"/>
  <c r="C7" i="6"/>
  <c r="I14" i="40"/>
  <c r="F14" i="12"/>
  <c r="D14" i="12"/>
  <c r="D16" i="5" s="1"/>
  <c r="C14" i="12"/>
  <c r="C28" i="13"/>
  <c r="E14" i="12"/>
  <c r="G37" i="22"/>
  <c r="G35" i="22"/>
  <c r="G28" i="22"/>
  <c r="G15" i="22"/>
  <c r="G30" i="22"/>
  <c r="G32" i="22"/>
  <c r="G17" i="22"/>
  <c r="G33" i="22"/>
  <c r="G34" i="22"/>
  <c r="G38" i="22"/>
  <c r="G44" i="22"/>
  <c r="G36" i="22"/>
  <c r="H12" i="22"/>
  <c r="G16" i="22"/>
  <c r="G29" i="22"/>
  <c r="G14" i="22"/>
  <c r="G19" i="22" s="1"/>
  <c r="G18" i="22"/>
  <c r="G27" i="22"/>
  <c r="G31" i="22"/>
  <c r="G72" i="22"/>
  <c r="F16" i="8"/>
  <c r="E13" i="40"/>
  <c r="F39" i="23"/>
  <c r="P4230" i="49"/>
  <c r="G4230" i="49"/>
  <c r="M4230" i="49"/>
  <c r="P4099" i="49"/>
  <c r="G4099" i="49"/>
  <c r="M4099" i="49"/>
  <c r="P4327" i="49"/>
  <c r="M4327" i="49"/>
  <c r="G4327" i="49"/>
  <c r="P4148" i="49"/>
  <c r="G4148" i="49"/>
  <c r="M4148" i="49"/>
  <c r="M4262" i="49"/>
  <c r="G4262" i="49"/>
  <c r="P4262" i="49"/>
  <c r="P4072" i="49"/>
  <c r="M4072" i="49"/>
  <c r="G4072" i="49"/>
  <c r="G4144" i="49"/>
  <c r="M4144" i="49"/>
  <c r="P4144" i="49"/>
  <c r="M4235" i="49"/>
  <c r="G4235" i="49"/>
  <c r="P4235" i="49"/>
  <c r="G4320" i="49"/>
  <c r="M4320" i="49"/>
  <c r="P4320" i="49"/>
  <c r="P4143" i="49"/>
  <c r="M4143" i="49"/>
  <c r="G4143" i="49"/>
  <c r="G4228" i="49"/>
  <c r="P4228" i="49"/>
  <c r="N4228" i="49"/>
  <c r="O4228" i="49" s="1"/>
  <c r="M4228" i="49"/>
  <c r="M4313" i="49"/>
  <c r="P4313" i="49"/>
  <c r="G4313" i="49"/>
  <c r="P4197" i="49"/>
  <c r="G4197" i="49"/>
  <c r="M4197" i="49"/>
  <c r="P4269" i="49"/>
  <c r="M4269" i="49"/>
  <c r="G4269" i="49"/>
  <c r="C27" i="14"/>
  <c r="I21" i="13"/>
  <c r="G26" i="14" s="1"/>
  <c r="Q21" i="13"/>
  <c r="R21" i="13" s="1"/>
  <c r="O21" i="13"/>
  <c r="F8" i="12"/>
  <c r="C22" i="13"/>
  <c r="E8" i="12"/>
  <c r="C8" i="12"/>
  <c r="D8" i="12"/>
  <c r="D10" i="5" s="1"/>
  <c r="F39" i="19"/>
  <c r="G82" i="17"/>
  <c r="G79" i="17"/>
  <c r="G85" i="17"/>
  <c r="G80" i="17"/>
  <c r="F18" i="12"/>
  <c r="D18" i="12"/>
  <c r="D20" i="5" s="1"/>
  <c r="E18" i="12"/>
  <c r="C32" i="13"/>
  <c r="C18" i="12"/>
  <c r="E39" i="22"/>
  <c r="K4" i="14"/>
  <c r="J51" i="14"/>
  <c r="O35" i="13"/>
  <c r="C167" i="14" s="1"/>
  <c r="C25" i="13"/>
  <c r="F11" i="12"/>
  <c r="D11" i="12"/>
  <c r="D13" i="5" s="1"/>
  <c r="E11" i="12"/>
  <c r="C11" i="12"/>
  <c r="M4134" i="49"/>
  <c r="P4134" i="49"/>
  <c r="G4134" i="49"/>
  <c r="P4105" i="49"/>
  <c r="M4105" i="49"/>
  <c r="G4105" i="49"/>
  <c r="G4312" i="49"/>
  <c r="P4312" i="49"/>
  <c r="M4312" i="49"/>
  <c r="M4104" i="49"/>
  <c r="P4104" i="49"/>
  <c r="G4104" i="49"/>
  <c r="M4151" i="49"/>
  <c r="P4151" i="49"/>
  <c r="G4151" i="49"/>
  <c r="M4206" i="49"/>
  <c r="G4206" i="49"/>
  <c r="P4206" i="49"/>
  <c r="G4306" i="49"/>
  <c r="P4306" i="49"/>
  <c r="M4306" i="49"/>
  <c r="M4188" i="49"/>
  <c r="G4188" i="49"/>
  <c r="P4188" i="49"/>
  <c r="M4157" i="49"/>
  <c r="G4157" i="49"/>
  <c r="P4157" i="49"/>
  <c r="P4255" i="49"/>
  <c r="M4255" i="49"/>
  <c r="G4255" i="49"/>
  <c r="M4296" i="49"/>
  <c r="G4296" i="49"/>
  <c r="P4296" i="49"/>
  <c r="P4158" i="49"/>
  <c r="G4158" i="49"/>
  <c r="M4158" i="49"/>
  <c r="M4080" i="49"/>
  <c r="G4080" i="49"/>
  <c r="P4080" i="49"/>
  <c r="P4165" i="49"/>
  <c r="M4165" i="49"/>
  <c r="G4165" i="49"/>
  <c r="G4318" i="49"/>
  <c r="P4318" i="49"/>
  <c r="M4318" i="49"/>
  <c r="G4090" i="49"/>
  <c r="M4090" i="49"/>
  <c r="P4090" i="49"/>
  <c r="G4166" i="49"/>
  <c r="P4166" i="49"/>
  <c r="M4166" i="49"/>
  <c r="G4258" i="49"/>
  <c r="M4258" i="49"/>
  <c r="P4258" i="49"/>
  <c r="M4089" i="49"/>
  <c r="G4089" i="49"/>
  <c r="P4089" i="49"/>
  <c r="P4159" i="49"/>
  <c r="M4159" i="49"/>
  <c r="G4159" i="49"/>
  <c r="M4244" i="49"/>
  <c r="G4244" i="49"/>
  <c r="P4244" i="49"/>
  <c r="G4336" i="49"/>
  <c r="M4336" i="49"/>
  <c r="P4336" i="49"/>
  <c r="G4215" i="49"/>
  <c r="M4215" i="49"/>
  <c r="P4215" i="49"/>
  <c r="G4287" i="49"/>
  <c r="P4287" i="49"/>
  <c r="M4287" i="49"/>
  <c r="H39" i="26"/>
  <c r="F19" i="23"/>
  <c r="G33" i="19"/>
  <c r="G18" i="19"/>
  <c r="G35" i="19"/>
  <c r="G37" i="19"/>
  <c r="G30" i="19"/>
  <c r="G28" i="19"/>
  <c r="G15" i="19"/>
  <c r="G72" i="19"/>
  <c r="G17" i="19"/>
  <c r="G29" i="19"/>
  <c r="G16" i="19"/>
  <c r="G27" i="19"/>
  <c r="G32" i="19"/>
  <c r="G14" i="19"/>
  <c r="G34" i="19"/>
  <c r="G31" i="19"/>
  <c r="H12" i="19"/>
  <c r="G23" i="19"/>
  <c r="G38" i="19"/>
  <c r="G44" i="19"/>
  <c r="G36" i="19"/>
  <c r="B96" i="14"/>
  <c r="J28" i="13"/>
  <c r="E28" i="13"/>
  <c r="N28" i="13"/>
  <c r="F16" i="6" s="1"/>
  <c r="K28" i="13"/>
  <c r="E16" i="6" s="1"/>
  <c r="H28" i="13"/>
  <c r="L28" i="13"/>
  <c r="G28" i="13"/>
  <c r="D28" i="13"/>
  <c r="C31" i="13"/>
  <c r="F17" i="12"/>
  <c r="E17" i="12"/>
  <c r="C17" i="12"/>
  <c r="D17" i="12"/>
  <c r="D19" i="5" s="1"/>
  <c r="C7" i="5"/>
  <c r="I34" i="13"/>
  <c r="F156" i="14" s="1"/>
  <c r="C157" i="14"/>
  <c r="O34" i="13"/>
  <c r="M4085" i="49"/>
  <c r="G4085" i="49"/>
  <c r="P4085" i="49"/>
  <c r="M4150" i="49"/>
  <c r="G4150" i="49"/>
  <c r="P4150" i="49"/>
  <c r="P4088" i="49"/>
  <c r="M4088" i="49"/>
  <c r="G4088" i="49"/>
  <c r="P4117" i="49"/>
  <c r="G4117" i="49"/>
  <c r="M4117" i="49"/>
  <c r="P4315" i="49"/>
  <c r="M4315" i="49"/>
  <c r="G4315" i="49"/>
  <c r="M4295" i="49"/>
  <c r="P4295" i="49"/>
  <c r="G4295" i="49"/>
  <c r="M4193" i="49"/>
  <c r="G4193" i="49"/>
  <c r="P4193" i="49"/>
  <c r="M4301" i="49"/>
  <c r="G4301" i="49"/>
  <c r="P4301" i="49"/>
  <c r="M4278" i="49"/>
  <c r="G4278" i="49"/>
  <c r="P4278" i="49"/>
  <c r="P4106" i="49"/>
  <c r="M4106" i="49"/>
  <c r="G4106" i="49"/>
  <c r="N4106" i="49"/>
  <c r="O4106" i="49" s="1"/>
  <c r="P4147" i="49"/>
  <c r="M4147" i="49"/>
  <c r="G4147" i="49"/>
  <c r="P4213" i="49"/>
  <c r="M4213" i="49"/>
  <c r="G4213" i="49"/>
  <c r="P4094" i="49"/>
  <c r="G4094" i="49"/>
  <c r="M4094" i="49"/>
  <c r="M4223" i="49"/>
  <c r="P4223" i="49"/>
  <c r="G4223" i="49"/>
  <c r="P4059" i="49"/>
  <c r="M4059" i="49"/>
  <c r="G4059" i="49"/>
  <c r="G4108" i="49"/>
  <c r="M4108" i="49"/>
  <c r="P4108" i="49"/>
  <c r="P4189" i="49"/>
  <c r="G4189" i="49"/>
  <c r="M4189" i="49"/>
  <c r="G4274" i="49"/>
  <c r="P4274" i="49"/>
  <c r="M4274" i="49"/>
  <c r="P4107" i="49"/>
  <c r="G4107" i="49"/>
  <c r="M4107" i="49"/>
  <c r="G4182" i="49"/>
  <c r="P4182" i="49"/>
  <c r="M4182" i="49"/>
  <c r="P4267" i="49"/>
  <c r="M4267" i="49"/>
  <c r="G4267" i="49"/>
  <c r="P4161" i="49"/>
  <c r="G4161" i="49"/>
  <c r="M4161" i="49"/>
  <c r="P4233" i="49"/>
  <c r="M4233" i="49"/>
  <c r="G4233" i="49"/>
  <c r="P4305" i="49"/>
  <c r="G4305" i="49"/>
  <c r="M4305" i="49"/>
  <c r="G38" i="23"/>
  <c r="G36" i="23"/>
  <c r="G31" i="23"/>
  <c r="G72" i="23"/>
  <c r="G15" i="23"/>
  <c r="G35" i="23"/>
  <c r="G30" i="23"/>
  <c r="G14" i="23"/>
  <c r="G34" i="23"/>
  <c r="G18" i="23"/>
  <c r="G32" i="23"/>
  <c r="G27" i="23"/>
  <c r="G16" i="23"/>
  <c r="G44" i="23"/>
  <c r="G37" i="23"/>
  <c r="G33" i="23"/>
  <c r="G17" i="23"/>
  <c r="G29" i="23"/>
  <c r="G28" i="23"/>
  <c r="H12" i="23"/>
  <c r="J492" i="49"/>
  <c r="Q492" i="49" s="1"/>
  <c r="Y20" i="13"/>
  <c r="Y26" i="13"/>
  <c r="F21" i="12"/>
  <c r="E21" i="12"/>
  <c r="C21" i="12"/>
  <c r="D21" i="12"/>
  <c r="D23" i="5" s="1"/>
  <c r="C35" i="13"/>
  <c r="M4068" i="49"/>
  <c r="P4068" i="49"/>
  <c r="G4068" i="49"/>
  <c r="P4141" i="49"/>
  <c r="M4141" i="49"/>
  <c r="G4141" i="49"/>
  <c r="M4145" i="49"/>
  <c r="G4145" i="49"/>
  <c r="P4145" i="49"/>
  <c r="G4324" i="49"/>
  <c r="M4324" i="49"/>
  <c r="P4324" i="49"/>
  <c r="M4337" i="49"/>
  <c r="G4337" i="49"/>
  <c r="P4337" i="49"/>
  <c r="P4338" i="49"/>
  <c r="M4338" i="49"/>
  <c r="G4338" i="49"/>
  <c r="P4266" i="49"/>
  <c r="G4266" i="49"/>
  <c r="M4266" i="49"/>
  <c r="P4328" i="49"/>
  <c r="M4328" i="49"/>
  <c r="G4328" i="49"/>
  <c r="M4115" i="49"/>
  <c r="G4115" i="49"/>
  <c r="P4115" i="49"/>
  <c r="P4142" i="49"/>
  <c r="M4142" i="49"/>
  <c r="G4142" i="49"/>
  <c r="P4207" i="49"/>
  <c r="M4207" i="49"/>
  <c r="G4207" i="49"/>
  <c r="P4279" i="49"/>
  <c r="G4279" i="49"/>
  <c r="M4279" i="49"/>
  <c r="P4112" i="49"/>
  <c r="G4112" i="49"/>
  <c r="M4112" i="49"/>
  <c r="N4236" i="49"/>
  <c r="O4236" i="49" s="1"/>
  <c r="P4236" i="49"/>
  <c r="M4236" i="49"/>
  <c r="G4236" i="49"/>
  <c r="P4076" i="49"/>
  <c r="M4076" i="49"/>
  <c r="G4076" i="49"/>
  <c r="G4120" i="49"/>
  <c r="P4120" i="49"/>
  <c r="M4120" i="49"/>
  <c r="G4202" i="49"/>
  <c r="M4202" i="49"/>
  <c r="P4202" i="49"/>
  <c r="G4294" i="49"/>
  <c r="M4294" i="49"/>
  <c r="P4294" i="49"/>
  <c r="G4119" i="49"/>
  <c r="P4119" i="49"/>
  <c r="M4119" i="49"/>
  <c r="P4195" i="49"/>
  <c r="G4195" i="49"/>
  <c r="M4195" i="49"/>
  <c r="P4280" i="49"/>
  <c r="M4280" i="49"/>
  <c r="G4280" i="49"/>
  <c r="M4173" i="49"/>
  <c r="G4173" i="49"/>
  <c r="P4173" i="49"/>
  <c r="M4245" i="49"/>
  <c r="G4245" i="49"/>
  <c r="P4245" i="49"/>
  <c r="M4317" i="49"/>
  <c r="G4317" i="49"/>
  <c r="P4317" i="49"/>
  <c r="C87" i="14"/>
  <c r="I27" i="13"/>
  <c r="J86" i="14" s="1"/>
  <c r="Q27" i="13"/>
  <c r="O27" i="13"/>
  <c r="R27" i="13"/>
  <c r="F13" i="12"/>
  <c r="C27" i="13"/>
  <c r="C13" i="12"/>
  <c r="D13" i="12"/>
  <c r="D15" i="5" s="1"/>
  <c r="E13" i="12"/>
  <c r="G18" i="40"/>
  <c r="F18" i="40"/>
  <c r="J18" i="40"/>
  <c r="I18" i="40"/>
  <c r="H18" i="40"/>
  <c r="E18" i="40"/>
  <c r="M4121" i="49"/>
  <c r="G4121" i="49"/>
  <c r="P4121" i="49"/>
  <c r="M4190" i="49"/>
  <c r="P4190" i="49"/>
  <c r="G4190" i="49"/>
  <c r="P4194" i="49"/>
  <c r="M4194" i="49"/>
  <c r="G4194" i="49"/>
  <c r="P4164" i="49"/>
  <c r="M4164" i="49"/>
  <c r="G4164" i="49"/>
  <c r="P4052" i="49"/>
  <c r="M4052" i="49"/>
  <c r="G4052" i="49"/>
  <c r="G4055" i="49"/>
  <c r="P4055" i="49"/>
  <c r="M4055" i="49"/>
  <c r="G4053" i="49"/>
  <c r="P4053" i="49"/>
  <c r="M4053" i="49"/>
  <c r="M4334" i="49"/>
  <c r="G4334" i="49"/>
  <c r="P4334" i="49"/>
  <c r="P4118" i="49"/>
  <c r="G4118" i="49"/>
  <c r="M4118" i="49"/>
  <c r="M4175" i="49"/>
  <c r="G4175" i="49"/>
  <c r="P4175" i="49"/>
  <c r="G4276" i="49"/>
  <c r="P4276" i="49"/>
  <c r="M4276" i="49"/>
  <c r="G4282" i="49"/>
  <c r="P4282" i="49"/>
  <c r="M4282" i="49"/>
  <c r="M4128" i="49"/>
  <c r="G4128" i="49"/>
  <c r="P4128" i="49"/>
  <c r="M4247" i="49"/>
  <c r="G4247" i="49"/>
  <c r="P4247" i="49"/>
  <c r="M4054" i="49"/>
  <c r="G4054" i="49"/>
  <c r="P4054" i="49"/>
  <c r="G4126" i="49"/>
  <c r="M4126" i="49"/>
  <c r="P4126" i="49"/>
  <c r="G4212" i="49"/>
  <c r="M4212" i="49"/>
  <c r="P4212" i="49"/>
  <c r="P4297" i="49"/>
  <c r="G4297" i="49"/>
  <c r="M4297" i="49"/>
  <c r="M4125" i="49"/>
  <c r="G4125" i="49"/>
  <c r="P4125" i="49"/>
  <c r="M4205" i="49"/>
  <c r="P4205" i="49"/>
  <c r="G4205" i="49"/>
  <c r="G4290" i="49"/>
  <c r="P4290" i="49"/>
  <c r="M4290" i="49"/>
  <c r="G4179" i="49"/>
  <c r="P4179" i="49"/>
  <c r="M4179" i="49"/>
  <c r="G4251" i="49"/>
  <c r="M4251" i="49"/>
  <c r="P4251" i="49"/>
  <c r="G4323" i="49"/>
  <c r="M4323" i="49"/>
  <c r="P4323" i="49"/>
  <c r="F19" i="19"/>
  <c r="D7" i="33"/>
  <c r="E7" i="33" s="1"/>
  <c r="G19" i="17"/>
  <c r="H20" i="3"/>
  <c r="C22" i="6"/>
  <c r="G20" i="12"/>
  <c r="H20" i="12" s="1"/>
  <c r="F22" i="5" s="1"/>
  <c r="E22" i="5"/>
  <c r="F85" i="17"/>
  <c r="F79" i="17"/>
  <c r="E39" i="17"/>
  <c r="E32" i="13"/>
  <c r="N32" i="13"/>
  <c r="F20" i="6" s="1"/>
  <c r="K32" i="13"/>
  <c r="E20" i="6" s="1"/>
  <c r="J32" i="13"/>
  <c r="H32" i="13"/>
  <c r="D32" i="13"/>
  <c r="L32" i="13"/>
  <c r="M32" i="13" s="1"/>
  <c r="G32" i="13"/>
  <c r="B136" i="14"/>
  <c r="F39" i="22"/>
  <c r="I33" i="13"/>
  <c r="K146" i="14" s="1"/>
  <c r="O33" i="13"/>
  <c r="P4100" i="49"/>
  <c r="M4100" i="49"/>
  <c r="G4100" i="49"/>
  <c r="G4174" i="49"/>
  <c r="P4174" i="49"/>
  <c r="M4174" i="49"/>
  <c r="G4288" i="49"/>
  <c r="M4288" i="49"/>
  <c r="P4288" i="49"/>
  <c r="M4196" i="49"/>
  <c r="G4196" i="49"/>
  <c r="P4196" i="49"/>
  <c r="G4079" i="49"/>
  <c r="P4079" i="49"/>
  <c r="M4079" i="49"/>
  <c r="P4136" i="49"/>
  <c r="M4136" i="49"/>
  <c r="G4136" i="49"/>
  <c r="P4064" i="49"/>
  <c r="M4064" i="49"/>
  <c r="G4064" i="49"/>
  <c r="G4061" i="49"/>
  <c r="M4061" i="49"/>
  <c r="P4061" i="49"/>
  <c r="M4160" i="49"/>
  <c r="G4160" i="49"/>
  <c r="P4160" i="49"/>
  <c r="P4201" i="49"/>
  <c r="M4201" i="49"/>
  <c r="G4201" i="49"/>
  <c r="N4201" i="49"/>
  <c r="O4201" i="49" s="1"/>
  <c r="P4302" i="49"/>
  <c r="M4302" i="49"/>
  <c r="G4302" i="49"/>
  <c r="P4308" i="49"/>
  <c r="M4308" i="49"/>
  <c r="G4308" i="49"/>
  <c r="P4130" i="49"/>
  <c r="G4130" i="49"/>
  <c r="M4130" i="49"/>
  <c r="P4249" i="49"/>
  <c r="M4249" i="49"/>
  <c r="G4249" i="49"/>
  <c r="G4060" i="49"/>
  <c r="P4060" i="49"/>
  <c r="M4060" i="49"/>
  <c r="G4132" i="49"/>
  <c r="M4132" i="49"/>
  <c r="P4132" i="49"/>
  <c r="G4222" i="49"/>
  <c r="M4222" i="49"/>
  <c r="P4222" i="49"/>
  <c r="M4307" i="49"/>
  <c r="G4307" i="49"/>
  <c r="P4307" i="49"/>
  <c r="M4131" i="49"/>
  <c r="P4131" i="49"/>
  <c r="G4131" i="49"/>
  <c r="G4208" i="49"/>
  <c r="P4208" i="49"/>
  <c r="M4208" i="49"/>
  <c r="G4300" i="49"/>
  <c r="P4300" i="49"/>
  <c r="M4300" i="49"/>
  <c r="P4185" i="49"/>
  <c r="M4185" i="49"/>
  <c r="G4185" i="49"/>
  <c r="M4257" i="49"/>
  <c r="G4257" i="49"/>
  <c r="P4257" i="49"/>
  <c r="G4329" i="49"/>
  <c r="P4329" i="49"/>
  <c r="N4329" i="49"/>
  <c r="O4329" i="49" s="1"/>
  <c r="M4329" i="49"/>
  <c r="I37" i="26"/>
  <c r="I33" i="26"/>
  <c r="I29" i="26"/>
  <c r="I15" i="26"/>
  <c r="I31" i="26"/>
  <c r="I72" i="26"/>
  <c r="I35" i="26"/>
  <c r="I30" i="26"/>
  <c r="I34" i="26"/>
  <c r="I14" i="26"/>
  <c r="I18" i="26"/>
  <c r="I38" i="26"/>
  <c r="I44" i="26"/>
  <c r="I32" i="26"/>
  <c r="I17" i="26"/>
  <c r="I27" i="26"/>
  <c r="I36" i="26"/>
  <c r="I28" i="26"/>
  <c r="J12" i="26"/>
  <c r="I16" i="26"/>
  <c r="H79" i="26"/>
  <c r="H85" i="26"/>
  <c r="H82" i="26"/>
  <c r="H80" i="26"/>
  <c r="Y25" i="13"/>
  <c r="F19" i="12"/>
  <c r="C33" i="13"/>
  <c r="D19" i="12"/>
  <c r="D21" i="5" s="1"/>
  <c r="C19" i="12"/>
  <c r="E19" i="12"/>
  <c r="Y19" i="13"/>
  <c r="J31" i="14"/>
  <c r="P4285" i="49"/>
  <c r="M4285" i="49"/>
  <c r="G4285" i="49"/>
  <c r="P4200" i="49"/>
  <c r="M4200" i="49"/>
  <c r="G4200" i="49"/>
  <c r="P4243" i="49"/>
  <c r="M4243" i="49"/>
  <c r="G4243" i="49"/>
  <c r="M4062" i="49"/>
  <c r="P4062" i="49"/>
  <c r="G4062" i="49"/>
  <c r="P4214" i="49"/>
  <c r="M4214" i="49"/>
  <c r="G4214" i="49"/>
  <c r="P4082" i="49"/>
  <c r="M4082" i="49"/>
  <c r="G4082" i="49"/>
  <c r="M4140" i="49"/>
  <c r="P4140" i="49"/>
  <c r="G4140" i="49"/>
  <c r="G4083" i="49"/>
  <c r="M4083" i="49"/>
  <c r="P4083" i="49"/>
  <c r="P4065" i="49"/>
  <c r="G4065" i="49"/>
  <c r="M4065" i="49"/>
  <c r="G4198" i="49"/>
  <c r="M4198" i="49"/>
  <c r="P4198" i="49"/>
  <c r="G4204" i="49"/>
  <c r="P4204" i="49"/>
  <c r="M4204" i="49"/>
  <c r="M4071" i="49"/>
  <c r="P4071" i="49"/>
  <c r="G4071" i="49"/>
  <c r="M4314" i="49"/>
  <c r="G4314" i="49"/>
  <c r="P4314" i="49"/>
  <c r="M4146" i="49"/>
  <c r="P4146" i="49"/>
  <c r="G4146" i="49"/>
  <c r="P4260" i="49"/>
  <c r="M4260" i="49"/>
  <c r="G4260" i="49"/>
  <c r="P4066" i="49"/>
  <c r="M4066" i="49"/>
  <c r="G4066" i="49"/>
  <c r="G4138" i="49"/>
  <c r="P4138" i="49"/>
  <c r="M4138" i="49"/>
  <c r="P4225" i="49"/>
  <c r="G4225" i="49"/>
  <c r="M4225" i="49"/>
  <c r="G4310" i="49"/>
  <c r="M4310" i="49"/>
  <c r="P4310" i="49"/>
  <c r="G4137" i="49"/>
  <c r="M4137" i="49"/>
  <c r="P4137" i="49"/>
  <c r="P4218" i="49"/>
  <c r="M4218" i="49"/>
  <c r="G4218" i="49"/>
  <c r="P4303" i="49"/>
  <c r="G4303" i="49"/>
  <c r="M4303" i="49"/>
  <c r="P4191" i="49"/>
  <c r="M4191" i="49"/>
  <c r="G4191" i="49"/>
  <c r="P4263" i="49"/>
  <c r="M4263" i="49"/>
  <c r="G4263" i="49"/>
  <c r="P4335" i="49"/>
  <c r="M4335" i="49"/>
  <c r="N4335" i="49"/>
  <c r="O4335" i="49" s="1"/>
  <c r="G4335" i="49"/>
  <c r="Y27" i="13"/>
  <c r="F12" i="12"/>
  <c r="E12" i="12"/>
  <c r="C12" i="12"/>
  <c r="C26" i="13"/>
  <c r="D12" i="12"/>
  <c r="D14" i="5" s="1"/>
  <c r="H4955" i="49"/>
  <c r="H3780" i="49"/>
  <c r="H2337" i="49"/>
  <c r="H2624" i="49"/>
  <c r="H1759" i="49"/>
  <c r="H2031" i="49"/>
  <c r="H1742" i="49"/>
  <c r="E582" i="46"/>
  <c r="H2913" i="49"/>
  <c r="H2354" i="49"/>
  <c r="H4919" i="49"/>
  <c r="H3763" i="49"/>
  <c r="H1470" i="49"/>
  <c r="H909" i="49"/>
  <c r="E246" i="46"/>
  <c r="H1179" i="49"/>
  <c r="H907" i="49"/>
  <c r="H584" i="49"/>
  <c r="H3474" i="49"/>
  <c r="H1164" i="49"/>
  <c r="E486" i="46"/>
  <c r="E630" i="46"/>
  <c r="H890" i="49"/>
  <c r="H3187" i="49"/>
  <c r="H2029" i="49"/>
  <c r="H1774" i="49"/>
  <c r="E726" i="46"/>
  <c r="H2609" i="49"/>
  <c r="H2896" i="49"/>
  <c r="H3508" i="49"/>
  <c r="H3204" i="49"/>
  <c r="H3202" i="49"/>
  <c r="H4632" i="49"/>
  <c r="H3221" i="49"/>
  <c r="H2932" i="49"/>
  <c r="H2607" i="49"/>
  <c r="F9" i="51"/>
  <c r="H2065" i="49"/>
  <c r="H4921" i="49"/>
  <c r="E438" i="46"/>
  <c r="F12" i="51"/>
  <c r="H4088" i="49"/>
  <c r="H2898" i="49"/>
  <c r="H1162" i="49"/>
  <c r="H4358" i="49"/>
  <c r="H3491" i="49"/>
  <c r="E774" i="46"/>
  <c r="F11" i="51"/>
  <c r="H4647" i="49"/>
  <c r="H3782" i="49"/>
  <c r="H1468" i="49"/>
  <c r="E150" i="46"/>
  <c r="H4630" i="49"/>
  <c r="H1487" i="49"/>
  <c r="H2320" i="49"/>
  <c r="H1198" i="49"/>
  <c r="H1196" i="49"/>
  <c r="H3510" i="49"/>
  <c r="H3493" i="49"/>
  <c r="H2626" i="49"/>
  <c r="H3185" i="49"/>
  <c r="H892" i="49"/>
  <c r="H4341" i="49"/>
  <c r="H1776" i="49"/>
  <c r="H2318" i="49"/>
  <c r="H875" i="49"/>
  <c r="H4343" i="49"/>
  <c r="H601" i="49"/>
  <c r="H4054" i="49"/>
  <c r="E342" i="46"/>
  <c r="H873" i="49"/>
  <c r="E390" i="46"/>
  <c r="F13" i="51"/>
  <c r="H4938" i="49"/>
  <c r="H603" i="49"/>
  <c r="H1757" i="49"/>
  <c r="E54" i="46"/>
  <c r="E6" i="46"/>
  <c r="H1740" i="49"/>
  <c r="H4649" i="49"/>
  <c r="H3765" i="49"/>
  <c r="E534" i="46"/>
  <c r="H1181" i="49"/>
  <c r="E198" i="46"/>
  <c r="F14" i="51"/>
  <c r="F17" i="51"/>
  <c r="H2643" i="49"/>
  <c r="H4666" i="49"/>
  <c r="H2048" i="49"/>
  <c r="H2335" i="49"/>
  <c r="H4069" i="49"/>
  <c r="E294" i="46"/>
  <c r="H3476" i="49"/>
  <c r="H4052" i="49"/>
  <c r="H4071" i="49"/>
  <c r="H4360" i="49"/>
  <c r="H2046" i="49"/>
  <c r="H1451" i="49"/>
  <c r="G10" i="51"/>
  <c r="H1453" i="49"/>
  <c r="H620" i="49"/>
  <c r="H586" i="49"/>
  <c r="H4664" i="49"/>
  <c r="H16" i="51"/>
  <c r="H3799" i="49"/>
  <c r="H4377" i="49"/>
  <c r="F15" i="51"/>
  <c r="H2915" i="49"/>
  <c r="E102" i="46"/>
  <c r="H4936" i="49"/>
  <c r="N4360" i="49" l="1"/>
  <c r="O4360" i="49" s="1"/>
  <c r="N4198" i="49"/>
  <c r="O4198" i="49" s="1"/>
  <c r="N4146" i="49"/>
  <c r="O4146" i="49" s="1"/>
  <c r="N4233" i="49"/>
  <c r="O4233" i="49" s="1"/>
  <c r="N4166" i="49"/>
  <c r="O4166" i="49" s="1"/>
  <c r="N5116" i="49"/>
  <c r="O5116" i="49" s="1"/>
  <c r="N4929" i="49"/>
  <c r="O4929" i="49" s="1"/>
  <c r="N5036" i="49"/>
  <c r="O5036" i="49" s="1"/>
  <c r="N4963" i="49"/>
  <c r="O4963" i="49" s="1"/>
  <c r="N4350" i="49"/>
  <c r="O4350" i="49" s="1"/>
  <c r="N4470" i="49"/>
  <c r="O4470" i="49" s="1"/>
  <c r="N4109" i="49"/>
  <c r="O4109" i="49" s="1"/>
  <c r="N4643" i="49"/>
  <c r="O4643" i="49" s="1"/>
  <c r="N4939" i="49"/>
  <c r="O4939" i="49" s="1"/>
  <c r="N5068" i="49"/>
  <c r="O5068" i="49" s="1"/>
  <c r="N4760" i="49"/>
  <c r="O4760" i="49" s="1"/>
  <c r="N4965" i="49"/>
  <c r="O4965" i="49" s="1"/>
  <c r="N4355" i="49"/>
  <c r="O4355" i="49" s="1"/>
  <c r="G19" i="21"/>
  <c r="J6" i="14"/>
  <c r="E24" i="6"/>
  <c r="N4907" i="49"/>
  <c r="O4907" i="49" s="1"/>
  <c r="N549" i="49"/>
  <c r="O549" i="49" s="1"/>
  <c r="N4218" i="49"/>
  <c r="O4218" i="49" s="1"/>
  <c r="N4132" i="49"/>
  <c r="O4132" i="49" s="1"/>
  <c r="N4308" i="49"/>
  <c r="O4308" i="49" s="1"/>
  <c r="N4278" i="49"/>
  <c r="O4278" i="49" s="1"/>
  <c r="N4287" i="49"/>
  <c r="O4287" i="49" s="1"/>
  <c r="G39" i="22"/>
  <c r="N4137" i="49"/>
  <c r="O4137" i="49" s="1"/>
  <c r="N4297" i="49"/>
  <c r="O4297" i="49" s="1"/>
  <c r="N4294" i="49"/>
  <c r="O4294" i="49" s="1"/>
  <c r="N4328" i="49"/>
  <c r="O4328" i="49" s="1"/>
  <c r="N4315" i="49"/>
  <c r="O4315" i="49" s="1"/>
  <c r="N4206" i="49"/>
  <c r="O4206" i="49" s="1"/>
  <c r="Q35" i="13"/>
  <c r="N4923" i="49"/>
  <c r="O4923" i="49" s="1"/>
  <c r="N4454" i="49"/>
  <c r="O4454" i="49" s="1"/>
  <c r="N4416" i="49"/>
  <c r="O4416" i="49" s="1"/>
  <c r="N5177" i="49"/>
  <c r="O5177" i="49" s="1"/>
  <c r="N5080" i="49"/>
  <c r="O5080" i="49" s="1"/>
  <c r="N5173" i="49"/>
  <c r="O5173" i="49" s="1"/>
  <c r="N4904" i="49"/>
  <c r="O4904" i="49" s="1"/>
  <c r="N5101" i="49"/>
  <c r="O5101" i="49" s="1"/>
  <c r="N4805" i="49"/>
  <c r="O4805" i="49" s="1"/>
  <c r="N5112" i="49"/>
  <c r="O5112" i="49" s="1"/>
  <c r="N5019" i="49"/>
  <c r="O5019" i="49" s="1"/>
  <c r="N503" i="49"/>
  <c r="O503" i="49" s="1"/>
  <c r="C6" i="14"/>
  <c r="N421" i="49"/>
  <c r="O421" i="49" s="1"/>
  <c r="N4506" i="49"/>
  <c r="O4506" i="49" s="1"/>
  <c r="N5175" i="49"/>
  <c r="O5175" i="49" s="1"/>
  <c r="N5135" i="49"/>
  <c r="O5135" i="49" s="1"/>
  <c r="N4143" i="49"/>
  <c r="O4143" i="49" s="1"/>
  <c r="N4131" i="49"/>
  <c r="O4131" i="49" s="1"/>
  <c r="N4334" i="49"/>
  <c r="O4334" i="49" s="1"/>
  <c r="N4191" i="49"/>
  <c r="O4191" i="49" s="1"/>
  <c r="N4307" i="49"/>
  <c r="O4307" i="49" s="1"/>
  <c r="N4061" i="49"/>
  <c r="O4061" i="49" s="1"/>
  <c r="N4100" i="49"/>
  <c r="O4100" i="49" s="1"/>
  <c r="N4159" i="49"/>
  <c r="O4159" i="49" s="1"/>
  <c r="N5046" i="49"/>
  <c r="O5046" i="49" s="1"/>
  <c r="N5132" i="49"/>
  <c r="O5132" i="49" s="1"/>
  <c r="N5114" i="49"/>
  <c r="O5114" i="49" s="1"/>
  <c r="N4396" i="49"/>
  <c r="O4396" i="49" s="1"/>
  <c r="N5031" i="49"/>
  <c r="O5031" i="49" s="1"/>
  <c r="N4440" i="49"/>
  <c r="O4440" i="49" s="1"/>
  <c r="E19" i="8"/>
  <c r="N5038" i="49"/>
  <c r="O5038" i="49" s="1"/>
  <c r="H26" i="14"/>
  <c r="N4961" i="49"/>
  <c r="O4961" i="49" s="1"/>
  <c r="N509" i="49"/>
  <c r="O509" i="49" s="1"/>
  <c r="N4740" i="49"/>
  <c r="O4740" i="49" s="1"/>
  <c r="N5172" i="49"/>
  <c r="O5172" i="49" s="1"/>
  <c r="N5128" i="49"/>
  <c r="O5128" i="49" s="1"/>
  <c r="H86" i="14"/>
  <c r="N4775" i="49"/>
  <c r="O4775" i="49" s="1"/>
  <c r="N4688" i="49"/>
  <c r="O4688" i="49" s="1"/>
  <c r="N429" i="49"/>
  <c r="O429" i="49" s="1"/>
  <c r="N4540" i="49"/>
  <c r="O4540" i="49" s="1"/>
  <c r="N360" i="49"/>
  <c r="O360" i="49" s="1"/>
  <c r="N4263" i="49"/>
  <c r="O4263" i="49" s="1"/>
  <c r="N4079" i="49"/>
  <c r="O4079" i="49" s="1"/>
  <c r="N4066" i="49"/>
  <c r="O4066" i="49" s="1"/>
  <c r="N4300" i="49"/>
  <c r="O4300" i="49" s="1"/>
  <c r="N4280" i="49"/>
  <c r="O4280" i="49" s="1"/>
  <c r="N4207" i="49"/>
  <c r="O4207" i="49" s="1"/>
  <c r="N4145" i="49"/>
  <c r="O4145" i="49" s="1"/>
  <c r="J146" i="14"/>
  <c r="N4320" i="49"/>
  <c r="O4320" i="49" s="1"/>
  <c r="N5043" i="49"/>
  <c r="O5043" i="49" s="1"/>
  <c r="N5120" i="49"/>
  <c r="O5120" i="49" s="1"/>
  <c r="N4956" i="49"/>
  <c r="O4956" i="49" s="1"/>
  <c r="N5202" i="49"/>
  <c r="O5202" i="49" s="1"/>
  <c r="N5103" i="49"/>
  <c r="O5103" i="49" s="1"/>
  <c r="N4991" i="49"/>
  <c r="O4991" i="49" s="1"/>
  <c r="N5130" i="49"/>
  <c r="O5130" i="49" s="1"/>
  <c r="N4712" i="49"/>
  <c r="O4712" i="49" s="1"/>
  <c r="N5023" i="49"/>
  <c r="O5023" i="49" s="1"/>
  <c r="N4822" i="49"/>
  <c r="O4822" i="49" s="1"/>
  <c r="N4779" i="49"/>
  <c r="O4779" i="49" s="1"/>
  <c r="N4985" i="49"/>
  <c r="O4985" i="49" s="1"/>
  <c r="N5137" i="49"/>
  <c r="O5137" i="49" s="1"/>
  <c r="N4194" i="49"/>
  <c r="O4194" i="49" s="1"/>
  <c r="N4161" i="49"/>
  <c r="O4161" i="49" s="1"/>
  <c r="N4274" i="49"/>
  <c r="O4274" i="49" s="1"/>
  <c r="M28" i="13"/>
  <c r="I146" i="14"/>
  <c r="N5049" i="49"/>
  <c r="O5049" i="49" s="1"/>
  <c r="N5143" i="49"/>
  <c r="O5143" i="49" s="1"/>
  <c r="N5091" i="49"/>
  <c r="O5091" i="49" s="1"/>
  <c r="N5118" i="49"/>
  <c r="O5118" i="49" s="1"/>
  <c r="N5076" i="49"/>
  <c r="O5076" i="49" s="1"/>
  <c r="N5124" i="49"/>
  <c r="O5124" i="49" s="1"/>
  <c r="N5029" i="49"/>
  <c r="O5029" i="49" s="1"/>
  <c r="N5085" i="49"/>
  <c r="O5085" i="49" s="1"/>
  <c r="N5140" i="49"/>
  <c r="O5140" i="49" s="1"/>
  <c r="N5110" i="49"/>
  <c r="O5110" i="49" s="1"/>
  <c r="N5146" i="49"/>
  <c r="O5146" i="49" s="1"/>
  <c r="C26" i="14"/>
  <c r="N4806" i="49"/>
  <c r="O4806" i="49" s="1"/>
  <c r="N5109" i="49"/>
  <c r="O5109" i="49" s="1"/>
  <c r="N5095" i="49"/>
  <c r="O5095" i="49" s="1"/>
  <c r="N4056" i="49"/>
  <c r="O4056" i="49" s="1"/>
  <c r="G39" i="21"/>
  <c r="N4854" i="49"/>
  <c r="O4854" i="49" s="1"/>
  <c r="N4469" i="49"/>
  <c r="O4469" i="49" s="1"/>
  <c r="N4493" i="49"/>
  <c r="O4493" i="49" s="1"/>
  <c r="D146" i="14"/>
  <c r="N4225" i="49"/>
  <c r="O4225" i="49" s="1"/>
  <c r="N4062" i="49"/>
  <c r="O4062" i="49" s="1"/>
  <c r="N4285" i="49"/>
  <c r="O4285" i="49" s="1"/>
  <c r="N4323" i="49"/>
  <c r="O4323" i="49" s="1"/>
  <c r="N4118" i="49"/>
  <c r="O4118" i="49" s="1"/>
  <c r="N4195" i="49"/>
  <c r="O4195" i="49" s="1"/>
  <c r="N4134" i="49"/>
  <c r="O4134" i="49" s="1"/>
  <c r="H146" i="14"/>
  <c r="D26" i="14"/>
  <c r="N5105" i="49"/>
  <c r="O5105" i="49" s="1"/>
  <c r="N5151" i="49"/>
  <c r="O5151" i="49" s="1"/>
  <c r="N5037" i="49"/>
  <c r="O5037" i="49" s="1"/>
  <c r="N5113" i="49"/>
  <c r="O5113" i="49" s="1"/>
  <c r="N4733" i="49"/>
  <c r="O4733" i="49" s="1"/>
  <c r="N4735" i="49"/>
  <c r="O4735" i="49" s="1"/>
  <c r="N4422" i="49"/>
  <c r="O4422" i="49" s="1"/>
  <c r="N4271" i="49"/>
  <c r="O4271" i="49" s="1"/>
  <c r="J46" i="14"/>
  <c r="N5154" i="49"/>
  <c r="O5154" i="49" s="1"/>
  <c r="N5166" i="49"/>
  <c r="O5166" i="49" s="1"/>
  <c r="G80" i="18"/>
  <c r="G82" i="18"/>
  <c r="G85" i="18"/>
  <c r="G79" i="18"/>
  <c r="N4083" i="49"/>
  <c r="O4083" i="49" s="1"/>
  <c r="N4288" i="49"/>
  <c r="O4288" i="49" s="1"/>
  <c r="N4212" i="49"/>
  <c r="O4212" i="49" s="1"/>
  <c r="N4258" i="49"/>
  <c r="O4258" i="49" s="1"/>
  <c r="N4144" i="49"/>
  <c r="O4144" i="49" s="1"/>
  <c r="N4148" i="49"/>
  <c r="O4148" i="49" s="1"/>
  <c r="N4435" i="49"/>
  <c r="O4435" i="49" s="1"/>
  <c r="N5149" i="49"/>
  <c r="O5149" i="49" s="1"/>
  <c r="E156" i="14"/>
  <c r="N5127" i="49"/>
  <c r="O5127" i="49" s="1"/>
  <c r="N4981" i="49"/>
  <c r="O4981" i="49" s="1"/>
  <c r="N4885" i="49"/>
  <c r="O4885" i="49" s="1"/>
  <c r="N530" i="49"/>
  <c r="O530" i="49" s="1"/>
  <c r="N4542" i="49"/>
  <c r="O4542" i="49" s="1"/>
  <c r="N4277" i="49"/>
  <c r="O4277" i="49" s="1"/>
  <c r="N4793" i="49"/>
  <c r="O4793" i="49" s="1"/>
  <c r="N5087" i="49"/>
  <c r="O5087" i="49" s="1"/>
  <c r="N4944" i="49"/>
  <c r="O4944" i="49" s="1"/>
  <c r="N4529" i="49"/>
  <c r="O4529" i="49" s="1"/>
  <c r="N4900" i="49"/>
  <c r="O4900" i="49" s="1"/>
  <c r="M30" i="13"/>
  <c r="H46" i="14"/>
  <c r="N4686" i="49"/>
  <c r="O4686" i="49" s="1"/>
  <c r="N4669" i="49"/>
  <c r="O4669" i="49" s="1"/>
  <c r="N5185" i="49"/>
  <c r="O5185" i="49" s="1"/>
  <c r="N4990" i="49"/>
  <c r="O4990" i="49" s="1"/>
  <c r="N4260" i="49"/>
  <c r="O4260" i="49" s="1"/>
  <c r="N4121" i="49"/>
  <c r="O4121" i="49" s="1"/>
  <c r="N4120" i="49"/>
  <c r="O4120" i="49" s="1"/>
  <c r="N4112" i="49"/>
  <c r="O4112" i="49" s="1"/>
  <c r="N4295" i="49"/>
  <c r="O4295" i="49" s="1"/>
  <c r="N4269" i="49"/>
  <c r="O4269" i="49" s="1"/>
  <c r="N4581" i="49"/>
  <c r="O4581" i="49" s="1"/>
  <c r="N4375" i="49"/>
  <c r="O4375" i="49" s="1"/>
  <c r="N5024" i="49"/>
  <c r="O5024" i="49" s="1"/>
  <c r="N4571" i="49"/>
  <c r="O4571" i="49" s="1"/>
  <c r="N4525" i="49"/>
  <c r="O4525" i="49" s="1"/>
  <c r="N4982" i="49"/>
  <c r="O4982" i="49" s="1"/>
  <c r="E26" i="14"/>
  <c r="F24" i="6"/>
  <c r="N4717" i="49"/>
  <c r="O4717" i="49" s="1"/>
  <c r="N5006" i="49"/>
  <c r="O5006" i="49" s="1"/>
  <c r="N4954" i="49"/>
  <c r="O4954" i="49" s="1"/>
  <c r="N4879" i="49"/>
  <c r="O4879" i="49" s="1"/>
  <c r="N4479" i="49"/>
  <c r="O4479" i="49" s="1"/>
  <c r="N5188" i="49"/>
  <c r="O5188" i="49" s="1"/>
  <c r="G39" i="28"/>
  <c r="H11" i="3"/>
  <c r="C13" i="6"/>
  <c r="N4160" i="49"/>
  <c r="O4160" i="49" s="1"/>
  <c r="N4125" i="49"/>
  <c r="O4125" i="49" s="1"/>
  <c r="N4141" i="49"/>
  <c r="O4141" i="49" s="1"/>
  <c r="J32" i="14"/>
  <c r="M132" i="13" s="1"/>
  <c r="N4150" i="49"/>
  <c r="O4150" i="49" s="1"/>
  <c r="N4296" i="49"/>
  <c r="O4296" i="49" s="1"/>
  <c r="N4312" i="49"/>
  <c r="O4312" i="49" s="1"/>
  <c r="N4344" i="49"/>
  <c r="O4344" i="49" s="1"/>
  <c r="H19" i="20"/>
  <c r="N5139" i="49"/>
  <c r="O5139" i="49" s="1"/>
  <c r="N5074" i="49"/>
  <c r="O5074" i="49" s="1"/>
  <c r="N5097" i="49"/>
  <c r="O5097" i="49" s="1"/>
  <c r="N4364" i="49"/>
  <c r="O4364" i="49" s="1"/>
  <c r="N5192" i="49"/>
  <c r="O5192" i="49" s="1"/>
  <c r="N5086" i="49"/>
  <c r="O5086" i="49" s="1"/>
  <c r="I26" i="14"/>
  <c r="N5102" i="49"/>
  <c r="O5102" i="49" s="1"/>
  <c r="G46" i="14"/>
  <c r="N4078" i="49"/>
  <c r="O4078" i="49" s="1"/>
  <c r="N4381" i="49"/>
  <c r="O4381" i="49" s="1"/>
  <c r="H44" i="18"/>
  <c r="I12" i="18"/>
  <c r="H15" i="18"/>
  <c r="H16" i="18"/>
  <c r="H72" i="18"/>
  <c r="H35" i="18"/>
  <c r="H29" i="18"/>
  <c r="H37" i="18"/>
  <c r="H31" i="18"/>
  <c r="H33" i="18"/>
  <c r="H30" i="18"/>
  <c r="H27" i="18"/>
  <c r="H17" i="18"/>
  <c r="H36" i="18"/>
  <c r="H32" i="18"/>
  <c r="H38" i="18"/>
  <c r="H28" i="18"/>
  <c r="H18" i="18"/>
  <c r="H14" i="18"/>
  <c r="H34" i="18"/>
  <c r="N5093" i="49"/>
  <c r="O5093" i="49" s="1"/>
  <c r="N5022" i="49"/>
  <c r="O5022" i="49" s="1"/>
  <c r="N5025" i="49"/>
  <c r="O5025" i="49" s="1"/>
  <c r="N4785" i="49"/>
  <c r="O4785" i="49" s="1"/>
  <c r="N4938" i="49"/>
  <c r="O4938" i="49" s="1"/>
  <c r="N5197" i="49"/>
  <c r="O5197" i="49" s="1"/>
  <c r="N4569" i="49"/>
  <c r="O4569" i="49" s="1"/>
  <c r="N4551" i="49"/>
  <c r="O4551" i="49" s="1"/>
  <c r="N4453" i="49"/>
  <c r="O4453" i="49" s="1"/>
  <c r="N4108" i="49"/>
  <c r="O4108" i="49" s="1"/>
  <c r="G19" i="23"/>
  <c r="J26" i="14"/>
  <c r="N4477" i="49"/>
  <c r="O4477" i="49" s="1"/>
  <c r="N4621" i="49"/>
  <c r="O4621" i="49" s="1"/>
  <c r="N4946" i="49"/>
  <c r="O4946" i="49" s="1"/>
  <c r="N5090" i="49"/>
  <c r="O5090" i="49" s="1"/>
  <c r="N4918" i="49"/>
  <c r="O4918" i="49" s="1"/>
  <c r="N4626" i="49"/>
  <c r="O4626" i="49" s="1"/>
  <c r="N4877" i="49"/>
  <c r="O4877" i="49" s="1"/>
  <c r="N5059" i="49"/>
  <c r="O5059" i="49" s="1"/>
  <c r="M20" i="13"/>
  <c r="N4881" i="49"/>
  <c r="O4881" i="49" s="1"/>
  <c r="N4103" i="49"/>
  <c r="O4103" i="49" s="1"/>
  <c r="N4921" i="49"/>
  <c r="O4921" i="49" s="1"/>
  <c r="J4936" i="49"/>
  <c r="Q4936" i="49" s="1"/>
  <c r="J102" i="46"/>
  <c r="J2915" i="49"/>
  <c r="Q2915" i="49" s="1"/>
  <c r="J4377" i="49"/>
  <c r="Q4377" i="49" s="1"/>
  <c r="J3799" i="49"/>
  <c r="Q3799" i="49" s="1"/>
  <c r="Q4664" i="49"/>
  <c r="J4664" i="49"/>
  <c r="J586" i="49"/>
  <c r="Q586" i="49" s="1"/>
  <c r="J620" i="49"/>
  <c r="Q620" i="49" s="1"/>
  <c r="Q1453" i="49"/>
  <c r="J1453" i="49"/>
  <c r="J1451" i="49"/>
  <c r="Q1451" i="49" s="1"/>
  <c r="J2046" i="49"/>
  <c r="Q2046" i="49" s="1"/>
  <c r="J4360" i="49"/>
  <c r="Q4360" i="49"/>
  <c r="J4071" i="49"/>
  <c r="Q4071" i="49"/>
  <c r="J4052" i="49"/>
  <c r="Q4052" i="49" s="1"/>
  <c r="J3476" i="49"/>
  <c r="Q3476" i="49" s="1"/>
  <c r="J294" i="46"/>
  <c r="J4069" i="49"/>
  <c r="Q4069" i="49" s="1"/>
  <c r="J2335" i="49"/>
  <c r="Q2335" i="49" s="1"/>
  <c r="J2048" i="49"/>
  <c r="Q2048" i="49" s="1"/>
  <c r="J4666" i="49"/>
  <c r="Q4666" i="49"/>
  <c r="J2643" i="49"/>
  <c r="Q2643" i="49" s="1"/>
  <c r="J198" i="46"/>
  <c r="J1181" i="49"/>
  <c r="Q1181" i="49" s="1"/>
  <c r="J534" i="46"/>
  <c r="J3765" i="49"/>
  <c r="Q3765" i="49" s="1"/>
  <c r="J4649" i="49"/>
  <c r="Q4649" i="49" s="1"/>
  <c r="J1740" i="49"/>
  <c r="Q1740" i="49" s="1"/>
  <c r="J6" i="46"/>
  <c r="J54" i="46"/>
  <c r="J1757" i="49"/>
  <c r="Q1757" i="49" s="1"/>
  <c r="J603" i="49"/>
  <c r="Q603" i="49"/>
  <c r="J4938" i="49"/>
  <c r="Q4938" i="49" s="1"/>
  <c r="J390" i="46"/>
  <c r="J873" i="49"/>
  <c r="Q873" i="49" s="1"/>
  <c r="J342" i="46"/>
  <c r="J4054" i="49"/>
  <c r="Q4054" i="49" s="1"/>
  <c r="J601" i="49"/>
  <c r="Q601" i="49" s="1"/>
  <c r="J4343" i="49"/>
  <c r="Q4343" i="49" s="1"/>
  <c r="J875" i="49"/>
  <c r="Q875" i="49" s="1"/>
  <c r="J2318" i="49"/>
  <c r="Q2318" i="49" s="1"/>
  <c r="J1776" i="49"/>
  <c r="Q1776" i="49"/>
  <c r="J4341" i="49"/>
  <c r="Q4341" i="49" s="1"/>
  <c r="J892" i="49"/>
  <c r="Q892" i="49" s="1"/>
  <c r="J3185" i="49"/>
  <c r="Q3185" i="49" s="1"/>
  <c r="J2626" i="49"/>
  <c r="Q2626" i="49" s="1"/>
  <c r="J3493" i="49"/>
  <c r="Q3493" i="49" s="1"/>
  <c r="J3510" i="49"/>
  <c r="Q3510" i="49" s="1"/>
  <c r="J1196" i="49"/>
  <c r="Q1196" i="49" s="1"/>
  <c r="J1198" i="49"/>
  <c r="Q1198" i="49" s="1"/>
  <c r="J2320" i="49"/>
  <c r="Q2320" i="49" s="1"/>
  <c r="J1487" i="49"/>
  <c r="Q1487" i="49" s="1"/>
  <c r="J4630" i="49"/>
  <c r="Q4630" i="49"/>
  <c r="J150" i="46"/>
  <c r="J1468" i="49"/>
  <c r="Q1468" i="49" s="1"/>
  <c r="Q3782" i="49"/>
  <c r="J3782" i="49"/>
  <c r="J4647" i="49"/>
  <c r="Q4647" i="49" s="1"/>
  <c r="J774" i="46"/>
  <c r="J3491" i="49"/>
  <c r="Q3491" i="49"/>
  <c r="J4358" i="49"/>
  <c r="Q4358" i="49" s="1"/>
  <c r="J1162" i="49"/>
  <c r="Q1162" i="49" s="1"/>
  <c r="J2898" i="49"/>
  <c r="Q2898" i="49" s="1"/>
  <c r="Q4088" i="49"/>
  <c r="J4088" i="49"/>
  <c r="J438" i="46"/>
  <c r="J4921" i="49"/>
  <c r="Q4921" i="49" s="1"/>
  <c r="J2065" i="49"/>
  <c r="Q2065" i="49" s="1"/>
  <c r="J2607" i="49"/>
  <c r="Q2607" i="49" s="1"/>
  <c r="J2932" i="49"/>
  <c r="Q2932" i="49" s="1"/>
  <c r="J3221" i="49"/>
  <c r="Q3221" i="49" s="1"/>
  <c r="J4632" i="49"/>
  <c r="Q4632" i="49" s="1"/>
  <c r="J3202" i="49"/>
  <c r="Q3202" i="49" s="1"/>
  <c r="J3204" i="49"/>
  <c r="Q3204" i="49" s="1"/>
  <c r="J3508" i="49"/>
  <c r="Q3508" i="49" s="1"/>
  <c r="J2896" i="49"/>
  <c r="Q2896" i="49" s="1"/>
  <c r="J2609" i="49"/>
  <c r="Q2609" i="49" s="1"/>
  <c r="J726" i="46"/>
  <c r="J1774" i="49"/>
  <c r="Q1774" i="49" s="1"/>
  <c r="J2029" i="49"/>
  <c r="Q2029" i="49" s="1"/>
  <c r="J3187" i="49"/>
  <c r="Q3187" i="49" s="1"/>
  <c r="Q890" i="49"/>
  <c r="J890" i="49"/>
  <c r="J630" i="46"/>
  <c r="J486" i="46"/>
  <c r="J1164" i="49"/>
  <c r="Q1164" i="49" s="1"/>
  <c r="J3474" i="49"/>
  <c r="Q3474" i="49" s="1"/>
  <c r="J584" i="49"/>
  <c r="Q584" i="49" s="1"/>
  <c r="J907" i="49"/>
  <c r="Q907" i="49" s="1"/>
  <c r="J1179" i="49"/>
  <c r="Q1179" i="49" s="1"/>
  <c r="J246" i="46"/>
  <c r="J909" i="49"/>
  <c r="Q909" i="49"/>
  <c r="J1470" i="49"/>
  <c r="Q1470" i="49" s="1"/>
  <c r="J3763" i="49"/>
  <c r="Q3763" i="49" s="1"/>
  <c r="J4919" i="49"/>
  <c r="Q4919" i="49" s="1"/>
  <c r="J2354" i="49"/>
  <c r="Q2354" i="49" s="1"/>
  <c r="J2913" i="49"/>
  <c r="Q2913" i="49" s="1"/>
  <c r="J582" i="46"/>
  <c r="J1742" i="49"/>
  <c r="Q1742" i="49" s="1"/>
  <c r="J2031" i="49"/>
  <c r="Q2031" i="49" s="1"/>
  <c r="J1759" i="49"/>
  <c r="Q1759" i="49" s="1"/>
  <c r="J2624" i="49"/>
  <c r="Q2624" i="49" s="1"/>
  <c r="J2337" i="49"/>
  <c r="Q2337" i="49" s="1"/>
  <c r="J3780" i="49"/>
  <c r="Q3780" i="49"/>
  <c r="J4955" i="49"/>
  <c r="Q4955" i="49" s="1"/>
  <c r="E15" i="5"/>
  <c r="G13" i="12"/>
  <c r="H13" i="12" s="1"/>
  <c r="Q539" i="49"/>
  <c r="J539" i="49"/>
  <c r="J503" i="49"/>
  <c r="Q503" i="49" s="1"/>
  <c r="C117" i="14"/>
  <c r="Q30" i="13"/>
  <c r="I30" i="13"/>
  <c r="R30" i="13"/>
  <c r="O30" i="13"/>
  <c r="C11" i="5"/>
  <c r="J445" i="49"/>
  <c r="Q445" i="49" s="1"/>
  <c r="J576" i="49"/>
  <c r="Q576" i="49" s="1"/>
  <c r="J508" i="49"/>
  <c r="Q508" i="49" s="1"/>
  <c r="J350" i="49"/>
  <c r="Q350" i="49" s="1"/>
  <c r="N4374" i="49"/>
  <c r="O4374" i="49" s="1"/>
  <c r="N4455" i="49"/>
  <c r="O4455" i="49" s="1"/>
  <c r="J560" i="49"/>
  <c r="Q560" i="49" s="1"/>
  <c r="C9" i="14"/>
  <c r="C10" i="14"/>
  <c r="F74" i="13" s="1"/>
  <c r="E64" i="15" s="1"/>
  <c r="C8" i="14"/>
  <c r="J489" i="49"/>
  <c r="Q489" i="49"/>
  <c r="N4603" i="49"/>
  <c r="O4603" i="49" s="1"/>
  <c r="N505" i="49"/>
  <c r="O505" i="49" s="1"/>
  <c r="Q541" i="49"/>
  <c r="J541" i="49"/>
  <c r="N4102" i="49"/>
  <c r="O4102" i="49" s="1"/>
  <c r="N4168" i="49"/>
  <c r="O4168" i="49" s="1"/>
  <c r="G9" i="12"/>
  <c r="H9" i="12" s="1"/>
  <c r="E11" i="5"/>
  <c r="N4152" i="49"/>
  <c r="O4152" i="49" s="1"/>
  <c r="N4139" i="49"/>
  <c r="O4139" i="49" s="1"/>
  <c r="H12" i="3"/>
  <c r="C14" i="6"/>
  <c r="N4259" i="49"/>
  <c r="O4259" i="49" s="1"/>
  <c r="J511" i="49"/>
  <c r="Q511" i="49" s="1"/>
  <c r="N516" i="49"/>
  <c r="O516" i="49" s="1"/>
  <c r="N507" i="49"/>
  <c r="O507" i="49" s="1"/>
  <c r="G12" i="12"/>
  <c r="H12" i="12" s="1"/>
  <c r="E14" i="5"/>
  <c r="J396" i="49"/>
  <c r="Q396" i="49" s="1"/>
  <c r="J449" i="49"/>
  <c r="Q449" i="49" s="1"/>
  <c r="Q329" i="49"/>
  <c r="J329" i="49"/>
  <c r="J510" i="49"/>
  <c r="Q510" i="49" s="1"/>
  <c r="J372" i="49"/>
  <c r="Q372" i="49" s="1"/>
  <c r="G39" i="19"/>
  <c r="I35" i="13"/>
  <c r="G18" i="12"/>
  <c r="H18" i="12" s="1"/>
  <c r="E20" i="5"/>
  <c r="C10" i="5"/>
  <c r="C52" i="1"/>
  <c r="I52" i="1" s="1"/>
  <c r="W22" i="39"/>
  <c r="V22" i="39"/>
  <c r="C24" i="4"/>
  <c r="F19" i="32"/>
  <c r="J19" i="3"/>
  <c r="G19" i="32" s="1"/>
  <c r="G19" i="38" s="1"/>
  <c r="N4586" i="49"/>
  <c r="O4586" i="49" s="1"/>
  <c r="N4439" i="49"/>
  <c r="O4439" i="49" s="1"/>
  <c r="N4353" i="49"/>
  <c r="O4353" i="49" s="1"/>
  <c r="N4404" i="49"/>
  <c r="O4404" i="49" s="1"/>
  <c r="N4513" i="49"/>
  <c r="O4513" i="49" s="1"/>
  <c r="N4518" i="49"/>
  <c r="O4518" i="49" s="1"/>
  <c r="N4613" i="49"/>
  <c r="O4613" i="49" s="1"/>
  <c r="N4534" i="49"/>
  <c r="O4534" i="49" s="1"/>
  <c r="N4390" i="49"/>
  <c r="O4390" i="49" s="1"/>
  <c r="N4376" i="49"/>
  <c r="O4376" i="49" s="1"/>
  <c r="N4498" i="49"/>
  <c r="O4498" i="49" s="1"/>
  <c r="N4345" i="49"/>
  <c r="O4345" i="49" s="1"/>
  <c r="N4427" i="49"/>
  <c r="O4427" i="49" s="1"/>
  <c r="N4496" i="49"/>
  <c r="O4496" i="49" s="1"/>
  <c r="N4478" i="49"/>
  <c r="O4478" i="49" s="1"/>
  <c r="N4441" i="49"/>
  <c r="O4441" i="49" s="1"/>
  <c r="N4420" i="49"/>
  <c r="O4420" i="49" s="1"/>
  <c r="N4620" i="49"/>
  <c r="O4620" i="49" s="1"/>
  <c r="N4467" i="49"/>
  <c r="O4467" i="49" s="1"/>
  <c r="N4535" i="49"/>
  <c r="O4535" i="49" s="1"/>
  <c r="N4411" i="49"/>
  <c r="O4411" i="49" s="1"/>
  <c r="N4406" i="49"/>
  <c r="O4406" i="49" s="1"/>
  <c r="N4516" i="49"/>
  <c r="O4516" i="49" s="1"/>
  <c r="N4577" i="49"/>
  <c r="O4577" i="49" s="1"/>
  <c r="N4354" i="49"/>
  <c r="O4354" i="49" s="1"/>
  <c r="N4605" i="49"/>
  <c r="O4605" i="49" s="1"/>
  <c r="N4503" i="49"/>
  <c r="O4503" i="49" s="1"/>
  <c r="N4499" i="49"/>
  <c r="O4499" i="49" s="1"/>
  <c r="N4585" i="49"/>
  <c r="O4585" i="49" s="1"/>
  <c r="N4527" i="49"/>
  <c r="O4527" i="49" s="1"/>
  <c r="N4348" i="49"/>
  <c r="O4348" i="49" s="1"/>
  <c r="N4623" i="49"/>
  <c r="O4623" i="49" s="1"/>
  <c r="N4582" i="49"/>
  <c r="O4582" i="49" s="1"/>
  <c r="N4587" i="49"/>
  <c r="O4587" i="49" s="1"/>
  <c r="N4588" i="49"/>
  <c r="O4588" i="49" s="1"/>
  <c r="N4564" i="49"/>
  <c r="O4564" i="49" s="1"/>
  <c r="N4466" i="49"/>
  <c r="O4466" i="49" s="1"/>
  <c r="N4414" i="49"/>
  <c r="O4414" i="49" s="1"/>
  <c r="N4555" i="49"/>
  <c r="O4555" i="49" s="1"/>
  <c r="N4520" i="49"/>
  <c r="O4520" i="49" s="1"/>
  <c r="N4486" i="49"/>
  <c r="O4486" i="49" s="1"/>
  <c r="N4524" i="49"/>
  <c r="O4524" i="49" s="1"/>
  <c r="N4596" i="49"/>
  <c r="O4596" i="49" s="1"/>
  <c r="N4362" i="49"/>
  <c r="O4362" i="49" s="1"/>
  <c r="N4579" i="49"/>
  <c r="O4579" i="49" s="1"/>
  <c r="N4448" i="49"/>
  <c r="O4448" i="49" s="1"/>
  <c r="N4580" i="49"/>
  <c r="O4580" i="49" s="1"/>
  <c r="N4556" i="49"/>
  <c r="O4556" i="49" s="1"/>
  <c r="N4537" i="49"/>
  <c r="O4537" i="49" s="1"/>
  <c r="N4412" i="49"/>
  <c r="O4412" i="49" s="1"/>
  <c r="N4615" i="49"/>
  <c r="O4615" i="49" s="1"/>
  <c r="N4429" i="49"/>
  <c r="O4429" i="49" s="1"/>
  <c r="N4552" i="49"/>
  <c r="O4552" i="49" s="1"/>
  <c r="N4554" i="49"/>
  <c r="O4554" i="49" s="1"/>
  <c r="N4512" i="49"/>
  <c r="O4512" i="49" s="1"/>
  <c r="N4572" i="49"/>
  <c r="O4572" i="49" s="1"/>
  <c r="N4550" i="49"/>
  <c r="O4550" i="49" s="1"/>
  <c r="N4367" i="49"/>
  <c r="O4367" i="49" s="1"/>
  <c r="N4426" i="49"/>
  <c r="O4426" i="49" s="1"/>
  <c r="N4608" i="49"/>
  <c r="O4608" i="49" s="1"/>
  <c r="N4547" i="49"/>
  <c r="O4547" i="49" s="1"/>
  <c r="N4616" i="49"/>
  <c r="O4616" i="49" s="1"/>
  <c r="N4611" i="49"/>
  <c r="O4611" i="49" s="1"/>
  <c r="N4433" i="49"/>
  <c r="O4433" i="49" s="1"/>
  <c r="N4418" i="49"/>
  <c r="O4418" i="49" s="1"/>
  <c r="N4408" i="49"/>
  <c r="O4408" i="49" s="1"/>
  <c r="N4602" i="49"/>
  <c r="O4602" i="49" s="1"/>
  <c r="N4425" i="49"/>
  <c r="O4425" i="49" s="1"/>
  <c r="N4417" i="49"/>
  <c r="O4417" i="49" s="1"/>
  <c r="N4607" i="49"/>
  <c r="O4607" i="49" s="1"/>
  <c r="N4523" i="49"/>
  <c r="O4523" i="49" s="1"/>
  <c r="N4465" i="49"/>
  <c r="O4465" i="49" s="1"/>
  <c r="N4565" i="49"/>
  <c r="O4565" i="49" s="1"/>
  <c r="N4573" i="49"/>
  <c r="O4573" i="49" s="1"/>
  <c r="N4570" i="49"/>
  <c r="O4570" i="49" s="1"/>
  <c r="N4508" i="49"/>
  <c r="O4508" i="49" s="1"/>
  <c r="N4471" i="49"/>
  <c r="O4471" i="49" s="1"/>
  <c r="N4445" i="49"/>
  <c r="O4445" i="49" s="1"/>
  <c r="N4521" i="49"/>
  <c r="O4521" i="49" s="1"/>
  <c r="N4464" i="49"/>
  <c r="O4464" i="49" s="1"/>
  <c r="N4452" i="49"/>
  <c r="O4452" i="49" s="1"/>
  <c r="N4437" i="49"/>
  <c r="O4437" i="49" s="1"/>
  <c r="N4379" i="49"/>
  <c r="O4379" i="49" s="1"/>
  <c r="N4368" i="49"/>
  <c r="O4368" i="49" s="1"/>
  <c r="N4541" i="49"/>
  <c r="O4541" i="49" s="1"/>
  <c r="N4384" i="49"/>
  <c r="O4384" i="49" s="1"/>
  <c r="N4507" i="49"/>
  <c r="O4507" i="49" s="1"/>
  <c r="N4419" i="49"/>
  <c r="O4419" i="49" s="1"/>
  <c r="N4421" i="49"/>
  <c r="O4421" i="49" s="1"/>
  <c r="N4606" i="49"/>
  <c r="O4606" i="49" s="1"/>
  <c r="N4538" i="49"/>
  <c r="O4538" i="49" s="1"/>
  <c r="N4553" i="49"/>
  <c r="O4553" i="49" s="1"/>
  <c r="N4532" i="49"/>
  <c r="O4532" i="49" s="1"/>
  <c r="N4505" i="49"/>
  <c r="O4505" i="49" s="1"/>
  <c r="N4397" i="49"/>
  <c r="O4397" i="49" s="1"/>
  <c r="N4531" i="49"/>
  <c r="O4531" i="49" s="1"/>
  <c r="N4358" i="49"/>
  <c r="O4358" i="49" s="1"/>
  <c r="N4428" i="49"/>
  <c r="O4428" i="49" s="1"/>
  <c r="N4393" i="49"/>
  <c r="O4393" i="49" s="1"/>
  <c r="N4558" i="49"/>
  <c r="O4558" i="49" s="1"/>
  <c r="N4431" i="49"/>
  <c r="O4431" i="49" s="1"/>
  <c r="N4501" i="49"/>
  <c r="O4501" i="49" s="1"/>
  <c r="N4444" i="49"/>
  <c r="O4444" i="49" s="1"/>
  <c r="N4609" i="49"/>
  <c r="O4609" i="49" s="1"/>
  <c r="N4511" i="49"/>
  <c r="O4511" i="49" s="1"/>
  <c r="N4391" i="49"/>
  <c r="O4391" i="49" s="1"/>
  <c r="N4407" i="49"/>
  <c r="O4407" i="49" s="1"/>
  <c r="N4484" i="49"/>
  <c r="O4484" i="49" s="1"/>
  <c r="N4598" i="49"/>
  <c r="O4598" i="49" s="1"/>
  <c r="N4475" i="49"/>
  <c r="O4475" i="49" s="1"/>
  <c r="N4489" i="49"/>
  <c r="O4489" i="49" s="1"/>
  <c r="N4443" i="49"/>
  <c r="O4443" i="49" s="1"/>
  <c r="N4449" i="49"/>
  <c r="O4449" i="49" s="1"/>
  <c r="N4502" i="49"/>
  <c r="O4502" i="49" s="1"/>
  <c r="N4392" i="49"/>
  <c r="O4392" i="49" s="1"/>
  <c r="N4436" i="49"/>
  <c r="O4436" i="49" s="1"/>
  <c r="N4497" i="49"/>
  <c r="O4497" i="49" s="1"/>
  <c r="N4510" i="49"/>
  <c r="O4510" i="49" s="1"/>
  <c r="N4460" i="49"/>
  <c r="O4460" i="49" s="1"/>
  <c r="N4476" i="49"/>
  <c r="O4476" i="49" s="1"/>
  <c r="N4593" i="49"/>
  <c r="O4593" i="49" s="1"/>
  <c r="N4543" i="49"/>
  <c r="O4543" i="49" s="1"/>
  <c r="N4385" i="49"/>
  <c r="O4385" i="49" s="1"/>
  <c r="N4567" i="49"/>
  <c r="O4567" i="49" s="1"/>
  <c r="N4599" i="49"/>
  <c r="O4599" i="49" s="1"/>
  <c r="N4388" i="49"/>
  <c r="O4388" i="49" s="1"/>
  <c r="N4481" i="49"/>
  <c r="O4481" i="49" s="1"/>
  <c r="N4413" i="49"/>
  <c r="O4413" i="49" s="1"/>
  <c r="N4394" i="49"/>
  <c r="O4394" i="49" s="1"/>
  <c r="N4492" i="49"/>
  <c r="O4492" i="49" s="1"/>
  <c r="N4601" i="49"/>
  <c r="O4601" i="49" s="1"/>
  <c r="N4434" i="49"/>
  <c r="O4434" i="49" s="1"/>
  <c r="N4627" i="49"/>
  <c r="O4627" i="49" s="1"/>
  <c r="N4380" i="49"/>
  <c r="O4380" i="49" s="1"/>
  <c r="N4430" i="49"/>
  <c r="O4430" i="49" s="1"/>
  <c r="N4536" i="49"/>
  <c r="O4536" i="49" s="1"/>
  <c r="N4519" i="49"/>
  <c r="O4519" i="49" s="1"/>
  <c r="N4451" i="49"/>
  <c r="O4451" i="49" s="1"/>
  <c r="N4591" i="49"/>
  <c r="O4591" i="49" s="1"/>
  <c r="N4610" i="49"/>
  <c r="O4610" i="49" s="1"/>
  <c r="N4468" i="49"/>
  <c r="O4468" i="49" s="1"/>
  <c r="N4382" i="49"/>
  <c r="O4382" i="49" s="1"/>
  <c r="N4583" i="49"/>
  <c r="O4583" i="49" s="1"/>
  <c r="N4578" i="49"/>
  <c r="O4578" i="49" s="1"/>
  <c r="N4482" i="49"/>
  <c r="O4482" i="49" s="1"/>
  <c r="N4450" i="49"/>
  <c r="O4450" i="49" s="1"/>
  <c r="N4462" i="49"/>
  <c r="O4462" i="49" s="1"/>
  <c r="N4494" i="49"/>
  <c r="O4494" i="49" s="1"/>
  <c r="N4589" i="49"/>
  <c r="O4589" i="49" s="1"/>
  <c r="N4595" i="49"/>
  <c r="O4595" i="49" s="1"/>
  <c r="N4514" i="49"/>
  <c r="O4514" i="49" s="1"/>
  <c r="N4340" i="49"/>
  <c r="O4340" i="49" s="1"/>
  <c r="N4423" i="49"/>
  <c r="O4423" i="49" s="1"/>
  <c r="N4400" i="49"/>
  <c r="O4400" i="49" s="1"/>
  <c r="N4405" i="49"/>
  <c r="O4405" i="49" s="1"/>
  <c r="N4590" i="49"/>
  <c r="O4590" i="49" s="1"/>
  <c r="N4544" i="49"/>
  <c r="O4544" i="49" s="1"/>
  <c r="N4424" i="49"/>
  <c r="O4424" i="49" s="1"/>
  <c r="N4618" i="49"/>
  <c r="O4618" i="49" s="1"/>
  <c r="N4402" i="49"/>
  <c r="O4402" i="49" s="1"/>
  <c r="N4619" i="49"/>
  <c r="O4619" i="49" s="1"/>
  <c r="N4369" i="49"/>
  <c r="O4369" i="49" s="1"/>
  <c r="N4592" i="49"/>
  <c r="O4592" i="49" s="1"/>
  <c r="N4604" i="49"/>
  <c r="O4604" i="49" s="1"/>
  <c r="N4624" i="49"/>
  <c r="O4624" i="49" s="1"/>
  <c r="N4341" i="49"/>
  <c r="O4341" i="49" s="1"/>
  <c r="N4473" i="49"/>
  <c r="O4473" i="49" s="1"/>
  <c r="N4386" i="49"/>
  <c r="O4386" i="49" s="1"/>
  <c r="N4485" i="49"/>
  <c r="O4485" i="49" s="1"/>
  <c r="N4352" i="49"/>
  <c r="O4352" i="49" s="1"/>
  <c r="N4447" i="49"/>
  <c r="O4447" i="49" s="1"/>
  <c r="N4622" i="49"/>
  <c r="O4622" i="49" s="1"/>
  <c r="N4491" i="49"/>
  <c r="O4491" i="49" s="1"/>
  <c r="N4614" i="49"/>
  <c r="O4614" i="49" s="1"/>
  <c r="N4357" i="49"/>
  <c r="O4357" i="49" s="1"/>
  <c r="N4365" i="49"/>
  <c r="O4365" i="49" s="1"/>
  <c r="N4395" i="49"/>
  <c r="O4395" i="49" s="1"/>
  <c r="N4446" i="49"/>
  <c r="O4446" i="49" s="1"/>
  <c r="N4480" i="49"/>
  <c r="O4480" i="49" s="1"/>
  <c r="N4463" i="49"/>
  <c r="O4463" i="49" s="1"/>
  <c r="N4517" i="49"/>
  <c r="O4517" i="49" s="1"/>
  <c r="N4472" i="49"/>
  <c r="O4472" i="49" s="1"/>
  <c r="N4387" i="49"/>
  <c r="O4387" i="49" s="1"/>
  <c r="N4490" i="49"/>
  <c r="O4490" i="49" s="1"/>
  <c r="N4500" i="49"/>
  <c r="O4500" i="49" s="1"/>
  <c r="N4349" i="49"/>
  <c r="O4349" i="49" s="1"/>
  <c r="N4597" i="49"/>
  <c r="O4597" i="49" s="1"/>
  <c r="N4409" i="49"/>
  <c r="O4409" i="49" s="1"/>
  <c r="N4347" i="49"/>
  <c r="O4347" i="49" s="1"/>
  <c r="N4378" i="49"/>
  <c r="O4378" i="49" s="1"/>
  <c r="N4372" i="49"/>
  <c r="O4372" i="49" s="1"/>
  <c r="N4457" i="49"/>
  <c r="O4457" i="49" s="1"/>
  <c r="N4584" i="49"/>
  <c r="O4584" i="49" s="1"/>
  <c r="N4526" i="49"/>
  <c r="O4526" i="49" s="1"/>
  <c r="N4509" i="49"/>
  <c r="O4509" i="49" s="1"/>
  <c r="N4625" i="49"/>
  <c r="O4625" i="49" s="1"/>
  <c r="N4563" i="49"/>
  <c r="O4563" i="49" s="1"/>
  <c r="N4612" i="49"/>
  <c r="O4612" i="49" s="1"/>
  <c r="N4359" i="49"/>
  <c r="O4359" i="49" s="1"/>
  <c r="N4351" i="49"/>
  <c r="O4351" i="49" s="1"/>
  <c r="N4373" i="49"/>
  <c r="O4373" i="49" s="1"/>
  <c r="N4458" i="49"/>
  <c r="O4458" i="49" s="1"/>
  <c r="N4399" i="49"/>
  <c r="O4399" i="49" s="1"/>
  <c r="N4566" i="49"/>
  <c r="O4566" i="49" s="1"/>
  <c r="J344" i="49"/>
  <c r="Q344" i="49" s="1"/>
  <c r="N4548" i="49"/>
  <c r="O4548" i="49" s="1"/>
  <c r="J365" i="49"/>
  <c r="Q365" i="49" s="1"/>
  <c r="N4557" i="49"/>
  <c r="O4557" i="49" s="1"/>
  <c r="E2" i="29"/>
  <c r="J33" i="14"/>
  <c r="M104" i="13"/>
  <c r="I19" i="26"/>
  <c r="N4185" i="49"/>
  <c r="O4185" i="49" s="1"/>
  <c r="N4126" i="49"/>
  <c r="O4126" i="49" s="1"/>
  <c r="N4055" i="49"/>
  <c r="O4055" i="49" s="1"/>
  <c r="N4164" i="49"/>
  <c r="O4164" i="49" s="1"/>
  <c r="N4338" i="49"/>
  <c r="O4338" i="49" s="1"/>
  <c r="N4305" i="49"/>
  <c r="O4305" i="49" s="1"/>
  <c r="N4267" i="49"/>
  <c r="O4267" i="49" s="1"/>
  <c r="N4088" i="49"/>
  <c r="O4088" i="49" s="1"/>
  <c r="C19" i="5"/>
  <c r="N4235" i="49"/>
  <c r="O4235" i="49" s="1"/>
  <c r="N4072" i="49"/>
  <c r="O4072" i="49" s="1"/>
  <c r="N4327" i="49"/>
  <c r="O4327" i="49" s="1"/>
  <c r="G79" i="22"/>
  <c r="G85" i="22"/>
  <c r="G80" i="22"/>
  <c r="G82" i="22"/>
  <c r="N576" i="49"/>
  <c r="O576" i="49" s="1"/>
  <c r="N412" i="49"/>
  <c r="O412" i="49" s="1"/>
  <c r="J339" i="49"/>
  <c r="Q339" i="49" s="1"/>
  <c r="J397" i="49"/>
  <c r="Q397" i="49" s="1"/>
  <c r="D156" i="14"/>
  <c r="X75" i="27"/>
  <c r="L75" i="27"/>
  <c r="V66" i="27"/>
  <c r="J66" i="27"/>
  <c r="S60" i="27"/>
  <c r="G60" i="27"/>
  <c r="Y47" i="27"/>
  <c r="M47" i="27"/>
  <c r="P43" i="27"/>
  <c r="V75" i="27"/>
  <c r="J75" i="27"/>
  <c r="T66" i="27"/>
  <c r="H66" i="27"/>
  <c r="Q60" i="27"/>
  <c r="E60" i="27"/>
  <c r="W47" i="27"/>
  <c r="K47" i="27"/>
  <c r="N43" i="27"/>
  <c r="Q75" i="27"/>
  <c r="W66" i="27"/>
  <c r="G66" i="27"/>
  <c r="L60" i="27"/>
  <c r="V47" i="27"/>
  <c r="H47" i="27"/>
  <c r="M43" i="27"/>
  <c r="P75" i="27"/>
  <c r="U66" i="27"/>
  <c r="F66" i="27"/>
  <c r="Y60" i="27"/>
  <c r="K60" i="27"/>
  <c r="U47" i="27"/>
  <c r="G47" i="27"/>
  <c r="L43" i="27"/>
  <c r="N75" i="27"/>
  <c r="R66" i="27"/>
  <c r="W60" i="27"/>
  <c r="I60" i="27"/>
  <c r="S47" i="27"/>
  <c r="E47" i="27"/>
  <c r="X43" i="27"/>
  <c r="J43" i="27"/>
  <c r="O75" i="27"/>
  <c r="E66" i="27"/>
  <c r="O60" i="27"/>
  <c r="F47" i="27"/>
  <c r="K43" i="27"/>
  <c r="M75" i="27"/>
  <c r="Y66" i="27"/>
  <c r="N60" i="27"/>
  <c r="I43" i="27"/>
  <c r="K75" i="27"/>
  <c r="X66" i="27"/>
  <c r="M60" i="27"/>
  <c r="X47" i="27"/>
  <c r="H43" i="27"/>
  <c r="I75" i="27"/>
  <c r="S66" i="27"/>
  <c r="J60" i="27"/>
  <c r="T47" i="27"/>
  <c r="Y43" i="27"/>
  <c r="G43" i="27"/>
  <c r="H75" i="27"/>
  <c r="Q66" i="27"/>
  <c r="H60" i="27"/>
  <c r="R47" i="27"/>
  <c r="W43" i="27"/>
  <c r="F43" i="27"/>
  <c r="G75" i="27"/>
  <c r="P66" i="27"/>
  <c r="F60" i="27"/>
  <c r="Q47" i="27"/>
  <c r="V43" i="27"/>
  <c r="P60" i="27"/>
  <c r="O43" i="27"/>
  <c r="Y75" i="27"/>
  <c r="O66" i="27"/>
  <c r="P47" i="27"/>
  <c r="U75" i="27"/>
  <c r="M66" i="27"/>
  <c r="N47" i="27"/>
  <c r="S75" i="27"/>
  <c r="K66" i="27"/>
  <c r="J47" i="27"/>
  <c r="E75" i="27"/>
  <c r="V60" i="27"/>
  <c r="T43" i="27"/>
  <c r="U60" i="27"/>
  <c r="S43" i="27"/>
  <c r="T60" i="27"/>
  <c r="T75" i="27"/>
  <c r="R75" i="27"/>
  <c r="F75" i="27"/>
  <c r="U43" i="27"/>
  <c r="N66" i="27"/>
  <c r="O47" i="27"/>
  <c r="L66" i="27"/>
  <c r="L47" i="27"/>
  <c r="R60" i="27"/>
  <c r="I66" i="27"/>
  <c r="W75" i="27"/>
  <c r="R43" i="27"/>
  <c r="Q43" i="27"/>
  <c r="I47" i="27"/>
  <c r="X60" i="27"/>
  <c r="G83" i="8"/>
  <c r="G81" i="8"/>
  <c r="G79" i="8"/>
  <c r="G86" i="8"/>
  <c r="J411" i="49"/>
  <c r="Q411" i="49" s="1"/>
  <c r="N448" i="49"/>
  <c r="O448" i="49" s="1"/>
  <c r="N4442" i="49"/>
  <c r="O4442" i="49" s="1"/>
  <c r="N4456" i="49"/>
  <c r="O4456" i="49" s="1"/>
  <c r="N499" i="49"/>
  <c r="O499" i="49" s="1"/>
  <c r="J353" i="49"/>
  <c r="Q353" i="49" s="1"/>
  <c r="N4824" i="49"/>
  <c r="O4824" i="49" s="1"/>
  <c r="J426" i="49"/>
  <c r="Q426" i="49"/>
  <c r="N4898" i="49"/>
  <c r="O4898" i="49" s="1"/>
  <c r="N4803" i="49"/>
  <c r="O4803" i="49" s="1"/>
  <c r="Q75" i="19"/>
  <c r="E75" i="19"/>
  <c r="O66" i="19"/>
  <c r="X60" i="19"/>
  <c r="L60" i="19"/>
  <c r="R47" i="19"/>
  <c r="F47" i="19"/>
  <c r="U43" i="19"/>
  <c r="I43" i="19"/>
  <c r="N75" i="19"/>
  <c r="X66" i="19"/>
  <c r="L66" i="19"/>
  <c r="U60" i="19"/>
  <c r="I60" i="19"/>
  <c r="O47" i="19"/>
  <c r="R43" i="19"/>
  <c r="F43" i="19"/>
  <c r="O75" i="19"/>
  <c r="T66" i="19"/>
  <c r="F66" i="19"/>
  <c r="Y60" i="19"/>
  <c r="J60" i="19"/>
  <c r="U47" i="19"/>
  <c r="G47" i="19"/>
  <c r="L43" i="19"/>
  <c r="M75" i="19"/>
  <c r="S66" i="19"/>
  <c r="E66" i="19"/>
  <c r="W60" i="19"/>
  <c r="H60" i="19"/>
  <c r="T47" i="19"/>
  <c r="E47" i="19"/>
  <c r="Y43" i="19"/>
  <c r="K43" i="19"/>
  <c r="L75" i="19"/>
  <c r="R66" i="19"/>
  <c r="V60" i="19"/>
  <c r="G60" i="19"/>
  <c r="S47" i="19"/>
  <c r="X43" i="19"/>
  <c r="J43" i="19"/>
  <c r="Y75" i="19"/>
  <c r="K75" i="19"/>
  <c r="Q66" i="19"/>
  <c r="T60" i="19"/>
  <c r="F60" i="19"/>
  <c r="Q47" i="19"/>
  <c r="W43" i="19"/>
  <c r="H43" i="19"/>
  <c r="X75" i="19"/>
  <c r="J75" i="19"/>
  <c r="P66" i="19"/>
  <c r="S60" i="19"/>
  <c r="E60" i="19"/>
  <c r="P47" i="19"/>
  <c r="V43" i="19"/>
  <c r="G43" i="19"/>
  <c r="W75" i="19"/>
  <c r="I75" i="19"/>
  <c r="N66" i="19"/>
  <c r="R60" i="19"/>
  <c r="N47" i="19"/>
  <c r="T43" i="19"/>
  <c r="R75" i="19"/>
  <c r="H66" i="19"/>
  <c r="I47" i="19"/>
  <c r="N43" i="19"/>
  <c r="P75" i="19"/>
  <c r="G66" i="19"/>
  <c r="H47" i="19"/>
  <c r="M43" i="19"/>
  <c r="G75" i="19"/>
  <c r="P60" i="19"/>
  <c r="W66" i="19"/>
  <c r="N60" i="19"/>
  <c r="X47" i="19"/>
  <c r="V75" i="19"/>
  <c r="M66" i="19"/>
  <c r="M47" i="19"/>
  <c r="S43" i="19"/>
  <c r="T75" i="19"/>
  <c r="Y66" i="19"/>
  <c r="K47" i="19"/>
  <c r="F75" i="19"/>
  <c r="K66" i="19"/>
  <c r="Q60" i="19"/>
  <c r="O43" i="19"/>
  <c r="J66" i="19"/>
  <c r="O60" i="19"/>
  <c r="I66" i="19"/>
  <c r="M60" i="19"/>
  <c r="Y47" i="19"/>
  <c r="W47" i="19"/>
  <c r="S75" i="19"/>
  <c r="V66" i="19"/>
  <c r="K60" i="19"/>
  <c r="L47" i="19"/>
  <c r="U75" i="19"/>
  <c r="Q43" i="19"/>
  <c r="J47" i="19"/>
  <c r="H75" i="19"/>
  <c r="U66" i="19"/>
  <c r="P43" i="19"/>
  <c r="V47" i="19"/>
  <c r="N4677" i="49"/>
  <c r="O4677" i="49" s="1"/>
  <c r="G12" i="14"/>
  <c r="J130" i="13" s="1"/>
  <c r="I12" i="14"/>
  <c r="L130" i="13" s="1"/>
  <c r="H11" i="14"/>
  <c r="G8" i="15"/>
  <c r="E12" i="14"/>
  <c r="H130" i="13" s="1"/>
  <c r="G62" i="15" s="1"/>
  <c r="C11" i="14"/>
  <c r="G11" i="14"/>
  <c r="D11" i="14"/>
  <c r="I5" i="3"/>
  <c r="I11" i="14"/>
  <c r="D12" i="14"/>
  <c r="G130" i="13" s="1"/>
  <c r="F62" i="15" s="1"/>
  <c r="D7" i="14"/>
  <c r="F12" i="14"/>
  <c r="I130" i="13" s="1"/>
  <c r="H12" i="14"/>
  <c r="K130" i="13" s="1"/>
  <c r="J11" i="14"/>
  <c r="D7" i="6"/>
  <c r="E11" i="14"/>
  <c r="H8" i="39"/>
  <c r="R8" i="39" s="1"/>
  <c r="F11" i="14"/>
  <c r="J12" i="14"/>
  <c r="M130" i="13" s="1"/>
  <c r="C12" i="14"/>
  <c r="F130" i="13" s="1"/>
  <c r="E62" i="15" s="1"/>
  <c r="I6" i="14"/>
  <c r="E6" i="14"/>
  <c r="H6" i="14"/>
  <c r="D6" i="14"/>
  <c r="F6" i="14"/>
  <c r="G6" i="14"/>
  <c r="N4762" i="49"/>
  <c r="O4762" i="49" s="1"/>
  <c r="N367" i="49"/>
  <c r="O367" i="49" s="1"/>
  <c r="J422" i="49"/>
  <c r="Q422" i="49" s="1"/>
  <c r="N4771" i="49"/>
  <c r="O4771" i="49" s="1"/>
  <c r="N4713" i="49"/>
  <c r="O4713" i="49" s="1"/>
  <c r="J472" i="49"/>
  <c r="Q472" i="49" s="1"/>
  <c r="N4155" i="49"/>
  <c r="O4155" i="49" s="1"/>
  <c r="I37" i="17"/>
  <c r="I33" i="17"/>
  <c r="I29" i="17"/>
  <c r="I15" i="17"/>
  <c r="I72" i="17"/>
  <c r="J12" i="17"/>
  <c r="I44" i="17"/>
  <c r="I38" i="17"/>
  <c r="I34" i="17"/>
  <c r="I30" i="17"/>
  <c r="I16" i="17"/>
  <c r="I36" i="17"/>
  <c r="I28" i="17"/>
  <c r="I18" i="17"/>
  <c r="I31" i="17"/>
  <c r="I14" i="17"/>
  <c r="I27" i="17"/>
  <c r="I17" i="17"/>
  <c r="I32" i="17"/>
  <c r="I35" i="17"/>
  <c r="G8" i="23"/>
  <c r="N4077" i="49"/>
  <c r="O4077" i="49" s="1"/>
  <c r="N4682" i="49"/>
  <c r="O4682" i="49" s="1"/>
  <c r="N4091" i="49"/>
  <c r="O4091" i="49" s="1"/>
  <c r="N4576" i="49"/>
  <c r="O4576" i="49" s="1"/>
  <c r="N4483" i="49"/>
  <c r="O4483" i="49" s="1"/>
  <c r="N4504" i="49"/>
  <c r="O4504" i="49" s="1"/>
  <c r="N4487" i="49"/>
  <c r="O4487" i="49" s="1"/>
  <c r="N4232" i="49"/>
  <c r="O4232" i="49" s="1"/>
  <c r="G17" i="12"/>
  <c r="H17" i="12" s="1"/>
  <c r="E19" i="5"/>
  <c r="H72" i="25"/>
  <c r="I12" i="25"/>
  <c r="H44" i="25"/>
  <c r="H31" i="25"/>
  <c r="H29" i="25"/>
  <c r="H16" i="25"/>
  <c r="H32" i="25"/>
  <c r="H27" i="25"/>
  <c r="H36" i="25"/>
  <c r="H15" i="25"/>
  <c r="H35" i="25"/>
  <c r="H30" i="25"/>
  <c r="H37" i="25"/>
  <c r="H33" i="25"/>
  <c r="H28" i="25"/>
  <c r="H34" i="25"/>
  <c r="H38" i="25"/>
  <c r="H18" i="25"/>
  <c r="H17" i="25"/>
  <c r="H14" i="25"/>
  <c r="N4249" i="49"/>
  <c r="O4249" i="49" s="1"/>
  <c r="N4247" i="49"/>
  <c r="O4247" i="49" s="1"/>
  <c r="N4276" i="49"/>
  <c r="O4276" i="49" s="1"/>
  <c r="N4245" i="49"/>
  <c r="O4245" i="49" s="1"/>
  <c r="N4142" i="49"/>
  <c r="O4142" i="49" s="1"/>
  <c r="N4094" i="49"/>
  <c r="O4094" i="49" s="1"/>
  <c r="N4147" i="49"/>
  <c r="O4147" i="49" s="1"/>
  <c r="G22" i="6"/>
  <c r="P34" i="13"/>
  <c r="Q34" i="13"/>
  <c r="N4336" i="49"/>
  <c r="O4336" i="49" s="1"/>
  <c r="N4089" i="49"/>
  <c r="O4089" i="49" s="1"/>
  <c r="N4157" i="49"/>
  <c r="O4157" i="49" s="1"/>
  <c r="N4104" i="49"/>
  <c r="O4104" i="49" s="1"/>
  <c r="P35" i="13"/>
  <c r="R35" i="13" s="1"/>
  <c r="G23" i="6"/>
  <c r="J352" i="49"/>
  <c r="Q352" i="49" s="1"/>
  <c r="N319" i="49"/>
  <c r="O319" i="49" s="1"/>
  <c r="J486" i="49"/>
  <c r="Q486" i="49"/>
  <c r="N4398" i="49"/>
  <c r="O4398" i="49" s="1"/>
  <c r="Q324" i="49"/>
  <c r="J324" i="49"/>
  <c r="N329" i="49"/>
  <c r="O329" i="49" s="1"/>
  <c r="N379" i="49"/>
  <c r="O379" i="49" s="1"/>
  <c r="K66" i="14"/>
  <c r="C53" i="1"/>
  <c r="I53" i="1" s="1"/>
  <c r="W23" i="39"/>
  <c r="V23" i="39"/>
  <c r="J20" i="3"/>
  <c r="G20" i="32" s="1"/>
  <c r="G20" i="38" s="1"/>
  <c r="F20" i="32"/>
  <c r="C25" i="4"/>
  <c r="N4726" i="49"/>
  <c r="O4726" i="49" s="1"/>
  <c r="N4679" i="49"/>
  <c r="O4679" i="49" s="1"/>
  <c r="N4761" i="49"/>
  <c r="O4761" i="49" s="1"/>
  <c r="N4866" i="49"/>
  <c r="O4866" i="49" s="1"/>
  <c r="N4781" i="49"/>
  <c r="O4781" i="49" s="1"/>
  <c r="N4859" i="49"/>
  <c r="O4859" i="49" s="1"/>
  <c r="N4700" i="49"/>
  <c r="O4700" i="49" s="1"/>
  <c r="N4711" i="49"/>
  <c r="O4711" i="49" s="1"/>
  <c r="N4742" i="49"/>
  <c r="O4742" i="49" s="1"/>
  <c r="N4769" i="49"/>
  <c r="O4769" i="49" s="1"/>
  <c r="N4913" i="49"/>
  <c r="O4913" i="49" s="1"/>
  <c r="N4800" i="49"/>
  <c r="O4800" i="49" s="1"/>
  <c r="N4853" i="49"/>
  <c r="O4853" i="49" s="1"/>
  <c r="N4748" i="49"/>
  <c r="O4748" i="49" s="1"/>
  <c r="N4660" i="49"/>
  <c r="O4660" i="49" s="1"/>
  <c r="N4672" i="49"/>
  <c r="O4672" i="49" s="1"/>
  <c r="N4718" i="49"/>
  <c r="O4718" i="49" s="1"/>
  <c r="N4845" i="49"/>
  <c r="O4845" i="49" s="1"/>
  <c r="N4849" i="49"/>
  <c r="O4849" i="49" s="1"/>
  <c r="N4696" i="49"/>
  <c r="O4696" i="49" s="1"/>
  <c r="N4694" i="49"/>
  <c r="O4694" i="49" s="1"/>
  <c r="N4709" i="49"/>
  <c r="O4709" i="49" s="1"/>
  <c r="N4635" i="49"/>
  <c r="O4635" i="49" s="1"/>
  <c r="N4728" i="49"/>
  <c r="O4728" i="49" s="1"/>
  <c r="N4789" i="49"/>
  <c r="O4789" i="49" s="1"/>
  <c r="N4875" i="49"/>
  <c r="O4875" i="49" s="1"/>
  <c r="N4697" i="49"/>
  <c r="O4697" i="49" s="1"/>
  <c r="N4841" i="49"/>
  <c r="O4841" i="49" s="1"/>
  <c r="N4707" i="49"/>
  <c r="O4707" i="49" s="1"/>
  <c r="N4650" i="49"/>
  <c r="O4650" i="49" s="1"/>
  <c r="N4706" i="49"/>
  <c r="O4706" i="49" s="1"/>
  <c r="N4867" i="49"/>
  <c r="O4867" i="49" s="1"/>
  <c r="N4869" i="49"/>
  <c r="O4869" i="49" s="1"/>
  <c r="N4897" i="49"/>
  <c r="O4897" i="49" s="1"/>
  <c r="N4876" i="49"/>
  <c r="O4876" i="49" s="1"/>
  <c r="N4892" i="49"/>
  <c r="O4892" i="49" s="1"/>
  <c r="N4802" i="49"/>
  <c r="O4802" i="49" s="1"/>
  <c r="N4794" i="49"/>
  <c r="O4794" i="49" s="1"/>
  <c r="N4658" i="49"/>
  <c r="O4658" i="49" s="1"/>
  <c r="N4723" i="49"/>
  <c r="O4723" i="49" s="1"/>
  <c r="N4846" i="49"/>
  <c r="O4846" i="49" s="1"/>
  <c r="N4668" i="49"/>
  <c r="O4668" i="49" s="1"/>
  <c r="N4750" i="49"/>
  <c r="O4750" i="49" s="1"/>
  <c r="N4804" i="49"/>
  <c r="O4804" i="49" s="1"/>
  <c r="N4701" i="49"/>
  <c r="O4701" i="49" s="1"/>
  <c r="N4872" i="49"/>
  <c r="O4872" i="49" s="1"/>
  <c r="N4729" i="49"/>
  <c r="O4729" i="49" s="1"/>
  <c r="N4844" i="49"/>
  <c r="O4844" i="49" s="1"/>
  <c r="N4782" i="49"/>
  <c r="O4782" i="49" s="1"/>
  <c r="N4690" i="49"/>
  <c r="O4690" i="49" s="1"/>
  <c r="N4809" i="49"/>
  <c r="O4809" i="49" s="1"/>
  <c r="N4722" i="49"/>
  <c r="O4722" i="49" s="1"/>
  <c r="N4657" i="49"/>
  <c r="O4657" i="49" s="1"/>
  <c r="N4687" i="49"/>
  <c r="O4687" i="49" s="1"/>
  <c r="N4680" i="49"/>
  <c r="O4680" i="49" s="1"/>
  <c r="N4894" i="49"/>
  <c r="O4894" i="49" s="1"/>
  <c r="N4882" i="49"/>
  <c r="O4882" i="49" s="1"/>
  <c r="N4778" i="49"/>
  <c r="O4778" i="49" s="1"/>
  <c r="N4856" i="49"/>
  <c r="O4856" i="49" s="1"/>
  <c r="N4873" i="49"/>
  <c r="O4873" i="49" s="1"/>
  <c r="N4871" i="49"/>
  <c r="O4871" i="49" s="1"/>
  <c r="N4737" i="49"/>
  <c r="O4737" i="49" s="1"/>
  <c r="N4702" i="49"/>
  <c r="O4702" i="49" s="1"/>
  <c r="N4814" i="49"/>
  <c r="O4814" i="49" s="1"/>
  <c r="N4840" i="49"/>
  <c r="O4840" i="49" s="1"/>
  <c r="N4811" i="49"/>
  <c r="O4811" i="49" s="1"/>
  <c r="N4655" i="49"/>
  <c r="O4655" i="49" s="1"/>
  <c r="N4817" i="49"/>
  <c r="O4817" i="49" s="1"/>
  <c r="N4689" i="49"/>
  <c r="O4689" i="49" s="1"/>
  <c r="N4815" i="49"/>
  <c r="O4815" i="49" s="1"/>
  <c r="N4741" i="49"/>
  <c r="O4741" i="49" s="1"/>
  <c r="N4826" i="49"/>
  <c r="O4826" i="49" s="1"/>
  <c r="N4699" i="49"/>
  <c r="O4699" i="49" s="1"/>
  <c r="N4848" i="49"/>
  <c r="O4848" i="49" s="1"/>
  <c r="N4671" i="49"/>
  <c r="O4671" i="49" s="1"/>
  <c r="N4792" i="49"/>
  <c r="O4792" i="49" s="1"/>
  <c r="N4868" i="49"/>
  <c r="O4868" i="49" s="1"/>
  <c r="N4787" i="49"/>
  <c r="O4787" i="49" s="1"/>
  <c r="N4843" i="49"/>
  <c r="O4843" i="49" s="1"/>
  <c r="N4704" i="49"/>
  <c r="O4704" i="49" s="1"/>
  <c r="N4759" i="49"/>
  <c r="O4759" i="49" s="1"/>
  <c r="N4860" i="49"/>
  <c r="O4860" i="49" s="1"/>
  <c r="N4732" i="49"/>
  <c r="O4732" i="49" s="1"/>
  <c r="N4886" i="49"/>
  <c r="O4886" i="49" s="1"/>
  <c r="N4727" i="49"/>
  <c r="O4727" i="49" s="1"/>
  <c r="N4725" i="49"/>
  <c r="O4725" i="49" s="1"/>
  <c r="N4640" i="49"/>
  <c r="O4640" i="49" s="1"/>
  <c r="N4708" i="49"/>
  <c r="O4708" i="49" s="1"/>
  <c r="N4631" i="49"/>
  <c r="O4631" i="49" s="1"/>
  <c r="N4744" i="49"/>
  <c r="O4744" i="49" s="1"/>
  <c r="N4665" i="49"/>
  <c r="O4665" i="49" s="1"/>
  <c r="N4797" i="49"/>
  <c r="O4797" i="49" s="1"/>
  <c r="N4649" i="49"/>
  <c r="O4649" i="49" s="1"/>
  <c r="N4808" i="49"/>
  <c r="O4808" i="49" s="1"/>
  <c r="N4656" i="49"/>
  <c r="O4656" i="49" s="1"/>
  <c r="N4756" i="49"/>
  <c r="O4756" i="49" s="1"/>
  <c r="N4664" i="49"/>
  <c r="O4664" i="49" s="1"/>
  <c r="N4819" i="49"/>
  <c r="O4819" i="49" s="1"/>
  <c r="N4836" i="49"/>
  <c r="O4836" i="49" s="1"/>
  <c r="N4893" i="49"/>
  <c r="O4893" i="49" s="1"/>
  <c r="N4630" i="49"/>
  <c r="O4630" i="49" s="1"/>
  <c r="N4673" i="49"/>
  <c r="O4673" i="49" s="1"/>
  <c r="N4909" i="49"/>
  <c r="O4909" i="49" s="1"/>
  <c r="N4644" i="49"/>
  <c r="O4644" i="49" s="1"/>
  <c r="N4747" i="49"/>
  <c r="O4747" i="49" s="1"/>
  <c r="N4791" i="49"/>
  <c r="O4791" i="49" s="1"/>
  <c r="N4716" i="49"/>
  <c r="O4716" i="49" s="1"/>
  <c r="N4647" i="49"/>
  <c r="O4647" i="49" s="1"/>
  <c r="N4720" i="49"/>
  <c r="O4720" i="49" s="1"/>
  <c r="N4890" i="49"/>
  <c r="O4890" i="49" s="1"/>
  <c r="N4862" i="49"/>
  <c r="O4862" i="49" s="1"/>
  <c r="N4825" i="49"/>
  <c r="O4825" i="49" s="1"/>
  <c r="N4878" i="49"/>
  <c r="O4878" i="49" s="1"/>
  <c r="N4865" i="49"/>
  <c r="O4865" i="49" s="1"/>
  <c r="N4683" i="49"/>
  <c r="O4683" i="49" s="1"/>
  <c r="N4752" i="49"/>
  <c r="O4752" i="49" s="1"/>
  <c r="N4646" i="49"/>
  <c r="O4646" i="49" s="1"/>
  <c r="N4653" i="49"/>
  <c r="O4653" i="49" s="1"/>
  <c r="N4691" i="49"/>
  <c r="O4691" i="49" s="1"/>
  <c r="N4835" i="49"/>
  <c r="O4835" i="49" s="1"/>
  <c r="N4812" i="49"/>
  <c r="O4812" i="49" s="1"/>
  <c r="N4772" i="49"/>
  <c r="O4772" i="49" s="1"/>
  <c r="N4838" i="49"/>
  <c r="O4838" i="49" s="1"/>
  <c r="N4905" i="49"/>
  <c r="O4905" i="49" s="1"/>
  <c r="N4807" i="49"/>
  <c r="O4807" i="49" s="1"/>
  <c r="N4758" i="49"/>
  <c r="O4758" i="49" s="1"/>
  <c r="N4911" i="49"/>
  <c r="O4911" i="49" s="1"/>
  <c r="N4749" i="49"/>
  <c r="O4749" i="49" s="1"/>
  <c r="N4855" i="49"/>
  <c r="O4855" i="49" s="1"/>
  <c r="N4736" i="49"/>
  <c r="O4736" i="49" s="1"/>
  <c r="N4765" i="49"/>
  <c r="O4765" i="49" s="1"/>
  <c r="N4828" i="49"/>
  <c r="O4828" i="49" s="1"/>
  <c r="N4799" i="49"/>
  <c r="O4799" i="49" s="1"/>
  <c r="N4721" i="49"/>
  <c r="O4721" i="49" s="1"/>
  <c r="N4684" i="49"/>
  <c r="O4684" i="49" s="1"/>
  <c r="N4774" i="49"/>
  <c r="O4774" i="49" s="1"/>
  <c r="N4652" i="49"/>
  <c r="O4652" i="49" s="1"/>
  <c r="N4681" i="49"/>
  <c r="O4681" i="49" s="1"/>
  <c r="N4776" i="49"/>
  <c r="O4776" i="49" s="1"/>
  <c r="N4641" i="49"/>
  <c r="O4641" i="49" s="1"/>
  <c r="N4685" i="49"/>
  <c r="O4685" i="49" s="1"/>
  <c r="N4788" i="49"/>
  <c r="O4788" i="49" s="1"/>
  <c r="N4884" i="49"/>
  <c r="O4884" i="49" s="1"/>
  <c r="N4786" i="49"/>
  <c r="O4786" i="49" s="1"/>
  <c r="N4715" i="49"/>
  <c r="O4715" i="49" s="1"/>
  <c r="N4780" i="49"/>
  <c r="O4780" i="49" s="1"/>
  <c r="N4710" i="49"/>
  <c r="O4710" i="49" s="1"/>
  <c r="N4676" i="49"/>
  <c r="O4676" i="49" s="1"/>
  <c r="N4801" i="49"/>
  <c r="O4801" i="49" s="1"/>
  <c r="N4870" i="49"/>
  <c r="O4870" i="49" s="1"/>
  <c r="N4916" i="49"/>
  <c r="O4916" i="49" s="1"/>
  <c r="N4818" i="49"/>
  <c r="O4818" i="49" s="1"/>
  <c r="P75" i="23"/>
  <c r="N66" i="23"/>
  <c r="W60" i="23"/>
  <c r="K60" i="23"/>
  <c r="Q47" i="23"/>
  <c r="E47" i="23"/>
  <c r="T43" i="23"/>
  <c r="H43" i="23"/>
  <c r="N75" i="23"/>
  <c r="X66" i="23"/>
  <c r="L66" i="23"/>
  <c r="U60" i="23"/>
  <c r="I60" i="23"/>
  <c r="O47" i="23"/>
  <c r="R43" i="23"/>
  <c r="F43" i="23"/>
  <c r="T75" i="23"/>
  <c r="F75" i="23"/>
  <c r="Y66" i="23"/>
  <c r="J66" i="23"/>
  <c r="O60" i="23"/>
  <c r="Y47" i="23"/>
  <c r="K47" i="23"/>
  <c r="P43" i="23"/>
  <c r="Q75" i="23"/>
  <c r="U66" i="23"/>
  <c r="G66" i="23"/>
  <c r="L60" i="23"/>
  <c r="V47" i="23"/>
  <c r="H47" i="23"/>
  <c r="M43" i="23"/>
  <c r="S75" i="23"/>
  <c r="V66" i="23"/>
  <c r="E66" i="23"/>
  <c r="X60" i="23"/>
  <c r="F60" i="23"/>
  <c r="L47" i="23"/>
  <c r="W43" i="23"/>
  <c r="R75" i="23"/>
  <c r="T66" i="23"/>
  <c r="V60" i="23"/>
  <c r="E60" i="23"/>
  <c r="J47" i="23"/>
  <c r="V43" i="23"/>
  <c r="O75" i="23"/>
  <c r="S66" i="23"/>
  <c r="T60" i="23"/>
  <c r="I47" i="23"/>
  <c r="U43" i="23"/>
  <c r="M75" i="23"/>
  <c r="R66" i="23"/>
  <c r="S60" i="23"/>
  <c r="X47" i="23"/>
  <c r="G47" i="23"/>
  <c r="S43" i="23"/>
  <c r="L75" i="23"/>
  <c r="Q66" i="23"/>
  <c r="R60" i="23"/>
  <c r="W47" i="23"/>
  <c r="F47" i="23"/>
  <c r="Q43" i="23"/>
  <c r="K75" i="23"/>
  <c r="P66" i="23"/>
  <c r="Q60" i="23"/>
  <c r="U47" i="23"/>
  <c r="O43" i="23"/>
  <c r="X75" i="23"/>
  <c r="T47" i="23"/>
  <c r="N43" i="23"/>
  <c r="W75" i="23"/>
  <c r="S47" i="23"/>
  <c r="L43" i="23"/>
  <c r="U75" i="23"/>
  <c r="P47" i="23"/>
  <c r="J43" i="23"/>
  <c r="I75" i="23"/>
  <c r="W66" i="23"/>
  <c r="Y60" i="23"/>
  <c r="M47" i="23"/>
  <c r="G43" i="23"/>
  <c r="E75" i="23"/>
  <c r="K66" i="23"/>
  <c r="M60" i="23"/>
  <c r="J60" i="23"/>
  <c r="R47" i="23"/>
  <c r="Y43" i="23"/>
  <c r="Y75" i="23"/>
  <c r="O66" i="23"/>
  <c r="H60" i="23"/>
  <c r="N47" i="23"/>
  <c r="X43" i="23"/>
  <c r="V75" i="23"/>
  <c r="M66" i="23"/>
  <c r="G60" i="23"/>
  <c r="K43" i="23"/>
  <c r="G75" i="23"/>
  <c r="F66" i="23"/>
  <c r="J75" i="23"/>
  <c r="N60" i="23"/>
  <c r="H75" i="23"/>
  <c r="H66" i="23"/>
  <c r="I43" i="23"/>
  <c r="I66" i="23"/>
  <c r="P60" i="23"/>
  <c r="N4634" i="49"/>
  <c r="O4634" i="49" s="1"/>
  <c r="J509" i="49"/>
  <c r="Q509" i="49" s="1"/>
  <c r="N306" i="49"/>
  <c r="O306" i="49" s="1"/>
  <c r="N4438" i="49"/>
  <c r="O4438" i="49" s="1"/>
  <c r="N4637" i="49"/>
  <c r="O4637" i="49" s="1"/>
  <c r="N4252" i="49"/>
  <c r="O4252" i="49" s="1"/>
  <c r="N4226" i="49"/>
  <c r="O4226" i="49" s="1"/>
  <c r="N4834" i="49"/>
  <c r="O4834" i="49" s="1"/>
  <c r="J488" i="49"/>
  <c r="Q488" i="49"/>
  <c r="F39" i="8"/>
  <c r="J316" i="49"/>
  <c r="Q316" i="49" s="1"/>
  <c r="J354" i="49"/>
  <c r="Q354" i="49" s="1"/>
  <c r="G35" i="8"/>
  <c r="I82" i="26"/>
  <c r="I80" i="26"/>
  <c r="I79" i="26"/>
  <c r="I85" i="26"/>
  <c r="P33" i="13"/>
  <c r="G21" i="6"/>
  <c r="O32" i="13"/>
  <c r="I32" i="13"/>
  <c r="G15" i="6"/>
  <c r="P27" i="13"/>
  <c r="C23" i="5"/>
  <c r="G82" i="23"/>
  <c r="G80" i="23"/>
  <c r="G85" i="23"/>
  <c r="G79" i="23"/>
  <c r="M106" i="13"/>
  <c r="F146" i="14"/>
  <c r="J436" i="49"/>
  <c r="Q436" i="49" s="1"/>
  <c r="N4488" i="49"/>
  <c r="O4488" i="49" s="1"/>
  <c r="N4401" i="49"/>
  <c r="O4401" i="49" s="1"/>
  <c r="N4356" i="49"/>
  <c r="O4356" i="49" s="1"/>
  <c r="N4363" i="49"/>
  <c r="O4363" i="49" s="1"/>
  <c r="N399" i="49"/>
  <c r="O399" i="49" s="1"/>
  <c r="N531" i="49"/>
  <c r="O531" i="49" s="1"/>
  <c r="J407" i="49"/>
  <c r="Q407" i="49" s="1"/>
  <c r="N382" i="49"/>
  <c r="O382" i="49" s="1"/>
  <c r="Q514" i="49"/>
  <c r="J514" i="49"/>
  <c r="N475" i="49"/>
  <c r="O475" i="49" s="1"/>
  <c r="J556" i="49"/>
  <c r="Q556" i="49" s="1"/>
  <c r="J552" i="49"/>
  <c r="Q552" i="49" s="1"/>
  <c r="J439" i="49"/>
  <c r="Q439" i="49" s="1"/>
  <c r="N466" i="49"/>
  <c r="O466" i="49" s="1"/>
  <c r="N4383" i="49"/>
  <c r="O4383" i="49" s="1"/>
  <c r="N4574" i="49"/>
  <c r="O4574" i="49" s="1"/>
  <c r="N4322" i="49"/>
  <c r="O4322" i="49" s="1"/>
  <c r="J561" i="49"/>
  <c r="Q561" i="49" s="1"/>
  <c r="N4734" i="49"/>
  <c r="O4734" i="49" s="1"/>
  <c r="N4714" i="49"/>
  <c r="O4714" i="49" s="1"/>
  <c r="N4839" i="49"/>
  <c r="O4839" i="49" s="1"/>
  <c r="J497" i="49"/>
  <c r="Q497" i="49" s="1"/>
  <c r="Q367" i="49"/>
  <c r="J367" i="49"/>
  <c r="N493" i="49"/>
  <c r="O493" i="49" s="1"/>
  <c r="J304" i="49"/>
  <c r="Q304" i="49" s="1"/>
  <c r="N4298" i="49"/>
  <c r="O4298" i="49" s="1"/>
  <c r="N4209" i="49"/>
  <c r="O4209" i="49" s="1"/>
  <c r="N4156" i="49"/>
  <c r="O4156" i="49" s="1"/>
  <c r="D17" i="6"/>
  <c r="G111" i="14"/>
  <c r="I111" i="14"/>
  <c r="D111" i="14"/>
  <c r="G112" i="14"/>
  <c r="J140" i="13" s="1"/>
  <c r="E112" i="14"/>
  <c r="H140" i="13" s="1"/>
  <c r="G62" i="25" s="1"/>
  <c r="F112" i="14"/>
  <c r="I140" i="13" s="1"/>
  <c r="H62" i="25" s="1"/>
  <c r="E111" i="14"/>
  <c r="C111" i="14"/>
  <c r="H111" i="14"/>
  <c r="I112" i="14"/>
  <c r="L140" i="13" s="1"/>
  <c r="F111" i="14"/>
  <c r="J112" i="14"/>
  <c r="M140" i="13" s="1"/>
  <c r="C112" i="14"/>
  <c r="F140" i="13" s="1"/>
  <c r="E62" i="25" s="1"/>
  <c r="H112" i="14"/>
  <c r="K140" i="13" s="1"/>
  <c r="I15" i="3"/>
  <c r="D112" i="14"/>
  <c r="G140" i="13" s="1"/>
  <c r="F62" i="25" s="1"/>
  <c r="E106" i="14"/>
  <c r="G8" i="25"/>
  <c r="H23" i="25" s="1"/>
  <c r="C106" i="14"/>
  <c r="J106" i="14"/>
  <c r="J111" i="14"/>
  <c r="H106" i="14"/>
  <c r="C37" i="14"/>
  <c r="Q22" i="13"/>
  <c r="R22" i="13" s="1"/>
  <c r="O22" i="13"/>
  <c r="I22" i="13"/>
  <c r="H36" i="14" s="1"/>
  <c r="N4724" i="49"/>
  <c r="O4724" i="49" s="1"/>
  <c r="N4568" i="49"/>
  <c r="O4568" i="49" s="1"/>
  <c r="J473" i="49"/>
  <c r="Q473" i="49" s="1"/>
  <c r="E10" i="5"/>
  <c r="G8" i="12"/>
  <c r="H8" i="12" s="1"/>
  <c r="P19" i="13"/>
  <c r="G7" i="6"/>
  <c r="N520" i="49"/>
  <c r="O520" i="49" s="1"/>
  <c r="N4366" i="49"/>
  <c r="O4366" i="49" s="1"/>
  <c r="N408" i="49"/>
  <c r="O408" i="49" s="1"/>
  <c r="J527" i="49"/>
  <c r="Q527" i="49"/>
  <c r="J456" i="49"/>
  <c r="Q456" i="49" s="1"/>
  <c r="N407" i="49"/>
  <c r="O407" i="49" s="1"/>
  <c r="E4" i="30"/>
  <c r="E5" i="52"/>
  <c r="D4982" i="49"/>
  <c r="D4969" i="49"/>
  <c r="D4976" i="49"/>
  <c r="D4985" i="49"/>
  <c r="D4983" i="49"/>
  <c r="D4978" i="49"/>
  <c r="D4971" i="49"/>
  <c r="D4979" i="49"/>
  <c r="D4973" i="49"/>
  <c r="D4970" i="49"/>
  <c r="D4694" i="49"/>
  <c r="D4685" i="49"/>
  <c r="D4974" i="49"/>
  <c r="D4691" i="49"/>
  <c r="D4688" i="49"/>
  <c r="D4977" i="49"/>
  <c r="D4696" i="49"/>
  <c r="D4682" i="49"/>
  <c r="D4981" i="49"/>
  <c r="D4406" i="49"/>
  <c r="D4400" i="49"/>
  <c r="D4394" i="49"/>
  <c r="D4693" i="49"/>
  <c r="D4684" i="49"/>
  <c r="D4407" i="49"/>
  <c r="D4401" i="49"/>
  <c r="D4395" i="49"/>
  <c r="D4695" i="49"/>
  <c r="D4690" i="49"/>
  <c r="D4404" i="49"/>
  <c r="D4402" i="49"/>
  <c r="D4113" i="49"/>
  <c r="D4107" i="49"/>
  <c r="D4980" i="49"/>
  <c r="D4972" i="49"/>
  <c r="D4681" i="49"/>
  <c r="D4393" i="49"/>
  <c r="D4391" i="49"/>
  <c r="D4114" i="49"/>
  <c r="D4108" i="49"/>
  <c r="D4102" i="49"/>
  <c r="D3826" i="49"/>
  <c r="D3820" i="49"/>
  <c r="D3814" i="49"/>
  <c r="D4687" i="49"/>
  <c r="D4692" i="49"/>
  <c r="D4112" i="49"/>
  <c r="D4110" i="49"/>
  <c r="D4398" i="49"/>
  <c r="D4117" i="49"/>
  <c r="D4115" i="49"/>
  <c r="D3824" i="49"/>
  <c r="D3821" i="49"/>
  <c r="D3536" i="49"/>
  <c r="D3530" i="49"/>
  <c r="D3524" i="49"/>
  <c r="D4975" i="49"/>
  <c r="D4111" i="49"/>
  <c r="D4396" i="49"/>
  <c r="D4392" i="49"/>
  <c r="D4106" i="49"/>
  <c r="D4118" i="49"/>
  <c r="D4683" i="49"/>
  <c r="D4403" i="49"/>
  <c r="D4103" i="49"/>
  <c r="D4116" i="49"/>
  <c r="D3825" i="49"/>
  <c r="D3533" i="49"/>
  <c r="D3823" i="49"/>
  <c r="D3529" i="49"/>
  <c r="D3525" i="49"/>
  <c r="D4689" i="49"/>
  <c r="D3819" i="49"/>
  <c r="D3538" i="49"/>
  <c r="D3817" i="49"/>
  <c r="D3815" i="49"/>
  <c r="D3534" i="49"/>
  <c r="D3250" i="49"/>
  <c r="D3244" i="49"/>
  <c r="D3238" i="49"/>
  <c r="D3828" i="49"/>
  <c r="D3526" i="49"/>
  <c r="D3827" i="49"/>
  <c r="D3531" i="49"/>
  <c r="D4984" i="49"/>
  <c r="D4686" i="49"/>
  <c r="D4104" i="49"/>
  <c r="D3540" i="49"/>
  <c r="D3247" i="49"/>
  <c r="D3237" i="49"/>
  <c r="D4397" i="49"/>
  <c r="D4109" i="49"/>
  <c r="D3535" i="49"/>
  <c r="D3251" i="49"/>
  <c r="D3241" i="49"/>
  <c r="D2962" i="49"/>
  <c r="D2956" i="49"/>
  <c r="D2950" i="49"/>
  <c r="D4680" i="49"/>
  <c r="D3816" i="49"/>
  <c r="D3813" i="49"/>
  <c r="D3822" i="49"/>
  <c r="D3539" i="49"/>
  <c r="D4399" i="49"/>
  <c r="D3532" i="49"/>
  <c r="D3818" i="49"/>
  <c r="D3239" i="49"/>
  <c r="D3527" i="49"/>
  <c r="D2960" i="49"/>
  <c r="D2957" i="49"/>
  <c r="D2947" i="49"/>
  <c r="D2670" i="49"/>
  <c r="D2664" i="49"/>
  <c r="D2658" i="49"/>
  <c r="D2954" i="49"/>
  <c r="D2951" i="49"/>
  <c r="D2671" i="49"/>
  <c r="D2665" i="49"/>
  <c r="D2659" i="49"/>
  <c r="D3243" i="49"/>
  <c r="D4105" i="49"/>
  <c r="D3240" i="49"/>
  <c r="D3236" i="49"/>
  <c r="D2961" i="49"/>
  <c r="D2949" i="49"/>
  <c r="D2667" i="49"/>
  <c r="D2657" i="49"/>
  <c r="D2383" i="49"/>
  <c r="D2377" i="49"/>
  <c r="D2371" i="49"/>
  <c r="D3528" i="49"/>
  <c r="D2959" i="49"/>
  <c r="D2952" i="49"/>
  <c r="D2661" i="49"/>
  <c r="D2384" i="49"/>
  <c r="D2378" i="49"/>
  <c r="D2372" i="49"/>
  <c r="D2090" i="49"/>
  <c r="D2084" i="49"/>
  <c r="D1802" i="49"/>
  <c r="D1796" i="49"/>
  <c r="D1790" i="49"/>
  <c r="D3829" i="49"/>
  <c r="D3235" i="49"/>
  <c r="D2668" i="49"/>
  <c r="D2379" i="49"/>
  <c r="D2373" i="49"/>
  <c r="D2091" i="49"/>
  <c r="D2085" i="49"/>
  <c r="D2079" i="49"/>
  <c r="D1803" i="49"/>
  <c r="D1797" i="49"/>
  <c r="D3246" i="49"/>
  <c r="D3242" i="49"/>
  <c r="D2375" i="49"/>
  <c r="D2370" i="49"/>
  <c r="D2094" i="49"/>
  <c r="D2081" i="49"/>
  <c r="D1801" i="49"/>
  <c r="D1798" i="49"/>
  <c r="D4405" i="49"/>
  <c r="D2958" i="49"/>
  <c r="D2955" i="49"/>
  <c r="D2673" i="49"/>
  <c r="D2382" i="49"/>
  <c r="D2380" i="49"/>
  <c r="D2368" i="49"/>
  <c r="D2088" i="49"/>
  <c r="D1805" i="49"/>
  <c r="D1795" i="49"/>
  <c r="D1791" i="49"/>
  <c r="D3249" i="49"/>
  <c r="D2946" i="49"/>
  <c r="D2663" i="49"/>
  <c r="D2095" i="49"/>
  <c r="D2092" i="49"/>
  <c r="D2082" i="49"/>
  <c r="D1799" i="49"/>
  <c r="D2672" i="49"/>
  <c r="D2660" i="49"/>
  <c r="D2666" i="49"/>
  <c r="D1794" i="49"/>
  <c r="D1792" i="49"/>
  <c r="D3248" i="49"/>
  <c r="D2669" i="49"/>
  <c r="D2376" i="49"/>
  <c r="D2089" i="49"/>
  <c r="D1793" i="49"/>
  <c r="D2086" i="49"/>
  <c r="D3245" i="49"/>
  <c r="D2953" i="49"/>
  <c r="D2662" i="49"/>
  <c r="D1800" i="49"/>
  <c r="D1514" i="49"/>
  <c r="D1510" i="49"/>
  <c r="D1226" i="49"/>
  <c r="D1222" i="49"/>
  <c r="D2381" i="49"/>
  <c r="D1506" i="49"/>
  <c r="D1218" i="49"/>
  <c r="D1515" i="49"/>
  <c r="D1502" i="49"/>
  <c r="D1227" i="49"/>
  <c r="D1214" i="49"/>
  <c r="D2080" i="49"/>
  <c r="D1511" i="49"/>
  <c r="D1223" i="49"/>
  <c r="D934" i="49"/>
  <c r="D928" i="49"/>
  <c r="D646" i="49"/>
  <c r="D640" i="49"/>
  <c r="D634" i="49"/>
  <c r="D2083" i="49"/>
  <c r="D1804" i="49"/>
  <c r="D1516" i="49"/>
  <c r="D2093" i="49"/>
  <c r="D1512" i="49"/>
  <c r="D1503" i="49"/>
  <c r="D2374" i="49"/>
  <c r="D2369" i="49"/>
  <c r="D1517" i="49"/>
  <c r="D1507" i="49"/>
  <c r="D937" i="49"/>
  <c r="D927" i="49"/>
  <c r="D924" i="49"/>
  <c r="D1219" i="49"/>
  <c r="D1213" i="49"/>
  <c r="D1217" i="49"/>
  <c r="D931" i="49"/>
  <c r="D1509" i="49"/>
  <c r="D1504" i="49"/>
  <c r="D1221" i="49"/>
  <c r="D649" i="49"/>
  <c r="D639" i="49"/>
  <c r="D636" i="49"/>
  <c r="D1225" i="49"/>
  <c r="D1212" i="49"/>
  <c r="D2087" i="49"/>
  <c r="D1513" i="49"/>
  <c r="D1508" i="49"/>
  <c r="D1220" i="49"/>
  <c r="D929" i="49"/>
  <c r="D648" i="49"/>
  <c r="D641" i="49"/>
  <c r="D360" i="49"/>
  <c r="D354" i="49"/>
  <c r="D348" i="49"/>
  <c r="D935" i="49"/>
  <c r="D361" i="49"/>
  <c r="D355" i="49"/>
  <c r="D349" i="49"/>
  <c r="D1806" i="49"/>
  <c r="D1216" i="49"/>
  <c r="D1228" i="49"/>
  <c r="D1224" i="49"/>
  <c r="D637" i="49"/>
  <c r="D71" i="49"/>
  <c r="B71" i="50" s="1"/>
  <c r="D3537" i="49"/>
  <c r="D1215" i="49"/>
  <c r="D643" i="49"/>
  <c r="D66" i="49"/>
  <c r="B66" i="50" s="1"/>
  <c r="D61" i="49"/>
  <c r="B61" i="50" s="1"/>
  <c r="D2948" i="49"/>
  <c r="D1505" i="49"/>
  <c r="D938" i="49"/>
  <c r="D345" i="49"/>
  <c r="D56" i="49"/>
  <c r="B56" i="50" s="1"/>
  <c r="D923" i="49"/>
  <c r="D353" i="49"/>
  <c r="D72" i="49"/>
  <c r="B72" i="50" s="1"/>
  <c r="D67" i="49"/>
  <c r="B67" i="50" s="1"/>
  <c r="D925" i="49"/>
  <c r="D644" i="49"/>
  <c r="D635" i="49"/>
  <c r="D65" i="49"/>
  <c r="B65" i="50" s="1"/>
  <c r="D936" i="49"/>
  <c r="D70" i="49"/>
  <c r="B70" i="50" s="1"/>
  <c r="D60" i="49"/>
  <c r="B60" i="50" s="1"/>
  <c r="D58" i="49"/>
  <c r="B58" i="50" s="1"/>
  <c r="D1501" i="49"/>
  <c r="D647" i="49"/>
  <c r="D356" i="49"/>
  <c r="D62" i="49"/>
  <c r="B62" i="50" s="1"/>
  <c r="D933" i="49"/>
  <c r="D351" i="49"/>
  <c r="D69" i="49"/>
  <c r="B69" i="50" s="1"/>
  <c r="D650" i="49"/>
  <c r="D347" i="49"/>
  <c r="D930" i="49"/>
  <c r="D357" i="49"/>
  <c r="D350" i="49"/>
  <c r="D645" i="49"/>
  <c r="D939" i="49"/>
  <c r="D926" i="49"/>
  <c r="D64" i="49"/>
  <c r="B64" i="50" s="1"/>
  <c r="D57" i="49"/>
  <c r="B57" i="50" s="1"/>
  <c r="D642" i="49"/>
  <c r="D346" i="49"/>
  <c r="H72" i="8"/>
  <c r="D638" i="49"/>
  <c r="D359" i="49"/>
  <c r="D358" i="49"/>
  <c r="D63" i="49"/>
  <c r="B63" i="50" s="1"/>
  <c r="D68" i="49"/>
  <c r="B68" i="50" s="1"/>
  <c r="D59" i="49"/>
  <c r="B59" i="50" s="1"/>
  <c r="I12" i="8"/>
  <c r="D352" i="49"/>
  <c r="D932" i="49"/>
  <c r="H47" i="8"/>
  <c r="H43" i="8"/>
  <c r="N4850" i="49"/>
  <c r="O4850" i="49" s="1"/>
  <c r="N564" i="49"/>
  <c r="O564" i="49" s="1"/>
  <c r="N395" i="49"/>
  <c r="O395" i="49" s="1"/>
  <c r="N4370" i="49"/>
  <c r="O4370" i="49" s="1"/>
  <c r="N4389" i="49"/>
  <c r="O4389" i="49" s="1"/>
  <c r="J334" i="49"/>
  <c r="Q334" i="49" s="1"/>
  <c r="R18" i="39"/>
  <c r="N4883" i="49"/>
  <c r="O4883" i="49" s="1"/>
  <c r="N4851" i="49"/>
  <c r="O4851" i="49" s="1"/>
  <c r="N332" i="49"/>
  <c r="O332" i="49" s="1"/>
  <c r="N4515" i="49"/>
  <c r="O4515" i="49" s="1"/>
  <c r="N4284" i="49"/>
  <c r="O4284" i="49" s="1"/>
  <c r="N4746" i="49"/>
  <c r="O4746" i="49" s="1"/>
  <c r="N561" i="49"/>
  <c r="O561" i="49" s="1"/>
  <c r="N4410" i="49"/>
  <c r="O4410" i="49" s="1"/>
  <c r="N4474" i="49"/>
  <c r="O4474" i="49" s="1"/>
  <c r="N4827" i="49"/>
  <c r="O4827" i="49" s="1"/>
  <c r="N501" i="49"/>
  <c r="O501" i="49" s="1"/>
  <c r="N405" i="49"/>
  <c r="O405" i="49" s="1"/>
  <c r="N4530" i="49"/>
  <c r="O4530" i="49" s="1"/>
  <c r="N4561" i="49"/>
  <c r="O4561" i="49" s="1"/>
  <c r="N4070" i="49"/>
  <c r="O4070" i="49" s="1"/>
  <c r="N4703" i="49"/>
  <c r="O4703" i="49" s="1"/>
  <c r="N4738" i="49"/>
  <c r="O4738" i="49" s="1"/>
  <c r="C18" i="5"/>
  <c r="N4910" i="49"/>
  <c r="O4910" i="49" s="1"/>
  <c r="N336" i="49"/>
  <c r="O336" i="49" s="1"/>
  <c r="N4575" i="49"/>
  <c r="O4575" i="49" s="1"/>
  <c r="N325" i="49"/>
  <c r="O325" i="49" s="1"/>
  <c r="N299" i="49"/>
  <c r="O299" i="49" s="1"/>
  <c r="N4858" i="49"/>
  <c r="O4858" i="49" s="1"/>
  <c r="J404" i="49"/>
  <c r="Q404" i="49" s="1"/>
  <c r="D22" i="6"/>
  <c r="I20" i="3"/>
  <c r="E2" i="30"/>
  <c r="H23" i="39"/>
  <c r="J156" i="14"/>
  <c r="G8" i="30"/>
  <c r="H156" i="14"/>
  <c r="G82" i="19"/>
  <c r="G79" i="19"/>
  <c r="G85" i="19"/>
  <c r="G80" i="19"/>
  <c r="C156" i="14"/>
  <c r="J35" i="30"/>
  <c r="J16" i="30"/>
  <c r="J44" i="30"/>
  <c r="J37" i="30"/>
  <c r="J32" i="30"/>
  <c r="J18" i="30"/>
  <c r="J15" i="30"/>
  <c r="J36" i="30"/>
  <c r="J31" i="30"/>
  <c r="J28" i="30"/>
  <c r="J14" i="30"/>
  <c r="J34" i="30"/>
  <c r="J27" i="30"/>
  <c r="J17" i="30"/>
  <c r="J29" i="30"/>
  <c r="J30" i="30"/>
  <c r="J72" i="30"/>
  <c r="J38" i="30"/>
  <c r="J33" i="30"/>
  <c r="K12" i="30"/>
  <c r="I28" i="20"/>
  <c r="I15" i="20"/>
  <c r="I30" i="20"/>
  <c r="I72" i="20"/>
  <c r="I32" i="20"/>
  <c r="I17" i="20"/>
  <c r="I34" i="20"/>
  <c r="I36" i="20"/>
  <c r="J12" i="20"/>
  <c r="I35" i="20"/>
  <c r="I29" i="20"/>
  <c r="I33" i="20"/>
  <c r="I38" i="20"/>
  <c r="I44" i="20"/>
  <c r="I14" i="20"/>
  <c r="I27" i="20"/>
  <c r="I31" i="20"/>
  <c r="I18" i="20"/>
  <c r="I37" i="20"/>
  <c r="I16" i="20"/>
  <c r="J564" i="49"/>
  <c r="Q564" i="49" s="1"/>
  <c r="J379" i="49"/>
  <c r="Q379" i="49" s="1"/>
  <c r="N4128" i="49"/>
  <c r="O4128" i="49" s="1"/>
  <c r="N4076" i="49"/>
  <c r="O4076" i="49" s="1"/>
  <c r="H14" i="3"/>
  <c r="C16" i="6"/>
  <c r="N4080" i="49"/>
  <c r="O4080" i="49" s="1"/>
  <c r="N4324" i="49"/>
  <c r="O4324" i="49" s="1"/>
  <c r="H18" i="31"/>
  <c r="H38" i="31"/>
  <c r="H33" i="31"/>
  <c r="H28" i="31"/>
  <c r="H16" i="31"/>
  <c r="H36" i="31"/>
  <c r="H31" i="31"/>
  <c r="H44" i="31"/>
  <c r="H27" i="31"/>
  <c r="H72" i="31"/>
  <c r="H29" i="31"/>
  <c r="H17" i="31"/>
  <c r="H37" i="31"/>
  <c r="H14" i="31"/>
  <c r="H34" i="31"/>
  <c r="H30" i="31"/>
  <c r="H35" i="31"/>
  <c r="I12" i="31"/>
  <c r="H15" i="31"/>
  <c r="H32" i="31"/>
  <c r="N4562" i="49"/>
  <c r="O4562" i="49" s="1"/>
  <c r="J359" i="49"/>
  <c r="Q359" i="49" s="1"/>
  <c r="N570" i="49"/>
  <c r="O570" i="49" s="1"/>
  <c r="J408" i="49"/>
  <c r="Q408" i="49" s="1"/>
  <c r="J531" i="49"/>
  <c r="Q531" i="49"/>
  <c r="J495" i="49"/>
  <c r="Q495" i="49" s="1"/>
  <c r="G156" i="14"/>
  <c r="G6" i="12"/>
  <c r="H6" i="12" s="1"/>
  <c r="E8" i="5"/>
  <c r="N4639" i="49"/>
  <c r="O4639" i="49" s="1"/>
  <c r="N4633" i="49"/>
  <c r="O4633" i="49" s="1"/>
  <c r="N4705" i="49"/>
  <c r="O4705" i="49" s="1"/>
  <c r="J395" i="49"/>
  <c r="Q395" i="49" s="1"/>
  <c r="J567" i="49"/>
  <c r="Q567" i="49" s="1"/>
  <c r="N375" i="49"/>
  <c r="O375" i="49" s="1"/>
  <c r="N4361" i="49"/>
  <c r="O4361" i="49" s="1"/>
  <c r="N4600" i="49"/>
  <c r="O4600" i="49" s="1"/>
  <c r="G10" i="12"/>
  <c r="H10" i="12" s="1"/>
  <c r="E12" i="5"/>
  <c r="J558" i="49"/>
  <c r="Q558" i="49" s="1"/>
  <c r="N535" i="49"/>
  <c r="O535" i="49" s="1"/>
  <c r="N510" i="49"/>
  <c r="O510" i="49" s="1"/>
  <c r="J373" i="49"/>
  <c r="Q373" i="49" s="1"/>
  <c r="N4342" i="49"/>
  <c r="O4342" i="49" s="1"/>
  <c r="N4311" i="49"/>
  <c r="O4311" i="49" s="1"/>
  <c r="N4880" i="49"/>
  <c r="O4880" i="49" s="1"/>
  <c r="N4755" i="49"/>
  <c r="O4755" i="49" s="1"/>
  <c r="Q24" i="13"/>
  <c r="I24" i="13"/>
  <c r="E56" i="14" s="1"/>
  <c r="O24" i="13"/>
  <c r="C57" i="14"/>
  <c r="R24" i="13"/>
  <c r="N489" i="49"/>
  <c r="O489" i="49" s="1"/>
  <c r="N295" i="49"/>
  <c r="O295" i="49" s="1"/>
  <c r="N4674" i="49"/>
  <c r="O4674" i="49" s="1"/>
  <c r="N541" i="49"/>
  <c r="O541" i="49" s="1"/>
  <c r="N4371" i="49"/>
  <c r="O4371" i="49" s="1"/>
  <c r="O26" i="13"/>
  <c r="C77" i="14"/>
  <c r="Q26" i="13"/>
  <c r="R26" i="13" s="1"/>
  <c r="I26" i="13"/>
  <c r="I76" i="14" s="1"/>
  <c r="E18" i="5"/>
  <c r="G16" i="12"/>
  <c r="H16" i="12" s="1"/>
  <c r="N4833" i="49"/>
  <c r="O4833" i="49" s="1"/>
  <c r="N555" i="49"/>
  <c r="O555" i="49" s="1"/>
  <c r="J421" i="49"/>
  <c r="Q421" i="49" s="1"/>
  <c r="N435" i="49"/>
  <c r="O435" i="49" s="1"/>
  <c r="N4415" i="49"/>
  <c r="O4415" i="49" s="1"/>
  <c r="N4432" i="49"/>
  <c r="O4432" i="49" s="1"/>
  <c r="Q412" i="49"/>
  <c r="J412" i="49"/>
  <c r="J466" i="49"/>
  <c r="Q466" i="49" s="1"/>
  <c r="J429" i="49"/>
  <c r="Q429" i="49" s="1"/>
  <c r="H44" i="28"/>
  <c r="H31" i="28"/>
  <c r="H33" i="28"/>
  <c r="H18" i="28"/>
  <c r="H37" i="28"/>
  <c r="H38" i="28"/>
  <c r="H27" i="28"/>
  <c r="H14" i="28"/>
  <c r="H19" i="28" s="1"/>
  <c r="I12" i="28"/>
  <c r="H36" i="28"/>
  <c r="H35" i="28"/>
  <c r="H34" i="28"/>
  <c r="H16" i="28"/>
  <c r="H32" i="28"/>
  <c r="H28" i="28"/>
  <c r="H17" i="28"/>
  <c r="H29" i="28"/>
  <c r="H15" i="28"/>
  <c r="H72" i="28"/>
  <c r="H30" i="28"/>
  <c r="C21" i="5"/>
  <c r="P21" i="13"/>
  <c r="G9" i="6"/>
  <c r="C16" i="5"/>
  <c r="G82" i="25"/>
  <c r="G79" i="25"/>
  <c r="G80" i="25"/>
  <c r="G85" i="25"/>
  <c r="J399" i="49"/>
  <c r="Q399" i="49" s="1"/>
  <c r="J313" i="49"/>
  <c r="Q313" i="49" s="1"/>
  <c r="J375" i="49"/>
  <c r="Q375" i="49"/>
  <c r="W75" i="22"/>
  <c r="K75" i="22"/>
  <c r="U66" i="22"/>
  <c r="I66" i="22"/>
  <c r="U75" i="22"/>
  <c r="I75" i="22"/>
  <c r="S66" i="22"/>
  <c r="G66" i="22"/>
  <c r="T75" i="22"/>
  <c r="F75" i="22"/>
  <c r="M66" i="22"/>
  <c r="O60" i="22"/>
  <c r="U47" i="22"/>
  <c r="I47" i="22"/>
  <c r="X43" i="22"/>
  <c r="L43" i="22"/>
  <c r="Q75" i="22"/>
  <c r="X66" i="22"/>
  <c r="J66" i="22"/>
  <c r="X60" i="22"/>
  <c r="L60" i="22"/>
  <c r="R47" i="22"/>
  <c r="F47" i="22"/>
  <c r="U43" i="22"/>
  <c r="I43" i="22"/>
  <c r="H75" i="22"/>
  <c r="L66" i="22"/>
  <c r="W60" i="22"/>
  <c r="I60" i="22"/>
  <c r="T47" i="22"/>
  <c r="E47" i="22"/>
  <c r="K43" i="22"/>
  <c r="Y75" i="22"/>
  <c r="G75" i="22"/>
  <c r="K66" i="22"/>
  <c r="V60" i="22"/>
  <c r="H60" i="22"/>
  <c r="S47" i="22"/>
  <c r="Y43" i="22"/>
  <c r="J43" i="22"/>
  <c r="X75" i="22"/>
  <c r="E75" i="22"/>
  <c r="H66" i="22"/>
  <c r="U60" i="22"/>
  <c r="G60" i="22"/>
  <c r="Q47" i="22"/>
  <c r="W43" i="22"/>
  <c r="H43" i="22"/>
  <c r="V75" i="22"/>
  <c r="Y66" i="22"/>
  <c r="F66" i="22"/>
  <c r="T60" i="22"/>
  <c r="F60" i="22"/>
  <c r="P47" i="22"/>
  <c r="V43" i="22"/>
  <c r="G43" i="22"/>
  <c r="S75" i="22"/>
  <c r="W66" i="22"/>
  <c r="E66" i="22"/>
  <c r="S60" i="22"/>
  <c r="E60" i="22"/>
  <c r="O47" i="22"/>
  <c r="T43" i="22"/>
  <c r="F43" i="22"/>
  <c r="R75" i="22"/>
  <c r="V66" i="22"/>
  <c r="R60" i="22"/>
  <c r="N47" i="22"/>
  <c r="S43" i="22"/>
  <c r="J75" i="22"/>
  <c r="N66" i="22"/>
  <c r="Y60" i="22"/>
  <c r="G47" i="22"/>
  <c r="M43" i="22"/>
  <c r="Q60" i="22"/>
  <c r="N60" i="22"/>
  <c r="Y47" i="22"/>
  <c r="K60" i="22"/>
  <c r="W47" i="22"/>
  <c r="O75" i="22"/>
  <c r="R66" i="22"/>
  <c r="L47" i="22"/>
  <c r="Q43" i="22"/>
  <c r="V47" i="22"/>
  <c r="J47" i="22"/>
  <c r="R43" i="22"/>
  <c r="H47" i="22"/>
  <c r="P43" i="22"/>
  <c r="T66" i="22"/>
  <c r="O43" i="22"/>
  <c r="N75" i="22"/>
  <c r="O66" i="22"/>
  <c r="J60" i="22"/>
  <c r="M75" i="22"/>
  <c r="X47" i="22"/>
  <c r="K47" i="22"/>
  <c r="P75" i="22"/>
  <c r="Q66" i="22"/>
  <c r="P60" i="22"/>
  <c r="N43" i="22"/>
  <c r="L75" i="22"/>
  <c r="P66" i="22"/>
  <c r="M60" i="22"/>
  <c r="M47" i="22"/>
  <c r="C68" i="14"/>
  <c r="C69" i="14" s="1"/>
  <c r="C70" i="14" s="1"/>
  <c r="J555" i="49"/>
  <c r="Q555" i="49" s="1"/>
  <c r="H37" i="23"/>
  <c r="H33" i="23"/>
  <c r="H29" i="23"/>
  <c r="H23" i="23"/>
  <c r="H15" i="23"/>
  <c r="H72" i="23"/>
  <c r="I12" i="23"/>
  <c r="H27" i="23"/>
  <c r="H18" i="23"/>
  <c r="H36" i="23"/>
  <c r="H31" i="23"/>
  <c r="H35" i="23"/>
  <c r="H30" i="23"/>
  <c r="H14" i="23"/>
  <c r="H34" i="23"/>
  <c r="H38" i="23"/>
  <c r="H28" i="23"/>
  <c r="H17" i="23"/>
  <c r="H16" i="23"/>
  <c r="H32" i="23"/>
  <c r="H44" i="23"/>
  <c r="O28" i="13"/>
  <c r="C97" i="14"/>
  <c r="Q28" i="13"/>
  <c r="R28" i="13" s="1"/>
  <c r="I28" i="13"/>
  <c r="J96" i="14" s="1"/>
  <c r="K41" i="14"/>
  <c r="L4" i="14"/>
  <c r="K31" i="14"/>
  <c r="K11" i="14"/>
  <c r="K72" i="14"/>
  <c r="N136" i="13" s="1"/>
  <c r="K32" i="14"/>
  <c r="N132" i="13" s="1"/>
  <c r="K112" i="14"/>
  <c r="N140" i="13" s="1"/>
  <c r="K26" i="14"/>
  <c r="K71" i="14"/>
  <c r="K92" i="14"/>
  <c r="N138" i="13" s="1"/>
  <c r="K91" i="14"/>
  <c r="K111" i="14"/>
  <c r="K12" i="14"/>
  <c r="N130" i="13" s="1"/>
  <c r="K51" i="14"/>
  <c r="K52" i="14"/>
  <c r="N134" i="13" s="1"/>
  <c r="K86" i="14"/>
  <c r="K156" i="14"/>
  <c r="K46" i="14"/>
  <c r="K106" i="14"/>
  <c r="I39" i="30"/>
  <c r="J570" i="49"/>
  <c r="Q570" i="49" s="1"/>
  <c r="Q457" i="49"/>
  <c r="J457" i="49"/>
  <c r="C8" i="5"/>
  <c r="N373" i="49"/>
  <c r="O373" i="49" s="1"/>
  <c r="C51" i="1"/>
  <c r="I51" i="1" s="1"/>
  <c r="W21" i="39"/>
  <c r="V21" i="39"/>
  <c r="F18" i="32"/>
  <c r="C23" i="4"/>
  <c r="J18" i="3"/>
  <c r="G18" i="32" s="1"/>
  <c r="G18" i="38" s="1"/>
  <c r="N4069" i="49"/>
  <c r="O4069" i="49" s="1"/>
  <c r="N4086" i="49"/>
  <c r="O4086" i="49" s="1"/>
  <c r="N4095" i="49"/>
  <c r="O4095" i="49" s="1"/>
  <c r="N4180" i="49"/>
  <c r="O4180" i="49" s="1"/>
  <c r="N4331" i="49"/>
  <c r="O4331" i="49" s="1"/>
  <c r="N4211" i="49"/>
  <c r="O4211" i="49" s="1"/>
  <c r="N4074" i="49"/>
  <c r="O4074" i="49" s="1"/>
  <c r="N4325" i="49"/>
  <c r="O4325" i="49" s="1"/>
  <c r="N4229" i="49"/>
  <c r="O4229" i="49" s="1"/>
  <c r="N4330" i="49"/>
  <c r="O4330" i="49" s="1"/>
  <c r="N4122" i="49"/>
  <c r="O4122" i="49" s="1"/>
  <c r="N4127" i="49"/>
  <c r="O4127" i="49" s="1"/>
  <c r="N4135" i="49"/>
  <c r="O4135" i="49" s="1"/>
  <c r="N4177" i="49"/>
  <c r="O4177" i="49" s="1"/>
  <c r="N4110" i="49"/>
  <c r="O4110" i="49" s="1"/>
  <c r="N4058" i="49"/>
  <c r="O4058" i="49" s="1"/>
  <c r="N4169" i="49"/>
  <c r="O4169" i="49" s="1"/>
  <c r="N4221" i="49"/>
  <c r="O4221" i="49" s="1"/>
  <c r="N4265" i="49"/>
  <c r="O4265" i="49" s="1"/>
  <c r="N4153" i="49"/>
  <c r="O4153" i="49" s="1"/>
  <c r="N4326" i="49"/>
  <c r="O4326" i="49" s="1"/>
  <c r="N4210" i="49"/>
  <c r="O4210" i="49" s="1"/>
  <c r="N4101" i="49"/>
  <c r="O4101" i="49" s="1"/>
  <c r="N4264" i="49"/>
  <c r="O4264" i="49" s="1"/>
  <c r="N4321" i="49"/>
  <c r="O4321" i="49" s="1"/>
  <c r="N4246" i="49"/>
  <c r="O4246" i="49" s="1"/>
  <c r="N4073" i="49"/>
  <c r="O4073" i="49" s="1"/>
  <c r="N4192" i="49"/>
  <c r="O4192" i="49" s="1"/>
  <c r="N4239" i="49"/>
  <c r="O4239" i="49" s="1"/>
  <c r="N4171" i="49"/>
  <c r="O4171" i="49" s="1"/>
  <c r="N4063" i="49"/>
  <c r="O4063" i="49" s="1"/>
  <c r="N4254" i="49"/>
  <c r="O4254" i="49" s="1"/>
  <c r="N4316" i="49"/>
  <c r="O4316" i="49" s="1"/>
  <c r="N4291" i="49"/>
  <c r="O4291" i="49" s="1"/>
  <c r="N4333" i="49"/>
  <c r="O4333" i="49" s="1"/>
  <c r="N4281" i="49"/>
  <c r="O4281" i="49" s="1"/>
  <c r="N4187" i="49"/>
  <c r="O4187" i="49" s="1"/>
  <c r="N4075" i="49"/>
  <c r="O4075" i="49" s="1"/>
  <c r="N4261" i="49"/>
  <c r="O4261" i="49" s="1"/>
  <c r="N4217" i="49"/>
  <c r="O4217" i="49" s="1"/>
  <c r="N4093" i="49"/>
  <c r="O4093" i="49" s="1"/>
  <c r="N4309" i="49"/>
  <c r="O4309" i="49" s="1"/>
  <c r="N4149" i="49"/>
  <c r="O4149" i="49" s="1"/>
  <c r="N4129" i="49"/>
  <c r="O4129" i="49" s="1"/>
  <c r="N4286" i="49"/>
  <c r="O4286" i="49" s="1"/>
  <c r="N4081" i="49"/>
  <c r="O4081" i="49" s="1"/>
  <c r="N4087" i="49"/>
  <c r="O4087" i="49" s="1"/>
  <c r="N4253" i="49"/>
  <c r="O4253" i="49" s="1"/>
  <c r="N4230" i="49"/>
  <c r="O4230" i="49" s="1"/>
  <c r="N4105" i="49"/>
  <c r="O4105" i="49" s="1"/>
  <c r="N4165" i="49"/>
  <c r="O4165" i="49" s="1"/>
  <c r="N4059" i="49"/>
  <c r="O4059" i="49" s="1"/>
  <c r="N4189" i="49"/>
  <c r="O4189" i="49" s="1"/>
  <c r="N4182" i="49"/>
  <c r="O4182" i="49" s="1"/>
  <c r="N4279" i="49"/>
  <c r="O4279" i="49" s="1"/>
  <c r="N4205" i="49"/>
  <c r="O4205" i="49" s="1"/>
  <c r="N4179" i="49"/>
  <c r="O4179" i="49" s="1"/>
  <c r="N4136" i="49"/>
  <c r="O4136" i="49" s="1"/>
  <c r="N4302" i="49"/>
  <c r="O4302" i="49" s="1"/>
  <c r="N4208" i="49"/>
  <c r="O4208" i="49" s="1"/>
  <c r="N4257" i="49"/>
  <c r="O4257" i="49" s="1"/>
  <c r="N4243" i="49"/>
  <c r="O4243" i="49" s="1"/>
  <c r="N4214" i="49"/>
  <c r="O4214" i="49" s="1"/>
  <c r="N4138" i="49"/>
  <c r="O4138" i="49" s="1"/>
  <c r="N4303" i="49"/>
  <c r="O4303" i="49" s="1"/>
  <c r="N4224" i="49"/>
  <c r="O4224" i="49" s="1"/>
  <c r="N4124" i="49"/>
  <c r="O4124" i="49" s="1"/>
  <c r="N4273" i="49"/>
  <c r="O4273" i="49" s="1"/>
  <c r="N4203" i="49"/>
  <c r="O4203" i="49" s="1"/>
  <c r="N4250" i="49"/>
  <c r="O4250" i="49" s="1"/>
  <c r="N4163" i="49"/>
  <c r="O4163" i="49" s="1"/>
  <c r="N4242" i="49"/>
  <c r="O4242" i="49" s="1"/>
  <c r="N4186" i="49"/>
  <c r="O4186" i="49" s="1"/>
  <c r="N4299" i="49"/>
  <c r="O4299" i="49" s="1"/>
  <c r="N4197" i="49"/>
  <c r="O4197" i="49" s="1"/>
  <c r="N4158" i="49"/>
  <c r="O4158" i="49" s="1"/>
  <c r="N4090" i="49"/>
  <c r="O4090" i="49" s="1"/>
  <c r="N4301" i="49"/>
  <c r="O4301" i="49" s="1"/>
  <c r="N4337" i="49"/>
  <c r="O4337" i="49" s="1"/>
  <c r="N4119" i="49"/>
  <c r="O4119" i="49" s="1"/>
  <c r="N4130" i="49"/>
  <c r="O4130" i="49" s="1"/>
  <c r="N4314" i="49"/>
  <c r="O4314" i="49" s="1"/>
  <c r="N4051" i="49"/>
  <c r="O4051" i="49" s="1"/>
  <c r="N4096" i="49"/>
  <c r="O4096" i="49" s="1"/>
  <c r="N4289" i="49"/>
  <c r="O4289" i="49" s="1"/>
  <c r="N4057" i="49"/>
  <c r="O4057" i="49" s="1"/>
  <c r="N4256" i="49"/>
  <c r="O4256" i="49" s="1"/>
  <c r="N4067" i="49"/>
  <c r="O4067" i="49" s="1"/>
  <c r="N4248" i="49"/>
  <c r="O4248" i="49" s="1"/>
  <c r="N4240" i="49"/>
  <c r="O4240" i="49" s="1"/>
  <c r="N4092" i="49"/>
  <c r="O4092" i="49" s="1"/>
  <c r="N4332" i="49"/>
  <c r="O4332" i="49" s="1"/>
  <c r="N4114" i="49"/>
  <c r="O4114" i="49" s="1"/>
  <c r="N4113" i="49"/>
  <c r="O4113" i="49" s="1"/>
  <c r="N4170" i="49"/>
  <c r="O4170" i="49" s="1"/>
  <c r="N4216" i="49"/>
  <c r="O4216" i="49" s="1"/>
  <c r="N4176" i="49"/>
  <c r="O4176" i="49" s="1"/>
  <c r="N4339" i="49"/>
  <c r="O4339" i="49" s="1"/>
  <c r="N4293" i="49"/>
  <c r="O4293" i="49" s="1"/>
  <c r="N4283" i="49"/>
  <c r="O4283" i="49" s="1"/>
  <c r="N4098" i="49"/>
  <c r="O4098" i="49" s="1"/>
  <c r="N4292" i="49"/>
  <c r="O4292" i="49" s="1"/>
  <c r="N4219" i="49"/>
  <c r="O4219" i="49" s="1"/>
  <c r="N4270" i="49"/>
  <c r="O4270" i="49" s="1"/>
  <c r="N4268" i="49"/>
  <c r="O4268" i="49" s="1"/>
  <c r="N4111" i="49"/>
  <c r="O4111" i="49" s="1"/>
  <c r="N4172" i="49"/>
  <c r="O4172" i="49" s="1"/>
  <c r="N4181" i="49"/>
  <c r="O4181" i="49" s="1"/>
  <c r="N4167" i="49"/>
  <c r="O4167" i="49" s="1"/>
  <c r="N4178" i="49"/>
  <c r="O4178" i="49" s="1"/>
  <c r="N4237" i="49"/>
  <c r="O4237" i="49" s="1"/>
  <c r="N4116" i="49"/>
  <c r="O4116" i="49" s="1"/>
  <c r="N4275" i="49"/>
  <c r="O4275" i="49" s="1"/>
  <c r="N4154" i="49"/>
  <c r="O4154" i="49" s="1"/>
  <c r="N4084" i="49"/>
  <c r="O4084" i="49" s="1"/>
  <c r="N4241" i="49"/>
  <c r="O4241" i="49" s="1"/>
  <c r="N4220" i="49"/>
  <c r="O4220" i="49" s="1"/>
  <c r="N4184" i="49"/>
  <c r="O4184" i="49" s="1"/>
  <c r="N4183" i="49"/>
  <c r="O4183" i="49" s="1"/>
  <c r="C11" i="52"/>
  <c r="H25" i="49"/>
  <c r="N4238" i="49"/>
  <c r="O4238" i="49" s="1"/>
  <c r="N4617" i="49"/>
  <c r="O4617" i="49" s="1"/>
  <c r="G19" i="12"/>
  <c r="H19" i="12" s="1"/>
  <c r="E21" i="5"/>
  <c r="N4290" i="49"/>
  <c r="O4290" i="49" s="1"/>
  <c r="G39" i="23"/>
  <c r="H72" i="19"/>
  <c r="I12" i="19"/>
  <c r="H35" i="19"/>
  <c r="H37" i="19"/>
  <c r="H30" i="19"/>
  <c r="H28" i="19"/>
  <c r="H15" i="19"/>
  <c r="H17" i="19"/>
  <c r="H34" i="19"/>
  <c r="H32" i="19"/>
  <c r="H33" i="19"/>
  <c r="H38" i="19"/>
  <c r="H44" i="19"/>
  <c r="H14" i="19"/>
  <c r="H27" i="19"/>
  <c r="H18" i="19"/>
  <c r="H36" i="19"/>
  <c r="H16" i="19"/>
  <c r="H29" i="19"/>
  <c r="H23" i="19"/>
  <c r="H31" i="19"/>
  <c r="N4255" i="49"/>
  <c r="O4255" i="49" s="1"/>
  <c r="C13" i="5"/>
  <c r="N4313" i="49"/>
  <c r="O4313" i="49" s="1"/>
  <c r="N4262" i="49"/>
  <c r="O4262" i="49" s="1"/>
  <c r="J460" i="49"/>
  <c r="Q460" i="49" s="1"/>
  <c r="N436" i="49"/>
  <c r="O436" i="49" s="1"/>
  <c r="N4071" i="49"/>
  <c r="O4071" i="49" s="1"/>
  <c r="N4193" i="49"/>
  <c r="O4193" i="49" s="1"/>
  <c r="N4188" i="49"/>
  <c r="O4188" i="49" s="1"/>
  <c r="G39" i="27"/>
  <c r="J504" i="49"/>
  <c r="Q504" i="49" s="1"/>
  <c r="C14" i="5"/>
  <c r="N4310" i="49"/>
  <c r="O4310" i="49" s="1"/>
  <c r="N4082" i="49"/>
  <c r="O4082" i="49" s="1"/>
  <c r="N4174" i="49"/>
  <c r="O4174" i="49" s="1"/>
  <c r="C147" i="14"/>
  <c r="N4282" i="49"/>
  <c r="O4282" i="49" s="1"/>
  <c r="N4202" i="49"/>
  <c r="O4202" i="49" s="1"/>
  <c r="N4213" i="49"/>
  <c r="O4213" i="49" s="1"/>
  <c r="N4085" i="49"/>
  <c r="O4085" i="49" s="1"/>
  <c r="N4215" i="49"/>
  <c r="O4215" i="49" s="1"/>
  <c r="N4318" i="49"/>
  <c r="O4318" i="49" s="1"/>
  <c r="H37" i="22"/>
  <c r="H35" i="22"/>
  <c r="H28" i="22"/>
  <c r="H15" i="22"/>
  <c r="H30" i="22"/>
  <c r="H32" i="22"/>
  <c r="H17" i="22"/>
  <c r="H34" i="22"/>
  <c r="H72" i="22"/>
  <c r="H27" i="22"/>
  <c r="H14" i="22"/>
  <c r="H31" i="22"/>
  <c r="H18" i="22"/>
  <c r="H33" i="22"/>
  <c r="H16" i="22"/>
  <c r="H38" i="22"/>
  <c r="I12" i="22"/>
  <c r="H44" i="22"/>
  <c r="H36" i="22"/>
  <c r="H29" i="22"/>
  <c r="G19" i="27"/>
  <c r="N4829" i="49"/>
  <c r="O4829" i="49" s="1"/>
  <c r="N4832" i="49"/>
  <c r="O4832" i="49" s="1"/>
  <c r="G39" i="31"/>
  <c r="G19" i="31"/>
  <c r="J418" i="49"/>
  <c r="Q418" i="49" s="1"/>
  <c r="N416" i="49"/>
  <c r="O416" i="49" s="1"/>
  <c r="N396" i="49"/>
  <c r="O396" i="49" s="1"/>
  <c r="J431" i="49"/>
  <c r="Q431" i="49" s="1"/>
  <c r="N4675" i="49"/>
  <c r="O4675" i="49" s="1"/>
  <c r="N383" i="49"/>
  <c r="O383" i="49" s="1"/>
  <c r="N456" i="49"/>
  <c r="O456" i="49" s="1"/>
  <c r="C9" i="5"/>
  <c r="G38" i="1"/>
  <c r="H38" i="1" s="1"/>
  <c r="L38" i="1" s="1"/>
  <c r="N4745" i="49"/>
  <c r="O4745" i="49" s="1"/>
  <c r="N4861" i="49"/>
  <c r="O4861" i="49" s="1"/>
  <c r="N307" i="49"/>
  <c r="O307" i="49" s="1"/>
  <c r="Q448" i="49"/>
  <c r="J448" i="49"/>
  <c r="N580" i="49"/>
  <c r="O580" i="49" s="1"/>
  <c r="J378" i="49"/>
  <c r="Q378" i="49" s="1"/>
  <c r="N4896" i="49"/>
  <c r="O4896" i="49" s="1"/>
  <c r="N4899" i="49"/>
  <c r="O4899" i="49" s="1"/>
  <c r="N4629" i="49"/>
  <c r="O4629" i="49" s="1"/>
  <c r="J535" i="49"/>
  <c r="Q535" i="49" s="1"/>
  <c r="J332" i="49"/>
  <c r="Q332" i="49" s="1"/>
  <c r="N547" i="49"/>
  <c r="O547" i="49" s="1"/>
  <c r="N4343" i="49"/>
  <c r="O4343" i="49" s="1"/>
  <c r="N4199" i="49"/>
  <c r="O4199" i="49" s="1"/>
  <c r="N4234" i="49"/>
  <c r="O4234" i="49" s="1"/>
  <c r="N4123" i="49"/>
  <c r="O4123" i="49" s="1"/>
  <c r="N4133" i="49"/>
  <c r="O4133" i="49" s="1"/>
  <c r="N4654" i="49"/>
  <c r="O4654" i="49" s="1"/>
  <c r="N4773" i="49"/>
  <c r="O4773" i="49" s="1"/>
  <c r="J310" i="49"/>
  <c r="Q310" i="49" s="1"/>
  <c r="N4795" i="49"/>
  <c r="O4795" i="49" s="1"/>
  <c r="N4377" i="49"/>
  <c r="O4377" i="49" s="1"/>
  <c r="N4528" i="49"/>
  <c r="O4528" i="49" s="1"/>
  <c r="J493" i="49"/>
  <c r="Q493" i="49" s="1"/>
  <c r="N4227" i="49"/>
  <c r="O4227" i="49" s="1"/>
  <c r="Y75" i="16"/>
  <c r="M75" i="16"/>
  <c r="W66" i="16"/>
  <c r="K66" i="16"/>
  <c r="T60" i="16"/>
  <c r="H60" i="16"/>
  <c r="N47" i="16"/>
  <c r="Q43" i="16"/>
  <c r="X75" i="16"/>
  <c r="L75" i="16"/>
  <c r="V66" i="16"/>
  <c r="J66" i="16"/>
  <c r="S60" i="16"/>
  <c r="G60" i="16"/>
  <c r="Y47" i="16"/>
  <c r="M47" i="16"/>
  <c r="P43" i="16"/>
  <c r="W75" i="16"/>
  <c r="K75" i="16"/>
  <c r="U66" i="16"/>
  <c r="I66" i="16"/>
  <c r="R60" i="16"/>
  <c r="F60" i="16"/>
  <c r="X47" i="16"/>
  <c r="L47" i="16"/>
  <c r="O43" i="16"/>
  <c r="V75" i="16"/>
  <c r="J75" i="16"/>
  <c r="T66" i="16"/>
  <c r="H66" i="16"/>
  <c r="Q60" i="16"/>
  <c r="E60" i="16"/>
  <c r="W47" i="16"/>
  <c r="K47" i="16"/>
  <c r="N43" i="16"/>
  <c r="U75" i="16"/>
  <c r="I75" i="16"/>
  <c r="S66" i="16"/>
  <c r="G66" i="16"/>
  <c r="P60" i="16"/>
  <c r="V47" i="16"/>
  <c r="J47" i="16"/>
  <c r="Y43" i="16"/>
  <c r="M43" i="16"/>
  <c r="T75" i="16"/>
  <c r="H75" i="16"/>
  <c r="R66" i="16"/>
  <c r="F66" i="16"/>
  <c r="O60" i="16"/>
  <c r="U47" i="16"/>
  <c r="I47" i="16"/>
  <c r="X43" i="16"/>
  <c r="L43" i="16"/>
  <c r="Q75" i="16"/>
  <c r="M60" i="16"/>
  <c r="S47" i="16"/>
  <c r="J43" i="16"/>
  <c r="P75" i="16"/>
  <c r="L60" i="16"/>
  <c r="R47" i="16"/>
  <c r="I43" i="16"/>
  <c r="N75" i="16"/>
  <c r="Y66" i="16"/>
  <c r="J60" i="16"/>
  <c r="P47" i="16"/>
  <c r="G43" i="16"/>
  <c r="F75" i="16"/>
  <c r="Q66" i="16"/>
  <c r="H47" i="16"/>
  <c r="W43" i="16"/>
  <c r="N66" i="16"/>
  <c r="W60" i="16"/>
  <c r="E47" i="16"/>
  <c r="T43" i="16"/>
  <c r="E75" i="16"/>
  <c r="N60" i="16"/>
  <c r="Q47" i="16"/>
  <c r="X66" i="16"/>
  <c r="F47" i="16"/>
  <c r="P66" i="16"/>
  <c r="V43" i="16"/>
  <c r="O66" i="16"/>
  <c r="U43" i="16"/>
  <c r="R75" i="16"/>
  <c r="X60" i="16"/>
  <c r="H43" i="16"/>
  <c r="T47" i="16"/>
  <c r="K43" i="16"/>
  <c r="G75" i="16"/>
  <c r="K60" i="16"/>
  <c r="M66" i="16"/>
  <c r="S43" i="16"/>
  <c r="E66" i="16"/>
  <c r="R43" i="16"/>
  <c r="Y60" i="16"/>
  <c r="O47" i="16"/>
  <c r="F43" i="16"/>
  <c r="S75" i="16"/>
  <c r="V60" i="16"/>
  <c r="G47" i="16"/>
  <c r="O75" i="16"/>
  <c r="U60" i="16"/>
  <c r="L66" i="16"/>
  <c r="I60" i="16"/>
  <c r="C108" i="14"/>
  <c r="N4857" i="49"/>
  <c r="O4857" i="49" s="1"/>
  <c r="J76" i="14"/>
  <c r="L76" i="14"/>
  <c r="K76" i="14"/>
  <c r="F106" i="14"/>
  <c r="N4632" i="49"/>
  <c r="O4632" i="49" s="1"/>
  <c r="N4533" i="49"/>
  <c r="O4533" i="49" s="1"/>
  <c r="J362" i="49"/>
  <c r="Q362" i="49" s="1"/>
  <c r="H18" i="3"/>
  <c r="C20" i="6"/>
  <c r="I85" i="30"/>
  <c r="I82" i="30"/>
  <c r="I80" i="30"/>
  <c r="I79" i="30"/>
  <c r="I39" i="26"/>
  <c r="J319" i="49"/>
  <c r="Q319" i="49" s="1"/>
  <c r="C12" i="5"/>
  <c r="J501" i="49"/>
  <c r="Q501" i="49" s="1"/>
  <c r="I19" i="3"/>
  <c r="H22" i="39"/>
  <c r="D21" i="6"/>
  <c r="G8" i="29"/>
  <c r="G146" i="14"/>
  <c r="E146" i="14"/>
  <c r="J475" i="49"/>
  <c r="Q475" i="49" s="1"/>
  <c r="C38" i="1"/>
  <c r="I38" i="1" s="1"/>
  <c r="V8" i="39"/>
  <c r="W8" i="39"/>
  <c r="F5" i="32"/>
  <c r="N470" i="49"/>
  <c r="O470" i="49" s="1"/>
  <c r="N537" i="49"/>
  <c r="O537" i="49" s="1"/>
  <c r="N492" i="49"/>
  <c r="O492" i="49" s="1"/>
  <c r="N406" i="49"/>
  <c r="O406" i="49" s="1"/>
  <c r="N440" i="49"/>
  <c r="O440" i="49" s="1"/>
  <c r="N483" i="49"/>
  <c r="O483" i="49" s="1"/>
  <c r="N309" i="49"/>
  <c r="O309" i="49" s="1"/>
  <c r="N410" i="49"/>
  <c r="O410" i="49" s="1"/>
  <c r="N464" i="49"/>
  <c r="O464" i="49" s="1"/>
  <c r="N566" i="49"/>
  <c r="O566" i="49" s="1"/>
  <c r="N502" i="49"/>
  <c r="O502" i="49" s="1"/>
  <c r="N402" i="49"/>
  <c r="O402" i="49" s="1"/>
  <c r="N409" i="49"/>
  <c r="O409" i="49" s="1"/>
  <c r="N377" i="49"/>
  <c r="O377" i="49" s="1"/>
  <c r="N393" i="49"/>
  <c r="O393" i="49" s="1"/>
  <c r="N491" i="49"/>
  <c r="O491" i="49" s="1"/>
  <c r="N551" i="49"/>
  <c r="O551" i="49" s="1"/>
  <c r="N441" i="49"/>
  <c r="O441" i="49" s="1"/>
  <c r="N482" i="49"/>
  <c r="O482" i="49" s="1"/>
  <c r="N340" i="49"/>
  <c r="O340" i="49" s="1"/>
  <c r="N525" i="49"/>
  <c r="O525" i="49" s="1"/>
  <c r="N571" i="49"/>
  <c r="O571" i="49" s="1"/>
  <c r="N315" i="49"/>
  <c r="O315" i="49" s="1"/>
  <c r="N297" i="49"/>
  <c r="O297" i="49" s="1"/>
  <c r="N517" i="49"/>
  <c r="O517" i="49" s="1"/>
  <c r="N401" i="49"/>
  <c r="O401" i="49" s="1"/>
  <c r="N479" i="49"/>
  <c r="O479" i="49" s="1"/>
  <c r="N413" i="49"/>
  <c r="O413" i="49" s="1"/>
  <c r="N544" i="49"/>
  <c r="O544" i="49" s="1"/>
  <c r="J5" i="3"/>
  <c r="G5" i="32" s="1"/>
  <c r="G5" i="38" s="1"/>
  <c r="N536" i="49"/>
  <c r="O536" i="49" s="1"/>
  <c r="C10" i="4"/>
  <c r="N563" i="49"/>
  <c r="O563" i="49" s="1"/>
  <c r="N351" i="49"/>
  <c r="O351" i="49" s="1"/>
  <c r="N386" i="49"/>
  <c r="O386" i="49" s="1"/>
  <c r="N500" i="49"/>
  <c r="O500" i="49" s="1"/>
  <c r="N392" i="49"/>
  <c r="O392" i="49" s="1"/>
  <c r="N529" i="49"/>
  <c r="O529" i="49" s="1"/>
  <c r="N490" i="49"/>
  <c r="O490" i="49" s="1"/>
  <c r="N521" i="49"/>
  <c r="O521" i="49" s="1"/>
  <c r="N569" i="49"/>
  <c r="O569" i="49" s="1"/>
  <c r="N398" i="49"/>
  <c r="O398" i="49" s="1"/>
  <c r="N380" i="49"/>
  <c r="O380" i="49" s="1"/>
  <c r="N496" i="49"/>
  <c r="O496" i="49" s="1"/>
  <c r="N461" i="49"/>
  <c r="O461" i="49" s="1"/>
  <c r="N553" i="49"/>
  <c r="O553" i="49" s="1"/>
  <c r="N322" i="49"/>
  <c r="O322" i="49" s="1"/>
  <c r="N415" i="49"/>
  <c r="O415" i="49" s="1"/>
  <c r="N390" i="49"/>
  <c r="O390" i="49" s="1"/>
  <c r="N557" i="49"/>
  <c r="O557" i="49" s="1"/>
  <c r="N444" i="49"/>
  <c r="O444" i="49" s="1"/>
  <c r="N303" i="49"/>
  <c r="O303" i="49" s="1"/>
  <c r="N371" i="49"/>
  <c r="O371" i="49" s="1"/>
  <c r="N579" i="49"/>
  <c r="O579" i="49" s="1"/>
  <c r="N437" i="49"/>
  <c r="O437" i="49" s="1"/>
  <c r="N420" i="49"/>
  <c r="O420" i="49" s="1"/>
  <c r="N369" i="49"/>
  <c r="O369" i="49" s="1"/>
  <c r="N356" i="49"/>
  <c r="O356" i="49" s="1"/>
  <c r="N454" i="49"/>
  <c r="O454" i="49" s="1"/>
  <c r="N341" i="49"/>
  <c r="O341" i="49" s="1"/>
  <c r="N296" i="49"/>
  <c r="N534" i="49"/>
  <c r="O534" i="49" s="1"/>
  <c r="N451" i="49"/>
  <c r="O451" i="49" s="1"/>
  <c r="N335" i="49"/>
  <c r="O335" i="49" s="1"/>
  <c r="N515" i="49"/>
  <c r="O515" i="49" s="1"/>
  <c r="N485" i="49"/>
  <c r="O485" i="49" s="1"/>
  <c r="N562" i="49"/>
  <c r="O562" i="49" s="1"/>
  <c r="N550" i="49"/>
  <c r="O550" i="49" s="1"/>
  <c r="N331" i="49"/>
  <c r="O331" i="49" s="1"/>
  <c r="N349" i="49"/>
  <c r="O349" i="49" s="1"/>
  <c r="N423" i="49"/>
  <c r="O423" i="49" s="1"/>
  <c r="N342" i="49"/>
  <c r="O342" i="49" s="1"/>
  <c r="N294" i="49"/>
  <c r="N467" i="49"/>
  <c r="O467" i="49" s="1"/>
  <c r="N314" i="49"/>
  <c r="O314" i="49" s="1"/>
  <c r="N376" i="49"/>
  <c r="O376" i="49" s="1"/>
  <c r="N348" i="49"/>
  <c r="O348" i="49" s="1"/>
  <c r="N425" i="49"/>
  <c r="O425" i="49" s="1"/>
  <c r="N343" i="49"/>
  <c r="O343" i="49" s="1"/>
  <c r="N308" i="49"/>
  <c r="O308" i="49" s="1"/>
  <c r="N355" i="49"/>
  <c r="O355" i="49" s="1"/>
  <c r="N400" i="49"/>
  <c r="O400" i="49" s="1"/>
  <c r="N474" i="49"/>
  <c r="O474" i="49" s="1"/>
  <c r="N403" i="49"/>
  <c r="O403" i="49" s="1"/>
  <c r="N565" i="49"/>
  <c r="O565" i="49" s="1"/>
  <c r="N463" i="49"/>
  <c r="O463" i="49" s="1"/>
  <c r="N432" i="49"/>
  <c r="O432" i="49" s="1"/>
  <c r="N442" i="49"/>
  <c r="O442" i="49" s="1"/>
  <c r="N323" i="49"/>
  <c r="O323" i="49" s="1"/>
  <c r="N484" i="49"/>
  <c r="O484" i="49" s="1"/>
  <c r="N327" i="49"/>
  <c r="O327" i="49" s="1"/>
  <c r="N362" i="49"/>
  <c r="O362" i="49" s="1"/>
  <c r="N577" i="49"/>
  <c r="O577" i="49" s="1"/>
  <c r="N572" i="49"/>
  <c r="O572" i="49" s="1"/>
  <c r="N366" i="49"/>
  <c r="O366" i="49" s="1"/>
  <c r="N478" i="49"/>
  <c r="O478" i="49" s="1"/>
  <c r="N480" i="49"/>
  <c r="O480" i="49" s="1"/>
  <c r="N554" i="49"/>
  <c r="O554" i="49" s="1"/>
  <c r="N524" i="49"/>
  <c r="O524" i="49" s="1"/>
  <c r="N559" i="49"/>
  <c r="O559" i="49" s="1"/>
  <c r="N487" i="49"/>
  <c r="O487" i="49" s="1"/>
  <c r="N358" i="49"/>
  <c r="O358" i="49" s="1"/>
  <c r="N388" i="49"/>
  <c r="O388" i="49" s="1"/>
  <c r="N317" i="49"/>
  <c r="O317" i="49" s="1"/>
  <c r="N538" i="49"/>
  <c r="O538" i="49" s="1"/>
  <c r="N546" i="49"/>
  <c r="O546" i="49" s="1"/>
  <c r="N518" i="49"/>
  <c r="O518" i="49" s="1"/>
  <c r="N363" i="49"/>
  <c r="O363" i="49" s="1"/>
  <c r="N468" i="49"/>
  <c r="O468" i="49" s="1"/>
  <c r="N575" i="49"/>
  <c r="O575" i="49" s="1"/>
  <c r="N424" i="49"/>
  <c r="O424" i="49" s="1"/>
  <c r="N389" i="49"/>
  <c r="O389" i="49" s="1"/>
  <c r="N345" i="49"/>
  <c r="O345" i="49" s="1"/>
  <c r="N361" i="49"/>
  <c r="O361" i="49" s="1"/>
  <c r="N300" i="49"/>
  <c r="O300" i="49" s="1"/>
  <c r="N414" i="49"/>
  <c r="O414" i="49" s="1"/>
  <c r="N560" i="49"/>
  <c r="O560" i="49" s="1"/>
  <c r="N365" i="49"/>
  <c r="O365" i="49" s="1"/>
  <c r="N312" i="49"/>
  <c r="O312" i="49" s="1"/>
  <c r="N334" i="49"/>
  <c r="O334" i="49" s="1"/>
  <c r="N378" i="49"/>
  <c r="O378" i="49" s="1"/>
  <c r="N574" i="49"/>
  <c r="O574" i="49" s="1"/>
  <c r="N540" i="49"/>
  <c r="O540" i="49" s="1"/>
  <c r="N519" i="49"/>
  <c r="O519" i="49" s="1"/>
  <c r="N333" i="49"/>
  <c r="O333" i="49" s="1"/>
  <c r="N476" i="49"/>
  <c r="O476" i="49" s="1"/>
  <c r="N337" i="49"/>
  <c r="O337" i="49" s="1"/>
  <c r="N494" i="49"/>
  <c r="O494" i="49" s="1"/>
  <c r="N434" i="49"/>
  <c r="O434" i="49" s="1"/>
  <c r="N385" i="49"/>
  <c r="O385" i="49" s="1"/>
  <c r="N320" i="49"/>
  <c r="O320" i="49" s="1"/>
  <c r="N326" i="49"/>
  <c r="O326" i="49" s="1"/>
  <c r="N543" i="49"/>
  <c r="O543" i="49" s="1"/>
  <c r="N311" i="49"/>
  <c r="O311" i="49" s="1"/>
  <c r="N443" i="49"/>
  <c r="O443" i="49" s="1"/>
  <c r="N313" i="49"/>
  <c r="O313" i="49" s="1"/>
  <c r="N446" i="49"/>
  <c r="O446" i="49" s="1"/>
  <c r="N384" i="49"/>
  <c r="O384" i="49" s="1"/>
  <c r="N455" i="49"/>
  <c r="O455" i="49" s="1"/>
  <c r="N532" i="49"/>
  <c r="O532" i="49" s="1"/>
  <c r="N469" i="49"/>
  <c r="O469" i="49" s="1"/>
  <c r="N458" i="49"/>
  <c r="O458" i="49" s="1"/>
  <c r="N581" i="49"/>
  <c r="O581" i="49" s="1"/>
  <c r="N433" i="49"/>
  <c r="O433" i="49" s="1"/>
  <c r="N582" i="49"/>
  <c r="O582" i="49" s="1"/>
  <c r="N304" i="49"/>
  <c r="O304" i="49" s="1"/>
  <c r="N472" i="49"/>
  <c r="O472" i="49" s="1"/>
  <c r="N497" i="49"/>
  <c r="O497" i="49" s="1"/>
  <c r="N552" i="49"/>
  <c r="O552" i="49" s="1"/>
  <c r="N567" i="49"/>
  <c r="O567" i="49" s="1"/>
  <c r="N411" i="49"/>
  <c r="O411" i="49" s="1"/>
  <c r="N495" i="49"/>
  <c r="O495" i="49" s="1"/>
  <c r="N542" i="49"/>
  <c r="O542" i="49" s="1"/>
  <c r="N339" i="49"/>
  <c r="O339" i="49" s="1"/>
  <c r="N460" i="49"/>
  <c r="O460" i="49" s="1"/>
  <c r="N330" i="49"/>
  <c r="O330" i="49" s="1"/>
  <c r="N344" i="49"/>
  <c r="O344" i="49" s="1"/>
  <c r="N431" i="49"/>
  <c r="O431" i="49" s="1"/>
  <c r="N498" i="49"/>
  <c r="O498" i="49" s="1"/>
  <c r="N302" i="49"/>
  <c r="O302" i="49" s="1"/>
  <c r="N473" i="49"/>
  <c r="O473" i="49" s="1"/>
  <c r="N427" i="49"/>
  <c r="O427" i="49" s="1"/>
  <c r="N368" i="49"/>
  <c r="O368" i="49" s="1"/>
  <c r="N447" i="49"/>
  <c r="O447" i="49" s="1"/>
  <c r="N450" i="49"/>
  <c r="O450" i="49" s="1"/>
  <c r="N394" i="49"/>
  <c r="O394" i="49" s="1"/>
  <c r="N422" i="49"/>
  <c r="O422" i="49" s="1"/>
  <c r="N298" i="49"/>
  <c r="O298" i="49" s="1"/>
  <c r="N573" i="49"/>
  <c r="O573" i="49" s="1"/>
  <c r="N430" i="49"/>
  <c r="O430" i="49" s="1"/>
  <c r="N506" i="49"/>
  <c r="O506" i="49" s="1"/>
  <c r="N523" i="49"/>
  <c r="O523" i="49" s="1"/>
  <c r="N452" i="49"/>
  <c r="O452" i="49" s="1"/>
  <c r="N417" i="49"/>
  <c r="O417" i="49" s="1"/>
  <c r="N438" i="49"/>
  <c r="O438" i="49" s="1"/>
  <c r="N578" i="49"/>
  <c r="O578" i="49" s="1"/>
  <c r="N305" i="49"/>
  <c r="O305" i="49" s="1"/>
  <c r="N445" i="49"/>
  <c r="O445" i="49" s="1"/>
  <c r="N328" i="49"/>
  <c r="O328" i="49" s="1"/>
  <c r="N511" i="49"/>
  <c r="O511" i="49" s="1"/>
  <c r="N370" i="49"/>
  <c r="O370" i="49" s="1"/>
  <c r="N548" i="49"/>
  <c r="O548" i="49" s="1"/>
  <c r="N513" i="49"/>
  <c r="O513" i="49" s="1"/>
  <c r="N372" i="49"/>
  <c r="O372" i="49" s="1"/>
  <c r="N428" i="49"/>
  <c r="O428" i="49" s="1"/>
  <c r="N310" i="49"/>
  <c r="O310" i="49" s="1"/>
  <c r="N301" i="49"/>
  <c r="O301" i="49" s="1"/>
  <c r="N508" i="49"/>
  <c r="O508" i="49" s="1"/>
  <c r="N526" i="49"/>
  <c r="O526" i="49" s="1"/>
  <c r="N477" i="49"/>
  <c r="O477" i="49" s="1"/>
  <c r="N321" i="49"/>
  <c r="O321" i="49" s="1"/>
  <c r="N364" i="49"/>
  <c r="O364" i="49" s="1"/>
  <c r="N374" i="49"/>
  <c r="O374" i="49" s="1"/>
  <c r="N528" i="49"/>
  <c r="O528" i="49" s="1"/>
  <c r="N481" i="49"/>
  <c r="O481" i="49" s="1"/>
  <c r="N568" i="49"/>
  <c r="O568" i="49" s="1"/>
  <c r="N459" i="49"/>
  <c r="O459" i="49" s="1"/>
  <c r="N488" i="49"/>
  <c r="O488" i="49" s="1"/>
  <c r="N465" i="49"/>
  <c r="O465" i="49" s="1"/>
  <c r="N316" i="49"/>
  <c r="O316" i="49" s="1"/>
  <c r="N512" i="49"/>
  <c r="O512" i="49" s="1"/>
  <c r="N354" i="49"/>
  <c r="O354" i="49" s="1"/>
  <c r="N471" i="49"/>
  <c r="O471" i="49" s="1"/>
  <c r="N4522" i="49"/>
  <c r="O4522" i="49" s="1"/>
  <c r="N419" i="49"/>
  <c r="O419" i="49" s="1"/>
  <c r="H62" i="15"/>
  <c r="H36" i="15"/>
  <c r="H32" i="15"/>
  <c r="H28" i="15"/>
  <c r="H18" i="15"/>
  <c r="H14" i="15"/>
  <c r="H37" i="15"/>
  <c r="H33" i="15"/>
  <c r="H29" i="15"/>
  <c r="H23" i="15"/>
  <c r="H15" i="15"/>
  <c r="H38" i="15"/>
  <c r="H31" i="15"/>
  <c r="H17" i="15"/>
  <c r="H72" i="15"/>
  <c r="H34" i="15"/>
  <c r="I12" i="15"/>
  <c r="H27" i="15"/>
  <c r="H30" i="15"/>
  <c r="H44" i="15"/>
  <c r="H35" i="15"/>
  <c r="H16" i="15"/>
  <c r="N4200" i="49"/>
  <c r="O4200" i="49" s="1"/>
  <c r="N4060" i="49"/>
  <c r="O4060" i="49" s="1"/>
  <c r="Q33" i="13"/>
  <c r="N4251" i="49"/>
  <c r="O4251" i="49" s="1"/>
  <c r="N4052" i="49"/>
  <c r="O4052" i="49" s="1"/>
  <c r="D15" i="6"/>
  <c r="I91" i="14"/>
  <c r="D91" i="14"/>
  <c r="I13" i="3"/>
  <c r="C91" i="14"/>
  <c r="D92" i="14"/>
  <c r="G138" i="13" s="1"/>
  <c r="F62" i="23" s="1"/>
  <c r="J91" i="14"/>
  <c r="C92" i="14"/>
  <c r="F138" i="13" s="1"/>
  <c r="E62" i="23" s="1"/>
  <c r="J92" i="14"/>
  <c r="M138" i="13" s="1"/>
  <c r="I92" i="14"/>
  <c r="L138" i="13" s="1"/>
  <c r="F92" i="14"/>
  <c r="I138" i="13" s="1"/>
  <c r="H62" i="23" s="1"/>
  <c r="H92" i="14"/>
  <c r="K138" i="13" s="1"/>
  <c r="F91" i="14"/>
  <c r="H91" i="14"/>
  <c r="G92" i="14"/>
  <c r="J138" i="13" s="1"/>
  <c r="G91" i="14"/>
  <c r="E91" i="14"/>
  <c r="E92" i="14"/>
  <c r="H138" i="13" s="1"/>
  <c r="G62" i="23" s="1"/>
  <c r="I86" i="14"/>
  <c r="G86" i="14"/>
  <c r="F86" i="14"/>
  <c r="E86" i="14"/>
  <c r="D86" i="14"/>
  <c r="H16" i="39"/>
  <c r="R16" i="39" s="1"/>
  <c r="C86" i="14"/>
  <c r="G21" i="12"/>
  <c r="H21" i="12" s="1"/>
  <c r="E23" i="5"/>
  <c r="G39" i="24"/>
  <c r="N504" i="49"/>
  <c r="O504" i="49" s="1"/>
  <c r="N4065" i="49"/>
  <c r="O4065" i="49" s="1"/>
  <c r="N4140" i="49"/>
  <c r="O4140" i="49" s="1"/>
  <c r="N4064" i="49"/>
  <c r="O4064" i="49" s="1"/>
  <c r="N4175" i="49"/>
  <c r="O4175" i="49" s="1"/>
  <c r="N4053" i="49"/>
  <c r="O4053" i="49" s="1"/>
  <c r="C89" i="14"/>
  <c r="C90" i="14" s="1"/>
  <c r="C88" i="14"/>
  <c r="N4173" i="49"/>
  <c r="O4173" i="49" s="1"/>
  <c r="N4115" i="49"/>
  <c r="O4115" i="49" s="1"/>
  <c r="N4266" i="49"/>
  <c r="O4266" i="49" s="1"/>
  <c r="L5" i="12" a="1"/>
  <c r="N4244" i="49"/>
  <c r="O4244" i="49" s="1"/>
  <c r="N4151" i="49"/>
  <c r="O4151" i="49" s="1"/>
  <c r="C20" i="5"/>
  <c r="C146" i="14"/>
  <c r="C29" i="14"/>
  <c r="C30" i="14" s="1"/>
  <c r="C28" i="14"/>
  <c r="N4099" i="49"/>
  <c r="O4099" i="49" s="1"/>
  <c r="J416" i="49"/>
  <c r="Q416" i="49" s="1"/>
  <c r="N4204" i="49"/>
  <c r="O4204" i="49" s="1"/>
  <c r="J33" i="26"/>
  <c r="J18" i="26"/>
  <c r="J35" i="26"/>
  <c r="J30" i="26"/>
  <c r="J34" i="26"/>
  <c r="J14" i="26"/>
  <c r="J38" i="26"/>
  <c r="J29" i="26"/>
  <c r="J17" i="26"/>
  <c r="K12" i="26"/>
  <c r="J28" i="26"/>
  <c r="J16" i="26"/>
  <c r="J36" i="26"/>
  <c r="J37" i="26"/>
  <c r="J27" i="26"/>
  <c r="J72" i="26"/>
  <c r="J15" i="26"/>
  <c r="J32" i="26"/>
  <c r="J44" i="26"/>
  <c r="J31" i="26"/>
  <c r="N4222" i="49"/>
  <c r="O4222" i="49" s="1"/>
  <c r="N4196" i="49"/>
  <c r="O4196" i="49" s="1"/>
  <c r="N4054" i="49"/>
  <c r="O4054" i="49" s="1"/>
  <c r="N4190" i="49"/>
  <c r="O4190" i="49" s="1"/>
  <c r="N4317" i="49"/>
  <c r="O4317" i="49" s="1"/>
  <c r="N4068" i="49"/>
  <c r="O4068" i="49" s="1"/>
  <c r="N4107" i="49"/>
  <c r="O4107" i="49" s="1"/>
  <c r="N4223" i="49"/>
  <c r="O4223" i="49" s="1"/>
  <c r="N4117" i="49"/>
  <c r="O4117" i="49" s="1"/>
  <c r="N4306" i="49"/>
  <c r="O4306" i="49" s="1"/>
  <c r="G85" i="24"/>
  <c r="G82" i="24"/>
  <c r="G79" i="24"/>
  <c r="G80" i="24"/>
  <c r="N4842" i="49"/>
  <c r="O4842" i="49" s="1"/>
  <c r="N4678" i="49"/>
  <c r="O4678" i="49" s="1"/>
  <c r="N539" i="49"/>
  <c r="O539" i="49" s="1"/>
  <c r="N350" i="49"/>
  <c r="O350" i="49" s="1"/>
  <c r="N449" i="49"/>
  <c r="O449" i="49" s="1"/>
  <c r="N4545" i="49"/>
  <c r="O4545" i="49" s="1"/>
  <c r="J462" i="49"/>
  <c r="Q462" i="49" s="1"/>
  <c r="N4777" i="49"/>
  <c r="O4777" i="49" s="1"/>
  <c r="G39" i="25"/>
  <c r="N387" i="49"/>
  <c r="O387" i="49" s="1"/>
  <c r="I156" i="14"/>
  <c r="N4549" i="49"/>
  <c r="O4549" i="49" s="1"/>
  <c r="N4559" i="49"/>
  <c r="O4559" i="49" s="1"/>
  <c r="N4346" i="49"/>
  <c r="O4346" i="49" s="1"/>
  <c r="N4887" i="49"/>
  <c r="O4887" i="49" s="1"/>
  <c r="N558" i="49"/>
  <c r="O558" i="49" s="1"/>
  <c r="N4539" i="49"/>
  <c r="O4539" i="49" s="1"/>
  <c r="N4495" i="49"/>
  <c r="O4495" i="49" s="1"/>
  <c r="N4628" i="49"/>
  <c r="O4628" i="49" s="1"/>
  <c r="N4272" i="49"/>
  <c r="O4272" i="49" s="1"/>
  <c r="N4888" i="49"/>
  <c r="O4888" i="49" s="1"/>
  <c r="N4730" i="49"/>
  <c r="O4730" i="49" s="1"/>
  <c r="N4546" i="49"/>
  <c r="O4546" i="49" s="1"/>
  <c r="N4670" i="49"/>
  <c r="O4670" i="49" s="1"/>
  <c r="N4594" i="49"/>
  <c r="O4594" i="49" s="1"/>
  <c r="N4319" i="49"/>
  <c r="O4319" i="49" s="1"/>
  <c r="N4847" i="49"/>
  <c r="O4847" i="49" s="1"/>
  <c r="N4636" i="49"/>
  <c r="O4636" i="49" s="1"/>
  <c r="N4231" i="49"/>
  <c r="O4231" i="49" s="1"/>
  <c r="G106" i="14"/>
  <c r="N4763" i="49"/>
  <c r="O4763" i="49" s="1"/>
  <c r="N4403" i="49"/>
  <c r="O4403" i="49" s="1"/>
  <c r="J548" i="49"/>
  <c r="Q548" i="49"/>
  <c r="N4461" i="49"/>
  <c r="O4461" i="49" s="1"/>
  <c r="Q294" i="49"/>
  <c r="J294" i="49"/>
  <c r="J370" i="49"/>
  <c r="Q370" i="49" s="1"/>
  <c r="Q381" i="49"/>
  <c r="J381" i="49"/>
  <c r="N5009" i="49"/>
  <c r="O5009" i="49" s="1"/>
  <c r="J328" i="49"/>
  <c r="Q328" i="49" s="1"/>
  <c r="H44" i="16"/>
  <c r="H38" i="16"/>
  <c r="H34" i="16"/>
  <c r="H30" i="16"/>
  <c r="H16" i="16"/>
  <c r="H35" i="16"/>
  <c r="H31" i="16"/>
  <c r="H27" i="16"/>
  <c r="H17" i="16"/>
  <c r="H72" i="16"/>
  <c r="H36" i="16"/>
  <c r="H28" i="16"/>
  <c r="H18" i="16"/>
  <c r="H37" i="16"/>
  <c r="H29" i="16"/>
  <c r="H32" i="16"/>
  <c r="H15" i="16"/>
  <c r="H33" i="16"/>
  <c r="H14" i="16"/>
  <c r="I12" i="16"/>
  <c r="N4987" i="49"/>
  <c r="O4987" i="49" s="1"/>
  <c r="N5002" i="49"/>
  <c r="O5002" i="49" s="1"/>
  <c r="J519" i="49"/>
  <c r="Q519" i="49" s="1"/>
  <c r="N5200" i="49"/>
  <c r="O5200" i="49" s="1"/>
  <c r="J366" i="49"/>
  <c r="Q366" i="49" s="1"/>
  <c r="H34" i="29"/>
  <c r="H29" i="29"/>
  <c r="I12" i="29"/>
  <c r="H44" i="29"/>
  <c r="H37" i="29"/>
  <c r="H36" i="29"/>
  <c r="H16" i="29"/>
  <c r="H38" i="29"/>
  <c r="H35" i="29"/>
  <c r="H32" i="29"/>
  <c r="H15" i="29"/>
  <c r="H72" i="29"/>
  <c r="H23" i="29"/>
  <c r="H18" i="29"/>
  <c r="H33" i="29"/>
  <c r="H31" i="29"/>
  <c r="H30" i="29"/>
  <c r="H28" i="29"/>
  <c r="H27" i="29"/>
  <c r="H17" i="29"/>
  <c r="H14" i="29"/>
  <c r="Q568" i="49"/>
  <c r="J568" i="49"/>
  <c r="G29" i="8"/>
  <c r="G15" i="8"/>
  <c r="G17" i="8"/>
  <c r="G79" i="16"/>
  <c r="G85" i="16"/>
  <c r="G80" i="16"/>
  <c r="G82" i="16"/>
  <c r="N5094" i="49"/>
  <c r="O5094" i="49" s="1"/>
  <c r="J468" i="49"/>
  <c r="Q468" i="49" s="1"/>
  <c r="N4945" i="49"/>
  <c r="O4945" i="49" s="1"/>
  <c r="J295" i="49"/>
  <c r="Q295" i="49" s="1"/>
  <c r="J428" i="49"/>
  <c r="Q428" i="49" s="1"/>
  <c r="N5153" i="49"/>
  <c r="O5153" i="49" s="1"/>
  <c r="N5011" i="49"/>
  <c r="O5011" i="49" s="1"/>
  <c r="N4942" i="49"/>
  <c r="O4942" i="49" s="1"/>
  <c r="Q361" i="49"/>
  <c r="J361" i="49"/>
  <c r="J419" i="49"/>
  <c r="Q419" i="49" s="1"/>
  <c r="H39" i="17"/>
  <c r="H82" i="17"/>
  <c r="H85" i="17"/>
  <c r="H80" i="17"/>
  <c r="H79" i="17"/>
  <c r="G19" i="15"/>
  <c r="P29" i="13"/>
  <c r="G17" i="6"/>
  <c r="N5163" i="49"/>
  <c r="O5163" i="49" s="1"/>
  <c r="N4995" i="49"/>
  <c r="O4995" i="49" s="1"/>
  <c r="N5138" i="49"/>
  <c r="O5138" i="49" s="1"/>
  <c r="N4974" i="49"/>
  <c r="O4974" i="49" s="1"/>
  <c r="J435" i="49"/>
  <c r="Q435" i="49" s="1"/>
  <c r="N5082" i="49"/>
  <c r="O5082" i="49" s="1"/>
  <c r="G39" i="16"/>
  <c r="G27" i="8"/>
  <c r="J485" i="49"/>
  <c r="Q485" i="49" s="1"/>
  <c r="J516" i="49"/>
  <c r="Q516" i="49" s="1"/>
  <c r="N5083" i="49"/>
  <c r="O5083" i="49" s="1"/>
  <c r="J487" i="49"/>
  <c r="Q487" i="49" s="1"/>
  <c r="C54" i="1"/>
  <c r="I54" i="1" s="1"/>
  <c r="V24" i="39"/>
  <c r="W24" i="39"/>
  <c r="J21" i="3"/>
  <c r="G21" i="32" s="1"/>
  <c r="G21" i="38" s="1"/>
  <c r="C26" i="4"/>
  <c r="F21" i="32"/>
  <c r="N5057" i="49"/>
  <c r="O5057" i="49" s="1"/>
  <c r="N4959" i="49"/>
  <c r="O4959" i="49" s="1"/>
  <c r="N5106" i="49"/>
  <c r="O5106" i="49" s="1"/>
  <c r="N4957" i="49"/>
  <c r="O4957" i="49" s="1"/>
  <c r="N4940" i="49"/>
  <c r="O4940" i="49" s="1"/>
  <c r="N5001" i="49"/>
  <c r="O5001" i="49" s="1"/>
  <c r="N4998" i="49"/>
  <c r="O4998" i="49" s="1"/>
  <c r="N4979" i="49"/>
  <c r="O4979" i="49" s="1"/>
  <c r="N5056" i="49"/>
  <c r="O5056" i="49" s="1"/>
  <c r="N4935" i="49"/>
  <c r="O4935" i="49" s="1"/>
  <c r="N5008" i="49"/>
  <c r="O5008" i="49" s="1"/>
  <c r="N5126" i="49"/>
  <c r="O5126" i="49" s="1"/>
  <c r="N5004" i="49"/>
  <c r="O5004" i="49" s="1"/>
  <c r="N4997" i="49"/>
  <c r="O4997" i="49" s="1"/>
  <c r="N4955" i="49"/>
  <c r="O4955" i="49" s="1"/>
  <c r="N5063" i="49"/>
  <c r="O5063" i="49" s="1"/>
  <c r="N5045" i="49"/>
  <c r="O5045" i="49" s="1"/>
  <c r="N5189" i="49"/>
  <c r="O5189" i="49" s="1"/>
  <c r="N4934" i="49"/>
  <c r="O4934" i="49" s="1"/>
  <c r="N5035" i="49"/>
  <c r="O5035" i="49" s="1"/>
  <c r="N4937" i="49"/>
  <c r="O4937" i="49" s="1"/>
  <c r="N5052" i="49"/>
  <c r="O5052" i="49" s="1"/>
  <c r="N4992" i="49"/>
  <c r="O4992" i="49" s="1"/>
  <c r="N5199" i="49"/>
  <c r="O5199" i="49" s="1"/>
  <c r="N4977" i="49"/>
  <c r="O4977" i="49" s="1"/>
  <c r="N5123" i="49"/>
  <c r="O5123" i="49" s="1"/>
  <c r="N5064" i="49"/>
  <c r="O5064" i="49" s="1"/>
  <c r="N4971" i="49"/>
  <c r="O4971" i="49" s="1"/>
  <c r="N4951" i="49"/>
  <c r="O4951" i="49" s="1"/>
  <c r="N5050" i="49"/>
  <c r="O5050" i="49" s="1"/>
  <c r="N5125" i="49"/>
  <c r="O5125" i="49" s="1"/>
  <c r="N5160" i="49"/>
  <c r="O5160" i="49" s="1"/>
  <c r="N4931" i="49"/>
  <c r="O4931" i="49" s="1"/>
  <c r="N5088" i="49"/>
  <c r="O5088" i="49" s="1"/>
  <c r="N4975" i="49"/>
  <c r="O4975" i="49" s="1"/>
  <c r="N5117" i="49"/>
  <c r="O5117" i="49" s="1"/>
  <c r="N5145" i="49"/>
  <c r="O5145" i="49" s="1"/>
  <c r="N5092" i="49"/>
  <c r="O5092" i="49" s="1"/>
  <c r="N5184" i="49"/>
  <c r="O5184" i="49" s="1"/>
  <c r="N5204" i="49"/>
  <c r="O5204" i="49" s="1"/>
  <c r="N5058" i="49"/>
  <c r="O5058" i="49" s="1"/>
  <c r="N5167" i="49"/>
  <c r="O5167" i="49" s="1"/>
  <c r="N5077" i="49"/>
  <c r="O5077" i="49" s="1"/>
  <c r="N5182" i="49"/>
  <c r="O5182" i="49" s="1"/>
  <c r="N5161" i="49"/>
  <c r="O5161" i="49" s="1"/>
  <c r="N5084" i="49"/>
  <c r="O5084" i="49" s="1"/>
  <c r="N5041" i="49"/>
  <c r="O5041" i="49" s="1"/>
  <c r="N4943" i="49"/>
  <c r="O4943" i="49" s="1"/>
  <c r="N5003" i="49"/>
  <c r="O5003" i="49" s="1"/>
  <c r="N4996" i="49"/>
  <c r="O4996" i="49" s="1"/>
  <c r="N5170" i="49"/>
  <c r="O5170" i="49" s="1"/>
  <c r="N4978" i="49"/>
  <c r="O4978" i="49" s="1"/>
  <c r="N5027" i="49"/>
  <c r="O5027" i="49" s="1"/>
  <c r="N5020" i="49"/>
  <c r="O5020" i="49" s="1"/>
  <c r="N5007" i="49"/>
  <c r="O5007" i="49" s="1"/>
  <c r="N4953" i="49"/>
  <c r="O4953" i="49" s="1"/>
  <c r="N5100" i="49"/>
  <c r="O5100" i="49" s="1"/>
  <c r="N5201" i="49"/>
  <c r="O5201" i="49" s="1"/>
  <c r="N5015" i="49"/>
  <c r="O5015" i="49" s="1"/>
  <c r="N5190" i="49"/>
  <c r="O5190" i="49" s="1"/>
  <c r="N4928" i="49"/>
  <c r="O4928" i="49" s="1"/>
  <c r="N5148" i="49"/>
  <c r="O5148" i="49" s="1"/>
  <c r="N5013" i="49"/>
  <c r="O5013" i="49" s="1"/>
  <c r="N5039" i="49"/>
  <c r="O5039" i="49" s="1"/>
  <c r="N5195" i="49"/>
  <c r="O5195" i="49" s="1"/>
  <c r="N4920" i="49"/>
  <c r="O4920" i="49" s="1"/>
  <c r="N5065" i="49"/>
  <c r="O5065" i="49" s="1"/>
  <c r="N5181" i="49"/>
  <c r="O5181" i="49" s="1"/>
  <c r="N5072" i="49"/>
  <c r="O5072" i="49" s="1"/>
  <c r="N4984" i="49"/>
  <c r="O4984" i="49" s="1"/>
  <c r="N4949" i="49"/>
  <c r="O4949" i="49" s="1"/>
  <c r="N5191" i="49"/>
  <c r="O5191" i="49" s="1"/>
  <c r="N4947" i="49"/>
  <c r="O4947" i="49" s="1"/>
  <c r="N4986" i="49"/>
  <c r="O4986" i="49" s="1"/>
  <c r="N5134" i="49"/>
  <c r="O5134" i="49" s="1"/>
  <c r="J338" i="49"/>
  <c r="Q338" i="49" s="1"/>
  <c r="J499" i="49"/>
  <c r="Q499" i="49" s="1"/>
  <c r="J533" i="49"/>
  <c r="Q533" i="49" s="1"/>
  <c r="E39" i="8"/>
  <c r="N5071" i="49"/>
  <c r="O5071" i="49" s="1"/>
  <c r="N4967" i="49"/>
  <c r="O4967" i="49" s="1"/>
  <c r="J530" i="49"/>
  <c r="Q530" i="49" s="1"/>
  <c r="J573" i="49"/>
  <c r="Q573" i="49" s="1"/>
  <c r="J298" i="49"/>
  <c r="Q298" i="49" s="1"/>
  <c r="O75" i="21"/>
  <c r="Y66" i="21"/>
  <c r="M66" i="21"/>
  <c r="V60" i="21"/>
  <c r="J60" i="21"/>
  <c r="P47" i="21"/>
  <c r="S43" i="21"/>
  <c r="G43" i="21"/>
  <c r="X75" i="21"/>
  <c r="L75" i="21"/>
  <c r="V66" i="21"/>
  <c r="J66" i="21"/>
  <c r="S60" i="21"/>
  <c r="G60" i="21"/>
  <c r="Y47" i="21"/>
  <c r="M47" i="21"/>
  <c r="P43" i="21"/>
  <c r="N75" i="21"/>
  <c r="S66" i="21"/>
  <c r="E66" i="21"/>
  <c r="X60" i="21"/>
  <c r="I60" i="21"/>
  <c r="T47" i="21"/>
  <c r="F47" i="21"/>
  <c r="Y43" i="21"/>
  <c r="K43" i="21"/>
  <c r="M75" i="21"/>
  <c r="R66" i="21"/>
  <c r="W60" i="21"/>
  <c r="H60" i="21"/>
  <c r="S47" i="21"/>
  <c r="E47" i="21"/>
  <c r="X43" i="21"/>
  <c r="J43" i="21"/>
  <c r="K75" i="21"/>
  <c r="Q66" i="21"/>
  <c r="U60" i="21"/>
  <c r="F60" i="21"/>
  <c r="R47" i="21"/>
  <c r="W43" i="21"/>
  <c r="I43" i="21"/>
  <c r="Y75" i="21"/>
  <c r="J75" i="21"/>
  <c r="P66" i="21"/>
  <c r="T60" i="21"/>
  <c r="E60" i="21"/>
  <c r="Q47" i="21"/>
  <c r="V43" i="21"/>
  <c r="H43" i="21"/>
  <c r="W75" i="21"/>
  <c r="I75" i="21"/>
  <c r="O66" i="21"/>
  <c r="R60" i="21"/>
  <c r="O47" i="21"/>
  <c r="U43" i="21"/>
  <c r="F43" i="21"/>
  <c r="V75" i="21"/>
  <c r="H75" i="21"/>
  <c r="N66" i="21"/>
  <c r="Q60" i="21"/>
  <c r="N47" i="21"/>
  <c r="T43" i="21"/>
  <c r="F75" i="21"/>
  <c r="O60" i="21"/>
  <c r="E75" i="21"/>
  <c r="X66" i="21"/>
  <c r="N60" i="21"/>
  <c r="X47" i="21"/>
  <c r="U66" i="21"/>
  <c r="L60" i="21"/>
  <c r="V47" i="21"/>
  <c r="U75" i="21"/>
  <c r="L66" i="21"/>
  <c r="L47" i="21"/>
  <c r="R43" i="21"/>
  <c r="R75" i="21"/>
  <c r="H66" i="21"/>
  <c r="I47" i="21"/>
  <c r="N43" i="21"/>
  <c r="G75" i="21"/>
  <c r="T66" i="21"/>
  <c r="G47" i="21"/>
  <c r="O43" i="21"/>
  <c r="G66" i="21"/>
  <c r="M60" i="21"/>
  <c r="F66" i="21"/>
  <c r="K60" i="21"/>
  <c r="T75" i="21"/>
  <c r="U47" i="21"/>
  <c r="S75" i="21"/>
  <c r="K47" i="21"/>
  <c r="I66" i="21"/>
  <c r="P60" i="21"/>
  <c r="L43" i="21"/>
  <c r="H47" i="21"/>
  <c r="W66" i="21"/>
  <c r="K66" i="21"/>
  <c r="M43" i="21"/>
  <c r="W47" i="21"/>
  <c r="J47" i="21"/>
  <c r="Q75" i="21"/>
  <c r="P75" i="21"/>
  <c r="Q43" i="21"/>
  <c r="Y60" i="21"/>
  <c r="E23" i="19"/>
  <c r="F23" i="19"/>
  <c r="C71" i="14"/>
  <c r="I11" i="3"/>
  <c r="D71" i="14"/>
  <c r="H71" i="14"/>
  <c r="F71" i="14"/>
  <c r="C72" i="14"/>
  <c r="F136" i="13" s="1"/>
  <c r="E62" i="21" s="1"/>
  <c r="D13" i="6"/>
  <c r="D72" i="14"/>
  <c r="G136" i="13" s="1"/>
  <c r="F62" i="21" s="1"/>
  <c r="J72" i="14"/>
  <c r="M136" i="13" s="1"/>
  <c r="J71" i="14"/>
  <c r="I72" i="14"/>
  <c r="L136" i="13" s="1"/>
  <c r="I71" i="14"/>
  <c r="G71" i="14"/>
  <c r="E71" i="14"/>
  <c r="F72" i="14"/>
  <c r="I136" i="13" s="1"/>
  <c r="G72" i="14"/>
  <c r="J136" i="13" s="1"/>
  <c r="E72" i="14"/>
  <c r="H136" i="13" s="1"/>
  <c r="G62" i="21" s="1"/>
  <c r="H72" i="14"/>
  <c r="K136" i="13" s="1"/>
  <c r="N5079" i="49"/>
  <c r="O5079" i="49" s="1"/>
  <c r="N4973" i="49"/>
  <c r="O4973" i="49" s="1"/>
  <c r="J306" i="49"/>
  <c r="Q306" i="49"/>
  <c r="N4970" i="49"/>
  <c r="O4970" i="49" s="1"/>
  <c r="J546" i="49"/>
  <c r="Q546" i="49" s="1"/>
  <c r="G39" i="15"/>
  <c r="N5136" i="49"/>
  <c r="O5136" i="49" s="1"/>
  <c r="N5164" i="49"/>
  <c r="O5164" i="49" s="1"/>
  <c r="N5198" i="49"/>
  <c r="O5198" i="49" s="1"/>
  <c r="Q336" i="49"/>
  <c r="J336" i="49"/>
  <c r="N5147" i="49"/>
  <c r="O5147" i="49" s="1"/>
  <c r="Q360" i="49"/>
  <c r="J360" i="49"/>
  <c r="J459" i="49"/>
  <c r="Q459" i="49" s="1"/>
  <c r="J299" i="49"/>
  <c r="Q299" i="49" s="1"/>
  <c r="G33" i="8"/>
  <c r="G31" i="8"/>
  <c r="N5121" i="49"/>
  <c r="O5121" i="49" s="1"/>
  <c r="C127" i="14"/>
  <c r="O31" i="13"/>
  <c r="I31" i="13"/>
  <c r="Q31" i="13"/>
  <c r="R31" i="13" s="1"/>
  <c r="N5174" i="49"/>
  <c r="O5174" i="49" s="1"/>
  <c r="G85" i="29"/>
  <c r="G79" i="29"/>
  <c r="G80" i="29"/>
  <c r="G82" i="29"/>
  <c r="N5017" i="49"/>
  <c r="O5017" i="49" s="1"/>
  <c r="J333" i="49"/>
  <c r="Q333" i="49" s="1"/>
  <c r="N4922" i="49"/>
  <c r="O4922" i="49" s="1"/>
  <c r="J355" i="49"/>
  <c r="Q355" i="49" s="1"/>
  <c r="N4941" i="49"/>
  <c r="O4941" i="49" s="1"/>
  <c r="J477" i="49"/>
  <c r="Q477" i="49" s="1"/>
  <c r="J463" i="49"/>
  <c r="Q463" i="49" s="1"/>
  <c r="J425" i="49"/>
  <c r="Q425" i="49" s="1"/>
  <c r="N4988" i="49"/>
  <c r="O4988" i="49" s="1"/>
  <c r="N5054" i="49"/>
  <c r="O5054" i="49" s="1"/>
  <c r="Q526" i="49"/>
  <c r="J526" i="49"/>
  <c r="Q318" i="49"/>
  <c r="J318" i="49"/>
  <c r="J307" i="49"/>
  <c r="Q307" i="49" s="1"/>
  <c r="N4950" i="49"/>
  <c r="O4950" i="49" s="1"/>
  <c r="N5030" i="49"/>
  <c r="O5030" i="49" s="1"/>
  <c r="N4958" i="49"/>
  <c r="O4958" i="49" s="1"/>
  <c r="N5010" i="49"/>
  <c r="O5010" i="49" s="1"/>
  <c r="J391" i="49"/>
  <c r="Q391" i="49" s="1"/>
  <c r="N4952" i="49"/>
  <c r="O4952" i="49" s="1"/>
  <c r="N5186" i="49"/>
  <c r="O5186" i="49" s="1"/>
  <c r="J405" i="49"/>
  <c r="Q405" i="49" s="1"/>
  <c r="J345" i="49"/>
  <c r="Q345" i="49" s="1"/>
  <c r="G8" i="17"/>
  <c r="F116" i="14"/>
  <c r="L116" i="14"/>
  <c r="J116" i="14"/>
  <c r="G116" i="14"/>
  <c r="I116" i="14"/>
  <c r="C116" i="14"/>
  <c r="K116" i="14"/>
  <c r="H116" i="14"/>
  <c r="E116" i="14"/>
  <c r="D116" i="14"/>
  <c r="G79" i="21"/>
  <c r="G80" i="21"/>
  <c r="G85" i="21"/>
  <c r="G82" i="21"/>
  <c r="P23" i="13"/>
  <c r="G11" i="6"/>
  <c r="G15" i="12"/>
  <c r="H15" i="12" s="1"/>
  <c r="E17" i="5"/>
  <c r="M26" i="13"/>
  <c r="R12" i="39"/>
  <c r="N5176" i="49"/>
  <c r="O5176" i="49" s="1"/>
  <c r="N5032" i="49"/>
  <c r="O5032" i="49" s="1"/>
  <c r="N5075" i="49"/>
  <c r="O5075" i="49" s="1"/>
  <c r="N4933" i="49"/>
  <c r="O4933" i="49" s="1"/>
  <c r="Q581" i="49"/>
  <c r="J581" i="49"/>
  <c r="G16" i="8"/>
  <c r="J481" i="49"/>
  <c r="Q481" i="49"/>
  <c r="N4966" i="49"/>
  <c r="O4966" i="49" s="1"/>
  <c r="J314" i="49"/>
  <c r="Q314" i="49" s="1"/>
  <c r="N5061" i="49"/>
  <c r="O5061" i="49" s="1"/>
  <c r="J534" i="49"/>
  <c r="Q534" i="49" s="1"/>
  <c r="N4969" i="49"/>
  <c r="O4969" i="49" s="1"/>
  <c r="N5168" i="49"/>
  <c r="O5168" i="49" s="1"/>
  <c r="N5069" i="49"/>
  <c r="O5069" i="49" s="1"/>
  <c r="E16" i="5"/>
  <c r="G14" i="12"/>
  <c r="H14" i="12" s="1"/>
  <c r="G19" i="24"/>
  <c r="N5169" i="49"/>
  <c r="O5169" i="49" s="1"/>
  <c r="N4968" i="49"/>
  <c r="O4968" i="49" s="1"/>
  <c r="N5178" i="49"/>
  <c r="O5178" i="49" s="1"/>
  <c r="G85" i="31"/>
  <c r="G79" i="31"/>
  <c r="G82" i="31"/>
  <c r="G80" i="31"/>
  <c r="J545" i="49"/>
  <c r="Q545" i="49" s="1"/>
  <c r="J520" i="49"/>
  <c r="Q520" i="49" s="1"/>
  <c r="H85" i="20"/>
  <c r="H79" i="20"/>
  <c r="H82" i="20"/>
  <c r="H80" i="20"/>
  <c r="N5179" i="49"/>
  <c r="O5179" i="49" s="1"/>
  <c r="N4962" i="49"/>
  <c r="O4962" i="49" s="1"/>
  <c r="N4994" i="49"/>
  <c r="O4994" i="49" s="1"/>
  <c r="N5180" i="49"/>
  <c r="O5180" i="49" s="1"/>
  <c r="J387" i="49"/>
  <c r="Q387" i="49" s="1"/>
  <c r="J383" i="49"/>
  <c r="Q383" i="49" s="1"/>
  <c r="G7" i="12"/>
  <c r="H7" i="12" s="1"/>
  <c r="E9" i="5"/>
  <c r="N5062" i="49"/>
  <c r="O5062" i="49" s="1"/>
  <c r="Q311" i="49"/>
  <c r="J311" i="49"/>
  <c r="J580" i="49"/>
  <c r="Q580" i="49" s="1"/>
  <c r="N5122" i="49"/>
  <c r="O5122" i="49" s="1"/>
  <c r="N5119" i="49"/>
  <c r="O5119" i="49" s="1"/>
  <c r="N5073" i="49"/>
  <c r="O5073" i="49" s="1"/>
  <c r="J522" i="49"/>
  <c r="Q522" i="49" s="1"/>
  <c r="J301" i="49"/>
  <c r="Q301" i="49" s="1"/>
  <c r="J543" i="49"/>
  <c r="Q543" i="49"/>
  <c r="N5098" i="49"/>
  <c r="O5098" i="49" s="1"/>
  <c r="N5047" i="49"/>
  <c r="O5047" i="49" s="1"/>
  <c r="R14" i="39"/>
  <c r="X75" i="18"/>
  <c r="L75" i="18"/>
  <c r="V66" i="18"/>
  <c r="J66" i="18"/>
  <c r="S60" i="18"/>
  <c r="G60" i="18"/>
  <c r="Y47" i="18"/>
  <c r="M47" i="18"/>
  <c r="U75" i="18"/>
  <c r="I75" i="18"/>
  <c r="S66" i="18"/>
  <c r="G66" i="18"/>
  <c r="P60" i="18"/>
  <c r="V47" i="18"/>
  <c r="J47" i="18"/>
  <c r="Y43" i="18"/>
  <c r="P75" i="18"/>
  <c r="U66" i="18"/>
  <c r="F66" i="18"/>
  <c r="Y60" i="18"/>
  <c r="K60" i="18"/>
  <c r="U47" i="18"/>
  <c r="G47" i="18"/>
  <c r="O43" i="18"/>
  <c r="O75" i="18"/>
  <c r="T66" i="18"/>
  <c r="E66" i="18"/>
  <c r="X60" i="18"/>
  <c r="J60" i="18"/>
  <c r="T47" i="18"/>
  <c r="F47" i="18"/>
  <c r="N43" i="18"/>
  <c r="N75" i="18"/>
  <c r="R66" i="18"/>
  <c r="W60" i="18"/>
  <c r="I60" i="18"/>
  <c r="S47" i="18"/>
  <c r="E47" i="18"/>
  <c r="M43" i="18"/>
  <c r="M75" i="18"/>
  <c r="Q66" i="18"/>
  <c r="V60" i="18"/>
  <c r="H60" i="18"/>
  <c r="R47" i="18"/>
  <c r="X43" i="18"/>
  <c r="L43" i="18"/>
  <c r="K75" i="18"/>
  <c r="P66" i="18"/>
  <c r="U60" i="18"/>
  <c r="F60" i="18"/>
  <c r="Q47" i="18"/>
  <c r="W43" i="18"/>
  <c r="K43" i="18"/>
  <c r="Y75" i="18"/>
  <c r="J75" i="18"/>
  <c r="O66" i="18"/>
  <c r="T60" i="18"/>
  <c r="E60" i="18"/>
  <c r="P47" i="18"/>
  <c r="V43" i="18"/>
  <c r="J43" i="18"/>
  <c r="E75" i="18"/>
  <c r="Y66" i="18"/>
  <c r="N60" i="18"/>
  <c r="F43" i="18"/>
  <c r="X66" i="18"/>
  <c r="M60" i="18"/>
  <c r="X47" i="18"/>
  <c r="W75" i="18"/>
  <c r="N66" i="18"/>
  <c r="O47" i="18"/>
  <c r="U43" i="18"/>
  <c r="T75" i="18"/>
  <c r="L66" i="18"/>
  <c r="L47" i="18"/>
  <c r="S43" i="18"/>
  <c r="Q75" i="18"/>
  <c r="H66" i="18"/>
  <c r="H47" i="18"/>
  <c r="P43" i="18"/>
  <c r="K66" i="18"/>
  <c r="Q60" i="18"/>
  <c r="I43" i="18"/>
  <c r="R75" i="18"/>
  <c r="K47" i="18"/>
  <c r="H75" i="18"/>
  <c r="I47" i="18"/>
  <c r="T43" i="18"/>
  <c r="S75" i="18"/>
  <c r="M66" i="18"/>
  <c r="R43" i="18"/>
  <c r="L60" i="18"/>
  <c r="H43" i="18"/>
  <c r="W47" i="18"/>
  <c r="G75" i="18"/>
  <c r="F75" i="18"/>
  <c r="W66" i="18"/>
  <c r="R60" i="18"/>
  <c r="G43" i="18"/>
  <c r="V75" i="18"/>
  <c r="I66" i="18"/>
  <c r="O60" i="18"/>
  <c r="Q43" i="18"/>
  <c r="N47" i="18"/>
  <c r="R23" i="39"/>
  <c r="Q20" i="13"/>
  <c r="R20" i="13" s="1"/>
  <c r="C17" i="14"/>
  <c r="O20" i="13"/>
  <c r="I20" i="13"/>
  <c r="F16" i="14" s="1"/>
  <c r="N5159" i="49"/>
  <c r="O5159" i="49" s="1"/>
  <c r="N4960" i="49"/>
  <c r="O4960" i="49" s="1"/>
  <c r="J414" i="49"/>
  <c r="Q414" i="49" s="1"/>
  <c r="N5081" i="49"/>
  <c r="O5081" i="49" s="1"/>
  <c r="N5089" i="49"/>
  <c r="O5089" i="49" s="1"/>
  <c r="N5051" i="49"/>
  <c r="O5051" i="49" s="1"/>
  <c r="N4924" i="49"/>
  <c r="O4924" i="49" s="1"/>
  <c r="Q300" i="49"/>
  <c r="J300" i="49"/>
  <c r="N75" i="25"/>
  <c r="X66" i="25"/>
  <c r="L66" i="25"/>
  <c r="U60" i="25"/>
  <c r="I60" i="25"/>
  <c r="O47" i="25"/>
  <c r="R43" i="25"/>
  <c r="F43" i="25"/>
  <c r="X75" i="25"/>
  <c r="L75" i="25"/>
  <c r="V66" i="25"/>
  <c r="J66" i="25"/>
  <c r="S60" i="25"/>
  <c r="G60" i="25"/>
  <c r="Y47" i="25"/>
  <c r="M47" i="25"/>
  <c r="P43" i="25"/>
  <c r="R75" i="25"/>
  <c r="W66" i="25"/>
  <c r="H66" i="25"/>
  <c r="M60" i="25"/>
  <c r="W47" i="25"/>
  <c r="I47" i="25"/>
  <c r="N43" i="25"/>
  <c r="O75" i="25"/>
  <c r="S66" i="25"/>
  <c r="E66" i="25"/>
  <c r="X60" i="25"/>
  <c r="J60" i="25"/>
  <c r="T47" i="25"/>
  <c r="F47" i="25"/>
  <c r="Y43" i="25"/>
  <c r="K43" i="25"/>
  <c r="W75" i="25"/>
  <c r="G75" i="25"/>
  <c r="I66" i="25"/>
  <c r="K60" i="25"/>
  <c r="P47" i="25"/>
  <c r="I43" i="25"/>
  <c r="V75" i="25"/>
  <c r="F75" i="25"/>
  <c r="G66" i="25"/>
  <c r="H60" i="25"/>
  <c r="N47" i="25"/>
  <c r="X43" i="25"/>
  <c r="H43" i="25"/>
  <c r="U75" i="25"/>
  <c r="E75" i="25"/>
  <c r="Y66" i="25"/>
  <c r="F66" i="25"/>
  <c r="Y60" i="25"/>
  <c r="F60" i="25"/>
  <c r="L47" i="25"/>
  <c r="W43" i="25"/>
  <c r="G43" i="25"/>
  <c r="T75" i="25"/>
  <c r="U66" i="25"/>
  <c r="W60" i="25"/>
  <c r="E60" i="25"/>
  <c r="K47" i="25"/>
  <c r="V43" i="25"/>
  <c r="S75" i="25"/>
  <c r="T66" i="25"/>
  <c r="V60" i="25"/>
  <c r="J47" i="25"/>
  <c r="U43" i="25"/>
  <c r="Q75" i="25"/>
  <c r="R66" i="25"/>
  <c r="T60" i="25"/>
  <c r="H47" i="25"/>
  <c r="T43" i="25"/>
  <c r="X47" i="25"/>
  <c r="S43" i="25"/>
  <c r="V47" i="25"/>
  <c r="Q43" i="25"/>
  <c r="S47" i="25"/>
  <c r="M43" i="25"/>
  <c r="Y75" i="25"/>
  <c r="Q47" i="25"/>
  <c r="J43" i="25"/>
  <c r="K75" i="25"/>
  <c r="O66" i="25"/>
  <c r="P60" i="25"/>
  <c r="J75" i="25"/>
  <c r="K66" i="25"/>
  <c r="R60" i="25"/>
  <c r="Q66" i="25"/>
  <c r="N60" i="25"/>
  <c r="R47" i="25"/>
  <c r="P66" i="25"/>
  <c r="L60" i="25"/>
  <c r="G47" i="25"/>
  <c r="O43" i="25"/>
  <c r="M75" i="25"/>
  <c r="M66" i="25"/>
  <c r="Q60" i="25"/>
  <c r="O60" i="25"/>
  <c r="U47" i="25"/>
  <c r="N66" i="25"/>
  <c r="I75" i="25"/>
  <c r="H75" i="25"/>
  <c r="L43" i="25"/>
  <c r="P75" i="25"/>
  <c r="E47" i="25"/>
  <c r="C10" i="6"/>
  <c r="H8" i="3"/>
  <c r="N5155" i="49"/>
  <c r="O5155" i="49" s="1"/>
  <c r="N5060" i="49"/>
  <c r="O5060" i="49" s="1"/>
  <c r="Q394" i="49"/>
  <c r="J394" i="49"/>
  <c r="J424" i="49"/>
  <c r="Q424" i="49" s="1"/>
  <c r="N5162" i="49"/>
  <c r="O5162" i="49" s="1"/>
  <c r="N5158" i="49"/>
  <c r="O5158" i="49" s="1"/>
  <c r="J575" i="49"/>
  <c r="Q575" i="49" s="1"/>
  <c r="J494" i="49"/>
  <c r="Q494" i="49" s="1"/>
  <c r="N5066" i="49"/>
  <c r="O5066" i="49" s="1"/>
  <c r="G18" i="8"/>
  <c r="G28" i="8"/>
  <c r="G30" i="8"/>
  <c r="N5078" i="49"/>
  <c r="O5078" i="49" s="1"/>
  <c r="J423" i="49"/>
  <c r="Q423" i="49" s="1"/>
  <c r="J550" i="49"/>
  <c r="Q550" i="49" s="1"/>
  <c r="G19" i="25"/>
  <c r="J542" i="49"/>
  <c r="Q542" i="49" s="1"/>
  <c r="J136" i="14"/>
  <c r="F136" i="14"/>
  <c r="K136" i="14"/>
  <c r="I136" i="14"/>
  <c r="G136" i="14"/>
  <c r="D136" i="14"/>
  <c r="L136" i="14"/>
  <c r="C136" i="14"/>
  <c r="E136" i="14"/>
  <c r="H136" i="14"/>
  <c r="C15" i="5"/>
  <c r="G19" i="19"/>
  <c r="G11" i="12"/>
  <c r="H11" i="12" s="1"/>
  <c r="E13" i="5"/>
  <c r="D32" i="14"/>
  <c r="G132" i="13" s="1"/>
  <c r="F62" i="17" s="1"/>
  <c r="C32" i="14"/>
  <c r="F132" i="13" s="1"/>
  <c r="E62" i="17" s="1"/>
  <c r="I32" i="14"/>
  <c r="L132" i="13" s="1"/>
  <c r="E31" i="14"/>
  <c r="E32" i="14"/>
  <c r="H132" i="13" s="1"/>
  <c r="G62" i="17" s="1"/>
  <c r="D31" i="14"/>
  <c r="H31" i="14"/>
  <c r="F31" i="14"/>
  <c r="C31" i="14"/>
  <c r="G31" i="14"/>
  <c r="G32" i="14"/>
  <c r="J132" i="13" s="1"/>
  <c r="I62" i="17" s="1"/>
  <c r="I31" i="14"/>
  <c r="I7" i="3"/>
  <c r="D9" i="6"/>
  <c r="F32" i="14"/>
  <c r="I132" i="13" s="1"/>
  <c r="H62" i="17" s="1"/>
  <c r="H32" i="14"/>
  <c r="K132" i="13" s="1"/>
  <c r="H10" i="39"/>
  <c r="R10" i="39" s="1"/>
  <c r="I19" i="30"/>
  <c r="G79" i="27"/>
  <c r="G80" i="27"/>
  <c r="G85" i="27"/>
  <c r="G82" i="27"/>
  <c r="H35" i="27"/>
  <c r="H31" i="27"/>
  <c r="H27" i="27"/>
  <c r="H17" i="27"/>
  <c r="H44" i="27"/>
  <c r="H18" i="27"/>
  <c r="H16" i="27"/>
  <c r="H33" i="27"/>
  <c r="H37" i="27"/>
  <c r="H32" i="27"/>
  <c r="H30" i="27"/>
  <c r="H28" i="27"/>
  <c r="H29" i="27"/>
  <c r="H15" i="27"/>
  <c r="H34" i="27"/>
  <c r="H72" i="27"/>
  <c r="H38" i="27"/>
  <c r="I12" i="27"/>
  <c r="H14" i="27"/>
  <c r="H36" i="27"/>
  <c r="H36" i="24"/>
  <c r="H32" i="24"/>
  <c r="H28" i="24"/>
  <c r="H18" i="24"/>
  <c r="H14" i="24"/>
  <c r="H29" i="24"/>
  <c r="H27" i="24"/>
  <c r="H34" i="24"/>
  <c r="H38" i="24"/>
  <c r="H33" i="24"/>
  <c r="H44" i="24"/>
  <c r="H37" i="24"/>
  <c r="H17" i="24"/>
  <c r="I12" i="24"/>
  <c r="H16" i="24"/>
  <c r="H35" i="24"/>
  <c r="H31" i="24"/>
  <c r="H30" i="24"/>
  <c r="H72" i="24"/>
  <c r="H15" i="24"/>
  <c r="N4972" i="49"/>
  <c r="O4972" i="49" s="1"/>
  <c r="N4936" i="49"/>
  <c r="O4936" i="49" s="1"/>
  <c r="J330" i="49"/>
  <c r="Q330" i="49" s="1"/>
  <c r="H39" i="20"/>
  <c r="N5026" i="49"/>
  <c r="O5026" i="49" s="1"/>
  <c r="J453" i="49"/>
  <c r="Q453" i="49" s="1"/>
  <c r="R22" i="39"/>
  <c r="N5016" i="49"/>
  <c r="O5016" i="49" s="1"/>
  <c r="Q382" i="49"/>
  <c r="J382" i="49"/>
  <c r="J523" i="49"/>
  <c r="Q523" i="49"/>
  <c r="J357" i="49"/>
  <c r="Q357" i="49" s="1"/>
  <c r="R75" i="17"/>
  <c r="F75" i="17"/>
  <c r="P66" i="17"/>
  <c r="Y60" i="17"/>
  <c r="M60" i="17"/>
  <c r="S47" i="17"/>
  <c r="G47" i="17"/>
  <c r="V43" i="17"/>
  <c r="J43" i="17"/>
  <c r="Q75" i="17"/>
  <c r="E75" i="17"/>
  <c r="O66" i="17"/>
  <c r="X60" i="17"/>
  <c r="L60" i="17"/>
  <c r="R47" i="17"/>
  <c r="F47" i="17"/>
  <c r="U43" i="17"/>
  <c r="I43" i="17"/>
  <c r="P75" i="17"/>
  <c r="N66" i="17"/>
  <c r="W60" i="17"/>
  <c r="K60" i="17"/>
  <c r="Q47" i="17"/>
  <c r="E47" i="17"/>
  <c r="T43" i="17"/>
  <c r="H43" i="17"/>
  <c r="O75" i="17"/>
  <c r="Y66" i="17"/>
  <c r="M66" i="17"/>
  <c r="V60" i="17"/>
  <c r="J60" i="17"/>
  <c r="P47" i="17"/>
  <c r="S43" i="17"/>
  <c r="G43" i="17"/>
  <c r="N75" i="17"/>
  <c r="X66" i="17"/>
  <c r="L66" i="17"/>
  <c r="U60" i="17"/>
  <c r="I60" i="17"/>
  <c r="O47" i="17"/>
  <c r="R43" i="17"/>
  <c r="F43" i="17"/>
  <c r="Y75" i="17"/>
  <c r="M75" i="17"/>
  <c r="W66" i="17"/>
  <c r="K66" i="17"/>
  <c r="T60" i="17"/>
  <c r="H60" i="17"/>
  <c r="N47" i="17"/>
  <c r="Q43" i="17"/>
  <c r="S75" i="17"/>
  <c r="E66" i="17"/>
  <c r="N60" i="17"/>
  <c r="T47" i="17"/>
  <c r="K43" i="17"/>
  <c r="L75" i="17"/>
  <c r="V66" i="17"/>
  <c r="G60" i="17"/>
  <c r="M47" i="17"/>
  <c r="J75" i="17"/>
  <c r="T66" i="17"/>
  <c r="E60" i="17"/>
  <c r="K47" i="17"/>
  <c r="H75" i="17"/>
  <c r="R66" i="17"/>
  <c r="I47" i="17"/>
  <c r="X43" i="17"/>
  <c r="W75" i="17"/>
  <c r="I66" i="17"/>
  <c r="R60" i="17"/>
  <c r="X47" i="17"/>
  <c r="O43" i="17"/>
  <c r="V75" i="17"/>
  <c r="H66" i="17"/>
  <c r="N43" i="17"/>
  <c r="K75" i="17"/>
  <c r="S60" i="17"/>
  <c r="W47" i="17"/>
  <c r="I75" i="17"/>
  <c r="Q60" i="17"/>
  <c r="V47" i="17"/>
  <c r="G75" i="17"/>
  <c r="P60" i="17"/>
  <c r="U47" i="17"/>
  <c r="S66" i="17"/>
  <c r="Y43" i="17"/>
  <c r="U66" i="17"/>
  <c r="L47" i="17"/>
  <c r="T75" i="17"/>
  <c r="H47" i="17"/>
  <c r="O60" i="17"/>
  <c r="Q66" i="17"/>
  <c r="J66" i="17"/>
  <c r="W43" i="17"/>
  <c r="G66" i="17"/>
  <c r="Y47" i="17"/>
  <c r="P43" i="17"/>
  <c r="X75" i="17"/>
  <c r="F66" i="17"/>
  <c r="M43" i="17"/>
  <c r="U75" i="17"/>
  <c r="J47" i="17"/>
  <c r="L43" i="17"/>
  <c r="F60" i="17"/>
  <c r="N5012" i="49"/>
  <c r="O5012" i="49" s="1"/>
  <c r="J312" i="49"/>
  <c r="Q312" i="49"/>
  <c r="J506" i="49"/>
  <c r="Q506" i="49" s="1"/>
  <c r="J547" i="49"/>
  <c r="Q547" i="49" s="1"/>
  <c r="H6" i="3"/>
  <c r="C8" i="6"/>
  <c r="M24" i="13"/>
  <c r="N5021" i="49"/>
  <c r="O5021" i="49" s="1"/>
  <c r="N4999" i="49"/>
  <c r="O4999" i="49" s="1"/>
  <c r="Q505" i="49"/>
  <c r="J505" i="49"/>
  <c r="J389" i="49"/>
  <c r="Q389" i="49" s="1"/>
  <c r="D11" i="6"/>
  <c r="E51" i="14"/>
  <c r="D51" i="14"/>
  <c r="I9" i="3"/>
  <c r="H52" i="14"/>
  <c r="K134" i="13" s="1"/>
  <c r="H51" i="14"/>
  <c r="I51" i="14"/>
  <c r="F51" i="14"/>
  <c r="J52" i="14"/>
  <c r="I52" i="14"/>
  <c r="L134" i="13" s="1"/>
  <c r="G51" i="14"/>
  <c r="C52" i="14"/>
  <c r="F134" i="13" s="1"/>
  <c r="E62" i="19" s="1"/>
  <c r="E52" i="14"/>
  <c r="H134" i="13" s="1"/>
  <c r="G62" i="19" s="1"/>
  <c r="G52" i="14"/>
  <c r="J134" i="13" s="1"/>
  <c r="C51" i="14"/>
  <c r="F52" i="14"/>
  <c r="I134" i="13" s="1"/>
  <c r="H62" i="19" s="1"/>
  <c r="D52" i="14"/>
  <c r="G134" i="13" s="1"/>
  <c r="F62" i="19" s="1"/>
  <c r="E46" i="14"/>
  <c r="C17" i="5"/>
  <c r="M22" i="13"/>
  <c r="N5018" i="49"/>
  <c r="O5018" i="49" s="1"/>
  <c r="N5187" i="49"/>
  <c r="O5187" i="49" s="1"/>
  <c r="J450" i="49"/>
  <c r="Q450" i="49" s="1"/>
  <c r="J368" i="49"/>
  <c r="Q368" i="49" s="1"/>
  <c r="J325" i="49"/>
  <c r="Q325" i="49" s="1"/>
  <c r="Q427" i="49"/>
  <c r="J427" i="49"/>
  <c r="G36" i="8"/>
  <c r="G19" i="16"/>
  <c r="G14" i="8"/>
  <c r="G34" i="8"/>
  <c r="J469" i="49"/>
  <c r="Q469" i="49"/>
  <c r="N4983" i="49"/>
  <c r="O4983" i="49" s="1"/>
  <c r="N5048" i="49"/>
  <c r="O5048" i="49" s="1"/>
  <c r="H17" i="3"/>
  <c r="C19" i="6"/>
  <c r="N4948" i="49"/>
  <c r="O4948" i="49" s="1"/>
  <c r="J433" i="49"/>
  <c r="Q433" i="49" s="1"/>
  <c r="Q549" i="49"/>
  <c r="J549" i="49"/>
  <c r="N5131" i="49"/>
  <c r="O5131" i="49" s="1"/>
  <c r="N5193" i="49"/>
  <c r="O5193" i="49" s="1"/>
  <c r="J447" i="49"/>
  <c r="Q447" i="49"/>
  <c r="Q458" i="49"/>
  <c r="J458" i="49"/>
  <c r="G32" i="8"/>
  <c r="G38" i="8"/>
  <c r="N5141" i="49"/>
  <c r="O5141" i="49" s="1"/>
  <c r="N5104" i="49"/>
  <c r="O5104" i="49" s="1"/>
  <c r="Q317" i="49"/>
  <c r="J317" i="49"/>
  <c r="N5108" i="49"/>
  <c r="O5108" i="49" s="1"/>
  <c r="N5129" i="49"/>
  <c r="O5129" i="49" s="1"/>
  <c r="J532" i="49"/>
  <c r="Q532" i="49" s="1"/>
  <c r="N5194" i="49"/>
  <c r="O5194" i="49" s="1"/>
  <c r="J417" i="49"/>
  <c r="Q417" i="49" s="1"/>
  <c r="N5203" i="49"/>
  <c r="O5203" i="49" s="1"/>
  <c r="N4919" i="49"/>
  <c r="O4919" i="49" s="1"/>
  <c r="N5099" i="49"/>
  <c r="O5099" i="49" s="1"/>
  <c r="N5070" i="49"/>
  <c r="O5070" i="49" s="1"/>
  <c r="N5028" i="49"/>
  <c r="O5028" i="49" s="1"/>
  <c r="J443" i="49"/>
  <c r="Q443" i="49" s="1"/>
  <c r="F7" i="5"/>
  <c r="E4" i="15"/>
  <c r="N5165" i="49"/>
  <c r="O5165" i="49" s="1"/>
  <c r="N5042" i="49"/>
  <c r="O5042" i="49" s="1"/>
  <c r="J430" i="49"/>
  <c r="Q430" i="49" s="1"/>
  <c r="J347" i="49"/>
  <c r="Q347" i="49" s="1"/>
  <c r="J346" i="49"/>
  <c r="Q346" i="49" s="1"/>
  <c r="E23" i="21"/>
  <c r="F23" i="21"/>
  <c r="H10" i="3"/>
  <c r="C12" i="6"/>
  <c r="N4976" i="49"/>
  <c r="O4976" i="49" s="1"/>
  <c r="J518" i="49"/>
  <c r="Q518" i="49" s="1"/>
  <c r="N5096" i="49"/>
  <c r="O5096" i="49" s="1"/>
  <c r="N4926" i="49"/>
  <c r="O4926" i="49" s="1"/>
  <c r="J385" i="49"/>
  <c r="Q385" i="49" s="1"/>
  <c r="H37" i="21"/>
  <c r="H62" i="21"/>
  <c r="H28" i="21"/>
  <c r="H30" i="21"/>
  <c r="H17" i="21"/>
  <c r="H15" i="21"/>
  <c r="H72" i="21"/>
  <c r="H32" i="21"/>
  <c r="H34" i="21"/>
  <c r="H38" i="21"/>
  <c r="H27" i="21"/>
  <c r="H14" i="21"/>
  <c r="H18" i="21"/>
  <c r="H36" i="21"/>
  <c r="I12" i="21"/>
  <c r="H29" i="21"/>
  <c r="H16" i="21"/>
  <c r="H31" i="21"/>
  <c r="H33" i="21"/>
  <c r="H44" i="21"/>
  <c r="H35" i="21"/>
  <c r="H23" i="21"/>
  <c r="C48" i="14"/>
  <c r="C49" i="14"/>
  <c r="C50" i="14" s="1"/>
  <c r="N4980" i="49"/>
  <c r="O4980" i="49" s="1"/>
  <c r="N5014" i="49"/>
  <c r="O5014" i="49" s="1"/>
  <c r="J434" i="49"/>
  <c r="Q434" i="49"/>
  <c r="N5040" i="49"/>
  <c r="O5040" i="49" s="1"/>
  <c r="J538" i="49"/>
  <c r="Q538" i="49" s="1"/>
  <c r="G37" i="8"/>
  <c r="G44" i="8"/>
  <c r="J476" i="49"/>
  <c r="Q476" i="49" s="1"/>
  <c r="J321" i="49"/>
  <c r="Q321" i="49" s="1"/>
  <c r="J432" i="49"/>
  <c r="Q432" i="49" s="1"/>
  <c r="P25" i="13"/>
  <c r="G13" i="6"/>
  <c r="J326" i="49"/>
  <c r="Q326" i="49" s="1"/>
  <c r="N5067" i="49"/>
  <c r="O5067" i="49" s="1"/>
  <c r="N4989" i="49"/>
  <c r="O4989" i="49" s="1"/>
  <c r="J320" i="49"/>
  <c r="Q320" i="49" s="1"/>
  <c r="J513" i="49"/>
  <c r="Q513" i="49" s="1"/>
  <c r="G80" i="15"/>
  <c r="G82" i="15"/>
  <c r="G85" i="15"/>
  <c r="G79" i="15"/>
  <c r="C18" i="6"/>
  <c r="H16" i="3"/>
  <c r="J582" i="49"/>
  <c r="Q582" i="49"/>
  <c r="J465" i="49"/>
  <c r="Q465" i="49" s="1"/>
  <c r="B11" i="52"/>
  <c r="H8" i="49"/>
  <c r="N5055" i="49"/>
  <c r="O5055" i="49" s="1"/>
  <c r="Q471" i="49"/>
  <c r="J471" i="49"/>
  <c r="N4932" i="49"/>
  <c r="O4932" i="49" s="1"/>
  <c r="N4964" i="49"/>
  <c r="O4964" i="49" s="1"/>
  <c r="N5005" i="49"/>
  <c r="O5005" i="49" s="1"/>
  <c r="J337" i="49"/>
  <c r="Q337" i="49"/>
  <c r="N5157" i="49"/>
  <c r="O5157" i="49" s="1"/>
  <c r="G19" i="29"/>
  <c r="J349" i="49"/>
  <c r="Q349" i="49" s="1"/>
  <c r="J480" i="49"/>
  <c r="Q480" i="49" s="1"/>
  <c r="G19" i="28"/>
  <c r="J515" i="49"/>
  <c r="Q515" i="49" s="1"/>
  <c r="J572" i="49"/>
  <c r="Q572" i="49"/>
  <c r="Q484" i="49"/>
  <c r="J484" i="49"/>
  <c r="J331" i="49"/>
  <c r="Q331" i="49" s="1"/>
  <c r="J323" i="49"/>
  <c r="Q323" i="49" s="1"/>
  <c r="J356" i="49"/>
  <c r="Q356" i="49" s="1"/>
  <c r="J364" i="49"/>
  <c r="Q364" i="49" s="1"/>
  <c r="J578" i="49"/>
  <c r="Q578" i="49" s="1"/>
  <c r="J554" i="49"/>
  <c r="Q554" i="49" s="1"/>
  <c r="J296" i="49"/>
  <c r="Q296" i="49" s="1"/>
  <c r="J442" i="49"/>
  <c r="Q442" i="49" s="1"/>
  <c r="J363" i="49"/>
  <c r="Q363" i="49"/>
  <c r="J358" i="49"/>
  <c r="Q358" i="49" s="1"/>
  <c r="J384" i="49"/>
  <c r="Q384" i="49" s="1"/>
  <c r="J474" i="49"/>
  <c r="Q474" i="49" s="1"/>
  <c r="J507" i="49"/>
  <c r="Q507" i="49"/>
  <c r="J451" i="49"/>
  <c r="Q451" i="49"/>
  <c r="J446" i="49"/>
  <c r="Q446" i="49" s="1"/>
  <c r="J559" i="49"/>
  <c r="Q559" i="49" s="1"/>
  <c r="J374" i="49"/>
  <c r="Q374" i="49" s="1"/>
  <c r="J577" i="49"/>
  <c r="Q577" i="49" s="1"/>
  <c r="G39" i="29"/>
  <c r="J403" i="49"/>
  <c r="Q403" i="49" s="1"/>
  <c r="J388" i="49"/>
  <c r="Q388" i="49" s="1"/>
  <c r="Q455" i="49"/>
  <c r="J455" i="49"/>
  <c r="J498" i="49"/>
  <c r="Q498" i="49"/>
  <c r="J452" i="49"/>
  <c r="Q452" i="49" s="1"/>
  <c r="J348" i="49"/>
  <c r="Q348" i="49" s="1"/>
  <c r="J438" i="49"/>
  <c r="Q438" i="49" s="1"/>
  <c r="J376" i="49"/>
  <c r="Q376" i="49" s="1"/>
  <c r="Q565" i="49"/>
  <c r="J565" i="49"/>
  <c r="J369" i="49"/>
  <c r="Q369" i="49"/>
  <c r="J342" i="49"/>
  <c r="Q342" i="49" s="1"/>
  <c r="J305" i="49"/>
  <c r="Q305" i="49" s="1"/>
  <c r="G82" i="28"/>
  <c r="G80" i="28"/>
  <c r="G85" i="28"/>
  <c r="G79" i="28"/>
  <c r="J308" i="49"/>
  <c r="Q308" i="49" s="1"/>
  <c r="J343" i="49"/>
  <c r="Q343" i="49" s="1"/>
  <c r="J454" i="49"/>
  <c r="Q454" i="49" s="1"/>
  <c r="J400" i="49"/>
  <c r="Q400" i="49" s="1"/>
  <c r="J437" i="49"/>
  <c r="Q437" i="49" s="1"/>
  <c r="J528" i="49"/>
  <c r="Q528" i="49" s="1"/>
  <c r="J540" i="49"/>
  <c r="Q540" i="49"/>
  <c r="J335" i="49"/>
  <c r="Q335" i="49" s="1"/>
  <c r="Q467" i="49"/>
  <c r="J467" i="49"/>
  <c r="J341" i="49"/>
  <c r="Q341" i="49" s="1"/>
  <c r="J420" i="49"/>
  <c r="Q420" i="49" s="1"/>
  <c r="M31" i="13"/>
  <c r="J512" i="49"/>
  <c r="Q512" i="49" s="1"/>
  <c r="J327" i="49"/>
  <c r="Q327" i="49"/>
  <c r="J302" i="49"/>
  <c r="Q302" i="49"/>
  <c r="J574" i="49"/>
  <c r="Q574" i="49" s="1"/>
  <c r="J478" i="49"/>
  <c r="Q478" i="49" s="1"/>
  <c r="F19" i="8"/>
  <c r="J562" i="49"/>
  <c r="Q562" i="49" s="1"/>
  <c r="J524" i="49"/>
  <c r="Q524" i="49" s="1"/>
  <c r="G8" i="51"/>
  <c r="H2352" i="49"/>
  <c r="H2063" i="49"/>
  <c r="H4086" i="49"/>
  <c r="H2667" i="49"/>
  <c r="H926" i="49"/>
  <c r="H2633" i="49"/>
  <c r="G15" i="51"/>
  <c r="H2089" i="49"/>
  <c r="H1215" i="49"/>
  <c r="H3238" i="49"/>
  <c r="H1793" i="49"/>
  <c r="H933" i="49"/>
  <c r="E17" i="46"/>
  <c r="H2082" i="49"/>
  <c r="H924" i="49"/>
  <c r="H2641" i="49"/>
  <c r="H4394" i="49"/>
  <c r="H2371" i="49"/>
  <c r="H3245" i="49"/>
  <c r="H10" i="51"/>
  <c r="H4972" i="49"/>
  <c r="H3525" i="49"/>
  <c r="H4681" i="49"/>
  <c r="H3527" i="49"/>
  <c r="H2660" i="49"/>
  <c r="E742" i="46"/>
  <c r="H1485" i="49"/>
  <c r="E15" i="46"/>
  <c r="H3228" i="49"/>
  <c r="H3194" i="49"/>
  <c r="E495" i="46"/>
  <c r="H4105" i="49"/>
  <c r="H1511" i="49"/>
  <c r="G13" i="51"/>
  <c r="G9" i="51"/>
  <c r="H2650" i="49"/>
  <c r="H2038" i="49"/>
  <c r="E303" i="46"/>
  <c r="H899" i="49"/>
  <c r="G17" i="51"/>
  <c r="H4375" i="49"/>
  <c r="H2930" i="49"/>
  <c r="H1494" i="49"/>
  <c r="H882" i="49"/>
  <c r="E111" i="46"/>
  <c r="H1460" i="49"/>
  <c r="E207" i="46"/>
  <c r="H618" i="49"/>
  <c r="H2055" i="49"/>
  <c r="G14" i="51"/>
  <c r="G12" i="51"/>
  <c r="H2072" i="49"/>
  <c r="H3797" i="49"/>
  <c r="H916" i="49"/>
  <c r="H4683" i="49"/>
  <c r="H1791" i="49"/>
  <c r="H1504" i="49"/>
  <c r="H3816" i="49"/>
  <c r="H637" i="49"/>
  <c r="H2949" i="49"/>
  <c r="I16" i="51"/>
  <c r="H1477" i="49"/>
  <c r="G11" i="51"/>
  <c r="H4953" i="49"/>
  <c r="E550" i="46"/>
  <c r="H2616" i="49"/>
  <c r="E399" i="46"/>
  <c r="H3219" i="49"/>
  <c r="E127" i="46"/>
  <c r="H3211" i="49"/>
  <c r="J4086" i="49" l="1"/>
  <c r="Q4086" i="49" s="1"/>
  <c r="J2063" i="49"/>
  <c r="Q2063" i="49" s="1"/>
  <c r="J2352" i="49"/>
  <c r="Q2352" i="49" s="1"/>
  <c r="H19" i="27"/>
  <c r="E24" i="5"/>
  <c r="H38" i="8"/>
  <c r="K81" i="14"/>
  <c r="D96" i="14"/>
  <c r="K22" i="14"/>
  <c r="N131" i="13" s="1"/>
  <c r="H79" i="18"/>
  <c r="H80" i="18"/>
  <c r="H85" i="18"/>
  <c r="H82" i="18"/>
  <c r="J39" i="30"/>
  <c r="I19" i="20"/>
  <c r="I27" i="18"/>
  <c r="I29" i="18"/>
  <c r="I17" i="18"/>
  <c r="J12" i="18"/>
  <c r="I33" i="18"/>
  <c r="I36" i="18"/>
  <c r="I15" i="18"/>
  <c r="I32" i="18"/>
  <c r="I38" i="18"/>
  <c r="I28" i="18"/>
  <c r="I30" i="18"/>
  <c r="I18" i="18"/>
  <c r="I14" i="18"/>
  <c r="I72" i="18"/>
  <c r="I34" i="18"/>
  <c r="I16" i="18"/>
  <c r="I35" i="18"/>
  <c r="I44" i="18"/>
  <c r="I31" i="18"/>
  <c r="I37" i="18"/>
  <c r="H76" i="14"/>
  <c r="H39" i="18"/>
  <c r="H39" i="15"/>
  <c r="E76" i="14"/>
  <c r="H35" i="8"/>
  <c r="D76" i="14"/>
  <c r="G19" i="8"/>
  <c r="C76" i="14"/>
  <c r="H56" i="14"/>
  <c r="I16" i="14"/>
  <c r="I39" i="17"/>
  <c r="K56" i="14"/>
  <c r="C56" i="14"/>
  <c r="H19" i="18"/>
  <c r="J3211" i="49"/>
  <c r="Q3211" i="49" s="1"/>
  <c r="J127" i="46"/>
  <c r="J3219" i="49"/>
  <c r="Q3219" i="49" s="1"/>
  <c r="J399" i="46"/>
  <c r="J2616" i="49"/>
  <c r="Q2616" i="49" s="1"/>
  <c r="J550" i="46"/>
  <c r="Q4953" i="49"/>
  <c r="J4953" i="49"/>
  <c r="J1477" i="49"/>
  <c r="Q1477" i="49" s="1"/>
  <c r="J2949" i="49"/>
  <c r="Q2949" i="49" s="1"/>
  <c r="J637" i="49"/>
  <c r="Q637" i="49" s="1"/>
  <c r="J3816" i="49"/>
  <c r="Q3816" i="49" s="1"/>
  <c r="J1504" i="49"/>
  <c r="Q1504" i="49" s="1"/>
  <c r="J1791" i="49"/>
  <c r="Q1791" i="49"/>
  <c r="J4683" i="49"/>
  <c r="Q4683" i="49" s="1"/>
  <c r="J916" i="49"/>
  <c r="Q916" i="49" s="1"/>
  <c r="J3797" i="49"/>
  <c r="Q3797" i="49" s="1"/>
  <c r="J2072" i="49"/>
  <c r="Q2072" i="49" s="1"/>
  <c r="J2055" i="49"/>
  <c r="Q2055" i="49"/>
  <c r="J618" i="49"/>
  <c r="Q618" i="49" s="1"/>
  <c r="J207" i="46"/>
  <c r="J1460" i="49"/>
  <c r="Q1460" i="49" s="1"/>
  <c r="J111" i="46"/>
  <c r="J882" i="49"/>
  <c r="Q882" i="49"/>
  <c r="J1494" i="49"/>
  <c r="Q1494" i="49" s="1"/>
  <c r="J2930" i="49"/>
  <c r="Q2930" i="49" s="1"/>
  <c r="J4375" i="49"/>
  <c r="Q4375" i="49" s="1"/>
  <c r="J899" i="49"/>
  <c r="Q899" i="49" s="1"/>
  <c r="J303" i="46"/>
  <c r="J2038" i="49"/>
  <c r="Q2038" i="49" s="1"/>
  <c r="J2650" i="49"/>
  <c r="Q2650" i="49" s="1"/>
  <c r="J1511" i="49"/>
  <c r="Q1511" i="49"/>
  <c r="Q4105" i="49"/>
  <c r="J4105" i="49"/>
  <c r="J495" i="46"/>
  <c r="J3194" i="49"/>
  <c r="Q3194" i="49" s="1"/>
  <c r="J3228" i="49"/>
  <c r="Q3228" i="49" s="1"/>
  <c r="J15" i="46"/>
  <c r="J1485" i="49"/>
  <c r="Q1485" i="49" s="1"/>
  <c r="J742" i="46"/>
  <c r="J2660" i="49"/>
  <c r="Q2660" i="49" s="1"/>
  <c r="Q3527" i="49"/>
  <c r="J3527" i="49"/>
  <c r="J4681" i="49"/>
  <c r="Q4681" i="49"/>
  <c r="J3525" i="49"/>
  <c r="Q3525" i="49" s="1"/>
  <c r="J4972" i="49"/>
  <c r="Q4972" i="49" s="1"/>
  <c r="J3245" i="49"/>
  <c r="Q3245" i="49" s="1"/>
  <c r="J2371" i="49"/>
  <c r="Q2371" i="49" s="1"/>
  <c r="J4394" i="49"/>
  <c r="Q4394" i="49" s="1"/>
  <c r="J2641" i="49"/>
  <c r="Q2641" i="49" s="1"/>
  <c r="J924" i="49"/>
  <c r="Q924" i="49" s="1"/>
  <c r="J2082" i="49"/>
  <c r="Q2082" i="49" s="1"/>
  <c r="J17" i="46"/>
  <c r="Q933" i="49"/>
  <c r="J933" i="49"/>
  <c r="J1793" i="49"/>
  <c r="Q1793" i="49"/>
  <c r="J3238" i="49"/>
  <c r="Q3238" i="49" s="1"/>
  <c r="J1215" i="49"/>
  <c r="Q1215" i="49" s="1"/>
  <c r="Q2089" i="49"/>
  <c r="J2089" i="49"/>
  <c r="J2633" i="49"/>
  <c r="Q2633" i="49" s="1"/>
  <c r="J926" i="49"/>
  <c r="Q926" i="49" s="1"/>
  <c r="J2667" i="49"/>
  <c r="Q2667" i="49" s="1"/>
  <c r="F82" i="13"/>
  <c r="E64" i="23" s="1"/>
  <c r="D87" i="14"/>
  <c r="F76" i="13"/>
  <c r="E64" i="17" s="1"/>
  <c r="D27" i="14"/>
  <c r="F78" i="13"/>
  <c r="E64" i="19" s="1"/>
  <c r="D47" i="14"/>
  <c r="F80" i="13"/>
  <c r="E64" i="21" s="1"/>
  <c r="D67" i="14"/>
  <c r="H17" i="8"/>
  <c r="H19" i="15"/>
  <c r="N112" i="13"/>
  <c r="K113" i="14"/>
  <c r="I17" i="3"/>
  <c r="E131" i="14"/>
  <c r="C132" i="14"/>
  <c r="F142" i="13" s="1"/>
  <c r="E62" i="27" s="1"/>
  <c r="I131" i="14"/>
  <c r="F132" i="14"/>
  <c r="I142" i="13" s="1"/>
  <c r="H62" i="27" s="1"/>
  <c r="D131" i="14"/>
  <c r="E132" i="14"/>
  <c r="H142" i="13" s="1"/>
  <c r="G62" i="27" s="1"/>
  <c r="H131" i="14"/>
  <c r="G132" i="14"/>
  <c r="J142" i="13" s="1"/>
  <c r="H132" i="14"/>
  <c r="K142" i="13" s="1"/>
  <c r="G131" i="14"/>
  <c r="D132" i="14"/>
  <c r="G142" i="13" s="1"/>
  <c r="F62" i="27" s="1"/>
  <c r="F131" i="14"/>
  <c r="I132" i="14"/>
  <c r="L142" i="13" s="1"/>
  <c r="J132" i="14"/>
  <c r="M142" i="13" s="1"/>
  <c r="J131" i="14"/>
  <c r="D19" i="6"/>
  <c r="C131" i="14"/>
  <c r="G8" i="27"/>
  <c r="H20" i="39"/>
  <c r="R20" i="39" s="1"/>
  <c r="K132" i="14"/>
  <c r="N142" i="13" s="1"/>
  <c r="I108" i="13"/>
  <c r="H61" i="21" s="1"/>
  <c r="F73" i="14"/>
  <c r="C54" i="14"/>
  <c r="F50" i="13" s="1"/>
  <c r="E48" i="19" s="1"/>
  <c r="E53" i="14"/>
  <c r="H106" i="13"/>
  <c r="G61" i="19" s="1"/>
  <c r="H80" i="24"/>
  <c r="H85" i="24"/>
  <c r="H82" i="24"/>
  <c r="H79" i="24"/>
  <c r="P31" i="13"/>
  <c r="G19" i="6"/>
  <c r="K108" i="13"/>
  <c r="H73" i="14"/>
  <c r="K126" i="14"/>
  <c r="J126" i="14"/>
  <c r="H15" i="8"/>
  <c r="H39" i="16"/>
  <c r="H27" i="8"/>
  <c r="C34" i="14"/>
  <c r="F48" i="13" s="1"/>
  <c r="E48" i="17" s="1"/>
  <c r="C94" i="14"/>
  <c r="F54" i="13" s="1"/>
  <c r="E48" i="23" s="1"/>
  <c r="E93" i="14"/>
  <c r="H110" i="13"/>
  <c r="G61" i="23" s="1"/>
  <c r="I62" i="15"/>
  <c r="I36" i="15"/>
  <c r="I32" i="15"/>
  <c r="I28" i="15"/>
  <c r="I18" i="15"/>
  <c r="I14" i="15"/>
  <c r="I37" i="15"/>
  <c r="I33" i="15"/>
  <c r="I29" i="15"/>
  <c r="I23" i="15"/>
  <c r="I15" i="15"/>
  <c r="I72" i="15"/>
  <c r="I44" i="15"/>
  <c r="I30" i="15"/>
  <c r="I16" i="15"/>
  <c r="I38" i="15"/>
  <c r="I35" i="15"/>
  <c r="J12" i="15"/>
  <c r="I17" i="15"/>
  <c r="I31" i="15"/>
  <c r="I34" i="15"/>
  <c r="I27" i="15"/>
  <c r="H19" i="31"/>
  <c r="J8" i="49"/>
  <c r="Q8" i="49" s="1"/>
  <c r="H82" i="21"/>
  <c r="H79" i="21"/>
  <c r="H85" i="21"/>
  <c r="H80" i="21"/>
  <c r="M134" i="13"/>
  <c r="J53" i="14"/>
  <c r="J104" i="13"/>
  <c r="I61" i="17" s="1"/>
  <c r="G33" i="14"/>
  <c r="F13" i="5"/>
  <c r="E4" i="21"/>
  <c r="C128" i="14"/>
  <c r="E73" i="14"/>
  <c r="H108" i="13"/>
  <c r="G61" i="21" s="1"/>
  <c r="L126" i="14"/>
  <c r="H39" i="29"/>
  <c r="H32" i="8"/>
  <c r="H31" i="8"/>
  <c r="I37" i="19"/>
  <c r="I33" i="19"/>
  <c r="I29" i="19"/>
  <c r="I23" i="19"/>
  <c r="I15" i="19"/>
  <c r="I44" i="19"/>
  <c r="I38" i="19"/>
  <c r="I34" i="19"/>
  <c r="I30" i="19"/>
  <c r="I16" i="19"/>
  <c r="I62" i="19"/>
  <c r="I28" i="19"/>
  <c r="I17" i="19"/>
  <c r="I72" i="19"/>
  <c r="I32" i="19"/>
  <c r="I27" i="19"/>
  <c r="I31" i="19"/>
  <c r="I36" i="19"/>
  <c r="J12" i="19"/>
  <c r="I18" i="19"/>
  <c r="I35" i="19"/>
  <c r="I14" i="19"/>
  <c r="N105" i="13"/>
  <c r="D10" i="6"/>
  <c r="F42" i="14"/>
  <c r="I133" i="13" s="1"/>
  <c r="H62" i="18" s="1"/>
  <c r="E42" i="14"/>
  <c r="H133" i="13" s="1"/>
  <c r="G62" i="18" s="1"/>
  <c r="I42" i="14"/>
  <c r="L133" i="13" s="1"/>
  <c r="C42" i="14"/>
  <c r="F133" i="13" s="1"/>
  <c r="E62" i="18" s="1"/>
  <c r="I8" i="3"/>
  <c r="C41" i="14"/>
  <c r="E41" i="14"/>
  <c r="J41" i="14"/>
  <c r="D41" i="14"/>
  <c r="J42" i="14"/>
  <c r="M133" i="13" s="1"/>
  <c r="G42" i="14"/>
  <c r="J133" i="13" s="1"/>
  <c r="I62" i="18" s="1"/>
  <c r="H42" i="14"/>
  <c r="K133" i="13" s="1"/>
  <c r="J62" i="18" s="1"/>
  <c r="H41" i="14"/>
  <c r="D42" i="14"/>
  <c r="G133" i="13" s="1"/>
  <c r="F62" i="18" s="1"/>
  <c r="F41" i="14"/>
  <c r="G41" i="14"/>
  <c r="I41" i="14"/>
  <c r="H11" i="39"/>
  <c r="R11" i="39" s="1"/>
  <c r="G8" i="18"/>
  <c r="K36" i="14"/>
  <c r="F36" i="14"/>
  <c r="E36" i="14"/>
  <c r="D36" i="14"/>
  <c r="K42" i="14"/>
  <c r="N133" i="13" s="1"/>
  <c r="G36" i="14"/>
  <c r="C36" i="14"/>
  <c r="J36" i="14"/>
  <c r="I36" i="14"/>
  <c r="I106" i="13"/>
  <c r="H61" i="19" s="1"/>
  <c r="F53" i="14"/>
  <c r="H29" i="8"/>
  <c r="F23" i="5"/>
  <c r="E4" i="31"/>
  <c r="G93" i="14"/>
  <c r="J110" i="13"/>
  <c r="M110" i="13"/>
  <c r="J93" i="14"/>
  <c r="H82" i="15"/>
  <c r="H79" i="15"/>
  <c r="H85" i="15"/>
  <c r="H80" i="15"/>
  <c r="H79" i="19"/>
  <c r="H80" i="19"/>
  <c r="H82" i="19"/>
  <c r="H85" i="19"/>
  <c r="K73" i="14"/>
  <c r="N108" i="13"/>
  <c r="F18" i="5"/>
  <c r="E4" i="26"/>
  <c r="K38" i="30"/>
  <c r="K33" i="30"/>
  <c r="K28" i="30"/>
  <c r="K36" i="30"/>
  <c r="K23" i="30"/>
  <c r="K17" i="30"/>
  <c r="K35" i="30"/>
  <c r="K27" i="30"/>
  <c r="K16" i="30"/>
  <c r="K15" i="30"/>
  <c r="K29" i="30"/>
  <c r="K30" i="30"/>
  <c r="K18" i="30"/>
  <c r="K31" i="30"/>
  <c r="K72" i="30"/>
  <c r="K14" i="30"/>
  <c r="K34" i="30"/>
  <c r="K32" i="30"/>
  <c r="L12" i="30"/>
  <c r="K44" i="30"/>
  <c r="K37" i="30"/>
  <c r="G10" i="6"/>
  <c r="P22" i="13"/>
  <c r="H39" i="27"/>
  <c r="F104" i="13"/>
  <c r="E61" i="17" s="1"/>
  <c r="C33" i="14"/>
  <c r="I53" i="14"/>
  <c r="L106" i="13"/>
  <c r="H39" i="24"/>
  <c r="F33" i="14"/>
  <c r="I104" i="13"/>
  <c r="H61" i="17" s="1"/>
  <c r="F17" i="5"/>
  <c r="E4" i="25"/>
  <c r="J108" i="13"/>
  <c r="G73" i="14"/>
  <c r="E126" i="14"/>
  <c r="D126" i="14"/>
  <c r="D53" i="14"/>
  <c r="G106" i="13"/>
  <c r="F61" i="19" s="1"/>
  <c r="I33" i="14"/>
  <c r="L104" i="13"/>
  <c r="H16" i="8"/>
  <c r="H80" i="22"/>
  <c r="H85" i="22"/>
  <c r="H79" i="22"/>
  <c r="H82" i="22"/>
  <c r="I44" i="23"/>
  <c r="I38" i="23"/>
  <c r="I34" i="23"/>
  <c r="I30" i="23"/>
  <c r="I16" i="23"/>
  <c r="I14" i="23"/>
  <c r="I35" i="23"/>
  <c r="I33" i="23"/>
  <c r="I72" i="23"/>
  <c r="I15" i="23"/>
  <c r="I23" i="23"/>
  <c r="I18" i="23"/>
  <c r="I62" i="23"/>
  <c r="I29" i="23"/>
  <c r="J12" i="23"/>
  <c r="I17" i="23"/>
  <c r="I36" i="23"/>
  <c r="I32" i="23"/>
  <c r="I61" i="23"/>
  <c r="I27" i="23"/>
  <c r="I37" i="23"/>
  <c r="I31" i="23"/>
  <c r="I28" i="23"/>
  <c r="H39" i="25"/>
  <c r="I72" i="21"/>
  <c r="J12" i="21"/>
  <c r="I37" i="21"/>
  <c r="I62" i="21"/>
  <c r="I28" i="21"/>
  <c r="I30" i="21"/>
  <c r="I17" i="21"/>
  <c r="I15" i="21"/>
  <c r="I32" i="21"/>
  <c r="I34" i="21"/>
  <c r="I36" i="21"/>
  <c r="I14" i="21"/>
  <c r="I44" i="21"/>
  <c r="I31" i="21"/>
  <c r="I35" i="21"/>
  <c r="I61" i="21"/>
  <c r="I23" i="21"/>
  <c r="I29" i="21"/>
  <c r="I38" i="21"/>
  <c r="I16" i="21"/>
  <c r="I18" i="21"/>
  <c r="I27" i="21"/>
  <c r="I33" i="21"/>
  <c r="H33" i="14"/>
  <c r="K104" i="13"/>
  <c r="I6" i="3"/>
  <c r="H21" i="14"/>
  <c r="F21" i="14"/>
  <c r="G21" i="14"/>
  <c r="C21" i="14"/>
  <c r="E22" i="14"/>
  <c r="H131" i="13" s="1"/>
  <c r="G62" i="16" s="1"/>
  <c r="C22" i="14"/>
  <c r="F131" i="13" s="1"/>
  <c r="E62" i="16" s="1"/>
  <c r="E21" i="14"/>
  <c r="I22" i="14"/>
  <c r="L131" i="13" s="1"/>
  <c r="I21" i="14"/>
  <c r="F22" i="14"/>
  <c r="I131" i="13" s="1"/>
  <c r="H62" i="16" s="1"/>
  <c r="G22" i="14"/>
  <c r="J131" i="13" s="1"/>
  <c r="I62" i="16" s="1"/>
  <c r="J21" i="14"/>
  <c r="H22" i="14"/>
  <c r="K131" i="13" s="1"/>
  <c r="D22" i="14"/>
  <c r="G131" i="13" s="1"/>
  <c r="F62" i="16" s="1"/>
  <c r="D8" i="6"/>
  <c r="G8" i="16"/>
  <c r="I23" i="16" s="1"/>
  <c r="D21" i="14"/>
  <c r="J22" i="14"/>
  <c r="M131" i="13" s="1"/>
  <c r="H9" i="39"/>
  <c r="R9" i="39" s="1"/>
  <c r="L16" i="14"/>
  <c r="D16" i="14"/>
  <c r="G16" i="14"/>
  <c r="E16" i="14"/>
  <c r="K21" i="14"/>
  <c r="J16" i="14"/>
  <c r="I73" i="14"/>
  <c r="L108" i="13"/>
  <c r="G108" i="13"/>
  <c r="F61" i="21" s="1"/>
  <c r="D73" i="14"/>
  <c r="B9" i="52"/>
  <c r="H6" i="49"/>
  <c r="F126" i="14"/>
  <c r="H30" i="8"/>
  <c r="H93" i="14"/>
  <c r="K110" i="13"/>
  <c r="C93" i="14"/>
  <c r="F110" i="13"/>
  <c r="E61" i="23" s="1"/>
  <c r="C16" i="14"/>
  <c r="M102" i="13"/>
  <c r="J13" i="14"/>
  <c r="F11" i="5"/>
  <c r="E4" i="19"/>
  <c r="G8" i="6"/>
  <c r="P20" i="13"/>
  <c r="H126" i="14"/>
  <c r="H18" i="8"/>
  <c r="H34" i="8"/>
  <c r="O294" i="49"/>
  <c r="O296" i="49"/>
  <c r="K16" i="14"/>
  <c r="I37" i="28"/>
  <c r="I33" i="28"/>
  <c r="I29" i="28"/>
  <c r="I15" i="28"/>
  <c r="J12" i="28"/>
  <c r="I18" i="28"/>
  <c r="I44" i="28"/>
  <c r="I35" i="28"/>
  <c r="I27" i="28"/>
  <c r="I14" i="28"/>
  <c r="I36" i="28"/>
  <c r="I34" i="28"/>
  <c r="I32" i="28"/>
  <c r="I30" i="28"/>
  <c r="I17" i="28"/>
  <c r="I72" i="28"/>
  <c r="I31" i="28"/>
  <c r="I38" i="28"/>
  <c r="I16" i="28"/>
  <c r="I28" i="28"/>
  <c r="F106" i="13"/>
  <c r="E61" i="19" s="1"/>
  <c r="C53" i="14"/>
  <c r="H19" i="24"/>
  <c r="C18" i="14"/>
  <c r="M108" i="13"/>
  <c r="J73" i="14"/>
  <c r="H21" i="32"/>
  <c r="H21" i="38" s="1"/>
  <c r="F21" i="38"/>
  <c r="I126" i="14"/>
  <c r="H28" i="8"/>
  <c r="F93" i="14"/>
  <c r="I110" i="13"/>
  <c r="H61" i="23" s="1"/>
  <c r="G110" i="13"/>
  <c r="F61" i="23" s="1"/>
  <c r="D93" i="14"/>
  <c r="N106" i="13"/>
  <c r="K53" i="14"/>
  <c r="F23" i="30"/>
  <c r="H23" i="30"/>
  <c r="E23" i="30"/>
  <c r="G23" i="30"/>
  <c r="I23" i="30"/>
  <c r="J23" i="30"/>
  <c r="E33" i="14"/>
  <c r="H104" i="13"/>
  <c r="G61" i="17" s="1"/>
  <c r="G39" i="8"/>
  <c r="H36" i="8"/>
  <c r="H44" i="8"/>
  <c r="I93" i="14"/>
  <c r="L110" i="13"/>
  <c r="F5" i="38"/>
  <c r="H5" i="32"/>
  <c r="C114" i="14"/>
  <c r="F56" i="13" s="1"/>
  <c r="E48" i="25" s="1"/>
  <c r="C109" i="14"/>
  <c r="C110" i="14" s="1"/>
  <c r="H85" i="28"/>
  <c r="H80" i="28"/>
  <c r="H82" i="28"/>
  <c r="H79" i="28"/>
  <c r="I39" i="20"/>
  <c r="H53" i="14"/>
  <c r="K106" i="13"/>
  <c r="I44" i="24"/>
  <c r="I16" i="24"/>
  <c r="I37" i="24"/>
  <c r="I35" i="24"/>
  <c r="I29" i="24"/>
  <c r="I38" i="24"/>
  <c r="I33" i="24"/>
  <c r="I28" i="24"/>
  <c r="I17" i="24"/>
  <c r="J12" i="24"/>
  <c r="I32" i="24"/>
  <c r="I72" i="24"/>
  <c r="I27" i="24"/>
  <c r="I15" i="24"/>
  <c r="I30" i="24"/>
  <c r="I14" i="24"/>
  <c r="I36" i="24"/>
  <c r="I34" i="24"/>
  <c r="I18" i="24"/>
  <c r="I31" i="24"/>
  <c r="H39" i="21"/>
  <c r="I33" i="27"/>
  <c r="I35" i="27"/>
  <c r="I62" i="27"/>
  <c r="I28" i="27"/>
  <c r="I44" i="27"/>
  <c r="I31" i="27"/>
  <c r="I30" i="27"/>
  <c r="I18" i="27"/>
  <c r="I17" i="27"/>
  <c r="I29" i="27"/>
  <c r="I15" i="27"/>
  <c r="I16" i="27"/>
  <c r="I34" i="27"/>
  <c r="I32" i="27"/>
  <c r="I38" i="27"/>
  <c r="I27" i="27"/>
  <c r="I14" i="27"/>
  <c r="I36" i="27"/>
  <c r="I23" i="27"/>
  <c r="I37" i="27"/>
  <c r="J12" i="27"/>
  <c r="I72" i="27"/>
  <c r="F23" i="17"/>
  <c r="G23" i="17"/>
  <c r="E23" i="17"/>
  <c r="H23" i="17"/>
  <c r="I23" i="17"/>
  <c r="F108" i="13"/>
  <c r="E61" i="21" s="1"/>
  <c r="C73" i="14"/>
  <c r="C126" i="14"/>
  <c r="I35" i="16"/>
  <c r="I31" i="16"/>
  <c r="I27" i="16"/>
  <c r="I17" i="16"/>
  <c r="I36" i="16"/>
  <c r="I32" i="16"/>
  <c r="I28" i="16"/>
  <c r="I18" i="16"/>
  <c r="I14" i="16"/>
  <c r="I33" i="16"/>
  <c r="I15" i="16"/>
  <c r="I72" i="16"/>
  <c r="I44" i="16"/>
  <c r="I38" i="16"/>
  <c r="I34" i="16"/>
  <c r="I37" i="16"/>
  <c r="I16" i="16"/>
  <c r="I29" i="16"/>
  <c r="J12" i="16"/>
  <c r="I30" i="16"/>
  <c r="J82" i="26"/>
  <c r="J80" i="26"/>
  <c r="J85" i="26"/>
  <c r="J79" i="26"/>
  <c r="E23" i="29"/>
  <c r="F23" i="29"/>
  <c r="G23" i="29"/>
  <c r="K131" i="14"/>
  <c r="F9" i="5"/>
  <c r="E4" i="17"/>
  <c r="I17" i="29"/>
  <c r="I32" i="29"/>
  <c r="I27" i="29"/>
  <c r="I15" i="29"/>
  <c r="I29" i="29"/>
  <c r="I18" i="29"/>
  <c r="J12" i="29"/>
  <c r="I38" i="29"/>
  <c r="I37" i="29"/>
  <c r="I35" i="29"/>
  <c r="I23" i="29"/>
  <c r="I44" i="29"/>
  <c r="I34" i="29"/>
  <c r="I33" i="29"/>
  <c r="I31" i="29"/>
  <c r="I30" i="29"/>
  <c r="I28" i="29"/>
  <c r="I36" i="29"/>
  <c r="I16" i="29"/>
  <c r="I14" i="29"/>
  <c r="I72" i="29"/>
  <c r="H39" i="19"/>
  <c r="J25" i="49"/>
  <c r="Q25" i="49" s="1"/>
  <c r="F112" i="13"/>
  <c r="E61" i="25" s="1"/>
  <c r="C113" i="14"/>
  <c r="D33" i="14"/>
  <c r="G104" i="13"/>
  <c r="F61" i="17" s="1"/>
  <c r="H19" i="21"/>
  <c r="H19" i="16"/>
  <c r="H14" i="8"/>
  <c r="H79" i="16"/>
  <c r="H85" i="16"/>
  <c r="H80" i="16"/>
  <c r="H82" i="16"/>
  <c r="D11" i="52"/>
  <c r="H42" i="49"/>
  <c r="J106" i="13"/>
  <c r="I61" i="19" s="1"/>
  <c r="G53" i="14"/>
  <c r="H79" i="27"/>
  <c r="H85" i="27"/>
  <c r="H80" i="27"/>
  <c r="H82" i="27"/>
  <c r="F16" i="5"/>
  <c r="E4" i="24"/>
  <c r="G126" i="14"/>
  <c r="H19" i="29"/>
  <c r="H80" i="29"/>
  <c r="H79" i="29"/>
  <c r="H85" i="29"/>
  <c r="H82" i="29"/>
  <c r="H33" i="8"/>
  <c r="J39" i="26"/>
  <c r="H19" i="19"/>
  <c r="H16" i="14"/>
  <c r="K33" i="14"/>
  <c r="N104" i="13"/>
  <c r="H112" i="13"/>
  <c r="G61" i="25" s="1"/>
  <c r="E113" i="14"/>
  <c r="I16" i="3"/>
  <c r="D18" i="6"/>
  <c r="H19" i="39"/>
  <c r="R19" i="39" s="1"/>
  <c r="E2" i="26"/>
  <c r="G8" i="26"/>
  <c r="I19" i="17"/>
  <c r="E23" i="15"/>
  <c r="F23" i="15"/>
  <c r="G23" i="15"/>
  <c r="F20" i="5"/>
  <c r="E4" i="28"/>
  <c r="D56" i="14"/>
  <c r="N109" i="13"/>
  <c r="H39" i="28"/>
  <c r="D14" i="6"/>
  <c r="H81" i="14"/>
  <c r="D82" i="14"/>
  <c r="G137" i="13" s="1"/>
  <c r="F62" i="22" s="1"/>
  <c r="C81" i="14"/>
  <c r="F81" i="14"/>
  <c r="H82" i="14"/>
  <c r="K137" i="13" s="1"/>
  <c r="G81" i="14"/>
  <c r="I81" i="14"/>
  <c r="I82" i="14"/>
  <c r="L137" i="13" s="1"/>
  <c r="C82" i="14"/>
  <c r="F137" i="13" s="1"/>
  <c r="E62" i="22" s="1"/>
  <c r="D81" i="14"/>
  <c r="E82" i="14"/>
  <c r="H137" i="13" s="1"/>
  <c r="G62" i="22" s="1"/>
  <c r="G82" i="14"/>
  <c r="J137" i="13" s="1"/>
  <c r="F82" i="14"/>
  <c r="I137" i="13" s="1"/>
  <c r="H62" i="22" s="1"/>
  <c r="E81" i="14"/>
  <c r="I12" i="3"/>
  <c r="G8" i="22"/>
  <c r="J82" i="14"/>
  <c r="M137" i="13" s="1"/>
  <c r="J81" i="14"/>
  <c r="H15" i="39"/>
  <c r="R15" i="39" s="1"/>
  <c r="I80" i="20"/>
  <c r="I82" i="20"/>
  <c r="I79" i="20"/>
  <c r="I85" i="20"/>
  <c r="J19" i="30"/>
  <c r="K75" i="30"/>
  <c r="I66" i="30"/>
  <c r="F60" i="30"/>
  <c r="L47" i="30"/>
  <c r="F75" i="30"/>
  <c r="H66" i="30"/>
  <c r="I60" i="30"/>
  <c r="E75" i="30"/>
  <c r="G66" i="30"/>
  <c r="H60" i="30"/>
  <c r="E66" i="30"/>
  <c r="E60" i="30"/>
  <c r="K43" i="30"/>
  <c r="L75" i="30"/>
  <c r="L43" i="30"/>
  <c r="J75" i="30"/>
  <c r="J43" i="30"/>
  <c r="H75" i="30"/>
  <c r="L66" i="30"/>
  <c r="L60" i="30"/>
  <c r="H43" i="30"/>
  <c r="J66" i="30"/>
  <c r="J60" i="30"/>
  <c r="K47" i="30"/>
  <c r="F43" i="30"/>
  <c r="I47" i="30"/>
  <c r="I75" i="30"/>
  <c r="H47" i="30"/>
  <c r="G75" i="30"/>
  <c r="K66" i="30"/>
  <c r="K60" i="30"/>
  <c r="G47" i="30"/>
  <c r="F66" i="30"/>
  <c r="G60" i="30"/>
  <c r="F47" i="30"/>
  <c r="E47" i="30"/>
  <c r="I43" i="30"/>
  <c r="G43" i="30"/>
  <c r="J47" i="30"/>
  <c r="F96" i="14"/>
  <c r="K102" i="13"/>
  <c r="H13" i="14"/>
  <c r="D23" i="6"/>
  <c r="I21" i="3"/>
  <c r="E2" i="31"/>
  <c r="G8" i="31"/>
  <c r="C166" i="14"/>
  <c r="J166" i="14"/>
  <c r="G166" i="14"/>
  <c r="E166" i="14"/>
  <c r="I166" i="14"/>
  <c r="D166" i="14"/>
  <c r="H166" i="14"/>
  <c r="F166" i="14"/>
  <c r="H24" i="39"/>
  <c r="R24" i="39" s="1"/>
  <c r="K166" i="14"/>
  <c r="H37" i="8"/>
  <c r="J19" i="26"/>
  <c r="L11" i="12"/>
  <c r="L7" i="12"/>
  <c r="L5" i="12"/>
  <c r="J20" i="12" s="1"/>
  <c r="L10" i="12"/>
  <c r="L9" i="12"/>
  <c r="L6" i="12"/>
  <c r="L8" i="12"/>
  <c r="F76" i="14"/>
  <c r="M4" i="14"/>
  <c r="L91" i="14"/>
  <c r="L52" i="14"/>
  <c r="O134" i="13" s="1"/>
  <c r="L41" i="14"/>
  <c r="L72" i="14"/>
  <c r="O136" i="13" s="1"/>
  <c r="L51" i="14"/>
  <c r="L131" i="14"/>
  <c r="L112" i="14"/>
  <c r="O140" i="13" s="1"/>
  <c r="L26" i="14"/>
  <c r="L132" i="14"/>
  <c r="O142" i="13" s="1"/>
  <c r="L11" i="14"/>
  <c r="L32" i="14"/>
  <c r="O132" i="13" s="1"/>
  <c r="L92" i="14"/>
  <c r="O138" i="13" s="1"/>
  <c r="L42" i="14"/>
  <c r="O133" i="13" s="1"/>
  <c r="L81" i="14"/>
  <c r="L82" i="14"/>
  <c r="O137" i="13" s="1"/>
  <c r="L71" i="14"/>
  <c r="L31" i="14"/>
  <c r="L12" i="14"/>
  <c r="O130" i="13" s="1"/>
  <c r="L21" i="14"/>
  <c r="L111" i="14"/>
  <c r="L22" i="14"/>
  <c r="O131" i="13" s="1"/>
  <c r="L46" i="14"/>
  <c r="L86" i="14"/>
  <c r="L6" i="14"/>
  <c r="L146" i="14"/>
  <c r="L66" i="14"/>
  <c r="L156" i="14"/>
  <c r="L106" i="14"/>
  <c r="L166" i="14"/>
  <c r="H39" i="23"/>
  <c r="G12" i="6"/>
  <c r="P24" i="13"/>
  <c r="C39" i="14"/>
  <c r="C40" i="14" s="1"/>
  <c r="C38" i="14"/>
  <c r="I18" i="3"/>
  <c r="D20" i="6"/>
  <c r="H21" i="39"/>
  <c r="R21" i="39" s="1"/>
  <c r="G8" i="28"/>
  <c r="I23" i="28" s="1"/>
  <c r="E2" i="28"/>
  <c r="C96" i="14"/>
  <c r="J37" i="17"/>
  <c r="J33" i="17"/>
  <c r="J29" i="17"/>
  <c r="J23" i="17"/>
  <c r="J15" i="17"/>
  <c r="J72" i="17"/>
  <c r="K12" i="17"/>
  <c r="J44" i="17"/>
  <c r="J38" i="17"/>
  <c r="J34" i="17"/>
  <c r="J30" i="17"/>
  <c r="J16" i="17"/>
  <c r="J61" i="17"/>
  <c r="J63" i="17" s="1"/>
  <c r="J35" i="17"/>
  <c r="J27" i="17"/>
  <c r="J17" i="17"/>
  <c r="J32" i="17"/>
  <c r="J28" i="17"/>
  <c r="J62" i="17"/>
  <c r="J14" i="17"/>
  <c r="J31" i="17"/>
  <c r="J18" i="17"/>
  <c r="J36" i="17"/>
  <c r="F14" i="5"/>
  <c r="E4" i="22"/>
  <c r="F18" i="38"/>
  <c r="H18" i="32"/>
  <c r="H18" i="38" s="1"/>
  <c r="K82" i="14"/>
  <c r="N137" i="13" s="1"/>
  <c r="C74" i="14"/>
  <c r="F52" i="13" s="1"/>
  <c r="E48" i="21" s="1"/>
  <c r="C78" i="14"/>
  <c r="I10" i="3"/>
  <c r="D12" i="6"/>
  <c r="G8" i="20"/>
  <c r="H13" i="39"/>
  <c r="R13" i="39" s="1"/>
  <c r="E2" i="20"/>
  <c r="G20" i="6"/>
  <c r="P32" i="13"/>
  <c r="F20" i="38"/>
  <c r="H20" i="32"/>
  <c r="H20" i="38" s="1"/>
  <c r="E96" i="14"/>
  <c r="G96" i="14"/>
  <c r="I82" i="17"/>
  <c r="I79" i="17"/>
  <c r="I80" i="17"/>
  <c r="I85" i="17"/>
  <c r="D10" i="14"/>
  <c r="D8" i="14"/>
  <c r="D14" i="14" s="1"/>
  <c r="G46" i="13" s="1"/>
  <c r="F48" i="15" s="1"/>
  <c r="D9" i="14"/>
  <c r="F56" i="14"/>
  <c r="G14" i="6"/>
  <c r="P26" i="13"/>
  <c r="H86" i="8"/>
  <c r="H79" i="8"/>
  <c r="H83" i="8"/>
  <c r="H81" i="8"/>
  <c r="Q32" i="13"/>
  <c r="H96" i="14"/>
  <c r="H19" i="32"/>
  <c r="H19" i="38" s="1"/>
  <c r="F19" i="38"/>
  <c r="G56" i="14"/>
  <c r="H85" i="23"/>
  <c r="H82" i="23"/>
  <c r="H80" i="23"/>
  <c r="H79" i="23"/>
  <c r="F12" i="5"/>
  <c r="E4" i="20"/>
  <c r="F10" i="5"/>
  <c r="E4" i="18"/>
  <c r="J113" i="14"/>
  <c r="M112" i="13"/>
  <c r="I112" i="13"/>
  <c r="H61" i="25" s="1"/>
  <c r="F113" i="14"/>
  <c r="C137" i="14"/>
  <c r="I44" i="25"/>
  <c r="I38" i="25"/>
  <c r="I34" i="25"/>
  <c r="I30" i="25"/>
  <c r="I16" i="25"/>
  <c r="I18" i="25"/>
  <c r="I37" i="25"/>
  <c r="I27" i="25"/>
  <c r="I36" i="25"/>
  <c r="I31" i="25"/>
  <c r="I15" i="25"/>
  <c r="I35" i="25"/>
  <c r="I72" i="25"/>
  <c r="I14" i="25"/>
  <c r="I32" i="25"/>
  <c r="I23" i="25"/>
  <c r="I17" i="25"/>
  <c r="I33" i="25"/>
  <c r="I62" i="25"/>
  <c r="I29" i="25"/>
  <c r="I28" i="25"/>
  <c r="J12" i="25"/>
  <c r="F13" i="14"/>
  <c r="I102" i="13"/>
  <c r="H61" i="15" s="1"/>
  <c r="H63" i="15" s="1"/>
  <c r="L102" i="13"/>
  <c r="I13" i="14"/>
  <c r="C14" i="14"/>
  <c r="F46" i="13" s="1"/>
  <c r="E48" i="15" s="1"/>
  <c r="H19" i="22"/>
  <c r="K13" i="14"/>
  <c r="N102" i="13"/>
  <c r="I14" i="3"/>
  <c r="D16" i="6"/>
  <c r="G8" i="24"/>
  <c r="I23" i="24" s="1"/>
  <c r="H17" i="39"/>
  <c r="R17" i="39" s="1"/>
  <c r="E2" i="24"/>
  <c r="I37" i="31"/>
  <c r="I33" i="31"/>
  <c r="I29" i="31"/>
  <c r="I23" i="31"/>
  <c r="I15" i="31"/>
  <c r="I38" i="31"/>
  <c r="I28" i="31"/>
  <c r="I16" i="31"/>
  <c r="I14" i="31"/>
  <c r="I27" i="31"/>
  <c r="I34" i="31"/>
  <c r="I17" i="31"/>
  <c r="I30" i="31"/>
  <c r="I72" i="31"/>
  <c r="I18" i="31"/>
  <c r="I32" i="31"/>
  <c r="I31" i="31"/>
  <c r="I36" i="31"/>
  <c r="I35" i="31"/>
  <c r="I44" i="31"/>
  <c r="J12" i="31"/>
  <c r="H85" i="31"/>
  <c r="H79" i="31"/>
  <c r="H82" i="31"/>
  <c r="H80" i="31"/>
  <c r="J28" i="20"/>
  <c r="J15" i="20"/>
  <c r="J30" i="20"/>
  <c r="J72" i="20"/>
  <c r="J32" i="20"/>
  <c r="J17" i="20"/>
  <c r="J34" i="20"/>
  <c r="J36" i="20"/>
  <c r="K12" i="20"/>
  <c r="J38" i="20"/>
  <c r="J35" i="20"/>
  <c r="J16" i="20"/>
  <c r="J27" i="20"/>
  <c r="J14" i="20"/>
  <c r="J44" i="20"/>
  <c r="J18" i="20"/>
  <c r="J31" i="20"/>
  <c r="J29" i="20"/>
  <c r="J33" i="20"/>
  <c r="J37" i="20"/>
  <c r="J80" i="30"/>
  <c r="J82" i="30"/>
  <c r="J85" i="30"/>
  <c r="J79" i="30"/>
  <c r="I96" i="14"/>
  <c r="H79" i="25"/>
  <c r="H80" i="25"/>
  <c r="H85" i="25"/>
  <c r="H82" i="25"/>
  <c r="E23" i="23"/>
  <c r="F23" i="23"/>
  <c r="G23" i="23"/>
  <c r="I56" i="14"/>
  <c r="E76" i="15"/>
  <c r="H39" i="22"/>
  <c r="H19" i="23"/>
  <c r="F8" i="5"/>
  <c r="E4" i="16"/>
  <c r="H39" i="31"/>
  <c r="D113" i="14"/>
  <c r="G112" i="13"/>
  <c r="F61" i="25" s="1"/>
  <c r="K96" i="14"/>
  <c r="H19" i="25"/>
  <c r="D13" i="14"/>
  <c r="G102" i="13"/>
  <c r="F61" i="15" s="1"/>
  <c r="F63" i="15" s="1"/>
  <c r="F15" i="5"/>
  <c r="E4" i="23"/>
  <c r="E23" i="25"/>
  <c r="F23" i="25"/>
  <c r="G23" i="25"/>
  <c r="I113" i="14"/>
  <c r="L112" i="13"/>
  <c r="R33" i="13"/>
  <c r="F19" i="5"/>
  <c r="E4" i="27"/>
  <c r="E13" i="14"/>
  <c r="H102" i="13"/>
  <c r="G61" i="15" s="1"/>
  <c r="G63" i="15" s="1"/>
  <c r="G13" i="14"/>
  <c r="J102" i="13"/>
  <c r="I61" i="15" s="1"/>
  <c r="F75" i="29"/>
  <c r="G47" i="29"/>
  <c r="J43" i="29"/>
  <c r="H47" i="29"/>
  <c r="I75" i="29"/>
  <c r="J66" i="29"/>
  <c r="E47" i="29"/>
  <c r="I60" i="29"/>
  <c r="G60" i="29"/>
  <c r="I47" i="29"/>
  <c r="H43" i="29"/>
  <c r="I66" i="29"/>
  <c r="E60" i="29"/>
  <c r="H75" i="29"/>
  <c r="F60" i="29"/>
  <c r="G75" i="29"/>
  <c r="E75" i="29"/>
  <c r="I43" i="29"/>
  <c r="F47" i="29"/>
  <c r="G43" i="29"/>
  <c r="H66" i="29"/>
  <c r="F43" i="29"/>
  <c r="J75" i="29"/>
  <c r="F66" i="29"/>
  <c r="G66" i="29"/>
  <c r="E66" i="29"/>
  <c r="H60" i="29"/>
  <c r="L36" i="14"/>
  <c r="J56" i="14"/>
  <c r="L56" i="14"/>
  <c r="K37" i="26"/>
  <c r="K33" i="26"/>
  <c r="K29" i="26"/>
  <c r="K23" i="26"/>
  <c r="K15" i="26"/>
  <c r="K72" i="26"/>
  <c r="L12" i="26"/>
  <c r="K35" i="26"/>
  <c r="K30" i="26"/>
  <c r="K28" i="26"/>
  <c r="K34" i="26"/>
  <c r="K14" i="26"/>
  <c r="K38" i="26"/>
  <c r="K18" i="26"/>
  <c r="K17" i="26"/>
  <c r="K44" i="26"/>
  <c r="K31" i="26"/>
  <c r="K32" i="26"/>
  <c r="K36" i="26"/>
  <c r="K16" i="26"/>
  <c r="K27" i="26"/>
  <c r="G76" i="14"/>
  <c r="I62" i="22"/>
  <c r="I36" i="22"/>
  <c r="I32" i="22"/>
  <c r="I28" i="22"/>
  <c r="I18" i="22"/>
  <c r="I14" i="22"/>
  <c r="I37" i="22"/>
  <c r="I33" i="22"/>
  <c r="I29" i="22"/>
  <c r="I23" i="22"/>
  <c r="I15" i="22"/>
  <c r="I30" i="22"/>
  <c r="I17" i="22"/>
  <c r="I34" i="22"/>
  <c r="I72" i="22"/>
  <c r="J12" i="22"/>
  <c r="I38" i="22"/>
  <c r="I44" i="22"/>
  <c r="I16" i="22"/>
  <c r="I27" i="22"/>
  <c r="I31" i="22"/>
  <c r="I35" i="22"/>
  <c r="F21" i="5"/>
  <c r="E4" i="29"/>
  <c r="N110" i="13"/>
  <c r="K93" i="14"/>
  <c r="P28" i="13"/>
  <c r="G16" i="6"/>
  <c r="F5" i="52"/>
  <c r="C11" i="1"/>
  <c r="D5001" i="49"/>
  <c r="D4999" i="49"/>
  <c r="D4990" i="49"/>
  <c r="D4997" i="49"/>
  <c r="D4995" i="49"/>
  <c r="D5002" i="49"/>
  <c r="D4994" i="49"/>
  <c r="D4986" i="49"/>
  <c r="D4991" i="49"/>
  <c r="D4996" i="49"/>
  <c r="D4707" i="49"/>
  <c r="D4697" i="49"/>
  <c r="D4993" i="49"/>
  <c r="D4988" i="49"/>
  <c r="D4704" i="49"/>
  <c r="D4710" i="49"/>
  <c r="D4989" i="49"/>
  <c r="D4708" i="49"/>
  <c r="D4703" i="49"/>
  <c r="D4701" i="49"/>
  <c r="D4424" i="49"/>
  <c r="D4418" i="49"/>
  <c r="D4412" i="49"/>
  <c r="D5000" i="49"/>
  <c r="D4698" i="49"/>
  <c r="D4419" i="49"/>
  <c r="D4413" i="49"/>
  <c r="D4713" i="49"/>
  <c r="D4711" i="49"/>
  <c r="D4699" i="49"/>
  <c r="D4422" i="49"/>
  <c r="D4420" i="49"/>
  <c r="D4131" i="49"/>
  <c r="D4125" i="49"/>
  <c r="D4119" i="49"/>
  <c r="D4998" i="49"/>
  <c r="D4411" i="49"/>
  <c r="D4409" i="49"/>
  <c r="D4132" i="49"/>
  <c r="D4126" i="49"/>
  <c r="D4120" i="49"/>
  <c r="D3844" i="49"/>
  <c r="D3838" i="49"/>
  <c r="D3832" i="49"/>
  <c r="D4130" i="49"/>
  <c r="D4128" i="49"/>
  <c r="D4992" i="49"/>
  <c r="D4414" i="49"/>
  <c r="D4135" i="49"/>
  <c r="D4133" i="49"/>
  <c r="D3837" i="49"/>
  <c r="D3834" i="49"/>
  <c r="D3554" i="49"/>
  <c r="D3548" i="49"/>
  <c r="D3542" i="49"/>
  <c r="D4417" i="49"/>
  <c r="D4702" i="49"/>
  <c r="D4416" i="49"/>
  <c r="D4408" i="49"/>
  <c r="D4123" i="49"/>
  <c r="D4127" i="49"/>
  <c r="D4712" i="49"/>
  <c r="D4122" i="49"/>
  <c r="D3846" i="49"/>
  <c r="D3843" i="49"/>
  <c r="D3835" i="49"/>
  <c r="D4709" i="49"/>
  <c r="D4410" i="49"/>
  <c r="D3842" i="49"/>
  <c r="D3550" i="49"/>
  <c r="D4423" i="49"/>
  <c r="D3840" i="49"/>
  <c r="D3546" i="49"/>
  <c r="D3836" i="49"/>
  <c r="D3555" i="49"/>
  <c r="D4706" i="49"/>
  <c r="D4415" i="49"/>
  <c r="D3551" i="49"/>
  <c r="D3268" i="49"/>
  <c r="D3262" i="49"/>
  <c r="D3256" i="49"/>
  <c r="D3845" i="49"/>
  <c r="D3830" i="49"/>
  <c r="D3547" i="49"/>
  <c r="D3543" i="49"/>
  <c r="D4421" i="49"/>
  <c r="D3833" i="49"/>
  <c r="D3549" i="49"/>
  <c r="D3260" i="49"/>
  <c r="D3257" i="49"/>
  <c r="D3839" i="49"/>
  <c r="D4124" i="49"/>
  <c r="D3544" i="49"/>
  <c r="D3267" i="49"/>
  <c r="D3264" i="49"/>
  <c r="D3254" i="49"/>
  <c r="D2974" i="49"/>
  <c r="D2968" i="49"/>
  <c r="D3553" i="49"/>
  <c r="D4705" i="49"/>
  <c r="D4129" i="49"/>
  <c r="D3831" i="49"/>
  <c r="D3541" i="49"/>
  <c r="D3265" i="49"/>
  <c r="D3263" i="49"/>
  <c r="D3252" i="49"/>
  <c r="D2973" i="49"/>
  <c r="D2970" i="49"/>
  <c r="D2688" i="49"/>
  <c r="D2682" i="49"/>
  <c r="D2676" i="49"/>
  <c r="D3557" i="49"/>
  <c r="D2977" i="49"/>
  <c r="D2967" i="49"/>
  <c r="D2964" i="49"/>
  <c r="D2689" i="49"/>
  <c r="D2683" i="49"/>
  <c r="D2677" i="49"/>
  <c r="D3266" i="49"/>
  <c r="D3258" i="49"/>
  <c r="D2690" i="49"/>
  <c r="D2680" i="49"/>
  <c r="D2401" i="49"/>
  <c r="D2395" i="49"/>
  <c r="D2389" i="49"/>
  <c r="D3841" i="49"/>
  <c r="D2978" i="49"/>
  <c r="D2971" i="49"/>
  <c r="D2966" i="49"/>
  <c r="D2687" i="49"/>
  <c r="D2684" i="49"/>
  <c r="D2674" i="49"/>
  <c r="D2396" i="49"/>
  <c r="D2390" i="49"/>
  <c r="D2108" i="49"/>
  <c r="D2102" i="49"/>
  <c r="D2096" i="49"/>
  <c r="D1820" i="49"/>
  <c r="D1814" i="49"/>
  <c r="D1808" i="49"/>
  <c r="D4987" i="49"/>
  <c r="D3261" i="49"/>
  <c r="D2976" i="49"/>
  <c r="D2969" i="49"/>
  <c r="D2681" i="49"/>
  <c r="D2678" i="49"/>
  <c r="D2397" i="49"/>
  <c r="D2391" i="49"/>
  <c r="D2385" i="49"/>
  <c r="D2109" i="49"/>
  <c r="D2103" i="49"/>
  <c r="D2097" i="49"/>
  <c r="D1821" i="49"/>
  <c r="D1815" i="49"/>
  <c r="D1809" i="49"/>
  <c r="D3556" i="49"/>
  <c r="D2393" i="49"/>
  <c r="D2107" i="49"/>
  <c r="D2104" i="49"/>
  <c r="D1811" i="49"/>
  <c r="D4121" i="49"/>
  <c r="D2979" i="49"/>
  <c r="D2685" i="49"/>
  <c r="D2400" i="49"/>
  <c r="D2398" i="49"/>
  <c r="D2111" i="49"/>
  <c r="D2101" i="49"/>
  <c r="D2098" i="49"/>
  <c r="D1818" i="49"/>
  <c r="D3552" i="49"/>
  <c r="D2675" i="49"/>
  <c r="D2387" i="49"/>
  <c r="D2105" i="49"/>
  <c r="D1822" i="49"/>
  <c r="D1812" i="49"/>
  <c r="D4700" i="49"/>
  <c r="D2392" i="49"/>
  <c r="D1813" i="49"/>
  <c r="D2386" i="49"/>
  <c r="D4134" i="49"/>
  <c r="D3545" i="49"/>
  <c r="D3255" i="49"/>
  <c r="D2965" i="49"/>
  <c r="D3259" i="49"/>
  <c r="D2399" i="49"/>
  <c r="D3253" i="49"/>
  <c r="D2110" i="49"/>
  <c r="D2099" i="49"/>
  <c r="D1531" i="49"/>
  <c r="D1527" i="49"/>
  <c r="D1243" i="49"/>
  <c r="D1239" i="49"/>
  <c r="D2686" i="49"/>
  <c r="D2388" i="49"/>
  <c r="D1819" i="49"/>
  <c r="D1816" i="49"/>
  <c r="D1523" i="49"/>
  <c r="D1235" i="49"/>
  <c r="D2963" i="49"/>
  <c r="D2112" i="49"/>
  <c r="D1519" i="49"/>
  <c r="D1231" i="49"/>
  <c r="D2100" i="49"/>
  <c r="D1810" i="49"/>
  <c r="D1532" i="49"/>
  <c r="D1528" i="49"/>
  <c r="D1244" i="49"/>
  <c r="D1240" i="49"/>
  <c r="D952" i="49"/>
  <c r="D946" i="49"/>
  <c r="D940" i="49"/>
  <c r="D664" i="49"/>
  <c r="D658" i="49"/>
  <c r="D652" i="49"/>
  <c r="D2394" i="49"/>
  <c r="D1533" i="49"/>
  <c r="D1520" i="49"/>
  <c r="D2679" i="49"/>
  <c r="D2106" i="49"/>
  <c r="D1823" i="49"/>
  <c r="D1521" i="49"/>
  <c r="D1236" i="49"/>
  <c r="D2972" i="49"/>
  <c r="D1534" i="49"/>
  <c r="D1529" i="49"/>
  <c r="D1522" i="49"/>
  <c r="D1232" i="49"/>
  <c r="D950" i="49"/>
  <c r="D947" i="49"/>
  <c r="D2975" i="49"/>
  <c r="D1817" i="49"/>
  <c r="D1524" i="49"/>
  <c r="D1230" i="49"/>
  <c r="D1234" i="49"/>
  <c r="D954" i="49"/>
  <c r="D944" i="49"/>
  <c r="D941" i="49"/>
  <c r="D662" i="49"/>
  <c r="D659" i="49"/>
  <c r="D1807" i="49"/>
  <c r="D1526" i="49"/>
  <c r="D1242" i="49"/>
  <c r="D1530" i="49"/>
  <c r="D1525" i="49"/>
  <c r="D1518" i="49"/>
  <c r="D955" i="49"/>
  <c r="D953" i="49"/>
  <c r="D942" i="49"/>
  <c r="D667" i="49"/>
  <c r="D660" i="49"/>
  <c r="D655" i="49"/>
  <c r="D653" i="49"/>
  <c r="D378" i="49"/>
  <c r="D372" i="49"/>
  <c r="D366" i="49"/>
  <c r="D948" i="49"/>
  <c r="D665" i="49"/>
  <c r="D373" i="49"/>
  <c r="D367" i="49"/>
  <c r="D1229" i="49"/>
  <c r="D1241" i="49"/>
  <c r="D368" i="49"/>
  <c r="D364" i="49"/>
  <c r="D89" i="49"/>
  <c r="B89" i="50" s="1"/>
  <c r="D374" i="49"/>
  <c r="D370" i="49"/>
  <c r="D84" i="49"/>
  <c r="B84" i="50" s="1"/>
  <c r="D79" i="49"/>
  <c r="B79" i="50" s="1"/>
  <c r="D666" i="49"/>
  <c r="D376" i="49"/>
  <c r="D74" i="49"/>
  <c r="B74" i="50" s="1"/>
  <c r="D949" i="49"/>
  <c r="D945" i="49"/>
  <c r="D663" i="49"/>
  <c r="D654" i="49"/>
  <c r="D657" i="49"/>
  <c r="D363" i="49"/>
  <c r="D85" i="49"/>
  <c r="B85" i="50" s="1"/>
  <c r="D951" i="49"/>
  <c r="D371" i="49"/>
  <c r="D83" i="49"/>
  <c r="B83" i="50" s="1"/>
  <c r="D1237" i="49"/>
  <c r="D943" i="49"/>
  <c r="D86" i="49"/>
  <c r="B86" i="50" s="1"/>
  <c r="D82" i="49"/>
  <c r="B82" i="50" s="1"/>
  <c r="D88" i="49"/>
  <c r="B88" i="50" s="1"/>
  <c r="D78" i="49"/>
  <c r="B78" i="50" s="1"/>
  <c r="D76" i="49"/>
  <c r="B76" i="50" s="1"/>
  <c r="D956" i="49"/>
  <c r="D377" i="49"/>
  <c r="D80" i="49"/>
  <c r="B80" i="50" s="1"/>
  <c r="D1233" i="49"/>
  <c r="D369" i="49"/>
  <c r="D651" i="49"/>
  <c r="D362" i="49"/>
  <c r="D73" i="49"/>
  <c r="B73" i="50" s="1"/>
  <c r="D375" i="49"/>
  <c r="D81" i="49"/>
  <c r="B81" i="50" s="1"/>
  <c r="D1245" i="49"/>
  <c r="D656" i="49"/>
  <c r="D87" i="49"/>
  <c r="B87" i="50" s="1"/>
  <c r="D661" i="49"/>
  <c r="D1238" i="49"/>
  <c r="D75" i="49"/>
  <c r="B75" i="50" s="1"/>
  <c r="D77" i="49"/>
  <c r="B77" i="50" s="1"/>
  <c r="D365" i="49"/>
  <c r="I72" i="8"/>
  <c r="J12" i="8"/>
  <c r="I43" i="8"/>
  <c r="I47" i="8"/>
  <c r="K112" i="13"/>
  <c r="H113" i="14"/>
  <c r="J112" i="13"/>
  <c r="I61" i="25" s="1"/>
  <c r="G113" i="14"/>
  <c r="C9" i="52"/>
  <c r="H23" i="49"/>
  <c r="L96" i="14"/>
  <c r="R34" i="13"/>
  <c r="C13" i="14"/>
  <c r="F102" i="13"/>
  <c r="E61" i="15" s="1"/>
  <c r="G18" i="6"/>
  <c r="P30" i="13"/>
  <c r="H1213" i="49"/>
  <c r="H8" i="51"/>
  <c r="E118" i="46"/>
  <c r="E401" i="46"/>
  <c r="H3823" i="49"/>
  <c r="H2649" i="49"/>
  <c r="H2071" i="49"/>
  <c r="H1222" i="49"/>
  <c r="E415" i="46"/>
  <c r="E20" i="51"/>
  <c r="E262" i="46"/>
  <c r="H3193" i="49"/>
  <c r="E494" i="46"/>
  <c r="E367" i="46"/>
  <c r="H4989" i="49"/>
  <c r="H2105" i="49"/>
  <c r="H1521" i="49"/>
  <c r="H2658" i="49"/>
  <c r="H943" i="49"/>
  <c r="I10" i="51"/>
  <c r="H3262" i="49"/>
  <c r="H1808" i="49"/>
  <c r="H4700" i="49"/>
  <c r="H2099" i="49"/>
  <c r="H949" i="49"/>
  <c r="E318" i="46"/>
  <c r="H644" i="49"/>
  <c r="H2054" i="49"/>
  <c r="H2615" i="49"/>
  <c r="E398" i="46"/>
  <c r="H3189" i="49"/>
  <c r="E489" i="46"/>
  <c r="H2361" i="49"/>
  <c r="H2088" i="49"/>
  <c r="E31" i="46"/>
  <c r="H1510" i="49"/>
  <c r="H1476" i="49"/>
  <c r="G20" i="51"/>
  <c r="H14" i="51"/>
  <c r="H4103" i="49"/>
  <c r="H2033" i="49"/>
  <c r="E297" i="46"/>
  <c r="D20" i="51"/>
  <c r="H2080" i="49"/>
  <c r="H3542" i="49"/>
  <c r="E14" i="46"/>
  <c r="F20" i="51"/>
  <c r="H2037" i="49"/>
  <c r="E302" i="46"/>
  <c r="H20" i="51"/>
  <c r="H2327" i="49"/>
  <c r="E351" i="46"/>
  <c r="H2683" i="49"/>
  <c r="H941" i="49"/>
  <c r="H3806" i="49"/>
  <c r="E175" i="46"/>
  <c r="H13" i="51"/>
  <c r="E319" i="46"/>
  <c r="H2966" i="49"/>
  <c r="E113" i="46"/>
  <c r="H1455" i="49"/>
  <c r="E201" i="46"/>
  <c r="H4392" i="49"/>
  <c r="H1205" i="49"/>
  <c r="H2947" i="49"/>
  <c r="E126" i="46"/>
  <c r="H4970" i="49"/>
  <c r="H3544" i="49"/>
  <c r="J16" i="51"/>
  <c r="H2684" i="49"/>
  <c r="H654" i="49"/>
  <c r="H1493" i="49"/>
  <c r="H1171" i="49"/>
  <c r="E159" i="46"/>
  <c r="H932" i="49"/>
  <c r="I20" i="51"/>
  <c r="E607" i="46"/>
  <c r="H2344" i="49"/>
  <c r="H2677" i="49"/>
  <c r="H3261" i="49"/>
  <c r="H1527" i="49"/>
  <c r="E209" i="46"/>
  <c r="E414" i="46"/>
  <c r="H1459" i="49"/>
  <c r="E206" i="46"/>
  <c r="H635" i="49"/>
  <c r="E223" i="46"/>
  <c r="H9" i="51"/>
  <c r="H11" i="51"/>
  <c r="H2666" i="49"/>
  <c r="H1502" i="49"/>
  <c r="E9" i="46"/>
  <c r="H3840" i="49"/>
  <c r="H1239" i="49"/>
  <c r="H1810" i="49"/>
  <c r="H950" i="49"/>
  <c r="H4698" i="49"/>
  <c r="H4122" i="49"/>
  <c r="H3833" i="49"/>
  <c r="E305" i="46"/>
  <c r="H627" i="49"/>
  <c r="H2632" i="49"/>
  <c r="H915" i="49"/>
  <c r="H3227" i="49"/>
  <c r="H3210" i="49"/>
  <c r="H4411" i="49"/>
  <c r="H12" i="51"/>
  <c r="H2369" i="49"/>
  <c r="H2395" i="49"/>
  <c r="H1232" i="49"/>
  <c r="H3772" i="49"/>
  <c r="E591" i="46"/>
  <c r="H3789" i="49"/>
  <c r="H877" i="49"/>
  <c r="E105" i="46"/>
  <c r="H1188" i="49"/>
  <c r="J20" i="51"/>
  <c r="H3236" i="49"/>
  <c r="H15" i="51"/>
  <c r="H21" i="51"/>
  <c r="H3255" i="49"/>
  <c r="H2388" i="49"/>
  <c r="H1528" i="49"/>
  <c r="H661" i="49"/>
  <c r="H2611" i="49"/>
  <c r="E393" i="46"/>
  <c r="H3814" i="49"/>
  <c r="H593" i="49"/>
  <c r="E63" i="46"/>
  <c r="H2378" i="49"/>
  <c r="H3244" i="49"/>
  <c r="H2106" i="49"/>
  <c r="H898" i="49"/>
  <c r="H881" i="49"/>
  <c r="E110" i="46"/>
  <c r="H610" i="49"/>
  <c r="H17" i="51"/>
  <c r="E511" i="46"/>
  <c r="E510" i="46"/>
  <c r="E30" i="46"/>
  <c r="E79" i="46"/>
  <c r="E222" i="46"/>
  <c r="J118" i="46" l="1"/>
  <c r="Q1213" i="49"/>
  <c r="J1213" i="49"/>
  <c r="I19" i="31"/>
  <c r="I39" i="21"/>
  <c r="J72" i="18"/>
  <c r="J34" i="18"/>
  <c r="J37" i="18"/>
  <c r="K12" i="18"/>
  <c r="J38" i="18"/>
  <c r="J33" i="18"/>
  <c r="J17" i="18"/>
  <c r="J29" i="18"/>
  <c r="J15" i="18"/>
  <c r="J44" i="18"/>
  <c r="J36" i="18"/>
  <c r="J30" i="18"/>
  <c r="J32" i="18"/>
  <c r="J31" i="18"/>
  <c r="J28" i="18"/>
  <c r="J16" i="18"/>
  <c r="J18" i="18"/>
  <c r="J35" i="18"/>
  <c r="J14" i="18"/>
  <c r="J27" i="18"/>
  <c r="J14" i="12"/>
  <c r="I39" i="22"/>
  <c r="J16" i="12"/>
  <c r="I85" i="18"/>
  <c r="I80" i="18"/>
  <c r="I79" i="18"/>
  <c r="I82" i="18"/>
  <c r="K19" i="30"/>
  <c r="K62" i="18"/>
  <c r="I19" i="18"/>
  <c r="I39" i="18"/>
  <c r="G24" i="6"/>
  <c r="I39" i="29"/>
  <c r="I29" i="8"/>
  <c r="J222" i="46"/>
  <c r="J79" i="46"/>
  <c r="J30" i="46"/>
  <c r="J510" i="46"/>
  <c r="J511" i="46"/>
  <c r="J610" i="49"/>
  <c r="Q610" i="49" s="1"/>
  <c r="J110" i="46"/>
  <c r="J881" i="49"/>
  <c r="Q881" i="49"/>
  <c r="Q898" i="49"/>
  <c r="J898" i="49"/>
  <c r="Q2106" i="49"/>
  <c r="J2106" i="49"/>
  <c r="J3244" i="49"/>
  <c r="Q3244" i="49" s="1"/>
  <c r="J2378" i="49"/>
  <c r="Q2378" i="49" s="1"/>
  <c r="J63" i="46"/>
  <c r="J593" i="49"/>
  <c r="Q593" i="49" s="1"/>
  <c r="J3814" i="49"/>
  <c r="Q3814" i="49" s="1"/>
  <c r="J393" i="46"/>
  <c r="J2611" i="49"/>
  <c r="Q2611" i="49" s="1"/>
  <c r="J661" i="49"/>
  <c r="Q661" i="49" s="1"/>
  <c r="J1528" i="49"/>
  <c r="Q1528" i="49" s="1"/>
  <c r="J2388" i="49"/>
  <c r="Q2388" i="49" s="1"/>
  <c r="J3255" i="49"/>
  <c r="Q3255" i="49" s="1"/>
  <c r="Q3236" i="49"/>
  <c r="J3236" i="49"/>
  <c r="J1188" i="49"/>
  <c r="Q1188" i="49" s="1"/>
  <c r="J105" i="46"/>
  <c r="J877" i="49"/>
  <c r="Q877" i="49" s="1"/>
  <c r="Q3789" i="49"/>
  <c r="J3789" i="49"/>
  <c r="J591" i="46"/>
  <c r="Q3772" i="49"/>
  <c r="J3772" i="49"/>
  <c r="J1232" i="49"/>
  <c r="Q1232" i="49" s="1"/>
  <c r="Q2395" i="49"/>
  <c r="J2395" i="49"/>
  <c r="J2369" i="49"/>
  <c r="Q2369" i="49" s="1"/>
  <c r="Q4411" i="49"/>
  <c r="J4411" i="49"/>
  <c r="J3210" i="49"/>
  <c r="Q3210" i="49"/>
  <c r="J3227" i="49"/>
  <c r="Q3227" i="49" s="1"/>
  <c r="J915" i="49"/>
  <c r="Q915" i="49"/>
  <c r="J2632" i="49"/>
  <c r="Q2632" i="49" s="1"/>
  <c r="J627" i="49"/>
  <c r="Q627" i="49" s="1"/>
  <c r="J305" i="46"/>
  <c r="J3833" i="49"/>
  <c r="Q3833" i="49" s="1"/>
  <c r="J4122" i="49"/>
  <c r="Q4122" i="49" s="1"/>
  <c r="J4698" i="49"/>
  <c r="Q4698" i="49" s="1"/>
  <c r="Q950" i="49"/>
  <c r="J950" i="49"/>
  <c r="J1810" i="49"/>
  <c r="Q1810" i="49" s="1"/>
  <c r="J1239" i="49"/>
  <c r="Q1239" i="49"/>
  <c r="J3840" i="49"/>
  <c r="Q3840" i="49" s="1"/>
  <c r="J9" i="46"/>
  <c r="J1502" i="49"/>
  <c r="Q1502" i="49" s="1"/>
  <c r="J2666" i="49"/>
  <c r="Q2666" i="49" s="1"/>
  <c r="J223" i="46"/>
  <c r="J635" i="49"/>
  <c r="Q635" i="49" s="1"/>
  <c r="J206" i="46"/>
  <c r="J1459" i="49"/>
  <c r="Q1459" i="49"/>
  <c r="J414" i="46"/>
  <c r="J209" i="46"/>
  <c r="J1527" i="49"/>
  <c r="Q1527" i="49" s="1"/>
  <c r="J3261" i="49"/>
  <c r="Q3261" i="49"/>
  <c r="J2677" i="49"/>
  <c r="Q2677" i="49" s="1"/>
  <c r="J2344" i="49"/>
  <c r="Q2344" i="49" s="1"/>
  <c r="J607" i="46"/>
  <c r="J932" i="49"/>
  <c r="Q932" i="49" s="1"/>
  <c r="J159" i="46"/>
  <c r="J1171" i="49"/>
  <c r="Q1171" i="49" s="1"/>
  <c r="J1493" i="49"/>
  <c r="Q1493" i="49" s="1"/>
  <c r="J654" i="49"/>
  <c r="Q654" i="49" s="1"/>
  <c r="J2684" i="49"/>
  <c r="Q2684" i="49" s="1"/>
  <c r="J3544" i="49"/>
  <c r="Q3544" i="49" s="1"/>
  <c r="J4970" i="49"/>
  <c r="Q4970" i="49" s="1"/>
  <c r="J126" i="46"/>
  <c r="J2947" i="49"/>
  <c r="Q2947" i="49" s="1"/>
  <c r="J1205" i="49"/>
  <c r="Q1205" i="49" s="1"/>
  <c r="J4392" i="49"/>
  <c r="Q4392" i="49" s="1"/>
  <c r="J201" i="46"/>
  <c r="J1455" i="49"/>
  <c r="Q1455" i="49" s="1"/>
  <c r="J113" i="46"/>
  <c r="Q2966" i="49"/>
  <c r="J2966" i="49"/>
  <c r="J319" i="46"/>
  <c r="J175" i="46"/>
  <c r="J3806" i="49"/>
  <c r="Q3806" i="49" s="1"/>
  <c r="J941" i="49"/>
  <c r="Q941" i="49" s="1"/>
  <c r="J2683" i="49"/>
  <c r="Q2683" i="49" s="1"/>
  <c r="J351" i="46"/>
  <c r="Q2327" i="49"/>
  <c r="J2327" i="49"/>
  <c r="J302" i="46"/>
  <c r="J2037" i="49"/>
  <c r="Q2037" i="49" s="1"/>
  <c r="J14" i="46"/>
  <c r="J3542" i="49"/>
  <c r="Q3542" i="49" s="1"/>
  <c r="J2080" i="49"/>
  <c r="Q2080" i="49" s="1"/>
  <c r="J297" i="46"/>
  <c r="J2033" i="49"/>
  <c r="Q2033" i="49" s="1"/>
  <c r="J4103" i="49"/>
  <c r="Q4103" i="49" s="1"/>
  <c r="Q1476" i="49"/>
  <c r="J1476" i="49"/>
  <c r="J1510" i="49"/>
  <c r="Q1510" i="49" s="1"/>
  <c r="J31" i="46"/>
  <c r="J2088" i="49"/>
  <c r="Q2088" i="49" s="1"/>
  <c r="Q2361" i="49"/>
  <c r="J2361" i="49"/>
  <c r="J489" i="46"/>
  <c r="J3189" i="49"/>
  <c r="Q3189" i="49" s="1"/>
  <c r="J398" i="46"/>
  <c r="J2615" i="49"/>
  <c r="Q2615" i="49" s="1"/>
  <c r="J2054" i="49"/>
  <c r="Q2054" i="49" s="1"/>
  <c r="J644" i="49"/>
  <c r="Q644" i="49" s="1"/>
  <c r="J318" i="46"/>
  <c r="J949" i="49"/>
  <c r="Q949" i="49" s="1"/>
  <c r="J2099" i="49"/>
  <c r="Q2099" i="49" s="1"/>
  <c r="J4700" i="49"/>
  <c r="Q4700" i="49" s="1"/>
  <c r="Q1808" i="49"/>
  <c r="J1808" i="49"/>
  <c r="J3262" i="49"/>
  <c r="Q3262" i="49" s="1"/>
  <c r="Q943" i="49"/>
  <c r="J943" i="49"/>
  <c r="J2658" i="49"/>
  <c r="Q2658" i="49" s="1"/>
  <c r="J1521" i="49"/>
  <c r="Q1521" i="49" s="1"/>
  <c r="J2105" i="49"/>
  <c r="Q2105" i="49" s="1"/>
  <c r="J4989" i="49"/>
  <c r="Q4989" i="49" s="1"/>
  <c r="J367" i="46"/>
  <c r="J494" i="46"/>
  <c r="J3193" i="49"/>
  <c r="Q3193" i="49" s="1"/>
  <c r="J262" i="46"/>
  <c r="J415" i="46"/>
  <c r="J1222" i="49"/>
  <c r="Q1222" i="49" s="1"/>
  <c r="J2071" i="49"/>
  <c r="Q2071" i="49" s="1"/>
  <c r="Q2649" i="49"/>
  <c r="J2649" i="49"/>
  <c r="J3823" i="49"/>
  <c r="Q3823" i="49" s="1"/>
  <c r="J401" i="46"/>
  <c r="I20" i="12"/>
  <c r="F4" i="30"/>
  <c r="I63" i="19"/>
  <c r="F77" i="13"/>
  <c r="E64" i="18" s="1"/>
  <c r="D37" i="14"/>
  <c r="I14" i="12"/>
  <c r="F4" i="24"/>
  <c r="I63" i="15"/>
  <c r="I63" i="25"/>
  <c r="I82" i="31"/>
  <c r="I79" i="31"/>
  <c r="I80" i="31"/>
  <c r="I85" i="31"/>
  <c r="F50" i="15"/>
  <c r="J10" i="4" s="1"/>
  <c r="M3" i="15"/>
  <c r="J75" i="20"/>
  <c r="H66" i="20"/>
  <c r="E60" i="20"/>
  <c r="K47" i="20"/>
  <c r="G75" i="20"/>
  <c r="E66" i="20"/>
  <c r="H47" i="20"/>
  <c r="K43" i="20"/>
  <c r="I60" i="20"/>
  <c r="E47" i="20"/>
  <c r="J43" i="20"/>
  <c r="H60" i="20"/>
  <c r="I43" i="20"/>
  <c r="G60" i="20"/>
  <c r="H43" i="20"/>
  <c r="K75" i="20"/>
  <c r="F60" i="20"/>
  <c r="G43" i="20"/>
  <c r="I75" i="20"/>
  <c r="F43" i="20"/>
  <c r="H75" i="20"/>
  <c r="K60" i="20"/>
  <c r="J60" i="20"/>
  <c r="K66" i="20"/>
  <c r="I66" i="20"/>
  <c r="I47" i="20"/>
  <c r="F75" i="20"/>
  <c r="F66" i="20"/>
  <c r="E75" i="20"/>
  <c r="F47" i="20"/>
  <c r="J66" i="20"/>
  <c r="J47" i="20"/>
  <c r="G47" i="20"/>
  <c r="G66" i="20"/>
  <c r="L93" i="14"/>
  <c r="O110" i="13"/>
  <c r="H109" i="13"/>
  <c r="G61" i="22" s="1"/>
  <c r="E83" i="14"/>
  <c r="I83" i="14"/>
  <c r="L109" i="13"/>
  <c r="I38" i="8"/>
  <c r="E11" i="52"/>
  <c r="H59" i="49"/>
  <c r="H103" i="13"/>
  <c r="G61" i="16" s="1"/>
  <c r="E23" i="14"/>
  <c r="J44" i="21"/>
  <c r="J38" i="21"/>
  <c r="J34" i="21"/>
  <c r="J30" i="21"/>
  <c r="J16" i="21"/>
  <c r="J61" i="21"/>
  <c r="J63" i="21" s="1"/>
  <c r="J35" i="21"/>
  <c r="J31" i="21"/>
  <c r="J27" i="21"/>
  <c r="J17" i="21"/>
  <c r="J62" i="21"/>
  <c r="J28" i="21"/>
  <c r="J15" i="21"/>
  <c r="J32" i="21"/>
  <c r="J72" i="21"/>
  <c r="J36" i="21"/>
  <c r="J23" i="21"/>
  <c r="K12" i="21"/>
  <c r="J18" i="21"/>
  <c r="J33" i="21"/>
  <c r="J14" i="21"/>
  <c r="J29" i="21"/>
  <c r="J37" i="21"/>
  <c r="E63" i="17"/>
  <c r="G43" i="14"/>
  <c r="J105" i="13"/>
  <c r="I61" i="18" s="1"/>
  <c r="D43" i="14"/>
  <c r="G105" i="13"/>
  <c r="F61" i="18" s="1"/>
  <c r="L114" i="13"/>
  <c r="I133" i="14"/>
  <c r="F63" i="17"/>
  <c r="I39" i="25"/>
  <c r="H63" i="25"/>
  <c r="G74" i="13"/>
  <c r="F64" i="15" s="1"/>
  <c r="F76" i="15" s="1"/>
  <c r="E7" i="14"/>
  <c r="H642" i="46"/>
  <c r="H650" i="46"/>
  <c r="H669" i="46"/>
  <c r="M18" i="38"/>
  <c r="H635" i="46"/>
  <c r="H658" i="46"/>
  <c r="H654" i="46"/>
  <c r="H668" i="46"/>
  <c r="H660" i="46"/>
  <c r="H659" i="46"/>
  <c r="H675" i="46"/>
  <c r="H644" i="46"/>
  <c r="H641" i="46"/>
  <c r="H630" i="46"/>
  <c r="H633" i="46"/>
  <c r="H646" i="46"/>
  <c r="H651" i="46"/>
  <c r="H648" i="46"/>
  <c r="H634" i="46"/>
  <c r="H674" i="46"/>
  <c r="H629" i="46"/>
  <c r="H667" i="46"/>
  <c r="H673" i="46"/>
  <c r="H636" i="46"/>
  <c r="H666" i="46"/>
  <c r="H655" i="46"/>
  <c r="H676" i="46"/>
  <c r="H661" i="46"/>
  <c r="H670" i="46"/>
  <c r="H647" i="46"/>
  <c r="H657" i="46"/>
  <c r="H638" i="46"/>
  <c r="H671" i="46"/>
  <c r="H662" i="46"/>
  <c r="H665" i="46"/>
  <c r="H637" i="46"/>
  <c r="H643" i="46"/>
  <c r="H663" i="46"/>
  <c r="H653" i="46"/>
  <c r="H645" i="46"/>
  <c r="H640" i="46"/>
  <c r="H631" i="46"/>
  <c r="H664" i="46"/>
  <c r="H656" i="46"/>
  <c r="H672" i="46"/>
  <c r="H649" i="46"/>
  <c r="H652" i="46"/>
  <c r="H632" i="46"/>
  <c r="H639" i="46"/>
  <c r="N4" i="14"/>
  <c r="M52" i="14"/>
  <c r="P134" i="13" s="1"/>
  <c r="M91" i="14"/>
  <c r="M32" i="14"/>
  <c r="P132" i="13" s="1"/>
  <c r="M71" i="14"/>
  <c r="M131" i="14"/>
  <c r="M81" i="14"/>
  <c r="M111" i="14"/>
  <c r="M112" i="14"/>
  <c r="P140" i="13" s="1"/>
  <c r="M22" i="14"/>
  <c r="P131" i="13" s="1"/>
  <c r="M26" i="14"/>
  <c r="M11" i="14"/>
  <c r="M21" i="14"/>
  <c r="M72" i="14"/>
  <c r="P136" i="13" s="1"/>
  <c r="M82" i="14"/>
  <c r="P137" i="13" s="1"/>
  <c r="M92" i="14"/>
  <c r="P138" i="13" s="1"/>
  <c r="M41" i="14"/>
  <c r="M132" i="14"/>
  <c r="P142" i="13" s="1"/>
  <c r="M12" i="14"/>
  <c r="P130" i="13" s="1"/>
  <c r="M51" i="14"/>
  <c r="M42" i="14"/>
  <c r="P133" i="13" s="1"/>
  <c r="M31" i="14"/>
  <c r="M66" i="14"/>
  <c r="M6" i="14"/>
  <c r="M106" i="14"/>
  <c r="M166" i="14"/>
  <c r="M46" i="14"/>
  <c r="M146" i="14"/>
  <c r="M86" i="14"/>
  <c r="M156" i="14"/>
  <c r="M56" i="14"/>
  <c r="M96" i="14"/>
  <c r="M136" i="14"/>
  <c r="M36" i="14"/>
  <c r="M16" i="14"/>
  <c r="M116" i="14"/>
  <c r="M76" i="14"/>
  <c r="M126" i="14"/>
  <c r="G83" i="14"/>
  <c r="J109" i="13"/>
  <c r="I61" i="22" s="1"/>
  <c r="J37" i="29"/>
  <c r="J33" i="29"/>
  <c r="J29" i="29"/>
  <c r="J23" i="29"/>
  <c r="J15" i="29"/>
  <c r="J44" i="29"/>
  <c r="J38" i="29"/>
  <c r="J35" i="29"/>
  <c r="J72" i="29"/>
  <c r="J34" i="29"/>
  <c r="J32" i="29"/>
  <c r="J31" i="29"/>
  <c r="J30" i="29"/>
  <c r="J28" i="29"/>
  <c r="J18" i="29"/>
  <c r="K12" i="29"/>
  <c r="J36" i="29"/>
  <c r="J27" i="29"/>
  <c r="J17" i="29"/>
  <c r="J16" i="29"/>
  <c r="J14" i="29"/>
  <c r="K133" i="14"/>
  <c r="N114" i="13"/>
  <c r="I44" i="8"/>
  <c r="I17" i="8"/>
  <c r="I19" i="27"/>
  <c r="I80" i="21"/>
  <c r="I82" i="21"/>
  <c r="I79" i="21"/>
  <c r="I85" i="21"/>
  <c r="I105" i="13"/>
  <c r="H61" i="18" s="1"/>
  <c r="F43" i="14"/>
  <c r="M105" i="13"/>
  <c r="J43" i="14"/>
  <c r="I79" i="19"/>
  <c r="I85" i="19"/>
  <c r="I80" i="19"/>
  <c r="I82" i="19"/>
  <c r="I114" i="13"/>
  <c r="H61" i="27" s="1"/>
  <c r="F133" i="14"/>
  <c r="E23" i="28"/>
  <c r="F23" i="28"/>
  <c r="G23" i="28"/>
  <c r="H23" i="28"/>
  <c r="L44" i="26"/>
  <c r="L38" i="26"/>
  <c r="L34" i="26"/>
  <c r="L30" i="26"/>
  <c r="L16" i="26"/>
  <c r="L17" i="26"/>
  <c r="L15" i="26"/>
  <c r="L14" i="26"/>
  <c r="L23" i="26"/>
  <c r="L18" i="26"/>
  <c r="L29" i="26"/>
  <c r="M12" i="26"/>
  <c r="L33" i="26"/>
  <c r="L28" i="26"/>
  <c r="L35" i="26"/>
  <c r="L36" i="26"/>
  <c r="L72" i="26"/>
  <c r="L27" i="26"/>
  <c r="L37" i="26"/>
  <c r="L32" i="26"/>
  <c r="L31" i="26"/>
  <c r="E23" i="20"/>
  <c r="F23" i="20"/>
  <c r="G23" i="20"/>
  <c r="H23" i="20"/>
  <c r="I23" i="20"/>
  <c r="I79" i="16"/>
  <c r="I85" i="16"/>
  <c r="I80" i="16"/>
  <c r="I82" i="16"/>
  <c r="I39" i="16"/>
  <c r="I27" i="8"/>
  <c r="I39" i="27"/>
  <c r="D9" i="52"/>
  <c r="H40" i="49"/>
  <c r="C19" i="14"/>
  <c r="C20" i="14" s="1"/>
  <c r="K82" i="30"/>
  <c r="K79" i="30"/>
  <c r="K80" i="30"/>
  <c r="K85" i="30"/>
  <c r="E43" i="14"/>
  <c r="H105" i="13"/>
  <c r="G61" i="18" s="1"/>
  <c r="F23" i="27"/>
  <c r="E23" i="27"/>
  <c r="G23" i="27"/>
  <c r="H23" i="27"/>
  <c r="D69" i="14"/>
  <c r="D70" i="14" s="1"/>
  <c r="D68" i="14"/>
  <c r="I16" i="12"/>
  <c r="F4" i="26"/>
  <c r="L13" i="26" s="1"/>
  <c r="J23" i="49"/>
  <c r="Q23" i="49" s="1"/>
  <c r="F63" i="25"/>
  <c r="J19" i="17"/>
  <c r="O102" i="13"/>
  <c r="L13" i="14"/>
  <c r="J5" i="12"/>
  <c r="E23" i="31"/>
  <c r="F23" i="31"/>
  <c r="G23" i="31"/>
  <c r="H23" i="31"/>
  <c r="I109" i="13"/>
  <c r="H61" i="22" s="1"/>
  <c r="F83" i="14"/>
  <c r="G63" i="25"/>
  <c r="I15" i="8"/>
  <c r="I31" i="8"/>
  <c r="G63" i="17"/>
  <c r="F63" i="23"/>
  <c r="I19" i="28"/>
  <c r="J23" i="14"/>
  <c r="M103" i="13"/>
  <c r="C43" i="14"/>
  <c r="F105" i="13"/>
  <c r="E61" i="18" s="1"/>
  <c r="C129" i="14"/>
  <c r="C130" i="14" s="1"/>
  <c r="H39" i="8"/>
  <c r="J114" i="13"/>
  <c r="I61" i="27" s="1"/>
  <c r="G133" i="14"/>
  <c r="E133" i="14"/>
  <c r="H114" i="13"/>
  <c r="G61" i="27" s="1"/>
  <c r="E76" i="21"/>
  <c r="K79" i="26"/>
  <c r="K82" i="26"/>
  <c r="K80" i="26"/>
  <c r="K85" i="26"/>
  <c r="J17" i="12"/>
  <c r="J47" i="29"/>
  <c r="J19" i="20"/>
  <c r="J82" i="20"/>
  <c r="J80" i="20"/>
  <c r="J85" i="20"/>
  <c r="J79" i="20"/>
  <c r="E50" i="15"/>
  <c r="H60" i="28"/>
  <c r="J43" i="28"/>
  <c r="J47" i="28"/>
  <c r="H43" i="28"/>
  <c r="G75" i="28"/>
  <c r="E66" i="28"/>
  <c r="F75" i="28"/>
  <c r="I66" i="28"/>
  <c r="I43" i="28"/>
  <c r="H66" i="28"/>
  <c r="G43" i="28"/>
  <c r="F66" i="28"/>
  <c r="I75" i="28"/>
  <c r="J60" i="28"/>
  <c r="I47" i="28"/>
  <c r="F60" i="28"/>
  <c r="F47" i="28"/>
  <c r="E60" i="28"/>
  <c r="E47" i="28"/>
  <c r="I60" i="28"/>
  <c r="G60" i="28"/>
  <c r="H75" i="28"/>
  <c r="E75" i="28"/>
  <c r="F43" i="28"/>
  <c r="G66" i="28"/>
  <c r="H47" i="28"/>
  <c r="J75" i="28"/>
  <c r="J66" i="28"/>
  <c r="G47" i="28"/>
  <c r="O104" i="13"/>
  <c r="L33" i="14"/>
  <c r="E75" i="31"/>
  <c r="F47" i="31"/>
  <c r="I43" i="31"/>
  <c r="I66" i="31"/>
  <c r="F60" i="31"/>
  <c r="H66" i="31"/>
  <c r="E60" i="31"/>
  <c r="G66" i="31"/>
  <c r="J43" i="31"/>
  <c r="E66" i="31"/>
  <c r="J47" i="31"/>
  <c r="G43" i="31"/>
  <c r="E47" i="31"/>
  <c r="H43" i="31"/>
  <c r="F43" i="31"/>
  <c r="J75" i="31"/>
  <c r="J66" i="31"/>
  <c r="H75" i="31"/>
  <c r="I60" i="31"/>
  <c r="H60" i="31"/>
  <c r="G60" i="31"/>
  <c r="I75" i="31"/>
  <c r="G75" i="31"/>
  <c r="I47" i="31"/>
  <c r="F75" i="31"/>
  <c r="H47" i="31"/>
  <c r="G47" i="31"/>
  <c r="J60" i="31"/>
  <c r="F66" i="31"/>
  <c r="C83" i="14"/>
  <c r="F109" i="13"/>
  <c r="E61" i="22" s="1"/>
  <c r="H19" i="8"/>
  <c r="I30" i="8"/>
  <c r="I35" i="8"/>
  <c r="I39" i="24"/>
  <c r="H63" i="23"/>
  <c r="I39" i="28"/>
  <c r="J6" i="49"/>
  <c r="Q6" i="49" s="1"/>
  <c r="C23" i="14"/>
  <c r="F103" i="13"/>
  <c r="E61" i="16" s="1"/>
  <c r="I39" i="23"/>
  <c r="K43" i="14"/>
  <c r="I19" i="19"/>
  <c r="J72" i="15"/>
  <c r="K12" i="15"/>
  <c r="J32" i="15"/>
  <c r="J18" i="15"/>
  <c r="J37" i="15"/>
  <c r="J31" i="15"/>
  <c r="J23" i="15"/>
  <c r="J17" i="15"/>
  <c r="J35" i="15"/>
  <c r="J29" i="15"/>
  <c r="J15" i="15"/>
  <c r="J62" i="15"/>
  <c r="J28" i="15"/>
  <c r="J14" i="15"/>
  <c r="J36" i="15"/>
  <c r="J33" i="15"/>
  <c r="J30" i="15"/>
  <c r="J61" i="15"/>
  <c r="J27" i="15"/>
  <c r="J44" i="15"/>
  <c r="J34" i="15"/>
  <c r="J38" i="15"/>
  <c r="J16" i="15"/>
  <c r="C133" i="14"/>
  <c r="F114" i="13"/>
  <c r="E61" i="27" s="1"/>
  <c r="D48" i="14"/>
  <c r="D49" i="14" s="1"/>
  <c r="D50" i="14" s="1"/>
  <c r="J35" i="16"/>
  <c r="J31" i="16"/>
  <c r="J27" i="16"/>
  <c r="J17" i="16"/>
  <c r="J62" i="16"/>
  <c r="J36" i="16"/>
  <c r="J32" i="16"/>
  <c r="J28" i="16"/>
  <c r="J18" i="16"/>
  <c r="J14" i="16"/>
  <c r="J33" i="16"/>
  <c r="J23" i="16"/>
  <c r="J15" i="16"/>
  <c r="J72" i="16"/>
  <c r="J44" i="16"/>
  <c r="J34" i="16"/>
  <c r="J16" i="16"/>
  <c r="K12" i="16"/>
  <c r="J38" i="16"/>
  <c r="J30" i="16"/>
  <c r="J37" i="16"/>
  <c r="J29" i="16"/>
  <c r="I33" i="8"/>
  <c r="I79" i="24"/>
  <c r="I80" i="24"/>
  <c r="I82" i="24"/>
  <c r="I85" i="24"/>
  <c r="E63" i="19"/>
  <c r="G23" i="14"/>
  <c r="J103" i="13"/>
  <c r="I61" i="16" s="1"/>
  <c r="I63" i="23"/>
  <c r="I82" i="23"/>
  <c r="I79" i="23"/>
  <c r="I85" i="23"/>
  <c r="I80" i="23"/>
  <c r="I19" i="15"/>
  <c r="E76" i="19"/>
  <c r="I19" i="22"/>
  <c r="I19" i="25"/>
  <c r="K72" i="17"/>
  <c r="L12" i="17"/>
  <c r="K44" i="17"/>
  <c r="K38" i="17"/>
  <c r="K34" i="17"/>
  <c r="K30" i="17"/>
  <c r="K16" i="17"/>
  <c r="K61" i="17"/>
  <c r="K63" i="17" s="1"/>
  <c r="K35" i="17"/>
  <c r="K31" i="17"/>
  <c r="K27" i="17"/>
  <c r="K17" i="17"/>
  <c r="K33" i="17"/>
  <c r="K23" i="17"/>
  <c r="K15" i="17"/>
  <c r="K62" i="17"/>
  <c r="K36" i="17"/>
  <c r="K28" i="17"/>
  <c r="K18" i="17"/>
  <c r="K29" i="17"/>
  <c r="K32" i="17"/>
  <c r="K37" i="17"/>
  <c r="K14" i="17"/>
  <c r="L73" i="14"/>
  <c r="O108" i="13"/>
  <c r="M109" i="13"/>
  <c r="J83" i="14"/>
  <c r="D83" i="14"/>
  <c r="G109" i="13"/>
  <c r="F61" i="22" s="1"/>
  <c r="I85" i="29"/>
  <c r="I79" i="29"/>
  <c r="I19" i="16"/>
  <c r="I14" i="8"/>
  <c r="F84" i="13"/>
  <c r="E64" i="25" s="1"/>
  <c r="D107" i="14"/>
  <c r="F23" i="14"/>
  <c r="I103" i="13"/>
  <c r="H61" i="16" s="1"/>
  <c r="H63" i="17"/>
  <c r="K105" i="13"/>
  <c r="J61" i="18" s="1"/>
  <c r="J63" i="18" s="1"/>
  <c r="H43" i="14"/>
  <c r="G63" i="19"/>
  <c r="J39" i="20"/>
  <c r="J72" i="31"/>
  <c r="J33" i="31"/>
  <c r="J28" i="31"/>
  <c r="J16" i="31"/>
  <c r="J36" i="31"/>
  <c r="J31" i="31"/>
  <c r="J34" i="31"/>
  <c r="K12" i="31"/>
  <c r="K60" i="31" s="1"/>
  <c r="J38" i="31"/>
  <c r="J37" i="31"/>
  <c r="J35" i="31"/>
  <c r="J17" i="31"/>
  <c r="J14" i="31"/>
  <c r="J30" i="31"/>
  <c r="J18" i="31"/>
  <c r="J27" i="31"/>
  <c r="J32" i="31"/>
  <c r="J44" i="31"/>
  <c r="J15" i="31"/>
  <c r="J23" i="31"/>
  <c r="J29" i="31"/>
  <c r="K19" i="26"/>
  <c r="I63" i="17"/>
  <c r="J133" i="14"/>
  <c r="M114" i="13"/>
  <c r="K114" i="13"/>
  <c r="H133" i="14"/>
  <c r="D28" i="14"/>
  <c r="D29" i="14" s="1"/>
  <c r="D30" i="14" s="1"/>
  <c r="F23" i="16"/>
  <c r="E23" i="16"/>
  <c r="G23" i="16"/>
  <c r="H23" i="16"/>
  <c r="I19" i="23"/>
  <c r="L36" i="30"/>
  <c r="L32" i="30"/>
  <c r="L28" i="30"/>
  <c r="L18" i="30"/>
  <c r="L14" i="30"/>
  <c r="L38" i="30"/>
  <c r="L33" i="30"/>
  <c r="L16" i="30"/>
  <c r="L31" i="30"/>
  <c r="L72" i="30"/>
  <c r="L34" i="30"/>
  <c r="L17" i="30"/>
  <c r="L35" i="30"/>
  <c r="L29" i="30"/>
  <c r="L30" i="30"/>
  <c r="L13" i="30"/>
  <c r="M12" i="30"/>
  <c r="L23" i="30"/>
  <c r="L27" i="30"/>
  <c r="L15" i="30"/>
  <c r="L44" i="30"/>
  <c r="L37" i="30"/>
  <c r="J37" i="19"/>
  <c r="J62" i="19"/>
  <c r="J28" i="19"/>
  <c r="J30" i="19"/>
  <c r="J17" i="19"/>
  <c r="J15" i="19"/>
  <c r="J72" i="19"/>
  <c r="J32" i="19"/>
  <c r="J34" i="19"/>
  <c r="J36" i="19"/>
  <c r="K12" i="19"/>
  <c r="J33" i="19"/>
  <c r="J14" i="19"/>
  <c r="J18" i="19"/>
  <c r="J61" i="19"/>
  <c r="J23" i="19"/>
  <c r="J29" i="19"/>
  <c r="J38" i="19"/>
  <c r="J27" i="19"/>
  <c r="J31" i="19"/>
  <c r="J44" i="19"/>
  <c r="J35" i="19"/>
  <c r="J16" i="19"/>
  <c r="E76" i="17"/>
  <c r="J62" i="22"/>
  <c r="J30" i="22"/>
  <c r="J28" i="22"/>
  <c r="J15" i="22"/>
  <c r="J17" i="22"/>
  <c r="J34" i="22"/>
  <c r="J32" i="22"/>
  <c r="J72" i="22"/>
  <c r="K12" i="22"/>
  <c r="J38" i="22"/>
  <c r="J36" i="22"/>
  <c r="J23" i="22"/>
  <c r="J37" i="22"/>
  <c r="J27" i="22"/>
  <c r="J31" i="22"/>
  <c r="J35" i="22"/>
  <c r="J29" i="22"/>
  <c r="J16" i="22"/>
  <c r="J44" i="22"/>
  <c r="J18" i="22"/>
  <c r="J33" i="22"/>
  <c r="J14" i="22"/>
  <c r="I75" i="24"/>
  <c r="G66" i="24"/>
  <c r="J47" i="24"/>
  <c r="G75" i="24"/>
  <c r="E66" i="24"/>
  <c r="H47" i="24"/>
  <c r="J66" i="24"/>
  <c r="F66" i="24"/>
  <c r="J60" i="24"/>
  <c r="F47" i="24"/>
  <c r="J75" i="24"/>
  <c r="J43" i="24"/>
  <c r="H75" i="24"/>
  <c r="I43" i="24"/>
  <c r="F75" i="24"/>
  <c r="I66" i="24"/>
  <c r="I60" i="24"/>
  <c r="H43" i="24"/>
  <c r="H66" i="24"/>
  <c r="H60" i="24"/>
  <c r="G60" i="24"/>
  <c r="E60" i="24"/>
  <c r="E47" i="24"/>
  <c r="F60" i="24"/>
  <c r="G47" i="24"/>
  <c r="F43" i="24"/>
  <c r="I47" i="24"/>
  <c r="E75" i="24"/>
  <c r="G43" i="24"/>
  <c r="I85" i="25"/>
  <c r="I79" i="25"/>
  <c r="I82" i="25"/>
  <c r="I80" i="25"/>
  <c r="E23" i="24"/>
  <c r="F23" i="24"/>
  <c r="G23" i="24"/>
  <c r="H23" i="24"/>
  <c r="J61" i="25"/>
  <c r="J63" i="25" s="1"/>
  <c r="J35" i="25"/>
  <c r="J31" i="25"/>
  <c r="J27" i="25"/>
  <c r="J17" i="25"/>
  <c r="J33" i="25"/>
  <c r="J62" i="25"/>
  <c r="J28" i="25"/>
  <c r="J36" i="25"/>
  <c r="J16" i="25"/>
  <c r="J15" i="25"/>
  <c r="J72" i="25"/>
  <c r="J30" i="25"/>
  <c r="J14" i="25"/>
  <c r="J23" i="25"/>
  <c r="J18" i="25"/>
  <c r="J38" i="25"/>
  <c r="J29" i="25"/>
  <c r="J34" i="25"/>
  <c r="J37" i="25"/>
  <c r="J44" i="25"/>
  <c r="K12" i="25"/>
  <c r="J32" i="25"/>
  <c r="J6" i="12"/>
  <c r="J11" i="12"/>
  <c r="J18" i="12"/>
  <c r="J21" i="12"/>
  <c r="J10" i="12"/>
  <c r="J13" i="12"/>
  <c r="J12" i="12"/>
  <c r="J15" i="12"/>
  <c r="J8" i="12"/>
  <c r="J7" i="12"/>
  <c r="I79" i="28"/>
  <c r="I85" i="28"/>
  <c r="I23" i="14"/>
  <c r="L103" i="13"/>
  <c r="J72" i="23"/>
  <c r="K12" i="23"/>
  <c r="J44" i="23"/>
  <c r="J31" i="23"/>
  <c r="J29" i="23"/>
  <c r="J16" i="23"/>
  <c r="J35" i="23"/>
  <c r="J30" i="23"/>
  <c r="J14" i="23"/>
  <c r="J34" i="23"/>
  <c r="J23" i="23"/>
  <c r="J18" i="23"/>
  <c r="J62" i="23"/>
  <c r="J38" i="23"/>
  <c r="J17" i="23"/>
  <c r="J15" i="23"/>
  <c r="J61" i="23"/>
  <c r="J33" i="23"/>
  <c r="J28" i="23"/>
  <c r="J36" i="23"/>
  <c r="J37" i="23"/>
  <c r="J32" i="23"/>
  <c r="J27" i="23"/>
  <c r="F23" i="18"/>
  <c r="E23" i="18"/>
  <c r="G23" i="18"/>
  <c r="H23" i="18"/>
  <c r="I23" i="18"/>
  <c r="J23" i="18"/>
  <c r="K23" i="18"/>
  <c r="I39" i="15"/>
  <c r="I85" i="22"/>
  <c r="I82" i="22"/>
  <c r="I80" i="22"/>
  <c r="I79" i="22"/>
  <c r="I39" i="31"/>
  <c r="J82" i="17"/>
  <c r="J79" i="17"/>
  <c r="J85" i="17"/>
  <c r="J80" i="17"/>
  <c r="H707" i="46"/>
  <c r="H722" i="46"/>
  <c r="H710" i="46"/>
  <c r="H719" i="46"/>
  <c r="H698" i="46"/>
  <c r="H693" i="46"/>
  <c r="H678" i="46"/>
  <c r="H682" i="46"/>
  <c r="H686" i="46"/>
  <c r="H683" i="46"/>
  <c r="H694" i="46"/>
  <c r="H713" i="46"/>
  <c r="H679" i="46"/>
  <c r="H700" i="46"/>
  <c r="H685" i="46"/>
  <c r="H720" i="46"/>
  <c r="H681" i="46"/>
  <c r="H692" i="46"/>
  <c r="H704" i="46"/>
  <c r="H708" i="46"/>
  <c r="H701" i="46"/>
  <c r="H688" i="46"/>
  <c r="H699" i="46"/>
  <c r="H711" i="46"/>
  <c r="H680" i="46"/>
  <c r="H689" i="46"/>
  <c r="H695" i="46"/>
  <c r="H705" i="46"/>
  <c r="H690" i="46"/>
  <c r="H714" i="46"/>
  <c r="H718" i="46"/>
  <c r="H696" i="46"/>
  <c r="H691" i="46"/>
  <c r="H716" i="46"/>
  <c r="H721" i="46"/>
  <c r="H712" i="46"/>
  <c r="H723" i="46"/>
  <c r="H684" i="46"/>
  <c r="H709" i="46"/>
  <c r="H702" i="46"/>
  <c r="H706" i="46"/>
  <c r="H715" i="46"/>
  <c r="H697" i="46"/>
  <c r="H703" i="46"/>
  <c r="H717" i="46"/>
  <c r="M19" i="38"/>
  <c r="H724" i="46"/>
  <c r="H687" i="46"/>
  <c r="H677" i="46"/>
  <c r="C79" i="14"/>
  <c r="L113" i="14"/>
  <c r="O112" i="13"/>
  <c r="L53" i="14"/>
  <c r="O106" i="13"/>
  <c r="H23" i="26"/>
  <c r="F23" i="26"/>
  <c r="E23" i="26"/>
  <c r="G23" i="26"/>
  <c r="I23" i="26"/>
  <c r="I23" i="8" s="1"/>
  <c r="J23" i="26"/>
  <c r="I19" i="29"/>
  <c r="E63" i="21"/>
  <c r="I80" i="27"/>
  <c r="I79" i="27"/>
  <c r="I85" i="27"/>
  <c r="I82" i="27"/>
  <c r="H5" i="38"/>
  <c r="M5" i="38" s="1"/>
  <c r="H820" i="46"/>
  <c r="H816" i="46"/>
  <c r="H773" i="46"/>
  <c r="H810" i="46"/>
  <c r="H801" i="46"/>
  <c r="H795" i="46"/>
  <c r="H800" i="46"/>
  <c r="H776" i="46"/>
  <c r="H819" i="46"/>
  <c r="H803" i="46"/>
  <c r="H809" i="46"/>
  <c r="H790" i="46"/>
  <c r="H817" i="46"/>
  <c r="H818" i="46"/>
  <c r="H805" i="46"/>
  <c r="H779" i="46"/>
  <c r="H782" i="46"/>
  <c r="H780" i="46"/>
  <c r="M21" i="38"/>
  <c r="H802" i="46"/>
  <c r="H777" i="46"/>
  <c r="H788" i="46"/>
  <c r="H775" i="46"/>
  <c r="H797" i="46"/>
  <c r="H806" i="46"/>
  <c r="H785" i="46"/>
  <c r="H791" i="46"/>
  <c r="H814" i="46"/>
  <c r="H784" i="46"/>
  <c r="H786" i="46"/>
  <c r="H804" i="46"/>
  <c r="H794" i="46"/>
  <c r="H789" i="46"/>
  <c r="H792" i="46"/>
  <c r="H807" i="46"/>
  <c r="H787" i="46"/>
  <c r="H798" i="46"/>
  <c r="H778" i="46"/>
  <c r="H774" i="46"/>
  <c r="H796" i="46"/>
  <c r="H793" i="46"/>
  <c r="H815" i="46"/>
  <c r="H783" i="46"/>
  <c r="H812" i="46"/>
  <c r="H799" i="46"/>
  <c r="H781" i="46"/>
  <c r="H808" i="46"/>
  <c r="H811" i="46"/>
  <c r="H813" i="46"/>
  <c r="E63" i="15"/>
  <c r="I81" i="8"/>
  <c r="I86" i="8"/>
  <c r="I83" i="8"/>
  <c r="I79" i="8"/>
  <c r="K36" i="20"/>
  <c r="K32" i="20"/>
  <c r="K28" i="20"/>
  <c r="K18" i="20"/>
  <c r="K14" i="20"/>
  <c r="K37" i="20"/>
  <c r="K33" i="20"/>
  <c r="K29" i="20"/>
  <c r="K23" i="20"/>
  <c r="K15" i="20"/>
  <c r="K30" i="20"/>
  <c r="K72" i="20"/>
  <c r="K17" i="20"/>
  <c r="K34" i="20"/>
  <c r="L12" i="20"/>
  <c r="K38" i="20"/>
  <c r="K27" i="20"/>
  <c r="K44" i="20"/>
  <c r="K31" i="20"/>
  <c r="K35" i="20"/>
  <c r="K16" i="20"/>
  <c r="H730" i="46"/>
  <c r="H734" i="46"/>
  <c r="H726" i="46"/>
  <c r="H746" i="46"/>
  <c r="H729" i="46"/>
  <c r="H755" i="46"/>
  <c r="H763" i="46"/>
  <c r="H757" i="46"/>
  <c r="H732" i="46"/>
  <c r="H756" i="46"/>
  <c r="H760" i="46"/>
  <c r="H762" i="46"/>
  <c r="H752" i="46"/>
  <c r="H751" i="46"/>
  <c r="H766" i="46"/>
  <c r="M20" i="38"/>
  <c r="H768" i="46"/>
  <c r="H772" i="46"/>
  <c r="H739" i="46"/>
  <c r="H758" i="46"/>
  <c r="H745" i="46"/>
  <c r="H771" i="46"/>
  <c r="H753" i="46"/>
  <c r="H743" i="46"/>
  <c r="H759" i="46"/>
  <c r="H727" i="46"/>
  <c r="H748" i="46"/>
  <c r="H733" i="46"/>
  <c r="H750" i="46"/>
  <c r="H767" i="46"/>
  <c r="H741" i="46"/>
  <c r="H754" i="46"/>
  <c r="H731" i="46"/>
  <c r="H749" i="46"/>
  <c r="H728" i="46"/>
  <c r="H742" i="46"/>
  <c r="H735" i="46"/>
  <c r="H737" i="46"/>
  <c r="H764" i="46"/>
  <c r="H761" i="46"/>
  <c r="H740" i="46"/>
  <c r="H725" i="46"/>
  <c r="H765" i="46"/>
  <c r="H747" i="46"/>
  <c r="H736" i="46"/>
  <c r="H769" i="46"/>
  <c r="H770" i="46"/>
  <c r="H744" i="46"/>
  <c r="H738" i="46"/>
  <c r="O103" i="13"/>
  <c r="L23" i="14"/>
  <c r="O109" i="13"/>
  <c r="L83" i="14"/>
  <c r="E23" i="22"/>
  <c r="F23" i="22"/>
  <c r="G23" i="22"/>
  <c r="H23" i="22"/>
  <c r="I32" i="8"/>
  <c r="J61" i="27"/>
  <c r="J35" i="27"/>
  <c r="J31" i="27"/>
  <c r="J27" i="27"/>
  <c r="J17" i="27"/>
  <c r="J37" i="27"/>
  <c r="J15" i="27"/>
  <c r="J62" i="27"/>
  <c r="J44" i="27"/>
  <c r="J30" i="27"/>
  <c r="J18" i="27"/>
  <c r="J29" i="27"/>
  <c r="J28" i="27"/>
  <c r="J16" i="27"/>
  <c r="J72" i="27"/>
  <c r="J38" i="27"/>
  <c r="J14" i="27"/>
  <c r="J32" i="27"/>
  <c r="J36" i="27"/>
  <c r="J33" i="27"/>
  <c r="J23" i="27"/>
  <c r="J34" i="27"/>
  <c r="K12" i="27"/>
  <c r="J36" i="24"/>
  <c r="J32" i="24"/>
  <c r="J28" i="24"/>
  <c r="J18" i="24"/>
  <c r="J14" i="24"/>
  <c r="J33" i="24"/>
  <c r="J31" i="24"/>
  <c r="J38" i="24"/>
  <c r="J17" i="24"/>
  <c r="K12" i="24"/>
  <c r="K43" i="24" s="1"/>
  <c r="J44" i="24"/>
  <c r="J37" i="24"/>
  <c r="J16" i="24"/>
  <c r="J27" i="24"/>
  <c r="J15" i="24"/>
  <c r="J72" i="24"/>
  <c r="J23" i="24"/>
  <c r="J35" i="24"/>
  <c r="J34" i="24"/>
  <c r="J29" i="24"/>
  <c r="J30" i="24"/>
  <c r="J13" i="24"/>
  <c r="H47" i="46"/>
  <c r="H44" i="46"/>
  <c r="H21" i="46"/>
  <c r="H9" i="46"/>
  <c r="H50" i="46"/>
  <c r="H34" i="46"/>
  <c r="H6" i="46"/>
  <c r="H52" i="46"/>
  <c r="H35" i="46"/>
  <c r="H15" i="46"/>
  <c r="H8" i="46"/>
  <c r="H11" i="46"/>
  <c r="H39" i="46"/>
  <c r="H30" i="46"/>
  <c r="H26" i="46"/>
  <c r="H38" i="46"/>
  <c r="H28" i="46"/>
  <c r="H5" i="46"/>
  <c r="H18" i="46"/>
  <c r="H32" i="46"/>
  <c r="H42" i="46"/>
  <c r="H22" i="46"/>
  <c r="H13" i="46"/>
  <c r="H46" i="46"/>
  <c r="H51" i="46"/>
  <c r="H16" i="46"/>
  <c r="H45" i="46"/>
  <c r="H10" i="46"/>
  <c r="H12" i="46"/>
  <c r="H31" i="46"/>
  <c r="H37" i="46"/>
  <c r="H19" i="46"/>
  <c r="H25" i="46"/>
  <c r="H41" i="46"/>
  <c r="H7" i="46"/>
  <c r="H14" i="46"/>
  <c r="H33" i="46"/>
  <c r="H24" i="46"/>
  <c r="H27" i="46"/>
  <c r="H29" i="46"/>
  <c r="H49" i="46"/>
  <c r="H40" i="46"/>
  <c r="H20" i="46"/>
  <c r="H43" i="46"/>
  <c r="H48" i="46"/>
  <c r="H36" i="46"/>
  <c r="H23" i="46"/>
  <c r="H17" i="46"/>
  <c r="J60" i="29"/>
  <c r="J9" i="12"/>
  <c r="J19" i="12"/>
  <c r="J23" i="20"/>
  <c r="R32" i="13"/>
  <c r="C44" i="14"/>
  <c r="F49" i="13" s="1"/>
  <c r="E48" i="18" s="1"/>
  <c r="L43" i="14"/>
  <c r="O105" i="13"/>
  <c r="I37" i="8"/>
  <c r="I36" i="8"/>
  <c r="F63" i="19"/>
  <c r="K39" i="30"/>
  <c r="H63" i="19"/>
  <c r="I82" i="15"/>
  <c r="I79" i="15"/>
  <c r="I80" i="15"/>
  <c r="I85" i="15"/>
  <c r="H63" i="21"/>
  <c r="G114" i="13"/>
  <c r="F61" i="27" s="1"/>
  <c r="D133" i="14"/>
  <c r="D88" i="14"/>
  <c r="O114" i="13"/>
  <c r="L133" i="14"/>
  <c r="K109" i="13"/>
  <c r="J61" i="22" s="1"/>
  <c r="J63" i="22" s="1"/>
  <c r="H83" i="14"/>
  <c r="I18" i="8"/>
  <c r="E63" i="23"/>
  <c r="F63" i="21"/>
  <c r="G103" i="13"/>
  <c r="F61" i="16" s="1"/>
  <c r="D23" i="14"/>
  <c r="K103" i="13"/>
  <c r="J61" i="16" s="1"/>
  <c r="H23" i="14"/>
  <c r="I63" i="21"/>
  <c r="G5" i="52"/>
  <c r="D5017" i="49"/>
  <c r="D5010" i="49"/>
  <c r="D5018" i="49"/>
  <c r="D5007" i="49"/>
  <c r="D5013" i="49"/>
  <c r="D5011" i="49"/>
  <c r="D5003" i="49"/>
  <c r="D5019" i="49"/>
  <c r="D5015" i="49"/>
  <c r="D5006" i="49"/>
  <c r="D5004" i="49"/>
  <c r="D5014" i="49"/>
  <c r="D5008" i="49"/>
  <c r="D5005" i="49"/>
  <c r="D4730" i="49"/>
  <c r="D4720" i="49"/>
  <c r="D4717" i="49"/>
  <c r="D4729" i="49"/>
  <c r="D4722" i="49"/>
  <c r="D4727" i="49"/>
  <c r="D4715" i="49"/>
  <c r="D4436" i="49"/>
  <c r="D4430" i="49"/>
  <c r="D4724" i="49"/>
  <c r="D4719" i="49"/>
  <c r="D4716" i="49"/>
  <c r="D4437" i="49"/>
  <c r="D4431" i="49"/>
  <c r="D4425" i="49"/>
  <c r="D4149" i="49"/>
  <c r="D4721" i="49"/>
  <c r="D4718" i="49"/>
  <c r="D4440" i="49"/>
  <c r="D4438" i="49"/>
  <c r="D4143" i="49"/>
  <c r="D4137" i="49"/>
  <c r="D5009" i="49"/>
  <c r="D4726" i="49"/>
  <c r="D4429" i="49"/>
  <c r="D4427" i="49"/>
  <c r="D4144" i="49"/>
  <c r="D4138" i="49"/>
  <c r="D3862" i="49"/>
  <c r="D3856" i="49"/>
  <c r="D3850" i="49"/>
  <c r="D4150" i="49"/>
  <c r="D4152" i="49"/>
  <c r="D4148" i="49"/>
  <c r="D4146" i="49"/>
  <c r="D4428" i="49"/>
  <c r="D3860" i="49"/>
  <c r="D3857" i="49"/>
  <c r="D3847" i="49"/>
  <c r="D3572" i="49"/>
  <c r="D3566" i="49"/>
  <c r="D3560" i="49"/>
  <c r="D5016" i="49"/>
  <c r="D4441" i="49"/>
  <c r="D4433" i="49"/>
  <c r="D4147" i="49"/>
  <c r="D4432" i="49"/>
  <c r="D4142" i="49"/>
  <c r="D4723" i="49"/>
  <c r="D3854" i="49"/>
  <c r="D4151" i="49"/>
  <c r="D4139" i="49"/>
  <c r="D4728" i="49"/>
  <c r="D3859" i="49"/>
  <c r="D3571" i="49"/>
  <c r="D3567" i="49"/>
  <c r="D5012" i="49"/>
  <c r="D4725" i="49"/>
  <c r="D4140" i="49"/>
  <c r="D4136" i="49"/>
  <c r="D3855" i="49"/>
  <c r="D3563" i="49"/>
  <c r="D3853" i="49"/>
  <c r="D3851" i="49"/>
  <c r="D3559" i="49"/>
  <c r="D3849" i="49"/>
  <c r="D3568" i="49"/>
  <c r="D3280" i="49"/>
  <c r="D3274" i="49"/>
  <c r="D4435" i="49"/>
  <c r="D3564" i="49"/>
  <c r="D3569" i="49"/>
  <c r="D3283" i="49"/>
  <c r="D3273" i="49"/>
  <c r="D3270" i="49"/>
  <c r="D3852" i="49"/>
  <c r="D3558" i="49"/>
  <c r="D4714" i="49"/>
  <c r="D4145" i="49"/>
  <c r="D3858" i="49"/>
  <c r="D3573" i="49"/>
  <c r="D3277" i="49"/>
  <c r="D2992" i="49"/>
  <c r="D2986" i="49"/>
  <c r="D2980" i="49"/>
  <c r="D3562" i="49"/>
  <c r="D3863" i="49"/>
  <c r="D3278" i="49"/>
  <c r="D3276" i="49"/>
  <c r="D4439" i="49"/>
  <c r="D2996" i="49"/>
  <c r="D2993" i="49"/>
  <c r="D2983" i="49"/>
  <c r="D2706" i="49"/>
  <c r="D2700" i="49"/>
  <c r="D2694" i="49"/>
  <c r="D4141" i="49"/>
  <c r="D3861" i="49"/>
  <c r="D3848" i="49"/>
  <c r="D2990" i="49"/>
  <c r="D2987" i="49"/>
  <c r="D2707" i="49"/>
  <c r="D2701" i="49"/>
  <c r="D2695" i="49"/>
  <c r="D3275" i="49"/>
  <c r="D4434" i="49"/>
  <c r="D3284" i="49"/>
  <c r="D2703" i="49"/>
  <c r="D2693" i="49"/>
  <c r="D2413" i="49"/>
  <c r="D2407" i="49"/>
  <c r="D3269" i="49"/>
  <c r="D3574" i="49"/>
  <c r="D2985" i="49"/>
  <c r="D2697" i="49"/>
  <c r="D2414" i="49"/>
  <c r="D2408" i="49"/>
  <c r="D2402" i="49"/>
  <c r="D2126" i="49"/>
  <c r="D2120" i="49"/>
  <c r="D2114" i="49"/>
  <c r="D1838" i="49"/>
  <c r="D1832" i="49"/>
  <c r="D1826" i="49"/>
  <c r="D3565" i="49"/>
  <c r="D2995" i="49"/>
  <c r="D2988" i="49"/>
  <c r="D2981" i="49"/>
  <c r="D2704" i="49"/>
  <c r="D2691" i="49"/>
  <c r="D2415" i="49"/>
  <c r="D2409" i="49"/>
  <c r="D2403" i="49"/>
  <c r="D2127" i="49"/>
  <c r="D2121" i="49"/>
  <c r="D2115" i="49"/>
  <c r="D1839" i="49"/>
  <c r="D1833" i="49"/>
  <c r="D1827" i="49"/>
  <c r="D3272" i="49"/>
  <c r="D2411" i="49"/>
  <c r="D2117" i="49"/>
  <c r="D1837" i="49"/>
  <c r="D1834" i="49"/>
  <c r="D1824" i="49"/>
  <c r="D3282" i="49"/>
  <c r="D2994" i="49"/>
  <c r="D2991" i="49"/>
  <c r="D2982" i="49"/>
  <c r="D2705" i="49"/>
  <c r="D2418" i="49"/>
  <c r="D2416" i="49"/>
  <c r="D2124" i="49"/>
  <c r="D1831" i="49"/>
  <c r="D1828" i="49"/>
  <c r="D3281" i="49"/>
  <c r="D2702" i="49"/>
  <c r="D2405" i="49"/>
  <c r="D2128" i="49"/>
  <c r="D2118" i="49"/>
  <c r="D1835" i="49"/>
  <c r="D1825" i="49"/>
  <c r="D2984" i="49"/>
  <c r="D2692" i="49"/>
  <c r="D4426" i="49"/>
  <c r="D2417" i="49"/>
  <c r="D1836" i="49"/>
  <c r="D2699" i="49"/>
  <c r="D2410" i="49"/>
  <c r="D2404" i="49"/>
  <c r="D2122" i="49"/>
  <c r="D3271" i="49"/>
  <c r="D2698" i="49"/>
  <c r="D2989" i="49"/>
  <c r="D2125" i="49"/>
  <c r="D3279" i="49"/>
  <c r="D2119" i="49"/>
  <c r="D2116" i="49"/>
  <c r="D2113" i="49"/>
  <c r="D1535" i="49"/>
  <c r="D2696" i="49"/>
  <c r="D2412" i="49"/>
  <c r="D3570" i="49"/>
  <c r="D1260" i="49"/>
  <c r="D1542" i="49"/>
  <c r="D1256" i="49"/>
  <c r="D1252" i="49"/>
  <c r="D3561" i="49"/>
  <c r="D1830" i="49"/>
  <c r="D1549" i="49"/>
  <c r="D1539" i="49"/>
  <c r="D1248" i="49"/>
  <c r="D2129" i="49"/>
  <c r="D1546" i="49"/>
  <c r="D1536" i="49"/>
  <c r="D1261" i="49"/>
  <c r="D1257" i="49"/>
  <c r="D970" i="49"/>
  <c r="D964" i="49"/>
  <c r="D958" i="49"/>
  <c r="D682" i="49"/>
  <c r="D676" i="49"/>
  <c r="D670" i="49"/>
  <c r="D1543" i="49"/>
  <c r="D1540" i="49"/>
  <c r="D1537" i="49"/>
  <c r="D1250" i="49"/>
  <c r="D1246" i="49"/>
  <c r="D3285" i="49"/>
  <c r="D1550" i="49"/>
  <c r="D1545" i="49"/>
  <c r="D973" i="49"/>
  <c r="D963" i="49"/>
  <c r="D960" i="49"/>
  <c r="D1262" i="49"/>
  <c r="D1249" i="49"/>
  <c r="D1547" i="49"/>
  <c r="D1253" i="49"/>
  <c r="D1247" i="49"/>
  <c r="D967" i="49"/>
  <c r="D957" i="49"/>
  <c r="D390" i="49"/>
  <c r="D384" i="49"/>
  <c r="D1544" i="49"/>
  <c r="D1251" i="49"/>
  <c r="D675" i="49"/>
  <c r="D672" i="49"/>
  <c r="D1541" i="49"/>
  <c r="D1255" i="49"/>
  <c r="D2406" i="49"/>
  <c r="D2123" i="49"/>
  <c r="D1551" i="49"/>
  <c r="D1538" i="49"/>
  <c r="D1548" i="49"/>
  <c r="D968" i="49"/>
  <c r="D966" i="49"/>
  <c r="D681" i="49"/>
  <c r="D679" i="49"/>
  <c r="D674" i="49"/>
  <c r="D395" i="49"/>
  <c r="D391" i="49"/>
  <c r="D387" i="49"/>
  <c r="D972" i="49"/>
  <c r="D961" i="49"/>
  <c r="D959" i="49"/>
  <c r="D684" i="49"/>
  <c r="D677" i="49"/>
  <c r="D383" i="49"/>
  <c r="D379" i="49"/>
  <c r="D392" i="49"/>
  <c r="D1259" i="49"/>
  <c r="D380" i="49"/>
  <c r="D1254" i="49"/>
  <c r="D1829" i="49"/>
  <c r="D385" i="49"/>
  <c r="D1258" i="49"/>
  <c r="D971" i="49"/>
  <c r="D394" i="49"/>
  <c r="D102" i="49"/>
  <c r="B102" i="50" s="1"/>
  <c r="D97" i="49"/>
  <c r="B97" i="50" s="1"/>
  <c r="D92" i="49"/>
  <c r="B92" i="50" s="1"/>
  <c r="D678" i="49"/>
  <c r="D393" i="49"/>
  <c r="D103" i="49"/>
  <c r="B103" i="50" s="1"/>
  <c r="D90" i="49"/>
  <c r="D1840" i="49"/>
  <c r="D388" i="49"/>
  <c r="D386" i="49"/>
  <c r="D101" i="49"/>
  <c r="B101" i="50" s="1"/>
  <c r="D683" i="49"/>
  <c r="D671" i="49"/>
  <c r="D381" i="49"/>
  <c r="D104" i="49"/>
  <c r="B104" i="50" s="1"/>
  <c r="D100" i="49"/>
  <c r="B100" i="50" s="1"/>
  <c r="D106" i="49"/>
  <c r="B106" i="50" s="1"/>
  <c r="D96" i="49"/>
  <c r="B96" i="50" s="1"/>
  <c r="D94" i="49"/>
  <c r="B94" i="50" s="1"/>
  <c r="D962" i="49"/>
  <c r="D669" i="49"/>
  <c r="D95" i="49"/>
  <c r="B95" i="50" s="1"/>
  <c r="D93" i="49"/>
  <c r="B93" i="50" s="1"/>
  <c r="D969" i="49"/>
  <c r="D680" i="49"/>
  <c r="D99" i="49"/>
  <c r="B99" i="50" s="1"/>
  <c r="D91" i="49"/>
  <c r="B91" i="50" s="1"/>
  <c r="D668" i="49"/>
  <c r="D389" i="49"/>
  <c r="D105" i="49"/>
  <c r="B105" i="50" s="1"/>
  <c r="D98" i="49"/>
  <c r="B98" i="50" s="1"/>
  <c r="D382" i="49"/>
  <c r="J72" i="8"/>
  <c r="K12" i="8"/>
  <c r="D965" i="49"/>
  <c r="J47" i="8"/>
  <c r="D673" i="49"/>
  <c r="J43" i="8"/>
  <c r="K39" i="26"/>
  <c r="I28" i="8"/>
  <c r="J39" i="17"/>
  <c r="G75" i="26"/>
  <c r="E66" i="26"/>
  <c r="H47" i="26"/>
  <c r="K43" i="26"/>
  <c r="E75" i="26"/>
  <c r="L60" i="26"/>
  <c r="F47" i="26"/>
  <c r="I43" i="26"/>
  <c r="I66" i="26"/>
  <c r="M60" i="26"/>
  <c r="J47" i="26"/>
  <c r="F66" i="26"/>
  <c r="I60" i="26"/>
  <c r="E47" i="26"/>
  <c r="L43" i="26"/>
  <c r="F60" i="26"/>
  <c r="L47" i="26"/>
  <c r="E60" i="26"/>
  <c r="K47" i="26"/>
  <c r="I47" i="26"/>
  <c r="G47" i="26"/>
  <c r="M75" i="26"/>
  <c r="L75" i="26"/>
  <c r="G66" i="26"/>
  <c r="G60" i="26"/>
  <c r="J43" i="26"/>
  <c r="J75" i="26"/>
  <c r="G43" i="26"/>
  <c r="F75" i="26"/>
  <c r="L66" i="26"/>
  <c r="I75" i="26"/>
  <c r="K66" i="26"/>
  <c r="H43" i="26"/>
  <c r="K60" i="26"/>
  <c r="H66" i="26"/>
  <c r="F43" i="26"/>
  <c r="K75" i="26"/>
  <c r="J60" i="26"/>
  <c r="H75" i="26"/>
  <c r="M66" i="26"/>
  <c r="H60" i="26"/>
  <c r="M47" i="26"/>
  <c r="J66" i="26"/>
  <c r="J42" i="49"/>
  <c r="Q42" i="49" s="1"/>
  <c r="I16" i="8"/>
  <c r="K83" i="14"/>
  <c r="E63" i="25"/>
  <c r="I34" i="8"/>
  <c r="I19" i="24"/>
  <c r="J38" i="28"/>
  <c r="J34" i="28"/>
  <c r="J30" i="28"/>
  <c r="J16" i="28"/>
  <c r="J44" i="28"/>
  <c r="J35" i="28"/>
  <c r="J33" i="28"/>
  <c r="J28" i="28"/>
  <c r="J37" i="28"/>
  <c r="J14" i="28"/>
  <c r="J19" i="28" s="1"/>
  <c r="J36" i="28"/>
  <c r="K12" i="28"/>
  <c r="K75" i="28" s="1"/>
  <c r="J23" i="28"/>
  <c r="J32" i="28"/>
  <c r="J27" i="28"/>
  <c r="J15" i="28"/>
  <c r="J18" i="28"/>
  <c r="J17" i="28"/>
  <c r="J72" i="28"/>
  <c r="J29" i="28"/>
  <c r="J31" i="28"/>
  <c r="K23" i="14"/>
  <c r="N103" i="13"/>
  <c r="I19" i="21"/>
  <c r="L105" i="13"/>
  <c r="K61" i="18" s="1"/>
  <c r="K63" i="18" s="1"/>
  <c r="I43" i="14"/>
  <c r="I39" i="19"/>
  <c r="G63" i="21"/>
  <c r="G63" i="23"/>
  <c r="E76" i="23"/>
  <c r="H4409" i="49"/>
  <c r="E694" i="46"/>
  <c r="E358" i="46"/>
  <c r="H2386" i="49"/>
  <c r="E310" i="46"/>
  <c r="H2097" i="49"/>
  <c r="I8" i="51"/>
  <c r="H1230" i="49"/>
  <c r="E166" i="46"/>
  <c r="H900" i="49"/>
  <c r="H901" i="49"/>
  <c r="H902" i="49"/>
  <c r="H2675" i="49"/>
  <c r="E406" i="46"/>
  <c r="E22" i="46"/>
  <c r="H1166" i="49"/>
  <c r="E153" i="46"/>
  <c r="H609" i="49"/>
  <c r="H4139" i="49"/>
  <c r="H3278" i="49"/>
  <c r="H967" i="49"/>
  <c r="H1258" i="49"/>
  <c r="H1519" i="49"/>
  <c r="E214" i="46"/>
  <c r="H2964" i="49"/>
  <c r="E454" i="46"/>
  <c r="H2686" i="49"/>
  <c r="H2687" i="49"/>
  <c r="H2685" i="49"/>
  <c r="E416" i="46"/>
  <c r="E497" i="46"/>
  <c r="J10" i="51"/>
  <c r="H3559" i="49"/>
  <c r="H1257" i="49"/>
  <c r="H1538" i="49"/>
  <c r="H2075" i="49"/>
  <c r="H2073" i="49"/>
  <c r="H2074" i="49"/>
  <c r="H1478" i="49"/>
  <c r="H1480" i="49"/>
  <c r="H1479" i="49"/>
  <c r="H3856" i="49"/>
  <c r="H1825" i="49"/>
  <c r="H1256" i="49"/>
  <c r="H970" i="49"/>
  <c r="H969" i="49"/>
  <c r="H3253" i="49"/>
  <c r="E502" i="46"/>
  <c r="H3831" i="49"/>
  <c r="E598" i="46"/>
  <c r="H2669" i="49"/>
  <c r="H2670" i="49"/>
  <c r="H2668" i="49"/>
  <c r="I17" i="51"/>
  <c r="I14" i="51"/>
  <c r="E161" i="46"/>
  <c r="H626" i="49"/>
  <c r="H3247" i="49"/>
  <c r="H3248" i="49"/>
  <c r="H3246" i="49"/>
  <c r="H3822" i="49"/>
  <c r="H2343" i="49"/>
  <c r="H1497" i="49"/>
  <c r="H1496" i="49"/>
  <c r="H1495" i="49"/>
  <c r="I9" i="51"/>
  <c r="I15" i="51"/>
  <c r="E16" i="46"/>
  <c r="H4715" i="49"/>
  <c r="H3850" i="49"/>
  <c r="H2701" i="49"/>
  <c r="H1827" i="49"/>
  <c r="H2125" i="49"/>
  <c r="H1545" i="49"/>
  <c r="H1530" i="49"/>
  <c r="H1529" i="49"/>
  <c r="H1531" i="49"/>
  <c r="E224" i="46"/>
  <c r="H885" i="49"/>
  <c r="H883" i="49"/>
  <c r="H884" i="49"/>
  <c r="E112" i="46"/>
  <c r="H1221" i="49"/>
  <c r="H1204" i="49"/>
  <c r="D21" i="51"/>
  <c r="H1170" i="49"/>
  <c r="E158" i="46"/>
  <c r="H4120" i="49"/>
  <c r="E646" i="46"/>
  <c r="E21" i="51"/>
  <c r="H918" i="49"/>
  <c r="H917" i="49"/>
  <c r="H919" i="49"/>
  <c r="H2360" i="49"/>
  <c r="H1238" i="49"/>
  <c r="E174" i="46"/>
  <c r="K16" i="51"/>
  <c r="F21" i="51"/>
  <c r="H2636" i="49"/>
  <c r="H2634" i="49"/>
  <c r="H2635" i="49"/>
  <c r="H2041" i="49"/>
  <c r="H2040" i="49"/>
  <c r="H2039" i="49"/>
  <c r="E304" i="46"/>
  <c r="H2116" i="49"/>
  <c r="H960" i="49"/>
  <c r="H678" i="49"/>
  <c r="I11" i="51"/>
  <c r="G21" i="51"/>
  <c r="H1461" i="49"/>
  <c r="H1463" i="49"/>
  <c r="H1462" i="49"/>
  <c r="E208" i="46"/>
  <c r="H934" i="49"/>
  <c r="H936" i="49"/>
  <c r="H935" i="49"/>
  <c r="H2700" i="49"/>
  <c r="H2126" i="49"/>
  <c r="H2415" i="49"/>
  <c r="H1259" i="49"/>
  <c r="H4987" i="49"/>
  <c r="E790" i="46"/>
  <c r="H2091" i="49"/>
  <c r="H2092" i="49"/>
  <c r="H2090" i="49"/>
  <c r="E32" i="46"/>
  <c r="H1187" i="49"/>
  <c r="H2394" i="49"/>
  <c r="E366" i="46"/>
  <c r="H3213" i="49"/>
  <c r="H3212" i="49"/>
  <c r="H3214" i="49"/>
  <c r="H2377" i="49"/>
  <c r="H3839" i="49"/>
  <c r="E606" i="46"/>
  <c r="H4428" i="49"/>
  <c r="H2694" i="49"/>
  <c r="H3281" i="49"/>
  <c r="H1249" i="49"/>
  <c r="H592" i="49"/>
  <c r="E62" i="46"/>
  <c r="E10" i="46"/>
  <c r="H660" i="49"/>
  <c r="E78" i="46"/>
  <c r="H652" i="49"/>
  <c r="E70" i="46"/>
  <c r="H3231" i="49"/>
  <c r="H3230" i="49"/>
  <c r="H3229" i="49"/>
  <c r="H951" i="49"/>
  <c r="H953" i="49"/>
  <c r="H952" i="49"/>
  <c r="E128" i="46"/>
  <c r="I12" i="51"/>
  <c r="H3788" i="49"/>
  <c r="H968" i="49"/>
  <c r="H677" i="49"/>
  <c r="H671" i="49"/>
  <c r="H3771" i="49"/>
  <c r="E590" i="46"/>
  <c r="H3279" i="49"/>
  <c r="H3561" i="49"/>
  <c r="H958" i="49"/>
  <c r="H1544" i="49"/>
  <c r="H966" i="49"/>
  <c r="H2652" i="49"/>
  <c r="H2651" i="49"/>
  <c r="H2653" i="49"/>
  <c r="H2983" i="49"/>
  <c r="H2411" i="49"/>
  <c r="H2124" i="49"/>
  <c r="H643" i="49"/>
  <c r="H5006" i="49"/>
  <c r="H3280" i="49"/>
  <c r="H2414" i="49"/>
  <c r="H3272" i="49"/>
  <c r="H3197" i="49"/>
  <c r="H3195" i="49"/>
  <c r="H3196" i="49"/>
  <c r="E496" i="46"/>
  <c r="H3264" i="49"/>
  <c r="H3263" i="49"/>
  <c r="H3265" i="49"/>
  <c r="E512" i="46"/>
  <c r="H2107" i="49"/>
  <c r="H2108" i="49"/>
  <c r="H2109" i="49"/>
  <c r="E320" i="46"/>
  <c r="H3805" i="49"/>
  <c r="H2326" i="49"/>
  <c r="E350" i="46"/>
  <c r="I13" i="51"/>
  <c r="K20" i="51"/>
  <c r="H1514" i="49"/>
  <c r="H1512" i="49"/>
  <c r="H1513" i="49"/>
  <c r="H1255" i="49"/>
  <c r="I21" i="51"/>
  <c r="H3857" i="49"/>
  <c r="H2413" i="49"/>
  <c r="H3282" i="49"/>
  <c r="H2405" i="49"/>
  <c r="H2412" i="49"/>
  <c r="H2618" i="49"/>
  <c r="H2617" i="49"/>
  <c r="H2619" i="49"/>
  <c r="E400" i="46"/>
  <c r="H4717" i="49"/>
  <c r="H2122" i="49"/>
  <c r="H2123" i="49"/>
  <c r="H2057" i="49"/>
  <c r="H2056" i="49"/>
  <c r="H2058" i="49"/>
  <c r="J166" i="46" l="1"/>
  <c r="J1230" i="49"/>
  <c r="Q1230" i="49" s="1"/>
  <c r="Q2097" i="49"/>
  <c r="J2097" i="49"/>
  <c r="J310" i="46"/>
  <c r="J2386" i="49"/>
  <c r="Q2386" i="49" s="1"/>
  <c r="J358" i="46"/>
  <c r="J694" i="46"/>
  <c r="J4409" i="49"/>
  <c r="Q4409" i="49" s="1"/>
  <c r="K60" i="28"/>
  <c r="J19" i="18"/>
  <c r="J38" i="8"/>
  <c r="J32" i="8"/>
  <c r="K43" i="31"/>
  <c r="K37" i="18"/>
  <c r="K16" i="18"/>
  <c r="K33" i="18"/>
  <c r="K44" i="18"/>
  <c r="K29" i="18"/>
  <c r="K15" i="18"/>
  <c r="K35" i="18"/>
  <c r="K27" i="18"/>
  <c r="K36" i="18"/>
  <c r="K17" i="18"/>
  <c r="K32" i="18"/>
  <c r="L12" i="18"/>
  <c r="K28" i="18"/>
  <c r="K31" i="18"/>
  <c r="K18" i="18"/>
  <c r="K34" i="18"/>
  <c r="K14" i="18"/>
  <c r="K30" i="18"/>
  <c r="K72" i="18"/>
  <c r="K38" i="18"/>
  <c r="J19" i="24"/>
  <c r="J63" i="23"/>
  <c r="K47" i="24"/>
  <c r="J63" i="15"/>
  <c r="C24" i="14"/>
  <c r="F47" i="13" s="1"/>
  <c r="E48" i="16" s="1"/>
  <c r="J85" i="18"/>
  <c r="J79" i="18"/>
  <c r="J80" i="18"/>
  <c r="J82" i="18"/>
  <c r="K43" i="28"/>
  <c r="J63" i="19"/>
  <c r="K66" i="28"/>
  <c r="K47" i="31"/>
  <c r="H23" i="8"/>
  <c r="J39" i="18"/>
  <c r="J2058" i="49"/>
  <c r="Q2058" i="49" s="1"/>
  <c r="J2056" i="49"/>
  <c r="Q2056" i="49" s="1"/>
  <c r="J2057" i="49"/>
  <c r="Q2057" i="49" s="1"/>
  <c r="J2123" i="49"/>
  <c r="Q2123" i="49" s="1"/>
  <c r="J2122" i="49"/>
  <c r="Q2122" i="49" s="1"/>
  <c r="J4717" i="49"/>
  <c r="Q4717" i="49"/>
  <c r="J400" i="46"/>
  <c r="J2619" i="49"/>
  <c r="Q2619" i="49"/>
  <c r="J2617" i="49"/>
  <c r="Q2617" i="49" s="1"/>
  <c r="J2618" i="49"/>
  <c r="Q2618" i="49" s="1"/>
  <c r="J2412" i="49"/>
  <c r="Q2412" i="49" s="1"/>
  <c r="J2405" i="49"/>
  <c r="Q2405" i="49" s="1"/>
  <c r="J3282" i="49"/>
  <c r="Q3282" i="49"/>
  <c r="J2413" i="49"/>
  <c r="Q2413" i="49" s="1"/>
  <c r="J3857" i="49"/>
  <c r="Q3857" i="49" s="1"/>
  <c r="Q1255" i="49"/>
  <c r="J1255" i="49"/>
  <c r="J1513" i="49"/>
  <c r="Q1513" i="49" s="1"/>
  <c r="J1512" i="49"/>
  <c r="Q1512" i="49" s="1"/>
  <c r="J1514" i="49"/>
  <c r="Q1514" i="49" s="1"/>
  <c r="J350" i="46"/>
  <c r="J2326" i="49"/>
  <c r="Q2326" i="49" s="1"/>
  <c r="J3805" i="49"/>
  <c r="Q3805" i="49"/>
  <c r="J320" i="46"/>
  <c r="Q2109" i="49"/>
  <c r="J2109" i="49"/>
  <c r="J2108" i="49"/>
  <c r="Q2108" i="49"/>
  <c r="J2107" i="49"/>
  <c r="Q2107" i="49" s="1"/>
  <c r="J512" i="46"/>
  <c r="J3265" i="49"/>
  <c r="Q3265" i="49" s="1"/>
  <c r="J3263" i="49"/>
  <c r="Q3263" i="49" s="1"/>
  <c r="J3264" i="49"/>
  <c r="Q3264" i="49"/>
  <c r="J496" i="46"/>
  <c r="J3196" i="49"/>
  <c r="Q3196" i="49" s="1"/>
  <c r="J3195" i="49"/>
  <c r="Q3195" i="49" s="1"/>
  <c r="J3197" i="49"/>
  <c r="Q3197" i="49" s="1"/>
  <c r="Q3272" i="49"/>
  <c r="J3272" i="49"/>
  <c r="J2414" i="49"/>
  <c r="Q2414" i="49"/>
  <c r="J3280" i="49"/>
  <c r="Q3280" i="49"/>
  <c r="J5006" i="49"/>
  <c r="Q5006" i="49" s="1"/>
  <c r="J643" i="49"/>
  <c r="Q643" i="49" s="1"/>
  <c r="J2124" i="49"/>
  <c r="Q2124" i="49" s="1"/>
  <c r="Q2411" i="49"/>
  <c r="J2411" i="49"/>
  <c r="J2983" i="49"/>
  <c r="Q2983" i="49"/>
  <c r="Q2653" i="49"/>
  <c r="J2653" i="49"/>
  <c r="J2651" i="49"/>
  <c r="Q2651" i="49" s="1"/>
  <c r="J2652" i="49"/>
  <c r="Q2652" i="49" s="1"/>
  <c r="J966" i="49"/>
  <c r="Q966" i="49" s="1"/>
  <c r="J1544" i="49"/>
  <c r="Q1544" i="49" s="1"/>
  <c r="J958" i="49"/>
  <c r="Q958" i="49" s="1"/>
  <c r="J3561" i="49"/>
  <c r="Q3561" i="49" s="1"/>
  <c r="J3279" i="49"/>
  <c r="Q3279" i="49" s="1"/>
  <c r="J590" i="46"/>
  <c r="J3771" i="49"/>
  <c r="Q3771" i="49" s="1"/>
  <c r="J671" i="49"/>
  <c r="Q671" i="49" s="1"/>
  <c r="J677" i="49"/>
  <c r="Q677" i="49"/>
  <c r="J968" i="49"/>
  <c r="Q968" i="49" s="1"/>
  <c r="J3788" i="49"/>
  <c r="Q3788" i="49" s="1"/>
  <c r="J128" i="46"/>
  <c r="J952" i="49"/>
  <c r="Q952" i="49" s="1"/>
  <c r="J953" i="49"/>
  <c r="Q953" i="49" s="1"/>
  <c r="J951" i="49"/>
  <c r="Q951" i="49"/>
  <c r="J3229" i="49"/>
  <c r="Q3229" i="49" s="1"/>
  <c r="J3230" i="49"/>
  <c r="Q3230" i="49" s="1"/>
  <c r="J3231" i="49"/>
  <c r="Q3231" i="49" s="1"/>
  <c r="J70" i="46"/>
  <c r="J652" i="49"/>
  <c r="Q652" i="49" s="1"/>
  <c r="J78" i="46"/>
  <c r="J660" i="49"/>
  <c r="Q660" i="49" s="1"/>
  <c r="J10" i="46"/>
  <c r="J62" i="46"/>
  <c r="J592" i="49"/>
  <c r="Q592" i="49" s="1"/>
  <c r="J1249" i="49"/>
  <c r="Q1249" i="49"/>
  <c r="J3281" i="49"/>
  <c r="Q3281" i="49" s="1"/>
  <c r="J2694" i="49"/>
  <c r="Q2694" i="49"/>
  <c r="J4428" i="49"/>
  <c r="Q4428" i="49" s="1"/>
  <c r="J606" i="46"/>
  <c r="J3839" i="49"/>
  <c r="Q3839" i="49" s="1"/>
  <c r="Q2377" i="49"/>
  <c r="J2377" i="49"/>
  <c r="Q3214" i="49"/>
  <c r="J3214" i="49"/>
  <c r="J3212" i="49"/>
  <c r="Q3212" i="49" s="1"/>
  <c r="J3213" i="49"/>
  <c r="Q3213" i="49" s="1"/>
  <c r="J366" i="46"/>
  <c r="J2394" i="49"/>
  <c r="Q2394" i="49" s="1"/>
  <c r="J1187" i="49"/>
  <c r="Q1187" i="49" s="1"/>
  <c r="J32" i="46"/>
  <c r="J2090" i="49"/>
  <c r="Q2090" i="49" s="1"/>
  <c r="J2092" i="49"/>
  <c r="Q2092" i="49"/>
  <c r="J2091" i="49"/>
  <c r="Q2091" i="49" s="1"/>
  <c r="J790" i="46"/>
  <c r="J4987" i="49"/>
  <c r="Q4987" i="49" s="1"/>
  <c r="J1259" i="49"/>
  <c r="Q1259" i="49" s="1"/>
  <c r="J2415" i="49"/>
  <c r="Q2415" i="49" s="1"/>
  <c r="J2126" i="49"/>
  <c r="Q2126" i="49" s="1"/>
  <c r="J2700" i="49"/>
  <c r="Q2700" i="49" s="1"/>
  <c r="J935" i="49"/>
  <c r="Q935" i="49" s="1"/>
  <c r="J936" i="49"/>
  <c r="Q936" i="49" s="1"/>
  <c r="J934" i="49"/>
  <c r="Q934" i="49"/>
  <c r="J208" i="46"/>
  <c r="J1462" i="49"/>
  <c r="Q1462" i="49" s="1"/>
  <c r="J1463" i="49"/>
  <c r="Q1463" i="49" s="1"/>
  <c r="J1461" i="49"/>
  <c r="Q1461" i="49" s="1"/>
  <c r="J678" i="49"/>
  <c r="Q678" i="49" s="1"/>
  <c r="J960" i="49"/>
  <c r="Q960" i="49" s="1"/>
  <c r="Q2116" i="49"/>
  <c r="J2116" i="49"/>
  <c r="J304" i="46"/>
  <c r="J2039" i="49"/>
  <c r="Q2039" i="49"/>
  <c r="J2040" i="49"/>
  <c r="Q2040" i="49" s="1"/>
  <c r="Q2041" i="49"/>
  <c r="J2041" i="49"/>
  <c r="J2635" i="49"/>
  <c r="Q2635" i="49" s="1"/>
  <c r="J2634" i="49"/>
  <c r="Q2634" i="49" s="1"/>
  <c r="J2636" i="49"/>
  <c r="Q2636" i="49" s="1"/>
  <c r="J174" i="46"/>
  <c r="J1238" i="49"/>
  <c r="Q1238" i="49" s="1"/>
  <c r="J2360" i="49"/>
  <c r="Q2360" i="49" s="1"/>
  <c r="Q919" i="49"/>
  <c r="J919" i="49"/>
  <c r="J917" i="49"/>
  <c r="Q917" i="49" s="1"/>
  <c r="J918" i="49"/>
  <c r="Q918" i="49" s="1"/>
  <c r="J646" i="46"/>
  <c r="J4120" i="49"/>
  <c r="Q4120" i="49" s="1"/>
  <c r="J158" i="46"/>
  <c r="J1170" i="49"/>
  <c r="Q1170" i="49" s="1"/>
  <c r="J1204" i="49"/>
  <c r="Q1204" i="49" s="1"/>
  <c r="J1221" i="49"/>
  <c r="Q1221" i="49" s="1"/>
  <c r="J112" i="46"/>
  <c r="J884" i="49"/>
  <c r="Q884" i="49" s="1"/>
  <c r="J883" i="49"/>
  <c r="Q883" i="49" s="1"/>
  <c r="J885" i="49"/>
  <c r="Q885" i="49"/>
  <c r="J224" i="46"/>
  <c r="J1531" i="49"/>
  <c r="Q1531" i="49" s="1"/>
  <c r="J1529" i="49"/>
  <c r="Q1529" i="49" s="1"/>
  <c r="Q1530" i="49"/>
  <c r="J1530" i="49"/>
  <c r="Q1545" i="49"/>
  <c r="J1545" i="49"/>
  <c r="J2125" i="49"/>
  <c r="Q2125" i="49" s="1"/>
  <c r="Q1827" i="49"/>
  <c r="J1827" i="49"/>
  <c r="J2701" i="49"/>
  <c r="Q2701" i="49" s="1"/>
  <c r="J3850" i="49"/>
  <c r="Q3850" i="49" s="1"/>
  <c r="J4715" i="49"/>
  <c r="Q4715" i="49" s="1"/>
  <c r="J16" i="46"/>
  <c r="J1495" i="49"/>
  <c r="Q1495" i="49" s="1"/>
  <c r="J1496" i="49"/>
  <c r="Q1496" i="49" s="1"/>
  <c r="J1497" i="49"/>
  <c r="Q1497" i="49"/>
  <c r="J2343" i="49"/>
  <c r="Q2343" i="49" s="1"/>
  <c r="J3822" i="49"/>
  <c r="Q3822" i="49"/>
  <c r="J3246" i="49"/>
  <c r="Q3246" i="49" s="1"/>
  <c r="Q3248" i="49"/>
  <c r="J3248" i="49"/>
  <c r="Q3247" i="49"/>
  <c r="J3247" i="49"/>
  <c r="J626" i="49"/>
  <c r="Q626" i="49" s="1"/>
  <c r="J161" i="46"/>
  <c r="Q2668" i="49"/>
  <c r="J2668" i="49"/>
  <c r="J2670" i="49"/>
  <c r="Q2670" i="49" s="1"/>
  <c r="Q2669" i="49"/>
  <c r="J2669" i="49"/>
  <c r="J598" i="46"/>
  <c r="J3831" i="49"/>
  <c r="Q3831" i="49" s="1"/>
  <c r="J502" i="46"/>
  <c r="Q3253" i="49"/>
  <c r="J3253" i="49"/>
  <c r="Q969" i="49"/>
  <c r="J969" i="49"/>
  <c r="J970" i="49"/>
  <c r="Q970" i="49"/>
  <c r="J1256" i="49"/>
  <c r="Q1256" i="49" s="1"/>
  <c r="J1825" i="49"/>
  <c r="Q1825" i="49" s="1"/>
  <c r="J3856" i="49"/>
  <c r="Q3856" i="49" s="1"/>
  <c r="Q1479" i="49"/>
  <c r="J1479" i="49"/>
  <c r="J1480" i="49"/>
  <c r="Q1480" i="49" s="1"/>
  <c r="J1478" i="49"/>
  <c r="Q1478" i="49" s="1"/>
  <c r="J2074" i="49"/>
  <c r="Q2074" i="49" s="1"/>
  <c r="J2073" i="49"/>
  <c r="Q2073" i="49" s="1"/>
  <c r="J2075" i="49"/>
  <c r="Q2075" i="49"/>
  <c r="J1538" i="49"/>
  <c r="Q1538" i="49" s="1"/>
  <c r="J1257" i="49"/>
  <c r="Q1257" i="49" s="1"/>
  <c r="J3559" i="49"/>
  <c r="Q3559" i="49" s="1"/>
  <c r="J497" i="46"/>
  <c r="J416" i="46"/>
  <c r="Q2685" i="49"/>
  <c r="J2685" i="49"/>
  <c r="J2687" i="49"/>
  <c r="Q2687" i="49" s="1"/>
  <c r="Q2686" i="49"/>
  <c r="J2686" i="49"/>
  <c r="J454" i="46"/>
  <c r="J2964" i="49"/>
  <c r="Q2964" i="49"/>
  <c r="J214" i="46"/>
  <c r="J1519" i="49"/>
  <c r="Q1519" i="49" s="1"/>
  <c r="J1258" i="49"/>
  <c r="Q1258" i="49" s="1"/>
  <c r="J967" i="49"/>
  <c r="Q967" i="49" s="1"/>
  <c r="J3278" i="49"/>
  <c r="Q3278" i="49" s="1"/>
  <c r="J4139" i="49"/>
  <c r="Q4139" i="49"/>
  <c r="J609" i="49"/>
  <c r="Q609" i="49" s="1"/>
  <c r="J153" i="46"/>
  <c r="J1166" i="49"/>
  <c r="Q1166" i="49" s="1"/>
  <c r="J22" i="46"/>
  <c r="J406" i="46"/>
  <c r="Q2675" i="49"/>
  <c r="J2675" i="49"/>
  <c r="J902" i="49"/>
  <c r="Q902" i="49" s="1"/>
  <c r="J901" i="49"/>
  <c r="Q901" i="49" s="1"/>
  <c r="J900" i="49"/>
  <c r="Q900" i="49" s="1"/>
  <c r="G76" i="13"/>
  <c r="F64" i="17" s="1"/>
  <c r="F76" i="17" s="1"/>
  <c r="E27" i="14"/>
  <c r="K62" i="27"/>
  <c r="K36" i="27"/>
  <c r="K32" i="27"/>
  <c r="K28" i="27"/>
  <c r="K18" i="27"/>
  <c r="K14" i="27"/>
  <c r="K37" i="27"/>
  <c r="K35" i="27"/>
  <c r="K30" i="27"/>
  <c r="K44" i="27"/>
  <c r="K31" i="27"/>
  <c r="K17" i="27"/>
  <c r="K61" i="27"/>
  <c r="K63" i="27" s="1"/>
  <c r="K29" i="27"/>
  <c r="K16" i="27"/>
  <c r="K15" i="27"/>
  <c r="K72" i="27"/>
  <c r="K38" i="27"/>
  <c r="K27" i="27"/>
  <c r="K23" i="27"/>
  <c r="L12" i="27"/>
  <c r="K34" i="27"/>
  <c r="K33" i="27"/>
  <c r="K82" i="20"/>
  <c r="K80" i="20"/>
  <c r="K85" i="20"/>
  <c r="K79" i="20"/>
  <c r="J85" i="28"/>
  <c r="J80" i="28"/>
  <c r="J82" i="28"/>
  <c r="J79" i="28"/>
  <c r="J79" i="8"/>
  <c r="J81" i="8"/>
  <c r="J86" i="8"/>
  <c r="J83" i="8"/>
  <c r="C80" i="14"/>
  <c r="C84" i="14"/>
  <c r="F53" i="13" s="1"/>
  <c r="E48" i="22" s="1"/>
  <c r="G80" i="13"/>
  <c r="F64" i="21" s="1"/>
  <c r="F76" i="21" s="1"/>
  <c r="E67" i="14"/>
  <c r="B90" i="50"/>
  <c r="J31" i="8"/>
  <c r="D34" i="14"/>
  <c r="G48" i="13" s="1"/>
  <c r="F48" i="17" s="1"/>
  <c r="J15" i="8"/>
  <c r="J35" i="8"/>
  <c r="J39" i="15"/>
  <c r="E63" i="22"/>
  <c r="K82" i="17"/>
  <c r="K79" i="17"/>
  <c r="K85" i="17"/>
  <c r="K80" i="17"/>
  <c r="J23" i="8"/>
  <c r="G63" i="27"/>
  <c r="I39" i="8"/>
  <c r="I19" i="12"/>
  <c r="F4" i="29"/>
  <c r="J80" i="22"/>
  <c r="J85" i="22"/>
  <c r="J79" i="22"/>
  <c r="J82" i="22"/>
  <c r="K19" i="17"/>
  <c r="K39" i="17"/>
  <c r="J29" i="8"/>
  <c r="J39" i="28"/>
  <c r="I9" i="12"/>
  <c r="F4" i="19"/>
  <c r="H63" i="16"/>
  <c r="J80" i="24"/>
  <c r="J85" i="24"/>
  <c r="J82" i="24"/>
  <c r="J79" i="24"/>
  <c r="K39" i="20"/>
  <c r="I13" i="12"/>
  <c r="F4" i="23"/>
  <c r="E63" i="27"/>
  <c r="J63" i="16"/>
  <c r="F63" i="27"/>
  <c r="I10" i="12"/>
  <c r="F4" i="20"/>
  <c r="K35" i="25"/>
  <c r="K15" i="25"/>
  <c r="K31" i="25"/>
  <c r="K72" i="25"/>
  <c r="K30" i="25"/>
  <c r="K14" i="25"/>
  <c r="K19" i="25" s="1"/>
  <c r="K23" i="25"/>
  <c r="K34" i="25"/>
  <c r="K18" i="25"/>
  <c r="K27" i="25"/>
  <c r="K61" i="25"/>
  <c r="K33" i="25"/>
  <c r="K28" i="25"/>
  <c r="K17" i="25"/>
  <c r="K37" i="25"/>
  <c r="L12" i="25"/>
  <c r="K36" i="25"/>
  <c r="K38" i="25"/>
  <c r="K32" i="25"/>
  <c r="K44" i="25"/>
  <c r="K62" i="25"/>
  <c r="K29" i="25"/>
  <c r="K16" i="25"/>
  <c r="K37" i="15"/>
  <c r="K33" i="15"/>
  <c r="K29" i="15"/>
  <c r="K23" i="15"/>
  <c r="K15" i="15"/>
  <c r="K72" i="15"/>
  <c r="L12" i="15"/>
  <c r="K44" i="15"/>
  <c r="K38" i="15"/>
  <c r="K34" i="15"/>
  <c r="K30" i="15"/>
  <c r="K16" i="15"/>
  <c r="K31" i="15"/>
  <c r="K17" i="15"/>
  <c r="K36" i="15"/>
  <c r="K61" i="15"/>
  <c r="K27" i="15"/>
  <c r="K14" i="15"/>
  <c r="K35" i="15"/>
  <c r="K28" i="15"/>
  <c r="K32" i="15"/>
  <c r="K62" i="15"/>
  <c r="K18" i="15"/>
  <c r="M72" i="26"/>
  <c r="N12" i="26"/>
  <c r="M37" i="26"/>
  <c r="M13" i="26"/>
  <c r="M32" i="26"/>
  <c r="M34" i="26"/>
  <c r="M23" i="26"/>
  <c r="M18" i="26"/>
  <c r="M38" i="26"/>
  <c r="M29" i="26"/>
  <c r="M17" i="26"/>
  <c r="M44" i="26"/>
  <c r="M33" i="26"/>
  <c r="M28" i="26"/>
  <c r="M30" i="26"/>
  <c r="M16" i="26"/>
  <c r="M31" i="26"/>
  <c r="M36" i="26"/>
  <c r="M35" i="26"/>
  <c r="M27" i="26"/>
  <c r="M14" i="26"/>
  <c r="M15" i="26"/>
  <c r="J19" i="29"/>
  <c r="M53" i="14"/>
  <c r="P106" i="13"/>
  <c r="P103" i="13"/>
  <c r="M23" i="14"/>
  <c r="J19" i="31"/>
  <c r="I63" i="16"/>
  <c r="J37" i="8"/>
  <c r="P102" i="13"/>
  <c r="M13" i="14"/>
  <c r="P110" i="13"/>
  <c r="M93" i="14"/>
  <c r="J33" i="8"/>
  <c r="E63" i="16"/>
  <c r="J19" i="23"/>
  <c r="L80" i="30"/>
  <c r="L82" i="30"/>
  <c r="L85" i="30"/>
  <c r="L79" i="30"/>
  <c r="J19" i="16"/>
  <c r="J14" i="8"/>
  <c r="I63" i="27"/>
  <c r="H63" i="22"/>
  <c r="J79" i="29"/>
  <c r="J80" i="29"/>
  <c r="J82" i="29"/>
  <c r="J85" i="29"/>
  <c r="I63" i="22"/>
  <c r="F63" i="18"/>
  <c r="J39" i="24"/>
  <c r="I21" i="12"/>
  <c r="F4" i="31"/>
  <c r="J39" i="19"/>
  <c r="I19" i="8"/>
  <c r="J85" i="21"/>
  <c r="J80" i="21"/>
  <c r="J82" i="21"/>
  <c r="J79" i="21"/>
  <c r="J19" i="27"/>
  <c r="I18" i="12"/>
  <c r="F4" i="28"/>
  <c r="J82" i="19"/>
  <c r="J79" i="19"/>
  <c r="J80" i="19"/>
  <c r="J85" i="19"/>
  <c r="L12" i="28"/>
  <c r="K37" i="28"/>
  <c r="K30" i="28"/>
  <c r="K17" i="28"/>
  <c r="K15" i="28"/>
  <c r="K36" i="28"/>
  <c r="K23" i="28"/>
  <c r="K35" i="28"/>
  <c r="K34" i="28"/>
  <c r="K32" i="28"/>
  <c r="K72" i="28"/>
  <c r="K33" i="28"/>
  <c r="K14" i="28"/>
  <c r="K28" i="28"/>
  <c r="K38" i="28"/>
  <c r="K18" i="28"/>
  <c r="K29" i="28"/>
  <c r="K44" i="28"/>
  <c r="K31" i="28"/>
  <c r="K27" i="28"/>
  <c r="K16" i="28"/>
  <c r="M43" i="26"/>
  <c r="L72" i="20"/>
  <c r="L17" i="20"/>
  <c r="L34" i="20"/>
  <c r="L32" i="20"/>
  <c r="M12" i="20"/>
  <c r="L38" i="20"/>
  <c r="L36" i="20"/>
  <c r="L23" i="20"/>
  <c r="L27" i="20"/>
  <c r="L44" i="20"/>
  <c r="L29" i="20"/>
  <c r="L16" i="20"/>
  <c r="L14" i="20"/>
  <c r="L28" i="20"/>
  <c r="L15" i="20"/>
  <c r="L33" i="20"/>
  <c r="L37" i="20"/>
  <c r="L31" i="20"/>
  <c r="L35" i="20"/>
  <c r="L18" i="20"/>
  <c r="L30" i="20"/>
  <c r="L13" i="20"/>
  <c r="K19" i="20"/>
  <c r="I11" i="12"/>
  <c r="F4" i="21"/>
  <c r="K13" i="21" s="1"/>
  <c r="J18" i="8"/>
  <c r="D54" i="14"/>
  <c r="G50" i="13" s="1"/>
  <c r="F48" i="19" s="1"/>
  <c r="K66" i="31"/>
  <c r="E9" i="52"/>
  <c r="H57" i="49"/>
  <c r="F75" i="13"/>
  <c r="E64" i="16" s="1"/>
  <c r="D17" i="14"/>
  <c r="J39" i="29"/>
  <c r="P105" i="13"/>
  <c r="M43" i="14"/>
  <c r="O4" i="14"/>
  <c r="N51" i="14"/>
  <c r="N71" i="14"/>
  <c r="N22" i="14"/>
  <c r="Q131" i="13" s="1"/>
  <c r="N52" i="14"/>
  <c r="Q134" i="13" s="1"/>
  <c r="N132" i="14"/>
  <c r="Q142" i="13" s="1"/>
  <c r="N12" i="14"/>
  <c r="Q130" i="13" s="1"/>
  <c r="N82" i="14"/>
  <c r="Q137" i="13" s="1"/>
  <c r="N11" i="14"/>
  <c r="N72" i="14"/>
  <c r="Q136" i="13" s="1"/>
  <c r="N26" i="14"/>
  <c r="N81" i="14"/>
  <c r="N131" i="14"/>
  <c r="N111" i="14"/>
  <c r="N31" i="14"/>
  <c r="N112" i="14"/>
  <c r="Q140" i="13" s="1"/>
  <c r="N41" i="14"/>
  <c r="N92" i="14"/>
  <c r="Q138" i="13" s="1"/>
  <c r="N91" i="14"/>
  <c r="N42" i="14"/>
  <c r="Q133" i="13" s="1"/>
  <c r="N32" i="14"/>
  <c r="Q132" i="13" s="1"/>
  <c r="N21" i="14"/>
  <c r="N46" i="14"/>
  <c r="N156" i="14"/>
  <c r="N146" i="14"/>
  <c r="N106" i="14"/>
  <c r="N166" i="14"/>
  <c r="N6" i="14"/>
  <c r="N66" i="14"/>
  <c r="N86" i="14"/>
  <c r="N96" i="14"/>
  <c r="N36" i="14"/>
  <c r="N56" i="14"/>
  <c r="N126" i="14"/>
  <c r="N136" i="14"/>
  <c r="N116" i="14"/>
  <c r="N76" i="14"/>
  <c r="N16" i="14"/>
  <c r="J20" i="24"/>
  <c r="J85" i="27"/>
  <c r="J79" i="27"/>
  <c r="J80" i="27"/>
  <c r="J82" i="27"/>
  <c r="J39" i="27"/>
  <c r="I6" i="12"/>
  <c r="F4" i="16"/>
  <c r="K13" i="16" s="1"/>
  <c r="J39" i="22"/>
  <c r="L39" i="30"/>
  <c r="J79" i="31"/>
  <c r="J85" i="31"/>
  <c r="L72" i="17"/>
  <c r="M12" i="17"/>
  <c r="L44" i="17"/>
  <c r="L38" i="17"/>
  <c r="L34" i="17"/>
  <c r="L30" i="17"/>
  <c r="L16" i="17"/>
  <c r="L61" i="17"/>
  <c r="L35" i="17"/>
  <c r="L31" i="17"/>
  <c r="L27" i="17"/>
  <c r="L17" i="17"/>
  <c r="L37" i="17"/>
  <c r="L29" i="17"/>
  <c r="L32" i="17"/>
  <c r="L14" i="17"/>
  <c r="L33" i="17"/>
  <c r="L23" i="17"/>
  <c r="L62" i="17"/>
  <c r="L15" i="17"/>
  <c r="L18" i="17"/>
  <c r="L28" i="17"/>
  <c r="L36" i="17"/>
  <c r="J30" i="8"/>
  <c r="J28" i="8"/>
  <c r="G78" i="13"/>
  <c r="F64" i="19" s="1"/>
  <c r="F76" i="19" s="1"/>
  <c r="E47" i="14"/>
  <c r="J19" i="15"/>
  <c r="J40" i="49"/>
  <c r="Q40" i="49" s="1"/>
  <c r="I63" i="18"/>
  <c r="G63" i="22"/>
  <c r="E13" i="24"/>
  <c r="E20" i="24" s="1"/>
  <c r="F13" i="24"/>
  <c r="F20" i="24" s="1"/>
  <c r="G4" i="24"/>
  <c r="G13" i="24"/>
  <c r="G20" i="24" s="1"/>
  <c r="H13" i="24"/>
  <c r="H20" i="24" s="1"/>
  <c r="I13" i="24"/>
  <c r="I20" i="24" s="1"/>
  <c r="I17" i="12"/>
  <c r="F4" i="27"/>
  <c r="K13" i="27" s="1"/>
  <c r="F86" i="13"/>
  <c r="E64" i="27" s="1"/>
  <c r="D127" i="14"/>
  <c r="L39" i="26"/>
  <c r="M113" i="14"/>
  <c r="P112" i="13"/>
  <c r="E9" i="14"/>
  <c r="E8" i="14"/>
  <c r="E14" i="14" s="1"/>
  <c r="H46" i="13" s="1"/>
  <c r="G48" i="15" s="1"/>
  <c r="G50" i="15" s="1"/>
  <c r="E10" i="14"/>
  <c r="L47" i="20"/>
  <c r="L75" i="20"/>
  <c r="K61" i="16"/>
  <c r="K35" i="16"/>
  <c r="K31" i="16"/>
  <c r="K27" i="16"/>
  <c r="K17" i="16"/>
  <c r="K62" i="16"/>
  <c r="K36" i="16"/>
  <c r="K32" i="16"/>
  <c r="K28" i="16"/>
  <c r="K18" i="16"/>
  <c r="K14" i="16"/>
  <c r="K72" i="16"/>
  <c r="K37" i="16"/>
  <c r="K29" i="16"/>
  <c r="K38" i="16"/>
  <c r="K30" i="16"/>
  <c r="K34" i="16"/>
  <c r="K33" i="16"/>
  <c r="K15" i="16"/>
  <c r="L12" i="16"/>
  <c r="K16" i="16"/>
  <c r="K44" i="16"/>
  <c r="K23" i="16"/>
  <c r="J36" i="8"/>
  <c r="J82" i="15"/>
  <c r="J79" i="15"/>
  <c r="J85" i="15"/>
  <c r="J80" i="15"/>
  <c r="E63" i="18"/>
  <c r="G63" i="18"/>
  <c r="L82" i="26"/>
  <c r="L80" i="26"/>
  <c r="L85" i="26"/>
  <c r="L79" i="26"/>
  <c r="L19" i="26"/>
  <c r="L20" i="26" s="1"/>
  <c r="H63" i="18"/>
  <c r="F11" i="52"/>
  <c r="H76" i="49"/>
  <c r="K37" i="29"/>
  <c r="K32" i="29"/>
  <c r="K27" i="29"/>
  <c r="K72" i="29"/>
  <c r="K35" i="29"/>
  <c r="K30" i="29"/>
  <c r="K38" i="29"/>
  <c r="K18" i="29"/>
  <c r="L12" i="29"/>
  <c r="K34" i="29"/>
  <c r="K31" i="29"/>
  <c r="K28" i="29"/>
  <c r="K23" i="29"/>
  <c r="K44" i="29"/>
  <c r="K36" i="29"/>
  <c r="K33" i="29"/>
  <c r="K29" i="29"/>
  <c r="K17" i="29"/>
  <c r="K16" i="29"/>
  <c r="K15" i="29"/>
  <c r="K14" i="29"/>
  <c r="K13" i="29"/>
  <c r="K43" i="29"/>
  <c r="K75" i="29"/>
  <c r="K47" i="29"/>
  <c r="K60" i="29"/>
  <c r="K66" i="29"/>
  <c r="M83" i="14"/>
  <c r="P109" i="13"/>
  <c r="J19" i="21"/>
  <c r="D38" i="14"/>
  <c r="D39" i="14"/>
  <c r="D40" i="14" s="1"/>
  <c r="K37" i="24"/>
  <c r="K33" i="24"/>
  <c r="K29" i="24"/>
  <c r="K23" i="24"/>
  <c r="K15" i="24"/>
  <c r="K18" i="24"/>
  <c r="K13" i="24"/>
  <c r="K17" i="24"/>
  <c r="L12" i="24"/>
  <c r="K44" i="24"/>
  <c r="K28" i="24"/>
  <c r="K32" i="24"/>
  <c r="K16" i="24"/>
  <c r="K27" i="24"/>
  <c r="K36" i="24"/>
  <c r="K35" i="24"/>
  <c r="K30" i="24"/>
  <c r="K38" i="24"/>
  <c r="K14" i="24"/>
  <c r="K72" i="24"/>
  <c r="K31" i="24"/>
  <c r="K34" i="24"/>
  <c r="J63" i="27"/>
  <c r="I7" i="12"/>
  <c r="F4" i="17"/>
  <c r="L13" i="17" s="1"/>
  <c r="J19" i="25"/>
  <c r="J19" i="22"/>
  <c r="J19" i="19"/>
  <c r="M14" i="30"/>
  <c r="M36" i="30"/>
  <c r="M31" i="30"/>
  <c r="M23" i="30"/>
  <c r="M17" i="30"/>
  <c r="M35" i="30"/>
  <c r="M30" i="30"/>
  <c r="M27" i="30"/>
  <c r="M29" i="30"/>
  <c r="M28" i="30"/>
  <c r="M18" i="30"/>
  <c r="N12" i="30"/>
  <c r="M13" i="30"/>
  <c r="M15" i="30"/>
  <c r="M44" i="30"/>
  <c r="M37" i="30"/>
  <c r="M34" i="30"/>
  <c r="M16" i="30"/>
  <c r="M72" i="30"/>
  <c r="M38" i="30"/>
  <c r="M33" i="30"/>
  <c r="M32" i="30"/>
  <c r="M43" i="30"/>
  <c r="M60" i="30"/>
  <c r="M66" i="30"/>
  <c r="M47" i="30"/>
  <c r="M75" i="30"/>
  <c r="G23" i="8"/>
  <c r="K72" i="31"/>
  <c r="L12" i="31"/>
  <c r="K36" i="31"/>
  <c r="K31" i="31"/>
  <c r="K14" i="31"/>
  <c r="K29" i="31"/>
  <c r="K17" i="31"/>
  <c r="K23" i="31"/>
  <c r="K18" i="31"/>
  <c r="K33" i="31"/>
  <c r="K37" i="31"/>
  <c r="K30" i="31"/>
  <c r="K34" i="31"/>
  <c r="K27" i="31"/>
  <c r="K15" i="31"/>
  <c r="K13" i="31"/>
  <c r="K38" i="31"/>
  <c r="K32" i="31"/>
  <c r="K35" i="31"/>
  <c r="K16" i="31"/>
  <c r="K28" i="31"/>
  <c r="K44" i="31"/>
  <c r="F63" i="22"/>
  <c r="J16" i="8"/>
  <c r="K75" i="31"/>
  <c r="I5" i="12"/>
  <c r="F4" i="15"/>
  <c r="K13" i="15" s="1"/>
  <c r="H63" i="27"/>
  <c r="P114" i="13"/>
  <c r="M133" i="14"/>
  <c r="G63" i="16"/>
  <c r="E76" i="18"/>
  <c r="G4" i="30"/>
  <c r="F13" i="30"/>
  <c r="F20" i="30" s="1"/>
  <c r="G13" i="30"/>
  <c r="G20" i="30" s="1"/>
  <c r="E13" i="30"/>
  <c r="E20" i="30" s="1"/>
  <c r="H13" i="30"/>
  <c r="H20" i="30" s="1"/>
  <c r="I13" i="30"/>
  <c r="I20" i="30" s="1"/>
  <c r="J13" i="30"/>
  <c r="J20" i="30" s="1"/>
  <c r="K13" i="30"/>
  <c r="K20" i="30" s="1"/>
  <c r="I8" i="12"/>
  <c r="F4" i="18"/>
  <c r="J39" i="25"/>
  <c r="E23" i="8"/>
  <c r="D108" i="14"/>
  <c r="D109" i="14" s="1"/>
  <c r="D110" i="14" s="1"/>
  <c r="J34" i="8"/>
  <c r="F13" i="26"/>
  <c r="F20" i="26" s="1"/>
  <c r="E13" i="26"/>
  <c r="E20" i="26" s="1"/>
  <c r="G4" i="26"/>
  <c r="G13" i="26"/>
  <c r="G20" i="26" s="1"/>
  <c r="H13" i="26"/>
  <c r="H20" i="26" s="1"/>
  <c r="I13" i="26"/>
  <c r="I20" i="26" s="1"/>
  <c r="J13" i="26"/>
  <c r="J20" i="26" s="1"/>
  <c r="K13" i="26"/>
  <c r="K20" i="26" s="1"/>
  <c r="M33" i="14"/>
  <c r="P104" i="13"/>
  <c r="M73" i="14"/>
  <c r="P108" i="13"/>
  <c r="J39" i="21"/>
  <c r="L60" i="20"/>
  <c r="K15" i="21"/>
  <c r="K32" i="21"/>
  <c r="K30" i="21"/>
  <c r="K17" i="21"/>
  <c r="K72" i="21"/>
  <c r="K36" i="21"/>
  <c r="K34" i="21"/>
  <c r="K23" i="21"/>
  <c r="L12" i="21"/>
  <c r="K61" i="21"/>
  <c r="K63" i="21" s="1"/>
  <c r="K38" i="21"/>
  <c r="K27" i="21"/>
  <c r="K14" i="21"/>
  <c r="K44" i="21"/>
  <c r="K31" i="21"/>
  <c r="K18" i="21"/>
  <c r="K29" i="21"/>
  <c r="K35" i="21"/>
  <c r="K28" i="21"/>
  <c r="K62" i="21"/>
  <c r="K33" i="21"/>
  <c r="K37" i="21"/>
  <c r="K16" i="21"/>
  <c r="L66" i="20"/>
  <c r="J39" i="23"/>
  <c r="K44" i="23"/>
  <c r="K38" i="23"/>
  <c r="K34" i="23"/>
  <c r="K30" i="23"/>
  <c r="K16" i="23"/>
  <c r="K18" i="23"/>
  <c r="K37" i="23"/>
  <c r="K13" i="23"/>
  <c r="K14" i="23"/>
  <c r="K23" i="23"/>
  <c r="K62" i="23"/>
  <c r="K29" i="23"/>
  <c r="K17" i="23"/>
  <c r="K33" i="23"/>
  <c r="K28" i="23"/>
  <c r="K61" i="23"/>
  <c r="K35" i="23"/>
  <c r="K31" i="23"/>
  <c r="K32" i="23"/>
  <c r="L12" i="23"/>
  <c r="K36" i="23"/>
  <c r="K72" i="23"/>
  <c r="K27" i="23"/>
  <c r="K15" i="23"/>
  <c r="I15" i="12"/>
  <c r="F4" i="25"/>
  <c r="K13" i="25" s="1"/>
  <c r="K20" i="25" s="1"/>
  <c r="J79" i="25"/>
  <c r="J85" i="25"/>
  <c r="J80" i="25"/>
  <c r="J82" i="25"/>
  <c r="K60" i="24"/>
  <c r="L12" i="22"/>
  <c r="K62" i="22"/>
  <c r="K30" i="22"/>
  <c r="K28" i="22"/>
  <c r="K15" i="22"/>
  <c r="K17" i="22"/>
  <c r="K34" i="22"/>
  <c r="K32" i="22"/>
  <c r="K72" i="22"/>
  <c r="K38" i="22"/>
  <c r="K36" i="22"/>
  <c r="K23" i="22"/>
  <c r="K61" i="22"/>
  <c r="K63" i="22" s="1"/>
  <c r="K27" i="22"/>
  <c r="K44" i="22"/>
  <c r="K14" i="22"/>
  <c r="K18" i="22"/>
  <c r="K35" i="22"/>
  <c r="K37" i="22"/>
  <c r="K31" i="22"/>
  <c r="K16" i="22"/>
  <c r="K29" i="22"/>
  <c r="K33" i="22"/>
  <c r="K72" i="19"/>
  <c r="L12" i="19"/>
  <c r="K62" i="19"/>
  <c r="K28" i="19"/>
  <c r="K30" i="19"/>
  <c r="K17" i="19"/>
  <c r="K15" i="19"/>
  <c r="K32" i="19"/>
  <c r="K34" i="19"/>
  <c r="K36" i="19"/>
  <c r="K61" i="19"/>
  <c r="K38" i="19"/>
  <c r="K27" i="19"/>
  <c r="K23" i="19"/>
  <c r="K37" i="19"/>
  <c r="K13" i="19"/>
  <c r="K44" i="19"/>
  <c r="K31" i="19"/>
  <c r="K35" i="19"/>
  <c r="K16" i="19"/>
  <c r="K29" i="19"/>
  <c r="K33" i="19"/>
  <c r="K18" i="19"/>
  <c r="K14" i="19"/>
  <c r="L19" i="30"/>
  <c r="L20" i="30" s="1"/>
  <c r="F23" i="8"/>
  <c r="E76" i="25"/>
  <c r="J44" i="8"/>
  <c r="J17" i="8"/>
  <c r="H5" i="52"/>
  <c r="D5034" i="49"/>
  <c r="D5031" i="49"/>
  <c r="D5027" i="49"/>
  <c r="D5032" i="49"/>
  <c r="D5029" i="49"/>
  <c r="D5035" i="49"/>
  <c r="D5023" i="49"/>
  <c r="D5021" i="49"/>
  <c r="D5030" i="49"/>
  <c r="D5036" i="49"/>
  <c r="D4743" i="49"/>
  <c r="D4733" i="49"/>
  <c r="D5026" i="49"/>
  <c r="D5020" i="49"/>
  <c r="D4740" i="49"/>
  <c r="D4741" i="49"/>
  <c r="D4736" i="49"/>
  <c r="D4734" i="49"/>
  <c r="D5033" i="49"/>
  <c r="D5028" i="49"/>
  <c r="D5024" i="49"/>
  <c r="D4746" i="49"/>
  <c r="D4454" i="49"/>
  <c r="D4448" i="49"/>
  <c r="D4442" i="49"/>
  <c r="D4747" i="49"/>
  <c r="D4745" i="49"/>
  <c r="D4742" i="49"/>
  <c r="D4455" i="49"/>
  <c r="D4449" i="49"/>
  <c r="D4443" i="49"/>
  <c r="D4167" i="49"/>
  <c r="D4161" i="49"/>
  <c r="D4155" i="49"/>
  <c r="D4744" i="49"/>
  <c r="D4739" i="49"/>
  <c r="D4458" i="49"/>
  <c r="D4456" i="49"/>
  <c r="D4169" i="49"/>
  <c r="D4159" i="49"/>
  <c r="D4156" i="49"/>
  <c r="D4738" i="49"/>
  <c r="D4447" i="49"/>
  <c r="D4445" i="49"/>
  <c r="D4166" i="49"/>
  <c r="D4163" i="49"/>
  <c r="D4153" i="49"/>
  <c r="D3880" i="49"/>
  <c r="D3874" i="49"/>
  <c r="D3868" i="49"/>
  <c r="D4165" i="49"/>
  <c r="D4154" i="49"/>
  <c r="D4452" i="49"/>
  <c r="D4444" i="49"/>
  <c r="D5022" i="49"/>
  <c r="D4160" i="49"/>
  <c r="D4158" i="49"/>
  <c r="D3873" i="49"/>
  <c r="D3870" i="49"/>
  <c r="D3590" i="49"/>
  <c r="D3584" i="49"/>
  <c r="D3578" i="49"/>
  <c r="D4735" i="49"/>
  <c r="D4457" i="49"/>
  <c r="D5025" i="49"/>
  <c r="D4732" i="49"/>
  <c r="D4731" i="49"/>
  <c r="D4453" i="49"/>
  <c r="D4157" i="49"/>
  <c r="D3876" i="49"/>
  <c r="D3865" i="49"/>
  <c r="D4451" i="49"/>
  <c r="D3588" i="49"/>
  <c r="D3872" i="49"/>
  <c r="D3580" i="49"/>
  <c r="D4450" i="49"/>
  <c r="D4162" i="49"/>
  <c r="D3576" i="49"/>
  <c r="D3866" i="49"/>
  <c r="D3864" i="49"/>
  <c r="D3589" i="49"/>
  <c r="D3585" i="49"/>
  <c r="D3298" i="49"/>
  <c r="D3292" i="49"/>
  <c r="D3286" i="49"/>
  <c r="D4737" i="49"/>
  <c r="D3879" i="49"/>
  <c r="D3877" i="49"/>
  <c r="D3581" i="49"/>
  <c r="D4446" i="49"/>
  <c r="D3875" i="49"/>
  <c r="D3583" i="49"/>
  <c r="D3296" i="49"/>
  <c r="D3293" i="49"/>
  <c r="D3587" i="49"/>
  <c r="D3871" i="49"/>
  <c r="D3300" i="49"/>
  <c r="D3290" i="49"/>
  <c r="D3287" i="49"/>
  <c r="D3010" i="49"/>
  <c r="D3004" i="49"/>
  <c r="D2998" i="49"/>
  <c r="D3878" i="49"/>
  <c r="D3591" i="49"/>
  <c r="D3582" i="49"/>
  <c r="D4168" i="49"/>
  <c r="D3302" i="49"/>
  <c r="D3291" i="49"/>
  <c r="D3289" i="49"/>
  <c r="D3869" i="49"/>
  <c r="D3009" i="49"/>
  <c r="D3006" i="49"/>
  <c r="D2724" i="49"/>
  <c r="D2718" i="49"/>
  <c r="D2712" i="49"/>
  <c r="D3013" i="49"/>
  <c r="D3003" i="49"/>
  <c r="D3000" i="49"/>
  <c r="D2719" i="49"/>
  <c r="D2713" i="49"/>
  <c r="D3867" i="49"/>
  <c r="D3575" i="49"/>
  <c r="D3301" i="49"/>
  <c r="D3299" i="49"/>
  <c r="D3288" i="49"/>
  <c r="D3011" i="49"/>
  <c r="D2999" i="49"/>
  <c r="D2716" i="49"/>
  <c r="D2431" i="49"/>
  <c r="D2425" i="49"/>
  <c r="D2419" i="49"/>
  <c r="D3295" i="49"/>
  <c r="D2997" i="49"/>
  <c r="D2723" i="49"/>
  <c r="D2720" i="49"/>
  <c r="D2710" i="49"/>
  <c r="D2432" i="49"/>
  <c r="D2426" i="49"/>
  <c r="D2420" i="49"/>
  <c r="D2144" i="49"/>
  <c r="D2138" i="49"/>
  <c r="D2132" i="49"/>
  <c r="D1856" i="49"/>
  <c r="D1850" i="49"/>
  <c r="D1844" i="49"/>
  <c r="D3007" i="49"/>
  <c r="D3002" i="49"/>
  <c r="D2717" i="49"/>
  <c r="D2714" i="49"/>
  <c r="D2433" i="49"/>
  <c r="D2427" i="49"/>
  <c r="D2421" i="49"/>
  <c r="D2145" i="49"/>
  <c r="D2139" i="49"/>
  <c r="D2133" i="49"/>
  <c r="D1857" i="49"/>
  <c r="D1851" i="49"/>
  <c r="D1845" i="49"/>
  <c r="D3579" i="49"/>
  <c r="D2429" i="49"/>
  <c r="D2143" i="49"/>
  <c r="D2140" i="49"/>
  <c r="D2130" i="49"/>
  <c r="D1847" i="49"/>
  <c r="D3294" i="49"/>
  <c r="D2434" i="49"/>
  <c r="D2137" i="49"/>
  <c r="D2134" i="49"/>
  <c r="D1854" i="49"/>
  <c r="D1841" i="49"/>
  <c r="D4164" i="49"/>
  <c r="D3005" i="49"/>
  <c r="D3577" i="49"/>
  <c r="D2722" i="49"/>
  <c r="D2423" i="49"/>
  <c r="D2141" i="49"/>
  <c r="D2131" i="49"/>
  <c r="D1848" i="49"/>
  <c r="D3008" i="49"/>
  <c r="D2708" i="49"/>
  <c r="D2435" i="49"/>
  <c r="D2711" i="49"/>
  <c r="D2135" i="49"/>
  <c r="D1849" i="49"/>
  <c r="D2715" i="49"/>
  <c r="D2422" i="49"/>
  <c r="D2428" i="49"/>
  <c r="D2424" i="49"/>
  <c r="D2146" i="49"/>
  <c r="D1855" i="49"/>
  <c r="D1556" i="49"/>
  <c r="D1552" i="49"/>
  <c r="D2142" i="49"/>
  <c r="D2136" i="49"/>
  <c r="D3586" i="49"/>
  <c r="D3012" i="49"/>
  <c r="D1852" i="49"/>
  <c r="D1555" i="49"/>
  <c r="D1277" i="49"/>
  <c r="D1562" i="49"/>
  <c r="D1273" i="49"/>
  <c r="D1269" i="49"/>
  <c r="D1559" i="49"/>
  <c r="D1265" i="49"/>
  <c r="D1566" i="49"/>
  <c r="D1278" i="49"/>
  <c r="D988" i="49"/>
  <c r="D982" i="49"/>
  <c r="D976" i="49"/>
  <c r="D700" i="49"/>
  <c r="D694" i="49"/>
  <c r="D688" i="49"/>
  <c r="D1842" i="49"/>
  <c r="D1846" i="49"/>
  <c r="D1564" i="49"/>
  <c r="D2721" i="49"/>
  <c r="D1843" i="49"/>
  <c r="D986" i="49"/>
  <c r="D983" i="49"/>
  <c r="D2709" i="49"/>
  <c r="D1853" i="49"/>
  <c r="D1563" i="49"/>
  <c r="D1558" i="49"/>
  <c r="D1279" i="49"/>
  <c r="D1266" i="49"/>
  <c r="D990" i="49"/>
  <c r="D980" i="49"/>
  <c r="D977" i="49"/>
  <c r="D408" i="49"/>
  <c r="D402" i="49"/>
  <c r="D396" i="49"/>
  <c r="D1560" i="49"/>
  <c r="D1270" i="49"/>
  <c r="D1264" i="49"/>
  <c r="D698" i="49"/>
  <c r="D695" i="49"/>
  <c r="D685" i="49"/>
  <c r="D1568" i="49"/>
  <c r="D1274" i="49"/>
  <c r="D1268" i="49"/>
  <c r="D2430" i="49"/>
  <c r="D1567" i="49"/>
  <c r="D1553" i="49"/>
  <c r="D981" i="49"/>
  <c r="D979" i="49"/>
  <c r="D693" i="49"/>
  <c r="D686" i="49"/>
  <c r="D412" i="49"/>
  <c r="D404" i="49"/>
  <c r="D1557" i="49"/>
  <c r="D987" i="49"/>
  <c r="D985" i="49"/>
  <c r="D974" i="49"/>
  <c r="D696" i="49"/>
  <c r="D691" i="49"/>
  <c r="D689" i="49"/>
  <c r="D400" i="49"/>
  <c r="D409" i="49"/>
  <c r="D1272" i="49"/>
  <c r="D401" i="49"/>
  <c r="D397" i="49"/>
  <c r="D1271" i="49"/>
  <c r="D1267" i="49"/>
  <c r="D107" i="49"/>
  <c r="B107" i="50" s="1"/>
  <c r="D1275" i="49"/>
  <c r="D699" i="49"/>
  <c r="D405" i="49"/>
  <c r="D403" i="49"/>
  <c r="D120" i="49"/>
  <c r="B120" i="50" s="1"/>
  <c r="D115" i="49"/>
  <c r="B115" i="50" s="1"/>
  <c r="D690" i="49"/>
  <c r="D687" i="49"/>
  <c r="D110" i="49"/>
  <c r="B110" i="50" s="1"/>
  <c r="D1565" i="49"/>
  <c r="D1554" i="49"/>
  <c r="D978" i="49"/>
  <c r="D975" i="49"/>
  <c r="D1263" i="49"/>
  <c r="D701" i="49"/>
  <c r="D692" i="49"/>
  <c r="D121" i="49"/>
  <c r="B121" i="50" s="1"/>
  <c r="D108" i="49"/>
  <c r="B108" i="50" s="1"/>
  <c r="D3297" i="49"/>
  <c r="D1561" i="49"/>
  <c r="D406" i="49"/>
  <c r="D119" i="49"/>
  <c r="B119" i="50" s="1"/>
  <c r="D122" i="49"/>
  <c r="B122" i="50" s="1"/>
  <c r="D118" i="49"/>
  <c r="B118" i="50" s="1"/>
  <c r="D407" i="49"/>
  <c r="D116" i="49"/>
  <c r="B116" i="50" s="1"/>
  <c r="D3001" i="49"/>
  <c r="D123" i="49"/>
  <c r="B123" i="50" s="1"/>
  <c r="D117" i="49"/>
  <c r="B117" i="50" s="1"/>
  <c r="D112" i="49"/>
  <c r="B112" i="50" s="1"/>
  <c r="D114" i="49"/>
  <c r="B114" i="50" s="1"/>
  <c r="D109" i="49"/>
  <c r="B109" i="50" s="1"/>
  <c r="D1276" i="49"/>
  <c r="D399" i="49"/>
  <c r="D111" i="49"/>
  <c r="B111" i="50" s="1"/>
  <c r="D411" i="49"/>
  <c r="D989" i="49"/>
  <c r="D410" i="49"/>
  <c r="D984" i="49"/>
  <c r="D697" i="49"/>
  <c r="K72" i="8"/>
  <c r="D113" i="49"/>
  <c r="B113" i="50" s="1"/>
  <c r="K43" i="8"/>
  <c r="D398" i="49"/>
  <c r="L12" i="8"/>
  <c r="K47" i="8"/>
  <c r="F63" i="16"/>
  <c r="D89" i="14"/>
  <c r="D90" i="14" s="1"/>
  <c r="E50" i="18"/>
  <c r="J79" i="23"/>
  <c r="J82" i="23"/>
  <c r="J85" i="23"/>
  <c r="J80" i="23"/>
  <c r="I12" i="12"/>
  <c r="F4" i="22"/>
  <c r="K66" i="24"/>
  <c r="K75" i="24"/>
  <c r="J39" i="31"/>
  <c r="J85" i="16"/>
  <c r="J80" i="16"/>
  <c r="J82" i="16"/>
  <c r="J79" i="16"/>
  <c r="J39" i="16"/>
  <c r="J27" i="8"/>
  <c r="K47" i="28"/>
  <c r="D74" i="14"/>
  <c r="G52" i="13" s="1"/>
  <c r="F48" i="21" s="1"/>
  <c r="C134" i="14"/>
  <c r="F58" i="13" s="1"/>
  <c r="E48" i="27" s="1"/>
  <c r="J59" i="49"/>
  <c r="Q59" i="49" s="1"/>
  <c r="L43" i="20"/>
  <c r="H2702" i="49"/>
  <c r="H2704" i="49"/>
  <c r="H2703" i="49"/>
  <c r="H1247" i="49"/>
  <c r="E57" i="46"/>
  <c r="H588" i="49"/>
  <c r="J8" i="51"/>
  <c r="H1546" i="49"/>
  <c r="H1547" i="49"/>
  <c r="H1548" i="49"/>
  <c r="H3791" i="49"/>
  <c r="H3790" i="49"/>
  <c r="H3792" i="49"/>
  <c r="J14" i="51"/>
  <c r="J21" i="51"/>
  <c r="H3295" i="49"/>
  <c r="H977" i="49"/>
  <c r="H985" i="49"/>
  <c r="H3270" i="49"/>
  <c r="J9" i="51"/>
  <c r="H3874" i="49"/>
  <c r="H3289" i="49"/>
  <c r="H3867" i="49"/>
  <c r="H1844" i="49"/>
  <c r="H2142" i="49"/>
  <c r="H2430" i="49"/>
  <c r="H1275" i="49"/>
  <c r="H975" i="49"/>
  <c r="H611" i="49"/>
  <c r="H612" i="49"/>
  <c r="H613" i="49"/>
  <c r="H669" i="49"/>
  <c r="H3877" i="49"/>
  <c r="E65" i="46"/>
  <c r="H3767" i="49"/>
  <c r="E585" i="46"/>
  <c r="H1206" i="49"/>
  <c r="H1207" i="49"/>
  <c r="H1208" i="49"/>
  <c r="H3578" i="49"/>
  <c r="H2711" i="49"/>
  <c r="H986" i="49"/>
  <c r="H2114" i="49"/>
  <c r="H2717" i="49"/>
  <c r="J17" i="51"/>
  <c r="H894" i="49"/>
  <c r="H984" i="49"/>
  <c r="H2429" i="49"/>
  <c r="H663" i="49"/>
  <c r="H662" i="49"/>
  <c r="H664" i="49"/>
  <c r="E80" i="46"/>
  <c r="J13" i="51"/>
  <c r="H987" i="49"/>
  <c r="H2396" i="49"/>
  <c r="H2397" i="49"/>
  <c r="H2398" i="49"/>
  <c r="E368" i="46"/>
  <c r="E593" i="46"/>
  <c r="H983" i="49"/>
  <c r="H2133" i="49"/>
  <c r="H3807" i="49"/>
  <c r="H3808" i="49"/>
  <c r="H3809" i="49"/>
  <c r="H3842" i="49"/>
  <c r="H3841" i="49"/>
  <c r="H3843" i="49"/>
  <c r="E608" i="46"/>
  <c r="H1189" i="49"/>
  <c r="H1190" i="49"/>
  <c r="H1191" i="49"/>
  <c r="H4426" i="49"/>
  <c r="H3848" i="49"/>
  <c r="H3824" i="49"/>
  <c r="H3825" i="49"/>
  <c r="H3826" i="49"/>
  <c r="H3000" i="49"/>
  <c r="H2139" i="49"/>
  <c r="H2379" i="49"/>
  <c r="H2380" i="49"/>
  <c r="H2381" i="49"/>
  <c r="H1472" i="49"/>
  <c r="H1240" i="49"/>
  <c r="H1242" i="49"/>
  <c r="H1241" i="49"/>
  <c r="E176" i="46"/>
  <c r="H2346" i="49"/>
  <c r="H2347" i="49"/>
  <c r="H2345" i="49"/>
  <c r="H2692" i="49"/>
  <c r="H4156" i="49"/>
  <c r="H2432" i="49"/>
  <c r="H2143" i="49"/>
  <c r="H2322" i="49"/>
  <c r="E345" i="46"/>
  <c r="H3774" i="49"/>
  <c r="H3775" i="49"/>
  <c r="H3773" i="49"/>
  <c r="E592" i="46"/>
  <c r="H2981" i="49"/>
  <c r="H2362" i="49"/>
  <c r="H2363" i="49"/>
  <c r="H2364" i="49"/>
  <c r="H4734" i="49"/>
  <c r="H4732" i="49"/>
  <c r="H3576" i="49"/>
  <c r="H2718" i="49"/>
  <c r="H2140" i="49"/>
  <c r="H2422" i="49"/>
  <c r="H1555" i="49"/>
  <c r="J15" i="51"/>
  <c r="L16" i="51"/>
  <c r="H2403" i="49"/>
  <c r="H5023" i="49"/>
  <c r="H3875" i="49"/>
  <c r="H2428" i="49"/>
  <c r="H694" i="49"/>
  <c r="H1272" i="49"/>
  <c r="E154" i="46"/>
  <c r="H5004" i="49"/>
  <c r="H2328" i="49"/>
  <c r="H2330" i="49"/>
  <c r="H2329" i="49"/>
  <c r="E352" i="46"/>
  <c r="H647" i="49"/>
  <c r="H645" i="49"/>
  <c r="H646" i="49"/>
  <c r="H595" i="49"/>
  <c r="H596" i="49"/>
  <c r="H594" i="49"/>
  <c r="E64" i="46"/>
  <c r="J6" i="51"/>
  <c r="H1224" i="49"/>
  <c r="H1223" i="49"/>
  <c r="H1225" i="49"/>
  <c r="H4445" i="49"/>
  <c r="H2141" i="49"/>
  <c r="H1562" i="49"/>
  <c r="H688" i="49"/>
  <c r="H695" i="49"/>
  <c r="H1536" i="49"/>
  <c r="H2050" i="49"/>
  <c r="H628" i="49"/>
  <c r="H629" i="49"/>
  <c r="H630" i="49"/>
  <c r="L20" i="51"/>
  <c r="H1274" i="49"/>
  <c r="K10" i="51"/>
  <c r="J12" i="51"/>
  <c r="H1561" i="49"/>
  <c r="J11" i="51"/>
  <c r="H2431" i="49"/>
  <c r="H1273" i="49"/>
  <c r="H1266" i="49"/>
  <c r="H681" i="49"/>
  <c r="H680" i="49"/>
  <c r="H679" i="49"/>
  <c r="H3858" i="49"/>
  <c r="H3860" i="49"/>
  <c r="H3859" i="49"/>
  <c r="H3296" i="49"/>
  <c r="H1842" i="49"/>
  <c r="H1276" i="49"/>
  <c r="H4137" i="49"/>
  <c r="H3876" i="49"/>
  <c r="H1174" i="49"/>
  <c r="H1173" i="49"/>
  <c r="H1172" i="49"/>
  <c r="E160" i="46"/>
  <c r="H3873" i="49"/>
  <c r="K7" i="51"/>
  <c r="J1548" i="49" l="1"/>
  <c r="Q1548" i="49" s="1"/>
  <c r="J1547" i="49"/>
  <c r="Q1547" i="49" s="1"/>
  <c r="J1546" i="49"/>
  <c r="Q1546" i="49" s="1"/>
  <c r="J588" i="49"/>
  <c r="Q588" i="49" s="1"/>
  <c r="J57" i="46"/>
  <c r="J1247" i="49"/>
  <c r="Q1247" i="49" s="1"/>
  <c r="J2703" i="49"/>
  <c r="Q2703" i="49" s="1"/>
  <c r="J2704" i="49"/>
  <c r="Q2704" i="49" s="1"/>
  <c r="Q2702" i="49"/>
  <c r="J2702" i="49"/>
  <c r="M39" i="26"/>
  <c r="K82" i="18"/>
  <c r="K85" i="18"/>
  <c r="K80" i="18"/>
  <c r="K79" i="18"/>
  <c r="D94" i="14"/>
  <c r="G54" i="13" s="1"/>
  <c r="F48" i="23" s="1"/>
  <c r="K19" i="29"/>
  <c r="K20" i="29" s="1"/>
  <c r="K19" i="18"/>
  <c r="K19" i="21"/>
  <c r="D44" i="14"/>
  <c r="G49" i="13" s="1"/>
  <c r="F48" i="18" s="1"/>
  <c r="K39" i="15"/>
  <c r="L29" i="18"/>
  <c r="L34" i="18"/>
  <c r="L23" i="18"/>
  <c r="L15" i="18"/>
  <c r="L62" i="18"/>
  <c r="M12" i="18"/>
  <c r="L36" i="18"/>
  <c r="L35" i="18"/>
  <c r="L32" i="18"/>
  <c r="L27" i="18"/>
  <c r="L28" i="18"/>
  <c r="L17" i="18"/>
  <c r="L18" i="18"/>
  <c r="L38" i="18"/>
  <c r="L14" i="18"/>
  <c r="L30" i="18"/>
  <c r="L72" i="18"/>
  <c r="L16" i="18"/>
  <c r="L37" i="18"/>
  <c r="L44" i="18"/>
  <c r="L33" i="18"/>
  <c r="L31" i="18"/>
  <c r="L61" i="18"/>
  <c r="L63" i="18" s="1"/>
  <c r="K63" i="23"/>
  <c r="K63" i="25"/>
  <c r="K39" i="18"/>
  <c r="J3873" i="49"/>
  <c r="Q3873" i="49" s="1"/>
  <c r="J160" i="46"/>
  <c r="J1172" i="49"/>
  <c r="Q1172" i="49" s="1"/>
  <c r="J1173" i="49"/>
  <c r="Q1173" i="49"/>
  <c r="J1174" i="49"/>
  <c r="Q1174" i="49"/>
  <c r="J3876" i="49"/>
  <c r="Q3876" i="49" s="1"/>
  <c r="J4137" i="49"/>
  <c r="Q4137" i="49"/>
  <c r="J1276" i="49"/>
  <c r="Q1276" i="49"/>
  <c r="J1842" i="49"/>
  <c r="Q1842" i="49" s="1"/>
  <c r="J3296" i="49"/>
  <c r="Q3296" i="49" s="1"/>
  <c r="J3859" i="49"/>
  <c r="Q3859" i="49"/>
  <c r="J3860" i="49"/>
  <c r="Q3860" i="49" s="1"/>
  <c r="J3858" i="49"/>
  <c r="Q3858" i="49" s="1"/>
  <c r="J679" i="49"/>
  <c r="Q679" i="49"/>
  <c r="Q680" i="49"/>
  <c r="J680" i="49"/>
  <c r="J681" i="49"/>
  <c r="Q681" i="49" s="1"/>
  <c r="J1266" i="49"/>
  <c r="Q1266" i="49"/>
  <c r="J1273" i="49"/>
  <c r="Q1273" i="49"/>
  <c r="J2431" i="49"/>
  <c r="Q2431" i="49" s="1"/>
  <c r="J1561" i="49"/>
  <c r="Q1561" i="49" s="1"/>
  <c r="J1274" i="49"/>
  <c r="Q1274" i="49" s="1"/>
  <c r="J630" i="49"/>
  <c r="Q630" i="49"/>
  <c r="J629" i="49"/>
  <c r="Q629" i="49" s="1"/>
  <c r="Q628" i="49"/>
  <c r="J628" i="49"/>
  <c r="Q2050" i="49"/>
  <c r="J2050" i="49"/>
  <c r="J1536" i="49"/>
  <c r="Q1536" i="49" s="1"/>
  <c r="J695" i="49"/>
  <c r="Q695" i="49" s="1"/>
  <c r="J688" i="49"/>
  <c r="Q688" i="49" s="1"/>
  <c r="J1562" i="49"/>
  <c r="Q1562" i="49" s="1"/>
  <c r="J2141" i="49"/>
  <c r="Q2141" i="49" s="1"/>
  <c r="J4445" i="49"/>
  <c r="Q4445" i="49" s="1"/>
  <c r="Q1225" i="49"/>
  <c r="J1225" i="49"/>
  <c r="J1223" i="49"/>
  <c r="Q1223" i="49" s="1"/>
  <c r="J1224" i="49"/>
  <c r="Q1224" i="49"/>
  <c r="J64" i="46"/>
  <c r="J594" i="49"/>
  <c r="Q594" i="49" s="1"/>
  <c r="J596" i="49"/>
  <c r="Q596" i="49"/>
  <c r="Q595" i="49"/>
  <c r="J595" i="49"/>
  <c r="J646" i="49"/>
  <c r="Q646" i="49" s="1"/>
  <c r="J645" i="49"/>
  <c r="Q645" i="49" s="1"/>
  <c r="J647" i="49"/>
  <c r="Q647" i="49"/>
  <c r="J352" i="46"/>
  <c r="J2329" i="49"/>
  <c r="Q2329" i="49" s="1"/>
  <c r="J2330" i="49"/>
  <c r="Q2330" i="49" s="1"/>
  <c r="J2328" i="49"/>
  <c r="Q2328" i="49" s="1"/>
  <c r="J5004" i="49"/>
  <c r="Q5004" i="49" s="1"/>
  <c r="J154" i="46"/>
  <c r="J1272" i="49"/>
  <c r="Q1272" i="49" s="1"/>
  <c r="J694" i="49"/>
  <c r="Q694" i="49" s="1"/>
  <c r="J2428" i="49"/>
  <c r="Q2428" i="49" s="1"/>
  <c r="Q3875" i="49"/>
  <c r="J3875" i="49"/>
  <c r="J5023" i="49"/>
  <c r="Q5023" i="49"/>
  <c r="J2403" i="49"/>
  <c r="Q2403" i="49" s="1"/>
  <c r="J1555" i="49"/>
  <c r="Q1555" i="49" s="1"/>
  <c r="J2422" i="49"/>
  <c r="Q2422" i="49" s="1"/>
  <c r="J2140" i="49"/>
  <c r="Q2140" i="49" s="1"/>
  <c r="J2718" i="49"/>
  <c r="Q2718" i="49" s="1"/>
  <c r="J3576" i="49"/>
  <c r="Q3576" i="49" s="1"/>
  <c r="J4732" i="49"/>
  <c r="Q4732" i="49" s="1"/>
  <c r="J4734" i="49"/>
  <c r="Q4734" i="49" s="1"/>
  <c r="Q2364" i="49"/>
  <c r="J2364" i="49"/>
  <c r="Q2363" i="49"/>
  <c r="J2363" i="49"/>
  <c r="J2362" i="49"/>
  <c r="Q2362" i="49"/>
  <c r="J2981" i="49"/>
  <c r="Q2981" i="49" s="1"/>
  <c r="J592" i="46"/>
  <c r="J3773" i="49"/>
  <c r="Q3773" i="49" s="1"/>
  <c r="J3775" i="49"/>
  <c r="Q3775" i="49" s="1"/>
  <c r="J3774" i="49"/>
  <c r="Q3774" i="49" s="1"/>
  <c r="J345" i="46"/>
  <c r="J2322" i="49"/>
  <c r="Q2322" i="49" s="1"/>
  <c r="Q2143" i="49"/>
  <c r="J2143" i="49"/>
  <c r="J2432" i="49"/>
  <c r="Q2432" i="49"/>
  <c r="J4156" i="49"/>
  <c r="Q4156" i="49" s="1"/>
  <c r="J2692" i="49"/>
  <c r="Q2692" i="49" s="1"/>
  <c r="J2345" i="49"/>
  <c r="Q2345" i="49" s="1"/>
  <c r="J2347" i="49"/>
  <c r="Q2347" i="49" s="1"/>
  <c r="J2346" i="49"/>
  <c r="Q2346" i="49" s="1"/>
  <c r="J176" i="46"/>
  <c r="J1241" i="49"/>
  <c r="Q1241" i="49"/>
  <c r="J1242" i="49"/>
  <c r="Q1242" i="49" s="1"/>
  <c r="J1240" i="49"/>
  <c r="Q1240" i="49"/>
  <c r="J1472" i="49"/>
  <c r="Q1472" i="49" s="1"/>
  <c r="J2381" i="49"/>
  <c r="Q2381" i="49" s="1"/>
  <c r="J2380" i="49"/>
  <c r="Q2380" i="49"/>
  <c r="J2379" i="49"/>
  <c r="Q2379" i="49" s="1"/>
  <c r="J2139" i="49"/>
  <c r="Q2139" i="49" s="1"/>
  <c r="J3000" i="49"/>
  <c r="Q3000" i="49" s="1"/>
  <c r="J3826" i="49"/>
  <c r="Q3826" i="49" s="1"/>
  <c r="J3825" i="49"/>
  <c r="Q3825" i="49" s="1"/>
  <c r="Q3824" i="49"/>
  <c r="J3824" i="49"/>
  <c r="J3848" i="49"/>
  <c r="Q3848" i="49" s="1"/>
  <c r="J4426" i="49"/>
  <c r="Q4426" i="49" s="1"/>
  <c r="J1191" i="49"/>
  <c r="Q1191" i="49" s="1"/>
  <c r="J1190" i="49"/>
  <c r="Q1190" i="49"/>
  <c r="J1189" i="49"/>
  <c r="Q1189" i="49"/>
  <c r="J608" i="46"/>
  <c r="J3843" i="49"/>
  <c r="Q3843" i="49" s="1"/>
  <c r="J3841" i="49"/>
  <c r="Q3841" i="49"/>
  <c r="J3842" i="49"/>
  <c r="Q3842" i="49" s="1"/>
  <c r="J3809" i="49"/>
  <c r="Q3809" i="49" s="1"/>
  <c r="J3808" i="49"/>
  <c r="Q3808" i="49" s="1"/>
  <c r="Q3807" i="49"/>
  <c r="J3807" i="49"/>
  <c r="J2133" i="49"/>
  <c r="Q2133" i="49" s="1"/>
  <c r="J983" i="49"/>
  <c r="Q983" i="49" s="1"/>
  <c r="J593" i="46"/>
  <c r="J368" i="46"/>
  <c r="J2398" i="49"/>
  <c r="Q2398" i="49" s="1"/>
  <c r="J2397" i="49"/>
  <c r="Q2397" i="49" s="1"/>
  <c r="J2396" i="49"/>
  <c r="Q2396" i="49" s="1"/>
  <c r="J987" i="49"/>
  <c r="Q987" i="49" s="1"/>
  <c r="J80" i="46"/>
  <c r="Q664" i="49"/>
  <c r="J664" i="49"/>
  <c r="J662" i="49"/>
  <c r="Q662" i="49" s="1"/>
  <c r="J663" i="49"/>
  <c r="Q663" i="49" s="1"/>
  <c r="Q2429" i="49"/>
  <c r="J2429" i="49"/>
  <c r="J984" i="49"/>
  <c r="Q984" i="49" s="1"/>
  <c r="J894" i="49"/>
  <c r="Q894" i="49" s="1"/>
  <c r="J2717" i="49"/>
  <c r="Q2717" i="49" s="1"/>
  <c r="J2114" i="49"/>
  <c r="Q2114" i="49" s="1"/>
  <c r="J986" i="49"/>
  <c r="Q986" i="49" s="1"/>
  <c r="Q2711" i="49"/>
  <c r="J2711" i="49"/>
  <c r="J3578" i="49"/>
  <c r="Q3578" i="49" s="1"/>
  <c r="J1208" i="49"/>
  <c r="Q1208" i="49" s="1"/>
  <c r="J1207" i="49"/>
  <c r="Q1207" i="49" s="1"/>
  <c r="J1206" i="49"/>
  <c r="Q1206" i="49"/>
  <c r="J585" i="46"/>
  <c r="J3767" i="49"/>
  <c r="Q3767" i="49" s="1"/>
  <c r="J65" i="46"/>
  <c r="J3877" i="49"/>
  <c r="Q3877" i="49" s="1"/>
  <c r="J669" i="49"/>
  <c r="Q669" i="49" s="1"/>
  <c r="J613" i="49"/>
  <c r="Q613" i="49" s="1"/>
  <c r="J612" i="49"/>
  <c r="Q612" i="49" s="1"/>
  <c r="J611" i="49"/>
  <c r="Q611" i="49" s="1"/>
  <c r="J975" i="49"/>
  <c r="Q975" i="49" s="1"/>
  <c r="J1275" i="49"/>
  <c r="Q1275" i="49" s="1"/>
  <c r="J2430" i="49"/>
  <c r="Q2430" i="49" s="1"/>
  <c r="J2142" i="49"/>
  <c r="Q2142" i="49" s="1"/>
  <c r="J1844" i="49"/>
  <c r="Q1844" i="49" s="1"/>
  <c r="J3867" i="49"/>
  <c r="Q3867" i="49" s="1"/>
  <c r="J3289" i="49"/>
  <c r="Q3289" i="49" s="1"/>
  <c r="J3874" i="49"/>
  <c r="Q3874" i="49" s="1"/>
  <c r="J3270" i="49"/>
  <c r="Q3270" i="49" s="1"/>
  <c r="J985" i="49"/>
  <c r="Q985" i="49" s="1"/>
  <c r="J977" i="49"/>
  <c r="Q977" i="49" s="1"/>
  <c r="J3295" i="49"/>
  <c r="Q3295" i="49" s="1"/>
  <c r="J3792" i="49"/>
  <c r="Q3792" i="49" s="1"/>
  <c r="J3790" i="49"/>
  <c r="Q3790" i="49" s="1"/>
  <c r="J3791" i="49"/>
  <c r="Q3791" i="49" s="1"/>
  <c r="K21" i="25"/>
  <c r="K22" i="25" s="1"/>
  <c r="K24" i="25" s="1"/>
  <c r="G84" i="13"/>
  <c r="F64" i="25" s="1"/>
  <c r="F76" i="25" s="1"/>
  <c r="E107" i="14"/>
  <c r="H74" i="13"/>
  <c r="G64" i="15" s="1"/>
  <c r="G76" i="15" s="1"/>
  <c r="F7" i="14"/>
  <c r="I5" i="52"/>
  <c r="D5051" i="49"/>
  <c r="D5048" i="49"/>
  <c r="D5044" i="49"/>
  <c r="D5049" i="49"/>
  <c r="D5037" i="49"/>
  <c r="D5047" i="49"/>
  <c r="D5042" i="49"/>
  <c r="D5040" i="49"/>
  <c r="D5043" i="49"/>
  <c r="D5053" i="49"/>
  <c r="D5046" i="49"/>
  <c r="D5039" i="49"/>
  <c r="D4756" i="49"/>
  <c r="D4753" i="49"/>
  <c r="D4762" i="49"/>
  <c r="D4760" i="49"/>
  <c r="D4755" i="49"/>
  <c r="D4748" i="49"/>
  <c r="D5038" i="49"/>
  <c r="D4758" i="49"/>
  <c r="D4471" i="49"/>
  <c r="D4465" i="49"/>
  <c r="D4750" i="49"/>
  <c r="D4470" i="49"/>
  <c r="D4467" i="49"/>
  <c r="D4460" i="49"/>
  <c r="D4185" i="49"/>
  <c r="D4179" i="49"/>
  <c r="D4173" i="49"/>
  <c r="D5050" i="49"/>
  <c r="D5041" i="49"/>
  <c r="D4474" i="49"/>
  <c r="D4464" i="49"/>
  <c r="D4182" i="49"/>
  <c r="D4172" i="49"/>
  <c r="D5052" i="49"/>
  <c r="D4468" i="49"/>
  <c r="D4466" i="49"/>
  <c r="D4761" i="49"/>
  <c r="D4757" i="49"/>
  <c r="D4749" i="49"/>
  <c r="D4186" i="49"/>
  <c r="D4176" i="49"/>
  <c r="D3892" i="49"/>
  <c r="D3886" i="49"/>
  <c r="D4472" i="49"/>
  <c r="D4763" i="49"/>
  <c r="D4751" i="49"/>
  <c r="D4178" i="49"/>
  <c r="D4184" i="49"/>
  <c r="D4171" i="49"/>
  <c r="D3896" i="49"/>
  <c r="D3893" i="49"/>
  <c r="D3883" i="49"/>
  <c r="D3608" i="49"/>
  <c r="D3602" i="49"/>
  <c r="D3596" i="49"/>
  <c r="D4473" i="49"/>
  <c r="D4463" i="49"/>
  <c r="D4764" i="49"/>
  <c r="D4462" i="49"/>
  <c r="D4181" i="49"/>
  <c r="D4461" i="49"/>
  <c r="D4175" i="49"/>
  <c r="D4752" i="49"/>
  <c r="D4183" i="49"/>
  <c r="D4475" i="49"/>
  <c r="D4180" i="49"/>
  <c r="D4177" i="49"/>
  <c r="D3890" i="49"/>
  <c r="D3891" i="49"/>
  <c r="D3605" i="49"/>
  <c r="D4759" i="49"/>
  <c r="D3889" i="49"/>
  <c r="D3887" i="49"/>
  <c r="D3601" i="49"/>
  <c r="D3597" i="49"/>
  <c r="D3885" i="49"/>
  <c r="D3593" i="49"/>
  <c r="D5045" i="49"/>
  <c r="D3881" i="49"/>
  <c r="D3606" i="49"/>
  <c r="D3316" i="49"/>
  <c r="D3310" i="49"/>
  <c r="D3304" i="49"/>
  <c r="D3894" i="49"/>
  <c r="D3598" i="49"/>
  <c r="D3888" i="49"/>
  <c r="D3592" i="49"/>
  <c r="D4469" i="49"/>
  <c r="D4170" i="49"/>
  <c r="D3895" i="49"/>
  <c r="D3319" i="49"/>
  <c r="D3309" i="49"/>
  <c r="D3306" i="49"/>
  <c r="D3607" i="49"/>
  <c r="D3313" i="49"/>
  <c r="D3303" i="49"/>
  <c r="D3028" i="49"/>
  <c r="D3022" i="49"/>
  <c r="D3016" i="49"/>
  <c r="D2740" i="49"/>
  <c r="D2734" i="49"/>
  <c r="D2728" i="49"/>
  <c r="D3897" i="49"/>
  <c r="D3884" i="49"/>
  <c r="D3600" i="49"/>
  <c r="D4754" i="49"/>
  <c r="D4174" i="49"/>
  <c r="D3599" i="49"/>
  <c r="D3315" i="49"/>
  <c r="D3882" i="49"/>
  <c r="D3029" i="49"/>
  <c r="D3019" i="49"/>
  <c r="D3026" i="49"/>
  <c r="D3023" i="49"/>
  <c r="D2725" i="49"/>
  <c r="D3314" i="49"/>
  <c r="D3312" i="49"/>
  <c r="D3030" i="49"/>
  <c r="D3025" i="49"/>
  <c r="D3018" i="49"/>
  <c r="D2449" i="49"/>
  <c r="D2443" i="49"/>
  <c r="D2437" i="49"/>
  <c r="D2739" i="49"/>
  <c r="D2726" i="49"/>
  <c r="D3317" i="49"/>
  <c r="D2737" i="49"/>
  <c r="D2729" i="49"/>
  <c r="D2450" i="49"/>
  <c r="D2444" i="49"/>
  <c r="D2438" i="49"/>
  <c r="D2162" i="49"/>
  <c r="D2156" i="49"/>
  <c r="D2150" i="49"/>
  <c r="D1874" i="49"/>
  <c r="D1868" i="49"/>
  <c r="D1862" i="49"/>
  <c r="D3603" i="49"/>
  <c r="D3305" i="49"/>
  <c r="D3021" i="49"/>
  <c r="D3014" i="49"/>
  <c r="D2735" i="49"/>
  <c r="D2732" i="49"/>
  <c r="D2451" i="49"/>
  <c r="D2445" i="49"/>
  <c r="D2439" i="49"/>
  <c r="D2163" i="49"/>
  <c r="D2157" i="49"/>
  <c r="D2151" i="49"/>
  <c r="D1869" i="49"/>
  <c r="D1863" i="49"/>
  <c r="D4459" i="49"/>
  <c r="D3595" i="49"/>
  <c r="D3594" i="49"/>
  <c r="D3308" i="49"/>
  <c r="D3027" i="49"/>
  <c r="D2736" i="49"/>
  <c r="D2447" i="49"/>
  <c r="D2153" i="49"/>
  <c r="D1873" i="49"/>
  <c r="D1870" i="49"/>
  <c r="D1860" i="49"/>
  <c r="D3015" i="49"/>
  <c r="D3307" i="49"/>
  <c r="D3017" i="49"/>
  <c r="D2452" i="49"/>
  <c r="D2436" i="49"/>
  <c r="D2160" i="49"/>
  <c r="D2147" i="49"/>
  <c r="D1867" i="49"/>
  <c r="D1864" i="49"/>
  <c r="D2741" i="49"/>
  <c r="D2738" i="49"/>
  <c r="D2727" i="49"/>
  <c r="D3604" i="49"/>
  <c r="D3020" i="49"/>
  <c r="D2441" i="49"/>
  <c r="D2154" i="49"/>
  <c r="D1871" i="49"/>
  <c r="D1861" i="49"/>
  <c r="D1858" i="49"/>
  <c r="D2442" i="49"/>
  <c r="D1859" i="49"/>
  <c r="D2155" i="49"/>
  <c r="D3311" i="49"/>
  <c r="D1872" i="49"/>
  <c r="D3318" i="49"/>
  <c r="D3024" i="49"/>
  <c r="D2440" i="49"/>
  <c r="D2733" i="49"/>
  <c r="D2159" i="49"/>
  <c r="D2152" i="49"/>
  <c r="D1573" i="49"/>
  <c r="D1569" i="49"/>
  <c r="D2149" i="49"/>
  <c r="D1866" i="49"/>
  <c r="D1585" i="49"/>
  <c r="D1582" i="49"/>
  <c r="D1294" i="49"/>
  <c r="D2731" i="49"/>
  <c r="D2158" i="49"/>
  <c r="D1572" i="49"/>
  <c r="D1290" i="49"/>
  <c r="D2730" i="49"/>
  <c r="D2148" i="49"/>
  <c r="D1579" i="49"/>
  <c r="D1286" i="49"/>
  <c r="D1282" i="49"/>
  <c r="D2448" i="49"/>
  <c r="D1576" i="49"/>
  <c r="D1295" i="49"/>
  <c r="D1006" i="49"/>
  <c r="D1000" i="49"/>
  <c r="D994" i="49"/>
  <c r="D718" i="49"/>
  <c r="D712" i="49"/>
  <c r="D706" i="49"/>
  <c r="D2446" i="49"/>
  <c r="D1865" i="49"/>
  <c r="D1570" i="49"/>
  <c r="D1291" i="49"/>
  <c r="D1287" i="49"/>
  <c r="D999" i="49"/>
  <c r="D996" i="49"/>
  <c r="D1574" i="49"/>
  <c r="D1292" i="49"/>
  <c r="D1571" i="49"/>
  <c r="D1296" i="49"/>
  <c r="D1283" i="49"/>
  <c r="D1003" i="49"/>
  <c r="D993" i="49"/>
  <c r="D426" i="49"/>
  <c r="D420" i="49"/>
  <c r="D414" i="49"/>
  <c r="D1281" i="49"/>
  <c r="D711" i="49"/>
  <c r="D708" i="49"/>
  <c r="D1581" i="49"/>
  <c r="D1285" i="49"/>
  <c r="D1005" i="49"/>
  <c r="D992" i="49"/>
  <c r="D705" i="49"/>
  <c r="D429" i="49"/>
  <c r="D425" i="49"/>
  <c r="D421" i="49"/>
  <c r="D1584" i="49"/>
  <c r="D998" i="49"/>
  <c r="D717" i="49"/>
  <c r="D715" i="49"/>
  <c r="D710" i="49"/>
  <c r="D703" i="49"/>
  <c r="D417" i="49"/>
  <c r="D413" i="49"/>
  <c r="D1289" i="49"/>
  <c r="D418" i="49"/>
  <c r="D1284" i="49"/>
  <c r="D1578" i="49"/>
  <c r="D125" i="49"/>
  <c r="B125" i="50" s="1"/>
  <c r="D1001" i="49"/>
  <c r="D997" i="49"/>
  <c r="D702" i="49"/>
  <c r="D423" i="49"/>
  <c r="D138" i="49"/>
  <c r="B138" i="50" s="1"/>
  <c r="D133" i="49"/>
  <c r="B133" i="50" s="1"/>
  <c r="D1577" i="49"/>
  <c r="D714" i="49"/>
  <c r="D128" i="49"/>
  <c r="B128" i="50" s="1"/>
  <c r="D1004" i="49"/>
  <c r="D1575" i="49"/>
  <c r="D716" i="49"/>
  <c r="D139" i="49"/>
  <c r="B139" i="50" s="1"/>
  <c r="D126" i="49"/>
  <c r="B126" i="50" s="1"/>
  <c r="D995" i="49"/>
  <c r="D415" i="49"/>
  <c r="D137" i="49"/>
  <c r="B137" i="50" s="1"/>
  <c r="D707" i="49"/>
  <c r="D427" i="49"/>
  <c r="D416" i="49"/>
  <c r="D1583" i="49"/>
  <c r="D1288" i="49"/>
  <c r="D1007" i="49"/>
  <c r="D991" i="49"/>
  <c r="D422" i="49"/>
  <c r="D132" i="49"/>
  <c r="B132" i="50" s="1"/>
  <c r="D130" i="49"/>
  <c r="B130" i="50" s="1"/>
  <c r="D2161" i="49"/>
  <c r="D1580" i="49"/>
  <c r="D134" i="49"/>
  <c r="B134" i="50" s="1"/>
  <c r="D709" i="49"/>
  <c r="D127" i="49"/>
  <c r="B127" i="50" s="1"/>
  <c r="D1280" i="49"/>
  <c r="D140" i="49"/>
  <c r="B140" i="50" s="1"/>
  <c r="D129" i="49"/>
  <c r="B129" i="50" s="1"/>
  <c r="D704" i="49"/>
  <c r="D424" i="49"/>
  <c r="D131" i="49"/>
  <c r="B131" i="50" s="1"/>
  <c r="D124" i="49"/>
  <c r="B124" i="50" s="1"/>
  <c r="D713" i="49"/>
  <c r="D135" i="49"/>
  <c r="B135" i="50" s="1"/>
  <c r="D419" i="49"/>
  <c r="D136" i="49"/>
  <c r="B136" i="50" s="1"/>
  <c r="M12" i="8"/>
  <c r="D428" i="49"/>
  <c r="D1293" i="49"/>
  <c r="D1002" i="49"/>
  <c r="L72" i="8"/>
  <c r="L47" i="8"/>
  <c r="L43" i="8"/>
  <c r="Q108" i="13"/>
  <c r="N73" i="14"/>
  <c r="J57" i="49"/>
  <c r="Q57" i="49" s="1"/>
  <c r="K63" i="15"/>
  <c r="G21" i="24"/>
  <c r="G22" i="24" s="1"/>
  <c r="G24" i="24" s="1"/>
  <c r="G4" i="29"/>
  <c r="F13" i="29"/>
  <c r="F20" i="29" s="1"/>
  <c r="E13" i="29"/>
  <c r="E20" i="29" s="1"/>
  <c r="G13" i="29"/>
  <c r="G20" i="29" s="1"/>
  <c r="H13" i="29"/>
  <c r="H20" i="29" s="1"/>
  <c r="I13" i="29"/>
  <c r="I20" i="29" s="1"/>
  <c r="J13" i="29"/>
  <c r="J20" i="29" s="1"/>
  <c r="L37" i="22"/>
  <c r="L33" i="22"/>
  <c r="L29" i="22"/>
  <c r="L23" i="22"/>
  <c r="L15" i="22"/>
  <c r="L44" i="22"/>
  <c r="L38" i="22"/>
  <c r="L34" i="22"/>
  <c r="L30" i="22"/>
  <c r="L16" i="22"/>
  <c r="L17" i="22"/>
  <c r="L32" i="22"/>
  <c r="L72" i="22"/>
  <c r="L36" i="22"/>
  <c r="M12" i="22"/>
  <c r="L61" i="22"/>
  <c r="L63" i="22" s="1"/>
  <c r="L27" i="22"/>
  <c r="L14" i="22"/>
  <c r="L62" i="22"/>
  <c r="L31" i="22"/>
  <c r="L35" i="22"/>
  <c r="L28" i="22"/>
  <c r="L18" i="22"/>
  <c r="L13" i="22"/>
  <c r="K30" i="8"/>
  <c r="L63" i="17"/>
  <c r="K21" i="30"/>
  <c r="K22" i="30" s="1"/>
  <c r="K24" i="30" s="1"/>
  <c r="K38" i="8"/>
  <c r="Q110" i="13"/>
  <c r="N93" i="14"/>
  <c r="Q106" i="13"/>
  <c r="N53" i="14"/>
  <c r="M72" i="20"/>
  <c r="N12" i="20"/>
  <c r="M34" i="20"/>
  <c r="M32" i="20"/>
  <c r="M38" i="20"/>
  <c r="M36" i="20"/>
  <c r="M23" i="20"/>
  <c r="M27" i="20"/>
  <c r="M44" i="20"/>
  <c r="M29" i="20"/>
  <c r="M16" i="20"/>
  <c r="M14" i="20"/>
  <c r="M31" i="20"/>
  <c r="M28" i="20"/>
  <c r="M15" i="20"/>
  <c r="M13" i="20"/>
  <c r="M18" i="20"/>
  <c r="M35" i="20"/>
  <c r="M37" i="20"/>
  <c r="M30" i="20"/>
  <c r="M33" i="20"/>
  <c r="M17" i="20"/>
  <c r="M43" i="20"/>
  <c r="M66" i="20"/>
  <c r="M47" i="20"/>
  <c r="M60" i="20"/>
  <c r="M75" i="20"/>
  <c r="G4" i="28"/>
  <c r="F13" i="28"/>
  <c r="F20" i="28" s="1"/>
  <c r="E13" i="28"/>
  <c r="E20" i="28" s="1"/>
  <c r="G13" i="28"/>
  <c r="G20" i="28" s="1"/>
  <c r="H13" i="28"/>
  <c r="H20" i="28" s="1"/>
  <c r="I13" i="28"/>
  <c r="I20" i="28" s="1"/>
  <c r="J13" i="28"/>
  <c r="J20" i="28" s="1"/>
  <c r="L62" i="27"/>
  <c r="L28" i="27"/>
  <c r="L15" i="27"/>
  <c r="L13" i="27"/>
  <c r="L72" i="27"/>
  <c r="L32" i="27"/>
  <c r="L17" i="27"/>
  <c r="L31" i="27"/>
  <c r="L30" i="27"/>
  <c r="L18" i="27"/>
  <c r="L61" i="27"/>
  <c r="L29" i="27"/>
  <c r="L16" i="27"/>
  <c r="L38" i="27"/>
  <c r="L27" i="27"/>
  <c r="L14" i="27"/>
  <c r="L37" i="27"/>
  <c r="L36" i="27"/>
  <c r="L23" i="27"/>
  <c r="M12" i="27"/>
  <c r="L33" i="27"/>
  <c r="L34" i="27"/>
  <c r="L44" i="27"/>
  <c r="L35" i="27"/>
  <c r="L21" i="26"/>
  <c r="L22" i="26" s="1"/>
  <c r="L24" i="26" s="1"/>
  <c r="L41" i="26" s="1"/>
  <c r="K82" i="15"/>
  <c r="K79" i="15"/>
  <c r="K80" i="15"/>
  <c r="K85" i="15"/>
  <c r="M20" i="30"/>
  <c r="L61" i="25"/>
  <c r="L35" i="25"/>
  <c r="L31" i="25"/>
  <c r="L27" i="25"/>
  <c r="L17" i="25"/>
  <c r="L13" i="25"/>
  <c r="L37" i="25"/>
  <c r="L32" i="25"/>
  <c r="L30" i="25"/>
  <c r="L15" i="25"/>
  <c r="L72" i="25"/>
  <c r="L14" i="25"/>
  <c r="L23" i="25"/>
  <c r="L34" i="25"/>
  <c r="L18" i="25"/>
  <c r="L62" i="25"/>
  <c r="L29" i="25"/>
  <c r="L38" i="25"/>
  <c r="L36" i="25"/>
  <c r="L16" i="25"/>
  <c r="L44" i="25"/>
  <c r="M12" i="25"/>
  <c r="L28" i="25"/>
  <c r="L33" i="25"/>
  <c r="K21" i="26"/>
  <c r="K22" i="26" s="1"/>
  <c r="K24" i="26" s="1"/>
  <c r="K19" i="31"/>
  <c r="K20" i="31" s="1"/>
  <c r="N36" i="30"/>
  <c r="N31" i="30"/>
  <c r="N34" i="30"/>
  <c r="N29" i="30"/>
  <c r="O12" i="30"/>
  <c r="N23" i="30"/>
  <c r="N17" i="30"/>
  <c r="N28" i="30"/>
  <c r="N14" i="30"/>
  <c r="N19" i="30" s="1"/>
  <c r="N72" i="30"/>
  <c r="N16" i="30"/>
  <c r="N13" i="30"/>
  <c r="N35" i="30"/>
  <c r="N30" i="30"/>
  <c r="N18" i="30"/>
  <c r="N44" i="30"/>
  <c r="N37" i="30"/>
  <c r="N38" i="30"/>
  <c r="N33" i="30"/>
  <c r="N32" i="30"/>
  <c r="N27" i="30"/>
  <c r="N15" i="30"/>
  <c r="N66" i="30"/>
  <c r="N75" i="30"/>
  <c r="N43" i="30"/>
  <c r="N60" i="30"/>
  <c r="N47" i="30"/>
  <c r="M19" i="30"/>
  <c r="L72" i="29"/>
  <c r="M12" i="29"/>
  <c r="L15" i="29"/>
  <c r="L23" i="29"/>
  <c r="L18" i="29"/>
  <c r="L13" i="29"/>
  <c r="L35" i="29"/>
  <c r="L32" i="29"/>
  <c r="L29" i="29"/>
  <c r="L34" i="29"/>
  <c r="L31" i="29"/>
  <c r="L28" i="29"/>
  <c r="L44" i="29"/>
  <c r="L38" i="29"/>
  <c r="L37" i="29"/>
  <c r="L36" i="29"/>
  <c r="L33" i="29"/>
  <c r="L30" i="29"/>
  <c r="L17" i="29"/>
  <c r="L16" i="29"/>
  <c r="L14" i="29"/>
  <c r="L27" i="29"/>
  <c r="L66" i="29"/>
  <c r="L60" i="29"/>
  <c r="L75" i="29"/>
  <c r="L47" i="29"/>
  <c r="L43" i="29"/>
  <c r="F21" i="24"/>
  <c r="F22" i="24" s="1"/>
  <c r="F24" i="24" s="1"/>
  <c r="E48" i="14"/>
  <c r="E49" i="14"/>
  <c r="E50" i="14" s="1"/>
  <c r="E13" i="31"/>
  <c r="E20" i="31" s="1"/>
  <c r="G4" i="31"/>
  <c r="F13" i="31"/>
  <c r="F20" i="31" s="1"/>
  <c r="G13" i="31"/>
  <c r="G20" i="31" s="1"/>
  <c r="H13" i="31"/>
  <c r="H20" i="31" s="1"/>
  <c r="I13" i="31"/>
  <c r="I20" i="31" s="1"/>
  <c r="J13" i="31"/>
  <c r="J20" i="31" s="1"/>
  <c r="K80" i="25"/>
  <c r="K79" i="25"/>
  <c r="K82" i="25"/>
  <c r="K85" i="25"/>
  <c r="E68" i="14"/>
  <c r="G11" i="52"/>
  <c r="H93" i="49"/>
  <c r="L32" i="21"/>
  <c r="L30" i="21"/>
  <c r="L17" i="21"/>
  <c r="L72" i="21"/>
  <c r="L36" i="21"/>
  <c r="L34" i="21"/>
  <c r="L23" i="21"/>
  <c r="M12" i="21"/>
  <c r="L61" i="21"/>
  <c r="L38" i="21"/>
  <c r="L27" i="21"/>
  <c r="L14" i="21"/>
  <c r="L19" i="21" s="1"/>
  <c r="L29" i="21"/>
  <c r="L35" i="21"/>
  <c r="L28" i="21"/>
  <c r="L16" i="21"/>
  <c r="L37" i="21"/>
  <c r="L18" i="21"/>
  <c r="L31" i="21"/>
  <c r="L15" i="21"/>
  <c r="L62" i="21"/>
  <c r="L33" i="21"/>
  <c r="L44" i="21"/>
  <c r="L13" i="21"/>
  <c r="J21" i="26"/>
  <c r="J22" i="26" s="1"/>
  <c r="J24" i="26" s="1"/>
  <c r="J21" i="30"/>
  <c r="J22" i="30" s="1"/>
  <c r="J24" i="30" s="1"/>
  <c r="K39" i="24"/>
  <c r="K17" i="8"/>
  <c r="E21" i="24"/>
  <c r="E22" i="24" s="1"/>
  <c r="E24" i="24" s="1"/>
  <c r="L19" i="17"/>
  <c r="L20" i="17" s="1"/>
  <c r="P4" i="14"/>
  <c r="O41" i="14"/>
  <c r="O72" i="14"/>
  <c r="R136" i="13" s="1"/>
  <c r="O131" i="14"/>
  <c r="O81" i="14"/>
  <c r="O12" i="14"/>
  <c r="R130" i="13" s="1"/>
  <c r="O71" i="14"/>
  <c r="O21" i="14"/>
  <c r="O82" i="14"/>
  <c r="R137" i="13" s="1"/>
  <c r="O26" i="14"/>
  <c r="O11" i="14"/>
  <c r="O51" i="14"/>
  <c r="O92" i="14"/>
  <c r="R138" i="13" s="1"/>
  <c r="O32" i="14"/>
  <c r="R132" i="13" s="1"/>
  <c r="O112" i="14"/>
  <c r="R140" i="13" s="1"/>
  <c r="O132" i="14"/>
  <c r="R142" i="13" s="1"/>
  <c r="O91" i="14"/>
  <c r="O111" i="14"/>
  <c r="O22" i="14"/>
  <c r="R131" i="13" s="1"/>
  <c r="O31" i="14"/>
  <c r="O42" i="14"/>
  <c r="R133" i="13" s="1"/>
  <c r="O52" i="14"/>
  <c r="R134" i="13" s="1"/>
  <c r="O6" i="14"/>
  <c r="O106" i="14"/>
  <c r="O66" i="14"/>
  <c r="O166" i="14"/>
  <c r="O46" i="14"/>
  <c r="O156" i="14"/>
  <c r="O146" i="14"/>
  <c r="O86" i="14"/>
  <c r="O56" i="14"/>
  <c r="O76" i="14"/>
  <c r="O36" i="14"/>
  <c r="O96" i="14"/>
  <c r="O126" i="14"/>
  <c r="O116" i="14"/>
  <c r="O136" i="14"/>
  <c r="O16" i="14"/>
  <c r="K19" i="28"/>
  <c r="K13" i="28"/>
  <c r="K79" i="22"/>
  <c r="K85" i="22"/>
  <c r="K80" i="22"/>
  <c r="K82" i="22"/>
  <c r="I21" i="26"/>
  <c r="I22" i="26" s="1"/>
  <c r="I24" i="26" s="1"/>
  <c r="D114" i="14"/>
  <c r="G56" i="13" s="1"/>
  <c r="F48" i="25" s="1"/>
  <c r="I21" i="30"/>
  <c r="I22" i="30"/>
  <c r="I24" i="30" s="1"/>
  <c r="K39" i="31"/>
  <c r="K29" i="8"/>
  <c r="K39" i="16"/>
  <c r="K27" i="8"/>
  <c r="G4" i="16"/>
  <c r="E13" i="16"/>
  <c r="F13" i="16"/>
  <c r="G13" i="16"/>
  <c r="H13" i="16"/>
  <c r="I13" i="16"/>
  <c r="J13" i="16"/>
  <c r="Q105" i="13"/>
  <c r="N43" i="14"/>
  <c r="E28" i="14"/>
  <c r="E29" i="14" s="1"/>
  <c r="E30" i="14" s="1"/>
  <c r="G82" i="13"/>
  <c r="F64" i="23" s="1"/>
  <c r="F76" i="23" s="1"/>
  <c r="E87" i="14"/>
  <c r="K86" i="8"/>
  <c r="K83" i="8"/>
  <c r="K79" i="8"/>
  <c r="K81" i="8"/>
  <c r="K39" i="23"/>
  <c r="H21" i="26"/>
  <c r="H22" i="26" s="1"/>
  <c r="H24" i="26" s="1"/>
  <c r="H21" i="30"/>
  <c r="H22" i="30" s="1"/>
  <c r="H24" i="30" s="1"/>
  <c r="K37" i="8"/>
  <c r="K31" i="8"/>
  <c r="N13" i="14"/>
  <c r="Q102" i="13"/>
  <c r="L19" i="20"/>
  <c r="L20" i="20" s="1"/>
  <c r="L38" i="28"/>
  <c r="L34" i="28"/>
  <c r="L30" i="28"/>
  <c r="L16" i="28"/>
  <c r="L37" i="28"/>
  <c r="L13" i="28"/>
  <c r="L28" i="28"/>
  <c r="L32" i="28"/>
  <c r="L23" i="28"/>
  <c r="M12" i="28"/>
  <c r="L35" i="28"/>
  <c r="L72" i="28"/>
  <c r="L33" i="28"/>
  <c r="L31" i="28"/>
  <c r="L17" i="28"/>
  <c r="L44" i="28"/>
  <c r="L29" i="28"/>
  <c r="L36" i="28"/>
  <c r="L18" i="28"/>
  <c r="L27" i="28"/>
  <c r="L14" i="28"/>
  <c r="L15" i="28"/>
  <c r="L43" i="28"/>
  <c r="L66" i="28"/>
  <c r="L60" i="28"/>
  <c r="L47" i="28"/>
  <c r="L75" i="28"/>
  <c r="G4" i="23"/>
  <c r="F13" i="23"/>
  <c r="F20" i="23" s="1"/>
  <c r="E13" i="23"/>
  <c r="E20" i="23" s="1"/>
  <c r="G13" i="23"/>
  <c r="G20" i="23" s="1"/>
  <c r="H13" i="23"/>
  <c r="H20" i="23" s="1"/>
  <c r="I13" i="23"/>
  <c r="I20" i="23" s="1"/>
  <c r="J13" i="23"/>
  <c r="J20" i="23" s="1"/>
  <c r="F9" i="52"/>
  <c r="H74" i="49"/>
  <c r="F81" i="13"/>
  <c r="E64" i="22" s="1"/>
  <c r="D77" i="14"/>
  <c r="K39" i="27"/>
  <c r="F50" i="18"/>
  <c r="J13" i="4" s="1"/>
  <c r="M3" i="18"/>
  <c r="K33" i="8"/>
  <c r="N83" i="14"/>
  <c r="Q109" i="13"/>
  <c r="J76" i="49"/>
  <c r="Q76" i="49" s="1"/>
  <c r="K20" i="21"/>
  <c r="G21" i="26"/>
  <c r="G22" i="26" s="1"/>
  <c r="G24" i="26" s="1"/>
  <c r="E21" i="30"/>
  <c r="E22" i="30" s="1"/>
  <c r="E24" i="30" s="1"/>
  <c r="K23" i="8"/>
  <c r="K35" i="8"/>
  <c r="D129" i="14"/>
  <c r="D130" i="14" s="1"/>
  <c r="D128" i="14"/>
  <c r="K39" i="28"/>
  <c r="K85" i="28"/>
  <c r="K80" i="28"/>
  <c r="K82" i="28"/>
  <c r="K79" i="28"/>
  <c r="H21" i="24"/>
  <c r="H22" i="24" s="1"/>
  <c r="H24" i="24" s="1"/>
  <c r="K34" i="8"/>
  <c r="K44" i="8"/>
  <c r="K85" i="16"/>
  <c r="K80" i="16"/>
  <c r="K79" i="16"/>
  <c r="K82" i="16"/>
  <c r="K63" i="16"/>
  <c r="E76" i="27"/>
  <c r="Q112" i="13"/>
  <c r="N113" i="14"/>
  <c r="L82" i="20"/>
  <c r="L80" i="20"/>
  <c r="L85" i="20"/>
  <c r="L79" i="20"/>
  <c r="K80" i="27"/>
  <c r="K79" i="27"/>
  <c r="K85" i="27"/>
  <c r="K82" i="27"/>
  <c r="K19" i="27"/>
  <c r="K20" i="27" s="1"/>
  <c r="K32" i="8"/>
  <c r="K19" i="22"/>
  <c r="G21" i="30"/>
  <c r="G22" i="30"/>
  <c r="G24" i="30" s="1"/>
  <c r="L44" i="31"/>
  <c r="L38" i="31"/>
  <c r="L34" i="31"/>
  <c r="L30" i="31"/>
  <c r="L16" i="31"/>
  <c r="L36" i="31"/>
  <c r="L31" i="31"/>
  <c r="L14" i="31"/>
  <c r="L23" i="31"/>
  <c r="L72" i="31"/>
  <c r="L37" i="31"/>
  <c r="L35" i="31"/>
  <c r="L32" i="31"/>
  <c r="L33" i="31"/>
  <c r="L27" i="31"/>
  <c r="L18" i="31"/>
  <c r="L15" i="31"/>
  <c r="L29" i="31"/>
  <c r="L28" i="31"/>
  <c r="L17" i="31"/>
  <c r="L13" i="31"/>
  <c r="M12" i="31"/>
  <c r="L60" i="31"/>
  <c r="L43" i="31"/>
  <c r="L47" i="31"/>
  <c r="L75" i="31"/>
  <c r="L66" i="31"/>
  <c r="M39" i="30"/>
  <c r="G4" i="22"/>
  <c r="F13" i="22"/>
  <c r="F20" i="22" s="1"/>
  <c r="E13" i="22"/>
  <c r="E20" i="22" s="1"/>
  <c r="G13" i="22"/>
  <c r="G20" i="22" s="1"/>
  <c r="H13" i="22"/>
  <c r="H20" i="22" s="1"/>
  <c r="I13" i="22"/>
  <c r="I20" i="22" s="1"/>
  <c r="J13" i="22"/>
  <c r="J20" i="22" s="1"/>
  <c r="L61" i="23"/>
  <c r="L63" i="23" s="1"/>
  <c r="L35" i="23"/>
  <c r="L31" i="23"/>
  <c r="L27" i="23"/>
  <c r="L17" i="23"/>
  <c r="L13" i="23"/>
  <c r="L33" i="23"/>
  <c r="L62" i="23"/>
  <c r="L28" i="23"/>
  <c r="L30" i="23"/>
  <c r="L14" i="23"/>
  <c r="L23" i="23"/>
  <c r="L34" i="23"/>
  <c r="L18" i="23"/>
  <c r="L29" i="23"/>
  <c r="L38" i="23"/>
  <c r="M12" i="23"/>
  <c r="L36" i="23"/>
  <c r="L16" i="23"/>
  <c r="L72" i="23"/>
  <c r="L44" i="23"/>
  <c r="L15" i="23"/>
  <c r="L37" i="23"/>
  <c r="L32" i="23"/>
  <c r="K82" i="29"/>
  <c r="K85" i="29"/>
  <c r="K79" i="29"/>
  <c r="K80" i="29"/>
  <c r="K16" i="8"/>
  <c r="K19" i="16"/>
  <c r="K20" i="16" s="1"/>
  <c r="K14" i="8"/>
  <c r="F13" i="27"/>
  <c r="F20" i="27" s="1"/>
  <c r="E13" i="27"/>
  <c r="E20" i="27" s="1"/>
  <c r="G4" i="27"/>
  <c r="G13" i="27"/>
  <c r="G20" i="27" s="1"/>
  <c r="H13" i="27"/>
  <c r="H20" i="27" s="1"/>
  <c r="I13" i="27"/>
  <c r="I20" i="27" s="1"/>
  <c r="J13" i="27"/>
  <c r="J20" i="27" s="1"/>
  <c r="M44" i="17"/>
  <c r="M38" i="17"/>
  <c r="M34" i="17"/>
  <c r="M30" i="17"/>
  <c r="M16" i="17"/>
  <c r="M61" i="17"/>
  <c r="M35" i="17"/>
  <c r="M31" i="17"/>
  <c r="M27" i="17"/>
  <c r="M17" i="17"/>
  <c r="M13" i="17"/>
  <c r="M72" i="17"/>
  <c r="M62" i="17"/>
  <c r="M36" i="17"/>
  <c r="M28" i="17"/>
  <c r="M18" i="17"/>
  <c r="M23" i="17"/>
  <c r="M15" i="17"/>
  <c r="M14" i="17"/>
  <c r="M37" i="17"/>
  <c r="N12" i="17"/>
  <c r="M33" i="17"/>
  <c r="M32" i="17"/>
  <c r="M29" i="17"/>
  <c r="N23" i="14"/>
  <c r="Q103" i="13"/>
  <c r="J19" i="8"/>
  <c r="K39" i="25"/>
  <c r="G4" i="20"/>
  <c r="E13" i="20"/>
  <c r="E20" i="20" s="1"/>
  <c r="F13" i="20"/>
  <c r="F20" i="20" s="1"/>
  <c r="G13" i="20"/>
  <c r="G20" i="20" s="1"/>
  <c r="H13" i="20"/>
  <c r="H20" i="20" s="1"/>
  <c r="I13" i="20"/>
  <c r="I20" i="20" s="1"/>
  <c r="J13" i="20"/>
  <c r="J20" i="20" s="1"/>
  <c r="K13" i="20"/>
  <c r="K20" i="20" s="1"/>
  <c r="F13" i="19"/>
  <c r="F20" i="19" s="1"/>
  <c r="G4" i="19"/>
  <c r="E13" i="19"/>
  <c r="E20" i="19" s="1"/>
  <c r="G13" i="19"/>
  <c r="G20" i="19" s="1"/>
  <c r="H13" i="19"/>
  <c r="H20" i="19" s="1"/>
  <c r="I13" i="19"/>
  <c r="I20" i="19" s="1"/>
  <c r="J13" i="19"/>
  <c r="J20" i="19" s="1"/>
  <c r="J39" i="8"/>
  <c r="K19" i="23"/>
  <c r="K20" i="23" s="1"/>
  <c r="K39" i="19"/>
  <c r="K79" i="21"/>
  <c r="K80" i="21"/>
  <c r="K85" i="21"/>
  <c r="K82" i="21"/>
  <c r="F21" i="30"/>
  <c r="F22" i="30" s="1"/>
  <c r="F24" i="30" s="1"/>
  <c r="G4" i="17"/>
  <c r="F13" i="17"/>
  <c r="E13" i="17"/>
  <c r="G13" i="17"/>
  <c r="H13" i="17"/>
  <c r="I13" i="17"/>
  <c r="J13" i="17"/>
  <c r="K13" i="17"/>
  <c r="K39" i="29"/>
  <c r="L62" i="16"/>
  <c r="L36" i="16"/>
  <c r="L32" i="16"/>
  <c r="L28" i="16"/>
  <c r="L18" i="16"/>
  <c r="L14" i="16"/>
  <c r="L37" i="16"/>
  <c r="L33" i="16"/>
  <c r="L29" i="16"/>
  <c r="L23" i="16"/>
  <c r="L15" i="16"/>
  <c r="L44" i="16"/>
  <c r="L34" i="16"/>
  <c r="L16" i="16"/>
  <c r="L17" i="16"/>
  <c r="L30" i="16"/>
  <c r="L35" i="16"/>
  <c r="L61" i="16"/>
  <c r="L38" i="16"/>
  <c r="L13" i="16"/>
  <c r="L31" i="16"/>
  <c r="M12" i="16"/>
  <c r="L27" i="16"/>
  <c r="L72" i="16"/>
  <c r="L39" i="20"/>
  <c r="N44" i="26"/>
  <c r="N38" i="26"/>
  <c r="N34" i="26"/>
  <c r="N30" i="26"/>
  <c r="N16" i="26"/>
  <c r="N28" i="26"/>
  <c r="N72" i="26"/>
  <c r="N18" i="26"/>
  <c r="N29" i="26"/>
  <c r="N13" i="26"/>
  <c r="N17" i="26"/>
  <c r="N33" i="26"/>
  <c r="O12" i="26"/>
  <c r="N37" i="26"/>
  <c r="N32" i="26"/>
  <c r="N27" i="26"/>
  <c r="N23" i="26"/>
  <c r="N36" i="26"/>
  <c r="N14" i="26"/>
  <c r="N31" i="26"/>
  <c r="N15" i="26"/>
  <c r="N35" i="26"/>
  <c r="N43" i="26"/>
  <c r="N60" i="26"/>
  <c r="N47" i="26"/>
  <c r="N75" i="26"/>
  <c r="N66" i="26"/>
  <c r="J21" i="24"/>
  <c r="J22" i="24" s="1"/>
  <c r="J24" i="24" s="1"/>
  <c r="E76" i="16"/>
  <c r="L37" i="15"/>
  <c r="L33" i="15"/>
  <c r="L29" i="15"/>
  <c r="L23" i="15"/>
  <c r="L15" i="15"/>
  <c r="L72" i="15"/>
  <c r="L44" i="15"/>
  <c r="L38" i="15"/>
  <c r="L34" i="15"/>
  <c r="L30" i="15"/>
  <c r="L16" i="15"/>
  <c r="L35" i="15"/>
  <c r="L61" i="15"/>
  <c r="L32" i="15"/>
  <c r="L62" i="15"/>
  <c r="L27" i="15"/>
  <c r="L28" i="15"/>
  <c r="L31" i="15"/>
  <c r="L13" i="15"/>
  <c r="L18" i="15"/>
  <c r="L17" i="15"/>
  <c r="L36" i="15"/>
  <c r="L14" i="15"/>
  <c r="M12" i="15"/>
  <c r="K39" i="21"/>
  <c r="K36" i="8"/>
  <c r="K82" i="23"/>
  <c r="K80" i="23"/>
  <c r="K85" i="23"/>
  <c r="K79" i="23"/>
  <c r="M80" i="30"/>
  <c r="M79" i="30"/>
  <c r="M82" i="30"/>
  <c r="M85" i="30"/>
  <c r="Q104" i="13"/>
  <c r="N33" i="14"/>
  <c r="E13" i="25"/>
  <c r="E20" i="25" s="1"/>
  <c r="F13" i="25"/>
  <c r="F20" i="25" s="1"/>
  <c r="G4" i="25"/>
  <c r="G13" i="25"/>
  <c r="G20" i="25" s="1"/>
  <c r="H13" i="25"/>
  <c r="H20" i="25" s="1"/>
  <c r="I13" i="25"/>
  <c r="I20" i="25" s="1"/>
  <c r="J13" i="25"/>
  <c r="J20" i="25" s="1"/>
  <c r="E21" i="26"/>
  <c r="E22" i="26"/>
  <c r="E24" i="26" s="1"/>
  <c r="L21" i="30"/>
  <c r="L22" i="30" s="1"/>
  <c r="L24" i="30" s="1"/>
  <c r="L41" i="30" s="1"/>
  <c r="K79" i="31"/>
  <c r="K80" i="31"/>
  <c r="K82" i="31"/>
  <c r="K85" i="31"/>
  <c r="K80" i="24"/>
  <c r="K85" i="24"/>
  <c r="K79" i="24"/>
  <c r="K82" i="24"/>
  <c r="K19" i="19"/>
  <c r="K20" i="19" s="1"/>
  <c r="L44" i="19"/>
  <c r="L38" i="19"/>
  <c r="L34" i="19"/>
  <c r="L30" i="19"/>
  <c r="L16" i="19"/>
  <c r="L61" i="19"/>
  <c r="L35" i="19"/>
  <c r="L31" i="19"/>
  <c r="L27" i="19"/>
  <c r="L17" i="19"/>
  <c r="L13" i="19"/>
  <c r="L15" i="19"/>
  <c r="L32" i="19"/>
  <c r="L72" i="19"/>
  <c r="L36" i="19"/>
  <c r="L23" i="19"/>
  <c r="M12" i="19"/>
  <c r="L14" i="19"/>
  <c r="L37" i="19"/>
  <c r="L62" i="19"/>
  <c r="L18" i="19"/>
  <c r="L29" i="19"/>
  <c r="L33" i="19"/>
  <c r="L28" i="19"/>
  <c r="K13" i="22"/>
  <c r="K20" i="22" s="1"/>
  <c r="F21" i="26"/>
  <c r="F22" i="26" s="1"/>
  <c r="F24" i="26" s="1"/>
  <c r="G4" i="15"/>
  <c r="E13" i="15"/>
  <c r="E20" i="15" s="1"/>
  <c r="F13" i="15"/>
  <c r="F20" i="15" s="1"/>
  <c r="G13" i="15"/>
  <c r="G20" i="15" s="1"/>
  <c r="H13" i="15"/>
  <c r="H20" i="15" s="1"/>
  <c r="I13" i="15"/>
  <c r="I20" i="15" s="1"/>
  <c r="J13" i="15"/>
  <c r="J20" i="15" s="1"/>
  <c r="K19" i="24"/>
  <c r="K20" i="24" s="1"/>
  <c r="L35" i="24"/>
  <c r="L30" i="24"/>
  <c r="L28" i="24"/>
  <c r="L15" i="24"/>
  <c r="L44" i="24"/>
  <c r="L33" i="24"/>
  <c r="L37" i="24"/>
  <c r="L32" i="24"/>
  <c r="L16" i="24"/>
  <c r="L27" i="24"/>
  <c r="L36" i="24"/>
  <c r="L72" i="24"/>
  <c r="L31" i="24"/>
  <c r="L17" i="24"/>
  <c r="M12" i="24"/>
  <c r="L23" i="24"/>
  <c r="L18" i="24"/>
  <c r="L13" i="24"/>
  <c r="L34" i="24"/>
  <c r="L38" i="24"/>
  <c r="L14" i="24"/>
  <c r="L29" i="24"/>
  <c r="L43" i="24"/>
  <c r="L66" i="24"/>
  <c r="L75" i="24"/>
  <c r="L60" i="24"/>
  <c r="L47" i="24"/>
  <c r="G77" i="13"/>
  <c r="F64" i="18" s="1"/>
  <c r="F76" i="18" s="1"/>
  <c r="E37" i="14"/>
  <c r="K18" i="8"/>
  <c r="L79" i="17"/>
  <c r="L85" i="17"/>
  <c r="L80" i="17"/>
  <c r="L82" i="17"/>
  <c r="K63" i="19"/>
  <c r="K80" i="19"/>
  <c r="K85" i="19"/>
  <c r="K79" i="19"/>
  <c r="K82" i="19"/>
  <c r="K39" i="22"/>
  <c r="I13" i="18"/>
  <c r="I20" i="18" s="1"/>
  <c r="H13" i="18"/>
  <c r="H20" i="18" s="1"/>
  <c r="G13" i="18"/>
  <c r="G20" i="18" s="1"/>
  <c r="F13" i="18"/>
  <c r="F20" i="18" s="1"/>
  <c r="G4" i="18"/>
  <c r="E13" i="18"/>
  <c r="E20" i="18" s="1"/>
  <c r="J13" i="18"/>
  <c r="J20" i="18" s="1"/>
  <c r="K13" i="18"/>
  <c r="K20" i="18" s="1"/>
  <c r="L13" i="18"/>
  <c r="M13" i="18"/>
  <c r="K15" i="8"/>
  <c r="K28" i="8"/>
  <c r="I21" i="24"/>
  <c r="I22" i="24" s="1"/>
  <c r="I24" i="24" s="1"/>
  <c r="L39" i="17"/>
  <c r="Q114" i="13"/>
  <c r="N133" i="14"/>
  <c r="D18" i="14"/>
  <c r="D19" i="14" s="1"/>
  <c r="D20" i="14" s="1"/>
  <c r="G4" i="21"/>
  <c r="F13" i="21"/>
  <c r="F20" i="21" s="1"/>
  <c r="E13" i="21"/>
  <c r="E20" i="21" s="1"/>
  <c r="G13" i="21"/>
  <c r="G20" i="21" s="1"/>
  <c r="H13" i="21"/>
  <c r="H20" i="21" s="1"/>
  <c r="I13" i="21"/>
  <c r="I20" i="21" s="1"/>
  <c r="J13" i="21"/>
  <c r="J20" i="21" s="1"/>
  <c r="M19" i="26"/>
  <c r="M20" i="26" s="1"/>
  <c r="M79" i="26"/>
  <c r="M82" i="26"/>
  <c r="M80" i="26"/>
  <c r="M85" i="26"/>
  <c r="K19" i="15"/>
  <c r="K20" i="15" s="1"/>
  <c r="H1183" i="49"/>
  <c r="H2720" i="49"/>
  <c r="H2719" i="49"/>
  <c r="H2721" i="49"/>
  <c r="H3297" i="49"/>
  <c r="H3299" i="49"/>
  <c r="H3298" i="49"/>
  <c r="H1264" i="49"/>
  <c r="K8" i="51"/>
  <c r="H2628" i="49"/>
  <c r="H4750" i="49"/>
  <c r="H3891" i="49"/>
  <c r="H3306" i="49"/>
  <c r="H3312" i="49"/>
  <c r="H3595" i="49"/>
  <c r="H3017" i="49"/>
  <c r="H1000" i="49"/>
  <c r="G6" i="51"/>
  <c r="K13" i="51"/>
  <c r="I7" i="51"/>
  <c r="K6" i="51"/>
  <c r="H4751" i="49"/>
  <c r="H2735" i="49"/>
  <c r="H3594" i="49"/>
  <c r="H1572" i="49"/>
  <c r="H994" i="49"/>
  <c r="H1292" i="49"/>
  <c r="L7" i="51"/>
  <c r="J7" i="51"/>
  <c r="H698" i="49"/>
  <c r="H697" i="49"/>
  <c r="H696" i="49"/>
  <c r="H4646" i="49"/>
  <c r="M16" i="51"/>
  <c r="H4697" i="49"/>
  <c r="E741" i="46"/>
  <c r="H6" i="51"/>
  <c r="H2131" i="49"/>
  <c r="H1563" i="49"/>
  <c r="H1565" i="49"/>
  <c r="H1564" i="49"/>
  <c r="F6" i="51"/>
  <c r="H4462" i="49"/>
  <c r="H3313" i="49"/>
  <c r="H1290" i="49"/>
  <c r="K17" i="51"/>
  <c r="I6" i="51"/>
  <c r="H4443" i="49"/>
  <c r="K14" i="51"/>
  <c r="H1861" i="49"/>
  <c r="H712" i="49"/>
  <c r="K15" i="51"/>
  <c r="H5021" i="49"/>
  <c r="H2449" i="49"/>
  <c r="H2156" i="49"/>
  <c r="H2445" i="49"/>
  <c r="H2736" i="49"/>
  <c r="H1283" i="49"/>
  <c r="H992" i="49"/>
  <c r="H2998" i="49"/>
  <c r="H7" i="51"/>
  <c r="H2150" i="49"/>
  <c r="H2439" i="49"/>
  <c r="H2447" i="49"/>
  <c r="H1579" i="49"/>
  <c r="H2446" i="49"/>
  <c r="H1003" i="49"/>
  <c r="H705" i="49"/>
  <c r="H1289" i="49"/>
  <c r="H4731" i="49"/>
  <c r="L10" i="51"/>
  <c r="H2709" i="49"/>
  <c r="K21" i="51"/>
  <c r="H4629" i="49"/>
  <c r="E725" i="46"/>
  <c r="H2963" i="49"/>
  <c r="E453" i="46"/>
  <c r="H3286" i="49"/>
  <c r="H4173" i="49"/>
  <c r="H4749" i="49"/>
  <c r="H3592" i="49"/>
  <c r="H1859" i="49"/>
  <c r="M20" i="51"/>
  <c r="H686" i="49"/>
  <c r="H3524" i="49"/>
  <c r="E353" i="46"/>
  <c r="H4663" i="49"/>
  <c r="H2420" i="49"/>
  <c r="H3206" i="49"/>
  <c r="H4748" i="49"/>
  <c r="H2157" i="49"/>
  <c r="H1004" i="49"/>
  <c r="H1293" i="49"/>
  <c r="K11" i="51"/>
  <c r="H4154" i="49"/>
  <c r="H3287" i="49"/>
  <c r="E7" i="51"/>
  <c r="H2737" i="49"/>
  <c r="H1001" i="49"/>
  <c r="K12" i="51"/>
  <c r="H3507" i="49"/>
  <c r="H3473" i="49"/>
  <c r="E533" i="46"/>
  <c r="H3593" i="49"/>
  <c r="H2734" i="49"/>
  <c r="H2738" i="49"/>
  <c r="H2448" i="49"/>
  <c r="H1291" i="49"/>
  <c r="H1578" i="49"/>
  <c r="H1002" i="49"/>
  <c r="D7" i="51"/>
  <c r="K9" i="51"/>
  <c r="E6" i="51"/>
  <c r="H5040" i="49"/>
  <c r="H2728" i="49"/>
  <c r="D6" i="51"/>
  <c r="H4680" i="49"/>
  <c r="H3865" i="49"/>
  <c r="F7" i="51"/>
  <c r="H1553" i="49"/>
  <c r="G7" i="51"/>
  <c r="H3890" i="49"/>
  <c r="H3884" i="49"/>
  <c r="H711" i="49"/>
  <c r="H4714" i="49"/>
  <c r="H3541" i="49"/>
  <c r="E549" i="46"/>
  <c r="H3490" i="49"/>
  <c r="H2895" i="49"/>
  <c r="E437" i="46"/>
  <c r="H2980" i="49"/>
  <c r="H2946" i="49"/>
  <c r="H2912" i="49"/>
  <c r="H3575" i="49"/>
  <c r="H2929" i="49"/>
  <c r="H3558" i="49"/>
  <c r="J2628" i="49" l="1"/>
  <c r="Q2628" i="49" s="1"/>
  <c r="J1264" i="49"/>
  <c r="Q1264" i="49"/>
  <c r="J3298" i="49"/>
  <c r="Q3298" i="49" s="1"/>
  <c r="J3299" i="49"/>
  <c r="Q3299" i="49"/>
  <c r="J3297" i="49"/>
  <c r="Q3297" i="49"/>
  <c r="J2721" i="49"/>
  <c r="Q2721" i="49" s="1"/>
  <c r="J2719" i="49"/>
  <c r="Q2719" i="49" s="1"/>
  <c r="J2720" i="49"/>
  <c r="Q2720" i="49" s="1"/>
  <c r="Q1183" i="49"/>
  <c r="J1183" i="49"/>
  <c r="K21" i="29"/>
  <c r="K22" i="29" s="1"/>
  <c r="K24" i="29" s="1"/>
  <c r="L39" i="18"/>
  <c r="L63" i="15"/>
  <c r="L33" i="8"/>
  <c r="L38" i="8"/>
  <c r="M34" i="18"/>
  <c r="M35" i="18"/>
  <c r="M30" i="18"/>
  <c r="M31" i="18"/>
  <c r="M72" i="18"/>
  <c r="M37" i="18"/>
  <c r="M32" i="18"/>
  <c r="M14" i="18"/>
  <c r="M29" i="18"/>
  <c r="M38" i="18"/>
  <c r="M33" i="18"/>
  <c r="N12" i="18"/>
  <c r="M62" i="18"/>
  <c r="M27" i="18"/>
  <c r="M39" i="18" s="1"/>
  <c r="M23" i="18"/>
  <c r="M44" i="18"/>
  <c r="M15" i="18"/>
  <c r="M17" i="18"/>
  <c r="M36" i="18"/>
  <c r="M61" i="18"/>
  <c r="M28" i="18"/>
  <c r="M18" i="18"/>
  <c r="M16" i="18"/>
  <c r="M19" i="17"/>
  <c r="L19" i="31"/>
  <c r="L79" i="18"/>
  <c r="L82" i="18"/>
  <c r="L80" i="18"/>
  <c r="L85" i="18"/>
  <c r="L39" i="29"/>
  <c r="L19" i="18"/>
  <c r="L20" i="18" s="1"/>
  <c r="L21" i="18" s="1"/>
  <c r="L22" i="18" s="1"/>
  <c r="L24" i="18" s="1"/>
  <c r="L63" i="25"/>
  <c r="K13" i="8"/>
  <c r="L19" i="25"/>
  <c r="J3558" i="49"/>
  <c r="Q3558" i="49" s="1"/>
  <c r="Q2929" i="49"/>
  <c r="J2929" i="49"/>
  <c r="J3575" i="49"/>
  <c r="Q3575" i="49" s="1"/>
  <c r="J2912" i="49"/>
  <c r="Q2912" i="49" s="1"/>
  <c r="J2946" i="49"/>
  <c r="Q2946" i="49" s="1"/>
  <c r="J2980" i="49"/>
  <c r="Q2980" i="49" s="1"/>
  <c r="J437" i="46"/>
  <c r="J2895" i="49"/>
  <c r="Q2895" i="49" s="1"/>
  <c r="J3490" i="49"/>
  <c r="Q3490" i="49" s="1"/>
  <c r="J549" i="46"/>
  <c r="J3541" i="49"/>
  <c r="Q3541" i="49" s="1"/>
  <c r="Q4714" i="49"/>
  <c r="J4714" i="49"/>
  <c r="J711" i="49"/>
  <c r="Q711" i="49" s="1"/>
  <c r="J3884" i="49"/>
  <c r="Q3884" i="49" s="1"/>
  <c r="J3890" i="49"/>
  <c r="Q3890" i="49" s="1"/>
  <c r="J1553" i="49"/>
  <c r="Q1553" i="49" s="1"/>
  <c r="J3865" i="49"/>
  <c r="Q3865" i="49" s="1"/>
  <c r="J4680" i="49"/>
  <c r="Q4680" i="49" s="1"/>
  <c r="J2728" i="49"/>
  <c r="Q2728" i="49" s="1"/>
  <c r="J5040" i="49"/>
  <c r="Q5040" i="49" s="1"/>
  <c r="J1002" i="49"/>
  <c r="Q1002" i="49" s="1"/>
  <c r="J1578" i="49"/>
  <c r="Q1578" i="49" s="1"/>
  <c r="J1291" i="49"/>
  <c r="Q1291" i="49" s="1"/>
  <c r="J2448" i="49"/>
  <c r="Q2448" i="49" s="1"/>
  <c r="Q2738" i="49"/>
  <c r="J2738" i="49"/>
  <c r="J2734" i="49"/>
  <c r="Q2734" i="49" s="1"/>
  <c r="Q3593" i="49"/>
  <c r="J3593" i="49"/>
  <c r="J533" i="46"/>
  <c r="Q3473" i="49"/>
  <c r="J3473" i="49"/>
  <c r="J3507" i="49"/>
  <c r="Q3507" i="49" s="1"/>
  <c r="J1001" i="49"/>
  <c r="Q1001" i="49" s="1"/>
  <c r="J2737" i="49"/>
  <c r="Q2737" i="49" s="1"/>
  <c r="J3287" i="49"/>
  <c r="Q3287" i="49" s="1"/>
  <c r="J4154" i="49"/>
  <c r="Q4154" i="49" s="1"/>
  <c r="J1293" i="49"/>
  <c r="Q1293" i="49" s="1"/>
  <c r="J1004" i="49"/>
  <c r="Q1004" i="49" s="1"/>
  <c r="Q2157" i="49"/>
  <c r="J2157" i="49"/>
  <c r="J4748" i="49"/>
  <c r="Q4748" i="49" s="1"/>
  <c r="J3206" i="49"/>
  <c r="Q3206" i="49" s="1"/>
  <c r="J2420" i="49"/>
  <c r="Q2420" i="49" s="1"/>
  <c r="J4663" i="49"/>
  <c r="Q4663" i="49"/>
  <c r="J353" i="46"/>
  <c r="J3524" i="49"/>
  <c r="Q3524" i="49" s="1"/>
  <c r="J686" i="49"/>
  <c r="Q686" i="49" s="1"/>
  <c r="J1859" i="49"/>
  <c r="Q1859" i="49" s="1"/>
  <c r="J3592" i="49"/>
  <c r="Q3592" i="49" s="1"/>
  <c r="J4749" i="49"/>
  <c r="Q4749" i="49" s="1"/>
  <c r="J4173" i="49"/>
  <c r="Q4173" i="49" s="1"/>
  <c r="J3286" i="49"/>
  <c r="Q3286" i="49" s="1"/>
  <c r="J453" i="46"/>
  <c r="J2963" i="49"/>
  <c r="Q2963" i="49" s="1"/>
  <c r="J725" i="46"/>
  <c r="J4629" i="49"/>
  <c r="Q4629" i="49" s="1"/>
  <c r="J2709" i="49"/>
  <c r="Q2709" i="49" s="1"/>
  <c r="J4731" i="49"/>
  <c r="Q4731" i="49" s="1"/>
  <c r="J1289" i="49"/>
  <c r="Q1289" i="49" s="1"/>
  <c r="J705" i="49"/>
  <c r="Q705" i="49" s="1"/>
  <c r="J1003" i="49"/>
  <c r="Q1003" i="49" s="1"/>
  <c r="Q2446" i="49"/>
  <c r="J2446" i="49"/>
  <c r="J1579" i="49"/>
  <c r="Q1579" i="49" s="1"/>
  <c r="J2447" i="49"/>
  <c r="Q2447" i="49" s="1"/>
  <c r="J2439" i="49"/>
  <c r="Q2439" i="49"/>
  <c r="J2150" i="49"/>
  <c r="Q2150" i="49" s="1"/>
  <c r="Q2998" i="49"/>
  <c r="J2998" i="49"/>
  <c r="J992" i="49"/>
  <c r="Q992" i="49" s="1"/>
  <c r="J1283" i="49"/>
  <c r="Q1283" i="49" s="1"/>
  <c r="J2736" i="49"/>
  <c r="Q2736" i="49" s="1"/>
  <c r="J2445" i="49"/>
  <c r="Q2445" i="49"/>
  <c r="J2156" i="49"/>
  <c r="Q2156" i="49" s="1"/>
  <c r="Q2449" i="49"/>
  <c r="J2449" i="49"/>
  <c r="J5021" i="49"/>
  <c r="Q5021" i="49" s="1"/>
  <c r="Q712" i="49"/>
  <c r="J712" i="49"/>
  <c r="J1861" i="49"/>
  <c r="Q1861" i="49" s="1"/>
  <c r="J4443" i="49"/>
  <c r="Q4443" i="49" s="1"/>
  <c r="J1290" i="49"/>
  <c r="Q1290" i="49" s="1"/>
  <c r="Q3313" i="49"/>
  <c r="J3313" i="49"/>
  <c r="Q4462" i="49"/>
  <c r="J4462" i="49"/>
  <c r="J1564" i="49"/>
  <c r="Q1564" i="49" s="1"/>
  <c r="J1565" i="49"/>
  <c r="Q1565" i="49" s="1"/>
  <c r="J1563" i="49"/>
  <c r="Q1563" i="49" s="1"/>
  <c r="Q2131" i="49"/>
  <c r="J2131" i="49"/>
  <c r="J741" i="46"/>
  <c r="J4697" i="49"/>
  <c r="Q4697" i="49" s="1"/>
  <c r="J4646" i="49"/>
  <c r="Q4646" i="49" s="1"/>
  <c r="J696" i="49"/>
  <c r="Q696" i="49" s="1"/>
  <c r="J697" i="49"/>
  <c r="Q697" i="49" s="1"/>
  <c r="Q698" i="49"/>
  <c r="J698" i="49"/>
  <c r="J1292" i="49"/>
  <c r="Q1292" i="49"/>
  <c r="J994" i="49"/>
  <c r="Q994" i="49" s="1"/>
  <c r="J1572" i="49"/>
  <c r="Q1572" i="49" s="1"/>
  <c r="Q3594" i="49"/>
  <c r="J3594" i="49"/>
  <c r="J2735" i="49"/>
  <c r="Q2735" i="49" s="1"/>
  <c r="J4751" i="49"/>
  <c r="Q4751" i="49" s="1"/>
  <c r="J1000" i="49"/>
  <c r="Q1000" i="49" s="1"/>
  <c r="J3017" i="49"/>
  <c r="Q3017" i="49" s="1"/>
  <c r="J3595" i="49"/>
  <c r="Q3595" i="49" s="1"/>
  <c r="J3312" i="49"/>
  <c r="Q3312" i="49" s="1"/>
  <c r="J3306" i="49"/>
  <c r="Q3306" i="49" s="1"/>
  <c r="J3891" i="49"/>
  <c r="Q3891" i="49" s="1"/>
  <c r="J4750" i="49"/>
  <c r="Q4750" i="49" s="1"/>
  <c r="K21" i="16"/>
  <c r="K22" i="16"/>
  <c r="K24" i="16" s="1"/>
  <c r="J41" i="26"/>
  <c r="G41" i="24"/>
  <c r="K41" i="26"/>
  <c r="G75" i="13"/>
  <c r="F64" i="16" s="1"/>
  <c r="E17" i="14"/>
  <c r="H78" i="13"/>
  <c r="G64" i="19" s="1"/>
  <c r="G76" i="19" s="1"/>
  <c r="F47" i="14"/>
  <c r="K21" i="24"/>
  <c r="K22" i="24" s="1"/>
  <c r="K24" i="24" s="1"/>
  <c r="K21" i="31"/>
  <c r="K22" i="31" s="1"/>
  <c r="K24" i="31" s="1"/>
  <c r="G86" i="13"/>
  <c r="F64" i="27" s="1"/>
  <c r="F76" i="27" s="1"/>
  <c r="E127" i="14"/>
  <c r="K21" i="15"/>
  <c r="K22" i="15" s="1"/>
  <c r="K24" i="15" s="1"/>
  <c r="K41" i="15" s="1"/>
  <c r="F41" i="24"/>
  <c r="M21" i="26"/>
  <c r="M22" i="26" s="1"/>
  <c r="M24" i="26" s="1"/>
  <c r="M41" i="26" s="1"/>
  <c r="L45" i="30"/>
  <c r="L73" i="30"/>
  <c r="P48" i="10"/>
  <c r="H41" i="24"/>
  <c r="J41" i="24"/>
  <c r="E41" i="24"/>
  <c r="F41" i="26"/>
  <c r="K21" i="27"/>
  <c r="K22" i="27" s="1"/>
  <c r="K24" i="27" s="1"/>
  <c r="L21" i="20"/>
  <c r="L22" i="20" s="1"/>
  <c r="L24" i="20" s="1"/>
  <c r="I41" i="26"/>
  <c r="J41" i="30"/>
  <c r="L20" i="21"/>
  <c r="L21" i="17"/>
  <c r="L22" i="17" s="1"/>
  <c r="L24" i="17" s="1"/>
  <c r="M39" i="17"/>
  <c r="J22" i="23"/>
  <c r="J24" i="23" s="1"/>
  <c r="J21" i="23"/>
  <c r="H20" i="17"/>
  <c r="N80" i="30"/>
  <c r="N82" i="30"/>
  <c r="N79" i="30"/>
  <c r="N85" i="30"/>
  <c r="M72" i="15"/>
  <c r="N12" i="15"/>
  <c r="M37" i="15"/>
  <c r="M23" i="15"/>
  <c r="M44" i="15"/>
  <c r="M36" i="15"/>
  <c r="M30" i="15"/>
  <c r="M16" i="15"/>
  <c r="M62" i="15"/>
  <c r="M34" i="15"/>
  <c r="M28" i="15"/>
  <c r="M14" i="15"/>
  <c r="M33" i="15"/>
  <c r="M29" i="15"/>
  <c r="M35" i="15"/>
  <c r="M32" i="15"/>
  <c r="M61" i="15"/>
  <c r="M17" i="15"/>
  <c r="M31" i="15"/>
  <c r="M15" i="15"/>
  <c r="M13" i="15"/>
  <c r="M38" i="15"/>
  <c r="M27" i="15"/>
  <c r="M18" i="15"/>
  <c r="L63" i="16"/>
  <c r="F22" i="20"/>
  <c r="F24" i="20" s="1"/>
  <c r="F21" i="20"/>
  <c r="L39" i="21"/>
  <c r="G20" i="17"/>
  <c r="I21" i="19"/>
  <c r="I22" i="19" s="1"/>
  <c r="I24" i="19" s="1"/>
  <c r="L39" i="23"/>
  <c r="H21" i="23"/>
  <c r="H22" i="23" s="1"/>
  <c r="H24" i="23" s="1"/>
  <c r="H41" i="30"/>
  <c r="E20" i="16"/>
  <c r="E13" i="8"/>
  <c r="E20" i="8" s="1"/>
  <c r="O53" i="14"/>
  <c r="R106" i="13"/>
  <c r="Q4" i="14"/>
  <c r="P52" i="14"/>
  <c r="S134" i="13" s="1"/>
  <c r="P26" i="14"/>
  <c r="P81" i="14"/>
  <c r="P72" i="14"/>
  <c r="S136" i="13" s="1"/>
  <c r="P82" i="14"/>
  <c r="S137" i="13" s="1"/>
  <c r="P12" i="14"/>
  <c r="S130" i="13" s="1"/>
  <c r="P11" i="14"/>
  <c r="P92" i="14"/>
  <c r="S138" i="13" s="1"/>
  <c r="P22" i="14"/>
  <c r="S131" i="13" s="1"/>
  <c r="P32" i="14"/>
  <c r="S132" i="13" s="1"/>
  <c r="P132" i="14"/>
  <c r="S142" i="13" s="1"/>
  <c r="P111" i="14"/>
  <c r="P42" i="14"/>
  <c r="S133" i="13" s="1"/>
  <c r="P21" i="14"/>
  <c r="P41" i="14"/>
  <c r="P71" i="14"/>
  <c r="P51" i="14"/>
  <c r="P31" i="14"/>
  <c r="P131" i="14"/>
  <c r="P91" i="14"/>
  <c r="P112" i="14"/>
  <c r="S140" i="13" s="1"/>
  <c r="P86" i="14"/>
  <c r="P6" i="14"/>
  <c r="P106" i="14"/>
  <c r="P46" i="14"/>
  <c r="P166" i="14"/>
  <c r="P146" i="14"/>
  <c r="P156" i="14"/>
  <c r="P66" i="14"/>
  <c r="P36" i="14"/>
  <c r="P56" i="14"/>
  <c r="P76" i="14"/>
  <c r="P16" i="14"/>
  <c r="P126" i="14"/>
  <c r="P116" i="14"/>
  <c r="P136" i="14"/>
  <c r="P96" i="14"/>
  <c r="J93" i="49"/>
  <c r="Q93" i="49" s="1"/>
  <c r="M62" i="25"/>
  <c r="M36" i="25"/>
  <c r="M32" i="25"/>
  <c r="M28" i="25"/>
  <c r="M18" i="25"/>
  <c r="M14" i="25"/>
  <c r="M72" i="25"/>
  <c r="M17" i="25"/>
  <c r="M31" i="25"/>
  <c r="M35" i="25"/>
  <c r="M30" i="25"/>
  <c r="M23" i="25"/>
  <c r="M34" i="25"/>
  <c r="M29" i="25"/>
  <c r="M38" i="25"/>
  <c r="M13" i="25"/>
  <c r="M15" i="25"/>
  <c r="M33" i="25"/>
  <c r="M16" i="25"/>
  <c r="M61" i="25"/>
  <c r="M37" i="25"/>
  <c r="N12" i="25"/>
  <c r="M44" i="25"/>
  <c r="M27" i="25"/>
  <c r="E22" i="28"/>
  <c r="E24" i="28" s="1"/>
  <c r="E21" i="28"/>
  <c r="M39" i="20"/>
  <c r="I21" i="29"/>
  <c r="L86" i="8"/>
  <c r="L81" i="8"/>
  <c r="L79" i="8"/>
  <c r="L83" i="8"/>
  <c r="F20" i="16"/>
  <c r="F13" i="8"/>
  <c r="F20" i="8" s="1"/>
  <c r="O43" i="14"/>
  <c r="R105" i="13"/>
  <c r="L19" i="15"/>
  <c r="L20" i="15" s="1"/>
  <c r="L35" i="8"/>
  <c r="L19" i="19"/>
  <c r="E20" i="17"/>
  <c r="H21" i="19"/>
  <c r="H22" i="19" s="1"/>
  <c r="H24" i="19" s="1"/>
  <c r="R112" i="13"/>
  <c r="O113" i="14"/>
  <c r="O13" i="14"/>
  <c r="R102" i="13"/>
  <c r="L63" i="21"/>
  <c r="L19" i="29"/>
  <c r="L20" i="29" s="1"/>
  <c r="L19" i="27"/>
  <c r="L85" i="27"/>
  <c r="L82" i="27"/>
  <c r="L80" i="27"/>
  <c r="L79" i="27"/>
  <c r="F21" i="28"/>
  <c r="F22" i="28" s="1"/>
  <c r="F24" i="28" s="1"/>
  <c r="H21" i="29"/>
  <c r="F8" i="14"/>
  <c r="F9" i="14"/>
  <c r="F10" i="14" s="1"/>
  <c r="E41" i="26"/>
  <c r="M44" i="29"/>
  <c r="M38" i="29"/>
  <c r="M34" i="29"/>
  <c r="M30" i="29"/>
  <c r="M16" i="29"/>
  <c r="M35" i="29"/>
  <c r="M32" i="29"/>
  <c r="M29" i="29"/>
  <c r="M18" i="29"/>
  <c r="N12" i="29"/>
  <c r="M15" i="29"/>
  <c r="M31" i="29"/>
  <c r="M28" i="29"/>
  <c r="M37" i="29"/>
  <c r="M36" i="29"/>
  <c r="M33" i="29"/>
  <c r="M23" i="29"/>
  <c r="M17" i="29"/>
  <c r="M14" i="29"/>
  <c r="M27" i="29"/>
  <c r="M13" i="29"/>
  <c r="M72" i="29"/>
  <c r="M47" i="29"/>
  <c r="M66" i="29"/>
  <c r="M43" i="29"/>
  <c r="M60" i="29"/>
  <c r="M75" i="29"/>
  <c r="H21" i="28"/>
  <c r="H22" i="28" s="1"/>
  <c r="H24" i="28" s="1"/>
  <c r="G21" i="21"/>
  <c r="G22" i="21" s="1"/>
  <c r="G24" i="21" s="1"/>
  <c r="H21" i="18"/>
  <c r="H22" i="18"/>
  <c r="H24" i="18" s="1"/>
  <c r="L39" i="19"/>
  <c r="O35" i="26"/>
  <c r="O31" i="26"/>
  <c r="O27" i="26"/>
  <c r="O17" i="26"/>
  <c r="O13" i="26"/>
  <c r="O15" i="26"/>
  <c r="O36" i="26"/>
  <c r="O34" i="26"/>
  <c r="O29" i="26"/>
  <c r="O38" i="26"/>
  <c r="O33" i="26"/>
  <c r="P12" i="26"/>
  <c r="O44" i="26"/>
  <c r="O28" i="26"/>
  <c r="O37" i="26"/>
  <c r="O32" i="26"/>
  <c r="O16" i="26"/>
  <c r="O18" i="26"/>
  <c r="O72" i="26"/>
  <c r="O23" i="26"/>
  <c r="O14" i="26"/>
  <c r="O30" i="26"/>
  <c r="O60" i="26"/>
  <c r="O47" i="26"/>
  <c r="O66" i="26"/>
  <c r="O43" i="26"/>
  <c r="O75" i="26"/>
  <c r="L37" i="8"/>
  <c r="J21" i="19"/>
  <c r="J22" i="19" s="1"/>
  <c r="J24" i="19" s="1"/>
  <c r="G21" i="27"/>
  <c r="G22" i="27" s="1"/>
  <c r="G24" i="27" s="1"/>
  <c r="M35" i="23"/>
  <c r="M15" i="23"/>
  <c r="M23" i="23"/>
  <c r="M34" i="23"/>
  <c r="M18" i="23"/>
  <c r="M62" i="23"/>
  <c r="M29" i="23"/>
  <c r="M13" i="23"/>
  <c r="M38" i="23"/>
  <c r="M17" i="23"/>
  <c r="M33" i="23"/>
  <c r="M28" i="23"/>
  <c r="N12" i="23"/>
  <c r="M61" i="23"/>
  <c r="M44" i="23"/>
  <c r="M37" i="23"/>
  <c r="M32" i="23"/>
  <c r="M30" i="23"/>
  <c r="M27" i="23"/>
  <c r="M31" i="23"/>
  <c r="M72" i="23"/>
  <c r="M14" i="23"/>
  <c r="M36" i="23"/>
  <c r="M16" i="23"/>
  <c r="H11" i="52"/>
  <c r="H110" i="49"/>
  <c r="G41" i="26"/>
  <c r="I21" i="23"/>
  <c r="I22" i="23" s="1"/>
  <c r="I24" i="23" s="1"/>
  <c r="E21" i="31"/>
  <c r="E22" i="31" s="1"/>
  <c r="E24" i="31" s="1"/>
  <c r="L79" i="29"/>
  <c r="L80" i="29"/>
  <c r="L82" i="29"/>
  <c r="L85" i="29"/>
  <c r="L85" i="25"/>
  <c r="L79" i="25"/>
  <c r="L82" i="25"/>
  <c r="L80" i="25"/>
  <c r="G21" i="28"/>
  <c r="G22" i="28" s="1"/>
  <c r="G24" i="28" s="1"/>
  <c r="J21" i="29"/>
  <c r="J22" i="29" s="1"/>
  <c r="J24" i="29" s="1"/>
  <c r="E21" i="21"/>
  <c r="E22" i="21" s="1"/>
  <c r="E24" i="21" s="1"/>
  <c r="I21" i="18"/>
  <c r="I22" i="18" s="1"/>
  <c r="I24" i="18" s="1"/>
  <c r="L82" i="24"/>
  <c r="L79" i="24"/>
  <c r="L80" i="24"/>
  <c r="L85" i="24"/>
  <c r="J21" i="25"/>
  <c r="J22" i="25" s="1"/>
  <c r="J24" i="25" s="1"/>
  <c r="E21" i="20"/>
  <c r="E22" i="20" s="1"/>
  <c r="E24" i="20" s="1"/>
  <c r="F21" i="21"/>
  <c r="F22" i="21" s="1"/>
  <c r="F24" i="21" s="1"/>
  <c r="I21" i="25"/>
  <c r="I22" i="25" s="1"/>
  <c r="I24" i="25" s="1"/>
  <c r="L30" i="8"/>
  <c r="L19" i="16"/>
  <c r="L20" i="16" s="1"/>
  <c r="L14" i="8"/>
  <c r="M63" i="17"/>
  <c r="E21" i="27"/>
  <c r="E22" i="27" s="1"/>
  <c r="E24" i="27" s="1"/>
  <c r="M14" i="31"/>
  <c r="M34" i="31"/>
  <c r="M29" i="31"/>
  <c r="M17" i="31"/>
  <c r="N12" i="31"/>
  <c r="M72" i="31"/>
  <c r="M44" i="31"/>
  <c r="M37" i="31"/>
  <c r="M32" i="31"/>
  <c r="M27" i="31"/>
  <c r="M38" i="31"/>
  <c r="M36" i="31"/>
  <c r="M18" i="31"/>
  <c r="M33" i="31"/>
  <c r="M15" i="31"/>
  <c r="M30" i="31"/>
  <c r="M31" i="31"/>
  <c r="M16" i="31"/>
  <c r="M13" i="31"/>
  <c r="M35" i="31"/>
  <c r="M23" i="31"/>
  <c r="M28" i="31"/>
  <c r="M66" i="31"/>
  <c r="M75" i="31"/>
  <c r="M47" i="31"/>
  <c r="M60" i="31"/>
  <c r="M43" i="31"/>
  <c r="K21" i="21"/>
  <c r="K22" i="21" s="1"/>
  <c r="K24" i="21" s="1"/>
  <c r="G21" i="23"/>
  <c r="G22" i="23" s="1"/>
  <c r="G24" i="23" s="1"/>
  <c r="M32" i="19"/>
  <c r="M30" i="19"/>
  <c r="M17" i="19"/>
  <c r="M72" i="19"/>
  <c r="M36" i="19"/>
  <c r="M34" i="19"/>
  <c r="M23" i="19"/>
  <c r="N12" i="19"/>
  <c r="M61" i="19"/>
  <c r="M38" i="19"/>
  <c r="M27" i="19"/>
  <c r="M14" i="19"/>
  <c r="M29" i="19"/>
  <c r="M62" i="19"/>
  <c r="M13" i="19"/>
  <c r="M16" i="19"/>
  <c r="M37" i="19"/>
  <c r="M31" i="19"/>
  <c r="M44" i="19"/>
  <c r="M35" i="19"/>
  <c r="M28" i="19"/>
  <c r="M33" i="19"/>
  <c r="M15" i="19"/>
  <c r="M18" i="19"/>
  <c r="L63" i="19"/>
  <c r="H21" i="25"/>
  <c r="H22" i="25" s="1"/>
  <c r="H24" i="25" s="1"/>
  <c r="L17" i="8"/>
  <c r="L18" i="8"/>
  <c r="F20" i="17"/>
  <c r="G21" i="19"/>
  <c r="G22" i="19" s="1"/>
  <c r="G24" i="19" s="1"/>
  <c r="F21" i="27"/>
  <c r="F22" i="27" s="1"/>
  <c r="F24" i="27" s="1"/>
  <c r="L20" i="31"/>
  <c r="D78" i="14"/>
  <c r="D79" i="14" s="1"/>
  <c r="D80" i="14" s="1"/>
  <c r="E21" i="23"/>
  <c r="E22" i="23" s="1"/>
  <c r="E24" i="23" s="1"/>
  <c r="E34" i="14"/>
  <c r="H48" i="13" s="1"/>
  <c r="G48" i="17" s="1"/>
  <c r="K39" i="8"/>
  <c r="O93" i="14"/>
  <c r="R110" i="13"/>
  <c r="M61" i="21"/>
  <c r="M35" i="21"/>
  <c r="M31" i="21"/>
  <c r="M27" i="21"/>
  <c r="M17" i="21"/>
  <c r="M13" i="21"/>
  <c r="M62" i="21"/>
  <c r="M36" i="21"/>
  <c r="M32" i="21"/>
  <c r="M28" i="21"/>
  <c r="M18" i="21"/>
  <c r="M14" i="21"/>
  <c r="M72" i="21"/>
  <c r="M34" i="21"/>
  <c r="M23" i="21"/>
  <c r="N12" i="21"/>
  <c r="M38" i="21"/>
  <c r="M29" i="21"/>
  <c r="M44" i="21"/>
  <c r="M16" i="21"/>
  <c r="M15" i="21"/>
  <c r="M33" i="21"/>
  <c r="M37" i="21"/>
  <c r="M30" i="21"/>
  <c r="L39" i="27"/>
  <c r="L20" i="27"/>
  <c r="L19" i="22"/>
  <c r="G21" i="29"/>
  <c r="E38" i="14"/>
  <c r="E39" i="14"/>
  <c r="E40" i="14" s="1"/>
  <c r="L28" i="8"/>
  <c r="E21" i="19"/>
  <c r="E22" i="19" s="1"/>
  <c r="E24" i="19" s="1"/>
  <c r="K19" i="8"/>
  <c r="K20" i="8" s="1"/>
  <c r="L79" i="31"/>
  <c r="L85" i="31"/>
  <c r="L82" i="31"/>
  <c r="L80" i="31"/>
  <c r="G41" i="30"/>
  <c r="E76" i="22"/>
  <c r="F21" i="23"/>
  <c r="F22" i="23"/>
  <c r="F24" i="23" s="1"/>
  <c r="L80" i="28"/>
  <c r="L85" i="28"/>
  <c r="L82" i="28"/>
  <c r="L79" i="28"/>
  <c r="H41" i="26"/>
  <c r="H76" i="13"/>
  <c r="G64" i="17" s="1"/>
  <c r="G76" i="17" s="1"/>
  <c r="F27" i="14"/>
  <c r="M21" i="30"/>
  <c r="M22" i="30" s="1"/>
  <c r="M24" i="30" s="1"/>
  <c r="M41" i="30" s="1"/>
  <c r="L45" i="26"/>
  <c r="L73" i="26"/>
  <c r="P44" i="10"/>
  <c r="L39" i="22"/>
  <c r="E21" i="29"/>
  <c r="K41" i="25"/>
  <c r="I41" i="24"/>
  <c r="K21" i="23"/>
  <c r="K22" i="23" s="1"/>
  <c r="K24" i="23" s="1"/>
  <c r="E41" i="30"/>
  <c r="L19" i="24"/>
  <c r="L20" i="24" s="1"/>
  <c r="L39" i="24"/>
  <c r="K21" i="22"/>
  <c r="K22" i="22" s="1"/>
  <c r="K24" i="22" s="1"/>
  <c r="G21" i="25"/>
  <c r="G22" i="25" s="1"/>
  <c r="G24" i="25" s="1"/>
  <c r="L16" i="8"/>
  <c r="L32" i="8"/>
  <c r="J21" i="22"/>
  <c r="J22" i="22" s="1"/>
  <c r="J24" i="22" s="1"/>
  <c r="D134" i="14"/>
  <c r="G58" i="13" s="1"/>
  <c r="F48" i="27" s="1"/>
  <c r="L19" i="28"/>
  <c r="E89" i="14"/>
  <c r="E90" i="14" s="1"/>
  <c r="E88" i="14"/>
  <c r="E94" i="14" s="1"/>
  <c r="H54" i="13" s="1"/>
  <c r="G48" i="23" s="1"/>
  <c r="O23" i="14"/>
  <c r="R103" i="13"/>
  <c r="E54" i="14"/>
  <c r="H50" i="13" s="1"/>
  <c r="G48" i="19" s="1"/>
  <c r="O37" i="30"/>
  <c r="O33" i="30"/>
  <c r="O29" i="30"/>
  <c r="O23" i="30"/>
  <c r="O15" i="30"/>
  <c r="O36" i="30"/>
  <c r="O14" i="30"/>
  <c r="O17" i="30"/>
  <c r="O31" i="30"/>
  <c r="O28" i="30"/>
  <c r="O35" i="30"/>
  <c r="O34" i="30"/>
  <c r="O30" i="30"/>
  <c r="O27" i="30"/>
  <c r="O18" i="30"/>
  <c r="O44" i="30"/>
  <c r="P12" i="30"/>
  <c r="O72" i="30"/>
  <c r="O32" i="30"/>
  <c r="O38" i="30"/>
  <c r="O16" i="30"/>
  <c r="O13" i="30"/>
  <c r="O60" i="30"/>
  <c r="O75" i="30"/>
  <c r="O66" i="30"/>
  <c r="O47" i="30"/>
  <c r="O43" i="30"/>
  <c r="K41" i="30"/>
  <c r="F21" i="29"/>
  <c r="J5" i="52"/>
  <c r="D5065" i="49"/>
  <c r="D5059" i="49"/>
  <c r="D5069" i="49"/>
  <c r="D5055" i="49"/>
  <c r="D5070" i="49"/>
  <c r="D5060" i="49"/>
  <c r="D5054" i="49"/>
  <c r="D5063" i="49"/>
  <c r="D5061" i="49"/>
  <c r="D5068" i="49"/>
  <c r="D5062" i="49"/>
  <c r="D5067" i="49"/>
  <c r="D5064" i="49"/>
  <c r="D5056" i="49"/>
  <c r="D4775" i="49"/>
  <c r="D4772" i="49"/>
  <c r="D5057" i="49"/>
  <c r="D4779" i="49"/>
  <c r="D4769" i="49"/>
  <c r="D4766" i="49"/>
  <c r="D4776" i="49"/>
  <c r="D4780" i="49"/>
  <c r="D4778" i="49"/>
  <c r="D4767" i="49"/>
  <c r="D4765" i="49"/>
  <c r="D5066" i="49"/>
  <c r="D4773" i="49"/>
  <c r="D4771" i="49"/>
  <c r="D4489" i="49"/>
  <c r="D4483" i="49"/>
  <c r="D4477" i="49"/>
  <c r="D4490" i="49"/>
  <c r="D4480" i="49"/>
  <c r="D4203" i="49"/>
  <c r="D4197" i="49"/>
  <c r="D4191" i="49"/>
  <c r="D5058" i="49"/>
  <c r="D4487" i="49"/>
  <c r="D4484" i="49"/>
  <c r="D4770" i="49"/>
  <c r="D4195" i="49"/>
  <c r="D4192" i="49"/>
  <c r="D4492" i="49"/>
  <c r="D4481" i="49"/>
  <c r="D4479" i="49"/>
  <c r="D4202" i="49"/>
  <c r="D4199" i="49"/>
  <c r="D4189" i="49"/>
  <c r="D3910" i="49"/>
  <c r="D3904" i="49"/>
  <c r="D3898" i="49"/>
  <c r="D4774" i="49"/>
  <c r="D4485" i="49"/>
  <c r="D4768" i="49"/>
  <c r="D3909" i="49"/>
  <c r="D3906" i="49"/>
  <c r="D3620" i="49"/>
  <c r="D3614" i="49"/>
  <c r="D4781" i="49"/>
  <c r="D4486" i="49"/>
  <c r="D4476" i="49"/>
  <c r="D4201" i="49"/>
  <c r="D4198" i="49"/>
  <c r="D3911" i="49"/>
  <c r="D3901" i="49"/>
  <c r="D4491" i="49"/>
  <c r="D4193" i="49"/>
  <c r="D3622" i="49"/>
  <c r="D3618" i="49"/>
  <c r="D4482" i="49"/>
  <c r="D3902" i="49"/>
  <c r="D3900" i="49"/>
  <c r="D3610" i="49"/>
  <c r="D4777" i="49"/>
  <c r="D4187" i="49"/>
  <c r="D3914" i="49"/>
  <c r="D3912" i="49"/>
  <c r="D3908" i="49"/>
  <c r="D3623" i="49"/>
  <c r="D3334" i="49"/>
  <c r="D3328" i="49"/>
  <c r="D3322" i="49"/>
  <c r="D4196" i="49"/>
  <c r="D3619" i="49"/>
  <c r="D3615" i="49"/>
  <c r="D3621" i="49"/>
  <c r="D3612" i="49"/>
  <c r="D4188" i="49"/>
  <c r="D3332" i="49"/>
  <c r="D3329" i="49"/>
  <c r="D3616" i="49"/>
  <c r="D4194" i="49"/>
  <c r="D3907" i="49"/>
  <c r="D3625" i="49"/>
  <c r="D3326" i="49"/>
  <c r="D3323" i="49"/>
  <c r="D3046" i="49"/>
  <c r="D3040" i="49"/>
  <c r="D3034" i="49"/>
  <c r="D2758" i="49"/>
  <c r="D2752" i="49"/>
  <c r="D2746" i="49"/>
  <c r="D4478" i="49"/>
  <c r="D3611" i="49"/>
  <c r="D4200" i="49"/>
  <c r="D3609" i="49"/>
  <c r="D3613" i="49"/>
  <c r="D3617" i="49"/>
  <c r="D3045" i="49"/>
  <c r="D3042" i="49"/>
  <c r="D3032" i="49"/>
  <c r="D4488" i="49"/>
  <c r="D3039" i="49"/>
  <c r="D3036" i="49"/>
  <c r="D3913" i="49"/>
  <c r="D3899" i="49"/>
  <c r="D3624" i="49"/>
  <c r="D3327" i="49"/>
  <c r="D3325" i="49"/>
  <c r="D3336" i="49"/>
  <c r="D3044" i="49"/>
  <c r="D3037" i="49"/>
  <c r="D2467" i="49"/>
  <c r="D2461" i="49"/>
  <c r="D2455" i="49"/>
  <c r="D3321" i="49"/>
  <c r="D2751" i="49"/>
  <c r="D2744" i="49"/>
  <c r="D3047" i="49"/>
  <c r="D3035" i="49"/>
  <c r="D2468" i="49"/>
  <c r="D2462" i="49"/>
  <c r="D2456" i="49"/>
  <c r="D2180" i="49"/>
  <c r="D2174" i="49"/>
  <c r="D2168" i="49"/>
  <c r="D1886" i="49"/>
  <c r="D1880" i="49"/>
  <c r="D3331" i="49"/>
  <c r="D3033" i="49"/>
  <c r="D2747" i="49"/>
  <c r="D2469" i="49"/>
  <c r="D2463" i="49"/>
  <c r="D2457" i="49"/>
  <c r="D2175" i="49"/>
  <c r="D2169" i="49"/>
  <c r="D1887" i="49"/>
  <c r="D1881" i="49"/>
  <c r="D1875" i="49"/>
  <c r="D3335" i="49"/>
  <c r="D2465" i="49"/>
  <c r="D2179" i="49"/>
  <c r="D2176" i="49"/>
  <c r="D2166" i="49"/>
  <c r="D1883" i="49"/>
  <c r="D3333" i="49"/>
  <c r="D3320" i="49"/>
  <c r="D3041" i="49"/>
  <c r="D3038" i="49"/>
  <c r="D2454" i="49"/>
  <c r="D2173" i="49"/>
  <c r="D2170" i="49"/>
  <c r="D1890" i="49"/>
  <c r="D1877" i="49"/>
  <c r="D2756" i="49"/>
  <c r="D2750" i="49"/>
  <c r="D2753" i="49"/>
  <c r="D2459" i="49"/>
  <c r="D2177" i="49"/>
  <c r="D2167" i="49"/>
  <c r="D2164" i="49"/>
  <c r="D1884" i="49"/>
  <c r="D3905" i="49"/>
  <c r="D3043" i="49"/>
  <c r="D2749" i="49"/>
  <c r="D1882" i="49"/>
  <c r="D2754" i="49"/>
  <c r="D2466" i="49"/>
  <c r="D3324" i="49"/>
  <c r="D2460" i="49"/>
  <c r="D2743" i="49"/>
  <c r="D3903" i="49"/>
  <c r="D2742" i="49"/>
  <c r="D3330" i="49"/>
  <c r="D4190" i="49"/>
  <c r="D2172" i="49"/>
  <c r="D1885" i="49"/>
  <c r="D1878" i="49"/>
  <c r="D1590" i="49"/>
  <c r="D2757" i="49"/>
  <c r="D1599" i="49"/>
  <c r="D2464" i="49"/>
  <c r="D2748" i="49"/>
  <c r="D1600" i="49"/>
  <c r="D1597" i="49"/>
  <c r="D1311" i="49"/>
  <c r="D1298" i="49"/>
  <c r="D2178" i="49"/>
  <c r="D1888" i="49"/>
  <c r="D1307" i="49"/>
  <c r="D2458" i="49"/>
  <c r="D1595" i="49"/>
  <c r="D1592" i="49"/>
  <c r="D1589" i="49"/>
  <c r="D1303" i="49"/>
  <c r="D1299" i="49"/>
  <c r="D3031" i="49"/>
  <c r="D1586" i="49"/>
  <c r="D1312" i="49"/>
  <c r="D1024" i="49"/>
  <c r="D1018" i="49"/>
  <c r="D1012" i="49"/>
  <c r="D730" i="49"/>
  <c r="D724" i="49"/>
  <c r="D2171" i="49"/>
  <c r="D1879" i="49"/>
  <c r="D1601" i="49"/>
  <c r="D1598" i="49"/>
  <c r="D1889" i="49"/>
  <c r="D1602" i="49"/>
  <c r="D1594" i="49"/>
  <c r="D1591" i="49"/>
  <c r="D1301" i="49"/>
  <c r="D2755" i="49"/>
  <c r="D2453" i="49"/>
  <c r="D1891" i="49"/>
  <c r="D1305" i="49"/>
  <c r="D1022" i="49"/>
  <c r="D1019" i="49"/>
  <c r="D1009" i="49"/>
  <c r="D1587" i="49"/>
  <c r="D1309" i="49"/>
  <c r="D1016" i="49"/>
  <c r="D1013" i="49"/>
  <c r="D444" i="49"/>
  <c r="D438" i="49"/>
  <c r="D432" i="49"/>
  <c r="D1313" i="49"/>
  <c r="D1300" i="49"/>
  <c r="D734" i="49"/>
  <c r="D731" i="49"/>
  <c r="D721" i="49"/>
  <c r="D1304" i="49"/>
  <c r="D446" i="49"/>
  <c r="D2745" i="49"/>
  <c r="D1596" i="49"/>
  <c r="D442" i="49"/>
  <c r="D1011" i="49"/>
  <c r="D729" i="49"/>
  <c r="D722" i="49"/>
  <c r="D434" i="49"/>
  <c r="D430" i="49"/>
  <c r="D1302" i="49"/>
  <c r="D435" i="49"/>
  <c r="D1310" i="49"/>
  <c r="D1020" i="49"/>
  <c r="D735" i="49"/>
  <c r="D720" i="49"/>
  <c r="D437" i="49"/>
  <c r="D143" i="49"/>
  <c r="B143" i="50" s="1"/>
  <c r="D1588" i="49"/>
  <c r="D1023" i="49"/>
  <c r="D726" i="49"/>
  <c r="D723" i="49"/>
  <c r="D156" i="49"/>
  <c r="B156" i="50" s="1"/>
  <c r="D151" i="49"/>
  <c r="B151" i="50" s="1"/>
  <c r="D1008" i="49"/>
  <c r="D443" i="49"/>
  <c r="D441" i="49"/>
  <c r="D146" i="49"/>
  <c r="B146" i="50" s="1"/>
  <c r="D1308" i="49"/>
  <c r="D725" i="49"/>
  <c r="D1306" i="49"/>
  <c r="D719" i="49"/>
  <c r="D157" i="49"/>
  <c r="B157" i="50" s="1"/>
  <c r="D144" i="49"/>
  <c r="B144" i="50" s="1"/>
  <c r="D2165" i="49"/>
  <c r="D1593" i="49"/>
  <c r="D1021" i="49"/>
  <c r="D727" i="49"/>
  <c r="D155" i="49"/>
  <c r="B155" i="50" s="1"/>
  <c r="D439" i="49"/>
  <c r="D431" i="49"/>
  <c r="D153" i="49"/>
  <c r="B153" i="50" s="1"/>
  <c r="D1014" i="49"/>
  <c r="D1876" i="49"/>
  <c r="D154" i="49"/>
  <c r="B154" i="50" s="1"/>
  <c r="D142" i="49"/>
  <c r="B142" i="50" s="1"/>
  <c r="D728" i="49"/>
  <c r="D445" i="49"/>
  <c r="D150" i="49"/>
  <c r="B150" i="50" s="1"/>
  <c r="D148" i="49"/>
  <c r="B148" i="50" s="1"/>
  <c r="D1017" i="49"/>
  <c r="D1010" i="49"/>
  <c r="D733" i="49"/>
  <c r="D440" i="49"/>
  <c r="D147" i="49"/>
  <c r="B147" i="50" s="1"/>
  <c r="D149" i="49"/>
  <c r="B149" i="50" s="1"/>
  <c r="D436" i="49"/>
  <c r="D1015" i="49"/>
  <c r="D152" i="49"/>
  <c r="B152" i="50" s="1"/>
  <c r="D141" i="49"/>
  <c r="B141" i="50" s="1"/>
  <c r="D433" i="49"/>
  <c r="N12" i="8"/>
  <c r="M47" i="8"/>
  <c r="D1297" i="49"/>
  <c r="D145" i="49"/>
  <c r="B145" i="50" s="1"/>
  <c r="M43" i="8"/>
  <c r="D732" i="49"/>
  <c r="M72" i="8"/>
  <c r="G21" i="18"/>
  <c r="G22" i="18"/>
  <c r="G24" i="18" s="1"/>
  <c r="I20" i="17"/>
  <c r="R108" i="13"/>
  <c r="O73" i="14"/>
  <c r="J21" i="31"/>
  <c r="J22" i="31" s="1"/>
  <c r="J24" i="31" s="1"/>
  <c r="L20" i="25"/>
  <c r="M32" i="22"/>
  <c r="M72" i="22"/>
  <c r="M34" i="22"/>
  <c r="M36" i="22"/>
  <c r="N12" i="22"/>
  <c r="M61" i="22"/>
  <c r="M38" i="22"/>
  <c r="M27" i="22"/>
  <c r="M23" i="22"/>
  <c r="M14" i="22"/>
  <c r="M44" i="22"/>
  <c r="M31" i="22"/>
  <c r="M29" i="22"/>
  <c r="M16" i="22"/>
  <c r="M30" i="22"/>
  <c r="M17" i="22"/>
  <c r="M18" i="22"/>
  <c r="M28" i="22"/>
  <c r="M33" i="22"/>
  <c r="M15" i="22"/>
  <c r="M37" i="22"/>
  <c r="M35" i="22"/>
  <c r="M13" i="22"/>
  <c r="M62" i="22"/>
  <c r="E21" i="25"/>
  <c r="E22" i="25" s="1"/>
  <c r="E24" i="25" s="1"/>
  <c r="I21" i="31"/>
  <c r="I22" i="31" s="1"/>
  <c r="I24" i="31" s="1"/>
  <c r="L63" i="27"/>
  <c r="E108" i="14"/>
  <c r="E109" i="14"/>
  <c r="E110" i="14"/>
  <c r="H21" i="27"/>
  <c r="H22" i="27"/>
  <c r="H24" i="27" s="1"/>
  <c r="L44" i="8"/>
  <c r="G9" i="52"/>
  <c r="H91" i="49"/>
  <c r="H21" i="22"/>
  <c r="H22" i="22" s="1"/>
  <c r="H24" i="22" s="1"/>
  <c r="H21" i="15"/>
  <c r="H22" i="15" s="1"/>
  <c r="H24" i="15" s="1"/>
  <c r="H41" i="15" s="1"/>
  <c r="L39" i="15"/>
  <c r="N82" i="26"/>
  <c r="N80" i="26"/>
  <c r="N85" i="26"/>
  <c r="N79" i="26"/>
  <c r="M62" i="16"/>
  <c r="M36" i="16"/>
  <c r="M32" i="16"/>
  <c r="M28" i="16"/>
  <c r="M18" i="16"/>
  <c r="M14" i="16"/>
  <c r="M37" i="16"/>
  <c r="M33" i="16"/>
  <c r="M29" i="16"/>
  <c r="M23" i="16"/>
  <c r="M15" i="16"/>
  <c r="M44" i="16"/>
  <c r="M34" i="16"/>
  <c r="M16" i="16"/>
  <c r="M61" i="16"/>
  <c r="M35" i="16"/>
  <c r="M27" i="16"/>
  <c r="M17" i="16"/>
  <c r="N12" i="16"/>
  <c r="M31" i="16"/>
  <c r="M72" i="16"/>
  <c r="M38" i="16"/>
  <c r="M13" i="16"/>
  <c r="M30" i="16"/>
  <c r="L15" i="8"/>
  <c r="J21" i="20"/>
  <c r="J22" i="20" s="1"/>
  <c r="J24" i="20" s="1"/>
  <c r="M79" i="17"/>
  <c r="M85" i="17"/>
  <c r="M80" i="17"/>
  <c r="M82" i="17"/>
  <c r="G21" i="22"/>
  <c r="G22" i="22" s="1"/>
  <c r="G24" i="22" s="1"/>
  <c r="J20" i="16"/>
  <c r="J13" i="8"/>
  <c r="J20" i="8" s="1"/>
  <c r="K20" i="28"/>
  <c r="O83" i="14"/>
  <c r="R109" i="13"/>
  <c r="L80" i="21"/>
  <c r="L85" i="21"/>
  <c r="L82" i="21"/>
  <c r="L79" i="21"/>
  <c r="E69" i="14"/>
  <c r="E70" i="14" s="1"/>
  <c r="H21" i="31"/>
  <c r="H22" i="31"/>
  <c r="H24" i="31" s="1"/>
  <c r="N20" i="30"/>
  <c r="L39" i="25"/>
  <c r="E21" i="15"/>
  <c r="E22" i="15" s="1"/>
  <c r="E24" i="15" s="1"/>
  <c r="G20" i="16"/>
  <c r="G13" i="8"/>
  <c r="G20" i="8" s="1"/>
  <c r="D24" i="14"/>
  <c r="G47" i="13" s="1"/>
  <c r="F48" i="16" s="1"/>
  <c r="F21" i="25"/>
  <c r="F22" i="25" s="1"/>
  <c r="F24" i="25" s="1"/>
  <c r="L36" i="8"/>
  <c r="J21" i="21"/>
  <c r="J22" i="21" s="1"/>
  <c r="J24" i="21" s="1"/>
  <c r="J21" i="27"/>
  <c r="J22" i="27" s="1"/>
  <c r="J24" i="27" s="1"/>
  <c r="I20" i="16"/>
  <c r="I13" i="8"/>
  <c r="I20" i="8" s="1"/>
  <c r="I41" i="30"/>
  <c r="H21" i="21"/>
  <c r="H22" i="21" s="1"/>
  <c r="H24" i="21" s="1"/>
  <c r="G21" i="20"/>
  <c r="G22" i="20" s="1"/>
  <c r="G24" i="20" s="1"/>
  <c r="K21" i="18"/>
  <c r="K22" i="18" s="1"/>
  <c r="K24" i="18" s="1"/>
  <c r="J21" i="15"/>
  <c r="J22" i="15" s="1"/>
  <c r="J24" i="15" s="1"/>
  <c r="J41" i="15" s="1"/>
  <c r="N19" i="26"/>
  <c r="N20" i="26" s="1"/>
  <c r="L80" i="16"/>
  <c r="L85" i="16"/>
  <c r="L79" i="16"/>
  <c r="L82" i="16"/>
  <c r="L34" i="8"/>
  <c r="F41" i="30"/>
  <c r="F21" i="19"/>
  <c r="F22" i="19" s="1"/>
  <c r="F24" i="19" s="1"/>
  <c r="L19" i="23"/>
  <c r="L20" i="23" s="1"/>
  <c r="I21" i="22"/>
  <c r="I22" i="22" s="1"/>
  <c r="I24" i="22" s="1"/>
  <c r="Q74" i="49"/>
  <c r="J74" i="49"/>
  <c r="L39" i="28"/>
  <c r="M44" i="28"/>
  <c r="M35" i="28"/>
  <c r="M31" i="28"/>
  <c r="M27" i="28"/>
  <c r="M17" i="28"/>
  <c r="M13" i="28"/>
  <c r="M28" i="28"/>
  <c r="M15" i="28"/>
  <c r="M72" i="28"/>
  <c r="M34" i="28"/>
  <c r="M33" i="28"/>
  <c r="M32" i="28"/>
  <c r="M18" i="28"/>
  <c r="M30" i="28"/>
  <c r="M23" i="28"/>
  <c r="N12" i="28"/>
  <c r="M37" i="28"/>
  <c r="M36" i="28"/>
  <c r="M16" i="28"/>
  <c r="M14" i="28"/>
  <c r="M29" i="28"/>
  <c r="M38" i="28"/>
  <c r="M66" i="28"/>
  <c r="M60" i="28"/>
  <c r="M47" i="28"/>
  <c r="M43" i="28"/>
  <c r="M75" i="28"/>
  <c r="K21" i="19"/>
  <c r="K22" i="19"/>
  <c r="K24" i="19" s="1"/>
  <c r="J21" i="18"/>
  <c r="J22" i="18" s="1"/>
  <c r="J24" i="18" s="1"/>
  <c r="I21" i="15"/>
  <c r="I22" i="15" s="1"/>
  <c r="I24" i="15" s="1"/>
  <c r="L85" i="19"/>
  <c r="L80" i="19"/>
  <c r="L82" i="19"/>
  <c r="L79" i="19"/>
  <c r="L82" i="15"/>
  <c r="L79" i="15"/>
  <c r="L80" i="15"/>
  <c r="L85" i="15"/>
  <c r="L39" i="16"/>
  <c r="L27" i="8"/>
  <c r="K21" i="20"/>
  <c r="K22" i="20" s="1"/>
  <c r="K24" i="20" s="1"/>
  <c r="E21" i="18"/>
  <c r="E22" i="18"/>
  <c r="E24" i="18" s="1"/>
  <c r="G21" i="15"/>
  <c r="G22" i="15" s="1"/>
  <c r="G24" i="15" s="1"/>
  <c r="G41" i="15" s="1"/>
  <c r="N39" i="26"/>
  <c r="L31" i="8"/>
  <c r="L23" i="8"/>
  <c r="K20" i="17"/>
  <c r="I21" i="20"/>
  <c r="I22" i="20" s="1"/>
  <c r="I24" i="20" s="1"/>
  <c r="M20" i="17"/>
  <c r="L79" i="23"/>
  <c r="L85" i="23"/>
  <c r="L82" i="23"/>
  <c r="L80" i="23"/>
  <c r="E21" i="22"/>
  <c r="E22" i="22" s="1"/>
  <c r="E24" i="22" s="1"/>
  <c r="O133" i="14"/>
  <c r="R114" i="13"/>
  <c r="G21" i="31"/>
  <c r="G22" i="31"/>
  <c r="G24" i="31" s="1"/>
  <c r="J21" i="28"/>
  <c r="M19" i="20"/>
  <c r="M20" i="20" s="1"/>
  <c r="N37" i="20"/>
  <c r="N33" i="20"/>
  <c r="N29" i="20"/>
  <c r="N23" i="20"/>
  <c r="N15" i="20"/>
  <c r="N44" i="20"/>
  <c r="N38" i="20"/>
  <c r="N34" i="20"/>
  <c r="N30" i="20"/>
  <c r="N16" i="20"/>
  <c r="N36" i="20"/>
  <c r="O12" i="20"/>
  <c r="N27" i="20"/>
  <c r="N14" i="20"/>
  <c r="N31" i="20"/>
  <c r="N18" i="20"/>
  <c r="N72" i="20"/>
  <c r="N32" i="20"/>
  <c r="N35" i="20"/>
  <c r="N28" i="20"/>
  <c r="N13" i="20"/>
  <c r="N17" i="20"/>
  <c r="N75" i="20"/>
  <c r="N43" i="20"/>
  <c r="N47" i="20"/>
  <c r="N60" i="20"/>
  <c r="N66" i="20"/>
  <c r="L20" i="22"/>
  <c r="L79" i="22"/>
  <c r="L82" i="22"/>
  <c r="L80" i="22"/>
  <c r="L85" i="22"/>
  <c r="I21" i="21"/>
  <c r="I22" i="21"/>
  <c r="I24" i="21" s="1"/>
  <c r="F21" i="18"/>
  <c r="F22" i="18" s="1"/>
  <c r="F24" i="18" s="1"/>
  <c r="M37" i="24"/>
  <c r="M33" i="24"/>
  <c r="M29" i="24"/>
  <c r="M23" i="24"/>
  <c r="M15" i="24"/>
  <c r="M72" i="24"/>
  <c r="N12" i="24"/>
  <c r="M17" i="24"/>
  <c r="M28" i="24"/>
  <c r="M32" i="24"/>
  <c r="M16" i="24"/>
  <c r="M27" i="24"/>
  <c r="M36" i="24"/>
  <c r="M31" i="24"/>
  <c r="M35" i="24"/>
  <c r="M30" i="24"/>
  <c r="M38" i="24"/>
  <c r="M14" i="24"/>
  <c r="M18" i="24"/>
  <c r="M44" i="24"/>
  <c r="M13" i="24"/>
  <c r="M34" i="24"/>
  <c r="M43" i="24"/>
  <c r="M66" i="24"/>
  <c r="M60" i="24"/>
  <c r="M75" i="24"/>
  <c r="M47" i="24"/>
  <c r="F21" i="15"/>
  <c r="F22" i="15" s="1"/>
  <c r="F24" i="15" s="1"/>
  <c r="F41" i="15" s="1"/>
  <c r="L20" i="19"/>
  <c r="L13" i="8"/>
  <c r="L29" i="8"/>
  <c r="J20" i="17"/>
  <c r="H21" i="20"/>
  <c r="H22" i="20" s="1"/>
  <c r="H24" i="20" s="1"/>
  <c r="N61" i="17"/>
  <c r="N35" i="17"/>
  <c r="N31" i="17"/>
  <c r="N27" i="17"/>
  <c r="N17" i="17"/>
  <c r="N13" i="17"/>
  <c r="N62" i="17"/>
  <c r="N36" i="17"/>
  <c r="N32" i="17"/>
  <c r="N28" i="17"/>
  <c r="N18" i="17"/>
  <c r="N14" i="17"/>
  <c r="N44" i="17"/>
  <c r="N34" i="17"/>
  <c r="N16" i="17"/>
  <c r="N37" i="17"/>
  <c r="N29" i="17"/>
  <c r="O12" i="17"/>
  <c r="N15" i="17"/>
  <c r="N72" i="17"/>
  <c r="N30" i="17"/>
  <c r="N23" i="17"/>
  <c r="N38" i="17"/>
  <c r="N33" i="17"/>
  <c r="I21" i="27"/>
  <c r="I22" i="27" s="1"/>
  <c r="I24" i="27" s="1"/>
  <c r="F21" i="22"/>
  <c r="F22" i="22"/>
  <c r="F24" i="22" s="1"/>
  <c r="L39" i="31"/>
  <c r="L20" i="28"/>
  <c r="H20" i="16"/>
  <c r="H13" i="8"/>
  <c r="H20" i="8" s="1"/>
  <c r="R104" i="13"/>
  <c r="O33" i="14"/>
  <c r="F22" i="31"/>
  <c r="F24" i="31" s="1"/>
  <c r="F21" i="31"/>
  <c r="N39" i="30"/>
  <c r="M62" i="27"/>
  <c r="M36" i="27"/>
  <c r="M32" i="27"/>
  <c r="M28" i="27"/>
  <c r="M18" i="27"/>
  <c r="M14" i="27"/>
  <c r="M15" i="27"/>
  <c r="M13" i="27"/>
  <c r="M30" i="27"/>
  <c r="M34" i="27"/>
  <c r="M61" i="27"/>
  <c r="M29" i="27"/>
  <c r="M17" i="27"/>
  <c r="M16" i="27"/>
  <c r="M38" i="27"/>
  <c r="M72" i="27"/>
  <c r="M27" i="27"/>
  <c r="M37" i="27"/>
  <c r="M23" i="27"/>
  <c r="N12" i="27"/>
  <c r="M35" i="27"/>
  <c r="M44" i="27"/>
  <c r="M31" i="27"/>
  <c r="M33" i="27"/>
  <c r="I21" i="28"/>
  <c r="M80" i="20"/>
  <c r="M85" i="20"/>
  <c r="M82" i="20"/>
  <c r="M79" i="20"/>
  <c r="J19" i="51"/>
  <c r="H4460" i="49"/>
  <c r="L8" i="51"/>
  <c r="H1281" i="49"/>
  <c r="H3314" i="49"/>
  <c r="H3315" i="49"/>
  <c r="H3316" i="49"/>
  <c r="H4442" i="49"/>
  <c r="H2726" i="49"/>
  <c r="H3596" i="49"/>
  <c r="H4767" i="49"/>
  <c r="H3323" i="49"/>
  <c r="H2462" i="49"/>
  <c r="H1589" i="49"/>
  <c r="H1858" i="49"/>
  <c r="H3509" i="49"/>
  <c r="H2045" i="49"/>
  <c r="H2623" i="49"/>
  <c r="H3610" i="49"/>
  <c r="H1019" i="49"/>
  <c r="H728" i="49"/>
  <c r="H3892" i="49"/>
  <c r="H3893" i="49"/>
  <c r="H3894" i="49"/>
  <c r="H3813" i="49"/>
  <c r="L6" i="51"/>
  <c r="H4648" i="49"/>
  <c r="H703" i="49"/>
  <c r="M10" i="51"/>
  <c r="H5038" i="49"/>
  <c r="F18" i="51"/>
  <c r="H911" i="49"/>
  <c r="H3330" i="49"/>
  <c r="H1020" i="49"/>
  <c r="H4768" i="49"/>
  <c r="H3908" i="49"/>
  <c r="H2606" i="49"/>
  <c r="E389" i="46"/>
  <c r="H3288" i="49"/>
  <c r="H4765" i="49"/>
  <c r="H2456" i="49"/>
  <c r="H3612" i="49"/>
  <c r="H1021" i="49"/>
  <c r="H4969" i="49"/>
  <c r="H4952" i="49"/>
  <c r="E5" i="46"/>
  <c r="L17" i="51"/>
  <c r="H3543" i="49"/>
  <c r="F16" i="3"/>
  <c r="E551" i="46"/>
  <c r="H2965" i="49"/>
  <c r="E455" i="46"/>
  <c r="F14" i="3"/>
  <c r="H2167" i="49"/>
  <c r="H1009" i="49"/>
  <c r="L12" i="51"/>
  <c r="H2096" i="49"/>
  <c r="E309" i="46"/>
  <c r="H2174" i="49"/>
  <c r="H2113" i="49"/>
  <c r="H685" i="49"/>
  <c r="H4716" i="49"/>
  <c r="H4102" i="49"/>
  <c r="H1535" i="49"/>
  <c r="H1229" i="49"/>
  <c r="E165" i="46"/>
  <c r="H3882" i="49"/>
  <c r="H1489" i="49"/>
  <c r="H3847" i="49"/>
  <c r="H3560" i="49"/>
  <c r="H2914" i="49"/>
  <c r="H2948" i="49"/>
  <c r="H991" i="49"/>
  <c r="H714" i="49"/>
  <c r="H713" i="49"/>
  <c r="H715" i="49"/>
  <c r="H4682" i="49"/>
  <c r="H4068" i="49"/>
  <c r="H3475" i="49"/>
  <c r="E16" i="3"/>
  <c r="E535" i="46"/>
  <c r="G18" i="51"/>
  <c r="H3796" i="49"/>
  <c r="H4918" i="49"/>
  <c r="E773" i="46"/>
  <c r="I19" i="51"/>
  <c r="L9" i="51"/>
  <c r="H1484" i="49"/>
  <c r="L11" i="51"/>
  <c r="H2402" i="49"/>
  <c r="H3329" i="49"/>
  <c r="H1596" i="49"/>
  <c r="H1161" i="49"/>
  <c r="E149" i="46"/>
  <c r="H2931" i="49"/>
  <c r="E18" i="51"/>
  <c r="N16" i="51"/>
  <c r="H4631" i="49"/>
  <c r="E20" i="3"/>
  <c r="E727" i="46"/>
  <c r="H5057" i="49"/>
  <c r="H3901" i="49"/>
  <c r="H2752" i="49"/>
  <c r="H2173" i="49"/>
  <c r="H4190" i="49"/>
  <c r="H1298" i="49"/>
  <c r="H2745" i="49"/>
  <c r="H1017" i="49"/>
  <c r="I18" i="51"/>
  <c r="H2982" i="49"/>
  <c r="H2691" i="49"/>
  <c r="H1756" i="49"/>
  <c r="H4051" i="49"/>
  <c r="E629" i="46"/>
  <c r="H3577" i="49"/>
  <c r="H2897" i="49"/>
  <c r="E14" i="3"/>
  <c r="E439" i="46"/>
  <c r="D18" i="51"/>
  <c r="L13" i="51"/>
  <c r="H3015" i="49"/>
  <c r="H3784" i="49"/>
  <c r="H2751" i="49"/>
  <c r="H1018" i="49"/>
  <c r="H3304" i="49"/>
  <c r="H2148" i="49"/>
  <c r="G19" i="51"/>
  <c r="H1212" i="49"/>
  <c r="F19" i="51"/>
  <c r="H4766" i="49"/>
  <c r="H3611" i="49"/>
  <c r="H1878" i="49"/>
  <c r="H1307" i="49"/>
  <c r="H1011" i="49"/>
  <c r="H3492" i="49"/>
  <c r="L15" i="51"/>
  <c r="H2160" i="49"/>
  <c r="H2159" i="49"/>
  <c r="H2158" i="49"/>
  <c r="H1570" i="49"/>
  <c r="H4665" i="49"/>
  <c r="H2437" i="49"/>
  <c r="N20" i="51"/>
  <c r="H4733" i="49"/>
  <c r="H4479" i="49"/>
  <c r="H3907" i="49"/>
  <c r="H729" i="49"/>
  <c r="H1306" i="49"/>
  <c r="H605" i="49"/>
  <c r="H4699" i="49"/>
  <c r="F20" i="3"/>
  <c r="E743" i="46"/>
  <c r="H1582" i="49"/>
  <c r="H1580" i="49"/>
  <c r="H1581" i="49"/>
  <c r="H3609" i="49"/>
  <c r="H1595" i="49"/>
  <c r="H722" i="49"/>
  <c r="H1876" i="49"/>
  <c r="H4171" i="49"/>
  <c r="H18" i="51"/>
  <c r="H2334" i="49"/>
  <c r="H4935" i="49"/>
  <c r="H3034" i="49"/>
  <c r="H3526" i="49"/>
  <c r="H4752" i="49"/>
  <c r="H19" i="51"/>
  <c r="H3269" i="49"/>
  <c r="H3762" i="49"/>
  <c r="E581" i="46"/>
  <c r="D19" i="51"/>
  <c r="H3218" i="49"/>
  <c r="H2645" i="49"/>
  <c r="E19" i="51"/>
  <c r="H2463" i="49"/>
  <c r="H1300" i="49"/>
  <c r="L14" i="51"/>
  <c r="M7" i="51"/>
  <c r="H1195" i="49"/>
  <c r="H1807" i="49"/>
  <c r="E261" i="46"/>
  <c r="H1178" i="49"/>
  <c r="L21" i="51"/>
  <c r="H3235" i="49"/>
  <c r="H4986" i="49"/>
  <c r="E789" i="46"/>
  <c r="H3201" i="49"/>
  <c r="H1552" i="49"/>
  <c r="H3830" i="49"/>
  <c r="E597" i="46"/>
  <c r="H2708" i="49"/>
  <c r="H2657" i="49"/>
  <c r="H1501" i="49"/>
  <c r="H2062" i="49"/>
  <c r="H3779" i="49"/>
  <c r="H1246" i="49"/>
  <c r="H1841" i="49"/>
  <c r="H1739" i="49"/>
  <c r="E245" i="46"/>
  <c r="H2130" i="49"/>
  <c r="H2419" i="49"/>
  <c r="H4425" i="49"/>
  <c r="H2317" i="49"/>
  <c r="E341" i="46"/>
  <c r="H1280" i="49"/>
  <c r="H5003" i="49"/>
  <c r="H2385" i="49"/>
  <c r="E357" i="46"/>
  <c r="H2351" i="49"/>
  <c r="H2368" i="49"/>
  <c r="H3184" i="49"/>
  <c r="E485" i="46"/>
  <c r="H2997" i="49"/>
  <c r="H5020" i="49"/>
  <c r="H1790" i="49"/>
  <c r="H3864" i="49"/>
  <c r="H1450" i="49"/>
  <c r="E197" i="46"/>
  <c r="H1518" i="49"/>
  <c r="E213" i="46"/>
  <c r="H1824" i="49"/>
  <c r="H2079" i="49"/>
  <c r="H1467" i="49"/>
  <c r="E21" i="46"/>
  <c r="H4085" i="49"/>
  <c r="H1773" i="49"/>
  <c r="H2674" i="49"/>
  <c r="E405" i="46"/>
  <c r="H2640" i="49"/>
  <c r="H1263" i="49"/>
  <c r="H2028" i="49"/>
  <c r="E293" i="46"/>
  <c r="H3252" i="49"/>
  <c r="E501" i="46"/>
  <c r="J4442" i="49" l="1"/>
  <c r="Q4442" i="49" s="1"/>
  <c r="J3316" i="49"/>
  <c r="Q3316" i="49" s="1"/>
  <c r="J3315" i="49"/>
  <c r="Q3315" i="49" s="1"/>
  <c r="J3314" i="49"/>
  <c r="Q3314" i="49" s="1"/>
  <c r="J1281" i="49"/>
  <c r="Q1281" i="49" s="1"/>
  <c r="J4460" i="49"/>
  <c r="Q4460" i="49" s="1"/>
  <c r="K41" i="29"/>
  <c r="M39" i="22"/>
  <c r="M30" i="8"/>
  <c r="M20" i="25"/>
  <c r="M63" i="22"/>
  <c r="M19" i="21"/>
  <c r="O12" i="18"/>
  <c r="N32" i="18"/>
  <c r="N61" i="18"/>
  <c r="N14" i="18"/>
  <c r="N38" i="18"/>
  <c r="N35" i="18"/>
  <c r="N34" i="18"/>
  <c r="N31" i="18"/>
  <c r="N30" i="18"/>
  <c r="N27" i="18"/>
  <c r="N16" i="18"/>
  <c r="N72" i="18"/>
  <c r="N44" i="18"/>
  <c r="N37" i="18"/>
  <c r="N36" i="18"/>
  <c r="N33" i="18"/>
  <c r="N28" i="18"/>
  <c r="N29" i="18"/>
  <c r="N18" i="18"/>
  <c r="N23" i="18"/>
  <c r="N62" i="18"/>
  <c r="N15" i="18"/>
  <c r="N17" i="18"/>
  <c r="N13" i="18"/>
  <c r="M17" i="8"/>
  <c r="M63" i="18"/>
  <c r="M19" i="18"/>
  <c r="M20" i="18" s="1"/>
  <c r="M35" i="8"/>
  <c r="M19" i="15"/>
  <c r="M39" i="19"/>
  <c r="M39" i="29"/>
  <c r="M82" i="18"/>
  <c r="M80" i="18"/>
  <c r="M85" i="18"/>
  <c r="M79" i="18"/>
  <c r="M19" i="25"/>
  <c r="J501" i="46"/>
  <c r="J3252" i="49"/>
  <c r="Q3252" i="49" s="1"/>
  <c r="J293" i="46"/>
  <c r="J2028" i="49"/>
  <c r="Q2028" i="49" s="1"/>
  <c r="J1263" i="49"/>
  <c r="Q1263" i="49" s="1"/>
  <c r="Q2640" i="49"/>
  <c r="J2640" i="49"/>
  <c r="J405" i="46"/>
  <c r="Q2674" i="49"/>
  <c r="J2674" i="49"/>
  <c r="J1773" i="49"/>
  <c r="Q1773" i="49" s="1"/>
  <c r="J4085" i="49"/>
  <c r="Q4085" i="49" s="1"/>
  <c r="J21" i="46"/>
  <c r="J1467" i="49"/>
  <c r="Q1467" i="49" s="1"/>
  <c r="J2079" i="49"/>
  <c r="Q2079" i="49" s="1"/>
  <c r="J1824" i="49"/>
  <c r="Q1824" i="49" s="1"/>
  <c r="J213" i="46"/>
  <c r="J1518" i="49"/>
  <c r="Q1518" i="49" s="1"/>
  <c r="J197" i="46"/>
  <c r="J1450" i="49"/>
  <c r="Q1450" i="49" s="1"/>
  <c r="J3864" i="49"/>
  <c r="Q3864" i="49" s="1"/>
  <c r="J1790" i="49"/>
  <c r="Q1790" i="49" s="1"/>
  <c r="J5020" i="49"/>
  <c r="Q5020" i="49" s="1"/>
  <c r="J2997" i="49"/>
  <c r="Q2997" i="49" s="1"/>
  <c r="J485" i="46"/>
  <c r="Q3184" i="49"/>
  <c r="J3184" i="49"/>
  <c r="J2368" i="49"/>
  <c r="Q2368" i="49" s="1"/>
  <c r="J2351" i="49"/>
  <c r="Q2351" i="49" s="1"/>
  <c r="J357" i="46"/>
  <c r="J2385" i="49"/>
  <c r="Q2385" i="49"/>
  <c r="J5003" i="49"/>
  <c r="Q5003" i="49" s="1"/>
  <c r="J1280" i="49"/>
  <c r="Q1280" i="49" s="1"/>
  <c r="J341" i="46"/>
  <c r="J2317" i="49"/>
  <c r="Q2317" i="49" s="1"/>
  <c r="J4425" i="49"/>
  <c r="Q4425" i="49" s="1"/>
  <c r="J2419" i="49"/>
  <c r="Q2419" i="49" s="1"/>
  <c r="Q2130" i="49"/>
  <c r="J2130" i="49"/>
  <c r="J245" i="46"/>
  <c r="J1739" i="49"/>
  <c r="Q1739" i="49" s="1"/>
  <c r="J1841" i="49"/>
  <c r="Q1841" i="49" s="1"/>
  <c r="J1246" i="49"/>
  <c r="Q1246" i="49" s="1"/>
  <c r="J3779" i="49"/>
  <c r="Q3779" i="49" s="1"/>
  <c r="J2062" i="49"/>
  <c r="Q2062" i="49"/>
  <c r="J1501" i="49"/>
  <c r="Q1501" i="49" s="1"/>
  <c r="J2657" i="49"/>
  <c r="Q2657" i="49" s="1"/>
  <c r="J2708" i="49"/>
  <c r="Q2708" i="49" s="1"/>
  <c r="J597" i="46"/>
  <c r="Q3830" i="49"/>
  <c r="J3830" i="49"/>
  <c r="J1552" i="49"/>
  <c r="Q1552" i="49"/>
  <c r="J3201" i="49"/>
  <c r="Q3201" i="49" s="1"/>
  <c r="J789" i="46"/>
  <c r="J4986" i="49"/>
  <c r="Q4986" i="49" s="1"/>
  <c r="J3235" i="49"/>
  <c r="Q3235" i="49" s="1"/>
  <c r="J1178" i="49"/>
  <c r="Q1178" i="49" s="1"/>
  <c r="J261" i="46"/>
  <c r="J1807" i="49"/>
  <c r="Q1807" i="49" s="1"/>
  <c r="J1195" i="49"/>
  <c r="Q1195" i="49" s="1"/>
  <c r="J1300" i="49"/>
  <c r="Q1300" i="49" s="1"/>
  <c r="J2463" i="49"/>
  <c r="Q2463" i="49" s="1"/>
  <c r="J2645" i="49"/>
  <c r="Q2645" i="49" s="1"/>
  <c r="J3218" i="49"/>
  <c r="Q3218" i="49" s="1"/>
  <c r="J581" i="46"/>
  <c r="J3762" i="49"/>
  <c r="Q3762" i="49" s="1"/>
  <c r="Q3269" i="49"/>
  <c r="J3269" i="49"/>
  <c r="J4752" i="49"/>
  <c r="Q4752" i="49" s="1"/>
  <c r="J3526" i="49"/>
  <c r="Q3526" i="49" s="1"/>
  <c r="J3034" i="49"/>
  <c r="Q3034" i="49" s="1"/>
  <c r="J4935" i="49"/>
  <c r="Q4935" i="49" s="1"/>
  <c r="J2334" i="49"/>
  <c r="Q2334" i="49" s="1"/>
  <c r="J4171" i="49"/>
  <c r="Q4171" i="49" s="1"/>
  <c r="Q1876" i="49"/>
  <c r="J1876" i="49"/>
  <c r="J722" i="49"/>
  <c r="Q722" i="49" s="1"/>
  <c r="J1595" i="49"/>
  <c r="Q1595" i="49" s="1"/>
  <c r="J3609" i="49"/>
  <c r="Q3609" i="49" s="1"/>
  <c r="J1581" i="49"/>
  <c r="Q1581" i="49" s="1"/>
  <c r="J1580" i="49"/>
  <c r="Q1580" i="49" s="1"/>
  <c r="J1582" i="49"/>
  <c r="Q1582" i="49" s="1"/>
  <c r="J743" i="46"/>
  <c r="J4699" i="49"/>
  <c r="Q4699" i="49" s="1"/>
  <c r="J605" i="49"/>
  <c r="Q605" i="49" s="1"/>
  <c r="J1306" i="49"/>
  <c r="Q1306" i="49" s="1"/>
  <c r="J729" i="49"/>
  <c r="Q729" i="49"/>
  <c r="Q3907" i="49"/>
  <c r="J3907" i="49"/>
  <c r="Q4479" i="49"/>
  <c r="J4479" i="49"/>
  <c r="J4733" i="49"/>
  <c r="Q4733" i="49" s="1"/>
  <c r="Q2437" i="49"/>
  <c r="J2437" i="49"/>
  <c r="J4665" i="49"/>
  <c r="Q4665" i="49" s="1"/>
  <c r="J1570" i="49"/>
  <c r="Q1570" i="49" s="1"/>
  <c r="J2158" i="49"/>
  <c r="Q2158" i="49" s="1"/>
  <c r="J2159" i="49"/>
  <c r="Q2159" i="49" s="1"/>
  <c r="J2160" i="49"/>
  <c r="Q2160" i="49" s="1"/>
  <c r="Q3492" i="49"/>
  <c r="J3492" i="49"/>
  <c r="J1011" i="49"/>
  <c r="Q1011" i="49" s="1"/>
  <c r="J1307" i="49"/>
  <c r="Q1307" i="49" s="1"/>
  <c r="J1878" i="49"/>
  <c r="Q1878" i="49" s="1"/>
  <c r="J3611" i="49"/>
  <c r="Q3611" i="49" s="1"/>
  <c r="J4766" i="49"/>
  <c r="Q4766" i="49"/>
  <c r="J1212" i="49"/>
  <c r="Q1212" i="49" s="1"/>
  <c r="J2148" i="49"/>
  <c r="Q2148" i="49" s="1"/>
  <c r="J3304" i="49"/>
  <c r="Q3304" i="49" s="1"/>
  <c r="J1018" i="49"/>
  <c r="Q1018" i="49" s="1"/>
  <c r="J2751" i="49"/>
  <c r="Q2751" i="49" s="1"/>
  <c r="J3784" i="49"/>
  <c r="Q3784" i="49" s="1"/>
  <c r="J3015" i="49"/>
  <c r="Q3015" i="49" s="1"/>
  <c r="J439" i="46"/>
  <c r="J2897" i="49"/>
  <c r="Q2897" i="49" s="1"/>
  <c r="J3577" i="49"/>
  <c r="Q3577" i="49" s="1"/>
  <c r="J629" i="46"/>
  <c r="J4051" i="49"/>
  <c r="Q4051" i="49" s="1"/>
  <c r="J1756" i="49"/>
  <c r="Q1756" i="49"/>
  <c r="J2691" i="49"/>
  <c r="Q2691" i="49"/>
  <c r="J2982" i="49"/>
  <c r="Q2982" i="49" s="1"/>
  <c r="J1017" i="49"/>
  <c r="Q1017" i="49" s="1"/>
  <c r="Q2745" i="49"/>
  <c r="J2745" i="49"/>
  <c r="J1298" i="49"/>
  <c r="Q1298" i="49" s="1"/>
  <c r="J4190" i="49"/>
  <c r="Q4190" i="49" s="1"/>
  <c r="J2173" i="49"/>
  <c r="Q2173" i="49" s="1"/>
  <c r="J2752" i="49"/>
  <c r="Q2752" i="49" s="1"/>
  <c r="J3901" i="49"/>
  <c r="Q3901" i="49" s="1"/>
  <c r="Q5057" i="49"/>
  <c r="J5057" i="49"/>
  <c r="J727" i="46"/>
  <c r="J4631" i="49"/>
  <c r="Q4631" i="49" s="1"/>
  <c r="Q2931" i="49"/>
  <c r="J2931" i="49"/>
  <c r="J149" i="46"/>
  <c r="J1161" i="49"/>
  <c r="Q1161" i="49" s="1"/>
  <c r="Q1596" i="49"/>
  <c r="J1596" i="49"/>
  <c r="J3329" i="49"/>
  <c r="Q3329" i="49" s="1"/>
  <c r="J2402" i="49"/>
  <c r="Q2402" i="49" s="1"/>
  <c r="J1484" i="49"/>
  <c r="Q1484" i="49" s="1"/>
  <c r="J773" i="46"/>
  <c r="J4918" i="49"/>
  <c r="Q4918" i="49" s="1"/>
  <c r="J3796" i="49"/>
  <c r="Q3796" i="49" s="1"/>
  <c r="J535" i="46"/>
  <c r="J3475" i="49"/>
  <c r="Q3475" i="49" s="1"/>
  <c r="J4068" i="49"/>
  <c r="Q4068" i="49"/>
  <c r="J4682" i="49"/>
  <c r="Q4682" i="49" s="1"/>
  <c r="J715" i="49"/>
  <c r="Q715" i="49" s="1"/>
  <c r="J713" i="49"/>
  <c r="Q713" i="49" s="1"/>
  <c r="J714" i="49"/>
  <c r="Q714" i="49" s="1"/>
  <c r="J991" i="49"/>
  <c r="Q991" i="49" s="1"/>
  <c r="J2948" i="49"/>
  <c r="Q2948" i="49" s="1"/>
  <c r="J2914" i="49"/>
  <c r="Q2914" i="49" s="1"/>
  <c r="J3560" i="49"/>
  <c r="Q3560" i="49"/>
  <c r="J3847" i="49"/>
  <c r="Q3847" i="49" s="1"/>
  <c r="J1489" i="49"/>
  <c r="Q1489" i="49" s="1"/>
  <c r="J3882" i="49"/>
  <c r="Q3882" i="49" s="1"/>
  <c r="J165" i="46"/>
  <c r="J1229" i="49"/>
  <c r="Q1229" i="49" s="1"/>
  <c r="J1535" i="49"/>
  <c r="Q1535" i="49" s="1"/>
  <c r="Q4102" i="49"/>
  <c r="J4102" i="49"/>
  <c r="J4716" i="49"/>
  <c r="Q4716" i="49" s="1"/>
  <c r="J685" i="49"/>
  <c r="Q685" i="49" s="1"/>
  <c r="J2113" i="49"/>
  <c r="Q2113" i="49" s="1"/>
  <c r="J2174" i="49"/>
  <c r="Q2174" i="49"/>
  <c r="J309" i="46"/>
  <c r="J2096" i="49"/>
  <c r="Q2096" i="49" s="1"/>
  <c r="J1009" i="49"/>
  <c r="Q1009" i="49" s="1"/>
  <c r="J2167" i="49"/>
  <c r="Q2167" i="49" s="1"/>
  <c r="J455" i="46"/>
  <c r="J2965" i="49"/>
  <c r="Q2965" i="49" s="1"/>
  <c r="J551" i="46"/>
  <c r="J3543" i="49"/>
  <c r="Q3543" i="49" s="1"/>
  <c r="J5" i="46"/>
  <c r="J4952" i="49"/>
  <c r="Q4952" i="49" s="1"/>
  <c r="J4969" i="49"/>
  <c r="Q4969" i="49" s="1"/>
  <c r="J1021" i="49"/>
  <c r="Q1021" i="49" s="1"/>
  <c r="J3612" i="49"/>
  <c r="Q3612" i="49" s="1"/>
  <c r="Q2456" i="49"/>
  <c r="J2456" i="49"/>
  <c r="J4765" i="49"/>
  <c r="Q4765" i="49" s="1"/>
  <c r="J3288" i="49"/>
  <c r="Q3288" i="49" s="1"/>
  <c r="J389" i="46"/>
  <c r="J2606" i="49"/>
  <c r="Q2606" i="49" s="1"/>
  <c r="J3908" i="49"/>
  <c r="Q3908" i="49" s="1"/>
  <c r="J4768" i="49"/>
  <c r="Q4768" i="49" s="1"/>
  <c r="J1020" i="49"/>
  <c r="Q1020" i="49" s="1"/>
  <c r="J3330" i="49"/>
  <c r="Q3330" i="49" s="1"/>
  <c r="J911" i="49"/>
  <c r="Q911" i="49" s="1"/>
  <c r="J5038" i="49"/>
  <c r="Q5038" i="49" s="1"/>
  <c r="J703" i="49"/>
  <c r="Q703" i="49" s="1"/>
  <c r="Q4648" i="49"/>
  <c r="J4648" i="49"/>
  <c r="Q3813" i="49"/>
  <c r="J3813" i="49"/>
  <c r="J3894" i="49"/>
  <c r="Q3894" i="49" s="1"/>
  <c r="J3893" i="49"/>
  <c r="Q3893" i="49"/>
  <c r="J3892" i="49"/>
  <c r="Q3892" i="49" s="1"/>
  <c r="J728" i="49"/>
  <c r="Q728" i="49" s="1"/>
  <c r="J1019" i="49"/>
  <c r="Q1019" i="49"/>
  <c r="J3610" i="49"/>
  <c r="Q3610" i="49" s="1"/>
  <c r="J2623" i="49"/>
  <c r="Q2623" i="49" s="1"/>
  <c r="J2045" i="49"/>
  <c r="Q2045" i="49" s="1"/>
  <c r="J3509" i="49"/>
  <c r="Q3509" i="49" s="1"/>
  <c r="J1858" i="49"/>
  <c r="Q1858" i="49" s="1"/>
  <c r="J1589" i="49"/>
  <c r="Q1589" i="49" s="1"/>
  <c r="J2462" i="49"/>
  <c r="Q2462" i="49" s="1"/>
  <c r="J3323" i="49"/>
  <c r="Q3323" i="49" s="1"/>
  <c r="Q4767" i="49"/>
  <c r="J4767" i="49"/>
  <c r="J3596" i="49"/>
  <c r="Q3596" i="49" s="1"/>
  <c r="J2726" i="49"/>
  <c r="Q2726" i="49" s="1"/>
  <c r="I41" i="25"/>
  <c r="E41" i="21"/>
  <c r="K41" i="18"/>
  <c r="G81" i="13"/>
  <c r="F64" i="22" s="1"/>
  <c r="F76" i="22" s="1"/>
  <c r="E77" i="14"/>
  <c r="G41" i="23"/>
  <c r="I41" i="23"/>
  <c r="F52" i="15"/>
  <c r="F45" i="15"/>
  <c r="F73" i="15"/>
  <c r="M2" i="15"/>
  <c r="J33" i="10"/>
  <c r="D10" i="4"/>
  <c r="G41" i="20"/>
  <c r="G41" i="28"/>
  <c r="I41" i="15"/>
  <c r="F41" i="19"/>
  <c r="H41" i="21"/>
  <c r="J41" i="20"/>
  <c r="I41" i="19"/>
  <c r="E41" i="19"/>
  <c r="K41" i="27"/>
  <c r="H41" i="20"/>
  <c r="K41" i="31"/>
  <c r="H77" i="13"/>
  <c r="G64" i="18" s="1"/>
  <c r="G76" i="18" s="1"/>
  <c r="F37" i="14"/>
  <c r="L22" i="16"/>
  <c r="L24" i="16" s="1"/>
  <c r="L21" i="16"/>
  <c r="L21" i="29"/>
  <c r="L22" i="29" s="1"/>
  <c r="L24" i="29" s="1"/>
  <c r="K41" i="24"/>
  <c r="E41" i="25"/>
  <c r="H41" i="22"/>
  <c r="G41" i="22"/>
  <c r="N21" i="26"/>
  <c r="N22" i="26" s="1"/>
  <c r="N24" i="26" s="1"/>
  <c r="N41" i="26" s="1"/>
  <c r="H45" i="15"/>
  <c r="H73" i="15"/>
  <c r="L33" i="10"/>
  <c r="I41" i="22"/>
  <c r="J41" i="31"/>
  <c r="L41" i="18"/>
  <c r="I74" i="13"/>
  <c r="H64" i="15" s="1"/>
  <c r="H76" i="15" s="1"/>
  <c r="G7" i="14"/>
  <c r="E41" i="22"/>
  <c r="J41" i="29"/>
  <c r="L21" i="23"/>
  <c r="L22" i="23" s="1"/>
  <c r="L24" i="23" s="1"/>
  <c r="K41" i="22"/>
  <c r="K41" i="21"/>
  <c r="H82" i="13"/>
  <c r="G64" i="23" s="1"/>
  <c r="G76" i="23" s="1"/>
  <c r="F87" i="14"/>
  <c r="M73" i="30"/>
  <c r="M45" i="30"/>
  <c r="Q48" i="10"/>
  <c r="E41" i="20"/>
  <c r="K41" i="20"/>
  <c r="J41" i="18"/>
  <c r="L21" i="24"/>
  <c r="L22" i="24" s="1"/>
  <c r="L24" i="24" s="1"/>
  <c r="F41" i="27"/>
  <c r="F50" i="27" s="1"/>
  <c r="G41" i="21"/>
  <c r="H41" i="19"/>
  <c r="M45" i="26"/>
  <c r="M73" i="26"/>
  <c r="Q44" i="10"/>
  <c r="H41" i="23"/>
  <c r="M21" i="20"/>
  <c r="M22" i="20" s="1"/>
  <c r="M24" i="20" s="1"/>
  <c r="K41" i="23"/>
  <c r="K45" i="15"/>
  <c r="K73" i="15"/>
  <c r="I41" i="27"/>
  <c r="L39" i="8"/>
  <c r="N39" i="20"/>
  <c r="K41" i="19"/>
  <c r="F41" i="25"/>
  <c r="I41" i="31"/>
  <c r="N34" i="21"/>
  <c r="N36" i="21"/>
  <c r="N23" i="21"/>
  <c r="O12" i="21"/>
  <c r="N38" i="21"/>
  <c r="N61" i="21"/>
  <c r="N29" i="21"/>
  <c r="N27" i="21"/>
  <c r="N14" i="21"/>
  <c r="N44" i="21"/>
  <c r="N16" i="21"/>
  <c r="N33" i="21"/>
  <c r="N31" i="21"/>
  <c r="N18" i="21"/>
  <c r="N35" i="21"/>
  <c r="N62" i="21"/>
  <c r="N13" i="21"/>
  <c r="N15" i="21"/>
  <c r="N37" i="21"/>
  <c r="N72" i="21"/>
  <c r="N30" i="21"/>
  <c r="N32" i="21"/>
  <c r="N17" i="21"/>
  <c r="N28" i="21"/>
  <c r="H41" i="25"/>
  <c r="M19" i="31"/>
  <c r="P32" i="26"/>
  <c r="P30" i="26"/>
  <c r="P17" i="26"/>
  <c r="P23" i="26"/>
  <c r="Q12" i="26"/>
  <c r="P38" i="26"/>
  <c r="P13" i="26"/>
  <c r="P33" i="26"/>
  <c r="P44" i="26"/>
  <c r="P28" i="26"/>
  <c r="P37" i="26"/>
  <c r="P27" i="26"/>
  <c r="P16" i="26"/>
  <c r="P36" i="26"/>
  <c r="P31" i="26"/>
  <c r="P14" i="26"/>
  <c r="P15" i="26"/>
  <c r="P35" i="26"/>
  <c r="P34" i="26"/>
  <c r="P18" i="26"/>
  <c r="P29" i="26"/>
  <c r="P72" i="26"/>
  <c r="P43" i="26"/>
  <c r="P60" i="26"/>
  <c r="P75" i="26"/>
  <c r="P47" i="26"/>
  <c r="P66" i="26"/>
  <c r="S104" i="13"/>
  <c r="P33" i="14"/>
  <c r="M20" i="15"/>
  <c r="M18" i="8"/>
  <c r="F41" i="18"/>
  <c r="I41" i="20"/>
  <c r="M16" i="8"/>
  <c r="G41" i="18"/>
  <c r="N34" i="31"/>
  <c r="N29" i="31"/>
  <c r="N17" i="31"/>
  <c r="O12" i="31"/>
  <c r="N15" i="31"/>
  <c r="N72" i="31"/>
  <c r="N38" i="31"/>
  <c r="N37" i="31"/>
  <c r="N35" i="31"/>
  <c r="N16" i="31"/>
  <c r="N30" i="31"/>
  <c r="N14" i="31"/>
  <c r="N27" i="31"/>
  <c r="N18" i="31"/>
  <c r="N31" i="31"/>
  <c r="N44" i="31"/>
  <c r="N28" i="31"/>
  <c r="N23" i="31"/>
  <c r="N33" i="31"/>
  <c r="N13" i="31"/>
  <c r="N36" i="31"/>
  <c r="N32" i="31"/>
  <c r="N47" i="31"/>
  <c r="N75" i="31"/>
  <c r="N66" i="31"/>
  <c r="N43" i="31"/>
  <c r="N60" i="31"/>
  <c r="K21" i="17"/>
  <c r="K22" i="17" s="1"/>
  <c r="K24" i="17" s="1"/>
  <c r="M29" i="8"/>
  <c r="H84" i="13"/>
  <c r="G64" i="25" s="1"/>
  <c r="G76" i="25" s="1"/>
  <c r="F107" i="14"/>
  <c r="G50" i="23"/>
  <c r="G41" i="25"/>
  <c r="N63" i="17"/>
  <c r="D84" i="14"/>
  <c r="G53" i="13" s="1"/>
  <c r="F48" i="22" s="1"/>
  <c r="E41" i="27"/>
  <c r="J41" i="25"/>
  <c r="M63" i="25"/>
  <c r="R4" i="14"/>
  <c r="Q71" i="14"/>
  <c r="Q52" i="14"/>
  <c r="T134" i="13" s="1"/>
  <c r="Q92" i="14"/>
  <c r="T138" i="13" s="1"/>
  <c r="Q72" i="14"/>
  <c r="T136" i="13" s="1"/>
  <c r="Q22" i="14"/>
  <c r="T131" i="13" s="1"/>
  <c r="Q11" i="14"/>
  <c r="Q132" i="14"/>
  <c r="T142" i="13" s="1"/>
  <c r="Q81" i="14"/>
  <c r="Q41" i="14"/>
  <c r="Q32" i="14"/>
  <c r="T132" i="13" s="1"/>
  <c r="Q131" i="14"/>
  <c r="Q112" i="14"/>
  <c r="T140" i="13" s="1"/>
  <c r="Q111" i="14"/>
  <c r="Q26" i="14"/>
  <c r="Q91" i="14"/>
  <c r="Q21" i="14"/>
  <c r="Q42" i="14"/>
  <c r="T133" i="13" s="1"/>
  <c r="Q31" i="14"/>
  <c r="Q82" i="14"/>
  <c r="T137" i="13" s="1"/>
  <c r="Q51" i="14"/>
  <c r="Q12" i="14"/>
  <c r="T130" i="13" s="1"/>
  <c r="Q86" i="14"/>
  <c r="Q106" i="14"/>
  <c r="Q156" i="14"/>
  <c r="Q46" i="14"/>
  <c r="Q6" i="14"/>
  <c r="Q66" i="14"/>
  <c r="Q146" i="14"/>
  <c r="Q166" i="14"/>
  <c r="Q96" i="14"/>
  <c r="Q76" i="14"/>
  <c r="Q136" i="14"/>
  <c r="Q16" i="14"/>
  <c r="Q116" i="14"/>
  <c r="Q36" i="14"/>
  <c r="Q126" i="14"/>
  <c r="Q56" i="14"/>
  <c r="E18" i="14"/>
  <c r="E19" i="14" s="1"/>
  <c r="E20" i="14" s="1"/>
  <c r="G52" i="15"/>
  <c r="G73" i="15"/>
  <c r="G77" i="15" s="1"/>
  <c r="G45" i="15"/>
  <c r="K33" i="10"/>
  <c r="H45" i="26"/>
  <c r="H73" i="26"/>
  <c r="L44" i="10"/>
  <c r="M36" i="8"/>
  <c r="M19" i="24"/>
  <c r="F41" i="31"/>
  <c r="F41" i="22"/>
  <c r="M82" i="16"/>
  <c r="M79" i="16"/>
  <c r="M80" i="16"/>
  <c r="M85" i="16"/>
  <c r="N37" i="27"/>
  <c r="N33" i="27"/>
  <c r="N29" i="27"/>
  <c r="N23" i="27"/>
  <c r="N15" i="27"/>
  <c r="N62" i="27"/>
  <c r="N30" i="27"/>
  <c r="N28" i="27"/>
  <c r="N72" i="27"/>
  <c r="N17" i="27"/>
  <c r="O12" i="27"/>
  <c r="N16" i="27"/>
  <c r="N38" i="27"/>
  <c r="N27" i="27"/>
  <c r="N14" i="27"/>
  <c r="N19" i="27" s="1"/>
  <c r="N36" i="27"/>
  <c r="N13" i="27"/>
  <c r="N34" i="27"/>
  <c r="N18" i="27"/>
  <c r="N44" i="27"/>
  <c r="N35" i="27"/>
  <c r="N31" i="27"/>
  <c r="N61" i="27"/>
  <c r="N32" i="27"/>
  <c r="M31" i="8"/>
  <c r="M33" i="8"/>
  <c r="M19" i="22"/>
  <c r="M20" i="22" s="1"/>
  <c r="L21" i="25"/>
  <c r="L22" i="25" s="1"/>
  <c r="L24" i="25" s="1"/>
  <c r="M81" i="8"/>
  <c r="M83" i="8"/>
  <c r="M79" i="8"/>
  <c r="M86" i="8"/>
  <c r="F22" i="29"/>
  <c r="F24" i="29" s="1"/>
  <c r="E22" i="29"/>
  <c r="E24" i="29" s="1"/>
  <c r="M39" i="21"/>
  <c r="O19" i="26"/>
  <c r="O20" i="26" s="1"/>
  <c r="I22" i="28"/>
  <c r="I24" i="28" s="1"/>
  <c r="N19" i="17"/>
  <c r="N20" i="17" s="1"/>
  <c r="O36" i="20"/>
  <c r="P12" i="20"/>
  <c r="O38" i="20"/>
  <c r="O27" i="20"/>
  <c r="O23" i="20"/>
  <c r="O14" i="20"/>
  <c r="O44" i="20"/>
  <c r="O31" i="20"/>
  <c r="O29" i="20"/>
  <c r="O16" i="20"/>
  <c r="O18" i="20"/>
  <c r="O35" i="20"/>
  <c r="O33" i="20"/>
  <c r="O72" i="20"/>
  <c r="O32" i="20"/>
  <c r="O37" i="20"/>
  <c r="O13" i="20"/>
  <c r="O30" i="20"/>
  <c r="O17" i="20"/>
  <c r="O15" i="20"/>
  <c r="O28" i="20"/>
  <c r="O34" i="20"/>
  <c r="O47" i="20"/>
  <c r="O66" i="20"/>
  <c r="O43" i="20"/>
  <c r="O75" i="20"/>
  <c r="O60" i="20"/>
  <c r="M19" i="28"/>
  <c r="M20" i="28" s="1"/>
  <c r="I45" i="30"/>
  <c r="I73" i="30"/>
  <c r="M48" i="10"/>
  <c r="N62" i="16"/>
  <c r="N36" i="16"/>
  <c r="N32" i="16"/>
  <c r="N28" i="16"/>
  <c r="N18" i="16"/>
  <c r="N14" i="16"/>
  <c r="N37" i="16"/>
  <c r="N33" i="16"/>
  <c r="N29" i="16"/>
  <c r="N23" i="16"/>
  <c r="N15" i="16"/>
  <c r="N72" i="16"/>
  <c r="O12" i="16"/>
  <c r="N38" i="16"/>
  <c r="N30" i="16"/>
  <c r="N31" i="16"/>
  <c r="N13" i="16"/>
  <c r="N17" i="16"/>
  <c r="N35" i="16"/>
  <c r="N34" i="16"/>
  <c r="N27" i="16"/>
  <c r="N61" i="16"/>
  <c r="N16" i="16"/>
  <c r="N44" i="16"/>
  <c r="M37" i="8"/>
  <c r="E114" i="14"/>
  <c r="H56" i="13" s="1"/>
  <c r="G48" i="25" s="1"/>
  <c r="E74" i="14"/>
  <c r="H52" i="13" s="1"/>
  <c r="G48" i="21" s="1"/>
  <c r="K45" i="30"/>
  <c r="K73" i="30"/>
  <c r="O48" i="10"/>
  <c r="G73" i="30"/>
  <c r="K48" i="10"/>
  <c r="G45" i="30"/>
  <c r="S34" i="13"/>
  <c r="E44" i="14"/>
  <c r="H49" i="13" s="1"/>
  <c r="G48" i="18" s="1"/>
  <c r="M20" i="31"/>
  <c r="I22" i="29"/>
  <c r="I24" i="29" s="1"/>
  <c r="G21" i="17"/>
  <c r="G22" i="17" s="1"/>
  <c r="G24" i="17" s="1"/>
  <c r="F73" i="26"/>
  <c r="F45" i="26"/>
  <c r="J44" i="10"/>
  <c r="M2" i="26"/>
  <c r="D21" i="4"/>
  <c r="F76" i="16"/>
  <c r="O39" i="30"/>
  <c r="F28" i="14"/>
  <c r="F29" i="14" s="1"/>
  <c r="F30" i="14" s="1"/>
  <c r="L21" i="31"/>
  <c r="L22" i="31" s="1"/>
  <c r="L24" i="31" s="1"/>
  <c r="M39" i="31"/>
  <c r="O79" i="26"/>
  <c r="O85" i="26"/>
  <c r="O80" i="26"/>
  <c r="O82" i="26"/>
  <c r="H41" i="18"/>
  <c r="S106" i="13"/>
  <c r="P53" i="14"/>
  <c r="H21" i="17"/>
  <c r="H22" i="17" s="1"/>
  <c r="H24" i="17" s="1"/>
  <c r="I21" i="16"/>
  <c r="G21" i="16"/>
  <c r="K21" i="28"/>
  <c r="K22" i="28" s="1"/>
  <c r="K24" i="28" s="1"/>
  <c r="M39" i="16"/>
  <c r="M27" i="8"/>
  <c r="M19" i="16"/>
  <c r="M14" i="8"/>
  <c r="G22" i="29"/>
  <c r="G24" i="29" s="1"/>
  <c r="M85" i="21"/>
  <c r="M80" i="21"/>
  <c r="M82" i="21"/>
  <c r="M79" i="21"/>
  <c r="M63" i="21"/>
  <c r="M20" i="19"/>
  <c r="M79" i="19"/>
  <c r="M80" i="19"/>
  <c r="M85" i="19"/>
  <c r="M82" i="19"/>
  <c r="L19" i="8"/>
  <c r="L20" i="8" s="1"/>
  <c r="M63" i="23"/>
  <c r="H22" i="29"/>
  <c r="H24" i="29" s="1"/>
  <c r="M80" i="25"/>
  <c r="M79" i="25"/>
  <c r="M82" i="25"/>
  <c r="M85" i="25"/>
  <c r="P73" i="14"/>
  <c r="S108" i="13"/>
  <c r="M63" i="15"/>
  <c r="E45" i="24"/>
  <c r="E73" i="24"/>
  <c r="I42" i="10"/>
  <c r="K45" i="26"/>
  <c r="K73" i="26"/>
  <c r="O44" i="10"/>
  <c r="N61" i="23"/>
  <c r="N35" i="23"/>
  <c r="N31" i="23"/>
  <c r="N27" i="23"/>
  <c r="N17" i="23"/>
  <c r="N13" i="23"/>
  <c r="N37" i="23"/>
  <c r="N32" i="23"/>
  <c r="N30" i="23"/>
  <c r="N34" i="23"/>
  <c r="N18" i="23"/>
  <c r="N62" i="23"/>
  <c r="N29" i="23"/>
  <c r="N38" i="23"/>
  <c r="N33" i="23"/>
  <c r="N28" i="23"/>
  <c r="O12" i="23"/>
  <c r="N44" i="23"/>
  <c r="N23" i="23"/>
  <c r="N36" i="23"/>
  <c r="N16" i="23"/>
  <c r="N14" i="23"/>
  <c r="N15" i="23"/>
  <c r="N72" i="23"/>
  <c r="E41" i="28"/>
  <c r="M21" i="25"/>
  <c r="M22" i="25" s="1"/>
  <c r="M24" i="25" s="1"/>
  <c r="P13" i="14"/>
  <c r="S102" i="13"/>
  <c r="F41" i="20"/>
  <c r="J41" i="23"/>
  <c r="J73" i="24"/>
  <c r="J45" i="24"/>
  <c r="N42" i="10"/>
  <c r="M39" i="27"/>
  <c r="M39" i="24"/>
  <c r="J22" i="28"/>
  <c r="J24" i="28" s="1"/>
  <c r="M21" i="17"/>
  <c r="M22" i="17" s="1"/>
  <c r="M24" i="17" s="1"/>
  <c r="N21" i="30"/>
  <c r="N22" i="30" s="1"/>
  <c r="N24" i="30" s="1"/>
  <c r="N41" i="30" s="1"/>
  <c r="J21" i="16"/>
  <c r="J22" i="16" s="1"/>
  <c r="J24" i="16" s="1"/>
  <c r="M63" i="16"/>
  <c r="M28" i="8"/>
  <c r="O12" i="22"/>
  <c r="N72" i="22"/>
  <c r="N34" i="22"/>
  <c r="N36" i="22"/>
  <c r="N61" i="22"/>
  <c r="N38" i="22"/>
  <c r="N27" i="22"/>
  <c r="N23" i="22"/>
  <c r="N14" i="22"/>
  <c r="N44" i="22"/>
  <c r="N31" i="22"/>
  <c r="N29" i="22"/>
  <c r="N16" i="22"/>
  <c r="N18" i="22"/>
  <c r="N35" i="22"/>
  <c r="N15" i="22"/>
  <c r="N32" i="22"/>
  <c r="N13" i="22"/>
  <c r="N62" i="22"/>
  <c r="N33" i="22"/>
  <c r="N17" i="22"/>
  <c r="N37" i="22"/>
  <c r="N30" i="22"/>
  <c r="N28" i="22"/>
  <c r="I21" i="17"/>
  <c r="I22" i="17"/>
  <c r="I24" i="17" s="1"/>
  <c r="E45" i="30"/>
  <c r="E73" i="30"/>
  <c r="I48" i="10"/>
  <c r="M19" i="23"/>
  <c r="M82" i="29"/>
  <c r="M80" i="29"/>
  <c r="M79" i="29"/>
  <c r="M85" i="29"/>
  <c r="F21" i="16"/>
  <c r="F22" i="16"/>
  <c r="F24" i="16" s="1"/>
  <c r="P43" i="14"/>
  <c r="S105" i="13"/>
  <c r="E21" i="16"/>
  <c r="E22" i="16" s="1"/>
  <c r="E24" i="16" s="1"/>
  <c r="G45" i="24"/>
  <c r="G73" i="24"/>
  <c r="K42" i="10"/>
  <c r="J21" i="17"/>
  <c r="J22" i="17" s="1"/>
  <c r="J24" i="17" s="1"/>
  <c r="E41" i="18"/>
  <c r="M80" i="28"/>
  <c r="M85" i="28"/>
  <c r="M82" i="28"/>
  <c r="M79" i="28"/>
  <c r="J45" i="15"/>
  <c r="J73" i="15"/>
  <c r="N33" i="10"/>
  <c r="J41" i="22"/>
  <c r="L21" i="27"/>
  <c r="L22" i="27"/>
  <c r="L24" i="27" s="1"/>
  <c r="H9" i="52"/>
  <c r="H108" i="49"/>
  <c r="G41" i="19"/>
  <c r="M19" i="19"/>
  <c r="M79" i="31"/>
  <c r="M80" i="31"/>
  <c r="M82" i="31"/>
  <c r="M85" i="31"/>
  <c r="E41" i="31"/>
  <c r="M80" i="23"/>
  <c r="M82" i="23"/>
  <c r="M85" i="23"/>
  <c r="M79" i="23"/>
  <c r="G41" i="27"/>
  <c r="N72" i="29"/>
  <c r="N30" i="29"/>
  <c r="N23" i="29"/>
  <c r="N18" i="29"/>
  <c r="N13" i="29"/>
  <c r="N38" i="29"/>
  <c r="N33" i="29"/>
  <c r="N28" i="29"/>
  <c r="N15" i="29"/>
  <c r="N37" i="29"/>
  <c r="N34" i="29"/>
  <c r="N17" i="29"/>
  <c r="N14" i="29"/>
  <c r="N36" i="29"/>
  <c r="N31" i="29"/>
  <c r="N44" i="29"/>
  <c r="N27" i="29"/>
  <c r="N16" i="29"/>
  <c r="N35" i="29"/>
  <c r="N32" i="29"/>
  <c r="N29" i="29"/>
  <c r="O12" i="29"/>
  <c r="N43" i="29"/>
  <c r="N66" i="29"/>
  <c r="N60" i="29"/>
  <c r="N75" i="29"/>
  <c r="N47" i="29"/>
  <c r="E45" i="26"/>
  <c r="E73" i="26"/>
  <c r="I44" i="10"/>
  <c r="F41" i="28"/>
  <c r="H73" i="30"/>
  <c r="H45" i="30"/>
  <c r="L48" i="10"/>
  <c r="M2" i="30"/>
  <c r="L41" i="17"/>
  <c r="L21" i="21"/>
  <c r="L22" i="21" s="1"/>
  <c r="L24" i="21" s="1"/>
  <c r="H73" i="24"/>
  <c r="H45" i="24"/>
  <c r="L42" i="10"/>
  <c r="F73" i="24"/>
  <c r="F45" i="24"/>
  <c r="J42" i="10"/>
  <c r="D19" i="4"/>
  <c r="M2" i="24"/>
  <c r="J73" i="26"/>
  <c r="J45" i="26"/>
  <c r="N44" i="10"/>
  <c r="M20" i="24"/>
  <c r="J41" i="27"/>
  <c r="J91" i="49"/>
  <c r="Q91" i="49" s="1"/>
  <c r="G50" i="19"/>
  <c r="I41" i="18"/>
  <c r="J41" i="19"/>
  <c r="H41" i="28"/>
  <c r="S110" i="13"/>
  <c r="P93" i="14"/>
  <c r="S103" i="13"/>
  <c r="P23" i="14"/>
  <c r="J73" i="30"/>
  <c r="J45" i="30"/>
  <c r="N48" i="10"/>
  <c r="K41" i="16"/>
  <c r="J41" i="21"/>
  <c r="M34" i="8"/>
  <c r="F21" i="17"/>
  <c r="F22" i="17" s="1"/>
  <c r="F24" i="17" s="1"/>
  <c r="I41" i="21"/>
  <c r="M39" i="28"/>
  <c r="O80" i="30"/>
  <c r="O79" i="30"/>
  <c r="O82" i="30"/>
  <c r="O85" i="30"/>
  <c r="L21" i="15"/>
  <c r="L22" i="15" s="1"/>
  <c r="L24" i="15" s="1"/>
  <c r="L41" i="15" s="1"/>
  <c r="I45" i="24"/>
  <c r="I73" i="24"/>
  <c r="M42" i="10"/>
  <c r="M39" i="23"/>
  <c r="M19" i="29"/>
  <c r="M20" i="29" s="1"/>
  <c r="F14" i="14"/>
  <c r="I46" i="13" s="1"/>
  <c r="H48" i="15" s="1"/>
  <c r="H50" i="15" s="1"/>
  <c r="M39" i="25"/>
  <c r="N72" i="15"/>
  <c r="O12" i="15"/>
  <c r="N44" i="15"/>
  <c r="N38" i="15"/>
  <c r="N34" i="15"/>
  <c r="N30" i="15"/>
  <c r="N16" i="15"/>
  <c r="N61" i="15"/>
  <c r="N63" i="15" s="1"/>
  <c r="N35" i="15"/>
  <c r="N31" i="15"/>
  <c r="N27" i="15"/>
  <c r="N17" i="15"/>
  <c r="N13" i="15"/>
  <c r="N36" i="15"/>
  <c r="N29" i="15"/>
  <c r="N15" i="15"/>
  <c r="N32" i="15"/>
  <c r="N18" i="15"/>
  <c r="N62" i="15"/>
  <c r="N14" i="15"/>
  <c r="N37" i="15"/>
  <c r="N28" i="15"/>
  <c r="N33" i="15"/>
  <c r="N23" i="15"/>
  <c r="I45" i="26"/>
  <c r="I73" i="26"/>
  <c r="M44" i="10"/>
  <c r="N79" i="17"/>
  <c r="N85" i="17"/>
  <c r="N80" i="17"/>
  <c r="N82" i="17"/>
  <c r="L21" i="22"/>
  <c r="L22" i="22" s="1"/>
  <c r="L24" i="22" s="1"/>
  <c r="E41" i="15"/>
  <c r="O61" i="17"/>
  <c r="O35" i="17"/>
  <c r="O31" i="17"/>
  <c r="O27" i="17"/>
  <c r="O17" i="17"/>
  <c r="O13" i="17"/>
  <c r="O62" i="17"/>
  <c r="O36" i="17"/>
  <c r="O32" i="17"/>
  <c r="O28" i="17"/>
  <c r="O18" i="17"/>
  <c r="O14" i="17"/>
  <c r="O38" i="17"/>
  <c r="O30" i="17"/>
  <c r="O33" i="17"/>
  <c r="O23" i="17"/>
  <c r="O15" i="17"/>
  <c r="O37" i="17"/>
  <c r="O72" i="17"/>
  <c r="P12" i="17"/>
  <c r="O44" i="17"/>
  <c r="O16" i="17"/>
  <c r="O29" i="17"/>
  <c r="O34" i="17"/>
  <c r="G41" i="31"/>
  <c r="H41" i="31"/>
  <c r="M15" i="8"/>
  <c r="P34" i="30"/>
  <c r="Q12" i="30"/>
  <c r="P44" i="30"/>
  <c r="P35" i="30"/>
  <c r="P14" i="30"/>
  <c r="P72" i="30"/>
  <c r="P16" i="30"/>
  <c r="P13" i="30"/>
  <c r="P38" i="30"/>
  <c r="P29" i="30"/>
  <c r="P28" i="30"/>
  <c r="P18" i="30"/>
  <c r="P17" i="30"/>
  <c r="P30" i="30"/>
  <c r="P37" i="30"/>
  <c r="P36" i="30"/>
  <c r="P32" i="30"/>
  <c r="P31" i="30"/>
  <c r="P33" i="30"/>
  <c r="P15" i="30"/>
  <c r="P27" i="30"/>
  <c r="P23" i="30"/>
  <c r="P66" i="30"/>
  <c r="P75" i="30"/>
  <c r="P60" i="30"/>
  <c r="P47" i="30"/>
  <c r="P43" i="30"/>
  <c r="K73" i="25"/>
  <c r="K45" i="25"/>
  <c r="O43" i="10"/>
  <c r="E41" i="23"/>
  <c r="F48" i="14"/>
  <c r="F49" i="14"/>
  <c r="F50" i="14" s="1"/>
  <c r="M19" i="27"/>
  <c r="M20" i="27" s="1"/>
  <c r="M85" i="27"/>
  <c r="M82" i="27"/>
  <c r="M79" i="27"/>
  <c r="M80" i="27"/>
  <c r="H21" i="16"/>
  <c r="H21" i="8" s="1"/>
  <c r="H22" i="8" s="1"/>
  <c r="H24" i="8" s="1"/>
  <c r="H22" i="16"/>
  <c r="H24" i="16" s="1"/>
  <c r="M32" i="8"/>
  <c r="K5" i="52"/>
  <c r="D5079" i="49"/>
  <c r="D5083" i="49"/>
  <c r="D5084" i="49"/>
  <c r="D5081" i="49"/>
  <c r="D5071" i="49"/>
  <c r="D5077" i="49"/>
  <c r="D5075" i="49"/>
  <c r="D5085" i="49"/>
  <c r="D5072" i="49"/>
  <c r="D5080" i="49"/>
  <c r="D5074" i="49"/>
  <c r="D5086" i="49"/>
  <c r="D5073" i="49"/>
  <c r="D4798" i="49"/>
  <c r="D4795" i="49"/>
  <c r="D4785" i="49"/>
  <c r="D4782" i="49"/>
  <c r="D4792" i="49"/>
  <c r="D4789" i="49"/>
  <c r="D5078" i="49"/>
  <c r="D5087" i="49"/>
  <c r="D4793" i="49"/>
  <c r="D4791" i="49"/>
  <c r="D4797" i="49"/>
  <c r="D4786" i="49"/>
  <c r="D4784" i="49"/>
  <c r="D4507" i="49"/>
  <c r="D4501" i="49"/>
  <c r="D4495" i="49"/>
  <c r="D4788" i="49"/>
  <c r="D4506" i="49"/>
  <c r="D4503" i="49"/>
  <c r="D4493" i="49"/>
  <c r="D4215" i="49"/>
  <c r="D4209" i="49"/>
  <c r="D5076" i="49"/>
  <c r="D4794" i="49"/>
  <c r="D4500" i="49"/>
  <c r="D4497" i="49"/>
  <c r="D5082" i="49"/>
  <c r="D4218" i="49"/>
  <c r="D4208" i="49"/>
  <c r="D4205" i="49"/>
  <c r="D4505" i="49"/>
  <c r="D4494" i="49"/>
  <c r="D4212" i="49"/>
  <c r="D3928" i="49"/>
  <c r="D3922" i="49"/>
  <c r="D3916" i="49"/>
  <c r="D4783" i="49"/>
  <c r="D4509" i="49"/>
  <c r="D4498" i="49"/>
  <c r="D4496" i="49"/>
  <c r="D4790" i="49"/>
  <c r="D4210" i="49"/>
  <c r="D4796" i="49"/>
  <c r="D4502" i="49"/>
  <c r="D4216" i="49"/>
  <c r="D3929" i="49"/>
  <c r="D3919" i="49"/>
  <c r="D3638" i="49"/>
  <c r="D3632" i="49"/>
  <c r="D3626" i="49"/>
  <c r="D3350" i="49"/>
  <c r="D3344" i="49"/>
  <c r="D3338" i="49"/>
  <c r="D4508" i="49"/>
  <c r="D4499" i="49"/>
  <c r="D4207" i="49"/>
  <c r="D4787" i="49"/>
  <c r="D4204" i="49"/>
  <c r="D4504" i="49"/>
  <c r="D4206" i="49"/>
  <c r="D3930" i="49"/>
  <c r="D3925" i="49"/>
  <c r="D3923" i="49"/>
  <c r="D3918" i="49"/>
  <c r="D4213" i="49"/>
  <c r="D3639" i="49"/>
  <c r="D4217" i="49"/>
  <c r="D3931" i="49"/>
  <c r="D3927" i="49"/>
  <c r="D3635" i="49"/>
  <c r="D3631" i="49"/>
  <c r="D3627" i="49"/>
  <c r="D3640" i="49"/>
  <c r="D3351" i="49"/>
  <c r="D4211" i="49"/>
  <c r="D3636" i="49"/>
  <c r="D3347" i="49"/>
  <c r="D3641" i="49"/>
  <c r="D4220" i="49"/>
  <c r="D3630" i="49"/>
  <c r="D3346" i="49"/>
  <c r="D3352" i="49"/>
  <c r="D3349" i="49"/>
  <c r="D3915" i="49"/>
  <c r="D3634" i="49"/>
  <c r="D3341" i="49"/>
  <c r="D3064" i="49"/>
  <c r="D3058" i="49"/>
  <c r="D3052" i="49"/>
  <c r="D2770" i="49"/>
  <c r="D2764" i="49"/>
  <c r="D4219" i="49"/>
  <c r="D3924" i="49"/>
  <c r="D3629" i="49"/>
  <c r="D3337" i="49"/>
  <c r="D3353" i="49"/>
  <c r="D3055" i="49"/>
  <c r="D3920" i="49"/>
  <c r="D3062" i="49"/>
  <c r="D3059" i="49"/>
  <c r="D3049" i="49"/>
  <c r="D3633" i="49"/>
  <c r="D3343" i="49"/>
  <c r="D4214" i="49"/>
  <c r="D3628" i="49"/>
  <c r="D3063" i="49"/>
  <c r="D3056" i="49"/>
  <c r="D3051" i="49"/>
  <c r="D2485" i="49"/>
  <c r="D2479" i="49"/>
  <c r="D2473" i="49"/>
  <c r="D3348" i="49"/>
  <c r="D3340" i="49"/>
  <c r="D3921" i="49"/>
  <c r="D3642" i="49"/>
  <c r="D3061" i="49"/>
  <c r="D3054" i="49"/>
  <c r="D2763" i="49"/>
  <c r="D2486" i="49"/>
  <c r="D2480" i="49"/>
  <c r="D2474" i="49"/>
  <c r="D2192" i="49"/>
  <c r="D2186" i="49"/>
  <c r="D1904" i="49"/>
  <c r="D1898" i="49"/>
  <c r="D1892" i="49"/>
  <c r="D3339" i="49"/>
  <c r="D2773" i="49"/>
  <c r="D2481" i="49"/>
  <c r="D2475" i="49"/>
  <c r="D2193" i="49"/>
  <c r="D2187" i="49"/>
  <c r="D2181" i="49"/>
  <c r="D1905" i="49"/>
  <c r="D1899" i="49"/>
  <c r="D1893" i="49"/>
  <c r="D2771" i="49"/>
  <c r="D2766" i="49"/>
  <c r="D2759" i="49"/>
  <c r="D2189" i="49"/>
  <c r="D1906" i="49"/>
  <c r="D1896" i="49"/>
  <c r="D3053" i="49"/>
  <c r="D3050" i="49"/>
  <c r="D2774" i="49"/>
  <c r="D2768" i="49"/>
  <c r="D2472" i="49"/>
  <c r="D2470" i="49"/>
  <c r="D2196" i="49"/>
  <c r="D2183" i="49"/>
  <c r="D1903" i="49"/>
  <c r="D1900" i="49"/>
  <c r="D2765" i="49"/>
  <c r="D2762" i="49"/>
  <c r="D2483" i="49"/>
  <c r="D3345" i="49"/>
  <c r="D2477" i="49"/>
  <c r="D2190" i="49"/>
  <c r="D1907" i="49"/>
  <c r="D1897" i="49"/>
  <c r="D1894" i="49"/>
  <c r="D3342" i="49"/>
  <c r="D2775" i="49"/>
  <c r="D2760" i="49"/>
  <c r="D2482" i="49"/>
  <c r="D2195" i="49"/>
  <c r="D3057" i="49"/>
  <c r="D3926" i="49"/>
  <c r="D2769" i="49"/>
  <c r="D2194" i="49"/>
  <c r="D2182" i="49"/>
  <c r="D1895" i="49"/>
  <c r="D2767" i="49"/>
  <c r="D3048" i="49"/>
  <c r="D2471" i="49"/>
  <c r="D1908" i="49"/>
  <c r="D1901" i="49"/>
  <c r="D1607" i="49"/>
  <c r="D1603" i="49"/>
  <c r="D2761" i="49"/>
  <c r="D3917" i="49"/>
  <c r="D3060" i="49"/>
  <c r="D2478" i="49"/>
  <c r="D2188" i="49"/>
  <c r="D1619" i="49"/>
  <c r="D1315" i="49"/>
  <c r="D1902" i="49"/>
  <c r="D1611" i="49"/>
  <c r="D1328" i="49"/>
  <c r="D1324" i="49"/>
  <c r="D2476" i="49"/>
  <c r="D1617" i="49"/>
  <c r="D1614" i="49"/>
  <c r="D1320" i="49"/>
  <c r="D2197" i="49"/>
  <c r="D1606" i="49"/>
  <c r="D1329" i="49"/>
  <c r="D1316" i="49"/>
  <c r="D1036" i="49"/>
  <c r="D1030" i="49"/>
  <c r="D748" i="49"/>
  <c r="D742" i="49"/>
  <c r="D736" i="49"/>
  <c r="D2484" i="49"/>
  <c r="D2191" i="49"/>
  <c r="D1610" i="49"/>
  <c r="D2185" i="49"/>
  <c r="D1615" i="49"/>
  <c r="D1612" i="49"/>
  <c r="D2772" i="49"/>
  <c r="D1618" i="49"/>
  <c r="D1608" i="49"/>
  <c r="D1605" i="49"/>
  <c r="D1035" i="49"/>
  <c r="D1032" i="49"/>
  <c r="D1322" i="49"/>
  <c r="D2184" i="49"/>
  <c r="D1604" i="49"/>
  <c r="D1326" i="49"/>
  <c r="D1039" i="49"/>
  <c r="D1029" i="49"/>
  <c r="D1026" i="49"/>
  <c r="D462" i="49"/>
  <c r="D456" i="49"/>
  <c r="D450" i="49"/>
  <c r="D1330" i="49"/>
  <c r="D747" i="49"/>
  <c r="D744" i="49"/>
  <c r="D1613" i="49"/>
  <c r="D1323" i="49"/>
  <c r="D1325" i="49"/>
  <c r="D1037" i="49"/>
  <c r="D750" i="49"/>
  <c r="D743" i="49"/>
  <c r="D463" i="49"/>
  <c r="D459" i="49"/>
  <c r="D741" i="49"/>
  <c r="D455" i="49"/>
  <c r="D451" i="49"/>
  <c r="D447" i="49"/>
  <c r="D3637" i="49"/>
  <c r="D452" i="49"/>
  <c r="D1327" i="49"/>
  <c r="D1314" i="49"/>
  <c r="D738" i="49"/>
  <c r="D161" i="49"/>
  <c r="B161" i="50" s="1"/>
  <c r="D1318" i="49"/>
  <c r="D1031" i="49"/>
  <c r="D1027" i="49"/>
  <c r="D174" i="49"/>
  <c r="B174" i="50" s="1"/>
  <c r="D169" i="49"/>
  <c r="B169" i="50" s="1"/>
  <c r="D1317" i="49"/>
  <c r="D1038" i="49"/>
  <c r="D1034" i="49"/>
  <c r="D749" i="49"/>
  <c r="D461" i="49"/>
  <c r="D164" i="49"/>
  <c r="B164" i="50" s="1"/>
  <c r="D1609" i="49"/>
  <c r="D746" i="49"/>
  <c r="D737" i="49"/>
  <c r="D740" i="49"/>
  <c r="D454" i="49"/>
  <c r="D162" i="49"/>
  <c r="B162" i="50" s="1"/>
  <c r="D1025" i="49"/>
  <c r="D745" i="49"/>
  <c r="D173" i="49"/>
  <c r="B173" i="50" s="1"/>
  <c r="D167" i="49"/>
  <c r="B167" i="50" s="1"/>
  <c r="D165" i="49"/>
  <c r="B165" i="50" s="1"/>
  <c r="D458" i="49"/>
  <c r="D171" i="49"/>
  <c r="B171" i="50" s="1"/>
  <c r="D1321" i="49"/>
  <c r="D1319" i="49"/>
  <c r="D457" i="49"/>
  <c r="D453" i="49"/>
  <c r="D158" i="49"/>
  <c r="B158" i="50" s="1"/>
  <c r="D1040" i="49"/>
  <c r="D752" i="49"/>
  <c r="D449" i="49"/>
  <c r="D172" i="49"/>
  <c r="B172" i="50" s="1"/>
  <c r="D160" i="49"/>
  <c r="B160" i="50" s="1"/>
  <c r="D448" i="49"/>
  <c r="D1616" i="49"/>
  <c r="D166" i="49"/>
  <c r="B166" i="50" s="1"/>
  <c r="D751" i="49"/>
  <c r="D1033" i="49"/>
  <c r="D739" i="49"/>
  <c r="D460" i="49"/>
  <c r="D168" i="49"/>
  <c r="B168" i="50" s="1"/>
  <c r="D163" i="49"/>
  <c r="B163" i="50" s="1"/>
  <c r="D170" i="49"/>
  <c r="B170" i="50" s="1"/>
  <c r="D1028" i="49"/>
  <c r="D159" i="49"/>
  <c r="B159" i="50" s="1"/>
  <c r="D1041" i="49"/>
  <c r="N72" i="8"/>
  <c r="N47" i="8"/>
  <c r="O12" i="8"/>
  <c r="N43" i="8"/>
  <c r="L21" i="28"/>
  <c r="L22" i="28"/>
  <c r="L24" i="28" s="1"/>
  <c r="N80" i="20"/>
  <c r="N85" i="20"/>
  <c r="N82" i="20"/>
  <c r="N79" i="20"/>
  <c r="N15" i="28"/>
  <c r="N32" i="28"/>
  <c r="N30" i="28"/>
  <c r="N17" i="28"/>
  <c r="N36" i="28"/>
  <c r="N34" i="28"/>
  <c r="N35" i="28"/>
  <c r="N33" i="28"/>
  <c r="N72" i="28"/>
  <c r="N31" i="28"/>
  <c r="N18" i="28"/>
  <c r="N16" i="28"/>
  <c r="N27" i="28"/>
  <c r="N14" i="28"/>
  <c r="N44" i="28"/>
  <c r="N38" i="28"/>
  <c r="N29" i="28"/>
  <c r="N13" i="28"/>
  <c r="N23" i="28"/>
  <c r="O12" i="28"/>
  <c r="N37" i="28"/>
  <c r="N28" i="28"/>
  <c r="N60" i="28"/>
  <c r="N75" i="28"/>
  <c r="N47" i="28"/>
  <c r="N43" i="28"/>
  <c r="N66" i="28"/>
  <c r="H80" i="13"/>
  <c r="G64" i="21" s="1"/>
  <c r="G76" i="21" s="1"/>
  <c r="F67" i="14"/>
  <c r="M44" i="8"/>
  <c r="I11" i="52"/>
  <c r="H127" i="49"/>
  <c r="M63" i="27"/>
  <c r="N39" i="17"/>
  <c r="L21" i="19"/>
  <c r="L22" i="19"/>
  <c r="L24" i="19" s="1"/>
  <c r="N44" i="24"/>
  <c r="N38" i="24"/>
  <c r="N34" i="24"/>
  <c r="N30" i="24"/>
  <c r="N16" i="24"/>
  <c r="N37" i="24"/>
  <c r="N13" i="24"/>
  <c r="N72" i="24"/>
  <c r="N32" i="24"/>
  <c r="N27" i="24"/>
  <c r="N36" i="24"/>
  <c r="N31" i="24"/>
  <c r="N15" i="24"/>
  <c r="N35" i="24"/>
  <c r="N18" i="24"/>
  <c r="N33" i="24"/>
  <c r="N28" i="24"/>
  <c r="N29" i="24"/>
  <c r="N17" i="24"/>
  <c r="N23" i="24"/>
  <c r="O12" i="24"/>
  <c r="N14" i="24"/>
  <c r="N75" i="24"/>
  <c r="N60" i="24"/>
  <c r="N47" i="24"/>
  <c r="N66" i="24"/>
  <c r="N43" i="24"/>
  <c r="F45" i="30"/>
  <c r="F73" i="30"/>
  <c r="J48" i="10"/>
  <c r="D25" i="4"/>
  <c r="M20" i="16"/>
  <c r="M13" i="8"/>
  <c r="H41" i="27"/>
  <c r="O19" i="30"/>
  <c r="O20" i="30" s="1"/>
  <c r="F41" i="23"/>
  <c r="M63" i="19"/>
  <c r="F41" i="21"/>
  <c r="G73" i="26"/>
  <c r="G45" i="26"/>
  <c r="K44" i="10"/>
  <c r="M20" i="23"/>
  <c r="O39" i="26"/>
  <c r="E21" i="17"/>
  <c r="E22" i="17" s="1"/>
  <c r="E24" i="17" s="1"/>
  <c r="S114" i="13"/>
  <c r="P133" i="14"/>
  <c r="S109" i="13"/>
  <c r="P83" i="14"/>
  <c r="M39" i="15"/>
  <c r="M82" i="15"/>
  <c r="M79" i="15"/>
  <c r="M85" i="15"/>
  <c r="M80" i="15"/>
  <c r="L41" i="20"/>
  <c r="M80" i="24"/>
  <c r="M85" i="24"/>
  <c r="M79" i="24"/>
  <c r="M82" i="24"/>
  <c r="N19" i="20"/>
  <c r="N20" i="20" s="1"/>
  <c r="K45" i="29"/>
  <c r="K73" i="29"/>
  <c r="O47" i="10"/>
  <c r="M38" i="8"/>
  <c r="M23" i="8"/>
  <c r="M79" i="22"/>
  <c r="M82" i="22"/>
  <c r="M85" i="22"/>
  <c r="M80" i="22"/>
  <c r="M20" i="21"/>
  <c r="N72" i="19"/>
  <c r="N36" i="19"/>
  <c r="N34" i="19"/>
  <c r="N23" i="19"/>
  <c r="O12" i="19"/>
  <c r="N61" i="19"/>
  <c r="N38" i="19"/>
  <c r="N27" i="19"/>
  <c r="N14" i="19"/>
  <c r="N29" i="19"/>
  <c r="N44" i="19"/>
  <c r="N31" i="19"/>
  <c r="N18" i="19"/>
  <c r="N16" i="19"/>
  <c r="N30" i="19"/>
  <c r="N17" i="19"/>
  <c r="N35" i="19"/>
  <c r="N28" i="19"/>
  <c r="N33" i="19"/>
  <c r="N13" i="19"/>
  <c r="N15" i="19"/>
  <c r="N37" i="19"/>
  <c r="N62" i="19"/>
  <c r="N32" i="19"/>
  <c r="J110" i="49"/>
  <c r="Q110" i="49" s="1"/>
  <c r="N62" i="25"/>
  <c r="N28" i="25"/>
  <c r="N15" i="25"/>
  <c r="N13" i="25"/>
  <c r="N34" i="25"/>
  <c r="N72" i="25"/>
  <c r="N35" i="25"/>
  <c r="N30" i="25"/>
  <c r="N23" i="25"/>
  <c r="N14" i="25"/>
  <c r="N29" i="25"/>
  <c r="N18" i="25"/>
  <c r="N38" i="25"/>
  <c r="N33" i="25"/>
  <c r="O12" i="25"/>
  <c r="N61" i="25"/>
  <c r="N16" i="25"/>
  <c r="N37" i="25"/>
  <c r="N32" i="25"/>
  <c r="N44" i="25"/>
  <c r="N31" i="25"/>
  <c r="N27" i="25"/>
  <c r="N36" i="25"/>
  <c r="N17" i="25"/>
  <c r="P113" i="14"/>
  <c r="S112" i="13"/>
  <c r="E128" i="14"/>
  <c r="E129" i="14" s="1"/>
  <c r="E130" i="14" s="1"/>
  <c r="H1308" i="49"/>
  <c r="H1310" i="49"/>
  <c r="H1309" i="49"/>
  <c r="M8" i="51"/>
  <c r="H1587" i="49"/>
  <c r="H4444" i="49"/>
  <c r="H4477" i="49"/>
  <c r="H2454" i="49"/>
  <c r="H2466" i="49"/>
  <c r="H2465" i="49"/>
  <c r="H2464" i="49"/>
  <c r="H4087" i="49"/>
  <c r="H5022" i="49"/>
  <c r="H1741" i="49"/>
  <c r="E10" i="3"/>
  <c r="E247" i="46"/>
  <c r="H3832" i="49"/>
  <c r="F17" i="3"/>
  <c r="E599" i="46"/>
  <c r="H3203" i="49"/>
  <c r="H1809" i="49"/>
  <c r="F10" i="3"/>
  <c r="E263" i="46"/>
  <c r="H3220" i="49"/>
  <c r="H720" i="49"/>
  <c r="H4391" i="49"/>
  <c r="E451" i="46"/>
  <c r="N7" i="51"/>
  <c r="H4971" i="49"/>
  <c r="H3626" i="49"/>
  <c r="H3925" i="49"/>
  <c r="H2479" i="49"/>
  <c r="H2768" i="49"/>
  <c r="H2190" i="49"/>
  <c r="H1323" i="49"/>
  <c r="H1034" i="49"/>
  <c r="H3909" i="49"/>
  <c r="H3910" i="49"/>
  <c r="H3911" i="49"/>
  <c r="H3511" i="49"/>
  <c r="M9" i="51"/>
  <c r="H3321" i="49"/>
  <c r="E143" i="46"/>
  <c r="H3290" i="49"/>
  <c r="H4785" i="49"/>
  <c r="H2473" i="49"/>
  <c r="H1028" i="49"/>
  <c r="M14" i="51"/>
  <c r="H3815" i="49"/>
  <c r="H4446" i="49"/>
  <c r="H1231" i="49"/>
  <c r="F8" i="3"/>
  <c r="E167" i="46"/>
  <c r="H3924" i="49"/>
  <c r="H3628" i="49"/>
  <c r="H1599" i="49"/>
  <c r="H1598" i="49"/>
  <c r="H1597" i="49"/>
  <c r="H2642" i="49"/>
  <c r="E23" i="46"/>
  <c r="F5" i="3"/>
  <c r="H2421" i="49"/>
  <c r="H1843" i="49"/>
  <c r="H4988" i="49"/>
  <c r="E791" i="46"/>
  <c r="F21" i="3"/>
  <c r="M21" i="51"/>
  <c r="H4357" i="49"/>
  <c r="M6" i="51"/>
  <c r="H4650" i="49"/>
  <c r="H2676" i="49"/>
  <c r="F13" i="3"/>
  <c r="E407" i="46"/>
  <c r="H1469" i="49"/>
  <c r="H2387" i="49"/>
  <c r="F12" i="3"/>
  <c r="E359" i="46"/>
  <c r="H2132" i="49"/>
  <c r="H1248" i="49"/>
  <c r="H1197" i="49"/>
  <c r="H4340" i="49"/>
  <c r="E677" i="46"/>
  <c r="E755" i="46"/>
  <c r="H3494" i="49"/>
  <c r="E758" i="46"/>
  <c r="H3579" i="49"/>
  <c r="H4053" i="49"/>
  <c r="E18" i="3"/>
  <c r="E631" i="46"/>
  <c r="H4070" i="49"/>
  <c r="H2967" i="49"/>
  <c r="E456" i="46"/>
  <c r="H4782" i="49"/>
  <c r="H4496" i="49"/>
  <c r="H3918" i="49"/>
  <c r="H1893" i="49"/>
  <c r="H1895" i="49"/>
  <c r="H1606" i="49"/>
  <c r="H1037" i="49"/>
  <c r="H3347" i="49"/>
  <c r="H3340" i="49"/>
  <c r="H1612" i="49"/>
  <c r="H1569" i="49"/>
  <c r="E467" i="46"/>
  <c r="H2436" i="49"/>
  <c r="H1026" i="49"/>
  <c r="K18" i="51"/>
  <c r="E566" i="46"/>
  <c r="H1036" i="49"/>
  <c r="H4920" i="49"/>
  <c r="E21" i="3"/>
  <c r="E775" i="46"/>
  <c r="H3562" i="49"/>
  <c r="H2608" i="49"/>
  <c r="E13" i="3"/>
  <c r="E391" i="46"/>
  <c r="H634" i="49"/>
  <c r="H4207" i="49"/>
  <c r="E142" i="46"/>
  <c r="H2081" i="49"/>
  <c r="H5005" i="49"/>
  <c r="H2659" i="49"/>
  <c r="H2339" i="49"/>
  <c r="H4937" i="49"/>
  <c r="H2165" i="49"/>
  <c r="H3223" i="49"/>
  <c r="H2984" i="49"/>
  <c r="H732" i="49"/>
  <c r="H730" i="49"/>
  <c r="H731" i="49"/>
  <c r="H600" i="49"/>
  <c r="H2950" i="49"/>
  <c r="E5" i="3"/>
  <c r="E7" i="46"/>
  <c r="H746" i="49"/>
  <c r="H1826" i="49"/>
  <c r="H702" i="49"/>
  <c r="H2370" i="49"/>
  <c r="H3014" i="49"/>
  <c r="H3764" i="49"/>
  <c r="E17" i="3"/>
  <c r="E583" i="46"/>
  <c r="H2336" i="49"/>
  <c r="H2067" i="49"/>
  <c r="H2176" i="49"/>
  <c r="H2177" i="49"/>
  <c r="H2175" i="49"/>
  <c r="H4684" i="49"/>
  <c r="O20" i="51"/>
  <c r="H4170" i="49"/>
  <c r="H2625" i="49"/>
  <c r="H1860" i="49"/>
  <c r="H2353" i="49"/>
  <c r="H1282" i="49"/>
  <c r="H3781" i="49"/>
  <c r="H3271" i="49"/>
  <c r="H3528" i="49"/>
  <c r="M17" i="51"/>
  <c r="H5055" i="49"/>
  <c r="H3899" i="49"/>
  <c r="H4633" i="49"/>
  <c r="E728" i="46"/>
  <c r="H4718" i="49"/>
  <c r="H1163" i="49"/>
  <c r="E8" i="3"/>
  <c r="E151" i="46"/>
  <c r="K19" i="51"/>
  <c r="H2064" i="49"/>
  <c r="H2710" i="49"/>
  <c r="H974" i="49"/>
  <c r="H3331" i="49"/>
  <c r="H3332" i="49"/>
  <c r="H3333" i="49"/>
  <c r="H3303" i="49"/>
  <c r="H4119" i="49"/>
  <c r="E645" i="46"/>
  <c r="N10" i="51"/>
  <c r="H3032" i="49"/>
  <c r="H2404" i="49"/>
  <c r="H3545" i="49"/>
  <c r="E552" i="46"/>
  <c r="H1520" i="49"/>
  <c r="F9" i="3"/>
  <c r="E215" i="46"/>
  <c r="H1503" i="49"/>
  <c r="H4408" i="49"/>
  <c r="E693" i="46"/>
  <c r="M13" i="51"/>
  <c r="E739" i="46"/>
  <c r="H1537" i="49"/>
  <c r="H2098" i="49"/>
  <c r="F11" i="3"/>
  <c r="E311" i="46"/>
  <c r="E563" i="46"/>
  <c r="H3254" i="49"/>
  <c r="E503" i="46"/>
  <c r="F15" i="3"/>
  <c r="H1452" i="49"/>
  <c r="E9" i="3"/>
  <c r="E199" i="46"/>
  <c r="H2999" i="49"/>
  <c r="H2319" i="49"/>
  <c r="E12" i="3"/>
  <c r="E343" i="46"/>
  <c r="M11" i="51"/>
  <c r="H3237" i="49"/>
  <c r="H906" i="49"/>
  <c r="H1758" i="49"/>
  <c r="H4136" i="49"/>
  <c r="M12" i="51"/>
  <c r="H3881" i="49"/>
  <c r="H2916" i="49"/>
  <c r="H687" i="49"/>
  <c r="H4188" i="49"/>
  <c r="H5074" i="49"/>
  <c r="H3629" i="49"/>
  <c r="H2762" i="49"/>
  <c r="H1324" i="49"/>
  <c r="H1035" i="49"/>
  <c r="H739" i="49"/>
  <c r="H2047" i="49"/>
  <c r="H2030" i="49"/>
  <c r="E11" i="3"/>
  <c r="E295" i="46"/>
  <c r="H3866" i="49"/>
  <c r="H3186" i="49"/>
  <c r="E15" i="3"/>
  <c r="E487" i="46"/>
  <c r="O16" i="51"/>
  <c r="H4667" i="49"/>
  <c r="H2693" i="49"/>
  <c r="H3477" i="49"/>
  <c r="E536" i="46"/>
  <c r="H4104" i="49"/>
  <c r="H2743" i="49"/>
  <c r="H2899" i="49"/>
  <c r="E440" i="46"/>
  <c r="H940" i="49"/>
  <c r="E117" i="46"/>
  <c r="H2933" i="49"/>
  <c r="E547" i="46"/>
  <c r="H993" i="49"/>
  <c r="H3627" i="49"/>
  <c r="H3051" i="49"/>
  <c r="H2480" i="49"/>
  <c r="H1317" i="49"/>
  <c r="M15" i="51"/>
  <c r="H1200" i="49"/>
  <c r="H1214" i="49"/>
  <c r="J18" i="51"/>
  <c r="H4374" i="49"/>
  <c r="H4784" i="49"/>
  <c r="H4783" i="49"/>
  <c r="H2769" i="49"/>
  <c r="H2191" i="49"/>
  <c r="H2184" i="49"/>
  <c r="H1613" i="49"/>
  <c r="H1038" i="49"/>
  <c r="H745" i="49"/>
  <c r="H3346" i="49"/>
  <c r="H1265" i="49"/>
  <c r="H1792" i="49"/>
  <c r="H4427" i="49"/>
  <c r="H4769" i="49"/>
  <c r="H3613" i="49"/>
  <c r="H4735" i="49"/>
  <c r="H1008" i="49"/>
  <c r="H1486" i="49"/>
  <c r="H3798" i="49"/>
  <c r="H2115" i="49"/>
  <c r="H4954" i="49"/>
  <c r="H1775" i="49"/>
  <c r="H1554" i="49"/>
  <c r="H1180" i="49"/>
  <c r="H4701" i="49"/>
  <c r="E744" i="46"/>
  <c r="H2753" i="49"/>
  <c r="H2754" i="49"/>
  <c r="H2755" i="49"/>
  <c r="H3849" i="49"/>
  <c r="H4459" i="49"/>
  <c r="H583" i="49"/>
  <c r="E53" i="46"/>
  <c r="H1875" i="49"/>
  <c r="H923" i="49"/>
  <c r="H3320" i="49"/>
  <c r="H957" i="49"/>
  <c r="H2147" i="49"/>
  <c r="H2725" i="49"/>
  <c r="H5037" i="49"/>
  <c r="H4153" i="49"/>
  <c r="H668" i="49"/>
  <c r="H889" i="49"/>
  <c r="H872" i="49"/>
  <c r="E101" i="46"/>
  <c r="J2464" i="49" l="1"/>
  <c r="Q2464" i="49" s="1"/>
  <c r="J2465" i="49"/>
  <c r="Q2465" i="49" s="1"/>
  <c r="J2466" i="49"/>
  <c r="Q2466" i="49" s="1"/>
  <c r="J2454" i="49"/>
  <c r="Q2454" i="49" s="1"/>
  <c r="J4477" i="49"/>
  <c r="Q4477" i="49"/>
  <c r="J4444" i="49"/>
  <c r="Q4444" i="49"/>
  <c r="J1587" i="49"/>
  <c r="Q1587" i="49" s="1"/>
  <c r="Q1309" i="49"/>
  <c r="J1309" i="49"/>
  <c r="J1310" i="49"/>
  <c r="Q1310" i="49" s="1"/>
  <c r="J1308" i="49"/>
  <c r="Q1308" i="49" s="1"/>
  <c r="G21" i="8"/>
  <c r="G22" i="8" s="1"/>
  <c r="G24" i="8" s="1"/>
  <c r="N39" i="18"/>
  <c r="I21" i="8"/>
  <c r="I22" i="8" s="1"/>
  <c r="I24" i="8" s="1"/>
  <c r="N19" i="25"/>
  <c r="F54" i="14"/>
  <c r="I50" i="13" s="1"/>
  <c r="H48" i="19" s="1"/>
  <c r="O19" i="17"/>
  <c r="N19" i="23"/>
  <c r="N19" i="18"/>
  <c r="N20" i="18" s="1"/>
  <c r="N21" i="18" s="1"/>
  <c r="N22" i="18" s="1"/>
  <c r="N24" i="18" s="1"/>
  <c r="M21" i="18"/>
  <c r="M22" i="18"/>
  <c r="M24" i="18" s="1"/>
  <c r="N63" i="18"/>
  <c r="P19" i="26"/>
  <c r="P20" i="26" s="1"/>
  <c r="P21" i="26" s="1"/>
  <c r="P22" i="26" s="1"/>
  <c r="P24" i="26" s="1"/>
  <c r="P41" i="26" s="1"/>
  <c r="O72" i="18"/>
  <c r="O44" i="18"/>
  <c r="O37" i="18"/>
  <c r="O36" i="18"/>
  <c r="O33" i="18"/>
  <c r="O28" i="18"/>
  <c r="O29" i="18"/>
  <c r="O18" i="18"/>
  <c r="O23" i="18"/>
  <c r="O31" i="18"/>
  <c r="O15" i="18"/>
  <c r="O13" i="18"/>
  <c r="P12" i="18"/>
  <c r="O35" i="18"/>
  <c r="O61" i="18"/>
  <c r="O14" i="18"/>
  <c r="O38" i="18"/>
  <c r="O62" i="18"/>
  <c r="O34" i="18"/>
  <c r="O17" i="18"/>
  <c r="O30" i="18"/>
  <c r="O32" i="18"/>
  <c r="O16" i="18"/>
  <c r="O27" i="18"/>
  <c r="N63" i="25"/>
  <c r="N85" i="18"/>
  <c r="N79" i="18"/>
  <c r="N82" i="18"/>
  <c r="N80" i="18"/>
  <c r="J101" i="46"/>
  <c r="J872" i="49"/>
  <c r="Q872" i="49" s="1"/>
  <c r="J889" i="49"/>
  <c r="Q889" i="49" s="1"/>
  <c r="J668" i="49"/>
  <c r="Q668" i="49" s="1"/>
  <c r="J4153" i="49"/>
  <c r="Q4153" i="49" s="1"/>
  <c r="J5037" i="49"/>
  <c r="Q5037" i="49" s="1"/>
  <c r="J2725" i="49"/>
  <c r="Q2725" i="49" s="1"/>
  <c r="J2147" i="49"/>
  <c r="Q2147" i="49" s="1"/>
  <c r="J957" i="49"/>
  <c r="Q957" i="49" s="1"/>
  <c r="J3320" i="49"/>
  <c r="Q3320" i="49" s="1"/>
  <c r="J923" i="49"/>
  <c r="Q923" i="49" s="1"/>
  <c r="J1875" i="49"/>
  <c r="Q1875" i="49" s="1"/>
  <c r="J53" i="46"/>
  <c r="J583" i="49"/>
  <c r="Q583" i="49"/>
  <c r="Q4459" i="49"/>
  <c r="J4459" i="49"/>
  <c r="J3849" i="49"/>
  <c r="Q3849" i="49" s="1"/>
  <c r="J2755" i="49"/>
  <c r="Q2755" i="49" s="1"/>
  <c r="J2754" i="49"/>
  <c r="Q2754" i="49"/>
  <c r="Q2753" i="49"/>
  <c r="J2753" i="49"/>
  <c r="J744" i="46"/>
  <c r="J4701" i="49"/>
  <c r="Q4701" i="49" s="1"/>
  <c r="J1180" i="49"/>
  <c r="Q1180" i="49"/>
  <c r="J1554" i="49"/>
  <c r="Q1554" i="49" s="1"/>
  <c r="J1775" i="49"/>
  <c r="Q1775" i="49" s="1"/>
  <c r="J4954" i="49"/>
  <c r="Q4954" i="49"/>
  <c r="J2115" i="49"/>
  <c r="Q2115" i="49"/>
  <c r="J3798" i="49"/>
  <c r="Q3798" i="49" s="1"/>
  <c r="J1486" i="49"/>
  <c r="Q1486" i="49" s="1"/>
  <c r="J1008" i="49"/>
  <c r="Q1008" i="49" s="1"/>
  <c r="J4735" i="49"/>
  <c r="Q4735" i="49"/>
  <c r="J3613" i="49"/>
  <c r="Q3613" i="49" s="1"/>
  <c r="J4769" i="49"/>
  <c r="Q4769" i="49" s="1"/>
  <c r="J4427" i="49"/>
  <c r="Q4427" i="49" s="1"/>
  <c r="J1792" i="49"/>
  <c r="Q1792" i="49"/>
  <c r="J1265" i="49"/>
  <c r="Q1265" i="49" s="1"/>
  <c r="J3346" i="49"/>
  <c r="Q3346" i="49" s="1"/>
  <c r="J745" i="49"/>
  <c r="Q745" i="49" s="1"/>
  <c r="J1038" i="49"/>
  <c r="Q1038" i="49" s="1"/>
  <c r="J1613" i="49"/>
  <c r="Q1613" i="49" s="1"/>
  <c r="J2184" i="49"/>
  <c r="Q2184" i="49" s="1"/>
  <c r="J2191" i="49"/>
  <c r="Q2191" i="49" s="1"/>
  <c r="J2769" i="49"/>
  <c r="Q2769" i="49" s="1"/>
  <c r="J4783" i="49"/>
  <c r="Q4783" i="49"/>
  <c r="J4784" i="49"/>
  <c r="Q4784" i="49" s="1"/>
  <c r="J4374" i="49"/>
  <c r="Q4374" i="49" s="1"/>
  <c r="J1214" i="49"/>
  <c r="Q1214" i="49" s="1"/>
  <c r="Q1200" i="49"/>
  <c r="J1200" i="49"/>
  <c r="J1317" i="49"/>
  <c r="Q1317" i="49"/>
  <c r="J2480" i="49"/>
  <c r="Q2480" i="49" s="1"/>
  <c r="J3051" i="49"/>
  <c r="Q3051" i="49" s="1"/>
  <c r="J3627" i="49"/>
  <c r="Q3627" i="49" s="1"/>
  <c r="Q993" i="49"/>
  <c r="J993" i="49"/>
  <c r="J547" i="46"/>
  <c r="J2933" i="49"/>
  <c r="Q2933" i="49" s="1"/>
  <c r="J117" i="46"/>
  <c r="J940" i="49"/>
  <c r="Q940" i="49" s="1"/>
  <c r="J440" i="46"/>
  <c r="J2899" i="49"/>
  <c r="Q2899" i="49" s="1"/>
  <c r="J2743" i="49"/>
  <c r="Q2743" i="49" s="1"/>
  <c r="J4104" i="49"/>
  <c r="Q4104" i="49"/>
  <c r="J536" i="46"/>
  <c r="Q3477" i="49"/>
  <c r="J3477" i="49"/>
  <c r="J2693" i="49"/>
  <c r="Q2693" i="49" s="1"/>
  <c r="J4667" i="49"/>
  <c r="Q4667" i="49" s="1"/>
  <c r="J487" i="46"/>
  <c r="J3186" i="49"/>
  <c r="Q3186" i="49"/>
  <c r="J3866" i="49"/>
  <c r="Q3866" i="49" s="1"/>
  <c r="J295" i="46"/>
  <c r="J2030" i="49"/>
  <c r="Q2030" i="49" s="1"/>
  <c r="J2047" i="49"/>
  <c r="Q2047" i="49" s="1"/>
  <c r="J739" i="49"/>
  <c r="Q739" i="49" s="1"/>
  <c r="J1035" i="49"/>
  <c r="Q1035" i="49" s="1"/>
  <c r="J1324" i="49"/>
  <c r="Q1324" i="49"/>
  <c r="Q2762" i="49"/>
  <c r="J2762" i="49"/>
  <c r="J3629" i="49"/>
  <c r="Q3629" i="49" s="1"/>
  <c r="J5074" i="49"/>
  <c r="Q5074" i="49" s="1"/>
  <c r="J4188" i="49"/>
  <c r="Q4188" i="49" s="1"/>
  <c r="Q687" i="49"/>
  <c r="J687" i="49"/>
  <c r="J2916" i="49"/>
  <c r="Q2916" i="49"/>
  <c r="J3881" i="49"/>
  <c r="Q3881" i="49" s="1"/>
  <c r="J4136" i="49"/>
  <c r="Q4136" i="49" s="1"/>
  <c r="J1758" i="49"/>
  <c r="Q1758" i="49"/>
  <c r="J906" i="49"/>
  <c r="Q906" i="49" s="1"/>
  <c r="J3237" i="49"/>
  <c r="Q3237" i="49" s="1"/>
  <c r="J343" i="46"/>
  <c r="J2319" i="49"/>
  <c r="Q2319" i="49" s="1"/>
  <c r="J2999" i="49"/>
  <c r="Q2999" i="49" s="1"/>
  <c r="J199" i="46"/>
  <c r="J1452" i="49"/>
  <c r="Q1452" i="49" s="1"/>
  <c r="J503" i="46"/>
  <c r="J3254" i="49"/>
  <c r="Q3254" i="49" s="1"/>
  <c r="J563" i="46"/>
  <c r="J311" i="46"/>
  <c r="J2098" i="49"/>
  <c r="Q2098" i="49" s="1"/>
  <c r="J1537" i="49"/>
  <c r="Q1537" i="49" s="1"/>
  <c r="J739" i="46"/>
  <c r="J693" i="46"/>
  <c r="J4408" i="49"/>
  <c r="Q4408" i="49" s="1"/>
  <c r="J1503" i="49"/>
  <c r="Q1503" i="49" s="1"/>
  <c r="J215" i="46"/>
  <c r="J1520" i="49"/>
  <c r="Q1520" i="49"/>
  <c r="J552" i="46"/>
  <c r="J3545" i="49"/>
  <c r="Q3545" i="49" s="1"/>
  <c r="J2404" i="49"/>
  <c r="Q2404" i="49" s="1"/>
  <c r="J3032" i="49"/>
  <c r="Q3032" i="49" s="1"/>
  <c r="J645" i="46"/>
  <c r="J4119" i="49"/>
  <c r="Q4119" i="49" s="1"/>
  <c r="J3303" i="49"/>
  <c r="Q3303" i="49" s="1"/>
  <c r="J3333" i="49"/>
  <c r="Q3333" i="49" s="1"/>
  <c r="J3332" i="49"/>
  <c r="Q3332" i="49" s="1"/>
  <c r="J3331" i="49"/>
  <c r="Q3331" i="49" s="1"/>
  <c r="J974" i="49"/>
  <c r="Q974" i="49" s="1"/>
  <c r="J2710" i="49"/>
  <c r="Q2710" i="49" s="1"/>
  <c r="J2064" i="49"/>
  <c r="Q2064" i="49" s="1"/>
  <c r="J151" i="46"/>
  <c r="J1163" i="49"/>
  <c r="Q1163" i="49" s="1"/>
  <c r="J4718" i="49"/>
  <c r="Q4718" i="49" s="1"/>
  <c r="J728" i="46"/>
  <c r="J4633" i="49"/>
  <c r="Q4633" i="49" s="1"/>
  <c r="J3899" i="49"/>
  <c r="Q3899" i="49" s="1"/>
  <c r="J5055" i="49"/>
  <c r="Q5055" i="49" s="1"/>
  <c r="J3528" i="49"/>
  <c r="Q3528" i="49" s="1"/>
  <c r="J3271" i="49"/>
  <c r="Q3271" i="49" s="1"/>
  <c r="J3781" i="49"/>
  <c r="Q3781" i="49" s="1"/>
  <c r="J1282" i="49"/>
  <c r="Q1282" i="49" s="1"/>
  <c r="J2353" i="49"/>
  <c r="Q2353" i="49" s="1"/>
  <c r="J1860" i="49"/>
  <c r="Q1860" i="49" s="1"/>
  <c r="J2625" i="49"/>
  <c r="Q2625" i="49" s="1"/>
  <c r="J4170" i="49"/>
  <c r="Q4170" i="49" s="1"/>
  <c r="J4684" i="49"/>
  <c r="Q4684" i="49" s="1"/>
  <c r="J2175" i="49"/>
  <c r="Q2175" i="49" s="1"/>
  <c r="J2177" i="49"/>
  <c r="Q2177" i="49" s="1"/>
  <c r="J2176" i="49"/>
  <c r="Q2176" i="49" s="1"/>
  <c r="J2067" i="49"/>
  <c r="Q2067" i="49" s="1"/>
  <c r="J2336" i="49"/>
  <c r="Q2336" i="49" s="1"/>
  <c r="J583" i="46"/>
  <c r="J3764" i="49"/>
  <c r="Q3764" i="49" s="1"/>
  <c r="J3014" i="49"/>
  <c r="Q3014" i="49" s="1"/>
  <c r="J2370" i="49"/>
  <c r="Q2370" i="49" s="1"/>
  <c r="J702" i="49"/>
  <c r="Q702" i="49" s="1"/>
  <c r="J1826" i="49"/>
  <c r="Q1826" i="49" s="1"/>
  <c r="J746" i="49"/>
  <c r="Q746" i="49" s="1"/>
  <c r="J7" i="46"/>
  <c r="J2950" i="49"/>
  <c r="Q2950" i="49" s="1"/>
  <c r="J600" i="49"/>
  <c r="Q600" i="49" s="1"/>
  <c r="J731" i="49"/>
  <c r="Q731" i="49" s="1"/>
  <c r="J730" i="49"/>
  <c r="Q730" i="49" s="1"/>
  <c r="J732" i="49"/>
  <c r="Q732" i="49" s="1"/>
  <c r="J2984" i="49"/>
  <c r="Q2984" i="49" s="1"/>
  <c r="J3223" i="49"/>
  <c r="Q3223" i="49" s="1"/>
  <c r="J2165" i="49"/>
  <c r="Q2165" i="49" s="1"/>
  <c r="J4937" i="49"/>
  <c r="Q4937" i="49" s="1"/>
  <c r="J2339" i="49"/>
  <c r="Q2339" i="49" s="1"/>
  <c r="J2659" i="49"/>
  <c r="Q2659" i="49" s="1"/>
  <c r="J5005" i="49"/>
  <c r="Q5005" i="49" s="1"/>
  <c r="J2081" i="49"/>
  <c r="Q2081" i="49" s="1"/>
  <c r="J142" i="46"/>
  <c r="J4207" i="49"/>
  <c r="Q4207" i="49" s="1"/>
  <c r="J634" i="49"/>
  <c r="Q634" i="49" s="1"/>
  <c r="J391" i="46"/>
  <c r="Q2608" i="49"/>
  <c r="J2608" i="49"/>
  <c r="Q3562" i="49"/>
  <c r="J3562" i="49"/>
  <c r="J775" i="46"/>
  <c r="J4920" i="49"/>
  <c r="Q4920" i="49" s="1"/>
  <c r="J1036" i="49"/>
  <c r="Q1036" i="49"/>
  <c r="J566" i="46"/>
  <c r="J1026" i="49"/>
  <c r="Q1026" i="49" s="1"/>
  <c r="J2436" i="49"/>
  <c r="Q2436" i="49" s="1"/>
  <c r="J467" i="46"/>
  <c r="J1569" i="49"/>
  <c r="Q1569" i="49" s="1"/>
  <c r="J1612" i="49"/>
  <c r="Q1612" i="49"/>
  <c r="J3340" i="49"/>
  <c r="Q3340" i="49" s="1"/>
  <c r="J3347" i="49"/>
  <c r="Q3347" i="49" s="1"/>
  <c r="J1037" i="49"/>
  <c r="Q1037" i="49"/>
  <c r="J1606" i="49"/>
  <c r="Q1606" i="49" s="1"/>
  <c r="J1895" i="49"/>
  <c r="Q1895" i="49" s="1"/>
  <c r="J1893" i="49"/>
  <c r="Q1893" i="49"/>
  <c r="J3918" i="49"/>
  <c r="Q3918" i="49" s="1"/>
  <c r="J4496" i="49"/>
  <c r="Q4496" i="49"/>
  <c r="J4782" i="49"/>
  <c r="Q4782" i="49" s="1"/>
  <c r="J456" i="46"/>
  <c r="J2967" i="49"/>
  <c r="Q2967" i="49" s="1"/>
  <c r="J4070" i="49"/>
  <c r="Q4070" i="49" s="1"/>
  <c r="J631" i="46"/>
  <c r="Q4053" i="49"/>
  <c r="J4053" i="49"/>
  <c r="J3579" i="49"/>
  <c r="Q3579" i="49" s="1"/>
  <c r="J758" i="46"/>
  <c r="J3494" i="49"/>
  <c r="Q3494" i="49" s="1"/>
  <c r="J755" i="46"/>
  <c r="J677" i="46"/>
  <c r="J4340" i="49"/>
  <c r="Q4340" i="49" s="1"/>
  <c r="J1197" i="49"/>
  <c r="Q1197" i="49" s="1"/>
  <c r="J1248" i="49"/>
  <c r="Q1248" i="49" s="1"/>
  <c r="Q2132" i="49"/>
  <c r="J2132" i="49"/>
  <c r="J359" i="46"/>
  <c r="J2387" i="49"/>
  <c r="Q2387" i="49" s="1"/>
  <c r="J1469" i="49"/>
  <c r="Q1469" i="49"/>
  <c r="J407" i="46"/>
  <c r="Q2676" i="49"/>
  <c r="J2676" i="49"/>
  <c r="J4650" i="49"/>
  <c r="Q4650" i="49"/>
  <c r="J4357" i="49"/>
  <c r="Q4357" i="49" s="1"/>
  <c r="J791" i="46"/>
  <c r="J4988" i="49"/>
  <c r="Q4988" i="49"/>
  <c r="J1843" i="49"/>
  <c r="Q1843" i="49" s="1"/>
  <c r="J2421" i="49"/>
  <c r="Q2421" i="49" s="1"/>
  <c r="J23" i="46"/>
  <c r="J2642" i="49"/>
  <c r="Q2642" i="49"/>
  <c r="J1597" i="49"/>
  <c r="Q1597" i="49" s="1"/>
  <c r="J1598" i="49"/>
  <c r="Q1598" i="49"/>
  <c r="J1599" i="49"/>
  <c r="Q1599" i="49" s="1"/>
  <c r="J3628" i="49"/>
  <c r="Q3628" i="49" s="1"/>
  <c r="J3924" i="49"/>
  <c r="Q3924" i="49" s="1"/>
  <c r="J167" i="46"/>
  <c r="J1231" i="49"/>
  <c r="Q1231" i="49" s="1"/>
  <c r="J4446" i="49"/>
  <c r="Q4446" i="49" s="1"/>
  <c r="J3815" i="49"/>
  <c r="Q3815" i="49"/>
  <c r="Q1028" i="49"/>
  <c r="J1028" i="49"/>
  <c r="J2473" i="49"/>
  <c r="Q2473" i="49" s="1"/>
  <c r="J4785" i="49"/>
  <c r="Q4785" i="49" s="1"/>
  <c r="Q3290" i="49"/>
  <c r="J3290" i="49"/>
  <c r="J143" i="46"/>
  <c r="J3321" i="49"/>
  <c r="Q3321" i="49" s="1"/>
  <c r="J3511" i="49"/>
  <c r="Q3511" i="49" s="1"/>
  <c r="J3911" i="49"/>
  <c r="Q3911" i="49" s="1"/>
  <c r="J3910" i="49"/>
  <c r="Q3910" i="49"/>
  <c r="J3909" i="49"/>
  <c r="Q3909" i="49" s="1"/>
  <c r="Q1034" i="49"/>
  <c r="J1034" i="49"/>
  <c r="J1323" i="49"/>
  <c r="Q1323" i="49" s="1"/>
  <c r="Q2190" i="49"/>
  <c r="J2190" i="49"/>
  <c r="J2768" i="49"/>
  <c r="Q2768" i="49" s="1"/>
  <c r="J2479" i="49"/>
  <c r="Q2479" i="49" s="1"/>
  <c r="Q3925" i="49"/>
  <c r="J3925" i="49"/>
  <c r="Q3626" i="49"/>
  <c r="J3626" i="49"/>
  <c r="J4971" i="49"/>
  <c r="Q4971" i="49"/>
  <c r="J451" i="46"/>
  <c r="J4391" i="49"/>
  <c r="Q4391" i="49" s="1"/>
  <c r="J720" i="49"/>
  <c r="Q720" i="49"/>
  <c r="J3220" i="49"/>
  <c r="Q3220" i="49" s="1"/>
  <c r="J263" i="46"/>
  <c r="J1809" i="49"/>
  <c r="Q1809" i="49" s="1"/>
  <c r="J3203" i="49"/>
  <c r="Q3203" i="49"/>
  <c r="J599" i="46"/>
  <c r="J3832" i="49"/>
  <c r="Q3832" i="49"/>
  <c r="J247" i="46"/>
  <c r="J1741" i="49"/>
  <c r="Q1741" i="49"/>
  <c r="J5022" i="49"/>
  <c r="Q5022" i="49" s="1"/>
  <c r="J4087" i="49"/>
  <c r="Q4087" i="49" s="1"/>
  <c r="E41" i="17"/>
  <c r="F41" i="17"/>
  <c r="L73" i="15"/>
  <c r="L45" i="15"/>
  <c r="P33" i="10"/>
  <c r="J22" i="4"/>
  <c r="M3" i="27"/>
  <c r="N73" i="26"/>
  <c r="N45" i="26"/>
  <c r="S30" i="13"/>
  <c r="H86" i="13"/>
  <c r="G64" i="27" s="1"/>
  <c r="G76" i="27" s="1"/>
  <c r="F127" i="14"/>
  <c r="J41" i="16"/>
  <c r="K41" i="28"/>
  <c r="L41" i="31"/>
  <c r="L41" i="23"/>
  <c r="L41" i="21"/>
  <c r="N73" i="30"/>
  <c r="N45" i="30"/>
  <c r="R48" i="10"/>
  <c r="N21" i="17"/>
  <c r="N22" i="17" s="1"/>
  <c r="N24" i="17" s="1"/>
  <c r="M21" i="22"/>
  <c r="M22" i="22"/>
  <c r="M24" i="22" s="1"/>
  <c r="M21" i="27"/>
  <c r="M22" i="27" s="1"/>
  <c r="M24" i="27" s="1"/>
  <c r="F8" i="52"/>
  <c r="H73" i="49"/>
  <c r="I41" i="8"/>
  <c r="J41" i="17"/>
  <c r="M41" i="25"/>
  <c r="H41" i="17"/>
  <c r="I76" i="13"/>
  <c r="H64" i="17" s="1"/>
  <c r="H76" i="17" s="1"/>
  <c r="G27" i="14"/>
  <c r="M41" i="20"/>
  <c r="E41" i="16"/>
  <c r="H75" i="13"/>
  <c r="G64" i="16" s="1"/>
  <c r="F17" i="14"/>
  <c r="L41" i="29"/>
  <c r="N21" i="20"/>
  <c r="N22" i="20" s="1"/>
  <c r="N24" i="20" s="1"/>
  <c r="M21" i="29"/>
  <c r="E8" i="52"/>
  <c r="H56" i="49"/>
  <c r="H41" i="8"/>
  <c r="M21" i="28"/>
  <c r="M22" i="28" s="1"/>
  <c r="M24" i="28" s="1"/>
  <c r="J127" i="49"/>
  <c r="Q127" i="49" s="1"/>
  <c r="J45" i="27"/>
  <c r="J73" i="27"/>
  <c r="N45" i="10"/>
  <c r="N30" i="8"/>
  <c r="N18" i="8"/>
  <c r="O82" i="20"/>
  <c r="O79" i="20"/>
  <c r="O80" i="20"/>
  <c r="O85" i="20"/>
  <c r="N85" i="31"/>
  <c r="N80" i="31"/>
  <c r="N79" i="31"/>
  <c r="N82" i="31"/>
  <c r="F73" i="18"/>
  <c r="F45" i="18"/>
  <c r="J36" i="10"/>
  <c r="F52" i="18"/>
  <c r="M2" i="18"/>
  <c r="D13" i="4"/>
  <c r="P80" i="26"/>
  <c r="P85" i="26"/>
  <c r="P79" i="26"/>
  <c r="P82" i="26"/>
  <c r="N80" i="21"/>
  <c r="N82" i="21"/>
  <c r="N85" i="21"/>
  <c r="N79" i="21"/>
  <c r="K73" i="19"/>
  <c r="K45" i="19"/>
  <c r="O37" i="10"/>
  <c r="G73" i="20"/>
  <c r="G45" i="20"/>
  <c r="K38" i="10"/>
  <c r="N85" i="28"/>
  <c r="N82" i="28"/>
  <c r="N79" i="28"/>
  <c r="N80" i="28"/>
  <c r="M21" i="16"/>
  <c r="M22" i="16" s="1"/>
  <c r="M24" i="16" s="1"/>
  <c r="G45" i="31"/>
  <c r="G73" i="31"/>
  <c r="K49" i="10"/>
  <c r="J45" i="21"/>
  <c r="J73" i="21"/>
  <c r="N39" i="10"/>
  <c r="G73" i="27"/>
  <c r="G45" i="27"/>
  <c r="K45" i="10"/>
  <c r="G73" i="19"/>
  <c r="G77" i="19" s="1"/>
  <c r="G45" i="19"/>
  <c r="G52" i="19"/>
  <c r="K37" i="10"/>
  <c r="S23" i="13"/>
  <c r="N85" i="23"/>
  <c r="N79" i="23"/>
  <c r="N80" i="23"/>
  <c r="N82" i="23"/>
  <c r="M21" i="24"/>
  <c r="M22" i="24" s="1"/>
  <c r="M24" i="24" s="1"/>
  <c r="J108" i="49"/>
  <c r="Q108" i="49" s="1"/>
  <c r="M41" i="17"/>
  <c r="F80" i="26"/>
  <c r="U34" i="13"/>
  <c r="T34" i="13"/>
  <c r="N38" i="8"/>
  <c r="N28" i="8"/>
  <c r="P72" i="20"/>
  <c r="Q12" i="20"/>
  <c r="P38" i="20"/>
  <c r="P27" i="20"/>
  <c r="P23" i="20"/>
  <c r="P14" i="20"/>
  <c r="P44" i="20"/>
  <c r="P31" i="20"/>
  <c r="P29" i="20"/>
  <c r="P16" i="20"/>
  <c r="P18" i="20"/>
  <c r="P35" i="20"/>
  <c r="P33" i="20"/>
  <c r="P36" i="20"/>
  <c r="P17" i="20"/>
  <c r="P37" i="20"/>
  <c r="P30" i="20"/>
  <c r="P34" i="20"/>
  <c r="P13" i="20"/>
  <c r="P15" i="20"/>
  <c r="P28" i="20"/>
  <c r="P32" i="20"/>
  <c r="P60" i="20"/>
  <c r="P43" i="20"/>
  <c r="P75" i="20"/>
  <c r="P47" i="20"/>
  <c r="P66" i="20"/>
  <c r="Q133" i="14"/>
  <c r="T114" i="13"/>
  <c r="F108" i="14"/>
  <c r="F114" i="14" s="1"/>
  <c r="I56" i="13" s="1"/>
  <c r="H48" i="25" s="1"/>
  <c r="H52" i="25" s="1"/>
  <c r="F109" i="14"/>
  <c r="F110" i="14" s="1"/>
  <c r="N19" i="21"/>
  <c r="J73" i="29"/>
  <c r="J45" i="29"/>
  <c r="N47" i="10"/>
  <c r="H77" i="15"/>
  <c r="H45" i="20"/>
  <c r="H73" i="20"/>
  <c r="L38" i="10"/>
  <c r="K45" i="18"/>
  <c r="K73" i="18"/>
  <c r="O36" i="10"/>
  <c r="O62" i="25"/>
  <c r="O36" i="25"/>
  <c r="O32" i="25"/>
  <c r="O28" i="25"/>
  <c r="O18" i="25"/>
  <c r="O14" i="25"/>
  <c r="O30" i="25"/>
  <c r="O23" i="25"/>
  <c r="P12" i="25"/>
  <c r="O35" i="25"/>
  <c r="O34" i="25"/>
  <c r="O29" i="25"/>
  <c r="O38" i="25"/>
  <c r="O33" i="25"/>
  <c r="O13" i="25"/>
  <c r="O44" i="25"/>
  <c r="O17" i="25"/>
  <c r="O61" i="25"/>
  <c r="O31" i="25"/>
  <c r="O15" i="25"/>
  <c r="O72" i="25"/>
  <c r="O27" i="25"/>
  <c r="O16" i="25"/>
  <c r="O37" i="25"/>
  <c r="N39" i="19"/>
  <c r="P19" i="30"/>
  <c r="N19" i="15"/>
  <c r="G41" i="29"/>
  <c r="H73" i="18"/>
  <c r="H45" i="18"/>
  <c r="L36" i="10"/>
  <c r="G50" i="18"/>
  <c r="O39" i="17"/>
  <c r="K21" i="8"/>
  <c r="K22" i="8" s="1"/>
  <c r="K24" i="8" s="1"/>
  <c r="D8" i="52"/>
  <c r="H39" i="49"/>
  <c r="G41" i="8"/>
  <c r="L73" i="17"/>
  <c r="L45" i="17"/>
  <c r="P35" i="10"/>
  <c r="I41" i="17"/>
  <c r="N63" i="23"/>
  <c r="N63" i="19"/>
  <c r="J11" i="52"/>
  <c r="H144" i="49"/>
  <c r="O44" i="28"/>
  <c r="O35" i="28"/>
  <c r="O31" i="28"/>
  <c r="O27" i="28"/>
  <c r="O17" i="28"/>
  <c r="O13" i="28"/>
  <c r="O32" i="28"/>
  <c r="O30" i="28"/>
  <c r="O72" i="28"/>
  <c r="O23" i="28"/>
  <c r="P12" i="28"/>
  <c r="O34" i="28"/>
  <c r="O33" i="28"/>
  <c r="O18" i="28"/>
  <c r="O29" i="28"/>
  <c r="O37" i="28"/>
  <c r="O28" i="28"/>
  <c r="O15" i="28"/>
  <c r="O38" i="28"/>
  <c r="O14" i="28"/>
  <c r="O36" i="28"/>
  <c r="O16" i="28"/>
  <c r="O66" i="28"/>
  <c r="O43" i="28"/>
  <c r="O60" i="28"/>
  <c r="O47" i="28"/>
  <c r="O75" i="28"/>
  <c r="H73" i="28"/>
  <c r="H45" i="28"/>
  <c r="L46" i="10"/>
  <c r="S32" i="13"/>
  <c r="J45" i="23"/>
  <c r="J73" i="23"/>
  <c r="N41" i="10"/>
  <c r="G22" i="16"/>
  <c r="G24" i="16" s="1"/>
  <c r="N32" i="8"/>
  <c r="N63" i="27"/>
  <c r="O72" i="27"/>
  <c r="O17" i="27"/>
  <c r="O34" i="27"/>
  <c r="O32" i="27"/>
  <c r="O38" i="27"/>
  <c r="O36" i="27"/>
  <c r="O23" i="27"/>
  <c r="O27" i="27"/>
  <c r="O28" i="27"/>
  <c r="O15" i="27"/>
  <c r="O14" i="27"/>
  <c r="O37" i="27"/>
  <c r="P12" i="27"/>
  <c r="O13" i="27"/>
  <c r="O35" i="27"/>
  <c r="O62" i="27"/>
  <c r="O30" i="27"/>
  <c r="O44" i="27"/>
  <c r="O33" i="27"/>
  <c r="O61" i="27"/>
  <c r="O31" i="27"/>
  <c r="O18" i="27"/>
  <c r="O29" i="27"/>
  <c r="O16" i="27"/>
  <c r="M21" i="15"/>
  <c r="M22" i="15" s="1"/>
  <c r="M24" i="15" s="1"/>
  <c r="M41" i="15" s="1"/>
  <c r="N39" i="21"/>
  <c r="I9" i="52"/>
  <c r="H125" i="49"/>
  <c r="E52" i="25"/>
  <c r="I43" i="10"/>
  <c r="E73" i="25"/>
  <c r="E45" i="25"/>
  <c r="E50" i="25"/>
  <c r="K73" i="27"/>
  <c r="K45" i="27"/>
  <c r="I39" i="10"/>
  <c r="E73" i="21"/>
  <c r="E45" i="21"/>
  <c r="E52" i="21"/>
  <c r="E50" i="21"/>
  <c r="N83" i="8"/>
  <c r="N81" i="8"/>
  <c r="N86" i="8"/>
  <c r="N79" i="8"/>
  <c r="N39" i="25"/>
  <c r="O61" i="19"/>
  <c r="O35" i="19"/>
  <c r="O31" i="19"/>
  <c r="O27" i="19"/>
  <c r="O17" i="19"/>
  <c r="O13" i="19"/>
  <c r="O62" i="19"/>
  <c r="O36" i="19"/>
  <c r="O32" i="19"/>
  <c r="O28" i="19"/>
  <c r="O18" i="19"/>
  <c r="O14" i="19"/>
  <c r="O34" i="19"/>
  <c r="O23" i="19"/>
  <c r="P12" i="19"/>
  <c r="O38" i="19"/>
  <c r="O29" i="19"/>
  <c r="O44" i="19"/>
  <c r="O16" i="19"/>
  <c r="O33" i="19"/>
  <c r="O30" i="19"/>
  <c r="O15" i="19"/>
  <c r="O72" i="19"/>
  <c r="O37" i="19"/>
  <c r="F73" i="21"/>
  <c r="F45" i="21"/>
  <c r="M2" i="21"/>
  <c r="J39" i="10"/>
  <c r="F52" i="21"/>
  <c r="D16" i="4"/>
  <c r="F50" i="21"/>
  <c r="F68" i="14"/>
  <c r="F69" i="14"/>
  <c r="F70" i="14" s="1"/>
  <c r="I78" i="13"/>
  <c r="H64" i="19" s="1"/>
  <c r="H76" i="19" s="1"/>
  <c r="G47" i="14"/>
  <c r="K45" i="16"/>
  <c r="K73" i="16"/>
  <c r="O34" i="10"/>
  <c r="O21" i="26"/>
  <c r="O22" i="26" s="1"/>
  <c r="O24" i="26" s="1"/>
  <c r="L41" i="27"/>
  <c r="J41" i="28"/>
  <c r="F73" i="20"/>
  <c r="F45" i="20"/>
  <c r="M2" i="20"/>
  <c r="J38" i="10"/>
  <c r="D15" i="4"/>
  <c r="G41" i="17"/>
  <c r="N44" i="8"/>
  <c r="O37" i="16"/>
  <c r="O33" i="16"/>
  <c r="O29" i="16"/>
  <c r="O23" i="16"/>
  <c r="O15" i="16"/>
  <c r="O72" i="16"/>
  <c r="P12" i="16"/>
  <c r="O44" i="16"/>
  <c r="O38" i="16"/>
  <c r="O34" i="16"/>
  <c r="O30" i="16"/>
  <c r="O16" i="16"/>
  <c r="O61" i="16"/>
  <c r="O35" i="16"/>
  <c r="O27" i="16"/>
  <c r="O17" i="16"/>
  <c r="O62" i="16"/>
  <c r="O32" i="16"/>
  <c r="O28" i="16"/>
  <c r="O18" i="16"/>
  <c r="O36" i="16"/>
  <c r="O31" i="16"/>
  <c r="O14" i="16"/>
  <c r="O13" i="16"/>
  <c r="N36" i="8"/>
  <c r="Q73" i="14"/>
  <c r="T108" i="13"/>
  <c r="N39" i="31"/>
  <c r="H73" i="25"/>
  <c r="H45" i="25"/>
  <c r="L43" i="10"/>
  <c r="E73" i="22"/>
  <c r="E52" i="22"/>
  <c r="E45" i="22"/>
  <c r="I40" i="10"/>
  <c r="E50" i="22"/>
  <c r="K73" i="24"/>
  <c r="K45" i="24"/>
  <c r="O42" i="10"/>
  <c r="E73" i="19"/>
  <c r="E45" i="19"/>
  <c r="I37" i="10"/>
  <c r="E52" i="19"/>
  <c r="E50" i="19"/>
  <c r="I73" i="25"/>
  <c r="I45" i="25"/>
  <c r="M43" i="10"/>
  <c r="I73" i="21"/>
  <c r="I45" i="21"/>
  <c r="M39" i="10"/>
  <c r="J45" i="19"/>
  <c r="J73" i="19"/>
  <c r="N37" i="10"/>
  <c r="F80" i="24"/>
  <c r="N39" i="29"/>
  <c r="N82" i="22"/>
  <c r="N79" i="22"/>
  <c r="N80" i="22"/>
  <c r="N85" i="22"/>
  <c r="I22" i="16"/>
  <c r="I24" i="16" s="1"/>
  <c r="I41" i="29"/>
  <c r="N16" i="8"/>
  <c r="N82" i="16"/>
  <c r="N85" i="16"/>
  <c r="N79" i="16"/>
  <c r="N80" i="16"/>
  <c r="N85" i="27"/>
  <c r="N82" i="27"/>
  <c r="N80" i="27"/>
  <c r="N79" i="27"/>
  <c r="E24" i="14"/>
  <c r="H47" i="13" s="1"/>
  <c r="G48" i="16" s="1"/>
  <c r="Q33" i="14"/>
  <c r="T104" i="13"/>
  <c r="Q43" i="14"/>
  <c r="T105" i="13"/>
  <c r="S4" i="14"/>
  <c r="R81" i="14"/>
  <c r="R82" i="14"/>
  <c r="U137" i="13" s="1"/>
  <c r="R21" i="14"/>
  <c r="R111" i="14"/>
  <c r="R32" i="14"/>
  <c r="U132" i="13" s="1"/>
  <c r="R71" i="14"/>
  <c r="R12" i="14"/>
  <c r="U130" i="13" s="1"/>
  <c r="R22" i="14"/>
  <c r="U131" i="13" s="1"/>
  <c r="R26" i="14"/>
  <c r="R92" i="14"/>
  <c r="U138" i="13" s="1"/>
  <c r="R112" i="14"/>
  <c r="U140" i="13" s="1"/>
  <c r="R91" i="14"/>
  <c r="R52" i="14"/>
  <c r="U134" i="13" s="1"/>
  <c r="R42" i="14"/>
  <c r="U133" i="13" s="1"/>
  <c r="R51" i="14"/>
  <c r="R11" i="14"/>
  <c r="R31" i="14"/>
  <c r="R72" i="14"/>
  <c r="U136" i="13" s="1"/>
  <c r="R41" i="14"/>
  <c r="R132" i="14"/>
  <c r="U142" i="13" s="1"/>
  <c r="R131" i="14"/>
  <c r="R106" i="14"/>
  <c r="R86" i="14"/>
  <c r="R66" i="14"/>
  <c r="R46" i="14"/>
  <c r="R166" i="14"/>
  <c r="R146" i="14"/>
  <c r="R6" i="14"/>
  <c r="R156" i="14"/>
  <c r="R36" i="14"/>
  <c r="R56" i="14"/>
  <c r="R96" i="14"/>
  <c r="R126" i="14"/>
  <c r="R116" i="14"/>
  <c r="R16" i="14"/>
  <c r="R76" i="14"/>
  <c r="R136" i="14"/>
  <c r="N19" i="31"/>
  <c r="O35" i="31"/>
  <c r="O31" i="31"/>
  <c r="O27" i="31"/>
  <c r="O17" i="31"/>
  <c r="O13" i="31"/>
  <c r="O34" i="31"/>
  <c r="O29" i="31"/>
  <c r="P12" i="31"/>
  <c r="O72" i="31"/>
  <c r="O44" i="31"/>
  <c r="O37" i="31"/>
  <c r="O32" i="31"/>
  <c r="O36" i="31"/>
  <c r="O18" i="31"/>
  <c r="O33" i="31"/>
  <c r="O30" i="31"/>
  <c r="O14" i="31"/>
  <c r="O15" i="31"/>
  <c r="O38" i="31"/>
  <c r="O28" i="31"/>
  <c r="O16" i="31"/>
  <c r="O23" i="31"/>
  <c r="O43" i="31"/>
  <c r="O47" i="31"/>
  <c r="O75" i="31"/>
  <c r="O66" i="31"/>
  <c r="O60" i="31"/>
  <c r="N20" i="21"/>
  <c r="N63" i="21"/>
  <c r="H45" i="19"/>
  <c r="H73" i="19"/>
  <c r="H52" i="19"/>
  <c r="L37" i="10"/>
  <c r="G9" i="14"/>
  <c r="G10" i="14" s="1"/>
  <c r="G8" i="14"/>
  <c r="G14" i="14" s="1"/>
  <c r="J46" i="13" s="1"/>
  <c r="I48" i="15" s="1"/>
  <c r="I45" i="19"/>
  <c r="I73" i="19"/>
  <c r="M37" i="10"/>
  <c r="J73" i="22"/>
  <c r="J45" i="22"/>
  <c r="N40" i="10"/>
  <c r="N63" i="16"/>
  <c r="N15" i="8"/>
  <c r="I41" i="28"/>
  <c r="L41" i="25"/>
  <c r="Q83" i="14"/>
  <c r="T109" i="13"/>
  <c r="K41" i="17"/>
  <c r="K73" i="23"/>
  <c r="K45" i="23"/>
  <c r="G45" i="21"/>
  <c r="G52" i="21"/>
  <c r="G73" i="21"/>
  <c r="G77" i="21" s="1"/>
  <c r="K39" i="10"/>
  <c r="F77" i="15"/>
  <c r="F80" i="15"/>
  <c r="E73" i="18"/>
  <c r="E45" i="18"/>
  <c r="I36" i="10"/>
  <c r="E52" i="18"/>
  <c r="F34" i="14"/>
  <c r="I48" i="13" s="1"/>
  <c r="H48" i="17" s="1"/>
  <c r="M21" i="19"/>
  <c r="M22" i="19" s="1"/>
  <c r="M24" i="19" s="1"/>
  <c r="N39" i="16"/>
  <c r="N27" i="8"/>
  <c r="N23" i="8"/>
  <c r="T103" i="13"/>
  <c r="Q23" i="14"/>
  <c r="J45" i="25"/>
  <c r="J73" i="25"/>
  <c r="N43" i="10"/>
  <c r="O36" i="21"/>
  <c r="O23" i="21"/>
  <c r="P12" i="21"/>
  <c r="O38" i="21"/>
  <c r="O61" i="21"/>
  <c r="O29" i="21"/>
  <c r="O27" i="21"/>
  <c r="O14" i="21"/>
  <c r="O44" i="21"/>
  <c r="O16" i="21"/>
  <c r="O33" i="21"/>
  <c r="O31" i="21"/>
  <c r="O18" i="21"/>
  <c r="O28" i="21"/>
  <c r="O15" i="21"/>
  <c r="O72" i="21"/>
  <c r="O32" i="21"/>
  <c r="O37" i="21"/>
  <c r="O30" i="21"/>
  <c r="O62" i="21"/>
  <c r="O17" i="21"/>
  <c r="O13" i="21"/>
  <c r="O35" i="21"/>
  <c r="O34" i="21"/>
  <c r="F45" i="27"/>
  <c r="J45" i="10"/>
  <c r="F73" i="27"/>
  <c r="M2" i="27"/>
  <c r="F52" i="27"/>
  <c r="D22" i="4"/>
  <c r="S31" i="13"/>
  <c r="F88" i="14"/>
  <c r="F89" i="14"/>
  <c r="F90" i="14" s="1"/>
  <c r="L45" i="18"/>
  <c r="L73" i="18"/>
  <c r="P36" i="10"/>
  <c r="G73" i="22"/>
  <c r="G45" i="22"/>
  <c r="K40" i="10"/>
  <c r="L21" i="8"/>
  <c r="L22" i="8" s="1"/>
  <c r="L24" i="8" s="1"/>
  <c r="L45" i="20"/>
  <c r="L73" i="20"/>
  <c r="F52" i="23"/>
  <c r="F45" i="23"/>
  <c r="F73" i="23"/>
  <c r="J41" i="10"/>
  <c r="D18" i="4"/>
  <c r="M2" i="23"/>
  <c r="S27" i="13"/>
  <c r="F50" i="23"/>
  <c r="L41" i="28"/>
  <c r="N19" i="22"/>
  <c r="N20" i="22" s="1"/>
  <c r="M21" i="31"/>
  <c r="M22" i="31" s="1"/>
  <c r="M24" i="31" s="1"/>
  <c r="G50" i="21"/>
  <c r="N34" i="8"/>
  <c r="N29" i="8"/>
  <c r="F73" i="22"/>
  <c r="F52" i="22"/>
  <c r="F45" i="22"/>
  <c r="J40" i="10"/>
  <c r="D17" i="4"/>
  <c r="M2" i="22"/>
  <c r="S26" i="13"/>
  <c r="E73" i="27"/>
  <c r="E45" i="27"/>
  <c r="I45" i="10"/>
  <c r="E52" i="27"/>
  <c r="E50" i="27"/>
  <c r="L41" i="24"/>
  <c r="H73" i="22"/>
  <c r="H45" i="22"/>
  <c r="L40" i="10"/>
  <c r="L41" i="16"/>
  <c r="J45" i="20"/>
  <c r="J73" i="20"/>
  <c r="N38" i="10"/>
  <c r="E134" i="14"/>
  <c r="H58" i="13" s="1"/>
  <c r="G48" i="27" s="1"/>
  <c r="G52" i="27" s="1"/>
  <c r="E73" i="15"/>
  <c r="E52" i="15"/>
  <c r="E45" i="15"/>
  <c r="I33" i="10"/>
  <c r="H80" i="30"/>
  <c r="F41" i="16"/>
  <c r="O62" i="23"/>
  <c r="O36" i="23"/>
  <c r="O32" i="23"/>
  <c r="O28" i="23"/>
  <c r="O18" i="23"/>
  <c r="O14" i="23"/>
  <c r="O72" i="23"/>
  <c r="O17" i="23"/>
  <c r="O29" i="23"/>
  <c r="O38" i="23"/>
  <c r="O13" i="23"/>
  <c r="O33" i="23"/>
  <c r="P12" i="23"/>
  <c r="O44" i="23"/>
  <c r="O61" i="23"/>
  <c r="O37" i="23"/>
  <c r="O16" i="23"/>
  <c r="O31" i="23"/>
  <c r="O15" i="23"/>
  <c r="O27" i="23"/>
  <c r="O30" i="23"/>
  <c r="O35" i="23"/>
  <c r="O23" i="23"/>
  <c r="O34" i="23"/>
  <c r="N20" i="23"/>
  <c r="M19" i="8"/>
  <c r="G50" i="25"/>
  <c r="N35" i="8"/>
  <c r="N33" i="8"/>
  <c r="O19" i="20"/>
  <c r="N20" i="27"/>
  <c r="F73" i="31"/>
  <c r="F45" i="31"/>
  <c r="J49" i="10"/>
  <c r="D26" i="4"/>
  <c r="Q93" i="14"/>
  <c r="T110" i="13"/>
  <c r="Q13" i="14"/>
  <c r="T102" i="13"/>
  <c r="F50" i="22"/>
  <c r="J17" i="4" s="1"/>
  <c r="N20" i="31"/>
  <c r="Q35" i="26"/>
  <c r="Q31" i="26"/>
  <c r="Q27" i="26"/>
  <c r="Q17" i="26"/>
  <c r="Q13" i="26"/>
  <c r="Q72" i="26"/>
  <c r="Q38" i="26"/>
  <c r="Q14" i="26"/>
  <c r="Q33" i="26"/>
  <c r="Q44" i="26"/>
  <c r="Q28" i="26"/>
  <c r="R12" i="26"/>
  <c r="Q37" i="26"/>
  <c r="Q32" i="26"/>
  <c r="Q16" i="26"/>
  <c r="Q36" i="26"/>
  <c r="Q34" i="26"/>
  <c r="Q29" i="26"/>
  <c r="Q18" i="26"/>
  <c r="Q15" i="26"/>
  <c r="Q30" i="26"/>
  <c r="Q23" i="26"/>
  <c r="Q43" i="26"/>
  <c r="Q47" i="26"/>
  <c r="Q60" i="26"/>
  <c r="Q75" i="26"/>
  <c r="Q66" i="26"/>
  <c r="H73" i="23"/>
  <c r="H45" i="23"/>
  <c r="L41" i="10"/>
  <c r="J73" i="31"/>
  <c r="J45" i="31"/>
  <c r="N49" i="10"/>
  <c r="M2" i="31"/>
  <c r="F38" i="14"/>
  <c r="F39" i="14"/>
  <c r="F40" i="14" s="1"/>
  <c r="H45" i="21"/>
  <c r="H73" i="21"/>
  <c r="L39" i="10"/>
  <c r="S25" i="13"/>
  <c r="F54" i="15"/>
  <c r="F56" i="15"/>
  <c r="F67" i="15" s="1"/>
  <c r="F68" i="15" s="1"/>
  <c r="H10" i="4"/>
  <c r="H50" i="19"/>
  <c r="O63" i="17"/>
  <c r="H41" i="16"/>
  <c r="E73" i="23"/>
  <c r="I41" i="10"/>
  <c r="E52" i="23"/>
  <c r="E45" i="23"/>
  <c r="E50" i="23"/>
  <c r="Q72" i="30"/>
  <c r="R12" i="30"/>
  <c r="Q34" i="30"/>
  <c r="Q29" i="30"/>
  <c r="Q17" i="30"/>
  <c r="Q37" i="30"/>
  <c r="Q32" i="30"/>
  <c r="Q27" i="30"/>
  <c r="Q30" i="30"/>
  <c r="Q33" i="30"/>
  <c r="Q35" i="30"/>
  <c r="Q44" i="30"/>
  <c r="Q36" i="30"/>
  <c r="Q31" i="30"/>
  <c r="Q13" i="30"/>
  <c r="Q15" i="30"/>
  <c r="Q16" i="30"/>
  <c r="Q23" i="30"/>
  <c r="Q14" i="30"/>
  <c r="Q28" i="30"/>
  <c r="Q38" i="30"/>
  <c r="Q18" i="30"/>
  <c r="Q60" i="30"/>
  <c r="Q47" i="30"/>
  <c r="Q43" i="30"/>
  <c r="Q66" i="30"/>
  <c r="Q75" i="30"/>
  <c r="E45" i="31"/>
  <c r="E73" i="31"/>
  <c r="I49" i="10"/>
  <c r="E21" i="8"/>
  <c r="E22" i="8" s="1"/>
  <c r="E24" i="8" s="1"/>
  <c r="O72" i="22"/>
  <c r="O44" i="22"/>
  <c r="O38" i="22"/>
  <c r="O34" i="22"/>
  <c r="O30" i="22"/>
  <c r="O16" i="22"/>
  <c r="O61" i="22"/>
  <c r="O35" i="22"/>
  <c r="O31" i="22"/>
  <c r="O27" i="22"/>
  <c r="O17" i="22"/>
  <c r="O13" i="22"/>
  <c r="O36" i="22"/>
  <c r="O23" i="22"/>
  <c r="P12" i="22"/>
  <c r="O14" i="22"/>
  <c r="O29" i="22"/>
  <c r="O18" i="22"/>
  <c r="O33" i="22"/>
  <c r="O28" i="22"/>
  <c r="O32" i="22"/>
  <c r="O37" i="22"/>
  <c r="O62" i="22"/>
  <c r="O15" i="22"/>
  <c r="O72" i="24"/>
  <c r="P12" i="24"/>
  <c r="O28" i="24"/>
  <c r="O34" i="24"/>
  <c r="O37" i="24"/>
  <c r="O32" i="24"/>
  <c r="O27" i="24"/>
  <c r="O16" i="24"/>
  <c r="O36" i="24"/>
  <c r="O31" i="24"/>
  <c r="O15" i="24"/>
  <c r="O35" i="24"/>
  <c r="O30" i="24"/>
  <c r="O14" i="24"/>
  <c r="O23" i="24"/>
  <c r="O13" i="24"/>
  <c r="O29" i="24"/>
  <c r="O18" i="24"/>
  <c r="O38" i="24"/>
  <c r="O33" i="24"/>
  <c r="O44" i="24"/>
  <c r="O17" i="24"/>
  <c r="O60" i="24"/>
  <c r="O66" i="24"/>
  <c r="O75" i="24"/>
  <c r="O47" i="24"/>
  <c r="O43" i="24"/>
  <c r="P39" i="30"/>
  <c r="L41" i="22"/>
  <c r="N80" i="19"/>
  <c r="N85" i="19"/>
  <c r="N82" i="19"/>
  <c r="N79" i="19"/>
  <c r="L41" i="19"/>
  <c r="P61" i="17"/>
  <c r="P35" i="17"/>
  <c r="P31" i="17"/>
  <c r="P27" i="17"/>
  <c r="P17" i="17"/>
  <c r="P13" i="17"/>
  <c r="P62" i="17"/>
  <c r="P36" i="17"/>
  <c r="P32" i="17"/>
  <c r="P28" i="17"/>
  <c r="P18" i="17"/>
  <c r="P14" i="17"/>
  <c r="P37" i="17"/>
  <c r="P29" i="17"/>
  <c r="Q12" i="17"/>
  <c r="P33" i="17"/>
  <c r="P16" i="17"/>
  <c r="P23" i="17"/>
  <c r="P34" i="17"/>
  <c r="P30" i="17"/>
  <c r="P72" i="17"/>
  <c r="P38" i="17"/>
  <c r="P44" i="17"/>
  <c r="P15" i="17"/>
  <c r="N20" i="15"/>
  <c r="O44" i="15"/>
  <c r="O38" i="15"/>
  <c r="O34" i="15"/>
  <c r="O30" i="15"/>
  <c r="O16" i="15"/>
  <c r="O61" i="15"/>
  <c r="O35" i="15"/>
  <c r="O31" i="15"/>
  <c r="O27" i="15"/>
  <c r="O17" i="15"/>
  <c r="O13" i="15"/>
  <c r="O62" i="15"/>
  <c r="O28" i="15"/>
  <c r="O14" i="15"/>
  <c r="P12" i="15"/>
  <c r="O18" i="15"/>
  <c r="O37" i="15"/>
  <c r="O33" i="15"/>
  <c r="O15" i="15"/>
  <c r="O72" i="15"/>
  <c r="O36" i="15"/>
  <c r="O29" i="15"/>
  <c r="O32" i="15"/>
  <c r="O23" i="15"/>
  <c r="N39" i="24"/>
  <c r="P20" i="30"/>
  <c r="O85" i="17"/>
  <c r="O80" i="17"/>
  <c r="O79" i="17"/>
  <c r="O82" i="17"/>
  <c r="N79" i="15"/>
  <c r="N85" i="15"/>
  <c r="N80" i="15"/>
  <c r="N82" i="15"/>
  <c r="F45" i="28"/>
  <c r="J46" i="10"/>
  <c r="F73" i="28"/>
  <c r="D23" i="4"/>
  <c r="F21" i="8"/>
  <c r="F22" i="8" s="1"/>
  <c r="F24" i="8" s="1"/>
  <c r="N39" i="22"/>
  <c r="E45" i="28"/>
  <c r="E73" i="28"/>
  <c r="I46" i="10"/>
  <c r="N17" i="8"/>
  <c r="N37" i="8"/>
  <c r="O20" i="20"/>
  <c r="E41" i="29"/>
  <c r="G52" i="18"/>
  <c r="G45" i="18"/>
  <c r="G73" i="18"/>
  <c r="G77" i="18" s="1"/>
  <c r="K36" i="10"/>
  <c r="J45" i="18"/>
  <c r="J73" i="18"/>
  <c r="N36" i="10"/>
  <c r="K45" i="21"/>
  <c r="K73" i="21"/>
  <c r="O39" i="10"/>
  <c r="I73" i="22"/>
  <c r="I45" i="22"/>
  <c r="M40" i="10"/>
  <c r="F73" i="19"/>
  <c r="F45" i="19"/>
  <c r="F52" i="19"/>
  <c r="D14" i="4"/>
  <c r="J37" i="10"/>
  <c r="M2" i="19"/>
  <c r="F50" i="19"/>
  <c r="I45" i="23"/>
  <c r="I73" i="23"/>
  <c r="M41" i="10"/>
  <c r="O21" i="30"/>
  <c r="O22" i="30" s="1"/>
  <c r="O24" i="30" s="1"/>
  <c r="N19" i="29"/>
  <c r="N20" i="29" s="1"/>
  <c r="N39" i="23"/>
  <c r="N13" i="8"/>
  <c r="O39" i="20"/>
  <c r="F41" i="29"/>
  <c r="I45" i="31"/>
  <c r="I73" i="31"/>
  <c r="S35" i="13"/>
  <c r="M49" i="10"/>
  <c r="K45" i="20"/>
  <c r="K73" i="20"/>
  <c r="K73" i="22"/>
  <c r="K45" i="22"/>
  <c r="O40" i="10"/>
  <c r="I73" i="15"/>
  <c r="I45" i="15"/>
  <c r="M33" i="10"/>
  <c r="G45" i="23"/>
  <c r="G52" i="23"/>
  <c r="G73" i="23"/>
  <c r="G77" i="23" s="1"/>
  <c r="K41" i="10"/>
  <c r="L5" i="52"/>
  <c r="D11" i="1"/>
  <c r="D5096" i="49"/>
  <c r="D5089" i="49"/>
  <c r="D5099" i="49"/>
  <c r="D5100" i="49"/>
  <c r="D5095" i="49"/>
  <c r="D5088" i="49"/>
  <c r="D5091" i="49"/>
  <c r="D5094" i="49"/>
  <c r="D5092" i="49"/>
  <c r="D5103" i="49"/>
  <c r="D5093" i="49"/>
  <c r="D5090" i="49"/>
  <c r="D5102" i="49"/>
  <c r="D4811" i="49"/>
  <c r="D4808" i="49"/>
  <c r="D5104" i="49"/>
  <c r="D5098" i="49"/>
  <c r="D4815" i="49"/>
  <c r="D4805" i="49"/>
  <c r="D4802" i="49"/>
  <c r="D4812" i="49"/>
  <c r="D4806" i="49"/>
  <c r="D4804" i="49"/>
  <c r="D4810" i="49"/>
  <c r="D4799" i="49"/>
  <c r="D4525" i="49"/>
  <c r="D4519" i="49"/>
  <c r="D4513" i="49"/>
  <c r="D5101" i="49"/>
  <c r="D4814" i="49"/>
  <c r="D4801" i="49"/>
  <c r="D4526" i="49"/>
  <c r="D4516" i="49"/>
  <c r="D4807" i="49"/>
  <c r="D4233" i="49"/>
  <c r="D4227" i="49"/>
  <c r="D4221" i="49"/>
  <c r="D4523" i="49"/>
  <c r="D4520" i="49"/>
  <c r="D4510" i="49"/>
  <c r="D4231" i="49"/>
  <c r="D4228" i="49"/>
  <c r="D4813" i="49"/>
  <c r="D4803" i="49"/>
  <c r="D4518" i="49"/>
  <c r="D5097" i="49"/>
  <c r="D4235" i="49"/>
  <c r="D4225" i="49"/>
  <c r="D4222" i="49"/>
  <c r="D3946" i="49"/>
  <c r="D3940" i="49"/>
  <c r="D3934" i="49"/>
  <c r="D4524" i="49"/>
  <c r="D4522" i="49"/>
  <c r="D4511" i="49"/>
  <c r="D4236" i="49"/>
  <c r="D4234" i="49"/>
  <c r="D4223" i="49"/>
  <c r="D3948" i="49"/>
  <c r="D4515" i="49"/>
  <c r="D4229" i="49"/>
  <c r="D3945" i="49"/>
  <c r="D3942" i="49"/>
  <c r="D3932" i="49"/>
  <c r="D3656" i="49"/>
  <c r="D3650" i="49"/>
  <c r="D3644" i="49"/>
  <c r="D3368" i="49"/>
  <c r="D3362" i="49"/>
  <c r="D3356" i="49"/>
  <c r="D4521" i="49"/>
  <c r="D4512" i="49"/>
  <c r="D4230" i="49"/>
  <c r="D4800" i="49"/>
  <c r="D4514" i="49"/>
  <c r="D4224" i="49"/>
  <c r="D4809" i="49"/>
  <c r="D4232" i="49"/>
  <c r="D3937" i="49"/>
  <c r="D3643" i="49"/>
  <c r="D4237" i="49"/>
  <c r="D3944" i="49"/>
  <c r="D3935" i="49"/>
  <c r="D3933" i="49"/>
  <c r="D3652" i="49"/>
  <c r="D4226" i="49"/>
  <c r="D3648" i="49"/>
  <c r="D3939" i="49"/>
  <c r="D3657" i="49"/>
  <c r="D3355" i="49"/>
  <c r="D3653" i="49"/>
  <c r="D3364" i="49"/>
  <c r="D3936" i="49"/>
  <c r="D3659" i="49"/>
  <c r="D3360" i="49"/>
  <c r="D3645" i="49"/>
  <c r="D3943" i="49"/>
  <c r="D3654" i="49"/>
  <c r="D3363" i="49"/>
  <c r="D3076" i="49"/>
  <c r="D3070" i="49"/>
  <c r="D2788" i="49"/>
  <c r="D2782" i="49"/>
  <c r="D2776" i="49"/>
  <c r="D3947" i="49"/>
  <c r="D3369" i="49"/>
  <c r="D3366" i="49"/>
  <c r="D3658" i="49"/>
  <c r="D3649" i="49"/>
  <c r="D3081" i="49"/>
  <c r="D3078" i="49"/>
  <c r="D3068" i="49"/>
  <c r="D3065" i="49"/>
  <c r="D4517" i="49"/>
  <c r="D3647" i="49"/>
  <c r="D3365" i="49"/>
  <c r="D3075" i="49"/>
  <c r="D3072" i="49"/>
  <c r="D3370" i="49"/>
  <c r="D3651" i="49"/>
  <c r="D2503" i="49"/>
  <c r="D2497" i="49"/>
  <c r="D2491" i="49"/>
  <c r="D2789" i="49"/>
  <c r="D3080" i="49"/>
  <c r="D3073" i="49"/>
  <c r="D3066" i="49"/>
  <c r="D2498" i="49"/>
  <c r="D2492" i="49"/>
  <c r="D2210" i="49"/>
  <c r="D2204" i="49"/>
  <c r="D2198" i="49"/>
  <c r="D1922" i="49"/>
  <c r="D1916" i="49"/>
  <c r="D1910" i="49"/>
  <c r="D3071" i="49"/>
  <c r="D2499" i="49"/>
  <c r="D2493" i="49"/>
  <c r="D2487" i="49"/>
  <c r="D2211" i="49"/>
  <c r="D2205" i="49"/>
  <c r="D2199" i="49"/>
  <c r="D1923" i="49"/>
  <c r="D1917" i="49"/>
  <c r="D1911" i="49"/>
  <c r="D3359" i="49"/>
  <c r="D2792" i="49"/>
  <c r="D2790" i="49"/>
  <c r="D2785" i="49"/>
  <c r="D2778" i="49"/>
  <c r="D2783" i="49"/>
  <c r="D2496" i="49"/>
  <c r="D2212" i="49"/>
  <c r="D2202" i="49"/>
  <c r="D1919" i="49"/>
  <c r="D1909" i="49"/>
  <c r="D3938" i="49"/>
  <c r="D3361" i="49"/>
  <c r="D3077" i="49"/>
  <c r="D3074" i="49"/>
  <c r="D3646" i="49"/>
  <c r="D3354" i="49"/>
  <c r="D2786" i="49"/>
  <c r="D2777" i="49"/>
  <c r="D2209" i="49"/>
  <c r="D2206" i="49"/>
  <c r="D1913" i="49"/>
  <c r="D3367" i="49"/>
  <c r="D3079" i="49"/>
  <c r="D2489" i="49"/>
  <c r="D2213" i="49"/>
  <c r="D2203" i="49"/>
  <c r="D2200" i="49"/>
  <c r="D1920" i="49"/>
  <c r="D3067" i="49"/>
  <c r="D2495" i="49"/>
  <c r="D3655" i="49"/>
  <c r="D3069" i="49"/>
  <c r="D2780" i="49"/>
  <c r="D2500" i="49"/>
  <c r="D2207" i="49"/>
  <c r="D2779" i="49"/>
  <c r="D2784" i="49"/>
  <c r="D2214" i="49"/>
  <c r="D1918" i="49"/>
  <c r="D3358" i="49"/>
  <c r="D2490" i="49"/>
  <c r="D2488" i="49"/>
  <c r="D3357" i="49"/>
  <c r="D2494" i="49"/>
  <c r="D1924" i="49"/>
  <c r="D1628" i="49"/>
  <c r="D1624" i="49"/>
  <c r="D1915" i="49"/>
  <c r="D1620" i="49"/>
  <c r="D2791" i="49"/>
  <c r="D2208" i="49"/>
  <c r="D1633" i="49"/>
  <c r="D1332" i="49"/>
  <c r="D1625" i="49"/>
  <c r="D1622" i="49"/>
  <c r="D1345" i="49"/>
  <c r="D1341" i="49"/>
  <c r="D1921" i="49"/>
  <c r="D1636" i="49"/>
  <c r="D1337" i="49"/>
  <c r="D2781" i="49"/>
  <c r="D1333" i="49"/>
  <c r="D1054" i="49"/>
  <c r="D1048" i="49"/>
  <c r="D1042" i="49"/>
  <c r="D766" i="49"/>
  <c r="D760" i="49"/>
  <c r="D754" i="49"/>
  <c r="D1634" i="49"/>
  <c r="D1623" i="49"/>
  <c r="D1912" i="49"/>
  <c r="D1346" i="49"/>
  <c r="D1342" i="49"/>
  <c r="D2787" i="49"/>
  <c r="D2201" i="49"/>
  <c r="D1631" i="49"/>
  <c r="D3941" i="49"/>
  <c r="D1914" i="49"/>
  <c r="D1630" i="49"/>
  <c r="D1335" i="49"/>
  <c r="D1058" i="49"/>
  <c r="D1055" i="49"/>
  <c r="D1045" i="49"/>
  <c r="D2502" i="49"/>
  <c r="D1632" i="49"/>
  <c r="D1621" i="49"/>
  <c r="D1339" i="49"/>
  <c r="D1052" i="49"/>
  <c r="D1049" i="49"/>
  <c r="D480" i="49"/>
  <c r="D474" i="49"/>
  <c r="D468" i="49"/>
  <c r="D2501" i="49"/>
  <c r="D1635" i="49"/>
  <c r="D1343" i="49"/>
  <c r="D767" i="49"/>
  <c r="D757" i="49"/>
  <c r="D1334" i="49"/>
  <c r="D1925" i="49"/>
  <c r="D1629" i="49"/>
  <c r="D1050" i="49"/>
  <c r="D769" i="49"/>
  <c r="D762" i="49"/>
  <c r="D755" i="49"/>
  <c r="D467" i="49"/>
  <c r="D476" i="49"/>
  <c r="D189" i="49"/>
  <c r="B189" i="50" s="1"/>
  <c r="D186" i="49"/>
  <c r="B186" i="50" s="1"/>
  <c r="D183" i="49"/>
  <c r="B183" i="50" s="1"/>
  <c r="D1056" i="49"/>
  <c r="D1043" i="49"/>
  <c r="D472" i="49"/>
  <c r="D464" i="49"/>
  <c r="D1626" i="49"/>
  <c r="D473" i="49"/>
  <c r="D469" i="49"/>
  <c r="D1344" i="49"/>
  <c r="D1053" i="49"/>
  <c r="D1051" i="49"/>
  <c r="D1627" i="49"/>
  <c r="D759" i="49"/>
  <c r="D477" i="49"/>
  <c r="D475" i="49"/>
  <c r="D466" i="49"/>
  <c r="D191" i="49"/>
  <c r="B191" i="50" s="1"/>
  <c r="D184" i="49"/>
  <c r="B184" i="50" s="1"/>
  <c r="D179" i="49"/>
  <c r="B179" i="50" s="1"/>
  <c r="D761" i="49"/>
  <c r="D1046" i="49"/>
  <c r="D758" i="49"/>
  <c r="D470" i="49"/>
  <c r="D182" i="49"/>
  <c r="B182" i="50" s="1"/>
  <c r="D764" i="49"/>
  <c r="D185" i="49"/>
  <c r="B185" i="50" s="1"/>
  <c r="D180" i="49"/>
  <c r="B180" i="50" s="1"/>
  <c r="D175" i="49"/>
  <c r="B175" i="50" s="1"/>
  <c r="D1347" i="49"/>
  <c r="D1057" i="49"/>
  <c r="D1044" i="49"/>
  <c r="D188" i="49"/>
  <c r="B188" i="50" s="1"/>
  <c r="D1340" i="49"/>
  <c r="D187" i="49"/>
  <c r="B187" i="50" s="1"/>
  <c r="D1338" i="49"/>
  <c r="D465" i="49"/>
  <c r="D1336" i="49"/>
  <c r="D753" i="49"/>
  <c r="D176" i="49"/>
  <c r="B176" i="50" s="1"/>
  <c r="D768" i="49"/>
  <c r="D190" i="49"/>
  <c r="B190" i="50" s="1"/>
  <c r="D1047" i="49"/>
  <c r="D765" i="49"/>
  <c r="D178" i="49"/>
  <c r="B178" i="50" s="1"/>
  <c r="D763" i="49"/>
  <c r="D177" i="49"/>
  <c r="B177" i="50" s="1"/>
  <c r="D479" i="49"/>
  <c r="D1331" i="49"/>
  <c r="D478" i="49"/>
  <c r="P12" i="8"/>
  <c r="D181" i="49"/>
  <c r="B181" i="50" s="1"/>
  <c r="O72" i="8"/>
  <c r="D756" i="49"/>
  <c r="D471" i="49"/>
  <c r="O43" i="8"/>
  <c r="O47" i="8"/>
  <c r="I73" i="18"/>
  <c r="I45" i="18"/>
  <c r="M36" i="10"/>
  <c r="N19" i="24"/>
  <c r="N20" i="24" s="1"/>
  <c r="M21" i="23"/>
  <c r="M22" i="23" s="1"/>
  <c r="M24" i="23" s="1"/>
  <c r="N82" i="25"/>
  <c r="N80" i="25"/>
  <c r="N85" i="25"/>
  <c r="N79" i="25"/>
  <c r="M21" i="21"/>
  <c r="M22" i="21" s="1"/>
  <c r="M24" i="21" s="1"/>
  <c r="H45" i="27"/>
  <c r="H73" i="27"/>
  <c r="L45" i="10"/>
  <c r="N19" i="28"/>
  <c r="N20" i="28" s="1"/>
  <c r="N39" i="15"/>
  <c r="O16" i="29"/>
  <c r="O72" i="29"/>
  <c r="O31" i="29"/>
  <c r="O23" i="29"/>
  <c r="O44" i="29"/>
  <c r="O37" i="29"/>
  <c r="O34" i="29"/>
  <c r="O33" i="29"/>
  <c r="O28" i="29"/>
  <c r="O27" i="29"/>
  <c r="O17" i="29"/>
  <c r="O14" i="29"/>
  <c r="O19" i="29" s="1"/>
  <c r="O38" i="29"/>
  <c r="O35" i="29"/>
  <c r="O32" i="29"/>
  <c r="O30" i="29"/>
  <c r="O29" i="29"/>
  <c r="O13" i="29"/>
  <c r="P12" i="29"/>
  <c r="O18" i="29"/>
  <c r="O15" i="29"/>
  <c r="O36" i="29"/>
  <c r="O60" i="29"/>
  <c r="O75" i="29"/>
  <c r="O47" i="29"/>
  <c r="O43" i="29"/>
  <c r="O66" i="29"/>
  <c r="N79" i="29"/>
  <c r="N80" i="29"/>
  <c r="N82" i="29"/>
  <c r="N85" i="29"/>
  <c r="J21" i="8"/>
  <c r="J22" i="8" s="1"/>
  <c r="J24" i="8" s="1"/>
  <c r="M39" i="8"/>
  <c r="N20" i="25"/>
  <c r="N19" i="19"/>
  <c r="N20" i="19" s="1"/>
  <c r="M20" i="8"/>
  <c r="N82" i="24"/>
  <c r="N80" i="24"/>
  <c r="N85" i="24"/>
  <c r="N79" i="24"/>
  <c r="N39" i="28"/>
  <c r="P82" i="30"/>
  <c r="P85" i="30"/>
  <c r="P79" i="30"/>
  <c r="P80" i="30"/>
  <c r="H45" i="31"/>
  <c r="H73" i="31"/>
  <c r="L49" i="10"/>
  <c r="O20" i="17"/>
  <c r="N63" i="22"/>
  <c r="H41" i="29"/>
  <c r="N31" i="8"/>
  <c r="N19" i="16"/>
  <c r="N20" i="16" s="1"/>
  <c r="N14" i="8"/>
  <c r="N19" i="8" s="1"/>
  <c r="N39" i="27"/>
  <c r="G54" i="15"/>
  <c r="G56" i="15" s="1"/>
  <c r="G67" i="15" s="1"/>
  <c r="G68" i="15" s="1"/>
  <c r="T106" i="13"/>
  <c r="Q53" i="14"/>
  <c r="T112" i="13"/>
  <c r="Q113" i="14"/>
  <c r="G73" i="25"/>
  <c r="G77" i="25" s="1"/>
  <c r="G45" i="25"/>
  <c r="G52" i="25"/>
  <c r="K43" i="10"/>
  <c r="S29" i="13"/>
  <c r="I45" i="20"/>
  <c r="I73" i="20"/>
  <c r="M38" i="10"/>
  <c r="P39" i="26"/>
  <c r="F73" i="25"/>
  <c r="J43" i="10"/>
  <c r="F45" i="25"/>
  <c r="M2" i="25"/>
  <c r="F52" i="25"/>
  <c r="D20" i="4"/>
  <c r="F50" i="25"/>
  <c r="I73" i="27"/>
  <c r="I45" i="27"/>
  <c r="M45" i="10"/>
  <c r="E45" i="20"/>
  <c r="E73" i="20"/>
  <c r="I38" i="10"/>
  <c r="H52" i="15"/>
  <c r="K73" i="31"/>
  <c r="K45" i="31"/>
  <c r="O49" i="10"/>
  <c r="G45" i="28"/>
  <c r="G73" i="28"/>
  <c r="K46" i="10"/>
  <c r="E78" i="14"/>
  <c r="E79" i="14"/>
  <c r="E80" i="14" s="1"/>
  <c r="H1327" i="49"/>
  <c r="H1325" i="49"/>
  <c r="H1326" i="49"/>
  <c r="H1315" i="49"/>
  <c r="H3349" i="49"/>
  <c r="H3348" i="49"/>
  <c r="H3350" i="49"/>
  <c r="E190" i="46"/>
  <c r="H1506" i="49"/>
  <c r="N8" i="51"/>
  <c r="E191" i="46"/>
  <c r="H1314" i="49"/>
  <c r="H1297" i="49"/>
  <c r="H891" i="49"/>
  <c r="H2149" i="49"/>
  <c r="H1182" i="49"/>
  <c r="H3188" i="49"/>
  <c r="E488" i="46"/>
  <c r="H2034" i="49"/>
  <c r="E299" i="46"/>
  <c r="E95" i="46"/>
  <c r="H4494" i="49"/>
  <c r="H1522" i="49"/>
  <c r="E216" i="46"/>
  <c r="H2712" i="49"/>
  <c r="E163" i="46"/>
  <c r="H2629" i="49"/>
  <c r="E394" i="46"/>
  <c r="O7" i="51"/>
  <c r="E803" i="46"/>
  <c r="H2644" i="49"/>
  <c r="H4799" i="49"/>
  <c r="H2207" i="49"/>
  <c r="H1912" i="49"/>
  <c r="H1045" i="49"/>
  <c r="H1051" i="49"/>
  <c r="H4205" i="49"/>
  <c r="H3240" i="49"/>
  <c r="H1794" i="49"/>
  <c r="E527" i="46"/>
  <c r="H1216" i="49"/>
  <c r="H2372" i="49"/>
  <c r="H3801" i="49"/>
  <c r="H2661" i="49"/>
  <c r="H1471" i="49"/>
  <c r="H2646" i="49"/>
  <c r="H4800" i="49"/>
  <c r="H2779" i="49"/>
  <c r="H3817" i="49"/>
  <c r="H4973" i="49"/>
  <c r="H3239" i="49"/>
  <c r="E202" i="46"/>
  <c r="E227" i="46"/>
  <c r="H1165" i="49"/>
  <c r="E152" i="46"/>
  <c r="H737" i="49"/>
  <c r="H2627" i="49"/>
  <c r="H5054" i="49"/>
  <c r="P16" i="51"/>
  <c r="H3363" i="49"/>
  <c r="H3834" i="49"/>
  <c r="E600" i="46"/>
  <c r="H3222" i="49"/>
  <c r="E431" i="46"/>
  <c r="H2083" i="49"/>
  <c r="H1052" i="49"/>
  <c r="E179" i="46"/>
  <c r="H3224" i="49"/>
  <c r="H3630" i="49"/>
  <c r="O10" i="51"/>
  <c r="E490" i="46"/>
  <c r="E298" i="46"/>
  <c r="E346" i="46"/>
  <c r="H1456" i="49"/>
  <c r="E203" i="46"/>
  <c r="H2100" i="49"/>
  <c r="E312" i="46"/>
  <c r="H4121" i="49"/>
  <c r="E647" i="46"/>
  <c r="F18" i="3"/>
  <c r="H2423" i="49"/>
  <c r="H2497" i="49"/>
  <c r="E275" i="46"/>
  <c r="E611" i="46"/>
  <c r="H1505" i="49"/>
  <c r="H3305" i="49"/>
  <c r="H3049" i="49"/>
  <c r="H1473" i="49"/>
  <c r="H3942" i="49"/>
  <c r="H1910" i="49"/>
  <c r="H1184" i="49"/>
  <c r="E134" i="46"/>
  <c r="H942" i="49"/>
  <c r="F7" i="3"/>
  <c r="E119" i="46"/>
  <c r="E623" i="46"/>
  <c r="H2182" i="49"/>
  <c r="E239" i="46"/>
  <c r="H2760" i="49"/>
  <c r="H1629" i="49"/>
  <c r="H585" i="49"/>
  <c r="E55" i="46"/>
  <c r="E6" i="3"/>
  <c r="H1556" i="49"/>
  <c r="H2117" i="49"/>
  <c r="H1604" i="49"/>
  <c r="H2049" i="49"/>
  <c r="E515" i="46"/>
  <c r="N21" i="51"/>
  <c r="N11" i="51"/>
  <c r="E144" i="46"/>
  <c r="K7" i="40"/>
  <c r="H1571" i="49"/>
  <c r="E371" i="46"/>
  <c r="H4513" i="49"/>
  <c r="H4224" i="49"/>
  <c r="H3068" i="49"/>
  <c r="H1334" i="49"/>
  <c r="H4786" i="49"/>
  <c r="H2772" i="49"/>
  <c r="H2770" i="49"/>
  <c r="H2771" i="49"/>
  <c r="H3883" i="49"/>
  <c r="H908" i="49"/>
  <c r="H1507" i="49"/>
  <c r="H1167" i="49"/>
  <c r="E155" i="46"/>
  <c r="H3783" i="49"/>
  <c r="H1284" i="49"/>
  <c r="E595" i="46"/>
  <c r="E19" i="46"/>
  <c r="H602" i="49"/>
  <c r="H4939" i="49"/>
  <c r="E383" i="46"/>
  <c r="E46" i="46"/>
  <c r="H1250" i="49"/>
  <c r="H2389" i="49"/>
  <c r="E360" i="46"/>
  <c r="H2785" i="49"/>
  <c r="H3646" i="49"/>
  <c r="H2208" i="49"/>
  <c r="H1054" i="49"/>
  <c r="H2201" i="49"/>
  <c r="H1043" i="49"/>
  <c r="E11" i="46"/>
  <c r="H636" i="49"/>
  <c r="H3851" i="49"/>
  <c r="H719" i="49"/>
  <c r="H1488" i="49"/>
  <c r="H1614" i="49"/>
  <c r="H1616" i="49"/>
  <c r="H1615" i="49"/>
  <c r="H3868" i="49"/>
  <c r="H2406" i="49"/>
  <c r="H2066" i="49"/>
  <c r="H928" i="49"/>
  <c r="E334" i="46"/>
  <c r="H959" i="49"/>
  <c r="H4461" i="49"/>
  <c r="L18" i="51"/>
  <c r="H1490" i="49"/>
  <c r="N15" i="51"/>
  <c r="H4106" i="49"/>
  <c r="H617" i="49"/>
  <c r="E622" i="46"/>
  <c r="H3338" i="49"/>
  <c r="H2051" i="49"/>
  <c r="H4138" i="49"/>
  <c r="H3001" i="49"/>
  <c r="H3256" i="49"/>
  <c r="E504" i="46"/>
  <c r="H1539" i="49"/>
  <c r="H976" i="49"/>
  <c r="H2068" i="49"/>
  <c r="H3766" i="49"/>
  <c r="E584" i="46"/>
  <c r="H704" i="49"/>
  <c r="E8" i="46"/>
  <c r="E403" i="46"/>
  <c r="H1845" i="49"/>
  <c r="H5091" i="49"/>
  <c r="H3644" i="49"/>
  <c r="H2786" i="49"/>
  <c r="H2490" i="49"/>
  <c r="H3941" i="49"/>
  <c r="H756" i="49"/>
  <c r="H3205" i="49"/>
  <c r="H5024" i="49"/>
  <c r="H4393" i="49"/>
  <c r="H1811" i="49"/>
  <c r="E264" i="46"/>
  <c r="H3916" i="49"/>
  <c r="H3322" i="49"/>
  <c r="E526" i="46"/>
  <c r="N9" i="51"/>
  <c r="N6" i="51"/>
  <c r="H651" i="49"/>
  <c r="E69" i="46"/>
  <c r="H1862" i="49"/>
  <c r="H5007" i="49"/>
  <c r="H2471" i="49"/>
  <c r="H4342" i="49"/>
  <c r="E19" i="3"/>
  <c r="E679" i="46"/>
  <c r="H2678" i="49"/>
  <c r="E408" i="46"/>
  <c r="E35" i="46"/>
  <c r="H4802" i="49"/>
  <c r="H3643" i="49"/>
  <c r="H3364" i="49"/>
  <c r="H2496" i="49"/>
  <c r="H670" i="49"/>
  <c r="H925" i="49"/>
  <c r="H1010" i="49"/>
  <c r="H3190" i="49"/>
  <c r="E491" i="46"/>
  <c r="E238" i="46"/>
  <c r="E94" i="46"/>
  <c r="E211" i="46"/>
  <c r="H4410" i="49"/>
  <c r="E695" i="46"/>
  <c r="F19" i="3"/>
  <c r="H622" i="49"/>
  <c r="E335" i="46"/>
  <c r="H2340" i="49"/>
  <c r="H1828" i="49"/>
  <c r="E430" i="46"/>
  <c r="N14" i="51"/>
  <c r="H2438" i="49"/>
  <c r="H4055" i="49"/>
  <c r="E632" i="46"/>
  <c r="H3357" i="49"/>
  <c r="H1630" i="49"/>
  <c r="H762" i="49"/>
  <c r="H1233" i="49"/>
  <c r="E168" i="46"/>
  <c r="H4922" i="49"/>
  <c r="E776" i="46"/>
  <c r="N12" i="51"/>
  <c r="E643" i="46"/>
  <c r="H1201" i="49"/>
  <c r="E278" i="46"/>
  <c r="E24" i="46"/>
  <c r="H2164" i="49"/>
  <c r="H2483" i="49"/>
  <c r="H2482" i="49"/>
  <c r="H2481" i="49"/>
  <c r="H1743" i="49"/>
  <c r="E248" i="46"/>
  <c r="H4089" i="49"/>
  <c r="N13" i="51"/>
  <c r="H2612" i="49"/>
  <c r="E395" i="46"/>
  <c r="E787" i="46"/>
  <c r="E47" i="46"/>
  <c r="H3207" i="49"/>
  <c r="E259" i="46"/>
  <c r="H4155" i="49"/>
  <c r="H4956" i="49"/>
  <c r="H3800" i="49"/>
  <c r="H4429" i="49"/>
  <c r="H1267" i="49"/>
  <c r="H4376" i="49"/>
  <c r="H3926" i="49"/>
  <c r="H3928" i="49"/>
  <c r="H3927" i="49"/>
  <c r="N17" i="51"/>
  <c r="E307" i="46"/>
  <c r="H689" i="49"/>
  <c r="E355" i="46"/>
  <c r="E25" i="46"/>
  <c r="H1586" i="49"/>
  <c r="H3273" i="49"/>
  <c r="H3785" i="49"/>
  <c r="H4172" i="49"/>
  <c r="H2338" i="49"/>
  <c r="H3768" i="49"/>
  <c r="E587" i="46"/>
  <c r="H763" i="49"/>
  <c r="H2610" i="49"/>
  <c r="E392" i="46"/>
  <c r="H1623" i="49"/>
  <c r="H1055" i="49"/>
  <c r="H1053" i="49"/>
  <c r="H5039" i="49"/>
  <c r="H2453" i="49"/>
  <c r="L19" i="51"/>
  <c r="H1777" i="49"/>
  <c r="H995" i="49"/>
  <c r="E499" i="46"/>
  <c r="H1760" i="49"/>
  <c r="H2323" i="49"/>
  <c r="E347" i="46"/>
  <c r="E323" i="46"/>
  <c r="H2193" i="49"/>
  <c r="H2194" i="49"/>
  <c r="H2192" i="49"/>
  <c r="H747" i="49"/>
  <c r="H748" i="49"/>
  <c r="H749" i="49"/>
  <c r="E586" i="46"/>
  <c r="P20" i="51"/>
  <c r="H4072" i="49"/>
  <c r="H1199" i="49"/>
  <c r="H2134" i="49"/>
  <c r="E419" i="46"/>
  <c r="H4359" i="49"/>
  <c r="H3935" i="49"/>
  <c r="H1341" i="49"/>
  <c r="H1340" i="49"/>
  <c r="H2355" i="49"/>
  <c r="H3016" i="49"/>
  <c r="E382" i="46"/>
  <c r="H874" i="49"/>
  <c r="E7" i="3"/>
  <c r="E103" i="46"/>
  <c r="H2727" i="49"/>
  <c r="H1877" i="49"/>
  <c r="H3802" i="49"/>
  <c r="H2695" i="49"/>
  <c r="H2032" i="49"/>
  <c r="E296" i="46"/>
  <c r="H5072" i="49"/>
  <c r="H2321" i="49"/>
  <c r="E344" i="46"/>
  <c r="H1454" i="49"/>
  <c r="E200" i="46"/>
  <c r="H4990" i="49"/>
  <c r="E792" i="46"/>
  <c r="H1025" i="49"/>
  <c r="H4187" i="49"/>
  <c r="H2742" i="49"/>
  <c r="H3898" i="49"/>
  <c r="H3031" i="49"/>
  <c r="E757" i="46"/>
  <c r="H3241" i="49"/>
  <c r="H1892" i="49"/>
  <c r="E565" i="46"/>
  <c r="J1297" i="49" l="1"/>
  <c r="Q1297" i="49" s="1"/>
  <c r="Q1314" i="49"/>
  <c r="J1314" i="49"/>
  <c r="J191" i="46"/>
  <c r="J1506" i="49"/>
  <c r="Q1506" i="49" s="1"/>
  <c r="J190" i="46"/>
  <c r="J3350" i="49"/>
  <c r="Q3350" i="49"/>
  <c r="J3348" i="49"/>
  <c r="Q3348" i="49" s="1"/>
  <c r="Q3349" i="49"/>
  <c r="J3349" i="49"/>
  <c r="J1315" i="49"/>
  <c r="Q1315" i="49" s="1"/>
  <c r="J1326" i="49"/>
  <c r="Q1326" i="49" s="1"/>
  <c r="J1325" i="49"/>
  <c r="Q1325" i="49" s="1"/>
  <c r="J1327" i="49"/>
  <c r="Q1327" i="49" s="1"/>
  <c r="M41" i="18"/>
  <c r="O39" i="31"/>
  <c r="N41" i="18"/>
  <c r="F74" i="14"/>
  <c r="I52" i="13" s="1"/>
  <c r="H48" i="21" s="1"/>
  <c r="O19" i="18"/>
  <c r="O63" i="18"/>
  <c r="O19" i="24"/>
  <c r="P30" i="18"/>
  <c r="P18" i="18"/>
  <c r="P16" i="18"/>
  <c r="P62" i="18"/>
  <c r="P35" i="18"/>
  <c r="P72" i="18"/>
  <c r="P31" i="18"/>
  <c r="P37" i="18"/>
  <c r="P27" i="18"/>
  <c r="P28" i="18"/>
  <c r="P17" i="18"/>
  <c r="P36" i="18"/>
  <c r="P13" i="18"/>
  <c r="P29" i="18"/>
  <c r="P44" i="18"/>
  <c r="P32" i="18"/>
  <c r="Q12" i="18"/>
  <c r="P14" i="18"/>
  <c r="P61" i="18"/>
  <c r="P63" i="18" s="1"/>
  <c r="P33" i="18"/>
  <c r="P38" i="18"/>
  <c r="P23" i="18"/>
  <c r="P34" i="18"/>
  <c r="P15" i="18"/>
  <c r="O80" i="18"/>
  <c r="O85" i="18"/>
  <c r="O82" i="18"/>
  <c r="O79" i="18"/>
  <c r="M3" i="22"/>
  <c r="O39" i="18"/>
  <c r="O20" i="18"/>
  <c r="J565" i="46"/>
  <c r="J1892" i="49"/>
  <c r="Q1892" i="49" s="1"/>
  <c r="J3241" i="49"/>
  <c r="Q3241" i="49"/>
  <c r="J757" i="46"/>
  <c r="J3031" i="49"/>
  <c r="Q3031" i="49" s="1"/>
  <c r="Q3898" i="49"/>
  <c r="J3898" i="49"/>
  <c r="J2742" i="49"/>
  <c r="Q2742" i="49"/>
  <c r="J4187" i="49"/>
  <c r="Q4187" i="49"/>
  <c r="J1025" i="49"/>
  <c r="Q1025" i="49" s="1"/>
  <c r="J792" i="46"/>
  <c r="J4990" i="49"/>
  <c r="Q4990" i="49"/>
  <c r="J200" i="46"/>
  <c r="Q1454" i="49"/>
  <c r="J1454" i="49"/>
  <c r="J344" i="46"/>
  <c r="J2321" i="49"/>
  <c r="Q2321" i="49" s="1"/>
  <c r="J5072" i="49"/>
  <c r="Q5072" i="49" s="1"/>
  <c r="J296" i="46"/>
  <c r="J2032" i="49"/>
  <c r="Q2032" i="49" s="1"/>
  <c r="J2695" i="49"/>
  <c r="Q2695" i="49" s="1"/>
  <c r="J3802" i="49"/>
  <c r="Q3802" i="49" s="1"/>
  <c r="J1877" i="49"/>
  <c r="Q1877" i="49" s="1"/>
  <c r="J2727" i="49"/>
  <c r="Q2727" i="49" s="1"/>
  <c r="J103" i="46"/>
  <c r="J874" i="49"/>
  <c r="Q874" i="49"/>
  <c r="J382" i="46"/>
  <c r="J3016" i="49"/>
  <c r="Q3016" i="49" s="1"/>
  <c r="Q2355" i="49"/>
  <c r="J2355" i="49"/>
  <c r="J1340" i="49"/>
  <c r="Q1340" i="49" s="1"/>
  <c r="J1341" i="49"/>
  <c r="Q1341" i="49"/>
  <c r="J3935" i="49"/>
  <c r="Q3935" i="49" s="1"/>
  <c r="Q4359" i="49"/>
  <c r="J4359" i="49"/>
  <c r="J419" i="46"/>
  <c r="J2134" i="49"/>
  <c r="Q2134" i="49" s="1"/>
  <c r="J1199" i="49"/>
  <c r="Q1199" i="49" s="1"/>
  <c r="J4072" i="49"/>
  <c r="Q4072" i="49" s="1"/>
  <c r="J586" i="46"/>
  <c r="J749" i="49"/>
  <c r="Q749" i="49" s="1"/>
  <c r="J748" i="49"/>
  <c r="Q748" i="49" s="1"/>
  <c r="Q747" i="49"/>
  <c r="J747" i="49"/>
  <c r="Q2192" i="49"/>
  <c r="J2192" i="49"/>
  <c r="J2194" i="49"/>
  <c r="Q2194" i="49" s="1"/>
  <c r="J2193" i="49"/>
  <c r="Q2193" i="49"/>
  <c r="J323" i="46"/>
  <c r="J347" i="46"/>
  <c r="J2323" i="49"/>
  <c r="Q2323" i="49" s="1"/>
  <c r="J1760" i="49"/>
  <c r="Q1760" i="49" s="1"/>
  <c r="J499" i="46"/>
  <c r="J995" i="49"/>
  <c r="Q995" i="49" s="1"/>
  <c r="J1777" i="49"/>
  <c r="Q1777" i="49" s="1"/>
  <c r="Q2453" i="49"/>
  <c r="J2453" i="49"/>
  <c r="J5039" i="49"/>
  <c r="Q5039" i="49" s="1"/>
  <c r="J1053" i="49"/>
  <c r="Q1053" i="49" s="1"/>
  <c r="J1055" i="49"/>
  <c r="Q1055" i="49"/>
  <c r="J1623" i="49"/>
  <c r="Q1623" i="49" s="1"/>
  <c r="J392" i="46"/>
  <c r="J2610" i="49"/>
  <c r="Q2610" i="49" s="1"/>
  <c r="J763" i="49"/>
  <c r="Q763" i="49" s="1"/>
  <c r="J587" i="46"/>
  <c r="Q3768" i="49"/>
  <c r="J3768" i="49"/>
  <c r="J2338" i="49"/>
  <c r="Q2338" i="49"/>
  <c r="J4172" i="49"/>
  <c r="Q4172" i="49" s="1"/>
  <c r="J3785" i="49"/>
  <c r="Q3785" i="49" s="1"/>
  <c r="J3273" i="49"/>
  <c r="Q3273" i="49" s="1"/>
  <c r="J1586" i="49"/>
  <c r="Q1586" i="49" s="1"/>
  <c r="J25" i="46"/>
  <c r="J355" i="46"/>
  <c r="J689" i="49"/>
  <c r="Q689" i="49"/>
  <c r="J307" i="46"/>
  <c r="J3927" i="49"/>
  <c r="Q3927" i="49" s="1"/>
  <c r="Q3928" i="49"/>
  <c r="J3928" i="49"/>
  <c r="J3926" i="49"/>
  <c r="Q3926" i="49" s="1"/>
  <c r="J4376" i="49"/>
  <c r="Q4376" i="49" s="1"/>
  <c r="J1267" i="49"/>
  <c r="Q1267" i="49" s="1"/>
  <c r="J4429" i="49"/>
  <c r="Q4429" i="49" s="1"/>
  <c r="J3800" i="49"/>
  <c r="Q3800" i="49" s="1"/>
  <c r="Q4956" i="49"/>
  <c r="J4956" i="49"/>
  <c r="J4155" i="49"/>
  <c r="Q4155" i="49" s="1"/>
  <c r="J259" i="46"/>
  <c r="J3207" i="49"/>
  <c r="Q3207" i="49" s="1"/>
  <c r="J47" i="46"/>
  <c r="J787" i="46"/>
  <c r="J395" i="46"/>
  <c r="J2612" i="49"/>
  <c r="Q2612" i="49" s="1"/>
  <c r="Q4089" i="49"/>
  <c r="J4089" i="49"/>
  <c r="J248" i="46"/>
  <c r="J1743" i="49"/>
  <c r="Q1743" i="49" s="1"/>
  <c r="J2481" i="49"/>
  <c r="Q2481" i="49"/>
  <c r="Q2482" i="49"/>
  <c r="J2482" i="49"/>
  <c r="Q2483" i="49"/>
  <c r="J2483" i="49"/>
  <c r="J2164" i="49"/>
  <c r="Q2164" i="49" s="1"/>
  <c r="J24" i="46"/>
  <c r="J278" i="46"/>
  <c r="J1201" i="49"/>
  <c r="Q1201" i="49" s="1"/>
  <c r="J643" i="46"/>
  <c r="J776" i="46"/>
  <c r="J4922" i="49"/>
  <c r="Q4922" i="49"/>
  <c r="J168" i="46"/>
  <c r="Q1233" i="49"/>
  <c r="J1233" i="49"/>
  <c r="J762" i="49"/>
  <c r="Q762" i="49" s="1"/>
  <c r="J1630" i="49"/>
  <c r="Q1630" i="49" s="1"/>
  <c r="J3357" i="49"/>
  <c r="Q3357" i="49" s="1"/>
  <c r="J632" i="46"/>
  <c r="J4055" i="49"/>
  <c r="Q4055" i="49" s="1"/>
  <c r="J2438" i="49"/>
  <c r="Q2438" i="49"/>
  <c r="J430" i="46"/>
  <c r="J1828" i="49"/>
  <c r="Q1828" i="49" s="1"/>
  <c r="J2340" i="49"/>
  <c r="Q2340" i="49" s="1"/>
  <c r="J335" i="46"/>
  <c r="J622" i="49"/>
  <c r="Q622" i="49" s="1"/>
  <c r="J695" i="46"/>
  <c r="Q4410" i="49"/>
  <c r="J4410" i="49"/>
  <c r="J211" i="46"/>
  <c r="J94" i="46"/>
  <c r="J238" i="46"/>
  <c r="J491" i="46"/>
  <c r="J3190" i="49"/>
  <c r="Q3190" i="49" s="1"/>
  <c r="J1010" i="49"/>
  <c r="Q1010" i="49" s="1"/>
  <c r="J925" i="49"/>
  <c r="Q925" i="49" s="1"/>
  <c r="J670" i="49"/>
  <c r="Q670" i="49" s="1"/>
  <c r="J2496" i="49"/>
  <c r="Q2496" i="49" s="1"/>
  <c r="J3364" i="49"/>
  <c r="Q3364" i="49" s="1"/>
  <c r="J3643" i="49"/>
  <c r="Q3643" i="49" s="1"/>
  <c r="J4802" i="49"/>
  <c r="Q4802" i="49"/>
  <c r="J35" i="46"/>
  <c r="J408" i="46"/>
  <c r="J2678" i="49"/>
  <c r="Q2678" i="49" s="1"/>
  <c r="J679" i="46"/>
  <c r="Q4342" i="49"/>
  <c r="J4342" i="49"/>
  <c r="J2471" i="49"/>
  <c r="Q2471" i="49" s="1"/>
  <c r="J5007" i="49"/>
  <c r="Q5007" i="49" s="1"/>
  <c r="J1862" i="49"/>
  <c r="Q1862" i="49" s="1"/>
  <c r="J69" i="46"/>
  <c r="Q651" i="49"/>
  <c r="J651" i="49"/>
  <c r="J526" i="46"/>
  <c r="J3322" i="49"/>
  <c r="Q3322" i="49" s="1"/>
  <c r="J3916" i="49"/>
  <c r="Q3916" i="49" s="1"/>
  <c r="J264" i="46"/>
  <c r="J1811" i="49"/>
  <c r="Q1811" i="49"/>
  <c r="J4393" i="49"/>
  <c r="Q4393" i="49" s="1"/>
  <c r="J5024" i="49"/>
  <c r="Q5024" i="49" s="1"/>
  <c r="Q3205" i="49"/>
  <c r="J3205" i="49"/>
  <c r="J756" i="49"/>
  <c r="Q756" i="49" s="1"/>
  <c r="J3941" i="49"/>
  <c r="Q3941" i="49" s="1"/>
  <c r="J2490" i="49"/>
  <c r="Q2490" i="49" s="1"/>
  <c r="J2786" i="49"/>
  <c r="Q2786" i="49" s="1"/>
  <c r="J3644" i="49"/>
  <c r="Q3644" i="49" s="1"/>
  <c r="J5091" i="49"/>
  <c r="Q5091" i="49" s="1"/>
  <c r="J1845" i="49"/>
  <c r="Q1845" i="49" s="1"/>
  <c r="J403" i="46"/>
  <c r="J8" i="46"/>
  <c r="J704" i="49"/>
  <c r="Q704" i="49" s="1"/>
  <c r="J584" i="46"/>
  <c r="J3766" i="49"/>
  <c r="Q3766" i="49" s="1"/>
  <c r="J2068" i="49"/>
  <c r="Q2068" i="49" s="1"/>
  <c r="J976" i="49"/>
  <c r="Q976" i="49"/>
  <c r="J1539" i="49"/>
  <c r="Q1539" i="49"/>
  <c r="J504" i="46"/>
  <c r="J3256" i="49"/>
  <c r="Q3256" i="49" s="1"/>
  <c r="J3001" i="49"/>
  <c r="Q3001" i="49" s="1"/>
  <c r="J4138" i="49"/>
  <c r="Q4138" i="49" s="1"/>
  <c r="J2051" i="49"/>
  <c r="Q2051" i="49" s="1"/>
  <c r="Q3338" i="49"/>
  <c r="J3338" i="49"/>
  <c r="J622" i="46"/>
  <c r="J617" i="49"/>
  <c r="Q617" i="49" s="1"/>
  <c r="J4106" i="49"/>
  <c r="Q4106" i="49" s="1"/>
  <c r="J1490" i="49"/>
  <c r="Q1490" i="49" s="1"/>
  <c r="J4461" i="49"/>
  <c r="Q4461" i="49"/>
  <c r="J959" i="49"/>
  <c r="Q959" i="49" s="1"/>
  <c r="J334" i="46"/>
  <c r="J928" i="49"/>
  <c r="Q928" i="49" s="1"/>
  <c r="J2066" i="49"/>
  <c r="Q2066" i="49" s="1"/>
  <c r="Q2406" i="49"/>
  <c r="J2406" i="49"/>
  <c r="J3868" i="49"/>
  <c r="Q3868" i="49"/>
  <c r="Q1615" i="49"/>
  <c r="J1615" i="49"/>
  <c r="J1616" i="49"/>
  <c r="Q1616" i="49" s="1"/>
  <c r="J1614" i="49"/>
  <c r="Q1614" i="49" s="1"/>
  <c r="J1488" i="49"/>
  <c r="Q1488" i="49" s="1"/>
  <c r="J719" i="49"/>
  <c r="Q719" i="49" s="1"/>
  <c r="J3851" i="49"/>
  <c r="Q3851" i="49" s="1"/>
  <c r="J636" i="49"/>
  <c r="Q636" i="49" s="1"/>
  <c r="J11" i="46"/>
  <c r="J1043" i="49"/>
  <c r="Q1043" i="49" s="1"/>
  <c r="Q2201" i="49"/>
  <c r="J2201" i="49"/>
  <c r="Q1054" i="49"/>
  <c r="J1054" i="49"/>
  <c r="Q2208" i="49"/>
  <c r="J2208" i="49"/>
  <c r="J3646" i="49"/>
  <c r="Q3646" i="49" s="1"/>
  <c r="J2785" i="49"/>
  <c r="Q2785" i="49" s="1"/>
  <c r="J360" i="46"/>
  <c r="J2389" i="49"/>
  <c r="Q2389" i="49" s="1"/>
  <c r="J1250" i="49"/>
  <c r="Q1250" i="49" s="1"/>
  <c r="J46" i="46"/>
  <c r="J383" i="46"/>
  <c r="J4939" i="49"/>
  <c r="Q4939" i="49" s="1"/>
  <c r="J602" i="49"/>
  <c r="Q602" i="49" s="1"/>
  <c r="J19" i="46"/>
  <c r="J595" i="46"/>
  <c r="J1284" i="49"/>
  <c r="Q1284" i="49" s="1"/>
  <c r="J3783" i="49"/>
  <c r="Q3783" i="49" s="1"/>
  <c r="J155" i="46"/>
  <c r="J1167" i="49"/>
  <c r="Q1167" i="49" s="1"/>
  <c r="J1507" i="49"/>
  <c r="Q1507" i="49" s="1"/>
  <c r="J908" i="49"/>
  <c r="Q908" i="49" s="1"/>
  <c r="J3883" i="49"/>
  <c r="Q3883" i="49" s="1"/>
  <c r="J2771" i="49"/>
  <c r="Q2771" i="49" s="1"/>
  <c r="J2770" i="49"/>
  <c r="Q2770" i="49" s="1"/>
  <c r="J2772" i="49"/>
  <c r="Q2772" i="49" s="1"/>
  <c r="J4786" i="49"/>
  <c r="Q4786" i="49" s="1"/>
  <c r="J1334" i="49"/>
  <c r="Q1334" i="49"/>
  <c r="Q3068" i="49"/>
  <c r="J3068" i="49"/>
  <c r="Q4224" i="49"/>
  <c r="J4224" i="49"/>
  <c r="J4513" i="49"/>
  <c r="Q4513" i="49" s="1"/>
  <c r="J371" i="46"/>
  <c r="J1571" i="49"/>
  <c r="Q1571" i="49" s="1"/>
  <c r="L7" i="40"/>
  <c r="J144" i="46"/>
  <c r="J515" i="46"/>
  <c r="J2049" i="49"/>
  <c r="Q2049" i="49" s="1"/>
  <c r="J1604" i="49"/>
  <c r="Q1604" i="49" s="1"/>
  <c r="Q2117" i="49"/>
  <c r="J2117" i="49"/>
  <c r="J1556" i="49"/>
  <c r="Q1556" i="49" s="1"/>
  <c r="E23" i="3"/>
  <c r="D8" i="33" s="1"/>
  <c r="E8" i="33" s="1"/>
  <c r="J55" i="46"/>
  <c r="J585" i="49"/>
  <c r="Q585" i="49" s="1"/>
  <c r="J1629" i="49"/>
  <c r="Q1629" i="49" s="1"/>
  <c r="J2760" i="49"/>
  <c r="Q2760" i="49" s="1"/>
  <c r="J239" i="46"/>
  <c r="J2182" i="49"/>
  <c r="Q2182" i="49" s="1"/>
  <c r="J623" i="46"/>
  <c r="J119" i="46"/>
  <c r="J942" i="49"/>
  <c r="Q942" i="49" s="1"/>
  <c r="J134" i="46"/>
  <c r="J1184" i="49"/>
  <c r="Q1184" i="49" s="1"/>
  <c r="J1910" i="49"/>
  <c r="Q1910" i="49" s="1"/>
  <c r="J3942" i="49"/>
  <c r="Q3942" i="49" s="1"/>
  <c r="J1473" i="49"/>
  <c r="Q1473" i="49"/>
  <c r="J3049" i="49"/>
  <c r="Q3049" i="49" s="1"/>
  <c r="Q3305" i="49"/>
  <c r="J3305" i="49"/>
  <c r="J1505" i="49"/>
  <c r="Q1505" i="49" s="1"/>
  <c r="J611" i="46"/>
  <c r="J275" i="46"/>
  <c r="J2497" i="49"/>
  <c r="Q2497" i="49" s="1"/>
  <c r="J2423" i="49"/>
  <c r="Q2423" i="49" s="1"/>
  <c r="J647" i="46"/>
  <c r="J4121" i="49"/>
  <c r="Q4121" i="49" s="1"/>
  <c r="J312" i="46"/>
  <c r="J2100" i="49"/>
  <c r="Q2100" i="49" s="1"/>
  <c r="J203" i="46"/>
  <c r="J1456" i="49"/>
  <c r="Q1456" i="49" s="1"/>
  <c r="J346" i="46"/>
  <c r="J298" i="46"/>
  <c r="J490" i="46"/>
  <c r="J3630" i="49"/>
  <c r="Q3630" i="49" s="1"/>
  <c r="J3224" i="49"/>
  <c r="Q3224" i="49" s="1"/>
  <c r="J179" i="46"/>
  <c r="J1052" i="49"/>
  <c r="Q1052" i="49" s="1"/>
  <c r="J2083" i="49"/>
  <c r="Q2083" i="49" s="1"/>
  <c r="J431" i="46"/>
  <c r="J3222" i="49"/>
  <c r="Q3222" i="49"/>
  <c r="J600" i="46"/>
  <c r="J3834" i="49"/>
  <c r="Q3834" i="49"/>
  <c r="J3363" i="49"/>
  <c r="Q3363" i="49"/>
  <c r="J5054" i="49"/>
  <c r="Q5054" i="49" s="1"/>
  <c r="J2627" i="49"/>
  <c r="Q2627" i="49" s="1"/>
  <c r="J737" i="49"/>
  <c r="Q737" i="49" s="1"/>
  <c r="J152" i="46"/>
  <c r="J1165" i="49"/>
  <c r="Q1165" i="49" s="1"/>
  <c r="J227" i="46"/>
  <c r="J202" i="46"/>
  <c r="Q3239" i="49"/>
  <c r="J3239" i="49"/>
  <c r="J4973" i="49"/>
  <c r="Q4973" i="49" s="1"/>
  <c r="J3817" i="49"/>
  <c r="Q3817" i="49" s="1"/>
  <c r="J2779" i="49"/>
  <c r="Q2779" i="49" s="1"/>
  <c r="Q4800" i="49"/>
  <c r="J4800" i="49"/>
  <c r="J2646" i="49"/>
  <c r="Q2646" i="49" s="1"/>
  <c r="J1471" i="49"/>
  <c r="Q1471" i="49" s="1"/>
  <c r="J2661" i="49"/>
  <c r="Q2661" i="49"/>
  <c r="J3801" i="49"/>
  <c r="Q3801" i="49" s="1"/>
  <c r="Q2372" i="49"/>
  <c r="J2372" i="49"/>
  <c r="J1216" i="49"/>
  <c r="Q1216" i="49" s="1"/>
  <c r="J527" i="46"/>
  <c r="J1794" i="49"/>
  <c r="Q1794" i="49" s="1"/>
  <c r="J3240" i="49"/>
  <c r="Q3240" i="49" s="1"/>
  <c r="J4205" i="49"/>
  <c r="Q4205" i="49"/>
  <c r="J1051" i="49"/>
  <c r="Q1051" i="49" s="1"/>
  <c r="Q1045" i="49"/>
  <c r="J1045" i="49"/>
  <c r="J1912" i="49"/>
  <c r="Q1912" i="49" s="1"/>
  <c r="J2207" i="49"/>
  <c r="Q2207" i="49" s="1"/>
  <c r="J4799" i="49"/>
  <c r="Q4799" i="49" s="1"/>
  <c r="J2644" i="49"/>
  <c r="Q2644" i="49" s="1"/>
  <c r="J803" i="46"/>
  <c r="J394" i="46"/>
  <c r="Q2629" i="49"/>
  <c r="J2629" i="49"/>
  <c r="J163" i="46"/>
  <c r="J2712" i="49"/>
  <c r="Q2712" i="49" s="1"/>
  <c r="J216" i="46"/>
  <c r="J1522" i="49"/>
  <c r="Q1522" i="49"/>
  <c r="J4494" i="49"/>
  <c r="Q4494" i="49" s="1"/>
  <c r="J95" i="46"/>
  <c r="J299" i="46"/>
  <c r="J2034" i="49"/>
  <c r="Q2034" i="49" s="1"/>
  <c r="J488" i="46"/>
  <c r="Q3188" i="49"/>
  <c r="J3188" i="49"/>
  <c r="J1182" i="49"/>
  <c r="Q1182" i="49" s="1"/>
  <c r="J2149" i="49"/>
  <c r="Q2149" i="49" s="1"/>
  <c r="J891" i="49"/>
  <c r="Q891" i="49" s="1"/>
  <c r="O41" i="26"/>
  <c r="M73" i="15"/>
  <c r="M45" i="15"/>
  <c r="N21" i="16"/>
  <c r="N22" i="16" s="1"/>
  <c r="N24" i="16" s="1"/>
  <c r="I82" i="13"/>
  <c r="H64" i="23" s="1"/>
  <c r="H76" i="23" s="1"/>
  <c r="H77" i="23" s="1"/>
  <c r="G87" i="14"/>
  <c r="J74" i="13"/>
  <c r="I64" i="15" s="1"/>
  <c r="H7" i="14"/>
  <c r="I77" i="13"/>
  <c r="H64" i="18" s="1"/>
  <c r="H76" i="18" s="1"/>
  <c r="H77" i="18" s="1"/>
  <c r="G37" i="14"/>
  <c r="N41" i="20"/>
  <c r="N21" i="29"/>
  <c r="I8" i="52"/>
  <c r="H124" i="49"/>
  <c r="L41" i="8"/>
  <c r="H54" i="25"/>
  <c r="H56" i="25" s="1"/>
  <c r="O41" i="30"/>
  <c r="M41" i="24"/>
  <c r="M41" i="27"/>
  <c r="N21" i="22"/>
  <c r="N22" i="22" s="1"/>
  <c r="N24" i="22" s="1"/>
  <c r="N21" i="19"/>
  <c r="N22" i="19"/>
  <c r="N24" i="19" s="1"/>
  <c r="N21" i="28"/>
  <c r="N22" i="28"/>
  <c r="N24" i="28" s="1"/>
  <c r="H81" i="13"/>
  <c r="G64" i="22" s="1"/>
  <c r="G76" i="22" s="1"/>
  <c r="F77" i="14"/>
  <c r="M41" i="23"/>
  <c r="P73" i="26"/>
  <c r="P45" i="26"/>
  <c r="M41" i="28"/>
  <c r="N41" i="17"/>
  <c r="O80" i="23"/>
  <c r="O85" i="23"/>
  <c r="O79" i="23"/>
  <c r="O82" i="23"/>
  <c r="O17" i="8"/>
  <c r="O15" i="8"/>
  <c r="I80" i="13"/>
  <c r="H64" i="21" s="1"/>
  <c r="H76" i="21" s="1"/>
  <c r="G67" i="14"/>
  <c r="O39" i="19"/>
  <c r="P37" i="27"/>
  <c r="P33" i="27"/>
  <c r="P29" i="27"/>
  <c r="P23" i="27"/>
  <c r="P15" i="27"/>
  <c r="P72" i="27"/>
  <c r="Q12" i="27"/>
  <c r="P34" i="27"/>
  <c r="P32" i="27"/>
  <c r="P61" i="27"/>
  <c r="P27" i="27"/>
  <c r="P38" i="27"/>
  <c r="P28" i="27"/>
  <c r="P14" i="27"/>
  <c r="P36" i="27"/>
  <c r="P13" i="27"/>
  <c r="P35" i="27"/>
  <c r="P30" i="27"/>
  <c r="P17" i="27"/>
  <c r="P18" i="27"/>
  <c r="P31" i="27"/>
  <c r="P62" i="27"/>
  <c r="P44" i="27"/>
  <c r="P16" i="27"/>
  <c r="O82" i="25"/>
  <c r="O80" i="25"/>
  <c r="O79" i="25"/>
  <c r="O85" i="25"/>
  <c r="G54" i="27"/>
  <c r="G56" i="27"/>
  <c r="N21" i="24"/>
  <c r="N22" i="24" s="1"/>
  <c r="N24" i="24" s="1"/>
  <c r="M45" i="20"/>
  <c r="M73" i="20"/>
  <c r="Q38" i="10"/>
  <c r="L45" i="23"/>
  <c r="L73" i="23"/>
  <c r="P41" i="10"/>
  <c r="I35" i="10"/>
  <c r="E52" i="17"/>
  <c r="E73" i="17"/>
  <c r="E45" i="17"/>
  <c r="E50" i="17"/>
  <c r="O63" i="22"/>
  <c r="L73" i="24"/>
  <c r="L45" i="24"/>
  <c r="P42" i="10"/>
  <c r="F73" i="29"/>
  <c r="J47" i="10"/>
  <c r="F45" i="29"/>
  <c r="D24" i="4"/>
  <c r="F77" i="19"/>
  <c r="F80" i="19"/>
  <c r="Q62" i="17"/>
  <c r="Q36" i="17"/>
  <c r="Q32" i="17"/>
  <c r="Q28" i="17"/>
  <c r="Q18" i="17"/>
  <c r="Q14" i="17"/>
  <c r="Q37" i="17"/>
  <c r="Q33" i="17"/>
  <c r="Q29" i="17"/>
  <c r="Q23" i="17"/>
  <c r="Q15" i="17"/>
  <c r="Q61" i="17"/>
  <c r="Q63" i="17" s="1"/>
  <c r="Q35" i="17"/>
  <c r="Q27" i="17"/>
  <c r="Q17" i="17"/>
  <c r="Q38" i="17"/>
  <c r="Q30" i="17"/>
  <c r="Q72" i="17"/>
  <c r="Q13" i="17"/>
  <c r="Q44" i="17"/>
  <c r="Q16" i="17"/>
  <c r="Q34" i="17"/>
  <c r="Q31" i="17"/>
  <c r="R12" i="17"/>
  <c r="G77" i="22"/>
  <c r="O19" i="31"/>
  <c r="P17" i="31"/>
  <c r="P72" i="31"/>
  <c r="P44" i="31"/>
  <c r="P37" i="31"/>
  <c r="P32" i="31"/>
  <c r="P27" i="31"/>
  <c r="P15" i="31"/>
  <c r="P35" i="31"/>
  <c r="P30" i="31"/>
  <c r="P23" i="31"/>
  <c r="P18" i="31"/>
  <c r="P36" i="31"/>
  <c r="P34" i="31"/>
  <c r="P16" i="31"/>
  <c r="P31" i="31"/>
  <c r="P14" i="31"/>
  <c r="P13" i="31"/>
  <c r="P38" i="31"/>
  <c r="P28" i="31"/>
  <c r="Q12" i="31"/>
  <c r="P29" i="31"/>
  <c r="P33" i="31"/>
  <c r="P47" i="31"/>
  <c r="P66" i="31"/>
  <c r="P60" i="31"/>
  <c r="P43" i="31"/>
  <c r="P75" i="31"/>
  <c r="R113" i="14"/>
  <c r="U112" i="13"/>
  <c r="E54" i="22"/>
  <c r="E56" i="22" s="1"/>
  <c r="O39" i="16"/>
  <c r="O27" i="8"/>
  <c r="O23" i="8"/>
  <c r="H50" i="21"/>
  <c r="P36" i="19"/>
  <c r="P23" i="19"/>
  <c r="Q12" i="19"/>
  <c r="P38" i="19"/>
  <c r="P61" i="19"/>
  <c r="P63" i="19" s="1"/>
  <c r="P29" i="19"/>
  <c r="P27" i="19"/>
  <c r="P14" i="19"/>
  <c r="P44" i="19"/>
  <c r="P16" i="19"/>
  <c r="P33" i="19"/>
  <c r="P31" i="19"/>
  <c r="P18" i="19"/>
  <c r="P17" i="19"/>
  <c r="P34" i="19"/>
  <c r="P37" i="19"/>
  <c r="P32" i="19"/>
  <c r="P13" i="19"/>
  <c r="P15" i="19"/>
  <c r="P35" i="19"/>
  <c r="P28" i="19"/>
  <c r="P62" i="19"/>
  <c r="P72" i="19"/>
  <c r="P30" i="19"/>
  <c r="E77" i="25"/>
  <c r="O82" i="27"/>
  <c r="O80" i="27"/>
  <c r="O85" i="27"/>
  <c r="O79" i="27"/>
  <c r="P72" i="28"/>
  <c r="P36" i="28"/>
  <c r="P32" i="28"/>
  <c r="P28" i="28"/>
  <c r="P18" i="28"/>
  <c r="P14" i="28"/>
  <c r="P17" i="28"/>
  <c r="P34" i="28"/>
  <c r="P38" i="28"/>
  <c r="P33" i="28"/>
  <c r="P31" i="28"/>
  <c r="P29" i="28"/>
  <c r="P44" i="28"/>
  <c r="P30" i="28"/>
  <c r="P16" i="28"/>
  <c r="P37" i="28"/>
  <c r="P13" i="28"/>
  <c r="P27" i="28"/>
  <c r="P35" i="28"/>
  <c r="P15" i="28"/>
  <c r="Q12" i="28"/>
  <c r="P23" i="28"/>
  <c r="P47" i="28"/>
  <c r="P75" i="28"/>
  <c r="P43" i="28"/>
  <c r="P66" i="28"/>
  <c r="P60" i="28"/>
  <c r="P37" i="25"/>
  <c r="P33" i="25"/>
  <c r="P29" i="25"/>
  <c r="P23" i="25"/>
  <c r="P15" i="25"/>
  <c r="P72" i="25"/>
  <c r="P17" i="25"/>
  <c r="P38" i="25"/>
  <c r="P36" i="25"/>
  <c r="P30" i="25"/>
  <c r="P14" i="25"/>
  <c r="P34" i="25"/>
  <c r="P18" i="25"/>
  <c r="P13" i="25"/>
  <c r="P62" i="25"/>
  <c r="P44" i="25"/>
  <c r="Q12" i="25"/>
  <c r="P61" i="25"/>
  <c r="P35" i="25"/>
  <c r="P28" i="25"/>
  <c r="P16" i="25"/>
  <c r="P32" i="25"/>
  <c r="P27" i="25"/>
  <c r="P31" i="25"/>
  <c r="G28" i="14"/>
  <c r="M41" i="22"/>
  <c r="L45" i="31"/>
  <c r="L73" i="31"/>
  <c r="P49" i="10"/>
  <c r="Q19" i="30"/>
  <c r="E54" i="27"/>
  <c r="L73" i="28"/>
  <c r="L45" i="28"/>
  <c r="F54" i="27"/>
  <c r="H22" i="4"/>
  <c r="M41" i="19"/>
  <c r="F82" i="15"/>
  <c r="F10" i="4"/>
  <c r="I50" i="15"/>
  <c r="N21" i="21"/>
  <c r="N22" i="21" s="1"/>
  <c r="N24" i="21" s="1"/>
  <c r="U103" i="13"/>
  <c r="R23" i="14"/>
  <c r="E77" i="22"/>
  <c r="O35" i="8"/>
  <c r="O29" i="8"/>
  <c r="E77" i="21"/>
  <c r="O19" i="27"/>
  <c r="O19" i="28"/>
  <c r="O20" i="28" s="1"/>
  <c r="J144" i="49"/>
  <c r="Q144" i="49" s="1"/>
  <c r="G73" i="29"/>
  <c r="G45" i="29"/>
  <c r="K47" i="10"/>
  <c r="P19" i="20"/>
  <c r="F77" i="18"/>
  <c r="F80" i="18"/>
  <c r="M22" i="29"/>
  <c r="M24" i="29" s="1"/>
  <c r="K45" i="28"/>
  <c r="K73" i="28"/>
  <c r="O46" i="10"/>
  <c r="F54" i="25"/>
  <c r="F56" i="25" s="1"/>
  <c r="H20" i="4"/>
  <c r="O20" i="29"/>
  <c r="P39" i="17"/>
  <c r="E54" i="23"/>
  <c r="Q85" i="26"/>
  <c r="Q82" i="26"/>
  <c r="Q80" i="26"/>
  <c r="Q79" i="26"/>
  <c r="O19" i="23"/>
  <c r="M41" i="21"/>
  <c r="G54" i="18"/>
  <c r="G56" i="18"/>
  <c r="N21" i="15"/>
  <c r="N22" i="15" s="1"/>
  <c r="N24" i="15" s="1"/>
  <c r="N41" i="15" s="1"/>
  <c r="I52" i="15"/>
  <c r="N20" i="8"/>
  <c r="L73" i="22"/>
  <c r="L45" i="22"/>
  <c r="P44" i="24"/>
  <c r="P38" i="24"/>
  <c r="P34" i="24"/>
  <c r="P30" i="24"/>
  <c r="P16" i="24"/>
  <c r="P17" i="24"/>
  <c r="P15" i="24"/>
  <c r="P36" i="24"/>
  <c r="P31" i="24"/>
  <c r="P35" i="24"/>
  <c r="P72" i="24"/>
  <c r="P14" i="24"/>
  <c r="P23" i="24"/>
  <c r="P27" i="24"/>
  <c r="P18" i="24"/>
  <c r="P33" i="24"/>
  <c r="P32" i="24"/>
  <c r="P37" i="24"/>
  <c r="P29" i="24"/>
  <c r="P13" i="24"/>
  <c r="Q12" i="24"/>
  <c r="P28" i="24"/>
  <c r="P75" i="24"/>
  <c r="P47" i="24"/>
  <c r="P66" i="24"/>
  <c r="P60" i="24"/>
  <c r="P43" i="24"/>
  <c r="O19" i="22"/>
  <c r="Q39" i="30"/>
  <c r="O63" i="23"/>
  <c r="F54" i="22"/>
  <c r="F56" i="22"/>
  <c r="H17" i="4"/>
  <c r="J18" i="4"/>
  <c r="M3" i="23"/>
  <c r="O19" i="21"/>
  <c r="O20" i="21" s="1"/>
  <c r="U110" i="13"/>
  <c r="R93" i="14"/>
  <c r="I73" i="29"/>
  <c r="I45" i="29"/>
  <c r="M47" i="10"/>
  <c r="M2" i="29"/>
  <c r="E77" i="19"/>
  <c r="O63" i="16"/>
  <c r="O33" i="8"/>
  <c r="F80" i="20"/>
  <c r="J16" i="4"/>
  <c r="M3" i="21"/>
  <c r="O63" i="19"/>
  <c r="E54" i="25"/>
  <c r="T32" i="13"/>
  <c r="U32" i="13"/>
  <c r="O79" i="28"/>
  <c r="O80" i="28"/>
  <c r="O82" i="28"/>
  <c r="O85" i="28"/>
  <c r="M73" i="17"/>
  <c r="M45" i="17"/>
  <c r="Q35" i="10"/>
  <c r="G77" i="27"/>
  <c r="H45" i="17"/>
  <c r="H73" i="17"/>
  <c r="H77" i="17" s="1"/>
  <c r="H52" i="17"/>
  <c r="L35" i="10"/>
  <c r="J73" i="16"/>
  <c r="J45" i="16"/>
  <c r="N34" i="10"/>
  <c r="O21" i="17"/>
  <c r="O22" i="17" s="1"/>
  <c r="O24" i="17" s="1"/>
  <c r="E73" i="29"/>
  <c r="I47" i="10"/>
  <c r="E45" i="29"/>
  <c r="O79" i="15"/>
  <c r="O85" i="15"/>
  <c r="O80" i="15"/>
  <c r="O82" i="15"/>
  <c r="O39" i="15"/>
  <c r="P63" i="17"/>
  <c r="O79" i="24"/>
  <c r="O85" i="24"/>
  <c r="O80" i="24"/>
  <c r="O82" i="24"/>
  <c r="P72" i="22"/>
  <c r="P23" i="22"/>
  <c r="Q12" i="22"/>
  <c r="P61" i="22"/>
  <c r="P38" i="22"/>
  <c r="P27" i="22"/>
  <c r="P14" i="22"/>
  <c r="P29" i="22"/>
  <c r="P44" i="22"/>
  <c r="P31" i="22"/>
  <c r="P18" i="22"/>
  <c r="P16" i="22"/>
  <c r="P33" i="22"/>
  <c r="P35" i="22"/>
  <c r="P34" i="22"/>
  <c r="P15" i="22"/>
  <c r="P62" i="22"/>
  <c r="P13" i="22"/>
  <c r="P37" i="22"/>
  <c r="P17" i="22"/>
  <c r="P32" i="22"/>
  <c r="P28" i="22"/>
  <c r="P36" i="22"/>
  <c r="P30" i="22"/>
  <c r="H77" i="21"/>
  <c r="Q39" i="26"/>
  <c r="N21" i="23"/>
  <c r="N22" i="23" s="1"/>
  <c r="N24" i="23" s="1"/>
  <c r="F77" i="22"/>
  <c r="F80" i="22"/>
  <c r="O39" i="21"/>
  <c r="O20" i="31"/>
  <c r="U114" i="13"/>
  <c r="R133" i="14"/>
  <c r="I41" i="16"/>
  <c r="O20" i="16"/>
  <c r="O13" i="8"/>
  <c r="O16" i="8"/>
  <c r="O37" i="8"/>
  <c r="O85" i="19"/>
  <c r="O80" i="19"/>
  <c r="O82" i="19"/>
  <c r="O79" i="19"/>
  <c r="O19" i="19"/>
  <c r="O63" i="25"/>
  <c r="P39" i="20"/>
  <c r="M45" i="25"/>
  <c r="M73" i="25"/>
  <c r="H45" i="29"/>
  <c r="H73" i="29"/>
  <c r="S33" i="13"/>
  <c r="L47" i="10"/>
  <c r="P35" i="29"/>
  <c r="P31" i="29"/>
  <c r="P27" i="29"/>
  <c r="P17" i="29"/>
  <c r="P13" i="29"/>
  <c r="P38" i="29"/>
  <c r="P33" i="29"/>
  <c r="P28" i="29"/>
  <c r="P36" i="29"/>
  <c r="P72" i="29"/>
  <c r="P37" i="29"/>
  <c r="P34" i="29"/>
  <c r="P14" i="29"/>
  <c r="P32" i="29"/>
  <c r="P30" i="29"/>
  <c r="P29" i="29"/>
  <c r="P23" i="29"/>
  <c r="P16" i="29"/>
  <c r="Q12" i="29"/>
  <c r="P18" i="29"/>
  <c r="P15" i="29"/>
  <c r="P44" i="29"/>
  <c r="P75" i="29"/>
  <c r="P43" i="29"/>
  <c r="P60" i="29"/>
  <c r="P66" i="29"/>
  <c r="P47" i="29"/>
  <c r="J14" i="4"/>
  <c r="M3" i="19"/>
  <c r="O21" i="20"/>
  <c r="O22" i="20" s="1"/>
  <c r="O24" i="20" s="1"/>
  <c r="P19" i="17"/>
  <c r="Q20" i="30"/>
  <c r="E77" i="23"/>
  <c r="H52" i="21"/>
  <c r="P62" i="23"/>
  <c r="P28" i="23"/>
  <c r="P15" i="23"/>
  <c r="P13" i="23"/>
  <c r="P34" i="23"/>
  <c r="P38" i="23"/>
  <c r="P33" i="23"/>
  <c r="Q12" i="23"/>
  <c r="P44" i="23"/>
  <c r="P17" i="23"/>
  <c r="P61" i="23"/>
  <c r="P63" i="23" s="1"/>
  <c r="P37" i="23"/>
  <c r="P32" i="23"/>
  <c r="P16" i="23"/>
  <c r="P36" i="23"/>
  <c r="P27" i="23"/>
  <c r="P18" i="23"/>
  <c r="P72" i="23"/>
  <c r="P14" i="23"/>
  <c r="P30" i="23"/>
  <c r="P29" i="23"/>
  <c r="P31" i="23"/>
  <c r="P23" i="23"/>
  <c r="P35" i="23"/>
  <c r="L73" i="16"/>
  <c r="L45" i="16"/>
  <c r="F77" i="27"/>
  <c r="F80" i="27"/>
  <c r="G54" i="21"/>
  <c r="G56" i="21" s="1"/>
  <c r="K73" i="17"/>
  <c r="K45" i="17"/>
  <c r="O35" i="10"/>
  <c r="O19" i="16"/>
  <c r="O14" i="8"/>
  <c r="O30" i="8"/>
  <c r="J73" i="28"/>
  <c r="J45" i="28"/>
  <c r="N46" i="10"/>
  <c r="G48" i="14"/>
  <c r="G49" i="14"/>
  <c r="G50" i="14"/>
  <c r="F54" i="21"/>
  <c r="F56" i="21"/>
  <c r="H16" i="4"/>
  <c r="O63" i="27"/>
  <c r="O39" i="27"/>
  <c r="G41" i="16"/>
  <c r="D10" i="52"/>
  <c r="H41" i="49"/>
  <c r="G73" i="8"/>
  <c r="G45" i="8"/>
  <c r="O19" i="25"/>
  <c r="G54" i="19"/>
  <c r="G56" i="19"/>
  <c r="M21" i="8"/>
  <c r="M22" i="8" s="1"/>
  <c r="M24" i="8" s="1"/>
  <c r="L45" i="29"/>
  <c r="L73" i="29"/>
  <c r="P47" i="10"/>
  <c r="J73" i="17"/>
  <c r="J45" i="17"/>
  <c r="N35" i="10"/>
  <c r="O63" i="21"/>
  <c r="H50" i="17"/>
  <c r="U109" i="13"/>
  <c r="R83" i="14"/>
  <c r="O31" i="8"/>
  <c r="O34" i="8"/>
  <c r="K11" i="52"/>
  <c r="H161" i="49"/>
  <c r="J39" i="49"/>
  <c r="Q39" i="49" s="1"/>
  <c r="M41" i="16"/>
  <c r="E10" i="52"/>
  <c r="H58" i="49"/>
  <c r="H45" i="8"/>
  <c r="H73" i="8"/>
  <c r="F18" i="14"/>
  <c r="F128" i="14"/>
  <c r="F129" i="14" s="1"/>
  <c r="F130" i="14" s="1"/>
  <c r="H73" i="16"/>
  <c r="H45" i="16"/>
  <c r="L34" i="10"/>
  <c r="J80" i="31"/>
  <c r="R36" i="26"/>
  <c r="R32" i="26"/>
  <c r="R28" i="26"/>
  <c r="R18" i="26"/>
  <c r="R14" i="26"/>
  <c r="R34" i="26"/>
  <c r="R29" i="26"/>
  <c r="R27" i="26"/>
  <c r="R44" i="26"/>
  <c r="S12" i="26"/>
  <c r="R37" i="26"/>
  <c r="R17" i="26"/>
  <c r="R16" i="26"/>
  <c r="R31" i="26"/>
  <c r="R15" i="26"/>
  <c r="R38" i="26"/>
  <c r="R33" i="26"/>
  <c r="R13" i="26"/>
  <c r="R72" i="26"/>
  <c r="R35" i="26"/>
  <c r="R30" i="26"/>
  <c r="R23" i="26"/>
  <c r="R60" i="26"/>
  <c r="R75" i="26"/>
  <c r="R47" i="26"/>
  <c r="R66" i="26"/>
  <c r="R43" i="26"/>
  <c r="E54" i="15"/>
  <c r="E56" i="15"/>
  <c r="F77" i="25"/>
  <c r="F80" i="25"/>
  <c r="T35" i="13"/>
  <c r="V35" i="13" s="1"/>
  <c r="U35" i="13"/>
  <c r="O63" i="15"/>
  <c r="O20" i="22"/>
  <c r="O82" i="22"/>
  <c r="O79" i="22"/>
  <c r="O80" i="22"/>
  <c r="O85" i="22"/>
  <c r="O20" i="23"/>
  <c r="F73" i="16"/>
  <c r="F52" i="16"/>
  <c r="F45" i="16"/>
  <c r="J34" i="10"/>
  <c r="D11" i="4"/>
  <c r="M2" i="16"/>
  <c r="F50" i="16"/>
  <c r="E77" i="15"/>
  <c r="E77" i="27"/>
  <c r="O82" i="21"/>
  <c r="O80" i="21"/>
  <c r="O85" i="21"/>
  <c r="O79" i="21"/>
  <c r="E54" i="18"/>
  <c r="E56" i="18"/>
  <c r="H54" i="19"/>
  <c r="H56" i="19" s="1"/>
  <c r="U105" i="13"/>
  <c r="R43" i="14"/>
  <c r="O36" i="8"/>
  <c r="O38" i="8"/>
  <c r="G73" i="17"/>
  <c r="G77" i="17" s="1"/>
  <c r="G45" i="17"/>
  <c r="G52" i="17"/>
  <c r="K35" i="10"/>
  <c r="G50" i="17"/>
  <c r="L45" i="27"/>
  <c r="L73" i="27"/>
  <c r="J125" i="49"/>
  <c r="Q125" i="49" s="1"/>
  <c r="O20" i="25"/>
  <c r="Q44" i="20"/>
  <c r="Q38" i="20"/>
  <c r="Q34" i="20"/>
  <c r="Q30" i="20"/>
  <c r="Q16" i="20"/>
  <c r="Q35" i="20"/>
  <c r="Q31" i="20"/>
  <c r="Q27" i="20"/>
  <c r="Q17" i="20"/>
  <c r="Q13" i="20"/>
  <c r="Q14" i="20"/>
  <c r="Q29" i="20"/>
  <c r="Q18" i="20"/>
  <c r="Q33" i="20"/>
  <c r="Q37" i="20"/>
  <c r="Q36" i="20"/>
  <c r="Q23" i="20"/>
  <c r="R12" i="20"/>
  <c r="Q28" i="20"/>
  <c r="Q72" i="20"/>
  <c r="Q15" i="20"/>
  <c r="Q32" i="20"/>
  <c r="Q60" i="20"/>
  <c r="Q43" i="20"/>
  <c r="Q66" i="20"/>
  <c r="Q75" i="20"/>
  <c r="Q47" i="20"/>
  <c r="J56" i="49"/>
  <c r="Q56" i="49" s="1"/>
  <c r="G76" i="16"/>
  <c r="F10" i="52"/>
  <c r="H75" i="49"/>
  <c r="I73" i="8"/>
  <c r="I45" i="8"/>
  <c r="N22" i="25"/>
  <c r="N24" i="25" s="1"/>
  <c r="N21" i="25"/>
  <c r="M5" i="52"/>
  <c r="D5117" i="49"/>
  <c r="D5113" i="49"/>
  <c r="D5119" i="49"/>
  <c r="D5109" i="49"/>
  <c r="D5106" i="49"/>
  <c r="D5120" i="49"/>
  <c r="D5115" i="49"/>
  <c r="D5111" i="49"/>
  <c r="D5108" i="49"/>
  <c r="D5110" i="49"/>
  <c r="D5112" i="49"/>
  <c r="D5107" i="49"/>
  <c r="D5118" i="49"/>
  <c r="D5114" i="49"/>
  <c r="D5121" i="49"/>
  <c r="D4831" i="49"/>
  <c r="D4821" i="49"/>
  <c r="D4818" i="49"/>
  <c r="D4828" i="49"/>
  <c r="D4825" i="49"/>
  <c r="D4830" i="49"/>
  <c r="D4817" i="49"/>
  <c r="D4823" i="49"/>
  <c r="D4543" i="49"/>
  <c r="D4537" i="49"/>
  <c r="D4531" i="49"/>
  <c r="D4827" i="49"/>
  <c r="D4824" i="49"/>
  <c r="D4542" i="49"/>
  <c r="D4539" i="49"/>
  <c r="D4529" i="49"/>
  <c r="D4820" i="49"/>
  <c r="D4251" i="49"/>
  <c r="D4245" i="49"/>
  <c r="D4239" i="49"/>
  <c r="D4536" i="49"/>
  <c r="D4533" i="49"/>
  <c r="D4254" i="49"/>
  <c r="D4244" i="49"/>
  <c r="D4241" i="49"/>
  <c r="D5116" i="49"/>
  <c r="D4248" i="49"/>
  <c r="D4238" i="49"/>
  <c r="D3964" i="49"/>
  <c r="D3958" i="49"/>
  <c r="D3952" i="49"/>
  <c r="D4832" i="49"/>
  <c r="D4822" i="49"/>
  <c r="D4535" i="49"/>
  <c r="D4826" i="49"/>
  <c r="D4532" i="49"/>
  <c r="D4249" i="49"/>
  <c r="D4247" i="49"/>
  <c r="D3961" i="49"/>
  <c r="D3951" i="49"/>
  <c r="D5105" i="49"/>
  <c r="D4819" i="49"/>
  <c r="D4541" i="49"/>
  <c r="D4538" i="49"/>
  <c r="D4528" i="49"/>
  <c r="D4253" i="49"/>
  <c r="D4242" i="49"/>
  <c r="D4240" i="49"/>
  <c r="D3965" i="49"/>
  <c r="D3955" i="49"/>
  <c r="D3674" i="49"/>
  <c r="D3668" i="49"/>
  <c r="D3662" i="49"/>
  <c r="D3386" i="49"/>
  <c r="D3380" i="49"/>
  <c r="D3374" i="49"/>
  <c r="D4816" i="49"/>
  <c r="D4534" i="49"/>
  <c r="D4250" i="49"/>
  <c r="D4252" i="49"/>
  <c r="D3960" i="49"/>
  <c r="D4246" i="49"/>
  <c r="D3956" i="49"/>
  <c r="D3660" i="49"/>
  <c r="D3953" i="49"/>
  <c r="D3673" i="49"/>
  <c r="D3669" i="49"/>
  <c r="D4540" i="49"/>
  <c r="D3665" i="49"/>
  <c r="D3962" i="49"/>
  <c r="D3661" i="49"/>
  <c r="D3372" i="49"/>
  <c r="D4530" i="49"/>
  <c r="D3670" i="49"/>
  <c r="D3385" i="49"/>
  <c r="D3381" i="49"/>
  <c r="D4527" i="49"/>
  <c r="D3959" i="49"/>
  <c r="D3382" i="49"/>
  <c r="D3379" i="49"/>
  <c r="D3371" i="49"/>
  <c r="D3663" i="49"/>
  <c r="D3377" i="49"/>
  <c r="D3094" i="49"/>
  <c r="D3088" i="49"/>
  <c r="D3082" i="49"/>
  <c r="D2806" i="49"/>
  <c r="D2800" i="49"/>
  <c r="D2794" i="49"/>
  <c r="D3963" i="49"/>
  <c r="D3672" i="49"/>
  <c r="D3950" i="49"/>
  <c r="D3671" i="49"/>
  <c r="D3097" i="49"/>
  <c r="D3087" i="49"/>
  <c r="D3084" i="49"/>
  <c r="D4829" i="49"/>
  <c r="D4243" i="49"/>
  <c r="D3675" i="49"/>
  <c r="D3666" i="49"/>
  <c r="D3387" i="49"/>
  <c r="D3091" i="49"/>
  <c r="D3384" i="49"/>
  <c r="D3376" i="49"/>
  <c r="D3373" i="49"/>
  <c r="D3098" i="49"/>
  <c r="D3095" i="49"/>
  <c r="D3085" i="49"/>
  <c r="D3378" i="49"/>
  <c r="D3949" i="49"/>
  <c r="D3667" i="49"/>
  <c r="D3383" i="49"/>
  <c r="D2796" i="49"/>
  <c r="D2515" i="49"/>
  <c r="D2509" i="49"/>
  <c r="D2808" i="49"/>
  <c r="D2801" i="49"/>
  <c r="D3093" i="49"/>
  <c r="D2516" i="49"/>
  <c r="D2510" i="49"/>
  <c r="D2504" i="49"/>
  <c r="D2228" i="49"/>
  <c r="D2222" i="49"/>
  <c r="D2216" i="49"/>
  <c r="D1940" i="49"/>
  <c r="D1934" i="49"/>
  <c r="D1928" i="49"/>
  <c r="D3957" i="49"/>
  <c r="D3086" i="49"/>
  <c r="D2799" i="49"/>
  <c r="D2517" i="49"/>
  <c r="D2511" i="49"/>
  <c r="D2505" i="49"/>
  <c r="D2229" i="49"/>
  <c r="D2223" i="49"/>
  <c r="D2217" i="49"/>
  <c r="D1941" i="49"/>
  <c r="D1935" i="49"/>
  <c r="D1929" i="49"/>
  <c r="D2804" i="49"/>
  <c r="D2797" i="49"/>
  <c r="D2795" i="49"/>
  <c r="D2506" i="49"/>
  <c r="D2225" i="49"/>
  <c r="D2215" i="49"/>
  <c r="D1942" i="49"/>
  <c r="D1932" i="49"/>
  <c r="D3954" i="49"/>
  <c r="D3083" i="49"/>
  <c r="D2798" i="49"/>
  <c r="D2518" i="49"/>
  <c r="D2508" i="49"/>
  <c r="D2219" i="49"/>
  <c r="D1939" i="49"/>
  <c r="D1936" i="49"/>
  <c r="D1926" i="49"/>
  <c r="D3375" i="49"/>
  <c r="D3090" i="49"/>
  <c r="D2809" i="49"/>
  <c r="D2514" i="49"/>
  <c r="D2520" i="49"/>
  <c r="D2226" i="49"/>
  <c r="D1933" i="49"/>
  <c r="D1930" i="49"/>
  <c r="D2803" i="49"/>
  <c r="D3096" i="49"/>
  <c r="D2227" i="49"/>
  <c r="D1650" i="49"/>
  <c r="D2805" i="49"/>
  <c r="D2224" i="49"/>
  <c r="D2513" i="49"/>
  <c r="D1651" i="49"/>
  <c r="D1647" i="49"/>
  <c r="D3676" i="49"/>
  <c r="D2793" i="49"/>
  <c r="D3664" i="49"/>
  <c r="D2519" i="49"/>
  <c r="D3089" i="49"/>
  <c r="D2802" i="49"/>
  <c r="D2507" i="49"/>
  <c r="D2230" i="49"/>
  <c r="D2512" i="49"/>
  <c r="D1931" i="49"/>
  <c r="D1641" i="49"/>
  <c r="D1938" i="49"/>
  <c r="D1637" i="49"/>
  <c r="D3092" i="49"/>
  <c r="D1927" i="49"/>
  <c r="D1652" i="49"/>
  <c r="D1648" i="49"/>
  <c r="D1349" i="49"/>
  <c r="D2218" i="49"/>
  <c r="D1362" i="49"/>
  <c r="D1646" i="49"/>
  <c r="D1358" i="49"/>
  <c r="D1354" i="49"/>
  <c r="D1937" i="49"/>
  <c r="D1644" i="49"/>
  <c r="D1642" i="49"/>
  <c r="D1639" i="49"/>
  <c r="D1350" i="49"/>
  <c r="D1072" i="49"/>
  <c r="D1066" i="49"/>
  <c r="D1060" i="49"/>
  <c r="D784" i="49"/>
  <c r="D778" i="49"/>
  <c r="D772" i="49"/>
  <c r="D1355" i="49"/>
  <c r="D2221" i="49"/>
  <c r="D2231" i="49"/>
  <c r="D1645" i="49"/>
  <c r="D2807" i="49"/>
  <c r="D1638" i="49"/>
  <c r="D1643" i="49"/>
  <c r="D1071" i="49"/>
  <c r="D1068" i="49"/>
  <c r="D1352" i="49"/>
  <c r="D1364" i="49"/>
  <c r="D1359" i="49"/>
  <c r="D1357" i="49"/>
  <c r="D1075" i="49"/>
  <c r="D1065" i="49"/>
  <c r="D1062" i="49"/>
  <c r="D492" i="49"/>
  <c r="D486" i="49"/>
  <c r="D783" i="49"/>
  <c r="D780" i="49"/>
  <c r="D770" i="49"/>
  <c r="D1361" i="49"/>
  <c r="D1356" i="49"/>
  <c r="D1653" i="49"/>
  <c r="D1649" i="49"/>
  <c r="D1074" i="49"/>
  <c r="D1063" i="49"/>
  <c r="D1061" i="49"/>
  <c r="D781" i="49"/>
  <c r="D776" i="49"/>
  <c r="D774" i="49"/>
  <c r="D484" i="49"/>
  <c r="D1360" i="49"/>
  <c r="D497" i="49"/>
  <c r="D493" i="49"/>
  <c r="D207" i="49"/>
  <c r="B207" i="50" s="1"/>
  <c r="D204" i="49"/>
  <c r="B204" i="50" s="1"/>
  <c r="D201" i="49"/>
  <c r="B201" i="50" s="1"/>
  <c r="D198" i="49"/>
  <c r="B198" i="50" s="1"/>
  <c r="D195" i="49"/>
  <c r="B195" i="50" s="1"/>
  <c r="D192" i="49"/>
  <c r="B192" i="50" s="1"/>
  <c r="D1069" i="49"/>
  <c r="D1067" i="49"/>
  <c r="D786" i="49"/>
  <c r="D779" i="49"/>
  <c r="D489" i="49"/>
  <c r="D485" i="49"/>
  <c r="D481" i="49"/>
  <c r="D1363" i="49"/>
  <c r="D490" i="49"/>
  <c r="D1064" i="49"/>
  <c r="D2220" i="49"/>
  <c r="D1353" i="49"/>
  <c r="D495" i="49"/>
  <c r="D200" i="49"/>
  <c r="B200" i="50" s="1"/>
  <c r="D785" i="49"/>
  <c r="D782" i="49"/>
  <c r="D1640" i="49"/>
  <c r="D1059" i="49"/>
  <c r="D773" i="49"/>
  <c r="D1351" i="49"/>
  <c r="D775" i="49"/>
  <c r="D494" i="49"/>
  <c r="D483" i="49"/>
  <c r="D1070" i="49"/>
  <c r="D496" i="49"/>
  <c r="D206" i="49"/>
  <c r="B206" i="50" s="1"/>
  <c r="D197" i="49"/>
  <c r="B197" i="50" s="1"/>
  <c r="D777" i="49"/>
  <c r="D202" i="49"/>
  <c r="B202" i="50" s="1"/>
  <c r="D771" i="49"/>
  <c r="D208" i="49"/>
  <c r="B208" i="50" s="1"/>
  <c r="D193" i="49"/>
  <c r="B193" i="50" s="1"/>
  <c r="D205" i="49"/>
  <c r="B205" i="50" s="1"/>
  <c r="D203" i="49"/>
  <c r="B203" i="50" s="1"/>
  <c r="D491" i="49"/>
  <c r="D1348" i="49"/>
  <c r="D482" i="49"/>
  <c r="D194" i="49"/>
  <c r="B194" i="50" s="1"/>
  <c r="D1073" i="49"/>
  <c r="D488" i="49"/>
  <c r="D487" i="49"/>
  <c r="P72" i="8"/>
  <c r="D196" i="49"/>
  <c r="B196" i="50" s="1"/>
  <c r="D199" i="49"/>
  <c r="B199" i="50" s="1"/>
  <c r="P43" i="8"/>
  <c r="Q12" i="8"/>
  <c r="P47" i="8"/>
  <c r="L45" i="19"/>
  <c r="L73" i="19"/>
  <c r="P37" i="10"/>
  <c r="O39" i="24"/>
  <c r="B8" i="52"/>
  <c r="H5" i="49"/>
  <c r="E41" i="8"/>
  <c r="N21" i="31"/>
  <c r="N22" i="31" s="1"/>
  <c r="N24" i="31" s="1"/>
  <c r="F77" i="23"/>
  <c r="F80" i="23"/>
  <c r="P62" i="21"/>
  <c r="P36" i="21"/>
  <c r="P32" i="21"/>
  <c r="P28" i="21"/>
  <c r="P18" i="21"/>
  <c r="P14" i="21"/>
  <c r="P37" i="21"/>
  <c r="P33" i="21"/>
  <c r="P29" i="21"/>
  <c r="P23" i="21"/>
  <c r="P15" i="21"/>
  <c r="P38" i="21"/>
  <c r="P61" i="21"/>
  <c r="P63" i="21" s="1"/>
  <c r="P27" i="21"/>
  <c r="P44" i="21"/>
  <c r="P16" i="21"/>
  <c r="P31" i="21"/>
  <c r="P35" i="21"/>
  <c r="P17" i="21"/>
  <c r="P34" i="21"/>
  <c r="P13" i="21"/>
  <c r="P72" i="21"/>
  <c r="P30" i="21"/>
  <c r="Q12" i="21"/>
  <c r="N39" i="8"/>
  <c r="H77" i="19"/>
  <c r="O18" i="8"/>
  <c r="O44" i="8"/>
  <c r="H8" i="52"/>
  <c r="H107" i="49"/>
  <c r="K41" i="8"/>
  <c r="P85" i="20"/>
  <c r="P82" i="20"/>
  <c r="P79" i="20"/>
  <c r="P80" i="20"/>
  <c r="E73" i="16"/>
  <c r="I34" i="10"/>
  <c r="E45" i="16"/>
  <c r="E52" i="16"/>
  <c r="E50" i="16"/>
  <c r="J73" i="49"/>
  <c r="Q73" i="49"/>
  <c r="T30" i="13"/>
  <c r="U30" i="13"/>
  <c r="C8" i="52"/>
  <c r="H22" i="49"/>
  <c r="F41" i="8"/>
  <c r="P85" i="17"/>
  <c r="P80" i="17"/>
  <c r="P79" i="17"/>
  <c r="P82" i="17"/>
  <c r="H54" i="15"/>
  <c r="H56" i="15" s="1"/>
  <c r="H67" i="15" s="1"/>
  <c r="H68" i="15" s="1"/>
  <c r="O39" i="28"/>
  <c r="I73" i="17"/>
  <c r="I45" i="17"/>
  <c r="M35" i="10"/>
  <c r="I84" i="13"/>
  <c r="H64" i="25" s="1"/>
  <c r="H76" i="25" s="1"/>
  <c r="H77" i="25" s="1"/>
  <c r="G107" i="14"/>
  <c r="F54" i="18"/>
  <c r="F56" i="18" s="1"/>
  <c r="H13" i="4"/>
  <c r="J9" i="52"/>
  <c r="H142" i="49"/>
  <c r="O82" i="29"/>
  <c r="O80" i="29"/>
  <c r="O79" i="29"/>
  <c r="O85" i="29"/>
  <c r="F54" i="19"/>
  <c r="F56" i="19"/>
  <c r="H14" i="4"/>
  <c r="L45" i="25"/>
  <c r="L73" i="25"/>
  <c r="O28" i="8"/>
  <c r="P62" i="15"/>
  <c r="P44" i="15"/>
  <c r="P30" i="15"/>
  <c r="P16" i="15"/>
  <c r="P35" i="15"/>
  <c r="P29" i="15"/>
  <c r="P15" i="15"/>
  <c r="P72" i="15"/>
  <c r="P61" i="15"/>
  <c r="P33" i="15"/>
  <c r="P27" i="15"/>
  <c r="P13" i="15"/>
  <c r="P38" i="15"/>
  <c r="P17" i="15"/>
  <c r="P32" i="15"/>
  <c r="P23" i="15"/>
  <c r="P37" i="15"/>
  <c r="P31" i="15"/>
  <c r="P36" i="15"/>
  <c r="P34" i="15"/>
  <c r="P28" i="15"/>
  <c r="Q12" i="15"/>
  <c r="P18" i="15"/>
  <c r="P14" i="15"/>
  <c r="O20" i="24"/>
  <c r="I45" i="28"/>
  <c r="I73" i="28"/>
  <c r="M46" i="10"/>
  <c r="M2" i="28"/>
  <c r="O85" i="31"/>
  <c r="O80" i="31"/>
  <c r="O82" i="31"/>
  <c r="O79" i="31"/>
  <c r="R13" i="14"/>
  <c r="U102" i="13"/>
  <c r="E54" i="19"/>
  <c r="E56" i="19" s="1"/>
  <c r="O32" i="8"/>
  <c r="P37" i="16"/>
  <c r="P33" i="16"/>
  <c r="P29" i="16"/>
  <c r="P23" i="16"/>
  <c r="P15" i="16"/>
  <c r="P72" i="16"/>
  <c r="Q12" i="16"/>
  <c r="P44" i="16"/>
  <c r="P38" i="16"/>
  <c r="P38" i="8" s="1"/>
  <c r="P34" i="16"/>
  <c r="P34" i="8" s="1"/>
  <c r="P30" i="16"/>
  <c r="P30" i="8" s="1"/>
  <c r="P16" i="16"/>
  <c r="P61" i="16"/>
  <c r="P35" i="16"/>
  <c r="P35" i="8" s="1"/>
  <c r="P27" i="16"/>
  <c r="P17" i="16"/>
  <c r="P62" i="16"/>
  <c r="P36" i="16"/>
  <c r="P28" i="16"/>
  <c r="P28" i="8" s="1"/>
  <c r="P18" i="16"/>
  <c r="P18" i="8" s="1"/>
  <c r="P13" i="16"/>
  <c r="P31" i="16"/>
  <c r="P31" i="8" s="1"/>
  <c r="P14" i="16"/>
  <c r="P32" i="16"/>
  <c r="O20" i="19"/>
  <c r="G54" i="25"/>
  <c r="G56" i="25" s="1"/>
  <c r="O86" i="8"/>
  <c r="O79" i="8"/>
  <c r="E84" i="14"/>
  <c r="H53" i="13" s="1"/>
  <c r="G48" i="22" s="1"/>
  <c r="O39" i="22"/>
  <c r="R44" i="30"/>
  <c r="R38" i="30"/>
  <c r="R34" i="30"/>
  <c r="R30" i="30"/>
  <c r="R16" i="30"/>
  <c r="R15" i="30"/>
  <c r="R72" i="30"/>
  <c r="R27" i="30"/>
  <c r="R13" i="30"/>
  <c r="R18" i="30"/>
  <c r="R36" i="30"/>
  <c r="R31" i="30"/>
  <c r="R37" i="30"/>
  <c r="R32" i="30"/>
  <c r="S12" i="30"/>
  <c r="R28" i="30"/>
  <c r="R23" i="30"/>
  <c r="R35" i="30"/>
  <c r="R14" i="30"/>
  <c r="R17" i="30"/>
  <c r="R33" i="30"/>
  <c r="R29" i="30"/>
  <c r="R43" i="30"/>
  <c r="R66" i="30"/>
  <c r="R60" i="30"/>
  <c r="R75" i="30"/>
  <c r="R47" i="30"/>
  <c r="M41" i="31"/>
  <c r="R33" i="14"/>
  <c r="U104" i="13"/>
  <c r="T4" i="14"/>
  <c r="S42" i="14"/>
  <c r="V133" i="13" s="1"/>
  <c r="S22" i="14"/>
  <c r="V131" i="13" s="1"/>
  <c r="S41" i="14"/>
  <c r="S31" i="14"/>
  <c r="S91" i="14"/>
  <c r="S26" i="14"/>
  <c r="S72" i="14"/>
  <c r="V136" i="13" s="1"/>
  <c r="S132" i="14"/>
  <c r="V142" i="13" s="1"/>
  <c r="S32" i="14"/>
  <c r="V132" i="13" s="1"/>
  <c r="S112" i="14"/>
  <c r="V140" i="13" s="1"/>
  <c r="S131" i="14"/>
  <c r="S81" i="14"/>
  <c r="S82" i="14"/>
  <c r="V137" i="13" s="1"/>
  <c r="S111" i="14"/>
  <c r="S12" i="14"/>
  <c r="V130" i="13" s="1"/>
  <c r="S51" i="14"/>
  <c r="S21" i="14"/>
  <c r="S92" i="14"/>
  <c r="V138" i="13" s="1"/>
  <c r="S52" i="14"/>
  <c r="V134" i="13" s="1"/>
  <c r="S71" i="14"/>
  <c r="S11" i="14"/>
  <c r="S106" i="14"/>
  <c r="S6" i="14"/>
  <c r="S46" i="14"/>
  <c r="S86" i="14"/>
  <c r="S66" i="14"/>
  <c r="S146" i="14"/>
  <c r="S156" i="14"/>
  <c r="S166" i="14"/>
  <c r="S96" i="14"/>
  <c r="S56" i="14"/>
  <c r="S36" i="14"/>
  <c r="S16" i="14"/>
  <c r="S76" i="14"/>
  <c r="S116" i="14"/>
  <c r="S136" i="14"/>
  <c r="S126" i="14"/>
  <c r="G8" i="52"/>
  <c r="H90" i="49"/>
  <c r="J41" i="8"/>
  <c r="O39" i="29"/>
  <c r="G54" i="23"/>
  <c r="Q79" i="30"/>
  <c r="Q85" i="30"/>
  <c r="Q82" i="30"/>
  <c r="Q80" i="30"/>
  <c r="F44" i="14"/>
  <c r="I49" i="13" s="1"/>
  <c r="H48" i="18" s="1"/>
  <c r="Q19" i="26"/>
  <c r="Q20" i="26" s="1"/>
  <c r="N21" i="27"/>
  <c r="N22" i="27"/>
  <c r="N24" i="27" s="1"/>
  <c r="O39" i="23"/>
  <c r="G50" i="27"/>
  <c r="H50" i="25"/>
  <c r="J20" i="4"/>
  <c r="M3" i="25"/>
  <c r="P21" i="30"/>
  <c r="P22" i="30" s="1"/>
  <c r="P24" i="30" s="1"/>
  <c r="P41" i="30" s="1"/>
  <c r="O19" i="15"/>
  <c r="O20" i="15" s="1"/>
  <c r="P20" i="17"/>
  <c r="F54" i="23"/>
  <c r="H18" i="4"/>
  <c r="F94" i="14"/>
  <c r="I54" i="13" s="1"/>
  <c r="H48" i="23" s="1"/>
  <c r="E77" i="18"/>
  <c r="R53" i="14"/>
  <c r="U106" i="13"/>
  <c r="U108" i="13"/>
  <c r="R73" i="14"/>
  <c r="O82" i="16"/>
  <c r="O85" i="16"/>
  <c r="O80" i="16"/>
  <c r="O79" i="16"/>
  <c r="F77" i="21"/>
  <c r="F80" i="21"/>
  <c r="E54" i="21"/>
  <c r="E56" i="21" s="1"/>
  <c r="O20" i="27"/>
  <c r="O39" i="25"/>
  <c r="P20" i="20"/>
  <c r="V34" i="13"/>
  <c r="L73" i="21"/>
  <c r="L45" i="21"/>
  <c r="P39" i="10"/>
  <c r="F45" i="17"/>
  <c r="F52" i="17"/>
  <c r="M2" i="17"/>
  <c r="F73" i="17"/>
  <c r="J35" i="10"/>
  <c r="D12" i="4"/>
  <c r="F50" i="17"/>
  <c r="H1299" i="49"/>
  <c r="O8" i="51"/>
  <c r="H1332" i="49"/>
  <c r="E182" i="46"/>
  <c r="E806" i="46"/>
  <c r="H5089" i="49"/>
  <c r="H1316" i="49"/>
  <c r="H2084" i="49"/>
  <c r="H1344" i="49"/>
  <c r="H1342" i="49"/>
  <c r="H1343" i="49"/>
  <c r="K8" i="40"/>
  <c r="E192" i="46"/>
  <c r="O17" i="51"/>
  <c r="H876" i="49"/>
  <c r="E104" i="46"/>
  <c r="E356" i="46"/>
  <c r="H2341" i="49"/>
  <c r="H4412" i="49"/>
  <c r="E696" i="46"/>
  <c r="H653" i="49"/>
  <c r="E71" i="46"/>
  <c r="F6" i="3"/>
  <c r="H3366" i="49"/>
  <c r="H3367" i="49"/>
  <c r="H3365" i="49"/>
  <c r="E528" i="46"/>
  <c r="K15" i="40"/>
  <c r="H638" i="49"/>
  <c r="E12" i="46"/>
  <c r="H604" i="49"/>
  <c r="H1168" i="49"/>
  <c r="E156" i="46"/>
  <c r="H910" i="49"/>
  <c r="H3662" i="49"/>
  <c r="H2796" i="49"/>
  <c r="H1647" i="49"/>
  <c r="E67" i="46"/>
  <c r="H1474" i="49"/>
  <c r="H2777" i="49"/>
  <c r="E422" i="46"/>
  <c r="H929" i="49"/>
  <c r="E13" i="46"/>
  <c r="K5" i="40"/>
  <c r="E48" i="46"/>
  <c r="H912" i="49"/>
  <c r="H5108" i="49"/>
  <c r="H3958" i="49"/>
  <c r="H4819" i="49"/>
  <c r="H3959" i="49"/>
  <c r="H2226" i="49"/>
  <c r="H1573" i="49"/>
  <c r="H4222" i="49"/>
  <c r="E662" i="46"/>
  <c r="H1481" i="49"/>
  <c r="H1475" i="49"/>
  <c r="H1909" i="49"/>
  <c r="E277" i="46"/>
  <c r="H1070" i="49"/>
  <c r="H2059" i="49"/>
  <c r="H2053" i="49"/>
  <c r="H4463" i="49"/>
  <c r="H1457" i="49"/>
  <c r="E204" i="46"/>
  <c r="E164" i="46"/>
  <c r="H2035" i="49"/>
  <c r="E300" i="46"/>
  <c r="H3933" i="49"/>
  <c r="E614" i="46"/>
  <c r="H2218" i="49"/>
  <c r="H1068" i="49"/>
  <c r="H779" i="49"/>
  <c r="H2342" i="49"/>
  <c r="H2348" i="49"/>
  <c r="H1169" i="49"/>
  <c r="H1175" i="49"/>
  <c r="E157" i="46"/>
  <c r="H1509" i="49"/>
  <c r="H1515" i="49"/>
  <c r="O11" i="51"/>
  <c r="H2356" i="49"/>
  <c r="H2470" i="49"/>
  <c r="E106" i="46"/>
  <c r="H3786" i="49"/>
  <c r="H1633" i="49"/>
  <c r="H1632" i="49"/>
  <c r="H1631" i="49"/>
  <c r="E240" i="46"/>
  <c r="K9" i="40"/>
  <c r="H2759" i="49"/>
  <c r="H1621" i="49"/>
  <c r="E230" i="46"/>
  <c r="H3803" i="49"/>
  <c r="H2500" i="49"/>
  <c r="H2498" i="49"/>
  <c r="H2499" i="49"/>
  <c r="E384" i="46"/>
  <c r="K12" i="40"/>
  <c r="H4361" i="49"/>
  <c r="E308" i="46"/>
  <c r="H4378" i="49"/>
  <c r="E38" i="46"/>
  <c r="H706" i="49"/>
  <c r="H2052" i="49"/>
  <c r="H2210" i="49"/>
  <c r="H2209" i="49"/>
  <c r="H2211" i="49"/>
  <c r="E336" i="46"/>
  <c r="K11" i="40"/>
  <c r="H1508" i="49"/>
  <c r="P10" i="51"/>
  <c r="H3374" i="49"/>
  <c r="H2804" i="49"/>
  <c r="H3664" i="49"/>
  <c r="H1927" i="49"/>
  <c r="E596" i="46"/>
  <c r="H1650" i="49"/>
  <c r="H1360" i="49"/>
  <c r="H2630" i="49"/>
  <c r="H3242" i="49"/>
  <c r="H1603" i="49"/>
  <c r="H3804" i="49"/>
  <c r="H3810" i="49"/>
  <c r="H2729" i="49"/>
  <c r="E500" i="46"/>
  <c r="H1588" i="49"/>
  <c r="H3215" i="49"/>
  <c r="H3209" i="49"/>
  <c r="H3191" i="49"/>
  <c r="E492" i="46"/>
  <c r="H1012" i="49"/>
  <c r="H4816" i="49"/>
  <c r="H1894" i="49"/>
  <c r="M18" i="51"/>
  <c r="H3208" i="49"/>
  <c r="H672" i="49"/>
  <c r="H3663" i="49"/>
  <c r="H1648" i="49"/>
  <c r="H1072" i="49"/>
  <c r="E58" i="46"/>
  <c r="H4123" i="49"/>
  <c r="E648" i="46"/>
  <c r="H3225" i="49"/>
  <c r="H3085" i="49"/>
  <c r="H2225" i="49"/>
  <c r="H2507" i="49"/>
  <c r="H1060" i="49"/>
  <c r="H3066" i="49"/>
  <c r="E470" i="46"/>
  <c r="H4204" i="49"/>
  <c r="P7" i="51"/>
  <c r="H2455" i="49"/>
  <c r="H3769" i="49"/>
  <c r="E588" i="46"/>
  <c r="E212" i="46"/>
  <c r="H3324" i="49"/>
  <c r="H2070" i="49"/>
  <c r="H2076" i="49"/>
  <c r="H3944" i="49"/>
  <c r="H3945" i="49"/>
  <c r="H3943" i="49"/>
  <c r="K17" i="40"/>
  <c r="E624" i="46"/>
  <c r="H721" i="49"/>
  <c r="E20" i="46"/>
  <c r="H3885" i="49"/>
  <c r="H3661" i="49"/>
  <c r="H2227" i="49"/>
  <c r="H2802" i="49"/>
  <c r="H1071" i="49"/>
  <c r="H780" i="49"/>
  <c r="H944" i="49"/>
  <c r="E120" i="46"/>
  <c r="E659" i="46"/>
  <c r="O6" i="51"/>
  <c r="H2488" i="49"/>
  <c r="E374" i="46"/>
  <c r="H736" i="49"/>
  <c r="H4189" i="49"/>
  <c r="H3018" i="49"/>
  <c r="E26" i="46"/>
  <c r="H2166" i="49"/>
  <c r="E27" i="46"/>
  <c r="H765" i="49"/>
  <c r="H766" i="49"/>
  <c r="H764" i="49"/>
  <c r="K6" i="40"/>
  <c r="E96" i="46"/>
  <c r="E691" i="46"/>
  <c r="H2199" i="49"/>
  <c r="E326" i="46"/>
  <c r="E404" i="46"/>
  <c r="H2069" i="49"/>
  <c r="H1027" i="49"/>
  <c r="H2324" i="49"/>
  <c r="E348" i="46"/>
  <c r="H4476" i="49"/>
  <c r="O14" i="51"/>
  <c r="H2085" i="49"/>
  <c r="H619" i="49"/>
  <c r="H4241" i="49"/>
  <c r="H4530" i="49"/>
  <c r="H2805" i="49"/>
  <c r="H1361" i="49"/>
  <c r="H1640" i="49"/>
  <c r="H1217" i="49"/>
  <c r="H4801" i="49"/>
  <c r="K23" i="39"/>
  <c r="G20" i="3"/>
  <c r="E759" i="46"/>
  <c r="H1879" i="49"/>
  <c r="O21" i="51"/>
  <c r="O9" i="51"/>
  <c r="H1202" i="49"/>
  <c r="O12" i="51"/>
  <c r="Q16" i="51"/>
  <c r="H2228" i="49"/>
  <c r="H2224" i="49"/>
  <c r="H1646" i="49"/>
  <c r="H3355" i="49"/>
  <c r="E518" i="46"/>
  <c r="H4140" i="49"/>
  <c r="H4818" i="49"/>
  <c r="H2806" i="49"/>
  <c r="H2513" i="49"/>
  <c r="H1358" i="49"/>
  <c r="H1359" i="49"/>
  <c r="H773" i="49"/>
  <c r="H2662" i="49"/>
  <c r="H893" i="49"/>
  <c r="H1498" i="49"/>
  <c r="H1492" i="49"/>
  <c r="H606" i="49"/>
  <c r="H3660" i="49"/>
  <c r="H3381" i="49"/>
  <c r="H2514" i="49"/>
  <c r="H1357" i="49"/>
  <c r="H1649" i="49"/>
  <c r="H1351" i="49"/>
  <c r="H5071" i="49"/>
  <c r="H1186" i="49"/>
  <c r="H1192" i="49"/>
  <c r="H5056" i="49"/>
  <c r="H3915" i="49"/>
  <c r="H895" i="49"/>
  <c r="H587" i="49"/>
  <c r="E56" i="46"/>
  <c r="H4395" i="49"/>
  <c r="H2803" i="49"/>
  <c r="H3033" i="49"/>
  <c r="H878" i="49"/>
  <c r="E107" i="46"/>
  <c r="H754" i="49"/>
  <c r="E86" i="46"/>
  <c r="H5041" i="49"/>
  <c r="H4157" i="49"/>
  <c r="H1209" i="49"/>
  <c r="H1203" i="49"/>
  <c r="H4344" i="49"/>
  <c r="E680" i="46"/>
  <c r="O13" i="51"/>
  <c r="H1491" i="49"/>
  <c r="H961" i="49"/>
  <c r="H1185" i="49"/>
  <c r="H3337" i="49"/>
  <c r="H4817" i="49"/>
  <c r="H3952" i="49"/>
  <c r="H3380" i="49"/>
  <c r="H1929" i="49"/>
  <c r="H1062" i="49"/>
  <c r="H1069" i="49"/>
  <c r="E131" i="46"/>
  <c r="H3307" i="49"/>
  <c r="H4511" i="49"/>
  <c r="E710" i="46"/>
  <c r="H3645" i="49"/>
  <c r="K19" i="39"/>
  <c r="G16" i="3"/>
  <c r="E567" i="46"/>
  <c r="E33" i="46"/>
  <c r="M19" i="51"/>
  <c r="H3900" i="49"/>
  <c r="H2744" i="49"/>
  <c r="E115" i="46"/>
  <c r="O15" i="51"/>
  <c r="H4174" i="49"/>
  <c r="H2613" i="49"/>
  <c r="E396" i="46"/>
  <c r="H2440" i="49"/>
  <c r="H2787" i="49"/>
  <c r="H2789" i="49"/>
  <c r="H2788" i="49"/>
  <c r="K13" i="40"/>
  <c r="E432" i="46"/>
  <c r="E707" i="46"/>
  <c r="H927" i="49"/>
  <c r="H1042" i="49"/>
  <c r="E133" i="46"/>
  <c r="H978" i="49"/>
  <c r="Q20" i="51"/>
  <c r="H589" i="49"/>
  <c r="E59" i="46"/>
  <c r="H2647" i="49"/>
  <c r="H2151" i="49"/>
  <c r="H2042" i="49"/>
  <c r="H2036" i="49"/>
  <c r="E301" i="46"/>
  <c r="H3232" i="49"/>
  <c r="H3226" i="49"/>
  <c r="H2181" i="49"/>
  <c r="H1458" i="49"/>
  <c r="H1464" i="49"/>
  <c r="E205" i="46"/>
  <c r="H3048" i="49"/>
  <c r="H3249" i="49"/>
  <c r="H3243" i="49"/>
  <c r="H2331" i="49"/>
  <c r="H2325" i="49"/>
  <c r="E349" i="46"/>
  <c r="J192" i="46" l="1"/>
  <c r="L8" i="40"/>
  <c r="J1343" i="49"/>
  <c r="Q1343" i="49" s="1"/>
  <c r="J1342" i="49"/>
  <c r="Q1342" i="49"/>
  <c r="J1344" i="49"/>
  <c r="Q1344" i="49" s="1"/>
  <c r="Q2084" i="49"/>
  <c r="J2084" i="49"/>
  <c r="J1316" i="49"/>
  <c r="Q1316" i="49" s="1"/>
  <c r="J5089" i="49"/>
  <c r="Q5089" i="49" s="1"/>
  <c r="J806" i="46"/>
  <c r="J182" i="46"/>
  <c r="J1332" i="49"/>
  <c r="Q1332" i="49" s="1"/>
  <c r="J1299" i="49"/>
  <c r="Q1299" i="49"/>
  <c r="P44" i="8"/>
  <c r="P63" i="15"/>
  <c r="P19" i="23"/>
  <c r="P39" i="18"/>
  <c r="R19" i="30"/>
  <c r="N45" i="18"/>
  <c r="N73" i="18"/>
  <c r="R36" i="10"/>
  <c r="P19" i="27"/>
  <c r="O21" i="18"/>
  <c r="O22" i="18" s="1"/>
  <c r="O24" i="18" s="1"/>
  <c r="P19" i="22"/>
  <c r="P19" i="18"/>
  <c r="P20" i="18" s="1"/>
  <c r="P80" i="18"/>
  <c r="P85" i="18"/>
  <c r="P82" i="18"/>
  <c r="P79" i="18"/>
  <c r="M45" i="18"/>
  <c r="M73" i="18"/>
  <c r="Q36" i="10"/>
  <c r="Q16" i="18"/>
  <c r="Q33" i="18"/>
  <c r="Q31" i="18"/>
  <c r="Q44" i="18"/>
  <c r="Q32" i="18"/>
  <c r="Q35" i="18"/>
  <c r="Q14" i="18"/>
  <c r="Q18" i="18"/>
  <c r="Q27" i="18"/>
  <c r="Q36" i="18"/>
  <c r="Q28" i="18"/>
  <c r="Q17" i="18"/>
  <c r="Q61" i="18"/>
  <c r="Q38" i="18"/>
  <c r="Q29" i="18"/>
  <c r="Q13" i="18"/>
  <c r="Q23" i="18"/>
  <c r="Q62" i="18"/>
  <c r="R12" i="18"/>
  <c r="Q72" i="18"/>
  <c r="Q37" i="18"/>
  <c r="Q34" i="18"/>
  <c r="Q30" i="18"/>
  <c r="Q15" i="18"/>
  <c r="Q19" i="20"/>
  <c r="V32" i="13"/>
  <c r="P19" i="31"/>
  <c r="P63" i="27"/>
  <c r="O19" i="8"/>
  <c r="J349" i="46"/>
  <c r="J2325" i="49"/>
  <c r="Q2325" i="49"/>
  <c r="J2331" i="49"/>
  <c r="Q2331" i="49" s="1"/>
  <c r="J3243" i="49"/>
  <c r="Q3243" i="49" s="1"/>
  <c r="J3249" i="49"/>
  <c r="Q3249" i="49" s="1"/>
  <c r="J3048" i="49"/>
  <c r="Q3048" i="49" s="1"/>
  <c r="J205" i="46"/>
  <c r="Q1464" i="49"/>
  <c r="J1464" i="49"/>
  <c r="J1458" i="49"/>
  <c r="Q1458" i="49" s="1"/>
  <c r="J2181" i="49"/>
  <c r="Q2181" i="49" s="1"/>
  <c r="Q3226" i="49"/>
  <c r="J3226" i="49"/>
  <c r="J3232" i="49"/>
  <c r="Q3232" i="49"/>
  <c r="J301" i="46"/>
  <c r="J2036" i="49"/>
  <c r="Q2036" i="49" s="1"/>
  <c r="J2042" i="49"/>
  <c r="Q2042" i="49" s="1"/>
  <c r="J2151" i="49"/>
  <c r="Q2151" i="49"/>
  <c r="J2647" i="49"/>
  <c r="Q2647" i="49" s="1"/>
  <c r="J59" i="46"/>
  <c r="J589" i="49"/>
  <c r="Q589" i="49" s="1"/>
  <c r="J978" i="49"/>
  <c r="Q978" i="49" s="1"/>
  <c r="J133" i="46"/>
  <c r="J1042" i="49"/>
  <c r="Q1042" i="49"/>
  <c r="J927" i="49"/>
  <c r="Q927" i="49" s="1"/>
  <c r="J707" i="46"/>
  <c r="J432" i="46"/>
  <c r="L13" i="40"/>
  <c r="J2788" i="49"/>
  <c r="Q2788" i="49" s="1"/>
  <c r="J2789" i="49"/>
  <c r="Q2789" i="49" s="1"/>
  <c r="J2787" i="49"/>
  <c r="Q2787" i="49" s="1"/>
  <c r="J2440" i="49"/>
  <c r="Q2440" i="49" s="1"/>
  <c r="J396" i="46"/>
  <c r="J2613" i="49"/>
  <c r="Q2613" i="49"/>
  <c r="J4174" i="49"/>
  <c r="Q4174" i="49" s="1"/>
  <c r="J115" i="46"/>
  <c r="J2744" i="49"/>
  <c r="Q2744" i="49" s="1"/>
  <c r="J3900" i="49"/>
  <c r="Q3900" i="49" s="1"/>
  <c r="J33" i="46"/>
  <c r="J567" i="46"/>
  <c r="O19" i="39"/>
  <c r="J3645" i="49"/>
  <c r="Q3645" i="49"/>
  <c r="J710" i="46"/>
  <c r="J4511" i="49"/>
  <c r="Q4511" i="49" s="1"/>
  <c r="J3307" i="49"/>
  <c r="Q3307" i="49"/>
  <c r="J131" i="46"/>
  <c r="J1069" i="49"/>
  <c r="Q1069" i="49" s="1"/>
  <c r="J1062" i="49"/>
  <c r="Q1062" i="49" s="1"/>
  <c r="J1929" i="49"/>
  <c r="Q1929" i="49" s="1"/>
  <c r="J3380" i="49"/>
  <c r="Q3380" i="49" s="1"/>
  <c r="J3952" i="49"/>
  <c r="Q3952" i="49" s="1"/>
  <c r="J4817" i="49"/>
  <c r="Q4817" i="49" s="1"/>
  <c r="Q3337" i="49"/>
  <c r="J3337" i="49"/>
  <c r="J1185" i="49"/>
  <c r="Q1185" i="49" s="1"/>
  <c r="J961" i="49"/>
  <c r="Q961" i="49" s="1"/>
  <c r="J1491" i="49"/>
  <c r="Q1491" i="49" s="1"/>
  <c r="J680" i="46"/>
  <c r="J4344" i="49"/>
  <c r="Q4344" i="49" s="1"/>
  <c r="J1203" i="49"/>
  <c r="Q1203" i="49" s="1"/>
  <c r="J1209" i="49"/>
  <c r="Q1209" i="49" s="1"/>
  <c r="J4157" i="49"/>
  <c r="Q4157" i="49" s="1"/>
  <c r="J5041" i="49"/>
  <c r="Q5041" i="49" s="1"/>
  <c r="J86" i="46"/>
  <c r="J754" i="49"/>
  <c r="Q754" i="49" s="1"/>
  <c r="J107" i="46"/>
  <c r="J878" i="49"/>
  <c r="Q878" i="49" s="1"/>
  <c r="J3033" i="49"/>
  <c r="Q3033" i="49" s="1"/>
  <c r="J2803" i="49"/>
  <c r="Q2803" i="49" s="1"/>
  <c r="J4395" i="49"/>
  <c r="Q4395" i="49" s="1"/>
  <c r="J56" i="46"/>
  <c r="J587" i="49"/>
  <c r="Q587" i="49" s="1"/>
  <c r="J895" i="49"/>
  <c r="Q895" i="49" s="1"/>
  <c r="J3915" i="49"/>
  <c r="Q3915" i="49" s="1"/>
  <c r="J5056" i="49"/>
  <c r="Q5056" i="49" s="1"/>
  <c r="J1192" i="49"/>
  <c r="Q1192" i="49" s="1"/>
  <c r="J1186" i="49"/>
  <c r="Q1186" i="49" s="1"/>
  <c r="J5071" i="49"/>
  <c r="Q5071" i="49" s="1"/>
  <c r="J1351" i="49"/>
  <c r="Q1351" i="49" s="1"/>
  <c r="J1649" i="49"/>
  <c r="Q1649" i="49" s="1"/>
  <c r="J1357" i="49"/>
  <c r="Q1357" i="49" s="1"/>
  <c r="J2514" i="49"/>
  <c r="Q2514" i="49" s="1"/>
  <c r="J3381" i="49"/>
  <c r="Q3381" i="49" s="1"/>
  <c r="J3660" i="49"/>
  <c r="Q3660" i="49" s="1"/>
  <c r="J606" i="49"/>
  <c r="Q606" i="49" s="1"/>
  <c r="J1492" i="49"/>
  <c r="Q1492" i="49" s="1"/>
  <c r="J1498" i="49"/>
  <c r="Q1498" i="49"/>
  <c r="J893" i="49"/>
  <c r="Q893" i="49"/>
  <c r="J2662" i="49"/>
  <c r="Q2662" i="49" s="1"/>
  <c r="J773" i="49"/>
  <c r="Q773" i="49" s="1"/>
  <c r="J1359" i="49"/>
  <c r="Q1359" i="49" s="1"/>
  <c r="J1358" i="49"/>
  <c r="Q1358" i="49" s="1"/>
  <c r="J2513" i="49"/>
  <c r="Q2513" i="49" s="1"/>
  <c r="J2806" i="49"/>
  <c r="Q2806" i="49"/>
  <c r="J4818" i="49"/>
  <c r="Q4818" i="49" s="1"/>
  <c r="J4140" i="49"/>
  <c r="Q4140" i="49"/>
  <c r="J518" i="46"/>
  <c r="J3355" i="49"/>
  <c r="Q3355" i="49" s="1"/>
  <c r="Q1646" i="49"/>
  <c r="J1646" i="49"/>
  <c r="J2224" i="49"/>
  <c r="Q2224" i="49" s="1"/>
  <c r="J2228" i="49"/>
  <c r="Q2228" i="49" s="1"/>
  <c r="J1202" i="49"/>
  <c r="Q1202" i="49" s="1"/>
  <c r="J1879" i="49"/>
  <c r="Q1879" i="49" s="1"/>
  <c r="J759" i="46"/>
  <c r="O23" i="39"/>
  <c r="J4801" i="49"/>
  <c r="Q4801" i="49" s="1"/>
  <c r="J1217" i="49"/>
  <c r="Q1217" i="49" s="1"/>
  <c r="J1640" i="49"/>
  <c r="Q1640" i="49" s="1"/>
  <c r="J1361" i="49"/>
  <c r="Q1361" i="49" s="1"/>
  <c r="J2805" i="49"/>
  <c r="Q2805" i="49" s="1"/>
  <c r="J4530" i="49"/>
  <c r="Q4530" i="49"/>
  <c r="J4241" i="49"/>
  <c r="Q4241" i="49" s="1"/>
  <c r="J619" i="49"/>
  <c r="Q619" i="49"/>
  <c r="Q2085" i="49"/>
  <c r="J2085" i="49"/>
  <c r="J4476" i="49"/>
  <c r="Q4476" i="49" s="1"/>
  <c r="J348" i="46"/>
  <c r="J2324" i="49"/>
  <c r="Q2324" i="49" s="1"/>
  <c r="Q1027" i="49"/>
  <c r="J1027" i="49"/>
  <c r="J2069" i="49"/>
  <c r="Q2069" i="49" s="1"/>
  <c r="J404" i="46"/>
  <c r="J326" i="46"/>
  <c r="J2199" i="49"/>
  <c r="Q2199" i="49" s="1"/>
  <c r="J691" i="46"/>
  <c r="J96" i="46"/>
  <c r="L6" i="40"/>
  <c r="J764" i="49"/>
  <c r="Q764" i="49" s="1"/>
  <c r="J766" i="49"/>
  <c r="Q766" i="49" s="1"/>
  <c r="J765" i="49"/>
  <c r="Q765" i="49" s="1"/>
  <c r="J27" i="46"/>
  <c r="J2166" i="49"/>
  <c r="Q2166" i="49" s="1"/>
  <c r="J26" i="46"/>
  <c r="J3018" i="49"/>
  <c r="Q3018" i="49" s="1"/>
  <c r="Q4189" i="49"/>
  <c r="J4189" i="49"/>
  <c r="J736" i="49"/>
  <c r="Q736" i="49" s="1"/>
  <c r="J374" i="46"/>
  <c r="J2488" i="49"/>
  <c r="Q2488" i="49" s="1"/>
  <c r="J659" i="46"/>
  <c r="J120" i="46"/>
  <c r="Q944" i="49"/>
  <c r="J944" i="49"/>
  <c r="J780" i="49"/>
  <c r="Q780" i="49" s="1"/>
  <c r="J1071" i="49"/>
  <c r="Q1071" i="49" s="1"/>
  <c r="J2802" i="49"/>
  <c r="Q2802" i="49" s="1"/>
  <c r="J2227" i="49"/>
  <c r="Q2227" i="49" s="1"/>
  <c r="J3661" i="49"/>
  <c r="Q3661" i="49" s="1"/>
  <c r="J3885" i="49"/>
  <c r="Q3885" i="49" s="1"/>
  <c r="J20" i="46"/>
  <c r="J721" i="49"/>
  <c r="Q721" i="49" s="1"/>
  <c r="J624" i="46"/>
  <c r="L17" i="40"/>
  <c r="J3943" i="49"/>
  <c r="Q3943" i="49" s="1"/>
  <c r="J3945" i="49"/>
  <c r="Q3945" i="49" s="1"/>
  <c r="J3944" i="49"/>
  <c r="Q3944" i="49" s="1"/>
  <c r="J2076" i="49"/>
  <c r="Q2076" i="49" s="1"/>
  <c r="J2070" i="49"/>
  <c r="Q2070" i="49" s="1"/>
  <c r="J3324" i="49"/>
  <c r="Q3324" i="49" s="1"/>
  <c r="J212" i="46"/>
  <c r="J588" i="46"/>
  <c r="J3769" i="49"/>
  <c r="Q3769" i="49" s="1"/>
  <c r="Q2455" i="49"/>
  <c r="J2455" i="49"/>
  <c r="J4204" i="49"/>
  <c r="Q4204" i="49" s="1"/>
  <c r="J470" i="46"/>
  <c r="J3066" i="49"/>
  <c r="Q3066" i="49" s="1"/>
  <c r="J1060" i="49"/>
  <c r="Q1060" i="49" s="1"/>
  <c r="Q2507" i="49"/>
  <c r="J2507" i="49"/>
  <c r="J2225" i="49"/>
  <c r="Q2225" i="49" s="1"/>
  <c r="J3085" i="49"/>
  <c r="Q3085" i="49" s="1"/>
  <c r="J3225" i="49"/>
  <c r="Q3225" i="49" s="1"/>
  <c r="J648" i="46"/>
  <c r="J4123" i="49"/>
  <c r="Q4123" i="49" s="1"/>
  <c r="J58" i="46"/>
  <c r="J1072" i="49"/>
  <c r="Q1072" i="49" s="1"/>
  <c r="J1648" i="49"/>
  <c r="Q1648" i="49" s="1"/>
  <c r="J3663" i="49"/>
  <c r="Q3663" i="49" s="1"/>
  <c r="Q672" i="49"/>
  <c r="J672" i="49"/>
  <c r="J3208" i="49"/>
  <c r="Q3208" i="49" s="1"/>
  <c r="J1894" i="49"/>
  <c r="Q1894" i="49" s="1"/>
  <c r="J4816" i="49"/>
  <c r="Q4816" i="49"/>
  <c r="J1012" i="49"/>
  <c r="Q1012" i="49" s="1"/>
  <c r="J492" i="46"/>
  <c r="J3191" i="49"/>
  <c r="Q3191" i="49" s="1"/>
  <c r="J3209" i="49"/>
  <c r="Q3209" i="49" s="1"/>
  <c r="J3215" i="49"/>
  <c r="Q3215" i="49" s="1"/>
  <c r="J1588" i="49"/>
  <c r="Q1588" i="49" s="1"/>
  <c r="J500" i="46"/>
  <c r="J2729" i="49"/>
  <c r="Q2729" i="49" s="1"/>
  <c r="J3810" i="49"/>
  <c r="Q3810" i="49" s="1"/>
  <c r="J3804" i="49"/>
  <c r="Q3804" i="49"/>
  <c r="J1603" i="49"/>
  <c r="Q1603" i="49"/>
  <c r="J3242" i="49"/>
  <c r="Q3242" i="49" s="1"/>
  <c r="J2630" i="49"/>
  <c r="Q2630" i="49" s="1"/>
  <c r="J1360" i="49"/>
  <c r="Q1360" i="49" s="1"/>
  <c r="J1650" i="49"/>
  <c r="Q1650" i="49" s="1"/>
  <c r="J596" i="46"/>
  <c r="Q1927" i="49"/>
  <c r="J1927" i="49"/>
  <c r="J3664" i="49"/>
  <c r="Q3664" i="49" s="1"/>
  <c r="Q2804" i="49"/>
  <c r="J2804" i="49"/>
  <c r="J3374" i="49"/>
  <c r="Q3374" i="49" s="1"/>
  <c r="J1508" i="49"/>
  <c r="Q1508" i="49" s="1"/>
  <c r="L11" i="40"/>
  <c r="J336" i="46"/>
  <c r="Q2211" i="49"/>
  <c r="J2211" i="49"/>
  <c r="J2209" i="49"/>
  <c r="Q2209" i="49" s="1"/>
  <c r="J2210" i="49"/>
  <c r="Q2210" i="49" s="1"/>
  <c r="Q2052" i="49"/>
  <c r="J2052" i="49"/>
  <c r="Q706" i="49"/>
  <c r="J706" i="49"/>
  <c r="J38" i="46"/>
  <c r="J4378" i="49"/>
  <c r="Q4378" i="49" s="1"/>
  <c r="J308" i="46"/>
  <c r="J4361" i="49"/>
  <c r="Q4361" i="49" s="1"/>
  <c r="L12" i="40"/>
  <c r="J384" i="46"/>
  <c r="J2499" i="49"/>
  <c r="Q2499" i="49" s="1"/>
  <c r="Q2498" i="49"/>
  <c r="J2498" i="49"/>
  <c r="J2500" i="49"/>
  <c r="Q2500" i="49" s="1"/>
  <c r="J3803" i="49"/>
  <c r="Q3803" i="49" s="1"/>
  <c r="J230" i="46"/>
  <c r="J1621" i="49"/>
  <c r="Q1621" i="49"/>
  <c r="J2759" i="49"/>
  <c r="Q2759" i="49" s="1"/>
  <c r="L9" i="40"/>
  <c r="J240" i="46"/>
  <c r="J1631" i="49"/>
  <c r="Q1631" i="49" s="1"/>
  <c r="J1632" i="49"/>
  <c r="Q1632" i="49" s="1"/>
  <c r="J1633" i="49"/>
  <c r="Q1633" i="49" s="1"/>
  <c r="J3786" i="49"/>
  <c r="Q3786" i="49" s="1"/>
  <c r="J106" i="46"/>
  <c r="J2470" i="49"/>
  <c r="Q2470" i="49" s="1"/>
  <c r="J2356" i="49"/>
  <c r="Q2356" i="49" s="1"/>
  <c r="J1515" i="49"/>
  <c r="Q1515" i="49" s="1"/>
  <c r="J1509" i="49"/>
  <c r="Q1509" i="49" s="1"/>
  <c r="J157" i="46"/>
  <c r="Q1175" i="49"/>
  <c r="J1175" i="49"/>
  <c r="J1169" i="49"/>
  <c r="Q1169" i="49" s="1"/>
  <c r="J2348" i="49"/>
  <c r="Q2348" i="49"/>
  <c r="J2342" i="49"/>
  <c r="Q2342" i="49" s="1"/>
  <c r="J779" i="49"/>
  <c r="Q779" i="49"/>
  <c r="J1068" i="49"/>
  <c r="Q1068" i="49" s="1"/>
  <c r="J2218" i="49"/>
  <c r="Q2218" i="49" s="1"/>
  <c r="J614" i="46"/>
  <c r="J3933" i="49"/>
  <c r="Q3933" i="49" s="1"/>
  <c r="J300" i="46"/>
  <c r="J2035" i="49"/>
  <c r="Q2035" i="49" s="1"/>
  <c r="J164" i="46"/>
  <c r="J204" i="46"/>
  <c r="J1457" i="49"/>
  <c r="Q1457" i="49" s="1"/>
  <c r="J4463" i="49"/>
  <c r="Q4463" i="49" s="1"/>
  <c r="J2053" i="49"/>
  <c r="Q2053" i="49" s="1"/>
  <c r="J2059" i="49"/>
  <c r="Q2059" i="49" s="1"/>
  <c r="J1070" i="49"/>
  <c r="Q1070" i="49" s="1"/>
  <c r="J277" i="46"/>
  <c r="J1909" i="49"/>
  <c r="Q1909" i="49" s="1"/>
  <c r="J1475" i="49"/>
  <c r="Q1475" i="49" s="1"/>
  <c r="J1481" i="49"/>
  <c r="Q1481" i="49" s="1"/>
  <c r="J662" i="46"/>
  <c r="J4222" i="49"/>
  <c r="Q4222" i="49"/>
  <c r="J1573" i="49"/>
  <c r="Q1573" i="49" s="1"/>
  <c r="J2226" i="49"/>
  <c r="Q2226" i="49" s="1"/>
  <c r="J3959" i="49"/>
  <c r="Q3959" i="49" s="1"/>
  <c r="J4819" i="49"/>
  <c r="Q4819" i="49" s="1"/>
  <c r="J3958" i="49"/>
  <c r="Q3958" i="49" s="1"/>
  <c r="J5108" i="49"/>
  <c r="Q5108" i="49" s="1"/>
  <c r="J912" i="49"/>
  <c r="Q912" i="49" s="1"/>
  <c r="J48" i="46"/>
  <c r="L5" i="40"/>
  <c r="J13" i="46"/>
  <c r="J929" i="49"/>
  <c r="Q929" i="49" s="1"/>
  <c r="J422" i="46"/>
  <c r="J2777" i="49"/>
  <c r="Q2777" i="49" s="1"/>
  <c r="J1474" i="49"/>
  <c r="Q1474" i="49"/>
  <c r="J67" i="46"/>
  <c r="J1647" i="49"/>
  <c r="Q1647" i="49" s="1"/>
  <c r="J2796" i="49"/>
  <c r="Q2796" i="49" s="1"/>
  <c r="J3662" i="49"/>
  <c r="Q3662" i="49"/>
  <c r="J910" i="49"/>
  <c r="Q910" i="49" s="1"/>
  <c r="J156" i="46"/>
  <c r="J1168" i="49"/>
  <c r="Q1168" i="49" s="1"/>
  <c r="J604" i="49"/>
  <c r="Q604" i="49" s="1"/>
  <c r="J12" i="46"/>
  <c r="Q638" i="49"/>
  <c r="J638" i="49"/>
  <c r="L15" i="40"/>
  <c r="J528" i="46"/>
  <c r="J3365" i="49"/>
  <c r="Q3365" i="49"/>
  <c r="Q3367" i="49"/>
  <c r="J3367" i="49"/>
  <c r="J3366" i="49"/>
  <c r="Q3366" i="49" s="1"/>
  <c r="F23" i="3"/>
  <c r="D9" i="33" s="1"/>
  <c r="E9" i="33" s="1"/>
  <c r="J71" i="46"/>
  <c r="J653" i="49"/>
  <c r="Q653" i="49" s="1"/>
  <c r="J696" i="46"/>
  <c r="J4412" i="49"/>
  <c r="Q4412" i="49" s="1"/>
  <c r="J2341" i="49"/>
  <c r="Q2341" i="49" s="1"/>
  <c r="J356" i="46"/>
  <c r="J104" i="46"/>
  <c r="J876" i="49"/>
  <c r="Q876" i="49" s="1"/>
  <c r="O21" i="28"/>
  <c r="O22" i="28"/>
  <c r="O24" i="28" s="1"/>
  <c r="O21" i="15"/>
  <c r="O22" i="15" s="1"/>
  <c r="O24" i="15" s="1"/>
  <c r="E67" i="22"/>
  <c r="E68" i="22" s="1"/>
  <c r="I86" i="13"/>
  <c r="H64" i="27" s="1"/>
  <c r="H76" i="27" s="1"/>
  <c r="H77" i="27" s="1"/>
  <c r="G127" i="14"/>
  <c r="J8" i="52"/>
  <c r="H141" i="49"/>
  <c r="M41" i="8"/>
  <c r="H67" i="25"/>
  <c r="H68" i="25" s="1"/>
  <c r="O21" i="21"/>
  <c r="O22" i="21" s="1"/>
  <c r="O24" i="21" s="1"/>
  <c r="N41" i="24"/>
  <c r="E67" i="19"/>
  <c r="E68" i="19" s="1"/>
  <c r="N41" i="21"/>
  <c r="P73" i="30"/>
  <c r="P45" i="30"/>
  <c r="G67" i="25"/>
  <c r="G68" i="25" s="1"/>
  <c r="E67" i="21"/>
  <c r="E68" i="21" s="1"/>
  <c r="N73" i="15"/>
  <c r="N45" i="15"/>
  <c r="S36" i="26"/>
  <c r="S23" i="26"/>
  <c r="T12" i="26"/>
  <c r="S44" i="26"/>
  <c r="S16" i="26"/>
  <c r="S37" i="26"/>
  <c r="S28" i="26"/>
  <c r="S17" i="26"/>
  <c r="S32" i="26"/>
  <c r="S27" i="26"/>
  <c r="S31" i="26"/>
  <c r="S15" i="26"/>
  <c r="S30" i="26"/>
  <c r="S38" i="26"/>
  <c r="S18" i="26"/>
  <c r="S34" i="26"/>
  <c r="S14" i="26"/>
  <c r="S33" i="26"/>
  <c r="S72" i="26"/>
  <c r="S13" i="26"/>
  <c r="S29" i="26"/>
  <c r="S35" i="26"/>
  <c r="S66" i="26"/>
  <c r="S47" i="26"/>
  <c r="S75" i="26"/>
  <c r="S60" i="26"/>
  <c r="S43" i="26"/>
  <c r="F22" i="4"/>
  <c r="F82" i="27"/>
  <c r="E54" i="16"/>
  <c r="O21" i="24"/>
  <c r="O22" i="24" s="1"/>
  <c r="O24" i="24" s="1"/>
  <c r="Q85" i="20"/>
  <c r="Q82" i="20"/>
  <c r="Q79" i="20"/>
  <c r="Q80" i="20"/>
  <c r="O21" i="25"/>
  <c r="O22" i="25" s="1"/>
  <c r="O24" i="25" s="1"/>
  <c r="P39" i="15"/>
  <c r="P39" i="29"/>
  <c r="O41" i="17"/>
  <c r="I80" i="29"/>
  <c r="O39" i="8"/>
  <c r="R62" i="17"/>
  <c r="R36" i="17"/>
  <c r="R32" i="17"/>
  <c r="R28" i="17"/>
  <c r="R18" i="17"/>
  <c r="R14" i="17"/>
  <c r="R37" i="17"/>
  <c r="R33" i="17"/>
  <c r="R29" i="17"/>
  <c r="R23" i="17"/>
  <c r="R15" i="17"/>
  <c r="S12" i="17"/>
  <c r="R31" i="17"/>
  <c r="R13" i="17"/>
  <c r="R44" i="17"/>
  <c r="R34" i="17"/>
  <c r="R16" i="17"/>
  <c r="R17" i="17"/>
  <c r="R38" i="17"/>
  <c r="R72" i="17"/>
  <c r="R35" i="17"/>
  <c r="R61" i="17"/>
  <c r="R27" i="17"/>
  <c r="R30" i="17"/>
  <c r="E77" i="17"/>
  <c r="Q44" i="27"/>
  <c r="Q38" i="27"/>
  <c r="Q34" i="27"/>
  <c r="Q30" i="27"/>
  <c r="Q16" i="27"/>
  <c r="Q36" i="27"/>
  <c r="R12" i="27"/>
  <c r="Q14" i="27"/>
  <c r="Q28" i="27"/>
  <c r="Q27" i="27"/>
  <c r="Q15" i="27"/>
  <c r="Q72" i="27"/>
  <c r="Q37" i="27"/>
  <c r="Q13" i="27"/>
  <c r="Q35" i="27"/>
  <c r="Q23" i="27"/>
  <c r="Q17" i="27"/>
  <c r="Q31" i="27"/>
  <c r="Q29" i="27"/>
  <c r="Q61" i="27"/>
  <c r="Q33" i="27"/>
  <c r="Q32" i="27"/>
  <c r="Q18" i="27"/>
  <c r="Q62" i="27"/>
  <c r="M73" i="23"/>
  <c r="M45" i="23"/>
  <c r="M73" i="27"/>
  <c r="M45" i="27"/>
  <c r="I76" i="15"/>
  <c r="I77" i="15" s="1"/>
  <c r="O45" i="26"/>
  <c r="O73" i="26"/>
  <c r="S44" i="10"/>
  <c r="P82" i="21"/>
  <c r="P80" i="21"/>
  <c r="P85" i="21"/>
  <c r="P79" i="21"/>
  <c r="N41" i="25"/>
  <c r="R29" i="20"/>
  <c r="R44" i="20"/>
  <c r="R31" i="20"/>
  <c r="R18" i="20"/>
  <c r="R16" i="20"/>
  <c r="R33" i="20"/>
  <c r="R35" i="20"/>
  <c r="R37" i="20"/>
  <c r="R28" i="20"/>
  <c r="R13" i="20"/>
  <c r="R23" i="20"/>
  <c r="S12" i="20"/>
  <c r="R30" i="20"/>
  <c r="R17" i="20"/>
  <c r="R34" i="20"/>
  <c r="R15" i="20"/>
  <c r="R38" i="20"/>
  <c r="R72" i="20"/>
  <c r="R14" i="20"/>
  <c r="R32" i="20"/>
  <c r="R27" i="20"/>
  <c r="R36" i="20"/>
  <c r="R47" i="20"/>
  <c r="R43" i="20"/>
  <c r="R60" i="20"/>
  <c r="R75" i="20"/>
  <c r="R66" i="20"/>
  <c r="V112" i="13"/>
  <c r="S113" i="14"/>
  <c r="P33" i="8"/>
  <c r="P19" i="21"/>
  <c r="B10" i="52"/>
  <c r="H7" i="49"/>
  <c r="E45" i="8"/>
  <c r="E73" i="8"/>
  <c r="F77" i="16"/>
  <c r="F80" i="16"/>
  <c r="E12" i="52"/>
  <c r="H60" i="49"/>
  <c r="P82" i="22"/>
  <c r="P80" i="22"/>
  <c r="P85" i="22"/>
  <c r="P79" i="22"/>
  <c r="G67" i="18"/>
  <c r="G68" i="18" s="1"/>
  <c r="P63" i="25"/>
  <c r="P82" i="25"/>
  <c r="P80" i="25"/>
  <c r="P85" i="25"/>
  <c r="P79" i="25"/>
  <c r="E54" i="17"/>
  <c r="E56" i="17"/>
  <c r="P85" i="27"/>
  <c r="P82" i="27"/>
  <c r="P80" i="27"/>
  <c r="P79" i="27"/>
  <c r="F80" i="14"/>
  <c r="F79" i="14"/>
  <c r="F78" i="14"/>
  <c r="M45" i="24"/>
  <c r="M73" i="24"/>
  <c r="G88" i="14"/>
  <c r="G89" i="14"/>
  <c r="G90" i="14" s="1"/>
  <c r="R39" i="30"/>
  <c r="U4" i="14"/>
  <c r="U161" i="14" s="1"/>
  <c r="T51" i="14"/>
  <c r="T92" i="14"/>
  <c r="W138" i="13" s="1"/>
  <c r="T112" i="14"/>
  <c r="W140" i="13" s="1"/>
  <c r="T72" i="14"/>
  <c r="W136" i="13" s="1"/>
  <c r="T32" i="14"/>
  <c r="W132" i="13" s="1"/>
  <c r="T26" i="14"/>
  <c r="T132" i="14"/>
  <c r="W142" i="13" s="1"/>
  <c r="T82" i="14"/>
  <c r="W137" i="13" s="1"/>
  <c r="T31" i="14"/>
  <c r="T22" i="14"/>
  <c r="W131" i="13" s="1"/>
  <c r="T81" i="14"/>
  <c r="T21" i="14"/>
  <c r="T131" i="14"/>
  <c r="T71" i="14"/>
  <c r="T12" i="14"/>
  <c r="W130" i="13" s="1"/>
  <c r="T42" i="14"/>
  <c r="W133" i="13" s="1"/>
  <c r="T52" i="14"/>
  <c r="W134" i="13" s="1"/>
  <c r="T111" i="14"/>
  <c r="T41" i="14"/>
  <c r="T11" i="14"/>
  <c r="T91" i="14"/>
  <c r="T6" i="14"/>
  <c r="T46" i="14"/>
  <c r="T66" i="14"/>
  <c r="T106" i="14"/>
  <c r="T86" i="14"/>
  <c r="T146" i="14"/>
  <c r="T156" i="14"/>
  <c r="T166" i="14"/>
  <c r="T56" i="14"/>
  <c r="T36" i="14"/>
  <c r="T16" i="14"/>
  <c r="T96" i="14"/>
  <c r="T76" i="14"/>
  <c r="T126" i="14"/>
  <c r="T116" i="14"/>
  <c r="T136" i="14"/>
  <c r="R85" i="30"/>
  <c r="R82" i="30"/>
  <c r="R79" i="30"/>
  <c r="R80" i="30"/>
  <c r="Q37" i="16"/>
  <c r="Q33" i="16"/>
  <c r="Q29" i="16"/>
  <c r="Q23" i="16"/>
  <c r="Q15" i="16"/>
  <c r="Q72" i="16"/>
  <c r="R12" i="16"/>
  <c r="Q44" i="16"/>
  <c r="Q38" i="16"/>
  <c r="Q34" i="16"/>
  <c r="Q30" i="16"/>
  <c r="Q16" i="16"/>
  <c r="Q31" i="16"/>
  <c r="Q13" i="16"/>
  <c r="Q32" i="16"/>
  <c r="Q14" i="16"/>
  <c r="Q61" i="16"/>
  <c r="Q17" i="16"/>
  <c r="Q28" i="16"/>
  <c r="Q36" i="16"/>
  <c r="Q27" i="16"/>
  <c r="Q18" i="16"/>
  <c r="Q62" i="16"/>
  <c r="Q35" i="16"/>
  <c r="P82" i="16"/>
  <c r="P79" i="16"/>
  <c r="P85" i="16"/>
  <c r="P80" i="16"/>
  <c r="F54" i="17"/>
  <c r="F56" i="17" s="1"/>
  <c r="H12" i="4"/>
  <c r="T162" i="14"/>
  <c r="W145" i="13" s="1"/>
  <c r="H162" i="14"/>
  <c r="K145" i="13" s="1"/>
  <c r="J62" i="30" s="1"/>
  <c r="Q161" i="14"/>
  <c r="P162" i="14"/>
  <c r="S145" i="13" s="1"/>
  <c r="R62" i="30" s="1"/>
  <c r="D162" i="14"/>
  <c r="G145" i="13" s="1"/>
  <c r="F62" i="30" s="1"/>
  <c r="M161" i="14"/>
  <c r="I162" i="14"/>
  <c r="L145" i="13" s="1"/>
  <c r="K62" i="30" s="1"/>
  <c r="O161" i="14"/>
  <c r="G162" i="14"/>
  <c r="J145" i="13" s="1"/>
  <c r="I62" i="30" s="1"/>
  <c r="N161" i="14"/>
  <c r="X34" i="13"/>
  <c r="S162" i="14"/>
  <c r="V145" i="13" s="1"/>
  <c r="E162" i="14"/>
  <c r="H145" i="13" s="1"/>
  <c r="G62" i="30" s="1"/>
  <c r="K161" i="14"/>
  <c r="Q162" i="14"/>
  <c r="T145" i="13" s="1"/>
  <c r="I161" i="14"/>
  <c r="M162" i="14"/>
  <c r="P145" i="13" s="1"/>
  <c r="O62" i="30" s="1"/>
  <c r="T161" i="14"/>
  <c r="F161" i="14"/>
  <c r="L162" i="14"/>
  <c r="O145" i="13" s="1"/>
  <c r="N62" i="30" s="1"/>
  <c r="H161" i="14"/>
  <c r="C162" i="14"/>
  <c r="F145" i="13" s="1"/>
  <c r="E62" i="30" s="1"/>
  <c r="R162" i="14"/>
  <c r="U145" i="13" s="1"/>
  <c r="J161" i="14"/>
  <c r="J162" i="14"/>
  <c r="M145" i="13" s="1"/>
  <c r="L62" i="30" s="1"/>
  <c r="R161" i="14"/>
  <c r="O162" i="14"/>
  <c r="R145" i="13" s="1"/>
  <c r="Q62" i="30" s="1"/>
  <c r="G161" i="14"/>
  <c r="N162" i="14"/>
  <c r="Q145" i="13" s="1"/>
  <c r="P62" i="30" s="1"/>
  <c r="D161" i="14"/>
  <c r="K162" i="14"/>
  <c r="N145" i="13" s="1"/>
  <c r="M62" i="30" s="1"/>
  <c r="C161" i="14"/>
  <c r="W34" i="13"/>
  <c r="Y34" i="13" s="1"/>
  <c r="P161" i="14"/>
  <c r="L161" i="14"/>
  <c r="F157" i="14"/>
  <c r="F162" i="14"/>
  <c r="I145" i="13" s="1"/>
  <c r="H62" i="30" s="1"/>
  <c r="S161" i="14"/>
  <c r="C158" i="14"/>
  <c r="C159" i="14" s="1"/>
  <c r="C160" i="14" s="1"/>
  <c r="F89" i="13" s="1"/>
  <c r="E64" i="30" s="1"/>
  <c r="N41" i="27"/>
  <c r="M73" i="31"/>
  <c r="M45" i="31"/>
  <c r="P29" i="8"/>
  <c r="Q61" i="15"/>
  <c r="Q35" i="15"/>
  <c r="Q31" i="15"/>
  <c r="Q27" i="15"/>
  <c r="Q17" i="15"/>
  <c r="Q13" i="15"/>
  <c r="Q62" i="15"/>
  <c r="Q36" i="15"/>
  <c r="Q32" i="15"/>
  <c r="Q28" i="15"/>
  <c r="Q18" i="15"/>
  <c r="Q14" i="15"/>
  <c r="Q29" i="15"/>
  <c r="Q15" i="15"/>
  <c r="Q34" i="15"/>
  <c r="Q37" i="15"/>
  <c r="Q23" i="15"/>
  <c r="R12" i="15"/>
  <c r="Q44" i="15"/>
  <c r="Q33" i="15"/>
  <c r="Q72" i="15"/>
  <c r="Q38" i="15"/>
  <c r="Q16" i="15"/>
  <c r="Q30" i="15"/>
  <c r="F67" i="18"/>
  <c r="F68" i="18" s="1"/>
  <c r="N41" i="31"/>
  <c r="F54" i="16"/>
  <c r="F56" i="16" s="1"/>
  <c r="H11" i="4"/>
  <c r="J172" i="14"/>
  <c r="M146" i="13" s="1"/>
  <c r="L62" i="31" s="1"/>
  <c r="S171" i="14"/>
  <c r="X35" i="13"/>
  <c r="R172" i="14"/>
  <c r="U146" i="13" s="1"/>
  <c r="F172" i="14"/>
  <c r="I146" i="13" s="1"/>
  <c r="H62" i="31" s="1"/>
  <c r="O171" i="14"/>
  <c r="C171" i="14"/>
  <c r="T172" i="14"/>
  <c r="W146" i="13" s="1"/>
  <c r="E172" i="14"/>
  <c r="H146" i="13" s="1"/>
  <c r="G62" i="31" s="1"/>
  <c r="L171" i="14"/>
  <c r="S172" i="14"/>
  <c r="V146" i="13" s="1"/>
  <c r="D172" i="14"/>
  <c r="G146" i="13" s="1"/>
  <c r="F62" i="31" s="1"/>
  <c r="K171" i="14"/>
  <c r="P172" i="14"/>
  <c r="S146" i="13" s="1"/>
  <c r="I171" i="14"/>
  <c r="N172" i="14"/>
  <c r="Q146" i="13" s="1"/>
  <c r="P62" i="31" s="1"/>
  <c r="F171" i="14"/>
  <c r="D167" i="14"/>
  <c r="K172" i="14"/>
  <c r="N146" i="13" s="1"/>
  <c r="M62" i="31" s="1"/>
  <c r="Q171" i="14"/>
  <c r="P171" i="14"/>
  <c r="L172" i="14"/>
  <c r="O146" i="13" s="1"/>
  <c r="N62" i="31" s="1"/>
  <c r="H171" i="14"/>
  <c r="G172" i="14"/>
  <c r="J146" i="13" s="1"/>
  <c r="I62" i="31" s="1"/>
  <c r="M171" i="14"/>
  <c r="J171" i="14"/>
  <c r="D171" i="14"/>
  <c r="C172" i="14"/>
  <c r="F146" i="13" s="1"/>
  <c r="E62" i="31" s="1"/>
  <c r="T171" i="14"/>
  <c r="R171" i="14"/>
  <c r="H167" i="14"/>
  <c r="Q172" i="14"/>
  <c r="T146" i="13" s="1"/>
  <c r="M172" i="14"/>
  <c r="P146" i="13" s="1"/>
  <c r="O62" i="31" s="1"/>
  <c r="I172" i="14"/>
  <c r="L146" i="13" s="1"/>
  <c r="K62" i="31" s="1"/>
  <c r="H172" i="14"/>
  <c r="K146" i="13" s="1"/>
  <c r="J62" i="31" s="1"/>
  <c r="N171" i="14"/>
  <c r="O172" i="14"/>
  <c r="R146" i="13" s="1"/>
  <c r="E171" i="14"/>
  <c r="W35" i="13"/>
  <c r="C169" i="14"/>
  <c r="C170" i="14" s="1"/>
  <c r="F90" i="13" s="1"/>
  <c r="E64" i="31" s="1"/>
  <c r="C168" i="14"/>
  <c r="G67" i="19"/>
  <c r="G68" i="19" s="1"/>
  <c r="P21" i="20"/>
  <c r="P22" i="20" s="1"/>
  <c r="P24" i="20" s="1"/>
  <c r="H50" i="23"/>
  <c r="H52" i="23"/>
  <c r="V102" i="13"/>
  <c r="S13" i="14"/>
  <c r="O21" i="19"/>
  <c r="O22" i="19" s="1"/>
  <c r="O24" i="19" s="1"/>
  <c r="P63" i="16"/>
  <c r="R19" i="26"/>
  <c r="J161" i="49"/>
  <c r="Q161" i="49" s="1"/>
  <c r="P19" i="29"/>
  <c r="V108" i="13"/>
  <c r="S73" i="14"/>
  <c r="V110" i="13"/>
  <c r="S93" i="14"/>
  <c r="P32" i="8"/>
  <c r="P16" i="8"/>
  <c r="P37" i="8"/>
  <c r="G110" i="14"/>
  <c r="G109" i="14"/>
  <c r="G108" i="14"/>
  <c r="V30" i="13"/>
  <c r="J5" i="49"/>
  <c r="P79" i="8"/>
  <c r="P81" i="8"/>
  <c r="P83" i="8"/>
  <c r="P86" i="8"/>
  <c r="O21" i="31"/>
  <c r="O22" i="31" s="1"/>
  <c r="O24" i="31" s="1"/>
  <c r="Q34" i="25"/>
  <c r="Q32" i="25"/>
  <c r="Q61" i="25"/>
  <c r="Q63" i="25" s="1"/>
  <c r="Q27" i="25"/>
  <c r="Q23" i="25"/>
  <c r="Q29" i="25"/>
  <c r="Q18" i="25"/>
  <c r="Q38" i="25"/>
  <c r="Q13" i="25"/>
  <c r="Q62" i="25"/>
  <c r="Q44" i="25"/>
  <c r="Q33" i="25"/>
  <c r="R12" i="25"/>
  <c r="Q17" i="25"/>
  <c r="Q37" i="25"/>
  <c r="Q28" i="25"/>
  <c r="Q16" i="25"/>
  <c r="Q30" i="25"/>
  <c r="Q36" i="25"/>
  <c r="Q31" i="25"/>
  <c r="Q35" i="25"/>
  <c r="Q15" i="25"/>
  <c r="Q72" i="25"/>
  <c r="Q14" i="25"/>
  <c r="Q72" i="28"/>
  <c r="Q34" i="28"/>
  <c r="Q36" i="28"/>
  <c r="Q23" i="28"/>
  <c r="R12" i="28"/>
  <c r="Q29" i="28"/>
  <c r="Q27" i="28"/>
  <c r="Q14" i="28"/>
  <c r="Q32" i="28"/>
  <c r="Q31" i="28"/>
  <c r="Q18" i="28"/>
  <c r="Q44" i="28"/>
  <c r="Q30" i="28"/>
  <c r="Q16" i="28"/>
  <c r="Q17" i="28"/>
  <c r="Q28" i="28"/>
  <c r="Q15" i="28"/>
  <c r="Q35" i="28"/>
  <c r="Q33" i="28"/>
  <c r="Q38" i="28"/>
  <c r="Q13" i="28"/>
  <c r="Q37" i="28"/>
  <c r="Q75" i="28"/>
  <c r="Q47" i="28"/>
  <c r="Q66" i="28"/>
  <c r="Q60" i="28"/>
  <c r="Q43" i="28"/>
  <c r="P85" i="28"/>
  <c r="P80" i="28"/>
  <c r="P82" i="28"/>
  <c r="P79" i="28"/>
  <c r="P19" i="19"/>
  <c r="P20" i="19" s="1"/>
  <c r="Q72" i="31"/>
  <c r="Q44" i="31"/>
  <c r="Q37" i="31"/>
  <c r="Q32" i="31"/>
  <c r="Q27" i="31"/>
  <c r="Q15" i="31"/>
  <c r="Q13" i="31"/>
  <c r="Q35" i="31"/>
  <c r="Q18" i="31"/>
  <c r="Q33" i="31"/>
  <c r="Q17" i="31"/>
  <c r="Q28" i="31"/>
  <c r="Q34" i="31"/>
  <c r="Q38" i="31"/>
  <c r="Q31" i="31"/>
  <c r="R12" i="31"/>
  <c r="Q62" i="31"/>
  <c r="Q23" i="31"/>
  <c r="Q30" i="31"/>
  <c r="Q36" i="31"/>
  <c r="Q14" i="31"/>
  <c r="Q16" i="31"/>
  <c r="Q29" i="31"/>
  <c r="Q60" i="31"/>
  <c r="Q43" i="31"/>
  <c r="Q75" i="31"/>
  <c r="Q47" i="31"/>
  <c r="Q66" i="31"/>
  <c r="O73" i="30"/>
  <c r="O45" i="30"/>
  <c r="H50" i="18"/>
  <c r="H52" i="18"/>
  <c r="V104" i="13"/>
  <c r="S33" i="14"/>
  <c r="P19" i="16"/>
  <c r="P20" i="16" s="1"/>
  <c r="P14" i="8"/>
  <c r="F12" i="52"/>
  <c r="H77" i="49"/>
  <c r="O21" i="23"/>
  <c r="O22" i="23" s="1"/>
  <c r="O24" i="23" s="1"/>
  <c r="J58" i="49"/>
  <c r="Q58" i="49"/>
  <c r="G73" i="16"/>
  <c r="G77" i="16" s="1"/>
  <c r="G52" i="16"/>
  <c r="G45" i="16"/>
  <c r="K34" i="10"/>
  <c r="H54" i="21"/>
  <c r="H56" i="21" s="1"/>
  <c r="G50" i="16"/>
  <c r="M41" i="29"/>
  <c r="P39" i="19"/>
  <c r="F14" i="4"/>
  <c r="F82" i="19"/>
  <c r="P20" i="27"/>
  <c r="N73" i="17"/>
  <c r="N45" i="17"/>
  <c r="N21" i="8"/>
  <c r="N22" i="8" s="1"/>
  <c r="N24" i="8" s="1"/>
  <c r="I54" i="15"/>
  <c r="I56" i="15" s="1"/>
  <c r="M45" i="21"/>
  <c r="M73" i="21"/>
  <c r="Q39" i="10"/>
  <c r="O21" i="29"/>
  <c r="O22" i="29" s="1"/>
  <c r="O24" i="29" s="1"/>
  <c r="M73" i="28"/>
  <c r="M45" i="28"/>
  <c r="N41" i="16"/>
  <c r="J90" i="49"/>
  <c r="Q90" i="49" s="1"/>
  <c r="S23" i="14"/>
  <c r="V103" i="13"/>
  <c r="P13" i="8"/>
  <c r="I80" i="28"/>
  <c r="H10" i="52"/>
  <c r="H109" i="49"/>
  <c r="K73" i="8"/>
  <c r="K45" i="8"/>
  <c r="Q61" i="21"/>
  <c r="Q27" i="21"/>
  <c r="Q44" i="21"/>
  <c r="Q29" i="21"/>
  <c r="Q16" i="21"/>
  <c r="Q14" i="21"/>
  <c r="Q31" i="21"/>
  <c r="Q33" i="21"/>
  <c r="Q18" i="21"/>
  <c r="Q35" i="21"/>
  <c r="Q37" i="21"/>
  <c r="Q28" i="21"/>
  <c r="Q15" i="21"/>
  <c r="Q72" i="21"/>
  <c r="R12" i="21"/>
  <c r="Q13" i="21"/>
  <c r="Q34" i="21"/>
  <c r="Q62" i="21"/>
  <c r="Q38" i="21"/>
  <c r="Q17" i="21"/>
  <c r="Q36" i="21"/>
  <c r="Q30" i="21"/>
  <c r="Q32" i="21"/>
  <c r="Q23" i="21"/>
  <c r="Q75" i="49"/>
  <c r="J75" i="49"/>
  <c r="M73" i="16"/>
  <c r="M45" i="16"/>
  <c r="G67" i="21"/>
  <c r="G68" i="21" s="1"/>
  <c r="Q22" i="30"/>
  <c r="Q24" i="30" s="1"/>
  <c r="Q41" i="30" s="1"/>
  <c r="Q21" i="30"/>
  <c r="Q16" i="29"/>
  <c r="Q31" i="29"/>
  <c r="Q14" i="29"/>
  <c r="Q37" i="29"/>
  <c r="Q34" i="29"/>
  <c r="Q28" i="29"/>
  <c r="Q23" i="29"/>
  <c r="Q17" i="29"/>
  <c r="Q38" i="29"/>
  <c r="Q35" i="29"/>
  <c r="Q18" i="29"/>
  <c r="Q15" i="29"/>
  <c r="Q13" i="29"/>
  <c r="Q44" i="29"/>
  <c r="Q36" i="29"/>
  <c r="Q32" i="29"/>
  <c r="R12" i="29"/>
  <c r="Q29" i="29"/>
  <c r="Q27" i="29"/>
  <c r="Q72" i="29"/>
  <c r="Q33" i="29"/>
  <c r="Q30" i="29"/>
  <c r="Q60" i="29"/>
  <c r="Q75" i="29"/>
  <c r="Q47" i="29"/>
  <c r="Q66" i="29"/>
  <c r="Q43" i="29"/>
  <c r="P85" i="29"/>
  <c r="P82" i="29"/>
  <c r="P79" i="29"/>
  <c r="P80" i="29"/>
  <c r="T33" i="13"/>
  <c r="U33" i="13"/>
  <c r="P142" i="14"/>
  <c r="S143" i="13" s="1"/>
  <c r="D142" i="14"/>
  <c r="G143" i="13" s="1"/>
  <c r="F62" i="28" s="1"/>
  <c r="M141" i="14"/>
  <c r="L142" i="14"/>
  <c r="O143" i="13" s="1"/>
  <c r="N62" i="28" s="1"/>
  <c r="U141" i="14"/>
  <c r="I141" i="14"/>
  <c r="N142" i="14"/>
  <c r="Q143" i="13" s="1"/>
  <c r="P62" i="28" s="1"/>
  <c r="T141" i="14"/>
  <c r="X32" i="13"/>
  <c r="M142" i="14"/>
  <c r="P143" i="13" s="1"/>
  <c r="O62" i="28" s="1"/>
  <c r="S141" i="14"/>
  <c r="E141" i="14"/>
  <c r="J142" i="14"/>
  <c r="M143" i="13" s="1"/>
  <c r="L62" i="28" s="1"/>
  <c r="Q141" i="14"/>
  <c r="C141" i="14"/>
  <c r="H142" i="14"/>
  <c r="K143" i="13" s="1"/>
  <c r="J62" i="28" s="1"/>
  <c r="O141" i="14"/>
  <c r="S142" i="14"/>
  <c r="V143" i="13" s="1"/>
  <c r="E142" i="14"/>
  <c r="H143" i="13" s="1"/>
  <c r="G62" i="28" s="1"/>
  <c r="K141" i="14"/>
  <c r="R141" i="14"/>
  <c r="O142" i="14"/>
  <c r="R143" i="13" s="1"/>
  <c r="Q62" i="28" s="1"/>
  <c r="J141" i="14"/>
  <c r="K142" i="14"/>
  <c r="N143" i="13" s="1"/>
  <c r="M62" i="28" s="1"/>
  <c r="D141" i="14"/>
  <c r="C142" i="14"/>
  <c r="F143" i="13" s="1"/>
  <c r="E62" i="28" s="1"/>
  <c r="P141" i="14"/>
  <c r="T142" i="14"/>
  <c r="W143" i="13" s="1"/>
  <c r="G137" i="14"/>
  <c r="R142" i="14"/>
  <c r="U143" i="13" s="1"/>
  <c r="G141" i="14"/>
  <c r="I142" i="14"/>
  <c r="L143" i="13" s="1"/>
  <c r="K62" i="28" s="1"/>
  <c r="G142" i="14"/>
  <c r="J143" i="13" s="1"/>
  <c r="I62" i="28" s="1"/>
  <c r="W32" i="13"/>
  <c r="F142" i="14"/>
  <c r="I143" i="13" s="1"/>
  <c r="H62" i="28" s="1"/>
  <c r="L141" i="14"/>
  <c r="H141" i="14"/>
  <c r="Q142" i="14"/>
  <c r="T143" i="13" s="1"/>
  <c r="N141" i="14"/>
  <c r="C139" i="14"/>
  <c r="C140" i="14" s="1"/>
  <c r="F87" i="13" s="1"/>
  <c r="E64" i="28" s="1"/>
  <c r="C138" i="14"/>
  <c r="F82" i="18"/>
  <c r="F13" i="4"/>
  <c r="M73" i="22"/>
  <c r="M45" i="22"/>
  <c r="P20" i="25"/>
  <c r="P39" i="28"/>
  <c r="N41" i="28"/>
  <c r="S43" i="14"/>
  <c r="V105" i="13"/>
  <c r="P79" i="15"/>
  <c r="P85" i="15"/>
  <c r="P80" i="15"/>
  <c r="P82" i="15"/>
  <c r="K9" i="52"/>
  <c r="H159" i="49"/>
  <c r="P39" i="21"/>
  <c r="S133" i="14"/>
  <c r="V114" i="13"/>
  <c r="R20" i="30"/>
  <c r="M11" i="52"/>
  <c r="H195" i="49"/>
  <c r="J107" i="49"/>
  <c r="Q107" i="49" s="1"/>
  <c r="J11" i="4"/>
  <c r="M3" i="16"/>
  <c r="P39" i="24"/>
  <c r="E56" i="27"/>
  <c r="G34" i="14"/>
  <c r="J48" i="13" s="1"/>
  <c r="I48" i="17" s="1"/>
  <c r="P20" i="31"/>
  <c r="P39" i="31"/>
  <c r="Q80" i="17"/>
  <c r="Q85" i="17"/>
  <c r="Q82" i="17"/>
  <c r="Q79" i="17"/>
  <c r="N73" i="20"/>
  <c r="N45" i="20"/>
  <c r="R38" i="10"/>
  <c r="S24" i="13"/>
  <c r="F17" i="4"/>
  <c r="F82" i="22"/>
  <c r="F67" i="25"/>
  <c r="F68" i="25" s="1"/>
  <c r="M45" i="19"/>
  <c r="M73" i="19"/>
  <c r="Q21" i="26"/>
  <c r="Q22" i="26" s="1"/>
  <c r="Q24" i="26" s="1"/>
  <c r="Q41" i="26" s="1"/>
  <c r="Q38" i="19"/>
  <c r="Q61" i="19"/>
  <c r="Q29" i="19"/>
  <c r="Q27" i="19"/>
  <c r="Q14" i="19"/>
  <c r="Q44" i="19"/>
  <c r="Q16" i="19"/>
  <c r="Q33" i="19"/>
  <c r="Q31" i="19"/>
  <c r="Q18" i="19"/>
  <c r="Q37" i="19"/>
  <c r="Q35" i="19"/>
  <c r="Q34" i="19"/>
  <c r="Q28" i="19"/>
  <c r="Q15" i="19"/>
  <c r="Q72" i="19"/>
  <c r="Q32" i="19"/>
  <c r="Q23" i="19"/>
  <c r="Q36" i="19"/>
  <c r="Q62" i="19"/>
  <c r="R12" i="19"/>
  <c r="Q13" i="19"/>
  <c r="Q30" i="19"/>
  <c r="Q17" i="19"/>
  <c r="G67" i="27"/>
  <c r="G68" i="27" s="1"/>
  <c r="N41" i="19"/>
  <c r="G39" i="14"/>
  <c r="G40" i="14" s="1"/>
  <c r="G38" i="14"/>
  <c r="F134" i="14"/>
  <c r="I58" i="13" s="1"/>
  <c r="H48" i="27" s="1"/>
  <c r="D12" i="52"/>
  <c r="H43" i="49"/>
  <c r="Q20" i="20"/>
  <c r="D27" i="4"/>
  <c r="O21" i="22"/>
  <c r="O22" i="22" s="1"/>
  <c r="O24" i="22" s="1"/>
  <c r="R80" i="26"/>
  <c r="R85" i="26"/>
  <c r="R79" i="26"/>
  <c r="R82" i="26"/>
  <c r="F19" i="14"/>
  <c r="F20" i="14" s="1"/>
  <c r="J41" i="49"/>
  <c r="Q41" i="49" s="1"/>
  <c r="P80" i="23"/>
  <c r="P85" i="23"/>
  <c r="P79" i="23"/>
  <c r="P82" i="23"/>
  <c r="P20" i="22"/>
  <c r="P39" i="22"/>
  <c r="E56" i="25"/>
  <c r="P19" i="24"/>
  <c r="G29" i="14"/>
  <c r="G30" i="14" s="1"/>
  <c r="P39" i="25"/>
  <c r="P19" i="25"/>
  <c r="Q19" i="17"/>
  <c r="Q20" i="17" s="1"/>
  <c r="P39" i="27"/>
  <c r="I10" i="52"/>
  <c r="H126" i="49"/>
  <c r="L45" i="8"/>
  <c r="L73" i="8"/>
  <c r="O20" i="8"/>
  <c r="N41" i="23"/>
  <c r="Q35" i="24"/>
  <c r="Q31" i="24"/>
  <c r="Q27" i="24"/>
  <c r="Q17" i="24"/>
  <c r="Q13" i="24"/>
  <c r="Q32" i="24"/>
  <c r="Q30" i="24"/>
  <c r="Q23" i="24"/>
  <c r="R12" i="24"/>
  <c r="Q36" i="24"/>
  <c r="Q15" i="24"/>
  <c r="Q72" i="24"/>
  <c r="Q14" i="24"/>
  <c r="Q19" i="24" s="1"/>
  <c r="Q18" i="24"/>
  <c r="Q38" i="24"/>
  <c r="Q28" i="24"/>
  <c r="Q37" i="24"/>
  <c r="Q29" i="24"/>
  <c r="Q44" i="24"/>
  <c r="Q34" i="24"/>
  <c r="Q16" i="24"/>
  <c r="Q33" i="24"/>
  <c r="Q43" i="24"/>
  <c r="Q47" i="24"/>
  <c r="Q75" i="24"/>
  <c r="Q60" i="24"/>
  <c r="Q66" i="24"/>
  <c r="P80" i="24"/>
  <c r="P79" i="24"/>
  <c r="P85" i="24"/>
  <c r="P82" i="24"/>
  <c r="P19" i="28"/>
  <c r="P20" i="28" s="1"/>
  <c r="P80" i="19"/>
  <c r="P82" i="19"/>
  <c r="P85" i="19"/>
  <c r="P79" i="19"/>
  <c r="G69" i="14"/>
  <c r="G68" i="14"/>
  <c r="G70" i="14"/>
  <c r="N41" i="22"/>
  <c r="J124" i="49"/>
  <c r="Q124" i="49" s="1"/>
  <c r="G50" i="22"/>
  <c r="G52" i="22"/>
  <c r="H67" i="19"/>
  <c r="H68" i="19" s="1"/>
  <c r="F16" i="4"/>
  <c r="F82" i="21"/>
  <c r="G56" i="23"/>
  <c r="C10" i="52"/>
  <c r="H24" i="49"/>
  <c r="F45" i="8"/>
  <c r="F73" i="8"/>
  <c r="F20" i="4"/>
  <c r="F82" i="25"/>
  <c r="R39" i="26"/>
  <c r="P15" i="8"/>
  <c r="P19" i="15"/>
  <c r="P20" i="15" s="1"/>
  <c r="Q39" i="20"/>
  <c r="E67" i="18"/>
  <c r="E68" i="18" s="1"/>
  <c r="F67" i="22"/>
  <c r="F68" i="22" s="1"/>
  <c r="S83" i="14"/>
  <c r="V109" i="13"/>
  <c r="F56" i="23"/>
  <c r="G10" i="52"/>
  <c r="H92" i="49"/>
  <c r="J45" i="8"/>
  <c r="J73" i="8"/>
  <c r="O21" i="27"/>
  <c r="O22" i="27" s="1"/>
  <c r="O24" i="27" s="1"/>
  <c r="J12" i="4"/>
  <c r="M3" i="17"/>
  <c r="P21" i="17"/>
  <c r="P22" i="17" s="1"/>
  <c r="P24" i="17" s="1"/>
  <c r="V106" i="13"/>
  <c r="S53" i="14"/>
  <c r="J142" i="49"/>
  <c r="Q142" i="49" s="1"/>
  <c r="F67" i="21"/>
  <c r="F68" i="21" s="1"/>
  <c r="Q62" i="23"/>
  <c r="Q36" i="23"/>
  <c r="Q32" i="23"/>
  <c r="Q28" i="23"/>
  <c r="Q18" i="23"/>
  <c r="Q14" i="23"/>
  <c r="Q30" i="23"/>
  <c r="Q23" i="23"/>
  <c r="R12" i="23"/>
  <c r="Q33" i="23"/>
  <c r="Q13" i="23"/>
  <c r="Q44" i="23"/>
  <c r="Q17" i="23"/>
  <c r="Q61" i="23"/>
  <c r="Q37" i="23"/>
  <c r="Q16" i="23"/>
  <c r="Q27" i="23"/>
  <c r="Q38" i="23"/>
  <c r="Q31" i="23"/>
  <c r="Q34" i="23"/>
  <c r="Q29" i="23"/>
  <c r="Q35" i="23"/>
  <c r="Q15" i="23"/>
  <c r="Q72" i="23"/>
  <c r="P36" i="8"/>
  <c r="P20" i="21"/>
  <c r="F18" i="4"/>
  <c r="F82" i="23"/>
  <c r="J78" i="13"/>
  <c r="I64" i="19" s="1"/>
  <c r="H47" i="14"/>
  <c r="O41" i="20"/>
  <c r="F77" i="17"/>
  <c r="F80" i="17"/>
  <c r="P17" i="8"/>
  <c r="F67" i="19"/>
  <c r="F68" i="19" s="1"/>
  <c r="J22" i="49"/>
  <c r="Q22" i="49"/>
  <c r="N5" i="52"/>
  <c r="D5134" i="49"/>
  <c r="D5130" i="49"/>
  <c r="D5136" i="49"/>
  <c r="D5129" i="49"/>
  <c r="D5126" i="49"/>
  <c r="D5124" i="49"/>
  <c r="D5137" i="49"/>
  <c r="D5133" i="49"/>
  <c r="D5131" i="49"/>
  <c r="D5128" i="49"/>
  <c r="D5138" i="49"/>
  <c r="D5135" i="49"/>
  <c r="D5125" i="49"/>
  <c r="D5122" i="49"/>
  <c r="D4847" i="49"/>
  <c r="D4844" i="49"/>
  <c r="D4834" i="49"/>
  <c r="D4841" i="49"/>
  <c r="D4838" i="49"/>
  <c r="D4848" i="49"/>
  <c r="D4849" i="49"/>
  <c r="D5127" i="49"/>
  <c r="D4836" i="49"/>
  <c r="D4555" i="49"/>
  <c r="D4549" i="49"/>
  <c r="D4840" i="49"/>
  <c r="D4837" i="49"/>
  <c r="D4552" i="49"/>
  <c r="D4846" i="49"/>
  <c r="D4843" i="49"/>
  <c r="D4833" i="49"/>
  <c r="D4269" i="49"/>
  <c r="D4263" i="49"/>
  <c r="D4257" i="49"/>
  <c r="D4842" i="49"/>
  <c r="D4559" i="49"/>
  <c r="D4556" i="49"/>
  <c r="D4546" i="49"/>
  <c r="D4267" i="49"/>
  <c r="D4264" i="49"/>
  <c r="D4550" i="49"/>
  <c r="D4271" i="49"/>
  <c r="D4261" i="49"/>
  <c r="D4258" i="49"/>
  <c r="D3982" i="49"/>
  <c r="D3976" i="49"/>
  <c r="D3970" i="49"/>
  <c r="D5132" i="49"/>
  <c r="D4548" i="49"/>
  <c r="D4558" i="49"/>
  <c r="D4545" i="49"/>
  <c r="D4262" i="49"/>
  <c r="D4260" i="49"/>
  <c r="D3974" i="49"/>
  <c r="D3971" i="49"/>
  <c r="D4554" i="49"/>
  <c r="D4551" i="49"/>
  <c r="D4268" i="49"/>
  <c r="D4266" i="49"/>
  <c r="D4255" i="49"/>
  <c r="D3981" i="49"/>
  <c r="D3978" i="49"/>
  <c r="D3968" i="49"/>
  <c r="D3692" i="49"/>
  <c r="D3686" i="49"/>
  <c r="D3680" i="49"/>
  <c r="D3404" i="49"/>
  <c r="D3398" i="49"/>
  <c r="D3392" i="49"/>
  <c r="D4839" i="49"/>
  <c r="D4560" i="49"/>
  <c r="D4557" i="49"/>
  <c r="D4547" i="49"/>
  <c r="D4544" i="49"/>
  <c r="D4270" i="49"/>
  <c r="D4256" i="49"/>
  <c r="D4553" i="49"/>
  <c r="D5123" i="49"/>
  <c r="D4835" i="49"/>
  <c r="D3979" i="49"/>
  <c r="D3677" i="49"/>
  <c r="D3967" i="49"/>
  <c r="D3690" i="49"/>
  <c r="D3969" i="49"/>
  <c r="D3682" i="49"/>
  <c r="D3678" i="49"/>
  <c r="D3389" i="49"/>
  <c r="D4265" i="49"/>
  <c r="D3691" i="49"/>
  <c r="D3687" i="49"/>
  <c r="D3402" i="49"/>
  <c r="D3972" i="49"/>
  <c r="D3975" i="49"/>
  <c r="D3688" i="49"/>
  <c r="D3679" i="49"/>
  <c r="D3401" i="49"/>
  <c r="D3393" i="49"/>
  <c r="D4845" i="49"/>
  <c r="D3683" i="49"/>
  <c r="D3399" i="49"/>
  <c r="D3396" i="49"/>
  <c r="D3112" i="49"/>
  <c r="D3106" i="49"/>
  <c r="D3100" i="49"/>
  <c r="D2824" i="49"/>
  <c r="D2818" i="49"/>
  <c r="D2812" i="49"/>
  <c r="D3681" i="49"/>
  <c r="D3388" i="49"/>
  <c r="D3966" i="49"/>
  <c r="D3394" i="49"/>
  <c r="D3391" i="49"/>
  <c r="D3110" i="49"/>
  <c r="D3107" i="49"/>
  <c r="D4259" i="49"/>
  <c r="D3689" i="49"/>
  <c r="D3390" i="49"/>
  <c r="D3403" i="49"/>
  <c r="D3395" i="49"/>
  <c r="D3114" i="49"/>
  <c r="D3104" i="49"/>
  <c r="D3101" i="49"/>
  <c r="D3973" i="49"/>
  <c r="D3111" i="49"/>
  <c r="D3108" i="49"/>
  <c r="D3397" i="49"/>
  <c r="D3977" i="49"/>
  <c r="D2822" i="49"/>
  <c r="D2533" i="49"/>
  <c r="D2527" i="49"/>
  <c r="D2521" i="49"/>
  <c r="D2820" i="49"/>
  <c r="D2815" i="49"/>
  <c r="D2813" i="49"/>
  <c r="D2534" i="49"/>
  <c r="D2528" i="49"/>
  <c r="D2522" i="49"/>
  <c r="D2246" i="49"/>
  <c r="D2240" i="49"/>
  <c r="D2234" i="49"/>
  <c r="D1958" i="49"/>
  <c r="D1952" i="49"/>
  <c r="D1946" i="49"/>
  <c r="D3099" i="49"/>
  <c r="D2535" i="49"/>
  <c r="D2529" i="49"/>
  <c r="D2523" i="49"/>
  <c r="D2247" i="49"/>
  <c r="D2241" i="49"/>
  <c r="D2235" i="49"/>
  <c r="D1959" i="49"/>
  <c r="D1953" i="49"/>
  <c r="D1947" i="49"/>
  <c r="D3400" i="49"/>
  <c r="D2823" i="49"/>
  <c r="D2816" i="49"/>
  <c r="D2811" i="49"/>
  <c r="D2537" i="49"/>
  <c r="D2248" i="49"/>
  <c r="D2238" i="49"/>
  <c r="D1955" i="49"/>
  <c r="D1945" i="49"/>
  <c r="D3102" i="49"/>
  <c r="D3980" i="49"/>
  <c r="D3113" i="49"/>
  <c r="D3109" i="49"/>
  <c r="D3105" i="49"/>
  <c r="D2245" i="49"/>
  <c r="D2242" i="49"/>
  <c r="D2232" i="49"/>
  <c r="D1949" i="49"/>
  <c r="D3685" i="49"/>
  <c r="D2821" i="49"/>
  <c r="D2524" i="49"/>
  <c r="D3684" i="49"/>
  <c r="D2530" i="49"/>
  <c r="D2239" i="49"/>
  <c r="D2236" i="49"/>
  <c r="D1956" i="49"/>
  <c r="D1943" i="49"/>
  <c r="D2536" i="49"/>
  <c r="D2526" i="49"/>
  <c r="D1957" i="49"/>
  <c r="D1667" i="49"/>
  <c r="D3103" i="49"/>
  <c r="D2826" i="49"/>
  <c r="D2814" i="49"/>
  <c r="D2810" i="49"/>
  <c r="D2244" i="49"/>
  <c r="D2531" i="49"/>
  <c r="D1668" i="49"/>
  <c r="D3115" i="49"/>
  <c r="D2525" i="49"/>
  <c r="D1954" i="49"/>
  <c r="D1669" i="49"/>
  <c r="D2819" i="49"/>
  <c r="D2233" i="49"/>
  <c r="D1661" i="49"/>
  <c r="D1658" i="49"/>
  <c r="D3693" i="49"/>
  <c r="D1665" i="49"/>
  <c r="D1370" i="49"/>
  <c r="D1366" i="49"/>
  <c r="D1379" i="49"/>
  <c r="D2817" i="49"/>
  <c r="D1663" i="49"/>
  <c r="D1659" i="49"/>
  <c r="D1375" i="49"/>
  <c r="D1371" i="49"/>
  <c r="D1367" i="49"/>
  <c r="D1090" i="49"/>
  <c r="D1084" i="49"/>
  <c r="D1078" i="49"/>
  <c r="D802" i="49"/>
  <c r="D796" i="49"/>
  <c r="D790" i="49"/>
  <c r="D1948" i="49"/>
  <c r="D1655" i="49"/>
  <c r="D1376" i="49"/>
  <c r="D1372" i="49"/>
  <c r="D1950" i="49"/>
  <c r="D1664" i="49"/>
  <c r="D1666" i="49"/>
  <c r="D1656" i="49"/>
  <c r="D1091" i="49"/>
  <c r="D1081" i="49"/>
  <c r="D1660" i="49"/>
  <c r="D2532" i="49"/>
  <c r="D1381" i="49"/>
  <c r="D1374" i="49"/>
  <c r="D1369" i="49"/>
  <c r="D1088" i="49"/>
  <c r="D1085" i="49"/>
  <c r="D510" i="49"/>
  <c r="D504" i="49"/>
  <c r="D498" i="49"/>
  <c r="D1951" i="49"/>
  <c r="D1944" i="49"/>
  <c r="D803" i="49"/>
  <c r="D793" i="49"/>
  <c r="D1662" i="49"/>
  <c r="D1380" i="49"/>
  <c r="D1083" i="49"/>
  <c r="D1076" i="49"/>
  <c r="D800" i="49"/>
  <c r="D795" i="49"/>
  <c r="D788" i="49"/>
  <c r="D501" i="49"/>
  <c r="D1365" i="49"/>
  <c r="D514" i="49"/>
  <c r="D225" i="49"/>
  <c r="B225" i="50" s="1"/>
  <c r="D222" i="49"/>
  <c r="B222" i="50" s="1"/>
  <c r="D219" i="49"/>
  <c r="B219" i="50" s="1"/>
  <c r="D216" i="49"/>
  <c r="B216" i="50" s="1"/>
  <c r="D213" i="49"/>
  <c r="B213" i="50" s="1"/>
  <c r="D210" i="49"/>
  <c r="B210" i="50" s="1"/>
  <c r="D2237" i="49"/>
  <c r="D1080" i="49"/>
  <c r="D798" i="49"/>
  <c r="D791" i="49"/>
  <c r="D506" i="49"/>
  <c r="D1092" i="49"/>
  <c r="D502" i="49"/>
  <c r="D1657" i="49"/>
  <c r="D1378" i="49"/>
  <c r="D1373" i="49"/>
  <c r="D1368" i="49"/>
  <c r="D1087" i="49"/>
  <c r="D507" i="49"/>
  <c r="D1377" i="49"/>
  <c r="D1086" i="49"/>
  <c r="D1077" i="49"/>
  <c r="D797" i="49"/>
  <c r="D794" i="49"/>
  <c r="D218" i="49"/>
  <c r="B218" i="50" s="1"/>
  <c r="D209" i="49"/>
  <c r="D513" i="49"/>
  <c r="D499" i="49"/>
  <c r="D1670" i="49"/>
  <c r="D1089" i="49"/>
  <c r="D1079" i="49"/>
  <c r="D799" i="49"/>
  <c r="D512" i="49"/>
  <c r="D503" i="49"/>
  <c r="D801" i="49"/>
  <c r="D505" i="49"/>
  <c r="D224" i="49"/>
  <c r="B224" i="50" s="1"/>
  <c r="D215" i="49"/>
  <c r="B215" i="50" s="1"/>
  <c r="D2825" i="49"/>
  <c r="D508" i="49"/>
  <c r="D211" i="49"/>
  <c r="B211" i="50" s="1"/>
  <c r="D789" i="49"/>
  <c r="D500" i="49"/>
  <c r="D217" i="49"/>
  <c r="B217" i="50" s="1"/>
  <c r="D223" i="49"/>
  <c r="B223" i="50" s="1"/>
  <c r="D221" i="49"/>
  <c r="B221" i="50" s="1"/>
  <c r="D787" i="49"/>
  <c r="D792" i="49"/>
  <c r="D2243" i="49"/>
  <c r="D1654" i="49"/>
  <c r="D220" i="49"/>
  <c r="B220" i="50" s="1"/>
  <c r="D214" i="49"/>
  <c r="B214" i="50" s="1"/>
  <c r="D212" i="49"/>
  <c r="B212" i="50" s="1"/>
  <c r="D511" i="49"/>
  <c r="D1082" i="49"/>
  <c r="D509" i="49"/>
  <c r="Q47" i="8"/>
  <c r="Q72" i="8"/>
  <c r="R12" i="8"/>
  <c r="Q43" i="8"/>
  <c r="G54" i="17"/>
  <c r="G56" i="17" s="1"/>
  <c r="E67" i="15"/>
  <c r="E68" i="15" s="1"/>
  <c r="R20" i="26"/>
  <c r="P20" i="29"/>
  <c r="O21" i="16"/>
  <c r="P63" i="22"/>
  <c r="H54" i="17"/>
  <c r="H56" i="17" s="1"/>
  <c r="P20" i="24"/>
  <c r="F56" i="27"/>
  <c r="P80" i="31"/>
  <c r="P82" i="31"/>
  <c r="P85" i="31"/>
  <c r="P79" i="31"/>
  <c r="S62" i="30"/>
  <c r="S44" i="30"/>
  <c r="S37" i="30"/>
  <c r="S32" i="30"/>
  <c r="S27" i="30"/>
  <c r="S72" i="30"/>
  <c r="S35" i="30"/>
  <c r="S30" i="30"/>
  <c r="S13" i="30"/>
  <c r="S16" i="30"/>
  <c r="S38" i="30"/>
  <c r="S33" i="30"/>
  <c r="S29" i="30"/>
  <c r="S15" i="30"/>
  <c r="T12" i="30"/>
  <c r="S36" i="30"/>
  <c r="S31" i="30"/>
  <c r="S23" i="30"/>
  <c r="S17" i="30"/>
  <c r="S14" i="30"/>
  <c r="S34" i="30"/>
  <c r="S18" i="30"/>
  <c r="S28" i="30"/>
  <c r="S75" i="30"/>
  <c r="S66" i="30"/>
  <c r="S60" i="30"/>
  <c r="S47" i="30"/>
  <c r="S43" i="30"/>
  <c r="P39" i="16"/>
  <c r="P27" i="8"/>
  <c r="P23" i="8"/>
  <c r="E77" i="16"/>
  <c r="L11" i="52"/>
  <c r="H178" i="49"/>
  <c r="G54" i="14"/>
  <c r="J50" i="13" s="1"/>
  <c r="I48" i="19" s="1"/>
  <c r="P39" i="23"/>
  <c r="P20" i="23"/>
  <c r="I73" i="16"/>
  <c r="I45" i="16"/>
  <c r="M34" i="10"/>
  <c r="Q72" i="22"/>
  <c r="Q61" i="22"/>
  <c r="Q38" i="22"/>
  <c r="Q27" i="22"/>
  <c r="Q14" i="22"/>
  <c r="Q29" i="22"/>
  <c r="Q44" i="22"/>
  <c r="Q31" i="22"/>
  <c r="Q18" i="22"/>
  <c r="Q16" i="22"/>
  <c r="Q33" i="22"/>
  <c r="Q35" i="22"/>
  <c r="Q37" i="22"/>
  <c r="Q28" i="22"/>
  <c r="Q32" i="22"/>
  <c r="Q36" i="22"/>
  <c r="Q30" i="22"/>
  <c r="Q13" i="22"/>
  <c r="Q34" i="22"/>
  <c r="Q17" i="22"/>
  <c r="Q23" i="22"/>
  <c r="R12" i="22"/>
  <c r="Q15" i="22"/>
  <c r="Q62" i="22"/>
  <c r="E56" i="23"/>
  <c r="Q39" i="17"/>
  <c r="N22" i="29"/>
  <c r="N24" i="29" s="1"/>
  <c r="H8" i="14"/>
  <c r="H9" i="14"/>
  <c r="H10" i="14" s="1"/>
  <c r="H3961" i="49"/>
  <c r="H3960" i="49"/>
  <c r="H3962" i="49"/>
  <c r="P8" i="51"/>
  <c r="H1349" i="49"/>
  <c r="H1318" i="49"/>
  <c r="H1301" i="49"/>
  <c r="H1331" i="49"/>
  <c r="E181" i="46"/>
  <c r="H3234" i="49"/>
  <c r="H3233" i="49"/>
  <c r="H1044" i="49"/>
  <c r="G7" i="3"/>
  <c r="E135" i="46"/>
  <c r="K10" i="39"/>
  <c r="H3647" i="49"/>
  <c r="E568" i="46"/>
  <c r="H4673" i="49"/>
  <c r="H4945" i="49"/>
  <c r="H782" i="49"/>
  <c r="H783" i="49"/>
  <c r="H781" i="49"/>
  <c r="H2078" i="49"/>
  <c r="H2077" i="49"/>
  <c r="H4180" i="49"/>
  <c r="H3770" i="49"/>
  <c r="H3776" i="49"/>
  <c r="E589" i="46"/>
  <c r="H3950" i="49"/>
  <c r="H4265" i="49"/>
  <c r="H3399" i="49"/>
  <c r="H3391" i="49"/>
  <c r="H2819" i="49"/>
  <c r="H1375" i="49"/>
  <c r="H1088" i="49"/>
  <c r="H1087" i="49"/>
  <c r="H1089" i="49"/>
  <c r="H913" i="49"/>
  <c r="E68" i="46"/>
  <c r="H1211" i="49"/>
  <c r="H1210" i="49"/>
  <c r="P15" i="51"/>
  <c r="E28" i="46"/>
  <c r="H4834" i="49"/>
  <c r="H3050" i="49"/>
  <c r="H2746" i="49"/>
  <c r="H896" i="49"/>
  <c r="H4792" i="49"/>
  <c r="H1500" i="49"/>
  <c r="H1499" i="49"/>
  <c r="H3787" i="49"/>
  <c r="H3793" i="49"/>
  <c r="H1523" i="49"/>
  <c r="E217" i="46"/>
  <c r="H2044" i="49"/>
  <c r="H2043" i="49"/>
  <c r="E306" i="46"/>
  <c r="E579" i="46"/>
  <c r="H5058" i="49"/>
  <c r="H5064" i="49"/>
  <c r="H1926" i="49"/>
  <c r="H2086" i="49"/>
  <c r="H4248" i="49"/>
  <c r="H3083" i="49"/>
  <c r="H1896" i="49"/>
  <c r="H2505" i="49"/>
  <c r="H2357" i="49"/>
  <c r="H4843" i="49"/>
  <c r="H3680" i="49"/>
  <c r="H3397" i="49"/>
  <c r="H2235" i="49"/>
  <c r="H2524" i="49"/>
  <c r="H1664" i="49"/>
  <c r="H1466" i="49"/>
  <c r="H1465" i="49"/>
  <c r="E210" i="46"/>
  <c r="H3339" i="49"/>
  <c r="H3384" i="49"/>
  <c r="H3382" i="49"/>
  <c r="H3383" i="49"/>
  <c r="H4741" i="49"/>
  <c r="H4979" i="49"/>
  <c r="H5098" i="49"/>
  <c r="E815" i="46"/>
  <c r="P14" i="51"/>
  <c r="H1483" i="49"/>
  <c r="H1482" i="49"/>
  <c r="H4833" i="49"/>
  <c r="H4835" i="49"/>
  <c r="H3102" i="49"/>
  <c r="H1086" i="49"/>
  <c r="H2794" i="49"/>
  <c r="H4639" i="49"/>
  <c r="E735" i="46"/>
  <c r="H4690" i="49"/>
  <c r="H607" i="49"/>
  <c r="H4928" i="49"/>
  <c r="E783" i="46"/>
  <c r="H5030" i="49"/>
  <c r="H2168" i="49"/>
  <c r="H4206" i="49"/>
  <c r="H2216" i="49"/>
  <c r="H5106" i="49"/>
  <c r="H3198" i="49"/>
  <c r="H3192" i="49"/>
  <c r="E493" i="46"/>
  <c r="H4258" i="49"/>
  <c r="H3398" i="49"/>
  <c r="H2530" i="49"/>
  <c r="H1077" i="49"/>
  <c r="R16" i="51"/>
  <c r="H3035" i="49"/>
  <c r="H4724" i="49"/>
  <c r="H4826" i="49"/>
  <c r="H5013" i="49"/>
  <c r="H2663" i="49"/>
  <c r="H4146" i="49"/>
  <c r="H3818" i="49"/>
  <c r="H2350" i="49"/>
  <c r="H2349" i="49"/>
  <c r="H3677" i="49"/>
  <c r="H3975" i="49"/>
  <c r="H797" i="49"/>
  <c r="H3976" i="49"/>
  <c r="H3400" i="49"/>
  <c r="H2531" i="49"/>
  <c r="H1944" i="49"/>
  <c r="H945" i="49"/>
  <c r="E121" i="46"/>
  <c r="H2183" i="49"/>
  <c r="Q7" i="51"/>
  <c r="E116" i="46"/>
  <c r="P11" i="51"/>
  <c r="H4078" i="49"/>
  <c r="H4163" i="49"/>
  <c r="H1517" i="49"/>
  <c r="H1516" i="49"/>
  <c r="H3932" i="49"/>
  <c r="E613" i="46"/>
  <c r="P13" i="51"/>
  <c r="E83" i="46"/>
  <c r="H1177" i="49"/>
  <c r="H1176" i="49"/>
  <c r="E162" i="46"/>
  <c r="H2333" i="49"/>
  <c r="H2332" i="49"/>
  <c r="E354" i="46"/>
  <c r="H4707" i="49"/>
  <c r="E751" i="46"/>
  <c r="H4775" i="49"/>
  <c r="H1194" i="49"/>
  <c r="H1193" i="49"/>
  <c r="H5081" i="49"/>
  <c r="E771" i="46"/>
  <c r="H4478" i="49"/>
  <c r="H4197" i="49"/>
  <c r="H4129" i="49"/>
  <c r="E655" i="46"/>
  <c r="H2457" i="49"/>
  <c r="H3812" i="49"/>
  <c r="H3811" i="49"/>
  <c r="H3372" i="49"/>
  <c r="H4836" i="49"/>
  <c r="H3679" i="49"/>
  <c r="H1946" i="49"/>
  <c r="H796" i="49"/>
  <c r="R20" i="51"/>
  <c r="H771" i="49"/>
  <c r="H655" i="49"/>
  <c r="E72" i="46"/>
  <c r="P12" i="51"/>
  <c r="H4493" i="49"/>
  <c r="H4061" i="49"/>
  <c r="E639" i="46"/>
  <c r="E641" i="46"/>
  <c r="H2631" i="49"/>
  <c r="H2637" i="49"/>
  <c r="H5125" i="49"/>
  <c r="H4547" i="49"/>
  <c r="H2242" i="49"/>
  <c r="H1620" i="49"/>
  <c r="E229" i="46"/>
  <c r="H1218" i="49"/>
  <c r="H621" i="49"/>
  <c r="H1059" i="49"/>
  <c r="H1911" i="49"/>
  <c r="E279" i="46"/>
  <c r="G10" i="3"/>
  <c r="K13" i="39"/>
  <c r="H1368" i="49"/>
  <c r="H930" i="49"/>
  <c r="H3902" i="49"/>
  <c r="H879" i="49"/>
  <c r="E108" i="46"/>
  <c r="H5073" i="49"/>
  <c r="H5047" i="49"/>
  <c r="H4962" i="49"/>
  <c r="H1029" i="49"/>
  <c r="H4191" i="49"/>
  <c r="H723" i="49"/>
  <c r="H4231" i="49"/>
  <c r="E671" i="46"/>
  <c r="H3217" i="49"/>
  <c r="H3216" i="49"/>
  <c r="P9" i="51"/>
  <c r="H5132" i="49"/>
  <c r="H3969" i="49"/>
  <c r="H3401" i="49"/>
  <c r="H2820" i="49"/>
  <c r="H790" i="49"/>
  <c r="H1657" i="49"/>
  <c r="H2472" i="49"/>
  <c r="P17" i="51"/>
  <c r="E36" i="46"/>
  <c r="H886" i="49"/>
  <c r="H880" i="49"/>
  <c r="E109" i="46"/>
  <c r="H4809" i="49"/>
  <c r="E767" i="46"/>
  <c r="H4758" i="49"/>
  <c r="E737" i="46"/>
  <c r="H5115" i="49"/>
  <c r="H4803" i="49"/>
  <c r="E760" i="46"/>
  <c r="H1638" i="49"/>
  <c r="H4510" i="49"/>
  <c r="E709" i="46"/>
  <c r="H4214" i="49"/>
  <c r="H4095" i="49"/>
  <c r="H4112" i="49"/>
  <c r="H1605" i="49"/>
  <c r="H2761" i="49"/>
  <c r="E225" i="46"/>
  <c r="H2517" i="49"/>
  <c r="H2516" i="49"/>
  <c r="H2515" i="49"/>
  <c r="H920" i="49"/>
  <c r="H914" i="49"/>
  <c r="N18" i="51"/>
  <c r="H3251" i="49"/>
  <c r="H3250" i="49"/>
  <c r="H4820" i="49"/>
  <c r="Q10" i="51"/>
  <c r="P6" i="51"/>
  <c r="H3917" i="49"/>
  <c r="H4996" i="49"/>
  <c r="E799" i="46"/>
  <c r="P21" i="51"/>
  <c r="H623" i="49"/>
  <c r="N19" i="51"/>
  <c r="H738" i="49"/>
  <c r="H4239" i="49"/>
  <c r="H1590" i="49"/>
  <c r="H2648" i="49"/>
  <c r="H2654" i="49"/>
  <c r="H3678" i="49"/>
  <c r="H2813" i="49"/>
  <c r="H1663" i="49"/>
  <c r="H1374" i="49"/>
  <c r="E785" i="46"/>
  <c r="E18" i="46"/>
  <c r="H2620" i="49"/>
  <c r="H2614" i="49"/>
  <c r="E397" i="46"/>
  <c r="H4221" i="49"/>
  <c r="E661" i="46"/>
  <c r="H590" i="49"/>
  <c r="E60" i="46"/>
  <c r="H4528" i="49"/>
  <c r="H4656" i="49"/>
  <c r="H2061" i="49"/>
  <c r="H2060" i="49"/>
  <c r="H2241" i="49"/>
  <c r="H1085" i="49"/>
  <c r="H1079" i="49"/>
  <c r="H3354" i="49"/>
  <c r="E517" i="46"/>
  <c r="H608" i="49"/>
  <c r="H614" i="49"/>
  <c r="H2776" i="49"/>
  <c r="E421" i="46"/>
  <c r="H5088" i="49"/>
  <c r="E805" i="46"/>
  <c r="H2198" i="49"/>
  <c r="E325" i="46"/>
  <c r="E37" i="46"/>
  <c r="E29" i="46"/>
  <c r="H3065" i="49"/>
  <c r="E469" i="46"/>
  <c r="H2093" i="49"/>
  <c r="H2087" i="49"/>
  <c r="H931" i="49"/>
  <c r="H937" i="49"/>
  <c r="H903" i="49"/>
  <c r="H897" i="49"/>
  <c r="H2487" i="49"/>
  <c r="E373" i="46"/>
  <c r="J181" i="46" l="1"/>
  <c r="J1331" i="49"/>
  <c r="Q1331" i="49" s="1"/>
  <c r="J1301" i="49"/>
  <c r="Q1301" i="49" s="1"/>
  <c r="J1318" i="49"/>
  <c r="Q1318" i="49"/>
  <c r="J1349" i="49"/>
  <c r="Q1349" i="49" s="1"/>
  <c r="J3962" i="49"/>
  <c r="Q3962" i="49" s="1"/>
  <c r="J3960" i="49"/>
  <c r="Q3960" i="49" s="1"/>
  <c r="J3961" i="49"/>
  <c r="Q3961" i="49" s="1"/>
  <c r="O41" i="18"/>
  <c r="Q19" i="31"/>
  <c r="G114" i="14"/>
  <c r="J56" i="13" s="1"/>
  <c r="I48" i="25" s="1"/>
  <c r="F84" i="14"/>
  <c r="I53" i="13" s="1"/>
  <c r="H48" i="22" s="1"/>
  <c r="Q20" i="24"/>
  <c r="U142" i="14"/>
  <c r="X143" i="13" s="1"/>
  <c r="U162" i="14"/>
  <c r="X145" i="13" s="1"/>
  <c r="R19" i="20"/>
  <c r="Q63" i="27"/>
  <c r="Q39" i="18"/>
  <c r="Q85" i="18"/>
  <c r="Q82" i="18"/>
  <c r="Q79" i="18"/>
  <c r="Q80" i="18"/>
  <c r="G74" i="14"/>
  <c r="J52" i="13" s="1"/>
  <c r="I48" i="21" s="1"/>
  <c r="R72" i="18"/>
  <c r="R37" i="18"/>
  <c r="R61" i="18"/>
  <c r="R29" i="18"/>
  <c r="R38" i="18"/>
  <c r="R32" i="18"/>
  <c r="R34" i="18"/>
  <c r="R14" i="18"/>
  <c r="R30" i="18"/>
  <c r="R33" i="18"/>
  <c r="R16" i="18"/>
  <c r="S12" i="18"/>
  <c r="R44" i="18"/>
  <c r="R15" i="18"/>
  <c r="R35" i="18"/>
  <c r="R36" i="18"/>
  <c r="R31" i="18"/>
  <c r="R23" i="18"/>
  <c r="R27" i="18"/>
  <c r="R39" i="18" s="1"/>
  <c r="R18" i="18"/>
  <c r="R17" i="18"/>
  <c r="R28" i="18"/>
  <c r="R13" i="18"/>
  <c r="R62" i="18"/>
  <c r="Q19" i="18"/>
  <c r="Q20" i="18" s="1"/>
  <c r="Q21" i="18" s="1"/>
  <c r="Q22" i="18" s="1"/>
  <c r="Q24" i="18" s="1"/>
  <c r="P21" i="18"/>
  <c r="P22" i="18"/>
  <c r="P24" i="18" s="1"/>
  <c r="Q19" i="15"/>
  <c r="Q63" i="23"/>
  <c r="Q63" i="18"/>
  <c r="J373" i="46"/>
  <c r="J2487" i="49"/>
  <c r="Q2487" i="49" s="1"/>
  <c r="J897" i="49"/>
  <c r="Q897" i="49" s="1"/>
  <c r="J903" i="49"/>
  <c r="Q903" i="49" s="1"/>
  <c r="J937" i="49"/>
  <c r="Q937" i="49" s="1"/>
  <c r="J931" i="49"/>
  <c r="Q931" i="49" s="1"/>
  <c r="Q2087" i="49"/>
  <c r="J2087" i="49"/>
  <c r="J2093" i="49"/>
  <c r="Q2093" i="49" s="1"/>
  <c r="J469" i="46"/>
  <c r="Q3065" i="49"/>
  <c r="J3065" i="49"/>
  <c r="J29" i="46"/>
  <c r="J37" i="46"/>
  <c r="J325" i="46"/>
  <c r="J2198" i="49"/>
  <c r="Q2198" i="49" s="1"/>
  <c r="J805" i="46"/>
  <c r="J5088" i="49"/>
  <c r="Q5088" i="49"/>
  <c r="J421" i="46"/>
  <c r="J2776" i="49"/>
  <c r="Q2776" i="49" s="1"/>
  <c r="J614" i="49"/>
  <c r="Q614" i="49" s="1"/>
  <c r="J608" i="49"/>
  <c r="Q608" i="49" s="1"/>
  <c r="J517" i="46"/>
  <c r="J3354" i="49"/>
  <c r="Q3354" i="49" s="1"/>
  <c r="J1079" i="49"/>
  <c r="Q1079" i="49"/>
  <c r="J1085" i="49"/>
  <c r="Q1085" i="49" s="1"/>
  <c r="Q2241" i="49"/>
  <c r="J2241" i="49"/>
  <c r="Q2060" i="49"/>
  <c r="J2060" i="49"/>
  <c r="Q2061" i="49"/>
  <c r="J2061" i="49"/>
  <c r="J4656" i="49"/>
  <c r="Q4656" i="49" s="1"/>
  <c r="J4528" i="49"/>
  <c r="Q4528" i="49" s="1"/>
  <c r="J60" i="46"/>
  <c r="J590" i="49"/>
  <c r="Q590" i="49" s="1"/>
  <c r="J661" i="46"/>
  <c r="J4221" i="49"/>
  <c r="Q4221" i="49" s="1"/>
  <c r="J397" i="46"/>
  <c r="J2614" i="49"/>
  <c r="Q2614" i="49" s="1"/>
  <c r="Q2620" i="49"/>
  <c r="J2620" i="49"/>
  <c r="J18" i="46"/>
  <c r="J785" i="46"/>
  <c r="J1374" i="49"/>
  <c r="Q1374" i="49" s="1"/>
  <c r="J1663" i="49"/>
  <c r="Q1663" i="49" s="1"/>
  <c r="J2813" i="49"/>
  <c r="Q2813" i="49" s="1"/>
  <c r="J3678" i="49"/>
  <c r="Q3678" i="49" s="1"/>
  <c r="J2654" i="49"/>
  <c r="Q2654" i="49" s="1"/>
  <c r="J2648" i="49"/>
  <c r="Q2648" i="49" s="1"/>
  <c r="J1590" i="49"/>
  <c r="Q1590" i="49" s="1"/>
  <c r="J4239" i="49"/>
  <c r="Q4239" i="49"/>
  <c r="J738" i="49"/>
  <c r="Q738" i="49" s="1"/>
  <c r="J623" i="49"/>
  <c r="Q623" i="49" s="1"/>
  <c r="J799" i="46"/>
  <c r="J4996" i="49"/>
  <c r="Q4996" i="49"/>
  <c r="J3917" i="49"/>
  <c r="Q3917" i="49" s="1"/>
  <c r="J4820" i="49"/>
  <c r="Q4820" i="49" s="1"/>
  <c r="J3250" i="49"/>
  <c r="Q3250" i="49"/>
  <c r="J3251" i="49"/>
  <c r="Q3251" i="49" s="1"/>
  <c r="J914" i="49"/>
  <c r="Q914" i="49" s="1"/>
  <c r="J920" i="49"/>
  <c r="Q920" i="49" s="1"/>
  <c r="J2515" i="49"/>
  <c r="Q2515" i="49" s="1"/>
  <c r="J2516" i="49"/>
  <c r="Q2516" i="49" s="1"/>
  <c r="J2517" i="49"/>
  <c r="Q2517" i="49" s="1"/>
  <c r="J225" i="46"/>
  <c r="J2761" i="49"/>
  <c r="Q2761" i="49" s="1"/>
  <c r="J1605" i="49"/>
  <c r="Q1605" i="49" s="1"/>
  <c r="J4112" i="49"/>
  <c r="Q4112" i="49" s="1"/>
  <c r="J4095" i="49"/>
  <c r="Q4095" i="49" s="1"/>
  <c r="J4214" i="49"/>
  <c r="Q4214" i="49" s="1"/>
  <c r="J709" i="46"/>
  <c r="J4510" i="49"/>
  <c r="Q4510" i="49" s="1"/>
  <c r="J1638" i="49"/>
  <c r="Q1638" i="49" s="1"/>
  <c r="J760" i="46"/>
  <c r="J4803" i="49"/>
  <c r="Q4803" i="49" s="1"/>
  <c r="J5115" i="49"/>
  <c r="Q5115" i="49" s="1"/>
  <c r="J737" i="46"/>
  <c r="J4758" i="49"/>
  <c r="Q4758" i="49" s="1"/>
  <c r="J767" i="46"/>
  <c r="J4809" i="49"/>
  <c r="Q4809" i="49" s="1"/>
  <c r="J109" i="46"/>
  <c r="J880" i="49"/>
  <c r="Q880" i="49" s="1"/>
  <c r="J886" i="49"/>
  <c r="Q886" i="49" s="1"/>
  <c r="J36" i="46"/>
  <c r="J2472" i="49"/>
  <c r="Q2472" i="49" s="1"/>
  <c r="Q1657" i="49"/>
  <c r="J1657" i="49"/>
  <c r="J790" i="49"/>
  <c r="Q790" i="49" s="1"/>
  <c r="J2820" i="49"/>
  <c r="Q2820" i="49" s="1"/>
  <c r="J3401" i="49"/>
  <c r="Q3401" i="49" s="1"/>
  <c r="J3969" i="49"/>
  <c r="Q3969" i="49"/>
  <c r="J5132" i="49"/>
  <c r="Q5132" i="49" s="1"/>
  <c r="J3216" i="49"/>
  <c r="Q3216" i="49" s="1"/>
  <c r="J3217" i="49"/>
  <c r="Q3217" i="49" s="1"/>
  <c r="J671" i="46"/>
  <c r="J4231" i="49"/>
  <c r="Q4231" i="49" s="1"/>
  <c r="J723" i="49"/>
  <c r="Q723" i="49" s="1"/>
  <c r="J4191" i="49"/>
  <c r="Q4191" i="49" s="1"/>
  <c r="J1029" i="49"/>
  <c r="Q1029" i="49" s="1"/>
  <c r="J4962" i="49"/>
  <c r="Q4962" i="49"/>
  <c r="Q5047" i="49"/>
  <c r="J5047" i="49"/>
  <c r="Q5073" i="49"/>
  <c r="J5073" i="49"/>
  <c r="J108" i="46"/>
  <c r="J879" i="49"/>
  <c r="Q879" i="49"/>
  <c r="J3902" i="49"/>
  <c r="Q3902" i="49" s="1"/>
  <c r="J930" i="49"/>
  <c r="Q930" i="49" s="1"/>
  <c r="J1368" i="49"/>
  <c r="Q1368" i="49"/>
  <c r="O13" i="39"/>
  <c r="J279" i="46"/>
  <c r="Q1911" i="49"/>
  <c r="J1911" i="49"/>
  <c r="J1059" i="49"/>
  <c r="Q1059" i="49" s="1"/>
  <c r="J621" i="49"/>
  <c r="Q621" i="49" s="1"/>
  <c r="J1218" i="49"/>
  <c r="Q1218" i="49" s="1"/>
  <c r="J229" i="46"/>
  <c r="J1620" i="49"/>
  <c r="Q1620" i="49"/>
  <c r="J2242" i="49"/>
  <c r="Q2242" i="49" s="1"/>
  <c r="J4547" i="49"/>
  <c r="Q4547" i="49" s="1"/>
  <c r="J5125" i="49"/>
  <c r="Q5125" i="49" s="1"/>
  <c r="J2637" i="49"/>
  <c r="Q2637" i="49" s="1"/>
  <c r="J2631" i="49"/>
  <c r="Q2631" i="49"/>
  <c r="J641" i="46"/>
  <c r="J639" i="46"/>
  <c r="J4061" i="49"/>
  <c r="Q4061" i="49" s="1"/>
  <c r="J4493" i="49"/>
  <c r="Q4493" i="49" s="1"/>
  <c r="J72" i="46"/>
  <c r="J655" i="49"/>
  <c r="Q655" i="49" s="1"/>
  <c r="J771" i="49"/>
  <c r="Q771" i="49" s="1"/>
  <c r="J796" i="49"/>
  <c r="Q796" i="49" s="1"/>
  <c r="J1946" i="49"/>
  <c r="Q1946" i="49" s="1"/>
  <c r="J3679" i="49"/>
  <c r="Q3679" i="49" s="1"/>
  <c r="Q4836" i="49"/>
  <c r="J4836" i="49"/>
  <c r="J3372" i="49"/>
  <c r="Q3372" i="49" s="1"/>
  <c r="Q3811" i="49"/>
  <c r="J3811" i="49"/>
  <c r="Q3812" i="49"/>
  <c r="J3812" i="49"/>
  <c r="J2457" i="49"/>
  <c r="Q2457" i="49" s="1"/>
  <c r="J655" i="46"/>
  <c r="J4129" i="49"/>
  <c r="Q4129" i="49" s="1"/>
  <c r="J4197" i="49"/>
  <c r="Q4197" i="49" s="1"/>
  <c r="J4478" i="49"/>
  <c r="Q4478" i="49" s="1"/>
  <c r="J771" i="46"/>
  <c r="Q5081" i="49"/>
  <c r="J5081" i="49"/>
  <c r="J1193" i="49"/>
  <c r="Q1193" i="49" s="1"/>
  <c r="J1194" i="49"/>
  <c r="Q1194" i="49" s="1"/>
  <c r="J4775" i="49"/>
  <c r="Q4775" i="49" s="1"/>
  <c r="J751" i="46"/>
  <c r="J4707" i="49"/>
  <c r="Q4707" i="49" s="1"/>
  <c r="J354" i="46"/>
  <c r="J2332" i="49"/>
  <c r="Q2332" i="49" s="1"/>
  <c r="J2333" i="49"/>
  <c r="Q2333" i="49" s="1"/>
  <c r="J162" i="46"/>
  <c r="J1176" i="49"/>
  <c r="Q1176" i="49" s="1"/>
  <c r="J1177" i="49"/>
  <c r="Q1177" i="49"/>
  <c r="J83" i="46"/>
  <c r="J613" i="46"/>
  <c r="J3932" i="49"/>
  <c r="Q3932" i="49" s="1"/>
  <c r="J1516" i="49"/>
  <c r="Q1516" i="49" s="1"/>
  <c r="J1517" i="49"/>
  <c r="Q1517" i="49" s="1"/>
  <c r="J4163" i="49"/>
  <c r="Q4163" i="49" s="1"/>
  <c r="J4078" i="49"/>
  <c r="Q4078" i="49"/>
  <c r="J116" i="46"/>
  <c r="J2183" i="49"/>
  <c r="Q2183" i="49"/>
  <c r="J121" i="46"/>
  <c r="J945" i="49"/>
  <c r="Q945" i="49" s="1"/>
  <c r="J1944" i="49"/>
  <c r="Q1944" i="49" s="1"/>
  <c r="J2531" i="49"/>
  <c r="Q2531" i="49" s="1"/>
  <c r="J3400" i="49"/>
  <c r="Q3400" i="49" s="1"/>
  <c r="J3976" i="49"/>
  <c r="Q3976" i="49" s="1"/>
  <c r="J797" i="49"/>
  <c r="Q797" i="49" s="1"/>
  <c r="J3975" i="49"/>
  <c r="Q3975" i="49" s="1"/>
  <c r="Q3677" i="49"/>
  <c r="J3677" i="49"/>
  <c r="J2349" i="49"/>
  <c r="Q2349" i="49" s="1"/>
  <c r="J2350" i="49"/>
  <c r="Q2350" i="49" s="1"/>
  <c r="J3818" i="49"/>
  <c r="Q3818" i="49" s="1"/>
  <c r="J4146" i="49"/>
  <c r="Q4146" i="49" s="1"/>
  <c r="Q2663" i="49"/>
  <c r="J2663" i="49"/>
  <c r="J5013" i="49"/>
  <c r="Q5013" i="49" s="1"/>
  <c r="J4826" i="49"/>
  <c r="Q4826" i="49" s="1"/>
  <c r="J4724" i="49"/>
  <c r="Q4724" i="49" s="1"/>
  <c r="J3035" i="49"/>
  <c r="Q3035" i="49" s="1"/>
  <c r="J1077" i="49"/>
  <c r="Q1077" i="49" s="1"/>
  <c r="J2530" i="49"/>
  <c r="Q2530" i="49" s="1"/>
  <c r="J3398" i="49"/>
  <c r="Q3398" i="49" s="1"/>
  <c r="J4258" i="49"/>
  <c r="Q4258" i="49" s="1"/>
  <c r="J493" i="46"/>
  <c r="J3192" i="49"/>
  <c r="Q3192" i="49" s="1"/>
  <c r="J3198" i="49"/>
  <c r="Q3198" i="49" s="1"/>
  <c r="J5106" i="49"/>
  <c r="Q5106" i="49" s="1"/>
  <c r="Q2216" i="49"/>
  <c r="J2216" i="49"/>
  <c r="J4206" i="49"/>
  <c r="Q4206" i="49" s="1"/>
  <c r="J2168" i="49"/>
  <c r="Q2168" i="49" s="1"/>
  <c r="J5030" i="49"/>
  <c r="Q5030" i="49" s="1"/>
  <c r="J783" i="46"/>
  <c r="J4928" i="49"/>
  <c r="Q4928" i="49" s="1"/>
  <c r="J607" i="49"/>
  <c r="Q607" i="49"/>
  <c r="J4690" i="49"/>
  <c r="Q4690" i="49" s="1"/>
  <c r="J735" i="46"/>
  <c r="J4639" i="49"/>
  <c r="Q4639" i="49"/>
  <c r="J2794" i="49"/>
  <c r="Q2794" i="49" s="1"/>
  <c r="J1086" i="49"/>
  <c r="Q1086" i="49" s="1"/>
  <c r="J3102" i="49"/>
  <c r="Q3102" i="49" s="1"/>
  <c r="J4835" i="49"/>
  <c r="Q4835" i="49"/>
  <c r="J4833" i="49"/>
  <c r="Q4833" i="49" s="1"/>
  <c r="J1482" i="49"/>
  <c r="Q1482" i="49" s="1"/>
  <c r="J1483" i="49"/>
  <c r="Q1483" i="49" s="1"/>
  <c r="J815" i="46"/>
  <c r="J5098" i="49"/>
  <c r="Q5098" i="49" s="1"/>
  <c r="Q4979" i="49"/>
  <c r="J4979" i="49"/>
  <c r="J4741" i="49"/>
  <c r="Q4741" i="49" s="1"/>
  <c r="J3383" i="49"/>
  <c r="Q3383" i="49" s="1"/>
  <c r="J3382" i="49"/>
  <c r="Q3382" i="49" s="1"/>
  <c r="J3384" i="49"/>
  <c r="Q3384" i="49" s="1"/>
  <c r="J3339" i="49"/>
  <c r="Q3339" i="49" s="1"/>
  <c r="J210" i="46"/>
  <c r="J1465" i="49"/>
  <c r="Q1465" i="49" s="1"/>
  <c r="J1466" i="49"/>
  <c r="Q1466" i="49" s="1"/>
  <c r="J1664" i="49"/>
  <c r="Q1664" i="49" s="1"/>
  <c r="J2524" i="49"/>
  <c r="Q2524" i="49" s="1"/>
  <c r="J2235" i="49"/>
  <c r="Q2235" i="49" s="1"/>
  <c r="J3397" i="49"/>
  <c r="Q3397" i="49"/>
  <c r="J3680" i="49"/>
  <c r="Q3680" i="49" s="1"/>
  <c r="J4843" i="49"/>
  <c r="Q4843" i="49"/>
  <c r="J2357" i="49"/>
  <c r="Q2357" i="49" s="1"/>
  <c r="J2505" i="49"/>
  <c r="Q2505" i="49"/>
  <c r="J1896" i="49"/>
  <c r="Q1896" i="49" s="1"/>
  <c r="J3083" i="49"/>
  <c r="Q3083" i="49" s="1"/>
  <c r="J4248" i="49"/>
  <c r="Q4248" i="49" s="1"/>
  <c r="J2086" i="49"/>
  <c r="Q2086" i="49" s="1"/>
  <c r="Q1926" i="49"/>
  <c r="J1926" i="49"/>
  <c r="J5064" i="49"/>
  <c r="Q5064" i="49" s="1"/>
  <c r="J5058" i="49"/>
  <c r="Q5058" i="49" s="1"/>
  <c r="J579" i="46"/>
  <c r="J306" i="46"/>
  <c r="J2043" i="49"/>
  <c r="Q2043" i="49"/>
  <c r="J2044" i="49"/>
  <c r="Q2044" i="49" s="1"/>
  <c r="J217" i="46"/>
  <c r="J1523" i="49"/>
  <c r="Q1523" i="49" s="1"/>
  <c r="Q3793" i="49"/>
  <c r="J3793" i="49"/>
  <c r="J3787" i="49"/>
  <c r="Q3787" i="49" s="1"/>
  <c r="J1499" i="49"/>
  <c r="Q1499" i="49" s="1"/>
  <c r="Q1500" i="49"/>
  <c r="J1500" i="49"/>
  <c r="J4792" i="49"/>
  <c r="Q4792" i="49" s="1"/>
  <c r="J896" i="49"/>
  <c r="Q896" i="49" s="1"/>
  <c r="J2746" i="49"/>
  <c r="Q2746" i="49" s="1"/>
  <c r="J3050" i="49"/>
  <c r="Q3050" i="49" s="1"/>
  <c r="J4834" i="49"/>
  <c r="Q4834" i="49" s="1"/>
  <c r="J28" i="46"/>
  <c r="J1210" i="49"/>
  <c r="Q1210" i="49" s="1"/>
  <c r="J1211" i="49"/>
  <c r="Q1211" i="49" s="1"/>
  <c r="J68" i="46"/>
  <c r="J913" i="49"/>
  <c r="Q913" i="49" s="1"/>
  <c r="J1089" i="49"/>
  <c r="Q1089" i="49" s="1"/>
  <c r="Q1087" i="49"/>
  <c r="J1087" i="49"/>
  <c r="J1088" i="49"/>
  <c r="Q1088" i="49" s="1"/>
  <c r="J1375" i="49"/>
  <c r="Q1375" i="49" s="1"/>
  <c r="J2819" i="49"/>
  <c r="Q2819" i="49" s="1"/>
  <c r="J3391" i="49"/>
  <c r="Q3391" i="49"/>
  <c r="J3399" i="49"/>
  <c r="Q3399" i="49"/>
  <c r="J4265" i="49"/>
  <c r="Q4265" i="49" s="1"/>
  <c r="J3950" i="49"/>
  <c r="Q3950" i="49" s="1"/>
  <c r="J589" i="46"/>
  <c r="Q3776" i="49"/>
  <c r="J3776" i="49"/>
  <c r="J3770" i="49"/>
  <c r="Q3770" i="49" s="1"/>
  <c r="J4180" i="49"/>
  <c r="Q4180" i="49" s="1"/>
  <c r="J2077" i="49"/>
  <c r="Q2077" i="49" s="1"/>
  <c r="J2078" i="49"/>
  <c r="Q2078" i="49" s="1"/>
  <c r="J781" i="49"/>
  <c r="Q781" i="49" s="1"/>
  <c r="Q783" i="49"/>
  <c r="J783" i="49"/>
  <c r="Q782" i="49"/>
  <c r="J782" i="49"/>
  <c r="J4945" i="49"/>
  <c r="Q4945" i="49" s="1"/>
  <c r="J4673" i="49"/>
  <c r="Q4673" i="49" s="1"/>
  <c r="J568" i="46"/>
  <c r="J3647" i="49"/>
  <c r="Q3647" i="49" s="1"/>
  <c r="O10" i="39"/>
  <c r="J135" i="46"/>
  <c r="Q1044" i="49"/>
  <c r="J1044" i="49"/>
  <c r="Q3233" i="49"/>
  <c r="J3233" i="49"/>
  <c r="J3234" i="49"/>
  <c r="Q3234" i="49" s="1"/>
  <c r="K74" i="13"/>
  <c r="J64" i="15" s="1"/>
  <c r="J76" i="15" s="1"/>
  <c r="J77" i="15" s="1"/>
  <c r="I7" i="14"/>
  <c r="Q45" i="26"/>
  <c r="Q73" i="26"/>
  <c r="O41" i="22"/>
  <c r="F67" i="17"/>
  <c r="F68" i="17" s="1"/>
  <c r="P21" i="19"/>
  <c r="P22" i="19" s="1"/>
  <c r="P24" i="19" s="1"/>
  <c r="H67" i="17"/>
  <c r="H68" i="17" s="1"/>
  <c r="J82" i="13"/>
  <c r="I64" i="23" s="1"/>
  <c r="H87" i="14"/>
  <c r="P21" i="15"/>
  <c r="P22" i="15" s="1"/>
  <c r="P24" i="15" s="1"/>
  <c r="P41" i="15" s="1"/>
  <c r="P21" i="16"/>
  <c r="P22" i="16" s="1"/>
  <c r="P24" i="16" s="1"/>
  <c r="H67" i="21"/>
  <c r="H68" i="21" s="1"/>
  <c r="O41" i="24"/>
  <c r="I67" i="15"/>
  <c r="I68" i="15" s="1"/>
  <c r="O41" i="15"/>
  <c r="O41" i="21"/>
  <c r="O41" i="31"/>
  <c r="O41" i="23"/>
  <c r="F67" i="16"/>
  <c r="F68" i="16" s="1"/>
  <c r="O41" i="25"/>
  <c r="U163" i="14"/>
  <c r="X117" i="13"/>
  <c r="I117" i="13"/>
  <c r="H61" i="30" s="1"/>
  <c r="F163" i="14"/>
  <c r="Q32" i="8"/>
  <c r="Q23" i="8"/>
  <c r="W114" i="13"/>
  <c r="T133" i="14"/>
  <c r="G128" i="14"/>
  <c r="O41" i="28"/>
  <c r="E67" i="23"/>
  <c r="E68" i="23" s="1"/>
  <c r="Q82" i="25"/>
  <c r="Q85" i="25"/>
  <c r="Q80" i="25"/>
  <c r="Q79" i="25"/>
  <c r="J84" i="13"/>
  <c r="I64" i="25" s="1"/>
  <c r="H107" i="14"/>
  <c r="E76" i="31"/>
  <c r="E77" i="31" s="1"/>
  <c r="I118" i="13"/>
  <c r="H61" i="31" s="1"/>
  <c r="F173" i="14"/>
  <c r="R61" i="15"/>
  <c r="R35" i="15"/>
  <c r="R31" i="15"/>
  <c r="R27" i="15"/>
  <c r="R17" i="15"/>
  <c r="R13" i="15"/>
  <c r="R62" i="15"/>
  <c r="R36" i="15"/>
  <c r="R32" i="15"/>
  <c r="R28" i="15"/>
  <c r="R18" i="15"/>
  <c r="R14" i="15"/>
  <c r="R72" i="15"/>
  <c r="R33" i="15"/>
  <c r="S12" i="15"/>
  <c r="R44" i="15"/>
  <c r="R15" i="15"/>
  <c r="R37" i="15"/>
  <c r="R16" i="15"/>
  <c r="R29" i="15"/>
  <c r="R23" i="15"/>
  <c r="R30" i="15"/>
  <c r="R38" i="15"/>
  <c r="R34" i="15"/>
  <c r="H14" i="14"/>
  <c r="K46" i="13" s="1"/>
  <c r="J48" i="15" s="1"/>
  <c r="R61" i="22"/>
  <c r="R35" i="22"/>
  <c r="R31" i="22"/>
  <c r="R27" i="22"/>
  <c r="R17" i="22"/>
  <c r="R13" i="22"/>
  <c r="R62" i="22"/>
  <c r="R36" i="22"/>
  <c r="R32" i="22"/>
  <c r="R28" i="22"/>
  <c r="R18" i="22"/>
  <c r="R14" i="22"/>
  <c r="R29" i="22"/>
  <c r="R44" i="22"/>
  <c r="R16" i="22"/>
  <c r="R33" i="22"/>
  <c r="R37" i="22"/>
  <c r="R72" i="22"/>
  <c r="R38" i="22"/>
  <c r="R15" i="22"/>
  <c r="R23" i="22"/>
  <c r="S12" i="22"/>
  <c r="R30" i="22"/>
  <c r="R34" i="22"/>
  <c r="H48" i="14"/>
  <c r="H49" i="14"/>
  <c r="H50" i="14" s="1"/>
  <c r="G67" i="23"/>
  <c r="G68" i="23" s="1"/>
  <c r="Q21" i="20"/>
  <c r="Q22" i="20" s="1"/>
  <c r="Q24" i="20" s="1"/>
  <c r="C144" i="14"/>
  <c r="F59" i="13" s="1"/>
  <c r="E48" i="28" s="1"/>
  <c r="N115" i="13"/>
  <c r="M61" i="28" s="1"/>
  <c r="K143" i="14"/>
  <c r="E143" i="14"/>
  <c r="H115" i="13"/>
  <c r="G61" i="28" s="1"/>
  <c r="U143" i="14"/>
  <c r="X115" i="13"/>
  <c r="R36" i="29"/>
  <c r="R31" i="29"/>
  <c r="R28" i="29"/>
  <c r="R23" i="29"/>
  <c r="R17" i="29"/>
  <c r="R14" i="29"/>
  <c r="R44" i="29"/>
  <c r="R72" i="29"/>
  <c r="R32" i="29"/>
  <c r="R38" i="29"/>
  <c r="R34" i="29"/>
  <c r="R30" i="29"/>
  <c r="R18" i="29"/>
  <c r="R16" i="29"/>
  <c r="R27" i="29"/>
  <c r="R15" i="29"/>
  <c r="R13" i="29"/>
  <c r="R33" i="29"/>
  <c r="R35" i="29"/>
  <c r="R29" i="29"/>
  <c r="R37" i="29"/>
  <c r="S12" i="29"/>
  <c r="R47" i="29"/>
  <c r="R66" i="29"/>
  <c r="R75" i="29"/>
  <c r="R43" i="29"/>
  <c r="R60" i="29"/>
  <c r="Q19" i="21"/>
  <c r="Q20" i="21" s="1"/>
  <c r="N73" i="16"/>
  <c r="N45" i="16"/>
  <c r="G54" i="16"/>
  <c r="G56" i="16" s="1"/>
  <c r="Q19" i="28"/>
  <c r="Y35" i="13"/>
  <c r="U118" i="13"/>
  <c r="R173" i="14"/>
  <c r="U171" i="14"/>
  <c r="Q20" i="15"/>
  <c r="N45" i="27"/>
  <c r="N73" i="27"/>
  <c r="W117" i="13"/>
  <c r="T163" i="14"/>
  <c r="Q13" i="8"/>
  <c r="Q29" i="8"/>
  <c r="T23" i="14"/>
  <c r="W103" i="13"/>
  <c r="G94" i="14"/>
  <c r="J54" i="13" s="1"/>
  <c r="I48" i="23" s="1"/>
  <c r="Q82" i="27"/>
  <c r="Q80" i="27"/>
  <c r="Q85" i="27"/>
  <c r="Q79" i="27"/>
  <c r="E56" i="16"/>
  <c r="Q39" i="22"/>
  <c r="G67" i="17"/>
  <c r="G68" i="17" s="1"/>
  <c r="Q79" i="24"/>
  <c r="Q85" i="24"/>
  <c r="Q82" i="24"/>
  <c r="Q80" i="24"/>
  <c r="I76" i="19"/>
  <c r="I77" i="19" s="1"/>
  <c r="R72" i="24"/>
  <c r="R38" i="24"/>
  <c r="R27" i="24"/>
  <c r="R14" i="24"/>
  <c r="R31" i="24"/>
  <c r="R15" i="24"/>
  <c r="R35" i="24"/>
  <c r="R30" i="24"/>
  <c r="R23" i="24"/>
  <c r="R18" i="24"/>
  <c r="R34" i="24"/>
  <c r="R29" i="24"/>
  <c r="R33" i="24"/>
  <c r="R13" i="24"/>
  <c r="R36" i="24"/>
  <c r="R16" i="24"/>
  <c r="R44" i="24"/>
  <c r="R17" i="24"/>
  <c r="R37" i="24"/>
  <c r="R32" i="24"/>
  <c r="R28" i="24"/>
  <c r="S12" i="24"/>
  <c r="R47" i="24"/>
  <c r="R43" i="24"/>
  <c r="R66" i="24"/>
  <c r="R60" i="24"/>
  <c r="R75" i="24"/>
  <c r="N45" i="23"/>
  <c r="N73" i="23"/>
  <c r="N73" i="19"/>
  <c r="N45" i="19"/>
  <c r="P21" i="25"/>
  <c r="P22" i="25" s="1"/>
  <c r="P24" i="25" s="1"/>
  <c r="S143" i="14"/>
  <c r="V115" i="13"/>
  <c r="O41" i="29"/>
  <c r="Q20" i="31"/>
  <c r="Q39" i="28"/>
  <c r="E173" i="14"/>
  <c r="H118" i="13"/>
  <c r="G61" i="31" s="1"/>
  <c r="L173" i="14"/>
  <c r="O118" i="13"/>
  <c r="N61" i="31" s="1"/>
  <c r="V118" i="13"/>
  <c r="S173" i="14"/>
  <c r="E76" i="30"/>
  <c r="E77" i="30" s="1"/>
  <c r="Q31" i="8"/>
  <c r="Q33" i="8"/>
  <c r="T93" i="14"/>
  <c r="W110" i="13"/>
  <c r="E67" i="17"/>
  <c r="E68" i="17" s="1"/>
  <c r="R19" i="17"/>
  <c r="S80" i="26"/>
  <c r="S85" i="26"/>
  <c r="S79" i="26"/>
  <c r="S82" i="26"/>
  <c r="S39" i="26"/>
  <c r="Q79" i="22"/>
  <c r="Q82" i="22"/>
  <c r="Q80" i="22"/>
  <c r="Q85" i="22"/>
  <c r="S19" i="30"/>
  <c r="S20" i="30" s="1"/>
  <c r="N45" i="22"/>
  <c r="N73" i="22"/>
  <c r="P39" i="8"/>
  <c r="O21" i="8"/>
  <c r="O22" i="8" s="1"/>
  <c r="O24" i="8" s="1"/>
  <c r="B209" i="50"/>
  <c r="Q19" i="19"/>
  <c r="Q20" i="19" s="1"/>
  <c r="R21" i="30"/>
  <c r="R22" i="30" s="1"/>
  <c r="R24" i="30" s="1"/>
  <c r="R41" i="30" s="1"/>
  <c r="Y32" i="13"/>
  <c r="G115" i="13"/>
  <c r="F61" i="28" s="1"/>
  <c r="D143" i="14"/>
  <c r="R72" i="21"/>
  <c r="S12" i="21"/>
  <c r="R44" i="21"/>
  <c r="R29" i="21"/>
  <c r="R16" i="21"/>
  <c r="R14" i="21"/>
  <c r="R31" i="21"/>
  <c r="R33" i="21"/>
  <c r="R18" i="21"/>
  <c r="R35" i="21"/>
  <c r="R37" i="21"/>
  <c r="R13" i="21"/>
  <c r="R32" i="21"/>
  <c r="R36" i="21"/>
  <c r="R23" i="21"/>
  <c r="R62" i="21"/>
  <c r="R30" i="21"/>
  <c r="R27" i="21"/>
  <c r="R38" i="21"/>
  <c r="R17" i="21"/>
  <c r="R61" i="21"/>
  <c r="R63" i="21" s="1"/>
  <c r="R15" i="21"/>
  <c r="R34" i="21"/>
  <c r="R28" i="21"/>
  <c r="R62" i="31"/>
  <c r="R36" i="31"/>
  <c r="R32" i="31"/>
  <c r="R28" i="31"/>
  <c r="R18" i="31"/>
  <c r="R14" i="31"/>
  <c r="R27" i="31"/>
  <c r="R15" i="31"/>
  <c r="R35" i="31"/>
  <c r="R30" i="31"/>
  <c r="R23" i="31"/>
  <c r="R38" i="31"/>
  <c r="R33" i="31"/>
  <c r="R34" i="31"/>
  <c r="R16" i="31"/>
  <c r="R31" i="31"/>
  <c r="R29" i="31"/>
  <c r="S12" i="31"/>
  <c r="R61" i="31"/>
  <c r="R63" i="31" s="1"/>
  <c r="R37" i="31"/>
  <c r="R72" i="31"/>
  <c r="R44" i="31"/>
  <c r="R13" i="31"/>
  <c r="R17" i="31"/>
  <c r="R47" i="31"/>
  <c r="R66" i="31"/>
  <c r="R43" i="31"/>
  <c r="R75" i="31"/>
  <c r="R60" i="31"/>
  <c r="W118" i="13"/>
  <c r="T173" i="14"/>
  <c r="K118" i="13"/>
  <c r="J61" i="31" s="1"/>
  <c r="H173" i="14"/>
  <c r="N73" i="31"/>
  <c r="N45" i="31"/>
  <c r="Q39" i="15"/>
  <c r="C164" i="14"/>
  <c r="F61" i="13" s="1"/>
  <c r="E48" i="30" s="1"/>
  <c r="C163" i="14"/>
  <c r="F117" i="13"/>
  <c r="E61" i="30" s="1"/>
  <c r="D157" i="14"/>
  <c r="Q117" i="13"/>
  <c r="P61" i="30" s="1"/>
  <c r="N163" i="14"/>
  <c r="Q35" i="8"/>
  <c r="Q16" i="8"/>
  <c r="Q37" i="8"/>
  <c r="T13" i="14"/>
  <c r="W102" i="13"/>
  <c r="W109" i="13"/>
  <c r="T83" i="14"/>
  <c r="Q39" i="27"/>
  <c r="O115" i="13"/>
  <c r="N61" i="28" s="1"/>
  <c r="L143" i="14"/>
  <c r="Q143" i="14"/>
  <c r="T115" i="13"/>
  <c r="Q73" i="30"/>
  <c r="Q45" i="30"/>
  <c r="O73" i="20"/>
  <c r="O45" i="20"/>
  <c r="R37" i="23"/>
  <c r="R33" i="23"/>
  <c r="R29" i="23"/>
  <c r="R23" i="23"/>
  <c r="R15" i="23"/>
  <c r="R72" i="23"/>
  <c r="R17" i="23"/>
  <c r="R38" i="23"/>
  <c r="R36" i="23"/>
  <c r="R62" i="23"/>
  <c r="R44" i="23"/>
  <c r="S12" i="23"/>
  <c r="R61" i="23"/>
  <c r="R28" i="23"/>
  <c r="R16" i="23"/>
  <c r="R32" i="23"/>
  <c r="R27" i="23"/>
  <c r="R31" i="23"/>
  <c r="R13" i="23"/>
  <c r="R14" i="23"/>
  <c r="R35" i="23"/>
  <c r="R30" i="23"/>
  <c r="R18" i="23"/>
  <c r="R34" i="23"/>
  <c r="P41" i="17"/>
  <c r="J195" i="49"/>
  <c r="Q195" i="49" s="1"/>
  <c r="L115" i="13"/>
  <c r="K61" i="28" s="1"/>
  <c r="I143" i="14"/>
  <c r="J109" i="49"/>
  <c r="Q109" i="49" s="1"/>
  <c r="H54" i="18"/>
  <c r="H56" i="18" s="1"/>
  <c r="O41" i="19"/>
  <c r="F67" i="23"/>
  <c r="F68" i="23" s="1"/>
  <c r="E76" i="28"/>
  <c r="E77" i="28" s="1"/>
  <c r="N41" i="29"/>
  <c r="O22" i="16"/>
  <c r="O24" i="16" s="1"/>
  <c r="Q39" i="23"/>
  <c r="Q19" i="23"/>
  <c r="Q20" i="23" s="1"/>
  <c r="J80" i="13"/>
  <c r="I64" i="21" s="1"/>
  <c r="H67" i="14"/>
  <c r="J43" i="49"/>
  <c r="Q43" i="49" s="1"/>
  <c r="Q82" i="19"/>
  <c r="Q80" i="19"/>
  <c r="Q85" i="19"/>
  <c r="Q79" i="19"/>
  <c r="Q39" i="19"/>
  <c r="Q115" i="13"/>
  <c r="P61" i="28" s="1"/>
  <c r="N143" i="14"/>
  <c r="P115" i="13"/>
  <c r="O61" i="28" s="1"/>
  <c r="M143" i="14"/>
  <c r="Q82" i="21"/>
  <c r="Q85" i="21"/>
  <c r="Q79" i="21"/>
  <c r="Q80" i="21"/>
  <c r="M45" i="29"/>
  <c r="M73" i="29"/>
  <c r="Q47" i="10"/>
  <c r="M117" i="13"/>
  <c r="L61" i="30" s="1"/>
  <c r="J163" i="14"/>
  <c r="Q30" i="8"/>
  <c r="B12" i="52"/>
  <c r="H9" i="49"/>
  <c r="S19" i="26"/>
  <c r="S20" i="26" s="1"/>
  <c r="J92" i="49"/>
  <c r="Q92" i="49" s="1"/>
  <c r="P21" i="29"/>
  <c r="P22" i="29" s="1"/>
  <c r="P24" i="29" s="1"/>
  <c r="O41" i="27"/>
  <c r="I50" i="21"/>
  <c r="I52" i="21"/>
  <c r="J76" i="13"/>
  <c r="I64" i="17" s="1"/>
  <c r="H27" i="14"/>
  <c r="U24" i="13"/>
  <c r="T24" i="13"/>
  <c r="O143" i="14"/>
  <c r="R115" i="13"/>
  <c r="Q61" i="28" s="1"/>
  <c r="D137" i="14"/>
  <c r="Q19" i="29"/>
  <c r="Q20" i="29" s="1"/>
  <c r="Q39" i="21"/>
  <c r="K8" i="52"/>
  <c r="H158" i="49"/>
  <c r="N41" i="8"/>
  <c r="Q39" i="31"/>
  <c r="R72" i="28"/>
  <c r="R36" i="28"/>
  <c r="R32" i="28"/>
  <c r="R28" i="28"/>
  <c r="R18" i="28"/>
  <c r="R14" i="28"/>
  <c r="R23" i="28"/>
  <c r="S12" i="28"/>
  <c r="R38" i="28"/>
  <c r="R16" i="28"/>
  <c r="R31" i="28"/>
  <c r="R62" i="28"/>
  <c r="R44" i="28"/>
  <c r="R30" i="28"/>
  <c r="R29" i="28"/>
  <c r="R17" i="28"/>
  <c r="R15" i="28"/>
  <c r="R13" i="28"/>
  <c r="R27" i="28"/>
  <c r="R35" i="28"/>
  <c r="R34" i="28"/>
  <c r="R33" i="28"/>
  <c r="R37" i="28"/>
  <c r="R60" i="28"/>
  <c r="R47" i="28"/>
  <c r="R43" i="28"/>
  <c r="R66" i="28"/>
  <c r="R75" i="28"/>
  <c r="N173" i="14"/>
  <c r="Q118" i="13"/>
  <c r="P61" i="31" s="1"/>
  <c r="P173" i="14"/>
  <c r="S118" i="13"/>
  <c r="I173" i="14"/>
  <c r="L118" i="13"/>
  <c r="K61" i="31" s="1"/>
  <c r="S163" i="14"/>
  <c r="V117" i="13"/>
  <c r="G117" i="13"/>
  <c r="F61" i="30" s="1"/>
  <c r="D163" i="14"/>
  <c r="L117" i="13"/>
  <c r="K61" i="30" s="1"/>
  <c r="I163" i="14"/>
  <c r="Q163" i="14"/>
  <c r="T117" i="13"/>
  <c r="S61" i="30" s="1"/>
  <c r="S63" i="30" s="1"/>
  <c r="Q18" i="8"/>
  <c r="Q34" i="8"/>
  <c r="T43" i="14"/>
  <c r="W105" i="13"/>
  <c r="J7" i="49"/>
  <c r="Q7" i="49" s="1"/>
  <c r="Q19" i="27"/>
  <c r="R20" i="17"/>
  <c r="F24" i="14"/>
  <c r="I47" i="13" s="1"/>
  <c r="H48" i="16" s="1"/>
  <c r="N73" i="21"/>
  <c r="N45" i="21"/>
  <c r="I50" i="17"/>
  <c r="I52" i="17"/>
  <c r="O5" i="52"/>
  <c r="D5151" i="49"/>
  <c r="D5149" i="49"/>
  <c r="D5139" i="49"/>
  <c r="D5155" i="49"/>
  <c r="D5148" i="49"/>
  <c r="D5153" i="49"/>
  <c r="D5144" i="49"/>
  <c r="D5147" i="49"/>
  <c r="D5145" i="49"/>
  <c r="D5146" i="49"/>
  <c r="D5141" i="49"/>
  <c r="D5150" i="49"/>
  <c r="D4857" i="49"/>
  <c r="D4854" i="49"/>
  <c r="D5143" i="49"/>
  <c r="D4864" i="49"/>
  <c r="D4861" i="49"/>
  <c r="D4851" i="49"/>
  <c r="D4577" i="49"/>
  <c r="D4571" i="49"/>
  <c r="D4862" i="49"/>
  <c r="D4860" i="49"/>
  <c r="D5154" i="49"/>
  <c r="D4855" i="49"/>
  <c r="D4570" i="49"/>
  <c r="D4561" i="49"/>
  <c r="D4863" i="49"/>
  <c r="D4853" i="49"/>
  <c r="D4850" i="49"/>
  <c r="D4575" i="49"/>
  <c r="D4568" i="49"/>
  <c r="D4565" i="49"/>
  <c r="D4562" i="49"/>
  <c r="D4859" i="49"/>
  <c r="D4856" i="49"/>
  <c r="D4287" i="49"/>
  <c r="D4281" i="49"/>
  <c r="D4275" i="49"/>
  <c r="D5152" i="49"/>
  <c r="D4573" i="49"/>
  <c r="D4280" i="49"/>
  <c r="D4277" i="49"/>
  <c r="D4852" i="49"/>
  <c r="D4563" i="49"/>
  <c r="D4284" i="49"/>
  <c r="D4274" i="49"/>
  <c r="D3994" i="49"/>
  <c r="D3988" i="49"/>
  <c r="D4576" i="49"/>
  <c r="D4286" i="49"/>
  <c r="D4273" i="49"/>
  <c r="D3997" i="49"/>
  <c r="D3987" i="49"/>
  <c r="D3984" i="49"/>
  <c r="D4567" i="49"/>
  <c r="D4564" i="49"/>
  <c r="D4279" i="49"/>
  <c r="D3991" i="49"/>
  <c r="D3710" i="49"/>
  <c r="D3704" i="49"/>
  <c r="D3698" i="49"/>
  <c r="D3416" i="49"/>
  <c r="D3410" i="49"/>
  <c r="D4574" i="49"/>
  <c r="D4276" i="49"/>
  <c r="D5142" i="49"/>
  <c r="D4572" i="49"/>
  <c r="D5140" i="49"/>
  <c r="D4278" i="49"/>
  <c r="D3983" i="49"/>
  <c r="D4272" i="49"/>
  <c r="D4282" i="49"/>
  <c r="D3709" i="49"/>
  <c r="D3706" i="49"/>
  <c r="D3694" i="49"/>
  <c r="D4866" i="49"/>
  <c r="D3990" i="49"/>
  <c r="D3418" i="49"/>
  <c r="D4865" i="49"/>
  <c r="D3992" i="49"/>
  <c r="D3703" i="49"/>
  <c r="D3699" i="49"/>
  <c r="D3414" i="49"/>
  <c r="D3999" i="49"/>
  <c r="D3985" i="49"/>
  <c r="D3695" i="49"/>
  <c r="D3406" i="49"/>
  <c r="D4566" i="49"/>
  <c r="D4285" i="49"/>
  <c r="D3707" i="49"/>
  <c r="D3419" i="49"/>
  <c r="D3702" i="49"/>
  <c r="D3412" i="49"/>
  <c r="D3995" i="49"/>
  <c r="D3697" i="49"/>
  <c r="D3407" i="49"/>
  <c r="D4288" i="49"/>
  <c r="D3998" i="49"/>
  <c r="D3130" i="49"/>
  <c r="D3124" i="49"/>
  <c r="D3118" i="49"/>
  <c r="D2842" i="49"/>
  <c r="D2836" i="49"/>
  <c r="D2830" i="49"/>
  <c r="D3701" i="49"/>
  <c r="D4569" i="49"/>
  <c r="D3708" i="49"/>
  <c r="D3123" i="49"/>
  <c r="D3120" i="49"/>
  <c r="D3993" i="49"/>
  <c r="D3411" i="49"/>
  <c r="D3409" i="49"/>
  <c r="D3421" i="49"/>
  <c r="D3127" i="49"/>
  <c r="D3117" i="49"/>
  <c r="D3989" i="49"/>
  <c r="D3696" i="49"/>
  <c r="D3417" i="49"/>
  <c r="D3405" i="49"/>
  <c r="D3131" i="49"/>
  <c r="D3121" i="49"/>
  <c r="D3705" i="49"/>
  <c r="D3132" i="49"/>
  <c r="D3119" i="49"/>
  <c r="D2551" i="49"/>
  <c r="D2545" i="49"/>
  <c r="D2539" i="49"/>
  <c r="D2841" i="49"/>
  <c r="D2839" i="49"/>
  <c r="D2834" i="49"/>
  <c r="D2827" i="49"/>
  <c r="D3125" i="49"/>
  <c r="D2832" i="49"/>
  <c r="D2552" i="49"/>
  <c r="D2546" i="49"/>
  <c r="D2540" i="49"/>
  <c r="D2264" i="49"/>
  <c r="D2258" i="49"/>
  <c r="D2252" i="49"/>
  <c r="D1976" i="49"/>
  <c r="D1970" i="49"/>
  <c r="D1964" i="49"/>
  <c r="D3415" i="49"/>
  <c r="D2553" i="49"/>
  <c r="D2547" i="49"/>
  <c r="D2541" i="49"/>
  <c r="D2265" i="49"/>
  <c r="D2259" i="49"/>
  <c r="D2253" i="49"/>
  <c r="D1971" i="49"/>
  <c r="D1965" i="49"/>
  <c r="D3996" i="49"/>
  <c r="D2261" i="49"/>
  <c r="D2251" i="49"/>
  <c r="D1968" i="49"/>
  <c r="D3408" i="49"/>
  <c r="D3128" i="49"/>
  <c r="D2833" i="49"/>
  <c r="D2549" i="49"/>
  <c r="D2255" i="49"/>
  <c r="D1975" i="49"/>
  <c r="D1972" i="49"/>
  <c r="D1962" i="49"/>
  <c r="D3116" i="49"/>
  <c r="D2262" i="49"/>
  <c r="D2249" i="49"/>
  <c r="D1969" i="49"/>
  <c r="D1966" i="49"/>
  <c r="D3126" i="49"/>
  <c r="D2828" i="49"/>
  <c r="D1687" i="49"/>
  <c r="D1674" i="49"/>
  <c r="D3986" i="49"/>
  <c r="D2254" i="49"/>
  <c r="D3413" i="49"/>
  <c r="D2838" i="49"/>
  <c r="D2538" i="49"/>
  <c r="D2256" i="49"/>
  <c r="D2548" i="49"/>
  <c r="D1678" i="49"/>
  <c r="D3700" i="49"/>
  <c r="D2843" i="49"/>
  <c r="D2837" i="49"/>
  <c r="D4283" i="49"/>
  <c r="D2550" i="49"/>
  <c r="D2260" i="49"/>
  <c r="D2257" i="49"/>
  <c r="D2831" i="49"/>
  <c r="D2554" i="49"/>
  <c r="D2543" i="49"/>
  <c r="D2263" i="49"/>
  <c r="D1676" i="49"/>
  <c r="D3420" i="49"/>
  <c r="D2542" i="49"/>
  <c r="D1961" i="49"/>
  <c r="D1681" i="49"/>
  <c r="D3122" i="49"/>
  <c r="D2840" i="49"/>
  <c r="D1974" i="49"/>
  <c r="D1679" i="49"/>
  <c r="D1675" i="49"/>
  <c r="D1673" i="49"/>
  <c r="D1671" i="49"/>
  <c r="D1387" i="49"/>
  <c r="D1383" i="49"/>
  <c r="D1677" i="49"/>
  <c r="D1396" i="49"/>
  <c r="D2835" i="49"/>
  <c r="D1685" i="49"/>
  <c r="D1392" i="49"/>
  <c r="D4858" i="49"/>
  <c r="D1683" i="49"/>
  <c r="D1388" i="49"/>
  <c r="D1384" i="49"/>
  <c r="D1108" i="49"/>
  <c r="D1102" i="49"/>
  <c r="D1096" i="49"/>
  <c r="D820" i="49"/>
  <c r="D814" i="49"/>
  <c r="D808" i="49"/>
  <c r="D2250" i="49"/>
  <c r="D1672" i="49"/>
  <c r="D1393" i="49"/>
  <c r="D1389" i="49"/>
  <c r="D1960" i="49"/>
  <c r="D1682" i="49"/>
  <c r="D2544" i="49"/>
  <c r="D2829" i="49"/>
  <c r="D1680" i="49"/>
  <c r="D1967" i="49"/>
  <c r="D1107" i="49"/>
  <c r="D1104" i="49"/>
  <c r="D1094" i="49"/>
  <c r="D3129" i="49"/>
  <c r="D1684" i="49"/>
  <c r="D1101" i="49"/>
  <c r="D1098" i="49"/>
  <c r="D528" i="49"/>
  <c r="D522" i="49"/>
  <c r="D516" i="49"/>
  <c r="D1973" i="49"/>
  <c r="D1398" i="49"/>
  <c r="D1391" i="49"/>
  <c r="D1386" i="49"/>
  <c r="D819" i="49"/>
  <c r="D816" i="49"/>
  <c r="D806" i="49"/>
  <c r="D1397" i="49"/>
  <c r="D1106" i="49"/>
  <c r="D1103" i="49"/>
  <c r="D1395" i="49"/>
  <c r="D1109" i="49"/>
  <c r="D807" i="49"/>
  <c r="D518" i="49"/>
  <c r="D1095" i="49"/>
  <c r="D531" i="49"/>
  <c r="D240" i="49"/>
  <c r="B240" i="50" s="1"/>
  <c r="D237" i="49"/>
  <c r="B237" i="50" s="1"/>
  <c r="D234" i="49"/>
  <c r="B234" i="50" s="1"/>
  <c r="D231" i="49"/>
  <c r="B231" i="50" s="1"/>
  <c r="D228" i="49"/>
  <c r="B228" i="50" s="1"/>
  <c r="D817" i="49"/>
  <c r="D812" i="49"/>
  <c r="D810" i="49"/>
  <c r="D805" i="49"/>
  <c r="D527" i="49"/>
  <c r="D523" i="49"/>
  <c r="D1963" i="49"/>
  <c r="D1394" i="49"/>
  <c r="D1100" i="49"/>
  <c r="D519" i="49"/>
  <c r="D1105" i="49"/>
  <c r="D524" i="49"/>
  <c r="D241" i="49"/>
  <c r="B241" i="50" s="1"/>
  <c r="D238" i="49"/>
  <c r="B238" i="50" s="1"/>
  <c r="D235" i="49"/>
  <c r="B235" i="50" s="1"/>
  <c r="D232" i="49"/>
  <c r="B232" i="50" s="1"/>
  <c r="D229" i="49"/>
  <c r="B229" i="50" s="1"/>
  <c r="D818" i="49"/>
  <c r="D227" i="49"/>
  <c r="B227" i="50" s="1"/>
  <c r="D1382" i="49"/>
  <c r="D809" i="49"/>
  <c r="D515" i="49"/>
  <c r="D242" i="49"/>
  <c r="B242" i="50" s="1"/>
  <c r="D1390" i="49"/>
  <c r="D1099" i="49"/>
  <c r="D230" i="49"/>
  <c r="B230" i="50" s="1"/>
  <c r="D804" i="49"/>
  <c r="D525" i="49"/>
  <c r="D239" i="49"/>
  <c r="B239" i="50" s="1"/>
  <c r="D1097" i="49"/>
  <c r="D226" i="49"/>
  <c r="B226" i="50" s="1"/>
  <c r="D813" i="49"/>
  <c r="D530" i="49"/>
  <c r="D1093" i="49"/>
  <c r="D811" i="49"/>
  <c r="D526" i="49"/>
  <c r="D1686" i="49"/>
  <c r="D1385" i="49"/>
  <c r="D521" i="49"/>
  <c r="D517" i="49"/>
  <c r="D233" i="49"/>
  <c r="B233" i="50" s="1"/>
  <c r="D520" i="49"/>
  <c r="D529" i="49"/>
  <c r="D236" i="49"/>
  <c r="B236" i="50" s="1"/>
  <c r="D815" i="49"/>
  <c r="S12" i="8"/>
  <c r="R72" i="8"/>
  <c r="R47" i="8"/>
  <c r="R43" i="8"/>
  <c r="P21" i="21"/>
  <c r="P22" i="21" s="1"/>
  <c r="P24" i="21" s="1"/>
  <c r="H50" i="27"/>
  <c r="H52" i="27"/>
  <c r="Q63" i="19"/>
  <c r="G143" i="14"/>
  <c r="J115" i="13"/>
  <c r="I61" i="28" s="1"/>
  <c r="J143" i="14"/>
  <c r="M115" i="13"/>
  <c r="L61" i="28" s="1"/>
  <c r="Q63" i="21"/>
  <c r="H54" i="23"/>
  <c r="H56" i="23" s="1"/>
  <c r="U172" i="14"/>
  <c r="X146" i="13" s="1"/>
  <c r="F118" i="13"/>
  <c r="E61" i="31" s="1"/>
  <c r="C173" i="14"/>
  <c r="Q63" i="15"/>
  <c r="Q39" i="16"/>
  <c r="Q27" i="8"/>
  <c r="Q38" i="8"/>
  <c r="W112" i="13"/>
  <c r="T113" i="14"/>
  <c r="T33" i="14"/>
  <c r="W104" i="13"/>
  <c r="J60" i="49"/>
  <c r="Q60" i="49" s="1"/>
  <c r="S44" i="20"/>
  <c r="S31" i="20"/>
  <c r="S18" i="20"/>
  <c r="S16" i="20"/>
  <c r="S33" i="20"/>
  <c r="S35" i="20"/>
  <c r="S37" i="20"/>
  <c r="S28" i="20"/>
  <c r="S13" i="20"/>
  <c r="S15" i="20"/>
  <c r="S29" i="20"/>
  <c r="S32" i="20"/>
  <c r="S72" i="20"/>
  <c r="S30" i="20"/>
  <c r="S14" i="20"/>
  <c r="S19" i="20" s="1"/>
  <c r="S36" i="20"/>
  <c r="S27" i="20"/>
  <c r="S23" i="20"/>
  <c r="S34" i="20"/>
  <c r="S38" i="20"/>
  <c r="S17" i="20"/>
  <c r="T12" i="20"/>
  <c r="S66" i="20"/>
  <c r="S75" i="20"/>
  <c r="S47" i="20"/>
  <c r="S43" i="20"/>
  <c r="S60" i="20"/>
  <c r="R72" i="27"/>
  <c r="S12" i="27"/>
  <c r="R36" i="27"/>
  <c r="R61" i="27"/>
  <c r="R38" i="27"/>
  <c r="R27" i="27"/>
  <c r="R23" i="27"/>
  <c r="R44" i="27"/>
  <c r="R31" i="27"/>
  <c r="R29" i="27"/>
  <c r="R16" i="27"/>
  <c r="R15" i="27"/>
  <c r="R14" i="27"/>
  <c r="R37" i="27"/>
  <c r="R13" i="27"/>
  <c r="R35" i="27"/>
  <c r="R34" i="27"/>
  <c r="R33" i="27"/>
  <c r="R28" i="27"/>
  <c r="R18" i="27"/>
  <c r="R62" i="27"/>
  <c r="R32" i="27"/>
  <c r="R17" i="27"/>
  <c r="R30" i="27"/>
  <c r="S79" i="30"/>
  <c r="S85" i="30"/>
  <c r="S80" i="30"/>
  <c r="S82" i="30"/>
  <c r="Q81" i="8"/>
  <c r="Q86" i="8"/>
  <c r="Q83" i="8"/>
  <c r="Q79" i="8"/>
  <c r="Q21" i="24"/>
  <c r="Q22" i="24"/>
  <c r="Q24" i="24" s="1"/>
  <c r="I12" i="52"/>
  <c r="H128" i="49"/>
  <c r="E67" i="25"/>
  <c r="E68" i="25" s="1"/>
  <c r="N73" i="28"/>
  <c r="N45" i="28"/>
  <c r="P19" i="8"/>
  <c r="P20" i="8" s="1"/>
  <c r="R118" i="13"/>
  <c r="Q61" i="31" s="1"/>
  <c r="O173" i="14"/>
  <c r="G163" i="14"/>
  <c r="J117" i="13"/>
  <c r="I61" i="30" s="1"/>
  <c r="R117" i="13"/>
  <c r="Q61" i="30" s="1"/>
  <c r="O163" i="14"/>
  <c r="Q36" i="8"/>
  <c r="Q44" i="8"/>
  <c r="H50" i="22"/>
  <c r="H52" i="22"/>
  <c r="R39" i="17"/>
  <c r="S62" i="17"/>
  <c r="S36" i="17"/>
  <c r="S32" i="17"/>
  <c r="S28" i="17"/>
  <c r="S18" i="17"/>
  <c r="S14" i="17"/>
  <c r="S37" i="17"/>
  <c r="S33" i="17"/>
  <c r="S29" i="17"/>
  <c r="S23" i="17"/>
  <c r="S15" i="17"/>
  <c r="S72" i="17"/>
  <c r="T12" i="17"/>
  <c r="S38" i="17"/>
  <c r="S30" i="17"/>
  <c r="S35" i="17"/>
  <c r="S31" i="17"/>
  <c r="S44" i="17"/>
  <c r="S34" i="17"/>
  <c r="S16" i="17"/>
  <c r="S13" i="17"/>
  <c r="S61" i="17"/>
  <c r="S17" i="17"/>
  <c r="S27" i="17"/>
  <c r="P22" i="23"/>
  <c r="P24" i="23" s="1"/>
  <c r="P21" i="23"/>
  <c r="C12" i="52"/>
  <c r="H26" i="49"/>
  <c r="Q19" i="22"/>
  <c r="Q20" i="22" s="1"/>
  <c r="T44" i="30"/>
  <c r="T37" i="30"/>
  <c r="T32" i="30"/>
  <c r="T15" i="30"/>
  <c r="T30" i="30"/>
  <c r="T23" i="30"/>
  <c r="T18" i="30"/>
  <c r="T13" i="30"/>
  <c r="T27" i="30"/>
  <c r="T16" i="30"/>
  <c r="T34" i="30"/>
  <c r="T62" i="30"/>
  <c r="T36" i="30"/>
  <c r="T31" i="30"/>
  <c r="U12" i="30"/>
  <c r="T72" i="30"/>
  <c r="T38" i="30"/>
  <c r="T33" i="30"/>
  <c r="T14" i="30"/>
  <c r="T28" i="30"/>
  <c r="T35" i="30"/>
  <c r="T29" i="30"/>
  <c r="T17" i="30"/>
  <c r="T75" i="30"/>
  <c r="T47" i="30"/>
  <c r="T43" i="30"/>
  <c r="T60" i="30"/>
  <c r="T66" i="30"/>
  <c r="S39" i="30"/>
  <c r="R21" i="26"/>
  <c r="R22" i="26" s="1"/>
  <c r="R24" i="26" s="1"/>
  <c r="R41" i="26" s="1"/>
  <c r="Q80" i="23"/>
  <c r="Q85" i="23"/>
  <c r="Q79" i="23"/>
  <c r="Q82" i="23"/>
  <c r="P21" i="31"/>
  <c r="P22" i="31"/>
  <c r="P24" i="31" s="1"/>
  <c r="J159" i="49"/>
  <c r="Q159" i="49" s="1"/>
  <c r="W115" i="13"/>
  <c r="T143" i="14"/>
  <c r="V33" i="13"/>
  <c r="P21" i="27"/>
  <c r="P22" i="27"/>
  <c r="P24" i="27" s="1"/>
  <c r="Q39" i="25"/>
  <c r="Q5" i="49"/>
  <c r="G118" i="13"/>
  <c r="F61" i="31" s="1"/>
  <c r="D173" i="14"/>
  <c r="T118" i="13"/>
  <c r="Q173" i="14"/>
  <c r="F158" i="14"/>
  <c r="F159" i="14" s="1"/>
  <c r="F160" i="14" s="1"/>
  <c r="Q28" i="8"/>
  <c r="T53" i="14"/>
  <c r="W106" i="13"/>
  <c r="R39" i="20"/>
  <c r="R20" i="20"/>
  <c r="N45" i="25"/>
  <c r="N73" i="25"/>
  <c r="R63" i="17"/>
  <c r="L9" i="52"/>
  <c r="H176" i="49"/>
  <c r="G54" i="22"/>
  <c r="G56" i="22"/>
  <c r="Q39" i="24"/>
  <c r="J126" i="49"/>
  <c r="Q126" i="49" s="1"/>
  <c r="I75" i="13"/>
  <c r="H64" i="16" s="1"/>
  <c r="G17" i="14"/>
  <c r="P21" i="28"/>
  <c r="P22" i="28" s="1"/>
  <c r="P24" i="28" s="1"/>
  <c r="H143" i="14"/>
  <c r="K115" i="13"/>
  <c r="J61" i="28" s="1"/>
  <c r="G138" i="14"/>
  <c r="G139" i="14" s="1"/>
  <c r="G140" i="14" s="1"/>
  <c r="R143" i="14"/>
  <c r="U115" i="13"/>
  <c r="C143" i="14"/>
  <c r="F115" i="13"/>
  <c r="E61" i="28" s="1"/>
  <c r="Q80" i="29"/>
  <c r="Q85" i="29"/>
  <c r="Q82" i="29"/>
  <c r="Q79" i="29"/>
  <c r="J77" i="49"/>
  <c r="Q77" i="49" s="1"/>
  <c r="Q85" i="31"/>
  <c r="Q82" i="31"/>
  <c r="Q80" i="31"/>
  <c r="Q79" i="31"/>
  <c r="Q79" i="28"/>
  <c r="Q82" i="28"/>
  <c r="Q85" i="28"/>
  <c r="Q80" i="28"/>
  <c r="L122" i="14"/>
  <c r="O141" i="13" s="1"/>
  <c r="N62" i="26" s="1"/>
  <c r="U121" i="14"/>
  <c r="I121" i="14"/>
  <c r="T122" i="14"/>
  <c r="W141" i="13" s="1"/>
  <c r="H122" i="14"/>
  <c r="K141" i="13" s="1"/>
  <c r="J62" i="26" s="1"/>
  <c r="Q121" i="14"/>
  <c r="E121" i="14"/>
  <c r="S122" i="14"/>
  <c r="V141" i="13" s="1"/>
  <c r="E122" i="14"/>
  <c r="H141" i="13" s="1"/>
  <c r="G62" i="26" s="1"/>
  <c r="R122" i="14"/>
  <c r="U141" i="13" s="1"/>
  <c r="D122" i="14"/>
  <c r="G141" i="13" s="1"/>
  <c r="F62" i="26" s="1"/>
  <c r="K121" i="14"/>
  <c r="P122" i="14"/>
  <c r="S141" i="13" s="1"/>
  <c r="R62" i="26" s="1"/>
  <c r="H121" i="14"/>
  <c r="N122" i="14"/>
  <c r="Q141" i="13" s="1"/>
  <c r="P62" i="26" s="1"/>
  <c r="T121" i="14"/>
  <c r="F121" i="14"/>
  <c r="J122" i="14"/>
  <c r="M141" i="13" s="1"/>
  <c r="L62" i="26" s="1"/>
  <c r="P121" i="14"/>
  <c r="G122" i="14"/>
  <c r="J141" i="13" s="1"/>
  <c r="I62" i="26" s="1"/>
  <c r="C121" i="14"/>
  <c r="M117" i="14"/>
  <c r="S121" i="14"/>
  <c r="I122" i="14"/>
  <c r="L141" i="13" s="1"/>
  <c r="K62" i="26" s="1"/>
  <c r="R121" i="14"/>
  <c r="N121" i="14"/>
  <c r="M121" i="14"/>
  <c r="G121" i="14"/>
  <c r="M122" i="14"/>
  <c r="P141" i="13" s="1"/>
  <c r="O62" i="26" s="1"/>
  <c r="X30" i="13"/>
  <c r="K122" i="14"/>
  <c r="N141" i="13" s="1"/>
  <c r="M62" i="26" s="1"/>
  <c r="F122" i="14"/>
  <c r="I141" i="13" s="1"/>
  <c r="H62" i="26" s="1"/>
  <c r="C122" i="14"/>
  <c r="F141" i="13" s="1"/>
  <c r="E62" i="26" s="1"/>
  <c r="U122" i="14"/>
  <c r="X141" i="13" s="1"/>
  <c r="O122" i="14"/>
  <c r="R141" i="13" s="1"/>
  <c r="Q62" i="26" s="1"/>
  <c r="D121" i="14"/>
  <c r="O121" i="14"/>
  <c r="Q122" i="14"/>
  <c r="T141" i="13" s="1"/>
  <c r="S62" i="26" s="1"/>
  <c r="J121" i="14"/>
  <c r="W30" i="13"/>
  <c r="C118" i="14"/>
  <c r="P41" i="20"/>
  <c r="M118" i="13"/>
  <c r="L61" i="31" s="1"/>
  <c r="J173" i="14"/>
  <c r="Q85" i="15"/>
  <c r="Q80" i="15"/>
  <c r="Q82" i="15"/>
  <c r="Q79" i="15"/>
  <c r="L163" i="14"/>
  <c r="O117" i="13"/>
  <c r="N61" i="30" s="1"/>
  <c r="H163" i="14"/>
  <c r="K117" i="13"/>
  <c r="J61" i="30" s="1"/>
  <c r="Q17" i="8"/>
  <c r="R72" i="16"/>
  <c r="S12" i="16"/>
  <c r="R44" i="16"/>
  <c r="R38" i="16"/>
  <c r="R34" i="16"/>
  <c r="R30" i="16"/>
  <c r="R16" i="16"/>
  <c r="R16" i="8" s="1"/>
  <c r="R61" i="16"/>
  <c r="R35" i="16"/>
  <c r="R31" i="16"/>
  <c r="R27" i="16"/>
  <c r="R17" i="16"/>
  <c r="R13" i="16"/>
  <c r="R62" i="16"/>
  <c r="R36" i="16"/>
  <c r="R28" i="16"/>
  <c r="R18" i="16"/>
  <c r="R15" i="16"/>
  <c r="R37" i="16"/>
  <c r="R14" i="16"/>
  <c r="R33" i="16"/>
  <c r="R23" i="16"/>
  <c r="R32" i="16"/>
  <c r="R29" i="16"/>
  <c r="V4" i="14"/>
  <c r="V122" i="14" s="1"/>
  <c r="Y141" i="13" s="1"/>
  <c r="U92" i="14"/>
  <c r="X138" i="13" s="1"/>
  <c r="U11" i="14"/>
  <c r="U51" i="14"/>
  <c r="U41" i="14"/>
  <c r="U12" i="14"/>
  <c r="X130" i="13" s="1"/>
  <c r="U112" i="14"/>
  <c r="X140" i="13" s="1"/>
  <c r="U72" i="14"/>
  <c r="X136" i="13" s="1"/>
  <c r="U82" i="14"/>
  <c r="X137" i="13" s="1"/>
  <c r="U111" i="14"/>
  <c r="U26" i="14"/>
  <c r="U21" i="14"/>
  <c r="U32" i="14"/>
  <c r="X132" i="13" s="1"/>
  <c r="U131" i="14"/>
  <c r="U22" i="14"/>
  <c r="X131" i="13" s="1"/>
  <c r="U31" i="14"/>
  <c r="U52" i="14"/>
  <c r="X134" i="13" s="1"/>
  <c r="U42" i="14"/>
  <c r="X133" i="13" s="1"/>
  <c r="U91" i="14"/>
  <c r="U71" i="14"/>
  <c r="U81" i="14"/>
  <c r="U132" i="14"/>
  <c r="X142" i="13" s="1"/>
  <c r="U106" i="14"/>
  <c r="U46" i="14"/>
  <c r="U86" i="14"/>
  <c r="U6" i="14"/>
  <c r="U166" i="14"/>
  <c r="U156" i="14"/>
  <c r="U146" i="14"/>
  <c r="U66" i="14"/>
  <c r="U96" i="14"/>
  <c r="U16" i="14"/>
  <c r="U36" i="14"/>
  <c r="U56" i="14"/>
  <c r="U136" i="14"/>
  <c r="U116" i="14"/>
  <c r="U126" i="14"/>
  <c r="U76" i="14"/>
  <c r="I81" i="13"/>
  <c r="H64" i="22" s="1"/>
  <c r="H76" i="22" s="1"/>
  <c r="H77" i="22" s="1"/>
  <c r="G77" i="14"/>
  <c r="F11" i="4"/>
  <c r="F82" i="16"/>
  <c r="J10" i="52"/>
  <c r="H143" i="49"/>
  <c r="M73" i="8"/>
  <c r="M45" i="8"/>
  <c r="I50" i="19"/>
  <c r="I52" i="19"/>
  <c r="J178" i="49"/>
  <c r="Q178" i="49" s="1"/>
  <c r="F67" i="27"/>
  <c r="F68" i="27" s="1"/>
  <c r="G12" i="52"/>
  <c r="H94" i="49"/>
  <c r="P21" i="22"/>
  <c r="P22" i="22" s="1"/>
  <c r="P24" i="22" s="1"/>
  <c r="J77" i="13"/>
  <c r="I64" i="18" s="1"/>
  <c r="H37" i="14"/>
  <c r="H12" i="52"/>
  <c r="H111" i="49"/>
  <c r="I50" i="25"/>
  <c r="I52" i="25"/>
  <c r="M173" i="14"/>
  <c r="P118" i="13"/>
  <c r="O61" i="31" s="1"/>
  <c r="D168" i="14"/>
  <c r="D169" i="14"/>
  <c r="D170" i="14" s="1"/>
  <c r="N118" i="13"/>
  <c r="M61" i="31" s="1"/>
  <c r="K173" i="14"/>
  <c r="Q82" i="16"/>
  <c r="Q79" i="16"/>
  <c r="Q80" i="16"/>
  <c r="Q85" i="16"/>
  <c r="R82" i="17"/>
  <c r="R79" i="17"/>
  <c r="R85" i="17"/>
  <c r="R80" i="17"/>
  <c r="T62" i="26"/>
  <c r="T36" i="26"/>
  <c r="T32" i="26"/>
  <c r="T28" i="26"/>
  <c r="T18" i="26"/>
  <c r="T14" i="26"/>
  <c r="T38" i="26"/>
  <c r="T33" i="26"/>
  <c r="T31" i="26"/>
  <c r="T16" i="26"/>
  <c r="T27" i="26"/>
  <c r="T15" i="26"/>
  <c r="T72" i="26"/>
  <c r="T35" i="26"/>
  <c r="T34" i="26"/>
  <c r="T29" i="26"/>
  <c r="T23" i="26"/>
  <c r="T37" i="26"/>
  <c r="U12" i="26"/>
  <c r="T30" i="26"/>
  <c r="T17" i="26"/>
  <c r="T13" i="26"/>
  <c r="T44" i="26"/>
  <c r="T60" i="26"/>
  <c r="T47" i="26"/>
  <c r="T75" i="26"/>
  <c r="T66" i="26"/>
  <c r="T43" i="26"/>
  <c r="N73" i="24"/>
  <c r="N45" i="24"/>
  <c r="S28" i="13"/>
  <c r="J141" i="49"/>
  <c r="Q141" i="49"/>
  <c r="Q20" i="28"/>
  <c r="K163" i="14"/>
  <c r="N117" i="13"/>
  <c r="M61" i="30" s="1"/>
  <c r="Q63" i="16"/>
  <c r="Q63" i="22"/>
  <c r="P21" i="24"/>
  <c r="P22" i="24"/>
  <c r="P24" i="24" s="1"/>
  <c r="F12" i="4"/>
  <c r="F82" i="17"/>
  <c r="J24" i="49"/>
  <c r="Q24" i="49" s="1"/>
  <c r="G44" i="14"/>
  <c r="J49" i="13" s="1"/>
  <c r="I48" i="18" s="1"/>
  <c r="R62" i="19"/>
  <c r="R36" i="19"/>
  <c r="R32" i="19"/>
  <c r="R28" i="19"/>
  <c r="R18" i="19"/>
  <c r="R14" i="19"/>
  <c r="R37" i="19"/>
  <c r="R33" i="19"/>
  <c r="R29" i="19"/>
  <c r="R23" i="19"/>
  <c r="R15" i="19"/>
  <c r="R61" i="19"/>
  <c r="R27" i="19"/>
  <c r="R44" i="19"/>
  <c r="R16" i="19"/>
  <c r="R31" i="19"/>
  <c r="R35" i="19"/>
  <c r="R38" i="19"/>
  <c r="R13" i="19"/>
  <c r="R30" i="19"/>
  <c r="R34" i="19"/>
  <c r="R17" i="19"/>
  <c r="S12" i="19"/>
  <c r="R72" i="19"/>
  <c r="E67" i="27"/>
  <c r="E68" i="27" s="1"/>
  <c r="Q21" i="17"/>
  <c r="Q22" i="17" s="1"/>
  <c r="Q24" i="17" s="1"/>
  <c r="S115" i="13"/>
  <c r="R61" i="28" s="1"/>
  <c r="R63" i="28" s="1"/>
  <c r="P143" i="14"/>
  <c r="Q39" i="29"/>
  <c r="Q19" i="25"/>
  <c r="Q20" i="25" s="1"/>
  <c r="R37" i="25"/>
  <c r="R33" i="25"/>
  <c r="R29" i="25"/>
  <c r="R23" i="25"/>
  <c r="R15" i="25"/>
  <c r="R72" i="25"/>
  <c r="S12" i="25"/>
  <c r="R44" i="25"/>
  <c r="R16" i="25"/>
  <c r="R14" i="25"/>
  <c r="R34" i="25"/>
  <c r="R18" i="25"/>
  <c r="R38" i="25"/>
  <c r="R13" i="25"/>
  <c r="R62" i="25"/>
  <c r="R17" i="25"/>
  <c r="R61" i="25"/>
  <c r="R28" i="25"/>
  <c r="R31" i="25"/>
  <c r="R27" i="25"/>
  <c r="R30" i="25"/>
  <c r="R36" i="25"/>
  <c r="R32" i="25"/>
  <c r="R35" i="25"/>
  <c r="C174" i="14"/>
  <c r="F62" i="13" s="1"/>
  <c r="E48" i="31" s="1"/>
  <c r="H168" i="14"/>
  <c r="H169" i="14"/>
  <c r="H170" i="14" s="1"/>
  <c r="P163" i="14"/>
  <c r="S117" i="13"/>
  <c r="R61" i="30" s="1"/>
  <c r="R63" i="30" s="1"/>
  <c r="U117" i="13"/>
  <c r="T61" i="30" s="1"/>
  <c r="T63" i="30" s="1"/>
  <c r="R163" i="14"/>
  <c r="M163" i="14"/>
  <c r="P117" i="13"/>
  <c r="O61" i="30" s="1"/>
  <c r="Q19" i="16"/>
  <c r="Q20" i="16" s="1"/>
  <c r="Q14" i="8"/>
  <c r="Q15" i="8"/>
  <c r="W108" i="13"/>
  <c r="T73" i="14"/>
  <c r="R79" i="20"/>
  <c r="R80" i="20"/>
  <c r="R82" i="20"/>
  <c r="R85" i="20"/>
  <c r="Q20" i="27"/>
  <c r="O73" i="17"/>
  <c r="O45" i="17"/>
  <c r="S21" i="13"/>
  <c r="E505" i="46"/>
  <c r="H3257" i="49"/>
  <c r="E313" i="46"/>
  <c r="H2101" i="49"/>
  <c r="H2373" i="49"/>
  <c r="H1365" i="49"/>
  <c r="H1348" i="49"/>
  <c r="H2823" i="49"/>
  <c r="H2822" i="49"/>
  <c r="H2821" i="49"/>
  <c r="H3978" i="49"/>
  <c r="H3979" i="49"/>
  <c r="H3977" i="49"/>
  <c r="H1378" i="49"/>
  <c r="H1376" i="49"/>
  <c r="H1377" i="49"/>
  <c r="H1366" i="49"/>
  <c r="Q8" i="51"/>
  <c r="H1333" i="49"/>
  <c r="E183" i="46"/>
  <c r="G8" i="3"/>
  <c r="K11" i="39"/>
  <c r="H2200" i="49"/>
  <c r="K14" i="39"/>
  <c r="E327" i="46"/>
  <c r="G11" i="3"/>
  <c r="H2656" i="49"/>
  <c r="H2655" i="49"/>
  <c r="H4094" i="49"/>
  <c r="H5080" i="49"/>
  <c r="Q11" i="51"/>
  <c r="H5012" i="49"/>
  <c r="H4825" i="49"/>
  <c r="E321" i="46"/>
  <c r="H4480" i="49"/>
  <c r="H5123" i="49"/>
  <c r="H639" i="49"/>
  <c r="H946" i="49"/>
  <c r="E123" i="46"/>
  <c r="H4860" i="49"/>
  <c r="H4859" i="49"/>
  <c r="H1103" i="49"/>
  <c r="H2664" i="49"/>
  <c r="H3585" i="49"/>
  <c r="H4791" i="49"/>
  <c r="H4774" i="49"/>
  <c r="Q15" i="51"/>
  <c r="E147" i="46"/>
  <c r="H1385" i="49"/>
  <c r="E218" i="46"/>
  <c r="H800" i="49"/>
  <c r="H798" i="49"/>
  <c r="H799" i="49"/>
  <c r="H3500" i="49"/>
  <c r="H4723" i="49"/>
  <c r="H1524" i="49"/>
  <c r="E219" i="46"/>
  <c r="H3052" i="49"/>
  <c r="H2778" i="49"/>
  <c r="E423" i="46"/>
  <c r="G13" i="3"/>
  <c r="K16" i="39"/>
  <c r="Q14" i="51"/>
  <c r="H2763" i="49"/>
  <c r="Q21" i="51"/>
  <c r="E644" i="46"/>
  <c r="H2811" i="49"/>
  <c r="H4247" i="49"/>
  <c r="H3414" i="49"/>
  <c r="H3697" i="49"/>
  <c r="H3415" i="49"/>
  <c r="H2548" i="49"/>
  <c r="Q6" i="51"/>
  <c r="H3082" i="49"/>
  <c r="H4757" i="49"/>
  <c r="E122" i="46"/>
  <c r="H4862" i="49"/>
  <c r="H4284" i="49"/>
  <c r="H2261" i="49"/>
  <c r="H5131" i="49"/>
  <c r="H616" i="49"/>
  <c r="H615" i="49"/>
  <c r="Q12" i="51"/>
  <c r="H4213" i="49"/>
  <c r="H4495" i="49"/>
  <c r="H5029" i="49"/>
  <c r="H5150" i="49"/>
  <c r="H3704" i="49"/>
  <c r="H4282" i="49"/>
  <c r="H3408" i="49"/>
  <c r="H1102" i="49"/>
  <c r="H2215" i="49"/>
  <c r="H4927" i="49"/>
  <c r="E782" i="46"/>
  <c r="H2358" i="49"/>
  <c r="H4145" i="49"/>
  <c r="E177" i="46"/>
  <c r="H5063" i="49"/>
  <c r="H3778" i="49"/>
  <c r="H3777" i="49"/>
  <c r="E594" i="46"/>
  <c r="H1046" i="49"/>
  <c r="E136" i="46"/>
  <c r="H2665" i="49"/>
  <c r="H2671" i="49"/>
  <c r="H3670" i="49"/>
  <c r="H2489" i="49"/>
  <c r="K15" i="39"/>
  <c r="G12" i="3"/>
  <c r="E375" i="46"/>
  <c r="E513" i="46"/>
  <c r="E740" i="46"/>
  <c r="H4162" i="49"/>
  <c r="H4230" i="49"/>
  <c r="E670" i="46"/>
  <c r="O19" i="51"/>
  <c r="H2233" i="49"/>
  <c r="H5151" i="49"/>
  <c r="H4281" i="49"/>
  <c r="H2547" i="49"/>
  <c r="H1383" i="49"/>
  <c r="H1096" i="49"/>
  <c r="H1680" i="49"/>
  <c r="H807" i="49"/>
  <c r="R10" i="51"/>
  <c r="H4208" i="49"/>
  <c r="H4706" i="49"/>
  <c r="E750" i="46"/>
  <c r="H2359" i="49"/>
  <c r="H2365" i="49"/>
  <c r="H3602" i="49"/>
  <c r="H2532" i="49"/>
  <c r="H2534" i="49"/>
  <c r="H2533" i="49"/>
  <c r="H5046" i="49"/>
  <c r="O18" i="51"/>
  <c r="H4923" i="49"/>
  <c r="E777" i="46"/>
  <c r="H905" i="49"/>
  <c r="H904" i="49"/>
  <c r="H770" i="49"/>
  <c r="E39" i="46"/>
  <c r="G5" i="3"/>
  <c r="K8" i="39"/>
  <c r="H5090" i="49"/>
  <c r="K24" i="39"/>
  <c r="G21" i="3"/>
  <c r="E807" i="46"/>
  <c r="H3356" i="49"/>
  <c r="K18" i="39"/>
  <c r="E519" i="46"/>
  <c r="G15" i="3"/>
  <c r="H740" i="49"/>
  <c r="E228" i="46"/>
  <c r="H4512" i="49"/>
  <c r="K22" i="39"/>
  <c r="E711" i="46"/>
  <c r="G19" i="3"/>
  <c r="E291" i="46"/>
  <c r="H2639" i="49"/>
  <c r="H2638" i="49"/>
  <c r="H753" i="49"/>
  <c r="E85" i="46"/>
  <c r="H5149" i="49"/>
  <c r="H4275" i="49"/>
  <c r="H3695" i="49"/>
  <c r="H3993" i="49"/>
  <c r="H2541" i="49"/>
  <c r="H4128" i="49"/>
  <c r="E654" i="46"/>
  <c r="H4842" i="49"/>
  <c r="H3100" i="49"/>
  <c r="H3568" i="49"/>
  <c r="H1928" i="49"/>
  <c r="Q9" i="51"/>
  <c r="E788" i="46"/>
  <c r="H2679" i="49"/>
  <c r="E409" i="46"/>
  <c r="H3934" i="49"/>
  <c r="E615" i="46"/>
  <c r="G17" i="3"/>
  <c r="K20" i="39"/>
  <c r="H4863" i="49"/>
  <c r="H5152" i="49"/>
  <c r="H3694" i="49"/>
  <c r="H2837" i="49"/>
  <c r="H1961" i="49"/>
  <c r="H814" i="49"/>
  <c r="H1391" i="49"/>
  <c r="H788" i="49"/>
  <c r="H2793" i="49"/>
  <c r="S20" i="51"/>
  <c r="H3653" i="49"/>
  <c r="E575" i="46"/>
  <c r="H4264" i="49"/>
  <c r="H1106" i="49"/>
  <c r="H4978" i="49"/>
  <c r="H624" i="49"/>
  <c r="H3919" i="49"/>
  <c r="H591" i="49"/>
  <c r="H597" i="49"/>
  <c r="E61" i="46"/>
  <c r="H5075" i="49"/>
  <c r="E314" i="46"/>
  <c r="H4655" i="49"/>
  <c r="H2185" i="49"/>
  <c r="H4853" i="49"/>
  <c r="H3119" i="49"/>
  <c r="H2259" i="49"/>
  <c r="H1674" i="49"/>
  <c r="H4283" i="49"/>
  <c r="H1681" i="49"/>
  <c r="H1104" i="49"/>
  <c r="H1963" i="49"/>
  <c r="H4179" i="49"/>
  <c r="H3551" i="49"/>
  <c r="E559" i="46"/>
  <c r="H3795" i="49"/>
  <c r="H3794" i="49"/>
  <c r="S16" i="51"/>
  <c r="H1234" i="49"/>
  <c r="E169" i="46"/>
  <c r="H4808" i="49"/>
  <c r="E766" i="46"/>
  <c r="Q13" i="51"/>
  <c r="H3696" i="49"/>
  <c r="H2095" i="49"/>
  <c r="H2094" i="49"/>
  <c r="H1913" i="49"/>
  <c r="E280" i="46"/>
  <c r="H2102" i="49"/>
  <c r="E315" i="46"/>
  <c r="H5148" i="49"/>
  <c r="H4861" i="49"/>
  <c r="H4850" i="49"/>
  <c r="H4285" i="49"/>
  <c r="H3986" i="49"/>
  <c r="H1094" i="49"/>
  <c r="H813" i="49"/>
  <c r="H2245" i="49"/>
  <c r="H2243" i="49"/>
  <c r="H2244" i="49"/>
  <c r="H3099" i="49"/>
  <c r="H5105" i="49"/>
  <c r="H3949" i="49"/>
  <c r="H3619" i="49"/>
  <c r="H3687" i="49"/>
  <c r="E506" i="46"/>
  <c r="H4545" i="49"/>
  <c r="H4944" i="49"/>
  <c r="H1637" i="49"/>
  <c r="H3067" i="49"/>
  <c r="G14" i="3"/>
  <c r="E471" i="46"/>
  <c r="K17" i="39"/>
  <c r="H4056" i="49"/>
  <c r="E633" i="46"/>
  <c r="H4256" i="49"/>
  <c r="H888" i="49"/>
  <c r="H887" i="49"/>
  <c r="E114" i="46"/>
  <c r="H2474" i="49"/>
  <c r="H4634" i="49"/>
  <c r="E729" i="46"/>
  <c r="H1219" i="49"/>
  <c r="H4740" i="49"/>
  <c r="H4851" i="49"/>
  <c r="H5142" i="49"/>
  <c r="H2258" i="49"/>
  <c r="H2260" i="49"/>
  <c r="H1392" i="49"/>
  <c r="H3534" i="49"/>
  <c r="H3258" i="49"/>
  <c r="E507" i="46"/>
  <c r="H4223" i="49"/>
  <c r="K21" i="39"/>
  <c r="E663" i="46"/>
  <c r="G18" i="3"/>
  <c r="H4196" i="49"/>
  <c r="H2522" i="49"/>
  <c r="H1607" i="49"/>
  <c r="H4852" i="49"/>
  <c r="H2836" i="49"/>
  <c r="H2252" i="49"/>
  <c r="H3819" i="49"/>
  <c r="Q17" i="51"/>
  <c r="H2374" i="49"/>
  <c r="H3389" i="49"/>
  <c r="H4060" i="49"/>
  <c r="E638" i="46"/>
  <c r="H3681" i="49"/>
  <c r="H939" i="49"/>
  <c r="H938" i="49"/>
  <c r="E34" i="46"/>
  <c r="H4689" i="49"/>
  <c r="H2622" i="49"/>
  <c r="H2621" i="49"/>
  <c r="E402" i="46"/>
  <c r="H922" i="49"/>
  <c r="H921" i="49"/>
  <c r="H4961" i="49"/>
  <c r="H4077" i="49"/>
  <c r="H4638" i="49"/>
  <c r="E734" i="46"/>
  <c r="H4837" i="49"/>
  <c r="H1061" i="49"/>
  <c r="H1655" i="49"/>
  <c r="E129" i="46"/>
  <c r="H5114" i="49"/>
  <c r="H4564" i="49"/>
  <c r="H3992" i="49"/>
  <c r="H2830" i="49"/>
  <c r="H1105" i="49"/>
  <c r="H1665" i="49"/>
  <c r="H1666" i="49"/>
  <c r="H1667" i="49"/>
  <c r="H3200" i="49"/>
  <c r="H3199" i="49"/>
  <c r="E498" i="46"/>
  <c r="R7" i="51"/>
  <c r="H3636" i="49"/>
  <c r="H3517" i="49"/>
  <c r="H3483" i="49"/>
  <c r="E543" i="46"/>
  <c r="H3341" i="49"/>
  <c r="H5097" i="49"/>
  <c r="E814" i="46"/>
  <c r="H2262" i="49"/>
  <c r="E417" i="46"/>
  <c r="H3371" i="49"/>
  <c r="H3967" i="49"/>
  <c r="H1622" i="49"/>
  <c r="E231" i="46"/>
  <c r="G9" i="3"/>
  <c r="K12" i="39"/>
  <c r="H4238" i="49"/>
  <c r="H2504" i="49"/>
  <c r="H1076" i="49"/>
  <c r="H1943" i="49"/>
  <c r="H4527" i="49"/>
  <c r="H1226" i="49"/>
  <c r="H1220" i="49"/>
  <c r="H631" i="49"/>
  <c r="H625" i="49"/>
  <c r="O11" i="39" l="1"/>
  <c r="J183" i="46"/>
  <c r="J1333" i="49"/>
  <c r="Q1333" i="49" s="1"/>
  <c r="J1366" i="49"/>
  <c r="Q1366" i="49" s="1"/>
  <c r="J1377" i="49"/>
  <c r="Q1377" i="49" s="1"/>
  <c r="J1376" i="49"/>
  <c r="Q1376" i="49"/>
  <c r="J1378" i="49"/>
  <c r="Q1378" i="49" s="1"/>
  <c r="J3977" i="49"/>
  <c r="Q3977" i="49" s="1"/>
  <c r="J3979" i="49"/>
  <c r="Q3979" i="49" s="1"/>
  <c r="J3978" i="49"/>
  <c r="Q3978" i="49" s="1"/>
  <c r="J2821" i="49"/>
  <c r="Q2821" i="49" s="1"/>
  <c r="Q2822" i="49"/>
  <c r="J2822" i="49"/>
  <c r="J2823" i="49"/>
  <c r="Q2823" i="49" s="1"/>
  <c r="J1348" i="49"/>
  <c r="Q1348" i="49"/>
  <c r="Q1365" i="49"/>
  <c r="J1365" i="49"/>
  <c r="J2373" i="49"/>
  <c r="Q2373" i="49" s="1"/>
  <c r="Q2101" i="49"/>
  <c r="J2101" i="49"/>
  <c r="J313" i="46"/>
  <c r="J3257" i="49"/>
  <c r="Q3257" i="49" s="1"/>
  <c r="J505" i="46"/>
  <c r="R30" i="8"/>
  <c r="O73" i="18"/>
  <c r="O45" i="18"/>
  <c r="R28" i="8"/>
  <c r="S63" i="17"/>
  <c r="R19" i="18"/>
  <c r="R20" i="18" s="1"/>
  <c r="R21" i="18" s="1"/>
  <c r="R22" i="18" s="1"/>
  <c r="R24" i="18" s="1"/>
  <c r="R37" i="8"/>
  <c r="R63" i="19"/>
  <c r="R39" i="15"/>
  <c r="P41" i="18"/>
  <c r="R63" i="18"/>
  <c r="R23" i="8"/>
  <c r="Q41" i="18"/>
  <c r="R85" i="18"/>
  <c r="R82" i="18"/>
  <c r="R79" i="18"/>
  <c r="R80" i="18"/>
  <c r="R19" i="22"/>
  <c r="S32" i="18"/>
  <c r="S37" i="18"/>
  <c r="S28" i="18"/>
  <c r="S30" i="18"/>
  <c r="S18" i="18"/>
  <c r="S38" i="18"/>
  <c r="S14" i="18"/>
  <c r="S29" i="18"/>
  <c r="S44" i="18"/>
  <c r="S72" i="18"/>
  <c r="S61" i="18"/>
  <c r="S63" i="18" s="1"/>
  <c r="T12" i="18"/>
  <c r="S35" i="18"/>
  <c r="S62" i="18"/>
  <c r="S31" i="18"/>
  <c r="S33" i="18"/>
  <c r="S27" i="18"/>
  <c r="S23" i="18"/>
  <c r="S17" i="18"/>
  <c r="S15" i="18"/>
  <c r="S13" i="18"/>
  <c r="S34" i="18"/>
  <c r="S36" i="18"/>
  <c r="S16" i="18"/>
  <c r="J625" i="49"/>
  <c r="Q625" i="49" s="1"/>
  <c r="J631" i="49"/>
  <c r="Q631" i="49" s="1"/>
  <c r="J1220" i="49"/>
  <c r="Q1220" i="49" s="1"/>
  <c r="J1226" i="49"/>
  <c r="Q1226" i="49" s="1"/>
  <c r="J4527" i="49"/>
  <c r="Q4527" i="49" s="1"/>
  <c r="J1943" i="49"/>
  <c r="Q1943" i="49" s="1"/>
  <c r="J1076" i="49"/>
  <c r="Q1076" i="49" s="1"/>
  <c r="J2504" i="49"/>
  <c r="Q2504" i="49" s="1"/>
  <c r="J4238" i="49"/>
  <c r="Q4238" i="49" s="1"/>
  <c r="O12" i="39"/>
  <c r="J231" i="46"/>
  <c r="J1622" i="49"/>
  <c r="Q1622" i="49" s="1"/>
  <c r="Q3967" i="49"/>
  <c r="J3967" i="49"/>
  <c r="J3371" i="49"/>
  <c r="Q3371" i="49" s="1"/>
  <c r="J417" i="46"/>
  <c r="Q2262" i="49"/>
  <c r="J2262" i="49"/>
  <c r="J814" i="46"/>
  <c r="J5097" i="49"/>
  <c r="Q5097" i="49" s="1"/>
  <c r="J3341" i="49"/>
  <c r="Q3341" i="49" s="1"/>
  <c r="J543" i="46"/>
  <c r="J3483" i="49"/>
  <c r="Q3483" i="49"/>
  <c r="J3517" i="49"/>
  <c r="Q3517" i="49" s="1"/>
  <c r="J3636" i="49"/>
  <c r="Q3636" i="49" s="1"/>
  <c r="J498" i="46"/>
  <c r="Q3199" i="49"/>
  <c r="J3199" i="49"/>
  <c r="J3200" i="49"/>
  <c r="Q3200" i="49" s="1"/>
  <c r="J1667" i="49"/>
  <c r="Q1667" i="49" s="1"/>
  <c r="J1666" i="49"/>
  <c r="Q1666" i="49" s="1"/>
  <c r="J1665" i="49"/>
  <c r="Q1665" i="49" s="1"/>
  <c r="J1105" i="49"/>
  <c r="Q1105" i="49" s="1"/>
  <c r="J2830" i="49"/>
  <c r="Q2830" i="49"/>
  <c r="Q3992" i="49"/>
  <c r="J3992" i="49"/>
  <c r="J4564" i="49"/>
  <c r="Q4564" i="49" s="1"/>
  <c r="J5114" i="49"/>
  <c r="Q5114" i="49"/>
  <c r="J129" i="46"/>
  <c r="J1655" i="49"/>
  <c r="Q1655" i="49" s="1"/>
  <c r="J1061" i="49"/>
  <c r="Q1061" i="49" s="1"/>
  <c r="J4837" i="49"/>
  <c r="Q4837" i="49" s="1"/>
  <c r="J734" i="46"/>
  <c r="J4638" i="49"/>
  <c r="Q4638" i="49" s="1"/>
  <c r="J4077" i="49"/>
  <c r="Q4077" i="49" s="1"/>
  <c r="J4961" i="49"/>
  <c r="Q4961" i="49" s="1"/>
  <c r="J921" i="49"/>
  <c r="Q921" i="49" s="1"/>
  <c r="J922" i="49"/>
  <c r="Q922" i="49" s="1"/>
  <c r="J402" i="46"/>
  <c r="J2621" i="49"/>
  <c r="Q2621" i="49" s="1"/>
  <c r="J2622" i="49"/>
  <c r="Q2622" i="49" s="1"/>
  <c r="J4689" i="49"/>
  <c r="Q4689" i="49" s="1"/>
  <c r="J34" i="46"/>
  <c r="J938" i="49"/>
  <c r="Q938" i="49" s="1"/>
  <c r="J939" i="49"/>
  <c r="Q939" i="49" s="1"/>
  <c r="Q3681" i="49"/>
  <c r="J3681" i="49"/>
  <c r="J638" i="46"/>
  <c r="Q4060" i="49"/>
  <c r="J4060" i="49"/>
  <c r="J3389" i="49"/>
  <c r="Q3389" i="49" s="1"/>
  <c r="J2374" i="49"/>
  <c r="Q2374" i="49" s="1"/>
  <c r="J3819" i="49"/>
  <c r="Q3819" i="49" s="1"/>
  <c r="J2252" i="49"/>
  <c r="Q2252" i="49" s="1"/>
  <c r="J2836" i="49"/>
  <c r="Q2836" i="49" s="1"/>
  <c r="J4852" i="49"/>
  <c r="Q4852" i="49" s="1"/>
  <c r="J1607" i="49"/>
  <c r="Q1607" i="49" s="1"/>
  <c r="J2522" i="49"/>
  <c r="Q2522" i="49"/>
  <c r="J4196" i="49"/>
  <c r="Q4196" i="49"/>
  <c r="J663" i="46"/>
  <c r="O21" i="39"/>
  <c r="J4223" i="49"/>
  <c r="Q4223" i="49" s="1"/>
  <c r="J507" i="46"/>
  <c r="J3258" i="49"/>
  <c r="Q3258" i="49" s="1"/>
  <c r="J3534" i="49"/>
  <c r="Q3534" i="49" s="1"/>
  <c r="J1392" i="49"/>
  <c r="Q1392" i="49" s="1"/>
  <c r="J2260" i="49"/>
  <c r="Q2260" i="49" s="1"/>
  <c r="J2258" i="49"/>
  <c r="Q2258" i="49" s="1"/>
  <c r="J5142" i="49"/>
  <c r="Q5142" i="49" s="1"/>
  <c r="J4851" i="49"/>
  <c r="Q4851" i="49" s="1"/>
  <c r="J4740" i="49"/>
  <c r="Q4740" i="49" s="1"/>
  <c r="J1219" i="49"/>
  <c r="Q1219" i="49"/>
  <c r="J729" i="46"/>
  <c r="J4634" i="49"/>
  <c r="Q4634" i="49" s="1"/>
  <c r="J2474" i="49"/>
  <c r="Q2474" i="49" s="1"/>
  <c r="J114" i="46"/>
  <c r="J887" i="49"/>
  <c r="Q887" i="49" s="1"/>
  <c r="J888" i="49"/>
  <c r="Q888" i="49"/>
  <c r="J4256" i="49"/>
  <c r="Q4256" i="49" s="1"/>
  <c r="J633" i="46"/>
  <c r="J4056" i="49"/>
  <c r="Q4056" i="49" s="1"/>
  <c r="O17" i="39"/>
  <c r="J471" i="46"/>
  <c r="J3067" i="49"/>
  <c r="Q3067" i="49" s="1"/>
  <c r="J1637" i="49"/>
  <c r="Q1637" i="49" s="1"/>
  <c r="J4944" i="49"/>
  <c r="Q4944" i="49" s="1"/>
  <c r="J4545" i="49"/>
  <c r="Q4545" i="49" s="1"/>
  <c r="J506" i="46"/>
  <c r="J3687" i="49"/>
  <c r="Q3687" i="49" s="1"/>
  <c r="J3619" i="49"/>
  <c r="Q3619" i="49" s="1"/>
  <c r="J3949" i="49"/>
  <c r="Q3949" i="49" s="1"/>
  <c r="J5105" i="49"/>
  <c r="Q5105" i="49" s="1"/>
  <c r="J3099" i="49"/>
  <c r="Q3099" i="49" s="1"/>
  <c r="J2244" i="49"/>
  <c r="Q2244" i="49" s="1"/>
  <c r="J2243" i="49"/>
  <c r="Q2243" i="49" s="1"/>
  <c r="J2245" i="49"/>
  <c r="Q2245" i="49" s="1"/>
  <c r="J813" i="49"/>
  <c r="Q813" i="49"/>
  <c r="J1094" i="49"/>
  <c r="Q1094" i="49" s="1"/>
  <c r="J3986" i="49"/>
  <c r="Q3986" i="49" s="1"/>
  <c r="J4285" i="49"/>
  <c r="Q4285" i="49" s="1"/>
  <c r="J4850" i="49"/>
  <c r="Q4850" i="49" s="1"/>
  <c r="J4861" i="49"/>
  <c r="Q4861" i="49" s="1"/>
  <c r="J5148" i="49"/>
  <c r="Q5148" i="49" s="1"/>
  <c r="J315" i="46"/>
  <c r="J2102" i="49"/>
  <c r="Q2102" i="49" s="1"/>
  <c r="J280" i="46"/>
  <c r="J1913" i="49"/>
  <c r="Q1913" i="49" s="1"/>
  <c r="J2094" i="49"/>
  <c r="Q2094" i="49" s="1"/>
  <c r="J2095" i="49"/>
  <c r="Q2095" i="49" s="1"/>
  <c r="J3696" i="49"/>
  <c r="Q3696" i="49" s="1"/>
  <c r="J766" i="46"/>
  <c r="J4808" i="49"/>
  <c r="Q4808" i="49" s="1"/>
  <c r="J169" i="46"/>
  <c r="J1234" i="49"/>
  <c r="Q1234" i="49" s="1"/>
  <c r="J3794" i="49"/>
  <c r="Q3794" i="49" s="1"/>
  <c r="J3795" i="49"/>
  <c r="Q3795" i="49" s="1"/>
  <c r="J559" i="46"/>
  <c r="J3551" i="49"/>
  <c r="Q3551" i="49" s="1"/>
  <c r="J4179" i="49"/>
  <c r="Q4179" i="49" s="1"/>
  <c r="J1963" i="49"/>
  <c r="Q1963" i="49" s="1"/>
  <c r="J1104" i="49"/>
  <c r="Q1104" i="49"/>
  <c r="J1681" i="49"/>
  <c r="Q1681" i="49"/>
  <c r="J4283" i="49"/>
  <c r="Q4283" i="49" s="1"/>
  <c r="J1674" i="49"/>
  <c r="Q1674" i="49" s="1"/>
  <c r="J2259" i="49"/>
  <c r="Q2259" i="49" s="1"/>
  <c r="J3119" i="49"/>
  <c r="Q3119" i="49" s="1"/>
  <c r="J4853" i="49"/>
  <c r="Q4853" i="49" s="1"/>
  <c r="J2185" i="49"/>
  <c r="Q2185" i="49" s="1"/>
  <c r="J4655" i="49"/>
  <c r="Q4655" i="49" s="1"/>
  <c r="J314" i="46"/>
  <c r="J5075" i="49"/>
  <c r="Q5075" i="49" s="1"/>
  <c r="J61" i="46"/>
  <c r="Q597" i="49"/>
  <c r="J597" i="49"/>
  <c r="J591" i="49"/>
  <c r="Q591" i="49" s="1"/>
  <c r="J3919" i="49"/>
  <c r="Q3919" i="49" s="1"/>
  <c r="Q624" i="49"/>
  <c r="J624" i="49"/>
  <c r="J4978" i="49"/>
  <c r="Q4978" i="49" s="1"/>
  <c r="J1106" i="49"/>
  <c r="Q1106" i="49" s="1"/>
  <c r="J4264" i="49"/>
  <c r="Q4264" i="49" s="1"/>
  <c r="J575" i="46"/>
  <c r="J3653" i="49"/>
  <c r="Q3653" i="49" s="1"/>
  <c r="J2793" i="49"/>
  <c r="Q2793" i="49" s="1"/>
  <c r="J788" i="49"/>
  <c r="Q788" i="49" s="1"/>
  <c r="J1391" i="49"/>
  <c r="Q1391" i="49"/>
  <c r="J814" i="49"/>
  <c r="Q814" i="49" s="1"/>
  <c r="J1961" i="49"/>
  <c r="Q1961" i="49" s="1"/>
  <c r="J2837" i="49"/>
  <c r="Q2837" i="49" s="1"/>
  <c r="J3694" i="49"/>
  <c r="Q3694" i="49" s="1"/>
  <c r="J5152" i="49"/>
  <c r="Q5152" i="49"/>
  <c r="J4863" i="49"/>
  <c r="Q4863" i="49" s="1"/>
  <c r="O20" i="39"/>
  <c r="J615" i="46"/>
  <c r="J3934" i="49"/>
  <c r="Q3934" i="49" s="1"/>
  <c r="J409" i="46"/>
  <c r="J2679" i="49"/>
  <c r="Q2679" i="49" s="1"/>
  <c r="J788" i="46"/>
  <c r="J1928" i="49"/>
  <c r="Q1928" i="49" s="1"/>
  <c r="J3568" i="49"/>
  <c r="Q3568" i="49" s="1"/>
  <c r="J3100" i="49"/>
  <c r="Q3100" i="49" s="1"/>
  <c r="J4842" i="49"/>
  <c r="Q4842" i="49" s="1"/>
  <c r="J654" i="46"/>
  <c r="J4128" i="49"/>
  <c r="Q4128" i="49" s="1"/>
  <c r="J2541" i="49"/>
  <c r="Q2541" i="49" s="1"/>
  <c r="J3993" i="49"/>
  <c r="Q3993" i="49" s="1"/>
  <c r="J3695" i="49"/>
  <c r="Q3695" i="49" s="1"/>
  <c r="J4275" i="49"/>
  <c r="Q4275" i="49"/>
  <c r="J5149" i="49"/>
  <c r="Q5149" i="49" s="1"/>
  <c r="J85" i="46"/>
  <c r="J753" i="49"/>
  <c r="Q753" i="49" s="1"/>
  <c r="J2638" i="49"/>
  <c r="Q2638" i="49" s="1"/>
  <c r="J2639" i="49"/>
  <c r="Q2639" i="49" s="1"/>
  <c r="J291" i="46"/>
  <c r="J711" i="46"/>
  <c r="O22" i="39"/>
  <c r="J4512" i="49"/>
  <c r="Q4512" i="49" s="1"/>
  <c r="J228" i="46"/>
  <c r="J740" i="49"/>
  <c r="Q740" i="49" s="1"/>
  <c r="J519" i="46"/>
  <c r="O18" i="39"/>
  <c r="J3356" i="49"/>
  <c r="Q3356" i="49" s="1"/>
  <c r="J807" i="46"/>
  <c r="O24" i="39"/>
  <c r="J5090" i="49"/>
  <c r="Q5090" i="49" s="1"/>
  <c r="O8" i="39"/>
  <c r="J39" i="46"/>
  <c r="Q770" i="49"/>
  <c r="J770" i="49"/>
  <c r="J904" i="49"/>
  <c r="Q904" i="49" s="1"/>
  <c r="J905" i="49"/>
  <c r="Q905" i="49" s="1"/>
  <c r="J777" i="46"/>
  <c r="J4923" i="49"/>
  <c r="Q4923" i="49" s="1"/>
  <c r="J5046" i="49"/>
  <c r="Q5046" i="49" s="1"/>
  <c r="J2533" i="49"/>
  <c r="Q2533" i="49" s="1"/>
  <c r="J2534" i="49"/>
  <c r="Q2534" i="49" s="1"/>
  <c r="J2532" i="49"/>
  <c r="Q2532" i="49" s="1"/>
  <c r="J3602" i="49"/>
  <c r="Q3602" i="49" s="1"/>
  <c r="J2365" i="49"/>
  <c r="Q2365" i="49" s="1"/>
  <c r="J2359" i="49"/>
  <c r="Q2359" i="49" s="1"/>
  <c r="J750" i="46"/>
  <c r="J4706" i="49"/>
  <c r="Q4706" i="49" s="1"/>
  <c r="J4208" i="49"/>
  <c r="Q4208" i="49" s="1"/>
  <c r="J807" i="49"/>
  <c r="Q807" i="49" s="1"/>
  <c r="J1680" i="49"/>
  <c r="Q1680" i="49" s="1"/>
  <c r="J1096" i="49"/>
  <c r="Q1096" i="49" s="1"/>
  <c r="J1383" i="49"/>
  <c r="Q1383" i="49" s="1"/>
  <c r="J2547" i="49"/>
  <c r="Q2547" i="49" s="1"/>
  <c r="J4281" i="49"/>
  <c r="Q4281" i="49" s="1"/>
  <c r="J5151" i="49"/>
  <c r="Q5151" i="49" s="1"/>
  <c r="J2233" i="49"/>
  <c r="Q2233" i="49" s="1"/>
  <c r="J670" i="46"/>
  <c r="J4230" i="49"/>
  <c r="Q4230" i="49" s="1"/>
  <c r="J4162" i="49"/>
  <c r="Q4162" i="49" s="1"/>
  <c r="J740" i="46"/>
  <c r="J513" i="46"/>
  <c r="J375" i="46"/>
  <c r="O15" i="39"/>
  <c r="J2489" i="49"/>
  <c r="Q2489" i="49" s="1"/>
  <c r="J3670" i="49"/>
  <c r="Q3670" i="49"/>
  <c r="J2671" i="49"/>
  <c r="Q2671" i="49" s="1"/>
  <c r="J2665" i="49"/>
  <c r="Q2665" i="49" s="1"/>
  <c r="J136" i="46"/>
  <c r="J1046" i="49"/>
  <c r="Q1046" i="49" s="1"/>
  <c r="J594" i="46"/>
  <c r="J3777" i="49"/>
  <c r="Q3777" i="49"/>
  <c r="J3778" i="49"/>
  <c r="Q3778" i="49" s="1"/>
  <c r="J5063" i="49"/>
  <c r="Q5063" i="49" s="1"/>
  <c r="J177" i="46"/>
  <c r="J4145" i="49"/>
  <c r="Q4145" i="49" s="1"/>
  <c r="J2358" i="49"/>
  <c r="Q2358" i="49" s="1"/>
  <c r="J782" i="46"/>
  <c r="J4927" i="49"/>
  <c r="Q4927" i="49" s="1"/>
  <c r="J2215" i="49"/>
  <c r="Q2215" i="49" s="1"/>
  <c r="J1102" i="49"/>
  <c r="Q1102" i="49" s="1"/>
  <c r="J3408" i="49"/>
  <c r="Q3408" i="49" s="1"/>
  <c r="J4282" i="49"/>
  <c r="Q4282" i="49" s="1"/>
  <c r="J3704" i="49"/>
  <c r="Q3704" i="49" s="1"/>
  <c r="J5150" i="49"/>
  <c r="Q5150" i="49" s="1"/>
  <c r="J5029" i="49"/>
  <c r="Q5029" i="49"/>
  <c r="J4495" i="49"/>
  <c r="Q4495" i="49" s="1"/>
  <c r="J4213" i="49"/>
  <c r="Q4213" i="49" s="1"/>
  <c r="J615" i="49"/>
  <c r="Q615" i="49" s="1"/>
  <c r="J616" i="49"/>
  <c r="Q616" i="49" s="1"/>
  <c r="J5131" i="49"/>
  <c r="Q5131" i="49"/>
  <c r="J2261" i="49"/>
  <c r="Q2261" i="49" s="1"/>
  <c r="J4284" i="49"/>
  <c r="Q4284" i="49" s="1"/>
  <c r="J4862" i="49"/>
  <c r="Q4862" i="49" s="1"/>
  <c r="J122" i="46"/>
  <c r="J4757" i="49"/>
  <c r="Q4757" i="49" s="1"/>
  <c r="J3082" i="49"/>
  <c r="Q3082" i="49" s="1"/>
  <c r="J2548" i="49"/>
  <c r="Q2548" i="49" s="1"/>
  <c r="J3415" i="49"/>
  <c r="Q3415" i="49" s="1"/>
  <c r="J3697" i="49"/>
  <c r="Q3697" i="49" s="1"/>
  <c r="J3414" i="49"/>
  <c r="Q3414" i="49" s="1"/>
  <c r="J4247" i="49"/>
  <c r="Q4247" i="49"/>
  <c r="J2811" i="49"/>
  <c r="Q2811" i="49" s="1"/>
  <c r="J644" i="46"/>
  <c r="J2763" i="49"/>
  <c r="Q2763" i="49" s="1"/>
  <c r="O16" i="39"/>
  <c r="J423" i="46"/>
  <c r="J2778" i="49"/>
  <c r="Q2778" i="49" s="1"/>
  <c r="J3052" i="49"/>
  <c r="Q3052" i="49" s="1"/>
  <c r="J219" i="46"/>
  <c r="J1524" i="49"/>
  <c r="Q1524" i="49"/>
  <c r="J4723" i="49"/>
  <c r="Q4723" i="49" s="1"/>
  <c r="J3500" i="49"/>
  <c r="Q3500" i="49" s="1"/>
  <c r="J799" i="49"/>
  <c r="Q799" i="49" s="1"/>
  <c r="J798" i="49"/>
  <c r="Q798" i="49" s="1"/>
  <c r="Q800" i="49"/>
  <c r="J800" i="49"/>
  <c r="J218" i="46"/>
  <c r="J1385" i="49"/>
  <c r="Q1385" i="49" s="1"/>
  <c r="J147" i="46"/>
  <c r="J4774" i="49"/>
  <c r="Q4774" i="49" s="1"/>
  <c r="J4791" i="49"/>
  <c r="Q4791" i="49" s="1"/>
  <c r="J3585" i="49"/>
  <c r="Q3585" i="49" s="1"/>
  <c r="J2664" i="49"/>
  <c r="Q2664" i="49" s="1"/>
  <c r="J1103" i="49"/>
  <c r="Q1103" i="49"/>
  <c r="J4859" i="49"/>
  <c r="Q4859" i="49" s="1"/>
  <c r="J4860" i="49"/>
  <c r="Q4860" i="49" s="1"/>
  <c r="J123" i="46"/>
  <c r="J946" i="49"/>
  <c r="Q946" i="49" s="1"/>
  <c r="J639" i="49"/>
  <c r="Q639" i="49" s="1"/>
  <c r="J5123" i="49"/>
  <c r="Q5123" i="49" s="1"/>
  <c r="J4480" i="49"/>
  <c r="Q4480" i="49" s="1"/>
  <c r="J321" i="46"/>
  <c r="J4825" i="49"/>
  <c r="Q4825" i="49" s="1"/>
  <c r="J5012" i="49"/>
  <c r="Q5012" i="49" s="1"/>
  <c r="J5080" i="49"/>
  <c r="Q5080" i="49" s="1"/>
  <c r="J4094" i="49"/>
  <c r="Q4094" i="49" s="1"/>
  <c r="J2655" i="49"/>
  <c r="Q2655" i="49" s="1"/>
  <c r="J2656" i="49"/>
  <c r="Q2656" i="49" s="1"/>
  <c r="J327" i="46"/>
  <c r="O14" i="39"/>
  <c r="J2200" i="49"/>
  <c r="Q2200" i="49" s="1"/>
  <c r="L8" i="52"/>
  <c r="H175" i="49"/>
  <c r="O41" i="8"/>
  <c r="G67" i="16"/>
  <c r="G68" i="16" s="1"/>
  <c r="I89" i="13"/>
  <c r="H64" i="30" s="1"/>
  <c r="H76" i="30" s="1"/>
  <c r="H77" i="30" s="1"/>
  <c r="H82" i="30" s="1"/>
  <c r="G157" i="14"/>
  <c r="H67" i="18"/>
  <c r="H68" i="18" s="1"/>
  <c r="P41" i="29"/>
  <c r="Q41" i="20"/>
  <c r="Q21" i="22"/>
  <c r="Q22" i="22" s="1"/>
  <c r="Q24" i="22" s="1"/>
  <c r="Q21" i="29"/>
  <c r="Q22" i="29" s="1"/>
  <c r="Q24" i="29" s="1"/>
  <c r="Q22" i="21"/>
  <c r="Q24" i="21" s="1"/>
  <c r="Q21" i="21"/>
  <c r="K78" i="13"/>
  <c r="J64" i="19" s="1"/>
  <c r="J76" i="19" s="1"/>
  <c r="J77" i="19" s="1"/>
  <c r="I47" i="14"/>
  <c r="Q41" i="17"/>
  <c r="J87" i="13"/>
  <c r="I64" i="28" s="1"/>
  <c r="H137" i="14"/>
  <c r="S21" i="26"/>
  <c r="S22" i="26" s="1"/>
  <c r="S24" i="26" s="1"/>
  <c r="S41" i="26" s="1"/>
  <c r="S21" i="30"/>
  <c r="S22" i="30" s="1"/>
  <c r="S24" i="30" s="1"/>
  <c r="S41" i="30" s="1"/>
  <c r="P41" i="22"/>
  <c r="P41" i="28"/>
  <c r="Q21" i="25"/>
  <c r="Q22" i="25" s="1"/>
  <c r="Q24" i="25" s="1"/>
  <c r="Q21" i="16"/>
  <c r="Q22" i="16" s="1"/>
  <c r="Q24" i="16" s="1"/>
  <c r="R45" i="30"/>
  <c r="R73" i="30"/>
  <c r="O45" i="19"/>
  <c r="O73" i="19"/>
  <c r="Q21" i="19"/>
  <c r="Q22" i="19" s="1"/>
  <c r="Q24" i="19" s="1"/>
  <c r="P41" i="25"/>
  <c r="Q21" i="23"/>
  <c r="Q22" i="23" s="1"/>
  <c r="Q24" i="23" s="1"/>
  <c r="R20" i="29"/>
  <c r="S72" i="15"/>
  <c r="S35" i="15"/>
  <c r="S34" i="15"/>
  <c r="S28" i="15"/>
  <c r="S14" i="15"/>
  <c r="S38" i="15"/>
  <c r="S32" i="15"/>
  <c r="S18" i="15"/>
  <c r="S31" i="15"/>
  <c r="S17" i="15"/>
  <c r="S36" i="15"/>
  <c r="S33" i="15"/>
  <c r="S13" i="15"/>
  <c r="S61" i="15"/>
  <c r="S44" i="15"/>
  <c r="S15" i="15"/>
  <c r="S62" i="15"/>
  <c r="S29" i="15"/>
  <c r="S16" i="15"/>
  <c r="T12" i="15"/>
  <c r="S27" i="15"/>
  <c r="S23" i="15"/>
  <c r="S37" i="15"/>
  <c r="S30" i="15"/>
  <c r="I76" i="23"/>
  <c r="I77" i="23" s="1"/>
  <c r="O63" i="31"/>
  <c r="U73" i="14"/>
  <c r="X108" i="13"/>
  <c r="X103" i="13"/>
  <c r="U23" i="14"/>
  <c r="R15" i="8"/>
  <c r="R39" i="28"/>
  <c r="Q21" i="27"/>
  <c r="Q22" i="27" s="1"/>
  <c r="Q24" i="27" s="1"/>
  <c r="V113" i="13"/>
  <c r="S123" i="14"/>
  <c r="R79" i="8"/>
  <c r="R81" i="8"/>
  <c r="R86" i="8"/>
  <c r="R83" i="8"/>
  <c r="P63" i="31"/>
  <c r="J158" i="49"/>
  <c r="Q158" i="49" s="1"/>
  <c r="I76" i="17"/>
  <c r="I77" i="17" s="1"/>
  <c r="P45" i="17"/>
  <c r="P73" i="17"/>
  <c r="E63" i="30"/>
  <c r="F63" i="28"/>
  <c r="G63" i="31"/>
  <c r="R19" i="24"/>
  <c r="R19" i="29"/>
  <c r="J50" i="15"/>
  <c r="J52" i="15"/>
  <c r="H63" i="30"/>
  <c r="Q21" i="28"/>
  <c r="Q22" i="28" s="1"/>
  <c r="Q24" i="28" s="1"/>
  <c r="J12" i="52"/>
  <c r="H145" i="49"/>
  <c r="U53" i="14"/>
  <c r="X106" i="13"/>
  <c r="R18" i="8"/>
  <c r="R34" i="8"/>
  <c r="O123" i="14"/>
  <c r="R113" i="13"/>
  <c r="Q61" i="26" s="1"/>
  <c r="E63" i="28"/>
  <c r="G18" i="14"/>
  <c r="G19" i="14" s="1"/>
  <c r="G20" i="14" s="1"/>
  <c r="T39" i="30"/>
  <c r="J26" i="49"/>
  <c r="Q26" i="49" s="1"/>
  <c r="H54" i="22"/>
  <c r="J128" i="49"/>
  <c r="Q128" i="49" s="1"/>
  <c r="S79" i="20"/>
  <c r="S82" i="20"/>
  <c r="S80" i="20"/>
  <c r="S85" i="20"/>
  <c r="H54" i="27"/>
  <c r="H56" i="27"/>
  <c r="P5" i="52"/>
  <c r="D5168" i="49"/>
  <c r="D5169" i="49"/>
  <c r="D5166" i="49"/>
  <c r="D5159" i="49"/>
  <c r="D5156" i="49"/>
  <c r="D5172" i="49"/>
  <c r="D5171" i="49"/>
  <c r="D5162" i="49"/>
  <c r="D5161" i="49"/>
  <c r="D5158" i="49"/>
  <c r="D5164" i="49"/>
  <c r="D4878" i="49"/>
  <c r="D4870" i="49"/>
  <c r="D4867" i="49"/>
  <c r="D5165" i="49"/>
  <c r="D4879" i="49"/>
  <c r="D4876" i="49"/>
  <c r="D5157" i="49"/>
  <c r="D4589" i="49"/>
  <c r="D4583" i="49"/>
  <c r="D4874" i="49"/>
  <c r="D4883" i="49"/>
  <c r="D5167" i="49"/>
  <c r="D4880" i="49"/>
  <c r="D4873" i="49"/>
  <c r="D4882" i="49"/>
  <c r="D4875" i="49"/>
  <c r="D4868" i="49"/>
  <c r="D4593" i="49"/>
  <c r="D4590" i="49"/>
  <c r="D4580" i="49"/>
  <c r="D4872" i="49"/>
  <c r="D4594" i="49"/>
  <c r="D4587" i="49"/>
  <c r="D4582" i="49"/>
  <c r="D5170" i="49"/>
  <c r="D4869" i="49"/>
  <c r="D4305" i="49"/>
  <c r="D4299" i="49"/>
  <c r="D4293" i="49"/>
  <c r="D4592" i="49"/>
  <c r="D4585" i="49"/>
  <c r="D4578" i="49"/>
  <c r="D4303" i="49"/>
  <c r="D4300" i="49"/>
  <c r="D4290" i="49"/>
  <c r="D4877" i="49"/>
  <c r="D4591" i="49"/>
  <c r="D4586" i="49"/>
  <c r="D5160" i="49"/>
  <c r="D4297" i="49"/>
  <c r="D4294" i="49"/>
  <c r="D4012" i="49"/>
  <c r="D4006" i="49"/>
  <c r="D4000" i="49"/>
  <c r="D4871" i="49"/>
  <c r="D4588" i="49"/>
  <c r="D5163" i="49"/>
  <c r="D4010" i="49"/>
  <c r="D4007" i="49"/>
  <c r="D4579" i="49"/>
  <c r="D4292" i="49"/>
  <c r="D4014" i="49"/>
  <c r="D4004" i="49"/>
  <c r="D4001" i="49"/>
  <c r="D3722" i="49"/>
  <c r="D3716" i="49"/>
  <c r="D3434" i="49"/>
  <c r="D3428" i="49"/>
  <c r="D3422" i="49"/>
  <c r="D4302" i="49"/>
  <c r="D4296" i="49"/>
  <c r="D4304" i="49"/>
  <c r="D3714" i="49"/>
  <c r="D4584" i="49"/>
  <c r="D4301" i="49"/>
  <c r="D4298" i="49"/>
  <c r="D4002" i="49"/>
  <c r="D4581" i="49"/>
  <c r="D4291" i="49"/>
  <c r="D4013" i="49"/>
  <c r="D3726" i="49"/>
  <c r="D3723" i="49"/>
  <c r="D3435" i="49"/>
  <c r="D4295" i="49"/>
  <c r="D4015" i="49"/>
  <c r="D3713" i="49"/>
  <c r="D3431" i="49"/>
  <c r="D4008" i="49"/>
  <c r="D3720" i="49"/>
  <c r="D3427" i="49"/>
  <c r="D3423" i="49"/>
  <c r="D3727" i="49"/>
  <c r="D3717" i="49"/>
  <c r="D3436" i="49"/>
  <c r="D4016" i="49"/>
  <c r="D3719" i="49"/>
  <c r="D4003" i="49"/>
  <c r="D3721" i="49"/>
  <c r="D3711" i="49"/>
  <c r="D3426" i="49"/>
  <c r="D4011" i="49"/>
  <c r="D4881" i="49"/>
  <c r="D3148" i="49"/>
  <c r="D3142" i="49"/>
  <c r="D3136" i="49"/>
  <c r="D2860" i="49"/>
  <c r="D2854" i="49"/>
  <c r="D2848" i="49"/>
  <c r="D3718" i="49"/>
  <c r="D3438" i="49"/>
  <c r="D3429" i="49"/>
  <c r="D3146" i="49"/>
  <c r="D3143" i="49"/>
  <c r="D3133" i="49"/>
  <c r="D3712" i="49"/>
  <c r="D3140" i="49"/>
  <c r="D3137" i="49"/>
  <c r="D4005" i="49"/>
  <c r="D3725" i="49"/>
  <c r="D3424" i="49"/>
  <c r="D3147" i="49"/>
  <c r="D3144" i="49"/>
  <c r="D3134" i="49"/>
  <c r="D4289" i="49"/>
  <c r="D3715" i="49"/>
  <c r="D3145" i="49"/>
  <c r="D2569" i="49"/>
  <c r="D2563" i="49"/>
  <c r="D2557" i="49"/>
  <c r="D2853" i="49"/>
  <c r="D2846" i="49"/>
  <c r="D3433" i="49"/>
  <c r="D3149" i="49"/>
  <c r="D3138" i="49"/>
  <c r="D2858" i="49"/>
  <c r="D2570" i="49"/>
  <c r="D2564" i="49"/>
  <c r="D2558" i="49"/>
  <c r="D2282" i="49"/>
  <c r="D2276" i="49"/>
  <c r="D2270" i="49"/>
  <c r="D1988" i="49"/>
  <c r="D1982" i="49"/>
  <c r="D2571" i="49"/>
  <c r="D2565" i="49"/>
  <c r="D2559" i="49"/>
  <c r="D2277" i="49"/>
  <c r="D2271" i="49"/>
  <c r="D1989" i="49"/>
  <c r="D1983" i="49"/>
  <c r="D1977" i="49"/>
  <c r="D2568" i="49"/>
  <c r="D2274" i="49"/>
  <c r="D1991" i="49"/>
  <c r="D1981" i="49"/>
  <c r="D1978" i="49"/>
  <c r="D3437" i="49"/>
  <c r="D3139" i="49"/>
  <c r="D3135" i="49"/>
  <c r="D2857" i="49"/>
  <c r="D2851" i="49"/>
  <c r="D2845" i="49"/>
  <c r="D2281" i="49"/>
  <c r="D2278" i="49"/>
  <c r="D2268" i="49"/>
  <c r="D1985" i="49"/>
  <c r="D2555" i="49"/>
  <c r="D3724" i="49"/>
  <c r="D3425" i="49"/>
  <c r="D2561" i="49"/>
  <c r="D2275" i="49"/>
  <c r="D2272" i="49"/>
  <c r="D1992" i="49"/>
  <c r="D1979" i="49"/>
  <c r="D2859" i="49"/>
  <c r="D2856" i="49"/>
  <c r="D2567" i="49"/>
  <c r="D1980" i="49"/>
  <c r="D1700" i="49"/>
  <c r="D1697" i="49"/>
  <c r="D2850" i="49"/>
  <c r="D2844" i="49"/>
  <c r="D2266" i="49"/>
  <c r="D2556" i="49"/>
  <c r="D3432" i="49"/>
  <c r="D2566" i="49"/>
  <c r="D1993" i="49"/>
  <c r="D1701" i="49"/>
  <c r="D2855" i="49"/>
  <c r="D4009" i="49"/>
  <c r="D3430" i="49"/>
  <c r="D2852" i="49"/>
  <c r="D1688" i="49"/>
  <c r="D2849" i="49"/>
  <c r="D2267" i="49"/>
  <c r="D1984" i="49"/>
  <c r="D2847" i="49"/>
  <c r="D2560" i="49"/>
  <c r="D2280" i="49"/>
  <c r="D2269" i="49"/>
  <c r="D1404" i="49"/>
  <c r="D2273" i="49"/>
  <c r="D1704" i="49"/>
  <c r="D1702" i="49"/>
  <c r="D1413" i="49"/>
  <c r="D1400" i="49"/>
  <c r="D1125" i="49"/>
  <c r="D1119" i="49"/>
  <c r="D1113" i="49"/>
  <c r="D3141" i="49"/>
  <c r="D1990" i="49"/>
  <c r="D1409" i="49"/>
  <c r="D2279" i="49"/>
  <c r="D1691" i="49"/>
  <c r="D1689" i="49"/>
  <c r="D1405" i="49"/>
  <c r="D1401" i="49"/>
  <c r="D1120" i="49"/>
  <c r="D1114" i="49"/>
  <c r="D832" i="49"/>
  <c r="D826" i="49"/>
  <c r="D1695" i="49"/>
  <c r="D1410" i="49"/>
  <c r="D1690" i="49"/>
  <c r="D1703" i="49"/>
  <c r="D1411" i="49"/>
  <c r="D1406" i="49"/>
  <c r="D1126" i="49"/>
  <c r="D1122" i="49"/>
  <c r="D1116" i="49"/>
  <c r="D1124" i="49"/>
  <c r="D1118" i="49"/>
  <c r="D1111" i="49"/>
  <c r="D546" i="49"/>
  <c r="D540" i="49"/>
  <c r="D534" i="49"/>
  <c r="D2562" i="49"/>
  <c r="D1699" i="49"/>
  <c r="D1408" i="49"/>
  <c r="D1403" i="49"/>
  <c r="D829" i="49"/>
  <c r="D1694" i="49"/>
  <c r="D1986" i="49"/>
  <c r="D1692" i="49"/>
  <c r="D1414" i="49"/>
  <c r="D1412" i="49"/>
  <c r="D1117" i="49"/>
  <c r="D1112" i="49"/>
  <c r="D535" i="49"/>
  <c r="D1123" i="49"/>
  <c r="D1115" i="49"/>
  <c r="D539" i="49"/>
  <c r="D258" i="49"/>
  <c r="B258" i="50" s="1"/>
  <c r="D255" i="49"/>
  <c r="B255" i="50" s="1"/>
  <c r="D252" i="49"/>
  <c r="B252" i="50" s="1"/>
  <c r="D249" i="49"/>
  <c r="B249" i="50" s="1"/>
  <c r="D246" i="49"/>
  <c r="B246" i="50" s="1"/>
  <c r="D243" i="49"/>
  <c r="B243" i="50" s="1"/>
  <c r="D836" i="49"/>
  <c r="D831" i="49"/>
  <c r="D824" i="49"/>
  <c r="D1399" i="49"/>
  <c r="D543" i="49"/>
  <c r="D536" i="49"/>
  <c r="D547" i="49"/>
  <c r="D259" i="49"/>
  <c r="B259" i="50" s="1"/>
  <c r="D256" i="49"/>
  <c r="B256" i="50" s="1"/>
  <c r="D253" i="49"/>
  <c r="B253" i="50" s="1"/>
  <c r="D250" i="49"/>
  <c r="B250" i="50" s="1"/>
  <c r="D247" i="49"/>
  <c r="D244" i="49"/>
  <c r="B244" i="50" s="1"/>
  <c r="D1698" i="49"/>
  <c r="D821" i="49"/>
  <c r="D533" i="49"/>
  <c r="D1696" i="49"/>
  <c r="D545" i="49"/>
  <c r="D257" i="49"/>
  <c r="B257" i="50" s="1"/>
  <c r="D1693" i="49"/>
  <c r="D823" i="49"/>
  <c r="D1407" i="49"/>
  <c r="D544" i="49"/>
  <c r="D1415" i="49"/>
  <c r="D828" i="49"/>
  <c r="D825" i="49"/>
  <c r="D1121" i="49"/>
  <c r="D837" i="49"/>
  <c r="D254" i="49"/>
  <c r="B254" i="50" s="1"/>
  <c r="D248" i="49"/>
  <c r="B248" i="50" s="1"/>
  <c r="D830" i="49"/>
  <c r="D542" i="49"/>
  <c r="D538" i="49"/>
  <c r="D835" i="49"/>
  <c r="D537" i="49"/>
  <c r="D251" i="49"/>
  <c r="B251" i="50" s="1"/>
  <c r="D834" i="49"/>
  <c r="D822" i="49"/>
  <c r="D541" i="49"/>
  <c r="D1110" i="49"/>
  <c r="D532" i="49"/>
  <c r="T12" i="8"/>
  <c r="D1402" i="49"/>
  <c r="D1987" i="49"/>
  <c r="D833" i="49"/>
  <c r="S72" i="8"/>
  <c r="S43" i="8"/>
  <c r="D827" i="49"/>
  <c r="D245" i="49"/>
  <c r="B245" i="50" s="1"/>
  <c r="D548" i="49"/>
  <c r="S47" i="8"/>
  <c r="S72" i="28"/>
  <c r="S37" i="28"/>
  <c r="S33" i="28"/>
  <c r="S29" i="28"/>
  <c r="S23" i="28"/>
  <c r="S15" i="28"/>
  <c r="S38" i="28"/>
  <c r="S36" i="28"/>
  <c r="S62" i="28"/>
  <c r="S27" i="28"/>
  <c r="S31" i="28"/>
  <c r="S61" i="28"/>
  <c r="S32" i="28"/>
  <c r="S18" i="28"/>
  <c r="S44" i="28"/>
  <c r="S30" i="28"/>
  <c r="S17" i="28"/>
  <c r="S16" i="28"/>
  <c r="S28" i="28"/>
  <c r="S35" i="28"/>
  <c r="T12" i="28"/>
  <c r="S14" i="28"/>
  <c r="S13" i="28"/>
  <c r="S34" i="28"/>
  <c r="S60" i="28"/>
  <c r="S47" i="28"/>
  <c r="S75" i="28"/>
  <c r="S43" i="28"/>
  <c r="S66" i="28"/>
  <c r="V24" i="13"/>
  <c r="R63" i="23"/>
  <c r="R20" i="24"/>
  <c r="R39" i="24"/>
  <c r="R39" i="29"/>
  <c r="M63" i="28"/>
  <c r="H54" i="14"/>
  <c r="K50" i="13" s="1"/>
  <c r="J48" i="19" s="1"/>
  <c r="S44" i="22"/>
  <c r="S16" i="22"/>
  <c r="S33" i="22"/>
  <c r="S31" i="22"/>
  <c r="S18" i="22"/>
  <c r="S37" i="22"/>
  <c r="S35" i="22"/>
  <c r="S62" i="22"/>
  <c r="S28" i="22"/>
  <c r="S15" i="22"/>
  <c r="S13" i="22"/>
  <c r="S27" i="22"/>
  <c r="S14" i="22"/>
  <c r="S17" i="22"/>
  <c r="S34" i="22"/>
  <c r="S72" i="22"/>
  <c r="S36" i="22"/>
  <c r="S29" i="22"/>
  <c r="S38" i="22"/>
  <c r="T12" i="22"/>
  <c r="S61" i="22"/>
  <c r="S32" i="22"/>
  <c r="S30" i="22"/>
  <c r="S23" i="22"/>
  <c r="O73" i="28"/>
  <c r="O45" i="28"/>
  <c r="S44" i="19"/>
  <c r="S29" i="19"/>
  <c r="S16" i="19"/>
  <c r="S14" i="19"/>
  <c r="S31" i="19"/>
  <c r="S33" i="19"/>
  <c r="S18" i="19"/>
  <c r="S35" i="19"/>
  <c r="S37" i="19"/>
  <c r="S13" i="19"/>
  <c r="S38" i="19"/>
  <c r="S27" i="19"/>
  <c r="S72" i="19"/>
  <c r="T12" i="19"/>
  <c r="S62" i="19"/>
  <c r="S30" i="19"/>
  <c r="S36" i="19"/>
  <c r="S15" i="19"/>
  <c r="S17" i="19"/>
  <c r="S32" i="19"/>
  <c r="S28" i="19"/>
  <c r="S61" i="19"/>
  <c r="S23" i="19"/>
  <c r="S34" i="19"/>
  <c r="I56" i="25"/>
  <c r="I54" i="25"/>
  <c r="G79" i="14"/>
  <c r="G80" i="14" s="1"/>
  <c r="G78" i="14"/>
  <c r="U93" i="14"/>
  <c r="X110" i="13"/>
  <c r="X102" i="13"/>
  <c r="U13" i="14"/>
  <c r="R38" i="8"/>
  <c r="D123" i="14"/>
  <c r="G113" i="13"/>
  <c r="F61" i="26" s="1"/>
  <c r="M118" i="14"/>
  <c r="K113" i="13"/>
  <c r="J61" i="26" s="1"/>
  <c r="H123" i="14"/>
  <c r="H76" i="16"/>
  <c r="H77" i="16" s="1"/>
  <c r="R73" i="26"/>
  <c r="R45" i="26"/>
  <c r="K63" i="30"/>
  <c r="S34" i="23"/>
  <c r="S32" i="23"/>
  <c r="S61" i="23"/>
  <c r="S27" i="23"/>
  <c r="S17" i="23"/>
  <c r="S37" i="23"/>
  <c r="S28" i="23"/>
  <c r="S16" i="23"/>
  <c r="S36" i="23"/>
  <c r="S31" i="23"/>
  <c r="S72" i="23"/>
  <c r="S15" i="23"/>
  <c r="S33" i="23"/>
  <c r="S62" i="23"/>
  <c r="S44" i="23"/>
  <c r="S30" i="23"/>
  <c r="S23" i="23"/>
  <c r="S35" i="23"/>
  <c r="S13" i="23"/>
  <c r="S18" i="23"/>
  <c r="S14" i="23"/>
  <c r="T12" i="23"/>
  <c r="S38" i="23"/>
  <c r="S29" i="23"/>
  <c r="E50" i="30"/>
  <c r="E52" i="30"/>
  <c r="S35" i="31"/>
  <c r="S30" i="31"/>
  <c r="S23" i="31"/>
  <c r="S18" i="31"/>
  <c r="S13" i="31"/>
  <c r="S28" i="31"/>
  <c r="S16" i="31"/>
  <c r="S34" i="31"/>
  <c r="S33" i="31"/>
  <c r="S17" i="31"/>
  <c r="S32" i="31"/>
  <c r="S15" i="31"/>
  <c r="S14" i="31"/>
  <c r="S37" i="31"/>
  <c r="S27" i="31"/>
  <c r="S38" i="31"/>
  <c r="S31" i="31"/>
  <c r="S72" i="31"/>
  <c r="T12" i="31"/>
  <c r="S62" i="31"/>
  <c r="S44" i="31"/>
  <c r="S36" i="31"/>
  <c r="S29" i="31"/>
  <c r="S61" i="31"/>
  <c r="S75" i="31"/>
  <c r="S66" i="31"/>
  <c r="S43" i="31"/>
  <c r="S47" i="31"/>
  <c r="S60" i="31"/>
  <c r="R39" i="31"/>
  <c r="E50" i="28"/>
  <c r="E52" i="28"/>
  <c r="R85" i="15"/>
  <c r="R80" i="15"/>
  <c r="R82" i="15"/>
  <c r="R79" i="15"/>
  <c r="R63" i="15"/>
  <c r="O73" i="24"/>
  <c r="O45" i="24"/>
  <c r="P41" i="19"/>
  <c r="F63" i="31"/>
  <c r="T19" i="26"/>
  <c r="U113" i="14"/>
  <c r="X112" i="13"/>
  <c r="R36" i="8"/>
  <c r="R44" i="8"/>
  <c r="C123" i="14"/>
  <c r="F113" i="13"/>
  <c r="E61" i="26" s="1"/>
  <c r="R21" i="20"/>
  <c r="R22" i="20" s="1"/>
  <c r="R24" i="20" s="1"/>
  <c r="P41" i="27"/>
  <c r="P41" i="31"/>
  <c r="T19" i="30"/>
  <c r="T20" i="30" s="1"/>
  <c r="N11" i="52"/>
  <c r="H212" i="49"/>
  <c r="Q41" i="24"/>
  <c r="R19" i="28"/>
  <c r="R20" i="28" s="1"/>
  <c r="I54" i="21"/>
  <c r="I56" i="21" s="1"/>
  <c r="R19" i="31"/>
  <c r="R20" i="31" s="1"/>
  <c r="Q21" i="31"/>
  <c r="Q22" i="31" s="1"/>
  <c r="Q24" i="31" s="1"/>
  <c r="R19" i="15"/>
  <c r="R21" i="17"/>
  <c r="R22" i="17" s="1"/>
  <c r="R24" i="17" s="1"/>
  <c r="O63" i="30"/>
  <c r="I50" i="18"/>
  <c r="I52" i="18"/>
  <c r="R19" i="25"/>
  <c r="R20" i="25" s="1"/>
  <c r="J143" i="49"/>
  <c r="Q143" i="49" s="1"/>
  <c r="W4" i="14"/>
  <c r="V41" i="14"/>
  <c r="V32" i="14"/>
  <c r="Y132" i="13" s="1"/>
  <c r="V71" i="14"/>
  <c r="V82" i="14"/>
  <c r="Y137" i="13" s="1"/>
  <c r="V11" i="14"/>
  <c r="V22" i="14"/>
  <c r="Y131" i="13" s="1"/>
  <c r="V132" i="14"/>
  <c r="Y142" i="13" s="1"/>
  <c r="V12" i="14"/>
  <c r="Y130" i="13" s="1"/>
  <c r="V26" i="14"/>
  <c r="V72" i="14"/>
  <c r="Y136" i="13" s="1"/>
  <c r="V42" i="14"/>
  <c r="Y133" i="13" s="1"/>
  <c r="V92" i="14"/>
  <c r="Y138" i="13" s="1"/>
  <c r="V91" i="14"/>
  <c r="V112" i="14"/>
  <c r="Y140" i="13" s="1"/>
  <c r="V21" i="14"/>
  <c r="V31" i="14"/>
  <c r="V52" i="14"/>
  <c r="Y134" i="13" s="1"/>
  <c r="V51" i="14"/>
  <c r="V131" i="14"/>
  <c r="V111" i="14"/>
  <c r="V81" i="14"/>
  <c r="V106" i="14"/>
  <c r="V166" i="14"/>
  <c r="V146" i="14"/>
  <c r="V156" i="14"/>
  <c r="V86" i="14"/>
  <c r="V46" i="14"/>
  <c r="V66" i="14"/>
  <c r="V6" i="14"/>
  <c r="V96" i="14"/>
  <c r="V16" i="14"/>
  <c r="V36" i="14"/>
  <c r="V56" i="14"/>
  <c r="V116" i="14"/>
  <c r="V76" i="14"/>
  <c r="V136" i="14"/>
  <c r="V126" i="14"/>
  <c r="V142" i="14"/>
  <c r="Y143" i="13" s="1"/>
  <c r="V162" i="14"/>
  <c r="Y145" i="13" s="1"/>
  <c r="V171" i="14"/>
  <c r="V172" i="14"/>
  <c r="Y146" i="13" s="1"/>
  <c r="V161" i="14"/>
  <c r="V141" i="14"/>
  <c r="H113" i="13"/>
  <c r="G61" i="26" s="1"/>
  <c r="E123" i="14"/>
  <c r="R39" i="27"/>
  <c r="T35" i="20"/>
  <c r="T31" i="20"/>
  <c r="T27" i="20"/>
  <c r="T17" i="20"/>
  <c r="T13" i="20"/>
  <c r="T36" i="20"/>
  <c r="T32" i="20"/>
  <c r="T28" i="20"/>
  <c r="T18" i="20"/>
  <c r="T14" i="20"/>
  <c r="T33" i="20"/>
  <c r="T37" i="20"/>
  <c r="T15" i="20"/>
  <c r="T30" i="20"/>
  <c r="T29" i="20"/>
  <c r="T16" i="20"/>
  <c r="T34" i="20"/>
  <c r="T38" i="20"/>
  <c r="T72" i="20"/>
  <c r="T44" i="20"/>
  <c r="T23" i="20"/>
  <c r="U12" i="20"/>
  <c r="T43" i="20"/>
  <c r="T60" i="20"/>
  <c r="T75" i="20"/>
  <c r="T66" i="20"/>
  <c r="T47" i="20"/>
  <c r="Q39" i="8"/>
  <c r="L63" i="28"/>
  <c r="F63" i="30"/>
  <c r="R39" i="21"/>
  <c r="R19" i="21"/>
  <c r="S35" i="24"/>
  <c r="S31" i="24"/>
  <c r="S27" i="24"/>
  <c r="S17" i="24"/>
  <c r="S13" i="24"/>
  <c r="S36" i="24"/>
  <c r="S34" i="24"/>
  <c r="S29" i="24"/>
  <c r="S15" i="24"/>
  <c r="S72" i="24"/>
  <c r="S14" i="24"/>
  <c r="S30" i="24"/>
  <c r="S23" i="24"/>
  <c r="S18" i="24"/>
  <c r="S38" i="24"/>
  <c r="S33" i="24"/>
  <c r="S28" i="24"/>
  <c r="S37" i="24"/>
  <c r="T12" i="24"/>
  <c r="S44" i="24"/>
  <c r="S16" i="24"/>
  <c r="S32" i="24"/>
  <c r="S43" i="24"/>
  <c r="S75" i="24"/>
  <c r="S66" i="24"/>
  <c r="S60" i="24"/>
  <c r="S47" i="24"/>
  <c r="E67" i="16"/>
  <c r="E68" i="16" s="1"/>
  <c r="H63" i="31"/>
  <c r="G129" i="14"/>
  <c r="G130" i="14" s="1"/>
  <c r="Q63" i="28"/>
  <c r="D158" i="14"/>
  <c r="D159" i="14" s="1"/>
  <c r="D160" i="14" s="1"/>
  <c r="Q123" i="14"/>
  <c r="T113" i="13"/>
  <c r="S61" i="26" s="1"/>
  <c r="S63" i="26" s="1"/>
  <c r="P41" i="23"/>
  <c r="S19" i="17"/>
  <c r="S20" i="17" s="1"/>
  <c r="O45" i="27"/>
  <c r="O73" i="27"/>
  <c r="R19" i="23"/>
  <c r="R80" i="24"/>
  <c r="R85" i="24"/>
  <c r="R82" i="24"/>
  <c r="R79" i="24"/>
  <c r="I50" i="23"/>
  <c r="I52" i="23"/>
  <c r="R80" i="22"/>
  <c r="R82" i="22"/>
  <c r="R85" i="22"/>
  <c r="R79" i="22"/>
  <c r="R20" i="22"/>
  <c r="R29" i="8"/>
  <c r="S72" i="16"/>
  <c r="T12" i="16"/>
  <c r="S44" i="16"/>
  <c r="S38" i="16"/>
  <c r="S34" i="16"/>
  <c r="S30" i="16"/>
  <c r="S16" i="16"/>
  <c r="S61" i="16"/>
  <c r="S35" i="16"/>
  <c r="S31" i="16"/>
  <c r="S27" i="16"/>
  <c r="S17" i="16"/>
  <c r="S13" i="16"/>
  <c r="S62" i="16"/>
  <c r="S36" i="16"/>
  <c r="S28" i="16"/>
  <c r="S18" i="16"/>
  <c r="S37" i="16"/>
  <c r="S29" i="16"/>
  <c r="S32" i="16"/>
  <c r="S14" i="16"/>
  <c r="S15" i="16"/>
  <c r="S33" i="16"/>
  <c r="S23" i="16"/>
  <c r="R19" i="19"/>
  <c r="R20" i="19" s="1"/>
  <c r="U33" i="14"/>
  <c r="X104" i="13"/>
  <c r="R17" i="8"/>
  <c r="R82" i="16"/>
  <c r="R79" i="16"/>
  <c r="R85" i="16"/>
  <c r="R80" i="16"/>
  <c r="P73" i="20"/>
  <c r="P45" i="20"/>
  <c r="G123" i="14"/>
  <c r="J113" i="13"/>
  <c r="I61" i="26" s="1"/>
  <c r="S113" i="13"/>
  <c r="R61" i="26" s="1"/>
  <c r="P123" i="14"/>
  <c r="F164" i="14"/>
  <c r="I61" i="13" s="1"/>
  <c r="H48" i="30" s="1"/>
  <c r="T85" i="30"/>
  <c r="T79" i="30"/>
  <c r="T82" i="30"/>
  <c r="T80" i="30"/>
  <c r="Q63" i="30"/>
  <c r="R63" i="27"/>
  <c r="I63" i="28"/>
  <c r="J9" i="49"/>
  <c r="Q9" i="49" s="1"/>
  <c r="O41" i="16"/>
  <c r="R20" i="23"/>
  <c r="O73" i="29"/>
  <c r="O45" i="29"/>
  <c r="Q21" i="15"/>
  <c r="Q22" i="15" s="1"/>
  <c r="Q24" i="15" s="1"/>
  <c r="Q41" i="15" s="1"/>
  <c r="S36" i="29"/>
  <c r="S32" i="29"/>
  <c r="S28" i="29"/>
  <c r="S18" i="29"/>
  <c r="S14" i="29"/>
  <c r="S31" i="29"/>
  <c r="S34" i="29"/>
  <c r="S29" i="29"/>
  <c r="T12" i="29"/>
  <c r="S33" i="29"/>
  <c r="S30" i="29"/>
  <c r="S27" i="29"/>
  <c r="S72" i="29"/>
  <c r="S38" i="29"/>
  <c r="S15" i="29"/>
  <c r="S13" i="29"/>
  <c r="S23" i="29"/>
  <c r="S17" i="29"/>
  <c r="S44" i="29"/>
  <c r="S35" i="29"/>
  <c r="S16" i="29"/>
  <c r="S37" i="29"/>
  <c r="S60" i="29"/>
  <c r="S43" i="29"/>
  <c r="S47" i="29"/>
  <c r="S75" i="29"/>
  <c r="S66" i="29"/>
  <c r="H109" i="14"/>
  <c r="H110" i="14" s="1"/>
  <c r="H108" i="14"/>
  <c r="O45" i="25"/>
  <c r="O73" i="25"/>
  <c r="O45" i="31"/>
  <c r="O73" i="31"/>
  <c r="O73" i="15"/>
  <c r="O45" i="15"/>
  <c r="P41" i="16"/>
  <c r="E50" i="31"/>
  <c r="E52" i="31"/>
  <c r="J94" i="49"/>
  <c r="Q94" i="49" s="1"/>
  <c r="J111" i="49"/>
  <c r="Q111" i="49" s="1"/>
  <c r="L63" i="31"/>
  <c r="R39" i="25"/>
  <c r="T28" i="13"/>
  <c r="V28" i="13" s="1"/>
  <c r="U28" i="13"/>
  <c r="H38" i="14"/>
  <c r="H39" i="14"/>
  <c r="H40" i="14" s="1"/>
  <c r="R32" i="8"/>
  <c r="R39" i="16"/>
  <c r="R27" i="8"/>
  <c r="M123" i="14"/>
  <c r="P113" i="13"/>
  <c r="O61" i="26" s="1"/>
  <c r="K123" i="14"/>
  <c r="N113" i="13"/>
  <c r="M61" i="26" s="1"/>
  <c r="G67" i="22"/>
  <c r="G68" i="22" s="1"/>
  <c r="J176" i="49"/>
  <c r="Q176" i="49" s="1"/>
  <c r="U61" i="30"/>
  <c r="U35" i="30"/>
  <c r="U31" i="30"/>
  <c r="U27" i="30"/>
  <c r="U17" i="30"/>
  <c r="U13" i="30"/>
  <c r="U72" i="30"/>
  <c r="U34" i="30"/>
  <c r="U38" i="30"/>
  <c r="U33" i="30"/>
  <c r="U29" i="30"/>
  <c r="U18" i="30"/>
  <c r="V12" i="30"/>
  <c r="U44" i="30"/>
  <c r="U37" i="30"/>
  <c r="U32" i="30"/>
  <c r="U30" i="30"/>
  <c r="U62" i="30"/>
  <c r="U23" i="30"/>
  <c r="U14" i="30"/>
  <c r="U28" i="30"/>
  <c r="U36" i="30"/>
  <c r="U15" i="30"/>
  <c r="U16" i="30"/>
  <c r="U60" i="30"/>
  <c r="U47" i="30"/>
  <c r="U66" i="30"/>
  <c r="U43" i="30"/>
  <c r="U75" i="30"/>
  <c r="I63" i="30"/>
  <c r="O63" i="28"/>
  <c r="K63" i="28"/>
  <c r="R39" i="22"/>
  <c r="I76" i="25"/>
  <c r="I77" i="25" s="1"/>
  <c r="P21" i="8"/>
  <c r="P22" i="8" s="1"/>
  <c r="P24" i="8" s="1"/>
  <c r="O45" i="22"/>
  <c r="O73" i="22"/>
  <c r="U37" i="26"/>
  <c r="U33" i="26"/>
  <c r="U29" i="26"/>
  <c r="U23" i="26"/>
  <c r="U15" i="26"/>
  <c r="U61" i="26"/>
  <c r="U27" i="26"/>
  <c r="U18" i="26"/>
  <c r="U16" i="26"/>
  <c r="U32" i="26"/>
  <c r="U36" i="26"/>
  <c r="U31" i="26"/>
  <c r="U72" i="26"/>
  <c r="U35" i="26"/>
  <c r="U30" i="26"/>
  <c r="U28" i="26"/>
  <c r="U14" i="26"/>
  <c r="U44" i="26"/>
  <c r="U17" i="26"/>
  <c r="V12" i="26"/>
  <c r="U13" i="26"/>
  <c r="U34" i="26"/>
  <c r="U62" i="26"/>
  <c r="U38" i="26"/>
  <c r="U43" i="26"/>
  <c r="U66" i="26"/>
  <c r="U60" i="26"/>
  <c r="U47" i="26"/>
  <c r="U75" i="26"/>
  <c r="U123" i="14"/>
  <c r="X113" i="13"/>
  <c r="H67" i="23"/>
  <c r="H68" i="23" s="1"/>
  <c r="S44" i="25"/>
  <c r="S38" i="25"/>
  <c r="S34" i="25"/>
  <c r="S30" i="25"/>
  <c r="S16" i="25"/>
  <c r="S36" i="25"/>
  <c r="T12" i="25"/>
  <c r="S31" i="25"/>
  <c r="S29" i="25"/>
  <c r="S13" i="25"/>
  <c r="S62" i="25"/>
  <c r="S33" i="25"/>
  <c r="S17" i="25"/>
  <c r="S61" i="25"/>
  <c r="S28" i="25"/>
  <c r="S37" i="25"/>
  <c r="S32" i="25"/>
  <c r="S27" i="25"/>
  <c r="S23" i="25"/>
  <c r="S18" i="25"/>
  <c r="S14" i="25"/>
  <c r="S15" i="25"/>
  <c r="S72" i="25"/>
  <c r="S35" i="25"/>
  <c r="K90" i="13"/>
  <c r="J64" i="31" s="1"/>
  <c r="J76" i="31" s="1"/>
  <c r="J77" i="31" s="1"/>
  <c r="J82" i="31" s="1"/>
  <c r="I167" i="14"/>
  <c r="R82" i="25"/>
  <c r="R80" i="25"/>
  <c r="R79" i="25"/>
  <c r="R85" i="25"/>
  <c r="T20" i="26"/>
  <c r="M63" i="31"/>
  <c r="I76" i="18"/>
  <c r="I77" i="18" s="1"/>
  <c r="R31" i="8"/>
  <c r="C119" i="14"/>
  <c r="C120" i="14" s="1"/>
  <c r="Q113" i="13"/>
  <c r="P61" i="26" s="1"/>
  <c r="N123" i="14"/>
  <c r="J63" i="28"/>
  <c r="R152" i="14"/>
  <c r="U144" i="13" s="1"/>
  <c r="F152" i="14"/>
  <c r="I144" i="13" s="1"/>
  <c r="H62" i="29" s="1"/>
  <c r="O151" i="14"/>
  <c r="C151" i="14"/>
  <c r="N152" i="14"/>
  <c r="Q144" i="13" s="1"/>
  <c r="P62" i="29" s="1"/>
  <c r="W151" i="14"/>
  <c r="K151" i="14"/>
  <c r="K152" i="14"/>
  <c r="N144" i="13" s="1"/>
  <c r="M62" i="29" s="1"/>
  <c r="R151" i="14"/>
  <c r="D151" i="14"/>
  <c r="J152" i="14"/>
  <c r="M144" i="13" s="1"/>
  <c r="L62" i="29" s="1"/>
  <c r="Q151" i="14"/>
  <c r="V152" i="14"/>
  <c r="Y144" i="13" s="1"/>
  <c r="H152" i="14"/>
  <c r="K144" i="13" s="1"/>
  <c r="J62" i="29" s="1"/>
  <c r="N151" i="14"/>
  <c r="T152" i="14"/>
  <c r="W144" i="13" s="1"/>
  <c r="E152" i="14"/>
  <c r="H144" i="13" s="1"/>
  <c r="G62" i="29" s="1"/>
  <c r="L151" i="14"/>
  <c r="P152" i="14"/>
  <c r="S144" i="13" s="1"/>
  <c r="R62" i="29" s="1"/>
  <c r="V151" i="14"/>
  <c r="H151" i="14"/>
  <c r="W33" i="13"/>
  <c r="D152" i="14"/>
  <c r="G144" i="13" s="1"/>
  <c r="F62" i="29" s="1"/>
  <c r="X33" i="13"/>
  <c r="U152" i="14"/>
  <c r="X144" i="13" s="1"/>
  <c r="S151" i="14"/>
  <c r="U151" i="14"/>
  <c r="S152" i="14"/>
  <c r="V144" i="13" s="1"/>
  <c r="O152" i="14"/>
  <c r="R144" i="13" s="1"/>
  <c r="Q62" i="29" s="1"/>
  <c r="I152" i="14"/>
  <c r="L144" i="13" s="1"/>
  <c r="K62" i="29" s="1"/>
  <c r="G152" i="14"/>
  <c r="J144" i="13" s="1"/>
  <c r="I62" i="29" s="1"/>
  <c r="T151" i="14"/>
  <c r="P151" i="14"/>
  <c r="W152" i="14"/>
  <c r="Z144" i="13" s="1"/>
  <c r="M151" i="14"/>
  <c r="J151" i="14"/>
  <c r="G147" i="14"/>
  <c r="G151" i="14"/>
  <c r="M152" i="14"/>
  <c r="P144" i="13" s="1"/>
  <c r="O62" i="29" s="1"/>
  <c r="C152" i="14"/>
  <c r="F144" i="13" s="1"/>
  <c r="E62" i="29" s="1"/>
  <c r="Q152" i="14"/>
  <c r="T144" i="13" s="1"/>
  <c r="S62" i="29" s="1"/>
  <c r="I151" i="14"/>
  <c r="L152" i="14"/>
  <c r="O144" i="13" s="1"/>
  <c r="N62" i="29" s="1"/>
  <c r="E151" i="14"/>
  <c r="C148" i="14"/>
  <c r="C149" i="14"/>
  <c r="C150" i="14" s="1"/>
  <c r="F88" i="13" s="1"/>
  <c r="E64" i="29" s="1"/>
  <c r="S44" i="27"/>
  <c r="S38" i="27"/>
  <c r="S34" i="27"/>
  <c r="S30" i="27"/>
  <c r="S16" i="27"/>
  <c r="S61" i="27"/>
  <c r="S27" i="27"/>
  <c r="S23" i="27"/>
  <c r="T12" i="27"/>
  <c r="S14" i="27"/>
  <c r="S18" i="27"/>
  <c r="S37" i="27"/>
  <c r="S13" i="27"/>
  <c r="S72" i="27"/>
  <c r="S35" i="27"/>
  <c r="S36" i="27"/>
  <c r="S33" i="27"/>
  <c r="S28" i="27"/>
  <c r="S15" i="27"/>
  <c r="S29" i="27"/>
  <c r="S62" i="27"/>
  <c r="S32" i="27"/>
  <c r="S31" i="27"/>
  <c r="S17" i="27"/>
  <c r="S20" i="20"/>
  <c r="E63" i="31"/>
  <c r="P41" i="21"/>
  <c r="K63" i="31"/>
  <c r="N45" i="29"/>
  <c r="N73" i="29"/>
  <c r="R82" i="23"/>
  <c r="R80" i="23"/>
  <c r="R85" i="23"/>
  <c r="R79" i="23"/>
  <c r="N63" i="28"/>
  <c r="S37" i="21"/>
  <c r="S33" i="21"/>
  <c r="S29" i="21"/>
  <c r="S23" i="21"/>
  <c r="S15" i="21"/>
  <c r="S44" i="21"/>
  <c r="S38" i="21"/>
  <c r="S34" i="21"/>
  <c r="S30" i="21"/>
  <c r="S16" i="21"/>
  <c r="S31" i="21"/>
  <c r="S18" i="21"/>
  <c r="S35" i="21"/>
  <c r="S13" i="21"/>
  <c r="S62" i="21"/>
  <c r="S28" i="21"/>
  <c r="S72" i="21"/>
  <c r="S32" i="21"/>
  <c r="S61" i="21"/>
  <c r="S17" i="21"/>
  <c r="T12" i="21"/>
  <c r="S14" i="21"/>
  <c r="S27" i="21"/>
  <c r="S36" i="21"/>
  <c r="U173" i="14"/>
  <c r="X118" i="13"/>
  <c r="P73" i="15"/>
  <c r="P45" i="15"/>
  <c r="G90" i="13"/>
  <c r="F64" i="31" s="1"/>
  <c r="F76" i="31" s="1"/>
  <c r="F77" i="31" s="1"/>
  <c r="F26" i="4" s="1"/>
  <c r="E167" i="14"/>
  <c r="Q63" i="31"/>
  <c r="K10" i="52"/>
  <c r="H160" i="49"/>
  <c r="N73" i="8"/>
  <c r="N45" i="8"/>
  <c r="H28" i="14"/>
  <c r="H29" i="14"/>
  <c r="H30" i="14" s="1"/>
  <c r="L63" i="30"/>
  <c r="P41" i="24"/>
  <c r="T82" i="26"/>
  <c r="T80" i="26"/>
  <c r="T85" i="26"/>
  <c r="T79" i="26"/>
  <c r="R13" i="8"/>
  <c r="G144" i="14"/>
  <c r="J59" i="13" s="1"/>
  <c r="I48" i="28" s="1"/>
  <c r="R63" i="25"/>
  <c r="T39" i="26"/>
  <c r="R33" i="8"/>
  <c r="Y30" i="13"/>
  <c r="U113" i="13"/>
  <c r="T61" i="26" s="1"/>
  <c r="T63" i="26" s="1"/>
  <c r="R123" i="14"/>
  <c r="R82" i="28"/>
  <c r="R79" i="28"/>
  <c r="R80" i="28"/>
  <c r="R85" i="28"/>
  <c r="P63" i="28"/>
  <c r="H70" i="14"/>
  <c r="H69" i="14"/>
  <c r="H68" i="14"/>
  <c r="H74" i="14" s="1"/>
  <c r="K52" i="13" s="1"/>
  <c r="J48" i="21" s="1"/>
  <c r="R39" i="23"/>
  <c r="R79" i="21"/>
  <c r="R82" i="21"/>
  <c r="R85" i="21"/>
  <c r="R80" i="21"/>
  <c r="R80" i="29"/>
  <c r="R82" i="29"/>
  <c r="R79" i="29"/>
  <c r="R85" i="29"/>
  <c r="R20" i="15"/>
  <c r="O45" i="23"/>
  <c r="O73" i="23"/>
  <c r="I9" i="14"/>
  <c r="I10" i="14" s="1"/>
  <c r="I8" i="14"/>
  <c r="I14" i="14" s="1"/>
  <c r="L46" i="13" s="1"/>
  <c r="K48" i="15" s="1"/>
  <c r="I54" i="19"/>
  <c r="I56" i="19" s="1"/>
  <c r="J63" i="30"/>
  <c r="R35" i="8"/>
  <c r="I113" i="13"/>
  <c r="H61" i="26" s="1"/>
  <c r="F123" i="14"/>
  <c r="S39" i="17"/>
  <c r="T37" i="17"/>
  <c r="T33" i="17"/>
  <c r="T29" i="17"/>
  <c r="T23" i="17"/>
  <c r="T15" i="17"/>
  <c r="T72" i="17"/>
  <c r="U12" i="17"/>
  <c r="T44" i="17"/>
  <c r="T38" i="17"/>
  <c r="T34" i="17"/>
  <c r="T30" i="17"/>
  <c r="T16" i="17"/>
  <c r="T62" i="17"/>
  <c r="T36" i="17"/>
  <c r="T28" i="17"/>
  <c r="T18" i="17"/>
  <c r="T31" i="17"/>
  <c r="T13" i="17"/>
  <c r="T27" i="17"/>
  <c r="T61" i="17"/>
  <c r="T35" i="17"/>
  <c r="T32" i="17"/>
  <c r="T17" i="17"/>
  <c r="T14" i="17"/>
  <c r="R19" i="27"/>
  <c r="R20" i="27" s="1"/>
  <c r="R79" i="27"/>
  <c r="R80" i="27"/>
  <c r="R85" i="27"/>
  <c r="R82" i="27"/>
  <c r="S39" i="20"/>
  <c r="Q19" i="8"/>
  <c r="Q20" i="8" s="1"/>
  <c r="H174" i="14"/>
  <c r="K62" i="13" s="1"/>
  <c r="J48" i="31" s="1"/>
  <c r="R85" i="19"/>
  <c r="R79" i="19"/>
  <c r="R80" i="19"/>
  <c r="R82" i="19"/>
  <c r="R39" i="19"/>
  <c r="M63" i="30"/>
  <c r="D174" i="14"/>
  <c r="G62" i="13" s="1"/>
  <c r="F48" i="31" s="1"/>
  <c r="U83" i="14"/>
  <c r="X109" i="13"/>
  <c r="X114" i="13"/>
  <c r="U133" i="14"/>
  <c r="U43" i="14"/>
  <c r="X105" i="13"/>
  <c r="R19" i="16"/>
  <c r="R20" i="16" s="1"/>
  <c r="R14" i="8"/>
  <c r="R19" i="8" s="1"/>
  <c r="R63" i="16"/>
  <c r="N63" i="30"/>
  <c r="M113" i="13"/>
  <c r="L61" i="26" s="1"/>
  <c r="J123" i="14"/>
  <c r="V121" i="14"/>
  <c r="T123" i="14"/>
  <c r="W113" i="13"/>
  <c r="I123" i="14"/>
  <c r="L113" i="13"/>
  <c r="K61" i="26" s="1"/>
  <c r="S82" i="17"/>
  <c r="S80" i="17"/>
  <c r="S85" i="17"/>
  <c r="S79" i="17"/>
  <c r="I54" i="17"/>
  <c r="H50" i="16"/>
  <c r="H52" i="16"/>
  <c r="D138" i="14"/>
  <c r="D139" i="14"/>
  <c r="D140" i="14" s="1"/>
  <c r="I76" i="21"/>
  <c r="I77" i="21" s="1"/>
  <c r="P63" i="30"/>
  <c r="J63" i="31"/>
  <c r="R82" i="31"/>
  <c r="R80" i="31"/>
  <c r="R85" i="31"/>
  <c r="R79" i="31"/>
  <c r="R20" i="21"/>
  <c r="M9" i="52"/>
  <c r="H193" i="49"/>
  <c r="N63" i="31"/>
  <c r="G63" i="28"/>
  <c r="R63" i="22"/>
  <c r="O73" i="21"/>
  <c r="O45" i="21"/>
  <c r="H90" i="14"/>
  <c r="H88" i="14"/>
  <c r="H94" i="14" s="1"/>
  <c r="K54" i="13" s="1"/>
  <c r="J48" i="23" s="1"/>
  <c r="H89" i="14"/>
  <c r="H1683" i="49"/>
  <c r="H1684" i="49"/>
  <c r="H1682" i="49"/>
  <c r="H1350" i="49"/>
  <c r="H1393" i="49"/>
  <c r="H1394" i="49"/>
  <c r="H1395" i="49"/>
  <c r="H1367" i="49"/>
  <c r="R8" i="51"/>
  <c r="E195" i="46"/>
  <c r="E184" i="46"/>
  <c r="H1335" i="49"/>
  <c r="H1382" i="49"/>
  <c r="P19" i="51"/>
  <c r="H4691" i="49"/>
  <c r="H4693" i="49"/>
  <c r="H4692" i="49"/>
  <c r="H3686" i="49"/>
  <c r="H4870" i="49"/>
  <c r="H4869" i="49"/>
  <c r="H1978" i="49"/>
  <c r="H3724" i="49"/>
  <c r="H1697" i="49"/>
  <c r="R9" i="51"/>
  <c r="H3259" i="49"/>
  <c r="E508" i="46"/>
  <c r="H3550" i="49"/>
  <c r="E558" i="46"/>
  <c r="H755" i="49"/>
  <c r="G6" i="3"/>
  <c r="E87" i="46"/>
  <c r="K9" i="39"/>
  <c r="E40" i="46"/>
  <c r="H5050" i="49"/>
  <c r="H5049" i="49"/>
  <c r="H5048" i="49"/>
  <c r="H3652" i="49"/>
  <c r="E574" i="46"/>
  <c r="E516" i="46"/>
  <c r="H4486" i="49"/>
  <c r="H4384" i="49"/>
  <c r="H4350" i="49"/>
  <c r="E687" i="46"/>
  <c r="H4929" i="49"/>
  <c r="H4930" i="49"/>
  <c r="H4931" i="49"/>
  <c r="E784" i="46"/>
  <c r="H4124" i="49"/>
  <c r="E649" i="46"/>
  <c r="E435" i="46"/>
  <c r="H5008" i="49"/>
  <c r="H3601" i="49"/>
  <c r="H5083" i="49"/>
  <c r="H5082" i="49"/>
  <c r="H5084" i="49"/>
  <c r="H3984" i="49"/>
  <c r="H3703" i="49"/>
  <c r="H3358" i="49"/>
  <c r="E520" i="46"/>
  <c r="H3406" i="49"/>
  <c r="H4233" i="49"/>
  <c r="H4234" i="49"/>
  <c r="H4232" i="49"/>
  <c r="K18" i="40"/>
  <c r="E672" i="46"/>
  <c r="H640" i="49"/>
  <c r="H772" i="49"/>
  <c r="H3618" i="49"/>
  <c r="H5135" i="49"/>
  <c r="H5134" i="49"/>
  <c r="H5133" i="49"/>
  <c r="H4098" i="49"/>
  <c r="H4097" i="49"/>
  <c r="H4096" i="49"/>
  <c r="H2550" i="49"/>
  <c r="H2551" i="49"/>
  <c r="H2549" i="49"/>
  <c r="E689" i="46"/>
  <c r="H4544" i="49"/>
  <c r="H1624" i="49"/>
  <c r="E232" i="46"/>
  <c r="H4062" i="49"/>
  <c r="H4064" i="49"/>
  <c r="H4063" i="49"/>
  <c r="E640" i="46"/>
  <c r="H4867" i="49"/>
  <c r="H4292" i="49"/>
  <c r="H3714" i="49"/>
  <c r="H4003" i="49"/>
  <c r="H2565" i="49"/>
  <c r="H3425" i="49"/>
  <c r="H1122" i="49"/>
  <c r="H830" i="49"/>
  <c r="H1402" i="49"/>
  <c r="R12" i="51"/>
  <c r="H4982" i="49"/>
  <c r="H4980" i="49"/>
  <c r="H4981" i="49"/>
  <c r="H2217" i="49"/>
  <c r="H4828" i="49"/>
  <c r="H4829" i="49"/>
  <c r="H4827" i="49"/>
  <c r="E170" i="46"/>
  <c r="E819" i="46"/>
  <c r="H4778" i="49"/>
  <c r="H4776" i="49"/>
  <c r="H4777" i="49"/>
  <c r="H2232" i="49"/>
  <c r="H4854" i="49"/>
  <c r="P18" i="51"/>
  <c r="H5166" i="49"/>
  <c r="H5165" i="49"/>
  <c r="H4299" i="49"/>
  <c r="H3713" i="49"/>
  <c r="H3721" i="49"/>
  <c r="H1120" i="49"/>
  <c r="H5140" i="49"/>
  <c r="E483" i="46"/>
  <c r="H2103" i="49"/>
  <c r="E316" i="46"/>
  <c r="H5014" i="49"/>
  <c r="H5016" i="49"/>
  <c r="H5015" i="49"/>
  <c r="S7" i="51"/>
  <c r="H4726" i="49"/>
  <c r="H4725" i="49"/>
  <c r="H4727" i="49"/>
  <c r="H2780" i="49"/>
  <c r="E424" i="46"/>
  <c r="H1228" i="49"/>
  <c r="H1227" i="49"/>
  <c r="E243" i="46"/>
  <c r="H4273" i="49"/>
  <c r="H5159" i="49"/>
  <c r="H4879" i="49"/>
  <c r="H4868" i="49"/>
  <c r="H3431" i="49"/>
  <c r="H3711" i="49"/>
  <c r="H2275" i="49"/>
  <c r="H2838" i="49"/>
  <c r="H2840" i="49"/>
  <c r="H2839" i="49"/>
  <c r="H3567" i="49"/>
  <c r="E634" i="46"/>
  <c r="H3069" i="49"/>
  <c r="E472" i="46"/>
  <c r="E531" i="46"/>
  <c r="H2491" i="49"/>
  <c r="E376" i="46"/>
  <c r="H4401" i="49"/>
  <c r="H4571" i="49"/>
  <c r="R11" i="51"/>
  <c r="H4760" i="49"/>
  <c r="H4761" i="49"/>
  <c r="H4759" i="49"/>
  <c r="H3418" i="49"/>
  <c r="H3416" i="49"/>
  <c r="H3417" i="49"/>
  <c r="H4249" i="49"/>
  <c r="H4250" i="49"/>
  <c r="H4251" i="49"/>
  <c r="H3388" i="49"/>
  <c r="H4876" i="49"/>
  <c r="H4298" i="49"/>
  <c r="H1119" i="49"/>
  <c r="H4744" i="49"/>
  <c r="H4743" i="49"/>
  <c r="H4742" i="49"/>
  <c r="H4057" i="49"/>
  <c r="E635" i="46"/>
  <c r="H5122" i="49"/>
  <c r="H1093" i="49"/>
  <c r="S10" i="51"/>
  <c r="E723" i="46"/>
  <c r="E778" i="46"/>
  <c r="H2367" i="49"/>
  <c r="H2366" i="49"/>
  <c r="H4166" i="49"/>
  <c r="H4164" i="49"/>
  <c r="H4165" i="49"/>
  <c r="H4469" i="49"/>
  <c r="H4503" i="49"/>
  <c r="E180" i="46"/>
  <c r="H4554" i="49"/>
  <c r="H1525" i="49"/>
  <c r="E220" i="46"/>
  <c r="H4537" i="49"/>
  <c r="H4217" i="49"/>
  <c r="H4216" i="49"/>
  <c r="H4215" i="49"/>
  <c r="H4963" i="49"/>
  <c r="H4965" i="49"/>
  <c r="H4964" i="49"/>
  <c r="H3722" i="49"/>
  <c r="H3720" i="49"/>
  <c r="H2564" i="49"/>
  <c r="H3432" i="49"/>
  <c r="H2847" i="49"/>
  <c r="H1113" i="49"/>
  <c r="H1111" i="49"/>
  <c r="E675" i="46"/>
  <c r="E730" i="46"/>
  <c r="H1639" i="49"/>
  <c r="H3951" i="49"/>
  <c r="H4659" i="49"/>
  <c r="H4657" i="49"/>
  <c r="H4658" i="49"/>
  <c r="H2795" i="49"/>
  <c r="H4845" i="49"/>
  <c r="H4846" i="49"/>
  <c r="H4844" i="49"/>
  <c r="H4514" i="49"/>
  <c r="E712" i="46"/>
  <c r="H5092" i="49"/>
  <c r="E808" i="46"/>
  <c r="H4924" i="49"/>
  <c r="E779" i="46"/>
  <c r="T20" i="51"/>
  <c r="E387" i="46"/>
  <c r="T16" i="51"/>
  <c r="H5066" i="49"/>
  <c r="H5065" i="49"/>
  <c r="H5067" i="49"/>
  <c r="H5033" i="49"/>
  <c r="H5032" i="49"/>
  <c r="H5031" i="49"/>
  <c r="H3084" i="49"/>
  <c r="H1672" i="49"/>
  <c r="H3996" i="49"/>
  <c r="H3994" i="49"/>
  <c r="H3995" i="49"/>
  <c r="H4710" i="49"/>
  <c r="H4708" i="49"/>
  <c r="H4709" i="49"/>
  <c r="E752" i="46"/>
  <c r="H3584" i="49"/>
  <c r="E339" i="46"/>
  <c r="H4266" i="49"/>
  <c r="H4267" i="49"/>
  <c r="H4268" i="49"/>
  <c r="E410" i="46"/>
  <c r="H4529" i="49"/>
  <c r="E420" i="46"/>
  <c r="H1063" i="49"/>
  <c r="H4581" i="49"/>
  <c r="H2558" i="49"/>
  <c r="H1412" i="49"/>
  <c r="H4225" i="49"/>
  <c r="E664" i="46"/>
  <c r="H4635" i="49"/>
  <c r="E731" i="46"/>
  <c r="H4946" i="49"/>
  <c r="H4948" i="49"/>
  <c r="H4947" i="49"/>
  <c r="H5107" i="49"/>
  <c r="H4810" i="49"/>
  <c r="H4812" i="49"/>
  <c r="H4811" i="49"/>
  <c r="K20" i="40"/>
  <c r="E768" i="46"/>
  <c r="R14" i="51"/>
  <c r="H2673" i="49"/>
  <c r="H2672" i="49"/>
  <c r="H2118" i="49"/>
  <c r="E324" i="46"/>
  <c r="H4497" i="49"/>
  <c r="H2202" i="49"/>
  <c r="E328" i="46"/>
  <c r="H2696" i="49"/>
  <c r="H1078" i="49"/>
  <c r="H5116" i="49"/>
  <c r="H5118" i="49"/>
  <c r="H5117" i="49"/>
  <c r="H3712" i="49"/>
  <c r="H1410" i="49"/>
  <c r="H633" i="49"/>
  <c r="H632" i="49"/>
  <c r="H1945" i="49"/>
  <c r="H2506" i="49"/>
  <c r="H3373" i="49"/>
  <c r="H5101" i="49"/>
  <c r="H5100" i="49"/>
  <c r="H5099" i="49"/>
  <c r="E816" i="46"/>
  <c r="K21" i="40"/>
  <c r="H4588" i="49"/>
  <c r="H2276" i="49"/>
  <c r="H2269" i="49"/>
  <c r="H1409" i="49"/>
  <c r="H831" i="49"/>
  <c r="H1698" i="49"/>
  <c r="H3117" i="49"/>
  <c r="H1235" i="49"/>
  <c r="E171" i="46"/>
  <c r="H2250" i="49"/>
  <c r="H2680" i="49"/>
  <c r="E411" i="46"/>
  <c r="H4132" i="49"/>
  <c r="H4131" i="49"/>
  <c r="H4130" i="49"/>
  <c r="E656" i="46"/>
  <c r="H805" i="49"/>
  <c r="H4435" i="49"/>
  <c r="H4452" i="49"/>
  <c r="R17" i="51"/>
  <c r="E657" i="46"/>
  <c r="H4240" i="49"/>
  <c r="H3820" i="49"/>
  <c r="H3136" i="49"/>
  <c r="H824" i="49"/>
  <c r="H1121" i="49"/>
  <c r="H4562" i="49"/>
  <c r="H3698" i="49"/>
  <c r="H599" i="49"/>
  <c r="H598" i="49"/>
  <c r="E66" i="46"/>
  <c r="H3936" i="49"/>
  <c r="E616" i="46"/>
  <c r="R6" i="51"/>
  <c r="H4685" i="49"/>
  <c r="R15" i="51"/>
  <c r="H3669" i="49"/>
  <c r="H4367" i="49"/>
  <c r="H4418" i="49"/>
  <c r="E703" i="46"/>
  <c r="H4520" i="49"/>
  <c r="E719" i="46"/>
  <c r="H2828" i="49"/>
  <c r="H815" i="49"/>
  <c r="H816" i="49"/>
  <c r="H817" i="49"/>
  <c r="H3821" i="49"/>
  <c r="H3827" i="49"/>
  <c r="H4877" i="49"/>
  <c r="H4010" i="49"/>
  <c r="H3723" i="49"/>
  <c r="H2853" i="49"/>
  <c r="H1980" i="49"/>
  <c r="H4009" i="49"/>
  <c r="H1691" i="49"/>
  <c r="H1123" i="49"/>
  <c r="R21" i="51"/>
  <c r="H4182" i="49"/>
  <c r="H4183" i="49"/>
  <c r="H4181" i="49"/>
  <c r="E627" i="46"/>
  <c r="H1930" i="49"/>
  <c r="E51" i="46"/>
  <c r="H1540" i="49"/>
  <c r="H3266" i="49"/>
  <c r="H3260" i="49"/>
  <c r="E509" i="46"/>
  <c r="H3482" i="49"/>
  <c r="E542" i="46"/>
  <c r="H3101" i="49"/>
  <c r="H3516" i="49"/>
  <c r="H4641" i="49"/>
  <c r="H4642" i="49"/>
  <c r="H4640" i="49"/>
  <c r="E736" i="46"/>
  <c r="H1411" i="49"/>
  <c r="H4199" i="49"/>
  <c r="H4200" i="49"/>
  <c r="H4198" i="49"/>
  <c r="R13" i="51"/>
  <c r="H3533" i="49"/>
  <c r="H4940" i="49"/>
  <c r="H947" i="49"/>
  <c r="E124" i="46"/>
  <c r="H4878" i="49"/>
  <c r="H4880" i="49"/>
  <c r="H2854" i="49"/>
  <c r="H1408" i="49"/>
  <c r="H3499" i="49"/>
  <c r="H2539" i="49"/>
  <c r="H4147" i="49"/>
  <c r="H4148" i="49"/>
  <c r="H4149" i="49"/>
  <c r="H4793" i="49"/>
  <c r="H4794" i="49"/>
  <c r="H4795" i="49"/>
  <c r="E132" i="46"/>
  <c r="H4081" i="49"/>
  <c r="H4079" i="49"/>
  <c r="H4080" i="49"/>
  <c r="H2375" i="49"/>
  <c r="H4255" i="49"/>
  <c r="H1960" i="49"/>
  <c r="H1526" i="49"/>
  <c r="H1532" i="49"/>
  <c r="E221" i="46"/>
  <c r="H3966" i="49"/>
  <c r="H2810" i="49"/>
  <c r="H2521" i="49"/>
  <c r="H2104" i="49"/>
  <c r="H2110" i="49"/>
  <c r="E317" i="46"/>
  <c r="H787" i="49"/>
  <c r="H1654" i="49"/>
  <c r="J1382" i="49" l="1"/>
  <c r="Q1382" i="49" s="1"/>
  <c r="Q1335" i="49"/>
  <c r="J1335" i="49"/>
  <c r="J184" i="46"/>
  <c r="J195" i="46"/>
  <c r="J1367" i="49"/>
  <c r="Q1367" i="49" s="1"/>
  <c r="J1395" i="49"/>
  <c r="Q1395" i="49" s="1"/>
  <c r="J1394" i="49"/>
  <c r="Q1394" i="49" s="1"/>
  <c r="J1393" i="49"/>
  <c r="Q1393" i="49" s="1"/>
  <c r="J1350" i="49"/>
  <c r="Q1350" i="49"/>
  <c r="J1682" i="49"/>
  <c r="Q1682" i="49" s="1"/>
  <c r="J1684" i="49"/>
  <c r="Q1684" i="49"/>
  <c r="J1683" i="49"/>
  <c r="Q1683" i="49" s="1"/>
  <c r="R41" i="18"/>
  <c r="T63" i="17"/>
  <c r="S44" i="8"/>
  <c r="S63" i="31"/>
  <c r="S63" i="19"/>
  <c r="T13" i="18"/>
  <c r="T16" i="18"/>
  <c r="T36" i="18"/>
  <c r="T37" i="18"/>
  <c r="T32" i="18"/>
  <c r="T33" i="18"/>
  <c r="T15" i="18"/>
  <c r="T28" i="18"/>
  <c r="T61" i="18"/>
  <c r="T63" i="18" s="1"/>
  <c r="T18" i="18"/>
  <c r="T34" i="18"/>
  <c r="T14" i="18"/>
  <c r="U12" i="18"/>
  <c r="T62" i="18"/>
  <c r="T72" i="18"/>
  <c r="T35" i="18"/>
  <c r="T38" i="18"/>
  <c r="T31" i="18"/>
  <c r="T30" i="18"/>
  <c r="T44" i="18"/>
  <c r="T27" i="18"/>
  <c r="T29" i="18"/>
  <c r="T17" i="18"/>
  <c r="T23" i="18"/>
  <c r="S85" i="18"/>
  <c r="S79" i="18"/>
  <c r="S82" i="18"/>
  <c r="S80" i="18"/>
  <c r="S35" i="8"/>
  <c r="S19" i="18"/>
  <c r="S20" i="18" s="1"/>
  <c r="Q73" i="18"/>
  <c r="Q45" i="18"/>
  <c r="U63" i="26"/>
  <c r="T19" i="20"/>
  <c r="T20" i="20" s="1"/>
  <c r="T21" i="20" s="1"/>
  <c r="T22" i="20" s="1"/>
  <c r="T24" i="20" s="1"/>
  <c r="T41" i="20" s="1"/>
  <c r="S39" i="15"/>
  <c r="S39" i="18"/>
  <c r="P73" i="18"/>
  <c r="P45" i="18"/>
  <c r="S63" i="21"/>
  <c r="J1654" i="49"/>
  <c r="Q1654" i="49" s="1"/>
  <c r="J787" i="49"/>
  <c r="Q787" i="49" s="1"/>
  <c r="J317" i="46"/>
  <c r="J2110" i="49"/>
  <c r="Q2110" i="49" s="1"/>
  <c r="J2104" i="49"/>
  <c r="Q2104" i="49" s="1"/>
  <c r="J2521" i="49"/>
  <c r="Q2521" i="49" s="1"/>
  <c r="J2810" i="49"/>
  <c r="Q2810" i="49" s="1"/>
  <c r="J3966" i="49"/>
  <c r="Q3966" i="49" s="1"/>
  <c r="J221" i="46"/>
  <c r="J1532" i="49"/>
  <c r="Q1532" i="49" s="1"/>
  <c r="J1526" i="49"/>
  <c r="Q1526" i="49" s="1"/>
  <c r="J1960" i="49"/>
  <c r="Q1960" i="49" s="1"/>
  <c r="J4255" i="49"/>
  <c r="Q4255" i="49" s="1"/>
  <c r="J2375" i="49"/>
  <c r="Q2375" i="49" s="1"/>
  <c r="J4080" i="49"/>
  <c r="Q4080" i="49" s="1"/>
  <c r="J4079" i="49"/>
  <c r="Q4079" i="49" s="1"/>
  <c r="J4081" i="49"/>
  <c r="Q4081" i="49" s="1"/>
  <c r="J132" i="46"/>
  <c r="J4795" i="49"/>
  <c r="Q4795" i="49" s="1"/>
  <c r="Q4794" i="49"/>
  <c r="J4794" i="49"/>
  <c r="J4793" i="49"/>
  <c r="Q4793" i="49" s="1"/>
  <c r="J4149" i="49"/>
  <c r="Q4149" i="49" s="1"/>
  <c r="J4148" i="49"/>
  <c r="Q4148" i="49" s="1"/>
  <c r="J4147" i="49"/>
  <c r="Q4147" i="49" s="1"/>
  <c r="J2539" i="49"/>
  <c r="Q2539" i="49" s="1"/>
  <c r="J3499" i="49"/>
  <c r="Q3499" i="49" s="1"/>
  <c r="J1408" i="49"/>
  <c r="Q1408" i="49" s="1"/>
  <c r="J2854" i="49"/>
  <c r="Q2854" i="49" s="1"/>
  <c r="J4880" i="49"/>
  <c r="Q4880" i="49" s="1"/>
  <c r="J4878" i="49"/>
  <c r="Q4878" i="49" s="1"/>
  <c r="J124" i="46"/>
  <c r="J947" i="49"/>
  <c r="Q947" i="49" s="1"/>
  <c r="J4940" i="49"/>
  <c r="Q4940" i="49"/>
  <c r="J3533" i="49"/>
  <c r="Q3533" i="49"/>
  <c r="J4198" i="49"/>
  <c r="Q4198" i="49" s="1"/>
  <c r="Q4200" i="49"/>
  <c r="J4200" i="49"/>
  <c r="J4199" i="49"/>
  <c r="Q4199" i="49" s="1"/>
  <c r="J1411" i="49"/>
  <c r="Q1411" i="49" s="1"/>
  <c r="J736" i="46"/>
  <c r="J4640" i="49"/>
  <c r="Q4640" i="49" s="1"/>
  <c r="J4642" i="49"/>
  <c r="Q4642" i="49" s="1"/>
  <c r="Q4641" i="49"/>
  <c r="J4641" i="49"/>
  <c r="J3516" i="49"/>
  <c r="Q3516" i="49" s="1"/>
  <c r="J3101" i="49"/>
  <c r="Q3101" i="49" s="1"/>
  <c r="J542" i="46"/>
  <c r="J3482" i="49"/>
  <c r="Q3482" i="49"/>
  <c r="J509" i="46"/>
  <c r="J3260" i="49"/>
  <c r="Q3260" i="49" s="1"/>
  <c r="J3266" i="49"/>
  <c r="Q3266" i="49" s="1"/>
  <c r="J1540" i="49"/>
  <c r="Q1540" i="49" s="1"/>
  <c r="J51" i="46"/>
  <c r="J1930" i="49"/>
  <c r="Q1930" i="49"/>
  <c r="J627" i="46"/>
  <c r="J4181" i="49"/>
  <c r="Q4181" i="49" s="1"/>
  <c r="Q4183" i="49"/>
  <c r="J4183" i="49"/>
  <c r="J4182" i="49"/>
  <c r="Q4182" i="49" s="1"/>
  <c r="J1123" i="49"/>
  <c r="Q1123" i="49" s="1"/>
  <c r="J1691" i="49"/>
  <c r="Q1691" i="49" s="1"/>
  <c r="J4009" i="49"/>
  <c r="Q4009" i="49" s="1"/>
  <c r="J1980" i="49"/>
  <c r="Q1980" i="49" s="1"/>
  <c r="J2853" i="49"/>
  <c r="Q2853" i="49" s="1"/>
  <c r="J3723" i="49"/>
  <c r="Q3723" i="49" s="1"/>
  <c r="J4010" i="49"/>
  <c r="Q4010" i="49" s="1"/>
  <c r="J4877" i="49"/>
  <c r="Q4877" i="49" s="1"/>
  <c r="J3827" i="49"/>
  <c r="Q3827" i="49" s="1"/>
  <c r="J3821" i="49"/>
  <c r="Q3821" i="49"/>
  <c r="J817" i="49"/>
  <c r="Q817" i="49" s="1"/>
  <c r="J816" i="49"/>
  <c r="Q816" i="49" s="1"/>
  <c r="J815" i="49"/>
  <c r="Q815" i="49" s="1"/>
  <c r="J2828" i="49"/>
  <c r="Q2828" i="49" s="1"/>
  <c r="J719" i="46"/>
  <c r="J4520" i="49"/>
  <c r="Q4520" i="49" s="1"/>
  <c r="J703" i="46"/>
  <c r="J4418" i="49"/>
  <c r="Q4418" i="49" s="1"/>
  <c r="J4367" i="49"/>
  <c r="Q4367" i="49"/>
  <c r="J3669" i="49"/>
  <c r="Q3669" i="49" s="1"/>
  <c r="J4685" i="49"/>
  <c r="Q4685" i="49" s="1"/>
  <c r="J616" i="46"/>
  <c r="J3936" i="49"/>
  <c r="Q3936" i="49" s="1"/>
  <c r="J66" i="46"/>
  <c r="J598" i="49"/>
  <c r="Q598" i="49" s="1"/>
  <c r="J599" i="49"/>
  <c r="Q599" i="49" s="1"/>
  <c r="Q3698" i="49"/>
  <c r="J3698" i="49"/>
  <c r="J4562" i="49"/>
  <c r="Q4562" i="49" s="1"/>
  <c r="J1121" i="49"/>
  <c r="Q1121" i="49" s="1"/>
  <c r="J824" i="49"/>
  <c r="Q824" i="49" s="1"/>
  <c r="J3136" i="49"/>
  <c r="Q3136" i="49" s="1"/>
  <c r="J3820" i="49"/>
  <c r="Q3820" i="49" s="1"/>
  <c r="Q4240" i="49"/>
  <c r="J4240" i="49"/>
  <c r="J657" i="46"/>
  <c r="J4452" i="49"/>
  <c r="Q4452" i="49" s="1"/>
  <c r="J4435" i="49"/>
  <c r="Q4435" i="49" s="1"/>
  <c r="J805" i="49"/>
  <c r="Q805" i="49" s="1"/>
  <c r="J656" i="46"/>
  <c r="Q4130" i="49"/>
  <c r="J4130" i="49"/>
  <c r="J4131" i="49"/>
  <c r="Q4131" i="49" s="1"/>
  <c r="J4132" i="49"/>
  <c r="Q4132" i="49" s="1"/>
  <c r="J411" i="46"/>
  <c r="J2680" i="49"/>
  <c r="Q2680" i="49" s="1"/>
  <c r="J2250" i="49"/>
  <c r="Q2250" i="49" s="1"/>
  <c r="J171" i="46"/>
  <c r="J1235" i="49"/>
  <c r="Q1235" i="49" s="1"/>
  <c r="J3117" i="49"/>
  <c r="Q3117" i="49"/>
  <c r="J1698" i="49"/>
  <c r="Q1698" i="49" s="1"/>
  <c r="J831" i="49"/>
  <c r="Q831" i="49" s="1"/>
  <c r="J1409" i="49"/>
  <c r="Q1409" i="49" s="1"/>
  <c r="J2269" i="49"/>
  <c r="Q2269" i="49" s="1"/>
  <c r="Q2276" i="49"/>
  <c r="J2276" i="49"/>
  <c r="J4588" i="49"/>
  <c r="Q4588" i="49" s="1"/>
  <c r="L21" i="40"/>
  <c r="J816" i="46"/>
  <c r="J5099" i="49"/>
  <c r="Q5099" i="49" s="1"/>
  <c r="J5100" i="49"/>
  <c r="Q5100" i="49" s="1"/>
  <c r="J5101" i="49"/>
  <c r="Q5101" i="49" s="1"/>
  <c r="J3373" i="49"/>
  <c r="Q3373" i="49" s="1"/>
  <c r="Q2506" i="49"/>
  <c r="J2506" i="49"/>
  <c r="J1945" i="49"/>
  <c r="Q1945" i="49" s="1"/>
  <c r="Q632" i="49"/>
  <c r="J632" i="49"/>
  <c r="J633" i="49"/>
  <c r="Q633" i="49" s="1"/>
  <c r="J1410" i="49"/>
  <c r="Q1410" i="49" s="1"/>
  <c r="J3712" i="49"/>
  <c r="Q3712" i="49" s="1"/>
  <c r="J5117" i="49"/>
  <c r="Q5117" i="49" s="1"/>
  <c r="J5118" i="49"/>
  <c r="Q5118" i="49"/>
  <c r="Q5116" i="49"/>
  <c r="J5116" i="49"/>
  <c r="J1078" i="49"/>
  <c r="Q1078" i="49" s="1"/>
  <c r="J2696" i="49"/>
  <c r="Q2696" i="49" s="1"/>
  <c r="J328" i="46"/>
  <c r="Q2202" i="49"/>
  <c r="J2202" i="49"/>
  <c r="J4497" i="49"/>
  <c r="Q4497" i="49" s="1"/>
  <c r="J324" i="46"/>
  <c r="J2118" i="49"/>
  <c r="Q2118" i="49" s="1"/>
  <c r="Q2672" i="49"/>
  <c r="J2672" i="49"/>
  <c r="J2673" i="49"/>
  <c r="Q2673" i="49" s="1"/>
  <c r="J768" i="46"/>
  <c r="L20" i="40"/>
  <c r="Q4811" i="49"/>
  <c r="J4811" i="49"/>
  <c r="J4812" i="49"/>
  <c r="Q4812" i="49" s="1"/>
  <c r="J4810" i="49"/>
  <c r="Q4810" i="49" s="1"/>
  <c r="J5107" i="49"/>
  <c r="Q5107" i="49"/>
  <c r="Q4947" i="49"/>
  <c r="J4947" i="49"/>
  <c r="J4948" i="49"/>
  <c r="Q4948" i="49" s="1"/>
  <c r="J4946" i="49"/>
  <c r="Q4946" i="49" s="1"/>
  <c r="J731" i="46"/>
  <c r="J4635" i="49"/>
  <c r="Q4635" i="49" s="1"/>
  <c r="J664" i="46"/>
  <c r="J4225" i="49"/>
  <c r="Q4225" i="49" s="1"/>
  <c r="J1412" i="49"/>
  <c r="Q1412" i="49" s="1"/>
  <c r="Q2558" i="49"/>
  <c r="J2558" i="49"/>
  <c r="J4581" i="49"/>
  <c r="Q4581" i="49" s="1"/>
  <c r="J1063" i="49"/>
  <c r="Q1063" i="49" s="1"/>
  <c r="J420" i="46"/>
  <c r="Q4529" i="49"/>
  <c r="J4529" i="49"/>
  <c r="J410" i="46"/>
  <c r="J4268" i="49"/>
  <c r="Q4268" i="49" s="1"/>
  <c r="Q4267" i="49"/>
  <c r="J4267" i="49"/>
  <c r="J4266" i="49"/>
  <c r="Q4266" i="49" s="1"/>
  <c r="J339" i="46"/>
  <c r="J3584" i="49"/>
  <c r="Q3584" i="49" s="1"/>
  <c r="J752" i="46"/>
  <c r="J4709" i="49"/>
  <c r="Q4709" i="49" s="1"/>
  <c r="J4708" i="49"/>
  <c r="Q4708" i="49" s="1"/>
  <c r="J4710" i="49"/>
  <c r="Q4710" i="49" s="1"/>
  <c r="J3995" i="49"/>
  <c r="Q3995" i="49"/>
  <c r="J3994" i="49"/>
  <c r="Q3994" i="49" s="1"/>
  <c r="J3996" i="49"/>
  <c r="Q3996" i="49" s="1"/>
  <c r="J1672" i="49"/>
  <c r="Q1672" i="49"/>
  <c r="J3084" i="49"/>
  <c r="Q3084" i="49" s="1"/>
  <c r="Q5031" i="49"/>
  <c r="J5031" i="49"/>
  <c r="J5032" i="49"/>
  <c r="Q5032" i="49" s="1"/>
  <c r="J5033" i="49"/>
  <c r="Q5033" i="49" s="1"/>
  <c r="J5067" i="49"/>
  <c r="Q5067" i="49" s="1"/>
  <c r="J5065" i="49"/>
  <c r="Q5065" i="49" s="1"/>
  <c r="J5066" i="49"/>
  <c r="Q5066" i="49" s="1"/>
  <c r="J387" i="46"/>
  <c r="J779" i="46"/>
  <c r="J4924" i="49"/>
  <c r="Q4924" i="49" s="1"/>
  <c r="J808" i="46"/>
  <c r="J5092" i="49"/>
  <c r="Q5092" i="49" s="1"/>
  <c r="J712" i="46"/>
  <c r="J4514" i="49"/>
  <c r="Q4514" i="49"/>
  <c r="J4844" i="49"/>
  <c r="Q4844" i="49"/>
  <c r="Q4846" i="49"/>
  <c r="J4846" i="49"/>
  <c r="J4845" i="49"/>
  <c r="Q4845" i="49" s="1"/>
  <c r="J2795" i="49"/>
  <c r="Q2795" i="49" s="1"/>
  <c r="J4658" i="49"/>
  <c r="Q4658" i="49" s="1"/>
  <c r="J4657" i="49"/>
  <c r="Q4657" i="49"/>
  <c r="J4659" i="49"/>
  <c r="Q4659" i="49" s="1"/>
  <c r="J3951" i="49"/>
  <c r="Q3951" i="49" s="1"/>
  <c r="J1639" i="49"/>
  <c r="Q1639" i="49" s="1"/>
  <c r="J730" i="46"/>
  <c r="J675" i="46"/>
  <c r="J1111" i="49"/>
  <c r="Q1111" i="49" s="1"/>
  <c r="J1113" i="49"/>
  <c r="Q1113" i="49" s="1"/>
  <c r="J2847" i="49"/>
  <c r="Q2847" i="49" s="1"/>
  <c r="J3432" i="49"/>
  <c r="Q3432" i="49" s="1"/>
  <c r="J2564" i="49"/>
  <c r="Q2564" i="49" s="1"/>
  <c r="Q3720" i="49"/>
  <c r="J3720" i="49"/>
  <c r="J3722" i="49"/>
  <c r="Q3722" i="49" s="1"/>
  <c r="J4964" i="49"/>
  <c r="Q4964" i="49" s="1"/>
  <c r="J4965" i="49"/>
  <c r="Q4965" i="49" s="1"/>
  <c r="J4963" i="49"/>
  <c r="Q4963" i="49" s="1"/>
  <c r="J4215" i="49"/>
  <c r="Q4215" i="49" s="1"/>
  <c r="J4216" i="49"/>
  <c r="Q4216" i="49" s="1"/>
  <c r="J4217" i="49"/>
  <c r="Q4217" i="49" s="1"/>
  <c r="J4537" i="49"/>
  <c r="Q4537" i="49" s="1"/>
  <c r="J220" i="46"/>
  <c r="Q1525" i="49"/>
  <c r="J1525" i="49"/>
  <c r="J4554" i="49"/>
  <c r="Q4554" i="49" s="1"/>
  <c r="J180" i="46"/>
  <c r="J4503" i="49"/>
  <c r="Q4503" i="49" s="1"/>
  <c r="J4469" i="49"/>
  <c r="Q4469" i="49" s="1"/>
  <c r="J4165" i="49"/>
  <c r="Q4165" i="49" s="1"/>
  <c r="J4164" i="49"/>
  <c r="Q4164" i="49" s="1"/>
  <c r="Q4166" i="49"/>
  <c r="J4166" i="49"/>
  <c r="J2366" i="49"/>
  <c r="Q2366" i="49" s="1"/>
  <c r="J2367" i="49"/>
  <c r="Q2367" i="49" s="1"/>
  <c r="J778" i="46"/>
  <c r="J723" i="46"/>
  <c r="J1093" i="49"/>
  <c r="Q1093" i="49" s="1"/>
  <c r="J5122" i="49"/>
  <c r="Q5122" i="49" s="1"/>
  <c r="J635" i="46"/>
  <c r="J4057" i="49"/>
  <c r="Q4057" i="49"/>
  <c r="J4742" i="49"/>
  <c r="Q4742" i="49" s="1"/>
  <c r="J4743" i="49"/>
  <c r="Q4743" i="49" s="1"/>
  <c r="J4744" i="49"/>
  <c r="Q4744" i="49" s="1"/>
  <c r="Q1119" i="49"/>
  <c r="J1119" i="49"/>
  <c r="J4298" i="49"/>
  <c r="Q4298" i="49" s="1"/>
  <c r="J4876" i="49"/>
  <c r="Q4876" i="49" s="1"/>
  <c r="J3388" i="49"/>
  <c r="Q3388" i="49" s="1"/>
  <c r="J4251" i="49"/>
  <c r="Q4251" i="49" s="1"/>
  <c r="J4250" i="49"/>
  <c r="Q4250" i="49" s="1"/>
  <c r="Q4249" i="49"/>
  <c r="J4249" i="49"/>
  <c r="J3417" i="49"/>
  <c r="Q3417" i="49" s="1"/>
  <c r="J3416" i="49"/>
  <c r="Q3416" i="49" s="1"/>
  <c r="J3418" i="49"/>
  <c r="Q3418" i="49" s="1"/>
  <c r="J4759" i="49"/>
  <c r="Q4759" i="49" s="1"/>
  <c r="J4761" i="49"/>
  <c r="Q4761" i="49" s="1"/>
  <c r="J4760" i="49"/>
  <c r="Q4760" i="49" s="1"/>
  <c r="J4571" i="49"/>
  <c r="Q4571" i="49" s="1"/>
  <c r="J4401" i="49"/>
  <c r="Q4401" i="49" s="1"/>
  <c r="J376" i="46"/>
  <c r="J2491" i="49"/>
  <c r="Q2491" i="49" s="1"/>
  <c r="J531" i="46"/>
  <c r="J472" i="46"/>
  <c r="J3069" i="49"/>
  <c r="Q3069" i="49" s="1"/>
  <c r="J634" i="46"/>
  <c r="J3567" i="49"/>
  <c r="Q3567" i="49" s="1"/>
  <c r="J2839" i="49"/>
  <c r="Q2839" i="49" s="1"/>
  <c r="J2840" i="49"/>
  <c r="Q2840" i="49" s="1"/>
  <c r="J2838" i="49"/>
  <c r="Q2838" i="49" s="1"/>
  <c r="J2275" i="49"/>
  <c r="Q2275" i="49" s="1"/>
  <c r="Q3711" i="49"/>
  <c r="J3711" i="49"/>
  <c r="J3431" i="49"/>
  <c r="Q3431" i="49" s="1"/>
  <c r="J4868" i="49"/>
  <c r="Q4868" i="49" s="1"/>
  <c r="J4879" i="49"/>
  <c r="Q4879" i="49"/>
  <c r="J5159" i="49"/>
  <c r="Q5159" i="49" s="1"/>
  <c r="J4273" i="49"/>
  <c r="Q4273" i="49" s="1"/>
  <c r="J243" i="46"/>
  <c r="J1227" i="49"/>
  <c r="Q1227" i="49" s="1"/>
  <c r="J1228" i="49"/>
  <c r="Q1228" i="49"/>
  <c r="J424" i="46"/>
  <c r="J2780" i="49"/>
  <c r="Q2780" i="49" s="1"/>
  <c r="J4727" i="49"/>
  <c r="Q4727" i="49" s="1"/>
  <c r="Q4725" i="49"/>
  <c r="J4725" i="49"/>
  <c r="J4726" i="49"/>
  <c r="Q4726" i="49" s="1"/>
  <c r="J5015" i="49"/>
  <c r="Q5015" i="49"/>
  <c r="J5016" i="49"/>
  <c r="Q5016" i="49"/>
  <c r="J5014" i="49"/>
  <c r="Q5014" i="49" s="1"/>
  <c r="J316" i="46"/>
  <c r="J2103" i="49"/>
  <c r="Q2103" i="49" s="1"/>
  <c r="J483" i="46"/>
  <c r="J5140" i="49"/>
  <c r="Q5140" i="49" s="1"/>
  <c r="J1120" i="49"/>
  <c r="Q1120" i="49" s="1"/>
  <c r="J3721" i="49"/>
  <c r="Q3721" i="49" s="1"/>
  <c r="J3713" i="49"/>
  <c r="Q3713" i="49" s="1"/>
  <c r="J4299" i="49"/>
  <c r="Q4299" i="49" s="1"/>
  <c r="J5165" i="49"/>
  <c r="Q5165" i="49" s="1"/>
  <c r="J5166" i="49"/>
  <c r="Q5166" i="49" s="1"/>
  <c r="J4854" i="49"/>
  <c r="Q4854" i="49" s="1"/>
  <c r="J2232" i="49"/>
  <c r="Q2232" i="49" s="1"/>
  <c r="J4777" i="49"/>
  <c r="Q4777" i="49" s="1"/>
  <c r="J4776" i="49"/>
  <c r="Q4776" i="49" s="1"/>
  <c r="J4778" i="49"/>
  <c r="Q4778" i="49" s="1"/>
  <c r="J819" i="46"/>
  <c r="J170" i="46"/>
  <c r="J4827" i="49"/>
  <c r="Q4827" i="49" s="1"/>
  <c r="J4829" i="49"/>
  <c r="Q4829" i="49" s="1"/>
  <c r="J4828" i="49"/>
  <c r="Q4828" i="49"/>
  <c r="J2217" i="49"/>
  <c r="Q2217" i="49" s="1"/>
  <c r="J4981" i="49"/>
  <c r="Q4981" i="49" s="1"/>
  <c r="J4980" i="49"/>
  <c r="Q4980" i="49"/>
  <c r="J4982" i="49"/>
  <c r="Q4982" i="49"/>
  <c r="J1402" i="49"/>
  <c r="Q1402" i="49"/>
  <c r="J830" i="49"/>
  <c r="Q830" i="49" s="1"/>
  <c r="J1122" i="49"/>
  <c r="Q1122" i="49" s="1"/>
  <c r="J3425" i="49"/>
  <c r="Q3425" i="49" s="1"/>
  <c r="J2565" i="49"/>
  <c r="Q2565" i="49" s="1"/>
  <c r="J4003" i="49"/>
  <c r="Q4003" i="49" s="1"/>
  <c r="J3714" i="49"/>
  <c r="Q3714" i="49" s="1"/>
  <c r="Q4292" i="49"/>
  <c r="J4292" i="49"/>
  <c r="J4867" i="49"/>
  <c r="Q4867" i="49" s="1"/>
  <c r="J640" i="46"/>
  <c r="J4063" i="49"/>
  <c r="Q4063" i="49" s="1"/>
  <c r="J4064" i="49"/>
  <c r="Q4064" i="49" s="1"/>
  <c r="J4062" i="49"/>
  <c r="Q4062" i="49"/>
  <c r="J232" i="46"/>
  <c r="J1624" i="49"/>
  <c r="Q1624" i="49" s="1"/>
  <c r="J4544" i="49"/>
  <c r="Q4544" i="49"/>
  <c r="J689" i="46"/>
  <c r="J2549" i="49"/>
  <c r="Q2549" i="49" s="1"/>
  <c r="J2551" i="49"/>
  <c r="Q2551" i="49" s="1"/>
  <c r="J2550" i="49"/>
  <c r="Q2550" i="49" s="1"/>
  <c r="J4096" i="49"/>
  <c r="Q4096" i="49"/>
  <c r="J4097" i="49"/>
  <c r="Q4097" i="49" s="1"/>
  <c r="J4098" i="49"/>
  <c r="Q4098" i="49" s="1"/>
  <c r="J5133" i="49"/>
  <c r="Q5133" i="49" s="1"/>
  <c r="J5134" i="49"/>
  <c r="Q5134" i="49" s="1"/>
  <c r="J5135" i="49"/>
  <c r="Q5135" i="49"/>
  <c r="J3618" i="49"/>
  <c r="Q3618" i="49" s="1"/>
  <c r="J772" i="49"/>
  <c r="Q772" i="49" s="1"/>
  <c r="J640" i="49"/>
  <c r="Q640" i="49" s="1"/>
  <c r="J672" i="46"/>
  <c r="L18" i="40"/>
  <c r="J4232" i="49"/>
  <c r="Q4232" i="49" s="1"/>
  <c r="J4234" i="49"/>
  <c r="Q4234" i="49" s="1"/>
  <c r="Q4233" i="49"/>
  <c r="J4233" i="49"/>
  <c r="J3406" i="49"/>
  <c r="Q3406" i="49" s="1"/>
  <c r="J520" i="46"/>
  <c r="J3358" i="49"/>
  <c r="Q3358" i="49" s="1"/>
  <c r="Q3703" i="49"/>
  <c r="J3703" i="49"/>
  <c r="J3984" i="49"/>
  <c r="Q3984" i="49" s="1"/>
  <c r="J5084" i="49"/>
  <c r="Q5084" i="49" s="1"/>
  <c r="J5082" i="49"/>
  <c r="Q5082" i="49" s="1"/>
  <c r="J5083" i="49"/>
  <c r="Q5083" i="49" s="1"/>
  <c r="J3601" i="49"/>
  <c r="Q3601" i="49" s="1"/>
  <c r="J5008" i="49"/>
  <c r="Q5008" i="49" s="1"/>
  <c r="J435" i="46"/>
  <c r="J649" i="46"/>
  <c r="J4124" i="49"/>
  <c r="Q4124" i="49" s="1"/>
  <c r="J784" i="46"/>
  <c r="J4931" i="49"/>
  <c r="Q4931" i="49" s="1"/>
  <c r="J4930" i="49"/>
  <c r="Q4930" i="49" s="1"/>
  <c r="J4929" i="49"/>
  <c r="Q4929" i="49" s="1"/>
  <c r="J687" i="46"/>
  <c r="J4350" i="49"/>
  <c r="Q4350" i="49" s="1"/>
  <c r="J4384" i="49"/>
  <c r="Q4384" i="49"/>
  <c r="J4486" i="49"/>
  <c r="Q4486" i="49" s="1"/>
  <c r="J516" i="46"/>
  <c r="J574" i="46"/>
  <c r="J3652" i="49"/>
  <c r="Q3652" i="49" s="1"/>
  <c r="J5048" i="49"/>
  <c r="Q5048" i="49" s="1"/>
  <c r="J5049" i="49"/>
  <c r="Q5049" i="49" s="1"/>
  <c r="J5050" i="49"/>
  <c r="Q5050" i="49" s="1"/>
  <c r="J40" i="46"/>
  <c r="O9" i="39"/>
  <c r="J87" i="46"/>
  <c r="G23" i="3"/>
  <c r="D10" i="33" s="1"/>
  <c r="E10" i="33" s="1"/>
  <c r="J755" i="49"/>
  <c r="Q755" i="49" s="1"/>
  <c r="J558" i="46"/>
  <c r="J3550" i="49"/>
  <c r="Q3550" i="49" s="1"/>
  <c r="J508" i="46"/>
  <c r="J3259" i="49"/>
  <c r="Q3259" i="49" s="1"/>
  <c r="J1697" i="49"/>
  <c r="Q1697" i="49" s="1"/>
  <c r="J3724" i="49"/>
  <c r="Q3724" i="49"/>
  <c r="J1978" i="49"/>
  <c r="Q1978" i="49" s="1"/>
  <c r="Q4869" i="49"/>
  <c r="J4869" i="49"/>
  <c r="Q4870" i="49"/>
  <c r="J4870" i="49"/>
  <c r="J3686" i="49"/>
  <c r="Q3686" i="49"/>
  <c r="J4692" i="49"/>
  <c r="Q4692" i="49" s="1"/>
  <c r="J4693" i="49"/>
  <c r="Q4693" i="49"/>
  <c r="J4691" i="49"/>
  <c r="Q4691" i="49" s="1"/>
  <c r="R22" i="28"/>
  <c r="R24" i="28" s="1"/>
  <c r="R21" i="28"/>
  <c r="T22" i="30"/>
  <c r="T24" i="30" s="1"/>
  <c r="T41" i="30" s="1"/>
  <c r="T21" i="30"/>
  <c r="Q41" i="19"/>
  <c r="L74" i="13"/>
  <c r="K64" i="15" s="1"/>
  <c r="K76" i="15" s="1"/>
  <c r="K77" i="15" s="1"/>
  <c r="J7" i="14"/>
  <c r="G89" i="13"/>
  <c r="F64" i="30" s="1"/>
  <c r="F76" i="30" s="1"/>
  <c r="F77" i="30" s="1"/>
  <c r="F25" i="4" s="1"/>
  <c r="E157" i="14"/>
  <c r="Q41" i="16"/>
  <c r="R21" i="19"/>
  <c r="R22" i="19" s="1"/>
  <c r="R24" i="19" s="1"/>
  <c r="R21" i="31"/>
  <c r="R22" i="31" s="1"/>
  <c r="R24" i="31" s="1"/>
  <c r="M8" i="52"/>
  <c r="H192" i="49"/>
  <c r="P41" i="8"/>
  <c r="I67" i="21"/>
  <c r="I68" i="21" s="1"/>
  <c r="R22" i="27"/>
  <c r="R24" i="27" s="1"/>
  <c r="R21" i="27"/>
  <c r="K76" i="13"/>
  <c r="J64" i="17" s="1"/>
  <c r="J76" i="17" s="1"/>
  <c r="J77" i="17" s="1"/>
  <c r="I27" i="14"/>
  <c r="R21" i="25"/>
  <c r="R22" i="25" s="1"/>
  <c r="R24" i="25" s="1"/>
  <c r="Q41" i="22"/>
  <c r="S45" i="30"/>
  <c r="S73" i="30"/>
  <c r="K84" i="13"/>
  <c r="J64" i="25" s="1"/>
  <c r="J76" i="25" s="1"/>
  <c r="J77" i="25" s="1"/>
  <c r="I107" i="14"/>
  <c r="Q41" i="23"/>
  <c r="R21" i="16"/>
  <c r="R22" i="16" s="1"/>
  <c r="R24" i="16" s="1"/>
  <c r="J81" i="13"/>
  <c r="I64" i="22" s="1"/>
  <c r="H77" i="14"/>
  <c r="S73" i="26"/>
  <c r="S45" i="26"/>
  <c r="Q41" i="27"/>
  <c r="S21" i="17"/>
  <c r="S22" i="17" s="1"/>
  <c r="S24" i="17" s="1"/>
  <c r="Q73" i="15"/>
  <c r="Q45" i="15"/>
  <c r="I67" i="19"/>
  <c r="I68" i="19" s="1"/>
  <c r="K77" i="13"/>
  <c r="J64" i="18" s="1"/>
  <c r="J76" i="18" s="1"/>
  <c r="J77" i="18" s="1"/>
  <c r="I37" i="14"/>
  <c r="R41" i="20"/>
  <c r="Q41" i="28"/>
  <c r="G87" i="13"/>
  <c r="F64" i="28" s="1"/>
  <c r="F76" i="28" s="1"/>
  <c r="F77" i="28" s="1"/>
  <c r="F23" i="4" s="1"/>
  <c r="E137" i="14"/>
  <c r="V72" i="30"/>
  <c r="V35" i="30"/>
  <c r="V30" i="30"/>
  <c r="V23" i="30"/>
  <c r="V18" i="30"/>
  <c r="V38" i="30"/>
  <c r="V33" i="30"/>
  <c r="V28" i="30"/>
  <c r="V62" i="30"/>
  <c r="V15" i="30"/>
  <c r="V61" i="30"/>
  <c r="V63" i="30" s="1"/>
  <c r="V36" i="30"/>
  <c r="W12" i="30"/>
  <c r="V44" i="30"/>
  <c r="V37" i="30"/>
  <c r="V32" i="30"/>
  <c r="V14" i="30"/>
  <c r="V13" i="30"/>
  <c r="V17" i="30"/>
  <c r="V29" i="30"/>
  <c r="V31" i="30"/>
  <c r="V34" i="30"/>
  <c r="V16" i="30"/>
  <c r="V27" i="30"/>
  <c r="V66" i="30"/>
  <c r="V60" i="30"/>
  <c r="V47" i="30"/>
  <c r="V75" i="30"/>
  <c r="V43" i="30"/>
  <c r="P11" i="52"/>
  <c r="H246" i="49"/>
  <c r="T85" i="20"/>
  <c r="T79" i="20"/>
  <c r="T80" i="20"/>
  <c r="T82" i="20"/>
  <c r="J54" i="15"/>
  <c r="G158" i="14"/>
  <c r="R20" i="8"/>
  <c r="S21" i="20"/>
  <c r="S22" i="20" s="1"/>
  <c r="S24" i="20" s="1"/>
  <c r="S85" i="27"/>
  <c r="S82" i="27"/>
  <c r="S80" i="27"/>
  <c r="S79" i="27"/>
  <c r="I168" i="14"/>
  <c r="S36" i="8"/>
  <c r="F63" i="26"/>
  <c r="S39" i="22"/>
  <c r="K82" i="13"/>
  <c r="J64" i="23" s="1"/>
  <c r="J76" i="23" s="1"/>
  <c r="J77" i="23" s="1"/>
  <c r="I87" i="14"/>
  <c r="F50" i="31"/>
  <c r="J26" i="4" s="1"/>
  <c r="F52" i="31"/>
  <c r="H63" i="26"/>
  <c r="S39" i="21"/>
  <c r="S63" i="25"/>
  <c r="T72" i="19"/>
  <c r="U12" i="19"/>
  <c r="T31" i="19"/>
  <c r="T33" i="19"/>
  <c r="T18" i="19"/>
  <c r="T35" i="19"/>
  <c r="T37" i="19"/>
  <c r="T13" i="19"/>
  <c r="T62" i="19"/>
  <c r="T30" i="19"/>
  <c r="T28" i="19"/>
  <c r="T15" i="19"/>
  <c r="T27" i="19"/>
  <c r="T44" i="19"/>
  <c r="T14" i="19"/>
  <c r="T32" i="19"/>
  <c r="T36" i="19"/>
  <c r="T23" i="19"/>
  <c r="T17" i="19"/>
  <c r="T34" i="19"/>
  <c r="T29" i="19"/>
  <c r="T38" i="19"/>
  <c r="T16" i="19"/>
  <c r="T61" i="19"/>
  <c r="T63" i="19" s="1"/>
  <c r="L62" i="14"/>
  <c r="O135" i="13" s="1"/>
  <c r="N62" i="20" s="1"/>
  <c r="U61" i="14"/>
  <c r="I61" i="14"/>
  <c r="T62" i="14"/>
  <c r="W135" i="13" s="1"/>
  <c r="H62" i="14"/>
  <c r="K135" i="13" s="1"/>
  <c r="J62" i="20" s="1"/>
  <c r="Q61" i="14"/>
  <c r="E61" i="14"/>
  <c r="V62" i="14"/>
  <c r="Y135" i="13" s="1"/>
  <c r="G62" i="14"/>
  <c r="J135" i="13" s="1"/>
  <c r="I62" i="20" s="1"/>
  <c r="N61" i="14"/>
  <c r="U62" i="14"/>
  <c r="X135" i="13" s="1"/>
  <c r="F62" i="14"/>
  <c r="I135" i="13" s="1"/>
  <c r="H62" i="20" s="1"/>
  <c r="M61" i="14"/>
  <c r="R62" i="14"/>
  <c r="U135" i="13" s="1"/>
  <c r="T62" i="20" s="1"/>
  <c r="D62" i="14"/>
  <c r="G135" i="13" s="1"/>
  <c r="F62" i="20" s="1"/>
  <c r="K61" i="14"/>
  <c r="P62" i="14"/>
  <c r="S135" i="13" s="1"/>
  <c r="R62" i="20" s="1"/>
  <c r="W61" i="14"/>
  <c r="H61" i="14"/>
  <c r="M62" i="14"/>
  <c r="P135" i="13" s="1"/>
  <c r="O62" i="20" s="1"/>
  <c r="S61" i="14"/>
  <c r="D61" i="14"/>
  <c r="K62" i="14"/>
  <c r="N135" i="13" s="1"/>
  <c r="M62" i="20" s="1"/>
  <c r="G61" i="14"/>
  <c r="C62" i="14"/>
  <c r="F135" i="13" s="1"/>
  <c r="E62" i="20" s="1"/>
  <c r="W62" i="14"/>
  <c r="Z135" i="13" s="1"/>
  <c r="O61" i="14"/>
  <c r="C61" i="14"/>
  <c r="P61" i="14"/>
  <c r="S62" i="14"/>
  <c r="V135" i="13" s="1"/>
  <c r="X24" i="13"/>
  <c r="Q62" i="14"/>
  <c r="T135" i="13" s="1"/>
  <c r="S62" i="20" s="1"/>
  <c r="J61" i="14"/>
  <c r="W24" i="13"/>
  <c r="O62" i="14"/>
  <c r="R135" i="13" s="1"/>
  <c r="Q62" i="20" s="1"/>
  <c r="F61" i="14"/>
  <c r="N62" i="14"/>
  <c r="Q135" i="13" s="1"/>
  <c r="P62" i="20" s="1"/>
  <c r="I62" i="14"/>
  <c r="L135" i="13" s="1"/>
  <c r="K62" i="20" s="1"/>
  <c r="E62" i="14"/>
  <c r="H135" i="13" s="1"/>
  <c r="G62" i="20" s="1"/>
  <c r="T61" i="14"/>
  <c r="R61" i="14"/>
  <c r="M57" i="14"/>
  <c r="J62" i="14"/>
  <c r="M135" i="13" s="1"/>
  <c r="L62" i="20" s="1"/>
  <c r="V61" i="14"/>
  <c r="C58" i="14"/>
  <c r="C59" i="14" s="1"/>
  <c r="C60" i="14" s="1"/>
  <c r="F79" i="13" s="1"/>
  <c r="E64" i="20" s="1"/>
  <c r="J145" i="49"/>
  <c r="Q145" i="49"/>
  <c r="T62" i="15"/>
  <c r="T36" i="15"/>
  <c r="T32" i="15"/>
  <c r="T28" i="15"/>
  <c r="T18" i="15"/>
  <c r="T14" i="15"/>
  <c r="T37" i="15"/>
  <c r="T33" i="15"/>
  <c r="T29" i="15"/>
  <c r="T23" i="15"/>
  <c r="T15" i="15"/>
  <c r="T34" i="15"/>
  <c r="T61" i="15"/>
  <c r="T63" i="15" s="1"/>
  <c r="T27" i="15"/>
  <c r="T13" i="15"/>
  <c r="U12" i="15"/>
  <c r="T44" i="15"/>
  <c r="T30" i="15"/>
  <c r="T16" i="15"/>
  <c r="T35" i="15"/>
  <c r="T17" i="15"/>
  <c r="T72" i="15"/>
  <c r="T38" i="15"/>
  <c r="T31" i="15"/>
  <c r="H138" i="14"/>
  <c r="H139" i="14" s="1"/>
  <c r="H140" i="14" s="1"/>
  <c r="K12" i="52"/>
  <c r="H162" i="49"/>
  <c r="W116" i="13"/>
  <c r="T153" i="14"/>
  <c r="U85" i="26"/>
  <c r="U80" i="26"/>
  <c r="U79" i="26"/>
  <c r="U82" i="26"/>
  <c r="G63" i="26"/>
  <c r="V33" i="14"/>
  <c r="Y104" i="13"/>
  <c r="Q45" i="24"/>
  <c r="Q73" i="24"/>
  <c r="E63" i="26"/>
  <c r="I67" i="25"/>
  <c r="I68" i="25" s="1"/>
  <c r="J50" i="19"/>
  <c r="J52" i="19"/>
  <c r="U63" i="30"/>
  <c r="C124" i="14"/>
  <c r="F57" i="13" s="1"/>
  <c r="E48" i="26" s="1"/>
  <c r="H114" i="14"/>
  <c r="K56" i="13" s="1"/>
  <c r="J48" i="25" s="1"/>
  <c r="T14" i="29"/>
  <c r="T17" i="29"/>
  <c r="T44" i="29"/>
  <c r="T36" i="29"/>
  <c r="T16" i="29"/>
  <c r="T13" i="29"/>
  <c r="T72" i="29"/>
  <c r="T34" i="29"/>
  <c r="T30" i="29"/>
  <c r="U12" i="29"/>
  <c r="T28" i="29"/>
  <c r="T37" i="29"/>
  <c r="T35" i="29"/>
  <c r="T33" i="29"/>
  <c r="T31" i="29"/>
  <c r="T23" i="29"/>
  <c r="T32" i="29"/>
  <c r="T38" i="29"/>
  <c r="T18" i="29"/>
  <c r="T27" i="29"/>
  <c r="T29" i="29"/>
  <c r="T62" i="29"/>
  <c r="T15" i="29"/>
  <c r="T43" i="29"/>
  <c r="T60" i="29"/>
  <c r="T75" i="29"/>
  <c r="T66" i="29"/>
  <c r="T47" i="29"/>
  <c r="Y103" i="13"/>
  <c r="V23" i="14"/>
  <c r="Q212" i="49"/>
  <c r="J212" i="49"/>
  <c r="G134" i="14"/>
  <c r="J58" i="13" s="1"/>
  <c r="I48" i="27" s="1"/>
  <c r="S39" i="31"/>
  <c r="S63" i="22"/>
  <c r="H67" i="27"/>
  <c r="H68" i="27" s="1"/>
  <c r="I56" i="17"/>
  <c r="T19" i="17"/>
  <c r="S19" i="21"/>
  <c r="Q116" i="13"/>
  <c r="P61" i="29" s="1"/>
  <c r="N153" i="14"/>
  <c r="K153" i="14"/>
  <c r="N116" i="13"/>
  <c r="M61" i="29" s="1"/>
  <c r="P63" i="26"/>
  <c r="R39" i="8"/>
  <c r="H50" i="30"/>
  <c r="M3" i="30" s="1"/>
  <c r="H52" i="30"/>
  <c r="S23" i="8"/>
  <c r="S13" i="8"/>
  <c r="T44" i="16"/>
  <c r="T38" i="16"/>
  <c r="T34" i="16"/>
  <c r="T30" i="16"/>
  <c r="T16" i="16"/>
  <c r="T61" i="16"/>
  <c r="T35" i="16"/>
  <c r="T31" i="16"/>
  <c r="T27" i="16"/>
  <c r="T17" i="16"/>
  <c r="T13" i="16"/>
  <c r="T32" i="16"/>
  <c r="T14" i="16"/>
  <c r="T33" i="16"/>
  <c r="T23" i="16"/>
  <c r="T15" i="16"/>
  <c r="T36" i="16"/>
  <c r="T72" i="16"/>
  <c r="T37" i="16"/>
  <c r="T28" i="16"/>
  <c r="T29" i="16"/>
  <c r="U12" i="16"/>
  <c r="T18" i="16"/>
  <c r="T62" i="16"/>
  <c r="N9" i="52"/>
  <c r="H210" i="49"/>
  <c r="V143" i="14"/>
  <c r="Y115" i="13"/>
  <c r="O11" i="52"/>
  <c r="H229" i="49"/>
  <c r="S82" i="19"/>
  <c r="S79" i="19"/>
  <c r="S80" i="19"/>
  <c r="S85" i="19"/>
  <c r="T72" i="22"/>
  <c r="T33" i="22"/>
  <c r="T31" i="22"/>
  <c r="T18" i="22"/>
  <c r="T37" i="22"/>
  <c r="T35" i="22"/>
  <c r="T62" i="22"/>
  <c r="T28" i="22"/>
  <c r="T15" i="22"/>
  <c r="T13" i="22"/>
  <c r="T30" i="22"/>
  <c r="T44" i="22"/>
  <c r="T32" i="22"/>
  <c r="T36" i="22"/>
  <c r="T23" i="22"/>
  <c r="U12" i="22"/>
  <c r="T61" i="22"/>
  <c r="T29" i="22"/>
  <c r="T34" i="22"/>
  <c r="T14" i="22"/>
  <c r="T27" i="22"/>
  <c r="T16" i="22"/>
  <c r="T38" i="22"/>
  <c r="T17" i="22"/>
  <c r="P45" i="28"/>
  <c r="P73" i="28"/>
  <c r="I76" i="28"/>
  <c r="I77" i="28" s="1"/>
  <c r="R21" i="21"/>
  <c r="R22" i="21" s="1"/>
  <c r="R24" i="21" s="1"/>
  <c r="J116" i="13"/>
  <c r="I61" i="29" s="1"/>
  <c r="G153" i="14"/>
  <c r="Y33" i="13"/>
  <c r="Z116" i="13"/>
  <c r="W153" i="14"/>
  <c r="F85" i="13"/>
  <c r="E64" i="26" s="1"/>
  <c r="D117" i="14"/>
  <c r="S82" i="25"/>
  <c r="S80" i="25"/>
  <c r="S85" i="25"/>
  <c r="S79" i="25"/>
  <c r="S33" i="8"/>
  <c r="S17" i="8"/>
  <c r="S79" i="16"/>
  <c r="S85" i="16"/>
  <c r="S80" i="16"/>
  <c r="S82" i="16"/>
  <c r="I56" i="23"/>
  <c r="I54" i="23"/>
  <c r="D164" i="14"/>
  <c r="G61" i="13" s="1"/>
  <c r="F48" i="30" s="1"/>
  <c r="Y117" i="13"/>
  <c r="V163" i="14"/>
  <c r="V93" i="14"/>
  <c r="Y110" i="13"/>
  <c r="V13" i="14"/>
  <c r="Y102" i="13"/>
  <c r="I54" i="18"/>
  <c r="S19" i="31"/>
  <c r="S39" i="19"/>
  <c r="P45" i="25"/>
  <c r="P73" i="25"/>
  <c r="Q21" i="8"/>
  <c r="Q22" i="8" s="1"/>
  <c r="Q24" i="8" s="1"/>
  <c r="P73" i="22"/>
  <c r="P45" i="22"/>
  <c r="Q45" i="20"/>
  <c r="Q73" i="20"/>
  <c r="Q45" i="17"/>
  <c r="Q73" i="17"/>
  <c r="L10" i="52"/>
  <c r="H177" i="49"/>
  <c r="O73" i="8"/>
  <c r="O45" i="8"/>
  <c r="J50" i="23"/>
  <c r="J52" i="23"/>
  <c r="J50" i="21"/>
  <c r="J52" i="21"/>
  <c r="J160" i="49"/>
  <c r="Q160" i="49"/>
  <c r="T61" i="27"/>
  <c r="T63" i="27" s="1"/>
  <c r="T35" i="27"/>
  <c r="T31" i="27"/>
  <c r="T27" i="27"/>
  <c r="T17" i="27"/>
  <c r="T13" i="27"/>
  <c r="T38" i="27"/>
  <c r="T14" i="27"/>
  <c r="T29" i="27"/>
  <c r="T33" i="27"/>
  <c r="T72" i="27"/>
  <c r="T36" i="27"/>
  <c r="T23" i="27"/>
  <c r="U12" i="27"/>
  <c r="T34" i="27"/>
  <c r="T32" i="27"/>
  <c r="T15" i="27"/>
  <c r="T44" i="27"/>
  <c r="T37" i="27"/>
  <c r="T16" i="27"/>
  <c r="T28" i="27"/>
  <c r="T62" i="27"/>
  <c r="T30" i="27"/>
  <c r="T18" i="27"/>
  <c r="J153" i="14"/>
  <c r="M116" i="13"/>
  <c r="L61" i="29" s="1"/>
  <c r="U19" i="30"/>
  <c r="U20" i="30" s="1"/>
  <c r="Y109" i="13"/>
  <c r="V83" i="14"/>
  <c r="V73" i="14"/>
  <c r="Y108" i="13"/>
  <c r="P73" i="31"/>
  <c r="P45" i="31"/>
  <c r="E54" i="30"/>
  <c r="E56" i="30"/>
  <c r="S39" i="23"/>
  <c r="B247" i="50"/>
  <c r="S19" i="15"/>
  <c r="I49" i="14"/>
  <c r="I50" i="14" s="1"/>
  <c r="I48" i="14"/>
  <c r="P45" i="29"/>
  <c r="P73" i="29"/>
  <c r="J175" i="49"/>
  <c r="Q175" i="49" s="1"/>
  <c r="S15" i="8"/>
  <c r="R22" i="24"/>
  <c r="R24" i="24" s="1"/>
  <c r="R21" i="24"/>
  <c r="K63" i="26"/>
  <c r="S20" i="29"/>
  <c r="S31" i="8"/>
  <c r="P73" i="24"/>
  <c r="P45" i="24"/>
  <c r="E153" i="14"/>
  <c r="H116" i="13"/>
  <c r="G61" i="29" s="1"/>
  <c r="K116" i="13"/>
  <c r="J61" i="29" s="1"/>
  <c r="H153" i="14"/>
  <c r="Q153" i="14"/>
  <c r="T116" i="13"/>
  <c r="S61" i="29" s="1"/>
  <c r="F116" i="13"/>
  <c r="E61" i="29" s="1"/>
  <c r="C153" i="14"/>
  <c r="S19" i="25"/>
  <c r="E54" i="31"/>
  <c r="E56" i="31" s="1"/>
  <c r="S32" i="8"/>
  <c r="P45" i="23"/>
  <c r="P73" i="23"/>
  <c r="S39" i="24"/>
  <c r="T39" i="20"/>
  <c r="V173" i="14"/>
  <c r="Y118" i="13"/>
  <c r="P73" i="27"/>
  <c r="P45" i="27"/>
  <c r="P73" i="19"/>
  <c r="P45" i="19"/>
  <c r="S63" i="23"/>
  <c r="S79" i="22"/>
  <c r="S85" i="22"/>
  <c r="S82" i="22"/>
  <c r="S80" i="22"/>
  <c r="C154" i="14"/>
  <c r="F60" i="13" s="1"/>
  <c r="E48" i="29" s="1"/>
  <c r="S20" i="25"/>
  <c r="V44" i="26"/>
  <c r="V29" i="26"/>
  <c r="V16" i="26"/>
  <c r="V14" i="26"/>
  <c r="V35" i="26"/>
  <c r="V32" i="26"/>
  <c r="V27" i="26"/>
  <c r="V36" i="26"/>
  <c r="V31" i="26"/>
  <c r="V15" i="26"/>
  <c r="V72" i="26"/>
  <c r="V30" i="26"/>
  <c r="V61" i="26"/>
  <c r="V34" i="26"/>
  <c r="V62" i="26"/>
  <c r="V37" i="26"/>
  <c r="V18" i="26"/>
  <c r="V13" i="26"/>
  <c r="W12" i="26"/>
  <c r="V23" i="26"/>
  <c r="V33" i="26"/>
  <c r="V17" i="26"/>
  <c r="V38" i="26"/>
  <c r="V28" i="26"/>
  <c r="V66" i="26"/>
  <c r="V60" i="26"/>
  <c r="V47" i="26"/>
  <c r="V75" i="26"/>
  <c r="V43" i="26"/>
  <c r="S19" i="29"/>
  <c r="S19" i="16"/>
  <c r="S20" i="16" s="1"/>
  <c r="S14" i="8"/>
  <c r="T39" i="17"/>
  <c r="K80" i="13"/>
  <c r="J64" i="21" s="1"/>
  <c r="J76" i="21" s="1"/>
  <c r="J77" i="21" s="1"/>
  <c r="I67" i="14"/>
  <c r="E168" i="14"/>
  <c r="E169" i="14" s="1"/>
  <c r="E170" i="14" s="1"/>
  <c r="S79" i="21"/>
  <c r="S82" i="21"/>
  <c r="S80" i="21"/>
  <c r="S85" i="21"/>
  <c r="S39" i="27"/>
  <c r="M153" i="14"/>
  <c r="P116" i="13"/>
  <c r="O61" i="29" s="1"/>
  <c r="Y116" i="13"/>
  <c r="V153" i="14"/>
  <c r="R116" i="13"/>
  <c r="Q61" i="29" s="1"/>
  <c r="O153" i="14"/>
  <c r="T22" i="26"/>
  <c r="T24" i="26" s="1"/>
  <c r="T41" i="26" s="1"/>
  <c r="T21" i="26"/>
  <c r="U39" i="26"/>
  <c r="U85" i="30"/>
  <c r="U79" i="30"/>
  <c r="U82" i="30"/>
  <c r="U80" i="30"/>
  <c r="H44" i="14"/>
  <c r="K49" i="13" s="1"/>
  <c r="J48" i="18" s="1"/>
  <c r="S29" i="8"/>
  <c r="S63" i="16"/>
  <c r="V113" i="14"/>
  <c r="Y112" i="13"/>
  <c r="R41" i="17"/>
  <c r="Q41" i="31"/>
  <c r="E54" i="28"/>
  <c r="E56" i="28" s="1"/>
  <c r="S83" i="8"/>
  <c r="S79" i="8"/>
  <c r="S86" i="8"/>
  <c r="S81" i="8"/>
  <c r="J75" i="13"/>
  <c r="I64" i="16" s="1"/>
  <c r="H17" i="14"/>
  <c r="Q41" i="25"/>
  <c r="U37" i="17"/>
  <c r="U33" i="17"/>
  <c r="U29" i="17"/>
  <c r="U23" i="17"/>
  <c r="U15" i="17"/>
  <c r="U72" i="17"/>
  <c r="V12" i="17"/>
  <c r="U44" i="17"/>
  <c r="U38" i="17"/>
  <c r="U34" i="17"/>
  <c r="U30" i="17"/>
  <c r="U16" i="17"/>
  <c r="U32" i="17"/>
  <c r="U14" i="17"/>
  <c r="U61" i="17"/>
  <c r="U35" i="17"/>
  <c r="U27" i="17"/>
  <c r="U17" i="17"/>
  <c r="U62" i="17"/>
  <c r="U18" i="17"/>
  <c r="U13" i="17"/>
  <c r="U28" i="17"/>
  <c r="U31" i="17"/>
  <c r="U36" i="17"/>
  <c r="K50" i="15"/>
  <c r="K52" i="15"/>
  <c r="S63" i="27"/>
  <c r="U153" i="14"/>
  <c r="X116" i="13"/>
  <c r="T72" i="25"/>
  <c r="U12" i="25"/>
  <c r="T61" i="25"/>
  <c r="T63" i="25" s="1"/>
  <c r="T38" i="25"/>
  <c r="T27" i="25"/>
  <c r="T23" i="25"/>
  <c r="T18" i="25"/>
  <c r="T62" i="25"/>
  <c r="T29" i="25"/>
  <c r="T33" i="25"/>
  <c r="T17" i="25"/>
  <c r="T44" i="25"/>
  <c r="T28" i="25"/>
  <c r="T37" i="25"/>
  <c r="T32" i="25"/>
  <c r="T16" i="25"/>
  <c r="T13" i="25"/>
  <c r="T36" i="25"/>
  <c r="T31" i="25"/>
  <c r="T35" i="25"/>
  <c r="T15" i="25"/>
  <c r="T34" i="25"/>
  <c r="T30" i="25"/>
  <c r="T14" i="25"/>
  <c r="U19" i="26"/>
  <c r="U20" i="26" s="1"/>
  <c r="S82" i="29"/>
  <c r="S79" i="29"/>
  <c r="S85" i="29"/>
  <c r="S80" i="29"/>
  <c r="S37" i="8"/>
  <c r="S16" i="8"/>
  <c r="S19" i="24"/>
  <c r="S20" i="24" s="1"/>
  <c r="Y114" i="13"/>
  <c r="V133" i="14"/>
  <c r="Y105" i="13"/>
  <c r="V43" i="14"/>
  <c r="J63" i="26"/>
  <c r="G84" i="14"/>
  <c r="J53" i="13" s="1"/>
  <c r="I48" i="22" s="1"/>
  <c r="S20" i="28"/>
  <c r="S63" i="28"/>
  <c r="S82" i="28"/>
  <c r="S80" i="28"/>
  <c r="S79" i="28"/>
  <c r="S85" i="28"/>
  <c r="G24" i="14"/>
  <c r="J47" i="13" s="1"/>
  <c r="I48" i="16" s="1"/>
  <c r="S63" i="15"/>
  <c r="S19" i="27"/>
  <c r="S20" i="27" s="1"/>
  <c r="T20" i="17"/>
  <c r="S39" i="25"/>
  <c r="S39" i="29"/>
  <c r="R21" i="23"/>
  <c r="R22" i="23" s="1"/>
  <c r="R24" i="23" s="1"/>
  <c r="S30" i="8"/>
  <c r="R21" i="22"/>
  <c r="R22" i="22" s="1"/>
  <c r="R24" i="22" s="1"/>
  <c r="J86" i="13"/>
  <c r="I64" i="27" s="1"/>
  <c r="H127" i="14"/>
  <c r="S85" i="24"/>
  <c r="S79" i="24"/>
  <c r="S82" i="24"/>
  <c r="S80" i="24"/>
  <c r="U37" i="20"/>
  <c r="U35" i="20"/>
  <c r="U62" i="20"/>
  <c r="U28" i="20"/>
  <c r="U15" i="20"/>
  <c r="U13" i="20"/>
  <c r="U30" i="20"/>
  <c r="U72" i="20"/>
  <c r="U32" i="20"/>
  <c r="U17" i="20"/>
  <c r="U16" i="20"/>
  <c r="U33" i="20"/>
  <c r="U27" i="20"/>
  <c r="U14" i="20"/>
  <c r="V12" i="20"/>
  <c r="U23" i="20"/>
  <c r="U36" i="20"/>
  <c r="U29" i="20"/>
  <c r="U44" i="20"/>
  <c r="U34" i="20"/>
  <c r="U18" i="20"/>
  <c r="U38" i="20"/>
  <c r="U31" i="20"/>
  <c r="U66" i="20"/>
  <c r="U47" i="20"/>
  <c r="U75" i="20"/>
  <c r="U43" i="20"/>
  <c r="U60" i="20"/>
  <c r="T35" i="31"/>
  <c r="T30" i="31"/>
  <c r="T23" i="31"/>
  <c r="T18" i="31"/>
  <c r="T13" i="31"/>
  <c r="T38" i="31"/>
  <c r="T33" i="31"/>
  <c r="T61" i="31"/>
  <c r="T63" i="31" s="1"/>
  <c r="T17" i="31"/>
  <c r="T16" i="31"/>
  <c r="T31" i="31"/>
  <c r="T29" i="31"/>
  <c r="U12" i="31"/>
  <c r="T44" i="31"/>
  <c r="T27" i="31"/>
  <c r="T34" i="31"/>
  <c r="T72" i="31"/>
  <c r="T15" i="31"/>
  <c r="T62" i="31"/>
  <c r="T28" i="31"/>
  <c r="T32" i="31"/>
  <c r="T14" i="31"/>
  <c r="T36" i="31"/>
  <c r="T37" i="31"/>
  <c r="T43" i="31"/>
  <c r="T60" i="31"/>
  <c r="T66" i="31"/>
  <c r="T47" i="31"/>
  <c r="T75" i="31"/>
  <c r="S19" i="28"/>
  <c r="S20" i="15"/>
  <c r="Q41" i="21"/>
  <c r="J193" i="49"/>
  <c r="Q193" i="49" s="1"/>
  <c r="T18" i="21"/>
  <c r="T35" i="21"/>
  <c r="T33" i="21"/>
  <c r="T37" i="21"/>
  <c r="T13" i="21"/>
  <c r="T62" i="21"/>
  <c r="T28" i="21"/>
  <c r="T30" i="21"/>
  <c r="T17" i="21"/>
  <c r="T15" i="21"/>
  <c r="T36" i="21"/>
  <c r="U12" i="21"/>
  <c r="T38" i="21"/>
  <c r="T27" i="21"/>
  <c r="T31" i="21"/>
  <c r="T61" i="21"/>
  <c r="T63" i="21" s="1"/>
  <c r="T32" i="21"/>
  <c r="T23" i="21"/>
  <c r="T16" i="21"/>
  <c r="T14" i="21"/>
  <c r="T29" i="21"/>
  <c r="T72" i="21"/>
  <c r="T34" i="21"/>
  <c r="T44" i="21"/>
  <c r="T102" i="14"/>
  <c r="W139" i="13" s="1"/>
  <c r="H102" i="14"/>
  <c r="K139" i="13" s="1"/>
  <c r="J62" i="24" s="1"/>
  <c r="Q101" i="14"/>
  <c r="E101" i="14"/>
  <c r="P102" i="14"/>
  <c r="S139" i="13" s="1"/>
  <c r="R62" i="24" s="1"/>
  <c r="D102" i="14"/>
  <c r="G139" i="13" s="1"/>
  <c r="F62" i="24" s="1"/>
  <c r="M101" i="14"/>
  <c r="M97" i="14"/>
  <c r="K102" i="14"/>
  <c r="N139" i="13" s="1"/>
  <c r="M62" i="24" s="1"/>
  <c r="R101" i="14"/>
  <c r="C101" i="14"/>
  <c r="J102" i="14"/>
  <c r="M139" i="13" s="1"/>
  <c r="L62" i="24" s="1"/>
  <c r="P101" i="14"/>
  <c r="V102" i="14"/>
  <c r="Y139" i="13" s="1"/>
  <c r="G102" i="14"/>
  <c r="J139" i="13" s="1"/>
  <c r="I62" i="24" s="1"/>
  <c r="N101" i="14"/>
  <c r="S102" i="14"/>
  <c r="V139" i="13" s="1"/>
  <c r="E102" i="14"/>
  <c r="H139" i="13" s="1"/>
  <c r="G62" i="24" s="1"/>
  <c r="K101" i="14"/>
  <c r="W28" i="13"/>
  <c r="O102" i="14"/>
  <c r="R139" i="13" s="1"/>
  <c r="Q62" i="24" s="1"/>
  <c r="V101" i="14"/>
  <c r="H101" i="14"/>
  <c r="Q102" i="14"/>
  <c r="T139" i="13" s="1"/>
  <c r="S62" i="24" s="1"/>
  <c r="I102" i="14"/>
  <c r="L139" i="13" s="1"/>
  <c r="K62" i="24" s="1"/>
  <c r="F101" i="14"/>
  <c r="W101" i="14"/>
  <c r="O101" i="14"/>
  <c r="R102" i="14"/>
  <c r="U139" i="13" s="1"/>
  <c r="T62" i="24" s="1"/>
  <c r="N102" i="14"/>
  <c r="Q139" i="13" s="1"/>
  <c r="P62" i="24" s="1"/>
  <c r="L102" i="14"/>
  <c r="O139" i="13" s="1"/>
  <c r="N62" i="24" s="1"/>
  <c r="F102" i="14"/>
  <c r="I139" i="13" s="1"/>
  <c r="H62" i="24" s="1"/>
  <c r="C102" i="14"/>
  <c r="F139" i="13" s="1"/>
  <c r="E62" i="24" s="1"/>
  <c r="U101" i="14"/>
  <c r="T101" i="14"/>
  <c r="S101" i="14"/>
  <c r="W102" i="14"/>
  <c r="Z139" i="13" s="1"/>
  <c r="I101" i="14"/>
  <c r="G101" i="14"/>
  <c r="X28" i="13"/>
  <c r="U102" i="14"/>
  <c r="X139" i="13" s="1"/>
  <c r="J101" i="14"/>
  <c r="M102" i="14"/>
  <c r="P139" i="13" s="1"/>
  <c r="O62" i="24" s="1"/>
  <c r="D101" i="14"/>
  <c r="C98" i="14"/>
  <c r="C99" i="14" s="1"/>
  <c r="C100" i="14" s="1"/>
  <c r="F83" i="13" s="1"/>
  <c r="E64" i="24" s="1"/>
  <c r="S20" i="21"/>
  <c r="P73" i="21"/>
  <c r="P45" i="21"/>
  <c r="R153" i="14"/>
  <c r="U116" i="13"/>
  <c r="T61" i="29" s="1"/>
  <c r="T63" i="29" s="1"/>
  <c r="S18" i="8"/>
  <c r="W42" i="14"/>
  <c r="Z133" i="13" s="1"/>
  <c r="W51" i="14"/>
  <c r="W41" i="14"/>
  <c r="W72" i="14"/>
  <c r="Z136" i="13" s="1"/>
  <c r="W52" i="14"/>
  <c r="Z134" i="13" s="1"/>
  <c r="W131" i="14"/>
  <c r="W11" i="14"/>
  <c r="W32" i="14"/>
  <c r="Z132" i="13" s="1"/>
  <c r="W26" i="14"/>
  <c r="W112" i="14"/>
  <c r="Z140" i="13" s="1"/>
  <c r="W132" i="14"/>
  <c r="Z142" i="13" s="1"/>
  <c r="W81" i="14"/>
  <c r="W82" i="14"/>
  <c r="Z137" i="13" s="1"/>
  <c r="W111" i="14"/>
  <c r="W31" i="14"/>
  <c r="W71" i="14"/>
  <c r="W12" i="14"/>
  <c r="Z130" i="13" s="1"/>
  <c r="W91" i="14"/>
  <c r="W22" i="14"/>
  <c r="Z131" i="13" s="1"/>
  <c r="W21" i="14"/>
  <c r="W92" i="14"/>
  <c r="Z138" i="13" s="1"/>
  <c r="W86" i="14"/>
  <c r="W66" i="14"/>
  <c r="W146" i="14"/>
  <c r="W166" i="14"/>
  <c r="W156" i="14"/>
  <c r="W6" i="14"/>
  <c r="W46" i="14"/>
  <c r="W106" i="14"/>
  <c r="W56" i="14"/>
  <c r="W16" i="14"/>
  <c r="W36" i="14"/>
  <c r="W136" i="14"/>
  <c r="W126" i="14"/>
  <c r="W76" i="14"/>
  <c r="W116" i="14"/>
  <c r="W96" i="14"/>
  <c r="W162" i="14"/>
  <c r="Z145" i="13" s="1"/>
  <c r="W141" i="14"/>
  <c r="W161" i="14"/>
  <c r="W171" i="14"/>
  <c r="W142" i="14"/>
  <c r="Z143" i="13" s="1"/>
  <c r="W172" i="14"/>
  <c r="Z146" i="13" s="1"/>
  <c r="W121" i="14"/>
  <c r="W122" i="14"/>
  <c r="Z141" i="13" s="1"/>
  <c r="S82" i="31"/>
  <c r="S80" i="31"/>
  <c r="S85" i="31"/>
  <c r="S79" i="31"/>
  <c r="T37" i="23"/>
  <c r="T33" i="23"/>
  <c r="T29" i="23"/>
  <c r="T23" i="23"/>
  <c r="T15" i="23"/>
  <c r="T72" i="23"/>
  <c r="U12" i="23"/>
  <c r="T44" i="23"/>
  <c r="T16" i="23"/>
  <c r="T14" i="23"/>
  <c r="T61" i="23"/>
  <c r="T28" i="23"/>
  <c r="T32" i="23"/>
  <c r="T27" i="23"/>
  <c r="T36" i="23"/>
  <c r="T31" i="23"/>
  <c r="T35" i="23"/>
  <c r="T34" i="23"/>
  <c r="T62" i="23"/>
  <c r="T38" i="23"/>
  <c r="T18" i="23"/>
  <c r="T13" i="23"/>
  <c r="T30" i="23"/>
  <c r="T17" i="23"/>
  <c r="S82" i="23"/>
  <c r="S85" i="23"/>
  <c r="S80" i="23"/>
  <c r="S79" i="23"/>
  <c r="T44" i="28"/>
  <c r="T61" i="28"/>
  <c r="T62" i="28"/>
  <c r="T27" i="28"/>
  <c r="T29" i="28"/>
  <c r="T16" i="28"/>
  <c r="T14" i="28"/>
  <c r="T33" i="28"/>
  <c r="T18" i="28"/>
  <c r="T32" i="28"/>
  <c r="T31" i="28"/>
  <c r="T30" i="28"/>
  <c r="T72" i="28"/>
  <c r="T17" i="28"/>
  <c r="T28" i="28"/>
  <c r="T15" i="28"/>
  <c r="T38" i="28"/>
  <c r="T37" i="28"/>
  <c r="T35" i="28"/>
  <c r="T13" i="28"/>
  <c r="U12" i="28"/>
  <c r="T34" i="28"/>
  <c r="T23" i="28"/>
  <c r="T36" i="28"/>
  <c r="T60" i="28"/>
  <c r="T75" i="28"/>
  <c r="T47" i="28"/>
  <c r="T43" i="28"/>
  <c r="T66" i="28"/>
  <c r="S80" i="15"/>
  <c r="S85" i="15"/>
  <c r="S79" i="15"/>
  <c r="S82" i="15"/>
  <c r="Q41" i="29"/>
  <c r="E76" i="29"/>
  <c r="E77" i="29" s="1"/>
  <c r="G148" i="14"/>
  <c r="S39" i="16"/>
  <c r="S27" i="8"/>
  <c r="D144" i="14"/>
  <c r="G59" i="13" s="1"/>
  <c r="F48" i="28" s="1"/>
  <c r="Y113" i="13"/>
  <c r="V123" i="14"/>
  <c r="T82" i="17"/>
  <c r="T79" i="17"/>
  <c r="T80" i="17"/>
  <c r="T85" i="17"/>
  <c r="I153" i="14"/>
  <c r="L116" i="13"/>
  <c r="K61" i="29" s="1"/>
  <c r="D147" i="14"/>
  <c r="D153" i="14"/>
  <c r="G116" i="13"/>
  <c r="F61" i="29" s="1"/>
  <c r="M63" i="26"/>
  <c r="P45" i="16"/>
  <c r="P73" i="16"/>
  <c r="H54" i="16"/>
  <c r="H56" i="16" s="1"/>
  <c r="H34" i="14"/>
  <c r="K48" i="13" s="1"/>
  <c r="J48" i="17" s="1"/>
  <c r="P153" i="14"/>
  <c r="S116" i="13"/>
  <c r="R61" i="29" s="1"/>
  <c r="V116" i="13"/>
  <c r="S153" i="14"/>
  <c r="O116" i="13"/>
  <c r="N61" i="29" s="1"/>
  <c r="L153" i="14"/>
  <c r="U39" i="30"/>
  <c r="R63" i="26"/>
  <c r="S34" i="8"/>
  <c r="Y106" i="13"/>
  <c r="V53" i="14"/>
  <c r="L63" i="26"/>
  <c r="J50" i="31"/>
  <c r="J52" i="31"/>
  <c r="R21" i="15"/>
  <c r="R22" i="15" s="1"/>
  <c r="R24" i="15" s="1"/>
  <c r="R41" i="15" s="1"/>
  <c r="I50" i="28"/>
  <c r="M3" i="28" s="1"/>
  <c r="I52" i="28"/>
  <c r="O63" i="26"/>
  <c r="O45" i="16"/>
  <c r="O73" i="16"/>
  <c r="S20" i="13"/>
  <c r="I63" i="26"/>
  <c r="S28" i="8"/>
  <c r="S38" i="8"/>
  <c r="T36" i="24"/>
  <c r="T32" i="24"/>
  <c r="T28" i="24"/>
  <c r="T18" i="24"/>
  <c r="T14" i="24"/>
  <c r="T23" i="24"/>
  <c r="U12" i="24"/>
  <c r="T44" i="24"/>
  <c r="T16" i="24"/>
  <c r="T72" i="24"/>
  <c r="T35" i="24"/>
  <c r="T30" i="24"/>
  <c r="T34" i="24"/>
  <c r="T29" i="24"/>
  <c r="T38" i="24"/>
  <c r="T33" i="24"/>
  <c r="T13" i="24"/>
  <c r="T15" i="24"/>
  <c r="T31" i="24"/>
  <c r="T17" i="24"/>
  <c r="T27" i="24"/>
  <c r="T37" i="24"/>
  <c r="T75" i="24"/>
  <c r="T47" i="24"/>
  <c r="T66" i="24"/>
  <c r="T60" i="24"/>
  <c r="T43" i="24"/>
  <c r="S20" i="31"/>
  <c r="S19" i="23"/>
  <c r="S20" i="23" s="1"/>
  <c r="M119" i="14"/>
  <c r="M120" i="14" s="1"/>
  <c r="S19" i="19"/>
  <c r="S20" i="19" s="1"/>
  <c r="S19" i="22"/>
  <c r="S20" i="22" s="1"/>
  <c r="S39" i="28"/>
  <c r="Q5" i="52"/>
  <c r="E11" i="1"/>
  <c r="D5175" i="49"/>
  <c r="D5182" i="49"/>
  <c r="D5185" i="49"/>
  <c r="D5178" i="49"/>
  <c r="D5174" i="49"/>
  <c r="D5183" i="49"/>
  <c r="D5181" i="49"/>
  <c r="D5179" i="49"/>
  <c r="D5177" i="49"/>
  <c r="D5173" i="49"/>
  <c r="D5176" i="49"/>
  <c r="D5184" i="49"/>
  <c r="D5188" i="49"/>
  <c r="D5180" i="49"/>
  <c r="D4896" i="49"/>
  <c r="D4890" i="49"/>
  <c r="D4884" i="49"/>
  <c r="D4898" i="49"/>
  <c r="D4892" i="49"/>
  <c r="D4886" i="49"/>
  <c r="D4895" i="49"/>
  <c r="D4893" i="49"/>
  <c r="D4891" i="49"/>
  <c r="D4607" i="49"/>
  <c r="D4601" i="49"/>
  <c r="D4595" i="49"/>
  <c r="D4900" i="49"/>
  <c r="D4899" i="49"/>
  <c r="D4885" i="49"/>
  <c r="D4888" i="49"/>
  <c r="D4606" i="49"/>
  <c r="D4603" i="49"/>
  <c r="D5189" i="49"/>
  <c r="D5187" i="49"/>
  <c r="D4317" i="49"/>
  <c r="D4311" i="49"/>
  <c r="D5186" i="49"/>
  <c r="D4611" i="49"/>
  <c r="D4604" i="49"/>
  <c r="D4599" i="49"/>
  <c r="D4597" i="49"/>
  <c r="D4889" i="49"/>
  <c r="D4316" i="49"/>
  <c r="D4313" i="49"/>
  <c r="D4609" i="49"/>
  <c r="D4894" i="49"/>
  <c r="D4320" i="49"/>
  <c r="D4310" i="49"/>
  <c r="D4307" i="49"/>
  <c r="D4030" i="49"/>
  <c r="D4024" i="49"/>
  <c r="D4018" i="49"/>
  <c r="D4596" i="49"/>
  <c r="D4887" i="49"/>
  <c r="D4897" i="49"/>
  <c r="D4318" i="49"/>
  <c r="D4033" i="49"/>
  <c r="D4023" i="49"/>
  <c r="D4020" i="49"/>
  <c r="D4610" i="49"/>
  <c r="D4602" i="49"/>
  <c r="D4598" i="49"/>
  <c r="D4027" i="49"/>
  <c r="D4017" i="49"/>
  <c r="D3740" i="49"/>
  <c r="D3734" i="49"/>
  <c r="D3728" i="49"/>
  <c r="D3452" i="49"/>
  <c r="D3446" i="49"/>
  <c r="D3440" i="49"/>
  <c r="D4322" i="49"/>
  <c r="D4605" i="49"/>
  <c r="D4031" i="49"/>
  <c r="D3731" i="49"/>
  <c r="D4025" i="49"/>
  <c r="D3739" i="49"/>
  <c r="D3736" i="49"/>
  <c r="D3443" i="49"/>
  <c r="D4306" i="49"/>
  <c r="D3439" i="49"/>
  <c r="D4028" i="49"/>
  <c r="D3743" i="49"/>
  <c r="D3733" i="49"/>
  <c r="D3448" i="49"/>
  <c r="D4321" i="49"/>
  <c r="D4315" i="49"/>
  <c r="D3730" i="49"/>
  <c r="D3444" i="49"/>
  <c r="D4600" i="49"/>
  <c r="D4022" i="49"/>
  <c r="D3737" i="49"/>
  <c r="D3453" i="49"/>
  <c r="D3454" i="49"/>
  <c r="D3445" i="49"/>
  <c r="D4314" i="49"/>
  <c r="D3738" i="49"/>
  <c r="D3449" i="49"/>
  <c r="D3166" i="49"/>
  <c r="D3160" i="49"/>
  <c r="D3154" i="49"/>
  <c r="D2872" i="49"/>
  <c r="D2866" i="49"/>
  <c r="D4608" i="49"/>
  <c r="D4032" i="49"/>
  <c r="D3447" i="49"/>
  <c r="D4312" i="49"/>
  <c r="D4021" i="49"/>
  <c r="D3735" i="49"/>
  <c r="D3732" i="49"/>
  <c r="D3455" i="49"/>
  <c r="D3451" i="49"/>
  <c r="D3159" i="49"/>
  <c r="D3156" i="49"/>
  <c r="D4309" i="49"/>
  <c r="D3741" i="49"/>
  <c r="D3163" i="49"/>
  <c r="D3153" i="49"/>
  <c r="D3150" i="49"/>
  <c r="D3450" i="49"/>
  <c r="D3157" i="49"/>
  <c r="D4308" i="49"/>
  <c r="D3744" i="49"/>
  <c r="D3441" i="49"/>
  <c r="D3158" i="49"/>
  <c r="D2587" i="49"/>
  <c r="D2581" i="49"/>
  <c r="D2575" i="49"/>
  <c r="D4319" i="49"/>
  <c r="D2865" i="49"/>
  <c r="D3164" i="49"/>
  <c r="D3162" i="49"/>
  <c r="D3151" i="49"/>
  <c r="D2588" i="49"/>
  <c r="D2582" i="49"/>
  <c r="D2576" i="49"/>
  <c r="D2294" i="49"/>
  <c r="D2288" i="49"/>
  <c r="D2006" i="49"/>
  <c r="D2000" i="49"/>
  <c r="D1994" i="49"/>
  <c r="D3729" i="49"/>
  <c r="D3155" i="49"/>
  <c r="D2868" i="49"/>
  <c r="D2583" i="49"/>
  <c r="D2577" i="49"/>
  <c r="D2295" i="49"/>
  <c r="D2289" i="49"/>
  <c r="D2283" i="49"/>
  <c r="D2007" i="49"/>
  <c r="D2001" i="49"/>
  <c r="D1995" i="49"/>
  <c r="D2873" i="49"/>
  <c r="D2861" i="49"/>
  <c r="D3161" i="49"/>
  <c r="D2875" i="49"/>
  <c r="D2578" i="49"/>
  <c r="D2297" i="49"/>
  <c r="D2287" i="49"/>
  <c r="D2284" i="49"/>
  <c r="D2004" i="49"/>
  <c r="D4029" i="49"/>
  <c r="D2869" i="49"/>
  <c r="D2863" i="49"/>
  <c r="D4026" i="49"/>
  <c r="D3742" i="49"/>
  <c r="D3165" i="49"/>
  <c r="D2580" i="49"/>
  <c r="D2291" i="49"/>
  <c r="D2008" i="49"/>
  <c r="D1998" i="49"/>
  <c r="D2586" i="49"/>
  <c r="D2298" i="49"/>
  <c r="D2285" i="49"/>
  <c r="D2005" i="49"/>
  <c r="D2002" i="49"/>
  <c r="D2877" i="49"/>
  <c r="D2871" i="49"/>
  <c r="D2862" i="49"/>
  <c r="D2296" i="49"/>
  <c r="D1710" i="49"/>
  <c r="D2874" i="49"/>
  <c r="D2574" i="49"/>
  <c r="D2286" i="49"/>
  <c r="D2584" i="49"/>
  <c r="D2573" i="49"/>
  <c r="D4019" i="49"/>
  <c r="D2010" i="49"/>
  <c r="D1999" i="49"/>
  <c r="D1997" i="49"/>
  <c r="D1714" i="49"/>
  <c r="D2867" i="49"/>
  <c r="D2864" i="49"/>
  <c r="D2579" i="49"/>
  <c r="D2293" i="49"/>
  <c r="D2585" i="49"/>
  <c r="D1707" i="49"/>
  <c r="D2572" i="49"/>
  <c r="D2003" i="49"/>
  <c r="D1719" i="49"/>
  <c r="D3442" i="49"/>
  <c r="D3152" i="49"/>
  <c r="D2876" i="49"/>
  <c r="D1996" i="49"/>
  <c r="D1421" i="49"/>
  <c r="D1133" i="49"/>
  <c r="D1708" i="49"/>
  <c r="D1417" i="49"/>
  <c r="D1129" i="49"/>
  <c r="D1712" i="49"/>
  <c r="D1706" i="49"/>
  <c r="D1430" i="49"/>
  <c r="D1426" i="49"/>
  <c r="D1142" i="49"/>
  <c r="D1138" i="49"/>
  <c r="D2290" i="49"/>
  <c r="D1422" i="49"/>
  <c r="D1134" i="49"/>
  <c r="D850" i="49"/>
  <c r="D844" i="49"/>
  <c r="D838" i="49"/>
  <c r="D1427" i="49"/>
  <c r="D2009" i="49"/>
  <c r="D1424" i="49"/>
  <c r="D1135" i="49"/>
  <c r="D1131" i="49"/>
  <c r="D1721" i="49"/>
  <c r="D2870" i="49"/>
  <c r="D2299" i="49"/>
  <c r="D1428" i="49"/>
  <c r="D1423" i="49"/>
  <c r="D1416" i="49"/>
  <c r="D1139" i="49"/>
  <c r="D1137" i="49"/>
  <c r="D1418" i="49"/>
  <c r="D1143" i="49"/>
  <c r="D1716" i="49"/>
  <c r="D1711" i="49"/>
  <c r="D1705" i="49"/>
  <c r="D1141" i="49"/>
  <c r="D1130" i="49"/>
  <c r="D564" i="49"/>
  <c r="D558" i="49"/>
  <c r="D552" i="49"/>
  <c r="D1128" i="49"/>
  <c r="D852" i="49"/>
  <c r="D842" i="49"/>
  <c r="D839" i="49"/>
  <c r="D1419" i="49"/>
  <c r="D1136" i="49"/>
  <c r="D845" i="49"/>
  <c r="D1429" i="49"/>
  <c r="D1140" i="49"/>
  <c r="D1127" i="49"/>
  <c r="D562" i="49"/>
  <c r="D559" i="49"/>
  <c r="D549" i="49"/>
  <c r="D276" i="49"/>
  <c r="B276" i="50" s="1"/>
  <c r="D273" i="49"/>
  <c r="B273" i="50" s="1"/>
  <c r="D270" i="49"/>
  <c r="B270" i="50" s="1"/>
  <c r="D267" i="49"/>
  <c r="B267" i="50" s="1"/>
  <c r="D264" i="49"/>
  <c r="D261" i="49"/>
  <c r="B261" i="50" s="1"/>
  <c r="D1720" i="49"/>
  <c r="D843" i="49"/>
  <c r="D1709" i="49"/>
  <c r="D556" i="49"/>
  <c r="D553" i="49"/>
  <c r="D2292" i="49"/>
  <c r="D563" i="49"/>
  <c r="D560" i="49"/>
  <c r="D550" i="49"/>
  <c r="D274" i="49"/>
  <c r="B274" i="50" s="1"/>
  <c r="D271" i="49"/>
  <c r="B271" i="50" s="1"/>
  <c r="D268" i="49"/>
  <c r="B268" i="50" s="1"/>
  <c r="D265" i="49"/>
  <c r="B265" i="50" s="1"/>
  <c r="D262" i="49"/>
  <c r="D1715" i="49"/>
  <c r="D1431" i="49"/>
  <c r="D565" i="49"/>
  <c r="D263" i="49"/>
  <c r="B263" i="50" s="1"/>
  <c r="D1718" i="49"/>
  <c r="D853" i="49"/>
  <c r="D555" i="49"/>
  <c r="D1717" i="49"/>
  <c r="D1420" i="49"/>
  <c r="D841" i="49"/>
  <c r="D557" i="49"/>
  <c r="D847" i="49"/>
  <c r="D1713" i="49"/>
  <c r="D846" i="49"/>
  <c r="D266" i="49"/>
  <c r="B266" i="50" s="1"/>
  <c r="D1425" i="49"/>
  <c r="D551" i="49"/>
  <c r="D275" i="49"/>
  <c r="B275" i="50" s="1"/>
  <c r="D849" i="49"/>
  <c r="D272" i="49"/>
  <c r="B272" i="50" s="1"/>
  <c r="D1132" i="49"/>
  <c r="D854" i="49"/>
  <c r="D554" i="49"/>
  <c r="D851" i="49"/>
  <c r="D269" i="49"/>
  <c r="B269" i="50" s="1"/>
  <c r="D848" i="49"/>
  <c r="D840" i="49"/>
  <c r="D260" i="49"/>
  <c r="D561" i="49"/>
  <c r="T72" i="8"/>
  <c r="D1432" i="49"/>
  <c r="T43" i="8"/>
  <c r="T47" i="8"/>
  <c r="U12" i="8"/>
  <c r="H56" i="22"/>
  <c r="Q63" i="26"/>
  <c r="R21" i="29"/>
  <c r="H1700" i="49"/>
  <c r="H1699" i="49"/>
  <c r="H1701" i="49"/>
  <c r="S8" i="51"/>
  <c r="H1400" i="49"/>
  <c r="H1352" i="49"/>
  <c r="H2279" i="49"/>
  <c r="H2278" i="49"/>
  <c r="H2277" i="49"/>
  <c r="H1384" i="49"/>
  <c r="H1369" i="49"/>
  <c r="H5167" i="49"/>
  <c r="H5169" i="49"/>
  <c r="H5168" i="49"/>
  <c r="Q18" i="51"/>
  <c r="H2523" i="49"/>
  <c r="H3501" i="49"/>
  <c r="H3503" i="49"/>
  <c r="H3502" i="49"/>
  <c r="S9" i="51"/>
  <c r="H4451" i="49"/>
  <c r="H4290" i="49"/>
  <c r="H4893" i="49"/>
  <c r="H4894" i="49"/>
  <c r="H1714" i="49"/>
  <c r="H1138" i="49"/>
  <c r="H841" i="49"/>
  <c r="H4059" i="49"/>
  <c r="H4065" i="49"/>
  <c r="E637" i="46"/>
  <c r="H4073" i="49"/>
  <c r="H962" i="49"/>
  <c r="H3655" i="49"/>
  <c r="H3656" i="49"/>
  <c r="H3654" i="49"/>
  <c r="K16" i="40"/>
  <c r="E576" i="46"/>
  <c r="H5176" i="49"/>
  <c r="H4020" i="49"/>
  <c r="H3450" i="49"/>
  <c r="H2296" i="49"/>
  <c r="H1996" i="49"/>
  <c r="H2870" i="49"/>
  <c r="H1429" i="49"/>
  <c r="H5186" i="49"/>
  <c r="H3449" i="49"/>
  <c r="H1428" i="49"/>
  <c r="H1715" i="49"/>
  <c r="H1641" i="49"/>
  <c r="E449" i="46"/>
  <c r="H4570" i="49"/>
  <c r="H4598" i="49"/>
  <c r="H2582" i="49"/>
  <c r="H2295" i="49"/>
  <c r="H848" i="49"/>
  <c r="H3715" i="49"/>
  <c r="H2556" i="49"/>
  <c r="H1902" i="49"/>
  <c r="H1817" i="49"/>
  <c r="E271" i="46"/>
  <c r="H1970" i="49"/>
  <c r="H1749" i="49"/>
  <c r="E255" i="46"/>
  <c r="H3484" i="49"/>
  <c r="H3485" i="49"/>
  <c r="H3486" i="49"/>
  <c r="E544" i="46"/>
  <c r="H3829" i="49"/>
  <c r="H3828" i="49"/>
  <c r="H4536" i="49"/>
  <c r="H3375" i="49"/>
  <c r="H1947" i="49"/>
  <c r="H4468" i="49"/>
  <c r="H4932" i="49"/>
  <c r="H4926" i="49"/>
  <c r="E781" i="46"/>
  <c r="H2538" i="49"/>
  <c r="H2990" i="49"/>
  <c r="H4366" i="49"/>
  <c r="H789" i="49"/>
  <c r="H2112" i="49"/>
  <c r="H2111" i="49"/>
  <c r="E322" i="46"/>
  <c r="H1987" i="49"/>
  <c r="H1868" i="49"/>
  <c r="H4686" i="49"/>
  <c r="S12" i="51"/>
  <c r="H1080" i="49"/>
  <c r="H4925" i="49"/>
  <c r="E780" i="46"/>
  <c r="H834" i="49"/>
  <c r="H832" i="49"/>
  <c r="H833" i="49"/>
  <c r="H4058" i="49"/>
  <c r="E636" i="46"/>
  <c r="E81" i="46"/>
  <c r="H3024" i="49"/>
  <c r="H3075" i="49"/>
  <c r="E479" i="46"/>
  <c r="E692" i="46"/>
  <c r="H5184" i="49"/>
  <c r="H4607" i="49"/>
  <c r="H4605" i="49"/>
  <c r="H3448" i="49"/>
  <c r="H3738" i="49"/>
  <c r="H2864" i="49"/>
  <c r="H1130" i="49"/>
  <c r="H1140" i="49"/>
  <c r="H847" i="49"/>
  <c r="H4531" i="49"/>
  <c r="H4030" i="49"/>
  <c r="H2382" i="49"/>
  <c r="H2376" i="49"/>
  <c r="H2812" i="49"/>
  <c r="H4941" i="49"/>
  <c r="H3268" i="49"/>
  <c r="H3267" i="49"/>
  <c r="E514" i="46"/>
  <c r="H4242" i="49"/>
  <c r="E545" i="46"/>
  <c r="H2234" i="49"/>
  <c r="H3109" i="49"/>
  <c r="H4871" i="49"/>
  <c r="H3535" i="49"/>
  <c r="H3537" i="49"/>
  <c r="H3536" i="49"/>
  <c r="H1656" i="49"/>
  <c r="H3983" i="49"/>
  <c r="H3968" i="49"/>
  <c r="H1800" i="49"/>
  <c r="H1953" i="49"/>
  <c r="E257" i="46"/>
  <c r="H3518" i="49"/>
  <c r="H3519" i="49"/>
  <c r="H3520" i="49"/>
  <c r="H1541" i="49"/>
  <c r="H948" i="49"/>
  <c r="H954" i="49"/>
  <c r="E125" i="46"/>
  <c r="H3672" i="49"/>
  <c r="H3671" i="49"/>
  <c r="H3673" i="49"/>
  <c r="H2681" i="49"/>
  <c r="E412" i="46"/>
  <c r="H4434" i="49"/>
  <c r="U16" i="51"/>
  <c r="H4013" i="49"/>
  <c r="H4011" i="49"/>
  <c r="H4012" i="49"/>
  <c r="S11" i="51"/>
  <c r="E650" i="46"/>
  <c r="E99" i="46"/>
  <c r="H5185" i="49"/>
  <c r="H4896" i="49"/>
  <c r="H4604" i="49"/>
  <c r="H4027" i="49"/>
  <c r="H3730" i="49"/>
  <c r="H3160" i="49"/>
  <c r="H3451" i="49"/>
  <c r="H2286" i="49"/>
  <c r="H1534" i="49"/>
  <c r="H1533" i="49"/>
  <c r="E226" i="46"/>
  <c r="H2267" i="49"/>
  <c r="H1919" i="49"/>
  <c r="E287" i="46"/>
  <c r="H3478" i="49"/>
  <c r="E537" i="46"/>
  <c r="H5157" i="49"/>
  <c r="S6" i="51"/>
  <c r="E660" i="46"/>
  <c r="H2119" i="49"/>
  <c r="H4001" i="49"/>
  <c r="S15" i="51"/>
  <c r="H3126" i="49"/>
  <c r="H2973" i="49"/>
  <c r="E463" i="46"/>
  <c r="S13" i="51"/>
  <c r="H822" i="49"/>
  <c r="H774" i="49"/>
  <c r="H3739" i="49"/>
  <c r="H2294" i="49"/>
  <c r="H2004" i="49"/>
  <c r="H1139" i="49"/>
  <c r="H1128" i="49"/>
  <c r="H2292" i="49"/>
  <c r="H1425" i="49"/>
  <c r="H3620" i="49"/>
  <c r="H3622" i="49"/>
  <c r="H3621" i="49"/>
  <c r="H1708" i="49"/>
  <c r="H3690" i="49"/>
  <c r="H3688" i="49"/>
  <c r="H3689" i="49"/>
  <c r="U20" i="51"/>
  <c r="H3435" i="49"/>
  <c r="H3434" i="49"/>
  <c r="H3433" i="49"/>
  <c r="H1834" i="49"/>
  <c r="H1936" i="49"/>
  <c r="H4651" i="49"/>
  <c r="H4636" i="49"/>
  <c r="E732" i="46"/>
  <c r="H2797" i="49"/>
  <c r="H3953" i="49"/>
  <c r="H2855" i="49"/>
  <c r="H2856" i="49"/>
  <c r="H2857" i="49"/>
  <c r="H3570" i="49"/>
  <c r="H3569" i="49"/>
  <c r="H3571" i="49"/>
  <c r="H3423" i="49"/>
  <c r="H2922" i="49"/>
  <c r="H3092" i="49"/>
  <c r="H4502" i="49"/>
  <c r="H5009" i="49"/>
  <c r="H4125" i="49"/>
  <c r="E651" i="46"/>
  <c r="H4884" i="49"/>
  <c r="H4885" i="49"/>
  <c r="H3740" i="49"/>
  <c r="H4029" i="49"/>
  <c r="H1427" i="49"/>
  <c r="H1137" i="49"/>
  <c r="H1718" i="49"/>
  <c r="H4887" i="49"/>
  <c r="H4309" i="49"/>
  <c r="H2581" i="49"/>
  <c r="Q19" i="51"/>
  <c r="E609" i="46"/>
  <c r="E369" i="46"/>
  <c r="H1851" i="49"/>
  <c r="H3274" i="49"/>
  <c r="H4637" i="49"/>
  <c r="H4643" i="49"/>
  <c r="E733" i="46"/>
  <c r="H4587" i="49"/>
  <c r="H4519" i="49"/>
  <c r="E718" i="46"/>
  <c r="H2390" i="49"/>
  <c r="E361" i="46"/>
  <c r="H4579" i="49"/>
  <c r="H3143" i="49"/>
  <c r="H3058" i="49"/>
  <c r="H2219" i="49"/>
  <c r="H5183" i="49"/>
  <c r="H5109" i="49"/>
  <c r="H1766" i="49"/>
  <c r="H1783" i="49"/>
  <c r="H2567" i="49"/>
  <c r="H2568" i="49"/>
  <c r="H2566" i="49"/>
  <c r="H2508" i="49"/>
  <c r="H2845" i="49"/>
  <c r="H4349" i="49"/>
  <c r="E686" i="46"/>
  <c r="H4345" i="49"/>
  <c r="E681" i="46"/>
  <c r="H1251" i="49"/>
  <c r="H1095" i="49"/>
  <c r="H3390" i="49"/>
  <c r="T7" i="51"/>
  <c r="H656" i="49"/>
  <c r="E73" i="46"/>
  <c r="T10" i="51"/>
  <c r="H2956" i="49"/>
  <c r="H4606" i="49"/>
  <c r="H4316" i="49"/>
  <c r="H4897" i="49"/>
  <c r="H3728" i="49"/>
  <c r="H3737" i="49"/>
  <c r="H4608" i="49"/>
  <c r="H3741" i="49"/>
  <c r="H2575" i="49"/>
  <c r="H1995" i="49"/>
  <c r="H3041" i="49"/>
  <c r="H2905" i="49"/>
  <c r="E447" i="46"/>
  <c r="H641" i="49"/>
  <c r="H3707" i="49"/>
  <c r="H3705" i="49"/>
  <c r="H3706" i="49"/>
  <c r="H3552" i="49"/>
  <c r="H3553" i="49"/>
  <c r="H3554" i="49"/>
  <c r="E560" i="46"/>
  <c r="H4886" i="49"/>
  <c r="H3452" i="49"/>
  <c r="H1994" i="49"/>
  <c r="H4026" i="49"/>
  <c r="H3442" i="49"/>
  <c r="H1426" i="49"/>
  <c r="H1716" i="49"/>
  <c r="H1419" i="49"/>
  <c r="H1717" i="49"/>
  <c r="H3835" i="49"/>
  <c r="E601" i="46"/>
  <c r="H1236" i="49"/>
  <c r="E172" i="46"/>
  <c r="H2697" i="49"/>
  <c r="H1962" i="49"/>
  <c r="H1885" i="49"/>
  <c r="H3103" i="49"/>
  <c r="H4417" i="49"/>
  <c r="E702" i="46"/>
  <c r="H5124" i="49"/>
  <c r="H2939" i="49"/>
  <c r="H4485" i="49"/>
  <c r="H3587" i="49"/>
  <c r="H3586" i="49"/>
  <c r="H3588" i="49"/>
  <c r="H4315" i="49"/>
  <c r="H4272" i="49"/>
  <c r="H4257" i="49"/>
  <c r="H1689" i="49"/>
  <c r="S17" i="51"/>
  <c r="H3116" i="49"/>
  <c r="H3086" i="49"/>
  <c r="H3134" i="49"/>
  <c r="H4553" i="49"/>
  <c r="H4302" i="49"/>
  <c r="H4300" i="49"/>
  <c r="H4301" i="49"/>
  <c r="S21" i="51"/>
  <c r="H3007" i="49"/>
  <c r="H4546" i="49"/>
  <c r="S14" i="51"/>
  <c r="H4895" i="49"/>
  <c r="H4028" i="49"/>
  <c r="H3153" i="49"/>
  <c r="H3729" i="49"/>
  <c r="H2871" i="49"/>
  <c r="H1997" i="49"/>
  <c r="H1136" i="49"/>
  <c r="H2682" i="49"/>
  <c r="H2688" i="49"/>
  <c r="E413" i="46"/>
  <c r="H4383" i="49"/>
  <c r="H3603" i="49"/>
  <c r="H3604" i="49"/>
  <c r="H3605" i="49"/>
  <c r="H757" i="49"/>
  <c r="E88" i="46"/>
  <c r="H5182" i="49"/>
  <c r="H3731" i="49"/>
  <c r="H2293" i="49"/>
  <c r="H1671" i="49"/>
  <c r="H5139" i="49"/>
  <c r="H2249" i="49"/>
  <c r="H2827" i="49"/>
  <c r="H804" i="49"/>
  <c r="H648" i="49"/>
  <c r="H642" i="49"/>
  <c r="H3405" i="49"/>
  <c r="H1110" i="49"/>
  <c r="H1977" i="49"/>
  <c r="J5168" i="49" l="1"/>
  <c r="Q5168" i="49" s="1"/>
  <c r="J5169" i="49"/>
  <c r="Q5169" i="49"/>
  <c r="J5167" i="49"/>
  <c r="Q5167" i="49" s="1"/>
  <c r="J1369" i="49"/>
  <c r="Q1369" i="49" s="1"/>
  <c r="J1384" i="49"/>
  <c r="Q1384" i="49" s="1"/>
  <c r="J2277" i="49"/>
  <c r="Q2277" i="49" s="1"/>
  <c r="J2278" i="49"/>
  <c r="Q2278" i="49" s="1"/>
  <c r="Q2279" i="49"/>
  <c r="J2279" i="49"/>
  <c r="J1352" i="49"/>
  <c r="Q1352" i="49" s="1"/>
  <c r="J1400" i="49"/>
  <c r="Q1400" i="49" s="1"/>
  <c r="J1701" i="49"/>
  <c r="Q1701" i="49" s="1"/>
  <c r="J1699" i="49"/>
  <c r="Q1699" i="49" s="1"/>
  <c r="J1700" i="49"/>
  <c r="Q1700" i="49" s="1"/>
  <c r="S21" i="18"/>
  <c r="S22" i="18"/>
  <c r="S24" i="18" s="1"/>
  <c r="T39" i="18"/>
  <c r="R73" i="18"/>
  <c r="R45" i="18"/>
  <c r="M124" i="14"/>
  <c r="P57" i="13" s="1"/>
  <c r="O48" i="26" s="1"/>
  <c r="Y24" i="13"/>
  <c r="U63" i="17"/>
  <c r="S62" i="8"/>
  <c r="P20" i="52" s="1"/>
  <c r="T85" i="18"/>
  <c r="T82" i="18"/>
  <c r="T79" i="18"/>
  <c r="T80" i="18"/>
  <c r="I54" i="14"/>
  <c r="L50" i="13" s="1"/>
  <c r="K48" i="19" s="1"/>
  <c r="V39" i="30"/>
  <c r="U32" i="18"/>
  <c r="U34" i="18"/>
  <c r="U18" i="18"/>
  <c r="U16" i="18"/>
  <c r="U37" i="18"/>
  <c r="U33" i="18"/>
  <c r="U15" i="18"/>
  <c r="U14" i="18"/>
  <c r="U62" i="18"/>
  <c r="U44" i="18"/>
  <c r="U27" i="18"/>
  <c r="V12" i="18"/>
  <c r="U30" i="18"/>
  <c r="U38" i="18"/>
  <c r="U35" i="18"/>
  <c r="U31" i="18"/>
  <c r="U28" i="18"/>
  <c r="U61" i="18"/>
  <c r="U63" i="18" s="1"/>
  <c r="U17" i="18"/>
  <c r="U23" i="18"/>
  <c r="U36" i="18"/>
  <c r="U72" i="18"/>
  <c r="U13" i="18"/>
  <c r="U29" i="18"/>
  <c r="T20" i="18"/>
  <c r="T19" i="18"/>
  <c r="J1977" i="49"/>
  <c r="Q1977" i="49" s="1"/>
  <c r="J1110" i="49"/>
  <c r="Q1110" i="49" s="1"/>
  <c r="J3405" i="49"/>
  <c r="Q3405" i="49" s="1"/>
  <c r="J642" i="49"/>
  <c r="Q642" i="49" s="1"/>
  <c r="J648" i="49"/>
  <c r="Q648" i="49" s="1"/>
  <c r="J804" i="49"/>
  <c r="Q804" i="49"/>
  <c r="J2827" i="49"/>
  <c r="Q2827" i="49" s="1"/>
  <c r="J2249" i="49"/>
  <c r="Q2249" i="49" s="1"/>
  <c r="J5139" i="49"/>
  <c r="Q5139" i="49" s="1"/>
  <c r="J1671" i="49"/>
  <c r="Q1671" i="49" s="1"/>
  <c r="J2293" i="49"/>
  <c r="Q2293" i="49" s="1"/>
  <c r="J3731" i="49"/>
  <c r="Q3731" i="49" s="1"/>
  <c r="J5182" i="49"/>
  <c r="Q5182" i="49" s="1"/>
  <c r="J88" i="46"/>
  <c r="J757" i="49"/>
  <c r="Q757" i="49" s="1"/>
  <c r="J3605" i="49"/>
  <c r="Q3605" i="49"/>
  <c r="J3604" i="49"/>
  <c r="Q3604" i="49" s="1"/>
  <c r="J3603" i="49"/>
  <c r="Q3603" i="49"/>
  <c r="Q4383" i="49"/>
  <c r="J4383" i="49"/>
  <c r="J413" i="46"/>
  <c r="J2688" i="49"/>
  <c r="Q2688" i="49" s="1"/>
  <c r="J2682" i="49"/>
  <c r="Q2682" i="49" s="1"/>
  <c r="J1136" i="49"/>
  <c r="Q1136" i="49" s="1"/>
  <c r="J1997" i="49"/>
  <c r="Q1997" i="49" s="1"/>
  <c r="J2871" i="49"/>
  <c r="Q2871" i="49" s="1"/>
  <c r="J3729" i="49"/>
  <c r="Q3729" i="49" s="1"/>
  <c r="Q3153" i="49"/>
  <c r="J3153" i="49"/>
  <c r="J4028" i="49"/>
  <c r="Q4028" i="49" s="1"/>
  <c r="J4895" i="49"/>
  <c r="Q4895" i="49" s="1"/>
  <c r="J4546" i="49"/>
  <c r="Q4546" i="49"/>
  <c r="J3007" i="49"/>
  <c r="Q3007" i="49" s="1"/>
  <c r="J4301" i="49"/>
  <c r="Q4301" i="49"/>
  <c r="J4300" i="49"/>
  <c r="Q4300" i="49" s="1"/>
  <c r="J4302" i="49"/>
  <c r="Q4302" i="49" s="1"/>
  <c r="J4553" i="49"/>
  <c r="Q4553" i="49" s="1"/>
  <c r="J3134" i="49"/>
  <c r="Q3134" i="49" s="1"/>
  <c r="J3086" i="49"/>
  <c r="Q3086" i="49" s="1"/>
  <c r="J3116" i="49"/>
  <c r="Q3116" i="49" s="1"/>
  <c r="Q1689" i="49"/>
  <c r="J1689" i="49"/>
  <c r="J4257" i="49"/>
  <c r="Q4257" i="49" s="1"/>
  <c r="J4272" i="49"/>
  <c r="Q4272" i="49" s="1"/>
  <c r="J4315" i="49"/>
  <c r="Q4315" i="49" s="1"/>
  <c r="J3588" i="49"/>
  <c r="Q3588" i="49" s="1"/>
  <c r="J3586" i="49"/>
  <c r="Q3586" i="49"/>
  <c r="J3587" i="49"/>
  <c r="Q3587" i="49" s="1"/>
  <c r="J4485" i="49"/>
  <c r="Q4485" i="49" s="1"/>
  <c r="Q2939" i="49"/>
  <c r="J2939" i="49"/>
  <c r="J5124" i="49"/>
  <c r="Q5124" i="49" s="1"/>
  <c r="J702" i="46"/>
  <c r="J4417" i="49"/>
  <c r="Q4417" i="49" s="1"/>
  <c r="J3103" i="49"/>
  <c r="Q3103" i="49" s="1"/>
  <c r="J1885" i="49"/>
  <c r="Q1885" i="49" s="1"/>
  <c r="J1962" i="49"/>
  <c r="Q1962" i="49" s="1"/>
  <c r="J2697" i="49"/>
  <c r="Q2697" i="49"/>
  <c r="J172" i="46"/>
  <c r="J1236" i="49"/>
  <c r="Q1236" i="49"/>
  <c r="J601" i="46"/>
  <c r="J3835" i="49"/>
  <c r="Q3835" i="49" s="1"/>
  <c r="J1717" i="49"/>
  <c r="Q1717" i="49" s="1"/>
  <c r="J1419" i="49"/>
  <c r="Q1419" i="49" s="1"/>
  <c r="J1716" i="49"/>
  <c r="Q1716" i="49" s="1"/>
  <c r="J1426" i="49"/>
  <c r="Q1426" i="49" s="1"/>
  <c r="J3442" i="49"/>
  <c r="Q3442" i="49" s="1"/>
  <c r="J4026" i="49"/>
  <c r="Q4026" i="49"/>
  <c r="J1994" i="49"/>
  <c r="Q1994" i="49" s="1"/>
  <c r="J3452" i="49"/>
  <c r="Q3452" i="49" s="1"/>
  <c r="J4886" i="49"/>
  <c r="Q4886" i="49" s="1"/>
  <c r="J560" i="46"/>
  <c r="J3554" i="49"/>
  <c r="Q3554" i="49" s="1"/>
  <c r="J3553" i="49"/>
  <c r="Q3553" i="49" s="1"/>
  <c r="J3552" i="49"/>
  <c r="Q3552" i="49" s="1"/>
  <c r="J3706" i="49"/>
  <c r="Q3706" i="49"/>
  <c r="J3705" i="49"/>
  <c r="Q3705" i="49" s="1"/>
  <c r="J3707" i="49"/>
  <c r="Q3707" i="49" s="1"/>
  <c r="J641" i="49"/>
  <c r="Q641" i="49" s="1"/>
  <c r="J447" i="46"/>
  <c r="J2905" i="49"/>
  <c r="Q2905" i="49" s="1"/>
  <c r="J3041" i="49"/>
  <c r="Q3041" i="49" s="1"/>
  <c r="J1995" i="49"/>
  <c r="Q1995" i="49" s="1"/>
  <c r="J2575" i="49"/>
  <c r="Q2575" i="49" s="1"/>
  <c r="J3741" i="49"/>
  <c r="Q3741" i="49" s="1"/>
  <c r="J4608" i="49"/>
  <c r="Q4608" i="49" s="1"/>
  <c r="J3737" i="49"/>
  <c r="Q3737" i="49"/>
  <c r="Q3728" i="49"/>
  <c r="J3728" i="49"/>
  <c r="J4897" i="49"/>
  <c r="Q4897" i="49" s="1"/>
  <c r="J4316" i="49"/>
  <c r="Q4316" i="49"/>
  <c r="J4606" i="49"/>
  <c r="Q4606" i="49" s="1"/>
  <c r="J2956" i="49"/>
  <c r="Q2956" i="49" s="1"/>
  <c r="J73" i="46"/>
  <c r="J656" i="49"/>
  <c r="Q656" i="49" s="1"/>
  <c r="J3390" i="49"/>
  <c r="Q3390" i="49" s="1"/>
  <c r="J1095" i="49"/>
  <c r="Q1095" i="49" s="1"/>
  <c r="Q1251" i="49"/>
  <c r="J1251" i="49"/>
  <c r="J681" i="46"/>
  <c r="J4345" i="49"/>
  <c r="Q4345" i="49" s="1"/>
  <c r="J686" i="46"/>
  <c r="J4349" i="49"/>
  <c r="Q4349" i="49" s="1"/>
  <c r="J2845" i="49"/>
  <c r="Q2845" i="49"/>
  <c r="Q2508" i="49"/>
  <c r="J2508" i="49"/>
  <c r="J2566" i="49"/>
  <c r="Q2566" i="49" s="1"/>
  <c r="J2568" i="49"/>
  <c r="Q2568" i="49" s="1"/>
  <c r="J2567" i="49"/>
  <c r="Q2567" i="49" s="1"/>
  <c r="J1783" i="49"/>
  <c r="Q1783" i="49" s="1"/>
  <c r="J1766" i="49"/>
  <c r="Q1766" i="49" s="1"/>
  <c r="J5109" i="49"/>
  <c r="Q5109" i="49" s="1"/>
  <c r="J5183" i="49"/>
  <c r="Q5183" i="49" s="1"/>
  <c r="J2219" i="49"/>
  <c r="Q2219" i="49" s="1"/>
  <c r="J3058" i="49"/>
  <c r="Q3058" i="49" s="1"/>
  <c r="J3143" i="49"/>
  <c r="Q3143" i="49" s="1"/>
  <c r="J4579" i="49"/>
  <c r="Q4579" i="49"/>
  <c r="J361" i="46"/>
  <c r="J2390" i="49"/>
  <c r="Q2390" i="49" s="1"/>
  <c r="J718" i="46"/>
  <c r="J4519" i="49"/>
  <c r="Q4519" i="49" s="1"/>
  <c r="J4587" i="49"/>
  <c r="Q4587" i="49" s="1"/>
  <c r="J733" i="46"/>
  <c r="J4643" i="49"/>
  <c r="Q4643" i="49" s="1"/>
  <c r="J4637" i="49"/>
  <c r="Q4637" i="49" s="1"/>
  <c r="J3274" i="49"/>
  <c r="Q3274" i="49"/>
  <c r="J1851" i="49"/>
  <c r="Q1851" i="49" s="1"/>
  <c r="J369" i="46"/>
  <c r="J609" i="46"/>
  <c r="J2581" i="49"/>
  <c r="Q2581" i="49" s="1"/>
  <c r="J4309" i="49"/>
  <c r="Q4309" i="49" s="1"/>
  <c r="J4887" i="49"/>
  <c r="Q4887" i="49" s="1"/>
  <c r="J1718" i="49"/>
  <c r="Q1718" i="49" s="1"/>
  <c r="J1137" i="49"/>
  <c r="Q1137" i="49"/>
  <c r="J1427" i="49"/>
  <c r="Q1427" i="49" s="1"/>
  <c r="J4029" i="49"/>
  <c r="Q4029" i="49" s="1"/>
  <c r="J3740" i="49"/>
  <c r="Q3740" i="49" s="1"/>
  <c r="J4885" i="49"/>
  <c r="Q4885" i="49" s="1"/>
  <c r="J4884" i="49"/>
  <c r="Q4884" i="49" s="1"/>
  <c r="J651" i="46"/>
  <c r="J4125" i="49"/>
  <c r="Q4125" i="49" s="1"/>
  <c r="J5009" i="49"/>
  <c r="Q5009" i="49"/>
  <c r="J4502" i="49"/>
  <c r="Q4502" i="49" s="1"/>
  <c r="J3092" i="49"/>
  <c r="Q3092" i="49" s="1"/>
  <c r="J2922" i="49"/>
  <c r="Q2922" i="49"/>
  <c r="J3423" i="49"/>
  <c r="Q3423" i="49" s="1"/>
  <c r="J3571" i="49"/>
  <c r="Q3571" i="49" s="1"/>
  <c r="J3569" i="49"/>
  <c r="Q3569" i="49"/>
  <c r="J3570" i="49"/>
  <c r="Q3570" i="49" s="1"/>
  <c r="J2857" i="49"/>
  <c r="Q2857" i="49"/>
  <c r="J2856" i="49"/>
  <c r="Q2856" i="49" s="1"/>
  <c r="J2855" i="49"/>
  <c r="Q2855" i="49" s="1"/>
  <c r="J3953" i="49"/>
  <c r="Q3953" i="49" s="1"/>
  <c r="J2797" i="49"/>
  <c r="Q2797" i="49"/>
  <c r="J732" i="46"/>
  <c r="J4636" i="49"/>
  <c r="Q4636" i="49" s="1"/>
  <c r="J4651" i="49"/>
  <c r="Q4651" i="49" s="1"/>
  <c r="J1936" i="49"/>
  <c r="Q1936" i="49"/>
  <c r="J1834" i="49"/>
  <c r="Q1834" i="49" s="1"/>
  <c r="Q3433" i="49"/>
  <c r="J3433" i="49"/>
  <c r="J3434" i="49"/>
  <c r="Q3434" i="49" s="1"/>
  <c r="Q3435" i="49"/>
  <c r="J3435" i="49"/>
  <c r="J3689" i="49"/>
  <c r="Q3689" i="49" s="1"/>
  <c r="J3688" i="49"/>
  <c r="Q3688" i="49" s="1"/>
  <c r="J3690" i="49"/>
  <c r="Q3690" i="49" s="1"/>
  <c r="J1708" i="49"/>
  <c r="Q1708" i="49" s="1"/>
  <c r="J3621" i="49"/>
  <c r="Q3621" i="49" s="1"/>
  <c r="J3622" i="49"/>
  <c r="Q3622" i="49" s="1"/>
  <c r="J3620" i="49"/>
  <c r="Q3620" i="49" s="1"/>
  <c r="J1425" i="49"/>
  <c r="Q1425" i="49"/>
  <c r="J2292" i="49"/>
  <c r="Q2292" i="49" s="1"/>
  <c r="J1128" i="49"/>
  <c r="Q1128" i="49" s="1"/>
  <c r="J1139" i="49"/>
  <c r="Q1139" i="49"/>
  <c r="Q2004" i="49"/>
  <c r="J2004" i="49"/>
  <c r="J2294" i="49"/>
  <c r="Q2294" i="49" s="1"/>
  <c r="J3739" i="49"/>
  <c r="Q3739" i="49" s="1"/>
  <c r="J774" i="49"/>
  <c r="Q774" i="49"/>
  <c r="J822" i="49"/>
  <c r="Q822" i="49" s="1"/>
  <c r="J463" i="46"/>
  <c r="J2973" i="49"/>
  <c r="Q2973" i="49"/>
  <c r="J3126" i="49"/>
  <c r="Q3126" i="49"/>
  <c r="J4001" i="49"/>
  <c r="Q4001" i="49" s="1"/>
  <c r="Q2119" i="49"/>
  <c r="J2119" i="49"/>
  <c r="J660" i="46"/>
  <c r="J5157" i="49"/>
  <c r="Q5157" i="49" s="1"/>
  <c r="J537" i="46"/>
  <c r="J3478" i="49"/>
  <c r="Q3478" i="49" s="1"/>
  <c r="J287" i="46"/>
  <c r="J1919" i="49"/>
  <c r="Q1919" i="49" s="1"/>
  <c r="J2267" i="49"/>
  <c r="Q2267" i="49" s="1"/>
  <c r="J226" i="46"/>
  <c r="J1533" i="49"/>
  <c r="Q1533" i="49"/>
  <c r="J1534" i="49"/>
  <c r="Q1534" i="49"/>
  <c r="J2286" i="49"/>
  <c r="Q2286" i="49" s="1"/>
  <c r="J3451" i="49"/>
  <c r="Q3451" i="49" s="1"/>
  <c r="J3160" i="49"/>
  <c r="Q3160" i="49"/>
  <c r="J3730" i="49"/>
  <c r="Q3730" i="49" s="1"/>
  <c r="J4027" i="49"/>
  <c r="Q4027" i="49" s="1"/>
  <c r="J4604" i="49"/>
  <c r="Q4604" i="49"/>
  <c r="J4896" i="49"/>
  <c r="Q4896" i="49" s="1"/>
  <c r="J5185" i="49"/>
  <c r="Q5185" i="49" s="1"/>
  <c r="J99" i="46"/>
  <c r="J650" i="46"/>
  <c r="J4012" i="49"/>
  <c r="Q4012" i="49" s="1"/>
  <c r="J4011" i="49"/>
  <c r="Q4011" i="49" s="1"/>
  <c r="J4013" i="49"/>
  <c r="Q4013" i="49"/>
  <c r="J4434" i="49"/>
  <c r="Q4434" i="49" s="1"/>
  <c r="J412" i="46"/>
  <c r="J2681" i="49"/>
  <c r="Q2681" i="49" s="1"/>
  <c r="Q3673" i="49"/>
  <c r="J3673" i="49"/>
  <c r="J3671" i="49"/>
  <c r="Q3671" i="49" s="1"/>
  <c r="J3672" i="49"/>
  <c r="Q3672" i="49" s="1"/>
  <c r="J125" i="46"/>
  <c r="J954" i="49"/>
  <c r="Q954" i="49" s="1"/>
  <c r="J948" i="49"/>
  <c r="Q948" i="49" s="1"/>
  <c r="J1541" i="49"/>
  <c r="Q1541" i="49" s="1"/>
  <c r="J3520" i="49"/>
  <c r="Q3520" i="49" s="1"/>
  <c r="J3519" i="49"/>
  <c r="Q3519" i="49" s="1"/>
  <c r="J3518" i="49"/>
  <c r="Q3518" i="49" s="1"/>
  <c r="J257" i="46"/>
  <c r="J1953" i="49"/>
  <c r="Q1953" i="49" s="1"/>
  <c r="J1800" i="49"/>
  <c r="Q1800" i="49" s="1"/>
  <c r="J3968" i="49"/>
  <c r="Q3968" i="49" s="1"/>
  <c r="J3983" i="49"/>
  <c r="Q3983" i="49" s="1"/>
  <c r="J1656" i="49"/>
  <c r="Q1656" i="49" s="1"/>
  <c r="Q3536" i="49"/>
  <c r="J3536" i="49"/>
  <c r="J3537" i="49"/>
  <c r="Q3537" i="49" s="1"/>
  <c r="J3535" i="49"/>
  <c r="Q3535" i="49" s="1"/>
  <c r="J4871" i="49"/>
  <c r="Q4871" i="49" s="1"/>
  <c r="J3109" i="49"/>
  <c r="Q3109" i="49" s="1"/>
  <c r="J2234" i="49"/>
  <c r="Q2234" i="49" s="1"/>
  <c r="J545" i="46"/>
  <c r="J4242" i="49"/>
  <c r="Q4242" i="49" s="1"/>
  <c r="J514" i="46"/>
  <c r="J3267" i="49"/>
  <c r="Q3267" i="49"/>
  <c r="J3268" i="49"/>
  <c r="Q3268" i="49" s="1"/>
  <c r="J4941" i="49"/>
  <c r="Q4941" i="49" s="1"/>
  <c r="J2812" i="49"/>
  <c r="Q2812" i="49" s="1"/>
  <c r="J2376" i="49"/>
  <c r="Q2376" i="49" s="1"/>
  <c r="J2382" i="49"/>
  <c r="Q2382" i="49" s="1"/>
  <c r="J4030" i="49"/>
  <c r="Q4030" i="49" s="1"/>
  <c r="J4531" i="49"/>
  <c r="Q4531" i="49" s="1"/>
  <c r="J847" i="49"/>
  <c r="Q847" i="49" s="1"/>
  <c r="J1140" i="49"/>
  <c r="Q1140" i="49" s="1"/>
  <c r="J1130" i="49"/>
  <c r="Q1130" i="49" s="1"/>
  <c r="J2864" i="49"/>
  <c r="Q2864" i="49" s="1"/>
  <c r="J3738" i="49"/>
  <c r="Q3738" i="49" s="1"/>
  <c r="J3448" i="49"/>
  <c r="Q3448" i="49" s="1"/>
  <c r="J4605" i="49"/>
  <c r="Q4605" i="49" s="1"/>
  <c r="J4607" i="49"/>
  <c r="Q4607" i="49" s="1"/>
  <c r="J5184" i="49"/>
  <c r="Q5184" i="49" s="1"/>
  <c r="J692" i="46"/>
  <c r="J479" i="46"/>
  <c r="J3075" i="49"/>
  <c r="Q3075" i="49" s="1"/>
  <c r="J3024" i="49"/>
  <c r="Q3024" i="49" s="1"/>
  <c r="J81" i="46"/>
  <c r="J636" i="46"/>
  <c r="J4058" i="49"/>
  <c r="Q4058" i="49" s="1"/>
  <c r="J833" i="49"/>
  <c r="Q833" i="49" s="1"/>
  <c r="J832" i="49"/>
  <c r="Q832" i="49" s="1"/>
  <c r="J834" i="49"/>
  <c r="Q834" i="49" s="1"/>
  <c r="J780" i="46"/>
  <c r="J4925" i="49"/>
  <c r="Q4925" i="49" s="1"/>
  <c r="J1080" i="49"/>
  <c r="Q1080" i="49" s="1"/>
  <c r="J4686" i="49"/>
  <c r="Q4686" i="49"/>
  <c r="J1868" i="49"/>
  <c r="Q1868" i="49" s="1"/>
  <c r="J1987" i="49"/>
  <c r="Q1987" i="49" s="1"/>
  <c r="J322" i="46"/>
  <c r="J2111" i="49"/>
  <c r="Q2111" i="49" s="1"/>
  <c r="J2112" i="49"/>
  <c r="Q2112" i="49" s="1"/>
  <c r="J789" i="49"/>
  <c r="Q789" i="49" s="1"/>
  <c r="J4366" i="49"/>
  <c r="Q4366" i="49" s="1"/>
  <c r="J2990" i="49"/>
  <c r="Q2990" i="49" s="1"/>
  <c r="J2538" i="49"/>
  <c r="Q2538" i="49" s="1"/>
  <c r="J781" i="46"/>
  <c r="J4926" i="49"/>
  <c r="Q4926" i="49" s="1"/>
  <c r="J4932" i="49"/>
  <c r="Q4932" i="49" s="1"/>
  <c r="J4468" i="49"/>
  <c r="Q4468" i="49" s="1"/>
  <c r="J1947" i="49"/>
  <c r="Q1947" i="49" s="1"/>
  <c r="Q3375" i="49"/>
  <c r="J3375" i="49"/>
  <c r="J4536" i="49"/>
  <c r="Q4536" i="49"/>
  <c r="J3828" i="49"/>
  <c r="Q3828" i="49" s="1"/>
  <c r="Q3829" i="49"/>
  <c r="J3829" i="49"/>
  <c r="J544" i="46"/>
  <c r="Q3486" i="49"/>
  <c r="J3486" i="49"/>
  <c r="J3485" i="49"/>
  <c r="Q3485" i="49" s="1"/>
  <c r="J3484" i="49"/>
  <c r="Q3484" i="49" s="1"/>
  <c r="J255" i="46"/>
  <c r="J1749" i="49"/>
  <c r="Q1749" i="49" s="1"/>
  <c r="J1970" i="49"/>
  <c r="Q1970" i="49" s="1"/>
  <c r="J271" i="46"/>
  <c r="J1817" i="49"/>
  <c r="Q1817" i="49" s="1"/>
  <c r="Q1902" i="49"/>
  <c r="J1902" i="49"/>
  <c r="J2556" i="49"/>
  <c r="Q2556" i="49" s="1"/>
  <c r="J3715" i="49"/>
  <c r="Q3715" i="49" s="1"/>
  <c r="Q848" i="49"/>
  <c r="J848" i="49"/>
  <c r="J2295" i="49"/>
  <c r="Q2295" i="49" s="1"/>
  <c r="J2582" i="49"/>
  <c r="Q2582" i="49" s="1"/>
  <c r="J4598" i="49"/>
  <c r="Q4598" i="49" s="1"/>
  <c r="J4570" i="49"/>
  <c r="Q4570" i="49" s="1"/>
  <c r="J449" i="46"/>
  <c r="J1641" i="49"/>
  <c r="Q1641" i="49" s="1"/>
  <c r="J1715" i="49"/>
  <c r="Q1715" i="49" s="1"/>
  <c r="J1428" i="49"/>
  <c r="Q1428" i="49" s="1"/>
  <c r="J3449" i="49"/>
  <c r="Q3449" i="49" s="1"/>
  <c r="J5186" i="49"/>
  <c r="Q5186" i="49" s="1"/>
  <c r="J1429" i="49"/>
  <c r="Q1429" i="49" s="1"/>
  <c r="J2870" i="49"/>
  <c r="Q2870" i="49" s="1"/>
  <c r="Q1996" i="49"/>
  <c r="J1996" i="49"/>
  <c r="J2296" i="49"/>
  <c r="Q2296" i="49" s="1"/>
  <c r="J3450" i="49"/>
  <c r="Q3450" i="49" s="1"/>
  <c r="J4020" i="49"/>
  <c r="Q4020" i="49"/>
  <c r="J5176" i="49"/>
  <c r="Q5176" i="49" s="1"/>
  <c r="J576" i="46"/>
  <c r="L16" i="40"/>
  <c r="J3654" i="49"/>
  <c r="Q3654" i="49" s="1"/>
  <c r="J3656" i="49"/>
  <c r="Q3656" i="49" s="1"/>
  <c r="J3655" i="49"/>
  <c r="Q3655" i="49" s="1"/>
  <c r="J962" i="49"/>
  <c r="Q962" i="49" s="1"/>
  <c r="J4073" i="49"/>
  <c r="Q4073" i="49" s="1"/>
  <c r="J637" i="46"/>
  <c r="Q4065" i="49"/>
  <c r="J4065" i="49"/>
  <c r="J4059" i="49"/>
  <c r="Q4059" i="49" s="1"/>
  <c r="J841" i="49"/>
  <c r="Q841" i="49" s="1"/>
  <c r="J1138" i="49"/>
  <c r="Q1138" i="49" s="1"/>
  <c r="J1714" i="49"/>
  <c r="Q1714" i="49" s="1"/>
  <c r="J4894" i="49"/>
  <c r="Q4894" i="49" s="1"/>
  <c r="J4893" i="49"/>
  <c r="Q4893" i="49" s="1"/>
  <c r="J4290" i="49"/>
  <c r="Q4290" i="49" s="1"/>
  <c r="J4451" i="49"/>
  <c r="Q4451" i="49"/>
  <c r="J3502" i="49"/>
  <c r="Q3502" i="49" s="1"/>
  <c r="J3503" i="49"/>
  <c r="Q3503" i="49" s="1"/>
  <c r="J3501" i="49"/>
  <c r="Q3501" i="49" s="1"/>
  <c r="J2523" i="49"/>
  <c r="Q2523" i="49" s="1"/>
  <c r="N8" i="52"/>
  <c r="H209" i="49"/>
  <c r="Q41" i="8"/>
  <c r="S41" i="20"/>
  <c r="S41" i="17"/>
  <c r="H253" i="49"/>
  <c r="R41" i="25"/>
  <c r="S21" i="24"/>
  <c r="S22" i="24" s="1"/>
  <c r="S24" i="24" s="1"/>
  <c r="H67" i="16"/>
  <c r="H68" i="16" s="1"/>
  <c r="S22" i="22"/>
  <c r="S24" i="22" s="1"/>
  <c r="S21" i="22"/>
  <c r="S21" i="19"/>
  <c r="S22" i="19" s="1"/>
  <c r="S24" i="19" s="1"/>
  <c r="S21" i="23"/>
  <c r="S22" i="23" s="1"/>
  <c r="S24" i="23" s="1"/>
  <c r="R41" i="16"/>
  <c r="R41" i="23"/>
  <c r="R45" i="15"/>
  <c r="R73" i="15"/>
  <c r="R41" i="21"/>
  <c r="K87" i="13"/>
  <c r="J64" i="28" s="1"/>
  <c r="J76" i="28" s="1"/>
  <c r="J77" i="28" s="1"/>
  <c r="I137" i="14"/>
  <c r="S21" i="16"/>
  <c r="S22" i="16" s="1"/>
  <c r="S24" i="16" s="1"/>
  <c r="U21" i="26"/>
  <c r="U22" i="26"/>
  <c r="U24" i="26" s="1"/>
  <c r="U41" i="26" s="1"/>
  <c r="T45" i="20"/>
  <c r="T73" i="20"/>
  <c r="R41" i="31"/>
  <c r="S21" i="27"/>
  <c r="S22" i="27" s="1"/>
  <c r="S24" i="27" s="1"/>
  <c r="R41" i="19"/>
  <c r="S21" i="31"/>
  <c r="S22" i="31"/>
  <c r="S24" i="31" s="1"/>
  <c r="S21" i="21"/>
  <c r="S22" i="21" s="1"/>
  <c r="S24" i="21" s="1"/>
  <c r="O50" i="26"/>
  <c r="O52" i="26"/>
  <c r="G63" i="29"/>
  <c r="I67" i="23"/>
  <c r="I68" i="23" s="1"/>
  <c r="T28" i="8"/>
  <c r="B264" i="50"/>
  <c r="Q73" i="29"/>
  <c r="Q45" i="29"/>
  <c r="T39" i="23"/>
  <c r="W13" i="14"/>
  <c r="Z102" i="13"/>
  <c r="K103" i="14"/>
  <c r="N111" i="13"/>
  <c r="M61" i="24" s="1"/>
  <c r="R103" i="14"/>
  <c r="U111" i="13"/>
  <c r="T61" i="24" s="1"/>
  <c r="H128" i="14"/>
  <c r="U21" i="30"/>
  <c r="U22" i="30" s="1"/>
  <c r="U24" i="30" s="1"/>
  <c r="U41" i="30" s="1"/>
  <c r="Q63" i="29"/>
  <c r="V82" i="26"/>
  <c r="V79" i="26"/>
  <c r="V80" i="26"/>
  <c r="V85" i="26"/>
  <c r="R41" i="24"/>
  <c r="U29" i="27"/>
  <c r="U44" i="27"/>
  <c r="U31" i="27"/>
  <c r="U18" i="27"/>
  <c r="U16" i="27"/>
  <c r="U35" i="27"/>
  <c r="U36" i="27"/>
  <c r="U23" i="27"/>
  <c r="V12" i="27"/>
  <c r="U34" i="27"/>
  <c r="U33" i="27"/>
  <c r="U32" i="27"/>
  <c r="U62" i="27"/>
  <c r="U37" i="27"/>
  <c r="U13" i="27"/>
  <c r="U61" i="27"/>
  <c r="U28" i="27"/>
  <c r="U27" i="27"/>
  <c r="U17" i="27"/>
  <c r="U14" i="27"/>
  <c r="U72" i="27"/>
  <c r="U38" i="27"/>
  <c r="U30" i="27"/>
  <c r="U15" i="27"/>
  <c r="T15" i="8"/>
  <c r="T30" i="8"/>
  <c r="U107" i="13"/>
  <c r="T61" i="20" s="1"/>
  <c r="R63" i="14"/>
  <c r="J107" i="13"/>
  <c r="I61" i="20" s="1"/>
  <c r="G63" i="14"/>
  <c r="J246" i="49"/>
  <c r="Q246" i="49" s="1"/>
  <c r="Q73" i="28"/>
  <c r="Q45" i="28"/>
  <c r="J192" i="49"/>
  <c r="Q192" i="49" s="1"/>
  <c r="R41" i="28"/>
  <c r="T39" i="16"/>
  <c r="T27" i="8"/>
  <c r="M63" i="29"/>
  <c r="U37" i="31"/>
  <c r="U33" i="31"/>
  <c r="U29" i="31"/>
  <c r="U23" i="31"/>
  <c r="U15" i="31"/>
  <c r="U18" i="31"/>
  <c r="U13" i="31"/>
  <c r="U38" i="31"/>
  <c r="U28" i="31"/>
  <c r="U16" i="31"/>
  <c r="U36" i="31"/>
  <c r="U31" i="31"/>
  <c r="U32" i="31"/>
  <c r="U14" i="31"/>
  <c r="U30" i="31"/>
  <c r="U27" i="31"/>
  <c r="U34" i="31"/>
  <c r="U72" i="31"/>
  <c r="U62" i="31"/>
  <c r="V12" i="31"/>
  <c r="U44" i="31"/>
  <c r="U35" i="31"/>
  <c r="U61" i="31"/>
  <c r="U17" i="31"/>
  <c r="U66" i="31"/>
  <c r="U75" i="31"/>
  <c r="U43" i="31"/>
  <c r="U60" i="31"/>
  <c r="U47" i="31"/>
  <c r="Q45" i="31"/>
  <c r="Q73" i="31"/>
  <c r="H90" i="13"/>
  <c r="G64" i="31" s="1"/>
  <c r="G76" i="31" s="1"/>
  <c r="G77" i="31" s="1"/>
  <c r="F167" i="14"/>
  <c r="S21" i="25"/>
  <c r="S22" i="25" s="1"/>
  <c r="S24" i="25" s="1"/>
  <c r="I63" i="29"/>
  <c r="T23" i="8"/>
  <c r="T34" i="8"/>
  <c r="T19" i="29"/>
  <c r="J162" i="49"/>
  <c r="Q162" i="49" s="1"/>
  <c r="T63" i="14"/>
  <c r="W107" i="13"/>
  <c r="M62" i="8"/>
  <c r="K63" i="14"/>
  <c r="N107" i="13"/>
  <c r="M61" i="20" s="1"/>
  <c r="T39" i="19"/>
  <c r="U37" i="19"/>
  <c r="U33" i="19"/>
  <c r="U29" i="19"/>
  <c r="U23" i="19"/>
  <c r="U15" i="19"/>
  <c r="U44" i="19"/>
  <c r="U38" i="19"/>
  <c r="U34" i="19"/>
  <c r="U30" i="19"/>
  <c r="U16" i="19"/>
  <c r="U18" i="19"/>
  <c r="U35" i="19"/>
  <c r="U13" i="19"/>
  <c r="U62" i="19"/>
  <c r="U28" i="19"/>
  <c r="U17" i="19"/>
  <c r="U14" i="19"/>
  <c r="U31" i="19"/>
  <c r="U61" i="19"/>
  <c r="U72" i="19"/>
  <c r="V12" i="19"/>
  <c r="U32" i="19"/>
  <c r="U36" i="19"/>
  <c r="U27" i="19"/>
  <c r="R73" i="20"/>
  <c r="R45" i="20"/>
  <c r="J54" i="23"/>
  <c r="J56" i="23" s="1"/>
  <c r="D118" i="14"/>
  <c r="D119" i="14" s="1"/>
  <c r="D120" i="14" s="1"/>
  <c r="I50" i="27"/>
  <c r="I52" i="27"/>
  <c r="U38" i="24"/>
  <c r="U33" i="24"/>
  <c r="U31" i="24"/>
  <c r="U18" i="24"/>
  <c r="U72" i="24"/>
  <c r="U35" i="24"/>
  <c r="U30" i="24"/>
  <c r="U14" i="24"/>
  <c r="U23" i="24"/>
  <c r="U34" i="24"/>
  <c r="U29" i="24"/>
  <c r="U62" i="24"/>
  <c r="U13" i="24"/>
  <c r="U28" i="24"/>
  <c r="U16" i="24"/>
  <c r="U32" i="24"/>
  <c r="U44" i="24"/>
  <c r="U36" i="24"/>
  <c r="V12" i="24"/>
  <c r="U15" i="24"/>
  <c r="U17" i="24"/>
  <c r="U37" i="24"/>
  <c r="U27" i="24"/>
  <c r="U66" i="24"/>
  <c r="U43" i="24"/>
  <c r="U60" i="24"/>
  <c r="U47" i="24"/>
  <c r="U75" i="24"/>
  <c r="T39" i="28"/>
  <c r="Z118" i="13"/>
  <c r="W173" i="14"/>
  <c r="G103" i="14"/>
  <c r="J111" i="13"/>
  <c r="I61" i="24" s="1"/>
  <c r="M98" i="14"/>
  <c r="T39" i="21"/>
  <c r="V37" i="20"/>
  <c r="V35" i="20"/>
  <c r="V62" i="20"/>
  <c r="V28" i="20"/>
  <c r="V15" i="20"/>
  <c r="V13" i="20"/>
  <c r="V30" i="20"/>
  <c r="V72" i="20"/>
  <c r="V32" i="20"/>
  <c r="V17" i="20"/>
  <c r="V34" i="20"/>
  <c r="V33" i="20"/>
  <c r="V38" i="20"/>
  <c r="V44" i="20"/>
  <c r="V36" i="20"/>
  <c r="V23" i="20"/>
  <c r="W12" i="20"/>
  <c r="V61" i="20"/>
  <c r="V63" i="20" s="1"/>
  <c r="V16" i="20"/>
  <c r="V29" i="20"/>
  <c r="V18" i="20"/>
  <c r="V14" i="20"/>
  <c r="V31" i="20"/>
  <c r="V27" i="20"/>
  <c r="V60" i="20"/>
  <c r="V75" i="20"/>
  <c r="V66" i="20"/>
  <c r="V43" i="20"/>
  <c r="V47" i="20"/>
  <c r="I50" i="16"/>
  <c r="I52" i="16"/>
  <c r="T19" i="25"/>
  <c r="U44" i="25"/>
  <c r="U38" i="25"/>
  <c r="U34" i="25"/>
  <c r="U30" i="25"/>
  <c r="U16" i="25"/>
  <c r="U14" i="25"/>
  <c r="U35" i="25"/>
  <c r="U33" i="25"/>
  <c r="U17" i="25"/>
  <c r="U28" i="25"/>
  <c r="U61" i="25"/>
  <c r="U63" i="25" s="1"/>
  <c r="U37" i="25"/>
  <c r="V12" i="25"/>
  <c r="U32" i="25"/>
  <c r="U27" i="25"/>
  <c r="U36" i="25"/>
  <c r="U31" i="25"/>
  <c r="U62" i="25"/>
  <c r="U72" i="25"/>
  <c r="U29" i="25"/>
  <c r="U13" i="25"/>
  <c r="U18" i="25"/>
  <c r="U23" i="25"/>
  <c r="U15" i="25"/>
  <c r="Q45" i="25"/>
  <c r="Q73" i="25"/>
  <c r="R45" i="17"/>
  <c r="R73" i="17"/>
  <c r="J50" i="18"/>
  <c r="J52" i="18"/>
  <c r="I69" i="14"/>
  <c r="I70" i="14" s="1"/>
  <c r="I68" i="14"/>
  <c r="S19" i="8"/>
  <c r="E50" i="29"/>
  <c r="E52" i="29"/>
  <c r="E63" i="29"/>
  <c r="O81" i="8"/>
  <c r="T63" i="22"/>
  <c r="T33" i="8"/>
  <c r="T38" i="8"/>
  <c r="G62" i="8"/>
  <c r="S107" i="13"/>
  <c r="R61" i="20" s="1"/>
  <c r="P63" i="14"/>
  <c r="F62" i="8"/>
  <c r="H107" i="13"/>
  <c r="G61" i="20" s="1"/>
  <c r="E63" i="14"/>
  <c r="T79" i="19"/>
  <c r="T85" i="19"/>
  <c r="T80" i="19"/>
  <c r="T82" i="19"/>
  <c r="I39" i="14"/>
  <c r="I40" i="14" s="1"/>
  <c r="I38" i="14"/>
  <c r="H79" i="14"/>
  <c r="H80" i="14" s="1"/>
  <c r="H78" i="14"/>
  <c r="I28" i="14"/>
  <c r="J8" i="14"/>
  <c r="J9" i="14"/>
  <c r="J10" i="14" s="1"/>
  <c r="W83" i="14"/>
  <c r="Z109" i="13"/>
  <c r="W93" i="14"/>
  <c r="Z110" i="13"/>
  <c r="T86" i="8"/>
  <c r="T79" i="8"/>
  <c r="T83" i="8"/>
  <c r="T81" i="8"/>
  <c r="T63" i="23"/>
  <c r="W163" i="14"/>
  <c r="Z117" i="13"/>
  <c r="W73" i="14"/>
  <c r="Z108" i="13"/>
  <c r="L111" i="13"/>
  <c r="K61" i="24" s="1"/>
  <c r="I103" i="14"/>
  <c r="P111" i="13"/>
  <c r="O61" i="24" s="1"/>
  <c r="M103" i="14"/>
  <c r="T19" i="31"/>
  <c r="U19" i="20"/>
  <c r="U20" i="20" s="1"/>
  <c r="I50" i="22"/>
  <c r="I52" i="22"/>
  <c r="T79" i="25"/>
  <c r="T85" i="25"/>
  <c r="T80" i="25"/>
  <c r="T82" i="25"/>
  <c r="O63" i="29"/>
  <c r="S63" i="29"/>
  <c r="E67" i="30"/>
  <c r="E68" i="30" s="1"/>
  <c r="T79" i="27"/>
  <c r="T85" i="27"/>
  <c r="T82" i="27"/>
  <c r="T80" i="27"/>
  <c r="J177" i="49"/>
  <c r="Q177" i="49"/>
  <c r="U62" i="22"/>
  <c r="U36" i="22"/>
  <c r="U32" i="22"/>
  <c r="U28" i="22"/>
  <c r="U18" i="22"/>
  <c r="U14" i="22"/>
  <c r="U37" i="22"/>
  <c r="U33" i="22"/>
  <c r="U29" i="22"/>
  <c r="U23" i="22"/>
  <c r="U15" i="22"/>
  <c r="U35" i="22"/>
  <c r="U13" i="22"/>
  <c r="U30" i="22"/>
  <c r="U17" i="22"/>
  <c r="U31" i="22"/>
  <c r="U16" i="22"/>
  <c r="U61" i="22"/>
  <c r="U27" i="22"/>
  <c r="U72" i="22"/>
  <c r="V12" i="22"/>
  <c r="U34" i="22"/>
  <c r="U38" i="22"/>
  <c r="U44" i="22"/>
  <c r="T62" i="8"/>
  <c r="T19" i="16"/>
  <c r="T20" i="16" s="1"/>
  <c r="T14" i="8"/>
  <c r="T44" i="8"/>
  <c r="U34" i="29"/>
  <c r="U29" i="29"/>
  <c r="V12" i="29"/>
  <c r="U62" i="29"/>
  <c r="U44" i="29"/>
  <c r="U37" i="29"/>
  <c r="U61" i="29"/>
  <c r="U33" i="29"/>
  <c r="U30" i="29"/>
  <c r="U27" i="29"/>
  <c r="U72" i="29"/>
  <c r="U18" i="29"/>
  <c r="U16" i="29"/>
  <c r="U14" i="29"/>
  <c r="U17" i="29"/>
  <c r="U35" i="29"/>
  <c r="U15" i="29"/>
  <c r="U28" i="29"/>
  <c r="U31" i="29"/>
  <c r="U13" i="29"/>
  <c r="U32" i="29"/>
  <c r="U23" i="29"/>
  <c r="U38" i="29"/>
  <c r="U36" i="29"/>
  <c r="U43" i="29"/>
  <c r="U47" i="29"/>
  <c r="U75" i="29"/>
  <c r="U66" i="29"/>
  <c r="U60" i="29"/>
  <c r="J50" i="25"/>
  <c r="J52" i="25"/>
  <c r="K62" i="8"/>
  <c r="G107" i="13"/>
  <c r="F61" i="20" s="1"/>
  <c r="D63" i="14"/>
  <c r="Q63" i="14"/>
  <c r="T107" i="13"/>
  <c r="S61" i="20" s="1"/>
  <c r="I169" i="14"/>
  <c r="I170" i="14" s="1"/>
  <c r="G159" i="14"/>
  <c r="G160" i="14" s="1"/>
  <c r="V19" i="30"/>
  <c r="V20" i="30" s="1"/>
  <c r="I76" i="22"/>
  <c r="I77" i="22" s="1"/>
  <c r="W133" i="14"/>
  <c r="Z114" i="13"/>
  <c r="I76" i="27"/>
  <c r="I77" i="27" s="1"/>
  <c r="S21" i="28"/>
  <c r="S22" i="28" s="1"/>
  <c r="S24" i="28" s="1"/>
  <c r="P85" i="13"/>
  <c r="O64" i="26" s="1"/>
  <c r="N117" i="14"/>
  <c r="R22" i="29"/>
  <c r="R24" i="29" s="1"/>
  <c r="T19" i="24"/>
  <c r="T20" i="24" s="1"/>
  <c r="I54" i="28"/>
  <c r="I56" i="28"/>
  <c r="J54" i="31"/>
  <c r="N63" i="29"/>
  <c r="S39" i="8"/>
  <c r="T63" i="28"/>
  <c r="T19" i="23"/>
  <c r="T20" i="23" s="1"/>
  <c r="Z115" i="13"/>
  <c r="W143" i="14"/>
  <c r="W33" i="14"/>
  <c r="Z104" i="13"/>
  <c r="W43" i="14"/>
  <c r="Z105" i="13"/>
  <c r="N103" i="14"/>
  <c r="Q111" i="13"/>
  <c r="P61" i="24" s="1"/>
  <c r="U72" i="21"/>
  <c r="V12" i="21"/>
  <c r="U35" i="21"/>
  <c r="U33" i="21"/>
  <c r="U37" i="21"/>
  <c r="U13" i="21"/>
  <c r="U62" i="21"/>
  <c r="U28" i="21"/>
  <c r="U30" i="21"/>
  <c r="U17" i="21"/>
  <c r="U15" i="21"/>
  <c r="U32" i="21"/>
  <c r="U36" i="21"/>
  <c r="U61" i="21"/>
  <c r="U23" i="21"/>
  <c r="U29" i="21"/>
  <c r="U16" i="21"/>
  <c r="U34" i="21"/>
  <c r="U14" i="21"/>
  <c r="U38" i="21"/>
  <c r="U18" i="21"/>
  <c r="U44" i="21"/>
  <c r="U27" i="21"/>
  <c r="U31" i="21"/>
  <c r="U39" i="20"/>
  <c r="W37" i="26"/>
  <c r="W33" i="26"/>
  <c r="W29" i="26"/>
  <c r="W23" i="26"/>
  <c r="W15" i="26"/>
  <c r="W72" i="26"/>
  <c r="X12" i="26"/>
  <c r="W31" i="26"/>
  <c r="W27" i="26"/>
  <c r="W36" i="26"/>
  <c r="W35" i="26"/>
  <c r="W30" i="26"/>
  <c r="W34" i="26"/>
  <c r="W14" i="26"/>
  <c r="W16" i="26"/>
  <c r="W17" i="26"/>
  <c r="W38" i="26"/>
  <c r="W32" i="26"/>
  <c r="W61" i="26"/>
  <c r="W44" i="26"/>
  <c r="W28" i="26"/>
  <c r="W13" i="26"/>
  <c r="W18" i="26"/>
  <c r="W62" i="26"/>
  <c r="W47" i="26"/>
  <c r="W60" i="26"/>
  <c r="W75" i="26"/>
  <c r="W43" i="26"/>
  <c r="W66" i="26"/>
  <c r="F50" i="30"/>
  <c r="J25" i="4" s="1"/>
  <c r="F52" i="30"/>
  <c r="J229" i="49"/>
  <c r="Q229" i="49" s="1"/>
  <c r="T18" i="8"/>
  <c r="T32" i="8"/>
  <c r="O9" i="52"/>
  <c r="H227" i="49"/>
  <c r="T39" i="29"/>
  <c r="U62" i="15"/>
  <c r="U36" i="15"/>
  <c r="U32" i="15"/>
  <c r="U28" i="15"/>
  <c r="U18" i="15"/>
  <c r="U14" i="15"/>
  <c r="U37" i="15"/>
  <c r="U33" i="15"/>
  <c r="U29" i="15"/>
  <c r="U23" i="15"/>
  <c r="U15" i="15"/>
  <c r="U72" i="15"/>
  <c r="U38" i="15"/>
  <c r="U30" i="15"/>
  <c r="U34" i="15"/>
  <c r="U31" i="15"/>
  <c r="U27" i="15"/>
  <c r="U61" i="15"/>
  <c r="U44" i="15"/>
  <c r="U13" i="15"/>
  <c r="U35" i="15"/>
  <c r="U17" i="15"/>
  <c r="U16" i="15"/>
  <c r="V12" i="15"/>
  <c r="T19" i="15"/>
  <c r="T20" i="15" s="1"/>
  <c r="P62" i="8"/>
  <c r="V107" i="13"/>
  <c r="U61" i="20" s="1"/>
  <c r="U63" i="20" s="1"/>
  <c r="S63" i="14"/>
  <c r="J62" i="8"/>
  <c r="S103" i="14"/>
  <c r="V111" i="13"/>
  <c r="U61" i="24" s="1"/>
  <c r="U63" i="24" s="1"/>
  <c r="Y111" i="13"/>
  <c r="V103" i="14"/>
  <c r="B260" i="50"/>
  <c r="T82" i="28"/>
  <c r="T80" i="28"/>
  <c r="T79" i="28"/>
  <c r="T85" i="28"/>
  <c r="W113" i="14"/>
  <c r="Z112" i="13"/>
  <c r="W53" i="14"/>
  <c r="Z106" i="13"/>
  <c r="D97" i="14"/>
  <c r="T82" i="21"/>
  <c r="T79" i="21"/>
  <c r="T85" i="21"/>
  <c r="T80" i="21"/>
  <c r="T21" i="17"/>
  <c r="T22" i="17" s="1"/>
  <c r="T24" i="17" s="1"/>
  <c r="V37" i="17"/>
  <c r="V33" i="17"/>
  <c r="V29" i="17"/>
  <c r="V23" i="17"/>
  <c r="V15" i="17"/>
  <c r="V72" i="17"/>
  <c r="W12" i="17"/>
  <c r="V44" i="17"/>
  <c r="V38" i="17"/>
  <c r="V34" i="17"/>
  <c r="V30" i="17"/>
  <c r="V16" i="17"/>
  <c r="V31" i="17"/>
  <c r="V13" i="17"/>
  <c r="V17" i="17"/>
  <c r="V62" i="17"/>
  <c r="V36" i="17"/>
  <c r="V32" i="17"/>
  <c r="V28" i="17"/>
  <c r="V14" i="17"/>
  <c r="V61" i="17"/>
  <c r="V27" i="17"/>
  <c r="V35" i="17"/>
  <c r="V18" i="17"/>
  <c r="J54" i="21"/>
  <c r="J56" i="21" s="1"/>
  <c r="I82" i="28"/>
  <c r="U61" i="16"/>
  <c r="U35" i="16"/>
  <c r="U31" i="16"/>
  <c r="U27" i="16"/>
  <c r="U17" i="16"/>
  <c r="U13" i="16"/>
  <c r="U62" i="16"/>
  <c r="U36" i="16"/>
  <c r="U32" i="16"/>
  <c r="U28" i="16"/>
  <c r="U18" i="16"/>
  <c r="U14" i="16"/>
  <c r="U37" i="16"/>
  <c r="U29" i="16"/>
  <c r="V12" i="16"/>
  <c r="U72" i="16"/>
  <c r="U44" i="16"/>
  <c r="U38" i="16"/>
  <c r="U34" i="16"/>
  <c r="U16" i="16"/>
  <c r="U15" i="16"/>
  <c r="U33" i="16"/>
  <c r="U23" i="16"/>
  <c r="U30" i="16"/>
  <c r="T13" i="8"/>
  <c r="S20" i="8"/>
  <c r="E50" i="26"/>
  <c r="E52" i="26"/>
  <c r="C64" i="14"/>
  <c r="F51" i="13" s="1"/>
  <c r="E48" i="20" s="1"/>
  <c r="F63" i="14"/>
  <c r="I107" i="13"/>
  <c r="H61" i="20" s="1"/>
  <c r="C63" i="14"/>
  <c r="F107" i="13"/>
  <c r="E61" i="20" s="1"/>
  <c r="O62" i="8"/>
  <c r="M63" i="14"/>
  <c r="P107" i="13"/>
  <c r="O61" i="20" s="1"/>
  <c r="J56" i="15"/>
  <c r="J67" i="15" s="1"/>
  <c r="J68" i="15" s="1"/>
  <c r="C104" i="14"/>
  <c r="F55" i="13" s="1"/>
  <c r="E48" i="24" s="1"/>
  <c r="K111" i="13"/>
  <c r="J61" i="24" s="1"/>
  <c r="H103" i="14"/>
  <c r="U39" i="17"/>
  <c r="U82" i="17"/>
  <c r="U79" i="17"/>
  <c r="U80" i="17"/>
  <c r="U85" i="17"/>
  <c r="V39" i="26"/>
  <c r="J63" i="29"/>
  <c r="S21" i="29"/>
  <c r="S22" i="29" s="1"/>
  <c r="S24" i="29" s="1"/>
  <c r="T19" i="27"/>
  <c r="T20" i="27" s="1"/>
  <c r="I56" i="18"/>
  <c r="T29" i="8"/>
  <c r="T17" i="8"/>
  <c r="I67" i="17"/>
  <c r="I68" i="17" s="1"/>
  <c r="T82" i="29"/>
  <c r="T85" i="29"/>
  <c r="T80" i="29"/>
  <c r="T79" i="29"/>
  <c r="J54" i="19"/>
  <c r="J56" i="19" s="1"/>
  <c r="H144" i="14"/>
  <c r="K59" i="13" s="1"/>
  <c r="J48" i="28" s="1"/>
  <c r="T39" i="15"/>
  <c r="E76" i="20"/>
  <c r="E77" i="20" s="1"/>
  <c r="E64" i="8"/>
  <c r="E76" i="8" s="1"/>
  <c r="E77" i="8" s="1"/>
  <c r="Q62" i="8"/>
  <c r="H62" i="8"/>
  <c r="Q73" i="27"/>
  <c r="Q45" i="27"/>
  <c r="R21" i="8"/>
  <c r="R41" i="27"/>
  <c r="Q73" i="19"/>
  <c r="Q45" i="19"/>
  <c r="T20" i="29"/>
  <c r="O63" i="14"/>
  <c r="R107" i="13"/>
  <c r="Q61" i="20" s="1"/>
  <c r="W35" i="30"/>
  <c r="W13" i="30"/>
  <c r="W16" i="30"/>
  <c r="W38" i="30"/>
  <c r="W33" i="30"/>
  <c r="W29" i="30"/>
  <c r="X12" i="30"/>
  <c r="W44" i="30"/>
  <c r="W37" i="30"/>
  <c r="W32" i="30"/>
  <c r="W31" i="30"/>
  <c r="W28" i="30"/>
  <c r="W14" i="30"/>
  <c r="W62" i="30"/>
  <c r="W72" i="30"/>
  <c r="W23" i="30"/>
  <c r="W15" i="30"/>
  <c r="W17" i="30"/>
  <c r="W18" i="30"/>
  <c r="W61" i="30"/>
  <c r="W36" i="30"/>
  <c r="W30" i="30"/>
  <c r="W34" i="30"/>
  <c r="W27" i="30"/>
  <c r="W75" i="30"/>
  <c r="W47" i="30"/>
  <c r="W60" i="30"/>
  <c r="W66" i="30"/>
  <c r="W43" i="30"/>
  <c r="U37" i="28"/>
  <c r="U33" i="28"/>
  <c r="U29" i="28"/>
  <c r="U23" i="28"/>
  <c r="U15" i="28"/>
  <c r="V12" i="28"/>
  <c r="U16" i="28"/>
  <c r="U14" i="28"/>
  <c r="U31" i="28"/>
  <c r="U61" i="28"/>
  <c r="U63" i="28" s="1"/>
  <c r="U35" i="28"/>
  <c r="U30" i="28"/>
  <c r="U18" i="28"/>
  <c r="U72" i="28"/>
  <c r="U44" i="28"/>
  <c r="U17" i="28"/>
  <c r="U62" i="28"/>
  <c r="U28" i="28"/>
  <c r="U38" i="28"/>
  <c r="U27" i="28"/>
  <c r="U13" i="28"/>
  <c r="U36" i="28"/>
  <c r="U34" i="28"/>
  <c r="U32" i="28"/>
  <c r="U66" i="28"/>
  <c r="U60" i="28"/>
  <c r="U75" i="28"/>
  <c r="U43" i="28"/>
  <c r="U47" i="28"/>
  <c r="T80" i="23"/>
  <c r="T85" i="23"/>
  <c r="T79" i="23"/>
  <c r="T82" i="23"/>
  <c r="G111" i="13"/>
  <c r="F61" i="24" s="1"/>
  <c r="D103" i="14"/>
  <c r="S111" i="13"/>
  <c r="R61" i="24" s="1"/>
  <c r="P103" i="14"/>
  <c r="H111" i="13"/>
  <c r="G61" i="24" s="1"/>
  <c r="E103" i="14"/>
  <c r="Q73" i="21"/>
  <c r="Q45" i="21"/>
  <c r="H18" i="14"/>
  <c r="H19" i="14" s="1"/>
  <c r="H20" i="14" s="1"/>
  <c r="E76" i="26"/>
  <c r="E77" i="26" s="1"/>
  <c r="T37" i="8"/>
  <c r="T31" i="8"/>
  <c r="V63" i="14"/>
  <c r="Y107" i="13"/>
  <c r="M107" i="13"/>
  <c r="L61" i="20" s="1"/>
  <c r="J63" i="14"/>
  <c r="H63" i="14"/>
  <c r="K107" i="13"/>
  <c r="J61" i="20" s="1"/>
  <c r="L107" i="13"/>
  <c r="K61" i="20" s="1"/>
  <c r="I63" i="14"/>
  <c r="F54" i="31"/>
  <c r="H26" i="4"/>
  <c r="V80" i="30"/>
  <c r="V82" i="30"/>
  <c r="V79" i="30"/>
  <c r="V85" i="30"/>
  <c r="Q73" i="23"/>
  <c r="Q45" i="23"/>
  <c r="T73" i="30"/>
  <c r="T45" i="30"/>
  <c r="E53" i="1"/>
  <c r="H67" i="22"/>
  <c r="H68" i="22" s="1"/>
  <c r="B262" i="50"/>
  <c r="T103" i="14"/>
  <c r="W111" i="13"/>
  <c r="W103" i="14"/>
  <c r="Z111" i="13"/>
  <c r="Y28" i="13"/>
  <c r="Q103" i="14"/>
  <c r="T111" i="13"/>
  <c r="S61" i="24" s="1"/>
  <c r="T82" i="31"/>
  <c r="T80" i="31"/>
  <c r="T85" i="31"/>
  <c r="T79" i="31"/>
  <c r="K56" i="15"/>
  <c r="K67" i="15" s="1"/>
  <c r="K68" i="15" s="1"/>
  <c r="K54" i="15"/>
  <c r="U19" i="17"/>
  <c r="U20" i="17" s="1"/>
  <c r="I76" i="16"/>
  <c r="I77" i="16" s="1"/>
  <c r="V19" i="26"/>
  <c r="V20" i="26" s="1"/>
  <c r="K50" i="19"/>
  <c r="K52" i="19"/>
  <c r="T79" i="16"/>
  <c r="T85" i="16"/>
  <c r="T80" i="16"/>
  <c r="T82" i="16"/>
  <c r="T35" i="8"/>
  <c r="H54" i="30"/>
  <c r="H56" i="30" s="1"/>
  <c r="L62" i="8"/>
  <c r="W63" i="14"/>
  <c r="Z107" i="13"/>
  <c r="N63" i="14"/>
  <c r="Q107" i="13"/>
  <c r="P61" i="20" s="1"/>
  <c r="X107" i="13"/>
  <c r="U63" i="14"/>
  <c r="Q73" i="16"/>
  <c r="Q45" i="16"/>
  <c r="U44" i="23"/>
  <c r="U38" i="23"/>
  <c r="U34" i="23"/>
  <c r="U30" i="23"/>
  <c r="U16" i="23"/>
  <c r="U36" i="23"/>
  <c r="V12" i="23"/>
  <c r="U31" i="23"/>
  <c r="U29" i="23"/>
  <c r="U37" i="23"/>
  <c r="U32" i="23"/>
  <c r="U27" i="23"/>
  <c r="U72" i="23"/>
  <c r="U35" i="23"/>
  <c r="U15" i="23"/>
  <c r="U28" i="23"/>
  <c r="U14" i="23"/>
  <c r="U62" i="23"/>
  <c r="U17" i="23"/>
  <c r="U23" i="23"/>
  <c r="U18" i="23"/>
  <c r="U33" i="23"/>
  <c r="U61" i="23"/>
  <c r="U13" i="23"/>
  <c r="F63" i="29"/>
  <c r="G149" i="14"/>
  <c r="G150" i="14" s="1"/>
  <c r="R41" i="22"/>
  <c r="E67" i="31"/>
  <c r="E68" i="31" s="1"/>
  <c r="L63" i="29"/>
  <c r="T39" i="27"/>
  <c r="T39" i="22"/>
  <c r="T63" i="16"/>
  <c r="T61" i="8"/>
  <c r="P63" i="29"/>
  <c r="T82" i="15"/>
  <c r="T85" i="15"/>
  <c r="T79" i="15"/>
  <c r="T80" i="15"/>
  <c r="M58" i="14"/>
  <c r="E62" i="8"/>
  <c r="R62" i="8"/>
  <c r="I62" i="8"/>
  <c r="N62" i="8"/>
  <c r="E138" i="14"/>
  <c r="E139" i="14" s="1"/>
  <c r="E140" i="14" s="1"/>
  <c r="I109" i="14"/>
  <c r="I110" i="14" s="1"/>
  <c r="I108" i="14"/>
  <c r="R63" i="29"/>
  <c r="E76" i="24"/>
  <c r="E77" i="24" s="1"/>
  <c r="O103" i="14"/>
  <c r="R111" i="13"/>
  <c r="Q61" i="24" s="1"/>
  <c r="T19" i="21"/>
  <c r="T20" i="21" s="1"/>
  <c r="T80" i="22"/>
  <c r="T85" i="22"/>
  <c r="T82" i="22"/>
  <c r="T79" i="22"/>
  <c r="F48" i="1"/>
  <c r="T80" i="24"/>
  <c r="T82" i="24"/>
  <c r="T85" i="24"/>
  <c r="T79" i="24"/>
  <c r="J50" i="17"/>
  <c r="J52" i="17"/>
  <c r="D148" i="14"/>
  <c r="F50" i="28"/>
  <c r="J23" i="4" s="1"/>
  <c r="F52" i="28"/>
  <c r="S21" i="15"/>
  <c r="S22" i="15" s="1"/>
  <c r="S24" i="15" s="1"/>
  <c r="S41" i="15" s="1"/>
  <c r="T20" i="31"/>
  <c r="U80" i="20"/>
  <c r="U79" i="20"/>
  <c r="U85" i="20"/>
  <c r="U82" i="20"/>
  <c r="E67" i="28"/>
  <c r="E68" i="28" s="1"/>
  <c r="T73" i="26"/>
  <c r="T45" i="26"/>
  <c r="V63" i="26"/>
  <c r="L78" i="13"/>
  <c r="K64" i="19" s="1"/>
  <c r="K76" i="19" s="1"/>
  <c r="K77" i="19" s="1"/>
  <c r="J47" i="14"/>
  <c r="R5" i="52"/>
  <c r="D5192" i="49"/>
  <c r="D5203" i="49"/>
  <c r="D5193" i="49"/>
  <c r="D5204" i="49"/>
  <c r="D5197" i="49"/>
  <c r="D5190" i="49"/>
  <c r="D5202" i="49"/>
  <c r="D5206" i="49"/>
  <c r="D5194" i="49"/>
  <c r="D5205" i="49"/>
  <c r="D5196" i="49"/>
  <c r="D5199" i="49"/>
  <c r="D5198" i="49"/>
  <c r="D5195" i="49"/>
  <c r="D5201" i="49"/>
  <c r="D5200" i="49"/>
  <c r="D5191" i="49"/>
  <c r="D4914" i="49"/>
  <c r="F53" i="1" s="1"/>
  <c r="D4908" i="49"/>
  <c r="D4902" i="49"/>
  <c r="D4916" i="49"/>
  <c r="D4910" i="49"/>
  <c r="D4904" i="49"/>
  <c r="D4913" i="49"/>
  <c r="D4911" i="49"/>
  <c r="D4909" i="49"/>
  <c r="D4625" i="49"/>
  <c r="D4619" i="49"/>
  <c r="D4613" i="49"/>
  <c r="D4907" i="49"/>
  <c r="D4915" i="49"/>
  <c r="D4912" i="49"/>
  <c r="D4626" i="49"/>
  <c r="D4616" i="49"/>
  <c r="D4903" i="49"/>
  <c r="D4335" i="49"/>
  <c r="D4329" i="49"/>
  <c r="D4323" i="49"/>
  <c r="D4623" i="49"/>
  <c r="D4618" i="49"/>
  <c r="D4901" i="49"/>
  <c r="D4339" i="49"/>
  <c r="D4336" i="49"/>
  <c r="E51" i="1" s="1"/>
  <c r="D4326" i="49"/>
  <c r="D4617" i="49"/>
  <c r="D4614" i="49"/>
  <c r="D4612" i="49"/>
  <c r="D4906" i="49"/>
  <c r="D4333" i="49"/>
  <c r="D4330" i="49"/>
  <c r="D4048" i="49"/>
  <c r="D4042" i="49"/>
  <c r="D4036" i="49"/>
  <c r="D4627" i="49"/>
  <c r="D4622" i="49"/>
  <c r="D4905" i="49"/>
  <c r="D4615" i="49"/>
  <c r="D4331" i="49"/>
  <c r="D4046" i="49"/>
  <c r="D4043" i="49"/>
  <c r="D4621" i="49"/>
  <c r="D4337" i="49"/>
  <c r="D4324" i="49"/>
  <c r="D4050" i="49"/>
  <c r="D4040" i="49"/>
  <c r="D4037" i="49"/>
  <c r="D3758" i="49"/>
  <c r="D49" i="1" s="1"/>
  <c r="D3752" i="49"/>
  <c r="D3746" i="49"/>
  <c r="D3470" i="49"/>
  <c r="D3464" i="49"/>
  <c r="D3458" i="49"/>
  <c r="D4045" i="49"/>
  <c r="D4041" i="49"/>
  <c r="D4624" i="49"/>
  <c r="D4039" i="49"/>
  <c r="D4917" i="49"/>
  <c r="D4035" i="49"/>
  <c r="D3748" i="49"/>
  <c r="D4034" i="49"/>
  <c r="D3460" i="49"/>
  <c r="D3756" i="49"/>
  <c r="D3753" i="49"/>
  <c r="D3456" i="49"/>
  <c r="D4338" i="49"/>
  <c r="D4332" i="49"/>
  <c r="D3469" i="49"/>
  <c r="D3465" i="49"/>
  <c r="D4327" i="49"/>
  <c r="D4049" i="49"/>
  <c r="D3760" i="49"/>
  <c r="D3750" i="49"/>
  <c r="D3461" i="49"/>
  <c r="D3757" i="49"/>
  <c r="D3747" i="49"/>
  <c r="D3457" i="49"/>
  <c r="D4038" i="49"/>
  <c r="D3183" i="49"/>
  <c r="D3177" i="49"/>
  <c r="D4334" i="49"/>
  <c r="D3472" i="49"/>
  <c r="D3463" i="49"/>
  <c r="D3755" i="49"/>
  <c r="D3178" i="49"/>
  <c r="D3172" i="49"/>
  <c r="D2890" i="49"/>
  <c r="D2884" i="49"/>
  <c r="D2878" i="49"/>
  <c r="D4628" i="49"/>
  <c r="D3745" i="49"/>
  <c r="D3467" i="49"/>
  <c r="D4044" i="49"/>
  <c r="D3761" i="49"/>
  <c r="D3466" i="49"/>
  <c r="D3462" i="49"/>
  <c r="D3459" i="49"/>
  <c r="D3169" i="49"/>
  <c r="D3175" i="49"/>
  <c r="D3751" i="49"/>
  <c r="D3182" i="49"/>
  <c r="D3180" i="49"/>
  <c r="D2604" i="49"/>
  <c r="D2598" i="49"/>
  <c r="D3754" i="49"/>
  <c r="D3170" i="49"/>
  <c r="D3167" i="49"/>
  <c r="D2605" i="49"/>
  <c r="D2599" i="49"/>
  <c r="D4620" i="49"/>
  <c r="D4325" i="49"/>
  <c r="D4328" i="49"/>
  <c r="D3181" i="49"/>
  <c r="D3173" i="49"/>
  <c r="D3171" i="49"/>
  <c r="D2891" i="49"/>
  <c r="D2593" i="49"/>
  <c r="D3468" i="49"/>
  <c r="D2597" i="49"/>
  <c r="D4047" i="49"/>
  <c r="F50" i="1" s="1"/>
  <c r="D2594" i="49"/>
  <c r="D2312" i="49"/>
  <c r="D2306" i="49"/>
  <c r="D2300" i="49"/>
  <c r="D2024" i="49"/>
  <c r="D2018" i="49"/>
  <c r="D2012" i="49"/>
  <c r="D3168" i="49"/>
  <c r="D2894" i="49"/>
  <c r="D2589" i="49"/>
  <c r="D2313" i="49"/>
  <c r="D2307" i="49"/>
  <c r="D2301" i="49"/>
  <c r="D2025" i="49"/>
  <c r="D2019" i="49"/>
  <c r="D2013" i="49"/>
  <c r="D3471" i="49"/>
  <c r="D2892" i="49"/>
  <c r="D2887" i="49"/>
  <c r="D2885" i="49"/>
  <c r="D2880" i="49"/>
  <c r="D2595" i="49"/>
  <c r="D2602" i="49"/>
  <c r="D2310" i="49"/>
  <c r="D2027" i="49"/>
  <c r="D2017" i="49"/>
  <c r="D2014" i="49"/>
  <c r="D2893" i="49"/>
  <c r="D2881" i="49"/>
  <c r="D2590" i="49"/>
  <c r="D2314" i="49"/>
  <c r="D2304" i="49"/>
  <c r="D2021" i="49"/>
  <c r="D2011" i="49"/>
  <c r="D3176" i="49"/>
  <c r="D2889" i="49"/>
  <c r="D2592" i="49"/>
  <c r="D2311" i="49"/>
  <c r="D2308" i="49"/>
  <c r="D2015" i="49"/>
  <c r="D2886" i="49"/>
  <c r="D2883" i="49"/>
  <c r="D2601" i="49"/>
  <c r="D2600" i="49"/>
  <c r="D2316" i="49"/>
  <c r="D1736" i="49"/>
  <c r="D1733" i="49"/>
  <c r="D1723" i="49"/>
  <c r="D2591" i="49"/>
  <c r="D2603" i="49"/>
  <c r="D2315" i="49"/>
  <c r="D2303" i="49"/>
  <c r="D2023" i="49"/>
  <c r="D1737" i="49"/>
  <c r="D3749" i="49"/>
  <c r="D3179" i="49"/>
  <c r="D2882" i="49"/>
  <c r="D3759" i="49"/>
  <c r="D3174" i="49"/>
  <c r="D2016" i="49"/>
  <c r="D1738" i="49"/>
  <c r="D1731" i="49"/>
  <c r="D1726" i="49"/>
  <c r="D2879" i="49"/>
  <c r="D2302" i="49"/>
  <c r="D1729" i="49"/>
  <c r="D1442" i="49"/>
  <c r="D1438" i="49"/>
  <c r="D1154" i="49"/>
  <c r="D1150" i="49"/>
  <c r="D2309" i="49"/>
  <c r="D1434" i="49"/>
  <c r="D1146" i="49"/>
  <c r="D2026" i="49"/>
  <c r="D1735" i="49"/>
  <c r="D1447" i="49"/>
  <c r="D1443" i="49"/>
  <c r="D1159" i="49"/>
  <c r="D1155" i="49"/>
  <c r="D1439" i="49"/>
  <c r="D1151" i="49"/>
  <c r="D868" i="49"/>
  <c r="D862" i="49"/>
  <c r="D856" i="49"/>
  <c r="D1448" i="49"/>
  <c r="D1444" i="49"/>
  <c r="D2888" i="49"/>
  <c r="D1732" i="49"/>
  <c r="D1728" i="49"/>
  <c r="D1725" i="49"/>
  <c r="D1435" i="49"/>
  <c r="D1433" i="49"/>
  <c r="D1145" i="49"/>
  <c r="D1724" i="49"/>
  <c r="D2596" i="49"/>
  <c r="D1722" i="49"/>
  <c r="D1156" i="49"/>
  <c r="D2020" i="49"/>
  <c r="D1445" i="49"/>
  <c r="D1440" i="49"/>
  <c r="D1727" i="49"/>
  <c r="D1160" i="49"/>
  <c r="D582" i="49"/>
  <c r="D576" i="49"/>
  <c r="D570" i="49"/>
  <c r="D1158" i="49"/>
  <c r="D1147" i="49"/>
  <c r="D865" i="49"/>
  <c r="D855" i="49"/>
  <c r="D1449" i="49"/>
  <c r="D1149" i="49"/>
  <c r="D1734" i="49"/>
  <c r="D1157" i="49"/>
  <c r="F40" i="1" s="1"/>
  <c r="D1144" i="49"/>
  <c r="D2022" i="49"/>
  <c r="D871" i="49"/>
  <c r="D869" i="49"/>
  <c r="D864" i="49"/>
  <c r="D857" i="49"/>
  <c r="D2305" i="49"/>
  <c r="D1153" i="49"/>
  <c r="D575" i="49"/>
  <c r="D572" i="49"/>
  <c r="D291" i="49"/>
  <c r="B291" i="50" s="1"/>
  <c r="D288" i="49"/>
  <c r="B288" i="50" s="1"/>
  <c r="D285" i="49"/>
  <c r="B285" i="50" s="1"/>
  <c r="D282" i="49"/>
  <c r="B282" i="50" s="1"/>
  <c r="D279" i="49"/>
  <c r="B279" i="50" s="1"/>
  <c r="D1148" i="49"/>
  <c r="D579" i="49"/>
  <c r="D569" i="49"/>
  <c r="D566" i="49"/>
  <c r="F219" i="50" s="1"/>
  <c r="D573" i="49"/>
  <c r="D292" i="49"/>
  <c r="B292" i="50" s="1"/>
  <c r="D289" i="49"/>
  <c r="B289" i="50" s="1"/>
  <c r="D286" i="49"/>
  <c r="B286" i="50" s="1"/>
  <c r="D283" i="49"/>
  <c r="B283" i="50" s="1"/>
  <c r="D280" i="49"/>
  <c r="B280" i="50" s="1"/>
  <c r="D277" i="49"/>
  <c r="B277" i="50" s="1"/>
  <c r="D1441" i="49"/>
  <c r="D577" i="49"/>
  <c r="D567" i="49"/>
  <c r="D278" i="49"/>
  <c r="B278" i="50" s="1"/>
  <c r="D859" i="49"/>
  <c r="D293" i="49"/>
  <c r="D867" i="49"/>
  <c r="D858" i="49"/>
  <c r="D863" i="49"/>
  <c r="D1436" i="49"/>
  <c r="D1152" i="49"/>
  <c r="D861" i="49"/>
  <c r="D290" i="49"/>
  <c r="B290" i="50" s="1"/>
  <c r="D284" i="49"/>
  <c r="B284" i="50" s="1"/>
  <c r="D860" i="49"/>
  <c r="D581" i="49"/>
  <c r="D580" i="49"/>
  <c r="D870" i="49"/>
  <c r="D571" i="49"/>
  <c r="D281" i="49"/>
  <c r="D568" i="49"/>
  <c r="D287" i="49"/>
  <c r="B287" i="50" s="1"/>
  <c r="D1730" i="49"/>
  <c r="D1446" i="49"/>
  <c r="D574" i="49"/>
  <c r="D866" i="49"/>
  <c r="U47" i="8"/>
  <c r="D1437" i="49"/>
  <c r="D578" i="49"/>
  <c r="U72" i="8"/>
  <c r="V12" i="8"/>
  <c r="U43" i="8"/>
  <c r="T39" i="24"/>
  <c r="K63" i="29"/>
  <c r="T19" i="28"/>
  <c r="T20" i="28" s="1"/>
  <c r="W123" i="14"/>
  <c r="Z113" i="13"/>
  <c r="W23" i="14"/>
  <c r="Z103" i="13"/>
  <c r="J103" i="14"/>
  <c r="M111" i="13"/>
  <c r="L61" i="24" s="1"/>
  <c r="X111" i="13"/>
  <c r="U103" i="14"/>
  <c r="F103" i="14"/>
  <c r="I111" i="13"/>
  <c r="H61" i="24" s="1"/>
  <c r="C103" i="14"/>
  <c r="F111" i="13"/>
  <c r="E61" i="24" s="1"/>
  <c r="T39" i="31"/>
  <c r="T20" i="25"/>
  <c r="T39" i="25"/>
  <c r="E174" i="14"/>
  <c r="H62" i="13" s="1"/>
  <c r="G48" i="31" s="1"/>
  <c r="L12" i="52"/>
  <c r="H179" i="49"/>
  <c r="T19" i="22"/>
  <c r="T20" i="22" s="1"/>
  <c r="J210" i="49"/>
  <c r="Q210" i="49" s="1"/>
  <c r="T36" i="8"/>
  <c r="T16" i="8"/>
  <c r="D57" i="14"/>
  <c r="T19" i="19"/>
  <c r="T20" i="19" s="1"/>
  <c r="I89" i="14"/>
  <c r="I90" i="14" s="1"/>
  <c r="I88" i="14"/>
  <c r="I94" i="14" s="1"/>
  <c r="L54" i="13" s="1"/>
  <c r="K48" i="23" s="1"/>
  <c r="R22" i="8"/>
  <c r="R24" i="8" s="1"/>
  <c r="Q73" i="22"/>
  <c r="Q45" i="22"/>
  <c r="M10" i="52"/>
  <c r="H194" i="49"/>
  <c r="P45" i="8"/>
  <c r="P73" i="8"/>
  <c r="E158" i="14"/>
  <c r="E159" i="14" s="1"/>
  <c r="E160" i="14" s="1"/>
  <c r="D53" i="1"/>
  <c r="E569" i="46"/>
  <c r="N19" i="39"/>
  <c r="H3648" i="49"/>
  <c r="T8" i="51"/>
  <c r="H1399" i="49"/>
  <c r="H1557" i="49"/>
  <c r="H1417" i="49"/>
  <c r="H1386" i="49"/>
  <c r="H2829" i="49"/>
  <c r="H1673" i="49"/>
  <c r="H2862" i="49"/>
  <c r="H4421" i="49"/>
  <c r="H4419" i="49"/>
  <c r="H4420" i="49"/>
  <c r="E704" i="46"/>
  <c r="H4591" i="49"/>
  <c r="H4589" i="49"/>
  <c r="H4590" i="49"/>
  <c r="H3275" i="49"/>
  <c r="H4126" i="49"/>
  <c r="E652" i="46"/>
  <c r="H4687" i="49"/>
  <c r="H4370" i="49"/>
  <c r="H4369" i="49"/>
  <c r="H4368" i="49"/>
  <c r="H4914" i="49"/>
  <c r="H4037" i="49"/>
  <c r="H3466" i="49"/>
  <c r="H3176" i="49"/>
  <c r="H2309" i="49"/>
  <c r="H1147" i="49"/>
  <c r="H2584" i="49"/>
  <c r="H2585" i="49"/>
  <c r="H2583" i="49"/>
  <c r="E362" i="46"/>
  <c r="H4645" i="49"/>
  <c r="H4644" i="49"/>
  <c r="E738" i="46"/>
  <c r="E372" i="46"/>
  <c r="H4596" i="49"/>
  <c r="H2121" i="49"/>
  <c r="H2127" i="49"/>
  <c r="H1658" i="49"/>
  <c r="V20" i="51"/>
  <c r="H2236" i="49"/>
  <c r="H4688" i="49"/>
  <c r="H4694" i="49"/>
  <c r="H4572" i="49"/>
  <c r="H4574" i="49"/>
  <c r="H4573" i="49"/>
  <c r="H4336" i="49"/>
  <c r="H4622" i="49"/>
  <c r="H3758" i="49"/>
  <c r="H3748" i="49"/>
  <c r="H3755" i="49"/>
  <c r="H2310" i="49"/>
  <c r="H865" i="49"/>
  <c r="H2540" i="49"/>
  <c r="H2573" i="49"/>
  <c r="E452" i="46"/>
  <c r="H4912" i="49"/>
  <c r="H4326" i="49"/>
  <c r="H3178" i="49"/>
  <c r="H3459" i="49"/>
  <c r="H2599" i="49"/>
  <c r="H2592" i="49"/>
  <c r="H1156" i="49"/>
  <c r="H1153" i="49"/>
  <c r="H3074" i="49"/>
  <c r="E478" i="46"/>
  <c r="H4332" i="49"/>
  <c r="H2012" i="49"/>
  <c r="H2887" i="49"/>
  <c r="H1442" i="49"/>
  <c r="H1155" i="49"/>
  <c r="H1446" i="49"/>
  <c r="H1998" i="49"/>
  <c r="H4489" i="49"/>
  <c r="H4487" i="49"/>
  <c r="H4488" i="49"/>
  <c r="H5126" i="49"/>
  <c r="T9" i="51"/>
  <c r="H4133" i="49"/>
  <c r="H4127" i="49"/>
  <c r="E653" i="46"/>
  <c r="H1744" i="49"/>
  <c r="E249" i="46"/>
  <c r="H1867" i="49"/>
  <c r="H4453" i="49"/>
  <c r="H4455" i="49"/>
  <c r="H4454" i="49"/>
  <c r="H2955" i="49"/>
  <c r="H4902" i="49"/>
  <c r="H2014" i="49"/>
  <c r="H2888" i="49"/>
  <c r="H858" i="49"/>
  <c r="H2713" i="49"/>
  <c r="R19" i="51"/>
  <c r="H2921" i="49"/>
  <c r="H1850" i="49"/>
  <c r="H5199" i="49"/>
  <c r="H4913" i="49"/>
  <c r="H4335" i="49"/>
  <c r="H4043" i="49"/>
  <c r="H2024" i="49"/>
  <c r="H2881" i="49"/>
  <c r="H2023" i="49"/>
  <c r="H1443" i="49"/>
  <c r="H1157" i="49"/>
  <c r="H1436" i="49"/>
  <c r="H4934" i="49"/>
  <c r="H4933" i="49"/>
  <c r="E786" i="46"/>
  <c r="H4621" i="49"/>
  <c r="H3407" i="49"/>
  <c r="H821" i="49"/>
  <c r="H5156" i="49"/>
  <c r="H4557" i="49"/>
  <c r="H4555" i="49"/>
  <c r="H4556" i="49"/>
  <c r="H2972" i="49"/>
  <c r="E462" i="46"/>
  <c r="E74" i="46"/>
  <c r="H2391" i="49"/>
  <c r="E363" i="46"/>
  <c r="V16" i="51"/>
  <c r="H4903" i="49"/>
  <c r="H3747" i="49"/>
  <c r="H1964" i="49"/>
  <c r="E602" i="46"/>
  <c r="E682" i="46"/>
  <c r="H4561" i="49"/>
  <c r="H1127" i="49"/>
  <c r="H2120" i="49"/>
  <c r="H1799" i="49"/>
  <c r="H4438" i="49"/>
  <c r="H4436" i="49"/>
  <c r="H4437" i="49"/>
  <c r="H2384" i="49"/>
  <c r="H2383" i="49"/>
  <c r="H3142" i="49"/>
  <c r="T13" i="51"/>
  <c r="H4615" i="49"/>
  <c r="H3746" i="49"/>
  <c r="H1731" i="49"/>
  <c r="H1444" i="49"/>
  <c r="H2020" i="49"/>
  <c r="H2904" i="49"/>
  <c r="E446" i="46"/>
  <c r="H849" i="49"/>
  <c r="H851" i="49"/>
  <c r="H850" i="49"/>
  <c r="H3108" i="49"/>
  <c r="H4910" i="49"/>
  <c r="H3756" i="49"/>
  <c r="H3757" i="49"/>
  <c r="H1445" i="49"/>
  <c r="H2989" i="49"/>
  <c r="H3745" i="49"/>
  <c r="H2022" i="49"/>
  <c r="H3440" i="49"/>
  <c r="H3133" i="49"/>
  <c r="H4548" i="49"/>
  <c r="H3118" i="49"/>
  <c r="H4259" i="49"/>
  <c r="H3836" i="49"/>
  <c r="E603" i="46"/>
  <c r="H657" i="49"/>
  <c r="E75" i="46"/>
  <c r="H4346" i="49"/>
  <c r="E683" i="46"/>
  <c r="E612" i="46"/>
  <c r="H4652" i="49"/>
  <c r="H2900" i="49"/>
  <c r="E441" i="46"/>
  <c r="E548" i="46"/>
  <c r="H1833" i="49"/>
  <c r="M19" i="39"/>
  <c r="E570" i="46"/>
  <c r="H3040" i="49"/>
  <c r="H1884" i="49"/>
  <c r="T15" i="51"/>
  <c r="H3006" i="49"/>
  <c r="R18" i="51"/>
  <c r="H5010" i="49"/>
  <c r="H1748" i="49"/>
  <c r="E254" i="46"/>
  <c r="H5174" i="49"/>
  <c r="H4067" i="49"/>
  <c r="H4066" i="49"/>
  <c r="E642" i="46"/>
  <c r="H4911" i="49"/>
  <c r="H4333" i="49"/>
  <c r="H3180" i="49"/>
  <c r="H1725" i="49"/>
  <c r="H5141" i="49"/>
  <c r="H3649" i="49"/>
  <c r="L19" i="39"/>
  <c r="E571" i="46"/>
  <c r="H1706" i="49"/>
  <c r="H2284" i="49"/>
  <c r="H1097" i="49"/>
  <c r="H4352" i="49"/>
  <c r="H4351" i="49"/>
  <c r="H4353" i="49"/>
  <c r="E688" i="46"/>
  <c r="H1765" i="49"/>
  <c r="H4504" i="49"/>
  <c r="H4505" i="49"/>
  <c r="H4506" i="49"/>
  <c r="H1542" i="49"/>
  <c r="H1979" i="49"/>
  <c r="H650" i="49"/>
  <c r="H649" i="49"/>
  <c r="H4386" i="49"/>
  <c r="H4385" i="49"/>
  <c r="H4387" i="49"/>
  <c r="H3159" i="49"/>
  <c r="H2003" i="49"/>
  <c r="H1112" i="49"/>
  <c r="H2555" i="49"/>
  <c r="H2251" i="49"/>
  <c r="H2690" i="49"/>
  <c r="H2689" i="49"/>
  <c r="E418" i="46"/>
  <c r="T21" i="51"/>
  <c r="H2698" i="49"/>
  <c r="H1969" i="49"/>
  <c r="T12" i="51"/>
  <c r="H1918" i="49"/>
  <c r="E286" i="46"/>
  <c r="H3970" i="49"/>
  <c r="H1952" i="49"/>
  <c r="H2814" i="49"/>
  <c r="T17" i="51"/>
  <c r="H1816" i="49"/>
  <c r="E270" i="46"/>
  <c r="H4274" i="49"/>
  <c r="H4307" i="49"/>
  <c r="H4521" i="49"/>
  <c r="H4522" i="49"/>
  <c r="H4523" i="49"/>
  <c r="E720" i="46"/>
  <c r="K19" i="40"/>
  <c r="H1986" i="49"/>
  <c r="H3091" i="49"/>
  <c r="T11" i="51"/>
  <c r="U7" i="51"/>
  <c r="T6" i="51"/>
  <c r="E538" i="46"/>
  <c r="H4141" i="49"/>
  <c r="H2938" i="49"/>
  <c r="H1558" i="49"/>
  <c r="H1935" i="49"/>
  <c r="H5193" i="49"/>
  <c r="H3469" i="49"/>
  <c r="H3177" i="49"/>
  <c r="H3467" i="49"/>
  <c r="H2598" i="49"/>
  <c r="H3179" i="49"/>
  <c r="H3151" i="49"/>
  <c r="H3023" i="49"/>
  <c r="H1252" i="49"/>
  <c r="H3479" i="49"/>
  <c r="E539" i="46"/>
  <c r="H4472" i="49"/>
  <c r="H4471" i="49"/>
  <c r="H4470" i="49"/>
  <c r="H4074" i="49"/>
  <c r="H5200" i="49"/>
  <c r="H3465" i="49"/>
  <c r="H4334" i="49"/>
  <c r="H4044" i="49"/>
  <c r="H3754" i="49"/>
  <c r="H2021" i="49"/>
  <c r="H1154" i="49"/>
  <c r="H1145" i="49"/>
  <c r="H4319" i="49"/>
  <c r="H4318" i="49"/>
  <c r="H4317" i="49"/>
  <c r="E84" i="46"/>
  <c r="H3170" i="49"/>
  <c r="H3468" i="49"/>
  <c r="H864" i="49"/>
  <c r="H4957" i="49"/>
  <c r="H4539" i="49"/>
  <c r="H4540" i="49"/>
  <c r="H4538" i="49"/>
  <c r="H806" i="49"/>
  <c r="T14" i="51"/>
  <c r="H4888" i="49"/>
  <c r="H2525" i="49"/>
  <c r="E577" i="46"/>
  <c r="H1243" i="49"/>
  <c r="H1237" i="49"/>
  <c r="E173" i="46"/>
  <c r="H956" i="49"/>
  <c r="H955" i="49"/>
  <c r="E130" i="46"/>
  <c r="E260" i="46"/>
  <c r="H3985" i="49"/>
  <c r="H4904" i="49"/>
  <c r="H2303" i="49"/>
  <c r="H1732" i="49"/>
  <c r="H4942" i="49"/>
  <c r="H839" i="49"/>
  <c r="U10" i="51"/>
  <c r="H3392" i="49"/>
  <c r="H1782" i="49"/>
  <c r="H2873" i="49"/>
  <c r="H2872" i="49"/>
  <c r="H2874" i="49"/>
  <c r="H4018" i="49"/>
  <c r="H3732" i="49"/>
  <c r="H4901" i="49"/>
  <c r="H963" i="49"/>
  <c r="H1543" i="49"/>
  <c r="H1549" i="49"/>
  <c r="H3125" i="49"/>
  <c r="H791" i="49"/>
  <c r="H4000" i="49"/>
  <c r="H4578" i="49"/>
  <c r="H2266" i="49"/>
  <c r="H3422" i="49"/>
  <c r="H2699" i="49"/>
  <c r="H2705" i="49"/>
  <c r="H4289" i="49"/>
  <c r="H1688" i="49"/>
  <c r="H2844" i="49"/>
  <c r="Q1386" i="49" l="1"/>
  <c r="J1386" i="49"/>
  <c r="J1417" i="49"/>
  <c r="Q1417" i="49" s="1"/>
  <c r="J1557" i="49"/>
  <c r="Q1557" i="49" s="1"/>
  <c r="J1399" i="49"/>
  <c r="Q1399" i="49" s="1"/>
  <c r="J3648" i="49"/>
  <c r="Q3648" i="49" s="1"/>
  <c r="J569" i="46"/>
  <c r="F179" i="50"/>
  <c r="F202" i="50"/>
  <c r="F196" i="50"/>
  <c r="T21" i="18"/>
  <c r="T22" i="18"/>
  <c r="T24" i="18" s="1"/>
  <c r="F211" i="50"/>
  <c r="F263" i="50"/>
  <c r="V37" i="18"/>
  <c r="V72" i="18"/>
  <c r="V33" i="18"/>
  <c r="V38" i="18"/>
  <c r="V29" i="18"/>
  <c r="V13" i="18"/>
  <c r="V23" i="18"/>
  <c r="V30" i="18"/>
  <c r="V15" i="18"/>
  <c r="W12" i="18"/>
  <c r="V61" i="18"/>
  <c r="V63" i="18" s="1"/>
  <c r="V34" i="18"/>
  <c r="V44" i="18"/>
  <c r="V62" i="18"/>
  <c r="V16" i="18"/>
  <c r="V32" i="18"/>
  <c r="V35" i="18"/>
  <c r="V28" i="18"/>
  <c r="V27" i="18"/>
  <c r="V18" i="18"/>
  <c r="V17" i="18"/>
  <c r="V36" i="18"/>
  <c r="V14" i="18"/>
  <c r="V31" i="18"/>
  <c r="F212" i="50"/>
  <c r="F42" i="1"/>
  <c r="E26" i="50"/>
  <c r="U39" i="25"/>
  <c r="U63" i="27"/>
  <c r="U20" i="18"/>
  <c r="U39" i="18"/>
  <c r="S41" i="18"/>
  <c r="U85" i="18"/>
  <c r="U79" i="18"/>
  <c r="U80" i="18"/>
  <c r="U82" i="18"/>
  <c r="F44" i="1"/>
  <c r="F193" i="50"/>
  <c r="U19" i="18"/>
  <c r="F253" i="50"/>
  <c r="C12" i="1"/>
  <c r="F159" i="50"/>
  <c r="F41" i="1"/>
  <c r="W39" i="26"/>
  <c r="J14" i="14"/>
  <c r="M46" i="13" s="1"/>
  <c r="L48" i="15" s="1"/>
  <c r="B12" i="1"/>
  <c r="F209" i="50"/>
  <c r="U19" i="29"/>
  <c r="U63" i="15"/>
  <c r="W63" i="26"/>
  <c r="J2844" i="49"/>
  <c r="Q2844" i="49"/>
  <c r="J1688" i="49"/>
  <c r="Q1688" i="49" s="1"/>
  <c r="J4289" i="49"/>
  <c r="Q4289" i="49" s="1"/>
  <c r="J2705" i="49"/>
  <c r="Q2705" i="49" s="1"/>
  <c r="J2699" i="49"/>
  <c r="Q2699" i="49" s="1"/>
  <c r="J3422" i="49"/>
  <c r="Q3422" i="49" s="1"/>
  <c r="J2266" i="49"/>
  <c r="Q2266" i="49" s="1"/>
  <c r="J4578" i="49"/>
  <c r="Q4578" i="49" s="1"/>
  <c r="J4000" i="49"/>
  <c r="Q4000" i="49" s="1"/>
  <c r="J791" i="49"/>
  <c r="Q791" i="49" s="1"/>
  <c r="Q3125" i="49"/>
  <c r="J3125" i="49"/>
  <c r="Q1549" i="49"/>
  <c r="J1549" i="49"/>
  <c r="J1543" i="49"/>
  <c r="Q1543" i="49"/>
  <c r="J963" i="49"/>
  <c r="Q963" i="49" s="1"/>
  <c r="J4901" i="49"/>
  <c r="Q4901" i="49" s="1"/>
  <c r="J3732" i="49"/>
  <c r="Q3732" i="49" s="1"/>
  <c r="Q4018" i="49"/>
  <c r="J4018" i="49"/>
  <c r="J2874" i="49"/>
  <c r="Q2874" i="49" s="1"/>
  <c r="F46" i="1"/>
  <c r="J2872" i="49"/>
  <c r="Q2872" i="49" s="1"/>
  <c r="J2873" i="49"/>
  <c r="Q2873" i="49" s="1"/>
  <c r="J1782" i="49"/>
  <c r="Q1782" i="49" s="1"/>
  <c r="J3392" i="49"/>
  <c r="Q3392" i="49" s="1"/>
  <c r="J839" i="49"/>
  <c r="Q839" i="49" s="1"/>
  <c r="F261" i="50"/>
  <c r="J4942" i="49"/>
  <c r="Q4942" i="49" s="1"/>
  <c r="J1732" i="49"/>
  <c r="Q1732" i="49" s="1"/>
  <c r="Q2303" i="49"/>
  <c r="J2303" i="49"/>
  <c r="J4904" i="49"/>
  <c r="Q4904" i="49"/>
  <c r="J3985" i="49"/>
  <c r="Q3985" i="49" s="1"/>
  <c r="J260" i="46"/>
  <c r="J130" i="46"/>
  <c r="J955" i="49"/>
  <c r="Q955" i="49" s="1"/>
  <c r="J956" i="49"/>
  <c r="Q956" i="49" s="1"/>
  <c r="J173" i="46"/>
  <c r="Q1237" i="49"/>
  <c r="J1237" i="49"/>
  <c r="Q1243" i="49"/>
  <c r="J1243" i="49"/>
  <c r="J577" i="46"/>
  <c r="J2525" i="49"/>
  <c r="Q2525" i="49" s="1"/>
  <c r="J4888" i="49"/>
  <c r="Q4888" i="49" s="1"/>
  <c r="J806" i="49"/>
  <c r="Q806" i="49" s="1"/>
  <c r="J4538" i="49"/>
  <c r="Q4538" i="49" s="1"/>
  <c r="J4540" i="49"/>
  <c r="Q4540" i="49" s="1"/>
  <c r="J4539" i="49"/>
  <c r="Q4539" i="49" s="1"/>
  <c r="J4957" i="49"/>
  <c r="Q4957" i="49" s="1"/>
  <c r="J864" i="49"/>
  <c r="Q864" i="49" s="1"/>
  <c r="J3468" i="49"/>
  <c r="Q3468" i="49" s="1"/>
  <c r="J3170" i="49"/>
  <c r="Q3170" i="49" s="1"/>
  <c r="J84" i="46"/>
  <c r="J4317" i="49"/>
  <c r="Q4317" i="49" s="1"/>
  <c r="J4318" i="49"/>
  <c r="Q4318" i="49" s="1"/>
  <c r="J4319" i="49"/>
  <c r="Q4319" i="49" s="1"/>
  <c r="F51" i="1"/>
  <c r="Q1145" i="49"/>
  <c r="J1145" i="49"/>
  <c r="J1154" i="49"/>
  <c r="Q1154" i="49" s="1"/>
  <c r="J2021" i="49"/>
  <c r="Q2021" i="49"/>
  <c r="J3754" i="49"/>
  <c r="Q3754" i="49" s="1"/>
  <c r="J4044" i="49"/>
  <c r="Q4044" i="49" s="1"/>
  <c r="J4334" i="49"/>
  <c r="Q4334" i="49" s="1"/>
  <c r="J3465" i="49"/>
  <c r="Q3465" i="49" s="1"/>
  <c r="J5200" i="49"/>
  <c r="Q5200" i="49" s="1"/>
  <c r="J4074" i="49"/>
  <c r="Q4074" i="49" s="1"/>
  <c r="J4470" i="49"/>
  <c r="Q4470" i="49" s="1"/>
  <c r="J4471" i="49"/>
  <c r="Q4471" i="49"/>
  <c r="J4472" i="49"/>
  <c r="Q4472" i="49"/>
  <c r="J539" i="46"/>
  <c r="J3479" i="49"/>
  <c r="Q3479" i="49" s="1"/>
  <c r="J1252" i="49"/>
  <c r="Q1252" i="49" s="1"/>
  <c r="J3023" i="49"/>
  <c r="Q3023" i="49" s="1"/>
  <c r="J3151" i="49"/>
  <c r="Q3151" i="49" s="1"/>
  <c r="J3179" i="49"/>
  <c r="Q3179" i="49" s="1"/>
  <c r="J2598" i="49"/>
  <c r="Q2598" i="49"/>
  <c r="Q3467" i="49"/>
  <c r="J3467" i="49"/>
  <c r="Q3177" i="49"/>
  <c r="J3177" i="49"/>
  <c r="J3469" i="49"/>
  <c r="Q3469" i="49" s="1"/>
  <c r="J5193" i="49"/>
  <c r="Q5193" i="49" s="1"/>
  <c r="J1935" i="49"/>
  <c r="Q1935" i="49" s="1"/>
  <c r="J1558" i="49"/>
  <c r="Q1558" i="49"/>
  <c r="J2938" i="49"/>
  <c r="Q2938" i="49" s="1"/>
  <c r="Q4141" i="49"/>
  <c r="J4141" i="49"/>
  <c r="J538" i="46"/>
  <c r="J3091" i="49"/>
  <c r="Q3091" i="49"/>
  <c r="J1986" i="49"/>
  <c r="Q1986" i="49" s="1"/>
  <c r="L19" i="40"/>
  <c r="J720" i="46"/>
  <c r="J4523" i="49"/>
  <c r="Q4523" i="49" s="1"/>
  <c r="E52" i="1"/>
  <c r="J4522" i="49"/>
  <c r="Q4522" i="49" s="1"/>
  <c r="J4521" i="49"/>
  <c r="Q4521" i="49" s="1"/>
  <c r="J4307" i="49"/>
  <c r="Q4307" i="49" s="1"/>
  <c r="J4274" i="49"/>
  <c r="Q4274" i="49" s="1"/>
  <c r="J270" i="46"/>
  <c r="Q1816" i="49"/>
  <c r="J1816" i="49"/>
  <c r="J2814" i="49"/>
  <c r="Q2814" i="49" s="1"/>
  <c r="J1952" i="49"/>
  <c r="Q1952" i="49" s="1"/>
  <c r="J3970" i="49"/>
  <c r="Q3970" i="49" s="1"/>
  <c r="J286" i="46"/>
  <c r="J1918" i="49"/>
  <c r="Q1918" i="49" s="1"/>
  <c r="J1969" i="49"/>
  <c r="Q1969" i="49" s="1"/>
  <c r="J2698" i="49"/>
  <c r="Q2698" i="49" s="1"/>
  <c r="J418" i="46"/>
  <c r="J2689" i="49"/>
  <c r="Q2689" i="49" s="1"/>
  <c r="J2690" i="49"/>
  <c r="Q2690" i="49" s="1"/>
  <c r="J2251" i="49"/>
  <c r="Q2251" i="49" s="1"/>
  <c r="J2555" i="49"/>
  <c r="Q2555" i="49" s="1"/>
  <c r="J1112" i="49"/>
  <c r="Q1112" i="49" s="1"/>
  <c r="J2003" i="49"/>
  <c r="Q2003" i="49" s="1"/>
  <c r="J3159" i="49"/>
  <c r="Q3159" i="49" s="1"/>
  <c r="J4387" i="49"/>
  <c r="Q4387" i="49" s="1"/>
  <c r="J4385" i="49"/>
  <c r="Q4385" i="49" s="1"/>
  <c r="Q4386" i="49"/>
  <c r="J4386" i="49"/>
  <c r="J649" i="49"/>
  <c r="Q649" i="49" s="1"/>
  <c r="J650" i="49"/>
  <c r="Q650" i="49" s="1"/>
  <c r="J1979" i="49"/>
  <c r="Q1979" i="49" s="1"/>
  <c r="J1542" i="49"/>
  <c r="Q1542" i="49" s="1"/>
  <c r="J4506" i="49"/>
  <c r="Q4506" i="49" s="1"/>
  <c r="J4505" i="49"/>
  <c r="Q4505" i="49" s="1"/>
  <c r="J4504" i="49"/>
  <c r="Q4504" i="49" s="1"/>
  <c r="J1765" i="49"/>
  <c r="Q1765" i="49" s="1"/>
  <c r="J688" i="46"/>
  <c r="J4353" i="49"/>
  <c r="Q4353" i="49"/>
  <c r="J4351" i="49"/>
  <c r="Q4351" i="49" s="1"/>
  <c r="J4352" i="49"/>
  <c r="Q4352" i="49" s="1"/>
  <c r="J1097" i="49"/>
  <c r="Q1097" i="49"/>
  <c r="J2284" i="49"/>
  <c r="Q2284" i="49" s="1"/>
  <c r="Q1706" i="49"/>
  <c r="J1706" i="49"/>
  <c r="J571" i="46"/>
  <c r="P19" i="39"/>
  <c r="X19" i="39"/>
  <c r="J3649" i="49"/>
  <c r="Q3649" i="49"/>
  <c r="J5141" i="49"/>
  <c r="Q5141" i="49" s="1"/>
  <c r="J1725" i="49"/>
  <c r="Q1725" i="49" s="1"/>
  <c r="J3180" i="49"/>
  <c r="Q3180" i="49"/>
  <c r="J4333" i="49"/>
  <c r="Q4333" i="49" s="1"/>
  <c r="J4911" i="49"/>
  <c r="Q4911" i="49"/>
  <c r="J642" i="46"/>
  <c r="J4066" i="49"/>
  <c r="Q4066" i="49" s="1"/>
  <c r="J4067" i="49"/>
  <c r="Q4067" i="49" s="1"/>
  <c r="Q5174" i="49"/>
  <c r="J5174" i="49"/>
  <c r="J254" i="46"/>
  <c r="J1748" i="49"/>
  <c r="Q1748" i="49" s="1"/>
  <c r="J5010" i="49"/>
  <c r="Q5010" i="49" s="1"/>
  <c r="J3006" i="49"/>
  <c r="Q3006" i="49" s="1"/>
  <c r="J1884" i="49"/>
  <c r="Q1884" i="49" s="1"/>
  <c r="J3040" i="49"/>
  <c r="Q3040" i="49"/>
  <c r="J570" i="46"/>
  <c r="Q19" i="39"/>
  <c r="J1833" i="49"/>
  <c r="Q1833" i="49" s="1"/>
  <c r="J548" i="46"/>
  <c r="J441" i="46"/>
  <c r="J2900" i="49"/>
  <c r="Q2900" i="49" s="1"/>
  <c r="J4652" i="49"/>
  <c r="Q4652" i="49"/>
  <c r="J612" i="46"/>
  <c r="J683" i="46"/>
  <c r="J4346" i="49"/>
  <c r="Q4346" i="49" s="1"/>
  <c r="J75" i="46"/>
  <c r="J657" i="49"/>
  <c r="Q657" i="49" s="1"/>
  <c r="J603" i="46"/>
  <c r="Q3836" i="49"/>
  <c r="J3836" i="49"/>
  <c r="J4259" i="49"/>
  <c r="Q4259" i="49"/>
  <c r="J3118" i="49"/>
  <c r="Q3118" i="49" s="1"/>
  <c r="J4548" i="49"/>
  <c r="Q4548" i="49" s="1"/>
  <c r="J3133" i="49"/>
  <c r="Q3133" i="49" s="1"/>
  <c r="J3440" i="49"/>
  <c r="Q3440" i="49" s="1"/>
  <c r="J2022" i="49"/>
  <c r="Q2022" i="49" s="1"/>
  <c r="J3745" i="49"/>
  <c r="Q3745" i="49" s="1"/>
  <c r="Q2989" i="49"/>
  <c r="J2989" i="49"/>
  <c r="J1445" i="49"/>
  <c r="Q1445" i="49" s="1"/>
  <c r="J3757" i="49"/>
  <c r="Q3757" i="49"/>
  <c r="J3756" i="49"/>
  <c r="Q3756" i="49" s="1"/>
  <c r="J4910" i="49"/>
  <c r="Q4910" i="49" s="1"/>
  <c r="J3108" i="49"/>
  <c r="Q3108" i="49" s="1"/>
  <c r="J850" i="49"/>
  <c r="Q850" i="49" s="1"/>
  <c r="J851" i="49"/>
  <c r="Q851" i="49" s="1"/>
  <c r="F39" i="1"/>
  <c r="J849" i="49"/>
  <c r="Q849" i="49"/>
  <c r="J446" i="46"/>
  <c r="J2904" i="49"/>
  <c r="Q2904" i="49" s="1"/>
  <c r="J2020" i="49"/>
  <c r="Q2020" i="49" s="1"/>
  <c r="J1444" i="49"/>
  <c r="Q1444" i="49" s="1"/>
  <c r="J1731" i="49"/>
  <c r="Q1731" i="49" s="1"/>
  <c r="J3746" i="49"/>
  <c r="Q3746" i="49" s="1"/>
  <c r="J4615" i="49"/>
  <c r="Q4615" i="49" s="1"/>
  <c r="Q3142" i="49"/>
  <c r="J3142" i="49"/>
  <c r="J2383" i="49"/>
  <c r="Q2383" i="49" s="1"/>
  <c r="J2384" i="49"/>
  <c r="Q2384" i="49" s="1"/>
  <c r="J4437" i="49"/>
  <c r="Q4437" i="49" s="1"/>
  <c r="J4436" i="49"/>
  <c r="Q4436" i="49" s="1"/>
  <c r="J4438" i="49"/>
  <c r="Q4438" i="49" s="1"/>
  <c r="J1799" i="49"/>
  <c r="Q1799" i="49" s="1"/>
  <c r="J2120" i="49"/>
  <c r="Q2120" i="49" s="1"/>
  <c r="J1127" i="49"/>
  <c r="Q1127" i="49" s="1"/>
  <c r="J4561" i="49"/>
  <c r="Q4561" i="49" s="1"/>
  <c r="J682" i="46"/>
  <c r="J602" i="46"/>
  <c r="J1964" i="49"/>
  <c r="Q1964" i="49" s="1"/>
  <c r="J3747" i="49"/>
  <c r="Q3747" i="49" s="1"/>
  <c r="J4903" i="49"/>
  <c r="Q4903" i="49" s="1"/>
  <c r="J363" i="46"/>
  <c r="J2391" i="49"/>
  <c r="Q2391" i="49" s="1"/>
  <c r="J74" i="46"/>
  <c r="J462" i="46"/>
  <c r="J2972" i="49"/>
  <c r="Q2972" i="49" s="1"/>
  <c r="J4556" i="49"/>
  <c r="Q4556" i="49"/>
  <c r="J4555" i="49"/>
  <c r="Q4555" i="49" s="1"/>
  <c r="J4557" i="49"/>
  <c r="Q4557" i="49" s="1"/>
  <c r="J5156" i="49"/>
  <c r="Q5156" i="49" s="1"/>
  <c r="J821" i="49"/>
  <c r="Q821" i="49" s="1"/>
  <c r="F243" i="50"/>
  <c r="J3407" i="49"/>
  <c r="Q3407" i="49" s="1"/>
  <c r="J4621" i="49"/>
  <c r="Q4621" i="49"/>
  <c r="J786" i="46"/>
  <c r="J4933" i="49"/>
  <c r="Q4933" i="49" s="1"/>
  <c r="J4934" i="49"/>
  <c r="Q4934" i="49" s="1"/>
  <c r="J1436" i="49"/>
  <c r="Q1436" i="49" s="1"/>
  <c r="Q1157" i="49"/>
  <c r="J1157" i="49"/>
  <c r="J1443" i="49"/>
  <c r="Q1443" i="49" s="1"/>
  <c r="Q2023" i="49"/>
  <c r="J2023" i="49"/>
  <c r="J2881" i="49"/>
  <c r="Q2881" i="49" s="1"/>
  <c r="Q2024" i="49"/>
  <c r="J2024" i="49"/>
  <c r="J4043" i="49"/>
  <c r="Q4043" i="49" s="1"/>
  <c r="J4335" i="49"/>
  <c r="Q4335" i="49" s="1"/>
  <c r="J4913" i="49"/>
  <c r="Q4913" i="49" s="1"/>
  <c r="J5199" i="49"/>
  <c r="Q5199" i="49" s="1"/>
  <c r="Q1850" i="49"/>
  <c r="J1850" i="49"/>
  <c r="J2921" i="49"/>
  <c r="Q2921" i="49"/>
  <c r="J2713" i="49"/>
  <c r="Q2713" i="49" s="1"/>
  <c r="J858" i="49"/>
  <c r="Q858" i="49" s="1"/>
  <c r="J2888" i="49"/>
  <c r="Q2888" i="49" s="1"/>
  <c r="J2014" i="49"/>
  <c r="Q2014" i="49"/>
  <c r="J4902" i="49"/>
  <c r="Q4902" i="49" s="1"/>
  <c r="J2955" i="49"/>
  <c r="Q2955" i="49" s="1"/>
  <c r="J4454" i="49"/>
  <c r="Q4454" i="49" s="1"/>
  <c r="J4455" i="49"/>
  <c r="Q4455" i="49" s="1"/>
  <c r="J4453" i="49"/>
  <c r="Q4453" i="49" s="1"/>
  <c r="J1867" i="49"/>
  <c r="Q1867" i="49" s="1"/>
  <c r="J249" i="46"/>
  <c r="J1744" i="49"/>
  <c r="Q1744" i="49" s="1"/>
  <c r="J653" i="46"/>
  <c r="J4127" i="49"/>
  <c r="Q4127" i="49" s="1"/>
  <c r="J4133" i="49"/>
  <c r="Q4133" i="49" s="1"/>
  <c r="J5126" i="49"/>
  <c r="Q5126" i="49" s="1"/>
  <c r="J4488" i="49"/>
  <c r="Q4488" i="49" s="1"/>
  <c r="J4487" i="49"/>
  <c r="Q4487" i="49" s="1"/>
  <c r="J4489" i="49"/>
  <c r="Q4489" i="49" s="1"/>
  <c r="Q1998" i="49"/>
  <c r="J1998" i="49"/>
  <c r="J1446" i="49"/>
  <c r="Q1446" i="49" s="1"/>
  <c r="J1155" i="49"/>
  <c r="Q1155" i="49" s="1"/>
  <c r="J1442" i="49"/>
  <c r="Q1442" i="49" s="1"/>
  <c r="J2887" i="49"/>
  <c r="Q2887" i="49" s="1"/>
  <c r="J2012" i="49"/>
  <c r="Q2012" i="49"/>
  <c r="J4332" i="49"/>
  <c r="Q4332" i="49" s="1"/>
  <c r="J478" i="46"/>
  <c r="J3074" i="49"/>
  <c r="Q3074" i="49" s="1"/>
  <c r="Q1153" i="49"/>
  <c r="J1153" i="49"/>
  <c r="J1156" i="49"/>
  <c r="Q1156" i="49" s="1"/>
  <c r="J2592" i="49"/>
  <c r="Q2592" i="49" s="1"/>
  <c r="Q2599" i="49"/>
  <c r="J2599" i="49"/>
  <c r="J3459" i="49"/>
  <c r="Q3459" i="49" s="1"/>
  <c r="J3178" i="49"/>
  <c r="Q3178" i="49"/>
  <c r="J4326" i="49"/>
  <c r="Q4326" i="49" s="1"/>
  <c r="J4912" i="49"/>
  <c r="Q4912" i="49" s="1"/>
  <c r="J452" i="46"/>
  <c r="J2573" i="49"/>
  <c r="Q2573" i="49" s="1"/>
  <c r="J2540" i="49"/>
  <c r="Q2540" i="49" s="1"/>
  <c r="J865" i="49"/>
  <c r="Q865" i="49" s="1"/>
  <c r="J2310" i="49"/>
  <c r="Q2310" i="49" s="1"/>
  <c r="J3755" i="49"/>
  <c r="Q3755" i="49" s="1"/>
  <c r="J3748" i="49"/>
  <c r="Q3748" i="49" s="1"/>
  <c r="Q3758" i="49"/>
  <c r="J3758" i="49"/>
  <c r="J4622" i="49"/>
  <c r="Q4622" i="49" s="1"/>
  <c r="J4336" i="49"/>
  <c r="Q4336" i="49" s="1"/>
  <c r="J4573" i="49"/>
  <c r="Q4573" i="49" s="1"/>
  <c r="J4574" i="49"/>
  <c r="Q4574" i="49"/>
  <c r="Q4572" i="49"/>
  <c r="J4572" i="49"/>
  <c r="J4694" i="49"/>
  <c r="Q4694" i="49" s="1"/>
  <c r="J4688" i="49"/>
  <c r="Q4688" i="49" s="1"/>
  <c r="J2236" i="49"/>
  <c r="Q2236" i="49" s="1"/>
  <c r="J1658" i="49"/>
  <c r="Q1658" i="49" s="1"/>
  <c r="J2127" i="49"/>
  <c r="Q2127" i="49"/>
  <c r="J2121" i="49"/>
  <c r="Q2121" i="49" s="1"/>
  <c r="J4596" i="49"/>
  <c r="Q4596" i="49" s="1"/>
  <c r="J372" i="46"/>
  <c r="J738" i="46"/>
  <c r="J4644" i="49"/>
  <c r="Q4644" i="49" s="1"/>
  <c r="J4645" i="49"/>
  <c r="Q4645" i="49" s="1"/>
  <c r="J362" i="46"/>
  <c r="J2583" i="49"/>
  <c r="Q2583" i="49" s="1"/>
  <c r="Q2585" i="49"/>
  <c r="J2585" i="49"/>
  <c r="F45" i="1"/>
  <c r="J2584" i="49"/>
  <c r="Q2584" i="49" s="1"/>
  <c r="J1147" i="49"/>
  <c r="Q1147" i="49" s="1"/>
  <c r="J2309" i="49"/>
  <c r="Q2309" i="49" s="1"/>
  <c r="J3176" i="49"/>
  <c r="Q3176" i="49" s="1"/>
  <c r="J3466" i="49"/>
  <c r="Q3466" i="49"/>
  <c r="J4037" i="49"/>
  <c r="Q4037" i="49" s="1"/>
  <c r="J4914" i="49"/>
  <c r="Q4914" i="49" s="1"/>
  <c r="Q4368" i="49"/>
  <c r="J4368" i="49"/>
  <c r="J4369" i="49"/>
  <c r="Q4369" i="49" s="1"/>
  <c r="J4370" i="49"/>
  <c r="Q4370" i="49" s="1"/>
  <c r="J4687" i="49"/>
  <c r="Q4687" i="49"/>
  <c r="J652" i="46"/>
  <c r="J4126" i="49"/>
  <c r="Q4126" i="49" s="1"/>
  <c r="J3275" i="49"/>
  <c r="Q3275" i="49" s="1"/>
  <c r="J4590" i="49"/>
  <c r="Q4590" i="49" s="1"/>
  <c r="J4589" i="49"/>
  <c r="Q4589" i="49" s="1"/>
  <c r="J4591" i="49"/>
  <c r="Q4591" i="49" s="1"/>
  <c r="J704" i="46"/>
  <c r="J4420" i="49"/>
  <c r="Q4420" i="49" s="1"/>
  <c r="J4419" i="49"/>
  <c r="Q4419" i="49" s="1"/>
  <c r="J4421" i="49"/>
  <c r="Q4421" i="49" s="1"/>
  <c r="D52" i="1"/>
  <c r="J2862" i="49"/>
  <c r="Q2862" i="49" s="1"/>
  <c r="J1673" i="49"/>
  <c r="Q1673" i="49" s="1"/>
  <c r="J2829" i="49"/>
  <c r="Q2829" i="49" s="1"/>
  <c r="F226" i="50"/>
  <c r="H87" i="13"/>
  <c r="G64" i="28" s="1"/>
  <c r="G76" i="28" s="1"/>
  <c r="G77" i="28" s="1"/>
  <c r="F137" i="14"/>
  <c r="K81" i="13"/>
  <c r="J64" i="22" s="1"/>
  <c r="J76" i="22" s="1"/>
  <c r="J77" i="22" s="1"/>
  <c r="I77" i="14"/>
  <c r="T22" i="22"/>
  <c r="T24" i="22" s="1"/>
  <c r="T21" i="22"/>
  <c r="F218" i="50"/>
  <c r="L77" i="13"/>
  <c r="K64" i="18" s="1"/>
  <c r="K76" i="18" s="1"/>
  <c r="K77" i="18" s="1"/>
  <c r="J37" i="14"/>
  <c r="S41" i="23"/>
  <c r="V21" i="26"/>
  <c r="V22" i="26"/>
  <c r="V24" i="26" s="1"/>
  <c r="V41" i="26" s="1"/>
  <c r="G85" i="13"/>
  <c r="F64" i="26" s="1"/>
  <c r="F76" i="26" s="1"/>
  <c r="F77" i="26" s="1"/>
  <c r="E117" i="14"/>
  <c r="S41" i="19"/>
  <c r="T21" i="21"/>
  <c r="T22" i="21" s="1"/>
  <c r="T24" i="21" s="1"/>
  <c r="T21" i="15"/>
  <c r="T22" i="15" s="1"/>
  <c r="T24" i="15" s="1"/>
  <c r="T41" i="15" s="1"/>
  <c r="S41" i="28"/>
  <c r="J67" i="23"/>
  <c r="J68" i="23" s="1"/>
  <c r="U22" i="17"/>
  <c r="U24" i="17" s="1"/>
  <c r="U21" i="17"/>
  <c r="F201" i="50"/>
  <c r="S41" i="25"/>
  <c r="S41" i="21"/>
  <c r="L82" i="13"/>
  <c r="K64" i="23" s="1"/>
  <c r="K76" i="23" s="1"/>
  <c r="K77" i="23" s="1"/>
  <c r="J87" i="14"/>
  <c r="K75" i="13"/>
  <c r="J64" i="16" s="1"/>
  <c r="I17" i="14"/>
  <c r="T21" i="19"/>
  <c r="T22" i="19" s="1"/>
  <c r="T24" i="19" s="1"/>
  <c r="T21" i="24"/>
  <c r="T22" i="24" s="1"/>
  <c r="T24" i="24" s="1"/>
  <c r="H89" i="13"/>
  <c r="G64" i="30" s="1"/>
  <c r="G76" i="30" s="1"/>
  <c r="G77" i="30" s="1"/>
  <c r="E161" i="14"/>
  <c r="L84" i="13"/>
  <c r="K64" i="25" s="1"/>
  <c r="K76" i="25" s="1"/>
  <c r="K77" i="25" s="1"/>
  <c r="J107" i="14"/>
  <c r="T21" i="27"/>
  <c r="T22" i="27" s="1"/>
  <c r="T24" i="27" s="1"/>
  <c r="S73" i="15"/>
  <c r="S45" i="15"/>
  <c r="S41" i="29"/>
  <c r="U21" i="20"/>
  <c r="U22" i="20" s="1"/>
  <c r="U24" i="20" s="1"/>
  <c r="L80" i="13"/>
  <c r="K64" i="21" s="1"/>
  <c r="K76" i="21" s="1"/>
  <c r="K77" i="21" s="1"/>
  <c r="J67" i="14"/>
  <c r="S41" i="27"/>
  <c r="R63" i="24"/>
  <c r="J67" i="19"/>
  <c r="J68" i="19" s="1"/>
  <c r="V61" i="16"/>
  <c r="V35" i="16"/>
  <c r="V31" i="16"/>
  <c r="V27" i="16"/>
  <c r="V17" i="16"/>
  <c r="V13" i="16"/>
  <c r="V62" i="16"/>
  <c r="V36" i="16"/>
  <c r="V32" i="16"/>
  <c r="V28" i="16"/>
  <c r="V18" i="16"/>
  <c r="V14" i="16"/>
  <c r="V37" i="16"/>
  <c r="V29" i="16"/>
  <c r="V38" i="16"/>
  <c r="V30" i="16"/>
  <c r="V34" i="16"/>
  <c r="V16" i="16"/>
  <c r="V33" i="16"/>
  <c r="W12" i="16"/>
  <c r="V23" i="16"/>
  <c r="V44" i="16"/>
  <c r="V72" i="16"/>
  <c r="V15" i="16"/>
  <c r="M74" i="13"/>
  <c r="L64" i="15" s="1"/>
  <c r="L76" i="15" s="1"/>
  <c r="L77" i="15" s="1"/>
  <c r="K7" i="14"/>
  <c r="J54" i="17"/>
  <c r="J56" i="17" s="1"/>
  <c r="D58" i="14"/>
  <c r="D59" i="14" s="1"/>
  <c r="D60" i="14" s="1"/>
  <c r="E43" i="50"/>
  <c r="G63" i="20"/>
  <c r="G164" i="14"/>
  <c r="J61" i="13" s="1"/>
  <c r="I48" i="30" s="1"/>
  <c r="E162" i="50"/>
  <c r="U73" i="26"/>
  <c r="U45" i="26"/>
  <c r="F20" i="52"/>
  <c r="H83" i="49"/>
  <c r="V61" i="28"/>
  <c r="V38" i="28"/>
  <c r="V34" i="28"/>
  <c r="V30" i="28"/>
  <c r="V16" i="28"/>
  <c r="V31" i="28"/>
  <c r="V29" i="28"/>
  <c r="V18" i="28"/>
  <c r="V44" i="28"/>
  <c r="V72" i="28"/>
  <c r="V17" i="28"/>
  <c r="V62" i="28"/>
  <c r="V28" i="28"/>
  <c r="V15" i="28"/>
  <c r="V37" i="28"/>
  <c r="V27" i="28"/>
  <c r="V13" i="28"/>
  <c r="V14" i="28"/>
  <c r="V33" i="28"/>
  <c r="V23" i="28"/>
  <c r="V32" i="28"/>
  <c r="V36" i="28"/>
  <c r="V35" i="28"/>
  <c r="W12" i="28"/>
  <c r="V75" i="28"/>
  <c r="V66" i="28"/>
  <c r="V60" i="28"/>
  <c r="V47" i="28"/>
  <c r="V43" i="28"/>
  <c r="R45" i="27"/>
  <c r="R73" i="27"/>
  <c r="I67" i="18"/>
  <c r="I68" i="18" s="1"/>
  <c r="U36" i="8"/>
  <c r="O76" i="26"/>
  <c r="O77" i="26" s="1"/>
  <c r="U85" i="22"/>
  <c r="U80" i="22"/>
  <c r="U79" i="22"/>
  <c r="U82" i="22"/>
  <c r="F160" i="50"/>
  <c r="U62" i="8"/>
  <c r="I174" i="14"/>
  <c r="L62" i="13" s="1"/>
  <c r="K48" i="31" s="1"/>
  <c r="E175" i="50"/>
  <c r="U82" i="31"/>
  <c r="U85" i="31"/>
  <c r="U79" i="31"/>
  <c r="U80" i="31"/>
  <c r="H129" i="14"/>
  <c r="H130" i="14" s="1"/>
  <c r="I138" i="14"/>
  <c r="I139" i="14" s="1"/>
  <c r="I140" i="14" s="1"/>
  <c r="R73" i="16"/>
  <c r="R45" i="16"/>
  <c r="G50" i="31"/>
  <c r="G52" i="31"/>
  <c r="U82" i="23"/>
  <c r="U80" i="23"/>
  <c r="U85" i="23"/>
  <c r="U79" i="23"/>
  <c r="W39" i="30"/>
  <c r="F195" i="50"/>
  <c r="E107" i="50"/>
  <c r="J227" i="49"/>
  <c r="Q227" i="49" s="1"/>
  <c r="E227" i="50"/>
  <c r="V44" i="21"/>
  <c r="V38" i="21"/>
  <c r="V34" i="21"/>
  <c r="V30" i="21"/>
  <c r="V16" i="21"/>
  <c r="V61" i="21"/>
  <c r="V63" i="21" s="1"/>
  <c r="V35" i="21"/>
  <c r="V31" i="21"/>
  <c r="V27" i="21"/>
  <c r="V17" i="21"/>
  <c r="V13" i="21"/>
  <c r="V37" i="21"/>
  <c r="V62" i="21"/>
  <c r="V28" i="21"/>
  <c r="V15" i="21"/>
  <c r="V32" i="21"/>
  <c r="V72" i="21"/>
  <c r="V23" i="21"/>
  <c r="W12" i="21"/>
  <c r="V36" i="21"/>
  <c r="V29" i="21"/>
  <c r="V33" i="21"/>
  <c r="V14" i="21"/>
  <c r="V18" i="21"/>
  <c r="J89" i="13"/>
  <c r="I64" i="30" s="1"/>
  <c r="H157" i="14"/>
  <c r="T19" i="8"/>
  <c r="T20" i="8" s="1"/>
  <c r="E158" i="50"/>
  <c r="F54" i="28"/>
  <c r="F56" i="28" s="1"/>
  <c r="H23" i="4"/>
  <c r="F38" i="1"/>
  <c r="F235" i="50"/>
  <c r="U63" i="23"/>
  <c r="U39" i="23"/>
  <c r="E24" i="50"/>
  <c r="W19" i="30"/>
  <c r="W20" i="30" s="1"/>
  <c r="F229" i="50"/>
  <c r="E54" i="26"/>
  <c r="E56" i="26" s="1"/>
  <c r="U38" i="8"/>
  <c r="E90" i="50"/>
  <c r="G20" i="52"/>
  <c r="H100" i="49"/>
  <c r="U39" i="21"/>
  <c r="U79" i="21"/>
  <c r="U85" i="21"/>
  <c r="U80" i="21"/>
  <c r="U82" i="21"/>
  <c r="L90" i="13"/>
  <c r="K64" i="31" s="1"/>
  <c r="K76" i="31" s="1"/>
  <c r="K77" i="31" s="1"/>
  <c r="J167" i="14"/>
  <c r="U39" i="22"/>
  <c r="T21" i="23"/>
  <c r="T22" i="23" s="1"/>
  <c r="T24" i="23" s="1"/>
  <c r="C20" i="52"/>
  <c r="H32" i="49"/>
  <c r="J54" i="18"/>
  <c r="J56" i="18"/>
  <c r="L63" i="24"/>
  <c r="E144" i="14"/>
  <c r="H59" i="13" s="1"/>
  <c r="G48" i="28" s="1"/>
  <c r="G154" i="14"/>
  <c r="J60" i="13" s="1"/>
  <c r="I48" i="29" s="1"/>
  <c r="P63" i="20"/>
  <c r="P61" i="8"/>
  <c r="K54" i="19"/>
  <c r="K56" i="19" s="1"/>
  <c r="G63" i="24"/>
  <c r="J50" i="28"/>
  <c r="J52" i="28"/>
  <c r="F236" i="50"/>
  <c r="U44" i="8"/>
  <c r="U13" i="8"/>
  <c r="E60" i="50"/>
  <c r="U39" i="15"/>
  <c r="U19" i="15"/>
  <c r="X44" i="26"/>
  <c r="X38" i="26"/>
  <c r="X34" i="26"/>
  <c r="X30" i="26"/>
  <c r="X16" i="26"/>
  <c r="X18" i="26"/>
  <c r="X37" i="26"/>
  <c r="X13" i="26"/>
  <c r="X36" i="26"/>
  <c r="X31" i="26"/>
  <c r="X15" i="26"/>
  <c r="X72" i="26"/>
  <c r="X35" i="26"/>
  <c r="X14" i="26"/>
  <c r="X23" i="26"/>
  <c r="X62" i="26"/>
  <c r="Y12" i="26"/>
  <c r="X32" i="26"/>
  <c r="X29" i="26"/>
  <c r="X61" i="26"/>
  <c r="X28" i="26"/>
  <c r="X27" i="26"/>
  <c r="X33" i="26"/>
  <c r="X17" i="26"/>
  <c r="X47" i="26"/>
  <c r="X75" i="26"/>
  <c r="X66" i="26"/>
  <c r="X60" i="26"/>
  <c r="X43" i="26"/>
  <c r="P63" i="24"/>
  <c r="S63" i="20"/>
  <c r="S61" i="8"/>
  <c r="Q20" i="52"/>
  <c r="H270" i="49"/>
  <c r="U63" i="22"/>
  <c r="D12" i="1"/>
  <c r="D51" i="1"/>
  <c r="V61" i="25"/>
  <c r="V35" i="25"/>
  <c r="V31" i="25"/>
  <c r="V27" i="25"/>
  <c r="V17" i="25"/>
  <c r="V13" i="25"/>
  <c r="V29" i="25"/>
  <c r="V38" i="25"/>
  <c r="V33" i="25"/>
  <c r="V28" i="25"/>
  <c r="V44" i="25"/>
  <c r="V37" i="25"/>
  <c r="W12" i="25"/>
  <c r="V32" i="25"/>
  <c r="V16" i="25"/>
  <c r="V36" i="25"/>
  <c r="V15" i="25"/>
  <c r="V14" i="25"/>
  <c r="V34" i="25"/>
  <c r="V23" i="25"/>
  <c r="V62" i="25"/>
  <c r="V72" i="25"/>
  <c r="V18" i="25"/>
  <c r="V30" i="25"/>
  <c r="F270" i="50"/>
  <c r="R45" i="28"/>
  <c r="R73" i="28"/>
  <c r="I63" i="20"/>
  <c r="E159" i="50"/>
  <c r="F184" i="50"/>
  <c r="T21" i="28"/>
  <c r="T22" i="28" s="1"/>
  <c r="T24" i="28" s="1"/>
  <c r="F56" i="31"/>
  <c r="E212" i="50"/>
  <c r="G212" i="50" s="1"/>
  <c r="H212" i="50" s="1"/>
  <c r="U79" i="28"/>
  <c r="U82" i="28"/>
  <c r="U85" i="28"/>
  <c r="U80" i="28"/>
  <c r="Q63" i="20"/>
  <c r="Q61" i="8"/>
  <c r="E109" i="50"/>
  <c r="O63" i="20"/>
  <c r="O61" i="8"/>
  <c r="U79" i="16"/>
  <c r="U85" i="16"/>
  <c r="U80" i="16"/>
  <c r="U82" i="16"/>
  <c r="U17" i="8"/>
  <c r="D98" i="14"/>
  <c r="D99" i="14" s="1"/>
  <c r="D100" i="14" s="1"/>
  <c r="W79" i="26"/>
  <c r="W85" i="26"/>
  <c r="W80" i="26"/>
  <c r="W82" i="26"/>
  <c r="U19" i="22"/>
  <c r="U20" i="22" s="1"/>
  <c r="E177" i="50"/>
  <c r="I44" i="14"/>
  <c r="L49" i="13" s="1"/>
  <c r="K48" i="18" s="1"/>
  <c r="R63" i="20"/>
  <c r="R61" i="8"/>
  <c r="E160" i="50"/>
  <c r="V39" i="20"/>
  <c r="V62" i="24"/>
  <c r="V36" i="24"/>
  <c r="V32" i="24"/>
  <c r="V28" i="24"/>
  <c r="V18" i="24"/>
  <c r="V14" i="24"/>
  <c r="V61" i="24"/>
  <c r="V29" i="24"/>
  <c r="V27" i="24"/>
  <c r="V30" i="24"/>
  <c r="V23" i="24"/>
  <c r="V34" i="24"/>
  <c r="V13" i="24"/>
  <c r="V38" i="24"/>
  <c r="V33" i="24"/>
  <c r="V44" i="24"/>
  <c r="V37" i="24"/>
  <c r="V17" i="24"/>
  <c r="W12" i="24"/>
  <c r="V16" i="24"/>
  <c r="V31" i="24"/>
  <c r="V15" i="24"/>
  <c r="V72" i="24"/>
  <c r="V35" i="24"/>
  <c r="V43" i="24"/>
  <c r="V75" i="24"/>
  <c r="V66" i="24"/>
  <c r="V47" i="24"/>
  <c r="V60" i="24"/>
  <c r="F227" i="50"/>
  <c r="U39" i="19"/>
  <c r="F246" i="50"/>
  <c r="U39" i="31"/>
  <c r="E192" i="50"/>
  <c r="F54" i="1"/>
  <c r="R73" i="21"/>
  <c r="R45" i="21"/>
  <c r="S41" i="22"/>
  <c r="S73" i="17"/>
  <c r="S45" i="17"/>
  <c r="F52" i="1"/>
  <c r="E126" i="50"/>
  <c r="T63" i="20"/>
  <c r="E246" i="50"/>
  <c r="G246" i="50" s="1"/>
  <c r="H246" i="50" s="1"/>
  <c r="T63" i="24"/>
  <c r="S73" i="20"/>
  <c r="S45" i="20"/>
  <c r="H24" i="14"/>
  <c r="K47" i="13" s="1"/>
  <c r="J48" i="16" s="1"/>
  <c r="W63" i="30"/>
  <c r="L20" i="52"/>
  <c r="H185" i="49"/>
  <c r="T21" i="16"/>
  <c r="T22" i="16"/>
  <c r="T24" i="16" s="1"/>
  <c r="U29" i="8"/>
  <c r="U31" i="8"/>
  <c r="U19" i="21"/>
  <c r="U20" i="21" s="1"/>
  <c r="F63" i="20"/>
  <c r="F61" i="8"/>
  <c r="V37" i="29"/>
  <c r="V33" i="29"/>
  <c r="V29" i="29"/>
  <c r="V23" i="29"/>
  <c r="V15" i="29"/>
  <c r="V17" i="29"/>
  <c r="V32" i="29"/>
  <c r="V27" i="29"/>
  <c r="V61" i="29"/>
  <c r="V44" i="29"/>
  <c r="V30" i="29"/>
  <c r="V36" i="29"/>
  <c r="V16" i="29"/>
  <c r="V13" i="29"/>
  <c r="V72" i="29"/>
  <c r="V18" i="29"/>
  <c r="W12" i="29"/>
  <c r="V28" i="29"/>
  <c r="V62" i="29"/>
  <c r="V35" i="29"/>
  <c r="V38" i="29"/>
  <c r="V31" i="29"/>
  <c r="V14" i="29"/>
  <c r="V34" i="29"/>
  <c r="V47" i="29"/>
  <c r="V60" i="29"/>
  <c r="V66" i="29"/>
  <c r="V75" i="29"/>
  <c r="V43" i="29"/>
  <c r="V21" i="30"/>
  <c r="V22" i="30" s="1"/>
  <c r="V24" i="30" s="1"/>
  <c r="V41" i="30" s="1"/>
  <c r="V19" i="20"/>
  <c r="U19" i="24"/>
  <c r="U20" i="24" s="1"/>
  <c r="E9" i="50"/>
  <c r="U19" i="31"/>
  <c r="U20" i="31" s="1"/>
  <c r="E145" i="50"/>
  <c r="O54" i="26"/>
  <c r="O56" i="26" s="1"/>
  <c r="R45" i="31"/>
  <c r="R73" i="31"/>
  <c r="K20" i="52"/>
  <c r="H168" i="49"/>
  <c r="F162" i="50"/>
  <c r="E63" i="20"/>
  <c r="E61" i="8"/>
  <c r="U30" i="8"/>
  <c r="U37" i="8"/>
  <c r="U35" i="8"/>
  <c r="V39" i="17"/>
  <c r="V72" i="15"/>
  <c r="W12" i="15"/>
  <c r="V28" i="15"/>
  <c r="V14" i="15"/>
  <c r="V62" i="15"/>
  <c r="V61" i="15"/>
  <c r="V33" i="15"/>
  <c r="V27" i="15"/>
  <c r="V13" i="15"/>
  <c r="V37" i="15"/>
  <c r="V31" i="15"/>
  <c r="V23" i="15"/>
  <c r="V17" i="15"/>
  <c r="V36" i="15"/>
  <c r="V38" i="15"/>
  <c r="V15" i="15"/>
  <c r="V34" i="15"/>
  <c r="V18" i="15"/>
  <c r="V16" i="15"/>
  <c r="V44" i="15"/>
  <c r="V35" i="15"/>
  <c r="V29" i="15"/>
  <c r="V32" i="15"/>
  <c r="V30" i="15"/>
  <c r="W19" i="26"/>
  <c r="H20" i="52"/>
  <c r="H117" i="49"/>
  <c r="K63" i="24"/>
  <c r="L50" i="15"/>
  <c r="L52" i="15"/>
  <c r="E178" i="50"/>
  <c r="V35" i="19"/>
  <c r="V33" i="19"/>
  <c r="V37" i="19"/>
  <c r="V13" i="19"/>
  <c r="V62" i="19"/>
  <c r="V28" i="19"/>
  <c r="V30" i="19"/>
  <c r="V17" i="19"/>
  <c r="V15" i="19"/>
  <c r="V72" i="19"/>
  <c r="V32" i="19"/>
  <c r="V44" i="19"/>
  <c r="V31" i="19"/>
  <c r="V18" i="19"/>
  <c r="V36" i="19"/>
  <c r="W12" i="19"/>
  <c r="V34" i="19"/>
  <c r="V27" i="19"/>
  <c r="V38" i="19"/>
  <c r="V61" i="19"/>
  <c r="V14" i="19"/>
  <c r="V29" i="19"/>
  <c r="V23" i="19"/>
  <c r="V16" i="19"/>
  <c r="M63" i="20"/>
  <c r="M61" i="8"/>
  <c r="F168" i="14"/>
  <c r="F169" i="14" s="1"/>
  <c r="F170" i="14" s="1"/>
  <c r="M63" i="24"/>
  <c r="F161" i="50"/>
  <c r="N10" i="52"/>
  <c r="H211" i="49"/>
  <c r="Q73" i="8"/>
  <c r="Q45" i="8"/>
  <c r="F49" i="1"/>
  <c r="E229" i="50"/>
  <c r="D20" i="52"/>
  <c r="H49" i="49"/>
  <c r="J179" i="49"/>
  <c r="Q179" i="49" s="1"/>
  <c r="D13" i="1"/>
  <c r="E179" i="50"/>
  <c r="G179" i="50" s="1"/>
  <c r="H179" i="50" s="1"/>
  <c r="B20" i="52"/>
  <c r="H15" i="49"/>
  <c r="U19" i="23"/>
  <c r="U20" i="23" s="1"/>
  <c r="J63" i="20"/>
  <c r="J61" i="8"/>
  <c r="X62" i="30"/>
  <c r="X36" i="30"/>
  <c r="X32" i="30"/>
  <c r="X28" i="30"/>
  <c r="X18" i="30"/>
  <c r="X14" i="30"/>
  <c r="X38" i="30"/>
  <c r="X33" i="30"/>
  <c r="X61" i="30"/>
  <c r="X29" i="30"/>
  <c r="Y12" i="30"/>
  <c r="X15" i="30"/>
  <c r="X23" i="30"/>
  <c r="X17" i="30"/>
  <c r="X44" i="30"/>
  <c r="X37" i="30"/>
  <c r="X72" i="30"/>
  <c r="X13" i="30"/>
  <c r="X30" i="30"/>
  <c r="X34" i="30"/>
  <c r="X27" i="30"/>
  <c r="X16" i="30"/>
  <c r="X31" i="30"/>
  <c r="X35" i="30"/>
  <c r="X66" i="30"/>
  <c r="X60" i="30"/>
  <c r="X75" i="30"/>
  <c r="X47" i="30"/>
  <c r="X43" i="30"/>
  <c r="E50" i="24"/>
  <c r="E52" i="24"/>
  <c r="F145" i="50"/>
  <c r="U23" i="8"/>
  <c r="U63" i="16"/>
  <c r="U61" i="8"/>
  <c r="U36" i="10"/>
  <c r="V36" i="10"/>
  <c r="W36" i="10"/>
  <c r="F244" i="50"/>
  <c r="V63" i="17"/>
  <c r="E7" i="50"/>
  <c r="E22" i="50"/>
  <c r="U82" i="15"/>
  <c r="U85" i="15"/>
  <c r="U79" i="15"/>
  <c r="U80" i="15"/>
  <c r="F54" i="30"/>
  <c r="F56" i="30" s="1"/>
  <c r="H25" i="4"/>
  <c r="J56" i="31"/>
  <c r="U85" i="29"/>
  <c r="U82" i="29"/>
  <c r="U79" i="29"/>
  <c r="U80" i="29"/>
  <c r="E54" i="29"/>
  <c r="I54" i="16"/>
  <c r="I56" i="16" s="1"/>
  <c r="M104" i="14"/>
  <c r="P55" i="13" s="1"/>
  <c r="O48" i="24" s="1"/>
  <c r="I54" i="27"/>
  <c r="I56" i="27"/>
  <c r="U79" i="19"/>
  <c r="U82" i="19"/>
  <c r="U80" i="19"/>
  <c r="U85" i="19"/>
  <c r="U63" i="31"/>
  <c r="U80" i="27"/>
  <c r="U82" i="27"/>
  <c r="U79" i="27"/>
  <c r="U85" i="27"/>
  <c r="R73" i="24"/>
  <c r="R45" i="24"/>
  <c r="F210" i="50"/>
  <c r="S41" i="24"/>
  <c r="J209" i="49"/>
  <c r="Q209" i="49" s="1"/>
  <c r="E209" i="50"/>
  <c r="G209" i="50" s="1"/>
  <c r="H209" i="50" s="1"/>
  <c r="D154" i="14"/>
  <c r="G60" i="13" s="1"/>
  <c r="F48" i="29" s="1"/>
  <c r="E164" i="14"/>
  <c r="H61" i="13" s="1"/>
  <c r="G48" i="30" s="1"/>
  <c r="U39" i="16"/>
  <c r="U27" i="8"/>
  <c r="P9" i="52"/>
  <c r="H244" i="49"/>
  <c r="O20" i="52"/>
  <c r="H236" i="49"/>
  <c r="Q19" i="52"/>
  <c r="H269" i="49"/>
  <c r="T66" i="8"/>
  <c r="T60" i="8"/>
  <c r="T63" i="8"/>
  <c r="T75" i="8" s="1"/>
  <c r="V72" i="23"/>
  <c r="W12" i="23"/>
  <c r="V61" i="23"/>
  <c r="V38" i="23"/>
  <c r="V27" i="23"/>
  <c r="V23" i="23"/>
  <c r="V18" i="23"/>
  <c r="V32" i="23"/>
  <c r="V16" i="23"/>
  <c r="V36" i="23"/>
  <c r="V31" i="23"/>
  <c r="V35" i="23"/>
  <c r="V15" i="23"/>
  <c r="V30" i="23"/>
  <c r="V14" i="23"/>
  <c r="V29" i="23"/>
  <c r="V13" i="23"/>
  <c r="V28" i="23"/>
  <c r="V62" i="23"/>
  <c r="V37" i="23"/>
  <c r="V34" i="23"/>
  <c r="V33" i="23"/>
  <c r="V44" i="23"/>
  <c r="V17" i="23"/>
  <c r="I20" i="52"/>
  <c r="H134" i="49"/>
  <c r="T21" i="29"/>
  <c r="J63" i="24"/>
  <c r="Q63" i="24"/>
  <c r="E210" i="50"/>
  <c r="G210" i="50" s="1"/>
  <c r="H210" i="50" s="1"/>
  <c r="E63" i="24"/>
  <c r="V72" i="8"/>
  <c r="W12" i="8"/>
  <c r="V47" i="8"/>
  <c r="V43" i="8"/>
  <c r="J48" i="14"/>
  <c r="J49" i="14"/>
  <c r="J50" i="14"/>
  <c r="S63" i="24"/>
  <c r="U39" i="28"/>
  <c r="F213" i="50"/>
  <c r="H63" i="20"/>
  <c r="U33" i="8"/>
  <c r="U19" i="16"/>
  <c r="U20" i="16" s="1"/>
  <c r="U14" i="8"/>
  <c r="V19" i="17"/>
  <c r="V20" i="17" s="1"/>
  <c r="T41" i="17"/>
  <c r="E111" i="50"/>
  <c r="R41" i="29"/>
  <c r="U39" i="29"/>
  <c r="U82" i="25"/>
  <c r="U80" i="25"/>
  <c r="U85" i="25"/>
  <c r="U79" i="25"/>
  <c r="V79" i="20"/>
  <c r="V80" i="20"/>
  <c r="V82" i="20"/>
  <c r="V85" i="20"/>
  <c r="M99" i="14"/>
  <c r="M100" i="14" s="1"/>
  <c r="U82" i="24"/>
  <c r="U80" i="24"/>
  <c r="U79" i="24"/>
  <c r="U85" i="24"/>
  <c r="U63" i="19"/>
  <c r="J20" i="52"/>
  <c r="H151" i="49"/>
  <c r="U19" i="27"/>
  <c r="U20" i="27" s="1"/>
  <c r="F252" i="50"/>
  <c r="M20" i="52"/>
  <c r="H202" i="49"/>
  <c r="O8" i="52"/>
  <c r="H226" i="49"/>
  <c r="R41" i="8"/>
  <c r="F286" i="50"/>
  <c r="E141" i="50"/>
  <c r="J194" i="49"/>
  <c r="Q194" i="49" s="1"/>
  <c r="E194" i="50"/>
  <c r="E195" i="50"/>
  <c r="G195" i="50" s="1"/>
  <c r="H195" i="50" s="1"/>
  <c r="U15" i="8"/>
  <c r="U18" i="8"/>
  <c r="E77" i="50"/>
  <c r="I54" i="22"/>
  <c r="I56" i="22"/>
  <c r="I29" i="14"/>
  <c r="I30" i="14" s="1"/>
  <c r="U19" i="25"/>
  <c r="U20" i="25" s="1"/>
  <c r="I63" i="24"/>
  <c r="E92" i="50"/>
  <c r="V61" i="27"/>
  <c r="V35" i="27"/>
  <c r="V31" i="27"/>
  <c r="V27" i="27"/>
  <c r="V17" i="27"/>
  <c r="V13" i="27"/>
  <c r="V44" i="27"/>
  <c r="V18" i="27"/>
  <c r="V16" i="27"/>
  <c r="V33" i="27"/>
  <c r="V37" i="27"/>
  <c r="V23" i="27"/>
  <c r="W12" i="27"/>
  <c r="V34" i="27"/>
  <c r="V32" i="27"/>
  <c r="V62" i="27"/>
  <c r="V72" i="27"/>
  <c r="V30" i="27"/>
  <c r="V36" i="27"/>
  <c r="V38" i="27"/>
  <c r="V15" i="27"/>
  <c r="V29" i="27"/>
  <c r="V14" i="27"/>
  <c r="V28" i="27"/>
  <c r="E143" i="50"/>
  <c r="S41" i="31"/>
  <c r="S41" i="16"/>
  <c r="R45" i="25"/>
  <c r="R73" i="25"/>
  <c r="T21" i="25"/>
  <c r="T22" i="25" s="1"/>
  <c r="T24" i="25" s="1"/>
  <c r="F280" i="50"/>
  <c r="D149" i="14"/>
  <c r="D150" i="14" s="1"/>
  <c r="F287" i="50"/>
  <c r="K63" i="20"/>
  <c r="K61" i="8"/>
  <c r="F63" i="24"/>
  <c r="M12" i="52"/>
  <c r="H196" i="49"/>
  <c r="K50" i="23"/>
  <c r="K52" i="23"/>
  <c r="B281" i="50"/>
  <c r="C13" i="1"/>
  <c r="E20" i="52"/>
  <c r="H66" i="49"/>
  <c r="H63" i="24"/>
  <c r="L63" i="20"/>
  <c r="L61" i="8"/>
  <c r="E50" i="20"/>
  <c r="E48" i="8"/>
  <c r="E52" i="20"/>
  <c r="E193" i="50"/>
  <c r="W20" i="26"/>
  <c r="I67" i="28"/>
  <c r="I68" i="28" s="1"/>
  <c r="U19" i="19"/>
  <c r="U20" i="19" s="1"/>
  <c r="U39" i="27"/>
  <c r="U45" i="30"/>
  <c r="U73" i="30"/>
  <c r="B13" i="1"/>
  <c r="S21" i="8"/>
  <c r="S22" i="8" s="1"/>
  <c r="S24" i="8" s="1"/>
  <c r="J253" i="49"/>
  <c r="Q253" i="49" s="1"/>
  <c r="E253" i="50"/>
  <c r="G253" i="50" s="1"/>
  <c r="H253" i="50" s="1"/>
  <c r="O63" i="24"/>
  <c r="U81" i="8"/>
  <c r="U86" i="8"/>
  <c r="U79" i="8"/>
  <c r="U83" i="8"/>
  <c r="B293" i="50"/>
  <c r="E25" i="50"/>
  <c r="E8" i="50"/>
  <c r="E23" i="50"/>
  <c r="E42" i="50"/>
  <c r="E6" i="50"/>
  <c r="E59" i="50"/>
  <c r="E40" i="50"/>
  <c r="E76" i="50"/>
  <c r="E57" i="50"/>
  <c r="E74" i="50"/>
  <c r="E93" i="50"/>
  <c r="E91" i="50"/>
  <c r="E110" i="50"/>
  <c r="E108" i="50"/>
  <c r="E127" i="50"/>
  <c r="E144" i="50"/>
  <c r="E125" i="50"/>
  <c r="E5" i="50"/>
  <c r="E39" i="50"/>
  <c r="E73" i="50"/>
  <c r="E75" i="50"/>
  <c r="E58" i="50"/>
  <c r="E41" i="50"/>
  <c r="E142" i="50"/>
  <c r="E56" i="50"/>
  <c r="E161" i="50"/>
  <c r="F31" i="50"/>
  <c r="F26" i="50"/>
  <c r="G26" i="50" s="1"/>
  <c r="H26" i="50" s="1"/>
  <c r="F39" i="50"/>
  <c r="F14" i="50"/>
  <c r="D38" i="1"/>
  <c r="D42" i="1"/>
  <c r="F32" i="50"/>
  <c r="F24" i="50"/>
  <c r="F22" i="50"/>
  <c r="D48" i="1"/>
  <c r="F58" i="50"/>
  <c r="F7" i="50"/>
  <c r="F5" i="50"/>
  <c r="F9" i="50"/>
  <c r="F23" i="50"/>
  <c r="F25" i="50"/>
  <c r="F15" i="50"/>
  <c r="F8" i="50"/>
  <c r="F6" i="50"/>
  <c r="D46" i="1"/>
  <c r="D44" i="1"/>
  <c r="D40" i="1"/>
  <c r="F66" i="50"/>
  <c r="D45" i="1"/>
  <c r="D50" i="1"/>
  <c r="F59" i="50"/>
  <c r="F41" i="50"/>
  <c r="F10" i="50"/>
  <c r="F90" i="50"/>
  <c r="F116" i="50"/>
  <c r="F42" i="50"/>
  <c r="F57" i="50"/>
  <c r="F77" i="50"/>
  <c r="F60" i="50"/>
  <c r="F83" i="50"/>
  <c r="F40" i="50"/>
  <c r="F49" i="50"/>
  <c r="F56" i="50"/>
  <c r="F43" i="50"/>
  <c r="F100" i="50"/>
  <c r="D41" i="1"/>
  <c r="F76" i="50"/>
  <c r="F75" i="50"/>
  <c r="D39" i="1"/>
  <c r="F108" i="50"/>
  <c r="F92" i="50"/>
  <c r="F74" i="50"/>
  <c r="F111" i="50"/>
  <c r="F151" i="50"/>
  <c r="F99" i="50"/>
  <c r="F110" i="50"/>
  <c r="F73" i="50"/>
  <c r="F91" i="50"/>
  <c r="F142" i="50"/>
  <c r="E41" i="1"/>
  <c r="E42" i="1"/>
  <c r="E38" i="1"/>
  <c r="F126" i="50"/>
  <c r="F93" i="50"/>
  <c r="F117" i="50"/>
  <c r="F127" i="50"/>
  <c r="F94" i="50"/>
  <c r="E44" i="1"/>
  <c r="E50" i="1"/>
  <c r="E45" i="1"/>
  <c r="E48" i="1"/>
  <c r="F144" i="50"/>
  <c r="F133" i="50"/>
  <c r="F134" i="50"/>
  <c r="F125" i="50"/>
  <c r="F176" i="50"/>
  <c r="F192" i="50"/>
  <c r="F185" i="50"/>
  <c r="F150" i="50"/>
  <c r="F177" i="50"/>
  <c r="E40" i="1"/>
  <c r="F194" i="50"/>
  <c r="E46" i="1"/>
  <c r="E39" i="1"/>
  <c r="F128" i="50"/>
  <c r="F168" i="50"/>
  <c r="F175" i="50"/>
  <c r="F109" i="50"/>
  <c r="F124" i="50"/>
  <c r="F107" i="50"/>
  <c r="F158" i="50"/>
  <c r="F141" i="50"/>
  <c r="F178" i="50"/>
  <c r="E54" i="1"/>
  <c r="F143" i="50"/>
  <c r="M64" i="14"/>
  <c r="P51" i="13" s="1"/>
  <c r="O48" i="20" s="1"/>
  <c r="R73" i="22"/>
  <c r="R45" i="22"/>
  <c r="T21" i="31"/>
  <c r="T22" i="31" s="1"/>
  <c r="T24" i="31" s="1"/>
  <c r="M59" i="14"/>
  <c r="M60" i="14" s="1"/>
  <c r="J88" i="13"/>
  <c r="I64" i="29" s="1"/>
  <c r="H147" i="14"/>
  <c r="H67" i="30"/>
  <c r="H68" i="30" s="1"/>
  <c r="U19" i="28"/>
  <c r="U20" i="28" s="1"/>
  <c r="N20" i="52"/>
  <c r="H219" i="49"/>
  <c r="U16" i="8"/>
  <c r="U28" i="8"/>
  <c r="J67" i="21"/>
  <c r="J68" i="21" s="1"/>
  <c r="W72" i="17"/>
  <c r="X12" i="17"/>
  <c r="W44" i="17"/>
  <c r="W38" i="17"/>
  <c r="W34" i="17"/>
  <c r="W30" i="17"/>
  <c r="W16" i="17"/>
  <c r="W61" i="17"/>
  <c r="W63" i="17" s="1"/>
  <c r="W35" i="17"/>
  <c r="W31" i="17"/>
  <c r="W27" i="17"/>
  <c r="W17" i="17"/>
  <c r="W13" i="17"/>
  <c r="W37" i="17"/>
  <c r="W29" i="17"/>
  <c r="W32" i="17"/>
  <c r="W14" i="17"/>
  <c r="W23" i="17"/>
  <c r="W36" i="17"/>
  <c r="W28" i="17"/>
  <c r="W18" i="17"/>
  <c r="W15" i="17"/>
  <c r="W33" i="17"/>
  <c r="W62" i="17"/>
  <c r="E176" i="50"/>
  <c r="U20" i="29"/>
  <c r="I74" i="14"/>
  <c r="L52" i="13" s="1"/>
  <c r="K48" i="21" s="1"/>
  <c r="W62" i="20"/>
  <c r="W36" i="20"/>
  <c r="W32" i="20"/>
  <c r="W28" i="20"/>
  <c r="W18" i="20"/>
  <c r="W14" i="20"/>
  <c r="W37" i="20"/>
  <c r="W33" i="20"/>
  <c r="W29" i="20"/>
  <c r="W23" i="20"/>
  <c r="W15" i="20"/>
  <c r="W13" i="20"/>
  <c r="W30" i="20"/>
  <c r="W72" i="20"/>
  <c r="W17" i="20"/>
  <c r="W34" i="20"/>
  <c r="X12" i="20"/>
  <c r="W27" i="20"/>
  <c r="W31" i="20"/>
  <c r="W61" i="20"/>
  <c r="W16" i="20"/>
  <c r="W38" i="20"/>
  <c r="W44" i="20"/>
  <c r="W35" i="20"/>
  <c r="W43" i="20"/>
  <c r="W47" i="20"/>
  <c r="W75" i="20"/>
  <c r="W60" i="20"/>
  <c r="W66" i="20"/>
  <c r="D124" i="14"/>
  <c r="G57" i="13" s="1"/>
  <c r="F48" i="26" s="1"/>
  <c r="F269" i="50"/>
  <c r="I114" i="14"/>
  <c r="L56" i="13" s="1"/>
  <c r="K48" i="25" s="1"/>
  <c r="W82" i="30"/>
  <c r="W80" i="30"/>
  <c r="W85" i="30"/>
  <c r="W79" i="30"/>
  <c r="U34" i="8"/>
  <c r="U32" i="8"/>
  <c r="V82" i="17"/>
  <c r="V79" i="17"/>
  <c r="V80" i="17"/>
  <c r="V85" i="17"/>
  <c r="E124" i="50"/>
  <c r="U20" i="15"/>
  <c r="U63" i="21"/>
  <c r="N118" i="14"/>
  <c r="N119" i="14"/>
  <c r="N120" i="14" s="1"/>
  <c r="J54" i="25"/>
  <c r="U63" i="29"/>
  <c r="Q11" i="52"/>
  <c r="H263" i="49"/>
  <c r="V35" i="22"/>
  <c r="V37" i="22"/>
  <c r="V13" i="22"/>
  <c r="V62" i="22"/>
  <c r="V30" i="22"/>
  <c r="V28" i="22"/>
  <c r="V15" i="22"/>
  <c r="V17" i="22"/>
  <c r="V34" i="22"/>
  <c r="V32" i="22"/>
  <c r="V18" i="22"/>
  <c r="W12" i="22"/>
  <c r="V61" i="22"/>
  <c r="V38" i="22"/>
  <c r="V23" i="22"/>
  <c r="V16" i="22"/>
  <c r="V72" i="22"/>
  <c r="V36" i="22"/>
  <c r="V29" i="22"/>
  <c r="V33" i="22"/>
  <c r="V27" i="22"/>
  <c r="V14" i="22"/>
  <c r="V31" i="22"/>
  <c r="V44" i="22"/>
  <c r="E128" i="50"/>
  <c r="G128" i="50" s="1"/>
  <c r="H128" i="50" s="1"/>
  <c r="H84" i="14"/>
  <c r="K53" i="13" s="1"/>
  <c r="J48" i="22" s="1"/>
  <c r="E94" i="50"/>
  <c r="G94" i="50" s="1"/>
  <c r="H94" i="50" s="1"/>
  <c r="V20" i="20"/>
  <c r="U39" i="24"/>
  <c r="V72" i="31"/>
  <c r="V38" i="31"/>
  <c r="V33" i="31"/>
  <c r="V28" i="31"/>
  <c r="V16" i="31"/>
  <c r="V61" i="31"/>
  <c r="V14" i="31"/>
  <c r="V32" i="31"/>
  <c r="V31" i="31"/>
  <c r="V15" i="31"/>
  <c r="W12" i="31"/>
  <c r="V44" i="31"/>
  <c r="V13" i="31"/>
  <c r="V62" i="31"/>
  <c r="V18" i="31"/>
  <c r="V35" i="31"/>
  <c r="V23" i="31"/>
  <c r="V37" i="31"/>
  <c r="V36" i="31"/>
  <c r="V17" i="31"/>
  <c r="V27" i="31"/>
  <c r="V29" i="31"/>
  <c r="V30" i="31"/>
  <c r="V34" i="31"/>
  <c r="V47" i="31"/>
  <c r="V60" i="31"/>
  <c r="V75" i="31"/>
  <c r="V66" i="31"/>
  <c r="V43" i="31"/>
  <c r="T39" i="8"/>
  <c r="R73" i="19"/>
  <c r="R45" i="19"/>
  <c r="R45" i="23"/>
  <c r="R73" i="23"/>
  <c r="E49" i="1"/>
  <c r="U8" i="51"/>
  <c r="H3457" i="49"/>
  <c r="H4045" i="49"/>
  <c r="H4046" i="49"/>
  <c r="H4047" i="49"/>
  <c r="H1434" i="49"/>
  <c r="H1401" i="49"/>
  <c r="H1416" i="49"/>
  <c r="H4291" i="49"/>
  <c r="H3987" i="49"/>
  <c r="H4958" i="49"/>
  <c r="H1253" i="49"/>
  <c r="H868" i="49"/>
  <c r="H866" i="49"/>
  <c r="H867" i="49"/>
  <c r="H4668" i="49"/>
  <c r="H4563" i="49"/>
  <c r="H3291" i="49"/>
  <c r="H3168" i="49"/>
  <c r="H5173" i="49"/>
  <c r="H3276" i="49"/>
  <c r="H4580" i="49"/>
  <c r="H965" i="49"/>
  <c r="H971" i="49"/>
  <c r="H3749" i="49"/>
  <c r="H5025" i="49"/>
  <c r="H4075" i="49"/>
  <c r="H4413" i="49"/>
  <c r="E697" i="46"/>
  <c r="H1921" i="49"/>
  <c r="H1920" i="49"/>
  <c r="H1922" i="49"/>
  <c r="E288" i="46"/>
  <c r="K10" i="40"/>
  <c r="W20" i="51"/>
  <c r="H4653" i="49"/>
  <c r="H3837" i="49"/>
  <c r="E604" i="46"/>
  <c r="H856" i="49"/>
  <c r="H4613" i="49"/>
  <c r="H2957" i="49"/>
  <c r="H2959" i="49"/>
  <c r="H2958" i="49"/>
  <c r="H3076" i="49"/>
  <c r="H3077" i="49"/>
  <c r="H3078" i="49"/>
  <c r="E480" i="46"/>
  <c r="K14" i="40"/>
  <c r="H2572" i="49"/>
  <c r="H2707" i="49"/>
  <c r="H2706" i="49"/>
  <c r="H1705" i="49"/>
  <c r="H2011" i="49"/>
  <c r="U6" i="51"/>
  <c r="H1245" i="49"/>
  <c r="H1244" i="49"/>
  <c r="E178" i="46"/>
  <c r="H4082" i="49"/>
  <c r="H4076" i="49"/>
  <c r="H1254" i="49"/>
  <c r="H1260" i="49"/>
  <c r="H1939" i="49"/>
  <c r="H1937" i="49"/>
  <c r="H1938" i="49"/>
  <c r="W16" i="51"/>
  <c r="H4306" i="49"/>
  <c r="H1114" i="49"/>
  <c r="H1981" i="49"/>
  <c r="H1887" i="49"/>
  <c r="H1888" i="49"/>
  <c r="H1886" i="49"/>
  <c r="H4654" i="49"/>
  <c r="H4660" i="49"/>
  <c r="H3838" i="49"/>
  <c r="H3844" i="49"/>
  <c r="E605" i="46"/>
  <c r="H3120" i="49"/>
  <c r="H3110" i="49"/>
  <c r="H3112" i="49"/>
  <c r="H3111" i="49"/>
  <c r="H1801" i="49"/>
  <c r="H1802" i="49"/>
  <c r="H1803" i="49"/>
  <c r="H1853" i="49"/>
  <c r="H1852" i="49"/>
  <c r="H1854" i="49"/>
  <c r="H1869" i="49"/>
  <c r="H1870" i="49"/>
  <c r="H1871" i="49"/>
  <c r="H964" i="49"/>
  <c r="H4702" i="49"/>
  <c r="E745" i="46"/>
  <c r="H3095" i="49"/>
  <c r="H3093" i="49"/>
  <c r="H3094" i="49"/>
  <c r="S18" i="51"/>
  <c r="U14" i="51"/>
  <c r="H2392" i="49"/>
  <c r="E364" i="46"/>
  <c r="H4624" i="49"/>
  <c r="H4623" i="49"/>
  <c r="H4625" i="49"/>
  <c r="H1144" i="49"/>
  <c r="H3424" i="49"/>
  <c r="E753" i="46"/>
  <c r="H3026" i="49"/>
  <c r="H3027" i="49"/>
  <c r="H3025" i="49"/>
  <c r="H2941" i="49"/>
  <c r="H2940" i="49"/>
  <c r="H2942" i="49"/>
  <c r="U15" i="51"/>
  <c r="H4276" i="49"/>
  <c r="H4943" i="49"/>
  <c r="H4949" i="49"/>
  <c r="H673" i="49"/>
  <c r="H5017" i="49"/>
  <c r="H5011" i="49"/>
  <c r="H2393" i="49"/>
  <c r="H2399" i="49"/>
  <c r="E365" i="46"/>
  <c r="H2925" i="49"/>
  <c r="H2923" i="49"/>
  <c r="H2924" i="49"/>
  <c r="H1914" i="49"/>
  <c r="E281" i="46"/>
  <c r="N13" i="39"/>
  <c r="U12" i="51"/>
  <c r="H2268" i="49"/>
  <c r="H3150" i="49"/>
  <c r="E580" i="46"/>
  <c r="U11" i="51"/>
  <c r="H3487" i="49"/>
  <c r="H3481" i="49"/>
  <c r="E541" i="46"/>
  <c r="H1988" i="49"/>
  <c r="H1990" i="49"/>
  <c r="H1989" i="49"/>
  <c r="H1268" i="49"/>
  <c r="H3008" i="49"/>
  <c r="H3010" i="49"/>
  <c r="H3009" i="49"/>
  <c r="H2906" i="49"/>
  <c r="H2908" i="49"/>
  <c r="H2907" i="49"/>
  <c r="E448" i="46"/>
  <c r="H5158" i="49"/>
  <c r="E250" i="46"/>
  <c r="H2129" i="49"/>
  <c r="H2128" i="49"/>
  <c r="H1690" i="49"/>
  <c r="H4002" i="49"/>
  <c r="H3480" i="49"/>
  <c r="E540" i="46"/>
  <c r="H4142" i="49"/>
  <c r="H1972" i="49"/>
  <c r="H1971" i="49"/>
  <c r="H1973" i="49"/>
  <c r="H1768" i="49"/>
  <c r="H1769" i="49"/>
  <c r="H1767" i="49"/>
  <c r="H3650" i="49"/>
  <c r="E572" i="46"/>
  <c r="H3135" i="49"/>
  <c r="H3145" i="49"/>
  <c r="H3146" i="49"/>
  <c r="H3144" i="49"/>
  <c r="E705" i="46"/>
  <c r="H3495" i="49"/>
  <c r="H1675" i="49"/>
  <c r="H2542" i="49"/>
  <c r="V7" i="51"/>
  <c r="H2831" i="49"/>
  <c r="H1559" i="49"/>
  <c r="H838" i="49"/>
  <c r="H4135" i="49"/>
  <c r="H4134" i="49"/>
  <c r="E658" i="46"/>
  <c r="H4905" i="49"/>
  <c r="H3129" i="49"/>
  <c r="H3127" i="49"/>
  <c r="H3128" i="49"/>
  <c r="H808" i="49"/>
  <c r="H2891" i="49"/>
  <c r="H2890" i="49"/>
  <c r="H2889" i="49"/>
  <c r="H2590" i="49"/>
  <c r="H1723" i="49"/>
  <c r="H2253" i="49"/>
  <c r="H2005" i="49"/>
  <c r="H2006" i="49"/>
  <c r="H2007" i="49"/>
  <c r="H3651" i="49"/>
  <c r="H3657" i="49"/>
  <c r="E573" i="46"/>
  <c r="H1836" i="49"/>
  <c r="H1837" i="49"/>
  <c r="H1835" i="49"/>
  <c r="H4347" i="49"/>
  <c r="E684" i="46"/>
  <c r="H5201" i="49"/>
  <c r="H5203" i="49"/>
  <c r="H5202" i="49"/>
  <c r="H823" i="49"/>
  <c r="H1745" i="49"/>
  <c r="E251" i="46"/>
  <c r="H2311" i="49"/>
  <c r="H2312" i="49"/>
  <c r="H2313" i="49"/>
  <c r="H4362" i="49"/>
  <c r="H2846" i="49"/>
  <c r="H2283" i="49"/>
  <c r="H1551" i="49"/>
  <c r="H1550" i="49"/>
  <c r="H2879" i="49"/>
  <c r="E442" i="46"/>
  <c r="H2975" i="49"/>
  <c r="H2974" i="49"/>
  <c r="H2976" i="49"/>
  <c r="E464" i="46"/>
  <c r="U17" i="51"/>
  <c r="H2714" i="49"/>
  <c r="H4035" i="49"/>
  <c r="H4696" i="49"/>
  <c r="H4695" i="49"/>
  <c r="V10" i="51"/>
  <c r="H2600" i="49"/>
  <c r="H2601" i="49"/>
  <c r="H2602" i="49"/>
  <c r="H1819" i="49"/>
  <c r="H1818" i="49"/>
  <c r="H1820" i="49"/>
  <c r="E272" i="46"/>
  <c r="H2557" i="49"/>
  <c r="H3163" i="49"/>
  <c r="H3162" i="49"/>
  <c r="H3161" i="49"/>
  <c r="H5143" i="49"/>
  <c r="H3043" i="49"/>
  <c r="H3042" i="49"/>
  <c r="H3044" i="49"/>
  <c r="H2901" i="49"/>
  <c r="E443" i="46"/>
  <c r="H658" i="49"/>
  <c r="E76" i="46"/>
  <c r="H4324" i="49"/>
  <c r="H1129" i="49"/>
  <c r="H2407" i="49"/>
  <c r="U21" i="51"/>
  <c r="H3070" i="49"/>
  <c r="E473" i="46"/>
  <c r="N17" i="39"/>
  <c r="H2993" i="49"/>
  <c r="H2992" i="49"/>
  <c r="H2991" i="49"/>
  <c r="H1955" i="49"/>
  <c r="H1954" i="49"/>
  <c r="H1956" i="49"/>
  <c r="H5191" i="49"/>
  <c r="H1751" i="49"/>
  <c r="H1750" i="49"/>
  <c r="H1752" i="49"/>
  <c r="E256" i="46"/>
  <c r="U9" i="51"/>
  <c r="H659" i="49"/>
  <c r="H665" i="49"/>
  <c r="E77" i="46"/>
  <c r="U13" i="51"/>
  <c r="S19" i="51"/>
  <c r="H3409" i="49"/>
  <c r="H2135" i="49"/>
  <c r="H1735" i="49"/>
  <c r="H1734" i="49"/>
  <c r="H1733" i="49"/>
  <c r="H1785" i="49"/>
  <c r="H1784" i="49"/>
  <c r="H1786" i="49"/>
  <c r="H2301" i="49"/>
  <c r="H4090" i="49"/>
  <c r="H1560" i="49"/>
  <c r="H1566" i="49"/>
  <c r="H2861" i="49"/>
  <c r="H3439" i="49"/>
  <c r="H4017" i="49"/>
  <c r="J1416" i="49" l="1"/>
  <c r="Q1416" i="49" s="1"/>
  <c r="J1401" i="49"/>
  <c r="Q1401" i="49" s="1"/>
  <c r="J1434" i="49"/>
  <c r="Q1434" i="49" s="1"/>
  <c r="J4047" i="49"/>
  <c r="Q4047" i="49" s="1"/>
  <c r="J4046" i="49"/>
  <c r="Q4046" i="49" s="1"/>
  <c r="J4045" i="49"/>
  <c r="Q4045" i="49" s="1"/>
  <c r="J3457" i="49"/>
  <c r="Q3457" i="49" s="1"/>
  <c r="W19" i="20"/>
  <c r="G77" i="50"/>
  <c r="H77" i="50" s="1"/>
  <c r="V63" i="15"/>
  <c r="W72" i="18"/>
  <c r="W17" i="18"/>
  <c r="W36" i="18"/>
  <c r="W61" i="18"/>
  <c r="W63" i="18" s="1"/>
  <c r="W32" i="18"/>
  <c r="W31" i="18"/>
  <c r="W28" i="18"/>
  <c r="W13" i="18"/>
  <c r="W18" i="18"/>
  <c r="W27" i="18"/>
  <c r="W14" i="18"/>
  <c r="W44" i="18"/>
  <c r="W62" i="18"/>
  <c r="W38" i="18"/>
  <c r="W37" i="18"/>
  <c r="W34" i="18"/>
  <c r="W33" i="18"/>
  <c r="W30" i="18"/>
  <c r="W29" i="18"/>
  <c r="X12" i="18"/>
  <c r="W23" i="18"/>
  <c r="W35" i="18"/>
  <c r="W15" i="18"/>
  <c r="W16" i="18"/>
  <c r="T41" i="18"/>
  <c r="S19" i="39"/>
  <c r="U19" i="39" s="1"/>
  <c r="G39" i="50"/>
  <c r="H39" i="50" s="1"/>
  <c r="G159" i="50"/>
  <c r="H159" i="50" s="1"/>
  <c r="S45" i="18"/>
  <c r="S73" i="18"/>
  <c r="G193" i="50"/>
  <c r="H193" i="50" s="1"/>
  <c r="I34" i="14"/>
  <c r="L48" i="13" s="1"/>
  <c r="K48" i="17" s="1"/>
  <c r="V39" i="18"/>
  <c r="X39" i="30"/>
  <c r="U21" i="18"/>
  <c r="U22" i="18" s="1"/>
  <c r="U24" i="18" s="1"/>
  <c r="G144" i="50"/>
  <c r="H144" i="50" s="1"/>
  <c r="G42" i="50"/>
  <c r="H42" i="50" s="1"/>
  <c r="V63" i="27"/>
  <c r="G23" i="50"/>
  <c r="H23" i="50" s="1"/>
  <c r="G92" i="50"/>
  <c r="H92" i="50" s="1"/>
  <c r="X19" i="26"/>
  <c r="W20" i="20"/>
  <c r="G192" i="50"/>
  <c r="H192" i="50" s="1"/>
  <c r="V85" i="18"/>
  <c r="V79" i="18"/>
  <c r="V82" i="18"/>
  <c r="V80" i="18"/>
  <c r="V19" i="21"/>
  <c r="G74" i="50"/>
  <c r="H74" i="50" s="1"/>
  <c r="G229" i="50"/>
  <c r="H229" i="50" s="1"/>
  <c r="V19" i="18"/>
  <c r="V20" i="18" s="1"/>
  <c r="J4017" i="49"/>
  <c r="Q4017" i="49" s="1"/>
  <c r="J3439" i="49"/>
  <c r="Q3439" i="49" s="1"/>
  <c r="J2861" i="49"/>
  <c r="Q2861" i="49" s="1"/>
  <c r="J1566" i="49"/>
  <c r="Q1566" i="49"/>
  <c r="J1560" i="49"/>
  <c r="Q1560" i="49" s="1"/>
  <c r="J4090" i="49"/>
  <c r="Q4090" i="49"/>
  <c r="J2301" i="49"/>
  <c r="Q2301" i="49"/>
  <c r="J1786" i="49"/>
  <c r="Q1786" i="49" s="1"/>
  <c r="Q1784" i="49"/>
  <c r="J1784" i="49"/>
  <c r="Q1785" i="49"/>
  <c r="J1785" i="49"/>
  <c r="J1733" i="49"/>
  <c r="Q1733" i="49" s="1"/>
  <c r="J1734" i="49"/>
  <c r="Q1734" i="49" s="1"/>
  <c r="J1735" i="49"/>
  <c r="Q1735" i="49"/>
  <c r="J2135" i="49"/>
  <c r="Q2135" i="49" s="1"/>
  <c r="J3409" i="49"/>
  <c r="Q3409" i="49" s="1"/>
  <c r="J77" i="46"/>
  <c r="J665" i="49"/>
  <c r="Q665" i="49" s="1"/>
  <c r="J659" i="49"/>
  <c r="Q659" i="49"/>
  <c r="J256" i="46"/>
  <c r="J1752" i="49"/>
  <c r="Q1752" i="49" s="1"/>
  <c r="F18" i="50"/>
  <c r="J1750" i="49"/>
  <c r="Q1750" i="49"/>
  <c r="F16" i="50"/>
  <c r="J1751" i="49"/>
  <c r="Q1751" i="49" s="1"/>
  <c r="F17" i="50"/>
  <c r="J5191" i="49"/>
  <c r="Q5191" i="49" s="1"/>
  <c r="J1956" i="49"/>
  <c r="Q1956" i="49" s="1"/>
  <c r="Q1954" i="49"/>
  <c r="J1954" i="49"/>
  <c r="F220" i="50"/>
  <c r="J1955" i="49"/>
  <c r="Q1955" i="49"/>
  <c r="F221" i="50"/>
  <c r="J2991" i="49"/>
  <c r="Q2991" i="49" s="1"/>
  <c r="J2992" i="49"/>
  <c r="Q2992" i="49" s="1"/>
  <c r="Q2993" i="49"/>
  <c r="J2993" i="49"/>
  <c r="J473" i="46"/>
  <c r="J3070" i="49"/>
  <c r="Q3070" i="49" s="1"/>
  <c r="J2407" i="49"/>
  <c r="Q2407" i="49" s="1"/>
  <c r="J1129" i="49"/>
  <c r="Q1129" i="49" s="1"/>
  <c r="J4324" i="49"/>
  <c r="Q4324" i="49" s="1"/>
  <c r="J76" i="46"/>
  <c r="J658" i="49"/>
  <c r="Q658" i="49" s="1"/>
  <c r="J443" i="46"/>
  <c r="J2901" i="49"/>
  <c r="Q2901" i="49" s="1"/>
  <c r="J3044" i="49"/>
  <c r="Q3044" i="49" s="1"/>
  <c r="J3042" i="49"/>
  <c r="Q3042" i="49" s="1"/>
  <c r="J3043" i="49"/>
  <c r="Q3043" i="49" s="1"/>
  <c r="J5143" i="49"/>
  <c r="Q5143" i="49" s="1"/>
  <c r="Q3161" i="49"/>
  <c r="J3161" i="49"/>
  <c r="J3162" i="49"/>
  <c r="Q3162" i="49"/>
  <c r="Q3163" i="49"/>
  <c r="J3163" i="49"/>
  <c r="F47" i="1"/>
  <c r="J2557" i="49"/>
  <c r="Q2557" i="49" s="1"/>
  <c r="J272" i="46"/>
  <c r="Q1820" i="49"/>
  <c r="J1820" i="49"/>
  <c r="D43" i="1"/>
  <c r="J1818" i="49"/>
  <c r="Q1818" i="49" s="1"/>
  <c r="J1819" i="49"/>
  <c r="Q1819" i="49" s="1"/>
  <c r="J2602" i="49"/>
  <c r="Q2602" i="49" s="1"/>
  <c r="J2601" i="49"/>
  <c r="Q2601" i="49" s="1"/>
  <c r="J2600" i="49"/>
  <c r="Q2600" i="49" s="1"/>
  <c r="J4695" i="49"/>
  <c r="Q4695" i="49" s="1"/>
  <c r="J4696" i="49"/>
  <c r="Q4696" i="49" s="1"/>
  <c r="J4035" i="49"/>
  <c r="Q4035" i="49" s="1"/>
  <c r="J2714" i="49"/>
  <c r="Q2714" i="49" s="1"/>
  <c r="J464" i="46"/>
  <c r="J2976" i="49"/>
  <c r="Q2976" i="49" s="1"/>
  <c r="D47" i="1"/>
  <c r="J2974" i="49"/>
  <c r="Q2974" i="49" s="1"/>
  <c r="Q2975" i="49"/>
  <c r="J2975" i="49"/>
  <c r="J442" i="46"/>
  <c r="Q2879" i="49"/>
  <c r="J2879" i="49"/>
  <c r="J1550" i="49"/>
  <c r="Q1550" i="49" s="1"/>
  <c r="J1551" i="49"/>
  <c r="Q1551" i="49" s="1"/>
  <c r="J2283" i="49"/>
  <c r="Q2283" i="49" s="1"/>
  <c r="J2846" i="49"/>
  <c r="Q2846" i="49" s="1"/>
  <c r="J4362" i="49"/>
  <c r="Q4362" i="49" s="1"/>
  <c r="Q2313" i="49"/>
  <c r="J2313" i="49"/>
  <c r="Q2312" i="49"/>
  <c r="J2312" i="49"/>
  <c r="J2311" i="49"/>
  <c r="Q2311" i="49" s="1"/>
  <c r="J251" i="46"/>
  <c r="J1745" i="49"/>
  <c r="Q1745" i="49" s="1"/>
  <c r="F11" i="50"/>
  <c r="J823" i="49"/>
  <c r="Q823" i="49" s="1"/>
  <c r="F245" i="50"/>
  <c r="J5202" i="49"/>
  <c r="Q5202" i="49" s="1"/>
  <c r="J5203" i="49"/>
  <c r="Q5203" i="49" s="1"/>
  <c r="J5201" i="49"/>
  <c r="Q5201" i="49" s="1"/>
  <c r="J684" i="46"/>
  <c r="J4347" i="49"/>
  <c r="Q4347" i="49"/>
  <c r="J1835" i="49"/>
  <c r="Q1835" i="49" s="1"/>
  <c r="F101" i="50"/>
  <c r="J1837" i="49"/>
  <c r="Q1837" i="49" s="1"/>
  <c r="F103" i="50"/>
  <c r="J1836" i="49"/>
  <c r="Q1836" i="49" s="1"/>
  <c r="F102" i="50"/>
  <c r="J573" i="46"/>
  <c r="J3657" i="49"/>
  <c r="Q3657" i="49" s="1"/>
  <c r="J3651" i="49"/>
  <c r="Q3651" i="49" s="1"/>
  <c r="J2007" i="49"/>
  <c r="Q2007" i="49" s="1"/>
  <c r="F43" i="1"/>
  <c r="F273" i="50"/>
  <c r="J2006" i="49"/>
  <c r="Q2006" i="49" s="1"/>
  <c r="F272" i="50"/>
  <c r="J2005" i="49"/>
  <c r="Q2005" i="49" s="1"/>
  <c r="F271" i="50"/>
  <c r="J2253" i="49"/>
  <c r="Q2253" i="49" s="1"/>
  <c r="Q1723" i="49"/>
  <c r="J1723" i="49"/>
  <c r="J2590" i="49"/>
  <c r="Q2590" i="49" s="1"/>
  <c r="J2889" i="49"/>
  <c r="Q2889" i="49"/>
  <c r="Q2890" i="49"/>
  <c r="J2890" i="49"/>
  <c r="J2891" i="49"/>
  <c r="Q2891" i="49"/>
  <c r="J808" i="49"/>
  <c r="Q808" i="49" s="1"/>
  <c r="J3128" i="49"/>
  <c r="Q3128" i="49" s="1"/>
  <c r="Q3127" i="49"/>
  <c r="J3127" i="49"/>
  <c r="J3129" i="49"/>
  <c r="Q3129" i="49" s="1"/>
  <c r="J4905" i="49"/>
  <c r="Q4905" i="49" s="1"/>
  <c r="J658" i="46"/>
  <c r="J4134" i="49"/>
  <c r="Q4134" i="49" s="1"/>
  <c r="J4135" i="49"/>
  <c r="Q4135" i="49" s="1"/>
  <c r="J838" i="49"/>
  <c r="Q838" i="49" s="1"/>
  <c r="J1559" i="49"/>
  <c r="Q1559" i="49" s="1"/>
  <c r="J2831" i="49"/>
  <c r="Q2831" i="49" s="1"/>
  <c r="Q2542" i="49"/>
  <c r="J2542" i="49"/>
  <c r="J1675" i="49"/>
  <c r="Q1675" i="49" s="1"/>
  <c r="J3495" i="49"/>
  <c r="Q3495" i="49"/>
  <c r="J705" i="46"/>
  <c r="J3144" i="49"/>
  <c r="Q3144" i="49" s="1"/>
  <c r="Q3146" i="49"/>
  <c r="J3146" i="49"/>
  <c r="J3145" i="49"/>
  <c r="Q3145" i="49" s="1"/>
  <c r="J3135" i="49"/>
  <c r="Q3135" i="49" s="1"/>
  <c r="J572" i="46"/>
  <c r="J3650" i="49"/>
  <c r="Q3650" i="49" s="1"/>
  <c r="J1767" i="49"/>
  <c r="Q1767" i="49" s="1"/>
  <c r="F33" i="50"/>
  <c r="J1769" i="49"/>
  <c r="Q1769" i="49" s="1"/>
  <c r="F35" i="50"/>
  <c r="J1768" i="49"/>
  <c r="Q1768" i="49" s="1"/>
  <c r="F34" i="50"/>
  <c r="Q1973" i="49"/>
  <c r="J1973" i="49"/>
  <c r="F239" i="50"/>
  <c r="Q1971" i="49"/>
  <c r="J1971" i="49"/>
  <c r="F237" i="50"/>
  <c r="J1972" i="49"/>
  <c r="Q1972" i="49" s="1"/>
  <c r="F238" i="50"/>
  <c r="Q4142" i="49"/>
  <c r="J4142" i="49"/>
  <c r="J540" i="46"/>
  <c r="J3480" i="49"/>
  <c r="Q3480" i="49" s="1"/>
  <c r="J4002" i="49"/>
  <c r="Q4002" i="49" s="1"/>
  <c r="J1690" i="49"/>
  <c r="Q1690" i="49" s="1"/>
  <c r="J2128" i="49"/>
  <c r="Q2128" i="49" s="1"/>
  <c r="J2129" i="49"/>
  <c r="Q2129" i="49" s="1"/>
  <c r="J250" i="46"/>
  <c r="J5158" i="49"/>
  <c r="Q5158" i="49" s="1"/>
  <c r="J448" i="46"/>
  <c r="J2907" i="49"/>
  <c r="Q2907" i="49" s="1"/>
  <c r="J2908" i="49"/>
  <c r="Q2908" i="49" s="1"/>
  <c r="J2906" i="49"/>
  <c r="Q2906" i="49" s="1"/>
  <c r="J3009" i="49"/>
  <c r="Q3009" i="49" s="1"/>
  <c r="J3010" i="49"/>
  <c r="Q3010" i="49" s="1"/>
  <c r="J3008" i="49"/>
  <c r="Q3008" i="49" s="1"/>
  <c r="Q1268" i="49"/>
  <c r="J1268" i="49"/>
  <c r="J1989" i="49"/>
  <c r="Q1989" i="49" s="1"/>
  <c r="J1990" i="49"/>
  <c r="Q1990" i="49" s="1"/>
  <c r="F256" i="50"/>
  <c r="J1988" i="49"/>
  <c r="Q1988" i="49" s="1"/>
  <c r="F254" i="50"/>
  <c r="J541" i="46"/>
  <c r="J3481" i="49"/>
  <c r="Q3481" i="49" s="1"/>
  <c r="J3487" i="49"/>
  <c r="Q3487" i="49" s="1"/>
  <c r="J580" i="46"/>
  <c r="J3150" i="49"/>
  <c r="Q3150" i="49"/>
  <c r="Q2268" i="49"/>
  <c r="J2268" i="49"/>
  <c r="J281" i="46"/>
  <c r="J1914" i="49"/>
  <c r="Q1914" i="49" s="1"/>
  <c r="J2924" i="49"/>
  <c r="Q2924" i="49" s="1"/>
  <c r="J2923" i="49"/>
  <c r="Q2923" i="49" s="1"/>
  <c r="J2925" i="49"/>
  <c r="Q2925" i="49" s="1"/>
  <c r="J365" i="46"/>
  <c r="J2399" i="49"/>
  <c r="Q2399" i="49" s="1"/>
  <c r="J2393" i="49"/>
  <c r="Q2393" i="49" s="1"/>
  <c r="J5011" i="49"/>
  <c r="Q5011" i="49" s="1"/>
  <c r="J5017" i="49"/>
  <c r="Q5017" i="49" s="1"/>
  <c r="J673" i="49"/>
  <c r="Q673" i="49" s="1"/>
  <c r="J4949" i="49"/>
  <c r="Q4949" i="49" s="1"/>
  <c r="J4943" i="49"/>
  <c r="Q4943" i="49"/>
  <c r="J4276" i="49"/>
  <c r="Q4276" i="49" s="1"/>
  <c r="Q2942" i="49"/>
  <c r="J2942" i="49"/>
  <c r="J2940" i="49"/>
  <c r="Q2940" i="49"/>
  <c r="Q2941" i="49"/>
  <c r="J2941" i="49"/>
  <c r="J3025" i="49"/>
  <c r="Q3025" i="49" s="1"/>
  <c r="J3027" i="49"/>
  <c r="Q3027" i="49" s="1"/>
  <c r="J3026" i="49"/>
  <c r="Q3026" i="49" s="1"/>
  <c r="J753" i="46"/>
  <c r="J3424" i="49"/>
  <c r="Q3424" i="49" s="1"/>
  <c r="J1144" i="49"/>
  <c r="Q1144" i="49" s="1"/>
  <c r="J4625" i="49"/>
  <c r="Q4625" i="49" s="1"/>
  <c r="J4623" i="49"/>
  <c r="Q4623" i="49" s="1"/>
  <c r="J4624" i="49"/>
  <c r="Q4624" i="49" s="1"/>
  <c r="J364" i="46"/>
  <c r="Q2392" i="49"/>
  <c r="J2392" i="49"/>
  <c r="J3094" i="49"/>
  <c r="Q3094" i="49" s="1"/>
  <c r="J3093" i="49"/>
  <c r="Q3093" i="49" s="1"/>
  <c r="J3095" i="49"/>
  <c r="Q3095" i="49" s="1"/>
  <c r="J745" i="46"/>
  <c r="J4702" i="49"/>
  <c r="Q4702" i="49" s="1"/>
  <c r="J964" i="49"/>
  <c r="Q964" i="49" s="1"/>
  <c r="Q1871" i="49"/>
  <c r="J1871" i="49"/>
  <c r="F137" i="50"/>
  <c r="J1870" i="49"/>
  <c r="Q1870" i="49" s="1"/>
  <c r="F136" i="50"/>
  <c r="Q1869" i="49"/>
  <c r="J1869" i="49"/>
  <c r="F135" i="50"/>
  <c r="J1854" i="49"/>
  <c r="Q1854" i="49" s="1"/>
  <c r="F120" i="50"/>
  <c r="Q1852" i="49"/>
  <c r="J1852" i="49"/>
  <c r="F118" i="50"/>
  <c r="J1853" i="49"/>
  <c r="Q1853" i="49" s="1"/>
  <c r="F119" i="50"/>
  <c r="Q1803" i="49"/>
  <c r="J1803" i="49"/>
  <c r="Q1802" i="49"/>
  <c r="J1802" i="49"/>
  <c r="J1801" i="49"/>
  <c r="Q1801" i="49" s="1"/>
  <c r="J3111" i="49"/>
  <c r="Q3111" i="49" s="1"/>
  <c r="J3112" i="49"/>
  <c r="Q3112" i="49" s="1"/>
  <c r="J3110" i="49"/>
  <c r="Q3110" i="49" s="1"/>
  <c r="J3120" i="49"/>
  <c r="Q3120" i="49" s="1"/>
  <c r="J605" i="46"/>
  <c r="J3844" i="49"/>
  <c r="Q3844" i="49" s="1"/>
  <c r="J3838" i="49"/>
  <c r="Q3838" i="49" s="1"/>
  <c r="J4660" i="49"/>
  <c r="Q4660" i="49" s="1"/>
  <c r="J4654" i="49"/>
  <c r="Q4654" i="49" s="1"/>
  <c r="J1886" i="49"/>
  <c r="Q1886" i="49" s="1"/>
  <c r="F152" i="50"/>
  <c r="J1888" i="49"/>
  <c r="Q1888" i="49" s="1"/>
  <c r="F154" i="50"/>
  <c r="J1887" i="49"/>
  <c r="Q1887" i="49" s="1"/>
  <c r="F153" i="50"/>
  <c r="J1981" i="49"/>
  <c r="Q1981" i="49" s="1"/>
  <c r="J1114" i="49"/>
  <c r="Q1114" i="49"/>
  <c r="Q4306" i="49"/>
  <c r="J4306" i="49"/>
  <c r="Q1938" i="49"/>
  <c r="J1938" i="49"/>
  <c r="J1937" i="49"/>
  <c r="Q1937" i="49" s="1"/>
  <c r="F203" i="50"/>
  <c r="J1939" i="49"/>
  <c r="Q1939" i="49" s="1"/>
  <c r="Q1260" i="49"/>
  <c r="J1260" i="49"/>
  <c r="J1254" i="49"/>
  <c r="Q1254" i="49" s="1"/>
  <c r="J4076" i="49"/>
  <c r="Q4076" i="49" s="1"/>
  <c r="Q4082" i="49"/>
  <c r="J4082" i="49"/>
  <c r="J178" i="46"/>
  <c r="J1244" i="49"/>
  <c r="Q1244" i="49" s="1"/>
  <c r="J1245" i="49"/>
  <c r="Q1245" i="49"/>
  <c r="J2011" i="49"/>
  <c r="Q2011" i="49" s="1"/>
  <c r="J1705" i="49"/>
  <c r="Q1705" i="49" s="1"/>
  <c r="Q2706" i="49"/>
  <c r="J2706" i="49"/>
  <c r="J2707" i="49"/>
  <c r="Q2707" i="49"/>
  <c r="Q2572" i="49"/>
  <c r="J2572" i="49"/>
  <c r="L14" i="40"/>
  <c r="J480" i="46"/>
  <c r="J3078" i="49"/>
  <c r="Q3078" i="49"/>
  <c r="E47" i="1"/>
  <c r="J3077" i="49"/>
  <c r="Q3077" i="49" s="1"/>
  <c r="Q3076" i="49"/>
  <c r="J3076" i="49"/>
  <c r="J2958" i="49"/>
  <c r="Q2958" i="49"/>
  <c r="J2959" i="49"/>
  <c r="Q2959" i="49" s="1"/>
  <c r="J2957" i="49"/>
  <c r="Q2957" i="49" s="1"/>
  <c r="J4613" i="49"/>
  <c r="Q4613" i="49" s="1"/>
  <c r="J856" i="49"/>
  <c r="Q856" i="49" s="1"/>
  <c r="F278" i="50"/>
  <c r="J604" i="46"/>
  <c r="J3837" i="49"/>
  <c r="Q3837" i="49" s="1"/>
  <c r="J4653" i="49"/>
  <c r="Q4653" i="49" s="1"/>
  <c r="L10" i="40"/>
  <c r="J288" i="46"/>
  <c r="J1922" i="49"/>
  <c r="Q1922" i="49" s="1"/>
  <c r="E43" i="1"/>
  <c r="F188" i="50"/>
  <c r="Q1920" i="49"/>
  <c r="J1920" i="49"/>
  <c r="J1921" i="49"/>
  <c r="Q1921" i="49" s="1"/>
  <c r="F187" i="50"/>
  <c r="J697" i="46"/>
  <c r="J4413" i="49"/>
  <c r="Q4413" i="49" s="1"/>
  <c r="Q4075" i="49"/>
  <c r="J4075" i="49"/>
  <c r="J5025" i="49"/>
  <c r="Q5025" i="49" s="1"/>
  <c r="J3749" i="49"/>
  <c r="Q3749" i="49" s="1"/>
  <c r="J971" i="49"/>
  <c r="Q971" i="49"/>
  <c r="J965" i="49"/>
  <c r="Q965" i="49" s="1"/>
  <c r="J4580" i="49"/>
  <c r="Q4580" i="49" s="1"/>
  <c r="J3276" i="49"/>
  <c r="Q3276" i="49" s="1"/>
  <c r="J5173" i="49"/>
  <c r="Q5173" i="49" s="1"/>
  <c r="J3168" i="49"/>
  <c r="Q3168" i="49" s="1"/>
  <c r="J3291" i="49"/>
  <c r="Q3291" i="49"/>
  <c r="J4563" i="49"/>
  <c r="Q4563" i="49" s="1"/>
  <c r="F228" i="50"/>
  <c r="J4668" i="49"/>
  <c r="Q4668" i="49" s="1"/>
  <c r="J867" i="49"/>
  <c r="Q867" i="49" s="1"/>
  <c r="F289" i="50"/>
  <c r="Q866" i="49"/>
  <c r="J866" i="49"/>
  <c r="F288" i="50"/>
  <c r="J868" i="49"/>
  <c r="Q868" i="49" s="1"/>
  <c r="F290" i="50"/>
  <c r="J1253" i="49"/>
  <c r="Q1253" i="49" s="1"/>
  <c r="J4958" i="49"/>
  <c r="Q4958" i="49" s="1"/>
  <c r="J3987" i="49"/>
  <c r="Q3987" i="49" s="1"/>
  <c r="J4291" i="49"/>
  <c r="Q4291" i="49" s="1"/>
  <c r="U21" i="28"/>
  <c r="U21" i="23"/>
  <c r="U22" i="23" s="1"/>
  <c r="U24" i="23" s="1"/>
  <c r="V21" i="17"/>
  <c r="V22" i="17" s="1"/>
  <c r="V24" i="17" s="1"/>
  <c r="V41" i="17" s="1"/>
  <c r="U21" i="19"/>
  <c r="U22" i="19" s="1"/>
  <c r="U24" i="19" s="1"/>
  <c r="U21" i="24"/>
  <c r="U22" i="24" s="1"/>
  <c r="U24" i="24" s="1"/>
  <c r="L87" i="13"/>
  <c r="K64" i="28" s="1"/>
  <c r="K76" i="28" s="1"/>
  <c r="K77" i="28" s="1"/>
  <c r="J137" i="14"/>
  <c r="G83" i="13"/>
  <c r="F64" i="24" s="1"/>
  <c r="F76" i="24" s="1"/>
  <c r="F77" i="24" s="1"/>
  <c r="E97" i="14"/>
  <c r="U21" i="31"/>
  <c r="U22" i="31"/>
  <c r="U24" i="31" s="1"/>
  <c r="G79" i="13"/>
  <c r="F64" i="20" s="1"/>
  <c r="E57" i="14"/>
  <c r="T41" i="27"/>
  <c r="T41" i="25"/>
  <c r="V45" i="30"/>
  <c r="V73" i="30"/>
  <c r="U21" i="22"/>
  <c r="U22" i="22" s="1"/>
  <c r="U24" i="22" s="1"/>
  <c r="T41" i="23"/>
  <c r="P8" i="52"/>
  <c r="H243" i="49"/>
  <c r="S41" i="8"/>
  <c r="K67" i="19"/>
  <c r="K68" i="19" s="1"/>
  <c r="Q85" i="13"/>
  <c r="P64" i="26" s="1"/>
  <c r="P76" i="26" s="1"/>
  <c r="P77" i="26" s="1"/>
  <c r="O117" i="14"/>
  <c r="U21" i="27"/>
  <c r="U22" i="27" s="1"/>
  <c r="U24" i="27" s="1"/>
  <c r="U21" i="16"/>
  <c r="U22" i="16"/>
  <c r="U24" i="16" s="1"/>
  <c r="I90" i="13"/>
  <c r="H64" i="31" s="1"/>
  <c r="H76" i="31" s="1"/>
  <c r="H77" i="31" s="1"/>
  <c r="G167" i="14"/>
  <c r="W21" i="30"/>
  <c r="W22" i="30" s="1"/>
  <c r="W24" i="30" s="1"/>
  <c r="W41" i="30" s="1"/>
  <c r="T73" i="15"/>
  <c r="T45" i="15"/>
  <c r="G50" i="28"/>
  <c r="G52" i="28"/>
  <c r="V39" i="21"/>
  <c r="K86" i="13"/>
  <c r="J64" i="27" s="1"/>
  <c r="J76" i="27" s="1"/>
  <c r="J77" i="27" s="1"/>
  <c r="I127" i="14"/>
  <c r="R20" i="52"/>
  <c r="H287" i="49"/>
  <c r="V80" i="28"/>
  <c r="V82" i="28"/>
  <c r="V79" i="28"/>
  <c r="V85" i="28"/>
  <c r="V29" i="8"/>
  <c r="V31" i="8"/>
  <c r="N124" i="14"/>
  <c r="Q57" i="13" s="1"/>
  <c r="P48" i="26" s="1"/>
  <c r="K50" i="21"/>
  <c r="K52" i="21"/>
  <c r="G127" i="50"/>
  <c r="H127" i="50" s="1"/>
  <c r="W22" i="26"/>
  <c r="W24" i="26" s="1"/>
  <c r="W41" i="26" s="1"/>
  <c r="W21" i="26"/>
  <c r="G194" i="50"/>
  <c r="H194" i="50" s="1"/>
  <c r="G111" i="50"/>
  <c r="H111" i="50" s="1"/>
  <c r="I67" i="16"/>
  <c r="I68" i="16" s="1"/>
  <c r="V19" i="19"/>
  <c r="V82" i="19"/>
  <c r="V79" i="19"/>
  <c r="V85" i="19"/>
  <c r="V80" i="19"/>
  <c r="U21" i="25"/>
  <c r="U22" i="25"/>
  <c r="U24" i="25" s="1"/>
  <c r="J117" i="49"/>
  <c r="Q117" i="49" s="1"/>
  <c r="E117" i="50"/>
  <c r="G117" i="50" s="1"/>
  <c r="H117" i="50" s="1"/>
  <c r="T21" i="8"/>
  <c r="J100" i="49"/>
  <c r="Q100" i="49"/>
  <c r="E100" i="50"/>
  <c r="G100" i="50" s="1"/>
  <c r="H100" i="50" s="1"/>
  <c r="W37" i="21"/>
  <c r="W62" i="21"/>
  <c r="W28" i="21"/>
  <c r="W13" i="21"/>
  <c r="W15" i="21"/>
  <c r="W32" i="21"/>
  <c r="W30" i="21"/>
  <c r="W17" i="21"/>
  <c r="W72" i="21"/>
  <c r="W36" i="21"/>
  <c r="W34" i="21"/>
  <c r="W61" i="21"/>
  <c r="W63" i="21" s="1"/>
  <c r="W29" i="21"/>
  <c r="W33" i="21"/>
  <c r="W44" i="21"/>
  <c r="W31" i="21"/>
  <c r="W18" i="21"/>
  <c r="X12" i="21"/>
  <c r="W14" i="21"/>
  <c r="W23" i="21"/>
  <c r="W16" i="21"/>
  <c r="W27" i="21"/>
  <c r="W35" i="21"/>
  <c r="W38" i="21"/>
  <c r="G107" i="50"/>
  <c r="H107" i="50" s="1"/>
  <c r="G43" i="50"/>
  <c r="H43" i="50" s="1"/>
  <c r="V15" i="8"/>
  <c r="V37" i="8"/>
  <c r="V35" i="8"/>
  <c r="H117" i="13"/>
  <c r="G61" i="30" s="1"/>
  <c r="E163" i="14"/>
  <c r="F140" i="14"/>
  <c r="F138" i="14"/>
  <c r="F139" i="14"/>
  <c r="C49" i="1"/>
  <c r="I49" i="1" s="1"/>
  <c r="V19" i="39"/>
  <c r="W19" i="39"/>
  <c r="J16" i="3"/>
  <c r="G16" i="32" s="1"/>
  <c r="G16" i="38" s="1"/>
  <c r="F16" i="32"/>
  <c r="C21" i="4"/>
  <c r="N3738" i="49"/>
  <c r="O3738" i="49" s="1"/>
  <c r="N3497" i="49"/>
  <c r="O3497" i="49" s="1"/>
  <c r="N3474" i="49"/>
  <c r="O3474" i="49" s="1"/>
  <c r="N3631" i="49"/>
  <c r="O3631" i="49" s="1"/>
  <c r="N3565" i="49"/>
  <c r="O3565" i="49" s="1"/>
  <c r="N3623" i="49"/>
  <c r="O3623" i="49" s="1"/>
  <c r="N3597" i="49"/>
  <c r="O3597" i="49" s="1"/>
  <c r="N3759" i="49"/>
  <c r="O3759" i="49" s="1"/>
  <c r="N3510" i="49"/>
  <c r="O3510" i="49" s="1"/>
  <c r="N3611" i="49"/>
  <c r="O3611" i="49" s="1"/>
  <c r="N3627" i="49"/>
  <c r="O3627" i="49" s="1"/>
  <c r="N3477" i="49"/>
  <c r="O3477" i="49" s="1"/>
  <c r="N3651" i="49"/>
  <c r="O3651" i="49" s="1"/>
  <c r="N3589" i="49"/>
  <c r="O3589" i="49" s="1"/>
  <c r="N3610" i="49"/>
  <c r="O3610" i="49" s="1"/>
  <c r="N3722" i="49"/>
  <c r="O3722" i="49" s="1"/>
  <c r="N3748" i="49"/>
  <c r="O3748" i="49" s="1"/>
  <c r="N3602" i="49"/>
  <c r="O3602" i="49" s="1"/>
  <c r="N3486" i="49"/>
  <c r="O3486" i="49" s="1"/>
  <c r="N3540" i="49"/>
  <c r="O3540" i="49" s="1"/>
  <c r="N3545" i="49"/>
  <c r="O3545" i="49" s="1"/>
  <c r="N3473" i="49"/>
  <c r="O3473" i="49" s="1"/>
  <c r="N3549" i="49"/>
  <c r="O3549" i="49" s="1"/>
  <c r="N3482" i="49"/>
  <c r="O3482" i="49" s="1"/>
  <c r="N3514" i="49"/>
  <c r="O3514" i="49" s="1"/>
  <c r="N3564" i="49"/>
  <c r="O3564" i="49" s="1"/>
  <c r="N3721" i="49"/>
  <c r="O3721" i="49" s="1"/>
  <c r="N3715" i="49"/>
  <c r="O3715" i="49" s="1"/>
  <c r="N3760" i="49"/>
  <c r="O3760" i="49" s="1"/>
  <c r="N3622" i="49"/>
  <c r="O3622" i="49" s="1"/>
  <c r="N3626" i="49"/>
  <c r="O3626" i="49" s="1"/>
  <c r="N3670" i="49"/>
  <c r="O3670" i="49" s="1"/>
  <c r="N3740" i="49"/>
  <c r="O3740" i="49" s="1"/>
  <c r="N3595" i="49"/>
  <c r="O3595" i="49" s="1"/>
  <c r="N3570" i="49"/>
  <c r="O3570" i="49" s="1"/>
  <c r="N3591" i="49"/>
  <c r="O3591" i="49" s="1"/>
  <c r="N3731" i="49"/>
  <c r="O3731" i="49" s="1"/>
  <c r="N3750" i="49"/>
  <c r="O3750" i="49" s="1"/>
  <c r="N3605" i="49"/>
  <c r="O3605" i="49" s="1"/>
  <c r="N3479" i="49"/>
  <c r="O3479" i="49" s="1"/>
  <c r="N3601" i="49"/>
  <c r="O3601" i="49" s="1"/>
  <c r="N3689" i="49"/>
  <c r="O3689" i="49" s="1"/>
  <c r="N3475" i="49"/>
  <c r="O3475" i="49" s="1"/>
  <c r="N3606" i="49"/>
  <c r="O3606" i="49" s="1"/>
  <c r="N3701" i="49"/>
  <c r="O3701" i="49" s="1"/>
  <c r="N3520" i="49"/>
  <c r="O3520" i="49" s="1"/>
  <c r="N3712" i="49"/>
  <c r="O3712" i="49" s="1"/>
  <c r="N3657" i="49"/>
  <c r="O3657" i="49" s="1"/>
  <c r="N3671" i="49"/>
  <c r="O3671" i="49" s="1"/>
  <c r="N3603" i="49"/>
  <c r="O3603" i="49" s="1"/>
  <c r="N3530" i="49"/>
  <c r="O3530" i="49" s="1"/>
  <c r="N3488" i="49"/>
  <c r="O3488" i="49" s="1"/>
  <c r="N3667" i="49"/>
  <c r="O3667" i="49" s="1"/>
  <c r="N3620" i="49"/>
  <c r="O3620" i="49" s="1"/>
  <c r="N3548" i="49"/>
  <c r="O3548" i="49" s="1"/>
  <c r="N3526" i="49"/>
  <c r="O3526" i="49" s="1"/>
  <c r="N3600" i="49"/>
  <c r="O3600" i="49" s="1"/>
  <c r="N3512" i="49"/>
  <c r="O3512" i="49" s="1"/>
  <c r="N3578" i="49"/>
  <c r="O3578" i="49" s="1"/>
  <c r="N3681" i="49"/>
  <c r="O3681" i="49" s="1"/>
  <c r="N3598" i="49"/>
  <c r="O3598" i="49" s="1"/>
  <c r="N3533" i="49"/>
  <c r="O3533" i="49" s="1"/>
  <c r="N3685" i="49"/>
  <c r="O3685" i="49" s="1"/>
  <c r="N3755" i="49"/>
  <c r="O3755" i="49" s="1"/>
  <c r="N3668" i="49"/>
  <c r="O3668" i="49" s="1"/>
  <c r="N3702" i="49"/>
  <c r="O3702" i="49" s="1"/>
  <c r="N3708" i="49"/>
  <c r="O3708" i="49" s="1"/>
  <c r="N3684" i="49"/>
  <c r="O3684" i="49" s="1"/>
  <c r="N3758" i="49"/>
  <c r="O3758" i="49" s="1"/>
  <c r="N3490" i="49"/>
  <c r="O3490" i="49" s="1"/>
  <c r="N3639" i="49"/>
  <c r="O3639" i="49" s="1"/>
  <c r="N3653" i="49"/>
  <c r="O3653" i="49" s="1"/>
  <c r="N3574" i="49"/>
  <c r="O3574" i="49" s="1"/>
  <c r="N3640" i="49"/>
  <c r="O3640" i="49" s="1"/>
  <c r="N3637" i="49"/>
  <c r="O3637" i="49" s="1"/>
  <c r="N3508" i="49"/>
  <c r="O3508" i="49" s="1"/>
  <c r="N3683" i="49"/>
  <c r="O3683" i="49" s="1"/>
  <c r="N3525" i="49"/>
  <c r="O3525" i="49" s="1"/>
  <c r="N3523" i="49"/>
  <c r="O3523" i="49" s="1"/>
  <c r="N3739" i="49"/>
  <c r="O3739" i="49" s="1"/>
  <c r="N3569" i="49"/>
  <c r="O3569" i="49" s="1"/>
  <c r="N3491" i="49"/>
  <c r="O3491" i="49" s="1"/>
  <c r="N3660" i="49"/>
  <c r="O3660" i="49" s="1"/>
  <c r="N3675" i="49"/>
  <c r="O3675" i="49" s="1"/>
  <c r="N3674" i="49"/>
  <c r="O3674" i="49" s="1"/>
  <c r="N3550" i="49"/>
  <c r="O3550" i="49" s="1"/>
  <c r="N3501" i="49"/>
  <c r="O3501" i="49" s="1"/>
  <c r="N3524" i="49"/>
  <c r="O3524" i="49" s="1"/>
  <c r="N3546" i="49"/>
  <c r="O3546" i="49" s="1"/>
  <c r="N3584" i="49"/>
  <c r="O3584" i="49" s="1"/>
  <c r="N3711" i="49"/>
  <c r="O3711" i="49" s="1"/>
  <c r="N3761" i="49"/>
  <c r="O3761" i="49" s="1"/>
  <c r="N3582" i="49"/>
  <c r="O3582" i="49" s="1"/>
  <c r="N3746" i="49"/>
  <c r="O3746" i="49" s="1"/>
  <c r="N3737" i="49"/>
  <c r="O3737" i="49" s="1"/>
  <c r="N3718" i="49"/>
  <c r="O3718" i="49" s="1"/>
  <c r="N3519" i="49"/>
  <c r="O3519" i="49" s="1"/>
  <c r="N3735" i="49"/>
  <c r="O3735" i="49" s="1"/>
  <c r="N3643" i="49"/>
  <c r="O3643" i="49" s="1"/>
  <c r="N3543" i="49"/>
  <c r="O3543" i="49" s="1"/>
  <c r="N3581" i="49"/>
  <c r="O3581" i="49" s="1"/>
  <c r="N3664" i="49"/>
  <c r="O3664" i="49" s="1"/>
  <c r="N3741" i="49"/>
  <c r="O3741" i="49" s="1"/>
  <c r="N3663" i="49"/>
  <c r="O3663" i="49" s="1"/>
  <c r="N3521" i="49"/>
  <c r="O3521" i="49" s="1"/>
  <c r="N3527" i="49"/>
  <c r="O3527" i="49" s="1"/>
  <c r="N3692" i="49"/>
  <c r="O3692" i="49" s="1"/>
  <c r="N3494" i="49"/>
  <c r="O3494" i="49" s="1"/>
  <c r="N3612" i="49"/>
  <c r="O3612" i="49" s="1"/>
  <c r="N3534" i="49"/>
  <c r="O3534" i="49" s="1"/>
  <c r="N3703" i="49"/>
  <c r="O3703" i="49" s="1"/>
  <c r="N3615" i="49"/>
  <c r="O3615" i="49" s="1"/>
  <c r="N3700" i="49"/>
  <c r="O3700" i="49" s="1"/>
  <c r="N3484" i="49"/>
  <c r="O3484" i="49" s="1"/>
  <c r="N3593" i="49"/>
  <c r="O3593" i="49" s="1"/>
  <c r="N3696" i="49"/>
  <c r="O3696" i="49" s="1"/>
  <c r="N3511" i="49"/>
  <c r="O3511" i="49" s="1"/>
  <c r="N3478" i="49"/>
  <c r="O3478" i="49" s="1"/>
  <c r="N3633" i="49"/>
  <c r="O3633" i="49" s="1"/>
  <c r="N3500" i="49"/>
  <c r="O3500" i="49" s="1"/>
  <c r="N3618" i="49"/>
  <c r="O3618" i="49" s="1"/>
  <c r="N3654" i="49"/>
  <c r="O3654" i="49" s="1"/>
  <c r="N3717" i="49"/>
  <c r="O3717" i="49" s="1"/>
  <c r="N3560" i="49"/>
  <c r="O3560" i="49" s="1"/>
  <c r="N3538" i="49"/>
  <c r="O3538" i="49" s="1"/>
  <c r="N3677" i="49"/>
  <c r="O3677" i="49" s="1"/>
  <c r="N3616" i="49"/>
  <c r="O3616" i="49" s="1"/>
  <c r="N3529" i="49"/>
  <c r="O3529" i="49" s="1"/>
  <c r="N3619" i="49"/>
  <c r="O3619" i="49" s="1"/>
  <c r="N3686" i="49"/>
  <c r="O3686" i="49" s="1"/>
  <c r="N3757" i="49"/>
  <c r="O3757" i="49" s="1"/>
  <c r="N3572" i="49"/>
  <c r="O3572" i="49" s="1"/>
  <c r="N3705" i="49"/>
  <c r="O3705" i="49" s="1"/>
  <c r="N3625" i="49"/>
  <c r="O3625" i="49" s="1"/>
  <c r="N3614" i="49"/>
  <c r="O3614" i="49" s="1"/>
  <c r="N3481" i="49"/>
  <c r="O3481" i="49" s="1"/>
  <c r="N3573" i="49"/>
  <c r="O3573" i="49" s="1"/>
  <c r="N3493" i="49"/>
  <c r="O3493" i="49" s="1"/>
  <c r="N3483" i="49"/>
  <c r="O3483" i="49" s="1"/>
  <c r="N3714" i="49"/>
  <c r="O3714" i="49" s="1"/>
  <c r="N3487" i="49"/>
  <c r="O3487" i="49" s="1"/>
  <c r="N3752" i="49"/>
  <c r="O3752" i="49" s="1"/>
  <c r="N3541" i="49"/>
  <c r="O3541" i="49" s="1"/>
  <c r="N3528" i="49"/>
  <c r="O3528" i="49" s="1"/>
  <c r="N3554" i="49"/>
  <c r="O3554" i="49" s="1"/>
  <c r="N3658" i="49"/>
  <c r="O3658" i="49" s="1"/>
  <c r="N3509" i="49"/>
  <c r="O3509" i="49" s="1"/>
  <c r="N3515" i="49"/>
  <c r="O3515" i="49" s="1"/>
  <c r="N3558" i="49"/>
  <c r="O3558" i="49" s="1"/>
  <c r="N3561" i="49"/>
  <c r="O3561" i="49" s="1"/>
  <c r="N3556" i="49"/>
  <c r="O3556" i="49" s="1"/>
  <c r="N3518" i="49"/>
  <c r="O3518" i="49" s="1"/>
  <c r="N3754" i="49"/>
  <c r="O3754" i="49" s="1"/>
  <c r="N3753" i="49"/>
  <c r="O3753" i="49" s="1"/>
  <c r="N3539" i="49"/>
  <c r="O3539" i="49" s="1"/>
  <c r="N3604" i="49"/>
  <c r="O3604" i="49" s="1"/>
  <c r="N3547" i="49"/>
  <c r="O3547" i="49" s="1"/>
  <c r="N3499" i="49"/>
  <c r="O3499" i="49" s="1"/>
  <c r="N3629" i="49"/>
  <c r="O3629" i="49" s="1"/>
  <c r="N3496" i="49"/>
  <c r="O3496" i="49" s="1"/>
  <c r="N3635" i="49"/>
  <c r="O3635" i="49" s="1"/>
  <c r="N3691" i="49"/>
  <c r="O3691" i="49" s="1"/>
  <c r="N3665" i="49"/>
  <c r="O3665" i="49" s="1"/>
  <c r="N3537" i="49"/>
  <c r="O3537" i="49" s="1"/>
  <c r="N3756" i="49"/>
  <c r="O3756" i="49" s="1"/>
  <c r="N3744" i="49"/>
  <c r="O3744" i="49" s="1"/>
  <c r="N3492" i="49"/>
  <c r="O3492" i="49" s="1"/>
  <c r="N3659" i="49"/>
  <c r="O3659" i="49" s="1"/>
  <c r="N3673" i="49"/>
  <c r="O3673" i="49" s="1"/>
  <c r="N3724" i="49"/>
  <c r="O3724" i="49" s="1"/>
  <c r="N3495" i="49"/>
  <c r="O3495" i="49" s="1"/>
  <c r="N3506" i="49"/>
  <c r="O3506" i="49" s="1"/>
  <c r="N3630" i="49"/>
  <c r="O3630" i="49" s="1"/>
  <c r="N3617" i="49"/>
  <c r="O3617" i="49" s="1"/>
  <c r="N3634" i="49"/>
  <c r="O3634" i="49" s="1"/>
  <c r="N3502" i="49"/>
  <c r="O3502" i="49" s="1"/>
  <c r="N3644" i="49"/>
  <c r="O3644" i="49" s="1"/>
  <c r="N3647" i="49"/>
  <c r="O3647" i="49" s="1"/>
  <c r="N3613" i="49"/>
  <c r="O3613" i="49" s="1"/>
  <c r="N3646" i="49"/>
  <c r="O3646" i="49" s="1"/>
  <c r="N3557" i="49"/>
  <c r="O3557" i="49" s="1"/>
  <c r="N3636" i="49"/>
  <c r="O3636" i="49" s="1"/>
  <c r="N3563" i="49"/>
  <c r="O3563" i="49" s="1"/>
  <c r="N3505" i="49"/>
  <c r="O3505" i="49" s="1"/>
  <c r="N3648" i="49"/>
  <c r="O3648" i="49" s="1"/>
  <c r="N3480" i="49"/>
  <c r="O3480" i="49" s="1"/>
  <c r="N3707" i="49"/>
  <c r="O3707" i="49" s="1"/>
  <c r="N3621" i="49"/>
  <c r="O3621" i="49" s="1"/>
  <c r="N3567" i="49"/>
  <c r="O3567" i="49" s="1"/>
  <c r="N3568" i="49"/>
  <c r="O3568" i="49" s="1"/>
  <c r="N3638" i="49"/>
  <c r="O3638" i="49" s="1"/>
  <c r="N3694" i="49"/>
  <c r="O3694" i="49" s="1"/>
  <c r="N3498" i="49"/>
  <c r="O3498" i="49" s="1"/>
  <c r="N3728" i="49"/>
  <c r="O3728" i="49" s="1"/>
  <c r="N3751" i="49"/>
  <c r="O3751" i="49" s="1"/>
  <c r="N3559" i="49"/>
  <c r="O3559" i="49" s="1"/>
  <c r="N3577" i="49"/>
  <c r="O3577" i="49" s="1"/>
  <c r="N3688" i="49"/>
  <c r="O3688" i="49" s="1"/>
  <c r="N3693" i="49"/>
  <c r="O3693" i="49" s="1"/>
  <c r="N3716" i="49"/>
  <c r="O3716" i="49" s="1"/>
  <c r="N3726" i="49"/>
  <c r="O3726" i="49" s="1"/>
  <c r="N3609" i="49"/>
  <c r="O3609" i="49" s="1"/>
  <c r="N3669" i="49"/>
  <c r="O3669" i="49" s="1"/>
  <c r="N3583" i="49"/>
  <c r="O3583" i="49" s="1"/>
  <c r="N3680" i="49"/>
  <c r="O3680" i="49" s="1"/>
  <c r="N3695" i="49"/>
  <c r="O3695" i="49" s="1"/>
  <c r="N3723" i="49"/>
  <c r="O3723" i="49" s="1"/>
  <c r="N3725" i="49"/>
  <c r="O3725" i="49" s="1"/>
  <c r="N3588" i="49"/>
  <c r="O3588" i="49" s="1"/>
  <c r="N3645" i="49"/>
  <c r="O3645" i="49" s="1"/>
  <c r="N3562" i="49"/>
  <c r="O3562" i="49" s="1"/>
  <c r="N3749" i="49"/>
  <c r="O3749" i="49" s="1"/>
  <c r="N3745" i="49"/>
  <c r="O3745" i="49" s="1"/>
  <c r="N3720" i="49"/>
  <c r="O3720" i="49" s="1"/>
  <c r="N3532" i="49"/>
  <c r="O3532" i="49" s="1"/>
  <c r="N3649" i="49"/>
  <c r="O3649" i="49" s="1"/>
  <c r="N3504" i="49"/>
  <c r="O3504" i="49" s="1"/>
  <c r="N3596" i="49"/>
  <c r="O3596" i="49" s="1"/>
  <c r="N3516" i="49"/>
  <c r="O3516" i="49" s="1"/>
  <c r="N3698" i="49"/>
  <c r="O3698" i="49" s="1"/>
  <c r="N3666" i="49"/>
  <c r="O3666" i="49" s="1"/>
  <c r="N3710" i="49"/>
  <c r="O3710" i="49" s="1"/>
  <c r="N3476" i="49"/>
  <c r="O3476" i="49" s="1"/>
  <c r="N3576" i="49"/>
  <c r="O3576" i="49" s="1"/>
  <c r="N3624" i="49"/>
  <c r="O3624" i="49" s="1"/>
  <c r="N3555" i="49"/>
  <c r="O3555" i="49" s="1"/>
  <c r="N3719" i="49"/>
  <c r="O3719" i="49" s="1"/>
  <c r="N3592" i="49"/>
  <c r="O3592" i="49" s="1"/>
  <c r="N3662" i="49"/>
  <c r="O3662" i="49" s="1"/>
  <c r="N3587" i="49"/>
  <c r="O3587" i="49" s="1"/>
  <c r="N3607" i="49"/>
  <c r="O3607" i="49" s="1"/>
  <c r="N3732" i="49"/>
  <c r="O3732" i="49" s="1"/>
  <c r="N3642" i="49"/>
  <c r="O3642" i="49" s="1"/>
  <c r="N3650" i="49"/>
  <c r="O3650" i="49" s="1"/>
  <c r="N3585" i="49"/>
  <c r="O3585" i="49" s="1"/>
  <c r="N3733" i="49"/>
  <c r="O3733" i="49" s="1"/>
  <c r="N3632" i="49"/>
  <c r="O3632" i="49" s="1"/>
  <c r="N3503" i="49"/>
  <c r="O3503" i="49" s="1"/>
  <c r="N3513" i="49"/>
  <c r="O3513" i="49" s="1"/>
  <c r="N3485" i="49"/>
  <c r="O3485" i="49" s="1"/>
  <c r="N3742" i="49"/>
  <c r="O3742" i="49" s="1"/>
  <c r="N3709" i="49"/>
  <c r="O3709" i="49" s="1"/>
  <c r="N3641" i="49"/>
  <c r="O3641" i="49" s="1"/>
  <c r="N3743" i="49"/>
  <c r="O3743" i="49" s="1"/>
  <c r="N3552" i="49"/>
  <c r="O3552" i="49" s="1"/>
  <c r="N3656" i="49"/>
  <c r="O3656" i="49" s="1"/>
  <c r="N3699" i="49"/>
  <c r="O3699" i="49" s="1"/>
  <c r="N3690" i="49"/>
  <c r="O3690" i="49" s="1"/>
  <c r="N3676" i="49"/>
  <c r="O3676" i="49" s="1"/>
  <c r="N3704" i="49"/>
  <c r="O3704" i="49" s="1"/>
  <c r="N3531" i="49"/>
  <c r="O3531" i="49" s="1"/>
  <c r="N3687" i="49"/>
  <c r="O3687" i="49" s="1"/>
  <c r="N3747" i="49"/>
  <c r="O3747" i="49" s="1"/>
  <c r="N3517" i="49"/>
  <c r="O3517" i="49" s="1"/>
  <c r="N3489" i="49"/>
  <c r="O3489" i="49" s="1"/>
  <c r="N3579" i="49"/>
  <c r="O3579" i="49" s="1"/>
  <c r="N3566" i="49"/>
  <c r="O3566" i="49" s="1"/>
  <c r="N3678" i="49"/>
  <c r="O3678" i="49" s="1"/>
  <c r="N3542" i="49"/>
  <c r="O3542" i="49" s="1"/>
  <c r="N3575" i="49"/>
  <c r="O3575" i="49" s="1"/>
  <c r="N3599" i="49"/>
  <c r="O3599" i="49" s="1"/>
  <c r="N3729" i="49"/>
  <c r="O3729" i="49" s="1"/>
  <c r="N3608" i="49"/>
  <c r="O3608" i="49" s="1"/>
  <c r="N3730" i="49"/>
  <c r="O3730" i="49" s="1"/>
  <c r="N3580" i="49"/>
  <c r="O3580" i="49" s="1"/>
  <c r="N3679" i="49"/>
  <c r="O3679" i="49" s="1"/>
  <c r="N3507" i="49"/>
  <c r="O3507" i="49" s="1"/>
  <c r="N3551" i="49"/>
  <c r="O3551" i="49" s="1"/>
  <c r="N3736" i="49"/>
  <c r="O3736" i="49" s="1"/>
  <c r="N3713" i="49"/>
  <c r="O3713" i="49" s="1"/>
  <c r="N3522" i="49"/>
  <c r="O3522" i="49" s="1"/>
  <c r="N3682" i="49"/>
  <c r="O3682" i="49" s="1"/>
  <c r="N3535" i="49"/>
  <c r="O3535" i="49" s="1"/>
  <c r="N3655" i="49"/>
  <c r="O3655" i="49" s="1"/>
  <c r="N3706" i="49"/>
  <c r="O3706" i="49" s="1"/>
  <c r="N3734" i="49"/>
  <c r="O3734" i="49" s="1"/>
  <c r="N3697" i="49"/>
  <c r="O3697" i="49" s="1"/>
  <c r="N3672" i="49"/>
  <c r="O3672" i="49" s="1"/>
  <c r="N3590" i="49"/>
  <c r="O3590" i="49" s="1"/>
  <c r="N3652" i="49"/>
  <c r="O3652" i="49" s="1"/>
  <c r="N3727" i="49"/>
  <c r="O3727" i="49" s="1"/>
  <c r="N3571" i="49"/>
  <c r="O3571" i="49" s="1"/>
  <c r="N3586" i="49"/>
  <c r="O3586" i="49" s="1"/>
  <c r="N3544" i="49"/>
  <c r="O3544" i="49" s="1"/>
  <c r="N3553" i="49"/>
  <c r="O3553" i="49" s="1"/>
  <c r="N3594" i="49"/>
  <c r="O3594" i="49" s="1"/>
  <c r="N3661" i="49"/>
  <c r="O3661" i="49" s="1"/>
  <c r="N3536" i="49"/>
  <c r="O3536" i="49" s="1"/>
  <c r="N3628" i="49"/>
  <c r="O3628" i="49" s="1"/>
  <c r="O50" i="24"/>
  <c r="O52" i="24"/>
  <c r="N19" i="52"/>
  <c r="H218" i="49"/>
  <c r="Q63" i="8"/>
  <c r="Q60" i="8" s="1"/>
  <c r="V63" i="31"/>
  <c r="J50" i="22"/>
  <c r="J52" i="22"/>
  <c r="U21" i="29"/>
  <c r="U22" i="29" s="1"/>
  <c r="U24" i="29" s="1"/>
  <c r="G161" i="50"/>
  <c r="H161" i="50" s="1"/>
  <c r="G108" i="50"/>
  <c r="H108" i="50" s="1"/>
  <c r="G8" i="50"/>
  <c r="H8" i="50" s="1"/>
  <c r="T73" i="17"/>
  <c r="T45" i="17"/>
  <c r="T22" i="29"/>
  <c r="T24" i="29" s="1"/>
  <c r="E54" i="24"/>
  <c r="E56" i="24" s="1"/>
  <c r="X63" i="30"/>
  <c r="J49" i="49"/>
  <c r="Q49" i="49" s="1"/>
  <c r="E49" i="50"/>
  <c r="G49" i="50" s="1"/>
  <c r="H49" i="50" s="1"/>
  <c r="V63" i="19"/>
  <c r="J185" i="49"/>
  <c r="Q185" i="49" s="1"/>
  <c r="D19" i="1"/>
  <c r="E185" i="50"/>
  <c r="G185" i="50" s="1"/>
  <c r="H185" i="50" s="1"/>
  <c r="S45" i="22"/>
  <c r="S73" i="22"/>
  <c r="V85" i="24"/>
  <c r="V82" i="24"/>
  <c r="V80" i="24"/>
  <c r="V79" i="24"/>
  <c r="D104" i="14"/>
  <c r="G55" i="13" s="1"/>
  <c r="F48" i="24" s="1"/>
  <c r="X82" i="26"/>
  <c r="X79" i="26"/>
  <c r="X85" i="26"/>
  <c r="X80" i="26"/>
  <c r="J83" i="49"/>
  <c r="Q83" i="49" s="1"/>
  <c r="C19" i="1"/>
  <c r="E83" i="50"/>
  <c r="G83" i="50" s="1"/>
  <c r="H83" i="50" s="1"/>
  <c r="V85" i="16"/>
  <c r="V80" i="16"/>
  <c r="V79" i="16"/>
  <c r="V82" i="16"/>
  <c r="V63" i="16"/>
  <c r="V61" i="8"/>
  <c r="U21" i="21"/>
  <c r="U22" i="21" s="1"/>
  <c r="U24" i="21" s="1"/>
  <c r="B19" i="52"/>
  <c r="E60" i="8"/>
  <c r="H14" i="49"/>
  <c r="E63" i="8"/>
  <c r="E66" i="8" s="1"/>
  <c r="V79" i="25"/>
  <c r="V85" i="25"/>
  <c r="V80" i="25"/>
  <c r="V82" i="25"/>
  <c r="W63" i="20"/>
  <c r="G56" i="50"/>
  <c r="H56" i="50" s="1"/>
  <c r="G110" i="50"/>
  <c r="H110" i="50" s="1"/>
  <c r="G25" i="50"/>
  <c r="H25" i="50" s="1"/>
  <c r="K56" i="23"/>
  <c r="K54" i="23"/>
  <c r="Q269" i="49"/>
  <c r="J269" i="49"/>
  <c r="E269" i="50"/>
  <c r="G269" i="50" s="1"/>
  <c r="H269" i="50" s="1"/>
  <c r="E18" i="1"/>
  <c r="G22" i="50"/>
  <c r="H22" i="50" s="1"/>
  <c r="G19" i="52"/>
  <c r="H99" i="49"/>
  <c r="J75" i="8"/>
  <c r="J66" i="8"/>
  <c r="J63" i="8"/>
  <c r="J60" i="8" s="1"/>
  <c r="G178" i="50"/>
  <c r="H178" i="50" s="1"/>
  <c r="V19" i="15"/>
  <c r="V19" i="29"/>
  <c r="V20" i="29" s="1"/>
  <c r="G160" i="50"/>
  <c r="H160" i="50" s="1"/>
  <c r="J270" i="49"/>
  <c r="Q270" i="49" s="1"/>
  <c r="E19" i="1"/>
  <c r="E270" i="50"/>
  <c r="G270" i="50" s="1"/>
  <c r="H270" i="50" s="1"/>
  <c r="R11" i="52"/>
  <c r="H280" i="49"/>
  <c r="G90" i="50"/>
  <c r="H90" i="50" s="1"/>
  <c r="V19" i="28"/>
  <c r="V20" i="28" s="1"/>
  <c r="V44" i="8"/>
  <c r="V19" i="16"/>
  <c r="V14" i="8"/>
  <c r="T41" i="21"/>
  <c r="S73" i="23"/>
  <c r="S45" i="23"/>
  <c r="F50" i="29"/>
  <c r="J24" i="4" s="1"/>
  <c r="F52" i="29"/>
  <c r="Y38" i="30"/>
  <c r="Y33" i="30"/>
  <c r="Y28" i="30"/>
  <c r="Y16" i="30"/>
  <c r="Y36" i="30"/>
  <c r="Y31" i="30"/>
  <c r="Y15" i="30"/>
  <c r="Y62" i="30"/>
  <c r="Y44" i="30"/>
  <c r="Y37" i="30"/>
  <c r="Y18" i="30"/>
  <c r="Y61" i="30"/>
  <c r="Y72" i="30"/>
  <c r="Y32" i="30"/>
  <c r="Y23" i="30"/>
  <c r="Y14" i="30"/>
  <c r="Y13" i="30"/>
  <c r="Y34" i="30"/>
  <c r="Y27" i="30"/>
  <c r="Y35" i="30"/>
  <c r="Y29" i="30"/>
  <c r="Y30" i="30"/>
  <c r="Y17" i="30"/>
  <c r="Y60" i="30"/>
  <c r="Y43" i="30"/>
  <c r="Y47" i="30"/>
  <c r="Y75" i="30"/>
  <c r="Y66" i="30"/>
  <c r="X48" i="10"/>
  <c r="U48" i="10"/>
  <c r="T48" i="10"/>
  <c r="V48" i="10"/>
  <c r="W48" i="10"/>
  <c r="Y48" i="10"/>
  <c r="Z48" i="10"/>
  <c r="G142" i="50"/>
  <c r="H142" i="50" s="1"/>
  <c r="G91" i="50"/>
  <c r="H91" i="50" s="1"/>
  <c r="E54" i="20"/>
  <c r="G88" i="13"/>
  <c r="F64" i="29" s="1"/>
  <c r="F76" i="29" s="1"/>
  <c r="F77" i="29" s="1"/>
  <c r="F24" i="4" s="1"/>
  <c r="E147" i="14"/>
  <c r="S73" i="16"/>
  <c r="S45" i="16"/>
  <c r="V85" i="27"/>
  <c r="V79" i="27"/>
  <c r="V82" i="27"/>
  <c r="V80" i="27"/>
  <c r="G141" i="50"/>
  <c r="H141" i="50" s="1"/>
  <c r="X12" i="8"/>
  <c r="W72" i="8"/>
  <c r="W47" i="8"/>
  <c r="W43" i="8"/>
  <c r="G7" i="50"/>
  <c r="H7" i="50" s="1"/>
  <c r="V39" i="19"/>
  <c r="L54" i="15"/>
  <c r="O67" i="26"/>
  <c r="O68" i="26" s="1"/>
  <c r="C19" i="52"/>
  <c r="F63" i="8"/>
  <c r="F66" i="8" s="1"/>
  <c r="H31" i="49"/>
  <c r="F75" i="8"/>
  <c r="O19" i="52"/>
  <c r="H235" i="49"/>
  <c r="R63" i="8"/>
  <c r="R66" i="8" s="1"/>
  <c r="V19" i="25"/>
  <c r="V20" i="25" s="1"/>
  <c r="X39" i="26"/>
  <c r="G158" i="50"/>
  <c r="H158" i="50" s="1"/>
  <c r="V85" i="21"/>
  <c r="V79" i="21"/>
  <c r="V82" i="21"/>
  <c r="V80" i="21"/>
  <c r="T22" i="8"/>
  <c r="T24" i="8" s="1"/>
  <c r="H134" i="14"/>
  <c r="K58" i="13" s="1"/>
  <c r="J48" i="27" s="1"/>
  <c r="V23" i="8"/>
  <c r="V18" i="8"/>
  <c r="J88" i="14"/>
  <c r="J89" i="14"/>
  <c r="J90" i="14" s="1"/>
  <c r="J38" i="14"/>
  <c r="J44" i="14" s="1"/>
  <c r="M49" i="13" s="1"/>
  <c r="L48" i="18" s="1"/>
  <c r="J39" i="14"/>
  <c r="J40" i="14" s="1"/>
  <c r="V21" i="20"/>
  <c r="V22" i="20" s="1"/>
  <c r="V24" i="20" s="1"/>
  <c r="V41" i="20" s="1"/>
  <c r="T41" i="16"/>
  <c r="V19" i="31"/>
  <c r="V20" i="31" s="1"/>
  <c r="V63" i="22"/>
  <c r="G176" i="50"/>
  <c r="H176" i="50" s="1"/>
  <c r="X72" i="17"/>
  <c r="Y12" i="17"/>
  <c r="X44" i="17"/>
  <c r="X38" i="17"/>
  <c r="X34" i="17"/>
  <c r="X30" i="17"/>
  <c r="X16" i="17"/>
  <c r="X61" i="17"/>
  <c r="X35" i="17"/>
  <c r="X31" i="17"/>
  <c r="X27" i="17"/>
  <c r="X17" i="17"/>
  <c r="X13" i="17"/>
  <c r="X33" i="17"/>
  <c r="X23" i="17"/>
  <c r="X15" i="17"/>
  <c r="X62" i="17"/>
  <c r="X36" i="17"/>
  <c r="X28" i="17"/>
  <c r="X18" i="17"/>
  <c r="X29" i="17"/>
  <c r="X32" i="17"/>
  <c r="X14" i="17"/>
  <c r="X37" i="17"/>
  <c r="H148" i="14"/>
  <c r="H149" i="14" s="1"/>
  <c r="H150" i="14" s="1"/>
  <c r="X12" i="22"/>
  <c r="W37" i="22"/>
  <c r="W13" i="22"/>
  <c r="W62" i="22"/>
  <c r="W30" i="22"/>
  <c r="W28" i="22"/>
  <c r="W15" i="22"/>
  <c r="W17" i="22"/>
  <c r="W34" i="22"/>
  <c r="W32" i="22"/>
  <c r="W35" i="22"/>
  <c r="W36" i="22"/>
  <c r="W23" i="22"/>
  <c r="W29" i="22"/>
  <c r="W16" i="22"/>
  <c r="W33" i="22"/>
  <c r="W72" i="22"/>
  <c r="W27" i="22"/>
  <c r="W18" i="22"/>
  <c r="W38" i="22"/>
  <c r="W44" i="22"/>
  <c r="W31" i="22"/>
  <c r="W14" i="22"/>
  <c r="W61" i="22"/>
  <c r="F50" i="26"/>
  <c r="J21" i="4" s="1"/>
  <c r="F52" i="26"/>
  <c r="W39" i="20"/>
  <c r="W82" i="17"/>
  <c r="W79" i="17"/>
  <c r="W85" i="17"/>
  <c r="W80" i="17"/>
  <c r="I76" i="29"/>
  <c r="I77" i="29" s="1"/>
  <c r="G41" i="50"/>
  <c r="H41" i="50" s="1"/>
  <c r="G93" i="50"/>
  <c r="H93" i="50" s="1"/>
  <c r="B13" i="52"/>
  <c r="H10" i="49"/>
  <c r="E50" i="8"/>
  <c r="E52" i="8"/>
  <c r="J196" i="49"/>
  <c r="Q196" i="49"/>
  <c r="E196" i="50"/>
  <c r="G196" i="50" s="1"/>
  <c r="H196" i="50" s="1"/>
  <c r="P83" i="13"/>
  <c r="O64" i="24" s="1"/>
  <c r="N97" i="14"/>
  <c r="U19" i="8"/>
  <c r="U20" i="8" s="1"/>
  <c r="V79" i="8"/>
  <c r="V81" i="8"/>
  <c r="V83" i="8"/>
  <c r="V86" i="8"/>
  <c r="V19" i="23"/>
  <c r="V20" i="23" s="1"/>
  <c r="V39" i="23"/>
  <c r="J236" i="49"/>
  <c r="Q236" i="49" s="1"/>
  <c r="E236" i="50"/>
  <c r="G236" i="50" s="1"/>
  <c r="H236" i="50" s="1"/>
  <c r="S45" i="24"/>
  <c r="S73" i="24"/>
  <c r="E56" i="29"/>
  <c r="X19" i="30"/>
  <c r="X20" i="30" s="1"/>
  <c r="J168" i="49"/>
  <c r="Q168" i="49" s="1"/>
  <c r="E168" i="50"/>
  <c r="G168" i="50" s="1"/>
  <c r="H168" i="50" s="1"/>
  <c r="V63" i="29"/>
  <c r="G126" i="50"/>
  <c r="H126" i="50" s="1"/>
  <c r="V39" i="24"/>
  <c r="P19" i="52"/>
  <c r="H252" i="49"/>
  <c r="S60" i="8"/>
  <c r="S66" i="8"/>
  <c r="S63" i="8"/>
  <c r="S75" i="8" s="1"/>
  <c r="J54" i="28"/>
  <c r="J56" i="28" s="1"/>
  <c r="J168" i="14"/>
  <c r="J169" i="14"/>
  <c r="J170" i="14" s="1"/>
  <c r="V39" i="28"/>
  <c r="W61" i="16"/>
  <c r="W35" i="16"/>
  <c r="W31" i="16"/>
  <c r="W27" i="16"/>
  <c r="W17" i="16"/>
  <c r="W13" i="16"/>
  <c r="W62" i="16"/>
  <c r="W36" i="16"/>
  <c r="W32" i="16"/>
  <c r="W28" i="16"/>
  <c r="W18" i="16"/>
  <c r="W14" i="16"/>
  <c r="X12" i="16"/>
  <c r="W33" i="16"/>
  <c r="W23" i="16"/>
  <c r="W15" i="16"/>
  <c r="W44" i="16"/>
  <c r="W34" i="16"/>
  <c r="W16" i="16"/>
  <c r="W30" i="16"/>
  <c r="W37" i="16"/>
  <c r="W29" i="16"/>
  <c r="W38" i="16"/>
  <c r="W72" i="16"/>
  <c r="V28" i="8"/>
  <c r="S73" i="27"/>
  <c r="S45" i="27"/>
  <c r="S73" i="19"/>
  <c r="S45" i="19"/>
  <c r="W22" i="20"/>
  <c r="W24" i="20" s="1"/>
  <c r="W41" i="20" s="1"/>
  <c r="W21" i="20"/>
  <c r="V19" i="22"/>
  <c r="V20" i="22" s="1"/>
  <c r="J263" i="49"/>
  <c r="Q263" i="49" s="1"/>
  <c r="E263" i="50"/>
  <c r="G263" i="50" s="1"/>
  <c r="H263" i="50" s="1"/>
  <c r="U21" i="15"/>
  <c r="U22" i="15" s="1"/>
  <c r="U24" i="15" s="1"/>
  <c r="U41" i="15" s="1"/>
  <c r="X13" i="20"/>
  <c r="X62" i="20"/>
  <c r="X30" i="20"/>
  <c r="X28" i="20"/>
  <c r="X15" i="20"/>
  <c r="X72" i="20"/>
  <c r="X17" i="20"/>
  <c r="X34" i="20"/>
  <c r="X32" i="20"/>
  <c r="Y12" i="20"/>
  <c r="X38" i="20"/>
  <c r="X36" i="20"/>
  <c r="X23" i="20"/>
  <c r="X37" i="20"/>
  <c r="X44" i="20"/>
  <c r="X14" i="20"/>
  <c r="X18" i="20"/>
  <c r="X61" i="20"/>
  <c r="X63" i="20" s="1"/>
  <c r="X33" i="20"/>
  <c r="X16" i="20"/>
  <c r="X27" i="20"/>
  <c r="X31" i="20"/>
  <c r="X35" i="20"/>
  <c r="X29" i="20"/>
  <c r="X60" i="20"/>
  <c r="X43" i="20"/>
  <c r="X66" i="20"/>
  <c r="X47" i="20"/>
  <c r="X75" i="20"/>
  <c r="W39" i="17"/>
  <c r="P79" i="13"/>
  <c r="O64" i="20" s="1"/>
  <c r="N57" i="14"/>
  <c r="G58" i="50"/>
  <c r="H58" i="50" s="1"/>
  <c r="S73" i="31"/>
  <c r="S45" i="31"/>
  <c r="L76" i="13"/>
  <c r="K64" i="17" s="1"/>
  <c r="K76" i="17" s="1"/>
  <c r="K77" i="17" s="1"/>
  <c r="J27" i="14"/>
  <c r="J134" i="49"/>
  <c r="Q134" i="49" s="1"/>
  <c r="E134" i="50"/>
  <c r="G134" i="50" s="1"/>
  <c r="H134" i="50" s="1"/>
  <c r="X82" i="30"/>
  <c r="X80" i="30"/>
  <c r="X79" i="30"/>
  <c r="X85" i="30"/>
  <c r="W37" i="15"/>
  <c r="W33" i="15"/>
  <c r="W29" i="15"/>
  <c r="W23" i="15"/>
  <c r="W15" i="15"/>
  <c r="W72" i="15"/>
  <c r="X12" i="15"/>
  <c r="W44" i="15"/>
  <c r="W38" i="15"/>
  <c r="W34" i="15"/>
  <c r="W30" i="15"/>
  <c r="W16" i="15"/>
  <c r="W62" i="15"/>
  <c r="W61" i="15"/>
  <c r="W27" i="15"/>
  <c r="W13" i="15"/>
  <c r="W32" i="15"/>
  <c r="W18" i="15"/>
  <c r="W35" i="15"/>
  <c r="W31" i="15"/>
  <c r="W14" i="15"/>
  <c r="W17" i="15"/>
  <c r="W36" i="15"/>
  <c r="W28" i="15"/>
  <c r="G145" i="50"/>
  <c r="H145" i="50" s="1"/>
  <c r="K50" i="18"/>
  <c r="K52" i="18"/>
  <c r="X63" i="26"/>
  <c r="E67" i="26"/>
  <c r="E68" i="26" s="1"/>
  <c r="H158" i="14"/>
  <c r="H159" i="14" s="1"/>
  <c r="H160" i="14" s="1"/>
  <c r="V33" i="8"/>
  <c r="V32" i="8"/>
  <c r="J68" i="14"/>
  <c r="J74" i="14" s="1"/>
  <c r="M52" i="13" s="1"/>
  <c r="L48" i="21" s="1"/>
  <c r="J69" i="14"/>
  <c r="J70" i="14"/>
  <c r="T41" i="24"/>
  <c r="S73" i="21"/>
  <c r="S45" i="21"/>
  <c r="E118" i="14"/>
  <c r="Q9" i="52"/>
  <c r="H261" i="49"/>
  <c r="V39" i="22"/>
  <c r="O50" i="20"/>
  <c r="O52" i="20"/>
  <c r="G75" i="50"/>
  <c r="H75" i="50" s="1"/>
  <c r="G57" i="50"/>
  <c r="H57" i="50" s="1"/>
  <c r="G143" i="50"/>
  <c r="H143" i="50" s="1"/>
  <c r="V39" i="27"/>
  <c r="I67" i="22"/>
  <c r="I68" i="22" s="1"/>
  <c r="O10" i="52"/>
  <c r="H228" i="49"/>
  <c r="R73" i="8"/>
  <c r="R45" i="8"/>
  <c r="V63" i="23"/>
  <c r="J244" i="49"/>
  <c r="Q244" i="49" s="1"/>
  <c r="E244" i="50"/>
  <c r="G244" i="50" s="1"/>
  <c r="H244" i="50" s="1"/>
  <c r="J67" i="31"/>
  <c r="J68" i="31" s="1"/>
  <c r="F174" i="14"/>
  <c r="I62" i="13" s="1"/>
  <c r="H48" i="31" s="1"/>
  <c r="W72" i="19"/>
  <c r="X12" i="19"/>
  <c r="W37" i="19"/>
  <c r="W13" i="19"/>
  <c r="W62" i="19"/>
  <c r="W28" i="19"/>
  <c r="W30" i="19"/>
  <c r="W17" i="19"/>
  <c r="W15" i="19"/>
  <c r="W32" i="19"/>
  <c r="W34" i="19"/>
  <c r="W18" i="19"/>
  <c r="W35" i="19"/>
  <c r="W61" i="19"/>
  <c r="W23" i="19"/>
  <c r="W29" i="19"/>
  <c r="W16" i="19"/>
  <c r="W38" i="19"/>
  <c r="W31" i="19"/>
  <c r="W44" i="19"/>
  <c r="W14" i="19"/>
  <c r="W27" i="19"/>
  <c r="W33" i="19"/>
  <c r="W36" i="19"/>
  <c r="V82" i="15"/>
  <c r="V85" i="15"/>
  <c r="V79" i="15"/>
  <c r="V80" i="15"/>
  <c r="V39" i="29"/>
  <c r="J50" i="16"/>
  <c r="J52" i="16"/>
  <c r="W37" i="24"/>
  <c r="W33" i="24"/>
  <c r="W29" i="24"/>
  <c r="W23" i="24"/>
  <c r="W15" i="24"/>
  <c r="W44" i="24"/>
  <c r="W16" i="24"/>
  <c r="W14" i="24"/>
  <c r="W35" i="24"/>
  <c r="W34" i="24"/>
  <c r="W18" i="24"/>
  <c r="W13" i="24"/>
  <c r="W62" i="24"/>
  <c r="W38" i="24"/>
  <c r="W17" i="24"/>
  <c r="X12" i="24"/>
  <c r="W28" i="24"/>
  <c r="W61" i="24"/>
  <c r="W36" i="24"/>
  <c r="W31" i="24"/>
  <c r="W27" i="24"/>
  <c r="W72" i="24"/>
  <c r="W32" i="24"/>
  <c r="W30" i="24"/>
  <c r="W60" i="24"/>
  <c r="W43" i="24"/>
  <c r="W75" i="24"/>
  <c r="W66" i="24"/>
  <c r="W47" i="24"/>
  <c r="V63" i="24"/>
  <c r="F67" i="31"/>
  <c r="F68" i="31" s="1"/>
  <c r="X20" i="26"/>
  <c r="G60" i="50"/>
  <c r="H60" i="50" s="1"/>
  <c r="I76" i="30"/>
  <c r="I77" i="30" s="1"/>
  <c r="G162" i="50"/>
  <c r="H162" i="50" s="1"/>
  <c r="D64" i="14"/>
  <c r="G51" i="13" s="1"/>
  <c r="F48" i="20" s="1"/>
  <c r="V16" i="8"/>
  <c r="V36" i="8"/>
  <c r="S45" i="25"/>
  <c r="S73" i="25"/>
  <c r="U41" i="17"/>
  <c r="F82" i="26"/>
  <c r="F21" i="4"/>
  <c r="V82" i="31"/>
  <c r="V80" i="31"/>
  <c r="V85" i="31"/>
  <c r="V79" i="31"/>
  <c r="G124" i="50"/>
  <c r="H124" i="50" s="1"/>
  <c r="G73" i="50"/>
  <c r="H73" i="50" s="1"/>
  <c r="G76" i="50"/>
  <c r="H76" i="50" s="1"/>
  <c r="I19" i="52"/>
  <c r="H133" i="49"/>
  <c r="L63" i="8"/>
  <c r="L66" i="8" s="1"/>
  <c r="L60" i="8"/>
  <c r="H19" i="52"/>
  <c r="H116" i="49"/>
  <c r="K63" i="8"/>
  <c r="K75" i="8" s="1"/>
  <c r="K66" i="8"/>
  <c r="K60" i="8"/>
  <c r="J226" i="49"/>
  <c r="Q226" i="49" s="1"/>
  <c r="E226" i="50"/>
  <c r="G226" i="50" s="1"/>
  <c r="H226" i="50" s="1"/>
  <c r="W44" i="23"/>
  <c r="W38" i="23"/>
  <c r="W34" i="23"/>
  <c r="W30" i="23"/>
  <c r="W16" i="23"/>
  <c r="W14" i="23"/>
  <c r="W35" i="23"/>
  <c r="W33" i="23"/>
  <c r="W27" i="23"/>
  <c r="W36" i="23"/>
  <c r="W31" i="23"/>
  <c r="W15" i="23"/>
  <c r="W72" i="23"/>
  <c r="W62" i="23"/>
  <c r="W17" i="23"/>
  <c r="W37" i="23"/>
  <c r="X12" i="23"/>
  <c r="W13" i="23"/>
  <c r="W18" i="23"/>
  <c r="W61" i="23"/>
  <c r="W63" i="23" s="1"/>
  <c r="W29" i="23"/>
  <c r="W28" i="23"/>
  <c r="W23" i="23"/>
  <c r="W32" i="23"/>
  <c r="J15" i="49"/>
  <c r="Q15" i="49" s="1"/>
  <c r="B19" i="1"/>
  <c r="E15" i="50"/>
  <c r="G15" i="50" s="1"/>
  <c r="H15" i="50" s="1"/>
  <c r="J19" i="52"/>
  <c r="H150" i="49"/>
  <c r="M63" i="8"/>
  <c r="M66" i="8"/>
  <c r="M60" i="8"/>
  <c r="V20" i="19"/>
  <c r="G9" i="50"/>
  <c r="H9" i="50" s="1"/>
  <c r="V19" i="24"/>
  <c r="V20" i="24" s="1"/>
  <c r="G177" i="50"/>
  <c r="H177" i="50" s="1"/>
  <c r="V39" i="25"/>
  <c r="M19" i="52"/>
  <c r="H201" i="49"/>
  <c r="P63" i="8"/>
  <c r="I50" i="30"/>
  <c r="I52" i="30"/>
  <c r="V34" i="8"/>
  <c r="V62" i="8"/>
  <c r="G40" i="50"/>
  <c r="H40" i="50" s="1"/>
  <c r="M78" i="13"/>
  <c r="L64" i="19" s="1"/>
  <c r="L76" i="19" s="1"/>
  <c r="L77" i="19" s="1"/>
  <c r="K47" i="14"/>
  <c r="V79" i="23"/>
  <c r="V85" i="23"/>
  <c r="V80" i="23"/>
  <c r="V82" i="23"/>
  <c r="U39" i="8"/>
  <c r="I67" i="27"/>
  <c r="I68" i="27" s="1"/>
  <c r="K50" i="17"/>
  <c r="K52" i="17"/>
  <c r="F67" i="30"/>
  <c r="F68" i="30" s="1"/>
  <c r="N12" i="52"/>
  <c r="H213" i="49"/>
  <c r="V20" i="15"/>
  <c r="W62" i="29"/>
  <c r="W44" i="29"/>
  <c r="W15" i="29"/>
  <c r="W36" i="29"/>
  <c r="W33" i="29"/>
  <c r="W27" i="29"/>
  <c r="W16" i="29"/>
  <c r="W13" i="29"/>
  <c r="W38" i="29"/>
  <c r="W35" i="29"/>
  <c r="W72" i="29"/>
  <c r="W28" i="29"/>
  <c r="W14" i="29"/>
  <c r="W31" i="29"/>
  <c r="W29" i="29"/>
  <c r="W61" i="29"/>
  <c r="W32" i="29"/>
  <c r="W23" i="29"/>
  <c r="W18" i="29"/>
  <c r="W34" i="29"/>
  <c r="W37" i="29"/>
  <c r="W17" i="29"/>
  <c r="X12" i="29"/>
  <c r="W30" i="29"/>
  <c r="W60" i="29"/>
  <c r="W47" i="29"/>
  <c r="W43" i="29"/>
  <c r="W75" i="29"/>
  <c r="W66" i="29"/>
  <c r="L19" i="52"/>
  <c r="H184" i="49"/>
  <c r="O63" i="8"/>
  <c r="O75" i="8" s="1"/>
  <c r="T41" i="28"/>
  <c r="Y72" i="26"/>
  <c r="Y35" i="26"/>
  <c r="Y33" i="26"/>
  <c r="Y62" i="26"/>
  <c r="Y28" i="26"/>
  <c r="Y31" i="26"/>
  <c r="Y15" i="26"/>
  <c r="Y30" i="26"/>
  <c r="Y14" i="26"/>
  <c r="Y34" i="26"/>
  <c r="Y23" i="26"/>
  <c r="Y18" i="26"/>
  <c r="Y13" i="26"/>
  <c r="Y36" i="26"/>
  <c r="Y29" i="26"/>
  <c r="Y17" i="26"/>
  <c r="Y44" i="26"/>
  <c r="Y27" i="26"/>
  <c r="Y16" i="26"/>
  <c r="Y38" i="26"/>
  <c r="Y37" i="26"/>
  <c r="Y61" i="26"/>
  <c r="Y63" i="26" s="1"/>
  <c r="Y32" i="26"/>
  <c r="Y47" i="26"/>
  <c r="Y66" i="26"/>
  <c r="Y75" i="26"/>
  <c r="Y43" i="26"/>
  <c r="Y60" i="26"/>
  <c r="AA44" i="10"/>
  <c r="V44" i="10"/>
  <c r="Y44" i="10"/>
  <c r="W44" i="10"/>
  <c r="X44" i="10"/>
  <c r="T44" i="10"/>
  <c r="Z44" i="10"/>
  <c r="J67" i="18"/>
  <c r="J68" i="18" s="1"/>
  <c r="F67" i="28"/>
  <c r="F68" i="28" s="1"/>
  <c r="I144" i="14"/>
  <c r="L59" i="13" s="1"/>
  <c r="K48" i="28" s="1"/>
  <c r="G175" i="50"/>
  <c r="H175" i="50" s="1"/>
  <c r="W61" i="28"/>
  <c r="X12" i="28"/>
  <c r="W18" i="28"/>
  <c r="W35" i="28"/>
  <c r="W33" i="28"/>
  <c r="W37" i="28"/>
  <c r="W13" i="28"/>
  <c r="W62" i="28"/>
  <c r="W44" i="28"/>
  <c r="W28" i="28"/>
  <c r="W29" i="28"/>
  <c r="W16" i="28"/>
  <c r="W15" i="28"/>
  <c r="W38" i="28"/>
  <c r="W27" i="28"/>
  <c r="W14" i="28"/>
  <c r="W36" i="28"/>
  <c r="W17" i="28"/>
  <c r="W72" i="28"/>
  <c r="W31" i="28"/>
  <c r="W32" i="28"/>
  <c r="W34" i="28"/>
  <c r="W30" i="28"/>
  <c r="W23" i="28"/>
  <c r="W66" i="28"/>
  <c r="W75" i="28"/>
  <c r="W47" i="28"/>
  <c r="W60" i="28"/>
  <c r="W43" i="28"/>
  <c r="V30" i="8"/>
  <c r="V20" i="16"/>
  <c r="V13" i="8"/>
  <c r="U41" i="20"/>
  <c r="J108" i="14"/>
  <c r="J109" i="14"/>
  <c r="J110" i="14"/>
  <c r="T41" i="19"/>
  <c r="T41" i="22"/>
  <c r="G5" i="50"/>
  <c r="H5" i="50" s="1"/>
  <c r="G59" i="50"/>
  <c r="H59" i="50" s="1"/>
  <c r="V19" i="27"/>
  <c r="V20" i="27" s="1"/>
  <c r="W62" i="27"/>
  <c r="W36" i="27"/>
  <c r="W32" i="27"/>
  <c r="W28" i="27"/>
  <c r="W18" i="27"/>
  <c r="W14" i="27"/>
  <c r="W33" i="27"/>
  <c r="W31" i="27"/>
  <c r="W35" i="27"/>
  <c r="W34" i="27"/>
  <c r="W44" i="27"/>
  <c r="W30" i="27"/>
  <c r="W13" i="27"/>
  <c r="W29" i="27"/>
  <c r="W38" i="27"/>
  <c r="W17" i="27"/>
  <c r="W23" i="27"/>
  <c r="W16" i="27"/>
  <c r="W61" i="27"/>
  <c r="W37" i="27"/>
  <c r="W15" i="27"/>
  <c r="W72" i="27"/>
  <c r="X12" i="27"/>
  <c r="W27" i="27"/>
  <c r="J202" i="49"/>
  <c r="Q202" i="49" s="1"/>
  <c r="E202" i="50"/>
  <c r="G202" i="50" s="1"/>
  <c r="H202" i="50" s="1"/>
  <c r="J151" i="49"/>
  <c r="Q151" i="49" s="1"/>
  <c r="E151" i="50"/>
  <c r="G151" i="50" s="1"/>
  <c r="H151" i="50" s="1"/>
  <c r="R19" i="52"/>
  <c r="H286" i="49"/>
  <c r="U63" i="8"/>
  <c r="U66" i="8"/>
  <c r="V39" i="15"/>
  <c r="I50" i="29"/>
  <c r="M3" i="29" s="1"/>
  <c r="I52" i="29"/>
  <c r="G24" i="50"/>
  <c r="H24" i="50" s="1"/>
  <c r="V20" i="21"/>
  <c r="G227" i="50"/>
  <c r="H227" i="50" s="1"/>
  <c r="K50" i="31"/>
  <c r="K52" i="31"/>
  <c r="V63" i="28"/>
  <c r="J67" i="17"/>
  <c r="J68" i="17" s="1"/>
  <c r="V38" i="8"/>
  <c r="V17" i="8"/>
  <c r="S73" i="29"/>
  <c r="S45" i="29"/>
  <c r="I19" i="14"/>
  <c r="I20" i="14"/>
  <c r="I18" i="14"/>
  <c r="V73" i="26"/>
  <c r="V45" i="26"/>
  <c r="W72" i="31"/>
  <c r="X12" i="31"/>
  <c r="W33" i="31"/>
  <c r="W28" i="31"/>
  <c r="W16" i="31"/>
  <c r="W61" i="31"/>
  <c r="W36" i="31"/>
  <c r="W31" i="31"/>
  <c r="W34" i="31"/>
  <c r="W15" i="31"/>
  <c r="W14" i="31"/>
  <c r="W30" i="31"/>
  <c r="W29" i="31"/>
  <c r="W27" i="31"/>
  <c r="W62" i="31"/>
  <c r="W18" i="31"/>
  <c r="W38" i="31"/>
  <c r="W44" i="31"/>
  <c r="W35" i="31"/>
  <c r="W23" i="31"/>
  <c r="W32" i="31"/>
  <c r="W37" i="31"/>
  <c r="W13" i="31"/>
  <c r="W17" i="31"/>
  <c r="W75" i="31"/>
  <c r="W60" i="31"/>
  <c r="W66" i="31"/>
  <c r="W43" i="31"/>
  <c r="W47" i="31"/>
  <c r="W79" i="20"/>
  <c r="W85" i="20"/>
  <c r="W82" i="20"/>
  <c r="W80" i="20"/>
  <c r="T41" i="31"/>
  <c r="V39" i="31"/>
  <c r="J56" i="25"/>
  <c r="K50" i="25"/>
  <c r="K52" i="25"/>
  <c r="V80" i="22"/>
  <c r="V85" i="22"/>
  <c r="V82" i="22"/>
  <c r="V79" i="22"/>
  <c r="W19" i="17"/>
  <c r="W20" i="17" s="1"/>
  <c r="J219" i="49"/>
  <c r="Q219" i="49" s="1"/>
  <c r="E219" i="50"/>
  <c r="G219" i="50" s="1"/>
  <c r="H219" i="50" s="1"/>
  <c r="G125" i="50"/>
  <c r="H125" i="50" s="1"/>
  <c r="G6" i="50"/>
  <c r="H6" i="50" s="1"/>
  <c r="J66" i="49"/>
  <c r="Q66" i="49" s="1"/>
  <c r="E66" i="50"/>
  <c r="G66" i="50" s="1"/>
  <c r="H66" i="50" s="1"/>
  <c r="R45" i="29"/>
  <c r="R73" i="29"/>
  <c r="J54" i="14"/>
  <c r="M50" i="13" s="1"/>
  <c r="L48" i="19" s="1"/>
  <c r="Q23" i="52"/>
  <c r="Q22" i="52"/>
  <c r="Q21" i="52"/>
  <c r="H273" i="49"/>
  <c r="H272" i="49"/>
  <c r="H271" i="49"/>
  <c r="G50" i="30"/>
  <c r="G52" i="30"/>
  <c r="J211" i="49"/>
  <c r="Q211" i="49"/>
  <c r="E211" i="50"/>
  <c r="G211" i="50" s="1"/>
  <c r="H211" i="50" s="1"/>
  <c r="V85" i="29"/>
  <c r="V82" i="29"/>
  <c r="V79" i="29"/>
  <c r="V80" i="29"/>
  <c r="G109" i="50"/>
  <c r="H109" i="50" s="1"/>
  <c r="W44" i="25"/>
  <c r="W31" i="25"/>
  <c r="W18" i="25"/>
  <c r="W16" i="25"/>
  <c r="W37" i="25"/>
  <c r="X12" i="25"/>
  <c r="W61" i="25"/>
  <c r="W32" i="25"/>
  <c r="W36" i="25"/>
  <c r="W27" i="25"/>
  <c r="W15" i="25"/>
  <c r="W38" i="25"/>
  <c r="W33" i="25"/>
  <c r="W28" i="25"/>
  <c r="W62" i="25"/>
  <c r="W29" i="25"/>
  <c r="W30" i="25"/>
  <c r="W23" i="25"/>
  <c r="W72" i="25"/>
  <c r="W35" i="25"/>
  <c r="W17" i="25"/>
  <c r="W34" i="25"/>
  <c r="W13" i="25"/>
  <c r="W14" i="25"/>
  <c r="V63" i="25"/>
  <c r="J32" i="49"/>
  <c r="Q32" i="49" s="1"/>
  <c r="E32" i="50"/>
  <c r="G32" i="50" s="1"/>
  <c r="H32" i="50" s="1"/>
  <c r="G54" i="31"/>
  <c r="G56" i="31"/>
  <c r="K9" i="14"/>
  <c r="K10" i="14" s="1"/>
  <c r="K8" i="14"/>
  <c r="V39" i="16"/>
  <c r="V27" i="8"/>
  <c r="J76" i="16"/>
  <c r="J77" i="16" s="1"/>
  <c r="S45" i="28"/>
  <c r="S73" i="28"/>
  <c r="I79" i="14"/>
  <c r="I80" i="14" s="1"/>
  <c r="I78" i="14"/>
  <c r="I84" i="14" s="1"/>
  <c r="L53" i="13" s="1"/>
  <c r="K48" i="22" s="1"/>
  <c r="H1418" i="49"/>
  <c r="H1403" i="49"/>
  <c r="H979" i="49"/>
  <c r="V8" i="51"/>
  <c r="H1433" i="49"/>
  <c r="H3665" i="49"/>
  <c r="H4595" i="49"/>
  <c r="H2715" i="49"/>
  <c r="H2848" i="49"/>
  <c r="X20" i="51"/>
  <c r="H3496" i="49"/>
  <c r="H1692" i="49"/>
  <c r="H1915" i="49"/>
  <c r="E283" i="46"/>
  <c r="L13" i="39"/>
  <c r="H4951" i="49"/>
  <c r="H4950" i="49"/>
  <c r="H980" i="49"/>
  <c r="X16" i="51"/>
  <c r="H4084" i="49"/>
  <c r="H4083" i="49"/>
  <c r="H1285" i="49"/>
  <c r="H4144" i="49"/>
  <c r="H4150" i="49"/>
  <c r="H5160" i="49"/>
  <c r="H1146" i="49"/>
  <c r="H4662" i="49"/>
  <c r="H4661" i="49"/>
  <c r="E698" i="46"/>
  <c r="H973" i="49"/>
  <c r="H972" i="49"/>
  <c r="H2270" i="49"/>
  <c r="H4158" i="49"/>
  <c r="H4414" i="49"/>
  <c r="E699" i="46"/>
  <c r="T18" i="51"/>
  <c r="H855" i="49"/>
  <c r="H3489" i="49"/>
  <c r="H3488" i="49"/>
  <c r="E546" i="46"/>
  <c r="H2136" i="49"/>
  <c r="H667" i="49"/>
  <c r="H666" i="49"/>
  <c r="E82" i="46"/>
  <c r="H3456" i="49"/>
  <c r="V14" i="51"/>
  <c r="H2424" i="49"/>
  <c r="H2013" i="49"/>
  <c r="H840" i="49"/>
  <c r="W7" i="51"/>
  <c r="H4143" i="49"/>
  <c r="W10" i="51"/>
  <c r="E756" i="46"/>
  <c r="V21" i="51"/>
  <c r="H5190" i="49"/>
  <c r="H2917" i="49"/>
  <c r="H2300" i="49"/>
  <c r="V13" i="51"/>
  <c r="H1568" i="49"/>
  <c r="H1567" i="49"/>
  <c r="V11" i="51"/>
  <c r="E481" i="46"/>
  <c r="H2401" i="49"/>
  <c r="H2400" i="49"/>
  <c r="E370" i="46"/>
  <c r="H2285" i="49"/>
  <c r="H3852" i="49"/>
  <c r="H1262" i="49"/>
  <c r="H1261" i="49"/>
  <c r="H825" i="49"/>
  <c r="E708" i="46"/>
  <c r="H3137" i="49"/>
  <c r="V6" i="51"/>
  <c r="E289" i="46"/>
  <c r="H1761" i="49"/>
  <c r="H4565" i="49"/>
  <c r="H4669" i="49"/>
  <c r="H3167" i="49"/>
  <c r="H2902" i="49"/>
  <c r="E444" i="46"/>
  <c r="H4004" i="49"/>
  <c r="H1269" i="49"/>
  <c r="H2152" i="49"/>
  <c r="H4019" i="49"/>
  <c r="H4091" i="49"/>
  <c r="H4672" i="49"/>
  <c r="E474" i="46"/>
  <c r="M17" i="39"/>
  <c r="H2559" i="49"/>
  <c r="H4363" i="49"/>
  <c r="H5019" i="49"/>
  <c r="H5018" i="49"/>
  <c r="V9" i="51"/>
  <c r="H3426" i="49"/>
  <c r="H4703" i="49"/>
  <c r="E747" i="46"/>
  <c r="H1707" i="49"/>
  <c r="V17" i="51"/>
  <c r="H4582" i="49"/>
  <c r="H3283" i="49"/>
  <c r="H3277" i="49"/>
  <c r="H4293" i="49"/>
  <c r="H4974" i="49"/>
  <c r="H1574" i="49"/>
  <c r="H4959" i="49"/>
  <c r="H3441" i="49"/>
  <c r="H2863" i="49"/>
  <c r="T19" i="51"/>
  <c r="H2716" i="49"/>
  <c r="H2722" i="49"/>
  <c r="H3152" i="49"/>
  <c r="E282" i="46"/>
  <c r="M13" i="39"/>
  <c r="H674" i="49"/>
  <c r="H3846" i="49"/>
  <c r="H3845" i="49"/>
  <c r="E610" i="46"/>
  <c r="H4308" i="49"/>
  <c r="H2574" i="49"/>
  <c r="H5026" i="49"/>
  <c r="H3292" i="49"/>
  <c r="H4960" i="49"/>
  <c r="H4966" i="49"/>
  <c r="H2408" i="49"/>
  <c r="H3071" i="49"/>
  <c r="E475" i="46"/>
  <c r="L17" i="39"/>
  <c r="V12" i="51"/>
  <c r="H4348" i="49"/>
  <c r="H4354" i="49"/>
  <c r="E685" i="46"/>
  <c r="V15" i="51"/>
  <c r="H1746" i="49"/>
  <c r="E252" i="46"/>
  <c r="H3659" i="49"/>
  <c r="H3658" i="49"/>
  <c r="E578" i="46"/>
  <c r="H1131" i="49"/>
  <c r="H5175" i="49"/>
  <c r="E746" i="46"/>
  <c r="H2878" i="49"/>
  <c r="H4034" i="49"/>
  <c r="H1722" i="49"/>
  <c r="H2909" i="49"/>
  <c r="H2903" i="49"/>
  <c r="E445" i="46"/>
  <c r="H2589" i="49"/>
  <c r="H4612" i="49"/>
  <c r="Q1433" i="49" l="1"/>
  <c r="J1433" i="49"/>
  <c r="J979" i="49"/>
  <c r="Q979" i="49"/>
  <c r="J1403" i="49"/>
  <c r="Q1403" i="49" s="1"/>
  <c r="J1418" i="49"/>
  <c r="Q1418" i="49" s="1"/>
  <c r="U41" i="18"/>
  <c r="V21" i="18"/>
  <c r="V22" i="18" s="1"/>
  <c r="V24" i="18" s="1"/>
  <c r="V41" i="18" s="1"/>
  <c r="M3" i="26"/>
  <c r="W19" i="18"/>
  <c r="W39" i="18"/>
  <c r="W19" i="29"/>
  <c r="W63" i="24"/>
  <c r="W63" i="19"/>
  <c r="W63" i="22"/>
  <c r="W19" i="22"/>
  <c r="R75" i="8"/>
  <c r="E75" i="8"/>
  <c r="X32" i="18"/>
  <c r="X31" i="18"/>
  <c r="X28" i="18"/>
  <c r="X13" i="18"/>
  <c r="X18" i="18"/>
  <c r="X34" i="18"/>
  <c r="X14" i="18"/>
  <c r="X16" i="18"/>
  <c r="X62" i="18"/>
  <c r="X44" i="18"/>
  <c r="X37" i="18"/>
  <c r="X38" i="18"/>
  <c r="X33" i="18"/>
  <c r="X30" i="18"/>
  <c r="X29" i="18"/>
  <c r="X61" i="18"/>
  <c r="X63" i="18" s="1"/>
  <c r="X23" i="18"/>
  <c r="X27" i="18"/>
  <c r="X15" i="18"/>
  <c r="X17" i="18"/>
  <c r="X72" i="18"/>
  <c r="X35" i="18"/>
  <c r="X36" i="18"/>
  <c r="Y12" i="18"/>
  <c r="S22" i="13"/>
  <c r="W20" i="18"/>
  <c r="W21" i="18" s="1"/>
  <c r="W22" i="18" s="1"/>
  <c r="W24" i="18" s="1"/>
  <c r="W41" i="18" s="1"/>
  <c r="D9" i="47"/>
  <c r="E9" i="47" s="1"/>
  <c r="Y39" i="26"/>
  <c r="K14" i="14"/>
  <c r="N46" i="13" s="1"/>
  <c r="M48" i="15" s="1"/>
  <c r="T73" i="18"/>
  <c r="T45" i="18"/>
  <c r="X36" i="10"/>
  <c r="W80" i="18"/>
  <c r="W79" i="18"/>
  <c r="W85" i="18"/>
  <c r="W82" i="18"/>
  <c r="W39" i="23"/>
  <c r="W39" i="24"/>
  <c r="W39" i="15"/>
  <c r="J4612" i="49"/>
  <c r="Q4612" i="49" s="1"/>
  <c r="J2589" i="49"/>
  <c r="Q2589" i="49"/>
  <c r="J445" i="46"/>
  <c r="Q2903" i="49"/>
  <c r="J2903" i="49"/>
  <c r="J2909" i="49"/>
  <c r="Q2909" i="49" s="1"/>
  <c r="J1722" i="49"/>
  <c r="Q1722" i="49" s="1"/>
  <c r="Q4034" i="49"/>
  <c r="J4034" i="49"/>
  <c r="J2878" i="49"/>
  <c r="Q2878" i="49" s="1"/>
  <c r="J746" i="46"/>
  <c r="J5175" i="49"/>
  <c r="Q5175" i="49" s="1"/>
  <c r="J1131" i="49"/>
  <c r="Q1131" i="49" s="1"/>
  <c r="J578" i="46"/>
  <c r="J3658" i="49"/>
  <c r="Q3658" i="49"/>
  <c r="Q3659" i="49"/>
  <c r="J3659" i="49"/>
  <c r="J252" i="46"/>
  <c r="J1746" i="49"/>
  <c r="Q1746" i="49"/>
  <c r="F12" i="50"/>
  <c r="J685" i="46"/>
  <c r="J4354" i="49"/>
  <c r="Q4354" i="49" s="1"/>
  <c r="Q4348" i="49"/>
  <c r="J4348" i="49"/>
  <c r="P17" i="39"/>
  <c r="S17" i="39" s="1"/>
  <c r="U17" i="39" s="1"/>
  <c r="X17" i="39"/>
  <c r="J475" i="46"/>
  <c r="J3071" i="49"/>
  <c r="Q3071" i="49" s="1"/>
  <c r="J2408" i="49"/>
  <c r="Q2408" i="49" s="1"/>
  <c r="J4966" i="49"/>
  <c r="Q4966" i="49" s="1"/>
  <c r="J4960" i="49"/>
  <c r="Q4960" i="49" s="1"/>
  <c r="J3292" i="49"/>
  <c r="Q3292" i="49" s="1"/>
  <c r="Q5026" i="49"/>
  <c r="J5026" i="49"/>
  <c r="J2574" i="49"/>
  <c r="Q2574" i="49" s="1"/>
  <c r="J4308" i="49"/>
  <c r="Q4308" i="49" s="1"/>
  <c r="J610" i="46"/>
  <c r="J3845" i="49"/>
  <c r="Q3845" i="49" s="1"/>
  <c r="J3846" i="49"/>
  <c r="Q3846" i="49" s="1"/>
  <c r="Q674" i="49"/>
  <c r="J674" i="49"/>
  <c r="Q13" i="39"/>
  <c r="J282" i="46"/>
  <c r="J3152" i="49"/>
  <c r="Q3152" i="49" s="1"/>
  <c r="J2722" i="49"/>
  <c r="Q2722" i="49" s="1"/>
  <c r="J2716" i="49"/>
  <c r="Q2716" i="49" s="1"/>
  <c r="J2863" i="49"/>
  <c r="Q2863" i="49"/>
  <c r="J3441" i="49"/>
  <c r="Q3441" i="49" s="1"/>
  <c r="Q4959" i="49"/>
  <c r="J4959" i="49"/>
  <c r="J1574" i="49"/>
  <c r="Q1574" i="49"/>
  <c r="Q4974" i="49"/>
  <c r="J4974" i="49"/>
  <c r="J4293" i="49"/>
  <c r="Q4293" i="49" s="1"/>
  <c r="J3277" i="49"/>
  <c r="Q3277" i="49" s="1"/>
  <c r="Q3283" i="49"/>
  <c r="J3283" i="49"/>
  <c r="Q4582" i="49"/>
  <c r="J4582" i="49"/>
  <c r="J1707" i="49"/>
  <c r="Q1707" i="49" s="1"/>
  <c r="J747" i="46"/>
  <c r="J4703" i="49"/>
  <c r="Q4703" i="49"/>
  <c r="Q3426" i="49"/>
  <c r="J3426" i="49"/>
  <c r="J5018" i="49"/>
  <c r="Q5018" i="49" s="1"/>
  <c r="J5019" i="49"/>
  <c r="Q5019" i="49" s="1"/>
  <c r="J4363" i="49"/>
  <c r="Q4363" i="49" s="1"/>
  <c r="J2559" i="49"/>
  <c r="Q2559" i="49" s="1"/>
  <c r="Q17" i="39"/>
  <c r="J474" i="46"/>
  <c r="Q4672" i="49"/>
  <c r="J4672" i="49"/>
  <c r="F48" i="50"/>
  <c r="J4091" i="49"/>
  <c r="Q4091" i="49" s="1"/>
  <c r="Q4019" i="49"/>
  <c r="J4019" i="49"/>
  <c r="J2152" i="49"/>
  <c r="Q2152" i="49" s="1"/>
  <c r="Q1269" i="49"/>
  <c r="J1269" i="49"/>
  <c r="J4004" i="49"/>
  <c r="Q4004" i="49" s="1"/>
  <c r="J444" i="46"/>
  <c r="J2902" i="49"/>
  <c r="Q2902" i="49" s="1"/>
  <c r="J3167" i="49"/>
  <c r="Q3167" i="49" s="1"/>
  <c r="J4669" i="49"/>
  <c r="Q4669" i="49"/>
  <c r="Q4565" i="49"/>
  <c r="J4565" i="49"/>
  <c r="F230" i="50"/>
  <c r="Q1761" i="49"/>
  <c r="J1761" i="49"/>
  <c r="F27" i="50"/>
  <c r="J289" i="46"/>
  <c r="J3137" i="49"/>
  <c r="Q3137" i="49" s="1"/>
  <c r="J708" i="46"/>
  <c r="J825" i="49"/>
  <c r="Q825" i="49" s="1"/>
  <c r="F247" i="50"/>
  <c r="J1261" i="49"/>
  <c r="Q1261" i="49" s="1"/>
  <c r="J1262" i="49"/>
  <c r="Q1262" i="49" s="1"/>
  <c r="J3852" i="49"/>
  <c r="Q3852" i="49"/>
  <c r="Q2285" i="49"/>
  <c r="J2285" i="49"/>
  <c r="J370" i="46"/>
  <c r="J2400" i="49"/>
  <c r="Q2400" i="49" s="1"/>
  <c r="J2401" i="49"/>
  <c r="Q2401" i="49" s="1"/>
  <c r="J481" i="46"/>
  <c r="Q1567" i="49"/>
  <c r="J1567" i="49"/>
  <c r="J1568" i="49"/>
  <c r="Q1568" i="49" s="1"/>
  <c r="J2300" i="49"/>
  <c r="Q2300" i="49" s="1"/>
  <c r="Q2917" i="49"/>
  <c r="J2917" i="49"/>
  <c r="J5190" i="49"/>
  <c r="Q5190" i="49" s="1"/>
  <c r="J756" i="46"/>
  <c r="Q4143" i="49"/>
  <c r="J4143" i="49"/>
  <c r="Q840" i="49"/>
  <c r="J840" i="49"/>
  <c r="Q2013" i="49"/>
  <c r="J2013" i="49"/>
  <c r="J2424" i="49"/>
  <c r="Q2424" i="49" s="1"/>
  <c r="J3456" i="49"/>
  <c r="Q3456" i="49" s="1"/>
  <c r="J82" i="46"/>
  <c r="J666" i="49"/>
  <c r="Q666" i="49" s="1"/>
  <c r="J667" i="49"/>
  <c r="Q667" i="49" s="1"/>
  <c r="J2136" i="49"/>
  <c r="Q2136" i="49" s="1"/>
  <c r="J546" i="46"/>
  <c r="J3488" i="49"/>
  <c r="Q3488" i="49" s="1"/>
  <c r="Q3489" i="49"/>
  <c r="J3489" i="49"/>
  <c r="J855" i="49"/>
  <c r="Q855" i="49"/>
  <c r="J699" i="46"/>
  <c r="J4414" i="49"/>
  <c r="Q4414" i="49" s="1"/>
  <c r="J4158" i="49"/>
  <c r="Q4158" i="49" s="1"/>
  <c r="J2270" i="49"/>
  <c r="Q2270" i="49" s="1"/>
  <c r="J972" i="49"/>
  <c r="Q972" i="49" s="1"/>
  <c r="J973" i="49"/>
  <c r="Q973" i="49" s="1"/>
  <c r="J698" i="46"/>
  <c r="J4661" i="49"/>
  <c r="Q4661" i="49" s="1"/>
  <c r="J4662" i="49"/>
  <c r="Q4662" i="49" s="1"/>
  <c r="J1146" i="49"/>
  <c r="Q1146" i="49" s="1"/>
  <c r="J5160" i="49"/>
  <c r="Q5160" i="49" s="1"/>
  <c r="J4150" i="49"/>
  <c r="Q4150" i="49" s="1"/>
  <c r="J4144" i="49"/>
  <c r="Q4144" i="49" s="1"/>
  <c r="Q1285" i="49"/>
  <c r="J1285" i="49"/>
  <c r="J4083" i="49"/>
  <c r="Q4083" i="49" s="1"/>
  <c r="J4084" i="49"/>
  <c r="Q4084" i="49" s="1"/>
  <c r="Y16" i="51"/>
  <c r="Q980" i="49"/>
  <c r="J980" i="49"/>
  <c r="J4950" i="49"/>
  <c r="Q4950" i="49" s="1"/>
  <c r="J4951" i="49"/>
  <c r="Q4951" i="49" s="1"/>
  <c r="P13" i="39"/>
  <c r="S13" i="39" s="1"/>
  <c r="U13" i="39" s="1"/>
  <c r="X13" i="39"/>
  <c r="J283" i="46"/>
  <c r="J1915" i="49"/>
  <c r="Q1915" i="49" s="1"/>
  <c r="J1692" i="49"/>
  <c r="Q1692" i="49" s="1"/>
  <c r="J3496" i="49"/>
  <c r="Q3496" i="49" s="1"/>
  <c r="Y20" i="51"/>
  <c r="J2848" i="49"/>
  <c r="Q2848" i="49" s="1"/>
  <c r="J2715" i="49"/>
  <c r="Q2715" i="49" s="1"/>
  <c r="J4595" i="49"/>
  <c r="Q4595" i="49" s="1"/>
  <c r="F260" i="50"/>
  <c r="Q3665" i="49"/>
  <c r="J3665" i="49"/>
  <c r="W45" i="30"/>
  <c r="W73" i="30"/>
  <c r="AA48" i="10"/>
  <c r="W21" i="17"/>
  <c r="W22" i="17" s="1"/>
  <c r="W24" i="17" s="1"/>
  <c r="W41" i="17" s="1"/>
  <c r="V21" i="27"/>
  <c r="V22" i="27"/>
  <c r="V24" i="27" s="1"/>
  <c r="V41" i="27" s="1"/>
  <c r="K89" i="13"/>
  <c r="J64" i="30" s="1"/>
  <c r="J76" i="30" s="1"/>
  <c r="J77" i="30" s="1"/>
  <c r="I157" i="14"/>
  <c r="U41" i="29"/>
  <c r="V21" i="29"/>
  <c r="V22" i="29" s="1"/>
  <c r="V24" i="29" s="1"/>
  <c r="V41" i="29" s="1"/>
  <c r="U41" i="22"/>
  <c r="M82" i="13"/>
  <c r="L64" i="23" s="1"/>
  <c r="L76" i="23" s="1"/>
  <c r="L77" i="23" s="1"/>
  <c r="K87" i="14"/>
  <c r="V21" i="25"/>
  <c r="V22" i="25" s="1"/>
  <c r="V24" i="25" s="1"/>
  <c r="V41" i="25" s="1"/>
  <c r="M90" i="13"/>
  <c r="L64" i="31" s="1"/>
  <c r="L76" i="31" s="1"/>
  <c r="L77" i="31" s="1"/>
  <c r="K167" i="14"/>
  <c r="K88" i="13"/>
  <c r="J64" i="29" s="1"/>
  <c r="J76" i="29" s="1"/>
  <c r="J77" i="29" s="1"/>
  <c r="I147" i="14"/>
  <c r="V21" i="28"/>
  <c r="E67" i="24"/>
  <c r="E68" i="24" s="1"/>
  <c r="U41" i="19"/>
  <c r="X21" i="30"/>
  <c r="X22" i="30" s="1"/>
  <c r="X24" i="30" s="1"/>
  <c r="X41" i="30" s="1"/>
  <c r="U41" i="27"/>
  <c r="V73" i="17"/>
  <c r="V45" i="17"/>
  <c r="U41" i="23"/>
  <c r="T45" i="31"/>
  <c r="T73" i="31"/>
  <c r="W79" i="31"/>
  <c r="W82" i="31"/>
  <c r="W80" i="31"/>
  <c r="W85" i="31"/>
  <c r="R21" i="52"/>
  <c r="R22" i="52"/>
  <c r="R23" i="52"/>
  <c r="H288" i="49"/>
  <c r="H290" i="49"/>
  <c r="H289" i="49"/>
  <c r="X72" i="29"/>
  <c r="Y12" i="29"/>
  <c r="X37" i="29"/>
  <c r="X32" i="29"/>
  <c r="X27" i="29"/>
  <c r="X35" i="29"/>
  <c r="X30" i="29"/>
  <c r="X18" i="29"/>
  <c r="X61" i="29"/>
  <c r="X16" i="29"/>
  <c r="X14" i="29"/>
  <c r="X23" i="29"/>
  <c r="X15" i="29"/>
  <c r="X38" i="29"/>
  <c r="X34" i="29"/>
  <c r="X36" i="29"/>
  <c r="X29" i="29"/>
  <c r="X44" i="29"/>
  <c r="X28" i="29"/>
  <c r="X62" i="29"/>
  <c r="X31" i="29"/>
  <c r="X17" i="29"/>
  <c r="X33" i="29"/>
  <c r="X13" i="29"/>
  <c r="X75" i="29"/>
  <c r="X47" i="29"/>
  <c r="X66" i="29"/>
  <c r="X43" i="29"/>
  <c r="X60" i="29"/>
  <c r="J280" i="49"/>
  <c r="Q280" i="49" s="1"/>
  <c r="E280" i="50"/>
  <c r="G280" i="50" s="1"/>
  <c r="H280" i="50" s="1"/>
  <c r="I87" i="13"/>
  <c r="H64" i="28" s="1"/>
  <c r="H76" i="28" s="1"/>
  <c r="H77" i="28" s="1"/>
  <c r="F141" i="14"/>
  <c r="W39" i="28"/>
  <c r="Y19" i="26"/>
  <c r="Y20" i="26" s="1"/>
  <c r="J201" i="49"/>
  <c r="Q201" i="49" s="1"/>
  <c r="E201" i="50"/>
  <c r="G201" i="50" s="1"/>
  <c r="H201" i="50" s="1"/>
  <c r="W39" i="19"/>
  <c r="M80" i="13"/>
  <c r="L64" i="21" s="1"/>
  <c r="L76" i="21" s="1"/>
  <c r="L77" i="21" s="1"/>
  <c r="K67" i="14"/>
  <c r="W37" i="8"/>
  <c r="W28" i="8"/>
  <c r="E67" i="29"/>
  <c r="E68" i="29" s="1"/>
  <c r="J10" i="49"/>
  <c r="Q10" i="49" s="1"/>
  <c r="E10" i="50"/>
  <c r="G10" i="50" s="1"/>
  <c r="H10" i="50" s="1"/>
  <c r="B14" i="1"/>
  <c r="X63" i="17"/>
  <c r="J94" i="14"/>
  <c r="M54" i="13" s="1"/>
  <c r="L48" i="23" s="1"/>
  <c r="O21" i="52"/>
  <c r="O23" i="52"/>
  <c r="O22" i="52"/>
  <c r="H237" i="49"/>
  <c r="H238" i="49"/>
  <c r="H239" i="49"/>
  <c r="Y80" i="30"/>
  <c r="Y85" i="30"/>
  <c r="Y79" i="30"/>
  <c r="Y82" i="30"/>
  <c r="T83" i="30" s="1"/>
  <c r="O56" i="24"/>
  <c r="O54" i="24"/>
  <c r="W79" i="21"/>
  <c r="W80" i="21"/>
  <c r="W82" i="21"/>
  <c r="W85" i="21"/>
  <c r="J54" i="22"/>
  <c r="V21" i="24"/>
  <c r="V22" i="24" s="1"/>
  <c r="V24" i="24" s="1"/>
  <c r="V41" i="24" s="1"/>
  <c r="V39" i="8"/>
  <c r="J286" i="49"/>
  <c r="Q286" i="49" s="1"/>
  <c r="E286" i="50"/>
  <c r="G286" i="50" s="1"/>
  <c r="H286" i="50" s="1"/>
  <c r="G67" i="31"/>
  <c r="G68" i="31" s="1"/>
  <c r="K54" i="25"/>
  <c r="K56" i="25" s="1"/>
  <c r="L75" i="13"/>
  <c r="K64" i="16" s="1"/>
  <c r="J17" i="14"/>
  <c r="K54" i="31"/>
  <c r="K56" i="31" s="1"/>
  <c r="T73" i="22"/>
  <c r="T45" i="22"/>
  <c r="W19" i="28"/>
  <c r="T45" i="28"/>
  <c r="T73" i="28"/>
  <c r="W63" i="29"/>
  <c r="M22" i="52"/>
  <c r="M21" i="52"/>
  <c r="M23" i="52"/>
  <c r="H204" i="49"/>
  <c r="H205" i="49"/>
  <c r="H203" i="49"/>
  <c r="J54" i="16"/>
  <c r="J56" i="16" s="1"/>
  <c r="W79" i="19"/>
  <c r="W80" i="19"/>
  <c r="W82" i="19"/>
  <c r="W85" i="19"/>
  <c r="T45" i="24"/>
  <c r="T73" i="24"/>
  <c r="W18" i="8"/>
  <c r="R81" i="30"/>
  <c r="V22" i="22"/>
  <c r="V24" i="22" s="1"/>
  <c r="V41" i="22" s="1"/>
  <c r="V21" i="22"/>
  <c r="K67" i="23"/>
  <c r="K68" i="23" s="1"/>
  <c r="T73" i="23"/>
  <c r="T45" i="23"/>
  <c r="T73" i="25"/>
  <c r="T45" i="25"/>
  <c r="J138" i="14"/>
  <c r="J139" i="14"/>
  <c r="J140" i="14" s="1"/>
  <c r="L50" i="19"/>
  <c r="L52" i="19"/>
  <c r="W39" i="31"/>
  <c r="W19" i="27"/>
  <c r="O60" i="8"/>
  <c r="R9" i="52"/>
  <c r="H278" i="49"/>
  <c r="Q116" i="49"/>
  <c r="J116" i="49"/>
  <c r="E116" i="50"/>
  <c r="G116" i="50" s="1"/>
  <c r="H116" i="50" s="1"/>
  <c r="H50" i="31"/>
  <c r="H52" i="31"/>
  <c r="X37" i="15"/>
  <c r="X33" i="15"/>
  <c r="X29" i="15"/>
  <c r="X23" i="15"/>
  <c r="X15" i="15"/>
  <c r="X72" i="15"/>
  <c r="X44" i="15"/>
  <c r="X38" i="15"/>
  <c r="X34" i="15"/>
  <c r="X30" i="15"/>
  <c r="X16" i="15"/>
  <c r="Y12" i="15"/>
  <c r="X31" i="15"/>
  <c r="X17" i="15"/>
  <c r="X27" i="15"/>
  <c r="X28" i="15"/>
  <c r="X14" i="15"/>
  <c r="X13" i="15"/>
  <c r="X62" i="15"/>
  <c r="X36" i="15"/>
  <c r="X18" i="15"/>
  <c r="X32" i="15"/>
  <c r="X61" i="15"/>
  <c r="X35" i="15"/>
  <c r="W39" i="25"/>
  <c r="J67" i="25"/>
  <c r="J68" i="25" s="1"/>
  <c r="U75" i="8"/>
  <c r="T73" i="19"/>
  <c r="T45" i="19"/>
  <c r="I56" i="30"/>
  <c r="I54" i="30"/>
  <c r="J22" i="52"/>
  <c r="J23" i="52"/>
  <c r="J21" i="52"/>
  <c r="H154" i="49"/>
  <c r="H152" i="49"/>
  <c r="H153" i="49"/>
  <c r="W19" i="24"/>
  <c r="W19" i="19"/>
  <c r="J261" i="49"/>
  <c r="Q261" i="49" s="1"/>
  <c r="E261" i="50"/>
  <c r="G261" i="50" s="1"/>
  <c r="H261" i="50" s="1"/>
  <c r="W82" i="15"/>
  <c r="W79" i="15"/>
  <c r="W80" i="15"/>
  <c r="W85" i="15"/>
  <c r="Y72" i="20"/>
  <c r="Y62" i="20"/>
  <c r="Y30" i="20"/>
  <c r="Y28" i="20"/>
  <c r="Y15" i="20"/>
  <c r="Y17" i="20"/>
  <c r="Y34" i="20"/>
  <c r="Y32" i="20"/>
  <c r="Y38" i="20"/>
  <c r="Y36" i="20"/>
  <c r="Y23" i="20"/>
  <c r="Y61" i="20"/>
  <c r="Y63" i="20" s="1"/>
  <c r="Y27" i="20"/>
  <c r="Y37" i="20"/>
  <c r="Y13" i="20"/>
  <c r="Y31" i="20"/>
  <c r="Y35" i="20"/>
  <c r="Y29" i="20"/>
  <c r="Y16" i="20"/>
  <c r="Y44" i="20"/>
  <c r="Y18" i="20"/>
  <c r="Y14" i="20"/>
  <c r="Y33" i="20"/>
  <c r="P38" i="10"/>
  <c r="Y75" i="20"/>
  <c r="Y47" i="20"/>
  <c r="Y66" i="20"/>
  <c r="Y43" i="20"/>
  <c r="Y60" i="20"/>
  <c r="U38" i="10"/>
  <c r="Z38" i="10"/>
  <c r="X38" i="10"/>
  <c r="T38" i="10"/>
  <c r="W38" i="10"/>
  <c r="Y38" i="10"/>
  <c r="V38" i="10"/>
  <c r="AA38" i="10"/>
  <c r="W32" i="8"/>
  <c r="J252" i="49"/>
  <c r="Q252" i="49" s="1"/>
  <c r="E252" i="50"/>
  <c r="G252" i="50" s="1"/>
  <c r="H252" i="50" s="1"/>
  <c r="W20" i="22"/>
  <c r="J235" i="49"/>
  <c r="Q235" i="49" s="1"/>
  <c r="E235" i="50"/>
  <c r="G235" i="50" s="1"/>
  <c r="H235" i="50" s="1"/>
  <c r="L56" i="15"/>
  <c r="L67" i="15" s="1"/>
  <c r="L68" i="15" s="1"/>
  <c r="Y63" i="30"/>
  <c r="F54" i="29"/>
  <c r="F56" i="29" s="1"/>
  <c r="H24" i="4"/>
  <c r="Q99" i="49"/>
  <c r="J99" i="49"/>
  <c r="E99" i="50"/>
  <c r="G99" i="50" s="1"/>
  <c r="H99" i="50" s="1"/>
  <c r="B21" i="52"/>
  <c r="B22" i="52"/>
  <c r="B23" i="52"/>
  <c r="H17" i="49"/>
  <c r="H16" i="49"/>
  <c r="H18" i="49"/>
  <c r="O83" i="30"/>
  <c r="G63" i="30"/>
  <c r="G61" i="8"/>
  <c r="W19" i="21"/>
  <c r="G54" i="28"/>
  <c r="G56" i="28" s="1"/>
  <c r="T45" i="27"/>
  <c r="T73" i="27"/>
  <c r="M84" i="13"/>
  <c r="L64" i="25" s="1"/>
  <c r="L76" i="25" s="1"/>
  <c r="L77" i="25" s="1"/>
  <c r="K107" i="14"/>
  <c r="J150" i="49"/>
  <c r="Q150" i="49" s="1"/>
  <c r="E150" i="50"/>
  <c r="G150" i="50" s="1"/>
  <c r="H150" i="50" s="1"/>
  <c r="L50" i="21"/>
  <c r="L52" i="21"/>
  <c r="K54" i="18"/>
  <c r="X39" i="20"/>
  <c r="U73" i="15"/>
  <c r="U45" i="15"/>
  <c r="W30" i="8"/>
  <c r="W36" i="8"/>
  <c r="J14" i="49"/>
  <c r="Q14" i="49" s="1"/>
  <c r="B18" i="1"/>
  <c r="E14" i="50"/>
  <c r="G14" i="50" s="1"/>
  <c r="H14" i="50" s="1"/>
  <c r="X62" i="21"/>
  <c r="X28" i="21"/>
  <c r="X13" i="21"/>
  <c r="X15" i="21"/>
  <c r="X32" i="21"/>
  <c r="X30" i="21"/>
  <c r="X17" i="21"/>
  <c r="X72" i="21"/>
  <c r="X36" i="21"/>
  <c r="X34" i="21"/>
  <c r="X23" i="21"/>
  <c r="Y12" i="21"/>
  <c r="X29" i="21"/>
  <c r="X16" i="21"/>
  <c r="X38" i="21"/>
  <c r="X27" i="21"/>
  <c r="X14" i="21"/>
  <c r="X33" i="21"/>
  <c r="X44" i="21"/>
  <c r="X35" i="21"/>
  <c r="X18" i="21"/>
  <c r="X31" i="21"/>
  <c r="X61" i="21"/>
  <c r="X63" i="21" s="1"/>
  <c r="X37" i="21"/>
  <c r="E58" i="14"/>
  <c r="E59" i="14" s="1"/>
  <c r="E60" i="14" s="1"/>
  <c r="U41" i="24"/>
  <c r="O118" i="14"/>
  <c r="F76" i="20"/>
  <c r="F77" i="20" s="1"/>
  <c r="F64" i="8"/>
  <c r="F76" i="8" s="1"/>
  <c r="F77" i="8" s="1"/>
  <c r="W63" i="25"/>
  <c r="G56" i="30"/>
  <c r="G54" i="30"/>
  <c r="W19" i="31"/>
  <c r="U60" i="8"/>
  <c r="W39" i="27"/>
  <c r="J114" i="14"/>
  <c r="M56" i="13" s="1"/>
  <c r="L48" i="25" s="1"/>
  <c r="W63" i="28"/>
  <c r="J184" i="49"/>
  <c r="Q184" i="49"/>
  <c r="E184" i="50"/>
  <c r="G184" i="50" s="1"/>
  <c r="H184" i="50" s="1"/>
  <c r="D18" i="1"/>
  <c r="W82" i="29"/>
  <c r="W79" i="29"/>
  <c r="W85" i="29"/>
  <c r="W80" i="29"/>
  <c r="W20" i="23"/>
  <c r="L75" i="8"/>
  <c r="F50" i="20"/>
  <c r="J15" i="4" s="1"/>
  <c r="F48" i="8"/>
  <c r="F52" i="20"/>
  <c r="W63" i="15"/>
  <c r="O76" i="20"/>
  <c r="O77" i="20" s="1"/>
  <c r="W34" i="8"/>
  <c r="W13" i="8"/>
  <c r="N98" i="14"/>
  <c r="I82" i="29"/>
  <c r="Q8" i="52"/>
  <c r="H260" i="49"/>
  <c r="T41" i="8"/>
  <c r="F60" i="8"/>
  <c r="V19" i="8"/>
  <c r="V21" i="23"/>
  <c r="V22" i="23"/>
  <c r="V24" i="23" s="1"/>
  <c r="V41" i="23" s="1"/>
  <c r="S81" i="30"/>
  <c r="N83" i="30"/>
  <c r="F16" i="38"/>
  <c r="H16" i="32"/>
  <c r="H16" i="38" s="1"/>
  <c r="W16" i="8"/>
  <c r="J174" i="14"/>
  <c r="M62" i="13" s="1"/>
  <c r="L48" i="31" s="1"/>
  <c r="J50" i="27"/>
  <c r="J52" i="27"/>
  <c r="T73" i="21"/>
  <c r="T45" i="21"/>
  <c r="X61" i="25"/>
  <c r="X35" i="25"/>
  <c r="X31" i="25"/>
  <c r="X27" i="25"/>
  <c r="X17" i="25"/>
  <c r="X13" i="25"/>
  <c r="X33" i="25"/>
  <c r="X62" i="25"/>
  <c r="X28" i="25"/>
  <c r="X44" i="25"/>
  <c r="X37" i="25"/>
  <c r="X32" i="25"/>
  <c r="X36" i="25"/>
  <c r="X16" i="25"/>
  <c r="X15" i="25"/>
  <c r="X72" i="25"/>
  <c r="X14" i="25"/>
  <c r="X34" i="25"/>
  <c r="X23" i="25"/>
  <c r="Y12" i="25"/>
  <c r="X38" i="25"/>
  <c r="X30" i="25"/>
  <c r="X29" i="25"/>
  <c r="X18" i="25"/>
  <c r="X61" i="23"/>
  <c r="X35" i="23"/>
  <c r="X31" i="23"/>
  <c r="X27" i="23"/>
  <c r="X17" i="23"/>
  <c r="X13" i="23"/>
  <c r="X29" i="23"/>
  <c r="X36" i="23"/>
  <c r="X15" i="23"/>
  <c r="X72" i="23"/>
  <c r="X30" i="23"/>
  <c r="X14" i="23"/>
  <c r="X23" i="23"/>
  <c r="X18" i="23"/>
  <c r="X62" i="23"/>
  <c r="X16" i="23"/>
  <c r="X34" i="23"/>
  <c r="X44" i="23"/>
  <c r="X32" i="23"/>
  <c r="X38" i="23"/>
  <c r="X37" i="23"/>
  <c r="Y12" i="23"/>
  <c r="X28" i="23"/>
  <c r="X33" i="23"/>
  <c r="W19" i="23"/>
  <c r="V21" i="31"/>
  <c r="V22" i="31"/>
  <c r="V24" i="31" s="1"/>
  <c r="V41" i="31" s="1"/>
  <c r="X31" i="24"/>
  <c r="X37" i="24"/>
  <c r="X34" i="24"/>
  <c r="X23" i="24"/>
  <c r="X14" i="24"/>
  <c r="X18" i="24"/>
  <c r="X13" i="24"/>
  <c r="X62" i="24"/>
  <c r="X38" i="24"/>
  <c r="X29" i="24"/>
  <c r="X33" i="24"/>
  <c r="X17" i="24"/>
  <c r="Y12" i="24"/>
  <c r="X44" i="24"/>
  <c r="X28" i="24"/>
  <c r="X61" i="24"/>
  <c r="X63" i="24" s="1"/>
  <c r="X16" i="24"/>
  <c r="X72" i="24"/>
  <c r="X27" i="24"/>
  <c r="X32" i="24"/>
  <c r="X30" i="24"/>
  <c r="X15" i="24"/>
  <c r="X36" i="24"/>
  <c r="X35" i="24"/>
  <c r="X66" i="24"/>
  <c r="X43" i="24"/>
  <c r="X47" i="24"/>
  <c r="X60" i="24"/>
  <c r="X75" i="24"/>
  <c r="W44" i="8"/>
  <c r="W17" i="8"/>
  <c r="O76" i="24"/>
  <c r="O77" i="24" s="1"/>
  <c r="H154" i="14"/>
  <c r="K60" i="13" s="1"/>
  <c r="J48" i="29" s="1"/>
  <c r="Y39" i="30"/>
  <c r="I83" i="30"/>
  <c r="V81" i="30"/>
  <c r="W80" i="25"/>
  <c r="W79" i="25"/>
  <c r="W85" i="25"/>
  <c r="W82" i="25"/>
  <c r="V21" i="21"/>
  <c r="V22" i="21" s="1"/>
  <c r="V24" i="21" s="1"/>
  <c r="V41" i="21" s="1"/>
  <c r="L21" i="52"/>
  <c r="L23" i="52"/>
  <c r="L22" i="52"/>
  <c r="H187" i="49"/>
  <c r="H188" i="49"/>
  <c r="H186" i="49"/>
  <c r="J271" i="49"/>
  <c r="Q271" i="49" s="1"/>
  <c r="E20" i="1"/>
  <c r="E271" i="50"/>
  <c r="G271" i="50" s="1"/>
  <c r="H271" i="50" s="1"/>
  <c r="V20" i="8"/>
  <c r="J133" i="49"/>
  <c r="Q133" i="49" s="1"/>
  <c r="E133" i="50"/>
  <c r="G133" i="50" s="1"/>
  <c r="H133" i="50" s="1"/>
  <c r="U41" i="21"/>
  <c r="F50" i="24"/>
  <c r="J19" i="4" s="1"/>
  <c r="F52" i="24"/>
  <c r="Q75" i="8"/>
  <c r="W20" i="21"/>
  <c r="W73" i="26"/>
  <c r="W45" i="26"/>
  <c r="G168" i="14"/>
  <c r="G169" i="14" s="1"/>
  <c r="G170" i="14" s="1"/>
  <c r="P10" i="52"/>
  <c r="H245" i="49"/>
  <c r="S73" i="8"/>
  <c r="S45" i="8"/>
  <c r="U41" i="31"/>
  <c r="X44" i="31"/>
  <c r="X38" i="31"/>
  <c r="X34" i="31"/>
  <c r="X30" i="31"/>
  <c r="X16" i="31"/>
  <c r="X61" i="31"/>
  <c r="X36" i="31"/>
  <c r="X31" i="31"/>
  <c r="X14" i="31"/>
  <c r="X29" i="31"/>
  <c r="X17" i="31"/>
  <c r="Y12" i="31"/>
  <c r="X13" i="31"/>
  <c r="X28" i="31"/>
  <c r="X62" i="31"/>
  <c r="X23" i="31"/>
  <c r="X72" i="31"/>
  <c r="X15" i="31"/>
  <c r="X35" i="31"/>
  <c r="X32" i="31"/>
  <c r="X37" i="31"/>
  <c r="X33" i="31"/>
  <c r="X18" i="31"/>
  <c r="X27" i="31"/>
  <c r="X75" i="31"/>
  <c r="X66" i="31"/>
  <c r="X47" i="31"/>
  <c r="X43" i="31"/>
  <c r="X60" i="31"/>
  <c r="J228" i="49"/>
  <c r="Q228" i="49" s="1"/>
  <c r="E228" i="50"/>
  <c r="G228" i="50" s="1"/>
  <c r="H228" i="50" s="1"/>
  <c r="N58" i="14"/>
  <c r="N59" i="14" s="1"/>
  <c r="N60" i="14" s="1"/>
  <c r="W80" i="27"/>
  <c r="W82" i="27"/>
  <c r="W79" i="27"/>
  <c r="W85" i="27"/>
  <c r="J28" i="14"/>
  <c r="X82" i="20"/>
  <c r="X80" i="20"/>
  <c r="X79" i="20"/>
  <c r="X85" i="20"/>
  <c r="W15" i="8"/>
  <c r="W39" i="16"/>
  <c r="W27" i="8"/>
  <c r="V45" i="20"/>
  <c r="V73" i="20"/>
  <c r="M50" i="15"/>
  <c r="M52" i="15"/>
  <c r="J272" i="49"/>
  <c r="Q272" i="49" s="1"/>
  <c r="E21" i="1"/>
  <c r="E272" i="50"/>
  <c r="G272" i="50" s="1"/>
  <c r="H272" i="50" s="1"/>
  <c r="V21" i="16"/>
  <c r="V22" i="16"/>
  <c r="V24" i="16" s="1"/>
  <c r="V41" i="16" s="1"/>
  <c r="W20" i="29"/>
  <c r="X19" i="20"/>
  <c r="X20" i="20" s="1"/>
  <c r="W23" i="8"/>
  <c r="W31" i="8"/>
  <c r="Y44" i="17"/>
  <c r="Y38" i="17"/>
  <c r="Y34" i="17"/>
  <c r="Y30" i="17"/>
  <c r="Y16" i="17"/>
  <c r="Y61" i="17"/>
  <c r="Y35" i="17"/>
  <c r="Y31" i="17"/>
  <c r="Y27" i="17"/>
  <c r="Y17" i="17"/>
  <c r="Y13" i="17"/>
  <c r="Y32" i="17"/>
  <c r="Y14" i="17"/>
  <c r="Y72" i="17"/>
  <c r="Y15" i="17"/>
  <c r="Y36" i="17"/>
  <c r="Y28" i="17"/>
  <c r="Y18" i="17"/>
  <c r="Y33" i="17"/>
  <c r="Y29" i="17"/>
  <c r="Y23" i="17"/>
  <c r="Y37" i="17"/>
  <c r="Y62" i="17"/>
  <c r="S35" i="10"/>
  <c r="Z35" i="10"/>
  <c r="Y35" i="10"/>
  <c r="U35" i="10"/>
  <c r="V35" i="10"/>
  <c r="T35" i="10"/>
  <c r="W35" i="10"/>
  <c r="X35" i="10"/>
  <c r="J31" i="49"/>
  <c r="Q31" i="49" s="1"/>
  <c r="E31" i="50"/>
  <c r="G31" i="50" s="1"/>
  <c r="H31" i="50" s="1"/>
  <c r="H83" i="30"/>
  <c r="Q66" i="8"/>
  <c r="J287" i="49"/>
  <c r="Q287" i="49" s="1"/>
  <c r="E287" i="50"/>
  <c r="G287" i="50" s="1"/>
  <c r="H287" i="50" s="1"/>
  <c r="J243" i="49"/>
  <c r="Q243" i="49" s="1"/>
  <c r="E243" i="50"/>
  <c r="G243" i="50" s="1"/>
  <c r="H243" i="50" s="1"/>
  <c r="W20" i="31"/>
  <c r="X38" i="28"/>
  <c r="X34" i="28"/>
  <c r="X30" i="28"/>
  <c r="X16" i="28"/>
  <c r="X35" i="28"/>
  <c r="X33" i="28"/>
  <c r="X44" i="28"/>
  <c r="X28" i="28"/>
  <c r="X61" i="28"/>
  <c r="X29" i="28"/>
  <c r="X15" i="28"/>
  <c r="X27" i="28"/>
  <c r="X37" i="28"/>
  <c r="X14" i="28"/>
  <c r="X13" i="28"/>
  <c r="X36" i="28"/>
  <c r="X23" i="28"/>
  <c r="Y12" i="28"/>
  <c r="X62" i="28"/>
  <c r="X32" i="28"/>
  <c r="X72" i="28"/>
  <c r="X31" i="28"/>
  <c r="X17" i="28"/>
  <c r="X18" i="28"/>
  <c r="X75" i="28"/>
  <c r="X60" i="28"/>
  <c r="X66" i="28"/>
  <c r="X47" i="28"/>
  <c r="X43" i="28"/>
  <c r="O66" i="8"/>
  <c r="V21" i="15"/>
  <c r="V22" i="15" s="1"/>
  <c r="V24" i="15" s="1"/>
  <c r="V41" i="15" s="1"/>
  <c r="I22" i="52"/>
  <c r="I23" i="52"/>
  <c r="I21" i="52"/>
  <c r="H136" i="49"/>
  <c r="H135" i="49"/>
  <c r="H137" i="49"/>
  <c r="W62" i="8"/>
  <c r="T73" i="16"/>
  <c r="T45" i="16"/>
  <c r="X37" i="27"/>
  <c r="X35" i="27"/>
  <c r="X62" i="27"/>
  <c r="X28" i="27"/>
  <c r="X15" i="27"/>
  <c r="X13" i="27"/>
  <c r="X34" i="27"/>
  <c r="X33" i="27"/>
  <c r="X32" i="27"/>
  <c r="X44" i="27"/>
  <c r="X30" i="27"/>
  <c r="X31" i="27"/>
  <c r="X18" i="27"/>
  <c r="X17" i="27"/>
  <c r="X61" i="27"/>
  <c r="X63" i="27" s="1"/>
  <c r="X72" i="27"/>
  <c r="X16" i="27"/>
  <c r="X27" i="27"/>
  <c r="X14" i="27"/>
  <c r="X38" i="27"/>
  <c r="Y12" i="27"/>
  <c r="X36" i="27"/>
  <c r="X29" i="27"/>
  <c r="X23" i="27"/>
  <c r="U73" i="20"/>
  <c r="U45" i="20"/>
  <c r="J213" i="49"/>
  <c r="Q213" i="49" s="1"/>
  <c r="E213" i="50"/>
  <c r="G213" i="50" s="1"/>
  <c r="H213" i="50" s="1"/>
  <c r="K49" i="14"/>
  <c r="K50" i="14"/>
  <c r="K48" i="14"/>
  <c r="K54" i="14" s="1"/>
  <c r="N50" i="13" s="1"/>
  <c r="M48" i="19" s="1"/>
  <c r="K50" i="22"/>
  <c r="K52" i="22"/>
  <c r="J273" i="49"/>
  <c r="Q273" i="49"/>
  <c r="E22" i="1"/>
  <c r="E273" i="50"/>
  <c r="G273" i="50" s="1"/>
  <c r="H273" i="50" s="1"/>
  <c r="H164" i="14"/>
  <c r="K61" i="13" s="1"/>
  <c r="J48" i="30" s="1"/>
  <c r="W35" i="8"/>
  <c r="W86" i="8"/>
  <c r="W83" i="8"/>
  <c r="W81" i="8"/>
  <c r="W79" i="8"/>
  <c r="U41" i="25"/>
  <c r="K54" i="21"/>
  <c r="K56" i="21" s="1"/>
  <c r="E119" i="14"/>
  <c r="E120" i="14" s="1"/>
  <c r="U81" i="30"/>
  <c r="W45" i="20"/>
  <c r="W73" i="20"/>
  <c r="W85" i="16"/>
  <c r="W80" i="16"/>
  <c r="W82" i="16"/>
  <c r="W79" i="16"/>
  <c r="X79" i="17"/>
  <c r="X85" i="17"/>
  <c r="X80" i="17"/>
  <c r="X82" i="17"/>
  <c r="V63" i="8"/>
  <c r="V60" i="8" s="1"/>
  <c r="W63" i="31"/>
  <c r="W20" i="28"/>
  <c r="V21" i="19"/>
  <c r="V22" i="19" s="1"/>
  <c r="V24" i="19" s="1"/>
  <c r="V41" i="19" s="1"/>
  <c r="W82" i="23"/>
  <c r="W79" i="23"/>
  <c r="W85" i="23"/>
  <c r="W80" i="23"/>
  <c r="W63" i="16"/>
  <c r="W61" i="8"/>
  <c r="W39" i="22"/>
  <c r="M77" i="13"/>
  <c r="L64" i="18" s="1"/>
  <c r="L76" i="18" s="1"/>
  <c r="L77" i="18" s="1"/>
  <c r="K37" i="14"/>
  <c r="X72" i="8"/>
  <c r="Y12" i="8"/>
  <c r="X43" i="8"/>
  <c r="X47" i="8"/>
  <c r="Y19" i="30"/>
  <c r="Y20" i="30" s="1"/>
  <c r="L83" i="30"/>
  <c r="I128" i="14"/>
  <c r="I129" i="14"/>
  <c r="I130" i="14" s="1"/>
  <c r="U41" i="16"/>
  <c r="E98" i="14"/>
  <c r="E99" i="14" s="1"/>
  <c r="E100" i="14" s="1"/>
  <c r="W20" i="27"/>
  <c r="X37" i="22"/>
  <c r="X33" i="22"/>
  <c r="X29" i="22"/>
  <c r="X23" i="22"/>
  <c r="X15" i="22"/>
  <c r="X44" i="22"/>
  <c r="X38" i="22"/>
  <c r="X34" i="22"/>
  <c r="X30" i="22"/>
  <c r="X16" i="22"/>
  <c r="X13" i="22"/>
  <c r="X62" i="22"/>
  <c r="X28" i="22"/>
  <c r="X17" i="22"/>
  <c r="X32" i="22"/>
  <c r="X36" i="22"/>
  <c r="Y12" i="22"/>
  <c r="X61" i="22"/>
  <c r="X63" i="22" s="1"/>
  <c r="X14" i="22"/>
  <c r="X19" i="22" s="1"/>
  <c r="X31" i="22"/>
  <c r="X18" i="22"/>
  <c r="X35" i="22"/>
  <c r="X27" i="22"/>
  <c r="X72" i="22"/>
  <c r="I54" i="29"/>
  <c r="I56" i="29"/>
  <c r="K50" i="28"/>
  <c r="K52" i="28"/>
  <c r="L81" i="13"/>
  <c r="K64" i="22" s="1"/>
  <c r="K76" i="22" s="1"/>
  <c r="K77" i="22" s="1"/>
  <c r="J77" i="14"/>
  <c r="N74" i="13"/>
  <c r="M64" i="15" s="1"/>
  <c r="M76" i="15" s="1"/>
  <c r="M77" i="15" s="1"/>
  <c r="L7" i="14"/>
  <c r="W85" i="28"/>
  <c r="W80" i="28"/>
  <c r="W79" i="28"/>
  <c r="W82" i="28"/>
  <c r="P75" i="8"/>
  <c r="U45" i="17"/>
  <c r="U73" i="17"/>
  <c r="W20" i="19"/>
  <c r="W33" i="8"/>
  <c r="J67" i="28"/>
  <c r="J68" i="28" s="1"/>
  <c r="X19" i="17"/>
  <c r="X20" i="17" s="1"/>
  <c r="L50" i="18"/>
  <c r="L52" i="18"/>
  <c r="C21" i="52"/>
  <c r="C23" i="52"/>
  <c r="C22" i="52"/>
  <c r="H33" i="49"/>
  <c r="H35" i="49"/>
  <c r="H34" i="49"/>
  <c r="E148" i="14"/>
  <c r="E149" i="14" s="1"/>
  <c r="E150" i="14" s="1"/>
  <c r="N21" i="52"/>
  <c r="N23" i="52"/>
  <c r="N22" i="52"/>
  <c r="H222" i="49"/>
  <c r="H220" i="49"/>
  <c r="H221" i="49"/>
  <c r="W19" i="25"/>
  <c r="W20" i="25" s="1"/>
  <c r="W63" i="27"/>
  <c r="W39" i="29"/>
  <c r="K54" i="17"/>
  <c r="K56" i="17" s="1"/>
  <c r="P66" i="8"/>
  <c r="X21" i="26"/>
  <c r="X22" i="26" s="1"/>
  <c r="X24" i="26" s="1"/>
  <c r="X41" i="26" s="1"/>
  <c r="W20" i="24"/>
  <c r="W19" i="15"/>
  <c r="W20" i="15" s="1"/>
  <c r="W38" i="8"/>
  <c r="X62" i="16"/>
  <c r="X36" i="16"/>
  <c r="X32" i="16"/>
  <c r="X28" i="16"/>
  <c r="X18" i="16"/>
  <c r="X14" i="16"/>
  <c r="X37" i="16"/>
  <c r="X33" i="16"/>
  <c r="X29" i="16"/>
  <c r="X29" i="8" s="1"/>
  <c r="X23" i="16"/>
  <c r="X15" i="16"/>
  <c r="Y12" i="16"/>
  <c r="X38" i="16"/>
  <c r="X30" i="16"/>
  <c r="X72" i="16"/>
  <c r="X61" i="16"/>
  <c r="X44" i="16"/>
  <c r="X17" i="16"/>
  <c r="X34" i="16"/>
  <c r="X16" i="16"/>
  <c r="X27" i="16"/>
  <c r="X35" i="16"/>
  <c r="X31" i="16"/>
  <c r="X13" i="16"/>
  <c r="X39" i="17"/>
  <c r="I24" i="14"/>
  <c r="L47" i="13" s="1"/>
  <c r="K48" i="16" s="1"/>
  <c r="Y79" i="26"/>
  <c r="Y85" i="26"/>
  <c r="Y82" i="26"/>
  <c r="V83" i="26" s="1"/>
  <c r="Y80" i="26"/>
  <c r="T81" i="26" s="1"/>
  <c r="P60" i="8"/>
  <c r="M75" i="8"/>
  <c r="H23" i="52"/>
  <c r="H22" i="52"/>
  <c r="H21" i="52"/>
  <c r="H120" i="49"/>
  <c r="H118" i="49"/>
  <c r="H119" i="49"/>
  <c r="W79" i="24"/>
  <c r="W82" i="24"/>
  <c r="W80" i="24"/>
  <c r="W85" i="24"/>
  <c r="X44" i="19"/>
  <c r="X38" i="19"/>
  <c r="X34" i="19"/>
  <c r="X30" i="19"/>
  <c r="X16" i="19"/>
  <c r="X61" i="19"/>
  <c r="X35" i="19"/>
  <c r="X31" i="19"/>
  <c r="X27" i="19"/>
  <c r="X17" i="19"/>
  <c r="X13" i="19"/>
  <c r="X37" i="19"/>
  <c r="X62" i="19"/>
  <c r="X28" i="19"/>
  <c r="X15" i="19"/>
  <c r="X32" i="19"/>
  <c r="X72" i="19"/>
  <c r="X36" i="19"/>
  <c r="X18" i="19"/>
  <c r="X33" i="19"/>
  <c r="Y12" i="19"/>
  <c r="X23" i="19"/>
  <c r="X29" i="19"/>
  <c r="X14" i="19"/>
  <c r="O12" i="52"/>
  <c r="H230" i="49"/>
  <c r="O54" i="20"/>
  <c r="W29" i="8"/>
  <c r="W19" i="16"/>
  <c r="W20" i="16" s="1"/>
  <c r="W14" i="8"/>
  <c r="P23" i="52"/>
  <c r="P21" i="52"/>
  <c r="P22" i="52"/>
  <c r="H255" i="49"/>
  <c r="H256" i="49"/>
  <c r="H254" i="49"/>
  <c r="B14" i="52"/>
  <c r="H11" i="49"/>
  <c r="E54" i="8"/>
  <c r="E56" i="8" s="1"/>
  <c r="F54" i="26"/>
  <c r="F56" i="26" s="1"/>
  <c r="H21" i="4"/>
  <c r="W82" i="22"/>
  <c r="W80" i="22"/>
  <c r="W85" i="22"/>
  <c r="W79" i="22"/>
  <c r="R60" i="8"/>
  <c r="E56" i="20"/>
  <c r="G23" i="52"/>
  <c r="G22" i="52"/>
  <c r="G21" i="52"/>
  <c r="H102" i="49"/>
  <c r="H101" i="49"/>
  <c r="H103" i="49"/>
  <c r="T41" i="29"/>
  <c r="S83" i="30"/>
  <c r="J218" i="49"/>
  <c r="Q218" i="49" s="1"/>
  <c r="E218" i="50"/>
  <c r="G218" i="50" s="1"/>
  <c r="H218" i="50" s="1"/>
  <c r="F144" i="14"/>
  <c r="I59" i="13" s="1"/>
  <c r="H48" i="28" s="1"/>
  <c r="W39" i="21"/>
  <c r="P50" i="26"/>
  <c r="P52" i="26"/>
  <c r="U21" i="8"/>
  <c r="U22" i="8" s="1"/>
  <c r="U24" i="8" s="1"/>
  <c r="F19" i="4"/>
  <c r="F82" i="24"/>
  <c r="U22" i="28"/>
  <c r="U24" i="28" s="1"/>
  <c r="W8" i="51"/>
  <c r="H1420" i="49"/>
  <c r="H1435" i="49"/>
  <c r="H2591" i="49"/>
  <c r="H4968" i="49"/>
  <c r="H4967" i="49"/>
  <c r="H3154" i="49"/>
  <c r="H4975" i="49"/>
  <c r="H4674" i="49"/>
  <c r="H4675" i="49"/>
  <c r="H4676" i="49"/>
  <c r="H4021" i="49"/>
  <c r="H5042" i="49"/>
  <c r="W15" i="51"/>
  <c r="E484" i="46"/>
  <c r="H842" i="49"/>
  <c r="H4107" i="49"/>
  <c r="H4323" i="49"/>
  <c r="H3293" i="49"/>
  <c r="H4310" i="49"/>
  <c r="H1270" i="49"/>
  <c r="H3308" i="49"/>
  <c r="H4415" i="49"/>
  <c r="E700" i="46"/>
  <c r="H1286" i="49"/>
  <c r="H690" i="49"/>
  <c r="W14" i="51"/>
  <c r="H4430" i="49"/>
  <c r="X7" i="51"/>
  <c r="H1591" i="49"/>
  <c r="H4416" i="49"/>
  <c r="H4422" i="49"/>
  <c r="E701" i="46"/>
  <c r="H1148" i="49"/>
  <c r="H4159" i="49"/>
  <c r="H1747" i="49"/>
  <c r="H1753" i="49"/>
  <c r="E253" i="46"/>
  <c r="H2302" i="49"/>
  <c r="W13" i="51"/>
  <c r="W17" i="51"/>
  <c r="H981" i="49"/>
  <c r="H675" i="49"/>
  <c r="H2865" i="49"/>
  <c r="H1575" i="49"/>
  <c r="H1762" i="49"/>
  <c r="H3853" i="49"/>
  <c r="H1916" i="49"/>
  <c r="E284" i="46"/>
  <c r="H2730" i="49"/>
  <c r="X10" i="51"/>
  <c r="H5192" i="49"/>
  <c r="H3458" i="49"/>
  <c r="U18" i="51"/>
  <c r="H2409" i="49"/>
  <c r="H682" i="49"/>
  <c r="H676" i="49"/>
  <c r="H4705" i="49"/>
  <c r="H4711" i="49"/>
  <c r="E749" i="46"/>
  <c r="H2425" i="49"/>
  <c r="H2918" i="49"/>
  <c r="H5027" i="49"/>
  <c r="H3285" i="49"/>
  <c r="H3284" i="49"/>
  <c r="H4704" i="49"/>
  <c r="E748" i="46"/>
  <c r="H4597" i="49"/>
  <c r="H2911" i="49"/>
  <c r="H2910" i="49"/>
  <c r="E450" i="46"/>
  <c r="H2880" i="49"/>
  <c r="H3073" i="49"/>
  <c r="H3079" i="49"/>
  <c r="E477" i="46"/>
  <c r="H5028" i="49"/>
  <c r="H5034" i="49"/>
  <c r="H4677" i="49"/>
  <c r="H4671" i="49"/>
  <c r="E292" i="46"/>
  <c r="H2287" i="49"/>
  <c r="H1724" i="49"/>
  <c r="H3072" i="49"/>
  <c r="E476" i="46"/>
  <c r="H3443" i="49"/>
  <c r="H4092" i="49"/>
  <c r="H4670" i="49"/>
  <c r="H2015" i="49"/>
  <c r="H5177" i="49"/>
  <c r="H2724" i="49"/>
  <c r="H2723" i="49"/>
  <c r="H4099" i="49"/>
  <c r="H4093" i="49"/>
  <c r="H2138" i="49"/>
  <c r="H2144" i="49"/>
  <c r="H3497" i="49"/>
  <c r="H4614" i="49"/>
  <c r="H4356" i="49"/>
  <c r="H4355" i="49"/>
  <c r="E690" i="46"/>
  <c r="H2576" i="49"/>
  <c r="H4364" i="49"/>
  <c r="W11" i="51"/>
  <c r="H2137" i="49"/>
  <c r="W12" i="51"/>
  <c r="H4152" i="49"/>
  <c r="H4151" i="49"/>
  <c r="H4371" i="49"/>
  <c r="H4365" i="49"/>
  <c r="H4719" i="49"/>
  <c r="W21" i="51"/>
  <c r="H3666" i="49"/>
  <c r="W6" i="51"/>
  <c r="W9" i="51"/>
  <c r="U19" i="51"/>
  <c r="H4036" i="49"/>
  <c r="H1709" i="49"/>
  <c r="H2153" i="49"/>
  <c r="H3169" i="49"/>
  <c r="H857" i="49"/>
  <c r="H982" i="49"/>
  <c r="H988" i="49"/>
  <c r="H3498" i="49"/>
  <c r="H3504" i="49"/>
  <c r="H3294" i="49"/>
  <c r="H3300" i="49"/>
  <c r="J1435" i="49" l="1"/>
  <c r="Q1435" i="49"/>
  <c r="J1420" i="49"/>
  <c r="Q1420" i="49"/>
  <c r="V73" i="18"/>
  <c r="Z36" i="10"/>
  <c r="V45" i="18"/>
  <c r="W73" i="18"/>
  <c r="W45" i="18"/>
  <c r="AA36" i="10"/>
  <c r="X16" i="8"/>
  <c r="X37" i="8"/>
  <c r="V66" i="8"/>
  <c r="X63" i="23"/>
  <c r="Y33" i="18"/>
  <c r="Y17" i="18"/>
  <c r="Y29" i="18"/>
  <c r="Y36" i="18"/>
  <c r="Y23" i="18"/>
  <c r="Y28" i="18"/>
  <c r="Y15" i="18"/>
  <c r="Y18" i="18"/>
  <c r="Y72" i="18"/>
  <c r="Y13" i="18"/>
  <c r="Y38" i="18"/>
  <c r="Y61" i="18"/>
  <c r="Y63" i="18" s="1"/>
  <c r="Y34" i="18"/>
  <c r="Y32" i="18"/>
  <c r="Y30" i="18"/>
  <c r="Y31" i="18"/>
  <c r="Y16" i="18"/>
  <c r="Y14" i="18"/>
  <c r="Y44" i="18"/>
  <c r="Y62" i="18"/>
  <c r="Y35" i="18"/>
  <c r="Y37" i="18"/>
  <c r="Y27" i="18"/>
  <c r="U73" i="18"/>
  <c r="U45" i="18"/>
  <c r="Y36" i="10"/>
  <c r="X20" i="28"/>
  <c r="X63" i="19"/>
  <c r="X19" i="28"/>
  <c r="X79" i="18"/>
  <c r="X85" i="18"/>
  <c r="X80" i="18"/>
  <c r="X82" i="18"/>
  <c r="X63" i="15"/>
  <c r="X19" i="18"/>
  <c r="X39" i="18"/>
  <c r="X20" i="18"/>
  <c r="X21" i="18" s="1"/>
  <c r="X22" i="18" s="1"/>
  <c r="X24" i="18" s="1"/>
  <c r="X41" i="18" s="1"/>
  <c r="J3300" i="49"/>
  <c r="Q3300" i="49"/>
  <c r="J3294" i="49"/>
  <c r="Q3294" i="49"/>
  <c r="J3504" i="49"/>
  <c r="Q3504" i="49" s="1"/>
  <c r="J3498" i="49"/>
  <c r="Q3498" i="49" s="1"/>
  <c r="J988" i="49"/>
  <c r="Q988" i="49" s="1"/>
  <c r="J982" i="49"/>
  <c r="Q982" i="49" s="1"/>
  <c r="J857" i="49"/>
  <c r="Q857" i="49" s="1"/>
  <c r="J3169" i="49"/>
  <c r="Q3169" i="49" s="1"/>
  <c r="J2153" i="49"/>
  <c r="Q2153" i="49" s="1"/>
  <c r="J1709" i="49"/>
  <c r="Q1709" i="49" s="1"/>
  <c r="J4036" i="49"/>
  <c r="Q4036" i="49" s="1"/>
  <c r="J3666" i="49"/>
  <c r="Q3666" i="49" s="1"/>
  <c r="J4719" i="49"/>
  <c r="Q4719" i="49" s="1"/>
  <c r="Q4365" i="49"/>
  <c r="J4365" i="49"/>
  <c r="J4371" i="49"/>
  <c r="Q4371" i="49" s="1"/>
  <c r="J4151" i="49"/>
  <c r="Q4151" i="49" s="1"/>
  <c r="J4152" i="49"/>
  <c r="Q4152" i="49"/>
  <c r="J2137" i="49"/>
  <c r="Q2137" i="49" s="1"/>
  <c r="J4364" i="49"/>
  <c r="Q4364" i="49"/>
  <c r="J2576" i="49"/>
  <c r="Q2576" i="49" s="1"/>
  <c r="J690" i="46"/>
  <c r="J4355" i="49"/>
  <c r="Q4355" i="49" s="1"/>
  <c r="J4356" i="49"/>
  <c r="Q4356" i="49"/>
  <c r="J4614" i="49"/>
  <c r="Q4614" i="49" s="1"/>
  <c r="J3497" i="49"/>
  <c r="Q3497" i="49" s="1"/>
  <c r="Q2144" i="49"/>
  <c r="J2144" i="49"/>
  <c r="J2138" i="49"/>
  <c r="Q2138" i="49"/>
  <c r="J4093" i="49"/>
  <c r="Q4093" i="49" s="1"/>
  <c r="J4099" i="49"/>
  <c r="Q4099" i="49" s="1"/>
  <c r="J2723" i="49"/>
  <c r="Q2723" i="49" s="1"/>
  <c r="J2724" i="49"/>
  <c r="Q2724" i="49" s="1"/>
  <c r="Q5177" i="49"/>
  <c r="J5177" i="49"/>
  <c r="J2015" i="49"/>
  <c r="Q2015" i="49" s="1"/>
  <c r="J4670" i="49"/>
  <c r="Q4670" i="49" s="1"/>
  <c r="J4092" i="49"/>
  <c r="Q4092" i="49"/>
  <c r="J3443" i="49"/>
  <c r="Q3443" i="49"/>
  <c r="J476" i="46"/>
  <c r="J3072" i="49"/>
  <c r="Q3072" i="49"/>
  <c r="J1724" i="49"/>
  <c r="Q1724" i="49" s="1"/>
  <c r="Q2287" i="49"/>
  <c r="J2287" i="49"/>
  <c r="J292" i="46"/>
  <c r="J4671" i="49"/>
  <c r="Q4671" i="49" s="1"/>
  <c r="J4677" i="49"/>
  <c r="Q4677" i="49" s="1"/>
  <c r="J5034" i="49"/>
  <c r="Q5034" i="49" s="1"/>
  <c r="J5028" i="49"/>
  <c r="Q5028" i="49" s="1"/>
  <c r="J477" i="46"/>
  <c r="J3079" i="49"/>
  <c r="Q3079" i="49" s="1"/>
  <c r="J3073" i="49"/>
  <c r="Q3073" i="49" s="1"/>
  <c r="J2880" i="49"/>
  <c r="Q2880" i="49"/>
  <c r="J450" i="46"/>
  <c r="J2910" i="49"/>
  <c r="Q2910" i="49"/>
  <c r="J2911" i="49"/>
  <c r="Q2911" i="49" s="1"/>
  <c r="J4597" i="49"/>
  <c r="Q4597" i="49" s="1"/>
  <c r="F262" i="50"/>
  <c r="J748" i="46"/>
  <c r="J4704" i="49"/>
  <c r="Q4704" i="49" s="1"/>
  <c r="J3284" i="49"/>
  <c r="Q3284" i="49" s="1"/>
  <c r="J3285" i="49"/>
  <c r="Q3285" i="49" s="1"/>
  <c r="J5027" i="49"/>
  <c r="Q5027" i="49" s="1"/>
  <c r="J2918" i="49"/>
  <c r="Q2918" i="49" s="1"/>
  <c r="J2425" i="49"/>
  <c r="Q2425" i="49" s="1"/>
  <c r="J749" i="46"/>
  <c r="J4711" i="49"/>
  <c r="Q4711" i="49" s="1"/>
  <c r="J4705" i="49"/>
  <c r="Q4705" i="49" s="1"/>
  <c r="J676" i="49"/>
  <c r="Q676" i="49" s="1"/>
  <c r="J682" i="49"/>
  <c r="Q682" i="49"/>
  <c r="J2409" i="49"/>
  <c r="Q2409" i="49" s="1"/>
  <c r="J3458" i="49"/>
  <c r="Q3458" i="49" s="1"/>
  <c r="J5192" i="49"/>
  <c r="Q5192" i="49" s="1"/>
  <c r="Y10" i="51"/>
  <c r="J2730" i="49"/>
  <c r="Q2730" i="49" s="1"/>
  <c r="J284" i="46"/>
  <c r="J1916" i="49"/>
  <c r="Q1916" i="49"/>
  <c r="Q3853" i="49"/>
  <c r="J3853" i="49"/>
  <c r="J1762" i="49"/>
  <c r="Q1762" i="49" s="1"/>
  <c r="F28" i="50"/>
  <c r="J1575" i="49"/>
  <c r="Q1575" i="49" s="1"/>
  <c r="J2865" i="49"/>
  <c r="Q2865" i="49"/>
  <c r="J675" i="49"/>
  <c r="Q675" i="49"/>
  <c r="J981" i="49"/>
  <c r="Q981" i="49" s="1"/>
  <c r="J2302" i="49"/>
  <c r="Q2302" i="49" s="1"/>
  <c r="J253" i="46"/>
  <c r="J1753" i="49"/>
  <c r="Q1753" i="49"/>
  <c r="F19" i="50"/>
  <c r="J1747" i="49"/>
  <c r="Q1747" i="49" s="1"/>
  <c r="F13" i="50"/>
  <c r="J4159" i="49"/>
  <c r="Q4159" i="49" s="1"/>
  <c r="J1148" i="49"/>
  <c r="Q1148" i="49" s="1"/>
  <c r="J701" i="46"/>
  <c r="Q4422" i="49"/>
  <c r="J4422" i="49"/>
  <c r="J4416" i="49"/>
  <c r="Q4416" i="49" s="1"/>
  <c r="J1591" i="49"/>
  <c r="Q1591" i="49" s="1"/>
  <c r="Y7" i="51"/>
  <c r="J4430" i="49"/>
  <c r="Q4430" i="49" s="1"/>
  <c r="J690" i="49"/>
  <c r="Q690" i="49" s="1"/>
  <c r="Q1286" i="49"/>
  <c r="J1286" i="49"/>
  <c r="J700" i="46"/>
  <c r="J4415" i="49"/>
  <c r="Q4415" i="49" s="1"/>
  <c r="J3308" i="49"/>
  <c r="Q3308" i="49" s="1"/>
  <c r="J1270" i="49"/>
  <c r="Q1270" i="49" s="1"/>
  <c r="J4310" i="49"/>
  <c r="Q4310" i="49" s="1"/>
  <c r="J3293" i="49"/>
  <c r="Q3293" i="49"/>
  <c r="J4323" i="49"/>
  <c r="Q4323" i="49" s="1"/>
  <c r="F277" i="50"/>
  <c r="Q4107" i="49"/>
  <c r="J4107" i="49"/>
  <c r="J842" i="49"/>
  <c r="Q842" i="49" s="1"/>
  <c r="J484" i="46"/>
  <c r="J5042" i="49"/>
  <c r="Q5042" i="49" s="1"/>
  <c r="J4021" i="49"/>
  <c r="Q4021" i="49" s="1"/>
  <c r="J4676" i="49"/>
  <c r="Q4676" i="49"/>
  <c r="F52" i="50"/>
  <c r="J4675" i="49"/>
  <c r="Q4675" i="49"/>
  <c r="F51" i="50"/>
  <c r="J4674" i="49"/>
  <c r="Q4674" i="49" s="1"/>
  <c r="F50" i="50"/>
  <c r="J4975" i="49"/>
  <c r="Q4975" i="49" s="1"/>
  <c r="J3154" i="49"/>
  <c r="Q3154" i="49" s="1"/>
  <c r="J4967" i="49"/>
  <c r="Q4967" i="49" s="1"/>
  <c r="J4968" i="49"/>
  <c r="Q4968" i="49" s="1"/>
  <c r="J2591" i="49"/>
  <c r="Q2591" i="49" s="1"/>
  <c r="J90" i="13"/>
  <c r="I64" i="31" s="1"/>
  <c r="G171" i="14"/>
  <c r="W21" i="25"/>
  <c r="W22" i="25" s="1"/>
  <c r="W24" i="25" s="1"/>
  <c r="W41" i="25" s="1"/>
  <c r="AA43" i="10" s="1"/>
  <c r="Q79" i="13"/>
  <c r="P64" i="20" s="1"/>
  <c r="P76" i="20" s="1"/>
  <c r="P77" i="20" s="1"/>
  <c r="O57" i="14"/>
  <c r="H83" i="13"/>
  <c r="G64" i="24" s="1"/>
  <c r="G76" i="24" s="1"/>
  <c r="G77" i="24" s="1"/>
  <c r="F97" i="14"/>
  <c r="K67" i="25"/>
  <c r="K68" i="25" s="1"/>
  <c r="L86" i="13"/>
  <c r="K64" i="27" s="1"/>
  <c r="K76" i="27" s="1"/>
  <c r="K77" i="27" s="1"/>
  <c r="J127" i="14"/>
  <c r="M87" i="13"/>
  <c r="L64" i="28" s="1"/>
  <c r="L76" i="28" s="1"/>
  <c r="L77" i="28" s="1"/>
  <c r="K137" i="14"/>
  <c r="F67" i="26"/>
  <c r="F68" i="26" s="1"/>
  <c r="W21" i="16"/>
  <c r="W22" i="16" s="1"/>
  <c r="W24" i="16" s="1"/>
  <c r="W41" i="16" s="1"/>
  <c r="W21" i="15"/>
  <c r="W22" i="15" s="1"/>
  <c r="W24" i="15" s="1"/>
  <c r="W41" i="15" s="1"/>
  <c r="X21" i="17"/>
  <c r="X22" i="17" s="1"/>
  <c r="X24" i="17" s="1"/>
  <c r="X41" i="17" s="1"/>
  <c r="V45" i="21"/>
  <c r="V73" i="21"/>
  <c r="Y21" i="30"/>
  <c r="Y22" i="30" s="1"/>
  <c r="Y24" i="30" s="1"/>
  <c r="Y41" i="30" s="1"/>
  <c r="H79" i="13"/>
  <c r="G64" i="20" s="1"/>
  <c r="F57" i="14"/>
  <c r="Y21" i="26"/>
  <c r="Y22" i="26" s="1"/>
  <c r="Y24" i="26" s="1"/>
  <c r="Y41" i="26" s="1"/>
  <c r="R8" i="52"/>
  <c r="H277" i="49"/>
  <c r="U41" i="8"/>
  <c r="X73" i="26"/>
  <c r="X83" i="26"/>
  <c r="X81" i="26"/>
  <c r="X45" i="26"/>
  <c r="AB44" i="10"/>
  <c r="H88" i="13"/>
  <c r="G64" i="29" s="1"/>
  <c r="G76" i="29" s="1"/>
  <c r="G77" i="29" s="1"/>
  <c r="F147" i="14"/>
  <c r="K67" i="17"/>
  <c r="K68" i="17" s="1"/>
  <c r="V73" i="24"/>
  <c r="V45" i="24"/>
  <c r="X45" i="30"/>
  <c r="X73" i="30"/>
  <c r="X83" i="30"/>
  <c r="X81" i="30"/>
  <c r="AB48" i="10"/>
  <c r="X17" i="8"/>
  <c r="U73" i="16"/>
  <c r="U45" i="16"/>
  <c r="Y79" i="17"/>
  <c r="Y85" i="17"/>
  <c r="Y80" i="17"/>
  <c r="Y82" i="17"/>
  <c r="V83" i="17" s="1"/>
  <c r="X39" i="22"/>
  <c r="X19" i="23"/>
  <c r="X39" i="25"/>
  <c r="W21" i="23"/>
  <c r="W22" i="23" s="1"/>
  <c r="W24" i="23" s="1"/>
  <c r="W41" i="23" s="1"/>
  <c r="AA41" i="10" s="1"/>
  <c r="U45" i="24"/>
  <c r="U73" i="24"/>
  <c r="X39" i="21"/>
  <c r="L56" i="21"/>
  <c r="L54" i="21"/>
  <c r="J153" i="49"/>
  <c r="Q153" i="49" s="1"/>
  <c r="E153" i="50"/>
  <c r="G153" i="50" s="1"/>
  <c r="H153" i="50" s="1"/>
  <c r="J204" i="49"/>
  <c r="Q204" i="49"/>
  <c r="E204" i="50"/>
  <c r="E83" i="30"/>
  <c r="Q83" i="30"/>
  <c r="P83" i="30"/>
  <c r="V83" i="30"/>
  <c r="G83" i="30"/>
  <c r="F86" i="30"/>
  <c r="J83" i="30"/>
  <c r="M83" i="30"/>
  <c r="U83" i="30"/>
  <c r="E86" i="30"/>
  <c r="X19" i="29"/>
  <c r="E124" i="14"/>
  <c r="H57" i="13" s="1"/>
  <c r="G48" i="26" s="1"/>
  <c r="U73" i="27"/>
  <c r="U45" i="27"/>
  <c r="C43" i="1"/>
  <c r="I43" i="1" s="1"/>
  <c r="W13" i="39"/>
  <c r="V13" i="39"/>
  <c r="F10" i="32"/>
  <c r="J10" i="3"/>
  <c r="G10" i="32" s="1"/>
  <c r="G10" i="38" s="1"/>
  <c r="N1779" i="49"/>
  <c r="O1779" i="49" s="1"/>
  <c r="N1804" i="49"/>
  <c r="O1804" i="49" s="1"/>
  <c r="C15" i="4"/>
  <c r="N1905" i="49"/>
  <c r="O1905" i="49" s="1"/>
  <c r="N2019" i="49"/>
  <c r="O2019" i="49" s="1"/>
  <c r="N1919" i="49"/>
  <c r="O1919" i="49" s="1"/>
  <c r="N1759" i="49"/>
  <c r="O1759" i="49" s="1"/>
  <c r="N1819" i="49"/>
  <c r="O1819" i="49" s="1"/>
  <c r="N1799" i="49"/>
  <c r="O1799" i="49" s="1"/>
  <c r="N1820" i="49"/>
  <c r="O1820" i="49" s="1"/>
  <c r="N1835" i="49"/>
  <c r="O1835" i="49" s="1"/>
  <c r="N1913" i="49"/>
  <c r="O1913" i="49" s="1"/>
  <c r="N1970" i="49"/>
  <c r="O1970" i="49" s="1"/>
  <c r="N1986" i="49"/>
  <c r="O1986" i="49" s="1"/>
  <c r="N1836" i="49"/>
  <c r="O1836" i="49" s="1"/>
  <c r="N1949" i="49"/>
  <c r="O1949" i="49" s="1"/>
  <c r="N2010" i="49"/>
  <c r="O2010" i="49" s="1"/>
  <c r="N1920" i="49"/>
  <c r="O1920" i="49" s="1"/>
  <c r="N1831" i="49"/>
  <c r="O1831" i="49" s="1"/>
  <c r="N1769" i="49"/>
  <c r="O1769" i="49" s="1"/>
  <c r="N1807" i="49"/>
  <c r="O1807" i="49" s="1"/>
  <c r="N1742" i="49"/>
  <c r="O1742" i="49" s="1"/>
  <c r="N2008" i="49"/>
  <c r="O2008" i="49" s="1"/>
  <c r="N1899" i="49"/>
  <c r="O1899" i="49" s="1"/>
  <c r="N1767" i="49"/>
  <c r="O1767" i="49" s="1"/>
  <c r="N1840" i="49"/>
  <c r="O1840" i="49" s="1"/>
  <c r="N1824" i="49"/>
  <c r="O1824" i="49" s="1"/>
  <c r="N1999" i="49"/>
  <c r="O1999" i="49" s="1"/>
  <c r="N1904" i="49"/>
  <c r="O1904" i="49" s="1"/>
  <c r="N1898" i="49"/>
  <c r="O1898" i="49" s="1"/>
  <c r="N1869" i="49"/>
  <c r="O1869" i="49" s="1"/>
  <c r="N1761" i="49"/>
  <c r="O1761" i="49" s="1"/>
  <c r="N1960" i="49"/>
  <c r="O1960" i="49" s="1"/>
  <c r="N1870" i="49"/>
  <c r="O1870" i="49" s="1"/>
  <c r="N1810" i="49"/>
  <c r="O1810" i="49" s="1"/>
  <c r="N1940" i="49"/>
  <c r="O1940" i="49" s="1"/>
  <c r="N2024" i="49"/>
  <c r="O2024" i="49" s="1"/>
  <c r="N1851" i="49"/>
  <c r="O1851" i="49" s="1"/>
  <c r="N1813" i="49"/>
  <c r="O1813" i="49" s="1"/>
  <c r="N1959" i="49"/>
  <c r="O1959" i="49" s="1"/>
  <c r="N1829" i="49"/>
  <c r="O1829" i="49" s="1"/>
  <c r="N1935" i="49"/>
  <c r="O1935" i="49" s="1"/>
  <c r="N1937" i="49"/>
  <c r="O1937" i="49" s="1"/>
  <c r="N1806" i="49"/>
  <c r="O1806" i="49" s="1"/>
  <c r="N1957" i="49"/>
  <c r="O1957" i="49" s="1"/>
  <c r="N1956" i="49"/>
  <c r="O1956" i="49" s="1"/>
  <c r="N1789" i="49"/>
  <c r="O1789" i="49" s="1"/>
  <c r="N1918" i="49"/>
  <c r="O1918" i="49" s="1"/>
  <c r="N1790" i="49"/>
  <c r="O1790" i="49" s="1"/>
  <c r="N1911" i="49"/>
  <c r="O1911" i="49" s="1"/>
  <c r="N1879" i="49"/>
  <c r="O1879" i="49" s="1"/>
  <c r="N1931" i="49"/>
  <c r="O1931" i="49" s="1"/>
  <c r="N1945" i="49"/>
  <c r="O1945" i="49" s="1"/>
  <c r="N1885" i="49"/>
  <c r="O1885" i="49" s="1"/>
  <c r="N2013" i="49"/>
  <c r="O2013" i="49" s="1"/>
  <c r="N2009" i="49"/>
  <c r="O2009" i="49" s="1"/>
  <c r="N1843" i="49"/>
  <c r="O1843" i="49" s="1"/>
  <c r="N1777" i="49"/>
  <c r="O1777" i="49" s="1"/>
  <c r="N1985" i="49"/>
  <c r="O1985" i="49" s="1"/>
  <c r="N1907" i="49"/>
  <c r="O1907" i="49" s="1"/>
  <c r="N1998" i="49"/>
  <c r="O1998" i="49" s="1"/>
  <c r="N2006" i="49"/>
  <c r="O2006" i="49" s="1"/>
  <c r="N1933" i="49"/>
  <c r="O1933" i="49" s="1"/>
  <c r="N1798" i="49"/>
  <c r="O1798" i="49" s="1"/>
  <c r="N1965" i="49"/>
  <c r="O1965" i="49" s="1"/>
  <c r="N1915" i="49"/>
  <c r="O1915" i="49" s="1"/>
  <c r="N1914" i="49"/>
  <c r="O1914" i="49" s="1"/>
  <c r="N1977" i="49"/>
  <c r="O1977" i="49" s="1"/>
  <c r="N1756" i="49"/>
  <c r="O1756" i="49" s="1"/>
  <c r="N1963" i="49"/>
  <c r="O1963" i="49" s="1"/>
  <c r="N1872" i="49"/>
  <c r="O1872" i="49" s="1"/>
  <c r="N2016" i="49"/>
  <c r="O2016" i="49" s="1"/>
  <c r="N1763" i="49"/>
  <c r="O1763" i="49" s="1"/>
  <c r="N1983" i="49"/>
  <c r="O1983" i="49" s="1"/>
  <c r="N1995" i="49"/>
  <c r="O1995" i="49" s="1"/>
  <c r="N1886" i="49"/>
  <c r="O1886" i="49" s="1"/>
  <c r="N1828" i="49"/>
  <c r="O1828" i="49" s="1"/>
  <c r="N1975" i="49"/>
  <c r="O1975" i="49" s="1"/>
  <c r="N1979" i="49"/>
  <c r="O1979" i="49" s="1"/>
  <c r="N1793" i="49"/>
  <c r="O1793" i="49" s="1"/>
  <c r="N1974" i="49"/>
  <c r="O1974" i="49" s="1"/>
  <c r="N1994" i="49"/>
  <c r="O1994" i="49" s="1"/>
  <c r="N2026" i="49"/>
  <c r="O2026" i="49" s="1"/>
  <c r="N1845" i="49"/>
  <c r="O1845" i="49" s="1"/>
  <c r="N1833" i="49"/>
  <c r="O1833" i="49" s="1"/>
  <c r="N1750" i="49"/>
  <c r="O1750" i="49" s="1"/>
  <c r="N2018" i="49"/>
  <c r="O2018" i="49" s="1"/>
  <c r="N1776" i="49"/>
  <c r="O1776" i="49" s="1"/>
  <c r="N1863" i="49"/>
  <c r="O1863" i="49" s="1"/>
  <c r="N1762" i="49"/>
  <c r="O1762" i="49" s="1"/>
  <c r="N1859" i="49"/>
  <c r="O1859" i="49" s="1"/>
  <c r="N1792" i="49"/>
  <c r="O1792" i="49" s="1"/>
  <c r="N1850" i="49"/>
  <c r="O1850" i="49" s="1"/>
  <c r="N1871" i="49"/>
  <c r="O1871" i="49" s="1"/>
  <c r="N1903" i="49"/>
  <c r="O1903" i="49" s="1"/>
  <c r="N1952" i="49"/>
  <c r="O1952" i="49" s="1"/>
  <c r="N2000" i="49"/>
  <c r="O2000" i="49" s="1"/>
  <c r="N1993" i="49"/>
  <c r="O1993" i="49" s="1"/>
  <c r="N1849" i="49"/>
  <c r="O1849" i="49" s="1"/>
  <c r="N1971" i="49"/>
  <c r="O1971" i="49" s="1"/>
  <c r="N1795" i="49"/>
  <c r="O1795" i="49" s="1"/>
  <c r="N1801" i="49"/>
  <c r="O1801" i="49" s="1"/>
  <c r="N1780" i="49"/>
  <c r="O1780" i="49" s="1"/>
  <c r="N1936" i="49"/>
  <c r="O1936" i="49" s="1"/>
  <c r="N1815" i="49"/>
  <c r="O1815" i="49" s="1"/>
  <c r="N1830" i="49"/>
  <c r="O1830" i="49" s="1"/>
  <c r="N1883" i="49"/>
  <c r="O1883" i="49" s="1"/>
  <c r="N1889" i="49"/>
  <c r="O1889" i="49" s="1"/>
  <c r="N1927" i="49"/>
  <c r="O1927" i="49" s="1"/>
  <c r="N1812" i="49"/>
  <c r="O1812" i="49" s="1"/>
  <c r="N1887" i="49"/>
  <c r="O1887" i="49" s="1"/>
  <c r="N1822" i="49"/>
  <c r="O1822" i="49" s="1"/>
  <c r="N1768" i="49"/>
  <c r="O1768" i="49" s="1"/>
  <c r="N1912" i="49"/>
  <c r="O1912" i="49" s="1"/>
  <c r="N1968" i="49"/>
  <c r="O1968" i="49" s="1"/>
  <c r="N1892" i="49"/>
  <c r="O1892" i="49" s="1"/>
  <c r="N2011" i="49"/>
  <c r="O2011" i="49" s="1"/>
  <c r="N2021" i="49"/>
  <c r="O2021" i="49" s="1"/>
  <c r="N1929" i="49"/>
  <c r="O1929" i="49" s="1"/>
  <c r="N1818" i="49"/>
  <c r="O1818" i="49" s="1"/>
  <c r="N1783" i="49"/>
  <c r="O1783" i="49" s="1"/>
  <c r="N1741" i="49"/>
  <c r="O1741" i="49" s="1"/>
  <c r="N1853" i="49"/>
  <c r="O1853" i="49" s="1"/>
  <c r="N1772" i="49"/>
  <c r="O1772" i="49" s="1"/>
  <c r="N1942" i="49"/>
  <c r="O1942" i="49" s="1"/>
  <c r="N1978" i="49"/>
  <c r="O1978" i="49" s="1"/>
  <c r="N1796" i="49"/>
  <c r="O1796" i="49" s="1"/>
  <c r="N1757" i="49"/>
  <c r="O1757" i="49" s="1"/>
  <c r="N1917" i="49"/>
  <c r="O1917" i="49" s="1"/>
  <c r="N1961" i="49"/>
  <c r="O1961" i="49" s="1"/>
  <c r="N1765" i="49"/>
  <c r="O1765" i="49" s="1"/>
  <c r="N1925" i="49"/>
  <c r="O1925" i="49" s="1"/>
  <c r="N1896" i="49"/>
  <c r="O1896" i="49" s="1"/>
  <c r="N1880" i="49"/>
  <c r="O1880" i="49" s="1"/>
  <c r="N1902" i="49"/>
  <c r="O1902" i="49" s="1"/>
  <c r="N1966" i="49"/>
  <c r="O1966" i="49" s="1"/>
  <c r="N1922" i="49"/>
  <c r="O1922" i="49" s="1"/>
  <c r="N1816" i="49"/>
  <c r="O1816" i="49" s="1"/>
  <c r="N1982" i="49"/>
  <c r="O1982" i="49" s="1"/>
  <c r="N1775" i="49"/>
  <c r="O1775" i="49" s="1"/>
  <c r="N2014" i="49"/>
  <c r="O2014" i="49" s="1"/>
  <c r="N1746" i="49"/>
  <c r="O1746" i="49" s="1"/>
  <c r="N1842" i="49"/>
  <c r="O1842" i="49" s="1"/>
  <c r="N2012" i="49"/>
  <c r="O2012" i="49" s="1"/>
  <c r="N2025" i="49"/>
  <c r="O2025" i="49" s="1"/>
  <c r="N1755" i="49"/>
  <c r="O1755" i="49" s="1"/>
  <c r="N1855" i="49"/>
  <c r="O1855" i="49" s="1"/>
  <c r="N1926" i="49"/>
  <c r="O1926" i="49" s="1"/>
  <c r="N1839" i="49"/>
  <c r="O1839" i="49" s="1"/>
  <c r="N1787" i="49"/>
  <c r="O1787" i="49" s="1"/>
  <c r="N1951" i="49"/>
  <c r="O1951" i="49" s="1"/>
  <c r="N1939" i="49"/>
  <c r="O1939" i="49" s="1"/>
  <c r="N1745" i="49"/>
  <c r="O1745" i="49" s="1"/>
  <c r="N1991" i="49"/>
  <c r="O1991" i="49" s="1"/>
  <c r="N1858" i="49"/>
  <c r="O1858" i="49" s="1"/>
  <c r="N1996" i="49"/>
  <c r="O1996" i="49" s="1"/>
  <c r="N1782" i="49"/>
  <c r="O1782" i="49" s="1"/>
  <c r="N1814" i="49"/>
  <c r="O1814" i="49" s="1"/>
  <c r="N1894" i="49"/>
  <c r="O1894" i="49" s="1"/>
  <c r="N1948" i="49"/>
  <c r="O1948" i="49" s="1"/>
  <c r="N1800" i="49"/>
  <c r="O1800" i="49" s="1"/>
  <c r="N1955" i="49"/>
  <c r="O1955" i="49" s="1"/>
  <c r="N1950" i="49"/>
  <c r="O1950" i="49" s="1"/>
  <c r="N1866" i="49"/>
  <c r="O1866" i="49" s="1"/>
  <c r="N1825" i="49"/>
  <c r="O1825" i="49" s="1"/>
  <c r="N1910" i="49"/>
  <c r="O1910" i="49" s="1"/>
  <c r="N1969" i="49"/>
  <c r="O1969" i="49" s="1"/>
  <c r="N2002" i="49"/>
  <c r="O2002" i="49" s="1"/>
  <c r="N1943" i="49"/>
  <c r="O1943" i="49" s="1"/>
  <c r="N1916" i="49"/>
  <c r="O1916" i="49" s="1"/>
  <c r="N1758" i="49"/>
  <c r="O1758" i="49" s="1"/>
  <c r="N1884" i="49"/>
  <c r="O1884" i="49" s="1"/>
  <c r="N1921" i="49"/>
  <c r="O1921" i="49" s="1"/>
  <c r="N1947" i="49"/>
  <c r="O1947" i="49" s="1"/>
  <c r="N1854" i="49"/>
  <c r="O1854" i="49" s="1"/>
  <c r="N1988" i="49"/>
  <c r="O1988" i="49" s="1"/>
  <c r="N2005" i="49"/>
  <c r="O2005" i="49" s="1"/>
  <c r="N1826" i="49"/>
  <c r="O1826" i="49" s="1"/>
  <c r="N1774" i="49"/>
  <c r="O1774" i="49" s="1"/>
  <c r="N1987" i="49"/>
  <c r="O1987" i="49" s="1"/>
  <c r="N1864" i="49"/>
  <c r="O1864" i="49" s="1"/>
  <c r="N2003" i="49"/>
  <c r="O2003" i="49" s="1"/>
  <c r="N2001" i="49"/>
  <c r="O2001" i="49" s="1"/>
  <c r="N1941" i="49"/>
  <c r="O1941" i="49" s="1"/>
  <c r="N1992" i="49"/>
  <c r="O1992" i="49" s="1"/>
  <c r="N1972" i="49"/>
  <c r="O1972" i="49" s="1"/>
  <c r="N1748" i="49"/>
  <c r="O1748" i="49" s="1"/>
  <c r="N1909" i="49"/>
  <c r="O1909" i="49" s="1"/>
  <c r="N1744" i="49"/>
  <c r="O1744" i="49" s="1"/>
  <c r="N1878" i="49"/>
  <c r="O1878" i="49" s="1"/>
  <c r="N1946" i="49"/>
  <c r="O1946" i="49" s="1"/>
  <c r="N1752" i="49"/>
  <c r="O1752" i="49" s="1"/>
  <c r="N1923" i="49"/>
  <c r="O1923" i="49" s="1"/>
  <c r="N1770" i="49"/>
  <c r="O1770" i="49" s="1"/>
  <c r="N1760" i="49"/>
  <c r="O1760" i="49" s="1"/>
  <c r="N1890" i="49"/>
  <c r="O1890" i="49" s="1"/>
  <c r="N1784" i="49"/>
  <c r="O1784" i="49" s="1"/>
  <c r="N1857" i="49"/>
  <c r="O1857" i="49" s="1"/>
  <c r="N1764" i="49"/>
  <c r="O1764" i="49" s="1"/>
  <c r="N1841" i="49"/>
  <c r="O1841" i="49" s="1"/>
  <c r="N1809" i="49"/>
  <c r="O1809" i="49" s="1"/>
  <c r="N1788" i="49"/>
  <c r="O1788" i="49" s="1"/>
  <c r="N1786" i="49"/>
  <c r="O1786" i="49" s="1"/>
  <c r="N1856" i="49"/>
  <c r="O1856" i="49" s="1"/>
  <c r="N1867" i="49"/>
  <c r="O1867" i="49" s="1"/>
  <c r="N1743" i="49"/>
  <c r="O1743" i="49" s="1"/>
  <c r="N1740" i="49"/>
  <c r="O1740" i="49" s="1"/>
  <c r="N1954" i="49"/>
  <c r="O1954" i="49" s="1"/>
  <c r="N1928" i="49"/>
  <c r="O1928" i="49" s="1"/>
  <c r="N1805" i="49"/>
  <c r="O1805" i="49" s="1"/>
  <c r="N1900" i="49"/>
  <c r="O1900" i="49" s="1"/>
  <c r="N1930" i="49"/>
  <c r="O1930" i="49" s="1"/>
  <c r="N1754" i="49"/>
  <c r="O1754" i="49" s="1"/>
  <c r="N1837" i="49"/>
  <c r="O1837" i="49" s="1"/>
  <c r="N1803" i="49"/>
  <c r="O1803" i="49" s="1"/>
  <c r="N1808" i="49"/>
  <c r="O1808" i="49" s="1"/>
  <c r="N1846" i="49"/>
  <c r="O1846" i="49" s="1"/>
  <c r="N1924" i="49"/>
  <c r="O1924" i="49" s="1"/>
  <c r="N1751" i="49"/>
  <c r="O1751" i="49" s="1"/>
  <c r="N2020" i="49"/>
  <c r="O2020" i="49" s="1"/>
  <c r="N1901" i="49"/>
  <c r="O1901" i="49" s="1"/>
  <c r="N1962" i="49"/>
  <c r="O1962" i="49" s="1"/>
  <c r="N1844" i="49"/>
  <c r="O1844" i="49" s="1"/>
  <c r="N1834" i="49"/>
  <c r="O1834" i="49" s="1"/>
  <c r="N1976" i="49"/>
  <c r="O1976" i="49" s="1"/>
  <c r="N1967" i="49"/>
  <c r="O1967" i="49" s="1"/>
  <c r="N1944" i="49"/>
  <c r="O1944" i="49" s="1"/>
  <c r="N1827" i="49"/>
  <c r="O1827" i="49" s="1"/>
  <c r="N2027" i="49"/>
  <c r="O2027" i="49" s="1"/>
  <c r="N1821" i="49"/>
  <c r="O1821" i="49" s="1"/>
  <c r="N1895" i="49"/>
  <c r="O1895" i="49" s="1"/>
  <c r="N1934" i="49"/>
  <c r="O1934" i="49" s="1"/>
  <c r="N1739" i="49"/>
  <c r="O1739" i="49" s="1"/>
  <c r="N2017" i="49"/>
  <c r="O2017" i="49" s="1"/>
  <c r="N1773" i="49"/>
  <c r="O1773" i="49" s="1"/>
  <c r="N1984" i="49"/>
  <c r="O1984" i="49" s="1"/>
  <c r="N1953" i="49"/>
  <c r="O1953" i="49" s="1"/>
  <c r="N1797" i="49"/>
  <c r="O1797" i="49" s="1"/>
  <c r="N1891" i="49"/>
  <c r="O1891" i="49" s="1"/>
  <c r="N1847" i="49"/>
  <c r="O1847" i="49" s="1"/>
  <c r="N1990" i="49"/>
  <c r="O1990" i="49" s="1"/>
  <c r="N1938" i="49"/>
  <c r="O1938" i="49" s="1"/>
  <c r="N1766" i="49"/>
  <c r="O1766" i="49" s="1"/>
  <c r="N2022" i="49"/>
  <c r="O2022" i="49" s="1"/>
  <c r="N1873" i="49"/>
  <c r="O1873" i="49" s="1"/>
  <c r="N1897" i="49"/>
  <c r="O1897" i="49" s="1"/>
  <c r="N1964" i="49"/>
  <c r="O1964" i="49" s="1"/>
  <c r="N1875" i="49"/>
  <c r="O1875" i="49" s="1"/>
  <c r="N1958" i="49"/>
  <c r="O1958" i="49" s="1"/>
  <c r="N2007" i="49"/>
  <c r="O2007" i="49" s="1"/>
  <c r="N1852" i="49"/>
  <c r="O1852" i="49" s="1"/>
  <c r="N1874" i="49"/>
  <c r="O1874" i="49" s="1"/>
  <c r="N1908" i="49"/>
  <c r="O1908" i="49" s="1"/>
  <c r="N1932" i="49"/>
  <c r="O1932" i="49" s="1"/>
  <c r="N1973" i="49"/>
  <c r="O1973" i="49" s="1"/>
  <c r="N1781" i="49"/>
  <c r="O1781" i="49" s="1"/>
  <c r="N2015" i="49"/>
  <c r="O2015" i="49" s="1"/>
  <c r="N1823" i="49"/>
  <c r="O1823" i="49" s="1"/>
  <c r="N1802" i="49"/>
  <c r="O1802" i="49" s="1"/>
  <c r="N1862" i="49"/>
  <c r="O1862" i="49" s="1"/>
  <c r="N1817" i="49"/>
  <c r="O1817" i="49" s="1"/>
  <c r="N1882" i="49"/>
  <c r="O1882" i="49" s="1"/>
  <c r="N1832" i="49"/>
  <c r="O1832" i="49" s="1"/>
  <c r="N1888" i="49"/>
  <c r="O1888" i="49" s="1"/>
  <c r="N1881" i="49"/>
  <c r="O1881" i="49" s="1"/>
  <c r="N2023" i="49"/>
  <c r="O2023" i="49" s="1"/>
  <c r="N1785" i="49"/>
  <c r="O1785" i="49" s="1"/>
  <c r="N1980" i="49"/>
  <c r="O1980" i="49" s="1"/>
  <c r="N1981" i="49"/>
  <c r="O1981" i="49" s="1"/>
  <c r="N1877" i="49"/>
  <c r="O1877" i="49" s="1"/>
  <c r="N1860" i="49"/>
  <c r="O1860" i="49" s="1"/>
  <c r="N1747" i="49"/>
  <c r="O1747" i="49" s="1"/>
  <c r="N1753" i="49"/>
  <c r="O1753" i="49" s="1"/>
  <c r="N1868" i="49"/>
  <c r="O1868" i="49" s="1"/>
  <c r="N2004" i="49"/>
  <c r="O2004" i="49" s="1"/>
  <c r="N1838" i="49"/>
  <c r="O1838" i="49" s="1"/>
  <c r="N1794" i="49"/>
  <c r="O1794" i="49" s="1"/>
  <c r="N1997" i="49"/>
  <c r="O1997" i="49" s="1"/>
  <c r="N1771" i="49"/>
  <c r="O1771" i="49" s="1"/>
  <c r="N1791" i="49"/>
  <c r="O1791" i="49" s="1"/>
  <c r="N1778" i="49"/>
  <c r="O1778" i="49" s="1"/>
  <c r="N1848" i="49"/>
  <c r="O1848" i="49" s="1"/>
  <c r="N1989" i="49"/>
  <c r="O1989" i="49" s="1"/>
  <c r="N1749" i="49"/>
  <c r="O1749" i="49" s="1"/>
  <c r="N1811" i="49"/>
  <c r="O1811" i="49" s="1"/>
  <c r="N1876" i="49"/>
  <c r="O1876" i="49" s="1"/>
  <c r="N1865" i="49"/>
  <c r="O1865" i="49" s="1"/>
  <c r="N1906" i="49"/>
  <c r="O1906" i="49" s="1"/>
  <c r="N1861" i="49"/>
  <c r="O1861" i="49" s="1"/>
  <c r="N1893" i="49"/>
  <c r="O1893" i="49" s="1"/>
  <c r="B26" i="52"/>
  <c r="B16" i="52"/>
  <c r="H19" i="49"/>
  <c r="H13" i="49"/>
  <c r="E67" i="8"/>
  <c r="E68" i="8" s="1"/>
  <c r="X33" i="8"/>
  <c r="Q221" i="49"/>
  <c r="J221" i="49"/>
  <c r="E221" i="50"/>
  <c r="G221" i="50" s="1"/>
  <c r="H221" i="50" s="1"/>
  <c r="J35" i="49"/>
  <c r="Q35" i="49" s="1"/>
  <c r="E35" i="50"/>
  <c r="G35" i="50" s="1"/>
  <c r="H35" i="50" s="1"/>
  <c r="J78" i="14"/>
  <c r="J79" i="14"/>
  <c r="J80" i="14" s="1"/>
  <c r="K39" i="14"/>
  <c r="K40" i="14" s="1"/>
  <c r="K38" i="14"/>
  <c r="U83" i="26"/>
  <c r="M83" i="26"/>
  <c r="Y36" i="31"/>
  <c r="Y31" i="31"/>
  <c r="Y14" i="31"/>
  <c r="Y62" i="31"/>
  <c r="Y30" i="31"/>
  <c r="Y29" i="31"/>
  <c r="Y13" i="31"/>
  <c r="Y44" i="31"/>
  <c r="Y27" i="31"/>
  <c r="Y37" i="31"/>
  <c r="Y38" i="31"/>
  <c r="Y15" i="31"/>
  <c r="Y35" i="31"/>
  <c r="Y28" i="31"/>
  <c r="Y32" i="31"/>
  <c r="Y23" i="31"/>
  <c r="Y16" i="31"/>
  <c r="Y61" i="31"/>
  <c r="Y34" i="31"/>
  <c r="Y18" i="31"/>
  <c r="Y17" i="31"/>
  <c r="Y33" i="31"/>
  <c r="Y72" i="31"/>
  <c r="M3" i="31"/>
  <c r="Y43" i="31"/>
  <c r="Y47" i="31"/>
  <c r="Y60" i="31"/>
  <c r="Y75" i="31"/>
  <c r="Y66" i="31"/>
  <c r="Y49" i="10"/>
  <c r="Q49" i="10"/>
  <c r="V49" i="10"/>
  <c r="T49" i="10"/>
  <c r="X49" i="10"/>
  <c r="U49" i="10"/>
  <c r="R49" i="10"/>
  <c r="W49" i="10"/>
  <c r="Z49" i="10"/>
  <c r="T83" i="26"/>
  <c r="J83" i="26"/>
  <c r="J103" i="49"/>
  <c r="Q103" i="49" s="1"/>
  <c r="E103" i="50"/>
  <c r="G103" i="50" s="1"/>
  <c r="H103" i="50" s="1"/>
  <c r="X19" i="19"/>
  <c r="X13" i="8"/>
  <c r="X36" i="8"/>
  <c r="W21" i="31"/>
  <c r="W22" i="31" s="1"/>
  <c r="W24" i="31" s="1"/>
  <c r="W41" i="31" s="1"/>
  <c r="AA49" i="10" s="1"/>
  <c r="J101" i="49"/>
  <c r="Q101" i="49" s="1"/>
  <c r="E101" i="50"/>
  <c r="G101" i="50" s="1"/>
  <c r="H101" i="50" s="1"/>
  <c r="H85" i="13"/>
  <c r="G64" i="26" s="1"/>
  <c r="G76" i="26" s="1"/>
  <c r="G77" i="26" s="1"/>
  <c r="F117" i="14"/>
  <c r="X80" i="28"/>
  <c r="X85" i="28"/>
  <c r="X82" i="28"/>
  <c r="X79" i="28"/>
  <c r="X63" i="28"/>
  <c r="G83" i="26"/>
  <c r="J245" i="49"/>
  <c r="Q245" i="49" s="1"/>
  <c r="E245" i="50"/>
  <c r="G245" i="50" s="1"/>
  <c r="H245" i="50" s="1"/>
  <c r="X39" i="24"/>
  <c r="Q152" i="49"/>
  <c r="J152" i="49"/>
  <c r="E152" i="50"/>
  <c r="G152" i="50" s="1"/>
  <c r="H152" i="50" s="1"/>
  <c r="J289" i="49"/>
  <c r="Q289" i="49" s="1"/>
  <c r="E289" i="50"/>
  <c r="G289" i="50" s="1"/>
  <c r="H289" i="50" s="1"/>
  <c r="O86" i="26"/>
  <c r="V73" i="29"/>
  <c r="V45" i="29"/>
  <c r="C47" i="1"/>
  <c r="I47" i="1" s="1"/>
  <c r="W17" i="39"/>
  <c r="V17" i="39"/>
  <c r="J14" i="3"/>
  <c r="G14" i="32" s="1"/>
  <c r="G14" i="38" s="1"/>
  <c r="C19" i="4"/>
  <c r="F14" i="32"/>
  <c r="N3015" i="49"/>
  <c r="O3015" i="49" s="1"/>
  <c r="N2934" i="49"/>
  <c r="O2934" i="49" s="1"/>
  <c r="N3083" i="49"/>
  <c r="O3083" i="49" s="1"/>
  <c r="N2942" i="49"/>
  <c r="O2942" i="49" s="1"/>
  <c r="N3147" i="49"/>
  <c r="O3147" i="49" s="1"/>
  <c r="N3163" i="49"/>
  <c r="O3163" i="49" s="1"/>
  <c r="N2940" i="49"/>
  <c r="O2940" i="49" s="1"/>
  <c r="N3050" i="49"/>
  <c r="O3050" i="49" s="1"/>
  <c r="N3056" i="49"/>
  <c r="O3056" i="49" s="1"/>
  <c r="N3169" i="49"/>
  <c r="O3169" i="49" s="1"/>
  <c r="N3053" i="49"/>
  <c r="O3053" i="49" s="1"/>
  <c r="N3094" i="49"/>
  <c r="O3094" i="49" s="1"/>
  <c r="N2951" i="49"/>
  <c r="O2951" i="49" s="1"/>
  <c r="N2913" i="49"/>
  <c r="O2913" i="49" s="1"/>
  <c r="N3026" i="49"/>
  <c r="O3026" i="49" s="1"/>
  <c r="N3051" i="49"/>
  <c r="O3051" i="49" s="1"/>
  <c r="N3028" i="49"/>
  <c r="O3028" i="49" s="1"/>
  <c r="N3033" i="49"/>
  <c r="O3033" i="49" s="1"/>
  <c r="N3159" i="49"/>
  <c r="O3159" i="49" s="1"/>
  <c r="N3171" i="49"/>
  <c r="O3171" i="49" s="1"/>
  <c r="N2941" i="49"/>
  <c r="O2941" i="49" s="1"/>
  <c r="N2961" i="49"/>
  <c r="O2961" i="49" s="1"/>
  <c r="N3057" i="49"/>
  <c r="O3057" i="49" s="1"/>
  <c r="N2903" i="49"/>
  <c r="O2903" i="49" s="1"/>
  <c r="N2919" i="49"/>
  <c r="O2919" i="49" s="1"/>
  <c r="N2924" i="49"/>
  <c r="O2924" i="49" s="1"/>
  <c r="N2956" i="49"/>
  <c r="O2956" i="49" s="1"/>
  <c r="N2909" i="49"/>
  <c r="O2909" i="49" s="1"/>
  <c r="N2939" i="49"/>
  <c r="O2939" i="49" s="1"/>
  <c r="N2948" i="49"/>
  <c r="O2948" i="49" s="1"/>
  <c r="N3175" i="49"/>
  <c r="O3175" i="49" s="1"/>
  <c r="N3166" i="49"/>
  <c r="O3166" i="49" s="1"/>
  <c r="N3103" i="49"/>
  <c r="O3103" i="49" s="1"/>
  <c r="N2931" i="49"/>
  <c r="O2931" i="49" s="1"/>
  <c r="N2907" i="49"/>
  <c r="O2907" i="49" s="1"/>
  <c r="N3172" i="49"/>
  <c r="O3172" i="49" s="1"/>
  <c r="N3125" i="49"/>
  <c r="O3125" i="49" s="1"/>
  <c r="N2962" i="49"/>
  <c r="O2962" i="49" s="1"/>
  <c r="N2966" i="49"/>
  <c r="O2966" i="49" s="1"/>
  <c r="N3099" i="49"/>
  <c r="O3099" i="49" s="1"/>
  <c r="N2937" i="49"/>
  <c r="O2937" i="49" s="1"/>
  <c r="N3118" i="49"/>
  <c r="O3118" i="49" s="1"/>
  <c r="N2988" i="49"/>
  <c r="O2988" i="49" s="1"/>
  <c r="N3114" i="49"/>
  <c r="O3114" i="49" s="1"/>
  <c r="N3032" i="49"/>
  <c r="O3032" i="49" s="1"/>
  <c r="N3093" i="49"/>
  <c r="O3093" i="49" s="1"/>
  <c r="N3120" i="49"/>
  <c r="O3120" i="49" s="1"/>
  <c r="N3174" i="49"/>
  <c r="O3174" i="49" s="1"/>
  <c r="N2957" i="49"/>
  <c r="O2957" i="49" s="1"/>
  <c r="N2963" i="49"/>
  <c r="O2963" i="49" s="1"/>
  <c r="N2921" i="49"/>
  <c r="O2921" i="49" s="1"/>
  <c r="N2955" i="49"/>
  <c r="O2955" i="49" s="1"/>
  <c r="N3071" i="49"/>
  <c r="O3071" i="49" s="1"/>
  <c r="N2946" i="49"/>
  <c r="O2946" i="49" s="1"/>
  <c r="N2976" i="49"/>
  <c r="O2976" i="49" s="1"/>
  <c r="N3001" i="49"/>
  <c r="O3001" i="49" s="1"/>
  <c r="N3081" i="49"/>
  <c r="O3081" i="49" s="1"/>
  <c r="N3005" i="49"/>
  <c r="O3005" i="49" s="1"/>
  <c r="N3095" i="49"/>
  <c r="O3095" i="49" s="1"/>
  <c r="N3052" i="49"/>
  <c r="O3052" i="49" s="1"/>
  <c r="N3031" i="49"/>
  <c r="O3031" i="49" s="1"/>
  <c r="N2982" i="49"/>
  <c r="O2982" i="49" s="1"/>
  <c r="N3155" i="49"/>
  <c r="O3155" i="49" s="1"/>
  <c r="N3085" i="49"/>
  <c r="O3085" i="49" s="1"/>
  <c r="N3079" i="49"/>
  <c r="O3079" i="49" s="1"/>
  <c r="N3003" i="49"/>
  <c r="O3003" i="49" s="1"/>
  <c r="N3179" i="49"/>
  <c r="O3179" i="49" s="1"/>
  <c r="N3113" i="49"/>
  <c r="O3113" i="49" s="1"/>
  <c r="N3087" i="49"/>
  <c r="O3087" i="49" s="1"/>
  <c r="N3040" i="49"/>
  <c r="O3040" i="49" s="1"/>
  <c r="N3177" i="49"/>
  <c r="O3177" i="49" s="1"/>
  <c r="N2949" i="49"/>
  <c r="O2949" i="49" s="1"/>
  <c r="N3158" i="49"/>
  <c r="O3158" i="49" s="1"/>
  <c r="N2996" i="49"/>
  <c r="O2996" i="49" s="1"/>
  <c r="N3084" i="49"/>
  <c r="O3084" i="49" s="1"/>
  <c r="N2965" i="49"/>
  <c r="O2965" i="49" s="1"/>
  <c r="N2972" i="49"/>
  <c r="O2972" i="49" s="1"/>
  <c r="N3080" i="49"/>
  <c r="O3080" i="49" s="1"/>
  <c r="N3074" i="49"/>
  <c r="O3074" i="49" s="1"/>
  <c r="N2990" i="49"/>
  <c r="O2990" i="49" s="1"/>
  <c r="N3165" i="49"/>
  <c r="O3165" i="49" s="1"/>
  <c r="N3127" i="49"/>
  <c r="O3127" i="49" s="1"/>
  <c r="N3018" i="49"/>
  <c r="O3018" i="49" s="1"/>
  <c r="N3130" i="49"/>
  <c r="O3130" i="49" s="1"/>
  <c r="N3098" i="49"/>
  <c r="O3098" i="49" s="1"/>
  <c r="N3000" i="49"/>
  <c r="O3000" i="49" s="1"/>
  <c r="N3137" i="49"/>
  <c r="O3137" i="49" s="1"/>
  <c r="N2967" i="49"/>
  <c r="O2967" i="49" s="1"/>
  <c r="N3153" i="49"/>
  <c r="O3153" i="49" s="1"/>
  <c r="N2918" i="49"/>
  <c r="O2918" i="49" s="1"/>
  <c r="N3035" i="49"/>
  <c r="O3035" i="49" s="1"/>
  <c r="N2938" i="49"/>
  <c r="O2938" i="49" s="1"/>
  <c r="N3061" i="49"/>
  <c r="O3061" i="49" s="1"/>
  <c r="N2912" i="49"/>
  <c r="O2912" i="49" s="1"/>
  <c r="N2905" i="49"/>
  <c r="O2905" i="49" s="1"/>
  <c r="N3173" i="49"/>
  <c r="O3173" i="49" s="1"/>
  <c r="N3156" i="49"/>
  <c r="O3156" i="49" s="1"/>
  <c r="N3109" i="49"/>
  <c r="O3109" i="49" s="1"/>
  <c r="N3059" i="49"/>
  <c r="O3059" i="49" s="1"/>
  <c r="N2954" i="49"/>
  <c r="O2954" i="49" s="1"/>
  <c r="N3178" i="49"/>
  <c r="O3178" i="49" s="1"/>
  <c r="N2971" i="49"/>
  <c r="O2971" i="49" s="1"/>
  <c r="N2927" i="49"/>
  <c r="O2927" i="49" s="1"/>
  <c r="N3063" i="49"/>
  <c r="O3063" i="49" s="1"/>
  <c r="N3135" i="49"/>
  <c r="O3135" i="49" s="1"/>
  <c r="N2999" i="49"/>
  <c r="O2999" i="49" s="1"/>
  <c r="N3097" i="49"/>
  <c r="O3097" i="49" s="1"/>
  <c r="N2895" i="49"/>
  <c r="O2895" i="49" s="1"/>
  <c r="N2908" i="49"/>
  <c r="O2908" i="49" s="1"/>
  <c r="N3161" i="49"/>
  <c r="O3161" i="49" s="1"/>
  <c r="N3119" i="49"/>
  <c r="O3119" i="49" s="1"/>
  <c r="N3136" i="49"/>
  <c r="O3136" i="49" s="1"/>
  <c r="N3121" i="49"/>
  <c r="O3121" i="49" s="1"/>
  <c r="N2998" i="49"/>
  <c r="O2998" i="49" s="1"/>
  <c r="N3148" i="49"/>
  <c r="O3148" i="49" s="1"/>
  <c r="N3154" i="49"/>
  <c r="O3154" i="49" s="1"/>
  <c r="N2906" i="49"/>
  <c r="O2906" i="49" s="1"/>
  <c r="N3160" i="49"/>
  <c r="O3160" i="49" s="1"/>
  <c r="N3037" i="49"/>
  <c r="O3037" i="49" s="1"/>
  <c r="N3044" i="49"/>
  <c r="O3044" i="49" s="1"/>
  <c r="N2960" i="49"/>
  <c r="O2960" i="49" s="1"/>
  <c r="N3089" i="49"/>
  <c r="O3089" i="49" s="1"/>
  <c r="N3034" i="49"/>
  <c r="O3034" i="49" s="1"/>
  <c r="N2973" i="49"/>
  <c r="O2973" i="49" s="1"/>
  <c r="N3131" i="49"/>
  <c r="O3131" i="49" s="1"/>
  <c r="N3068" i="49"/>
  <c r="O3068" i="49" s="1"/>
  <c r="N2995" i="49"/>
  <c r="O2995" i="49" s="1"/>
  <c r="N3048" i="49"/>
  <c r="O3048" i="49" s="1"/>
  <c r="N3020" i="49"/>
  <c r="O3020" i="49" s="1"/>
  <c r="N2929" i="49"/>
  <c r="O2929" i="49" s="1"/>
  <c r="N3043" i="49"/>
  <c r="O3043" i="49" s="1"/>
  <c r="N3138" i="49"/>
  <c r="O3138" i="49" s="1"/>
  <c r="N3123" i="49"/>
  <c r="O3123" i="49" s="1"/>
  <c r="N3115" i="49"/>
  <c r="O3115" i="49" s="1"/>
  <c r="N3180" i="49"/>
  <c r="O3180" i="49" s="1"/>
  <c r="N3030" i="49"/>
  <c r="O3030" i="49" s="1"/>
  <c r="N3117" i="49"/>
  <c r="O3117" i="49" s="1"/>
  <c r="N2950" i="49"/>
  <c r="O2950" i="49" s="1"/>
  <c r="N3047" i="49"/>
  <c r="O3047" i="49" s="1"/>
  <c r="N3100" i="49"/>
  <c r="O3100" i="49" s="1"/>
  <c r="N2943" i="49"/>
  <c r="O2943" i="49" s="1"/>
  <c r="N2945" i="49"/>
  <c r="O2945" i="49" s="1"/>
  <c r="N2969" i="49"/>
  <c r="O2969" i="49" s="1"/>
  <c r="N3009" i="49"/>
  <c r="O3009" i="49" s="1"/>
  <c r="N2958" i="49"/>
  <c r="O2958" i="49" s="1"/>
  <c r="N3112" i="49"/>
  <c r="O3112" i="49" s="1"/>
  <c r="N2925" i="49"/>
  <c r="O2925" i="49" s="1"/>
  <c r="N2977" i="49"/>
  <c r="O2977" i="49" s="1"/>
  <c r="N2993" i="49"/>
  <c r="O2993" i="49" s="1"/>
  <c r="N2989" i="49"/>
  <c r="O2989" i="49" s="1"/>
  <c r="N3124" i="49"/>
  <c r="O3124" i="49" s="1"/>
  <c r="N3096" i="49"/>
  <c r="O3096" i="49" s="1"/>
  <c r="N3090" i="49"/>
  <c r="O3090" i="49" s="1"/>
  <c r="N2911" i="49"/>
  <c r="O2911" i="49" s="1"/>
  <c r="N3058" i="49"/>
  <c r="O3058" i="49" s="1"/>
  <c r="N2992" i="49"/>
  <c r="O2992" i="49" s="1"/>
  <c r="N2964" i="49"/>
  <c r="O2964" i="49" s="1"/>
  <c r="N3023" i="49"/>
  <c r="O3023" i="49" s="1"/>
  <c r="N3060" i="49"/>
  <c r="O3060" i="49" s="1"/>
  <c r="N2897" i="49"/>
  <c r="O2897" i="49" s="1"/>
  <c r="N3157" i="49"/>
  <c r="O3157" i="49" s="1"/>
  <c r="N2985" i="49"/>
  <c r="O2985" i="49" s="1"/>
  <c r="N3004" i="49"/>
  <c r="O3004" i="49" s="1"/>
  <c r="N2952" i="49"/>
  <c r="O2952" i="49" s="1"/>
  <c r="N3027" i="49"/>
  <c r="O3027" i="49" s="1"/>
  <c r="N2947" i="49"/>
  <c r="O2947" i="49" s="1"/>
  <c r="N2968" i="49"/>
  <c r="O2968" i="49" s="1"/>
  <c r="N2981" i="49"/>
  <c r="O2981" i="49" s="1"/>
  <c r="N2902" i="49"/>
  <c r="O2902" i="49" s="1"/>
  <c r="N3150" i="49"/>
  <c r="O3150" i="49" s="1"/>
  <c r="N3011" i="49"/>
  <c r="O3011" i="49" s="1"/>
  <c r="N2980" i="49"/>
  <c r="O2980" i="49" s="1"/>
  <c r="N3064" i="49"/>
  <c r="O3064" i="49" s="1"/>
  <c r="N3105" i="49"/>
  <c r="O3105" i="49" s="1"/>
  <c r="N3072" i="49"/>
  <c r="O3072" i="49" s="1"/>
  <c r="N3111" i="49"/>
  <c r="O3111" i="49" s="1"/>
  <c r="N3022" i="49"/>
  <c r="O3022" i="49" s="1"/>
  <c r="N3106" i="49"/>
  <c r="O3106" i="49" s="1"/>
  <c r="N3062" i="49"/>
  <c r="O3062" i="49" s="1"/>
  <c r="N3078" i="49"/>
  <c r="O3078" i="49" s="1"/>
  <c r="N3141" i="49"/>
  <c r="O3141" i="49" s="1"/>
  <c r="N2970" i="49"/>
  <c r="O2970" i="49" s="1"/>
  <c r="N3065" i="49"/>
  <c r="O3065" i="49" s="1"/>
  <c r="N3042" i="49"/>
  <c r="O3042" i="49" s="1"/>
  <c r="N2896" i="49"/>
  <c r="O2896" i="49" s="1"/>
  <c r="N3075" i="49"/>
  <c r="O3075" i="49" s="1"/>
  <c r="N3183" i="49"/>
  <c r="O3183" i="49" s="1"/>
  <c r="N3017" i="49"/>
  <c r="O3017" i="49" s="1"/>
  <c r="N2923" i="49"/>
  <c r="O2923" i="49" s="1"/>
  <c r="N2932" i="49"/>
  <c r="O2932" i="49" s="1"/>
  <c r="N2978" i="49"/>
  <c r="O2978" i="49" s="1"/>
  <c r="N2915" i="49"/>
  <c r="O2915" i="49" s="1"/>
  <c r="N3038" i="49"/>
  <c r="O3038" i="49" s="1"/>
  <c r="N3066" i="49"/>
  <c r="O3066" i="49" s="1"/>
  <c r="N2900" i="49"/>
  <c r="O2900" i="49" s="1"/>
  <c r="N2933" i="49"/>
  <c r="O2933" i="49" s="1"/>
  <c r="N3041" i="49"/>
  <c r="O3041" i="49" s="1"/>
  <c r="N3145" i="49"/>
  <c r="O3145" i="49" s="1"/>
  <c r="N3016" i="49"/>
  <c r="O3016" i="49" s="1"/>
  <c r="N3036" i="49"/>
  <c r="O3036" i="49" s="1"/>
  <c r="N3133" i="49"/>
  <c r="O3133" i="49" s="1"/>
  <c r="N3108" i="49"/>
  <c r="O3108" i="49" s="1"/>
  <c r="N3054" i="49"/>
  <c r="O3054" i="49" s="1"/>
  <c r="N3182" i="49"/>
  <c r="O3182" i="49" s="1"/>
  <c r="N3077" i="49"/>
  <c r="O3077" i="49" s="1"/>
  <c r="N3102" i="49"/>
  <c r="O3102" i="49" s="1"/>
  <c r="N3176" i="49"/>
  <c r="O3176" i="49" s="1"/>
  <c r="N3086" i="49"/>
  <c r="O3086" i="49" s="1"/>
  <c r="N3101" i="49"/>
  <c r="O3101" i="49" s="1"/>
  <c r="N2986" i="49"/>
  <c r="O2986" i="49" s="1"/>
  <c r="N3091" i="49"/>
  <c r="O3091" i="49" s="1"/>
  <c r="N3116" i="49"/>
  <c r="O3116" i="49" s="1"/>
  <c r="N2926" i="49"/>
  <c r="O2926" i="49" s="1"/>
  <c r="N3122" i="49"/>
  <c r="O3122" i="49" s="1"/>
  <c r="N3151" i="49"/>
  <c r="O3151" i="49" s="1"/>
  <c r="N3170" i="49"/>
  <c r="O3170" i="49" s="1"/>
  <c r="N3082" i="49"/>
  <c r="O3082" i="49" s="1"/>
  <c r="N3039" i="49"/>
  <c r="O3039" i="49" s="1"/>
  <c r="N3143" i="49"/>
  <c r="O3143" i="49" s="1"/>
  <c r="N3146" i="49"/>
  <c r="O3146" i="49" s="1"/>
  <c r="N3049" i="49"/>
  <c r="O3049" i="49" s="1"/>
  <c r="N3181" i="49"/>
  <c r="O3181" i="49" s="1"/>
  <c r="N3092" i="49"/>
  <c r="O3092" i="49" s="1"/>
  <c r="N2928" i="49"/>
  <c r="O2928" i="49" s="1"/>
  <c r="N2901" i="49"/>
  <c r="O2901" i="49" s="1"/>
  <c r="N3006" i="49"/>
  <c r="O3006" i="49" s="1"/>
  <c r="N3168" i="49"/>
  <c r="O3168" i="49" s="1"/>
  <c r="N3076" i="49"/>
  <c r="O3076" i="49" s="1"/>
  <c r="N2994" i="49"/>
  <c r="O2994" i="49" s="1"/>
  <c r="N2935" i="49"/>
  <c r="O2935" i="49" s="1"/>
  <c r="N2914" i="49"/>
  <c r="O2914" i="49" s="1"/>
  <c r="N2898" i="49"/>
  <c r="O2898" i="49" s="1"/>
  <c r="N2959" i="49"/>
  <c r="O2959" i="49" s="1"/>
  <c r="N2974" i="49"/>
  <c r="O2974" i="49" s="1"/>
  <c r="N3019" i="49"/>
  <c r="O3019" i="49" s="1"/>
  <c r="N3024" i="49"/>
  <c r="O3024" i="49" s="1"/>
  <c r="N2920" i="49"/>
  <c r="O2920" i="49" s="1"/>
  <c r="N2975" i="49"/>
  <c r="O2975" i="49" s="1"/>
  <c r="N2991" i="49"/>
  <c r="O2991" i="49" s="1"/>
  <c r="N3045" i="49"/>
  <c r="O3045" i="49" s="1"/>
  <c r="N3134" i="49"/>
  <c r="O3134" i="49" s="1"/>
  <c r="N3110" i="49"/>
  <c r="O3110" i="49" s="1"/>
  <c r="N3140" i="49"/>
  <c r="O3140" i="49" s="1"/>
  <c r="N3002" i="49"/>
  <c r="O3002" i="49" s="1"/>
  <c r="N3164" i="49"/>
  <c r="O3164" i="49" s="1"/>
  <c r="N3128" i="49"/>
  <c r="O3128" i="49" s="1"/>
  <c r="N3013" i="49"/>
  <c r="O3013" i="49" s="1"/>
  <c r="N2922" i="49"/>
  <c r="O2922" i="49" s="1"/>
  <c r="N3088" i="49"/>
  <c r="O3088" i="49" s="1"/>
  <c r="N3046" i="49"/>
  <c r="O3046" i="49" s="1"/>
  <c r="N2984" i="49"/>
  <c r="O2984" i="49" s="1"/>
  <c r="N3144" i="49"/>
  <c r="O3144" i="49" s="1"/>
  <c r="N3167" i="49"/>
  <c r="O3167" i="49" s="1"/>
  <c r="N3025" i="49"/>
  <c r="O3025" i="49" s="1"/>
  <c r="N3104" i="49"/>
  <c r="O3104" i="49" s="1"/>
  <c r="N3162" i="49"/>
  <c r="O3162" i="49" s="1"/>
  <c r="N3149" i="49"/>
  <c r="O3149" i="49" s="1"/>
  <c r="N3070" i="49"/>
  <c r="O3070" i="49" s="1"/>
  <c r="N2916" i="49"/>
  <c r="O2916" i="49" s="1"/>
  <c r="N2987" i="49"/>
  <c r="O2987" i="49" s="1"/>
  <c r="N3069" i="49"/>
  <c r="O3069" i="49" s="1"/>
  <c r="N2979" i="49"/>
  <c r="O2979" i="49" s="1"/>
  <c r="N3008" i="49"/>
  <c r="O3008" i="49" s="1"/>
  <c r="N3029" i="49"/>
  <c r="O3029" i="49" s="1"/>
  <c r="N2953" i="49"/>
  <c r="O2953" i="49" s="1"/>
  <c r="N2910" i="49"/>
  <c r="O2910" i="49" s="1"/>
  <c r="N2917" i="49"/>
  <c r="O2917" i="49" s="1"/>
  <c r="N2930" i="49"/>
  <c r="O2930" i="49" s="1"/>
  <c r="N2904" i="49"/>
  <c r="O2904" i="49" s="1"/>
  <c r="N2944" i="49"/>
  <c r="O2944" i="49" s="1"/>
  <c r="N3129" i="49"/>
  <c r="O3129" i="49" s="1"/>
  <c r="N3152" i="49"/>
  <c r="O3152" i="49" s="1"/>
  <c r="N2983" i="49"/>
  <c r="O2983" i="49" s="1"/>
  <c r="N3139" i="49"/>
  <c r="O3139" i="49" s="1"/>
  <c r="N3107" i="49"/>
  <c r="O3107" i="49" s="1"/>
  <c r="N3126" i="49"/>
  <c r="O3126" i="49" s="1"/>
  <c r="N2899" i="49"/>
  <c r="O2899" i="49" s="1"/>
  <c r="N3073" i="49"/>
  <c r="O3073" i="49" s="1"/>
  <c r="N3142" i="49"/>
  <c r="O3142" i="49" s="1"/>
  <c r="N3010" i="49"/>
  <c r="O3010" i="49" s="1"/>
  <c r="N2997" i="49"/>
  <c r="O2997" i="49" s="1"/>
  <c r="N3014" i="49"/>
  <c r="O3014" i="49" s="1"/>
  <c r="N3012" i="49"/>
  <c r="O3012" i="49" s="1"/>
  <c r="N3055" i="49"/>
  <c r="O3055" i="49" s="1"/>
  <c r="N3007" i="49"/>
  <c r="O3007" i="49" s="1"/>
  <c r="N3021" i="49"/>
  <c r="O3021" i="49" s="1"/>
  <c r="N2936" i="49"/>
  <c r="O2936" i="49" s="1"/>
  <c r="N3067" i="49"/>
  <c r="O3067" i="49" s="1"/>
  <c r="N3132" i="49"/>
  <c r="O3132" i="49" s="1"/>
  <c r="B15" i="52"/>
  <c r="H12" i="49"/>
  <c r="P54" i="26"/>
  <c r="N83" i="26"/>
  <c r="V73" i="16"/>
  <c r="V45" i="16"/>
  <c r="R81" i="17"/>
  <c r="X31" i="8"/>
  <c r="Y62" i="16"/>
  <c r="Y36" i="16"/>
  <c r="Y32" i="16"/>
  <c r="Y28" i="16"/>
  <c r="Y18" i="16"/>
  <c r="Y14" i="16"/>
  <c r="Y37" i="16"/>
  <c r="Y33" i="16"/>
  <c r="Y29" i="16"/>
  <c r="Y23" i="16"/>
  <c r="Y15" i="16"/>
  <c r="Y38" i="16"/>
  <c r="Y30" i="16"/>
  <c r="Y31" i="16"/>
  <c r="Y13" i="16"/>
  <c r="Y61" i="16"/>
  <c r="Y35" i="16"/>
  <c r="Y44" i="16"/>
  <c r="Y72" i="16"/>
  <c r="Y16" i="16"/>
  <c r="Y27" i="16"/>
  <c r="Y17" i="16"/>
  <c r="Y34" i="16"/>
  <c r="Z34" i="10"/>
  <c r="T34" i="10"/>
  <c r="W34" i="10"/>
  <c r="Y34" i="10"/>
  <c r="V34" i="10"/>
  <c r="U34" i="10"/>
  <c r="S34" i="10"/>
  <c r="X34" i="10"/>
  <c r="X62" i="8"/>
  <c r="X20" i="22"/>
  <c r="W21" i="27"/>
  <c r="W22" i="27" s="1"/>
  <c r="W24" i="27" s="1"/>
  <c r="W41" i="27" s="1"/>
  <c r="AA45" i="10" s="1"/>
  <c r="J50" i="30"/>
  <c r="J52" i="30"/>
  <c r="V21" i="8"/>
  <c r="V73" i="23"/>
  <c r="V45" i="23"/>
  <c r="F67" i="29"/>
  <c r="F68" i="29" s="1"/>
  <c r="Y80" i="20"/>
  <c r="V81" i="20" s="1"/>
  <c r="Y85" i="20"/>
  <c r="Y82" i="20"/>
  <c r="Y79" i="20"/>
  <c r="J102" i="49"/>
  <c r="Q102" i="49"/>
  <c r="E102" i="50"/>
  <c r="G102" i="50" s="1"/>
  <c r="H102" i="50" s="1"/>
  <c r="W19" i="8"/>
  <c r="X20" i="19"/>
  <c r="X35" i="8"/>
  <c r="X15" i="8"/>
  <c r="E154" i="14"/>
  <c r="H60" i="13" s="1"/>
  <c r="G48" i="29" s="1"/>
  <c r="X19" i="27"/>
  <c r="Y63" i="17"/>
  <c r="E83" i="26"/>
  <c r="W39" i="8"/>
  <c r="Y44" i="23"/>
  <c r="Y31" i="23"/>
  <c r="Y18" i="23"/>
  <c r="Y16" i="23"/>
  <c r="Y37" i="23"/>
  <c r="Y15" i="23"/>
  <c r="Y72" i="23"/>
  <c r="Y35" i="23"/>
  <c r="Y30" i="23"/>
  <c r="Y14" i="23"/>
  <c r="Y23" i="23"/>
  <c r="Y62" i="23"/>
  <c r="Y34" i="23"/>
  <c r="Y13" i="23"/>
  <c r="Y36" i="23"/>
  <c r="Y29" i="23"/>
  <c r="Y38" i="23"/>
  <c r="Y33" i="23"/>
  <c r="Y28" i="23"/>
  <c r="Y17" i="23"/>
  <c r="Y27" i="23"/>
  <c r="Y32" i="23"/>
  <c r="Y61" i="23"/>
  <c r="Z41" i="10"/>
  <c r="V41" i="10"/>
  <c r="S41" i="10"/>
  <c r="T41" i="10"/>
  <c r="U41" i="10"/>
  <c r="W41" i="10"/>
  <c r="Y41" i="10"/>
  <c r="R41" i="10"/>
  <c r="X41" i="10"/>
  <c r="W20" i="8"/>
  <c r="J18" i="49"/>
  <c r="Q18" i="49" s="1"/>
  <c r="E18" i="50"/>
  <c r="G18" i="50" s="1"/>
  <c r="H18" i="50" s="1"/>
  <c r="B22" i="1"/>
  <c r="Y19" i="20"/>
  <c r="J154" i="49"/>
  <c r="Q154" i="49" s="1"/>
  <c r="E154" i="50"/>
  <c r="G154" i="50" s="1"/>
  <c r="H154" i="50" s="1"/>
  <c r="J144" i="14"/>
  <c r="M59" i="13" s="1"/>
  <c r="L48" i="28" s="1"/>
  <c r="Q81" i="26"/>
  <c r="J239" i="49"/>
  <c r="Q239" i="49" s="1"/>
  <c r="E239" i="50"/>
  <c r="G239" i="50" s="1"/>
  <c r="H239" i="50" s="1"/>
  <c r="X63" i="29"/>
  <c r="J290" i="49"/>
  <c r="Q290" i="49" s="1"/>
  <c r="E290" i="50"/>
  <c r="G290" i="50" s="1"/>
  <c r="H290" i="50" s="1"/>
  <c r="K168" i="14"/>
  <c r="U73" i="29"/>
  <c r="U45" i="29"/>
  <c r="X39" i="19"/>
  <c r="F86" i="26"/>
  <c r="Y62" i="19"/>
  <c r="Y28" i="19"/>
  <c r="Y13" i="19"/>
  <c r="Y15" i="19"/>
  <c r="Y32" i="19"/>
  <c r="Y30" i="19"/>
  <c r="Y17" i="19"/>
  <c r="Y72" i="19"/>
  <c r="Y36" i="19"/>
  <c r="Y34" i="19"/>
  <c r="Y23" i="19"/>
  <c r="Y35" i="19"/>
  <c r="Y29" i="19"/>
  <c r="Y33" i="19"/>
  <c r="Y38" i="19"/>
  <c r="Y27" i="19"/>
  <c r="Y14" i="19"/>
  <c r="Y31" i="19"/>
  <c r="Y61" i="19"/>
  <c r="Y37" i="19"/>
  <c r="Y16" i="19"/>
  <c r="Y44" i="19"/>
  <c r="Y18" i="19"/>
  <c r="U37" i="10"/>
  <c r="R37" i="10"/>
  <c r="Z37" i="10"/>
  <c r="W37" i="10"/>
  <c r="Y37" i="10"/>
  <c r="S37" i="10"/>
  <c r="T37" i="10"/>
  <c r="V37" i="10"/>
  <c r="X37" i="10"/>
  <c r="X39" i="16"/>
  <c r="X27" i="8"/>
  <c r="X23" i="8"/>
  <c r="L9" i="14"/>
  <c r="L10" i="14" s="1"/>
  <c r="L8" i="14"/>
  <c r="L14" i="14" s="1"/>
  <c r="O46" i="13" s="1"/>
  <c r="N48" i="15" s="1"/>
  <c r="Y72" i="8"/>
  <c r="Y47" i="8"/>
  <c r="Y43" i="8"/>
  <c r="M2" i="8"/>
  <c r="V45" i="19"/>
  <c r="V73" i="19"/>
  <c r="K67" i="21"/>
  <c r="K68" i="21" s="1"/>
  <c r="X39" i="27"/>
  <c r="V73" i="15"/>
  <c r="V45" i="15"/>
  <c r="F83" i="26"/>
  <c r="V81" i="26"/>
  <c r="V22" i="8"/>
  <c r="V24" i="8" s="1"/>
  <c r="V41" i="8" s="1"/>
  <c r="X82" i="24"/>
  <c r="X85" i="24"/>
  <c r="X80" i="24"/>
  <c r="X79" i="24"/>
  <c r="X79" i="23"/>
  <c r="X85" i="23"/>
  <c r="X82" i="23"/>
  <c r="X80" i="23"/>
  <c r="X63" i="25"/>
  <c r="E64" i="14"/>
  <c r="H51" i="13" s="1"/>
  <c r="G48" i="20" s="1"/>
  <c r="G67" i="28"/>
  <c r="G68" i="28" s="1"/>
  <c r="J16" i="49"/>
  <c r="Q16" i="49" s="1"/>
  <c r="E16" i="50"/>
  <c r="G16" i="50" s="1"/>
  <c r="H16" i="50" s="1"/>
  <c r="B20" i="1"/>
  <c r="N81" i="30"/>
  <c r="L81" i="30"/>
  <c r="M81" i="30"/>
  <c r="E81" i="30"/>
  <c r="K81" i="30"/>
  <c r="H81" i="30"/>
  <c r="J81" i="30"/>
  <c r="G81" i="30"/>
  <c r="F81" i="30"/>
  <c r="I81" i="30"/>
  <c r="O81" i="30"/>
  <c r="Q81" i="30"/>
  <c r="P81" i="30"/>
  <c r="J238" i="49"/>
  <c r="Q238" i="49"/>
  <c r="E238" i="50"/>
  <c r="G238" i="50" s="1"/>
  <c r="H238" i="50" s="1"/>
  <c r="E86" i="26"/>
  <c r="J288" i="49"/>
  <c r="Q288" i="49" s="1"/>
  <c r="E288" i="50"/>
  <c r="G288" i="50" s="1"/>
  <c r="H288" i="50" s="1"/>
  <c r="T81" i="30"/>
  <c r="S36" i="10"/>
  <c r="T36" i="10"/>
  <c r="X20" i="27"/>
  <c r="Y62" i="28"/>
  <c r="Y35" i="28"/>
  <c r="Y31" i="28"/>
  <c r="Y27" i="28"/>
  <c r="Y17" i="28"/>
  <c r="Y13" i="28"/>
  <c r="Y44" i="28"/>
  <c r="Y61" i="28"/>
  <c r="Y37" i="28"/>
  <c r="Y15" i="28"/>
  <c r="Y29" i="28"/>
  <c r="Y28" i="28"/>
  <c r="Y16" i="28"/>
  <c r="Y38" i="28"/>
  <c r="Y14" i="28"/>
  <c r="Y36" i="28"/>
  <c r="Y23" i="28"/>
  <c r="Y72" i="28"/>
  <c r="Y18" i="28"/>
  <c r="Y33" i="28"/>
  <c r="Y30" i="28"/>
  <c r="Y32" i="28"/>
  <c r="Y34" i="28"/>
  <c r="Y43" i="28"/>
  <c r="Y60" i="28"/>
  <c r="W46" i="10"/>
  <c r="Y47" i="28"/>
  <c r="Y66" i="28"/>
  <c r="Y75" i="28"/>
  <c r="T46" i="10"/>
  <c r="R46" i="10"/>
  <c r="X46" i="10"/>
  <c r="Q46" i="10"/>
  <c r="V46" i="10"/>
  <c r="S46" i="10"/>
  <c r="U46" i="10"/>
  <c r="I83" i="26"/>
  <c r="X39" i="31"/>
  <c r="G174" i="14"/>
  <c r="J62" i="13" s="1"/>
  <c r="I48" i="31" s="1"/>
  <c r="W21" i="21"/>
  <c r="W22" i="21"/>
  <c r="W24" i="21" s="1"/>
  <c r="W41" i="21" s="1"/>
  <c r="R81" i="20"/>
  <c r="X19" i="24"/>
  <c r="X20" i="24" s="1"/>
  <c r="G86" i="30"/>
  <c r="Y61" i="21"/>
  <c r="Y63" i="21" s="1"/>
  <c r="Y35" i="21"/>
  <c r="Y31" i="21"/>
  <c r="Y27" i="21"/>
  <c r="Y17" i="21"/>
  <c r="Y13" i="21"/>
  <c r="Y62" i="21"/>
  <c r="Y36" i="21"/>
  <c r="Y32" i="21"/>
  <c r="Y28" i="21"/>
  <c r="Y18" i="21"/>
  <c r="Y14" i="21"/>
  <c r="Y15" i="21"/>
  <c r="Y30" i="21"/>
  <c r="Y72" i="21"/>
  <c r="Y34" i="21"/>
  <c r="Y23" i="21"/>
  <c r="Y38" i="21"/>
  <c r="Y16" i="21"/>
  <c r="Y33" i="21"/>
  <c r="Y37" i="21"/>
  <c r="Y44" i="21"/>
  <c r="Y29" i="21"/>
  <c r="R39" i="10"/>
  <c r="X39" i="10"/>
  <c r="U39" i="10"/>
  <c r="S39" i="10"/>
  <c r="V39" i="10"/>
  <c r="W39" i="10"/>
  <c r="Z39" i="10"/>
  <c r="T39" i="10"/>
  <c r="Y39" i="10"/>
  <c r="J17" i="49"/>
  <c r="Q17" i="49" s="1"/>
  <c r="E17" i="50"/>
  <c r="G17" i="50" s="1"/>
  <c r="H17" i="50" s="1"/>
  <c r="B21" i="1"/>
  <c r="X19" i="15"/>
  <c r="X20" i="15" s="1"/>
  <c r="X82" i="15"/>
  <c r="X79" i="15"/>
  <c r="X85" i="15"/>
  <c r="X80" i="15"/>
  <c r="J278" i="49"/>
  <c r="Q278" i="49" s="1"/>
  <c r="E278" i="50"/>
  <c r="G278" i="50" s="1"/>
  <c r="H278" i="50" s="1"/>
  <c r="J237" i="49"/>
  <c r="Q237" i="49"/>
  <c r="E237" i="50"/>
  <c r="G237" i="50" s="1"/>
  <c r="H237" i="50" s="1"/>
  <c r="U73" i="19"/>
  <c r="U45" i="19"/>
  <c r="X79" i="27"/>
  <c r="X80" i="27"/>
  <c r="X85" i="27"/>
  <c r="X82" i="27"/>
  <c r="G67" i="30"/>
  <c r="G68" i="30" s="1"/>
  <c r="K67" i="31"/>
  <c r="K68" i="31" s="1"/>
  <c r="O67" i="24"/>
  <c r="O68" i="24" s="1"/>
  <c r="U73" i="23"/>
  <c r="U45" i="23"/>
  <c r="T73" i="29"/>
  <c r="T45" i="29"/>
  <c r="H81" i="26"/>
  <c r="E81" i="26"/>
  <c r="L81" i="26"/>
  <c r="N81" i="26"/>
  <c r="I81" i="26"/>
  <c r="K81" i="26"/>
  <c r="J81" i="26"/>
  <c r="F81" i="26"/>
  <c r="P81" i="26"/>
  <c r="G81" i="26"/>
  <c r="M81" i="26"/>
  <c r="R81" i="26"/>
  <c r="S81" i="26"/>
  <c r="O81" i="26"/>
  <c r="X34" i="8"/>
  <c r="J11" i="49"/>
  <c r="Q11" i="49" s="1"/>
  <c r="B15" i="1"/>
  <c r="E11" i="50"/>
  <c r="G11" i="50" s="1"/>
  <c r="H11" i="50" s="1"/>
  <c r="Y62" i="25"/>
  <c r="Y36" i="25"/>
  <c r="Y32" i="25"/>
  <c r="Y28" i="25"/>
  <c r="Y18" i="25"/>
  <c r="Y14" i="25"/>
  <c r="Y15" i="25"/>
  <c r="Y13" i="25"/>
  <c r="Y61" i="25"/>
  <c r="Y16" i="25"/>
  <c r="Y27" i="25"/>
  <c r="Y72" i="25"/>
  <c r="Y31" i="25"/>
  <c r="Y35" i="25"/>
  <c r="Y30" i="25"/>
  <c r="Y29" i="25"/>
  <c r="Y44" i="25"/>
  <c r="Y17" i="25"/>
  <c r="Y23" i="25"/>
  <c r="Y38" i="25"/>
  <c r="Y37" i="25"/>
  <c r="Y33" i="25"/>
  <c r="Y34" i="25"/>
  <c r="P43" i="10"/>
  <c r="W43" i="10"/>
  <c r="T43" i="10"/>
  <c r="Z43" i="10"/>
  <c r="V43" i="10"/>
  <c r="X43" i="10"/>
  <c r="U43" i="10"/>
  <c r="S43" i="10"/>
  <c r="Y43" i="10"/>
  <c r="Q10" i="52"/>
  <c r="T45" i="8"/>
  <c r="T73" i="8"/>
  <c r="H262" i="49"/>
  <c r="I86" i="30"/>
  <c r="X39" i="15"/>
  <c r="I158" i="14"/>
  <c r="I159" i="14"/>
  <c r="I160" i="14" s="1"/>
  <c r="F56" i="24"/>
  <c r="F54" i="24"/>
  <c r="H19" i="4"/>
  <c r="K54" i="22"/>
  <c r="H83" i="26"/>
  <c r="J260" i="49"/>
  <c r="Q260" i="49" s="1"/>
  <c r="E260" i="50"/>
  <c r="G260" i="50" s="1"/>
  <c r="H260" i="50" s="1"/>
  <c r="U81" i="26"/>
  <c r="K110" i="14"/>
  <c r="K108" i="14"/>
  <c r="K109" i="14"/>
  <c r="I67" i="30"/>
  <c r="I68" i="30" s="1"/>
  <c r="V45" i="22"/>
  <c r="V73" i="22"/>
  <c r="J67" i="16"/>
  <c r="J68" i="16" s="1"/>
  <c r="J18" i="14"/>
  <c r="X21" i="20"/>
  <c r="X22" i="20"/>
  <c r="X24" i="20" s="1"/>
  <c r="X41" i="20" s="1"/>
  <c r="X39" i="29"/>
  <c r="V45" i="25"/>
  <c r="V73" i="25"/>
  <c r="W21" i="24"/>
  <c r="W22" i="24" s="1"/>
  <c r="W24" i="24" s="1"/>
  <c r="W41" i="24" s="1"/>
  <c r="W21" i="19"/>
  <c r="W22" i="19" s="1"/>
  <c r="W24" i="19" s="1"/>
  <c r="W41" i="19" s="1"/>
  <c r="AA37" i="10" s="1"/>
  <c r="E104" i="14"/>
  <c r="H55" i="13" s="1"/>
  <c r="G48" i="24" s="1"/>
  <c r="X86" i="8"/>
  <c r="X81" i="8"/>
  <c r="X83" i="8"/>
  <c r="X79" i="8"/>
  <c r="W21" i="28"/>
  <c r="U73" i="25"/>
  <c r="U45" i="25"/>
  <c r="U45" i="31"/>
  <c r="U73" i="31"/>
  <c r="X44" i="8"/>
  <c r="Y62" i="22"/>
  <c r="Y28" i="22"/>
  <c r="Y30" i="22"/>
  <c r="Y17" i="22"/>
  <c r="Y15" i="22"/>
  <c r="Y32" i="22"/>
  <c r="Y34" i="22"/>
  <c r="Y36" i="22"/>
  <c r="Y72" i="22"/>
  <c r="Y61" i="22"/>
  <c r="Y38" i="22"/>
  <c r="Y27" i="22"/>
  <c r="Y23" i="22"/>
  <c r="Y44" i="22"/>
  <c r="Y31" i="22"/>
  <c r="Y29" i="22"/>
  <c r="Y13" i="22"/>
  <c r="Y35" i="22"/>
  <c r="Y14" i="22"/>
  <c r="Y37" i="22"/>
  <c r="Y16" i="22"/>
  <c r="Y18" i="22"/>
  <c r="Y33" i="22"/>
  <c r="R40" i="10"/>
  <c r="U40" i="10"/>
  <c r="T40" i="10"/>
  <c r="Q40" i="10"/>
  <c r="Z40" i="10"/>
  <c r="Y40" i="10"/>
  <c r="V40" i="10"/>
  <c r="W40" i="10"/>
  <c r="X40" i="10"/>
  <c r="S40" i="10"/>
  <c r="X19" i="16"/>
  <c r="X20" i="16" s="1"/>
  <c r="X14" i="8"/>
  <c r="I134" i="14"/>
  <c r="L58" i="13" s="1"/>
  <c r="K48" i="27" s="1"/>
  <c r="R83" i="26"/>
  <c r="H567" i="46"/>
  <c r="H560" i="46"/>
  <c r="H542" i="46"/>
  <c r="H574" i="46"/>
  <c r="H563" i="46"/>
  <c r="H546" i="46"/>
  <c r="H561" i="46"/>
  <c r="H539" i="46"/>
  <c r="H575" i="46"/>
  <c r="H554" i="46"/>
  <c r="H538" i="46"/>
  <c r="H566" i="46"/>
  <c r="H549" i="46"/>
  <c r="H578" i="46"/>
  <c r="H550" i="46"/>
  <c r="H570" i="46"/>
  <c r="H534" i="46"/>
  <c r="H536" i="46"/>
  <c r="H569" i="46"/>
  <c r="H535" i="46"/>
  <c r="H556" i="46"/>
  <c r="H541" i="46"/>
  <c r="H543" i="46"/>
  <c r="H576" i="46"/>
  <c r="H557" i="46"/>
  <c r="H544" i="46"/>
  <c r="M16" i="38"/>
  <c r="H564" i="46"/>
  <c r="H572" i="46"/>
  <c r="H545" i="46"/>
  <c r="H559" i="46"/>
  <c r="H579" i="46"/>
  <c r="H537" i="46"/>
  <c r="H577" i="46"/>
  <c r="H547" i="46"/>
  <c r="H580" i="46"/>
  <c r="H533" i="46"/>
  <c r="H568" i="46"/>
  <c r="H551" i="46"/>
  <c r="H573" i="46"/>
  <c r="H548" i="46"/>
  <c r="H571" i="46"/>
  <c r="H552" i="46"/>
  <c r="H540" i="46"/>
  <c r="H565" i="46"/>
  <c r="H558" i="46"/>
  <c r="H555" i="46"/>
  <c r="H553" i="46"/>
  <c r="H562" i="46"/>
  <c r="F15" i="4"/>
  <c r="F27" i="4" s="1"/>
  <c r="F82" i="20"/>
  <c r="K76" i="16"/>
  <c r="K77" i="16" s="1"/>
  <c r="J56" i="22"/>
  <c r="L50" i="23"/>
  <c r="L52" i="23"/>
  <c r="R83" i="30"/>
  <c r="V81" i="17"/>
  <c r="V22" i="28"/>
  <c r="V24" i="28" s="1"/>
  <c r="V41" i="28" s="1"/>
  <c r="Z46" i="10" s="1"/>
  <c r="V45" i="27"/>
  <c r="V73" i="27"/>
  <c r="W81" i="30"/>
  <c r="J34" i="49"/>
  <c r="Q34" i="49"/>
  <c r="E34" i="50"/>
  <c r="G34" i="50" s="1"/>
  <c r="H34" i="50" s="1"/>
  <c r="J119" i="49"/>
  <c r="Q119" i="49" s="1"/>
  <c r="E119" i="50"/>
  <c r="G119" i="50" s="1"/>
  <c r="H119" i="50" s="1"/>
  <c r="J222" i="49"/>
  <c r="Q222" i="49" s="1"/>
  <c r="E222" i="50"/>
  <c r="X22" i="28"/>
  <c r="X24" i="28" s="1"/>
  <c r="X41" i="28" s="1"/>
  <c r="X21" i="28"/>
  <c r="Y19" i="17"/>
  <c r="S83" i="26"/>
  <c r="M54" i="15"/>
  <c r="O86" i="20"/>
  <c r="M3" i="24"/>
  <c r="X20" i="23"/>
  <c r="J256" i="49"/>
  <c r="Q256" i="49" s="1"/>
  <c r="E256" i="50"/>
  <c r="G256" i="50" s="1"/>
  <c r="H256" i="50" s="1"/>
  <c r="J120" i="49"/>
  <c r="Q120" i="49"/>
  <c r="E120" i="50"/>
  <c r="G120" i="50" s="1"/>
  <c r="H120" i="50" s="1"/>
  <c r="W81" i="26"/>
  <c r="V45" i="31"/>
  <c r="V73" i="31"/>
  <c r="J54" i="27"/>
  <c r="J56" i="27" s="1"/>
  <c r="F54" i="20"/>
  <c r="F56" i="20"/>
  <c r="H15" i="4"/>
  <c r="X80" i="21"/>
  <c r="X85" i="21"/>
  <c r="X79" i="21"/>
  <c r="X82" i="21"/>
  <c r="Y20" i="20"/>
  <c r="Y72" i="15"/>
  <c r="Y33" i="15"/>
  <c r="Y38" i="15"/>
  <c r="Y32" i="15"/>
  <c r="Y18" i="15"/>
  <c r="Y44" i="15"/>
  <c r="Y36" i="15"/>
  <c r="Y30" i="15"/>
  <c r="Y16" i="15"/>
  <c r="Y29" i="15"/>
  <c r="Y15" i="15"/>
  <c r="Y62" i="15"/>
  <c r="Y23" i="15"/>
  <c r="Y17" i="15"/>
  <c r="Y13" i="15"/>
  <c r="Y37" i="15"/>
  <c r="Y34" i="15"/>
  <c r="Y27" i="15"/>
  <c r="Y61" i="15"/>
  <c r="Y35" i="15"/>
  <c r="Y31" i="15"/>
  <c r="Y14" i="15"/>
  <c r="Y28" i="15"/>
  <c r="Z33" i="10"/>
  <c r="R33" i="10"/>
  <c r="X33" i="10"/>
  <c r="Q33" i="10"/>
  <c r="V33" i="10"/>
  <c r="U33" i="10"/>
  <c r="S33" i="10"/>
  <c r="T33" i="10"/>
  <c r="Y33" i="10"/>
  <c r="W33" i="10"/>
  <c r="S19" i="13"/>
  <c r="L54" i="19"/>
  <c r="H86" i="30"/>
  <c r="K88" i="14"/>
  <c r="K90" i="14"/>
  <c r="K89" i="14"/>
  <c r="J220" i="49"/>
  <c r="Q220" i="49" s="1"/>
  <c r="E220" i="50"/>
  <c r="G220" i="50" s="1"/>
  <c r="H220" i="50" s="1"/>
  <c r="J254" i="49"/>
  <c r="Q254" i="49" s="1"/>
  <c r="E254" i="50"/>
  <c r="G254" i="50" s="1"/>
  <c r="H254" i="50" s="1"/>
  <c r="X85" i="19"/>
  <c r="X80" i="19"/>
  <c r="X82" i="19"/>
  <c r="X79" i="19"/>
  <c r="X63" i="16"/>
  <c r="X61" i="8"/>
  <c r="K86" i="17"/>
  <c r="W60" i="8"/>
  <c r="W66" i="8"/>
  <c r="W63" i="8"/>
  <c r="W75" i="8" s="1"/>
  <c r="J137" i="49"/>
  <c r="Q137" i="49" s="1"/>
  <c r="E137" i="50"/>
  <c r="G137" i="50" s="1"/>
  <c r="H137" i="50" s="1"/>
  <c r="K83" i="26"/>
  <c r="Q81" i="20"/>
  <c r="X19" i="31"/>
  <c r="X20" i="31" s="1"/>
  <c r="J186" i="49"/>
  <c r="Q186" i="49" s="1"/>
  <c r="E186" i="50"/>
  <c r="D20" i="1"/>
  <c r="Y37" i="24"/>
  <c r="Y33" i="24"/>
  <c r="Y29" i="24"/>
  <c r="Y23" i="24"/>
  <c r="Y15" i="24"/>
  <c r="Y72" i="24"/>
  <c r="Y18" i="24"/>
  <c r="Y13" i="24"/>
  <c r="Y62" i="24"/>
  <c r="Y38" i="24"/>
  <c r="Y17" i="24"/>
  <c r="Y44" i="24"/>
  <c r="Y28" i="24"/>
  <c r="Y61" i="24"/>
  <c r="Y32" i="24"/>
  <c r="Y16" i="24"/>
  <c r="Y36" i="24"/>
  <c r="Y34" i="24"/>
  <c r="Y35" i="24"/>
  <c r="Y27" i="24"/>
  <c r="Y14" i="24"/>
  <c r="Y31" i="24"/>
  <c r="Y30" i="24"/>
  <c r="Y43" i="24"/>
  <c r="Y60" i="24"/>
  <c r="Y47" i="24"/>
  <c r="Y75" i="24"/>
  <c r="Y66" i="24"/>
  <c r="U42" i="10"/>
  <c r="V42" i="10"/>
  <c r="R42" i="10"/>
  <c r="X42" i="10"/>
  <c r="W42" i="10"/>
  <c r="Z42" i="10"/>
  <c r="S42" i="10"/>
  <c r="Y42" i="10"/>
  <c r="T42" i="10"/>
  <c r="X18" i="8"/>
  <c r="V75" i="8"/>
  <c r="U73" i="21"/>
  <c r="U45" i="21"/>
  <c r="X19" i="25"/>
  <c r="X20" i="25" s="1"/>
  <c r="J230" i="49"/>
  <c r="Q230" i="49" s="1"/>
  <c r="E230" i="50"/>
  <c r="G230" i="50" s="1"/>
  <c r="H230" i="50" s="1"/>
  <c r="X30" i="8"/>
  <c r="X39" i="28"/>
  <c r="O83" i="26"/>
  <c r="P12" i="52"/>
  <c r="H247" i="49"/>
  <c r="K83" i="30"/>
  <c r="F143" i="14"/>
  <c r="I115" i="13"/>
  <c r="H61" i="28" s="1"/>
  <c r="X20" i="29"/>
  <c r="Y44" i="29"/>
  <c r="Y38" i="29"/>
  <c r="Y34" i="29"/>
  <c r="Y30" i="29"/>
  <c r="Y16" i="29"/>
  <c r="Y15" i="29"/>
  <c r="Y72" i="29"/>
  <c r="Y23" i="29"/>
  <c r="Y18" i="29"/>
  <c r="Y13" i="29"/>
  <c r="Y32" i="29"/>
  <c r="Y29" i="29"/>
  <c r="Y61" i="29"/>
  <c r="Y62" i="29"/>
  <c r="Y37" i="29"/>
  <c r="Y33" i="29"/>
  <c r="Y31" i="29"/>
  <c r="Y17" i="29"/>
  <c r="Y36" i="29"/>
  <c r="Y14" i="29"/>
  <c r="Y35" i="29"/>
  <c r="Y27" i="29"/>
  <c r="Y28" i="29"/>
  <c r="Y66" i="29"/>
  <c r="Y60" i="29"/>
  <c r="Y75" i="29"/>
  <c r="Y47" i="29"/>
  <c r="Y43" i="29"/>
  <c r="S47" i="10"/>
  <c r="Z47" i="10"/>
  <c r="V47" i="10"/>
  <c r="W47" i="10"/>
  <c r="X47" i="10"/>
  <c r="R47" i="10"/>
  <c r="U47" i="10"/>
  <c r="T47" i="10"/>
  <c r="Y47" i="10"/>
  <c r="I149" i="14"/>
  <c r="I150" i="14" s="1"/>
  <c r="I148" i="14"/>
  <c r="W83" i="17"/>
  <c r="W73" i="17"/>
  <c r="W45" i="17"/>
  <c r="W81" i="17"/>
  <c r="W83" i="30"/>
  <c r="J33" i="49"/>
  <c r="Q33" i="49" s="1"/>
  <c r="E33" i="50"/>
  <c r="G33" i="50" s="1"/>
  <c r="H33" i="50" s="1"/>
  <c r="N64" i="14"/>
  <c r="Q51" i="13" s="1"/>
  <c r="P48" i="20" s="1"/>
  <c r="E67" i="20"/>
  <c r="E68" i="20" s="1"/>
  <c r="K54" i="28"/>
  <c r="J118" i="49"/>
  <c r="Q118" i="49" s="1"/>
  <c r="E118" i="50"/>
  <c r="G118" i="50" s="1"/>
  <c r="H118" i="50" s="1"/>
  <c r="O56" i="20"/>
  <c r="X80" i="16"/>
  <c r="X79" i="16"/>
  <c r="X85" i="16"/>
  <c r="X82" i="16"/>
  <c r="I67" i="29"/>
  <c r="I68" i="29" s="1"/>
  <c r="M50" i="19"/>
  <c r="M52" i="19"/>
  <c r="J135" i="49"/>
  <c r="Q135" i="49" s="1"/>
  <c r="E135" i="50"/>
  <c r="G135" i="50" s="1"/>
  <c r="H135" i="50" s="1"/>
  <c r="Y20" i="17"/>
  <c r="Q83" i="26"/>
  <c r="L83" i="26"/>
  <c r="J188" i="49"/>
  <c r="Q188" i="49" s="1"/>
  <c r="E188" i="50"/>
  <c r="G188" i="50" s="1"/>
  <c r="H188" i="50" s="1"/>
  <c r="D22" i="1"/>
  <c r="J50" i="29"/>
  <c r="J52" i="29"/>
  <c r="J255" i="49"/>
  <c r="Q255" i="49"/>
  <c r="E255" i="50"/>
  <c r="K50" i="16"/>
  <c r="K52" i="16"/>
  <c r="X28" i="8"/>
  <c r="L56" i="18"/>
  <c r="L54" i="18"/>
  <c r="N78" i="13"/>
  <c r="M64" i="19" s="1"/>
  <c r="M76" i="19" s="1"/>
  <c r="M77" i="19" s="1"/>
  <c r="L47" i="14"/>
  <c r="J136" i="49"/>
  <c r="Q136" i="49" s="1"/>
  <c r="E136" i="50"/>
  <c r="G136" i="50" s="1"/>
  <c r="H136" i="50" s="1"/>
  <c r="W83" i="26"/>
  <c r="J187" i="49"/>
  <c r="Q187" i="49"/>
  <c r="E187" i="50"/>
  <c r="G187" i="50" s="1"/>
  <c r="H187" i="50" s="1"/>
  <c r="D21" i="1"/>
  <c r="X39" i="23"/>
  <c r="X85" i="25"/>
  <c r="X80" i="25"/>
  <c r="X79" i="25"/>
  <c r="X82" i="25"/>
  <c r="C13" i="52"/>
  <c r="H27" i="49"/>
  <c r="F50" i="8"/>
  <c r="F52" i="8"/>
  <c r="L50" i="25"/>
  <c r="L52" i="25"/>
  <c r="D19" i="52"/>
  <c r="H48" i="49"/>
  <c r="G60" i="8"/>
  <c r="G63" i="8"/>
  <c r="G75" i="8"/>
  <c r="G66" i="8"/>
  <c r="W21" i="22"/>
  <c r="W22" i="22" s="1"/>
  <c r="W24" i="22" s="1"/>
  <c r="W41" i="22" s="1"/>
  <c r="J203" i="49"/>
  <c r="Q203" i="49" s="1"/>
  <c r="E203" i="50"/>
  <c r="G203" i="50" s="1"/>
  <c r="H203" i="50" s="1"/>
  <c r="U41" i="28"/>
  <c r="Y46" i="10" s="1"/>
  <c r="H50" i="28"/>
  <c r="H52" i="28"/>
  <c r="X38" i="8"/>
  <c r="X32" i="8"/>
  <c r="X85" i="22"/>
  <c r="X80" i="22"/>
  <c r="X79" i="22"/>
  <c r="X82" i="22"/>
  <c r="K83" i="17"/>
  <c r="H86" i="17"/>
  <c r="N83" i="17"/>
  <c r="L83" i="17"/>
  <c r="W81" i="20"/>
  <c r="Y62" i="27"/>
  <c r="Y36" i="27"/>
  <c r="Y32" i="27"/>
  <c r="Y28" i="27"/>
  <c r="Y18" i="27"/>
  <c r="Y14" i="27"/>
  <c r="Y37" i="27"/>
  <c r="Y35" i="27"/>
  <c r="Y30" i="27"/>
  <c r="Y33" i="27"/>
  <c r="Y44" i="27"/>
  <c r="Y31" i="27"/>
  <c r="Y17" i="27"/>
  <c r="Y61" i="27"/>
  <c r="Y63" i="27" s="1"/>
  <c r="Y29" i="27"/>
  <c r="Y38" i="27"/>
  <c r="Y23" i="27"/>
  <c r="Y15" i="27"/>
  <c r="Y16" i="27"/>
  <c r="Y13" i="27"/>
  <c r="Y72" i="27"/>
  <c r="Y34" i="27"/>
  <c r="Y27" i="27"/>
  <c r="O45" i="10"/>
  <c r="W45" i="10"/>
  <c r="Y45" i="10"/>
  <c r="S45" i="10"/>
  <c r="T45" i="10"/>
  <c r="Z45" i="10"/>
  <c r="U45" i="10"/>
  <c r="X45" i="10"/>
  <c r="V45" i="10"/>
  <c r="AA35" i="10"/>
  <c r="Y39" i="17"/>
  <c r="P83" i="26"/>
  <c r="W21" i="29"/>
  <c r="J29" i="14"/>
  <c r="J30" i="14" s="1"/>
  <c r="X79" i="31"/>
  <c r="X80" i="31"/>
  <c r="X85" i="31"/>
  <c r="X82" i="31"/>
  <c r="X63" i="31"/>
  <c r="L50" i="31"/>
  <c r="L52" i="31"/>
  <c r="N99" i="14"/>
  <c r="N100" i="14" s="1"/>
  <c r="M3" i="20"/>
  <c r="O119" i="14"/>
  <c r="O120" i="14" s="1"/>
  <c r="X19" i="21"/>
  <c r="X20" i="21" s="1"/>
  <c r="K56" i="18"/>
  <c r="F83" i="30"/>
  <c r="Y39" i="20"/>
  <c r="H54" i="31"/>
  <c r="H56" i="31"/>
  <c r="J205" i="49"/>
  <c r="Q205" i="49" s="1"/>
  <c r="E205" i="50"/>
  <c r="K68" i="14"/>
  <c r="K69" i="14"/>
  <c r="K70" i="14" s="1"/>
  <c r="X85" i="29"/>
  <c r="X82" i="29"/>
  <c r="X80" i="29"/>
  <c r="X79" i="29"/>
  <c r="U45" i="22"/>
  <c r="U73" i="22"/>
  <c r="X8" i="51"/>
  <c r="H1437" i="49"/>
  <c r="H859" i="49"/>
  <c r="H4373" i="49"/>
  <c r="H4372" i="49"/>
  <c r="H2919" i="49"/>
  <c r="X17" i="51"/>
  <c r="H4424" i="49"/>
  <c r="H4423" i="49"/>
  <c r="E706" i="46"/>
  <c r="H4379" i="49"/>
  <c r="X13" i="51"/>
  <c r="H4175" i="49"/>
  <c r="H4720" i="49"/>
  <c r="X11" i="51"/>
  <c r="H1726" i="49"/>
  <c r="H684" i="49"/>
  <c r="H683" i="49"/>
  <c r="H3854" i="49"/>
  <c r="H1923" i="49"/>
  <c r="H1917" i="49"/>
  <c r="E285" i="46"/>
  <c r="H3309" i="49"/>
  <c r="V18" i="51"/>
  <c r="H1576" i="49"/>
  <c r="H3171" i="49"/>
  <c r="H3512" i="49"/>
  <c r="H4983" i="49"/>
  <c r="H4977" i="49"/>
  <c r="H1931" i="49"/>
  <c r="H4991" i="49"/>
  <c r="E793" i="46"/>
  <c r="H5194" i="49"/>
  <c r="H2410" i="49"/>
  <c r="H2416" i="49"/>
  <c r="W18" i="51"/>
  <c r="H2304" i="49"/>
  <c r="H691" i="49"/>
  <c r="V19" i="51"/>
  <c r="H3506" i="49"/>
  <c r="H3505" i="49"/>
  <c r="H990" i="49"/>
  <c r="H989" i="49"/>
  <c r="X9" i="51"/>
  <c r="H5036" i="49"/>
  <c r="H5035" i="49"/>
  <c r="H4599" i="49"/>
  <c r="H4111" i="49"/>
  <c r="H2155" i="49"/>
  <c r="H2161" i="49"/>
  <c r="H3667" i="49"/>
  <c r="E801" i="46"/>
  <c r="H2154" i="49"/>
  <c r="X21" i="51"/>
  <c r="H4616" i="49"/>
  <c r="H1755" i="49"/>
  <c r="H1754" i="49"/>
  <c r="E258" i="46"/>
  <c r="H1287" i="49"/>
  <c r="H4325" i="49"/>
  <c r="H1778" i="49"/>
  <c r="X15" i="51"/>
  <c r="X12" i="51"/>
  <c r="H1763" i="49"/>
  <c r="H1592" i="49"/>
  <c r="H4108" i="49"/>
  <c r="H2593" i="49"/>
  <c r="H2146" i="49"/>
  <c r="H2145" i="49"/>
  <c r="H4101" i="49"/>
  <c r="H4100" i="49"/>
  <c r="H5043" i="49"/>
  <c r="H4976" i="49"/>
  <c r="H3460" i="49"/>
  <c r="H3861" i="49"/>
  <c r="H3855" i="49"/>
  <c r="H4038" i="49"/>
  <c r="X6" i="51"/>
  <c r="H2934" i="49"/>
  <c r="H4679" i="49"/>
  <c r="H4678" i="49"/>
  <c r="H2426" i="49"/>
  <c r="H1764" i="49"/>
  <c r="H1770" i="49"/>
  <c r="H4160" i="49"/>
  <c r="H4431" i="49"/>
  <c r="H1277" i="49"/>
  <c r="H1271" i="49"/>
  <c r="H3302" i="49"/>
  <c r="H3301" i="49"/>
  <c r="H2882" i="49"/>
  <c r="H2920" i="49"/>
  <c r="H2926" i="49"/>
  <c r="X14" i="51"/>
  <c r="H4713" i="49"/>
  <c r="H4712" i="49"/>
  <c r="E754" i="46"/>
  <c r="H2731" i="49"/>
  <c r="H3081" i="49"/>
  <c r="H3080" i="49"/>
  <c r="E482" i="46"/>
  <c r="H3869" i="49"/>
  <c r="H1294" i="49"/>
  <c r="H1288" i="49"/>
  <c r="J1437" i="49" l="1"/>
  <c r="Q1437" i="49" s="1"/>
  <c r="Y8" i="51"/>
  <c r="Y19" i="25"/>
  <c r="G86" i="18"/>
  <c r="K83" i="18"/>
  <c r="N83" i="18"/>
  <c r="Q83" i="18"/>
  <c r="P83" i="18"/>
  <c r="G83" i="18"/>
  <c r="E86" i="18"/>
  <c r="L83" i="18"/>
  <c r="Y39" i="18"/>
  <c r="F86" i="18"/>
  <c r="E81" i="18"/>
  <c r="J81" i="18"/>
  <c r="F81" i="18"/>
  <c r="H81" i="18"/>
  <c r="O81" i="18"/>
  <c r="W81" i="18"/>
  <c r="P81" i="18"/>
  <c r="R81" i="18"/>
  <c r="M81" i="18"/>
  <c r="G81" i="18"/>
  <c r="X19" i="8"/>
  <c r="K44" i="14"/>
  <c r="N49" i="13" s="1"/>
  <c r="M48" i="18" s="1"/>
  <c r="Y80" i="18"/>
  <c r="V81" i="18" s="1"/>
  <c r="Y79" i="18"/>
  <c r="Y82" i="18"/>
  <c r="J83" i="18" s="1"/>
  <c r="Y85" i="18"/>
  <c r="J86" i="18"/>
  <c r="I86" i="18"/>
  <c r="O124" i="14"/>
  <c r="R57" i="13" s="1"/>
  <c r="Q48" i="26" s="1"/>
  <c r="H27" i="4"/>
  <c r="Y19" i="18"/>
  <c r="Y20" i="18" s="1"/>
  <c r="Y19" i="22"/>
  <c r="Y63" i="24"/>
  <c r="X81" i="18"/>
  <c r="X83" i="18"/>
  <c r="X45" i="18"/>
  <c r="X73" i="18"/>
  <c r="AB36" i="10"/>
  <c r="U83" i="18"/>
  <c r="Y19" i="21"/>
  <c r="Y20" i="21" s="1"/>
  <c r="J1288" i="49"/>
  <c r="Q1288" i="49"/>
  <c r="J1294" i="49"/>
  <c r="Q1294" i="49" s="1"/>
  <c r="Q3869" i="49"/>
  <c r="J3869" i="49"/>
  <c r="J482" i="46"/>
  <c r="J3080" i="49"/>
  <c r="Q3080" i="49" s="1"/>
  <c r="J3081" i="49"/>
  <c r="Q3081" i="49" s="1"/>
  <c r="J2731" i="49"/>
  <c r="Q2731" i="49" s="1"/>
  <c r="J754" i="46"/>
  <c r="J4712" i="49"/>
  <c r="Q4712" i="49" s="1"/>
  <c r="J4713" i="49"/>
  <c r="Q4713" i="49" s="1"/>
  <c r="Y14" i="51"/>
  <c r="Q2926" i="49"/>
  <c r="J2926" i="49"/>
  <c r="J2920" i="49"/>
  <c r="Q2920" i="49" s="1"/>
  <c r="J2882" i="49"/>
  <c r="Q2882" i="49" s="1"/>
  <c r="J3301" i="49"/>
  <c r="Q3301" i="49" s="1"/>
  <c r="J3302" i="49"/>
  <c r="Q3302" i="49" s="1"/>
  <c r="Q1271" i="49"/>
  <c r="J1271" i="49"/>
  <c r="J1277" i="49"/>
  <c r="Q1277" i="49" s="1"/>
  <c r="J4431" i="49"/>
  <c r="Q4431" i="49" s="1"/>
  <c r="J4160" i="49"/>
  <c r="Q4160" i="49" s="1"/>
  <c r="J1770" i="49"/>
  <c r="Q1770" i="49" s="1"/>
  <c r="F36" i="50"/>
  <c r="J1764" i="49"/>
  <c r="Q1764" i="49" s="1"/>
  <c r="F30" i="50"/>
  <c r="J2426" i="49"/>
  <c r="Q2426" i="49" s="1"/>
  <c r="Q4678" i="49"/>
  <c r="J4678" i="49"/>
  <c r="J4679" i="49"/>
  <c r="Q4679" i="49"/>
  <c r="J2934" i="49"/>
  <c r="Q2934" i="49" s="1"/>
  <c r="Y6" i="51"/>
  <c r="J4038" i="49"/>
  <c r="Q4038" i="49" s="1"/>
  <c r="Q3855" i="49"/>
  <c r="J3855" i="49"/>
  <c r="J3861" i="49"/>
  <c r="Q3861" i="49" s="1"/>
  <c r="J3460" i="49"/>
  <c r="Q3460" i="49"/>
  <c r="J4976" i="49"/>
  <c r="Q4976" i="49" s="1"/>
  <c r="J5043" i="49"/>
  <c r="Q5043" i="49" s="1"/>
  <c r="J4100" i="49"/>
  <c r="Q4100" i="49" s="1"/>
  <c r="J4101" i="49"/>
  <c r="Q4101" i="49" s="1"/>
  <c r="J2145" i="49"/>
  <c r="Q2145" i="49" s="1"/>
  <c r="J2146" i="49"/>
  <c r="Q2146" i="49" s="1"/>
  <c r="Q2593" i="49"/>
  <c r="J2593" i="49"/>
  <c r="J4108" i="49"/>
  <c r="Q4108" i="49" s="1"/>
  <c r="Q1592" i="49"/>
  <c r="J1592" i="49"/>
  <c r="J1763" i="49"/>
  <c r="Q1763" i="49" s="1"/>
  <c r="F29" i="50"/>
  <c r="Y12" i="51"/>
  <c r="Y15" i="51"/>
  <c r="J1778" i="49"/>
  <c r="Q1778" i="49" s="1"/>
  <c r="F44" i="50"/>
  <c r="J4325" i="49"/>
  <c r="Q4325" i="49" s="1"/>
  <c r="F279" i="50"/>
  <c r="J1287" i="49"/>
  <c r="Q1287" i="49"/>
  <c r="J258" i="46"/>
  <c r="J1754" i="49"/>
  <c r="Q1754" i="49"/>
  <c r="F20" i="50"/>
  <c r="J1755" i="49"/>
  <c r="Q1755" i="49" s="1"/>
  <c r="F21" i="50"/>
  <c r="J4616" i="49"/>
  <c r="Q4616" i="49" s="1"/>
  <c r="Y21" i="51"/>
  <c r="J2154" i="49"/>
  <c r="Q2154" i="49" s="1"/>
  <c r="J801" i="46"/>
  <c r="J3667" i="49"/>
  <c r="Q3667" i="49" s="1"/>
  <c r="J2161" i="49"/>
  <c r="Q2161" i="49" s="1"/>
  <c r="J2155" i="49"/>
  <c r="Q2155" i="49" s="1"/>
  <c r="J4111" i="49"/>
  <c r="Q4111" i="49" s="1"/>
  <c r="J4599" i="49"/>
  <c r="Q4599" i="49" s="1"/>
  <c r="F264" i="50"/>
  <c r="J5035" i="49"/>
  <c r="Q5035" i="49"/>
  <c r="J5036" i="49"/>
  <c r="Q5036" i="49" s="1"/>
  <c r="Y9" i="51"/>
  <c r="J989" i="49"/>
  <c r="Q989" i="49" s="1"/>
  <c r="J990" i="49"/>
  <c r="Q990" i="49" s="1"/>
  <c r="J3505" i="49"/>
  <c r="Q3505" i="49"/>
  <c r="J3506" i="49"/>
  <c r="Q3506" i="49" s="1"/>
  <c r="Q691" i="49"/>
  <c r="J691" i="49"/>
  <c r="J2304" i="49"/>
  <c r="Q2304" i="49" s="1"/>
  <c r="J2416" i="49"/>
  <c r="Q2416" i="49" s="1"/>
  <c r="Q2410" i="49"/>
  <c r="J2410" i="49"/>
  <c r="Q5194" i="49"/>
  <c r="J5194" i="49"/>
  <c r="J793" i="46"/>
  <c r="J4991" i="49"/>
  <c r="Q4991" i="49" s="1"/>
  <c r="Q1931" i="49"/>
  <c r="J1931" i="49"/>
  <c r="J4977" i="49"/>
  <c r="Q4977" i="49" s="1"/>
  <c r="J4983" i="49"/>
  <c r="Q4983" i="49"/>
  <c r="J3512" i="49"/>
  <c r="Q3512" i="49" s="1"/>
  <c r="J3171" i="49"/>
  <c r="Q3171" i="49" s="1"/>
  <c r="J1576" i="49"/>
  <c r="Q1576" i="49" s="1"/>
  <c r="J3309" i="49"/>
  <c r="Q3309" i="49" s="1"/>
  <c r="J285" i="46"/>
  <c r="J1917" i="49"/>
  <c r="Q1917" i="49" s="1"/>
  <c r="J1923" i="49"/>
  <c r="Q1923" i="49" s="1"/>
  <c r="J3854" i="49"/>
  <c r="Q3854" i="49" s="1"/>
  <c r="J683" i="49"/>
  <c r="Q683" i="49"/>
  <c r="J684" i="49"/>
  <c r="Q684" i="49" s="1"/>
  <c r="J1726" i="49"/>
  <c r="Q1726" i="49"/>
  <c r="Y11" i="51"/>
  <c r="J4720" i="49"/>
  <c r="Q4720" i="49" s="1"/>
  <c r="J4175" i="49"/>
  <c r="Q4175" i="49"/>
  <c r="Y13" i="51"/>
  <c r="J4379" i="49"/>
  <c r="Q4379" i="49" s="1"/>
  <c r="J706" i="46"/>
  <c r="J4423" i="49"/>
  <c r="Q4423" i="49" s="1"/>
  <c r="J4424" i="49"/>
  <c r="Q4424" i="49" s="1"/>
  <c r="Y17" i="51"/>
  <c r="J2919" i="49"/>
  <c r="Q2919" i="49"/>
  <c r="J4372" i="49"/>
  <c r="Q4372" i="49"/>
  <c r="J4373" i="49"/>
  <c r="Q4373" i="49"/>
  <c r="J859" i="49"/>
  <c r="Q859" i="49"/>
  <c r="X21" i="15"/>
  <c r="X22" i="15" s="1"/>
  <c r="X24" i="15" s="1"/>
  <c r="X41" i="15" s="1"/>
  <c r="Y81" i="30"/>
  <c r="Y45" i="30"/>
  <c r="Y83" i="30"/>
  <c r="Y73" i="30"/>
  <c r="S48" i="10"/>
  <c r="E25" i="4"/>
  <c r="AC48" i="10"/>
  <c r="L89" i="13"/>
  <c r="K64" i="30" s="1"/>
  <c r="K76" i="30" s="1"/>
  <c r="K77" i="30" s="1"/>
  <c r="J157" i="14"/>
  <c r="X83" i="17"/>
  <c r="X73" i="17"/>
  <c r="X45" i="17"/>
  <c r="X81" i="17"/>
  <c r="AB35" i="10"/>
  <c r="L88" i="13"/>
  <c r="K64" i="29" s="1"/>
  <c r="K76" i="29" s="1"/>
  <c r="K77" i="29" s="1"/>
  <c r="J147" i="14"/>
  <c r="W45" i="24"/>
  <c r="W73" i="24"/>
  <c r="AA42" i="10"/>
  <c r="X21" i="25"/>
  <c r="X22" i="25"/>
  <c r="X24" i="25" s="1"/>
  <c r="X41" i="25" s="1"/>
  <c r="X22" i="16"/>
  <c r="X24" i="16" s="1"/>
  <c r="X41" i="16" s="1"/>
  <c r="X21" i="16"/>
  <c r="N77" i="13"/>
  <c r="M64" i="18" s="1"/>
  <c r="M76" i="18" s="1"/>
  <c r="M77" i="18" s="1"/>
  <c r="L37" i="14"/>
  <c r="W45" i="16"/>
  <c r="W73" i="16"/>
  <c r="AA34" i="10"/>
  <c r="N80" i="13"/>
  <c r="M64" i="21" s="1"/>
  <c r="M76" i="21" s="1"/>
  <c r="M77" i="21" s="1"/>
  <c r="L67" i="14"/>
  <c r="O74" i="13"/>
  <c r="N64" i="15" s="1"/>
  <c r="N76" i="15" s="1"/>
  <c r="N77" i="15" s="1"/>
  <c r="M7" i="14"/>
  <c r="Y83" i="26"/>
  <c r="Y45" i="26"/>
  <c r="Y81" i="26"/>
  <c r="Y73" i="26"/>
  <c r="R44" i="10"/>
  <c r="U44" i="10"/>
  <c r="AC44" i="10"/>
  <c r="E21" i="4"/>
  <c r="L67" i="18"/>
  <c r="L68" i="18" s="1"/>
  <c r="K50" i="27"/>
  <c r="K52" i="27"/>
  <c r="W45" i="22"/>
  <c r="W73" i="22"/>
  <c r="Y39" i="29"/>
  <c r="L54" i="23"/>
  <c r="L56" i="23"/>
  <c r="Y17" i="8"/>
  <c r="Y79" i="29"/>
  <c r="Y80" i="29"/>
  <c r="Y85" i="29"/>
  <c r="Y82" i="29"/>
  <c r="G83" i="29" s="1"/>
  <c r="F67" i="24"/>
  <c r="F68" i="24" s="1"/>
  <c r="N50" i="15"/>
  <c r="N52" i="15"/>
  <c r="M50" i="18"/>
  <c r="M52" i="18"/>
  <c r="W73" i="23"/>
  <c r="W45" i="23"/>
  <c r="K67" i="18"/>
  <c r="K68" i="18" s="1"/>
  <c r="J54" i="29"/>
  <c r="F67" i="20"/>
  <c r="F68" i="20" s="1"/>
  <c r="X21" i="21"/>
  <c r="X22" i="21"/>
  <c r="X24" i="21" s="1"/>
  <c r="X41" i="21" s="1"/>
  <c r="Y63" i="23"/>
  <c r="X21" i="19"/>
  <c r="X22" i="19"/>
  <c r="X24" i="19" s="1"/>
  <c r="X41" i="19" s="1"/>
  <c r="Y63" i="16"/>
  <c r="Y61" i="8"/>
  <c r="Y19" i="16"/>
  <c r="Y20" i="16" s="1"/>
  <c r="Y14" i="8"/>
  <c r="Y63" i="31"/>
  <c r="J13" i="49"/>
  <c r="Q13" i="49"/>
  <c r="B17" i="1"/>
  <c r="E13" i="50"/>
  <c r="G13" i="50" s="1"/>
  <c r="H13" i="50" s="1"/>
  <c r="W81" i="15"/>
  <c r="W45" i="15"/>
  <c r="W73" i="15"/>
  <c r="T83" i="27"/>
  <c r="X73" i="28"/>
  <c r="X45" i="28"/>
  <c r="Y39" i="24"/>
  <c r="N82" i="13"/>
  <c r="M64" i="23" s="1"/>
  <c r="M76" i="23" s="1"/>
  <c r="M77" i="23" s="1"/>
  <c r="L87" i="14"/>
  <c r="B27" i="52"/>
  <c r="H20" i="49"/>
  <c r="K94" i="14"/>
  <c r="N54" i="13" s="1"/>
  <c r="M48" i="23" s="1"/>
  <c r="AA40" i="10"/>
  <c r="G50" i="24"/>
  <c r="G52" i="24"/>
  <c r="Y20" i="25"/>
  <c r="Y19" i="23"/>
  <c r="Y20" i="23" s="1"/>
  <c r="Y13" i="8"/>
  <c r="H21" i="49"/>
  <c r="G173" i="14"/>
  <c r="J118" i="13"/>
  <c r="I61" i="31" s="1"/>
  <c r="J67" i="27"/>
  <c r="J68" i="27" s="1"/>
  <c r="N84" i="13"/>
  <c r="M64" i="25" s="1"/>
  <c r="M76" i="25" s="1"/>
  <c r="M77" i="25" s="1"/>
  <c r="L107" i="14"/>
  <c r="J12" i="49"/>
  <c r="Q12" i="49" s="1"/>
  <c r="B16" i="1"/>
  <c r="E12" i="50"/>
  <c r="G12" i="50" s="1"/>
  <c r="H12" i="50" s="1"/>
  <c r="L54" i="31"/>
  <c r="K74" i="14"/>
  <c r="N52" i="13" s="1"/>
  <c r="M48" i="21" s="1"/>
  <c r="Y19" i="27"/>
  <c r="Y21" i="17"/>
  <c r="Y22" i="17" s="1"/>
  <c r="Y24" i="17" s="1"/>
  <c r="Y41" i="17" s="1"/>
  <c r="L49" i="14"/>
  <c r="L50" i="14" s="1"/>
  <c r="L48" i="14"/>
  <c r="Y63" i="28"/>
  <c r="V45" i="8"/>
  <c r="V73" i="8"/>
  <c r="Y35" i="8"/>
  <c r="Y39" i="31"/>
  <c r="G76" i="20"/>
  <c r="G77" i="20" s="1"/>
  <c r="G64" i="8"/>
  <c r="G76" i="8" s="1"/>
  <c r="G77" i="8" s="1"/>
  <c r="R81" i="29"/>
  <c r="H54" i="28"/>
  <c r="H56" i="28" s="1"/>
  <c r="J27" i="49"/>
  <c r="Q27" i="49" s="1"/>
  <c r="E27" i="50"/>
  <c r="G27" i="50" s="1"/>
  <c r="H27" i="50" s="1"/>
  <c r="F83" i="29"/>
  <c r="V73" i="28"/>
  <c r="V81" i="28"/>
  <c r="V45" i="28"/>
  <c r="Y63" i="22"/>
  <c r="Y63" i="25"/>
  <c r="X21" i="31"/>
  <c r="X22" i="31" s="1"/>
  <c r="X24" i="31" s="1"/>
  <c r="X41" i="31" s="1"/>
  <c r="I86" i="29"/>
  <c r="M54" i="19"/>
  <c r="K56" i="28"/>
  <c r="Y63" i="29"/>
  <c r="X66" i="8"/>
  <c r="X63" i="8"/>
  <c r="X60" i="8" s="1"/>
  <c r="F86" i="20"/>
  <c r="M56" i="15"/>
  <c r="M67" i="15" s="1"/>
  <c r="M68" i="15" s="1"/>
  <c r="X81" i="20"/>
  <c r="X83" i="20"/>
  <c r="X45" i="20"/>
  <c r="X73" i="20"/>
  <c r="AB38" i="10"/>
  <c r="Q12" i="52"/>
  <c r="H264" i="49"/>
  <c r="Y85" i="28"/>
  <c r="Y82" i="28"/>
  <c r="E83" i="28" s="1"/>
  <c r="Y80" i="28"/>
  <c r="X81" i="28" s="1"/>
  <c r="Y79" i="28"/>
  <c r="G50" i="20"/>
  <c r="G52" i="20"/>
  <c r="G48" i="8"/>
  <c r="X21" i="24"/>
  <c r="X22" i="24" s="1"/>
  <c r="X24" i="24" s="1"/>
  <c r="X41" i="24" s="1"/>
  <c r="Y18" i="8"/>
  <c r="R85" i="13"/>
  <c r="Q64" i="26" s="1"/>
  <c r="Q76" i="26" s="1"/>
  <c r="Q77" i="26" s="1"/>
  <c r="P117" i="14"/>
  <c r="Y39" i="27"/>
  <c r="U73" i="28"/>
  <c r="U45" i="28"/>
  <c r="D23" i="52"/>
  <c r="D21" i="52"/>
  <c r="D22" i="52"/>
  <c r="H51" i="49"/>
  <c r="H50" i="49"/>
  <c r="H52" i="49"/>
  <c r="N104" i="14"/>
  <c r="Q55" i="13" s="1"/>
  <c r="P48" i="24" s="1"/>
  <c r="L86" i="18"/>
  <c r="I154" i="14"/>
  <c r="L60" i="13" s="1"/>
  <c r="K48" i="29" s="1"/>
  <c r="Y82" i="24"/>
  <c r="W83" i="24" s="1"/>
  <c r="Y80" i="24"/>
  <c r="T81" i="24" s="1"/>
  <c r="Y79" i="24"/>
  <c r="Y85" i="24"/>
  <c r="O81" i="20"/>
  <c r="AA33" i="10"/>
  <c r="S83" i="29"/>
  <c r="H83" i="29"/>
  <c r="P83" i="22"/>
  <c r="Y79" i="22"/>
  <c r="Y85" i="22"/>
  <c r="Y80" i="22"/>
  <c r="P81" i="22" s="1"/>
  <c r="Y82" i="22"/>
  <c r="H86" i="22" s="1"/>
  <c r="I164" i="14"/>
  <c r="L61" i="13" s="1"/>
  <c r="K48" i="30" s="1"/>
  <c r="X39" i="8"/>
  <c r="Y63" i="19"/>
  <c r="Y79" i="19"/>
  <c r="Y80" i="19"/>
  <c r="S81" i="19" s="1"/>
  <c r="Y85" i="19"/>
  <c r="Y82" i="19"/>
  <c r="L86" i="19" s="1"/>
  <c r="F86" i="29"/>
  <c r="Y39" i="23"/>
  <c r="Y31" i="8"/>
  <c r="Y28" i="8"/>
  <c r="S83" i="22"/>
  <c r="J84" i="14"/>
  <c r="M53" i="13" s="1"/>
  <c r="L48" i="22" s="1"/>
  <c r="J19" i="49"/>
  <c r="Q19" i="49"/>
  <c r="B23" i="1"/>
  <c r="E19" i="50"/>
  <c r="G19" i="50" s="1"/>
  <c r="H19" i="50" s="1"/>
  <c r="F98" i="14"/>
  <c r="F99" i="14" s="1"/>
  <c r="F100" i="14" s="1"/>
  <c r="I76" i="31"/>
  <c r="I77" i="31" s="1"/>
  <c r="Y82" i="15"/>
  <c r="V83" i="15" s="1"/>
  <c r="Y79" i="15"/>
  <c r="Y85" i="15"/>
  <c r="Y80" i="15"/>
  <c r="W45" i="21"/>
  <c r="W73" i="21"/>
  <c r="Y30" i="8"/>
  <c r="P86" i="26"/>
  <c r="J34" i="14"/>
  <c r="M48" i="13" s="1"/>
  <c r="L48" i="17" s="1"/>
  <c r="L67" i="21"/>
  <c r="L68" i="21" s="1"/>
  <c r="W21" i="8"/>
  <c r="W22" i="8" s="1"/>
  <c r="W24" i="8" s="1"/>
  <c r="W41" i="8" s="1"/>
  <c r="H63" i="28"/>
  <c r="Y21" i="20"/>
  <c r="Y22" i="20" s="1"/>
  <c r="Y24" i="20" s="1"/>
  <c r="Y41" i="20" s="1"/>
  <c r="AA39" i="10"/>
  <c r="Y19" i="28"/>
  <c r="Y20" i="28" s="1"/>
  <c r="Y39" i="28"/>
  <c r="Y19" i="19"/>
  <c r="U83" i="29"/>
  <c r="Y38" i="8"/>
  <c r="Y36" i="8"/>
  <c r="P56" i="26"/>
  <c r="P83" i="28"/>
  <c r="K83" i="28"/>
  <c r="W73" i="31"/>
  <c r="W45" i="31"/>
  <c r="B28" i="52"/>
  <c r="B29" i="52" s="1"/>
  <c r="F86" i="17"/>
  <c r="G86" i="17"/>
  <c r="O83" i="17"/>
  <c r="G83" i="17"/>
  <c r="F83" i="17"/>
  <c r="E86" i="17"/>
  <c r="P83" i="17"/>
  <c r="U83" i="17"/>
  <c r="E83" i="17"/>
  <c r="I86" i="17"/>
  <c r="T83" i="17"/>
  <c r="M83" i="17"/>
  <c r="J86" i="17"/>
  <c r="R83" i="17"/>
  <c r="I83" i="17"/>
  <c r="H83" i="17"/>
  <c r="Q83" i="17"/>
  <c r="J83" i="17"/>
  <c r="S83" i="17"/>
  <c r="Y32" i="8"/>
  <c r="M81" i="13"/>
  <c r="L64" i="22" s="1"/>
  <c r="L76" i="22" s="1"/>
  <c r="L77" i="22" s="1"/>
  <c r="K77" i="14"/>
  <c r="P81" i="29"/>
  <c r="Q83" i="13"/>
  <c r="P64" i="24" s="1"/>
  <c r="P76" i="24" s="1"/>
  <c r="P77" i="24" s="1"/>
  <c r="O97" i="14"/>
  <c r="Y79" i="27"/>
  <c r="Y80" i="27"/>
  <c r="R81" i="27" s="1"/>
  <c r="Y82" i="27"/>
  <c r="I86" i="27" s="1"/>
  <c r="Y85" i="27"/>
  <c r="J48" i="49"/>
  <c r="Q48" i="49" s="1"/>
  <c r="E48" i="50"/>
  <c r="G48" i="50" s="1"/>
  <c r="H48" i="50" s="1"/>
  <c r="Y19" i="15"/>
  <c r="Y20" i="15" s="1"/>
  <c r="W22" i="29"/>
  <c r="W24" i="29" s="1"/>
  <c r="W41" i="29" s="1"/>
  <c r="Y20" i="27"/>
  <c r="K54" i="16"/>
  <c r="Y19" i="29"/>
  <c r="Y20" i="29" s="1"/>
  <c r="T81" i="27"/>
  <c r="K83" i="29"/>
  <c r="J67" i="22"/>
  <c r="J68" i="22" s="1"/>
  <c r="Y20" i="22"/>
  <c r="J19" i="14"/>
  <c r="J20" i="14" s="1"/>
  <c r="K114" i="14"/>
  <c r="N56" i="13" s="1"/>
  <c r="M48" i="25" s="1"/>
  <c r="U81" i="15"/>
  <c r="T81" i="15"/>
  <c r="Y85" i="21"/>
  <c r="Y80" i="21"/>
  <c r="Y82" i="21"/>
  <c r="T83" i="21" s="1"/>
  <c r="Y79" i="21"/>
  <c r="Y39" i="21"/>
  <c r="I50" i="31"/>
  <c r="I52" i="31"/>
  <c r="P81" i="24"/>
  <c r="Y39" i="19"/>
  <c r="Y80" i="23"/>
  <c r="U81" i="23" s="1"/>
  <c r="Y79" i="23"/>
  <c r="Y82" i="23"/>
  <c r="Y85" i="23"/>
  <c r="Y34" i="8"/>
  <c r="Y62" i="8"/>
  <c r="V83" i="29"/>
  <c r="Y19" i="31"/>
  <c r="Y20" i="31" s="1"/>
  <c r="M81" i="17"/>
  <c r="N81" i="17"/>
  <c r="K81" i="17"/>
  <c r="L81" i="17"/>
  <c r="J81" i="17"/>
  <c r="G81" i="17"/>
  <c r="F81" i="17"/>
  <c r="P81" i="17"/>
  <c r="I81" i="17"/>
  <c r="E81" i="17"/>
  <c r="H81" i="17"/>
  <c r="O81" i="17"/>
  <c r="Q81" i="17"/>
  <c r="S81" i="17"/>
  <c r="U81" i="17"/>
  <c r="R10" i="52"/>
  <c r="H279" i="49"/>
  <c r="U45" i="8"/>
  <c r="U73" i="8"/>
  <c r="K138" i="14"/>
  <c r="K139" i="14" s="1"/>
  <c r="K140" i="14" s="1"/>
  <c r="O58" i="14"/>
  <c r="O59" i="14" s="1"/>
  <c r="O60" i="14" s="1"/>
  <c r="P50" i="20"/>
  <c r="P52" i="20"/>
  <c r="X21" i="29"/>
  <c r="H67" i="31"/>
  <c r="H68" i="31" s="1"/>
  <c r="T81" i="17"/>
  <c r="G50" i="26"/>
  <c r="G52" i="26"/>
  <c r="T83" i="22"/>
  <c r="F148" i="14"/>
  <c r="F149" i="14" s="1"/>
  <c r="F150" i="14" s="1"/>
  <c r="J277" i="49"/>
  <c r="Q277" i="49"/>
  <c r="E277" i="50"/>
  <c r="G277" i="50" s="1"/>
  <c r="H277" i="50" s="1"/>
  <c r="W73" i="19"/>
  <c r="W81" i="19"/>
  <c r="W83" i="19"/>
  <c r="W45" i="19"/>
  <c r="H86" i="21"/>
  <c r="AB46" i="10"/>
  <c r="Y39" i="16"/>
  <c r="Y27" i="8"/>
  <c r="Y23" i="8"/>
  <c r="Y79" i="31"/>
  <c r="Y80" i="31"/>
  <c r="W81" i="31" s="1"/>
  <c r="Y85" i="31"/>
  <c r="Y82" i="31"/>
  <c r="R83" i="31" s="1"/>
  <c r="Y15" i="8"/>
  <c r="Y63" i="15"/>
  <c r="K56" i="22"/>
  <c r="Y80" i="25"/>
  <c r="U81" i="25" s="1"/>
  <c r="Y85" i="25"/>
  <c r="Y79" i="25"/>
  <c r="Y82" i="25"/>
  <c r="I86" i="25" s="1"/>
  <c r="L54" i="25"/>
  <c r="O67" i="20"/>
  <c r="O68" i="20" s="1"/>
  <c r="L56" i="19"/>
  <c r="Y39" i="15"/>
  <c r="W22" i="28"/>
  <c r="W24" i="28" s="1"/>
  <c r="W41" i="28" s="1"/>
  <c r="T81" i="29"/>
  <c r="Y20" i="19"/>
  <c r="K86" i="21"/>
  <c r="Y16" i="8"/>
  <c r="Y29" i="8"/>
  <c r="S81" i="29"/>
  <c r="F118" i="14"/>
  <c r="X20" i="8"/>
  <c r="O83" i="16"/>
  <c r="F10" i="38"/>
  <c r="H10" i="32"/>
  <c r="H10" i="38" s="1"/>
  <c r="T81" i="19"/>
  <c r="J128" i="14"/>
  <c r="J129" i="14"/>
  <c r="J130" i="14" s="1"/>
  <c r="W73" i="25"/>
  <c r="W45" i="25"/>
  <c r="J54" i="30"/>
  <c r="J56" i="30" s="1"/>
  <c r="J247" i="49"/>
  <c r="Q247" i="49" s="1"/>
  <c r="E247" i="50"/>
  <c r="G247" i="50" s="1"/>
  <c r="H247" i="50" s="1"/>
  <c r="T81" i="21"/>
  <c r="X21" i="23"/>
  <c r="X22" i="23" s="1"/>
  <c r="X24" i="23" s="1"/>
  <c r="X41" i="23" s="1"/>
  <c r="V81" i="27"/>
  <c r="V83" i="22"/>
  <c r="J262" i="49"/>
  <c r="Q262" i="49" s="1"/>
  <c r="E12" i="1"/>
  <c r="E262" i="50"/>
  <c r="G262" i="50" s="1"/>
  <c r="H262" i="50" s="1"/>
  <c r="Y39" i="25"/>
  <c r="X21" i="27"/>
  <c r="X22" i="27" s="1"/>
  <c r="X24" i="27" s="1"/>
  <c r="X41" i="27" s="1"/>
  <c r="Y81" i="8"/>
  <c r="U82" i="8" s="1"/>
  <c r="Y83" i="8"/>
  <c r="Y79" i="8"/>
  <c r="Y86" i="8"/>
  <c r="K169" i="14"/>
  <c r="K170" i="14" s="1"/>
  <c r="L50" i="28"/>
  <c r="L52" i="28"/>
  <c r="G50" i="29"/>
  <c r="G52" i="29"/>
  <c r="H81" i="20"/>
  <c r="I81" i="20"/>
  <c r="J81" i="20"/>
  <c r="M81" i="20"/>
  <c r="F81" i="20"/>
  <c r="G81" i="20"/>
  <c r="T81" i="20"/>
  <c r="L81" i="20"/>
  <c r="N81" i="20"/>
  <c r="K81" i="20"/>
  <c r="E81" i="20"/>
  <c r="U81" i="20"/>
  <c r="P81" i="20"/>
  <c r="W73" i="27"/>
  <c r="W81" i="27"/>
  <c r="W45" i="27"/>
  <c r="Y82" i="16"/>
  <c r="T83" i="16" s="1"/>
  <c r="Y79" i="16"/>
  <c r="Y80" i="16"/>
  <c r="U81" i="16" s="1"/>
  <c r="Y85" i="16"/>
  <c r="Y33" i="8"/>
  <c r="F14" i="38"/>
  <c r="H14" i="32"/>
  <c r="H14" i="38" s="1"/>
  <c r="U81" i="24"/>
  <c r="S81" i="20"/>
  <c r="M76" i="13"/>
  <c r="L64" i="17" s="1"/>
  <c r="L76" i="17" s="1"/>
  <c r="L77" i="17" s="1"/>
  <c r="K27" i="14"/>
  <c r="U83" i="22"/>
  <c r="C14" i="52"/>
  <c r="H28" i="49"/>
  <c r="F54" i="8"/>
  <c r="F56" i="8" s="1"/>
  <c r="Y19" i="24"/>
  <c r="Y20" i="24" s="1"/>
  <c r="Q50" i="26"/>
  <c r="Q52" i="26"/>
  <c r="E83" i="20"/>
  <c r="H83" i="20"/>
  <c r="F83" i="20"/>
  <c r="J83" i="20"/>
  <c r="I83" i="20"/>
  <c r="G83" i="20"/>
  <c r="L83" i="20"/>
  <c r="K83" i="20"/>
  <c r="M83" i="20"/>
  <c r="N83" i="20"/>
  <c r="O83" i="20"/>
  <c r="P83" i="20"/>
  <c r="Q83" i="20"/>
  <c r="R83" i="20"/>
  <c r="T83" i="20"/>
  <c r="S83" i="20"/>
  <c r="W83" i="20"/>
  <c r="U83" i="20"/>
  <c r="E86" i="20"/>
  <c r="V83" i="20"/>
  <c r="Y39" i="22"/>
  <c r="U83" i="19"/>
  <c r="I86" i="19"/>
  <c r="X21" i="22"/>
  <c r="X22" i="22"/>
  <c r="X24" i="22" s="1"/>
  <c r="X41" i="22" s="1"/>
  <c r="Y44" i="8"/>
  <c r="Y37" i="8"/>
  <c r="F58" i="14"/>
  <c r="F59" i="14" s="1"/>
  <c r="F60" i="14" s="1"/>
  <c r="H1302" i="49"/>
  <c r="H3682" i="49"/>
  <c r="H2935" i="49"/>
  <c r="H2169" i="49"/>
  <c r="H4992" i="49"/>
  <c r="E795" i="46"/>
  <c r="H4995" i="49"/>
  <c r="E798" i="46"/>
  <c r="H1593" i="49"/>
  <c r="H3674" i="49"/>
  <c r="H3668" i="49"/>
  <c r="H4721" i="49"/>
  <c r="H2732" i="49"/>
  <c r="H3325" i="49"/>
  <c r="H2739" i="49"/>
  <c r="H2733" i="49"/>
  <c r="H4432" i="49"/>
  <c r="H3863" i="49"/>
  <c r="H3862" i="49"/>
  <c r="H4161" i="49"/>
  <c r="H4167" i="49"/>
  <c r="H4380" i="49"/>
  <c r="H3087" i="49"/>
  <c r="H4327" i="49"/>
  <c r="H1296" i="49"/>
  <c r="H1295" i="49"/>
  <c r="E804" i="46"/>
  <c r="H1303" i="49"/>
  <c r="H1772" i="49"/>
  <c r="H1771" i="49"/>
  <c r="H4447" i="49"/>
  <c r="H1925" i="49"/>
  <c r="H1924" i="49"/>
  <c r="E290" i="46"/>
  <c r="H3870" i="49"/>
  <c r="H1779" i="49"/>
  <c r="H996" i="49"/>
  <c r="H1583" i="49"/>
  <c r="H1577" i="49"/>
  <c r="H2441" i="49"/>
  <c r="H4110" i="49"/>
  <c r="H4116" i="49"/>
  <c r="H2163" i="49"/>
  <c r="H2162" i="49"/>
  <c r="H1932" i="49"/>
  <c r="H3683" i="49"/>
  <c r="H3310" i="49"/>
  <c r="H4109" i="49"/>
  <c r="H2418" i="49"/>
  <c r="H2417" i="49"/>
  <c r="H2427" i="49"/>
  <c r="H2433" i="49"/>
  <c r="W19" i="51"/>
  <c r="H692" i="49"/>
  <c r="E794" i="46"/>
  <c r="H4176" i="49"/>
  <c r="H4115" i="49"/>
  <c r="H4114" i="49"/>
  <c r="H4113" i="49"/>
  <c r="H3513" i="49"/>
  <c r="H2747" i="49"/>
  <c r="H2928" i="49"/>
  <c r="H2927" i="49"/>
  <c r="H1279" i="49"/>
  <c r="H1278" i="49"/>
  <c r="H5044" i="49"/>
  <c r="H4736" i="49"/>
  <c r="H4985" i="49"/>
  <c r="H4984" i="49"/>
  <c r="H4728" i="49"/>
  <c r="H4722" i="49"/>
  <c r="J3682" i="49" l="1"/>
  <c r="Q3682" i="49" s="1"/>
  <c r="J1302" i="49"/>
  <c r="Q1302" i="49" s="1"/>
  <c r="Y22" i="21"/>
  <c r="Y24" i="21" s="1"/>
  <c r="Y41" i="21" s="1"/>
  <c r="Y21" i="21"/>
  <c r="J86" i="19"/>
  <c r="T83" i="31"/>
  <c r="V83" i="19"/>
  <c r="R83" i="21"/>
  <c r="P81" i="19"/>
  <c r="J24" i="14"/>
  <c r="M47" i="13" s="1"/>
  <c r="L48" i="16" s="1"/>
  <c r="V83" i="16"/>
  <c r="T81" i="23"/>
  <c r="N83" i="21"/>
  <c r="R81" i="19"/>
  <c r="H86" i="27"/>
  <c r="X75" i="8"/>
  <c r="J86" i="31"/>
  <c r="W83" i="16"/>
  <c r="W81" i="24"/>
  <c r="R83" i="15"/>
  <c r="W83" i="25"/>
  <c r="S83" i="19"/>
  <c r="S83" i="21"/>
  <c r="I86" i="21"/>
  <c r="F86" i="28"/>
  <c r="K86" i="18"/>
  <c r="H83" i="18"/>
  <c r="V83" i="18"/>
  <c r="S83" i="18"/>
  <c r="W83" i="18"/>
  <c r="H86" i="18"/>
  <c r="L81" i="18"/>
  <c r="M83" i="18"/>
  <c r="O83" i="18"/>
  <c r="S83" i="16"/>
  <c r="G86" i="31"/>
  <c r="U83" i="27"/>
  <c r="N81" i="18"/>
  <c r="E83" i="18"/>
  <c r="T83" i="18"/>
  <c r="Y39" i="8"/>
  <c r="Q81" i="31"/>
  <c r="U81" i="22"/>
  <c r="U83" i="16"/>
  <c r="V83" i="31"/>
  <c r="S83" i="27"/>
  <c r="K81" i="18"/>
  <c r="I83" i="18"/>
  <c r="R83" i="18"/>
  <c r="U83" i="15"/>
  <c r="V81" i="25"/>
  <c r="Y21" i="18"/>
  <c r="Y22" i="18" s="1"/>
  <c r="Y24" i="18" s="1"/>
  <c r="Y41" i="18" s="1"/>
  <c r="U81" i="18"/>
  <c r="R83" i="19"/>
  <c r="W83" i="27"/>
  <c r="K174" i="14"/>
  <c r="N62" i="13" s="1"/>
  <c r="M48" i="31" s="1"/>
  <c r="Q83" i="29"/>
  <c r="W83" i="31"/>
  <c r="L83" i="29"/>
  <c r="P83" i="19"/>
  <c r="P83" i="25"/>
  <c r="I81" i="18"/>
  <c r="T83" i="19"/>
  <c r="J86" i="27"/>
  <c r="K86" i="31"/>
  <c r="T81" i="18"/>
  <c r="S81" i="18"/>
  <c r="Q81" i="18"/>
  <c r="F83" i="18"/>
  <c r="J4722" i="49"/>
  <c r="Q4722" i="49" s="1"/>
  <c r="J4728" i="49"/>
  <c r="Q4728" i="49" s="1"/>
  <c r="J4984" i="49"/>
  <c r="Q4984" i="49" s="1"/>
  <c r="J4985" i="49"/>
  <c r="Q4985" i="49" s="1"/>
  <c r="J4736" i="49"/>
  <c r="Q4736" i="49" s="1"/>
  <c r="J5044" i="49"/>
  <c r="Q5044" i="49" s="1"/>
  <c r="J1278" i="49"/>
  <c r="Q1278" i="49"/>
  <c r="J1279" i="49"/>
  <c r="Q1279" i="49" s="1"/>
  <c r="Q2927" i="49"/>
  <c r="J2927" i="49"/>
  <c r="J2928" i="49"/>
  <c r="Q2928" i="49"/>
  <c r="J2747" i="49"/>
  <c r="Q2747" i="49" s="1"/>
  <c r="J3513" i="49"/>
  <c r="Q3513" i="49" s="1"/>
  <c r="J4113" i="49"/>
  <c r="Q4113" i="49"/>
  <c r="J4114" i="49"/>
  <c r="Q4114" i="49" s="1"/>
  <c r="J4115" i="49"/>
  <c r="Q4115" i="49"/>
  <c r="J4176" i="49"/>
  <c r="Q4176" i="49" s="1"/>
  <c r="J794" i="46"/>
  <c r="J692" i="49"/>
  <c r="Q692" i="49" s="1"/>
  <c r="J2433" i="49"/>
  <c r="Q2433" i="49" s="1"/>
  <c r="J2427" i="49"/>
  <c r="Q2427" i="49" s="1"/>
  <c r="Q2417" i="49"/>
  <c r="J2417" i="49"/>
  <c r="J2418" i="49"/>
  <c r="Q2418" i="49" s="1"/>
  <c r="J4109" i="49"/>
  <c r="Q4109" i="49" s="1"/>
  <c r="J3310" i="49"/>
  <c r="Q3310" i="49" s="1"/>
  <c r="J3683" i="49"/>
  <c r="Q3683" i="49" s="1"/>
  <c r="J1932" i="49"/>
  <c r="Q1932" i="49" s="1"/>
  <c r="J2162" i="49"/>
  <c r="Q2162" i="49" s="1"/>
  <c r="J2163" i="49"/>
  <c r="Q2163" i="49" s="1"/>
  <c r="J4116" i="49"/>
  <c r="Q4116" i="49" s="1"/>
  <c r="J4110" i="49"/>
  <c r="Q4110" i="49"/>
  <c r="J2441" i="49"/>
  <c r="Q2441" i="49" s="1"/>
  <c r="Q1577" i="49"/>
  <c r="J1577" i="49"/>
  <c r="J1583" i="49"/>
  <c r="Q1583" i="49" s="1"/>
  <c r="J996" i="49"/>
  <c r="Q996" i="49" s="1"/>
  <c r="J1779" i="49"/>
  <c r="Q1779" i="49" s="1"/>
  <c r="F45" i="50"/>
  <c r="J3870" i="49"/>
  <c r="Q3870" i="49" s="1"/>
  <c r="J290" i="46"/>
  <c r="J1924" i="49"/>
  <c r="Q1924" i="49" s="1"/>
  <c r="Q1925" i="49"/>
  <c r="J1925" i="49"/>
  <c r="J4447" i="49"/>
  <c r="Q4447" i="49" s="1"/>
  <c r="J1771" i="49"/>
  <c r="Q1771" i="49" s="1"/>
  <c r="F37" i="50"/>
  <c r="J1772" i="49"/>
  <c r="Q1772" i="49" s="1"/>
  <c r="F38" i="50"/>
  <c r="J1303" i="49"/>
  <c r="Q1303" i="49" s="1"/>
  <c r="J804" i="46"/>
  <c r="J1295" i="49"/>
  <c r="Q1295" i="49" s="1"/>
  <c r="J1296" i="49"/>
  <c r="Q1296" i="49" s="1"/>
  <c r="Q4327" i="49"/>
  <c r="J4327" i="49"/>
  <c r="F281" i="50"/>
  <c r="J3087" i="49"/>
  <c r="Q3087" i="49" s="1"/>
  <c r="J4380" i="49"/>
  <c r="Q4380" i="49" s="1"/>
  <c r="J4167" i="49"/>
  <c r="Q4167" i="49"/>
  <c r="J4161" i="49"/>
  <c r="Q4161" i="49" s="1"/>
  <c r="Q3862" i="49"/>
  <c r="J3862" i="49"/>
  <c r="J3863" i="49"/>
  <c r="Q3863" i="49"/>
  <c r="J4432" i="49"/>
  <c r="Q4432" i="49"/>
  <c r="J2733" i="49"/>
  <c r="Q2733" i="49" s="1"/>
  <c r="J2739" i="49"/>
  <c r="Q2739" i="49" s="1"/>
  <c r="J3325" i="49"/>
  <c r="Q3325" i="49" s="1"/>
  <c r="J2732" i="49"/>
  <c r="Q2732" i="49" s="1"/>
  <c r="J4721" i="49"/>
  <c r="Q4721" i="49" s="1"/>
  <c r="J3668" i="49"/>
  <c r="Q3668" i="49" s="1"/>
  <c r="J3674" i="49"/>
  <c r="Q3674" i="49" s="1"/>
  <c r="J1593" i="49"/>
  <c r="Q1593" i="49" s="1"/>
  <c r="J798" i="46"/>
  <c r="J4995" i="49"/>
  <c r="Q4995" i="49" s="1"/>
  <c r="F82" i="50"/>
  <c r="J795" i="46"/>
  <c r="Q4992" i="49"/>
  <c r="J4992" i="49"/>
  <c r="J2169" i="49"/>
  <c r="Q2169" i="49" s="1"/>
  <c r="J2935" i="49"/>
  <c r="Q2935" i="49" s="1"/>
  <c r="M86" i="13"/>
  <c r="L64" i="27" s="1"/>
  <c r="L76" i="27" s="1"/>
  <c r="L77" i="27" s="1"/>
  <c r="K127" i="14"/>
  <c r="X45" i="24"/>
  <c r="X81" i="24"/>
  <c r="X73" i="24"/>
  <c r="X83" i="24"/>
  <c r="AB42" i="10"/>
  <c r="C26" i="52"/>
  <c r="C16" i="52"/>
  <c r="H30" i="49"/>
  <c r="H36" i="49"/>
  <c r="F67" i="8"/>
  <c r="F68" i="8" s="1"/>
  <c r="O78" i="13"/>
  <c r="N64" i="19" s="1"/>
  <c r="N76" i="19" s="1"/>
  <c r="N77" i="19" s="1"/>
  <c r="M47" i="14"/>
  <c r="Y83" i="17"/>
  <c r="Y73" i="17"/>
  <c r="Y45" i="17"/>
  <c r="Y81" i="17"/>
  <c r="R35" i="10"/>
  <c r="E12" i="4"/>
  <c r="AC35" i="10"/>
  <c r="R79" i="13"/>
  <c r="Q64" i="20" s="1"/>
  <c r="Q76" i="20" s="1"/>
  <c r="Q77" i="20" s="1"/>
  <c r="P57" i="14"/>
  <c r="X83" i="15"/>
  <c r="X73" i="15"/>
  <c r="X45" i="15"/>
  <c r="X81" i="15"/>
  <c r="AB33" i="10"/>
  <c r="Y21" i="28"/>
  <c r="Y22" i="28" s="1"/>
  <c r="Y24" i="28" s="1"/>
  <c r="Y41" i="28" s="1"/>
  <c r="X83" i="31"/>
  <c r="X73" i="31"/>
  <c r="X81" i="31"/>
  <c r="X45" i="31"/>
  <c r="AB49" i="10"/>
  <c r="I79" i="13"/>
  <c r="H64" i="20" s="1"/>
  <c r="G57" i="14"/>
  <c r="I88" i="13"/>
  <c r="H64" i="29" s="1"/>
  <c r="H76" i="29" s="1"/>
  <c r="H77" i="29" s="1"/>
  <c r="F151" i="14"/>
  <c r="X81" i="27"/>
  <c r="X73" i="27"/>
  <c r="X83" i="27"/>
  <c r="X45" i="27"/>
  <c r="AB45" i="10"/>
  <c r="J67" i="30"/>
  <c r="J68" i="30" s="1"/>
  <c r="Y21" i="23"/>
  <c r="Y22" i="23" s="1"/>
  <c r="Y24" i="23" s="1"/>
  <c r="Y41" i="23" s="1"/>
  <c r="Y21" i="16"/>
  <c r="Y21" i="24"/>
  <c r="Y22" i="24" s="1"/>
  <c r="Y24" i="24" s="1"/>
  <c r="Y41" i="24" s="1"/>
  <c r="I83" i="13"/>
  <c r="H64" i="24" s="1"/>
  <c r="H76" i="24" s="1"/>
  <c r="H77" i="24" s="1"/>
  <c r="G97" i="14"/>
  <c r="X83" i="23"/>
  <c r="X45" i="23"/>
  <c r="X81" i="23"/>
  <c r="X73" i="23"/>
  <c r="AB41" i="10"/>
  <c r="Y21" i="15"/>
  <c r="Y22" i="15" s="1"/>
  <c r="Y24" i="15" s="1"/>
  <c r="Y41" i="15" s="1"/>
  <c r="H83" i="23"/>
  <c r="G86" i="23"/>
  <c r="I83" i="23"/>
  <c r="J83" i="23"/>
  <c r="E83" i="23"/>
  <c r="L83" i="23"/>
  <c r="K83" i="23"/>
  <c r="E86" i="23"/>
  <c r="N83" i="23"/>
  <c r="H86" i="23"/>
  <c r="F83" i="23"/>
  <c r="F86" i="23"/>
  <c r="G83" i="23"/>
  <c r="M83" i="23"/>
  <c r="O83" i="23"/>
  <c r="R83" i="23"/>
  <c r="T83" i="23"/>
  <c r="V83" i="23"/>
  <c r="I86" i="23"/>
  <c r="K86" i="23"/>
  <c r="S83" i="23"/>
  <c r="P83" i="23"/>
  <c r="L86" i="21"/>
  <c r="K50" i="30"/>
  <c r="K52" i="30"/>
  <c r="I82" i="8"/>
  <c r="J264" i="49"/>
  <c r="Q264" i="49" s="1"/>
  <c r="E13" i="1"/>
  <c r="E264" i="50"/>
  <c r="G264" i="50" s="1"/>
  <c r="H264" i="50" s="1"/>
  <c r="T82" i="8"/>
  <c r="L86" i="31"/>
  <c r="X83" i="28"/>
  <c r="T83" i="15"/>
  <c r="X45" i="19"/>
  <c r="X81" i="19"/>
  <c r="X83" i="19"/>
  <c r="X73" i="19"/>
  <c r="AB37" i="10"/>
  <c r="W83" i="22"/>
  <c r="X45" i="25"/>
  <c r="X73" i="25"/>
  <c r="X83" i="25"/>
  <c r="X81" i="25"/>
  <c r="AB43" i="10"/>
  <c r="J86" i="25"/>
  <c r="M50" i="23"/>
  <c r="M52" i="23"/>
  <c r="G56" i="26"/>
  <c r="G54" i="26"/>
  <c r="K78" i="14"/>
  <c r="K79" i="14"/>
  <c r="K80" i="14" s="1"/>
  <c r="K81" i="16"/>
  <c r="H81" i="16"/>
  <c r="J81" i="16"/>
  <c r="E81" i="16"/>
  <c r="F81" i="16"/>
  <c r="L81" i="16"/>
  <c r="I81" i="16"/>
  <c r="M81" i="16"/>
  <c r="G81" i="16"/>
  <c r="P81" i="16"/>
  <c r="Q81" i="16"/>
  <c r="N81" i="16"/>
  <c r="P83" i="24"/>
  <c r="K28" i="14"/>
  <c r="E81" i="25"/>
  <c r="G81" i="25"/>
  <c r="J81" i="25"/>
  <c r="M81" i="25"/>
  <c r="H81" i="25"/>
  <c r="I81" i="25"/>
  <c r="K81" i="25"/>
  <c r="F81" i="25"/>
  <c r="L81" i="25"/>
  <c r="N81" i="25"/>
  <c r="P81" i="25"/>
  <c r="R12" i="52"/>
  <c r="H281" i="49"/>
  <c r="I86" i="22"/>
  <c r="E86" i="28"/>
  <c r="L83" i="28"/>
  <c r="S83" i="28"/>
  <c r="G86" i="28"/>
  <c r="R83" i="28"/>
  <c r="N83" i="28"/>
  <c r="Q83" i="28"/>
  <c r="X73" i="22"/>
  <c r="X45" i="22"/>
  <c r="X83" i="22"/>
  <c r="X81" i="22"/>
  <c r="AB40" i="10"/>
  <c r="L56" i="28"/>
  <c r="L54" i="28"/>
  <c r="W45" i="28"/>
  <c r="W83" i="28"/>
  <c r="W73" i="28"/>
  <c r="W81" i="28"/>
  <c r="AA46" i="10"/>
  <c r="I81" i="31"/>
  <c r="L81" i="31"/>
  <c r="K81" i="31"/>
  <c r="G81" i="31"/>
  <c r="J81" i="31"/>
  <c r="H81" i="31"/>
  <c r="F81" i="31"/>
  <c r="M81" i="31"/>
  <c r="N81" i="31"/>
  <c r="E81" i="31"/>
  <c r="V81" i="31"/>
  <c r="K86" i="16"/>
  <c r="Q81" i="23"/>
  <c r="G83" i="28"/>
  <c r="Y45" i="21"/>
  <c r="Y83" i="21"/>
  <c r="Y81" i="21"/>
  <c r="Y73" i="21"/>
  <c r="E16" i="4"/>
  <c r="AC39" i="10"/>
  <c r="J86" i="21"/>
  <c r="Y21" i="22"/>
  <c r="Y22" i="22" s="1"/>
  <c r="Y24" i="22" s="1"/>
  <c r="Y41" i="22" s="1"/>
  <c r="R81" i="23"/>
  <c r="Q81" i="25"/>
  <c r="O81" i="31"/>
  <c r="L56" i="31"/>
  <c r="R81" i="22"/>
  <c r="W81" i="23"/>
  <c r="F82" i="8"/>
  <c r="N83" i="16"/>
  <c r="F83" i="16"/>
  <c r="G86" i="16"/>
  <c r="E86" i="16"/>
  <c r="L83" i="16"/>
  <c r="H83" i="16"/>
  <c r="K83" i="16"/>
  <c r="M83" i="16"/>
  <c r="E83" i="16"/>
  <c r="F86" i="16"/>
  <c r="R83" i="16"/>
  <c r="I83" i="16"/>
  <c r="G83" i="16"/>
  <c r="P83" i="16"/>
  <c r="J83" i="16"/>
  <c r="Q83" i="16"/>
  <c r="I86" i="16"/>
  <c r="J86" i="16"/>
  <c r="H86" i="16"/>
  <c r="N90" i="13"/>
  <c r="M64" i="31" s="1"/>
  <c r="M76" i="31" s="1"/>
  <c r="M77" i="31" s="1"/>
  <c r="L167" i="14"/>
  <c r="J134" i="14"/>
  <c r="M58" i="13" s="1"/>
  <c r="L48" i="27" s="1"/>
  <c r="N83" i="29"/>
  <c r="K67" i="22"/>
  <c r="K68" i="22" s="1"/>
  <c r="X22" i="29"/>
  <c r="X24" i="29" s="1"/>
  <c r="X41" i="29" s="1"/>
  <c r="E86" i="27"/>
  <c r="I83" i="27"/>
  <c r="N83" i="27"/>
  <c r="F86" i="27"/>
  <c r="M83" i="27"/>
  <c r="E83" i="27"/>
  <c r="H83" i="27"/>
  <c r="L83" i="27"/>
  <c r="K83" i="27"/>
  <c r="J83" i="27"/>
  <c r="G86" i="27"/>
  <c r="G83" i="27"/>
  <c r="F83" i="27"/>
  <c r="P83" i="27"/>
  <c r="V83" i="27"/>
  <c r="Q83" i="27"/>
  <c r="O83" i="27"/>
  <c r="R83" i="27"/>
  <c r="T81" i="31"/>
  <c r="F83" i="28"/>
  <c r="J86" i="23"/>
  <c r="T81" i="25"/>
  <c r="M83" i="19"/>
  <c r="G86" i="19"/>
  <c r="N83" i="19"/>
  <c r="F86" i="19"/>
  <c r="G83" i="19"/>
  <c r="I83" i="19"/>
  <c r="F83" i="19"/>
  <c r="E83" i="19"/>
  <c r="K83" i="19"/>
  <c r="L83" i="19"/>
  <c r="J83" i="19"/>
  <c r="E86" i="19"/>
  <c r="H83" i="19"/>
  <c r="Q83" i="19"/>
  <c r="K86" i="19"/>
  <c r="H86" i="19"/>
  <c r="O83" i="19"/>
  <c r="V81" i="22"/>
  <c r="S83" i="31"/>
  <c r="S81" i="31"/>
  <c r="V83" i="28"/>
  <c r="H86" i="28"/>
  <c r="H86" i="31"/>
  <c r="J21" i="49"/>
  <c r="Q21" i="49" s="1"/>
  <c r="E21" i="50"/>
  <c r="G21" i="50" s="1"/>
  <c r="H21" i="50" s="1"/>
  <c r="S81" i="25"/>
  <c r="O81" i="22"/>
  <c r="W81" i="16"/>
  <c r="L86" i="25"/>
  <c r="Q56" i="26"/>
  <c r="Q54" i="26"/>
  <c r="P54" i="20"/>
  <c r="P56" i="20" s="1"/>
  <c r="G83" i="21"/>
  <c r="E86" i="21"/>
  <c r="G86" i="21"/>
  <c r="J83" i="21"/>
  <c r="L83" i="21"/>
  <c r="F83" i="21"/>
  <c r="H83" i="21"/>
  <c r="E83" i="21"/>
  <c r="M83" i="21"/>
  <c r="I83" i="21"/>
  <c r="P83" i="21"/>
  <c r="K83" i="21"/>
  <c r="U83" i="21"/>
  <c r="F86" i="21"/>
  <c r="O83" i="21"/>
  <c r="Y21" i="27"/>
  <c r="Y22" i="27" s="1"/>
  <c r="Y24" i="27" s="1"/>
  <c r="Y41" i="27" s="1"/>
  <c r="I81" i="27"/>
  <c r="M81" i="27"/>
  <c r="J81" i="27"/>
  <c r="F81" i="27"/>
  <c r="L81" i="27"/>
  <c r="H81" i="27"/>
  <c r="K81" i="27"/>
  <c r="E81" i="27"/>
  <c r="G81" i="27"/>
  <c r="O81" i="27"/>
  <c r="N81" i="27"/>
  <c r="Q81" i="27"/>
  <c r="J83" i="28"/>
  <c r="M81" i="15"/>
  <c r="F81" i="15"/>
  <c r="G81" i="15"/>
  <c r="H81" i="15"/>
  <c r="I81" i="15"/>
  <c r="J81" i="15"/>
  <c r="E81" i="15"/>
  <c r="L81" i="15"/>
  <c r="K81" i="15"/>
  <c r="N81" i="15"/>
  <c r="R81" i="15"/>
  <c r="S81" i="15"/>
  <c r="V81" i="15"/>
  <c r="P81" i="15"/>
  <c r="Q81" i="15"/>
  <c r="E86" i="22"/>
  <c r="I83" i="22"/>
  <c r="F83" i="22"/>
  <c r="F86" i="22"/>
  <c r="K83" i="22"/>
  <c r="G83" i="22"/>
  <c r="M83" i="22"/>
  <c r="J83" i="22"/>
  <c r="E83" i="22"/>
  <c r="L83" i="22"/>
  <c r="H83" i="22"/>
  <c r="N83" i="22"/>
  <c r="Q83" i="22"/>
  <c r="O83" i="22"/>
  <c r="G86" i="22"/>
  <c r="J86" i="22"/>
  <c r="U81" i="28"/>
  <c r="D13" i="52"/>
  <c r="H44" i="49"/>
  <c r="G50" i="8"/>
  <c r="G52" i="8"/>
  <c r="G82" i="8"/>
  <c r="R81" i="31"/>
  <c r="H67" i="28"/>
  <c r="H68" i="28" s="1"/>
  <c r="Y21" i="31"/>
  <c r="Y22" i="31" s="1"/>
  <c r="Y24" i="31" s="1"/>
  <c r="Y41" i="31" s="1"/>
  <c r="X73" i="21"/>
  <c r="X83" i="21"/>
  <c r="X45" i="21"/>
  <c r="X81" i="21"/>
  <c r="AB39" i="10"/>
  <c r="R83" i="22"/>
  <c r="U81" i="27"/>
  <c r="Y21" i="19"/>
  <c r="Y22" i="19" s="1"/>
  <c r="Y24" i="19" s="1"/>
  <c r="Y41" i="19" s="1"/>
  <c r="L50" i="22"/>
  <c r="L52" i="22"/>
  <c r="F86" i="24"/>
  <c r="V83" i="24"/>
  <c r="U83" i="24"/>
  <c r="L67" i="19"/>
  <c r="L68" i="19" s="1"/>
  <c r="E81" i="21"/>
  <c r="H81" i="21"/>
  <c r="F81" i="21"/>
  <c r="I81" i="21"/>
  <c r="L81" i="21"/>
  <c r="K81" i="21"/>
  <c r="J81" i="21"/>
  <c r="G81" i="21"/>
  <c r="M81" i="21"/>
  <c r="R81" i="21"/>
  <c r="U81" i="21"/>
  <c r="Q81" i="21"/>
  <c r="W81" i="29"/>
  <c r="W83" i="29"/>
  <c r="W73" i="29"/>
  <c r="W45" i="29"/>
  <c r="AA47" i="10"/>
  <c r="T83" i="28"/>
  <c r="L50" i="17"/>
  <c r="L52" i="17"/>
  <c r="K81" i="19"/>
  <c r="L81" i="19"/>
  <c r="G81" i="19"/>
  <c r="H81" i="19"/>
  <c r="O81" i="19"/>
  <c r="I81" i="19"/>
  <c r="F81" i="19"/>
  <c r="J81" i="19"/>
  <c r="E81" i="19"/>
  <c r="N81" i="19"/>
  <c r="M81" i="19"/>
  <c r="U81" i="19"/>
  <c r="Q81" i="19"/>
  <c r="V81" i="19"/>
  <c r="L81" i="22"/>
  <c r="E81" i="22"/>
  <c r="H81" i="22"/>
  <c r="I81" i="22"/>
  <c r="J81" i="22"/>
  <c r="N81" i="22"/>
  <c r="K81" i="22"/>
  <c r="G81" i="22"/>
  <c r="F81" i="22"/>
  <c r="M81" i="22"/>
  <c r="S81" i="22"/>
  <c r="H81" i="24"/>
  <c r="L81" i="24"/>
  <c r="M81" i="24"/>
  <c r="J81" i="24"/>
  <c r="F81" i="24"/>
  <c r="E81" i="24"/>
  <c r="G81" i="24"/>
  <c r="K81" i="24"/>
  <c r="N81" i="24"/>
  <c r="I81" i="24"/>
  <c r="O81" i="24"/>
  <c r="Q81" i="24"/>
  <c r="R81" i="24"/>
  <c r="S81" i="24"/>
  <c r="V81" i="24"/>
  <c r="G54" i="20"/>
  <c r="G56" i="20" s="1"/>
  <c r="P81" i="31"/>
  <c r="L54" i="14"/>
  <c r="O50" i="13" s="1"/>
  <c r="N48" i="19" s="1"/>
  <c r="I83" i="24"/>
  <c r="T81" i="22"/>
  <c r="W83" i="23"/>
  <c r="M83" i="29"/>
  <c r="P83" i="29"/>
  <c r="T83" i="29"/>
  <c r="O83" i="29"/>
  <c r="I83" i="29"/>
  <c r="J83" i="29"/>
  <c r="E86" i="29"/>
  <c r="E83" i="29"/>
  <c r="R83" i="29"/>
  <c r="W81" i="22"/>
  <c r="L83" i="24"/>
  <c r="M83" i="24"/>
  <c r="E86" i="24"/>
  <c r="N83" i="24"/>
  <c r="T83" i="24"/>
  <c r="G83" i="24"/>
  <c r="Q83" i="24"/>
  <c r="J83" i="24"/>
  <c r="R83" i="24"/>
  <c r="E83" i="24"/>
  <c r="O86" i="24"/>
  <c r="F83" i="24"/>
  <c r="K54" i="27"/>
  <c r="M9" i="14"/>
  <c r="M8" i="14"/>
  <c r="M14" i="14" s="1"/>
  <c r="P46" i="13" s="1"/>
  <c r="O48" i="15" s="1"/>
  <c r="M10" i="14"/>
  <c r="E82" i="8"/>
  <c r="K82" i="8"/>
  <c r="N82" i="8"/>
  <c r="H82" i="8"/>
  <c r="O82" i="8"/>
  <c r="R82" i="8"/>
  <c r="M82" i="8"/>
  <c r="L82" i="8"/>
  <c r="S82" i="8"/>
  <c r="H282" i="46"/>
  <c r="H272" i="46"/>
  <c r="H262" i="46"/>
  <c r="H266" i="46"/>
  <c r="H290" i="46"/>
  <c r="H286" i="46"/>
  <c r="H261" i="46"/>
  <c r="H251" i="46"/>
  <c r="H275" i="46"/>
  <c r="H246" i="46"/>
  <c r="H279" i="46"/>
  <c r="H258" i="46"/>
  <c r="H278" i="46"/>
  <c r="H254" i="46"/>
  <c r="H250" i="46"/>
  <c r="H273" i="46"/>
  <c r="H287" i="46"/>
  <c r="H281" i="46"/>
  <c r="H247" i="46"/>
  <c r="H268" i="46"/>
  <c r="H253" i="46"/>
  <c r="H288" i="46"/>
  <c r="H249" i="46"/>
  <c r="H260" i="46"/>
  <c r="H276" i="46"/>
  <c r="H269" i="46"/>
  <c r="H256" i="46"/>
  <c r="H267" i="46"/>
  <c r="M10" i="38"/>
  <c r="H248" i="46"/>
  <c r="H257" i="46"/>
  <c r="H263" i="46"/>
  <c r="H271" i="46"/>
  <c r="H284" i="46"/>
  <c r="H277" i="46"/>
  <c r="H291" i="46"/>
  <c r="H259" i="46"/>
  <c r="H292" i="46"/>
  <c r="H274" i="46"/>
  <c r="H245" i="46"/>
  <c r="H280" i="46"/>
  <c r="H264" i="46"/>
  <c r="H270" i="46"/>
  <c r="H285" i="46"/>
  <c r="H283" i="46"/>
  <c r="H265" i="46"/>
  <c r="H289" i="46"/>
  <c r="H252" i="46"/>
  <c r="H255" i="46"/>
  <c r="W73" i="8"/>
  <c r="W45" i="8"/>
  <c r="W82" i="8"/>
  <c r="O64" i="14"/>
  <c r="R51" i="13" s="1"/>
  <c r="Q48" i="20" s="1"/>
  <c r="R81" i="16"/>
  <c r="J86" i="28"/>
  <c r="F86" i="15"/>
  <c r="G86" i="15"/>
  <c r="I83" i="15"/>
  <c r="H83" i="15"/>
  <c r="N83" i="15"/>
  <c r="K83" i="15"/>
  <c r="G83" i="15"/>
  <c r="L83" i="15"/>
  <c r="E83" i="15"/>
  <c r="M83" i="15"/>
  <c r="E86" i="15"/>
  <c r="H86" i="15"/>
  <c r="F83" i="15"/>
  <c r="J83" i="15"/>
  <c r="I86" i="15"/>
  <c r="O83" i="15"/>
  <c r="P83" i="15"/>
  <c r="K86" i="15"/>
  <c r="J86" i="15"/>
  <c r="Q83" i="15"/>
  <c r="H83" i="24"/>
  <c r="K50" i="29"/>
  <c r="K52" i="29"/>
  <c r="J20" i="49"/>
  <c r="Q20" i="49" s="1"/>
  <c r="E20" i="50"/>
  <c r="G20" i="50" s="1"/>
  <c r="H20" i="50" s="1"/>
  <c r="B24" i="1"/>
  <c r="F86" i="31"/>
  <c r="L86" i="15"/>
  <c r="M54" i="18"/>
  <c r="M56" i="18"/>
  <c r="H81" i="29"/>
  <c r="G81" i="29"/>
  <c r="I81" i="29"/>
  <c r="L81" i="29"/>
  <c r="J81" i="29"/>
  <c r="K81" i="29"/>
  <c r="F81" i="29"/>
  <c r="E81" i="29"/>
  <c r="M81" i="29"/>
  <c r="N81" i="29"/>
  <c r="Q81" i="29"/>
  <c r="O81" i="29"/>
  <c r="U81" i="29"/>
  <c r="L40" i="14"/>
  <c r="L38" i="14"/>
  <c r="L39" i="14"/>
  <c r="V81" i="29"/>
  <c r="M50" i="31"/>
  <c r="M52" i="31"/>
  <c r="M81" i="23"/>
  <c r="G81" i="23"/>
  <c r="L81" i="23"/>
  <c r="K81" i="23"/>
  <c r="O81" i="23"/>
  <c r="E81" i="23"/>
  <c r="H81" i="23"/>
  <c r="I81" i="23"/>
  <c r="F81" i="23"/>
  <c r="J81" i="23"/>
  <c r="P81" i="23"/>
  <c r="N81" i="23"/>
  <c r="S81" i="23"/>
  <c r="P82" i="8"/>
  <c r="M83" i="28"/>
  <c r="O83" i="28"/>
  <c r="L50" i="16"/>
  <c r="L52" i="16"/>
  <c r="S83" i="24"/>
  <c r="U83" i="28"/>
  <c r="J81" i="28"/>
  <c r="L81" i="28"/>
  <c r="M81" i="28"/>
  <c r="I81" i="28"/>
  <c r="H81" i="28"/>
  <c r="O81" i="28"/>
  <c r="F81" i="28"/>
  <c r="G81" i="28"/>
  <c r="K81" i="28"/>
  <c r="E81" i="28"/>
  <c r="N81" i="28"/>
  <c r="T81" i="28"/>
  <c r="R81" i="28"/>
  <c r="P81" i="28"/>
  <c r="S81" i="28"/>
  <c r="M86" i="15"/>
  <c r="L109" i="14"/>
  <c r="L110" i="14" s="1"/>
  <c r="L108" i="14"/>
  <c r="J82" i="8"/>
  <c r="Q81" i="28"/>
  <c r="J158" i="14"/>
  <c r="Y19" i="8"/>
  <c r="Y20" i="8" s="1"/>
  <c r="K86" i="28"/>
  <c r="N54" i="15"/>
  <c r="N86" i="15" s="1"/>
  <c r="K83" i="24"/>
  <c r="F64" i="14"/>
  <c r="I51" i="13" s="1"/>
  <c r="H48" i="20" s="1"/>
  <c r="C15" i="52"/>
  <c r="H29" i="49"/>
  <c r="H477" i="46"/>
  <c r="H482" i="46"/>
  <c r="H446" i="46"/>
  <c r="H466" i="46"/>
  <c r="H441" i="46"/>
  <c r="H478" i="46"/>
  <c r="H458" i="46"/>
  <c r="H452" i="46"/>
  <c r="H470" i="46"/>
  <c r="H438" i="46"/>
  <c r="H442" i="46"/>
  <c r="H459" i="46"/>
  <c r="H474" i="46"/>
  <c r="H462" i="46"/>
  <c r="H455" i="46"/>
  <c r="H467" i="46"/>
  <c r="H453" i="46"/>
  <c r="H444" i="46"/>
  <c r="H463" i="46"/>
  <c r="H484" i="46"/>
  <c r="H469" i="46"/>
  <c r="M14" i="38"/>
  <c r="H476" i="46"/>
  <c r="H451" i="46"/>
  <c r="H472" i="46"/>
  <c r="H457" i="46"/>
  <c r="H483" i="46"/>
  <c r="H464" i="46"/>
  <c r="H473" i="46"/>
  <c r="H439" i="46"/>
  <c r="H460" i="46"/>
  <c r="H445" i="46"/>
  <c r="H447" i="46"/>
  <c r="H479" i="46"/>
  <c r="H461" i="46"/>
  <c r="H456" i="46"/>
  <c r="H454" i="46"/>
  <c r="H449" i="46"/>
  <c r="H480" i="46"/>
  <c r="H443" i="46"/>
  <c r="H471" i="46"/>
  <c r="H468" i="46"/>
  <c r="H448" i="46"/>
  <c r="H437" i="46"/>
  <c r="H450" i="46"/>
  <c r="H465" i="46"/>
  <c r="H481" i="46"/>
  <c r="H475" i="46"/>
  <c r="H440" i="46"/>
  <c r="P50" i="24"/>
  <c r="P52" i="24"/>
  <c r="Q83" i="23"/>
  <c r="J28" i="49"/>
  <c r="Q28" i="49"/>
  <c r="E28" i="50"/>
  <c r="G28" i="50" s="1"/>
  <c r="H28" i="50" s="1"/>
  <c r="V81" i="16"/>
  <c r="G54" i="29"/>
  <c r="G56" i="29" s="1"/>
  <c r="O81" i="21"/>
  <c r="Y21" i="29"/>
  <c r="I83" i="28"/>
  <c r="K67" i="28"/>
  <c r="K68" i="28" s="1"/>
  <c r="V81" i="23"/>
  <c r="Y21" i="25"/>
  <c r="Y22" i="25" s="1"/>
  <c r="Y24" i="25" s="1"/>
  <c r="Y41" i="25" s="1"/>
  <c r="O81" i="16"/>
  <c r="J86" i="29"/>
  <c r="L67" i="23"/>
  <c r="L68" i="23" s="1"/>
  <c r="L68" i="14"/>
  <c r="L69" i="14"/>
  <c r="L70" i="14" s="1"/>
  <c r="X21" i="8"/>
  <c r="X22" i="8" s="1"/>
  <c r="X24" i="8" s="1"/>
  <c r="X41" i="8" s="1"/>
  <c r="J148" i="14"/>
  <c r="J149" i="14" s="1"/>
  <c r="J150" i="14" s="1"/>
  <c r="V83" i="21"/>
  <c r="U83" i="23"/>
  <c r="P118" i="14"/>
  <c r="P119" i="14"/>
  <c r="P120" i="14"/>
  <c r="N81" i="21"/>
  <c r="M50" i="25"/>
  <c r="M52" i="25"/>
  <c r="J50" i="49"/>
  <c r="Q50" i="49" s="1"/>
  <c r="E50" i="50"/>
  <c r="G50" i="50" s="1"/>
  <c r="H50" i="50" s="1"/>
  <c r="P81" i="27"/>
  <c r="V82" i="8"/>
  <c r="O81" i="25"/>
  <c r="W83" i="15"/>
  <c r="Y63" i="8"/>
  <c r="Y66" i="8" s="1"/>
  <c r="Y60" i="8"/>
  <c r="L86" i="23"/>
  <c r="J86" i="30"/>
  <c r="F154" i="14"/>
  <c r="I60" i="13" s="1"/>
  <c r="H48" i="29" s="1"/>
  <c r="J279" i="49"/>
  <c r="Q279" i="49" s="1"/>
  <c r="E279" i="50"/>
  <c r="G279" i="50" s="1"/>
  <c r="H279" i="50" s="1"/>
  <c r="O98" i="14"/>
  <c r="O99" i="14" s="1"/>
  <c r="O100" i="14" s="1"/>
  <c r="Y45" i="20"/>
  <c r="Y83" i="20"/>
  <c r="Y81" i="20"/>
  <c r="Y73" i="20"/>
  <c r="O38" i="10"/>
  <c r="S38" i="10"/>
  <c r="AC38" i="10"/>
  <c r="E15" i="4"/>
  <c r="F104" i="14"/>
  <c r="I55" i="13" s="1"/>
  <c r="H48" i="24" s="1"/>
  <c r="L56" i="25"/>
  <c r="S81" i="27"/>
  <c r="N87" i="13"/>
  <c r="M64" i="28" s="1"/>
  <c r="M76" i="28" s="1"/>
  <c r="M77" i="28" s="1"/>
  <c r="L137" i="14"/>
  <c r="P67" i="26"/>
  <c r="P68" i="26" s="1"/>
  <c r="J52" i="49"/>
  <c r="Q52" i="49" s="1"/>
  <c r="E52" i="50"/>
  <c r="G52" i="50" s="1"/>
  <c r="H52" i="50" s="1"/>
  <c r="U81" i="31"/>
  <c r="W81" i="25"/>
  <c r="F119" i="14"/>
  <c r="F120" i="14" s="1"/>
  <c r="L83" i="25"/>
  <c r="E83" i="25"/>
  <c r="H86" i="25"/>
  <c r="N83" i="25"/>
  <c r="J83" i="25"/>
  <c r="I83" i="25"/>
  <c r="E86" i="25"/>
  <c r="M83" i="25"/>
  <c r="F83" i="25"/>
  <c r="K83" i="25"/>
  <c r="G83" i="25"/>
  <c r="H83" i="25"/>
  <c r="F86" i="25"/>
  <c r="G86" i="25"/>
  <c r="Q83" i="25"/>
  <c r="S83" i="25"/>
  <c r="T83" i="25"/>
  <c r="U83" i="25"/>
  <c r="K86" i="25"/>
  <c r="O83" i="25"/>
  <c r="R83" i="25"/>
  <c r="V83" i="25"/>
  <c r="J83" i="31"/>
  <c r="O83" i="31"/>
  <c r="P83" i="31"/>
  <c r="N83" i="31"/>
  <c r="M83" i="31"/>
  <c r="L83" i="31"/>
  <c r="I83" i="31"/>
  <c r="F83" i="31"/>
  <c r="K83" i="31"/>
  <c r="H83" i="31"/>
  <c r="E83" i="31"/>
  <c r="G83" i="31"/>
  <c r="U83" i="31"/>
  <c r="Q83" i="31"/>
  <c r="O83" i="24"/>
  <c r="O81" i="15"/>
  <c r="H83" i="28"/>
  <c r="Q82" i="8"/>
  <c r="W81" i="21"/>
  <c r="S81" i="16"/>
  <c r="M86" i="19"/>
  <c r="R81" i="25"/>
  <c r="I63" i="31"/>
  <c r="I61" i="8"/>
  <c r="L90" i="14"/>
  <c r="L88" i="14"/>
  <c r="L89" i="14"/>
  <c r="X81" i="16"/>
  <c r="X73" i="16"/>
  <c r="X83" i="16"/>
  <c r="X45" i="16"/>
  <c r="AB34" i="10"/>
  <c r="Q81" i="22"/>
  <c r="P81" i="21"/>
  <c r="V81" i="21"/>
  <c r="K144" i="14"/>
  <c r="N59" i="13" s="1"/>
  <c r="M48" i="28" s="1"/>
  <c r="I54" i="31"/>
  <c r="M75" i="13"/>
  <c r="L64" i="16" s="1"/>
  <c r="K17" i="14"/>
  <c r="K56" i="16"/>
  <c r="I86" i="28"/>
  <c r="W83" i="21"/>
  <c r="S83" i="15"/>
  <c r="E86" i="31"/>
  <c r="J51" i="49"/>
  <c r="Q51" i="49" s="1"/>
  <c r="E51" i="50"/>
  <c r="G51" i="50" s="1"/>
  <c r="H51" i="50" s="1"/>
  <c r="Q83" i="21"/>
  <c r="M56" i="19"/>
  <c r="M50" i="21"/>
  <c r="M52" i="21"/>
  <c r="G54" i="24"/>
  <c r="G56" i="24"/>
  <c r="K86" i="22"/>
  <c r="J56" i="29"/>
  <c r="S81" i="21"/>
  <c r="T81" i="16"/>
  <c r="H5059" i="49"/>
  <c r="H707" i="49"/>
  <c r="H1585" i="49"/>
  <c r="H1584" i="49"/>
  <c r="H708" i="49"/>
  <c r="H2748" i="49"/>
  <c r="H3326" i="49"/>
  <c r="H3676" i="49"/>
  <c r="H3675" i="49"/>
  <c r="H1780" i="49"/>
  <c r="E41" i="46"/>
  <c r="N8" i="39"/>
  <c r="X19" i="51"/>
  <c r="H2936" i="49"/>
  <c r="H4396" i="49"/>
  <c r="H2943" i="49"/>
  <c r="H2937" i="49"/>
  <c r="H4169" i="49"/>
  <c r="H4168" i="49"/>
  <c r="H693" i="49"/>
  <c r="H699" i="49"/>
  <c r="H2170" i="49"/>
  <c r="H3515" i="49"/>
  <c r="H3521" i="49"/>
  <c r="H4184" i="49"/>
  <c r="H4178" i="49"/>
  <c r="H4997" i="49"/>
  <c r="H4999" i="49"/>
  <c r="H4998" i="49"/>
  <c r="E800" i="46"/>
  <c r="H4730" i="49"/>
  <c r="H4729" i="49"/>
  <c r="H3514" i="49"/>
  <c r="H4177" i="49"/>
  <c r="H3088" i="49"/>
  <c r="H5045" i="49"/>
  <c r="H5051" i="49"/>
  <c r="H3691" i="49"/>
  <c r="H3685" i="49"/>
  <c r="H4118" i="49"/>
  <c r="H4117" i="49"/>
  <c r="H5060" i="49"/>
  <c r="H4433" i="49"/>
  <c r="H4439" i="49"/>
  <c r="H3886" i="49"/>
  <c r="H3684" i="49"/>
  <c r="H1608" i="49"/>
  <c r="H1934" i="49"/>
  <c r="H1940" i="49"/>
  <c r="H2951" i="49"/>
  <c r="H2435" i="49"/>
  <c r="H2434" i="49"/>
  <c r="H1933" i="49"/>
  <c r="H2442" i="49"/>
  <c r="H1948" i="49"/>
  <c r="H1304" i="49"/>
  <c r="H4192" i="49"/>
  <c r="X18" i="51"/>
  <c r="H1305" i="49"/>
  <c r="H1311" i="49"/>
  <c r="H3317" i="49"/>
  <c r="H3311" i="49"/>
  <c r="H3871" i="49"/>
  <c r="H997" i="49"/>
  <c r="H1795" i="49"/>
  <c r="H2741" i="49"/>
  <c r="H2740" i="49"/>
  <c r="H4993" i="49"/>
  <c r="E796" i="46"/>
  <c r="H4388" i="49"/>
  <c r="H4382" i="49"/>
  <c r="H4737" i="49"/>
  <c r="H4448" i="49"/>
  <c r="H4381" i="49"/>
  <c r="H1594" i="49"/>
  <c r="H1600" i="49"/>
  <c r="H1781" i="49"/>
  <c r="H1787" i="49"/>
  <c r="J707" i="49" l="1"/>
  <c r="Q707" i="49"/>
  <c r="J5059" i="49"/>
  <c r="Q5059" i="49" s="1"/>
  <c r="E13" i="4"/>
  <c r="AC36" i="10"/>
  <c r="Y81" i="18"/>
  <c r="Y83" i="18"/>
  <c r="Y45" i="18"/>
  <c r="Y73" i="18"/>
  <c r="K84" i="14"/>
  <c r="N53" i="13" s="1"/>
  <c r="M48" i="22" s="1"/>
  <c r="L114" i="14"/>
  <c r="O56" i="13" s="1"/>
  <c r="N48" i="25" s="1"/>
  <c r="J1787" i="49"/>
  <c r="Q1787" i="49" s="1"/>
  <c r="F53" i="50"/>
  <c r="J1781" i="49"/>
  <c r="Q1781" i="49"/>
  <c r="F47" i="50"/>
  <c r="J1600" i="49"/>
  <c r="Q1600" i="49" s="1"/>
  <c r="J1594" i="49"/>
  <c r="Q1594" i="49" s="1"/>
  <c r="J4381" i="49"/>
  <c r="Q4381" i="49" s="1"/>
  <c r="Q4448" i="49"/>
  <c r="J4448" i="49"/>
  <c r="J4737" i="49"/>
  <c r="Q4737" i="49" s="1"/>
  <c r="J4382" i="49"/>
  <c r="Q4382" i="49" s="1"/>
  <c r="J4388" i="49"/>
  <c r="Q4388" i="49" s="1"/>
  <c r="J796" i="46"/>
  <c r="J4993" i="49"/>
  <c r="Q4993" i="49" s="1"/>
  <c r="J2740" i="49"/>
  <c r="Q2740" i="49"/>
  <c r="J2741" i="49"/>
  <c r="Q2741" i="49"/>
  <c r="Q1795" i="49"/>
  <c r="J1795" i="49"/>
  <c r="J997" i="49"/>
  <c r="Q997" i="49" s="1"/>
  <c r="J3871" i="49"/>
  <c r="Q3871" i="49" s="1"/>
  <c r="J3311" i="49"/>
  <c r="Q3311" i="49" s="1"/>
  <c r="J3317" i="49"/>
  <c r="Q3317" i="49" s="1"/>
  <c r="J1311" i="49"/>
  <c r="Q1311" i="49" s="1"/>
  <c r="J1305" i="49"/>
  <c r="Q1305" i="49" s="1"/>
  <c r="Y18" i="51"/>
  <c r="B2" i="51" s="1"/>
  <c r="J4192" i="49"/>
  <c r="Q4192" i="49" s="1"/>
  <c r="J1304" i="49"/>
  <c r="Q1304" i="49" s="1"/>
  <c r="J1948" i="49"/>
  <c r="Q1948" i="49" s="1"/>
  <c r="J2442" i="49"/>
  <c r="Q2442" i="49" s="1"/>
  <c r="J1933" i="49"/>
  <c r="Q1933" i="49" s="1"/>
  <c r="J2434" i="49"/>
  <c r="Q2434" i="49" s="1"/>
  <c r="J2435" i="49"/>
  <c r="Q2435" i="49" s="1"/>
  <c r="Q2951" i="49"/>
  <c r="J2951" i="49"/>
  <c r="J1940" i="49"/>
  <c r="Q1940" i="49"/>
  <c r="J1934" i="49"/>
  <c r="Q1934" i="49" s="1"/>
  <c r="J1608" i="49"/>
  <c r="Q1608" i="49" s="1"/>
  <c r="Q3684" i="49"/>
  <c r="J3684" i="49"/>
  <c r="J3886" i="49"/>
  <c r="Q3886" i="49" s="1"/>
  <c r="J4439" i="49"/>
  <c r="Q4439" i="49" s="1"/>
  <c r="J4433" i="49"/>
  <c r="Q4433" i="49"/>
  <c r="J5060" i="49"/>
  <c r="Q5060" i="49" s="1"/>
  <c r="Q4117" i="49"/>
  <c r="J4117" i="49"/>
  <c r="Q4118" i="49"/>
  <c r="J4118" i="49"/>
  <c r="J3685" i="49"/>
  <c r="Q3685" i="49" s="1"/>
  <c r="J3691" i="49"/>
  <c r="Q3691" i="49" s="1"/>
  <c r="J5051" i="49"/>
  <c r="Q5051" i="49" s="1"/>
  <c r="J5045" i="49"/>
  <c r="Q5045" i="49" s="1"/>
  <c r="J3088" i="49"/>
  <c r="Q3088" i="49" s="1"/>
  <c r="J4177" i="49"/>
  <c r="Q4177" i="49" s="1"/>
  <c r="J3514" i="49"/>
  <c r="Q3514" i="49" s="1"/>
  <c r="J4729" i="49"/>
  <c r="Q4729" i="49"/>
  <c r="J4730" i="49"/>
  <c r="Q4730" i="49" s="1"/>
  <c r="J800" i="46"/>
  <c r="J4998" i="49"/>
  <c r="Q4998" i="49" s="1"/>
  <c r="F85" i="50"/>
  <c r="J4999" i="49"/>
  <c r="Q4999" i="49"/>
  <c r="D54" i="1"/>
  <c r="F86" i="50"/>
  <c r="J4997" i="49"/>
  <c r="Q4997" i="49" s="1"/>
  <c r="F84" i="50"/>
  <c r="J4178" i="49"/>
  <c r="Q4178" i="49" s="1"/>
  <c r="J4184" i="49"/>
  <c r="Q4184" i="49" s="1"/>
  <c r="Q3521" i="49"/>
  <c r="J3521" i="49"/>
  <c r="J3515" i="49"/>
  <c r="Q3515" i="49" s="1"/>
  <c r="J2170" i="49"/>
  <c r="Q2170" i="49" s="1"/>
  <c r="J699" i="49"/>
  <c r="Q699" i="49" s="1"/>
  <c r="J693" i="49"/>
  <c r="Q693" i="49" s="1"/>
  <c r="Q4168" i="49"/>
  <c r="J4168" i="49"/>
  <c r="J4169" i="49"/>
  <c r="Q4169" i="49" s="1"/>
  <c r="J2937" i="49"/>
  <c r="Q2937" i="49" s="1"/>
  <c r="J2943" i="49"/>
  <c r="Q2943" i="49" s="1"/>
  <c r="J4396" i="49"/>
  <c r="Q4396" i="49"/>
  <c r="J2936" i="49"/>
  <c r="Q2936" i="49" s="1"/>
  <c r="Y19" i="51"/>
  <c r="B3" i="51" s="1"/>
  <c r="J41" i="46"/>
  <c r="J1780" i="49"/>
  <c r="Q1780" i="49" s="1"/>
  <c r="F46" i="50"/>
  <c r="J3675" i="49"/>
  <c r="Q3675" i="49" s="1"/>
  <c r="J3676" i="49"/>
  <c r="Q3676" i="49" s="1"/>
  <c r="Q3326" i="49"/>
  <c r="J3326" i="49"/>
  <c r="J2748" i="49"/>
  <c r="Q2748" i="49"/>
  <c r="J708" i="49"/>
  <c r="Q708" i="49"/>
  <c r="J1584" i="49"/>
  <c r="Q1584" i="49" s="1"/>
  <c r="J1585" i="49"/>
  <c r="Q1585" i="49" s="1"/>
  <c r="Y83" i="19"/>
  <c r="Y45" i="19"/>
  <c r="Y81" i="19"/>
  <c r="Y73" i="19"/>
  <c r="Q37" i="10"/>
  <c r="E14" i="4"/>
  <c r="AC37" i="10"/>
  <c r="Y73" i="25"/>
  <c r="Y83" i="25"/>
  <c r="Y45" i="25"/>
  <c r="Y81" i="25"/>
  <c r="Q43" i="10"/>
  <c r="R43" i="10"/>
  <c r="AC43" i="10"/>
  <c r="E20" i="4"/>
  <c r="O84" i="13"/>
  <c r="N64" i="25" s="1"/>
  <c r="N76" i="25" s="1"/>
  <c r="N77" i="25" s="1"/>
  <c r="M107" i="14"/>
  <c r="Y83" i="31"/>
  <c r="Y73" i="31"/>
  <c r="Y81" i="31"/>
  <c r="Y45" i="31"/>
  <c r="S49" i="10"/>
  <c r="AC49" i="10"/>
  <c r="E26" i="4"/>
  <c r="Y73" i="23"/>
  <c r="Y81" i="23"/>
  <c r="Y83" i="23"/>
  <c r="Y45" i="23"/>
  <c r="O41" i="10"/>
  <c r="Q41" i="10"/>
  <c r="E18" i="4"/>
  <c r="AC41" i="10"/>
  <c r="Y83" i="15"/>
  <c r="Y73" i="15"/>
  <c r="Y81" i="15"/>
  <c r="Y45" i="15"/>
  <c r="O33" i="10"/>
  <c r="E10" i="4"/>
  <c r="AC33" i="10"/>
  <c r="Y81" i="27"/>
  <c r="Y45" i="27"/>
  <c r="Y83" i="27"/>
  <c r="Y73" i="27"/>
  <c r="P45" i="10"/>
  <c r="Q45" i="10"/>
  <c r="R45" i="10"/>
  <c r="AC45" i="10"/>
  <c r="E22" i="4"/>
  <c r="M88" i="13"/>
  <c r="L64" i="29" s="1"/>
  <c r="L76" i="29" s="1"/>
  <c r="L77" i="29" s="1"/>
  <c r="K147" i="14"/>
  <c r="G67" i="20"/>
  <c r="G68" i="20" s="1"/>
  <c r="X45" i="8"/>
  <c r="X82" i="8"/>
  <c r="X73" i="8"/>
  <c r="Y73" i="24"/>
  <c r="Y83" i="24"/>
  <c r="Y81" i="24"/>
  <c r="Y45" i="24"/>
  <c r="Q42" i="10"/>
  <c r="E19" i="4"/>
  <c r="AC42" i="10"/>
  <c r="R83" i="13"/>
  <c r="Q64" i="24" s="1"/>
  <c r="Q76" i="24" s="1"/>
  <c r="Q77" i="24" s="1"/>
  <c r="P97" i="14"/>
  <c r="J281" i="49"/>
  <c r="Q281" i="49" s="1"/>
  <c r="E281" i="50"/>
  <c r="G281" i="50" s="1"/>
  <c r="H281" i="50" s="1"/>
  <c r="G98" i="14"/>
  <c r="J30" i="49"/>
  <c r="Q30" i="49" s="1"/>
  <c r="E30" i="50"/>
  <c r="G30" i="50" s="1"/>
  <c r="H30" i="50" s="1"/>
  <c r="M67" i="19"/>
  <c r="M68" i="19" s="1"/>
  <c r="G86" i="29"/>
  <c r="N50" i="25"/>
  <c r="N52" i="25"/>
  <c r="K54" i="29"/>
  <c r="K56" i="29" s="1"/>
  <c r="K54" i="30"/>
  <c r="Y83" i="28"/>
  <c r="Y81" i="28"/>
  <c r="Y73" i="28"/>
  <c r="Y45" i="28"/>
  <c r="P46" i="10"/>
  <c r="AC46" i="10"/>
  <c r="E23" i="4"/>
  <c r="G67" i="29"/>
  <c r="G68" i="29" s="1"/>
  <c r="I86" i="31"/>
  <c r="H50" i="20"/>
  <c r="H52" i="20"/>
  <c r="L54" i="17"/>
  <c r="L56" i="17"/>
  <c r="L76" i="16"/>
  <c r="L77" i="16" s="1"/>
  <c r="K86" i="27"/>
  <c r="S85" i="13"/>
  <c r="R64" i="26" s="1"/>
  <c r="R76" i="26" s="1"/>
  <c r="R77" i="26" s="1"/>
  <c r="Q117" i="14"/>
  <c r="Y81" i="22"/>
  <c r="Y45" i="22"/>
  <c r="Y73" i="22"/>
  <c r="Y83" i="22"/>
  <c r="P40" i="10"/>
  <c r="AC40" i="10"/>
  <c r="E17" i="4"/>
  <c r="I56" i="31"/>
  <c r="L67" i="25"/>
  <c r="L68" i="25" s="1"/>
  <c r="O104" i="14"/>
  <c r="R55" i="13" s="1"/>
  <c r="Q48" i="24" s="1"/>
  <c r="Y75" i="8"/>
  <c r="M67" i="18"/>
  <c r="M68" i="18" s="1"/>
  <c r="X81" i="29"/>
  <c r="X73" i="29"/>
  <c r="X83" i="29"/>
  <c r="X45" i="29"/>
  <c r="AB47" i="10"/>
  <c r="K29" i="14"/>
  <c r="K30" i="14" s="1"/>
  <c r="M50" i="28"/>
  <c r="M52" i="28"/>
  <c r="L94" i="14"/>
  <c r="O54" i="13" s="1"/>
  <c r="N48" i="23" s="1"/>
  <c r="F124" i="14"/>
  <c r="I57" i="13" s="1"/>
  <c r="H48" i="26" s="1"/>
  <c r="H48" i="8" s="1"/>
  <c r="P124" i="14"/>
  <c r="S57" i="13" s="1"/>
  <c r="R48" i="26" s="1"/>
  <c r="N56" i="15"/>
  <c r="N67" i="15" s="1"/>
  <c r="N68" i="15" s="1"/>
  <c r="M86" i="18"/>
  <c r="Q50" i="20"/>
  <c r="Q52" i="20"/>
  <c r="L54" i="22"/>
  <c r="P86" i="20"/>
  <c r="I116" i="13"/>
  <c r="H61" i="29" s="1"/>
  <c r="F153" i="14"/>
  <c r="O80" i="13"/>
  <c r="N64" i="21" s="1"/>
  <c r="N76" i="21" s="1"/>
  <c r="N77" i="21" s="1"/>
  <c r="M67" i="14"/>
  <c r="O77" i="13"/>
  <c r="N64" i="18" s="1"/>
  <c r="N76" i="18" s="1"/>
  <c r="N77" i="18" s="1"/>
  <c r="M37" i="14"/>
  <c r="O82" i="13"/>
  <c r="N64" i="23" s="1"/>
  <c r="N76" i="23" s="1"/>
  <c r="N77" i="23" s="1"/>
  <c r="M87" i="14"/>
  <c r="I85" i="13"/>
  <c r="H64" i="26" s="1"/>
  <c r="H76" i="26" s="1"/>
  <c r="H77" i="26" s="1"/>
  <c r="G117" i="14"/>
  <c r="H50" i="24"/>
  <c r="H52" i="24"/>
  <c r="P67" i="20"/>
  <c r="P68" i="20" s="1"/>
  <c r="Y21" i="8"/>
  <c r="Y22" i="8" s="1"/>
  <c r="Y24" i="8" s="1"/>
  <c r="Y41" i="8" s="1"/>
  <c r="F19" i="52"/>
  <c r="H82" i="49"/>
  <c r="I63" i="8"/>
  <c r="N50" i="19"/>
  <c r="N52" i="19"/>
  <c r="Q86" i="26"/>
  <c r="L50" i="27"/>
  <c r="L52" i="27"/>
  <c r="Y22" i="16"/>
  <c r="Y24" i="16" s="1"/>
  <c r="Y41" i="16" s="1"/>
  <c r="G58" i="14"/>
  <c r="G59" i="14" s="1"/>
  <c r="G60" i="14" s="1"/>
  <c r="J67" i="29"/>
  <c r="J68" i="29" s="1"/>
  <c r="M54" i="31"/>
  <c r="Q67" i="26"/>
  <c r="Q68" i="26" s="1"/>
  <c r="L168" i="14"/>
  <c r="L67" i="31"/>
  <c r="L68" i="31" s="1"/>
  <c r="N81" i="13"/>
  <c r="M64" i="22" s="1"/>
  <c r="M76" i="22" s="1"/>
  <c r="M77" i="22" s="1"/>
  <c r="L77" i="14"/>
  <c r="H76" i="20"/>
  <c r="H77" i="20" s="1"/>
  <c r="H64" i="8"/>
  <c r="H76" i="8" s="1"/>
  <c r="H77" i="8" s="1"/>
  <c r="P54" i="24"/>
  <c r="M50" i="22"/>
  <c r="M52" i="22"/>
  <c r="M49" i="14"/>
  <c r="M50" i="14" s="1"/>
  <c r="M48" i="14"/>
  <c r="M54" i="14" s="1"/>
  <c r="P50" i="13" s="1"/>
  <c r="O48" i="19" s="1"/>
  <c r="P74" i="13"/>
  <c r="O64" i="15" s="1"/>
  <c r="N7" i="14"/>
  <c r="L86" i="28"/>
  <c r="G86" i="26"/>
  <c r="P58" i="14"/>
  <c r="C27" i="52"/>
  <c r="C28" i="52" s="1"/>
  <c r="C29" i="52" s="1"/>
  <c r="H37" i="49"/>
  <c r="K128" i="14"/>
  <c r="K129" i="14"/>
  <c r="K130" i="14" s="1"/>
  <c r="L67" i="28"/>
  <c r="L68" i="28" s="1"/>
  <c r="G67" i="26"/>
  <c r="G68" i="26" s="1"/>
  <c r="M54" i="21"/>
  <c r="K67" i="16"/>
  <c r="K68" i="16" s="1"/>
  <c r="J154" i="14"/>
  <c r="M60" i="13" s="1"/>
  <c r="L48" i="29" s="1"/>
  <c r="G67" i="24"/>
  <c r="G68" i="24" s="1"/>
  <c r="H50" i="29"/>
  <c r="H52" i="29"/>
  <c r="G86" i="24"/>
  <c r="J159" i="14"/>
  <c r="J160" i="14" s="1"/>
  <c r="O50" i="15"/>
  <c r="O52" i="15"/>
  <c r="G86" i="20"/>
  <c r="D14" i="52"/>
  <c r="H45" i="49"/>
  <c r="G54" i="8"/>
  <c r="G56" i="8" s="1"/>
  <c r="M54" i="25"/>
  <c r="M56" i="25"/>
  <c r="Y22" i="29"/>
  <c r="Y24" i="29" s="1"/>
  <c r="Y41" i="29" s="1"/>
  <c r="M54" i="23"/>
  <c r="M56" i="23"/>
  <c r="Q36" i="49"/>
  <c r="J36" i="49"/>
  <c r="E36" i="50"/>
  <c r="G36" i="50" s="1"/>
  <c r="H36" i="50" s="1"/>
  <c r="K18" i="14"/>
  <c r="K19" i="14" s="1"/>
  <c r="K20" i="14" s="1"/>
  <c r="L138" i="14"/>
  <c r="L139" i="14" s="1"/>
  <c r="L140" i="14" s="1"/>
  <c r="L74" i="14"/>
  <c r="O52" i="13" s="1"/>
  <c r="N48" i="21" s="1"/>
  <c r="J29" i="49"/>
  <c r="Q29" i="49" s="1"/>
  <c r="E29" i="50"/>
  <c r="G29" i="50" s="1"/>
  <c r="H29" i="50" s="1"/>
  <c r="L54" i="16"/>
  <c r="L56" i="16"/>
  <c r="L44" i="14"/>
  <c r="O49" i="13" s="1"/>
  <c r="N48" i="18" s="1"/>
  <c r="K56" i="27"/>
  <c r="J44" i="49"/>
  <c r="Q44" i="49" s="1"/>
  <c r="E44" i="50"/>
  <c r="G44" i="50" s="1"/>
  <c r="H44" i="50" s="1"/>
  <c r="H38" i="49"/>
  <c r="H2458" i="49"/>
  <c r="H3342" i="49"/>
  <c r="H3878" i="49"/>
  <c r="H3872" i="49"/>
  <c r="H1796" i="49"/>
  <c r="H5053" i="49"/>
  <c r="H5052" i="49"/>
  <c r="H701" i="49"/>
  <c r="H700" i="49"/>
  <c r="H4464" i="49"/>
  <c r="H998" i="49"/>
  <c r="H1949" i="49"/>
  <c r="H1625" i="49"/>
  <c r="E233" i="46"/>
  <c r="N12" i="39"/>
  <c r="H2945" i="49"/>
  <c r="H2944" i="49"/>
  <c r="H3327" i="49"/>
  <c r="H3104" i="49"/>
  <c r="H4397" i="49"/>
  <c r="H1609" i="49"/>
  <c r="E42" i="46"/>
  <c r="M8" i="39"/>
  <c r="H2749" i="49"/>
  <c r="H3343" i="49"/>
  <c r="E49" i="46"/>
  <c r="H4450" i="49"/>
  <c r="H4456" i="49"/>
  <c r="H3319" i="49"/>
  <c r="H3318" i="49"/>
  <c r="H5000" i="49"/>
  <c r="H4994" i="49"/>
  <c r="E797" i="46"/>
  <c r="H4441" i="49"/>
  <c r="H4440" i="49"/>
  <c r="H2750" i="49"/>
  <c r="H2756" i="49"/>
  <c r="H4449" i="49"/>
  <c r="H2764" i="49"/>
  <c r="H4400" i="49"/>
  <c r="H1942" i="49"/>
  <c r="H1941" i="49"/>
  <c r="H3693" i="49"/>
  <c r="H3692" i="49"/>
  <c r="H4186" i="49"/>
  <c r="H4185" i="49"/>
  <c r="E43" i="46"/>
  <c r="L8" i="39"/>
  <c r="H709" i="49"/>
  <c r="H4390" i="49"/>
  <c r="H4389" i="49"/>
  <c r="H1313" i="49"/>
  <c r="H1312" i="49"/>
  <c r="H3529" i="49"/>
  <c r="H3523" i="49"/>
  <c r="H3522" i="49"/>
  <c r="H716" i="49"/>
  <c r="H710" i="49"/>
  <c r="H4738" i="49"/>
  <c r="H3699" i="49"/>
  <c r="H3887" i="49"/>
  <c r="H2459" i="49"/>
  <c r="H2171" i="49"/>
  <c r="H1319" i="49"/>
  <c r="H1789" i="49"/>
  <c r="H1788" i="49"/>
  <c r="H1602" i="49"/>
  <c r="H1601" i="49"/>
  <c r="H999" i="49"/>
  <c r="H1005" i="49"/>
  <c r="H3328" i="49"/>
  <c r="H3334" i="49"/>
  <c r="H2443" i="49"/>
  <c r="H2186" i="49"/>
  <c r="H4193" i="49"/>
  <c r="H2952" i="49"/>
  <c r="H5061" i="49"/>
  <c r="H3089" i="49"/>
  <c r="J3342" i="49" l="1"/>
  <c r="Q3342" i="49" s="1"/>
  <c r="J2458" i="49"/>
  <c r="Q2458" i="49" s="1"/>
  <c r="J3089" i="49"/>
  <c r="Q3089" i="49" s="1"/>
  <c r="J5061" i="49"/>
  <c r="Q5061" i="49" s="1"/>
  <c r="J2952" i="49"/>
  <c r="Q2952" i="49" s="1"/>
  <c r="J4193" i="49"/>
  <c r="Q4193" i="49" s="1"/>
  <c r="J2186" i="49"/>
  <c r="Q2186" i="49" s="1"/>
  <c r="J2443" i="49"/>
  <c r="Q2443" i="49" s="1"/>
  <c r="J3334" i="49"/>
  <c r="Q3334" i="49" s="1"/>
  <c r="J3328" i="49"/>
  <c r="Q3328" i="49" s="1"/>
  <c r="Q1005" i="49"/>
  <c r="J1005" i="49"/>
  <c r="J999" i="49"/>
  <c r="Q999" i="49" s="1"/>
  <c r="J1601" i="49"/>
  <c r="Q1601" i="49" s="1"/>
  <c r="J1602" i="49"/>
  <c r="Q1602" i="49" s="1"/>
  <c r="J1788" i="49"/>
  <c r="Q1788" i="49"/>
  <c r="F54" i="50"/>
  <c r="J1789" i="49"/>
  <c r="Q1789" i="49"/>
  <c r="F55" i="50"/>
  <c r="J1319" i="49"/>
  <c r="Q1319" i="49" s="1"/>
  <c r="J2171" i="49"/>
  <c r="Q2171" i="49" s="1"/>
  <c r="J2459" i="49"/>
  <c r="Q2459" i="49" s="1"/>
  <c r="J3887" i="49"/>
  <c r="Q3887" i="49" s="1"/>
  <c r="J3699" i="49"/>
  <c r="Q3699" i="49"/>
  <c r="J4738" i="49"/>
  <c r="Q4738" i="49" s="1"/>
  <c r="J710" i="49"/>
  <c r="Q710" i="49" s="1"/>
  <c r="J716" i="49"/>
  <c r="Q716" i="49" s="1"/>
  <c r="J3522" i="49"/>
  <c r="Q3522" i="49" s="1"/>
  <c r="J3523" i="49"/>
  <c r="Q3523" i="49" s="1"/>
  <c r="J3529" i="49"/>
  <c r="Q3529" i="49" s="1"/>
  <c r="F61" i="50"/>
  <c r="J1312" i="49"/>
  <c r="Q1312" i="49" s="1"/>
  <c r="J1313" i="49"/>
  <c r="Q1313" i="49" s="1"/>
  <c r="J4389" i="49"/>
  <c r="Q4389" i="49" s="1"/>
  <c r="J4390" i="49"/>
  <c r="Q4390" i="49"/>
  <c r="J709" i="49"/>
  <c r="Q709" i="49"/>
  <c r="P8" i="39"/>
  <c r="X8" i="39"/>
  <c r="J43" i="46"/>
  <c r="J4185" i="49"/>
  <c r="Q4185" i="49" s="1"/>
  <c r="J4186" i="49"/>
  <c r="Q4186" i="49" s="1"/>
  <c r="J3692" i="49"/>
  <c r="Q3692" i="49" s="1"/>
  <c r="J3693" i="49"/>
  <c r="Q3693" i="49" s="1"/>
  <c r="J1941" i="49"/>
  <c r="Q1941" i="49" s="1"/>
  <c r="Q1942" i="49"/>
  <c r="J1942" i="49"/>
  <c r="J4400" i="49"/>
  <c r="Q4400" i="49"/>
  <c r="F65" i="50"/>
  <c r="J2764" i="49"/>
  <c r="Q2764" i="49"/>
  <c r="J4449" i="49"/>
  <c r="Q4449" i="49" s="1"/>
  <c r="J2756" i="49"/>
  <c r="Q2756" i="49" s="1"/>
  <c r="J2750" i="49"/>
  <c r="Q2750" i="49" s="1"/>
  <c r="J4440" i="49"/>
  <c r="Q4440" i="49" s="1"/>
  <c r="J4441" i="49"/>
  <c r="Q4441" i="49" s="1"/>
  <c r="J797" i="46"/>
  <c r="J4994" i="49"/>
  <c r="Q4994" i="49"/>
  <c r="J5000" i="49"/>
  <c r="Q5000" i="49"/>
  <c r="J3318" i="49"/>
  <c r="Q3318" i="49" s="1"/>
  <c r="J3319" i="49"/>
  <c r="Q3319" i="49" s="1"/>
  <c r="J4456" i="49"/>
  <c r="Q4456" i="49"/>
  <c r="J4450" i="49"/>
  <c r="Q4450" i="49" s="1"/>
  <c r="J49" i="46"/>
  <c r="J3343" i="49"/>
  <c r="Q3343" i="49"/>
  <c r="J2749" i="49"/>
  <c r="Q2749" i="49" s="1"/>
  <c r="Q8" i="39"/>
  <c r="J42" i="46"/>
  <c r="J1609" i="49"/>
  <c r="Q1609" i="49" s="1"/>
  <c r="J4397" i="49"/>
  <c r="Q4397" i="49" s="1"/>
  <c r="J3104" i="49"/>
  <c r="Q3104" i="49" s="1"/>
  <c r="J3327" i="49"/>
  <c r="Q3327" i="49" s="1"/>
  <c r="J2944" i="49"/>
  <c r="Q2944" i="49" s="1"/>
  <c r="J2945" i="49"/>
  <c r="Q2945" i="49"/>
  <c r="J233" i="46"/>
  <c r="J1625" i="49"/>
  <c r="Q1625" i="49" s="1"/>
  <c r="J1949" i="49"/>
  <c r="Q1949" i="49" s="1"/>
  <c r="J998" i="49"/>
  <c r="Q998" i="49" s="1"/>
  <c r="J4464" i="49"/>
  <c r="Q4464" i="49"/>
  <c r="J700" i="49"/>
  <c r="Q700" i="49" s="1"/>
  <c r="J701" i="49"/>
  <c r="Q701" i="49" s="1"/>
  <c r="J5052" i="49"/>
  <c r="Q5052" i="49" s="1"/>
  <c r="J5053" i="49"/>
  <c r="Q5053" i="49" s="1"/>
  <c r="J1796" i="49"/>
  <c r="Q1796" i="49" s="1"/>
  <c r="J3872" i="49"/>
  <c r="Q3872" i="49" s="1"/>
  <c r="Q3878" i="49"/>
  <c r="J3878" i="49"/>
  <c r="J79" i="13"/>
  <c r="I64" i="20" s="1"/>
  <c r="H57" i="14"/>
  <c r="O87" i="13"/>
  <c r="N64" i="28" s="1"/>
  <c r="N76" i="28" s="1"/>
  <c r="N77" i="28" s="1"/>
  <c r="M137" i="14"/>
  <c r="N75" i="13"/>
  <c r="M64" i="16" s="1"/>
  <c r="L17" i="14"/>
  <c r="Y45" i="8"/>
  <c r="Y82" i="8"/>
  <c r="Y73" i="8"/>
  <c r="P86" i="24"/>
  <c r="M86" i="31"/>
  <c r="H54" i="24"/>
  <c r="H56" i="24"/>
  <c r="M54" i="28"/>
  <c r="M56" i="28"/>
  <c r="N50" i="21"/>
  <c r="N52" i="21"/>
  <c r="L86" i="22"/>
  <c r="P98" i="14"/>
  <c r="P99" i="14" s="1"/>
  <c r="P100" i="14" s="1"/>
  <c r="M67" i="25"/>
  <c r="M68" i="25" s="1"/>
  <c r="K134" i="14"/>
  <c r="N58" i="13" s="1"/>
  <c r="M48" i="27" s="1"/>
  <c r="P78" i="13"/>
  <c r="O64" i="19" s="1"/>
  <c r="N47" i="14"/>
  <c r="M89" i="14"/>
  <c r="M90" i="14" s="1"/>
  <c r="M88" i="14"/>
  <c r="M94" i="14" s="1"/>
  <c r="P54" i="13" s="1"/>
  <c r="O48" i="23" s="1"/>
  <c r="L56" i="22"/>
  <c r="L67" i="17"/>
  <c r="L68" i="17" s="1"/>
  <c r="L144" i="14"/>
  <c r="O59" i="13" s="1"/>
  <c r="N48" i="28" s="1"/>
  <c r="D16" i="52"/>
  <c r="D26" i="52"/>
  <c r="H47" i="49"/>
  <c r="H53" i="49"/>
  <c r="G67" i="8"/>
  <c r="G68" i="8" s="1"/>
  <c r="J82" i="49"/>
  <c r="Q82" i="49"/>
  <c r="E82" i="50"/>
  <c r="G82" i="50" s="1"/>
  <c r="H82" i="50" s="1"/>
  <c r="C18" i="1"/>
  <c r="N50" i="18"/>
  <c r="N52" i="18"/>
  <c r="M86" i="21"/>
  <c r="M54" i="22"/>
  <c r="L54" i="27"/>
  <c r="R50" i="26"/>
  <c r="R52" i="26"/>
  <c r="K86" i="30"/>
  <c r="G104" i="14"/>
  <c r="J55" i="13" s="1"/>
  <c r="I48" i="24" s="1"/>
  <c r="L67" i="16"/>
  <c r="L68" i="16" s="1"/>
  <c r="H50" i="26"/>
  <c r="H52" i="26"/>
  <c r="K34" i="14"/>
  <c r="N48" i="13" s="1"/>
  <c r="M48" i="17" s="1"/>
  <c r="G99" i="14"/>
  <c r="G100" i="14" s="1"/>
  <c r="M109" i="14"/>
  <c r="M108" i="14"/>
  <c r="M114" i="14" s="1"/>
  <c r="P56" i="13" s="1"/>
  <c r="O48" i="25" s="1"/>
  <c r="M110" i="14"/>
  <c r="L86" i="16"/>
  <c r="O54" i="15"/>
  <c r="O56" i="15" s="1"/>
  <c r="M4" i="15"/>
  <c r="H63" i="29"/>
  <c r="H61" i="8"/>
  <c r="N50" i="23"/>
  <c r="N52" i="23"/>
  <c r="Q118" i="14"/>
  <c r="Q119" i="14"/>
  <c r="Q120" i="14" s="1"/>
  <c r="K86" i="29"/>
  <c r="D20" i="47"/>
  <c r="E20" i="47" s="1"/>
  <c r="K32" i="1"/>
  <c r="L5" i="1"/>
  <c r="B21" i="48"/>
  <c r="D21" i="48" s="1"/>
  <c r="D30" i="33"/>
  <c r="E30" i="33" s="1"/>
  <c r="N8" i="14"/>
  <c r="N14" i="14" s="1"/>
  <c r="Q46" i="13" s="1"/>
  <c r="P48" i="15" s="1"/>
  <c r="N9" i="14"/>
  <c r="N10" i="14" s="1"/>
  <c r="M67" i="23"/>
  <c r="M68" i="23" s="1"/>
  <c r="P56" i="24"/>
  <c r="F21" i="52"/>
  <c r="F22" i="52"/>
  <c r="F23" i="52"/>
  <c r="H84" i="49"/>
  <c r="H86" i="49"/>
  <c r="H85" i="49"/>
  <c r="G119" i="14"/>
  <c r="G120" i="14" s="1"/>
  <c r="G118" i="14"/>
  <c r="I67" i="31"/>
  <c r="I68" i="31" s="1"/>
  <c r="M56" i="31"/>
  <c r="K67" i="29"/>
  <c r="K68" i="29" s="1"/>
  <c r="O76" i="15"/>
  <c r="O77" i="15" s="1"/>
  <c r="N54" i="25"/>
  <c r="M86" i="23"/>
  <c r="Y81" i="29"/>
  <c r="Y73" i="29"/>
  <c r="Y83" i="29"/>
  <c r="Y45" i="29"/>
  <c r="E24" i="4"/>
  <c r="AC47" i="10"/>
  <c r="L78" i="14"/>
  <c r="L84" i="14" s="1"/>
  <c r="O53" i="13" s="1"/>
  <c r="N48" i="22" s="1"/>
  <c r="L79" i="14"/>
  <c r="L80" i="14" s="1"/>
  <c r="J37" i="49"/>
  <c r="Q37" i="49"/>
  <c r="E37" i="50"/>
  <c r="G37" i="50" s="1"/>
  <c r="H37" i="50" s="1"/>
  <c r="E13" i="52"/>
  <c r="H61" i="49"/>
  <c r="H50" i="8"/>
  <c r="H52" i="8"/>
  <c r="N56" i="19"/>
  <c r="N54" i="19"/>
  <c r="M89" i="13"/>
  <c r="L64" i="30" s="1"/>
  <c r="L76" i="30" s="1"/>
  <c r="L77" i="30" s="1"/>
  <c r="K157" i="14"/>
  <c r="H54" i="29"/>
  <c r="G64" i="14"/>
  <c r="J51" i="13" s="1"/>
  <c r="I48" i="20" s="1"/>
  <c r="I60" i="8"/>
  <c r="Q50" i="24"/>
  <c r="Q52" i="24"/>
  <c r="D21" i="47"/>
  <c r="E21" i="47" s="1"/>
  <c r="D31" i="33"/>
  <c r="E31" i="33" s="1"/>
  <c r="J164" i="14"/>
  <c r="M61" i="13" s="1"/>
  <c r="L48" i="30" s="1"/>
  <c r="J38" i="49"/>
  <c r="Q38" i="49" s="1"/>
  <c r="E38" i="50"/>
  <c r="G38" i="50" s="1"/>
  <c r="H38" i="50" s="1"/>
  <c r="N86" i="13"/>
  <c r="M64" i="27" s="1"/>
  <c r="M76" i="27" s="1"/>
  <c r="M77" i="27" s="1"/>
  <c r="L127" i="14"/>
  <c r="I75" i="8"/>
  <c r="N76" i="13"/>
  <c r="M64" i="17" s="1"/>
  <c r="M76" i="17" s="1"/>
  <c r="M77" i="17" s="1"/>
  <c r="L27" i="14"/>
  <c r="I66" i="8"/>
  <c r="M86" i="25"/>
  <c r="O50" i="19"/>
  <c r="O52" i="19"/>
  <c r="Q54" i="20"/>
  <c r="Q56" i="20"/>
  <c r="L86" i="17"/>
  <c r="L50" i="29"/>
  <c r="L52" i="29"/>
  <c r="M39" i="14"/>
  <c r="M40" i="14" s="1"/>
  <c r="M38" i="14"/>
  <c r="D15" i="52"/>
  <c r="H46" i="49"/>
  <c r="P59" i="14"/>
  <c r="P60" i="14" s="1"/>
  <c r="H54" i="20"/>
  <c r="H56" i="20"/>
  <c r="K67" i="27"/>
  <c r="K68" i="27" s="1"/>
  <c r="K24" i="14"/>
  <c r="N47" i="13" s="1"/>
  <c r="M48" i="16" s="1"/>
  <c r="J45" i="49"/>
  <c r="Q45" i="49" s="1"/>
  <c r="E45" i="50"/>
  <c r="G45" i="50" s="1"/>
  <c r="H45" i="50" s="1"/>
  <c r="M56" i="21"/>
  <c r="L169" i="14"/>
  <c r="L170" i="14" s="1"/>
  <c r="Y81" i="16"/>
  <c r="Y45" i="16"/>
  <c r="Y83" i="16"/>
  <c r="Y73" i="16"/>
  <c r="P34" i="10"/>
  <c r="Q34" i="10"/>
  <c r="R34" i="10"/>
  <c r="AC34" i="10"/>
  <c r="E11" i="4"/>
  <c r="M69" i="14"/>
  <c r="M70" i="14" s="1"/>
  <c r="M68" i="14"/>
  <c r="K56" i="30"/>
  <c r="K148" i="14"/>
  <c r="K149" i="14" s="1"/>
  <c r="K150" i="14" s="1"/>
  <c r="H2953" i="49"/>
  <c r="E241" i="46"/>
  <c r="H1013" i="49"/>
  <c r="H3880" i="49"/>
  <c r="H3879" i="49"/>
  <c r="H2960" i="49"/>
  <c r="H2954" i="49"/>
  <c r="H2460" i="49"/>
  <c r="H2765" i="49"/>
  <c r="H724" i="49"/>
  <c r="H4194" i="49"/>
  <c r="H4398" i="49"/>
  <c r="H4465" i="49"/>
  <c r="H4195" i="49"/>
  <c r="H4201" i="49"/>
  <c r="H2758" i="49"/>
  <c r="H2757" i="49"/>
  <c r="H3888" i="49"/>
  <c r="H3090" i="49"/>
  <c r="H3096" i="49"/>
  <c r="H2187" i="49"/>
  <c r="H2444" i="49"/>
  <c r="H2450" i="49"/>
  <c r="H5002" i="49"/>
  <c r="H5001" i="49"/>
  <c r="E802" i="46"/>
  <c r="H2172" i="49"/>
  <c r="H2178" i="49"/>
  <c r="H3700" i="49"/>
  <c r="H1812" i="49"/>
  <c r="E265" i="46"/>
  <c r="H3359" i="49"/>
  <c r="N18" i="39"/>
  <c r="E521" i="46"/>
  <c r="H1007" i="49"/>
  <c r="H1006" i="49"/>
  <c r="H3105" i="49"/>
  <c r="E44" i="46"/>
  <c r="H5062" i="49"/>
  <c r="H5068" i="49"/>
  <c r="H2968" i="49"/>
  <c r="E457" i="46"/>
  <c r="H4209" i="49"/>
  <c r="H1320" i="49"/>
  <c r="H718" i="49"/>
  <c r="H717" i="49"/>
  <c r="H4458" i="49"/>
  <c r="H4457" i="49"/>
  <c r="H1610" i="49"/>
  <c r="H4753" i="49"/>
  <c r="H1626" i="49"/>
  <c r="E235" i="46"/>
  <c r="L12" i="39"/>
  <c r="E273" i="46"/>
  <c r="H3336" i="49"/>
  <c r="H3335" i="49"/>
  <c r="H4403" i="49"/>
  <c r="H4402" i="49"/>
  <c r="H4404" i="49"/>
  <c r="E52" i="46"/>
  <c r="H2475" i="49"/>
  <c r="H1950" i="49"/>
  <c r="H1797" i="49"/>
  <c r="H4745" i="49"/>
  <c r="H4739" i="49"/>
  <c r="H3903" i="49"/>
  <c r="H3530" i="49"/>
  <c r="H3344" i="49"/>
  <c r="H1957" i="49"/>
  <c r="H1951" i="49"/>
  <c r="H1798" i="49"/>
  <c r="H1804" i="49"/>
  <c r="H2781" i="49"/>
  <c r="E425" i="46"/>
  <c r="N16" i="39"/>
  <c r="H1617" i="49"/>
  <c r="H1611" i="49"/>
  <c r="E234" i="46"/>
  <c r="M12" i="39"/>
  <c r="E45" i="46"/>
  <c r="P64" i="14" l="1"/>
  <c r="S51" i="13" s="1"/>
  <c r="R48" i="20" s="1"/>
  <c r="M74" i="14"/>
  <c r="P52" i="13" s="1"/>
  <c r="O48" i="21" s="1"/>
  <c r="M44" i="14"/>
  <c r="P49" i="13" s="1"/>
  <c r="O48" i="18" s="1"/>
  <c r="E27" i="4"/>
  <c r="J45" i="46"/>
  <c r="Q12" i="39"/>
  <c r="J234" i="46"/>
  <c r="J1611" i="49"/>
  <c r="Q1611" i="49" s="1"/>
  <c r="J1617" i="49"/>
  <c r="Q1617" i="49" s="1"/>
  <c r="J425" i="46"/>
  <c r="J2781" i="49"/>
  <c r="Q2781" i="49" s="1"/>
  <c r="Q1804" i="49"/>
  <c r="J1804" i="49"/>
  <c r="J1798" i="49"/>
  <c r="Q1798" i="49" s="1"/>
  <c r="J1951" i="49"/>
  <c r="Q1951" i="49" s="1"/>
  <c r="J1957" i="49"/>
  <c r="Q1957" i="49" s="1"/>
  <c r="J3344" i="49"/>
  <c r="Q3344" i="49" s="1"/>
  <c r="J3530" i="49"/>
  <c r="Q3530" i="49" s="1"/>
  <c r="F62" i="50"/>
  <c r="J3903" i="49"/>
  <c r="Q3903" i="49" s="1"/>
  <c r="J4739" i="49"/>
  <c r="Q4739" i="49" s="1"/>
  <c r="J4745" i="49"/>
  <c r="Q4745" i="49" s="1"/>
  <c r="J1797" i="49"/>
  <c r="Q1797" i="49" s="1"/>
  <c r="Q1950" i="49"/>
  <c r="J1950" i="49"/>
  <c r="J2475" i="49"/>
  <c r="Q2475" i="49" s="1"/>
  <c r="J52" i="46"/>
  <c r="Q4404" i="49"/>
  <c r="J4404" i="49"/>
  <c r="F69" i="50"/>
  <c r="J4402" i="49"/>
  <c r="Q4402" i="49" s="1"/>
  <c r="F67" i="50"/>
  <c r="J4403" i="49"/>
  <c r="Q4403" i="49" s="1"/>
  <c r="F68" i="50"/>
  <c r="J3335" i="49"/>
  <c r="Q3335" i="49" s="1"/>
  <c r="J3336" i="49"/>
  <c r="Q3336" i="49" s="1"/>
  <c r="J273" i="46"/>
  <c r="P12" i="39"/>
  <c r="X12" i="39"/>
  <c r="J235" i="46"/>
  <c r="J1626" i="49"/>
  <c r="Q1626" i="49" s="1"/>
  <c r="J4753" i="49"/>
  <c r="Q4753" i="49"/>
  <c r="Q1610" i="49"/>
  <c r="J1610" i="49"/>
  <c r="J4457" i="49"/>
  <c r="Q4457" i="49" s="1"/>
  <c r="J4458" i="49"/>
  <c r="Q4458" i="49" s="1"/>
  <c r="J717" i="49"/>
  <c r="Q717" i="49" s="1"/>
  <c r="J718" i="49"/>
  <c r="Q718" i="49"/>
  <c r="J1320" i="49"/>
  <c r="Q1320" i="49" s="1"/>
  <c r="J4209" i="49"/>
  <c r="Q4209" i="49"/>
  <c r="J457" i="46"/>
  <c r="J2968" i="49"/>
  <c r="Q2968" i="49"/>
  <c r="J5068" i="49"/>
  <c r="Q5068" i="49" s="1"/>
  <c r="J5062" i="49"/>
  <c r="Q5062" i="49"/>
  <c r="J44" i="46"/>
  <c r="J3105" i="49"/>
  <c r="Q3105" i="49" s="1"/>
  <c r="J1006" i="49"/>
  <c r="Q1006" i="49" s="1"/>
  <c r="J1007" i="49"/>
  <c r="Q1007" i="49"/>
  <c r="J521" i="46"/>
  <c r="J3359" i="49"/>
  <c r="Q3359" i="49" s="1"/>
  <c r="J265" i="46"/>
  <c r="J1812" i="49"/>
  <c r="Q1812" i="49" s="1"/>
  <c r="J3700" i="49"/>
  <c r="Q3700" i="49"/>
  <c r="J2178" i="49"/>
  <c r="Q2178" i="49" s="1"/>
  <c r="J2172" i="49"/>
  <c r="Q2172" i="49" s="1"/>
  <c r="J802" i="46"/>
  <c r="J5001" i="49"/>
  <c r="Q5001" i="49" s="1"/>
  <c r="J5002" i="49"/>
  <c r="Q5002" i="49" s="1"/>
  <c r="J2450" i="49"/>
  <c r="Q2450" i="49" s="1"/>
  <c r="J2444" i="49"/>
  <c r="Q2444" i="49" s="1"/>
  <c r="J2187" i="49"/>
  <c r="Q2187" i="49"/>
  <c r="J3096" i="49"/>
  <c r="Q3096" i="49"/>
  <c r="J3090" i="49"/>
  <c r="Q3090" i="49" s="1"/>
  <c r="J3888" i="49"/>
  <c r="Q3888" i="49" s="1"/>
  <c r="J2757" i="49"/>
  <c r="Q2757" i="49" s="1"/>
  <c r="J2758" i="49"/>
  <c r="Q2758" i="49" s="1"/>
  <c r="J4201" i="49"/>
  <c r="Q4201" i="49" s="1"/>
  <c r="J4195" i="49"/>
  <c r="Q4195" i="49" s="1"/>
  <c r="J4465" i="49"/>
  <c r="Q4465" i="49" s="1"/>
  <c r="J4398" i="49"/>
  <c r="Q4398" i="49" s="1"/>
  <c r="J4194" i="49"/>
  <c r="Q4194" i="49" s="1"/>
  <c r="J724" i="49"/>
  <c r="Q724" i="49"/>
  <c r="J2765" i="49"/>
  <c r="Q2765" i="49" s="1"/>
  <c r="J2460" i="49"/>
  <c r="Q2460" i="49" s="1"/>
  <c r="Q2954" i="49"/>
  <c r="J2954" i="49"/>
  <c r="J2960" i="49"/>
  <c r="Q2960" i="49" s="1"/>
  <c r="J3879" i="49"/>
  <c r="Q3879" i="49"/>
  <c r="J3880" i="49"/>
  <c r="Q3880" i="49" s="1"/>
  <c r="J1013" i="49"/>
  <c r="Q1013" i="49"/>
  <c r="J241" i="46"/>
  <c r="J2953" i="49"/>
  <c r="Q2953" i="49" s="1"/>
  <c r="S83" i="13"/>
  <c r="R64" i="24" s="1"/>
  <c r="R76" i="24" s="1"/>
  <c r="R77" i="24" s="1"/>
  <c r="Q97" i="14"/>
  <c r="N88" i="13"/>
  <c r="M64" i="29" s="1"/>
  <c r="M76" i="29" s="1"/>
  <c r="M77" i="29" s="1"/>
  <c r="L147" i="14"/>
  <c r="J85" i="13"/>
  <c r="I64" i="26" s="1"/>
  <c r="H117" i="14"/>
  <c r="O67" i="15"/>
  <c r="O68" i="15" s="1"/>
  <c r="T85" i="13"/>
  <c r="S64" i="26" s="1"/>
  <c r="S76" i="26" s="1"/>
  <c r="S77" i="26" s="1"/>
  <c r="R117" i="14"/>
  <c r="D28" i="4"/>
  <c r="E28" i="4"/>
  <c r="Q74" i="13"/>
  <c r="P64" i="15" s="1"/>
  <c r="P76" i="15" s="1"/>
  <c r="P77" i="15" s="1"/>
  <c r="O7" i="14"/>
  <c r="P82" i="13"/>
  <c r="O64" i="23" s="1"/>
  <c r="N87" i="14"/>
  <c r="J46" i="49"/>
  <c r="Q46" i="49"/>
  <c r="E46" i="50"/>
  <c r="G46" i="50" s="1"/>
  <c r="H46" i="50" s="1"/>
  <c r="O90" i="13"/>
  <c r="N64" i="31" s="1"/>
  <c r="N76" i="31" s="1"/>
  <c r="N77" i="31" s="1"/>
  <c r="M167" i="14"/>
  <c r="N67" i="19"/>
  <c r="N68" i="19" s="1"/>
  <c r="P80" i="13"/>
  <c r="O64" i="21" s="1"/>
  <c r="N67" i="14"/>
  <c r="E14" i="52"/>
  <c r="H62" i="49"/>
  <c r="H54" i="8"/>
  <c r="O50" i="18"/>
  <c r="O52" i="18"/>
  <c r="O50" i="23"/>
  <c r="O52" i="23"/>
  <c r="H67" i="20"/>
  <c r="H68" i="20" s="1"/>
  <c r="Q67" i="20"/>
  <c r="Q68" i="20" s="1"/>
  <c r="O81" i="13"/>
  <c r="N64" i="22" s="1"/>
  <c r="N76" i="22" s="1"/>
  <c r="N77" i="22" s="1"/>
  <c r="M77" i="14"/>
  <c r="N86" i="25"/>
  <c r="P50" i="15"/>
  <c r="P52" i="15"/>
  <c r="E19" i="52"/>
  <c r="H65" i="49"/>
  <c r="H63" i="8"/>
  <c r="H66" i="8" s="1"/>
  <c r="H54" i="26"/>
  <c r="H56" i="26"/>
  <c r="R50" i="20"/>
  <c r="R52" i="20"/>
  <c r="M50" i="27"/>
  <c r="M52" i="27"/>
  <c r="H58" i="14"/>
  <c r="H59" i="14" s="1"/>
  <c r="H60" i="14" s="1"/>
  <c r="K67" i="30"/>
  <c r="K68" i="30" s="1"/>
  <c r="H86" i="20"/>
  <c r="Q86" i="20"/>
  <c r="N50" i="22"/>
  <c r="N52" i="22"/>
  <c r="J85" i="49"/>
  <c r="Q85" i="49" s="1"/>
  <c r="C21" i="1"/>
  <c r="E85" i="50"/>
  <c r="G85" i="50" s="1"/>
  <c r="H85" i="50" s="1"/>
  <c r="I76" i="20"/>
  <c r="I77" i="20" s="1"/>
  <c r="S79" i="13"/>
  <c r="R64" i="20" s="1"/>
  <c r="R76" i="20" s="1"/>
  <c r="R77" i="20" s="1"/>
  <c r="Q57" i="14"/>
  <c r="O54" i="19"/>
  <c r="O56" i="19" s="1"/>
  <c r="M4" i="19"/>
  <c r="L50" i="30"/>
  <c r="L52" i="30"/>
  <c r="N86" i="19"/>
  <c r="J86" i="49"/>
  <c r="Q86" i="49" s="1"/>
  <c r="C22" i="1"/>
  <c r="E86" i="50"/>
  <c r="G86" i="50" s="1"/>
  <c r="H86" i="50" s="1"/>
  <c r="N56" i="18"/>
  <c r="N54" i="18"/>
  <c r="N50" i="28"/>
  <c r="N52" i="28"/>
  <c r="J84" i="49"/>
  <c r="Q84" i="49" s="1"/>
  <c r="E84" i="50"/>
  <c r="G84" i="50" s="1"/>
  <c r="H84" i="50" s="1"/>
  <c r="C20" i="1"/>
  <c r="I50" i="24"/>
  <c r="I52" i="24"/>
  <c r="M67" i="31"/>
  <c r="M68" i="31" s="1"/>
  <c r="O86" i="15"/>
  <c r="O50" i="21"/>
  <c r="O52" i="21"/>
  <c r="Q54" i="24"/>
  <c r="P104" i="14"/>
  <c r="S55" i="13" s="1"/>
  <c r="R48" i="24" s="1"/>
  <c r="O50" i="25"/>
  <c r="O52" i="25"/>
  <c r="I50" i="20"/>
  <c r="I52" i="20"/>
  <c r="M76" i="16"/>
  <c r="M77" i="16" s="1"/>
  <c r="R54" i="26"/>
  <c r="R56" i="26"/>
  <c r="D27" i="52"/>
  <c r="D28" i="52" s="1"/>
  <c r="D29" i="52" s="1"/>
  <c r="H54" i="49"/>
  <c r="M67" i="21"/>
  <c r="M68" i="21" s="1"/>
  <c r="P77" i="13"/>
  <c r="O64" i="18" s="1"/>
  <c r="N37" i="14"/>
  <c r="L28" i="14"/>
  <c r="L29" i="14"/>
  <c r="L30" i="14" s="1"/>
  <c r="J61" i="49"/>
  <c r="Q61" i="49" s="1"/>
  <c r="E61" i="50"/>
  <c r="G61" i="50" s="1"/>
  <c r="H61" i="50" s="1"/>
  <c r="P84" i="13"/>
  <c r="O64" i="25" s="1"/>
  <c r="N107" i="14"/>
  <c r="L67" i="22"/>
  <c r="L68" i="22" s="1"/>
  <c r="N54" i="21"/>
  <c r="N56" i="21" s="1"/>
  <c r="P67" i="24"/>
  <c r="P68" i="24" s="1"/>
  <c r="L86" i="27"/>
  <c r="L18" i="14"/>
  <c r="L19" i="14" s="1"/>
  <c r="L20" i="14" s="1"/>
  <c r="L56" i="27"/>
  <c r="M67" i="28"/>
  <c r="M68" i="28" s="1"/>
  <c r="L54" i="29"/>
  <c r="L56" i="29" s="1"/>
  <c r="L129" i="14"/>
  <c r="L130" i="14" s="1"/>
  <c r="L128" i="14"/>
  <c r="L134" i="14" s="1"/>
  <c r="O58" i="13" s="1"/>
  <c r="N48" i="27" s="1"/>
  <c r="H86" i="29"/>
  <c r="Q124" i="14"/>
  <c r="T57" i="13" s="1"/>
  <c r="S48" i="26" s="1"/>
  <c r="L174" i="14"/>
  <c r="O62" i="13" s="1"/>
  <c r="N48" i="31" s="1"/>
  <c r="J53" i="49"/>
  <c r="Q53" i="49" s="1"/>
  <c r="E53" i="50"/>
  <c r="G53" i="50" s="1"/>
  <c r="H53" i="50" s="1"/>
  <c r="M86" i="28"/>
  <c r="M138" i="14"/>
  <c r="M139" i="14" s="1"/>
  <c r="M140" i="14" s="1"/>
  <c r="K154" i="14"/>
  <c r="N60" i="13" s="1"/>
  <c r="M48" i="29" s="1"/>
  <c r="M50" i="16"/>
  <c r="M52" i="16"/>
  <c r="H56" i="29"/>
  <c r="N54" i="23"/>
  <c r="N56" i="23"/>
  <c r="J83" i="13"/>
  <c r="I64" i="24" s="1"/>
  <c r="H97" i="14"/>
  <c r="M86" i="22"/>
  <c r="Q47" i="49"/>
  <c r="J47" i="49"/>
  <c r="E47" i="50"/>
  <c r="G47" i="50" s="1"/>
  <c r="H47" i="50" s="1"/>
  <c r="N50" i="14"/>
  <c r="N48" i="14"/>
  <c r="N49" i="14"/>
  <c r="H67" i="24"/>
  <c r="H68" i="24" s="1"/>
  <c r="K158" i="14"/>
  <c r="K159" i="14" s="1"/>
  <c r="K160" i="14" s="1"/>
  <c r="N56" i="25"/>
  <c r="G124" i="14"/>
  <c r="J57" i="13" s="1"/>
  <c r="I48" i="26" s="1"/>
  <c r="I48" i="8" s="1"/>
  <c r="M50" i="17"/>
  <c r="M52" i="17"/>
  <c r="M56" i="22"/>
  <c r="H55" i="49"/>
  <c r="O76" i="19"/>
  <c r="O77" i="19" s="1"/>
  <c r="H86" i="24"/>
  <c r="H1965" i="49"/>
  <c r="E329" i="46"/>
  <c r="N14" i="39"/>
  <c r="H2203" i="49"/>
  <c r="E185" i="46"/>
  <c r="N11" i="39"/>
  <c r="H1336" i="49"/>
  <c r="E50" i="46"/>
  <c r="E458" i="46"/>
  <c r="H3360" i="49"/>
  <c r="L18" i="39"/>
  <c r="E523" i="46"/>
  <c r="H3098" i="49"/>
  <c r="H3097" i="49"/>
  <c r="E244" i="46"/>
  <c r="H3904" i="49"/>
  <c r="H2969" i="49"/>
  <c r="E459" i="46"/>
  <c r="E266" i="46"/>
  <c r="H3716" i="49"/>
  <c r="H725" i="49"/>
  <c r="H1813" i="49"/>
  <c r="E267" i="46"/>
  <c r="H5076" i="49"/>
  <c r="H4405" i="49"/>
  <c r="H4399" i="49"/>
  <c r="H2962" i="49"/>
  <c r="H2961" i="49"/>
  <c r="H5070" i="49"/>
  <c r="H5069" i="49"/>
  <c r="H2782" i="49"/>
  <c r="E427" i="46"/>
  <c r="L16" i="39"/>
  <c r="H1322" i="49"/>
  <c r="H1328" i="49"/>
  <c r="H2773" i="49"/>
  <c r="H2767" i="49"/>
  <c r="M11" i="39"/>
  <c r="E186" i="46"/>
  <c r="H2766" i="49"/>
  <c r="H1337" i="49"/>
  <c r="L11" i="39"/>
  <c r="E187" i="46"/>
  <c r="E276" i="46"/>
  <c r="E426" i="46"/>
  <c r="M16" i="39"/>
  <c r="H4747" i="49"/>
  <c r="H4746" i="49"/>
  <c r="H1321" i="49"/>
  <c r="E330" i="46"/>
  <c r="M14" i="39"/>
  <c r="H3895" i="49"/>
  <c r="H3889" i="49"/>
  <c r="E465" i="46"/>
  <c r="H1619" i="49"/>
  <c r="H1618" i="49"/>
  <c r="H1806" i="49"/>
  <c r="H1805" i="49"/>
  <c r="H1627" i="49"/>
  <c r="E236" i="46"/>
  <c r="H2204" i="49"/>
  <c r="L14" i="39"/>
  <c r="E331" i="46"/>
  <c r="H3701" i="49"/>
  <c r="H4203" i="49"/>
  <c r="H4202" i="49"/>
  <c r="H3345" i="49"/>
  <c r="H3351" i="49"/>
  <c r="H3538" i="49"/>
  <c r="H3532" i="49"/>
  <c r="H4466" i="49"/>
  <c r="H1966" i="49"/>
  <c r="H4754" i="49"/>
  <c r="H2467" i="49"/>
  <c r="H2461" i="49"/>
  <c r="E433" i="46"/>
  <c r="E337" i="46"/>
  <c r="H1959" i="49"/>
  <c r="H1958" i="49"/>
  <c r="H3531" i="49"/>
  <c r="H4210" i="49"/>
  <c r="H3702" i="49"/>
  <c r="H3708" i="49"/>
  <c r="E529" i="46"/>
  <c r="H3546" i="49"/>
  <c r="E553" i="46"/>
  <c r="E522" i="46"/>
  <c r="M18" i="39"/>
  <c r="H2188" i="49"/>
  <c r="H3920" i="49"/>
  <c r="H3106" i="49"/>
  <c r="H2180" i="49"/>
  <c r="H2179" i="49"/>
  <c r="H4481" i="49"/>
  <c r="E193" i="46"/>
  <c r="H2476" i="49"/>
  <c r="H3121" i="49"/>
  <c r="H2452" i="49"/>
  <c r="H2451" i="49"/>
  <c r="H1014" i="49"/>
  <c r="E561" i="46"/>
  <c r="H4473" i="49"/>
  <c r="H4467" i="49"/>
  <c r="H2195" i="49"/>
  <c r="H2189" i="49"/>
  <c r="H1628" i="49"/>
  <c r="H1634" i="49"/>
  <c r="E237" i="46"/>
  <c r="J1336" i="49" l="1"/>
  <c r="Q1336" i="49" s="1"/>
  <c r="J185" i="46"/>
  <c r="J2203" i="49"/>
  <c r="Q2203" i="49" s="1"/>
  <c r="J329" i="46"/>
  <c r="J1965" i="49"/>
  <c r="Q1965" i="49"/>
  <c r="H75" i="8"/>
  <c r="H60" i="8"/>
  <c r="J237" i="46"/>
  <c r="J1634" i="49"/>
  <c r="Q1634" i="49" s="1"/>
  <c r="J1628" i="49"/>
  <c r="Q1628" i="49"/>
  <c r="J2189" i="49"/>
  <c r="Q2189" i="49" s="1"/>
  <c r="J2195" i="49"/>
  <c r="Q2195" i="49" s="1"/>
  <c r="J4467" i="49"/>
  <c r="Q4467" i="49" s="1"/>
  <c r="J4473" i="49"/>
  <c r="Q4473" i="49" s="1"/>
  <c r="J561" i="46"/>
  <c r="J1014" i="49"/>
  <c r="Q1014" i="49" s="1"/>
  <c r="J2451" i="49"/>
  <c r="Q2451" i="49" s="1"/>
  <c r="J2452" i="49"/>
  <c r="Q2452" i="49" s="1"/>
  <c r="J3121" i="49"/>
  <c r="Q3121" i="49" s="1"/>
  <c r="J2476" i="49"/>
  <c r="Q2476" i="49" s="1"/>
  <c r="J193" i="46"/>
  <c r="J4481" i="49"/>
  <c r="Q4481" i="49" s="1"/>
  <c r="J2179" i="49"/>
  <c r="Q2179" i="49" s="1"/>
  <c r="J2180" i="49"/>
  <c r="Q2180" i="49" s="1"/>
  <c r="Q3106" i="49"/>
  <c r="J3106" i="49"/>
  <c r="J3920" i="49"/>
  <c r="Q3920" i="49" s="1"/>
  <c r="J2188" i="49"/>
  <c r="Q2188" i="49" s="1"/>
  <c r="Q18" i="39"/>
  <c r="J522" i="46"/>
  <c r="J553" i="46"/>
  <c r="J3546" i="49"/>
  <c r="Q3546" i="49" s="1"/>
  <c r="F78" i="50"/>
  <c r="J529" i="46"/>
  <c r="Q3708" i="49"/>
  <c r="J3708" i="49"/>
  <c r="J3702" i="49"/>
  <c r="Q3702" i="49" s="1"/>
  <c r="J4210" i="49"/>
  <c r="Q4210" i="49" s="1"/>
  <c r="J3531" i="49"/>
  <c r="Q3531" i="49"/>
  <c r="F63" i="50"/>
  <c r="J1958" i="49"/>
  <c r="Q1958" i="49" s="1"/>
  <c r="J1959" i="49"/>
  <c r="Q1959" i="49" s="1"/>
  <c r="J337" i="46"/>
  <c r="J433" i="46"/>
  <c r="Q2461" i="49"/>
  <c r="J2461" i="49"/>
  <c r="J2467" i="49"/>
  <c r="Q2467" i="49" s="1"/>
  <c r="J4754" i="49"/>
  <c r="Q4754" i="49" s="1"/>
  <c r="J1966" i="49"/>
  <c r="Q1966" i="49"/>
  <c r="J4466" i="49"/>
  <c r="Q4466" i="49" s="1"/>
  <c r="J3532" i="49"/>
  <c r="Q3532" i="49" s="1"/>
  <c r="F64" i="50"/>
  <c r="J3538" i="49"/>
  <c r="Q3538" i="49" s="1"/>
  <c r="F70" i="50"/>
  <c r="J3351" i="49"/>
  <c r="Q3351" i="49" s="1"/>
  <c r="J3345" i="49"/>
  <c r="Q3345" i="49" s="1"/>
  <c r="J4202" i="49"/>
  <c r="Q4202" i="49" s="1"/>
  <c r="J4203" i="49"/>
  <c r="Q4203" i="49"/>
  <c r="Q3701" i="49"/>
  <c r="J3701" i="49"/>
  <c r="J331" i="46"/>
  <c r="P14" i="39"/>
  <c r="S14" i="39" s="1"/>
  <c r="U14" i="39" s="1"/>
  <c r="X14" i="39"/>
  <c r="Q2204" i="49"/>
  <c r="J2204" i="49"/>
  <c r="J236" i="46"/>
  <c r="J1627" i="49"/>
  <c r="Q1627" i="49" s="1"/>
  <c r="J1805" i="49"/>
  <c r="Q1805" i="49"/>
  <c r="J1806" i="49"/>
  <c r="Q1806" i="49" s="1"/>
  <c r="J1618" i="49"/>
  <c r="Q1618" i="49"/>
  <c r="J1619" i="49"/>
  <c r="Q1619" i="49" s="1"/>
  <c r="J465" i="46"/>
  <c r="J3889" i="49"/>
  <c r="Q3889" i="49" s="1"/>
  <c r="J3895" i="49"/>
  <c r="Q3895" i="49" s="1"/>
  <c r="Q14" i="39"/>
  <c r="J330" i="46"/>
  <c r="J1321" i="49"/>
  <c r="Q1321" i="49"/>
  <c r="J4746" i="49"/>
  <c r="Q4746" i="49" s="1"/>
  <c r="J4747" i="49"/>
  <c r="Q4747" i="49" s="1"/>
  <c r="Q16" i="39"/>
  <c r="J426" i="46"/>
  <c r="J276" i="46"/>
  <c r="J187" i="46"/>
  <c r="P11" i="39"/>
  <c r="X11" i="39"/>
  <c r="J1337" i="49"/>
  <c r="Q1337" i="49"/>
  <c r="J2766" i="49"/>
  <c r="Q2766" i="49" s="1"/>
  <c r="J186" i="46"/>
  <c r="Q11" i="39"/>
  <c r="J2767" i="49"/>
  <c r="Q2767" i="49" s="1"/>
  <c r="J2773" i="49"/>
  <c r="Q2773" i="49"/>
  <c r="J1328" i="49"/>
  <c r="Q1328" i="49" s="1"/>
  <c r="J1322" i="49"/>
  <c r="Q1322" i="49" s="1"/>
  <c r="P16" i="39"/>
  <c r="S16" i="39" s="1"/>
  <c r="U16" i="39" s="1"/>
  <c r="X16" i="39"/>
  <c r="J427" i="46"/>
  <c r="J2782" i="49"/>
  <c r="Q2782" i="49" s="1"/>
  <c r="J5069" i="49"/>
  <c r="Q5069" i="49" s="1"/>
  <c r="Q5070" i="49"/>
  <c r="J5070" i="49"/>
  <c r="J2961" i="49"/>
  <c r="Q2961" i="49"/>
  <c r="J2962" i="49"/>
  <c r="Q2962" i="49" s="1"/>
  <c r="J4399" i="49"/>
  <c r="Q4399" i="49" s="1"/>
  <c r="J4405" i="49"/>
  <c r="Q4405" i="49" s="1"/>
  <c r="J5076" i="49"/>
  <c r="Q5076" i="49" s="1"/>
  <c r="J267" i="46"/>
  <c r="J1813" i="49"/>
  <c r="Q1813" i="49" s="1"/>
  <c r="J725" i="49"/>
  <c r="Q725" i="49"/>
  <c r="J3716" i="49"/>
  <c r="Q3716" i="49" s="1"/>
  <c r="J266" i="46"/>
  <c r="J459" i="46"/>
  <c r="J2969" i="49"/>
  <c r="Q2969" i="49" s="1"/>
  <c r="J3904" i="49"/>
  <c r="Q3904" i="49" s="1"/>
  <c r="J244" i="46"/>
  <c r="J3097" i="49"/>
  <c r="Q3097" i="49"/>
  <c r="J3098" i="49"/>
  <c r="Q3098" i="49" s="1"/>
  <c r="J523" i="46"/>
  <c r="P18" i="39"/>
  <c r="S18" i="39" s="1"/>
  <c r="U18" i="39" s="1"/>
  <c r="X18" i="39"/>
  <c r="J3360" i="49"/>
  <c r="Q3360" i="49" s="1"/>
  <c r="J458" i="46"/>
  <c r="J50" i="46"/>
  <c r="O86" i="13"/>
  <c r="N64" i="27" s="1"/>
  <c r="N76" i="27" s="1"/>
  <c r="N77" i="27" s="1"/>
  <c r="M127" i="14"/>
  <c r="O76" i="13"/>
  <c r="N64" i="17" s="1"/>
  <c r="N76" i="17" s="1"/>
  <c r="N77" i="17" s="1"/>
  <c r="M27" i="14"/>
  <c r="O67" i="19"/>
  <c r="O68" i="19" s="1"/>
  <c r="P87" i="13"/>
  <c r="O64" i="28" s="1"/>
  <c r="N137" i="14"/>
  <c r="O75" i="13"/>
  <c r="N64" i="16" s="1"/>
  <c r="M17" i="14"/>
  <c r="K79" i="13"/>
  <c r="J64" i="20" s="1"/>
  <c r="I57" i="14"/>
  <c r="N67" i="21"/>
  <c r="N68" i="21" s="1"/>
  <c r="N89" i="13"/>
  <c r="M64" i="30" s="1"/>
  <c r="M76" i="30" s="1"/>
  <c r="M77" i="30" s="1"/>
  <c r="L157" i="14"/>
  <c r="L67" i="29"/>
  <c r="L68" i="29" s="1"/>
  <c r="J62" i="49"/>
  <c r="Q62" i="49" s="1"/>
  <c r="E62" i="50"/>
  <c r="G62" i="50" s="1"/>
  <c r="H62" i="50" s="1"/>
  <c r="I76" i="26"/>
  <c r="I77" i="26" s="1"/>
  <c r="S12" i="39"/>
  <c r="U12" i="39" s="1"/>
  <c r="M54" i="17"/>
  <c r="M144" i="14"/>
  <c r="P59" i="13" s="1"/>
  <c r="O48" i="28" s="1"/>
  <c r="J54" i="49"/>
  <c r="Q54" i="49" s="1"/>
  <c r="E54" i="50"/>
  <c r="G54" i="50" s="1"/>
  <c r="H54" i="50" s="1"/>
  <c r="R50" i="24"/>
  <c r="R52" i="24"/>
  <c r="N54" i="22"/>
  <c r="M78" i="14"/>
  <c r="M84" i="14" s="1"/>
  <c r="P53" i="13" s="1"/>
  <c r="O48" i="22" s="1"/>
  <c r="M79" i="14"/>
  <c r="M80" i="14"/>
  <c r="L148" i="14"/>
  <c r="J55" i="49"/>
  <c r="Q55" i="49"/>
  <c r="E55" i="50"/>
  <c r="G55" i="50" s="1"/>
  <c r="H55" i="50" s="1"/>
  <c r="Q78" i="13"/>
  <c r="P64" i="19" s="1"/>
  <c r="P76" i="19" s="1"/>
  <c r="P77" i="19" s="1"/>
  <c r="O47" i="14"/>
  <c r="O76" i="18"/>
  <c r="O77" i="18" s="1"/>
  <c r="M50" i="29"/>
  <c r="M52" i="29"/>
  <c r="N109" i="14"/>
  <c r="N110" i="14" s="1"/>
  <c r="N108" i="14"/>
  <c r="Q86" i="24"/>
  <c r="N50" i="27"/>
  <c r="N52" i="27"/>
  <c r="N86" i="21"/>
  <c r="E15" i="52"/>
  <c r="H63" i="49"/>
  <c r="I50" i="26"/>
  <c r="I52" i="26"/>
  <c r="O76" i="25"/>
  <c r="O77" i="25" s="1"/>
  <c r="R67" i="26"/>
  <c r="R68" i="26" s="1"/>
  <c r="Q56" i="24"/>
  <c r="N54" i="28"/>
  <c r="N56" i="28" s="1"/>
  <c r="H86" i="26"/>
  <c r="O76" i="21"/>
  <c r="O77" i="21" s="1"/>
  <c r="O76" i="23"/>
  <c r="O77" i="23" s="1"/>
  <c r="Q98" i="14"/>
  <c r="Q99" i="14"/>
  <c r="Q100" i="14" s="1"/>
  <c r="H118" i="14"/>
  <c r="H119" i="14" s="1"/>
  <c r="H120" i="14" s="1"/>
  <c r="M67" i="22"/>
  <c r="M68" i="22" s="1"/>
  <c r="L54" i="30"/>
  <c r="L56" i="30"/>
  <c r="R54" i="20"/>
  <c r="R56" i="20" s="1"/>
  <c r="L86" i="29"/>
  <c r="H67" i="26"/>
  <c r="H68" i="26" s="1"/>
  <c r="N68" i="14"/>
  <c r="N69" i="14"/>
  <c r="N70" i="14" s="1"/>
  <c r="N88" i="14"/>
  <c r="N89" i="14"/>
  <c r="N90" i="14"/>
  <c r="N67" i="25"/>
  <c r="N68" i="25" s="1"/>
  <c r="H98" i="14"/>
  <c r="H99" i="14" s="1"/>
  <c r="H100" i="14" s="1"/>
  <c r="R86" i="26"/>
  <c r="O54" i="21"/>
  <c r="M4" i="21"/>
  <c r="O86" i="19"/>
  <c r="E23" i="52"/>
  <c r="E21" i="52"/>
  <c r="E22" i="52"/>
  <c r="H69" i="49"/>
  <c r="H67" i="49"/>
  <c r="H68" i="49"/>
  <c r="O10" i="14"/>
  <c r="O9" i="14"/>
  <c r="O8" i="14"/>
  <c r="I76" i="24"/>
  <c r="I77" i="24" s="1"/>
  <c r="L67" i="27"/>
  <c r="L68" i="27" s="1"/>
  <c r="N86" i="18"/>
  <c r="Q58" i="14"/>
  <c r="M168" i="14"/>
  <c r="M169" i="14" s="1"/>
  <c r="M170" i="14" s="1"/>
  <c r="H64" i="14"/>
  <c r="K51" i="13" s="1"/>
  <c r="J48" i="20" s="1"/>
  <c r="J65" i="49"/>
  <c r="Q65" i="49" s="1"/>
  <c r="E65" i="50"/>
  <c r="G65" i="50" s="1"/>
  <c r="H65" i="50" s="1"/>
  <c r="O56" i="18"/>
  <c r="O54" i="18"/>
  <c r="M4" i="18"/>
  <c r="R118" i="14"/>
  <c r="R119" i="14"/>
  <c r="R120" i="14" s="1"/>
  <c r="K164" i="14"/>
  <c r="N61" i="13" s="1"/>
  <c r="M48" i="30" s="1"/>
  <c r="N86" i="23"/>
  <c r="I64" i="8"/>
  <c r="I76" i="8" s="1"/>
  <c r="I77" i="8" s="1"/>
  <c r="N67" i="23"/>
  <c r="N68" i="23" s="1"/>
  <c r="N67" i="18"/>
  <c r="N68" i="18" s="1"/>
  <c r="O54" i="23"/>
  <c r="O56" i="23" s="1"/>
  <c r="M4" i="23"/>
  <c r="F13" i="52"/>
  <c r="H78" i="49"/>
  <c r="I50" i="8"/>
  <c r="I52" i="8"/>
  <c r="H67" i="29"/>
  <c r="H68" i="29" s="1"/>
  <c r="N50" i="31"/>
  <c r="N52" i="31"/>
  <c r="L24" i="14"/>
  <c r="O47" i="13" s="1"/>
  <c r="N48" i="16" s="1"/>
  <c r="L34" i="14"/>
  <c r="O48" i="13" s="1"/>
  <c r="N48" i="17" s="1"/>
  <c r="I54" i="20"/>
  <c r="M54" i="16"/>
  <c r="M56" i="16"/>
  <c r="S50" i="26"/>
  <c r="S52" i="26"/>
  <c r="I54" i="24"/>
  <c r="I56" i="24"/>
  <c r="M54" i="27"/>
  <c r="M56" i="27"/>
  <c r="N54" i="14"/>
  <c r="Q50" i="13" s="1"/>
  <c r="P48" i="19" s="1"/>
  <c r="N38" i="14"/>
  <c r="N39" i="14"/>
  <c r="N40" i="14" s="1"/>
  <c r="O54" i="25"/>
  <c r="O56" i="25" s="1"/>
  <c r="M4" i="25"/>
  <c r="P54" i="15"/>
  <c r="P86" i="15" s="1"/>
  <c r="H56" i="8"/>
  <c r="H4226" i="49"/>
  <c r="E665" i="46"/>
  <c r="N21" i="39"/>
  <c r="H3547" i="49"/>
  <c r="E555" i="46"/>
  <c r="H1338" i="49"/>
  <c r="E188" i="46"/>
  <c r="H726" i="49"/>
  <c r="H3361" i="49"/>
  <c r="E524" i="46"/>
  <c r="H2197" i="49"/>
  <c r="H2196" i="49"/>
  <c r="E532" i="46"/>
  <c r="H733" i="49"/>
  <c r="H727" i="49"/>
  <c r="H3362" i="49"/>
  <c r="H3368" i="49"/>
  <c r="E525" i="46"/>
  <c r="H3921" i="49"/>
  <c r="H2469" i="49"/>
  <c r="H2468" i="49"/>
  <c r="H4211" i="49"/>
  <c r="H2970" i="49"/>
  <c r="E460" i="46"/>
  <c r="H3122" i="49"/>
  <c r="H4762" i="49"/>
  <c r="H4756" i="49"/>
  <c r="H4770" i="49"/>
  <c r="E196" i="46"/>
  <c r="H1974" i="49"/>
  <c r="H1968" i="49"/>
  <c r="H1829" i="49"/>
  <c r="H5077" i="49"/>
  <c r="H3906" i="49"/>
  <c r="H3912" i="49"/>
  <c r="H1967" i="49"/>
  <c r="E340" i="46"/>
  <c r="H4475" i="49"/>
  <c r="H4474" i="49"/>
  <c r="H2477" i="49"/>
  <c r="E673" i="46"/>
  <c r="E564" i="46"/>
  <c r="H2492" i="49"/>
  <c r="N15" i="39"/>
  <c r="E377" i="46"/>
  <c r="E436" i="46"/>
  <c r="H2775" i="49"/>
  <c r="H2774" i="49"/>
  <c r="H741" i="49"/>
  <c r="H1642" i="49"/>
  <c r="H4755" i="49"/>
  <c r="H3353" i="49"/>
  <c r="H3352" i="49"/>
  <c r="H4218" i="49"/>
  <c r="H4212" i="49"/>
  <c r="H4407" i="49"/>
  <c r="H4406" i="49"/>
  <c r="H2971" i="49"/>
  <c r="H2977" i="49"/>
  <c r="E461" i="46"/>
  <c r="H1636" i="49"/>
  <c r="H1635" i="49"/>
  <c r="E242" i="46"/>
  <c r="H4482" i="49"/>
  <c r="H3540" i="49"/>
  <c r="H3539" i="49"/>
  <c r="H1330" i="49"/>
  <c r="H1329" i="49"/>
  <c r="H1030" i="49"/>
  <c r="H2205" i="49"/>
  <c r="E332" i="46"/>
  <c r="E468" i="46"/>
  <c r="H2783" i="49"/>
  <c r="E428" i="46"/>
  <c r="H1015" i="49"/>
  <c r="E554" i="46"/>
  <c r="H3897" i="49"/>
  <c r="H3896" i="49"/>
  <c r="H1345" i="49"/>
  <c r="H1339" i="49"/>
  <c r="E189" i="46"/>
  <c r="H2790" i="49"/>
  <c r="H2784" i="49"/>
  <c r="E429" i="46"/>
  <c r="H1814" i="49"/>
  <c r="E268" i="46"/>
  <c r="H3710" i="49"/>
  <c r="H3709" i="49"/>
  <c r="H3113" i="49"/>
  <c r="H3107" i="49"/>
  <c r="H3717" i="49"/>
  <c r="H3905" i="49"/>
  <c r="N114" i="14" l="1"/>
  <c r="Q56" i="13" s="1"/>
  <c r="P48" i="25" s="1"/>
  <c r="J3905" i="49"/>
  <c r="Q3905" i="49" s="1"/>
  <c r="J3717" i="49"/>
  <c r="Q3717" i="49" s="1"/>
  <c r="J3107" i="49"/>
  <c r="Q3107" i="49" s="1"/>
  <c r="J3113" i="49"/>
  <c r="Q3113" i="49" s="1"/>
  <c r="J3709" i="49"/>
  <c r="Q3709" i="49" s="1"/>
  <c r="J3710" i="49"/>
  <c r="Q3710" i="49" s="1"/>
  <c r="J268" i="46"/>
  <c r="J1814" i="49"/>
  <c r="Q1814" i="49" s="1"/>
  <c r="J429" i="46"/>
  <c r="J2784" i="49"/>
  <c r="Q2784" i="49" s="1"/>
  <c r="J2790" i="49"/>
  <c r="Q2790" i="49"/>
  <c r="J189" i="46"/>
  <c r="J1339" i="49"/>
  <c r="Q1339" i="49" s="1"/>
  <c r="J1345" i="49"/>
  <c r="Q1345" i="49"/>
  <c r="J3896" i="49"/>
  <c r="Q3896" i="49" s="1"/>
  <c r="J3897" i="49"/>
  <c r="Q3897" i="49" s="1"/>
  <c r="J554" i="46"/>
  <c r="J1015" i="49"/>
  <c r="Q1015" i="49" s="1"/>
  <c r="J428" i="46"/>
  <c r="J2783" i="49"/>
  <c r="Q2783" i="49"/>
  <c r="J468" i="46"/>
  <c r="J332" i="46"/>
  <c r="J2205" i="49"/>
  <c r="Q2205" i="49" s="1"/>
  <c r="J1030" i="49"/>
  <c r="Q1030" i="49" s="1"/>
  <c r="J1329" i="49"/>
  <c r="Q1329" i="49" s="1"/>
  <c r="J1330" i="49"/>
  <c r="Q1330" i="49"/>
  <c r="J3539" i="49"/>
  <c r="Q3539" i="49" s="1"/>
  <c r="F71" i="50"/>
  <c r="J3540" i="49"/>
  <c r="Q3540" i="49" s="1"/>
  <c r="F72" i="50"/>
  <c r="J4482" i="49"/>
  <c r="Q4482" i="49" s="1"/>
  <c r="J242" i="46"/>
  <c r="J1635" i="49"/>
  <c r="Q1635" i="49" s="1"/>
  <c r="J1636" i="49"/>
  <c r="Q1636" i="49" s="1"/>
  <c r="J461" i="46"/>
  <c r="J2977" i="49"/>
  <c r="Q2977" i="49" s="1"/>
  <c r="J2971" i="49"/>
  <c r="Q2971" i="49"/>
  <c r="J4406" i="49"/>
  <c r="Q4406" i="49" s="1"/>
  <c r="J4407" i="49"/>
  <c r="Q4407" i="49" s="1"/>
  <c r="J4212" i="49"/>
  <c r="Q4212" i="49" s="1"/>
  <c r="J4218" i="49"/>
  <c r="Q4218" i="49" s="1"/>
  <c r="J3352" i="49"/>
  <c r="Q3352" i="49" s="1"/>
  <c r="J3353" i="49"/>
  <c r="Q3353" i="49" s="1"/>
  <c r="J4755" i="49"/>
  <c r="Q4755" i="49" s="1"/>
  <c r="J1642" i="49"/>
  <c r="Q1642" i="49" s="1"/>
  <c r="J741" i="49"/>
  <c r="Q741" i="49"/>
  <c r="J2774" i="49"/>
  <c r="Q2774" i="49" s="1"/>
  <c r="J2775" i="49"/>
  <c r="Q2775" i="49" s="1"/>
  <c r="J436" i="46"/>
  <c r="J377" i="46"/>
  <c r="J2492" i="49"/>
  <c r="Q2492" i="49" s="1"/>
  <c r="J564" i="46"/>
  <c r="J673" i="46"/>
  <c r="J2477" i="49"/>
  <c r="Q2477" i="49" s="1"/>
  <c r="J4474" i="49"/>
  <c r="Q4474" i="49" s="1"/>
  <c r="Q4475" i="49"/>
  <c r="J4475" i="49"/>
  <c r="J340" i="46"/>
  <c r="Q1967" i="49"/>
  <c r="J1967" i="49"/>
  <c r="J3912" i="49"/>
  <c r="Q3912" i="49" s="1"/>
  <c r="J3906" i="49"/>
  <c r="Q3906" i="49" s="1"/>
  <c r="J5077" i="49"/>
  <c r="Q5077" i="49"/>
  <c r="J1829" i="49"/>
  <c r="Q1829" i="49" s="1"/>
  <c r="J1968" i="49"/>
  <c r="Q1968" i="49" s="1"/>
  <c r="J1974" i="49"/>
  <c r="Q1974" i="49" s="1"/>
  <c r="J196" i="46"/>
  <c r="J4770" i="49"/>
  <c r="Q4770" i="49" s="1"/>
  <c r="J4756" i="49"/>
  <c r="Q4756" i="49"/>
  <c r="J4762" i="49"/>
  <c r="Q4762" i="49" s="1"/>
  <c r="J3122" i="49"/>
  <c r="Q3122" i="49" s="1"/>
  <c r="J460" i="46"/>
  <c r="J2970" i="49"/>
  <c r="Q2970" i="49" s="1"/>
  <c r="J4211" i="49"/>
  <c r="Q4211" i="49" s="1"/>
  <c r="J2468" i="49"/>
  <c r="Q2468" i="49" s="1"/>
  <c r="J2469" i="49"/>
  <c r="Q2469" i="49" s="1"/>
  <c r="J3921" i="49"/>
  <c r="Q3921" i="49" s="1"/>
  <c r="J525" i="46"/>
  <c r="J3368" i="49"/>
  <c r="Q3368" i="49" s="1"/>
  <c r="Q3362" i="49"/>
  <c r="J3362" i="49"/>
  <c r="J727" i="49"/>
  <c r="Q727" i="49"/>
  <c r="J733" i="49"/>
  <c r="Q733" i="49" s="1"/>
  <c r="J532" i="46"/>
  <c r="Q2196" i="49"/>
  <c r="J2196" i="49"/>
  <c r="J2197" i="49"/>
  <c r="Q2197" i="49" s="1"/>
  <c r="J524" i="46"/>
  <c r="J3361" i="49"/>
  <c r="Q3361" i="49"/>
  <c r="J726" i="49"/>
  <c r="Q726" i="49" s="1"/>
  <c r="J188" i="46"/>
  <c r="J1338" i="49"/>
  <c r="Q1338" i="49"/>
  <c r="J555" i="46"/>
  <c r="J3547" i="49"/>
  <c r="Q3547" i="49"/>
  <c r="F79" i="50"/>
  <c r="J665" i="46"/>
  <c r="J4226" i="49"/>
  <c r="Q4226" i="49" s="1"/>
  <c r="Q77" i="13"/>
  <c r="P64" i="18" s="1"/>
  <c r="P76" i="18" s="1"/>
  <c r="P77" i="18" s="1"/>
  <c r="O37" i="14"/>
  <c r="P90" i="13"/>
  <c r="O64" i="31" s="1"/>
  <c r="N167" i="14"/>
  <c r="T83" i="13"/>
  <c r="S64" i="24" s="1"/>
  <c r="S76" i="24" s="1"/>
  <c r="S77" i="24" s="1"/>
  <c r="R97" i="14"/>
  <c r="U85" i="13"/>
  <c r="T64" i="26" s="1"/>
  <c r="T76" i="26" s="1"/>
  <c r="T77" i="26" s="1"/>
  <c r="S117" i="14"/>
  <c r="K83" i="13"/>
  <c r="J64" i="24" s="1"/>
  <c r="J76" i="24" s="1"/>
  <c r="J77" i="24" s="1"/>
  <c r="I97" i="14"/>
  <c r="R74" i="13"/>
  <c r="Q64" i="15" s="1"/>
  <c r="Q76" i="15" s="1"/>
  <c r="Q77" i="15" s="1"/>
  <c r="P7" i="14"/>
  <c r="M86" i="27"/>
  <c r="J68" i="49"/>
  <c r="Q68" i="49" s="1"/>
  <c r="E68" i="50"/>
  <c r="G68" i="50" s="1"/>
  <c r="H68" i="50" s="1"/>
  <c r="O49" i="14"/>
  <c r="O50" i="14" s="1"/>
  <c r="O48" i="14"/>
  <c r="S56" i="26"/>
  <c r="S54" i="26"/>
  <c r="Q82" i="13"/>
  <c r="P64" i="23" s="1"/>
  <c r="P76" i="23" s="1"/>
  <c r="P77" i="23" s="1"/>
  <c r="O87" i="14"/>
  <c r="Q67" i="24"/>
  <c r="Q68" i="24" s="1"/>
  <c r="J78" i="49"/>
  <c r="Q78" i="49" s="1"/>
  <c r="E78" i="50"/>
  <c r="G78" i="50" s="1"/>
  <c r="H78" i="50" s="1"/>
  <c r="C14" i="1"/>
  <c r="Q59" i="14"/>
  <c r="Q60" i="14" s="1"/>
  <c r="K85" i="13"/>
  <c r="J64" i="26" s="1"/>
  <c r="J76" i="26" s="1"/>
  <c r="J77" i="26" s="1"/>
  <c r="I117" i="14"/>
  <c r="I86" i="20"/>
  <c r="O67" i="23"/>
  <c r="O68" i="23" s="1"/>
  <c r="O67" i="18"/>
  <c r="O68" i="18" s="1"/>
  <c r="Q80" i="13"/>
  <c r="P64" i="21" s="1"/>
  <c r="P76" i="21" s="1"/>
  <c r="P77" i="21" s="1"/>
  <c r="O67" i="14"/>
  <c r="P50" i="25"/>
  <c r="P52" i="25"/>
  <c r="M86" i="17"/>
  <c r="J76" i="20"/>
  <c r="J77" i="20" s="1"/>
  <c r="J64" i="8"/>
  <c r="J76" i="8" s="1"/>
  <c r="J77" i="8" s="1"/>
  <c r="N44" i="14"/>
  <c r="Q49" i="13" s="1"/>
  <c r="P48" i="18" s="1"/>
  <c r="I56" i="20"/>
  <c r="O86" i="23"/>
  <c r="O86" i="21"/>
  <c r="N74" i="14"/>
  <c r="Q52" i="13" s="1"/>
  <c r="P48" i="21" s="1"/>
  <c r="P81" i="13"/>
  <c r="O64" i="22" s="1"/>
  <c r="N77" i="14"/>
  <c r="M56" i="17"/>
  <c r="M18" i="14"/>
  <c r="M19" i="14" s="1"/>
  <c r="M20" i="14" s="1"/>
  <c r="N50" i="17"/>
  <c r="N52" i="17"/>
  <c r="O14" i="14"/>
  <c r="R46" i="13" s="1"/>
  <c r="Q48" i="15" s="1"/>
  <c r="O56" i="21"/>
  <c r="Q104" i="14"/>
  <c r="T55" i="13" s="1"/>
  <c r="S48" i="24" s="1"/>
  <c r="Q63" i="49"/>
  <c r="J63" i="49"/>
  <c r="E63" i="50"/>
  <c r="G63" i="50" s="1"/>
  <c r="H63" i="50" s="1"/>
  <c r="M54" i="29"/>
  <c r="M56" i="29" s="1"/>
  <c r="C42" i="1"/>
  <c r="I42" i="1" s="1"/>
  <c r="V12" i="39"/>
  <c r="W12" i="39"/>
  <c r="F9" i="32"/>
  <c r="J9" i="3"/>
  <c r="G9" i="32" s="1"/>
  <c r="G9" i="38" s="1"/>
  <c r="C14" i="4"/>
  <c r="N1581" i="49"/>
  <c r="O1581" i="49" s="1"/>
  <c r="N1465" i="49"/>
  <c r="O1465" i="49" s="1"/>
  <c r="N1528" i="49"/>
  <c r="O1528" i="49" s="1"/>
  <c r="N1645" i="49"/>
  <c r="O1645" i="49" s="1"/>
  <c r="N1591" i="49"/>
  <c r="O1591" i="49" s="1"/>
  <c r="N1491" i="49"/>
  <c r="O1491" i="49" s="1"/>
  <c r="N1554" i="49"/>
  <c r="O1554" i="49" s="1"/>
  <c r="N1570" i="49"/>
  <c r="O1570" i="49" s="1"/>
  <c r="N1595" i="49"/>
  <c r="O1595" i="49" s="1"/>
  <c r="N1629" i="49"/>
  <c r="O1629" i="49" s="1"/>
  <c r="N1596" i="49"/>
  <c r="O1596" i="49" s="1"/>
  <c r="N1523" i="49"/>
  <c r="O1523" i="49" s="1"/>
  <c r="N1648" i="49"/>
  <c r="O1648" i="49" s="1"/>
  <c r="N1574" i="49"/>
  <c r="O1574" i="49" s="1"/>
  <c r="N1680" i="49"/>
  <c r="O1680" i="49" s="1"/>
  <c r="N1722" i="49"/>
  <c r="O1722" i="49" s="1"/>
  <c r="N1542" i="49"/>
  <c r="O1542" i="49" s="1"/>
  <c r="N1639" i="49"/>
  <c r="O1639" i="49" s="1"/>
  <c r="N1687" i="49"/>
  <c r="O1687" i="49" s="1"/>
  <c r="N1708" i="49"/>
  <c r="O1708" i="49" s="1"/>
  <c r="N1721" i="49"/>
  <c r="O1721" i="49" s="1"/>
  <c r="N1507" i="49"/>
  <c r="O1507" i="49" s="1"/>
  <c r="N1720" i="49"/>
  <c r="O1720" i="49" s="1"/>
  <c r="N1545" i="49"/>
  <c r="O1545" i="49" s="1"/>
  <c r="N1652" i="49"/>
  <c r="O1652" i="49" s="1"/>
  <c r="N1657" i="49"/>
  <c r="O1657" i="49" s="1"/>
  <c r="N1501" i="49"/>
  <c r="O1501" i="49" s="1"/>
  <c r="N1450" i="49"/>
  <c r="O1450" i="49" s="1"/>
  <c r="N1644" i="49"/>
  <c r="O1644" i="49" s="1"/>
  <c r="N1508" i="49"/>
  <c r="O1508" i="49" s="1"/>
  <c r="N1506" i="49"/>
  <c r="O1506" i="49" s="1"/>
  <c r="N1496" i="49"/>
  <c r="O1496" i="49" s="1"/>
  <c r="N1547" i="49"/>
  <c r="O1547" i="49" s="1"/>
  <c r="N1564" i="49"/>
  <c r="O1564" i="49" s="1"/>
  <c r="N1651" i="49"/>
  <c r="O1651" i="49" s="1"/>
  <c r="N1599" i="49"/>
  <c r="O1599" i="49" s="1"/>
  <c r="N1654" i="49"/>
  <c r="O1654" i="49" s="1"/>
  <c r="N1705" i="49"/>
  <c r="O1705" i="49" s="1"/>
  <c r="N1518" i="49"/>
  <c r="O1518" i="49" s="1"/>
  <c r="N1569" i="49"/>
  <c r="O1569" i="49" s="1"/>
  <c r="N1565" i="49"/>
  <c r="O1565" i="49" s="1"/>
  <c r="N1537" i="49"/>
  <c r="O1537" i="49" s="1"/>
  <c r="N1493" i="49"/>
  <c r="O1493" i="49" s="1"/>
  <c r="N1632" i="49"/>
  <c r="O1632" i="49" s="1"/>
  <c r="N1646" i="49"/>
  <c r="O1646" i="49" s="1"/>
  <c r="N1611" i="49"/>
  <c r="O1611" i="49" s="1"/>
  <c r="N1607" i="49"/>
  <c r="O1607" i="49" s="1"/>
  <c r="N1718" i="49"/>
  <c r="O1718" i="49" s="1"/>
  <c r="N1724" i="49"/>
  <c r="O1724" i="49" s="1"/>
  <c r="N1709" i="49"/>
  <c r="O1709" i="49" s="1"/>
  <c r="N1459" i="49"/>
  <c r="O1459" i="49" s="1"/>
  <c r="N1499" i="49"/>
  <c r="O1499" i="49" s="1"/>
  <c r="N1524" i="49"/>
  <c r="O1524" i="49" s="1"/>
  <c r="N1726" i="49"/>
  <c r="O1726" i="49" s="1"/>
  <c r="N1605" i="49"/>
  <c r="O1605" i="49" s="1"/>
  <c r="N1470" i="49"/>
  <c r="O1470" i="49" s="1"/>
  <c r="N1535" i="49"/>
  <c r="O1535" i="49" s="1"/>
  <c r="N1474" i="49"/>
  <c r="O1474" i="49" s="1"/>
  <c r="N1714" i="49"/>
  <c r="O1714" i="49" s="1"/>
  <c r="N1677" i="49"/>
  <c r="O1677" i="49" s="1"/>
  <c r="N1730" i="49"/>
  <c r="O1730" i="49" s="1"/>
  <c r="N1704" i="49"/>
  <c r="O1704" i="49" s="1"/>
  <c r="N1552" i="49"/>
  <c r="O1552" i="49" s="1"/>
  <c r="N1608" i="49"/>
  <c r="O1608" i="49" s="1"/>
  <c r="N1672" i="49"/>
  <c r="O1672" i="49" s="1"/>
  <c r="N1548" i="49"/>
  <c r="O1548" i="49" s="1"/>
  <c r="N1587" i="49"/>
  <c r="O1587" i="49" s="1"/>
  <c r="N1572" i="49"/>
  <c r="O1572" i="49" s="1"/>
  <c r="N1575" i="49"/>
  <c r="O1575" i="49" s="1"/>
  <c r="N1520" i="49"/>
  <c r="O1520" i="49" s="1"/>
  <c r="N1530" i="49"/>
  <c r="O1530" i="49" s="1"/>
  <c r="N1623" i="49"/>
  <c r="O1623" i="49" s="1"/>
  <c r="N1539" i="49"/>
  <c r="O1539" i="49" s="1"/>
  <c r="N1676" i="49"/>
  <c r="O1676" i="49" s="1"/>
  <c r="N1729" i="49"/>
  <c r="O1729" i="49" s="1"/>
  <c r="N1567" i="49"/>
  <c r="O1567" i="49" s="1"/>
  <c r="N1634" i="49"/>
  <c r="O1634" i="49" s="1"/>
  <c r="N1614" i="49"/>
  <c r="O1614" i="49" s="1"/>
  <c r="N1668" i="49"/>
  <c r="O1668" i="49" s="1"/>
  <c r="N1476" i="49"/>
  <c r="O1476" i="49" s="1"/>
  <c r="N1712" i="49"/>
  <c r="O1712" i="49" s="1"/>
  <c r="N1477" i="49"/>
  <c r="O1477" i="49" s="1"/>
  <c r="N1578" i="49"/>
  <c r="O1578" i="49" s="1"/>
  <c r="N1626" i="49"/>
  <c r="O1626" i="49" s="1"/>
  <c r="N1725" i="49"/>
  <c r="O1725" i="49" s="1"/>
  <c r="N1503" i="49"/>
  <c r="O1503" i="49" s="1"/>
  <c r="N1510" i="49"/>
  <c r="O1510" i="49" s="1"/>
  <c r="N1615" i="49"/>
  <c r="O1615" i="49" s="1"/>
  <c r="N1464" i="49"/>
  <c r="O1464" i="49" s="1"/>
  <c r="N1527" i="49"/>
  <c r="O1527" i="49" s="1"/>
  <c r="N1525" i="49"/>
  <c r="O1525" i="49" s="1"/>
  <c r="N1531" i="49"/>
  <c r="O1531" i="49" s="1"/>
  <c r="N1664" i="49"/>
  <c r="O1664" i="49" s="1"/>
  <c r="N1467" i="49"/>
  <c r="O1467" i="49" s="1"/>
  <c r="N1640" i="49"/>
  <c r="O1640" i="49" s="1"/>
  <c r="N1675" i="49"/>
  <c r="O1675" i="49" s="1"/>
  <c r="N1460" i="49"/>
  <c r="O1460" i="49" s="1"/>
  <c r="N1635" i="49"/>
  <c r="O1635" i="49" s="1"/>
  <c r="N1661" i="49"/>
  <c r="O1661" i="49" s="1"/>
  <c r="N1466" i="49"/>
  <c r="O1466" i="49" s="1"/>
  <c r="N1597" i="49"/>
  <c r="O1597" i="49" s="1"/>
  <c r="N1602" i="49"/>
  <c r="O1602" i="49" s="1"/>
  <c r="N1579" i="49"/>
  <c r="O1579" i="49" s="1"/>
  <c r="N1455" i="49"/>
  <c r="O1455" i="49" s="1"/>
  <c r="N1497" i="49"/>
  <c r="O1497" i="49" s="1"/>
  <c r="N1561" i="49"/>
  <c r="O1561" i="49" s="1"/>
  <c r="N1624" i="49"/>
  <c r="O1624" i="49" s="1"/>
  <c r="N1693" i="49"/>
  <c r="O1693" i="49" s="1"/>
  <c r="N1618" i="49"/>
  <c r="O1618" i="49" s="1"/>
  <c r="N1641" i="49"/>
  <c r="O1641" i="49" s="1"/>
  <c r="N1490" i="49"/>
  <c r="O1490" i="49" s="1"/>
  <c r="N1488" i="49"/>
  <c r="O1488" i="49" s="1"/>
  <c r="N1461" i="49"/>
  <c r="O1461" i="49" s="1"/>
  <c r="N1619" i="49"/>
  <c r="O1619" i="49" s="1"/>
  <c r="N1663" i="49"/>
  <c r="O1663" i="49" s="1"/>
  <c r="N1707" i="49"/>
  <c r="O1707" i="49" s="1"/>
  <c r="N1479" i="49"/>
  <c r="O1479" i="49" s="1"/>
  <c r="N1532" i="49"/>
  <c r="O1532" i="49" s="1"/>
  <c r="N1734" i="49"/>
  <c r="O1734" i="49" s="1"/>
  <c r="N1522" i="49"/>
  <c r="O1522" i="49" s="1"/>
  <c r="N1733" i="49"/>
  <c r="O1733" i="49" s="1"/>
  <c r="N1560" i="49"/>
  <c r="O1560" i="49" s="1"/>
  <c r="N1696" i="49"/>
  <c r="O1696" i="49" s="1"/>
  <c r="N1723" i="49"/>
  <c r="O1723" i="49" s="1"/>
  <c r="N1601" i="49"/>
  <c r="O1601" i="49" s="1"/>
  <c r="N1452" i="49"/>
  <c r="O1452" i="49" s="1"/>
  <c r="N1577" i="49"/>
  <c r="O1577" i="49" s="1"/>
  <c r="N1674" i="49"/>
  <c r="O1674" i="49" s="1"/>
  <c r="N1469" i="49"/>
  <c r="O1469" i="49" s="1"/>
  <c r="N1643" i="49"/>
  <c r="O1643" i="49" s="1"/>
  <c r="N1558" i="49"/>
  <c r="O1558" i="49" s="1"/>
  <c r="N1732" i="49"/>
  <c r="O1732" i="49" s="1"/>
  <c r="N1586" i="49"/>
  <c r="O1586" i="49" s="1"/>
  <c r="N1487" i="49"/>
  <c r="O1487" i="49" s="1"/>
  <c r="N1669" i="49"/>
  <c r="O1669" i="49" s="1"/>
  <c r="N1713" i="49"/>
  <c r="O1713" i="49" s="1"/>
  <c r="N1706" i="49"/>
  <c r="O1706" i="49" s="1"/>
  <c r="N1521" i="49"/>
  <c r="O1521" i="49" s="1"/>
  <c r="N1454" i="49"/>
  <c r="O1454" i="49" s="1"/>
  <c r="N1719" i="49"/>
  <c r="O1719" i="49" s="1"/>
  <c r="N1515" i="49"/>
  <c r="O1515" i="49" s="1"/>
  <c r="N1555" i="49"/>
  <c r="O1555" i="49" s="1"/>
  <c r="N1699" i="49"/>
  <c r="O1699" i="49" s="1"/>
  <c r="N1463" i="49"/>
  <c r="O1463" i="49" s="1"/>
  <c r="N1593" i="49"/>
  <c r="O1593" i="49" s="1"/>
  <c r="N1475" i="49"/>
  <c r="O1475" i="49" s="1"/>
  <c r="N1617" i="49"/>
  <c r="O1617" i="49" s="1"/>
  <c r="N1541" i="49"/>
  <c r="O1541" i="49" s="1"/>
  <c r="N1458" i="49"/>
  <c r="O1458" i="49" s="1"/>
  <c r="N1716" i="49"/>
  <c r="O1716" i="49" s="1"/>
  <c r="N1606" i="49"/>
  <c r="O1606" i="49" s="1"/>
  <c r="N1504" i="49"/>
  <c r="O1504" i="49" s="1"/>
  <c r="N1580" i="49"/>
  <c r="O1580" i="49" s="1"/>
  <c r="N1633" i="49"/>
  <c r="O1633" i="49" s="1"/>
  <c r="N1509" i="49"/>
  <c r="O1509" i="49" s="1"/>
  <c r="N1553" i="49"/>
  <c r="O1553" i="49" s="1"/>
  <c r="N1738" i="49"/>
  <c r="O1738" i="49" s="1"/>
  <c r="N1715" i="49"/>
  <c r="O1715" i="49" s="1"/>
  <c r="N1637" i="49"/>
  <c r="O1637" i="49" s="1"/>
  <c r="N1670" i="49"/>
  <c r="O1670" i="49" s="1"/>
  <c r="N1625" i="49"/>
  <c r="O1625" i="49" s="1"/>
  <c r="N1538" i="49"/>
  <c r="O1538" i="49" s="1"/>
  <c r="N1682" i="49"/>
  <c r="O1682" i="49" s="1"/>
  <c r="N1529" i="49"/>
  <c r="O1529" i="49" s="1"/>
  <c r="N1728" i="49"/>
  <c r="O1728" i="49" s="1"/>
  <c r="N1710" i="49"/>
  <c r="O1710" i="49" s="1"/>
  <c r="N1655" i="49"/>
  <c r="O1655" i="49" s="1"/>
  <c r="N1472" i="49"/>
  <c r="O1472" i="49" s="1"/>
  <c r="N1616" i="49"/>
  <c r="O1616" i="49" s="1"/>
  <c r="N1662" i="49"/>
  <c r="O1662" i="49" s="1"/>
  <c r="N1462" i="49"/>
  <c r="O1462" i="49" s="1"/>
  <c r="N1546" i="49"/>
  <c r="O1546" i="49" s="1"/>
  <c r="N1502" i="49"/>
  <c r="O1502" i="49" s="1"/>
  <c r="N1568" i="49"/>
  <c r="O1568" i="49" s="1"/>
  <c r="N1647" i="49"/>
  <c r="O1647" i="49" s="1"/>
  <c r="N1698" i="49"/>
  <c r="O1698" i="49" s="1"/>
  <c r="N1731" i="49"/>
  <c r="O1731" i="49" s="1"/>
  <c r="N1603" i="49"/>
  <c r="O1603" i="49" s="1"/>
  <c r="N1517" i="49"/>
  <c r="O1517" i="49" s="1"/>
  <c r="N1627" i="49"/>
  <c r="O1627" i="49" s="1"/>
  <c r="N1665" i="49"/>
  <c r="O1665" i="49" s="1"/>
  <c r="N1482" i="49"/>
  <c r="O1482" i="49" s="1"/>
  <c r="N1471" i="49"/>
  <c r="O1471" i="49" s="1"/>
  <c r="N1727" i="49"/>
  <c r="O1727" i="49" s="1"/>
  <c r="N1613" i="49"/>
  <c r="O1613" i="49" s="1"/>
  <c r="N1514" i="49"/>
  <c r="O1514" i="49" s="1"/>
  <c r="N1481" i="49"/>
  <c r="O1481" i="49" s="1"/>
  <c r="N1666" i="49"/>
  <c r="O1666" i="49" s="1"/>
  <c r="N1584" i="49"/>
  <c r="O1584" i="49" s="1"/>
  <c r="N1736" i="49"/>
  <c r="O1736" i="49" s="1"/>
  <c r="N1590" i="49"/>
  <c r="O1590" i="49" s="1"/>
  <c r="N1551" i="49"/>
  <c r="O1551" i="49" s="1"/>
  <c r="N1703" i="49"/>
  <c r="O1703" i="49" s="1"/>
  <c r="N1473" i="49"/>
  <c r="O1473" i="49" s="1"/>
  <c r="N1681" i="49"/>
  <c r="O1681" i="49" s="1"/>
  <c r="N1621" i="49"/>
  <c r="O1621" i="49" s="1"/>
  <c r="N1600" i="49"/>
  <c r="O1600" i="49" s="1"/>
  <c r="N1556" i="49"/>
  <c r="O1556" i="49" s="1"/>
  <c r="N1483" i="49"/>
  <c r="O1483" i="49" s="1"/>
  <c r="N1594" i="49"/>
  <c r="O1594" i="49" s="1"/>
  <c r="N1642" i="49"/>
  <c r="O1642" i="49" s="1"/>
  <c r="N1543" i="49"/>
  <c r="O1543" i="49" s="1"/>
  <c r="N1451" i="49"/>
  <c r="O1451" i="49" s="1"/>
  <c r="N1667" i="49"/>
  <c r="O1667" i="49" s="1"/>
  <c r="N1495" i="49"/>
  <c r="O1495" i="49" s="1"/>
  <c r="N1511" i="49"/>
  <c r="O1511" i="49" s="1"/>
  <c r="N1691" i="49"/>
  <c r="O1691" i="49" s="1"/>
  <c r="N1583" i="49"/>
  <c r="O1583" i="49" s="1"/>
  <c r="N1505" i="49"/>
  <c r="O1505" i="49" s="1"/>
  <c r="N1582" i="49"/>
  <c r="O1582" i="49" s="1"/>
  <c r="N1485" i="49"/>
  <c r="O1485" i="49" s="1"/>
  <c r="N1636" i="49"/>
  <c r="O1636" i="49" s="1"/>
  <c r="N1701" i="49"/>
  <c r="O1701" i="49" s="1"/>
  <c r="N1685" i="49"/>
  <c r="O1685" i="49" s="1"/>
  <c r="N1620" i="49"/>
  <c r="O1620" i="49" s="1"/>
  <c r="N1678" i="49"/>
  <c r="O1678" i="49" s="1"/>
  <c r="N1684" i="49"/>
  <c r="O1684" i="49" s="1"/>
  <c r="N1610" i="49"/>
  <c r="O1610" i="49" s="1"/>
  <c r="N1576" i="49"/>
  <c r="O1576" i="49" s="1"/>
  <c r="N1650" i="49"/>
  <c r="O1650" i="49" s="1"/>
  <c r="N1631" i="49"/>
  <c r="O1631" i="49" s="1"/>
  <c r="N1468" i="49"/>
  <c r="O1468" i="49" s="1"/>
  <c r="N1694" i="49"/>
  <c r="O1694" i="49" s="1"/>
  <c r="N1589" i="49"/>
  <c r="O1589" i="49" s="1"/>
  <c r="N1692" i="49"/>
  <c r="O1692" i="49" s="1"/>
  <c r="N1453" i="49"/>
  <c r="O1453" i="49" s="1"/>
  <c r="N1573" i="49"/>
  <c r="O1573" i="49" s="1"/>
  <c r="N1686" i="49"/>
  <c r="O1686" i="49" s="1"/>
  <c r="N1592" i="49"/>
  <c r="O1592" i="49" s="1"/>
  <c r="N1494" i="49"/>
  <c r="O1494" i="49" s="1"/>
  <c r="N1660" i="49"/>
  <c r="O1660" i="49" s="1"/>
  <c r="N1549" i="49"/>
  <c r="O1549" i="49" s="1"/>
  <c r="N1533" i="49"/>
  <c r="O1533" i="49" s="1"/>
  <c r="N1500" i="49"/>
  <c r="O1500" i="49" s="1"/>
  <c r="N1649" i="49"/>
  <c r="O1649" i="49" s="1"/>
  <c r="N1559" i="49"/>
  <c r="O1559" i="49" s="1"/>
  <c r="N1557" i="49"/>
  <c r="O1557" i="49" s="1"/>
  <c r="N1673" i="49"/>
  <c r="O1673" i="49" s="1"/>
  <c r="N1562" i="49"/>
  <c r="O1562" i="49" s="1"/>
  <c r="N1498" i="49"/>
  <c r="O1498" i="49" s="1"/>
  <c r="N1526" i="49"/>
  <c r="O1526" i="49" s="1"/>
  <c r="N1689" i="49"/>
  <c r="O1689" i="49" s="1"/>
  <c r="N1519" i="49"/>
  <c r="O1519" i="49" s="1"/>
  <c r="N1711" i="49"/>
  <c r="O1711" i="49" s="1"/>
  <c r="N1585" i="49"/>
  <c r="O1585" i="49" s="1"/>
  <c r="N1588" i="49"/>
  <c r="O1588" i="49" s="1"/>
  <c r="N1480" i="49"/>
  <c r="O1480" i="49" s="1"/>
  <c r="N1550" i="49"/>
  <c r="O1550" i="49" s="1"/>
  <c r="N1683" i="49"/>
  <c r="O1683" i="49" s="1"/>
  <c r="N1688" i="49"/>
  <c r="O1688" i="49" s="1"/>
  <c r="N1484" i="49"/>
  <c r="O1484" i="49" s="1"/>
  <c r="N1628" i="49"/>
  <c r="O1628" i="49" s="1"/>
  <c r="N1659" i="49"/>
  <c r="O1659" i="49" s="1"/>
  <c r="N1598" i="49"/>
  <c r="O1598" i="49" s="1"/>
  <c r="N1735" i="49"/>
  <c r="O1735" i="49" s="1"/>
  <c r="N1717" i="49"/>
  <c r="O1717" i="49" s="1"/>
  <c r="N1656" i="49"/>
  <c r="O1656" i="49" s="1"/>
  <c r="N1540" i="49"/>
  <c r="O1540" i="49" s="1"/>
  <c r="N1638" i="49"/>
  <c r="O1638" i="49" s="1"/>
  <c r="N1512" i="49"/>
  <c r="O1512" i="49" s="1"/>
  <c r="N1622" i="49"/>
  <c r="O1622" i="49" s="1"/>
  <c r="N1697" i="49"/>
  <c r="O1697" i="49" s="1"/>
  <c r="N1653" i="49"/>
  <c r="O1653" i="49" s="1"/>
  <c r="N1534" i="49"/>
  <c r="O1534" i="49" s="1"/>
  <c r="N1513" i="49"/>
  <c r="O1513" i="49" s="1"/>
  <c r="N1695" i="49"/>
  <c r="O1695" i="49" s="1"/>
  <c r="N1609" i="49"/>
  <c r="O1609" i="49" s="1"/>
  <c r="N1612" i="49"/>
  <c r="O1612" i="49" s="1"/>
  <c r="N1544" i="49"/>
  <c r="O1544" i="49" s="1"/>
  <c r="N1478" i="49"/>
  <c r="O1478" i="49" s="1"/>
  <c r="N1700" i="49"/>
  <c r="O1700" i="49" s="1"/>
  <c r="N1679" i="49"/>
  <c r="O1679" i="49" s="1"/>
  <c r="N1604" i="49"/>
  <c r="O1604" i="49" s="1"/>
  <c r="N1566" i="49"/>
  <c r="O1566" i="49" s="1"/>
  <c r="N1571" i="49"/>
  <c r="O1571" i="49" s="1"/>
  <c r="N1702" i="49"/>
  <c r="O1702" i="49" s="1"/>
  <c r="N1671" i="49"/>
  <c r="O1671" i="49" s="1"/>
  <c r="N1489" i="49"/>
  <c r="O1489" i="49" s="1"/>
  <c r="N1536" i="49"/>
  <c r="O1536" i="49" s="1"/>
  <c r="N1456" i="49"/>
  <c r="O1456" i="49" s="1"/>
  <c r="N1630" i="49"/>
  <c r="O1630" i="49" s="1"/>
  <c r="N1690" i="49"/>
  <c r="O1690" i="49" s="1"/>
  <c r="N1737" i="49"/>
  <c r="O1737" i="49" s="1"/>
  <c r="N1658" i="49"/>
  <c r="O1658" i="49" s="1"/>
  <c r="N1486" i="49"/>
  <c r="O1486" i="49" s="1"/>
  <c r="N1516" i="49"/>
  <c r="O1516" i="49" s="1"/>
  <c r="N1563" i="49"/>
  <c r="O1563" i="49" s="1"/>
  <c r="N1492" i="49"/>
  <c r="O1492" i="49" s="1"/>
  <c r="N1457" i="49"/>
  <c r="O1457" i="49" s="1"/>
  <c r="N76" i="16"/>
  <c r="N77" i="16" s="1"/>
  <c r="I67" i="24"/>
  <c r="I68" i="24" s="1"/>
  <c r="J67" i="49"/>
  <c r="Q67" i="49"/>
  <c r="E67" i="50"/>
  <c r="G67" i="50" s="1"/>
  <c r="H67" i="50" s="1"/>
  <c r="N67" i="28"/>
  <c r="N68" i="28" s="1"/>
  <c r="L86" i="30"/>
  <c r="P50" i="19"/>
  <c r="P52" i="19"/>
  <c r="N50" i="16"/>
  <c r="N52" i="16"/>
  <c r="O50" i="22"/>
  <c r="O52" i="22"/>
  <c r="N138" i="14"/>
  <c r="C48" i="1"/>
  <c r="I48" i="1" s="1"/>
  <c r="V18" i="39"/>
  <c r="C20" i="4"/>
  <c r="J15" i="3"/>
  <c r="G15" i="32" s="1"/>
  <c r="G15" i="38" s="1"/>
  <c r="F15" i="32"/>
  <c r="N3229" i="49"/>
  <c r="O3229" i="49" s="1"/>
  <c r="N3237" i="49"/>
  <c r="O3237" i="49" s="1"/>
  <c r="N3344" i="49"/>
  <c r="O3344" i="49" s="1"/>
  <c r="N3447" i="49"/>
  <c r="O3447" i="49" s="1"/>
  <c r="N3347" i="49"/>
  <c r="O3347" i="49" s="1"/>
  <c r="N3364" i="49"/>
  <c r="O3364" i="49" s="1"/>
  <c r="N3325" i="49"/>
  <c r="O3325" i="49" s="1"/>
  <c r="N3327" i="49"/>
  <c r="O3327" i="49" s="1"/>
  <c r="N3310" i="49"/>
  <c r="O3310" i="49" s="1"/>
  <c r="N3269" i="49"/>
  <c r="O3269" i="49" s="1"/>
  <c r="N3341" i="49"/>
  <c r="O3341" i="49" s="1"/>
  <c r="N3271" i="49"/>
  <c r="O3271" i="49" s="1"/>
  <c r="N3272" i="49"/>
  <c r="O3272" i="49" s="1"/>
  <c r="N3471" i="49"/>
  <c r="O3471" i="49" s="1"/>
  <c r="N3356" i="49"/>
  <c r="O3356" i="49" s="1"/>
  <c r="N3460" i="49"/>
  <c r="O3460" i="49" s="1"/>
  <c r="N3395" i="49"/>
  <c r="O3395" i="49" s="1"/>
  <c r="N3278" i="49"/>
  <c r="O3278" i="49" s="1"/>
  <c r="N3335" i="49"/>
  <c r="O3335" i="49" s="1"/>
  <c r="N3184" i="49"/>
  <c r="O3184" i="49" s="1"/>
  <c r="N3446" i="49"/>
  <c r="O3446" i="49" s="1"/>
  <c r="N3203" i="49"/>
  <c r="O3203" i="49" s="1"/>
  <c r="N3469" i="49"/>
  <c r="O3469" i="49" s="1"/>
  <c r="N3400" i="49"/>
  <c r="O3400" i="49" s="1"/>
  <c r="N3340" i="49"/>
  <c r="O3340" i="49" s="1"/>
  <c r="N3462" i="49"/>
  <c r="O3462" i="49" s="1"/>
  <c r="N3407" i="49"/>
  <c r="O3407" i="49" s="1"/>
  <c r="N3354" i="49"/>
  <c r="O3354" i="49" s="1"/>
  <c r="N3448" i="49"/>
  <c r="O3448" i="49" s="1"/>
  <c r="N3312" i="49"/>
  <c r="O3312" i="49" s="1"/>
  <c r="N3450" i="49"/>
  <c r="O3450" i="49" s="1"/>
  <c r="N3316" i="49"/>
  <c r="O3316" i="49" s="1"/>
  <c r="N3438" i="49"/>
  <c r="O3438" i="49" s="1"/>
  <c r="N3285" i="49"/>
  <c r="O3285" i="49" s="1"/>
  <c r="N3254" i="49"/>
  <c r="O3254" i="49" s="1"/>
  <c r="N3247" i="49"/>
  <c r="O3247" i="49" s="1"/>
  <c r="N3251" i="49"/>
  <c r="O3251" i="49" s="1"/>
  <c r="N3466" i="49"/>
  <c r="O3466" i="49" s="1"/>
  <c r="N3367" i="49"/>
  <c r="O3367" i="49" s="1"/>
  <c r="N3415" i="49"/>
  <c r="O3415" i="49" s="1"/>
  <c r="N3264" i="49"/>
  <c r="O3264" i="49" s="1"/>
  <c r="N3302" i="49"/>
  <c r="O3302" i="49" s="1"/>
  <c r="N3377" i="49"/>
  <c r="O3377" i="49" s="1"/>
  <c r="N3360" i="49"/>
  <c r="O3360" i="49" s="1"/>
  <c r="N3320" i="49"/>
  <c r="O3320" i="49" s="1"/>
  <c r="N3187" i="49"/>
  <c r="O3187" i="49" s="1"/>
  <c r="N3189" i="49"/>
  <c r="O3189" i="49" s="1"/>
  <c r="N3318" i="49"/>
  <c r="O3318" i="49" s="1"/>
  <c r="N3287" i="49"/>
  <c r="O3287" i="49" s="1"/>
  <c r="N3273" i="49"/>
  <c r="O3273" i="49" s="1"/>
  <c r="N3208" i="49"/>
  <c r="O3208" i="49" s="1"/>
  <c r="N3300" i="49"/>
  <c r="O3300" i="49" s="1"/>
  <c r="N3385" i="49"/>
  <c r="O3385" i="49" s="1"/>
  <c r="N3238" i="49"/>
  <c r="O3238" i="49" s="1"/>
  <c r="N3291" i="49"/>
  <c r="O3291" i="49" s="1"/>
  <c r="N3317" i="49"/>
  <c r="O3317" i="49" s="1"/>
  <c r="N3375" i="49"/>
  <c r="O3375" i="49" s="1"/>
  <c r="N3378" i="49"/>
  <c r="O3378" i="49" s="1"/>
  <c r="N3185" i="49"/>
  <c r="O3185" i="49" s="1"/>
  <c r="N3409" i="49"/>
  <c r="O3409" i="49" s="1"/>
  <c r="N3334" i="49"/>
  <c r="O3334" i="49" s="1"/>
  <c r="N3468" i="49"/>
  <c r="O3468" i="49" s="1"/>
  <c r="N3353" i="49"/>
  <c r="O3353" i="49" s="1"/>
  <c r="N3342" i="49"/>
  <c r="O3342" i="49" s="1"/>
  <c r="N3373" i="49"/>
  <c r="O3373" i="49" s="1"/>
  <c r="N3401" i="49"/>
  <c r="O3401" i="49" s="1"/>
  <c r="N3274" i="49"/>
  <c r="O3274" i="49" s="1"/>
  <c r="N3404" i="49"/>
  <c r="O3404" i="49" s="1"/>
  <c r="N3240" i="49"/>
  <c r="O3240" i="49" s="1"/>
  <c r="N3293" i="49"/>
  <c r="O3293" i="49" s="1"/>
  <c r="N3219" i="49"/>
  <c r="O3219" i="49" s="1"/>
  <c r="N3275" i="49"/>
  <c r="O3275" i="49" s="1"/>
  <c r="N3348" i="49"/>
  <c r="O3348" i="49" s="1"/>
  <c r="N3255" i="49"/>
  <c r="O3255" i="49" s="1"/>
  <c r="N3457" i="49"/>
  <c r="O3457" i="49" s="1"/>
  <c r="N3444" i="49"/>
  <c r="O3444" i="49" s="1"/>
  <c r="N3190" i="49"/>
  <c r="O3190" i="49" s="1"/>
  <c r="N3270" i="49"/>
  <c r="O3270" i="49" s="1"/>
  <c r="N3193" i="49"/>
  <c r="O3193" i="49" s="1"/>
  <c r="N3399" i="49"/>
  <c r="O3399" i="49" s="1"/>
  <c r="N3268" i="49"/>
  <c r="O3268" i="49" s="1"/>
  <c r="N3329" i="49"/>
  <c r="O3329" i="49" s="1"/>
  <c r="N3408" i="49"/>
  <c r="O3408" i="49" s="1"/>
  <c r="N3332" i="49"/>
  <c r="O3332" i="49" s="1"/>
  <c r="N3257" i="49"/>
  <c r="O3257" i="49" s="1"/>
  <c r="N3328" i="49"/>
  <c r="O3328" i="49" s="1"/>
  <c r="N3311" i="49"/>
  <c r="O3311" i="49" s="1"/>
  <c r="N3339" i="49"/>
  <c r="O3339" i="49" s="1"/>
  <c r="N3307" i="49"/>
  <c r="O3307" i="49" s="1"/>
  <c r="N3233" i="49"/>
  <c r="O3233" i="49" s="1"/>
  <c r="N3201" i="49"/>
  <c r="O3201" i="49" s="1"/>
  <c r="N3223" i="49"/>
  <c r="O3223" i="49" s="1"/>
  <c r="N3209" i="49"/>
  <c r="O3209" i="49" s="1"/>
  <c r="N3239" i="49"/>
  <c r="O3239" i="49" s="1"/>
  <c r="N3368" i="49"/>
  <c r="O3368" i="49" s="1"/>
  <c r="N3452" i="49"/>
  <c r="O3452" i="49" s="1"/>
  <c r="N3253" i="49"/>
  <c r="O3253" i="49" s="1"/>
  <c r="N3199" i="49"/>
  <c r="O3199" i="49" s="1"/>
  <c r="N3436" i="49"/>
  <c r="O3436" i="49" s="1"/>
  <c r="N3230" i="49"/>
  <c r="O3230" i="49" s="1"/>
  <c r="N3371" i="49"/>
  <c r="O3371" i="49" s="1"/>
  <c r="N3445" i="49"/>
  <c r="O3445" i="49" s="1"/>
  <c r="N3410" i="49"/>
  <c r="O3410" i="49" s="1"/>
  <c r="N3361" i="49"/>
  <c r="O3361" i="49" s="1"/>
  <c r="N3234" i="49"/>
  <c r="O3234" i="49" s="1"/>
  <c r="N3186" i="49"/>
  <c r="O3186" i="49" s="1"/>
  <c r="N3258" i="49"/>
  <c r="O3258" i="49" s="1"/>
  <c r="N3427" i="49"/>
  <c r="O3427" i="49" s="1"/>
  <c r="N3250" i="49"/>
  <c r="O3250" i="49" s="1"/>
  <c r="N3472" i="49"/>
  <c r="O3472" i="49" s="1"/>
  <c r="N3464" i="49"/>
  <c r="O3464" i="49" s="1"/>
  <c r="N3295" i="49"/>
  <c r="O3295" i="49" s="1"/>
  <c r="N3343" i="49"/>
  <c r="O3343" i="49" s="1"/>
  <c r="N3420" i="49"/>
  <c r="O3420" i="49" s="1"/>
  <c r="N3439" i="49"/>
  <c r="O3439" i="49" s="1"/>
  <c r="N3303" i="49"/>
  <c r="O3303" i="49" s="1"/>
  <c r="N3421" i="49"/>
  <c r="O3421" i="49" s="1"/>
  <c r="N3228" i="49"/>
  <c r="O3228" i="49" s="1"/>
  <c r="N3434" i="49"/>
  <c r="O3434" i="49" s="1"/>
  <c r="N3422" i="49"/>
  <c r="O3422" i="49" s="1"/>
  <c r="N3405" i="49"/>
  <c r="O3405" i="49" s="1"/>
  <c r="N3381" i="49"/>
  <c r="O3381" i="49" s="1"/>
  <c r="N3259" i="49"/>
  <c r="O3259" i="49" s="1"/>
  <c r="N3261" i="49"/>
  <c r="O3261" i="49" s="1"/>
  <c r="N3232" i="49"/>
  <c r="O3232" i="49" s="1"/>
  <c r="N3443" i="49"/>
  <c r="O3443" i="49" s="1"/>
  <c r="N3276" i="49"/>
  <c r="O3276" i="49" s="1"/>
  <c r="N3423" i="49"/>
  <c r="O3423" i="49" s="1"/>
  <c r="N3282" i="49"/>
  <c r="O3282" i="49" s="1"/>
  <c r="N3363" i="49"/>
  <c r="O3363" i="49" s="1"/>
  <c r="N3284" i="49"/>
  <c r="O3284" i="49" s="1"/>
  <c r="N3267" i="49"/>
  <c r="O3267" i="49" s="1"/>
  <c r="N3429" i="49"/>
  <c r="O3429" i="49" s="1"/>
  <c r="N3191" i="49"/>
  <c r="O3191" i="49" s="1"/>
  <c r="N3262" i="49"/>
  <c r="O3262" i="49" s="1"/>
  <c r="N3338" i="49"/>
  <c r="O3338" i="49" s="1"/>
  <c r="N3382" i="49"/>
  <c r="O3382" i="49" s="1"/>
  <c r="N3380" i="49"/>
  <c r="O3380" i="49" s="1"/>
  <c r="N3197" i="49"/>
  <c r="O3197" i="49" s="1"/>
  <c r="N3206" i="49"/>
  <c r="O3206" i="49" s="1"/>
  <c r="N3384" i="49"/>
  <c r="O3384" i="49" s="1"/>
  <c r="N3428" i="49"/>
  <c r="O3428" i="49" s="1"/>
  <c r="N3266" i="49"/>
  <c r="O3266" i="49" s="1"/>
  <c r="N3394" i="49"/>
  <c r="O3394" i="49" s="1"/>
  <c r="N3313" i="49"/>
  <c r="O3313" i="49" s="1"/>
  <c r="N3389" i="49"/>
  <c r="O3389" i="49" s="1"/>
  <c r="N3331" i="49"/>
  <c r="O3331" i="49" s="1"/>
  <c r="N3470" i="49"/>
  <c r="O3470" i="49" s="1"/>
  <c r="N3465" i="49"/>
  <c r="O3465" i="49" s="1"/>
  <c r="N3431" i="49"/>
  <c r="O3431" i="49" s="1"/>
  <c r="N3467" i="49"/>
  <c r="O3467" i="49" s="1"/>
  <c r="N3440" i="49"/>
  <c r="O3440" i="49" s="1"/>
  <c r="N3433" i="49"/>
  <c r="O3433" i="49" s="1"/>
  <c r="N3299" i="49"/>
  <c r="O3299" i="49" s="1"/>
  <c r="N3346" i="49"/>
  <c r="O3346" i="49" s="1"/>
  <c r="N3461" i="49"/>
  <c r="O3461" i="49" s="1"/>
  <c r="N3205" i="49"/>
  <c r="O3205" i="49" s="1"/>
  <c r="N3196" i="49"/>
  <c r="O3196" i="49" s="1"/>
  <c r="N3324" i="49"/>
  <c r="O3324" i="49" s="1"/>
  <c r="N3435" i="49"/>
  <c r="O3435" i="49" s="1"/>
  <c r="N3198" i="49"/>
  <c r="O3198" i="49" s="1"/>
  <c r="N3194" i="49"/>
  <c r="O3194" i="49" s="1"/>
  <c r="N3449" i="49"/>
  <c r="O3449" i="49" s="1"/>
  <c r="N3216" i="49"/>
  <c r="O3216" i="49" s="1"/>
  <c r="N3321" i="49"/>
  <c r="O3321" i="49" s="1"/>
  <c r="N3376" i="49"/>
  <c r="O3376" i="49" s="1"/>
  <c r="N3286" i="49"/>
  <c r="O3286" i="49" s="1"/>
  <c r="N3393" i="49"/>
  <c r="O3393" i="49" s="1"/>
  <c r="N3279" i="49"/>
  <c r="O3279" i="49" s="1"/>
  <c r="N3322" i="49"/>
  <c r="O3322" i="49" s="1"/>
  <c r="N3256" i="49"/>
  <c r="O3256" i="49" s="1"/>
  <c r="N3403" i="49"/>
  <c r="O3403" i="49" s="1"/>
  <c r="N3418" i="49"/>
  <c r="O3418" i="49" s="1"/>
  <c r="N3192" i="49"/>
  <c r="O3192" i="49" s="1"/>
  <c r="N3195" i="49"/>
  <c r="O3195" i="49" s="1"/>
  <c r="N3359" i="49"/>
  <c r="O3359" i="49" s="1"/>
  <c r="N3244" i="49"/>
  <c r="O3244" i="49" s="1"/>
  <c r="N3442" i="49"/>
  <c r="O3442" i="49" s="1"/>
  <c r="N3357" i="49"/>
  <c r="O3357" i="49" s="1"/>
  <c r="N3451" i="49"/>
  <c r="O3451" i="49" s="1"/>
  <c r="N3294" i="49"/>
  <c r="O3294" i="49" s="1"/>
  <c r="N3437" i="49"/>
  <c r="O3437" i="49" s="1"/>
  <c r="N3424" i="49"/>
  <c r="O3424" i="49" s="1"/>
  <c r="N3227" i="49"/>
  <c r="O3227" i="49" s="1"/>
  <c r="N3200" i="49"/>
  <c r="O3200" i="49" s="1"/>
  <c r="N3222" i="49"/>
  <c r="O3222" i="49" s="1"/>
  <c r="N3366" i="49"/>
  <c r="O3366" i="49" s="1"/>
  <c r="N3369" i="49"/>
  <c r="O3369" i="49" s="1"/>
  <c r="N3362" i="49"/>
  <c r="O3362" i="49" s="1"/>
  <c r="N3333" i="49"/>
  <c r="O3333" i="49" s="1"/>
  <c r="N3231" i="49"/>
  <c r="O3231" i="49" s="1"/>
  <c r="N3226" i="49"/>
  <c r="O3226" i="49" s="1"/>
  <c r="N3406" i="49"/>
  <c r="O3406" i="49" s="1"/>
  <c r="N3225" i="49"/>
  <c r="O3225" i="49" s="1"/>
  <c r="N3319" i="49"/>
  <c r="O3319" i="49" s="1"/>
  <c r="N3290" i="49"/>
  <c r="O3290" i="49" s="1"/>
  <c r="N3215" i="49"/>
  <c r="O3215" i="49" s="1"/>
  <c r="N3309" i="49"/>
  <c r="O3309" i="49" s="1"/>
  <c r="N3304" i="49"/>
  <c r="O3304" i="49" s="1"/>
  <c r="N3220" i="49"/>
  <c r="O3220" i="49" s="1"/>
  <c r="N3388" i="49"/>
  <c r="O3388" i="49" s="1"/>
  <c r="N3277" i="49"/>
  <c r="O3277" i="49" s="1"/>
  <c r="N3425" i="49"/>
  <c r="O3425" i="49" s="1"/>
  <c r="N3245" i="49"/>
  <c r="O3245" i="49" s="1"/>
  <c r="N3396" i="49"/>
  <c r="O3396" i="49" s="1"/>
  <c r="N3379" i="49"/>
  <c r="O3379" i="49" s="1"/>
  <c r="N3188" i="49"/>
  <c r="O3188" i="49" s="1"/>
  <c r="N3283" i="49"/>
  <c r="O3283" i="49" s="1"/>
  <c r="N3430" i="49"/>
  <c r="O3430" i="49" s="1"/>
  <c r="N3242" i="49"/>
  <c r="O3242" i="49" s="1"/>
  <c r="N3391" i="49"/>
  <c r="O3391" i="49" s="1"/>
  <c r="N3301" i="49"/>
  <c r="O3301" i="49" s="1"/>
  <c r="N3224" i="49"/>
  <c r="O3224" i="49" s="1"/>
  <c r="N3305" i="49"/>
  <c r="O3305" i="49" s="1"/>
  <c r="N3463" i="49"/>
  <c r="O3463" i="49" s="1"/>
  <c r="N3351" i="49"/>
  <c r="O3351" i="49" s="1"/>
  <c r="N3336" i="49"/>
  <c r="O3336" i="49" s="1"/>
  <c r="N3383" i="49"/>
  <c r="O3383" i="49" s="1"/>
  <c r="N3398" i="49"/>
  <c r="O3398" i="49" s="1"/>
  <c r="N3326" i="49"/>
  <c r="O3326" i="49" s="1"/>
  <c r="N3414" i="49"/>
  <c r="O3414" i="49" s="1"/>
  <c r="N3218" i="49"/>
  <c r="O3218" i="49" s="1"/>
  <c r="N3330" i="49"/>
  <c r="O3330" i="49" s="1"/>
  <c r="N3390" i="49"/>
  <c r="O3390" i="49" s="1"/>
  <c r="N3350" i="49"/>
  <c r="O3350" i="49" s="1"/>
  <c r="N3453" i="49"/>
  <c r="O3453" i="49" s="1"/>
  <c r="N3297" i="49"/>
  <c r="O3297" i="49" s="1"/>
  <c r="N3308" i="49"/>
  <c r="O3308" i="49" s="1"/>
  <c r="N3411" i="49"/>
  <c r="O3411" i="49" s="1"/>
  <c r="N3337" i="49"/>
  <c r="O3337" i="49" s="1"/>
  <c r="N3349" i="49"/>
  <c r="O3349" i="49" s="1"/>
  <c r="N3412" i="49"/>
  <c r="O3412" i="49" s="1"/>
  <c r="N3352" i="49"/>
  <c r="O3352" i="49" s="1"/>
  <c r="N3265" i="49"/>
  <c r="O3265" i="49" s="1"/>
  <c r="N3432" i="49"/>
  <c r="O3432" i="49" s="1"/>
  <c r="N3213" i="49"/>
  <c r="O3213" i="49" s="1"/>
  <c r="N3374" i="49"/>
  <c r="O3374" i="49" s="1"/>
  <c r="N3413" i="49"/>
  <c r="O3413" i="49" s="1"/>
  <c r="N3288" i="49"/>
  <c r="O3288" i="49" s="1"/>
  <c r="N3210" i="49"/>
  <c r="O3210" i="49" s="1"/>
  <c r="N3236" i="49"/>
  <c r="O3236" i="49" s="1"/>
  <c r="N3314" i="49"/>
  <c r="O3314" i="49" s="1"/>
  <c r="N3249" i="49"/>
  <c r="O3249" i="49" s="1"/>
  <c r="N3417" i="49"/>
  <c r="O3417" i="49" s="1"/>
  <c r="N3365" i="49"/>
  <c r="O3365" i="49" s="1"/>
  <c r="N3358" i="49"/>
  <c r="O3358" i="49" s="1"/>
  <c r="N3416" i="49"/>
  <c r="O3416" i="49" s="1"/>
  <c r="N3214" i="49"/>
  <c r="O3214" i="49" s="1"/>
  <c r="N3207" i="49"/>
  <c r="O3207" i="49" s="1"/>
  <c r="N3221" i="49"/>
  <c r="O3221" i="49" s="1"/>
  <c r="N3397" i="49"/>
  <c r="O3397" i="49" s="1"/>
  <c r="N3323" i="49"/>
  <c r="O3323" i="49" s="1"/>
  <c r="N3298" i="49"/>
  <c r="O3298" i="49" s="1"/>
  <c r="N3243" i="49"/>
  <c r="O3243" i="49" s="1"/>
  <c r="N3402" i="49"/>
  <c r="O3402" i="49" s="1"/>
  <c r="N3289" i="49"/>
  <c r="O3289" i="49" s="1"/>
  <c r="N3260" i="49"/>
  <c r="O3260" i="49" s="1"/>
  <c r="N3280" i="49"/>
  <c r="O3280" i="49" s="1"/>
  <c r="N3355" i="49"/>
  <c r="O3355" i="49" s="1"/>
  <c r="N3217" i="49"/>
  <c r="O3217" i="49" s="1"/>
  <c r="N3306" i="49"/>
  <c r="O3306" i="49" s="1"/>
  <c r="N3455" i="49"/>
  <c r="O3455" i="49" s="1"/>
  <c r="N3252" i="49"/>
  <c r="O3252" i="49" s="1"/>
  <c r="N3345" i="49"/>
  <c r="O3345" i="49" s="1"/>
  <c r="N3441" i="49"/>
  <c r="O3441" i="49" s="1"/>
  <c r="N3392" i="49"/>
  <c r="O3392" i="49" s="1"/>
  <c r="N3426" i="49"/>
  <c r="O3426" i="49" s="1"/>
  <c r="N3315" i="49"/>
  <c r="O3315" i="49" s="1"/>
  <c r="N3212" i="49"/>
  <c r="O3212" i="49" s="1"/>
  <c r="N3248" i="49"/>
  <c r="O3248" i="49" s="1"/>
  <c r="N3292" i="49"/>
  <c r="O3292" i="49" s="1"/>
  <c r="N3459" i="49"/>
  <c r="O3459" i="49" s="1"/>
  <c r="N3241" i="49"/>
  <c r="O3241" i="49" s="1"/>
  <c r="N3454" i="49"/>
  <c r="O3454" i="49" s="1"/>
  <c r="N3235" i="49"/>
  <c r="O3235" i="49" s="1"/>
  <c r="N3386" i="49"/>
  <c r="O3386" i="49" s="1"/>
  <c r="N3296" i="49"/>
  <c r="O3296" i="49" s="1"/>
  <c r="N3263" i="49"/>
  <c r="O3263" i="49" s="1"/>
  <c r="N3372" i="49"/>
  <c r="O3372" i="49" s="1"/>
  <c r="N3246" i="49"/>
  <c r="O3246" i="49" s="1"/>
  <c r="N3281" i="49"/>
  <c r="O3281" i="49" s="1"/>
  <c r="N3202" i="49"/>
  <c r="O3202" i="49" s="1"/>
  <c r="N3387" i="49"/>
  <c r="O3387" i="49" s="1"/>
  <c r="N3211" i="49"/>
  <c r="O3211" i="49" s="1"/>
  <c r="N3419" i="49"/>
  <c r="O3419" i="49" s="1"/>
  <c r="N3456" i="49"/>
  <c r="O3456" i="49" s="1"/>
  <c r="N3370" i="49"/>
  <c r="O3370" i="49" s="1"/>
  <c r="N3204" i="49"/>
  <c r="O3204" i="49" s="1"/>
  <c r="N3458" i="49"/>
  <c r="O3458" i="49" s="1"/>
  <c r="O76" i="28"/>
  <c r="O77" i="28" s="1"/>
  <c r="N86" i="22"/>
  <c r="L158" i="14"/>
  <c r="L159" i="14" s="1"/>
  <c r="L160" i="14" s="1"/>
  <c r="M129" i="14"/>
  <c r="M130" i="14" s="1"/>
  <c r="M128" i="14"/>
  <c r="M174" i="14"/>
  <c r="P62" i="13" s="1"/>
  <c r="O48" i="31" s="1"/>
  <c r="R86" i="20"/>
  <c r="C44" i="1"/>
  <c r="I44" i="1" s="1"/>
  <c r="V14" i="39"/>
  <c r="W14" i="39"/>
  <c r="N2060" i="49"/>
  <c r="O2060" i="49" s="1"/>
  <c r="N2253" i="49"/>
  <c r="O2253" i="49" s="1"/>
  <c r="F11" i="32"/>
  <c r="C16" i="4"/>
  <c r="J11" i="3"/>
  <c r="G11" i="32" s="1"/>
  <c r="G11" i="38" s="1"/>
  <c r="N2174" i="49"/>
  <c r="O2174" i="49" s="1"/>
  <c r="N2039" i="49"/>
  <c r="O2039" i="49" s="1"/>
  <c r="N2129" i="49"/>
  <c r="O2129" i="49" s="1"/>
  <c r="N2106" i="49"/>
  <c r="O2106" i="49" s="1"/>
  <c r="N2162" i="49"/>
  <c r="O2162" i="49" s="1"/>
  <c r="N2259" i="49"/>
  <c r="O2259" i="49" s="1"/>
  <c r="N2222" i="49"/>
  <c r="O2222" i="49" s="1"/>
  <c r="N2211" i="49"/>
  <c r="O2211" i="49" s="1"/>
  <c r="N2308" i="49"/>
  <c r="O2308" i="49" s="1"/>
  <c r="N2286" i="49"/>
  <c r="O2286" i="49" s="1"/>
  <c r="N2284" i="49"/>
  <c r="O2284" i="49" s="1"/>
  <c r="N2204" i="49"/>
  <c r="O2204" i="49" s="1"/>
  <c r="N2192" i="49"/>
  <c r="O2192" i="49" s="1"/>
  <c r="N2270" i="49"/>
  <c r="O2270" i="49" s="1"/>
  <c r="N2085" i="49"/>
  <c r="O2085" i="49" s="1"/>
  <c r="N2117" i="49"/>
  <c r="O2117" i="49" s="1"/>
  <c r="N2040" i="49"/>
  <c r="O2040" i="49" s="1"/>
  <c r="N2153" i="49"/>
  <c r="O2153" i="49" s="1"/>
  <c r="N2163" i="49"/>
  <c r="O2163" i="49" s="1"/>
  <c r="N2293" i="49"/>
  <c r="O2293" i="49" s="1"/>
  <c r="N2141" i="49"/>
  <c r="O2141" i="49" s="1"/>
  <c r="N2157" i="49"/>
  <c r="O2157" i="49" s="1"/>
  <c r="N2077" i="49"/>
  <c r="O2077" i="49" s="1"/>
  <c r="N2143" i="49"/>
  <c r="O2143" i="49" s="1"/>
  <c r="N2310" i="49"/>
  <c r="O2310" i="49" s="1"/>
  <c r="N2159" i="49"/>
  <c r="O2159" i="49" s="1"/>
  <c r="N2102" i="49"/>
  <c r="O2102" i="49" s="1"/>
  <c r="N2145" i="49"/>
  <c r="O2145" i="49" s="1"/>
  <c r="N2198" i="49"/>
  <c r="O2198" i="49" s="1"/>
  <c r="N2165" i="49"/>
  <c r="O2165" i="49" s="1"/>
  <c r="N2183" i="49"/>
  <c r="O2183" i="49" s="1"/>
  <c r="N2230" i="49"/>
  <c r="O2230" i="49" s="1"/>
  <c r="N2056" i="49"/>
  <c r="O2056" i="49" s="1"/>
  <c r="N2071" i="49"/>
  <c r="O2071" i="49" s="1"/>
  <c r="N2265" i="49"/>
  <c r="O2265" i="49" s="1"/>
  <c r="N2144" i="49"/>
  <c r="O2144" i="49" s="1"/>
  <c r="N2170" i="49"/>
  <c r="O2170" i="49" s="1"/>
  <c r="N2059" i="49"/>
  <c r="O2059" i="49" s="1"/>
  <c r="N2042" i="49"/>
  <c r="O2042" i="49" s="1"/>
  <c r="N2031" i="49"/>
  <c r="O2031" i="49" s="1"/>
  <c r="N2175" i="49"/>
  <c r="O2175" i="49" s="1"/>
  <c r="N2239" i="49"/>
  <c r="O2239" i="49" s="1"/>
  <c r="N2066" i="49"/>
  <c r="O2066" i="49" s="1"/>
  <c r="N2062" i="49"/>
  <c r="O2062" i="49" s="1"/>
  <c r="N2181" i="49"/>
  <c r="O2181" i="49" s="1"/>
  <c r="N2188" i="49"/>
  <c r="O2188" i="49" s="1"/>
  <c r="N2108" i="49"/>
  <c r="O2108" i="49" s="1"/>
  <c r="N2277" i="49"/>
  <c r="O2277" i="49" s="1"/>
  <c r="N2130" i="49"/>
  <c r="O2130" i="49" s="1"/>
  <c r="N2065" i="49"/>
  <c r="O2065" i="49" s="1"/>
  <c r="N2154" i="49"/>
  <c r="O2154" i="49" s="1"/>
  <c r="N2051" i="49"/>
  <c r="O2051" i="49" s="1"/>
  <c r="N2186" i="49"/>
  <c r="O2186" i="49" s="1"/>
  <c r="N2234" i="49"/>
  <c r="O2234" i="49" s="1"/>
  <c r="N2156" i="49"/>
  <c r="O2156" i="49" s="1"/>
  <c r="N2250" i="49"/>
  <c r="O2250" i="49" s="1"/>
  <c r="N2088" i="49"/>
  <c r="O2088" i="49" s="1"/>
  <c r="N2080" i="49"/>
  <c r="O2080" i="49" s="1"/>
  <c r="N2139" i="49"/>
  <c r="O2139" i="49" s="1"/>
  <c r="N2079" i="49"/>
  <c r="O2079" i="49" s="1"/>
  <c r="N2076" i="49"/>
  <c r="O2076" i="49" s="1"/>
  <c r="N2173" i="49"/>
  <c r="O2173" i="49" s="1"/>
  <c r="N2307" i="49"/>
  <c r="O2307" i="49" s="1"/>
  <c r="N2098" i="49"/>
  <c r="O2098" i="49" s="1"/>
  <c r="N2311" i="49"/>
  <c r="O2311" i="49" s="1"/>
  <c r="N2160" i="49"/>
  <c r="O2160" i="49" s="1"/>
  <c r="N2243" i="49"/>
  <c r="O2243" i="49" s="1"/>
  <c r="N2113" i="49"/>
  <c r="O2113" i="49" s="1"/>
  <c r="N2118" i="49"/>
  <c r="O2118" i="49" s="1"/>
  <c r="N2249" i="49"/>
  <c r="O2249" i="49" s="1"/>
  <c r="N2032" i="49"/>
  <c r="O2032" i="49" s="1"/>
  <c r="N2158" i="49"/>
  <c r="O2158" i="49" s="1"/>
  <c r="N2236" i="49"/>
  <c r="O2236" i="49" s="1"/>
  <c r="N2091" i="49"/>
  <c r="O2091" i="49" s="1"/>
  <c r="N2167" i="49"/>
  <c r="O2167" i="49" s="1"/>
  <c r="N2255" i="49"/>
  <c r="O2255" i="49" s="1"/>
  <c r="N2214" i="49"/>
  <c r="O2214" i="49" s="1"/>
  <c r="N2057" i="49"/>
  <c r="O2057" i="49" s="1"/>
  <c r="N2087" i="49"/>
  <c r="O2087" i="49" s="1"/>
  <c r="N2150" i="49"/>
  <c r="O2150" i="49" s="1"/>
  <c r="N2100" i="49"/>
  <c r="O2100" i="49" s="1"/>
  <c r="N2109" i="49"/>
  <c r="O2109" i="49" s="1"/>
  <c r="N2092" i="49"/>
  <c r="O2092" i="49" s="1"/>
  <c r="N2097" i="49"/>
  <c r="O2097" i="49" s="1"/>
  <c r="N2190" i="49"/>
  <c r="O2190" i="49" s="1"/>
  <c r="N2291" i="49"/>
  <c r="O2291" i="49" s="1"/>
  <c r="N2242" i="49"/>
  <c r="O2242" i="49" s="1"/>
  <c r="N2228" i="49"/>
  <c r="O2228" i="49" s="1"/>
  <c r="N2043" i="49"/>
  <c r="O2043" i="49" s="1"/>
  <c r="N2123" i="49"/>
  <c r="O2123" i="49" s="1"/>
  <c r="N2227" i="49"/>
  <c r="O2227" i="49" s="1"/>
  <c r="N2104" i="49"/>
  <c r="O2104" i="49" s="1"/>
  <c r="N2201" i="49"/>
  <c r="O2201" i="49" s="1"/>
  <c r="N2316" i="49"/>
  <c r="O2316" i="49" s="1"/>
  <c r="N2268" i="49"/>
  <c r="O2268" i="49" s="1"/>
  <c r="N2233" i="49"/>
  <c r="O2233" i="49" s="1"/>
  <c r="N2074" i="49"/>
  <c r="O2074" i="49" s="1"/>
  <c r="N2247" i="49"/>
  <c r="O2247" i="49" s="1"/>
  <c r="N2138" i="49"/>
  <c r="O2138" i="49" s="1"/>
  <c r="N2223" i="49"/>
  <c r="O2223" i="49" s="1"/>
  <c r="N2072" i="49"/>
  <c r="O2072" i="49" s="1"/>
  <c r="N2226" i="49"/>
  <c r="O2226" i="49" s="1"/>
  <c r="N2151" i="49"/>
  <c r="O2151" i="49" s="1"/>
  <c r="N2194" i="49"/>
  <c r="O2194" i="49" s="1"/>
  <c r="N2172" i="49"/>
  <c r="O2172" i="49" s="1"/>
  <c r="N2205" i="49"/>
  <c r="O2205" i="49" s="1"/>
  <c r="N2262" i="49"/>
  <c r="O2262" i="49" s="1"/>
  <c r="N2068" i="49"/>
  <c r="O2068" i="49" s="1"/>
  <c r="N2287" i="49"/>
  <c r="O2287" i="49" s="1"/>
  <c r="N2046" i="49"/>
  <c r="O2046" i="49" s="1"/>
  <c r="N2035" i="49"/>
  <c r="O2035" i="49" s="1"/>
  <c r="N2288" i="49"/>
  <c r="O2288" i="49" s="1"/>
  <c r="N2093" i="49"/>
  <c r="O2093" i="49" s="1"/>
  <c r="N2292" i="49"/>
  <c r="O2292" i="49" s="1"/>
  <c r="N2116" i="49"/>
  <c r="O2116" i="49" s="1"/>
  <c r="N2179" i="49"/>
  <c r="O2179" i="49" s="1"/>
  <c r="N2304" i="49"/>
  <c r="O2304" i="49" s="1"/>
  <c r="N2147" i="49"/>
  <c r="O2147" i="49" s="1"/>
  <c r="N2224" i="49"/>
  <c r="O2224" i="49" s="1"/>
  <c r="N2148" i="49"/>
  <c r="O2148" i="49" s="1"/>
  <c r="N2300" i="49"/>
  <c r="O2300" i="49" s="1"/>
  <c r="N2083" i="49"/>
  <c r="O2083" i="49" s="1"/>
  <c r="N2184" i="49"/>
  <c r="O2184" i="49" s="1"/>
  <c r="N2136" i="49"/>
  <c r="O2136" i="49" s="1"/>
  <c r="N2070" i="49"/>
  <c r="O2070" i="49" s="1"/>
  <c r="N2176" i="49"/>
  <c r="O2176" i="49" s="1"/>
  <c r="N2185" i="49"/>
  <c r="O2185" i="49" s="1"/>
  <c r="N2133" i="49"/>
  <c r="O2133" i="49" s="1"/>
  <c r="N2283" i="49"/>
  <c r="O2283" i="49" s="1"/>
  <c r="N2055" i="49"/>
  <c r="O2055" i="49" s="1"/>
  <c r="N2238" i="49"/>
  <c r="O2238" i="49" s="1"/>
  <c r="N2121" i="49"/>
  <c r="O2121" i="49" s="1"/>
  <c r="N2169" i="49"/>
  <c r="O2169" i="49" s="1"/>
  <c r="N2099" i="49"/>
  <c r="O2099" i="49" s="1"/>
  <c r="N2200" i="49"/>
  <c r="O2200" i="49" s="1"/>
  <c r="N2049" i="49"/>
  <c r="O2049" i="49" s="1"/>
  <c r="N2195" i="49"/>
  <c r="O2195" i="49" s="1"/>
  <c r="N2276" i="49"/>
  <c r="O2276" i="49" s="1"/>
  <c r="N2298" i="49"/>
  <c r="O2298" i="49" s="1"/>
  <c r="N2235" i="49"/>
  <c r="O2235" i="49" s="1"/>
  <c r="N2069" i="49"/>
  <c r="O2069" i="49" s="1"/>
  <c r="N2115" i="49"/>
  <c r="O2115" i="49" s="1"/>
  <c r="N2096" i="49"/>
  <c r="O2096" i="49" s="1"/>
  <c r="N2297" i="49"/>
  <c r="O2297" i="49" s="1"/>
  <c r="N2140" i="49"/>
  <c r="O2140" i="49" s="1"/>
  <c r="N2208" i="49"/>
  <c r="O2208" i="49" s="1"/>
  <c r="N2193" i="49"/>
  <c r="O2193" i="49" s="1"/>
  <c r="N2216" i="49"/>
  <c r="O2216" i="49" s="1"/>
  <c r="N2263" i="49"/>
  <c r="O2263" i="49" s="1"/>
  <c r="N2305" i="49"/>
  <c r="O2305" i="49" s="1"/>
  <c r="N2218" i="49"/>
  <c r="O2218" i="49" s="1"/>
  <c r="N2256" i="49"/>
  <c r="O2256" i="49" s="1"/>
  <c r="N2217" i="49"/>
  <c r="O2217" i="49" s="1"/>
  <c r="N2290" i="49"/>
  <c r="O2290" i="49" s="1"/>
  <c r="N2231" i="49"/>
  <c r="O2231" i="49" s="1"/>
  <c r="N2124" i="49"/>
  <c r="O2124" i="49" s="1"/>
  <c r="N2301" i="49"/>
  <c r="O2301" i="49" s="1"/>
  <c r="N2054" i="49"/>
  <c r="O2054" i="49" s="1"/>
  <c r="N2058" i="49"/>
  <c r="O2058" i="49" s="1"/>
  <c r="N2199" i="49"/>
  <c r="O2199" i="49" s="1"/>
  <c r="N2114" i="49"/>
  <c r="O2114" i="49" s="1"/>
  <c r="N2061" i="49"/>
  <c r="O2061" i="49" s="1"/>
  <c r="N2264" i="49"/>
  <c r="O2264" i="49" s="1"/>
  <c r="N2047" i="49"/>
  <c r="O2047" i="49" s="1"/>
  <c r="N2050" i="49"/>
  <c r="O2050" i="49" s="1"/>
  <c r="N2241" i="49"/>
  <c r="O2241" i="49" s="1"/>
  <c r="N2245" i="49"/>
  <c r="O2245" i="49" s="1"/>
  <c r="N2191" i="49"/>
  <c r="O2191" i="49" s="1"/>
  <c r="N2180" i="49"/>
  <c r="O2180" i="49" s="1"/>
  <c r="N2127" i="49"/>
  <c r="O2127" i="49" s="1"/>
  <c r="N2280" i="49"/>
  <c r="O2280" i="49" s="1"/>
  <c r="N2132" i="49"/>
  <c r="O2132" i="49" s="1"/>
  <c r="N2312" i="49"/>
  <c r="O2312" i="49" s="1"/>
  <c r="N2212" i="49"/>
  <c r="O2212" i="49" s="1"/>
  <c r="N2206" i="49"/>
  <c r="O2206" i="49" s="1"/>
  <c r="N2067" i="49"/>
  <c r="O2067" i="49" s="1"/>
  <c r="N2149" i="49"/>
  <c r="O2149" i="49" s="1"/>
  <c r="N2303" i="49"/>
  <c r="O2303" i="49" s="1"/>
  <c r="N2155" i="49"/>
  <c r="O2155" i="49" s="1"/>
  <c r="N2296" i="49"/>
  <c r="O2296" i="49" s="1"/>
  <c r="N2131" i="49"/>
  <c r="O2131" i="49" s="1"/>
  <c r="N2029" i="49"/>
  <c r="O2029" i="49" s="1"/>
  <c r="N2073" i="49"/>
  <c r="O2073" i="49" s="1"/>
  <c r="N2028" i="49"/>
  <c r="O2028" i="49" s="1"/>
  <c r="N2125" i="49"/>
  <c r="O2125" i="49" s="1"/>
  <c r="N2306" i="49"/>
  <c r="O2306" i="49" s="1"/>
  <c r="N2135" i="49"/>
  <c r="O2135" i="49" s="1"/>
  <c r="N2089" i="49"/>
  <c r="O2089" i="49" s="1"/>
  <c r="N2202" i="49"/>
  <c r="O2202" i="49" s="1"/>
  <c r="N2053" i="49"/>
  <c r="O2053" i="49" s="1"/>
  <c r="N2090" i="49"/>
  <c r="O2090" i="49" s="1"/>
  <c r="N2146" i="49"/>
  <c r="O2146" i="49" s="1"/>
  <c r="N2063" i="49"/>
  <c r="O2063" i="49" s="1"/>
  <c r="N2152" i="49"/>
  <c r="O2152" i="49" s="1"/>
  <c r="N2164" i="49"/>
  <c r="O2164" i="49" s="1"/>
  <c r="N2279" i="49"/>
  <c r="O2279" i="49" s="1"/>
  <c r="N2122" i="49"/>
  <c r="O2122" i="49" s="1"/>
  <c r="N2299" i="49"/>
  <c r="O2299" i="49" s="1"/>
  <c r="N2037" i="49"/>
  <c r="O2037" i="49" s="1"/>
  <c r="N2134" i="49"/>
  <c r="O2134" i="49" s="1"/>
  <c r="N2052" i="49"/>
  <c r="O2052" i="49" s="1"/>
  <c r="N2038" i="49"/>
  <c r="O2038" i="49" s="1"/>
  <c r="N2273" i="49"/>
  <c r="O2273" i="49" s="1"/>
  <c r="N2048" i="49"/>
  <c r="O2048" i="49" s="1"/>
  <c r="N2267" i="49"/>
  <c r="O2267" i="49" s="1"/>
  <c r="N2137" i="49"/>
  <c r="O2137" i="49" s="1"/>
  <c r="N2220" i="49"/>
  <c r="O2220" i="49" s="1"/>
  <c r="N2045" i="49"/>
  <c r="O2045" i="49" s="1"/>
  <c r="N2246" i="49"/>
  <c r="O2246" i="49" s="1"/>
  <c r="N2168" i="49"/>
  <c r="O2168" i="49" s="1"/>
  <c r="N2086" i="49"/>
  <c r="O2086" i="49" s="1"/>
  <c r="N2189" i="49"/>
  <c r="O2189" i="49" s="1"/>
  <c r="N2272" i="49"/>
  <c r="O2272" i="49" s="1"/>
  <c r="N2064" i="49"/>
  <c r="O2064" i="49" s="1"/>
  <c r="N2161" i="49"/>
  <c r="O2161" i="49" s="1"/>
  <c r="N2110" i="49"/>
  <c r="O2110" i="49" s="1"/>
  <c r="N2315" i="49"/>
  <c r="O2315" i="49" s="1"/>
  <c r="N2269" i="49"/>
  <c r="O2269" i="49" s="1"/>
  <c r="N2094" i="49"/>
  <c r="O2094" i="49" s="1"/>
  <c r="N2084" i="49"/>
  <c r="O2084" i="49" s="1"/>
  <c r="N2281" i="49"/>
  <c r="O2281" i="49" s="1"/>
  <c r="N2282" i="49"/>
  <c r="O2282" i="49" s="1"/>
  <c r="N2219" i="49"/>
  <c r="O2219" i="49" s="1"/>
  <c r="N2126" i="49"/>
  <c r="O2126" i="49" s="1"/>
  <c r="N2177" i="49"/>
  <c r="O2177" i="49" s="1"/>
  <c r="N2142" i="49"/>
  <c r="O2142" i="49" s="1"/>
  <c r="N2278" i="49"/>
  <c r="O2278" i="49" s="1"/>
  <c r="N2044" i="49"/>
  <c r="O2044" i="49" s="1"/>
  <c r="N2082" i="49"/>
  <c r="O2082" i="49" s="1"/>
  <c r="N2215" i="49"/>
  <c r="O2215" i="49" s="1"/>
  <c r="N2030" i="49"/>
  <c r="O2030" i="49" s="1"/>
  <c r="N2240" i="49"/>
  <c r="O2240" i="49" s="1"/>
  <c r="N2081" i="49"/>
  <c r="O2081" i="49" s="1"/>
  <c r="N2260" i="49"/>
  <c r="O2260" i="49" s="1"/>
  <c r="N2041" i="49"/>
  <c r="O2041" i="49" s="1"/>
  <c r="N2274" i="49"/>
  <c r="O2274" i="49" s="1"/>
  <c r="N2075" i="49"/>
  <c r="O2075" i="49" s="1"/>
  <c r="N2119" i="49"/>
  <c r="O2119" i="49" s="1"/>
  <c r="N2105" i="49"/>
  <c r="O2105" i="49" s="1"/>
  <c r="N2254" i="49"/>
  <c r="O2254" i="49" s="1"/>
  <c r="N2213" i="49"/>
  <c r="O2213" i="49" s="1"/>
  <c r="N2314" i="49"/>
  <c r="O2314" i="49" s="1"/>
  <c r="N2275" i="49"/>
  <c r="O2275" i="49" s="1"/>
  <c r="N2225" i="49"/>
  <c r="O2225" i="49" s="1"/>
  <c r="N2244" i="49"/>
  <c r="O2244" i="49" s="1"/>
  <c r="N2101" i="49"/>
  <c r="O2101" i="49" s="1"/>
  <c r="N2258" i="49"/>
  <c r="O2258" i="49" s="1"/>
  <c r="N2221" i="49"/>
  <c r="O2221" i="49" s="1"/>
  <c r="N2111" i="49"/>
  <c r="O2111" i="49" s="1"/>
  <c r="N2289" i="49"/>
  <c r="O2289" i="49" s="1"/>
  <c r="N2285" i="49"/>
  <c r="O2285" i="49" s="1"/>
  <c r="N2209" i="49"/>
  <c r="O2209" i="49" s="1"/>
  <c r="N2313" i="49"/>
  <c r="O2313" i="49" s="1"/>
  <c r="N2257" i="49"/>
  <c r="O2257" i="49" s="1"/>
  <c r="N2295" i="49"/>
  <c r="O2295" i="49" s="1"/>
  <c r="N2120" i="49"/>
  <c r="O2120" i="49" s="1"/>
  <c r="N2178" i="49"/>
  <c r="O2178" i="49" s="1"/>
  <c r="N2294" i="49"/>
  <c r="O2294" i="49" s="1"/>
  <c r="N2128" i="49"/>
  <c r="O2128" i="49" s="1"/>
  <c r="N2271" i="49"/>
  <c r="O2271" i="49" s="1"/>
  <c r="N2248" i="49"/>
  <c r="O2248" i="49" s="1"/>
  <c r="N2036" i="49"/>
  <c r="O2036" i="49" s="1"/>
  <c r="N2266" i="49"/>
  <c r="O2266" i="49" s="1"/>
  <c r="N2112" i="49"/>
  <c r="O2112" i="49" s="1"/>
  <c r="N2107" i="49"/>
  <c r="O2107" i="49" s="1"/>
  <c r="N2166" i="49"/>
  <c r="O2166" i="49" s="1"/>
  <c r="N2207" i="49"/>
  <c r="O2207" i="49" s="1"/>
  <c r="N2095" i="49"/>
  <c r="O2095" i="49" s="1"/>
  <c r="N2103" i="49"/>
  <c r="O2103" i="49" s="1"/>
  <c r="N2187" i="49"/>
  <c r="O2187" i="49" s="1"/>
  <c r="N2171" i="49"/>
  <c r="O2171" i="49" s="1"/>
  <c r="N2237" i="49"/>
  <c r="O2237" i="49" s="1"/>
  <c r="N2033" i="49"/>
  <c r="O2033" i="49" s="1"/>
  <c r="N2197" i="49"/>
  <c r="O2197" i="49" s="1"/>
  <c r="N2302" i="49"/>
  <c r="O2302" i="49" s="1"/>
  <c r="N2252" i="49"/>
  <c r="O2252" i="49" s="1"/>
  <c r="N2232" i="49"/>
  <c r="O2232" i="49" s="1"/>
  <c r="N2309" i="49"/>
  <c r="O2309" i="49" s="1"/>
  <c r="N2078" i="49"/>
  <c r="O2078" i="49" s="1"/>
  <c r="N2261" i="49"/>
  <c r="O2261" i="49" s="1"/>
  <c r="N2196" i="49"/>
  <c r="O2196" i="49" s="1"/>
  <c r="N2182" i="49"/>
  <c r="O2182" i="49" s="1"/>
  <c r="N2229" i="49"/>
  <c r="O2229" i="49" s="1"/>
  <c r="N2210" i="49"/>
  <c r="O2210" i="49" s="1"/>
  <c r="N2034" i="49"/>
  <c r="O2034" i="49" s="1"/>
  <c r="N2251" i="49"/>
  <c r="O2251" i="49" s="1"/>
  <c r="N2203" i="49"/>
  <c r="O2203" i="49" s="1"/>
  <c r="M67" i="27"/>
  <c r="M68" i="27" s="1"/>
  <c r="N54" i="31"/>
  <c r="N56" i="31" s="1"/>
  <c r="J50" i="20"/>
  <c r="J52" i="20"/>
  <c r="R67" i="20"/>
  <c r="R68" i="20" s="1"/>
  <c r="N56" i="22"/>
  <c r="E16" i="52"/>
  <c r="E26" i="52"/>
  <c r="H64" i="49"/>
  <c r="H70" i="49"/>
  <c r="H67" i="8"/>
  <c r="H68" i="8" s="1"/>
  <c r="M50" i="30"/>
  <c r="M52" i="30"/>
  <c r="H104" i="14"/>
  <c r="K55" i="13" s="1"/>
  <c r="J48" i="24" s="1"/>
  <c r="L67" i="30"/>
  <c r="L68" i="30" s="1"/>
  <c r="R54" i="24"/>
  <c r="R56" i="24" s="1"/>
  <c r="M28" i="14"/>
  <c r="M29" i="14"/>
  <c r="M30" i="14" s="1"/>
  <c r="I86" i="24"/>
  <c r="F14" i="52"/>
  <c r="H79" i="49"/>
  <c r="I54" i="8"/>
  <c r="J69" i="49"/>
  <c r="Q69" i="49" s="1"/>
  <c r="E69" i="50"/>
  <c r="G69" i="50" s="1"/>
  <c r="H69" i="50" s="1"/>
  <c r="N86" i="28"/>
  <c r="C46" i="1"/>
  <c r="I46" i="1" s="1"/>
  <c r="V16" i="39"/>
  <c r="W16" i="39"/>
  <c r="C18" i="4"/>
  <c r="F13" i="32"/>
  <c r="J13" i="3"/>
  <c r="G13" i="32" s="1"/>
  <c r="G13" i="38" s="1"/>
  <c r="N2692" i="49"/>
  <c r="O2692" i="49" s="1"/>
  <c r="N2723" i="49"/>
  <c r="O2723" i="49" s="1"/>
  <c r="N2642" i="49"/>
  <c r="O2642" i="49" s="1"/>
  <c r="N2877" i="49"/>
  <c r="O2877" i="49" s="1"/>
  <c r="N2728" i="49"/>
  <c r="O2728" i="49" s="1"/>
  <c r="N2847" i="49"/>
  <c r="O2847" i="49" s="1"/>
  <c r="N2656" i="49"/>
  <c r="O2656" i="49" s="1"/>
  <c r="N2614" i="49"/>
  <c r="O2614" i="49" s="1"/>
  <c r="N2785" i="49"/>
  <c r="O2785" i="49" s="1"/>
  <c r="N2885" i="49"/>
  <c r="O2885" i="49" s="1"/>
  <c r="N2731" i="49"/>
  <c r="O2731" i="49" s="1"/>
  <c r="N2773" i="49"/>
  <c r="O2773" i="49" s="1"/>
  <c r="N2789" i="49"/>
  <c r="O2789" i="49" s="1"/>
  <c r="N2829" i="49"/>
  <c r="O2829" i="49" s="1"/>
  <c r="N2786" i="49"/>
  <c r="O2786" i="49" s="1"/>
  <c r="N2772" i="49"/>
  <c r="O2772" i="49" s="1"/>
  <c r="N2606" i="49"/>
  <c r="O2606" i="49" s="1"/>
  <c r="N2618" i="49"/>
  <c r="O2618" i="49" s="1"/>
  <c r="N2868" i="49"/>
  <c r="O2868" i="49" s="1"/>
  <c r="N2649" i="49"/>
  <c r="O2649" i="49" s="1"/>
  <c r="N2621" i="49"/>
  <c r="O2621" i="49" s="1"/>
  <c r="N2638" i="49"/>
  <c r="O2638" i="49" s="1"/>
  <c r="N2628" i="49"/>
  <c r="O2628" i="49" s="1"/>
  <c r="N2740" i="49"/>
  <c r="O2740" i="49" s="1"/>
  <c r="N2654" i="49"/>
  <c r="O2654" i="49" s="1"/>
  <c r="N2624" i="49"/>
  <c r="O2624" i="49" s="1"/>
  <c r="N2837" i="49"/>
  <c r="O2837" i="49" s="1"/>
  <c r="N2887" i="49"/>
  <c r="O2887" i="49" s="1"/>
  <c r="N2866" i="49"/>
  <c r="O2866" i="49" s="1"/>
  <c r="N2627" i="49"/>
  <c r="O2627" i="49" s="1"/>
  <c r="N2892" i="49"/>
  <c r="O2892" i="49" s="1"/>
  <c r="N2890" i="49"/>
  <c r="O2890" i="49" s="1"/>
  <c r="N2752" i="49"/>
  <c r="O2752" i="49" s="1"/>
  <c r="N2632" i="49"/>
  <c r="O2632" i="49" s="1"/>
  <c r="N2806" i="49"/>
  <c r="O2806" i="49" s="1"/>
  <c r="N2718" i="49"/>
  <c r="O2718" i="49" s="1"/>
  <c r="N2650" i="49"/>
  <c r="O2650" i="49" s="1"/>
  <c r="N2626" i="49"/>
  <c r="O2626" i="49" s="1"/>
  <c r="N2891" i="49"/>
  <c r="O2891" i="49" s="1"/>
  <c r="N2661" i="49"/>
  <c r="O2661" i="49" s="1"/>
  <c r="N2787" i="49"/>
  <c r="O2787" i="49" s="1"/>
  <c r="N2623" i="49"/>
  <c r="O2623" i="49" s="1"/>
  <c r="N2658" i="49"/>
  <c r="O2658" i="49" s="1"/>
  <c r="N2893" i="49"/>
  <c r="O2893" i="49" s="1"/>
  <c r="N2820" i="49"/>
  <c r="O2820" i="49" s="1"/>
  <c r="N2792" i="49"/>
  <c r="O2792" i="49" s="1"/>
  <c r="N2729" i="49"/>
  <c r="O2729" i="49" s="1"/>
  <c r="N2797" i="49"/>
  <c r="O2797" i="49" s="1"/>
  <c r="N2714" i="49"/>
  <c r="O2714" i="49" s="1"/>
  <c r="N2659" i="49"/>
  <c r="O2659" i="49" s="1"/>
  <c r="N2793" i="49"/>
  <c r="O2793" i="49" s="1"/>
  <c r="N2648" i="49"/>
  <c r="O2648" i="49" s="1"/>
  <c r="N2617" i="49"/>
  <c r="O2617" i="49" s="1"/>
  <c r="N2717" i="49"/>
  <c r="O2717" i="49" s="1"/>
  <c r="N2805" i="49"/>
  <c r="O2805" i="49" s="1"/>
  <c r="N2843" i="49"/>
  <c r="O2843" i="49" s="1"/>
  <c r="N2780" i="49"/>
  <c r="O2780" i="49" s="1"/>
  <c r="N2688" i="49"/>
  <c r="O2688" i="49" s="1"/>
  <c r="N2821" i="49"/>
  <c r="O2821" i="49" s="1"/>
  <c r="N2666" i="49"/>
  <c r="O2666" i="49" s="1"/>
  <c r="N2657" i="49"/>
  <c r="O2657" i="49" s="1"/>
  <c r="N2867" i="49"/>
  <c r="O2867" i="49" s="1"/>
  <c r="N2630" i="49"/>
  <c r="O2630" i="49" s="1"/>
  <c r="N2686" i="49"/>
  <c r="O2686" i="49" s="1"/>
  <c r="N2812" i="49"/>
  <c r="O2812" i="49" s="1"/>
  <c r="N2711" i="49"/>
  <c r="O2711" i="49" s="1"/>
  <c r="N2706" i="49"/>
  <c r="O2706" i="49" s="1"/>
  <c r="N2858" i="49"/>
  <c r="O2858" i="49" s="1"/>
  <c r="N2862" i="49"/>
  <c r="O2862" i="49" s="1"/>
  <c r="N2872" i="49"/>
  <c r="O2872" i="49" s="1"/>
  <c r="N2815" i="49"/>
  <c r="O2815" i="49" s="1"/>
  <c r="N2746" i="49"/>
  <c r="O2746" i="49" s="1"/>
  <c r="N2794" i="49"/>
  <c r="O2794" i="49" s="1"/>
  <c r="N2616" i="49"/>
  <c r="O2616" i="49" s="1"/>
  <c r="N2619" i="49"/>
  <c r="O2619" i="49" s="1"/>
  <c r="N2811" i="49"/>
  <c r="O2811" i="49" s="1"/>
  <c r="N2886" i="49"/>
  <c r="O2886" i="49" s="1"/>
  <c r="N2721" i="49"/>
  <c r="O2721" i="49" s="1"/>
  <c r="N2645" i="49"/>
  <c r="O2645" i="49" s="1"/>
  <c r="N2698" i="49"/>
  <c r="O2698" i="49" s="1"/>
  <c r="N2612" i="49"/>
  <c r="O2612" i="49" s="1"/>
  <c r="N2725" i="49"/>
  <c r="O2725" i="49" s="1"/>
  <c r="N2742" i="49"/>
  <c r="O2742" i="49" s="1"/>
  <c r="N2883" i="49"/>
  <c r="O2883" i="49" s="1"/>
  <c r="N2674" i="49"/>
  <c r="O2674" i="49" s="1"/>
  <c r="N2647" i="49"/>
  <c r="O2647" i="49" s="1"/>
  <c r="N2813" i="49"/>
  <c r="O2813" i="49" s="1"/>
  <c r="N2676" i="49"/>
  <c r="O2676" i="49" s="1"/>
  <c r="N2809" i="49"/>
  <c r="O2809" i="49" s="1"/>
  <c r="N2783" i="49"/>
  <c r="O2783" i="49" s="1"/>
  <c r="N2880" i="49"/>
  <c r="O2880" i="49" s="1"/>
  <c r="N2833" i="49"/>
  <c r="O2833" i="49" s="1"/>
  <c r="N2856" i="49"/>
  <c r="O2856" i="49" s="1"/>
  <c r="N2745" i="49"/>
  <c r="O2745" i="49" s="1"/>
  <c r="N2784" i="49"/>
  <c r="O2784" i="49" s="1"/>
  <c r="N2819" i="49"/>
  <c r="O2819" i="49" s="1"/>
  <c r="N2758" i="49"/>
  <c r="O2758" i="49" s="1"/>
  <c r="N2697" i="49"/>
  <c r="O2697" i="49" s="1"/>
  <c r="N2870" i="49"/>
  <c r="O2870" i="49" s="1"/>
  <c r="N2791" i="49"/>
  <c r="O2791" i="49" s="1"/>
  <c r="N2727" i="49"/>
  <c r="O2727" i="49" s="1"/>
  <c r="N2691" i="49"/>
  <c r="O2691" i="49" s="1"/>
  <c r="N2750" i="49"/>
  <c r="O2750" i="49" s="1"/>
  <c r="N2848" i="49"/>
  <c r="O2848" i="49" s="1"/>
  <c r="N2839" i="49"/>
  <c r="O2839" i="49" s="1"/>
  <c r="N2849" i="49"/>
  <c r="O2849" i="49" s="1"/>
  <c r="N2802" i="49"/>
  <c r="O2802" i="49" s="1"/>
  <c r="N2664" i="49"/>
  <c r="O2664" i="49" s="1"/>
  <c r="N2831" i="49"/>
  <c r="O2831" i="49" s="1"/>
  <c r="N2769" i="49"/>
  <c r="O2769" i="49" s="1"/>
  <c r="N2782" i="49"/>
  <c r="O2782" i="49" s="1"/>
  <c r="N2853" i="49"/>
  <c r="O2853" i="49" s="1"/>
  <c r="N2743" i="49"/>
  <c r="O2743" i="49" s="1"/>
  <c r="N2694" i="49"/>
  <c r="O2694" i="49" s="1"/>
  <c r="N2894" i="49"/>
  <c r="O2894" i="49" s="1"/>
  <c r="N2625" i="49"/>
  <c r="O2625" i="49" s="1"/>
  <c r="N2824" i="49"/>
  <c r="O2824" i="49" s="1"/>
  <c r="N2790" i="49"/>
  <c r="O2790" i="49" s="1"/>
  <c r="N2660" i="49"/>
  <c r="O2660" i="49" s="1"/>
  <c r="N2889" i="49"/>
  <c r="O2889" i="49" s="1"/>
  <c r="N2641" i="49"/>
  <c r="O2641" i="49" s="1"/>
  <c r="N2852" i="49"/>
  <c r="O2852" i="49" s="1"/>
  <c r="N2863" i="49"/>
  <c r="O2863" i="49" s="1"/>
  <c r="N2646" i="49"/>
  <c r="O2646" i="49" s="1"/>
  <c r="N2753" i="49"/>
  <c r="O2753" i="49" s="1"/>
  <c r="N2814" i="49"/>
  <c r="O2814" i="49" s="1"/>
  <c r="N2730" i="49"/>
  <c r="O2730" i="49" s="1"/>
  <c r="N2751" i="49"/>
  <c r="O2751" i="49" s="1"/>
  <c r="N2644" i="49"/>
  <c r="O2644" i="49" s="1"/>
  <c r="N2869" i="49"/>
  <c r="O2869" i="49" s="1"/>
  <c r="N2607" i="49"/>
  <c r="O2607" i="49" s="1"/>
  <c r="N2850" i="49"/>
  <c r="O2850" i="49" s="1"/>
  <c r="N2665" i="49"/>
  <c r="O2665" i="49" s="1"/>
  <c r="N2884" i="49"/>
  <c r="O2884" i="49" s="1"/>
  <c r="N2722" i="49"/>
  <c r="O2722" i="49" s="1"/>
  <c r="N2652" i="49"/>
  <c r="O2652" i="49" s="1"/>
  <c r="N2739" i="49"/>
  <c r="O2739" i="49" s="1"/>
  <c r="N2699" i="49"/>
  <c r="O2699" i="49" s="1"/>
  <c r="N2685" i="49"/>
  <c r="O2685" i="49" s="1"/>
  <c r="N2736" i="49"/>
  <c r="O2736" i="49" s="1"/>
  <c r="N2767" i="49"/>
  <c r="O2767" i="49" s="1"/>
  <c r="N2682" i="49"/>
  <c r="O2682" i="49" s="1"/>
  <c r="N2804" i="49"/>
  <c r="O2804" i="49" s="1"/>
  <c r="N2798" i="49"/>
  <c r="O2798" i="49" s="1"/>
  <c r="N2620" i="49"/>
  <c r="O2620" i="49" s="1"/>
  <c r="N2629" i="49"/>
  <c r="O2629" i="49" s="1"/>
  <c r="N2796" i="49"/>
  <c r="O2796" i="49" s="1"/>
  <c r="N2816" i="49"/>
  <c r="O2816" i="49" s="1"/>
  <c r="N2799" i="49"/>
  <c r="O2799" i="49" s="1"/>
  <c r="N2834" i="49"/>
  <c r="O2834" i="49" s="1"/>
  <c r="N2701" i="49"/>
  <c r="O2701" i="49" s="1"/>
  <c r="N2760" i="49"/>
  <c r="O2760" i="49" s="1"/>
  <c r="N2854" i="49"/>
  <c r="O2854" i="49" s="1"/>
  <c r="N2672" i="49"/>
  <c r="O2672" i="49" s="1"/>
  <c r="N2673" i="49"/>
  <c r="O2673" i="49" s="1"/>
  <c r="N2781" i="49"/>
  <c r="O2781" i="49" s="1"/>
  <c r="N2707" i="49"/>
  <c r="O2707" i="49" s="1"/>
  <c r="N2749" i="49"/>
  <c r="O2749" i="49" s="1"/>
  <c r="N2610" i="49"/>
  <c r="O2610" i="49" s="1"/>
  <c r="N2637" i="49"/>
  <c r="O2637" i="49" s="1"/>
  <c r="N2738" i="49"/>
  <c r="O2738" i="49" s="1"/>
  <c r="N2761" i="49"/>
  <c r="O2761" i="49" s="1"/>
  <c r="N2763" i="49"/>
  <c r="O2763" i="49" s="1"/>
  <c r="N2669" i="49"/>
  <c r="O2669" i="49" s="1"/>
  <c r="N2879" i="49"/>
  <c r="O2879" i="49" s="1"/>
  <c r="N2859" i="49"/>
  <c r="O2859" i="49" s="1"/>
  <c r="N2765" i="49"/>
  <c r="O2765" i="49" s="1"/>
  <c r="N2663" i="49"/>
  <c r="O2663" i="49" s="1"/>
  <c r="N2655" i="49"/>
  <c r="O2655" i="49" s="1"/>
  <c r="N2818" i="49"/>
  <c r="O2818" i="49" s="1"/>
  <c r="N2873" i="49"/>
  <c r="O2873" i="49" s="1"/>
  <c r="N2845" i="49"/>
  <c r="O2845" i="49" s="1"/>
  <c r="N2690" i="49"/>
  <c r="O2690" i="49" s="1"/>
  <c r="N2719" i="49"/>
  <c r="O2719" i="49" s="1"/>
  <c r="N2633" i="49"/>
  <c r="O2633" i="49" s="1"/>
  <c r="N2726" i="49"/>
  <c r="O2726" i="49" s="1"/>
  <c r="N2693" i="49"/>
  <c r="O2693" i="49" s="1"/>
  <c r="N2828" i="49"/>
  <c r="O2828" i="49" s="1"/>
  <c r="N2822" i="49"/>
  <c r="O2822" i="49" s="1"/>
  <c r="N2888" i="49"/>
  <c r="O2888" i="49" s="1"/>
  <c r="N2705" i="49"/>
  <c r="O2705" i="49" s="1"/>
  <c r="N2615" i="49"/>
  <c r="O2615" i="49" s="1"/>
  <c r="N2846" i="49"/>
  <c r="O2846" i="49" s="1"/>
  <c r="N2840" i="49"/>
  <c r="O2840" i="49" s="1"/>
  <c r="N2671" i="49"/>
  <c r="O2671" i="49" s="1"/>
  <c r="N2827" i="49"/>
  <c r="O2827" i="49" s="1"/>
  <c r="N2871" i="49"/>
  <c r="O2871" i="49" s="1"/>
  <c r="N2687" i="49"/>
  <c r="O2687" i="49" s="1"/>
  <c r="N2759" i="49"/>
  <c r="O2759" i="49" s="1"/>
  <c r="N2634" i="49"/>
  <c r="O2634" i="49" s="1"/>
  <c r="N2861" i="49"/>
  <c r="O2861" i="49" s="1"/>
  <c r="N2800" i="49"/>
  <c r="O2800" i="49" s="1"/>
  <c r="N2675" i="49"/>
  <c r="O2675" i="49" s="1"/>
  <c r="N2748" i="49"/>
  <c r="O2748" i="49" s="1"/>
  <c r="N2635" i="49"/>
  <c r="O2635" i="49" s="1"/>
  <c r="N2667" i="49"/>
  <c r="O2667" i="49" s="1"/>
  <c r="N2684" i="49"/>
  <c r="O2684" i="49" s="1"/>
  <c r="N2609" i="49"/>
  <c r="O2609" i="49" s="1"/>
  <c r="N2876" i="49"/>
  <c r="O2876" i="49" s="1"/>
  <c r="N2613" i="49"/>
  <c r="O2613" i="49" s="1"/>
  <c r="N2844" i="49"/>
  <c r="O2844" i="49" s="1"/>
  <c r="N2680" i="49"/>
  <c r="O2680" i="49" s="1"/>
  <c r="N2653" i="49"/>
  <c r="O2653" i="49" s="1"/>
  <c r="N2777" i="49"/>
  <c r="O2777" i="49" s="1"/>
  <c r="N2801" i="49"/>
  <c r="O2801" i="49" s="1"/>
  <c r="N2810" i="49"/>
  <c r="O2810" i="49" s="1"/>
  <c r="N2734" i="49"/>
  <c r="O2734" i="49" s="1"/>
  <c r="N2643" i="49"/>
  <c r="O2643" i="49" s="1"/>
  <c r="N2639" i="49"/>
  <c r="O2639" i="49" s="1"/>
  <c r="N2608" i="49"/>
  <c r="O2608" i="49" s="1"/>
  <c r="N2832" i="49"/>
  <c r="O2832" i="49" s="1"/>
  <c r="N2807" i="49"/>
  <c r="O2807" i="49" s="1"/>
  <c r="N2835" i="49"/>
  <c r="O2835" i="49" s="1"/>
  <c r="N2808" i="49"/>
  <c r="O2808" i="49" s="1"/>
  <c r="N2702" i="49"/>
  <c r="O2702" i="49" s="1"/>
  <c r="N2708" i="49"/>
  <c r="O2708" i="49" s="1"/>
  <c r="N2864" i="49"/>
  <c r="O2864" i="49" s="1"/>
  <c r="N2677" i="49"/>
  <c r="O2677" i="49" s="1"/>
  <c r="N2755" i="49"/>
  <c r="O2755" i="49" s="1"/>
  <c r="N2881" i="49"/>
  <c r="O2881" i="49" s="1"/>
  <c r="N2636" i="49"/>
  <c r="O2636" i="49" s="1"/>
  <c r="N2683" i="49"/>
  <c r="O2683" i="49" s="1"/>
  <c r="N2830" i="49"/>
  <c r="O2830" i="49" s="1"/>
  <c r="N2703" i="49"/>
  <c r="O2703" i="49" s="1"/>
  <c r="N2776" i="49"/>
  <c r="O2776" i="49" s="1"/>
  <c r="N2732" i="49"/>
  <c r="O2732" i="49" s="1"/>
  <c r="N2696" i="49"/>
  <c r="O2696" i="49" s="1"/>
  <c r="N2679" i="49"/>
  <c r="O2679" i="49" s="1"/>
  <c r="N2756" i="49"/>
  <c r="O2756" i="49" s="1"/>
  <c r="N2611" i="49"/>
  <c r="O2611" i="49" s="1"/>
  <c r="N2622" i="49"/>
  <c r="O2622" i="49" s="1"/>
  <c r="N2651" i="49"/>
  <c r="O2651" i="49" s="1"/>
  <c r="N2678" i="49"/>
  <c r="O2678" i="49" s="1"/>
  <c r="N2768" i="49"/>
  <c r="O2768" i="49" s="1"/>
  <c r="N2662" i="49"/>
  <c r="O2662" i="49" s="1"/>
  <c r="N2695" i="49"/>
  <c r="O2695" i="49" s="1"/>
  <c r="N2770" i="49"/>
  <c r="O2770" i="49" s="1"/>
  <c r="N2774" i="49"/>
  <c r="O2774" i="49" s="1"/>
  <c r="N2803" i="49"/>
  <c r="O2803" i="49" s="1"/>
  <c r="N2838" i="49"/>
  <c r="O2838" i="49" s="1"/>
  <c r="N2715" i="49"/>
  <c r="O2715" i="49" s="1"/>
  <c r="N2681" i="49"/>
  <c r="O2681" i="49" s="1"/>
  <c r="N2744" i="49"/>
  <c r="O2744" i="49" s="1"/>
  <c r="N2762" i="49"/>
  <c r="O2762" i="49" s="1"/>
  <c r="N2775" i="49"/>
  <c r="O2775" i="49" s="1"/>
  <c r="N2710" i="49"/>
  <c r="O2710" i="49" s="1"/>
  <c r="N2737" i="49"/>
  <c r="O2737" i="49" s="1"/>
  <c r="N2754" i="49"/>
  <c r="O2754" i="49" s="1"/>
  <c r="N2778" i="49"/>
  <c r="O2778" i="49" s="1"/>
  <c r="N2712" i="49"/>
  <c r="O2712" i="49" s="1"/>
  <c r="N2766" i="49"/>
  <c r="O2766" i="49" s="1"/>
  <c r="N2709" i="49"/>
  <c r="O2709" i="49" s="1"/>
  <c r="N2860" i="49"/>
  <c r="O2860" i="49" s="1"/>
  <c r="N2735" i="49"/>
  <c r="O2735" i="49" s="1"/>
  <c r="N2700" i="49"/>
  <c r="O2700" i="49" s="1"/>
  <c r="N2764" i="49"/>
  <c r="O2764" i="49" s="1"/>
  <c r="N2842" i="49"/>
  <c r="O2842" i="49" s="1"/>
  <c r="N2826" i="49"/>
  <c r="O2826" i="49" s="1"/>
  <c r="N2640" i="49"/>
  <c r="O2640" i="49" s="1"/>
  <c r="N2865" i="49"/>
  <c r="O2865" i="49" s="1"/>
  <c r="N2875" i="49"/>
  <c r="O2875" i="49" s="1"/>
  <c r="N2747" i="49"/>
  <c r="O2747" i="49" s="1"/>
  <c r="N2631" i="49"/>
  <c r="O2631" i="49" s="1"/>
  <c r="N2795" i="49"/>
  <c r="O2795" i="49" s="1"/>
  <c r="N2704" i="49"/>
  <c r="O2704" i="49" s="1"/>
  <c r="N2713" i="49"/>
  <c r="O2713" i="49" s="1"/>
  <c r="N2878" i="49"/>
  <c r="O2878" i="49" s="1"/>
  <c r="N2741" i="49"/>
  <c r="O2741" i="49" s="1"/>
  <c r="N2825" i="49"/>
  <c r="O2825" i="49" s="1"/>
  <c r="N2668" i="49"/>
  <c r="O2668" i="49" s="1"/>
  <c r="N2841" i="49"/>
  <c r="O2841" i="49" s="1"/>
  <c r="N2689" i="49"/>
  <c r="O2689" i="49" s="1"/>
  <c r="N2670" i="49"/>
  <c r="O2670" i="49" s="1"/>
  <c r="N2855" i="49"/>
  <c r="O2855" i="49" s="1"/>
  <c r="N2788" i="49"/>
  <c r="O2788" i="49" s="1"/>
  <c r="N2720" i="49"/>
  <c r="O2720" i="49" s="1"/>
  <c r="N2882" i="49"/>
  <c r="O2882" i="49" s="1"/>
  <c r="N2724" i="49"/>
  <c r="O2724" i="49" s="1"/>
  <c r="N2817" i="49"/>
  <c r="O2817" i="49" s="1"/>
  <c r="N2851" i="49"/>
  <c r="O2851" i="49" s="1"/>
  <c r="N2857" i="49"/>
  <c r="O2857" i="49" s="1"/>
  <c r="N2874" i="49"/>
  <c r="O2874" i="49" s="1"/>
  <c r="N2733" i="49"/>
  <c r="O2733" i="49" s="1"/>
  <c r="N2836" i="49"/>
  <c r="O2836" i="49" s="1"/>
  <c r="N2757" i="49"/>
  <c r="O2757" i="49" s="1"/>
  <c r="N2716" i="49"/>
  <c r="O2716" i="49" s="1"/>
  <c r="N2823" i="49"/>
  <c r="O2823" i="49" s="1"/>
  <c r="N2771" i="49"/>
  <c r="O2771" i="49" s="1"/>
  <c r="N2779" i="49"/>
  <c r="O2779" i="49" s="1"/>
  <c r="P56" i="15"/>
  <c r="P67" i="15" s="1"/>
  <c r="P68" i="15" s="1"/>
  <c r="R124" i="14"/>
  <c r="U57" i="13" s="1"/>
  <c r="T48" i="26" s="1"/>
  <c r="N54" i="27"/>
  <c r="O67" i="25"/>
  <c r="O68" i="25" s="1"/>
  <c r="M67" i="16"/>
  <c r="M68" i="16" s="1"/>
  <c r="N94" i="14"/>
  <c r="Q54" i="13" s="1"/>
  <c r="P48" i="23" s="1"/>
  <c r="L154" i="14"/>
  <c r="O60" i="13" s="1"/>
  <c r="N48" i="29" s="1"/>
  <c r="O86" i="25"/>
  <c r="M86" i="16"/>
  <c r="O86" i="18"/>
  <c r="H124" i="14"/>
  <c r="K57" i="13" s="1"/>
  <c r="J48" i="26" s="1"/>
  <c r="I56" i="26"/>
  <c r="I54" i="26"/>
  <c r="Q84" i="13"/>
  <c r="P64" i="25" s="1"/>
  <c r="P76" i="25" s="1"/>
  <c r="P77" i="25" s="1"/>
  <c r="O107" i="14"/>
  <c r="L149" i="14"/>
  <c r="L150" i="14" s="1"/>
  <c r="O50" i="28"/>
  <c r="O52" i="28"/>
  <c r="I58" i="14"/>
  <c r="S11" i="39"/>
  <c r="U11" i="39" s="1"/>
  <c r="H3376" i="49"/>
  <c r="E385" i="46"/>
  <c r="M15" i="39"/>
  <c r="E378" i="46"/>
  <c r="H735" i="49"/>
  <c r="H734" i="49"/>
  <c r="H2493" i="49"/>
  <c r="L15" i="39"/>
  <c r="E379" i="46"/>
  <c r="M21" i="39"/>
  <c r="E666" i="46"/>
  <c r="H4227" i="49"/>
  <c r="L21" i="39"/>
  <c r="E667" i="46"/>
  <c r="H3115" i="49"/>
  <c r="H3114" i="49"/>
  <c r="H2979" i="49"/>
  <c r="H2978" i="49"/>
  <c r="E466" i="46"/>
  <c r="H1016" i="49"/>
  <c r="H1022" i="49"/>
  <c r="H4483" i="49"/>
  <c r="H2798" i="49"/>
  <c r="H5079" i="49"/>
  <c r="H5085" i="49"/>
  <c r="E817" i="46"/>
  <c r="H3377" i="49"/>
  <c r="H4484" i="49"/>
  <c r="H4490" i="49"/>
  <c r="H4498" i="49"/>
  <c r="H3914" i="49"/>
  <c r="H3913" i="49"/>
  <c r="H4220" i="49"/>
  <c r="H4219" i="49"/>
  <c r="H5078" i="49"/>
  <c r="H3563" i="49"/>
  <c r="H3733" i="49"/>
  <c r="H3123" i="49"/>
  <c r="H1353" i="49"/>
  <c r="H1031" i="49"/>
  <c r="H5093" i="49"/>
  <c r="N24" i="39"/>
  <c r="E809" i="46"/>
  <c r="H4771" i="49"/>
  <c r="H742" i="49"/>
  <c r="E676" i="46"/>
  <c r="H3725" i="49"/>
  <c r="H3719" i="49"/>
  <c r="H1815" i="49"/>
  <c r="H1821" i="49"/>
  <c r="E269" i="46"/>
  <c r="H1643" i="49"/>
  <c r="H1830" i="49"/>
  <c r="H2985" i="49"/>
  <c r="H3549" i="49"/>
  <c r="H3555" i="49"/>
  <c r="E557" i="46"/>
  <c r="H3718" i="49"/>
  <c r="H2206" i="49"/>
  <c r="H2212" i="49"/>
  <c r="E333" i="46"/>
  <c r="H4764" i="49"/>
  <c r="H4763" i="49"/>
  <c r="H3548" i="49"/>
  <c r="E556" i="46"/>
  <c r="H2792" i="49"/>
  <c r="H2791" i="49"/>
  <c r="E434" i="46"/>
  <c r="H3138" i="49"/>
  <c r="H1976" i="49"/>
  <c r="H1975" i="49"/>
  <c r="H3922" i="49"/>
  <c r="H1347" i="49"/>
  <c r="H1346" i="49"/>
  <c r="E194" i="46"/>
  <c r="H2220" i="49"/>
  <c r="H3370" i="49"/>
  <c r="H3369" i="49"/>
  <c r="E530" i="46"/>
  <c r="H2484" i="49"/>
  <c r="H2478" i="49"/>
  <c r="H3124" i="49"/>
  <c r="H3130" i="49"/>
  <c r="J3376" i="49" l="1"/>
  <c r="Q3376" i="49" s="1"/>
  <c r="Q64" i="14"/>
  <c r="T51" i="13" s="1"/>
  <c r="S48" i="20" s="1"/>
  <c r="S52" i="20" s="1"/>
  <c r="J48" i="8"/>
  <c r="M134" i="14"/>
  <c r="P58" i="13" s="1"/>
  <c r="O48" i="27" s="1"/>
  <c r="J3130" i="49"/>
  <c r="Q3130" i="49" s="1"/>
  <c r="J3124" i="49"/>
  <c r="Q3124" i="49" s="1"/>
  <c r="J2478" i="49"/>
  <c r="Q2478" i="49" s="1"/>
  <c r="J2484" i="49"/>
  <c r="Q2484" i="49" s="1"/>
  <c r="J530" i="46"/>
  <c r="J3369" i="49"/>
  <c r="Q3369" i="49" s="1"/>
  <c r="J3370" i="49"/>
  <c r="Q3370" i="49" s="1"/>
  <c r="J2220" i="49"/>
  <c r="Q2220" i="49" s="1"/>
  <c r="J194" i="46"/>
  <c r="J1346" i="49"/>
  <c r="Q1346" i="49" s="1"/>
  <c r="J1347" i="49"/>
  <c r="Q1347" i="49" s="1"/>
  <c r="J3922" i="49"/>
  <c r="Q3922" i="49"/>
  <c r="Q1975" i="49"/>
  <c r="J1975" i="49"/>
  <c r="J1976" i="49"/>
  <c r="Q1976" i="49" s="1"/>
  <c r="J3138" i="49"/>
  <c r="Q3138" i="49" s="1"/>
  <c r="J434" i="46"/>
  <c r="J2791" i="49"/>
  <c r="Q2791" i="49" s="1"/>
  <c r="Q2792" i="49"/>
  <c r="J2792" i="49"/>
  <c r="J556" i="46"/>
  <c r="J3548" i="49"/>
  <c r="Q3548" i="49" s="1"/>
  <c r="F80" i="50"/>
  <c r="J4763" i="49"/>
  <c r="Q4763" i="49" s="1"/>
  <c r="Q4764" i="49"/>
  <c r="J4764" i="49"/>
  <c r="J333" i="46"/>
  <c r="J2212" i="49"/>
  <c r="Q2212" i="49" s="1"/>
  <c r="J2206" i="49"/>
  <c r="Q2206" i="49" s="1"/>
  <c r="J3718" i="49"/>
  <c r="Q3718" i="49" s="1"/>
  <c r="J557" i="46"/>
  <c r="J3555" i="49"/>
  <c r="Q3555" i="49" s="1"/>
  <c r="J3549" i="49"/>
  <c r="Q3549" i="49" s="1"/>
  <c r="J2985" i="49"/>
  <c r="Q2985" i="49" s="1"/>
  <c r="F95" i="50"/>
  <c r="J1830" i="49"/>
  <c r="Q1830" i="49" s="1"/>
  <c r="J1643" i="49"/>
  <c r="Q1643" i="49" s="1"/>
  <c r="J269" i="46"/>
  <c r="J1821" i="49"/>
  <c r="Q1821" i="49"/>
  <c r="F87" i="50"/>
  <c r="J1815" i="49"/>
  <c r="Q1815" i="49" s="1"/>
  <c r="F81" i="50"/>
  <c r="J3719" i="49"/>
  <c r="Q3719" i="49" s="1"/>
  <c r="J3725" i="49"/>
  <c r="Q3725" i="49" s="1"/>
  <c r="J676" i="46"/>
  <c r="Q742" i="49"/>
  <c r="J742" i="49"/>
  <c r="J4771" i="49"/>
  <c r="Q4771" i="49"/>
  <c r="J809" i="46"/>
  <c r="J5093" i="49"/>
  <c r="Q5093" i="49" s="1"/>
  <c r="J1031" i="49"/>
  <c r="Q1031" i="49" s="1"/>
  <c r="J1353" i="49"/>
  <c r="Q1353" i="49" s="1"/>
  <c r="J3123" i="49"/>
  <c r="Q3123" i="49" s="1"/>
  <c r="J3733" i="49"/>
  <c r="Q3733" i="49" s="1"/>
  <c r="Q3563" i="49"/>
  <c r="J3563" i="49"/>
  <c r="J5078" i="49"/>
  <c r="Q5078" i="49" s="1"/>
  <c r="Q4219" i="49"/>
  <c r="J4219" i="49"/>
  <c r="J4220" i="49"/>
  <c r="Q4220" i="49" s="1"/>
  <c r="J3913" i="49"/>
  <c r="Q3913" i="49"/>
  <c r="J3914" i="49"/>
  <c r="Q3914" i="49" s="1"/>
  <c r="Q4498" i="49"/>
  <c r="J4498" i="49"/>
  <c r="J4490" i="49"/>
  <c r="Q4490" i="49" s="1"/>
  <c r="J4484" i="49"/>
  <c r="Q4484" i="49" s="1"/>
  <c r="J3377" i="49"/>
  <c r="Q3377" i="49"/>
  <c r="J817" i="46"/>
  <c r="J5085" i="49"/>
  <c r="Q5085" i="49" s="1"/>
  <c r="J5079" i="49"/>
  <c r="Q5079" i="49" s="1"/>
  <c r="J2798" i="49"/>
  <c r="Q2798" i="49" s="1"/>
  <c r="J4483" i="49"/>
  <c r="Q4483" i="49" s="1"/>
  <c r="J1022" i="49"/>
  <c r="Q1022" i="49" s="1"/>
  <c r="J1016" i="49"/>
  <c r="Q1016" i="49" s="1"/>
  <c r="J466" i="46"/>
  <c r="Q2978" i="49"/>
  <c r="J2978" i="49"/>
  <c r="Q2979" i="49"/>
  <c r="J2979" i="49"/>
  <c r="J3114" i="49"/>
  <c r="Q3114" i="49" s="1"/>
  <c r="J3115" i="49"/>
  <c r="Q3115" i="49" s="1"/>
  <c r="J667" i="46"/>
  <c r="P21" i="39"/>
  <c r="X21" i="39"/>
  <c r="Q4227" i="49"/>
  <c r="J4227" i="49"/>
  <c r="J666" i="46"/>
  <c r="Q21" i="39"/>
  <c r="J379" i="46"/>
  <c r="P15" i="39"/>
  <c r="S15" i="39" s="1"/>
  <c r="U15" i="39" s="1"/>
  <c r="X15" i="39"/>
  <c r="J2493" i="49"/>
  <c r="Q2493" i="49" s="1"/>
  <c r="J734" i="49"/>
  <c r="Q734" i="49" s="1"/>
  <c r="J735" i="49"/>
  <c r="Q735" i="49" s="1"/>
  <c r="J378" i="46"/>
  <c r="Q15" i="39"/>
  <c r="J385" i="46"/>
  <c r="P75" i="13"/>
  <c r="O64" i="16" s="1"/>
  <c r="N17" i="14"/>
  <c r="R67" i="24"/>
  <c r="R68" i="24" s="1"/>
  <c r="P76" i="13"/>
  <c r="O64" i="17" s="1"/>
  <c r="N27" i="14"/>
  <c r="G13" i="52"/>
  <c r="H95" i="49"/>
  <c r="J50" i="8"/>
  <c r="J52" i="8"/>
  <c r="P86" i="13"/>
  <c r="O64" i="27" s="1"/>
  <c r="N127" i="14"/>
  <c r="O89" i="13"/>
  <c r="N64" i="30" s="1"/>
  <c r="N76" i="30" s="1"/>
  <c r="N77" i="30" s="1"/>
  <c r="M157" i="14"/>
  <c r="R78" i="13"/>
  <c r="Q64" i="19" s="1"/>
  <c r="Q76" i="19" s="1"/>
  <c r="Q77" i="19" s="1"/>
  <c r="P47" i="14"/>
  <c r="E27" i="52"/>
  <c r="H71" i="49"/>
  <c r="N67" i="22"/>
  <c r="N68" i="22" s="1"/>
  <c r="J79" i="49"/>
  <c r="Q79" i="49" s="1"/>
  <c r="E79" i="50"/>
  <c r="G79" i="50" s="1"/>
  <c r="H79" i="50" s="1"/>
  <c r="C15" i="1"/>
  <c r="O109" i="14"/>
  <c r="O110" i="14" s="1"/>
  <c r="O108" i="14"/>
  <c r="P50" i="21"/>
  <c r="P52" i="21"/>
  <c r="N86" i="27"/>
  <c r="S50" i="24"/>
  <c r="S52" i="24"/>
  <c r="S50" i="20"/>
  <c r="I98" i="14"/>
  <c r="I86" i="26"/>
  <c r="N56" i="27"/>
  <c r="F15" i="38"/>
  <c r="H15" i="32"/>
  <c r="H15" i="38" s="1"/>
  <c r="O67" i="21"/>
  <c r="O68" i="21" s="1"/>
  <c r="S86" i="26"/>
  <c r="I67" i="26"/>
  <c r="I68" i="26" s="1"/>
  <c r="J50" i="24"/>
  <c r="J52" i="24"/>
  <c r="M4" i="20"/>
  <c r="J54" i="20"/>
  <c r="J56" i="20" s="1"/>
  <c r="P54" i="19"/>
  <c r="P56" i="19" s="1"/>
  <c r="Q50" i="15"/>
  <c r="Q52" i="15"/>
  <c r="I67" i="20"/>
  <c r="I68" i="20" s="1"/>
  <c r="I118" i="14"/>
  <c r="S67" i="26"/>
  <c r="S68" i="26" s="1"/>
  <c r="S119" i="14"/>
  <c r="S120" i="14" s="1"/>
  <c r="S118" i="14"/>
  <c r="N54" i="16"/>
  <c r="N56" i="16" s="1"/>
  <c r="F15" i="52"/>
  <c r="H80" i="49"/>
  <c r="M54" i="30"/>
  <c r="O50" i="31"/>
  <c r="O52" i="31"/>
  <c r="H9" i="32"/>
  <c r="H9" i="38" s="1"/>
  <c r="F9" i="38"/>
  <c r="N54" i="17"/>
  <c r="N56" i="17" s="1"/>
  <c r="P50" i="18"/>
  <c r="P52" i="18"/>
  <c r="O54" i="14"/>
  <c r="R50" i="13" s="1"/>
  <c r="Q48" i="19" s="1"/>
  <c r="R86" i="24"/>
  <c r="T50" i="26"/>
  <c r="T52" i="26"/>
  <c r="J50" i="26"/>
  <c r="J52" i="26"/>
  <c r="C41" i="1"/>
  <c r="I41" i="1" s="1"/>
  <c r="W11" i="39"/>
  <c r="V11" i="39"/>
  <c r="F8" i="32"/>
  <c r="J8" i="3"/>
  <c r="G8" i="32" s="1"/>
  <c r="G8" i="38" s="1"/>
  <c r="N1367" i="49"/>
  <c r="O1367" i="49" s="1"/>
  <c r="N1393" i="49"/>
  <c r="O1393" i="49" s="1"/>
  <c r="N1259" i="49"/>
  <c r="O1259" i="49" s="1"/>
  <c r="N1356" i="49"/>
  <c r="O1356" i="49" s="1"/>
  <c r="N1221" i="49"/>
  <c r="O1221" i="49" s="1"/>
  <c r="C13" i="4"/>
  <c r="N1228" i="49"/>
  <c r="O1228" i="49" s="1"/>
  <c r="N1211" i="49"/>
  <c r="O1211" i="49" s="1"/>
  <c r="N1251" i="49"/>
  <c r="O1251" i="49" s="1"/>
  <c r="N1398" i="49"/>
  <c r="O1398" i="49" s="1"/>
  <c r="N1403" i="49"/>
  <c r="O1403" i="49" s="1"/>
  <c r="N1314" i="49"/>
  <c r="O1314" i="49" s="1"/>
  <c r="N1440" i="49"/>
  <c r="O1440" i="49" s="1"/>
  <c r="N1387" i="49"/>
  <c r="O1387" i="49" s="1"/>
  <c r="N1310" i="49"/>
  <c r="O1310" i="49" s="1"/>
  <c r="N1342" i="49"/>
  <c r="O1342" i="49" s="1"/>
  <c r="N1299" i="49"/>
  <c r="O1299" i="49" s="1"/>
  <c r="N1297" i="49"/>
  <c r="O1297" i="49" s="1"/>
  <c r="N1372" i="49"/>
  <c r="O1372" i="49" s="1"/>
  <c r="N1164" i="49"/>
  <c r="O1164" i="49" s="1"/>
  <c r="N1394" i="49"/>
  <c r="O1394" i="49" s="1"/>
  <c r="N1397" i="49"/>
  <c r="O1397" i="49" s="1"/>
  <c r="N1327" i="49"/>
  <c r="O1327" i="49" s="1"/>
  <c r="N1260" i="49"/>
  <c r="O1260" i="49" s="1"/>
  <c r="N1324" i="49"/>
  <c r="O1324" i="49" s="1"/>
  <c r="N1163" i="49"/>
  <c r="O1163" i="49" s="1"/>
  <c r="N1333" i="49"/>
  <c r="O1333" i="49" s="1"/>
  <c r="N1414" i="49"/>
  <c r="O1414" i="49" s="1"/>
  <c r="N1244" i="49"/>
  <c r="O1244" i="49" s="1"/>
  <c r="N1338" i="49"/>
  <c r="O1338" i="49" s="1"/>
  <c r="N1205" i="49"/>
  <c r="O1205" i="49" s="1"/>
  <c r="N1281" i="49"/>
  <c r="O1281" i="49" s="1"/>
  <c r="N1239" i="49"/>
  <c r="O1239" i="49" s="1"/>
  <c r="N1339" i="49"/>
  <c r="O1339" i="49" s="1"/>
  <c r="N1361" i="49"/>
  <c r="O1361" i="49" s="1"/>
  <c r="N1390" i="49"/>
  <c r="O1390" i="49" s="1"/>
  <c r="N1250" i="49"/>
  <c r="O1250" i="49" s="1"/>
  <c r="N1241" i="49"/>
  <c r="O1241" i="49" s="1"/>
  <c r="N1288" i="49"/>
  <c r="O1288" i="49" s="1"/>
  <c r="N1291" i="49"/>
  <c r="O1291" i="49" s="1"/>
  <c r="N1404" i="49"/>
  <c r="O1404" i="49" s="1"/>
  <c r="N1362" i="49"/>
  <c r="O1362" i="49" s="1"/>
  <c r="N1191" i="49"/>
  <c r="O1191" i="49" s="1"/>
  <c r="N1435" i="49"/>
  <c r="O1435" i="49" s="1"/>
  <c r="N1379" i="49"/>
  <c r="O1379" i="49" s="1"/>
  <c r="N1438" i="49"/>
  <c r="O1438" i="49" s="1"/>
  <c r="N1304" i="49"/>
  <c r="O1304" i="49" s="1"/>
  <c r="N1166" i="49"/>
  <c r="O1166" i="49" s="1"/>
  <c r="N1437" i="49"/>
  <c r="O1437" i="49" s="1"/>
  <c r="N1302" i="49"/>
  <c r="O1302" i="49" s="1"/>
  <c r="N1388" i="49"/>
  <c r="O1388" i="49" s="1"/>
  <c r="N1445" i="49"/>
  <c r="O1445" i="49" s="1"/>
  <c r="N1240" i="49"/>
  <c r="O1240" i="49" s="1"/>
  <c r="N1383" i="49"/>
  <c r="O1383" i="49" s="1"/>
  <c r="N1179" i="49"/>
  <c r="O1179" i="49" s="1"/>
  <c r="N1341" i="49"/>
  <c r="O1341" i="49" s="1"/>
  <c r="N1180" i="49"/>
  <c r="O1180" i="49" s="1"/>
  <c r="N1267" i="49"/>
  <c r="O1267" i="49" s="1"/>
  <c r="N1335" i="49"/>
  <c r="O1335" i="49" s="1"/>
  <c r="N1368" i="49"/>
  <c r="O1368" i="49" s="1"/>
  <c r="N1254" i="49"/>
  <c r="O1254" i="49" s="1"/>
  <c r="N1402" i="49"/>
  <c r="O1402" i="49" s="1"/>
  <c r="N1172" i="49"/>
  <c r="O1172" i="49" s="1"/>
  <c r="N1448" i="49"/>
  <c r="O1448" i="49" s="1"/>
  <c r="N1183" i="49"/>
  <c r="O1183" i="49" s="1"/>
  <c r="N1238" i="49"/>
  <c r="O1238" i="49" s="1"/>
  <c r="N1345" i="49"/>
  <c r="O1345" i="49" s="1"/>
  <c r="N1431" i="49"/>
  <c r="O1431" i="49" s="1"/>
  <c r="N1197" i="49"/>
  <c r="O1197" i="49" s="1"/>
  <c r="N1421" i="49"/>
  <c r="O1421" i="49" s="1"/>
  <c r="N1432" i="49"/>
  <c r="O1432" i="49" s="1"/>
  <c r="N1295" i="49"/>
  <c r="O1295" i="49" s="1"/>
  <c r="N1407" i="49"/>
  <c r="O1407" i="49" s="1"/>
  <c r="N1331" i="49"/>
  <c r="O1331" i="49" s="1"/>
  <c r="N1243" i="49"/>
  <c r="O1243" i="49" s="1"/>
  <c r="N1178" i="49"/>
  <c r="O1178" i="49" s="1"/>
  <c r="N1201" i="49"/>
  <c r="O1201" i="49" s="1"/>
  <c r="N1203" i="49"/>
  <c r="O1203" i="49" s="1"/>
  <c r="N1176" i="49"/>
  <c r="O1176" i="49" s="1"/>
  <c r="N1237" i="49"/>
  <c r="O1237" i="49" s="1"/>
  <c r="N1427" i="49"/>
  <c r="O1427" i="49" s="1"/>
  <c r="N1413" i="49"/>
  <c r="O1413" i="49" s="1"/>
  <c r="N1192" i="49"/>
  <c r="O1192" i="49" s="1"/>
  <c r="N1252" i="49"/>
  <c r="O1252" i="49" s="1"/>
  <c r="N1325" i="49"/>
  <c r="O1325" i="49" s="1"/>
  <c r="N1284" i="49"/>
  <c r="O1284" i="49" s="1"/>
  <c r="N1389" i="49"/>
  <c r="O1389" i="49" s="1"/>
  <c r="N1182" i="49"/>
  <c r="O1182" i="49" s="1"/>
  <c r="N1187" i="49"/>
  <c r="O1187" i="49" s="1"/>
  <c r="N1262" i="49"/>
  <c r="O1262" i="49" s="1"/>
  <c r="N1330" i="49"/>
  <c r="O1330" i="49" s="1"/>
  <c r="N1200" i="49"/>
  <c r="O1200" i="49" s="1"/>
  <c r="N1223" i="49"/>
  <c r="O1223" i="49" s="1"/>
  <c r="N1395" i="49"/>
  <c r="O1395" i="49" s="1"/>
  <c r="N1234" i="49"/>
  <c r="O1234" i="49" s="1"/>
  <c r="N1227" i="49"/>
  <c r="O1227" i="49" s="1"/>
  <c r="N1194" i="49"/>
  <c r="O1194" i="49" s="1"/>
  <c r="N1278" i="49"/>
  <c r="O1278" i="49" s="1"/>
  <c r="N1253" i="49"/>
  <c r="O1253" i="49" s="1"/>
  <c r="N1273" i="49"/>
  <c r="O1273" i="49" s="1"/>
  <c r="N1222" i="49"/>
  <c r="O1222" i="49" s="1"/>
  <c r="N1320" i="49"/>
  <c r="O1320" i="49" s="1"/>
  <c r="N1377" i="49"/>
  <c r="O1377" i="49" s="1"/>
  <c r="N1173" i="49"/>
  <c r="O1173" i="49" s="1"/>
  <c r="N1348" i="49"/>
  <c r="O1348" i="49" s="1"/>
  <c r="N1337" i="49"/>
  <c r="O1337" i="49" s="1"/>
  <c r="N1162" i="49"/>
  <c r="O1162" i="49" s="1"/>
  <c r="N1384" i="49"/>
  <c r="O1384" i="49" s="1"/>
  <c r="N1371" i="49"/>
  <c r="O1371" i="49" s="1"/>
  <c r="N1209" i="49"/>
  <c r="O1209" i="49" s="1"/>
  <c r="N1300" i="49"/>
  <c r="O1300" i="49" s="1"/>
  <c r="N1242" i="49"/>
  <c r="O1242" i="49" s="1"/>
  <c r="N1246" i="49"/>
  <c r="O1246" i="49" s="1"/>
  <c r="N1265" i="49"/>
  <c r="O1265" i="49" s="1"/>
  <c r="N1226" i="49"/>
  <c r="O1226" i="49" s="1"/>
  <c r="N1272" i="49"/>
  <c r="O1272" i="49" s="1"/>
  <c r="N1199" i="49"/>
  <c r="O1199" i="49" s="1"/>
  <c r="N1287" i="49"/>
  <c r="O1287" i="49" s="1"/>
  <c r="N1328" i="49"/>
  <c r="O1328" i="49" s="1"/>
  <c r="N1271" i="49"/>
  <c r="O1271" i="49" s="1"/>
  <c r="N1449" i="49"/>
  <c r="O1449" i="49" s="1"/>
  <c r="N1354" i="49"/>
  <c r="O1354" i="49" s="1"/>
  <c r="N1396" i="49"/>
  <c r="O1396" i="49" s="1"/>
  <c r="N1423" i="49"/>
  <c r="O1423" i="49" s="1"/>
  <c r="N1168" i="49"/>
  <c r="O1168" i="49" s="1"/>
  <c r="N1391" i="49"/>
  <c r="O1391" i="49" s="1"/>
  <c r="N1214" i="49"/>
  <c r="O1214" i="49" s="1"/>
  <c r="N1308" i="49"/>
  <c r="O1308" i="49" s="1"/>
  <c r="N1266" i="49"/>
  <c r="O1266" i="49" s="1"/>
  <c r="N1220" i="49"/>
  <c r="O1220" i="49" s="1"/>
  <c r="N1370" i="49"/>
  <c r="O1370" i="49" s="1"/>
  <c r="N1290" i="49"/>
  <c r="O1290" i="49" s="1"/>
  <c r="N1301" i="49"/>
  <c r="O1301" i="49" s="1"/>
  <c r="N1381" i="49"/>
  <c r="O1381" i="49" s="1"/>
  <c r="N1336" i="49"/>
  <c r="O1336" i="49" s="1"/>
  <c r="N1277" i="49"/>
  <c r="O1277" i="49" s="1"/>
  <c r="N1353" i="49"/>
  <c r="O1353" i="49" s="1"/>
  <c r="N1365" i="49"/>
  <c r="O1365" i="49" s="1"/>
  <c r="N1170" i="49"/>
  <c r="O1170" i="49" s="1"/>
  <c r="N1235" i="49"/>
  <c r="O1235" i="49" s="1"/>
  <c r="N1357" i="49"/>
  <c r="O1357" i="49" s="1"/>
  <c r="N1340" i="49"/>
  <c r="O1340" i="49" s="1"/>
  <c r="N1263" i="49"/>
  <c r="O1263" i="49" s="1"/>
  <c r="N1375" i="49"/>
  <c r="O1375" i="49" s="1"/>
  <c r="N1317" i="49"/>
  <c r="O1317" i="49" s="1"/>
  <c r="N1219" i="49"/>
  <c r="O1219" i="49" s="1"/>
  <c r="N1415" i="49"/>
  <c r="O1415" i="49" s="1"/>
  <c r="N1434" i="49"/>
  <c r="O1434" i="49" s="1"/>
  <c r="N1230" i="49"/>
  <c r="O1230" i="49" s="1"/>
  <c r="N1247" i="49"/>
  <c r="O1247" i="49" s="1"/>
  <c r="N1303" i="49"/>
  <c r="O1303" i="49" s="1"/>
  <c r="N1319" i="49"/>
  <c r="O1319" i="49" s="1"/>
  <c r="N1165" i="49"/>
  <c r="O1165" i="49" s="1"/>
  <c r="N1285" i="49"/>
  <c r="O1285" i="49" s="1"/>
  <c r="N1441" i="49"/>
  <c r="O1441" i="49" s="1"/>
  <c r="N1385" i="49"/>
  <c r="O1385" i="49" s="1"/>
  <c r="N1316" i="49"/>
  <c r="O1316" i="49" s="1"/>
  <c r="N1270" i="49"/>
  <c r="O1270" i="49" s="1"/>
  <c r="N1369" i="49"/>
  <c r="O1369" i="49" s="1"/>
  <c r="N1232" i="49"/>
  <c r="O1232" i="49" s="1"/>
  <c r="N1184" i="49"/>
  <c r="O1184" i="49" s="1"/>
  <c r="N1190" i="49"/>
  <c r="O1190" i="49" s="1"/>
  <c r="N1196" i="49"/>
  <c r="O1196" i="49" s="1"/>
  <c r="N1311" i="49"/>
  <c r="O1311" i="49" s="1"/>
  <c r="N1373" i="49"/>
  <c r="O1373" i="49" s="1"/>
  <c r="N1181" i="49"/>
  <c r="O1181" i="49" s="1"/>
  <c r="N1185" i="49"/>
  <c r="O1185" i="49" s="1"/>
  <c r="N1167" i="49"/>
  <c r="O1167" i="49" s="1"/>
  <c r="N1286" i="49"/>
  <c r="O1286" i="49" s="1"/>
  <c r="N1323" i="49"/>
  <c r="O1323" i="49" s="1"/>
  <c r="N1378" i="49"/>
  <c r="O1378" i="49" s="1"/>
  <c r="N1318" i="49"/>
  <c r="O1318" i="49" s="1"/>
  <c r="N1322" i="49"/>
  <c r="O1322" i="49" s="1"/>
  <c r="N1355" i="49"/>
  <c r="O1355" i="49" s="1"/>
  <c r="N1419" i="49"/>
  <c r="O1419" i="49" s="1"/>
  <c r="N1313" i="49"/>
  <c r="O1313" i="49" s="1"/>
  <c r="N1344" i="49"/>
  <c r="O1344" i="49" s="1"/>
  <c r="N1218" i="49"/>
  <c r="O1218" i="49" s="1"/>
  <c r="N1376" i="49"/>
  <c r="O1376" i="49" s="1"/>
  <c r="N1380" i="49"/>
  <c r="O1380" i="49" s="1"/>
  <c r="N1174" i="49"/>
  <c r="O1174" i="49" s="1"/>
  <c r="N1412" i="49"/>
  <c r="O1412" i="49" s="1"/>
  <c r="N1257" i="49"/>
  <c r="O1257" i="49" s="1"/>
  <c r="N1195" i="49"/>
  <c r="O1195" i="49" s="1"/>
  <c r="N1202" i="49"/>
  <c r="O1202" i="49" s="1"/>
  <c r="N1411" i="49"/>
  <c r="O1411" i="49" s="1"/>
  <c r="N1400" i="49"/>
  <c r="O1400" i="49" s="1"/>
  <c r="N1175" i="49"/>
  <c r="O1175" i="49" s="1"/>
  <c r="N1261" i="49"/>
  <c r="O1261" i="49" s="1"/>
  <c r="N1296" i="49"/>
  <c r="O1296" i="49" s="1"/>
  <c r="N1326" i="49"/>
  <c r="O1326" i="49" s="1"/>
  <c r="N1256" i="49"/>
  <c r="O1256" i="49" s="1"/>
  <c r="N1204" i="49"/>
  <c r="O1204" i="49" s="1"/>
  <c r="N1406" i="49"/>
  <c r="O1406" i="49" s="1"/>
  <c r="N1351" i="49"/>
  <c r="O1351" i="49" s="1"/>
  <c r="N1282" i="49"/>
  <c r="O1282" i="49" s="1"/>
  <c r="N1334" i="49"/>
  <c r="O1334" i="49" s="1"/>
  <c r="N1418" i="49"/>
  <c r="O1418" i="49" s="1"/>
  <c r="N1409" i="49"/>
  <c r="O1409" i="49" s="1"/>
  <c r="N1171" i="49"/>
  <c r="O1171" i="49" s="1"/>
  <c r="N1321" i="49"/>
  <c r="O1321" i="49" s="1"/>
  <c r="N1258" i="49"/>
  <c r="O1258" i="49" s="1"/>
  <c r="N1264" i="49"/>
  <c r="O1264" i="49" s="1"/>
  <c r="N1283" i="49"/>
  <c r="O1283" i="49" s="1"/>
  <c r="N1360" i="49"/>
  <c r="O1360" i="49" s="1"/>
  <c r="N1236" i="49"/>
  <c r="O1236" i="49" s="1"/>
  <c r="N1306" i="49"/>
  <c r="O1306" i="49" s="1"/>
  <c r="N1364" i="49"/>
  <c r="O1364" i="49" s="1"/>
  <c r="N1255" i="49"/>
  <c r="O1255" i="49" s="1"/>
  <c r="N1215" i="49"/>
  <c r="O1215" i="49" s="1"/>
  <c r="N1443" i="49"/>
  <c r="O1443" i="49" s="1"/>
  <c r="N1366" i="49"/>
  <c r="O1366" i="49" s="1"/>
  <c r="N1447" i="49"/>
  <c r="O1447" i="49" s="1"/>
  <c r="N1275" i="49"/>
  <c r="O1275" i="49" s="1"/>
  <c r="N1217" i="49"/>
  <c r="O1217" i="49" s="1"/>
  <c r="N1399" i="49"/>
  <c r="O1399" i="49" s="1"/>
  <c r="N1268" i="49"/>
  <c r="O1268" i="49" s="1"/>
  <c r="N1417" i="49"/>
  <c r="O1417" i="49" s="1"/>
  <c r="N1332" i="49"/>
  <c r="O1332" i="49" s="1"/>
  <c r="N1207" i="49"/>
  <c r="O1207" i="49" s="1"/>
  <c r="N1276" i="49"/>
  <c r="O1276" i="49" s="1"/>
  <c r="N1293" i="49"/>
  <c r="O1293" i="49" s="1"/>
  <c r="N1189" i="49"/>
  <c r="O1189" i="49" s="1"/>
  <c r="N1224" i="49"/>
  <c r="O1224" i="49" s="1"/>
  <c r="N1188" i="49"/>
  <c r="O1188" i="49" s="1"/>
  <c r="N1198" i="49"/>
  <c r="O1198" i="49" s="1"/>
  <c r="N1186" i="49"/>
  <c r="O1186" i="49" s="1"/>
  <c r="N1280" i="49"/>
  <c r="O1280" i="49" s="1"/>
  <c r="N1213" i="49"/>
  <c r="O1213" i="49" s="1"/>
  <c r="N1424" i="49"/>
  <c r="O1424" i="49" s="1"/>
  <c r="N1444" i="49"/>
  <c r="O1444" i="49" s="1"/>
  <c r="N1430" i="49"/>
  <c r="O1430" i="49" s="1"/>
  <c r="N1248" i="49"/>
  <c r="O1248" i="49" s="1"/>
  <c r="N1279" i="49"/>
  <c r="O1279" i="49" s="1"/>
  <c r="N1294" i="49"/>
  <c r="O1294" i="49" s="1"/>
  <c r="N1269" i="49"/>
  <c r="O1269" i="49" s="1"/>
  <c r="N1425" i="49"/>
  <c r="O1425" i="49" s="1"/>
  <c r="N1229" i="49"/>
  <c r="O1229" i="49" s="1"/>
  <c r="N1382" i="49"/>
  <c r="O1382" i="49" s="1"/>
  <c r="N1309" i="49"/>
  <c r="O1309" i="49" s="1"/>
  <c r="N1350" i="49"/>
  <c r="O1350" i="49" s="1"/>
  <c r="N1225" i="49"/>
  <c r="O1225" i="49" s="1"/>
  <c r="N1210" i="49"/>
  <c r="O1210" i="49" s="1"/>
  <c r="N1274" i="49"/>
  <c r="O1274" i="49" s="1"/>
  <c r="N1433" i="49"/>
  <c r="O1433" i="49" s="1"/>
  <c r="N1216" i="49"/>
  <c r="O1216" i="49" s="1"/>
  <c r="N1249" i="49"/>
  <c r="O1249" i="49" s="1"/>
  <c r="N1349" i="49"/>
  <c r="O1349" i="49" s="1"/>
  <c r="N1429" i="49"/>
  <c r="O1429" i="49" s="1"/>
  <c r="N1305" i="49"/>
  <c r="O1305" i="49" s="1"/>
  <c r="N1446" i="49"/>
  <c r="O1446" i="49" s="1"/>
  <c r="N1374" i="49"/>
  <c r="O1374" i="49" s="1"/>
  <c r="N1233" i="49"/>
  <c r="O1233" i="49" s="1"/>
  <c r="N1347" i="49"/>
  <c r="O1347" i="49" s="1"/>
  <c r="N1439" i="49"/>
  <c r="O1439" i="49" s="1"/>
  <c r="N1386" i="49"/>
  <c r="O1386" i="49" s="1"/>
  <c r="N1315" i="49"/>
  <c r="O1315" i="49" s="1"/>
  <c r="N1359" i="49"/>
  <c r="O1359" i="49" s="1"/>
  <c r="N1426" i="49"/>
  <c r="O1426" i="49" s="1"/>
  <c r="N1436" i="49"/>
  <c r="O1436" i="49" s="1"/>
  <c r="N1312" i="49"/>
  <c r="O1312" i="49" s="1"/>
  <c r="N1307" i="49"/>
  <c r="O1307" i="49" s="1"/>
  <c r="N1442" i="49"/>
  <c r="O1442" i="49" s="1"/>
  <c r="N1392" i="49"/>
  <c r="O1392" i="49" s="1"/>
  <c r="N1408" i="49"/>
  <c r="O1408" i="49" s="1"/>
  <c r="N1405" i="49"/>
  <c r="O1405" i="49" s="1"/>
  <c r="N1416" i="49"/>
  <c r="O1416" i="49" s="1"/>
  <c r="N1193" i="49"/>
  <c r="O1193" i="49" s="1"/>
  <c r="N1428" i="49"/>
  <c r="O1428" i="49" s="1"/>
  <c r="N1346" i="49"/>
  <c r="O1346" i="49" s="1"/>
  <c r="N1343" i="49"/>
  <c r="O1343" i="49" s="1"/>
  <c r="N1410" i="49"/>
  <c r="O1410" i="49" s="1"/>
  <c r="N1161" i="49"/>
  <c r="O1161" i="49" s="1"/>
  <c r="N1298" i="49"/>
  <c r="O1298" i="49" s="1"/>
  <c r="N1206" i="49"/>
  <c r="O1206" i="49" s="1"/>
  <c r="N1289" i="49"/>
  <c r="O1289" i="49" s="1"/>
  <c r="N1420" i="49"/>
  <c r="O1420" i="49" s="1"/>
  <c r="N1363" i="49"/>
  <c r="O1363" i="49" s="1"/>
  <c r="N1208" i="49"/>
  <c r="O1208" i="49" s="1"/>
  <c r="N1245" i="49"/>
  <c r="O1245" i="49" s="1"/>
  <c r="N1292" i="49"/>
  <c r="O1292" i="49" s="1"/>
  <c r="N1212" i="49"/>
  <c r="O1212" i="49" s="1"/>
  <c r="N1329" i="49"/>
  <c r="O1329" i="49" s="1"/>
  <c r="N1177" i="49"/>
  <c r="O1177" i="49" s="1"/>
  <c r="N1169" i="49"/>
  <c r="O1169" i="49" s="1"/>
  <c r="N1422" i="49"/>
  <c r="O1422" i="49" s="1"/>
  <c r="N1352" i="49"/>
  <c r="O1352" i="49" s="1"/>
  <c r="N1231" i="49"/>
  <c r="O1231" i="49" s="1"/>
  <c r="N1358" i="49"/>
  <c r="O1358" i="49" s="1"/>
  <c r="N1401" i="49"/>
  <c r="O1401" i="49" s="1"/>
  <c r="I56" i="8"/>
  <c r="N86" i="31"/>
  <c r="T79" i="13"/>
  <c r="S64" i="20" s="1"/>
  <c r="S76" i="20" s="1"/>
  <c r="S77" i="20" s="1"/>
  <c r="R57" i="14"/>
  <c r="R98" i="14"/>
  <c r="R99" i="14" s="1"/>
  <c r="R100" i="14" s="1"/>
  <c r="O50" i="27"/>
  <c r="O52" i="27"/>
  <c r="F13" i="38"/>
  <c r="H13" i="32"/>
  <c r="H13" i="38" s="1"/>
  <c r="J70" i="49"/>
  <c r="Q70" i="49"/>
  <c r="E70" i="50"/>
  <c r="G70" i="50" s="1"/>
  <c r="H70" i="50" s="1"/>
  <c r="N168" i="14"/>
  <c r="N169" i="14"/>
  <c r="N170" i="14" s="1"/>
  <c r="N50" i="29"/>
  <c r="N52" i="29"/>
  <c r="H72" i="49"/>
  <c r="M67" i="29"/>
  <c r="M68" i="29" s="1"/>
  <c r="M24" i="14"/>
  <c r="P47" i="13" s="1"/>
  <c r="O48" i="16" s="1"/>
  <c r="P54" i="25"/>
  <c r="O76" i="31"/>
  <c r="O77" i="31" s="1"/>
  <c r="N67" i="31"/>
  <c r="N68" i="31" s="1"/>
  <c r="I59" i="14"/>
  <c r="I60" i="14" s="1"/>
  <c r="P50" i="23"/>
  <c r="P52" i="23"/>
  <c r="F11" i="38"/>
  <c r="H11" i="32"/>
  <c r="H11" i="38" s="1"/>
  <c r="N139" i="14"/>
  <c r="N140" i="14" s="1"/>
  <c r="M86" i="29"/>
  <c r="M67" i="17"/>
  <c r="M68" i="17" s="1"/>
  <c r="O39" i="14"/>
  <c r="O38" i="14"/>
  <c r="O40" i="14"/>
  <c r="N78" i="14"/>
  <c r="N79" i="14"/>
  <c r="N80" i="14" s="1"/>
  <c r="O69" i="14"/>
  <c r="O70" i="14" s="1"/>
  <c r="O68" i="14"/>
  <c r="O54" i="28"/>
  <c r="O56" i="28" s="1"/>
  <c r="M4" i="28"/>
  <c r="J64" i="49"/>
  <c r="Q64" i="49" s="1"/>
  <c r="E64" i="50"/>
  <c r="G64" i="50" s="1"/>
  <c r="H64" i="50" s="1"/>
  <c r="L164" i="14"/>
  <c r="O61" i="13" s="1"/>
  <c r="N48" i="30" s="1"/>
  <c r="E28" i="52"/>
  <c r="E29" i="52" s="1"/>
  <c r="O54" i="22"/>
  <c r="M4" i="22"/>
  <c r="O88" i="13"/>
  <c r="N64" i="29" s="1"/>
  <c r="N76" i="29" s="1"/>
  <c r="N77" i="29" s="1"/>
  <c r="M147" i="14"/>
  <c r="M34" i="14"/>
  <c r="P48" i="13" s="1"/>
  <c r="O48" i="17" s="1"/>
  <c r="O76" i="22"/>
  <c r="O77" i="22" s="1"/>
  <c r="O89" i="14"/>
  <c r="O90" i="14" s="1"/>
  <c r="O88" i="14"/>
  <c r="P8" i="14"/>
  <c r="P9" i="14"/>
  <c r="P10" i="14" s="1"/>
  <c r="H1982" i="49"/>
  <c r="N20" i="39"/>
  <c r="E617" i="46"/>
  <c r="H3937" i="49"/>
  <c r="E625" i="46"/>
  <c r="H1831" i="49"/>
  <c r="H1032" i="49"/>
  <c r="E618" i="46"/>
  <c r="M20" i="39"/>
  <c r="H3938" i="49"/>
  <c r="E619" i="46"/>
  <c r="L20" i="39"/>
  <c r="H1645" i="49"/>
  <c r="H1651" i="49"/>
  <c r="H743" i="49"/>
  <c r="H1039" i="49"/>
  <c r="H1033" i="49"/>
  <c r="H4787" i="49"/>
  <c r="E97" i="46"/>
  <c r="H3929" i="49"/>
  <c r="H3923" i="49"/>
  <c r="H1644" i="49"/>
  <c r="H4492" i="49"/>
  <c r="H4491" i="49"/>
  <c r="H4235" i="49"/>
  <c r="H4229" i="49"/>
  <c r="E669" i="46"/>
  <c r="H5087" i="49"/>
  <c r="H5086" i="49"/>
  <c r="E810" i="46"/>
  <c r="M24" i="39"/>
  <c r="H1354" i="49"/>
  <c r="H758" i="49"/>
  <c r="N9" i="39"/>
  <c r="E89" i="46"/>
  <c r="H4228" i="49"/>
  <c r="E668" i="46"/>
  <c r="H1047" i="49"/>
  <c r="E137" i="46"/>
  <c r="N10" i="39"/>
  <c r="H3132" i="49"/>
  <c r="H3131" i="49"/>
  <c r="H2221" i="49"/>
  <c r="H1659" i="49"/>
  <c r="H1024" i="49"/>
  <c r="H1023" i="49"/>
  <c r="E388" i="46"/>
  <c r="H3378" i="49"/>
  <c r="H1832" i="49"/>
  <c r="H1838" i="49"/>
  <c r="E145" i="46"/>
  <c r="H2214" i="49"/>
  <c r="H2213" i="49"/>
  <c r="E338" i="46"/>
  <c r="H1823" i="49"/>
  <c r="H1822" i="49"/>
  <c r="E274" i="46"/>
  <c r="E820" i="46"/>
  <c r="H2486" i="49"/>
  <c r="H2485" i="49"/>
  <c r="H3139" i="49"/>
  <c r="H3557" i="49"/>
  <c r="H3556" i="49"/>
  <c r="E562" i="46"/>
  <c r="H4772" i="49"/>
  <c r="H3734" i="49"/>
  <c r="H4499" i="49"/>
  <c r="H1983" i="49"/>
  <c r="H2986" i="49"/>
  <c r="H3727" i="49"/>
  <c r="H3726" i="49"/>
  <c r="H5094" i="49"/>
  <c r="E811" i="46"/>
  <c r="L24" i="39"/>
  <c r="H3564" i="49"/>
  <c r="H2799" i="49"/>
  <c r="H2494" i="49"/>
  <c r="E380" i="46"/>
  <c r="H744" i="49"/>
  <c r="H750" i="49"/>
  <c r="J3937" i="49" l="1"/>
  <c r="Q3937" i="49" s="1"/>
  <c r="J617" i="46"/>
  <c r="J1982" i="49"/>
  <c r="Q1982" i="49" s="1"/>
  <c r="N144" i="14"/>
  <c r="Q59" i="13" s="1"/>
  <c r="P48" i="28" s="1"/>
  <c r="I64" i="14"/>
  <c r="L51" i="13" s="1"/>
  <c r="K48" i="20" s="1"/>
  <c r="J750" i="49"/>
  <c r="Q750" i="49" s="1"/>
  <c r="J744" i="49"/>
  <c r="Q744" i="49" s="1"/>
  <c r="J380" i="46"/>
  <c r="Q2494" i="49"/>
  <c r="J2494" i="49"/>
  <c r="J2799" i="49"/>
  <c r="Q2799" i="49" s="1"/>
  <c r="J3564" i="49"/>
  <c r="Q3564" i="49" s="1"/>
  <c r="P24" i="39"/>
  <c r="X24" i="39"/>
  <c r="J811" i="46"/>
  <c r="Q5094" i="49"/>
  <c r="J5094" i="49"/>
  <c r="Q3726" i="49"/>
  <c r="J3726" i="49"/>
  <c r="J3727" i="49"/>
  <c r="Q3727" i="49" s="1"/>
  <c r="J2986" i="49"/>
  <c r="Q2986" i="49" s="1"/>
  <c r="F96" i="50"/>
  <c r="J1983" i="49"/>
  <c r="Q1983" i="49" s="1"/>
  <c r="J4499" i="49"/>
  <c r="Q4499" i="49" s="1"/>
  <c r="J3734" i="49"/>
  <c r="Q3734" i="49" s="1"/>
  <c r="J4772" i="49"/>
  <c r="Q4772" i="49" s="1"/>
  <c r="J562" i="46"/>
  <c r="J3556" i="49"/>
  <c r="Q3556" i="49" s="1"/>
  <c r="J3557" i="49"/>
  <c r="Q3557" i="49" s="1"/>
  <c r="Q3139" i="49"/>
  <c r="J3139" i="49"/>
  <c r="Q2485" i="49"/>
  <c r="J2485" i="49"/>
  <c r="J2486" i="49"/>
  <c r="Q2486" i="49" s="1"/>
  <c r="J820" i="46"/>
  <c r="J274" i="46"/>
  <c r="J1822" i="49"/>
  <c r="Q1822" i="49" s="1"/>
  <c r="F88" i="50"/>
  <c r="J1823" i="49"/>
  <c r="Q1823" i="49" s="1"/>
  <c r="F89" i="50"/>
  <c r="J338" i="46"/>
  <c r="J2213" i="49"/>
  <c r="Q2213" i="49" s="1"/>
  <c r="J2214" i="49"/>
  <c r="Q2214" i="49" s="1"/>
  <c r="J145" i="46"/>
  <c r="J1838" i="49"/>
  <c r="Q1838" i="49" s="1"/>
  <c r="J1832" i="49"/>
  <c r="Q1832" i="49" s="1"/>
  <c r="J3378" i="49"/>
  <c r="Q3378" i="49" s="1"/>
  <c r="J388" i="46"/>
  <c r="J1023" i="49"/>
  <c r="Q1023" i="49" s="1"/>
  <c r="J1024" i="49"/>
  <c r="Q1024" i="49" s="1"/>
  <c r="J1659" i="49"/>
  <c r="Q1659" i="49" s="1"/>
  <c r="J2221" i="49"/>
  <c r="Q2221" i="49" s="1"/>
  <c r="J3131" i="49"/>
  <c r="Q3131" i="49" s="1"/>
  <c r="J3132" i="49"/>
  <c r="Q3132" i="49" s="1"/>
  <c r="J137" i="46"/>
  <c r="J1047" i="49"/>
  <c r="Q1047" i="49" s="1"/>
  <c r="J668" i="46"/>
  <c r="J4228" i="49"/>
  <c r="Q4228" i="49" s="1"/>
  <c r="J89" i="46"/>
  <c r="J758" i="49"/>
  <c r="Q758" i="49" s="1"/>
  <c r="J1354" i="49"/>
  <c r="Q1354" i="49" s="1"/>
  <c r="Q24" i="39"/>
  <c r="J810" i="46"/>
  <c r="J5086" i="49"/>
  <c r="Q5086" i="49" s="1"/>
  <c r="J5087" i="49"/>
  <c r="Q5087" i="49" s="1"/>
  <c r="J669" i="46"/>
  <c r="J4229" i="49"/>
  <c r="Q4229" i="49" s="1"/>
  <c r="J4235" i="49"/>
  <c r="Q4235" i="49" s="1"/>
  <c r="J4491" i="49"/>
  <c r="Q4491" i="49" s="1"/>
  <c r="J4492" i="49"/>
  <c r="Q4492" i="49" s="1"/>
  <c r="J1644" i="49"/>
  <c r="Q1644" i="49" s="1"/>
  <c r="J3923" i="49"/>
  <c r="Q3923" i="49"/>
  <c r="J3929" i="49"/>
  <c r="Q3929" i="49" s="1"/>
  <c r="J97" i="46"/>
  <c r="Q4787" i="49"/>
  <c r="J4787" i="49"/>
  <c r="J1033" i="49"/>
  <c r="Q1033" i="49" s="1"/>
  <c r="J1039" i="49"/>
  <c r="Q1039" i="49"/>
  <c r="J743" i="49"/>
  <c r="Q743" i="49" s="1"/>
  <c r="J1651" i="49"/>
  <c r="Q1651" i="49" s="1"/>
  <c r="J1645" i="49"/>
  <c r="Q1645" i="49"/>
  <c r="P20" i="39"/>
  <c r="S20" i="39" s="1"/>
  <c r="U20" i="39" s="1"/>
  <c r="X20" i="39"/>
  <c r="J619" i="46"/>
  <c r="J3938" i="49"/>
  <c r="Q3938" i="49" s="1"/>
  <c r="Q20" i="39"/>
  <c r="J618" i="46"/>
  <c r="J1032" i="49"/>
  <c r="Q1032" i="49" s="1"/>
  <c r="Q1831" i="49"/>
  <c r="J1831" i="49"/>
  <c r="J625" i="46"/>
  <c r="R80" i="13"/>
  <c r="Q64" i="21" s="1"/>
  <c r="Q76" i="21" s="1"/>
  <c r="Q77" i="21" s="1"/>
  <c r="P67" i="14"/>
  <c r="N67" i="16"/>
  <c r="N68" i="16" s="1"/>
  <c r="U83" i="13"/>
  <c r="T64" i="24" s="1"/>
  <c r="T76" i="24" s="1"/>
  <c r="T77" i="24" s="1"/>
  <c r="S97" i="14"/>
  <c r="R84" i="13"/>
  <c r="Q64" i="25" s="1"/>
  <c r="Q76" i="25" s="1"/>
  <c r="Q77" i="25" s="1"/>
  <c r="P107" i="14"/>
  <c r="Q81" i="13"/>
  <c r="P64" i="22" s="1"/>
  <c r="P76" i="22" s="1"/>
  <c r="P77" i="22" s="1"/>
  <c r="O77" i="14"/>
  <c r="V85" i="13"/>
  <c r="U64" i="26" s="1"/>
  <c r="U76" i="26" s="1"/>
  <c r="U77" i="26" s="1"/>
  <c r="T117" i="14"/>
  <c r="O86" i="22"/>
  <c r="G14" i="52"/>
  <c r="H96" i="49"/>
  <c r="J54" i="8"/>
  <c r="J56" i="8" s="1"/>
  <c r="P54" i="23"/>
  <c r="P56" i="23" s="1"/>
  <c r="P14" i="14"/>
  <c r="S46" i="13" s="1"/>
  <c r="R48" i="15" s="1"/>
  <c r="L79" i="13"/>
  <c r="K64" i="20" s="1"/>
  <c r="J57" i="14"/>
  <c r="M4" i="26"/>
  <c r="J56" i="26"/>
  <c r="J54" i="26"/>
  <c r="O54" i="31"/>
  <c r="M4" i="31"/>
  <c r="J54" i="24"/>
  <c r="J56" i="24" s="1"/>
  <c r="M4" i="24"/>
  <c r="S54" i="20"/>
  <c r="S56" i="20"/>
  <c r="Q90" i="13"/>
  <c r="P64" i="31" s="1"/>
  <c r="P76" i="31" s="1"/>
  <c r="P77" i="31" s="1"/>
  <c r="O167" i="14"/>
  <c r="N54" i="29"/>
  <c r="N56" i="29" s="1"/>
  <c r="S74" i="13"/>
  <c r="R64" i="15" s="1"/>
  <c r="R76" i="15" s="1"/>
  <c r="R77" i="15" s="1"/>
  <c r="Q7" i="14"/>
  <c r="R77" i="13"/>
  <c r="Q64" i="18" s="1"/>
  <c r="Q76" i="18" s="1"/>
  <c r="Q77" i="18" s="1"/>
  <c r="P37" i="14"/>
  <c r="T54" i="26"/>
  <c r="T56" i="26"/>
  <c r="M86" i="30"/>
  <c r="S54" i="24"/>
  <c r="O94" i="14"/>
  <c r="R54" i="13" s="1"/>
  <c r="Q48" i="23" s="1"/>
  <c r="O44" i="14"/>
  <c r="R49" i="13" s="1"/>
  <c r="Q48" i="18" s="1"/>
  <c r="M56" i="30"/>
  <c r="I119" i="14"/>
  <c r="I120" i="14" s="1"/>
  <c r="Q71" i="49"/>
  <c r="J71" i="49"/>
  <c r="E71" i="50"/>
  <c r="G71" i="50" s="1"/>
  <c r="H71" i="50" s="1"/>
  <c r="N28" i="14"/>
  <c r="N29" i="14" s="1"/>
  <c r="N30" i="14" s="1"/>
  <c r="N174" i="14"/>
  <c r="Q62" i="13" s="1"/>
  <c r="P48" i="31" s="1"/>
  <c r="O76" i="17"/>
  <c r="O77" i="17" s="1"/>
  <c r="J67" i="20"/>
  <c r="J68" i="20" s="1"/>
  <c r="R104" i="14"/>
  <c r="U55" i="13" s="1"/>
  <c r="T48" i="24" s="1"/>
  <c r="N84" i="14"/>
  <c r="Q53" i="13" s="1"/>
  <c r="P48" i="22" s="1"/>
  <c r="R58" i="14"/>
  <c r="R59" i="14"/>
  <c r="R60" i="14" s="1"/>
  <c r="P86" i="25"/>
  <c r="F16" i="52"/>
  <c r="F26" i="52"/>
  <c r="H87" i="49"/>
  <c r="H81" i="49"/>
  <c r="I67" i="8"/>
  <c r="I68" i="8" s="1"/>
  <c r="H89" i="49" s="1"/>
  <c r="P56" i="25"/>
  <c r="Q50" i="19"/>
  <c r="Q52" i="19"/>
  <c r="J80" i="49"/>
  <c r="Q80" i="49" s="1"/>
  <c r="E80" i="50"/>
  <c r="G80" i="50" s="1"/>
  <c r="H80" i="50" s="1"/>
  <c r="C16" i="1"/>
  <c r="Q54" i="15"/>
  <c r="Q86" i="15" s="1"/>
  <c r="P54" i="21"/>
  <c r="P56" i="21" s="1"/>
  <c r="P49" i="14"/>
  <c r="P50" i="14" s="1"/>
  <c r="P48" i="14"/>
  <c r="O50" i="17"/>
  <c r="O52" i="17"/>
  <c r="O86" i="28"/>
  <c r="O50" i="16"/>
  <c r="O52" i="16"/>
  <c r="P54" i="18"/>
  <c r="H531" i="46"/>
  <c r="H524" i="46"/>
  <c r="H495" i="46"/>
  <c r="H488" i="46"/>
  <c r="H494" i="46"/>
  <c r="H525" i="46"/>
  <c r="H514" i="46"/>
  <c r="H503" i="46"/>
  <c r="H498" i="46"/>
  <c r="H518" i="46"/>
  <c r="H527" i="46"/>
  <c r="H491" i="46"/>
  <c r="H510" i="46"/>
  <c r="H489" i="46"/>
  <c r="H530" i="46"/>
  <c r="H502" i="46"/>
  <c r="H506" i="46"/>
  <c r="H513" i="46"/>
  <c r="H516" i="46"/>
  <c r="H501" i="46"/>
  <c r="H497" i="46"/>
  <c r="H486" i="46"/>
  <c r="H504" i="46"/>
  <c r="M15" i="38"/>
  <c r="H490" i="46"/>
  <c r="H492" i="46"/>
  <c r="H515" i="46"/>
  <c r="H485" i="46"/>
  <c r="H523" i="46"/>
  <c r="H529" i="46"/>
  <c r="H522" i="46"/>
  <c r="H511" i="46"/>
  <c r="H532" i="46"/>
  <c r="H517" i="46"/>
  <c r="H526" i="46"/>
  <c r="H496" i="46"/>
  <c r="H509" i="46"/>
  <c r="H487" i="46"/>
  <c r="H505" i="46"/>
  <c r="H512" i="46"/>
  <c r="H493" i="46"/>
  <c r="H519" i="46"/>
  <c r="H500" i="46"/>
  <c r="H520" i="46"/>
  <c r="H528" i="46"/>
  <c r="H521" i="46"/>
  <c r="H499" i="46"/>
  <c r="H507" i="46"/>
  <c r="H508" i="46"/>
  <c r="N18" i="14"/>
  <c r="N19" i="14" s="1"/>
  <c r="N20" i="14" s="1"/>
  <c r="H243" i="46"/>
  <c r="H218" i="46"/>
  <c r="H214" i="46"/>
  <c r="H237" i="46"/>
  <c r="H242" i="46"/>
  <c r="H222" i="46"/>
  <c r="H203" i="46"/>
  <c r="H236" i="46"/>
  <c r="H226" i="46"/>
  <c r="H207" i="46"/>
  <c r="H239" i="46"/>
  <c r="H201" i="46"/>
  <c r="H225" i="46"/>
  <c r="H230" i="46"/>
  <c r="H200" i="46"/>
  <c r="H215" i="46"/>
  <c r="H210" i="46"/>
  <c r="H206" i="46"/>
  <c r="M9" i="38"/>
  <c r="H228" i="46"/>
  <c r="H227" i="46"/>
  <c r="H212" i="46"/>
  <c r="H209" i="46"/>
  <c r="H198" i="46"/>
  <c r="H219" i="46"/>
  <c r="H216" i="46"/>
  <c r="H202" i="46"/>
  <c r="H197" i="46"/>
  <c r="H235" i="46"/>
  <c r="H241" i="46"/>
  <c r="H234" i="46"/>
  <c r="H204" i="46"/>
  <c r="H223" i="46"/>
  <c r="H244" i="46"/>
  <c r="H229" i="46"/>
  <c r="H238" i="46"/>
  <c r="H211" i="46"/>
  <c r="H208" i="46"/>
  <c r="H221" i="46"/>
  <c r="H220" i="46"/>
  <c r="H213" i="46"/>
  <c r="H224" i="46"/>
  <c r="H217" i="46"/>
  <c r="H231" i="46"/>
  <c r="H233" i="46"/>
  <c r="H240" i="46"/>
  <c r="H205" i="46"/>
  <c r="H232" i="46"/>
  <c r="H199" i="46"/>
  <c r="O56" i="22"/>
  <c r="J95" i="49"/>
  <c r="Q95" i="49" s="1"/>
  <c r="E95" i="50"/>
  <c r="G95" i="50" s="1"/>
  <c r="H95" i="50" s="1"/>
  <c r="R82" i="13"/>
  <c r="Q64" i="23" s="1"/>
  <c r="Q76" i="23" s="1"/>
  <c r="Q77" i="23" s="1"/>
  <c r="P87" i="14"/>
  <c r="M148" i="14"/>
  <c r="M149" i="14" s="1"/>
  <c r="M150" i="14" s="1"/>
  <c r="O67" i="28"/>
  <c r="O68" i="28" s="1"/>
  <c r="Q87" i="13"/>
  <c r="P64" i="28" s="1"/>
  <c r="P76" i="28" s="1"/>
  <c r="P77" i="28" s="1"/>
  <c r="O137" i="14"/>
  <c r="H398" i="46"/>
  <c r="H394" i="46"/>
  <c r="H417" i="46"/>
  <c r="H431" i="46"/>
  <c r="H422" i="46"/>
  <c r="H402" i="46"/>
  <c r="H434" i="46"/>
  <c r="H416" i="46"/>
  <c r="H410" i="46"/>
  <c r="H426" i="46"/>
  <c r="H395" i="46"/>
  <c r="H390" i="46"/>
  <c r="H430" i="46"/>
  <c r="H423" i="46"/>
  <c r="H405" i="46"/>
  <c r="H419" i="46"/>
  <c r="H406" i="46"/>
  <c r="H407" i="46"/>
  <c r="H428" i="46"/>
  <c r="H425" i="46"/>
  <c r="H391" i="46"/>
  <c r="H412" i="46"/>
  <c r="H397" i="46"/>
  <c r="H435" i="46"/>
  <c r="H432" i="46"/>
  <c r="H413" i="46"/>
  <c r="H400" i="46"/>
  <c r="H429" i="46"/>
  <c r="H420" i="46"/>
  <c r="H401" i="46"/>
  <c r="H408" i="46"/>
  <c r="H433" i="46"/>
  <c r="H404" i="46"/>
  <c r="H403" i="46"/>
  <c r="H396" i="46"/>
  <c r="H414" i="46"/>
  <c r="H421" i="46"/>
  <c r="H418" i="46"/>
  <c r="H427" i="46"/>
  <c r="H411" i="46"/>
  <c r="H424" i="46"/>
  <c r="H409" i="46"/>
  <c r="H415" i="46"/>
  <c r="M13" i="38"/>
  <c r="H436" i="46"/>
  <c r="H393" i="46"/>
  <c r="H399" i="46"/>
  <c r="H392" i="46"/>
  <c r="H389" i="46"/>
  <c r="P86" i="19"/>
  <c r="N67" i="27"/>
  <c r="N68" i="27" s="1"/>
  <c r="O114" i="14"/>
  <c r="R56" i="13" s="1"/>
  <c r="Q48" i="25" s="1"/>
  <c r="M159" i="14"/>
  <c r="M160" i="14" s="1"/>
  <c r="M158" i="14"/>
  <c r="O76" i="16"/>
  <c r="O77" i="16" s="1"/>
  <c r="N50" i="30"/>
  <c r="N52" i="30"/>
  <c r="O74" i="14"/>
  <c r="R52" i="13" s="1"/>
  <c r="Q48" i="21" s="1"/>
  <c r="F8" i="38"/>
  <c r="H8" i="32"/>
  <c r="H8" i="38" s="1"/>
  <c r="N67" i="17"/>
  <c r="N68" i="17" s="1"/>
  <c r="N86" i="16"/>
  <c r="P67" i="19"/>
  <c r="P68" i="19" s="1"/>
  <c r="C45" i="1"/>
  <c r="I45" i="1" s="1"/>
  <c r="W15" i="39"/>
  <c r="J12" i="3"/>
  <c r="G12" i="32" s="1"/>
  <c r="G12" i="38" s="1"/>
  <c r="F12" i="32"/>
  <c r="V15" i="39"/>
  <c r="C17" i="4"/>
  <c r="N2544" i="49"/>
  <c r="O2544" i="49" s="1"/>
  <c r="N2602" i="49"/>
  <c r="O2602" i="49" s="1"/>
  <c r="N2408" i="49"/>
  <c r="O2408" i="49" s="1"/>
  <c r="N2595" i="49"/>
  <c r="O2595" i="49" s="1"/>
  <c r="N2335" i="49"/>
  <c r="O2335" i="49" s="1"/>
  <c r="N2521" i="49"/>
  <c r="O2521" i="49" s="1"/>
  <c r="N2379" i="49"/>
  <c r="O2379" i="49" s="1"/>
  <c r="N2496" i="49"/>
  <c r="O2496" i="49" s="1"/>
  <c r="N2468" i="49"/>
  <c r="O2468" i="49" s="1"/>
  <c r="N2337" i="49"/>
  <c r="O2337" i="49" s="1"/>
  <c r="N2604" i="49"/>
  <c r="O2604" i="49" s="1"/>
  <c r="N2558" i="49"/>
  <c r="O2558" i="49" s="1"/>
  <c r="N2553" i="49"/>
  <c r="O2553" i="49" s="1"/>
  <c r="N2519" i="49"/>
  <c r="O2519" i="49" s="1"/>
  <c r="N2428" i="49"/>
  <c r="O2428" i="49" s="1"/>
  <c r="N2363" i="49"/>
  <c r="O2363" i="49" s="1"/>
  <c r="N2541" i="49"/>
  <c r="O2541" i="49" s="1"/>
  <c r="N2373" i="49"/>
  <c r="O2373" i="49" s="1"/>
  <c r="N2572" i="49"/>
  <c r="O2572" i="49" s="1"/>
  <c r="N2393" i="49"/>
  <c r="O2393" i="49" s="1"/>
  <c r="N2570" i="49"/>
  <c r="O2570" i="49" s="1"/>
  <c r="N2483" i="49"/>
  <c r="O2483" i="49" s="1"/>
  <c r="N2447" i="49"/>
  <c r="O2447" i="49" s="1"/>
  <c r="N2442" i="49"/>
  <c r="O2442" i="49" s="1"/>
  <c r="N2412" i="49"/>
  <c r="O2412" i="49" s="1"/>
  <c r="N2460" i="49"/>
  <c r="O2460" i="49" s="1"/>
  <c r="N2383" i="49"/>
  <c r="O2383" i="49" s="1"/>
  <c r="N2433" i="49"/>
  <c r="O2433" i="49" s="1"/>
  <c r="N2405" i="49"/>
  <c r="O2405" i="49" s="1"/>
  <c r="N2481" i="49"/>
  <c r="O2481" i="49" s="1"/>
  <c r="N2578" i="49"/>
  <c r="O2578" i="49" s="1"/>
  <c r="N2470" i="49"/>
  <c r="O2470" i="49" s="1"/>
  <c r="N2423" i="49"/>
  <c r="O2423" i="49" s="1"/>
  <c r="N2473" i="49"/>
  <c r="O2473" i="49" s="1"/>
  <c r="N2492" i="49"/>
  <c r="O2492" i="49" s="1"/>
  <c r="N2439" i="49"/>
  <c r="O2439" i="49" s="1"/>
  <c r="N2499" i="49"/>
  <c r="O2499" i="49" s="1"/>
  <c r="N2364" i="49"/>
  <c r="O2364" i="49" s="1"/>
  <c r="N2577" i="49"/>
  <c r="O2577" i="49" s="1"/>
  <c r="N2352" i="49"/>
  <c r="O2352" i="49" s="1"/>
  <c r="N2583" i="49"/>
  <c r="O2583" i="49" s="1"/>
  <c r="N2594" i="49"/>
  <c r="O2594" i="49" s="1"/>
  <c r="N2387" i="49"/>
  <c r="O2387" i="49" s="1"/>
  <c r="N2436" i="49"/>
  <c r="O2436" i="49" s="1"/>
  <c r="N2403" i="49"/>
  <c r="O2403" i="49" s="1"/>
  <c r="N2600" i="49"/>
  <c r="O2600" i="49" s="1"/>
  <c r="N2453" i="49"/>
  <c r="O2453" i="49" s="1"/>
  <c r="N2461" i="49"/>
  <c r="O2461" i="49" s="1"/>
  <c r="N2409" i="49"/>
  <c r="O2409" i="49" s="1"/>
  <c r="N2561" i="49"/>
  <c r="O2561" i="49" s="1"/>
  <c r="N2334" i="49"/>
  <c r="O2334" i="49" s="1"/>
  <c r="N2380" i="49"/>
  <c r="O2380" i="49" s="1"/>
  <c r="N2342" i="49"/>
  <c r="O2342" i="49" s="1"/>
  <c r="N2557" i="49"/>
  <c r="O2557" i="49" s="1"/>
  <c r="N2490" i="49"/>
  <c r="O2490" i="49" s="1"/>
  <c r="N2430" i="49"/>
  <c r="O2430" i="49" s="1"/>
  <c r="N2448" i="49"/>
  <c r="O2448" i="49" s="1"/>
  <c r="N2500" i="49"/>
  <c r="O2500" i="49" s="1"/>
  <c r="N2422" i="49"/>
  <c r="O2422" i="49" s="1"/>
  <c r="N2345" i="49"/>
  <c r="O2345" i="49" s="1"/>
  <c r="N2384" i="49"/>
  <c r="O2384" i="49" s="1"/>
  <c r="N2420" i="49"/>
  <c r="O2420" i="49" s="1"/>
  <c r="N2539" i="49"/>
  <c r="O2539" i="49" s="1"/>
  <c r="N2391" i="49"/>
  <c r="O2391" i="49" s="1"/>
  <c r="N2347" i="49"/>
  <c r="O2347" i="49" s="1"/>
  <c r="N2360" i="49"/>
  <c r="O2360" i="49" s="1"/>
  <c r="N2556" i="49"/>
  <c r="O2556" i="49" s="1"/>
  <c r="N2510" i="49"/>
  <c r="O2510" i="49" s="1"/>
  <c r="N2427" i="49"/>
  <c r="O2427" i="49" s="1"/>
  <c r="N2474" i="49"/>
  <c r="O2474" i="49" s="1"/>
  <c r="N2520" i="49"/>
  <c r="O2520" i="49" s="1"/>
  <c r="N2537" i="49"/>
  <c r="O2537" i="49" s="1"/>
  <c r="N2482" i="49"/>
  <c r="O2482" i="49" s="1"/>
  <c r="N2480" i="49"/>
  <c r="O2480" i="49" s="1"/>
  <c r="N2530" i="49"/>
  <c r="O2530" i="49" s="1"/>
  <c r="N2319" i="49"/>
  <c r="O2319" i="49" s="1"/>
  <c r="N2592" i="49"/>
  <c r="O2592" i="49" s="1"/>
  <c r="N2368" i="49"/>
  <c r="O2368" i="49" s="1"/>
  <c r="N2336" i="49"/>
  <c r="O2336" i="49" s="1"/>
  <c r="N2349" i="49"/>
  <c r="O2349" i="49" s="1"/>
  <c r="N2586" i="49"/>
  <c r="O2586" i="49" s="1"/>
  <c r="N2516" i="49"/>
  <c r="O2516" i="49" s="1"/>
  <c r="N2413" i="49"/>
  <c r="O2413" i="49" s="1"/>
  <c r="N2372" i="49"/>
  <c r="O2372" i="49" s="1"/>
  <c r="N2317" i="49"/>
  <c r="O2317" i="49" s="1"/>
  <c r="N2394" i="49"/>
  <c r="O2394" i="49" s="1"/>
  <c r="N2350" i="49"/>
  <c r="O2350" i="49" s="1"/>
  <c r="N2554" i="49"/>
  <c r="O2554" i="49" s="1"/>
  <c r="N2501" i="49"/>
  <c r="O2501" i="49" s="1"/>
  <c r="N2322" i="49"/>
  <c r="O2322" i="49" s="1"/>
  <c r="N2414" i="49"/>
  <c r="O2414" i="49" s="1"/>
  <c r="N2580" i="49"/>
  <c r="O2580" i="49" s="1"/>
  <c r="N2575" i="49"/>
  <c r="O2575" i="49" s="1"/>
  <c r="N2451" i="49"/>
  <c r="O2451" i="49" s="1"/>
  <c r="N2404" i="49"/>
  <c r="O2404" i="49" s="1"/>
  <c r="N2585" i="49"/>
  <c r="O2585" i="49" s="1"/>
  <c r="N2513" i="49"/>
  <c r="O2513" i="49" s="1"/>
  <c r="N2581" i="49"/>
  <c r="O2581" i="49" s="1"/>
  <c r="N2426" i="49"/>
  <c r="O2426" i="49" s="1"/>
  <c r="N2332" i="49"/>
  <c r="O2332" i="49" s="1"/>
  <c r="N2599" i="49"/>
  <c r="O2599" i="49" s="1"/>
  <c r="N2452" i="49"/>
  <c r="O2452" i="49" s="1"/>
  <c r="N2455" i="49"/>
  <c r="O2455" i="49" s="1"/>
  <c r="N2484" i="49"/>
  <c r="O2484" i="49" s="1"/>
  <c r="N2565" i="49"/>
  <c r="O2565" i="49" s="1"/>
  <c r="N2479" i="49"/>
  <c r="O2479" i="49" s="1"/>
  <c r="N2576" i="49"/>
  <c r="O2576" i="49" s="1"/>
  <c r="N2378" i="49"/>
  <c r="O2378" i="49" s="1"/>
  <c r="N2574" i="49"/>
  <c r="O2574" i="49" s="1"/>
  <c r="N2425" i="49"/>
  <c r="O2425" i="49" s="1"/>
  <c r="N2518" i="49"/>
  <c r="O2518" i="49" s="1"/>
  <c r="N2371" i="49"/>
  <c r="O2371" i="49" s="1"/>
  <c r="N2566" i="49"/>
  <c r="O2566" i="49" s="1"/>
  <c r="N2531" i="49"/>
  <c r="O2531" i="49" s="1"/>
  <c r="N2377" i="49"/>
  <c r="O2377" i="49" s="1"/>
  <c r="N2593" i="49"/>
  <c r="O2593" i="49" s="1"/>
  <c r="N2397" i="49"/>
  <c r="O2397" i="49" s="1"/>
  <c r="N2534" i="49"/>
  <c r="O2534" i="49" s="1"/>
  <c r="N2355" i="49"/>
  <c r="O2355" i="49" s="1"/>
  <c r="N2533" i="49"/>
  <c r="O2533" i="49" s="1"/>
  <c r="N2466" i="49"/>
  <c r="O2466" i="49" s="1"/>
  <c r="N2395" i="49"/>
  <c r="O2395" i="49" s="1"/>
  <c r="N2552" i="49"/>
  <c r="O2552" i="49" s="1"/>
  <c r="N2560" i="49"/>
  <c r="O2560" i="49" s="1"/>
  <c r="N2571" i="49"/>
  <c r="O2571" i="49" s="1"/>
  <c r="N2375" i="49"/>
  <c r="O2375" i="49" s="1"/>
  <c r="N2333" i="49"/>
  <c r="O2333" i="49" s="1"/>
  <c r="N2457" i="49"/>
  <c r="O2457" i="49" s="1"/>
  <c r="N2459" i="49"/>
  <c r="O2459" i="49" s="1"/>
  <c r="N2517" i="49"/>
  <c r="O2517" i="49" s="1"/>
  <c r="N2458" i="49"/>
  <c r="O2458" i="49" s="1"/>
  <c r="N2431" i="49"/>
  <c r="O2431" i="49" s="1"/>
  <c r="N2341" i="49"/>
  <c r="O2341" i="49" s="1"/>
  <c r="N2601" i="49"/>
  <c r="O2601" i="49" s="1"/>
  <c r="N2326" i="49"/>
  <c r="O2326" i="49" s="1"/>
  <c r="N2528" i="49"/>
  <c r="O2528" i="49" s="1"/>
  <c r="N2550" i="49"/>
  <c r="O2550" i="49" s="1"/>
  <c r="N2402" i="49"/>
  <c r="O2402" i="49" s="1"/>
  <c r="N2449" i="49"/>
  <c r="O2449" i="49" s="1"/>
  <c r="N2514" i="49"/>
  <c r="O2514" i="49" s="1"/>
  <c r="N2389" i="49"/>
  <c r="O2389" i="49" s="1"/>
  <c r="N2340" i="49"/>
  <c r="O2340" i="49" s="1"/>
  <c r="N2538" i="49"/>
  <c r="O2538" i="49" s="1"/>
  <c r="N2524" i="49"/>
  <c r="O2524" i="49" s="1"/>
  <c r="N2464" i="49"/>
  <c r="O2464" i="49" s="1"/>
  <c r="N2485" i="49"/>
  <c r="O2485" i="49" s="1"/>
  <c r="N2323" i="49"/>
  <c r="O2323" i="49" s="1"/>
  <c r="N2330" i="49"/>
  <c r="O2330" i="49" s="1"/>
  <c r="N2400" i="49"/>
  <c r="O2400" i="49" s="1"/>
  <c r="N2321" i="49"/>
  <c r="O2321" i="49" s="1"/>
  <c r="N2486" i="49"/>
  <c r="O2486" i="49" s="1"/>
  <c r="N2507" i="49"/>
  <c r="O2507" i="49" s="1"/>
  <c r="N2547" i="49"/>
  <c r="O2547" i="49" s="1"/>
  <c r="N2527" i="49"/>
  <c r="O2527" i="49" s="1"/>
  <c r="N2357" i="49"/>
  <c r="O2357" i="49" s="1"/>
  <c r="N2525" i="49"/>
  <c r="O2525" i="49" s="1"/>
  <c r="N2454" i="49"/>
  <c r="O2454" i="49" s="1"/>
  <c r="N2603" i="49"/>
  <c r="O2603" i="49" s="1"/>
  <c r="N2467" i="49"/>
  <c r="O2467" i="49" s="1"/>
  <c r="N2370" i="49"/>
  <c r="O2370" i="49" s="1"/>
  <c r="N2488" i="49"/>
  <c r="O2488" i="49" s="1"/>
  <c r="N2327" i="49"/>
  <c r="O2327" i="49" s="1"/>
  <c r="N2551" i="49"/>
  <c r="O2551" i="49" s="1"/>
  <c r="N2354" i="49"/>
  <c r="O2354" i="49" s="1"/>
  <c r="N2376" i="49"/>
  <c r="O2376" i="49" s="1"/>
  <c r="N2568" i="49"/>
  <c r="O2568" i="49" s="1"/>
  <c r="N2358" i="49"/>
  <c r="O2358" i="49" s="1"/>
  <c r="N2386" i="49"/>
  <c r="O2386" i="49" s="1"/>
  <c r="N2463" i="49"/>
  <c r="O2463" i="49" s="1"/>
  <c r="N2324" i="49"/>
  <c r="O2324" i="49" s="1"/>
  <c r="N2542" i="49"/>
  <c r="O2542" i="49" s="1"/>
  <c r="N2559" i="49"/>
  <c r="O2559" i="49" s="1"/>
  <c r="N2506" i="49"/>
  <c r="O2506" i="49" s="1"/>
  <c r="N2502" i="49"/>
  <c r="O2502" i="49" s="1"/>
  <c r="N2493" i="49"/>
  <c r="O2493" i="49" s="1"/>
  <c r="N2579" i="49"/>
  <c r="O2579" i="49" s="1"/>
  <c r="N2469" i="49"/>
  <c r="O2469" i="49" s="1"/>
  <c r="N2320" i="49"/>
  <c r="O2320" i="49" s="1"/>
  <c r="N2465" i="49"/>
  <c r="O2465" i="49" s="1"/>
  <c r="N2374" i="49"/>
  <c r="O2374" i="49" s="1"/>
  <c r="N2432" i="49"/>
  <c r="O2432" i="49" s="1"/>
  <c r="N2588" i="49"/>
  <c r="O2588" i="49" s="1"/>
  <c r="N2343" i="49"/>
  <c r="O2343" i="49" s="1"/>
  <c r="N2590" i="49"/>
  <c r="O2590" i="49" s="1"/>
  <c r="N2532" i="49"/>
  <c r="O2532" i="49" s="1"/>
  <c r="N2429" i="49"/>
  <c r="O2429" i="49" s="1"/>
  <c r="N2598" i="49"/>
  <c r="O2598" i="49" s="1"/>
  <c r="N2529" i="49"/>
  <c r="O2529" i="49" s="1"/>
  <c r="N2491" i="49"/>
  <c r="O2491" i="49" s="1"/>
  <c r="N2546" i="49"/>
  <c r="O2546" i="49" s="1"/>
  <c r="N2367" i="49"/>
  <c r="O2367" i="49" s="1"/>
  <c r="N2348" i="49"/>
  <c r="O2348" i="49" s="1"/>
  <c r="N2512" i="49"/>
  <c r="O2512" i="49" s="1"/>
  <c r="N2392" i="49"/>
  <c r="O2392" i="49" s="1"/>
  <c r="N2338" i="49"/>
  <c r="O2338" i="49" s="1"/>
  <c r="N2503" i="49"/>
  <c r="O2503" i="49" s="1"/>
  <c r="N2443" i="49"/>
  <c r="O2443" i="49" s="1"/>
  <c r="N2388" i="49"/>
  <c r="O2388" i="49" s="1"/>
  <c r="N2424" i="49"/>
  <c r="O2424" i="49" s="1"/>
  <c r="N2361" i="49"/>
  <c r="O2361" i="49" s="1"/>
  <c r="N2543" i="49"/>
  <c r="O2543" i="49" s="1"/>
  <c r="N2438" i="49"/>
  <c r="O2438" i="49" s="1"/>
  <c r="N2382" i="49"/>
  <c r="O2382" i="49" s="1"/>
  <c r="N2526" i="49"/>
  <c r="O2526" i="49" s="1"/>
  <c r="N2346" i="49"/>
  <c r="O2346" i="49" s="1"/>
  <c r="N2589" i="49"/>
  <c r="O2589" i="49" s="1"/>
  <c r="N2369" i="49"/>
  <c r="O2369" i="49" s="1"/>
  <c r="N2535" i="49"/>
  <c r="O2535" i="49" s="1"/>
  <c r="N2478" i="49"/>
  <c r="O2478" i="49" s="1"/>
  <c r="N2508" i="49"/>
  <c r="O2508" i="49" s="1"/>
  <c r="N2548" i="49"/>
  <c r="O2548" i="49" s="1"/>
  <c r="N2434" i="49"/>
  <c r="O2434" i="49" s="1"/>
  <c r="N2462" i="49"/>
  <c r="O2462" i="49" s="1"/>
  <c r="N2596" i="49"/>
  <c r="O2596" i="49" s="1"/>
  <c r="N2545" i="49"/>
  <c r="O2545" i="49" s="1"/>
  <c r="N2605" i="49"/>
  <c r="O2605" i="49" s="1"/>
  <c r="N2456" i="49"/>
  <c r="O2456" i="49" s="1"/>
  <c r="N2407" i="49"/>
  <c r="O2407" i="49" s="1"/>
  <c r="N2351" i="49"/>
  <c r="O2351" i="49" s="1"/>
  <c r="N2419" i="49"/>
  <c r="O2419" i="49" s="1"/>
  <c r="N2415" i="49"/>
  <c r="O2415" i="49" s="1"/>
  <c r="N2344" i="49"/>
  <c r="O2344" i="49" s="1"/>
  <c r="N2362" i="49"/>
  <c r="O2362" i="49" s="1"/>
  <c r="N2523" i="49"/>
  <c r="O2523" i="49" s="1"/>
  <c r="N2446" i="49"/>
  <c r="O2446" i="49" s="1"/>
  <c r="N2328" i="49"/>
  <c r="O2328" i="49" s="1"/>
  <c r="N2584" i="49"/>
  <c r="O2584" i="49" s="1"/>
  <c r="N2509" i="49"/>
  <c r="O2509" i="49" s="1"/>
  <c r="N2385" i="49"/>
  <c r="O2385" i="49" s="1"/>
  <c r="N2450" i="49"/>
  <c r="O2450" i="49" s="1"/>
  <c r="N2515" i="49"/>
  <c r="O2515" i="49" s="1"/>
  <c r="N2582" i="49"/>
  <c r="O2582" i="49" s="1"/>
  <c r="N2522" i="49"/>
  <c r="O2522" i="49" s="1"/>
  <c r="N2401" i="49"/>
  <c r="O2401" i="49" s="1"/>
  <c r="N2573" i="49"/>
  <c r="O2573" i="49" s="1"/>
  <c r="N2567" i="49"/>
  <c r="O2567" i="49" s="1"/>
  <c r="N2494" i="49"/>
  <c r="O2494" i="49" s="1"/>
  <c r="N2410" i="49"/>
  <c r="O2410" i="49" s="1"/>
  <c r="N2417" i="49"/>
  <c r="O2417" i="49" s="1"/>
  <c r="N2477" i="49"/>
  <c r="O2477" i="49" s="1"/>
  <c r="N2498" i="49"/>
  <c r="O2498" i="49" s="1"/>
  <c r="N2564" i="49"/>
  <c r="O2564" i="49" s="1"/>
  <c r="N2471" i="49"/>
  <c r="O2471" i="49" s="1"/>
  <c r="N2421" i="49"/>
  <c r="O2421" i="49" s="1"/>
  <c r="N2504" i="49"/>
  <c r="O2504" i="49" s="1"/>
  <c r="N2540" i="49"/>
  <c r="O2540" i="49" s="1"/>
  <c r="N2325" i="49"/>
  <c r="O2325" i="49" s="1"/>
  <c r="N2441" i="49"/>
  <c r="O2441" i="49" s="1"/>
  <c r="N2353" i="49"/>
  <c r="O2353" i="49" s="1"/>
  <c r="N2416" i="49"/>
  <c r="O2416" i="49" s="1"/>
  <c r="N2435" i="49"/>
  <c r="O2435" i="49" s="1"/>
  <c r="N2418" i="49"/>
  <c r="O2418" i="49" s="1"/>
  <c r="N2476" i="49"/>
  <c r="O2476" i="49" s="1"/>
  <c r="N2331" i="49"/>
  <c r="O2331" i="49" s="1"/>
  <c r="N2587" i="49"/>
  <c r="O2587" i="49" s="1"/>
  <c r="N2489" i="49"/>
  <c r="O2489" i="49" s="1"/>
  <c r="N2497" i="49"/>
  <c r="O2497" i="49" s="1"/>
  <c r="N2359" i="49"/>
  <c r="O2359" i="49" s="1"/>
  <c r="N2339" i="49"/>
  <c r="O2339" i="49" s="1"/>
  <c r="N2511" i="49"/>
  <c r="O2511" i="49" s="1"/>
  <c r="N2549" i="49"/>
  <c r="O2549" i="49" s="1"/>
  <c r="N2475" i="49"/>
  <c r="O2475" i="49" s="1"/>
  <c r="N2381" i="49"/>
  <c r="O2381" i="49" s="1"/>
  <c r="N2437" i="49"/>
  <c r="O2437" i="49" s="1"/>
  <c r="N2440" i="49"/>
  <c r="O2440" i="49" s="1"/>
  <c r="N2444" i="49"/>
  <c r="O2444" i="49" s="1"/>
  <c r="N2562" i="49"/>
  <c r="O2562" i="49" s="1"/>
  <c r="N2591" i="49"/>
  <c r="O2591" i="49" s="1"/>
  <c r="N2396" i="49"/>
  <c r="O2396" i="49" s="1"/>
  <c r="N2569" i="49"/>
  <c r="O2569" i="49" s="1"/>
  <c r="N2487" i="49"/>
  <c r="O2487" i="49" s="1"/>
  <c r="N2536" i="49"/>
  <c r="O2536" i="49" s="1"/>
  <c r="N2406" i="49"/>
  <c r="O2406" i="49" s="1"/>
  <c r="N2329" i="49"/>
  <c r="O2329" i="49" s="1"/>
  <c r="N2563" i="49"/>
  <c r="O2563" i="49" s="1"/>
  <c r="N2356" i="49"/>
  <c r="O2356" i="49" s="1"/>
  <c r="N2445" i="49"/>
  <c r="O2445" i="49" s="1"/>
  <c r="N2398" i="49"/>
  <c r="O2398" i="49" s="1"/>
  <c r="N2366" i="49"/>
  <c r="O2366" i="49" s="1"/>
  <c r="N2399" i="49"/>
  <c r="O2399" i="49" s="1"/>
  <c r="N2597" i="49"/>
  <c r="O2597" i="49" s="1"/>
  <c r="N2318" i="49"/>
  <c r="O2318" i="49" s="1"/>
  <c r="N2472" i="49"/>
  <c r="O2472" i="49" s="1"/>
  <c r="N2555" i="49"/>
  <c r="O2555" i="49" s="1"/>
  <c r="N2390" i="49"/>
  <c r="O2390" i="49" s="1"/>
  <c r="N2505" i="49"/>
  <c r="O2505" i="49" s="1"/>
  <c r="N2411" i="49"/>
  <c r="O2411" i="49" s="1"/>
  <c r="N2365" i="49"/>
  <c r="O2365" i="49" s="1"/>
  <c r="N2495" i="49"/>
  <c r="O2495" i="49" s="1"/>
  <c r="K50" i="20"/>
  <c r="K52" i="20"/>
  <c r="P50" i="28"/>
  <c r="P52" i="28"/>
  <c r="O54" i="27"/>
  <c r="M4" i="27"/>
  <c r="H330" i="46"/>
  <c r="H311" i="46"/>
  <c r="H334" i="46"/>
  <c r="H315" i="46"/>
  <c r="H333" i="46"/>
  <c r="H323" i="46"/>
  <c r="H314" i="46"/>
  <c r="H294" i="46"/>
  <c r="H326" i="46"/>
  <c r="H297" i="46"/>
  <c r="H338" i="46"/>
  <c r="H308" i="46"/>
  <c r="H302" i="46"/>
  <c r="H322" i="46"/>
  <c r="H298" i="46"/>
  <c r="H318" i="46"/>
  <c r="H309" i="46"/>
  <c r="H300" i="46"/>
  <c r="H321" i="46"/>
  <c r="H320" i="46"/>
  <c r="H319" i="46"/>
  <c r="H340" i="46"/>
  <c r="H325" i="46"/>
  <c r="M11" i="38"/>
  <c r="H327" i="46"/>
  <c r="H307" i="46"/>
  <c r="H328" i="46"/>
  <c r="H313" i="46"/>
  <c r="H335" i="46"/>
  <c r="H329" i="46"/>
  <c r="H295" i="46"/>
  <c r="H316" i="46"/>
  <c r="H301" i="46"/>
  <c r="H304" i="46"/>
  <c r="H299" i="46"/>
  <c r="H312" i="46"/>
  <c r="H332" i="46"/>
  <c r="H306" i="46"/>
  <c r="H337" i="46"/>
  <c r="H339" i="46"/>
  <c r="H317" i="46"/>
  <c r="H336" i="46"/>
  <c r="H296" i="46"/>
  <c r="H310" i="46"/>
  <c r="H303" i="46"/>
  <c r="H324" i="46"/>
  <c r="H331" i="46"/>
  <c r="H305" i="46"/>
  <c r="H293" i="46"/>
  <c r="J72" i="49"/>
  <c r="Q72" i="49" s="1"/>
  <c r="E72" i="50"/>
  <c r="G72" i="50" s="1"/>
  <c r="H72" i="50" s="1"/>
  <c r="N86" i="17"/>
  <c r="S124" i="14"/>
  <c r="V57" i="13" s="1"/>
  <c r="U48" i="26" s="1"/>
  <c r="J86" i="20"/>
  <c r="I99" i="14"/>
  <c r="I100" i="14" s="1"/>
  <c r="N128" i="14"/>
  <c r="N129" i="14"/>
  <c r="N130" i="14" s="1"/>
  <c r="O76" i="27"/>
  <c r="O77" i="27" s="1"/>
  <c r="H4243" i="49"/>
  <c r="H1846" i="49"/>
  <c r="H1985" i="49"/>
  <c r="H1991" i="49"/>
  <c r="H1653" i="49"/>
  <c r="H1652" i="49"/>
  <c r="H5110" i="49"/>
  <c r="H3140" i="49"/>
  <c r="E148" i="46"/>
  <c r="H2222" i="49"/>
  <c r="H1355" i="49"/>
  <c r="H3939" i="49"/>
  <c r="E620" i="46"/>
  <c r="H752" i="49"/>
  <c r="H751" i="49"/>
  <c r="H3566" i="49"/>
  <c r="H3572" i="49"/>
  <c r="H4500" i="49"/>
  <c r="H2815" i="49"/>
  <c r="H1840" i="49"/>
  <c r="H1839" i="49"/>
  <c r="E100" i="46"/>
  <c r="E628" i="46"/>
  <c r="H3565" i="49"/>
  <c r="H1370" i="49"/>
  <c r="H4237" i="49"/>
  <c r="H4236" i="49"/>
  <c r="E674" i="46"/>
  <c r="H4779" i="49"/>
  <c r="H4773" i="49"/>
  <c r="H3155" i="49"/>
  <c r="H3385" i="49"/>
  <c r="H3379" i="49"/>
  <c r="H2801" i="49"/>
  <c r="H2807" i="49"/>
  <c r="H5095" i="49"/>
  <c r="E812" i="46"/>
  <c r="H2509" i="49"/>
  <c r="H4788" i="49"/>
  <c r="H2800" i="49"/>
  <c r="H1660" i="49"/>
  <c r="E138" i="46"/>
  <c r="M10" i="39"/>
  <c r="H2237" i="49"/>
  <c r="H2987" i="49"/>
  <c r="H1048" i="49"/>
  <c r="E139" i="46"/>
  <c r="L10" i="39"/>
  <c r="H2501" i="49"/>
  <c r="H2495" i="49"/>
  <c r="E381" i="46"/>
  <c r="H1847" i="49"/>
  <c r="H3750" i="49"/>
  <c r="H3735" i="49"/>
  <c r="E90" i="46"/>
  <c r="M9" i="39"/>
  <c r="H3931" i="49"/>
  <c r="H3930" i="49"/>
  <c r="H1041" i="49"/>
  <c r="H1040" i="49"/>
  <c r="H1984" i="49"/>
  <c r="H3742" i="49"/>
  <c r="H3736" i="49"/>
  <c r="H4244" i="49"/>
  <c r="H3393" i="49"/>
  <c r="H759" i="49"/>
  <c r="E91" i="46"/>
  <c r="L9" i="39"/>
  <c r="H2994" i="49"/>
  <c r="H2988" i="49"/>
  <c r="H4501" i="49"/>
  <c r="H4507" i="49"/>
  <c r="H2223" i="49"/>
  <c r="H2229" i="49"/>
  <c r="J1846" i="49" l="1"/>
  <c r="Q1846" i="49" s="1"/>
  <c r="J4243" i="49"/>
  <c r="Q4243" i="49" s="1"/>
  <c r="P54" i="14"/>
  <c r="S50" i="13" s="1"/>
  <c r="R48" i="19" s="1"/>
  <c r="I124" i="14"/>
  <c r="L57" i="13" s="1"/>
  <c r="K48" i="26" s="1"/>
  <c r="J2229" i="49"/>
  <c r="Q2229" i="49" s="1"/>
  <c r="J2223" i="49"/>
  <c r="Q2223" i="49" s="1"/>
  <c r="J4507" i="49"/>
  <c r="Q4507" i="49" s="1"/>
  <c r="J4501" i="49"/>
  <c r="Q4501" i="49" s="1"/>
  <c r="J2988" i="49"/>
  <c r="Q2988" i="49" s="1"/>
  <c r="F98" i="50"/>
  <c r="J2994" i="49"/>
  <c r="Q2994" i="49" s="1"/>
  <c r="F104" i="50"/>
  <c r="P9" i="39"/>
  <c r="X9" i="39"/>
  <c r="J91" i="46"/>
  <c r="J759" i="49"/>
  <c r="Q759" i="49" s="1"/>
  <c r="J3393" i="49"/>
  <c r="Q3393" i="49" s="1"/>
  <c r="J4244" i="49"/>
  <c r="Q4244" i="49" s="1"/>
  <c r="J3736" i="49"/>
  <c r="Q3736" i="49" s="1"/>
  <c r="J3742" i="49"/>
  <c r="Q3742" i="49" s="1"/>
  <c r="J1984" i="49"/>
  <c r="Q1984" i="49" s="1"/>
  <c r="J1040" i="49"/>
  <c r="Q1040" i="49" s="1"/>
  <c r="Q1041" i="49"/>
  <c r="J1041" i="49"/>
  <c r="J3930" i="49"/>
  <c r="Q3930" i="49"/>
  <c r="J3931" i="49"/>
  <c r="Q3931" i="49" s="1"/>
  <c r="Q9" i="39"/>
  <c r="J90" i="46"/>
  <c r="J3735" i="49"/>
  <c r="Q3735" i="49" s="1"/>
  <c r="J3750" i="49"/>
  <c r="Q3750" i="49" s="1"/>
  <c r="Q1847" i="49"/>
  <c r="J1847" i="49"/>
  <c r="J381" i="46"/>
  <c r="J2495" i="49"/>
  <c r="Q2495" i="49" s="1"/>
  <c r="J2501" i="49"/>
  <c r="Q2501" i="49" s="1"/>
  <c r="P10" i="39"/>
  <c r="X10" i="39"/>
  <c r="J139" i="46"/>
  <c r="J1048" i="49"/>
  <c r="Q1048" i="49" s="1"/>
  <c r="J2987" i="49"/>
  <c r="Q2987" i="49" s="1"/>
  <c r="F97" i="50"/>
  <c r="J2237" i="49"/>
  <c r="Q2237" i="49" s="1"/>
  <c r="Q10" i="39"/>
  <c r="J138" i="46"/>
  <c r="J1660" i="49"/>
  <c r="Q1660" i="49" s="1"/>
  <c r="J2800" i="49"/>
  <c r="Q2800" i="49" s="1"/>
  <c r="J4788" i="49"/>
  <c r="Q4788" i="49" s="1"/>
  <c r="Q2509" i="49"/>
  <c r="J2509" i="49"/>
  <c r="J812" i="46"/>
  <c r="J5095" i="49"/>
  <c r="Q5095" i="49"/>
  <c r="Q2807" i="49"/>
  <c r="J2807" i="49"/>
  <c r="J2801" i="49"/>
  <c r="Q2801" i="49"/>
  <c r="Q3379" i="49"/>
  <c r="J3379" i="49"/>
  <c r="J3385" i="49"/>
  <c r="Q3385" i="49"/>
  <c r="J3155" i="49"/>
  <c r="Q3155" i="49" s="1"/>
  <c r="J4773" i="49"/>
  <c r="Q4773" i="49" s="1"/>
  <c r="Q4779" i="49"/>
  <c r="J4779" i="49"/>
  <c r="J674" i="46"/>
  <c r="J4236" i="49"/>
  <c r="Q4236" i="49" s="1"/>
  <c r="J4237" i="49"/>
  <c r="Q4237" i="49" s="1"/>
  <c r="J1370" i="49"/>
  <c r="Q1370" i="49" s="1"/>
  <c r="J3565" i="49"/>
  <c r="Q3565" i="49" s="1"/>
  <c r="J628" i="46"/>
  <c r="J100" i="46"/>
  <c r="J1839" i="49"/>
  <c r="Q1839" i="49" s="1"/>
  <c r="J1840" i="49"/>
  <c r="Q1840" i="49" s="1"/>
  <c r="Q2815" i="49"/>
  <c r="J2815" i="49"/>
  <c r="J4500" i="49"/>
  <c r="Q4500" i="49" s="1"/>
  <c r="J3572" i="49"/>
  <c r="Q3572" i="49" s="1"/>
  <c r="Q3566" i="49"/>
  <c r="J3566" i="49"/>
  <c r="J751" i="49"/>
  <c r="Q751" i="49" s="1"/>
  <c r="J752" i="49"/>
  <c r="Q752" i="49" s="1"/>
  <c r="J620" i="46"/>
  <c r="J3939" i="49"/>
  <c r="Q3939" i="49" s="1"/>
  <c r="J1355" i="49"/>
  <c r="Q1355" i="49" s="1"/>
  <c r="J2222" i="49"/>
  <c r="Q2222" i="49" s="1"/>
  <c r="J148" i="46"/>
  <c r="Q3140" i="49"/>
  <c r="J3140" i="49"/>
  <c r="J5110" i="49"/>
  <c r="Q5110" i="49"/>
  <c r="J1652" i="49"/>
  <c r="Q1652" i="49"/>
  <c r="J1653" i="49"/>
  <c r="Q1653" i="49"/>
  <c r="Q1991" i="49"/>
  <c r="J1991" i="49"/>
  <c r="J1985" i="49"/>
  <c r="Q1985" i="49" s="1"/>
  <c r="P67" i="21"/>
  <c r="P68" i="21" s="1"/>
  <c r="Q75" i="13"/>
  <c r="P64" i="16" s="1"/>
  <c r="O17" i="14"/>
  <c r="P88" i="13"/>
  <c r="O64" i="29" s="1"/>
  <c r="N147" i="14"/>
  <c r="N67" i="29"/>
  <c r="N68" i="29" s="1"/>
  <c r="Q86" i="13"/>
  <c r="P64" i="27" s="1"/>
  <c r="P76" i="27" s="1"/>
  <c r="P77" i="27" s="1"/>
  <c r="O127" i="14"/>
  <c r="G26" i="52"/>
  <c r="G16" i="52"/>
  <c r="H98" i="49"/>
  <c r="H104" i="49"/>
  <c r="H106" i="49"/>
  <c r="J67" i="8"/>
  <c r="J68" i="8" s="1"/>
  <c r="Q76" i="13"/>
  <c r="P64" i="17" s="1"/>
  <c r="P76" i="17" s="1"/>
  <c r="P77" i="17" s="1"/>
  <c r="O27" i="14"/>
  <c r="J67" i="24"/>
  <c r="J68" i="24" s="1"/>
  <c r="O54" i="16"/>
  <c r="O56" i="16" s="1"/>
  <c r="M4" i="16"/>
  <c r="Q50" i="25"/>
  <c r="Q52" i="25"/>
  <c r="P54" i="28"/>
  <c r="L83" i="13"/>
  <c r="K64" i="24" s="1"/>
  <c r="K76" i="24" s="1"/>
  <c r="K77" i="24" s="1"/>
  <c r="J97" i="14"/>
  <c r="T67" i="26"/>
  <c r="T68" i="26" s="1"/>
  <c r="S86" i="20"/>
  <c r="T118" i="14"/>
  <c r="T119" i="14"/>
  <c r="T120" i="14" s="1"/>
  <c r="N34" i="14"/>
  <c r="Q48" i="13" s="1"/>
  <c r="P48" i="17" s="1"/>
  <c r="T86" i="26"/>
  <c r="U50" i="26"/>
  <c r="U52" i="26"/>
  <c r="K54" i="20"/>
  <c r="K56" i="20" s="1"/>
  <c r="P38" i="14"/>
  <c r="P39" i="14"/>
  <c r="P40" i="14" s="1"/>
  <c r="O79" i="14"/>
  <c r="O80" i="14"/>
  <c r="O78" i="14"/>
  <c r="H194" i="46"/>
  <c r="H165" i="46"/>
  <c r="H189" i="46"/>
  <c r="H179" i="46"/>
  <c r="H170" i="46"/>
  <c r="H150" i="46"/>
  <c r="H174" i="46"/>
  <c r="H164" i="46"/>
  <c r="H154" i="46"/>
  <c r="H158" i="46"/>
  <c r="H153" i="46"/>
  <c r="H190" i="46"/>
  <c r="H178" i="46"/>
  <c r="H171" i="46"/>
  <c r="H182" i="46"/>
  <c r="H186" i="46"/>
  <c r="H167" i="46"/>
  <c r="H156" i="46"/>
  <c r="H175" i="46"/>
  <c r="H196" i="46"/>
  <c r="H181" i="46"/>
  <c r="H155" i="46"/>
  <c r="H152" i="46"/>
  <c r="H163" i="46"/>
  <c r="H184" i="46"/>
  <c r="H169" i="46"/>
  <c r="H159" i="46"/>
  <c r="H177" i="46"/>
  <c r="H185" i="46"/>
  <c r="H151" i="46"/>
  <c r="H172" i="46"/>
  <c r="H157" i="46"/>
  <c r="H191" i="46"/>
  <c r="H195" i="46"/>
  <c r="H173" i="46"/>
  <c r="H162" i="46"/>
  <c r="H166" i="46"/>
  <c r="H161" i="46"/>
  <c r="H192" i="46"/>
  <c r="H176" i="46"/>
  <c r="H183" i="46"/>
  <c r="H149" i="46"/>
  <c r="H180" i="46"/>
  <c r="H160" i="46"/>
  <c r="H193" i="46"/>
  <c r="H187" i="46"/>
  <c r="H188" i="46"/>
  <c r="H168" i="46"/>
  <c r="M8" i="38"/>
  <c r="O67" i="22"/>
  <c r="O68" i="22" s="1"/>
  <c r="O54" i="17"/>
  <c r="O56" i="17" s="1"/>
  <c r="M4" i="17"/>
  <c r="R64" i="14"/>
  <c r="U51" i="13" s="1"/>
  <c r="T48" i="20" s="1"/>
  <c r="J86" i="24"/>
  <c r="R50" i="15"/>
  <c r="R52" i="15"/>
  <c r="Q50" i="21"/>
  <c r="Q52" i="21"/>
  <c r="O138" i="14"/>
  <c r="Q54" i="19"/>
  <c r="Q56" i="19" s="1"/>
  <c r="U79" i="13"/>
  <c r="T64" i="20" s="1"/>
  <c r="T76" i="20" s="1"/>
  <c r="T77" i="20" s="1"/>
  <c r="S57" i="14"/>
  <c r="K50" i="26"/>
  <c r="K52" i="26"/>
  <c r="P86" i="23"/>
  <c r="P110" i="14"/>
  <c r="P108" i="14"/>
  <c r="P114" i="14" s="1"/>
  <c r="S56" i="13" s="1"/>
  <c r="R48" i="25" s="1"/>
  <c r="P109" i="14"/>
  <c r="N54" i="30"/>
  <c r="N24" i="14"/>
  <c r="Q47" i="13" s="1"/>
  <c r="P48" i="16" s="1"/>
  <c r="R50" i="19"/>
  <c r="R52" i="19"/>
  <c r="P50" i="22"/>
  <c r="P52" i="22"/>
  <c r="L85" i="13"/>
  <c r="K64" i="26" s="1"/>
  <c r="K76" i="26" s="1"/>
  <c r="K77" i="26" s="1"/>
  <c r="J117" i="14"/>
  <c r="Q9" i="14"/>
  <c r="Q10" i="14" s="1"/>
  <c r="Q8" i="14"/>
  <c r="O86" i="31"/>
  <c r="P67" i="23"/>
  <c r="P68" i="23" s="1"/>
  <c r="P67" i="25"/>
  <c r="P68" i="25" s="1"/>
  <c r="T50" i="24"/>
  <c r="T52" i="24"/>
  <c r="M67" i="30"/>
  <c r="M68" i="30" s="1"/>
  <c r="O56" i="31"/>
  <c r="S98" i="14"/>
  <c r="F12" i="38"/>
  <c r="H12" i="32"/>
  <c r="H12" i="38" s="1"/>
  <c r="S78" i="13"/>
  <c r="R64" i="19" s="1"/>
  <c r="R76" i="19" s="1"/>
  <c r="R77" i="19" s="1"/>
  <c r="Q47" i="14"/>
  <c r="F27" i="52"/>
  <c r="H88" i="49"/>
  <c r="I104" i="14"/>
  <c r="L55" i="13" s="1"/>
  <c r="K48" i="24" s="1"/>
  <c r="Q50" i="18"/>
  <c r="Q52" i="18"/>
  <c r="J86" i="26"/>
  <c r="G15" i="52"/>
  <c r="H97" i="49"/>
  <c r="M154" i="14"/>
  <c r="P60" i="13" s="1"/>
  <c r="O48" i="29" s="1"/>
  <c r="J81" i="49"/>
  <c r="Q81" i="49" s="1"/>
  <c r="C17" i="1"/>
  <c r="E81" i="50"/>
  <c r="G81" i="50" s="1"/>
  <c r="H81" i="50" s="1"/>
  <c r="Q50" i="23"/>
  <c r="Q52" i="23"/>
  <c r="N86" i="29"/>
  <c r="J67" i="26"/>
  <c r="J68" i="26" s="1"/>
  <c r="O86" i="27"/>
  <c r="P89" i="13"/>
  <c r="O64" i="30" s="1"/>
  <c r="N157" i="14"/>
  <c r="P86" i="18"/>
  <c r="P86" i="21"/>
  <c r="J89" i="49"/>
  <c r="Q89" i="49" s="1"/>
  <c r="E89" i="50"/>
  <c r="G89" i="50" s="1"/>
  <c r="H89" i="50" s="1"/>
  <c r="S86" i="24"/>
  <c r="O168" i="14"/>
  <c r="O169" i="14" s="1"/>
  <c r="O170" i="14" s="1"/>
  <c r="Q96" i="49"/>
  <c r="J96" i="49"/>
  <c r="E96" i="50"/>
  <c r="G96" i="50" s="1"/>
  <c r="H96" i="50" s="1"/>
  <c r="P68" i="14"/>
  <c r="P69" i="14"/>
  <c r="P70" i="14" s="1"/>
  <c r="O56" i="27"/>
  <c r="M164" i="14"/>
  <c r="P61" i="13" s="1"/>
  <c r="O48" i="30" s="1"/>
  <c r="P88" i="14"/>
  <c r="P94" i="14" s="1"/>
  <c r="S54" i="13" s="1"/>
  <c r="R48" i="23" s="1"/>
  <c r="P90" i="14"/>
  <c r="P89" i="14"/>
  <c r="P56" i="18"/>
  <c r="Q56" i="15"/>
  <c r="Q67" i="15" s="1"/>
  <c r="Q68" i="15" s="1"/>
  <c r="J87" i="49"/>
  <c r="Q87" i="49" s="1"/>
  <c r="E87" i="50"/>
  <c r="G87" i="50" s="1"/>
  <c r="H87" i="50" s="1"/>
  <c r="C23" i="1"/>
  <c r="P50" i="31"/>
  <c r="P52" i="31"/>
  <c r="S56" i="24"/>
  <c r="J58" i="14"/>
  <c r="J59" i="14" s="1"/>
  <c r="J60" i="14" s="1"/>
  <c r="N134" i="14"/>
  <c r="Q58" i="13" s="1"/>
  <c r="P48" i="27" s="1"/>
  <c r="F28" i="52"/>
  <c r="F29" i="52" s="1"/>
  <c r="S67" i="20"/>
  <c r="S68" i="20" s="1"/>
  <c r="K76" i="20"/>
  <c r="K77" i="20" s="1"/>
  <c r="C50" i="1"/>
  <c r="I50" i="1" s="1"/>
  <c r="V20" i="39"/>
  <c r="W20" i="39"/>
  <c r="F17" i="32"/>
  <c r="C22" i="4"/>
  <c r="J17" i="3"/>
  <c r="G17" i="32" s="1"/>
  <c r="G17" i="38" s="1"/>
  <c r="N3960" i="49"/>
  <c r="O3960" i="49" s="1"/>
  <c r="N3786" i="49"/>
  <c r="O3786" i="49" s="1"/>
  <c r="N3813" i="49"/>
  <c r="O3813" i="49" s="1"/>
  <c r="N3849" i="49"/>
  <c r="O3849" i="49" s="1"/>
  <c r="N3884" i="49"/>
  <c r="O3884" i="49" s="1"/>
  <c r="N4024" i="49"/>
  <c r="O4024" i="49" s="1"/>
  <c r="N3869" i="49"/>
  <c r="O3869" i="49" s="1"/>
  <c r="N3864" i="49"/>
  <c r="O3864" i="49" s="1"/>
  <c r="N3845" i="49"/>
  <c r="O3845" i="49" s="1"/>
  <c r="N3989" i="49"/>
  <c r="O3989" i="49" s="1"/>
  <c r="N3987" i="49"/>
  <c r="O3987" i="49" s="1"/>
  <c r="N3919" i="49"/>
  <c r="O3919" i="49" s="1"/>
  <c r="N3962" i="49"/>
  <c r="O3962" i="49" s="1"/>
  <c r="N3901" i="49"/>
  <c r="O3901" i="49" s="1"/>
  <c r="N3880" i="49"/>
  <c r="O3880" i="49" s="1"/>
  <c r="N3775" i="49"/>
  <c r="O3775" i="49" s="1"/>
  <c r="N3848" i="49"/>
  <c r="O3848" i="49" s="1"/>
  <c r="N3981" i="49"/>
  <c r="O3981" i="49" s="1"/>
  <c r="N3860" i="49"/>
  <c r="O3860" i="49" s="1"/>
  <c r="N3855" i="49"/>
  <c r="O3855" i="49" s="1"/>
  <c r="N3861" i="49"/>
  <c r="O3861" i="49" s="1"/>
  <c r="N3796" i="49"/>
  <c r="O3796" i="49" s="1"/>
  <c r="N3943" i="49"/>
  <c r="O3943" i="49" s="1"/>
  <c r="N4010" i="49"/>
  <c r="O4010" i="49" s="1"/>
  <c r="N3995" i="49"/>
  <c r="O3995" i="49" s="1"/>
  <c r="N3882" i="49"/>
  <c r="O3882" i="49" s="1"/>
  <c r="N4049" i="49"/>
  <c r="O4049" i="49" s="1"/>
  <c r="N3912" i="49"/>
  <c r="O3912" i="49" s="1"/>
  <c r="N4018" i="49"/>
  <c r="O4018" i="49" s="1"/>
  <c r="N3879" i="49"/>
  <c r="O3879" i="49" s="1"/>
  <c r="N3793" i="49"/>
  <c r="O3793" i="49" s="1"/>
  <c r="N4006" i="49"/>
  <c r="O4006" i="49" s="1"/>
  <c r="N3917" i="49"/>
  <c r="O3917" i="49" s="1"/>
  <c r="N3798" i="49"/>
  <c r="O3798" i="49" s="1"/>
  <c r="N4012" i="49"/>
  <c r="O4012" i="49" s="1"/>
  <c r="N3820" i="49"/>
  <c r="O3820" i="49" s="1"/>
  <c r="N3942" i="49"/>
  <c r="O3942" i="49" s="1"/>
  <c r="N3833" i="49"/>
  <c r="O3833" i="49" s="1"/>
  <c r="N3902" i="49"/>
  <c r="O3902" i="49" s="1"/>
  <c r="N3997" i="49"/>
  <c r="O3997" i="49" s="1"/>
  <c r="N3831" i="49"/>
  <c r="O3831" i="49" s="1"/>
  <c r="N3990" i="49"/>
  <c r="O3990" i="49" s="1"/>
  <c r="N3875" i="49"/>
  <c r="O3875" i="49" s="1"/>
  <c r="N3888" i="49"/>
  <c r="O3888" i="49" s="1"/>
  <c r="N3823" i="49"/>
  <c r="O3823" i="49" s="1"/>
  <c r="N3968" i="49"/>
  <c r="O3968" i="49" s="1"/>
  <c r="N3955" i="49"/>
  <c r="O3955" i="49" s="1"/>
  <c r="N3773" i="49"/>
  <c r="O3773" i="49" s="1"/>
  <c r="N3983" i="49"/>
  <c r="O3983" i="49" s="1"/>
  <c r="N3763" i="49"/>
  <c r="O3763" i="49" s="1"/>
  <c r="N3903" i="49"/>
  <c r="O3903" i="49" s="1"/>
  <c r="N3764" i="49"/>
  <c r="O3764" i="49" s="1"/>
  <c r="N3766" i="49"/>
  <c r="O3766" i="49" s="1"/>
  <c r="N3846" i="49"/>
  <c r="O3846" i="49" s="1"/>
  <c r="N3797" i="49"/>
  <c r="O3797" i="49" s="1"/>
  <c r="N3900" i="49"/>
  <c r="O3900" i="49" s="1"/>
  <c r="N3915" i="49"/>
  <c r="O3915" i="49" s="1"/>
  <c r="N4004" i="49"/>
  <c r="O4004" i="49" s="1"/>
  <c r="N4030" i="49"/>
  <c r="O4030" i="49" s="1"/>
  <c r="N3924" i="49"/>
  <c r="O3924" i="49" s="1"/>
  <c r="N3899" i="49"/>
  <c r="O3899" i="49" s="1"/>
  <c r="N3762" i="49"/>
  <c r="O3762" i="49" s="1"/>
  <c r="N3936" i="49"/>
  <c r="O3936" i="49" s="1"/>
  <c r="N3795" i="49"/>
  <c r="O3795" i="49" s="1"/>
  <c r="N3938" i="49"/>
  <c r="O3938" i="49" s="1"/>
  <c r="N3931" i="49"/>
  <c r="O3931" i="49" s="1"/>
  <c r="N4025" i="49"/>
  <c r="O4025" i="49" s="1"/>
  <c r="N3858" i="49"/>
  <c r="O3858" i="49" s="1"/>
  <c r="N3847" i="49"/>
  <c r="O3847" i="49" s="1"/>
  <c r="N3980" i="49"/>
  <c r="O3980" i="49" s="1"/>
  <c r="N3969" i="49"/>
  <c r="O3969" i="49" s="1"/>
  <c r="N3886" i="49"/>
  <c r="O3886" i="49" s="1"/>
  <c r="N3806" i="49"/>
  <c r="O3806" i="49" s="1"/>
  <c r="N3998" i="49"/>
  <c r="O3998" i="49" s="1"/>
  <c r="N3967" i="49"/>
  <c r="O3967" i="49" s="1"/>
  <c r="N3939" i="49"/>
  <c r="O3939" i="49" s="1"/>
  <c r="N4029" i="49"/>
  <c r="O4029" i="49" s="1"/>
  <c r="N3992" i="49"/>
  <c r="O3992" i="49" s="1"/>
  <c r="N4042" i="49"/>
  <c r="O4042" i="49" s="1"/>
  <c r="N3776" i="49"/>
  <c r="O3776" i="49" s="1"/>
  <c r="N3765" i="49"/>
  <c r="O3765" i="49" s="1"/>
  <c r="N3828" i="49"/>
  <c r="O3828" i="49" s="1"/>
  <c r="N3830" i="49"/>
  <c r="O3830" i="49" s="1"/>
  <c r="N4041" i="49"/>
  <c r="O4041" i="49" s="1"/>
  <c r="N3873" i="49"/>
  <c r="O3873" i="49" s="1"/>
  <c r="N3885" i="49"/>
  <c r="O3885" i="49" s="1"/>
  <c r="N3777" i="49"/>
  <c r="O3777" i="49" s="1"/>
  <c r="N3805" i="49"/>
  <c r="O3805" i="49" s="1"/>
  <c r="N4019" i="49"/>
  <c r="O4019" i="49" s="1"/>
  <c r="N4036" i="49"/>
  <c r="O4036" i="49" s="1"/>
  <c r="N3812" i="49"/>
  <c r="O3812" i="49" s="1"/>
  <c r="N3954" i="49"/>
  <c r="O3954" i="49" s="1"/>
  <c r="N3941" i="49"/>
  <c r="O3941" i="49" s="1"/>
  <c r="N3802" i="49"/>
  <c r="O3802" i="49" s="1"/>
  <c r="N3863" i="49"/>
  <c r="O3863" i="49" s="1"/>
  <c r="N3895" i="49"/>
  <c r="O3895" i="49" s="1"/>
  <c r="N3935" i="49"/>
  <c r="O3935" i="49" s="1"/>
  <c r="N3934" i="49"/>
  <c r="O3934" i="49" s="1"/>
  <c r="N3799" i="49"/>
  <c r="O3799" i="49" s="1"/>
  <c r="N4005" i="49"/>
  <c r="O4005" i="49" s="1"/>
  <c r="N3906" i="49"/>
  <c r="O3906" i="49" s="1"/>
  <c r="N3898" i="49"/>
  <c r="O3898" i="49" s="1"/>
  <c r="N4022" i="49"/>
  <c r="O4022" i="49" s="1"/>
  <c r="N3945" i="49"/>
  <c r="O3945" i="49" s="1"/>
  <c r="N4015" i="49"/>
  <c r="O4015" i="49" s="1"/>
  <c r="N3825" i="49"/>
  <c r="O3825" i="49" s="1"/>
  <c r="N3923" i="49"/>
  <c r="O3923" i="49" s="1"/>
  <c r="N3944" i="49"/>
  <c r="O3944" i="49" s="1"/>
  <c r="N3856" i="49"/>
  <c r="O3856" i="49" s="1"/>
  <c r="N3821" i="49"/>
  <c r="O3821" i="49" s="1"/>
  <c r="N3835" i="49"/>
  <c r="O3835" i="49" s="1"/>
  <c r="N3829" i="49"/>
  <c r="O3829" i="49" s="1"/>
  <c r="N3957" i="49"/>
  <c r="O3957" i="49" s="1"/>
  <c r="N3788" i="49"/>
  <c r="O3788" i="49" s="1"/>
  <c r="N3892" i="49"/>
  <c r="O3892" i="49" s="1"/>
  <c r="N4034" i="49"/>
  <c r="O4034" i="49" s="1"/>
  <c r="N3890" i="49"/>
  <c r="O3890" i="49" s="1"/>
  <c r="N3881" i="49"/>
  <c r="O3881" i="49" s="1"/>
  <c r="N4023" i="49"/>
  <c r="O4023" i="49" s="1"/>
  <c r="N3896" i="49"/>
  <c r="O3896" i="49" s="1"/>
  <c r="N3975" i="49"/>
  <c r="O3975" i="49" s="1"/>
  <c r="N3913" i="49"/>
  <c r="O3913" i="49" s="1"/>
  <c r="N3838" i="49"/>
  <c r="O3838" i="49" s="1"/>
  <c r="N4044" i="49"/>
  <c r="O4044" i="49" s="1"/>
  <c r="N3839" i="49"/>
  <c r="O3839" i="49" s="1"/>
  <c r="N3769" i="49"/>
  <c r="O3769" i="49" s="1"/>
  <c r="N3950" i="49"/>
  <c r="O3950" i="49" s="1"/>
  <c r="N3852" i="49"/>
  <c r="O3852" i="49" s="1"/>
  <c r="N3853" i="49"/>
  <c r="O3853" i="49" s="1"/>
  <c r="N3857" i="49"/>
  <c r="O3857" i="49" s="1"/>
  <c r="N3801" i="49"/>
  <c r="O3801" i="49" s="1"/>
  <c r="N3930" i="49"/>
  <c r="O3930" i="49" s="1"/>
  <c r="N3811" i="49"/>
  <c r="O3811" i="49" s="1"/>
  <c r="N3891" i="49"/>
  <c r="O3891" i="49" s="1"/>
  <c r="N3803" i="49"/>
  <c r="O3803" i="49" s="1"/>
  <c r="N3984" i="49"/>
  <c r="O3984" i="49" s="1"/>
  <c r="N3985" i="49"/>
  <c r="O3985" i="49" s="1"/>
  <c r="N4007" i="49"/>
  <c r="O4007" i="49" s="1"/>
  <c r="N3952" i="49"/>
  <c r="O3952" i="49" s="1"/>
  <c r="N3894" i="49"/>
  <c r="O3894" i="49" s="1"/>
  <c r="N3887" i="49"/>
  <c r="O3887" i="49" s="1"/>
  <c r="N3877" i="49"/>
  <c r="O3877" i="49" s="1"/>
  <c r="N4009" i="49"/>
  <c r="O4009" i="49" s="1"/>
  <c r="N3940" i="49"/>
  <c r="O3940" i="49" s="1"/>
  <c r="N3889" i="49"/>
  <c r="O3889" i="49" s="1"/>
  <c r="N3929" i="49"/>
  <c r="O3929" i="49" s="1"/>
  <c r="N4011" i="49"/>
  <c r="O4011" i="49" s="1"/>
  <c r="N3867" i="49"/>
  <c r="O3867" i="49" s="1"/>
  <c r="N3963" i="49"/>
  <c r="O3963" i="49" s="1"/>
  <c r="N3951" i="49"/>
  <c r="O3951" i="49" s="1"/>
  <c r="N3910" i="49"/>
  <c r="O3910" i="49" s="1"/>
  <c r="N3851" i="49"/>
  <c r="O3851" i="49" s="1"/>
  <c r="N3844" i="49"/>
  <c r="O3844" i="49" s="1"/>
  <c r="N3988" i="49"/>
  <c r="O3988" i="49" s="1"/>
  <c r="N4013" i="49"/>
  <c r="O4013" i="49" s="1"/>
  <c r="N3977" i="49"/>
  <c r="O3977" i="49" s="1"/>
  <c r="N3871" i="49"/>
  <c r="O3871" i="49" s="1"/>
  <c r="N3794" i="49"/>
  <c r="O3794" i="49" s="1"/>
  <c r="N3958" i="49"/>
  <c r="O3958" i="49" s="1"/>
  <c r="N3781" i="49"/>
  <c r="O3781" i="49" s="1"/>
  <c r="N3970" i="49"/>
  <c r="O3970" i="49" s="1"/>
  <c r="N3822" i="49"/>
  <c r="O3822" i="49" s="1"/>
  <c r="N3804" i="49"/>
  <c r="O3804" i="49" s="1"/>
  <c r="N3933" i="49"/>
  <c r="O3933" i="49" s="1"/>
  <c r="N4026" i="49"/>
  <c r="O4026" i="49" s="1"/>
  <c r="N3774" i="49"/>
  <c r="O3774" i="49" s="1"/>
  <c r="N4028" i="49"/>
  <c r="O4028" i="49" s="1"/>
  <c r="N3956" i="49"/>
  <c r="O3956" i="49" s="1"/>
  <c r="N3870" i="49"/>
  <c r="O3870" i="49" s="1"/>
  <c r="N3809" i="49"/>
  <c r="O3809" i="49" s="1"/>
  <c r="N3972" i="49"/>
  <c r="O3972" i="49" s="1"/>
  <c r="N4008" i="49"/>
  <c r="O4008" i="49" s="1"/>
  <c r="N3790" i="49"/>
  <c r="O3790" i="49" s="1"/>
  <c r="N3840" i="49"/>
  <c r="O3840" i="49" s="1"/>
  <c r="N4016" i="49"/>
  <c r="O4016" i="49" s="1"/>
  <c r="N3947" i="49"/>
  <c r="O3947" i="49" s="1"/>
  <c r="N3767" i="49"/>
  <c r="O3767" i="49" s="1"/>
  <c r="N3780" i="49"/>
  <c r="O3780" i="49" s="1"/>
  <c r="N3946" i="49"/>
  <c r="O3946" i="49" s="1"/>
  <c r="N3973" i="49"/>
  <c r="O3973" i="49" s="1"/>
  <c r="N3816" i="49"/>
  <c r="O3816" i="49" s="1"/>
  <c r="N3814" i="49"/>
  <c r="O3814" i="49" s="1"/>
  <c r="N4027" i="49"/>
  <c r="O4027" i="49" s="1"/>
  <c r="N4020" i="49"/>
  <c r="O4020" i="49" s="1"/>
  <c r="N3964" i="49"/>
  <c r="O3964" i="49" s="1"/>
  <c r="N4021" i="49"/>
  <c r="O4021" i="49" s="1"/>
  <c r="N3783" i="49"/>
  <c r="O3783" i="49" s="1"/>
  <c r="N3925" i="49"/>
  <c r="O3925" i="49" s="1"/>
  <c r="N3810" i="49"/>
  <c r="O3810" i="49" s="1"/>
  <c r="N3872" i="49"/>
  <c r="O3872" i="49" s="1"/>
  <c r="N3815" i="49"/>
  <c r="O3815" i="49" s="1"/>
  <c r="N3907" i="49"/>
  <c r="O3907" i="49" s="1"/>
  <c r="N3807" i="49"/>
  <c r="O3807" i="49" s="1"/>
  <c r="N4031" i="49"/>
  <c r="O4031" i="49" s="1"/>
  <c r="N3836" i="49"/>
  <c r="O3836" i="49" s="1"/>
  <c r="N3920" i="49"/>
  <c r="O3920" i="49" s="1"/>
  <c r="N3905" i="49"/>
  <c r="O3905" i="49" s="1"/>
  <c r="N3818" i="49"/>
  <c r="O3818" i="49" s="1"/>
  <c r="N3971" i="49"/>
  <c r="O3971" i="49" s="1"/>
  <c r="N3974" i="49"/>
  <c r="O3974" i="49" s="1"/>
  <c r="N3932" i="49"/>
  <c r="O3932" i="49" s="1"/>
  <c r="N3978" i="49"/>
  <c r="O3978" i="49" s="1"/>
  <c r="N3948" i="49"/>
  <c r="O3948" i="49" s="1"/>
  <c r="N3959" i="49"/>
  <c r="O3959" i="49" s="1"/>
  <c r="N3771" i="49"/>
  <c r="O3771" i="49" s="1"/>
  <c r="N3991" i="49"/>
  <c r="O3991" i="49" s="1"/>
  <c r="N3854" i="49"/>
  <c r="O3854" i="49" s="1"/>
  <c r="N4050" i="49"/>
  <c r="O4050" i="49" s="1"/>
  <c r="N3866" i="49"/>
  <c r="O3866" i="49" s="1"/>
  <c r="N3897" i="49"/>
  <c r="O3897" i="49" s="1"/>
  <c r="N4047" i="49"/>
  <c r="O4047" i="49" s="1"/>
  <c r="N4038" i="49"/>
  <c r="O4038" i="49" s="1"/>
  <c r="N3819" i="49"/>
  <c r="O3819" i="49" s="1"/>
  <c r="N3926" i="49"/>
  <c r="O3926" i="49" s="1"/>
  <c r="N3904" i="49"/>
  <c r="O3904" i="49" s="1"/>
  <c r="N3792" i="49"/>
  <c r="O3792" i="49" s="1"/>
  <c r="N3785" i="49"/>
  <c r="O3785" i="49" s="1"/>
  <c r="N4046" i="49"/>
  <c r="O4046" i="49" s="1"/>
  <c r="N3996" i="49"/>
  <c r="O3996" i="49" s="1"/>
  <c r="N3893" i="49"/>
  <c r="O3893" i="49" s="1"/>
  <c r="N3800" i="49"/>
  <c r="O3800" i="49" s="1"/>
  <c r="N3784" i="49"/>
  <c r="O3784" i="49" s="1"/>
  <c r="N3772" i="49"/>
  <c r="O3772" i="49" s="1"/>
  <c r="N3782" i="49"/>
  <c r="O3782" i="49" s="1"/>
  <c r="N3909" i="49"/>
  <c r="O3909" i="49" s="1"/>
  <c r="N3778" i="49"/>
  <c r="O3778" i="49" s="1"/>
  <c r="N4035" i="49"/>
  <c r="O4035" i="49" s="1"/>
  <c r="N4001" i="49"/>
  <c r="O4001" i="49" s="1"/>
  <c r="N3862" i="49"/>
  <c r="O3862" i="49" s="1"/>
  <c r="N3868" i="49"/>
  <c r="O3868" i="49" s="1"/>
  <c r="N4039" i="49"/>
  <c r="O4039" i="49" s="1"/>
  <c r="N4043" i="49"/>
  <c r="O4043" i="49" s="1"/>
  <c r="N3922" i="49"/>
  <c r="O3922" i="49" s="1"/>
  <c r="N4003" i="49"/>
  <c r="O4003" i="49" s="1"/>
  <c r="N3927" i="49"/>
  <c r="O3927" i="49" s="1"/>
  <c r="N3961" i="49"/>
  <c r="O3961" i="49" s="1"/>
  <c r="N4033" i="49"/>
  <c r="O4033" i="49" s="1"/>
  <c r="N4040" i="49"/>
  <c r="O4040" i="49" s="1"/>
  <c r="N3779" i="49"/>
  <c r="O3779" i="49" s="1"/>
  <c r="N3791" i="49"/>
  <c r="O3791" i="49" s="1"/>
  <c r="N3865" i="49"/>
  <c r="O3865" i="49" s="1"/>
  <c r="N3817" i="49"/>
  <c r="O3817" i="49" s="1"/>
  <c r="N3876" i="49"/>
  <c r="O3876" i="49" s="1"/>
  <c r="N3986" i="49"/>
  <c r="O3986" i="49" s="1"/>
  <c r="N3976" i="49"/>
  <c r="O3976" i="49" s="1"/>
  <c r="N3937" i="49"/>
  <c r="O3937" i="49" s="1"/>
  <c r="N3949" i="49"/>
  <c r="O3949" i="49" s="1"/>
  <c r="N3770" i="49"/>
  <c r="O3770" i="49" s="1"/>
  <c r="N3994" i="49"/>
  <c r="O3994" i="49" s="1"/>
  <c r="N3787" i="49"/>
  <c r="O3787" i="49" s="1"/>
  <c r="N4017" i="49"/>
  <c r="O4017" i="49" s="1"/>
  <c r="N4045" i="49"/>
  <c r="O4045" i="49" s="1"/>
  <c r="N4000" i="49"/>
  <c r="O4000" i="49" s="1"/>
  <c r="N3993" i="49"/>
  <c r="O3993" i="49" s="1"/>
  <c r="N4014" i="49"/>
  <c r="O4014" i="49" s="1"/>
  <c r="N3832" i="49"/>
  <c r="O3832" i="49" s="1"/>
  <c r="N4048" i="49"/>
  <c r="O4048" i="49" s="1"/>
  <c r="N3834" i="49"/>
  <c r="O3834" i="49" s="1"/>
  <c r="N3914" i="49"/>
  <c r="O3914" i="49" s="1"/>
  <c r="N3918" i="49"/>
  <c r="O3918" i="49" s="1"/>
  <c r="N3916" i="49"/>
  <c r="O3916" i="49" s="1"/>
  <c r="N4037" i="49"/>
  <c r="O4037" i="49" s="1"/>
  <c r="N3843" i="49"/>
  <c r="O3843" i="49" s="1"/>
  <c r="N3883" i="49"/>
  <c r="O3883" i="49" s="1"/>
  <c r="N4032" i="49"/>
  <c r="O4032" i="49" s="1"/>
  <c r="N3850" i="49"/>
  <c r="O3850" i="49" s="1"/>
  <c r="N3827" i="49"/>
  <c r="O3827" i="49" s="1"/>
  <c r="N3999" i="49"/>
  <c r="O3999" i="49" s="1"/>
  <c r="N3982" i="49"/>
  <c r="O3982" i="49" s="1"/>
  <c r="N3841" i="49"/>
  <c r="O3841" i="49" s="1"/>
  <c r="N3837" i="49"/>
  <c r="O3837" i="49" s="1"/>
  <c r="N3979" i="49"/>
  <c r="O3979" i="49" s="1"/>
  <c r="N3953" i="49"/>
  <c r="O3953" i="49" s="1"/>
  <c r="N3768" i="49"/>
  <c r="O3768" i="49" s="1"/>
  <c r="N3928" i="49"/>
  <c r="O3928" i="49" s="1"/>
  <c r="N3878" i="49"/>
  <c r="O3878" i="49" s="1"/>
  <c r="N3911" i="49"/>
  <c r="O3911" i="49" s="1"/>
  <c r="N3824" i="49"/>
  <c r="O3824" i="49" s="1"/>
  <c r="N3908" i="49"/>
  <c r="O3908" i="49" s="1"/>
  <c r="N4002" i="49"/>
  <c r="O4002" i="49" s="1"/>
  <c r="N3859" i="49"/>
  <c r="O3859" i="49" s="1"/>
  <c r="N3965" i="49"/>
  <c r="O3965" i="49" s="1"/>
  <c r="N3874" i="49"/>
  <c r="O3874" i="49" s="1"/>
  <c r="N3808" i="49"/>
  <c r="O3808" i="49" s="1"/>
  <c r="N3921" i="49"/>
  <c r="O3921" i="49" s="1"/>
  <c r="N3966" i="49"/>
  <c r="O3966" i="49" s="1"/>
  <c r="N3826" i="49"/>
  <c r="O3826" i="49" s="1"/>
  <c r="N3842" i="49"/>
  <c r="O3842" i="49" s="1"/>
  <c r="N3789" i="49"/>
  <c r="O3789" i="49" s="1"/>
  <c r="H1676" i="49"/>
  <c r="H3580" i="49"/>
  <c r="H2510" i="49"/>
  <c r="H5102" i="49"/>
  <c r="H5096" i="49"/>
  <c r="E813" i="46"/>
  <c r="H1371" i="49"/>
  <c r="H3581" i="49"/>
  <c r="H3574" i="49"/>
  <c r="H3573" i="49"/>
  <c r="H3954" i="49"/>
  <c r="H3744" i="49"/>
  <c r="H3743" i="49"/>
  <c r="H1356" i="49"/>
  <c r="H1362" i="49"/>
  <c r="H2996" i="49"/>
  <c r="H2995" i="49"/>
  <c r="E769" i="46"/>
  <c r="H1993" i="49"/>
  <c r="H1992" i="49"/>
  <c r="H4509" i="49"/>
  <c r="H4508" i="49"/>
  <c r="H761" i="49"/>
  <c r="H767" i="49"/>
  <c r="E93" i="46"/>
  <c r="H2238" i="49"/>
  <c r="H3410" i="49"/>
  <c r="H760" i="49"/>
  <c r="E92" i="46"/>
  <c r="H4515" i="49"/>
  <c r="N22" i="39"/>
  <c r="E713" i="46"/>
  <c r="H1064" i="49"/>
  <c r="H2503" i="49"/>
  <c r="H2502" i="49"/>
  <c r="E386" i="46"/>
  <c r="H4789" i="49"/>
  <c r="H2809" i="49"/>
  <c r="H2808" i="49"/>
  <c r="H3394" i="49"/>
  <c r="H1049" i="49"/>
  <c r="E140" i="46"/>
  <c r="H1661" i="49"/>
  <c r="H775" i="49"/>
  <c r="H3387" i="49"/>
  <c r="H3386" i="49"/>
  <c r="H3940" i="49"/>
  <c r="H3946" i="49"/>
  <c r="E621" i="46"/>
  <c r="H5111" i="49"/>
  <c r="H3751" i="49"/>
  <c r="H4804" i="49"/>
  <c r="N23" i="39"/>
  <c r="E761" i="46"/>
  <c r="H3141" i="49"/>
  <c r="H3147" i="49"/>
  <c r="H2231" i="49"/>
  <c r="H2230" i="49"/>
  <c r="H1855" i="49"/>
  <c r="H1849" i="49"/>
  <c r="H1999" i="49"/>
  <c r="H4781" i="49"/>
  <c r="H4780" i="49"/>
  <c r="H2816" i="49"/>
  <c r="H4245" i="49"/>
  <c r="H1848" i="49"/>
  <c r="H1677" i="49"/>
  <c r="H3156" i="49"/>
  <c r="H3002" i="49"/>
  <c r="H2832" i="49"/>
  <c r="E721" i="46"/>
  <c r="H1050" i="49"/>
  <c r="H1056" i="49"/>
  <c r="E141" i="46"/>
  <c r="H1662" i="49"/>
  <c r="H1668" i="49"/>
  <c r="J3580" i="49" l="1"/>
  <c r="Q3580" i="49"/>
  <c r="J1676" i="49"/>
  <c r="Q1676" i="49" s="1"/>
  <c r="K64" i="8"/>
  <c r="K76" i="8" s="1"/>
  <c r="K77" i="8" s="1"/>
  <c r="J1668" i="49"/>
  <c r="Q1668" i="49" s="1"/>
  <c r="Q1662" i="49"/>
  <c r="J1662" i="49"/>
  <c r="J141" i="46"/>
  <c r="J1056" i="49"/>
  <c r="Q1056" i="49"/>
  <c r="Q1050" i="49"/>
  <c r="J1050" i="49"/>
  <c r="J721" i="46"/>
  <c r="J2832" i="49"/>
  <c r="Q2832" i="49"/>
  <c r="J3002" i="49"/>
  <c r="Q3002" i="49" s="1"/>
  <c r="F112" i="50"/>
  <c r="J3156" i="49"/>
  <c r="Q3156" i="49" s="1"/>
  <c r="J1677" i="49"/>
  <c r="Q1677" i="49" s="1"/>
  <c r="J1848" i="49"/>
  <c r="Q1848" i="49" s="1"/>
  <c r="J4245" i="49"/>
  <c r="Q4245" i="49" s="1"/>
  <c r="J2816" i="49"/>
  <c r="Q2816" i="49" s="1"/>
  <c r="J4780" i="49"/>
  <c r="Q4780" i="49" s="1"/>
  <c r="Q4781" i="49"/>
  <c r="J4781" i="49"/>
  <c r="Q1999" i="49"/>
  <c r="J1999" i="49"/>
  <c r="J1849" i="49"/>
  <c r="Q1849" i="49" s="1"/>
  <c r="J1855" i="49"/>
  <c r="Q1855" i="49" s="1"/>
  <c r="Q2230" i="49"/>
  <c r="J2230" i="49"/>
  <c r="Q2231" i="49"/>
  <c r="J2231" i="49"/>
  <c r="J3147" i="49"/>
  <c r="Q3147" i="49" s="1"/>
  <c r="J3141" i="49"/>
  <c r="Q3141" i="49" s="1"/>
  <c r="J761" i="46"/>
  <c r="J4804" i="49"/>
  <c r="Q4804" i="49" s="1"/>
  <c r="J3751" i="49"/>
  <c r="Q3751" i="49"/>
  <c r="J5111" i="49"/>
  <c r="Q5111" i="49" s="1"/>
  <c r="J621" i="46"/>
  <c r="J3946" i="49"/>
  <c r="Q3946" i="49" s="1"/>
  <c r="J3940" i="49"/>
  <c r="Q3940" i="49" s="1"/>
  <c r="J3386" i="49"/>
  <c r="Q3386" i="49"/>
  <c r="J3387" i="49"/>
  <c r="Q3387" i="49" s="1"/>
  <c r="Q775" i="49"/>
  <c r="J775" i="49"/>
  <c r="Q1661" i="49"/>
  <c r="J1661" i="49"/>
  <c r="J140" i="46"/>
  <c r="J1049" i="49"/>
  <c r="Q1049" i="49" s="1"/>
  <c r="J3394" i="49"/>
  <c r="Q3394" i="49" s="1"/>
  <c r="J2808" i="49"/>
  <c r="Q2808" i="49" s="1"/>
  <c r="J2809" i="49"/>
  <c r="Q2809" i="49" s="1"/>
  <c r="J4789" i="49"/>
  <c r="Q4789" i="49" s="1"/>
  <c r="J386" i="46"/>
  <c r="Q2502" i="49"/>
  <c r="J2502" i="49"/>
  <c r="Q2503" i="49"/>
  <c r="J2503" i="49"/>
  <c r="J1064" i="49"/>
  <c r="Q1064" i="49" s="1"/>
  <c r="J713" i="46"/>
  <c r="J4515" i="49"/>
  <c r="Q4515" i="49" s="1"/>
  <c r="J92" i="46"/>
  <c r="J760" i="49"/>
  <c r="Q760" i="49" s="1"/>
  <c r="J3410" i="49"/>
  <c r="Q3410" i="49" s="1"/>
  <c r="Q2238" i="49"/>
  <c r="J2238" i="49"/>
  <c r="J93" i="46"/>
  <c r="J767" i="49"/>
  <c r="Q767" i="49"/>
  <c r="J761" i="49"/>
  <c r="Q761" i="49" s="1"/>
  <c r="J4508" i="49"/>
  <c r="Q4508" i="49" s="1"/>
  <c r="J4509" i="49"/>
  <c r="Q4509" i="49" s="1"/>
  <c r="J1992" i="49"/>
  <c r="Q1992" i="49" s="1"/>
  <c r="J1993" i="49"/>
  <c r="Q1993" i="49" s="1"/>
  <c r="J769" i="46"/>
  <c r="J2995" i="49"/>
  <c r="Q2995" i="49" s="1"/>
  <c r="F105" i="50"/>
  <c r="Q2996" i="49"/>
  <c r="J2996" i="49"/>
  <c r="F106" i="50"/>
  <c r="J1362" i="49"/>
  <c r="Q1362" i="49" s="1"/>
  <c r="J1356" i="49"/>
  <c r="Q1356" i="49" s="1"/>
  <c r="J3743" i="49"/>
  <c r="Q3743" i="49"/>
  <c r="J3744" i="49"/>
  <c r="Q3744" i="49" s="1"/>
  <c r="J3954" i="49"/>
  <c r="Q3954" i="49" s="1"/>
  <c r="J3573" i="49"/>
  <c r="Q3573" i="49" s="1"/>
  <c r="J3574" i="49"/>
  <c r="Q3574" i="49" s="1"/>
  <c r="J3581" i="49"/>
  <c r="Q3581" i="49" s="1"/>
  <c r="J1371" i="49"/>
  <c r="Q1371" i="49"/>
  <c r="J813" i="46"/>
  <c r="J5096" i="49"/>
  <c r="Q5096" i="49" s="1"/>
  <c r="Q5102" i="49"/>
  <c r="J5102" i="49"/>
  <c r="J2510" i="49"/>
  <c r="Q2510" i="49" s="1"/>
  <c r="W85" i="13"/>
  <c r="V64" i="26" s="1"/>
  <c r="V76" i="26" s="1"/>
  <c r="V77" i="26" s="1"/>
  <c r="U117" i="14"/>
  <c r="R90" i="13"/>
  <c r="Q64" i="31" s="1"/>
  <c r="Q76" i="31" s="1"/>
  <c r="Q77" i="31" s="1"/>
  <c r="P167" i="14"/>
  <c r="Q67" i="19"/>
  <c r="Q68" i="19" s="1"/>
  <c r="S80" i="13"/>
  <c r="R64" i="21" s="1"/>
  <c r="R76" i="21" s="1"/>
  <c r="R77" i="21" s="1"/>
  <c r="Q67" i="14"/>
  <c r="O67" i="17"/>
  <c r="O68" i="17" s="1"/>
  <c r="S77" i="13"/>
  <c r="R64" i="18" s="1"/>
  <c r="R76" i="18" s="1"/>
  <c r="R77" i="18" s="1"/>
  <c r="Q37" i="14"/>
  <c r="M79" i="13"/>
  <c r="L64" i="20" s="1"/>
  <c r="K57" i="14"/>
  <c r="J118" i="14"/>
  <c r="J119" i="14" s="1"/>
  <c r="J120" i="14" s="1"/>
  <c r="O76" i="29"/>
  <c r="O77" i="29" s="1"/>
  <c r="O64" i="8"/>
  <c r="O76" i="8" s="1"/>
  <c r="O77" i="8" s="1"/>
  <c r="O83" i="8" s="1"/>
  <c r="J64" i="14"/>
  <c r="M51" i="13" s="1"/>
  <c r="L48" i="20" s="1"/>
  <c r="R50" i="23"/>
  <c r="R52" i="23"/>
  <c r="K50" i="24"/>
  <c r="K52" i="24"/>
  <c r="K48" i="8"/>
  <c r="T54" i="24"/>
  <c r="T56" i="24" s="1"/>
  <c r="R54" i="19"/>
  <c r="K86" i="20"/>
  <c r="P86" i="28"/>
  <c r="J104" i="49"/>
  <c r="Q104" i="49" s="1"/>
  <c r="E104" i="50"/>
  <c r="G104" i="50" s="1"/>
  <c r="H104" i="50" s="1"/>
  <c r="O29" i="14"/>
  <c r="O30" i="14" s="1"/>
  <c r="O28" i="14"/>
  <c r="S82" i="13"/>
  <c r="R64" i="23" s="1"/>
  <c r="R76" i="23" s="1"/>
  <c r="R77" i="23" s="1"/>
  <c r="Q87" i="14"/>
  <c r="Q54" i="23"/>
  <c r="Q56" i="23" s="1"/>
  <c r="S58" i="14"/>
  <c r="S59" i="14" s="1"/>
  <c r="S60" i="14" s="1"/>
  <c r="T50" i="20"/>
  <c r="T52" i="20"/>
  <c r="K67" i="20"/>
  <c r="K68" i="20" s="1"/>
  <c r="J106" i="49"/>
  <c r="Q106" i="49" s="1"/>
  <c r="E106" i="50"/>
  <c r="F17" i="38"/>
  <c r="H17" i="32"/>
  <c r="H17" i="38" s="1"/>
  <c r="S67" i="24"/>
  <c r="S68" i="24" s="1"/>
  <c r="O50" i="30"/>
  <c r="O52" i="30"/>
  <c r="J88" i="49"/>
  <c r="Q88" i="49" s="1"/>
  <c r="E88" i="50"/>
  <c r="G88" i="50" s="1"/>
  <c r="H88" i="50" s="1"/>
  <c r="C24" i="1"/>
  <c r="U54" i="26"/>
  <c r="U56" i="26" s="1"/>
  <c r="P56" i="28"/>
  <c r="J98" i="49"/>
  <c r="Q98" i="49" s="1"/>
  <c r="E98" i="50"/>
  <c r="G98" i="50" s="1"/>
  <c r="H98" i="50" s="1"/>
  <c r="P54" i="31"/>
  <c r="P56" i="31" s="1"/>
  <c r="O67" i="27"/>
  <c r="O68" i="27" s="1"/>
  <c r="P50" i="16"/>
  <c r="P52" i="16"/>
  <c r="Q86" i="19"/>
  <c r="O86" i="17"/>
  <c r="Q54" i="25"/>
  <c r="Q56" i="25" s="1"/>
  <c r="Q49" i="14"/>
  <c r="Q50" i="14" s="1"/>
  <c r="Q48" i="14"/>
  <c r="Q54" i="14" s="1"/>
  <c r="T50" i="13" s="1"/>
  <c r="S48" i="19" s="1"/>
  <c r="N86" i="30"/>
  <c r="P74" i="14"/>
  <c r="S52" i="13" s="1"/>
  <c r="R48" i="21" s="1"/>
  <c r="N56" i="30"/>
  <c r="P50" i="17"/>
  <c r="P52" i="17"/>
  <c r="O128" i="14"/>
  <c r="O129" i="14"/>
  <c r="O130" i="14" s="1"/>
  <c r="O50" i="29"/>
  <c r="O52" i="29"/>
  <c r="O48" i="8"/>
  <c r="Q14" i="14"/>
  <c r="T46" i="13" s="1"/>
  <c r="S48" i="15" s="1"/>
  <c r="O139" i="14"/>
  <c r="O140" i="14" s="1"/>
  <c r="O84" i="14"/>
  <c r="R53" i="13" s="1"/>
  <c r="Q48" i="22" s="1"/>
  <c r="O86" i="16"/>
  <c r="N158" i="14"/>
  <c r="N159" i="14" s="1"/>
  <c r="N160" i="14" s="1"/>
  <c r="H369" i="46"/>
  <c r="H359" i="46"/>
  <c r="H350" i="46"/>
  <c r="H383" i="46"/>
  <c r="H354" i="46"/>
  <c r="H344" i="46"/>
  <c r="H362" i="46"/>
  <c r="H358" i="46"/>
  <c r="H351" i="46"/>
  <c r="H345" i="46"/>
  <c r="H370" i="46"/>
  <c r="H381" i="46"/>
  <c r="H366" i="46"/>
  <c r="H347" i="46"/>
  <c r="H386" i="46"/>
  <c r="H374" i="46"/>
  <c r="H387" i="46"/>
  <c r="H380" i="46"/>
  <c r="H372" i="46"/>
  <c r="M12" i="38"/>
  <c r="H353" i="46"/>
  <c r="H342" i="46"/>
  <c r="H360" i="46"/>
  <c r="H346" i="46"/>
  <c r="H368" i="46"/>
  <c r="H378" i="46"/>
  <c r="H341" i="46"/>
  <c r="H379" i="46"/>
  <c r="H385" i="46"/>
  <c r="H375" i="46"/>
  <c r="H348" i="46"/>
  <c r="H356" i="46"/>
  <c r="H367" i="46"/>
  <c r="H388" i="46"/>
  <c r="H373" i="46"/>
  <c r="H382" i="46"/>
  <c r="H357" i="46"/>
  <c r="H377" i="46"/>
  <c r="H349" i="46"/>
  <c r="H355" i="46"/>
  <c r="H363" i="46"/>
  <c r="H365" i="46"/>
  <c r="H343" i="46"/>
  <c r="H376" i="46"/>
  <c r="H352" i="46"/>
  <c r="H371" i="46"/>
  <c r="H384" i="46"/>
  <c r="H364" i="46"/>
  <c r="H361" i="46"/>
  <c r="T74" i="13"/>
  <c r="S64" i="15" s="1"/>
  <c r="S76" i="15" s="1"/>
  <c r="S77" i="15" s="1"/>
  <c r="R7" i="14"/>
  <c r="R50" i="25"/>
  <c r="R52" i="25"/>
  <c r="Q54" i="21"/>
  <c r="Q56" i="21"/>
  <c r="R81" i="13"/>
  <c r="Q64" i="22" s="1"/>
  <c r="Q76" i="22" s="1"/>
  <c r="Q77" i="22" s="1"/>
  <c r="P77" i="14"/>
  <c r="O67" i="16"/>
  <c r="O68" i="16" s="1"/>
  <c r="S10" i="39"/>
  <c r="U10" i="39" s="1"/>
  <c r="O76" i="30"/>
  <c r="O77" i="30" s="1"/>
  <c r="J97" i="49"/>
  <c r="Q97" i="49" s="1"/>
  <c r="E97" i="50"/>
  <c r="G97" i="50" s="1"/>
  <c r="H97" i="50" s="1"/>
  <c r="S84" i="13"/>
  <c r="R64" i="25" s="1"/>
  <c r="R76" i="25" s="1"/>
  <c r="R77" i="25" s="1"/>
  <c r="Q107" i="14"/>
  <c r="T124" i="14"/>
  <c r="W57" i="13" s="1"/>
  <c r="V48" i="26" s="1"/>
  <c r="N148" i="14"/>
  <c r="N149" i="14"/>
  <c r="N150" i="14" s="1"/>
  <c r="S9" i="39"/>
  <c r="U9" i="39" s="1"/>
  <c r="P67" i="18"/>
  <c r="P68" i="18" s="1"/>
  <c r="S99" i="14"/>
  <c r="S100" i="14" s="1"/>
  <c r="O18" i="14"/>
  <c r="R54" i="15"/>
  <c r="R86" i="15" s="1"/>
  <c r="P50" i="27"/>
  <c r="P52" i="27"/>
  <c r="K54" i="26"/>
  <c r="K56" i="26" s="1"/>
  <c r="O174" i="14"/>
  <c r="R62" i="13" s="1"/>
  <c r="Q48" i="31" s="1"/>
  <c r="Q54" i="18"/>
  <c r="Q56" i="18" s="1"/>
  <c r="O67" i="31"/>
  <c r="O68" i="31" s="1"/>
  <c r="P54" i="22"/>
  <c r="P56" i="22" s="1"/>
  <c r="P44" i="14"/>
  <c r="S49" i="13" s="1"/>
  <c r="R48" i="18" s="1"/>
  <c r="J98" i="14"/>
  <c r="G27" i="52"/>
  <c r="G28" i="52" s="1"/>
  <c r="G29" i="52" s="1"/>
  <c r="H105" i="49"/>
  <c r="P76" i="16"/>
  <c r="P77" i="16" s="1"/>
  <c r="H2817" i="49"/>
  <c r="H1364" i="49"/>
  <c r="H1363" i="49"/>
  <c r="H1372" i="49"/>
  <c r="H776" i="49"/>
  <c r="H5104" i="49"/>
  <c r="H5103" i="49"/>
  <c r="E818" i="46"/>
  <c r="H769" i="49"/>
  <c r="H768" i="49"/>
  <c r="E98" i="46"/>
  <c r="H2518" i="49"/>
  <c r="H2512" i="49"/>
  <c r="H2254" i="49"/>
  <c r="H1863" i="49"/>
  <c r="H2526" i="49"/>
  <c r="H3753" i="49"/>
  <c r="H3759" i="49"/>
  <c r="H3003" i="49"/>
  <c r="H1857" i="49"/>
  <c r="H1856" i="49"/>
  <c r="H3157" i="49"/>
  <c r="H3752" i="49"/>
  <c r="H1065" i="49"/>
  <c r="H2511" i="49"/>
  <c r="M22" i="39"/>
  <c r="E714" i="46"/>
  <c r="H3955" i="49"/>
  <c r="H1670" i="49"/>
  <c r="H1669" i="49"/>
  <c r="E762" i="46"/>
  <c r="M23" i="39"/>
  <c r="H5112" i="49"/>
  <c r="H1693" i="49"/>
  <c r="H3582" i="49"/>
  <c r="H2240" i="49"/>
  <c r="H2246" i="49"/>
  <c r="H4246" i="49"/>
  <c r="H4252" i="49"/>
  <c r="H3395" i="49"/>
  <c r="E772" i="46"/>
  <c r="H1387" i="49"/>
  <c r="H1678" i="49"/>
  <c r="H3396" i="49"/>
  <c r="H3402" i="49"/>
  <c r="E724" i="46"/>
  <c r="H2818" i="49"/>
  <c r="H2824" i="49"/>
  <c r="H3149" i="49"/>
  <c r="H3148" i="49"/>
  <c r="H4516" i="49"/>
  <c r="L22" i="39"/>
  <c r="E715" i="46"/>
  <c r="H4805" i="49"/>
  <c r="L23" i="39"/>
  <c r="E763" i="46"/>
  <c r="H5113" i="49"/>
  <c r="H5119" i="49"/>
  <c r="H3411" i="49"/>
  <c r="H3948" i="49"/>
  <c r="H3947" i="49"/>
  <c r="E626" i="46"/>
  <c r="H2239" i="49"/>
  <c r="H5127" i="49"/>
  <c r="H1058" i="49"/>
  <c r="H1057" i="49"/>
  <c r="E146" i="46"/>
  <c r="H2833" i="49"/>
  <c r="H2000" i="49"/>
  <c r="H4796" i="49"/>
  <c r="H4790" i="49"/>
  <c r="H3158" i="49"/>
  <c r="H3164" i="49"/>
  <c r="H3589" i="49"/>
  <c r="H3583" i="49"/>
  <c r="H1373" i="49"/>
  <c r="H1379" i="49"/>
  <c r="R56" i="15" l="1"/>
  <c r="R67" i="15" s="1"/>
  <c r="R68" i="15" s="1"/>
  <c r="O134" i="14"/>
  <c r="R58" i="13" s="1"/>
  <c r="Q48" i="27" s="1"/>
  <c r="J1379" i="49"/>
  <c r="Q1379" i="49" s="1"/>
  <c r="Q1373" i="49"/>
  <c r="J1373" i="49"/>
  <c r="J3583" i="49"/>
  <c r="Q3583" i="49" s="1"/>
  <c r="J3589" i="49"/>
  <c r="Q3589" i="49" s="1"/>
  <c r="J3164" i="49"/>
  <c r="Q3164" i="49" s="1"/>
  <c r="J3158" i="49"/>
  <c r="Q3158" i="49" s="1"/>
  <c r="J4790" i="49"/>
  <c r="Q4790" i="49"/>
  <c r="J4796" i="49"/>
  <c r="Q4796" i="49" s="1"/>
  <c r="J2000" i="49"/>
  <c r="Q2000" i="49" s="1"/>
  <c r="J2833" i="49"/>
  <c r="Q2833" i="49" s="1"/>
  <c r="J146" i="46"/>
  <c r="J1057" i="49"/>
  <c r="Q1057" i="49" s="1"/>
  <c r="J1058" i="49"/>
  <c r="Q1058" i="49" s="1"/>
  <c r="J5127" i="49"/>
  <c r="Q5127" i="49" s="1"/>
  <c r="J2239" i="49"/>
  <c r="Q2239" i="49" s="1"/>
  <c r="J626" i="46"/>
  <c r="J3947" i="49"/>
  <c r="Q3947" i="49" s="1"/>
  <c r="J3948" i="49"/>
  <c r="Q3948" i="49" s="1"/>
  <c r="J3411" i="49"/>
  <c r="Q3411" i="49"/>
  <c r="J5119" i="49"/>
  <c r="Q5119" i="49" s="1"/>
  <c r="J5113" i="49"/>
  <c r="Q5113" i="49" s="1"/>
  <c r="J763" i="46"/>
  <c r="P23" i="39"/>
  <c r="X23" i="39"/>
  <c r="Q4805" i="49"/>
  <c r="J4805" i="49"/>
  <c r="J715" i="46"/>
  <c r="P22" i="39"/>
  <c r="X22" i="39"/>
  <c r="J4516" i="49"/>
  <c r="Q4516" i="49"/>
  <c r="F181" i="50"/>
  <c r="J3148" i="49"/>
  <c r="Q3148" i="49" s="1"/>
  <c r="J3149" i="49"/>
  <c r="Q3149" i="49" s="1"/>
  <c r="J2824" i="49"/>
  <c r="Q2824" i="49" s="1"/>
  <c r="J2818" i="49"/>
  <c r="Q2818" i="49" s="1"/>
  <c r="J724" i="46"/>
  <c r="Q3402" i="49"/>
  <c r="J3402" i="49"/>
  <c r="J3396" i="49"/>
  <c r="Q3396" i="49" s="1"/>
  <c r="J1678" i="49"/>
  <c r="Q1678" i="49" s="1"/>
  <c r="Q1387" i="49"/>
  <c r="J1387" i="49"/>
  <c r="J772" i="46"/>
  <c r="J3395" i="49"/>
  <c r="Q3395" i="49" s="1"/>
  <c r="J4252" i="49"/>
  <c r="Q4252" i="49"/>
  <c r="J4246" i="49"/>
  <c r="Q4246" i="49" s="1"/>
  <c r="J2246" i="49"/>
  <c r="Q2246" i="49"/>
  <c r="J2240" i="49"/>
  <c r="Q2240" i="49" s="1"/>
  <c r="Q3582" i="49"/>
  <c r="J3582" i="49"/>
  <c r="J1693" i="49"/>
  <c r="Q1693" i="49" s="1"/>
  <c r="J5112" i="49"/>
  <c r="Q5112" i="49" s="1"/>
  <c r="Q23" i="39"/>
  <c r="J762" i="46"/>
  <c r="J1669" i="49"/>
  <c r="Q1669" i="49" s="1"/>
  <c r="J1670" i="49"/>
  <c r="Q1670" i="49" s="1"/>
  <c r="J3955" i="49"/>
  <c r="Q3955" i="49" s="1"/>
  <c r="J714" i="46"/>
  <c r="Q22" i="39"/>
  <c r="J2511" i="49"/>
  <c r="Q2511" i="49"/>
  <c r="J1065" i="49"/>
  <c r="Q1065" i="49" s="1"/>
  <c r="J3752" i="49"/>
  <c r="Q3752" i="49" s="1"/>
  <c r="J3157" i="49"/>
  <c r="Q3157" i="49" s="1"/>
  <c r="J1856" i="49"/>
  <c r="Q1856" i="49" s="1"/>
  <c r="J1857" i="49"/>
  <c r="Q1857" i="49"/>
  <c r="J3003" i="49"/>
  <c r="Q3003" i="49" s="1"/>
  <c r="F113" i="50"/>
  <c r="J3759" i="49"/>
  <c r="Q3759" i="49" s="1"/>
  <c r="J3753" i="49"/>
  <c r="Q3753" i="49" s="1"/>
  <c r="J2526" i="49"/>
  <c r="Q2526" i="49" s="1"/>
  <c r="J1863" i="49"/>
  <c r="Q1863" i="49" s="1"/>
  <c r="J2254" i="49"/>
  <c r="Q2254" i="49" s="1"/>
  <c r="J2512" i="49"/>
  <c r="Q2512" i="49" s="1"/>
  <c r="J2518" i="49"/>
  <c r="Q2518" i="49" s="1"/>
  <c r="J98" i="46"/>
  <c r="J768" i="49"/>
  <c r="Q768" i="49" s="1"/>
  <c r="J769" i="49"/>
  <c r="Q769" i="49" s="1"/>
  <c r="J818" i="46"/>
  <c r="J5103" i="49"/>
  <c r="Q5103" i="49" s="1"/>
  <c r="J5104" i="49"/>
  <c r="Q5104" i="49" s="1"/>
  <c r="Q776" i="49"/>
  <c r="J776" i="49"/>
  <c r="J1372" i="49"/>
  <c r="Q1372" i="49" s="1"/>
  <c r="J1363" i="49"/>
  <c r="Q1363" i="49" s="1"/>
  <c r="J1364" i="49"/>
  <c r="Q1364" i="49" s="1"/>
  <c r="J2817" i="49"/>
  <c r="Q2817" i="49" s="1"/>
  <c r="Q88" i="13"/>
  <c r="P64" i="29" s="1"/>
  <c r="O147" i="14"/>
  <c r="Q67" i="18"/>
  <c r="Q68" i="18" s="1"/>
  <c r="T78" i="13"/>
  <c r="S64" i="19" s="1"/>
  <c r="S76" i="19" s="1"/>
  <c r="S77" i="19" s="1"/>
  <c r="R47" i="14"/>
  <c r="K67" i="26"/>
  <c r="K68" i="26" s="1"/>
  <c r="R76" i="13"/>
  <c r="Q64" i="17" s="1"/>
  <c r="Q76" i="17" s="1"/>
  <c r="Q77" i="17" s="1"/>
  <c r="P27" i="14"/>
  <c r="M85" i="13"/>
  <c r="L64" i="26" s="1"/>
  <c r="L76" i="26" s="1"/>
  <c r="L77" i="26" s="1"/>
  <c r="K117" i="14"/>
  <c r="V79" i="13"/>
  <c r="U64" i="20" s="1"/>
  <c r="U76" i="20" s="1"/>
  <c r="U77" i="20" s="1"/>
  <c r="T57" i="14"/>
  <c r="T67" i="24"/>
  <c r="T68" i="24" s="1"/>
  <c r="N67" i="30"/>
  <c r="N68" i="30" s="1"/>
  <c r="V83" i="13"/>
  <c r="U64" i="24" s="1"/>
  <c r="U76" i="24" s="1"/>
  <c r="U77" i="24" s="1"/>
  <c r="T97" i="14"/>
  <c r="T54" i="20"/>
  <c r="S104" i="14"/>
  <c r="V55" i="13" s="1"/>
  <c r="U48" i="24" s="1"/>
  <c r="R56" i="23"/>
  <c r="R54" i="23"/>
  <c r="Q50" i="31"/>
  <c r="Q52" i="31"/>
  <c r="Q86" i="21"/>
  <c r="S50" i="15"/>
  <c r="S52" i="15"/>
  <c r="Q69" i="14"/>
  <c r="Q70" i="14" s="1"/>
  <c r="Q68" i="14"/>
  <c r="Q108" i="14"/>
  <c r="Q109" i="14"/>
  <c r="Q110" i="14" s="1"/>
  <c r="R56" i="25"/>
  <c r="R54" i="25"/>
  <c r="P67" i="31"/>
  <c r="P68" i="31" s="1"/>
  <c r="O56" i="30"/>
  <c r="O54" i="30"/>
  <c r="M4" i="30"/>
  <c r="O54" i="29"/>
  <c r="O56" i="29" s="1"/>
  <c r="M4" i="29"/>
  <c r="G84" i="8"/>
  <c r="H84" i="8"/>
  <c r="I84" i="8"/>
  <c r="J84" i="8"/>
  <c r="F84" i="8"/>
  <c r="K84" i="8"/>
  <c r="L84" i="8"/>
  <c r="E84" i="8"/>
  <c r="M84" i="8"/>
  <c r="N84" i="8"/>
  <c r="O84" i="8"/>
  <c r="P84" i="8"/>
  <c r="Q84" i="8"/>
  <c r="R84" i="8"/>
  <c r="S84" i="8"/>
  <c r="T84" i="8"/>
  <c r="E87" i="8"/>
  <c r="U84" i="8"/>
  <c r="V84" i="8"/>
  <c r="F87" i="8"/>
  <c r="W84" i="8"/>
  <c r="X84" i="8"/>
  <c r="Y84" i="8"/>
  <c r="G87" i="8"/>
  <c r="H87" i="8"/>
  <c r="I87" i="8"/>
  <c r="J87" i="8"/>
  <c r="Q67" i="23"/>
  <c r="Q68" i="23" s="1"/>
  <c r="P168" i="14"/>
  <c r="P169" i="14" s="1"/>
  <c r="P170" i="14" s="1"/>
  <c r="Q50" i="27"/>
  <c r="Q52" i="27"/>
  <c r="Q67" i="25"/>
  <c r="Q68" i="25" s="1"/>
  <c r="H603" i="46"/>
  <c r="H596" i="46"/>
  <c r="H622" i="46"/>
  <c r="H590" i="46"/>
  <c r="H585" i="46"/>
  <c r="H611" i="46"/>
  <c r="H621" i="46"/>
  <c r="H606" i="46"/>
  <c r="H626" i="46"/>
  <c r="H610" i="46"/>
  <c r="H599" i="46"/>
  <c r="H582" i="46"/>
  <c r="H614" i="46"/>
  <c r="H602" i="46"/>
  <c r="H586" i="46"/>
  <c r="H597" i="46"/>
  <c r="H618" i="46"/>
  <c r="H588" i="46"/>
  <c r="H607" i="46"/>
  <c r="H628" i="46"/>
  <c r="H613" i="46"/>
  <c r="H587" i="46"/>
  <c r="H584" i="46"/>
  <c r="H595" i="46"/>
  <c r="H616" i="46"/>
  <c r="H601" i="46"/>
  <c r="H591" i="46"/>
  <c r="H609" i="46"/>
  <c r="M17" i="38"/>
  <c r="H617" i="46"/>
  <c r="H583" i="46"/>
  <c r="H604" i="46"/>
  <c r="H589" i="46"/>
  <c r="H592" i="46"/>
  <c r="H623" i="46"/>
  <c r="H600" i="46"/>
  <c r="H594" i="46"/>
  <c r="H605" i="46"/>
  <c r="H593" i="46"/>
  <c r="H625" i="46"/>
  <c r="H598" i="46"/>
  <c r="H620" i="46"/>
  <c r="H608" i="46"/>
  <c r="H627" i="46"/>
  <c r="H615" i="46"/>
  <c r="H619" i="46"/>
  <c r="H581" i="46"/>
  <c r="H612" i="46"/>
  <c r="H624" i="46"/>
  <c r="Q89" i="14"/>
  <c r="Q90" i="14" s="1"/>
  <c r="Q88" i="14"/>
  <c r="R86" i="19"/>
  <c r="U119" i="14"/>
  <c r="U120" i="14" s="1"/>
  <c r="U118" i="14"/>
  <c r="R50" i="18"/>
  <c r="R52" i="18"/>
  <c r="N164" i="14"/>
  <c r="Q61" i="13" s="1"/>
  <c r="P48" i="30" s="1"/>
  <c r="R86" i="13"/>
  <c r="Q64" i="27" s="1"/>
  <c r="Q76" i="27" s="1"/>
  <c r="Q77" i="27" s="1"/>
  <c r="P127" i="14"/>
  <c r="Q86" i="25"/>
  <c r="P67" i="28"/>
  <c r="P68" i="28" s="1"/>
  <c r="G106" i="50"/>
  <c r="H106" i="50" s="1"/>
  <c r="N154" i="14"/>
  <c r="Q60" i="13" s="1"/>
  <c r="P48" i="29" s="1"/>
  <c r="Q67" i="21"/>
  <c r="Q68" i="21" s="1"/>
  <c r="R87" i="13"/>
  <c r="Q64" i="28" s="1"/>
  <c r="Q76" i="28" s="1"/>
  <c r="Q77" i="28" s="1"/>
  <c r="P137" i="14"/>
  <c r="V50" i="26"/>
  <c r="V52" i="26"/>
  <c r="O144" i="14"/>
  <c r="R59" i="13" s="1"/>
  <c r="Q48" i="28" s="1"/>
  <c r="K86" i="26"/>
  <c r="L13" i="52"/>
  <c r="H180" i="49"/>
  <c r="O50" i="8"/>
  <c r="O52" i="8"/>
  <c r="M3" i="8"/>
  <c r="S50" i="19"/>
  <c r="S52" i="19"/>
  <c r="P86" i="31"/>
  <c r="S64" i="14"/>
  <c r="V51" i="13" s="1"/>
  <c r="U48" i="20" s="1"/>
  <c r="P54" i="27"/>
  <c r="P56" i="27" s="1"/>
  <c r="C39" i="1"/>
  <c r="I39" i="1" s="1"/>
  <c r="W9" i="39"/>
  <c r="V9" i="39"/>
  <c r="F6" i="32"/>
  <c r="J6" i="3"/>
  <c r="G6" i="32" s="1"/>
  <c r="G6" i="38" s="1"/>
  <c r="N712" i="49"/>
  <c r="O712" i="49" s="1"/>
  <c r="C11" i="4"/>
  <c r="N650" i="49"/>
  <c r="O650" i="49" s="1"/>
  <c r="N604" i="49"/>
  <c r="O604" i="49" s="1"/>
  <c r="N673" i="49"/>
  <c r="O673" i="49" s="1"/>
  <c r="N626" i="49"/>
  <c r="O626" i="49" s="1"/>
  <c r="N792" i="49"/>
  <c r="O792" i="49" s="1"/>
  <c r="N635" i="49"/>
  <c r="O635" i="49" s="1"/>
  <c r="N654" i="49"/>
  <c r="O654" i="49" s="1"/>
  <c r="N692" i="49"/>
  <c r="O692" i="49" s="1"/>
  <c r="N851" i="49"/>
  <c r="O851" i="49" s="1"/>
  <c r="N756" i="49"/>
  <c r="O756" i="49" s="1"/>
  <c r="N733" i="49"/>
  <c r="O733" i="49" s="1"/>
  <c r="N697" i="49"/>
  <c r="O697" i="49" s="1"/>
  <c r="N614" i="49"/>
  <c r="O614" i="49" s="1"/>
  <c r="N587" i="49"/>
  <c r="O587" i="49" s="1"/>
  <c r="N716" i="49"/>
  <c r="O716" i="49" s="1"/>
  <c r="N768" i="49"/>
  <c r="O768" i="49" s="1"/>
  <c r="N826" i="49"/>
  <c r="O826" i="49" s="1"/>
  <c r="N685" i="49"/>
  <c r="O685" i="49" s="1"/>
  <c r="N775" i="49"/>
  <c r="O775" i="49" s="1"/>
  <c r="N599" i="49"/>
  <c r="O599" i="49" s="1"/>
  <c r="N709" i="49"/>
  <c r="O709" i="49" s="1"/>
  <c r="N852" i="49"/>
  <c r="O852" i="49" s="1"/>
  <c r="N680" i="49"/>
  <c r="O680" i="49" s="1"/>
  <c r="N638" i="49"/>
  <c r="O638" i="49" s="1"/>
  <c r="N583" i="49"/>
  <c r="O583" i="49" s="1"/>
  <c r="N707" i="49"/>
  <c r="O707" i="49" s="1"/>
  <c r="N630" i="49"/>
  <c r="O630" i="49" s="1"/>
  <c r="N602" i="49"/>
  <c r="O602" i="49" s="1"/>
  <c r="N848" i="49"/>
  <c r="O848" i="49" s="1"/>
  <c r="N739" i="49"/>
  <c r="O739" i="49" s="1"/>
  <c r="N663" i="49"/>
  <c r="O663" i="49" s="1"/>
  <c r="N661" i="49"/>
  <c r="O661" i="49" s="1"/>
  <c r="N584" i="49"/>
  <c r="O584" i="49" s="1"/>
  <c r="N772" i="49"/>
  <c r="O772" i="49" s="1"/>
  <c r="N588" i="49"/>
  <c r="O588" i="49" s="1"/>
  <c r="N760" i="49"/>
  <c r="O760" i="49" s="1"/>
  <c r="N679" i="49"/>
  <c r="O679" i="49" s="1"/>
  <c r="N801" i="49"/>
  <c r="O801" i="49" s="1"/>
  <c r="N754" i="49"/>
  <c r="O754" i="49" s="1"/>
  <c r="N585" i="49"/>
  <c r="N782" i="49"/>
  <c r="O782" i="49" s="1"/>
  <c r="N793" i="49"/>
  <c r="O793" i="49" s="1"/>
  <c r="N617" i="49"/>
  <c r="O617" i="49" s="1"/>
  <c r="N856" i="49"/>
  <c r="O856" i="49" s="1"/>
  <c r="N729" i="49"/>
  <c r="O729" i="49" s="1"/>
  <c r="N605" i="49"/>
  <c r="O605" i="49" s="1"/>
  <c r="N773" i="49"/>
  <c r="O773" i="49" s="1"/>
  <c r="N791" i="49"/>
  <c r="O791" i="49" s="1"/>
  <c r="N691" i="49"/>
  <c r="O691" i="49" s="1"/>
  <c r="N813" i="49"/>
  <c r="O813" i="49" s="1"/>
  <c r="N597" i="49"/>
  <c r="O597" i="49" s="1"/>
  <c r="N594" i="49"/>
  <c r="O594" i="49" s="1"/>
  <c r="N668" i="49"/>
  <c r="O668" i="49" s="1"/>
  <c r="N867" i="49"/>
  <c r="O867" i="49" s="1"/>
  <c r="N841" i="49"/>
  <c r="O841" i="49" s="1"/>
  <c r="N745" i="49"/>
  <c r="O745" i="49" s="1"/>
  <c r="N677" i="49"/>
  <c r="O677" i="49" s="1"/>
  <c r="N742" i="49"/>
  <c r="O742" i="49" s="1"/>
  <c r="N670" i="49"/>
  <c r="O670" i="49" s="1"/>
  <c r="N788" i="49"/>
  <c r="O788" i="49" s="1"/>
  <c r="N657" i="49"/>
  <c r="O657" i="49" s="1"/>
  <c r="N640" i="49"/>
  <c r="O640" i="49" s="1"/>
  <c r="N814" i="49"/>
  <c r="O814" i="49" s="1"/>
  <c r="N795" i="49"/>
  <c r="O795" i="49" s="1"/>
  <c r="N779" i="49"/>
  <c r="O779" i="49" s="1"/>
  <c r="N678" i="49"/>
  <c r="O678" i="49" s="1"/>
  <c r="N676" i="49"/>
  <c r="O676" i="49" s="1"/>
  <c r="N625" i="49"/>
  <c r="O625" i="49" s="1"/>
  <c r="N674" i="49"/>
  <c r="O674" i="49" s="1"/>
  <c r="N846" i="49"/>
  <c r="O846" i="49" s="1"/>
  <c r="N807" i="49"/>
  <c r="O807" i="49" s="1"/>
  <c r="N723" i="49"/>
  <c r="O723" i="49" s="1"/>
  <c r="N651" i="49"/>
  <c r="O651" i="49" s="1"/>
  <c r="N688" i="49"/>
  <c r="O688" i="49" s="1"/>
  <c r="N785" i="49"/>
  <c r="O785" i="49" s="1"/>
  <c r="N741" i="49"/>
  <c r="O741" i="49" s="1"/>
  <c r="N819" i="49"/>
  <c r="O819" i="49" s="1"/>
  <c r="N823" i="49"/>
  <c r="O823" i="49" s="1"/>
  <c r="N804" i="49"/>
  <c r="O804" i="49" s="1"/>
  <c r="N593" i="49"/>
  <c r="O593" i="49" s="1"/>
  <c r="N744" i="49"/>
  <c r="O744" i="49" s="1"/>
  <c r="N868" i="49"/>
  <c r="O868" i="49" s="1"/>
  <c r="N838" i="49"/>
  <c r="O838" i="49" s="1"/>
  <c r="N675" i="49"/>
  <c r="O675" i="49" s="1"/>
  <c r="N799" i="49"/>
  <c r="O799" i="49" s="1"/>
  <c r="N724" i="49"/>
  <c r="O724" i="49" s="1"/>
  <c r="N628" i="49"/>
  <c r="O628" i="49" s="1"/>
  <c r="N699" i="49"/>
  <c r="O699" i="49" s="1"/>
  <c r="N660" i="49"/>
  <c r="O660" i="49" s="1"/>
  <c r="N705" i="49"/>
  <c r="O705" i="49" s="1"/>
  <c r="N596" i="49"/>
  <c r="O596" i="49" s="1"/>
  <c r="N761" i="49"/>
  <c r="O761" i="49" s="1"/>
  <c r="N784" i="49"/>
  <c r="O784" i="49" s="1"/>
  <c r="N735" i="49"/>
  <c r="O735" i="49" s="1"/>
  <c r="N649" i="49"/>
  <c r="O649" i="49" s="1"/>
  <c r="N860" i="49"/>
  <c r="O860" i="49" s="1"/>
  <c r="N786" i="49"/>
  <c r="O786" i="49" s="1"/>
  <c r="N743" i="49"/>
  <c r="O743" i="49" s="1"/>
  <c r="N609" i="49"/>
  <c r="O609" i="49" s="1"/>
  <c r="N730" i="49"/>
  <c r="O730" i="49" s="1"/>
  <c r="N698" i="49"/>
  <c r="O698" i="49" s="1"/>
  <c r="N806" i="49"/>
  <c r="O806" i="49" s="1"/>
  <c r="N753" i="49"/>
  <c r="O753" i="49" s="1"/>
  <c r="N666" i="49"/>
  <c r="O666" i="49" s="1"/>
  <c r="N629" i="49"/>
  <c r="O629" i="49" s="1"/>
  <c r="N738" i="49"/>
  <c r="O738" i="49" s="1"/>
  <c r="N653" i="49"/>
  <c r="O653" i="49" s="1"/>
  <c r="N718" i="49"/>
  <c r="O718" i="49" s="1"/>
  <c r="N797" i="49"/>
  <c r="O797" i="49" s="1"/>
  <c r="N722" i="49"/>
  <c r="O722" i="49" s="1"/>
  <c r="N667" i="49"/>
  <c r="O667" i="49" s="1"/>
  <c r="N717" i="49"/>
  <c r="O717" i="49" s="1"/>
  <c r="N839" i="49"/>
  <c r="O839" i="49" s="1"/>
  <c r="N671" i="49"/>
  <c r="O671" i="49" s="1"/>
  <c r="N746" i="49"/>
  <c r="O746" i="49" s="1"/>
  <c r="N844" i="49"/>
  <c r="O844" i="49" s="1"/>
  <c r="N689" i="49"/>
  <c r="O689" i="49" s="1"/>
  <c r="N802" i="49"/>
  <c r="O802" i="49" s="1"/>
  <c r="N631" i="49"/>
  <c r="O631" i="49" s="1"/>
  <c r="N803" i="49"/>
  <c r="O803" i="49" s="1"/>
  <c r="N704" i="49"/>
  <c r="O704" i="49" s="1"/>
  <c r="N728" i="49"/>
  <c r="O728" i="49" s="1"/>
  <c r="N770" i="49"/>
  <c r="O770" i="49" s="1"/>
  <c r="N759" i="49"/>
  <c r="N731" i="49"/>
  <c r="O731" i="49" s="1"/>
  <c r="N592" i="49"/>
  <c r="O592" i="49" s="1"/>
  <c r="N832" i="49"/>
  <c r="O832" i="49" s="1"/>
  <c r="N811" i="49"/>
  <c r="O811" i="49" s="1"/>
  <c r="N834" i="49"/>
  <c r="O834" i="49" s="1"/>
  <c r="N789" i="49"/>
  <c r="O789" i="49" s="1"/>
  <c r="N842" i="49"/>
  <c r="O842" i="49" s="1"/>
  <c r="N586" i="49"/>
  <c r="O586" i="49" s="1"/>
  <c r="N732" i="49"/>
  <c r="O732" i="49" s="1"/>
  <c r="N669" i="49"/>
  <c r="O669" i="49" s="1"/>
  <c r="N634" i="49"/>
  <c r="O634" i="49" s="1"/>
  <c r="N845" i="49"/>
  <c r="O845" i="49" s="1"/>
  <c r="N825" i="49"/>
  <c r="O825" i="49" s="1"/>
  <c r="N624" i="49"/>
  <c r="O624" i="49" s="1"/>
  <c r="N830" i="49"/>
  <c r="O830" i="49" s="1"/>
  <c r="N703" i="49"/>
  <c r="O703" i="49" s="1"/>
  <c r="N748" i="49"/>
  <c r="O748" i="49" s="1"/>
  <c r="N808" i="49"/>
  <c r="O808" i="49" s="1"/>
  <c r="N809" i="49"/>
  <c r="O809" i="49" s="1"/>
  <c r="N636" i="49"/>
  <c r="O636" i="49" s="1"/>
  <c r="N642" i="49"/>
  <c r="O642" i="49" s="1"/>
  <c r="N749" i="49"/>
  <c r="O749" i="49" s="1"/>
  <c r="N600" i="49"/>
  <c r="O600" i="49" s="1"/>
  <c r="N858" i="49"/>
  <c r="O858" i="49" s="1"/>
  <c r="N853" i="49"/>
  <c r="O853" i="49" s="1"/>
  <c r="N622" i="49"/>
  <c r="O622" i="49" s="1"/>
  <c r="N800" i="49"/>
  <c r="O800" i="49" s="1"/>
  <c r="N798" i="49"/>
  <c r="O798" i="49" s="1"/>
  <c r="N736" i="49"/>
  <c r="O736" i="49" s="1"/>
  <c r="N591" i="49"/>
  <c r="O591" i="49" s="1"/>
  <c r="N850" i="49"/>
  <c r="O850" i="49" s="1"/>
  <c r="N700" i="49"/>
  <c r="O700" i="49" s="1"/>
  <c r="N627" i="49"/>
  <c r="O627" i="49" s="1"/>
  <c r="N837" i="49"/>
  <c r="O837" i="49" s="1"/>
  <c r="N662" i="49"/>
  <c r="O662" i="49" s="1"/>
  <c r="N659" i="49"/>
  <c r="O659" i="49" s="1"/>
  <c r="N637" i="49"/>
  <c r="O637" i="49" s="1"/>
  <c r="N686" i="49"/>
  <c r="O686" i="49" s="1"/>
  <c r="N606" i="49"/>
  <c r="O606" i="49" s="1"/>
  <c r="N664" i="49"/>
  <c r="O664" i="49" s="1"/>
  <c r="N696" i="49"/>
  <c r="O696" i="49" s="1"/>
  <c r="N796" i="49"/>
  <c r="O796" i="49" s="1"/>
  <c r="N778" i="49"/>
  <c r="O778" i="49" s="1"/>
  <c r="N719" i="49"/>
  <c r="O719" i="49" s="1"/>
  <c r="N805" i="49"/>
  <c r="O805" i="49" s="1"/>
  <c r="N615" i="49"/>
  <c r="O615" i="49" s="1"/>
  <c r="N726" i="49"/>
  <c r="O726" i="49" s="1"/>
  <c r="N682" i="49"/>
  <c r="O682" i="49" s="1"/>
  <c r="N684" i="49"/>
  <c r="O684" i="49" s="1"/>
  <c r="N776" i="49"/>
  <c r="O776" i="49" s="1"/>
  <c r="N847" i="49"/>
  <c r="O847" i="49" s="1"/>
  <c r="N701" i="49"/>
  <c r="O701" i="49" s="1"/>
  <c r="N766" i="49"/>
  <c r="O766" i="49" s="1"/>
  <c r="N764" i="49"/>
  <c r="O764" i="49" s="1"/>
  <c r="N821" i="49"/>
  <c r="O821" i="49" s="1"/>
  <c r="N647" i="49"/>
  <c r="O647" i="49" s="1"/>
  <c r="N644" i="49"/>
  <c r="O644" i="49" s="1"/>
  <c r="N863" i="49"/>
  <c r="O863" i="49" s="1"/>
  <c r="N610" i="49"/>
  <c r="O610" i="49" s="1"/>
  <c r="N871" i="49"/>
  <c r="O871" i="49" s="1"/>
  <c r="N828" i="49"/>
  <c r="O828" i="49" s="1"/>
  <c r="N758" i="49"/>
  <c r="O758" i="49" s="1"/>
  <c r="N619" i="49"/>
  <c r="O619" i="49" s="1"/>
  <c r="N859" i="49"/>
  <c r="O859" i="49" s="1"/>
  <c r="N762" i="49"/>
  <c r="O762" i="49" s="1"/>
  <c r="N648" i="49"/>
  <c r="O648" i="49" s="1"/>
  <c r="N632" i="49"/>
  <c r="O632" i="49" s="1"/>
  <c r="N820" i="49"/>
  <c r="O820" i="49" s="1"/>
  <c r="N767" i="49"/>
  <c r="O767" i="49" s="1"/>
  <c r="N643" i="49"/>
  <c r="O643" i="49" s="1"/>
  <c r="N655" i="49"/>
  <c r="O655" i="49" s="1"/>
  <c r="N734" i="49"/>
  <c r="O734" i="49" s="1"/>
  <c r="N750" i="49"/>
  <c r="O750" i="49" s="1"/>
  <c r="N865" i="49"/>
  <c r="O865" i="49" s="1"/>
  <c r="N694" i="49"/>
  <c r="O694" i="49" s="1"/>
  <c r="N822" i="49"/>
  <c r="O822" i="49" s="1"/>
  <c r="N833" i="49"/>
  <c r="O833" i="49" s="1"/>
  <c r="N656" i="49"/>
  <c r="O656" i="49" s="1"/>
  <c r="N595" i="49"/>
  <c r="O595" i="49" s="1"/>
  <c r="N710" i="49"/>
  <c r="O710" i="49" s="1"/>
  <c r="N737" i="49"/>
  <c r="O737" i="49" s="1"/>
  <c r="N769" i="49"/>
  <c r="O769" i="49" s="1"/>
  <c r="N774" i="49"/>
  <c r="O774" i="49" s="1"/>
  <c r="N645" i="49"/>
  <c r="O645" i="49" s="1"/>
  <c r="N818" i="49"/>
  <c r="O818" i="49" s="1"/>
  <c r="N665" i="49"/>
  <c r="O665" i="49" s="1"/>
  <c r="N861" i="49"/>
  <c r="O861" i="49" s="1"/>
  <c r="N690" i="49"/>
  <c r="O690" i="49" s="1"/>
  <c r="N714" i="49"/>
  <c r="O714" i="49" s="1"/>
  <c r="N755" i="49"/>
  <c r="O755" i="49" s="1"/>
  <c r="N817" i="49"/>
  <c r="O817" i="49" s="1"/>
  <c r="N618" i="49"/>
  <c r="O618" i="49" s="1"/>
  <c r="N711" i="49"/>
  <c r="O711" i="49" s="1"/>
  <c r="N751" i="49"/>
  <c r="O751" i="49" s="1"/>
  <c r="N616" i="49"/>
  <c r="O616" i="49" s="1"/>
  <c r="N681" i="49"/>
  <c r="O681" i="49" s="1"/>
  <c r="N780" i="49"/>
  <c r="O780" i="49" s="1"/>
  <c r="N589" i="49"/>
  <c r="N646" i="49"/>
  <c r="O646" i="49" s="1"/>
  <c r="N831" i="49"/>
  <c r="O831" i="49" s="1"/>
  <c r="N765" i="49"/>
  <c r="O765" i="49" s="1"/>
  <c r="N810" i="49"/>
  <c r="O810" i="49" s="1"/>
  <c r="N815" i="49"/>
  <c r="O815" i="49" s="1"/>
  <c r="N869" i="49"/>
  <c r="O869" i="49" s="1"/>
  <c r="N866" i="49"/>
  <c r="O866" i="49" s="1"/>
  <c r="N781" i="49"/>
  <c r="O781" i="49" s="1"/>
  <c r="N641" i="49"/>
  <c r="O641" i="49" s="1"/>
  <c r="N687" i="49"/>
  <c r="O687" i="49" s="1"/>
  <c r="N621" i="49"/>
  <c r="O621" i="49" s="1"/>
  <c r="N824" i="49"/>
  <c r="O824" i="49" s="1"/>
  <c r="N601" i="49"/>
  <c r="O601" i="49" s="1"/>
  <c r="N740" i="49"/>
  <c r="O740" i="49" s="1"/>
  <c r="N639" i="49"/>
  <c r="O639" i="49" s="1"/>
  <c r="N816" i="49"/>
  <c r="O816" i="49" s="1"/>
  <c r="N752" i="49"/>
  <c r="O752" i="49" s="1"/>
  <c r="N854" i="49"/>
  <c r="O854" i="49" s="1"/>
  <c r="N864" i="49"/>
  <c r="O864" i="49" s="1"/>
  <c r="N727" i="49"/>
  <c r="O727" i="49" s="1"/>
  <c r="N771" i="49"/>
  <c r="O771" i="49" s="1"/>
  <c r="N706" i="49"/>
  <c r="O706" i="49" s="1"/>
  <c r="N611" i="49"/>
  <c r="O611" i="49" s="1"/>
  <c r="N777" i="49"/>
  <c r="O777" i="49" s="1"/>
  <c r="N827" i="49"/>
  <c r="O827" i="49" s="1"/>
  <c r="N855" i="49"/>
  <c r="O855" i="49" s="1"/>
  <c r="N747" i="49"/>
  <c r="O747" i="49" s="1"/>
  <c r="N590" i="49"/>
  <c r="O590" i="49" s="1"/>
  <c r="N763" i="49"/>
  <c r="O763" i="49" s="1"/>
  <c r="N857" i="49"/>
  <c r="O857" i="49" s="1"/>
  <c r="N862" i="49"/>
  <c r="O862" i="49" s="1"/>
  <c r="N652" i="49"/>
  <c r="O652" i="49" s="1"/>
  <c r="N829" i="49"/>
  <c r="O829" i="49" s="1"/>
  <c r="N702" i="49"/>
  <c r="O702" i="49" s="1"/>
  <c r="N623" i="49"/>
  <c r="O623" i="49" s="1"/>
  <c r="N836" i="49"/>
  <c r="O836" i="49" s="1"/>
  <c r="N843" i="49"/>
  <c r="O843" i="49" s="1"/>
  <c r="N715" i="49"/>
  <c r="O715" i="49" s="1"/>
  <c r="N720" i="49"/>
  <c r="O720" i="49" s="1"/>
  <c r="N783" i="49"/>
  <c r="O783" i="49" s="1"/>
  <c r="N612" i="49"/>
  <c r="O612" i="49" s="1"/>
  <c r="N613" i="49"/>
  <c r="O613" i="49" s="1"/>
  <c r="N790" i="49"/>
  <c r="O790" i="49" s="1"/>
  <c r="N870" i="49"/>
  <c r="O870" i="49" s="1"/>
  <c r="N607" i="49"/>
  <c r="O607" i="49" s="1"/>
  <c r="N713" i="49"/>
  <c r="O713" i="49" s="1"/>
  <c r="N608" i="49"/>
  <c r="O608" i="49" s="1"/>
  <c r="N812" i="49"/>
  <c r="O812" i="49" s="1"/>
  <c r="N693" i="49"/>
  <c r="O693" i="49" s="1"/>
  <c r="N672" i="49"/>
  <c r="O672" i="49" s="1"/>
  <c r="N835" i="49"/>
  <c r="O835" i="49" s="1"/>
  <c r="N794" i="49"/>
  <c r="O794" i="49" s="1"/>
  <c r="N620" i="49"/>
  <c r="O620" i="49" s="1"/>
  <c r="N658" i="49"/>
  <c r="O658" i="49" s="1"/>
  <c r="N683" i="49"/>
  <c r="O683" i="49" s="1"/>
  <c r="N757" i="49"/>
  <c r="O757" i="49" s="1"/>
  <c r="N721" i="49"/>
  <c r="O721" i="49" s="1"/>
  <c r="N708" i="49"/>
  <c r="O708" i="49" s="1"/>
  <c r="N603" i="49"/>
  <c r="O603" i="49" s="1"/>
  <c r="N633" i="49"/>
  <c r="O633" i="49" s="1"/>
  <c r="N598" i="49"/>
  <c r="O598" i="49" s="1"/>
  <c r="N787" i="49"/>
  <c r="O787" i="49" s="1"/>
  <c r="N840" i="49"/>
  <c r="O840" i="49" s="1"/>
  <c r="N695" i="49"/>
  <c r="O695" i="49" s="1"/>
  <c r="N849" i="49"/>
  <c r="O849" i="49" s="1"/>
  <c r="N725" i="49"/>
  <c r="O725" i="49" s="1"/>
  <c r="C31" i="1"/>
  <c r="B30" i="1"/>
  <c r="C32" i="1"/>
  <c r="F5" i="1"/>
  <c r="C33" i="1"/>
  <c r="B33" i="1"/>
  <c r="D17" i="33"/>
  <c r="E17" i="33" s="1"/>
  <c r="C30" i="1"/>
  <c r="B10" i="48"/>
  <c r="D10" i="48" s="1"/>
  <c r="B32" i="1"/>
  <c r="B29" i="1"/>
  <c r="B31" i="1"/>
  <c r="C29" i="1"/>
  <c r="R8" i="14"/>
  <c r="R9" i="14"/>
  <c r="R10" i="14" s="1"/>
  <c r="P86" i="22"/>
  <c r="C40" i="1"/>
  <c r="I40" i="1" s="1"/>
  <c r="W10" i="39"/>
  <c r="V10" i="39"/>
  <c r="C12" i="4"/>
  <c r="N880" i="49"/>
  <c r="O880" i="49" s="1"/>
  <c r="N1031" i="49"/>
  <c r="O1031" i="49" s="1"/>
  <c r="N1066" i="49"/>
  <c r="O1066" i="49" s="1"/>
  <c r="N932" i="49"/>
  <c r="O932" i="49" s="1"/>
  <c r="J7" i="3"/>
  <c r="G7" i="32" s="1"/>
  <c r="G7" i="38" s="1"/>
  <c r="N1025" i="49"/>
  <c r="O1025" i="49" s="1"/>
  <c r="N899" i="49"/>
  <c r="O899" i="49" s="1"/>
  <c r="N1087" i="49"/>
  <c r="O1087" i="49" s="1"/>
  <c r="N886" i="49"/>
  <c r="O886" i="49" s="1"/>
  <c r="N938" i="49"/>
  <c r="O938" i="49" s="1"/>
  <c r="N919" i="49"/>
  <c r="O919" i="49" s="1"/>
  <c r="N1079" i="49"/>
  <c r="O1079" i="49" s="1"/>
  <c r="N1100" i="49"/>
  <c r="O1100" i="49" s="1"/>
  <c r="N982" i="49"/>
  <c r="O982" i="49" s="1"/>
  <c r="N1038" i="49"/>
  <c r="O1038" i="49" s="1"/>
  <c r="N893" i="49"/>
  <c r="O893" i="49" s="1"/>
  <c r="N902" i="49"/>
  <c r="O902" i="49" s="1"/>
  <c r="N913" i="49"/>
  <c r="O913" i="49" s="1"/>
  <c r="N936" i="49"/>
  <c r="O936" i="49" s="1"/>
  <c r="N1135" i="49"/>
  <c r="O1135" i="49" s="1"/>
  <c r="N1008" i="49"/>
  <c r="O1008" i="49" s="1"/>
  <c r="N1070" i="49"/>
  <c r="O1070" i="49" s="1"/>
  <c r="N1044" i="49"/>
  <c r="O1044" i="49" s="1"/>
  <c r="N888" i="49"/>
  <c r="O888" i="49" s="1"/>
  <c r="N962" i="49"/>
  <c r="O962" i="49" s="1"/>
  <c r="N1033" i="49"/>
  <c r="O1033" i="49" s="1"/>
  <c r="N912" i="49"/>
  <c r="O912" i="49" s="1"/>
  <c r="F7" i="32"/>
  <c r="N923" i="49"/>
  <c r="O923" i="49" s="1"/>
  <c r="N925" i="49"/>
  <c r="O925" i="49" s="1"/>
  <c r="N949" i="49"/>
  <c r="O949" i="49" s="1"/>
  <c r="N910" i="49"/>
  <c r="O910" i="49" s="1"/>
  <c r="N1046" i="49"/>
  <c r="O1046" i="49" s="1"/>
  <c r="N1012" i="49"/>
  <c r="O1012" i="49" s="1"/>
  <c r="N889" i="49"/>
  <c r="O889" i="49" s="1"/>
  <c r="N1021" i="49"/>
  <c r="O1021" i="49" s="1"/>
  <c r="N943" i="49"/>
  <c r="O943" i="49" s="1"/>
  <c r="N1145" i="49"/>
  <c r="O1145" i="49" s="1"/>
  <c r="N906" i="49"/>
  <c r="O906" i="49" s="1"/>
  <c r="N1034" i="49"/>
  <c r="O1034" i="49" s="1"/>
  <c r="N1007" i="49"/>
  <c r="O1007" i="49" s="1"/>
  <c r="N1128" i="49"/>
  <c r="O1128" i="49" s="1"/>
  <c r="N1099" i="49"/>
  <c r="O1099" i="49" s="1"/>
  <c r="N995" i="49"/>
  <c r="O995" i="49" s="1"/>
  <c r="N917" i="49"/>
  <c r="O917" i="49" s="1"/>
  <c r="N1057" i="49"/>
  <c r="O1057" i="49" s="1"/>
  <c r="N907" i="49"/>
  <c r="O907" i="49" s="1"/>
  <c r="N1132" i="49"/>
  <c r="O1132" i="49" s="1"/>
  <c r="N1109" i="49"/>
  <c r="O1109" i="49" s="1"/>
  <c r="N1042" i="49"/>
  <c r="O1042" i="49" s="1"/>
  <c r="N1152" i="49"/>
  <c r="O1152" i="49" s="1"/>
  <c r="N965" i="49"/>
  <c r="O965" i="49" s="1"/>
  <c r="N1043" i="49"/>
  <c r="O1043" i="49" s="1"/>
  <c r="N1048" i="49"/>
  <c r="O1048" i="49" s="1"/>
  <c r="N1140" i="49"/>
  <c r="O1140" i="49" s="1"/>
  <c r="N1000" i="49"/>
  <c r="O1000" i="49" s="1"/>
  <c r="N977" i="49"/>
  <c r="O977" i="49" s="1"/>
  <c r="N973" i="49"/>
  <c r="O973" i="49" s="1"/>
  <c r="N1115" i="49"/>
  <c r="O1115" i="49" s="1"/>
  <c r="N905" i="49"/>
  <c r="O905" i="49" s="1"/>
  <c r="N1058" i="49"/>
  <c r="O1058" i="49" s="1"/>
  <c r="N895" i="49"/>
  <c r="O895" i="49" s="1"/>
  <c r="N1142" i="49"/>
  <c r="O1142" i="49" s="1"/>
  <c r="N877" i="49"/>
  <c r="O877" i="49" s="1"/>
  <c r="N1156" i="49"/>
  <c r="O1156" i="49" s="1"/>
  <c r="N1137" i="49"/>
  <c r="O1137" i="49" s="1"/>
  <c r="N1122" i="49"/>
  <c r="O1122" i="49" s="1"/>
  <c r="N1113" i="49"/>
  <c r="O1113" i="49" s="1"/>
  <c r="N989" i="49"/>
  <c r="O989" i="49" s="1"/>
  <c r="N1127" i="49"/>
  <c r="O1127" i="49" s="1"/>
  <c r="N1154" i="49"/>
  <c r="O1154" i="49" s="1"/>
  <c r="N1060" i="49"/>
  <c r="O1060" i="49" s="1"/>
  <c r="N879" i="49"/>
  <c r="O879" i="49" s="1"/>
  <c r="N966" i="49"/>
  <c r="O966" i="49" s="1"/>
  <c r="N876" i="49"/>
  <c r="O876" i="49" s="1"/>
  <c r="N1078" i="49"/>
  <c r="O1078" i="49" s="1"/>
  <c r="N1027" i="49"/>
  <c r="O1027" i="49" s="1"/>
  <c r="N935" i="49"/>
  <c r="O935" i="49" s="1"/>
  <c r="N972" i="49"/>
  <c r="O972" i="49" s="1"/>
  <c r="N1047" i="49"/>
  <c r="O1047" i="49" s="1"/>
  <c r="N909" i="49"/>
  <c r="O909" i="49" s="1"/>
  <c r="N915" i="49"/>
  <c r="O915" i="49" s="1"/>
  <c r="N1103" i="49"/>
  <c r="O1103" i="49" s="1"/>
  <c r="N944" i="49"/>
  <c r="O944" i="49" s="1"/>
  <c r="N1129" i="49"/>
  <c r="O1129" i="49" s="1"/>
  <c r="N1056" i="49"/>
  <c r="O1056" i="49" s="1"/>
  <c r="N1091" i="49"/>
  <c r="O1091" i="49" s="1"/>
  <c r="N950" i="49"/>
  <c r="O950" i="49" s="1"/>
  <c r="N1095" i="49"/>
  <c r="O1095" i="49" s="1"/>
  <c r="N1064" i="49"/>
  <c r="O1064" i="49" s="1"/>
  <c r="N985" i="49"/>
  <c r="O985" i="49" s="1"/>
  <c r="N1030" i="49"/>
  <c r="O1030" i="49" s="1"/>
  <c r="N987" i="49"/>
  <c r="O987" i="49" s="1"/>
  <c r="N1097" i="49"/>
  <c r="O1097" i="49" s="1"/>
  <c r="N967" i="49"/>
  <c r="O967" i="49" s="1"/>
  <c r="N901" i="49"/>
  <c r="O901" i="49" s="1"/>
  <c r="N1096" i="49"/>
  <c r="O1096" i="49" s="1"/>
  <c r="N996" i="49"/>
  <c r="O996" i="49" s="1"/>
  <c r="N1149" i="49"/>
  <c r="O1149" i="49" s="1"/>
  <c r="N1148" i="49"/>
  <c r="O1148" i="49" s="1"/>
  <c r="N914" i="49"/>
  <c r="O914" i="49" s="1"/>
  <c r="N1146" i="49"/>
  <c r="O1146" i="49" s="1"/>
  <c r="N1023" i="49"/>
  <c r="O1023" i="49" s="1"/>
  <c r="N1114" i="49"/>
  <c r="O1114" i="49" s="1"/>
  <c r="N1059" i="49"/>
  <c r="O1059" i="49" s="1"/>
  <c r="N921" i="49"/>
  <c r="O921" i="49" s="1"/>
  <c r="N984" i="49"/>
  <c r="O984" i="49" s="1"/>
  <c r="N952" i="49"/>
  <c r="O952" i="49" s="1"/>
  <c r="N1055" i="49"/>
  <c r="O1055" i="49" s="1"/>
  <c r="N963" i="49"/>
  <c r="O963" i="49" s="1"/>
  <c r="N1107" i="49"/>
  <c r="O1107" i="49" s="1"/>
  <c r="N892" i="49"/>
  <c r="O892" i="49" s="1"/>
  <c r="N981" i="49"/>
  <c r="O981" i="49" s="1"/>
  <c r="N1139" i="49"/>
  <c r="O1139" i="49" s="1"/>
  <c r="N946" i="49"/>
  <c r="O946" i="49" s="1"/>
  <c r="N924" i="49"/>
  <c r="O924" i="49" s="1"/>
  <c r="N911" i="49"/>
  <c r="O911" i="49" s="1"/>
  <c r="N1147" i="49"/>
  <c r="O1147" i="49" s="1"/>
  <c r="N1136" i="49"/>
  <c r="O1136" i="49" s="1"/>
  <c r="N1150" i="49"/>
  <c r="O1150" i="49" s="1"/>
  <c r="N894" i="49"/>
  <c r="O894" i="49" s="1"/>
  <c r="N994" i="49"/>
  <c r="O994" i="49" s="1"/>
  <c r="N1089" i="49"/>
  <c r="O1089" i="49" s="1"/>
  <c r="N1036" i="49"/>
  <c r="O1036" i="49" s="1"/>
  <c r="N1110" i="49"/>
  <c r="O1110" i="49" s="1"/>
  <c r="N878" i="49"/>
  <c r="O878" i="49" s="1"/>
  <c r="N1072" i="49"/>
  <c r="O1072" i="49" s="1"/>
  <c r="N1085" i="49"/>
  <c r="O1085" i="49" s="1"/>
  <c r="N976" i="49"/>
  <c r="O976" i="49" s="1"/>
  <c r="N1068" i="49"/>
  <c r="O1068" i="49" s="1"/>
  <c r="N1119" i="49"/>
  <c r="O1119" i="49" s="1"/>
  <c r="N1086" i="49"/>
  <c r="O1086" i="49" s="1"/>
  <c r="N964" i="49"/>
  <c r="O964" i="49" s="1"/>
  <c r="N1061" i="49"/>
  <c r="O1061" i="49" s="1"/>
  <c r="N999" i="49"/>
  <c r="O999" i="49" s="1"/>
  <c r="N1054" i="49"/>
  <c r="O1054" i="49" s="1"/>
  <c r="N1117" i="49"/>
  <c r="O1117" i="49" s="1"/>
  <c r="N993" i="49"/>
  <c r="O993" i="49" s="1"/>
  <c r="N887" i="49"/>
  <c r="O887" i="49" s="1"/>
  <c r="N881" i="49"/>
  <c r="O881" i="49" s="1"/>
  <c r="N884" i="49"/>
  <c r="O884" i="49" s="1"/>
  <c r="N1041" i="49"/>
  <c r="O1041" i="49" s="1"/>
  <c r="N883" i="49"/>
  <c r="O883" i="49" s="1"/>
  <c r="N1002" i="49"/>
  <c r="O1002" i="49" s="1"/>
  <c r="N948" i="49"/>
  <c r="O948" i="49" s="1"/>
  <c r="N959" i="49"/>
  <c r="O959" i="49" s="1"/>
  <c r="N1105" i="49"/>
  <c r="O1105" i="49" s="1"/>
  <c r="N945" i="49"/>
  <c r="O945" i="49" s="1"/>
  <c r="N1121" i="49"/>
  <c r="O1121" i="49" s="1"/>
  <c r="N1073" i="49"/>
  <c r="O1073" i="49" s="1"/>
  <c r="N1062" i="49"/>
  <c r="O1062" i="49" s="1"/>
  <c r="N990" i="49"/>
  <c r="O990" i="49" s="1"/>
  <c r="N986" i="49"/>
  <c r="O986" i="49" s="1"/>
  <c r="N898" i="49"/>
  <c r="O898" i="49" s="1"/>
  <c r="N1158" i="49"/>
  <c r="O1158" i="49" s="1"/>
  <c r="N1157" i="49"/>
  <c r="O1157" i="49" s="1"/>
  <c r="N1049" i="49"/>
  <c r="O1049" i="49" s="1"/>
  <c r="N1160" i="49"/>
  <c r="O1160" i="49" s="1"/>
  <c r="N1069" i="49"/>
  <c r="O1069" i="49" s="1"/>
  <c r="N1005" i="49"/>
  <c r="O1005" i="49" s="1"/>
  <c r="N1080" i="49"/>
  <c r="O1080" i="49" s="1"/>
  <c r="N931" i="49"/>
  <c r="O931" i="49" s="1"/>
  <c r="N937" i="49"/>
  <c r="O937" i="49" s="1"/>
  <c r="N1010" i="49"/>
  <c r="O1010" i="49" s="1"/>
  <c r="N968" i="49"/>
  <c r="O968" i="49" s="1"/>
  <c r="N1039" i="49"/>
  <c r="O1039" i="49" s="1"/>
  <c r="N1045" i="49"/>
  <c r="O1045" i="49" s="1"/>
  <c r="N885" i="49"/>
  <c r="O885" i="49" s="1"/>
  <c r="N1153" i="49"/>
  <c r="O1153" i="49" s="1"/>
  <c r="N1001" i="49"/>
  <c r="O1001" i="49" s="1"/>
  <c r="N1131" i="49"/>
  <c r="O1131" i="49" s="1"/>
  <c r="N983" i="49"/>
  <c r="O983" i="49" s="1"/>
  <c r="N1040" i="49"/>
  <c r="O1040" i="49" s="1"/>
  <c r="N1067" i="49"/>
  <c r="O1067" i="49" s="1"/>
  <c r="N1003" i="49"/>
  <c r="O1003" i="49" s="1"/>
  <c r="N1018" i="49"/>
  <c r="O1018" i="49" s="1"/>
  <c r="N1020" i="49"/>
  <c r="O1020" i="49" s="1"/>
  <c r="N1092" i="49"/>
  <c r="O1092" i="49" s="1"/>
  <c r="N1019" i="49"/>
  <c r="O1019" i="49" s="1"/>
  <c r="N1120" i="49"/>
  <c r="O1120" i="49" s="1"/>
  <c r="N1011" i="49"/>
  <c r="O1011" i="49" s="1"/>
  <c r="N1118" i="49"/>
  <c r="O1118" i="49" s="1"/>
  <c r="N896" i="49"/>
  <c r="O896" i="49" s="1"/>
  <c r="N1111" i="49"/>
  <c r="O1111" i="49" s="1"/>
  <c r="N1126" i="49"/>
  <c r="O1126" i="49" s="1"/>
  <c r="N916" i="49"/>
  <c r="O916" i="49" s="1"/>
  <c r="N929" i="49"/>
  <c r="O929" i="49" s="1"/>
  <c r="N908" i="49"/>
  <c r="O908" i="49" s="1"/>
  <c r="N897" i="49"/>
  <c r="O897" i="49" s="1"/>
  <c r="N978" i="49"/>
  <c r="O978" i="49" s="1"/>
  <c r="N1065" i="49"/>
  <c r="O1065" i="49" s="1"/>
  <c r="N1053" i="49"/>
  <c r="O1053" i="49" s="1"/>
  <c r="N997" i="49"/>
  <c r="O997" i="49" s="1"/>
  <c r="N970" i="49"/>
  <c r="O970" i="49" s="1"/>
  <c r="N891" i="49"/>
  <c r="O891" i="49" s="1"/>
  <c r="N1035" i="49"/>
  <c r="O1035" i="49" s="1"/>
  <c r="N975" i="49"/>
  <c r="O975" i="49" s="1"/>
  <c r="N1082" i="49"/>
  <c r="O1082" i="49" s="1"/>
  <c r="N1009" i="49"/>
  <c r="O1009" i="49" s="1"/>
  <c r="N942" i="49"/>
  <c r="O942" i="49" s="1"/>
  <c r="N1077" i="49"/>
  <c r="O1077" i="49" s="1"/>
  <c r="N1102" i="49"/>
  <c r="O1102" i="49" s="1"/>
  <c r="N941" i="49"/>
  <c r="O941" i="49" s="1"/>
  <c r="N1017" i="49"/>
  <c r="O1017" i="49" s="1"/>
  <c r="N1124" i="49"/>
  <c r="O1124" i="49" s="1"/>
  <c r="N951" i="49"/>
  <c r="O951" i="49" s="1"/>
  <c r="N922" i="49"/>
  <c r="O922" i="49" s="1"/>
  <c r="N1050" i="49"/>
  <c r="O1050" i="49" s="1"/>
  <c r="N1084" i="49"/>
  <c r="O1084" i="49" s="1"/>
  <c r="N875" i="49"/>
  <c r="O875" i="49" s="1"/>
  <c r="N1143" i="49"/>
  <c r="O1143" i="49" s="1"/>
  <c r="N1037" i="49"/>
  <c r="O1037" i="49" s="1"/>
  <c r="N918" i="49"/>
  <c r="O918" i="49" s="1"/>
  <c r="N882" i="49"/>
  <c r="O882" i="49" s="1"/>
  <c r="N1104" i="49"/>
  <c r="O1104" i="49" s="1"/>
  <c r="N1144" i="49"/>
  <c r="O1144" i="49" s="1"/>
  <c r="N992" i="49"/>
  <c r="O992" i="49" s="1"/>
  <c r="N1075" i="49"/>
  <c r="O1075" i="49" s="1"/>
  <c r="N1081" i="49"/>
  <c r="O1081" i="49" s="1"/>
  <c r="N1006" i="49"/>
  <c r="O1006" i="49" s="1"/>
  <c r="N1125" i="49"/>
  <c r="O1125" i="49" s="1"/>
  <c r="N904" i="49"/>
  <c r="O904" i="49" s="1"/>
  <c r="N1123" i="49"/>
  <c r="O1123" i="49" s="1"/>
  <c r="N979" i="49"/>
  <c r="O979" i="49" s="1"/>
  <c r="N1093" i="49"/>
  <c r="O1093" i="49" s="1"/>
  <c r="N1134" i="49"/>
  <c r="O1134" i="49" s="1"/>
  <c r="N928" i="49"/>
  <c r="O928" i="49" s="1"/>
  <c r="N1108" i="49"/>
  <c r="O1108" i="49" s="1"/>
  <c r="N1116" i="49"/>
  <c r="O1116" i="49" s="1"/>
  <c r="N1014" i="49"/>
  <c r="O1014" i="49" s="1"/>
  <c r="N960" i="49"/>
  <c r="O960" i="49" s="1"/>
  <c r="N980" i="49"/>
  <c r="O980" i="49" s="1"/>
  <c r="N1063" i="49"/>
  <c r="O1063" i="49" s="1"/>
  <c r="N939" i="49"/>
  <c r="O939" i="49" s="1"/>
  <c r="N961" i="49"/>
  <c r="O961" i="49" s="1"/>
  <c r="N956" i="49"/>
  <c r="O956" i="49" s="1"/>
  <c r="N1155" i="49"/>
  <c r="O1155" i="49" s="1"/>
  <c r="N953" i="49"/>
  <c r="O953" i="49" s="1"/>
  <c r="N955" i="49"/>
  <c r="O955" i="49" s="1"/>
  <c r="N873" i="49"/>
  <c r="O873" i="49" s="1"/>
  <c r="N957" i="49"/>
  <c r="O957" i="49" s="1"/>
  <c r="N954" i="49"/>
  <c r="O954" i="49" s="1"/>
  <c r="N933" i="49"/>
  <c r="O933" i="49" s="1"/>
  <c r="N1076" i="49"/>
  <c r="O1076" i="49" s="1"/>
  <c r="N1032" i="49"/>
  <c r="O1032" i="49" s="1"/>
  <c r="N874" i="49"/>
  <c r="O874" i="49" s="1"/>
  <c r="N1088" i="49"/>
  <c r="O1088" i="49" s="1"/>
  <c r="N1051" i="49"/>
  <c r="O1051" i="49" s="1"/>
  <c r="N1052" i="49"/>
  <c r="O1052" i="49" s="1"/>
  <c r="N1016" i="49"/>
  <c r="O1016" i="49" s="1"/>
  <c r="N1004" i="49"/>
  <c r="O1004" i="49" s="1"/>
  <c r="N1083" i="49"/>
  <c r="O1083" i="49" s="1"/>
  <c r="N1028" i="49"/>
  <c r="O1028" i="49" s="1"/>
  <c r="N947" i="49"/>
  <c r="O947" i="49" s="1"/>
  <c r="N988" i="49"/>
  <c r="O988" i="49" s="1"/>
  <c r="N1013" i="49"/>
  <c r="O1013" i="49" s="1"/>
  <c r="N1141" i="49"/>
  <c r="O1141" i="49" s="1"/>
  <c r="N890" i="49"/>
  <c r="O890" i="49" s="1"/>
  <c r="N974" i="49"/>
  <c r="O974" i="49" s="1"/>
  <c r="N1029" i="49"/>
  <c r="O1029" i="49" s="1"/>
  <c r="N903" i="49"/>
  <c r="O903" i="49" s="1"/>
  <c r="N969" i="49"/>
  <c r="O969" i="49" s="1"/>
  <c r="N1094" i="49"/>
  <c r="O1094" i="49" s="1"/>
  <c r="N1098" i="49"/>
  <c r="O1098" i="49" s="1"/>
  <c r="N1015" i="49"/>
  <c r="O1015" i="49" s="1"/>
  <c r="N1159" i="49"/>
  <c r="O1159" i="49" s="1"/>
  <c r="N1026" i="49"/>
  <c r="O1026" i="49" s="1"/>
  <c r="N872" i="49"/>
  <c r="O872" i="49" s="1"/>
  <c r="N1071" i="49"/>
  <c r="O1071" i="49" s="1"/>
  <c r="N1074" i="49"/>
  <c r="O1074" i="49" s="1"/>
  <c r="N1112" i="49"/>
  <c r="O1112" i="49" s="1"/>
  <c r="N900" i="49"/>
  <c r="O900" i="49" s="1"/>
  <c r="N1024" i="49"/>
  <c r="O1024" i="49" s="1"/>
  <c r="N971" i="49"/>
  <c r="O971" i="49" s="1"/>
  <c r="N991" i="49"/>
  <c r="O991" i="49" s="1"/>
  <c r="N934" i="49"/>
  <c r="O934" i="49" s="1"/>
  <c r="N1022" i="49"/>
  <c r="O1022" i="49" s="1"/>
  <c r="N958" i="49"/>
  <c r="O958" i="49" s="1"/>
  <c r="N998" i="49"/>
  <c r="O998" i="49" s="1"/>
  <c r="N1138" i="49"/>
  <c r="O1138" i="49" s="1"/>
  <c r="N930" i="49"/>
  <c r="O930" i="49" s="1"/>
  <c r="N1090" i="49"/>
  <c r="O1090" i="49" s="1"/>
  <c r="N926" i="49"/>
  <c r="O926" i="49" s="1"/>
  <c r="N1106" i="49"/>
  <c r="O1106" i="49" s="1"/>
  <c r="N1101" i="49"/>
  <c r="O1101" i="49" s="1"/>
  <c r="N920" i="49"/>
  <c r="O920" i="49" s="1"/>
  <c r="N1151" i="49"/>
  <c r="O1151" i="49" s="1"/>
  <c r="N1133" i="49"/>
  <c r="O1133" i="49" s="1"/>
  <c r="N1130" i="49"/>
  <c r="O1130" i="49" s="1"/>
  <c r="N940" i="49"/>
  <c r="O940" i="49" s="1"/>
  <c r="N927" i="49"/>
  <c r="O927" i="49" s="1"/>
  <c r="P54" i="17"/>
  <c r="P56" i="17" s="1"/>
  <c r="U86" i="26"/>
  <c r="O34" i="14"/>
  <c r="R48" i="13" s="1"/>
  <c r="Q48" i="17" s="1"/>
  <c r="T86" i="24"/>
  <c r="K58" i="14"/>
  <c r="K59" i="14" s="1"/>
  <c r="K60" i="14" s="1"/>
  <c r="H13" i="52"/>
  <c r="H112" i="49"/>
  <c r="K50" i="8"/>
  <c r="K52" i="8"/>
  <c r="L76" i="20"/>
  <c r="L77" i="20" s="1"/>
  <c r="K54" i="24"/>
  <c r="Q39" i="14"/>
  <c r="Q40" i="14"/>
  <c r="Q38" i="14"/>
  <c r="Q44" i="14" s="1"/>
  <c r="T49" i="13" s="1"/>
  <c r="S48" i="18" s="1"/>
  <c r="U67" i="26"/>
  <c r="U68" i="26" s="1"/>
  <c r="P78" i="14"/>
  <c r="P79" i="14"/>
  <c r="P80" i="14" s="1"/>
  <c r="O24" i="14"/>
  <c r="R47" i="13" s="1"/>
  <c r="Q48" i="16" s="1"/>
  <c r="Q50" i="22"/>
  <c r="Q52" i="22"/>
  <c r="J105" i="49"/>
  <c r="Q105" i="49" s="1"/>
  <c r="E105" i="50"/>
  <c r="G105" i="50" s="1"/>
  <c r="H105" i="50" s="1"/>
  <c r="L50" i="20"/>
  <c r="L52" i="20"/>
  <c r="O19" i="14"/>
  <c r="O20" i="14" s="1"/>
  <c r="R50" i="21"/>
  <c r="R52" i="21"/>
  <c r="P67" i="22"/>
  <c r="P68" i="22" s="1"/>
  <c r="Q89" i="13"/>
  <c r="P64" i="30" s="1"/>
  <c r="P76" i="30" s="1"/>
  <c r="P77" i="30" s="1"/>
  <c r="O157" i="14"/>
  <c r="P54" i="16"/>
  <c r="Q86" i="18"/>
  <c r="J99" i="14"/>
  <c r="J100" i="14" s="1"/>
  <c r="Q86" i="23"/>
  <c r="R56" i="19"/>
  <c r="J124" i="14"/>
  <c r="M57" i="13" s="1"/>
  <c r="L48" i="26" s="1"/>
  <c r="H3971" i="49"/>
  <c r="H3591" i="49"/>
  <c r="H3590" i="49"/>
  <c r="H4254" i="49"/>
  <c r="H4253" i="49"/>
  <c r="H1679" i="49"/>
  <c r="H1685" i="49"/>
  <c r="H3597" i="49"/>
  <c r="H2255" i="49"/>
  <c r="H3172" i="49"/>
  <c r="H2834" i="49"/>
  <c r="H3413" i="49"/>
  <c r="H3419" i="49"/>
  <c r="H2826" i="49"/>
  <c r="H2825" i="49"/>
  <c r="H2248" i="49"/>
  <c r="H2247" i="49"/>
  <c r="H3412" i="49"/>
  <c r="H1694" i="49"/>
  <c r="H1066" i="49"/>
  <c r="H5128" i="49"/>
  <c r="H5121" i="49"/>
  <c r="H5120" i="49"/>
  <c r="H4807" i="49"/>
  <c r="H4813" i="49"/>
  <c r="E765" i="46"/>
  <c r="H2016" i="49"/>
  <c r="H2527" i="49"/>
  <c r="H3166" i="49"/>
  <c r="H3165" i="49"/>
  <c r="H4806" i="49"/>
  <c r="E764" i="46"/>
  <c r="H1388" i="49"/>
  <c r="H3004" i="49"/>
  <c r="H4798" i="49"/>
  <c r="H4797" i="49"/>
  <c r="H3972" i="49"/>
  <c r="H4821" i="49"/>
  <c r="H4260" i="49"/>
  <c r="H3957" i="49"/>
  <c r="H3963" i="49"/>
  <c r="H1081" i="49"/>
  <c r="H777" i="49"/>
  <c r="H1381" i="49"/>
  <c r="H1380" i="49"/>
  <c r="H4517" i="49"/>
  <c r="E716" i="46"/>
  <c r="H3404" i="49"/>
  <c r="H3403" i="49"/>
  <c r="H3956" i="49"/>
  <c r="H2841" i="49"/>
  <c r="H2835" i="49"/>
  <c r="H4532" i="49"/>
  <c r="H2520" i="49"/>
  <c r="H2519" i="49"/>
  <c r="H2001" i="49"/>
  <c r="H1404" i="49"/>
  <c r="H1864" i="49"/>
  <c r="H3761" i="49"/>
  <c r="H3760" i="49"/>
  <c r="H792" i="49"/>
  <c r="H4518" i="49"/>
  <c r="H4524" i="49"/>
  <c r="E717" i="46"/>
  <c r="H1073" i="49"/>
  <c r="H1067" i="49"/>
  <c r="J3971" i="49" l="1"/>
  <c r="Q3971" i="49" s="1"/>
  <c r="D18" i="33"/>
  <c r="E18" i="33" s="1"/>
  <c r="Q94" i="14"/>
  <c r="T54" i="13" s="1"/>
  <c r="S48" i="23" s="1"/>
  <c r="R14" i="14"/>
  <c r="U46" i="13" s="1"/>
  <c r="T48" i="15" s="1"/>
  <c r="J1067" i="49"/>
  <c r="Q1067" i="49"/>
  <c r="J1073" i="49"/>
  <c r="Q1073" i="49"/>
  <c r="J717" i="46"/>
  <c r="J4524" i="49"/>
  <c r="Q4524" i="49" s="1"/>
  <c r="F189" i="50"/>
  <c r="J4518" i="49"/>
  <c r="Q4518" i="49" s="1"/>
  <c r="F183" i="50"/>
  <c r="Q792" i="49"/>
  <c r="J792" i="49"/>
  <c r="J3760" i="49"/>
  <c r="Q3760" i="49" s="1"/>
  <c r="J3761" i="49"/>
  <c r="Q3761" i="49" s="1"/>
  <c r="J1864" i="49"/>
  <c r="Q1864" i="49" s="1"/>
  <c r="J1404" i="49"/>
  <c r="Q1404" i="49" s="1"/>
  <c r="Q2001" i="49"/>
  <c r="J2001" i="49"/>
  <c r="J2519" i="49"/>
  <c r="Q2519" i="49" s="1"/>
  <c r="J2520" i="49"/>
  <c r="Q2520" i="49" s="1"/>
  <c r="J4532" i="49"/>
  <c r="Q4532" i="49"/>
  <c r="J2835" i="49"/>
  <c r="Q2835" i="49" s="1"/>
  <c r="J2841" i="49"/>
  <c r="Q2841" i="49" s="1"/>
  <c r="J3956" i="49"/>
  <c r="Q3956" i="49" s="1"/>
  <c r="J3403" i="49"/>
  <c r="Q3403" i="49" s="1"/>
  <c r="J3404" i="49"/>
  <c r="Q3404" i="49" s="1"/>
  <c r="J716" i="46"/>
  <c r="J4517" i="49"/>
  <c r="Q4517" i="49" s="1"/>
  <c r="F182" i="50"/>
  <c r="J1380" i="49"/>
  <c r="Q1380" i="49"/>
  <c r="J1381" i="49"/>
  <c r="Q1381" i="49" s="1"/>
  <c r="J777" i="49"/>
  <c r="Q777" i="49" s="1"/>
  <c r="J1081" i="49"/>
  <c r="Q1081" i="49" s="1"/>
  <c r="J3963" i="49"/>
  <c r="Q3963" i="49" s="1"/>
  <c r="Q3957" i="49"/>
  <c r="J3957" i="49"/>
  <c r="J4260" i="49"/>
  <c r="Q4260" i="49" s="1"/>
  <c r="J4821" i="49"/>
  <c r="Q4821" i="49" s="1"/>
  <c r="J3972" i="49"/>
  <c r="Q3972" i="49" s="1"/>
  <c r="J4797" i="49"/>
  <c r="Q4797" i="49" s="1"/>
  <c r="J4798" i="49"/>
  <c r="Q4798" i="49" s="1"/>
  <c r="J3004" i="49"/>
  <c r="Q3004" i="49" s="1"/>
  <c r="F114" i="50"/>
  <c r="J1388" i="49"/>
  <c r="Q1388" i="49" s="1"/>
  <c r="J764" i="46"/>
  <c r="J4806" i="49"/>
  <c r="Q4806" i="49" s="1"/>
  <c r="J3165" i="49"/>
  <c r="Q3165" i="49" s="1"/>
  <c r="J3166" i="49"/>
  <c r="Q3166" i="49" s="1"/>
  <c r="Q2527" i="49"/>
  <c r="J2527" i="49"/>
  <c r="J2016" i="49"/>
  <c r="Q2016" i="49" s="1"/>
  <c r="J765" i="46"/>
  <c r="J4813" i="49"/>
  <c r="Q4813" i="49"/>
  <c r="J4807" i="49"/>
  <c r="Q4807" i="49" s="1"/>
  <c r="J5120" i="49"/>
  <c r="Q5120" i="49" s="1"/>
  <c r="J5121" i="49"/>
  <c r="Q5121" i="49" s="1"/>
  <c r="J5128" i="49"/>
  <c r="Q5128" i="49" s="1"/>
  <c r="J1066" i="49"/>
  <c r="Q1066" i="49"/>
  <c r="J1694" i="49"/>
  <c r="Q1694" i="49" s="1"/>
  <c r="J3412" i="49"/>
  <c r="Q3412" i="49" s="1"/>
  <c r="Q2247" i="49"/>
  <c r="J2247" i="49"/>
  <c r="J2248" i="49"/>
  <c r="Q2248" i="49" s="1"/>
  <c r="J2825" i="49"/>
  <c r="Q2825" i="49" s="1"/>
  <c r="J2826" i="49"/>
  <c r="Q2826" i="49"/>
  <c r="J3419" i="49"/>
  <c r="Q3419" i="49" s="1"/>
  <c r="J3413" i="49"/>
  <c r="Q3413" i="49" s="1"/>
  <c r="J2834" i="49"/>
  <c r="Q2834" i="49" s="1"/>
  <c r="J3172" i="49"/>
  <c r="Q3172" i="49" s="1"/>
  <c r="J2255" i="49"/>
  <c r="Q2255" i="49" s="1"/>
  <c r="J3597" i="49"/>
  <c r="Q3597" i="49" s="1"/>
  <c r="J1685" i="49"/>
  <c r="Q1685" i="49"/>
  <c r="Q1679" i="49"/>
  <c r="J1679" i="49"/>
  <c r="J4253" i="49"/>
  <c r="Q4253" i="49" s="1"/>
  <c r="J4254" i="49"/>
  <c r="Q4254" i="49" s="1"/>
  <c r="J3590" i="49"/>
  <c r="Q3590" i="49" s="1"/>
  <c r="J3591" i="49"/>
  <c r="Q3591" i="49" s="1"/>
  <c r="N79" i="13"/>
  <c r="M64" i="20" s="1"/>
  <c r="L57" i="14"/>
  <c r="T84" i="13"/>
  <c r="S64" i="25" s="1"/>
  <c r="S76" i="25" s="1"/>
  <c r="S77" i="25" s="1"/>
  <c r="R107" i="14"/>
  <c r="P67" i="17"/>
  <c r="P68" i="17" s="1"/>
  <c r="X85" i="13"/>
  <c r="W64" i="26" s="1"/>
  <c r="W76" i="26" s="1"/>
  <c r="W77" i="26" s="1"/>
  <c r="V117" i="14"/>
  <c r="S90" i="13"/>
  <c r="R64" i="31" s="1"/>
  <c r="R76" i="31" s="1"/>
  <c r="R77" i="31" s="1"/>
  <c r="Q167" i="14"/>
  <c r="O67" i="29"/>
  <c r="O68" i="29" s="1"/>
  <c r="T82" i="13"/>
  <c r="S64" i="23" s="1"/>
  <c r="S76" i="23" s="1"/>
  <c r="S77" i="23" s="1"/>
  <c r="R87" i="14"/>
  <c r="O158" i="14"/>
  <c r="O159" i="14" s="1"/>
  <c r="O160" i="14" s="1"/>
  <c r="Q50" i="16"/>
  <c r="Q52" i="16"/>
  <c r="H14" i="52"/>
  <c r="H113" i="49"/>
  <c r="K54" i="8"/>
  <c r="K56" i="8" s="1"/>
  <c r="S81" i="13"/>
  <c r="R64" i="22" s="1"/>
  <c r="R76" i="22" s="1"/>
  <c r="R77" i="22" s="1"/>
  <c r="Q77" i="14"/>
  <c r="J112" i="49"/>
  <c r="Q112" i="49" s="1"/>
  <c r="E112" i="50"/>
  <c r="G112" i="50" s="1"/>
  <c r="H112" i="50" s="1"/>
  <c r="R75" i="13"/>
  <c r="Q64" i="16" s="1"/>
  <c r="P17" i="14"/>
  <c r="F6" i="38"/>
  <c r="H6" i="32"/>
  <c r="L14" i="52"/>
  <c r="H181" i="49"/>
  <c r="O54" i="8"/>
  <c r="M4" i="8"/>
  <c r="K64" i="14"/>
  <c r="N51" i="13" s="1"/>
  <c r="M48" i="20" s="1"/>
  <c r="L54" i="20"/>
  <c r="S50" i="18"/>
  <c r="S52" i="18"/>
  <c r="J180" i="49"/>
  <c r="Q180" i="49" s="1"/>
  <c r="D14" i="1"/>
  <c r="E180" i="50"/>
  <c r="T80" i="13"/>
  <c r="S64" i="21" s="1"/>
  <c r="S76" i="21" s="1"/>
  <c r="S77" i="21" s="1"/>
  <c r="R67" i="14"/>
  <c r="T86" i="20"/>
  <c r="R48" i="14"/>
  <c r="R49" i="14"/>
  <c r="R50" i="14" s="1"/>
  <c r="H5" i="1"/>
  <c r="D22" i="33"/>
  <c r="E22" i="33" s="1"/>
  <c r="K29" i="1"/>
  <c r="B12" i="48"/>
  <c r="D12" i="48" s="1"/>
  <c r="D13" i="47"/>
  <c r="E13" i="47" s="1"/>
  <c r="P84" i="14"/>
  <c r="S53" i="13" s="1"/>
  <c r="R48" i="22" s="1"/>
  <c r="M83" i="13"/>
  <c r="L64" i="24" s="1"/>
  <c r="K97" i="14"/>
  <c r="O589" i="49"/>
  <c r="E33" i="1"/>
  <c r="E30" i="1"/>
  <c r="E32" i="1"/>
  <c r="E31" i="1"/>
  <c r="P129" i="14"/>
  <c r="P130" i="14" s="1"/>
  <c r="P128" i="14"/>
  <c r="Q74" i="14"/>
  <c r="T52" i="13" s="1"/>
  <c r="S48" i="21" s="1"/>
  <c r="T98" i="14"/>
  <c r="P50" i="29"/>
  <c r="P52" i="29"/>
  <c r="P48" i="8"/>
  <c r="R67" i="23"/>
  <c r="R68" i="23" s="1"/>
  <c r="P28" i="14"/>
  <c r="P29" i="14" s="1"/>
  <c r="P30" i="14" s="1"/>
  <c r="T77" i="13"/>
  <c r="S64" i="18" s="1"/>
  <c r="S76" i="18" s="1"/>
  <c r="S77" i="18" s="1"/>
  <c r="R37" i="14"/>
  <c r="P86" i="27"/>
  <c r="O86" i="29"/>
  <c r="P86" i="16"/>
  <c r="Q50" i="17"/>
  <c r="Q52" i="17"/>
  <c r="U74" i="13"/>
  <c r="T64" i="15" s="1"/>
  <c r="T76" i="15" s="1"/>
  <c r="T77" i="15" s="1"/>
  <c r="S7" i="14"/>
  <c r="O759" i="49"/>
  <c r="E29" i="1"/>
  <c r="O585" i="49"/>
  <c r="D33" i="1"/>
  <c r="D30" i="1"/>
  <c r="D32" i="1"/>
  <c r="D31" i="1"/>
  <c r="D29" i="1"/>
  <c r="P67" i="27"/>
  <c r="P68" i="27" s="1"/>
  <c r="Q50" i="28"/>
  <c r="Q52" i="28"/>
  <c r="P50" i="30"/>
  <c r="P52" i="30"/>
  <c r="Q54" i="27"/>
  <c r="Q56" i="27" s="1"/>
  <c r="S54" i="15"/>
  <c r="S86" i="15" s="1"/>
  <c r="S56" i="15"/>
  <c r="S67" i="15" s="1"/>
  <c r="S68" i="15" s="1"/>
  <c r="O148" i="14"/>
  <c r="O149" i="14" s="1"/>
  <c r="O150" i="14" s="1"/>
  <c r="K86" i="24"/>
  <c r="P56" i="16"/>
  <c r="K56" i="24"/>
  <c r="J104" i="14"/>
  <c r="M55" i="13" s="1"/>
  <c r="L48" i="24" s="1"/>
  <c r="V54" i="26"/>
  <c r="V86" i="26" s="1"/>
  <c r="R54" i="18"/>
  <c r="O86" i="30"/>
  <c r="P76" i="29"/>
  <c r="P77" i="29" s="1"/>
  <c r="P64" i="8"/>
  <c r="P76" i="8" s="1"/>
  <c r="P77" i="8" s="1"/>
  <c r="Q54" i="22"/>
  <c r="Q56" i="22"/>
  <c r="T50" i="15"/>
  <c r="T52" i="15"/>
  <c r="U50" i="20"/>
  <c r="U52" i="20"/>
  <c r="O67" i="30"/>
  <c r="O68" i="30" s="1"/>
  <c r="T58" i="14"/>
  <c r="T59" i="14"/>
  <c r="T60" i="14" s="1"/>
  <c r="F7" i="38"/>
  <c r="H7" i="32"/>
  <c r="H7" i="38" s="1"/>
  <c r="P138" i="14"/>
  <c r="P139" i="14"/>
  <c r="P140" i="14" s="1"/>
  <c r="U124" i="14"/>
  <c r="X57" i="13" s="1"/>
  <c r="W48" i="26" s="1"/>
  <c r="P174" i="14"/>
  <c r="S62" i="13" s="1"/>
  <c r="R48" i="31" s="1"/>
  <c r="Q54" i="31"/>
  <c r="Q56" i="31"/>
  <c r="P86" i="17"/>
  <c r="S54" i="19"/>
  <c r="S56" i="19" s="1"/>
  <c r="R86" i="25"/>
  <c r="K118" i="14"/>
  <c r="K119" i="14" s="1"/>
  <c r="K120" i="14" s="1"/>
  <c r="R67" i="25"/>
  <c r="R68" i="25" s="1"/>
  <c r="R86" i="23"/>
  <c r="S50" i="23"/>
  <c r="S52" i="23"/>
  <c r="Q114" i="14"/>
  <c r="T56" i="13" s="1"/>
  <c r="S48" i="25" s="1"/>
  <c r="U50" i="24"/>
  <c r="U52" i="24"/>
  <c r="R54" i="21"/>
  <c r="R56" i="21" s="1"/>
  <c r="L50" i="26"/>
  <c r="L52" i="26"/>
  <c r="R67" i="19"/>
  <c r="R68" i="19" s="1"/>
  <c r="T56" i="20"/>
  <c r="H2849" i="49"/>
  <c r="H2528" i="49"/>
  <c r="H3598" i="49"/>
  <c r="H2529" i="49"/>
  <c r="H2535" i="49"/>
  <c r="H1687" i="49"/>
  <c r="H1686" i="49"/>
  <c r="H5144" i="49"/>
  <c r="H3965" i="49"/>
  <c r="H3964" i="49"/>
  <c r="H1880" i="49"/>
  <c r="H4533" i="49"/>
  <c r="H1082" i="49"/>
  <c r="H778" i="49"/>
  <c r="H784" i="49"/>
  <c r="H3421" i="49"/>
  <c r="H3420" i="49"/>
  <c r="H2002" i="49"/>
  <c r="H2008" i="49"/>
  <c r="H4261" i="49"/>
  <c r="H3011" i="49"/>
  <c r="H3005" i="49"/>
  <c r="H2843" i="49"/>
  <c r="H2842" i="49"/>
  <c r="H3019" i="49"/>
  <c r="H1865" i="49"/>
  <c r="H4822" i="49"/>
  <c r="H2017" i="49"/>
  <c r="H5129" i="49"/>
  <c r="H2850" i="49"/>
  <c r="H3980" i="49"/>
  <c r="H3974" i="49"/>
  <c r="H4815" i="49"/>
  <c r="H4814" i="49"/>
  <c r="E770" i="46"/>
  <c r="H5130" i="49"/>
  <c r="H5136" i="49"/>
  <c r="H3427" i="49"/>
  <c r="H4526" i="49"/>
  <c r="H4525" i="49"/>
  <c r="E722" i="46"/>
  <c r="H1075" i="49"/>
  <c r="H1074" i="49"/>
  <c r="H1405" i="49"/>
  <c r="H793" i="49"/>
  <c r="H3973" i="49"/>
  <c r="H1389" i="49"/>
  <c r="H1695" i="49"/>
  <c r="H3173" i="49"/>
  <c r="H2256" i="49"/>
  <c r="H2271" i="49"/>
  <c r="H1696" i="49"/>
  <c r="H1702" i="49"/>
  <c r="H2257" i="49"/>
  <c r="H2263" i="49"/>
  <c r="H2543" i="49"/>
  <c r="J2849" i="49" l="1"/>
  <c r="Q2849" i="49" s="1"/>
  <c r="J2543" i="49"/>
  <c r="Q2543" i="49" s="1"/>
  <c r="J2263" i="49"/>
  <c r="Q2263" i="49" s="1"/>
  <c r="Q2257" i="49"/>
  <c r="J2257" i="49"/>
  <c r="J1702" i="49"/>
  <c r="Q1702" i="49" s="1"/>
  <c r="J1696" i="49"/>
  <c r="Q1696" i="49" s="1"/>
  <c r="J2271" i="49"/>
  <c r="Q2271" i="49" s="1"/>
  <c r="J2256" i="49"/>
  <c r="Q2256" i="49" s="1"/>
  <c r="J3173" i="49"/>
  <c r="Q3173" i="49" s="1"/>
  <c r="J1695" i="49"/>
  <c r="Q1695" i="49" s="1"/>
  <c r="J1389" i="49"/>
  <c r="Q1389" i="49" s="1"/>
  <c r="J3973" i="49"/>
  <c r="Q3973" i="49" s="1"/>
  <c r="J793" i="49"/>
  <c r="Q793" i="49" s="1"/>
  <c r="J1405" i="49"/>
  <c r="Q1405" i="49" s="1"/>
  <c r="J1074" i="49"/>
  <c r="Q1074" i="49" s="1"/>
  <c r="J1075" i="49"/>
  <c r="Q1075" i="49" s="1"/>
  <c r="J722" i="46"/>
  <c r="J4525" i="49"/>
  <c r="Q4525" i="49" s="1"/>
  <c r="F190" i="50"/>
  <c r="J4526" i="49"/>
  <c r="Q4526" i="49" s="1"/>
  <c r="F191" i="50"/>
  <c r="J3427" i="49"/>
  <c r="Q3427" i="49" s="1"/>
  <c r="Q5136" i="49"/>
  <c r="J5136" i="49"/>
  <c r="J5130" i="49"/>
  <c r="Q5130" i="49"/>
  <c r="J770" i="46"/>
  <c r="J4814" i="49"/>
  <c r="Q4814" i="49"/>
  <c r="J4815" i="49"/>
  <c r="Q4815" i="49" s="1"/>
  <c r="J3974" i="49"/>
  <c r="Q3974" i="49" s="1"/>
  <c r="J3980" i="49"/>
  <c r="Q3980" i="49" s="1"/>
  <c r="J2850" i="49"/>
  <c r="Q2850" i="49" s="1"/>
  <c r="J5129" i="49"/>
  <c r="Q5129" i="49" s="1"/>
  <c r="J2017" i="49"/>
  <c r="Q2017" i="49" s="1"/>
  <c r="J4822" i="49"/>
  <c r="Q4822" i="49"/>
  <c r="J1865" i="49"/>
  <c r="Q1865" i="49" s="1"/>
  <c r="J3019" i="49"/>
  <c r="Q3019" i="49" s="1"/>
  <c r="F129" i="50"/>
  <c r="J2842" i="49"/>
  <c r="Q2842" i="49" s="1"/>
  <c r="J2843" i="49"/>
  <c r="Q2843" i="49" s="1"/>
  <c r="J3005" i="49"/>
  <c r="Q3005" i="49" s="1"/>
  <c r="F115" i="50"/>
  <c r="J3011" i="49"/>
  <c r="Q3011" i="49" s="1"/>
  <c r="F121" i="50"/>
  <c r="J4261" i="49"/>
  <c r="Q4261" i="49" s="1"/>
  <c r="J2008" i="49"/>
  <c r="Q2008" i="49" s="1"/>
  <c r="J2002" i="49"/>
  <c r="Q2002" i="49"/>
  <c r="J3420" i="49"/>
  <c r="Q3420" i="49" s="1"/>
  <c r="J3421" i="49"/>
  <c r="Q3421" i="49" s="1"/>
  <c r="J784" i="49"/>
  <c r="Q784" i="49"/>
  <c r="J778" i="49"/>
  <c r="Q778" i="49" s="1"/>
  <c r="J1082" i="49"/>
  <c r="Q1082" i="49" s="1"/>
  <c r="J4533" i="49"/>
  <c r="Q4533" i="49" s="1"/>
  <c r="J1880" i="49"/>
  <c r="Q1880" i="49"/>
  <c r="J3964" i="49"/>
  <c r="Q3964" i="49"/>
  <c r="J3965" i="49"/>
  <c r="Q3965" i="49" s="1"/>
  <c r="J5144" i="49"/>
  <c r="Q5144" i="49" s="1"/>
  <c r="J1686" i="49"/>
  <c r="Q1686" i="49"/>
  <c r="J1687" i="49"/>
  <c r="Q1687" i="49" s="1"/>
  <c r="J2535" i="49"/>
  <c r="Q2535" i="49" s="1"/>
  <c r="J2529" i="49"/>
  <c r="Q2529" i="49"/>
  <c r="J3598" i="49"/>
  <c r="Q3598" i="49" s="1"/>
  <c r="J2528" i="49"/>
  <c r="Q2528" i="49" s="1"/>
  <c r="R89" i="13"/>
  <c r="Q64" i="30" s="1"/>
  <c r="Q76" i="30" s="1"/>
  <c r="Q77" i="30" s="1"/>
  <c r="P157" i="14"/>
  <c r="S87" i="13"/>
  <c r="R64" i="28" s="1"/>
  <c r="R76" i="28" s="1"/>
  <c r="R77" i="28" s="1"/>
  <c r="Q137" i="14"/>
  <c r="N85" i="13"/>
  <c r="M64" i="26" s="1"/>
  <c r="M76" i="26" s="1"/>
  <c r="M77" i="26" s="1"/>
  <c r="L117" i="14"/>
  <c r="U78" i="13"/>
  <c r="T64" i="19" s="1"/>
  <c r="T76" i="19" s="1"/>
  <c r="T77" i="19" s="1"/>
  <c r="S47" i="14"/>
  <c r="S76" i="13"/>
  <c r="R64" i="17" s="1"/>
  <c r="R76" i="17" s="1"/>
  <c r="R77" i="17" s="1"/>
  <c r="Q27" i="14"/>
  <c r="W79" i="13"/>
  <c r="V64" i="20" s="1"/>
  <c r="V76" i="20" s="1"/>
  <c r="V77" i="20" s="1"/>
  <c r="U57" i="14"/>
  <c r="R50" i="22"/>
  <c r="R52" i="22"/>
  <c r="H26" i="52"/>
  <c r="H16" i="52"/>
  <c r="H115" i="49"/>
  <c r="H121" i="49"/>
  <c r="K67" i="8"/>
  <c r="K68" i="8" s="1"/>
  <c r="R67" i="21"/>
  <c r="R68" i="21" s="1"/>
  <c r="J181" i="49"/>
  <c r="Q181" i="49"/>
  <c r="E181" i="50"/>
  <c r="G181" i="50" s="1"/>
  <c r="H181" i="50" s="1"/>
  <c r="D15" i="1"/>
  <c r="H15" i="52"/>
  <c r="H114" i="49"/>
  <c r="K87" i="8"/>
  <c r="Q168" i="14"/>
  <c r="Q169" i="14" s="1"/>
  <c r="Q170" i="14" s="1"/>
  <c r="S67" i="19"/>
  <c r="S68" i="19" s="1"/>
  <c r="R39" i="14"/>
  <c r="R40" i="14" s="1"/>
  <c r="R38" i="14"/>
  <c r="S50" i="21"/>
  <c r="S52" i="21"/>
  <c r="J113" i="49"/>
  <c r="Q113" i="49" s="1"/>
  <c r="E113" i="50"/>
  <c r="G113" i="50" s="1"/>
  <c r="H113" i="50" s="1"/>
  <c r="P134" i="14"/>
  <c r="S58" i="13" s="1"/>
  <c r="R48" i="27" s="1"/>
  <c r="H6" i="38"/>
  <c r="D8" i="47" s="1"/>
  <c r="E8" i="47" s="1"/>
  <c r="B27" i="32"/>
  <c r="D14" i="33" s="1"/>
  <c r="E14" i="33" s="1"/>
  <c r="D20" i="33"/>
  <c r="E20" i="33" s="1"/>
  <c r="V118" i="14"/>
  <c r="V119" i="14" s="1"/>
  <c r="V120" i="14" s="1"/>
  <c r="R86" i="21"/>
  <c r="U54" i="24"/>
  <c r="S86" i="19"/>
  <c r="R86" i="18"/>
  <c r="T64" i="14"/>
  <c r="W51" i="13" s="1"/>
  <c r="V48" i="20" s="1"/>
  <c r="R56" i="18"/>
  <c r="Q86" i="27"/>
  <c r="H82" i="46"/>
  <c r="H78" i="46"/>
  <c r="H98" i="46"/>
  <c r="H90" i="46"/>
  <c r="H81" i="46"/>
  <c r="H68" i="46"/>
  <c r="H64" i="46"/>
  <c r="H87" i="46"/>
  <c r="H75" i="46"/>
  <c r="H58" i="46"/>
  <c r="H74" i="46"/>
  <c r="H62" i="46"/>
  <c r="H100" i="46"/>
  <c r="H54" i="46"/>
  <c r="H66" i="46"/>
  <c r="H88" i="46"/>
  <c r="H71" i="46"/>
  <c r="H94" i="46"/>
  <c r="H92" i="46"/>
  <c r="H84" i="46"/>
  <c r="H95" i="46"/>
  <c r="H65" i="46"/>
  <c r="H76" i="46"/>
  <c r="H72" i="46"/>
  <c r="H70" i="46"/>
  <c r="H53" i="46"/>
  <c r="H91" i="46"/>
  <c r="H97" i="46"/>
  <c r="H99" i="46"/>
  <c r="H60" i="46"/>
  <c r="H79" i="46"/>
  <c r="H85" i="46"/>
  <c r="H86" i="46"/>
  <c r="H89" i="46"/>
  <c r="H61" i="46"/>
  <c r="H67" i="46"/>
  <c r="H57" i="46"/>
  <c r="H56" i="46"/>
  <c r="H59" i="46"/>
  <c r="H77" i="46"/>
  <c r="H80" i="46"/>
  <c r="H55" i="46"/>
  <c r="H83" i="46"/>
  <c r="H96" i="46"/>
  <c r="H93" i="46"/>
  <c r="H73" i="46"/>
  <c r="H63" i="46"/>
  <c r="H69" i="46"/>
  <c r="Q54" i="16"/>
  <c r="L76" i="24"/>
  <c r="L77" i="24" s="1"/>
  <c r="L64" i="8"/>
  <c r="L76" i="8" s="1"/>
  <c r="L77" i="8" s="1"/>
  <c r="S86" i="13"/>
  <c r="R64" i="27" s="1"/>
  <c r="R76" i="27" s="1"/>
  <c r="R77" i="27" s="1"/>
  <c r="Q127" i="14"/>
  <c r="S54" i="18"/>
  <c r="S56" i="18" s="1"/>
  <c r="P18" i="14"/>
  <c r="P19" i="14" s="1"/>
  <c r="P20" i="14" s="1"/>
  <c r="L15" i="52"/>
  <c r="H182" i="49"/>
  <c r="O87" i="8"/>
  <c r="H131" i="46"/>
  <c r="H107" i="46"/>
  <c r="H135" i="46"/>
  <c r="H111" i="46"/>
  <c r="H102" i="46"/>
  <c r="H129" i="46"/>
  <c r="H134" i="46"/>
  <c r="H114" i="46"/>
  <c r="H146" i="46"/>
  <c r="H138" i="46"/>
  <c r="H118" i="46"/>
  <c r="H143" i="46"/>
  <c r="H104" i="46"/>
  <c r="H117" i="46"/>
  <c r="H110" i="46"/>
  <c r="H142" i="46"/>
  <c r="H122" i="46"/>
  <c r="H128" i="46"/>
  <c r="H137" i="46"/>
  <c r="H103" i="46"/>
  <c r="H124" i="46"/>
  <c r="H109" i="46"/>
  <c r="H105" i="46"/>
  <c r="H144" i="46"/>
  <c r="H125" i="46"/>
  <c r="H132" i="46"/>
  <c r="H140" i="46"/>
  <c r="H113" i="46"/>
  <c r="H112" i="46"/>
  <c r="H120" i="46"/>
  <c r="H148" i="46"/>
  <c r="H147" i="46"/>
  <c r="H145" i="46"/>
  <c r="M7" i="38"/>
  <c r="H136" i="46"/>
  <c r="H126" i="46"/>
  <c r="H108" i="46"/>
  <c r="H106" i="46"/>
  <c r="H133" i="46"/>
  <c r="H139" i="46"/>
  <c r="H119" i="46"/>
  <c r="H121" i="46"/>
  <c r="H116" i="46"/>
  <c r="H141" i="46"/>
  <c r="H123" i="46"/>
  <c r="H130" i="46"/>
  <c r="H127" i="46"/>
  <c r="H115" i="46"/>
  <c r="H101" i="46"/>
  <c r="S50" i="25"/>
  <c r="S52" i="25"/>
  <c r="Q67" i="31"/>
  <c r="Q68" i="31" s="1"/>
  <c r="Q67" i="27"/>
  <c r="Q68" i="27" s="1"/>
  <c r="S54" i="23"/>
  <c r="Q86" i="31"/>
  <c r="U54" i="20"/>
  <c r="U56" i="20"/>
  <c r="V56" i="26"/>
  <c r="V67" i="26" s="1"/>
  <c r="V68" i="26" s="1"/>
  <c r="P54" i="30"/>
  <c r="P34" i="14"/>
  <c r="S48" i="13" s="1"/>
  <c r="R48" i="17" s="1"/>
  <c r="Q76" i="16"/>
  <c r="Q77" i="16" s="1"/>
  <c r="R108" i="14"/>
  <c r="R109" i="14"/>
  <c r="R110" i="14" s="1"/>
  <c r="L86" i="20"/>
  <c r="L50" i="24"/>
  <c r="L52" i="24"/>
  <c r="L48" i="8"/>
  <c r="L56" i="20"/>
  <c r="O164" i="14"/>
  <c r="R61" i="13" s="1"/>
  <c r="Q48" i="30" s="1"/>
  <c r="L58" i="14"/>
  <c r="L59" i="14"/>
  <c r="L60" i="14"/>
  <c r="W50" i="26"/>
  <c r="W52" i="26"/>
  <c r="T54" i="15"/>
  <c r="T86" i="15" s="1"/>
  <c r="T56" i="15"/>
  <c r="T67" i="15" s="1"/>
  <c r="T68" i="15" s="1"/>
  <c r="K67" i="24"/>
  <c r="K68" i="24" s="1"/>
  <c r="Q54" i="28"/>
  <c r="Q56" i="28" s="1"/>
  <c r="M13" i="52"/>
  <c r="H197" i="49"/>
  <c r="P50" i="8"/>
  <c r="P52" i="8"/>
  <c r="T67" i="20"/>
  <c r="T68" i="20" s="1"/>
  <c r="P67" i="16"/>
  <c r="P68" i="16" s="1"/>
  <c r="Q54" i="17"/>
  <c r="Q56" i="17"/>
  <c r="P54" i="29"/>
  <c r="P56" i="29" s="1"/>
  <c r="R54" i="14"/>
  <c r="U50" i="13" s="1"/>
  <c r="T48" i="19" s="1"/>
  <c r="M50" i="20"/>
  <c r="M52" i="20"/>
  <c r="M76" i="20"/>
  <c r="M77" i="20" s="1"/>
  <c r="R88" i="13"/>
  <c r="Q64" i="29" s="1"/>
  <c r="Q76" i="29" s="1"/>
  <c r="Q77" i="29" s="1"/>
  <c r="P147" i="14"/>
  <c r="S8" i="14"/>
  <c r="S9" i="14"/>
  <c r="S10" i="14" s="1"/>
  <c r="R88" i="14"/>
  <c r="R89" i="14"/>
  <c r="R90" i="14" s="1"/>
  <c r="R50" i="31"/>
  <c r="R52" i="31"/>
  <c r="Q67" i="22"/>
  <c r="Q68" i="22" s="1"/>
  <c r="Q79" i="14"/>
  <c r="Q80" i="14"/>
  <c r="Q78" i="14"/>
  <c r="Q84" i="14" s="1"/>
  <c r="T53" i="13" s="1"/>
  <c r="S48" i="22" s="1"/>
  <c r="L54" i="26"/>
  <c r="L56" i="26"/>
  <c r="K124" i="14"/>
  <c r="N57" i="13" s="1"/>
  <c r="M48" i="26" s="1"/>
  <c r="P144" i="14"/>
  <c r="S59" i="13" s="1"/>
  <c r="R48" i="28" s="1"/>
  <c r="Q86" i="22"/>
  <c r="O154" i="14"/>
  <c r="R60" i="13" s="1"/>
  <c r="Q48" i="29" s="1"/>
  <c r="T99" i="14"/>
  <c r="T100" i="14" s="1"/>
  <c r="K98" i="14"/>
  <c r="R68" i="14"/>
  <c r="R69" i="14"/>
  <c r="R70" i="14" s="1"/>
  <c r="O56" i="8"/>
  <c r="H2544" i="49"/>
  <c r="H1083" i="49"/>
  <c r="H2560" i="49"/>
  <c r="H1407" i="49"/>
  <c r="H1413" i="49"/>
  <c r="H4534" i="49"/>
  <c r="H3982" i="49"/>
  <c r="H3981" i="49"/>
  <c r="H3988" i="49"/>
  <c r="H1390" i="49"/>
  <c r="H1396" i="49"/>
  <c r="H3614" i="49"/>
  <c r="H4277" i="49"/>
  <c r="H2265" i="49"/>
  <c r="H2264" i="49"/>
  <c r="H1704" i="49"/>
  <c r="H1703" i="49"/>
  <c r="H2018" i="49"/>
  <c r="H2019" i="49"/>
  <c r="H2025" i="49"/>
  <c r="H3020" i="49"/>
  <c r="H4263" i="49"/>
  <c r="H4269" i="49"/>
  <c r="H1710" i="49"/>
  <c r="H4262" i="49"/>
  <c r="H4549" i="49"/>
  <c r="H1872" i="49"/>
  <c r="H1866" i="49"/>
  <c r="H1098" i="49"/>
  <c r="H1406" i="49"/>
  <c r="H786" i="49"/>
  <c r="H785" i="49"/>
  <c r="H3599" i="49"/>
  <c r="H1084" i="49"/>
  <c r="H1090" i="49"/>
  <c r="H3013" i="49"/>
  <c r="H3012" i="49"/>
  <c r="H794" i="49"/>
  <c r="H1881" i="49"/>
  <c r="H4823" i="49"/>
  <c r="H4838" i="49"/>
  <c r="H5145" i="49"/>
  <c r="H2272" i="49"/>
  <c r="H2537" i="49"/>
  <c r="H2536" i="49"/>
  <c r="H3174" i="49"/>
  <c r="H3428" i="49"/>
  <c r="H5138" i="49"/>
  <c r="H5137" i="49"/>
  <c r="H2010" i="49"/>
  <c r="H2009" i="49"/>
  <c r="H2851" i="49"/>
  <c r="H3606" i="49"/>
  <c r="H3600" i="49"/>
  <c r="H4541" i="49"/>
  <c r="H4535" i="49"/>
  <c r="J4535" i="49" l="1"/>
  <c r="Q4535" i="49" s="1"/>
  <c r="J4541" i="49"/>
  <c r="Q4541" i="49" s="1"/>
  <c r="J3600" i="49"/>
  <c r="Q3600" i="49" s="1"/>
  <c r="J3606" i="49"/>
  <c r="Q3606" i="49" s="1"/>
  <c r="J2851" i="49"/>
  <c r="Q2851" i="49"/>
  <c r="J2009" i="49"/>
  <c r="Q2009" i="49" s="1"/>
  <c r="J2010" i="49"/>
  <c r="Q2010" i="49" s="1"/>
  <c r="J5137" i="49"/>
  <c r="Q5137" i="49" s="1"/>
  <c r="J5138" i="49"/>
  <c r="Q5138" i="49" s="1"/>
  <c r="J3428" i="49"/>
  <c r="Q3428" i="49"/>
  <c r="J3174" i="49"/>
  <c r="Q3174" i="49"/>
  <c r="J2536" i="49"/>
  <c r="Q2536" i="49" s="1"/>
  <c r="J2537" i="49"/>
  <c r="Q2537" i="49" s="1"/>
  <c r="J2272" i="49"/>
  <c r="Q2272" i="49" s="1"/>
  <c r="J5145" i="49"/>
  <c r="Q5145" i="49" s="1"/>
  <c r="J4838" i="49"/>
  <c r="Q4838" i="49"/>
  <c r="J4823" i="49"/>
  <c r="Q4823" i="49" s="1"/>
  <c r="J1881" i="49"/>
  <c r="Q1881" i="49" s="1"/>
  <c r="J794" i="49"/>
  <c r="Q794" i="49" s="1"/>
  <c r="J3012" i="49"/>
  <c r="Q3012" i="49"/>
  <c r="F122" i="50"/>
  <c r="J3013" i="49"/>
  <c r="Q3013" i="49" s="1"/>
  <c r="F123" i="50"/>
  <c r="J1090" i="49"/>
  <c r="Q1090" i="49" s="1"/>
  <c r="J1084" i="49"/>
  <c r="Q1084" i="49" s="1"/>
  <c r="J3599" i="49"/>
  <c r="Q3599" i="49" s="1"/>
  <c r="J785" i="49"/>
  <c r="Q785" i="49"/>
  <c r="J786" i="49"/>
  <c r="Q786" i="49"/>
  <c r="J1406" i="49"/>
  <c r="Q1406" i="49" s="1"/>
  <c r="J1098" i="49"/>
  <c r="Q1098" i="49" s="1"/>
  <c r="J1866" i="49"/>
  <c r="Q1866" i="49" s="1"/>
  <c r="J1872" i="49"/>
  <c r="Q1872" i="49" s="1"/>
  <c r="J4549" i="49"/>
  <c r="Q4549" i="49"/>
  <c r="F214" i="50"/>
  <c r="J4262" i="49"/>
  <c r="Q4262" i="49" s="1"/>
  <c r="J1710" i="49"/>
  <c r="Q1710" i="49" s="1"/>
  <c r="J4269" i="49"/>
  <c r="Q4269" i="49" s="1"/>
  <c r="J4263" i="49"/>
  <c r="Q4263" i="49" s="1"/>
  <c r="J3020" i="49"/>
  <c r="Q3020" i="49" s="1"/>
  <c r="F130" i="50"/>
  <c r="J2025" i="49"/>
  <c r="Q2025" i="49" s="1"/>
  <c r="J2019" i="49"/>
  <c r="Q2019" i="49" s="1"/>
  <c r="J2018" i="49"/>
  <c r="Q2018" i="49" s="1"/>
  <c r="J1703" i="49"/>
  <c r="Q1703" i="49" s="1"/>
  <c r="J1704" i="49"/>
  <c r="Q1704" i="49" s="1"/>
  <c r="J2264" i="49"/>
  <c r="Q2264" i="49" s="1"/>
  <c r="J2265" i="49"/>
  <c r="Q2265" i="49" s="1"/>
  <c r="J4277" i="49"/>
  <c r="Q4277" i="49"/>
  <c r="J3614" i="49"/>
  <c r="Q3614" i="49" s="1"/>
  <c r="J1396" i="49"/>
  <c r="Q1396" i="49" s="1"/>
  <c r="J1390" i="49"/>
  <c r="Q1390" i="49"/>
  <c r="J3988" i="49"/>
  <c r="Q3988" i="49" s="1"/>
  <c r="J3981" i="49"/>
  <c r="Q3981" i="49" s="1"/>
  <c r="J3982" i="49"/>
  <c r="Q3982" i="49" s="1"/>
  <c r="J4534" i="49"/>
  <c r="Q4534" i="49" s="1"/>
  <c r="J1413" i="49"/>
  <c r="Q1413" i="49" s="1"/>
  <c r="J1407" i="49"/>
  <c r="Q1407" i="49" s="1"/>
  <c r="J2560" i="49"/>
  <c r="Q2560" i="49" s="1"/>
  <c r="Q1083" i="49"/>
  <c r="J1083" i="49"/>
  <c r="J2544" i="49"/>
  <c r="Q2544" i="49" s="1"/>
  <c r="Y85" i="13"/>
  <c r="X64" i="26" s="1"/>
  <c r="X76" i="26" s="1"/>
  <c r="X77" i="26" s="1"/>
  <c r="W117" i="14"/>
  <c r="P67" i="29"/>
  <c r="P68" i="29" s="1"/>
  <c r="S75" i="13"/>
  <c r="R64" i="16" s="1"/>
  <c r="Q17" i="14"/>
  <c r="U77" i="13"/>
  <c r="T64" i="18" s="1"/>
  <c r="T76" i="18" s="1"/>
  <c r="T77" i="18" s="1"/>
  <c r="S37" i="14"/>
  <c r="V74" i="13"/>
  <c r="U64" i="15" s="1"/>
  <c r="U76" i="15" s="1"/>
  <c r="U77" i="15" s="1"/>
  <c r="T7" i="14"/>
  <c r="U80" i="13"/>
  <c r="T64" i="21" s="1"/>
  <c r="T76" i="21" s="1"/>
  <c r="T77" i="21" s="1"/>
  <c r="S67" i="14"/>
  <c r="U84" i="13"/>
  <c r="T64" i="25" s="1"/>
  <c r="T76" i="25" s="1"/>
  <c r="T77" i="25" s="1"/>
  <c r="S107" i="14"/>
  <c r="U82" i="13"/>
  <c r="T64" i="23" s="1"/>
  <c r="T76" i="23" s="1"/>
  <c r="T77" i="23" s="1"/>
  <c r="S87" i="14"/>
  <c r="L67" i="26"/>
  <c r="L68" i="26" s="1"/>
  <c r="S86" i="23"/>
  <c r="S14" i="14"/>
  <c r="V46" i="13" s="1"/>
  <c r="U48" i="15" s="1"/>
  <c r="W54" i="26"/>
  <c r="W86" i="26" s="1"/>
  <c r="T81" i="13"/>
  <c r="S64" i="22" s="1"/>
  <c r="S76" i="22" s="1"/>
  <c r="S77" i="22" s="1"/>
  <c r="R77" i="14"/>
  <c r="O79" i="13"/>
  <c r="N64" i="20" s="1"/>
  <c r="L61" i="14"/>
  <c r="Q64" i="8"/>
  <c r="Q76" i="8" s="1"/>
  <c r="Q77" i="8" s="1"/>
  <c r="Q129" i="14"/>
  <c r="Q130" i="14" s="1"/>
  <c r="Q128" i="14"/>
  <c r="Q134" i="14" s="1"/>
  <c r="T58" i="13" s="1"/>
  <c r="S48" i="27" s="1"/>
  <c r="J114" i="49"/>
  <c r="Q114" i="49" s="1"/>
  <c r="E114" i="50"/>
  <c r="G114" i="50" s="1"/>
  <c r="H114" i="50" s="1"/>
  <c r="M14" i="52"/>
  <c r="H198" i="49"/>
  <c r="P54" i="8"/>
  <c r="P56" i="8"/>
  <c r="S54" i="25"/>
  <c r="M6" i="38"/>
  <c r="U86" i="24"/>
  <c r="Q138" i="14"/>
  <c r="Q139" i="14"/>
  <c r="Q140" i="14" s="1"/>
  <c r="L64" i="14"/>
  <c r="O51" i="13" s="1"/>
  <c r="N48" i="20" s="1"/>
  <c r="U56" i="24"/>
  <c r="S54" i="21"/>
  <c r="S56" i="21" s="1"/>
  <c r="K99" i="14"/>
  <c r="K100" i="14" s="1"/>
  <c r="R54" i="31"/>
  <c r="R56" i="31"/>
  <c r="J197" i="49"/>
  <c r="Q197" i="49" s="1"/>
  <c r="E197" i="50"/>
  <c r="Q50" i="30"/>
  <c r="Q52" i="30"/>
  <c r="P86" i="30"/>
  <c r="P158" i="14"/>
  <c r="P159" i="14"/>
  <c r="P160" i="14" s="1"/>
  <c r="M54" i="20"/>
  <c r="Q86" i="16"/>
  <c r="T104" i="14"/>
  <c r="W55" i="13" s="1"/>
  <c r="V48" i="24" s="1"/>
  <c r="L26" i="52"/>
  <c r="L16" i="52"/>
  <c r="H189" i="49"/>
  <c r="H183" i="49"/>
  <c r="O67" i="8"/>
  <c r="O68" i="8" s="1"/>
  <c r="H191" i="49" s="1"/>
  <c r="Q67" i="17"/>
  <c r="Q68" i="17" s="1"/>
  <c r="L86" i="26"/>
  <c r="S86" i="18"/>
  <c r="R50" i="17"/>
  <c r="R52" i="17"/>
  <c r="W83" i="13"/>
  <c r="V64" i="24" s="1"/>
  <c r="V76" i="24" s="1"/>
  <c r="V77" i="24" s="1"/>
  <c r="U97" i="14"/>
  <c r="L67" i="20"/>
  <c r="L68" i="20" s="1"/>
  <c r="P56" i="30"/>
  <c r="Q50" i="29"/>
  <c r="Q52" i="29"/>
  <c r="Q48" i="8"/>
  <c r="Q86" i="28"/>
  <c r="I13" i="52"/>
  <c r="H129" i="49"/>
  <c r="L50" i="8"/>
  <c r="L52" i="8"/>
  <c r="J182" i="49"/>
  <c r="Q182" i="49" s="1"/>
  <c r="D16" i="1"/>
  <c r="E182" i="50"/>
  <c r="G182" i="50" s="1"/>
  <c r="H182" i="50" s="1"/>
  <c r="Q56" i="16"/>
  <c r="R44" i="14"/>
  <c r="U49" i="13" s="1"/>
  <c r="T48" i="18" s="1"/>
  <c r="U58" i="14"/>
  <c r="T50" i="19"/>
  <c r="T52" i="19"/>
  <c r="Q67" i="28"/>
  <c r="Q68" i="28" s="1"/>
  <c r="L54" i="24"/>
  <c r="L56" i="24" s="1"/>
  <c r="U67" i="20"/>
  <c r="U68" i="20" s="1"/>
  <c r="V124" i="14"/>
  <c r="Y57" i="13" s="1"/>
  <c r="X48" i="26" s="1"/>
  <c r="U86" i="20"/>
  <c r="Q28" i="14"/>
  <c r="Q29" i="14" s="1"/>
  <c r="Q30" i="14" s="1"/>
  <c r="R50" i="28"/>
  <c r="R52" i="28"/>
  <c r="R94" i="14"/>
  <c r="U54" i="13" s="1"/>
  <c r="T48" i="23" s="1"/>
  <c r="P24" i="14"/>
  <c r="S47" i="13" s="1"/>
  <c r="R48" i="16" s="1"/>
  <c r="M50" i="26"/>
  <c r="M52" i="26"/>
  <c r="R67" i="18"/>
  <c r="R68" i="18" s="1"/>
  <c r="S48" i="14"/>
  <c r="S49" i="14"/>
  <c r="S50" i="14" s="1"/>
  <c r="S56" i="23"/>
  <c r="R50" i="27"/>
  <c r="R52" i="27"/>
  <c r="H27" i="52"/>
  <c r="H28" i="52" s="1"/>
  <c r="H29" i="52" s="1"/>
  <c r="H122" i="49"/>
  <c r="J121" i="49"/>
  <c r="Q121" i="49" s="1"/>
  <c r="E121" i="50"/>
  <c r="G121" i="50" s="1"/>
  <c r="H121" i="50" s="1"/>
  <c r="Q174" i="14"/>
  <c r="T62" i="13" s="1"/>
  <c r="S48" i="31" s="1"/>
  <c r="R74" i="14"/>
  <c r="U52" i="13" s="1"/>
  <c r="T48" i="21" s="1"/>
  <c r="P148" i="14"/>
  <c r="P149" i="14" s="1"/>
  <c r="P150" i="14" s="1"/>
  <c r="R114" i="14"/>
  <c r="U56" i="13" s="1"/>
  <c r="T48" i="25" s="1"/>
  <c r="P86" i="29"/>
  <c r="S67" i="18"/>
  <c r="S68" i="18" s="1"/>
  <c r="H123" i="49"/>
  <c r="S50" i="22"/>
  <c r="S52" i="22"/>
  <c r="T90" i="13"/>
  <c r="S64" i="31" s="1"/>
  <c r="S76" i="31" s="1"/>
  <c r="S77" i="31" s="1"/>
  <c r="R167" i="14"/>
  <c r="Q86" i="17"/>
  <c r="V50" i="20"/>
  <c r="V52" i="20"/>
  <c r="J115" i="49"/>
  <c r="Q115" i="49"/>
  <c r="E115" i="50"/>
  <c r="G115" i="50" s="1"/>
  <c r="H115" i="50" s="1"/>
  <c r="L118" i="14"/>
  <c r="L119" i="14" s="1"/>
  <c r="L120" i="14" s="1"/>
  <c r="R54" i="22"/>
  <c r="R56" i="22" s="1"/>
  <c r="H3181" i="49"/>
  <c r="H3175" i="49"/>
  <c r="H2858" i="49"/>
  <c r="H2852" i="49"/>
  <c r="H1092" i="49"/>
  <c r="H1091" i="49"/>
  <c r="H3444" i="49"/>
  <c r="H3989" i="49"/>
  <c r="H5146" i="49"/>
  <c r="H809" i="49"/>
  <c r="H2274" i="49"/>
  <c r="H2280" i="49"/>
  <c r="H4543" i="49"/>
  <c r="H4542" i="49"/>
  <c r="H5147" i="49"/>
  <c r="H5153" i="49"/>
  <c r="H4278" i="49"/>
  <c r="H3608" i="49"/>
  <c r="H3607" i="49"/>
  <c r="H3021" i="49"/>
  <c r="H3022" i="49"/>
  <c r="H3028" i="49"/>
  <c r="H3615" i="49"/>
  <c r="H2288" i="49"/>
  <c r="H4839" i="49"/>
  <c r="H801" i="49"/>
  <c r="H795" i="49"/>
  <c r="H1897" i="49"/>
  <c r="H4550" i="49"/>
  <c r="H1421" i="49"/>
  <c r="H2273" i="49"/>
  <c r="H3429" i="49"/>
  <c r="H1882" i="49"/>
  <c r="H1711" i="49"/>
  <c r="H1415" i="49"/>
  <c r="H1414" i="49"/>
  <c r="H4005" i="49"/>
  <c r="H4271" i="49"/>
  <c r="H4270" i="49"/>
  <c r="H2561" i="49"/>
  <c r="H2545" i="49"/>
  <c r="H1874" i="49"/>
  <c r="H1873" i="49"/>
  <c r="H2027" i="49"/>
  <c r="H2026" i="49"/>
  <c r="H1398" i="49"/>
  <c r="H1397" i="49"/>
  <c r="H5161" i="49"/>
  <c r="H2546" i="49"/>
  <c r="H2552" i="49"/>
  <c r="H4824" i="49"/>
  <c r="H4830" i="49"/>
  <c r="H2866" i="49"/>
  <c r="H1099" i="49"/>
  <c r="K104" i="14" l="1"/>
  <c r="N55" i="13" s="1"/>
  <c r="M48" i="24" s="1"/>
  <c r="J1099" i="49"/>
  <c r="Q1099" i="49" s="1"/>
  <c r="J2866" i="49"/>
  <c r="Q2866" i="49" s="1"/>
  <c r="Q4830" i="49"/>
  <c r="J4830" i="49"/>
  <c r="J4824" i="49"/>
  <c r="Q4824" i="49" s="1"/>
  <c r="F200" i="50"/>
  <c r="J2552" i="49"/>
  <c r="Q2552" i="49" s="1"/>
  <c r="J2546" i="49"/>
  <c r="Q2546" i="49" s="1"/>
  <c r="J5161" i="49"/>
  <c r="Q5161" i="49"/>
  <c r="J1397" i="49"/>
  <c r="Q1397" i="49"/>
  <c r="J1398" i="49"/>
  <c r="Q1398" i="49" s="1"/>
  <c r="J2026" i="49"/>
  <c r="Q2026" i="49" s="1"/>
  <c r="J2027" i="49"/>
  <c r="Q2027" i="49" s="1"/>
  <c r="J1873" i="49"/>
  <c r="Q1873" i="49" s="1"/>
  <c r="J1874" i="49"/>
  <c r="Q1874" i="49" s="1"/>
  <c r="J2545" i="49"/>
  <c r="Q2545" i="49" s="1"/>
  <c r="J2561" i="49"/>
  <c r="Q2561" i="49" s="1"/>
  <c r="J4270" i="49"/>
  <c r="Q4270" i="49" s="1"/>
  <c r="J4271" i="49"/>
  <c r="Q4271" i="49" s="1"/>
  <c r="J4005" i="49"/>
  <c r="Q4005" i="49" s="1"/>
  <c r="J1414" i="49"/>
  <c r="Q1414" i="49"/>
  <c r="J1415" i="49"/>
  <c r="Q1415" i="49" s="1"/>
  <c r="J1711" i="49"/>
  <c r="Q1711" i="49" s="1"/>
  <c r="J1882" i="49"/>
  <c r="Q1882" i="49" s="1"/>
  <c r="J3429" i="49"/>
  <c r="Q3429" i="49" s="1"/>
  <c r="Q2273" i="49"/>
  <c r="J2273" i="49"/>
  <c r="J1421" i="49"/>
  <c r="Q1421" i="49" s="1"/>
  <c r="J4550" i="49"/>
  <c r="Q4550" i="49"/>
  <c r="F215" i="50"/>
  <c r="J1897" i="49"/>
  <c r="Q1897" i="49" s="1"/>
  <c r="J795" i="49"/>
  <c r="Q795" i="49" s="1"/>
  <c r="J801" i="49"/>
  <c r="Q801" i="49" s="1"/>
  <c r="J4839" i="49"/>
  <c r="Q4839" i="49" s="1"/>
  <c r="J2288" i="49"/>
  <c r="Q2288" i="49" s="1"/>
  <c r="J3615" i="49"/>
  <c r="Q3615" i="49"/>
  <c r="J3028" i="49"/>
  <c r="Q3028" i="49" s="1"/>
  <c r="F138" i="50"/>
  <c r="J3022" i="49"/>
  <c r="Q3022" i="49" s="1"/>
  <c r="F132" i="50"/>
  <c r="Q3021" i="49"/>
  <c r="J3021" i="49"/>
  <c r="F131" i="50"/>
  <c r="J3607" i="49"/>
  <c r="Q3607" i="49" s="1"/>
  <c r="J3608" i="49"/>
  <c r="Q3608" i="49" s="1"/>
  <c r="J4278" i="49"/>
  <c r="Q4278" i="49"/>
  <c r="J5153" i="49"/>
  <c r="Q5153" i="49"/>
  <c r="J5147" i="49"/>
  <c r="Q5147" i="49"/>
  <c r="Q4542" i="49"/>
  <c r="J4542" i="49"/>
  <c r="J4543" i="49"/>
  <c r="Q4543" i="49" s="1"/>
  <c r="Q2280" i="49"/>
  <c r="J2280" i="49"/>
  <c r="J2274" i="49"/>
  <c r="Q2274" i="49" s="1"/>
  <c r="J809" i="49"/>
  <c r="Q809" i="49" s="1"/>
  <c r="J5146" i="49"/>
  <c r="Q5146" i="49" s="1"/>
  <c r="J3989" i="49"/>
  <c r="Q3989" i="49" s="1"/>
  <c r="J3444" i="49"/>
  <c r="Q3444" i="49" s="1"/>
  <c r="J1091" i="49"/>
  <c r="Q1091" i="49" s="1"/>
  <c r="J1092" i="49"/>
  <c r="Q1092" i="49" s="1"/>
  <c r="J2852" i="49"/>
  <c r="Q2852" i="49" s="1"/>
  <c r="J2858" i="49"/>
  <c r="Q2858" i="49" s="1"/>
  <c r="J3175" i="49"/>
  <c r="Q3175" i="49" s="1"/>
  <c r="J3181" i="49"/>
  <c r="Q3181" i="49" s="1"/>
  <c r="S89" i="13"/>
  <c r="R64" i="30" s="1"/>
  <c r="R76" i="30" s="1"/>
  <c r="R77" i="30" s="1"/>
  <c r="Q157" i="14"/>
  <c r="T87" i="13"/>
  <c r="S64" i="28" s="1"/>
  <c r="S76" i="28" s="1"/>
  <c r="S77" i="28" s="1"/>
  <c r="R137" i="14"/>
  <c r="T76" i="13"/>
  <c r="S64" i="17" s="1"/>
  <c r="S76" i="17" s="1"/>
  <c r="S77" i="17" s="1"/>
  <c r="R27" i="14"/>
  <c r="T86" i="13"/>
  <c r="S64" i="27" s="1"/>
  <c r="S76" i="27" s="1"/>
  <c r="S77" i="27" s="1"/>
  <c r="R127" i="14"/>
  <c r="O85" i="13"/>
  <c r="N64" i="26" s="1"/>
  <c r="N76" i="26" s="1"/>
  <c r="N77" i="26" s="1"/>
  <c r="L121" i="14"/>
  <c r="V78" i="13"/>
  <c r="U64" i="19" s="1"/>
  <c r="U76" i="19" s="1"/>
  <c r="U77" i="19" s="1"/>
  <c r="T47" i="14"/>
  <c r="R168" i="14"/>
  <c r="R169" i="14" s="1"/>
  <c r="R170" i="14" s="1"/>
  <c r="S54" i="14"/>
  <c r="V50" i="13" s="1"/>
  <c r="U48" i="19" s="1"/>
  <c r="Q144" i="14"/>
  <c r="T59" i="13" s="1"/>
  <c r="S48" i="28" s="1"/>
  <c r="J123" i="49"/>
  <c r="Q123" i="49" s="1"/>
  <c r="E123" i="50"/>
  <c r="G123" i="50" s="1"/>
  <c r="H123" i="50" s="1"/>
  <c r="R54" i="17"/>
  <c r="T50" i="23"/>
  <c r="T52" i="23"/>
  <c r="O107" i="13"/>
  <c r="N61" i="20" s="1"/>
  <c r="L63" i="14"/>
  <c r="P67" i="30"/>
  <c r="P68" i="30" s="1"/>
  <c r="W56" i="26"/>
  <c r="W67" i="26" s="1"/>
  <c r="W68" i="26" s="1"/>
  <c r="R67" i="22"/>
  <c r="R68" i="22" s="1"/>
  <c r="S50" i="31"/>
  <c r="S52" i="31"/>
  <c r="S39" i="14"/>
  <c r="S40" i="14" s="1"/>
  <c r="S38" i="14"/>
  <c r="S44" i="14" s="1"/>
  <c r="V49" i="13" s="1"/>
  <c r="U48" i="18" s="1"/>
  <c r="R86" i="22"/>
  <c r="S54" i="22"/>
  <c r="S56" i="22" s="1"/>
  <c r="Q18" i="14"/>
  <c r="Q19" i="14" s="1"/>
  <c r="Q20" i="14" s="1"/>
  <c r="S50" i="27"/>
  <c r="S52" i="27"/>
  <c r="T54" i="19"/>
  <c r="T56" i="19" s="1"/>
  <c r="M86" i="20"/>
  <c r="S86" i="25"/>
  <c r="W118" i="14"/>
  <c r="S86" i="21"/>
  <c r="M16" i="52"/>
  <c r="M26" i="52"/>
  <c r="H200" i="49"/>
  <c r="H206" i="49"/>
  <c r="P67" i="8"/>
  <c r="P68" i="8" s="1"/>
  <c r="H208" i="49" s="1"/>
  <c r="S88" i="13"/>
  <c r="R64" i="29" s="1"/>
  <c r="R76" i="29" s="1"/>
  <c r="R77" i="29" s="1"/>
  <c r="Q147" i="14"/>
  <c r="T50" i="18"/>
  <c r="T52" i="18"/>
  <c r="Q54" i="29"/>
  <c r="Q56" i="29" s="1"/>
  <c r="J191" i="49"/>
  <c r="Q191" i="49" s="1"/>
  <c r="E191" i="50"/>
  <c r="G191" i="50" s="1"/>
  <c r="H191" i="50" s="1"/>
  <c r="N50" i="20"/>
  <c r="N52" i="20"/>
  <c r="T8" i="14"/>
  <c r="T9" i="14"/>
  <c r="T10" i="14" s="1"/>
  <c r="Q67" i="16"/>
  <c r="Q68" i="16" s="1"/>
  <c r="J183" i="49"/>
  <c r="Q183" i="49" s="1"/>
  <c r="D17" i="1"/>
  <c r="E183" i="50"/>
  <c r="G183" i="50" s="1"/>
  <c r="H183" i="50" s="1"/>
  <c r="Q56" i="30"/>
  <c r="Q54" i="30"/>
  <c r="M50" i="24"/>
  <c r="M52" i="24"/>
  <c r="M48" i="8"/>
  <c r="T50" i="21"/>
  <c r="T52" i="21"/>
  <c r="X50" i="26"/>
  <c r="X52" i="26"/>
  <c r="J189" i="49"/>
  <c r="Q189" i="49"/>
  <c r="D23" i="1"/>
  <c r="E189" i="50"/>
  <c r="G189" i="50" s="1"/>
  <c r="H189" i="50" s="1"/>
  <c r="U50" i="15"/>
  <c r="U52" i="15"/>
  <c r="M54" i="26"/>
  <c r="M56" i="26" s="1"/>
  <c r="L67" i="24"/>
  <c r="L68" i="24" s="1"/>
  <c r="U98" i="14"/>
  <c r="U99" i="14" s="1"/>
  <c r="U100" i="14" s="1"/>
  <c r="L86" i="24"/>
  <c r="V50" i="24"/>
  <c r="V52" i="24"/>
  <c r="R76" i="16"/>
  <c r="R77" i="16" s="1"/>
  <c r="R54" i="28"/>
  <c r="R56" i="28"/>
  <c r="Q129" i="49"/>
  <c r="J129" i="49"/>
  <c r="E129" i="50"/>
  <c r="G129" i="50" s="1"/>
  <c r="H129" i="50" s="1"/>
  <c r="M56" i="20"/>
  <c r="N83" i="13"/>
  <c r="M64" i="24" s="1"/>
  <c r="L97" i="14"/>
  <c r="S56" i="25"/>
  <c r="S108" i="14"/>
  <c r="S109" i="14"/>
  <c r="S110" i="14" s="1"/>
  <c r="I14" i="52"/>
  <c r="L54" i="8"/>
  <c r="L56" i="8" s="1"/>
  <c r="H130" i="49"/>
  <c r="R67" i="31"/>
  <c r="R68" i="31" s="1"/>
  <c r="L124" i="14"/>
  <c r="O57" i="13" s="1"/>
  <c r="N48" i="26" s="1"/>
  <c r="S67" i="21"/>
  <c r="S68" i="21" s="1"/>
  <c r="M15" i="52"/>
  <c r="H199" i="49"/>
  <c r="P87" i="8"/>
  <c r="N76" i="20"/>
  <c r="N77" i="20" s="1"/>
  <c r="S69" i="14"/>
  <c r="S70" i="14"/>
  <c r="S68" i="14"/>
  <c r="S74" i="14" s="1"/>
  <c r="V52" i="13" s="1"/>
  <c r="U48" i="21" s="1"/>
  <c r="R50" i="16"/>
  <c r="R52" i="16"/>
  <c r="S89" i="14"/>
  <c r="S90" i="14" s="1"/>
  <c r="S88" i="14"/>
  <c r="J122" i="49"/>
  <c r="Q122" i="49" s="1"/>
  <c r="E122" i="50"/>
  <c r="G122" i="50" s="1"/>
  <c r="H122" i="50" s="1"/>
  <c r="R86" i="31"/>
  <c r="R54" i="27"/>
  <c r="T50" i="25"/>
  <c r="T52" i="25"/>
  <c r="U59" i="14"/>
  <c r="U60" i="14" s="1"/>
  <c r="V54" i="20"/>
  <c r="V86" i="20" s="1"/>
  <c r="V56" i="20"/>
  <c r="V67" i="20" s="1"/>
  <c r="V68" i="20" s="1"/>
  <c r="P154" i="14"/>
  <c r="S60" i="13" s="1"/>
  <c r="R48" i="29" s="1"/>
  <c r="S67" i="23"/>
  <c r="S68" i="23" s="1"/>
  <c r="Q34" i="14"/>
  <c r="T48" i="13" s="1"/>
  <c r="S48" i="17" s="1"/>
  <c r="N13" i="52"/>
  <c r="H214" i="49"/>
  <c r="Q50" i="8"/>
  <c r="Q52" i="8"/>
  <c r="L27" i="52"/>
  <c r="L28" i="52" s="1"/>
  <c r="L29" i="52" s="1"/>
  <c r="H190" i="49"/>
  <c r="P164" i="14"/>
  <c r="S61" i="13" s="1"/>
  <c r="R48" i="30" s="1"/>
  <c r="U67" i="24"/>
  <c r="U68" i="24" s="1"/>
  <c r="J198" i="49"/>
  <c r="Q198" i="49" s="1"/>
  <c r="E198" i="50"/>
  <c r="R79" i="14"/>
  <c r="R80" i="14" s="1"/>
  <c r="R78" i="14"/>
  <c r="H3036" i="49"/>
  <c r="H3037" i="49"/>
  <c r="H4279" i="49"/>
  <c r="H3616" i="49"/>
  <c r="H4280" i="49"/>
  <c r="H4286" i="49"/>
  <c r="H2867" i="49"/>
  <c r="H2305" i="49"/>
  <c r="H3445" i="49"/>
  <c r="H2554" i="49"/>
  <c r="H2553" i="49"/>
  <c r="H2562" i="49"/>
  <c r="H3623" i="49"/>
  <c r="H3617" i="49"/>
  <c r="H3990" i="49"/>
  <c r="H1422" i="49"/>
  <c r="H5155" i="49"/>
  <c r="H5154" i="49"/>
  <c r="H4566" i="49"/>
  <c r="H2860" i="49"/>
  <c r="H2859" i="49"/>
  <c r="H1901" i="49"/>
  <c r="H2289" i="49"/>
  <c r="H3030" i="49"/>
  <c r="H3029" i="49"/>
  <c r="H4832" i="49"/>
  <c r="H4831" i="49"/>
  <c r="H4551" i="49"/>
  <c r="H1883" i="49"/>
  <c r="H1889" i="49"/>
  <c r="H3631" i="49"/>
  <c r="H810" i="49"/>
  <c r="H4855" i="49"/>
  <c r="H1727" i="49"/>
  <c r="H4558" i="49"/>
  <c r="H4552" i="49"/>
  <c r="H3183" i="49"/>
  <c r="H3182" i="49"/>
  <c r="H2282" i="49"/>
  <c r="H2281" i="49"/>
  <c r="H4294" i="49"/>
  <c r="H5162" i="49"/>
  <c r="H4006" i="49"/>
  <c r="H4847" i="49"/>
  <c r="H4841" i="49"/>
  <c r="H1712" i="49"/>
  <c r="H4840" i="49"/>
  <c r="H1115" i="49"/>
  <c r="H1100" i="49"/>
  <c r="H1438" i="49"/>
  <c r="H1719" i="49"/>
  <c r="H1713" i="49"/>
  <c r="H1898" i="49"/>
  <c r="H803" i="49"/>
  <c r="H802" i="49"/>
  <c r="H3430" i="49"/>
  <c r="H3436" i="49"/>
  <c r="H2563" i="49"/>
  <c r="H2569" i="49"/>
  <c r="J3036" i="49" l="1"/>
  <c r="Q3036" i="49"/>
  <c r="F146" i="50"/>
  <c r="T14" i="14"/>
  <c r="W46" i="13" s="1"/>
  <c r="V48" i="15" s="1"/>
  <c r="S94" i="14"/>
  <c r="V54" i="13" s="1"/>
  <c r="U48" i="23" s="1"/>
  <c r="R64" i="8"/>
  <c r="R76" i="8" s="1"/>
  <c r="R77" i="8" s="1"/>
  <c r="S114" i="14"/>
  <c r="V56" i="13" s="1"/>
  <c r="U48" i="25" s="1"/>
  <c r="J2569" i="49"/>
  <c r="Q2569" i="49" s="1"/>
  <c r="J2563" i="49"/>
  <c r="Q2563" i="49" s="1"/>
  <c r="J3436" i="49"/>
  <c r="Q3436" i="49" s="1"/>
  <c r="J3430" i="49"/>
  <c r="Q3430" i="49" s="1"/>
  <c r="J802" i="49"/>
  <c r="Q802" i="49" s="1"/>
  <c r="J803" i="49"/>
  <c r="Q803" i="49"/>
  <c r="J1898" i="49"/>
  <c r="Q1898" i="49" s="1"/>
  <c r="J1713" i="49"/>
  <c r="Q1713" i="49" s="1"/>
  <c r="J1719" i="49"/>
  <c r="Q1719" i="49" s="1"/>
  <c r="J1438" i="49"/>
  <c r="Q1438" i="49"/>
  <c r="J1100" i="49"/>
  <c r="Q1100" i="49" s="1"/>
  <c r="J1115" i="49"/>
  <c r="Q1115" i="49" s="1"/>
  <c r="Q4840" i="49"/>
  <c r="J4840" i="49"/>
  <c r="J1712" i="49"/>
  <c r="Q1712" i="49"/>
  <c r="J4841" i="49"/>
  <c r="Q4841" i="49" s="1"/>
  <c r="J4847" i="49"/>
  <c r="Q4847" i="49"/>
  <c r="J4006" i="49"/>
  <c r="Q4006" i="49" s="1"/>
  <c r="Q5162" i="49"/>
  <c r="J5162" i="49"/>
  <c r="J4294" i="49"/>
  <c r="Q4294" i="49"/>
  <c r="J2281" i="49"/>
  <c r="Q2281" i="49" s="1"/>
  <c r="J2282" i="49"/>
  <c r="Q2282" i="49" s="1"/>
  <c r="J3182" i="49"/>
  <c r="Q3182" i="49" s="1"/>
  <c r="J3183" i="49"/>
  <c r="Q3183" i="49" s="1"/>
  <c r="J4552" i="49"/>
  <c r="Q4552" i="49" s="1"/>
  <c r="J4558" i="49"/>
  <c r="Q4558" i="49" s="1"/>
  <c r="J1727" i="49"/>
  <c r="Q1727" i="49" s="1"/>
  <c r="J4855" i="49"/>
  <c r="Q4855" i="49"/>
  <c r="J810" i="49"/>
  <c r="Q810" i="49"/>
  <c r="J3631" i="49"/>
  <c r="Q3631" i="49" s="1"/>
  <c r="J1889" i="49"/>
  <c r="Q1889" i="49" s="1"/>
  <c r="Q1883" i="49"/>
  <c r="J1883" i="49"/>
  <c r="J4551" i="49"/>
  <c r="Q4551" i="49" s="1"/>
  <c r="F216" i="50"/>
  <c r="J4831" i="49"/>
  <c r="Q4831" i="49" s="1"/>
  <c r="J4832" i="49"/>
  <c r="Q4832" i="49" s="1"/>
  <c r="F208" i="50"/>
  <c r="J3029" i="49"/>
  <c r="Q3029" i="49" s="1"/>
  <c r="F139" i="50"/>
  <c r="J3030" i="49"/>
  <c r="Q3030" i="49" s="1"/>
  <c r="F140" i="50"/>
  <c r="J2289" i="49"/>
  <c r="Q2289" i="49" s="1"/>
  <c r="J1901" i="49"/>
  <c r="Q1901" i="49" s="1"/>
  <c r="J2859" i="49"/>
  <c r="Q2859" i="49" s="1"/>
  <c r="J2860" i="49"/>
  <c r="Q2860" i="49" s="1"/>
  <c r="J4566" i="49"/>
  <c r="Q4566" i="49" s="1"/>
  <c r="F231" i="50"/>
  <c r="J5154" i="49"/>
  <c r="Q5154" i="49" s="1"/>
  <c r="J5155" i="49"/>
  <c r="Q5155" i="49" s="1"/>
  <c r="J1422" i="49"/>
  <c r="Q1422" i="49" s="1"/>
  <c r="J3990" i="49"/>
  <c r="Q3990" i="49" s="1"/>
  <c r="Q3617" i="49"/>
  <c r="J3617" i="49"/>
  <c r="J3623" i="49"/>
  <c r="Q3623" i="49"/>
  <c r="J2562" i="49"/>
  <c r="Q2562" i="49" s="1"/>
  <c r="J2553" i="49"/>
  <c r="Q2553" i="49"/>
  <c r="J2554" i="49"/>
  <c r="Q2554" i="49" s="1"/>
  <c r="J3445" i="49"/>
  <c r="Q3445" i="49" s="1"/>
  <c r="Q2305" i="49"/>
  <c r="J2305" i="49"/>
  <c r="J2867" i="49"/>
  <c r="Q2867" i="49" s="1"/>
  <c r="J4286" i="49"/>
  <c r="Q4286" i="49" s="1"/>
  <c r="J4280" i="49"/>
  <c r="Q4280" i="49" s="1"/>
  <c r="J3616" i="49"/>
  <c r="Q3616" i="49" s="1"/>
  <c r="Q4279" i="49"/>
  <c r="J4279" i="49"/>
  <c r="J3037" i="49"/>
  <c r="Q3037" i="49" s="1"/>
  <c r="F147" i="50"/>
  <c r="T75" i="13"/>
  <c r="S64" i="16" s="1"/>
  <c r="R17" i="14"/>
  <c r="I16" i="52"/>
  <c r="I26" i="52"/>
  <c r="H138" i="49"/>
  <c r="H132" i="49"/>
  <c r="L67" i="8"/>
  <c r="L68" i="8" s="1"/>
  <c r="S67" i="22"/>
  <c r="S68" i="22" s="1"/>
  <c r="U90" i="13"/>
  <c r="T64" i="31" s="1"/>
  <c r="T76" i="31" s="1"/>
  <c r="T77" i="31" s="1"/>
  <c r="S167" i="14"/>
  <c r="U81" i="13"/>
  <c r="T64" i="22" s="1"/>
  <c r="T76" i="22" s="1"/>
  <c r="T77" i="22" s="1"/>
  <c r="S77" i="14"/>
  <c r="X83" i="13"/>
  <c r="W64" i="24" s="1"/>
  <c r="W76" i="24" s="1"/>
  <c r="W77" i="24" s="1"/>
  <c r="V97" i="14"/>
  <c r="V84" i="13"/>
  <c r="U64" i="25" s="1"/>
  <c r="U76" i="25" s="1"/>
  <c r="U77" i="25" s="1"/>
  <c r="T107" i="14"/>
  <c r="V77" i="13"/>
  <c r="U64" i="18" s="1"/>
  <c r="U76" i="18" s="1"/>
  <c r="U77" i="18" s="1"/>
  <c r="T37" i="14"/>
  <c r="V54" i="24"/>
  <c r="V86" i="24" s="1"/>
  <c r="V56" i="24"/>
  <c r="V67" i="24" s="1"/>
  <c r="V68" i="24" s="1"/>
  <c r="V82" i="13"/>
  <c r="U64" i="23" s="1"/>
  <c r="U76" i="23" s="1"/>
  <c r="U77" i="23" s="1"/>
  <c r="T87" i="14"/>
  <c r="S67" i="25"/>
  <c r="S68" i="25" s="1"/>
  <c r="R28" i="14"/>
  <c r="R29" i="14" s="1"/>
  <c r="R30" i="14" s="1"/>
  <c r="L99" i="14"/>
  <c r="L100" i="14" s="1"/>
  <c r="L98" i="14"/>
  <c r="N54" i="20"/>
  <c r="N56" i="20" s="1"/>
  <c r="J208" i="49"/>
  <c r="Q208" i="49"/>
  <c r="E208" i="50"/>
  <c r="T67" i="19"/>
  <c r="T68" i="19" s="1"/>
  <c r="U50" i="18"/>
  <c r="U52" i="18"/>
  <c r="R86" i="17"/>
  <c r="S50" i="17"/>
  <c r="S52" i="17"/>
  <c r="Q86" i="30"/>
  <c r="J206" i="49"/>
  <c r="Q206" i="49" s="1"/>
  <c r="E206" i="50"/>
  <c r="T86" i="19"/>
  <c r="R128" i="14"/>
  <c r="R129" i="14"/>
  <c r="R130" i="14"/>
  <c r="Q67" i="30"/>
  <c r="Q68" i="30" s="1"/>
  <c r="Q200" i="49"/>
  <c r="J200" i="49"/>
  <c r="E200" i="50"/>
  <c r="G200" i="50" s="1"/>
  <c r="H200" i="50" s="1"/>
  <c r="S54" i="27"/>
  <c r="S54" i="31"/>
  <c r="S56" i="31"/>
  <c r="U50" i="23"/>
  <c r="U52" i="23"/>
  <c r="S50" i="28"/>
  <c r="S52" i="28"/>
  <c r="M76" i="24"/>
  <c r="M77" i="24" s="1"/>
  <c r="M64" i="8"/>
  <c r="M76" i="8" s="1"/>
  <c r="M77" i="8" s="1"/>
  <c r="Q67" i="29"/>
  <c r="Q68" i="29" s="1"/>
  <c r="Q24" i="14"/>
  <c r="T47" i="13" s="1"/>
  <c r="S48" i="16" s="1"/>
  <c r="U50" i="19"/>
  <c r="U52" i="19"/>
  <c r="R138" i="14"/>
  <c r="R50" i="30"/>
  <c r="R52" i="30"/>
  <c r="X79" i="13"/>
  <c r="W64" i="20" s="1"/>
  <c r="W76" i="20" s="1"/>
  <c r="W77" i="20" s="1"/>
  <c r="V57" i="14"/>
  <c r="R54" i="16"/>
  <c r="N50" i="26"/>
  <c r="N52" i="26"/>
  <c r="M67" i="20"/>
  <c r="M68" i="20" s="1"/>
  <c r="U104" i="14"/>
  <c r="X55" i="13" s="1"/>
  <c r="W48" i="24" s="1"/>
  <c r="X54" i="26"/>
  <c r="X86" i="26" s="1"/>
  <c r="Q86" i="29"/>
  <c r="U64" i="14"/>
  <c r="X51" i="13" s="1"/>
  <c r="W48" i="20" s="1"/>
  <c r="T54" i="21"/>
  <c r="T56" i="21"/>
  <c r="N63" i="20"/>
  <c r="R174" i="14"/>
  <c r="U62" i="13" s="1"/>
  <c r="T48" i="31" s="1"/>
  <c r="R50" i="29"/>
  <c r="R52" i="29"/>
  <c r="J199" i="49"/>
  <c r="Q199" i="49"/>
  <c r="E199" i="50"/>
  <c r="R48" i="8"/>
  <c r="T54" i="18"/>
  <c r="T56" i="18" s="1"/>
  <c r="Q158" i="14"/>
  <c r="Q159" i="14"/>
  <c r="Q160" i="14" s="1"/>
  <c r="N14" i="52"/>
  <c r="H215" i="49"/>
  <c r="Q54" i="8"/>
  <c r="Q56" i="8"/>
  <c r="R86" i="27"/>
  <c r="J130" i="49"/>
  <c r="Q130" i="49"/>
  <c r="E130" i="50"/>
  <c r="G130" i="50" s="1"/>
  <c r="H130" i="50" s="1"/>
  <c r="M67" i="26"/>
  <c r="M68" i="26" s="1"/>
  <c r="S86" i="22"/>
  <c r="J190" i="49"/>
  <c r="Q190" i="49" s="1"/>
  <c r="E190" i="50"/>
  <c r="G190" i="50" s="1"/>
  <c r="H190" i="50" s="1"/>
  <c r="D24" i="1"/>
  <c r="T54" i="25"/>
  <c r="T56" i="25" s="1"/>
  <c r="U50" i="21"/>
  <c r="U52" i="21"/>
  <c r="V50" i="15"/>
  <c r="V52" i="15"/>
  <c r="Q148" i="14"/>
  <c r="W119" i="14"/>
  <c r="W120" i="14" s="1"/>
  <c r="Z85" i="13" s="1"/>
  <c r="Y64" i="26" s="1"/>
  <c r="Y76" i="26" s="1"/>
  <c r="Y77" i="26" s="1"/>
  <c r="G21" i="4" s="1"/>
  <c r="T56" i="23"/>
  <c r="T54" i="23"/>
  <c r="T49" i="14"/>
  <c r="T50" i="14" s="1"/>
  <c r="T48" i="14"/>
  <c r="T54" i="14" s="1"/>
  <c r="W50" i="13" s="1"/>
  <c r="V48" i="19" s="1"/>
  <c r="R56" i="27"/>
  <c r="V80" i="13"/>
  <c r="U64" i="21" s="1"/>
  <c r="U76" i="21" s="1"/>
  <c r="U77" i="21" s="1"/>
  <c r="T67" i="14"/>
  <c r="I15" i="52"/>
  <c r="H131" i="49"/>
  <c r="L87" i="8"/>
  <c r="R67" i="28"/>
  <c r="R68" i="28" s="1"/>
  <c r="M86" i="26"/>
  <c r="J13" i="52"/>
  <c r="H146" i="49"/>
  <c r="M50" i="8"/>
  <c r="M52" i="8"/>
  <c r="W74" i="13"/>
  <c r="V64" i="15" s="1"/>
  <c r="V76" i="15" s="1"/>
  <c r="V77" i="15" s="1"/>
  <c r="U7" i="14"/>
  <c r="R84" i="14"/>
  <c r="U53" i="13" s="1"/>
  <c r="T48" i="22" s="1"/>
  <c r="J214" i="49"/>
  <c r="Q214" i="49" s="1"/>
  <c r="E214" i="50"/>
  <c r="G214" i="50" s="1"/>
  <c r="H214" i="50" s="1"/>
  <c r="R86" i="28"/>
  <c r="U54" i="15"/>
  <c r="U86" i="15" s="1"/>
  <c r="M54" i="24"/>
  <c r="M56" i="24" s="1"/>
  <c r="M27" i="52"/>
  <c r="M28" i="52" s="1"/>
  <c r="M29" i="52" s="1"/>
  <c r="H207" i="49"/>
  <c r="R56" i="17"/>
  <c r="L123" i="14"/>
  <c r="O113" i="13"/>
  <c r="N61" i="26" s="1"/>
  <c r="H2883" i="49"/>
  <c r="H3461" i="49"/>
  <c r="H1899" i="49"/>
  <c r="H5163" i="49"/>
  <c r="H3446" i="49"/>
  <c r="H2577" i="49"/>
  <c r="H4295" i="49"/>
  <c r="H3625" i="49"/>
  <c r="H3624" i="49"/>
  <c r="H3997" i="49"/>
  <c r="H3991" i="49"/>
  <c r="H1439" i="49"/>
  <c r="H2291" i="49"/>
  <c r="H2297" i="49"/>
  <c r="H2884" i="49"/>
  <c r="H1101" i="49"/>
  <c r="H1107" i="49"/>
  <c r="H1423" i="49"/>
  <c r="H2290" i="49"/>
  <c r="H4849" i="49"/>
  <c r="H4848" i="49"/>
  <c r="H2571" i="49"/>
  <c r="H2570" i="49"/>
  <c r="H4560" i="49"/>
  <c r="H4559" i="49"/>
  <c r="H4288" i="49"/>
  <c r="H4287" i="49"/>
  <c r="H2869" i="49"/>
  <c r="H2875" i="49"/>
  <c r="H3038" i="49"/>
  <c r="H1116" i="49"/>
  <c r="H826" i="49"/>
  <c r="H5178" i="49"/>
  <c r="H1721" i="49"/>
  <c r="H1720" i="49"/>
  <c r="H4856" i="49"/>
  <c r="H1424" i="49"/>
  <c r="H1430" i="49"/>
  <c r="H3635" i="49"/>
  <c r="H811" i="49"/>
  <c r="H3632" i="49"/>
  <c r="H2868" i="49"/>
  <c r="H4007" i="49"/>
  <c r="H1728" i="49"/>
  <c r="H1891" i="49"/>
  <c r="H1890" i="49"/>
  <c r="H4567" i="49"/>
  <c r="H5170" i="49"/>
  <c r="H5164" i="49"/>
  <c r="H3438" i="49"/>
  <c r="H3437" i="49"/>
  <c r="H1903" i="49"/>
  <c r="H1904" i="49"/>
  <c r="H1905" i="49"/>
  <c r="H2306" i="49"/>
  <c r="H3447" i="49"/>
  <c r="H3453" i="49"/>
  <c r="H3039" i="49"/>
  <c r="H3045" i="49"/>
  <c r="H1906" i="49"/>
  <c r="H1900" i="49"/>
  <c r="J3461" i="49" l="1"/>
  <c r="Q3461" i="49" s="1"/>
  <c r="J2883" i="49"/>
  <c r="Q2883" i="49" s="1"/>
  <c r="U52" i="25"/>
  <c r="U50" i="25"/>
  <c r="J1900" i="49"/>
  <c r="Q1900" i="49" s="1"/>
  <c r="J1906" i="49"/>
  <c r="Q1906" i="49" s="1"/>
  <c r="J3045" i="49"/>
  <c r="Q3045" i="49" s="1"/>
  <c r="F155" i="50"/>
  <c r="Q3039" i="49"/>
  <c r="J3039" i="49"/>
  <c r="F149" i="50"/>
  <c r="J3453" i="49"/>
  <c r="Q3453" i="49" s="1"/>
  <c r="J3447" i="49"/>
  <c r="Q3447" i="49" s="1"/>
  <c r="J2306" i="49"/>
  <c r="Q2306" i="49" s="1"/>
  <c r="J1905" i="49"/>
  <c r="Q1905" i="49" s="1"/>
  <c r="G43" i="1"/>
  <c r="H43" i="1" s="1"/>
  <c r="L43" i="1" s="1"/>
  <c r="J1904" i="49"/>
  <c r="Q1904" i="49" s="1"/>
  <c r="J1903" i="49"/>
  <c r="Q1903" i="49" s="1"/>
  <c r="J3437" i="49"/>
  <c r="Q3437" i="49" s="1"/>
  <c r="J3438" i="49"/>
  <c r="Q3438" i="49" s="1"/>
  <c r="J5164" i="49"/>
  <c r="Q5164" i="49" s="1"/>
  <c r="J5170" i="49"/>
  <c r="Q5170" i="49" s="1"/>
  <c r="Q4567" i="49"/>
  <c r="J4567" i="49"/>
  <c r="F232" i="50"/>
  <c r="J1890" i="49"/>
  <c r="Q1890" i="49" s="1"/>
  <c r="J1891" i="49"/>
  <c r="Q1891" i="49" s="1"/>
  <c r="J1728" i="49"/>
  <c r="Q1728" i="49" s="1"/>
  <c r="J4007" i="49"/>
  <c r="Q4007" i="49" s="1"/>
  <c r="J2868" i="49"/>
  <c r="Q2868" i="49" s="1"/>
  <c r="J3632" i="49"/>
  <c r="Q3632" i="49" s="1"/>
  <c r="Q811" i="49"/>
  <c r="J811" i="49"/>
  <c r="J3635" i="49"/>
  <c r="Q3635" i="49" s="1"/>
  <c r="J1430" i="49"/>
  <c r="Q1430" i="49" s="1"/>
  <c r="J1424" i="49"/>
  <c r="Q1424" i="49" s="1"/>
  <c r="J4856" i="49"/>
  <c r="Q4856" i="49"/>
  <c r="J1720" i="49"/>
  <c r="Q1720" i="49"/>
  <c r="J1721" i="49"/>
  <c r="Q1721" i="49" s="1"/>
  <c r="J5178" i="49"/>
  <c r="Q5178" i="49" s="1"/>
  <c r="J826" i="49"/>
  <c r="Q826" i="49" s="1"/>
  <c r="J1116" i="49"/>
  <c r="Q1116" i="49"/>
  <c r="J3038" i="49"/>
  <c r="Q3038" i="49" s="1"/>
  <c r="F148" i="50"/>
  <c r="J2875" i="49"/>
  <c r="Q2875" i="49" s="1"/>
  <c r="J2869" i="49"/>
  <c r="Q2869" i="49" s="1"/>
  <c r="Q4287" i="49"/>
  <c r="J4287" i="49"/>
  <c r="J4288" i="49"/>
  <c r="Q4288" i="49"/>
  <c r="J4559" i="49"/>
  <c r="Q4559" i="49" s="1"/>
  <c r="F224" i="50"/>
  <c r="J4560" i="49"/>
  <c r="Q4560" i="49" s="1"/>
  <c r="J2570" i="49"/>
  <c r="Q2570" i="49" s="1"/>
  <c r="J2571" i="49"/>
  <c r="Q2571" i="49"/>
  <c r="J4848" i="49"/>
  <c r="Q4848" i="49" s="1"/>
  <c r="J4849" i="49"/>
  <c r="Q4849" i="49" s="1"/>
  <c r="J2290" i="49"/>
  <c r="Q2290" i="49" s="1"/>
  <c r="J1423" i="49"/>
  <c r="Q1423" i="49"/>
  <c r="J1107" i="49"/>
  <c r="Q1107" i="49" s="1"/>
  <c r="J1101" i="49"/>
  <c r="Q1101" i="49"/>
  <c r="J2884" i="49"/>
  <c r="Q2884" i="49"/>
  <c r="Q2297" i="49"/>
  <c r="J2297" i="49"/>
  <c r="J2291" i="49"/>
  <c r="Q2291" i="49" s="1"/>
  <c r="J1439" i="49"/>
  <c r="Q1439" i="49"/>
  <c r="J3991" i="49"/>
  <c r="Q3991" i="49" s="1"/>
  <c r="J3997" i="49"/>
  <c r="Q3997" i="49" s="1"/>
  <c r="J3624" i="49"/>
  <c r="Q3624" i="49" s="1"/>
  <c r="J3625" i="49"/>
  <c r="Q3625" i="49" s="1"/>
  <c r="J4295" i="49"/>
  <c r="Q4295" i="49" s="1"/>
  <c r="J2577" i="49"/>
  <c r="Q2577" i="49" s="1"/>
  <c r="J3446" i="49"/>
  <c r="Q3446" i="49" s="1"/>
  <c r="J5163" i="49"/>
  <c r="Q5163" i="49"/>
  <c r="J1899" i="49"/>
  <c r="Q1899" i="49" s="1"/>
  <c r="N67" i="20"/>
  <c r="N68" i="20" s="1"/>
  <c r="M67" i="24"/>
  <c r="M68" i="24" s="1"/>
  <c r="T67" i="25"/>
  <c r="T68" i="25" s="1"/>
  <c r="T89" i="13"/>
  <c r="S64" i="30" s="1"/>
  <c r="S76" i="30" s="1"/>
  <c r="S77" i="30" s="1"/>
  <c r="R157" i="14"/>
  <c r="W78" i="13"/>
  <c r="V64" i="19" s="1"/>
  <c r="V76" i="19" s="1"/>
  <c r="V77" i="19" s="1"/>
  <c r="U47" i="14"/>
  <c r="U9" i="14"/>
  <c r="U10" i="14" s="1"/>
  <c r="U8" i="14"/>
  <c r="U54" i="21"/>
  <c r="I27" i="52"/>
  <c r="H139" i="49"/>
  <c r="J138" i="49"/>
  <c r="Q138" i="49" s="1"/>
  <c r="E138" i="50"/>
  <c r="G138" i="50" s="1"/>
  <c r="H138" i="50" s="1"/>
  <c r="S67" i="31"/>
  <c r="S68" i="31" s="1"/>
  <c r="T88" i="14"/>
  <c r="T89" i="14"/>
  <c r="T90" i="14" s="1"/>
  <c r="J146" i="49"/>
  <c r="Q146" i="49" s="1"/>
  <c r="E146" i="50"/>
  <c r="G146" i="50" s="1"/>
  <c r="H146" i="50" s="1"/>
  <c r="N15" i="52"/>
  <c r="H216" i="49"/>
  <c r="Q87" i="8"/>
  <c r="R54" i="29"/>
  <c r="U54" i="19"/>
  <c r="U56" i="19" s="1"/>
  <c r="S86" i="27"/>
  <c r="U56" i="15"/>
  <c r="U67" i="15" s="1"/>
  <c r="U68" i="15" s="1"/>
  <c r="T86" i="23"/>
  <c r="J215" i="49"/>
  <c r="Q215" i="49" s="1"/>
  <c r="E215" i="50"/>
  <c r="G215" i="50" s="1"/>
  <c r="H215" i="50" s="1"/>
  <c r="N54" i="26"/>
  <c r="N56" i="26"/>
  <c r="S56" i="27"/>
  <c r="W124" i="14"/>
  <c r="Z57" i="13" s="1"/>
  <c r="Y48" i="26" s="1"/>
  <c r="S168" i="14"/>
  <c r="R86" i="16"/>
  <c r="O83" i="13"/>
  <c r="N64" i="24" s="1"/>
  <c r="L101" i="14"/>
  <c r="J131" i="49"/>
  <c r="Q131" i="49" s="1"/>
  <c r="E131" i="50"/>
  <c r="G131" i="50" s="1"/>
  <c r="H131" i="50" s="1"/>
  <c r="V58" i="14"/>
  <c r="V59" i="14"/>
  <c r="V60" i="14" s="1"/>
  <c r="T38" i="14"/>
  <c r="T39" i="14"/>
  <c r="T40" i="14" s="1"/>
  <c r="N63" i="26"/>
  <c r="T67" i="18"/>
  <c r="T68" i="18" s="1"/>
  <c r="U76" i="13"/>
  <c r="T64" i="17" s="1"/>
  <c r="T76" i="17" s="1"/>
  <c r="T77" i="17" s="1"/>
  <c r="S27" i="14"/>
  <c r="J132" i="49"/>
  <c r="Q132" i="49" s="1"/>
  <c r="E132" i="50"/>
  <c r="G132" i="50" s="1"/>
  <c r="H132" i="50" s="1"/>
  <c r="V54" i="15"/>
  <c r="V86" i="15" s="1"/>
  <c r="R54" i="30"/>
  <c r="R56" i="30" s="1"/>
  <c r="J207" i="49"/>
  <c r="Q207" i="49" s="1"/>
  <c r="E207" i="50"/>
  <c r="R18" i="14"/>
  <c r="R19" i="14" s="1"/>
  <c r="R20" i="14" s="1"/>
  <c r="T50" i="31"/>
  <c r="T52" i="31"/>
  <c r="S50" i="16"/>
  <c r="S52" i="16"/>
  <c r="S54" i="17"/>
  <c r="U54" i="25"/>
  <c r="U56" i="25"/>
  <c r="V98" i="14"/>
  <c r="V99" i="14"/>
  <c r="V100" i="14" s="1"/>
  <c r="J14" i="52"/>
  <c r="H147" i="49"/>
  <c r="M54" i="8"/>
  <c r="R139" i="14"/>
  <c r="R140" i="14" s="1"/>
  <c r="M86" i="24"/>
  <c r="T67" i="23"/>
  <c r="T68" i="23" s="1"/>
  <c r="R56" i="16"/>
  <c r="L104" i="14"/>
  <c r="O55" i="13" s="1"/>
  <c r="N48" i="24" s="1"/>
  <c r="W50" i="20"/>
  <c r="W52" i="20"/>
  <c r="Q149" i="14"/>
  <c r="Q150" i="14" s="1"/>
  <c r="T86" i="21"/>
  <c r="T86" i="18"/>
  <c r="R67" i="17"/>
  <c r="R68" i="17" s="1"/>
  <c r="O13" i="52"/>
  <c r="H231" i="49"/>
  <c r="R50" i="8"/>
  <c r="R52" i="8"/>
  <c r="U54" i="23"/>
  <c r="U56" i="23" s="1"/>
  <c r="R134" i="14"/>
  <c r="U58" i="13" s="1"/>
  <c r="T48" i="27" s="1"/>
  <c r="G208" i="50"/>
  <c r="H208" i="50" s="1"/>
  <c r="R34" i="14"/>
  <c r="U48" i="13" s="1"/>
  <c r="T48" i="17" s="1"/>
  <c r="I28" i="52"/>
  <c r="I29" i="52" s="1"/>
  <c r="T67" i="21"/>
  <c r="T68" i="21" s="1"/>
  <c r="U54" i="18"/>
  <c r="U56" i="18" s="1"/>
  <c r="U86" i="13"/>
  <c r="T64" i="27" s="1"/>
  <c r="T76" i="27" s="1"/>
  <c r="T77" i="27" s="1"/>
  <c r="S127" i="14"/>
  <c r="T68" i="14"/>
  <c r="T69" i="14"/>
  <c r="T70" i="14" s="1"/>
  <c r="R67" i="27"/>
  <c r="R68" i="27" s="1"/>
  <c r="Q164" i="14"/>
  <c r="T61" i="13" s="1"/>
  <c r="S48" i="30" s="1"/>
  <c r="H140" i="49"/>
  <c r="S54" i="28"/>
  <c r="S56" i="28" s="1"/>
  <c r="T50" i="22"/>
  <c r="T52" i="22"/>
  <c r="T108" i="14"/>
  <c r="T109" i="14"/>
  <c r="T110" i="14" s="1"/>
  <c r="V50" i="19"/>
  <c r="V52" i="19"/>
  <c r="X56" i="26"/>
  <c r="X67" i="26" s="1"/>
  <c r="X68" i="26" s="1"/>
  <c r="T86" i="25"/>
  <c r="N16" i="52"/>
  <c r="N26" i="52"/>
  <c r="H223" i="49"/>
  <c r="H217" i="49"/>
  <c r="Q67" i="8"/>
  <c r="Q68" i="8" s="1"/>
  <c r="H225" i="49" s="1"/>
  <c r="W50" i="24"/>
  <c r="W52" i="24"/>
  <c r="S86" i="31"/>
  <c r="N86" i="20"/>
  <c r="S79" i="14"/>
  <c r="S80" i="14" s="1"/>
  <c r="S78" i="14"/>
  <c r="S76" i="16"/>
  <c r="S77" i="16" s="1"/>
  <c r="H3462" i="49"/>
  <c r="H3637" i="49"/>
  <c r="H3638" i="49"/>
  <c r="H3639" i="49"/>
  <c r="H3455" i="49"/>
  <c r="H3454" i="49"/>
  <c r="H3633" i="49"/>
  <c r="H4022" i="49"/>
  <c r="H4872" i="49"/>
  <c r="H3463" i="49"/>
  <c r="H1132" i="49"/>
  <c r="H4303" i="49"/>
  <c r="H4297" i="49"/>
  <c r="H1908" i="49"/>
  <c r="H1907" i="49"/>
  <c r="H3047" i="49"/>
  <c r="H3046" i="49"/>
  <c r="H3053" i="49"/>
  <c r="H3999" i="49"/>
  <c r="H3998" i="49"/>
  <c r="H4008" i="49"/>
  <c r="H4014" i="49"/>
  <c r="H5179" i="49"/>
  <c r="H4568" i="49"/>
  <c r="H3634" i="49"/>
  <c r="H3640" i="49"/>
  <c r="H5172" i="49"/>
  <c r="H5171" i="49"/>
  <c r="H1736" i="49"/>
  <c r="H1730" i="49"/>
  <c r="H4857" i="49"/>
  <c r="H2299" i="49"/>
  <c r="H2298" i="49"/>
  <c r="H4296" i="49"/>
  <c r="H2885" i="49"/>
  <c r="H1729" i="49"/>
  <c r="H827" i="49"/>
  <c r="H1109" i="49"/>
  <c r="H1108" i="49"/>
  <c r="H1440" i="49"/>
  <c r="H1117" i="49"/>
  <c r="H1441" i="49"/>
  <c r="H1447" i="49"/>
  <c r="H2578" i="49"/>
  <c r="H1432" i="49"/>
  <c r="H1431" i="49"/>
  <c r="H2307" i="49"/>
  <c r="H3470" i="49"/>
  <c r="H3464" i="49"/>
  <c r="H2877" i="49"/>
  <c r="H2876" i="49"/>
  <c r="H818" i="49"/>
  <c r="H812" i="49"/>
  <c r="H2892" i="49"/>
  <c r="H2886" i="49"/>
  <c r="H4858" i="49"/>
  <c r="H4864" i="49"/>
  <c r="J3462" i="49" l="1"/>
  <c r="Q3462" i="49" s="1"/>
  <c r="R144" i="14"/>
  <c r="U59" i="13" s="1"/>
  <c r="T48" i="28" s="1"/>
  <c r="S84" i="14"/>
  <c r="V53" i="13" s="1"/>
  <c r="U48" i="22" s="1"/>
  <c r="U14" i="14"/>
  <c r="X46" i="13" s="1"/>
  <c r="W48" i="15" s="1"/>
  <c r="T94" i="14"/>
  <c r="W54" i="13" s="1"/>
  <c r="V48" i="23" s="1"/>
  <c r="J4864" i="49"/>
  <c r="Q4864" i="49" s="1"/>
  <c r="J4858" i="49"/>
  <c r="Q4858" i="49" s="1"/>
  <c r="J2886" i="49"/>
  <c r="Q2886" i="49" s="1"/>
  <c r="J2892" i="49"/>
  <c r="Q2892" i="49" s="1"/>
  <c r="J812" i="49"/>
  <c r="Q812" i="49" s="1"/>
  <c r="J818" i="49"/>
  <c r="Q818" i="49" s="1"/>
  <c r="J2876" i="49"/>
  <c r="Q2876" i="49" s="1"/>
  <c r="J2877" i="49"/>
  <c r="Q2877" i="49" s="1"/>
  <c r="J3464" i="49"/>
  <c r="Q3464" i="49" s="1"/>
  <c r="J3470" i="49"/>
  <c r="Q3470" i="49" s="1"/>
  <c r="Q2307" i="49"/>
  <c r="J2307" i="49"/>
  <c r="J1431" i="49"/>
  <c r="Q1431" i="49" s="1"/>
  <c r="J1432" i="49"/>
  <c r="Q1432" i="49"/>
  <c r="J2578" i="49"/>
  <c r="Q2578" i="49" s="1"/>
  <c r="J1447" i="49"/>
  <c r="Q1447" i="49" s="1"/>
  <c r="Q1441" i="49"/>
  <c r="J1441" i="49"/>
  <c r="J1117" i="49"/>
  <c r="Q1117" i="49" s="1"/>
  <c r="J1440" i="49"/>
  <c r="Q1440" i="49" s="1"/>
  <c r="J1108" i="49"/>
  <c r="Q1108" i="49" s="1"/>
  <c r="J1109" i="49"/>
  <c r="Q1109" i="49"/>
  <c r="J827" i="49"/>
  <c r="Q827" i="49" s="1"/>
  <c r="J1729" i="49"/>
  <c r="Q1729" i="49" s="1"/>
  <c r="J2885" i="49"/>
  <c r="Q2885" i="49" s="1"/>
  <c r="J4296" i="49"/>
  <c r="Q4296" i="49"/>
  <c r="J2298" i="49"/>
  <c r="Q2298" i="49" s="1"/>
  <c r="J2299" i="49"/>
  <c r="Q2299" i="49" s="1"/>
  <c r="J4857" i="49"/>
  <c r="Q4857" i="49" s="1"/>
  <c r="J1730" i="49"/>
  <c r="Q1730" i="49" s="1"/>
  <c r="J1736" i="49"/>
  <c r="Q1736" i="49" s="1"/>
  <c r="J5171" i="49"/>
  <c r="Q5171" i="49" s="1"/>
  <c r="J5172" i="49"/>
  <c r="Q5172" i="49" s="1"/>
  <c r="J3640" i="49"/>
  <c r="Q3640" i="49"/>
  <c r="J3634" i="49"/>
  <c r="Q3634" i="49" s="1"/>
  <c r="J4568" i="49"/>
  <c r="Q4568" i="49" s="1"/>
  <c r="F233" i="50"/>
  <c r="J5179" i="49"/>
  <c r="Q5179" i="49" s="1"/>
  <c r="J4014" i="49"/>
  <c r="Q4014" i="49"/>
  <c r="J4008" i="49"/>
  <c r="Q4008" i="49"/>
  <c r="Q3998" i="49"/>
  <c r="J3998" i="49"/>
  <c r="J3999" i="49"/>
  <c r="Q3999" i="49" s="1"/>
  <c r="J3053" i="49"/>
  <c r="Q3053" i="49" s="1"/>
  <c r="F163" i="50"/>
  <c r="J3046" i="49"/>
  <c r="Q3046" i="49" s="1"/>
  <c r="F156" i="50"/>
  <c r="J3047" i="49"/>
  <c r="Q3047" i="49" s="1"/>
  <c r="F157" i="50"/>
  <c r="J1907" i="49"/>
  <c r="Q1907" i="49"/>
  <c r="Q1908" i="49"/>
  <c r="J1908" i="49"/>
  <c r="J4297" i="49"/>
  <c r="Q4297" i="49" s="1"/>
  <c r="J4303" i="49"/>
  <c r="Q4303" i="49" s="1"/>
  <c r="J1132" i="49"/>
  <c r="Q1132" i="49" s="1"/>
  <c r="J3463" i="49"/>
  <c r="Q3463" i="49" s="1"/>
  <c r="J4872" i="49"/>
  <c r="Q4872" i="49" s="1"/>
  <c r="Q4022" i="49"/>
  <c r="J4022" i="49"/>
  <c r="J3633" i="49"/>
  <c r="Q3633" i="49" s="1"/>
  <c r="J3454" i="49"/>
  <c r="Q3454" i="49" s="1"/>
  <c r="Q3455" i="49"/>
  <c r="J3455" i="49"/>
  <c r="J3639" i="49"/>
  <c r="Q3639" i="49" s="1"/>
  <c r="G49" i="1"/>
  <c r="H49" i="1" s="1"/>
  <c r="L49" i="1" s="1"/>
  <c r="J3638" i="49"/>
  <c r="Q3638" i="49" s="1"/>
  <c r="J3637" i="49"/>
  <c r="Q3637" i="49"/>
  <c r="W82" i="13"/>
  <c r="V64" i="23" s="1"/>
  <c r="V76" i="23" s="1"/>
  <c r="V77" i="23" s="1"/>
  <c r="U87" i="14"/>
  <c r="W84" i="13"/>
  <c r="V64" i="25" s="1"/>
  <c r="V76" i="25" s="1"/>
  <c r="V77" i="25" s="1"/>
  <c r="U107" i="14"/>
  <c r="W77" i="13"/>
  <c r="V64" i="18" s="1"/>
  <c r="V76" i="18" s="1"/>
  <c r="V77" i="18" s="1"/>
  <c r="U37" i="14"/>
  <c r="U75" i="13"/>
  <c r="T64" i="16" s="1"/>
  <c r="S17" i="14"/>
  <c r="J225" i="49"/>
  <c r="Q225" i="49"/>
  <c r="E225" i="50"/>
  <c r="Y79" i="13"/>
  <c r="X64" i="20" s="1"/>
  <c r="X76" i="20" s="1"/>
  <c r="X77" i="20" s="1"/>
  <c r="W57" i="14"/>
  <c r="Y83" i="13"/>
  <c r="X64" i="24" s="1"/>
  <c r="X76" i="24" s="1"/>
  <c r="X77" i="24" s="1"/>
  <c r="W97" i="14"/>
  <c r="R67" i="30"/>
  <c r="R68" i="30" s="1"/>
  <c r="U67" i="23"/>
  <c r="U68" i="23" s="1"/>
  <c r="W80" i="13"/>
  <c r="V64" i="21" s="1"/>
  <c r="V76" i="21" s="1"/>
  <c r="V77" i="21" s="1"/>
  <c r="U67" i="14"/>
  <c r="T74" i="14"/>
  <c r="W52" i="13" s="1"/>
  <c r="V48" i="21" s="1"/>
  <c r="R67" i="16"/>
  <c r="R68" i="16" s="1"/>
  <c r="S28" i="14"/>
  <c r="S29" i="14" s="1"/>
  <c r="S30" i="14" s="1"/>
  <c r="W54" i="24"/>
  <c r="W86" i="24" s="1"/>
  <c r="O14" i="52"/>
  <c r="H232" i="49"/>
  <c r="R54" i="8"/>
  <c r="R56" i="8" s="1"/>
  <c r="U67" i="25"/>
  <c r="U68" i="25" s="1"/>
  <c r="O111" i="13"/>
  <c r="N61" i="24" s="1"/>
  <c r="L103" i="14"/>
  <c r="U86" i="21"/>
  <c r="N76" i="24"/>
  <c r="N77" i="24" s="1"/>
  <c r="N64" i="8"/>
  <c r="N76" i="8" s="1"/>
  <c r="N77" i="8" s="1"/>
  <c r="W50" i="15"/>
  <c r="W52" i="15"/>
  <c r="J217" i="49"/>
  <c r="Q217" i="49" s="1"/>
  <c r="E217" i="50"/>
  <c r="T54" i="22"/>
  <c r="T56" i="22"/>
  <c r="U67" i="18"/>
  <c r="U68" i="18" s="1"/>
  <c r="J15" i="52"/>
  <c r="H148" i="49"/>
  <c r="M87" i="8"/>
  <c r="S86" i="17"/>
  <c r="V50" i="23"/>
  <c r="V52" i="23"/>
  <c r="X74" i="13"/>
  <c r="W64" i="15" s="1"/>
  <c r="W76" i="15" s="1"/>
  <c r="W77" i="15" s="1"/>
  <c r="V7" i="14"/>
  <c r="J223" i="49"/>
  <c r="Q223" i="49"/>
  <c r="E223" i="50"/>
  <c r="U86" i="18"/>
  <c r="M56" i="8"/>
  <c r="S54" i="16"/>
  <c r="S56" i="16" s="1"/>
  <c r="S169" i="14"/>
  <c r="S170" i="14" s="1"/>
  <c r="U86" i="19"/>
  <c r="Q154" i="14"/>
  <c r="T60" i="13" s="1"/>
  <c r="S48" i="29" s="1"/>
  <c r="V81" i="13"/>
  <c r="U64" i="22" s="1"/>
  <c r="U76" i="22" s="1"/>
  <c r="U77" i="22" s="1"/>
  <c r="T77" i="14"/>
  <c r="J140" i="49"/>
  <c r="Q140" i="49" s="1"/>
  <c r="E140" i="50"/>
  <c r="G140" i="50" s="1"/>
  <c r="H140" i="50" s="1"/>
  <c r="J216" i="49"/>
  <c r="Q216" i="49"/>
  <c r="E216" i="50"/>
  <c r="G216" i="50" s="1"/>
  <c r="H216" i="50" s="1"/>
  <c r="V54" i="19"/>
  <c r="V86" i="19" s="1"/>
  <c r="V56" i="19"/>
  <c r="V67" i="19" s="1"/>
  <c r="V68" i="19" s="1"/>
  <c r="U86" i="23"/>
  <c r="S86" i="28"/>
  <c r="J147" i="49"/>
  <c r="Q147" i="49" s="1"/>
  <c r="E147" i="50"/>
  <c r="G147" i="50" s="1"/>
  <c r="H147" i="50" s="1"/>
  <c r="R86" i="30"/>
  <c r="T44" i="14"/>
  <c r="W49" i="13" s="1"/>
  <c r="V48" i="18" s="1"/>
  <c r="U67" i="19"/>
  <c r="U68" i="19" s="1"/>
  <c r="U49" i="14"/>
  <c r="U50" i="14" s="1"/>
  <c r="U48" i="14"/>
  <c r="N28" i="52"/>
  <c r="N29" i="52" s="1"/>
  <c r="N67" i="26"/>
  <c r="N68" i="26" s="1"/>
  <c r="Y50" i="26"/>
  <c r="K21" i="4" s="1"/>
  <c r="Y52" i="26"/>
  <c r="R86" i="29"/>
  <c r="T88" i="13"/>
  <c r="S64" i="29" s="1"/>
  <c r="R147" i="14"/>
  <c r="T54" i="31"/>
  <c r="T56" i="31" s="1"/>
  <c r="S67" i="27"/>
  <c r="S68" i="27" s="1"/>
  <c r="R56" i="29"/>
  <c r="V104" i="14"/>
  <c r="Y55" i="13" s="1"/>
  <c r="X48" i="24" s="1"/>
  <c r="N50" i="24"/>
  <c r="N52" i="24"/>
  <c r="N48" i="8"/>
  <c r="U56" i="21"/>
  <c r="S67" i="28"/>
  <c r="S68" i="28" s="1"/>
  <c r="T50" i="17"/>
  <c r="T52" i="17"/>
  <c r="V56" i="15"/>
  <c r="V67" i="15" s="1"/>
  <c r="V68" i="15" s="1"/>
  <c r="R158" i="14"/>
  <c r="U50" i="22"/>
  <c r="U52" i="22"/>
  <c r="S129" i="14"/>
  <c r="S128" i="14"/>
  <c r="S134" i="14" s="1"/>
  <c r="V58" i="13" s="1"/>
  <c r="U48" i="27" s="1"/>
  <c r="S130" i="14"/>
  <c r="U86" i="25"/>
  <c r="S50" i="30"/>
  <c r="S52" i="30"/>
  <c r="W54" i="20"/>
  <c r="W86" i="20" s="1"/>
  <c r="W56" i="20"/>
  <c r="W67" i="20" s="1"/>
  <c r="W68" i="20" s="1"/>
  <c r="V64" i="14"/>
  <c r="Y51" i="13" s="1"/>
  <c r="X48" i="20" s="1"/>
  <c r="T50" i="27"/>
  <c r="T52" i="27"/>
  <c r="R24" i="14"/>
  <c r="U47" i="13" s="1"/>
  <c r="T48" i="16" s="1"/>
  <c r="N86" i="26"/>
  <c r="J139" i="49"/>
  <c r="Q139" i="49"/>
  <c r="E139" i="50"/>
  <c r="G139" i="50" s="1"/>
  <c r="H139" i="50" s="1"/>
  <c r="T50" i="28"/>
  <c r="T52" i="28"/>
  <c r="N27" i="52"/>
  <c r="H224" i="49"/>
  <c r="T114" i="14"/>
  <c r="W56" i="13" s="1"/>
  <c r="V48" i="25" s="1"/>
  <c r="J231" i="49"/>
  <c r="Q231" i="49" s="1"/>
  <c r="E231" i="50"/>
  <c r="G231" i="50" s="1"/>
  <c r="H231" i="50" s="1"/>
  <c r="U87" i="13"/>
  <c r="T64" i="28" s="1"/>
  <c r="T76" i="28" s="1"/>
  <c r="T77" i="28" s="1"/>
  <c r="S137" i="14"/>
  <c r="S56" i="17"/>
  <c r="H4311" i="49"/>
  <c r="H2594" i="49"/>
  <c r="H820" i="49"/>
  <c r="H819" i="49"/>
  <c r="H1449" i="49"/>
  <c r="H1448" i="49"/>
  <c r="H5180" i="49"/>
  <c r="H1738" i="49"/>
  <c r="H1737" i="49"/>
  <c r="H5181" i="49"/>
  <c r="H5187" i="49"/>
  <c r="H4575" i="49"/>
  <c r="H4569" i="49"/>
  <c r="H843" i="49"/>
  <c r="H828" i="49"/>
  <c r="H4023" i="49"/>
  <c r="H4039" i="49"/>
  <c r="H3054" i="49"/>
  <c r="H4866" i="49"/>
  <c r="H4865" i="49"/>
  <c r="H2894" i="49"/>
  <c r="H2893" i="49"/>
  <c r="H4305" i="49"/>
  <c r="H4304" i="49"/>
  <c r="H1133" i="49"/>
  <c r="H4016" i="49"/>
  <c r="H4015" i="49"/>
  <c r="H2314" i="49"/>
  <c r="H2308" i="49"/>
  <c r="H3472" i="49"/>
  <c r="H3471" i="49"/>
  <c r="H2579" i="49"/>
  <c r="H3057" i="49"/>
  <c r="H2586" i="49"/>
  <c r="H2580" i="49"/>
  <c r="H4873" i="49"/>
  <c r="H4312" i="49"/>
  <c r="H3642" i="49"/>
  <c r="H3641" i="49"/>
  <c r="H4583" i="49"/>
  <c r="H1118" i="49"/>
  <c r="H1124" i="49"/>
  <c r="H2595" i="49"/>
  <c r="H835" i="49"/>
  <c r="H829" i="49"/>
  <c r="J2594" i="49" l="1"/>
  <c r="Q2594" i="49" s="1"/>
  <c r="J4311" i="49"/>
  <c r="Q4311" i="49" s="1"/>
  <c r="U54" i="14"/>
  <c r="X50" i="13" s="1"/>
  <c r="W48" i="19" s="1"/>
  <c r="S174" i="14"/>
  <c r="V62" i="13" s="1"/>
  <c r="U48" i="31" s="1"/>
  <c r="J829" i="49"/>
  <c r="Q829" i="49" s="1"/>
  <c r="J835" i="49"/>
  <c r="Q835" i="49"/>
  <c r="J2595" i="49"/>
  <c r="Q2595" i="49" s="1"/>
  <c r="J1124" i="49"/>
  <c r="Q1124" i="49" s="1"/>
  <c r="J1118" i="49"/>
  <c r="Q1118" i="49" s="1"/>
  <c r="J4583" i="49"/>
  <c r="Q4583" i="49"/>
  <c r="J3641" i="49"/>
  <c r="Q3641" i="49" s="1"/>
  <c r="J3642" i="49"/>
  <c r="Q3642" i="49" s="1"/>
  <c r="J4312" i="49"/>
  <c r="Q4312" i="49" s="1"/>
  <c r="J4873" i="49"/>
  <c r="Q4873" i="49" s="1"/>
  <c r="J2580" i="49"/>
  <c r="Q2580" i="49" s="1"/>
  <c r="J2586" i="49"/>
  <c r="Q2586" i="49" s="1"/>
  <c r="J3057" i="49"/>
  <c r="Q3057" i="49" s="1"/>
  <c r="F167" i="50"/>
  <c r="J2579" i="49"/>
  <c r="Q2579" i="49" s="1"/>
  <c r="J3471" i="49"/>
  <c r="Q3471" i="49" s="1"/>
  <c r="Q3472" i="49"/>
  <c r="J3472" i="49"/>
  <c r="J2308" i="49"/>
  <c r="Q2308" i="49"/>
  <c r="J2314" i="49"/>
  <c r="Q2314" i="49"/>
  <c r="J4015" i="49"/>
  <c r="Q4015" i="49" s="1"/>
  <c r="J4016" i="49"/>
  <c r="Q4016" i="49" s="1"/>
  <c r="J1133" i="49"/>
  <c r="Q1133" i="49" s="1"/>
  <c r="J4304" i="49"/>
  <c r="Q4304" i="49" s="1"/>
  <c r="J4305" i="49"/>
  <c r="Q4305" i="49" s="1"/>
  <c r="J2893" i="49"/>
  <c r="Q2893" i="49" s="1"/>
  <c r="J2894" i="49"/>
  <c r="Q2894" i="49" s="1"/>
  <c r="J4865" i="49"/>
  <c r="Q4865" i="49" s="1"/>
  <c r="J4866" i="49"/>
  <c r="Q4866" i="49" s="1"/>
  <c r="J3054" i="49"/>
  <c r="Q3054" i="49" s="1"/>
  <c r="F164" i="50"/>
  <c r="J4039" i="49"/>
  <c r="Q4039" i="49" s="1"/>
  <c r="J4023" i="49"/>
  <c r="Q4023" i="49" s="1"/>
  <c r="J828" i="49"/>
  <c r="Q828" i="49" s="1"/>
  <c r="Q843" i="49"/>
  <c r="J843" i="49"/>
  <c r="J4569" i="49"/>
  <c r="Q4569" i="49" s="1"/>
  <c r="J4575" i="49"/>
  <c r="Q4575" i="49" s="1"/>
  <c r="F240" i="50"/>
  <c r="J5187" i="49"/>
  <c r="Q5187" i="49" s="1"/>
  <c r="J5181" i="49"/>
  <c r="Q5181" i="49"/>
  <c r="J1737" i="49"/>
  <c r="Q1737" i="49" s="1"/>
  <c r="J1738" i="49"/>
  <c r="Q1738" i="49" s="1"/>
  <c r="J5180" i="49"/>
  <c r="Q5180" i="49"/>
  <c r="J1448" i="49"/>
  <c r="Q1448" i="49" s="1"/>
  <c r="J1449" i="49"/>
  <c r="Q1449" i="49" s="1"/>
  <c r="J819" i="49"/>
  <c r="Q819" i="49" s="1"/>
  <c r="J820" i="49"/>
  <c r="Q820" i="49" s="1"/>
  <c r="S67" i="16"/>
  <c r="S68" i="16" s="1"/>
  <c r="V76" i="13"/>
  <c r="U64" i="17" s="1"/>
  <c r="U76" i="17" s="1"/>
  <c r="U77" i="17" s="1"/>
  <c r="T27" i="14"/>
  <c r="U54" i="22"/>
  <c r="X50" i="24"/>
  <c r="X52" i="24"/>
  <c r="S67" i="17"/>
  <c r="S68" i="17" s="1"/>
  <c r="J232" i="49"/>
  <c r="Q232" i="49" s="1"/>
  <c r="E232" i="50"/>
  <c r="G232" i="50" s="1"/>
  <c r="H232" i="50" s="1"/>
  <c r="S138" i="14"/>
  <c r="S50" i="29"/>
  <c r="S52" i="29"/>
  <c r="S48" i="8"/>
  <c r="O26" i="52"/>
  <c r="O16" i="52"/>
  <c r="H240" i="49"/>
  <c r="H234" i="49"/>
  <c r="R67" i="8"/>
  <c r="R68" i="8" s="1"/>
  <c r="W98" i="14"/>
  <c r="X50" i="20"/>
  <c r="X52" i="20"/>
  <c r="T54" i="28"/>
  <c r="T56" i="28" s="1"/>
  <c r="S54" i="30"/>
  <c r="S56" i="30" s="1"/>
  <c r="R148" i="14"/>
  <c r="R149" i="14"/>
  <c r="R150" i="14" s="1"/>
  <c r="T67" i="22"/>
  <c r="T68" i="22" s="1"/>
  <c r="N63" i="24"/>
  <c r="N61" i="8"/>
  <c r="V50" i="21"/>
  <c r="V52" i="21"/>
  <c r="S18" i="14"/>
  <c r="S19" i="14" s="1"/>
  <c r="S20" i="14" s="1"/>
  <c r="T86" i="22"/>
  <c r="U69" i="14"/>
  <c r="U70" i="14" s="1"/>
  <c r="U68" i="14"/>
  <c r="U74" i="14" s="1"/>
  <c r="X52" i="13" s="1"/>
  <c r="W48" i="21" s="1"/>
  <c r="T76" i="16"/>
  <c r="T77" i="16" s="1"/>
  <c r="U67" i="21"/>
  <c r="U68" i="21" s="1"/>
  <c r="W54" i="15"/>
  <c r="W86" i="15" s="1"/>
  <c r="U89" i="14"/>
  <c r="U90" i="14" s="1"/>
  <c r="U88" i="14"/>
  <c r="U94" i="14" s="1"/>
  <c r="X54" i="13" s="1"/>
  <c r="W48" i="23" s="1"/>
  <c r="W56" i="24"/>
  <c r="W67" i="24" s="1"/>
  <c r="W68" i="24" s="1"/>
  <c r="W50" i="19"/>
  <c r="W52" i="19"/>
  <c r="R159" i="14"/>
  <c r="R160" i="14" s="1"/>
  <c r="J26" i="52"/>
  <c r="J16" i="52"/>
  <c r="H149" i="49"/>
  <c r="H155" i="49"/>
  <c r="M67" i="8"/>
  <c r="M68" i="8" s="1"/>
  <c r="J148" i="49"/>
  <c r="Q148" i="49" s="1"/>
  <c r="E148" i="50"/>
  <c r="G148" i="50" s="1"/>
  <c r="H148" i="50" s="1"/>
  <c r="S34" i="14"/>
  <c r="V48" i="13" s="1"/>
  <c r="U48" i="17" s="1"/>
  <c r="T54" i="17"/>
  <c r="S76" i="29"/>
  <c r="S77" i="29" s="1"/>
  <c r="S64" i="8"/>
  <c r="S76" i="8" s="1"/>
  <c r="S77" i="8" s="1"/>
  <c r="T78" i="14"/>
  <c r="T79" i="14"/>
  <c r="T80" i="14" s="1"/>
  <c r="V8" i="14"/>
  <c r="V9" i="14"/>
  <c r="V10" i="14" s="1"/>
  <c r="O15" i="52"/>
  <c r="H233" i="49"/>
  <c r="R87" i="8"/>
  <c r="U39" i="14"/>
  <c r="U40" i="14" s="1"/>
  <c r="U38" i="14"/>
  <c r="U44" i="14" s="1"/>
  <c r="X49" i="13" s="1"/>
  <c r="W48" i="18" s="1"/>
  <c r="K13" i="52"/>
  <c r="H163" i="49"/>
  <c r="N50" i="8"/>
  <c r="N52" i="8"/>
  <c r="V54" i="23"/>
  <c r="V86" i="23" s="1"/>
  <c r="N56" i="24"/>
  <c r="N54" i="24"/>
  <c r="U50" i="31"/>
  <c r="U52" i="31"/>
  <c r="X78" i="13"/>
  <c r="W64" i="19" s="1"/>
  <c r="W76" i="19" s="1"/>
  <c r="W77" i="19" s="1"/>
  <c r="V47" i="14"/>
  <c r="W58" i="14"/>
  <c r="V86" i="13"/>
  <c r="U64" i="27" s="1"/>
  <c r="U76" i="27" s="1"/>
  <c r="U77" i="27" s="1"/>
  <c r="T127" i="14"/>
  <c r="U50" i="27"/>
  <c r="U52" i="27"/>
  <c r="U109" i="14"/>
  <c r="U110" i="14" s="1"/>
  <c r="U108" i="14"/>
  <c r="U114" i="14" s="1"/>
  <c r="X56" i="13" s="1"/>
  <c r="W48" i="25" s="1"/>
  <c r="V90" i="13"/>
  <c r="U64" i="31" s="1"/>
  <c r="U76" i="31" s="1"/>
  <c r="U77" i="31" s="1"/>
  <c r="T167" i="14"/>
  <c r="T54" i="27"/>
  <c r="T56" i="27" s="1"/>
  <c r="S86" i="16"/>
  <c r="V50" i="25"/>
  <c r="V52" i="25"/>
  <c r="Y54" i="26"/>
  <c r="Y86" i="26" s="1"/>
  <c r="I21" i="4"/>
  <c r="T50" i="16"/>
  <c r="T52" i="16"/>
  <c r="R67" i="29"/>
  <c r="R68" i="29" s="1"/>
  <c r="J224" i="49"/>
  <c r="Q224" i="49" s="1"/>
  <c r="E224" i="50"/>
  <c r="G224" i="50" s="1"/>
  <c r="H224" i="50" s="1"/>
  <c r="T67" i="31"/>
  <c r="T68" i="31" s="1"/>
  <c r="T86" i="31"/>
  <c r="V50" i="18"/>
  <c r="V52" i="18"/>
  <c r="H5195" i="49"/>
  <c r="H3055" i="49"/>
  <c r="H837" i="49"/>
  <c r="H836" i="49"/>
  <c r="H2588" i="49"/>
  <c r="H2587" i="49"/>
  <c r="H1134" i="49"/>
  <c r="H844" i="49"/>
  <c r="H4881" i="49"/>
  <c r="H4875" i="49"/>
  <c r="H5189" i="49"/>
  <c r="H5188" i="49"/>
  <c r="H4024" i="49"/>
  <c r="H2596" i="49"/>
  <c r="H4313" i="49"/>
  <c r="H4874" i="49"/>
  <c r="H3056" i="49"/>
  <c r="H3062" i="49"/>
  <c r="H4040" i="49"/>
  <c r="H3061" i="49"/>
  <c r="H3059" i="49"/>
  <c r="H3060" i="49"/>
  <c r="H2316" i="49"/>
  <c r="H2315" i="49"/>
  <c r="H1149" i="49"/>
  <c r="H5196" i="49"/>
  <c r="H4584" i="49"/>
  <c r="H4577" i="49"/>
  <c r="H4576" i="49"/>
  <c r="H1126" i="49"/>
  <c r="H1125" i="49"/>
  <c r="H4314" i="49"/>
  <c r="H4320" i="49"/>
  <c r="H4025" i="49"/>
  <c r="H4031" i="49"/>
  <c r="J5195" i="49" l="1"/>
  <c r="Q5195" i="49" s="1"/>
  <c r="V56" i="23"/>
  <c r="V67" i="23" s="1"/>
  <c r="V68" i="23" s="1"/>
  <c r="J4031" i="49"/>
  <c r="Q4031" i="49" s="1"/>
  <c r="J4025" i="49"/>
  <c r="Q4025" i="49" s="1"/>
  <c r="J4320" i="49"/>
  <c r="Q4320" i="49" s="1"/>
  <c r="J4314" i="49"/>
  <c r="Q4314" i="49"/>
  <c r="J1125" i="49"/>
  <c r="Q1125" i="49" s="1"/>
  <c r="J1126" i="49"/>
  <c r="Q1126" i="49" s="1"/>
  <c r="J4576" i="49"/>
  <c r="Q4576" i="49" s="1"/>
  <c r="F241" i="50"/>
  <c r="J4577" i="49"/>
  <c r="Q4577" i="49" s="1"/>
  <c r="J4584" i="49"/>
  <c r="Q4584" i="49" s="1"/>
  <c r="F249" i="50"/>
  <c r="J5196" i="49"/>
  <c r="Q5196" i="49" s="1"/>
  <c r="J1149" i="49"/>
  <c r="Q1149" i="49" s="1"/>
  <c r="J2315" i="49"/>
  <c r="Q2315" i="49" s="1"/>
  <c r="J2316" i="49"/>
  <c r="Q2316" i="49" s="1"/>
  <c r="J3060" i="49"/>
  <c r="Q3060" i="49" s="1"/>
  <c r="F170" i="50"/>
  <c r="J3059" i="49"/>
  <c r="Q3059" i="49" s="1"/>
  <c r="F169" i="50"/>
  <c r="J3061" i="49"/>
  <c r="Q3061" i="49" s="1"/>
  <c r="G47" i="1"/>
  <c r="H47" i="1" s="1"/>
  <c r="L47" i="1" s="1"/>
  <c r="F171" i="50"/>
  <c r="J4040" i="49"/>
  <c r="Q4040" i="49" s="1"/>
  <c r="J3062" i="49"/>
  <c r="Q3062" i="49" s="1"/>
  <c r="J3056" i="49"/>
  <c r="Q3056" i="49" s="1"/>
  <c r="F166" i="50"/>
  <c r="J4874" i="49"/>
  <c r="Q4874" i="49" s="1"/>
  <c r="J4313" i="49"/>
  <c r="Q4313" i="49" s="1"/>
  <c r="J2596" i="49"/>
  <c r="Q2596" i="49" s="1"/>
  <c r="J4024" i="49"/>
  <c r="Q4024" i="49"/>
  <c r="J5188" i="49"/>
  <c r="Q5188" i="49"/>
  <c r="J5189" i="49"/>
  <c r="Q5189" i="49" s="1"/>
  <c r="J4875" i="49"/>
  <c r="Q4875" i="49" s="1"/>
  <c r="J4881" i="49"/>
  <c r="Q4881" i="49" s="1"/>
  <c r="J844" i="49"/>
  <c r="Q844" i="49" s="1"/>
  <c r="J1134" i="49"/>
  <c r="Q1134" i="49" s="1"/>
  <c r="J2587" i="49"/>
  <c r="Q2587" i="49" s="1"/>
  <c r="J2588" i="49"/>
  <c r="Q2588" i="49" s="1"/>
  <c r="J836" i="49"/>
  <c r="Q836" i="49" s="1"/>
  <c r="J837" i="49"/>
  <c r="Q837" i="49" s="1"/>
  <c r="J3055" i="49"/>
  <c r="Q3055" i="49" s="1"/>
  <c r="F165" i="50"/>
  <c r="Y74" i="13"/>
  <c r="X64" i="15" s="1"/>
  <c r="X76" i="15" s="1"/>
  <c r="X77" i="15" s="1"/>
  <c r="W7" i="14"/>
  <c r="W81" i="13"/>
  <c r="V64" i="22" s="1"/>
  <c r="V76" i="22" s="1"/>
  <c r="V77" i="22" s="1"/>
  <c r="U77" i="14"/>
  <c r="T67" i="27"/>
  <c r="T68" i="27" s="1"/>
  <c r="X77" i="13"/>
  <c r="W64" i="18" s="1"/>
  <c r="W76" i="18" s="1"/>
  <c r="W77" i="18" s="1"/>
  <c r="V37" i="14"/>
  <c r="X82" i="13"/>
  <c r="W64" i="23" s="1"/>
  <c r="W76" i="23" s="1"/>
  <c r="W77" i="23" s="1"/>
  <c r="V87" i="14"/>
  <c r="T67" i="28"/>
  <c r="T68" i="28" s="1"/>
  <c r="V75" i="13"/>
  <c r="U64" i="16" s="1"/>
  <c r="T17" i="14"/>
  <c r="J155" i="49"/>
  <c r="Q155" i="49" s="1"/>
  <c r="E155" i="50"/>
  <c r="G155" i="50" s="1"/>
  <c r="H155" i="50" s="1"/>
  <c r="W50" i="23"/>
  <c r="W52" i="23"/>
  <c r="T84" i="14"/>
  <c r="W53" i="13" s="1"/>
  <c r="V48" i="22" s="1"/>
  <c r="V54" i="21"/>
  <c r="V86" i="21" s="1"/>
  <c r="V56" i="21"/>
  <c r="V67" i="21" s="1"/>
  <c r="V68" i="21" s="1"/>
  <c r="V48" i="14"/>
  <c r="V49" i="14"/>
  <c r="V50" i="14" s="1"/>
  <c r="J149" i="49"/>
  <c r="Q149" i="49" s="1"/>
  <c r="E149" i="50"/>
  <c r="G149" i="50" s="1"/>
  <c r="H149" i="50" s="1"/>
  <c r="S54" i="29"/>
  <c r="S56" i="29"/>
  <c r="U54" i="31"/>
  <c r="J28" i="52"/>
  <c r="J29" i="52" s="1"/>
  <c r="V54" i="18"/>
  <c r="V86" i="18" s="1"/>
  <c r="V56" i="18"/>
  <c r="V67" i="18" s="1"/>
  <c r="V68" i="18" s="1"/>
  <c r="U50" i="17"/>
  <c r="U52" i="17"/>
  <c r="W50" i="21"/>
  <c r="W52" i="21"/>
  <c r="U88" i="13"/>
  <c r="T64" i="29" s="1"/>
  <c r="S147" i="14"/>
  <c r="O27" i="52"/>
  <c r="H241" i="49"/>
  <c r="Y56" i="26"/>
  <c r="Y67" i="26" s="1"/>
  <c r="Y68" i="26" s="1"/>
  <c r="R164" i="14"/>
  <c r="U61" i="13" s="1"/>
  <c r="T48" i="30" s="1"/>
  <c r="R154" i="14"/>
  <c r="U60" i="13" s="1"/>
  <c r="T48" i="29" s="1"/>
  <c r="H242" i="49"/>
  <c r="U54" i="27"/>
  <c r="U56" i="27"/>
  <c r="N67" i="24"/>
  <c r="N68" i="24" s="1"/>
  <c r="V54" i="25"/>
  <c r="V86" i="25" s="1"/>
  <c r="T129" i="14"/>
  <c r="T130" i="14" s="1"/>
  <c r="T128" i="14"/>
  <c r="T134" i="14" s="1"/>
  <c r="W58" i="13" s="1"/>
  <c r="V48" i="27" s="1"/>
  <c r="S86" i="30"/>
  <c r="J234" i="49"/>
  <c r="Q234" i="49" s="1"/>
  <c r="E234" i="50"/>
  <c r="K14" i="52"/>
  <c r="H164" i="49"/>
  <c r="N54" i="8"/>
  <c r="J240" i="49"/>
  <c r="Q240" i="49" s="1"/>
  <c r="E240" i="50"/>
  <c r="G240" i="50" s="1"/>
  <c r="H240" i="50" s="1"/>
  <c r="V14" i="14"/>
  <c r="Y46" i="13" s="1"/>
  <c r="X48" i="15" s="1"/>
  <c r="J27" i="52"/>
  <c r="H156" i="49"/>
  <c r="X54" i="24"/>
  <c r="X86" i="24" s="1"/>
  <c r="X56" i="24"/>
  <c r="X67" i="24" s="1"/>
  <c r="X68" i="24" s="1"/>
  <c r="J163" i="49"/>
  <c r="Q163" i="49"/>
  <c r="E163" i="50"/>
  <c r="G163" i="50" s="1"/>
  <c r="H163" i="50" s="1"/>
  <c r="T86" i="28"/>
  <c r="O28" i="52"/>
  <c r="O29" i="52" s="1"/>
  <c r="U86" i="22"/>
  <c r="T86" i="27"/>
  <c r="H157" i="49"/>
  <c r="S24" i="14"/>
  <c r="V47" i="13" s="1"/>
  <c r="U48" i="16" s="1"/>
  <c r="W59" i="14"/>
  <c r="W60" i="14" s="1"/>
  <c r="Z79" i="13" s="1"/>
  <c r="Y64" i="20" s="1"/>
  <c r="Y76" i="20" s="1"/>
  <c r="Y77" i="20" s="1"/>
  <c r="G15" i="4" s="1"/>
  <c r="T168" i="14"/>
  <c r="T169" i="14" s="1"/>
  <c r="T170" i="14" s="1"/>
  <c r="S67" i="30"/>
  <c r="S68" i="30" s="1"/>
  <c r="P13" i="52"/>
  <c r="H248" i="49"/>
  <c r="S50" i="8"/>
  <c r="S52" i="8"/>
  <c r="U56" i="22"/>
  <c r="W50" i="18"/>
  <c r="W52" i="18"/>
  <c r="W56" i="15"/>
  <c r="W67" i="15" s="1"/>
  <c r="W68" i="15" s="1"/>
  <c r="X54" i="20"/>
  <c r="X86" i="20" s="1"/>
  <c r="T54" i="16"/>
  <c r="T56" i="16"/>
  <c r="K19" i="52"/>
  <c r="N63" i="8"/>
  <c r="N60" i="8" s="1"/>
  <c r="H167" i="49"/>
  <c r="T28" i="14"/>
  <c r="T29" i="14" s="1"/>
  <c r="T30" i="14" s="1"/>
  <c r="W50" i="25"/>
  <c r="W52" i="25"/>
  <c r="X84" i="13"/>
  <c r="W64" i="25" s="1"/>
  <c r="W76" i="25" s="1"/>
  <c r="W77" i="25" s="1"/>
  <c r="V107" i="14"/>
  <c r="T86" i="17"/>
  <c r="U89" i="13"/>
  <c r="T64" i="30" s="1"/>
  <c r="T76" i="30" s="1"/>
  <c r="T77" i="30" s="1"/>
  <c r="S157" i="14"/>
  <c r="W104" i="14"/>
  <c r="Z55" i="13" s="1"/>
  <c r="Y48" i="24" s="1"/>
  <c r="S144" i="14"/>
  <c r="V59" i="13" s="1"/>
  <c r="U48" i="28" s="1"/>
  <c r="N86" i="24"/>
  <c r="J233" i="49"/>
  <c r="Q233" i="49" s="1"/>
  <c r="E233" i="50"/>
  <c r="G233" i="50" s="1"/>
  <c r="H233" i="50" s="1"/>
  <c r="T56" i="17"/>
  <c r="W54" i="19"/>
  <c r="W86" i="19" s="1"/>
  <c r="W56" i="19"/>
  <c r="W67" i="19" s="1"/>
  <c r="W68" i="19" s="1"/>
  <c r="X80" i="13"/>
  <c r="W64" i="21" s="1"/>
  <c r="W76" i="21" s="1"/>
  <c r="W77" i="21" s="1"/>
  <c r="V67" i="14"/>
  <c r="W99" i="14"/>
  <c r="W100" i="14" s="1"/>
  <c r="Z83" i="13" s="1"/>
  <c r="Y64" i="24" s="1"/>
  <c r="Y76" i="24" s="1"/>
  <c r="Y77" i="24" s="1"/>
  <c r="G19" i="4" s="1"/>
  <c r="S139" i="14"/>
  <c r="S140" i="14" s="1"/>
  <c r="H4328" i="49"/>
  <c r="H5197" i="49"/>
  <c r="H860" i="49"/>
  <c r="H4889" i="49"/>
  <c r="H4600" i="49"/>
  <c r="H4322" i="49"/>
  <c r="H4321" i="49"/>
  <c r="H1150" i="49"/>
  <c r="H4042" i="49"/>
  <c r="H4048" i="49"/>
  <c r="H4883" i="49"/>
  <c r="H4882" i="49"/>
  <c r="H846" i="49"/>
  <c r="H852" i="49"/>
  <c r="H3064" i="49"/>
  <c r="H3063" i="49"/>
  <c r="H4041" i="49"/>
  <c r="H845" i="49"/>
  <c r="H1135" i="49"/>
  <c r="H1141" i="49"/>
  <c r="H4585" i="49"/>
  <c r="H4033" i="49"/>
  <c r="H4032" i="49"/>
  <c r="H4592" i="49"/>
  <c r="H4586" i="49"/>
  <c r="H2603" i="49"/>
  <c r="H2597" i="49"/>
  <c r="N75" i="8" l="1"/>
  <c r="J2597" i="49"/>
  <c r="Q2597" i="49" s="1"/>
  <c r="J2603" i="49"/>
  <c r="Q2603" i="49" s="1"/>
  <c r="J4586" i="49"/>
  <c r="Q4586" i="49" s="1"/>
  <c r="J4592" i="49"/>
  <c r="Q4592" i="49" s="1"/>
  <c r="F257" i="50"/>
  <c r="J4032" i="49"/>
  <c r="Q4032" i="49"/>
  <c r="J4033" i="49"/>
  <c r="Q4033" i="49" s="1"/>
  <c r="J4585" i="49"/>
  <c r="Q4585" i="49"/>
  <c r="Q1141" i="49"/>
  <c r="J1141" i="49"/>
  <c r="J1135" i="49"/>
  <c r="Q1135" i="49" s="1"/>
  <c r="J845" i="49"/>
  <c r="Q845" i="49" s="1"/>
  <c r="J4041" i="49"/>
  <c r="Q4041" i="49" s="1"/>
  <c r="J3063" i="49"/>
  <c r="Q3063" i="49" s="1"/>
  <c r="J3064" i="49"/>
  <c r="Q3064" i="49" s="1"/>
  <c r="F174" i="50"/>
  <c r="Q852" i="49"/>
  <c r="J852" i="49"/>
  <c r="J846" i="49"/>
  <c r="Q846" i="49"/>
  <c r="Q4882" i="49"/>
  <c r="J4882" i="49"/>
  <c r="J4883" i="49"/>
  <c r="Q4883" i="49" s="1"/>
  <c r="J4048" i="49"/>
  <c r="Q4048" i="49" s="1"/>
  <c r="J4042" i="49"/>
  <c r="Q4042" i="49" s="1"/>
  <c r="J1150" i="49"/>
  <c r="Q1150" i="49" s="1"/>
  <c r="J4321" i="49"/>
  <c r="Q4321" i="49" s="1"/>
  <c r="Q4322" i="49"/>
  <c r="J4322" i="49"/>
  <c r="J4600" i="49"/>
  <c r="Q4600" i="49" s="1"/>
  <c r="F265" i="50"/>
  <c r="J4889" i="49"/>
  <c r="Q4889" i="49" s="1"/>
  <c r="J860" i="49"/>
  <c r="Q860" i="49" s="1"/>
  <c r="J5197" i="49"/>
  <c r="Q5197" i="49"/>
  <c r="J4328" i="49"/>
  <c r="Q4328" i="49" s="1"/>
  <c r="W90" i="13"/>
  <c r="V64" i="31" s="1"/>
  <c r="V76" i="31" s="1"/>
  <c r="V77" i="31" s="1"/>
  <c r="U167" i="14"/>
  <c r="W86" i="13"/>
  <c r="V64" i="27" s="1"/>
  <c r="V76" i="27" s="1"/>
  <c r="V77" i="27" s="1"/>
  <c r="U127" i="14"/>
  <c r="Y78" i="13"/>
  <c r="X64" i="19" s="1"/>
  <c r="X76" i="19" s="1"/>
  <c r="X77" i="19" s="1"/>
  <c r="W47" i="14"/>
  <c r="W76" i="13"/>
  <c r="V64" i="17" s="1"/>
  <c r="V76" i="17" s="1"/>
  <c r="V77" i="17" s="1"/>
  <c r="U27" i="14"/>
  <c r="T18" i="14"/>
  <c r="T19" i="14" s="1"/>
  <c r="T20" i="14" s="1"/>
  <c r="J156" i="49"/>
  <c r="Q156" i="49"/>
  <c r="E156" i="50"/>
  <c r="G156" i="50" s="1"/>
  <c r="H156" i="50" s="1"/>
  <c r="W54" i="18"/>
  <c r="W86" i="18" s="1"/>
  <c r="W56" i="18"/>
  <c r="W67" i="18" s="1"/>
  <c r="W68" i="18" s="1"/>
  <c r="V50" i="22"/>
  <c r="V52" i="22"/>
  <c r="V87" i="13"/>
  <c r="U64" i="28" s="1"/>
  <c r="U76" i="28" s="1"/>
  <c r="U77" i="28" s="1"/>
  <c r="T137" i="14"/>
  <c r="Y50" i="24"/>
  <c r="K19" i="4" s="1"/>
  <c r="Y52" i="24"/>
  <c r="U67" i="22"/>
  <c r="U68" i="22" s="1"/>
  <c r="S67" i="29"/>
  <c r="S68" i="29" s="1"/>
  <c r="W54" i="23"/>
  <c r="W86" i="23" s="1"/>
  <c r="S158" i="14"/>
  <c r="J167" i="49"/>
  <c r="Q167" i="49" s="1"/>
  <c r="E167" i="50"/>
  <c r="G167" i="50" s="1"/>
  <c r="H167" i="50" s="1"/>
  <c r="P14" i="52"/>
  <c r="H249" i="49"/>
  <c r="S54" i="8"/>
  <c r="S56" i="8" s="1"/>
  <c r="S148" i="14"/>
  <c r="S86" i="29"/>
  <c r="U79" i="14"/>
  <c r="U80" i="14" s="1"/>
  <c r="U78" i="14"/>
  <c r="V68" i="14"/>
  <c r="V69" i="14"/>
  <c r="V70" i="14" s="1"/>
  <c r="K22" i="52"/>
  <c r="K21" i="52"/>
  <c r="K23" i="52"/>
  <c r="D28" i="33" s="1"/>
  <c r="E28" i="33" s="1"/>
  <c r="H169" i="49"/>
  <c r="H170" i="49"/>
  <c r="H171" i="49"/>
  <c r="V56" i="25"/>
  <c r="V67" i="25" s="1"/>
  <c r="V68" i="25" s="1"/>
  <c r="T76" i="29"/>
  <c r="T77" i="29" s="1"/>
  <c r="T64" i="8"/>
  <c r="T76" i="8" s="1"/>
  <c r="T77" i="8" s="1"/>
  <c r="K15" i="52"/>
  <c r="H165" i="49"/>
  <c r="N87" i="8"/>
  <c r="W56" i="21"/>
  <c r="W67" i="21" s="1"/>
  <c r="W68" i="21" s="1"/>
  <c r="W54" i="21"/>
  <c r="W86" i="21" s="1"/>
  <c r="W9" i="14"/>
  <c r="W10" i="14"/>
  <c r="Z74" i="13" s="1"/>
  <c r="Y64" i="15" s="1"/>
  <c r="Y76" i="15" s="1"/>
  <c r="Y77" i="15" s="1"/>
  <c r="G10" i="4" s="1"/>
  <c r="W8" i="14"/>
  <c r="W14" i="14" s="1"/>
  <c r="Z46" i="13" s="1"/>
  <c r="Y48" i="15" s="1"/>
  <c r="T67" i="17"/>
  <c r="T68" i="17" s="1"/>
  <c r="W54" i="25"/>
  <c r="W86" i="25" s="1"/>
  <c r="T86" i="16"/>
  <c r="U86" i="27"/>
  <c r="U76" i="16"/>
  <c r="U77" i="16" s="1"/>
  <c r="J248" i="49"/>
  <c r="Q248" i="49" s="1"/>
  <c r="E248" i="50"/>
  <c r="V108" i="14"/>
  <c r="V109" i="14"/>
  <c r="V110" i="14"/>
  <c r="N56" i="8"/>
  <c r="T67" i="16"/>
  <c r="T68" i="16" s="1"/>
  <c r="J164" i="49"/>
  <c r="Q164" i="49" s="1"/>
  <c r="E164" i="50"/>
  <c r="G164" i="50" s="1"/>
  <c r="H164" i="50" s="1"/>
  <c r="U67" i="27"/>
  <c r="U68" i="27" s="1"/>
  <c r="U54" i="17"/>
  <c r="U56" i="17" s="1"/>
  <c r="T174" i="14"/>
  <c r="W62" i="13" s="1"/>
  <c r="V48" i="31" s="1"/>
  <c r="J242" i="49"/>
  <c r="Q242" i="49" s="1"/>
  <c r="E242" i="50"/>
  <c r="V54" i="14"/>
  <c r="Y50" i="13" s="1"/>
  <c r="X48" i="19" s="1"/>
  <c r="T34" i="14"/>
  <c r="W48" i="13" s="1"/>
  <c r="V48" i="17" s="1"/>
  <c r="X56" i="20"/>
  <c r="X67" i="20" s="1"/>
  <c r="X68" i="20" s="1"/>
  <c r="T50" i="29"/>
  <c r="T52" i="29"/>
  <c r="T48" i="8"/>
  <c r="V88" i="14"/>
  <c r="V89" i="14"/>
  <c r="V90" i="14"/>
  <c r="T50" i="30"/>
  <c r="T52" i="30"/>
  <c r="U50" i="16"/>
  <c r="U52" i="16"/>
  <c r="U86" i="31"/>
  <c r="V38" i="14"/>
  <c r="V39" i="14"/>
  <c r="V40" i="14" s="1"/>
  <c r="U50" i="28"/>
  <c r="U52" i="28"/>
  <c r="N66" i="8"/>
  <c r="J157" i="49"/>
  <c r="Q157" i="49"/>
  <c r="E157" i="50"/>
  <c r="G157" i="50" s="1"/>
  <c r="H157" i="50" s="1"/>
  <c r="X50" i="15"/>
  <c r="X52" i="15"/>
  <c r="V50" i="27"/>
  <c r="V52" i="27"/>
  <c r="J241" i="49"/>
  <c r="Q241" i="49"/>
  <c r="E241" i="50"/>
  <c r="G241" i="50" s="1"/>
  <c r="H241" i="50" s="1"/>
  <c r="U56" i="31"/>
  <c r="W64" i="14"/>
  <c r="Z51" i="13" s="1"/>
  <c r="Y48" i="20" s="1"/>
  <c r="H4594" i="49"/>
  <c r="H4593" i="49"/>
  <c r="H1151" i="49"/>
  <c r="H5204" i="49"/>
  <c r="H5198" i="49"/>
  <c r="H4329" i="49"/>
  <c r="H1143" i="49"/>
  <c r="H1142" i="49"/>
  <c r="H861" i="49"/>
  <c r="H854" i="49"/>
  <c r="H853" i="49"/>
  <c r="H4050" i="49"/>
  <c r="H4049" i="49"/>
  <c r="H4601" i="49"/>
  <c r="H2605" i="49"/>
  <c r="H2604" i="49"/>
  <c r="H1158" i="49"/>
  <c r="H1152" i="49"/>
  <c r="H4890" i="49"/>
  <c r="W56" i="25" l="1"/>
  <c r="W67" i="25" s="1"/>
  <c r="W68" i="25" s="1"/>
  <c r="J4890" i="49"/>
  <c r="Q4890" i="49" s="1"/>
  <c r="J1152" i="49"/>
  <c r="Q1152" i="49" s="1"/>
  <c r="J1158" i="49"/>
  <c r="Q1158" i="49" s="1"/>
  <c r="J2604" i="49"/>
  <c r="Q2604" i="49" s="1"/>
  <c r="J2605" i="49"/>
  <c r="Q2605" i="49" s="1"/>
  <c r="J4601" i="49"/>
  <c r="Q4601" i="49"/>
  <c r="F266" i="50"/>
  <c r="J4049" i="49"/>
  <c r="Q4049" i="49" s="1"/>
  <c r="J4050" i="49"/>
  <c r="Q4050" i="49" s="1"/>
  <c r="J853" i="49"/>
  <c r="Q853" i="49" s="1"/>
  <c r="Q854" i="49"/>
  <c r="J854" i="49"/>
  <c r="J861" i="49"/>
  <c r="Q861" i="49" s="1"/>
  <c r="J1142" i="49"/>
  <c r="Q1142" i="49" s="1"/>
  <c r="J1143" i="49"/>
  <c r="Q1143" i="49"/>
  <c r="J4329" i="49"/>
  <c r="Q4329" i="49"/>
  <c r="Q5198" i="49"/>
  <c r="J5198" i="49"/>
  <c r="J5204" i="49"/>
  <c r="Q5204" i="49" s="1"/>
  <c r="J1151" i="49"/>
  <c r="Q1151" i="49"/>
  <c r="J4593" i="49"/>
  <c r="Q4593" i="49" s="1"/>
  <c r="F258" i="50"/>
  <c r="J4594" i="49"/>
  <c r="Q4594" i="49" s="1"/>
  <c r="W75" i="13"/>
  <c r="V64" i="16" s="1"/>
  <c r="U17" i="14"/>
  <c r="Y77" i="13"/>
  <c r="X64" i="18" s="1"/>
  <c r="X76" i="18" s="1"/>
  <c r="X77" i="18" s="1"/>
  <c r="W37" i="14"/>
  <c r="Y80" i="13"/>
  <c r="X64" i="21" s="1"/>
  <c r="X76" i="21" s="1"/>
  <c r="X77" i="21" s="1"/>
  <c r="W67" i="14"/>
  <c r="X81" i="13"/>
  <c r="W64" i="22" s="1"/>
  <c r="W76" i="22" s="1"/>
  <c r="W77" i="22" s="1"/>
  <c r="V77" i="14"/>
  <c r="Q165" i="49"/>
  <c r="J165" i="49"/>
  <c r="E165" i="50"/>
  <c r="G165" i="50" s="1"/>
  <c r="H165" i="50" s="1"/>
  <c r="T54" i="30"/>
  <c r="Y84" i="13"/>
  <c r="X64" i="25" s="1"/>
  <c r="X76" i="25" s="1"/>
  <c r="X77" i="25" s="1"/>
  <c r="W107" i="14"/>
  <c r="U129" i="14"/>
  <c r="U130" i="14"/>
  <c r="U128" i="14"/>
  <c r="U134" i="14" s="1"/>
  <c r="X58" i="13" s="1"/>
  <c r="W48" i="27" s="1"/>
  <c r="Y50" i="15"/>
  <c r="K10" i="4" s="1"/>
  <c r="Y52" i="15"/>
  <c r="J170" i="49"/>
  <c r="Q170" i="49" s="1"/>
  <c r="E170" i="50"/>
  <c r="G170" i="50" s="1"/>
  <c r="H170" i="50" s="1"/>
  <c r="S159" i="14"/>
  <c r="S160" i="14" s="1"/>
  <c r="Q13" i="52"/>
  <c r="T50" i="8"/>
  <c r="H265" i="49"/>
  <c r="T52" i="8"/>
  <c r="U67" i="17"/>
  <c r="U68" i="17" s="1"/>
  <c r="P26" i="52"/>
  <c r="P16" i="52"/>
  <c r="H257" i="49"/>
  <c r="H251" i="49"/>
  <c r="S67" i="8"/>
  <c r="S68" i="8" s="1"/>
  <c r="H259" i="49" s="1"/>
  <c r="T24" i="14"/>
  <c r="W47" i="13" s="1"/>
  <c r="V48" i="16" s="1"/>
  <c r="V44" i="14"/>
  <c r="Y49" i="13" s="1"/>
  <c r="X48" i="18" s="1"/>
  <c r="T54" i="29"/>
  <c r="J249" i="49"/>
  <c r="Q249" i="49" s="1"/>
  <c r="E249" i="50"/>
  <c r="G249" i="50" s="1"/>
  <c r="H249" i="50" s="1"/>
  <c r="Y54" i="24"/>
  <c r="Y86" i="24" s="1"/>
  <c r="I19" i="4"/>
  <c r="V54" i="27"/>
  <c r="V86" i="27" s="1"/>
  <c r="V74" i="14"/>
  <c r="Y52" i="13" s="1"/>
  <c r="X48" i="21" s="1"/>
  <c r="T138" i="14"/>
  <c r="U28" i="14"/>
  <c r="U29" i="14" s="1"/>
  <c r="U30" i="14" s="1"/>
  <c r="X54" i="15"/>
  <c r="X86" i="15" s="1"/>
  <c r="X50" i="19"/>
  <c r="X52" i="19"/>
  <c r="U84" i="14"/>
  <c r="X53" i="13" s="1"/>
  <c r="W48" i="22" s="1"/>
  <c r="V54" i="22"/>
  <c r="V86" i="22" s="1"/>
  <c r="W48" i="14"/>
  <c r="W49" i="14"/>
  <c r="W50" i="14" s="1"/>
  <c r="Z78" i="13" s="1"/>
  <c r="Y64" i="19" s="1"/>
  <c r="Y76" i="19" s="1"/>
  <c r="Y77" i="19" s="1"/>
  <c r="G14" i="4" s="1"/>
  <c r="V50" i="17"/>
  <c r="V52" i="17"/>
  <c r="K26" i="52"/>
  <c r="K16" i="52"/>
  <c r="H172" i="49"/>
  <c r="H166" i="49"/>
  <c r="N67" i="8"/>
  <c r="N68" i="8" s="1"/>
  <c r="J171" i="49"/>
  <c r="Q171" i="49" s="1"/>
  <c r="E171" i="50"/>
  <c r="G171" i="50" s="1"/>
  <c r="H171" i="50" s="1"/>
  <c r="Y50" i="20"/>
  <c r="K15" i="4" s="1"/>
  <c r="Y52" i="20"/>
  <c r="V114" i="14"/>
  <c r="Y56" i="13" s="1"/>
  <c r="X48" i="25" s="1"/>
  <c r="J169" i="49"/>
  <c r="Q169" i="49"/>
  <c r="E169" i="50"/>
  <c r="G169" i="50" s="1"/>
  <c r="H169" i="50" s="1"/>
  <c r="U168" i="14"/>
  <c r="U54" i="16"/>
  <c r="U56" i="16"/>
  <c r="Y82" i="13"/>
  <c r="X64" i="23" s="1"/>
  <c r="X76" i="23" s="1"/>
  <c r="X77" i="23" s="1"/>
  <c r="W87" i="14"/>
  <c r="U54" i="28"/>
  <c r="U56" i="28"/>
  <c r="S149" i="14"/>
  <c r="S150" i="14" s="1"/>
  <c r="W56" i="23"/>
  <c r="W67" i="23" s="1"/>
  <c r="W68" i="23" s="1"/>
  <c r="U67" i="31"/>
  <c r="U68" i="31" s="1"/>
  <c r="V50" i="31"/>
  <c r="V52" i="31"/>
  <c r="V94" i="14"/>
  <c r="Y54" i="13" s="1"/>
  <c r="X48" i="23" s="1"/>
  <c r="U86" i="17"/>
  <c r="P15" i="52"/>
  <c r="H250" i="49"/>
  <c r="S87" i="8"/>
  <c r="H4331" i="49"/>
  <c r="H4337" i="49"/>
  <c r="H5206" i="49"/>
  <c r="H5205" i="49"/>
  <c r="H4602" i="49"/>
  <c r="H4891" i="49"/>
  <c r="H1160" i="49"/>
  <c r="H1159" i="49"/>
  <c r="H862" i="49"/>
  <c r="H869" i="49"/>
  <c r="H863" i="49"/>
  <c r="H4330" i="49"/>
  <c r="S154" i="14" l="1"/>
  <c r="V60" i="13" s="1"/>
  <c r="U48" i="29" s="1"/>
  <c r="J4330" i="49"/>
  <c r="Q4330" i="49" s="1"/>
  <c r="J863" i="49"/>
  <c r="Q863" i="49" s="1"/>
  <c r="J869" i="49"/>
  <c r="Q869" i="49" s="1"/>
  <c r="J862" i="49"/>
  <c r="Q862" i="49" s="1"/>
  <c r="J1159" i="49"/>
  <c r="Q1159" i="49" s="1"/>
  <c r="J1160" i="49"/>
  <c r="Q1160" i="49" s="1"/>
  <c r="J4891" i="49"/>
  <c r="Q4891" i="49" s="1"/>
  <c r="J4602" i="49"/>
  <c r="Q4602" i="49" s="1"/>
  <c r="F267" i="50"/>
  <c r="J5205" i="49"/>
  <c r="Q5205" i="49" s="1"/>
  <c r="J5206" i="49"/>
  <c r="Q5206" i="49" s="1"/>
  <c r="G40" i="1"/>
  <c r="H40" i="1" s="1"/>
  <c r="L40" i="1" s="1"/>
  <c r="G44" i="1"/>
  <c r="H44" i="1" s="1"/>
  <c r="L44" i="1" s="1"/>
  <c r="G48" i="1"/>
  <c r="H48" i="1" s="1"/>
  <c r="L48" i="1" s="1"/>
  <c r="G42" i="1"/>
  <c r="H42" i="1" s="1"/>
  <c r="L42" i="1" s="1"/>
  <c r="G41" i="1"/>
  <c r="H41" i="1" s="1"/>
  <c r="L41" i="1" s="1"/>
  <c r="G46" i="1"/>
  <c r="H46" i="1" s="1"/>
  <c r="L46" i="1" s="1"/>
  <c r="G39" i="1"/>
  <c r="H39" i="1" s="1"/>
  <c r="L39" i="1" s="1"/>
  <c r="G45" i="1"/>
  <c r="H45" i="1" s="1"/>
  <c r="L45" i="1" s="1"/>
  <c r="G50" i="1"/>
  <c r="H50" i="1" s="1"/>
  <c r="L50" i="1" s="1"/>
  <c r="F199" i="50"/>
  <c r="G199" i="50" s="1"/>
  <c r="H199" i="50" s="1"/>
  <c r="F173" i="50"/>
  <c r="F207" i="50"/>
  <c r="G207" i="50" s="1"/>
  <c r="H207" i="50" s="1"/>
  <c r="F197" i="50"/>
  <c r="G197" i="50" s="1"/>
  <c r="H197" i="50" s="1"/>
  <c r="F180" i="50"/>
  <c r="G180" i="50" s="1"/>
  <c r="H180" i="50" s="1"/>
  <c r="F198" i="50"/>
  <c r="G198" i="50" s="1"/>
  <c r="H198" i="50" s="1"/>
  <c r="F205" i="50"/>
  <c r="G205" i="50" s="1"/>
  <c r="H205" i="50" s="1"/>
  <c r="F255" i="50"/>
  <c r="G255" i="50" s="1"/>
  <c r="H255" i="50" s="1"/>
  <c r="F225" i="50"/>
  <c r="G225" i="50" s="1"/>
  <c r="H225" i="50" s="1"/>
  <c r="F223" i="50"/>
  <c r="G223" i="50" s="1"/>
  <c r="H223" i="50" s="1"/>
  <c r="F222" i="50"/>
  <c r="G222" i="50" s="1"/>
  <c r="H222" i="50" s="1"/>
  <c r="F186" i="50"/>
  <c r="G186" i="50" s="1"/>
  <c r="H186" i="50" s="1"/>
  <c r="F204" i="50"/>
  <c r="G204" i="50" s="1"/>
  <c r="H204" i="50" s="1"/>
  <c r="F234" i="50"/>
  <c r="G234" i="50" s="1"/>
  <c r="H234" i="50" s="1"/>
  <c r="F172" i="50"/>
  <c r="F206" i="50"/>
  <c r="G206" i="50" s="1"/>
  <c r="H206" i="50" s="1"/>
  <c r="F217" i="50"/>
  <c r="G217" i="50" s="1"/>
  <c r="H217" i="50" s="1"/>
  <c r="F248" i="50"/>
  <c r="G248" i="50" s="1"/>
  <c r="H248" i="50" s="1"/>
  <c r="F242" i="50"/>
  <c r="G242" i="50" s="1"/>
  <c r="H242" i="50" s="1"/>
  <c r="F251" i="50"/>
  <c r="F250" i="50"/>
  <c r="F259" i="50"/>
  <c r="J4337" i="49"/>
  <c r="Q4337" i="49" s="1"/>
  <c r="J4331" i="49"/>
  <c r="Q4331" i="49" s="1"/>
  <c r="J259" i="49"/>
  <c r="Q259" i="49"/>
  <c r="E259" i="50"/>
  <c r="X76" i="13"/>
  <c r="W64" i="17" s="1"/>
  <c r="W76" i="17" s="1"/>
  <c r="W77" i="17" s="1"/>
  <c r="V27" i="14"/>
  <c r="K27" i="52"/>
  <c r="K28" i="52" s="1"/>
  <c r="K29" i="52" s="1"/>
  <c r="H173" i="49"/>
  <c r="U86" i="28"/>
  <c r="J257" i="49"/>
  <c r="Q257" i="49" s="1"/>
  <c r="E257" i="50"/>
  <c r="G257" i="50" s="1"/>
  <c r="H257" i="50" s="1"/>
  <c r="J250" i="49"/>
  <c r="Q250" i="49" s="1"/>
  <c r="E250" i="50"/>
  <c r="X56" i="15"/>
  <c r="X67" i="15" s="1"/>
  <c r="X68" i="15" s="1"/>
  <c r="Y54" i="20"/>
  <c r="Y86" i="20" s="1"/>
  <c r="I15" i="4"/>
  <c r="V79" i="14"/>
  <c r="V80" i="14" s="1"/>
  <c r="V78" i="14"/>
  <c r="U67" i="16"/>
  <c r="U68" i="16" s="1"/>
  <c r="P28" i="52"/>
  <c r="P29" i="52" s="1"/>
  <c r="W50" i="27"/>
  <c r="W52" i="27"/>
  <c r="X50" i="23"/>
  <c r="X52" i="23"/>
  <c r="U86" i="16"/>
  <c r="W69" i="14"/>
  <c r="W70" i="14"/>
  <c r="Z80" i="13" s="1"/>
  <c r="Y64" i="21" s="1"/>
  <c r="Y76" i="21" s="1"/>
  <c r="Y77" i="21" s="1"/>
  <c r="G16" i="4" s="1"/>
  <c r="W68" i="14"/>
  <c r="X50" i="21"/>
  <c r="X52" i="21"/>
  <c r="T86" i="30"/>
  <c r="V88" i="13"/>
  <c r="U64" i="29" s="1"/>
  <c r="T147" i="14"/>
  <c r="W50" i="22"/>
  <c r="W52" i="22"/>
  <c r="V50" i="16"/>
  <c r="V52" i="16"/>
  <c r="V76" i="16"/>
  <c r="V77" i="16" s="1"/>
  <c r="X54" i="19"/>
  <c r="X86" i="19" s="1"/>
  <c r="P27" i="52"/>
  <c r="H258" i="49"/>
  <c r="X50" i="25"/>
  <c r="X52" i="25"/>
  <c r="X86" i="13"/>
  <c r="W64" i="27" s="1"/>
  <c r="W76" i="27" s="1"/>
  <c r="W77" i="27" s="1"/>
  <c r="V127" i="14"/>
  <c r="V54" i="31"/>
  <c r="V86" i="31" s="1"/>
  <c r="W54" i="14"/>
  <c r="Z50" i="13" s="1"/>
  <c r="Y48" i="19" s="1"/>
  <c r="Q14" i="52"/>
  <c r="H266" i="49"/>
  <c r="T54" i="8"/>
  <c r="T56" i="8" s="1"/>
  <c r="T86" i="29"/>
  <c r="J265" i="49"/>
  <c r="Q265" i="49"/>
  <c r="E14" i="1"/>
  <c r="E265" i="50"/>
  <c r="G265" i="50" s="1"/>
  <c r="H265" i="50" s="1"/>
  <c r="W109" i="14"/>
  <c r="W110" i="14" s="1"/>
  <c r="Z84" i="13" s="1"/>
  <c r="Y64" i="25" s="1"/>
  <c r="Y76" i="25" s="1"/>
  <c r="Y77" i="25" s="1"/>
  <c r="G20" i="4" s="1"/>
  <c r="W108" i="14"/>
  <c r="W39" i="14"/>
  <c r="W40" i="14" s="1"/>
  <c r="Z77" i="13" s="1"/>
  <c r="Y64" i="18" s="1"/>
  <c r="Y76" i="18" s="1"/>
  <c r="Y77" i="18" s="1"/>
  <c r="G13" i="4" s="1"/>
  <c r="W38" i="14"/>
  <c r="W44" i="14" s="1"/>
  <c r="Z49" i="13" s="1"/>
  <c r="Y48" i="18" s="1"/>
  <c r="U169" i="14"/>
  <c r="U170" i="14" s="1"/>
  <c r="V56" i="22"/>
  <c r="V67" i="22" s="1"/>
  <c r="V68" i="22" s="1"/>
  <c r="T139" i="14"/>
  <c r="T140" i="14" s="1"/>
  <c r="T56" i="29"/>
  <c r="X50" i="18"/>
  <c r="X52" i="18"/>
  <c r="U19" i="14"/>
  <c r="U20" i="14" s="1"/>
  <c r="U18" i="14"/>
  <c r="J172" i="49"/>
  <c r="Q172" i="49"/>
  <c r="E172" i="50"/>
  <c r="G172" i="50" s="1"/>
  <c r="H172" i="50" s="1"/>
  <c r="V56" i="27"/>
  <c r="V67" i="27" s="1"/>
  <c r="V68" i="27" s="1"/>
  <c r="U67" i="28"/>
  <c r="U68" i="28" s="1"/>
  <c r="H174" i="49"/>
  <c r="J251" i="49"/>
  <c r="Q251" i="49" s="1"/>
  <c r="E251" i="50"/>
  <c r="W89" i="14"/>
  <c r="W90" i="14" s="1"/>
  <c r="Z82" i="13" s="1"/>
  <c r="Y64" i="23" s="1"/>
  <c r="Y76" i="23" s="1"/>
  <c r="Y77" i="23" s="1"/>
  <c r="G18" i="4" s="1"/>
  <c r="W88" i="14"/>
  <c r="Y56" i="24"/>
  <c r="Y67" i="24" s="1"/>
  <c r="Y68" i="24" s="1"/>
  <c r="S164" i="14"/>
  <c r="V61" i="13" s="1"/>
  <c r="U48" i="30" s="1"/>
  <c r="J166" i="49"/>
  <c r="Q166" i="49"/>
  <c r="E166" i="50"/>
  <c r="G166" i="50" s="1"/>
  <c r="H166" i="50" s="1"/>
  <c r="V89" i="13"/>
  <c r="U64" i="30" s="1"/>
  <c r="U76" i="30" s="1"/>
  <c r="U77" i="30" s="1"/>
  <c r="T157" i="14"/>
  <c r="T56" i="30"/>
  <c r="Y54" i="15"/>
  <c r="Y86" i="15" s="1"/>
  <c r="I10" i="4"/>
  <c r="V54" i="17"/>
  <c r="V86" i="17" s="1"/>
  <c r="U34" i="14"/>
  <c r="X48" i="13" s="1"/>
  <c r="W48" i="17" s="1"/>
  <c r="U50" i="29"/>
  <c r="U52" i="29"/>
  <c r="U48" i="8"/>
  <c r="H4617" i="49"/>
  <c r="H871" i="49"/>
  <c r="H870" i="49"/>
  <c r="H4906" i="49"/>
  <c r="H4339" i="49"/>
  <c r="H4338" i="49"/>
  <c r="H4618" i="49"/>
  <c r="H4609" i="49"/>
  <c r="H4603" i="49"/>
  <c r="H4892" i="49"/>
  <c r="H4898" i="49"/>
  <c r="J4617" i="49" l="1"/>
  <c r="Q4617" i="49" s="1"/>
  <c r="G250" i="50"/>
  <c r="H250" i="50" s="1"/>
  <c r="V56" i="31"/>
  <c r="V67" i="31" s="1"/>
  <c r="V68" i="31" s="1"/>
  <c r="V84" i="14"/>
  <c r="Y53" i="13" s="1"/>
  <c r="X48" i="22" s="1"/>
  <c r="X50" i="22" s="1"/>
  <c r="J4898" i="49"/>
  <c r="Q4898" i="49"/>
  <c r="J4892" i="49"/>
  <c r="Q4892" i="49" s="1"/>
  <c r="J4603" i="49"/>
  <c r="Q4603" i="49" s="1"/>
  <c r="F268" i="50"/>
  <c r="J4609" i="49"/>
  <c r="Q4609" i="49" s="1"/>
  <c r="F274" i="50"/>
  <c r="J4618" i="49"/>
  <c r="Q4618" i="49" s="1"/>
  <c r="J4338" i="49"/>
  <c r="Q4338" i="49" s="1"/>
  <c r="J4339" i="49"/>
  <c r="Q4339" i="49" s="1"/>
  <c r="J4906" i="49"/>
  <c r="Q4906" i="49" s="1"/>
  <c r="F282" i="50"/>
  <c r="Q870" i="49"/>
  <c r="J870" i="49"/>
  <c r="J871" i="49"/>
  <c r="Q871" i="49" s="1"/>
  <c r="X75" i="13"/>
  <c r="W64" i="16" s="1"/>
  <c r="V17" i="14"/>
  <c r="G251" i="50"/>
  <c r="H251" i="50" s="1"/>
  <c r="V54" i="16"/>
  <c r="V86" i="16" s="1"/>
  <c r="V28" i="14"/>
  <c r="T67" i="30"/>
  <c r="T68" i="30" s="1"/>
  <c r="T158" i="14"/>
  <c r="T159" i="14"/>
  <c r="T160" i="14" s="1"/>
  <c r="T67" i="29"/>
  <c r="T68" i="29" s="1"/>
  <c r="X54" i="23"/>
  <c r="X86" i="23" s="1"/>
  <c r="X56" i="23"/>
  <c r="X67" i="23" s="1"/>
  <c r="X68" i="23" s="1"/>
  <c r="U54" i="29"/>
  <c r="U56" i="29" s="1"/>
  <c r="X54" i="25"/>
  <c r="X86" i="25" s="1"/>
  <c r="W54" i="27"/>
  <c r="W86" i="27" s="1"/>
  <c r="Y50" i="18"/>
  <c r="K13" i="4" s="1"/>
  <c r="Y52" i="18"/>
  <c r="U174" i="14"/>
  <c r="X62" i="13" s="1"/>
  <c r="W48" i="31" s="1"/>
  <c r="J258" i="49"/>
  <c r="Q258" i="49" s="1"/>
  <c r="E258" i="50"/>
  <c r="G258" i="50" s="1"/>
  <c r="H258" i="50" s="1"/>
  <c r="U76" i="29"/>
  <c r="U77" i="29" s="1"/>
  <c r="U64" i="8"/>
  <c r="U76" i="8" s="1"/>
  <c r="U77" i="8" s="1"/>
  <c r="U50" i="30"/>
  <c r="U52" i="30"/>
  <c r="Q16" i="52"/>
  <c r="Q26" i="52"/>
  <c r="H274" i="49"/>
  <c r="H268" i="49"/>
  <c r="T67" i="8"/>
  <c r="T68" i="8" s="1"/>
  <c r="H276" i="49" s="1"/>
  <c r="Q15" i="52"/>
  <c r="H267" i="49"/>
  <c r="T87" i="8"/>
  <c r="X90" i="13"/>
  <c r="W64" i="31" s="1"/>
  <c r="W76" i="31" s="1"/>
  <c r="W77" i="31" s="1"/>
  <c r="V167" i="14"/>
  <c r="T144" i="14"/>
  <c r="W59" i="13" s="1"/>
  <c r="V48" i="28" s="1"/>
  <c r="T148" i="14"/>
  <c r="T149" i="14" s="1"/>
  <c r="T150" i="14" s="1"/>
  <c r="W50" i="17"/>
  <c r="W52" i="17"/>
  <c r="V56" i="17"/>
  <c r="V67" i="17" s="1"/>
  <c r="V68" i="17" s="1"/>
  <c r="X54" i="21"/>
  <c r="X86" i="21" s="1"/>
  <c r="W94" i="14"/>
  <c r="Z54" i="13" s="1"/>
  <c r="Y48" i="23" s="1"/>
  <c r="J266" i="49"/>
  <c r="Q266" i="49" s="1"/>
  <c r="E266" i="50"/>
  <c r="G266" i="50" s="1"/>
  <c r="H266" i="50" s="1"/>
  <c r="E15" i="1"/>
  <c r="X56" i="19"/>
  <c r="X67" i="19" s="1"/>
  <c r="X68" i="19" s="1"/>
  <c r="V128" i="14"/>
  <c r="V134" i="14" s="1"/>
  <c r="Y58" i="13" s="1"/>
  <c r="X48" i="27" s="1"/>
  <c r="V129" i="14"/>
  <c r="V130" i="14"/>
  <c r="Y56" i="15"/>
  <c r="Y67" i="15" s="1"/>
  <c r="Y68" i="15" s="1"/>
  <c r="U24" i="14"/>
  <c r="X47" i="13" s="1"/>
  <c r="W48" i="16" s="1"/>
  <c r="W114" i="14"/>
  <c r="Z56" i="13" s="1"/>
  <c r="Y48" i="25" s="1"/>
  <c r="W74" i="14"/>
  <c r="Z52" i="13" s="1"/>
  <c r="Y48" i="21" s="1"/>
  <c r="Y81" i="13"/>
  <c r="X64" i="22" s="1"/>
  <c r="X76" i="22" s="1"/>
  <c r="X77" i="22" s="1"/>
  <c r="W77" i="14"/>
  <c r="J173" i="49"/>
  <c r="Q173" i="49" s="1"/>
  <c r="E173" i="50"/>
  <c r="G173" i="50" s="1"/>
  <c r="H173" i="50" s="1"/>
  <c r="Y50" i="19"/>
  <c r="K14" i="4" s="1"/>
  <c r="Y52" i="19"/>
  <c r="Y56" i="20"/>
  <c r="Y67" i="20" s="1"/>
  <c r="Y68" i="20" s="1"/>
  <c r="X54" i="18"/>
  <c r="X86" i="18" s="1"/>
  <c r="R13" i="52"/>
  <c r="H282" i="49"/>
  <c r="U50" i="8"/>
  <c r="U52" i="8"/>
  <c r="W87" i="13"/>
  <c r="V64" i="28" s="1"/>
  <c r="U137" i="14"/>
  <c r="G259" i="50"/>
  <c r="H259" i="50" s="1"/>
  <c r="J174" i="49"/>
  <c r="Q174" i="49" s="1"/>
  <c r="E174" i="50"/>
  <c r="G174" i="50" s="1"/>
  <c r="H174" i="50" s="1"/>
  <c r="W54" i="22"/>
  <c r="W86" i="22" s="1"/>
  <c r="H4611" i="49"/>
  <c r="H4610" i="49"/>
  <c r="H4619" i="49"/>
  <c r="H4620" i="49"/>
  <c r="H4626" i="49"/>
  <c r="H4907" i="49"/>
  <c r="H4900" i="49"/>
  <c r="H4899" i="49"/>
  <c r="X52" i="22" l="1"/>
  <c r="W56" i="22"/>
  <c r="W67" i="22" s="1"/>
  <c r="W68" i="22" s="1"/>
  <c r="X56" i="18"/>
  <c r="X67" i="18" s="1"/>
  <c r="X68" i="18" s="1"/>
  <c r="V56" i="16"/>
  <c r="V67" i="16" s="1"/>
  <c r="V68" i="16" s="1"/>
  <c r="J4899" i="49"/>
  <c r="Q4899" i="49" s="1"/>
  <c r="Q4900" i="49"/>
  <c r="J4900" i="49"/>
  <c r="J4907" i="49"/>
  <c r="Q4907" i="49" s="1"/>
  <c r="F283" i="50"/>
  <c r="J4626" i="49"/>
  <c r="Q4626" i="49" s="1"/>
  <c r="J4620" i="49"/>
  <c r="Q4620" i="49" s="1"/>
  <c r="J4619" i="49"/>
  <c r="Q4619" i="49" s="1"/>
  <c r="J4610" i="49"/>
  <c r="Q4610" i="49" s="1"/>
  <c r="F275" i="50"/>
  <c r="J4611" i="49"/>
  <c r="Q4611" i="49" s="1"/>
  <c r="F276" i="50"/>
  <c r="J276" i="49"/>
  <c r="Q276" i="49" s="1"/>
  <c r="E276" i="50"/>
  <c r="W88" i="13"/>
  <c r="V64" i="29" s="1"/>
  <c r="V76" i="29" s="1"/>
  <c r="V77" i="29" s="1"/>
  <c r="U147" i="14"/>
  <c r="W89" i="13"/>
  <c r="V64" i="30" s="1"/>
  <c r="V76" i="30" s="1"/>
  <c r="V77" i="30" s="1"/>
  <c r="U157" i="14"/>
  <c r="J268" i="49"/>
  <c r="Q268" i="49"/>
  <c r="E268" i="50"/>
  <c r="G268" i="50" s="1"/>
  <c r="H268" i="50" s="1"/>
  <c r="E17" i="1"/>
  <c r="W50" i="31"/>
  <c r="W52" i="31"/>
  <c r="T164" i="14"/>
  <c r="W61" i="13" s="1"/>
  <c r="V48" i="30" s="1"/>
  <c r="R14" i="52"/>
  <c r="H283" i="49"/>
  <c r="U54" i="8"/>
  <c r="U56" i="8"/>
  <c r="W79" i="14"/>
  <c r="W80" i="14" s="1"/>
  <c r="Z81" i="13" s="1"/>
  <c r="Y64" i="22" s="1"/>
  <c r="Y76" i="22" s="1"/>
  <c r="Y77" i="22" s="1"/>
  <c r="G17" i="4" s="1"/>
  <c r="W78" i="14"/>
  <c r="W84" i="14" s="1"/>
  <c r="Z53" i="13" s="1"/>
  <c r="Y48" i="22" s="1"/>
  <c r="V50" i="28"/>
  <c r="V52" i="28"/>
  <c r="V48" i="8"/>
  <c r="W56" i="27"/>
  <c r="W67" i="27" s="1"/>
  <c r="W68" i="27" s="1"/>
  <c r="U138" i="14"/>
  <c r="U139" i="14" s="1"/>
  <c r="U140" i="14" s="1"/>
  <c r="V76" i="28"/>
  <c r="V77" i="28" s="1"/>
  <c r="V168" i="14"/>
  <c r="V169" i="14" s="1"/>
  <c r="V170" i="14" s="1"/>
  <c r="Y50" i="23"/>
  <c r="K18" i="4" s="1"/>
  <c r="Y52" i="23"/>
  <c r="U54" i="30"/>
  <c r="U56" i="30" s="1"/>
  <c r="Y50" i="25"/>
  <c r="K20" i="4" s="1"/>
  <c r="Y52" i="25"/>
  <c r="X54" i="22"/>
  <c r="X86" i="22" s="1"/>
  <c r="X56" i="25"/>
  <c r="X67" i="25" s="1"/>
  <c r="X68" i="25" s="1"/>
  <c r="V29" i="14"/>
  <c r="V30" i="14" s="1"/>
  <c r="J282" i="49"/>
  <c r="Q282" i="49"/>
  <c r="E282" i="50"/>
  <c r="G282" i="50" s="1"/>
  <c r="H282" i="50" s="1"/>
  <c r="U67" i="29"/>
  <c r="U68" i="29" s="1"/>
  <c r="X56" i="21"/>
  <c r="X67" i="21" s="1"/>
  <c r="X68" i="21" s="1"/>
  <c r="U86" i="29"/>
  <c r="Y50" i="21"/>
  <c r="K16" i="4" s="1"/>
  <c r="Y52" i="21"/>
  <c r="Q27" i="52"/>
  <c r="Q28" i="52" s="1"/>
  <c r="Q29" i="52" s="1"/>
  <c r="H275" i="49"/>
  <c r="W50" i="16"/>
  <c r="W52" i="16"/>
  <c r="Y86" i="13"/>
  <c r="X64" i="27" s="1"/>
  <c r="X76" i="27" s="1"/>
  <c r="X77" i="27" s="1"/>
  <c r="W127" i="14"/>
  <c r="J267" i="49"/>
  <c r="Q267" i="49" s="1"/>
  <c r="E267" i="50"/>
  <c r="G267" i="50" s="1"/>
  <c r="H267" i="50" s="1"/>
  <c r="E16" i="1"/>
  <c r="Y54" i="19"/>
  <c r="Y86" i="19" s="1"/>
  <c r="I14" i="4"/>
  <c r="W54" i="17"/>
  <c r="W86" i="17" s="1"/>
  <c r="W56" i="17"/>
  <c r="W67" i="17" s="1"/>
  <c r="W68" i="17" s="1"/>
  <c r="V18" i="14"/>
  <c r="W76" i="16"/>
  <c r="W77" i="16" s="1"/>
  <c r="X50" i="27"/>
  <c r="X52" i="27"/>
  <c r="T154" i="14"/>
  <c r="W60" i="13" s="1"/>
  <c r="V48" i="29" s="1"/>
  <c r="J274" i="49"/>
  <c r="Q274" i="49"/>
  <c r="E274" i="50"/>
  <c r="G274" i="50" s="1"/>
  <c r="H274" i="50" s="1"/>
  <c r="E23" i="1"/>
  <c r="Y54" i="18"/>
  <c r="Y86" i="18" s="1"/>
  <c r="Y56" i="18"/>
  <c r="Y67" i="18" s="1"/>
  <c r="Y68" i="18" s="1"/>
  <c r="I13" i="4"/>
  <c r="H4628" i="49"/>
  <c r="H4627" i="49"/>
  <c r="H4908" i="49"/>
  <c r="H4909" i="49"/>
  <c r="H4915" i="49"/>
  <c r="V64" i="8" l="1"/>
  <c r="V76" i="8" s="1"/>
  <c r="V77" i="8" s="1"/>
  <c r="J4915" i="49"/>
  <c r="Q4915" i="49"/>
  <c r="F291" i="50"/>
  <c r="J4909" i="49"/>
  <c r="Q4909" i="49" s="1"/>
  <c r="F285" i="50"/>
  <c r="J4908" i="49"/>
  <c r="Q4908" i="49" s="1"/>
  <c r="F284" i="50"/>
  <c r="J4627" i="49"/>
  <c r="Q4627" i="49" s="1"/>
  <c r="J4628" i="49"/>
  <c r="Q4628" i="49"/>
  <c r="Y90" i="13"/>
  <c r="X64" i="31" s="1"/>
  <c r="X76" i="31" s="1"/>
  <c r="X77" i="31" s="1"/>
  <c r="W167" i="14"/>
  <c r="X87" i="13"/>
  <c r="W64" i="28" s="1"/>
  <c r="V137" i="14"/>
  <c r="Y76" i="13"/>
  <c r="X64" i="17" s="1"/>
  <c r="X76" i="17" s="1"/>
  <c r="X77" i="17" s="1"/>
  <c r="W27" i="14"/>
  <c r="Y50" i="22"/>
  <c r="K17" i="4" s="1"/>
  <c r="Y52" i="22"/>
  <c r="X54" i="27"/>
  <c r="X86" i="27" s="1"/>
  <c r="U67" i="30"/>
  <c r="U68" i="30" s="1"/>
  <c r="G276" i="50"/>
  <c r="H276" i="50" s="1"/>
  <c r="U86" i="30"/>
  <c r="V50" i="30"/>
  <c r="V52" i="30"/>
  <c r="Y56" i="23"/>
  <c r="Y67" i="23" s="1"/>
  <c r="Y68" i="23" s="1"/>
  <c r="Y54" i="23"/>
  <c r="Y86" i="23" s="1"/>
  <c r="I18" i="4"/>
  <c r="W54" i="31"/>
  <c r="W86" i="31" s="1"/>
  <c r="W128" i="14"/>
  <c r="W129" i="14"/>
  <c r="W130" i="14" s="1"/>
  <c r="Z86" i="13" s="1"/>
  <c r="Y64" i="27" s="1"/>
  <c r="Y76" i="27" s="1"/>
  <c r="Y77" i="27" s="1"/>
  <c r="G22" i="4" s="1"/>
  <c r="V50" i="8"/>
  <c r="V52" i="8"/>
  <c r="V19" i="14"/>
  <c r="V20" i="14" s="1"/>
  <c r="V34" i="14"/>
  <c r="Y48" i="13" s="1"/>
  <c r="X48" i="17" s="1"/>
  <c r="V54" i="28"/>
  <c r="V86" i="28" s="1"/>
  <c r="V56" i="28"/>
  <c r="V67" i="28" s="1"/>
  <c r="V68" i="28" s="1"/>
  <c r="W54" i="16"/>
  <c r="W86" i="16" s="1"/>
  <c r="V174" i="14"/>
  <c r="Y62" i="13" s="1"/>
  <c r="X48" i="31" s="1"/>
  <c r="J275" i="49"/>
  <c r="Q275" i="49" s="1"/>
  <c r="E24" i="1"/>
  <c r="E275" i="50"/>
  <c r="G275" i="50" s="1"/>
  <c r="H275" i="50" s="1"/>
  <c r="U158" i="14"/>
  <c r="U159" i="14" s="1"/>
  <c r="U160" i="14" s="1"/>
  <c r="X56" i="22"/>
  <c r="X67" i="22" s="1"/>
  <c r="X68" i="22" s="1"/>
  <c r="R16" i="52"/>
  <c r="R26" i="52"/>
  <c r="H291" i="49"/>
  <c r="H285" i="49"/>
  <c r="U67" i="8"/>
  <c r="U68" i="8" s="1"/>
  <c r="V50" i="29"/>
  <c r="V52" i="29"/>
  <c r="Y56" i="19"/>
  <c r="Y67" i="19" s="1"/>
  <c r="Y68" i="19" s="1"/>
  <c r="Y54" i="21"/>
  <c r="Y86" i="21" s="1"/>
  <c r="I16" i="4"/>
  <c r="Y54" i="25"/>
  <c r="Y86" i="25" s="1"/>
  <c r="I20" i="4"/>
  <c r="R15" i="52"/>
  <c r="H284" i="49"/>
  <c r="U87" i="8"/>
  <c r="U148" i="14"/>
  <c r="U144" i="14"/>
  <c r="X59" i="13" s="1"/>
  <c r="W48" i="28" s="1"/>
  <c r="J283" i="49"/>
  <c r="Q283" i="49" s="1"/>
  <c r="E283" i="50"/>
  <c r="G283" i="50" s="1"/>
  <c r="H283" i="50" s="1"/>
  <c r="H4917" i="49"/>
  <c r="H4916" i="49"/>
  <c r="W56" i="31" l="1"/>
  <c r="W67" i="31" s="1"/>
  <c r="W68" i="31" s="1"/>
  <c r="J4916" i="49"/>
  <c r="Q4916" i="49"/>
  <c r="F292" i="50"/>
  <c r="J4917" i="49"/>
  <c r="Q4917" i="49" s="1"/>
  <c r="F293" i="50"/>
  <c r="X89" i="13"/>
  <c r="W64" i="30" s="1"/>
  <c r="W76" i="30" s="1"/>
  <c r="W77" i="30" s="1"/>
  <c r="V157" i="14"/>
  <c r="Y75" i="13"/>
  <c r="X64" i="16" s="1"/>
  <c r="W17" i="14"/>
  <c r="V54" i="29"/>
  <c r="V86" i="29" s="1"/>
  <c r="J285" i="49"/>
  <c r="Q285" i="49" s="1"/>
  <c r="E285" i="50"/>
  <c r="G285" i="50" s="1"/>
  <c r="H285" i="50" s="1"/>
  <c r="X50" i="31"/>
  <c r="X52" i="31"/>
  <c r="V24" i="14"/>
  <c r="Y47" i="13" s="1"/>
  <c r="X48" i="16" s="1"/>
  <c r="J291" i="49"/>
  <c r="Q291" i="49" s="1"/>
  <c r="E291" i="50"/>
  <c r="G291" i="50" s="1"/>
  <c r="H291" i="50" s="1"/>
  <c r="W56" i="16"/>
  <c r="W67" i="16" s="1"/>
  <c r="W68" i="16" s="1"/>
  <c r="Y56" i="22"/>
  <c r="Y67" i="22" s="1"/>
  <c r="Y68" i="22" s="1"/>
  <c r="Y54" i="22"/>
  <c r="Y86" i="22" s="1"/>
  <c r="I17" i="4"/>
  <c r="Y56" i="25"/>
  <c r="Y67" i="25" s="1"/>
  <c r="Y68" i="25" s="1"/>
  <c r="W28" i="14"/>
  <c r="W29" i="14" s="1"/>
  <c r="W30" i="14" s="1"/>
  <c r="Z76" i="13" s="1"/>
  <c r="Y64" i="17" s="1"/>
  <c r="Y76" i="17" s="1"/>
  <c r="Y77" i="17" s="1"/>
  <c r="G12" i="4" s="1"/>
  <c r="Y56" i="21"/>
  <c r="Y67" i="21" s="1"/>
  <c r="Y68" i="21" s="1"/>
  <c r="X50" i="17"/>
  <c r="X52" i="17"/>
  <c r="V138" i="14"/>
  <c r="V54" i="8"/>
  <c r="V87" i="8" s="1"/>
  <c r="V56" i="8"/>
  <c r="V67" i="8" s="1"/>
  <c r="V68" i="8" s="1"/>
  <c r="W168" i="14"/>
  <c r="W169" i="14" s="1"/>
  <c r="W170" i="14" s="1"/>
  <c r="Z90" i="13" s="1"/>
  <c r="Y64" i="31" s="1"/>
  <c r="Y76" i="31" s="1"/>
  <c r="Y77" i="31" s="1"/>
  <c r="G26" i="4" s="1"/>
  <c r="W76" i="28"/>
  <c r="W77" i="28" s="1"/>
  <c r="W50" i="28"/>
  <c r="W52" i="28"/>
  <c r="U164" i="14"/>
  <c r="X61" i="13" s="1"/>
  <c r="W48" i="30" s="1"/>
  <c r="V54" i="30"/>
  <c r="V86" i="30" s="1"/>
  <c r="U149" i="14"/>
  <c r="U150" i="14" s="1"/>
  <c r="R27" i="52"/>
  <c r="R28" i="52" s="1"/>
  <c r="R29" i="52" s="1"/>
  <c r="H292" i="49"/>
  <c r="J284" i="49"/>
  <c r="Q284" i="49" s="1"/>
  <c r="E284" i="50"/>
  <c r="G284" i="50" s="1"/>
  <c r="H284" i="50" s="1"/>
  <c r="H293" i="49"/>
  <c r="W134" i="14"/>
  <c r="Z58" i="13" s="1"/>
  <c r="Y48" i="27" s="1"/>
  <c r="X56" i="27"/>
  <c r="X67" i="27" s="1"/>
  <c r="X68" i="27" s="1"/>
  <c r="V56" i="29" l="1"/>
  <c r="V67" i="29" s="1"/>
  <c r="V68" i="29" s="1"/>
  <c r="D26" i="33"/>
  <c r="E26" i="33" s="1"/>
  <c r="D17" i="47"/>
  <c r="E17" i="47" s="1"/>
  <c r="B19" i="48"/>
  <c r="D19" i="48" s="1"/>
  <c r="W50" i="30"/>
  <c r="W52" i="30"/>
  <c r="U154" i="14"/>
  <c r="X60" i="13" s="1"/>
  <c r="W48" i="29" s="1"/>
  <c r="Y50" i="27"/>
  <c r="K22" i="4" s="1"/>
  <c r="Y52" i="27"/>
  <c r="W54" i="28"/>
  <c r="W86" i="28" s="1"/>
  <c r="X56" i="17"/>
  <c r="X67" i="17" s="1"/>
  <c r="X68" i="17" s="1"/>
  <c r="X54" i="17"/>
  <c r="X86" i="17" s="1"/>
  <c r="W18" i="14"/>
  <c r="X76" i="16"/>
  <c r="X77" i="16" s="1"/>
  <c r="V158" i="14"/>
  <c r="V159" i="14" s="1"/>
  <c r="V160" i="14" s="1"/>
  <c r="J293" i="49"/>
  <c r="D18" i="47" s="1"/>
  <c r="E18" i="47" s="1"/>
  <c r="E293" i="50"/>
  <c r="G293" i="50" s="1"/>
  <c r="H293" i="50" s="1"/>
  <c r="X50" i="16"/>
  <c r="X52" i="16"/>
  <c r="W34" i="14"/>
  <c r="Z48" i="13" s="1"/>
  <c r="Y48" i="17" s="1"/>
  <c r="X54" i="31"/>
  <c r="X86" i="31" s="1"/>
  <c r="J292" i="49"/>
  <c r="Q292" i="49" s="1"/>
  <c r="E292" i="50"/>
  <c r="G292" i="50" s="1"/>
  <c r="H292" i="50" s="1"/>
  <c r="W174" i="14"/>
  <c r="Z62" i="13" s="1"/>
  <c r="Y48" i="31" s="1"/>
  <c r="X88" i="13"/>
  <c r="W64" i="29" s="1"/>
  <c r="V147" i="14"/>
  <c r="V56" i="30"/>
  <c r="V67" i="30" s="1"/>
  <c r="V68" i="30" s="1"/>
  <c r="V139" i="14"/>
  <c r="V140" i="14" s="1"/>
  <c r="W56" i="28" l="1"/>
  <c r="W67" i="28" s="1"/>
  <c r="W68" i="28" s="1"/>
  <c r="X56" i="31"/>
  <c r="X67" i="31" s="1"/>
  <c r="X68" i="31" s="1"/>
  <c r="V164" i="14"/>
  <c r="Y61" i="13" s="1"/>
  <c r="X48" i="30" s="1"/>
  <c r="Y54" i="27"/>
  <c r="Y86" i="27" s="1"/>
  <c r="Y56" i="27"/>
  <c r="Y67" i="27" s="1"/>
  <c r="Y68" i="27" s="1"/>
  <c r="I22" i="4"/>
  <c r="K31" i="1"/>
  <c r="D40" i="33" s="1"/>
  <c r="E40" i="33" s="1"/>
  <c r="J5" i="1"/>
  <c r="Y50" i="31"/>
  <c r="K26" i="4" s="1"/>
  <c r="Y52" i="31"/>
  <c r="Q293" i="49"/>
  <c r="W76" i="29"/>
  <c r="W77" i="29" s="1"/>
  <c r="W64" i="8"/>
  <c r="W76" i="8" s="1"/>
  <c r="W77" i="8" s="1"/>
  <c r="Y89" i="13"/>
  <c r="X64" i="30" s="1"/>
  <c r="X76" i="30" s="1"/>
  <c r="X77" i="30" s="1"/>
  <c r="W157" i="14"/>
  <c r="W50" i="29"/>
  <c r="W52" i="29"/>
  <c r="W48" i="8"/>
  <c r="V144" i="14"/>
  <c r="Y59" i="13" s="1"/>
  <c r="X48" i="28" s="1"/>
  <c r="W54" i="30"/>
  <c r="W86" i="30" s="1"/>
  <c r="V148" i="14"/>
  <c r="V149" i="14"/>
  <c r="V150" i="14" s="1"/>
  <c r="Y50" i="17"/>
  <c r="K12" i="4" s="1"/>
  <c r="Y52" i="17"/>
  <c r="Y87" i="13"/>
  <c r="X64" i="28" s="1"/>
  <c r="W137" i="14"/>
  <c r="B8" i="48"/>
  <c r="X54" i="16"/>
  <c r="X86" i="16" s="1"/>
  <c r="W19" i="14"/>
  <c r="W20" i="14" s="1"/>
  <c r="Z75" i="13" s="1"/>
  <c r="Y64" i="16" s="1"/>
  <c r="X56" i="16" l="1"/>
  <c r="X67" i="16" s="1"/>
  <c r="X68" i="16" s="1"/>
  <c r="Y88" i="13"/>
  <c r="X64" i="29" s="1"/>
  <c r="X76" i="29" s="1"/>
  <c r="X77" i="29" s="1"/>
  <c r="W147" i="14"/>
  <c r="V154" i="14"/>
  <c r="Y60" i="13" s="1"/>
  <c r="X48" i="29" s="1"/>
  <c r="X48" i="8" s="1"/>
  <c r="Y54" i="31"/>
  <c r="Y86" i="31" s="1"/>
  <c r="I26" i="4"/>
  <c r="X50" i="28"/>
  <c r="X52" i="28"/>
  <c r="Y54" i="17"/>
  <c r="Y86" i="17" s="1"/>
  <c r="I12" i="4"/>
  <c r="Y76" i="16"/>
  <c r="Y77" i="16" s="1"/>
  <c r="G11" i="4" s="1"/>
  <c r="W56" i="30"/>
  <c r="W67" i="30" s="1"/>
  <c r="W68" i="30" s="1"/>
  <c r="W50" i="8"/>
  <c r="W52" i="8"/>
  <c r="D9" i="48"/>
  <c r="B9" i="48"/>
  <c r="D8" i="48"/>
  <c r="W138" i="14"/>
  <c r="W139" i="14" s="1"/>
  <c r="W140" i="14" s="1"/>
  <c r="Z87" i="13" s="1"/>
  <c r="Y64" i="28" s="1"/>
  <c r="W54" i="29"/>
  <c r="W86" i="29" s="1"/>
  <c r="X76" i="28"/>
  <c r="X77" i="28" s="1"/>
  <c r="W24" i="14"/>
  <c r="Z47" i="13" s="1"/>
  <c r="Y48" i="16" s="1"/>
  <c r="W159" i="14"/>
  <c r="W160" i="14" s="1"/>
  <c r="Z89" i="13" s="1"/>
  <c r="Y64" i="30" s="1"/>
  <c r="Y76" i="30" s="1"/>
  <c r="Y77" i="30" s="1"/>
  <c r="G25" i="4" s="1"/>
  <c r="W158" i="14"/>
  <c r="X50" i="30"/>
  <c r="X52" i="30"/>
  <c r="Y56" i="17" l="1"/>
  <c r="Y67" i="17" s="1"/>
  <c r="Y68" i="17" s="1"/>
  <c r="W56" i="29"/>
  <c r="W67" i="29" s="1"/>
  <c r="W68" i="29" s="1"/>
  <c r="X50" i="8"/>
  <c r="X52" i="8"/>
  <c r="Y76" i="28"/>
  <c r="Y77" i="28" s="1"/>
  <c r="G23" i="4" s="1"/>
  <c r="X54" i="30"/>
  <c r="X86" i="30" s="1"/>
  <c r="X56" i="30"/>
  <c r="X67" i="30" s="1"/>
  <c r="X68" i="30" s="1"/>
  <c r="W144" i="14"/>
  <c r="Z59" i="13" s="1"/>
  <c r="Y48" i="28" s="1"/>
  <c r="X54" i="28"/>
  <c r="X86" i="28" s="1"/>
  <c r="W164" i="14"/>
  <c r="Z61" i="13" s="1"/>
  <c r="Y48" i="30" s="1"/>
  <c r="Y50" i="16"/>
  <c r="K11" i="4" s="1"/>
  <c r="Y52" i="16"/>
  <c r="Y56" i="31"/>
  <c r="Y67" i="31" s="1"/>
  <c r="Y68" i="31" s="1"/>
  <c r="X50" i="29"/>
  <c r="X52" i="29"/>
  <c r="W54" i="8"/>
  <c r="W87" i="8" s="1"/>
  <c r="W56" i="8"/>
  <c r="W67" i="8" s="1"/>
  <c r="W68" i="8" s="1"/>
  <c r="X64" i="8"/>
  <c r="X76" i="8" s="1"/>
  <c r="X77" i="8" s="1"/>
  <c r="W148" i="14"/>
  <c r="W149" i="14"/>
  <c r="W150" i="14" s="1"/>
  <c r="Z88" i="13" s="1"/>
  <c r="Y64" i="29" s="1"/>
  <c r="Y76" i="29" l="1"/>
  <c r="Y77" i="29" s="1"/>
  <c r="G24" i="4" s="1"/>
  <c r="G27" i="4" s="1"/>
  <c r="Y64" i="8"/>
  <c r="Y76" i="8" s="1"/>
  <c r="Y77" i="8" s="1"/>
  <c r="Y50" i="30"/>
  <c r="K25" i="4" s="1"/>
  <c r="Y52" i="30"/>
  <c r="X56" i="28"/>
  <c r="X67" i="28" s="1"/>
  <c r="X68" i="28" s="1"/>
  <c r="Y50" i="28"/>
  <c r="K23" i="4" s="1"/>
  <c r="Y52" i="28"/>
  <c r="W154" i="14"/>
  <c r="Z60" i="13" s="1"/>
  <c r="Y48" i="29" s="1"/>
  <c r="Y48" i="8" s="1"/>
  <c r="X54" i="29"/>
  <c r="X86" i="29" s="1"/>
  <c r="X56" i="29"/>
  <c r="X67" i="29" s="1"/>
  <c r="X68" i="29" s="1"/>
  <c r="Y54" i="16"/>
  <c r="Y86" i="16" s="1"/>
  <c r="I11" i="4"/>
  <c r="X56" i="8"/>
  <c r="X67" i="8" s="1"/>
  <c r="X68" i="8" s="1"/>
  <c r="X54" i="8"/>
  <c r="X87" i="8" s="1"/>
  <c r="Y56" i="16" l="1"/>
  <c r="Y67" i="16" s="1"/>
  <c r="Y68" i="16" s="1"/>
  <c r="G28" i="4"/>
  <c r="F28" i="4"/>
  <c r="Y50" i="29"/>
  <c r="K24" i="4" s="1"/>
  <c r="Y52" i="29"/>
  <c r="Y54" i="28"/>
  <c r="Y86" i="28" s="1"/>
  <c r="I23" i="4"/>
  <c r="Y54" i="30"/>
  <c r="Y86" i="30" s="1"/>
  <c r="I25" i="4"/>
  <c r="Y50" i="8"/>
  <c r="Y52" i="8"/>
  <c r="Y56" i="28" l="1"/>
  <c r="Y67" i="28" s="1"/>
  <c r="Y68" i="28" s="1"/>
  <c r="Y56" i="30"/>
  <c r="Y67" i="30" s="1"/>
  <c r="Y68" i="30" s="1"/>
  <c r="Y54" i="29"/>
  <c r="Y86" i="29" s="1"/>
  <c r="I24" i="4"/>
  <c r="I27" i="4" s="1"/>
  <c r="Y54" i="8"/>
  <c r="Y87" i="8" s="1"/>
  <c r="I28" i="4" l="1"/>
  <c r="H28" i="4"/>
  <c r="Y56" i="29"/>
  <c r="Y67" i="29" s="1"/>
  <c r="Y68" i="29" s="1"/>
  <c r="Y56" i="8"/>
  <c r="Y67" i="8" s="1"/>
  <c r="Y68"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<sst xmlns="http://schemas.openxmlformats.org/spreadsheetml/2006/main" count="45637" uniqueCount="8116">
  <si>
    <t>NGO-B Affordable Housing Portfolio · Investor Summary (Live v8)</t>
  </si>
  <si>
    <t>Purpose: investor-facing output rebuilt from authoritative classification, capital-flow, and reconciliation layers. Legacy narrative preserved in LEGACY_INVESTOR_SUMMARY.</t>
  </si>
  <si>
    <t>1 · Portfolio Snapshot and Model Governance</t>
  </si>
  <si>
    <t>Included Properties</t>
  </si>
  <si>
    <t>Included Units</t>
  </si>
  <si>
    <t>Excluded Assets</t>
  </si>
  <si>
    <t>Classification Status</t>
  </si>
  <si>
    <t>Capital-Flow Recon</t>
  </si>
  <si>
    <t>Included Source Errors</t>
  </si>
  <si>
    <t>Current Year</t>
  </si>
  <si>
    <t>Classification Test Year</t>
  </si>
  <si>
    <t>Stabilized Year</t>
  </si>
  <si>
    <t>Exit Cap Rate</t>
  </si>
  <si>
    <t>Payout Ratio</t>
  </si>
  <si>
    <t>Legacy Page</t>
  </si>
  <si>
    <t>Source hierarchy: DATA_ASSET_CLASSIFICATION → DATA_CAPITAL_FLOW → DATA_CAPITAL_FLOW_RECON → this summary. Do not manually type investor numbers here.</t>
  </si>
  <si>
    <t>2 · Portfolio Capital Flow Summary — Clean Output</t>
  </si>
  <si>
    <t>Metric</t>
  </si>
  <si>
    <t>Interpretation / Treatment</t>
  </si>
  <si>
    <t>Net Operating Income</t>
  </si>
  <si>
    <t>Operating performance before reserves and debt.</t>
  </si>
  <si>
    <t>Adjusted NOI</t>
  </si>
  <si>
    <t>NOI after replacement reserves.</t>
  </si>
  <si>
    <t>Debt Service</t>
  </si>
  <si>
    <t>Annual debt payment; outflow shown from debt layer.</t>
  </si>
  <si>
    <t>AFFO / Levered Cash Flow</t>
  </si>
  <si>
    <t>Levered operating cash flow after debt service.</t>
  </si>
  <si>
    <t>Distributions</t>
  </si>
  <si>
    <t>AFFO available for distribution based on payout ratio.</t>
  </si>
  <si>
    <t>Retained Operating Cash</t>
  </si>
  <si>
    <t>AFFO retained after distributions.</t>
  </si>
  <si>
    <t>Balloon Repayment</t>
  </si>
  <si>
    <t>Capital event / debt repayment requirement.</t>
  </si>
  <si>
    <t>Gross Refinance Proceeds</t>
  </si>
  <si>
    <t>Gross refi/takeout capital proceeds.</t>
  </si>
  <si>
    <t>Net Refinance Position</t>
  </si>
  <si>
    <t>Positive = surplus; negative = funding gap before split.</t>
  </si>
  <si>
    <t>Refinance Surplus Available</t>
  </si>
  <si>
    <t>Positive refinance surplus separated from funding gap.</t>
  </si>
  <si>
    <t>Residual Funding Gap</t>
  </si>
  <si>
    <t>Capital need shown separately; not treated as equity returned.</t>
  </si>
  <si>
    <t>Clean Total Cash to Partnership</t>
  </si>
  <si>
    <t>Operating retained cash plus refinance surplus only.</t>
  </si>
  <si>
    <t>Legacy Total Cash to Partnership</t>
  </si>
  <si>
    <t>Legacy diagnostic only; mixes net refi position into total cash.</t>
  </si>
  <si>
    <t>3 · Asset Classification Summary — Authoritative Source</t>
  </si>
  <si>
    <t>4 · Live Governance Checks</t>
  </si>
  <si>
    <t>Final Classification</t>
  </si>
  <si>
    <t>Property Count</t>
  </si>
  <si>
    <t>Units</t>
  </si>
  <si>
    <t>2025 NOI</t>
  </si>
  <si>
    <t>2035 AFFO</t>
  </si>
  <si>
    <t>Max Residual Funding Gap</t>
  </si>
  <si>
    <t>Property IDs</t>
  </si>
  <si>
    <t>Use in underwriting narrative</t>
  </si>
  <si>
    <t>Check</t>
  </si>
  <si>
    <t>Status</t>
  </si>
  <si>
    <t>Source / Logic</t>
  </si>
  <si>
    <t>Excluded</t>
  </si>
  <si>
    <t>Out of current scope; not included in portfolio totals.</t>
  </si>
  <si>
    <t>Classification data quality</t>
  </si>
  <si>
    <t>DATA_ASSET_CLASSIFICATION!X8:X24</t>
  </si>
  <si>
    <t>New Build</t>
  </si>
  <si>
    <t>Development/new-build assets; track construction/takeout/funding gap separately.</t>
  </si>
  <si>
    <t>Override reason enforcement</t>
  </si>
  <si>
    <t>Human override requires reason.</t>
  </si>
  <si>
    <t>Stable</t>
  </si>
  <si>
    <t>Core operating assets supporting the portfolio thesis.</t>
  </si>
  <si>
    <t>Capital-flow reconciliation</t>
  </si>
  <si>
    <t>DATA_CAPITAL_FLOW_RECON!H5:H293</t>
  </si>
  <si>
    <t>Refi Watch</t>
  </si>
  <si>
    <t>Operating assets that require financing/maturity attention.</t>
  </si>
  <si>
    <t>Included-source aggregation errors</t>
  </si>
  <si>
    <t>DATA_AGGREGATION_AUDIT!B2</t>
  </si>
  <si>
    <t>Workout</t>
  </si>
  <si>
    <t>Assets requiring intervention plan before being treated as investable.</t>
  </si>
  <si>
    <t>Investor summary rebuilt</t>
  </si>
  <si>
    <t>Summary formulas + legacy preservation.</t>
  </si>
  <si>
    <t>5 · Property-Level Funding Gap Trace — from DATA_CAPITAL_FLOW</t>
  </si>
  <si>
    <t>Property ID</t>
  </si>
  <si>
    <t>Property Name</t>
  </si>
  <si>
    <t>2029 Residual Gap</t>
  </si>
  <si>
    <t>2035 Residual Gap</t>
  </si>
  <si>
    <t>2040 Residual Gap</t>
  </si>
  <si>
    <t>Max Residual Gap</t>
  </si>
  <si>
    <t>Flag</t>
  </si>
  <si>
    <t>Register Bucket</t>
  </si>
  <si>
    <t>Included?</t>
  </si>
  <si>
    <t>Source</t>
  </si>
  <si>
    <t>Action</t>
  </si>
  <si>
    <t>DATA_CAPITAL_FLOW property-level rows</t>
  </si>
  <si>
    <t>Audit note: all numbers on this page are formulas sourced from model authority layers. Legacy narrative remains available in LEGACY_INVESTOR_SUMMARY for comparison only.</t>
  </si>
  <si>
    <t>LEGACY COPY — pre-v8 investor summary preserved for audit only</t>
  </si>
  <si>
    <t>NGO-B AFFORDABLE HOUSING PORTFOLIO  ·  INVESTOR SUMMARY</t>
  </si>
  <si>
    <t>2025 FORECAST</t>
  </si>
  <si>
    <t>Portfolio snapshot | 17 properties · 1,122 units · Metro Vancouver &amp; Lower Mainland</t>
  </si>
  <si>
    <t>Base</t>
  </si>
  <si>
    <t>2029 NOI</t>
  </si>
  <si>
    <t>Implied Val</t>
  </si>
  <si>
    <t>DSCR '25</t>
  </si>
  <si>
    <t>Post-'35 AFFO</t>
  </si>
  <si>
    <t>──────────</t>
  </si>
  <si>
    <t>Blended</t>
  </si>
  <si>
    <t>Variance (Blended - Base)</t>
  </si>
  <si>
    <t>PORTFOLIO SEGMENTATION  ·  Three Buckets for Investor Clarity</t>
  </si>
  <si>
    <t>KEY RISKS  ·  Flagged &amp; Addressed</t>
  </si>
  <si>
    <t>Bucket</t>
  </si>
  <si>
    <t>Properties</t>
  </si>
  <si>
    <t>Status / Note</t>
  </si>
  <si>
    <t>Risk</t>
  </si>
  <si>
    <t>Severity</t>
  </si>
  <si>
    <t>Mitigation</t>
  </si>
  <si>
    <t>1 · New Builds
(Income engine)</t>
  </si>
  <si>
    <t>BLD_PM · BLD_AS · BLD_PS · BLD_CD</t>
  </si>
  <si>
    <t>4 CHF/CMHC-backed properties. Come online 2027–2029. Permanent debt is now DSCR-sized off opening NOI; residual capital need remains grant/equity/subordinate capital.</t>
  </si>
  <si>
    <t>Workout assets (3 properties) drag portfolio NOI</t>
  </si>
  <si>
    <t>HIGH</t>
  </si>
  <si>
    <t>Segment separately. Disposition or redevelopment mandate. Removes ~$730K annual drag.</t>
  </si>
  <si>
    <t>2 · Legacy Affordable
(Stable cash flow)</t>
  </si>
  <si>
    <t>BLD_NG · BLD_NT · BLD_RG · BLD_EE
BLD_BT · BLD_AC · BLD_JP · BLD_MH · BLD_AB</t>
  </si>
  <si>
    <t>9 BCHMC/legacy properties. Debt retires 2026-2035. AFFO inflects sharply post-2035.</t>
  </si>
  <si>
    <t>2034-35 balloon cluster
($14M Evergreen+Murray+Newton)</t>
  </si>
  <si>
    <t>Evergreen &amp; Murray need CHF/CMHC non-recourse refi — not conventional. Late-refi scenario (2037) viable at 4.5%.</t>
  </si>
  <si>
    <t>3 · Workout Assets
(Separate plan needed)</t>
  </si>
  <si>
    <t>BLD_CH · BLD_CC
BLD_EA · BLD_MM</t>
  </si>
  <si>
    <t>Negative NOI. Require: (a) redevelopment mandate, (b) additional subsidy, or (c) strategic disposition.</t>
  </si>
  <si>
    <t>Rent roll 15/17 properties ASSUMED
(not actual data)</t>
  </si>
  <si>
    <t>MEDIUM</t>
  </si>
  <si>
    <t>Flag in model. Add ±10% rent sensitivity scenario. Collect actual rent rolls before Series A.</t>
  </si>
  <si>
    <t>OpEx grows 2× faster than rent
(4% vs 2%)</t>
  </si>
  <si>
    <t>BC RTA constraint on rent growth. Insurance/utilities driving opEx. Disclose regulatory context to investors.</t>
  </si>
  <si>
    <t>THE INVESTMENT THESIS  ·  Why This Portfolio Is Different</t>
  </si>
  <si>
    <t>5.5%+ rate environment at 2034 refi</t>
  </si>
  <si>
    <t>Stress scenario shows DSCR 1.20x (marginal). Mitigated by government-backed programs bypassing commercial DSCR floor.</t>
  </si>
  <si>
    <t>AFFO Conversion Is Debt-Limited in the Mid-2030s</t>
  </si>
  <si>
    <t>The live model now shows AFFO conversion as a ramp, not a near-term 90%+ case. Debt service still absorbs a meaningful share of NOI in 2035, then AFFO improves over time as fixed debt is diluted and legacy debt rolls off.</t>
  </si>
  <si>
    <t>DSCR-sized takeout creates residual development capital need</t>
  </si>
  <si>
    <t>Treat the residual as grant/equity/subordinate mission capital. Do not assume 90% LTC converts directly into sustainable permanent debt.</t>
  </si>
  <si>
    <t>Government-Backed Revenue</t>
  </si>
  <si>
    <t>BC Housing CHF subsidies cover 100% of OpEx for BLD_AS, BLD_PS &amp; BLD_CD. CMHC MLI Select insured debt on BLD_PM. Revenue is government-guaranteed — not market-rent dependent.</t>
  </si>
  <si>
    <t>Ultra-Low Leverage</t>
  </si>
  <si>
    <t>Debt/Implied Value: 16% in 2025, declining to near zero by 2040. Boardwalk operates at 40.6% LTV. NGO-B's low leverage is a structural advantage — refinancing risk is limited to the 2034-35 balloon cluster.</t>
  </si>
  <si>
    <t>INVESTOR RETURNS  ·  10-Year Hold from 2035</t>
  </si>
  <si>
    <t>AFFO Improvement Comes from Sustainable Takeout + Legacy Debt Runoff</t>
  </si>
  <si>
    <t>Development debt is now sized off opening-year DSCR instead of raw LTC. Legacy debt retirement still helps, but the model no longer relies on a single 2035 cliff to produce the return case.</t>
  </si>
  <si>
    <t>Scenario A
(Income REIT)</t>
  </si>
  <si>
    <t>Scenario B
(Private Fund)</t>
  </si>
  <si>
    <t>Entry (% of NAV)</t>
  </si>
  <si>
    <t>Payout ratio</t>
  </si>
  <si>
    <t>Year 1 cash yield</t>
  </si>
  <si>
    <t>Avg yield (Yr 1-5)</t>
  </si>
  <si>
    <t>10-year IRR</t>
  </si>
  <si>
    <t>Div / $100K invested</t>
  </si>
  <si>
    <t>Sources: NGO-B_Modeling_v5 (04_PORT ROLLUP, 08_SCENARIOS) · Boardwalk REIT FY2025 earnings (Feb 2026) · BC Housing CHF program · CMHC MLI Select 2026 indicative rates</t>
  </si>
  <si>
    <t>NGO-B PORTFOLIO REGISTER  ·  Standardized Property Classification</t>
  </si>
  <si>
    <t>City / Municipality</t>
  </si>
  <si>
    <t>2025 NOI ($)</t>
  </si>
  <si>
    <t>2029 NOI ($)</t>
  </si>
  <si>
    <t>2035 NOI ($)</t>
  </si>
  <si>
    <t>Lender / Program</t>
  </si>
  <si>
    <t>Debt Term</t>
  </si>
  <si>
    <t>Portfolio Bucket</t>
  </si>
  <si>
    <t>Rent Roll Status</t>
  </si>
  <si>
    <t>Issues / Flags</t>
  </si>
  <si>
    <t>Standardization Actions Required</t>
  </si>
  <si>
    <t>⚠ ASSUMED — no rent roll</t>
  </si>
  <si>
    <t>Affordable rent = $0 (no data). Mkt units = 10 assumed.</t>
  </si>
  <si>
    <t>Obtain rent roll. Update affordable rent in 03_RENT col K.</t>
  </si>
  <si>
    <t>⚠ ASSUMED — 10 mkt units</t>
  </si>
  <si>
    <t>NOI declining to $9K by 2045 as opex compounds.</t>
  </si>
  <si>
    <t>Obtain rent roll. Consider refi post-2035 at lower rate.</t>
  </si>
  <si>
    <t>NOI stable 2025-2035 then slight decline.</t>
  </si>
  <si>
    <t>Obtain rent roll. Refi engine shows PASS at 1.26x DSCR.</t>
  </si>
  <si>
    <t>CRITICAL: Negative NOI every year. 63 studios at $586/unit affordable. No path to profitability under current structure.</t>
  </si>
  <si>
    <t>Define mandate: (a) redevelopment, (b) additional operating subsidy, or (c) disposition. Cannot be included in I-REIT without resolution.</t>
  </si>
  <si>
    <t>WARNING: NOI positive today but turns negative by 2035. OpEx growing faster than revenue.</t>
  </si>
  <si>
    <t>Needs operating subsidy or rent uplift strategy before 2032. Flag for board review.</t>
  </si>
  <si>
    <t>⚠ ASSUMED — no actual rent roll</t>
  </si>
  <si>
    <t>Unit count is populated, but unit mix / actual rent roll are still assumed. Refi remains constrained by weak NOI.</t>
  </si>
  <si>
    <t>Obtain actual rent roll and unit mix. Stress-test CMHC / government-backed refi assumptions.</t>
  </si>
  <si>
    <t>NOI declining slowly. Refi 2028 shows PASS (1.30x DSCR).</t>
  </si>
  <si>
    <t>Obtain rent roll. Confirm refi terms with BCHMC.</t>
  </si>
  <si>
    <t>WARNING: NOI turns negative by 2033. Redevelopment candidate per 03_RENT note.</t>
  </si>
  <si>
    <t>Redevelopment feasibility study recommended. Flag for long-term capital plan.</t>
  </si>
  <si>
    <t>NOI declining. Small building (19 units). Low absolute cash flow.</t>
  </si>
  <si>
    <t>Obtain rent roll. Consider bundling with nearby properties for operational efficiency.</t>
  </si>
  <si>
    <t>Obtain actual rent roll and unit mix. Same refi strategy as Evergreen — likely government-backed only.</t>
  </si>
  <si>
    <t>Note: unit count discrepancy (model=40, portfolio register=41). Minor.</t>
  </si>
  <si>
    <t>Reconcile unit count. Obtain rent roll. Solid cash-flowing asset.</t>
  </si>
  <si>
    <t>Note: unit count discrepancy (model=49, portfolio=52). $3.4M balloon 2034 — part of cluster.</t>
  </si>
  <si>
    <t>Reconcile unit count. Plan 2034 refi now — part of balloon cluster with Evergreen+Murray.</t>
  </si>
  <si>
    <t>Good cash flow. $2.4% rate is below-market — refi will increase debt service.</t>
  </si>
  <si>
    <t>Model refi impact explicitly when Peoples Group term expires May 2026.</t>
  </si>
  <si>
    <t>CHF subsidy covers 100% of OpEx. Opens 2028. No debt (CHF program). NOI = gross revenue from rent.</t>
  </si>
  <si>
    <t>Confirm CHF subsidy agreement terms. Obtain pro-forma rent roll from BC Housing.</t>
  </si>
  <si>
    <t>CHF subsidy covers 100% of OpEx. Already showing $1.37M NOI in 2025 (pre-opening revenue?). Confirm.</t>
  </si>
  <si>
    <t>Verify whether 2025 NOI reflects pre-opening revenues or a data entry issue.</t>
  </si>
  <si>
    <t>Largest asset in portfolio. CMHC insured. $47.3M construction debt. No OpEx in model (property taxes only).</t>
  </si>
  <si>
    <t>Confirm full OpEx budget with operator. CMHC insured = favorable refi terms available.</t>
  </si>
  <si>
    <t>CHF subsidy covers 100% of OpEx. Opens 2029.</t>
  </si>
  <si>
    <t>Confirm CHF terms. Obtain rent roll from BC Housing. Verify 2025 pre-opening NOI.</t>
  </si>
  <si>
    <t>PORTFOLIO TOTAL</t>
  </si>
  <si>
    <t>PORTFOLIO SUMMARY - NGO-B</t>
  </si>
  <si>
    <t>Per-building NOI, NAV, AFFO, DSCR</t>
  </si>
  <si>
    <t>Current Year:</t>
  </si>
  <si>
    <t>Observed Year:</t>
  </si>
  <si>
    <t>Min. DSCR Threshold:</t>
  </si>
  <si>
    <t>Min. AFFO Threshold.</t>
  </si>
  <si>
    <t>PER-BUILDING SUMMARY</t>
  </si>
  <si>
    <t>Building ID</t>
  </si>
  <si>
    <t>NET OPERATING INCOME ($)</t>
  </si>
  <si>
    <t>PROPERTY NAV ($)</t>
  </si>
  <si>
    <t>AFFO ($)</t>
  </si>
  <si>
    <t>DSCR</t>
  </si>
  <si>
    <t>Portfolio Total</t>
  </si>
  <si>
    <t>Year-over-Year</t>
  </si>
  <si>
    <t>THE INVESTMENT THESIS · Why This Portfolio Is Different</t>
  </si>
  <si>
    <t>The live model shows AFFO conversion as a ramp, not a near-term 90%+ case. Debt service absorbs a meaningful share of NOI in 2035, then improves as fixed debt is diluted and legacy debt rolls off.</t>
  </si>
  <si>
    <t>Debt/Implied Value is 16% in 2025, declining to near zero by 2040. Refinancing risk is limited to the 2034–35 balloon cluster — a structural advantage versus market-rate peers.</t>
  </si>
  <si>
    <t>AFFO Improvement from Sustainable Takeout + Legacy Debt Runoff</t>
  </si>
  <si>
    <t>Development debt is sized off opening-year DSCR instead of raw LTC. Legacy debt retirement helps, but the model no longer relies on a single 2035 cliff to produce the return case.</t>
  </si>
  <si>
    <t>PORTFOLIO SEGMENTATION · Three Buckets for Investor Clarity</t>
  </si>
  <si>
    <t>New Build · Income engine</t>
  </si>
  <si>
    <t>4 CHF/CMHC-backed properties (BLD_AS, BLD_PS, BLD_PM, BLD_CD). Come online 2027–2029. Permanent debt is DSCR-sized off opening NOI; residual capital need remains grant/equity/subordinate capital.</t>
  </si>
  <si>
    <t>Stable · Legacy affordable</t>
  </si>
  <si>
    <t>BCHMC/legacy properties with positive coverage. Debt retires 2026–2035; AFFO inflects sharply post-2035 as legacy debt rolls off.</t>
  </si>
  <si>
    <t>Workout · Separate plan needed</t>
  </si>
  <si>
    <t>DSCR below 1.0x or negative AFFO at the tested year (currently BLD_EE, BLD_RG). Require: (a) redevelopment mandate, (b) additional subsidy, or (c) strategic disposition.</t>
  </si>
  <si>
    <t>RENT TRACKER - NGO-B</t>
  </si>
  <si>
    <t>Base-year rent roll by property — sourced from the Rent Engine.</t>
  </si>
  <si>
    <t>RENT ROLL BY PROPERTY</t>
  </si>
  <si>
    <t>Property</t>
  </si>
  <si>
    <t>City</t>
  </si>
  <si>
    <t>Start Yr.</t>
  </si>
  <si>
    <t>Base Yr. Rent Income ($)</t>
  </si>
  <si>
    <t>Rent/Unit/Mo.</t>
  </si>
  <si>
    <t>CAPITAL &amp; DEBT PLAN - NGO-B</t>
  </si>
  <si>
    <t>Mortgage profile, debt buckets, and refinance potential by property.</t>
  </si>
  <si>
    <t>DEBT &amp; FINANCING BY PROPERTY</t>
  </si>
  <si>
    <t>Mortgage (Lender)</t>
  </si>
  <si>
    <t>Term Date</t>
  </si>
  <si>
    <t>Annual Payment ($)</t>
  </si>
  <si>
    <t>Mortgage Debt ($)</t>
  </si>
  <si>
    <t>Construction Loan ($)</t>
  </si>
  <si>
    <t>Refi Potential</t>
  </si>
  <si>
    <t>ASSUMPTIONS GUIDE - NGO-B</t>
  </si>
  <si>
    <t>Assumptions used throughout the portfolio underwriting analysis.</t>
  </si>
  <si>
    <t>PROPERTY CASH-FLOW DRIVERS</t>
  </si>
  <si>
    <t>Assumption</t>
  </si>
  <si>
    <t>Current Value</t>
  </si>
  <si>
    <t>Bear / Low</t>
  </si>
  <si>
    <t>Bull / High</t>
  </si>
  <si>
    <t>Investor Note</t>
  </si>
  <si>
    <t>Rent Growth — Before Operating Agreement Expiry (%)</t>
  </si>
  <si>
    <t>BC Residential Tenancy Act annual guideline. 2023: 2.0%, 2024: 3.5%. Model uses conservative floor.</t>
  </si>
  <si>
    <t>REGULATORY CONSTRAINT — not a modelling choice. Disclose to investors. Cannot raise rents faster than RTA guideline.</t>
  </si>
  <si>
    <t>Rent Growth — After Operating Agreement Expiry (%)</t>
  </si>
  <si>
    <t>Same BC RTA guideline. Long-run inflation proxy.</t>
  </si>
  <si>
    <t>Consistent with 2% Bank of Canada inflation target. Conservative relative to Metro Van historical CPI.</t>
  </si>
  <si>
    <t>OpEx Growth — Before Operating Agreement Expiry (%)</t>
  </si>
  <si>
    <t>BC insurance market: +10-15%/yr 2020-2024. Utilities CPI: +3-5%/yr. Blended estimate.</t>
  </si>
  <si>
    <t>KEY RISK: OpEx grows 2× faster than rent. Insurance and utilities are the drivers. Structural for affordable housing in BC.</t>
  </si>
  <si>
    <t>OpEx Growth — After Operating Agreement Expiry (%)</t>
  </si>
  <si>
    <t>Assumes insurance market normalizes. Utilities stabilize post-electrification.</t>
  </si>
  <si>
    <t>Post-2035 assumption less critical given low debt. Even at 4%, AFFO margin stays above 85%.</t>
  </si>
  <si>
    <t>Vacancy Rate (%)</t>
  </si>
  <si>
    <t>Boardwalk FY2025: 2.3%. Metro Van structural vacancy well below 3%. Affordable housing: essentially 0%.</t>
  </si>
  <si>
    <t>Model may be OVERSTATING vacancy. Affordable housing in Metro Van has near-zero vacancy. Could be conservative downside.</t>
  </si>
  <si>
    <t>Replacement Reserve Requirement (Per Unit)</t>
  </si>
  <si>
    <t>Replacement Reserve Requirement Growth (%)</t>
  </si>
  <si>
    <t>RENT DRIVERS</t>
  </si>
  <si>
    <t>% Market — pre-expiry</t>
  </si>
  <si>
    <t>Placeholder</t>
  </si>
  <si>
    <t>% of total units that can be converted to market rate units, per current mortgage subsidy/program provisions.</t>
  </si>
  <si>
    <t>% Market — post-expiry</t>
  </si>
  <si>
    <t>DEBT DRIVERS</t>
  </si>
  <si>
    <t>Maximum Loan-to-Value (LTV): 
Refinance</t>
  </si>
  <si>
    <t>Minimum Debt Service Coverage Ratio (DSCR): Refinance</t>
  </si>
  <si>
    <t>Lender covenant minimum. CMHC/BCHMC: 1.0-1.2x. Conventional: 1.2-1.25x.</t>
  </si>
  <si>
    <t>Government programs use lower DSCR floors than commercial lenders. Key for Evergreen/Murray refi strategy.</t>
  </si>
  <si>
    <t>Interest Rate (%):
Refinance</t>
  </si>
  <si>
    <t>CMHC MLI Select indicative 2026: ~4.0-4.5%. Legacy BCHMC weighted avg: ~3.78-4.02%.</t>
  </si>
  <si>
    <t>Base case 4.0% is achievable under CMHC MLI Select. At 5.5%, stressed DSCR is 1.20x (marginal). See 07_FEASIBILITY.</t>
  </si>
  <si>
    <t>Amortizing Years:
Refinance</t>
  </si>
  <si>
    <t>Cap Rate (%)</t>
  </si>
  <si>
    <t>Metro Van market cap rates: affordable 4.5-5.5%, market-rate 4.5-5.0%. Model uses conservative 6.0%.</t>
  </si>
  <si>
    <t>Cap rate utilized in order to derive property/portfolio value, based on forward NOI.</t>
  </si>
  <si>
    <t>Maximum Loan-to-Cost (LTC):
New Development Construction</t>
  </si>
  <si>
    <t>Model may overstate new development construction debt service, as it is assumed that the full maximum loan amount is drawn at construction commencement.</t>
  </si>
  <si>
    <t>Construction Cost (per unit)</t>
  </si>
  <si>
    <t>Interest Rate (%):
New Development Construction</t>
  </si>
  <si>
    <t>Amortizing Years:
New Development Construction</t>
  </si>
  <si>
    <t>RETURN DRIVERS</t>
  </si>
  <si>
    <t>Payout Ratio (%)</t>
  </si>
  <si>
    <t>60%</t>
  </si>
  <si>
    <t>50%</t>
  </si>
  <si>
    <t>85%</t>
  </si>
  <si>
    <t>Internal policy. Boardwalk uses ~20-25% FFO payout (heavy debt load). REIT minimum: 90% of taxable income.</t>
  </si>
  <si>
    <t>Conservative. Post-2035, 75-85% payout is achievable given low debt. Increase in Scenario analysis (08_SCENARIOS).</t>
  </si>
  <si>
    <t>Exit Cap Rate (%)</t>
  </si>
  <si>
    <t>6.0%</t>
  </si>
  <si>
    <t>5.0%</t>
  </si>
  <si>
    <t>7.5%</t>
  </si>
  <si>
    <t>Model may UNDER-VALUE the portfolio. At 5.0% cap, 2025 implied value = $146M vs $122M. Use sensitivity table (05_SENSITIVITY).</t>
  </si>
  <si>
    <t>Portfolio Stabilization Year</t>
  </si>
  <si>
    <t>Government-backed affordable housing: 4.5-5.5% appropriate. Market REIT WACC: 6-8%.</t>
  </si>
  <si>
    <t>Lower WACC justified by government-backed revenue. Use 5.0% for conservative NPV, 4.5% for aggressive.</t>
  </si>
  <si>
    <t>Portfolio Rollup</t>
  </si>
  <si>
    <t xml:space="preserve">INVESTABLE? GATE ANALYSIS </t>
  </si>
  <si>
    <t>Gate 3 — AFFO &gt; 0 at 2030 &amp; 2035:</t>
  </si>
  <si>
    <t>Alma Blackwell</t>
  </si>
  <si>
    <t>Antkiw Court</t>
  </si>
  <si>
    <t>Beatrice Terrace</t>
  </si>
  <si>
    <t>Capilano House</t>
  </si>
  <si>
    <t>Constance Court</t>
  </si>
  <si>
    <t>Evergreen Apartments</t>
  </si>
  <si>
    <t>Evelyn Estates</t>
  </si>
  <si>
    <t>Jessica Place</t>
  </si>
  <si>
    <t>Margaret Heights</t>
  </si>
  <si>
    <t>Murray Manor</t>
  </si>
  <si>
    <t>Natalia Terrace</t>
  </si>
  <si>
    <t>Newton Green</t>
  </si>
  <si>
    <t>Rosemary Green</t>
  </si>
  <si>
    <t>1656 Adanac Street</t>
  </si>
  <si>
    <t>450 Pacific Street</t>
  </si>
  <si>
    <t>The Creek, Port Moody</t>
  </si>
  <si>
    <t>800 Commercial Drive</t>
  </si>
  <si>
    <t>Toggle</t>
  </si>
  <si>
    <t>OPERATING CASH FLOW</t>
  </si>
  <si>
    <t>REVENUE</t>
  </si>
  <si>
    <t>Rent Income</t>
  </si>
  <si>
    <t>Laundry Revenue</t>
  </si>
  <si>
    <t>Cable Income</t>
  </si>
  <si>
    <t>Locker Income</t>
  </si>
  <si>
    <t>Parking Revenue</t>
  </si>
  <si>
    <t>Other Revenue</t>
  </si>
  <si>
    <t>Other Income</t>
  </si>
  <si>
    <t>Gross Potential Income</t>
  </si>
  <si>
    <t>Vacancy &amp; Credit Loss</t>
  </si>
  <si>
    <t>Gross Revenue from Rent</t>
  </si>
  <si>
    <t>Subsidy / Grant Proceeds</t>
  </si>
  <si>
    <t>Effective Gross Revenue</t>
  </si>
  <si>
    <t>OPERATING EXPENSES</t>
  </si>
  <si>
    <t>Cleaning &amp; Janitorial</t>
  </si>
  <si>
    <t>Cable, Internet &amp; Telephone</t>
  </si>
  <si>
    <t>Maintenance Staff</t>
  </si>
  <si>
    <t>Grounds &amp; Exterior Maint.</t>
  </si>
  <si>
    <t>Repairs &amp; Maintenance</t>
  </si>
  <si>
    <t>Mechanical Systems &amp; Contracts</t>
  </si>
  <si>
    <t>Tenant Turnover &amp; Misc.</t>
  </si>
  <si>
    <t>Hydro — Gas</t>
  </si>
  <si>
    <t>Hydro — Electric</t>
  </si>
  <si>
    <t>Utilities — Water &amp; Sewer</t>
  </si>
  <si>
    <t>Property Insurance</t>
  </si>
  <si>
    <t>Property Taxes</t>
  </si>
  <si>
    <t>Total Operating Expenses</t>
  </si>
  <si>
    <t>NET OPERATING INCOME</t>
  </si>
  <si>
    <t>REPLACEMENT RESERVES</t>
  </si>
  <si>
    <t>Replacement Reserves — Total</t>
  </si>
  <si>
    <t>ADJUSTED NOI</t>
  </si>
  <si>
    <t>DEBT SCHEDULE</t>
  </si>
  <si>
    <t>Debt Payment</t>
  </si>
  <si>
    <t>AFFO (Levered Cash Flow)</t>
  </si>
  <si>
    <t>Distributions (AFFO x Payout Ratio)</t>
  </si>
  <si>
    <t>Cash Remaining (AFFO - Distributions)</t>
  </si>
  <si>
    <t>PARTNERSHIP CASH FLOW</t>
  </si>
  <si>
    <t>REFINANCING EVENT</t>
  </si>
  <si>
    <t>Balloon Payment</t>
  </si>
  <si>
    <t>Loan Proceeds - Refinance</t>
  </si>
  <si>
    <t>Net Refinance Position (Surplus / Funding Gap)</t>
  </si>
  <si>
    <t>Remaining Debt Balance</t>
  </si>
  <si>
    <t>Cash Remaining (from Operations)</t>
  </si>
  <si>
    <t>Legacy Total Cash to Partnership (operations + net refi position)</t>
  </si>
  <si>
    <t>PARTNERSHIP RETURNS</t>
  </si>
  <si>
    <t>GAV (NOI ÷ Cap Rate)</t>
  </si>
  <si>
    <t>PROPERTY NET ASSET VALUE &amp; REFI IMPACT</t>
  </si>
  <si>
    <t>Property NAV (Value − Debt)</t>
  </si>
  <si>
    <t>Base Scenario (100% Affordable)</t>
  </si>
  <si>
    <t>GAV</t>
  </si>
  <si>
    <t>NOI Yield (NOI ÷ GAV)</t>
  </si>
  <si>
    <t>NAV</t>
  </si>
  <si>
    <t>NOI Yield (NOI ÷ NAV)</t>
  </si>
  <si>
    <t>Dist. Yield (Dist. ÷ NAV)</t>
  </si>
  <si>
    <t>MODEL ASSUMPTIONS (USER-TOGGLE)</t>
  </si>
  <si>
    <t>Property Cash Flow Drivers</t>
  </si>
  <si>
    <t>Rate</t>
  </si>
  <si>
    <t>Notes</t>
  </si>
  <si>
    <t>Rent Growth — pre-expiry</t>
  </si>
  <si>
    <t>Annual Growth</t>
  </si>
  <si>
    <t>Rent Growth — post-expiry</t>
  </si>
  <si>
    <t>OpEx Growth — pre-expiry</t>
  </si>
  <si>
    <t>OpEx Growth — post-expiry</t>
  </si>
  <si>
    <t>Vacancy Rate</t>
  </si>
  <si>
    <t>Static</t>
  </si>
  <si>
    <t>Reserve (per unit)</t>
  </si>
  <si>
    <t>Reserve Growth</t>
  </si>
  <si>
    <t>Rent Drivers</t>
  </si>
  <si>
    <t>% of total units converted to market rate, before operating agreement expiry</t>
  </si>
  <si>
    <t>% of total units converted to market rate, after operating agreement expiry</t>
  </si>
  <si>
    <t>Refi Loan-Sizing</t>
  </si>
  <si>
    <t>Maximum LTV</t>
  </si>
  <si>
    <t>For loan-sizing, take minimum of Max LTV vs. Min DSCR sizing</t>
  </si>
  <si>
    <t>Minimum DSCR</t>
  </si>
  <si>
    <t>Interest Rate</t>
  </si>
  <si>
    <t>Amortizing Years</t>
  </si>
  <si>
    <t>Cap Rate</t>
  </si>
  <si>
    <t>Used to derive value for LTV test</t>
  </si>
  <si>
    <t>New Development Loan-Sizing</t>
  </si>
  <si>
    <t>Maximum LTC</t>
  </si>
  <si>
    <t>Dollars</t>
  </si>
  <si>
    <t>Return Drivers</t>
  </si>
  <si>
    <t>Of distributable funds (AFFO = Adjusted NOI - Debt Service)</t>
  </si>
  <si>
    <t>Discount Rate (WACC)</t>
  </si>
  <si>
    <t>PROPERTY SUMMARY (2026) — RAW DATA (USER-TOGGLE)</t>
  </si>
  <si>
    <t>Ownership / Operating Agreements</t>
  </si>
  <si>
    <t>Mortgage</t>
  </si>
  <si>
    <t>Unit Count</t>
  </si>
  <si>
    <t>Tab ID</t>
  </si>
  <si>
    <t>Address</t>
  </si>
  <si>
    <t>Start Yr. (Current Yr. if Active)</t>
  </si>
  <si>
    <t>Lease Type</t>
  </si>
  <si>
    <t>Lease Expiry</t>
  </si>
  <si>
    <t>Operating Agreement Expiry</t>
  </si>
  <si>
    <t>Term Date (Month/Yr.)</t>
  </si>
  <si>
    <t>Annual Mortgage Payment</t>
  </si>
  <si>
    <t>Annual Mortgage Subsidy</t>
  </si>
  <si>
    <t>Mortgage Balance Outstanding 2025</t>
  </si>
  <si>
    <t>Total Units</t>
  </si>
  <si>
    <t>Studios</t>
  </si>
  <si>
    <t>1 Bedroom</t>
  </si>
  <si>
    <t>2 Bedroom</t>
  </si>
  <si>
    <t>3 Bedroom</t>
  </si>
  <si>
    <t>4 Bedroom</t>
  </si>
  <si>
    <t>BLD_AB</t>
  </si>
  <si>
    <t>Vancouver</t>
  </si>
  <si>
    <t>Active</t>
  </si>
  <si>
    <t>Owned</t>
  </si>
  <si>
    <t>N/A</t>
  </si>
  <si>
    <t>BLD_AC</t>
  </si>
  <si>
    <t>1534 E. 4th Avenue</t>
  </si>
  <si>
    <t>BCHMC/NPAT</t>
  </si>
  <si>
    <t>BLD_BT</t>
  </si>
  <si>
    <t>1877 E. Georgia Street</t>
  </si>
  <si>
    <t>BLD_CH</t>
  </si>
  <si>
    <t>1551 Bridgman Avenue</t>
  </si>
  <si>
    <t>DNV</t>
  </si>
  <si>
    <t>BLD_CC</t>
  </si>
  <si>
    <t>2518 E. Hastings Street</t>
  </si>
  <si>
    <t>Vancity</t>
  </si>
  <si>
    <t>BCHMC</t>
  </si>
  <si>
    <t>BLD_EA</t>
  </si>
  <si>
    <t>815 5th Avenue</t>
  </si>
  <si>
    <t>New Westminster</t>
  </si>
  <si>
    <t>BLD_EE</t>
  </si>
  <si>
    <t>9155 136A Street</t>
  </si>
  <si>
    <t>Surrey</t>
  </si>
  <si>
    <t>BLD_JP</t>
  </si>
  <si>
    <t>9883 140th Street</t>
  </si>
  <si>
    <t>BLD_MH</t>
  </si>
  <si>
    <t>1800 Rufus Drive</t>
  </si>
  <si>
    <t>CNV</t>
  </si>
  <si>
    <t>BLD_MM</t>
  </si>
  <si>
    <t>6435 Royal Oak Avenue</t>
  </si>
  <si>
    <t>Burnaby</t>
  </si>
  <si>
    <t>BLD_NT</t>
  </si>
  <si>
    <t>3550 S.E. Marine Drive</t>
  </si>
  <si>
    <t>BLD_NG</t>
  </si>
  <si>
    <t>12725 63rd Avenue</t>
  </si>
  <si>
    <t>BCH</t>
  </si>
  <si>
    <t>CMLS</t>
  </si>
  <si>
    <t>BLD_RG</t>
  </si>
  <si>
    <t>2880 152nd Street</t>
  </si>
  <si>
    <t>Peoples Group</t>
  </si>
  <si>
    <t>BLD_AS</t>
  </si>
  <si>
    <t>New Dev</t>
  </si>
  <si>
    <t>BCH CHF</t>
  </si>
  <si>
    <t>BLD_PS</t>
  </si>
  <si>
    <t>BLD_PM</t>
  </si>
  <si>
    <t>300 Angela Drive</t>
  </si>
  <si>
    <t>Port Moody</t>
  </si>
  <si>
    <t>CMHC</t>
  </si>
  <si>
    <t>BLD_CD</t>
  </si>
  <si>
    <t>Notes:</t>
  </si>
  <si>
    <t>Source: shared by NGO B operator.</t>
  </si>
  <si>
    <t>BASE YEAR INPUTS (2026) — RAW DATA (USER-TOGGLE)</t>
  </si>
  <si>
    <t>Line Item / Property</t>
  </si>
  <si>
    <t>Property cash flow models reference operating expenses directly from this sheet.</t>
  </si>
  <si>
    <t>All inputs are annualized figures.</t>
  </si>
  <si>
    <t>RENT ENGINE (2026)</t>
  </si>
  <si>
    <t>RENT ASSUMPTIONS — UNIT MIX &amp; BLENDED WEIGHTED AVERAGE RENT</t>
  </si>
  <si>
    <t>100% Affordable</t>
  </si>
  <si>
    <t>Market Rents</t>
  </si>
  <si>
    <t>Total
Units</t>
  </si>
  <si>
    <t>Base Yr. Rent Income (Source)</t>
  </si>
  <si>
    <t>Implied Rent/Unit/Yr.</t>
  </si>
  <si>
    <t>Implied Rent/Unit/Mo.</t>
  </si>
  <si>
    <t>Market Rent/Unit/Yr.</t>
  </si>
  <si>
    <t>Market Rent/Unit/Mo.</t>
  </si>
  <si>
    <t>Market Rent/Mo.</t>
  </si>
  <si>
    <t>Source: 01 tabs.</t>
  </si>
  <si>
    <t>Market rents assumed based on market research.</t>
  </si>
  <si>
    <t>DEBT ENGINE (2026)</t>
  </si>
  <si>
    <t>LTC</t>
  </si>
  <si>
    <t>Cost/Unit</t>
  </si>
  <si>
    <t>LTV</t>
  </si>
  <si>
    <t>Refer to 01_Assumptions tab</t>
  </si>
  <si>
    <t>Current Loans</t>
  </si>
  <si>
    <t>New Development</t>
  </si>
  <si>
    <t>Refinancing Scenario</t>
  </si>
  <si>
    <t>Refinance Potential</t>
  </si>
  <si>
    <t>Term Year</t>
  </si>
  <si>
    <t>Mortgage Subsidy as a % of Debt Serv.</t>
  </si>
  <si>
    <t>New Dev LTC Loan</t>
  </si>
  <si>
    <t>New Dev PMT</t>
  </si>
  <si>
    <t>Interest PMT</t>
  </si>
  <si>
    <t>Principle PMT</t>
  </si>
  <si>
    <t>NOI During Refi Year</t>
  </si>
  <si>
    <t>LTV Proceeds</t>
  </si>
  <si>
    <t>DSCR Proceeds</t>
  </si>
  <si>
    <t>Refi Loan (Minimum of LTV vs. DSCR)</t>
  </si>
  <si>
    <t>Refi Loan PMT</t>
  </si>
  <si>
    <t>Refi Loan Interest PMT</t>
  </si>
  <si>
    <t>Refi Loan Principle PMT</t>
  </si>
  <si>
    <t>No</t>
  </si>
  <si>
    <t>Yes</t>
  </si>
  <si>
    <t>Total Debt Service</t>
  </si>
  <si>
    <t>Remaining Debt Balance (EOY)</t>
  </si>
  <si>
    <t>Balloon Payments</t>
  </si>
  <si>
    <t>Refinancing Proceeds</t>
  </si>
  <si>
    <t>DEBT SCHEDULE (2026)</t>
  </si>
  <si>
    <t>Line Item</t>
  </si>
  <si>
    <t>Beginning Balance</t>
  </si>
  <si>
    <t>Principal PMT</t>
  </si>
  <si>
    <t>End Balance</t>
  </si>
  <si>
    <t>Refinance Proceeds</t>
  </si>
  <si>
    <t>Net Refinancing</t>
  </si>
  <si>
    <t>Scenario-&gt;</t>
  </si>
  <si>
    <t>Refi Year / Start Year / Op. Agreement Exp.</t>
  </si>
  <si>
    <t>Total Units / % Market Rate / % Market Rate Post Op. Agrmt. Exp.</t>
  </si>
  <si>
    <t>Current Rent ($/unit/mo) — Affordable / Market / Blended</t>
  </si>
  <si>
    <t>Vacancy Rate / Cap Rate / Distribution %</t>
  </si>
  <si>
    <t>Lender Program / Subsidy Amt. / Subsidy Exp.</t>
  </si>
  <si>
    <t>Reserves / Reserve Growth %</t>
  </si>
  <si>
    <t>Net Refinancing Proceeds (Equity Returned)</t>
  </si>
  <si>
    <t>Total Cash to Partnership</t>
  </si>
  <si>
    <t>MODEL CONTROL — Portfolio Scope &amp; Classification Tracking</t>
  </si>
  <si>
    <t>Purpose: centralizes property scope and live tracking without changing assumptions. Row-level include/exclude drives 00_PORTFOLIO ROLLUP row 8.</t>
  </si>
  <si>
    <t>Rollup Include?</t>
  </si>
  <si>
    <t>Summary Bucket</t>
  </si>
  <si>
    <t>Bucket Check</t>
  </si>
  <si>
    <t>Data / Issue Flag</t>
  </si>
  <si>
    <t>Action Owner / Notes</t>
  </si>
  <si>
    <t>Live Formula / Result</t>
  </si>
  <si>
    <t>Total properties in control</t>
  </si>
  <si>
    <t>Included in rollup</t>
  </si>
  <si>
    <t>Excluded from rollup</t>
  </si>
  <si>
    <t>Summary bucket mismatches</t>
  </si>
  <si>
    <t>Property Summary count</t>
  </si>
  <si>
    <t>Rollup property count label</t>
  </si>
  <si>
    <t>Stabilization year</t>
  </si>
  <si>
    <t>Selected current year</t>
  </si>
  <si>
    <t>MODEL CHECKS — Live Control Totals &amp; Structural Flags</t>
  </si>
  <si>
    <t>Purpose: compact live checks so future revisions do not lose track of scope, formula errors, or key presentation links.</t>
  </si>
  <si>
    <t>Check ID</t>
  </si>
  <si>
    <t>Area</t>
  </si>
  <si>
    <t>Live Result</t>
  </si>
  <si>
    <t>CHK-001</t>
  </si>
  <si>
    <t>Scope</t>
  </si>
  <si>
    <t>Control property count equals Property Summary count</t>
  </si>
  <si>
    <t>CHK-002</t>
  </si>
  <si>
    <t>Rollup toggles equal Control Include/Exclude selections</t>
  </si>
  <si>
    <t>CHK-003</t>
  </si>
  <si>
    <t>Register</t>
  </si>
  <si>
    <t>Portfolio Register city lookup has no #N/A formulas</t>
  </si>
  <si>
    <t>CHK-004</t>
  </si>
  <si>
    <t>Register 2025 NOI total ties to row detail</t>
  </si>
  <si>
    <t>CHK-005</t>
  </si>
  <si>
    <t>Register 2029 NOI total ties to row detail</t>
  </si>
  <si>
    <t>CHK-006</t>
  </si>
  <si>
    <t>Register 2035 NOI total ties to row detail</t>
  </si>
  <si>
    <t>CHK-007</t>
  </si>
  <si>
    <t>Output labels</t>
  </si>
  <si>
    <t>GAV label references cap rate assumption</t>
  </si>
  <si>
    <t>CHK-008</t>
  </si>
  <si>
    <t>NOI yield label references stabilization year</t>
  </si>
  <si>
    <t>CHK-009</t>
  </si>
  <si>
    <t>Distribution yield label references stabilization year</t>
  </si>
  <si>
    <t>CHK-010</t>
  </si>
  <si>
    <t>Classification</t>
  </si>
  <si>
    <t>Summary and Register bucket labels reconcile or are flagged</t>
  </si>
  <si>
    <t>CHK-011</t>
  </si>
  <si>
    <t>Output control</t>
  </si>
  <si>
    <t>Current year selector is numeric and tied to Model Control</t>
  </si>
  <si>
    <t>Note: This checks tab is not a substitute for Excel's full formula-error audit; it captures the high-risk structural issues corrected in this pass.</t>
  </si>
  <si>
    <t>CHK-012</t>
  </si>
  <si>
    <t>Every property has final classification</t>
  </si>
  <si>
    <t>CHK-013</t>
  </si>
  <si>
    <t>Portfolio Summary bucket column pulls from classification table</t>
  </si>
  <si>
    <t>CHK-014</t>
  </si>
  <si>
    <t>Register bucket column is formula-driven</t>
  </si>
  <si>
    <t>CHK-015</t>
  </si>
  <si>
    <t>Register mapping reconciles to authoritative classification</t>
  </si>
  <si>
    <t>CHK-016</t>
  </si>
  <si>
    <t>Override Governance</t>
  </si>
  <si>
    <t>Human overrides include override reason</t>
  </si>
  <si>
    <t>CHK-017</t>
  </si>
  <si>
    <t>Data Quality</t>
  </si>
  <si>
    <t>Included portfolio has no unresolved classification data-quality flags</t>
  </si>
  <si>
    <t>Note: v4 keeps the v2 platform bridge and closes the classification/register override governance gaps.</t>
  </si>
  <si>
    <t>CHK-018</t>
  </si>
  <si>
    <t>Capital Flow</t>
  </si>
  <si>
    <t>DATA_CAPITAL_FLOW amount column is formula-driven</t>
  </si>
  <si>
    <t>CHK-019</t>
  </si>
  <si>
    <t>Clean cash reconciliation equals residual funding gap</t>
  </si>
  <si>
    <t>CHK-020</t>
  </si>
  <si>
    <t>Rollup row 63 label no longer says equity returned</t>
  </si>
  <si>
    <t>CHK-021</t>
  </si>
  <si>
    <t>Residual funding gap is shown as a separate non-negative line</t>
  </si>
  <si>
    <t>CHK-022</t>
  </si>
  <si>
    <t>Rollup Aggregation</t>
  </si>
  <si>
    <t>Rollup aggregation formulas use IF/IFERROR guard</t>
  </si>
  <si>
    <t>CHK-023</t>
  </si>
  <si>
    <t>Included source errors suppressed by rollup</t>
  </si>
  <si>
    <t>CHK-024</t>
  </si>
  <si>
    <t>Excluded source errors suppressed by rollup</t>
  </si>
  <si>
    <t>CHK-030</t>
  </si>
  <si>
    <t>Input control map present</t>
  </si>
  <si>
    <t>1</t>
  </si>
  <si>
    <t>CHK-031</t>
  </si>
  <si>
    <t>Aggregation audit no chained BLD formulas</t>
  </si>
  <si>
    <t>CHK-032</t>
  </si>
  <si>
    <t>Mapping live/roadmap distinction</t>
  </si>
  <si>
    <t>CHK-033</t>
  </si>
  <si>
    <t>Legacy engine marked</t>
  </si>
  <si>
    <t>CHK-029</t>
  </si>
  <si>
    <t>Capital Flow Reconciliation</t>
  </si>
  <si>
    <t>DATA_CAPITAL_FLOW_RECON sheet is present</t>
  </si>
  <si>
    <t>Investor Summary</t>
  </si>
  <si>
    <t>Live summary B12 formula references DATA_CAPITAL_FLOW</t>
  </si>
  <si>
    <t>Legacy investor summary sheet preserved</t>
  </si>
  <si>
    <t>Property funding-gap trace has one row per classified property</t>
  </si>
  <si>
    <t>Governance checks on investor summary do not show CHECK/REVIEW</t>
  </si>
  <si>
    <t>Canonical Inputs</t>
  </si>
  <si>
    <t>Five canonical input tabs exist</t>
  </si>
  <si>
    <t>Canonical inputs are not yet calculation engine</t>
  </si>
  <si>
    <t>CHANGE LOG — NGO-B Modeling Workbook</t>
  </si>
  <si>
    <t>Use this sheet as the audit trail. Each change is classified by type, affected range, calculation impact, and status. No underlying assumptions were changed in this pass.</t>
  </si>
  <si>
    <t>Change ID</t>
  </si>
  <si>
    <t>Date</t>
  </si>
  <si>
    <t>Type</t>
  </si>
  <si>
    <t>Sheet / Range</t>
  </si>
  <si>
    <t>Issue</t>
  </si>
  <si>
    <t>Change Made</t>
  </si>
  <si>
    <t>Assumption Changed?</t>
  </si>
  <si>
    <t>Calculation Impact</t>
  </si>
  <si>
    <t>Next Step</t>
  </si>
  <si>
    <t>CL-001</t>
  </si>
  <si>
    <t>2026-07-07</t>
  </si>
  <si>
    <t>Governance</t>
  </si>
  <si>
    <t>00_CHANGE_LOG</t>
  </si>
  <si>
    <t>No workbook-level audit trail existed.</t>
  </si>
  <si>
    <t>Added change log sheet with change IDs and affected ranges.</t>
  </si>
  <si>
    <t>None; documentation only.</t>
  </si>
  <si>
    <t>Complete</t>
  </si>
  <si>
    <t>Use for every future model revision.</t>
  </si>
  <si>
    <t>CL-002</t>
  </si>
  <si>
    <t>00_MODEL_CONTROL</t>
  </si>
  <si>
    <t>Portfolio inclusion logic was embedded in rollup row 8 only.</t>
  </si>
  <si>
    <t>Added central scope-control sheet and linked rollup toggles to it.</t>
  </si>
  <si>
    <t>No intended output change; BLD_AB remains excluded and all other assets remain included.</t>
  </si>
  <si>
    <t>Use this tab for future include/exclude decisions.</t>
  </si>
  <si>
    <t>CL-003</t>
  </si>
  <si>
    <t>00_MODEL_CHECKS</t>
  </si>
  <si>
    <t>No live structural checks tab existed.</t>
  </si>
  <si>
    <t>Added live checks for scope, register totals, label references, and bucket reconciliation.</t>
  </si>
  <si>
    <t>None; documentation/checking only.</t>
  </si>
  <si>
    <t>Expand with debt and development checks in next pass.</t>
  </si>
  <si>
    <t>CL-004</t>
  </si>
  <si>
    <t>Formula Fix</t>
  </si>
  <si>
    <t>00_PORTFOLIO_REGISTER!C5:C21</t>
  </si>
  <si>
    <t>City lookup matched BLD_ID against property name, causing #N/A results.</t>
  </si>
  <si>
    <t>Changed lookup to match BLD_ID against Property Summary Tab ID.</t>
  </si>
  <si>
    <t>Register city field now calculates live from Property Summary.</t>
  </si>
  <si>
    <t>Review other register columns for full institutionalization.</t>
  </si>
  <si>
    <t>CL-005</t>
  </si>
  <si>
    <t>Formula Addition</t>
  </si>
  <si>
    <t>00_PORTFOLIO_REGISTER!D5:I21</t>
  </si>
  <si>
    <t>Register had blank units, NOI, lender, and debt-term fields.</t>
  </si>
  <si>
    <t>Added live formulas for units, 2025/2029/2035 NOI, lender/program, and debt term.</t>
  </si>
  <si>
    <t>Register now ties to Property Summary, property tabs, and Debt Engine.</t>
  </si>
  <si>
    <t>Later replace hardcoded bucket and issue narrative with formula-controlled classification.</t>
  </si>
  <si>
    <t>CL-006</t>
  </si>
  <si>
    <t>00_PORTFOLIO_REGISTER!E23:G23</t>
  </si>
  <si>
    <t>Portfolio total formulas contained #REF!.</t>
  </si>
  <si>
    <t>Replaced with SUM formulas over live NOI detail rows.</t>
  </si>
  <si>
    <t>Register totals now calculate live.</t>
  </si>
  <si>
    <t>Cross-check against portfolio rollup inclusion logic if the register is meant to be scoped.</t>
  </si>
  <si>
    <t>CL-007</t>
  </si>
  <si>
    <t>Formatting Fix</t>
  </si>
  <si>
    <t>00_PORTFOLIO SUMMARY!C5</t>
  </si>
  <si>
    <t>Current year formula displayed as an Excel serial date.</t>
  </si>
  <si>
    <t>Changed number format to year/number display.</t>
  </si>
  <si>
    <t>Presentation only.</t>
  </si>
  <si>
    <t>None.</t>
  </si>
  <si>
    <t>CL-008</t>
  </si>
  <si>
    <t>00_PORTFOLIO ROLLUP!C72</t>
  </si>
  <si>
    <t>GAV label referenced rollup toggle instead of cap-rate assumption.</t>
  </si>
  <si>
    <t>Changed label to reference Exit Cap Rate and format as %.</t>
  </si>
  <si>
    <t>Presentation only; GAV formulas unchanged.</t>
  </si>
  <si>
    <t>CL-009</t>
  </si>
  <si>
    <t>00_PORTFOLIO ROLLUP!C79,E79:Y79,C86,E86:Y86</t>
  </si>
  <si>
    <t>Yield labels/markers referenced wrong cells.</t>
  </si>
  <si>
    <t>Changed labels and STAB. YR. markers to reference stabilization year assumption.</t>
  </si>
  <si>
    <t>Presentation only; yield formulas unchanged.</t>
  </si>
  <si>
    <t>CL-010</t>
  </si>
  <si>
    <t>00_PORTFOLIO ROLLUP!E60:Y60,E75:Y75</t>
  </si>
  <si>
    <t>Refi marker rows referenced payout ratio instead of actual event rows.</t>
  </si>
  <si>
    <t>Changed markers to flag when balloon, loan proceeds, or net refi/gap rows are non-zero.</t>
  </si>
  <si>
    <t>Presentation only; underlying refi rows unchanged.</t>
  </si>
  <si>
    <t>Later separate residual funding gaps from equity-return language.</t>
  </si>
  <si>
    <t>CL-011</t>
  </si>
  <si>
    <t>Control Fix</t>
  </si>
  <si>
    <t>00_PORTFOLIO SUMMARY!C5; 00_MODEL_CONTROL!B31</t>
  </si>
  <si>
    <t>Current year used volatile TODAY() and displayed as a serial date.</t>
  </si>
  <si>
    <t>Moved selected current year to an explicit control input and linked the summary output to it.</t>
  </si>
  <si>
    <t>Controls display-year selection only; formulas remain live off the selected year.</t>
  </si>
  <si>
    <t>Change B31 if a different current-year test is required.</t>
  </si>
  <si>
    <t>CL-012</t>
  </si>
  <si>
    <t>Platform Architecture</t>
  </si>
  <si>
    <t>00_PLATFORM_INDEX</t>
  </si>
  <si>
    <t>No platform architecture layer existed.</t>
  </si>
  <si>
    <t>Added platform index and model-layer map.</t>
  </si>
  <si>
    <t>Documentation/governance only.</t>
  </si>
  <si>
    <t>CL-013</t>
  </si>
  <si>
    <t>Intake Architecture</t>
  </si>
  <si>
    <t>STG_SOURCE_INTAKE</t>
  </si>
  <si>
    <t>Future NGO/Yardi files had no intake log.</t>
  </si>
  <si>
    <t>Added source intake register.</t>
  </si>
  <si>
    <t>No model output change.</t>
  </si>
  <si>
    <t>CL-014</t>
  </si>
  <si>
    <t>Mapping Architecture</t>
  </si>
  <si>
    <t>MAP_FIELD_MAPPING</t>
  </si>
  <si>
    <t>No field mapping layer existed.</t>
  </si>
  <si>
    <t>Added source-to-canonical field map.</t>
  </si>
  <si>
    <t>CL-015</t>
  </si>
  <si>
    <t>Data Architecture</t>
  </si>
  <si>
    <t>DATA_PROPERTY_MASTER</t>
  </si>
  <si>
    <t>Property identity was spread across tabs.</t>
  </si>
  <si>
    <t>Added live canonical property master.</t>
  </si>
  <si>
    <t>Live links; assumptions unchanged.</t>
  </si>
  <si>
    <t>CL-016</t>
  </si>
  <si>
    <t>DATA_DEBT_MASTER</t>
  </si>
  <si>
    <t>Debt profile was not normalized.</t>
  </si>
  <si>
    <t>Added live canonical debt master.</t>
  </si>
  <si>
    <t>CL-017</t>
  </si>
  <si>
    <t>Model Architecture</t>
  </si>
  <si>
    <t>DATA_METRIC_LONG</t>
  </si>
  <si>
    <t>Outputs were property-tab driven.</t>
  </si>
  <si>
    <t>Added live long-format property-year-metric table for key years.</t>
  </si>
  <si>
    <t>No intended output change.</t>
  </si>
  <si>
    <t>CL-018</t>
  </si>
  <si>
    <t>Checks</t>
  </si>
  <si>
    <t>DATA_QUALITY_CHECKS</t>
  </si>
  <si>
    <t>No platform-readiness checks existed.</t>
  </si>
  <si>
    <t>Added live checks for platform migration.</t>
  </si>
  <si>
    <t>Flags open migration items.</t>
  </si>
  <si>
    <t>CL-019</t>
  </si>
  <si>
    <t>Output</t>
  </si>
  <si>
    <t>OUT_PLATFORM_READINESS</t>
  </si>
  <si>
    <t>No readiness dashboard existed.</t>
  </si>
  <si>
    <t>Added live platform-readiness dashboard.</t>
  </si>
  <si>
    <t>CL-020</t>
  </si>
  <si>
    <t>Calculation Control</t>
  </si>
  <si>
    <t>Workbook calculation settings</t>
  </si>
  <si>
    <t>New sheets contain formulas.</t>
  </si>
  <si>
    <t>Confirmed automatic full recalculation on open.</t>
  </si>
  <si>
    <t>Keeps formulas live.</t>
  </si>
  <si>
    <t>CL-021</t>
  </si>
  <si>
    <t>DATA_ASSET_CLASSIFICATION</t>
  </si>
  <si>
    <t>No single authoritative asset-classification table existed.</t>
  </si>
  <si>
    <t>Added live authoritative classification table for Excluded / Stable / Refi Watch / Workout / New Build.</t>
  </si>
  <si>
    <t>No assumption changes; classification is formula-linked to existing model data.</t>
  </si>
  <si>
    <t>Use as single source of truth for classification.</t>
  </si>
  <si>
    <t>CL-022</t>
  </si>
  <si>
    <t>Formula Link</t>
  </si>
  <si>
    <t>00_PORTFOLIO SUMMARY!C10:C26</t>
  </si>
  <si>
    <t>Portfolio Summary classified assets independently.</t>
  </si>
  <si>
    <t>Redirected Bucket column to Final Classification from DATA_ASSET_CLASSIFICATION.</t>
  </si>
  <si>
    <t>Output classification now uses single source of truth.</t>
  </si>
  <si>
    <t>Do not hardcode classification in Summary.</t>
  </si>
  <si>
    <t>CL-023</t>
  </si>
  <si>
    <t>00_MODEL_CONTROL!F5:F21</t>
  </si>
  <si>
    <t>Model Control Summary Bucket was not authoritative.</t>
  </si>
  <si>
    <t>Linked Summary Bucket to DATA_ASSET_CLASSIFICATION final classification.</t>
  </si>
  <si>
    <t>Control sheet now uses classification authority.</t>
  </si>
  <si>
    <t>Use F for final classification.</t>
  </si>
  <si>
    <t>CL-024</t>
  </si>
  <si>
    <t>00_PORTFOLIO_REGISTER!J5:J21</t>
  </si>
  <si>
    <t>Register Bucket was hardcoded manual text and remained a second source.</t>
  </si>
  <si>
    <t>Replaced manual bucket text with formula pulling final classification and mapping it to controlled register buckets.</t>
  </si>
  <si>
    <t>Register now follows authority table; no model assumptions changed.</t>
  </si>
  <si>
    <t>Protect from manual overwrite.</t>
  </si>
  <si>
    <t>CL-025</t>
  </si>
  <si>
    <t>DATA_ASSET_CLASSIFICATION!AA7:AB13</t>
  </si>
  <si>
    <t>Register bucket mapping was embedded in text rather than governed.</t>
  </si>
  <si>
    <t>Added visible classification-to-register-bucket mapping table used by Register formulas.</t>
  </si>
  <si>
    <t>Improves auditability; classification values stay live.</t>
  </si>
  <si>
    <t>Edit mapping table only if bucket taxonomy changes.</t>
  </si>
  <si>
    <t>CL-026</t>
  </si>
  <si>
    <t>Formula Update</t>
  </si>
  <si>
    <t>00_MODEL_CONTROL!H5:H21</t>
  </si>
  <si>
    <t>Bucket Check reconciled against inconsistent legacy labels.</t>
  </si>
  <si>
    <t>Updated mapping check to compare Register Bucket against the authoritative mapping table.</t>
  </si>
  <si>
    <t>Flags any future mismatch between Register and final classification.</t>
  </si>
  <si>
    <t>Use as live QA control.</t>
  </si>
  <si>
    <t>CL-027</t>
  </si>
  <si>
    <t>Human Override could be entered without a reason.</t>
  </si>
  <si>
    <t>Updated Data Quality Flag to return Missing override reason when T is filled and Y is blank.</t>
  </si>
  <si>
    <t>No assumptions changed; improves override accountability.</t>
  </si>
  <si>
    <t>Resolve any Missing override reason flags before external use.</t>
  </si>
  <si>
    <t>CL-028</t>
  </si>
  <si>
    <t>Input Control</t>
  </si>
  <si>
    <t>DATA_ASSET_CLASSIFICATION!T8:T24,Y8:Y24</t>
  </si>
  <si>
    <t>Override columns had no enforcement mechanism.</t>
  </si>
  <si>
    <t>Added dropdown validation for Human Override and custom validation requiring reason when override is used.</t>
  </si>
  <si>
    <t>Controls manual intervention without hardcoding outputs.</t>
  </si>
  <si>
    <t>Use override only with documented rationale.</t>
  </si>
  <si>
    <t>CL-029</t>
  </si>
  <si>
    <t>00_MODEL_CHECKS!A17:E22; DATA_QUALITY_CHECKS!A13:F15</t>
  </si>
  <si>
    <t>No live checks confirmed Register formulas, mapping reconciliation, or override reasons.</t>
  </si>
  <si>
    <t>Added classification/register/override checks to model and platform quality checks.</t>
  </si>
  <si>
    <t>Improves model governance; calculations remain live.</t>
  </si>
  <si>
    <t>Review any OPEN/FAIL status before release.</t>
  </si>
  <si>
    <t>CL-030</t>
  </si>
  <si>
    <t>Version Control</t>
  </si>
  <si>
    <t>Full workbook</t>
  </si>
  <si>
    <t>v3 classification file did not carry over the v2 platform bridge tabs.</t>
  </si>
  <si>
    <t>Built v4 from the platform-template base and merged in the classification authority layer.</t>
  </si>
  <si>
    <t>Restores cumulative platform architecture.</t>
  </si>
  <si>
    <t>Use v4 as the current master template base.</t>
  </si>
  <si>
    <t>CL-031</t>
  </si>
  <si>
    <t>Platform Dashboard</t>
  </si>
  <si>
    <t>00_PLATFORM_INDEX; OUT_PLATFORM_READINESS</t>
  </si>
  <si>
    <t>Platform dashboard still treated classification as a future fix.</t>
  </si>
  <si>
    <t>Updated platform index and readiness dashboard to reflect v4 classification completion and next debt/refi/capital-gap fix.</t>
  </si>
  <si>
    <t>Documentation/dashboard only.</t>
  </si>
  <si>
    <t>Next: capital-flow separation.</t>
  </si>
  <si>
    <t>CL-032</t>
  </si>
  <si>
    <t>Dashboard Cleanup</t>
  </si>
  <si>
    <t>OUT_PLATFORM_READINESS!A13:E17</t>
  </si>
  <si>
    <t>Old next-fix sequence left stray numbering after v4 dashboard update.</t>
  </si>
  <si>
    <t>Rewrote next-fix sequence to show capital-flow separation, investor summary rebuild, and future import/mapping logic.</t>
  </si>
  <si>
    <t>Dashboard/documentation only.</t>
  </si>
  <si>
    <t>Use v4 as current master.</t>
  </si>
  <si>
    <t>CL-033</t>
  </si>
  <si>
    <t>DATA_CAPITAL_FLOW</t>
  </si>
  <si>
    <t>Capital events were only embedded in rollup rows and mixed positive surplus with negative funding gaps.</t>
  </si>
  <si>
    <t>Added live capital-flow authority table separating operating flow, debt service, refinance proceeds, refinance surplus, residual funding gap, clean cash, and legacy reconciliation.</t>
  </si>
  <si>
    <t>No assumption changes; all Amount values formula-link to existing rollup outputs.</t>
  </si>
  <si>
    <t>Use this table as the platform layer for capital-flow logic.</t>
  </si>
  <si>
    <t>CL-034</t>
  </si>
  <si>
    <t>OUT_CAPITAL_FLOW_SUMMARY</t>
  </si>
  <si>
    <t>No clean year-by-year view separated operating cash from refinance/funding-gap logic.</t>
  </si>
  <si>
    <t>Added live summary that presents operating flow, capital/refi flow, clean total cash, legacy total cash, and reconciliation checks by year.</t>
  </si>
  <si>
    <t>Presentation and reconciliation layer only; formulas remain live.</t>
  </si>
  <si>
    <t>Use this output before rebuilding investor summary.</t>
  </si>
  <si>
    <t>CL-035</t>
  </si>
  <si>
    <t>Label / Governance</t>
  </si>
  <si>
    <t>00_PORTFOLIO ROLLUP!C63</t>
  </si>
  <si>
    <t>Existing label described net refinance position as equity returned even when negative.</t>
  </si>
  <si>
    <t>Renamed row 63 to Net Refinance Position (Surplus / Funding Gap).</t>
  </si>
  <si>
    <t>Label only; underlying formulas unchanged.</t>
  </si>
  <si>
    <t>Do not present negative net refi position as equity returned.</t>
  </si>
  <si>
    <t>CL-036</t>
  </si>
  <si>
    <t>00_PORTFOLIO ROLLUP!C68</t>
  </si>
  <si>
    <t>Total Cash to Partnership mixed operating cash and net refinance position, including negative funding gaps.</t>
  </si>
  <si>
    <t>Renamed row 68 as Legacy Total Cash to Partnership (operations + net refi position).</t>
  </si>
  <si>
    <t>Use OUT_CAPITAL_FLOW_SUMMARY for clean output.</t>
  </si>
  <si>
    <t>CL-037</t>
  </si>
  <si>
    <t>00_MODEL_CHECKS!A25:E28; DATA_QUALITY_CHECKS!A16:F18</t>
  </si>
  <si>
    <t>No checks existed for capital-flow formula integrity or clean-cash reconciliation.</t>
  </si>
  <si>
    <t>Added live checks for capital-flow formulas, reconciliation, relabeled rollup rows, and residual gap separation.</t>
  </si>
  <si>
    <t>Adds QA controls; no assumptions changed.</t>
  </si>
  <si>
    <t>Review before external use.</t>
  </si>
  <si>
    <t>CL-038</t>
  </si>
  <si>
    <t>Platform dashboard still treated capital-flow separation as the next open fix.</t>
  </si>
  <si>
    <t>Updated platform index and readiness dashboard to show capital-flow authority and reconciliation status.</t>
  </si>
  <si>
    <t>Next: rebuild investor summary from clean outputs.</t>
  </si>
  <si>
    <t>CL-039</t>
  </si>
  <si>
    <t>00_PORTFOLIO ROLLUP!E13:Y64</t>
  </si>
  <si>
    <t>Rollup formulas used toggle × property value; in Excel, excluded property errors can still contaminate totals because 0 × error is still an error.</t>
  </si>
  <si>
    <t>Replaced direct property aggregation terms with IF(included, IFERROR(source,0),0) formulas.</t>
  </si>
  <si>
    <t>Formula architecture changed only; assumptions unchanged. Totals may change only where source errors/exclusions previously contaminated results.</t>
  </si>
  <si>
    <t>Review DATA_AGGREGATION_AUDIT for suppressed source errors.</t>
  </si>
  <si>
    <t>CL-040</t>
  </si>
  <si>
    <t>Rollup Guardrails</t>
  </si>
  <si>
    <t>00_PORTFOLIO ROLLUP rows 24,39,41,45,50,52,54,56,63,66,67,68,73,75,76,77,81,82,83,84,87</t>
  </si>
  <si>
    <t>Dependent rollup rows could still display upstream formula errors or stale event-marker logic.</t>
  </si>
  <si>
    <t>Added IFERROR guards to dependent formulas and repaired the refi/funding event marker logic.</t>
  </si>
  <si>
    <t>Keeps formulas live and readable; does not change assumptions.</t>
  </si>
  <si>
    <t>Use audit checks before external use.</t>
  </si>
  <si>
    <t>CL-041</t>
  </si>
  <si>
    <t>Audit Layer</t>
  </si>
  <si>
    <t>DATA_AGGREGATION_AUDIT</t>
  </si>
  <si>
    <t>No live audit existed to show when source-tab errors were suppressed from portfolio totals.</t>
  </si>
  <si>
    <t>Added live audit table counting included and excluded source errors by rollup metric and year.</t>
  </si>
  <si>
    <t>Governance/control layer only; no assumptions changed.</t>
  </si>
  <si>
    <t>Included-source errors must be reviewed even if rollup totals remain readable.</t>
  </si>
  <si>
    <t>CL-042</t>
  </si>
  <si>
    <t>00_MODEL_CHECKS!A29:E32; DATA_QUALITY_CHECKS!A19:F22</t>
  </si>
  <si>
    <t>No checks existed for guarded aggregation formulas or suppressed source errors.</t>
  </si>
  <si>
    <t>Added live checks for aggregation guard presence, included-source errors, excluded-source errors, and audit-table presence.</t>
  </si>
  <si>
    <t>Resolve REVIEW flags before external sharing.</t>
  </si>
  <si>
    <t>CL-043</t>
  </si>
  <si>
    <t>00_PLATFORM_INDEX!A19:E19; OUT_PLATFORM_READINESS!A20:E21</t>
  </si>
  <si>
    <t>Platform dashboard did not identify aggregation-cleanup/audit as a completed bridge layer.</t>
  </si>
  <si>
    <t>Added aggregation audit to the platform index and readiness dashboard.</t>
  </si>
  <si>
    <t>Next: rebuild investor summary from clean capital-flow and classification outputs.</t>
  </si>
  <si>
    <t>CL-044</t>
  </si>
  <si>
    <t>Capital Flow Architecture</t>
  </si>
  <si>
    <t>DATA_CAPITAL_FLOW!A294:L5206</t>
  </si>
  <si>
    <t>Capital-flow authority existed only at portfolio level, so residual funding gaps could not be traced to individual buildings.</t>
  </si>
  <si>
    <t>Added Level = Property rows for every BLD_ID, year, and capital-flow metric, linked to BLD_* tabs using the same row-source logic as DATA_METRIC_LONG and scope-adjusted to current inclusion flags.</t>
  </si>
  <si>
    <t>No assumptions changed; property Amount values are live formulas from BLD_* tabs and inclusion controls.</t>
  </si>
  <si>
    <t>Use property-level rows to trace funding gaps by asset.</t>
  </si>
  <si>
    <t>CL-045</t>
  </si>
  <si>
    <t>Reconciliation Control</t>
  </si>
  <si>
    <t>DATA_CAPITAL_FLOW_RECON</t>
  </si>
  <si>
    <t>No reconciliation existed between property-level capital-flow rows and portfolio-level capital-flow rows.</t>
  </si>
  <si>
    <t>Added live reconciliation table comparing SUMIFS property-level amounts to matching portfolio-level rows by year and metric.</t>
  </si>
  <si>
    <t>Adds QA control only; formulas remain live.</t>
  </si>
  <si>
    <t>Resolve any CHECK rows before external use.</t>
  </si>
  <si>
    <t>CL-046</t>
  </si>
  <si>
    <t>00_MODEL_CHECKS!A33:E36; DATA_QUALITY_CHECKS!A23:F25</t>
  </si>
  <si>
    <t>No checks existed for property-level capital-flow completeness, property-to-portfolio reconciliation, or property-level residual funding gap traceability.</t>
  </si>
  <si>
    <t>Added live checks for property capital-flow row count, reconciliation status, funding-gap traceability, and reconciliation sheet presence.</t>
  </si>
  <si>
    <t>Adds QA controls only; no assumptions changed.</t>
  </si>
  <si>
    <t>Use these checks before investor summary rebuild.</t>
  </si>
  <si>
    <t>CL-047</t>
  </si>
  <si>
    <t>00_PLATFORM_INDEX!A20:E21; OUT_PLATFORM_READINESS!A22:E24</t>
  </si>
  <si>
    <t>Platform dashboard did not show property-level capital-flow traceability or reconciliation.</t>
  </si>
  <si>
    <t>Updated index and readiness dashboard to reflect v7 property-level capital-flow rows and reconciliation checks.</t>
  </si>
  <si>
    <t>Next: rebuild investor summary from classification + capital-flow layers.</t>
  </si>
  <si>
    <t>CL-048</t>
  </si>
  <si>
    <t>Formula Governance</t>
  </si>
  <si>
    <t>DATA_CAPITAL_FLOW!H294:H5206</t>
  </si>
  <si>
    <t>Property-level flows needed to reconcile to portfolio totals without allowing excluded properties to contaminate the portfolio view.</t>
  </si>
  <si>
    <t>Property-level Amount formulas now use live inclusion flags from DATA_PROPERTY_MASTER and return zero for excluded properties while preserving source-link audit logic.</t>
  </si>
  <si>
    <t>Scope-control architecture only; assumptions unchanged.</t>
  </si>
  <si>
    <t>Future version may add separate raw/unscoped amount if useful for data intake diagnostics.</t>
  </si>
  <si>
    <t>CL-049</t>
  </si>
  <si>
    <t>Investor Summary Governance</t>
  </si>
  <si>
    <t>LEGACY_INVESTOR_SUMMARY</t>
  </si>
  <si>
    <t>Existing investor summary mixed manually written narrative and older rollup logic.</t>
  </si>
  <si>
    <t>Copied existing 00_INVESTOR SUMMARY to LEGACY_INVESTOR_SUMMARY before rebuilding live page.</t>
  </si>
  <si>
    <t>Documentation/audit only; no assumptions changed.</t>
  </si>
  <si>
    <t>Use legacy only for comparison, not as live source of truth.</t>
  </si>
  <si>
    <t>CL-050</t>
  </si>
  <si>
    <t>Investor Summary Rebuild</t>
  </si>
  <si>
    <t>00_INVESTOR SUMMARY</t>
  </si>
  <si>
    <t>Investor-facing summary was not yet sourced from the authoritative classification and capital-flow layers.</t>
  </si>
  <si>
    <t>Rebuilt 00_INVESTOR SUMMARY with live formulas pulling from DATA_ASSET_CLASSIFICATION, DATA_CAPITAL_FLOW, DATA_CAPITAL_FLOW_RECON, DATA_AGGREGATION_AUDIT, and 00_PORTFOLIO ROLLUP controls.</t>
  </si>
  <si>
    <t>Output presentation now follows authority layers; no assumptions changed.</t>
  </si>
  <si>
    <t>Review after Excel recalculation on open.</t>
  </si>
  <si>
    <t>CL-051</t>
  </si>
  <si>
    <t>Capital Flow Metadata</t>
  </si>
  <si>
    <t>DATA_CAPITAL_FLOW!M:Q</t>
  </si>
  <si>
    <t>Capital-flow rows lacked classification/register metadata, making investor summary formulas more complex and less transparent.</t>
  </si>
  <si>
    <t>Added live lookup columns for Property Name, Final Classification, Register Bucket, Included?, and Capital Flow Status.</t>
  </si>
  <si>
    <t>Adds classification metadata to capital-flow rows; no assumptions changed.</t>
  </si>
  <si>
    <t>Use columns M:Q for future investor/rating dashboards.</t>
  </si>
  <si>
    <t>CL-052</t>
  </si>
  <si>
    <t>Funding Gap Traceability</t>
  </si>
  <si>
    <t>00_INVESTOR SUMMARY!A36:L54</t>
  </si>
  <si>
    <t>Investor page did not trace residual funding gaps back to individual assets.</t>
  </si>
  <si>
    <t>Added property-level funding-gap trace using SUMIFS/MAXIFS from DATA_CAPITAL_FLOW property-level rows.</t>
  </si>
  <si>
    <t>Presentation and traceability only; no assumptions changed.</t>
  </si>
  <si>
    <t>Use this section to identify asset-specific refi/funding solutions.</t>
  </si>
  <si>
    <t>CL-053</t>
  </si>
  <si>
    <t>00_MODEL_CHECKS; DATA_QUALITY_CHECKS</t>
  </si>
  <si>
    <t>No live checks existed to confirm investor summary was rebuilt from authority layers.</t>
  </si>
  <si>
    <t>Added checks for investor summary formula source, legacy preservation, property-gap row count, and governance status.</t>
  </si>
  <si>
    <t>QA controls only; no assumptions changed.</t>
  </si>
  <si>
    <t>Resolve any FAIL/REVIEW before external sharing.</t>
  </si>
  <si>
    <t>CL-054</t>
  </si>
  <si>
    <t>Platform dashboard did not reflect the live investor-summary rebuild.</t>
  </si>
  <si>
    <t>Updated platform index and readiness dashboard to identify v8 investor-output layer.</t>
  </si>
  <si>
    <t>Next: decide whether to add raw vs scope-adjusted property capital-flow amounts.</t>
  </si>
  <si>
    <t>CL-055</t>
  </si>
  <si>
    <t>Template Governance</t>
  </si>
  <si>
    <t>INPUT_CONTROL_MAP</t>
  </si>
  <si>
    <t>Analysts/AI could not clearly see which ranges are writable versus generated.</t>
  </si>
  <si>
    <t>Added centralized input/control/output/legacy-engine map.</t>
  </si>
  <si>
    <t>Governance/documentation; no assumptions changed.</t>
  </si>
  <si>
    <t>Use INPUT_CONTROL_MAP before edits.</t>
  </si>
  <si>
    <t>CL-056</t>
  </si>
  <si>
    <t>Mapping Clarification</t>
  </si>
  <si>
    <t>Mapping table described future canonical tabs as if already live.</t>
  </si>
  <si>
    <t>Rebuilt mapping to distinguish current live source ranges from future canonical targets and repoint status.</t>
  </si>
  <si>
    <t>Governance/documentation; no calculations changed.</t>
  </si>
  <si>
    <t>Build/repoint DATA_UNIT_MIX, DATA_RENT_ROLL, DATA_OPERATING_ACTUALS, DATA_AGREEMENTS later.</t>
  </si>
  <si>
    <t>CL-057</t>
  </si>
  <si>
    <t>Formula Scalability</t>
  </si>
  <si>
    <t>DATA_AGGREGATION_AUDIT!D6:X80</t>
  </si>
  <si>
    <t>Audit formulas were chained across fixed NGO B property codes.</t>
  </si>
  <si>
    <t>Replaced chained formulas with dynamic formulas referencing DATA_PROPERTY_MASTER and property-tab names.</t>
  </si>
  <si>
    <t>Audit logic remains live and scales better with property count.</t>
  </si>
  <si>
    <t>Still assumes property tabs exist until Python engine replaces them.</t>
  </si>
  <si>
    <t>CL-058</t>
  </si>
  <si>
    <t>Readiness dashboard did not show input-map and live-vs-roadmap distinction.</t>
  </si>
  <si>
    <t>Added v9 governance rows and explicit legacy-engine status.</t>
  </si>
  <si>
    <t>Dashboard only.</t>
  </si>
  <si>
    <t>Keep OPEN status until canonical source tables drive calculations.</t>
  </si>
  <si>
    <t>CL-059</t>
  </si>
  <si>
    <t>Quality Control</t>
  </si>
  <si>
    <t>No check confirmed input map or dynamic audit formulas.</t>
  </si>
  <si>
    <t>Added checks CHK-030 to CHK-033 and QC-022 to QC-025.</t>
  </si>
  <si>
    <t>QA only.</t>
  </si>
  <si>
    <t>Review PASS/OPEN status after Excel recalculation.</t>
  </si>
  <si>
    <t>CL-060</t>
  </si>
  <si>
    <t>Workbook</t>
  </si>
  <si>
    <t>v8 did not explicitly separate live reusable DATA/OUT layers from bespoke NGO B engine.</t>
  </si>
  <si>
    <t>Created v9 with analyst/AI write map and clearer current-state architecture.</t>
  </si>
  <si>
    <t>No assumption changes; formulas remain live.</t>
  </si>
  <si>
    <t>Next: build canonical DATA_UNIT_MIX / DATA_RENT_ROLL / DATA_OPERATING_ACTUALS and repoint engines.</t>
  </si>
  <si>
    <t>CL-061</t>
  </si>
  <si>
    <t>Visual Governance</t>
  </si>
  <si>
    <t>Workbook tabs and key input/generated/output sheets</t>
  </si>
  <si>
    <t>Analysts/AI could not visually distinguish writable inputs from formulas, generated data, warnings, outputs, and legacy calculation areas.</t>
  </si>
  <si>
    <t>Applied workbook colour-control standard while preserving formulas and assumptions: blue inputs, black formulas, purple generated data, orange review flags, grey legacy engine, green outputs.</t>
  </si>
  <si>
    <t>Formatting/control only; no assumptions changed and formulas preserved.</t>
  </si>
  <si>
    <t>Use colour standard before any analyst/AI edit.</t>
  </si>
  <si>
    <t>CL-062</t>
  </si>
  <si>
    <t>STG_SOURCE_INTAKE; MAP_FIELD_MAPPING; INPUT_CONTROL_MAP; 00_MODEL_CONTROL; DATA_ASSET_CLASSIFICATION T/Y</t>
  </si>
  <si>
    <t>Permitted write zones were documented but not visually controlled.</t>
  </si>
  <si>
    <t>Applied blue input styling to mapped human/AI write ranges and controlled override ranges.</t>
  </si>
  <si>
    <t>No calculation impact; improves edit discipline.</t>
  </si>
  <si>
    <t>Future canonical input tabs should follow the same blue input convention.</t>
  </si>
  <si>
    <t>CL-063</t>
  </si>
  <si>
    <t>Warning Control</t>
  </si>
  <si>
    <t>DATA_QUALITY_CHECKS; 00_MODEL_CHECKS; DATA_ASSET_CLASSIFICATION X; recon/audit status fields</t>
  </si>
  <si>
    <t>Review / fail / missing-data states were not visually prominent enough.</t>
  </si>
  <si>
    <t>Added orange warning/review formatting and conditional highlighting for FAIL, REVIEW, MISSING, OPEN, and SUPPRESSED status text.</t>
  </si>
  <si>
    <t>No calculation impact; strengthens QA visibility.</t>
  </si>
  <si>
    <t>Resolve orange items before external sharing.</t>
  </si>
  <si>
    <t>CL-064</t>
  </si>
  <si>
    <t>Template Documentation</t>
  </si>
  <si>
    <t>00_PLATFORM_INDEX; INPUT_CONTROL_MAP</t>
  </si>
  <si>
    <t>Colour logic needed to be explicit for future analysts and AI agents.</t>
  </si>
  <si>
    <t>Added colour/editing-standard legend to 00_PLATFORM_INDEX and INPUT_CONTROL_MAP, and updated platform readiness/index status.</t>
  </si>
  <si>
    <t>Documentation only.</t>
  </si>
  <si>
    <t>Keep as standard for all future IREI platform workbooks.</t>
  </si>
  <si>
    <t>CL-065</t>
  </si>
  <si>
    <t>Canonical Input</t>
  </si>
  <si>
    <t>DATA_UNIT_MIX</t>
  </si>
  <si>
    <t>Canonical input layer not yet existed / needed to support AI and analyst ingestion.</t>
  </si>
  <si>
    <t>Built canonical unit mix intake table with blue input fields and live formula columns.</t>
  </si>
  <si>
    <t>No current-model output change; future source-table structure only.</t>
  </si>
  <si>
    <t>Use for future NGO/Yardi unit mix ingestion.</t>
  </si>
  <si>
    <t>CL-066</t>
  </si>
  <si>
    <t>DATA_RENT_ROLL</t>
  </si>
  <si>
    <t>Built canonical rent-roll intake table supporting unit-level or summarized rent data.</t>
  </si>
  <si>
    <t>Use when rent roll or Yardi exports are available.</t>
  </si>
  <si>
    <t>CL-067</t>
  </si>
  <si>
    <t>DATA_OPERATING_ACTUALS</t>
  </si>
  <si>
    <t>Built long-format operating actuals/budget/projection intake table.</t>
  </si>
  <si>
    <t>No current-model output change; future repoint target for base-year inputs.</t>
  </si>
  <si>
    <t>Repoint 01_Base Yr. Inputs only in later version.</t>
  </si>
  <si>
    <t>CL-068</t>
  </si>
  <si>
    <t>DATA_AGREEMENTS</t>
  </si>
  <si>
    <t>Built agreements/restrictions/subsidy/mission-protection intake table.</t>
  </si>
  <si>
    <t>No current-model output change; adds evidence structure.</t>
  </si>
  <si>
    <t>Use to support mission-protection and agreement-risk review.</t>
  </si>
  <si>
    <t>CL-069</t>
  </si>
  <si>
    <t>DATA_CAPITAL_NEEDS</t>
  </si>
  <si>
    <t>Built capital needs/fixed-asset/deferred-maintenance intake table with live unfunded-gap formula.</t>
  </si>
  <si>
    <t>No current-model output change; future feed to capital-flow layer.</t>
  </si>
  <si>
    <t>Use for FCA/capital plan/depreciation source mapping.</t>
  </si>
  <si>
    <t>CL-070</t>
  </si>
  <si>
    <t>INPUT_CONTROL_MAP / MAP_FIELD_MAPPING / 00_PLATFORM_INDEX</t>
  </si>
  <si>
    <t>Updated control/mapping/index sheets to show canonical tabs as live blue input zones but not yet calculation-engine sources.</t>
  </si>
  <si>
    <t>Documentation/control improvement only.</t>
  </si>
  <si>
    <t>Next step: populate with NGO B/ENF sample rows and test mapping.</t>
  </si>
  <si>
    <t>CL-071</t>
  </si>
  <si>
    <t>DATA_QUALITY_CHECKS / 00_MODEL_CHECKS</t>
  </si>
  <si>
    <t>Added live checks for canonical tab existence and v11 repointing status.</t>
  </si>
  <si>
    <t>Quality-control formulas only.</t>
  </si>
  <si>
    <t>Keep status OPEN until legacy engine is repointed.</t>
  </si>
  <si>
    <t>CL-072</t>
  </si>
  <si>
    <t>INPUT_CONTROL_MAP / MAP_FIELD_MAPPING</t>
  </si>
  <si>
    <t>v11 canonical input tables existed but governance map still carried v9 / not-built language.</t>
  </si>
  <si>
    <t>Updated documentation to separate table-exists status from engine-repoint status.</t>
  </si>
  <si>
    <t>Keep table-exists and repoint status separate in future versions.</t>
  </si>
  <si>
    <t>IREI PLATFORM TEMPLATE LAYER — v10 colour-controlled working master</t>
  </si>
  <si>
    <t>Purpose</t>
  </si>
  <si>
    <t>Adds platform-ready bridge, authoritative classification, capital-flow separation, property-level traceability, reconciliation controls, and a live investor summary while preserving live calculations.</t>
  </si>
  <si>
    <t>Core rule</t>
  </si>
  <si>
    <t>Future NGOs provide messy source files; IREI/AI maps them into canonical DATA sheets, then model outputs are generated.</t>
  </si>
  <si>
    <t>Layer</t>
  </si>
  <si>
    <t>Sheet</t>
  </si>
  <si>
    <t>Role</t>
  </si>
  <si>
    <t>Live / Manual</t>
  </si>
  <si>
    <t>COLOUR / EDITING STANDARD — v10</t>
  </si>
  <si>
    <t>1 Intake</t>
  </si>
  <si>
    <t>Log source files and review status.</t>
  </si>
  <si>
    <t>Manual / future AI-populated</t>
  </si>
  <si>
    <t>New</t>
  </si>
  <si>
    <t>Style</t>
  </si>
  <si>
    <t>Meaning</t>
  </si>
  <si>
    <t>Control Rule</t>
  </si>
  <si>
    <t>Example</t>
  </si>
  <si>
    <t>Owner</t>
  </si>
  <si>
    <t>2 Mapping</t>
  </si>
  <si>
    <t>Translate messy source fields into IREI canonical fields.</t>
  </si>
  <si>
    <t>Standard / AI-assisted</t>
  </si>
  <si>
    <t>Blue fill / blue font</t>
  </si>
  <si>
    <t>Analyst / AI input cell</t>
  </si>
  <si>
    <t>Allowed to write only in mapped input ranges</t>
  </si>
  <si>
    <t>STG_SOURCE_INTAKE rows</t>
  </si>
  <si>
    <t>Analyst / AI</t>
  </si>
  <si>
    <t>3 Property master</t>
  </si>
  <si>
    <t>One row per property linked to current model.</t>
  </si>
  <si>
    <t>Live formulas</t>
  </si>
  <si>
    <t>Black font</t>
  </si>
  <si>
    <t>Live formula / calculated output</t>
  </si>
  <si>
    <t>Do not overwrite</t>
  </si>
  <si>
    <t>DATA_CAPITAL_FLOW formulas</t>
  </si>
  <si>
    <t>Model / Excel</t>
  </si>
  <si>
    <t>4 Classification</t>
  </si>
  <si>
    <t>Classify every property once using formula-driven rules and controlled override governance.</t>
  </si>
  <si>
    <t>Live formulas / controlled manual override</t>
  </si>
  <si>
    <t>New in v4</t>
  </si>
  <si>
    <t>Purple fill / tab</t>
  </si>
  <si>
    <t>Generated or normalized DATA layer</t>
  </si>
  <si>
    <t>Generated from current model today; future AI/Python output</t>
  </si>
  <si>
    <t>AI / model generator</t>
  </si>
  <si>
    <t>5 Debt master</t>
  </si>
  <si>
    <t>One row per property debt profile.</t>
  </si>
  <si>
    <t>Orange fill</t>
  </si>
  <si>
    <t>Warning / required review</t>
  </si>
  <si>
    <t>Resolve before external use</t>
  </si>
  <si>
    <t>Analyst reviewer</t>
  </si>
  <si>
    <t>6 Metric long table</t>
  </si>
  <si>
    <t>Property-year-metric rows linked to BLD_* tabs.</t>
  </si>
  <si>
    <t>Grey tab / grey header</t>
  </si>
  <si>
    <t>Legacy NGO B calculation engine</t>
  </si>
  <si>
    <t>Do not edit unless rebuilding the engine</t>
  </si>
  <si>
    <t>BLD_* tabs</t>
  </si>
  <si>
    <t>Model maintainer</t>
  </si>
  <si>
    <t>7 Checks</t>
  </si>
  <si>
    <t>Live platform-readiness checks.</t>
  </si>
  <si>
    <t>Green tab/header</t>
  </si>
  <si>
    <t>Output / summary page</t>
  </si>
  <si>
    <t>Output only; formulas should source from authority layers</t>
  </si>
  <si>
    <t>Reader / reviewer</t>
  </si>
  <si>
    <t>8 Output</t>
  </si>
  <si>
    <t>Dashboard for migration readiness.</t>
  </si>
  <si>
    <t>Total properties</t>
  </si>
  <si>
    <t>Included properties</t>
  </si>
  <si>
    <t>Metric rows</t>
  </si>
  <si>
    <t>9 Capital-flow authority</t>
  </si>
  <si>
    <t>Separates operating cash, debt service, refinance surplus, and residual funding gap into live canonical rows.</t>
  </si>
  <si>
    <t>Live formulas from existing rollup</t>
  </si>
  <si>
    <t>New in v5</t>
  </si>
  <si>
    <t>10 Capital-flow output</t>
  </si>
  <si>
    <t>Provides clean year-by-year output and reconciliation against the legacy rollup total.</t>
  </si>
  <si>
    <t>11 Aggregation audit</t>
  </si>
  <si>
    <t>Tracks included/excluded source errors suppressed by guarded rollup aggregation formulas.</t>
  </si>
  <si>
    <t>New in v6</t>
  </si>
  <si>
    <t>12 Property-level capital-flow</t>
  </si>
  <si>
    <t>Adds Level = Property rows by BLD_ID/year/metric, linked to property tabs and scope-adjusted to reconcile to portfolio totals.</t>
  </si>
  <si>
    <t>Live formulas from BLD_* tabs</t>
  </si>
  <si>
    <t>New in v7</t>
  </si>
  <si>
    <t>13 Capital-flow reconciliation</t>
  </si>
  <si>
    <t>Checks that property-level sums equal the portfolio-level capital-flow rows for each year and metric.</t>
  </si>
  <si>
    <t>Live SUMIFS formulas</t>
  </si>
  <si>
    <t>Investor-facing summary rebuilt from DATA_ASSET_CLASSIFICATION, DATA_CAPITAL_FLOW, and DATA_CAPITAL_FLOW_RECON.</t>
  </si>
  <si>
    <t>New in v8</t>
  </si>
  <si>
    <t>v9 governance additions</t>
  </si>
  <si>
    <t>Human/AI write map</t>
  </si>
  <si>
    <t>Centralized map of writable inputs, generated outputs, and legacy engine zones.</t>
  </si>
  <si>
    <t>Use this as analyst/AI operating guide.</t>
  </si>
  <si>
    <t>Current-vs-future field map</t>
  </si>
  <si>
    <t>Updated to distinguish live current sources from future canonical target tables.</t>
  </si>
  <si>
    <t>Prevents the map from promising non-live tables.</t>
  </si>
  <si>
    <t>Dynamic audit formulas</t>
  </si>
  <si>
    <t>Removed chained BLD_AB + BLD_AC style formulas; now references DATA_PROPERTY_MASTER dynamically.</t>
  </si>
  <si>
    <t>Better survives changing property counts.</t>
  </si>
  <si>
    <t>Remaining manual scaling item</t>
  </si>
  <si>
    <t>Underlying engine</t>
  </si>
  <si>
    <t>01/02/BLD tabs remain NGO B-specific calculation engine.</t>
  </si>
  <si>
    <t>Open</t>
  </si>
  <si>
    <t>Future Python should generate/replace engine from canonical DATA tables.</t>
  </si>
  <si>
    <t>11 Colour control</t>
  </si>
  <si>
    <t>INPUT_CONTROL_MAP / 00_PLATFORM_INDEX</t>
  </si>
  <si>
    <t>Adds explicit colour/editing convention: blue inputs, black formulas, purple generated data, orange warnings, grey legacy engine, green outputs.</t>
  </si>
  <si>
    <t>Visual governance</t>
  </si>
  <si>
    <t>New in v10</t>
  </si>
  <si>
    <t>v11 Canonical input layer</t>
  </si>
  <si>
    <t>Canonical input</t>
  </si>
  <si>
    <t>Unit mix and affordability/rent restriction evidence</t>
  </si>
  <si>
    <t>Blue inputs + live formula checks</t>
  </si>
  <si>
    <t>New in v11</t>
  </si>
  <si>
    <t>Unit-level or summarized rent roll evidence</t>
  </si>
  <si>
    <t>Long-format operating actual/budget/projection rows</t>
  </si>
  <si>
    <t>Legal/funding/affordability restriction evidence</t>
  </si>
  <si>
    <t>Capital needs, fixed assets, funded/unfunded gap</t>
  </si>
  <si>
    <t>Tracks source files received before AI extraction and human validation.</t>
  </si>
  <si>
    <t>Rule</t>
  </si>
  <si>
    <t>Does not change calculations until source data is mapped into DATA sheets.</t>
  </si>
  <si>
    <t>Source_File_ID</t>
  </si>
  <si>
    <t>NGO / Entity</t>
  </si>
  <si>
    <t>File Name / Export</t>
  </si>
  <si>
    <t>Source System</t>
  </si>
  <si>
    <t>File Type</t>
  </si>
  <si>
    <t>Fiscal Year / Period</t>
  </si>
  <si>
    <t>Received Status</t>
  </si>
  <si>
    <t>AI Extraction Status</t>
  </si>
  <si>
    <t>Human Review Status</t>
  </si>
  <si>
    <t>Maps To</t>
  </si>
  <si>
    <t>SRC-001</t>
  </si>
  <si>
    <t>Future NGO</t>
  </si>
  <si>
    <t>Yardi rent roll export</t>
  </si>
  <si>
    <t>Yardi</t>
  </si>
  <si>
    <t>CSV</t>
  </si>
  <si>
    <t>YYYY-MM</t>
  </si>
  <si>
    <t>Not Provided</t>
  </si>
  <si>
    <t>Not Started</t>
  </si>
  <si>
    <t>DATA_UNIT_MIX / DATA_RENT_ROLL</t>
  </si>
  <si>
    <t>Example only</t>
  </si>
  <si>
    <t>SRC-002</t>
  </si>
  <si>
    <t>General ledger export</t>
  </si>
  <si>
    <t>Yardi / Sage / QuickBooks</t>
  </si>
  <si>
    <t>CSV/XLSX</t>
  </si>
  <si>
    <t>YYYY</t>
  </si>
  <si>
    <t>SRC-003</t>
  </si>
  <si>
    <t>Debt schedule</t>
  </si>
  <si>
    <t>Bank / lender / internal</t>
  </si>
  <si>
    <t>XLSX/PDF</t>
  </si>
  <si>
    <t>As of date</t>
  </si>
  <si>
    <t>SRC-004</t>
  </si>
  <si>
    <t>Property summary workbook</t>
  </si>
  <si>
    <t>Internal Excel</t>
  </si>
  <si>
    <t>XLSX</t>
  </si>
  <si>
    <t>Current</t>
  </si>
  <si>
    <t>SRC-005</t>
  </si>
  <si>
    <t>Operating agreements / covenants</t>
  </si>
  <si>
    <t>Legal / funder</t>
  </si>
  <si>
    <t>PDF/DOCX</t>
  </si>
  <si>
    <t>v11 source-type note</t>
  </si>
  <si>
    <t>Classify source files as Operating Projection, Rent Roll/Yardi, Operating Actuals/GL, Agreement/Restriction, Capital Needs/FCA, Debt/Amortization, or Capital Product/Bond before mapping to canonical DATA tabs.</t>
  </si>
  <si>
    <t>MAP_FIELD_MAPPING — v11 canonical input map</t>
  </si>
  <si>
    <t>Shows what the workbook actually uses today, plus the future canonical source-table target. Prevents the mapping table from promising a system that is not yet wired.</t>
  </si>
  <si>
    <t>Current calculation source remains authoritative until the engine is repointed. Canonical tables may exist before they feed calculations; track table existence separately from repoint status.</t>
  </si>
  <si>
    <t>Source Field / Concept</t>
  </si>
  <si>
    <t>Current Calculation Source / Live Today</t>
  </si>
  <si>
    <t>Current Range</t>
  </si>
  <si>
    <t>Generated Target / Canonical Table</t>
  </si>
  <si>
    <t>Canonical Field</t>
  </si>
  <si>
    <t>Write Permission</t>
  </si>
  <si>
    <t>Repoint Status</t>
  </si>
  <si>
    <t>00_MODEL_CONTROL / 01_Property Summary</t>
  </si>
  <si>
    <t>00_MODEL_CONTROL!A5:A21; 01_Property Summary!B4:R4</t>
  </si>
  <si>
    <t>Property_ID</t>
  </si>
  <si>
    <t>Generated from current model</t>
  </si>
  <si>
    <t>Live bridge</t>
  </si>
  <si>
    <t>Future NGO: AI should generate DATA_PROPERTY_MASTER rows first.</t>
  </si>
  <si>
    <t>01_Property Summary</t>
  </si>
  <si>
    <t>01_Property Summary!B5:R5</t>
  </si>
  <si>
    <t>Property_Name</t>
  </si>
  <si>
    <t>Do not retype names in output tabs.</t>
  </si>
  <si>
    <t>Included in Model</t>
  </si>
  <si>
    <t>00_MODEL_CONTROL!E5:E21</t>
  </si>
  <si>
    <t>Included_In_Model</t>
  </si>
  <si>
    <t>Human / AI input control</t>
  </si>
  <si>
    <t>This is a controlled input today.</t>
  </si>
  <si>
    <t>Asset Classification</t>
  </si>
  <si>
    <t>DATA_ASSET_CLASSIFICATION!U8:U24</t>
  </si>
  <si>
    <t>Final_Classification</t>
  </si>
  <si>
    <t>Generated, with controlled override</t>
  </si>
  <si>
    <t>Live</t>
  </si>
  <si>
    <t>Human override only via T + Y reason.</t>
  </si>
  <si>
    <t>DATA_ASSET_CLASSIFICATION mapping</t>
  </si>
  <si>
    <t>DATA_ASSET_CLASSIFICATION!AA:AB -&gt; 00_PORTFOLIO_REGISTER!J5:J21</t>
  </si>
  <si>
    <t>Register_Bucket</t>
  </si>
  <si>
    <t>Generated</t>
  </si>
  <si>
    <t>Register is no longer an independent source.</t>
  </si>
  <si>
    <t>01_Property Summary!B6:R6</t>
  </si>
  <si>
    <t>Unit_Count</t>
  </si>
  <si>
    <t>Human / AI may write blue cells</t>
  </si>
  <si>
    <t>Table exists; not engine-repointed</t>
  </si>
  <si>
    <t>v11 canonical DATA_UNIT_MIX exists; 01_Property Summary still drives calculations.</t>
  </si>
  <si>
    <t>Rent Roll</t>
  </si>
  <si>
    <t>BLD_* property tabs / 02_Rent Engine</t>
  </si>
  <si>
    <t>BLD_* rows 13:36; 02_Rent Engine</t>
  </si>
  <si>
    <t>Rent / Occupancy / Program Unit Fields</t>
  </si>
  <si>
    <t>v11 canonical DATA_RENT_ROLL exists; rent engine/property tabs still drive calculations.</t>
  </si>
  <si>
    <t>Operating Actuals</t>
  </si>
  <si>
    <t>01_Base Yr. Inputs / BLD_* tabs</t>
  </si>
  <si>
    <t>01_Base Yr. Inputs; BLD_* rows 41:55</t>
  </si>
  <si>
    <t>Revenue / Expense / NOI / AFFO</t>
  </si>
  <si>
    <t>v11 canonical DATA_OPERATING_ACTUALS exists; calculations remain property-tab driven.</t>
  </si>
  <si>
    <t>Debt Terms</t>
  </si>
  <si>
    <t>02_Debt Engine / 02A_Debt Schedule</t>
  </si>
  <si>
    <t>02_Debt Engine; 02A_Debt Schedule</t>
  </si>
  <si>
    <t>Loan Terms / Maturity / Balance / DS</t>
  </si>
  <si>
    <t>Debt master is a bridge, not yet the source engine.</t>
  </si>
  <si>
    <t>Agreements / Covenants</t>
  </si>
  <si>
    <t>01_Property Summary / manual notes</t>
  </si>
  <si>
    <t>Agreement expiry/status fields where available</t>
  </si>
  <si>
    <t>Agreement Type / Expiry / Restriction</t>
  </si>
  <si>
    <t>v11 canonical DATA_AGREEMENTS exists; source evidence and downstream logic not fully wired yet.</t>
  </si>
  <si>
    <t>Capital Needs</t>
  </si>
  <si>
    <t>00_CAPITAL_PLAN / BLD_* tabs</t>
  </si>
  <si>
    <t>00_CAPITAL_PLAN; BLD_* capital rows where applicable</t>
  </si>
  <si>
    <t>Capex Item / Year / Amount / Funding Source</t>
  </si>
  <si>
    <t>v11 canonical DATA_CAPITAL_NEEDS exists; not yet fed to capital plan/capital-flow engine.</t>
  </si>
  <si>
    <t>DATA_CAPITAL_FLOW!A5:Q5206</t>
  </si>
  <si>
    <t>Operating / DS / Refi / Gap / Cash Flow</t>
  </si>
  <si>
    <t>Portfolio and property-level flow rows are live.</t>
  </si>
  <si>
    <t>00_INVESTOR SUMMARY!A1:L60</t>
  </si>
  <si>
    <t>OUT_INVESTOR_SUMMARY</t>
  </si>
  <si>
    <t>Summary Metrics / Flags / Trace</t>
  </si>
  <si>
    <t>Rebuilt in v8 from DATA layers.</t>
  </si>
  <si>
    <t>Unit mix / bedroom mix</t>
  </si>
  <si>
    <t>Not live in legacy engine except through property-level summaries</t>
  </si>
  <si>
    <t>01_Property Summary / future source files</t>
  </si>
  <si>
    <t>Property_ID, Unit_Count, Bedroom_Type, Rent_Restriction_Type</t>
  </si>
  <si>
    <t>Human / AI blue input</t>
  </si>
  <si>
    <t>Canonical table created; not repointed</t>
  </si>
  <si>
    <t>Use for future NGO/Yardi/FCA evidence.</t>
  </si>
  <si>
    <t>Rent roll / monthly rent</t>
  </si>
  <si>
    <t>Current model uses rent engine and property-tab outputs</t>
  </si>
  <si>
    <t>02_Rent Engine; BLD_* tabs; future Yardi CSV</t>
  </si>
  <si>
    <t>Current_Monthly_Rent, Market_Monthly_Rent, Subsidy_Amount</t>
  </si>
  <si>
    <t>Supports unit-level or summarized rent roll.</t>
  </si>
  <si>
    <t>Operating actuals / budgets</t>
  </si>
  <si>
    <t>Current model uses 01_Base Yr. Inputs and BLD_* tabs</t>
  </si>
  <si>
    <t>01_Base Yr. Inputs; BLD_* tabs</t>
  </si>
  <si>
    <t>Fiscal_Year, Scenario, IREI_Category, Amount</t>
  </si>
  <si>
    <t>Future replacement for base-year inputs.</t>
  </si>
  <si>
    <t>Agreements / restrictions</t>
  </si>
  <si>
    <t>Current model uses property summary fields and manual narrative</t>
  </si>
  <si>
    <t>01_Property Summary; source agreements</t>
  </si>
  <si>
    <t>Agreement_Type, End_Date, Affordability_Requirement, Restrictions</t>
  </si>
  <si>
    <t>Key IREI mission-protection evidence.</t>
  </si>
  <si>
    <t>Capital needs / fixed assets</t>
  </si>
  <si>
    <t>Current model uses capital plan and property/debt outputs</t>
  </si>
  <si>
    <t>00_CAPITAL_PLAN; ENF amortization/FCA source files</t>
  </si>
  <si>
    <t>Estimated_Cost, Funded_Amount, Unfunded_Amount, Year_Needed</t>
  </si>
  <si>
    <t>Connects future capital needs to capital-flow layer.</t>
  </si>
  <si>
    <t>One row per property, linked back to the existing model.</t>
  </si>
  <si>
    <t>The number of buildings should change rows, not workbook architecture.</t>
  </si>
  <si>
    <t>Register Bucket Mapping</t>
  </si>
  <si>
    <t>Mapping Check</t>
  </si>
  <si>
    <t>Start Year</t>
  </si>
  <si>
    <t>Op Agreement Expiry</t>
  </si>
  <si>
    <t>Data Source Status</t>
  </si>
  <si>
    <t>Source Tabs</t>
  </si>
  <si>
    <t>Property Tab Check</t>
  </si>
  <si>
    <t>00_MODEL_CONTROL; 01_Property Summary; BLD_* tabs</t>
  </si>
  <si>
    <t>DATA_ASSET_CLASSIFICATION — Authoritative Asset Classification</t>
  </si>
  <si>
    <t>Purpose: one controlled table classifies every property once; all summary tabs should pull from Final Classification.</t>
  </si>
  <si>
    <t>Rule: formulas calculate the rule-based class from live model data; Human Override is optional and must include an Override Reason.</t>
  </si>
  <si>
    <t>Min AFFO ($)</t>
  </si>
  <si>
    <t>Min DSCR (x)</t>
  </si>
  <si>
    <t>Refi Watch Window (years)</t>
  </si>
  <si>
    <t>Valid Override Values</t>
  </si>
  <si>
    <t>Stable, Refi Watch, Workout, New Build, Excluded</t>
  </si>
  <si>
    <t>Operating_Status</t>
  </si>
  <si>
    <t>Start_Year</t>
  </si>
  <si>
    <t>Op_Agreement_Expiry</t>
  </si>
  <si>
    <t>Debt_Term_Year</t>
  </si>
  <si>
    <t>Refinance_Potential</t>
  </si>
  <si>
    <t>Test_Year</t>
  </si>
  <si>
    <t>NOI @ Test Year ($)</t>
  </si>
  <si>
    <t>AFFO @ Test Year ($)</t>
  </si>
  <si>
    <t>DSCR @ Test Year (x)</t>
  </si>
  <si>
    <t>Debt Service @ Test Year ($)</t>
  </si>
  <si>
    <t>NOI_Flag</t>
  </si>
  <si>
    <t>AFFO_Flag</t>
  </si>
  <si>
    <t>DSCR_Flag</t>
  </si>
  <si>
    <t>Refi_Maturity_Flag</t>
  </si>
  <si>
    <t>Rule-Based Classification</t>
  </si>
  <si>
    <t>Human Override</t>
  </si>
  <si>
    <t>Classification Reason</t>
  </si>
  <si>
    <t>Required Action</t>
  </si>
  <si>
    <t>Data Quality Flag</t>
  </si>
  <si>
    <t>Override Reason</t>
  </si>
  <si>
    <t>Source / Formula Logic</t>
  </si>
  <si>
    <t>Bucket 0 · Excluded</t>
  </si>
  <si>
    <t>Bucket 1 · New Build</t>
  </si>
  <si>
    <t>Bucket 2 · Legacy</t>
  </si>
  <si>
    <t>Bucket 3 · WORKOUT</t>
  </si>
  <si>
    <t>Review</t>
  </si>
  <si>
    <t>One row per property debt profile. Links Debt Engine and property tabs.</t>
  </si>
  <si>
    <t>Live bridge table only; assumptions unchanged.</t>
  </si>
  <si>
    <t>Refi Flag</t>
  </si>
  <si>
    <t>Refi Year</t>
  </si>
  <si>
    <t>2025 Debt Service</t>
  </si>
  <si>
    <t>2035 Debt Service</t>
  </si>
  <si>
    <t>2025 Debt Balance</t>
  </si>
  <si>
    <t>2035 Debt Balance</t>
  </si>
  <si>
    <t>2035 Net Refi / Gap</t>
  </si>
  <si>
    <t>Debt Status</t>
  </si>
  <si>
    <t>02_Debt Engine; BLD_* tabs</t>
  </si>
  <si>
    <t>DATA_UNIT_MIX — canonical unit-mix intake</t>
  </si>
  <si>
    <t>One row per property/unit group. Supports NGO-level summaries or AI/Yardi normalized unit mix.</t>
  </si>
  <si>
    <t>Created as a canonical intake table only; existing NGO B calculations are not repointed in v11.</t>
  </si>
  <si>
    <t>Input colour</t>
  </si>
  <si>
    <t>Blue cells are the only analyst / AI write zones. Black-font cells are live formulas and should not be overwritten.</t>
  </si>
  <si>
    <t>Record_ID</t>
  </si>
  <si>
    <t>Unit_Group_ID</t>
  </si>
  <si>
    <t>Bedroom_Type</t>
  </si>
  <si>
    <t>Unit_Type</t>
  </si>
  <si>
    <t>Affordable_Units</t>
  </si>
  <si>
    <t>Market_Units</t>
  </si>
  <si>
    <t>Supportive_Units</t>
  </si>
  <si>
    <t>Avg_Current_Rent</t>
  </si>
  <si>
    <t>Avg_Market_Rent</t>
  </si>
  <si>
    <t>Monthly_Rent_Potential</t>
  </si>
  <si>
    <t>Below_Market_%</t>
  </si>
  <si>
    <t>Rent_Restriction_Type</t>
  </si>
  <si>
    <t>Program_Type</t>
  </si>
  <si>
    <t>Rent_Source</t>
  </si>
  <si>
    <t>Source_Confidence</t>
  </si>
  <si>
    <t>Review_Status</t>
  </si>
  <si>
    <t>Row_Status</t>
  </si>
  <si>
    <t>DATA_RENT_ROLL — canonical rent-roll intake</t>
  </si>
  <si>
    <t>Captures either unit-level rent roll or summarized rent by unit group.</t>
  </si>
  <si>
    <t>Optional/recommended canonical table; if unavailable, DATA_UNIT_MIX and operating revenue can still support the model.</t>
  </si>
  <si>
    <t>Rent_Record_Level</t>
  </si>
  <si>
    <t>Unit_ID_or_Group</t>
  </si>
  <si>
    <t>Tenant_Status</t>
  </si>
  <si>
    <t>Vacancy_Status</t>
  </si>
  <si>
    <t>Current_Monthly_Rent</t>
  </si>
  <si>
    <t>Market_Monthly_Rent</t>
  </si>
  <si>
    <t>Subsidy_Amount</t>
  </si>
  <si>
    <t>Utility_Allowance</t>
  </si>
  <si>
    <t>Effective_Date</t>
  </si>
  <si>
    <t>Annual_Current_Rent</t>
  </si>
  <si>
    <t>Annual_Market_Rent</t>
  </si>
  <si>
    <t>DATA_OPERATING_ACTUALS — canonical operating actuals / budget / projection intake</t>
  </si>
  <si>
    <t>Long-format operating data by property, year, period, scenario, and standardized IREI category.</t>
  </si>
  <si>
    <t>This is the future replacement path for 01_Base Yr. Inputs; v11 does not repoint the live engine yet.</t>
  </si>
  <si>
    <t>Fiscal_Year</t>
  </si>
  <si>
    <t>Period</t>
  </si>
  <si>
    <t>Scenario</t>
  </si>
  <si>
    <t>Actual_Budget_Projection</t>
  </si>
  <si>
    <t>Source_Line_Item</t>
  </si>
  <si>
    <t>IREI_Category</t>
  </si>
  <si>
    <t>Amount</t>
  </si>
  <si>
    <t>Cash_or_Accrual</t>
  </si>
  <si>
    <t>Mapping_Confidence</t>
  </si>
  <si>
    <t>Standardized_Key</t>
  </si>
  <si>
    <t>DATA_AGREEMENTS — canonical agreements / restrictions intake</t>
  </si>
  <si>
    <t>Captures operating agreements, covenants, affordability restrictions, subsidies, leases, and mission-protection constraints.</t>
  </si>
  <si>
    <t>This is a key IREI table; v11 creates the evidence structure without repointing calculations.</t>
  </si>
  <si>
    <t>Agreement_ID</t>
  </si>
  <si>
    <t>Agreement_Type</t>
  </si>
  <si>
    <t>Counterparty</t>
  </si>
  <si>
    <t>Start_Date</t>
  </si>
  <si>
    <t>End_Date</t>
  </si>
  <si>
    <t>Affordability_Requirement</t>
  </si>
  <si>
    <t>Rent_Restriction</t>
  </si>
  <si>
    <t>Use_Restriction</t>
  </si>
  <si>
    <t>Refinance_Restriction</t>
  </si>
  <si>
    <t>Disposition_Restriction</t>
  </si>
  <si>
    <t>Subsidy_Linked</t>
  </si>
  <si>
    <t>Renewal_Risk</t>
  </si>
  <si>
    <t>Mission_Protection_Flag</t>
  </si>
  <si>
    <t>Agreement_Status</t>
  </si>
  <si>
    <t>DATA_CAPITAL_NEEDS — canonical capital needs / fixed-asset intake</t>
  </si>
  <si>
    <t>Captures repairs, replacements, deferred maintenance, redevelopment, fixed-asset additions, and funded/unfunded capital needs.</t>
  </si>
  <si>
    <t>Created as canonical intake; future versions can feed DATA_CAPITAL_FLOW and capital planning outputs.</t>
  </si>
  <si>
    <t>Capital_Item_ID</t>
  </si>
  <si>
    <t>Capital_Item</t>
  </si>
  <si>
    <t>Capital_Category</t>
  </si>
  <si>
    <t>Required_or_Discretionary</t>
  </si>
  <si>
    <t>Year_Needed</t>
  </si>
  <si>
    <t>Estimated_Cost</t>
  </si>
  <si>
    <t>Funded_Amount</t>
  </si>
  <si>
    <t>Unfunded_Amount</t>
  </si>
  <si>
    <t>Funding_Source</t>
  </si>
  <si>
    <t>Deferred_Maintenance_Flag</t>
  </si>
  <si>
    <t>Development_Related</t>
  </si>
  <si>
    <t>Fixed_Asset_or_Depreciation_Link</t>
  </si>
  <si>
    <t>Funding_Gap_Flag</t>
  </si>
  <si>
    <t>Long-format model-output table for platform architecture. Amounts are formula-linked to BLD_* tabs.</t>
  </si>
  <si>
    <t>This v2 includes key years only: 2025, 2029, 2035. Expand to all years after classification and capital-gap logic are fixed.</t>
  </si>
  <si>
    <t>Year</t>
  </si>
  <si>
    <t>Source Row</t>
  </si>
  <si>
    <t>Source Tab</t>
  </si>
  <si>
    <t>Metric Category</t>
  </si>
  <si>
    <t>Confidence / Review Status</t>
  </si>
  <si>
    <t>Revenue</t>
  </si>
  <si>
    <t>Expense</t>
  </si>
  <si>
    <t>NOI</t>
  </si>
  <si>
    <t>Debt</t>
  </si>
  <si>
    <t>Credit</t>
  </si>
  <si>
    <t>AFFO</t>
  </si>
  <si>
    <t>Cash Flow</t>
  </si>
  <si>
    <t>Cash Remaining</t>
  </si>
  <si>
    <t>Refi</t>
  </si>
  <si>
    <t>Net Refi Proceeds / Gap</t>
  </si>
  <si>
    <t>Valuation</t>
  </si>
  <si>
    <t>Property NAV</t>
  </si>
  <si>
    <t>Live checks for platform migration. OPEN means migration work remains.</t>
  </si>
  <si>
    <t>No assumptions are changed in v2.</t>
  </si>
  <si>
    <t>Check_ID</t>
  </si>
  <si>
    <t>Check Area</t>
  </si>
  <si>
    <t>Expected</t>
  </si>
  <si>
    <t>Actual</t>
  </si>
  <si>
    <t>Why It Matters</t>
  </si>
  <si>
    <t>QC-001</t>
  </si>
  <si>
    <t>Property master row count</t>
  </si>
  <si>
    <t>Property count must reconcile.</t>
  </si>
  <si>
    <t>QC-002</t>
  </si>
  <si>
    <t>Included property count</t>
  </si>
  <si>
    <t>Scope must be centralized.</t>
  </si>
  <si>
    <t>QC-003</t>
  </si>
  <si>
    <t>Property tab links</t>
  </si>
  <si>
    <t>BLD_* tabs remain calc source in v2.</t>
  </si>
  <si>
    <t>QC-004</t>
  </si>
  <si>
    <t>Classification / register mapping</t>
  </si>
  <si>
    <t>Register bucket must reconcile to authoritative classification mapping.</t>
  </si>
  <si>
    <t>QC-005</t>
  </si>
  <si>
    <t>Debt rows ready</t>
  </si>
  <si>
    <t>Debt must be normalized for lender reliance.</t>
  </si>
  <si>
    <t>QC-006</t>
  </si>
  <si>
    <t>Confirms scalable row format.</t>
  </si>
  <si>
    <t>QC-007</t>
  </si>
  <si>
    <t>Source files logged</t>
  </si>
  <si>
    <t>Future platform needs evidence tracking.</t>
  </si>
  <si>
    <t>QC-008</t>
  </si>
  <si>
    <t>Assumptions changed in v2</t>
  </si>
  <si>
    <t>v2 should change architecture only.</t>
  </si>
  <si>
    <t>QC-009</t>
  </si>
  <si>
    <t>Override governance</t>
  </si>
  <si>
    <t>Overrides require written reasons to remain auditable.</t>
  </si>
  <si>
    <t>QC-010</t>
  </si>
  <si>
    <t>Register bucket formulas</t>
  </si>
  <si>
    <t>Register column J must not become manual text again.</t>
  </si>
  <si>
    <t>QC-011</t>
  </si>
  <si>
    <t>Classification sheet present</t>
  </si>
  <si>
    <t>Confirms the platform bridge includes the classification authority.</t>
  </si>
  <si>
    <t>QC-012</t>
  </si>
  <si>
    <t>Capital-flow formulas</t>
  </si>
  <si>
    <t>Capital-flow Amount column must remain formula-driven for both portfolio and property rows.</t>
  </si>
  <si>
    <t>QC-013</t>
  </si>
  <si>
    <t>Clean cash reconciliation</t>
  </si>
  <si>
    <t>Clean cash must reconcile to legacy rollup plus separated residual funding gap.</t>
  </si>
  <si>
    <t>QC-014</t>
  </si>
  <si>
    <t>Residual gap separation</t>
  </si>
  <si>
    <t>Diagnostic only: negative net refi positions are allowed but shown separately as funding gaps.</t>
  </si>
  <si>
    <t>QC-015</t>
  </si>
  <si>
    <t>Rollup aggregation guard</t>
  </si>
  <si>
    <t>Guarded</t>
  </si>
  <si>
    <t>Rollup should not use toggle × source formulas that still evaluate excluded-source errors.</t>
  </si>
  <si>
    <t>QC-016</t>
  </si>
  <si>
    <t>Included source errors</t>
  </si>
  <si>
    <t>Included-source errors are suppressed from totals but must be reviewed.</t>
  </si>
  <si>
    <t>QC-017</t>
  </si>
  <si>
    <t>Excluded source errors</t>
  </si>
  <si>
    <t>Excluded-source errors are informational; they no longer contaminate totals.</t>
  </si>
  <si>
    <t>QC-018</t>
  </si>
  <si>
    <t>Aggregation audit table</t>
  </si>
  <si>
    <t>Audit layer documents where IFERROR protection was needed.</t>
  </si>
  <si>
    <t>QC-022</t>
  </si>
  <si>
    <t>Analysts/AI need one map of where to write vs what is generated.</t>
  </si>
  <si>
    <t>QC-023</t>
  </si>
  <si>
    <t>Aggregation audit uses property master</t>
  </si>
  <si>
    <t>Audit should not use chained hardcoded BLD_AB + BLD_AC formulas.</t>
  </si>
  <si>
    <t>QC-024</t>
  </si>
  <si>
    <t>Mapping table distinguishes roadmap items</t>
  </si>
  <si>
    <t>Mapping must not imply future canonical tabs are already live.</t>
  </si>
  <si>
    <t>QC-025</t>
  </si>
  <si>
    <t>Legacy engine explicitly identified</t>
  </si>
  <si>
    <t>Template users must know the 01/02/BLD tabs still generate core numbers.</t>
  </si>
  <si>
    <t>Investor summary classification source</t>
  </si>
  <si>
    <t>Investor page must pull classification counts from the authoritative classification table.</t>
  </si>
  <si>
    <t>Investor summary legacy preservation</t>
  </si>
  <si>
    <t>Preserved</t>
  </si>
  <si>
    <t>Legacy summary retained for audit trail.</t>
  </si>
  <si>
    <t>Property funding-gap trace row count</t>
  </si>
  <si>
    <t>Investor summary must expose asset-level funding-gap traceability.</t>
  </si>
  <si>
    <t>QC-026</t>
  </si>
  <si>
    <t>Colour control legend exists</t>
  </si>
  <si>
    <t>v10</t>
  </si>
  <si>
    <t>QC-027</t>
  </si>
  <si>
    <t>Input-control map contains colour standard</t>
  </si>
  <si>
    <t>QC-028</t>
  </si>
  <si>
    <t>Override input cells are visually controlled</t>
  </si>
  <si>
    <t>Manual visual style check: DATA_ASSET_CLASSIFICATION!T:Y blue input fields</t>
  </si>
  <si>
    <t>OPEN</t>
  </si>
  <si>
    <t>Canonical input tabs created</t>
  </si>
  <si>
    <t>Five canonical intake tabs must exist before AI/Yardi ingestion can scale.</t>
  </si>
  <si>
    <t>Canonical table row-status formulas</t>
  </si>
  <si>
    <t>Formula status columns exist and calculate in each canonical tab.</t>
  </si>
  <si>
    <t>Legacy engine repoint status</t>
  </si>
  <si>
    <t>Not repointed</t>
  </si>
  <si>
    <t>v11 intentionally creates intake tables without repointing 01/02/BLD engines yet.</t>
  </si>
  <si>
    <t>OUT_PLATFORM_READINESS — v8</t>
  </si>
  <si>
    <t>Summary dashboard for whether NGO B is becoming a scalable IREI platform template.</t>
  </si>
  <si>
    <t>This dashboard tracks the migration from one-off workbook to scalable IREI platform output model.</t>
  </si>
  <si>
    <t>Interpretation</t>
  </si>
  <si>
    <t>Next Fix</t>
  </si>
  <si>
    <t>Assets represented in property master.</t>
  </si>
  <si>
    <t>Future: generated property rows from AI ingestion.</t>
  </si>
  <si>
    <t>Scope follows 00_MODEL_CONTROL.</t>
  </si>
  <si>
    <t>Future: one scope table feeds every output.</t>
  </si>
  <si>
    <t>Model outputs converted to database-style rows.</t>
  </si>
  <si>
    <t>Future: expand to all years and remove property-tab dependency.</t>
  </si>
  <si>
    <t>Open / failed checks</t>
  </si>
  <si>
    <t>Open items are migration roadmap items.</t>
  </si>
  <si>
    <t>Open items can include platform-roadmap checks; classification/register/override checks are now explicit below.</t>
  </si>
  <si>
    <t>Verdict</t>
  </si>
  <si>
    <t>Honest status after v2.</t>
  </si>
  <si>
    <t>Next: separate operating cash flow, debt service, refinance proceeds, and residual capital gap.</t>
  </si>
  <si>
    <t>Classification authority active</t>
  </si>
  <si>
    <t>Final classifications are pulled from one authoritative table.</t>
  </si>
  <si>
    <t>Next: debt/refinance/capital-gap separation.</t>
  </si>
  <si>
    <t>Register bucket formula-linked</t>
  </si>
  <si>
    <t>Register bucket no longer functions as a second manual source.</t>
  </si>
  <si>
    <t>Protect column J from manual overwrites.</t>
  </si>
  <si>
    <t>Override reasons enforced</t>
  </si>
  <si>
    <t>Human override requires an explanation.</t>
  </si>
  <si>
    <t>Use Y column whenever T is used.</t>
  </si>
  <si>
    <t>Next fix sequence</t>
  </si>
  <si>
    <t>Rebuild investor summary from OUT_CAPITAL_FLOW_SUMMARY and DATA_ASSET_CLASSIFICATION.</t>
  </si>
  <si>
    <t>2</t>
  </si>
  <si>
    <t>Then begin import/mapping logic from NGO source files/Yardi CSVs into DATA tabs.</t>
  </si>
  <si>
    <t>3</t>
  </si>
  <si>
    <t>Later convert property-tab calculations into a fully table-driven engine.</t>
  </si>
  <si>
    <t>Capital-flow authority active</t>
  </si>
  <si>
    <t>Operations, debt service, refi surplus, and residual funding gap now have a separate live authority layer.</t>
  </si>
  <si>
    <t>Next: rebuild investor summary from clean outputs and audit flags.</t>
  </si>
  <si>
    <t>Clean total cash should reconcile to legacy total plus separated residual funding gap.</t>
  </si>
  <si>
    <t>Resolve any CHECK values before external use.</t>
  </si>
  <si>
    <t>Rollup aggregation guard active</t>
  </si>
  <si>
    <t>Portfolio rollup now uses IF/IFERROR guarded aggregation instead of toggle × source formulas.</t>
  </si>
  <si>
    <t>Next: use clean outputs to rebuild investor summary.</t>
  </si>
  <si>
    <t>If CHECK, rollup totals remain readable but source data needs review.</t>
  </si>
  <si>
    <t>Review DATA_AGGREGATION_AUDIT before external sharing.</t>
  </si>
  <si>
    <t>Property-level capital flow active</t>
  </si>
  <si>
    <t>Each capital-flow metric now has property-level rows linked to BLD_* tabs and scope-adjusted for reconciliation.</t>
  </si>
  <si>
    <t>Use this to trace residual funding gaps by building.</t>
  </si>
  <si>
    <t>Input map active</t>
  </si>
  <si>
    <t>Analyst/AI write zones are now centralized.</t>
  </si>
  <si>
    <t>Use INPUT_CONTROL_MAP before editing.</t>
  </si>
  <si>
    <t>Mapping reflects live system</t>
  </si>
  <si>
    <t>MAP_FIELD_MAPPING now distinguishes current sources from future targets.</t>
  </si>
  <si>
    <t>OK</t>
  </si>
  <si>
    <t>Do not describe future canonical tables as live until built/repointed.</t>
  </si>
  <si>
    <t>Aggregation audit dynamic</t>
  </si>
  <si>
    <t>Audit formulas now use DATA_PROPERTY_MASTER rather than chained hardcoded properties.</t>
  </si>
  <si>
    <t>Still assumes BLD_* tabs exist as source engine.</t>
  </si>
  <si>
    <t>Underlying engine status</t>
  </si>
  <si>
    <t>DATA/OUT layers are reusable pattern; calculation engine is still bespoke.</t>
  </si>
  <si>
    <t>Future: generate/replace BLD_* engine from canonical DATA tables.</t>
  </si>
  <si>
    <t>Legacy investor summary preserved</t>
  </si>
  <si>
    <t>Old investor narrative kept for audit and comparison.</t>
  </si>
  <si>
    <t>Do not use legacy tab as the live source of truth.</t>
  </si>
  <si>
    <t>Colour-coded input/governance standard</t>
  </si>
  <si>
    <t>Implemented</t>
  </si>
  <si>
    <t>Blue = writable input; black = formulas; purple = generated data; orange = review; grey = legacy engine; green = output.</t>
  </si>
  <si>
    <t>v10 control layer.</t>
  </si>
  <si>
    <t>v11 canonical input layer</t>
  </si>
  <si>
    <t>Five canonical input tabs created with blue input ranges and live formula checks; existing NGO B engine preserved. Repointing remains future work.</t>
  </si>
  <si>
    <t>DATA_CAPITAL_FLOW — capital-flow authority layer</t>
  </si>
  <si>
    <t>Purpose: separates operating cash flow, debt service, refinance surplus, and residual funding gap at both portfolio and property levels; property-level rows reconcile back to portfolio totals.</t>
  </si>
  <si>
    <t>Flow_ID</t>
  </si>
  <si>
    <t>Level</t>
  </si>
  <si>
    <t>Flow Category</t>
  </si>
  <si>
    <t>Source Range</t>
  </si>
  <si>
    <t>Direction</t>
  </si>
  <si>
    <t>Funding Gap Flag</t>
  </si>
  <si>
    <t>Output Treatment</t>
  </si>
  <si>
    <t>Audit Logic</t>
  </si>
  <si>
    <t>Capital Flow Status</t>
  </si>
  <si>
    <t>CF-E-01</t>
  </si>
  <si>
    <t>Portfolio</t>
  </si>
  <si>
    <t>PORTFOLIO</t>
  </si>
  <si>
    <t>Operating</t>
  </si>
  <si>
    <t>00_PORTFOLIO ROLLUP!E24</t>
  </si>
  <si>
    <t>Inflow</t>
  </si>
  <si>
    <t>Operating baseline</t>
  </si>
  <si>
    <t>Pulled live from 00_PORTFOLIO ROLLUP row 24.</t>
  </si>
  <si>
    <t>CF-E-02</t>
  </si>
  <si>
    <t>00_PORTFOLIO ROLLUP!E39</t>
  </si>
  <si>
    <t>Outflow</t>
  </si>
  <si>
    <t>Pulled live from 00_PORTFOLIO ROLLUP row 39.</t>
  </si>
  <si>
    <t>CF-E-03</t>
  </si>
  <si>
    <t>00_PORTFOLIO ROLLUP!E41</t>
  </si>
  <si>
    <t>Operating test</t>
  </si>
  <si>
    <t>Pulled live from 00_PORTFOLIO ROLLUP row 41.</t>
  </si>
  <si>
    <t>CF-E-04</t>
  </si>
  <si>
    <t>Replacement Reserves</t>
  </si>
  <si>
    <t>00_PORTFOLIO ROLLUP!E44</t>
  </si>
  <si>
    <t>Operating adjustment</t>
  </si>
  <si>
    <t>Pulled live from 00_PORTFOLIO ROLLUP row 44.</t>
  </si>
  <si>
    <t>CF-E-05</t>
  </si>
  <si>
    <t>00_PORTFOLIO ROLLUP!E45</t>
  </si>
  <si>
    <t>Pulled live from 00_PORTFOLIO ROLLUP row 45.</t>
  </si>
  <si>
    <t>CF-E-06</t>
  </si>
  <si>
    <t>00_PORTFOLIO ROLLUP!E48</t>
  </si>
  <si>
    <t>Debt service</t>
  </si>
  <si>
    <t>Pulled live from 00_PORTFOLIO ROLLUP row 48.</t>
  </si>
  <si>
    <t>CF-E-07</t>
  </si>
  <si>
    <t>00_PORTFOLIO ROLLUP!E52</t>
  </si>
  <si>
    <t>Operating cash after debt service</t>
  </si>
  <si>
    <t>Pulled live from 00_PORTFOLIO ROLLUP row 52.</t>
  </si>
  <si>
    <t>CF-E-08</t>
  </si>
  <si>
    <t>00_PORTFOLIO ROLLUP!E54</t>
  </si>
  <si>
    <t>Distribution / payout</t>
  </si>
  <si>
    <t>Pulled live from 00_PORTFOLIO ROLLUP row 54.</t>
  </si>
  <si>
    <t>CF-E-09</t>
  </si>
  <si>
    <t>00_PORTFOLIO ROLLUP!E56</t>
  </si>
  <si>
    <t>Operating cash retained</t>
  </si>
  <si>
    <t>Pulled live from 00_PORTFOLIO ROLLUP row 56.</t>
  </si>
  <si>
    <t>CF-E-10</t>
  </si>
  <si>
    <t>Refinance / Capital</t>
  </si>
  <si>
    <t>00_PORTFOLIO ROLLUP!E61</t>
  </si>
  <si>
    <t>Required debt repayment</t>
  </si>
  <si>
    <t>Pulled live from 00_PORTFOLIO ROLLUP row 61.</t>
  </si>
  <si>
    <t>CF-E-11</t>
  </si>
  <si>
    <t>00_PORTFOLIO ROLLUP!E62</t>
  </si>
  <si>
    <t>Gross capital source</t>
  </si>
  <si>
    <t>Pulled live from 00_PORTFOLIO ROLLUP row 62.</t>
  </si>
  <si>
    <t>CF-E-12</t>
  </si>
  <si>
    <t>00_PORTFOLIO ROLLUP!E63</t>
  </si>
  <si>
    <t>Mixed</t>
  </si>
  <si>
    <t>Diagnostic only</t>
  </si>
  <si>
    <t>Pulled live from 00_PORTFOLIO ROLLUP row 63; may be positive surplus or negative funding gap.</t>
  </si>
  <si>
    <t>CF-E-13</t>
  </si>
  <si>
    <t>Add to clean partnership cash only when positive</t>
  </si>
  <si>
    <t>Formula: MAX(Net Refinance Position,0).</t>
  </si>
  <si>
    <t>CF-E-14</t>
  </si>
  <si>
    <t>Separate funding need; not treated as equity returned</t>
  </si>
  <si>
    <t>Formula: MAX(-Net Refinance Position,0).</t>
  </si>
  <si>
    <t>CF-E-15</t>
  </si>
  <si>
    <t>Partnership Output</t>
  </si>
  <si>
    <t>Operations plus positive refi surplus only</t>
  </si>
  <si>
    <t>Formula: Retained Operating Cash + MAX(Net Refinance Position,0).</t>
  </si>
  <si>
    <t>CF-E-16</t>
  </si>
  <si>
    <t>00_PORTFOLIO ROLLUP!E68</t>
  </si>
  <si>
    <t>Legacy diagnostic only</t>
  </si>
  <si>
    <t>Pulled live from original rollup row 68, which mixed net refi position into total cash.</t>
  </si>
  <si>
    <t>CF-E-17</t>
  </si>
  <si>
    <t>Reconciliation Difference</t>
  </si>
  <si>
    <t>Diagnostic</t>
  </si>
  <si>
    <t>Quality check</t>
  </si>
  <si>
    <t>Formula: Clean Total Cash to Partnership - Legacy Total Cash to Partnership; should equal Residual Funding Gap.</t>
  </si>
  <si>
    <t>CF-F-01</t>
  </si>
  <si>
    <t>00_PORTFOLIO ROLLUP!F24</t>
  </si>
  <si>
    <t>CF-F-02</t>
  </si>
  <si>
    <t>00_PORTFOLIO ROLLUP!F39</t>
  </si>
  <si>
    <t>CF-F-03</t>
  </si>
  <si>
    <t>00_PORTFOLIO ROLLUP!F41</t>
  </si>
  <si>
    <t>CF-F-04</t>
  </si>
  <si>
    <t>00_PORTFOLIO ROLLUP!F44</t>
  </si>
  <si>
    <t>CF-F-05</t>
  </si>
  <si>
    <t>00_PORTFOLIO ROLLUP!F45</t>
  </si>
  <si>
    <t>CF-F-06</t>
  </si>
  <si>
    <t>00_PORTFOLIO ROLLUP!F48</t>
  </si>
  <si>
    <t>CF-F-07</t>
  </si>
  <si>
    <t>00_PORTFOLIO ROLLUP!F52</t>
  </si>
  <si>
    <t>CF-F-08</t>
  </si>
  <si>
    <t>00_PORTFOLIO ROLLUP!F54</t>
  </si>
  <si>
    <t>CF-F-09</t>
  </si>
  <si>
    <t>00_PORTFOLIO ROLLUP!F56</t>
  </si>
  <si>
    <t>CF-F-10</t>
  </si>
  <si>
    <t>00_PORTFOLIO ROLLUP!F61</t>
  </si>
  <si>
    <t>CF-F-11</t>
  </si>
  <si>
    <t>00_PORTFOLIO ROLLUP!F62</t>
  </si>
  <si>
    <t>CF-F-12</t>
  </si>
  <si>
    <t>00_PORTFOLIO ROLLUP!F63</t>
  </si>
  <si>
    <t>CF-F-13</t>
  </si>
  <si>
    <t>CF-F-14</t>
  </si>
  <si>
    <t>CF-F-15</t>
  </si>
  <si>
    <t>CF-F-16</t>
  </si>
  <si>
    <t>00_PORTFOLIO ROLLUP!F68</t>
  </si>
  <si>
    <t>CF-F-17</t>
  </si>
  <si>
    <t>CF-G-01</t>
  </si>
  <si>
    <t>00_PORTFOLIO ROLLUP!G24</t>
  </si>
  <si>
    <t>CF-G-02</t>
  </si>
  <si>
    <t>00_PORTFOLIO ROLLUP!G39</t>
  </si>
  <si>
    <t>CF-G-03</t>
  </si>
  <si>
    <t>00_PORTFOLIO ROLLUP!G41</t>
  </si>
  <si>
    <t>CF-G-04</t>
  </si>
  <si>
    <t>00_PORTFOLIO ROLLUP!G44</t>
  </si>
  <si>
    <t>CF-G-05</t>
  </si>
  <si>
    <t>00_PORTFOLIO ROLLUP!G45</t>
  </si>
  <si>
    <t>CF-G-06</t>
  </si>
  <si>
    <t>00_PORTFOLIO ROLLUP!G48</t>
  </si>
  <si>
    <t>CF-G-07</t>
  </si>
  <si>
    <t>00_PORTFOLIO ROLLUP!G52</t>
  </si>
  <si>
    <t>CF-G-08</t>
  </si>
  <si>
    <t>00_PORTFOLIO ROLLUP!G54</t>
  </si>
  <si>
    <t>CF-G-09</t>
  </si>
  <si>
    <t>00_PORTFOLIO ROLLUP!G56</t>
  </si>
  <si>
    <t>CF-G-10</t>
  </si>
  <si>
    <t>00_PORTFOLIO ROLLUP!G61</t>
  </si>
  <si>
    <t>CF-G-11</t>
  </si>
  <si>
    <t>00_PORTFOLIO ROLLUP!G62</t>
  </si>
  <si>
    <t>CF-G-12</t>
  </si>
  <si>
    <t>00_PORTFOLIO ROLLUP!G63</t>
  </si>
  <si>
    <t>CF-G-13</t>
  </si>
  <si>
    <t>CF-G-14</t>
  </si>
  <si>
    <t>CF-G-15</t>
  </si>
  <si>
    <t>CF-G-16</t>
  </si>
  <si>
    <t>00_PORTFOLIO ROLLUP!G68</t>
  </si>
  <si>
    <t>CF-G-17</t>
  </si>
  <si>
    <t>CF-H-01</t>
  </si>
  <si>
    <t>00_PORTFOLIO ROLLUP!H24</t>
  </si>
  <si>
    <t>CF-H-02</t>
  </si>
  <si>
    <t>00_PORTFOLIO ROLLUP!H39</t>
  </si>
  <si>
    <t>CF-H-03</t>
  </si>
  <si>
    <t>00_PORTFOLIO ROLLUP!H41</t>
  </si>
  <si>
    <t>CF-H-04</t>
  </si>
  <si>
    <t>00_PORTFOLIO ROLLUP!H44</t>
  </si>
  <si>
    <t>CF-H-05</t>
  </si>
  <si>
    <t>00_PORTFOLIO ROLLUP!H45</t>
  </si>
  <si>
    <t>CF-H-06</t>
  </si>
  <si>
    <t>00_PORTFOLIO ROLLUP!H48</t>
  </si>
  <si>
    <t>CF-H-07</t>
  </si>
  <si>
    <t>00_PORTFOLIO ROLLUP!H52</t>
  </si>
  <si>
    <t>CF-H-08</t>
  </si>
  <si>
    <t>00_PORTFOLIO ROLLUP!H54</t>
  </si>
  <si>
    <t>CF-H-09</t>
  </si>
  <si>
    <t>00_PORTFOLIO ROLLUP!H56</t>
  </si>
  <si>
    <t>CF-H-10</t>
  </si>
  <si>
    <t>00_PORTFOLIO ROLLUP!H61</t>
  </si>
  <si>
    <t>CF-H-11</t>
  </si>
  <si>
    <t>00_PORTFOLIO ROLLUP!H62</t>
  </si>
  <si>
    <t>CF-H-12</t>
  </si>
  <si>
    <t>00_PORTFOLIO ROLLUP!H63</t>
  </si>
  <si>
    <t>CF-H-13</t>
  </si>
  <si>
    <t>CF-H-14</t>
  </si>
  <si>
    <t>CF-H-15</t>
  </si>
  <si>
    <t>CF-H-16</t>
  </si>
  <si>
    <t>00_PORTFOLIO ROLLUP!H68</t>
  </si>
  <si>
    <t>CF-H-17</t>
  </si>
  <si>
    <t>CF-I-01</t>
  </si>
  <si>
    <t>00_PORTFOLIO ROLLUP!I24</t>
  </si>
  <si>
    <t>CF-I-02</t>
  </si>
  <si>
    <t>00_PORTFOLIO ROLLUP!I39</t>
  </si>
  <si>
    <t>CF-I-03</t>
  </si>
  <si>
    <t>00_PORTFOLIO ROLLUP!I41</t>
  </si>
  <si>
    <t>CF-I-04</t>
  </si>
  <si>
    <t>00_PORTFOLIO ROLLUP!I44</t>
  </si>
  <si>
    <t>CF-I-05</t>
  </si>
  <si>
    <t>00_PORTFOLIO ROLLUP!I45</t>
  </si>
  <si>
    <t>CF-I-06</t>
  </si>
  <si>
    <t>00_PORTFOLIO ROLLUP!I48</t>
  </si>
  <si>
    <t>CF-I-07</t>
  </si>
  <si>
    <t>00_PORTFOLIO ROLLUP!I52</t>
  </si>
  <si>
    <t>CF-I-08</t>
  </si>
  <si>
    <t>00_PORTFOLIO ROLLUP!I54</t>
  </si>
  <si>
    <t>CF-I-09</t>
  </si>
  <si>
    <t>00_PORTFOLIO ROLLUP!I56</t>
  </si>
  <si>
    <t>CF-I-10</t>
  </si>
  <si>
    <t>00_PORTFOLIO ROLLUP!I61</t>
  </si>
  <si>
    <t>CF-I-11</t>
  </si>
  <si>
    <t>00_PORTFOLIO ROLLUP!I62</t>
  </si>
  <si>
    <t>CF-I-12</t>
  </si>
  <si>
    <t>00_PORTFOLIO ROLLUP!I63</t>
  </si>
  <si>
    <t>CF-I-13</t>
  </si>
  <si>
    <t>CF-I-14</t>
  </si>
  <si>
    <t>CF-I-15</t>
  </si>
  <si>
    <t>CF-I-16</t>
  </si>
  <si>
    <t>00_PORTFOLIO ROLLUP!I68</t>
  </si>
  <si>
    <t>CF-I-17</t>
  </si>
  <si>
    <t>CF-J-01</t>
  </si>
  <si>
    <t>00_PORTFOLIO ROLLUP!J24</t>
  </si>
  <si>
    <t>CF-J-02</t>
  </si>
  <si>
    <t>00_PORTFOLIO ROLLUP!J39</t>
  </si>
  <si>
    <t>CF-J-03</t>
  </si>
  <si>
    <t>00_PORTFOLIO ROLLUP!J41</t>
  </si>
  <si>
    <t>CF-J-04</t>
  </si>
  <si>
    <t>00_PORTFOLIO ROLLUP!J44</t>
  </si>
  <si>
    <t>CF-J-05</t>
  </si>
  <si>
    <t>00_PORTFOLIO ROLLUP!J45</t>
  </si>
  <si>
    <t>CF-J-06</t>
  </si>
  <si>
    <t>00_PORTFOLIO ROLLUP!J48</t>
  </si>
  <si>
    <t>CF-J-07</t>
  </si>
  <si>
    <t>00_PORTFOLIO ROLLUP!J52</t>
  </si>
  <si>
    <t>CF-J-08</t>
  </si>
  <si>
    <t>00_PORTFOLIO ROLLUP!J54</t>
  </si>
  <si>
    <t>CF-J-09</t>
  </si>
  <si>
    <t>00_PORTFOLIO ROLLUP!J56</t>
  </si>
  <si>
    <t>CF-J-10</t>
  </si>
  <si>
    <t>00_PORTFOLIO ROLLUP!J61</t>
  </si>
  <si>
    <t>CF-J-11</t>
  </si>
  <si>
    <t>00_PORTFOLIO ROLLUP!J62</t>
  </si>
  <si>
    <t>CF-J-12</t>
  </si>
  <si>
    <t>00_PORTFOLIO ROLLUP!J63</t>
  </si>
  <si>
    <t>CF-J-13</t>
  </si>
  <si>
    <t>CF-J-14</t>
  </si>
  <si>
    <t>CF-J-15</t>
  </si>
  <si>
    <t>CF-J-16</t>
  </si>
  <si>
    <t>00_PORTFOLIO ROLLUP!J68</t>
  </si>
  <si>
    <t>CF-J-17</t>
  </si>
  <si>
    <t>CF-K-01</t>
  </si>
  <si>
    <t>00_PORTFOLIO ROLLUP!K24</t>
  </si>
  <si>
    <t>CF-K-02</t>
  </si>
  <si>
    <t>00_PORTFOLIO ROLLUP!K39</t>
  </si>
  <si>
    <t>CF-K-03</t>
  </si>
  <si>
    <t>00_PORTFOLIO ROLLUP!K41</t>
  </si>
  <si>
    <t>CF-K-04</t>
  </si>
  <si>
    <t>00_PORTFOLIO ROLLUP!K44</t>
  </si>
  <si>
    <t>CF-K-05</t>
  </si>
  <si>
    <t>00_PORTFOLIO ROLLUP!K45</t>
  </si>
  <si>
    <t>CF-K-06</t>
  </si>
  <si>
    <t>00_PORTFOLIO ROLLUP!K48</t>
  </si>
  <si>
    <t>CF-K-07</t>
  </si>
  <si>
    <t>00_PORTFOLIO ROLLUP!K52</t>
  </si>
  <si>
    <t>CF-K-08</t>
  </si>
  <si>
    <t>00_PORTFOLIO ROLLUP!K54</t>
  </si>
  <si>
    <t>CF-K-09</t>
  </si>
  <si>
    <t>00_PORTFOLIO ROLLUP!K56</t>
  </si>
  <si>
    <t>CF-K-10</t>
  </si>
  <si>
    <t>00_PORTFOLIO ROLLUP!K61</t>
  </si>
  <si>
    <t>CF-K-11</t>
  </si>
  <si>
    <t>00_PORTFOLIO ROLLUP!K62</t>
  </si>
  <si>
    <t>CF-K-12</t>
  </si>
  <si>
    <t>00_PORTFOLIO ROLLUP!K63</t>
  </si>
  <si>
    <t>CF-K-13</t>
  </si>
  <si>
    <t>CF-K-14</t>
  </si>
  <si>
    <t>CF-K-15</t>
  </si>
  <si>
    <t>CF-K-16</t>
  </si>
  <si>
    <t>00_PORTFOLIO ROLLUP!K68</t>
  </si>
  <si>
    <t>CF-K-17</t>
  </si>
  <si>
    <t>CF-L-01</t>
  </si>
  <si>
    <t>00_PORTFOLIO ROLLUP!L24</t>
  </si>
  <si>
    <t>CF-L-02</t>
  </si>
  <si>
    <t>00_PORTFOLIO ROLLUP!L39</t>
  </si>
  <si>
    <t>CF-L-03</t>
  </si>
  <si>
    <t>00_PORTFOLIO ROLLUP!L41</t>
  </si>
  <si>
    <t>CF-L-04</t>
  </si>
  <si>
    <t>00_PORTFOLIO ROLLUP!L44</t>
  </si>
  <si>
    <t>CF-L-05</t>
  </si>
  <si>
    <t>00_PORTFOLIO ROLLUP!L45</t>
  </si>
  <si>
    <t>CF-L-06</t>
  </si>
  <si>
    <t>00_PORTFOLIO ROLLUP!L48</t>
  </si>
  <si>
    <t>CF-L-07</t>
  </si>
  <si>
    <t>00_PORTFOLIO ROLLUP!L52</t>
  </si>
  <si>
    <t>CF-L-08</t>
  </si>
  <si>
    <t>00_PORTFOLIO ROLLUP!L54</t>
  </si>
  <si>
    <t>CF-L-09</t>
  </si>
  <si>
    <t>00_PORTFOLIO ROLLUP!L56</t>
  </si>
  <si>
    <t>CF-L-10</t>
  </si>
  <si>
    <t>00_PORTFOLIO ROLLUP!L61</t>
  </si>
  <si>
    <t>CF-L-11</t>
  </si>
  <si>
    <t>00_PORTFOLIO ROLLUP!L62</t>
  </si>
  <si>
    <t>CF-L-12</t>
  </si>
  <si>
    <t>00_PORTFOLIO ROLLUP!L63</t>
  </si>
  <si>
    <t>CF-L-13</t>
  </si>
  <si>
    <t>CF-L-14</t>
  </si>
  <si>
    <t>CF-L-15</t>
  </si>
  <si>
    <t>CF-L-16</t>
  </si>
  <si>
    <t>00_PORTFOLIO ROLLUP!L68</t>
  </si>
  <si>
    <t>CF-L-17</t>
  </si>
  <si>
    <t>CF-M-01</t>
  </si>
  <si>
    <t>00_PORTFOLIO ROLLUP!M24</t>
  </si>
  <si>
    <t>CF-M-02</t>
  </si>
  <si>
    <t>00_PORTFOLIO ROLLUP!M39</t>
  </si>
  <si>
    <t>CF-M-03</t>
  </si>
  <si>
    <t>00_PORTFOLIO ROLLUP!M41</t>
  </si>
  <si>
    <t>CF-M-04</t>
  </si>
  <si>
    <t>00_PORTFOLIO ROLLUP!M44</t>
  </si>
  <si>
    <t>CF-M-05</t>
  </si>
  <si>
    <t>00_PORTFOLIO ROLLUP!M45</t>
  </si>
  <si>
    <t>CF-M-06</t>
  </si>
  <si>
    <t>00_PORTFOLIO ROLLUP!M48</t>
  </si>
  <si>
    <t>CF-M-07</t>
  </si>
  <si>
    <t>00_PORTFOLIO ROLLUP!M52</t>
  </si>
  <si>
    <t>CF-M-08</t>
  </si>
  <si>
    <t>00_PORTFOLIO ROLLUP!M54</t>
  </si>
  <si>
    <t>CF-M-09</t>
  </si>
  <si>
    <t>00_PORTFOLIO ROLLUP!M56</t>
  </si>
  <si>
    <t>CF-M-10</t>
  </si>
  <si>
    <t>00_PORTFOLIO ROLLUP!M61</t>
  </si>
  <si>
    <t>CF-M-11</t>
  </si>
  <si>
    <t>00_PORTFOLIO ROLLUP!M62</t>
  </si>
  <si>
    <t>CF-M-12</t>
  </si>
  <si>
    <t>00_PORTFOLIO ROLLUP!M63</t>
  </si>
  <si>
    <t>CF-M-13</t>
  </si>
  <si>
    <t>CF-M-14</t>
  </si>
  <si>
    <t>CF-M-15</t>
  </si>
  <si>
    <t>CF-M-16</t>
  </si>
  <si>
    <t>00_PORTFOLIO ROLLUP!M68</t>
  </si>
  <si>
    <t>CF-M-17</t>
  </si>
  <si>
    <t>CF-N-01</t>
  </si>
  <si>
    <t>00_PORTFOLIO ROLLUP!N24</t>
  </si>
  <si>
    <t>CF-N-02</t>
  </si>
  <si>
    <t>00_PORTFOLIO ROLLUP!N39</t>
  </si>
  <si>
    <t>CF-N-03</t>
  </si>
  <si>
    <t>00_PORTFOLIO ROLLUP!N41</t>
  </si>
  <si>
    <t>CF-N-04</t>
  </si>
  <si>
    <t>00_PORTFOLIO ROLLUP!N44</t>
  </si>
  <si>
    <t>CF-N-05</t>
  </si>
  <si>
    <t>00_PORTFOLIO ROLLUP!N45</t>
  </si>
  <si>
    <t>CF-N-06</t>
  </si>
  <si>
    <t>00_PORTFOLIO ROLLUP!N48</t>
  </si>
  <si>
    <t>CF-N-07</t>
  </si>
  <si>
    <t>00_PORTFOLIO ROLLUP!N52</t>
  </si>
  <si>
    <t>CF-N-08</t>
  </si>
  <si>
    <t>00_PORTFOLIO ROLLUP!N54</t>
  </si>
  <si>
    <t>CF-N-09</t>
  </si>
  <si>
    <t>00_PORTFOLIO ROLLUP!N56</t>
  </si>
  <si>
    <t>CF-N-10</t>
  </si>
  <si>
    <t>00_PORTFOLIO ROLLUP!N61</t>
  </si>
  <si>
    <t>CF-N-11</t>
  </si>
  <si>
    <t>00_PORTFOLIO ROLLUP!N62</t>
  </si>
  <si>
    <t>CF-N-12</t>
  </si>
  <si>
    <t>00_PORTFOLIO ROLLUP!N63</t>
  </si>
  <si>
    <t>CF-N-13</t>
  </si>
  <si>
    <t>CF-N-14</t>
  </si>
  <si>
    <t>CF-N-15</t>
  </si>
  <si>
    <t>CF-N-16</t>
  </si>
  <si>
    <t>00_PORTFOLIO ROLLUP!N68</t>
  </si>
  <si>
    <t>CF-N-17</t>
  </si>
  <si>
    <t>CF-O-01</t>
  </si>
  <si>
    <t>00_PORTFOLIO ROLLUP!O24</t>
  </si>
  <si>
    <t>CF-O-02</t>
  </si>
  <si>
    <t>00_PORTFOLIO ROLLUP!O39</t>
  </si>
  <si>
    <t>CF-O-03</t>
  </si>
  <si>
    <t>00_PORTFOLIO ROLLUP!O41</t>
  </si>
  <si>
    <t>CF-O-04</t>
  </si>
  <si>
    <t>00_PORTFOLIO ROLLUP!O44</t>
  </si>
  <si>
    <t>CF-O-05</t>
  </si>
  <si>
    <t>00_PORTFOLIO ROLLUP!O45</t>
  </si>
  <si>
    <t>CF-O-06</t>
  </si>
  <si>
    <t>00_PORTFOLIO ROLLUP!O48</t>
  </si>
  <si>
    <t>CF-O-07</t>
  </si>
  <si>
    <t>00_PORTFOLIO ROLLUP!O52</t>
  </si>
  <si>
    <t>CF-O-08</t>
  </si>
  <si>
    <t>00_PORTFOLIO ROLLUP!O54</t>
  </si>
  <si>
    <t>CF-O-09</t>
  </si>
  <si>
    <t>00_PORTFOLIO ROLLUP!O56</t>
  </si>
  <si>
    <t>CF-O-10</t>
  </si>
  <si>
    <t>00_PORTFOLIO ROLLUP!O61</t>
  </si>
  <si>
    <t>CF-O-11</t>
  </si>
  <si>
    <t>00_PORTFOLIO ROLLUP!O62</t>
  </si>
  <si>
    <t>CF-O-12</t>
  </si>
  <si>
    <t>00_PORTFOLIO ROLLUP!O63</t>
  </si>
  <si>
    <t>CF-O-13</t>
  </si>
  <si>
    <t>CF-O-14</t>
  </si>
  <si>
    <t>CF-O-15</t>
  </si>
  <si>
    <t>CF-O-16</t>
  </si>
  <si>
    <t>00_PORTFOLIO ROLLUP!O68</t>
  </si>
  <si>
    <t>CF-O-17</t>
  </si>
  <si>
    <t>CF-P-01</t>
  </si>
  <si>
    <t>00_PORTFOLIO ROLLUP!P24</t>
  </si>
  <si>
    <t>CF-P-02</t>
  </si>
  <si>
    <t>00_PORTFOLIO ROLLUP!P39</t>
  </si>
  <si>
    <t>CF-P-03</t>
  </si>
  <si>
    <t>00_PORTFOLIO ROLLUP!P41</t>
  </si>
  <si>
    <t>CF-P-04</t>
  </si>
  <si>
    <t>00_PORTFOLIO ROLLUP!P44</t>
  </si>
  <si>
    <t>CF-P-05</t>
  </si>
  <si>
    <t>00_PORTFOLIO ROLLUP!P45</t>
  </si>
  <si>
    <t>CF-P-06</t>
  </si>
  <si>
    <t>00_PORTFOLIO ROLLUP!P48</t>
  </si>
  <si>
    <t>CF-P-07</t>
  </si>
  <si>
    <t>00_PORTFOLIO ROLLUP!P52</t>
  </si>
  <si>
    <t>CF-P-08</t>
  </si>
  <si>
    <t>00_PORTFOLIO ROLLUP!P54</t>
  </si>
  <si>
    <t>CF-P-09</t>
  </si>
  <si>
    <t>00_PORTFOLIO ROLLUP!P56</t>
  </si>
  <si>
    <t>CF-P-10</t>
  </si>
  <si>
    <t>00_PORTFOLIO ROLLUP!P61</t>
  </si>
  <si>
    <t>CF-P-11</t>
  </si>
  <si>
    <t>00_PORTFOLIO ROLLUP!P62</t>
  </si>
  <si>
    <t>CF-P-12</t>
  </si>
  <si>
    <t>00_PORTFOLIO ROLLUP!P63</t>
  </si>
  <si>
    <t>CF-P-13</t>
  </si>
  <si>
    <t>CF-P-14</t>
  </si>
  <si>
    <t>CF-P-15</t>
  </si>
  <si>
    <t>CF-P-16</t>
  </si>
  <si>
    <t>00_PORTFOLIO ROLLUP!P68</t>
  </si>
  <si>
    <t>CF-P-17</t>
  </si>
  <si>
    <t>CF-Q-01</t>
  </si>
  <si>
    <t>00_PORTFOLIO ROLLUP!Q24</t>
  </si>
  <si>
    <t>CF-Q-02</t>
  </si>
  <si>
    <t>00_PORTFOLIO ROLLUP!Q39</t>
  </si>
  <si>
    <t>CF-Q-03</t>
  </si>
  <si>
    <t>00_PORTFOLIO ROLLUP!Q41</t>
  </si>
  <si>
    <t>CF-Q-04</t>
  </si>
  <si>
    <t>00_PORTFOLIO ROLLUP!Q44</t>
  </si>
  <si>
    <t>CF-Q-05</t>
  </si>
  <si>
    <t>00_PORTFOLIO ROLLUP!Q45</t>
  </si>
  <si>
    <t>CF-Q-06</t>
  </si>
  <si>
    <t>00_PORTFOLIO ROLLUP!Q48</t>
  </si>
  <si>
    <t>CF-Q-07</t>
  </si>
  <si>
    <t>00_PORTFOLIO ROLLUP!Q52</t>
  </si>
  <si>
    <t>CF-Q-08</t>
  </si>
  <si>
    <t>00_PORTFOLIO ROLLUP!Q54</t>
  </si>
  <si>
    <t>CF-Q-09</t>
  </si>
  <si>
    <t>00_PORTFOLIO ROLLUP!Q56</t>
  </si>
  <si>
    <t>CF-Q-10</t>
  </si>
  <si>
    <t>00_PORTFOLIO ROLLUP!Q61</t>
  </si>
  <si>
    <t>CF-Q-11</t>
  </si>
  <si>
    <t>00_PORTFOLIO ROLLUP!Q62</t>
  </si>
  <si>
    <t>CF-Q-12</t>
  </si>
  <si>
    <t>00_PORTFOLIO ROLLUP!Q63</t>
  </si>
  <si>
    <t>CF-Q-13</t>
  </si>
  <si>
    <t>CF-Q-14</t>
  </si>
  <si>
    <t>CF-Q-15</t>
  </si>
  <si>
    <t>CF-Q-16</t>
  </si>
  <si>
    <t>00_PORTFOLIO ROLLUP!Q68</t>
  </si>
  <si>
    <t>CF-Q-17</t>
  </si>
  <si>
    <t>CF-R-01</t>
  </si>
  <si>
    <t>00_PORTFOLIO ROLLUP!R24</t>
  </si>
  <si>
    <t>CF-R-02</t>
  </si>
  <si>
    <t>00_PORTFOLIO ROLLUP!R39</t>
  </si>
  <si>
    <t>CF-R-03</t>
  </si>
  <si>
    <t>00_PORTFOLIO ROLLUP!R41</t>
  </si>
  <si>
    <t>CF-R-04</t>
  </si>
  <si>
    <t>00_PORTFOLIO ROLLUP!R44</t>
  </si>
  <si>
    <t>CF-R-05</t>
  </si>
  <si>
    <t>00_PORTFOLIO ROLLUP!R45</t>
  </si>
  <si>
    <t>CF-R-06</t>
  </si>
  <si>
    <t>00_PORTFOLIO ROLLUP!R48</t>
  </si>
  <si>
    <t>CF-R-07</t>
  </si>
  <si>
    <t>00_PORTFOLIO ROLLUP!R52</t>
  </si>
  <si>
    <t>CF-R-08</t>
  </si>
  <si>
    <t>00_PORTFOLIO ROLLUP!R54</t>
  </si>
  <si>
    <t>CF-R-09</t>
  </si>
  <si>
    <t>00_PORTFOLIO ROLLUP!R56</t>
  </si>
  <si>
    <t>CF-R-10</t>
  </si>
  <si>
    <t>00_PORTFOLIO ROLLUP!R61</t>
  </si>
  <si>
    <t>CF-R-11</t>
  </si>
  <si>
    <t>00_PORTFOLIO ROLLUP!R62</t>
  </si>
  <si>
    <t>CF-R-12</t>
  </si>
  <si>
    <t>00_PORTFOLIO ROLLUP!R63</t>
  </si>
  <si>
    <t>CF-R-13</t>
  </si>
  <si>
    <t>CF-R-14</t>
  </si>
  <si>
    <t>CF-R-15</t>
  </si>
  <si>
    <t>CF-R-16</t>
  </si>
  <si>
    <t>00_PORTFOLIO ROLLUP!R68</t>
  </si>
  <si>
    <t>CF-R-17</t>
  </si>
  <si>
    <t>CF-S-01</t>
  </si>
  <si>
    <t>00_PORTFOLIO ROLLUP!S24</t>
  </si>
  <si>
    <t>CF-S-02</t>
  </si>
  <si>
    <t>00_PORTFOLIO ROLLUP!S39</t>
  </si>
  <si>
    <t>CF-S-03</t>
  </si>
  <si>
    <t>00_PORTFOLIO ROLLUP!S41</t>
  </si>
  <si>
    <t>CF-S-04</t>
  </si>
  <si>
    <t>00_PORTFOLIO ROLLUP!S44</t>
  </si>
  <si>
    <t>CF-S-05</t>
  </si>
  <si>
    <t>00_PORTFOLIO ROLLUP!S45</t>
  </si>
  <si>
    <t>CF-S-06</t>
  </si>
  <si>
    <t>00_PORTFOLIO ROLLUP!S48</t>
  </si>
  <si>
    <t>CF-S-07</t>
  </si>
  <si>
    <t>00_PORTFOLIO ROLLUP!S52</t>
  </si>
  <si>
    <t>CF-S-08</t>
  </si>
  <si>
    <t>00_PORTFOLIO ROLLUP!S54</t>
  </si>
  <si>
    <t>CF-S-09</t>
  </si>
  <si>
    <t>00_PORTFOLIO ROLLUP!S56</t>
  </si>
  <si>
    <t>CF-S-10</t>
  </si>
  <si>
    <t>00_PORTFOLIO ROLLUP!S61</t>
  </si>
  <si>
    <t>CF-S-11</t>
  </si>
  <si>
    <t>00_PORTFOLIO ROLLUP!S62</t>
  </si>
  <si>
    <t>CF-S-12</t>
  </si>
  <si>
    <t>00_PORTFOLIO ROLLUP!S63</t>
  </si>
  <si>
    <t>CF-S-13</t>
  </si>
  <si>
    <t>CF-S-14</t>
  </si>
  <si>
    <t>CF-S-15</t>
  </si>
  <si>
    <t>CF-S-16</t>
  </si>
  <si>
    <t>00_PORTFOLIO ROLLUP!S68</t>
  </si>
  <si>
    <t>CF-S-17</t>
  </si>
  <si>
    <t>CF-T-01</t>
  </si>
  <si>
    <t>00_PORTFOLIO ROLLUP!T24</t>
  </si>
  <si>
    <t>CF-T-02</t>
  </si>
  <si>
    <t>00_PORTFOLIO ROLLUP!T39</t>
  </si>
  <si>
    <t>CF-T-03</t>
  </si>
  <si>
    <t>00_PORTFOLIO ROLLUP!T41</t>
  </si>
  <si>
    <t>CF-T-04</t>
  </si>
  <si>
    <t>00_PORTFOLIO ROLLUP!T44</t>
  </si>
  <si>
    <t>CF-T-05</t>
  </si>
  <si>
    <t>00_PORTFOLIO ROLLUP!T45</t>
  </si>
  <si>
    <t>CF-T-06</t>
  </si>
  <si>
    <t>00_PORTFOLIO ROLLUP!T48</t>
  </si>
  <si>
    <t>CF-T-07</t>
  </si>
  <si>
    <t>00_PORTFOLIO ROLLUP!T52</t>
  </si>
  <si>
    <t>CF-T-08</t>
  </si>
  <si>
    <t>00_PORTFOLIO ROLLUP!T54</t>
  </si>
  <si>
    <t>CF-T-09</t>
  </si>
  <si>
    <t>00_PORTFOLIO ROLLUP!T56</t>
  </si>
  <si>
    <t>CF-T-10</t>
  </si>
  <si>
    <t>00_PORTFOLIO ROLLUP!T61</t>
  </si>
  <si>
    <t>CF-T-11</t>
  </si>
  <si>
    <t>00_PORTFOLIO ROLLUP!T62</t>
  </si>
  <si>
    <t>CF-T-12</t>
  </si>
  <si>
    <t>00_PORTFOLIO ROLLUP!T63</t>
  </si>
  <si>
    <t>CF-T-13</t>
  </si>
  <si>
    <t>CF-T-14</t>
  </si>
  <si>
    <t>CF-T-15</t>
  </si>
  <si>
    <t>CF-T-16</t>
  </si>
  <si>
    <t>00_PORTFOLIO ROLLUP!T68</t>
  </si>
  <si>
    <t>CF-T-17</t>
  </si>
  <si>
    <t>CF-U-01</t>
  </si>
  <si>
    <t>00_PORTFOLIO ROLLUP!U24</t>
  </si>
  <si>
    <t>CF-U-02</t>
  </si>
  <si>
    <t>00_PORTFOLIO ROLLUP!U39</t>
  </si>
  <si>
    <t>CF-U-03</t>
  </si>
  <si>
    <t>00_PORTFOLIO ROLLUP!U41</t>
  </si>
  <si>
    <t>CF-U-04</t>
  </si>
  <si>
    <t>00_PORTFOLIO ROLLUP!U44</t>
  </si>
  <si>
    <t>CF-U-05</t>
  </si>
  <si>
    <t>00_PORTFOLIO ROLLUP!U45</t>
  </si>
  <si>
    <t>CF-U-06</t>
  </si>
  <si>
    <t>00_PORTFOLIO ROLLUP!U48</t>
  </si>
  <si>
    <t>CF-U-07</t>
  </si>
  <si>
    <t>00_PORTFOLIO ROLLUP!U52</t>
  </si>
  <si>
    <t>CF-U-08</t>
  </si>
  <si>
    <t>00_PORTFOLIO ROLLUP!U54</t>
  </si>
  <si>
    <t>CF-U-09</t>
  </si>
  <si>
    <t>00_PORTFOLIO ROLLUP!U56</t>
  </si>
  <si>
    <t>CF-U-10</t>
  </si>
  <si>
    <t>00_PORTFOLIO ROLLUP!U61</t>
  </si>
  <si>
    <t>CF-U-11</t>
  </si>
  <si>
    <t>00_PORTFOLIO ROLLUP!U62</t>
  </si>
  <si>
    <t>CF-U-12</t>
  </si>
  <si>
    <t>00_PORTFOLIO ROLLUP!U63</t>
  </si>
  <si>
    <t>CF-U-13</t>
  </si>
  <si>
    <t>CF-U-14</t>
  </si>
  <si>
    <t>CF-U-15</t>
  </si>
  <si>
    <t>CF-U-16</t>
  </si>
  <si>
    <t>00_PORTFOLIO ROLLUP!U68</t>
  </si>
  <si>
    <t>CF-U-17</t>
  </si>
  <si>
    <t>CF-P-01-01-01</t>
  </si>
  <si>
    <t>Pulled live from property tab row 24. Amount is scope-adjusted to included properties so property sums reconcile to portfolio totals.</t>
  </si>
  <si>
    <t>CF-P-01-01-02</t>
  </si>
  <si>
    <t>Pulled live from property tab row 39. Amount is scope-adjusted to included properties so property sums reconcile to portfolio totals.</t>
  </si>
  <si>
    <t>CF-P-01-01-03</t>
  </si>
  <si>
    <t>Pulled live from property tab row 41. Amount is scope-adjusted to included properties so property sums reconcile to portfolio totals.</t>
  </si>
  <si>
    <t>CF-P-01-01-04</t>
  </si>
  <si>
    <t>Pulled live from property tab row 44. Amount is scope-adjusted to included properties so property sums reconcile to portfolio totals.</t>
  </si>
  <si>
    <t>CF-P-01-01-05</t>
  </si>
  <si>
    <t>Pulled live from property tab row 45. Amount is scope-adjusted to included properties so property sums reconcile to portfolio totals.</t>
  </si>
  <si>
    <t>CF-P-01-01-06</t>
  </si>
  <si>
    <t>Pulled live from property tab row 48. Amount is scope-adjusted to included properties so property sums reconcile to portfolio totals.</t>
  </si>
  <si>
    <t>CF-P-01-01-07</t>
  </si>
  <si>
    <t>Pulled live from property tab row 52. Amount is scope-adjusted to included properties so property sums reconcile to portfolio totals.</t>
  </si>
  <si>
    <t>CF-P-01-01-08</t>
  </si>
  <si>
    <t>Distribution / payout. Pulled live from property tab row 54. Amount is scope-adjusted to included properties so property sums reconcile to portfolio totals.</t>
  </si>
  <si>
    <t>CF-P-01-01-09</t>
  </si>
  <si>
    <t>Pulled live from property tab row 56. Amount is scope-adjusted to included properties so property sums reconcile to portfolio totals.</t>
  </si>
  <si>
    <t>CF-P-01-01-10</t>
  </si>
  <si>
    <t>Pulled live from property tab row 61. Amount is scope-adjusted to included properties so property sums reconcile to portfolio totals.</t>
  </si>
  <si>
    <t>CF-P-01-01-11</t>
  </si>
  <si>
    <t>Pulled live from property tab row 62. Amount is scope-adjusted to included properties so property sums reconcile to portfolio totals.</t>
  </si>
  <si>
    <t>CF-P-01-01-12</t>
  </si>
  <si>
    <t>Pulled live from property tab row 63; may be positive surplus or negative funding gap. Amount is scope-adjusted to included properties so property sums reconcile to portfolio totals.</t>
  </si>
  <si>
    <t>CF-P-01-01-13</t>
  </si>
  <si>
    <t>Formula: MAX(Net Refinance Position,0) from property tab row 63. Amount is scope-adjusted to included properties so property sums reconcile to portfolio totals.</t>
  </si>
  <si>
    <t>CF-P-01-01-14</t>
  </si>
  <si>
    <t>Formula: MAX(-Net Refinance Position,0) from property tab row 63. Amount is scope-adjusted to included properties so property sums reconcile to portfolio totals.</t>
  </si>
  <si>
    <t>CF-P-01-01-15</t>
  </si>
  <si>
    <t>Formula: Retained Operating Cash + MAX(Net Refinance Position,0) at property level. Amount is scope-adjusted to included properties so property sums reconcile to portfolio totals.</t>
  </si>
  <si>
    <t>CF-P-01-01-16</t>
  </si>
  <si>
    <t>Pulled live from original property tab row 68, which mixed net refi position into total cash. Amount is scope-adjusted to included properties so property sums reconcile to portfolio totals.</t>
  </si>
  <si>
    <t>CF-P-01-01-17</t>
  </si>
  <si>
    <t>Formula: Clean Total Cash to Partnership - Legacy Total Cash to Partnership; should equal Residual Funding Gap. Amount is scope-adjusted to included properties so property sums reconcile to portfolio totals.</t>
  </si>
  <si>
    <t>CF-P-01-02-01</t>
  </si>
  <si>
    <t>CF-P-01-02-02</t>
  </si>
  <si>
    <t>CF-P-01-02-03</t>
  </si>
  <si>
    <t>CF-P-01-02-04</t>
  </si>
  <si>
    <t>CF-P-01-02-05</t>
  </si>
  <si>
    <t>CF-P-01-02-06</t>
  </si>
  <si>
    <t>CF-P-01-02-07</t>
  </si>
  <si>
    <t>CF-P-01-02-08</t>
  </si>
  <si>
    <t>CF-P-01-02-09</t>
  </si>
  <si>
    <t>CF-P-01-02-10</t>
  </si>
  <si>
    <t>CF-P-01-02-11</t>
  </si>
  <si>
    <t>CF-P-01-02-12</t>
  </si>
  <si>
    <t>CF-P-01-02-13</t>
  </si>
  <si>
    <t>CF-P-01-02-14</t>
  </si>
  <si>
    <t>CF-P-01-02-15</t>
  </si>
  <si>
    <t>CF-P-01-02-16</t>
  </si>
  <si>
    <t>CF-P-01-02-17</t>
  </si>
  <si>
    <t>CF-P-01-03-01</t>
  </si>
  <si>
    <t>CF-P-01-03-02</t>
  </si>
  <si>
    <t>CF-P-01-03-03</t>
  </si>
  <si>
    <t>CF-P-01-03-04</t>
  </si>
  <si>
    <t>CF-P-01-03-05</t>
  </si>
  <si>
    <t>CF-P-01-03-06</t>
  </si>
  <si>
    <t>CF-P-01-03-07</t>
  </si>
  <si>
    <t>CF-P-01-03-08</t>
  </si>
  <si>
    <t>CF-P-01-03-09</t>
  </si>
  <si>
    <t>CF-P-01-03-10</t>
  </si>
  <si>
    <t>CF-P-01-03-11</t>
  </si>
  <si>
    <t>CF-P-01-03-12</t>
  </si>
  <si>
    <t>CF-P-01-03-13</t>
  </si>
  <si>
    <t>CF-P-01-03-14</t>
  </si>
  <si>
    <t>CF-P-01-03-15</t>
  </si>
  <si>
    <t>CF-P-01-03-16</t>
  </si>
  <si>
    <t>CF-P-01-03-17</t>
  </si>
  <si>
    <t>CF-P-01-04-01</t>
  </si>
  <si>
    <t>CF-P-01-04-02</t>
  </si>
  <si>
    <t>CF-P-01-04-03</t>
  </si>
  <si>
    <t>CF-P-01-04-04</t>
  </si>
  <si>
    <t>CF-P-01-04-05</t>
  </si>
  <si>
    <t>CF-P-01-04-06</t>
  </si>
  <si>
    <t>CF-P-01-04-07</t>
  </si>
  <si>
    <t>CF-P-01-04-08</t>
  </si>
  <si>
    <t>CF-P-01-04-09</t>
  </si>
  <si>
    <t>CF-P-01-04-10</t>
  </si>
  <si>
    <t>CF-P-01-04-11</t>
  </si>
  <si>
    <t>CF-P-01-04-12</t>
  </si>
  <si>
    <t>CF-P-01-04-13</t>
  </si>
  <si>
    <t>CF-P-01-04-14</t>
  </si>
  <si>
    <t>CF-P-01-04-15</t>
  </si>
  <si>
    <t>CF-P-01-04-16</t>
  </si>
  <si>
    <t>CF-P-01-04-17</t>
  </si>
  <si>
    <t>CF-P-01-05-01</t>
  </si>
  <si>
    <t>CF-P-01-05-02</t>
  </si>
  <si>
    <t>CF-P-01-05-03</t>
  </si>
  <si>
    <t>CF-P-01-05-04</t>
  </si>
  <si>
    <t>CF-P-01-05-05</t>
  </si>
  <si>
    <t>CF-P-01-05-06</t>
  </si>
  <si>
    <t>CF-P-01-05-07</t>
  </si>
  <si>
    <t>CF-P-01-05-08</t>
  </si>
  <si>
    <t>CF-P-01-05-09</t>
  </si>
  <si>
    <t>CF-P-01-05-10</t>
  </si>
  <si>
    <t>CF-P-01-05-11</t>
  </si>
  <si>
    <t>CF-P-01-05-12</t>
  </si>
  <si>
    <t>CF-P-01-05-13</t>
  </si>
  <si>
    <t>CF-P-01-05-14</t>
  </si>
  <si>
    <t>CF-P-01-05-15</t>
  </si>
  <si>
    <t>CF-P-01-05-16</t>
  </si>
  <si>
    <t>CF-P-01-05-17</t>
  </si>
  <si>
    <t>CF-P-01-06-01</t>
  </si>
  <si>
    <t>CF-P-01-06-02</t>
  </si>
  <si>
    <t>CF-P-01-06-03</t>
  </si>
  <si>
    <t>CF-P-01-06-04</t>
  </si>
  <si>
    <t>CF-P-01-06-05</t>
  </si>
  <si>
    <t>CF-P-01-06-06</t>
  </si>
  <si>
    <t>CF-P-01-06-07</t>
  </si>
  <si>
    <t>CF-P-01-06-08</t>
  </si>
  <si>
    <t>CF-P-01-06-09</t>
  </si>
  <si>
    <t>CF-P-01-06-10</t>
  </si>
  <si>
    <t>CF-P-01-06-11</t>
  </si>
  <si>
    <t>CF-P-01-06-12</t>
  </si>
  <si>
    <t>CF-P-01-06-13</t>
  </si>
  <si>
    <t>CF-P-01-06-14</t>
  </si>
  <si>
    <t>CF-P-01-06-15</t>
  </si>
  <si>
    <t>CF-P-01-06-16</t>
  </si>
  <si>
    <t>CF-P-01-06-17</t>
  </si>
  <si>
    <t>CF-P-01-07-01</t>
  </si>
  <si>
    <t>CF-P-01-07-02</t>
  </si>
  <si>
    <t>CF-P-01-07-03</t>
  </si>
  <si>
    <t>CF-P-01-07-04</t>
  </si>
  <si>
    <t>CF-P-01-07-05</t>
  </si>
  <si>
    <t>CF-P-01-07-06</t>
  </si>
  <si>
    <t>CF-P-01-07-07</t>
  </si>
  <si>
    <t>CF-P-01-07-08</t>
  </si>
  <si>
    <t>CF-P-01-07-09</t>
  </si>
  <si>
    <t>CF-P-01-07-10</t>
  </si>
  <si>
    <t>CF-P-01-07-11</t>
  </si>
  <si>
    <t>CF-P-01-07-12</t>
  </si>
  <si>
    <t>CF-P-01-07-13</t>
  </si>
  <si>
    <t>CF-P-01-07-14</t>
  </si>
  <si>
    <t>CF-P-01-07-15</t>
  </si>
  <si>
    <t>CF-P-01-07-16</t>
  </si>
  <si>
    <t>CF-P-01-07-17</t>
  </si>
  <si>
    <t>CF-P-01-08-01</t>
  </si>
  <si>
    <t>CF-P-01-08-02</t>
  </si>
  <si>
    <t>CF-P-01-08-03</t>
  </si>
  <si>
    <t>CF-P-01-08-04</t>
  </si>
  <si>
    <t>CF-P-01-08-05</t>
  </si>
  <si>
    <t>CF-P-01-08-06</t>
  </si>
  <si>
    <t>CF-P-01-08-07</t>
  </si>
  <si>
    <t>CF-P-01-08-08</t>
  </si>
  <si>
    <t>CF-P-01-08-09</t>
  </si>
  <si>
    <t>CF-P-01-08-10</t>
  </si>
  <si>
    <t>CF-P-01-08-11</t>
  </si>
  <si>
    <t>CF-P-01-08-12</t>
  </si>
  <si>
    <t>CF-P-01-08-13</t>
  </si>
  <si>
    <t>CF-P-01-08-14</t>
  </si>
  <si>
    <t>CF-P-01-08-15</t>
  </si>
  <si>
    <t>CF-P-01-08-16</t>
  </si>
  <si>
    <t>CF-P-01-08-17</t>
  </si>
  <si>
    <t>CF-P-01-09-01</t>
  </si>
  <si>
    <t>CF-P-01-09-02</t>
  </si>
  <si>
    <t>CF-P-01-09-03</t>
  </si>
  <si>
    <t>CF-P-01-09-04</t>
  </si>
  <si>
    <t>CF-P-01-09-05</t>
  </si>
  <si>
    <t>CF-P-01-09-06</t>
  </si>
  <si>
    <t>CF-P-01-09-07</t>
  </si>
  <si>
    <t>CF-P-01-09-08</t>
  </si>
  <si>
    <t>CF-P-01-09-09</t>
  </si>
  <si>
    <t>CF-P-01-09-10</t>
  </si>
  <si>
    <t>CF-P-01-09-11</t>
  </si>
  <si>
    <t>CF-P-01-09-12</t>
  </si>
  <si>
    <t>CF-P-01-09-13</t>
  </si>
  <si>
    <t>CF-P-01-09-14</t>
  </si>
  <si>
    <t>CF-P-01-09-15</t>
  </si>
  <si>
    <t>CF-P-01-09-16</t>
  </si>
  <si>
    <t>CF-P-01-09-17</t>
  </si>
  <si>
    <t>CF-P-01-10-01</t>
  </si>
  <si>
    <t>CF-P-01-10-02</t>
  </si>
  <si>
    <t>CF-P-01-10-03</t>
  </si>
  <si>
    <t>CF-P-01-10-04</t>
  </si>
  <si>
    <t>CF-P-01-10-05</t>
  </si>
  <si>
    <t>CF-P-01-10-06</t>
  </si>
  <si>
    <t>CF-P-01-10-07</t>
  </si>
  <si>
    <t>CF-P-01-10-08</t>
  </si>
  <si>
    <t>CF-P-01-10-09</t>
  </si>
  <si>
    <t>CF-P-01-10-10</t>
  </si>
  <si>
    <t>CF-P-01-10-11</t>
  </si>
  <si>
    <t>CF-P-01-10-12</t>
  </si>
  <si>
    <t>CF-P-01-10-13</t>
  </si>
  <si>
    <t>CF-P-01-10-14</t>
  </si>
  <si>
    <t>CF-P-01-10-15</t>
  </si>
  <si>
    <t>CF-P-01-10-16</t>
  </si>
  <si>
    <t>CF-P-01-10-17</t>
  </si>
  <si>
    <t>CF-P-01-11-01</t>
  </si>
  <si>
    <t>CF-P-01-11-02</t>
  </si>
  <si>
    <t>CF-P-01-11-03</t>
  </si>
  <si>
    <t>CF-P-01-11-04</t>
  </si>
  <si>
    <t>CF-P-01-11-05</t>
  </si>
  <si>
    <t>CF-P-01-11-06</t>
  </si>
  <si>
    <t>CF-P-01-11-07</t>
  </si>
  <si>
    <t>CF-P-01-11-08</t>
  </si>
  <si>
    <t>CF-P-01-11-09</t>
  </si>
  <si>
    <t>CF-P-01-11-10</t>
  </si>
  <si>
    <t>CF-P-01-11-11</t>
  </si>
  <si>
    <t>CF-P-01-11-12</t>
  </si>
  <si>
    <t>CF-P-01-11-13</t>
  </si>
  <si>
    <t>CF-P-01-11-14</t>
  </si>
  <si>
    <t>CF-P-01-11-15</t>
  </si>
  <si>
    <t>CF-P-01-11-16</t>
  </si>
  <si>
    <t>CF-P-01-11-17</t>
  </si>
  <si>
    <t>CF-P-01-12-01</t>
  </si>
  <si>
    <t>CF-P-01-12-02</t>
  </si>
  <si>
    <t>CF-P-01-12-03</t>
  </si>
  <si>
    <t>CF-P-01-12-04</t>
  </si>
  <si>
    <t>CF-P-01-12-05</t>
  </si>
  <si>
    <t>CF-P-01-12-06</t>
  </si>
  <si>
    <t>CF-P-01-12-07</t>
  </si>
  <si>
    <t>CF-P-01-12-08</t>
  </si>
  <si>
    <t>CF-P-01-12-09</t>
  </si>
  <si>
    <t>CF-P-01-12-10</t>
  </si>
  <si>
    <t>CF-P-01-12-11</t>
  </si>
  <si>
    <t>CF-P-01-12-12</t>
  </si>
  <si>
    <t>CF-P-01-12-13</t>
  </si>
  <si>
    <t>CF-P-01-12-14</t>
  </si>
  <si>
    <t>CF-P-01-12-15</t>
  </si>
  <si>
    <t>CF-P-01-12-16</t>
  </si>
  <si>
    <t>CF-P-01-12-17</t>
  </si>
  <si>
    <t>CF-P-01-13-01</t>
  </si>
  <si>
    <t>CF-P-01-13-02</t>
  </si>
  <si>
    <t>CF-P-01-13-03</t>
  </si>
  <si>
    <t>CF-P-01-13-04</t>
  </si>
  <si>
    <t>CF-P-01-13-05</t>
  </si>
  <si>
    <t>CF-P-01-13-06</t>
  </si>
  <si>
    <t>CF-P-01-13-07</t>
  </si>
  <si>
    <t>CF-P-01-13-08</t>
  </si>
  <si>
    <t>CF-P-01-13-09</t>
  </si>
  <si>
    <t>CF-P-01-13-10</t>
  </si>
  <si>
    <t>CF-P-01-13-11</t>
  </si>
  <si>
    <t>CF-P-01-13-12</t>
  </si>
  <si>
    <t>CF-P-01-13-13</t>
  </si>
  <si>
    <t>CF-P-01-13-14</t>
  </si>
  <si>
    <t>CF-P-01-13-15</t>
  </si>
  <si>
    <t>CF-P-01-13-16</t>
  </si>
  <si>
    <t>CF-P-01-13-17</t>
  </si>
  <si>
    <t>CF-P-01-14-01</t>
  </si>
  <si>
    <t>CF-P-01-14-02</t>
  </si>
  <si>
    <t>CF-P-01-14-03</t>
  </si>
  <si>
    <t>CF-P-01-14-04</t>
  </si>
  <si>
    <t>CF-P-01-14-05</t>
  </si>
  <si>
    <t>CF-P-01-14-06</t>
  </si>
  <si>
    <t>CF-P-01-14-07</t>
  </si>
  <si>
    <t>CF-P-01-14-08</t>
  </si>
  <si>
    <t>CF-P-01-14-09</t>
  </si>
  <si>
    <t>CF-P-01-14-10</t>
  </si>
  <si>
    <t>CF-P-01-14-11</t>
  </si>
  <si>
    <t>CF-P-01-14-12</t>
  </si>
  <si>
    <t>CF-P-01-14-13</t>
  </si>
  <si>
    <t>CF-P-01-14-14</t>
  </si>
  <si>
    <t>CF-P-01-14-15</t>
  </si>
  <si>
    <t>CF-P-01-14-16</t>
  </si>
  <si>
    <t>CF-P-01-14-17</t>
  </si>
  <si>
    <t>CF-P-01-15-01</t>
  </si>
  <si>
    <t>CF-P-01-15-02</t>
  </si>
  <si>
    <t>CF-P-01-15-03</t>
  </si>
  <si>
    <t>CF-P-01-15-04</t>
  </si>
  <si>
    <t>CF-P-01-15-05</t>
  </si>
  <si>
    <t>CF-P-01-15-06</t>
  </si>
  <si>
    <t>CF-P-01-15-07</t>
  </si>
  <si>
    <t>CF-P-01-15-08</t>
  </si>
  <si>
    <t>CF-P-01-15-09</t>
  </si>
  <si>
    <t>CF-P-01-15-10</t>
  </si>
  <si>
    <t>CF-P-01-15-11</t>
  </si>
  <si>
    <t>CF-P-01-15-12</t>
  </si>
  <si>
    <t>CF-P-01-15-13</t>
  </si>
  <si>
    <t>CF-P-01-15-14</t>
  </si>
  <si>
    <t>CF-P-01-15-15</t>
  </si>
  <si>
    <t>CF-P-01-15-16</t>
  </si>
  <si>
    <t>CF-P-01-15-17</t>
  </si>
  <si>
    <t>CF-P-01-16-01</t>
  </si>
  <si>
    <t>CF-P-01-16-02</t>
  </si>
  <si>
    <t>CF-P-01-16-03</t>
  </si>
  <si>
    <t>CF-P-01-16-04</t>
  </si>
  <si>
    <t>CF-P-01-16-05</t>
  </si>
  <si>
    <t>CF-P-01-16-06</t>
  </si>
  <si>
    <t>CF-P-01-16-07</t>
  </si>
  <si>
    <t>CF-P-01-16-08</t>
  </si>
  <si>
    <t>CF-P-01-16-09</t>
  </si>
  <si>
    <t>CF-P-01-16-10</t>
  </si>
  <si>
    <t>CF-P-01-16-11</t>
  </si>
  <si>
    <t>CF-P-01-16-12</t>
  </si>
  <si>
    <t>CF-P-01-16-13</t>
  </si>
  <si>
    <t>CF-P-01-16-14</t>
  </si>
  <si>
    <t>CF-P-01-16-15</t>
  </si>
  <si>
    <t>CF-P-01-16-16</t>
  </si>
  <si>
    <t>CF-P-01-16-17</t>
  </si>
  <si>
    <t>CF-P-01-17-01</t>
  </si>
  <si>
    <t>CF-P-01-17-02</t>
  </si>
  <si>
    <t>CF-P-01-17-03</t>
  </si>
  <si>
    <t>CF-P-01-17-04</t>
  </si>
  <si>
    <t>CF-P-01-17-05</t>
  </si>
  <si>
    <t>CF-P-01-17-06</t>
  </si>
  <si>
    <t>CF-P-01-17-07</t>
  </si>
  <si>
    <t>CF-P-01-17-08</t>
  </si>
  <si>
    <t>CF-P-01-17-09</t>
  </si>
  <si>
    <t>CF-P-01-17-10</t>
  </si>
  <si>
    <t>CF-P-01-17-11</t>
  </si>
  <si>
    <t>CF-P-01-17-12</t>
  </si>
  <si>
    <t>CF-P-01-17-13</t>
  </si>
  <si>
    <t>CF-P-01-17-14</t>
  </si>
  <si>
    <t>CF-P-01-17-15</t>
  </si>
  <si>
    <t>CF-P-01-17-16</t>
  </si>
  <si>
    <t>CF-P-01-17-17</t>
  </si>
  <si>
    <t>CF-P-02-01-01</t>
  </si>
  <si>
    <t>CF-P-02-01-02</t>
  </si>
  <si>
    <t>CF-P-02-01-03</t>
  </si>
  <si>
    <t>CF-P-02-01-04</t>
  </si>
  <si>
    <t>CF-P-02-01-05</t>
  </si>
  <si>
    <t>CF-P-02-01-06</t>
  </si>
  <si>
    <t>CF-P-02-01-07</t>
  </si>
  <si>
    <t>CF-P-02-01-08</t>
  </si>
  <si>
    <t>CF-P-02-01-09</t>
  </si>
  <si>
    <t>CF-P-02-01-10</t>
  </si>
  <si>
    <t>CF-P-02-01-11</t>
  </si>
  <si>
    <t>CF-P-02-01-12</t>
  </si>
  <si>
    <t>CF-P-02-01-13</t>
  </si>
  <si>
    <t>CF-P-02-01-14</t>
  </si>
  <si>
    <t>CF-P-02-01-15</t>
  </si>
  <si>
    <t>CF-P-02-01-16</t>
  </si>
  <si>
    <t>CF-P-02-01-17</t>
  </si>
  <si>
    <t>CF-P-02-02-01</t>
  </si>
  <si>
    <t>CF-P-02-02-02</t>
  </si>
  <si>
    <t>CF-P-02-02-03</t>
  </si>
  <si>
    <t>CF-P-02-02-04</t>
  </si>
  <si>
    <t>CF-P-02-02-05</t>
  </si>
  <si>
    <t>CF-P-02-02-06</t>
  </si>
  <si>
    <t>CF-P-02-02-07</t>
  </si>
  <si>
    <t>CF-P-02-02-08</t>
  </si>
  <si>
    <t>CF-P-02-02-09</t>
  </si>
  <si>
    <t>CF-P-02-02-10</t>
  </si>
  <si>
    <t>CF-P-02-02-11</t>
  </si>
  <si>
    <t>CF-P-02-02-12</t>
  </si>
  <si>
    <t>CF-P-02-02-13</t>
  </si>
  <si>
    <t>CF-P-02-02-14</t>
  </si>
  <si>
    <t>CF-P-02-02-15</t>
  </si>
  <si>
    <t>CF-P-02-02-16</t>
  </si>
  <si>
    <t>CF-P-02-02-17</t>
  </si>
  <si>
    <t>CF-P-02-03-01</t>
  </si>
  <si>
    <t>CF-P-02-03-02</t>
  </si>
  <si>
    <t>CF-P-02-03-03</t>
  </si>
  <si>
    <t>CF-P-02-03-04</t>
  </si>
  <si>
    <t>CF-P-02-03-05</t>
  </si>
  <si>
    <t>CF-P-02-03-06</t>
  </si>
  <si>
    <t>CF-P-02-03-07</t>
  </si>
  <si>
    <t>CF-P-02-03-08</t>
  </si>
  <si>
    <t>CF-P-02-03-09</t>
  </si>
  <si>
    <t>CF-P-02-03-10</t>
  </si>
  <si>
    <t>CF-P-02-03-11</t>
  </si>
  <si>
    <t>CF-P-02-03-12</t>
  </si>
  <si>
    <t>CF-P-02-03-13</t>
  </si>
  <si>
    <t>CF-P-02-03-14</t>
  </si>
  <si>
    <t>CF-P-02-03-15</t>
  </si>
  <si>
    <t>CF-P-02-03-16</t>
  </si>
  <si>
    <t>CF-P-02-03-17</t>
  </si>
  <si>
    <t>CF-P-02-04-01</t>
  </si>
  <si>
    <t>CF-P-02-04-02</t>
  </si>
  <si>
    <t>CF-P-02-04-03</t>
  </si>
  <si>
    <t>CF-P-02-04-04</t>
  </si>
  <si>
    <t>CF-P-02-04-05</t>
  </si>
  <si>
    <t>CF-P-02-04-06</t>
  </si>
  <si>
    <t>CF-P-02-04-07</t>
  </si>
  <si>
    <t>CF-P-02-04-08</t>
  </si>
  <si>
    <t>CF-P-02-04-09</t>
  </si>
  <si>
    <t>CF-P-02-04-10</t>
  </si>
  <si>
    <t>CF-P-02-04-11</t>
  </si>
  <si>
    <t>CF-P-02-04-12</t>
  </si>
  <si>
    <t>CF-P-02-04-13</t>
  </si>
  <si>
    <t>CF-P-02-04-14</t>
  </si>
  <si>
    <t>CF-P-02-04-15</t>
  </si>
  <si>
    <t>CF-P-02-04-16</t>
  </si>
  <si>
    <t>CF-P-02-04-17</t>
  </si>
  <si>
    <t>CF-P-02-05-01</t>
  </si>
  <si>
    <t>CF-P-02-05-02</t>
  </si>
  <si>
    <t>CF-P-02-05-03</t>
  </si>
  <si>
    <t>CF-P-02-05-04</t>
  </si>
  <si>
    <t>CF-P-02-05-05</t>
  </si>
  <si>
    <t>CF-P-02-05-06</t>
  </si>
  <si>
    <t>CF-P-02-05-07</t>
  </si>
  <si>
    <t>CF-P-02-05-08</t>
  </si>
  <si>
    <t>CF-P-02-05-09</t>
  </si>
  <si>
    <t>CF-P-02-05-10</t>
  </si>
  <si>
    <t>CF-P-02-05-11</t>
  </si>
  <si>
    <t>CF-P-02-05-12</t>
  </si>
  <si>
    <t>CF-P-02-05-13</t>
  </si>
  <si>
    <t>CF-P-02-05-14</t>
  </si>
  <si>
    <t>CF-P-02-05-15</t>
  </si>
  <si>
    <t>CF-P-02-05-16</t>
  </si>
  <si>
    <t>CF-P-02-05-17</t>
  </si>
  <si>
    <t>CF-P-02-06-01</t>
  </si>
  <si>
    <t>CF-P-02-06-02</t>
  </si>
  <si>
    <t>CF-P-02-06-03</t>
  </si>
  <si>
    <t>CF-P-02-06-04</t>
  </si>
  <si>
    <t>CF-P-02-06-05</t>
  </si>
  <si>
    <t>CF-P-02-06-06</t>
  </si>
  <si>
    <t>CF-P-02-06-07</t>
  </si>
  <si>
    <t>CF-P-02-06-08</t>
  </si>
  <si>
    <t>CF-P-02-06-09</t>
  </si>
  <si>
    <t>CF-P-02-06-10</t>
  </si>
  <si>
    <t>CF-P-02-06-11</t>
  </si>
  <si>
    <t>CF-P-02-06-12</t>
  </si>
  <si>
    <t>CF-P-02-06-13</t>
  </si>
  <si>
    <t>CF-P-02-06-14</t>
  </si>
  <si>
    <t>CF-P-02-06-15</t>
  </si>
  <si>
    <t>CF-P-02-06-16</t>
  </si>
  <si>
    <t>CF-P-02-06-17</t>
  </si>
  <si>
    <t>CF-P-02-07-01</t>
  </si>
  <si>
    <t>CF-P-02-07-02</t>
  </si>
  <si>
    <t>CF-P-02-07-03</t>
  </si>
  <si>
    <t>CF-P-02-07-04</t>
  </si>
  <si>
    <t>CF-P-02-07-05</t>
  </si>
  <si>
    <t>CF-P-02-07-06</t>
  </si>
  <si>
    <t>CF-P-02-07-07</t>
  </si>
  <si>
    <t>CF-P-02-07-08</t>
  </si>
  <si>
    <t>CF-P-02-07-09</t>
  </si>
  <si>
    <t>CF-P-02-07-10</t>
  </si>
  <si>
    <t>CF-P-02-07-11</t>
  </si>
  <si>
    <t>CF-P-02-07-12</t>
  </si>
  <si>
    <t>CF-P-02-07-13</t>
  </si>
  <si>
    <t>CF-P-02-07-14</t>
  </si>
  <si>
    <t>CF-P-02-07-15</t>
  </si>
  <si>
    <t>CF-P-02-07-16</t>
  </si>
  <si>
    <t>CF-P-02-07-17</t>
  </si>
  <si>
    <t>CF-P-02-08-01</t>
  </si>
  <si>
    <t>CF-P-02-08-02</t>
  </si>
  <si>
    <t>CF-P-02-08-03</t>
  </si>
  <si>
    <t>CF-P-02-08-04</t>
  </si>
  <si>
    <t>CF-P-02-08-05</t>
  </si>
  <si>
    <t>CF-P-02-08-06</t>
  </si>
  <si>
    <t>CF-P-02-08-07</t>
  </si>
  <si>
    <t>CF-P-02-08-08</t>
  </si>
  <si>
    <t>CF-P-02-08-09</t>
  </si>
  <si>
    <t>CF-P-02-08-10</t>
  </si>
  <si>
    <t>CF-P-02-08-11</t>
  </si>
  <si>
    <t>CF-P-02-08-12</t>
  </si>
  <si>
    <t>CF-P-02-08-13</t>
  </si>
  <si>
    <t>CF-P-02-08-14</t>
  </si>
  <si>
    <t>CF-P-02-08-15</t>
  </si>
  <si>
    <t>CF-P-02-08-16</t>
  </si>
  <si>
    <t>CF-P-02-08-17</t>
  </si>
  <si>
    <t>CF-P-02-09-01</t>
  </si>
  <si>
    <t>CF-P-02-09-02</t>
  </si>
  <si>
    <t>CF-P-02-09-03</t>
  </si>
  <si>
    <t>CF-P-02-09-04</t>
  </si>
  <si>
    <t>CF-P-02-09-05</t>
  </si>
  <si>
    <t>CF-P-02-09-06</t>
  </si>
  <si>
    <t>CF-P-02-09-07</t>
  </si>
  <si>
    <t>CF-P-02-09-08</t>
  </si>
  <si>
    <t>CF-P-02-09-09</t>
  </si>
  <si>
    <t>CF-P-02-09-10</t>
  </si>
  <si>
    <t>CF-P-02-09-11</t>
  </si>
  <si>
    <t>CF-P-02-09-12</t>
  </si>
  <si>
    <t>CF-P-02-09-13</t>
  </si>
  <si>
    <t>CF-P-02-09-14</t>
  </si>
  <si>
    <t>CF-P-02-09-15</t>
  </si>
  <si>
    <t>CF-P-02-09-16</t>
  </si>
  <si>
    <t>CF-P-02-09-17</t>
  </si>
  <si>
    <t>CF-P-02-10-01</t>
  </si>
  <si>
    <t>CF-P-02-10-02</t>
  </si>
  <si>
    <t>CF-P-02-10-03</t>
  </si>
  <si>
    <t>CF-P-02-10-04</t>
  </si>
  <si>
    <t>CF-P-02-10-05</t>
  </si>
  <si>
    <t>CF-P-02-10-06</t>
  </si>
  <si>
    <t>CF-P-02-10-07</t>
  </si>
  <si>
    <t>CF-P-02-10-08</t>
  </si>
  <si>
    <t>CF-P-02-10-09</t>
  </si>
  <si>
    <t>CF-P-02-10-10</t>
  </si>
  <si>
    <t>CF-P-02-10-11</t>
  </si>
  <si>
    <t>CF-P-02-10-12</t>
  </si>
  <si>
    <t>CF-P-02-10-13</t>
  </si>
  <si>
    <t>CF-P-02-10-14</t>
  </si>
  <si>
    <t>CF-P-02-10-15</t>
  </si>
  <si>
    <t>CF-P-02-10-16</t>
  </si>
  <si>
    <t>CF-P-02-10-17</t>
  </si>
  <si>
    <t>CF-P-02-11-01</t>
  </si>
  <si>
    <t>CF-P-02-11-02</t>
  </si>
  <si>
    <t>CF-P-02-11-03</t>
  </si>
  <si>
    <t>CF-P-02-11-04</t>
  </si>
  <si>
    <t>CF-P-02-11-05</t>
  </si>
  <si>
    <t>CF-P-02-11-06</t>
  </si>
  <si>
    <t>CF-P-02-11-07</t>
  </si>
  <si>
    <t>CF-P-02-11-08</t>
  </si>
  <si>
    <t>CF-P-02-11-09</t>
  </si>
  <si>
    <t>CF-P-02-11-10</t>
  </si>
  <si>
    <t>CF-P-02-11-11</t>
  </si>
  <si>
    <t>CF-P-02-11-12</t>
  </si>
  <si>
    <t>CF-P-02-11-13</t>
  </si>
  <si>
    <t>CF-P-02-11-14</t>
  </si>
  <si>
    <t>CF-P-02-11-15</t>
  </si>
  <si>
    <t>CF-P-02-11-16</t>
  </si>
  <si>
    <t>CF-P-02-11-17</t>
  </si>
  <si>
    <t>CF-P-02-12-01</t>
  </si>
  <si>
    <t>CF-P-02-12-02</t>
  </si>
  <si>
    <t>CF-P-02-12-03</t>
  </si>
  <si>
    <t>CF-P-02-12-04</t>
  </si>
  <si>
    <t>CF-P-02-12-05</t>
  </si>
  <si>
    <t>CF-P-02-12-06</t>
  </si>
  <si>
    <t>CF-P-02-12-07</t>
  </si>
  <si>
    <t>CF-P-02-12-08</t>
  </si>
  <si>
    <t>CF-P-02-12-09</t>
  </si>
  <si>
    <t>CF-P-02-12-10</t>
  </si>
  <si>
    <t>CF-P-02-12-11</t>
  </si>
  <si>
    <t>CF-P-02-12-12</t>
  </si>
  <si>
    <t>CF-P-02-12-13</t>
  </si>
  <si>
    <t>CF-P-02-12-14</t>
  </si>
  <si>
    <t>CF-P-02-12-15</t>
  </si>
  <si>
    <t>CF-P-02-12-16</t>
  </si>
  <si>
    <t>CF-P-02-12-17</t>
  </si>
  <si>
    <t>CF-P-02-13-01</t>
  </si>
  <si>
    <t>CF-P-02-13-02</t>
  </si>
  <si>
    <t>CF-P-02-13-03</t>
  </si>
  <si>
    <t>CF-P-02-13-04</t>
  </si>
  <si>
    <t>CF-P-02-13-05</t>
  </si>
  <si>
    <t>CF-P-02-13-06</t>
  </si>
  <si>
    <t>CF-P-02-13-07</t>
  </si>
  <si>
    <t>CF-P-02-13-08</t>
  </si>
  <si>
    <t>CF-P-02-13-09</t>
  </si>
  <si>
    <t>CF-P-02-13-10</t>
  </si>
  <si>
    <t>CF-P-02-13-11</t>
  </si>
  <si>
    <t>CF-P-02-13-12</t>
  </si>
  <si>
    <t>CF-P-02-13-13</t>
  </si>
  <si>
    <t>CF-P-02-13-14</t>
  </si>
  <si>
    <t>CF-P-02-13-15</t>
  </si>
  <si>
    <t>CF-P-02-13-16</t>
  </si>
  <si>
    <t>CF-P-02-13-17</t>
  </si>
  <si>
    <t>CF-P-02-14-01</t>
  </si>
  <si>
    <t>CF-P-02-14-02</t>
  </si>
  <si>
    <t>CF-P-02-14-03</t>
  </si>
  <si>
    <t>CF-P-02-14-04</t>
  </si>
  <si>
    <t>CF-P-02-14-05</t>
  </si>
  <si>
    <t>CF-P-02-14-06</t>
  </si>
  <si>
    <t>CF-P-02-14-07</t>
  </si>
  <si>
    <t>CF-P-02-14-08</t>
  </si>
  <si>
    <t>CF-P-02-14-09</t>
  </si>
  <si>
    <t>CF-P-02-14-10</t>
  </si>
  <si>
    <t>CF-P-02-14-11</t>
  </si>
  <si>
    <t>CF-P-02-14-12</t>
  </si>
  <si>
    <t>CF-P-02-14-13</t>
  </si>
  <si>
    <t>CF-P-02-14-14</t>
  </si>
  <si>
    <t>CF-P-02-14-15</t>
  </si>
  <si>
    <t>CF-P-02-14-16</t>
  </si>
  <si>
    <t>CF-P-02-14-17</t>
  </si>
  <si>
    <t>CF-P-02-15-01</t>
  </si>
  <si>
    <t>CF-P-02-15-02</t>
  </si>
  <si>
    <t>CF-P-02-15-03</t>
  </si>
  <si>
    <t>CF-P-02-15-04</t>
  </si>
  <si>
    <t>CF-P-02-15-05</t>
  </si>
  <si>
    <t>CF-P-02-15-06</t>
  </si>
  <si>
    <t>CF-P-02-15-07</t>
  </si>
  <si>
    <t>CF-P-02-15-08</t>
  </si>
  <si>
    <t>CF-P-02-15-09</t>
  </si>
  <si>
    <t>CF-P-02-15-10</t>
  </si>
  <si>
    <t>CF-P-02-15-11</t>
  </si>
  <si>
    <t>CF-P-02-15-12</t>
  </si>
  <si>
    <t>CF-P-02-15-13</t>
  </si>
  <si>
    <t>CF-P-02-15-14</t>
  </si>
  <si>
    <t>CF-P-02-15-15</t>
  </si>
  <si>
    <t>CF-P-02-15-16</t>
  </si>
  <si>
    <t>CF-P-02-15-17</t>
  </si>
  <si>
    <t>CF-P-02-16-01</t>
  </si>
  <si>
    <t>CF-P-02-16-02</t>
  </si>
  <si>
    <t>CF-P-02-16-03</t>
  </si>
  <si>
    <t>CF-P-02-16-04</t>
  </si>
  <si>
    <t>CF-P-02-16-05</t>
  </si>
  <si>
    <t>CF-P-02-16-06</t>
  </si>
  <si>
    <t>CF-P-02-16-07</t>
  </si>
  <si>
    <t>CF-P-02-16-08</t>
  </si>
  <si>
    <t>CF-P-02-16-09</t>
  </si>
  <si>
    <t>CF-P-02-16-10</t>
  </si>
  <si>
    <t>CF-P-02-16-11</t>
  </si>
  <si>
    <t>CF-P-02-16-12</t>
  </si>
  <si>
    <t>CF-P-02-16-13</t>
  </si>
  <si>
    <t>CF-P-02-16-14</t>
  </si>
  <si>
    <t>CF-P-02-16-15</t>
  </si>
  <si>
    <t>CF-P-02-16-16</t>
  </si>
  <si>
    <t>CF-P-02-16-17</t>
  </si>
  <si>
    <t>CF-P-02-17-01</t>
  </si>
  <si>
    <t>CF-P-02-17-02</t>
  </si>
  <si>
    <t>CF-P-02-17-03</t>
  </si>
  <si>
    <t>CF-P-02-17-04</t>
  </si>
  <si>
    <t>CF-P-02-17-05</t>
  </si>
  <si>
    <t>CF-P-02-17-06</t>
  </si>
  <si>
    <t>CF-P-02-17-07</t>
  </si>
  <si>
    <t>CF-P-02-17-08</t>
  </si>
  <si>
    <t>CF-P-02-17-09</t>
  </si>
  <si>
    <t>CF-P-02-17-10</t>
  </si>
  <si>
    <t>CF-P-02-17-11</t>
  </si>
  <si>
    <t>CF-P-02-17-12</t>
  </si>
  <si>
    <t>CF-P-02-17-13</t>
  </si>
  <si>
    <t>CF-P-02-17-14</t>
  </si>
  <si>
    <t>CF-P-02-17-15</t>
  </si>
  <si>
    <t>CF-P-02-17-16</t>
  </si>
  <si>
    <t>CF-P-02-17-17</t>
  </si>
  <si>
    <t>CF-P-03-01-01</t>
  </si>
  <si>
    <t>CF-P-03-01-02</t>
  </si>
  <si>
    <t>CF-P-03-01-03</t>
  </si>
  <si>
    <t>CF-P-03-01-04</t>
  </si>
  <si>
    <t>CF-P-03-01-05</t>
  </si>
  <si>
    <t>CF-P-03-01-06</t>
  </si>
  <si>
    <t>CF-P-03-01-07</t>
  </si>
  <si>
    <t>CF-P-03-01-08</t>
  </si>
  <si>
    <t>CF-P-03-01-09</t>
  </si>
  <si>
    <t>CF-P-03-01-10</t>
  </si>
  <si>
    <t>CF-P-03-01-11</t>
  </si>
  <si>
    <t>CF-P-03-01-12</t>
  </si>
  <si>
    <t>CF-P-03-01-13</t>
  </si>
  <si>
    <t>CF-P-03-01-14</t>
  </si>
  <si>
    <t>CF-P-03-01-15</t>
  </si>
  <si>
    <t>CF-P-03-01-16</t>
  </si>
  <si>
    <t>CF-P-03-01-17</t>
  </si>
  <si>
    <t>CF-P-03-02-01</t>
  </si>
  <si>
    <t>CF-P-03-02-02</t>
  </si>
  <si>
    <t>CF-P-03-02-03</t>
  </si>
  <si>
    <t>CF-P-03-02-04</t>
  </si>
  <si>
    <t>CF-P-03-02-05</t>
  </si>
  <si>
    <t>CF-P-03-02-06</t>
  </si>
  <si>
    <t>CF-P-03-02-07</t>
  </si>
  <si>
    <t>CF-P-03-02-08</t>
  </si>
  <si>
    <t>CF-P-03-02-09</t>
  </si>
  <si>
    <t>CF-P-03-02-10</t>
  </si>
  <si>
    <t>CF-P-03-02-11</t>
  </si>
  <si>
    <t>CF-P-03-02-12</t>
  </si>
  <si>
    <t>CF-P-03-02-13</t>
  </si>
  <si>
    <t>CF-P-03-02-14</t>
  </si>
  <si>
    <t>CF-P-03-02-15</t>
  </si>
  <si>
    <t>CF-P-03-02-16</t>
  </si>
  <si>
    <t>CF-P-03-02-17</t>
  </si>
  <si>
    <t>CF-P-03-03-01</t>
  </si>
  <si>
    <t>CF-P-03-03-02</t>
  </si>
  <si>
    <t>CF-P-03-03-03</t>
  </si>
  <si>
    <t>CF-P-03-03-04</t>
  </si>
  <si>
    <t>CF-P-03-03-05</t>
  </si>
  <si>
    <t>CF-P-03-03-06</t>
  </si>
  <si>
    <t>CF-P-03-03-07</t>
  </si>
  <si>
    <t>CF-P-03-03-08</t>
  </si>
  <si>
    <t>CF-P-03-03-09</t>
  </si>
  <si>
    <t>CF-P-03-03-10</t>
  </si>
  <si>
    <t>CF-P-03-03-11</t>
  </si>
  <si>
    <t>CF-P-03-03-12</t>
  </si>
  <si>
    <t>CF-P-03-03-13</t>
  </si>
  <si>
    <t>CF-P-03-03-14</t>
  </si>
  <si>
    <t>CF-P-03-03-15</t>
  </si>
  <si>
    <t>CF-P-03-03-16</t>
  </si>
  <si>
    <t>CF-P-03-03-17</t>
  </si>
  <si>
    <t>CF-P-03-04-01</t>
  </si>
  <si>
    <t>CF-P-03-04-02</t>
  </si>
  <si>
    <t>CF-P-03-04-03</t>
  </si>
  <si>
    <t>CF-P-03-04-04</t>
  </si>
  <si>
    <t>CF-P-03-04-05</t>
  </si>
  <si>
    <t>CF-P-03-04-06</t>
  </si>
  <si>
    <t>CF-P-03-04-07</t>
  </si>
  <si>
    <t>CF-P-03-04-08</t>
  </si>
  <si>
    <t>CF-P-03-04-09</t>
  </si>
  <si>
    <t>CF-P-03-04-10</t>
  </si>
  <si>
    <t>CF-P-03-04-11</t>
  </si>
  <si>
    <t>CF-P-03-04-12</t>
  </si>
  <si>
    <t>CF-P-03-04-13</t>
  </si>
  <si>
    <t>CF-P-03-04-14</t>
  </si>
  <si>
    <t>CF-P-03-04-15</t>
  </si>
  <si>
    <t>CF-P-03-04-16</t>
  </si>
  <si>
    <t>CF-P-03-04-17</t>
  </si>
  <si>
    <t>CF-P-03-05-01</t>
  </si>
  <si>
    <t>CF-P-03-05-02</t>
  </si>
  <si>
    <t>CF-P-03-05-03</t>
  </si>
  <si>
    <t>CF-P-03-05-04</t>
  </si>
  <si>
    <t>CF-P-03-05-05</t>
  </si>
  <si>
    <t>CF-P-03-05-06</t>
  </si>
  <si>
    <t>CF-P-03-05-07</t>
  </si>
  <si>
    <t>CF-P-03-05-08</t>
  </si>
  <si>
    <t>CF-P-03-05-09</t>
  </si>
  <si>
    <t>CF-P-03-05-10</t>
  </si>
  <si>
    <t>CF-P-03-05-11</t>
  </si>
  <si>
    <t>CF-P-03-05-12</t>
  </si>
  <si>
    <t>CF-P-03-05-13</t>
  </si>
  <si>
    <t>CF-P-03-05-14</t>
  </si>
  <si>
    <t>CF-P-03-05-15</t>
  </si>
  <si>
    <t>CF-P-03-05-16</t>
  </si>
  <si>
    <t>CF-P-03-05-17</t>
  </si>
  <si>
    <t>CF-P-03-06-01</t>
  </si>
  <si>
    <t>CF-P-03-06-02</t>
  </si>
  <si>
    <t>CF-P-03-06-03</t>
  </si>
  <si>
    <t>CF-P-03-06-04</t>
  </si>
  <si>
    <t>CF-P-03-06-05</t>
  </si>
  <si>
    <t>CF-P-03-06-06</t>
  </si>
  <si>
    <t>CF-P-03-06-07</t>
  </si>
  <si>
    <t>CF-P-03-06-08</t>
  </si>
  <si>
    <t>CF-P-03-06-09</t>
  </si>
  <si>
    <t>CF-P-03-06-10</t>
  </si>
  <si>
    <t>CF-P-03-06-11</t>
  </si>
  <si>
    <t>CF-P-03-06-12</t>
  </si>
  <si>
    <t>CF-P-03-06-13</t>
  </si>
  <si>
    <t>CF-P-03-06-14</t>
  </si>
  <si>
    <t>CF-P-03-06-15</t>
  </si>
  <si>
    <t>CF-P-03-06-16</t>
  </si>
  <si>
    <t>CF-P-03-06-17</t>
  </si>
  <si>
    <t>CF-P-03-07-01</t>
  </si>
  <si>
    <t>CF-P-03-07-02</t>
  </si>
  <si>
    <t>CF-P-03-07-03</t>
  </si>
  <si>
    <t>CF-P-03-07-04</t>
  </si>
  <si>
    <t>CF-P-03-07-05</t>
  </si>
  <si>
    <t>CF-P-03-07-06</t>
  </si>
  <si>
    <t>CF-P-03-07-07</t>
  </si>
  <si>
    <t>CF-P-03-07-08</t>
  </si>
  <si>
    <t>CF-P-03-07-09</t>
  </si>
  <si>
    <t>CF-P-03-07-10</t>
  </si>
  <si>
    <t>CF-P-03-07-11</t>
  </si>
  <si>
    <t>CF-P-03-07-12</t>
  </si>
  <si>
    <t>CF-P-03-07-13</t>
  </si>
  <si>
    <t>CF-P-03-07-14</t>
  </si>
  <si>
    <t>CF-P-03-07-15</t>
  </si>
  <si>
    <t>CF-P-03-07-16</t>
  </si>
  <si>
    <t>CF-P-03-07-17</t>
  </si>
  <si>
    <t>CF-P-03-08-01</t>
  </si>
  <si>
    <t>CF-P-03-08-02</t>
  </si>
  <si>
    <t>CF-P-03-08-03</t>
  </si>
  <si>
    <t>CF-P-03-08-04</t>
  </si>
  <si>
    <t>CF-P-03-08-05</t>
  </si>
  <si>
    <t>CF-P-03-08-06</t>
  </si>
  <si>
    <t>CF-P-03-08-07</t>
  </si>
  <si>
    <t>CF-P-03-08-08</t>
  </si>
  <si>
    <t>CF-P-03-08-09</t>
  </si>
  <si>
    <t>CF-P-03-08-10</t>
  </si>
  <si>
    <t>CF-P-03-08-11</t>
  </si>
  <si>
    <t>CF-P-03-08-12</t>
  </si>
  <si>
    <t>CF-P-03-08-13</t>
  </si>
  <si>
    <t>CF-P-03-08-14</t>
  </si>
  <si>
    <t>CF-P-03-08-15</t>
  </si>
  <si>
    <t>CF-P-03-08-16</t>
  </si>
  <si>
    <t>CF-P-03-08-17</t>
  </si>
  <si>
    <t>CF-P-03-09-01</t>
  </si>
  <si>
    <t>CF-P-03-09-02</t>
  </si>
  <si>
    <t>CF-P-03-09-03</t>
  </si>
  <si>
    <t>CF-P-03-09-04</t>
  </si>
  <si>
    <t>CF-P-03-09-05</t>
  </si>
  <si>
    <t>CF-P-03-09-06</t>
  </si>
  <si>
    <t>CF-P-03-09-07</t>
  </si>
  <si>
    <t>CF-P-03-09-08</t>
  </si>
  <si>
    <t>CF-P-03-09-09</t>
  </si>
  <si>
    <t>CF-P-03-09-10</t>
  </si>
  <si>
    <t>CF-P-03-09-11</t>
  </si>
  <si>
    <t>CF-P-03-09-12</t>
  </si>
  <si>
    <t>CF-P-03-09-13</t>
  </si>
  <si>
    <t>CF-P-03-09-14</t>
  </si>
  <si>
    <t>CF-P-03-09-15</t>
  </si>
  <si>
    <t>CF-P-03-09-16</t>
  </si>
  <si>
    <t>CF-P-03-09-17</t>
  </si>
  <si>
    <t>CF-P-03-10-01</t>
  </si>
  <si>
    <t>CF-P-03-10-02</t>
  </si>
  <si>
    <t>CF-P-03-10-03</t>
  </si>
  <si>
    <t>CF-P-03-10-04</t>
  </si>
  <si>
    <t>CF-P-03-10-05</t>
  </si>
  <si>
    <t>CF-P-03-10-06</t>
  </si>
  <si>
    <t>CF-P-03-10-07</t>
  </si>
  <si>
    <t>CF-P-03-10-08</t>
  </si>
  <si>
    <t>CF-P-03-10-09</t>
  </si>
  <si>
    <t>CF-P-03-10-10</t>
  </si>
  <si>
    <t>CF-P-03-10-11</t>
  </si>
  <si>
    <t>CF-P-03-10-12</t>
  </si>
  <si>
    <t>CF-P-03-10-13</t>
  </si>
  <si>
    <t>CF-P-03-10-14</t>
  </si>
  <si>
    <t>CF-P-03-10-15</t>
  </si>
  <si>
    <t>CF-P-03-10-16</t>
  </si>
  <si>
    <t>CF-P-03-10-17</t>
  </si>
  <si>
    <t>CF-P-03-11-01</t>
  </si>
  <si>
    <t>CF-P-03-11-02</t>
  </si>
  <si>
    <t>CF-P-03-11-03</t>
  </si>
  <si>
    <t>CF-P-03-11-04</t>
  </si>
  <si>
    <t>CF-P-03-11-05</t>
  </si>
  <si>
    <t>CF-P-03-11-06</t>
  </si>
  <si>
    <t>CF-P-03-11-07</t>
  </si>
  <si>
    <t>CF-P-03-11-08</t>
  </si>
  <si>
    <t>CF-P-03-11-09</t>
  </si>
  <si>
    <t>CF-P-03-11-10</t>
  </si>
  <si>
    <t>CF-P-03-11-11</t>
  </si>
  <si>
    <t>CF-P-03-11-12</t>
  </si>
  <si>
    <t>CF-P-03-11-13</t>
  </si>
  <si>
    <t>CF-P-03-11-14</t>
  </si>
  <si>
    <t>CF-P-03-11-15</t>
  </si>
  <si>
    <t>CF-P-03-11-16</t>
  </si>
  <si>
    <t>CF-P-03-11-17</t>
  </si>
  <si>
    <t>CF-P-03-12-01</t>
  </si>
  <si>
    <t>CF-P-03-12-02</t>
  </si>
  <si>
    <t>CF-P-03-12-03</t>
  </si>
  <si>
    <t>CF-P-03-12-04</t>
  </si>
  <si>
    <t>CF-P-03-12-05</t>
  </si>
  <si>
    <t>CF-P-03-12-06</t>
  </si>
  <si>
    <t>CF-P-03-12-07</t>
  </si>
  <si>
    <t>CF-P-03-12-08</t>
  </si>
  <si>
    <t>CF-P-03-12-09</t>
  </si>
  <si>
    <t>CF-P-03-12-10</t>
  </si>
  <si>
    <t>CF-P-03-12-11</t>
  </si>
  <si>
    <t>CF-P-03-12-12</t>
  </si>
  <si>
    <t>CF-P-03-12-13</t>
  </si>
  <si>
    <t>CF-P-03-12-14</t>
  </si>
  <si>
    <t>CF-P-03-12-15</t>
  </si>
  <si>
    <t>CF-P-03-12-16</t>
  </si>
  <si>
    <t>CF-P-03-12-17</t>
  </si>
  <si>
    <t>CF-P-03-13-01</t>
  </si>
  <si>
    <t>CF-P-03-13-02</t>
  </si>
  <si>
    <t>CF-P-03-13-03</t>
  </si>
  <si>
    <t>CF-P-03-13-04</t>
  </si>
  <si>
    <t>CF-P-03-13-05</t>
  </si>
  <si>
    <t>CF-P-03-13-06</t>
  </si>
  <si>
    <t>CF-P-03-13-07</t>
  </si>
  <si>
    <t>CF-P-03-13-08</t>
  </si>
  <si>
    <t>CF-P-03-13-09</t>
  </si>
  <si>
    <t>CF-P-03-13-10</t>
  </si>
  <si>
    <t>CF-P-03-13-11</t>
  </si>
  <si>
    <t>CF-P-03-13-12</t>
  </si>
  <si>
    <t>CF-P-03-13-13</t>
  </si>
  <si>
    <t>CF-P-03-13-14</t>
  </si>
  <si>
    <t>CF-P-03-13-15</t>
  </si>
  <si>
    <t>CF-P-03-13-16</t>
  </si>
  <si>
    <t>CF-P-03-13-17</t>
  </si>
  <si>
    <t>CF-P-03-14-01</t>
  </si>
  <si>
    <t>CF-P-03-14-02</t>
  </si>
  <si>
    <t>CF-P-03-14-03</t>
  </si>
  <si>
    <t>CF-P-03-14-04</t>
  </si>
  <si>
    <t>CF-P-03-14-05</t>
  </si>
  <si>
    <t>CF-P-03-14-06</t>
  </si>
  <si>
    <t>CF-P-03-14-07</t>
  </si>
  <si>
    <t>CF-P-03-14-08</t>
  </si>
  <si>
    <t>CF-P-03-14-09</t>
  </si>
  <si>
    <t>CF-P-03-14-10</t>
  </si>
  <si>
    <t>CF-P-03-14-11</t>
  </si>
  <si>
    <t>CF-P-03-14-12</t>
  </si>
  <si>
    <t>CF-P-03-14-13</t>
  </si>
  <si>
    <t>CF-P-03-14-14</t>
  </si>
  <si>
    <t>CF-P-03-14-15</t>
  </si>
  <si>
    <t>CF-P-03-14-16</t>
  </si>
  <si>
    <t>CF-P-03-14-17</t>
  </si>
  <si>
    <t>CF-P-03-15-01</t>
  </si>
  <si>
    <t>CF-P-03-15-02</t>
  </si>
  <si>
    <t>CF-P-03-15-03</t>
  </si>
  <si>
    <t>CF-P-03-15-04</t>
  </si>
  <si>
    <t>CF-P-03-15-05</t>
  </si>
  <si>
    <t>CF-P-03-15-06</t>
  </si>
  <si>
    <t>CF-P-03-15-07</t>
  </si>
  <si>
    <t>CF-P-03-15-08</t>
  </si>
  <si>
    <t>CF-P-03-15-09</t>
  </si>
  <si>
    <t>CF-P-03-15-10</t>
  </si>
  <si>
    <t>CF-P-03-15-11</t>
  </si>
  <si>
    <t>CF-P-03-15-12</t>
  </si>
  <si>
    <t>CF-P-03-15-13</t>
  </si>
  <si>
    <t>CF-P-03-15-14</t>
  </si>
  <si>
    <t>CF-P-03-15-15</t>
  </si>
  <si>
    <t>CF-P-03-15-16</t>
  </si>
  <si>
    <t>CF-P-03-15-17</t>
  </si>
  <si>
    <t>CF-P-03-16-01</t>
  </si>
  <si>
    <t>CF-P-03-16-02</t>
  </si>
  <si>
    <t>CF-P-03-16-03</t>
  </si>
  <si>
    <t>CF-P-03-16-04</t>
  </si>
  <si>
    <t>CF-P-03-16-05</t>
  </si>
  <si>
    <t>CF-P-03-16-06</t>
  </si>
  <si>
    <t>CF-P-03-16-07</t>
  </si>
  <si>
    <t>CF-P-03-16-08</t>
  </si>
  <si>
    <t>CF-P-03-16-09</t>
  </si>
  <si>
    <t>CF-P-03-16-10</t>
  </si>
  <si>
    <t>CF-P-03-16-11</t>
  </si>
  <si>
    <t>CF-P-03-16-12</t>
  </si>
  <si>
    <t>CF-P-03-16-13</t>
  </si>
  <si>
    <t>CF-P-03-16-14</t>
  </si>
  <si>
    <t>CF-P-03-16-15</t>
  </si>
  <si>
    <t>CF-P-03-16-16</t>
  </si>
  <si>
    <t>CF-P-03-16-17</t>
  </si>
  <si>
    <t>CF-P-03-17-01</t>
  </si>
  <si>
    <t>CF-P-03-17-02</t>
  </si>
  <si>
    <t>CF-P-03-17-03</t>
  </si>
  <si>
    <t>CF-P-03-17-04</t>
  </si>
  <si>
    <t>CF-P-03-17-05</t>
  </si>
  <si>
    <t>CF-P-03-17-06</t>
  </si>
  <si>
    <t>CF-P-03-17-07</t>
  </si>
  <si>
    <t>CF-P-03-17-08</t>
  </si>
  <si>
    <t>CF-P-03-17-09</t>
  </si>
  <si>
    <t>CF-P-03-17-10</t>
  </si>
  <si>
    <t>CF-P-03-17-11</t>
  </si>
  <si>
    <t>CF-P-03-17-12</t>
  </si>
  <si>
    <t>CF-P-03-17-13</t>
  </si>
  <si>
    <t>CF-P-03-17-14</t>
  </si>
  <si>
    <t>CF-P-03-17-15</t>
  </si>
  <si>
    <t>CF-P-03-17-16</t>
  </si>
  <si>
    <t>CF-P-03-17-17</t>
  </si>
  <si>
    <t>CF-P-04-01-01</t>
  </si>
  <si>
    <t>CF-P-04-01-02</t>
  </si>
  <si>
    <t>CF-P-04-01-03</t>
  </si>
  <si>
    <t>CF-P-04-01-04</t>
  </si>
  <si>
    <t>CF-P-04-01-05</t>
  </si>
  <si>
    <t>CF-P-04-01-06</t>
  </si>
  <si>
    <t>CF-P-04-01-07</t>
  </si>
  <si>
    <t>CF-P-04-01-08</t>
  </si>
  <si>
    <t>CF-P-04-01-09</t>
  </si>
  <si>
    <t>CF-P-04-01-10</t>
  </si>
  <si>
    <t>CF-P-04-01-11</t>
  </si>
  <si>
    <t>CF-P-04-01-12</t>
  </si>
  <si>
    <t>CF-P-04-01-13</t>
  </si>
  <si>
    <t>CF-P-04-01-14</t>
  </si>
  <si>
    <t>CF-P-04-01-15</t>
  </si>
  <si>
    <t>CF-P-04-01-16</t>
  </si>
  <si>
    <t>CF-P-04-01-17</t>
  </si>
  <si>
    <t>CF-P-04-02-01</t>
  </si>
  <si>
    <t>CF-P-04-02-02</t>
  </si>
  <si>
    <t>CF-P-04-02-03</t>
  </si>
  <si>
    <t>CF-P-04-02-04</t>
  </si>
  <si>
    <t>CF-P-04-02-05</t>
  </si>
  <si>
    <t>CF-P-04-02-06</t>
  </si>
  <si>
    <t>CF-P-04-02-07</t>
  </si>
  <si>
    <t>CF-P-04-02-08</t>
  </si>
  <si>
    <t>CF-P-04-02-09</t>
  </si>
  <si>
    <t>CF-P-04-02-10</t>
  </si>
  <si>
    <t>CF-P-04-02-11</t>
  </si>
  <si>
    <t>CF-P-04-02-12</t>
  </si>
  <si>
    <t>CF-P-04-02-13</t>
  </si>
  <si>
    <t>CF-P-04-02-14</t>
  </si>
  <si>
    <t>CF-P-04-02-15</t>
  </si>
  <si>
    <t>CF-P-04-02-16</t>
  </si>
  <si>
    <t>CF-P-04-02-17</t>
  </si>
  <si>
    <t>CF-P-04-03-01</t>
  </si>
  <si>
    <t>CF-P-04-03-02</t>
  </si>
  <si>
    <t>CF-P-04-03-03</t>
  </si>
  <si>
    <t>CF-P-04-03-04</t>
  </si>
  <si>
    <t>CF-P-04-03-05</t>
  </si>
  <si>
    <t>CF-P-04-03-06</t>
  </si>
  <si>
    <t>CF-P-04-03-07</t>
  </si>
  <si>
    <t>CF-P-04-03-08</t>
  </si>
  <si>
    <t>CF-P-04-03-09</t>
  </si>
  <si>
    <t>CF-P-04-03-10</t>
  </si>
  <si>
    <t>CF-P-04-03-11</t>
  </si>
  <si>
    <t>CF-P-04-03-12</t>
  </si>
  <si>
    <t>CF-P-04-03-13</t>
  </si>
  <si>
    <t>CF-P-04-03-14</t>
  </si>
  <si>
    <t>CF-P-04-03-15</t>
  </si>
  <si>
    <t>CF-P-04-03-16</t>
  </si>
  <si>
    <t>CF-P-04-03-17</t>
  </si>
  <si>
    <t>CF-P-04-04-01</t>
  </si>
  <si>
    <t>CF-P-04-04-02</t>
  </si>
  <si>
    <t>CF-P-04-04-03</t>
  </si>
  <si>
    <t>CF-P-04-04-04</t>
  </si>
  <si>
    <t>CF-P-04-04-05</t>
  </si>
  <si>
    <t>CF-P-04-04-06</t>
  </si>
  <si>
    <t>CF-P-04-04-07</t>
  </si>
  <si>
    <t>CF-P-04-04-08</t>
  </si>
  <si>
    <t>CF-P-04-04-09</t>
  </si>
  <si>
    <t>CF-P-04-04-10</t>
  </si>
  <si>
    <t>CF-P-04-04-11</t>
  </si>
  <si>
    <t>CF-P-04-04-12</t>
  </si>
  <si>
    <t>CF-P-04-04-13</t>
  </si>
  <si>
    <t>CF-P-04-04-14</t>
  </si>
  <si>
    <t>CF-P-04-04-15</t>
  </si>
  <si>
    <t>CF-P-04-04-16</t>
  </si>
  <si>
    <t>CF-P-04-04-17</t>
  </si>
  <si>
    <t>CF-P-04-05-01</t>
  </si>
  <si>
    <t>CF-P-04-05-02</t>
  </si>
  <si>
    <t>CF-P-04-05-03</t>
  </si>
  <si>
    <t>CF-P-04-05-04</t>
  </si>
  <si>
    <t>CF-P-04-05-05</t>
  </si>
  <si>
    <t>CF-P-04-05-06</t>
  </si>
  <si>
    <t>CF-P-04-05-07</t>
  </si>
  <si>
    <t>CF-P-04-05-08</t>
  </si>
  <si>
    <t>CF-P-04-05-09</t>
  </si>
  <si>
    <t>CF-P-04-05-10</t>
  </si>
  <si>
    <t>CF-P-04-05-11</t>
  </si>
  <si>
    <t>CF-P-04-05-12</t>
  </si>
  <si>
    <t>CF-P-04-05-13</t>
  </si>
  <si>
    <t>CF-P-04-05-14</t>
  </si>
  <si>
    <t>CF-P-04-05-15</t>
  </si>
  <si>
    <t>CF-P-04-05-16</t>
  </si>
  <si>
    <t>CF-P-04-05-17</t>
  </si>
  <si>
    <t>CF-P-04-06-01</t>
  </si>
  <si>
    <t>CF-P-04-06-02</t>
  </si>
  <si>
    <t>CF-P-04-06-03</t>
  </si>
  <si>
    <t>CF-P-04-06-04</t>
  </si>
  <si>
    <t>CF-P-04-06-05</t>
  </si>
  <si>
    <t>CF-P-04-06-06</t>
  </si>
  <si>
    <t>CF-P-04-06-07</t>
  </si>
  <si>
    <t>CF-P-04-06-08</t>
  </si>
  <si>
    <t>CF-P-04-06-09</t>
  </si>
  <si>
    <t>CF-P-04-06-10</t>
  </si>
  <si>
    <t>CF-P-04-06-11</t>
  </si>
  <si>
    <t>CF-P-04-06-12</t>
  </si>
  <si>
    <t>CF-P-04-06-13</t>
  </si>
  <si>
    <t>CF-P-04-06-14</t>
  </si>
  <si>
    <t>CF-P-04-06-15</t>
  </si>
  <si>
    <t>CF-P-04-06-16</t>
  </si>
  <si>
    <t>CF-P-04-06-17</t>
  </si>
  <si>
    <t>CF-P-04-07-01</t>
  </si>
  <si>
    <t>CF-P-04-07-02</t>
  </si>
  <si>
    <t>CF-P-04-07-03</t>
  </si>
  <si>
    <t>CF-P-04-07-04</t>
  </si>
  <si>
    <t>CF-P-04-07-05</t>
  </si>
  <si>
    <t>CF-P-04-07-06</t>
  </si>
  <si>
    <t>CF-P-04-07-07</t>
  </si>
  <si>
    <t>CF-P-04-07-08</t>
  </si>
  <si>
    <t>CF-P-04-07-09</t>
  </si>
  <si>
    <t>CF-P-04-07-10</t>
  </si>
  <si>
    <t>CF-P-04-07-11</t>
  </si>
  <si>
    <t>CF-P-04-07-12</t>
  </si>
  <si>
    <t>CF-P-04-07-13</t>
  </si>
  <si>
    <t>CF-P-04-07-14</t>
  </si>
  <si>
    <t>CF-P-04-07-15</t>
  </si>
  <si>
    <t>CF-P-04-07-16</t>
  </si>
  <si>
    <t>CF-P-04-07-17</t>
  </si>
  <si>
    <t>CF-P-04-08-01</t>
  </si>
  <si>
    <t>CF-P-04-08-02</t>
  </si>
  <si>
    <t>CF-P-04-08-03</t>
  </si>
  <si>
    <t>CF-P-04-08-04</t>
  </si>
  <si>
    <t>CF-P-04-08-05</t>
  </si>
  <si>
    <t>CF-P-04-08-06</t>
  </si>
  <si>
    <t>CF-P-04-08-07</t>
  </si>
  <si>
    <t>CF-P-04-08-08</t>
  </si>
  <si>
    <t>CF-P-04-08-09</t>
  </si>
  <si>
    <t>CF-P-04-08-10</t>
  </si>
  <si>
    <t>CF-P-04-08-11</t>
  </si>
  <si>
    <t>CF-P-04-08-12</t>
  </si>
  <si>
    <t>CF-P-04-08-13</t>
  </si>
  <si>
    <t>CF-P-04-08-14</t>
  </si>
  <si>
    <t>CF-P-04-08-15</t>
  </si>
  <si>
    <t>CF-P-04-08-16</t>
  </si>
  <si>
    <t>CF-P-04-08-17</t>
  </si>
  <si>
    <t>CF-P-04-09-01</t>
  </si>
  <si>
    <t>CF-P-04-09-02</t>
  </si>
  <si>
    <t>CF-P-04-09-03</t>
  </si>
  <si>
    <t>CF-P-04-09-04</t>
  </si>
  <si>
    <t>CF-P-04-09-05</t>
  </si>
  <si>
    <t>CF-P-04-09-06</t>
  </si>
  <si>
    <t>CF-P-04-09-07</t>
  </si>
  <si>
    <t>CF-P-04-09-08</t>
  </si>
  <si>
    <t>CF-P-04-09-09</t>
  </si>
  <si>
    <t>CF-P-04-09-10</t>
  </si>
  <si>
    <t>CF-P-04-09-11</t>
  </si>
  <si>
    <t>CF-P-04-09-12</t>
  </si>
  <si>
    <t>CF-P-04-09-13</t>
  </si>
  <si>
    <t>CF-P-04-09-14</t>
  </si>
  <si>
    <t>CF-P-04-09-15</t>
  </si>
  <si>
    <t>CF-P-04-09-16</t>
  </si>
  <si>
    <t>CF-P-04-09-17</t>
  </si>
  <si>
    <t>CF-P-04-10-01</t>
  </si>
  <si>
    <t>CF-P-04-10-02</t>
  </si>
  <si>
    <t>CF-P-04-10-03</t>
  </si>
  <si>
    <t>CF-P-04-10-04</t>
  </si>
  <si>
    <t>CF-P-04-10-05</t>
  </si>
  <si>
    <t>CF-P-04-10-06</t>
  </si>
  <si>
    <t>CF-P-04-10-07</t>
  </si>
  <si>
    <t>CF-P-04-10-08</t>
  </si>
  <si>
    <t>CF-P-04-10-09</t>
  </si>
  <si>
    <t>CF-P-04-10-10</t>
  </si>
  <si>
    <t>CF-P-04-10-11</t>
  </si>
  <si>
    <t>CF-P-04-10-12</t>
  </si>
  <si>
    <t>CF-P-04-10-13</t>
  </si>
  <si>
    <t>CF-P-04-10-14</t>
  </si>
  <si>
    <t>CF-P-04-10-15</t>
  </si>
  <si>
    <t>CF-P-04-10-16</t>
  </si>
  <si>
    <t>CF-P-04-10-17</t>
  </si>
  <si>
    <t>CF-P-04-11-01</t>
  </si>
  <si>
    <t>CF-P-04-11-02</t>
  </si>
  <si>
    <t>CF-P-04-11-03</t>
  </si>
  <si>
    <t>CF-P-04-11-04</t>
  </si>
  <si>
    <t>CF-P-04-11-05</t>
  </si>
  <si>
    <t>CF-P-04-11-06</t>
  </si>
  <si>
    <t>CF-P-04-11-07</t>
  </si>
  <si>
    <t>CF-P-04-11-08</t>
  </si>
  <si>
    <t>CF-P-04-11-09</t>
  </si>
  <si>
    <t>CF-P-04-11-10</t>
  </si>
  <si>
    <t>CF-P-04-11-11</t>
  </si>
  <si>
    <t>CF-P-04-11-12</t>
  </si>
  <si>
    <t>CF-P-04-11-13</t>
  </si>
  <si>
    <t>CF-P-04-11-14</t>
  </si>
  <si>
    <t>CF-P-04-11-15</t>
  </si>
  <si>
    <t>CF-P-04-11-16</t>
  </si>
  <si>
    <t>CF-P-04-11-17</t>
  </si>
  <si>
    <t>CF-P-04-12-01</t>
  </si>
  <si>
    <t>CF-P-04-12-02</t>
  </si>
  <si>
    <t>CF-P-04-12-03</t>
  </si>
  <si>
    <t>CF-P-04-12-04</t>
  </si>
  <si>
    <t>CF-P-04-12-05</t>
  </si>
  <si>
    <t>CF-P-04-12-06</t>
  </si>
  <si>
    <t>CF-P-04-12-07</t>
  </si>
  <si>
    <t>CF-P-04-12-08</t>
  </si>
  <si>
    <t>CF-P-04-12-09</t>
  </si>
  <si>
    <t>CF-P-04-12-10</t>
  </si>
  <si>
    <t>CF-P-04-12-11</t>
  </si>
  <si>
    <t>CF-P-04-12-12</t>
  </si>
  <si>
    <t>CF-P-04-12-13</t>
  </si>
  <si>
    <t>CF-P-04-12-14</t>
  </si>
  <si>
    <t>CF-P-04-12-15</t>
  </si>
  <si>
    <t>CF-P-04-12-16</t>
  </si>
  <si>
    <t>CF-P-04-12-17</t>
  </si>
  <si>
    <t>CF-P-04-13-01</t>
  </si>
  <si>
    <t>CF-P-04-13-02</t>
  </si>
  <si>
    <t>CF-P-04-13-03</t>
  </si>
  <si>
    <t>CF-P-04-13-04</t>
  </si>
  <si>
    <t>CF-P-04-13-05</t>
  </si>
  <si>
    <t>CF-P-04-13-06</t>
  </si>
  <si>
    <t>CF-P-04-13-07</t>
  </si>
  <si>
    <t>CF-P-04-13-08</t>
  </si>
  <si>
    <t>CF-P-04-13-09</t>
  </si>
  <si>
    <t>CF-P-04-13-10</t>
  </si>
  <si>
    <t>CF-P-04-13-11</t>
  </si>
  <si>
    <t>CF-P-04-13-12</t>
  </si>
  <si>
    <t>CF-P-04-13-13</t>
  </si>
  <si>
    <t>CF-P-04-13-14</t>
  </si>
  <si>
    <t>CF-P-04-13-15</t>
  </si>
  <si>
    <t>CF-P-04-13-16</t>
  </si>
  <si>
    <t>CF-P-04-13-17</t>
  </si>
  <si>
    <t>CF-P-04-14-01</t>
  </si>
  <si>
    <t>CF-P-04-14-02</t>
  </si>
  <si>
    <t>CF-P-04-14-03</t>
  </si>
  <si>
    <t>CF-P-04-14-04</t>
  </si>
  <si>
    <t>CF-P-04-14-05</t>
  </si>
  <si>
    <t>CF-P-04-14-06</t>
  </si>
  <si>
    <t>CF-P-04-14-07</t>
  </si>
  <si>
    <t>CF-P-04-14-08</t>
  </si>
  <si>
    <t>CF-P-04-14-09</t>
  </si>
  <si>
    <t>CF-P-04-14-10</t>
  </si>
  <si>
    <t>CF-P-04-14-11</t>
  </si>
  <si>
    <t>CF-P-04-14-12</t>
  </si>
  <si>
    <t>CF-P-04-14-13</t>
  </si>
  <si>
    <t>CF-P-04-14-14</t>
  </si>
  <si>
    <t>CF-P-04-14-15</t>
  </si>
  <si>
    <t>CF-P-04-14-16</t>
  </si>
  <si>
    <t>CF-P-04-14-17</t>
  </si>
  <si>
    <t>CF-P-04-15-01</t>
  </si>
  <si>
    <t>CF-P-04-15-02</t>
  </si>
  <si>
    <t>CF-P-04-15-03</t>
  </si>
  <si>
    <t>CF-P-04-15-04</t>
  </si>
  <si>
    <t>CF-P-04-15-05</t>
  </si>
  <si>
    <t>CF-P-04-15-06</t>
  </si>
  <si>
    <t>CF-P-04-15-07</t>
  </si>
  <si>
    <t>CF-P-04-15-08</t>
  </si>
  <si>
    <t>CF-P-04-15-09</t>
  </si>
  <si>
    <t>CF-P-04-15-10</t>
  </si>
  <si>
    <t>CF-P-04-15-11</t>
  </si>
  <si>
    <t>CF-P-04-15-12</t>
  </si>
  <si>
    <t>CF-P-04-15-13</t>
  </si>
  <si>
    <t>CF-P-04-15-14</t>
  </si>
  <si>
    <t>CF-P-04-15-15</t>
  </si>
  <si>
    <t>CF-P-04-15-16</t>
  </si>
  <si>
    <t>CF-P-04-15-17</t>
  </si>
  <si>
    <t>CF-P-04-16-01</t>
  </si>
  <si>
    <t>CF-P-04-16-02</t>
  </si>
  <si>
    <t>CF-P-04-16-03</t>
  </si>
  <si>
    <t>CF-P-04-16-04</t>
  </si>
  <si>
    <t>CF-P-04-16-05</t>
  </si>
  <si>
    <t>CF-P-04-16-06</t>
  </si>
  <si>
    <t>CF-P-04-16-07</t>
  </si>
  <si>
    <t>CF-P-04-16-08</t>
  </si>
  <si>
    <t>CF-P-04-16-09</t>
  </si>
  <si>
    <t>CF-P-04-16-10</t>
  </si>
  <si>
    <t>CF-P-04-16-11</t>
  </si>
  <si>
    <t>CF-P-04-16-12</t>
  </si>
  <si>
    <t>CF-P-04-16-13</t>
  </si>
  <si>
    <t>CF-P-04-16-14</t>
  </si>
  <si>
    <t>CF-P-04-16-15</t>
  </si>
  <si>
    <t>CF-P-04-16-16</t>
  </si>
  <si>
    <t>CF-P-04-16-17</t>
  </si>
  <si>
    <t>CF-P-04-17-01</t>
  </si>
  <si>
    <t>CF-P-04-17-02</t>
  </si>
  <si>
    <t>CF-P-04-17-03</t>
  </si>
  <si>
    <t>CF-P-04-17-04</t>
  </si>
  <si>
    <t>CF-P-04-17-05</t>
  </si>
  <si>
    <t>CF-P-04-17-06</t>
  </si>
  <si>
    <t>CF-P-04-17-07</t>
  </si>
  <si>
    <t>CF-P-04-17-08</t>
  </si>
  <si>
    <t>CF-P-04-17-09</t>
  </si>
  <si>
    <t>CF-P-04-17-10</t>
  </si>
  <si>
    <t>CF-P-04-17-11</t>
  </si>
  <si>
    <t>CF-P-04-17-12</t>
  </si>
  <si>
    <t>CF-P-04-17-13</t>
  </si>
  <si>
    <t>CF-P-04-17-14</t>
  </si>
  <si>
    <t>CF-P-04-17-15</t>
  </si>
  <si>
    <t>CF-P-04-17-16</t>
  </si>
  <si>
    <t>CF-P-04-17-17</t>
  </si>
  <si>
    <t>CF-P-05-01-01</t>
  </si>
  <si>
    <t>CF-P-05-01-02</t>
  </si>
  <si>
    <t>CF-P-05-01-03</t>
  </si>
  <si>
    <t>CF-P-05-01-04</t>
  </si>
  <si>
    <t>CF-P-05-01-05</t>
  </si>
  <si>
    <t>CF-P-05-01-06</t>
  </si>
  <si>
    <t>CF-P-05-01-07</t>
  </si>
  <si>
    <t>CF-P-05-01-08</t>
  </si>
  <si>
    <t>CF-P-05-01-09</t>
  </si>
  <si>
    <t>CF-P-05-01-10</t>
  </si>
  <si>
    <t>CF-P-05-01-11</t>
  </si>
  <si>
    <t>CF-P-05-01-12</t>
  </si>
  <si>
    <t>CF-P-05-01-13</t>
  </si>
  <si>
    <t>CF-P-05-01-14</t>
  </si>
  <si>
    <t>CF-P-05-01-15</t>
  </si>
  <si>
    <t>CF-P-05-01-16</t>
  </si>
  <si>
    <t>CF-P-05-01-17</t>
  </si>
  <si>
    <t>CF-P-05-02-01</t>
  </si>
  <si>
    <t>CF-P-05-02-02</t>
  </si>
  <si>
    <t>CF-P-05-02-03</t>
  </si>
  <si>
    <t>CF-P-05-02-04</t>
  </si>
  <si>
    <t>CF-P-05-02-05</t>
  </si>
  <si>
    <t>CF-P-05-02-06</t>
  </si>
  <si>
    <t>CF-P-05-02-07</t>
  </si>
  <si>
    <t>CF-P-05-02-08</t>
  </si>
  <si>
    <t>CF-P-05-02-09</t>
  </si>
  <si>
    <t>CF-P-05-02-10</t>
  </si>
  <si>
    <t>CF-P-05-02-11</t>
  </si>
  <si>
    <t>CF-P-05-02-12</t>
  </si>
  <si>
    <t>CF-P-05-02-13</t>
  </si>
  <si>
    <t>CF-P-05-02-14</t>
  </si>
  <si>
    <t>CF-P-05-02-15</t>
  </si>
  <si>
    <t>CF-P-05-02-16</t>
  </si>
  <si>
    <t>CF-P-05-02-17</t>
  </si>
  <si>
    <t>CF-P-05-03-01</t>
  </si>
  <si>
    <t>CF-P-05-03-02</t>
  </si>
  <si>
    <t>CF-P-05-03-03</t>
  </si>
  <si>
    <t>CF-P-05-03-04</t>
  </si>
  <si>
    <t>CF-P-05-03-05</t>
  </si>
  <si>
    <t>CF-P-05-03-06</t>
  </si>
  <si>
    <t>CF-P-05-03-07</t>
  </si>
  <si>
    <t>CF-P-05-03-08</t>
  </si>
  <si>
    <t>CF-P-05-03-09</t>
  </si>
  <si>
    <t>CF-P-05-03-10</t>
  </si>
  <si>
    <t>CF-P-05-03-11</t>
  </si>
  <si>
    <t>CF-P-05-03-12</t>
  </si>
  <si>
    <t>CF-P-05-03-13</t>
  </si>
  <si>
    <t>CF-P-05-03-14</t>
  </si>
  <si>
    <t>CF-P-05-03-15</t>
  </si>
  <si>
    <t>CF-P-05-03-16</t>
  </si>
  <si>
    <t>CF-P-05-03-17</t>
  </si>
  <si>
    <t>CF-P-05-04-01</t>
  </si>
  <si>
    <t>CF-P-05-04-02</t>
  </si>
  <si>
    <t>CF-P-05-04-03</t>
  </si>
  <si>
    <t>CF-P-05-04-04</t>
  </si>
  <si>
    <t>CF-P-05-04-05</t>
  </si>
  <si>
    <t>CF-P-05-04-06</t>
  </si>
  <si>
    <t>CF-P-05-04-07</t>
  </si>
  <si>
    <t>CF-P-05-04-08</t>
  </si>
  <si>
    <t>CF-P-05-04-09</t>
  </si>
  <si>
    <t>CF-P-05-04-10</t>
  </si>
  <si>
    <t>CF-P-05-04-11</t>
  </si>
  <si>
    <t>CF-P-05-04-12</t>
  </si>
  <si>
    <t>CF-P-05-04-13</t>
  </si>
  <si>
    <t>CF-P-05-04-14</t>
  </si>
  <si>
    <t>CF-P-05-04-15</t>
  </si>
  <si>
    <t>CF-P-05-04-16</t>
  </si>
  <si>
    <t>CF-P-05-04-17</t>
  </si>
  <si>
    <t>CF-P-05-05-01</t>
  </si>
  <si>
    <t>CF-P-05-05-02</t>
  </si>
  <si>
    <t>CF-P-05-05-03</t>
  </si>
  <si>
    <t>CF-P-05-05-04</t>
  </si>
  <si>
    <t>CF-P-05-05-05</t>
  </si>
  <si>
    <t>CF-P-05-05-06</t>
  </si>
  <si>
    <t>CF-P-05-05-07</t>
  </si>
  <si>
    <t>CF-P-05-05-08</t>
  </si>
  <si>
    <t>CF-P-05-05-09</t>
  </si>
  <si>
    <t>CF-P-05-05-10</t>
  </si>
  <si>
    <t>CF-P-05-05-11</t>
  </si>
  <si>
    <t>CF-P-05-05-12</t>
  </si>
  <si>
    <t>CF-P-05-05-13</t>
  </si>
  <si>
    <t>CF-P-05-05-14</t>
  </si>
  <si>
    <t>CF-P-05-05-15</t>
  </si>
  <si>
    <t>CF-P-05-05-16</t>
  </si>
  <si>
    <t>CF-P-05-05-17</t>
  </si>
  <si>
    <t>CF-P-05-06-01</t>
  </si>
  <si>
    <t>CF-P-05-06-02</t>
  </si>
  <si>
    <t>CF-P-05-06-03</t>
  </si>
  <si>
    <t>CF-P-05-06-04</t>
  </si>
  <si>
    <t>CF-P-05-06-05</t>
  </si>
  <si>
    <t>CF-P-05-06-06</t>
  </si>
  <si>
    <t>CF-P-05-06-07</t>
  </si>
  <si>
    <t>CF-P-05-06-08</t>
  </si>
  <si>
    <t>CF-P-05-06-09</t>
  </si>
  <si>
    <t>CF-P-05-06-10</t>
  </si>
  <si>
    <t>CF-P-05-06-11</t>
  </si>
  <si>
    <t>CF-P-05-06-12</t>
  </si>
  <si>
    <t>CF-P-05-06-13</t>
  </si>
  <si>
    <t>CF-P-05-06-14</t>
  </si>
  <si>
    <t>CF-P-05-06-15</t>
  </si>
  <si>
    <t>CF-P-05-06-16</t>
  </si>
  <si>
    <t>CF-P-05-06-17</t>
  </si>
  <si>
    <t>CF-P-05-07-01</t>
  </si>
  <si>
    <t>CF-P-05-07-02</t>
  </si>
  <si>
    <t>CF-P-05-07-03</t>
  </si>
  <si>
    <t>CF-P-05-07-04</t>
  </si>
  <si>
    <t>CF-P-05-07-05</t>
  </si>
  <si>
    <t>CF-P-05-07-06</t>
  </si>
  <si>
    <t>CF-P-05-07-07</t>
  </si>
  <si>
    <t>CF-P-05-07-08</t>
  </si>
  <si>
    <t>CF-P-05-07-09</t>
  </si>
  <si>
    <t>CF-P-05-07-10</t>
  </si>
  <si>
    <t>CF-P-05-07-11</t>
  </si>
  <si>
    <t>CF-P-05-07-12</t>
  </si>
  <si>
    <t>CF-P-05-07-13</t>
  </si>
  <si>
    <t>CF-P-05-07-14</t>
  </si>
  <si>
    <t>CF-P-05-07-15</t>
  </si>
  <si>
    <t>CF-P-05-07-16</t>
  </si>
  <si>
    <t>CF-P-05-07-17</t>
  </si>
  <si>
    <t>CF-P-05-08-01</t>
  </si>
  <si>
    <t>CF-P-05-08-02</t>
  </si>
  <si>
    <t>CF-P-05-08-03</t>
  </si>
  <si>
    <t>CF-P-05-08-04</t>
  </si>
  <si>
    <t>CF-P-05-08-05</t>
  </si>
  <si>
    <t>CF-P-05-08-06</t>
  </si>
  <si>
    <t>CF-P-05-08-07</t>
  </si>
  <si>
    <t>CF-P-05-08-08</t>
  </si>
  <si>
    <t>CF-P-05-08-09</t>
  </si>
  <si>
    <t>CF-P-05-08-10</t>
  </si>
  <si>
    <t>CF-P-05-08-11</t>
  </si>
  <si>
    <t>CF-P-05-08-12</t>
  </si>
  <si>
    <t>CF-P-05-08-13</t>
  </si>
  <si>
    <t>CF-P-05-08-14</t>
  </si>
  <si>
    <t>CF-P-05-08-15</t>
  </si>
  <si>
    <t>CF-P-05-08-16</t>
  </si>
  <si>
    <t>CF-P-05-08-17</t>
  </si>
  <si>
    <t>CF-P-05-09-01</t>
  </si>
  <si>
    <t>CF-P-05-09-02</t>
  </si>
  <si>
    <t>CF-P-05-09-03</t>
  </si>
  <si>
    <t>CF-P-05-09-04</t>
  </si>
  <si>
    <t>CF-P-05-09-05</t>
  </si>
  <si>
    <t>CF-P-05-09-06</t>
  </si>
  <si>
    <t>CF-P-05-09-07</t>
  </si>
  <si>
    <t>CF-P-05-09-08</t>
  </si>
  <si>
    <t>CF-P-05-09-09</t>
  </si>
  <si>
    <t>CF-P-05-09-10</t>
  </si>
  <si>
    <t>CF-P-05-09-11</t>
  </si>
  <si>
    <t>CF-P-05-09-12</t>
  </si>
  <si>
    <t>CF-P-05-09-13</t>
  </si>
  <si>
    <t>CF-P-05-09-14</t>
  </si>
  <si>
    <t>CF-P-05-09-15</t>
  </si>
  <si>
    <t>CF-P-05-09-16</t>
  </si>
  <si>
    <t>CF-P-05-09-17</t>
  </si>
  <si>
    <t>CF-P-05-10-01</t>
  </si>
  <si>
    <t>CF-P-05-10-02</t>
  </si>
  <si>
    <t>CF-P-05-10-03</t>
  </si>
  <si>
    <t>CF-P-05-10-04</t>
  </si>
  <si>
    <t>CF-P-05-10-05</t>
  </si>
  <si>
    <t>CF-P-05-10-06</t>
  </si>
  <si>
    <t>CF-P-05-10-07</t>
  </si>
  <si>
    <t>CF-P-05-10-08</t>
  </si>
  <si>
    <t>CF-P-05-10-09</t>
  </si>
  <si>
    <t>CF-P-05-10-10</t>
  </si>
  <si>
    <t>CF-P-05-10-11</t>
  </si>
  <si>
    <t>CF-P-05-10-12</t>
  </si>
  <si>
    <t>CF-P-05-10-13</t>
  </si>
  <si>
    <t>CF-P-05-10-14</t>
  </si>
  <si>
    <t>CF-P-05-10-15</t>
  </si>
  <si>
    <t>CF-P-05-10-16</t>
  </si>
  <si>
    <t>CF-P-05-10-17</t>
  </si>
  <si>
    <t>CF-P-05-11-01</t>
  </si>
  <si>
    <t>CF-P-05-11-02</t>
  </si>
  <si>
    <t>CF-P-05-11-03</t>
  </si>
  <si>
    <t>CF-P-05-11-04</t>
  </si>
  <si>
    <t>CF-P-05-11-05</t>
  </si>
  <si>
    <t>CF-P-05-11-06</t>
  </si>
  <si>
    <t>CF-P-05-11-07</t>
  </si>
  <si>
    <t>CF-P-05-11-08</t>
  </si>
  <si>
    <t>CF-P-05-11-09</t>
  </si>
  <si>
    <t>CF-P-05-11-10</t>
  </si>
  <si>
    <t>CF-P-05-11-11</t>
  </si>
  <si>
    <t>CF-P-05-11-12</t>
  </si>
  <si>
    <t>CF-P-05-11-13</t>
  </si>
  <si>
    <t>CF-P-05-11-14</t>
  </si>
  <si>
    <t>CF-P-05-11-15</t>
  </si>
  <si>
    <t>CF-P-05-11-16</t>
  </si>
  <si>
    <t>CF-P-05-11-17</t>
  </si>
  <si>
    <t>CF-P-05-12-01</t>
  </si>
  <si>
    <t>CF-P-05-12-02</t>
  </si>
  <si>
    <t>CF-P-05-12-03</t>
  </si>
  <si>
    <t>CF-P-05-12-04</t>
  </si>
  <si>
    <t>CF-P-05-12-05</t>
  </si>
  <si>
    <t>CF-P-05-12-06</t>
  </si>
  <si>
    <t>CF-P-05-12-07</t>
  </si>
  <si>
    <t>CF-P-05-12-08</t>
  </si>
  <si>
    <t>CF-P-05-12-09</t>
  </si>
  <si>
    <t>CF-P-05-12-10</t>
  </si>
  <si>
    <t>CF-P-05-12-11</t>
  </si>
  <si>
    <t>CF-P-05-12-12</t>
  </si>
  <si>
    <t>CF-P-05-12-13</t>
  </si>
  <si>
    <t>CF-P-05-12-14</t>
  </si>
  <si>
    <t>CF-P-05-12-15</t>
  </si>
  <si>
    <t>CF-P-05-12-16</t>
  </si>
  <si>
    <t>CF-P-05-12-17</t>
  </si>
  <si>
    <t>CF-P-05-13-01</t>
  </si>
  <si>
    <t>CF-P-05-13-02</t>
  </si>
  <si>
    <t>CF-P-05-13-03</t>
  </si>
  <si>
    <t>CF-P-05-13-04</t>
  </si>
  <si>
    <t>CF-P-05-13-05</t>
  </si>
  <si>
    <t>CF-P-05-13-06</t>
  </si>
  <si>
    <t>CF-P-05-13-07</t>
  </si>
  <si>
    <t>CF-P-05-13-08</t>
  </si>
  <si>
    <t>CF-P-05-13-09</t>
  </si>
  <si>
    <t>CF-P-05-13-10</t>
  </si>
  <si>
    <t>CF-P-05-13-11</t>
  </si>
  <si>
    <t>CF-P-05-13-12</t>
  </si>
  <si>
    <t>CF-P-05-13-13</t>
  </si>
  <si>
    <t>CF-P-05-13-14</t>
  </si>
  <si>
    <t>CF-P-05-13-15</t>
  </si>
  <si>
    <t>CF-P-05-13-16</t>
  </si>
  <si>
    <t>CF-P-05-13-17</t>
  </si>
  <si>
    <t>CF-P-05-14-01</t>
  </si>
  <si>
    <t>CF-P-05-14-02</t>
  </si>
  <si>
    <t>CF-P-05-14-03</t>
  </si>
  <si>
    <t>CF-P-05-14-04</t>
  </si>
  <si>
    <t>CF-P-05-14-05</t>
  </si>
  <si>
    <t>CF-P-05-14-06</t>
  </si>
  <si>
    <t>CF-P-05-14-07</t>
  </si>
  <si>
    <t>CF-P-05-14-08</t>
  </si>
  <si>
    <t>CF-P-05-14-09</t>
  </si>
  <si>
    <t>CF-P-05-14-10</t>
  </si>
  <si>
    <t>CF-P-05-14-11</t>
  </si>
  <si>
    <t>CF-P-05-14-12</t>
  </si>
  <si>
    <t>CF-P-05-14-13</t>
  </si>
  <si>
    <t>CF-P-05-14-14</t>
  </si>
  <si>
    <t>CF-P-05-14-15</t>
  </si>
  <si>
    <t>CF-P-05-14-16</t>
  </si>
  <si>
    <t>CF-P-05-14-17</t>
  </si>
  <si>
    <t>CF-P-05-15-01</t>
  </si>
  <si>
    <t>CF-P-05-15-02</t>
  </si>
  <si>
    <t>CF-P-05-15-03</t>
  </si>
  <si>
    <t>CF-P-05-15-04</t>
  </si>
  <si>
    <t>CF-P-05-15-05</t>
  </si>
  <si>
    <t>CF-P-05-15-06</t>
  </si>
  <si>
    <t>CF-P-05-15-07</t>
  </si>
  <si>
    <t>CF-P-05-15-08</t>
  </si>
  <si>
    <t>CF-P-05-15-09</t>
  </si>
  <si>
    <t>CF-P-05-15-10</t>
  </si>
  <si>
    <t>CF-P-05-15-11</t>
  </si>
  <si>
    <t>CF-P-05-15-12</t>
  </si>
  <si>
    <t>CF-P-05-15-13</t>
  </si>
  <si>
    <t>CF-P-05-15-14</t>
  </si>
  <si>
    <t>CF-P-05-15-15</t>
  </si>
  <si>
    <t>CF-P-05-15-16</t>
  </si>
  <si>
    <t>CF-P-05-15-17</t>
  </si>
  <si>
    <t>CF-P-05-16-01</t>
  </si>
  <si>
    <t>CF-P-05-16-02</t>
  </si>
  <si>
    <t>CF-P-05-16-03</t>
  </si>
  <si>
    <t>CF-P-05-16-04</t>
  </si>
  <si>
    <t>CF-P-05-16-05</t>
  </si>
  <si>
    <t>CF-P-05-16-06</t>
  </si>
  <si>
    <t>CF-P-05-16-07</t>
  </si>
  <si>
    <t>CF-P-05-16-08</t>
  </si>
  <si>
    <t>CF-P-05-16-09</t>
  </si>
  <si>
    <t>CF-P-05-16-10</t>
  </si>
  <si>
    <t>CF-P-05-16-11</t>
  </si>
  <si>
    <t>CF-P-05-16-12</t>
  </si>
  <si>
    <t>CF-P-05-16-13</t>
  </si>
  <si>
    <t>CF-P-05-16-14</t>
  </si>
  <si>
    <t>CF-P-05-16-15</t>
  </si>
  <si>
    <t>CF-P-05-16-16</t>
  </si>
  <si>
    <t>CF-P-05-16-17</t>
  </si>
  <si>
    <t>CF-P-05-17-01</t>
  </si>
  <si>
    <t>CF-P-05-17-02</t>
  </si>
  <si>
    <t>CF-P-05-17-03</t>
  </si>
  <si>
    <t>CF-P-05-17-04</t>
  </si>
  <si>
    <t>CF-P-05-17-05</t>
  </si>
  <si>
    <t>CF-P-05-17-06</t>
  </si>
  <si>
    <t>CF-P-05-17-07</t>
  </si>
  <si>
    <t>CF-P-05-17-08</t>
  </si>
  <si>
    <t>CF-P-05-17-09</t>
  </si>
  <si>
    <t>CF-P-05-17-10</t>
  </si>
  <si>
    <t>CF-P-05-17-11</t>
  </si>
  <si>
    <t>CF-P-05-17-12</t>
  </si>
  <si>
    <t>CF-P-05-17-13</t>
  </si>
  <si>
    <t>CF-P-05-17-14</t>
  </si>
  <si>
    <t>CF-P-05-17-15</t>
  </si>
  <si>
    <t>CF-P-05-17-16</t>
  </si>
  <si>
    <t>CF-P-05-17-17</t>
  </si>
  <si>
    <t>CF-P-06-01-01</t>
  </si>
  <si>
    <t>CF-P-06-01-02</t>
  </si>
  <si>
    <t>CF-P-06-01-03</t>
  </si>
  <si>
    <t>CF-P-06-01-04</t>
  </si>
  <si>
    <t>CF-P-06-01-05</t>
  </si>
  <si>
    <t>CF-P-06-01-06</t>
  </si>
  <si>
    <t>CF-P-06-01-07</t>
  </si>
  <si>
    <t>CF-P-06-01-08</t>
  </si>
  <si>
    <t>CF-P-06-01-09</t>
  </si>
  <si>
    <t>CF-P-06-01-10</t>
  </si>
  <si>
    <t>CF-P-06-01-11</t>
  </si>
  <si>
    <t>CF-P-06-01-12</t>
  </si>
  <si>
    <t>CF-P-06-01-13</t>
  </si>
  <si>
    <t>CF-P-06-01-14</t>
  </si>
  <si>
    <t>CF-P-06-01-15</t>
  </si>
  <si>
    <t>CF-P-06-01-16</t>
  </si>
  <si>
    <t>CF-P-06-01-17</t>
  </si>
  <si>
    <t>CF-P-06-02-01</t>
  </si>
  <si>
    <t>CF-P-06-02-02</t>
  </si>
  <si>
    <t>CF-P-06-02-03</t>
  </si>
  <si>
    <t>CF-P-06-02-04</t>
  </si>
  <si>
    <t>CF-P-06-02-05</t>
  </si>
  <si>
    <t>CF-P-06-02-06</t>
  </si>
  <si>
    <t>CF-P-06-02-07</t>
  </si>
  <si>
    <t>CF-P-06-02-08</t>
  </si>
  <si>
    <t>CF-P-06-02-09</t>
  </si>
  <si>
    <t>CF-P-06-02-10</t>
  </si>
  <si>
    <t>CF-P-06-02-11</t>
  </si>
  <si>
    <t>CF-P-06-02-12</t>
  </si>
  <si>
    <t>CF-P-06-02-13</t>
  </si>
  <si>
    <t>CF-P-06-02-14</t>
  </si>
  <si>
    <t>CF-P-06-02-15</t>
  </si>
  <si>
    <t>CF-P-06-02-16</t>
  </si>
  <si>
    <t>CF-P-06-02-17</t>
  </si>
  <si>
    <t>CF-P-06-03-01</t>
  </si>
  <si>
    <t>CF-P-06-03-02</t>
  </si>
  <si>
    <t>CF-P-06-03-03</t>
  </si>
  <si>
    <t>CF-P-06-03-04</t>
  </si>
  <si>
    <t>CF-P-06-03-05</t>
  </si>
  <si>
    <t>CF-P-06-03-06</t>
  </si>
  <si>
    <t>CF-P-06-03-07</t>
  </si>
  <si>
    <t>CF-P-06-03-08</t>
  </si>
  <si>
    <t>CF-P-06-03-09</t>
  </si>
  <si>
    <t>CF-P-06-03-10</t>
  </si>
  <si>
    <t>CF-P-06-03-11</t>
  </si>
  <si>
    <t>CF-P-06-03-12</t>
  </si>
  <si>
    <t>CF-P-06-03-13</t>
  </si>
  <si>
    <t>CF-P-06-03-14</t>
  </si>
  <si>
    <t>CF-P-06-03-15</t>
  </si>
  <si>
    <t>CF-P-06-03-16</t>
  </si>
  <si>
    <t>CF-P-06-03-17</t>
  </si>
  <si>
    <t>CF-P-06-04-01</t>
  </si>
  <si>
    <t>CF-P-06-04-02</t>
  </si>
  <si>
    <t>CF-P-06-04-03</t>
  </si>
  <si>
    <t>CF-P-06-04-04</t>
  </si>
  <si>
    <t>CF-P-06-04-05</t>
  </si>
  <si>
    <t>CF-P-06-04-06</t>
  </si>
  <si>
    <t>CF-P-06-04-07</t>
  </si>
  <si>
    <t>CF-P-06-04-08</t>
  </si>
  <si>
    <t>CF-P-06-04-09</t>
  </si>
  <si>
    <t>CF-P-06-04-10</t>
  </si>
  <si>
    <t>CF-P-06-04-11</t>
  </si>
  <si>
    <t>CF-P-06-04-12</t>
  </si>
  <si>
    <t>CF-P-06-04-13</t>
  </si>
  <si>
    <t>CF-P-06-04-14</t>
  </si>
  <si>
    <t>CF-P-06-04-15</t>
  </si>
  <si>
    <t>CF-P-06-04-16</t>
  </si>
  <si>
    <t>CF-P-06-04-17</t>
  </si>
  <si>
    <t>CF-P-06-05-01</t>
  </si>
  <si>
    <t>CF-P-06-05-02</t>
  </si>
  <si>
    <t>CF-P-06-05-03</t>
  </si>
  <si>
    <t>CF-P-06-05-04</t>
  </si>
  <si>
    <t>CF-P-06-05-05</t>
  </si>
  <si>
    <t>CF-P-06-05-06</t>
  </si>
  <si>
    <t>CF-P-06-05-07</t>
  </si>
  <si>
    <t>CF-P-06-05-08</t>
  </si>
  <si>
    <t>CF-P-06-05-09</t>
  </si>
  <si>
    <t>CF-P-06-05-10</t>
  </si>
  <si>
    <t>CF-P-06-05-11</t>
  </si>
  <si>
    <t>CF-P-06-05-12</t>
  </si>
  <si>
    <t>CF-P-06-05-13</t>
  </si>
  <si>
    <t>CF-P-06-05-14</t>
  </si>
  <si>
    <t>CF-P-06-05-15</t>
  </si>
  <si>
    <t>CF-P-06-05-16</t>
  </si>
  <si>
    <t>CF-P-06-05-17</t>
  </si>
  <si>
    <t>CF-P-06-06-01</t>
  </si>
  <si>
    <t>CF-P-06-06-02</t>
  </si>
  <si>
    <t>CF-P-06-06-03</t>
  </si>
  <si>
    <t>CF-P-06-06-04</t>
  </si>
  <si>
    <t>CF-P-06-06-05</t>
  </si>
  <si>
    <t>CF-P-06-06-06</t>
  </si>
  <si>
    <t>CF-P-06-06-07</t>
  </si>
  <si>
    <t>CF-P-06-06-08</t>
  </si>
  <si>
    <t>CF-P-06-06-09</t>
  </si>
  <si>
    <t>CF-P-06-06-10</t>
  </si>
  <si>
    <t>CF-P-06-06-11</t>
  </si>
  <si>
    <t>CF-P-06-06-12</t>
  </si>
  <si>
    <t>CF-P-06-06-13</t>
  </si>
  <si>
    <t>CF-P-06-06-14</t>
  </si>
  <si>
    <t>CF-P-06-06-15</t>
  </si>
  <si>
    <t>CF-P-06-06-16</t>
  </si>
  <si>
    <t>CF-P-06-06-17</t>
  </si>
  <si>
    <t>CF-P-06-07-01</t>
  </si>
  <si>
    <t>CF-P-06-07-02</t>
  </si>
  <si>
    <t>CF-P-06-07-03</t>
  </si>
  <si>
    <t>CF-P-06-07-04</t>
  </si>
  <si>
    <t>CF-P-06-07-05</t>
  </si>
  <si>
    <t>CF-P-06-07-06</t>
  </si>
  <si>
    <t>CF-P-06-07-07</t>
  </si>
  <si>
    <t>CF-P-06-07-08</t>
  </si>
  <si>
    <t>CF-P-06-07-09</t>
  </si>
  <si>
    <t>CF-P-06-07-10</t>
  </si>
  <si>
    <t>CF-P-06-07-11</t>
  </si>
  <si>
    <t>CF-P-06-07-12</t>
  </si>
  <si>
    <t>CF-P-06-07-13</t>
  </si>
  <si>
    <t>CF-P-06-07-14</t>
  </si>
  <si>
    <t>CF-P-06-07-15</t>
  </si>
  <si>
    <t>CF-P-06-07-16</t>
  </si>
  <si>
    <t>CF-P-06-07-17</t>
  </si>
  <si>
    <t>CF-P-06-08-01</t>
  </si>
  <si>
    <t>CF-P-06-08-02</t>
  </si>
  <si>
    <t>CF-P-06-08-03</t>
  </si>
  <si>
    <t>CF-P-06-08-04</t>
  </si>
  <si>
    <t>CF-P-06-08-05</t>
  </si>
  <si>
    <t>CF-P-06-08-06</t>
  </si>
  <si>
    <t>CF-P-06-08-07</t>
  </si>
  <si>
    <t>CF-P-06-08-08</t>
  </si>
  <si>
    <t>CF-P-06-08-09</t>
  </si>
  <si>
    <t>CF-P-06-08-10</t>
  </si>
  <si>
    <t>CF-P-06-08-11</t>
  </si>
  <si>
    <t>CF-P-06-08-12</t>
  </si>
  <si>
    <t>CF-P-06-08-13</t>
  </si>
  <si>
    <t>CF-P-06-08-14</t>
  </si>
  <si>
    <t>CF-P-06-08-15</t>
  </si>
  <si>
    <t>CF-P-06-08-16</t>
  </si>
  <si>
    <t>CF-P-06-08-17</t>
  </si>
  <si>
    <t>CF-P-06-09-01</t>
  </si>
  <si>
    <t>CF-P-06-09-02</t>
  </si>
  <si>
    <t>CF-P-06-09-03</t>
  </si>
  <si>
    <t>CF-P-06-09-04</t>
  </si>
  <si>
    <t>CF-P-06-09-05</t>
  </si>
  <si>
    <t>CF-P-06-09-06</t>
  </si>
  <si>
    <t>CF-P-06-09-07</t>
  </si>
  <si>
    <t>CF-P-06-09-08</t>
  </si>
  <si>
    <t>CF-P-06-09-09</t>
  </si>
  <si>
    <t>CF-P-06-09-10</t>
  </si>
  <si>
    <t>CF-P-06-09-11</t>
  </si>
  <si>
    <t>CF-P-06-09-12</t>
  </si>
  <si>
    <t>CF-P-06-09-13</t>
  </si>
  <si>
    <t>CF-P-06-09-14</t>
  </si>
  <si>
    <t>CF-P-06-09-15</t>
  </si>
  <si>
    <t>CF-P-06-09-16</t>
  </si>
  <si>
    <t>CF-P-06-09-17</t>
  </si>
  <si>
    <t>CF-P-06-10-01</t>
  </si>
  <si>
    <t>CF-P-06-10-02</t>
  </si>
  <si>
    <t>CF-P-06-10-03</t>
  </si>
  <si>
    <t>CF-P-06-10-04</t>
  </si>
  <si>
    <t>CF-P-06-10-05</t>
  </si>
  <si>
    <t>CF-P-06-10-06</t>
  </si>
  <si>
    <t>CF-P-06-10-07</t>
  </si>
  <si>
    <t>CF-P-06-10-08</t>
  </si>
  <si>
    <t>CF-P-06-10-09</t>
  </si>
  <si>
    <t>CF-P-06-10-10</t>
  </si>
  <si>
    <t>CF-P-06-10-11</t>
  </si>
  <si>
    <t>CF-P-06-10-12</t>
  </si>
  <si>
    <t>CF-P-06-10-13</t>
  </si>
  <si>
    <t>CF-P-06-10-14</t>
  </si>
  <si>
    <t>CF-P-06-10-15</t>
  </si>
  <si>
    <t>CF-P-06-10-16</t>
  </si>
  <si>
    <t>CF-P-06-10-17</t>
  </si>
  <si>
    <t>CF-P-06-11-01</t>
  </si>
  <si>
    <t>CF-P-06-11-02</t>
  </si>
  <si>
    <t>CF-P-06-11-03</t>
  </si>
  <si>
    <t>CF-P-06-11-04</t>
  </si>
  <si>
    <t>CF-P-06-11-05</t>
  </si>
  <si>
    <t>CF-P-06-11-06</t>
  </si>
  <si>
    <t>CF-P-06-11-07</t>
  </si>
  <si>
    <t>CF-P-06-11-08</t>
  </si>
  <si>
    <t>CF-P-06-11-09</t>
  </si>
  <si>
    <t>CF-P-06-11-10</t>
  </si>
  <si>
    <t>CF-P-06-11-11</t>
  </si>
  <si>
    <t>CF-P-06-11-12</t>
  </si>
  <si>
    <t>CF-P-06-11-13</t>
  </si>
  <si>
    <t>CF-P-06-11-14</t>
  </si>
  <si>
    <t>CF-P-06-11-15</t>
  </si>
  <si>
    <t>CF-P-06-11-16</t>
  </si>
  <si>
    <t>CF-P-06-11-17</t>
  </si>
  <si>
    <t>CF-P-06-12-01</t>
  </si>
  <si>
    <t>CF-P-06-12-02</t>
  </si>
  <si>
    <t>CF-P-06-12-03</t>
  </si>
  <si>
    <t>CF-P-06-12-04</t>
  </si>
  <si>
    <t>CF-P-06-12-05</t>
  </si>
  <si>
    <t>CF-P-06-12-06</t>
  </si>
  <si>
    <t>CF-P-06-12-07</t>
  </si>
  <si>
    <t>CF-P-06-12-08</t>
  </si>
  <si>
    <t>CF-P-06-12-09</t>
  </si>
  <si>
    <t>CF-P-06-12-10</t>
  </si>
  <si>
    <t>CF-P-06-12-11</t>
  </si>
  <si>
    <t>CF-P-06-12-12</t>
  </si>
  <si>
    <t>CF-P-06-12-13</t>
  </si>
  <si>
    <t>CF-P-06-12-14</t>
  </si>
  <si>
    <t>CF-P-06-12-15</t>
  </si>
  <si>
    <t>CF-P-06-12-16</t>
  </si>
  <si>
    <t>CF-P-06-12-17</t>
  </si>
  <si>
    <t>CF-P-06-13-01</t>
  </si>
  <si>
    <t>CF-P-06-13-02</t>
  </si>
  <si>
    <t>CF-P-06-13-03</t>
  </si>
  <si>
    <t>CF-P-06-13-04</t>
  </si>
  <si>
    <t>CF-P-06-13-05</t>
  </si>
  <si>
    <t>CF-P-06-13-06</t>
  </si>
  <si>
    <t>CF-P-06-13-07</t>
  </si>
  <si>
    <t>CF-P-06-13-08</t>
  </si>
  <si>
    <t>CF-P-06-13-09</t>
  </si>
  <si>
    <t>CF-P-06-13-10</t>
  </si>
  <si>
    <t>CF-P-06-13-11</t>
  </si>
  <si>
    <t>CF-P-06-13-12</t>
  </si>
  <si>
    <t>CF-P-06-13-13</t>
  </si>
  <si>
    <t>CF-P-06-13-14</t>
  </si>
  <si>
    <t>CF-P-06-13-15</t>
  </si>
  <si>
    <t>CF-P-06-13-16</t>
  </si>
  <si>
    <t>CF-P-06-13-17</t>
  </si>
  <si>
    <t>CF-P-06-14-01</t>
  </si>
  <si>
    <t>CF-P-06-14-02</t>
  </si>
  <si>
    <t>CF-P-06-14-03</t>
  </si>
  <si>
    <t>CF-P-06-14-04</t>
  </si>
  <si>
    <t>CF-P-06-14-05</t>
  </si>
  <si>
    <t>CF-P-06-14-06</t>
  </si>
  <si>
    <t>CF-P-06-14-07</t>
  </si>
  <si>
    <t>CF-P-06-14-08</t>
  </si>
  <si>
    <t>CF-P-06-14-09</t>
  </si>
  <si>
    <t>CF-P-06-14-10</t>
  </si>
  <si>
    <t>CF-P-06-14-11</t>
  </si>
  <si>
    <t>CF-P-06-14-12</t>
  </si>
  <si>
    <t>CF-P-06-14-13</t>
  </si>
  <si>
    <t>CF-P-06-14-14</t>
  </si>
  <si>
    <t>CF-P-06-14-15</t>
  </si>
  <si>
    <t>CF-P-06-14-16</t>
  </si>
  <si>
    <t>CF-P-06-14-17</t>
  </si>
  <si>
    <t>CF-P-06-15-01</t>
  </si>
  <si>
    <t>CF-P-06-15-02</t>
  </si>
  <si>
    <t>CF-P-06-15-03</t>
  </si>
  <si>
    <t>CF-P-06-15-04</t>
  </si>
  <si>
    <t>CF-P-06-15-05</t>
  </si>
  <si>
    <t>CF-P-06-15-06</t>
  </si>
  <si>
    <t>CF-P-06-15-07</t>
  </si>
  <si>
    <t>CF-P-06-15-08</t>
  </si>
  <si>
    <t>CF-P-06-15-09</t>
  </si>
  <si>
    <t>CF-P-06-15-10</t>
  </si>
  <si>
    <t>CF-P-06-15-11</t>
  </si>
  <si>
    <t>CF-P-06-15-12</t>
  </si>
  <si>
    <t>CF-P-06-15-13</t>
  </si>
  <si>
    <t>CF-P-06-15-14</t>
  </si>
  <si>
    <t>CF-P-06-15-15</t>
  </si>
  <si>
    <t>CF-P-06-15-16</t>
  </si>
  <si>
    <t>CF-P-06-15-17</t>
  </si>
  <si>
    <t>CF-P-06-16-01</t>
  </si>
  <si>
    <t>CF-P-06-16-02</t>
  </si>
  <si>
    <t>CF-P-06-16-03</t>
  </si>
  <si>
    <t>CF-P-06-16-04</t>
  </si>
  <si>
    <t>CF-P-06-16-05</t>
  </si>
  <si>
    <t>CF-P-06-16-06</t>
  </si>
  <si>
    <t>CF-P-06-16-07</t>
  </si>
  <si>
    <t>CF-P-06-16-08</t>
  </si>
  <si>
    <t>CF-P-06-16-09</t>
  </si>
  <si>
    <t>CF-P-06-16-10</t>
  </si>
  <si>
    <t>CF-P-06-16-11</t>
  </si>
  <si>
    <t>CF-P-06-16-12</t>
  </si>
  <si>
    <t>CF-P-06-16-13</t>
  </si>
  <si>
    <t>CF-P-06-16-14</t>
  </si>
  <si>
    <t>CF-P-06-16-15</t>
  </si>
  <si>
    <t>CF-P-06-16-16</t>
  </si>
  <si>
    <t>CF-P-06-16-17</t>
  </si>
  <si>
    <t>CF-P-06-17-01</t>
  </si>
  <si>
    <t>CF-P-06-17-02</t>
  </si>
  <si>
    <t>CF-P-06-17-03</t>
  </si>
  <si>
    <t>CF-P-06-17-04</t>
  </si>
  <si>
    <t>CF-P-06-17-05</t>
  </si>
  <si>
    <t>CF-P-06-17-06</t>
  </si>
  <si>
    <t>CF-P-06-17-07</t>
  </si>
  <si>
    <t>CF-P-06-17-08</t>
  </si>
  <si>
    <t>CF-P-06-17-09</t>
  </si>
  <si>
    <t>CF-P-06-17-10</t>
  </si>
  <si>
    <t>CF-P-06-17-11</t>
  </si>
  <si>
    <t>CF-P-06-17-12</t>
  </si>
  <si>
    <t>CF-P-06-17-13</t>
  </si>
  <si>
    <t>CF-P-06-17-14</t>
  </si>
  <si>
    <t>CF-P-06-17-15</t>
  </si>
  <si>
    <t>CF-P-06-17-16</t>
  </si>
  <si>
    <t>CF-P-06-17-17</t>
  </si>
  <si>
    <t>CF-P-07-01-01</t>
  </si>
  <si>
    <t>CF-P-07-01-02</t>
  </si>
  <si>
    <t>CF-P-07-01-03</t>
  </si>
  <si>
    <t>CF-P-07-01-04</t>
  </si>
  <si>
    <t>CF-P-07-01-05</t>
  </si>
  <si>
    <t>CF-P-07-01-06</t>
  </si>
  <si>
    <t>CF-P-07-01-07</t>
  </si>
  <si>
    <t>CF-P-07-01-08</t>
  </si>
  <si>
    <t>CF-P-07-01-09</t>
  </si>
  <si>
    <t>CF-P-07-01-10</t>
  </si>
  <si>
    <t>CF-P-07-01-11</t>
  </si>
  <si>
    <t>CF-P-07-01-12</t>
  </si>
  <si>
    <t>CF-P-07-01-13</t>
  </si>
  <si>
    <t>CF-P-07-01-14</t>
  </si>
  <si>
    <t>CF-P-07-01-15</t>
  </si>
  <si>
    <t>CF-P-07-01-16</t>
  </si>
  <si>
    <t>CF-P-07-01-17</t>
  </si>
  <si>
    <t>CF-P-07-02-01</t>
  </si>
  <si>
    <t>CF-P-07-02-02</t>
  </si>
  <si>
    <t>CF-P-07-02-03</t>
  </si>
  <si>
    <t>CF-P-07-02-04</t>
  </si>
  <si>
    <t>CF-P-07-02-05</t>
  </si>
  <si>
    <t>CF-P-07-02-06</t>
  </si>
  <si>
    <t>CF-P-07-02-07</t>
  </si>
  <si>
    <t>CF-P-07-02-08</t>
  </si>
  <si>
    <t>CF-P-07-02-09</t>
  </si>
  <si>
    <t>CF-P-07-02-10</t>
  </si>
  <si>
    <t>CF-P-07-02-11</t>
  </si>
  <si>
    <t>CF-P-07-02-12</t>
  </si>
  <si>
    <t>CF-P-07-02-13</t>
  </si>
  <si>
    <t>CF-P-07-02-14</t>
  </si>
  <si>
    <t>CF-P-07-02-15</t>
  </si>
  <si>
    <t>CF-P-07-02-16</t>
  </si>
  <si>
    <t>CF-P-07-02-17</t>
  </si>
  <si>
    <t>CF-P-07-03-01</t>
  </si>
  <si>
    <t>CF-P-07-03-02</t>
  </si>
  <si>
    <t>CF-P-07-03-03</t>
  </si>
  <si>
    <t>CF-P-07-03-04</t>
  </si>
  <si>
    <t>CF-P-07-03-05</t>
  </si>
  <si>
    <t>CF-P-07-03-06</t>
  </si>
  <si>
    <t>CF-P-07-03-07</t>
  </si>
  <si>
    <t>CF-P-07-03-08</t>
  </si>
  <si>
    <t>CF-P-07-03-09</t>
  </si>
  <si>
    <t>CF-P-07-03-10</t>
  </si>
  <si>
    <t>CF-P-07-03-11</t>
  </si>
  <si>
    <t>CF-P-07-03-12</t>
  </si>
  <si>
    <t>CF-P-07-03-13</t>
  </si>
  <si>
    <t>CF-P-07-03-14</t>
  </si>
  <si>
    <t>CF-P-07-03-15</t>
  </si>
  <si>
    <t>CF-P-07-03-16</t>
  </si>
  <si>
    <t>CF-P-07-03-17</t>
  </si>
  <si>
    <t>CF-P-07-04-01</t>
  </si>
  <si>
    <t>CF-P-07-04-02</t>
  </si>
  <si>
    <t>CF-P-07-04-03</t>
  </si>
  <si>
    <t>CF-P-07-04-04</t>
  </si>
  <si>
    <t>CF-P-07-04-05</t>
  </si>
  <si>
    <t>CF-P-07-04-06</t>
  </si>
  <si>
    <t>CF-P-07-04-07</t>
  </si>
  <si>
    <t>CF-P-07-04-08</t>
  </si>
  <si>
    <t>CF-P-07-04-09</t>
  </si>
  <si>
    <t>CF-P-07-04-10</t>
  </si>
  <si>
    <t>CF-P-07-04-11</t>
  </si>
  <si>
    <t>CF-P-07-04-12</t>
  </si>
  <si>
    <t>CF-P-07-04-13</t>
  </si>
  <si>
    <t>CF-P-07-04-14</t>
  </si>
  <si>
    <t>CF-P-07-04-15</t>
  </si>
  <si>
    <t>CF-P-07-04-16</t>
  </si>
  <si>
    <t>CF-P-07-04-17</t>
  </si>
  <si>
    <t>CF-P-07-05-01</t>
  </si>
  <si>
    <t>CF-P-07-05-02</t>
  </si>
  <si>
    <t>CF-P-07-05-03</t>
  </si>
  <si>
    <t>CF-P-07-05-04</t>
  </si>
  <si>
    <t>CF-P-07-05-05</t>
  </si>
  <si>
    <t>CF-P-07-05-06</t>
  </si>
  <si>
    <t>CF-P-07-05-07</t>
  </si>
  <si>
    <t>CF-P-07-05-08</t>
  </si>
  <si>
    <t>CF-P-07-05-09</t>
  </si>
  <si>
    <t>CF-P-07-05-10</t>
  </si>
  <si>
    <t>CF-P-07-05-11</t>
  </si>
  <si>
    <t>CF-P-07-05-12</t>
  </si>
  <si>
    <t>CF-P-07-05-13</t>
  </si>
  <si>
    <t>CF-P-07-05-14</t>
  </si>
  <si>
    <t>CF-P-07-05-15</t>
  </si>
  <si>
    <t>CF-P-07-05-16</t>
  </si>
  <si>
    <t>CF-P-07-05-17</t>
  </si>
  <si>
    <t>CF-P-07-06-01</t>
  </si>
  <si>
    <t>CF-P-07-06-02</t>
  </si>
  <si>
    <t>CF-P-07-06-03</t>
  </si>
  <si>
    <t>CF-P-07-06-04</t>
  </si>
  <si>
    <t>CF-P-07-06-05</t>
  </si>
  <si>
    <t>CF-P-07-06-06</t>
  </si>
  <si>
    <t>CF-P-07-06-07</t>
  </si>
  <si>
    <t>CF-P-07-06-08</t>
  </si>
  <si>
    <t>CF-P-07-06-09</t>
  </si>
  <si>
    <t>CF-P-07-06-10</t>
  </si>
  <si>
    <t>CF-P-07-06-11</t>
  </si>
  <si>
    <t>CF-P-07-06-12</t>
  </si>
  <si>
    <t>CF-P-07-06-13</t>
  </si>
  <si>
    <t>CF-P-07-06-14</t>
  </si>
  <si>
    <t>CF-P-07-06-15</t>
  </si>
  <si>
    <t>CF-P-07-06-16</t>
  </si>
  <si>
    <t>CF-P-07-06-17</t>
  </si>
  <si>
    <t>CF-P-07-07-01</t>
  </si>
  <si>
    <t>CF-P-07-07-02</t>
  </si>
  <si>
    <t>CF-P-07-07-03</t>
  </si>
  <si>
    <t>CF-P-07-07-04</t>
  </si>
  <si>
    <t>CF-P-07-07-05</t>
  </si>
  <si>
    <t>CF-P-07-07-06</t>
  </si>
  <si>
    <t>CF-P-07-07-07</t>
  </si>
  <si>
    <t>CF-P-07-07-08</t>
  </si>
  <si>
    <t>CF-P-07-07-09</t>
  </si>
  <si>
    <t>CF-P-07-07-10</t>
  </si>
  <si>
    <t>CF-P-07-07-11</t>
  </si>
  <si>
    <t>CF-P-07-07-12</t>
  </si>
  <si>
    <t>CF-P-07-07-13</t>
  </si>
  <si>
    <t>CF-P-07-07-14</t>
  </si>
  <si>
    <t>CF-P-07-07-15</t>
  </si>
  <si>
    <t>CF-P-07-07-16</t>
  </si>
  <si>
    <t>CF-P-07-07-17</t>
  </si>
  <si>
    <t>CF-P-07-08-01</t>
  </si>
  <si>
    <t>CF-P-07-08-02</t>
  </si>
  <si>
    <t>CF-P-07-08-03</t>
  </si>
  <si>
    <t>CF-P-07-08-04</t>
  </si>
  <si>
    <t>CF-P-07-08-05</t>
  </si>
  <si>
    <t>CF-P-07-08-06</t>
  </si>
  <si>
    <t>CF-P-07-08-07</t>
  </si>
  <si>
    <t>CF-P-07-08-08</t>
  </si>
  <si>
    <t>CF-P-07-08-09</t>
  </si>
  <si>
    <t>CF-P-07-08-10</t>
  </si>
  <si>
    <t>CF-P-07-08-11</t>
  </si>
  <si>
    <t>CF-P-07-08-12</t>
  </si>
  <si>
    <t>CF-P-07-08-13</t>
  </si>
  <si>
    <t>CF-P-07-08-14</t>
  </si>
  <si>
    <t>CF-P-07-08-15</t>
  </si>
  <si>
    <t>CF-P-07-08-16</t>
  </si>
  <si>
    <t>CF-P-07-08-17</t>
  </si>
  <si>
    <t>CF-P-07-09-01</t>
  </si>
  <si>
    <t>CF-P-07-09-02</t>
  </si>
  <si>
    <t>CF-P-07-09-03</t>
  </si>
  <si>
    <t>CF-P-07-09-04</t>
  </si>
  <si>
    <t>CF-P-07-09-05</t>
  </si>
  <si>
    <t>CF-P-07-09-06</t>
  </si>
  <si>
    <t>CF-P-07-09-07</t>
  </si>
  <si>
    <t>CF-P-07-09-08</t>
  </si>
  <si>
    <t>CF-P-07-09-09</t>
  </si>
  <si>
    <t>CF-P-07-09-10</t>
  </si>
  <si>
    <t>CF-P-07-09-11</t>
  </si>
  <si>
    <t>CF-P-07-09-12</t>
  </si>
  <si>
    <t>CF-P-07-09-13</t>
  </si>
  <si>
    <t>CF-P-07-09-14</t>
  </si>
  <si>
    <t>CF-P-07-09-15</t>
  </si>
  <si>
    <t>CF-P-07-09-16</t>
  </si>
  <si>
    <t>CF-P-07-09-17</t>
  </si>
  <si>
    <t>CF-P-07-10-01</t>
  </si>
  <si>
    <t>CF-P-07-10-02</t>
  </si>
  <si>
    <t>CF-P-07-10-03</t>
  </si>
  <si>
    <t>CF-P-07-10-04</t>
  </si>
  <si>
    <t>CF-P-07-10-05</t>
  </si>
  <si>
    <t>CF-P-07-10-06</t>
  </si>
  <si>
    <t>CF-P-07-10-07</t>
  </si>
  <si>
    <t>CF-P-07-10-08</t>
  </si>
  <si>
    <t>CF-P-07-10-09</t>
  </si>
  <si>
    <t>CF-P-07-10-10</t>
  </si>
  <si>
    <t>CF-P-07-10-11</t>
  </si>
  <si>
    <t>CF-P-07-10-12</t>
  </si>
  <si>
    <t>CF-P-07-10-13</t>
  </si>
  <si>
    <t>CF-P-07-10-14</t>
  </si>
  <si>
    <t>CF-P-07-10-15</t>
  </si>
  <si>
    <t>CF-P-07-10-16</t>
  </si>
  <si>
    <t>CF-P-07-10-17</t>
  </si>
  <si>
    <t>CF-P-07-11-01</t>
  </si>
  <si>
    <t>CF-P-07-11-02</t>
  </si>
  <si>
    <t>CF-P-07-11-03</t>
  </si>
  <si>
    <t>CF-P-07-11-04</t>
  </si>
  <si>
    <t>CF-P-07-11-05</t>
  </si>
  <si>
    <t>CF-P-07-11-06</t>
  </si>
  <si>
    <t>CF-P-07-11-07</t>
  </si>
  <si>
    <t>CF-P-07-11-08</t>
  </si>
  <si>
    <t>CF-P-07-11-09</t>
  </si>
  <si>
    <t>CF-P-07-11-10</t>
  </si>
  <si>
    <t>CF-P-07-11-11</t>
  </si>
  <si>
    <t>CF-P-07-11-12</t>
  </si>
  <si>
    <t>CF-P-07-11-13</t>
  </si>
  <si>
    <t>CF-P-07-11-14</t>
  </si>
  <si>
    <t>CF-P-07-11-15</t>
  </si>
  <si>
    <t>CF-P-07-11-16</t>
  </si>
  <si>
    <t>CF-P-07-11-17</t>
  </si>
  <si>
    <t>CF-P-07-12-01</t>
  </si>
  <si>
    <t>CF-P-07-12-02</t>
  </si>
  <si>
    <t>CF-P-07-12-03</t>
  </si>
  <si>
    <t>CF-P-07-12-04</t>
  </si>
  <si>
    <t>CF-P-07-12-05</t>
  </si>
  <si>
    <t>CF-P-07-12-06</t>
  </si>
  <si>
    <t>CF-P-07-12-07</t>
  </si>
  <si>
    <t>CF-P-07-12-08</t>
  </si>
  <si>
    <t>CF-P-07-12-09</t>
  </si>
  <si>
    <t>CF-P-07-12-10</t>
  </si>
  <si>
    <t>CF-P-07-12-11</t>
  </si>
  <si>
    <t>CF-P-07-12-12</t>
  </si>
  <si>
    <t>CF-P-07-12-13</t>
  </si>
  <si>
    <t>CF-P-07-12-14</t>
  </si>
  <si>
    <t>CF-P-07-12-15</t>
  </si>
  <si>
    <t>CF-P-07-12-16</t>
  </si>
  <si>
    <t>CF-P-07-12-17</t>
  </si>
  <si>
    <t>CF-P-07-13-01</t>
  </si>
  <si>
    <t>CF-P-07-13-02</t>
  </si>
  <si>
    <t>CF-P-07-13-03</t>
  </si>
  <si>
    <t>CF-P-07-13-04</t>
  </si>
  <si>
    <t>CF-P-07-13-05</t>
  </si>
  <si>
    <t>CF-P-07-13-06</t>
  </si>
  <si>
    <t>CF-P-07-13-07</t>
  </si>
  <si>
    <t>CF-P-07-13-08</t>
  </si>
  <si>
    <t>CF-P-07-13-09</t>
  </si>
  <si>
    <t>CF-P-07-13-10</t>
  </si>
  <si>
    <t>CF-P-07-13-11</t>
  </si>
  <si>
    <t>CF-P-07-13-12</t>
  </si>
  <si>
    <t>CF-P-07-13-13</t>
  </si>
  <si>
    <t>CF-P-07-13-14</t>
  </si>
  <si>
    <t>CF-P-07-13-15</t>
  </si>
  <si>
    <t>CF-P-07-13-16</t>
  </si>
  <si>
    <t>CF-P-07-13-17</t>
  </si>
  <si>
    <t>CF-P-07-14-01</t>
  </si>
  <si>
    <t>CF-P-07-14-02</t>
  </si>
  <si>
    <t>CF-P-07-14-03</t>
  </si>
  <si>
    <t>CF-P-07-14-04</t>
  </si>
  <si>
    <t>CF-P-07-14-05</t>
  </si>
  <si>
    <t>CF-P-07-14-06</t>
  </si>
  <si>
    <t>CF-P-07-14-07</t>
  </si>
  <si>
    <t>CF-P-07-14-08</t>
  </si>
  <si>
    <t>CF-P-07-14-09</t>
  </si>
  <si>
    <t>CF-P-07-14-10</t>
  </si>
  <si>
    <t>CF-P-07-14-11</t>
  </si>
  <si>
    <t>CF-P-07-14-12</t>
  </si>
  <si>
    <t>CF-P-07-14-13</t>
  </si>
  <si>
    <t>CF-P-07-14-14</t>
  </si>
  <si>
    <t>CF-P-07-14-15</t>
  </si>
  <si>
    <t>CF-P-07-14-16</t>
  </si>
  <si>
    <t>CF-P-07-14-17</t>
  </si>
  <si>
    <t>CF-P-07-15-01</t>
  </si>
  <si>
    <t>CF-P-07-15-02</t>
  </si>
  <si>
    <t>CF-P-07-15-03</t>
  </si>
  <si>
    <t>CF-P-07-15-04</t>
  </si>
  <si>
    <t>CF-P-07-15-05</t>
  </si>
  <si>
    <t>CF-P-07-15-06</t>
  </si>
  <si>
    <t>CF-P-07-15-07</t>
  </si>
  <si>
    <t>CF-P-07-15-08</t>
  </si>
  <si>
    <t>CF-P-07-15-09</t>
  </si>
  <si>
    <t>CF-P-07-15-10</t>
  </si>
  <si>
    <t>CF-P-07-15-11</t>
  </si>
  <si>
    <t>CF-P-07-15-12</t>
  </si>
  <si>
    <t>CF-P-07-15-13</t>
  </si>
  <si>
    <t>CF-P-07-15-14</t>
  </si>
  <si>
    <t>CF-P-07-15-15</t>
  </si>
  <si>
    <t>CF-P-07-15-16</t>
  </si>
  <si>
    <t>CF-P-07-15-17</t>
  </si>
  <si>
    <t>CF-P-07-16-01</t>
  </si>
  <si>
    <t>CF-P-07-16-02</t>
  </si>
  <si>
    <t>CF-P-07-16-03</t>
  </si>
  <si>
    <t>CF-P-07-16-04</t>
  </si>
  <si>
    <t>CF-P-07-16-05</t>
  </si>
  <si>
    <t>CF-P-07-16-06</t>
  </si>
  <si>
    <t>CF-P-07-16-07</t>
  </si>
  <si>
    <t>CF-P-07-16-08</t>
  </si>
  <si>
    <t>CF-P-07-16-09</t>
  </si>
  <si>
    <t>CF-P-07-16-10</t>
  </si>
  <si>
    <t>CF-P-07-16-11</t>
  </si>
  <si>
    <t>CF-P-07-16-12</t>
  </si>
  <si>
    <t>CF-P-07-16-13</t>
  </si>
  <si>
    <t>CF-P-07-16-14</t>
  </si>
  <si>
    <t>CF-P-07-16-15</t>
  </si>
  <si>
    <t>CF-P-07-16-16</t>
  </si>
  <si>
    <t>CF-P-07-16-17</t>
  </si>
  <si>
    <t>CF-P-07-17-01</t>
  </si>
  <si>
    <t>CF-P-07-17-02</t>
  </si>
  <si>
    <t>CF-P-07-17-03</t>
  </si>
  <si>
    <t>CF-P-07-17-04</t>
  </si>
  <si>
    <t>CF-P-07-17-05</t>
  </si>
  <si>
    <t>CF-P-07-17-06</t>
  </si>
  <si>
    <t>CF-P-07-17-07</t>
  </si>
  <si>
    <t>CF-P-07-17-08</t>
  </si>
  <si>
    <t>CF-P-07-17-09</t>
  </si>
  <si>
    <t>CF-P-07-17-10</t>
  </si>
  <si>
    <t>CF-P-07-17-11</t>
  </si>
  <si>
    <t>CF-P-07-17-12</t>
  </si>
  <si>
    <t>CF-P-07-17-13</t>
  </si>
  <si>
    <t>CF-P-07-17-14</t>
  </si>
  <si>
    <t>CF-P-07-17-15</t>
  </si>
  <si>
    <t>CF-P-07-17-16</t>
  </si>
  <si>
    <t>CF-P-07-17-17</t>
  </si>
  <si>
    <t>CF-P-08-01-01</t>
  </si>
  <si>
    <t>CF-P-08-01-02</t>
  </si>
  <si>
    <t>CF-P-08-01-03</t>
  </si>
  <si>
    <t>CF-P-08-01-04</t>
  </si>
  <si>
    <t>CF-P-08-01-05</t>
  </si>
  <si>
    <t>CF-P-08-01-06</t>
  </si>
  <si>
    <t>CF-P-08-01-07</t>
  </si>
  <si>
    <t>CF-P-08-01-08</t>
  </si>
  <si>
    <t>CF-P-08-01-09</t>
  </si>
  <si>
    <t>CF-P-08-01-10</t>
  </si>
  <si>
    <t>CF-P-08-01-11</t>
  </si>
  <si>
    <t>CF-P-08-01-12</t>
  </si>
  <si>
    <t>CF-P-08-01-13</t>
  </si>
  <si>
    <t>CF-P-08-01-14</t>
  </si>
  <si>
    <t>CF-P-08-01-15</t>
  </si>
  <si>
    <t>CF-P-08-01-16</t>
  </si>
  <si>
    <t>CF-P-08-01-17</t>
  </si>
  <si>
    <t>CF-P-08-02-01</t>
  </si>
  <si>
    <t>CF-P-08-02-02</t>
  </si>
  <si>
    <t>CF-P-08-02-03</t>
  </si>
  <si>
    <t>CF-P-08-02-04</t>
  </si>
  <si>
    <t>CF-P-08-02-05</t>
  </si>
  <si>
    <t>CF-P-08-02-06</t>
  </si>
  <si>
    <t>CF-P-08-02-07</t>
  </si>
  <si>
    <t>CF-P-08-02-08</t>
  </si>
  <si>
    <t>CF-P-08-02-09</t>
  </si>
  <si>
    <t>CF-P-08-02-10</t>
  </si>
  <si>
    <t>CF-P-08-02-11</t>
  </si>
  <si>
    <t>CF-P-08-02-12</t>
  </si>
  <si>
    <t>CF-P-08-02-13</t>
  </si>
  <si>
    <t>CF-P-08-02-14</t>
  </si>
  <si>
    <t>CF-P-08-02-15</t>
  </si>
  <si>
    <t>CF-P-08-02-16</t>
  </si>
  <si>
    <t>CF-P-08-02-17</t>
  </si>
  <si>
    <t>CF-P-08-03-01</t>
  </si>
  <si>
    <t>CF-P-08-03-02</t>
  </si>
  <si>
    <t>CF-P-08-03-03</t>
  </si>
  <si>
    <t>CF-P-08-03-04</t>
  </si>
  <si>
    <t>CF-P-08-03-05</t>
  </si>
  <si>
    <t>CF-P-08-03-06</t>
  </si>
  <si>
    <t>CF-P-08-03-07</t>
  </si>
  <si>
    <t>CF-P-08-03-08</t>
  </si>
  <si>
    <t>CF-P-08-03-09</t>
  </si>
  <si>
    <t>CF-P-08-03-10</t>
  </si>
  <si>
    <t>CF-P-08-03-11</t>
  </si>
  <si>
    <t>CF-P-08-03-12</t>
  </si>
  <si>
    <t>CF-P-08-03-13</t>
  </si>
  <si>
    <t>CF-P-08-03-14</t>
  </si>
  <si>
    <t>CF-P-08-03-15</t>
  </si>
  <si>
    <t>CF-P-08-03-16</t>
  </si>
  <si>
    <t>CF-P-08-03-17</t>
  </si>
  <si>
    <t>CF-P-08-04-01</t>
  </si>
  <si>
    <t>CF-P-08-04-02</t>
  </si>
  <si>
    <t>CF-P-08-04-03</t>
  </si>
  <si>
    <t>CF-P-08-04-04</t>
  </si>
  <si>
    <t>CF-P-08-04-05</t>
  </si>
  <si>
    <t>CF-P-08-04-06</t>
  </si>
  <si>
    <t>CF-P-08-04-07</t>
  </si>
  <si>
    <t>CF-P-08-04-08</t>
  </si>
  <si>
    <t>CF-P-08-04-09</t>
  </si>
  <si>
    <t>CF-P-08-04-10</t>
  </si>
  <si>
    <t>CF-P-08-04-11</t>
  </si>
  <si>
    <t>CF-P-08-04-12</t>
  </si>
  <si>
    <t>CF-P-08-04-13</t>
  </si>
  <si>
    <t>CF-P-08-04-14</t>
  </si>
  <si>
    <t>CF-P-08-04-15</t>
  </si>
  <si>
    <t>CF-P-08-04-16</t>
  </si>
  <si>
    <t>CF-P-08-04-17</t>
  </si>
  <si>
    <t>CF-P-08-05-01</t>
  </si>
  <si>
    <t>CF-P-08-05-02</t>
  </si>
  <si>
    <t>CF-P-08-05-03</t>
  </si>
  <si>
    <t>CF-P-08-05-04</t>
  </si>
  <si>
    <t>CF-P-08-05-05</t>
  </si>
  <si>
    <t>CF-P-08-05-06</t>
  </si>
  <si>
    <t>CF-P-08-05-07</t>
  </si>
  <si>
    <t>CF-P-08-05-08</t>
  </si>
  <si>
    <t>CF-P-08-05-09</t>
  </si>
  <si>
    <t>CF-P-08-05-10</t>
  </si>
  <si>
    <t>CF-P-08-05-11</t>
  </si>
  <si>
    <t>CF-P-08-05-12</t>
  </si>
  <si>
    <t>CF-P-08-05-13</t>
  </si>
  <si>
    <t>CF-P-08-05-14</t>
  </si>
  <si>
    <t>CF-P-08-05-15</t>
  </si>
  <si>
    <t>CF-P-08-05-16</t>
  </si>
  <si>
    <t>CF-P-08-05-17</t>
  </si>
  <si>
    <t>CF-P-08-06-01</t>
  </si>
  <si>
    <t>CF-P-08-06-02</t>
  </si>
  <si>
    <t>CF-P-08-06-03</t>
  </si>
  <si>
    <t>CF-P-08-06-04</t>
  </si>
  <si>
    <t>CF-P-08-06-05</t>
  </si>
  <si>
    <t>CF-P-08-06-06</t>
  </si>
  <si>
    <t>CF-P-08-06-07</t>
  </si>
  <si>
    <t>CF-P-08-06-08</t>
  </si>
  <si>
    <t>CF-P-08-06-09</t>
  </si>
  <si>
    <t>CF-P-08-06-10</t>
  </si>
  <si>
    <t>CF-P-08-06-11</t>
  </si>
  <si>
    <t>CF-P-08-06-12</t>
  </si>
  <si>
    <t>CF-P-08-06-13</t>
  </si>
  <si>
    <t>CF-P-08-06-14</t>
  </si>
  <si>
    <t>CF-P-08-06-15</t>
  </si>
  <si>
    <t>CF-P-08-06-16</t>
  </si>
  <si>
    <t>CF-P-08-06-17</t>
  </si>
  <si>
    <t>CF-P-08-07-01</t>
  </si>
  <si>
    <t>CF-P-08-07-02</t>
  </si>
  <si>
    <t>CF-P-08-07-03</t>
  </si>
  <si>
    <t>CF-P-08-07-04</t>
  </si>
  <si>
    <t>CF-P-08-07-05</t>
  </si>
  <si>
    <t>CF-P-08-07-06</t>
  </si>
  <si>
    <t>CF-P-08-07-07</t>
  </si>
  <si>
    <t>CF-P-08-07-08</t>
  </si>
  <si>
    <t>CF-P-08-07-09</t>
  </si>
  <si>
    <t>CF-P-08-07-10</t>
  </si>
  <si>
    <t>CF-P-08-07-11</t>
  </si>
  <si>
    <t>CF-P-08-07-12</t>
  </si>
  <si>
    <t>CF-P-08-07-13</t>
  </si>
  <si>
    <t>CF-P-08-07-14</t>
  </si>
  <si>
    <t>CF-P-08-07-15</t>
  </si>
  <si>
    <t>CF-P-08-07-16</t>
  </si>
  <si>
    <t>CF-P-08-07-17</t>
  </si>
  <si>
    <t>CF-P-08-08-01</t>
  </si>
  <si>
    <t>CF-P-08-08-02</t>
  </si>
  <si>
    <t>CF-P-08-08-03</t>
  </si>
  <si>
    <t>CF-P-08-08-04</t>
  </si>
  <si>
    <t>CF-P-08-08-05</t>
  </si>
  <si>
    <t>CF-P-08-08-06</t>
  </si>
  <si>
    <t>CF-P-08-08-07</t>
  </si>
  <si>
    <t>CF-P-08-08-08</t>
  </si>
  <si>
    <t>CF-P-08-08-09</t>
  </si>
  <si>
    <t>CF-P-08-08-10</t>
  </si>
  <si>
    <t>CF-P-08-08-11</t>
  </si>
  <si>
    <t>CF-P-08-08-12</t>
  </si>
  <si>
    <t>CF-P-08-08-13</t>
  </si>
  <si>
    <t>CF-P-08-08-14</t>
  </si>
  <si>
    <t>CF-P-08-08-15</t>
  </si>
  <si>
    <t>CF-P-08-08-16</t>
  </si>
  <si>
    <t>CF-P-08-08-17</t>
  </si>
  <si>
    <t>CF-P-08-09-01</t>
  </si>
  <si>
    <t>CF-P-08-09-02</t>
  </si>
  <si>
    <t>CF-P-08-09-03</t>
  </si>
  <si>
    <t>CF-P-08-09-04</t>
  </si>
  <si>
    <t>CF-P-08-09-05</t>
  </si>
  <si>
    <t>CF-P-08-09-06</t>
  </si>
  <si>
    <t>CF-P-08-09-07</t>
  </si>
  <si>
    <t>CF-P-08-09-08</t>
  </si>
  <si>
    <t>CF-P-08-09-09</t>
  </si>
  <si>
    <t>CF-P-08-09-10</t>
  </si>
  <si>
    <t>CF-P-08-09-11</t>
  </si>
  <si>
    <t>CF-P-08-09-12</t>
  </si>
  <si>
    <t>CF-P-08-09-13</t>
  </si>
  <si>
    <t>CF-P-08-09-14</t>
  </si>
  <si>
    <t>CF-P-08-09-15</t>
  </si>
  <si>
    <t>CF-P-08-09-16</t>
  </si>
  <si>
    <t>CF-P-08-09-17</t>
  </si>
  <si>
    <t>CF-P-08-10-01</t>
  </si>
  <si>
    <t>CF-P-08-10-02</t>
  </si>
  <si>
    <t>CF-P-08-10-03</t>
  </si>
  <si>
    <t>CF-P-08-10-04</t>
  </si>
  <si>
    <t>CF-P-08-10-05</t>
  </si>
  <si>
    <t>CF-P-08-10-06</t>
  </si>
  <si>
    <t>CF-P-08-10-07</t>
  </si>
  <si>
    <t>CF-P-08-10-08</t>
  </si>
  <si>
    <t>CF-P-08-10-09</t>
  </si>
  <si>
    <t>CF-P-08-10-10</t>
  </si>
  <si>
    <t>CF-P-08-10-11</t>
  </si>
  <si>
    <t>CF-P-08-10-12</t>
  </si>
  <si>
    <t>CF-P-08-10-13</t>
  </si>
  <si>
    <t>CF-P-08-10-14</t>
  </si>
  <si>
    <t>CF-P-08-10-15</t>
  </si>
  <si>
    <t>CF-P-08-10-16</t>
  </si>
  <si>
    <t>CF-P-08-10-17</t>
  </si>
  <si>
    <t>CF-P-08-11-01</t>
  </si>
  <si>
    <t>CF-P-08-11-02</t>
  </si>
  <si>
    <t>CF-P-08-11-03</t>
  </si>
  <si>
    <t>CF-P-08-11-04</t>
  </si>
  <si>
    <t>CF-P-08-11-05</t>
  </si>
  <si>
    <t>CF-P-08-11-06</t>
  </si>
  <si>
    <t>CF-P-08-11-07</t>
  </si>
  <si>
    <t>CF-P-08-11-08</t>
  </si>
  <si>
    <t>CF-P-08-11-09</t>
  </si>
  <si>
    <t>CF-P-08-11-10</t>
  </si>
  <si>
    <t>CF-P-08-11-11</t>
  </si>
  <si>
    <t>CF-P-08-11-12</t>
  </si>
  <si>
    <t>CF-P-08-11-13</t>
  </si>
  <si>
    <t>CF-P-08-11-14</t>
  </si>
  <si>
    <t>CF-P-08-11-15</t>
  </si>
  <si>
    <t>CF-P-08-11-16</t>
  </si>
  <si>
    <t>CF-P-08-11-17</t>
  </si>
  <si>
    <t>CF-P-08-12-01</t>
  </si>
  <si>
    <t>CF-P-08-12-02</t>
  </si>
  <si>
    <t>CF-P-08-12-03</t>
  </si>
  <si>
    <t>CF-P-08-12-04</t>
  </si>
  <si>
    <t>CF-P-08-12-05</t>
  </si>
  <si>
    <t>CF-P-08-12-06</t>
  </si>
  <si>
    <t>CF-P-08-12-07</t>
  </si>
  <si>
    <t>CF-P-08-12-08</t>
  </si>
  <si>
    <t>CF-P-08-12-09</t>
  </si>
  <si>
    <t>CF-P-08-12-10</t>
  </si>
  <si>
    <t>CF-P-08-12-11</t>
  </si>
  <si>
    <t>CF-P-08-12-12</t>
  </si>
  <si>
    <t>CF-P-08-12-13</t>
  </si>
  <si>
    <t>CF-P-08-12-14</t>
  </si>
  <si>
    <t>CF-P-08-12-15</t>
  </si>
  <si>
    <t>CF-P-08-12-16</t>
  </si>
  <si>
    <t>CF-P-08-12-17</t>
  </si>
  <si>
    <t>CF-P-08-13-01</t>
  </si>
  <si>
    <t>CF-P-08-13-02</t>
  </si>
  <si>
    <t>CF-P-08-13-03</t>
  </si>
  <si>
    <t>CF-P-08-13-04</t>
  </si>
  <si>
    <t>CF-P-08-13-05</t>
  </si>
  <si>
    <t>CF-P-08-13-06</t>
  </si>
  <si>
    <t>CF-P-08-13-07</t>
  </si>
  <si>
    <t>CF-P-08-13-08</t>
  </si>
  <si>
    <t>CF-P-08-13-09</t>
  </si>
  <si>
    <t>CF-P-08-13-10</t>
  </si>
  <si>
    <t>CF-P-08-13-11</t>
  </si>
  <si>
    <t>CF-P-08-13-12</t>
  </si>
  <si>
    <t>CF-P-08-13-13</t>
  </si>
  <si>
    <t>CF-P-08-13-14</t>
  </si>
  <si>
    <t>CF-P-08-13-15</t>
  </si>
  <si>
    <t>CF-P-08-13-16</t>
  </si>
  <si>
    <t>CF-P-08-13-17</t>
  </si>
  <si>
    <t>CF-P-08-14-01</t>
  </si>
  <si>
    <t>CF-P-08-14-02</t>
  </si>
  <si>
    <t>CF-P-08-14-03</t>
  </si>
  <si>
    <t>CF-P-08-14-04</t>
  </si>
  <si>
    <t>CF-P-08-14-05</t>
  </si>
  <si>
    <t>CF-P-08-14-06</t>
  </si>
  <si>
    <t>CF-P-08-14-07</t>
  </si>
  <si>
    <t>CF-P-08-14-08</t>
  </si>
  <si>
    <t>CF-P-08-14-09</t>
  </si>
  <si>
    <t>CF-P-08-14-10</t>
  </si>
  <si>
    <t>CF-P-08-14-11</t>
  </si>
  <si>
    <t>CF-P-08-14-12</t>
  </si>
  <si>
    <t>CF-P-08-14-13</t>
  </si>
  <si>
    <t>CF-P-08-14-14</t>
  </si>
  <si>
    <t>CF-P-08-14-15</t>
  </si>
  <si>
    <t>CF-P-08-14-16</t>
  </si>
  <si>
    <t>CF-P-08-14-17</t>
  </si>
  <si>
    <t>CF-P-08-15-01</t>
  </si>
  <si>
    <t>CF-P-08-15-02</t>
  </si>
  <si>
    <t>CF-P-08-15-03</t>
  </si>
  <si>
    <t>CF-P-08-15-04</t>
  </si>
  <si>
    <t>CF-P-08-15-05</t>
  </si>
  <si>
    <t>CF-P-08-15-06</t>
  </si>
  <si>
    <t>CF-P-08-15-07</t>
  </si>
  <si>
    <t>CF-P-08-15-08</t>
  </si>
  <si>
    <t>CF-P-08-15-09</t>
  </si>
  <si>
    <t>CF-P-08-15-10</t>
  </si>
  <si>
    <t>CF-P-08-15-11</t>
  </si>
  <si>
    <t>CF-P-08-15-12</t>
  </si>
  <si>
    <t>CF-P-08-15-13</t>
  </si>
  <si>
    <t>CF-P-08-15-14</t>
  </si>
  <si>
    <t>CF-P-08-15-15</t>
  </si>
  <si>
    <t>CF-P-08-15-16</t>
  </si>
  <si>
    <t>CF-P-08-15-17</t>
  </si>
  <si>
    <t>CF-P-08-16-01</t>
  </si>
  <si>
    <t>CF-P-08-16-02</t>
  </si>
  <si>
    <t>CF-P-08-16-03</t>
  </si>
  <si>
    <t>CF-P-08-16-04</t>
  </si>
  <si>
    <t>CF-P-08-16-05</t>
  </si>
  <si>
    <t>CF-P-08-16-06</t>
  </si>
  <si>
    <t>CF-P-08-16-07</t>
  </si>
  <si>
    <t>CF-P-08-16-08</t>
  </si>
  <si>
    <t>CF-P-08-16-09</t>
  </si>
  <si>
    <t>CF-P-08-16-10</t>
  </si>
  <si>
    <t>CF-P-08-16-11</t>
  </si>
  <si>
    <t>CF-P-08-16-12</t>
  </si>
  <si>
    <t>CF-P-08-16-13</t>
  </si>
  <si>
    <t>CF-P-08-16-14</t>
  </si>
  <si>
    <t>CF-P-08-16-15</t>
  </si>
  <si>
    <t>CF-P-08-16-16</t>
  </si>
  <si>
    <t>CF-P-08-16-17</t>
  </si>
  <si>
    <t>CF-P-08-17-01</t>
  </si>
  <si>
    <t>CF-P-08-17-02</t>
  </si>
  <si>
    <t>CF-P-08-17-03</t>
  </si>
  <si>
    <t>CF-P-08-17-04</t>
  </si>
  <si>
    <t>CF-P-08-17-05</t>
  </si>
  <si>
    <t>CF-P-08-17-06</t>
  </si>
  <si>
    <t>CF-P-08-17-07</t>
  </si>
  <si>
    <t>CF-P-08-17-08</t>
  </si>
  <si>
    <t>CF-P-08-17-09</t>
  </si>
  <si>
    <t>CF-P-08-17-10</t>
  </si>
  <si>
    <t>CF-P-08-17-11</t>
  </si>
  <si>
    <t>CF-P-08-17-12</t>
  </si>
  <si>
    <t>CF-P-08-17-13</t>
  </si>
  <si>
    <t>CF-P-08-17-14</t>
  </si>
  <si>
    <t>CF-P-08-17-15</t>
  </si>
  <si>
    <t>CF-P-08-17-16</t>
  </si>
  <si>
    <t>CF-P-08-17-17</t>
  </si>
  <si>
    <t>CF-P-09-01-01</t>
  </si>
  <si>
    <t>CF-P-09-01-02</t>
  </si>
  <si>
    <t>CF-P-09-01-03</t>
  </si>
  <si>
    <t>CF-P-09-01-04</t>
  </si>
  <si>
    <t>CF-P-09-01-05</t>
  </si>
  <si>
    <t>CF-P-09-01-06</t>
  </si>
  <si>
    <t>CF-P-09-01-07</t>
  </si>
  <si>
    <t>CF-P-09-01-08</t>
  </si>
  <si>
    <t>CF-P-09-01-09</t>
  </si>
  <si>
    <t>CF-P-09-01-10</t>
  </si>
  <si>
    <t>CF-P-09-01-11</t>
  </si>
  <si>
    <t>CF-P-09-01-12</t>
  </si>
  <si>
    <t>CF-P-09-01-13</t>
  </si>
  <si>
    <t>CF-P-09-01-14</t>
  </si>
  <si>
    <t>CF-P-09-01-15</t>
  </si>
  <si>
    <t>CF-P-09-01-16</t>
  </si>
  <si>
    <t>CF-P-09-01-17</t>
  </si>
  <si>
    <t>CF-P-09-02-01</t>
  </si>
  <si>
    <t>CF-P-09-02-02</t>
  </si>
  <si>
    <t>CF-P-09-02-03</t>
  </si>
  <si>
    <t>CF-P-09-02-04</t>
  </si>
  <si>
    <t>CF-P-09-02-05</t>
  </si>
  <si>
    <t>CF-P-09-02-06</t>
  </si>
  <si>
    <t>CF-P-09-02-07</t>
  </si>
  <si>
    <t>CF-P-09-02-08</t>
  </si>
  <si>
    <t>CF-P-09-02-09</t>
  </si>
  <si>
    <t>CF-P-09-02-10</t>
  </si>
  <si>
    <t>CF-P-09-02-11</t>
  </si>
  <si>
    <t>CF-P-09-02-12</t>
  </si>
  <si>
    <t>CF-P-09-02-13</t>
  </si>
  <si>
    <t>CF-P-09-02-14</t>
  </si>
  <si>
    <t>CF-P-09-02-15</t>
  </si>
  <si>
    <t>CF-P-09-02-16</t>
  </si>
  <si>
    <t>CF-P-09-02-17</t>
  </si>
  <si>
    <t>CF-P-09-03-01</t>
  </si>
  <si>
    <t>CF-P-09-03-02</t>
  </si>
  <si>
    <t>CF-P-09-03-03</t>
  </si>
  <si>
    <t>CF-P-09-03-04</t>
  </si>
  <si>
    <t>CF-P-09-03-05</t>
  </si>
  <si>
    <t>CF-P-09-03-06</t>
  </si>
  <si>
    <t>CF-P-09-03-07</t>
  </si>
  <si>
    <t>CF-P-09-03-08</t>
  </si>
  <si>
    <t>CF-P-09-03-09</t>
  </si>
  <si>
    <t>CF-P-09-03-10</t>
  </si>
  <si>
    <t>CF-P-09-03-11</t>
  </si>
  <si>
    <t>CF-P-09-03-12</t>
  </si>
  <si>
    <t>CF-P-09-03-13</t>
  </si>
  <si>
    <t>CF-P-09-03-14</t>
  </si>
  <si>
    <t>CF-P-09-03-15</t>
  </si>
  <si>
    <t>CF-P-09-03-16</t>
  </si>
  <si>
    <t>CF-P-09-03-17</t>
  </si>
  <si>
    <t>CF-P-09-04-01</t>
  </si>
  <si>
    <t>CF-P-09-04-02</t>
  </si>
  <si>
    <t>CF-P-09-04-03</t>
  </si>
  <si>
    <t>CF-P-09-04-04</t>
  </si>
  <si>
    <t>CF-P-09-04-05</t>
  </si>
  <si>
    <t>CF-P-09-04-06</t>
  </si>
  <si>
    <t>CF-P-09-04-07</t>
  </si>
  <si>
    <t>CF-P-09-04-08</t>
  </si>
  <si>
    <t>CF-P-09-04-09</t>
  </si>
  <si>
    <t>CF-P-09-04-10</t>
  </si>
  <si>
    <t>CF-P-09-04-11</t>
  </si>
  <si>
    <t>CF-P-09-04-12</t>
  </si>
  <si>
    <t>CF-P-09-04-13</t>
  </si>
  <si>
    <t>CF-P-09-04-14</t>
  </si>
  <si>
    <t>CF-P-09-04-15</t>
  </si>
  <si>
    <t>CF-P-09-04-16</t>
  </si>
  <si>
    <t>CF-P-09-04-17</t>
  </si>
  <si>
    <t>CF-P-09-05-01</t>
  </si>
  <si>
    <t>CF-P-09-05-02</t>
  </si>
  <si>
    <t>CF-P-09-05-03</t>
  </si>
  <si>
    <t>CF-P-09-05-04</t>
  </si>
  <si>
    <t>CF-P-09-05-05</t>
  </si>
  <si>
    <t>CF-P-09-05-06</t>
  </si>
  <si>
    <t>CF-P-09-05-07</t>
  </si>
  <si>
    <t>CF-P-09-05-08</t>
  </si>
  <si>
    <t>CF-P-09-05-09</t>
  </si>
  <si>
    <t>CF-P-09-05-10</t>
  </si>
  <si>
    <t>CF-P-09-05-11</t>
  </si>
  <si>
    <t>CF-P-09-05-12</t>
  </si>
  <si>
    <t>CF-P-09-05-13</t>
  </si>
  <si>
    <t>CF-P-09-05-14</t>
  </si>
  <si>
    <t>CF-P-09-05-15</t>
  </si>
  <si>
    <t>CF-P-09-05-16</t>
  </si>
  <si>
    <t>CF-P-09-05-17</t>
  </si>
  <si>
    <t>CF-P-09-06-01</t>
  </si>
  <si>
    <t>CF-P-09-06-02</t>
  </si>
  <si>
    <t>CF-P-09-06-03</t>
  </si>
  <si>
    <t>CF-P-09-06-04</t>
  </si>
  <si>
    <t>CF-P-09-06-05</t>
  </si>
  <si>
    <t>CF-P-09-06-06</t>
  </si>
  <si>
    <t>CF-P-09-06-07</t>
  </si>
  <si>
    <t>CF-P-09-06-08</t>
  </si>
  <si>
    <t>CF-P-09-06-09</t>
  </si>
  <si>
    <t>CF-P-09-06-10</t>
  </si>
  <si>
    <t>CF-P-09-06-11</t>
  </si>
  <si>
    <t>CF-P-09-06-12</t>
  </si>
  <si>
    <t>CF-P-09-06-13</t>
  </si>
  <si>
    <t>CF-P-09-06-14</t>
  </si>
  <si>
    <t>CF-P-09-06-15</t>
  </si>
  <si>
    <t>CF-P-09-06-16</t>
  </si>
  <si>
    <t>CF-P-09-06-17</t>
  </si>
  <si>
    <t>CF-P-09-07-01</t>
  </si>
  <si>
    <t>CF-P-09-07-02</t>
  </si>
  <si>
    <t>CF-P-09-07-03</t>
  </si>
  <si>
    <t>CF-P-09-07-04</t>
  </si>
  <si>
    <t>CF-P-09-07-05</t>
  </si>
  <si>
    <t>CF-P-09-07-06</t>
  </si>
  <si>
    <t>CF-P-09-07-07</t>
  </si>
  <si>
    <t>CF-P-09-07-08</t>
  </si>
  <si>
    <t>CF-P-09-07-09</t>
  </si>
  <si>
    <t>CF-P-09-07-10</t>
  </si>
  <si>
    <t>CF-P-09-07-11</t>
  </si>
  <si>
    <t>CF-P-09-07-12</t>
  </si>
  <si>
    <t>CF-P-09-07-13</t>
  </si>
  <si>
    <t>CF-P-09-07-14</t>
  </si>
  <si>
    <t>CF-P-09-07-15</t>
  </si>
  <si>
    <t>CF-P-09-07-16</t>
  </si>
  <si>
    <t>CF-P-09-07-17</t>
  </si>
  <si>
    <t>CF-P-09-08-01</t>
  </si>
  <si>
    <t>CF-P-09-08-02</t>
  </si>
  <si>
    <t>CF-P-09-08-03</t>
  </si>
  <si>
    <t>CF-P-09-08-04</t>
  </si>
  <si>
    <t>CF-P-09-08-05</t>
  </si>
  <si>
    <t>CF-P-09-08-06</t>
  </si>
  <si>
    <t>CF-P-09-08-07</t>
  </si>
  <si>
    <t>CF-P-09-08-08</t>
  </si>
  <si>
    <t>CF-P-09-08-09</t>
  </si>
  <si>
    <t>CF-P-09-08-10</t>
  </si>
  <si>
    <t>CF-P-09-08-11</t>
  </si>
  <si>
    <t>CF-P-09-08-12</t>
  </si>
  <si>
    <t>CF-P-09-08-13</t>
  </si>
  <si>
    <t>CF-P-09-08-14</t>
  </si>
  <si>
    <t>CF-P-09-08-15</t>
  </si>
  <si>
    <t>CF-P-09-08-16</t>
  </si>
  <si>
    <t>CF-P-09-08-17</t>
  </si>
  <si>
    <t>CF-P-09-09-01</t>
  </si>
  <si>
    <t>CF-P-09-09-02</t>
  </si>
  <si>
    <t>CF-P-09-09-03</t>
  </si>
  <si>
    <t>CF-P-09-09-04</t>
  </si>
  <si>
    <t>CF-P-09-09-05</t>
  </si>
  <si>
    <t>CF-P-09-09-06</t>
  </si>
  <si>
    <t>CF-P-09-09-07</t>
  </si>
  <si>
    <t>CF-P-09-09-08</t>
  </si>
  <si>
    <t>CF-P-09-09-09</t>
  </si>
  <si>
    <t>CF-P-09-09-10</t>
  </si>
  <si>
    <t>CF-P-09-09-11</t>
  </si>
  <si>
    <t>CF-P-09-09-12</t>
  </si>
  <si>
    <t>CF-P-09-09-13</t>
  </si>
  <si>
    <t>CF-P-09-09-14</t>
  </si>
  <si>
    <t>CF-P-09-09-15</t>
  </si>
  <si>
    <t>CF-P-09-09-16</t>
  </si>
  <si>
    <t>CF-P-09-09-17</t>
  </si>
  <si>
    <t>CF-P-09-10-01</t>
  </si>
  <si>
    <t>CF-P-09-10-02</t>
  </si>
  <si>
    <t>CF-P-09-10-03</t>
  </si>
  <si>
    <t>CF-P-09-10-04</t>
  </si>
  <si>
    <t>CF-P-09-10-05</t>
  </si>
  <si>
    <t>CF-P-09-10-06</t>
  </si>
  <si>
    <t>CF-P-09-10-07</t>
  </si>
  <si>
    <t>CF-P-09-10-08</t>
  </si>
  <si>
    <t>CF-P-09-10-09</t>
  </si>
  <si>
    <t>CF-P-09-10-10</t>
  </si>
  <si>
    <t>CF-P-09-10-11</t>
  </si>
  <si>
    <t>CF-P-09-10-12</t>
  </si>
  <si>
    <t>CF-P-09-10-13</t>
  </si>
  <si>
    <t>CF-P-09-10-14</t>
  </si>
  <si>
    <t>CF-P-09-10-15</t>
  </si>
  <si>
    <t>CF-P-09-10-16</t>
  </si>
  <si>
    <t>CF-P-09-10-17</t>
  </si>
  <si>
    <t>CF-P-09-11-01</t>
  </si>
  <si>
    <t>CF-P-09-11-02</t>
  </si>
  <si>
    <t>CF-P-09-11-03</t>
  </si>
  <si>
    <t>CF-P-09-11-04</t>
  </si>
  <si>
    <t>CF-P-09-11-05</t>
  </si>
  <si>
    <t>CF-P-09-11-06</t>
  </si>
  <si>
    <t>CF-P-09-11-07</t>
  </si>
  <si>
    <t>CF-P-09-11-08</t>
  </si>
  <si>
    <t>CF-P-09-11-09</t>
  </si>
  <si>
    <t>CF-P-09-11-10</t>
  </si>
  <si>
    <t>CF-P-09-11-11</t>
  </si>
  <si>
    <t>CF-P-09-11-12</t>
  </si>
  <si>
    <t>CF-P-09-11-13</t>
  </si>
  <si>
    <t>CF-P-09-11-14</t>
  </si>
  <si>
    <t>CF-P-09-11-15</t>
  </si>
  <si>
    <t>CF-P-09-11-16</t>
  </si>
  <si>
    <t>CF-P-09-11-17</t>
  </si>
  <si>
    <t>CF-P-09-12-01</t>
  </si>
  <si>
    <t>CF-P-09-12-02</t>
  </si>
  <si>
    <t>CF-P-09-12-03</t>
  </si>
  <si>
    <t>CF-P-09-12-04</t>
  </si>
  <si>
    <t>CF-P-09-12-05</t>
  </si>
  <si>
    <t>CF-P-09-12-06</t>
  </si>
  <si>
    <t>CF-P-09-12-07</t>
  </si>
  <si>
    <t>CF-P-09-12-08</t>
  </si>
  <si>
    <t>CF-P-09-12-09</t>
  </si>
  <si>
    <t>CF-P-09-12-10</t>
  </si>
  <si>
    <t>CF-P-09-12-11</t>
  </si>
  <si>
    <t>CF-P-09-12-12</t>
  </si>
  <si>
    <t>CF-P-09-12-13</t>
  </si>
  <si>
    <t>CF-P-09-12-14</t>
  </si>
  <si>
    <t>CF-P-09-12-15</t>
  </si>
  <si>
    <t>CF-P-09-12-16</t>
  </si>
  <si>
    <t>CF-P-09-12-17</t>
  </si>
  <si>
    <t>CF-P-09-13-01</t>
  </si>
  <si>
    <t>CF-P-09-13-02</t>
  </si>
  <si>
    <t>CF-P-09-13-03</t>
  </si>
  <si>
    <t>CF-P-09-13-04</t>
  </si>
  <si>
    <t>CF-P-09-13-05</t>
  </si>
  <si>
    <t>CF-P-09-13-06</t>
  </si>
  <si>
    <t>CF-P-09-13-07</t>
  </si>
  <si>
    <t>CF-P-09-13-08</t>
  </si>
  <si>
    <t>CF-P-09-13-09</t>
  </si>
  <si>
    <t>CF-P-09-13-10</t>
  </si>
  <si>
    <t>CF-P-09-13-11</t>
  </si>
  <si>
    <t>CF-P-09-13-12</t>
  </si>
  <si>
    <t>CF-P-09-13-13</t>
  </si>
  <si>
    <t>CF-P-09-13-14</t>
  </si>
  <si>
    <t>CF-P-09-13-15</t>
  </si>
  <si>
    <t>CF-P-09-13-16</t>
  </si>
  <si>
    <t>CF-P-09-13-17</t>
  </si>
  <si>
    <t>CF-P-09-14-01</t>
  </si>
  <si>
    <t>CF-P-09-14-02</t>
  </si>
  <si>
    <t>CF-P-09-14-03</t>
  </si>
  <si>
    <t>CF-P-09-14-04</t>
  </si>
  <si>
    <t>CF-P-09-14-05</t>
  </si>
  <si>
    <t>CF-P-09-14-06</t>
  </si>
  <si>
    <t>CF-P-09-14-07</t>
  </si>
  <si>
    <t>CF-P-09-14-08</t>
  </si>
  <si>
    <t>CF-P-09-14-09</t>
  </si>
  <si>
    <t>CF-P-09-14-10</t>
  </si>
  <si>
    <t>CF-P-09-14-11</t>
  </si>
  <si>
    <t>CF-P-09-14-12</t>
  </si>
  <si>
    <t>CF-P-09-14-13</t>
  </si>
  <si>
    <t>CF-P-09-14-14</t>
  </si>
  <si>
    <t>CF-P-09-14-15</t>
  </si>
  <si>
    <t>CF-P-09-14-16</t>
  </si>
  <si>
    <t>CF-P-09-14-17</t>
  </si>
  <si>
    <t>CF-P-09-15-01</t>
  </si>
  <si>
    <t>CF-P-09-15-02</t>
  </si>
  <si>
    <t>CF-P-09-15-03</t>
  </si>
  <si>
    <t>CF-P-09-15-04</t>
  </si>
  <si>
    <t>CF-P-09-15-05</t>
  </si>
  <si>
    <t>CF-P-09-15-06</t>
  </si>
  <si>
    <t>CF-P-09-15-07</t>
  </si>
  <si>
    <t>CF-P-09-15-08</t>
  </si>
  <si>
    <t>CF-P-09-15-09</t>
  </si>
  <si>
    <t>CF-P-09-15-10</t>
  </si>
  <si>
    <t>CF-P-09-15-11</t>
  </si>
  <si>
    <t>CF-P-09-15-12</t>
  </si>
  <si>
    <t>CF-P-09-15-13</t>
  </si>
  <si>
    <t>CF-P-09-15-14</t>
  </si>
  <si>
    <t>CF-P-09-15-15</t>
  </si>
  <si>
    <t>CF-P-09-15-16</t>
  </si>
  <si>
    <t>CF-P-09-15-17</t>
  </si>
  <si>
    <t>CF-P-09-16-01</t>
  </si>
  <si>
    <t>CF-P-09-16-02</t>
  </si>
  <si>
    <t>CF-P-09-16-03</t>
  </si>
  <si>
    <t>CF-P-09-16-04</t>
  </si>
  <si>
    <t>CF-P-09-16-05</t>
  </si>
  <si>
    <t>CF-P-09-16-06</t>
  </si>
  <si>
    <t>CF-P-09-16-07</t>
  </si>
  <si>
    <t>CF-P-09-16-08</t>
  </si>
  <si>
    <t>CF-P-09-16-09</t>
  </si>
  <si>
    <t>CF-P-09-16-10</t>
  </si>
  <si>
    <t>CF-P-09-16-11</t>
  </si>
  <si>
    <t>CF-P-09-16-12</t>
  </si>
  <si>
    <t>CF-P-09-16-13</t>
  </si>
  <si>
    <t>CF-P-09-16-14</t>
  </si>
  <si>
    <t>CF-P-09-16-15</t>
  </si>
  <si>
    <t>CF-P-09-16-16</t>
  </si>
  <si>
    <t>CF-P-09-16-17</t>
  </si>
  <si>
    <t>CF-P-09-17-01</t>
  </si>
  <si>
    <t>CF-P-09-17-02</t>
  </si>
  <si>
    <t>CF-P-09-17-03</t>
  </si>
  <si>
    <t>CF-P-09-17-04</t>
  </si>
  <si>
    <t>CF-P-09-17-05</t>
  </si>
  <si>
    <t>CF-P-09-17-06</t>
  </si>
  <si>
    <t>CF-P-09-17-07</t>
  </si>
  <si>
    <t>CF-P-09-17-08</t>
  </si>
  <si>
    <t>CF-P-09-17-09</t>
  </si>
  <si>
    <t>CF-P-09-17-10</t>
  </si>
  <si>
    <t>CF-P-09-17-11</t>
  </si>
  <si>
    <t>CF-P-09-17-12</t>
  </si>
  <si>
    <t>CF-P-09-17-13</t>
  </si>
  <si>
    <t>CF-P-09-17-14</t>
  </si>
  <si>
    <t>CF-P-09-17-15</t>
  </si>
  <si>
    <t>CF-P-09-17-16</t>
  </si>
  <si>
    <t>CF-P-09-17-17</t>
  </si>
  <si>
    <t>CF-P-10-01-01</t>
  </si>
  <si>
    <t>CF-P-10-01-02</t>
  </si>
  <si>
    <t>CF-P-10-01-03</t>
  </si>
  <si>
    <t>CF-P-10-01-04</t>
  </si>
  <si>
    <t>CF-P-10-01-05</t>
  </si>
  <si>
    <t>CF-P-10-01-06</t>
  </si>
  <si>
    <t>CF-P-10-01-07</t>
  </si>
  <si>
    <t>CF-P-10-01-08</t>
  </si>
  <si>
    <t>CF-P-10-01-09</t>
  </si>
  <si>
    <t>CF-P-10-01-10</t>
  </si>
  <si>
    <t>CF-P-10-01-11</t>
  </si>
  <si>
    <t>CF-P-10-01-12</t>
  </si>
  <si>
    <t>CF-P-10-01-13</t>
  </si>
  <si>
    <t>CF-P-10-01-14</t>
  </si>
  <si>
    <t>CF-P-10-01-15</t>
  </si>
  <si>
    <t>CF-P-10-01-16</t>
  </si>
  <si>
    <t>CF-P-10-01-17</t>
  </si>
  <si>
    <t>CF-P-10-02-01</t>
  </si>
  <si>
    <t>CF-P-10-02-02</t>
  </si>
  <si>
    <t>CF-P-10-02-03</t>
  </si>
  <si>
    <t>CF-P-10-02-04</t>
  </si>
  <si>
    <t>CF-P-10-02-05</t>
  </si>
  <si>
    <t>CF-P-10-02-06</t>
  </si>
  <si>
    <t>CF-P-10-02-07</t>
  </si>
  <si>
    <t>CF-P-10-02-08</t>
  </si>
  <si>
    <t>CF-P-10-02-09</t>
  </si>
  <si>
    <t>CF-P-10-02-10</t>
  </si>
  <si>
    <t>CF-P-10-02-11</t>
  </si>
  <si>
    <t>CF-P-10-02-12</t>
  </si>
  <si>
    <t>CF-P-10-02-13</t>
  </si>
  <si>
    <t>CF-P-10-02-14</t>
  </si>
  <si>
    <t>CF-P-10-02-15</t>
  </si>
  <si>
    <t>CF-P-10-02-16</t>
  </si>
  <si>
    <t>CF-P-10-02-17</t>
  </si>
  <si>
    <t>CF-P-10-03-01</t>
  </si>
  <si>
    <t>CF-P-10-03-02</t>
  </si>
  <si>
    <t>CF-P-10-03-03</t>
  </si>
  <si>
    <t>CF-P-10-03-04</t>
  </si>
  <si>
    <t>CF-P-10-03-05</t>
  </si>
  <si>
    <t>CF-P-10-03-06</t>
  </si>
  <si>
    <t>CF-P-10-03-07</t>
  </si>
  <si>
    <t>CF-P-10-03-08</t>
  </si>
  <si>
    <t>CF-P-10-03-09</t>
  </si>
  <si>
    <t>CF-P-10-03-10</t>
  </si>
  <si>
    <t>CF-P-10-03-11</t>
  </si>
  <si>
    <t>CF-P-10-03-12</t>
  </si>
  <si>
    <t>CF-P-10-03-13</t>
  </si>
  <si>
    <t>CF-P-10-03-14</t>
  </si>
  <si>
    <t>CF-P-10-03-15</t>
  </si>
  <si>
    <t>CF-P-10-03-16</t>
  </si>
  <si>
    <t>CF-P-10-03-17</t>
  </si>
  <si>
    <t>CF-P-10-04-01</t>
  </si>
  <si>
    <t>CF-P-10-04-02</t>
  </si>
  <si>
    <t>CF-P-10-04-03</t>
  </si>
  <si>
    <t>CF-P-10-04-04</t>
  </si>
  <si>
    <t>CF-P-10-04-05</t>
  </si>
  <si>
    <t>CF-P-10-04-06</t>
  </si>
  <si>
    <t>CF-P-10-04-07</t>
  </si>
  <si>
    <t>CF-P-10-04-08</t>
  </si>
  <si>
    <t>CF-P-10-04-09</t>
  </si>
  <si>
    <t>CF-P-10-04-10</t>
  </si>
  <si>
    <t>CF-P-10-04-11</t>
  </si>
  <si>
    <t>CF-P-10-04-12</t>
  </si>
  <si>
    <t>CF-P-10-04-13</t>
  </si>
  <si>
    <t>CF-P-10-04-14</t>
  </si>
  <si>
    <t>CF-P-10-04-15</t>
  </si>
  <si>
    <t>CF-P-10-04-16</t>
  </si>
  <si>
    <t>CF-P-10-04-17</t>
  </si>
  <si>
    <t>CF-P-10-05-01</t>
  </si>
  <si>
    <t>CF-P-10-05-02</t>
  </si>
  <si>
    <t>CF-P-10-05-03</t>
  </si>
  <si>
    <t>CF-P-10-05-04</t>
  </si>
  <si>
    <t>CF-P-10-05-05</t>
  </si>
  <si>
    <t>CF-P-10-05-06</t>
  </si>
  <si>
    <t>CF-P-10-05-07</t>
  </si>
  <si>
    <t>CF-P-10-05-08</t>
  </si>
  <si>
    <t>CF-P-10-05-09</t>
  </si>
  <si>
    <t>CF-P-10-05-10</t>
  </si>
  <si>
    <t>CF-P-10-05-11</t>
  </si>
  <si>
    <t>CF-P-10-05-12</t>
  </si>
  <si>
    <t>CF-P-10-05-13</t>
  </si>
  <si>
    <t>CF-P-10-05-14</t>
  </si>
  <si>
    <t>CF-P-10-05-15</t>
  </si>
  <si>
    <t>CF-P-10-05-16</t>
  </si>
  <si>
    <t>CF-P-10-05-17</t>
  </si>
  <si>
    <t>CF-P-10-06-01</t>
  </si>
  <si>
    <t>CF-P-10-06-02</t>
  </si>
  <si>
    <t>CF-P-10-06-03</t>
  </si>
  <si>
    <t>CF-P-10-06-04</t>
  </si>
  <si>
    <t>CF-P-10-06-05</t>
  </si>
  <si>
    <t>CF-P-10-06-06</t>
  </si>
  <si>
    <t>CF-P-10-06-07</t>
  </si>
  <si>
    <t>CF-P-10-06-08</t>
  </si>
  <si>
    <t>CF-P-10-06-09</t>
  </si>
  <si>
    <t>CF-P-10-06-10</t>
  </si>
  <si>
    <t>CF-P-10-06-11</t>
  </si>
  <si>
    <t>CF-P-10-06-12</t>
  </si>
  <si>
    <t>CF-P-10-06-13</t>
  </si>
  <si>
    <t>CF-P-10-06-14</t>
  </si>
  <si>
    <t>CF-P-10-06-15</t>
  </si>
  <si>
    <t>CF-P-10-06-16</t>
  </si>
  <si>
    <t>CF-P-10-06-17</t>
  </si>
  <si>
    <t>CF-P-10-07-01</t>
  </si>
  <si>
    <t>CF-P-10-07-02</t>
  </si>
  <si>
    <t>CF-P-10-07-03</t>
  </si>
  <si>
    <t>CF-P-10-07-04</t>
  </si>
  <si>
    <t>CF-P-10-07-05</t>
  </si>
  <si>
    <t>CF-P-10-07-06</t>
  </si>
  <si>
    <t>CF-P-10-07-07</t>
  </si>
  <si>
    <t>CF-P-10-07-08</t>
  </si>
  <si>
    <t>CF-P-10-07-09</t>
  </si>
  <si>
    <t>CF-P-10-07-10</t>
  </si>
  <si>
    <t>CF-P-10-07-11</t>
  </si>
  <si>
    <t>CF-P-10-07-12</t>
  </si>
  <si>
    <t>CF-P-10-07-13</t>
  </si>
  <si>
    <t>CF-P-10-07-14</t>
  </si>
  <si>
    <t>CF-P-10-07-15</t>
  </si>
  <si>
    <t>CF-P-10-07-16</t>
  </si>
  <si>
    <t>CF-P-10-07-17</t>
  </si>
  <si>
    <t>CF-P-10-08-01</t>
  </si>
  <si>
    <t>CF-P-10-08-02</t>
  </si>
  <si>
    <t>CF-P-10-08-03</t>
  </si>
  <si>
    <t>CF-P-10-08-04</t>
  </si>
  <si>
    <t>CF-P-10-08-05</t>
  </si>
  <si>
    <t>CF-P-10-08-06</t>
  </si>
  <si>
    <t>CF-P-10-08-07</t>
  </si>
  <si>
    <t>CF-P-10-08-08</t>
  </si>
  <si>
    <t>CF-P-10-08-09</t>
  </si>
  <si>
    <t>CF-P-10-08-10</t>
  </si>
  <si>
    <t>CF-P-10-08-11</t>
  </si>
  <si>
    <t>CF-P-10-08-12</t>
  </si>
  <si>
    <t>CF-P-10-08-13</t>
  </si>
  <si>
    <t>CF-P-10-08-14</t>
  </si>
  <si>
    <t>CF-P-10-08-15</t>
  </si>
  <si>
    <t>CF-P-10-08-16</t>
  </si>
  <si>
    <t>CF-P-10-08-17</t>
  </si>
  <si>
    <t>CF-P-10-09-01</t>
  </si>
  <si>
    <t>CF-P-10-09-02</t>
  </si>
  <si>
    <t>CF-P-10-09-03</t>
  </si>
  <si>
    <t>CF-P-10-09-04</t>
  </si>
  <si>
    <t>CF-P-10-09-05</t>
  </si>
  <si>
    <t>CF-P-10-09-06</t>
  </si>
  <si>
    <t>CF-P-10-09-07</t>
  </si>
  <si>
    <t>CF-P-10-09-08</t>
  </si>
  <si>
    <t>CF-P-10-09-09</t>
  </si>
  <si>
    <t>CF-P-10-09-10</t>
  </si>
  <si>
    <t>CF-P-10-09-11</t>
  </si>
  <si>
    <t>CF-P-10-09-12</t>
  </si>
  <si>
    <t>CF-P-10-09-13</t>
  </si>
  <si>
    <t>CF-P-10-09-14</t>
  </si>
  <si>
    <t>CF-P-10-09-15</t>
  </si>
  <si>
    <t>CF-P-10-09-16</t>
  </si>
  <si>
    <t>CF-P-10-09-17</t>
  </si>
  <si>
    <t>CF-P-10-10-01</t>
  </si>
  <si>
    <t>CF-P-10-10-02</t>
  </si>
  <si>
    <t>CF-P-10-10-03</t>
  </si>
  <si>
    <t>CF-P-10-10-04</t>
  </si>
  <si>
    <t>CF-P-10-10-05</t>
  </si>
  <si>
    <t>CF-P-10-10-06</t>
  </si>
  <si>
    <t>CF-P-10-10-07</t>
  </si>
  <si>
    <t>CF-P-10-10-08</t>
  </si>
  <si>
    <t>CF-P-10-10-09</t>
  </si>
  <si>
    <t>CF-P-10-10-10</t>
  </si>
  <si>
    <t>CF-P-10-10-11</t>
  </si>
  <si>
    <t>CF-P-10-10-12</t>
  </si>
  <si>
    <t>CF-P-10-10-13</t>
  </si>
  <si>
    <t>CF-P-10-10-14</t>
  </si>
  <si>
    <t>CF-P-10-10-15</t>
  </si>
  <si>
    <t>CF-P-10-10-16</t>
  </si>
  <si>
    <t>CF-P-10-10-17</t>
  </si>
  <si>
    <t>CF-P-10-11-01</t>
  </si>
  <si>
    <t>CF-P-10-11-02</t>
  </si>
  <si>
    <t>CF-P-10-11-03</t>
  </si>
  <si>
    <t>CF-P-10-11-04</t>
  </si>
  <si>
    <t>CF-P-10-11-05</t>
  </si>
  <si>
    <t>CF-P-10-11-06</t>
  </si>
  <si>
    <t>CF-P-10-11-07</t>
  </si>
  <si>
    <t>CF-P-10-11-08</t>
  </si>
  <si>
    <t>CF-P-10-11-09</t>
  </si>
  <si>
    <t>CF-P-10-11-10</t>
  </si>
  <si>
    <t>CF-P-10-11-11</t>
  </si>
  <si>
    <t>CF-P-10-11-12</t>
  </si>
  <si>
    <t>CF-P-10-11-13</t>
  </si>
  <si>
    <t>CF-P-10-11-14</t>
  </si>
  <si>
    <t>CF-P-10-11-15</t>
  </si>
  <si>
    <t>CF-P-10-11-16</t>
  </si>
  <si>
    <t>CF-P-10-11-17</t>
  </si>
  <si>
    <t>CF-P-10-12-01</t>
  </si>
  <si>
    <t>CF-P-10-12-02</t>
  </si>
  <si>
    <t>CF-P-10-12-03</t>
  </si>
  <si>
    <t>CF-P-10-12-04</t>
  </si>
  <si>
    <t>CF-P-10-12-05</t>
  </si>
  <si>
    <t>CF-P-10-12-06</t>
  </si>
  <si>
    <t>CF-P-10-12-07</t>
  </si>
  <si>
    <t>CF-P-10-12-08</t>
  </si>
  <si>
    <t>CF-P-10-12-09</t>
  </si>
  <si>
    <t>CF-P-10-12-10</t>
  </si>
  <si>
    <t>CF-P-10-12-11</t>
  </si>
  <si>
    <t>CF-P-10-12-12</t>
  </si>
  <si>
    <t>CF-P-10-12-13</t>
  </si>
  <si>
    <t>CF-P-10-12-14</t>
  </si>
  <si>
    <t>CF-P-10-12-15</t>
  </si>
  <si>
    <t>CF-P-10-12-16</t>
  </si>
  <si>
    <t>CF-P-10-12-17</t>
  </si>
  <si>
    <t>CF-P-10-13-01</t>
  </si>
  <si>
    <t>CF-P-10-13-02</t>
  </si>
  <si>
    <t>CF-P-10-13-03</t>
  </si>
  <si>
    <t>CF-P-10-13-04</t>
  </si>
  <si>
    <t>CF-P-10-13-05</t>
  </si>
  <si>
    <t>CF-P-10-13-06</t>
  </si>
  <si>
    <t>CF-P-10-13-07</t>
  </si>
  <si>
    <t>CF-P-10-13-08</t>
  </si>
  <si>
    <t>CF-P-10-13-09</t>
  </si>
  <si>
    <t>CF-P-10-13-10</t>
  </si>
  <si>
    <t>CF-P-10-13-11</t>
  </si>
  <si>
    <t>CF-P-10-13-12</t>
  </si>
  <si>
    <t>CF-P-10-13-13</t>
  </si>
  <si>
    <t>CF-P-10-13-14</t>
  </si>
  <si>
    <t>CF-P-10-13-15</t>
  </si>
  <si>
    <t>CF-P-10-13-16</t>
  </si>
  <si>
    <t>CF-P-10-13-17</t>
  </si>
  <si>
    <t>CF-P-10-14-01</t>
  </si>
  <si>
    <t>CF-P-10-14-02</t>
  </si>
  <si>
    <t>CF-P-10-14-03</t>
  </si>
  <si>
    <t>CF-P-10-14-04</t>
  </si>
  <si>
    <t>CF-P-10-14-05</t>
  </si>
  <si>
    <t>CF-P-10-14-06</t>
  </si>
  <si>
    <t>CF-P-10-14-07</t>
  </si>
  <si>
    <t>CF-P-10-14-08</t>
  </si>
  <si>
    <t>CF-P-10-14-09</t>
  </si>
  <si>
    <t>CF-P-10-14-10</t>
  </si>
  <si>
    <t>CF-P-10-14-11</t>
  </si>
  <si>
    <t>CF-P-10-14-12</t>
  </si>
  <si>
    <t>CF-P-10-14-13</t>
  </si>
  <si>
    <t>CF-P-10-14-14</t>
  </si>
  <si>
    <t>CF-P-10-14-15</t>
  </si>
  <si>
    <t>CF-P-10-14-16</t>
  </si>
  <si>
    <t>CF-P-10-14-17</t>
  </si>
  <si>
    <t>CF-P-10-15-01</t>
  </si>
  <si>
    <t>CF-P-10-15-02</t>
  </si>
  <si>
    <t>CF-P-10-15-03</t>
  </si>
  <si>
    <t>CF-P-10-15-04</t>
  </si>
  <si>
    <t>CF-P-10-15-05</t>
  </si>
  <si>
    <t>CF-P-10-15-06</t>
  </si>
  <si>
    <t>CF-P-10-15-07</t>
  </si>
  <si>
    <t>CF-P-10-15-08</t>
  </si>
  <si>
    <t>CF-P-10-15-09</t>
  </si>
  <si>
    <t>CF-P-10-15-10</t>
  </si>
  <si>
    <t>CF-P-10-15-11</t>
  </si>
  <si>
    <t>CF-P-10-15-12</t>
  </si>
  <si>
    <t>CF-P-10-15-13</t>
  </si>
  <si>
    <t>CF-P-10-15-14</t>
  </si>
  <si>
    <t>CF-P-10-15-15</t>
  </si>
  <si>
    <t>CF-P-10-15-16</t>
  </si>
  <si>
    <t>CF-P-10-15-17</t>
  </si>
  <si>
    <t>CF-P-10-16-01</t>
  </si>
  <si>
    <t>CF-P-10-16-02</t>
  </si>
  <si>
    <t>CF-P-10-16-03</t>
  </si>
  <si>
    <t>CF-P-10-16-04</t>
  </si>
  <si>
    <t>CF-P-10-16-05</t>
  </si>
  <si>
    <t>CF-P-10-16-06</t>
  </si>
  <si>
    <t>CF-P-10-16-07</t>
  </si>
  <si>
    <t>CF-P-10-16-08</t>
  </si>
  <si>
    <t>CF-P-10-16-09</t>
  </si>
  <si>
    <t>CF-P-10-16-10</t>
  </si>
  <si>
    <t>CF-P-10-16-11</t>
  </si>
  <si>
    <t>CF-P-10-16-12</t>
  </si>
  <si>
    <t>CF-P-10-16-13</t>
  </si>
  <si>
    <t>CF-P-10-16-14</t>
  </si>
  <si>
    <t>CF-P-10-16-15</t>
  </si>
  <si>
    <t>CF-P-10-16-16</t>
  </si>
  <si>
    <t>CF-P-10-16-17</t>
  </si>
  <si>
    <t>CF-P-10-17-01</t>
  </si>
  <si>
    <t>CF-P-10-17-02</t>
  </si>
  <si>
    <t>CF-P-10-17-03</t>
  </si>
  <si>
    <t>CF-P-10-17-04</t>
  </si>
  <si>
    <t>CF-P-10-17-05</t>
  </si>
  <si>
    <t>CF-P-10-17-06</t>
  </si>
  <si>
    <t>CF-P-10-17-07</t>
  </si>
  <si>
    <t>CF-P-10-17-08</t>
  </si>
  <si>
    <t>CF-P-10-17-09</t>
  </si>
  <si>
    <t>CF-P-10-17-10</t>
  </si>
  <si>
    <t>CF-P-10-17-11</t>
  </si>
  <si>
    <t>CF-P-10-17-12</t>
  </si>
  <si>
    <t>CF-P-10-17-13</t>
  </si>
  <si>
    <t>CF-P-10-17-14</t>
  </si>
  <si>
    <t>CF-P-10-17-15</t>
  </si>
  <si>
    <t>CF-P-10-17-16</t>
  </si>
  <si>
    <t>CF-P-10-17-17</t>
  </si>
  <si>
    <t>CF-P-11-01-01</t>
  </si>
  <si>
    <t>CF-P-11-01-02</t>
  </si>
  <si>
    <t>CF-P-11-01-03</t>
  </si>
  <si>
    <t>CF-P-11-01-04</t>
  </si>
  <si>
    <t>CF-P-11-01-05</t>
  </si>
  <si>
    <t>CF-P-11-01-06</t>
  </si>
  <si>
    <t>CF-P-11-01-07</t>
  </si>
  <si>
    <t>CF-P-11-01-08</t>
  </si>
  <si>
    <t>CF-P-11-01-09</t>
  </si>
  <si>
    <t>CF-P-11-01-10</t>
  </si>
  <si>
    <t>CF-P-11-01-11</t>
  </si>
  <si>
    <t>CF-P-11-01-12</t>
  </si>
  <si>
    <t>CF-P-11-01-13</t>
  </si>
  <si>
    <t>CF-P-11-01-14</t>
  </si>
  <si>
    <t>CF-P-11-01-15</t>
  </si>
  <si>
    <t>CF-P-11-01-16</t>
  </si>
  <si>
    <t>CF-P-11-01-17</t>
  </si>
  <si>
    <t>CF-P-11-02-01</t>
  </si>
  <si>
    <t>CF-P-11-02-02</t>
  </si>
  <si>
    <t>CF-P-11-02-03</t>
  </si>
  <si>
    <t>CF-P-11-02-04</t>
  </si>
  <si>
    <t>CF-P-11-02-05</t>
  </si>
  <si>
    <t>CF-P-11-02-06</t>
  </si>
  <si>
    <t>CF-P-11-02-07</t>
  </si>
  <si>
    <t>CF-P-11-02-08</t>
  </si>
  <si>
    <t>CF-P-11-02-09</t>
  </si>
  <si>
    <t>CF-P-11-02-10</t>
  </si>
  <si>
    <t>CF-P-11-02-11</t>
  </si>
  <si>
    <t>CF-P-11-02-12</t>
  </si>
  <si>
    <t>CF-P-11-02-13</t>
  </si>
  <si>
    <t>CF-P-11-02-14</t>
  </si>
  <si>
    <t>CF-P-11-02-15</t>
  </si>
  <si>
    <t>CF-P-11-02-16</t>
  </si>
  <si>
    <t>CF-P-11-02-17</t>
  </si>
  <si>
    <t>CF-P-11-03-01</t>
  </si>
  <si>
    <t>CF-P-11-03-02</t>
  </si>
  <si>
    <t>CF-P-11-03-03</t>
  </si>
  <si>
    <t>CF-P-11-03-04</t>
  </si>
  <si>
    <t>CF-P-11-03-05</t>
  </si>
  <si>
    <t>CF-P-11-03-06</t>
  </si>
  <si>
    <t>CF-P-11-03-07</t>
  </si>
  <si>
    <t>CF-P-11-03-08</t>
  </si>
  <si>
    <t>CF-P-11-03-09</t>
  </si>
  <si>
    <t>CF-P-11-03-10</t>
  </si>
  <si>
    <t>CF-P-11-03-11</t>
  </si>
  <si>
    <t>CF-P-11-03-12</t>
  </si>
  <si>
    <t>CF-P-11-03-13</t>
  </si>
  <si>
    <t>CF-P-11-03-14</t>
  </si>
  <si>
    <t>CF-P-11-03-15</t>
  </si>
  <si>
    <t>CF-P-11-03-16</t>
  </si>
  <si>
    <t>CF-P-11-03-17</t>
  </si>
  <si>
    <t>CF-P-11-04-01</t>
  </si>
  <si>
    <t>CF-P-11-04-02</t>
  </si>
  <si>
    <t>CF-P-11-04-03</t>
  </si>
  <si>
    <t>CF-P-11-04-04</t>
  </si>
  <si>
    <t>CF-P-11-04-05</t>
  </si>
  <si>
    <t>CF-P-11-04-06</t>
  </si>
  <si>
    <t>CF-P-11-04-07</t>
  </si>
  <si>
    <t>CF-P-11-04-08</t>
  </si>
  <si>
    <t>CF-P-11-04-09</t>
  </si>
  <si>
    <t>CF-P-11-04-10</t>
  </si>
  <si>
    <t>CF-P-11-04-11</t>
  </si>
  <si>
    <t>CF-P-11-04-12</t>
  </si>
  <si>
    <t>CF-P-11-04-13</t>
  </si>
  <si>
    <t>CF-P-11-04-14</t>
  </si>
  <si>
    <t>CF-P-11-04-15</t>
  </si>
  <si>
    <t>CF-P-11-04-16</t>
  </si>
  <si>
    <t>CF-P-11-04-17</t>
  </si>
  <si>
    <t>CF-P-11-05-01</t>
  </si>
  <si>
    <t>CF-P-11-05-02</t>
  </si>
  <si>
    <t>CF-P-11-05-03</t>
  </si>
  <si>
    <t>CF-P-11-05-04</t>
  </si>
  <si>
    <t>CF-P-11-05-05</t>
  </si>
  <si>
    <t>CF-P-11-05-06</t>
  </si>
  <si>
    <t>CF-P-11-05-07</t>
  </si>
  <si>
    <t>CF-P-11-05-08</t>
  </si>
  <si>
    <t>CF-P-11-05-09</t>
  </si>
  <si>
    <t>CF-P-11-05-10</t>
  </si>
  <si>
    <t>CF-P-11-05-11</t>
  </si>
  <si>
    <t>CF-P-11-05-12</t>
  </si>
  <si>
    <t>CF-P-11-05-13</t>
  </si>
  <si>
    <t>CF-P-11-05-14</t>
  </si>
  <si>
    <t>CF-P-11-05-15</t>
  </si>
  <si>
    <t>CF-P-11-05-16</t>
  </si>
  <si>
    <t>CF-P-11-05-17</t>
  </si>
  <si>
    <t>CF-P-11-06-01</t>
  </si>
  <si>
    <t>CF-P-11-06-02</t>
  </si>
  <si>
    <t>CF-P-11-06-03</t>
  </si>
  <si>
    <t>CF-P-11-06-04</t>
  </si>
  <si>
    <t>CF-P-11-06-05</t>
  </si>
  <si>
    <t>CF-P-11-06-06</t>
  </si>
  <si>
    <t>CF-P-11-06-07</t>
  </si>
  <si>
    <t>CF-P-11-06-08</t>
  </si>
  <si>
    <t>CF-P-11-06-09</t>
  </si>
  <si>
    <t>CF-P-11-06-10</t>
  </si>
  <si>
    <t>CF-P-11-06-11</t>
  </si>
  <si>
    <t>CF-P-11-06-12</t>
  </si>
  <si>
    <t>CF-P-11-06-13</t>
  </si>
  <si>
    <t>CF-P-11-06-14</t>
  </si>
  <si>
    <t>CF-P-11-06-15</t>
  </si>
  <si>
    <t>CF-P-11-06-16</t>
  </si>
  <si>
    <t>CF-P-11-06-17</t>
  </si>
  <si>
    <t>CF-P-11-07-01</t>
  </si>
  <si>
    <t>CF-P-11-07-02</t>
  </si>
  <si>
    <t>CF-P-11-07-03</t>
  </si>
  <si>
    <t>CF-P-11-07-04</t>
  </si>
  <si>
    <t>CF-P-11-07-05</t>
  </si>
  <si>
    <t>CF-P-11-07-06</t>
  </si>
  <si>
    <t>CF-P-11-07-07</t>
  </si>
  <si>
    <t>CF-P-11-07-08</t>
  </si>
  <si>
    <t>CF-P-11-07-09</t>
  </si>
  <si>
    <t>CF-P-11-07-10</t>
  </si>
  <si>
    <t>CF-P-11-07-11</t>
  </si>
  <si>
    <t>CF-P-11-07-12</t>
  </si>
  <si>
    <t>CF-P-11-07-13</t>
  </si>
  <si>
    <t>CF-P-11-07-14</t>
  </si>
  <si>
    <t>CF-P-11-07-15</t>
  </si>
  <si>
    <t>CF-P-11-07-16</t>
  </si>
  <si>
    <t>CF-P-11-07-17</t>
  </si>
  <si>
    <t>CF-P-11-08-01</t>
  </si>
  <si>
    <t>CF-P-11-08-02</t>
  </si>
  <si>
    <t>CF-P-11-08-03</t>
  </si>
  <si>
    <t>CF-P-11-08-04</t>
  </si>
  <si>
    <t>CF-P-11-08-05</t>
  </si>
  <si>
    <t>CF-P-11-08-06</t>
  </si>
  <si>
    <t>CF-P-11-08-07</t>
  </si>
  <si>
    <t>CF-P-11-08-08</t>
  </si>
  <si>
    <t>CF-P-11-08-09</t>
  </si>
  <si>
    <t>CF-P-11-08-10</t>
  </si>
  <si>
    <t>CF-P-11-08-11</t>
  </si>
  <si>
    <t>CF-P-11-08-12</t>
  </si>
  <si>
    <t>CF-P-11-08-13</t>
  </si>
  <si>
    <t>CF-P-11-08-14</t>
  </si>
  <si>
    <t>CF-P-11-08-15</t>
  </si>
  <si>
    <t>CF-P-11-08-16</t>
  </si>
  <si>
    <t>CF-P-11-08-17</t>
  </si>
  <si>
    <t>CF-P-11-09-01</t>
  </si>
  <si>
    <t>CF-P-11-09-02</t>
  </si>
  <si>
    <t>CF-P-11-09-03</t>
  </si>
  <si>
    <t>CF-P-11-09-04</t>
  </si>
  <si>
    <t>CF-P-11-09-05</t>
  </si>
  <si>
    <t>CF-P-11-09-06</t>
  </si>
  <si>
    <t>CF-P-11-09-07</t>
  </si>
  <si>
    <t>CF-P-11-09-08</t>
  </si>
  <si>
    <t>CF-P-11-09-09</t>
  </si>
  <si>
    <t>CF-P-11-09-10</t>
  </si>
  <si>
    <t>CF-P-11-09-11</t>
  </si>
  <si>
    <t>CF-P-11-09-12</t>
  </si>
  <si>
    <t>CF-P-11-09-13</t>
  </si>
  <si>
    <t>CF-P-11-09-14</t>
  </si>
  <si>
    <t>CF-P-11-09-15</t>
  </si>
  <si>
    <t>CF-P-11-09-16</t>
  </si>
  <si>
    <t>CF-P-11-09-17</t>
  </si>
  <si>
    <t>CF-P-11-10-01</t>
  </si>
  <si>
    <t>CF-P-11-10-02</t>
  </si>
  <si>
    <t>CF-P-11-10-03</t>
  </si>
  <si>
    <t>CF-P-11-10-04</t>
  </si>
  <si>
    <t>CF-P-11-10-05</t>
  </si>
  <si>
    <t>CF-P-11-10-06</t>
  </si>
  <si>
    <t>CF-P-11-10-07</t>
  </si>
  <si>
    <t>CF-P-11-10-08</t>
  </si>
  <si>
    <t>CF-P-11-10-09</t>
  </si>
  <si>
    <t>CF-P-11-10-10</t>
  </si>
  <si>
    <t>CF-P-11-10-11</t>
  </si>
  <si>
    <t>CF-P-11-10-12</t>
  </si>
  <si>
    <t>CF-P-11-10-13</t>
  </si>
  <si>
    <t>CF-P-11-10-14</t>
  </si>
  <si>
    <t>CF-P-11-10-15</t>
  </si>
  <si>
    <t>CF-P-11-10-16</t>
  </si>
  <si>
    <t>CF-P-11-10-17</t>
  </si>
  <si>
    <t>CF-P-11-11-01</t>
  </si>
  <si>
    <t>CF-P-11-11-02</t>
  </si>
  <si>
    <t>CF-P-11-11-03</t>
  </si>
  <si>
    <t>CF-P-11-11-04</t>
  </si>
  <si>
    <t>CF-P-11-11-05</t>
  </si>
  <si>
    <t>CF-P-11-11-06</t>
  </si>
  <si>
    <t>CF-P-11-11-07</t>
  </si>
  <si>
    <t>CF-P-11-11-08</t>
  </si>
  <si>
    <t>CF-P-11-11-09</t>
  </si>
  <si>
    <t>CF-P-11-11-10</t>
  </si>
  <si>
    <t>CF-P-11-11-11</t>
  </si>
  <si>
    <t>CF-P-11-11-12</t>
  </si>
  <si>
    <t>CF-P-11-11-13</t>
  </si>
  <si>
    <t>CF-P-11-11-14</t>
  </si>
  <si>
    <t>CF-P-11-11-15</t>
  </si>
  <si>
    <t>CF-P-11-11-16</t>
  </si>
  <si>
    <t>CF-P-11-11-17</t>
  </si>
  <si>
    <t>CF-P-11-12-01</t>
  </si>
  <si>
    <t>CF-P-11-12-02</t>
  </si>
  <si>
    <t>CF-P-11-12-03</t>
  </si>
  <si>
    <t>CF-P-11-12-04</t>
  </si>
  <si>
    <t>CF-P-11-12-05</t>
  </si>
  <si>
    <t>CF-P-11-12-06</t>
  </si>
  <si>
    <t>CF-P-11-12-07</t>
  </si>
  <si>
    <t>CF-P-11-12-08</t>
  </si>
  <si>
    <t>CF-P-11-12-09</t>
  </si>
  <si>
    <t>CF-P-11-12-10</t>
  </si>
  <si>
    <t>CF-P-11-12-11</t>
  </si>
  <si>
    <t>CF-P-11-12-12</t>
  </si>
  <si>
    <t>CF-P-11-12-13</t>
  </si>
  <si>
    <t>CF-P-11-12-14</t>
  </si>
  <si>
    <t>CF-P-11-12-15</t>
  </si>
  <si>
    <t>CF-P-11-12-16</t>
  </si>
  <si>
    <t>CF-P-11-12-17</t>
  </si>
  <si>
    <t>CF-P-11-13-01</t>
  </si>
  <si>
    <t>CF-P-11-13-02</t>
  </si>
  <si>
    <t>CF-P-11-13-03</t>
  </si>
  <si>
    <t>CF-P-11-13-04</t>
  </si>
  <si>
    <t>CF-P-11-13-05</t>
  </si>
  <si>
    <t>CF-P-11-13-06</t>
  </si>
  <si>
    <t>CF-P-11-13-07</t>
  </si>
  <si>
    <t>CF-P-11-13-08</t>
  </si>
  <si>
    <t>CF-P-11-13-09</t>
  </si>
  <si>
    <t>CF-P-11-13-10</t>
  </si>
  <si>
    <t>CF-P-11-13-11</t>
  </si>
  <si>
    <t>CF-P-11-13-12</t>
  </si>
  <si>
    <t>CF-P-11-13-13</t>
  </si>
  <si>
    <t>CF-P-11-13-14</t>
  </si>
  <si>
    <t>CF-P-11-13-15</t>
  </si>
  <si>
    <t>CF-P-11-13-16</t>
  </si>
  <si>
    <t>CF-P-11-13-17</t>
  </si>
  <si>
    <t>CF-P-11-14-01</t>
  </si>
  <si>
    <t>CF-P-11-14-02</t>
  </si>
  <si>
    <t>CF-P-11-14-03</t>
  </si>
  <si>
    <t>CF-P-11-14-04</t>
  </si>
  <si>
    <t>CF-P-11-14-05</t>
  </si>
  <si>
    <t>CF-P-11-14-06</t>
  </si>
  <si>
    <t>CF-P-11-14-07</t>
  </si>
  <si>
    <t>CF-P-11-14-08</t>
  </si>
  <si>
    <t>CF-P-11-14-09</t>
  </si>
  <si>
    <t>CF-P-11-14-10</t>
  </si>
  <si>
    <t>CF-P-11-14-11</t>
  </si>
  <si>
    <t>CF-P-11-14-12</t>
  </si>
  <si>
    <t>CF-P-11-14-13</t>
  </si>
  <si>
    <t>CF-P-11-14-14</t>
  </si>
  <si>
    <t>CF-P-11-14-15</t>
  </si>
  <si>
    <t>CF-P-11-14-16</t>
  </si>
  <si>
    <t>CF-P-11-14-17</t>
  </si>
  <si>
    <t>CF-P-11-15-01</t>
  </si>
  <si>
    <t>CF-P-11-15-02</t>
  </si>
  <si>
    <t>CF-P-11-15-03</t>
  </si>
  <si>
    <t>CF-P-11-15-04</t>
  </si>
  <si>
    <t>CF-P-11-15-05</t>
  </si>
  <si>
    <t>CF-P-11-15-06</t>
  </si>
  <si>
    <t>CF-P-11-15-07</t>
  </si>
  <si>
    <t>CF-P-11-15-08</t>
  </si>
  <si>
    <t>CF-P-11-15-09</t>
  </si>
  <si>
    <t>CF-P-11-15-10</t>
  </si>
  <si>
    <t>CF-P-11-15-11</t>
  </si>
  <si>
    <t>CF-P-11-15-12</t>
  </si>
  <si>
    <t>CF-P-11-15-13</t>
  </si>
  <si>
    <t>CF-P-11-15-14</t>
  </si>
  <si>
    <t>CF-P-11-15-15</t>
  </si>
  <si>
    <t>CF-P-11-15-16</t>
  </si>
  <si>
    <t>CF-P-11-15-17</t>
  </si>
  <si>
    <t>CF-P-11-16-01</t>
  </si>
  <si>
    <t>CF-P-11-16-02</t>
  </si>
  <si>
    <t>CF-P-11-16-03</t>
  </si>
  <si>
    <t>CF-P-11-16-04</t>
  </si>
  <si>
    <t>CF-P-11-16-05</t>
  </si>
  <si>
    <t>CF-P-11-16-06</t>
  </si>
  <si>
    <t>CF-P-11-16-07</t>
  </si>
  <si>
    <t>CF-P-11-16-08</t>
  </si>
  <si>
    <t>CF-P-11-16-09</t>
  </si>
  <si>
    <t>CF-P-11-16-10</t>
  </si>
  <si>
    <t>CF-P-11-16-11</t>
  </si>
  <si>
    <t>CF-P-11-16-12</t>
  </si>
  <si>
    <t>CF-P-11-16-13</t>
  </si>
  <si>
    <t>CF-P-11-16-14</t>
  </si>
  <si>
    <t>CF-P-11-16-15</t>
  </si>
  <si>
    <t>CF-P-11-16-16</t>
  </si>
  <si>
    <t>CF-P-11-16-17</t>
  </si>
  <si>
    <t>CF-P-11-17-01</t>
  </si>
  <si>
    <t>CF-P-11-17-02</t>
  </si>
  <si>
    <t>CF-P-11-17-03</t>
  </si>
  <si>
    <t>CF-P-11-17-04</t>
  </si>
  <si>
    <t>CF-P-11-17-05</t>
  </si>
  <si>
    <t>CF-P-11-17-06</t>
  </si>
  <si>
    <t>CF-P-11-17-07</t>
  </si>
  <si>
    <t>CF-P-11-17-08</t>
  </si>
  <si>
    <t>CF-P-11-17-09</t>
  </si>
  <si>
    <t>CF-P-11-17-10</t>
  </si>
  <si>
    <t>CF-P-11-17-11</t>
  </si>
  <si>
    <t>CF-P-11-17-12</t>
  </si>
  <si>
    <t>CF-P-11-17-13</t>
  </si>
  <si>
    <t>CF-P-11-17-14</t>
  </si>
  <si>
    <t>CF-P-11-17-15</t>
  </si>
  <si>
    <t>CF-P-11-17-16</t>
  </si>
  <si>
    <t>CF-P-11-17-17</t>
  </si>
  <si>
    <t>CF-P-12-01-01</t>
  </si>
  <si>
    <t>CF-P-12-01-02</t>
  </si>
  <si>
    <t>CF-P-12-01-03</t>
  </si>
  <si>
    <t>CF-P-12-01-04</t>
  </si>
  <si>
    <t>CF-P-12-01-05</t>
  </si>
  <si>
    <t>CF-P-12-01-06</t>
  </si>
  <si>
    <t>CF-P-12-01-07</t>
  </si>
  <si>
    <t>CF-P-12-01-08</t>
  </si>
  <si>
    <t>CF-P-12-01-09</t>
  </si>
  <si>
    <t>CF-P-12-01-10</t>
  </si>
  <si>
    <t>CF-P-12-01-11</t>
  </si>
  <si>
    <t>CF-P-12-01-12</t>
  </si>
  <si>
    <t>CF-P-12-01-13</t>
  </si>
  <si>
    <t>CF-P-12-01-14</t>
  </si>
  <si>
    <t>CF-P-12-01-15</t>
  </si>
  <si>
    <t>CF-P-12-01-16</t>
  </si>
  <si>
    <t>CF-P-12-01-17</t>
  </si>
  <si>
    <t>CF-P-12-02-01</t>
  </si>
  <si>
    <t>CF-P-12-02-02</t>
  </si>
  <si>
    <t>CF-P-12-02-03</t>
  </si>
  <si>
    <t>CF-P-12-02-04</t>
  </si>
  <si>
    <t>CF-P-12-02-05</t>
  </si>
  <si>
    <t>CF-P-12-02-06</t>
  </si>
  <si>
    <t>CF-P-12-02-07</t>
  </si>
  <si>
    <t>CF-P-12-02-08</t>
  </si>
  <si>
    <t>CF-P-12-02-09</t>
  </si>
  <si>
    <t>CF-P-12-02-10</t>
  </si>
  <si>
    <t>CF-P-12-02-11</t>
  </si>
  <si>
    <t>CF-P-12-02-12</t>
  </si>
  <si>
    <t>CF-P-12-02-13</t>
  </si>
  <si>
    <t>CF-P-12-02-14</t>
  </si>
  <si>
    <t>CF-P-12-02-15</t>
  </si>
  <si>
    <t>CF-P-12-02-16</t>
  </si>
  <si>
    <t>CF-P-12-02-17</t>
  </si>
  <si>
    <t>CF-P-12-03-01</t>
  </si>
  <si>
    <t>CF-P-12-03-02</t>
  </si>
  <si>
    <t>CF-P-12-03-03</t>
  </si>
  <si>
    <t>CF-P-12-03-04</t>
  </si>
  <si>
    <t>CF-P-12-03-05</t>
  </si>
  <si>
    <t>CF-P-12-03-06</t>
  </si>
  <si>
    <t>CF-P-12-03-07</t>
  </si>
  <si>
    <t>CF-P-12-03-08</t>
  </si>
  <si>
    <t>CF-P-12-03-09</t>
  </si>
  <si>
    <t>CF-P-12-03-10</t>
  </si>
  <si>
    <t>CF-P-12-03-11</t>
  </si>
  <si>
    <t>CF-P-12-03-12</t>
  </si>
  <si>
    <t>CF-P-12-03-13</t>
  </si>
  <si>
    <t>CF-P-12-03-14</t>
  </si>
  <si>
    <t>CF-P-12-03-15</t>
  </si>
  <si>
    <t>CF-P-12-03-16</t>
  </si>
  <si>
    <t>CF-P-12-03-17</t>
  </si>
  <si>
    <t>CF-P-12-04-01</t>
  </si>
  <si>
    <t>CF-P-12-04-02</t>
  </si>
  <si>
    <t>CF-P-12-04-03</t>
  </si>
  <si>
    <t>CF-P-12-04-04</t>
  </si>
  <si>
    <t>CF-P-12-04-05</t>
  </si>
  <si>
    <t>CF-P-12-04-06</t>
  </si>
  <si>
    <t>CF-P-12-04-07</t>
  </si>
  <si>
    <t>CF-P-12-04-08</t>
  </si>
  <si>
    <t>CF-P-12-04-09</t>
  </si>
  <si>
    <t>CF-P-12-04-10</t>
  </si>
  <si>
    <t>CF-P-12-04-11</t>
  </si>
  <si>
    <t>CF-P-12-04-12</t>
  </si>
  <si>
    <t>CF-P-12-04-13</t>
  </si>
  <si>
    <t>CF-P-12-04-14</t>
  </si>
  <si>
    <t>CF-P-12-04-15</t>
  </si>
  <si>
    <t>CF-P-12-04-16</t>
  </si>
  <si>
    <t>CF-P-12-04-17</t>
  </si>
  <si>
    <t>CF-P-12-05-01</t>
  </si>
  <si>
    <t>CF-P-12-05-02</t>
  </si>
  <si>
    <t>CF-P-12-05-03</t>
  </si>
  <si>
    <t>CF-P-12-05-04</t>
  </si>
  <si>
    <t>CF-P-12-05-05</t>
  </si>
  <si>
    <t>CF-P-12-05-06</t>
  </si>
  <si>
    <t>CF-P-12-05-07</t>
  </si>
  <si>
    <t>CF-P-12-05-08</t>
  </si>
  <si>
    <t>CF-P-12-05-09</t>
  </si>
  <si>
    <t>CF-P-12-05-10</t>
  </si>
  <si>
    <t>CF-P-12-05-11</t>
  </si>
  <si>
    <t>CF-P-12-05-12</t>
  </si>
  <si>
    <t>CF-P-12-05-13</t>
  </si>
  <si>
    <t>CF-P-12-05-14</t>
  </si>
  <si>
    <t>CF-P-12-05-15</t>
  </si>
  <si>
    <t>CF-P-12-05-16</t>
  </si>
  <si>
    <t>CF-P-12-05-17</t>
  </si>
  <si>
    <t>CF-P-12-06-01</t>
  </si>
  <si>
    <t>CF-P-12-06-02</t>
  </si>
  <si>
    <t>CF-P-12-06-03</t>
  </si>
  <si>
    <t>CF-P-12-06-04</t>
  </si>
  <si>
    <t>CF-P-12-06-05</t>
  </si>
  <si>
    <t>CF-P-12-06-06</t>
  </si>
  <si>
    <t>CF-P-12-06-07</t>
  </si>
  <si>
    <t>CF-P-12-06-08</t>
  </si>
  <si>
    <t>CF-P-12-06-09</t>
  </si>
  <si>
    <t>CF-P-12-06-10</t>
  </si>
  <si>
    <t>CF-P-12-06-11</t>
  </si>
  <si>
    <t>CF-P-12-06-12</t>
  </si>
  <si>
    <t>CF-P-12-06-13</t>
  </si>
  <si>
    <t>CF-P-12-06-14</t>
  </si>
  <si>
    <t>CF-P-12-06-15</t>
  </si>
  <si>
    <t>CF-P-12-06-16</t>
  </si>
  <si>
    <t>CF-P-12-06-17</t>
  </si>
  <si>
    <t>CF-P-12-07-01</t>
  </si>
  <si>
    <t>CF-P-12-07-02</t>
  </si>
  <si>
    <t>CF-P-12-07-03</t>
  </si>
  <si>
    <t>CF-P-12-07-04</t>
  </si>
  <si>
    <t>CF-P-12-07-05</t>
  </si>
  <si>
    <t>CF-P-12-07-06</t>
  </si>
  <si>
    <t>CF-P-12-07-07</t>
  </si>
  <si>
    <t>CF-P-12-07-08</t>
  </si>
  <si>
    <t>CF-P-12-07-09</t>
  </si>
  <si>
    <t>CF-P-12-07-10</t>
  </si>
  <si>
    <t>CF-P-12-07-11</t>
  </si>
  <si>
    <t>CF-P-12-07-12</t>
  </si>
  <si>
    <t>CF-P-12-07-13</t>
  </si>
  <si>
    <t>CF-P-12-07-14</t>
  </si>
  <si>
    <t>CF-P-12-07-15</t>
  </si>
  <si>
    <t>CF-P-12-07-16</t>
  </si>
  <si>
    <t>CF-P-12-07-17</t>
  </si>
  <si>
    <t>CF-P-12-08-01</t>
  </si>
  <si>
    <t>CF-P-12-08-02</t>
  </si>
  <si>
    <t>CF-P-12-08-03</t>
  </si>
  <si>
    <t>CF-P-12-08-04</t>
  </si>
  <si>
    <t>CF-P-12-08-05</t>
  </si>
  <si>
    <t>CF-P-12-08-06</t>
  </si>
  <si>
    <t>CF-P-12-08-07</t>
  </si>
  <si>
    <t>CF-P-12-08-08</t>
  </si>
  <si>
    <t>CF-P-12-08-09</t>
  </si>
  <si>
    <t>CF-P-12-08-10</t>
  </si>
  <si>
    <t>CF-P-12-08-11</t>
  </si>
  <si>
    <t>CF-P-12-08-12</t>
  </si>
  <si>
    <t>CF-P-12-08-13</t>
  </si>
  <si>
    <t>CF-P-12-08-14</t>
  </si>
  <si>
    <t>CF-P-12-08-15</t>
  </si>
  <si>
    <t>CF-P-12-08-16</t>
  </si>
  <si>
    <t>CF-P-12-08-17</t>
  </si>
  <si>
    <t>CF-P-12-09-01</t>
  </si>
  <si>
    <t>CF-P-12-09-02</t>
  </si>
  <si>
    <t>CF-P-12-09-03</t>
  </si>
  <si>
    <t>CF-P-12-09-04</t>
  </si>
  <si>
    <t>CF-P-12-09-05</t>
  </si>
  <si>
    <t>CF-P-12-09-06</t>
  </si>
  <si>
    <t>CF-P-12-09-07</t>
  </si>
  <si>
    <t>CF-P-12-09-08</t>
  </si>
  <si>
    <t>CF-P-12-09-09</t>
  </si>
  <si>
    <t>CF-P-12-09-10</t>
  </si>
  <si>
    <t>CF-P-12-09-11</t>
  </si>
  <si>
    <t>CF-P-12-09-12</t>
  </si>
  <si>
    <t>CF-P-12-09-13</t>
  </si>
  <si>
    <t>CF-P-12-09-14</t>
  </si>
  <si>
    <t>CF-P-12-09-15</t>
  </si>
  <si>
    <t>CF-P-12-09-16</t>
  </si>
  <si>
    <t>CF-P-12-09-17</t>
  </si>
  <si>
    <t>CF-P-12-10-01</t>
  </si>
  <si>
    <t>CF-P-12-10-02</t>
  </si>
  <si>
    <t>CF-P-12-10-03</t>
  </si>
  <si>
    <t>CF-P-12-10-04</t>
  </si>
  <si>
    <t>CF-P-12-10-05</t>
  </si>
  <si>
    <t>CF-P-12-10-06</t>
  </si>
  <si>
    <t>CF-P-12-10-07</t>
  </si>
  <si>
    <t>CF-P-12-10-08</t>
  </si>
  <si>
    <t>CF-P-12-10-09</t>
  </si>
  <si>
    <t>CF-P-12-10-10</t>
  </si>
  <si>
    <t>CF-P-12-10-11</t>
  </si>
  <si>
    <t>CF-P-12-10-12</t>
  </si>
  <si>
    <t>CF-P-12-10-13</t>
  </si>
  <si>
    <t>CF-P-12-10-14</t>
  </si>
  <si>
    <t>CF-P-12-10-15</t>
  </si>
  <si>
    <t>CF-P-12-10-16</t>
  </si>
  <si>
    <t>CF-P-12-10-17</t>
  </si>
  <si>
    <t>CF-P-12-11-01</t>
  </si>
  <si>
    <t>CF-P-12-11-02</t>
  </si>
  <si>
    <t>CF-P-12-11-03</t>
  </si>
  <si>
    <t>CF-P-12-11-04</t>
  </si>
  <si>
    <t>CF-P-12-11-05</t>
  </si>
  <si>
    <t>CF-P-12-11-06</t>
  </si>
  <si>
    <t>CF-P-12-11-07</t>
  </si>
  <si>
    <t>CF-P-12-11-08</t>
  </si>
  <si>
    <t>CF-P-12-11-09</t>
  </si>
  <si>
    <t>CF-P-12-11-10</t>
  </si>
  <si>
    <t>CF-P-12-11-11</t>
  </si>
  <si>
    <t>CF-P-12-11-12</t>
  </si>
  <si>
    <t>CF-P-12-11-13</t>
  </si>
  <si>
    <t>CF-P-12-11-14</t>
  </si>
  <si>
    <t>CF-P-12-11-15</t>
  </si>
  <si>
    <t>CF-P-12-11-16</t>
  </si>
  <si>
    <t>CF-P-12-11-17</t>
  </si>
  <si>
    <t>CF-P-12-12-01</t>
  </si>
  <si>
    <t>CF-P-12-12-02</t>
  </si>
  <si>
    <t>CF-P-12-12-03</t>
  </si>
  <si>
    <t>CF-P-12-12-04</t>
  </si>
  <si>
    <t>CF-P-12-12-05</t>
  </si>
  <si>
    <t>CF-P-12-12-06</t>
  </si>
  <si>
    <t>CF-P-12-12-07</t>
  </si>
  <si>
    <t>CF-P-12-12-08</t>
  </si>
  <si>
    <t>CF-P-12-12-09</t>
  </si>
  <si>
    <t>CF-P-12-12-10</t>
  </si>
  <si>
    <t>CF-P-12-12-11</t>
  </si>
  <si>
    <t>CF-P-12-12-12</t>
  </si>
  <si>
    <t>CF-P-12-12-13</t>
  </si>
  <si>
    <t>CF-P-12-12-14</t>
  </si>
  <si>
    <t>CF-P-12-12-15</t>
  </si>
  <si>
    <t>CF-P-12-12-16</t>
  </si>
  <si>
    <t>CF-P-12-12-17</t>
  </si>
  <si>
    <t>CF-P-12-13-01</t>
  </si>
  <si>
    <t>CF-P-12-13-02</t>
  </si>
  <si>
    <t>CF-P-12-13-03</t>
  </si>
  <si>
    <t>CF-P-12-13-04</t>
  </si>
  <si>
    <t>CF-P-12-13-05</t>
  </si>
  <si>
    <t>CF-P-12-13-06</t>
  </si>
  <si>
    <t>CF-P-12-13-07</t>
  </si>
  <si>
    <t>CF-P-12-13-08</t>
  </si>
  <si>
    <t>CF-P-12-13-09</t>
  </si>
  <si>
    <t>CF-P-12-13-10</t>
  </si>
  <si>
    <t>CF-P-12-13-11</t>
  </si>
  <si>
    <t>CF-P-12-13-12</t>
  </si>
  <si>
    <t>CF-P-12-13-13</t>
  </si>
  <si>
    <t>CF-P-12-13-14</t>
  </si>
  <si>
    <t>CF-P-12-13-15</t>
  </si>
  <si>
    <t>CF-P-12-13-16</t>
  </si>
  <si>
    <t>CF-P-12-13-17</t>
  </si>
  <si>
    <t>CF-P-12-14-01</t>
  </si>
  <si>
    <t>CF-P-12-14-02</t>
  </si>
  <si>
    <t>CF-P-12-14-03</t>
  </si>
  <si>
    <t>CF-P-12-14-04</t>
  </si>
  <si>
    <t>CF-P-12-14-05</t>
  </si>
  <si>
    <t>CF-P-12-14-06</t>
  </si>
  <si>
    <t>CF-P-12-14-07</t>
  </si>
  <si>
    <t>CF-P-12-14-08</t>
  </si>
  <si>
    <t>CF-P-12-14-09</t>
  </si>
  <si>
    <t>CF-P-12-14-10</t>
  </si>
  <si>
    <t>CF-P-12-14-11</t>
  </si>
  <si>
    <t>CF-P-12-14-12</t>
  </si>
  <si>
    <t>CF-P-12-14-13</t>
  </si>
  <si>
    <t>CF-P-12-14-14</t>
  </si>
  <si>
    <t>CF-P-12-14-15</t>
  </si>
  <si>
    <t>CF-P-12-14-16</t>
  </si>
  <si>
    <t>CF-P-12-14-17</t>
  </si>
  <si>
    <t>CF-P-12-15-01</t>
  </si>
  <si>
    <t>CF-P-12-15-02</t>
  </si>
  <si>
    <t>CF-P-12-15-03</t>
  </si>
  <si>
    <t>CF-P-12-15-04</t>
  </si>
  <si>
    <t>CF-P-12-15-05</t>
  </si>
  <si>
    <t>CF-P-12-15-06</t>
  </si>
  <si>
    <t>CF-P-12-15-07</t>
  </si>
  <si>
    <t>CF-P-12-15-08</t>
  </si>
  <si>
    <t>CF-P-12-15-09</t>
  </si>
  <si>
    <t>CF-P-12-15-10</t>
  </si>
  <si>
    <t>CF-P-12-15-11</t>
  </si>
  <si>
    <t>CF-P-12-15-12</t>
  </si>
  <si>
    <t>CF-P-12-15-13</t>
  </si>
  <si>
    <t>CF-P-12-15-14</t>
  </si>
  <si>
    <t>CF-P-12-15-15</t>
  </si>
  <si>
    <t>CF-P-12-15-16</t>
  </si>
  <si>
    <t>CF-P-12-15-17</t>
  </si>
  <si>
    <t>CF-P-12-16-01</t>
  </si>
  <si>
    <t>CF-P-12-16-02</t>
  </si>
  <si>
    <t>CF-P-12-16-03</t>
  </si>
  <si>
    <t>CF-P-12-16-04</t>
  </si>
  <si>
    <t>CF-P-12-16-05</t>
  </si>
  <si>
    <t>CF-P-12-16-06</t>
  </si>
  <si>
    <t>CF-P-12-16-07</t>
  </si>
  <si>
    <t>CF-P-12-16-08</t>
  </si>
  <si>
    <t>CF-P-12-16-09</t>
  </si>
  <si>
    <t>CF-P-12-16-10</t>
  </si>
  <si>
    <t>CF-P-12-16-11</t>
  </si>
  <si>
    <t>CF-P-12-16-12</t>
  </si>
  <si>
    <t>CF-P-12-16-13</t>
  </si>
  <si>
    <t>CF-P-12-16-14</t>
  </si>
  <si>
    <t>CF-P-12-16-15</t>
  </si>
  <si>
    <t>CF-P-12-16-16</t>
  </si>
  <si>
    <t>CF-P-12-16-17</t>
  </si>
  <si>
    <t>CF-P-12-17-01</t>
  </si>
  <si>
    <t>CF-P-12-17-02</t>
  </si>
  <si>
    <t>CF-P-12-17-03</t>
  </si>
  <si>
    <t>CF-P-12-17-04</t>
  </si>
  <si>
    <t>CF-P-12-17-05</t>
  </si>
  <si>
    <t>CF-P-12-17-06</t>
  </si>
  <si>
    <t>CF-P-12-17-07</t>
  </si>
  <si>
    <t>CF-P-12-17-08</t>
  </si>
  <si>
    <t>CF-P-12-17-09</t>
  </si>
  <si>
    <t>CF-P-12-17-10</t>
  </si>
  <si>
    <t>CF-P-12-17-11</t>
  </si>
  <si>
    <t>CF-P-12-17-12</t>
  </si>
  <si>
    <t>CF-P-12-17-13</t>
  </si>
  <si>
    <t>CF-P-12-17-14</t>
  </si>
  <si>
    <t>CF-P-12-17-15</t>
  </si>
  <si>
    <t>CF-P-12-17-16</t>
  </si>
  <si>
    <t>CF-P-12-17-17</t>
  </si>
  <si>
    <t>CF-P-13-01-01</t>
  </si>
  <si>
    <t>CF-P-13-01-02</t>
  </si>
  <si>
    <t>CF-P-13-01-03</t>
  </si>
  <si>
    <t>CF-P-13-01-04</t>
  </si>
  <si>
    <t>CF-P-13-01-05</t>
  </si>
  <si>
    <t>CF-P-13-01-06</t>
  </si>
  <si>
    <t>CF-P-13-01-07</t>
  </si>
  <si>
    <t>CF-P-13-01-08</t>
  </si>
  <si>
    <t>CF-P-13-01-09</t>
  </si>
  <si>
    <t>CF-P-13-01-10</t>
  </si>
  <si>
    <t>CF-P-13-01-11</t>
  </si>
  <si>
    <t>CF-P-13-01-12</t>
  </si>
  <si>
    <t>CF-P-13-01-13</t>
  </si>
  <si>
    <t>CF-P-13-01-14</t>
  </si>
  <si>
    <t>CF-P-13-01-15</t>
  </si>
  <si>
    <t>CF-P-13-01-16</t>
  </si>
  <si>
    <t>CF-P-13-01-17</t>
  </si>
  <si>
    <t>CF-P-13-02-01</t>
  </si>
  <si>
    <t>CF-P-13-02-02</t>
  </si>
  <si>
    <t>CF-P-13-02-03</t>
  </si>
  <si>
    <t>CF-P-13-02-04</t>
  </si>
  <si>
    <t>CF-P-13-02-05</t>
  </si>
  <si>
    <t>CF-P-13-02-06</t>
  </si>
  <si>
    <t>CF-P-13-02-07</t>
  </si>
  <si>
    <t>CF-P-13-02-08</t>
  </si>
  <si>
    <t>CF-P-13-02-09</t>
  </si>
  <si>
    <t>CF-P-13-02-10</t>
  </si>
  <si>
    <t>CF-P-13-02-11</t>
  </si>
  <si>
    <t>CF-P-13-02-12</t>
  </si>
  <si>
    <t>CF-P-13-02-13</t>
  </si>
  <si>
    <t>CF-P-13-02-14</t>
  </si>
  <si>
    <t>CF-P-13-02-15</t>
  </si>
  <si>
    <t>CF-P-13-02-16</t>
  </si>
  <si>
    <t>CF-P-13-02-17</t>
  </si>
  <si>
    <t>CF-P-13-03-01</t>
  </si>
  <si>
    <t>CF-P-13-03-02</t>
  </si>
  <si>
    <t>CF-P-13-03-03</t>
  </si>
  <si>
    <t>CF-P-13-03-04</t>
  </si>
  <si>
    <t>CF-P-13-03-05</t>
  </si>
  <si>
    <t>CF-P-13-03-06</t>
  </si>
  <si>
    <t>CF-P-13-03-07</t>
  </si>
  <si>
    <t>CF-P-13-03-08</t>
  </si>
  <si>
    <t>CF-P-13-03-09</t>
  </si>
  <si>
    <t>CF-P-13-03-10</t>
  </si>
  <si>
    <t>CF-P-13-03-11</t>
  </si>
  <si>
    <t>CF-P-13-03-12</t>
  </si>
  <si>
    <t>CF-P-13-03-13</t>
  </si>
  <si>
    <t>CF-P-13-03-14</t>
  </si>
  <si>
    <t>CF-P-13-03-15</t>
  </si>
  <si>
    <t>CF-P-13-03-16</t>
  </si>
  <si>
    <t>CF-P-13-03-17</t>
  </si>
  <si>
    <t>CF-P-13-04-01</t>
  </si>
  <si>
    <t>CF-P-13-04-02</t>
  </si>
  <si>
    <t>CF-P-13-04-03</t>
  </si>
  <si>
    <t>CF-P-13-04-04</t>
  </si>
  <si>
    <t>CF-P-13-04-05</t>
  </si>
  <si>
    <t>CF-P-13-04-06</t>
  </si>
  <si>
    <t>CF-P-13-04-07</t>
  </si>
  <si>
    <t>CF-P-13-04-08</t>
  </si>
  <si>
    <t>CF-P-13-04-09</t>
  </si>
  <si>
    <t>CF-P-13-04-10</t>
  </si>
  <si>
    <t>CF-P-13-04-11</t>
  </si>
  <si>
    <t>CF-P-13-04-12</t>
  </si>
  <si>
    <t>CF-P-13-04-13</t>
  </si>
  <si>
    <t>CF-P-13-04-14</t>
  </si>
  <si>
    <t>CF-P-13-04-15</t>
  </si>
  <si>
    <t>CF-P-13-04-16</t>
  </si>
  <si>
    <t>CF-P-13-04-17</t>
  </si>
  <si>
    <t>CF-P-13-05-01</t>
  </si>
  <si>
    <t>CF-P-13-05-02</t>
  </si>
  <si>
    <t>CF-P-13-05-03</t>
  </si>
  <si>
    <t>CF-P-13-05-04</t>
  </si>
  <si>
    <t>CF-P-13-05-05</t>
  </si>
  <si>
    <t>CF-P-13-05-06</t>
  </si>
  <si>
    <t>CF-P-13-05-07</t>
  </si>
  <si>
    <t>CF-P-13-05-08</t>
  </si>
  <si>
    <t>CF-P-13-05-09</t>
  </si>
  <si>
    <t>CF-P-13-05-10</t>
  </si>
  <si>
    <t>CF-P-13-05-11</t>
  </si>
  <si>
    <t>CF-P-13-05-12</t>
  </si>
  <si>
    <t>CF-P-13-05-13</t>
  </si>
  <si>
    <t>CF-P-13-05-14</t>
  </si>
  <si>
    <t>CF-P-13-05-15</t>
  </si>
  <si>
    <t>CF-P-13-05-16</t>
  </si>
  <si>
    <t>CF-P-13-05-17</t>
  </si>
  <si>
    <t>CF-P-13-06-01</t>
  </si>
  <si>
    <t>CF-P-13-06-02</t>
  </si>
  <si>
    <t>CF-P-13-06-03</t>
  </si>
  <si>
    <t>CF-P-13-06-04</t>
  </si>
  <si>
    <t>CF-P-13-06-05</t>
  </si>
  <si>
    <t>CF-P-13-06-06</t>
  </si>
  <si>
    <t>CF-P-13-06-07</t>
  </si>
  <si>
    <t>CF-P-13-06-08</t>
  </si>
  <si>
    <t>CF-P-13-06-09</t>
  </si>
  <si>
    <t>CF-P-13-06-10</t>
  </si>
  <si>
    <t>CF-P-13-06-11</t>
  </si>
  <si>
    <t>CF-P-13-06-12</t>
  </si>
  <si>
    <t>CF-P-13-06-13</t>
  </si>
  <si>
    <t>CF-P-13-06-14</t>
  </si>
  <si>
    <t>CF-P-13-06-15</t>
  </si>
  <si>
    <t>CF-P-13-06-16</t>
  </si>
  <si>
    <t>CF-P-13-06-17</t>
  </si>
  <si>
    <t>CF-P-13-07-01</t>
  </si>
  <si>
    <t>CF-P-13-07-02</t>
  </si>
  <si>
    <t>CF-P-13-07-03</t>
  </si>
  <si>
    <t>CF-P-13-07-04</t>
  </si>
  <si>
    <t>CF-P-13-07-05</t>
  </si>
  <si>
    <t>CF-P-13-07-06</t>
  </si>
  <si>
    <t>CF-P-13-07-07</t>
  </si>
  <si>
    <t>CF-P-13-07-08</t>
  </si>
  <si>
    <t>CF-P-13-07-09</t>
  </si>
  <si>
    <t>CF-P-13-07-10</t>
  </si>
  <si>
    <t>CF-P-13-07-11</t>
  </si>
  <si>
    <t>CF-P-13-07-12</t>
  </si>
  <si>
    <t>CF-P-13-07-13</t>
  </si>
  <si>
    <t>CF-P-13-07-14</t>
  </si>
  <si>
    <t>CF-P-13-07-15</t>
  </si>
  <si>
    <t>CF-P-13-07-16</t>
  </si>
  <si>
    <t>CF-P-13-07-17</t>
  </si>
  <si>
    <t>CF-P-13-08-01</t>
  </si>
  <si>
    <t>CF-P-13-08-02</t>
  </si>
  <si>
    <t>CF-P-13-08-03</t>
  </si>
  <si>
    <t>CF-P-13-08-04</t>
  </si>
  <si>
    <t>CF-P-13-08-05</t>
  </si>
  <si>
    <t>CF-P-13-08-06</t>
  </si>
  <si>
    <t>CF-P-13-08-07</t>
  </si>
  <si>
    <t>CF-P-13-08-08</t>
  </si>
  <si>
    <t>CF-P-13-08-09</t>
  </si>
  <si>
    <t>CF-P-13-08-10</t>
  </si>
  <si>
    <t>CF-P-13-08-11</t>
  </si>
  <si>
    <t>CF-P-13-08-12</t>
  </si>
  <si>
    <t>CF-P-13-08-13</t>
  </si>
  <si>
    <t>CF-P-13-08-14</t>
  </si>
  <si>
    <t>CF-P-13-08-15</t>
  </si>
  <si>
    <t>CF-P-13-08-16</t>
  </si>
  <si>
    <t>CF-P-13-08-17</t>
  </si>
  <si>
    <t>CF-P-13-09-01</t>
  </si>
  <si>
    <t>CF-P-13-09-02</t>
  </si>
  <si>
    <t>CF-P-13-09-03</t>
  </si>
  <si>
    <t>CF-P-13-09-04</t>
  </si>
  <si>
    <t>CF-P-13-09-05</t>
  </si>
  <si>
    <t>CF-P-13-09-06</t>
  </si>
  <si>
    <t>CF-P-13-09-07</t>
  </si>
  <si>
    <t>CF-P-13-09-08</t>
  </si>
  <si>
    <t>CF-P-13-09-09</t>
  </si>
  <si>
    <t>CF-P-13-09-10</t>
  </si>
  <si>
    <t>CF-P-13-09-11</t>
  </si>
  <si>
    <t>CF-P-13-09-12</t>
  </si>
  <si>
    <t>CF-P-13-09-13</t>
  </si>
  <si>
    <t>CF-P-13-09-14</t>
  </si>
  <si>
    <t>CF-P-13-09-15</t>
  </si>
  <si>
    <t>CF-P-13-09-16</t>
  </si>
  <si>
    <t>CF-P-13-09-17</t>
  </si>
  <si>
    <t>CF-P-13-10-01</t>
  </si>
  <si>
    <t>CF-P-13-10-02</t>
  </si>
  <si>
    <t>CF-P-13-10-03</t>
  </si>
  <si>
    <t>CF-P-13-10-04</t>
  </si>
  <si>
    <t>CF-P-13-10-05</t>
  </si>
  <si>
    <t>CF-P-13-10-06</t>
  </si>
  <si>
    <t>CF-P-13-10-07</t>
  </si>
  <si>
    <t>CF-P-13-10-08</t>
  </si>
  <si>
    <t>CF-P-13-10-09</t>
  </si>
  <si>
    <t>CF-P-13-10-10</t>
  </si>
  <si>
    <t>CF-P-13-10-11</t>
  </si>
  <si>
    <t>CF-P-13-10-12</t>
  </si>
  <si>
    <t>CF-P-13-10-13</t>
  </si>
  <si>
    <t>CF-P-13-10-14</t>
  </si>
  <si>
    <t>CF-P-13-10-15</t>
  </si>
  <si>
    <t>CF-P-13-10-16</t>
  </si>
  <si>
    <t>CF-P-13-10-17</t>
  </si>
  <si>
    <t>CF-P-13-11-01</t>
  </si>
  <si>
    <t>CF-P-13-11-02</t>
  </si>
  <si>
    <t>CF-P-13-11-03</t>
  </si>
  <si>
    <t>CF-P-13-11-04</t>
  </si>
  <si>
    <t>CF-P-13-11-05</t>
  </si>
  <si>
    <t>CF-P-13-11-06</t>
  </si>
  <si>
    <t>CF-P-13-11-07</t>
  </si>
  <si>
    <t>CF-P-13-11-08</t>
  </si>
  <si>
    <t>CF-P-13-11-09</t>
  </si>
  <si>
    <t>CF-P-13-11-10</t>
  </si>
  <si>
    <t>CF-P-13-11-11</t>
  </si>
  <si>
    <t>CF-P-13-11-12</t>
  </si>
  <si>
    <t>CF-P-13-11-13</t>
  </si>
  <si>
    <t>CF-P-13-11-14</t>
  </si>
  <si>
    <t>CF-P-13-11-15</t>
  </si>
  <si>
    <t>CF-P-13-11-16</t>
  </si>
  <si>
    <t>CF-P-13-11-17</t>
  </si>
  <si>
    <t>CF-P-13-12-01</t>
  </si>
  <si>
    <t>CF-P-13-12-02</t>
  </si>
  <si>
    <t>CF-P-13-12-03</t>
  </si>
  <si>
    <t>CF-P-13-12-04</t>
  </si>
  <si>
    <t>CF-P-13-12-05</t>
  </si>
  <si>
    <t>CF-P-13-12-06</t>
  </si>
  <si>
    <t>CF-P-13-12-07</t>
  </si>
  <si>
    <t>CF-P-13-12-08</t>
  </si>
  <si>
    <t>CF-P-13-12-09</t>
  </si>
  <si>
    <t>CF-P-13-12-10</t>
  </si>
  <si>
    <t>CF-P-13-12-11</t>
  </si>
  <si>
    <t>CF-P-13-12-12</t>
  </si>
  <si>
    <t>CF-P-13-12-13</t>
  </si>
  <si>
    <t>CF-P-13-12-14</t>
  </si>
  <si>
    <t>CF-P-13-12-15</t>
  </si>
  <si>
    <t>CF-P-13-12-16</t>
  </si>
  <si>
    <t>CF-P-13-12-17</t>
  </si>
  <si>
    <t>CF-P-13-13-01</t>
  </si>
  <si>
    <t>CF-P-13-13-02</t>
  </si>
  <si>
    <t>CF-P-13-13-03</t>
  </si>
  <si>
    <t>CF-P-13-13-04</t>
  </si>
  <si>
    <t>CF-P-13-13-05</t>
  </si>
  <si>
    <t>CF-P-13-13-06</t>
  </si>
  <si>
    <t>CF-P-13-13-07</t>
  </si>
  <si>
    <t>CF-P-13-13-08</t>
  </si>
  <si>
    <t>CF-P-13-13-09</t>
  </si>
  <si>
    <t>CF-P-13-13-10</t>
  </si>
  <si>
    <t>CF-P-13-13-11</t>
  </si>
  <si>
    <t>CF-P-13-13-12</t>
  </si>
  <si>
    <t>CF-P-13-13-13</t>
  </si>
  <si>
    <t>CF-P-13-13-14</t>
  </si>
  <si>
    <t>CF-P-13-13-15</t>
  </si>
  <si>
    <t>CF-P-13-13-16</t>
  </si>
  <si>
    <t>CF-P-13-13-17</t>
  </si>
  <si>
    <t>CF-P-13-14-01</t>
  </si>
  <si>
    <t>CF-P-13-14-02</t>
  </si>
  <si>
    <t>CF-P-13-14-03</t>
  </si>
  <si>
    <t>CF-P-13-14-04</t>
  </si>
  <si>
    <t>CF-P-13-14-05</t>
  </si>
  <si>
    <t>CF-P-13-14-06</t>
  </si>
  <si>
    <t>CF-P-13-14-07</t>
  </si>
  <si>
    <t>CF-P-13-14-08</t>
  </si>
  <si>
    <t>CF-P-13-14-09</t>
  </si>
  <si>
    <t>CF-P-13-14-10</t>
  </si>
  <si>
    <t>CF-P-13-14-11</t>
  </si>
  <si>
    <t>CF-P-13-14-12</t>
  </si>
  <si>
    <t>CF-P-13-14-13</t>
  </si>
  <si>
    <t>CF-P-13-14-14</t>
  </si>
  <si>
    <t>CF-P-13-14-15</t>
  </si>
  <si>
    <t>CF-P-13-14-16</t>
  </si>
  <si>
    <t>CF-P-13-14-17</t>
  </si>
  <si>
    <t>CF-P-13-15-01</t>
  </si>
  <si>
    <t>CF-P-13-15-02</t>
  </si>
  <si>
    <t>CF-P-13-15-03</t>
  </si>
  <si>
    <t>CF-P-13-15-04</t>
  </si>
  <si>
    <t>CF-P-13-15-05</t>
  </si>
  <si>
    <t>CF-P-13-15-06</t>
  </si>
  <si>
    <t>CF-P-13-15-07</t>
  </si>
  <si>
    <t>CF-P-13-15-08</t>
  </si>
  <si>
    <t>CF-P-13-15-09</t>
  </si>
  <si>
    <t>CF-P-13-15-10</t>
  </si>
  <si>
    <t>CF-P-13-15-11</t>
  </si>
  <si>
    <t>CF-P-13-15-12</t>
  </si>
  <si>
    <t>CF-P-13-15-13</t>
  </si>
  <si>
    <t>CF-P-13-15-14</t>
  </si>
  <si>
    <t>CF-P-13-15-15</t>
  </si>
  <si>
    <t>CF-P-13-15-16</t>
  </si>
  <si>
    <t>CF-P-13-15-17</t>
  </si>
  <si>
    <t>CF-P-13-16-01</t>
  </si>
  <si>
    <t>CF-P-13-16-02</t>
  </si>
  <si>
    <t>CF-P-13-16-03</t>
  </si>
  <si>
    <t>CF-P-13-16-04</t>
  </si>
  <si>
    <t>CF-P-13-16-05</t>
  </si>
  <si>
    <t>CF-P-13-16-06</t>
  </si>
  <si>
    <t>CF-P-13-16-07</t>
  </si>
  <si>
    <t>CF-P-13-16-08</t>
  </si>
  <si>
    <t>CF-P-13-16-09</t>
  </si>
  <si>
    <t>CF-P-13-16-10</t>
  </si>
  <si>
    <t>CF-P-13-16-11</t>
  </si>
  <si>
    <t>CF-P-13-16-12</t>
  </si>
  <si>
    <t>CF-P-13-16-13</t>
  </si>
  <si>
    <t>CF-P-13-16-14</t>
  </si>
  <si>
    <t>CF-P-13-16-15</t>
  </si>
  <si>
    <t>CF-P-13-16-16</t>
  </si>
  <si>
    <t>CF-P-13-16-17</t>
  </si>
  <si>
    <t>CF-P-13-17-01</t>
  </si>
  <si>
    <t>CF-P-13-17-02</t>
  </si>
  <si>
    <t>CF-P-13-17-03</t>
  </si>
  <si>
    <t>CF-P-13-17-04</t>
  </si>
  <si>
    <t>CF-P-13-17-05</t>
  </si>
  <si>
    <t>CF-P-13-17-06</t>
  </si>
  <si>
    <t>CF-P-13-17-07</t>
  </si>
  <si>
    <t>CF-P-13-17-08</t>
  </si>
  <si>
    <t>CF-P-13-17-09</t>
  </si>
  <si>
    <t>CF-P-13-17-10</t>
  </si>
  <si>
    <t>CF-P-13-17-11</t>
  </si>
  <si>
    <t>CF-P-13-17-12</t>
  </si>
  <si>
    <t>CF-P-13-17-13</t>
  </si>
  <si>
    <t>CF-P-13-17-14</t>
  </si>
  <si>
    <t>CF-P-13-17-15</t>
  </si>
  <si>
    <t>CF-P-13-17-16</t>
  </si>
  <si>
    <t>CF-P-13-17-17</t>
  </si>
  <si>
    <t>CF-P-14-01-01</t>
  </si>
  <si>
    <t>CF-P-14-01-02</t>
  </si>
  <si>
    <t>CF-P-14-01-03</t>
  </si>
  <si>
    <t>CF-P-14-01-04</t>
  </si>
  <si>
    <t>CF-P-14-01-05</t>
  </si>
  <si>
    <t>CF-P-14-01-06</t>
  </si>
  <si>
    <t>CF-P-14-01-07</t>
  </si>
  <si>
    <t>CF-P-14-01-08</t>
  </si>
  <si>
    <t>CF-P-14-01-09</t>
  </si>
  <si>
    <t>CF-P-14-01-10</t>
  </si>
  <si>
    <t>CF-P-14-01-11</t>
  </si>
  <si>
    <t>CF-P-14-01-12</t>
  </si>
  <si>
    <t>CF-P-14-01-13</t>
  </si>
  <si>
    <t>CF-P-14-01-14</t>
  </si>
  <si>
    <t>CF-P-14-01-15</t>
  </si>
  <si>
    <t>CF-P-14-01-16</t>
  </si>
  <si>
    <t>CF-P-14-01-17</t>
  </si>
  <si>
    <t>CF-P-14-02-01</t>
  </si>
  <si>
    <t>CF-P-14-02-02</t>
  </si>
  <si>
    <t>CF-P-14-02-03</t>
  </si>
  <si>
    <t>CF-P-14-02-04</t>
  </si>
  <si>
    <t>CF-P-14-02-05</t>
  </si>
  <si>
    <t>CF-P-14-02-06</t>
  </si>
  <si>
    <t>CF-P-14-02-07</t>
  </si>
  <si>
    <t>CF-P-14-02-08</t>
  </si>
  <si>
    <t>CF-P-14-02-09</t>
  </si>
  <si>
    <t>CF-P-14-02-10</t>
  </si>
  <si>
    <t>CF-P-14-02-11</t>
  </si>
  <si>
    <t>CF-P-14-02-12</t>
  </si>
  <si>
    <t>CF-P-14-02-13</t>
  </si>
  <si>
    <t>CF-P-14-02-14</t>
  </si>
  <si>
    <t>CF-P-14-02-15</t>
  </si>
  <si>
    <t>CF-P-14-02-16</t>
  </si>
  <si>
    <t>CF-P-14-02-17</t>
  </si>
  <si>
    <t>CF-P-14-03-01</t>
  </si>
  <si>
    <t>CF-P-14-03-02</t>
  </si>
  <si>
    <t>CF-P-14-03-03</t>
  </si>
  <si>
    <t>CF-P-14-03-04</t>
  </si>
  <si>
    <t>CF-P-14-03-05</t>
  </si>
  <si>
    <t>CF-P-14-03-06</t>
  </si>
  <si>
    <t>CF-P-14-03-07</t>
  </si>
  <si>
    <t>CF-P-14-03-08</t>
  </si>
  <si>
    <t>CF-P-14-03-09</t>
  </si>
  <si>
    <t>CF-P-14-03-10</t>
  </si>
  <si>
    <t>CF-P-14-03-11</t>
  </si>
  <si>
    <t>CF-P-14-03-12</t>
  </si>
  <si>
    <t>CF-P-14-03-13</t>
  </si>
  <si>
    <t>CF-P-14-03-14</t>
  </si>
  <si>
    <t>CF-P-14-03-15</t>
  </si>
  <si>
    <t>CF-P-14-03-16</t>
  </si>
  <si>
    <t>CF-P-14-03-17</t>
  </si>
  <si>
    <t>CF-P-14-04-01</t>
  </si>
  <si>
    <t>CF-P-14-04-02</t>
  </si>
  <si>
    <t>CF-P-14-04-03</t>
  </si>
  <si>
    <t>CF-P-14-04-04</t>
  </si>
  <si>
    <t>CF-P-14-04-05</t>
  </si>
  <si>
    <t>CF-P-14-04-06</t>
  </si>
  <si>
    <t>CF-P-14-04-07</t>
  </si>
  <si>
    <t>CF-P-14-04-08</t>
  </si>
  <si>
    <t>CF-P-14-04-09</t>
  </si>
  <si>
    <t>CF-P-14-04-10</t>
  </si>
  <si>
    <t>CF-P-14-04-11</t>
  </si>
  <si>
    <t>CF-P-14-04-12</t>
  </si>
  <si>
    <t>CF-P-14-04-13</t>
  </si>
  <si>
    <t>CF-P-14-04-14</t>
  </si>
  <si>
    <t>CF-P-14-04-15</t>
  </si>
  <si>
    <t>CF-P-14-04-16</t>
  </si>
  <si>
    <t>CF-P-14-04-17</t>
  </si>
  <si>
    <t>CF-P-14-05-01</t>
  </si>
  <si>
    <t>CF-P-14-05-02</t>
  </si>
  <si>
    <t>CF-P-14-05-03</t>
  </si>
  <si>
    <t>CF-P-14-05-04</t>
  </si>
  <si>
    <t>CF-P-14-05-05</t>
  </si>
  <si>
    <t>CF-P-14-05-06</t>
  </si>
  <si>
    <t>CF-P-14-05-07</t>
  </si>
  <si>
    <t>CF-P-14-05-08</t>
  </si>
  <si>
    <t>CF-P-14-05-09</t>
  </si>
  <si>
    <t>CF-P-14-05-10</t>
  </si>
  <si>
    <t>CF-P-14-05-11</t>
  </si>
  <si>
    <t>CF-P-14-05-12</t>
  </si>
  <si>
    <t>CF-P-14-05-13</t>
  </si>
  <si>
    <t>CF-P-14-05-14</t>
  </si>
  <si>
    <t>CF-P-14-05-15</t>
  </si>
  <si>
    <t>CF-P-14-05-16</t>
  </si>
  <si>
    <t>CF-P-14-05-17</t>
  </si>
  <si>
    <t>CF-P-14-06-01</t>
  </si>
  <si>
    <t>CF-P-14-06-02</t>
  </si>
  <si>
    <t>CF-P-14-06-03</t>
  </si>
  <si>
    <t>CF-P-14-06-04</t>
  </si>
  <si>
    <t>CF-P-14-06-05</t>
  </si>
  <si>
    <t>CF-P-14-06-06</t>
  </si>
  <si>
    <t>CF-P-14-06-07</t>
  </si>
  <si>
    <t>CF-P-14-06-08</t>
  </si>
  <si>
    <t>CF-P-14-06-09</t>
  </si>
  <si>
    <t>CF-P-14-06-10</t>
  </si>
  <si>
    <t>CF-P-14-06-11</t>
  </si>
  <si>
    <t>CF-P-14-06-12</t>
  </si>
  <si>
    <t>CF-P-14-06-13</t>
  </si>
  <si>
    <t>CF-P-14-06-14</t>
  </si>
  <si>
    <t>CF-P-14-06-15</t>
  </si>
  <si>
    <t>CF-P-14-06-16</t>
  </si>
  <si>
    <t>CF-P-14-06-17</t>
  </si>
  <si>
    <t>CF-P-14-07-01</t>
  </si>
  <si>
    <t>CF-P-14-07-02</t>
  </si>
  <si>
    <t>CF-P-14-07-03</t>
  </si>
  <si>
    <t>CF-P-14-07-04</t>
  </si>
  <si>
    <t>CF-P-14-07-05</t>
  </si>
  <si>
    <t>CF-P-14-07-06</t>
  </si>
  <si>
    <t>CF-P-14-07-07</t>
  </si>
  <si>
    <t>CF-P-14-07-08</t>
  </si>
  <si>
    <t>CF-P-14-07-09</t>
  </si>
  <si>
    <t>CF-P-14-07-10</t>
  </si>
  <si>
    <t>CF-P-14-07-11</t>
  </si>
  <si>
    <t>CF-P-14-07-12</t>
  </si>
  <si>
    <t>CF-P-14-07-13</t>
  </si>
  <si>
    <t>CF-P-14-07-14</t>
  </si>
  <si>
    <t>CF-P-14-07-15</t>
  </si>
  <si>
    <t>CF-P-14-07-16</t>
  </si>
  <si>
    <t>CF-P-14-07-17</t>
  </si>
  <si>
    <t>CF-P-14-08-01</t>
  </si>
  <si>
    <t>CF-P-14-08-02</t>
  </si>
  <si>
    <t>CF-P-14-08-03</t>
  </si>
  <si>
    <t>CF-P-14-08-04</t>
  </si>
  <si>
    <t>CF-P-14-08-05</t>
  </si>
  <si>
    <t>CF-P-14-08-06</t>
  </si>
  <si>
    <t>CF-P-14-08-07</t>
  </si>
  <si>
    <t>CF-P-14-08-08</t>
  </si>
  <si>
    <t>CF-P-14-08-09</t>
  </si>
  <si>
    <t>CF-P-14-08-10</t>
  </si>
  <si>
    <t>CF-P-14-08-11</t>
  </si>
  <si>
    <t>CF-P-14-08-12</t>
  </si>
  <si>
    <t>CF-P-14-08-13</t>
  </si>
  <si>
    <t>CF-P-14-08-14</t>
  </si>
  <si>
    <t>CF-P-14-08-15</t>
  </si>
  <si>
    <t>CF-P-14-08-16</t>
  </si>
  <si>
    <t>CF-P-14-08-17</t>
  </si>
  <si>
    <t>CF-P-14-09-01</t>
  </si>
  <si>
    <t>CF-P-14-09-02</t>
  </si>
  <si>
    <t>CF-P-14-09-03</t>
  </si>
  <si>
    <t>CF-P-14-09-04</t>
  </si>
  <si>
    <t>CF-P-14-09-05</t>
  </si>
  <si>
    <t>CF-P-14-09-06</t>
  </si>
  <si>
    <t>CF-P-14-09-07</t>
  </si>
  <si>
    <t>CF-P-14-09-08</t>
  </si>
  <si>
    <t>CF-P-14-09-09</t>
  </si>
  <si>
    <t>CF-P-14-09-10</t>
  </si>
  <si>
    <t>CF-P-14-09-11</t>
  </si>
  <si>
    <t>CF-P-14-09-12</t>
  </si>
  <si>
    <t>CF-P-14-09-13</t>
  </si>
  <si>
    <t>CF-P-14-09-14</t>
  </si>
  <si>
    <t>CF-P-14-09-15</t>
  </si>
  <si>
    <t>CF-P-14-09-16</t>
  </si>
  <si>
    <t>CF-P-14-09-17</t>
  </si>
  <si>
    <t>CF-P-14-10-01</t>
  </si>
  <si>
    <t>CF-P-14-10-02</t>
  </si>
  <si>
    <t>CF-P-14-10-03</t>
  </si>
  <si>
    <t>CF-P-14-10-04</t>
  </si>
  <si>
    <t>CF-P-14-10-05</t>
  </si>
  <si>
    <t>CF-P-14-10-06</t>
  </si>
  <si>
    <t>CF-P-14-10-07</t>
  </si>
  <si>
    <t>CF-P-14-10-08</t>
  </si>
  <si>
    <t>CF-P-14-10-09</t>
  </si>
  <si>
    <t>CF-P-14-10-10</t>
  </si>
  <si>
    <t>CF-P-14-10-11</t>
  </si>
  <si>
    <t>CF-P-14-10-12</t>
  </si>
  <si>
    <t>CF-P-14-10-13</t>
  </si>
  <si>
    <t>CF-P-14-10-14</t>
  </si>
  <si>
    <t>CF-P-14-10-15</t>
  </si>
  <si>
    <t>CF-P-14-10-16</t>
  </si>
  <si>
    <t>CF-P-14-10-17</t>
  </si>
  <si>
    <t>CF-P-14-11-01</t>
  </si>
  <si>
    <t>CF-P-14-11-02</t>
  </si>
  <si>
    <t>CF-P-14-11-03</t>
  </si>
  <si>
    <t>CF-P-14-11-04</t>
  </si>
  <si>
    <t>CF-P-14-11-05</t>
  </si>
  <si>
    <t>CF-P-14-11-06</t>
  </si>
  <si>
    <t>CF-P-14-11-07</t>
  </si>
  <si>
    <t>CF-P-14-11-08</t>
  </si>
  <si>
    <t>CF-P-14-11-09</t>
  </si>
  <si>
    <t>CF-P-14-11-10</t>
  </si>
  <si>
    <t>CF-P-14-11-11</t>
  </si>
  <si>
    <t>CF-P-14-11-12</t>
  </si>
  <si>
    <t>CF-P-14-11-13</t>
  </si>
  <si>
    <t>CF-P-14-11-14</t>
  </si>
  <si>
    <t>CF-P-14-11-15</t>
  </si>
  <si>
    <t>CF-P-14-11-16</t>
  </si>
  <si>
    <t>CF-P-14-11-17</t>
  </si>
  <si>
    <t>CF-P-14-12-01</t>
  </si>
  <si>
    <t>CF-P-14-12-02</t>
  </si>
  <si>
    <t>CF-P-14-12-03</t>
  </si>
  <si>
    <t>CF-P-14-12-04</t>
  </si>
  <si>
    <t>CF-P-14-12-05</t>
  </si>
  <si>
    <t>CF-P-14-12-06</t>
  </si>
  <si>
    <t>CF-P-14-12-07</t>
  </si>
  <si>
    <t>CF-P-14-12-08</t>
  </si>
  <si>
    <t>CF-P-14-12-09</t>
  </si>
  <si>
    <t>CF-P-14-12-10</t>
  </si>
  <si>
    <t>CF-P-14-12-11</t>
  </si>
  <si>
    <t>CF-P-14-12-12</t>
  </si>
  <si>
    <t>CF-P-14-12-13</t>
  </si>
  <si>
    <t>CF-P-14-12-14</t>
  </si>
  <si>
    <t>CF-P-14-12-15</t>
  </si>
  <si>
    <t>CF-P-14-12-16</t>
  </si>
  <si>
    <t>CF-P-14-12-17</t>
  </si>
  <si>
    <t>CF-P-14-13-01</t>
  </si>
  <si>
    <t>CF-P-14-13-02</t>
  </si>
  <si>
    <t>CF-P-14-13-03</t>
  </si>
  <si>
    <t>CF-P-14-13-04</t>
  </si>
  <si>
    <t>CF-P-14-13-05</t>
  </si>
  <si>
    <t>CF-P-14-13-06</t>
  </si>
  <si>
    <t>CF-P-14-13-07</t>
  </si>
  <si>
    <t>CF-P-14-13-08</t>
  </si>
  <si>
    <t>CF-P-14-13-09</t>
  </si>
  <si>
    <t>CF-P-14-13-10</t>
  </si>
  <si>
    <t>CF-P-14-13-11</t>
  </si>
  <si>
    <t>CF-P-14-13-12</t>
  </si>
  <si>
    <t>CF-P-14-13-13</t>
  </si>
  <si>
    <t>CF-P-14-13-14</t>
  </si>
  <si>
    <t>CF-P-14-13-15</t>
  </si>
  <si>
    <t>CF-P-14-13-16</t>
  </si>
  <si>
    <t>CF-P-14-13-17</t>
  </si>
  <si>
    <t>CF-P-14-14-01</t>
  </si>
  <si>
    <t>CF-P-14-14-02</t>
  </si>
  <si>
    <t>CF-P-14-14-03</t>
  </si>
  <si>
    <t>CF-P-14-14-04</t>
  </si>
  <si>
    <t>CF-P-14-14-05</t>
  </si>
  <si>
    <t>CF-P-14-14-06</t>
  </si>
  <si>
    <t>CF-P-14-14-07</t>
  </si>
  <si>
    <t>CF-P-14-14-08</t>
  </si>
  <si>
    <t>CF-P-14-14-09</t>
  </si>
  <si>
    <t>CF-P-14-14-10</t>
  </si>
  <si>
    <t>CF-P-14-14-11</t>
  </si>
  <si>
    <t>CF-P-14-14-12</t>
  </si>
  <si>
    <t>CF-P-14-14-13</t>
  </si>
  <si>
    <t>CF-P-14-14-14</t>
  </si>
  <si>
    <t>CF-P-14-14-15</t>
  </si>
  <si>
    <t>CF-P-14-14-16</t>
  </si>
  <si>
    <t>CF-P-14-14-17</t>
  </si>
  <si>
    <t>CF-P-14-15-01</t>
  </si>
  <si>
    <t>CF-P-14-15-02</t>
  </si>
  <si>
    <t>CF-P-14-15-03</t>
  </si>
  <si>
    <t>CF-P-14-15-04</t>
  </si>
  <si>
    <t>CF-P-14-15-05</t>
  </si>
  <si>
    <t>CF-P-14-15-06</t>
  </si>
  <si>
    <t>CF-P-14-15-07</t>
  </si>
  <si>
    <t>CF-P-14-15-08</t>
  </si>
  <si>
    <t>CF-P-14-15-09</t>
  </si>
  <si>
    <t>CF-P-14-15-10</t>
  </si>
  <si>
    <t>CF-P-14-15-11</t>
  </si>
  <si>
    <t>CF-P-14-15-12</t>
  </si>
  <si>
    <t>CF-P-14-15-13</t>
  </si>
  <si>
    <t>CF-P-14-15-14</t>
  </si>
  <si>
    <t>CF-P-14-15-15</t>
  </si>
  <si>
    <t>CF-P-14-15-16</t>
  </si>
  <si>
    <t>CF-P-14-15-17</t>
  </si>
  <si>
    <t>CF-P-14-16-01</t>
  </si>
  <si>
    <t>CF-P-14-16-02</t>
  </si>
  <si>
    <t>CF-P-14-16-03</t>
  </si>
  <si>
    <t>CF-P-14-16-04</t>
  </si>
  <si>
    <t>CF-P-14-16-05</t>
  </si>
  <si>
    <t>CF-P-14-16-06</t>
  </si>
  <si>
    <t>CF-P-14-16-07</t>
  </si>
  <si>
    <t>CF-P-14-16-08</t>
  </si>
  <si>
    <t>CF-P-14-16-09</t>
  </si>
  <si>
    <t>CF-P-14-16-10</t>
  </si>
  <si>
    <t>CF-P-14-16-11</t>
  </si>
  <si>
    <t>CF-P-14-16-12</t>
  </si>
  <si>
    <t>CF-P-14-16-13</t>
  </si>
  <si>
    <t>CF-P-14-16-14</t>
  </si>
  <si>
    <t>CF-P-14-16-15</t>
  </si>
  <si>
    <t>CF-P-14-16-16</t>
  </si>
  <si>
    <t>CF-P-14-16-17</t>
  </si>
  <si>
    <t>CF-P-14-17-01</t>
  </si>
  <si>
    <t>CF-P-14-17-02</t>
  </si>
  <si>
    <t>CF-P-14-17-03</t>
  </si>
  <si>
    <t>CF-P-14-17-04</t>
  </si>
  <si>
    <t>CF-P-14-17-05</t>
  </si>
  <si>
    <t>CF-P-14-17-06</t>
  </si>
  <si>
    <t>CF-P-14-17-07</t>
  </si>
  <si>
    <t>CF-P-14-17-08</t>
  </si>
  <si>
    <t>CF-P-14-17-09</t>
  </si>
  <si>
    <t>CF-P-14-17-10</t>
  </si>
  <si>
    <t>CF-P-14-17-11</t>
  </si>
  <si>
    <t>CF-P-14-17-12</t>
  </si>
  <si>
    <t>CF-P-14-17-13</t>
  </si>
  <si>
    <t>CF-P-14-17-14</t>
  </si>
  <si>
    <t>CF-P-14-17-15</t>
  </si>
  <si>
    <t>CF-P-14-17-16</t>
  </si>
  <si>
    <t>CF-P-14-17-17</t>
  </si>
  <si>
    <t>CF-P-15-01-01</t>
  </si>
  <si>
    <t>CF-P-15-01-02</t>
  </si>
  <si>
    <t>CF-P-15-01-03</t>
  </si>
  <si>
    <t>CF-P-15-01-04</t>
  </si>
  <si>
    <t>CF-P-15-01-05</t>
  </si>
  <si>
    <t>CF-P-15-01-06</t>
  </si>
  <si>
    <t>CF-P-15-01-07</t>
  </si>
  <si>
    <t>CF-P-15-01-08</t>
  </si>
  <si>
    <t>CF-P-15-01-09</t>
  </si>
  <si>
    <t>CF-P-15-01-10</t>
  </si>
  <si>
    <t>CF-P-15-01-11</t>
  </si>
  <si>
    <t>CF-P-15-01-12</t>
  </si>
  <si>
    <t>CF-P-15-01-13</t>
  </si>
  <si>
    <t>CF-P-15-01-14</t>
  </si>
  <si>
    <t>CF-P-15-01-15</t>
  </si>
  <si>
    <t>CF-P-15-01-16</t>
  </si>
  <si>
    <t>CF-P-15-01-17</t>
  </si>
  <si>
    <t>CF-P-15-02-01</t>
  </si>
  <si>
    <t>CF-P-15-02-02</t>
  </si>
  <si>
    <t>CF-P-15-02-03</t>
  </si>
  <si>
    <t>CF-P-15-02-04</t>
  </si>
  <si>
    <t>CF-P-15-02-05</t>
  </si>
  <si>
    <t>CF-P-15-02-06</t>
  </si>
  <si>
    <t>CF-P-15-02-07</t>
  </si>
  <si>
    <t>CF-P-15-02-08</t>
  </si>
  <si>
    <t>CF-P-15-02-09</t>
  </si>
  <si>
    <t>CF-P-15-02-10</t>
  </si>
  <si>
    <t>CF-P-15-02-11</t>
  </si>
  <si>
    <t>CF-P-15-02-12</t>
  </si>
  <si>
    <t>CF-P-15-02-13</t>
  </si>
  <si>
    <t>CF-P-15-02-14</t>
  </si>
  <si>
    <t>CF-P-15-02-15</t>
  </si>
  <si>
    <t>CF-P-15-02-16</t>
  </si>
  <si>
    <t>CF-P-15-02-17</t>
  </si>
  <si>
    <t>CF-P-15-03-01</t>
  </si>
  <si>
    <t>CF-P-15-03-02</t>
  </si>
  <si>
    <t>CF-P-15-03-03</t>
  </si>
  <si>
    <t>CF-P-15-03-04</t>
  </si>
  <si>
    <t>CF-P-15-03-05</t>
  </si>
  <si>
    <t>CF-P-15-03-06</t>
  </si>
  <si>
    <t>CF-P-15-03-07</t>
  </si>
  <si>
    <t>CF-P-15-03-08</t>
  </si>
  <si>
    <t>CF-P-15-03-09</t>
  </si>
  <si>
    <t>CF-P-15-03-10</t>
  </si>
  <si>
    <t>CF-P-15-03-11</t>
  </si>
  <si>
    <t>CF-P-15-03-12</t>
  </si>
  <si>
    <t>CF-P-15-03-13</t>
  </si>
  <si>
    <t>CF-P-15-03-14</t>
  </si>
  <si>
    <t>CF-P-15-03-15</t>
  </si>
  <si>
    <t>CF-P-15-03-16</t>
  </si>
  <si>
    <t>CF-P-15-03-17</t>
  </si>
  <si>
    <t>CF-P-15-04-01</t>
  </si>
  <si>
    <t>CF-P-15-04-02</t>
  </si>
  <si>
    <t>CF-P-15-04-03</t>
  </si>
  <si>
    <t>CF-P-15-04-04</t>
  </si>
  <si>
    <t>CF-P-15-04-05</t>
  </si>
  <si>
    <t>CF-P-15-04-06</t>
  </si>
  <si>
    <t>CF-P-15-04-07</t>
  </si>
  <si>
    <t>CF-P-15-04-08</t>
  </si>
  <si>
    <t>CF-P-15-04-09</t>
  </si>
  <si>
    <t>CF-P-15-04-10</t>
  </si>
  <si>
    <t>CF-P-15-04-11</t>
  </si>
  <si>
    <t>CF-P-15-04-12</t>
  </si>
  <si>
    <t>CF-P-15-04-13</t>
  </si>
  <si>
    <t>CF-P-15-04-14</t>
  </si>
  <si>
    <t>CF-P-15-04-15</t>
  </si>
  <si>
    <t>CF-P-15-04-16</t>
  </si>
  <si>
    <t>CF-P-15-04-17</t>
  </si>
  <si>
    <t>CF-P-15-05-01</t>
  </si>
  <si>
    <t>CF-P-15-05-02</t>
  </si>
  <si>
    <t>CF-P-15-05-03</t>
  </si>
  <si>
    <t>CF-P-15-05-04</t>
  </si>
  <si>
    <t>CF-P-15-05-05</t>
  </si>
  <si>
    <t>CF-P-15-05-06</t>
  </si>
  <si>
    <t>CF-P-15-05-07</t>
  </si>
  <si>
    <t>CF-P-15-05-08</t>
  </si>
  <si>
    <t>CF-P-15-05-09</t>
  </si>
  <si>
    <t>CF-P-15-05-10</t>
  </si>
  <si>
    <t>CF-P-15-05-11</t>
  </si>
  <si>
    <t>CF-P-15-05-12</t>
  </si>
  <si>
    <t>CF-P-15-05-13</t>
  </si>
  <si>
    <t>CF-P-15-05-14</t>
  </si>
  <si>
    <t>CF-P-15-05-15</t>
  </si>
  <si>
    <t>CF-P-15-05-16</t>
  </si>
  <si>
    <t>CF-P-15-05-17</t>
  </si>
  <si>
    <t>CF-P-15-06-01</t>
  </si>
  <si>
    <t>CF-P-15-06-02</t>
  </si>
  <si>
    <t>CF-P-15-06-03</t>
  </si>
  <si>
    <t>CF-P-15-06-04</t>
  </si>
  <si>
    <t>CF-P-15-06-05</t>
  </si>
  <si>
    <t>CF-P-15-06-06</t>
  </si>
  <si>
    <t>CF-P-15-06-07</t>
  </si>
  <si>
    <t>CF-P-15-06-08</t>
  </si>
  <si>
    <t>CF-P-15-06-09</t>
  </si>
  <si>
    <t>CF-P-15-06-10</t>
  </si>
  <si>
    <t>CF-P-15-06-11</t>
  </si>
  <si>
    <t>CF-P-15-06-12</t>
  </si>
  <si>
    <t>CF-P-15-06-13</t>
  </si>
  <si>
    <t>CF-P-15-06-14</t>
  </si>
  <si>
    <t>CF-P-15-06-15</t>
  </si>
  <si>
    <t>CF-P-15-06-16</t>
  </si>
  <si>
    <t>CF-P-15-06-17</t>
  </si>
  <si>
    <t>CF-P-15-07-01</t>
  </si>
  <si>
    <t>CF-P-15-07-02</t>
  </si>
  <si>
    <t>CF-P-15-07-03</t>
  </si>
  <si>
    <t>CF-P-15-07-04</t>
  </si>
  <si>
    <t>CF-P-15-07-05</t>
  </si>
  <si>
    <t>CF-P-15-07-06</t>
  </si>
  <si>
    <t>CF-P-15-07-07</t>
  </si>
  <si>
    <t>CF-P-15-07-08</t>
  </si>
  <si>
    <t>CF-P-15-07-09</t>
  </si>
  <si>
    <t>CF-P-15-07-10</t>
  </si>
  <si>
    <t>CF-P-15-07-11</t>
  </si>
  <si>
    <t>CF-P-15-07-12</t>
  </si>
  <si>
    <t>CF-P-15-07-13</t>
  </si>
  <si>
    <t>CF-P-15-07-14</t>
  </si>
  <si>
    <t>CF-P-15-07-15</t>
  </si>
  <si>
    <t>CF-P-15-07-16</t>
  </si>
  <si>
    <t>CF-P-15-07-17</t>
  </si>
  <si>
    <t>CF-P-15-08-01</t>
  </si>
  <si>
    <t>CF-P-15-08-02</t>
  </si>
  <si>
    <t>CF-P-15-08-03</t>
  </si>
  <si>
    <t>CF-P-15-08-04</t>
  </si>
  <si>
    <t>CF-P-15-08-05</t>
  </si>
  <si>
    <t>CF-P-15-08-06</t>
  </si>
  <si>
    <t>CF-P-15-08-07</t>
  </si>
  <si>
    <t>CF-P-15-08-08</t>
  </si>
  <si>
    <t>CF-P-15-08-09</t>
  </si>
  <si>
    <t>CF-P-15-08-10</t>
  </si>
  <si>
    <t>CF-P-15-08-11</t>
  </si>
  <si>
    <t>CF-P-15-08-12</t>
  </si>
  <si>
    <t>CF-P-15-08-13</t>
  </si>
  <si>
    <t>CF-P-15-08-14</t>
  </si>
  <si>
    <t>CF-P-15-08-15</t>
  </si>
  <si>
    <t>CF-P-15-08-16</t>
  </si>
  <si>
    <t>CF-P-15-08-17</t>
  </si>
  <si>
    <t>CF-P-15-09-01</t>
  </si>
  <si>
    <t>CF-P-15-09-02</t>
  </si>
  <si>
    <t>CF-P-15-09-03</t>
  </si>
  <si>
    <t>CF-P-15-09-04</t>
  </si>
  <si>
    <t>CF-P-15-09-05</t>
  </si>
  <si>
    <t>CF-P-15-09-06</t>
  </si>
  <si>
    <t>CF-P-15-09-07</t>
  </si>
  <si>
    <t>CF-P-15-09-08</t>
  </si>
  <si>
    <t>CF-P-15-09-09</t>
  </si>
  <si>
    <t>CF-P-15-09-10</t>
  </si>
  <si>
    <t>CF-P-15-09-11</t>
  </si>
  <si>
    <t>CF-P-15-09-12</t>
  </si>
  <si>
    <t>CF-P-15-09-13</t>
  </si>
  <si>
    <t>CF-P-15-09-14</t>
  </si>
  <si>
    <t>CF-P-15-09-15</t>
  </si>
  <si>
    <t>CF-P-15-09-16</t>
  </si>
  <si>
    <t>CF-P-15-09-17</t>
  </si>
  <si>
    <t>CF-P-15-10-01</t>
  </si>
  <si>
    <t>CF-P-15-10-02</t>
  </si>
  <si>
    <t>CF-P-15-10-03</t>
  </si>
  <si>
    <t>CF-P-15-10-04</t>
  </si>
  <si>
    <t>CF-P-15-10-05</t>
  </si>
  <si>
    <t>CF-P-15-10-06</t>
  </si>
  <si>
    <t>CF-P-15-10-07</t>
  </si>
  <si>
    <t>CF-P-15-10-08</t>
  </si>
  <si>
    <t>CF-P-15-10-09</t>
  </si>
  <si>
    <t>CF-P-15-10-10</t>
  </si>
  <si>
    <t>CF-P-15-10-11</t>
  </si>
  <si>
    <t>CF-P-15-10-12</t>
  </si>
  <si>
    <t>CF-P-15-10-13</t>
  </si>
  <si>
    <t>CF-P-15-10-14</t>
  </si>
  <si>
    <t>CF-P-15-10-15</t>
  </si>
  <si>
    <t>CF-P-15-10-16</t>
  </si>
  <si>
    <t>CF-P-15-10-17</t>
  </si>
  <si>
    <t>CF-P-15-11-01</t>
  </si>
  <si>
    <t>CF-P-15-11-02</t>
  </si>
  <si>
    <t>CF-P-15-11-03</t>
  </si>
  <si>
    <t>CF-P-15-11-04</t>
  </si>
  <si>
    <t>CF-P-15-11-05</t>
  </si>
  <si>
    <t>CF-P-15-11-06</t>
  </si>
  <si>
    <t>CF-P-15-11-07</t>
  </si>
  <si>
    <t>CF-P-15-11-08</t>
  </si>
  <si>
    <t>CF-P-15-11-09</t>
  </si>
  <si>
    <t>CF-P-15-11-10</t>
  </si>
  <si>
    <t>CF-P-15-11-11</t>
  </si>
  <si>
    <t>CF-P-15-11-12</t>
  </si>
  <si>
    <t>CF-P-15-11-13</t>
  </si>
  <si>
    <t>CF-P-15-11-14</t>
  </si>
  <si>
    <t>CF-P-15-11-15</t>
  </si>
  <si>
    <t>CF-P-15-11-16</t>
  </si>
  <si>
    <t>CF-P-15-11-17</t>
  </si>
  <si>
    <t>CF-P-15-12-01</t>
  </si>
  <si>
    <t>CF-P-15-12-02</t>
  </si>
  <si>
    <t>CF-P-15-12-03</t>
  </si>
  <si>
    <t>CF-P-15-12-04</t>
  </si>
  <si>
    <t>CF-P-15-12-05</t>
  </si>
  <si>
    <t>CF-P-15-12-06</t>
  </si>
  <si>
    <t>CF-P-15-12-07</t>
  </si>
  <si>
    <t>CF-P-15-12-08</t>
  </si>
  <si>
    <t>CF-P-15-12-09</t>
  </si>
  <si>
    <t>CF-P-15-12-10</t>
  </si>
  <si>
    <t>CF-P-15-12-11</t>
  </si>
  <si>
    <t>CF-P-15-12-12</t>
  </si>
  <si>
    <t>CF-P-15-12-13</t>
  </si>
  <si>
    <t>CF-P-15-12-14</t>
  </si>
  <si>
    <t>CF-P-15-12-15</t>
  </si>
  <si>
    <t>CF-P-15-12-16</t>
  </si>
  <si>
    <t>CF-P-15-12-17</t>
  </si>
  <si>
    <t>CF-P-15-13-01</t>
  </si>
  <si>
    <t>CF-P-15-13-02</t>
  </si>
  <si>
    <t>CF-P-15-13-03</t>
  </si>
  <si>
    <t>CF-P-15-13-04</t>
  </si>
  <si>
    <t>CF-P-15-13-05</t>
  </si>
  <si>
    <t>CF-P-15-13-06</t>
  </si>
  <si>
    <t>CF-P-15-13-07</t>
  </si>
  <si>
    <t>CF-P-15-13-08</t>
  </si>
  <si>
    <t>CF-P-15-13-09</t>
  </si>
  <si>
    <t>CF-P-15-13-10</t>
  </si>
  <si>
    <t>CF-P-15-13-11</t>
  </si>
  <si>
    <t>CF-P-15-13-12</t>
  </si>
  <si>
    <t>CF-P-15-13-13</t>
  </si>
  <si>
    <t>CF-P-15-13-14</t>
  </si>
  <si>
    <t>CF-P-15-13-15</t>
  </si>
  <si>
    <t>CF-P-15-13-16</t>
  </si>
  <si>
    <t>CF-P-15-13-17</t>
  </si>
  <si>
    <t>CF-P-15-14-01</t>
  </si>
  <si>
    <t>CF-P-15-14-02</t>
  </si>
  <si>
    <t>CF-P-15-14-03</t>
  </si>
  <si>
    <t>CF-P-15-14-04</t>
  </si>
  <si>
    <t>CF-P-15-14-05</t>
  </si>
  <si>
    <t>CF-P-15-14-06</t>
  </si>
  <si>
    <t>CF-P-15-14-07</t>
  </si>
  <si>
    <t>CF-P-15-14-08</t>
  </si>
  <si>
    <t>CF-P-15-14-09</t>
  </si>
  <si>
    <t>CF-P-15-14-10</t>
  </si>
  <si>
    <t>CF-P-15-14-11</t>
  </si>
  <si>
    <t>CF-P-15-14-12</t>
  </si>
  <si>
    <t>CF-P-15-14-13</t>
  </si>
  <si>
    <t>CF-P-15-14-14</t>
  </si>
  <si>
    <t>CF-P-15-14-15</t>
  </si>
  <si>
    <t>CF-P-15-14-16</t>
  </si>
  <si>
    <t>CF-P-15-14-17</t>
  </si>
  <si>
    <t>CF-P-15-15-01</t>
  </si>
  <si>
    <t>CF-P-15-15-02</t>
  </si>
  <si>
    <t>CF-P-15-15-03</t>
  </si>
  <si>
    <t>CF-P-15-15-04</t>
  </si>
  <si>
    <t>CF-P-15-15-05</t>
  </si>
  <si>
    <t>CF-P-15-15-06</t>
  </si>
  <si>
    <t>CF-P-15-15-07</t>
  </si>
  <si>
    <t>CF-P-15-15-08</t>
  </si>
  <si>
    <t>CF-P-15-15-09</t>
  </si>
  <si>
    <t>CF-P-15-15-10</t>
  </si>
  <si>
    <t>CF-P-15-15-11</t>
  </si>
  <si>
    <t>CF-P-15-15-12</t>
  </si>
  <si>
    <t>CF-P-15-15-13</t>
  </si>
  <si>
    <t>CF-P-15-15-14</t>
  </si>
  <si>
    <t>CF-P-15-15-15</t>
  </si>
  <si>
    <t>CF-P-15-15-16</t>
  </si>
  <si>
    <t>CF-P-15-15-17</t>
  </si>
  <si>
    <t>CF-P-15-16-01</t>
  </si>
  <si>
    <t>CF-P-15-16-02</t>
  </si>
  <si>
    <t>CF-P-15-16-03</t>
  </si>
  <si>
    <t>CF-P-15-16-04</t>
  </si>
  <si>
    <t>CF-P-15-16-05</t>
  </si>
  <si>
    <t>CF-P-15-16-06</t>
  </si>
  <si>
    <t>CF-P-15-16-07</t>
  </si>
  <si>
    <t>CF-P-15-16-08</t>
  </si>
  <si>
    <t>CF-P-15-16-09</t>
  </si>
  <si>
    <t>CF-P-15-16-10</t>
  </si>
  <si>
    <t>CF-P-15-16-11</t>
  </si>
  <si>
    <t>CF-P-15-16-12</t>
  </si>
  <si>
    <t>CF-P-15-16-13</t>
  </si>
  <si>
    <t>CF-P-15-16-14</t>
  </si>
  <si>
    <t>CF-P-15-16-15</t>
  </si>
  <si>
    <t>CF-P-15-16-16</t>
  </si>
  <si>
    <t>CF-P-15-16-17</t>
  </si>
  <si>
    <t>CF-P-15-17-01</t>
  </si>
  <si>
    <t>CF-P-15-17-02</t>
  </si>
  <si>
    <t>CF-P-15-17-03</t>
  </si>
  <si>
    <t>CF-P-15-17-04</t>
  </si>
  <si>
    <t>CF-P-15-17-05</t>
  </si>
  <si>
    <t>CF-P-15-17-06</t>
  </si>
  <si>
    <t>CF-P-15-17-07</t>
  </si>
  <si>
    <t>CF-P-15-17-08</t>
  </si>
  <si>
    <t>CF-P-15-17-09</t>
  </si>
  <si>
    <t>CF-P-15-17-10</t>
  </si>
  <si>
    <t>CF-P-15-17-11</t>
  </si>
  <si>
    <t>CF-P-15-17-12</t>
  </si>
  <si>
    <t>CF-P-15-17-13</t>
  </si>
  <si>
    <t>CF-P-15-17-14</t>
  </si>
  <si>
    <t>CF-P-15-17-15</t>
  </si>
  <si>
    <t>CF-P-15-17-16</t>
  </si>
  <si>
    <t>CF-P-15-17-17</t>
  </si>
  <si>
    <t>CF-P-16-01-01</t>
  </si>
  <si>
    <t>CF-P-16-01-02</t>
  </si>
  <si>
    <t>CF-P-16-01-03</t>
  </si>
  <si>
    <t>CF-P-16-01-04</t>
  </si>
  <si>
    <t>CF-P-16-01-05</t>
  </si>
  <si>
    <t>CF-P-16-01-06</t>
  </si>
  <si>
    <t>CF-P-16-01-07</t>
  </si>
  <si>
    <t>CF-P-16-01-08</t>
  </si>
  <si>
    <t>CF-P-16-01-09</t>
  </si>
  <si>
    <t>CF-P-16-01-10</t>
  </si>
  <si>
    <t>CF-P-16-01-11</t>
  </si>
  <si>
    <t>CF-P-16-01-12</t>
  </si>
  <si>
    <t>CF-P-16-01-13</t>
  </si>
  <si>
    <t>CF-P-16-01-14</t>
  </si>
  <si>
    <t>CF-P-16-01-15</t>
  </si>
  <si>
    <t>CF-P-16-01-16</t>
  </si>
  <si>
    <t>CF-P-16-01-17</t>
  </si>
  <si>
    <t>CF-P-16-02-01</t>
  </si>
  <si>
    <t>CF-P-16-02-02</t>
  </si>
  <si>
    <t>CF-P-16-02-03</t>
  </si>
  <si>
    <t>CF-P-16-02-04</t>
  </si>
  <si>
    <t>CF-P-16-02-05</t>
  </si>
  <si>
    <t>CF-P-16-02-06</t>
  </si>
  <si>
    <t>CF-P-16-02-07</t>
  </si>
  <si>
    <t>CF-P-16-02-08</t>
  </si>
  <si>
    <t>CF-P-16-02-09</t>
  </si>
  <si>
    <t>CF-P-16-02-10</t>
  </si>
  <si>
    <t>CF-P-16-02-11</t>
  </si>
  <si>
    <t>CF-P-16-02-12</t>
  </si>
  <si>
    <t>CF-P-16-02-13</t>
  </si>
  <si>
    <t>CF-P-16-02-14</t>
  </si>
  <si>
    <t>CF-P-16-02-15</t>
  </si>
  <si>
    <t>CF-P-16-02-16</t>
  </si>
  <si>
    <t>CF-P-16-02-17</t>
  </si>
  <si>
    <t>CF-P-16-03-01</t>
  </si>
  <si>
    <t>CF-P-16-03-02</t>
  </si>
  <si>
    <t>CF-P-16-03-03</t>
  </si>
  <si>
    <t>CF-P-16-03-04</t>
  </si>
  <si>
    <t>CF-P-16-03-05</t>
  </si>
  <si>
    <t>CF-P-16-03-06</t>
  </si>
  <si>
    <t>CF-P-16-03-07</t>
  </si>
  <si>
    <t>CF-P-16-03-08</t>
  </si>
  <si>
    <t>CF-P-16-03-09</t>
  </si>
  <si>
    <t>CF-P-16-03-10</t>
  </si>
  <si>
    <t>CF-P-16-03-11</t>
  </si>
  <si>
    <t>CF-P-16-03-12</t>
  </si>
  <si>
    <t>CF-P-16-03-13</t>
  </si>
  <si>
    <t>CF-P-16-03-14</t>
  </si>
  <si>
    <t>CF-P-16-03-15</t>
  </si>
  <si>
    <t>CF-P-16-03-16</t>
  </si>
  <si>
    <t>CF-P-16-03-17</t>
  </si>
  <si>
    <t>CF-P-16-04-01</t>
  </si>
  <si>
    <t>CF-P-16-04-02</t>
  </si>
  <si>
    <t>CF-P-16-04-03</t>
  </si>
  <si>
    <t>CF-P-16-04-04</t>
  </si>
  <si>
    <t>CF-P-16-04-05</t>
  </si>
  <si>
    <t>CF-P-16-04-06</t>
  </si>
  <si>
    <t>CF-P-16-04-07</t>
  </si>
  <si>
    <t>CF-P-16-04-08</t>
  </si>
  <si>
    <t>CF-P-16-04-09</t>
  </si>
  <si>
    <t>CF-P-16-04-10</t>
  </si>
  <si>
    <t>CF-P-16-04-11</t>
  </si>
  <si>
    <t>CF-P-16-04-12</t>
  </si>
  <si>
    <t>CF-P-16-04-13</t>
  </si>
  <si>
    <t>CF-P-16-04-14</t>
  </si>
  <si>
    <t>CF-P-16-04-15</t>
  </si>
  <si>
    <t>CF-P-16-04-16</t>
  </si>
  <si>
    <t>CF-P-16-04-17</t>
  </si>
  <si>
    <t>CF-P-16-05-01</t>
  </si>
  <si>
    <t>CF-P-16-05-02</t>
  </si>
  <si>
    <t>CF-P-16-05-03</t>
  </si>
  <si>
    <t>CF-P-16-05-04</t>
  </si>
  <si>
    <t>CF-P-16-05-05</t>
  </si>
  <si>
    <t>CF-P-16-05-06</t>
  </si>
  <si>
    <t>CF-P-16-05-07</t>
  </si>
  <si>
    <t>CF-P-16-05-08</t>
  </si>
  <si>
    <t>CF-P-16-05-09</t>
  </si>
  <si>
    <t>CF-P-16-05-10</t>
  </si>
  <si>
    <t>CF-P-16-05-11</t>
  </si>
  <si>
    <t>CF-P-16-05-12</t>
  </si>
  <si>
    <t>CF-P-16-05-13</t>
  </si>
  <si>
    <t>CF-P-16-05-14</t>
  </si>
  <si>
    <t>CF-P-16-05-15</t>
  </si>
  <si>
    <t>CF-P-16-05-16</t>
  </si>
  <si>
    <t>CF-P-16-05-17</t>
  </si>
  <si>
    <t>CF-P-16-06-01</t>
  </si>
  <si>
    <t>CF-P-16-06-02</t>
  </si>
  <si>
    <t>CF-P-16-06-03</t>
  </si>
  <si>
    <t>CF-P-16-06-04</t>
  </si>
  <si>
    <t>CF-P-16-06-05</t>
  </si>
  <si>
    <t>CF-P-16-06-06</t>
  </si>
  <si>
    <t>CF-P-16-06-07</t>
  </si>
  <si>
    <t>CF-P-16-06-08</t>
  </si>
  <si>
    <t>CF-P-16-06-09</t>
  </si>
  <si>
    <t>CF-P-16-06-10</t>
  </si>
  <si>
    <t>CF-P-16-06-11</t>
  </si>
  <si>
    <t>CF-P-16-06-12</t>
  </si>
  <si>
    <t>CF-P-16-06-13</t>
  </si>
  <si>
    <t>CF-P-16-06-14</t>
  </si>
  <si>
    <t>CF-P-16-06-15</t>
  </si>
  <si>
    <t>CF-P-16-06-16</t>
  </si>
  <si>
    <t>CF-P-16-06-17</t>
  </si>
  <si>
    <t>CF-P-16-07-01</t>
  </si>
  <si>
    <t>CF-P-16-07-02</t>
  </si>
  <si>
    <t>CF-P-16-07-03</t>
  </si>
  <si>
    <t>CF-P-16-07-04</t>
  </si>
  <si>
    <t>CF-P-16-07-05</t>
  </si>
  <si>
    <t>CF-P-16-07-06</t>
  </si>
  <si>
    <t>CF-P-16-07-07</t>
  </si>
  <si>
    <t>CF-P-16-07-08</t>
  </si>
  <si>
    <t>CF-P-16-07-09</t>
  </si>
  <si>
    <t>CF-P-16-07-10</t>
  </si>
  <si>
    <t>CF-P-16-07-11</t>
  </si>
  <si>
    <t>CF-P-16-07-12</t>
  </si>
  <si>
    <t>CF-P-16-07-13</t>
  </si>
  <si>
    <t>CF-P-16-07-14</t>
  </si>
  <si>
    <t>CF-P-16-07-15</t>
  </si>
  <si>
    <t>CF-P-16-07-16</t>
  </si>
  <si>
    <t>CF-P-16-07-17</t>
  </si>
  <si>
    <t>CF-P-16-08-01</t>
  </si>
  <si>
    <t>CF-P-16-08-02</t>
  </si>
  <si>
    <t>CF-P-16-08-03</t>
  </si>
  <si>
    <t>CF-P-16-08-04</t>
  </si>
  <si>
    <t>CF-P-16-08-05</t>
  </si>
  <si>
    <t>CF-P-16-08-06</t>
  </si>
  <si>
    <t>CF-P-16-08-07</t>
  </si>
  <si>
    <t>CF-P-16-08-08</t>
  </si>
  <si>
    <t>CF-P-16-08-09</t>
  </si>
  <si>
    <t>CF-P-16-08-10</t>
  </si>
  <si>
    <t>CF-P-16-08-11</t>
  </si>
  <si>
    <t>CF-P-16-08-12</t>
  </si>
  <si>
    <t>CF-P-16-08-13</t>
  </si>
  <si>
    <t>CF-P-16-08-14</t>
  </si>
  <si>
    <t>CF-P-16-08-15</t>
  </si>
  <si>
    <t>CF-P-16-08-16</t>
  </si>
  <si>
    <t>CF-P-16-08-17</t>
  </si>
  <si>
    <t>CF-P-16-09-01</t>
  </si>
  <si>
    <t>CF-P-16-09-02</t>
  </si>
  <si>
    <t>CF-P-16-09-03</t>
  </si>
  <si>
    <t>CF-P-16-09-04</t>
  </si>
  <si>
    <t>CF-P-16-09-05</t>
  </si>
  <si>
    <t>CF-P-16-09-06</t>
  </si>
  <si>
    <t>CF-P-16-09-07</t>
  </si>
  <si>
    <t>CF-P-16-09-08</t>
  </si>
  <si>
    <t>CF-P-16-09-09</t>
  </si>
  <si>
    <t>CF-P-16-09-10</t>
  </si>
  <si>
    <t>CF-P-16-09-11</t>
  </si>
  <si>
    <t>CF-P-16-09-12</t>
  </si>
  <si>
    <t>CF-P-16-09-13</t>
  </si>
  <si>
    <t>CF-P-16-09-14</t>
  </si>
  <si>
    <t>CF-P-16-09-15</t>
  </si>
  <si>
    <t>CF-P-16-09-16</t>
  </si>
  <si>
    <t>CF-P-16-09-17</t>
  </si>
  <si>
    <t>CF-P-16-10-01</t>
  </si>
  <si>
    <t>CF-P-16-10-02</t>
  </si>
  <si>
    <t>CF-P-16-10-03</t>
  </si>
  <si>
    <t>CF-P-16-10-04</t>
  </si>
  <si>
    <t>CF-P-16-10-05</t>
  </si>
  <si>
    <t>CF-P-16-10-06</t>
  </si>
  <si>
    <t>CF-P-16-10-07</t>
  </si>
  <si>
    <t>CF-P-16-10-08</t>
  </si>
  <si>
    <t>CF-P-16-10-09</t>
  </si>
  <si>
    <t>CF-P-16-10-10</t>
  </si>
  <si>
    <t>CF-P-16-10-11</t>
  </si>
  <si>
    <t>CF-P-16-10-12</t>
  </si>
  <si>
    <t>CF-P-16-10-13</t>
  </si>
  <si>
    <t>CF-P-16-10-14</t>
  </si>
  <si>
    <t>CF-P-16-10-15</t>
  </si>
  <si>
    <t>CF-P-16-10-16</t>
  </si>
  <si>
    <t>CF-P-16-10-17</t>
  </si>
  <si>
    <t>CF-P-16-11-01</t>
  </si>
  <si>
    <t>CF-P-16-11-02</t>
  </si>
  <si>
    <t>CF-P-16-11-03</t>
  </si>
  <si>
    <t>CF-P-16-11-04</t>
  </si>
  <si>
    <t>CF-P-16-11-05</t>
  </si>
  <si>
    <t>CF-P-16-11-06</t>
  </si>
  <si>
    <t>CF-P-16-11-07</t>
  </si>
  <si>
    <t>CF-P-16-11-08</t>
  </si>
  <si>
    <t>CF-P-16-11-09</t>
  </si>
  <si>
    <t>CF-P-16-11-10</t>
  </si>
  <si>
    <t>CF-P-16-11-11</t>
  </si>
  <si>
    <t>CF-P-16-11-12</t>
  </si>
  <si>
    <t>CF-P-16-11-13</t>
  </si>
  <si>
    <t>CF-P-16-11-14</t>
  </si>
  <si>
    <t>CF-P-16-11-15</t>
  </si>
  <si>
    <t>CF-P-16-11-16</t>
  </si>
  <si>
    <t>CF-P-16-11-17</t>
  </si>
  <si>
    <t>CF-P-16-12-01</t>
  </si>
  <si>
    <t>CF-P-16-12-02</t>
  </si>
  <si>
    <t>CF-P-16-12-03</t>
  </si>
  <si>
    <t>CF-P-16-12-04</t>
  </si>
  <si>
    <t>CF-P-16-12-05</t>
  </si>
  <si>
    <t>CF-P-16-12-06</t>
  </si>
  <si>
    <t>CF-P-16-12-07</t>
  </si>
  <si>
    <t>CF-P-16-12-08</t>
  </si>
  <si>
    <t>CF-P-16-12-09</t>
  </si>
  <si>
    <t>CF-P-16-12-10</t>
  </si>
  <si>
    <t>CF-P-16-12-11</t>
  </si>
  <si>
    <t>CF-P-16-12-12</t>
  </si>
  <si>
    <t>CF-P-16-12-13</t>
  </si>
  <si>
    <t>CF-P-16-12-14</t>
  </si>
  <si>
    <t>CF-P-16-12-15</t>
  </si>
  <si>
    <t>CF-P-16-12-16</t>
  </si>
  <si>
    <t>CF-P-16-12-17</t>
  </si>
  <si>
    <t>CF-P-16-13-01</t>
  </si>
  <si>
    <t>CF-P-16-13-02</t>
  </si>
  <si>
    <t>CF-P-16-13-03</t>
  </si>
  <si>
    <t>CF-P-16-13-04</t>
  </si>
  <si>
    <t>CF-P-16-13-05</t>
  </si>
  <si>
    <t>CF-P-16-13-06</t>
  </si>
  <si>
    <t>CF-P-16-13-07</t>
  </si>
  <si>
    <t>CF-P-16-13-08</t>
  </si>
  <si>
    <t>CF-P-16-13-09</t>
  </si>
  <si>
    <t>CF-P-16-13-10</t>
  </si>
  <si>
    <t>CF-P-16-13-11</t>
  </si>
  <si>
    <t>CF-P-16-13-12</t>
  </si>
  <si>
    <t>CF-P-16-13-13</t>
  </si>
  <si>
    <t>CF-P-16-13-14</t>
  </si>
  <si>
    <t>CF-P-16-13-15</t>
  </si>
  <si>
    <t>CF-P-16-13-16</t>
  </si>
  <si>
    <t>CF-P-16-13-17</t>
  </si>
  <si>
    <t>CF-P-16-14-01</t>
  </si>
  <si>
    <t>CF-P-16-14-02</t>
  </si>
  <si>
    <t>CF-P-16-14-03</t>
  </si>
  <si>
    <t>CF-P-16-14-04</t>
  </si>
  <si>
    <t>CF-P-16-14-05</t>
  </si>
  <si>
    <t>CF-P-16-14-06</t>
  </si>
  <si>
    <t>CF-P-16-14-07</t>
  </si>
  <si>
    <t>CF-P-16-14-08</t>
  </si>
  <si>
    <t>CF-P-16-14-09</t>
  </si>
  <si>
    <t>CF-P-16-14-10</t>
  </si>
  <si>
    <t>CF-P-16-14-11</t>
  </si>
  <si>
    <t>CF-P-16-14-12</t>
  </si>
  <si>
    <t>CF-P-16-14-13</t>
  </si>
  <si>
    <t>CF-P-16-14-14</t>
  </si>
  <si>
    <t>CF-P-16-14-15</t>
  </si>
  <si>
    <t>CF-P-16-14-16</t>
  </si>
  <si>
    <t>CF-P-16-14-17</t>
  </si>
  <si>
    <t>CF-P-16-15-01</t>
  </si>
  <si>
    <t>CF-P-16-15-02</t>
  </si>
  <si>
    <t>CF-P-16-15-03</t>
  </si>
  <si>
    <t>CF-P-16-15-04</t>
  </si>
  <si>
    <t>CF-P-16-15-05</t>
  </si>
  <si>
    <t>CF-P-16-15-06</t>
  </si>
  <si>
    <t>CF-P-16-15-07</t>
  </si>
  <si>
    <t>CF-P-16-15-08</t>
  </si>
  <si>
    <t>CF-P-16-15-09</t>
  </si>
  <si>
    <t>CF-P-16-15-10</t>
  </si>
  <si>
    <t>CF-P-16-15-11</t>
  </si>
  <si>
    <t>CF-P-16-15-12</t>
  </si>
  <si>
    <t>CF-P-16-15-13</t>
  </si>
  <si>
    <t>CF-P-16-15-14</t>
  </si>
  <si>
    <t>CF-P-16-15-15</t>
  </si>
  <si>
    <t>CF-P-16-15-16</t>
  </si>
  <si>
    <t>CF-P-16-15-17</t>
  </si>
  <si>
    <t>CF-P-16-16-01</t>
  </si>
  <si>
    <t>CF-P-16-16-02</t>
  </si>
  <si>
    <t>CF-P-16-16-03</t>
  </si>
  <si>
    <t>CF-P-16-16-04</t>
  </si>
  <si>
    <t>CF-P-16-16-05</t>
  </si>
  <si>
    <t>CF-P-16-16-06</t>
  </si>
  <si>
    <t>CF-P-16-16-07</t>
  </si>
  <si>
    <t>CF-P-16-16-08</t>
  </si>
  <si>
    <t>CF-P-16-16-09</t>
  </si>
  <si>
    <t>CF-P-16-16-10</t>
  </si>
  <si>
    <t>CF-P-16-16-11</t>
  </si>
  <si>
    <t>CF-P-16-16-12</t>
  </si>
  <si>
    <t>CF-P-16-16-13</t>
  </si>
  <si>
    <t>CF-P-16-16-14</t>
  </si>
  <si>
    <t>CF-P-16-16-15</t>
  </si>
  <si>
    <t>CF-P-16-16-16</t>
  </si>
  <si>
    <t>CF-P-16-16-17</t>
  </si>
  <si>
    <t>CF-P-16-17-01</t>
  </si>
  <si>
    <t>CF-P-16-17-02</t>
  </si>
  <si>
    <t>CF-P-16-17-03</t>
  </si>
  <si>
    <t>CF-P-16-17-04</t>
  </si>
  <si>
    <t>CF-P-16-17-05</t>
  </si>
  <si>
    <t>CF-P-16-17-06</t>
  </si>
  <si>
    <t>CF-P-16-17-07</t>
  </si>
  <si>
    <t>CF-P-16-17-08</t>
  </si>
  <si>
    <t>CF-P-16-17-09</t>
  </si>
  <si>
    <t>CF-P-16-17-10</t>
  </si>
  <si>
    <t>CF-P-16-17-11</t>
  </si>
  <si>
    <t>CF-P-16-17-12</t>
  </si>
  <si>
    <t>CF-P-16-17-13</t>
  </si>
  <si>
    <t>CF-P-16-17-14</t>
  </si>
  <si>
    <t>CF-P-16-17-15</t>
  </si>
  <si>
    <t>CF-P-16-17-16</t>
  </si>
  <si>
    <t>CF-P-16-17-17</t>
  </si>
  <si>
    <t>CF-P-17-01-01</t>
  </si>
  <si>
    <t>CF-P-17-01-02</t>
  </si>
  <si>
    <t>CF-P-17-01-03</t>
  </si>
  <si>
    <t>CF-P-17-01-04</t>
  </si>
  <si>
    <t>CF-P-17-01-05</t>
  </si>
  <si>
    <t>CF-P-17-01-06</t>
  </si>
  <si>
    <t>CF-P-17-01-07</t>
  </si>
  <si>
    <t>CF-P-17-01-08</t>
  </si>
  <si>
    <t>CF-P-17-01-09</t>
  </si>
  <si>
    <t>CF-P-17-01-10</t>
  </si>
  <si>
    <t>CF-P-17-01-11</t>
  </si>
  <si>
    <t>CF-P-17-01-12</t>
  </si>
  <si>
    <t>CF-P-17-01-13</t>
  </si>
  <si>
    <t>CF-P-17-01-14</t>
  </si>
  <si>
    <t>CF-P-17-01-15</t>
  </si>
  <si>
    <t>CF-P-17-01-16</t>
  </si>
  <si>
    <t>CF-P-17-01-17</t>
  </si>
  <si>
    <t>CF-P-17-02-01</t>
  </si>
  <si>
    <t>CF-P-17-02-02</t>
  </si>
  <si>
    <t>CF-P-17-02-03</t>
  </si>
  <si>
    <t>CF-P-17-02-04</t>
  </si>
  <si>
    <t>CF-P-17-02-05</t>
  </si>
  <si>
    <t>CF-P-17-02-06</t>
  </si>
  <si>
    <t>CF-P-17-02-07</t>
  </si>
  <si>
    <t>CF-P-17-02-08</t>
  </si>
  <si>
    <t>CF-P-17-02-09</t>
  </si>
  <si>
    <t>CF-P-17-02-10</t>
  </si>
  <si>
    <t>CF-P-17-02-11</t>
  </si>
  <si>
    <t>CF-P-17-02-12</t>
  </si>
  <si>
    <t>CF-P-17-02-13</t>
  </si>
  <si>
    <t>CF-P-17-02-14</t>
  </si>
  <si>
    <t>CF-P-17-02-15</t>
  </si>
  <si>
    <t>CF-P-17-02-16</t>
  </si>
  <si>
    <t>CF-P-17-02-17</t>
  </si>
  <si>
    <t>CF-P-17-03-01</t>
  </si>
  <si>
    <t>CF-P-17-03-02</t>
  </si>
  <si>
    <t>CF-P-17-03-03</t>
  </si>
  <si>
    <t>CF-P-17-03-04</t>
  </si>
  <si>
    <t>CF-P-17-03-05</t>
  </si>
  <si>
    <t>CF-P-17-03-06</t>
  </si>
  <si>
    <t>CF-P-17-03-07</t>
  </si>
  <si>
    <t>CF-P-17-03-08</t>
  </si>
  <si>
    <t>CF-P-17-03-09</t>
  </si>
  <si>
    <t>CF-P-17-03-10</t>
  </si>
  <si>
    <t>CF-P-17-03-11</t>
  </si>
  <si>
    <t>CF-P-17-03-12</t>
  </si>
  <si>
    <t>CF-P-17-03-13</t>
  </si>
  <si>
    <t>CF-P-17-03-14</t>
  </si>
  <si>
    <t>CF-P-17-03-15</t>
  </si>
  <si>
    <t>CF-P-17-03-16</t>
  </si>
  <si>
    <t>CF-P-17-03-17</t>
  </si>
  <si>
    <t>CF-P-17-04-01</t>
  </si>
  <si>
    <t>CF-P-17-04-02</t>
  </si>
  <si>
    <t>CF-P-17-04-03</t>
  </si>
  <si>
    <t>CF-P-17-04-04</t>
  </si>
  <si>
    <t>CF-P-17-04-05</t>
  </si>
  <si>
    <t>CF-P-17-04-06</t>
  </si>
  <si>
    <t>CF-P-17-04-07</t>
  </si>
  <si>
    <t>CF-P-17-04-08</t>
  </si>
  <si>
    <t>CF-P-17-04-09</t>
  </si>
  <si>
    <t>CF-P-17-04-10</t>
  </si>
  <si>
    <t>CF-P-17-04-11</t>
  </si>
  <si>
    <t>CF-P-17-04-12</t>
  </si>
  <si>
    <t>CF-P-17-04-13</t>
  </si>
  <si>
    <t>CF-P-17-04-14</t>
  </si>
  <si>
    <t>CF-P-17-04-15</t>
  </si>
  <si>
    <t>CF-P-17-04-16</t>
  </si>
  <si>
    <t>CF-P-17-04-17</t>
  </si>
  <si>
    <t>CF-P-17-05-01</t>
  </si>
  <si>
    <t>CF-P-17-05-02</t>
  </si>
  <si>
    <t>CF-P-17-05-03</t>
  </si>
  <si>
    <t>CF-P-17-05-04</t>
  </si>
  <si>
    <t>CF-P-17-05-05</t>
  </si>
  <si>
    <t>CF-P-17-05-06</t>
  </si>
  <si>
    <t>CF-P-17-05-07</t>
  </si>
  <si>
    <t>CF-P-17-05-08</t>
  </si>
  <si>
    <t>CF-P-17-05-09</t>
  </si>
  <si>
    <t>CF-P-17-05-10</t>
  </si>
  <si>
    <t>CF-P-17-05-11</t>
  </si>
  <si>
    <t>CF-P-17-05-12</t>
  </si>
  <si>
    <t>CF-P-17-05-13</t>
  </si>
  <si>
    <t>CF-P-17-05-14</t>
  </si>
  <si>
    <t>CF-P-17-05-15</t>
  </si>
  <si>
    <t>CF-P-17-05-16</t>
  </si>
  <si>
    <t>CF-P-17-05-17</t>
  </si>
  <si>
    <t>CF-P-17-06-01</t>
  </si>
  <si>
    <t>CF-P-17-06-02</t>
  </si>
  <si>
    <t>CF-P-17-06-03</t>
  </si>
  <si>
    <t>CF-P-17-06-04</t>
  </si>
  <si>
    <t>CF-P-17-06-05</t>
  </si>
  <si>
    <t>CF-P-17-06-06</t>
  </si>
  <si>
    <t>CF-P-17-06-07</t>
  </si>
  <si>
    <t>CF-P-17-06-08</t>
  </si>
  <si>
    <t>CF-P-17-06-09</t>
  </si>
  <si>
    <t>CF-P-17-06-10</t>
  </si>
  <si>
    <t>CF-P-17-06-11</t>
  </si>
  <si>
    <t>CF-P-17-06-12</t>
  </si>
  <si>
    <t>CF-P-17-06-13</t>
  </si>
  <si>
    <t>CF-P-17-06-14</t>
  </si>
  <si>
    <t>CF-P-17-06-15</t>
  </si>
  <si>
    <t>CF-P-17-06-16</t>
  </si>
  <si>
    <t>CF-P-17-06-17</t>
  </si>
  <si>
    <t>CF-P-17-07-01</t>
  </si>
  <si>
    <t>CF-P-17-07-02</t>
  </si>
  <si>
    <t>CF-P-17-07-03</t>
  </si>
  <si>
    <t>CF-P-17-07-04</t>
  </si>
  <si>
    <t>CF-P-17-07-05</t>
  </si>
  <si>
    <t>CF-P-17-07-06</t>
  </si>
  <si>
    <t>CF-P-17-07-07</t>
  </si>
  <si>
    <t>CF-P-17-07-08</t>
  </si>
  <si>
    <t>CF-P-17-07-09</t>
  </si>
  <si>
    <t>CF-P-17-07-10</t>
  </si>
  <si>
    <t>CF-P-17-07-11</t>
  </si>
  <si>
    <t>CF-P-17-07-12</t>
  </si>
  <si>
    <t>CF-P-17-07-13</t>
  </si>
  <si>
    <t>CF-P-17-07-14</t>
  </si>
  <si>
    <t>CF-P-17-07-15</t>
  </si>
  <si>
    <t>CF-P-17-07-16</t>
  </si>
  <si>
    <t>CF-P-17-07-17</t>
  </si>
  <si>
    <t>CF-P-17-08-01</t>
  </si>
  <si>
    <t>CF-P-17-08-02</t>
  </si>
  <si>
    <t>CF-P-17-08-03</t>
  </si>
  <si>
    <t>CF-P-17-08-04</t>
  </si>
  <si>
    <t>CF-P-17-08-05</t>
  </si>
  <si>
    <t>CF-P-17-08-06</t>
  </si>
  <si>
    <t>CF-P-17-08-07</t>
  </si>
  <si>
    <t>CF-P-17-08-08</t>
  </si>
  <si>
    <t>CF-P-17-08-09</t>
  </si>
  <si>
    <t>CF-P-17-08-10</t>
  </si>
  <si>
    <t>CF-P-17-08-11</t>
  </si>
  <si>
    <t>CF-P-17-08-12</t>
  </si>
  <si>
    <t>CF-P-17-08-13</t>
  </si>
  <si>
    <t>CF-P-17-08-14</t>
  </si>
  <si>
    <t>CF-P-17-08-15</t>
  </si>
  <si>
    <t>CF-P-17-08-16</t>
  </si>
  <si>
    <t>CF-P-17-08-17</t>
  </si>
  <si>
    <t>CF-P-17-09-01</t>
  </si>
  <si>
    <t>CF-P-17-09-02</t>
  </si>
  <si>
    <t>CF-P-17-09-03</t>
  </si>
  <si>
    <t>CF-P-17-09-04</t>
  </si>
  <si>
    <t>CF-P-17-09-05</t>
  </si>
  <si>
    <t>CF-P-17-09-06</t>
  </si>
  <si>
    <t>CF-P-17-09-07</t>
  </si>
  <si>
    <t>CF-P-17-09-08</t>
  </si>
  <si>
    <t>CF-P-17-09-09</t>
  </si>
  <si>
    <t>CF-P-17-09-10</t>
  </si>
  <si>
    <t>CF-P-17-09-11</t>
  </si>
  <si>
    <t>CF-P-17-09-12</t>
  </si>
  <si>
    <t>CF-P-17-09-13</t>
  </si>
  <si>
    <t>CF-P-17-09-14</t>
  </si>
  <si>
    <t>CF-P-17-09-15</t>
  </si>
  <si>
    <t>CF-P-17-09-16</t>
  </si>
  <si>
    <t>CF-P-17-09-17</t>
  </si>
  <si>
    <t>CF-P-17-10-01</t>
  </si>
  <si>
    <t>CF-P-17-10-02</t>
  </si>
  <si>
    <t>CF-P-17-10-03</t>
  </si>
  <si>
    <t>CF-P-17-10-04</t>
  </si>
  <si>
    <t>CF-P-17-10-05</t>
  </si>
  <si>
    <t>CF-P-17-10-06</t>
  </si>
  <si>
    <t>CF-P-17-10-07</t>
  </si>
  <si>
    <t>CF-P-17-10-08</t>
  </si>
  <si>
    <t>CF-P-17-10-09</t>
  </si>
  <si>
    <t>CF-P-17-10-10</t>
  </si>
  <si>
    <t>CF-P-17-10-11</t>
  </si>
  <si>
    <t>CF-P-17-10-12</t>
  </si>
  <si>
    <t>CF-P-17-10-13</t>
  </si>
  <si>
    <t>CF-P-17-10-14</t>
  </si>
  <si>
    <t>CF-P-17-10-15</t>
  </si>
  <si>
    <t>CF-P-17-10-16</t>
  </si>
  <si>
    <t>CF-P-17-10-17</t>
  </si>
  <si>
    <t>CF-P-17-11-01</t>
  </si>
  <si>
    <t>CF-P-17-11-02</t>
  </si>
  <si>
    <t>CF-P-17-11-03</t>
  </si>
  <si>
    <t>CF-P-17-11-04</t>
  </si>
  <si>
    <t>CF-P-17-11-05</t>
  </si>
  <si>
    <t>CF-P-17-11-06</t>
  </si>
  <si>
    <t>CF-P-17-11-07</t>
  </si>
  <si>
    <t>CF-P-17-11-08</t>
  </si>
  <si>
    <t>CF-P-17-11-09</t>
  </si>
  <si>
    <t>CF-P-17-11-10</t>
  </si>
  <si>
    <t>CF-P-17-11-11</t>
  </si>
  <si>
    <t>CF-P-17-11-12</t>
  </si>
  <si>
    <t>CF-P-17-11-13</t>
  </si>
  <si>
    <t>CF-P-17-11-14</t>
  </si>
  <si>
    <t>CF-P-17-11-15</t>
  </si>
  <si>
    <t>CF-P-17-11-16</t>
  </si>
  <si>
    <t>CF-P-17-11-17</t>
  </si>
  <si>
    <t>CF-P-17-12-01</t>
  </si>
  <si>
    <t>CF-P-17-12-02</t>
  </si>
  <si>
    <t>CF-P-17-12-03</t>
  </si>
  <si>
    <t>CF-P-17-12-04</t>
  </si>
  <si>
    <t>CF-P-17-12-05</t>
  </si>
  <si>
    <t>CF-P-17-12-06</t>
  </si>
  <si>
    <t>CF-P-17-12-07</t>
  </si>
  <si>
    <t>CF-P-17-12-08</t>
  </si>
  <si>
    <t>CF-P-17-12-09</t>
  </si>
  <si>
    <t>CF-P-17-12-10</t>
  </si>
  <si>
    <t>CF-P-17-12-11</t>
  </si>
  <si>
    <t>CF-P-17-12-12</t>
  </si>
  <si>
    <t>CF-P-17-12-13</t>
  </si>
  <si>
    <t>CF-P-17-12-14</t>
  </si>
  <si>
    <t>CF-P-17-12-15</t>
  </si>
  <si>
    <t>CF-P-17-12-16</t>
  </si>
  <si>
    <t>CF-P-17-12-17</t>
  </si>
  <si>
    <t>CF-P-17-13-01</t>
  </si>
  <si>
    <t>CF-P-17-13-02</t>
  </si>
  <si>
    <t>CF-P-17-13-03</t>
  </si>
  <si>
    <t>CF-P-17-13-04</t>
  </si>
  <si>
    <t>CF-P-17-13-05</t>
  </si>
  <si>
    <t>CF-P-17-13-06</t>
  </si>
  <si>
    <t>CF-P-17-13-07</t>
  </si>
  <si>
    <t>CF-P-17-13-08</t>
  </si>
  <si>
    <t>CF-P-17-13-09</t>
  </si>
  <si>
    <t>CF-P-17-13-10</t>
  </si>
  <si>
    <t>CF-P-17-13-11</t>
  </si>
  <si>
    <t>CF-P-17-13-12</t>
  </si>
  <si>
    <t>CF-P-17-13-13</t>
  </si>
  <si>
    <t>CF-P-17-13-14</t>
  </si>
  <si>
    <t>CF-P-17-13-15</t>
  </si>
  <si>
    <t>CF-P-17-13-16</t>
  </si>
  <si>
    <t>CF-P-17-13-17</t>
  </si>
  <si>
    <t>CF-P-17-14-01</t>
  </si>
  <si>
    <t>CF-P-17-14-02</t>
  </si>
  <si>
    <t>CF-P-17-14-03</t>
  </si>
  <si>
    <t>CF-P-17-14-04</t>
  </si>
  <si>
    <t>CF-P-17-14-05</t>
  </si>
  <si>
    <t>CF-P-17-14-06</t>
  </si>
  <si>
    <t>CF-P-17-14-07</t>
  </si>
  <si>
    <t>CF-P-17-14-08</t>
  </si>
  <si>
    <t>CF-P-17-14-09</t>
  </si>
  <si>
    <t>CF-P-17-14-10</t>
  </si>
  <si>
    <t>CF-P-17-14-11</t>
  </si>
  <si>
    <t>CF-P-17-14-12</t>
  </si>
  <si>
    <t>CF-P-17-14-13</t>
  </si>
  <si>
    <t>CF-P-17-14-14</t>
  </si>
  <si>
    <t>CF-P-17-14-15</t>
  </si>
  <si>
    <t>CF-P-17-14-16</t>
  </si>
  <si>
    <t>CF-P-17-14-17</t>
  </si>
  <si>
    <t>CF-P-17-15-01</t>
  </si>
  <si>
    <t>CF-P-17-15-02</t>
  </si>
  <si>
    <t>CF-P-17-15-03</t>
  </si>
  <si>
    <t>CF-P-17-15-04</t>
  </si>
  <si>
    <t>CF-P-17-15-05</t>
  </si>
  <si>
    <t>CF-P-17-15-06</t>
  </si>
  <si>
    <t>CF-P-17-15-07</t>
  </si>
  <si>
    <t>CF-P-17-15-08</t>
  </si>
  <si>
    <t>CF-P-17-15-09</t>
  </si>
  <si>
    <t>CF-P-17-15-10</t>
  </si>
  <si>
    <t>CF-P-17-15-11</t>
  </si>
  <si>
    <t>CF-P-17-15-12</t>
  </si>
  <si>
    <t>CF-P-17-15-13</t>
  </si>
  <si>
    <t>CF-P-17-15-14</t>
  </si>
  <si>
    <t>CF-P-17-15-15</t>
  </si>
  <si>
    <t>CF-P-17-15-16</t>
  </si>
  <si>
    <t>CF-P-17-15-17</t>
  </si>
  <si>
    <t>CF-P-17-16-01</t>
  </si>
  <si>
    <t>CF-P-17-16-02</t>
  </si>
  <si>
    <t>CF-P-17-16-03</t>
  </si>
  <si>
    <t>CF-P-17-16-04</t>
  </si>
  <si>
    <t>CF-P-17-16-05</t>
  </si>
  <si>
    <t>CF-P-17-16-06</t>
  </si>
  <si>
    <t>CF-P-17-16-07</t>
  </si>
  <si>
    <t>CF-P-17-16-08</t>
  </si>
  <si>
    <t>CF-P-17-16-09</t>
  </si>
  <si>
    <t>CF-P-17-16-10</t>
  </si>
  <si>
    <t>CF-P-17-16-11</t>
  </si>
  <si>
    <t>CF-P-17-16-12</t>
  </si>
  <si>
    <t>CF-P-17-16-13</t>
  </si>
  <si>
    <t>CF-P-17-16-14</t>
  </si>
  <si>
    <t>CF-P-17-16-15</t>
  </si>
  <si>
    <t>CF-P-17-16-16</t>
  </si>
  <si>
    <t>CF-P-17-16-17</t>
  </si>
  <si>
    <t>CF-P-17-17-01</t>
  </si>
  <si>
    <t>CF-P-17-17-02</t>
  </si>
  <si>
    <t>CF-P-17-17-03</t>
  </si>
  <si>
    <t>CF-P-17-17-04</t>
  </si>
  <si>
    <t>CF-P-17-17-05</t>
  </si>
  <si>
    <t>CF-P-17-17-06</t>
  </si>
  <si>
    <t>CF-P-17-17-07</t>
  </si>
  <si>
    <t>CF-P-17-17-08</t>
  </si>
  <si>
    <t>CF-P-17-17-09</t>
  </si>
  <si>
    <t>CF-P-17-17-10</t>
  </si>
  <si>
    <t>CF-P-17-17-11</t>
  </si>
  <si>
    <t>CF-P-17-17-12</t>
  </si>
  <si>
    <t>CF-P-17-17-13</t>
  </si>
  <si>
    <t>CF-P-17-17-14</t>
  </si>
  <si>
    <t>CF-P-17-17-15</t>
  </si>
  <si>
    <t>CF-P-17-17-16</t>
  </si>
  <si>
    <t>CF-P-17-17-17</t>
  </si>
  <si>
    <t>DATA_CAPITAL_FLOW_RECON — property-to-portfolio reconciliation</t>
  </si>
  <si>
    <t>Purpose: verifies that SUM(property-level capital-flow rows) equals the corresponding portfolio-level row by year and metric.</t>
  </si>
  <si>
    <t>Rule: differences should be zero. Property-level Amounts are scope-adjusted to current inclusion flags so they reconcile to portfolio totals.</t>
  </si>
  <si>
    <t>Recon_ID</t>
  </si>
  <si>
    <t>Portfolio Amount</t>
  </si>
  <si>
    <t>Property Sum</t>
  </si>
  <si>
    <t>Difference</t>
  </si>
  <si>
    <t>CF-R-01-01</t>
  </si>
  <si>
    <t>SUMIFS property-level rows against portfolio-level row by year and metric.</t>
  </si>
  <si>
    <t>CF-R-01-02</t>
  </si>
  <si>
    <t>CF-R-01-03</t>
  </si>
  <si>
    <t>CF-R-01-04</t>
  </si>
  <si>
    <t>CF-R-01-05</t>
  </si>
  <si>
    <t>CF-R-01-06</t>
  </si>
  <si>
    <t>CF-R-01-07</t>
  </si>
  <si>
    <t>CF-R-01-08</t>
  </si>
  <si>
    <t>CF-R-01-09</t>
  </si>
  <si>
    <t>CF-R-01-10</t>
  </si>
  <si>
    <t>CF-R-01-11</t>
  </si>
  <si>
    <t>CF-R-01-12</t>
  </si>
  <si>
    <t>CF-R-01-13</t>
  </si>
  <si>
    <t>CF-R-01-14</t>
  </si>
  <si>
    <t>CF-R-01-15</t>
  </si>
  <si>
    <t>CF-R-01-16</t>
  </si>
  <si>
    <t>CF-R-01-17</t>
  </si>
  <si>
    <t>CF-R-02-01</t>
  </si>
  <si>
    <t>CF-R-02-02</t>
  </si>
  <si>
    <t>CF-R-02-03</t>
  </si>
  <si>
    <t>CF-R-02-04</t>
  </si>
  <si>
    <t>CF-R-02-05</t>
  </si>
  <si>
    <t>CF-R-02-06</t>
  </si>
  <si>
    <t>CF-R-02-07</t>
  </si>
  <si>
    <t>CF-R-02-08</t>
  </si>
  <si>
    <t>CF-R-02-09</t>
  </si>
  <si>
    <t>CF-R-02-10</t>
  </si>
  <si>
    <t>CF-R-02-11</t>
  </si>
  <si>
    <t>CF-R-02-12</t>
  </si>
  <si>
    <t>CF-R-02-13</t>
  </si>
  <si>
    <t>CF-R-02-14</t>
  </si>
  <si>
    <t>CF-R-02-15</t>
  </si>
  <si>
    <t>CF-R-02-16</t>
  </si>
  <si>
    <t>CF-R-02-17</t>
  </si>
  <si>
    <t>CF-R-03-01</t>
  </si>
  <si>
    <t>CF-R-03-02</t>
  </si>
  <si>
    <t>CF-R-03-03</t>
  </si>
  <si>
    <t>CF-R-03-04</t>
  </si>
  <si>
    <t>CF-R-03-05</t>
  </si>
  <si>
    <t>CF-R-03-06</t>
  </si>
  <si>
    <t>CF-R-03-07</t>
  </si>
  <si>
    <t>CF-R-03-08</t>
  </si>
  <si>
    <t>CF-R-03-09</t>
  </si>
  <si>
    <t>CF-R-03-10</t>
  </si>
  <si>
    <t>CF-R-03-11</t>
  </si>
  <si>
    <t>CF-R-03-12</t>
  </si>
  <si>
    <t>CF-R-03-13</t>
  </si>
  <si>
    <t>CF-R-03-14</t>
  </si>
  <si>
    <t>CF-R-03-15</t>
  </si>
  <si>
    <t>CF-R-03-16</t>
  </si>
  <si>
    <t>CF-R-03-17</t>
  </si>
  <si>
    <t>CF-R-04-01</t>
  </si>
  <si>
    <t>CF-R-04-02</t>
  </si>
  <si>
    <t>CF-R-04-03</t>
  </si>
  <si>
    <t>CF-R-04-04</t>
  </si>
  <si>
    <t>CF-R-04-05</t>
  </si>
  <si>
    <t>CF-R-04-06</t>
  </si>
  <si>
    <t>CF-R-04-07</t>
  </si>
  <si>
    <t>CF-R-04-08</t>
  </si>
  <si>
    <t>CF-R-04-09</t>
  </si>
  <si>
    <t>CF-R-04-10</t>
  </si>
  <si>
    <t>CF-R-04-11</t>
  </si>
  <si>
    <t>CF-R-04-12</t>
  </si>
  <si>
    <t>CF-R-04-13</t>
  </si>
  <si>
    <t>CF-R-04-14</t>
  </si>
  <si>
    <t>CF-R-04-15</t>
  </si>
  <si>
    <t>CF-R-04-16</t>
  </si>
  <si>
    <t>CF-R-04-17</t>
  </si>
  <si>
    <t>CF-R-05-01</t>
  </si>
  <si>
    <t>CF-R-05-02</t>
  </si>
  <si>
    <t>CF-R-05-03</t>
  </si>
  <si>
    <t>CF-R-05-04</t>
  </si>
  <si>
    <t>CF-R-05-05</t>
  </si>
  <si>
    <t>CF-R-05-06</t>
  </si>
  <si>
    <t>CF-R-05-07</t>
  </si>
  <si>
    <t>CF-R-05-08</t>
  </si>
  <si>
    <t>CF-R-05-09</t>
  </si>
  <si>
    <t>CF-R-05-10</t>
  </si>
  <si>
    <t>CF-R-05-11</t>
  </si>
  <si>
    <t>CF-R-05-12</t>
  </si>
  <si>
    <t>CF-R-05-13</t>
  </si>
  <si>
    <t>CF-R-05-14</t>
  </si>
  <si>
    <t>CF-R-05-15</t>
  </si>
  <si>
    <t>CF-R-05-16</t>
  </si>
  <si>
    <t>CF-R-05-17</t>
  </si>
  <si>
    <t>CF-R-06-01</t>
  </si>
  <si>
    <t>CF-R-06-02</t>
  </si>
  <si>
    <t>CF-R-06-03</t>
  </si>
  <si>
    <t>CF-R-06-04</t>
  </si>
  <si>
    <t>CF-R-06-05</t>
  </si>
  <si>
    <t>CF-R-06-06</t>
  </si>
  <si>
    <t>CF-R-06-07</t>
  </si>
  <si>
    <t>CF-R-06-08</t>
  </si>
  <si>
    <t>CF-R-06-09</t>
  </si>
  <si>
    <t>CF-R-06-10</t>
  </si>
  <si>
    <t>CF-R-06-11</t>
  </si>
  <si>
    <t>CF-R-06-12</t>
  </si>
  <si>
    <t>CF-R-06-13</t>
  </si>
  <si>
    <t>CF-R-06-14</t>
  </si>
  <si>
    <t>CF-R-06-15</t>
  </si>
  <si>
    <t>CF-R-06-16</t>
  </si>
  <si>
    <t>CF-R-06-17</t>
  </si>
  <si>
    <t>CF-R-07-01</t>
  </si>
  <si>
    <t>CF-R-07-02</t>
  </si>
  <si>
    <t>CF-R-07-03</t>
  </si>
  <si>
    <t>CF-R-07-04</t>
  </si>
  <si>
    <t>CF-R-07-05</t>
  </si>
  <si>
    <t>CF-R-07-06</t>
  </si>
  <si>
    <t>CF-R-07-07</t>
  </si>
  <si>
    <t>CF-R-07-08</t>
  </si>
  <si>
    <t>CF-R-07-09</t>
  </si>
  <si>
    <t>CF-R-07-10</t>
  </si>
  <si>
    <t>CF-R-07-11</t>
  </si>
  <si>
    <t>CF-R-07-12</t>
  </si>
  <si>
    <t>CF-R-07-13</t>
  </si>
  <si>
    <t>CF-R-07-14</t>
  </si>
  <si>
    <t>CF-R-07-15</t>
  </si>
  <si>
    <t>CF-R-07-16</t>
  </si>
  <si>
    <t>CF-R-07-17</t>
  </si>
  <si>
    <t>CF-R-08-01</t>
  </si>
  <si>
    <t>CF-R-08-02</t>
  </si>
  <si>
    <t>CF-R-08-03</t>
  </si>
  <si>
    <t>CF-R-08-04</t>
  </si>
  <si>
    <t>CF-R-08-05</t>
  </si>
  <si>
    <t>CF-R-08-06</t>
  </si>
  <si>
    <t>CF-R-08-07</t>
  </si>
  <si>
    <t>CF-R-08-08</t>
  </si>
  <si>
    <t>CF-R-08-09</t>
  </si>
  <si>
    <t>CF-R-08-10</t>
  </si>
  <si>
    <t>CF-R-08-11</t>
  </si>
  <si>
    <t>CF-R-08-12</t>
  </si>
  <si>
    <t>CF-R-08-13</t>
  </si>
  <si>
    <t>CF-R-08-14</t>
  </si>
  <si>
    <t>CF-R-08-15</t>
  </si>
  <si>
    <t>CF-R-08-16</t>
  </si>
  <si>
    <t>CF-R-08-17</t>
  </si>
  <si>
    <t>CF-R-09-01</t>
  </si>
  <si>
    <t>CF-R-09-02</t>
  </si>
  <si>
    <t>CF-R-09-03</t>
  </si>
  <si>
    <t>CF-R-09-04</t>
  </si>
  <si>
    <t>CF-R-09-05</t>
  </si>
  <si>
    <t>CF-R-09-06</t>
  </si>
  <si>
    <t>CF-R-09-07</t>
  </si>
  <si>
    <t>CF-R-09-08</t>
  </si>
  <si>
    <t>CF-R-09-09</t>
  </si>
  <si>
    <t>CF-R-09-10</t>
  </si>
  <si>
    <t>CF-R-09-11</t>
  </si>
  <si>
    <t>CF-R-09-12</t>
  </si>
  <si>
    <t>CF-R-09-13</t>
  </si>
  <si>
    <t>CF-R-09-14</t>
  </si>
  <si>
    <t>CF-R-09-15</t>
  </si>
  <si>
    <t>CF-R-09-16</t>
  </si>
  <si>
    <t>CF-R-09-17</t>
  </si>
  <si>
    <t>CF-R-10-01</t>
  </si>
  <si>
    <t>CF-R-10-02</t>
  </si>
  <si>
    <t>CF-R-10-03</t>
  </si>
  <si>
    <t>CF-R-10-04</t>
  </si>
  <si>
    <t>CF-R-10-05</t>
  </si>
  <si>
    <t>CF-R-10-06</t>
  </si>
  <si>
    <t>CF-R-10-07</t>
  </si>
  <si>
    <t>CF-R-10-08</t>
  </si>
  <si>
    <t>CF-R-10-09</t>
  </si>
  <si>
    <t>CF-R-10-10</t>
  </si>
  <si>
    <t>CF-R-10-11</t>
  </si>
  <si>
    <t>CF-R-10-12</t>
  </si>
  <si>
    <t>CF-R-10-13</t>
  </si>
  <si>
    <t>CF-R-10-14</t>
  </si>
  <si>
    <t>CF-R-10-15</t>
  </si>
  <si>
    <t>CF-R-10-16</t>
  </si>
  <si>
    <t>CF-R-10-17</t>
  </si>
  <si>
    <t>CF-R-11-01</t>
  </si>
  <si>
    <t>CF-R-11-02</t>
  </si>
  <si>
    <t>CF-R-11-03</t>
  </si>
  <si>
    <t>CF-R-11-04</t>
  </si>
  <si>
    <t>CF-R-11-05</t>
  </si>
  <si>
    <t>CF-R-11-06</t>
  </si>
  <si>
    <t>CF-R-11-07</t>
  </si>
  <si>
    <t>CF-R-11-08</t>
  </si>
  <si>
    <t>CF-R-11-09</t>
  </si>
  <si>
    <t>CF-R-11-10</t>
  </si>
  <si>
    <t>CF-R-11-11</t>
  </si>
  <si>
    <t>CF-R-11-12</t>
  </si>
  <si>
    <t>CF-R-11-13</t>
  </si>
  <si>
    <t>CF-R-11-14</t>
  </si>
  <si>
    <t>CF-R-11-15</t>
  </si>
  <si>
    <t>CF-R-11-16</t>
  </si>
  <si>
    <t>CF-R-11-17</t>
  </si>
  <si>
    <t>CF-R-12-01</t>
  </si>
  <si>
    <t>CF-R-12-02</t>
  </si>
  <si>
    <t>CF-R-12-03</t>
  </si>
  <si>
    <t>CF-R-12-04</t>
  </si>
  <si>
    <t>CF-R-12-05</t>
  </si>
  <si>
    <t>CF-R-12-06</t>
  </si>
  <si>
    <t>CF-R-12-07</t>
  </si>
  <si>
    <t>CF-R-12-08</t>
  </si>
  <si>
    <t>CF-R-12-09</t>
  </si>
  <si>
    <t>CF-R-12-10</t>
  </si>
  <si>
    <t>CF-R-12-11</t>
  </si>
  <si>
    <t>CF-R-12-12</t>
  </si>
  <si>
    <t>CF-R-12-13</t>
  </si>
  <si>
    <t>CF-R-12-14</t>
  </si>
  <si>
    <t>CF-R-12-15</t>
  </si>
  <si>
    <t>CF-R-12-16</t>
  </si>
  <si>
    <t>CF-R-12-17</t>
  </si>
  <si>
    <t>CF-R-13-01</t>
  </si>
  <si>
    <t>CF-R-13-02</t>
  </si>
  <si>
    <t>CF-R-13-03</t>
  </si>
  <si>
    <t>CF-R-13-04</t>
  </si>
  <si>
    <t>CF-R-13-05</t>
  </si>
  <si>
    <t>CF-R-13-06</t>
  </si>
  <si>
    <t>CF-R-13-07</t>
  </si>
  <si>
    <t>CF-R-13-08</t>
  </si>
  <si>
    <t>CF-R-13-09</t>
  </si>
  <si>
    <t>CF-R-13-10</t>
  </si>
  <si>
    <t>CF-R-13-11</t>
  </si>
  <si>
    <t>CF-R-13-12</t>
  </si>
  <si>
    <t>CF-R-13-13</t>
  </si>
  <si>
    <t>CF-R-13-14</t>
  </si>
  <si>
    <t>CF-R-13-15</t>
  </si>
  <si>
    <t>CF-R-13-16</t>
  </si>
  <si>
    <t>CF-R-13-17</t>
  </si>
  <si>
    <t>CF-R-14-01</t>
  </si>
  <si>
    <t>CF-R-14-02</t>
  </si>
  <si>
    <t>CF-R-14-03</t>
  </si>
  <si>
    <t>CF-R-14-04</t>
  </si>
  <si>
    <t>CF-R-14-05</t>
  </si>
  <si>
    <t>CF-R-14-06</t>
  </si>
  <si>
    <t>CF-R-14-07</t>
  </si>
  <si>
    <t>CF-R-14-08</t>
  </si>
  <si>
    <t>CF-R-14-09</t>
  </si>
  <si>
    <t>CF-R-14-10</t>
  </si>
  <si>
    <t>CF-R-14-11</t>
  </si>
  <si>
    <t>CF-R-14-12</t>
  </si>
  <si>
    <t>CF-R-14-13</t>
  </si>
  <si>
    <t>CF-R-14-14</t>
  </si>
  <si>
    <t>CF-R-14-15</t>
  </si>
  <si>
    <t>CF-R-14-16</t>
  </si>
  <si>
    <t>CF-R-14-17</t>
  </si>
  <si>
    <t>CF-R-15-01</t>
  </si>
  <si>
    <t>CF-R-15-02</t>
  </si>
  <si>
    <t>CF-R-15-03</t>
  </si>
  <si>
    <t>CF-R-15-04</t>
  </si>
  <si>
    <t>CF-R-15-05</t>
  </si>
  <si>
    <t>CF-R-15-06</t>
  </si>
  <si>
    <t>CF-R-15-07</t>
  </si>
  <si>
    <t>CF-R-15-08</t>
  </si>
  <si>
    <t>CF-R-15-09</t>
  </si>
  <si>
    <t>CF-R-15-10</t>
  </si>
  <si>
    <t>CF-R-15-11</t>
  </si>
  <si>
    <t>CF-R-15-12</t>
  </si>
  <si>
    <t>CF-R-15-13</t>
  </si>
  <si>
    <t>CF-R-15-14</t>
  </si>
  <si>
    <t>CF-R-15-15</t>
  </si>
  <si>
    <t>CF-R-15-16</t>
  </si>
  <si>
    <t>CF-R-15-17</t>
  </si>
  <si>
    <t>CF-R-16-01</t>
  </si>
  <si>
    <t>CF-R-16-02</t>
  </si>
  <si>
    <t>CF-R-16-03</t>
  </si>
  <si>
    <t>CF-R-16-04</t>
  </si>
  <si>
    <t>CF-R-16-05</t>
  </si>
  <si>
    <t>CF-R-16-06</t>
  </si>
  <si>
    <t>CF-R-16-07</t>
  </si>
  <si>
    <t>CF-R-16-08</t>
  </si>
  <si>
    <t>CF-R-16-09</t>
  </si>
  <si>
    <t>CF-R-16-10</t>
  </si>
  <si>
    <t>CF-R-16-11</t>
  </si>
  <si>
    <t>CF-R-16-12</t>
  </si>
  <si>
    <t>CF-R-16-13</t>
  </si>
  <si>
    <t>CF-R-16-14</t>
  </si>
  <si>
    <t>CF-R-16-15</t>
  </si>
  <si>
    <t>CF-R-16-16</t>
  </si>
  <si>
    <t>CF-R-16-17</t>
  </si>
  <si>
    <t>CF-R-17-01</t>
  </si>
  <si>
    <t>CF-R-17-02</t>
  </si>
  <si>
    <t>CF-R-17-03</t>
  </si>
  <si>
    <t>CF-R-17-04</t>
  </si>
  <si>
    <t>CF-R-17-05</t>
  </si>
  <si>
    <t>CF-R-17-06</t>
  </si>
  <si>
    <t>CF-R-17-07</t>
  </si>
  <si>
    <t>CF-R-17-08</t>
  </si>
  <si>
    <t>CF-R-17-09</t>
  </si>
  <si>
    <t>CF-R-17-10</t>
  </si>
  <si>
    <t>CF-R-17-11</t>
  </si>
  <si>
    <t>CF-R-17-12</t>
  </si>
  <si>
    <t>CF-R-17-13</t>
  </si>
  <si>
    <t>CF-R-17-14</t>
  </si>
  <si>
    <t>CF-R-17-15</t>
  </si>
  <si>
    <t>CF-R-17-16</t>
  </si>
  <si>
    <t>CF-R-17-17</t>
  </si>
  <si>
    <t>DATA_AGGREGATION_AUDIT — rollup source-error audit</t>
  </si>
  <si>
    <t>Included source error count</t>
  </si>
  <si>
    <t>Excluded source error count</t>
  </si>
  <si>
    <t>Purpose: totals calculate through source errors; formulas now reference DATA_PROPERTY_MASTER dynamically so audit survives new NGOs/properties without chained BLD_AB + BLD_AC formulas.</t>
  </si>
  <si>
    <t>Rollup Row</t>
  </si>
  <si>
    <t>Error Type</t>
  </si>
  <si>
    <t>Row Total</t>
  </si>
  <si>
    <t>Live ISERROR checks against each property tab and current inclusion toggle.</t>
  </si>
  <si>
    <t>OUT_CAPITAL_FLOW_SUMMARY — clean separation of operations, debt, refinance, and funding gap</t>
  </si>
  <si>
    <t>Purpose: shows the same underlying model outputs in a cleaner structure. Positive refinance surplus can support partnership cash; residual funding gap is shown separately and is not treated as equity returned.</t>
  </si>
  <si>
    <t>OPERATING FLOW</t>
  </si>
  <si>
    <t>REFINANCE / CAPITAL FLOW</t>
  </si>
  <si>
    <t>CLEAN OUTPUT</t>
  </si>
  <si>
    <t>Difference: Clean - Legacy</t>
  </si>
  <si>
    <t>Check: Difference equals residual gap</t>
  </si>
  <si>
    <t>Definition</t>
  </si>
  <si>
    <t>Treatment</t>
  </si>
  <si>
    <t>AFFO after distributions, pulled from the original rollup row 56.</t>
  </si>
  <si>
    <t>Positive net refinance position only; can be included in clean cash to partnership.</t>
  </si>
  <si>
    <t>Negative net refinance position converted to a positive funding need; kept separate from partnership cash.</t>
  </si>
  <si>
    <t>Retained operating cash + refinance surplus only. It does not subtract funding gaps.</t>
  </si>
  <si>
    <t>Original rollup total; kept for reconciliation until investor summary is rebuilt.</t>
  </si>
  <si>
    <t>INPUT_CONTROL_MAP — v11 analyst / AI write map</t>
  </si>
  <si>
    <t>One centralized instruction layer showing where humans or AI may write, what is generated, and what remains legacy NGO B calculation engine.</t>
  </si>
  <si>
    <t>Do not write into generated DATA/OUT tabs except in designated override/input columns. Future AI ingestion should write to intake/canonical input zones first, then generate the model.</t>
  </si>
  <si>
    <t>Zone</t>
  </si>
  <si>
    <t>Tab</t>
  </si>
  <si>
    <t>Range / Columns</t>
  </si>
  <si>
    <t>Field / Purpose</t>
  </si>
  <si>
    <t>Table Exists?</t>
  </si>
  <si>
    <t>Engine Repoint Status / Feeds To</t>
  </si>
  <si>
    <t>PRIMARY INPUT</t>
  </si>
  <si>
    <t>A5:H25</t>
  </si>
  <si>
    <t>Source file log: NGO files, Yardi/CSV exports, fiscal year, received status</t>
  </si>
  <si>
    <t>Human / AI may write</t>
  </si>
  <si>
    <t>Feeds evidence tracking and future ingestion</t>
  </si>
  <si>
    <t>This is the first place analysts should document files received.</t>
  </si>
  <si>
    <t>A5:E21; B31</t>
  </si>
  <si>
    <t>Property ID, inclusion flag, selected current year</t>
  </si>
  <si>
    <t>Human / AI may write controlled cells</t>
  </si>
  <si>
    <t>Feeds rollup scope, property master, classification</t>
  </si>
  <si>
    <t>Do not manually edit generated columns F:H.</t>
  </si>
  <si>
    <t>CONTROLLED OVERRIDE</t>
  </si>
  <si>
    <t>T8:T24 and Y8:Y24</t>
  </si>
  <si>
    <t>Human classification override and required reason</t>
  </si>
  <si>
    <t>Human / AI may write only if justified</t>
  </si>
  <si>
    <t>Feeds final classification U and all summaries</t>
  </si>
  <si>
    <t>If T is used, Y must be filled; QC flags missing reasons.</t>
  </si>
  <si>
    <t>GENERATED DATA</t>
  </si>
  <si>
    <t>A5:O21</t>
  </si>
  <si>
    <t>Canonical property master bridge</t>
  </si>
  <si>
    <t>Do not manually edit</t>
  </si>
  <si>
    <t>Generated from current model; future generated from AI/source files</t>
  </si>
  <si>
    <t>Rows are still sized to NGO B; future Python should extend rows.</t>
  </si>
  <si>
    <t>A5:L21</t>
  </si>
  <si>
    <t>Canonical debt bridge</t>
  </si>
  <si>
    <t>Generated from current 02_Debt Engine / property tabs</t>
  </si>
  <si>
    <t>Not yet the source of calculations.</t>
  </si>
  <si>
    <t>A5:H10000</t>
  </si>
  <si>
    <t>Long-format property metrics</t>
  </si>
  <si>
    <t>Generated from BLD_* tabs</t>
  </si>
  <si>
    <t>Future engine should generate directly from canonical data tables.</t>
  </si>
  <si>
    <t>A5:Q5206</t>
  </si>
  <si>
    <t>Portfolio and property-level capital flow</t>
  </si>
  <si>
    <t>Generated from rollup + property tabs</t>
  </si>
  <si>
    <t>Property-level rows reconcile to portfolio-level rows.</t>
  </si>
  <si>
    <t>A5:H400</t>
  </si>
  <si>
    <t>Capital flow reconciliation</t>
  </si>
  <si>
    <t>Generated from DATA_CAPITAL_FLOW</t>
  </si>
  <si>
    <t>Use to catch drift between property and portfolio totals.</t>
  </si>
  <si>
    <t>A6:Y80</t>
  </si>
  <si>
    <t>Suppressed source-error audit</t>
  </si>
  <si>
    <t>Generated from DATA_PROPERTY_MASTER + BLD_* tabs</t>
  </si>
  <si>
    <t>v9 formulas are dynamic; no BLD_AB + BLD_AC chaining.</t>
  </si>
  <si>
    <t>OUTPUT</t>
  </si>
  <si>
    <t>A1:L60</t>
  </si>
  <si>
    <t>Investor/funder-facing summary</t>
  </si>
  <si>
    <t>Do not manually edit core formulas</t>
  </si>
  <si>
    <t>Generated from DATA_ASSET_CLASSIFICATION, DATA_CAPITAL_FLOW, audit/recon</t>
  </si>
  <si>
    <t>Text edits should be handled carefully; formula cells stay live.</t>
  </si>
  <si>
    <t>A1:R35</t>
  </si>
  <si>
    <t>Capital-flow summary</t>
  </si>
  <si>
    <t>Clean output view.</t>
  </si>
  <si>
    <t>A1:E30</t>
  </si>
  <si>
    <t>Platform migration dashboard</t>
  </si>
  <si>
    <t>Do not manually edit formulas</t>
  </si>
  <si>
    <t>Generated from quality checks</t>
  </si>
  <si>
    <t>Shows what remains open before platform readiness.</t>
  </si>
  <si>
    <t>QUALITY CONTROL</t>
  </si>
  <si>
    <t>A5:E80</t>
  </si>
  <si>
    <t>Workbook checks</t>
  </si>
  <si>
    <t>Generated from model and DATA tabs</t>
  </si>
  <si>
    <t>Add checks here when adding new logic.</t>
  </si>
  <si>
    <t>A5:F80</t>
  </si>
  <si>
    <t>Platform checks</t>
  </si>
  <si>
    <t>Generated from DATA/OUT tabs</t>
  </si>
  <si>
    <t>Open items can be roadmap items, not necessarily calculation failures.</t>
  </si>
  <si>
    <t>LEGACY ENGINE</t>
  </si>
  <si>
    <t>B4:R80</t>
  </si>
  <si>
    <t>Property identity, units, summary assumptions</t>
  </si>
  <si>
    <t>Legacy/manual model area</t>
  </si>
  <si>
    <t>Feeds existing model and DATA bridge</t>
  </si>
  <si>
    <t>Future: replace with generated canonical property summary.</t>
  </si>
  <si>
    <t>01_Base Yr. Inputs</t>
  </si>
  <si>
    <t>various</t>
  </si>
  <si>
    <t>Base year revenue/expense inputs</t>
  </si>
  <si>
    <t>Feeds BLD_* tabs</t>
  </si>
  <si>
    <t>Future: repoint from DATA_OPERATING_ACTUALS.</t>
  </si>
  <si>
    <t>02_Rent Engine</t>
  </si>
  <si>
    <t>Rent projection engine</t>
  </si>
  <si>
    <t>Future: repoint from DATA_RENT_ROLL / DATA_UNIT_MIX.</t>
  </si>
  <si>
    <t>Debt and refinance engine</t>
  </si>
  <si>
    <t>Feeds BLD_* tabs and DATA_DEBT_MASTER</t>
  </si>
  <si>
    <t>Future: repoint from DATA_DEBT_MASTER as source.</t>
  </si>
  <si>
    <t>BLD_* property tabs</t>
  </si>
  <si>
    <t>E:Y rows 13,41,45,48,52,54,61:63</t>
  </si>
  <si>
    <t>Property-level calculation engine</t>
  </si>
  <si>
    <t>Do not manually edit formulas unless model design changes</t>
  </si>
  <si>
    <t>Feeds rollup, DATA_METRIC_LONG, DATA_CAPITAL_FLOW</t>
  </si>
  <si>
    <t>Still bespoke to NGO B; future Python should generate/replace.</t>
  </si>
  <si>
    <t>PRIMARY CANONICAL INPUT</t>
  </si>
  <si>
    <t>DATA_UNIT_MIX!B7:U206</t>
  </si>
  <si>
    <t>Unit mix / affordability / unit-level categories</t>
  </si>
  <si>
    <t>Yes - table exists</t>
  </si>
  <si>
    <t>Not repointed; future feed to 01_Property Summary / rent engine</t>
  </si>
  <si>
    <t>Canonical table exists in v11; legacy engine does not read it yet.</t>
  </si>
  <si>
    <t>DATA_RENT_ROLL!B7:V206</t>
  </si>
  <si>
    <t>Rent roll / market rent / subsidy / tenant-level export</t>
  </si>
  <si>
    <t>Not repointed; future feed to rent engine</t>
  </si>
  <si>
    <t>DATA_OPERATING_ACTUALS!B7:Q206</t>
  </si>
  <si>
    <t>GL / actuals / budgets by property-year-line item</t>
  </si>
  <si>
    <t>Not repointed; future feed to base-year inputs and BLD calculations</t>
  </si>
  <si>
    <t>Canonical table exists in v11; legacy engine remains property-tab driven.</t>
  </si>
  <si>
    <t>DATA_AGREEMENTS!B7:T206</t>
  </si>
  <si>
    <t>Operating agreements, covenants, subsidy terms, restriction expiry</t>
  </si>
  <si>
    <t>Not repointed; future feed to classification and risk scoring</t>
  </si>
  <si>
    <t>Canonical table exists in v11; not yet read by classification logic.</t>
  </si>
  <si>
    <t>DATA_CAPITAL_NEEDS!B7:S206</t>
  </si>
  <si>
    <t>Capital repairs, lifecycle, deferred maintenance, funding source</t>
  </si>
  <si>
    <t>Not repointed; future feed to capital plan and funding-gap analysis</t>
  </si>
  <si>
    <t>Canonical table exists in v11; not yet read by capital-flow engine.</t>
  </si>
  <si>
    <t>Where Used</t>
  </si>
  <si>
    <t>Who Can Edit</t>
  </si>
  <si>
    <t>Formula Rule</t>
  </si>
  <si>
    <t>Version</t>
  </si>
  <si>
    <t>Blue</t>
  </si>
  <si>
    <t>Hardcoded input / controlled override</t>
  </si>
  <si>
    <t>STG_SOURCE_INTAKE; 00_MODEL_CONTROL A:E/B31; DATA_ASSET_CLASSIFICATION T/Y</t>
  </si>
  <si>
    <t>Not formula-driven</t>
  </si>
  <si>
    <t>Only mapped blue cells should be written to.</t>
  </si>
  <si>
    <t>Black</t>
  </si>
  <si>
    <t>Formula / calculated output</t>
  </si>
  <si>
    <t>DATA/OUT sheets and generated fields</t>
  </si>
  <si>
    <t>Do not edit</t>
  </si>
  <si>
    <t>Formula cells remain black font</t>
  </si>
  <si>
    <t>Overwrite only if intentionally rebuilding the model.</t>
  </si>
  <si>
    <t>Purple</t>
  </si>
  <si>
    <t>Generated / normalized DATA layer</t>
  </si>
  <si>
    <t>DATA_PROPERTY_MASTER, DATA_DEBT_MASTER, DATA_METRIC_LONG, DATA_CAPITAL_FLOW</t>
  </si>
  <si>
    <t>Model / future AI generator</t>
  </si>
  <si>
    <t>May contain formulas today</t>
  </si>
  <si>
    <t>Future Python engine should generate these tables directly.</t>
  </si>
  <si>
    <t>Orange</t>
  </si>
  <si>
    <t>Warning / review required</t>
  </si>
  <si>
    <t>DATA_QUALITY_CHECKS, DATA_ASSET_CLASSIFICATION X, recon/audit status fields</t>
  </si>
  <si>
    <t>May be formula-driven</t>
  </si>
  <si>
    <t>Resolve before external sharing.</t>
  </si>
  <si>
    <t>Grey</t>
  </si>
  <si>
    <t>Legacy NGO B engine / do-not-edit zone</t>
  </si>
  <si>
    <t>01_/02_/BLD_* and legacy outputs</t>
  </si>
  <si>
    <t>Model maintainer only</t>
  </si>
  <si>
    <t>Existing formulas preserved</t>
  </si>
  <si>
    <t>Still bespoke to NGO B until canonical engines replace it.</t>
  </si>
  <si>
    <t>Open roadmap</t>
  </si>
  <si>
    <t>Green</t>
  </si>
  <si>
    <t>Output only</t>
  </si>
  <si>
    <t>00_INVESTOR SUMMARY, OUT_PLATFORM_READINESS, OUT_CAPITAL_FLOW_SUMMARY</t>
  </si>
  <si>
    <t>Formula-linked to authority layers</t>
  </si>
  <si>
    <t>Use for review, not input.</t>
  </si>
  <si>
    <t>B7:U206</t>
  </si>
  <si>
    <t>Unit mix, rent restriction, source confidence and review fields</t>
  </si>
  <si>
    <t>Feeds future rent / affordability engine; not yet repointed</t>
  </si>
  <si>
    <t>Formula columns A,C,M,N,V remain live.</t>
  </si>
  <si>
    <t>B7:V206</t>
  </si>
  <si>
    <t>Unit-level or summarized rent roll</t>
  </si>
  <si>
    <t>Feeds future rent engine; not yet repointed</t>
  </si>
  <si>
    <t>Formula columns A,C,P:R,W remain live.</t>
  </si>
  <si>
    <t>B7:Q206</t>
  </si>
  <si>
    <t>Operating actuals / budget / projection long-format rows</t>
  </si>
  <si>
    <t>Feeds future base-year inputs and operating engine; not yet repointed</t>
  </si>
  <si>
    <t>Formula columns A,C,P,R remain live.</t>
  </si>
  <si>
    <t>B7:T206</t>
  </si>
  <si>
    <t>Agreements, restrictions, subsidy and mission-protection evidence</t>
  </si>
  <si>
    <t>Feeds future classification/agreement risk logic; not yet repointed</t>
  </si>
  <si>
    <t>Formula columns A,C,S,U remain live.</t>
  </si>
  <si>
    <t>B7:S206</t>
  </si>
  <si>
    <t>Capital needs, funded/unfunded gap, fixed asset/depreciation link</t>
  </si>
  <si>
    <t>Feeds future capital plan / capital flow; not yet repointed</t>
  </si>
  <si>
    <t>Formula columns A,C,J,R,T remain live.</t>
  </si>
  <si>
    <t>IREI Underwriting Template Prototype</t>
  </si>
  <si>
    <t>Business Rules Organized by Epics and User Stories</t>
  </si>
  <si>
    <t>1. Purpose of the Model</t>
  </si>
  <si>
    <t>The model is designed to convert non-profit / Indigenous / mission-driven housing organization data into a standardized, auditable underwriting structure.</t>
  </si>
  <si>
    <t>It has two purposes:</t>
  </si>
  <si>
    <r>
      <t>1. Current use:</t>
    </r>
    <r>
      <rPr>
        <sz val="11"/>
        <color theme="1"/>
        <rFont val="Calibri"/>
        <family val="2"/>
      </rPr>
      <t xml:space="preserve"> underwrite NGO B’s portfolio using the existing live Excel calculation engine.</t>
    </r>
  </si>
  <si>
    <r>
      <t>2. Future platform use:</t>
    </r>
    <r>
      <rPr>
        <sz val="11"/>
        <color theme="1"/>
        <rFont val="Calibri"/>
        <family val="2"/>
      </rPr>
      <t xml:space="preserve"> establish the data architecture and business rules for an AI / analyst-assisted IREI underwriting platform.</t>
    </r>
  </si>
  <si>
    <t>The model is not yet a fully automated platform engine. The current financial calculations still rely on legacy NGO B tabs, while the new DATA and OUT layers define the future standardized model structure.</t>
  </si>
  <si>
    <t>Epic 1 — Workbook Navigation and User Control</t>
  </si>
  <si>
    <t>Business Objective</t>
  </si>
  <si>
    <t>Ensure analysts and AI agents understand where to enter data, where formulas live, what not to overwrite, and how to follow the workbook structure.</t>
  </si>
  <si>
    <t>Key Tabs</t>
  </si>
  <si>
    <t>Business Rules</t>
  </si>
  <si>
    <t>BR-1.1 — Users must start with the platform index</t>
  </si>
  <si>
    <r>
      <t xml:space="preserve">All users should begin with </t>
    </r>
    <r>
      <rPr>
        <sz val="10"/>
        <color theme="1"/>
        <rFont val="Arial Unicode MS"/>
      </rPr>
      <t>00_PLATFORM_INDEX</t>
    </r>
    <r>
      <rPr>
        <sz val="11"/>
        <color theme="1"/>
        <rFont val="Calibri"/>
        <family val="2"/>
      </rPr>
      <t xml:space="preserve"> to understand the workbook zones, colour code, and navigation structure.</t>
    </r>
  </si>
  <si>
    <r>
      <t xml:space="preserve">BR-1.2 — </t>
    </r>
    <r>
      <rPr>
        <b/>
        <sz val="10"/>
        <color theme="1"/>
        <rFont val="Arial Unicode MS"/>
      </rPr>
      <t>INPUT_CONTROL_MAP</t>
    </r>
    <r>
      <rPr>
        <b/>
        <sz val="13.5"/>
        <color theme="1"/>
        <rFont val="Calibri"/>
        <family val="2"/>
      </rPr>
      <t xml:space="preserve"> is the operating manual</t>
    </r>
  </si>
  <si>
    <r>
      <t>INPUT_CONTROL_MAP</t>
    </r>
    <r>
      <rPr>
        <sz val="11"/>
        <color theme="1"/>
        <rFont val="Calibri"/>
        <family val="2"/>
      </rPr>
      <t xml:space="preserve"> defines which tabs and ranges can be edited and which tabs are generated, calculated, output-only, or legacy.</t>
    </r>
  </si>
  <si>
    <t>BR-1.3 — Only blue cells are intended for analyst / AI entry</t>
  </si>
  <si>
    <t>Blue cells represent approved input areas. Users should not write into black formula cells, green output cells, purple normalized data cells unless marked as writable, orange warning cells, or grey legacy-engine cells unless specifically instructed.</t>
  </si>
  <si>
    <t>BR-1.4 — Formula cells must remain live</t>
  </si>
  <si>
    <r>
      <t xml:space="preserve">Formula-driven cells must not be overwritten. If a formula is changed, the change must be logged in </t>
    </r>
    <r>
      <rPr>
        <sz val="10"/>
        <color theme="1"/>
        <rFont val="Arial Unicode MS"/>
      </rPr>
      <t>00_CHANGE_LOG</t>
    </r>
    <r>
      <rPr>
        <sz val="11"/>
        <color theme="1"/>
        <rFont val="Calibri"/>
        <family val="2"/>
      </rPr>
      <t>.</t>
    </r>
  </si>
  <si>
    <t>BR-1.5 — Change log is mandatory</t>
  </si>
  <si>
    <r>
      <t xml:space="preserve">Every structural, formula, mapping, documentation, control, or output change must be recorded in </t>
    </r>
    <r>
      <rPr>
        <sz val="10"/>
        <color theme="1"/>
        <rFont val="Arial Unicode MS"/>
      </rPr>
      <t>00_CHANGE_LOG</t>
    </r>
    <r>
      <rPr>
        <sz val="11"/>
        <color theme="1"/>
        <rFont val="Calibri"/>
        <family val="2"/>
      </rPr>
      <t>.</t>
    </r>
  </si>
  <si>
    <t>User Stories</t>
  </si>
  <si>
    <t>Story 1.1 — Analyst starts the model</t>
  </si>
  <si>
    <t>As an analyst, I want a clear starting tab so I can understand how the workbook is structured before entering or reviewing data.</t>
  </si>
  <si>
    <t>Acceptance Criteria</t>
  </si>
  <si>
    <r>
      <t>00_PLATFORM_INDEX</t>
    </r>
    <r>
      <rPr>
        <sz val="11"/>
        <color theme="1"/>
        <rFont val="Calibri"/>
        <family val="2"/>
      </rPr>
      <t xml:space="preserve"> explains model zones.</t>
    </r>
  </si>
  <si>
    <t>Colour-code legend is visible.</t>
  </si>
  <si>
    <t>Key tabs are listed with purpose and status.</t>
  </si>
  <si>
    <t>Story 1.2 — AI agent knows where to write</t>
  </si>
  <si>
    <t>As an AI agent, I want a single control map so I know which tabs and ranges are approved for data entry.</t>
  </si>
  <si>
    <r>
      <t>INPUT_CONTROL_MAP</t>
    </r>
    <r>
      <rPr>
        <sz val="11"/>
        <color theme="1"/>
        <rFont val="Calibri"/>
        <family val="2"/>
      </rPr>
      <t xml:space="preserve"> identifies editable blue ranges.</t>
    </r>
  </si>
  <si>
    <t>Formula and output areas are clearly marked as non-editable.</t>
  </si>
  <si>
    <t>Legacy engine areas are identified.</t>
  </si>
  <si>
    <t>Epic 2 — Source Intake and Field Mapping</t>
  </si>
  <si>
    <t>Track source files received from an NGO and map messy source fields into standardized IREI data fields.</t>
  </si>
  <si>
    <t>BR-2.1 — Every source file must be registered</t>
  </si>
  <si>
    <r>
      <t xml:space="preserve">Each received file must be recorded in </t>
    </r>
    <r>
      <rPr>
        <sz val="10"/>
        <color theme="1"/>
        <rFont val="Arial Unicode MS"/>
      </rPr>
      <t>STG_SOURCE_INTAKE</t>
    </r>
    <r>
      <rPr>
        <sz val="11"/>
        <color theme="1"/>
        <rFont val="Calibri"/>
        <family val="2"/>
      </rPr>
      <t>, including file name, source type, organization, period covered, source system if known, and review status.</t>
    </r>
  </si>
  <si>
    <t>BR-2.2 — Source types must be classified</t>
  </si>
  <si>
    <t>Each source file should be classified by type, such as:</t>
  </si>
  <si>
    <t>Operating projection</t>
  </si>
  <si>
    <t>Rent roll</t>
  </si>
  <si>
    <t>Unit mix</t>
  </si>
  <si>
    <t>Debt / amortization schedule</t>
  </si>
  <si>
    <t>Agreement / covenant document</t>
  </si>
  <si>
    <t>Capital needs plan</t>
  </si>
  <si>
    <t>Bond / capital product model</t>
  </si>
  <si>
    <t>General financial statement</t>
  </si>
  <si>
    <t>BR-2.3 — Source fields must be mapped to IREI fields</t>
  </si>
  <si>
    <r>
      <t>MAP_FIELD_MAPPING</t>
    </r>
    <r>
      <rPr>
        <sz val="11"/>
        <color theme="1"/>
        <rFont val="Calibri"/>
        <family val="2"/>
      </rPr>
      <t xml:space="preserve"> must show how source fields map to IREI canonical fields.</t>
    </r>
  </si>
  <si>
    <t>BR-2.4 — Table existence and engine repointing are separate facts</t>
  </si>
  <si>
    <t>The model must distinguish:</t>
  </si>
  <si>
    <t>whether a canonical table exists; and</t>
  </si>
  <si>
    <t>whether the calculation engine currently reads from it.</t>
  </si>
  <si>
    <t>A table may exist without yet driving model outputs.</t>
  </si>
  <si>
    <t>BR-2.5 — Missing or uncertain mappings must be flagged</t>
  </si>
  <si>
    <t>If the mapping is uncertain, incomplete, or requires human review, it must be flagged.</t>
  </si>
  <si>
    <t>Story 2.1 — Analyst records NGO source files</t>
  </si>
  <si>
    <t>As an analyst, I want to list all files received from an NGO so the underwriting package has an audit trail.</t>
  </si>
  <si>
    <t>Each file has a source type.</t>
  </si>
  <si>
    <t>Each file has a date received.</t>
  </si>
  <si>
    <t>Each file has a review status.</t>
  </si>
  <si>
    <t>Story 2.2 — AI maps source fields</t>
  </si>
  <si>
    <t>As an AI agent, I want to map source spreadsheet columns into IREI fields so messy files can be standardized.</t>
  </si>
  <si>
    <t>Source field is captured.</t>
  </si>
  <si>
    <t>IREI target field is assigned.</t>
  </si>
  <si>
    <t>Mapping confidence is recorded.</t>
  </si>
  <si>
    <t>Unclear mappings are flagged.</t>
  </si>
  <si>
    <t>Epic 3 — Canonical Input Tables</t>
  </si>
  <si>
    <t>Create standardized data tables that can receive NGO, Yardi, Excel, or AI-extracted data without requiring NGOs to fill out IREI’s template directly.</t>
  </si>
  <si>
    <t>BR-3.1 — Canonical tables are the future source-data layer</t>
  </si>
  <si>
    <t>The five canonical tables are designed to become the standardized input layer for future IREI platform use.</t>
  </si>
  <si>
    <t>BR-3.2 — Canonical tables currently exist but do not yet drive the full calculation engine</t>
  </si>
  <si>
    <t>As of the current workbook version, these tables are built and structured but the legacy NGO B engine still drives the financial outputs.</t>
  </si>
  <si>
    <t>BR-3.3 — Canonical tables must distinguish source facts, derived values, and review items</t>
  </si>
  <si>
    <t>Each canonical table should distinguish:</t>
  </si>
  <si>
    <t>source-provided data;</t>
  </si>
  <si>
    <t>AI-normalized data;</t>
  </si>
  <si>
    <t>formula-derived values;</t>
  </si>
  <si>
    <t>assumptions;</t>
  </si>
  <si>
    <t>missing data;</t>
  </si>
  <si>
    <t>human overrides;</t>
  </si>
  <si>
    <t>review flags.</t>
  </si>
  <si>
    <r>
      <t xml:space="preserve">BR-3.4 — Property IDs must match </t>
    </r>
    <r>
      <rPr>
        <b/>
        <sz val="10"/>
        <color theme="1"/>
        <rFont val="Arial Unicode MS"/>
      </rPr>
      <t>DATA_PROPERTY_MASTER</t>
    </r>
  </si>
  <si>
    <t>All canonical input rows should reference the model’s property ID structure.</t>
  </si>
  <si>
    <t>BR-3.5 — Missing data should be flagged, not guessed</t>
  </si>
  <si>
    <t>If the source file does not provide a field, the model should leave it blank or mark it as missing / requires review. The model should not silently invent missing data.</t>
  </si>
  <si>
    <t>Story 3.1 — Analyst enters unit mix</t>
  </si>
  <si>
    <t>As an analyst, I want to enter or review unit mix information so IREI can understand the physical and affordability composition of each property.</t>
  </si>
  <si>
    <t>Property ID is required.</t>
  </si>
  <si>
    <t>Unit count is captured.</t>
  </si>
  <si>
    <t>Bedroom / unit type fields are available.</t>
  </si>
  <si>
    <t>Missing affordability or rent restriction information can be flagged.</t>
  </si>
  <si>
    <t>Story 3.2 — AI imports rent roll</t>
  </si>
  <si>
    <t>As an AI agent, I want to normalize rent roll data so rent evidence can be compared across properties.</t>
  </si>
  <si>
    <t>Rent roll can support unit-level or summarized data.</t>
  </si>
  <si>
    <t>Current rent and market rent can be captured where available.</t>
  </si>
  <si>
    <t>Rent source and confidence are recorded.</t>
  </si>
  <si>
    <t>Missing rent-roll detail is flagged.</t>
  </si>
  <si>
    <t>Story 3.3 — Analyst imports operating actuals</t>
  </si>
  <si>
    <t>As an analyst, I want to normalize operating revenue and expenses so IREI can compare properties consistently.</t>
  </si>
  <si>
    <t>Property ID, fiscal year, source line item, IREI category, amount, and scenario are captured.</t>
  </si>
  <si>
    <t>Actual / budget / projection status is identified.</t>
  </si>
  <si>
    <t>Source file and mapping confidence are recorded.</t>
  </si>
  <si>
    <t>Story 3.4 — Analyst records agreements</t>
  </si>
  <si>
    <t>As an analyst, I want to capture agreements, covenants, affordability restrictions, subsidy rules, and mission-protection constraints so financial outputs can be interpreted correctly.</t>
  </si>
  <si>
    <t>Agreement type is captured.</t>
  </si>
  <si>
    <t>Counterparty is captured where known.</t>
  </si>
  <si>
    <t>Start and end dates are captured where available.</t>
  </si>
  <si>
    <t>Affordability, use, refinancing, and disposition restrictions can be flagged.</t>
  </si>
  <si>
    <t>Story 3.5 — Analyst records capital needs</t>
  </si>
  <si>
    <t>As an analyst, I want to capture capital repairs, replacement needs, development costs, and unfunded gaps so the model can identify capital readiness.</t>
  </si>
  <si>
    <t>Capital item, year, amount, funding source, and unfunded gap are captured.</t>
  </si>
  <si>
    <t>Capital item can be marked as required, discretionary, deferred maintenance, or development-related.</t>
  </si>
  <si>
    <t>Missing capital-plan detail is flagged.</t>
  </si>
  <si>
    <t>Epic 4 — Legacy Calculation Engine</t>
  </si>
  <si>
    <t>Preserve the current NGO B financial model while building the future platform architecture around it.</t>
  </si>
  <si>
    <t>02_Debt Engine</t>
  </si>
  <si>
    <r>
      <t>BLD_*</t>
    </r>
    <r>
      <rPr>
        <sz val="11"/>
        <color theme="1"/>
        <rFont val="Calibri"/>
        <family val="2"/>
      </rPr>
      <t xml:space="preserve"> property tabs</t>
    </r>
  </si>
  <si>
    <t>00_PORTFOLIO ROLLUP</t>
  </si>
  <si>
    <t>BR-4.1 — Existing calculations must remain live</t>
  </si>
  <si>
    <t>The legacy calculation engine must remain formula-driven and should not be overwritten with hardcoded outputs.</t>
  </si>
  <si>
    <t>BR-4.2 — Legacy engine remains the current source of financial outputs</t>
  </si>
  <si>
    <t>Until the model is repointed, the current financial results come from the legacy tabs, not the five canonical input tables.</t>
  </si>
  <si>
    <t>BR-4.3 — Legacy engine tabs are marked grey</t>
  </si>
  <si>
    <t>Grey tabs or grey-marked areas identify NGO B-specific calculation logic that should not be treated as the future scalable data-entry structure.</t>
  </si>
  <si>
    <t>BR-4.4 — Repointing must be phased</t>
  </si>
  <si>
    <t>The model should not be repointed all at once. Repointing should occur in stages, such as:</t>
  </si>
  <si>
    <t>1. Property master fields</t>
  </si>
  <si>
    <t>2. Unit mix and rent logic</t>
  </si>
  <si>
    <t>3. Operating actuals</t>
  </si>
  <si>
    <t>4. Debt logic</t>
  </si>
  <si>
    <t>5. Agreements / restrictions</t>
  </si>
  <si>
    <t>6. Capital needs</t>
  </si>
  <si>
    <t>7. Rollup and output tabs</t>
  </si>
  <si>
    <t>Story 4.1 — Analyst preserves NGO B model</t>
  </si>
  <si>
    <t>As an analyst, I want the existing NGO B model to continue working while the platform schema is added around it.</t>
  </si>
  <si>
    <t>Existing formulas remain live.</t>
  </si>
  <si>
    <t>Outputs continue to calculate.</t>
  </si>
  <si>
    <t>New DATA tabs do not break the legacy model.</t>
  </si>
  <si>
    <t>Story 4.2 — Developer prepares for future repointing</t>
  </si>
  <si>
    <t>As a developer, I want the legacy engine clearly separated from canonical input tables so I can later replace the engine in stages.</t>
  </si>
  <si>
    <t>Legacy tabs are identified.</t>
  </si>
  <si>
    <t>Canonical tables are identified.</t>
  </si>
  <si>
    <t>Repoint status is documented.</t>
  </si>
  <si>
    <t>Epic 5 — Property Master and Debt Master</t>
  </si>
  <si>
    <t>Create standardized property and debt master tables that organize core property identity and debt information across the portfolio.</t>
  </si>
  <si>
    <t>BR-5.1 — Property ID is the primary key</t>
  </si>
  <si>
    <t>Each property must have a unique property ID used across the model.</t>
  </si>
  <si>
    <t>BR-5.2 — Property master must identify included / excluded status</t>
  </si>
  <si>
    <t>Each property must be identified as included or excluded for model outputs.</t>
  </si>
  <si>
    <t>BR-5.3 — Debt records should be property-linked</t>
  </si>
  <si>
    <t>Debt data should link to the relevant property ID.</t>
  </si>
  <si>
    <t>BR-5.4 — Debt fields should support existing debt and future refinance logic</t>
  </si>
  <si>
    <t>Debt records should support lender, balance, rate, amortization, maturity, annual payment, subsidy, and refinance assumptions where available.</t>
  </si>
  <si>
    <t>Story 5.1 — Analyst reviews property master</t>
  </si>
  <si>
    <t>As an analyst, I want one table showing all properties so I can confirm scope, units, property names, and inclusion status.</t>
  </si>
  <si>
    <t>Each property has a unique ID.</t>
  </si>
  <si>
    <t>Inclusion status is visible.</t>
  </si>
  <si>
    <t>Property name and unit count are visible.</t>
  </si>
  <si>
    <t>Story 5.2 — Analyst reviews debt master</t>
  </si>
  <si>
    <t>As an analyst, I want one debt table so I can understand property-level debt obligations and refinancing risk.</t>
  </si>
  <si>
    <t>Debt is linked to property ID.</t>
  </si>
  <si>
    <t>Mortgage / lender information is visible where available.</t>
  </si>
  <si>
    <t>Debt maturity and refinance fields are available.</t>
  </si>
  <si>
    <t>Epic 6 — Asset Classification</t>
  </si>
  <si>
    <t>Create one authoritative classification system for each property so the model does not have competing manual classifications across tabs.</t>
  </si>
  <si>
    <t>Key Tab</t>
  </si>
  <si>
    <r>
      <t xml:space="preserve">BR-6.1 — </t>
    </r>
    <r>
      <rPr>
        <b/>
        <sz val="10"/>
        <color theme="1"/>
        <rFont val="Arial Unicode MS"/>
      </rPr>
      <t>DATA_ASSET_CLASSIFICATION</t>
    </r>
    <r>
      <rPr>
        <b/>
        <sz val="13.5"/>
        <color theme="1"/>
        <rFont val="Calibri"/>
        <family val="2"/>
      </rPr>
      <t xml:space="preserve"> is the single source of truth</t>
    </r>
  </si>
  <si>
    <r>
      <t xml:space="preserve">All property classifications must come from </t>
    </r>
    <r>
      <rPr>
        <sz val="10"/>
        <color theme="1"/>
        <rFont val="Arial Unicode MS"/>
      </rPr>
      <t>DATA_ASSET_CLASSIFICATION</t>
    </r>
    <r>
      <rPr>
        <sz val="11"/>
        <color theme="1"/>
        <rFont val="Calibri"/>
        <family val="2"/>
      </rPr>
      <t>.</t>
    </r>
  </si>
  <si>
    <t>BR-6.2 — Valid final classifications are controlled</t>
  </si>
  <si>
    <t>Valid classifications are:</t>
  </si>
  <si>
    <t>BR-6.3 — Register buckets must map from final classification</t>
  </si>
  <si>
    <r>
      <t>00_PORTFOLIO_REGISTER</t>
    </r>
    <r>
      <rPr>
        <sz val="11"/>
        <color theme="1"/>
        <rFont val="Calibri"/>
        <family val="2"/>
      </rPr>
      <t xml:space="preserve"> must not maintain a separate hardcoded bucket. It should formula-link from the asset classification table.</t>
    </r>
  </si>
  <si>
    <t>BR-6.4 — Human overrides are allowed but controlled</t>
  </si>
  <si>
    <t>A human override may be entered, but it must include an override reason.</t>
  </si>
  <si>
    <t>BR-6.5 — Missing override reasons must be flagged</t>
  </si>
  <si>
    <t>If a human override is entered without an override reason, the model must flag it.</t>
  </si>
  <si>
    <t>BR-6.6 — Classification must be based on live model evidence</t>
  </si>
  <si>
    <t>Classification should consider inclusion status, development status, NOI, AFFO, DSCR, debt maturity, and capital/funding gap indicators where available.</t>
  </si>
  <si>
    <t>Story 6.1 — Model classifies properties</t>
  </si>
  <si>
    <t>As an analyst, I want the model to classify each property so I can understand asset-level risk and readiness.</t>
  </si>
  <si>
    <t>Each property has one final classification.</t>
  </si>
  <si>
    <t>Classification is formula-driven unless overridden.</t>
  </si>
  <si>
    <t>Classification source is visible.</t>
  </si>
  <si>
    <t>Story 6.2 — Analyst overrides classification</t>
  </si>
  <si>
    <t>As an analyst, I want to override a classification when there is a valid reason not captured by the model.</t>
  </si>
  <si>
    <t>Override field is available.</t>
  </si>
  <si>
    <t>Override reason is mandatory.</t>
  </si>
  <si>
    <t>Missing reason creates a warning.</t>
  </si>
  <si>
    <t>Epic 7 — Metric Normalization</t>
  </si>
  <si>
    <t>Convert property-level model outputs into a long-format data table that supports scalable platform analysis.</t>
  </si>
  <si>
    <t>BR-7.1 — Metrics should be stored in long format</t>
  </si>
  <si>
    <t>Metrics should be structured as:</t>
  </si>
  <si>
    <t>Property ID → Year → Metric → Amount.</t>
  </si>
  <si>
    <t>BR-7.2 — Long-format metrics should pull from live model sources</t>
  </si>
  <si>
    <t>Amounts should remain formula-linked to underlying property tabs or future canonical sources.</t>
  </si>
  <si>
    <t>BR-7.3 — Long format must support portfolio and property analysis</t>
  </si>
  <si>
    <t>The table should allow analysis by year, property, metric, classification, and inclusion status.</t>
  </si>
  <si>
    <t>Story 7.1 — Analyst traces a metric</t>
  </si>
  <si>
    <t>As an analyst, I want to trace a property’s NOI, debt service, AFFO, or refinance gap by year.</t>
  </si>
  <si>
    <t>Property ID is visible.</t>
  </si>
  <si>
    <t>Year is visible.</t>
  </si>
  <si>
    <t>Metric name is visible.</t>
  </si>
  <si>
    <t>Amount is formula-linked.</t>
  </si>
  <si>
    <t>Epic 8 — Capital Flow Separation</t>
  </si>
  <si>
    <t>Separate operating cash flow, debt service, refinance proceeds, residual funding gaps, and partnership cash flow so capital-readiness can be understood clearly.</t>
  </si>
  <si>
    <t>BR-8.1 — Capital flow must separate operating activity from capital/refinance activity</t>
  </si>
  <si>
    <t>Operating cash flow must not be blended with refinancing surplus or residual funding gaps without clear labeling.</t>
  </si>
  <si>
    <t>BR-8.2 — Negative refinance position is a funding gap, not equity returned</t>
  </si>
  <si>
    <t>If refinance proceeds are insufficient, the negative amount must be treated as a residual funding gap, not as negative equity returned.</t>
  </si>
  <si>
    <t>BR-8.3 — Portfolio and property-level capital flow must both exist</t>
  </si>
  <si>
    <t>The model must show capital flow at both:</t>
  </si>
  <si>
    <t>portfolio level; and</t>
  </si>
  <si>
    <t>property level.</t>
  </si>
  <si>
    <t>BR-8.4 — Property-level capital flow must reconcile to portfolio-level capital flow</t>
  </si>
  <si>
    <t>For each year and metric, the sum of property-level rows should reconcile to the portfolio-level row.</t>
  </si>
  <si>
    <t>BR-8.5 — Funding gaps must be traceable by building</t>
  </si>
  <si>
    <t>Residual funding gaps should be traceable to specific properties.</t>
  </si>
  <si>
    <t>Story 8.1 — Analyst sees clean capital flow</t>
  </si>
  <si>
    <t>As an analyst, I want capital flow separated into operating cash flow, debt service, refinance proceeds, and funding gap so I can understand what is driving the result.</t>
  </si>
  <si>
    <t>Operating cash flow is shown separately.</t>
  </si>
  <si>
    <t>Debt service is shown separately.</t>
  </si>
  <si>
    <t>Refinance surplus is shown separately.</t>
  </si>
  <si>
    <t>Residual funding gap is shown separately.</t>
  </si>
  <si>
    <t>Story 8.2 — Investor traces funding gap</t>
  </si>
  <si>
    <t>As an investor or funder, I want to know which properties are creating funding gaps.</t>
  </si>
  <si>
    <t>Funding gaps are shown by property.</t>
  </si>
  <si>
    <t>Funding gaps are shown by year.</t>
  </si>
  <si>
    <t>Funding gap flags are visible.</t>
  </si>
  <si>
    <t>Epic 9 — Aggregation and Error Control</t>
  </si>
  <si>
    <t>Prevent excluded properties or source formula errors from contaminating portfolio-level outputs, while still flagging suppressed issues for review.</t>
  </si>
  <si>
    <t>BR-9.1 — Excluded properties should not break portfolio totals</t>
  </si>
  <si>
    <t>If a property is excluded, its errors should not flow into portfolio totals.</t>
  </si>
  <si>
    <t>BR-9.2 — Error suppression must be audited</t>
  </si>
  <si>
    <t>If source errors are suppressed in aggregation formulas, the model must flag them in the audit layer.</t>
  </si>
  <si>
    <t>BR-9.3 — Aggregation formulas should not be hardcoded by property list</t>
  </si>
  <si>
    <t>Aggregation logic should reference scalable property lists, not hardcoded chains of named properties.</t>
  </si>
  <si>
    <t>Story 9.1 — Analyst trusts portfolio totals</t>
  </si>
  <si>
    <t>As an analyst, I want portfolio totals to calculate even if excluded properties contain source errors.</t>
  </si>
  <si>
    <t>Excluded source errors do not break portfolio totals.</t>
  </si>
  <si>
    <r>
      <t xml:space="preserve">Suppressed errors are flagged in </t>
    </r>
    <r>
      <rPr>
        <sz val="10"/>
        <color theme="1"/>
        <rFont val="Arial Unicode MS"/>
      </rPr>
      <t>DATA_AGGREGATION_AUDIT</t>
    </r>
    <r>
      <rPr>
        <sz val="11"/>
        <color theme="1"/>
        <rFont val="Calibri"/>
        <family val="2"/>
      </rPr>
      <t>.</t>
    </r>
  </si>
  <si>
    <t>Story 9.2 — Developer checks scalable aggregation</t>
  </si>
  <si>
    <t>As a developer, I want aggregation formulas to reference property master lists so the model can adapt to more or fewer properties.</t>
  </si>
  <si>
    <t>Aggregation logic is not manually chained across fixed property IDs.</t>
  </si>
  <si>
    <t>Source suppression flags remain visible.</t>
  </si>
  <si>
    <t>Epic 10 — Investor / Funder Output</t>
  </si>
  <si>
    <t>Create a live investor / funder-facing output that summarizes portfolio status, asset classification, capital gaps, and model quality.</t>
  </si>
  <si>
    <t>BR-10.1 — Investor summary must pull from live DATA/OUT layers</t>
  </si>
  <si>
    <t>Investor-facing outputs should not rely on hardcoded manual narrative where live model data exists.</t>
  </si>
  <si>
    <t>BR-10.2 — Legacy narrative must be preserved separately if replaced</t>
  </si>
  <si>
    <t>If an output page is rebuilt, the prior version should be preserved in a legacy tab for audit.</t>
  </si>
  <si>
    <t>BR-10.3 — Investor summary should disclose model readiness</t>
  </si>
  <si>
    <t>The summary should distinguish between current financial outputs and future platform functionality.</t>
  </si>
  <si>
    <t>BR-10.4 — Investor summary should show asset-level risk, not only blended portfolio totals</t>
  </si>
  <si>
    <t>Outputs should show property classification, funding gap traceability, and quality-check status.</t>
  </si>
  <si>
    <t>Story 10.1 — Investor reads summary</t>
  </si>
  <si>
    <t>As an investor or funder, I want a clear summary of portfolio readiness, asset categories, and funding gaps.</t>
  </si>
  <si>
    <t>Portfolio-level outputs are visible.</t>
  </si>
  <si>
    <t>Asset classification summary is visible.</t>
  </si>
  <si>
    <t>Funding gaps are visible by year and property.</t>
  </si>
  <si>
    <t>Quality warnings are visible.</t>
  </si>
  <si>
    <t>Story 10.2 — Analyst preserves old summary</t>
  </si>
  <si>
    <t>As an analyst, I want the old investor summary preserved so changes can be audited.</t>
  </si>
  <si>
    <t>Legacy summary exists.</t>
  </si>
  <si>
    <t>New summary is live-linked.</t>
  </si>
  <si>
    <t>Change log records the rebuild.</t>
  </si>
  <si>
    <t>Epic 11 — Quality Checks and Governance</t>
  </si>
  <si>
    <t>Provide live checks that flag missing data, broken links, formula errors, reconciliation issues, classification problems, override issues, and documentation drift.</t>
  </si>
  <si>
    <t>BR-11.1 — Quality checks must be live</t>
  </si>
  <si>
    <t>Quality checks should use formulas wherever possible and update as data changes.</t>
  </si>
  <si>
    <t>BR-11.2 — Checks should flag both model errors and governance issues</t>
  </si>
  <si>
    <t>The model should check not only numerical errors, but also:</t>
  </si>
  <si>
    <t>missing override reasons;</t>
  </si>
  <si>
    <t>stale documentation;</t>
  </si>
  <si>
    <t>missing source mapping;</t>
  </si>
  <si>
    <t>unreconciled property vs portfolio totals;</t>
  </si>
  <si>
    <t>missing canonical data;</t>
  </si>
  <si>
    <t>suppressed aggregation errors.</t>
  </si>
  <si>
    <t>BR-11.3 — Platform readiness must be visible</t>
  </si>
  <si>
    <r>
      <t>OUT_PLATFORM_READINESS</t>
    </r>
    <r>
      <rPr>
        <sz val="11"/>
        <color theme="1"/>
        <rFont val="Calibri"/>
        <family val="2"/>
      </rPr>
      <t xml:space="preserve"> should show whether the workbook is:</t>
    </r>
  </si>
  <si>
    <t>prototype-ready;</t>
  </si>
  <si>
    <t>analyst handoff-ready;</t>
  </si>
  <si>
    <t>platform schema-ready;</t>
  </si>
  <si>
    <t>fully repointed; or</t>
  </si>
  <si>
    <t>not yet automated.</t>
  </si>
  <si>
    <t>Story 11.1 — Analyst runs model QA</t>
  </si>
  <si>
    <t>As an analyst, I want a simple quality-check page so I can see whether the model is safe to rely on.</t>
  </si>
  <si>
    <t>Checks are grouped clearly.</t>
  </si>
  <si>
    <t>Warning / fail items are highlighted.</t>
  </si>
  <si>
    <t>Pass / review / fail status is visible.</t>
  </si>
  <si>
    <t>Story 11.2 — Product owner sees platform readiness</t>
  </si>
  <si>
    <t>As the product owner, I want to see what parts of the platform architecture are built and what remains unfinished.</t>
  </si>
  <si>
    <t>Canonical tables are listed.</t>
  </si>
  <si>
    <t>Engine repointing status is visible.</t>
  </si>
  <si>
    <t>Remaining next steps are visible.</t>
  </si>
  <si>
    <t>Epic 12 — Colour and Editing Standard</t>
  </si>
  <si>
    <t>Use financial-model colour conventions to make the workbook understandable and safe for analysts and AI agents.</t>
  </si>
  <si>
    <t>BR-12.1 — Blue means writable input</t>
  </si>
  <si>
    <t>Only blue cells are intended for analyst / AI entry.</t>
  </si>
  <si>
    <t>BR-12.2 — Black means formula</t>
  </si>
  <si>
    <t>Black/default cells are live formulas and should not be overwritten.</t>
  </si>
  <si>
    <t>BR-12.3 — Purple means normalized / generated data</t>
  </si>
  <si>
    <t>Purple indicates generated or normalized DATA-layer areas.</t>
  </si>
  <si>
    <t>BR-12.4 — Orange means warning or review required</t>
  </si>
  <si>
    <t>Orange indicates missing data, conflicts, suppressed errors, review flags, or open issues.</t>
  </si>
  <si>
    <t>BR-12.5 — Grey means legacy engine</t>
  </si>
  <si>
    <t>Grey identifies NGO B-specific legacy calculation areas.</t>
  </si>
  <si>
    <t>BR-12.6 — Green means output / summary</t>
  </si>
  <si>
    <t>Green identifies user-facing summary or output tabs.</t>
  </si>
  <si>
    <t>Story 12.1 — Analyst knows where to type</t>
  </si>
  <si>
    <t>As an analyst, I want colour coding so I know what I can edit and what I should not touch.</t>
  </si>
  <si>
    <t>Blue input cells are clearly visible.</t>
  </si>
  <si>
    <t>Formula cells are not styled as input cells.</t>
  </si>
  <si>
    <t>Colour legend is available.</t>
  </si>
  <si>
    <t>Story 12.2 — AI agent avoids overwriting formulas</t>
  </si>
  <si>
    <t>As an AI agent, I want colour and control-map rules so I do not overwrite formulas or outputs.</t>
  </si>
  <si>
    <t>Approved write zones are mapped.</t>
  </si>
  <si>
    <t>Formula cells are identified.</t>
  </si>
  <si>
    <t>Output areas are marked as non-editable.</t>
  </si>
  <si>
    <t>Epic 13 — Change Management</t>
  </si>
  <si>
    <t>Maintain an audit trail of workbook changes as the model evolves from NGO B prototype to IREI platform template.</t>
  </si>
  <si>
    <t>BR-13.1 — All changes must be logged</t>
  </si>
  <si>
    <t>Any material change must be logged, including:</t>
  </si>
  <si>
    <t>new tabs;</t>
  </si>
  <si>
    <t>deleted tabs;</t>
  </si>
  <si>
    <t>formula changes;</t>
  </si>
  <si>
    <t>output rebuilds;</t>
  </si>
  <si>
    <t>control changes;</t>
  </si>
  <si>
    <t>documentation corrections;</t>
  </si>
  <si>
    <t>colour standard changes;</t>
  </si>
  <si>
    <t>data mapping changes;</t>
  </si>
  <si>
    <t>QA check additions.</t>
  </si>
  <si>
    <t>BR-13.2 — Change log must explain impact</t>
  </si>
  <si>
    <t>Each log entry should include:</t>
  </si>
  <si>
    <t>change ID;</t>
  </si>
  <si>
    <t>date;</t>
  </si>
  <si>
    <t>tab / range affected;</t>
  </si>
  <si>
    <t>issue;</t>
  </si>
  <si>
    <t>fix;</t>
  </si>
  <si>
    <t>calculation impact;</t>
  </si>
  <si>
    <t>next step.</t>
  </si>
  <si>
    <t>BR-13.3 — Documentation drift must be corrected immediately</t>
  </si>
  <si>
    <t>If a documentation tab says something that is no longer true, it must be corrected and logged.</t>
  </si>
  <si>
    <t>Story 13.1 — Analyst reviews changes</t>
  </si>
  <si>
    <t>As an analyst, I want a complete change log so I can understand how the workbook evolved.</t>
  </si>
  <si>
    <t>Each major change has an ID.</t>
  </si>
  <si>
    <t>Calculation impact is described.</t>
  </si>
  <si>
    <t>Documentation-only changes are identified as such.</t>
  </si>
  <si>
    <t>Story 13.2 — Reviewer audits model governance</t>
  </si>
  <si>
    <t>As a reviewer, I want to confirm that workbook documentation matches the actual workbook state.</t>
  </si>
  <si>
    <t>Documentation status matches built tabs.</t>
  </si>
  <si>
    <t>Repoint status is separately tracked.</t>
  </si>
  <si>
    <t>Stale claims are corrected.</t>
  </si>
  <si>
    <t>Epic 14 — Future Repointing to Canonical Tables</t>
  </si>
  <si>
    <t>Eventually replace the NGO B-specific calculation engine with a scalable calculation engine that reads directly from canonical input tables.</t>
  </si>
  <si>
    <t>Current Status</t>
  </si>
  <si>
    <t>Canonical input tables exist, but the model is not yet repointed.</t>
  </si>
  <si>
    <t>BR-14.1 — Repointing must be staged</t>
  </si>
  <si>
    <t>The model should move from legacy tabs to canonical tables in phases.</t>
  </si>
  <si>
    <t>BR-14.2 — Repointing must preserve output reconciliation</t>
  </si>
  <si>
    <t>After each repointing phase, outputs must reconcile back to legacy results or explain differences.</t>
  </si>
  <si>
    <t>BR-14.3 — Legacy engine should remain available during transition</t>
  </si>
  <si>
    <t>Until the new engine is fully validated, the old engine should remain available for comparison.</t>
  </si>
  <si>
    <t>BR-14.4 — Canonical input tables should eventually become the calculation source</t>
  </si>
  <si>
    <t>The long-term platform model should calculate from canonical tables, not from fixed property tabs.</t>
  </si>
  <si>
    <t>Story 14.1 — Developer repoints operating actuals</t>
  </si>
  <si>
    <r>
      <t xml:space="preserve">As a developer, I want to repoint operating calculations from </t>
    </r>
    <r>
      <rPr>
        <sz val="10"/>
        <color theme="1"/>
        <rFont val="Arial Unicode MS"/>
      </rPr>
      <t>01_Base Yr. Inputs</t>
    </r>
    <r>
      <rPr>
        <sz val="11"/>
        <color theme="1"/>
        <rFont val="Calibri"/>
        <family val="2"/>
      </rPr>
      <t xml:space="preserve"> to </t>
    </r>
    <r>
      <rPr>
        <sz val="10"/>
        <color theme="1"/>
        <rFont val="Arial Unicode MS"/>
      </rPr>
      <t>DATA_OPERATING_ACTUALS</t>
    </r>
    <r>
      <rPr>
        <sz val="11"/>
        <color theme="1"/>
        <rFont val="Calibri"/>
        <family val="2"/>
      </rPr>
      <t>.</t>
    </r>
  </si>
  <si>
    <t>Operating actuals feed model calculations.</t>
  </si>
  <si>
    <t>Legacy and new results reconcile.</t>
  </si>
  <si>
    <t>Variances are explained.</t>
  </si>
  <si>
    <t>Story 14.2 — Developer repoints unit and rent logic</t>
  </si>
  <si>
    <r>
      <t xml:space="preserve">As a developer, I want rent logic to draw from </t>
    </r>
    <r>
      <rPr>
        <sz val="10"/>
        <color theme="1"/>
        <rFont val="Arial Unicode MS"/>
      </rPr>
      <t>DATA_UNIT_MIX</t>
    </r>
    <r>
      <rPr>
        <sz val="11"/>
        <color theme="1"/>
        <rFont val="Calibri"/>
        <family val="2"/>
      </rPr>
      <t xml:space="preserve"> and </t>
    </r>
    <r>
      <rPr>
        <sz val="10"/>
        <color theme="1"/>
        <rFont val="Arial Unicode MS"/>
      </rPr>
      <t>DATA_RENT_ROLL</t>
    </r>
    <r>
      <rPr>
        <sz val="11"/>
        <color theme="1"/>
        <rFont val="Calibri"/>
        <family val="2"/>
      </rPr>
      <t>.</t>
    </r>
  </si>
  <si>
    <t>Unit totals reconcile.</t>
  </si>
  <si>
    <t>Rent revenue reconciles to source data.</t>
  </si>
  <si>
    <t>Missing rent-roll fields are flagged.</t>
  </si>
  <si>
    <t>Story 14.3 — Developer repoints capital needs</t>
  </si>
  <si>
    <r>
      <t xml:space="preserve">As a developer, I want funding gap and capital-needs logic to draw from </t>
    </r>
    <r>
      <rPr>
        <sz val="10"/>
        <color theme="1"/>
        <rFont val="Arial Unicode MS"/>
      </rPr>
      <t>DATA_CAPITAL_NEEDS</t>
    </r>
    <r>
      <rPr>
        <sz val="11"/>
        <color theme="1"/>
        <rFont val="Calibri"/>
        <family val="2"/>
      </rPr>
      <t>.</t>
    </r>
  </si>
  <si>
    <t>Capital needs are property-linked.</t>
  </si>
  <si>
    <t>Funded and unfunded gaps calculate live.</t>
  </si>
  <si>
    <t>Capital-flow outputs reconcile.</t>
  </si>
  <si>
    <t>Epic 15 — Future AI / Platform Workflow</t>
  </si>
  <si>
    <t>Support a future process where NGOs provide their existing files, AI organizes the data, analysts review exceptions, and IREI produces standardized underwriting outputs.</t>
  </si>
  <si>
    <t>BR-15.1 — NGOs should not be required to fill the IREI template first</t>
  </si>
  <si>
    <t>IREI should ingest the files NGOs already have where possible.</t>
  </si>
  <si>
    <t>BR-15.2 — AI should map and normalize data, not become the source of numerical truth</t>
  </si>
  <si>
    <t>AI may extract, classify, map, and flag data, but final calculations should be performed by deterministic formulas, calculation engines, or auditable model logic.</t>
  </si>
  <si>
    <t>BR-15.3 — Confidence and review status must be recorded</t>
  </si>
  <si>
    <t>AI-generated mappings and normalized data must include confidence and review flags.</t>
  </si>
  <si>
    <t>BR-15.4 — Missing information should trigger a targeted follow-up request</t>
  </si>
  <si>
    <t>If source data is insufficient, the model should identify the specific missing fields instead of asking the NGO to complete an entire template.</t>
  </si>
  <si>
    <t>Story 15.1 — NGO uploads existing files</t>
  </si>
  <si>
    <t>As an NGO, I want to provide my existing spreadsheets and exports so I do not have to fill a new template from scratch.</t>
  </si>
  <si>
    <t>Source files are registered.</t>
  </si>
  <si>
    <t>AI / analyst maps fields.</t>
  </si>
  <si>
    <t>Missing information is flagged specifically.</t>
  </si>
  <si>
    <t>Story 15.2 — AI generates normalized data</t>
  </si>
  <si>
    <t>As an AI agent, I want to convert source files into standardized DATA tables.</t>
  </si>
  <si>
    <t>Data lands in canonical tables.</t>
  </si>
  <si>
    <t>Confidence scores are captured.</t>
  </si>
  <si>
    <t>Uncertain fields are flagged for human review.</t>
  </si>
  <si>
    <t>Story 15.3 — Analyst reviews exceptions</t>
  </si>
  <si>
    <t>As an analyst, I want to review only missing, conflicting, or low-confidence items.</t>
  </si>
  <si>
    <t>Warnings are visible.</t>
  </si>
  <si>
    <t>Missing fields are specific.</t>
  </si>
  <si>
    <t>Overrides require reasons.</t>
  </si>
  <si>
    <t>Current Version Status</t>
  </si>
  <si>
    <t>The current workbook is ready as a controlled prototype handoff.</t>
  </si>
  <si>
    <t>Built</t>
  </si>
  <si>
    <t>Workbook navigation and colour control</t>
  </si>
  <si>
    <t>Source intake</t>
  </si>
  <si>
    <t>Field mapping</t>
  </si>
  <si>
    <t>Canonical input tables</t>
  </si>
  <si>
    <t>Property master</t>
  </si>
  <si>
    <t>Debt master</t>
  </si>
  <si>
    <t>Asset classification authority</t>
  </si>
  <si>
    <t>Metric long-format table</t>
  </si>
  <si>
    <t>Capital-flow separation</t>
  </si>
  <si>
    <t>Property-level funding gap trace</t>
  </si>
  <si>
    <t>Reconciliation checks</t>
  </si>
  <si>
    <t>Aggregation audit</t>
  </si>
  <si>
    <t>Rebuilt live investor summary</t>
  </si>
  <si>
    <t>Quality checks</t>
  </si>
  <si>
    <t>Change log</t>
  </si>
  <si>
    <t>Not Yet Fully Built</t>
  </si>
  <si>
    <t>Full repointing from legacy engine to canonical input tables</t>
  </si>
  <si>
    <t>Fully automated ingestion from NGO / Yardi files</t>
  </si>
  <si>
    <t>Python or database-backed calculation engine</t>
  </si>
  <si>
    <t>Full bond/capital-stack table structure</t>
  </si>
  <si>
    <t>Legal agreement document extraction and validation</t>
  </si>
  <si>
    <t>Full data-confidence scoring system</t>
  </si>
  <si>
    <t>Handoff Instruction</t>
  </si>
  <si>
    <t>Start with:</t>
  </si>
  <si>
    <t>1. 00_PLATFORM_INDEX</t>
  </si>
  <si>
    <t>2. INPUT_CONTROL_MAP</t>
  </si>
  <si>
    <t>3. STG_SOURCE_INTAKE</t>
  </si>
  <si>
    <t>4. MAP_FIELD_MAPPING</t>
  </si>
  <si>
    <r>
      <t xml:space="preserve">5. Blue input cells in the </t>
    </r>
    <r>
      <rPr>
        <sz val="10"/>
        <color theme="1"/>
        <rFont val="Arial Unicode MS"/>
      </rPr>
      <t>DATA_*</t>
    </r>
    <r>
      <rPr>
        <sz val="11"/>
        <color theme="1"/>
        <rFont val="Calibri"/>
        <family val="2"/>
      </rPr>
      <t xml:space="preserve"> tabs</t>
    </r>
  </si>
  <si>
    <r>
      <t xml:space="preserve">Do not overwrite formula cells. All changes must be logged in </t>
    </r>
    <r>
      <rPr>
        <sz val="10"/>
        <color theme="1"/>
        <rFont val="Arial Unicode MS"/>
      </rPr>
      <t>00_CHANGE_LOG</t>
    </r>
    <r>
      <rPr>
        <sz val="11"/>
        <color theme="1"/>
        <rFont val="Calibri"/>
        <family val="2"/>
      </rPr>
      <t>.</t>
    </r>
  </si>
  <si>
    <t xml:space="preserve"> </t>
  </si>
  <si>
    <t>Epic 16 — Audit Summary</t>
  </si>
  <si>
    <t>Provide one clean audit landing page that summarizes workbook readiness, open issue counts, reconciliation status, source-error audit status, and handoff limitations.</t>
  </si>
  <si>
    <t>OUT_AUDIT_SUMMARY</t>
  </si>
  <si>
    <t>BR-16.1 — OUT_AUDIT_SUMMARY is the primary audit landing page for first-review handoff.</t>
  </si>
  <si>
    <t>BR-16.2 — The tab must pull live counts from 00_CHANGE_LOG, 00_MODEL_CHECKS, DATA_QUALITY_CHECKS, DATA_CAPITAL_FLOW_RECON, DATA_AGGREGATION_AUDIT, DATA_ASSET_CLASSIFICATION, and INPUT_CONTROL_MAP.</t>
  </si>
  <si>
    <t>BR-16.3 — The audit summary must distinguish analyst/AI handoff readiness from investor/funder reliance and full platform automation readiness.</t>
  </si>
  <si>
    <t>BR-16.4 — Open/review items should remain visible; the audit summary should not hide unresolved issues.</t>
  </si>
  <si>
    <t>BR-16.5 — Any future audit-summary change must be logged in 00_CHANGE_LOG.</t>
  </si>
  <si>
    <t>CL-073</t>
  </si>
  <si>
    <t>2026-07-08</t>
  </si>
  <si>
    <t>Audit Summary</t>
  </si>
  <si>
    <t>OUT_AUDIT_SUMMARY; Business Rules</t>
  </si>
  <si>
    <t>Audit issues were distributed across several tabs without one handoff landing page.</t>
  </si>
  <si>
    <t>Added OUT_AUDIT_SUMMARY with live formulas pulling from model checks, data quality checks, capital-flow reconciliation, aggregation audit, classification override checks, input-control status, and change log; added Epic 16 to Business Rules.</t>
  </si>
  <si>
    <t>No calculation engine change; live audit formulas only.</t>
  </si>
  <si>
    <t>Use OUT_AUDIT_SUMMARY as the first audit page for handoff and future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</si>
</sst>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164" formatCode="\$#,##0;&quot;($&quot;#,##0\);\-"/>
    <numFmt numFmtId="165" formatCode="&quot;$&quot;#,##0;\(&quot;$&quot;#,##0\);\-"/>
    <numFmt numFmtId="166" formatCode="&quot;$&quot;000&quot;/unit&quot;"/>
    <numFmt numFmtId="167" formatCode="0.00\x;\(0.00&quot;x)&quot;;\-"/>
    <numFmt numFmtId="168" formatCode="0.0%"/>
    <numFmt numFmtId="169" formatCode="&quot;$&quot;#,##0;&quot;($&quot;#,##0\);\-"/>
    <numFmt numFmtId="170" formatCode="m/yyyy"/>
    <numFmt numFmtId="171" formatCode="0.00%;\(0.00%\);\-"/>
    <numFmt numFmtId="172" formatCode="&quot;$&quot;#,##0"/>
    <numFmt numFmtId="173" formatCode="#,##0;\(#,##0\);\-"/>
    <numFmt numFmtId="174" formatCode="\$#,##0.0,,\M"/>
    <numFmt numFmtId="175" formatCode="0.00\x"/>
    <numFmt numFmtId="176" formatCode="\$#,##0,,\M;[Red]&quot;($&quot;#,##0,,&quot;M)&quot;;\-"/>
    <numFmt numFmtId="177" formatCode="\$#,##0"/>
    <numFmt numFmtId="178" formatCode="0.0%&quot; Cap&quot;"/>
    <numFmt numFmtId="179" formatCode="0%&quot; Dist.&quot;"/>
    <numFmt numFmtId="180" formatCode="&quot;$&quot;#,##0_);[Red]\(&quot;$&quot;#,##0\)"/>
    <numFmt numFmtId="181" formatCode="&quot;$&quot;#,##0.00"/>
    <numFmt numFmtId="182" formatCode="0&quot; years&quot;"/>
    <numFmt numFmtId="183" formatCode="0.00&quot;x&quot;;\(0.00&quot;x&quot;\);\-"/>
    <numFmt numFmtId="184" formatCode="&quot;$&quot;#,##0;\(&quot;$&quot;#,##0\);&quot;-&quot;"/>
    <numFmt numFmtId="185" formatCode="0.0&quot;x&quot;"/>
    <numFmt numFmtId="186" formatCode="#,##0;[Red]\(#,##0\);\-"/>
    <numFmt numFmtId="187" formatCode="\$#,##0;[Red]\(\$#,##0\);\-"/>
    <numFmt numFmtId="188" formatCode="yyyy\-mm\-dd"/>
    <numFmt numFmtId="189" formatCode="\$#,##0;[Red]\(\$#,##0\)"/>
  </numFmts>
  <fonts count="98">
    <font>
      <sz val="11"/>
      <color theme="1"/>
      <name val="Calibri"/>
    </font>
    <font>
      <sz val="11"/>
      <color theme="1"/>
      <name val="Calibri"/>
    </font>
    <font>
      <b/>
      <sz val="11"/>
      <color rgb="FFFFFFFF"/>
      <name val="Calibri"/>
    </font>
    <font>
      <sz val="10"/>
      <color rgb="FFFFFFFF"/>
      <name val="Calibri"/>
    </font>
    <font>
      <b/>
      <sz val="10"/>
      <color rgb="FFFFFFFF"/>
      <name val="Calibri"/>
    </font>
    <font>
      <b/>
      <sz val="10"/>
      <name val="Calibri"/>
    </font>
    <font>
      <sz val="10"/>
      <color theme="1"/>
      <name val="Calibri"/>
    </font>
    <font>
      <b/>
      <sz val="10"/>
      <color rgb="FF000000"/>
      <name val="Calibri"/>
    </font>
    <font>
      <i/>
      <sz val="10"/>
      <color theme="0" tint="-0.49995422223578601"/>
      <name val="Calibri"/>
    </font>
    <font>
      <b/>
      <sz val="10"/>
      <color theme="1"/>
      <name val="Calibri"/>
    </font>
    <font>
      <sz val="10"/>
      <name val="Calibri"/>
    </font>
    <font>
      <i/>
      <sz val="10"/>
      <color rgb="FF808080"/>
      <name val="Calibri"/>
    </font>
    <font>
      <sz val="10"/>
      <color rgb="FF000000"/>
      <name val="Calibri"/>
    </font>
    <font>
      <sz val="10"/>
      <color rgb="FF0000FF"/>
      <name val="Calibri"/>
    </font>
    <font>
      <i/>
      <sz val="10"/>
      <color theme="1"/>
      <name val="Calibri"/>
    </font>
    <font>
      <b/>
      <i/>
      <sz val="10"/>
      <color theme="1"/>
      <name val="Calibri"/>
    </font>
    <font>
      <b/>
      <sz val="12"/>
      <color rgb="FFFFFFFF"/>
      <name val="Calibri"/>
    </font>
    <font>
      <b/>
      <sz val="10"/>
      <color theme="1"/>
      <name val="Calibri"/>
    </font>
    <font>
      <sz val="10"/>
      <color rgb="FF00B050"/>
      <name val="Calibri"/>
    </font>
    <font>
      <b/>
      <sz val="11"/>
      <color theme="1"/>
      <name val="Calibri"/>
    </font>
    <font>
      <b/>
      <sz val="10"/>
      <color theme="0"/>
      <name val="Calibri"/>
    </font>
    <font>
      <b/>
      <sz val="10"/>
      <color theme="0"/>
      <name val="Calibri"/>
    </font>
    <font>
      <b/>
      <sz val="14"/>
      <color theme="0"/>
      <name val="Arial"/>
    </font>
    <font>
      <sz val="11"/>
      <color theme="0"/>
      <name val="Calibri"/>
    </font>
    <font>
      <b/>
      <sz val="9"/>
      <color theme="0"/>
      <name val="Arial"/>
    </font>
    <font>
      <b/>
      <sz val="10"/>
      <color theme="1"/>
      <name val="Arial"/>
    </font>
    <font>
      <b/>
      <sz val="8"/>
      <color theme="1"/>
      <name val="Arial"/>
    </font>
    <font>
      <sz val="8"/>
      <color theme="1"/>
      <name val="Arial"/>
    </font>
    <font>
      <b/>
      <sz val="10"/>
      <color theme="0"/>
      <name val="Arial"/>
    </font>
    <font>
      <b/>
      <sz val="16"/>
      <color theme="0"/>
      <name val="Calibri"/>
    </font>
    <font>
      <sz val="9"/>
      <color theme="1"/>
      <name val="Calibri"/>
    </font>
    <font>
      <b/>
      <sz val="14"/>
      <color theme="1"/>
      <name val="Calibri"/>
    </font>
    <font>
      <sz val="7"/>
      <color theme="1"/>
      <name val="Calibri"/>
    </font>
    <font>
      <b/>
      <sz val="11"/>
      <color theme="0"/>
      <name val="Calibri"/>
    </font>
    <font>
      <b/>
      <sz val="9"/>
      <color theme="0"/>
      <name val="Calibri"/>
    </font>
    <font>
      <b/>
      <sz val="9"/>
      <color theme="1"/>
      <name val="Calibri"/>
    </font>
    <font>
      <i/>
      <sz val="8"/>
      <color theme="1"/>
      <name val="Calibri"/>
    </font>
    <font>
      <sz val="10"/>
      <color theme="1"/>
      <name val="Calibri"/>
    </font>
    <font>
      <sz val="8"/>
      <color theme="1"/>
      <name val="Calibri"/>
    </font>
    <font>
      <b/>
      <sz val="12"/>
      <color theme="0"/>
      <name val="Calibri"/>
    </font>
    <font>
      <i/>
      <sz val="10"/>
      <color rgb="FFFFFFFF"/>
      <name val="Calibri"/>
    </font>
    <font>
      <b/>
      <sz val="20"/>
      <color rgb="FFFFFFFF"/>
      <name val="Calibri"/>
    </font>
    <font>
      <sz val="9"/>
      <color rgb="FF000000"/>
      <name val="Calibri"/>
    </font>
    <font>
      <b/>
      <sz val="12"/>
      <color rgb="FFFFFFFF"/>
      <name val="Calibri"/>
    </font>
    <font>
      <b/>
      <sz val="11"/>
      <color rgb="FFFFFFFF"/>
      <name val="Calibri"/>
    </font>
    <font>
      <b/>
      <sz val="10"/>
      <color rgb="FFFFFFFF"/>
      <name val="Calibri"/>
    </font>
    <font>
      <b/>
      <sz val="9"/>
      <color rgb="FF0D2137"/>
      <name val="Calibri"/>
    </font>
    <font>
      <sz val="9"/>
      <color rgb="FF008000"/>
      <name val="Arial"/>
    </font>
    <font>
      <sz val="10"/>
      <color rgb="FF008000"/>
      <name val="Arial"/>
    </font>
    <font>
      <b/>
      <sz val="10"/>
      <color rgb="FF008000"/>
      <name val="Arial"/>
    </font>
    <font>
      <i/>
      <sz val="11"/>
      <color theme="1"/>
      <name val="Calibri"/>
    </font>
    <font>
      <b/>
      <sz val="11"/>
      <name val="Calibri"/>
    </font>
    <font>
      <b/>
      <sz val="14"/>
      <color rgb="FFFFFFFF"/>
      <name val="Calibri"/>
    </font>
    <font>
      <b/>
      <i/>
      <sz val="10"/>
      <color rgb="FF808080"/>
      <name val="Calibri"/>
    </font>
    <font>
      <b/>
      <sz val="11"/>
      <color rgb="FFFFFFFF"/>
      <name val="Calibri"/>
    </font>
    <font>
      <b/>
      <sz val="11"/>
      <color rgb="FF9C0006"/>
      <name val="Calibri"/>
    </font>
    <font>
      <sz val="11"/>
      <name val="Calibri"/>
    </font>
    <font>
      <i/>
      <sz val="11"/>
      <color rgb="FF44546A"/>
      <name val="Calibri"/>
    </font>
    <font>
      <b/>
      <sz val="11"/>
      <color rgb="FFFFFFFF"/>
      <name val="Calibri"/>
    </font>
    <font>
      <b/>
      <sz val="11"/>
      <color rgb="FF1F4E78"/>
      <name val="Calibri"/>
    </font>
    <font>
      <i/>
      <sz val="11"/>
      <color rgb="FF666666"/>
      <name val="Calibri"/>
    </font>
    <font>
      <b/>
      <sz val="12"/>
      <color rgb="FF000000"/>
      <name val="Calibri"/>
    </font>
    <font>
      <b/>
      <sz val="11"/>
      <color rgb="FF000000"/>
      <name val="Calibri"/>
    </font>
    <font>
      <sz val="11"/>
      <color rgb="FF000000"/>
      <name val="Calibri"/>
    </font>
    <font>
      <i/>
      <sz val="10"/>
      <color rgb="FF000000"/>
      <name val="Calibri"/>
    </font>
    <font>
      <b/>
      <sz val="10"/>
      <color rgb="FF000000"/>
      <name val="Arial"/>
    </font>
    <font>
      <sz val="9"/>
      <color rgb="FF000000"/>
      <name val="Arial"/>
    </font>
    <font>
      <sz val="10"/>
      <color rgb="FF000000"/>
      <name val="Arial"/>
    </font>
    <font>
      <b/>
      <sz val="8"/>
      <color rgb="FF000000"/>
      <name val="Arial"/>
    </font>
    <font>
      <b/>
      <sz val="9"/>
      <color rgb="FF000000"/>
      <name val="Calibri"/>
    </font>
    <font>
      <b/>
      <sz val="10"/>
      <color rgb="FF000000"/>
      <name val="Calibri"/>
    </font>
    <font>
      <sz val="10"/>
      <color rgb="FF000000"/>
      <name val="Calibri"/>
    </font>
    <font>
      <b/>
      <sz val="12"/>
      <color rgb="FF000000"/>
      <name val="Calibri"/>
    </font>
    <font>
      <b/>
      <sz val="11"/>
      <color rgb="FF000000"/>
      <name val="Calibri"/>
    </font>
    <font>
      <b/>
      <sz val="11"/>
      <color rgb="FF1F4E79"/>
      <name val="Calibri"/>
    </font>
    <font>
      <sz val="11"/>
      <color rgb="FF1F4E79"/>
      <name val="Calibri"/>
    </font>
    <font>
      <b/>
      <sz val="11"/>
      <color rgb="FF1F4E79"/>
      <name val="Calibri"/>
    </font>
    <font>
      <b/>
      <sz val="11"/>
      <color rgb="FF9C0006"/>
      <name val="Calibri"/>
    </font>
    <font>
      <b/>
      <sz val="12"/>
      <color rgb="FF666666"/>
      <name val="Calibri"/>
    </font>
    <font>
      <b/>
      <sz val="10"/>
      <color rgb="FF666666"/>
      <name val="Calibri"/>
    </font>
    <font>
      <b/>
      <i/>
      <sz val="10"/>
      <color rgb="FF666666"/>
      <name val="Calibri"/>
    </font>
    <font>
      <b/>
      <sz val="11"/>
      <color rgb="FF666666"/>
      <name val="Calibri"/>
    </font>
    <font>
      <sz val="10"/>
      <color rgb="FF666666"/>
      <name val="Calibri"/>
    </font>
    <font>
      <b/>
      <sz val="20"/>
      <color rgb="FF666666"/>
      <name val="Calibri"/>
    </font>
    <font>
      <i/>
      <sz val="10"/>
      <color rgb="FF666666"/>
      <name val="Calibri"/>
    </font>
    <font>
      <b/>
      <sz val="11"/>
      <color rgb="FF666666"/>
      <name val="Calibri"/>
    </font>
    <font>
      <b/>
      <sz val="16"/>
      <color rgb="FF666666"/>
      <name val="Calibri"/>
    </font>
    <font>
      <sz val="11"/>
      <color rgb="FF000000"/>
      <name val="Calibri"/>
    </font>
    <font>
      <b/>
      <sz val="11"/>
      <color rgb="FF7C3AED"/>
      <name val="Calibri"/>
    </font>
    <font>
      <b/>
      <sz val="11"/>
      <color rgb="FF70AD47"/>
      <name val="Calibri"/>
    </font>
    <font>
      <sz val="11"/>
      <color rgb="FF1F4E79"/>
      <name val="Calibri"/>
    </font>
    <font>
      <sz val="11"/>
      <color theme="1"/>
      <name val="Calibri"/>
      <family val="2"/>
    </font>
    <font>
      <sz val="10"/>
      <color theme="1"/>
      <name val="Arial Unicode MS"/>
    </font>
    <font>
      <b/>
      <sz val="18"/>
      <color theme="1"/>
      <name val="Calibri"/>
      <family val="2"/>
    </font>
    <font>
      <b/>
      <sz val="13.5"/>
      <color theme="1"/>
      <name val="Calibri"/>
      <family val="2"/>
    </font>
    <font>
      <b/>
      <sz val="10"/>
      <color theme="1"/>
      <name val="Arial Unicode MS"/>
    </font>
    <font>
      <b/>
      <sz val="11"/>
      <color theme="1"/>
      <name val="Calibri"/>
      <family val="2"/>
    </font>
    <font>
      <b/>
      <sz val="24"/>
      <color theme="1"/>
      <name val="Calibri"/>
      <family val="2"/>
    </font>
  </fonts>
  <fills count="56">
    <fill>
      <patternFill patternType="none"/>
    </fill>
    <fill>
      <patternFill patternType="gray125"/>
    </fill>
    <fill>
      <patternFill patternType="solid">
        <fgColor rgb="FF1F497D"/>
      </patternFill>
    </fill>
    <fill>
      <patternFill patternType="solid">
        <fgColor theme="2"/>
      </patternFill>
    </fill>
    <fill>
      <patternFill patternType="solid">
        <fgColor theme="4"/>
      </patternFill>
    </fill>
    <fill>
      <patternFill patternType="solid">
        <fgColor rgb="FFFFFFFF"/>
      </patternFill>
    </fill>
    <fill>
      <patternFill patternType="solid">
        <fgColor theme="2"/>
      </patternFill>
    </fill>
    <fill>
      <patternFill patternType="solid">
        <fgColor rgb="FFD9E1F2"/>
      </patternFill>
    </fill>
    <fill>
      <patternFill patternType="solid">
        <fgColor theme="9" tint="0.59996337778862885"/>
        <bgColor indexed="65"/>
      </patternFill>
    </fill>
    <fill>
      <patternFill patternType="solid">
        <fgColor theme="0" tint="-4.9989318521683403E-2"/>
        <bgColor indexed="65"/>
      </patternFill>
    </fill>
    <fill>
      <patternFill patternType="solid">
        <fgColor theme="4" tint="0.79995117038483843"/>
        <bgColor indexed="65"/>
      </patternFill>
    </fill>
    <fill>
      <patternFill patternType="solid">
        <fgColor theme="5" tint="0.39997558519241921"/>
        <bgColor indexed="65"/>
      </patternFill>
    </fill>
    <fill>
      <patternFill patternType="solid">
        <fgColor rgb="FFDCE6F1"/>
      </patternFill>
    </fill>
    <fill>
      <patternFill patternType="solid">
        <fgColor theme="6" tint="0.39997558519241921"/>
        <bgColor indexed="65"/>
      </patternFill>
    </fill>
    <fill>
      <patternFill patternType="solid">
        <fgColor theme="3" tint="0.39997558519241921"/>
        <bgColor indexed="65"/>
      </patternFill>
    </fill>
    <fill>
      <patternFill patternType="solid">
        <fgColor rgb="FF0D2137"/>
      </patternFill>
    </fill>
    <fill>
      <patternFill patternType="solid">
        <fgColor rgb="FF1B3A52"/>
      </patternFill>
    </fill>
    <fill>
      <patternFill patternType="solid">
        <fgColor rgb="FFE6F5F5"/>
      </patternFill>
    </fill>
    <fill>
      <patternFill patternType="solid">
        <fgColor rgb="FFF8F9FA"/>
      </patternFill>
    </fill>
    <fill>
      <patternFill patternType="solid">
        <fgColor rgb="FFD4EDDA"/>
      </patternFill>
    </fill>
    <fill>
      <patternFill patternType="solid">
        <fgColor rgb="FFFFF3CD"/>
      </patternFill>
    </fill>
    <fill>
      <patternFill patternType="solid">
        <fgColor rgb="FFDBEAFE"/>
      </patternFill>
    </fill>
    <fill>
      <patternFill patternType="solid">
        <fgColor rgb="FFF8D7DA"/>
      </patternFill>
    </fill>
    <fill>
      <patternFill patternType="solid">
        <fgColor rgb="FFE9ECEF"/>
      </patternFill>
    </fill>
    <fill>
      <patternFill patternType="solid">
        <fgColor theme="5" tint="-0.249977111117893"/>
        <bgColor indexed="65"/>
      </patternFill>
    </fill>
    <fill>
      <patternFill patternType="solid">
        <fgColor theme="4" tint="-0.249977111117893"/>
        <bgColor indexed="65"/>
      </patternFill>
    </fill>
    <fill>
      <patternFill patternType="solid">
        <fgColor rgb="FF388600"/>
      </patternFill>
    </fill>
    <fill>
      <patternFill patternType="solid">
        <fgColor rgb="FF0070C0"/>
      </patternFill>
    </fill>
    <fill>
      <patternFill patternType="solid">
        <fgColor rgb="FFE6F5F5"/>
      </patternFill>
    </fill>
    <fill>
      <patternFill patternType="solid">
        <fgColor rgb="FFE6F5F5"/>
      </patternFill>
    </fill>
    <fill>
      <patternFill patternType="solid">
        <fgColor rgb="FF0D2137"/>
      </patternFill>
    </fill>
    <fill>
      <patternFill patternType="solid">
        <fgColor rgb="FF0070C0"/>
      </patternFill>
    </fill>
    <fill>
      <patternFill patternType="solid">
        <fgColor rgb="FF1B3A52"/>
      </patternFill>
    </fill>
    <fill>
      <patternFill patternType="solid">
        <fgColor rgb="FFE6F5F5"/>
      </patternFill>
    </fill>
    <fill>
      <patternFill patternType="solid">
        <fgColor rgb="FFF8F9FA"/>
      </patternFill>
    </fill>
    <fill>
      <patternFill patternType="solid">
        <fgColor rgb="FFFFFFFF"/>
      </patternFill>
    </fill>
    <fill>
      <patternFill patternType="solid">
        <fgColor rgb="FF1F4E78"/>
      </patternFill>
    </fill>
    <fill>
      <patternFill patternType="solid">
        <fgColor rgb="FFEAF3F8"/>
      </patternFill>
    </fill>
    <fill>
      <patternFill patternType="solid">
        <fgColor rgb="FF1F4E78"/>
      </patternFill>
    </fill>
    <fill>
      <patternFill patternType="solid">
        <fgColor rgb="FFEAF3F8"/>
      </patternFill>
    </fill>
    <fill>
      <patternFill patternType="solid">
        <fgColor rgb="FFD9EAF7"/>
      </patternFill>
    </fill>
    <fill>
      <patternFill patternType="solid">
        <fgColor rgb="FFFCE4D6"/>
      </patternFill>
    </fill>
    <fill>
      <patternFill patternType="solid">
        <fgColor rgb="FF1F4E78"/>
      </patternFill>
    </fill>
    <fill>
      <patternFill patternType="solid">
        <fgColor rgb="FFD9EAF7"/>
      </patternFill>
    </fill>
    <fill>
      <patternFill patternType="solid">
        <fgColor rgb="FFFCE4D6"/>
      </patternFill>
    </fill>
    <fill>
      <patternFill patternType="solid">
        <fgColor rgb="FFEAF3F8"/>
      </patternFill>
    </fill>
    <fill>
      <patternFill patternType="solid">
        <fgColor rgb="FFFFFFFF"/>
      </patternFill>
    </fill>
    <fill>
      <patternFill patternType="solid">
        <fgColor rgb="FFE2F0D9"/>
      </patternFill>
    </fill>
    <fill>
      <patternFill patternType="solid">
        <fgColor rgb="FF1F4E79"/>
      </patternFill>
    </fill>
    <fill>
      <patternFill patternType="solid">
        <fgColor rgb="FF7C3AED"/>
      </patternFill>
    </fill>
    <fill>
      <patternFill patternType="solid">
        <fgColor rgb="FF70AD47"/>
      </patternFill>
    </fill>
    <fill>
      <patternFill patternType="solid">
        <fgColor rgb="FFEDE9FE"/>
      </patternFill>
    </fill>
    <fill>
      <patternFill patternType="solid">
        <fgColor rgb="FFE7E6E6"/>
      </patternFill>
    </fill>
    <fill>
      <patternFill patternType="solid">
        <fgColor rgb="FF1F2937"/>
      </patternFill>
    </fill>
    <fill>
      <patternFill patternType="solid">
        <fgColor rgb="FF5B9BD5"/>
      </patternFill>
    </fill>
    <fill>
      <patternFill patternType="solid">
        <fgColor rgb="FFEADCF8"/>
      </patternFill>
    </fill>
  </fills>
  <borders count="45">
    <border>
      <left/>
      <right/>
      <top/>
      <bottom/>
      <diagonal/>
    </border>
    <border>
      <left/>
      <right/>
      <top/>
      <bottom style="thin">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medium">
        <color auto="1"/>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right/>
      <top/>
      <bottom style="thin">
        <color rgb="FF000000"/>
      </bottom>
      <diagonal/>
    </border>
    <border>
      <left/>
      <right style="thin">
        <color indexed="64"/>
      </right>
      <top/>
      <bottom style="thin">
        <color indexed="64"/>
      </bottom>
      <diagonal/>
    </border>
    <border>
      <left/>
      <right/>
      <top style="thin">
        <color rgb="FFCCCCCC"/>
      </top>
      <bottom/>
      <diagonal/>
    </border>
    <border>
      <left/>
      <right/>
      <top/>
      <bottom style="thin">
        <color rgb="FFCCCCCC"/>
      </bottom>
      <diagonal/>
    </border>
    <border>
      <left/>
      <right style="thin">
        <color rgb="FFCCCCCC"/>
      </right>
      <top/>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double">
        <color indexed="64"/>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
      <left/>
      <right/>
      <top style="thin">
        <color rgb="FFCCCCCC"/>
      </top>
      <bottom/>
      <diagonal/>
    </border>
    <border>
      <left/>
      <right/>
      <top/>
      <bottom style="thin">
        <color rgb="FFCCCCCC"/>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
      <left style="thin">
        <color rgb="FFCCCCCC"/>
      </left>
      <right/>
      <top style="thin">
        <color rgb="FFCCCCCC"/>
      </top>
      <bottom/>
      <diagonal/>
    </border>
    <border>
      <left/>
      <right style="thin">
        <color rgb="FFCCCCCC"/>
      </right>
      <top style="thin">
        <color rgb="FFCCCCCC"/>
      </top>
      <bottom/>
      <diagonal/>
    </border>
    <border>
      <left/>
      <right/>
      <top style="thin">
        <color rgb="FFFFFFFF"/>
      </top>
      <bottom/>
      <diagonal/>
    </border>
    <border>
      <left/>
      <right/>
      <top style="thin">
        <color theme="0"/>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ouble">
        <color indexed="64"/>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bottom style="thin">
        <color rgb="FFD9E1F2"/>
      </bottom>
      <diagonal/>
    </border>
  </borders>
  <cellStyleXfs count="2">
    <xf numFmtId="0" fontId="0" fillId="0" borderId="21"/>
    <xf numFmtId="9" fontId="1" fillId="0" borderId="21"/>
  </cellStyleXfs>
  <cellXfs count="497">
    <xf numFmtId="0" fontId="0" fillId="0" borderId="0" xfId="0" applyBorder="1"/>
    <xf numFmtId="0" fontId="3" fillId="0" borderId="0" xfId="0" applyFont="1" applyBorder="1"/>
    <xf numFmtId="0" fontId="4" fillId="2" borderId="0" xfId="0" applyFont="1" applyFill="1" applyBorder="1" applyAlignment="1">
      <alignment horizontal="right"/>
    </xf>
    <xf numFmtId="0" fontId="6" fillId="0" borderId="0" xfId="0" applyFont="1" applyBorder="1"/>
    <xf numFmtId="0" fontId="7" fillId="3" borderId="0" xfId="0" applyFont="1" applyFill="1" applyBorder="1" applyAlignment="1">
      <alignment horizontal="left"/>
    </xf>
    <xf numFmtId="0" fontId="4" fillId="2" borderId="0" xfId="0" applyFont="1" applyFill="1" applyBorder="1"/>
    <xf numFmtId="164" fontId="8" fillId="0" borderId="0" xfId="0" applyNumberFormat="1" applyFont="1" applyBorder="1"/>
    <xf numFmtId="0" fontId="9" fillId="0" borderId="0" xfId="0" applyFont="1" applyBorder="1" applyAlignment="1">
      <alignment horizontal="right"/>
    </xf>
    <xf numFmtId="0" fontId="6" fillId="3" borderId="0" xfId="0" applyFont="1" applyFill="1" applyBorder="1"/>
    <xf numFmtId="164" fontId="4" fillId="3" borderId="0" xfId="0" applyNumberFormat="1" applyFont="1" applyFill="1" applyBorder="1"/>
    <xf numFmtId="0" fontId="6" fillId="5" borderId="0" xfId="0" applyFont="1" applyFill="1" applyBorder="1"/>
    <xf numFmtId="0" fontId="6" fillId="5" borderId="1" xfId="0" applyFont="1" applyFill="1" applyBorder="1"/>
    <xf numFmtId="164" fontId="10" fillId="0" borderId="0" xfId="0" applyNumberFormat="1" applyFont="1" applyBorder="1"/>
    <xf numFmtId="0" fontId="6" fillId="0" borderId="1" xfId="0" applyFont="1" applyBorder="1"/>
    <xf numFmtId="0" fontId="9" fillId="0" borderId="0" xfId="0" applyFont="1" applyBorder="1"/>
    <xf numFmtId="0" fontId="9" fillId="3" borderId="0" xfId="0" applyFont="1" applyFill="1" applyBorder="1"/>
    <xf numFmtId="0" fontId="8" fillId="0" borderId="0" xfId="0" applyFont="1" applyBorder="1" applyAlignment="1">
      <alignment horizontal="left"/>
    </xf>
    <xf numFmtId="0" fontId="8" fillId="0" borderId="0" xfId="0" applyFont="1" applyBorder="1"/>
    <xf numFmtId="166" fontId="4" fillId="2" borderId="0" xfId="0" applyNumberFormat="1" applyFont="1" applyFill="1" applyBorder="1" applyAlignment="1">
      <alignment horizontal="right"/>
    </xf>
    <xf numFmtId="0" fontId="5" fillId="0" borderId="0" xfId="0" applyFont="1" applyBorder="1"/>
    <xf numFmtId="0" fontId="10" fillId="0" borderId="0" xfId="0" applyFont="1" applyBorder="1"/>
    <xf numFmtId="0" fontId="10" fillId="0" borderId="0" xfId="0" applyFont="1" applyBorder="1" applyAlignment="1">
      <alignment horizontal="left"/>
    </xf>
    <xf numFmtId="0" fontId="11" fillId="0" borderId="0" xfId="0" applyFont="1" applyBorder="1" applyAlignment="1">
      <alignment horizontal="left"/>
    </xf>
    <xf numFmtId="0" fontId="9" fillId="6" borderId="0" xfId="0" applyFont="1" applyFill="1" applyBorder="1"/>
    <xf numFmtId="0" fontId="6" fillId="0" borderId="2" xfId="0" applyFont="1" applyBorder="1"/>
    <xf numFmtId="0" fontId="10" fillId="0" borderId="1" xfId="0" applyFont="1" applyBorder="1" applyAlignment="1">
      <alignment horizontal="left"/>
    </xf>
    <xf numFmtId="0" fontId="5" fillId="3" borderId="0" xfId="0" applyFont="1" applyFill="1" applyBorder="1" applyAlignment="1">
      <alignment horizontal="left"/>
    </xf>
    <xf numFmtId="0" fontId="5" fillId="0" borderId="0" xfId="0" applyFont="1" applyBorder="1" applyAlignment="1">
      <alignment horizontal="left"/>
    </xf>
    <xf numFmtId="0" fontId="12" fillId="0" borderId="0" xfId="0" applyFont="1" applyBorder="1"/>
    <xf numFmtId="169" fontId="13" fillId="0" borderId="0" xfId="0" applyNumberFormat="1" applyFont="1" applyBorder="1"/>
    <xf numFmtId="0" fontId="14" fillId="0" borderId="0" xfId="0" applyFont="1" applyBorder="1"/>
    <xf numFmtId="0" fontId="15" fillId="0" borderId="0" xfId="0" applyFont="1" applyBorder="1"/>
    <xf numFmtId="0" fontId="14" fillId="3" borderId="0" xfId="0" applyFont="1" applyFill="1" applyBorder="1"/>
    <xf numFmtId="0" fontId="13" fillId="0" borderId="0" xfId="0" applyFont="1" applyBorder="1"/>
    <xf numFmtId="0" fontId="13" fillId="0" borderId="0" xfId="0" applyFont="1" applyBorder="1" applyAlignment="1">
      <alignment horizontal="left"/>
    </xf>
    <xf numFmtId="170" fontId="13" fillId="0" borderId="0" xfId="0" applyNumberFormat="1" applyFont="1" applyBorder="1" applyAlignment="1">
      <alignment horizontal="left"/>
    </xf>
    <xf numFmtId="10" fontId="13" fillId="0" borderId="0" xfId="0" applyNumberFormat="1" applyFont="1" applyBorder="1" applyAlignment="1">
      <alignment horizontal="left"/>
    </xf>
    <xf numFmtId="3" fontId="13" fillId="0" borderId="0" xfId="0" applyNumberFormat="1" applyFont="1" applyBorder="1" applyAlignment="1">
      <alignment horizontal="left"/>
    </xf>
    <xf numFmtId="0" fontId="13" fillId="9" borderId="0" xfId="0" applyFont="1" applyFill="1" applyBorder="1"/>
    <xf numFmtId="0" fontId="13" fillId="9" borderId="0" xfId="0" applyFont="1" applyFill="1" applyBorder="1" applyAlignment="1">
      <alignment horizontal="left"/>
    </xf>
    <xf numFmtId="10" fontId="13" fillId="9" borderId="0" xfId="0" applyNumberFormat="1" applyFont="1" applyFill="1" applyBorder="1" applyAlignment="1">
      <alignment horizontal="left"/>
    </xf>
    <xf numFmtId="170" fontId="13" fillId="9" borderId="0" xfId="0" applyNumberFormat="1" applyFont="1" applyFill="1" applyBorder="1" applyAlignment="1">
      <alignment horizontal="left"/>
    </xf>
    <xf numFmtId="3" fontId="13" fillId="9" borderId="0" xfId="0" applyNumberFormat="1" applyFont="1" applyFill="1" applyBorder="1" applyAlignment="1">
      <alignment horizontal="left"/>
    </xf>
    <xf numFmtId="0" fontId="9" fillId="3" borderId="3" xfId="0" applyFont="1" applyFill="1" applyBorder="1" applyAlignment="1">
      <alignment horizontal="left" wrapText="1"/>
    </xf>
    <xf numFmtId="0" fontId="9" fillId="8" borderId="3" xfId="0" applyFont="1" applyFill="1" applyBorder="1" applyAlignment="1">
      <alignment horizontal="left" wrapText="1"/>
    </xf>
    <xf numFmtId="0" fontId="9" fillId="0" borderId="0" xfId="0" applyFont="1" applyBorder="1" applyAlignment="1">
      <alignment horizontal="center" wrapText="1"/>
    </xf>
    <xf numFmtId="0" fontId="4" fillId="0" borderId="0" xfId="0" applyFont="1" applyBorder="1"/>
    <xf numFmtId="171" fontId="12" fillId="0" borderId="0" xfId="0" applyNumberFormat="1" applyFont="1" applyBorder="1"/>
    <xf numFmtId="169" fontId="7" fillId="0" borderId="0" xfId="0" applyNumberFormat="1" applyFont="1" applyBorder="1"/>
    <xf numFmtId="172" fontId="12" fillId="0" borderId="0" xfId="0" applyNumberFormat="1" applyFont="1" applyBorder="1"/>
    <xf numFmtId="0" fontId="18" fillId="0" borderId="0" xfId="0" applyFont="1" applyBorder="1"/>
    <xf numFmtId="169" fontId="7" fillId="0" borderId="4" xfId="0" applyNumberFormat="1" applyFont="1" applyBorder="1"/>
    <xf numFmtId="172" fontId="13" fillId="0" borderId="5" xfId="0" applyNumberFormat="1" applyFont="1" applyBorder="1"/>
    <xf numFmtId="0" fontId="9" fillId="0" borderId="3" xfId="0" applyFont="1" applyBorder="1" applyAlignment="1">
      <alignment horizontal="center" wrapText="1"/>
    </xf>
    <xf numFmtId="0" fontId="9" fillId="10" borderId="3" xfId="0" applyFont="1" applyFill="1" applyBorder="1" applyAlignment="1">
      <alignment horizontal="left" wrapText="1"/>
    </xf>
    <xf numFmtId="0" fontId="9" fillId="11" borderId="3" xfId="0" applyFont="1" applyFill="1" applyBorder="1" applyAlignment="1">
      <alignment horizontal="left" wrapText="1"/>
    </xf>
    <xf numFmtId="0" fontId="6" fillId="0" borderId="4" xfId="0" applyFont="1" applyBorder="1"/>
    <xf numFmtId="0" fontId="6" fillId="0" borderId="6" xfId="0" applyFont="1" applyBorder="1"/>
    <xf numFmtId="0" fontId="12" fillId="9" borderId="0" xfId="0" applyFont="1" applyFill="1" applyBorder="1"/>
    <xf numFmtId="169" fontId="13" fillId="9" borderId="0" xfId="0" applyNumberFormat="1" applyFont="1" applyFill="1" applyBorder="1"/>
    <xf numFmtId="0" fontId="18" fillId="9" borderId="0" xfId="0" applyFont="1" applyFill="1" applyBorder="1"/>
    <xf numFmtId="169" fontId="7" fillId="9" borderId="4" xfId="0" applyNumberFormat="1" applyFont="1" applyFill="1" applyBorder="1"/>
    <xf numFmtId="172" fontId="13" fillId="9" borderId="5" xfId="0" applyNumberFormat="1" applyFont="1" applyFill="1" applyBorder="1"/>
    <xf numFmtId="169" fontId="7" fillId="9" borderId="6" xfId="0" applyNumberFormat="1" applyFont="1" applyFill="1" applyBorder="1"/>
    <xf numFmtId="172" fontId="13" fillId="9" borderId="7" xfId="0" applyNumberFormat="1" applyFont="1" applyFill="1" applyBorder="1"/>
    <xf numFmtId="0" fontId="9" fillId="13" borderId="3" xfId="0" applyFont="1" applyFill="1" applyBorder="1" applyAlignment="1">
      <alignment horizontal="left" wrapText="1"/>
    </xf>
    <xf numFmtId="0" fontId="23" fillId="0" borderId="0" xfId="0" applyFont="1" applyBorder="1"/>
    <xf numFmtId="0" fontId="24" fillId="16" borderId="10" xfId="0" applyFont="1" applyFill="1" applyBorder="1" applyAlignment="1">
      <alignment horizontal="center" vertical="center" wrapText="1"/>
    </xf>
    <xf numFmtId="0" fontId="26" fillId="20" borderId="10" xfId="0" applyFont="1" applyFill="1" applyBorder="1" applyAlignment="1">
      <alignment horizontal="center" vertical="center" wrapText="1"/>
    </xf>
    <xf numFmtId="0" fontId="27" fillId="18" borderId="10" xfId="0" applyFont="1" applyFill="1" applyBorder="1" applyAlignment="1">
      <alignment horizontal="left" vertical="center" wrapText="1"/>
    </xf>
    <xf numFmtId="0" fontId="27" fillId="21" borderId="10" xfId="0" applyFont="1" applyFill="1" applyBorder="1" applyAlignment="1">
      <alignment horizontal="left" vertical="center" wrapText="1"/>
    </xf>
    <xf numFmtId="0" fontId="27" fillId="22" borderId="10" xfId="0" applyFont="1" applyFill="1" applyBorder="1" applyAlignment="1">
      <alignment horizontal="left" vertical="center" wrapText="1"/>
    </xf>
    <xf numFmtId="0" fontId="27" fillId="20" borderId="10" xfId="0" applyFont="1" applyFill="1" applyBorder="1" applyAlignment="1">
      <alignment horizontal="left" vertical="center" wrapText="1"/>
    </xf>
    <xf numFmtId="0" fontId="26" fillId="22" borderId="10" xfId="0" applyFont="1" applyFill="1" applyBorder="1" applyAlignment="1">
      <alignment horizontal="center" vertical="center" wrapText="1"/>
    </xf>
    <xf numFmtId="0" fontId="28" fillId="15" borderId="11" xfId="0" applyFont="1" applyFill="1" applyBorder="1" applyAlignment="1">
      <alignment horizontal="left" vertical="center"/>
    </xf>
    <xf numFmtId="0" fontId="0" fillId="15" borderId="0" xfId="0" applyFill="1" applyBorder="1"/>
    <xf numFmtId="0" fontId="29" fillId="15" borderId="0" xfId="0" applyFont="1" applyFill="1" applyBorder="1" applyAlignment="1">
      <alignment vertical="center"/>
    </xf>
    <xf numFmtId="0" fontId="0" fillId="16" borderId="0" xfId="0" applyFill="1" applyBorder="1"/>
    <xf numFmtId="0" fontId="19" fillId="17" borderId="0" xfId="0" applyFont="1" applyFill="1" applyBorder="1"/>
    <xf numFmtId="0" fontId="0" fillId="19" borderId="0" xfId="0" applyFill="1" applyBorder="1"/>
    <xf numFmtId="0" fontId="0" fillId="21" borderId="0" xfId="0" applyFill="1" applyBorder="1"/>
    <xf numFmtId="0" fontId="0" fillId="23" borderId="0" xfId="0" applyFill="1" applyBorder="1"/>
    <xf numFmtId="0" fontId="30" fillId="17" borderId="0" xfId="0" applyFont="1" applyFill="1" applyBorder="1" applyAlignment="1">
      <alignment horizontal="center"/>
    </xf>
    <xf numFmtId="0" fontId="30" fillId="19" borderId="0" xfId="0" applyFont="1" applyFill="1" applyBorder="1" applyAlignment="1">
      <alignment horizontal="center"/>
    </xf>
    <xf numFmtId="0" fontId="30" fillId="21" borderId="0" xfId="0" applyFont="1" applyFill="1" applyBorder="1" applyAlignment="1">
      <alignment horizontal="center"/>
    </xf>
    <xf numFmtId="0" fontId="30" fillId="23" borderId="0" xfId="0" applyFont="1" applyFill="1" applyBorder="1" applyAlignment="1">
      <alignment horizontal="center"/>
    </xf>
    <xf numFmtId="174" fontId="31" fillId="17" borderId="0" xfId="0" applyNumberFormat="1" applyFont="1" applyFill="1" applyBorder="1" applyAlignment="1">
      <alignment horizontal="center" vertical="center"/>
    </xf>
    <xf numFmtId="174" fontId="31" fillId="19" borderId="0" xfId="0" applyNumberFormat="1" applyFont="1" applyFill="1" applyBorder="1" applyAlignment="1">
      <alignment horizontal="center" vertical="center"/>
    </xf>
    <xf numFmtId="174" fontId="31" fillId="21" borderId="0" xfId="0" applyNumberFormat="1" applyFont="1" applyFill="1" applyBorder="1" applyAlignment="1">
      <alignment horizontal="center" vertical="center"/>
    </xf>
    <xf numFmtId="175" fontId="31" fillId="23" borderId="0" xfId="0" applyNumberFormat="1" applyFont="1" applyFill="1" applyBorder="1" applyAlignment="1">
      <alignment horizontal="center" vertical="center"/>
    </xf>
    <xf numFmtId="0" fontId="32" fillId="17" borderId="0" xfId="0" applyFont="1" applyFill="1" applyBorder="1" applyAlignment="1">
      <alignment horizontal="center"/>
    </xf>
    <xf numFmtId="0" fontId="32" fillId="19" borderId="0" xfId="0" applyFont="1" applyFill="1" applyBorder="1" applyAlignment="1">
      <alignment horizontal="center"/>
    </xf>
    <xf numFmtId="0" fontId="32" fillId="21" borderId="0" xfId="0" applyFont="1" applyFill="1" applyBorder="1" applyAlignment="1">
      <alignment horizontal="center"/>
    </xf>
    <xf numFmtId="0" fontId="32" fillId="23" borderId="0" xfId="0" applyFont="1" applyFill="1" applyBorder="1" applyAlignment="1">
      <alignment horizontal="center"/>
    </xf>
    <xf numFmtId="0" fontId="0" fillId="0" borderId="0" xfId="0" applyBorder="1" applyAlignment="1">
      <alignment horizontal="right"/>
    </xf>
    <xf numFmtId="0" fontId="0" fillId="17" borderId="0" xfId="0" applyFill="1" applyBorder="1"/>
    <xf numFmtId="0" fontId="14" fillId="17" borderId="0" xfId="0" applyFont="1" applyFill="1" applyBorder="1"/>
    <xf numFmtId="0" fontId="34" fillId="16" borderId="10" xfId="0" applyFont="1" applyFill="1" applyBorder="1" applyAlignment="1">
      <alignment horizontal="center" vertical="center"/>
    </xf>
    <xf numFmtId="0" fontId="35" fillId="17" borderId="10" xfId="0" applyFont="1" applyFill="1" applyBorder="1" applyAlignment="1">
      <alignment horizontal="left" vertical="center" wrapText="1"/>
    </xf>
    <xf numFmtId="0" fontId="30" fillId="17" borderId="10" xfId="0" applyFont="1" applyFill="1" applyBorder="1" applyAlignment="1">
      <alignment horizontal="left" vertical="center" wrapText="1"/>
    </xf>
    <xf numFmtId="3" fontId="6" fillId="17" borderId="10" xfId="0" applyNumberFormat="1" applyFont="1" applyFill="1" applyBorder="1" applyAlignment="1">
      <alignment horizontal="center" vertical="center"/>
    </xf>
    <xf numFmtId="176" fontId="6" fillId="17" borderId="10" xfId="0" applyNumberFormat="1" applyFont="1" applyFill="1" applyBorder="1" applyAlignment="1">
      <alignment horizontal="center" vertical="center"/>
    </xf>
    <xf numFmtId="0" fontId="30" fillId="22" borderId="10" xfId="0" applyFont="1" applyFill="1" applyBorder="1" applyAlignment="1">
      <alignment horizontal="left" vertical="center" wrapText="1"/>
    </xf>
    <xf numFmtId="0" fontId="35" fillId="22" borderId="10" xfId="0" applyFont="1" applyFill="1" applyBorder="1" applyAlignment="1">
      <alignment horizontal="center" vertical="center" wrapText="1"/>
    </xf>
    <xf numFmtId="0" fontId="35" fillId="19" borderId="10" xfId="0" applyFont="1" applyFill="1" applyBorder="1" applyAlignment="1">
      <alignment horizontal="left" vertical="center" wrapText="1"/>
    </xf>
    <xf numFmtId="0" fontId="30" fillId="19" borderId="10" xfId="0" applyFont="1" applyFill="1" applyBorder="1" applyAlignment="1">
      <alignment horizontal="left" vertical="center" wrapText="1"/>
    </xf>
    <xf numFmtId="3" fontId="6" fillId="19" borderId="10" xfId="0" applyNumberFormat="1" applyFont="1" applyFill="1" applyBorder="1" applyAlignment="1">
      <alignment horizontal="center" vertical="center"/>
    </xf>
    <xf numFmtId="176" fontId="6" fillId="19" borderId="10" xfId="0" applyNumberFormat="1" applyFont="1" applyFill="1" applyBorder="1" applyAlignment="1">
      <alignment horizontal="center" vertical="center"/>
    </xf>
    <xf numFmtId="0" fontId="35" fillId="22" borderId="10" xfId="0" applyFont="1" applyFill="1" applyBorder="1" applyAlignment="1">
      <alignment horizontal="left" vertical="center" wrapText="1"/>
    </xf>
    <xf numFmtId="3" fontId="6" fillId="22" borderId="10" xfId="0" applyNumberFormat="1" applyFont="1" applyFill="1" applyBorder="1" applyAlignment="1">
      <alignment horizontal="center" vertical="center"/>
    </xf>
    <xf numFmtId="176" fontId="6" fillId="22" borderId="10" xfId="0" applyNumberFormat="1" applyFont="1" applyFill="1" applyBorder="1" applyAlignment="1">
      <alignment horizontal="center" vertical="center"/>
    </xf>
    <xf numFmtId="0" fontId="30" fillId="20" borderId="10" xfId="0" applyFont="1" applyFill="1" applyBorder="1" applyAlignment="1">
      <alignment horizontal="left" vertical="center" wrapText="1"/>
    </xf>
    <xf numFmtId="0" fontId="35" fillId="20" borderId="10" xfId="0" applyFont="1" applyFill="1" applyBorder="1" applyAlignment="1">
      <alignment horizontal="center" vertical="center" wrapText="1"/>
    </xf>
    <xf numFmtId="0" fontId="9" fillId="17" borderId="10" xfId="0" applyFont="1" applyFill="1" applyBorder="1" applyAlignment="1">
      <alignment horizontal="left" vertical="center" wrapText="1"/>
    </xf>
    <xf numFmtId="0" fontId="35" fillId="19" borderId="10" xfId="0" applyFont="1" applyFill="1" applyBorder="1" applyAlignment="1">
      <alignment horizontal="center" vertical="center" wrapText="1"/>
    </xf>
    <xf numFmtId="0" fontId="9" fillId="21" borderId="10" xfId="0" applyFont="1" applyFill="1" applyBorder="1" applyAlignment="1">
      <alignment horizontal="left" vertical="center" wrapText="1"/>
    </xf>
    <xf numFmtId="0" fontId="9" fillId="19" borderId="10" xfId="0" applyFont="1" applyFill="1" applyBorder="1" applyAlignment="1">
      <alignment horizontal="left" vertical="center" wrapText="1"/>
    </xf>
    <xf numFmtId="0" fontId="9" fillId="20" borderId="10" xfId="0" applyFont="1" applyFill="1" applyBorder="1" applyAlignment="1">
      <alignment horizontal="left" vertical="center" wrapText="1"/>
    </xf>
    <xf numFmtId="0" fontId="34" fillId="16" borderId="10" xfId="0" applyFont="1" applyFill="1" applyBorder="1" applyAlignment="1">
      <alignment horizontal="center" vertical="center" wrapText="1"/>
    </xf>
    <xf numFmtId="0" fontId="30" fillId="18" borderId="10" xfId="0" applyFont="1" applyFill="1" applyBorder="1" applyAlignment="1">
      <alignment horizontal="left" vertical="center"/>
    </xf>
    <xf numFmtId="0" fontId="9" fillId="17" borderId="10" xfId="0" applyFont="1" applyFill="1" applyBorder="1" applyAlignment="1">
      <alignment horizontal="center" vertical="center"/>
    </xf>
    <xf numFmtId="0" fontId="9" fillId="21" borderId="10" xfId="0" applyFont="1" applyFill="1" applyBorder="1" applyAlignment="1">
      <alignment horizontal="center" vertical="center"/>
    </xf>
    <xf numFmtId="10" fontId="9" fillId="17" borderId="10" xfId="0" applyNumberFormat="1" applyFont="1" applyFill="1" applyBorder="1" applyAlignment="1">
      <alignment horizontal="center" vertical="center"/>
    </xf>
    <xf numFmtId="10" fontId="9" fillId="21" borderId="10" xfId="0" applyNumberFormat="1" applyFont="1" applyFill="1" applyBorder="1" applyAlignment="1">
      <alignment horizontal="center" vertical="center"/>
    </xf>
    <xf numFmtId="177" fontId="9" fillId="17" borderId="10" xfId="0" applyNumberFormat="1" applyFont="1" applyFill="1" applyBorder="1" applyAlignment="1">
      <alignment horizontal="center" vertical="center"/>
    </xf>
    <xf numFmtId="177" fontId="9" fillId="21" borderId="10" xfId="0" applyNumberFormat="1" applyFont="1" applyFill="1" applyBorder="1" applyAlignment="1">
      <alignment horizontal="center" vertical="center"/>
    </xf>
    <xf numFmtId="0" fontId="25" fillId="5" borderId="13" xfId="0" applyFont="1" applyFill="1" applyBorder="1" applyAlignment="1">
      <alignment horizontal="left" vertical="center" wrapText="1"/>
    </xf>
    <xf numFmtId="0" fontId="26" fillId="17" borderId="13" xfId="0" applyFont="1" applyFill="1" applyBorder="1" applyAlignment="1">
      <alignment horizontal="left" vertical="center" wrapText="1"/>
    </xf>
    <xf numFmtId="0" fontId="26" fillId="20" borderId="13" xfId="0" applyFont="1" applyFill="1" applyBorder="1" applyAlignment="1">
      <alignment horizontal="center" vertical="center" wrapText="1"/>
    </xf>
    <xf numFmtId="0" fontId="27" fillId="18" borderId="13" xfId="0" applyFont="1" applyFill="1" applyBorder="1" applyAlignment="1">
      <alignment horizontal="left" vertical="center" wrapText="1"/>
    </xf>
    <xf numFmtId="0" fontId="27" fillId="21" borderId="13" xfId="0" applyFont="1" applyFill="1" applyBorder="1" applyAlignment="1">
      <alignment horizontal="left" vertical="center" wrapText="1"/>
    </xf>
    <xf numFmtId="0" fontId="20" fillId="14" borderId="3" xfId="0" applyFont="1" applyFill="1" applyBorder="1"/>
    <xf numFmtId="0" fontId="6" fillId="0" borderId="0" xfId="0" applyFont="1" applyBorder="1" applyAlignment="1">
      <alignment horizontal="left"/>
    </xf>
    <xf numFmtId="0" fontId="17" fillId="0" borderId="0" xfId="0" applyFont="1" applyBorder="1"/>
    <xf numFmtId="0" fontId="37" fillId="0" borderId="0" xfId="0" applyFont="1" applyBorder="1"/>
    <xf numFmtId="0" fontId="6" fillId="9" borderId="0" xfId="0" applyFont="1" applyFill="1" applyBorder="1"/>
    <xf numFmtId="168" fontId="13" fillId="0" borderId="0" xfId="0" applyNumberFormat="1" applyFont="1" applyBorder="1" applyAlignment="1">
      <alignment horizontal="left"/>
    </xf>
    <xf numFmtId="0" fontId="14" fillId="9" borderId="0" xfId="0" applyFont="1" applyFill="1" applyBorder="1" applyAlignment="1">
      <alignment horizontal="left"/>
    </xf>
    <xf numFmtId="1" fontId="13" fillId="0" borderId="0" xfId="0" applyNumberFormat="1" applyFont="1" applyBorder="1" applyAlignment="1">
      <alignment horizontal="left"/>
    </xf>
    <xf numFmtId="0" fontId="14" fillId="9" borderId="0" xfId="0" applyFont="1" applyFill="1" applyBorder="1"/>
    <xf numFmtId="0" fontId="10" fillId="0" borderId="14" xfId="0" applyFont="1" applyBorder="1" applyAlignment="1">
      <alignment horizontal="left"/>
    </xf>
    <xf numFmtId="0" fontId="10" fillId="0" borderId="1" xfId="0" applyFont="1" applyBorder="1"/>
    <xf numFmtId="0" fontId="17" fillId="0" borderId="0" xfId="0" applyFont="1" applyBorder="1" applyAlignment="1">
      <alignment horizontal="center" wrapText="1"/>
    </xf>
    <xf numFmtId="0" fontId="13" fillId="0" borderId="0" xfId="0" applyFont="1" applyBorder="1" applyAlignment="1">
      <alignment horizontal="center"/>
    </xf>
    <xf numFmtId="0" fontId="6" fillId="0" borderId="15" xfId="0" applyFont="1" applyBorder="1"/>
    <xf numFmtId="0" fontId="9" fillId="0" borderId="1" xfId="0" applyFont="1" applyBorder="1" applyAlignment="1">
      <alignment horizontal="center" wrapText="1"/>
    </xf>
    <xf numFmtId="0" fontId="20" fillId="24" borderId="3" xfId="0" applyFont="1" applyFill="1" applyBorder="1"/>
    <xf numFmtId="0" fontId="20" fillId="25" borderId="3" xfId="0" applyFont="1" applyFill="1" applyBorder="1"/>
    <xf numFmtId="0" fontId="20" fillId="26" borderId="3" xfId="0" applyFont="1" applyFill="1" applyBorder="1"/>
    <xf numFmtId="0" fontId="8" fillId="0" borderId="2" xfId="0" applyFont="1" applyBorder="1" applyAlignment="1">
      <alignment horizontal="left"/>
    </xf>
    <xf numFmtId="0" fontId="8" fillId="0" borderId="2" xfId="0" applyFont="1" applyBorder="1"/>
    <xf numFmtId="0" fontId="35" fillId="5" borderId="10" xfId="0" applyFont="1" applyFill="1" applyBorder="1" applyAlignment="1">
      <alignment horizontal="left" vertical="center" wrapText="1"/>
    </xf>
    <xf numFmtId="0" fontId="36" fillId="18" borderId="10" xfId="0" applyFont="1" applyFill="1" applyBorder="1" applyAlignment="1">
      <alignment horizontal="left" vertical="center" wrapText="1"/>
    </xf>
    <xf numFmtId="0" fontId="38" fillId="17" borderId="10" xfId="0" applyFont="1" applyFill="1" applyBorder="1" applyAlignment="1">
      <alignment horizontal="left" vertical="center" wrapText="1"/>
    </xf>
    <xf numFmtId="0" fontId="19" fillId="18" borderId="10" xfId="0" applyFont="1" applyFill="1" applyBorder="1" applyAlignment="1">
      <alignment horizontal="center" vertical="center" wrapText="1"/>
    </xf>
    <xf numFmtId="0" fontId="19" fillId="17" borderId="10" xfId="0" applyFont="1" applyFill="1" applyBorder="1" applyAlignment="1">
      <alignment horizontal="center" vertical="center" wrapText="1"/>
    </xf>
    <xf numFmtId="0" fontId="38" fillId="28" borderId="10" xfId="0" applyFont="1" applyFill="1" applyBorder="1" applyAlignment="1">
      <alignment horizontal="left" vertical="center" wrapText="1"/>
    </xf>
    <xf numFmtId="0" fontId="38" fillId="29" borderId="10" xfId="0" applyFont="1" applyFill="1" applyBorder="1" applyAlignment="1">
      <alignment horizontal="left" vertical="center" wrapText="1"/>
    </xf>
    <xf numFmtId="0" fontId="19" fillId="29" borderId="10" xfId="0" applyFont="1" applyFill="1" applyBorder="1" applyAlignment="1">
      <alignment horizontal="center" vertical="center" wrapText="1"/>
    </xf>
    <xf numFmtId="0" fontId="33" fillId="16" borderId="10" xfId="0" applyFont="1" applyFill="1" applyBorder="1" applyAlignment="1">
      <alignment horizontal="center" vertical="center" wrapText="1"/>
    </xf>
    <xf numFmtId="0" fontId="2" fillId="32" borderId="20" xfId="0" applyFont="1" applyFill="1" applyBorder="1" applyAlignment="1">
      <alignment horizontal="center" vertical="center" wrapText="1"/>
    </xf>
    <xf numFmtId="0" fontId="2" fillId="32" borderId="19" xfId="0" applyFont="1" applyFill="1" applyBorder="1" applyAlignment="1">
      <alignment horizontal="center" vertical="center" wrapText="1"/>
    </xf>
    <xf numFmtId="0" fontId="0" fillId="0" borderId="18" xfId="0" applyBorder="1"/>
    <xf numFmtId="0" fontId="0" fillId="0" borderId="16" xfId="0" applyBorder="1"/>
    <xf numFmtId="0" fontId="0" fillId="0" borderId="17" xfId="0" applyBorder="1"/>
    <xf numFmtId="0" fontId="0" fillId="32" borderId="10" xfId="0" applyFill="1" applyBorder="1"/>
    <xf numFmtId="0" fontId="2" fillId="32" borderId="20" xfId="0" applyFont="1" applyFill="1" applyBorder="1" applyAlignment="1">
      <alignment horizontal="center"/>
    </xf>
    <xf numFmtId="0" fontId="0" fillId="32" borderId="0" xfId="0" applyFill="1" applyBorder="1" applyAlignment="1">
      <alignment vertical="center"/>
    </xf>
    <xf numFmtId="0" fontId="0" fillId="32" borderId="10" xfId="0" applyFill="1" applyBorder="1" applyAlignment="1">
      <alignment vertical="center"/>
    </xf>
    <xf numFmtId="0" fontId="4" fillId="4" borderId="0" xfId="0" applyFont="1" applyFill="1" applyBorder="1"/>
    <xf numFmtId="0" fontId="0" fillId="0" borderId="0" xfId="0" applyBorder="1" applyAlignment="1">
      <alignment wrapText="1"/>
    </xf>
    <xf numFmtId="0" fontId="2" fillId="36" borderId="0" xfId="0" applyFont="1" applyFill="1" applyBorder="1" applyAlignment="1">
      <alignment horizontal="center" vertical="center" wrapText="1"/>
    </xf>
    <xf numFmtId="187" fontId="48" fillId="18" borderId="10" xfId="0" applyNumberFormat="1" applyFont="1" applyFill="1" applyBorder="1" applyAlignment="1">
      <alignment horizontal="center" vertical="center" wrapText="1"/>
    </xf>
    <xf numFmtId="0" fontId="47" fillId="5" borderId="13" xfId="0" applyFont="1" applyFill="1" applyBorder="1" applyAlignment="1">
      <alignment horizontal="left" vertical="center" wrapText="1"/>
    </xf>
    <xf numFmtId="186" fontId="48" fillId="17" borderId="10" xfId="0" applyNumberFormat="1" applyFont="1" applyFill="1" applyBorder="1" applyAlignment="1">
      <alignment horizontal="center" vertical="center" wrapText="1"/>
    </xf>
    <xf numFmtId="0" fontId="48" fillId="18" borderId="13" xfId="0" applyFont="1" applyFill="1" applyBorder="1" applyAlignment="1">
      <alignment horizontal="center" vertical="center" wrapText="1"/>
    </xf>
    <xf numFmtId="0" fontId="49" fillId="15" borderId="11" xfId="0" applyFont="1" applyFill="1" applyBorder="1" applyAlignment="1">
      <alignment horizontal="left" vertical="center" wrapText="1"/>
    </xf>
    <xf numFmtId="186" fontId="49" fillId="15" borderId="10" xfId="0" applyNumberFormat="1" applyFont="1" applyFill="1" applyBorder="1" applyAlignment="1">
      <alignment horizontal="center" vertical="center" wrapText="1"/>
    </xf>
    <xf numFmtId="0" fontId="4" fillId="2" borderId="0" xfId="0" applyFont="1" applyFill="1" applyBorder="1" applyAlignment="1">
      <alignment wrapText="1"/>
    </xf>
    <xf numFmtId="0" fontId="10" fillId="0" borderId="0" xfId="0" applyFont="1" applyBorder="1" applyAlignment="1">
      <alignment horizontal="left" wrapText="1"/>
    </xf>
    <xf numFmtId="0" fontId="5" fillId="3" borderId="0" xfId="0" applyFont="1" applyFill="1" applyBorder="1" applyAlignment="1">
      <alignment horizontal="left" wrapText="1"/>
    </xf>
    <xf numFmtId="0" fontId="8" fillId="0" borderId="0" xfId="0" applyFont="1" applyBorder="1" applyAlignment="1">
      <alignment horizontal="left" wrapText="1"/>
    </xf>
    <xf numFmtId="0" fontId="5" fillId="3" borderId="0" xfId="0" applyFont="1" applyFill="1" applyBorder="1" applyAlignment="1">
      <alignment wrapText="1"/>
    </xf>
    <xf numFmtId="0" fontId="5" fillId="0" borderId="0" xfId="0" applyFont="1" applyBorder="1" applyAlignment="1">
      <alignment horizontal="left" wrapText="1"/>
    </xf>
    <xf numFmtId="0" fontId="0" fillId="0" borderId="0" xfId="0" applyBorder="1" applyAlignment="1">
      <alignment horizontal="left" vertical="top" wrapText="1"/>
    </xf>
    <xf numFmtId="0" fontId="0" fillId="0" borderId="42" xfId="0" applyBorder="1" applyAlignment="1">
      <alignment horizontal="left" vertical="top" wrapText="1"/>
    </xf>
    <xf numFmtId="0" fontId="44" fillId="36" borderId="21" xfId="0" applyFont="1" applyFill="1"/>
    <xf numFmtId="0" fontId="50" fillId="0" borderId="21" xfId="0" applyFont="1" applyAlignment="1">
      <alignment horizontal="left" vertical="top" wrapText="1"/>
    </xf>
    <xf numFmtId="0" fontId="50" fillId="0" borderId="21" xfId="0" applyFont="1" applyAlignment="1">
      <alignment wrapText="1"/>
    </xf>
    <xf numFmtId="0" fontId="1" fillId="0" borderId="21" xfId="0" applyFont="1"/>
    <xf numFmtId="0" fontId="0" fillId="37" borderId="42" xfId="0" applyFill="1" applyBorder="1" applyAlignment="1">
      <alignment horizontal="left" vertical="top" wrapText="1"/>
    </xf>
    <xf numFmtId="0" fontId="51" fillId="0" borderId="42" xfId="0" applyFont="1" applyBorder="1" applyAlignment="1">
      <alignment vertical="top" wrapText="1"/>
    </xf>
    <xf numFmtId="0" fontId="0" fillId="0" borderId="42" xfId="0" applyBorder="1" applyAlignment="1">
      <alignment vertical="top" wrapText="1"/>
    </xf>
    <xf numFmtId="0" fontId="0" fillId="0" borderId="0" xfId="0" applyBorder="1" applyAlignment="1">
      <alignment vertical="top" wrapText="1"/>
    </xf>
    <xf numFmtId="0" fontId="50" fillId="39" borderId="0" xfId="0" applyFont="1" applyFill="1" applyBorder="1" applyAlignment="1">
      <alignment wrapText="1"/>
    </xf>
    <xf numFmtId="0" fontId="2" fillId="38" borderId="0" xfId="0" applyFont="1" applyFill="1" applyBorder="1" applyAlignment="1">
      <alignment wrapText="1"/>
    </xf>
    <xf numFmtId="0" fontId="2" fillId="38" borderId="0" xfId="0" applyFont="1" applyFill="1" applyBorder="1" applyAlignment="1">
      <alignment horizontal="center" wrapText="1"/>
    </xf>
    <xf numFmtId="0" fontId="19" fillId="40" borderId="0" xfId="0" applyFont="1" applyFill="1" applyBorder="1" applyAlignment="1">
      <alignment wrapText="1"/>
    </xf>
    <xf numFmtId="0" fontId="52" fillId="38" borderId="0" xfId="0" applyFont="1" applyFill="1" applyBorder="1" applyAlignment="1">
      <alignment wrapText="1"/>
    </xf>
    <xf numFmtId="0" fontId="4" fillId="41" borderId="0" xfId="0" applyFont="1" applyFill="1" applyBorder="1" applyAlignment="1">
      <alignment wrapText="1"/>
    </xf>
    <xf numFmtId="0" fontId="5" fillId="41" borderId="0" xfId="0" applyFont="1" applyFill="1" applyBorder="1" applyAlignment="1">
      <alignment horizontal="left" wrapText="1"/>
    </xf>
    <xf numFmtId="0" fontId="53" fillId="41" borderId="0" xfId="0" applyFont="1" applyFill="1" applyBorder="1" applyAlignment="1">
      <alignment horizontal="left" wrapText="1"/>
    </xf>
    <xf numFmtId="0" fontId="0" fillId="39" borderId="0" xfId="0" applyFill="1" applyBorder="1" applyAlignment="1">
      <alignment vertical="top" wrapText="1"/>
    </xf>
    <xf numFmtId="0" fontId="19" fillId="40" borderId="0" xfId="0" applyFont="1" applyFill="1" applyBorder="1" applyAlignment="1">
      <alignment vertical="top" wrapText="1"/>
    </xf>
    <xf numFmtId="0" fontId="52" fillId="38" borderId="0" xfId="0" applyFont="1" applyFill="1" applyBorder="1" applyAlignment="1">
      <alignment horizontal="left" wrapText="1"/>
    </xf>
    <xf numFmtId="0" fontId="54" fillId="42" borderId="0" xfId="0" applyFont="1" applyFill="1" applyBorder="1" applyAlignment="1">
      <alignment vertical="top" wrapText="1"/>
    </xf>
    <xf numFmtId="0" fontId="54" fillId="42" borderId="0" xfId="0" applyFont="1" applyFill="1" applyBorder="1" applyAlignment="1">
      <alignment horizontal="center" vertical="center"/>
    </xf>
    <xf numFmtId="0" fontId="56" fillId="0" borderId="21" xfId="0" applyFont="1"/>
    <xf numFmtId="0" fontId="59" fillId="45" borderId="43" xfId="0" applyFont="1" applyFill="1" applyBorder="1" applyAlignment="1">
      <alignment horizontal="left" vertical="center" wrapText="1"/>
    </xf>
    <xf numFmtId="0" fontId="59" fillId="43" borderId="43" xfId="0" applyFont="1" applyFill="1" applyBorder="1" applyAlignment="1">
      <alignment horizontal="center" vertical="center" wrapText="1"/>
    </xf>
    <xf numFmtId="0" fontId="56" fillId="46" borderId="43" xfId="0" applyFont="1" applyFill="1" applyBorder="1" applyAlignment="1">
      <alignment horizontal="left" vertical="top" wrapText="1"/>
    </xf>
    <xf numFmtId="0" fontId="56" fillId="0" borderId="43" xfId="0" applyFont="1" applyBorder="1" applyAlignment="1">
      <alignment horizontal="left" vertical="top" wrapText="1"/>
    </xf>
    <xf numFmtId="0" fontId="56" fillId="47" borderId="43" xfId="0" applyFont="1" applyFill="1" applyBorder="1" applyAlignment="1">
      <alignment horizontal="left" vertical="top" wrapText="1"/>
    </xf>
    <xf numFmtId="0" fontId="56" fillId="44" borderId="43" xfId="0" applyFont="1" applyFill="1" applyBorder="1" applyAlignment="1">
      <alignment horizontal="left" vertical="top" wrapText="1"/>
    </xf>
    <xf numFmtId="0" fontId="0" fillId="0" borderId="43" xfId="0" applyBorder="1" applyAlignment="1">
      <alignment horizontal="left" vertical="top" wrapText="1"/>
    </xf>
    <xf numFmtId="0" fontId="0" fillId="0" borderId="43" xfId="0" applyBorder="1" applyAlignment="1">
      <alignment vertical="top" wrapText="1"/>
    </xf>
    <xf numFmtId="0" fontId="59" fillId="0" borderId="43" xfId="0" applyFont="1" applyBorder="1" applyAlignment="1">
      <alignment vertical="top" wrapText="1"/>
    </xf>
    <xf numFmtId="0" fontId="54" fillId="50" borderId="44" xfId="0" applyFont="1" applyFill="1" applyBorder="1" applyAlignment="1">
      <alignment horizontal="center" vertical="center" wrapText="1"/>
    </xf>
    <xf numFmtId="3" fontId="54" fillId="50" borderId="44" xfId="0" applyNumberFormat="1" applyFont="1" applyFill="1" applyBorder="1" applyAlignment="1">
      <alignment horizontal="center" vertical="center" wrapText="1"/>
    </xf>
    <xf numFmtId="0" fontId="61" fillId="46" borderId="43" xfId="0" applyFont="1" applyFill="1" applyBorder="1" applyAlignment="1">
      <alignment horizontal="center" vertical="center" wrapText="1"/>
    </xf>
    <xf numFmtId="168" fontId="61" fillId="46" borderId="43" xfId="0" applyNumberFormat="1" applyFont="1" applyFill="1" applyBorder="1" applyAlignment="1">
      <alignment horizontal="center" vertical="center" wrapText="1"/>
    </xf>
    <xf numFmtId="0" fontId="62" fillId="43" borderId="43" xfId="0" applyFont="1" applyFill="1" applyBorder="1" applyAlignment="1">
      <alignment horizontal="center" vertical="center" wrapText="1"/>
    </xf>
    <xf numFmtId="187" fontId="63" fillId="0" borderId="43" xfId="0" applyNumberFormat="1" applyFont="1" applyBorder="1" applyAlignment="1">
      <alignment horizontal="left" vertical="top" wrapText="1"/>
    </xf>
    <xf numFmtId="3" fontId="63" fillId="0" borderId="43" xfId="0" applyNumberFormat="1" applyFont="1" applyBorder="1" applyAlignment="1">
      <alignment horizontal="left" vertical="top" wrapText="1"/>
    </xf>
    <xf numFmtId="0" fontId="63" fillId="0" borderId="43" xfId="0" applyFont="1" applyBorder="1" applyAlignment="1">
      <alignment horizontal="left" vertical="top" wrapText="1"/>
    </xf>
    <xf numFmtId="0" fontId="62" fillId="0" borderId="43" xfId="0" applyFont="1" applyBorder="1" applyAlignment="1">
      <alignment horizontal="left" vertical="top" wrapText="1"/>
    </xf>
    <xf numFmtId="0" fontId="85" fillId="52" borderId="0" xfId="0" applyFont="1" applyFill="1" applyBorder="1"/>
    <xf numFmtId="0" fontId="86" fillId="52" borderId="0" xfId="0" applyFont="1" applyFill="1" applyBorder="1" applyAlignment="1">
      <alignment vertical="center"/>
    </xf>
    <xf numFmtId="174" fontId="64" fillId="17" borderId="0" xfId="0" applyNumberFormat="1" applyFont="1" applyFill="1" applyBorder="1" applyAlignment="1">
      <alignment horizontal="center" vertical="center"/>
    </xf>
    <xf numFmtId="174" fontId="64" fillId="19" borderId="0" xfId="0" applyNumberFormat="1" applyFont="1" applyFill="1" applyBorder="1" applyAlignment="1">
      <alignment horizontal="center" vertical="center"/>
    </xf>
    <xf numFmtId="174" fontId="64" fillId="21" borderId="0" xfId="0" applyNumberFormat="1" applyFont="1" applyFill="1" applyBorder="1" applyAlignment="1">
      <alignment horizontal="center" vertical="center"/>
    </xf>
    <xf numFmtId="175" fontId="64" fillId="23" borderId="0" xfId="0" applyNumberFormat="1" applyFont="1" applyFill="1" applyBorder="1" applyAlignment="1">
      <alignment horizontal="center" vertical="center"/>
    </xf>
    <xf numFmtId="0" fontId="65" fillId="5" borderId="10" xfId="0" applyFont="1" applyFill="1" applyBorder="1" applyAlignment="1">
      <alignment horizontal="left" vertical="center" wrapText="1"/>
    </xf>
    <xf numFmtId="0" fontId="66" fillId="5" borderId="10" xfId="0" applyFont="1" applyFill="1" applyBorder="1" applyAlignment="1">
      <alignment horizontal="left" vertical="center" wrapText="1"/>
    </xf>
    <xf numFmtId="186" fontId="66" fillId="5" borderId="10" xfId="0" applyNumberFormat="1" applyFont="1" applyFill="1" applyBorder="1" applyAlignment="1">
      <alignment horizontal="center" vertical="center" wrapText="1"/>
    </xf>
    <xf numFmtId="187" fontId="67" fillId="18" borderId="10" xfId="0" applyNumberFormat="1" applyFont="1" applyFill="1" applyBorder="1" applyAlignment="1">
      <alignment horizontal="center" vertical="center" wrapText="1"/>
    </xf>
    <xf numFmtId="0" fontId="67" fillId="18" borderId="10" xfId="0" applyFont="1" applyFill="1" applyBorder="1" applyAlignment="1">
      <alignment horizontal="center" vertical="center" wrapText="1"/>
    </xf>
    <xf numFmtId="0" fontId="68" fillId="19" borderId="10" xfId="0" applyFont="1" applyFill="1" applyBorder="1" applyAlignment="1">
      <alignment horizontal="left" vertical="center" wrapText="1"/>
    </xf>
    <xf numFmtId="0" fontId="68" fillId="22" borderId="10" xfId="0" applyFont="1" applyFill="1" applyBorder="1" applyAlignment="1">
      <alignment horizontal="left" vertical="center" wrapText="1"/>
    </xf>
    <xf numFmtId="0" fontId="68" fillId="17" borderId="10" xfId="0" applyFont="1" applyFill="1" applyBorder="1" applyAlignment="1">
      <alignment horizontal="left" vertical="center" wrapText="1"/>
    </xf>
    <xf numFmtId="187" fontId="65" fillId="15" borderId="10" xfId="0" applyNumberFormat="1" applyFont="1" applyFill="1" applyBorder="1" applyAlignment="1">
      <alignment horizontal="center" vertical="center" wrapText="1"/>
    </xf>
    <xf numFmtId="1" fontId="54" fillId="50" borderId="44" xfId="0" applyNumberFormat="1" applyFont="1" applyFill="1" applyBorder="1" applyAlignment="1">
      <alignment horizontal="center" vertical="center" wrapText="1"/>
    </xf>
    <xf numFmtId="185" fontId="54" fillId="50" borderId="44" xfId="0" applyNumberFormat="1" applyFont="1" applyFill="1" applyBorder="1" applyAlignment="1">
      <alignment horizontal="center" vertical="center" wrapText="1"/>
    </xf>
    <xf numFmtId="172" fontId="54" fillId="50" borderId="44" xfId="0" applyNumberFormat="1" applyFont="1" applyFill="1" applyBorder="1" applyAlignment="1">
      <alignment horizontal="center" vertical="center" wrapText="1"/>
    </xf>
    <xf numFmtId="1" fontId="70" fillId="32" borderId="10" xfId="0" applyNumberFormat="1" applyFont="1" applyFill="1" applyBorder="1" applyAlignment="1">
      <alignment horizontal="center" vertical="center"/>
    </xf>
    <xf numFmtId="0" fontId="69" fillId="35" borderId="12" xfId="0" applyFont="1" applyFill="1" applyBorder="1" applyAlignment="1">
      <alignment horizontal="left" vertical="center"/>
    </xf>
    <xf numFmtId="0" fontId="69" fillId="35" borderId="10" xfId="0" applyFont="1" applyFill="1" applyBorder="1" applyAlignment="1">
      <alignment horizontal="center" vertical="center"/>
    </xf>
    <xf numFmtId="165" fontId="71" fillId="33" borderId="10" xfId="0" applyNumberFormat="1" applyFont="1" applyFill="1" applyBorder="1" applyAlignment="1">
      <alignment horizontal="center" vertical="center"/>
    </xf>
    <xf numFmtId="165" fontId="71" fillId="34" borderId="10" xfId="0" applyNumberFormat="1" applyFont="1" applyFill="1" applyBorder="1" applyAlignment="1">
      <alignment horizontal="center" vertical="center"/>
    </xf>
    <xf numFmtId="183" fontId="71" fillId="34" borderId="10" xfId="0" applyNumberFormat="1" applyFont="1" applyFill="1" applyBorder="1" applyAlignment="1">
      <alignment horizontal="center" vertical="center"/>
    </xf>
    <xf numFmtId="165" fontId="72" fillId="32" borderId="10" xfId="0" applyNumberFormat="1" applyFont="1" applyFill="1" applyBorder="1" applyAlignment="1">
      <alignment horizontal="center" vertical="center"/>
    </xf>
    <xf numFmtId="165" fontId="70" fillId="32" borderId="0" xfId="0" applyNumberFormat="1" applyFont="1" applyFill="1" applyBorder="1" applyAlignment="1">
      <alignment horizontal="center" vertical="center"/>
    </xf>
    <xf numFmtId="9" fontId="70" fillId="32" borderId="0" xfId="1" applyFont="1" applyFill="1" applyBorder="1" applyAlignment="1">
      <alignment horizontal="center" vertical="center"/>
    </xf>
    <xf numFmtId="0" fontId="69" fillId="35" borderId="10" xfId="0" applyFont="1" applyFill="1" applyBorder="1" applyAlignment="1">
      <alignment horizontal="left" vertical="center"/>
    </xf>
    <xf numFmtId="0" fontId="63" fillId="33" borderId="10" xfId="0" applyFont="1" applyFill="1" applyBorder="1" applyAlignment="1">
      <alignment horizontal="center" vertical="center"/>
    </xf>
    <xf numFmtId="1" fontId="63" fillId="34" borderId="10" xfId="0" applyNumberFormat="1" applyFont="1" applyFill="1" applyBorder="1" applyAlignment="1">
      <alignment horizontal="center" vertical="center"/>
    </xf>
    <xf numFmtId="165" fontId="63" fillId="33" borderId="10" xfId="0" applyNumberFormat="1" applyFont="1" applyFill="1" applyBorder="1" applyAlignment="1">
      <alignment horizontal="center" vertical="center"/>
    </xf>
    <xf numFmtId="172" fontId="63" fillId="34" borderId="20" xfId="0" applyNumberFormat="1" applyFont="1" applyFill="1" applyBorder="1" applyAlignment="1">
      <alignment horizontal="center"/>
    </xf>
    <xf numFmtId="172" fontId="73" fillId="32" borderId="10" xfId="0" applyNumberFormat="1" applyFont="1" applyFill="1" applyBorder="1" applyAlignment="1">
      <alignment horizontal="center" vertical="center"/>
    </xf>
    <xf numFmtId="165" fontId="63" fillId="34" borderId="10" xfId="0" applyNumberFormat="1" applyFont="1" applyFill="1" applyBorder="1" applyAlignment="1">
      <alignment horizontal="center" vertical="center"/>
    </xf>
    <xf numFmtId="0" fontId="63" fillId="34" borderId="10" xfId="0" applyFont="1" applyFill="1" applyBorder="1" applyAlignment="1">
      <alignment horizontal="center" vertical="center"/>
    </xf>
    <xf numFmtId="165" fontId="73" fillId="32" borderId="10" xfId="0" applyNumberFormat="1" applyFont="1" applyFill="1" applyBorder="1" applyAlignment="1">
      <alignment horizontal="center" vertical="center"/>
    </xf>
    <xf numFmtId="0" fontId="73" fillId="32" borderId="10" xfId="0" applyFont="1" applyFill="1" applyBorder="1" applyAlignment="1">
      <alignment horizontal="center" vertical="center"/>
    </xf>
    <xf numFmtId="168" fontId="73" fillId="17" borderId="10" xfId="1" applyNumberFormat="1" applyFont="1" applyFill="1" applyBorder="1" applyAlignment="1">
      <alignment horizontal="center" vertical="center" wrapText="1"/>
    </xf>
    <xf numFmtId="168" fontId="73" fillId="18" borderId="10" xfId="0" applyNumberFormat="1" applyFont="1" applyFill="1" applyBorder="1" applyAlignment="1">
      <alignment horizontal="center" vertical="center" wrapText="1"/>
    </xf>
    <xf numFmtId="172" fontId="73" fillId="17" borderId="10" xfId="1" applyNumberFormat="1" applyFont="1" applyFill="1" applyBorder="1" applyAlignment="1">
      <alignment horizontal="center" vertical="center" wrapText="1"/>
    </xf>
    <xf numFmtId="181" fontId="73" fillId="18" borderId="10" xfId="0" applyNumberFormat="1" applyFont="1" applyFill="1" applyBorder="1" applyAlignment="1">
      <alignment horizontal="center" vertical="center" wrapText="1"/>
    </xf>
    <xf numFmtId="175" fontId="73" fillId="17" borderId="10" xfId="1" applyNumberFormat="1" applyFont="1" applyFill="1" applyBorder="1" applyAlignment="1">
      <alignment horizontal="center" vertical="center" wrapText="1"/>
    </xf>
    <xf numFmtId="175" fontId="73" fillId="18" borderId="10" xfId="0" applyNumberFormat="1" applyFont="1" applyFill="1" applyBorder="1" applyAlignment="1">
      <alignment horizontal="center" vertical="center" wrapText="1"/>
    </xf>
    <xf numFmtId="182" fontId="73" fillId="17" borderId="10" xfId="1" applyNumberFormat="1" applyFont="1" applyFill="1" applyBorder="1" applyAlignment="1">
      <alignment horizontal="center" vertical="center" wrapText="1"/>
    </xf>
    <xf numFmtId="182" fontId="73" fillId="18" borderId="10" xfId="0" applyNumberFormat="1" applyFont="1" applyFill="1" applyBorder="1" applyAlignment="1">
      <alignment horizontal="center" vertical="center" wrapText="1"/>
    </xf>
    <xf numFmtId="10" fontId="73" fillId="18" borderId="10" xfId="0" applyNumberFormat="1" applyFont="1" applyFill="1" applyBorder="1" applyAlignment="1">
      <alignment horizontal="center" vertical="center" wrapText="1"/>
    </xf>
    <xf numFmtId="172" fontId="73" fillId="18" borderId="10" xfId="0" applyNumberFormat="1" applyFont="1" applyFill="1" applyBorder="1" applyAlignment="1">
      <alignment horizontal="center" vertical="center" wrapText="1"/>
    </xf>
    <xf numFmtId="0" fontId="73" fillId="18" borderId="10" xfId="0" applyFont="1" applyFill="1" applyBorder="1" applyAlignment="1">
      <alignment horizontal="center" vertical="center" wrapText="1"/>
    </xf>
    <xf numFmtId="0" fontId="78" fillId="52" borderId="0" xfId="0" applyFont="1" applyFill="1" applyBorder="1" applyAlignment="1">
      <alignment vertical="center"/>
    </xf>
    <xf numFmtId="0" fontId="73" fillId="2" borderId="0" xfId="0" applyFont="1" applyFill="1" applyBorder="1" applyAlignment="1">
      <alignment horizontal="center"/>
    </xf>
    <xf numFmtId="0" fontId="79" fillId="52" borderId="0" xfId="0" applyFont="1" applyFill="1" applyBorder="1"/>
    <xf numFmtId="9" fontId="70" fillId="0" borderId="0" xfId="1" applyFont="1" applyBorder="1"/>
    <xf numFmtId="0" fontId="71" fillId="0" borderId="0" xfId="0" applyFont="1" applyBorder="1" applyAlignment="1">
      <alignment horizontal="left"/>
    </xf>
    <xf numFmtId="0" fontId="70" fillId="0" borderId="0" xfId="0" applyFont="1" applyBorder="1"/>
    <xf numFmtId="0" fontId="82" fillId="52" borderId="0" xfId="0" applyFont="1" applyFill="1" applyBorder="1" applyAlignment="1">
      <alignment horizontal="left"/>
    </xf>
    <xf numFmtId="0" fontId="64" fillId="0" borderId="0" xfId="0" applyFont="1" applyBorder="1" applyAlignment="1">
      <alignment horizontal="center"/>
    </xf>
    <xf numFmtId="0" fontId="70" fillId="2" borderId="0" xfId="0" applyFont="1" applyFill="1" applyBorder="1"/>
    <xf numFmtId="164" fontId="71" fillId="5" borderId="0" xfId="0" applyNumberFormat="1" applyFont="1" applyFill="1" applyBorder="1"/>
    <xf numFmtId="164" fontId="71" fillId="5" borderId="1" xfId="0" applyNumberFormat="1" applyFont="1" applyFill="1" applyBorder="1"/>
    <xf numFmtId="164" fontId="71" fillId="0" borderId="0" xfId="0" applyNumberFormat="1" applyFont="1" applyBorder="1"/>
    <xf numFmtId="164" fontId="70" fillId="0" borderId="0" xfId="0" applyNumberFormat="1" applyFont="1" applyBorder="1"/>
    <xf numFmtId="164" fontId="70" fillId="3" borderId="0" xfId="0" applyNumberFormat="1" applyFont="1" applyFill="1" applyBorder="1"/>
    <xf numFmtId="0" fontId="70" fillId="2" borderId="0" xfId="0" applyFont="1" applyFill="1" applyBorder="1" applyAlignment="1">
      <alignment horizontal="center"/>
    </xf>
    <xf numFmtId="0" fontId="70" fillId="2" borderId="0" xfId="0" applyFont="1" applyFill="1" applyBorder="1" applyAlignment="1">
      <alignment horizontal="right"/>
    </xf>
    <xf numFmtId="167" fontId="71" fillId="3" borderId="0" xfId="0" applyNumberFormat="1" applyFont="1" applyFill="1" applyBorder="1"/>
    <xf numFmtId="164" fontId="71" fillId="6" borderId="0" xfId="0" applyNumberFormat="1" applyFont="1" applyFill="1" applyBorder="1"/>
    <xf numFmtId="164" fontId="71" fillId="3" borderId="0" xfId="0" applyNumberFormat="1" applyFont="1" applyFill="1" applyBorder="1"/>
    <xf numFmtId="0" fontId="70" fillId="2" borderId="0" xfId="0" applyFont="1" applyFill="1" applyBorder="1" applyAlignment="1">
      <alignment horizontal="center" wrapText="1"/>
    </xf>
    <xf numFmtId="0" fontId="70" fillId="2" borderId="0" xfId="0" applyFont="1" applyFill="1" applyBorder="1" applyAlignment="1">
      <alignment horizontal="right" wrapText="1"/>
    </xf>
    <xf numFmtId="164" fontId="71" fillId="0" borderId="1" xfId="0" applyNumberFormat="1" applyFont="1" applyBorder="1"/>
    <xf numFmtId="164" fontId="64" fillId="0" borderId="0" xfId="0" applyNumberFormat="1" applyFont="1" applyBorder="1"/>
    <xf numFmtId="0" fontId="70" fillId="2" borderId="0" xfId="0" applyFont="1" applyFill="1" applyBorder="1" applyAlignment="1">
      <alignment wrapText="1"/>
    </xf>
    <xf numFmtId="168" fontId="64" fillId="0" borderId="0" xfId="1" applyNumberFormat="1" applyFont="1" applyBorder="1"/>
    <xf numFmtId="168" fontId="70" fillId="0" borderId="0" xfId="1" applyNumberFormat="1" applyFont="1" applyBorder="1"/>
    <xf numFmtId="0" fontId="79" fillId="52" borderId="0" xfId="0" applyFont="1" applyFill="1" applyBorder="1" applyAlignment="1">
      <alignment horizontal="left"/>
    </xf>
    <xf numFmtId="0" fontId="80" fillId="52" borderId="0" xfId="0" applyFont="1" applyFill="1" applyBorder="1"/>
    <xf numFmtId="0" fontId="79" fillId="52" borderId="3" xfId="0" applyFont="1" applyFill="1" applyBorder="1" applyAlignment="1">
      <alignment horizontal="left" wrapText="1"/>
    </xf>
    <xf numFmtId="184" fontId="71" fillId="0" borderId="0" xfId="0" applyNumberFormat="1" applyFont="1" applyBorder="1" applyAlignment="1">
      <alignment horizontal="center"/>
    </xf>
    <xf numFmtId="0" fontId="79" fillId="52" borderId="2" xfId="0" applyFont="1" applyFill="1" applyBorder="1" applyAlignment="1">
      <alignment horizontal="left"/>
    </xf>
    <xf numFmtId="0" fontId="79" fillId="52" borderId="2" xfId="0" applyFont="1" applyFill="1" applyBorder="1" applyAlignment="1">
      <alignment horizontal="center" wrapText="1"/>
    </xf>
    <xf numFmtId="0" fontId="79" fillId="52" borderId="3" xfId="0" applyFont="1" applyFill="1" applyBorder="1" applyAlignment="1">
      <alignment horizontal="center" wrapText="1"/>
    </xf>
    <xf numFmtId="0" fontId="79" fillId="52" borderId="8" xfId="0" applyFont="1" applyFill="1" applyBorder="1" applyAlignment="1">
      <alignment horizontal="center" wrapText="1"/>
    </xf>
    <xf numFmtId="0" fontId="79" fillId="52" borderId="9" xfId="0" applyFont="1" applyFill="1" applyBorder="1" applyAlignment="1">
      <alignment horizontal="center" wrapText="1"/>
    </xf>
    <xf numFmtId="0" fontId="71" fillId="9" borderId="0" xfId="0" applyFont="1" applyFill="1" applyBorder="1"/>
    <xf numFmtId="172" fontId="71" fillId="9" borderId="0" xfId="0" applyNumberFormat="1" applyFont="1" applyFill="1" applyBorder="1"/>
    <xf numFmtId="0" fontId="71" fillId="0" borderId="0" xfId="0" applyFont="1" applyBorder="1"/>
    <xf numFmtId="172" fontId="71" fillId="0" borderId="0" xfId="0" applyNumberFormat="1" applyFont="1" applyBorder="1"/>
    <xf numFmtId="9" fontId="71" fillId="0" borderId="5" xfId="0" applyNumberFormat="1" applyFont="1" applyBorder="1"/>
    <xf numFmtId="180" fontId="71" fillId="0" borderId="5" xfId="0" applyNumberFormat="1" applyFont="1" applyBorder="1"/>
    <xf numFmtId="10" fontId="71" fillId="0" borderId="5" xfId="0" applyNumberFormat="1" applyFont="1" applyBorder="1"/>
    <xf numFmtId="1" fontId="71" fillId="0" borderId="7" xfId="0" applyNumberFormat="1" applyFont="1" applyBorder="1"/>
    <xf numFmtId="0" fontId="71" fillId="0" borderId="5" xfId="0" applyFont="1" applyBorder="1"/>
    <xf numFmtId="10" fontId="71" fillId="0" borderId="0" xfId="1" applyNumberFormat="1" applyFont="1" applyBorder="1"/>
    <xf numFmtId="3" fontId="71" fillId="0" borderId="0" xfId="0" applyNumberFormat="1" applyFont="1" applyBorder="1"/>
    <xf numFmtId="9" fontId="71" fillId="0" borderId="0" xfId="1" applyFont="1" applyBorder="1" applyAlignment="1">
      <alignment horizontal="right"/>
    </xf>
    <xf numFmtId="0" fontId="70" fillId="14" borderId="3" xfId="0" applyFont="1" applyFill="1" applyBorder="1"/>
    <xf numFmtId="0" fontId="70" fillId="24" borderId="3" xfId="0" applyFont="1" applyFill="1" applyBorder="1"/>
    <xf numFmtId="0" fontId="70" fillId="25" borderId="3" xfId="0" applyFont="1" applyFill="1" applyBorder="1"/>
    <xf numFmtId="0" fontId="70" fillId="26" borderId="3" xfId="0" applyFont="1" applyFill="1" applyBorder="1"/>
    <xf numFmtId="1" fontId="79" fillId="52" borderId="0" xfId="0" applyNumberFormat="1" applyFont="1" applyFill="1" applyBorder="1" applyAlignment="1">
      <alignment horizontal="center"/>
    </xf>
    <xf numFmtId="1" fontId="70" fillId="2" borderId="0" xfId="0" applyNumberFormat="1" applyFont="1" applyFill="1" applyBorder="1" applyAlignment="1">
      <alignment horizontal="center"/>
    </xf>
    <xf numFmtId="0" fontId="70" fillId="12" borderId="0" xfId="0" applyFont="1" applyFill="1" applyBorder="1"/>
    <xf numFmtId="173" fontId="71" fillId="0" borderId="0" xfId="0" applyNumberFormat="1" applyFont="1" applyBorder="1"/>
    <xf numFmtId="173" fontId="71" fillId="0" borderId="1" xfId="0" applyNumberFormat="1" applyFont="1" applyBorder="1"/>
    <xf numFmtId="169" fontId="71" fillId="0" borderId="0" xfId="0" applyNumberFormat="1" applyFont="1" applyBorder="1"/>
    <xf numFmtId="173" fontId="70" fillId="0" borderId="0" xfId="0" applyNumberFormat="1" applyFont="1" applyBorder="1"/>
    <xf numFmtId="0" fontId="79" fillId="52" borderId="0" xfId="0" applyFont="1" applyFill="1" applyBorder="1" applyAlignment="1">
      <alignment horizontal="right"/>
    </xf>
    <xf numFmtId="0" fontId="79" fillId="52" borderId="0" xfId="0" applyFont="1" applyFill="1" applyBorder="1" applyAlignment="1">
      <alignment horizontal="center"/>
    </xf>
    <xf numFmtId="1" fontId="71" fillId="3" borderId="0" xfId="0" applyNumberFormat="1" applyFont="1" applyFill="1" applyBorder="1" applyAlignment="1">
      <alignment horizontal="center"/>
    </xf>
    <xf numFmtId="9" fontId="71" fillId="3" borderId="0" xfId="1" applyFont="1" applyFill="1" applyBorder="1" applyAlignment="1">
      <alignment horizontal="center"/>
    </xf>
    <xf numFmtId="165" fontId="71" fillId="3" borderId="0" xfId="0" applyNumberFormat="1" applyFont="1" applyFill="1" applyBorder="1" applyAlignment="1">
      <alignment horizontal="center"/>
    </xf>
    <xf numFmtId="0" fontId="70" fillId="3" borderId="0" xfId="0" applyFont="1" applyFill="1" applyBorder="1" applyAlignment="1">
      <alignment horizontal="left"/>
    </xf>
    <xf numFmtId="168" fontId="71" fillId="3" borderId="0" xfId="0" applyNumberFormat="1" applyFont="1" applyFill="1" applyBorder="1" applyAlignment="1">
      <alignment horizontal="center"/>
    </xf>
    <xf numFmtId="178" fontId="71" fillId="3" borderId="0" xfId="0" applyNumberFormat="1" applyFont="1" applyFill="1" applyBorder="1" applyAlignment="1">
      <alignment horizontal="center"/>
    </xf>
    <xf numFmtId="179" fontId="71" fillId="3" borderId="0" xfId="0" applyNumberFormat="1" applyFont="1" applyFill="1" applyBorder="1" applyAlignment="1">
      <alignment horizontal="center"/>
    </xf>
    <xf numFmtId="0" fontId="71" fillId="3" borderId="0" xfId="0" applyFont="1" applyFill="1" applyBorder="1" applyAlignment="1">
      <alignment horizontal="center"/>
    </xf>
    <xf numFmtId="166" fontId="70" fillId="2" borderId="0" xfId="0" applyNumberFormat="1" applyFont="1" applyFill="1" applyBorder="1" applyAlignment="1">
      <alignment horizontal="right"/>
    </xf>
    <xf numFmtId="164" fontId="71" fillId="0" borderId="14" xfId="0" applyNumberFormat="1" applyFont="1" applyBorder="1"/>
    <xf numFmtId="168" fontId="64" fillId="0" borderId="2" xfId="1" applyNumberFormat="1" applyFont="1" applyBorder="1"/>
    <xf numFmtId="1" fontId="82" fillId="52" borderId="0" xfId="0" applyNumberFormat="1" applyFont="1" applyFill="1" applyBorder="1" applyAlignment="1">
      <alignment horizontal="center"/>
    </xf>
    <xf numFmtId="0" fontId="75" fillId="43" borderId="44" xfId="0" applyFont="1" applyFill="1" applyBorder="1" applyAlignment="1">
      <alignment vertical="top" wrapText="1"/>
    </xf>
    <xf numFmtId="0" fontId="63" fillId="0" borderId="0" xfId="0" applyFont="1" applyBorder="1" applyAlignment="1">
      <alignment vertical="center" wrapText="1"/>
    </xf>
    <xf numFmtId="0" fontId="63" fillId="0" borderId="0" xfId="0" applyFont="1" applyBorder="1"/>
    <xf numFmtId="1" fontId="76" fillId="43" borderId="44" xfId="0" applyNumberFormat="1" applyFont="1" applyFill="1" applyBorder="1" applyAlignment="1">
      <alignment vertical="top" wrapText="1"/>
    </xf>
    <xf numFmtId="0" fontId="63" fillId="0" borderId="0" xfId="0" applyFont="1" applyBorder="1" applyAlignment="1">
      <alignment vertical="top" wrapText="1"/>
    </xf>
    <xf numFmtId="0" fontId="77" fillId="44" borderId="0" xfId="0" applyFont="1" applyFill="1" applyBorder="1" applyAlignment="1">
      <alignment vertical="top" wrapText="1"/>
    </xf>
    <xf numFmtId="0" fontId="77" fillId="44" borderId="0" xfId="0" applyFont="1" applyFill="1" applyBorder="1"/>
    <xf numFmtId="0" fontId="63" fillId="0" borderId="43" xfId="0" applyFont="1" applyBorder="1" applyAlignment="1">
      <alignment vertical="top" wrapText="1"/>
    </xf>
    <xf numFmtId="0" fontId="77" fillId="44" borderId="43" xfId="0" applyFont="1" applyFill="1" applyBorder="1" applyAlignment="1">
      <alignment vertical="top" wrapText="1"/>
    </xf>
    <xf numFmtId="0" fontId="0" fillId="43" borderId="44" xfId="0" applyFill="1" applyBorder="1" applyAlignment="1">
      <alignment vertical="top" wrapText="1"/>
    </xf>
    <xf numFmtId="0" fontId="0" fillId="0" borderId="44" xfId="0" applyBorder="1" applyAlignment="1">
      <alignment vertical="top" wrapText="1"/>
    </xf>
    <xf numFmtId="0" fontId="54" fillId="53" borderId="0" xfId="0" applyFont="1" applyFill="1" applyBorder="1" applyAlignment="1">
      <alignment horizontal="center" wrapText="1"/>
    </xf>
    <xf numFmtId="0" fontId="74" fillId="43" borderId="44" xfId="0" applyFont="1" applyFill="1" applyBorder="1" applyAlignment="1">
      <alignment vertical="top" wrapText="1"/>
    </xf>
    <xf numFmtId="0" fontId="87" fillId="0" borderId="44" xfId="0" applyFont="1" applyBorder="1" applyAlignment="1">
      <alignment vertical="top" wrapText="1"/>
    </xf>
    <xf numFmtId="0" fontId="88" fillId="51" borderId="44" xfId="0" applyFont="1" applyFill="1" applyBorder="1" applyAlignment="1">
      <alignment vertical="top" wrapText="1"/>
    </xf>
    <xf numFmtId="0" fontId="55" fillId="44" borderId="44" xfId="0" applyFont="1" applyFill="1" applyBorder="1" applyAlignment="1">
      <alignment vertical="top" wrapText="1"/>
    </xf>
    <xf numFmtId="0" fontId="85" fillId="52" borderId="44" xfId="0" applyFont="1" applyFill="1" applyBorder="1" applyAlignment="1">
      <alignment vertical="top" wrapText="1"/>
    </xf>
    <xf numFmtId="0" fontId="89" fillId="47" borderId="44" xfId="0" applyFont="1" applyFill="1" applyBorder="1" applyAlignment="1">
      <alignment vertical="top" wrapText="1"/>
    </xf>
    <xf numFmtId="0" fontId="54" fillId="48" borderId="44" xfId="0" applyFont="1" applyFill="1" applyBorder="1" applyAlignment="1">
      <alignment horizontal="center" vertical="center" wrapText="1"/>
    </xf>
    <xf numFmtId="0" fontId="54" fillId="49" borderId="44" xfId="0" applyFont="1" applyFill="1" applyBorder="1" applyAlignment="1">
      <alignment horizontal="center" vertical="center" wrapText="1"/>
    </xf>
    <xf numFmtId="0" fontId="0" fillId="51" borderId="44" xfId="0" applyFill="1" applyBorder="1"/>
    <xf numFmtId="187" fontId="54" fillId="49" borderId="44" xfId="0" applyNumberFormat="1" applyFont="1" applyFill="1" applyBorder="1" applyAlignment="1">
      <alignment horizontal="center" vertical="center" wrapText="1"/>
    </xf>
    <xf numFmtId="175" fontId="54" fillId="49" borderId="44" xfId="0" applyNumberFormat="1" applyFont="1" applyFill="1" applyBorder="1" applyAlignment="1">
      <alignment horizontal="center" vertical="center" wrapText="1"/>
    </xf>
    <xf numFmtId="0" fontId="63" fillId="0" borderId="21" xfId="0" applyFont="1" applyAlignment="1">
      <alignment horizontal="left" vertical="top" wrapText="1"/>
    </xf>
    <xf numFmtId="0" fontId="77" fillId="44" borderId="21" xfId="0" applyFont="1" applyFill="1" applyAlignment="1">
      <alignment horizontal="left" vertical="top" wrapText="1"/>
    </xf>
    <xf numFmtId="187" fontId="63" fillId="0" borderId="21" xfId="0" applyNumberFormat="1" applyFont="1" applyAlignment="1">
      <alignment horizontal="left" vertical="top" wrapText="1"/>
    </xf>
    <xf numFmtId="175" fontId="63" fillId="0" borderId="21" xfId="0" applyNumberFormat="1" applyFont="1" applyAlignment="1">
      <alignment horizontal="left" vertical="top" wrapText="1"/>
    </xf>
    <xf numFmtId="0" fontId="77" fillId="44" borderId="42" xfId="0" applyFont="1" applyFill="1" applyBorder="1" applyAlignment="1">
      <alignment horizontal="left" vertical="top" wrapText="1"/>
    </xf>
    <xf numFmtId="0" fontId="77" fillId="44" borderId="0" xfId="0" applyFont="1" applyFill="1" applyBorder="1" applyAlignment="1">
      <alignment horizontal="left" vertical="top" wrapText="1"/>
    </xf>
    <xf numFmtId="0" fontId="63" fillId="0" borderId="0" xfId="0" applyFont="1" applyBorder="1" applyAlignment="1">
      <alignment horizontal="left" vertical="top" wrapText="1"/>
    </xf>
    <xf numFmtId="0" fontId="63" fillId="0" borderId="42" xfId="0" applyFont="1" applyBorder="1" applyAlignment="1">
      <alignment horizontal="left" vertical="top" wrapText="1"/>
    </xf>
    <xf numFmtId="0" fontId="63" fillId="39" borderId="0" xfId="0" applyFont="1" applyFill="1" applyBorder="1" applyAlignment="1">
      <alignment vertical="top" wrapText="1"/>
    </xf>
    <xf numFmtId="0" fontId="0" fillId="47" borderId="44" xfId="0" applyFill="1" applyBorder="1" applyAlignment="1">
      <alignment vertical="top" wrapText="1"/>
    </xf>
    <xf numFmtId="1" fontId="54" fillId="49" borderId="44" xfId="0" applyNumberFormat="1" applyFont="1" applyFill="1" applyBorder="1" applyAlignment="1">
      <alignment horizontal="center" vertical="center" wrapText="1"/>
    </xf>
    <xf numFmtId="1" fontId="63" fillId="0" borderId="0" xfId="0" applyNumberFormat="1" applyFont="1" applyBorder="1"/>
    <xf numFmtId="187" fontId="63" fillId="0" borderId="0" xfId="0" applyNumberFormat="1" applyFont="1" applyBorder="1"/>
    <xf numFmtId="0" fontId="0" fillId="51" borderId="44" xfId="0" applyFill="1" applyBorder="1" applyAlignment="1">
      <alignment vertical="top" wrapText="1"/>
    </xf>
    <xf numFmtId="0" fontId="73" fillId="0" borderId="0" xfId="0" applyFont="1" applyBorder="1" applyAlignment="1">
      <alignment horizontal="center"/>
    </xf>
    <xf numFmtId="0" fontId="54" fillId="50" borderId="44" xfId="0" applyFont="1" applyFill="1" applyBorder="1" applyAlignment="1">
      <alignment vertical="top" wrapText="1"/>
    </xf>
    <xf numFmtId="0" fontId="63" fillId="0" borderId="42" xfId="0" applyFont="1" applyBorder="1" applyAlignment="1">
      <alignment vertical="top" wrapText="1"/>
    </xf>
    <xf numFmtId="0" fontId="77" fillId="44" borderId="42" xfId="0" applyFont="1" applyFill="1" applyBorder="1" applyAlignment="1">
      <alignment vertical="top" wrapText="1"/>
    </xf>
    <xf numFmtId="0" fontId="19" fillId="0" borderId="0" xfId="0" applyFont="1" applyBorder="1" applyAlignment="1">
      <alignment vertical="top" wrapText="1"/>
    </xf>
    <xf numFmtId="0" fontId="54" fillId="53" borderId="44" xfId="0" applyFont="1" applyFill="1" applyBorder="1" applyAlignment="1">
      <alignment vertical="top" wrapText="1"/>
    </xf>
    <xf numFmtId="0" fontId="54" fillId="53" borderId="0" xfId="0" applyFont="1" applyFill="1" applyBorder="1" applyAlignment="1">
      <alignment vertical="top" wrapText="1"/>
    </xf>
    <xf numFmtId="0" fontId="54" fillId="42" borderId="43" xfId="0" applyFont="1" applyFill="1" applyBorder="1" applyAlignment="1">
      <alignment vertical="top" wrapText="1"/>
    </xf>
    <xf numFmtId="0" fontId="0" fillId="43" borderId="43" xfId="0" applyFill="1" applyBorder="1" applyAlignment="1">
      <alignment vertical="top" wrapText="1"/>
    </xf>
    <xf numFmtId="0" fontId="0" fillId="55" borderId="43" xfId="0" applyFill="1" applyBorder="1" applyAlignment="1">
      <alignment vertical="top" wrapText="1"/>
    </xf>
    <xf numFmtId="0" fontId="54" fillId="42" borderId="0" xfId="0" applyFont="1" applyFill="1" applyBorder="1"/>
    <xf numFmtId="0" fontId="0" fillId="43" borderId="0" xfId="0" applyFill="1" applyBorder="1" applyAlignment="1">
      <alignment wrapText="1"/>
    </xf>
    <xf numFmtId="0" fontId="54" fillId="48" borderId="44" xfId="0" applyFont="1" applyFill="1" applyBorder="1" applyAlignment="1">
      <alignment vertical="top" wrapText="1"/>
    </xf>
    <xf numFmtId="0" fontId="54" fillId="54" borderId="0" xfId="0" applyFont="1" applyFill="1" applyBorder="1"/>
    <xf numFmtId="0" fontId="54" fillId="42" borderId="43" xfId="0" applyFont="1" applyFill="1" applyBorder="1" applyAlignment="1">
      <alignment horizontal="center" vertical="center" wrapText="1"/>
    </xf>
    <xf numFmtId="0" fontId="87" fillId="0" borderId="43" xfId="0" applyFont="1" applyBorder="1" applyAlignment="1">
      <alignment vertical="top" wrapText="1"/>
    </xf>
    <xf numFmtId="0" fontId="90" fillId="43" borderId="43" xfId="0" applyFont="1" applyFill="1" applyBorder="1" applyAlignment="1">
      <alignment vertical="top" wrapText="1"/>
    </xf>
    <xf numFmtId="1" fontId="90" fillId="43" borderId="43" xfId="0" applyNumberFormat="1" applyFont="1" applyFill="1" applyBorder="1" applyAlignment="1">
      <alignment vertical="top" wrapText="1"/>
    </xf>
    <xf numFmtId="177" fontId="90" fillId="43" borderId="43" xfId="0" applyNumberFormat="1" applyFont="1" applyFill="1" applyBorder="1" applyAlignment="1">
      <alignment vertical="top" wrapText="1"/>
    </xf>
    <xf numFmtId="177" fontId="87" fillId="0" borderId="43" xfId="0" applyNumberFormat="1" applyFont="1" applyBorder="1" applyAlignment="1">
      <alignment vertical="top" wrapText="1"/>
    </xf>
    <xf numFmtId="168" fontId="87" fillId="0" borderId="43" xfId="0" applyNumberFormat="1" applyFont="1" applyBorder="1" applyAlignment="1">
      <alignment vertical="top" wrapText="1"/>
    </xf>
    <xf numFmtId="188" fontId="90" fillId="43" borderId="43" xfId="0" applyNumberFormat="1" applyFont="1" applyFill="1" applyBorder="1" applyAlignment="1">
      <alignment vertical="top" wrapText="1"/>
    </xf>
    <xf numFmtId="189" fontId="90" fillId="43" borderId="43" xfId="0" applyNumberFormat="1" applyFont="1" applyFill="1" applyBorder="1" applyAlignment="1">
      <alignment vertical="top" wrapText="1"/>
    </xf>
    <xf numFmtId="189" fontId="87" fillId="0" borderId="43" xfId="0" applyNumberFormat="1" applyFont="1" applyBorder="1" applyAlignment="1">
      <alignment vertical="top" wrapText="1"/>
    </xf>
    <xf numFmtId="0" fontId="54" fillId="49" borderId="44" xfId="0" applyFont="1" applyFill="1" applyBorder="1" applyAlignment="1">
      <alignment vertical="top" wrapText="1"/>
    </xf>
    <xf numFmtId="0" fontId="0" fillId="44" borderId="44" xfId="0" applyFill="1" applyBorder="1" applyAlignment="1">
      <alignment vertical="top" wrapText="1"/>
    </xf>
    <xf numFmtId="0" fontId="97" fillId="0" borderId="0" xfId="0" applyFont="1" applyBorder="1" applyAlignment="1">
      <alignment vertical="center"/>
    </xf>
    <xf numFmtId="0" fontId="93" fillId="0" borderId="0" xfId="0" applyFont="1" applyBorder="1" applyAlignment="1">
      <alignment vertical="center"/>
    </xf>
    <xf numFmtId="0" fontId="91" fillId="0" borderId="0" xfId="0" applyFont="1" applyBorder="1"/>
    <xf numFmtId="0" fontId="0" fillId="0" borderId="0" xfId="0" applyBorder="1" applyAlignment="1">
      <alignment horizontal="left" vertical="center" indent="1"/>
    </xf>
    <xf numFmtId="0" fontId="96" fillId="0" borderId="0" xfId="0" applyFont="1" applyBorder="1"/>
    <xf numFmtId="0" fontId="96" fillId="0" borderId="0" xfId="0" applyFont="1" applyBorder="1" applyAlignment="1">
      <alignment horizontal="left" vertical="center" indent="1"/>
    </xf>
    <xf numFmtId="0" fontId="92" fillId="0" borderId="0" xfId="0" applyFont="1" applyBorder="1" applyAlignment="1">
      <alignment horizontal="left" vertical="center" indent="1"/>
    </xf>
    <xf numFmtId="0" fontId="94" fillId="0" borderId="0" xfId="0" applyFont="1" applyBorder="1" applyAlignment="1">
      <alignment vertical="center"/>
    </xf>
    <xf numFmtId="0" fontId="92" fillId="0" borderId="0" xfId="0" applyFont="1" applyBorder="1"/>
    <xf numFmtId="0" fontId="91" fillId="0" borderId="0" xfId="0" applyFont="1" applyBorder="1" applyAlignment="1">
      <alignment horizontal="left" vertical="center" indent="1"/>
    </xf>
    <xf numFmtId="0" fontId="0" fillId="0" borderId="21" xfId="0" applyAlignment="1">
      <alignment vertical="top" wrapText="1"/>
    </xf>
    <xf numFmtId="0" fontId="54" fillId="50" borderId="44" xfId="0" applyFont="1" applyFill="1" applyBorder="1" applyAlignment="1">
      <alignment vertical="top" wrapText="1"/>
    </xf>
    <xf numFmtId="0" fontId="0" fillId="0" borderId="44" xfId="0" applyBorder="1" applyAlignment="1">
      <alignment vertical="top" wrapText="1"/>
    </xf>
    <xf numFmtId="0" fontId="54" fillId="42" borderId="21" xfId="0" applyFont="1" applyFill="1" applyAlignment="1">
      <alignment vertical="top" wrapText="1"/>
    </xf>
    <xf numFmtId="0" fontId="54" fillId="53" borderId="21" xfId="0" applyFont="1" applyFill="1" applyAlignment="1">
      <alignment vertical="top" wrapText="1"/>
    </xf>
    <xf numFmtId="0" fontId="0" fillId="0" borderId="21" xfId="0"/>
    <xf numFmtId="0" fontId="54" fillId="42" borderId="21" xfId="0" applyFont="1" applyFill="1"/>
    <xf numFmtId="0" fontId="78" fillId="52" borderId="22" xfId="0" applyFont="1" applyFill="1" applyBorder="1" applyAlignment="1">
      <alignment horizontal="left"/>
    </xf>
    <xf numFmtId="0" fontId="0" fillId="0" borderId="22" xfId="0" applyBorder="1"/>
    <xf numFmtId="0" fontId="79" fillId="52" borderId="23" xfId="0" applyFont="1" applyFill="1" applyBorder="1" applyAlignment="1">
      <alignment horizontal="center"/>
    </xf>
    <xf numFmtId="0" fontId="0" fillId="0" borderId="36" xfId="0" applyBorder="1"/>
    <xf numFmtId="0" fontId="0" fillId="0" borderId="37" xfId="0" applyBorder="1"/>
    <xf numFmtId="0" fontId="17" fillId="3" borderId="23" xfId="0" applyFont="1" applyFill="1" applyBorder="1" applyAlignment="1">
      <alignment horizontal="center"/>
    </xf>
    <xf numFmtId="0" fontId="78" fillId="52" borderId="21" xfId="0" applyFont="1" applyFill="1" applyAlignment="1">
      <alignment horizontal="left"/>
    </xf>
    <xf numFmtId="0" fontId="79" fillId="52" borderId="21" xfId="0" applyFont="1" applyFill="1" applyAlignment="1">
      <alignment horizontal="left"/>
    </xf>
    <xf numFmtId="0" fontId="7" fillId="7" borderId="21" xfId="0" applyFont="1" applyFill="1" applyAlignment="1">
      <alignment horizontal="left"/>
    </xf>
    <xf numFmtId="0" fontId="79" fillId="52" borderId="40" xfId="0" applyFont="1" applyFill="1" applyBorder="1" applyAlignment="1">
      <alignment horizontal="center"/>
    </xf>
    <xf numFmtId="0" fontId="0" fillId="0" borderId="38" xfId="0" applyBorder="1"/>
    <xf numFmtId="0" fontId="79" fillId="52" borderId="21" xfId="0" applyFont="1" applyFill="1" applyAlignment="1">
      <alignment horizontal="center"/>
    </xf>
    <xf numFmtId="0" fontId="21" fillId="24" borderId="22" xfId="0" applyFont="1" applyFill="1" applyBorder="1" applyAlignment="1">
      <alignment horizontal="center"/>
    </xf>
    <xf numFmtId="0" fontId="21" fillId="26" borderId="22" xfId="0" applyFont="1" applyFill="1" applyBorder="1" applyAlignment="1">
      <alignment horizontal="center"/>
    </xf>
    <xf numFmtId="0" fontId="17" fillId="13" borderId="39" xfId="0" applyFont="1" applyFill="1" applyBorder="1" applyAlignment="1">
      <alignment horizontal="center" wrapText="1"/>
    </xf>
    <xf numFmtId="0" fontId="9" fillId="0" borderId="41" xfId="0" applyFont="1" applyBorder="1" applyAlignment="1">
      <alignment horizontal="center"/>
    </xf>
    <xf numFmtId="0" fontId="0" fillId="0" borderId="24" xfId="0" applyBorder="1"/>
    <xf numFmtId="0" fontId="79" fillId="52" borderId="41" xfId="0" applyFont="1" applyFill="1" applyBorder="1" applyAlignment="1">
      <alignment horizontal="center"/>
    </xf>
    <xf numFmtId="0" fontId="21" fillId="14" borderId="22" xfId="0" applyFont="1" applyFill="1" applyBorder="1" applyAlignment="1">
      <alignment horizontal="center"/>
    </xf>
    <xf numFmtId="0" fontId="17" fillId="10" borderId="21" xfId="0" applyFont="1" applyFill="1" applyAlignment="1">
      <alignment horizontal="center" wrapText="1"/>
    </xf>
    <xf numFmtId="0" fontId="17" fillId="8" borderId="21" xfId="0" applyFont="1" applyFill="1" applyAlignment="1">
      <alignment horizontal="center" wrapText="1"/>
    </xf>
    <xf numFmtId="0" fontId="17" fillId="11" borderId="21" xfId="0" applyFont="1" applyFill="1" applyAlignment="1">
      <alignment horizontal="center" wrapText="1"/>
    </xf>
    <xf numFmtId="0" fontId="21" fillId="25" borderId="22" xfId="0" applyFont="1" applyFill="1" applyBorder="1" applyAlignment="1">
      <alignment horizontal="center"/>
    </xf>
    <xf numFmtId="0" fontId="2" fillId="4" borderId="21" xfId="0" applyFont="1" applyFill="1" applyAlignment="1">
      <alignment horizontal="center" vertical="center"/>
    </xf>
    <xf numFmtId="0" fontId="81" fillId="52" borderId="21" xfId="0" applyFont="1" applyFill="1" applyAlignment="1">
      <alignment horizontal="center"/>
    </xf>
    <xf numFmtId="0" fontId="71" fillId="0" borderId="21" xfId="0" applyFont="1" applyAlignment="1">
      <alignment horizontal="left"/>
    </xf>
    <xf numFmtId="0" fontId="16" fillId="36" borderId="21" xfId="0" applyFont="1" applyFill="1" applyAlignment="1">
      <alignment horizontal="left" vertical="center"/>
    </xf>
    <xf numFmtId="0" fontId="0" fillId="0" borderId="21" xfId="0" applyAlignment="1">
      <alignment wrapText="1"/>
    </xf>
    <xf numFmtId="0" fontId="36" fillId="18" borderId="21" xfId="0" applyFont="1" applyFill="1" applyAlignment="1">
      <alignment horizontal="left" vertical="center"/>
    </xf>
    <xf numFmtId="0" fontId="30" fillId="21" borderId="25" xfId="0" applyFont="1" applyFill="1" applyBorder="1" applyAlignment="1">
      <alignment horizontal="left" vertical="center" wrapText="1"/>
    </xf>
    <xf numFmtId="0" fontId="0" fillId="0" borderId="31" xfId="0" applyBorder="1"/>
    <xf numFmtId="0" fontId="0" fillId="0" borderId="30" xfId="0" applyBorder="1"/>
    <xf numFmtId="0" fontId="33" fillId="15" borderId="21" xfId="0" applyFont="1" applyFill="1" applyAlignment="1">
      <alignment horizontal="left" vertical="center"/>
    </xf>
    <xf numFmtId="0" fontId="86" fillId="52" borderId="21" xfId="0" applyFont="1" applyFill="1" applyAlignment="1">
      <alignment horizontal="left" vertical="center"/>
    </xf>
    <xf numFmtId="0" fontId="30" fillId="17" borderId="25" xfId="0" applyFont="1" applyFill="1" applyBorder="1" applyAlignment="1">
      <alignment horizontal="left" vertical="center" wrapText="1"/>
    </xf>
    <xf numFmtId="0" fontId="30" fillId="20" borderId="25" xfId="0" applyFont="1" applyFill="1" applyBorder="1" applyAlignment="1">
      <alignment horizontal="left" vertical="center" wrapText="1"/>
    </xf>
    <xf numFmtId="0" fontId="30" fillId="19" borderId="25" xfId="0" applyFont="1" applyFill="1" applyBorder="1" applyAlignment="1">
      <alignment horizontal="left" vertical="center" wrapText="1"/>
    </xf>
    <xf numFmtId="0" fontId="82" fillId="52" borderId="21" xfId="0" applyFont="1" applyFill="1" applyAlignment="1">
      <alignment horizontal="left" vertical="center"/>
    </xf>
    <xf numFmtId="0" fontId="22" fillId="15" borderId="21" xfId="0" applyFont="1" applyFill="1" applyAlignment="1">
      <alignment horizontal="left" vertical="center"/>
    </xf>
    <xf numFmtId="0" fontId="44" fillId="32" borderId="26" xfId="0" applyFont="1" applyFill="1" applyBorder="1" applyAlignment="1">
      <alignment horizontal="center" vertical="center"/>
    </xf>
    <xf numFmtId="0" fontId="0" fillId="0" borderId="26" xfId="0" applyBorder="1"/>
    <xf numFmtId="0" fontId="46" fillId="0" borderId="31" xfId="0" applyFont="1" applyBorder="1" applyAlignment="1">
      <alignment horizontal="left" vertical="center" wrapText="1"/>
    </xf>
    <xf numFmtId="0" fontId="2" fillId="32" borderId="32" xfId="0" applyFont="1" applyFill="1" applyBorder="1" applyAlignment="1">
      <alignment horizontal="right" vertical="center"/>
    </xf>
    <xf numFmtId="0" fontId="0" fillId="0" borderId="28" xfId="0" applyBorder="1"/>
    <xf numFmtId="0" fontId="42" fillId="0" borderId="30" xfId="0" applyFont="1" applyBorder="1" applyAlignment="1">
      <alignment horizontal="left" vertical="center" wrapText="1"/>
    </xf>
    <xf numFmtId="0" fontId="43" fillId="31" borderId="33" xfId="0" applyFont="1" applyFill="1" applyBorder="1" applyAlignment="1">
      <alignment horizontal="center"/>
    </xf>
    <xf numFmtId="0" fontId="0" fillId="0" borderId="33" xfId="0" applyBorder="1"/>
    <xf numFmtId="0" fontId="44" fillId="32" borderId="27" xfId="0" applyFont="1" applyFill="1" applyBorder="1" applyAlignment="1">
      <alignment horizontal="center" vertical="center"/>
    </xf>
    <xf numFmtId="0" fontId="0" fillId="0" borderId="27" xfId="0" applyBorder="1"/>
    <xf numFmtId="0" fontId="16" fillId="32" borderId="30" xfId="0" applyFont="1" applyFill="1" applyBorder="1" applyAlignment="1">
      <alignment horizontal="left" vertical="center"/>
    </xf>
    <xf numFmtId="0" fontId="41" fillId="30" borderId="21" xfId="0" applyFont="1" applyFill="1" applyAlignment="1">
      <alignment horizontal="center"/>
    </xf>
    <xf numFmtId="0" fontId="45" fillId="32" borderId="26" xfId="0" applyFont="1" applyFill="1" applyBorder="1" applyAlignment="1">
      <alignment horizontal="center" vertical="center"/>
    </xf>
    <xf numFmtId="0" fontId="43" fillId="31" borderId="27" xfId="0" applyFont="1" applyFill="1" applyBorder="1" applyAlignment="1">
      <alignment horizontal="center"/>
    </xf>
    <xf numFmtId="0" fontId="0" fillId="0" borderId="29" xfId="0" applyBorder="1"/>
    <xf numFmtId="0" fontId="43" fillId="31" borderId="30" xfId="0" applyFont="1" applyFill="1" applyBorder="1" applyAlignment="1">
      <alignment horizontal="center"/>
    </xf>
    <xf numFmtId="0" fontId="40" fillId="30" borderId="34" xfId="0" applyFont="1" applyFill="1" applyBorder="1" applyAlignment="1">
      <alignment horizontal="center"/>
    </xf>
    <xf numFmtId="0" fontId="0" fillId="0" borderId="34" xfId="0" applyBorder="1"/>
    <xf numFmtId="0" fontId="83" fillId="52" borderId="21" xfId="0" applyFont="1" applyFill="1" applyAlignment="1">
      <alignment horizontal="center" vertical="center"/>
    </xf>
    <xf numFmtId="0" fontId="2" fillId="32" borderId="25" xfId="0" applyFont="1" applyFill="1" applyBorder="1" applyAlignment="1">
      <alignment horizontal="left" vertical="center"/>
    </xf>
    <xf numFmtId="0" fontId="84" fillId="52" borderId="34" xfId="0" applyFont="1" applyFill="1" applyBorder="1" applyAlignment="1">
      <alignment horizontal="center" vertical="center"/>
    </xf>
    <xf numFmtId="0" fontId="16" fillId="31" borderId="25" xfId="0" applyFont="1" applyFill="1" applyBorder="1" applyAlignment="1">
      <alignment horizontal="center" vertical="center"/>
    </xf>
    <xf numFmtId="0" fontId="16" fillId="31" borderId="30" xfId="0" applyFont="1" applyFill="1" applyBorder="1" applyAlignment="1">
      <alignment horizontal="center" vertical="center"/>
    </xf>
    <xf numFmtId="0" fontId="2" fillId="32" borderId="30" xfId="0" applyFont="1" applyFill="1" applyBorder="1" applyAlignment="1">
      <alignment horizontal="left" vertical="center"/>
    </xf>
    <xf numFmtId="0" fontId="84" fillId="52" borderId="35" xfId="0" applyFont="1" applyFill="1" applyBorder="1" applyAlignment="1">
      <alignment horizontal="center" vertical="center"/>
    </xf>
    <xf numFmtId="0" fontId="0" fillId="0" borderId="35" xfId="0" applyBorder="1"/>
    <xf numFmtId="0" fontId="39" fillId="27" borderId="25" xfId="0" applyFont="1" applyFill="1" applyBorder="1" applyAlignment="1">
      <alignment horizontal="center" vertical="center" wrapText="1"/>
    </xf>
    <xf numFmtId="0" fontId="60" fillId="0" borderId="21" xfId="0" applyFont="1" applyAlignment="1">
      <alignment horizontal="left" vertical="top" wrapText="1"/>
    </xf>
    <xf numFmtId="0" fontId="57" fillId="0" borderId="21" xfId="0" applyFont="1" applyAlignment="1">
      <alignment horizontal="left" vertical="top" wrapText="1"/>
    </xf>
    <xf numFmtId="0" fontId="58" fillId="42" borderId="21" xfId="0" applyFont="1" applyFill="1" applyAlignment="1">
      <alignment horizontal="left" vertical="center" wrapText="1"/>
    </xf>
    <xf numFmtId="0" fontId="54" fillId="50" borderId="44" xfId="0" applyFont="1" applyFill="1" applyBorder="1" applyAlignment="1">
      <alignment horizontal="center" vertical="center" wrapText="1"/>
    </xf>
    <xf numFmtId="0" fontId="0" fillId="0" borderId="44" xfId="0" applyBorder="1"/>
  </cellXfs>
  <cellStyles count="2">
    <cellStyle name="Normal" xfId="0" builtinId="0"/>
    <cellStyle name="Percent" xfId="1" xr:uid="{00000000-0005-0000-0000-000001000000}"/>
  </cellStyles>
  <dxfs count="51">
    <dxf>
      <font>
        <b/>
        <color rgb="FF9C0006"/>
      </font>
      <fill>
        <patternFill patternType="solid">
          <fgColor rgb="FFFCE4D6"/>
        </patternFill>
      </fill>
    </dxf>
    <dxf>
      <font>
        <b/>
        <color rgb="FF9C0006"/>
      </font>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ont>
        <b/>
        <color rgb="FF9C0006"/>
      </font>
      <fill>
        <patternFill patternType="solid">
          <fgColor rgb="FFFCE4D6"/>
        </patternFill>
      </fill>
    </dxf>
    <dxf>
      <font>
        <b/>
        <color rgb="FF9C0006"/>
      </font>
      <fill>
        <patternFill patternType="solid">
          <fgColor rgb="FFFCE4D6"/>
        </patternFill>
      </fill>
    </dxf>
    <dxf>
      <font>
        <b/>
        <color rgb="FF9C0006"/>
      </font>
      <fill>
        <patternFill patternType="solid">
          <fgColor rgb="FFFCE4D6"/>
        </patternFill>
      </fill>
    </dxf>
    <dxf>
      <font>
        <b/>
        <color rgb="FF006100"/>
      </font>
      <fill>
        <patternFill>
          <bgColor indexed="64"/>
        </patternFill>
      </fill>
    </dxf>
    <dxf>
      <font>
        <b/>
        <color rgb="FF006100"/>
      </font>
      <fill>
        <patternFill>
          <bgColor indexed="64"/>
        </patternFill>
      </fill>
    </dxf>
    <dxf>
      <font>
        <b/>
        <color rgb="FF1F4E78"/>
      </font>
      <fill>
        <patternFill>
          <bgColor indexed="64"/>
        </patternFill>
      </fill>
    </dxf>
    <dxf>
      <font>
        <b/>
        <color rgb="FF9C0006"/>
      </font>
      <fill>
        <patternFill>
          <bgColor indexed="64"/>
        </patternFill>
      </fill>
    </dxf>
    <dxf>
      <font>
        <color theme="1"/>
      </font>
      <fill>
        <patternFill>
          <bgColor theme="9" tint="0.79995117038483843"/>
        </patternFill>
      </fill>
    </dxf>
    <dxf>
      <fill>
        <patternFill>
          <bgColor theme="2"/>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
      <fill>
        <patternFill patternType="solid">
          <f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UNIT_MIX" displayName="TBL_UNIT_MIX" ref="A6:V206">
  <autoFilter ref="A6:V206" xr:uid="{00000000-0009-0000-0100-000001000000}"/>
  <tableColumns count="22">
    <tableColumn id="1" xr3:uid="{00000000-0010-0000-0000-000001000000}" name="Record_ID"/>
    <tableColumn id="2" xr3:uid="{00000000-0010-0000-0000-000002000000}" name="Property_ID"/>
    <tableColumn id="3" xr3:uid="{00000000-0010-0000-0000-000003000000}" name="Property_Name"/>
    <tableColumn id="4" xr3:uid="{00000000-0010-0000-0000-000004000000}" name="Unit_Group_ID"/>
    <tableColumn id="5" xr3:uid="{00000000-0010-0000-0000-000005000000}" name="Bedroom_Type"/>
    <tableColumn id="6" xr3:uid="{00000000-0010-0000-0000-000006000000}" name="Unit_Type"/>
    <tableColumn id="7" xr3:uid="{00000000-0010-0000-0000-000007000000}" name="Unit_Count"/>
    <tableColumn id="8" xr3:uid="{00000000-0010-0000-0000-000008000000}" name="Affordable_Units"/>
    <tableColumn id="9" xr3:uid="{00000000-0010-0000-0000-000009000000}" name="Market_Units"/>
    <tableColumn id="10" xr3:uid="{00000000-0010-0000-0000-00000A000000}" name="Supportive_Units"/>
    <tableColumn id="11" xr3:uid="{00000000-0010-0000-0000-00000B000000}" name="Avg_Current_Rent"/>
    <tableColumn id="12" xr3:uid="{00000000-0010-0000-0000-00000C000000}" name="Avg_Market_Rent"/>
    <tableColumn id="13" xr3:uid="{00000000-0010-0000-0000-00000D000000}" name="Monthly_Rent_Potential"/>
    <tableColumn id="14" xr3:uid="{00000000-0010-0000-0000-00000E000000}" name="Below_Market_%"/>
    <tableColumn id="15" xr3:uid="{00000000-0010-0000-0000-00000F000000}" name="Rent_Restriction_Type"/>
    <tableColumn id="16" xr3:uid="{00000000-0010-0000-0000-000010000000}" name="Program_Type"/>
    <tableColumn id="17" xr3:uid="{00000000-0010-0000-0000-000011000000}" name="Rent_Source"/>
    <tableColumn id="18" xr3:uid="{00000000-0010-0000-0000-000012000000}" name="Source_File_ID"/>
    <tableColumn id="19" xr3:uid="{00000000-0010-0000-0000-000013000000}" name="Source_Confidence"/>
    <tableColumn id="20" xr3:uid="{00000000-0010-0000-0000-000014000000}" name="Review_Status"/>
    <tableColumn id="21" xr3:uid="{00000000-0010-0000-0000-000015000000}" name="Notes"/>
    <tableColumn id="22" xr3:uid="{00000000-0010-0000-0000-000016000000}" name="Row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RENT_ROLL" displayName="TBL_RENT_ROLL" ref="A6:W206">
  <autoFilter ref="A6:W206" xr:uid="{00000000-0009-0000-0100-000002000000}"/>
  <tableColumns count="23">
    <tableColumn id="1" xr3:uid="{00000000-0010-0000-0100-000001000000}" name="Record_ID"/>
    <tableColumn id="2" xr3:uid="{00000000-0010-0000-0100-000002000000}" name="Property_ID"/>
    <tableColumn id="3" xr3:uid="{00000000-0010-0000-0100-000003000000}" name="Property_Name"/>
    <tableColumn id="4" xr3:uid="{00000000-0010-0000-0100-000004000000}" name="Rent_Record_Level"/>
    <tableColumn id="5" xr3:uid="{00000000-0010-0000-0100-000005000000}" name="Unit_ID_or_Group"/>
    <tableColumn id="6" xr3:uid="{00000000-0010-0000-0100-000006000000}" name="Bedroom_Type"/>
    <tableColumn id="7" xr3:uid="{00000000-0010-0000-0100-000007000000}" name="Unit_Type"/>
    <tableColumn id="8" xr3:uid="{00000000-0010-0000-0100-000008000000}" name="Unit_Count"/>
    <tableColumn id="9" xr3:uid="{00000000-0010-0000-0100-000009000000}" name="Tenant_Status"/>
    <tableColumn id="10" xr3:uid="{00000000-0010-0000-0100-00000A000000}" name="Vacancy_Status"/>
    <tableColumn id="11" xr3:uid="{00000000-0010-0000-0100-00000B000000}" name="Current_Monthly_Rent"/>
    <tableColumn id="12" xr3:uid="{00000000-0010-0000-0100-00000C000000}" name="Market_Monthly_Rent"/>
    <tableColumn id="13" xr3:uid="{00000000-0010-0000-0100-00000D000000}" name="Subsidy_Amount"/>
    <tableColumn id="14" xr3:uid="{00000000-0010-0000-0100-00000E000000}" name="Utility_Allowance"/>
    <tableColumn id="15" xr3:uid="{00000000-0010-0000-0100-00000F000000}" name="Effective_Date"/>
    <tableColumn id="16" xr3:uid="{00000000-0010-0000-0100-000010000000}" name="Annual_Current_Rent"/>
    <tableColumn id="17" xr3:uid="{00000000-0010-0000-0100-000011000000}" name="Annual_Market_Rent"/>
    <tableColumn id="18" xr3:uid="{00000000-0010-0000-0100-000012000000}" name="Below_Market_%"/>
    <tableColumn id="19" xr3:uid="{00000000-0010-0000-0100-000013000000}" name="Source_File_ID"/>
    <tableColumn id="20" xr3:uid="{00000000-0010-0000-0100-000014000000}" name="Source_Confidence"/>
    <tableColumn id="21" xr3:uid="{00000000-0010-0000-0100-000015000000}" name="Review_Status"/>
    <tableColumn id="22" xr3:uid="{00000000-0010-0000-0100-000016000000}" name="Notes"/>
    <tableColumn id="23" xr3:uid="{00000000-0010-0000-0100-000017000000}" name="Row_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OPERATING_ACTUALS" displayName="TBL_OPERATING_ACTUALS" ref="A6:R206">
  <autoFilter ref="A6:R206" xr:uid="{00000000-0009-0000-0100-000003000000}"/>
  <tableColumns count="18">
    <tableColumn id="1" xr3:uid="{00000000-0010-0000-0200-000001000000}" name="Record_ID"/>
    <tableColumn id="2" xr3:uid="{00000000-0010-0000-0200-000002000000}" name="Property_ID"/>
    <tableColumn id="3" xr3:uid="{00000000-0010-0000-0200-000003000000}" name="Property_Name"/>
    <tableColumn id="4" xr3:uid="{00000000-0010-0000-0200-000004000000}" name="Fiscal_Year"/>
    <tableColumn id="5" xr3:uid="{00000000-0010-0000-0200-000005000000}" name="Period"/>
    <tableColumn id="6" xr3:uid="{00000000-0010-0000-0200-000006000000}" name="Scenario"/>
    <tableColumn id="7" xr3:uid="{00000000-0010-0000-0200-000007000000}" name="Actual_Budget_Projection"/>
    <tableColumn id="8" xr3:uid="{00000000-0010-0000-0200-000008000000}" name="Source_Line_Item"/>
    <tableColumn id="9" xr3:uid="{00000000-0010-0000-0200-000009000000}" name="IREI_Category"/>
    <tableColumn id="10" xr3:uid="{00000000-0010-0000-0200-00000A000000}" name="Amount"/>
    <tableColumn id="11" xr3:uid="{00000000-0010-0000-0200-00000B000000}" name="Cash_or_Accrual"/>
    <tableColumn id="12" xr3:uid="{00000000-0010-0000-0200-00000C000000}" name="Source_File_ID"/>
    <tableColumn id="13" xr3:uid="{00000000-0010-0000-0200-00000D000000}" name="Source_Confidence"/>
    <tableColumn id="14" xr3:uid="{00000000-0010-0000-0200-00000E000000}" name="Mapping_Confidence"/>
    <tableColumn id="15" xr3:uid="{00000000-0010-0000-0200-00000F000000}" name="Review_Status"/>
    <tableColumn id="16" xr3:uid="{00000000-0010-0000-0200-000010000000}" name="Standardized_Key"/>
    <tableColumn id="17" xr3:uid="{00000000-0010-0000-0200-000011000000}" name="Notes"/>
    <tableColumn id="18" xr3:uid="{00000000-0010-0000-0200-000012000000}" name="Row_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AGREEMENTS" displayName="TBL_AGREEMENTS" ref="A6:U206">
  <autoFilter ref="A6:U206" xr:uid="{00000000-0009-0000-0100-000004000000}"/>
  <tableColumns count="21">
    <tableColumn id="1" xr3:uid="{00000000-0010-0000-0300-000001000000}" name="Agreement_ID"/>
    <tableColumn id="2" xr3:uid="{00000000-0010-0000-0300-000002000000}" name="Property_ID"/>
    <tableColumn id="3" xr3:uid="{00000000-0010-0000-0300-000003000000}" name="Property_Name"/>
    <tableColumn id="4" xr3:uid="{00000000-0010-0000-0300-000004000000}" name="Agreement_Type"/>
    <tableColumn id="5" xr3:uid="{00000000-0010-0000-0300-000005000000}" name="Counterparty"/>
    <tableColumn id="6" xr3:uid="{00000000-0010-0000-0300-000006000000}" name="Start_Date"/>
    <tableColumn id="7" xr3:uid="{00000000-0010-0000-0300-000007000000}" name="End_Date"/>
    <tableColumn id="8" xr3:uid="{00000000-0010-0000-0300-000008000000}" name="Affordability_Requirement"/>
    <tableColumn id="9" xr3:uid="{00000000-0010-0000-0300-000009000000}" name="Rent_Restriction"/>
    <tableColumn id="10" xr3:uid="{00000000-0010-0000-0300-00000A000000}" name="Use_Restriction"/>
    <tableColumn id="11" xr3:uid="{00000000-0010-0000-0300-00000B000000}" name="Refinance_Restriction"/>
    <tableColumn id="12" xr3:uid="{00000000-0010-0000-0300-00000C000000}" name="Disposition_Restriction"/>
    <tableColumn id="13" xr3:uid="{00000000-0010-0000-0300-00000D000000}" name="Subsidy_Linked"/>
    <tableColumn id="14" xr3:uid="{00000000-0010-0000-0300-00000E000000}" name="Renewal_Risk"/>
    <tableColumn id="15" xr3:uid="{00000000-0010-0000-0300-00000F000000}" name="Mission_Protection_Flag"/>
    <tableColumn id="16" xr3:uid="{00000000-0010-0000-0300-000010000000}" name="Source_File_ID"/>
    <tableColumn id="17" xr3:uid="{00000000-0010-0000-0300-000011000000}" name="Source_Confidence"/>
    <tableColumn id="18" xr3:uid="{00000000-0010-0000-0300-000012000000}" name="Review_Status"/>
    <tableColumn id="19" xr3:uid="{00000000-0010-0000-0300-000013000000}" name="Agreement_Status"/>
    <tableColumn id="20" xr3:uid="{00000000-0010-0000-0300-000014000000}" name="Notes"/>
    <tableColumn id="21" xr3:uid="{00000000-0010-0000-0300-000015000000}" name="Row_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CAPITAL_NEEDS" displayName="TBL_CAPITAL_NEEDS" ref="A6:T206">
  <autoFilter ref="A6:T206" xr:uid="{00000000-0009-0000-0100-000005000000}"/>
  <tableColumns count="20">
    <tableColumn id="1" xr3:uid="{00000000-0010-0000-0400-000001000000}" name="Capital_Item_ID"/>
    <tableColumn id="2" xr3:uid="{00000000-0010-0000-0400-000002000000}" name="Property_ID"/>
    <tableColumn id="3" xr3:uid="{00000000-0010-0000-0400-000003000000}" name="Property_Name"/>
    <tableColumn id="4" xr3:uid="{00000000-0010-0000-0400-000004000000}" name="Capital_Item"/>
    <tableColumn id="5" xr3:uid="{00000000-0010-0000-0400-000005000000}" name="Capital_Category"/>
    <tableColumn id="6" xr3:uid="{00000000-0010-0000-0400-000006000000}" name="Required_or_Discretionary"/>
    <tableColumn id="7" xr3:uid="{00000000-0010-0000-0400-000007000000}" name="Year_Needed"/>
    <tableColumn id="8" xr3:uid="{00000000-0010-0000-0400-000008000000}" name="Estimated_Cost"/>
    <tableColumn id="9" xr3:uid="{00000000-0010-0000-0400-000009000000}" name="Funded_Amount"/>
    <tableColumn id="10" xr3:uid="{00000000-0010-0000-0400-00000A000000}" name="Unfunded_Amount"/>
    <tableColumn id="11" xr3:uid="{00000000-0010-0000-0400-00000B000000}" name="Funding_Source"/>
    <tableColumn id="12" xr3:uid="{00000000-0010-0000-0400-00000C000000}" name="Deferred_Maintenance_Flag"/>
    <tableColumn id="13" xr3:uid="{00000000-0010-0000-0400-00000D000000}" name="Development_Related"/>
    <tableColumn id="14" xr3:uid="{00000000-0010-0000-0400-00000E000000}" name="Fixed_Asset_or_Depreciation_Link"/>
    <tableColumn id="15" xr3:uid="{00000000-0010-0000-0400-00000F000000}" name="Source_File_ID"/>
    <tableColumn id="16" xr3:uid="{00000000-0010-0000-0400-000010000000}" name="Source_Confidence"/>
    <tableColumn id="17" xr3:uid="{00000000-0010-0000-0400-000011000000}" name="Review_Status"/>
    <tableColumn id="18" xr3:uid="{00000000-0010-0000-0400-000012000000}" name="Funding_Gap_Flag"/>
    <tableColumn id="19" xr3:uid="{00000000-0010-0000-0400-000013000000}" name="Notes"/>
    <tableColumn id="20" xr3:uid="{00000000-0010-0000-0400-000014000000}" name="Row_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apitalFlowTable" displayName="CapitalFlowTable" ref="A4:L293">
  <tableColumns count="12">
    <tableColumn id="1" xr3:uid="{00000000-0010-0000-0500-000001000000}" name="Flow_ID"/>
    <tableColumn id="2" xr3:uid="{00000000-0010-0000-0500-000002000000}" name="Level"/>
    <tableColumn id="3" xr3:uid="{00000000-0010-0000-0500-000003000000}" name="Property_ID"/>
    <tableColumn id="4" xr3:uid="{00000000-0010-0000-0500-000004000000}" name="Year"/>
    <tableColumn id="5" xr3:uid="{00000000-0010-0000-0500-000005000000}" name="Flow Category"/>
    <tableColumn id="6" xr3:uid="{00000000-0010-0000-0500-000006000000}" name="Metric"/>
    <tableColumn id="7" xr3:uid="{00000000-0010-0000-0500-000007000000}" name="Source Range"/>
    <tableColumn id="8" xr3:uid="{00000000-0010-0000-0500-000008000000}" name="Amount"/>
    <tableColumn id="9" xr3:uid="{00000000-0010-0000-0500-000009000000}" name="Direction"/>
    <tableColumn id="10" xr3:uid="{00000000-0010-0000-0500-00000A000000}" name="Funding Gap Flag"/>
    <tableColumn id="11" xr3:uid="{00000000-0010-0000-0500-00000B000000}" name="Output Treatment"/>
    <tableColumn id="12" xr3:uid="{00000000-0010-0000-0500-00000C000000}" name="Audit Logic"/>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E6FB-5505-4020-BD3F-F4D15E57AB4A}">
  <dimension ref="A1:A1167"/>
  <sheetViews>
    <sheetView tabSelected="1" workbookViewId="0">
      <selection activeCell="E26" sqref="E26"/>
    </sheetView>
  </sheetViews>
  <sheetFormatPr defaultRowHeight="15"/>
  <sheetData>
    <row r="1" spans="1:1" ht="31.5">
      <c r="A1" s="409" t="s">
        <v>7659</v>
      </c>
    </row>
    <row r="3" spans="1:1" ht="23.25">
      <c r="A3" s="410" t="s">
        <v>7660</v>
      </c>
    </row>
    <row r="5" spans="1:1" ht="23.25">
      <c r="A5" s="410" t="s">
        <v>7661</v>
      </c>
    </row>
    <row r="7" spans="1:1">
      <c r="A7" s="411" t="s">
        <v>7662</v>
      </c>
    </row>
    <row r="9" spans="1:1">
      <c r="A9" s="411" t="s">
        <v>7663</v>
      </c>
    </row>
    <row r="10" spans="1:1">
      <c r="A10" s="412"/>
    </row>
    <row r="11" spans="1:1">
      <c r="A11" s="414" t="s">
        <v>7664</v>
      </c>
    </row>
    <row r="12" spans="1:1">
      <c r="A12" s="412"/>
    </row>
    <row r="13" spans="1:1">
      <c r="A13" s="414" t="s">
        <v>7665</v>
      </c>
    </row>
    <row r="15" spans="1:1">
      <c r="A15" s="411" t="s">
        <v>7666</v>
      </c>
    </row>
    <row r="19" spans="1:1" ht="31.5">
      <c r="A19" s="409" t="s">
        <v>7667</v>
      </c>
    </row>
    <row r="21" spans="1:1" ht="23.25">
      <c r="A21" s="410" t="s">
        <v>7668</v>
      </c>
    </row>
    <row r="23" spans="1:1">
      <c r="A23" s="411" t="s">
        <v>7669</v>
      </c>
    </row>
    <row r="25" spans="1:1" ht="23.25">
      <c r="A25" s="410" t="s">
        <v>7670</v>
      </c>
    </row>
    <row r="26" spans="1:1">
      <c r="A26" s="412"/>
    </row>
    <row r="27" spans="1:1">
      <c r="A27" s="415" t="s">
        <v>729</v>
      </c>
    </row>
    <row r="28" spans="1:1">
      <c r="A28" s="412"/>
    </row>
    <row r="29" spans="1:1">
      <c r="A29" s="415" t="s">
        <v>990</v>
      </c>
    </row>
    <row r="30" spans="1:1">
      <c r="A30" s="412"/>
    </row>
    <row r="31" spans="1:1">
      <c r="A31" s="415" t="s">
        <v>659</v>
      </c>
    </row>
    <row r="32" spans="1:1">
      <c r="A32" s="412"/>
    </row>
    <row r="33" spans="1:1">
      <c r="A33" s="415" t="s">
        <v>762</v>
      </c>
    </row>
    <row r="34" spans="1:1">
      <c r="A34" s="412"/>
    </row>
    <row r="35" spans="1:1">
      <c r="A35" s="415" t="s">
        <v>672</v>
      </c>
    </row>
    <row r="37" spans="1:1" ht="23.25">
      <c r="A37" s="410" t="s">
        <v>7671</v>
      </c>
    </row>
    <row r="39" spans="1:1" ht="18">
      <c r="A39" s="416" t="s">
        <v>7672</v>
      </c>
    </row>
    <row r="41" spans="1:1">
      <c r="A41" s="411" t="s">
        <v>7673</v>
      </c>
    </row>
    <row r="43" spans="1:1" ht="18">
      <c r="A43" s="416" t="s">
        <v>7674</v>
      </c>
    </row>
    <row r="45" spans="1:1">
      <c r="A45" s="417" t="s">
        <v>7675</v>
      </c>
    </row>
    <row r="47" spans="1:1" ht="18">
      <c r="A47" s="416" t="s">
        <v>7676</v>
      </c>
    </row>
    <row r="49" spans="1:1">
      <c r="A49" s="411" t="s">
        <v>7677</v>
      </c>
    </row>
    <row r="51" spans="1:1" ht="18">
      <c r="A51" s="416" t="s">
        <v>7678</v>
      </c>
    </row>
    <row r="53" spans="1:1">
      <c r="A53" s="411" t="s">
        <v>7679</v>
      </c>
    </row>
    <row r="55" spans="1:1" ht="18">
      <c r="A55" s="416" t="s">
        <v>7680</v>
      </c>
    </row>
    <row r="57" spans="1:1">
      <c r="A57" s="411" t="s">
        <v>7681</v>
      </c>
    </row>
    <row r="59" spans="1:1" ht="23.25">
      <c r="A59" s="410" t="s">
        <v>7682</v>
      </c>
    </row>
    <row r="61" spans="1:1" ht="18">
      <c r="A61" s="416" t="s">
        <v>7683</v>
      </c>
    </row>
    <row r="63" spans="1:1">
      <c r="A63" s="411" t="s">
        <v>7684</v>
      </c>
    </row>
    <row r="65" spans="1:1">
      <c r="A65" s="413" t="s">
        <v>7685</v>
      </c>
    </row>
    <row r="66" spans="1:1">
      <c r="A66" s="412"/>
    </row>
    <row r="67" spans="1:1">
      <c r="A67" s="415" t="s">
        <v>7686</v>
      </c>
    </row>
    <row r="68" spans="1:1">
      <c r="A68" s="412"/>
    </row>
    <row r="69" spans="1:1">
      <c r="A69" s="418" t="s">
        <v>7687</v>
      </c>
    </row>
    <row r="70" spans="1:1">
      <c r="A70" s="412"/>
    </row>
    <row r="71" spans="1:1">
      <c r="A71" s="418" t="s">
        <v>7688</v>
      </c>
    </row>
    <row r="73" spans="1:1" ht="18">
      <c r="A73" s="416" t="s">
        <v>7689</v>
      </c>
    </row>
    <row r="75" spans="1:1">
      <c r="A75" s="411" t="s">
        <v>7690</v>
      </c>
    </row>
    <row r="77" spans="1:1">
      <c r="A77" s="413" t="s">
        <v>7685</v>
      </c>
    </row>
    <row r="78" spans="1:1">
      <c r="A78" s="412"/>
    </row>
    <row r="79" spans="1:1">
      <c r="A79" s="415" t="s">
        <v>7691</v>
      </c>
    </row>
    <row r="80" spans="1:1">
      <c r="A80" s="412"/>
    </row>
    <row r="81" spans="1:1">
      <c r="A81" s="418" t="s">
        <v>7692</v>
      </c>
    </row>
    <row r="82" spans="1:1">
      <c r="A82" s="412"/>
    </row>
    <row r="83" spans="1:1">
      <c r="A83" s="418" t="s">
        <v>7693</v>
      </c>
    </row>
    <row r="87" spans="1:1" ht="31.5">
      <c r="A87" s="409" t="s">
        <v>7694</v>
      </c>
    </row>
    <row r="89" spans="1:1" ht="23.25">
      <c r="A89" s="410" t="s">
        <v>7668</v>
      </c>
    </row>
    <row r="91" spans="1:1">
      <c r="A91" s="411" t="s">
        <v>7695</v>
      </c>
    </row>
    <row r="93" spans="1:1" ht="23.25">
      <c r="A93" s="410" t="s">
        <v>7670</v>
      </c>
    </row>
    <row r="94" spans="1:1">
      <c r="A94" s="412"/>
    </row>
    <row r="95" spans="1:1">
      <c r="A95" s="415" t="s">
        <v>735</v>
      </c>
    </row>
    <row r="96" spans="1:1">
      <c r="A96" s="412"/>
    </row>
    <row r="97" spans="1:1">
      <c r="A97" s="415" t="s">
        <v>741</v>
      </c>
    </row>
    <row r="99" spans="1:1" ht="23.25">
      <c r="A99" s="410" t="s">
        <v>7671</v>
      </c>
    </row>
    <row r="101" spans="1:1" ht="18">
      <c r="A101" s="416" t="s">
        <v>7696</v>
      </c>
    </row>
    <row r="103" spans="1:1">
      <c r="A103" s="411" t="s">
        <v>7697</v>
      </c>
    </row>
    <row r="105" spans="1:1" ht="18">
      <c r="A105" s="416" t="s">
        <v>7698</v>
      </c>
    </row>
    <row r="107" spans="1:1">
      <c r="A107" s="411" t="s">
        <v>7699</v>
      </c>
    </row>
    <row r="108" spans="1:1">
      <c r="A108" s="412"/>
    </row>
    <row r="109" spans="1:1">
      <c r="A109" s="418" t="s">
        <v>7700</v>
      </c>
    </row>
    <row r="110" spans="1:1">
      <c r="A110" s="412"/>
    </row>
    <row r="111" spans="1:1">
      <c r="A111" s="418" t="s">
        <v>7701</v>
      </c>
    </row>
    <row r="112" spans="1:1">
      <c r="A112" s="412"/>
    </row>
    <row r="113" spans="1:1">
      <c r="A113" s="418" t="s">
        <v>7702</v>
      </c>
    </row>
    <row r="114" spans="1:1">
      <c r="A114" s="412"/>
    </row>
    <row r="115" spans="1:1">
      <c r="A115" s="418" t="s">
        <v>7703</v>
      </c>
    </row>
    <row r="116" spans="1:1">
      <c r="A116" s="412"/>
    </row>
    <row r="117" spans="1:1">
      <c r="A117" s="418" t="s">
        <v>7704</v>
      </c>
    </row>
    <row r="118" spans="1:1">
      <c r="A118" s="412"/>
    </row>
    <row r="119" spans="1:1">
      <c r="A119" s="418" t="s">
        <v>7705</v>
      </c>
    </row>
    <row r="120" spans="1:1">
      <c r="A120" s="412"/>
    </row>
    <row r="121" spans="1:1">
      <c r="A121" s="418" t="s">
        <v>7706</v>
      </c>
    </row>
    <row r="122" spans="1:1">
      <c r="A122" s="412"/>
    </row>
    <row r="123" spans="1:1">
      <c r="A123" s="418" t="s">
        <v>7707</v>
      </c>
    </row>
    <row r="125" spans="1:1" ht="18">
      <c r="A125" s="416" t="s">
        <v>7708</v>
      </c>
    </row>
    <row r="127" spans="1:1">
      <c r="A127" s="417" t="s">
        <v>7709</v>
      </c>
    </row>
    <row r="129" spans="1:1" ht="18">
      <c r="A129" s="416" t="s">
        <v>7710</v>
      </c>
    </row>
    <row r="131" spans="1:1">
      <c r="A131" s="411" t="s">
        <v>7711</v>
      </c>
    </row>
    <row r="132" spans="1:1">
      <c r="A132" s="412"/>
    </row>
    <row r="133" spans="1:1">
      <c r="A133" s="418" t="s">
        <v>7712</v>
      </c>
    </row>
    <row r="134" spans="1:1">
      <c r="A134" s="412"/>
    </row>
    <row r="135" spans="1:1">
      <c r="A135" s="418" t="s">
        <v>7713</v>
      </c>
    </row>
    <row r="137" spans="1:1">
      <c r="A137" s="411" t="s">
        <v>7714</v>
      </c>
    </row>
    <row r="139" spans="1:1" ht="18">
      <c r="A139" s="416" t="s">
        <v>7715</v>
      </c>
    </row>
    <row r="141" spans="1:1">
      <c r="A141" s="411" t="s">
        <v>7716</v>
      </c>
    </row>
    <row r="143" spans="1:1" ht="23.25">
      <c r="A143" s="410" t="s">
        <v>7682</v>
      </c>
    </row>
    <row r="145" spans="1:1" ht="18">
      <c r="A145" s="416" t="s">
        <v>7717</v>
      </c>
    </row>
    <row r="147" spans="1:1">
      <c r="A147" s="411" t="s">
        <v>7718</v>
      </c>
    </row>
    <row r="149" spans="1:1">
      <c r="A149" s="413" t="s">
        <v>7685</v>
      </c>
    </row>
    <row r="150" spans="1:1">
      <c r="A150" s="412"/>
    </row>
    <row r="151" spans="1:1">
      <c r="A151" s="418" t="s">
        <v>7719</v>
      </c>
    </row>
    <row r="152" spans="1:1">
      <c r="A152" s="412"/>
    </row>
    <row r="153" spans="1:1">
      <c r="A153" s="418" t="s">
        <v>7720</v>
      </c>
    </row>
    <row r="154" spans="1:1">
      <c r="A154" s="412"/>
    </row>
    <row r="155" spans="1:1">
      <c r="A155" s="418" t="s">
        <v>7721</v>
      </c>
    </row>
    <row r="157" spans="1:1" ht="18">
      <c r="A157" s="416" t="s">
        <v>7722</v>
      </c>
    </row>
    <row r="159" spans="1:1">
      <c r="A159" s="411" t="s">
        <v>7723</v>
      </c>
    </row>
    <row r="161" spans="1:1">
      <c r="A161" s="413" t="s">
        <v>7685</v>
      </c>
    </row>
    <row r="162" spans="1:1">
      <c r="A162" s="412"/>
    </row>
    <row r="163" spans="1:1">
      <c r="A163" s="418" t="s">
        <v>7724</v>
      </c>
    </row>
    <row r="164" spans="1:1">
      <c r="A164" s="412"/>
    </row>
    <row r="165" spans="1:1">
      <c r="A165" s="418" t="s">
        <v>7725</v>
      </c>
    </row>
    <row r="166" spans="1:1">
      <c r="A166" s="412"/>
    </row>
    <row r="167" spans="1:1">
      <c r="A167" s="418" t="s">
        <v>7726</v>
      </c>
    </row>
    <row r="168" spans="1:1">
      <c r="A168" s="412"/>
    </row>
    <row r="169" spans="1:1">
      <c r="A169" s="418" t="s">
        <v>7727</v>
      </c>
    </row>
    <row r="173" spans="1:1" ht="31.5">
      <c r="A173" s="409" t="s">
        <v>7728</v>
      </c>
    </row>
    <row r="175" spans="1:1" ht="23.25">
      <c r="A175" s="410" t="s">
        <v>7668</v>
      </c>
    </row>
    <row r="177" spans="1:1">
      <c r="A177" s="411" t="s">
        <v>7729</v>
      </c>
    </row>
    <row r="179" spans="1:1" ht="23.25">
      <c r="A179" s="410" t="s">
        <v>7670</v>
      </c>
    </row>
    <row r="180" spans="1:1">
      <c r="A180" s="412"/>
    </row>
    <row r="181" spans="1:1">
      <c r="A181" s="415" t="s">
        <v>1054</v>
      </c>
    </row>
    <row r="182" spans="1:1">
      <c r="A182" s="412"/>
    </row>
    <row r="183" spans="1:1">
      <c r="A183" s="415" t="s">
        <v>1060</v>
      </c>
    </row>
    <row r="184" spans="1:1">
      <c r="A184" s="412"/>
    </row>
    <row r="185" spans="1:1">
      <c r="A185" s="415" t="s">
        <v>1064</v>
      </c>
    </row>
    <row r="186" spans="1:1">
      <c r="A186" s="412"/>
    </row>
    <row r="187" spans="1:1">
      <c r="A187" s="415" t="s">
        <v>1069</v>
      </c>
    </row>
    <row r="188" spans="1:1">
      <c r="A188" s="412"/>
    </row>
    <row r="189" spans="1:1">
      <c r="A189" s="415" t="s">
        <v>1074</v>
      </c>
    </row>
    <row r="191" spans="1:1" ht="23.25">
      <c r="A191" s="410" t="s">
        <v>7671</v>
      </c>
    </row>
    <row r="193" spans="1:1" ht="18">
      <c r="A193" s="416" t="s">
        <v>7730</v>
      </c>
    </row>
    <row r="195" spans="1:1">
      <c r="A195" s="411" t="s">
        <v>7731</v>
      </c>
    </row>
    <row r="197" spans="1:1" ht="18">
      <c r="A197" s="416" t="s">
        <v>7732</v>
      </c>
    </row>
    <row r="199" spans="1:1">
      <c r="A199" s="411" t="s">
        <v>7733</v>
      </c>
    </row>
    <row r="201" spans="1:1" ht="18">
      <c r="A201" s="416" t="s">
        <v>7734</v>
      </c>
    </row>
    <row r="203" spans="1:1">
      <c r="A203" s="411" t="s">
        <v>7735</v>
      </c>
    </row>
    <row r="204" spans="1:1">
      <c r="A204" s="412"/>
    </row>
    <row r="205" spans="1:1">
      <c r="A205" s="418" t="s">
        <v>7736</v>
      </c>
    </row>
    <row r="206" spans="1:1">
      <c r="A206" s="412"/>
    </row>
    <row r="207" spans="1:1">
      <c r="A207" s="418" t="s">
        <v>7737</v>
      </c>
    </row>
    <row r="208" spans="1:1">
      <c r="A208" s="412"/>
    </row>
    <row r="209" spans="1:1">
      <c r="A209" s="418" t="s">
        <v>7738</v>
      </c>
    </row>
    <row r="210" spans="1:1">
      <c r="A210" s="412"/>
    </row>
    <row r="211" spans="1:1">
      <c r="A211" s="418" t="s">
        <v>7739</v>
      </c>
    </row>
    <row r="212" spans="1:1">
      <c r="A212" s="412"/>
    </row>
    <row r="213" spans="1:1">
      <c r="A213" s="418" t="s">
        <v>7740</v>
      </c>
    </row>
    <row r="214" spans="1:1">
      <c r="A214" s="412"/>
    </row>
    <row r="215" spans="1:1">
      <c r="A215" s="418" t="s">
        <v>7741</v>
      </c>
    </row>
    <row r="216" spans="1:1">
      <c r="A216" s="412"/>
    </row>
    <row r="217" spans="1:1">
      <c r="A217" s="418" t="s">
        <v>7742</v>
      </c>
    </row>
    <row r="219" spans="1:1" ht="18">
      <c r="A219" s="416" t="s">
        <v>7743</v>
      </c>
    </row>
    <row r="221" spans="1:1">
      <c r="A221" s="411" t="s">
        <v>7744</v>
      </c>
    </row>
    <row r="223" spans="1:1" ht="18">
      <c r="A223" s="416" t="s">
        <v>7745</v>
      </c>
    </row>
    <row r="225" spans="1:1">
      <c r="A225" s="411" t="s">
        <v>7746</v>
      </c>
    </row>
    <row r="227" spans="1:1" ht="23.25">
      <c r="A227" s="410" t="s">
        <v>7682</v>
      </c>
    </row>
    <row r="229" spans="1:1" ht="18">
      <c r="A229" s="416" t="s">
        <v>7747</v>
      </c>
    </row>
    <row r="231" spans="1:1">
      <c r="A231" s="411" t="s">
        <v>7748</v>
      </c>
    </row>
    <row r="233" spans="1:1">
      <c r="A233" s="413" t="s">
        <v>7685</v>
      </c>
    </row>
    <row r="234" spans="1:1">
      <c r="A234" s="412"/>
    </row>
    <row r="235" spans="1:1">
      <c r="A235" s="418" t="s">
        <v>7749</v>
      </c>
    </row>
    <row r="236" spans="1:1">
      <c r="A236" s="412"/>
    </row>
    <row r="237" spans="1:1">
      <c r="A237" s="418" t="s">
        <v>7750</v>
      </c>
    </row>
    <row r="238" spans="1:1">
      <c r="A238" s="412"/>
    </row>
    <row r="239" spans="1:1">
      <c r="A239" s="418" t="s">
        <v>7751</v>
      </c>
    </row>
    <row r="240" spans="1:1">
      <c r="A240" s="412"/>
    </row>
    <row r="241" spans="1:1">
      <c r="A241" s="418" t="s">
        <v>7752</v>
      </c>
    </row>
    <row r="243" spans="1:1" ht="18">
      <c r="A243" s="416" t="s">
        <v>7753</v>
      </c>
    </row>
    <row r="245" spans="1:1">
      <c r="A245" s="411" t="s">
        <v>7754</v>
      </c>
    </row>
    <row r="247" spans="1:1">
      <c r="A247" s="413" t="s">
        <v>7685</v>
      </c>
    </row>
    <row r="248" spans="1:1">
      <c r="A248" s="412"/>
    </row>
    <row r="249" spans="1:1">
      <c r="A249" s="418" t="s">
        <v>7755</v>
      </c>
    </row>
    <row r="250" spans="1:1">
      <c r="A250" s="412"/>
    </row>
    <row r="251" spans="1:1">
      <c r="A251" s="418" t="s">
        <v>7756</v>
      </c>
    </row>
    <row r="252" spans="1:1">
      <c r="A252" s="412"/>
    </row>
    <row r="253" spans="1:1">
      <c r="A253" s="418" t="s">
        <v>7757</v>
      </c>
    </row>
    <row r="254" spans="1:1">
      <c r="A254" s="412"/>
    </row>
    <row r="255" spans="1:1">
      <c r="A255" s="418" t="s">
        <v>7758</v>
      </c>
    </row>
    <row r="257" spans="1:1" ht="18">
      <c r="A257" s="416" t="s">
        <v>7759</v>
      </c>
    </row>
    <row r="259" spans="1:1">
      <c r="A259" s="411" t="s">
        <v>7760</v>
      </c>
    </row>
    <row r="261" spans="1:1">
      <c r="A261" s="413" t="s">
        <v>7685</v>
      </c>
    </row>
    <row r="262" spans="1:1">
      <c r="A262" s="412"/>
    </row>
    <row r="263" spans="1:1">
      <c r="A263" s="418" t="s">
        <v>7761</v>
      </c>
    </row>
    <row r="264" spans="1:1">
      <c r="A264" s="412"/>
    </row>
    <row r="265" spans="1:1">
      <c r="A265" s="418" t="s">
        <v>7762</v>
      </c>
    </row>
    <row r="266" spans="1:1">
      <c r="A266" s="412"/>
    </row>
    <row r="267" spans="1:1">
      <c r="A267" s="418" t="s">
        <v>7763</v>
      </c>
    </row>
    <row r="269" spans="1:1" ht="18">
      <c r="A269" s="416" t="s">
        <v>7764</v>
      </c>
    </row>
    <row r="271" spans="1:1">
      <c r="A271" s="411" t="s">
        <v>7765</v>
      </c>
    </row>
    <row r="273" spans="1:1">
      <c r="A273" s="413" t="s">
        <v>7685</v>
      </c>
    </row>
    <row r="274" spans="1:1">
      <c r="A274" s="412"/>
    </row>
    <row r="275" spans="1:1">
      <c r="A275" s="418" t="s">
        <v>7766</v>
      </c>
    </row>
    <row r="276" spans="1:1">
      <c r="A276" s="412"/>
    </row>
    <row r="277" spans="1:1">
      <c r="A277" s="418" t="s">
        <v>7767</v>
      </c>
    </row>
    <row r="278" spans="1:1">
      <c r="A278" s="412"/>
    </row>
    <row r="279" spans="1:1">
      <c r="A279" s="418" t="s">
        <v>7768</v>
      </c>
    </row>
    <row r="280" spans="1:1">
      <c r="A280" s="412"/>
    </row>
    <row r="281" spans="1:1">
      <c r="A281" s="418" t="s">
        <v>7769</v>
      </c>
    </row>
    <row r="283" spans="1:1" ht="18">
      <c r="A283" s="416" t="s">
        <v>7770</v>
      </c>
    </row>
    <row r="285" spans="1:1">
      <c r="A285" s="411" t="s">
        <v>7771</v>
      </c>
    </row>
    <row r="287" spans="1:1">
      <c r="A287" s="413" t="s">
        <v>7685</v>
      </c>
    </row>
    <row r="288" spans="1:1">
      <c r="A288" s="412"/>
    </row>
    <row r="289" spans="1:1">
      <c r="A289" s="418" t="s">
        <v>7772</v>
      </c>
    </row>
    <row r="290" spans="1:1">
      <c r="A290" s="412"/>
    </row>
    <row r="291" spans="1:1">
      <c r="A291" s="418" t="s">
        <v>7773</v>
      </c>
    </row>
    <row r="292" spans="1:1">
      <c r="A292" s="412"/>
    </row>
    <row r="293" spans="1:1">
      <c r="A293" s="418" t="s">
        <v>7774</v>
      </c>
    </row>
    <row r="297" spans="1:1" ht="31.5">
      <c r="A297" s="409" t="s">
        <v>7775</v>
      </c>
    </row>
    <row r="299" spans="1:1" ht="23.25">
      <c r="A299" s="410" t="s">
        <v>7668</v>
      </c>
    </row>
    <row r="301" spans="1:1">
      <c r="A301" s="411" t="s">
        <v>7776</v>
      </c>
    </row>
    <row r="303" spans="1:1" ht="23.25">
      <c r="A303" s="410" t="s">
        <v>7670</v>
      </c>
    </row>
    <row r="304" spans="1:1">
      <c r="A304" s="412"/>
    </row>
    <row r="305" spans="1:1">
      <c r="A305" s="415" t="s">
        <v>1267</v>
      </c>
    </row>
    <row r="306" spans="1:1">
      <c r="A306" s="412"/>
    </row>
    <row r="307" spans="1:1">
      <c r="A307" s="415" t="s">
        <v>7563</v>
      </c>
    </row>
    <row r="308" spans="1:1">
      <c r="A308" s="412"/>
    </row>
    <row r="309" spans="1:1">
      <c r="A309" s="415" t="s">
        <v>7568</v>
      </c>
    </row>
    <row r="310" spans="1:1">
      <c r="A310" s="412"/>
    </row>
    <row r="311" spans="1:1">
      <c r="A311" s="415" t="s">
        <v>7777</v>
      </c>
    </row>
    <row r="312" spans="1:1">
      <c r="A312" s="412"/>
    </row>
    <row r="313" spans="1:1">
      <c r="A313" s="415" t="s">
        <v>7778</v>
      </c>
    </row>
    <row r="314" spans="1:1">
      <c r="A314" s="412"/>
    </row>
    <row r="315" spans="1:1">
      <c r="A315" s="415" t="s">
        <v>7779</v>
      </c>
    </row>
    <row r="317" spans="1:1" ht="23.25">
      <c r="A317" s="410" t="s">
        <v>7671</v>
      </c>
    </row>
    <row r="319" spans="1:1" ht="18">
      <c r="A319" s="416" t="s">
        <v>7780</v>
      </c>
    </row>
    <row r="321" spans="1:1">
      <c r="A321" s="411" t="s">
        <v>7781</v>
      </c>
    </row>
    <row r="323" spans="1:1" ht="18">
      <c r="A323" s="416" t="s">
        <v>7782</v>
      </c>
    </row>
    <row r="325" spans="1:1">
      <c r="A325" s="411" t="s">
        <v>7783</v>
      </c>
    </row>
    <row r="327" spans="1:1" ht="18">
      <c r="A327" s="416" t="s">
        <v>7784</v>
      </c>
    </row>
    <row r="329" spans="1:1">
      <c r="A329" s="411" t="s">
        <v>7785</v>
      </c>
    </row>
    <row r="331" spans="1:1" ht="18">
      <c r="A331" s="416" t="s">
        <v>7786</v>
      </c>
    </row>
    <row r="333" spans="1:1">
      <c r="A333" s="411" t="s">
        <v>7787</v>
      </c>
    </row>
    <row r="334" spans="1:1">
      <c r="A334" s="412"/>
    </row>
    <row r="335" spans="1:1">
      <c r="A335" s="418" t="s">
        <v>7788</v>
      </c>
    </row>
    <row r="336" spans="1:1">
      <c r="A336" s="412"/>
    </row>
    <row r="337" spans="1:1">
      <c r="A337" s="418" t="s">
        <v>7789</v>
      </c>
    </row>
    <row r="338" spans="1:1">
      <c r="A338" s="412"/>
    </row>
    <row r="339" spans="1:1">
      <c r="A339" s="418" t="s">
        <v>7790</v>
      </c>
    </row>
    <row r="340" spans="1:1">
      <c r="A340" s="412"/>
    </row>
    <row r="341" spans="1:1">
      <c r="A341" s="418" t="s">
        <v>7791</v>
      </c>
    </row>
    <row r="342" spans="1:1">
      <c r="A342" s="412"/>
    </row>
    <row r="343" spans="1:1">
      <c r="A343" s="418" t="s">
        <v>7792</v>
      </c>
    </row>
    <row r="344" spans="1:1">
      <c r="A344" s="412"/>
    </row>
    <row r="345" spans="1:1">
      <c r="A345" s="418" t="s">
        <v>7793</v>
      </c>
    </row>
    <row r="346" spans="1:1">
      <c r="A346" s="412"/>
    </row>
    <row r="347" spans="1:1">
      <c r="A347" s="418" t="s">
        <v>7794</v>
      </c>
    </row>
    <row r="349" spans="1:1" ht="23.25">
      <c r="A349" s="410" t="s">
        <v>7682</v>
      </c>
    </row>
    <row r="351" spans="1:1" ht="18">
      <c r="A351" s="416" t="s">
        <v>7795</v>
      </c>
    </row>
    <row r="353" spans="1:1">
      <c r="A353" s="411" t="s">
        <v>7796</v>
      </c>
    </row>
    <row r="355" spans="1:1">
      <c r="A355" s="413" t="s">
        <v>7685</v>
      </c>
    </row>
    <row r="356" spans="1:1">
      <c r="A356" s="412"/>
    </row>
    <row r="357" spans="1:1">
      <c r="A357" s="418" t="s">
        <v>7797</v>
      </c>
    </row>
    <row r="358" spans="1:1">
      <c r="A358" s="412"/>
    </row>
    <row r="359" spans="1:1">
      <c r="A359" s="418" t="s">
        <v>7798</v>
      </c>
    </row>
    <row r="360" spans="1:1">
      <c r="A360" s="412"/>
    </row>
    <row r="361" spans="1:1">
      <c r="A361" s="418" t="s">
        <v>7799</v>
      </c>
    </row>
    <row r="363" spans="1:1" ht="18">
      <c r="A363" s="416" t="s">
        <v>7800</v>
      </c>
    </row>
    <row r="365" spans="1:1">
      <c r="A365" s="411" t="s">
        <v>7801</v>
      </c>
    </row>
    <row r="367" spans="1:1">
      <c r="A367" s="413" t="s">
        <v>7685</v>
      </c>
    </row>
    <row r="368" spans="1:1">
      <c r="A368" s="412"/>
    </row>
    <row r="369" spans="1:1">
      <c r="A369" s="418" t="s">
        <v>7802</v>
      </c>
    </row>
    <row r="370" spans="1:1">
      <c r="A370" s="412"/>
    </row>
    <row r="371" spans="1:1">
      <c r="A371" s="418" t="s">
        <v>7803</v>
      </c>
    </row>
    <row r="372" spans="1:1">
      <c r="A372" s="412"/>
    </row>
    <row r="373" spans="1:1">
      <c r="A373" s="418" t="s">
        <v>7804</v>
      </c>
    </row>
    <row r="377" spans="1:1" ht="31.5">
      <c r="A377" s="409" t="s">
        <v>7805</v>
      </c>
    </row>
    <row r="379" spans="1:1" ht="23.25">
      <c r="A379" s="410" t="s">
        <v>7668</v>
      </c>
    </row>
    <row r="381" spans="1:1">
      <c r="A381" s="411" t="s">
        <v>7806</v>
      </c>
    </row>
    <row r="383" spans="1:1" ht="23.25">
      <c r="A383" s="410" t="s">
        <v>7670</v>
      </c>
    </row>
    <row r="384" spans="1:1">
      <c r="A384" s="412"/>
    </row>
    <row r="385" spans="1:1">
      <c r="A385" s="415" t="s">
        <v>746</v>
      </c>
    </row>
    <row r="386" spans="1:1">
      <c r="A386" s="412"/>
    </row>
    <row r="387" spans="1:1">
      <c r="A387" s="415" t="s">
        <v>751</v>
      </c>
    </row>
    <row r="389" spans="1:1" ht="23.25">
      <c r="A389" s="410" t="s">
        <v>7671</v>
      </c>
    </row>
    <row r="391" spans="1:1" ht="18">
      <c r="A391" s="416" t="s">
        <v>7807</v>
      </c>
    </row>
    <row r="393" spans="1:1">
      <c r="A393" s="411" t="s">
        <v>7808</v>
      </c>
    </row>
    <row r="395" spans="1:1" ht="18">
      <c r="A395" s="416" t="s">
        <v>7809</v>
      </c>
    </row>
    <row r="397" spans="1:1">
      <c r="A397" s="411" t="s">
        <v>7810</v>
      </c>
    </row>
    <row r="399" spans="1:1" ht="18">
      <c r="A399" s="416" t="s">
        <v>7811</v>
      </c>
    </row>
    <row r="401" spans="1:1">
      <c r="A401" s="411" t="s">
        <v>7812</v>
      </c>
    </row>
    <row r="403" spans="1:1" ht="18">
      <c r="A403" s="416" t="s">
        <v>7813</v>
      </c>
    </row>
    <row r="405" spans="1:1">
      <c r="A405" s="411" t="s">
        <v>7814</v>
      </c>
    </row>
    <row r="407" spans="1:1" ht="23.25">
      <c r="A407" s="410" t="s">
        <v>7682</v>
      </c>
    </row>
    <row r="409" spans="1:1" ht="18">
      <c r="A409" s="416" t="s">
        <v>7815</v>
      </c>
    </row>
    <row r="411" spans="1:1">
      <c r="A411" s="411" t="s">
        <v>7816</v>
      </c>
    </row>
    <row r="413" spans="1:1">
      <c r="A413" s="413" t="s">
        <v>7685</v>
      </c>
    </row>
    <row r="414" spans="1:1">
      <c r="A414" s="412"/>
    </row>
    <row r="415" spans="1:1">
      <c r="A415" s="418" t="s">
        <v>7817</v>
      </c>
    </row>
    <row r="416" spans="1:1">
      <c r="A416" s="412"/>
    </row>
    <row r="417" spans="1:1">
      <c r="A417" s="418" t="s">
        <v>7818</v>
      </c>
    </row>
    <row r="418" spans="1:1">
      <c r="A418" s="412"/>
    </row>
    <row r="419" spans="1:1">
      <c r="A419" s="418" t="s">
        <v>7819</v>
      </c>
    </row>
    <row r="421" spans="1:1" ht="18">
      <c r="A421" s="416" t="s">
        <v>7820</v>
      </c>
    </row>
    <row r="423" spans="1:1">
      <c r="A423" s="411" t="s">
        <v>7821</v>
      </c>
    </row>
    <row r="425" spans="1:1">
      <c r="A425" s="413" t="s">
        <v>7685</v>
      </c>
    </row>
    <row r="426" spans="1:1">
      <c r="A426" s="412"/>
    </row>
    <row r="427" spans="1:1">
      <c r="A427" s="418" t="s">
        <v>7822</v>
      </c>
    </row>
    <row r="428" spans="1:1">
      <c r="A428" s="412"/>
    </row>
    <row r="429" spans="1:1">
      <c r="A429" s="418" t="s">
        <v>7823</v>
      </c>
    </row>
    <row r="430" spans="1:1">
      <c r="A430" s="412"/>
    </row>
    <row r="431" spans="1:1">
      <c r="A431" s="418" t="s">
        <v>7824</v>
      </c>
    </row>
    <row r="435" spans="1:1" ht="31.5">
      <c r="A435" s="409" t="s">
        <v>7825</v>
      </c>
    </row>
    <row r="437" spans="1:1" ht="23.25">
      <c r="A437" s="410" t="s">
        <v>7668</v>
      </c>
    </row>
    <row r="439" spans="1:1">
      <c r="A439" s="411" t="s">
        <v>7826</v>
      </c>
    </row>
    <row r="441" spans="1:1" ht="23.25">
      <c r="A441" s="410" t="s">
        <v>7827</v>
      </c>
    </row>
    <row r="442" spans="1:1">
      <c r="A442" s="412"/>
    </row>
    <row r="443" spans="1:1">
      <c r="A443" s="415" t="s">
        <v>778</v>
      </c>
    </row>
    <row r="445" spans="1:1" ht="23.25">
      <c r="A445" s="410" t="s">
        <v>7671</v>
      </c>
    </row>
    <row r="447" spans="1:1" ht="18">
      <c r="A447" s="416" t="s">
        <v>7828</v>
      </c>
    </row>
    <row r="449" spans="1:1">
      <c r="A449" s="411" t="s">
        <v>7829</v>
      </c>
    </row>
    <row r="451" spans="1:1" ht="18">
      <c r="A451" s="416" t="s">
        <v>7830</v>
      </c>
    </row>
    <row r="453" spans="1:1">
      <c r="A453" s="411" t="s">
        <v>7831</v>
      </c>
    </row>
    <row r="454" spans="1:1">
      <c r="A454" s="412"/>
    </row>
    <row r="455" spans="1:1">
      <c r="A455" s="418" t="s">
        <v>58</v>
      </c>
    </row>
    <row r="456" spans="1:1">
      <c r="A456" s="412"/>
    </row>
    <row r="457" spans="1:1">
      <c r="A457" s="418" t="s">
        <v>66</v>
      </c>
    </row>
    <row r="458" spans="1:1">
      <c r="A458" s="412"/>
    </row>
    <row r="459" spans="1:1">
      <c r="A459" s="418" t="s">
        <v>70</v>
      </c>
    </row>
    <row r="460" spans="1:1">
      <c r="A460" s="412"/>
    </row>
    <row r="461" spans="1:1">
      <c r="A461" s="418" t="s">
        <v>74</v>
      </c>
    </row>
    <row r="462" spans="1:1">
      <c r="A462" s="412"/>
    </row>
    <row r="463" spans="1:1">
      <c r="A463" s="418" t="s">
        <v>62</v>
      </c>
    </row>
    <row r="465" spans="1:1" ht="18">
      <c r="A465" s="416" t="s">
        <v>7832</v>
      </c>
    </row>
    <row r="467" spans="1:1">
      <c r="A467" s="417" t="s">
        <v>7833</v>
      </c>
    </row>
    <row r="469" spans="1:1" ht="18">
      <c r="A469" s="416" t="s">
        <v>7834</v>
      </c>
    </row>
    <row r="471" spans="1:1">
      <c r="A471" s="411" t="s">
        <v>7835</v>
      </c>
    </row>
    <row r="473" spans="1:1" ht="18">
      <c r="A473" s="416" t="s">
        <v>7836</v>
      </c>
    </row>
    <row r="475" spans="1:1">
      <c r="A475" s="411" t="s">
        <v>7837</v>
      </c>
    </row>
    <row r="477" spans="1:1" ht="18">
      <c r="A477" s="416" t="s">
        <v>7838</v>
      </c>
    </row>
    <row r="479" spans="1:1">
      <c r="A479" s="411" t="s">
        <v>7839</v>
      </c>
    </row>
    <row r="481" spans="1:1" ht="23.25">
      <c r="A481" s="410" t="s">
        <v>7682</v>
      </c>
    </row>
    <row r="483" spans="1:1" ht="18">
      <c r="A483" s="416" t="s">
        <v>7840</v>
      </c>
    </row>
    <row r="485" spans="1:1">
      <c r="A485" s="411" t="s">
        <v>7841</v>
      </c>
    </row>
    <row r="487" spans="1:1">
      <c r="A487" s="413" t="s">
        <v>7685</v>
      </c>
    </row>
    <row r="488" spans="1:1">
      <c r="A488" s="412"/>
    </row>
    <row r="489" spans="1:1">
      <c r="A489" s="418" t="s">
        <v>7842</v>
      </c>
    </row>
    <row r="490" spans="1:1">
      <c r="A490" s="412"/>
    </row>
    <row r="491" spans="1:1">
      <c r="A491" s="418" t="s">
        <v>7843</v>
      </c>
    </row>
    <row r="492" spans="1:1">
      <c r="A492" s="412"/>
    </row>
    <row r="493" spans="1:1">
      <c r="A493" s="418" t="s">
        <v>7844</v>
      </c>
    </row>
    <row r="495" spans="1:1" ht="18">
      <c r="A495" s="416" t="s">
        <v>7845</v>
      </c>
    </row>
    <row r="497" spans="1:1">
      <c r="A497" s="411" t="s">
        <v>7846</v>
      </c>
    </row>
    <row r="499" spans="1:1">
      <c r="A499" s="413" t="s">
        <v>7685</v>
      </c>
    </row>
    <row r="500" spans="1:1">
      <c r="A500" s="412"/>
    </row>
    <row r="501" spans="1:1">
      <c r="A501" s="418" t="s">
        <v>7847</v>
      </c>
    </row>
    <row r="502" spans="1:1">
      <c r="A502" s="412"/>
    </row>
    <row r="503" spans="1:1">
      <c r="A503" s="418" t="s">
        <v>7848</v>
      </c>
    </row>
    <row r="504" spans="1:1">
      <c r="A504" s="412"/>
    </row>
    <row r="505" spans="1:1">
      <c r="A505" s="418" t="s">
        <v>7849</v>
      </c>
    </row>
    <row r="509" spans="1:1" ht="31.5">
      <c r="A509" s="409" t="s">
        <v>7850</v>
      </c>
    </row>
    <row r="511" spans="1:1" ht="23.25">
      <c r="A511" s="410" t="s">
        <v>7668</v>
      </c>
    </row>
    <row r="513" spans="1:1">
      <c r="A513" s="411" t="s">
        <v>7851</v>
      </c>
    </row>
    <row r="515" spans="1:1" ht="23.25">
      <c r="A515" s="410" t="s">
        <v>7827</v>
      </c>
    </row>
    <row r="516" spans="1:1">
      <c r="A516" s="412"/>
    </row>
    <row r="517" spans="1:1">
      <c r="A517" s="415" t="s">
        <v>756</v>
      </c>
    </row>
    <row r="519" spans="1:1" ht="23.25">
      <c r="A519" s="410" t="s">
        <v>7671</v>
      </c>
    </row>
    <row r="521" spans="1:1" ht="18">
      <c r="A521" s="416" t="s">
        <v>7852</v>
      </c>
    </row>
    <row r="523" spans="1:1">
      <c r="A523" s="411" t="s">
        <v>7853</v>
      </c>
    </row>
    <row r="525" spans="1:1">
      <c r="A525" s="411" t="s">
        <v>7854</v>
      </c>
    </row>
    <row r="527" spans="1:1" ht="18">
      <c r="A527" s="416" t="s">
        <v>7855</v>
      </c>
    </row>
    <row r="529" spans="1:1">
      <c r="A529" s="411" t="s">
        <v>7856</v>
      </c>
    </row>
    <row r="531" spans="1:1" ht="18">
      <c r="A531" s="416" t="s">
        <v>7857</v>
      </c>
    </row>
    <row r="533" spans="1:1">
      <c r="A533" s="411" t="s">
        <v>7858</v>
      </c>
    </row>
    <row r="535" spans="1:1" ht="23.25">
      <c r="A535" s="410" t="s">
        <v>7682</v>
      </c>
    </row>
    <row r="537" spans="1:1" ht="18">
      <c r="A537" s="416" t="s">
        <v>7859</v>
      </c>
    </row>
    <row r="539" spans="1:1">
      <c r="A539" s="411" t="s">
        <v>7860</v>
      </c>
    </row>
    <row r="541" spans="1:1">
      <c r="A541" s="413" t="s">
        <v>7685</v>
      </c>
    </row>
    <row r="542" spans="1:1">
      <c r="A542" s="412"/>
    </row>
    <row r="543" spans="1:1">
      <c r="A543" s="418" t="s">
        <v>7861</v>
      </c>
    </row>
    <row r="544" spans="1:1">
      <c r="A544" s="412"/>
    </row>
    <row r="545" spans="1:1">
      <c r="A545" s="418" t="s">
        <v>7862</v>
      </c>
    </row>
    <row r="546" spans="1:1">
      <c r="A546" s="412"/>
    </row>
    <row r="547" spans="1:1">
      <c r="A547" s="418" t="s">
        <v>7863</v>
      </c>
    </row>
    <row r="548" spans="1:1">
      <c r="A548" s="412"/>
    </row>
    <row r="549" spans="1:1">
      <c r="A549" s="418" t="s">
        <v>7864</v>
      </c>
    </row>
    <row r="553" spans="1:1" ht="31.5">
      <c r="A553" s="409" t="s">
        <v>7865</v>
      </c>
    </row>
    <row r="555" spans="1:1" ht="23.25">
      <c r="A555" s="410" t="s">
        <v>7668</v>
      </c>
    </row>
    <row r="557" spans="1:1">
      <c r="A557" s="411" t="s">
        <v>7866</v>
      </c>
    </row>
    <row r="559" spans="1:1" ht="23.25">
      <c r="A559" s="410" t="s">
        <v>7670</v>
      </c>
    </row>
    <row r="560" spans="1:1">
      <c r="A560" s="412"/>
    </row>
    <row r="561" spans="1:1">
      <c r="A561" s="415" t="s">
        <v>855</v>
      </c>
    </row>
    <row r="562" spans="1:1">
      <c r="A562" s="412"/>
    </row>
    <row r="563" spans="1:1">
      <c r="A563" s="415" t="s">
        <v>927</v>
      </c>
    </row>
    <row r="564" spans="1:1">
      <c r="A564" s="412"/>
    </row>
    <row r="565" spans="1:1">
      <c r="A565" s="415" t="s">
        <v>861</v>
      </c>
    </row>
    <row r="567" spans="1:1" ht="23.25">
      <c r="A567" s="410" t="s">
        <v>7671</v>
      </c>
    </row>
    <row r="569" spans="1:1" ht="18">
      <c r="A569" s="416" t="s">
        <v>7867</v>
      </c>
    </row>
    <row r="571" spans="1:1">
      <c r="A571" s="411" t="s">
        <v>7868</v>
      </c>
    </row>
    <row r="573" spans="1:1" ht="18">
      <c r="A573" s="416" t="s">
        <v>7869</v>
      </c>
    </row>
    <row r="575" spans="1:1">
      <c r="A575" s="411" t="s">
        <v>7870</v>
      </c>
    </row>
    <row r="577" spans="1:1" ht="18">
      <c r="A577" s="416" t="s">
        <v>7871</v>
      </c>
    </row>
    <row r="579" spans="1:1">
      <c r="A579" s="411" t="s">
        <v>7872</v>
      </c>
    </row>
    <row r="580" spans="1:1">
      <c r="A580" s="412"/>
    </row>
    <row r="581" spans="1:1">
      <c r="A581" s="418" t="s">
        <v>7873</v>
      </c>
    </row>
    <row r="582" spans="1:1">
      <c r="A582" s="412"/>
    </row>
    <row r="583" spans="1:1">
      <c r="A583" s="418" t="s">
        <v>7874</v>
      </c>
    </row>
    <row r="585" spans="1:1" ht="18">
      <c r="A585" s="416" t="s">
        <v>7875</v>
      </c>
    </row>
    <row r="587" spans="1:1">
      <c r="A587" s="411" t="s">
        <v>7876</v>
      </c>
    </row>
    <row r="589" spans="1:1" ht="18">
      <c r="A589" s="416" t="s">
        <v>7877</v>
      </c>
    </row>
    <row r="591" spans="1:1">
      <c r="A591" s="411" t="s">
        <v>7878</v>
      </c>
    </row>
    <row r="593" spans="1:1" ht="23.25">
      <c r="A593" s="410" t="s">
        <v>7682</v>
      </c>
    </row>
    <row r="595" spans="1:1" ht="18">
      <c r="A595" s="416" t="s">
        <v>7879</v>
      </c>
    </row>
    <row r="597" spans="1:1">
      <c r="A597" s="411" t="s">
        <v>7880</v>
      </c>
    </row>
    <row r="599" spans="1:1">
      <c r="A599" s="413" t="s">
        <v>7685</v>
      </c>
    </row>
    <row r="600" spans="1:1">
      <c r="A600" s="412"/>
    </row>
    <row r="601" spans="1:1">
      <c r="A601" s="418" t="s">
        <v>7881</v>
      </c>
    </row>
    <row r="602" spans="1:1">
      <c r="A602" s="412"/>
    </row>
    <row r="603" spans="1:1">
      <c r="A603" s="418" t="s">
        <v>7882</v>
      </c>
    </row>
    <row r="604" spans="1:1">
      <c r="A604" s="412"/>
    </row>
    <row r="605" spans="1:1">
      <c r="A605" s="418" t="s">
        <v>7883</v>
      </c>
    </row>
    <row r="606" spans="1:1">
      <c r="A606" s="412"/>
    </row>
    <row r="607" spans="1:1">
      <c r="A607" s="418" t="s">
        <v>7884</v>
      </c>
    </row>
    <row r="609" spans="1:1" ht="18">
      <c r="A609" s="416" t="s">
        <v>7885</v>
      </c>
    </row>
    <row r="611" spans="1:1">
      <c r="A611" s="411" t="s">
        <v>7886</v>
      </c>
    </row>
    <row r="613" spans="1:1">
      <c r="A613" s="413" t="s">
        <v>7685</v>
      </c>
    </row>
    <row r="614" spans="1:1">
      <c r="A614" s="412"/>
    </row>
    <row r="615" spans="1:1">
      <c r="A615" s="418" t="s">
        <v>7887</v>
      </c>
    </row>
    <row r="616" spans="1:1">
      <c r="A616" s="412"/>
    </row>
    <row r="617" spans="1:1">
      <c r="A617" s="418" t="s">
        <v>7888</v>
      </c>
    </row>
    <row r="618" spans="1:1">
      <c r="A618" s="412"/>
    </row>
    <row r="619" spans="1:1">
      <c r="A619" s="418" t="s">
        <v>7889</v>
      </c>
    </row>
    <row r="623" spans="1:1" ht="31.5">
      <c r="A623" s="409" t="s">
        <v>7890</v>
      </c>
    </row>
    <row r="625" spans="1:1" ht="23.25">
      <c r="A625" s="410" t="s">
        <v>7668</v>
      </c>
    </row>
    <row r="627" spans="1:1">
      <c r="A627" s="411" t="s">
        <v>7891</v>
      </c>
    </row>
    <row r="629" spans="1:1" ht="23.25">
      <c r="A629" s="410" t="s">
        <v>7827</v>
      </c>
    </row>
    <row r="630" spans="1:1">
      <c r="A630" s="412"/>
    </row>
    <row r="631" spans="1:1">
      <c r="A631" s="415" t="s">
        <v>903</v>
      </c>
    </row>
    <row r="633" spans="1:1" ht="23.25">
      <c r="A633" s="410" t="s">
        <v>7671</v>
      </c>
    </row>
    <row r="635" spans="1:1" ht="18">
      <c r="A635" s="416" t="s">
        <v>7892</v>
      </c>
    </row>
    <row r="637" spans="1:1">
      <c r="A637" s="411" t="s">
        <v>7893</v>
      </c>
    </row>
    <row r="639" spans="1:1" ht="18">
      <c r="A639" s="416" t="s">
        <v>7894</v>
      </c>
    </row>
    <row r="641" spans="1:1">
      <c r="A641" s="411" t="s">
        <v>7895</v>
      </c>
    </row>
    <row r="643" spans="1:1" ht="18">
      <c r="A643" s="416" t="s">
        <v>7896</v>
      </c>
    </row>
    <row r="645" spans="1:1">
      <c r="A645" s="411" t="s">
        <v>7897</v>
      </c>
    </row>
    <row r="647" spans="1:1" ht="23.25">
      <c r="A647" s="410" t="s">
        <v>7682</v>
      </c>
    </row>
    <row r="649" spans="1:1" ht="18">
      <c r="A649" s="416" t="s">
        <v>7898</v>
      </c>
    </row>
    <row r="651" spans="1:1">
      <c r="A651" s="411" t="s">
        <v>7899</v>
      </c>
    </row>
    <row r="653" spans="1:1">
      <c r="A653" s="413" t="s">
        <v>7685</v>
      </c>
    </row>
    <row r="654" spans="1:1">
      <c r="A654" s="412"/>
    </row>
    <row r="655" spans="1:1">
      <c r="A655" s="418" t="s">
        <v>7900</v>
      </c>
    </row>
    <row r="656" spans="1:1">
      <c r="A656" s="412"/>
    </row>
    <row r="657" spans="1:1">
      <c r="A657" s="418" t="s">
        <v>7901</v>
      </c>
    </row>
    <row r="659" spans="1:1" ht="18">
      <c r="A659" s="416" t="s">
        <v>7902</v>
      </c>
    </row>
    <row r="661" spans="1:1">
      <c r="A661" s="411" t="s">
        <v>7903</v>
      </c>
    </row>
    <row r="663" spans="1:1">
      <c r="A663" s="413" t="s">
        <v>7685</v>
      </c>
    </row>
    <row r="664" spans="1:1">
      <c r="A664" s="412"/>
    </row>
    <row r="665" spans="1:1">
      <c r="A665" s="418" t="s">
        <v>7904</v>
      </c>
    </row>
    <row r="666" spans="1:1">
      <c r="A666" s="412"/>
    </row>
    <row r="667" spans="1:1">
      <c r="A667" s="418" t="s">
        <v>7905</v>
      </c>
    </row>
    <row r="671" spans="1:1" ht="31.5">
      <c r="A671" s="409" t="s">
        <v>7906</v>
      </c>
    </row>
    <row r="673" spans="1:1" ht="23.25">
      <c r="A673" s="410" t="s">
        <v>7668</v>
      </c>
    </row>
    <row r="675" spans="1:1">
      <c r="A675" s="411" t="s">
        <v>7907</v>
      </c>
    </row>
    <row r="677" spans="1:1" ht="23.25">
      <c r="A677" s="410" t="s">
        <v>7670</v>
      </c>
    </row>
    <row r="678" spans="1:1">
      <c r="A678" s="412"/>
    </row>
    <row r="679" spans="1:1">
      <c r="A679" s="415" t="s">
        <v>959</v>
      </c>
    </row>
    <row r="680" spans="1:1">
      <c r="A680" s="412"/>
    </row>
    <row r="681" spans="1:1">
      <c r="A681" s="415" t="s">
        <v>861</v>
      </c>
    </row>
    <row r="682" spans="1:1">
      <c r="A682" s="412"/>
    </row>
    <row r="683" spans="1:1">
      <c r="A683" s="415" t="s">
        <v>768</v>
      </c>
    </row>
    <row r="685" spans="1:1" ht="23.25">
      <c r="A685" s="410" t="s">
        <v>7671</v>
      </c>
    </row>
    <row r="687" spans="1:1" ht="18">
      <c r="A687" s="416" t="s">
        <v>7908</v>
      </c>
    </row>
    <row r="689" spans="1:1">
      <c r="A689" s="411" t="s">
        <v>7909</v>
      </c>
    </row>
    <row r="691" spans="1:1" ht="18">
      <c r="A691" s="416" t="s">
        <v>7910</v>
      </c>
    </row>
    <row r="693" spans="1:1">
      <c r="A693" s="411" t="s">
        <v>7911</v>
      </c>
    </row>
    <row r="695" spans="1:1" ht="18">
      <c r="A695" s="416" t="s">
        <v>7912</v>
      </c>
    </row>
    <row r="697" spans="1:1">
      <c r="A697" s="411" t="s">
        <v>7913</v>
      </c>
    </row>
    <row r="699" spans="1:1" ht="18">
      <c r="A699" s="416" t="s">
        <v>7914</v>
      </c>
    </row>
    <row r="701" spans="1:1">
      <c r="A701" s="411" t="s">
        <v>7915</v>
      </c>
    </row>
    <row r="703" spans="1:1" ht="23.25">
      <c r="A703" s="410" t="s">
        <v>7682</v>
      </c>
    </row>
    <row r="705" spans="1:1" ht="18">
      <c r="A705" s="416" t="s">
        <v>7916</v>
      </c>
    </row>
    <row r="707" spans="1:1">
      <c r="A707" s="411" t="s">
        <v>7917</v>
      </c>
    </row>
    <row r="709" spans="1:1">
      <c r="A709" s="413" t="s">
        <v>7685</v>
      </c>
    </row>
    <row r="710" spans="1:1">
      <c r="A710" s="412"/>
    </row>
    <row r="711" spans="1:1">
      <c r="A711" s="418" t="s">
        <v>7918</v>
      </c>
    </row>
    <row r="712" spans="1:1">
      <c r="A712" s="412"/>
    </row>
    <row r="713" spans="1:1">
      <c r="A713" s="418" t="s">
        <v>7919</v>
      </c>
    </row>
    <row r="714" spans="1:1">
      <c r="A714" s="412"/>
    </row>
    <row r="715" spans="1:1">
      <c r="A715" s="418" t="s">
        <v>7920</v>
      </c>
    </row>
    <row r="716" spans="1:1">
      <c r="A716" s="412"/>
    </row>
    <row r="717" spans="1:1">
      <c r="A717" s="418" t="s">
        <v>7921</v>
      </c>
    </row>
    <row r="719" spans="1:1" ht="18">
      <c r="A719" s="416" t="s">
        <v>7922</v>
      </c>
    </row>
    <row r="721" spans="1:1">
      <c r="A721" s="411" t="s">
        <v>7923</v>
      </c>
    </row>
    <row r="723" spans="1:1">
      <c r="A723" s="413" t="s">
        <v>7685</v>
      </c>
    </row>
    <row r="724" spans="1:1">
      <c r="A724" s="412"/>
    </row>
    <row r="725" spans="1:1">
      <c r="A725" s="418" t="s">
        <v>7924</v>
      </c>
    </row>
    <row r="726" spans="1:1">
      <c r="A726" s="412"/>
    </row>
    <row r="727" spans="1:1">
      <c r="A727" s="418" t="s">
        <v>7925</v>
      </c>
    </row>
    <row r="728" spans="1:1">
      <c r="A728" s="412"/>
    </row>
    <row r="729" spans="1:1">
      <c r="A729" s="418" t="s">
        <v>7926</v>
      </c>
    </row>
    <row r="733" spans="1:1" ht="31.5">
      <c r="A733" s="409" t="s">
        <v>7927</v>
      </c>
    </row>
    <row r="735" spans="1:1" ht="23.25">
      <c r="A735" s="410" t="s">
        <v>7668</v>
      </c>
    </row>
    <row r="737" spans="1:1">
      <c r="A737" s="411" t="s">
        <v>7928</v>
      </c>
    </row>
    <row r="739" spans="1:1" ht="23.25">
      <c r="A739" s="410" t="s">
        <v>7670</v>
      </c>
    </row>
    <row r="740" spans="1:1">
      <c r="A740" s="412"/>
    </row>
    <row r="741" spans="1:1">
      <c r="A741" s="415" t="s">
        <v>762</v>
      </c>
    </row>
    <row r="742" spans="1:1">
      <c r="A742" s="412"/>
    </row>
    <row r="743" spans="1:1">
      <c r="A743" s="415" t="s">
        <v>672</v>
      </c>
    </row>
    <row r="744" spans="1:1">
      <c r="A744" s="412"/>
    </row>
    <row r="745" spans="1:1">
      <c r="A745" s="415" t="s">
        <v>768</v>
      </c>
    </row>
    <row r="747" spans="1:1" ht="23.25">
      <c r="A747" s="410" t="s">
        <v>7671</v>
      </c>
    </row>
    <row r="749" spans="1:1" ht="18">
      <c r="A749" s="416" t="s">
        <v>7929</v>
      </c>
    </row>
    <row r="751" spans="1:1">
      <c r="A751" s="411" t="s">
        <v>7930</v>
      </c>
    </row>
    <row r="753" spans="1:1" ht="18">
      <c r="A753" s="416" t="s">
        <v>7931</v>
      </c>
    </row>
    <row r="755" spans="1:1">
      <c r="A755" s="411" t="s">
        <v>7932</v>
      </c>
    </row>
    <row r="756" spans="1:1">
      <c r="A756" s="412"/>
    </row>
    <row r="757" spans="1:1">
      <c r="A757" s="418" t="s">
        <v>7933</v>
      </c>
    </row>
    <row r="758" spans="1:1">
      <c r="A758" s="412"/>
    </row>
    <row r="759" spans="1:1">
      <c r="A759" s="418" t="s">
        <v>7934</v>
      </c>
    </row>
    <row r="760" spans="1:1">
      <c r="A760" s="412"/>
    </row>
    <row r="761" spans="1:1">
      <c r="A761" s="418" t="s">
        <v>7935</v>
      </c>
    </row>
    <row r="762" spans="1:1">
      <c r="A762" s="412"/>
    </row>
    <row r="763" spans="1:1">
      <c r="A763" s="418" t="s">
        <v>7936</v>
      </c>
    </row>
    <row r="764" spans="1:1">
      <c r="A764" s="412"/>
    </row>
    <row r="765" spans="1:1">
      <c r="A765" s="418" t="s">
        <v>7937</v>
      </c>
    </row>
    <row r="766" spans="1:1">
      <c r="A766" s="412"/>
    </row>
    <row r="767" spans="1:1">
      <c r="A767" s="418" t="s">
        <v>7938</v>
      </c>
    </row>
    <row r="769" spans="1:1" ht="18">
      <c r="A769" s="416" t="s">
        <v>7939</v>
      </c>
    </row>
    <row r="771" spans="1:1">
      <c r="A771" s="417" t="s">
        <v>7940</v>
      </c>
    </row>
    <row r="772" spans="1:1">
      <c r="A772" s="412"/>
    </row>
    <row r="773" spans="1:1">
      <c r="A773" s="418" t="s">
        <v>7941</v>
      </c>
    </row>
    <row r="774" spans="1:1">
      <c r="A774" s="412"/>
    </row>
    <row r="775" spans="1:1">
      <c r="A775" s="418" t="s">
        <v>7942</v>
      </c>
    </row>
    <row r="776" spans="1:1">
      <c r="A776" s="412"/>
    </row>
    <row r="777" spans="1:1">
      <c r="A777" s="418" t="s">
        <v>7943</v>
      </c>
    </row>
    <row r="778" spans="1:1">
      <c r="A778" s="412"/>
    </row>
    <row r="779" spans="1:1">
      <c r="A779" s="418" t="s">
        <v>7944</v>
      </c>
    </row>
    <row r="780" spans="1:1">
      <c r="A780" s="412"/>
    </row>
    <row r="781" spans="1:1">
      <c r="A781" s="418" t="s">
        <v>7945</v>
      </c>
    </row>
    <row r="783" spans="1:1" ht="23.25">
      <c r="A783" s="410" t="s">
        <v>7682</v>
      </c>
    </row>
    <row r="785" spans="1:1" ht="18">
      <c r="A785" s="416" t="s">
        <v>7946</v>
      </c>
    </row>
    <row r="787" spans="1:1">
      <c r="A787" s="411" t="s">
        <v>7947</v>
      </c>
    </row>
    <row r="789" spans="1:1">
      <c r="A789" s="413" t="s">
        <v>7685</v>
      </c>
    </row>
    <row r="790" spans="1:1">
      <c r="A790" s="412"/>
    </row>
    <row r="791" spans="1:1">
      <c r="A791" s="418" t="s">
        <v>7948</v>
      </c>
    </row>
    <row r="792" spans="1:1">
      <c r="A792" s="412"/>
    </row>
    <row r="793" spans="1:1">
      <c r="A793" s="418" t="s">
        <v>7949</v>
      </c>
    </row>
    <row r="794" spans="1:1">
      <c r="A794" s="412"/>
    </row>
    <row r="795" spans="1:1">
      <c r="A795" s="418" t="s">
        <v>7950</v>
      </c>
    </row>
    <row r="797" spans="1:1" ht="18">
      <c r="A797" s="416" t="s">
        <v>7951</v>
      </c>
    </row>
    <row r="799" spans="1:1">
      <c r="A799" s="411" t="s">
        <v>7952</v>
      </c>
    </row>
    <row r="801" spans="1:1">
      <c r="A801" s="413" t="s">
        <v>7685</v>
      </c>
    </row>
    <row r="802" spans="1:1">
      <c r="A802" s="412"/>
    </row>
    <row r="803" spans="1:1">
      <c r="A803" s="418" t="s">
        <v>7953</v>
      </c>
    </row>
    <row r="804" spans="1:1">
      <c r="A804" s="412"/>
    </row>
    <row r="805" spans="1:1">
      <c r="A805" s="418" t="s">
        <v>7954</v>
      </c>
    </row>
    <row r="806" spans="1:1">
      <c r="A806" s="412"/>
    </row>
    <row r="807" spans="1:1">
      <c r="A807" s="418" t="s">
        <v>7955</v>
      </c>
    </row>
    <row r="811" spans="1:1" ht="31.5">
      <c r="A811" s="409" t="s">
        <v>7956</v>
      </c>
    </row>
    <row r="813" spans="1:1" ht="23.25">
      <c r="A813" s="410" t="s">
        <v>7668</v>
      </c>
    </row>
    <row r="815" spans="1:1">
      <c r="A815" s="411" t="s">
        <v>7957</v>
      </c>
    </row>
    <row r="817" spans="1:1" ht="23.25">
      <c r="A817" s="410" t="s">
        <v>7671</v>
      </c>
    </row>
    <row r="819" spans="1:1" ht="18">
      <c r="A819" s="416" t="s">
        <v>7958</v>
      </c>
    </row>
    <row r="821" spans="1:1">
      <c r="A821" s="411" t="s">
        <v>7959</v>
      </c>
    </row>
    <row r="823" spans="1:1" ht="18">
      <c r="A823" s="416" t="s">
        <v>7960</v>
      </c>
    </row>
    <row r="825" spans="1:1">
      <c r="A825" s="411" t="s">
        <v>7961</v>
      </c>
    </row>
    <row r="827" spans="1:1" ht="18">
      <c r="A827" s="416" t="s">
        <v>7962</v>
      </c>
    </row>
    <row r="829" spans="1:1">
      <c r="A829" s="411" t="s">
        <v>7963</v>
      </c>
    </row>
    <row r="831" spans="1:1" ht="18">
      <c r="A831" s="416" t="s">
        <v>7964</v>
      </c>
    </row>
    <row r="833" spans="1:1">
      <c r="A833" s="411" t="s">
        <v>7965</v>
      </c>
    </row>
    <row r="835" spans="1:1" ht="18">
      <c r="A835" s="416" t="s">
        <v>7966</v>
      </c>
    </row>
    <row r="837" spans="1:1">
      <c r="A837" s="411" t="s">
        <v>7967</v>
      </c>
    </row>
    <row r="839" spans="1:1" ht="18">
      <c r="A839" s="416" t="s">
        <v>7968</v>
      </c>
    </row>
    <row r="841" spans="1:1">
      <c r="A841" s="411" t="s">
        <v>7969</v>
      </c>
    </row>
    <row r="843" spans="1:1" ht="23.25">
      <c r="A843" s="410" t="s">
        <v>7682</v>
      </c>
    </row>
    <row r="845" spans="1:1" ht="18">
      <c r="A845" s="416" t="s">
        <v>7970</v>
      </c>
    </row>
    <row r="847" spans="1:1">
      <c r="A847" s="411" t="s">
        <v>7971</v>
      </c>
    </row>
    <row r="849" spans="1:1">
      <c r="A849" s="413" t="s">
        <v>7685</v>
      </c>
    </row>
    <row r="850" spans="1:1">
      <c r="A850" s="412"/>
    </row>
    <row r="851" spans="1:1">
      <c r="A851" s="418" t="s">
        <v>7972</v>
      </c>
    </row>
    <row r="852" spans="1:1">
      <c r="A852" s="412"/>
    </row>
    <row r="853" spans="1:1">
      <c r="A853" s="418" t="s">
        <v>7973</v>
      </c>
    </row>
    <row r="854" spans="1:1">
      <c r="A854" s="412"/>
    </row>
    <row r="855" spans="1:1">
      <c r="A855" s="418" t="s">
        <v>7974</v>
      </c>
    </row>
    <row r="857" spans="1:1" ht="18">
      <c r="A857" s="416" t="s">
        <v>7975</v>
      </c>
    </row>
    <row r="859" spans="1:1">
      <c r="A859" s="411" t="s">
        <v>7976</v>
      </c>
    </row>
    <row r="861" spans="1:1">
      <c r="A861" s="413" t="s">
        <v>7685</v>
      </c>
    </row>
    <row r="862" spans="1:1">
      <c r="A862" s="412"/>
    </row>
    <row r="863" spans="1:1">
      <c r="A863" s="418" t="s">
        <v>7977</v>
      </c>
    </row>
    <row r="864" spans="1:1">
      <c r="A864" s="412"/>
    </row>
    <row r="865" spans="1:1">
      <c r="A865" s="418" t="s">
        <v>7978</v>
      </c>
    </row>
    <row r="866" spans="1:1">
      <c r="A866" s="412"/>
    </row>
    <row r="867" spans="1:1">
      <c r="A867" s="418" t="s">
        <v>7979</v>
      </c>
    </row>
    <row r="871" spans="1:1" ht="31.5">
      <c r="A871" s="409" t="s">
        <v>7980</v>
      </c>
    </row>
    <row r="873" spans="1:1" ht="23.25">
      <c r="A873" s="410" t="s">
        <v>7668</v>
      </c>
    </row>
    <row r="875" spans="1:1">
      <c r="A875" s="411" t="s">
        <v>7981</v>
      </c>
    </row>
    <row r="877" spans="1:1" ht="23.25">
      <c r="A877" s="410" t="s">
        <v>7827</v>
      </c>
    </row>
    <row r="878" spans="1:1">
      <c r="A878" s="412"/>
    </row>
    <row r="879" spans="1:1">
      <c r="A879" s="415" t="s">
        <v>659</v>
      </c>
    </row>
    <row r="881" spans="1:1" ht="23.25">
      <c r="A881" s="410" t="s">
        <v>7671</v>
      </c>
    </row>
    <row r="883" spans="1:1" ht="18">
      <c r="A883" s="416" t="s">
        <v>7982</v>
      </c>
    </row>
    <row r="885" spans="1:1">
      <c r="A885" s="411" t="s">
        <v>7983</v>
      </c>
    </row>
    <row r="886" spans="1:1">
      <c r="A886" s="412"/>
    </row>
    <row r="887" spans="1:1">
      <c r="A887" s="418" t="s">
        <v>7984</v>
      </c>
    </row>
    <row r="888" spans="1:1">
      <c r="A888" s="412"/>
    </row>
    <row r="889" spans="1:1">
      <c r="A889" s="418" t="s">
        <v>7985</v>
      </c>
    </row>
    <row r="890" spans="1:1">
      <c r="A890" s="412"/>
    </row>
    <row r="891" spans="1:1">
      <c r="A891" s="418" t="s">
        <v>7986</v>
      </c>
    </row>
    <row r="892" spans="1:1">
      <c r="A892" s="412"/>
    </row>
    <row r="893" spans="1:1">
      <c r="A893" s="418" t="s">
        <v>7987</v>
      </c>
    </row>
    <row r="894" spans="1:1">
      <c r="A894" s="412"/>
    </row>
    <row r="895" spans="1:1">
      <c r="A895" s="418" t="s">
        <v>7988</v>
      </c>
    </row>
    <row r="896" spans="1:1">
      <c r="A896" s="412"/>
    </row>
    <row r="897" spans="1:1">
      <c r="A897" s="418" t="s">
        <v>7989</v>
      </c>
    </row>
    <row r="898" spans="1:1">
      <c r="A898" s="412"/>
    </row>
    <row r="899" spans="1:1">
      <c r="A899" s="418" t="s">
        <v>7990</v>
      </c>
    </row>
    <row r="900" spans="1:1">
      <c r="A900" s="412"/>
    </row>
    <row r="901" spans="1:1">
      <c r="A901" s="418" t="s">
        <v>7991</v>
      </c>
    </row>
    <row r="902" spans="1:1">
      <c r="A902" s="412"/>
    </row>
    <row r="903" spans="1:1">
      <c r="A903" s="418" t="s">
        <v>7992</v>
      </c>
    </row>
    <row r="905" spans="1:1" ht="18">
      <c r="A905" s="416" t="s">
        <v>7993</v>
      </c>
    </row>
    <row r="907" spans="1:1">
      <c r="A907" s="411" t="s">
        <v>7994</v>
      </c>
    </row>
    <row r="908" spans="1:1">
      <c r="A908" s="412"/>
    </row>
    <row r="909" spans="1:1">
      <c r="A909" s="418" t="s">
        <v>7995</v>
      </c>
    </row>
    <row r="910" spans="1:1">
      <c r="A910" s="412"/>
    </row>
    <row r="911" spans="1:1">
      <c r="A911" s="418" t="s">
        <v>7996</v>
      </c>
    </row>
    <row r="912" spans="1:1">
      <c r="A912" s="412"/>
    </row>
    <row r="913" spans="1:1">
      <c r="A913" s="418" t="s">
        <v>7997</v>
      </c>
    </row>
    <row r="914" spans="1:1">
      <c r="A914" s="412"/>
    </row>
    <row r="915" spans="1:1">
      <c r="A915" s="418" t="s">
        <v>7998</v>
      </c>
    </row>
    <row r="916" spans="1:1">
      <c r="A916" s="412"/>
    </row>
    <row r="917" spans="1:1">
      <c r="A917" s="418" t="s">
        <v>7999</v>
      </c>
    </row>
    <row r="918" spans="1:1">
      <c r="A918" s="412"/>
    </row>
    <row r="919" spans="1:1">
      <c r="A919" s="418" t="s">
        <v>8000</v>
      </c>
    </row>
    <row r="920" spans="1:1">
      <c r="A920" s="412"/>
    </row>
    <row r="921" spans="1:1">
      <c r="A921" s="418" t="s">
        <v>8001</v>
      </c>
    </row>
    <row r="923" spans="1:1" ht="18">
      <c r="A923" s="416" t="s">
        <v>8002</v>
      </c>
    </row>
    <row r="925" spans="1:1">
      <c r="A925" s="411" t="s">
        <v>8003</v>
      </c>
    </row>
    <row r="927" spans="1:1" ht="23.25">
      <c r="A927" s="410" t="s">
        <v>7682</v>
      </c>
    </row>
    <row r="929" spans="1:1" ht="18">
      <c r="A929" s="416" t="s">
        <v>8004</v>
      </c>
    </row>
    <row r="931" spans="1:1">
      <c r="A931" s="411" t="s">
        <v>8005</v>
      </c>
    </row>
    <row r="933" spans="1:1">
      <c r="A933" s="413" t="s">
        <v>7685</v>
      </c>
    </row>
    <row r="934" spans="1:1">
      <c r="A934" s="412"/>
    </row>
    <row r="935" spans="1:1">
      <c r="A935" s="418" t="s">
        <v>8006</v>
      </c>
    </row>
    <row r="936" spans="1:1">
      <c r="A936" s="412"/>
    </row>
    <row r="937" spans="1:1">
      <c r="A937" s="418" t="s">
        <v>8007</v>
      </c>
    </row>
    <row r="938" spans="1:1">
      <c r="A938" s="412"/>
    </row>
    <row r="939" spans="1:1">
      <c r="A939" s="418" t="s">
        <v>8008</v>
      </c>
    </row>
    <row r="941" spans="1:1" ht="18">
      <c r="A941" s="416" t="s">
        <v>8009</v>
      </c>
    </row>
    <row r="943" spans="1:1">
      <c r="A943" s="411" t="s">
        <v>8010</v>
      </c>
    </row>
    <row r="945" spans="1:1">
      <c r="A945" s="413" t="s">
        <v>7685</v>
      </c>
    </row>
    <row r="946" spans="1:1">
      <c r="A946" s="412"/>
    </row>
    <row r="947" spans="1:1">
      <c r="A947" s="418" t="s">
        <v>8011</v>
      </c>
    </row>
    <row r="948" spans="1:1">
      <c r="A948" s="412"/>
    </row>
    <row r="949" spans="1:1">
      <c r="A949" s="418" t="s">
        <v>8012</v>
      </c>
    </row>
    <row r="950" spans="1:1">
      <c r="A950" s="412"/>
    </row>
    <row r="951" spans="1:1">
      <c r="A951" s="418" t="s">
        <v>8013</v>
      </c>
    </row>
    <row r="955" spans="1:1" ht="31.5">
      <c r="A955" s="409" t="s">
        <v>8014</v>
      </c>
    </row>
    <row r="957" spans="1:1" ht="23.25">
      <c r="A957" s="410" t="s">
        <v>7668</v>
      </c>
    </row>
    <row r="959" spans="1:1">
      <c r="A959" s="411" t="s">
        <v>8015</v>
      </c>
    </row>
    <row r="961" spans="1:1" ht="23.25">
      <c r="A961" s="410" t="s">
        <v>8016</v>
      </c>
    </row>
    <row r="963" spans="1:1">
      <c r="A963" s="411" t="s">
        <v>8017</v>
      </c>
    </row>
    <row r="965" spans="1:1" ht="23.25">
      <c r="A965" s="410" t="s">
        <v>7671</v>
      </c>
    </row>
    <row r="967" spans="1:1" ht="18">
      <c r="A967" s="416" t="s">
        <v>8018</v>
      </c>
    </row>
    <row r="969" spans="1:1">
      <c r="A969" s="411" t="s">
        <v>8019</v>
      </c>
    </row>
    <row r="971" spans="1:1" ht="18">
      <c r="A971" s="416" t="s">
        <v>8020</v>
      </c>
    </row>
    <row r="973" spans="1:1">
      <c r="A973" s="411" t="s">
        <v>8021</v>
      </c>
    </row>
    <row r="975" spans="1:1" ht="18">
      <c r="A975" s="416" t="s">
        <v>8022</v>
      </c>
    </row>
    <row r="977" spans="1:1">
      <c r="A977" s="411" t="s">
        <v>8023</v>
      </c>
    </row>
    <row r="979" spans="1:1" ht="18">
      <c r="A979" s="416" t="s">
        <v>8024</v>
      </c>
    </row>
    <row r="981" spans="1:1">
      <c r="A981" s="411" t="s">
        <v>8025</v>
      </c>
    </row>
    <row r="983" spans="1:1" ht="23.25">
      <c r="A983" s="410" t="s">
        <v>7682</v>
      </c>
    </row>
    <row r="985" spans="1:1" ht="18">
      <c r="A985" s="416" t="s">
        <v>8026</v>
      </c>
    </row>
    <row r="987" spans="1:1">
      <c r="A987" s="411" t="s">
        <v>8027</v>
      </c>
    </row>
    <row r="989" spans="1:1">
      <c r="A989" s="413" t="s">
        <v>7685</v>
      </c>
    </row>
    <row r="990" spans="1:1">
      <c r="A990" s="412"/>
    </row>
    <row r="991" spans="1:1">
      <c r="A991" s="418" t="s">
        <v>8028</v>
      </c>
    </row>
    <row r="992" spans="1:1">
      <c r="A992" s="412"/>
    </row>
    <row r="993" spans="1:1">
      <c r="A993" s="418" t="s">
        <v>8029</v>
      </c>
    </row>
    <row r="994" spans="1:1">
      <c r="A994" s="412"/>
    </row>
    <row r="995" spans="1:1">
      <c r="A995" s="418" t="s">
        <v>8030</v>
      </c>
    </row>
    <row r="997" spans="1:1" ht="18">
      <c r="A997" s="416" t="s">
        <v>8031</v>
      </c>
    </row>
    <row r="999" spans="1:1">
      <c r="A999" s="411" t="s">
        <v>8032</v>
      </c>
    </row>
    <row r="1001" spans="1:1">
      <c r="A1001" s="413" t="s">
        <v>7685</v>
      </c>
    </row>
    <row r="1002" spans="1:1">
      <c r="A1002" s="412"/>
    </row>
    <row r="1003" spans="1:1">
      <c r="A1003" s="418" t="s">
        <v>8033</v>
      </c>
    </row>
    <row r="1004" spans="1:1">
      <c r="A1004" s="412"/>
    </row>
    <row r="1005" spans="1:1">
      <c r="A1005" s="418" t="s">
        <v>8034</v>
      </c>
    </row>
    <row r="1006" spans="1:1">
      <c r="A1006" s="412"/>
    </row>
    <row r="1007" spans="1:1">
      <c r="A1007" s="418" t="s">
        <v>8035</v>
      </c>
    </row>
    <row r="1009" spans="1:1" ht="18">
      <c r="A1009" s="416" t="s">
        <v>8036</v>
      </c>
    </row>
    <row r="1011" spans="1:1">
      <c r="A1011" s="411" t="s">
        <v>8037</v>
      </c>
    </row>
    <row r="1013" spans="1:1">
      <c r="A1013" s="413" t="s">
        <v>7685</v>
      </c>
    </row>
    <row r="1014" spans="1:1">
      <c r="A1014" s="412"/>
    </row>
    <row r="1015" spans="1:1">
      <c r="A1015" s="418" t="s">
        <v>8038</v>
      </c>
    </row>
    <row r="1016" spans="1:1">
      <c r="A1016" s="412"/>
    </row>
    <row r="1017" spans="1:1">
      <c r="A1017" s="418" t="s">
        <v>8039</v>
      </c>
    </row>
    <row r="1018" spans="1:1">
      <c r="A1018" s="412"/>
    </row>
    <row r="1019" spans="1:1">
      <c r="A1019" s="418" t="s">
        <v>8040</v>
      </c>
    </row>
    <row r="1023" spans="1:1" ht="31.5">
      <c r="A1023" s="409" t="s">
        <v>8041</v>
      </c>
    </row>
    <row r="1025" spans="1:1" ht="23.25">
      <c r="A1025" s="410" t="s">
        <v>7668</v>
      </c>
    </row>
    <row r="1027" spans="1:1">
      <c r="A1027" s="411" t="s">
        <v>8042</v>
      </c>
    </row>
    <row r="1029" spans="1:1" ht="23.25">
      <c r="A1029" s="410" t="s">
        <v>7671</v>
      </c>
    </row>
    <row r="1031" spans="1:1" ht="18">
      <c r="A1031" s="416" t="s">
        <v>8043</v>
      </c>
    </row>
    <row r="1033" spans="1:1">
      <c r="A1033" s="411" t="s">
        <v>8044</v>
      </c>
    </row>
    <row r="1035" spans="1:1" ht="18">
      <c r="A1035" s="416" t="s">
        <v>8045</v>
      </c>
    </row>
    <row r="1037" spans="1:1">
      <c r="A1037" s="411" t="s">
        <v>8046</v>
      </c>
    </row>
    <row r="1039" spans="1:1" ht="18">
      <c r="A1039" s="416" t="s">
        <v>8047</v>
      </c>
    </row>
    <row r="1041" spans="1:1">
      <c r="A1041" s="411" t="s">
        <v>8048</v>
      </c>
    </row>
    <row r="1043" spans="1:1" ht="18">
      <c r="A1043" s="416" t="s">
        <v>8049</v>
      </c>
    </row>
    <row r="1045" spans="1:1">
      <c r="A1045" s="411" t="s">
        <v>8050</v>
      </c>
    </row>
    <row r="1047" spans="1:1" ht="23.25">
      <c r="A1047" s="410" t="s">
        <v>7682</v>
      </c>
    </row>
    <row r="1049" spans="1:1" ht="18">
      <c r="A1049" s="416" t="s">
        <v>8051</v>
      </c>
    </row>
    <row r="1051" spans="1:1">
      <c r="A1051" s="411" t="s">
        <v>8052</v>
      </c>
    </row>
    <row r="1053" spans="1:1">
      <c r="A1053" s="413" t="s">
        <v>7685</v>
      </c>
    </row>
    <row r="1054" spans="1:1">
      <c r="A1054" s="412"/>
    </row>
    <row r="1055" spans="1:1">
      <c r="A1055" s="418" t="s">
        <v>8053</v>
      </c>
    </row>
    <row r="1056" spans="1:1">
      <c r="A1056" s="412"/>
    </row>
    <row r="1057" spans="1:1">
      <c r="A1057" s="418" t="s">
        <v>8054</v>
      </c>
    </row>
    <row r="1058" spans="1:1">
      <c r="A1058" s="412"/>
    </row>
    <row r="1059" spans="1:1">
      <c r="A1059" s="418" t="s">
        <v>8055</v>
      </c>
    </row>
    <row r="1061" spans="1:1" ht="18">
      <c r="A1061" s="416" t="s">
        <v>8056</v>
      </c>
    </row>
    <row r="1063" spans="1:1">
      <c r="A1063" s="411" t="s">
        <v>8057</v>
      </c>
    </row>
    <row r="1065" spans="1:1">
      <c r="A1065" s="413" t="s">
        <v>7685</v>
      </c>
    </row>
    <row r="1066" spans="1:1">
      <c r="A1066" s="412"/>
    </row>
    <row r="1067" spans="1:1">
      <c r="A1067" s="418" t="s">
        <v>8058</v>
      </c>
    </row>
    <row r="1068" spans="1:1">
      <c r="A1068" s="412"/>
    </row>
    <row r="1069" spans="1:1">
      <c r="A1069" s="418" t="s">
        <v>8059</v>
      </c>
    </row>
    <row r="1070" spans="1:1">
      <c r="A1070" s="412"/>
    </row>
    <row r="1071" spans="1:1">
      <c r="A1071" s="418" t="s">
        <v>8060</v>
      </c>
    </row>
    <row r="1073" spans="1:1" ht="18">
      <c r="A1073" s="416" t="s">
        <v>8061</v>
      </c>
    </row>
    <row r="1075" spans="1:1">
      <c r="A1075" s="411" t="s">
        <v>8062</v>
      </c>
    </row>
    <row r="1077" spans="1:1">
      <c r="A1077" s="413" t="s">
        <v>7685</v>
      </c>
    </row>
    <row r="1078" spans="1:1">
      <c r="A1078" s="412"/>
    </row>
    <row r="1079" spans="1:1">
      <c r="A1079" s="418" t="s">
        <v>8063</v>
      </c>
    </row>
    <row r="1080" spans="1:1">
      <c r="A1080" s="412"/>
    </row>
    <row r="1081" spans="1:1">
      <c r="A1081" s="418" t="s">
        <v>8064</v>
      </c>
    </row>
    <row r="1082" spans="1:1">
      <c r="A1082" s="412"/>
    </row>
    <row r="1083" spans="1:1">
      <c r="A1083" s="418" t="s">
        <v>8065</v>
      </c>
    </row>
    <row r="1087" spans="1:1" ht="31.5">
      <c r="A1087" s="409" t="s">
        <v>8066</v>
      </c>
    </row>
    <row r="1089" spans="1:1">
      <c r="A1089" s="411" t="s">
        <v>8067</v>
      </c>
    </row>
    <row r="1091" spans="1:1" ht="23.25">
      <c r="A1091" s="410" t="s">
        <v>8068</v>
      </c>
    </row>
    <row r="1092" spans="1:1">
      <c r="A1092" s="412"/>
    </row>
    <row r="1093" spans="1:1">
      <c r="A1093" s="418" t="s">
        <v>8069</v>
      </c>
    </row>
    <row r="1094" spans="1:1">
      <c r="A1094" s="412"/>
    </row>
    <row r="1095" spans="1:1">
      <c r="A1095" s="418" t="s">
        <v>8070</v>
      </c>
    </row>
    <row r="1096" spans="1:1">
      <c r="A1096" s="412"/>
    </row>
    <row r="1097" spans="1:1">
      <c r="A1097" s="418" t="s">
        <v>8071</v>
      </c>
    </row>
    <row r="1098" spans="1:1">
      <c r="A1098" s="412"/>
    </row>
    <row r="1099" spans="1:1">
      <c r="A1099" s="418" t="s">
        <v>8072</v>
      </c>
    </row>
    <row r="1100" spans="1:1">
      <c r="A1100" s="412"/>
    </row>
    <row r="1101" spans="1:1">
      <c r="A1101" s="418" t="s">
        <v>8073</v>
      </c>
    </row>
    <row r="1102" spans="1:1">
      <c r="A1102" s="412"/>
    </row>
    <row r="1103" spans="1:1">
      <c r="A1103" s="418" t="s">
        <v>8074</v>
      </c>
    </row>
    <row r="1104" spans="1:1">
      <c r="A1104" s="412"/>
    </row>
    <row r="1105" spans="1:1">
      <c r="A1105" s="418" t="s">
        <v>8075</v>
      </c>
    </row>
    <row r="1106" spans="1:1">
      <c r="A1106" s="412"/>
    </row>
    <row r="1107" spans="1:1">
      <c r="A1107" s="418" t="s">
        <v>8076</v>
      </c>
    </row>
    <row r="1108" spans="1:1">
      <c r="A1108" s="412"/>
    </row>
    <row r="1109" spans="1:1">
      <c r="A1109" s="418" t="s">
        <v>8077</v>
      </c>
    </row>
    <row r="1110" spans="1:1">
      <c r="A1110" s="412"/>
    </row>
    <row r="1111" spans="1:1">
      <c r="A1111" s="418" t="s">
        <v>8078</v>
      </c>
    </row>
    <row r="1112" spans="1:1">
      <c r="A1112" s="412"/>
    </row>
    <row r="1113" spans="1:1">
      <c r="A1113" s="418" t="s">
        <v>8079</v>
      </c>
    </row>
    <row r="1114" spans="1:1">
      <c r="A1114" s="412"/>
    </row>
    <row r="1115" spans="1:1">
      <c r="A1115" s="418" t="s">
        <v>8080</v>
      </c>
    </row>
    <row r="1116" spans="1:1">
      <c r="A1116" s="412"/>
    </row>
    <row r="1117" spans="1:1">
      <c r="A1117" s="418" t="s">
        <v>8081</v>
      </c>
    </row>
    <row r="1118" spans="1:1">
      <c r="A1118" s="412"/>
    </row>
    <row r="1119" spans="1:1">
      <c r="A1119" s="418" t="s">
        <v>8082</v>
      </c>
    </row>
    <row r="1120" spans="1:1">
      <c r="A1120" s="412"/>
    </row>
    <row r="1121" spans="1:1">
      <c r="A1121" s="418" t="s">
        <v>8083</v>
      </c>
    </row>
    <row r="1123" spans="1:1" ht="23.25">
      <c r="A1123" s="410" t="s">
        <v>8084</v>
      </c>
    </row>
    <row r="1124" spans="1:1">
      <c r="A1124" s="412"/>
    </row>
    <row r="1125" spans="1:1">
      <c r="A1125" s="418" t="s">
        <v>8085</v>
      </c>
    </row>
    <row r="1126" spans="1:1">
      <c r="A1126" s="412"/>
    </row>
    <row r="1127" spans="1:1">
      <c r="A1127" s="418" t="s">
        <v>8086</v>
      </c>
    </row>
    <row r="1128" spans="1:1">
      <c r="A1128" s="412"/>
    </row>
    <row r="1129" spans="1:1">
      <c r="A1129" s="418" t="s">
        <v>8087</v>
      </c>
    </row>
    <row r="1130" spans="1:1">
      <c r="A1130" s="412"/>
    </row>
    <row r="1131" spans="1:1">
      <c r="A1131" s="418" t="s">
        <v>8088</v>
      </c>
    </row>
    <row r="1132" spans="1:1">
      <c r="A1132" s="412"/>
    </row>
    <row r="1133" spans="1:1">
      <c r="A1133" s="418" t="s">
        <v>8089</v>
      </c>
    </row>
    <row r="1134" spans="1:1">
      <c r="A1134" s="412"/>
    </row>
    <row r="1135" spans="1:1">
      <c r="A1135" s="418" t="s">
        <v>8090</v>
      </c>
    </row>
    <row r="1137" spans="1:1" ht="23.25">
      <c r="A1137" s="410" t="s">
        <v>8091</v>
      </c>
    </row>
    <row r="1139" spans="1:1">
      <c r="A1139" s="411" t="s">
        <v>8092</v>
      </c>
    </row>
    <row r="1140" spans="1:1">
      <c r="A1140" s="412"/>
    </row>
    <row r="1141" spans="1:1">
      <c r="A1141" s="415" t="s">
        <v>8093</v>
      </c>
    </row>
    <row r="1142" spans="1:1">
      <c r="A1142" s="412"/>
    </row>
    <row r="1143" spans="1:1">
      <c r="A1143" s="415" t="s">
        <v>8094</v>
      </c>
    </row>
    <row r="1144" spans="1:1">
      <c r="A1144" s="412"/>
    </row>
    <row r="1145" spans="1:1">
      <c r="A1145" s="415" t="s">
        <v>8095</v>
      </c>
    </row>
    <row r="1146" spans="1:1">
      <c r="A1146" s="412"/>
    </row>
    <row r="1147" spans="1:1">
      <c r="A1147" s="415" t="s">
        <v>8096</v>
      </c>
    </row>
    <row r="1148" spans="1:1">
      <c r="A1148" s="412"/>
    </row>
    <row r="1149" spans="1:1">
      <c r="A1149" s="418" t="s">
        <v>8097</v>
      </c>
    </row>
    <row r="1151" spans="1:1">
      <c r="A1151" s="411" t="s">
        <v>8098</v>
      </c>
    </row>
    <row r="1154" spans="1:1" ht="23.25">
      <c r="A1154" s="410" t="s">
        <v>8100</v>
      </c>
    </row>
    <row r="1156" spans="1:1">
      <c r="A1156" s="411" t="s">
        <v>7668</v>
      </c>
    </row>
    <row r="1157" spans="1:1">
      <c r="A1157" s="415" t="s">
        <v>8101</v>
      </c>
    </row>
    <row r="1159" spans="1:1">
      <c r="A1159" s="411" t="s">
        <v>7827</v>
      </c>
    </row>
    <row r="1160" spans="1:1">
      <c r="A1160" s="415" t="s">
        <v>8102</v>
      </c>
    </row>
    <row r="1162" spans="1:1">
      <c r="A1162" s="411" t="s">
        <v>7671</v>
      </c>
    </row>
    <row r="1163" spans="1:1">
      <c r="A1163" s="415" t="s">
        <v>8103</v>
      </c>
    </row>
    <row r="1164" spans="1:1">
      <c r="A1164" s="415" t="s">
        <v>8104</v>
      </c>
    </row>
    <row r="1165" spans="1:1">
      <c r="A1165" s="415" t="s">
        <v>8105</v>
      </c>
    </row>
    <row r="1166" spans="1:1">
      <c r="A1166" s="415" t="s">
        <v>8106</v>
      </c>
    </row>
    <row r="1167" spans="1:1">
      <c r="A1167" s="415" t="s">
        <v>8107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A737B-0F72-42F0-A226-8403A80BA3E7}">
  <sheetPr>
    <tabColor rgb="FF1F2937"/>
  </sheetPr>
  <dimension ref="A1:Z36"/>
  <sheetViews>
    <sheetView workbookViewId="0">
      <pane ySplit="4" topLeftCell="A27" activePane="bottomLeft" state="frozen"/>
      <selection activeCell="A16" sqref="A16"/>
      <selection pane="bottomLeft" activeCell="B14" sqref="B14"/>
    </sheetView>
  </sheetViews>
  <sheetFormatPr defaultRowHeight="15"/>
  <cols>
    <col min="1" max="1" width="26" customWidth="1"/>
    <col min="2" max="2" width="28" customWidth="1"/>
    <col min="3" max="3" width="60" customWidth="1"/>
    <col min="4" max="7" width="24" customWidth="1"/>
    <col min="8" max="8" width="34" customWidth="1"/>
    <col min="9" max="9" width="44" customWidth="1"/>
    <col min="10" max="10" width="24" customWidth="1"/>
    <col min="11" max="11" width="22" customWidth="1"/>
  </cols>
  <sheetData>
    <row r="1" spans="1:26" ht="45">
      <c r="A1" s="205" t="s">
        <v>1093</v>
      </c>
      <c r="B1" s="205"/>
      <c r="C1" s="205"/>
      <c r="D1" s="205"/>
      <c r="E1" s="205"/>
      <c r="F1" s="193"/>
      <c r="G1" s="193"/>
      <c r="H1" s="193"/>
      <c r="I1" s="193"/>
      <c r="J1" s="193"/>
      <c r="K1" s="170"/>
      <c r="L1" s="170"/>
      <c r="M1" s="170"/>
      <c r="N1" s="170"/>
      <c r="O1" s="170"/>
      <c r="P1" s="170"/>
      <c r="Q1" s="170"/>
      <c r="R1" s="170"/>
      <c r="S1" s="170"/>
      <c r="T1" s="170"/>
      <c r="U1" s="170"/>
      <c r="V1" s="170"/>
      <c r="W1" s="170"/>
      <c r="X1" s="170"/>
      <c r="Y1" s="170"/>
      <c r="Z1" s="170"/>
    </row>
    <row r="2" spans="1:26" ht="105">
      <c r="A2" s="193" t="s">
        <v>1094</v>
      </c>
      <c r="B2" s="193" t="s">
        <v>1095</v>
      </c>
      <c r="C2" s="193"/>
      <c r="D2" s="193"/>
      <c r="E2" s="193"/>
      <c r="F2" s="193"/>
      <c r="G2" s="193"/>
      <c r="H2" s="193"/>
      <c r="I2" s="193"/>
      <c r="J2" s="193"/>
    </row>
    <row r="3" spans="1:26" ht="75">
      <c r="A3" s="193" t="s">
        <v>1096</v>
      </c>
      <c r="B3" s="193" t="s">
        <v>1097</v>
      </c>
      <c r="C3" s="193"/>
      <c r="D3" s="193"/>
      <c r="E3" s="193"/>
      <c r="F3" s="193"/>
      <c r="G3" s="193"/>
      <c r="H3" s="193"/>
      <c r="I3" s="193"/>
      <c r="J3" s="193"/>
    </row>
    <row r="4" spans="1:26">
      <c r="A4" s="205" t="s">
        <v>1098</v>
      </c>
      <c r="B4" s="205" t="s">
        <v>1099</v>
      </c>
      <c r="C4" s="205" t="s">
        <v>1100</v>
      </c>
      <c r="D4" s="205" t="s">
        <v>1101</v>
      </c>
      <c r="E4" s="205" t="s">
        <v>56</v>
      </c>
      <c r="F4" s="193"/>
      <c r="G4" s="423" t="s">
        <v>1102</v>
      </c>
      <c r="H4" s="419"/>
      <c r="I4" s="419"/>
      <c r="J4" s="419"/>
      <c r="K4" s="424"/>
    </row>
    <row r="5" spans="1:26" ht="30">
      <c r="A5" s="193" t="s">
        <v>1103</v>
      </c>
      <c r="B5" s="193" t="s">
        <v>735</v>
      </c>
      <c r="C5" s="193" t="s">
        <v>1104</v>
      </c>
      <c r="D5" s="193" t="s">
        <v>1105</v>
      </c>
      <c r="E5" s="193" t="s">
        <v>1106</v>
      </c>
      <c r="F5" s="193"/>
      <c r="G5" s="389" t="s">
        <v>1107</v>
      </c>
      <c r="H5" s="389" t="s">
        <v>1108</v>
      </c>
      <c r="I5" s="389" t="s">
        <v>1109</v>
      </c>
      <c r="J5" s="389" t="s">
        <v>1110</v>
      </c>
      <c r="K5" s="357" t="s">
        <v>1111</v>
      </c>
    </row>
    <row r="6" spans="1:26" ht="30">
      <c r="A6" s="193" t="s">
        <v>1112</v>
      </c>
      <c r="B6" s="193" t="s">
        <v>741</v>
      </c>
      <c r="C6" s="193" t="s">
        <v>1113</v>
      </c>
      <c r="D6" s="193" t="s">
        <v>1114</v>
      </c>
      <c r="E6" s="193" t="s">
        <v>1106</v>
      </c>
      <c r="F6" s="193"/>
      <c r="G6" s="358" t="s">
        <v>1115</v>
      </c>
      <c r="H6" s="358" t="s">
        <v>1116</v>
      </c>
      <c r="I6" s="358" t="s">
        <v>1117</v>
      </c>
      <c r="J6" s="358" t="s">
        <v>1118</v>
      </c>
      <c r="K6" s="358" t="s">
        <v>1119</v>
      </c>
    </row>
    <row r="7" spans="1:26" ht="30">
      <c r="A7" s="193" t="s">
        <v>1120</v>
      </c>
      <c r="B7" s="193" t="s">
        <v>746</v>
      </c>
      <c r="C7" s="193" t="s">
        <v>1121</v>
      </c>
      <c r="D7" s="193" t="s">
        <v>1122</v>
      </c>
      <c r="E7" s="193" t="s">
        <v>1106</v>
      </c>
      <c r="F7" s="193"/>
      <c r="G7" s="359" t="s">
        <v>1123</v>
      </c>
      <c r="H7" s="359" t="s">
        <v>1124</v>
      </c>
      <c r="I7" s="359" t="s">
        <v>1125</v>
      </c>
      <c r="J7" s="359" t="s">
        <v>1126</v>
      </c>
      <c r="K7" s="359" t="s">
        <v>1127</v>
      </c>
    </row>
    <row r="8" spans="1:26" ht="45">
      <c r="A8" s="192" t="s">
        <v>1128</v>
      </c>
      <c r="B8" s="192" t="s">
        <v>778</v>
      </c>
      <c r="C8" s="192" t="s">
        <v>1129</v>
      </c>
      <c r="D8" s="192" t="s">
        <v>1130</v>
      </c>
      <c r="E8" s="192" t="s">
        <v>1131</v>
      </c>
      <c r="F8" s="193"/>
      <c r="G8" s="360" t="s">
        <v>1132</v>
      </c>
      <c r="H8" s="360" t="s">
        <v>1133</v>
      </c>
      <c r="I8" s="360" t="s">
        <v>1134</v>
      </c>
      <c r="J8" s="360" t="s">
        <v>746</v>
      </c>
      <c r="K8" s="360" t="s">
        <v>1135</v>
      </c>
    </row>
    <row r="9" spans="1:26">
      <c r="A9" s="193" t="s">
        <v>1136</v>
      </c>
      <c r="B9" s="193" t="s">
        <v>751</v>
      </c>
      <c r="C9" s="193" t="s">
        <v>1137</v>
      </c>
      <c r="D9" s="193" t="s">
        <v>1122</v>
      </c>
      <c r="E9" s="193" t="s">
        <v>1106</v>
      </c>
      <c r="F9" s="193"/>
      <c r="G9" s="361" t="s">
        <v>1138</v>
      </c>
      <c r="H9" s="361" t="s">
        <v>1139</v>
      </c>
      <c r="I9" s="361" t="s">
        <v>1140</v>
      </c>
      <c r="J9" s="361" t="s">
        <v>762</v>
      </c>
      <c r="K9" s="361" t="s">
        <v>1141</v>
      </c>
    </row>
    <row r="10" spans="1:26">
      <c r="A10" s="193" t="s">
        <v>1142</v>
      </c>
      <c r="B10" s="193" t="s">
        <v>756</v>
      </c>
      <c r="C10" s="193" t="s">
        <v>1143</v>
      </c>
      <c r="D10" s="193" t="s">
        <v>1122</v>
      </c>
      <c r="E10" s="193" t="s">
        <v>1106</v>
      </c>
      <c r="F10" s="193"/>
      <c r="G10" s="362" t="s">
        <v>1144</v>
      </c>
      <c r="H10" s="362" t="s">
        <v>1145</v>
      </c>
      <c r="I10" s="362" t="s">
        <v>1146</v>
      </c>
      <c r="J10" s="362" t="s">
        <v>1147</v>
      </c>
      <c r="K10" s="362" t="s">
        <v>1148</v>
      </c>
    </row>
    <row r="11" spans="1:26" ht="30">
      <c r="A11" s="193" t="s">
        <v>1149</v>
      </c>
      <c r="B11" s="193" t="s">
        <v>762</v>
      </c>
      <c r="C11" s="193" t="s">
        <v>1150</v>
      </c>
      <c r="D11" s="193" t="s">
        <v>1122</v>
      </c>
      <c r="E11" s="193" t="s">
        <v>1106</v>
      </c>
      <c r="F11" s="193"/>
      <c r="G11" s="363" t="s">
        <v>1151</v>
      </c>
      <c r="H11" s="363" t="s">
        <v>1152</v>
      </c>
      <c r="I11" s="363" t="s">
        <v>1153</v>
      </c>
      <c r="J11" s="363" t="s">
        <v>959</v>
      </c>
      <c r="K11" s="363" t="s">
        <v>1154</v>
      </c>
    </row>
    <row r="12" spans="1:26">
      <c r="A12" s="193" t="s">
        <v>1155</v>
      </c>
      <c r="B12" s="193" t="s">
        <v>768</v>
      </c>
      <c r="C12" s="193" t="s">
        <v>1156</v>
      </c>
      <c r="D12" s="193" t="s">
        <v>1122</v>
      </c>
      <c r="E12" s="193" t="s">
        <v>1106</v>
      </c>
      <c r="F12" s="193"/>
      <c r="G12" s="193"/>
      <c r="H12" s="193"/>
      <c r="I12" s="193"/>
      <c r="J12" s="193"/>
    </row>
    <row r="13" spans="1:26">
      <c r="A13" s="193"/>
      <c r="B13" s="193"/>
      <c r="C13" s="193"/>
      <c r="D13" s="193"/>
      <c r="E13" s="193"/>
      <c r="F13" s="193"/>
      <c r="G13" s="193"/>
      <c r="H13" s="193"/>
      <c r="I13" s="193"/>
      <c r="J13" s="193"/>
    </row>
    <row r="14" spans="1:26">
      <c r="A14" s="193" t="s">
        <v>1157</v>
      </c>
      <c r="B14" s="350">
        <f>COUNTA(DATA_PROPERTY_MASTER!$A$5:$A$21)</f>
        <v>17</v>
      </c>
      <c r="C14" s="193"/>
      <c r="D14" s="193"/>
      <c r="E14" s="193"/>
      <c r="F14" s="193"/>
      <c r="G14" s="193"/>
      <c r="H14" s="193"/>
      <c r="I14" s="193"/>
      <c r="J14" s="193"/>
    </row>
    <row r="15" spans="1:26">
      <c r="A15" s="193" t="s">
        <v>1158</v>
      </c>
      <c r="B15" s="350">
        <f>COUNTIF(DATA_PROPERTY_MASTER!$E$5:$E$21,"Yes")</f>
        <v>16</v>
      </c>
      <c r="C15" s="193"/>
      <c r="D15" s="193"/>
      <c r="E15" s="193"/>
      <c r="F15" s="193"/>
      <c r="G15" s="193"/>
      <c r="H15" s="193"/>
      <c r="I15" s="193"/>
      <c r="J15" s="193"/>
    </row>
    <row r="16" spans="1:26">
      <c r="A16" s="193" t="s">
        <v>1159</v>
      </c>
      <c r="B16" s="350">
        <f>COUNTA(DATA_METRIC_LONG!$A$5:$A$10000)</f>
        <v>816</v>
      </c>
      <c r="C16" s="193"/>
      <c r="D16" s="193"/>
      <c r="E16" s="193"/>
      <c r="F16" s="193"/>
      <c r="G16" s="193"/>
      <c r="H16" s="193"/>
      <c r="I16" s="193"/>
      <c r="J16" s="193"/>
    </row>
    <row r="17" spans="1:26" ht="30">
      <c r="A17" s="203" t="s">
        <v>1160</v>
      </c>
      <c r="B17" s="202" t="s">
        <v>855</v>
      </c>
      <c r="C17" s="202" t="s">
        <v>1161</v>
      </c>
      <c r="D17" s="202" t="s">
        <v>1162</v>
      </c>
      <c r="E17" s="202" t="s">
        <v>1163</v>
      </c>
      <c r="F17" s="193"/>
      <c r="G17" s="193"/>
      <c r="H17" s="193"/>
      <c r="I17" s="193"/>
      <c r="J17" s="193"/>
    </row>
    <row r="18" spans="1:26" ht="30">
      <c r="A18" s="203" t="s">
        <v>1164</v>
      </c>
      <c r="B18" s="202" t="s">
        <v>861</v>
      </c>
      <c r="C18" s="202" t="s">
        <v>1165</v>
      </c>
      <c r="D18" s="202" t="s">
        <v>1162</v>
      </c>
      <c r="E18" s="202" t="s">
        <v>1163</v>
      </c>
      <c r="F18" s="193"/>
      <c r="G18" s="193"/>
      <c r="H18" s="193"/>
      <c r="I18" s="193"/>
      <c r="J18" s="193"/>
    </row>
    <row r="19" spans="1:26" ht="30">
      <c r="A19" s="193" t="s">
        <v>1166</v>
      </c>
      <c r="B19" s="193" t="s">
        <v>903</v>
      </c>
      <c r="C19" s="193" t="s">
        <v>1167</v>
      </c>
      <c r="D19" s="193" t="s">
        <v>1122</v>
      </c>
      <c r="E19" s="193" t="s">
        <v>1168</v>
      </c>
      <c r="F19" s="193"/>
      <c r="G19" s="193"/>
      <c r="H19" s="193"/>
      <c r="I19" s="193"/>
      <c r="J19" s="193"/>
      <c r="K19" s="193"/>
      <c r="L19" s="193"/>
      <c r="M19" s="193"/>
      <c r="N19" s="193"/>
      <c r="O19" s="193"/>
      <c r="P19" s="193"/>
      <c r="Q19" s="193"/>
      <c r="R19" s="193"/>
      <c r="S19" s="193"/>
      <c r="T19" s="193"/>
      <c r="U19" s="193"/>
      <c r="V19" s="193"/>
      <c r="W19" s="193"/>
      <c r="X19" s="193"/>
      <c r="Y19" s="193"/>
      <c r="Z19" s="193"/>
    </row>
    <row r="20" spans="1:26" ht="30">
      <c r="A20" s="193" t="s">
        <v>1169</v>
      </c>
      <c r="B20" s="193" t="s">
        <v>855</v>
      </c>
      <c r="C20" s="193" t="s">
        <v>1170</v>
      </c>
      <c r="D20" s="193" t="s">
        <v>1171</v>
      </c>
      <c r="E20" s="193" t="s">
        <v>1172</v>
      </c>
      <c r="F20" s="193"/>
      <c r="G20" s="193"/>
      <c r="H20" s="193"/>
      <c r="I20" s="193"/>
      <c r="J20" s="193"/>
    </row>
    <row r="21" spans="1:26" ht="30">
      <c r="A21" s="193" t="s">
        <v>1173</v>
      </c>
      <c r="B21" s="193" t="s">
        <v>927</v>
      </c>
      <c r="C21" s="193" t="s">
        <v>1174</v>
      </c>
      <c r="D21" s="193" t="s">
        <v>1175</v>
      </c>
      <c r="E21" s="193" t="s">
        <v>1172</v>
      </c>
      <c r="F21" s="193"/>
      <c r="G21" s="193"/>
      <c r="H21" s="193"/>
      <c r="I21" s="193"/>
      <c r="J21" s="193"/>
    </row>
    <row r="22" spans="1:26" ht="45">
      <c r="A22" s="215" t="s">
        <v>1155</v>
      </c>
      <c r="B22" s="215" t="s">
        <v>959</v>
      </c>
      <c r="C22" s="215" t="s">
        <v>1176</v>
      </c>
      <c r="D22" s="215" t="s">
        <v>1122</v>
      </c>
      <c r="E22" s="215" t="s">
        <v>1177</v>
      </c>
      <c r="F22" s="193"/>
      <c r="G22" s="193"/>
      <c r="H22" s="193"/>
      <c r="I22" s="193"/>
      <c r="J22" s="193"/>
    </row>
    <row r="23" spans="1:26">
      <c r="A23" s="193" t="s">
        <v>1178</v>
      </c>
      <c r="B23" s="193"/>
      <c r="C23" s="193"/>
      <c r="D23" s="193"/>
      <c r="E23" s="193"/>
      <c r="F23" s="193"/>
      <c r="G23" s="193"/>
      <c r="H23" s="193"/>
      <c r="I23" s="193"/>
      <c r="J23" s="193"/>
    </row>
    <row r="24" spans="1:26" ht="30">
      <c r="A24" s="193" t="s">
        <v>990</v>
      </c>
      <c r="B24" s="193" t="s">
        <v>1179</v>
      </c>
      <c r="C24" s="193" t="s">
        <v>1180</v>
      </c>
      <c r="D24" s="193" t="s">
        <v>435</v>
      </c>
      <c r="E24" s="193" t="s">
        <v>1181</v>
      </c>
      <c r="F24" s="193"/>
      <c r="G24" s="193"/>
      <c r="H24" s="193"/>
      <c r="I24" s="193"/>
      <c r="J24" s="193"/>
    </row>
    <row r="25" spans="1:26" ht="45">
      <c r="A25" s="193" t="s">
        <v>741</v>
      </c>
      <c r="B25" s="193" t="s">
        <v>1182</v>
      </c>
      <c r="C25" s="193" t="s">
        <v>1183</v>
      </c>
      <c r="D25" s="193" t="s">
        <v>435</v>
      </c>
      <c r="E25" s="193" t="s">
        <v>1184</v>
      </c>
      <c r="F25" s="193"/>
      <c r="G25" s="193"/>
      <c r="H25" s="193"/>
      <c r="I25" s="193"/>
      <c r="J25" s="193"/>
    </row>
    <row r="26" spans="1:26" ht="30">
      <c r="A26" s="193" t="s">
        <v>903</v>
      </c>
      <c r="B26" s="193" t="s">
        <v>1185</v>
      </c>
      <c r="C26" s="193" t="s">
        <v>1186</v>
      </c>
      <c r="D26" s="193" t="s">
        <v>435</v>
      </c>
      <c r="E26" s="193" t="s">
        <v>1187</v>
      </c>
      <c r="F26" s="193"/>
      <c r="G26" s="193"/>
      <c r="H26" s="193"/>
      <c r="I26" s="193"/>
      <c r="J26" s="193"/>
    </row>
    <row r="27" spans="1:26" ht="60">
      <c r="A27" s="193" t="s">
        <v>1188</v>
      </c>
      <c r="B27" s="193" t="s">
        <v>1189</v>
      </c>
      <c r="C27" s="193" t="s">
        <v>1190</v>
      </c>
      <c r="D27" s="193" t="s">
        <v>1191</v>
      </c>
      <c r="E27" s="193" t="s">
        <v>1192</v>
      </c>
      <c r="F27" s="193"/>
      <c r="G27" s="193"/>
      <c r="H27" s="193"/>
      <c r="I27" s="193"/>
      <c r="J27" s="193"/>
    </row>
    <row r="28" spans="1:26" ht="45">
      <c r="A28" s="356" t="s">
        <v>1193</v>
      </c>
      <c r="B28" s="356" t="s">
        <v>1194</v>
      </c>
      <c r="C28" s="356" t="s">
        <v>1195</v>
      </c>
      <c r="D28" s="355" t="s">
        <v>1196</v>
      </c>
      <c r="E28" s="356" t="s">
        <v>1197</v>
      </c>
      <c r="F28" s="193"/>
      <c r="G28" s="193"/>
      <c r="H28" s="193"/>
      <c r="I28" s="193"/>
      <c r="J28" s="193"/>
    </row>
    <row r="29" spans="1:26">
      <c r="A29" s="193"/>
      <c r="B29" s="193"/>
      <c r="C29" s="193"/>
      <c r="D29" s="193"/>
      <c r="E29" s="193"/>
      <c r="F29" s="193"/>
      <c r="G29" s="193"/>
      <c r="H29" s="193"/>
      <c r="I29" s="193"/>
      <c r="J29" s="193"/>
    </row>
    <row r="30" spans="1:26">
      <c r="A30" s="422" t="s">
        <v>1198</v>
      </c>
      <c r="B30" s="419"/>
      <c r="C30" s="419"/>
      <c r="D30" s="419"/>
      <c r="E30" s="419"/>
      <c r="F30" s="193"/>
      <c r="G30" s="193"/>
      <c r="H30" s="193"/>
      <c r="I30" s="193"/>
      <c r="J30" s="193"/>
    </row>
    <row r="31" spans="1:26">
      <c r="A31" s="390" t="s">
        <v>1098</v>
      </c>
      <c r="B31" s="390" t="s">
        <v>1099</v>
      </c>
      <c r="C31" s="390" t="s">
        <v>1100</v>
      </c>
      <c r="D31" s="390" t="s">
        <v>1101</v>
      </c>
      <c r="E31" s="390" t="s">
        <v>56</v>
      </c>
      <c r="F31" s="193"/>
      <c r="G31" s="193"/>
      <c r="H31" s="193"/>
      <c r="I31" s="193"/>
      <c r="J31" s="193"/>
    </row>
    <row r="32" spans="1:26" ht="30">
      <c r="A32" s="391" t="s">
        <v>1199</v>
      </c>
      <c r="B32" s="392" t="s">
        <v>1054</v>
      </c>
      <c r="C32" s="391" t="s">
        <v>1200</v>
      </c>
      <c r="D32" s="391" t="s">
        <v>1201</v>
      </c>
      <c r="E32" s="215" t="s">
        <v>1202</v>
      </c>
      <c r="F32" s="193"/>
      <c r="G32" s="193"/>
      <c r="H32" s="193"/>
      <c r="I32" s="193"/>
      <c r="J32" s="193"/>
    </row>
    <row r="33" spans="1:10" ht="30">
      <c r="A33" s="391" t="s">
        <v>1199</v>
      </c>
      <c r="B33" s="392" t="s">
        <v>1060</v>
      </c>
      <c r="C33" s="391" t="s">
        <v>1203</v>
      </c>
      <c r="D33" s="391" t="s">
        <v>1201</v>
      </c>
      <c r="E33" s="215" t="s">
        <v>1202</v>
      </c>
      <c r="F33" s="193"/>
      <c r="G33" s="193"/>
      <c r="H33" s="193"/>
      <c r="I33" s="193"/>
      <c r="J33" s="193"/>
    </row>
    <row r="34" spans="1:10" ht="30">
      <c r="A34" s="391" t="s">
        <v>1199</v>
      </c>
      <c r="B34" s="392" t="s">
        <v>1064</v>
      </c>
      <c r="C34" s="391" t="s">
        <v>1204</v>
      </c>
      <c r="D34" s="391" t="s">
        <v>1201</v>
      </c>
      <c r="E34" s="215" t="s">
        <v>1202</v>
      </c>
      <c r="F34" s="193"/>
      <c r="G34" s="193"/>
      <c r="H34" s="193"/>
      <c r="I34" s="193"/>
      <c r="J34" s="193"/>
    </row>
    <row r="35" spans="1:10" ht="30">
      <c r="A35" s="391" t="s">
        <v>1199</v>
      </c>
      <c r="B35" s="392" t="s">
        <v>1069</v>
      </c>
      <c r="C35" s="391" t="s">
        <v>1205</v>
      </c>
      <c r="D35" s="391" t="s">
        <v>1201</v>
      </c>
      <c r="E35" s="215" t="s">
        <v>1202</v>
      </c>
      <c r="F35" s="193"/>
      <c r="G35" s="193"/>
      <c r="H35" s="193"/>
      <c r="I35" s="193"/>
      <c r="J35" s="193"/>
    </row>
    <row r="36" spans="1:10" ht="30">
      <c r="A36" s="391" t="s">
        <v>1199</v>
      </c>
      <c r="B36" s="392" t="s">
        <v>1074</v>
      </c>
      <c r="C36" s="391" t="s">
        <v>1206</v>
      </c>
      <c r="D36" s="391" t="s">
        <v>1201</v>
      </c>
      <c r="E36" s="215" t="s">
        <v>1202</v>
      </c>
      <c r="F36" s="193"/>
      <c r="G36" s="193"/>
      <c r="H36" s="193"/>
      <c r="I36" s="193"/>
      <c r="J36" s="193"/>
    </row>
  </sheetData>
  <mergeCells count="2">
    <mergeCell ref="A30:E30"/>
    <mergeCell ref="G4:K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20EFE-B62E-4AB3-B333-439A8EFB373C}">
  <sheetPr>
    <tabColor rgb="FF1F4E79"/>
  </sheetPr>
  <dimension ref="A1:H96"/>
  <sheetViews>
    <sheetView workbookViewId="0">
      <pane ySplit="4" topLeftCell="A5" activePane="bottomLeft" state="frozen"/>
      <selection pane="bottomLeft" activeCell="D7" sqref="D7"/>
    </sheetView>
  </sheetViews>
  <sheetFormatPr defaultRowHeight="15"/>
  <cols>
    <col min="1" max="1" width="16" customWidth="1"/>
    <col min="2" max="2" width="28" customWidth="1"/>
    <col min="3" max="3" width="38" customWidth="1"/>
    <col min="4" max="4" width="24" customWidth="1"/>
    <col min="5" max="5" width="26" customWidth="1"/>
    <col min="6" max="6" width="44" customWidth="1"/>
    <col min="7" max="8" width="24" customWidth="1"/>
  </cols>
  <sheetData>
    <row r="1" spans="1:8" ht="60">
      <c r="A1" s="395" t="s">
        <v>7482</v>
      </c>
      <c r="B1" s="395"/>
      <c r="C1" s="395"/>
      <c r="D1" s="395"/>
      <c r="E1" s="395"/>
      <c r="F1" s="395"/>
      <c r="G1" s="395"/>
      <c r="H1" s="395"/>
    </row>
    <row r="2" spans="1:8" ht="90">
      <c r="A2" s="193" t="s">
        <v>1094</v>
      </c>
      <c r="B2" s="193" t="s">
        <v>7483</v>
      </c>
      <c r="C2" s="193"/>
      <c r="D2" s="193"/>
      <c r="E2" s="193"/>
      <c r="F2" s="193"/>
      <c r="G2" s="193"/>
      <c r="H2" s="193"/>
    </row>
    <row r="3" spans="1:8" ht="120">
      <c r="A3" s="193" t="s">
        <v>1208</v>
      </c>
      <c r="B3" s="193" t="s">
        <v>7484</v>
      </c>
      <c r="C3" s="193"/>
      <c r="D3" s="193"/>
      <c r="E3" s="193"/>
      <c r="F3" s="193"/>
      <c r="G3" s="193"/>
      <c r="H3" s="193"/>
    </row>
    <row r="4" spans="1:8">
      <c r="A4" s="395"/>
      <c r="B4" s="395"/>
      <c r="C4" s="395"/>
      <c r="D4" s="395"/>
      <c r="E4" s="395"/>
      <c r="F4" s="395"/>
      <c r="G4" s="395"/>
      <c r="H4" s="395"/>
    </row>
    <row r="5" spans="1:8" ht="30">
      <c r="A5" s="395" t="s">
        <v>7485</v>
      </c>
      <c r="B5" s="395" t="s">
        <v>7486</v>
      </c>
      <c r="C5" s="395" t="s">
        <v>7487</v>
      </c>
      <c r="D5" s="395" t="s">
        <v>7488</v>
      </c>
      <c r="E5" s="395" t="s">
        <v>1259</v>
      </c>
      <c r="F5" s="395" t="s">
        <v>7489</v>
      </c>
      <c r="G5" s="395" t="s">
        <v>7490</v>
      </c>
      <c r="H5" s="395" t="s">
        <v>386</v>
      </c>
    </row>
    <row r="6" spans="1:8" ht="45">
      <c r="A6" s="346" t="s">
        <v>7491</v>
      </c>
      <c r="B6" s="346" t="s">
        <v>735</v>
      </c>
      <c r="C6" s="346" t="s">
        <v>7492</v>
      </c>
      <c r="D6" s="346" t="s">
        <v>7493</v>
      </c>
      <c r="E6" s="346" t="s">
        <v>7494</v>
      </c>
      <c r="F6" s="346" t="s">
        <v>524</v>
      </c>
      <c r="G6" s="346" t="s">
        <v>7495</v>
      </c>
      <c r="H6" s="346" t="s">
        <v>7496</v>
      </c>
    </row>
    <row r="7" spans="1:8" ht="45">
      <c r="A7" s="346" t="s">
        <v>7491</v>
      </c>
      <c r="B7" s="346" t="s">
        <v>666</v>
      </c>
      <c r="C7" s="346" t="s">
        <v>7497</v>
      </c>
      <c r="D7" s="346" t="s">
        <v>7498</v>
      </c>
      <c r="E7" s="346" t="s">
        <v>7499</v>
      </c>
      <c r="F7" s="346" t="s">
        <v>524</v>
      </c>
      <c r="G7" s="346" t="s">
        <v>7500</v>
      </c>
      <c r="H7" s="346" t="s">
        <v>7501</v>
      </c>
    </row>
    <row r="8" spans="1:8" ht="45">
      <c r="A8" s="346" t="s">
        <v>7502</v>
      </c>
      <c r="B8" s="346" t="s">
        <v>778</v>
      </c>
      <c r="C8" s="346" t="s">
        <v>7503</v>
      </c>
      <c r="D8" s="346" t="s">
        <v>7504</v>
      </c>
      <c r="E8" s="346" t="s">
        <v>7505</v>
      </c>
      <c r="F8" s="346" t="s">
        <v>524</v>
      </c>
      <c r="G8" s="346" t="s">
        <v>7506</v>
      </c>
      <c r="H8" s="346" t="s">
        <v>7507</v>
      </c>
    </row>
    <row r="9" spans="1:8" ht="45">
      <c r="A9" s="346" t="s">
        <v>7508</v>
      </c>
      <c r="B9" s="346" t="s">
        <v>746</v>
      </c>
      <c r="C9" s="346" t="s">
        <v>7509</v>
      </c>
      <c r="D9" s="346" t="s">
        <v>7510</v>
      </c>
      <c r="E9" s="346" t="s">
        <v>7511</v>
      </c>
      <c r="F9" s="346" t="s">
        <v>524</v>
      </c>
      <c r="G9" s="346" t="s">
        <v>7512</v>
      </c>
      <c r="H9" s="346" t="s">
        <v>7513</v>
      </c>
    </row>
    <row r="10" spans="1:8" ht="45">
      <c r="A10" s="346" t="s">
        <v>7508</v>
      </c>
      <c r="B10" s="346" t="s">
        <v>751</v>
      </c>
      <c r="C10" s="346" t="s">
        <v>7514</v>
      </c>
      <c r="D10" s="346" t="s">
        <v>7515</v>
      </c>
      <c r="E10" s="346" t="s">
        <v>7511</v>
      </c>
      <c r="F10" s="346" t="s">
        <v>524</v>
      </c>
      <c r="G10" s="346" t="s">
        <v>7516</v>
      </c>
      <c r="H10" s="346" t="s">
        <v>7517</v>
      </c>
    </row>
    <row r="11" spans="1:8" ht="45">
      <c r="A11" s="346" t="s">
        <v>7508</v>
      </c>
      <c r="B11" s="346" t="s">
        <v>756</v>
      </c>
      <c r="C11" s="346" t="s">
        <v>7518</v>
      </c>
      <c r="D11" s="346" t="s">
        <v>7519</v>
      </c>
      <c r="E11" s="346" t="s">
        <v>7511</v>
      </c>
      <c r="F11" s="346" t="s">
        <v>524</v>
      </c>
      <c r="G11" s="346" t="s">
        <v>7520</v>
      </c>
      <c r="H11" s="346" t="s">
        <v>7521</v>
      </c>
    </row>
    <row r="12" spans="1:8" ht="45">
      <c r="A12" s="346" t="s">
        <v>7508</v>
      </c>
      <c r="B12" s="346" t="s">
        <v>855</v>
      </c>
      <c r="C12" s="346" t="s">
        <v>7522</v>
      </c>
      <c r="D12" s="346" t="s">
        <v>7523</v>
      </c>
      <c r="E12" s="346" t="s">
        <v>7511</v>
      </c>
      <c r="F12" s="346" t="s">
        <v>524</v>
      </c>
      <c r="G12" s="346" t="s">
        <v>7524</v>
      </c>
      <c r="H12" s="346" t="s">
        <v>7525</v>
      </c>
    </row>
    <row r="13" spans="1:8" ht="45">
      <c r="A13" s="346" t="s">
        <v>7508</v>
      </c>
      <c r="B13" s="346" t="s">
        <v>927</v>
      </c>
      <c r="C13" s="346" t="s">
        <v>7526</v>
      </c>
      <c r="D13" s="346" t="s">
        <v>7527</v>
      </c>
      <c r="E13" s="346" t="s">
        <v>7511</v>
      </c>
      <c r="F13" s="346" t="s">
        <v>524</v>
      </c>
      <c r="G13" s="346" t="s">
        <v>7528</v>
      </c>
      <c r="H13" s="346" t="s">
        <v>7529</v>
      </c>
    </row>
    <row r="14" spans="1:8" ht="45">
      <c r="A14" s="346" t="s">
        <v>7508</v>
      </c>
      <c r="B14" s="346" t="s">
        <v>903</v>
      </c>
      <c r="C14" s="346" t="s">
        <v>7530</v>
      </c>
      <c r="D14" s="346" t="s">
        <v>7531</v>
      </c>
      <c r="E14" s="346" t="s">
        <v>7511</v>
      </c>
      <c r="F14" s="346" t="s">
        <v>524</v>
      </c>
      <c r="G14" s="346" t="s">
        <v>7532</v>
      </c>
      <c r="H14" s="346" t="s">
        <v>7533</v>
      </c>
    </row>
    <row r="15" spans="1:8" ht="75">
      <c r="A15" s="346" t="s">
        <v>7534</v>
      </c>
      <c r="B15" s="346" t="s">
        <v>959</v>
      </c>
      <c r="C15" s="346" t="s">
        <v>7535</v>
      </c>
      <c r="D15" s="346" t="s">
        <v>7536</v>
      </c>
      <c r="E15" s="346" t="s">
        <v>7537</v>
      </c>
      <c r="F15" s="346" t="s">
        <v>524</v>
      </c>
      <c r="G15" s="346" t="s">
        <v>7538</v>
      </c>
      <c r="H15" s="346" t="s">
        <v>7539</v>
      </c>
    </row>
    <row r="16" spans="1:8" ht="30">
      <c r="A16" s="346" t="s">
        <v>7534</v>
      </c>
      <c r="B16" s="346" t="s">
        <v>861</v>
      </c>
      <c r="C16" s="346" t="s">
        <v>7540</v>
      </c>
      <c r="D16" s="346" t="s">
        <v>7541</v>
      </c>
      <c r="E16" s="346" t="s">
        <v>7511</v>
      </c>
      <c r="F16" s="346" t="s">
        <v>524</v>
      </c>
      <c r="G16" s="346" t="s">
        <v>7528</v>
      </c>
      <c r="H16" s="346" t="s">
        <v>7542</v>
      </c>
    </row>
    <row r="17" spans="1:8" ht="45">
      <c r="A17" s="346" t="s">
        <v>7534</v>
      </c>
      <c r="B17" s="346" t="s">
        <v>768</v>
      </c>
      <c r="C17" s="346" t="s">
        <v>7543</v>
      </c>
      <c r="D17" s="346" t="s">
        <v>7544</v>
      </c>
      <c r="E17" s="346" t="s">
        <v>7545</v>
      </c>
      <c r="F17" s="346" t="s">
        <v>524</v>
      </c>
      <c r="G17" s="346" t="s">
        <v>7546</v>
      </c>
      <c r="H17" s="346" t="s">
        <v>7547</v>
      </c>
    </row>
    <row r="18" spans="1:8" ht="30">
      <c r="A18" s="346" t="s">
        <v>7548</v>
      </c>
      <c r="B18" s="346" t="s">
        <v>672</v>
      </c>
      <c r="C18" s="346" t="s">
        <v>7549</v>
      </c>
      <c r="D18" s="346" t="s">
        <v>7550</v>
      </c>
      <c r="E18" s="346" t="s">
        <v>7545</v>
      </c>
      <c r="F18" s="346" t="s">
        <v>524</v>
      </c>
      <c r="G18" s="346" t="s">
        <v>7551</v>
      </c>
      <c r="H18" s="346" t="s">
        <v>7552</v>
      </c>
    </row>
    <row r="19" spans="1:8" ht="60">
      <c r="A19" s="346" t="s">
        <v>7548</v>
      </c>
      <c r="B19" s="346" t="s">
        <v>762</v>
      </c>
      <c r="C19" s="346" t="s">
        <v>7553</v>
      </c>
      <c r="D19" s="346" t="s">
        <v>7554</v>
      </c>
      <c r="E19" s="346" t="s">
        <v>7545</v>
      </c>
      <c r="F19" s="346" t="s">
        <v>524</v>
      </c>
      <c r="G19" s="346" t="s">
        <v>7555</v>
      </c>
      <c r="H19" s="346" t="s">
        <v>7556</v>
      </c>
    </row>
    <row r="20" spans="1:8" ht="45">
      <c r="A20" s="346" t="s">
        <v>7557</v>
      </c>
      <c r="B20" s="346" t="s">
        <v>1267</v>
      </c>
      <c r="C20" s="346" t="s">
        <v>7558</v>
      </c>
      <c r="D20" s="346" t="s">
        <v>7559</v>
      </c>
      <c r="E20" s="346" t="s">
        <v>7560</v>
      </c>
      <c r="F20" s="346" t="s">
        <v>524</v>
      </c>
      <c r="G20" s="346" t="s">
        <v>7561</v>
      </c>
      <c r="H20" s="346" t="s">
        <v>7562</v>
      </c>
    </row>
    <row r="21" spans="1:8" ht="45">
      <c r="A21" s="346" t="s">
        <v>7557</v>
      </c>
      <c r="B21" s="346" t="s">
        <v>7563</v>
      </c>
      <c r="C21" s="346" t="s">
        <v>7564</v>
      </c>
      <c r="D21" s="346" t="s">
        <v>7565</v>
      </c>
      <c r="E21" s="346" t="s">
        <v>7560</v>
      </c>
      <c r="F21" s="346" t="s">
        <v>524</v>
      </c>
      <c r="G21" s="346" t="s">
        <v>7566</v>
      </c>
      <c r="H21" s="346" t="s">
        <v>7567</v>
      </c>
    </row>
    <row r="22" spans="1:8" ht="45">
      <c r="A22" s="346" t="s">
        <v>7557</v>
      </c>
      <c r="B22" s="346" t="s">
        <v>7568</v>
      </c>
      <c r="C22" s="346" t="s">
        <v>7564</v>
      </c>
      <c r="D22" s="346" t="s">
        <v>7569</v>
      </c>
      <c r="E22" s="346" t="s">
        <v>7560</v>
      </c>
      <c r="F22" s="346" t="s">
        <v>524</v>
      </c>
      <c r="G22" s="346" t="s">
        <v>7566</v>
      </c>
      <c r="H22" s="346" t="s">
        <v>7570</v>
      </c>
    </row>
    <row r="23" spans="1:8" ht="45">
      <c r="A23" s="346" t="s">
        <v>7557</v>
      </c>
      <c r="B23" s="346" t="s">
        <v>1303</v>
      </c>
      <c r="C23" s="346" t="s">
        <v>7564</v>
      </c>
      <c r="D23" s="346" t="s">
        <v>7571</v>
      </c>
      <c r="E23" s="346" t="s">
        <v>7560</v>
      </c>
      <c r="F23" s="346" t="s">
        <v>524</v>
      </c>
      <c r="G23" s="346" t="s">
        <v>7572</v>
      </c>
      <c r="H23" s="346" t="s">
        <v>7573</v>
      </c>
    </row>
    <row r="24" spans="1:8" ht="45">
      <c r="A24" s="346" t="s">
        <v>7557</v>
      </c>
      <c r="B24" s="346" t="s">
        <v>7574</v>
      </c>
      <c r="C24" s="346" t="s">
        <v>7575</v>
      </c>
      <c r="D24" s="346" t="s">
        <v>7576</v>
      </c>
      <c r="E24" s="346" t="s">
        <v>7577</v>
      </c>
      <c r="F24" s="346" t="s">
        <v>524</v>
      </c>
      <c r="G24" s="346" t="s">
        <v>7578</v>
      </c>
      <c r="H24" s="346" t="s">
        <v>7579</v>
      </c>
    </row>
    <row r="25" spans="1:8" ht="45">
      <c r="A25" s="346" t="s">
        <v>7580</v>
      </c>
      <c r="B25" s="346" t="s">
        <v>1054</v>
      </c>
      <c r="C25" s="346" t="s">
        <v>7581</v>
      </c>
      <c r="D25" s="346" t="s">
        <v>7582</v>
      </c>
      <c r="E25" s="346" t="s">
        <v>1289</v>
      </c>
      <c r="F25" s="346" t="s">
        <v>7583</v>
      </c>
      <c r="G25" s="346" t="s">
        <v>7584</v>
      </c>
      <c r="H25" s="346" t="s">
        <v>7585</v>
      </c>
    </row>
    <row r="26" spans="1:8" ht="45">
      <c r="A26" s="346" t="s">
        <v>7580</v>
      </c>
      <c r="B26" s="346" t="s">
        <v>1060</v>
      </c>
      <c r="C26" s="346" t="s">
        <v>7586</v>
      </c>
      <c r="D26" s="346" t="s">
        <v>7587</v>
      </c>
      <c r="E26" s="346" t="s">
        <v>1289</v>
      </c>
      <c r="F26" s="346" t="s">
        <v>7583</v>
      </c>
      <c r="G26" s="346" t="s">
        <v>7588</v>
      </c>
      <c r="H26" s="346" t="s">
        <v>7585</v>
      </c>
    </row>
    <row r="27" spans="1:8" ht="60">
      <c r="A27" s="346" t="s">
        <v>7580</v>
      </c>
      <c r="B27" s="346" t="s">
        <v>1064</v>
      </c>
      <c r="C27" s="346" t="s">
        <v>7589</v>
      </c>
      <c r="D27" s="346" t="s">
        <v>7590</v>
      </c>
      <c r="E27" s="346" t="s">
        <v>1289</v>
      </c>
      <c r="F27" s="346" t="s">
        <v>7583</v>
      </c>
      <c r="G27" s="346" t="s">
        <v>7591</v>
      </c>
      <c r="H27" s="346" t="s">
        <v>7592</v>
      </c>
    </row>
    <row r="28" spans="1:8" ht="45">
      <c r="A28" s="346" t="s">
        <v>7580</v>
      </c>
      <c r="B28" s="346" t="s">
        <v>1069</v>
      </c>
      <c r="C28" s="346" t="s">
        <v>7593</v>
      </c>
      <c r="D28" s="346" t="s">
        <v>7594</v>
      </c>
      <c r="E28" s="346" t="s">
        <v>1289</v>
      </c>
      <c r="F28" s="346" t="s">
        <v>7583</v>
      </c>
      <c r="G28" s="346" t="s">
        <v>7595</v>
      </c>
      <c r="H28" s="346" t="s">
        <v>7596</v>
      </c>
    </row>
    <row r="29" spans="1:8" ht="45">
      <c r="A29" s="346" t="s">
        <v>7580</v>
      </c>
      <c r="B29" s="346" t="s">
        <v>1074</v>
      </c>
      <c r="C29" s="346" t="s">
        <v>7597</v>
      </c>
      <c r="D29" s="346" t="s">
        <v>7598</v>
      </c>
      <c r="E29" s="346" t="s">
        <v>1289</v>
      </c>
      <c r="F29" s="346" t="s">
        <v>7583</v>
      </c>
      <c r="G29" s="346" t="s">
        <v>7599</v>
      </c>
      <c r="H29" s="346" t="s">
        <v>7600</v>
      </c>
    </row>
    <row r="30" spans="1:8">
      <c r="A30" s="346"/>
      <c r="B30" s="346"/>
      <c r="C30" s="346"/>
      <c r="D30" s="346"/>
      <c r="E30" s="346"/>
      <c r="F30" s="346"/>
      <c r="G30" s="346"/>
      <c r="H30" s="346"/>
    </row>
    <row r="31" spans="1:8">
      <c r="A31" s="346"/>
      <c r="B31" s="346"/>
      <c r="C31" s="346"/>
      <c r="D31" s="346"/>
      <c r="E31" s="346"/>
      <c r="F31" s="346"/>
      <c r="G31" s="346"/>
      <c r="H31" s="346"/>
    </row>
    <row r="32" spans="1:8">
      <c r="A32" s="346"/>
      <c r="B32" s="346"/>
      <c r="C32" s="346"/>
      <c r="D32" s="346"/>
      <c r="E32" s="346"/>
      <c r="F32" s="346"/>
      <c r="G32" s="346"/>
      <c r="H32" s="346"/>
    </row>
    <row r="33" spans="1:8">
      <c r="A33" s="346"/>
      <c r="B33" s="346"/>
      <c r="C33" s="346"/>
      <c r="D33" s="346"/>
      <c r="E33" s="346"/>
      <c r="F33" s="346"/>
      <c r="G33" s="346"/>
      <c r="H33" s="346"/>
    </row>
    <row r="34" spans="1:8">
      <c r="A34" s="346"/>
      <c r="B34" s="346"/>
      <c r="C34" s="346"/>
      <c r="D34" s="346"/>
      <c r="E34" s="346"/>
      <c r="F34" s="346"/>
      <c r="G34" s="346"/>
      <c r="H34" s="346"/>
    </row>
    <row r="35" spans="1:8">
      <c r="A35" s="346"/>
      <c r="B35" s="346"/>
      <c r="C35" s="346"/>
      <c r="D35" s="346"/>
      <c r="E35" s="346"/>
      <c r="F35" s="346"/>
      <c r="G35" s="346"/>
      <c r="H35" s="346"/>
    </row>
    <row r="36" spans="1:8">
      <c r="A36" s="346"/>
      <c r="B36" s="346"/>
      <c r="C36" s="346"/>
      <c r="D36" s="346"/>
      <c r="E36" s="346"/>
      <c r="F36" s="346"/>
      <c r="G36" s="346"/>
      <c r="H36" s="346"/>
    </row>
    <row r="37" spans="1:8">
      <c r="A37" s="346"/>
      <c r="B37" s="346"/>
      <c r="C37" s="346"/>
      <c r="D37" s="346"/>
      <c r="E37" s="346"/>
      <c r="F37" s="346"/>
      <c r="G37" s="346"/>
      <c r="H37" s="346"/>
    </row>
    <row r="38" spans="1:8">
      <c r="A38" s="346"/>
      <c r="B38" s="346"/>
      <c r="C38" s="346"/>
      <c r="D38" s="346"/>
      <c r="E38" s="346"/>
      <c r="F38" s="346"/>
      <c r="G38" s="346"/>
      <c r="H38" s="346"/>
    </row>
    <row r="39" spans="1:8">
      <c r="A39" s="346"/>
      <c r="B39" s="346"/>
      <c r="C39" s="346"/>
      <c r="D39" s="346"/>
      <c r="E39" s="346"/>
      <c r="F39" s="346"/>
      <c r="G39" s="346"/>
      <c r="H39" s="346"/>
    </row>
    <row r="40" spans="1:8">
      <c r="A40" s="346"/>
      <c r="B40" s="346"/>
      <c r="C40" s="346"/>
      <c r="D40" s="346"/>
      <c r="E40" s="346"/>
      <c r="F40" s="346"/>
      <c r="G40" s="346"/>
      <c r="H40" s="346"/>
    </row>
    <row r="41" spans="1:8">
      <c r="A41" s="346"/>
      <c r="B41" s="346"/>
      <c r="C41" s="346"/>
      <c r="D41" s="346"/>
      <c r="E41" s="346"/>
      <c r="F41" s="346"/>
      <c r="G41" s="346"/>
      <c r="H41" s="346"/>
    </row>
    <row r="42" spans="1:8">
      <c r="A42" s="346"/>
      <c r="B42" s="346"/>
      <c r="C42" s="346"/>
      <c r="D42" s="346"/>
      <c r="E42" s="346"/>
      <c r="F42" s="346"/>
      <c r="G42" s="346"/>
      <c r="H42" s="346"/>
    </row>
    <row r="43" spans="1:8">
      <c r="A43" s="346"/>
      <c r="B43" s="346"/>
      <c r="C43" s="346"/>
      <c r="D43" s="346"/>
      <c r="E43" s="346"/>
      <c r="F43" s="346"/>
      <c r="G43" s="346"/>
      <c r="H43" s="346"/>
    </row>
    <row r="44" spans="1:8">
      <c r="A44" s="346"/>
      <c r="B44" s="346"/>
      <c r="C44" s="346"/>
      <c r="D44" s="346"/>
      <c r="E44" s="346"/>
      <c r="F44" s="346"/>
      <c r="G44" s="346"/>
      <c r="H44" s="346"/>
    </row>
    <row r="45" spans="1:8">
      <c r="A45" s="346"/>
      <c r="B45" s="346"/>
      <c r="C45" s="346"/>
      <c r="D45" s="346"/>
      <c r="E45" s="346"/>
      <c r="F45" s="346"/>
      <c r="G45" s="346"/>
      <c r="H45" s="346"/>
    </row>
    <row r="46" spans="1:8">
      <c r="A46" s="346"/>
      <c r="B46" s="346"/>
      <c r="C46" s="346"/>
      <c r="D46" s="346"/>
      <c r="E46" s="346"/>
      <c r="F46" s="346"/>
      <c r="G46" s="346"/>
      <c r="H46" s="346"/>
    </row>
    <row r="47" spans="1:8">
      <c r="A47" s="346"/>
      <c r="B47" s="346"/>
      <c r="C47" s="346"/>
      <c r="D47" s="346"/>
      <c r="E47" s="346"/>
      <c r="F47" s="346"/>
      <c r="G47" s="346"/>
      <c r="H47" s="346"/>
    </row>
    <row r="48" spans="1:8">
      <c r="A48" s="346"/>
      <c r="B48" s="346"/>
      <c r="C48" s="346"/>
      <c r="D48" s="346"/>
      <c r="E48" s="346"/>
      <c r="F48" s="346"/>
      <c r="G48" s="346"/>
      <c r="H48" s="346"/>
    </row>
    <row r="49" spans="1:8">
      <c r="A49" s="346"/>
      <c r="B49" s="346"/>
      <c r="C49" s="346"/>
      <c r="D49" s="346"/>
      <c r="E49" s="346"/>
      <c r="F49" s="346"/>
      <c r="G49" s="346"/>
      <c r="H49" s="346"/>
    </row>
    <row r="50" spans="1:8">
      <c r="A50" s="346"/>
      <c r="B50" s="346"/>
      <c r="C50" s="346"/>
      <c r="D50" s="346"/>
      <c r="E50" s="346"/>
      <c r="F50" s="346"/>
      <c r="G50" s="346"/>
      <c r="H50" s="346"/>
    </row>
    <row r="51" spans="1:8">
      <c r="A51" s="346"/>
      <c r="B51" s="346"/>
      <c r="C51" s="346"/>
      <c r="D51" s="346"/>
      <c r="E51" s="346"/>
      <c r="F51" s="346"/>
      <c r="G51" s="346"/>
      <c r="H51" s="346"/>
    </row>
    <row r="52" spans="1:8">
      <c r="A52" s="346"/>
      <c r="B52" s="346"/>
      <c r="C52" s="346"/>
      <c r="D52" s="346"/>
      <c r="E52" s="346"/>
      <c r="F52" s="346"/>
      <c r="G52" s="346"/>
      <c r="H52" s="346"/>
    </row>
    <row r="53" spans="1:8">
      <c r="A53" s="346"/>
      <c r="B53" s="346"/>
      <c r="C53" s="346"/>
      <c r="D53" s="346"/>
      <c r="E53" s="346"/>
      <c r="F53" s="346"/>
      <c r="G53" s="346"/>
      <c r="H53" s="346"/>
    </row>
    <row r="54" spans="1:8">
      <c r="A54" s="346"/>
      <c r="B54" s="346"/>
      <c r="C54" s="346"/>
      <c r="D54" s="346"/>
      <c r="E54" s="346"/>
      <c r="F54" s="346"/>
      <c r="G54" s="346"/>
      <c r="H54" s="346"/>
    </row>
    <row r="55" spans="1:8">
      <c r="A55" s="346"/>
      <c r="B55" s="346"/>
      <c r="C55" s="346"/>
      <c r="D55" s="346"/>
      <c r="E55" s="346"/>
      <c r="F55" s="346"/>
      <c r="G55" s="346"/>
      <c r="H55" s="346"/>
    </row>
    <row r="56" spans="1:8">
      <c r="A56" s="346"/>
      <c r="B56" s="346"/>
      <c r="C56" s="346"/>
      <c r="D56" s="346"/>
      <c r="E56" s="346"/>
      <c r="F56" s="346"/>
      <c r="G56" s="346"/>
      <c r="H56" s="346"/>
    </row>
    <row r="57" spans="1:8">
      <c r="A57" s="346"/>
      <c r="B57" s="346"/>
      <c r="C57" s="346"/>
      <c r="D57" s="346"/>
      <c r="E57" s="346"/>
      <c r="F57" s="346"/>
      <c r="G57" s="346"/>
      <c r="H57" s="346"/>
    </row>
    <row r="58" spans="1:8">
      <c r="A58" s="346"/>
      <c r="B58" s="346"/>
      <c r="C58" s="346"/>
      <c r="D58" s="346"/>
      <c r="E58" s="346"/>
      <c r="F58" s="346"/>
      <c r="G58" s="346"/>
      <c r="H58" s="346"/>
    </row>
    <row r="59" spans="1:8">
      <c r="A59" s="346"/>
      <c r="B59" s="346"/>
      <c r="C59" s="346"/>
      <c r="D59" s="346"/>
      <c r="E59" s="346"/>
      <c r="F59" s="346"/>
      <c r="G59" s="346"/>
      <c r="H59" s="346"/>
    </row>
    <row r="60" spans="1:8">
      <c r="A60" s="346"/>
      <c r="B60" s="346"/>
      <c r="C60" s="346"/>
      <c r="D60" s="346"/>
      <c r="E60" s="346"/>
      <c r="F60" s="346"/>
      <c r="G60" s="346"/>
      <c r="H60" s="346"/>
    </row>
    <row r="61" spans="1:8">
      <c r="A61" s="346"/>
      <c r="B61" s="346"/>
      <c r="C61" s="346"/>
      <c r="D61" s="346"/>
      <c r="E61" s="346"/>
      <c r="F61" s="346"/>
      <c r="G61" s="346"/>
      <c r="H61" s="346"/>
    </row>
    <row r="62" spans="1:8">
      <c r="A62" s="346"/>
      <c r="B62" s="346"/>
      <c r="C62" s="346"/>
      <c r="D62" s="346"/>
      <c r="E62" s="346"/>
      <c r="F62" s="346"/>
      <c r="G62" s="346"/>
      <c r="H62" s="346"/>
    </row>
    <row r="63" spans="1:8">
      <c r="A63" s="346"/>
      <c r="B63" s="346"/>
      <c r="C63" s="346"/>
      <c r="D63" s="346"/>
      <c r="E63" s="346"/>
      <c r="F63" s="346"/>
      <c r="G63" s="346"/>
      <c r="H63" s="346"/>
    </row>
    <row r="64" spans="1:8">
      <c r="A64" s="346"/>
      <c r="B64" s="346"/>
      <c r="C64" s="346"/>
      <c r="D64" s="346"/>
      <c r="E64" s="346"/>
      <c r="F64" s="346"/>
      <c r="G64" s="346"/>
      <c r="H64" s="346"/>
    </row>
    <row r="65" spans="1:8">
      <c r="A65" s="346"/>
      <c r="B65" s="346"/>
      <c r="C65" s="346"/>
      <c r="D65" s="346"/>
      <c r="E65" s="346"/>
      <c r="F65" s="346"/>
      <c r="G65" s="346"/>
      <c r="H65" s="346"/>
    </row>
    <row r="66" spans="1:8">
      <c r="A66" s="346"/>
      <c r="B66" s="346"/>
      <c r="C66" s="346"/>
      <c r="D66" s="346"/>
      <c r="E66" s="346"/>
      <c r="F66" s="346"/>
      <c r="G66" s="346"/>
      <c r="H66" s="346"/>
    </row>
    <row r="67" spans="1:8">
      <c r="A67" s="346"/>
      <c r="B67" s="346"/>
      <c r="C67" s="346"/>
      <c r="D67" s="346"/>
      <c r="E67" s="346"/>
      <c r="F67" s="346"/>
      <c r="G67" s="346"/>
      <c r="H67" s="346"/>
    </row>
    <row r="68" spans="1:8">
      <c r="A68" s="346"/>
      <c r="B68" s="346"/>
      <c r="C68" s="346"/>
      <c r="D68" s="346"/>
      <c r="E68" s="346"/>
      <c r="F68" s="346"/>
      <c r="G68" s="346"/>
      <c r="H68" s="346"/>
    </row>
    <row r="69" spans="1:8">
      <c r="A69" s="346"/>
      <c r="B69" s="346"/>
      <c r="C69" s="346"/>
      <c r="D69" s="346"/>
      <c r="E69" s="346"/>
      <c r="F69" s="346"/>
      <c r="G69" s="346"/>
      <c r="H69" s="346"/>
    </row>
    <row r="70" spans="1:8">
      <c r="A70" s="346"/>
      <c r="B70" s="346"/>
      <c r="C70" s="346"/>
      <c r="D70" s="346"/>
      <c r="E70" s="346"/>
      <c r="F70" s="346"/>
      <c r="G70" s="346"/>
      <c r="H70" s="346"/>
    </row>
    <row r="71" spans="1:8">
      <c r="A71" s="346"/>
      <c r="B71" s="346"/>
      <c r="C71" s="346"/>
      <c r="D71" s="346"/>
      <c r="E71" s="346"/>
      <c r="F71" s="346"/>
      <c r="G71" s="346"/>
      <c r="H71" s="346"/>
    </row>
    <row r="72" spans="1:8">
      <c r="A72" s="346"/>
      <c r="B72" s="346"/>
      <c r="C72" s="346"/>
      <c r="D72" s="346"/>
      <c r="E72" s="346"/>
      <c r="F72" s="346"/>
      <c r="G72" s="346"/>
      <c r="H72" s="346"/>
    </row>
    <row r="73" spans="1:8">
      <c r="A73" s="346"/>
      <c r="B73" s="346"/>
      <c r="C73" s="346"/>
      <c r="D73" s="346"/>
      <c r="E73" s="346"/>
      <c r="F73" s="346"/>
      <c r="G73" s="346"/>
      <c r="H73" s="346"/>
    </row>
    <row r="74" spans="1:8">
      <c r="A74" s="346"/>
      <c r="B74" s="346"/>
      <c r="C74" s="346"/>
      <c r="D74" s="346"/>
      <c r="E74" s="346"/>
      <c r="F74" s="346"/>
      <c r="G74" s="346"/>
      <c r="H74" s="346"/>
    </row>
    <row r="75" spans="1:8">
      <c r="A75" s="346"/>
      <c r="B75" s="346"/>
      <c r="C75" s="346"/>
      <c r="D75" s="346"/>
      <c r="E75" s="346"/>
      <c r="F75" s="346"/>
      <c r="G75" s="346"/>
      <c r="H75" s="346"/>
    </row>
    <row r="76" spans="1:8">
      <c r="A76" s="346"/>
      <c r="B76" s="346"/>
      <c r="C76" s="346"/>
      <c r="D76" s="346"/>
      <c r="E76" s="346"/>
      <c r="F76" s="346"/>
      <c r="G76" s="346"/>
      <c r="H76" s="346"/>
    </row>
    <row r="77" spans="1:8">
      <c r="A77" s="346"/>
      <c r="B77" s="346"/>
      <c r="C77" s="346"/>
      <c r="D77" s="346"/>
      <c r="E77" s="346"/>
      <c r="F77" s="346"/>
      <c r="G77" s="346"/>
      <c r="H77" s="346"/>
    </row>
    <row r="78" spans="1:8">
      <c r="A78" s="346"/>
      <c r="B78" s="346"/>
      <c r="C78" s="346"/>
      <c r="D78" s="346"/>
      <c r="E78" s="346"/>
      <c r="F78" s="346"/>
      <c r="G78" s="346"/>
      <c r="H78" s="346"/>
    </row>
    <row r="79" spans="1:8">
      <c r="A79" s="346"/>
      <c r="B79" s="346"/>
      <c r="C79" s="346"/>
      <c r="D79" s="346"/>
      <c r="E79" s="346"/>
      <c r="F79" s="346"/>
      <c r="G79" s="346"/>
      <c r="H79" s="346"/>
    </row>
    <row r="80" spans="1:8">
      <c r="A80" s="346"/>
      <c r="B80" s="346"/>
      <c r="C80" s="346"/>
      <c r="D80" s="346"/>
      <c r="E80" s="346"/>
      <c r="F80" s="346"/>
      <c r="G80" s="346"/>
      <c r="H80" s="346"/>
    </row>
    <row r="81" spans="1:8">
      <c r="A81" s="193"/>
      <c r="B81" s="193"/>
      <c r="C81" s="193"/>
      <c r="D81" s="193"/>
      <c r="E81" s="193"/>
      <c r="F81" s="193"/>
      <c r="G81" s="193"/>
      <c r="H81" s="193"/>
    </row>
    <row r="82" spans="1:8">
      <c r="A82" s="193"/>
      <c r="B82" s="193"/>
      <c r="C82" s="193"/>
      <c r="D82" s="193"/>
      <c r="E82" s="193"/>
      <c r="F82" s="193"/>
      <c r="G82" s="193"/>
      <c r="H82" s="193"/>
    </row>
    <row r="83" spans="1:8">
      <c r="A83" s="423" t="s">
        <v>1102</v>
      </c>
      <c r="B83" s="419"/>
      <c r="C83" s="419"/>
      <c r="D83" s="419"/>
      <c r="E83" s="419"/>
      <c r="F83" s="419"/>
      <c r="G83" s="419"/>
      <c r="H83" s="419"/>
    </row>
    <row r="84" spans="1:8">
      <c r="A84" s="389" t="s">
        <v>1107</v>
      </c>
      <c r="B84" s="389" t="s">
        <v>1108</v>
      </c>
      <c r="C84" s="389" t="s">
        <v>7601</v>
      </c>
      <c r="D84" s="389" t="s">
        <v>7602</v>
      </c>
      <c r="E84" s="389" t="s">
        <v>7603</v>
      </c>
      <c r="F84" s="389" t="s">
        <v>386</v>
      </c>
      <c r="G84" s="389" t="s">
        <v>56</v>
      </c>
      <c r="H84" s="389" t="s">
        <v>7604</v>
      </c>
    </row>
    <row r="85" spans="1:8" ht="45">
      <c r="A85" s="358" t="s">
        <v>7605</v>
      </c>
      <c r="B85" s="358" t="s">
        <v>7606</v>
      </c>
      <c r="C85" s="358" t="s">
        <v>7607</v>
      </c>
      <c r="D85" s="358" t="s">
        <v>1119</v>
      </c>
      <c r="E85" s="358" t="s">
        <v>7608</v>
      </c>
      <c r="F85" s="358" t="s">
        <v>7609</v>
      </c>
      <c r="G85" s="358" t="s">
        <v>1280</v>
      </c>
      <c r="H85" s="358" t="s">
        <v>1588</v>
      </c>
    </row>
    <row r="86" spans="1:8" ht="30">
      <c r="A86" s="359" t="s">
        <v>7610</v>
      </c>
      <c r="B86" s="359" t="s">
        <v>7611</v>
      </c>
      <c r="C86" s="359" t="s">
        <v>7612</v>
      </c>
      <c r="D86" s="359" t="s">
        <v>7613</v>
      </c>
      <c r="E86" s="359" t="s">
        <v>7614</v>
      </c>
      <c r="F86" s="359" t="s">
        <v>7615</v>
      </c>
      <c r="G86" s="359" t="s">
        <v>1280</v>
      </c>
      <c r="H86" s="359" t="s">
        <v>1588</v>
      </c>
    </row>
    <row r="87" spans="1:8" ht="60">
      <c r="A87" s="360" t="s">
        <v>7616</v>
      </c>
      <c r="B87" s="360" t="s">
        <v>7617</v>
      </c>
      <c r="C87" s="360" t="s">
        <v>7618</v>
      </c>
      <c r="D87" s="360" t="s">
        <v>7619</v>
      </c>
      <c r="E87" s="360" t="s">
        <v>7620</v>
      </c>
      <c r="F87" s="360" t="s">
        <v>7621</v>
      </c>
      <c r="G87" s="360" t="s">
        <v>1265</v>
      </c>
      <c r="H87" s="360" t="s">
        <v>1588</v>
      </c>
    </row>
    <row r="88" spans="1:8" ht="45">
      <c r="A88" s="361" t="s">
        <v>7622</v>
      </c>
      <c r="B88" s="361" t="s">
        <v>7623</v>
      </c>
      <c r="C88" s="361" t="s">
        <v>7624</v>
      </c>
      <c r="D88" s="361" t="s">
        <v>1141</v>
      </c>
      <c r="E88" s="361" t="s">
        <v>7625</v>
      </c>
      <c r="F88" s="361" t="s">
        <v>7626</v>
      </c>
      <c r="G88" s="361" t="s">
        <v>1280</v>
      </c>
      <c r="H88" s="361" t="s">
        <v>1588</v>
      </c>
    </row>
    <row r="89" spans="1:8" ht="30">
      <c r="A89" s="362" t="s">
        <v>7627</v>
      </c>
      <c r="B89" s="362" t="s">
        <v>7628</v>
      </c>
      <c r="C89" s="362" t="s">
        <v>7629</v>
      </c>
      <c r="D89" s="362" t="s">
        <v>7630</v>
      </c>
      <c r="E89" s="362" t="s">
        <v>7631</v>
      </c>
      <c r="F89" s="362" t="s">
        <v>7632</v>
      </c>
      <c r="G89" s="362" t="s">
        <v>7633</v>
      </c>
      <c r="H89" s="362" t="s">
        <v>1588</v>
      </c>
    </row>
    <row r="90" spans="1:8" ht="45">
      <c r="A90" s="363" t="s">
        <v>7634</v>
      </c>
      <c r="B90" s="363" t="s">
        <v>7635</v>
      </c>
      <c r="C90" s="363" t="s">
        <v>7636</v>
      </c>
      <c r="D90" s="363" t="s">
        <v>7613</v>
      </c>
      <c r="E90" s="363" t="s">
        <v>7637</v>
      </c>
      <c r="F90" s="363" t="s">
        <v>7638</v>
      </c>
      <c r="G90" s="363" t="s">
        <v>1280</v>
      </c>
      <c r="H90" s="363" t="s">
        <v>1588</v>
      </c>
    </row>
    <row r="91" spans="1:8">
      <c r="A91" s="193"/>
      <c r="B91" s="193"/>
      <c r="C91" s="193"/>
      <c r="D91" s="193"/>
      <c r="E91" s="193"/>
      <c r="F91" s="193"/>
      <c r="G91" s="193"/>
      <c r="H91" s="193"/>
    </row>
    <row r="92" spans="1:8" ht="45">
      <c r="A92" s="391" t="s">
        <v>7580</v>
      </c>
      <c r="B92" s="391" t="s">
        <v>1054</v>
      </c>
      <c r="C92" s="391" t="s">
        <v>7639</v>
      </c>
      <c r="D92" s="391" t="s">
        <v>7640</v>
      </c>
      <c r="E92" s="391" t="s">
        <v>1289</v>
      </c>
      <c r="F92" s="215" t="s">
        <v>524</v>
      </c>
      <c r="G92" s="215" t="s">
        <v>7641</v>
      </c>
      <c r="H92" s="215" t="s">
        <v>7642</v>
      </c>
    </row>
    <row r="93" spans="1:8" ht="45">
      <c r="A93" s="391" t="s">
        <v>7580</v>
      </c>
      <c r="B93" s="391" t="s">
        <v>1060</v>
      </c>
      <c r="C93" s="391" t="s">
        <v>7643</v>
      </c>
      <c r="D93" s="391" t="s">
        <v>7644</v>
      </c>
      <c r="E93" s="391" t="s">
        <v>1289</v>
      </c>
      <c r="F93" s="215" t="s">
        <v>524</v>
      </c>
      <c r="G93" s="215" t="s">
        <v>7645</v>
      </c>
      <c r="H93" s="215" t="s">
        <v>7646</v>
      </c>
    </row>
    <row r="94" spans="1:8" ht="60">
      <c r="A94" s="391" t="s">
        <v>7580</v>
      </c>
      <c r="B94" s="391" t="s">
        <v>1064</v>
      </c>
      <c r="C94" s="391" t="s">
        <v>7647</v>
      </c>
      <c r="D94" s="391" t="s">
        <v>7648</v>
      </c>
      <c r="E94" s="391" t="s">
        <v>1289</v>
      </c>
      <c r="F94" s="215" t="s">
        <v>524</v>
      </c>
      <c r="G94" s="215" t="s">
        <v>7649</v>
      </c>
      <c r="H94" s="215" t="s">
        <v>7650</v>
      </c>
    </row>
    <row r="95" spans="1:8" ht="60">
      <c r="A95" s="391" t="s">
        <v>7580</v>
      </c>
      <c r="B95" s="391" t="s">
        <v>1069</v>
      </c>
      <c r="C95" s="391" t="s">
        <v>7651</v>
      </c>
      <c r="D95" s="391" t="s">
        <v>7652</v>
      </c>
      <c r="E95" s="391" t="s">
        <v>1289</v>
      </c>
      <c r="F95" s="215" t="s">
        <v>524</v>
      </c>
      <c r="G95" s="215" t="s">
        <v>7653</v>
      </c>
      <c r="H95" s="215" t="s">
        <v>7654</v>
      </c>
    </row>
    <row r="96" spans="1:8" ht="60">
      <c r="A96" s="391" t="s">
        <v>7580</v>
      </c>
      <c r="B96" s="391" t="s">
        <v>1074</v>
      </c>
      <c r="C96" s="391" t="s">
        <v>7655</v>
      </c>
      <c r="D96" s="391" t="s">
        <v>7656</v>
      </c>
      <c r="E96" s="391" t="s">
        <v>1289</v>
      </c>
      <c r="F96" s="215" t="s">
        <v>524</v>
      </c>
      <c r="G96" s="215" t="s">
        <v>7657</v>
      </c>
      <c r="H96" s="215" t="s">
        <v>7658</v>
      </c>
    </row>
  </sheetData>
  <mergeCells count="1">
    <mergeCell ref="A83:H8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BCCC0-64A8-41FD-80B7-5CD53824FD03}">
  <sheetPr>
    <tabColor rgb="FF1F4E79"/>
  </sheetPr>
  <dimension ref="A1:K102"/>
  <sheetViews>
    <sheetView workbookViewId="0">
      <pane ySplit="4" topLeftCell="A5" activePane="bottomLeft" state="frozen"/>
      <selection pane="bottomLeft" activeCell="I17" sqref="I17"/>
    </sheetView>
  </sheetViews>
  <sheetFormatPr defaultRowHeight="15"/>
  <cols>
    <col min="1" max="2" width="18" customWidth="1"/>
    <col min="3" max="3" width="30" customWidth="1"/>
    <col min="4" max="4" width="22" customWidth="1"/>
    <col min="5" max="5" width="14" customWidth="1"/>
    <col min="6" max="7" width="18" customWidth="1"/>
    <col min="8" max="9" width="22" customWidth="1"/>
    <col min="10" max="10" width="30" customWidth="1"/>
    <col min="11" max="11" width="50" customWidth="1"/>
  </cols>
  <sheetData>
    <row r="1" spans="1:11" ht="30">
      <c r="A1" s="364" t="s">
        <v>735</v>
      </c>
    </row>
    <row r="2" spans="1:11">
      <c r="A2" t="s">
        <v>1094</v>
      </c>
      <c r="B2" t="s">
        <v>1207</v>
      </c>
    </row>
    <row r="3" spans="1:11">
      <c r="A3" t="s">
        <v>1208</v>
      </c>
      <c r="B3" t="s">
        <v>1209</v>
      </c>
    </row>
    <row r="4" spans="1:11" ht="30">
      <c r="A4" s="364" t="s">
        <v>1210</v>
      </c>
      <c r="B4" s="364" t="s">
        <v>1211</v>
      </c>
      <c r="C4" s="364" t="s">
        <v>1212</v>
      </c>
      <c r="D4" s="364" t="s">
        <v>1213</v>
      </c>
      <c r="E4" s="364" t="s">
        <v>1214</v>
      </c>
      <c r="F4" s="364" t="s">
        <v>1215</v>
      </c>
      <c r="G4" s="364" t="s">
        <v>1216</v>
      </c>
      <c r="H4" s="364" t="s">
        <v>1217</v>
      </c>
      <c r="I4" s="364" t="s">
        <v>1218</v>
      </c>
      <c r="J4" s="364" t="s">
        <v>1219</v>
      </c>
      <c r="K4" s="364" t="s">
        <v>386</v>
      </c>
    </row>
    <row r="5" spans="1:11" ht="30">
      <c r="A5" s="358" t="s">
        <v>1220</v>
      </c>
      <c r="B5" s="358" t="s">
        <v>1221</v>
      </c>
      <c r="C5" s="358" t="s">
        <v>1222</v>
      </c>
      <c r="D5" s="358" t="s">
        <v>1223</v>
      </c>
      <c r="E5" s="358" t="s">
        <v>1224</v>
      </c>
      <c r="F5" s="358" t="s">
        <v>1225</v>
      </c>
      <c r="G5" s="358" t="s">
        <v>1226</v>
      </c>
      <c r="H5" s="358" t="s">
        <v>1227</v>
      </c>
      <c r="I5" s="358" t="s">
        <v>1227</v>
      </c>
      <c r="J5" s="358" t="s">
        <v>1228</v>
      </c>
      <c r="K5" s="358" t="s">
        <v>1229</v>
      </c>
    </row>
    <row r="6" spans="1:11" ht="30">
      <c r="A6" s="346" t="s">
        <v>1230</v>
      </c>
      <c r="B6" s="346" t="s">
        <v>1221</v>
      </c>
      <c r="C6" s="346" t="s">
        <v>1231</v>
      </c>
      <c r="D6" s="346" t="s">
        <v>1232</v>
      </c>
      <c r="E6" s="346" t="s">
        <v>1233</v>
      </c>
      <c r="F6" s="346" t="s">
        <v>1234</v>
      </c>
      <c r="G6" s="346" t="s">
        <v>1226</v>
      </c>
      <c r="H6" s="346" t="s">
        <v>1227</v>
      </c>
      <c r="I6" s="346" t="s">
        <v>1227</v>
      </c>
      <c r="J6" s="346" t="s">
        <v>1064</v>
      </c>
      <c r="K6" s="346" t="s">
        <v>1229</v>
      </c>
    </row>
    <row r="7" spans="1:11">
      <c r="A7" s="346" t="s">
        <v>1235</v>
      </c>
      <c r="B7" s="346" t="s">
        <v>1221</v>
      </c>
      <c r="C7" s="346" t="s">
        <v>1236</v>
      </c>
      <c r="D7" s="346" t="s">
        <v>1237</v>
      </c>
      <c r="E7" s="346" t="s">
        <v>1238</v>
      </c>
      <c r="F7" s="346" t="s">
        <v>1239</v>
      </c>
      <c r="G7" s="346" t="s">
        <v>1226</v>
      </c>
      <c r="H7" s="346" t="s">
        <v>1227</v>
      </c>
      <c r="I7" s="346" t="s">
        <v>1227</v>
      </c>
      <c r="J7" s="346" t="s">
        <v>751</v>
      </c>
      <c r="K7" s="346" t="s">
        <v>1229</v>
      </c>
    </row>
    <row r="8" spans="1:11">
      <c r="A8" s="346" t="s">
        <v>1240</v>
      </c>
      <c r="B8" s="346" t="s">
        <v>1221</v>
      </c>
      <c r="C8" s="346" t="s">
        <v>1241</v>
      </c>
      <c r="D8" s="346" t="s">
        <v>1242</v>
      </c>
      <c r="E8" s="346" t="s">
        <v>1243</v>
      </c>
      <c r="F8" s="346" t="s">
        <v>1244</v>
      </c>
      <c r="G8" s="346" t="s">
        <v>1226</v>
      </c>
      <c r="H8" s="346" t="s">
        <v>1227</v>
      </c>
      <c r="I8" s="346" t="s">
        <v>1227</v>
      </c>
      <c r="J8" s="346" t="s">
        <v>746</v>
      </c>
      <c r="K8" s="346" t="s">
        <v>1229</v>
      </c>
    </row>
    <row r="9" spans="1:11" ht="30">
      <c r="A9" s="346" t="s">
        <v>1245</v>
      </c>
      <c r="B9" s="346" t="s">
        <v>1221</v>
      </c>
      <c r="C9" s="346" t="s">
        <v>1246</v>
      </c>
      <c r="D9" s="346" t="s">
        <v>1247</v>
      </c>
      <c r="E9" s="346" t="s">
        <v>1248</v>
      </c>
      <c r="F9" s="346" t="s">
        <v>435</v>
      </c>
      <c r="G9" s="346" t="s">
        <v>1226</v>
      </c>
      <c r="H9" s="346" t="s">
        <v>1227</v>
      </c>
      <c r="I9" s="346" t="s">
        <v>1227</v>
      </c>
      <c r="J9" s="346" t="s">
        <v>1069</v>
      </c>
      <c r="K9" s="346" t="s">
        <v>1229</v>
      </c>
    </row>
    <row r="10" spans="1:11">
      <c r="A10" s="346"/>
      <c r="B10" s="346"/>
      <c r="C10" s="346"/>
      <c r="D10" s="346"/>
      <c r="E10" s="346"/>
      <c r="F10" s="346"/>
      <c r="G10" s="346"/>
      <c r="H10" s="346"/>
      <c r="I10" s="346"/>
      <c r="J10" s="346"/>
      <c r="K10" s="346"/>
    </row>
    <row r="11" spans="1:11">
      <c r="A11" s="346"/>
      <c r="B11" s="346"/>
      <c r="C11" s="346"/>
      <c r="D11" s="346"/>
      <c r="E11" s="346"/>
      <c r="F11" s="346"/>
      <c r="G11" s="346"/>
      <c r="H11" s="346"/>
      <c r="I11" s="346"/>
      <c r="J11" s="346"/>
      <c r="K11" s="346"/>
    </row>
    <row r="12" spans="1:11">
      <c r="A12" s="346"/>
      <c r="B12" s="346"/>
      <c r="C12" s="346"/>
      <c r="D12" s="346"/>
      <c r="E12" s="346"/>
      <c r="F12" s="346"/>
      <c r="G12" s="346"/>
      <c r="H12" s="346"/>
      <c r="I12" s="346"/>
      <c r="J12" s="346"/>
      <c r="K12" s="346"/>
    </row>
    <row r="13" spans="1:11">
      <c r="A13" s="346"/>
      <c r="B13" s="346"/>
      <c r="C13" s="346"/>
      <c r="D13" s="346"/>
      <c r="E13" s="346"/>
      <c r="F13" s="346"/>
      <c r="G13" s="346"/>
      <c r="H13" s="346"/>
      <c r="I13" s="346"/>
      <c r="J13" s="346"/>
      <c r="K13" s="346"/>
    </row>
    <row r="14" spans="1:11">
      <c r="A14" s="346"/>
      <c r="B14" s="346"/>
      <c r="C14" s="346"/>
      <c r="D14" s="346"/>
      <c r="E14" s="346"/>
      <c r="F14" s="346"/>
      <c r="G14" s="346"/>
      <c r="H14" s="346"/>
      <c r="I14" s="346"/>
      <c r="J14" s="346"/>
      <c r="K14" s="346"/>
    </row>
    <row r="15" spans="1:11">
      <c r="A15" s="346"/>
      <c r="B15" s="346"/>
      <c r="C15" s="346"/>
      <c r="D15" s="346"/>
      <c r="E15" s="346"/>
      <c r="F15" s="346"/>
      <c r="G15" s="346"/>
      <c r="H15" s="346"/>
      <c r="I15" s="346"/>
      <c r="J15" s="346"/>
      <c r="K15" s="346"/>
    </row>
    <row r="16" spans="1:11">
      <c r="A16" s="346"/>
      <c r="B16" s="346"/>
      <c r="C16" s="346"/>
      <c r="D16" s="346"/>
      <c r="E16" s="346"/>
      <c r="F16" s="346"/>
      <c r="G16" s="346"/>
      <c r="H16" s="346"/>
      <c r="I16" s="346"/>
      <c r="J16" s="346"/>
      <c r="K16" s="346"/>
    </row>
    <row r="17" spans="1:11">
      <c r="A17" s="346"/>
      <c r="B17" s="346"/>
      <c r="C17" s="346"/>
      <c r="D17" s="346"/>
      <c r="E17" s="346"/>
      <c r="F17" s="346"/>
      <c r="G17" s="346"/>
      <c r="H17" s="346"/>
      <c r="I17" s="346"/>
      <c r="J17" s="346"/>
      <c r="K17" s="346"/>
    </row>
    <row r="18" spans="1:11">
      <c r="A18" s="346"/>
      <c r="B18" s="346"/>
      <c r="C18" s="346"/>
      <c r="D18" s="346"/>
      <c r="E18" s="346"/>
      <c r="F18" s="346"/>
      <c r="G18" s="346"/>
      <c r="H18" s="346"/>
      <c r="I18" s="346"/>
      <c r="J18" s="346"/>
      <c r="K18" s="346"/>
    </row>
    <row r="19" spans="1:11">
      <c r="A19" s="346"/>
      <c r="B19" s="346"/>
      <c r="C19" s="346"/>
      <c r="D19" s="346"/>
      <c r="E19" s="346"/>
      <c r="F19" s="346"/>
      <c r="G19" s="346"/>
      <c r="H19" s="346"/>
      <c r="I19" s="346"/>
      <c r="J19" s="346"/>
      <c r="K19" s="346"/>
    </row>
    <row r="20" spans="1:11">
      <c r="A20" s="346"/>
      <c r="B20" s="346"/>
      <c r="C20" s="346"/>
      <c r="D20" s="346"/>
      <c r="E20" s="346"/>
      <c r="F20" s="346"/>
      <c r="G20" s="346"/>
      <c r="H20" s="346"/>
      <c r="I20" s="346"/>
      <c r="J20" s="346"/>
      <c r="K20" s="346"/>
    </row>
    <row r="21" spans="1:11">
      <c r="A21" s="346"/>
      <c r="B21" s="346"/>
      <c r="C21" s="346"/>
      <c r="D21" s="346"/>
      <c r="E21" s="346"/>
      <c r="F21" s="346"/>
      <c r="G21" s="346"/>
      <c r="H21" s="346"/>
      <c r="I21" s="346"/>
      <c r="J21" s="346"/>
      <c r="K21" s="346"/>
    </row>
    <row r="22" spans="1:11">
      <c r="A22" s="346"/>
      <c r="B22" s="346"/>
      <c r="C22" s="346"/>
      <c r="D22" s="346"/>
      <c r="E22" s="346"/>
      <c r="F22" s="346"/>
      <c r="G22" s="346"/>
      <c r="H22" s="346"/>
      <c r="I22" s="346"/>
      <c r="J22" s="346"/>
      <c r="K22" s="346"/>
    </row>
    <row r="23" spans="1:11">
      <c r="A23" s="346"/>
      <c r="B23" s="346"/>
      <c r="C23" s="346"/>
      <c r="D23" s="346"/>
      <c r="E23" s="346"/>
      <c r="F23" s="346"/>
      <c r="G23" s="346"/>
      <c r="H23" s="346"/>
      <c r="I23" s="346"/>
      <c r="J23" s="346"/>
      <c r="K23" s="346"/>
    </row>
    <row r="24" spans="1:11">
      <c r="A24" s="346"/>
      <c r="B24" s="346"/>
      <c r="C24" s="346"/>
      <c r="D24" s="346"/>
      <c r="E24" s="346"/>
      <c r="F24" s="346"/>
      <c r="G24" s="346"/>
      <c r="H24" s="346"/>
      <c r="I24" s="346"/>
      <c r="J24" s="346"/>
      <c r="K24" s="346"/>
    </row>
    <row r="25" spans="1:11">
      <c r="A25" s="346"/>
      <c r="B25" s="346"/>
      <c r="C25" s="346"/>
      <c r="D25" s="346"/>
      <c r="E25" s="346"/>
      <c r="F25" s="346"/>
      <c r="G25" s="346"/>
      <c r="H25" s="346"/>
      <c r="I25" s="346"/>
      <c r="J25" s="346"/>
      <c r="K25" s="346"/>
    </row>
    <row r="26" spans="1:11">
      <c r="A26" s="346"/>
      <c r="B26" s="346"/>
      <c r="C26" s="346"/>
      <c r="D26" s="346"/>
      <c r="E26" s="346"/>
      <c r="F26" s="346"/>
      <c r="G26" s="346"/>
      <c r="H26" s="346"/>
      <c r="I26" s="346"/>
      <c r="J26" s="346"/>
      <c r="K26" s="346"/>
    </row>
    <row r="27" spans="1:11">
      <c r="A27" s="346"/>
      <c r="B27" s="346"/>
      <c r="C27" s="346"/>
      <c r="D27" s="346"/>
      <c r="E27" s="346"/>
      <c r="F27" s="346"/>
      <c r="G27" s="346"/>
      <c r="H27" s="346"/>
      <c r="I27" s="346"/>
      <c r="J27" s="346"/>
      <c r="K27" s="346"/>
    </row>
    <row r="28" spans="1:11">
      <c r="A28" s="346"/>
      <c r="B28" s="346"/>
      <c r="C28" s="346"/>
      <c r="D28" s="346"/>
      <c r="E28" s="346"/>
      <c r="F28" s="346"/>
      <c r="G28" s="346"/>
      <c r="H28" s="346"/>
      <c r="I28" s="346"/>
      <c r="J28" s="346"/>
      <c r="K28" s="346"/>
    </row>
    <row r="29" spans="1:11">
      <c r="A29" s="346"/>
      <c r="B29" s="346"/>
      <c r="C29" s="346"/>
      <c r="D29" s="346"/>
      <c r="E29" s="346"/>
      <c r="F29" s="346"/>
      <c r="G29" s="346"/>
      <c r="H29" s="346"/>
      <c r="I29" s="346"/>
      <c r="J29" s="346"/>
      <c r="K29" s="346"/>
    </row>
    <row r="30" spans="1:11">
      <c r="A30" s="346"/>
      <c r="B30" s="346"/>
      <c r="C30" s="346"/>
      <c r="D30" s="346"/>
      <c r="E30" s="346"/>
      <c r="F30" s="346"/>
      <c r="G30" s="346"/>
      <c r="H30" s="346"/>
      <c r="I30" s="346"/>
      <c r="J30" s="346"/>
      <c r="K30" s="346"/>
    </row>
    <row r="31" spans="1:11">
      <c r="A31" s="346"/>
      <c r="B31" s="346"/>
      <c r="C31" s="346"/>
      <c r="D31" s="346"/>
      <c r="E31" s="346"/>
      <c r="F31" s="346"/>
      <c r="G31" s="346"/>
      <c r="H31" s="346"/>
      <c r="I31" s="346"/>
      <c r="J31" s="346"/>
      <c r="K31" s="346"/>
    </row>
    <row r="32" spans="1:11">
      <c r="A32" s="346"/>
      <c r="B32" s="346"/>
      <c r="C32" s="346"/>
      <c r="D32" s="346"/>
      <c r="E32" s="346"/>
      <c r="F32" s="346"/>
      <c r="G32" s="346"/>
      <c r="H32" s="346"/>
      <c r="I32" s="346"/>
      <c r="J32" s="346"/>
      <c r="K32" s="346"/>
    </row>
    <row r="33" spans="1:11">
      <c r="A33" s="346"/>
      <c r="B33" s="346"/>
      <c r="C33" s="346"/>
      <c r="D33" s="346"/>
      <c r="E33" s="346"/>
      <c r="F33" s="346"/>
      <c r="G33" s="346"/>
      <c r="H33" s="346"/>
      <c r="I33" s="346"/>
      <c r="J33" s="346"/>
      <c r="K33" s="346"/>
    </row>
    <row r="34" spans="1:11">
      <c r="A34" s="346"/>
      <c r="B34" s="346"/>
      <c r="C34" s="346"/>
      <c r="D34" s="346"/>
      <c r="E34" s="346"/>
      <c r="F34" s="346"/>
      <c r="G34" s="346"/>
      <c r="H34" s="346"/>
      <c r="I34" s="346"/>
      <c r="J34" s="346"/>
      <c r="K34" s="346"/>
    </row>
    <row r="35" spans="1:11">
      <c r="A35" s="346"/>
      <c r="B35" s="346"/>
      <c r="C35" s="346"/>
      <c r="D35" s="346"/>
      <c r="E35" s="346"/>
      <c r="F35" s="346"/>
      <c r="G35" s="346"/>
      <c r="H35" s="346"/>
      <c r="I35" s="346"/>
      <c r="J35" s="346"/>
      <c r="K35" s="346"/>
    </row>
    <row r="36" spans="1:11">
      <c r="A36" s="346"/>
      <c r="B36" s="346"/>
      <c r="C36" s="346"/>
      <c r="D36" s="346"/>
      <c r="E36" s="346"/>
      <c r="F36" s="346"/>
      <c r="G36" s="346"/>
      <c r="H36" s="346"/>
      <c r="I36" s="346"/>
      <c r="J36" s="346"/>
      <c r="K36" s="346"/>
    </row>
    <row r="37" spans="1:11">
      <c r="A37" s="346"/>
      <c r="B37" s="346"/>
      <c r="C37" s="346"/>
      <c r="D37" s="346"/>
      <c r="E37" s="346"/>
      <c r="F37" s="346"/>
      <c r="G37" s="346"/>
      <c r="H37" s="346"/>
      <c r="I37" s="346"/>
      <c r="J37" s="346"/>
      <c r="K37" s="346"/>
    </row>
    <row r="38" spans="1:11">
      <c r="A38" s="346"/>
      <c r="B38" s="346"/>
      <c r="C38" s="346"/>
      <c r="D38" s="346"/>
      <c r="E38" s="346"/>
      <c r="F38" s="346"/>
      <c r="G38" s="346"/>
      <c r="H38" s="346"/>
      <c r="I38" s="346"/>
      <c r="J38" s="346"/>
      <c r="K38" s="346"/>
    </row>
    <row r="39" spans="1:11">
      <c r="A39" s="346"/>
      <c r="B39" s="346"/>
      <c r="C39" s="346"/>
      <c r="D39" s="346"/>
      <c r="E39" s="346"/>
      <c r="F39" s="346"/>
      <c r="G39" s="346"/>
      <c r="H39" s="346"/>
      <c r="I39" s="346"/>
      <c r="J39" s="346"/>
      <c r="K39" s="346"/>
    </row>
    <row r="40" spans="1:11">
      <c r="A40" s="346"/>
      <c r="B40" s="346"/>
      <c r="C40" s="346"/>
      <c r="D40" s="346"/>
      <c r="E40" s="346"/>
      <c r="F40" s="346"/>
      <c r="G40" s="346"/>
      <c r="H40" s="346"/>
      <c r="I40" s="346"/>
      <c r="J40" s="346"/>
      <c r="K40" s="346"/>
    </row>
    <row r="41" spans="1:11">
      <c r="A41" s="346"/>
      <c r="B41" s="346"/>
      <c r="C41" s="346"/>
      <c r="D41" s="346"/>
      <c r="E41" s="346"/>
      <c r="F41" s="346"/>
      <c r="G41" s="346"/>
      <c r="H41" s="346"/>
      <c r="I41" s="346"/>
      <c r="J41" s="346"/>
      <c r="K41" s="346"/>
    </row>
    <row r="42" spans="1:11">
      <c r="A42" s="346"/>
      <c r="B42" s="346"/>
      <c r="C42" s="346"/>
      <c r="D42" s="346"/>
      <c r="E42" s="346"/>
      <c r="F42" s="346"/>
      <c r="G42" s="346"/>
      <c r="H42" s="346"/>
      <c r="I42" s="346"/>
      <c r="J42" s="346"/>
      <c r="K42" s="346"/>
    </row>
    <row r="43" spans="1:11">
      <c r="A43" s="346"/>
      <c r="B43" s="346"/>
      <c r="C43" s="346"/>
      <c r="D43" s="346"/>
      <c r="E43" s="346"/>
      <c r="F43" s="346"/>
      <c r="G43" s="346"/>
      <c r="H43" s="346"/>
      <c r="I43" s="346"/>
      <c r="J43" s="346"/>
      <c r="K43" s="346"/>
    </row>
    <row r="44" spans="1:11">
      <c r="A44" s="346"/>
      <c r="B44" s="346"/>
      <c r="C44" s="346"/>
      <c r="D44" s="346"/>
      <c r="E44" s="346"/>
      <c r="F44" s="346"/>
      <c r="G44" s="346"/>
      <c r="H44" s="346"/>
      <c r="I44" s="346"/>
      <c r="J44" s="346"/>
      <c r="K44" s="346"/>
    </row>
    <row r="45" spans="1:11">
      <c r="A45" s="346"/>
      <c r="B45" s="346"/>
      <c r="C45" s="346"/>
      <c r="D45" s="346"/>
      <c r="E45" s="346"/>
      <c r="F45" s="346"/>
      <c r="G45" s="346"/>
      <c r="H45" s="346"/>
      <c r="I45" s="346"/>
      <c r="J45" s="346"/>
      <c r="K45" s="346"/>
    </row>
    <row r="46" spans="1:11">
      <c r="A46" s="346"/>
      <c r="B46" s="346"/>
      <c r="C46" s="346"/>
      <c r="D46" s="346"/>
      <c r="E46" s="346"/>
      <c r="F46" s="346"/>
      <c r="G46" s="346"/>
      <c r="H46" s="346"/>
      <c r="I46" s="346"/>
      <c r="J46" s="346"/>
      <c r="K46" s="346"/>
    </row>
    <row r="47" spans="1:11">
      <c r="A47" s="346"/>
      <c r="B47" s="346"/>
      <c r="C47" s="346"/>
      <c r="D47" s="346"/>
      <c r="E47" s="346"/>
      <c r="F47" s="346"/>
      <c r="G47" s="346"/>
      <c r="H47" s="346"/>
      <c r="I47" s="346"/>
      <c r="J47" s="346"/>
      <c r="K47" s="346"/>
    </row>
    <row r="48" spans="1:11">
      <c r="A48" s="346"/>
      <c r="B48" s="346"/>
      <c r="C48" s="346"/>
      <c r="D48" s="346"/>
      <c r="E48" s="346"/>
      <c r="F48" s="346"/>
      <c r="G48" s="346"/>
      <c r="H48" s="346"/>
      <c r="I48" s="346"/>
      <c r="J48" s="346"/>
      <c r="K48" s="346"/>
    </row>
    <row r="49" spans="1:11">
      <c r="A49" s="346"/>
      <c r="B49" s="346"/>
      <c r="C49" s="346"/>
      <c r="D49" s="346"/>
      <c r="E49" s="346"/>
      <c r="F49" s="346"/>
      <c r="G49" s="346"/>
      <c r="H49" s="346"/>
      <c r="I49" s="346"/>
      <c r="J49" s="346"/>
      <c r="K49" s="346"/>
    </row>
    <row r="50" spans="1:11">
      <c r="A50" s="346"/>
      <c r="B50" s="346"/>
      <c r="C50" s="346"/>
      <c r="D50" s="346"/>
      <c r="E50" s="346"/>
      <c r="F50" s="346"/>
      <c r="G50" s="346"/>
      <c r="H50" s="346"/>
      <c r="I50" s="346"/>
      <c r="J50" s="346"/>
      <c r="K50" s="346"/>
    </row>
    <row r="51" spans="1:11">
      <c r="A51" s="346"/>
      <c r="B51" s="346"/>
      <c r="C51" s="346"/>
      <c r="D51" s="346"/>
      <c r="E51" s="346"/>
      <c r="F51" s="346"/>
      <c r="G51" s="346"/>
      <c r="H51" s="346"/>
      <c r="I51" s="346"/>
      <c r="J51" s="346"/>
      <c r="K51" s="346"/>
    </row>
    <row r="52" spans="1:11">
      <c r="A52" s="346"/>
      <c r="B52" s="346"/>
      <c r="C52" s="346"/>
      <c r="D52" s="346"/>
      <c r="E52" s="346"/>
      <c r="F52" s="346"/>
      <c r="G52" s="346"/>
      <c r="H52" s="346"/>
      <c r="I52" s="346"/>
      <c r="J52" s="346"/>
      <c r="K52" s="346"/>
    </row>
    <row r="53" spans="1:11">
      <c r="A53" s="346"/>
      <c r="B53" s="346"/>
      <c r="C53" s="346"/>
      <c r="D53" s="346"/>
      <c r="E53" s="346"/>
      <c r="F53" s="346"/>
      <c r="G53" s="346"/>
      <c r="H53" s="346"/>
      <c r="I53" s="346"/>
      <c r="J53" s="346"/>
      <c r="K53" s="346"/>
    </row>
    <row r="54" spans="1:11">
      <c r="A54" s="346"/>
      <c r="B54" s="346"/>
      <c r="C54" s="346"/>
      <c r="D54" s="346"/>
      <c r="E54" s="346"/>
      <c r="F54" s="346"/>
      <c r="G54" s="346"/>
      <c r="H54" s="346"/>
      <c r="I54" s="346"/>
      <c r="J54" s="346"/>
      <c r="K54" s="346"/>
    </row>
    <row r="55" spans="1:11">
      <c r="A55" s="346"/>
      <c r="B55" s="346"/>
      <c r="C55" s="346"/>
      <c r="D55" s="346"/>
      <c r="E55" s="346"/>
      <c r="F55" s="346"/>
      <c r="G55" s="346"/>
      <c r="H55" s="346"/>
      <c r="I55" s="346"/>
      <c r="J55" s="346"/>
      <c r="K55" s="346"/>
    </row>
    <row r="56" spans="1:11">
      <c r="A56" s="346"/>
      <c r="B56" s="346"/>
      <c r="C56" s="346"/>
      <c r="D56" s="346"/>
      <c r="E56" s="346"/>
      <c r="F56" s="346"/>
      <c r="G56" s="346"/>
      <c r="H56" s="346"/>
      <c r="I56" s="346"/>
      <c r="J56" s="346"/>
      <c r="K56" s="346"/>
    </row>
    <row r="57" spans="1:11">
      <c r="A57" s="346"/>
      <c r="B57" s="346"/>
      <c r="C57" s="346"/>
      <c r="D57" s="346"/>
      <c r="E57" s="346"/>
      <c r="F57" s="346"/>
      <c r="G57" s="346"/>
      <c r="H57" s="346"/>
      <c r="I57" s="346"/>
      <c r="J57" s="346"/>
      <c r="K57" s="346"/>
    </row>
    <row r="58" spans="1:11">
      <c r="A58" s="346"/>
      <c r="B58" s="346"/>
      <c r="C58" s="346"/>
      <c r="D58" s="346"/>
      <c r="E58" s="346"/>
      <c r="F58" s="346"/>
      <c r="G58" s="346"/>
      <c r="H58" s="346"/>
      <c r="I58" s="346"/>
      <c r="J58" s="346"/>
      <c r="K58" s="346"/>
    </row>
    <row r="59" spans="1:11">
      <c r="A59" s="346"/>
      <c r="B59" s="346"/>
      <c r="C59" s="346"/>
      <c r="D59" s="346"/>
      <c r="E59" s="346"/>
      <c r="F59" s="346"/>
      <c r="G59" s="346"/>
      <c r="H59" s="346"/>
      <c r="I59" s="346"/>
      <c r="J59" s="346"/>
      <c r="K59" s="346"/>
    </row>
    <row r="60" spans="1:11">
      <c r="A60" s="346"/>
      <c r="B60" s="346"/>
      <c r="C60" s="346"/>
      <c r="D60" s="346"/>
      <c r="E60" s="346"/>
      <c r="F60" s="346"/>
      <c r="G60" s="346"/>
      <c r="H60" s="346"/>
      <c r="I60" s="346"/>
      <c r="J60" s="346"/>
      <c r="K60" s="346"/>
    </row>
    <row r="61" spans="1:11">
      <c r="A61" s="346"/>
      <c r="B61" s="346"/>
      <c r="C61" s="346"/>
      <c r="D61" s="346"/>
      <c r="E61" s="346"/>
      <c r="F61" s="346"/>
      <c r="G61" s="346"/>
      <c r="H61" s="346"/>
      <c r="I61" s="346"/>
      <c r="J61" s="346"/>
      <c r="K61" s="346"/>
    </row>
    <row r="62" spans="1:11">
      <c r="A62" s="346"/>
      <c r="B62" s="346"/>
      <c r="C62" s="346"/>
      <c r="D62" s="346"/>
      <c r="E62" s="346"/>
      <c r="F62" s="346"/>
      <c r="G62" s="346"/>
      <c r="H62" s="346"/>
      <c r="I62" s="346"/>
      <c r="J62" s="346"/>
      <c r="K62" s="346"/>
    </row>
    <row r="63" spans="1:11">
      <c r="A63" s="346"/>
      <c r="B63" s="346"/>
      <c r="C63" s="346"/>
      <c r="D63" s="346"/>
      <c r="E63" s="346"/>
      <c r="F63" s="346"/>
      <c r="G63" s="346"/>
      <c r="H63" s="346"/>
      <c r="I63" s="346"/>
      <c r="J63" s="346"/>
      <c r="K63" s="346"/>
    </row>
    <row r="64" spans="1:11">
      <c r="A64" s="346"/>
      <c r="B64" s="346"/>
      <c r="C64" s="346"/>
      <c r="D64" s="346"/>
      <c r="E64" s="346"/>
      <c r="F64" s="346"/>
      <c r="G64" s="346"/>
      <c r="H64" s="346"/>
      <c r="I64" s="346"/>
      <c r="J64" s="346"/>
      <c r="K64" s="346"/>
    </row>
    <row r="65" spans="1:11">
      <c r="A65" s="346"/>
      <c r="B65" s="346"/>
      <c r="C65" s="346"/>
      <c r="D65" s="346"/>
      <c r="E65" s="346"/>
      <c r="F65" s="346"/>
      <c r="G65" s="346"/>
      <c r="H65" s="346"/>
      <c r="I65" s="346"/>
      <c r="J65" s="346"/>
      <c r="K65" s="346"/>
    </row>
    <row r="66" spans="1:11">
      <c r="A66" s="346"/>
      <c r="B66" s="346"/>
      <c r="C66" s="346"/>
      <c r="D66" s="346"/>
      <c r="E66" s="346"/>
      <c r="F66" s="346"/>
      <c r="G66" s="346"/>
      <c r="H66" s="346"/>
      <c r="I66" s="346"/>
      <c r="J66" s="346"/>
      <c r="K66" s="346"/>
    </row>
    <row r="67" spans="1:11">
      <c r="A67" s="346"/>
      <c r="B67" s="346"/>
      <c r="C67" s="346"/>
      <c r="D67" s="346"/>
      <c r="E67" s="346"/>
      <c r="F67" s="346"/>
      <c r="G67" s="346"/>
      <c r="H67" s="346"/>
      <c r="I67" s="346"/>
      <c r="J67" s="346"/>
      <c r="K67" s="346"/>
    </row>
    <row r="68" spans="1:11">
      <c r="A68" s="346"/>
      <c r="B68" s="346"/>
      <c r="C68" s="346"/>
      <c r="D68" s="346"/>
      <c r="E68" s="346"/>
      <c r="F68" s="346"/>
      <c r="G68" s="346"/>
      <c r="H68" s="346"/>
      <c r="I68" s="346"/>
      <c r="J68" s="346"/>
      <c r="K68" s="346"/>
    </row>
    <row r="69" spans="1:11">
      <c r="A69" s="346"/>
      <c r="B69" s="346"/>
      <c r="C69" s="346"/>
      <c r="D69" s="346"/>
      <c r="E69" s="346"/>
      <c r="F69" s="346"/>
      <c r="G69" s="346"/>
      <c r="H69" s="346"/>
      <c r="I69" s="346"/>
      <c r="J69" s="346"/>
      <c r="K69" s="346"/>
    </row>
    <row r="70" spans="1:11">
      <c r="A70" s="346"/>
      <c r="B70" s="346"/>
      <c r="C70" s="346"/>
      <c r="D70" s="346"/>
      <c r="E70" s="346"/>
      <c r="F70" s="346"/>
      <c r="G70" s="346"/>
      <c r="H70" s="346"/>
      <c r="I70" s="346"/>
      <c r="J70" s="346"/>
      <c r="K70" s="346"/>
    </row>
    <row r="71" spans="1:11">
      <c r="A71" s="346"/>
      <c r="B71" s="346"/>
      <c r="C71" s="346"/>
      <c r="D71" s="346"/>
      <c r="E71" s="346"/>
      <c r="F71" s="346"/>
      <c r="G71" s="346"/>
      <c r="H71" s="346"/>
      <c r="I71" s="346"/>
      <c r="J71" s="346"/>
      <c r="K71" s="346"/>
    </row>
    <row r="72" spans="1:11">
      <c r="A72" s="346"/>
      <c r="B72" s="346"/>
      <c r="C72" s="346"/>
      <c r="D72" s="346"/>
      <c r="E72" s="346"/>
      <c r="F72" s="346"/>
      <c r="G72" s="346"/>
      <c r="H72" s="346"/>
      <c r="I72" s="346"/>
      <c r="J72" s="346"/>
      <c r="K72" s="346"/>
    </row>
    <row r="73" spans="1:11">
      <c r="A73" s="346"/>
      <c r="B73" s="346"/>
      <c r="C73" s="346"/>
      <c r="D73" s="346"/>
      <c r="E73" s="346"/>
      <c r="F73" s="346"/>
      <c r="G73" s="346"/>
      <c r="H73" s="346"/>
      <c r="I73" s="346"/>
      <c r="J73" s="346"/>
      <c r="K73" s="346"/>
    </row>
    <row r="74" spans="1:11">
      <c r="A74" s="346"/>
      <c r="B74" s="346"/>
      <c r="C74" s="346"/>
      <c r="D74" s="346"/>
      <c r="E74" s="346"/>
      <c r="F74" s="346"/>
      <c r="G74" s="346"/>
      <c r="H74" s="346"/>
      <c r="I74" s="346"/>
      <c r="J74" s="346"/>
      <c r="K74" s="346"/>
    </row>
    <row r="75" spans="1:11">
      <c r="A75" s="346"/>
      <c r="B75" s="346"/>
      <c r="C75" s="346"/>
      <c r="D75" s="346"/>
      <c r="E75" s="346"/>
      <c r="F75" s="346"/>
      <c r="G75" s="346"/>
      <c r="H75" s="346"/>
      <c r="I75" s="346"/>
      <c r="J75" s="346"/>
      <c r="K75" s="346"/>
    </row>
    <row r="76" spans="1:11">
      <c r="A76" s="346"/>
      <c r="B76" s="346"/>
      <c r="C76" s="346"/>
      <c r="D76" s="346"/>
      <c r="E76" s="346"/>
      <c r="F76" s="346"/>
      <c r="G76" s="346"/>
      <c r="H76" s="346"/>
      <c r="I76" s="346"/>
      <c r="J76" s="346"/>
      <c r="K76" s="346"/>
    </row>
    <row r="77" spans="1:11">
      <c r="A77" s="346"/>
      <c r="B77" s="346"/>
      <c r="C77" s="346"/>
      <c r="D77" s="346"/>
      <c r="E77" s="346"/>
      <c r="F77" s="346"/>
      <c r="G77" s="346"/>
      <c r="H77" s="346"/>
      <c r="I77" s="346"/>
      <c r="J77" s="346"/>
      <c r="K77" s="346"/>
    </row>
    <row r="78" spans="1:11">
      <c r="A78" s="346"/>
      <c r="B78" s="346"/>
      <c r="C78" s="346"/>
      <c r="D78" s="346"/>
      <c r="E78" s="346"/>
      <c r="F78" s="346"/>
      <c r="G78" s="346"/>
      <c r="H78" s="346"/>
      <c r="I78" s="346"/>
      <c r="J78" s="346"/>
      <c r="K78" s="346"/>
    </row>
    <row r="79" spans="1:11">
      <c r="A79" s="346"/>
      <c r="B79" s="346"/>
      <c r="C79" s="346"/>
      <c r="D79" s="346"/>
      <c r="E79" s="346"/>
      <c r="F79" s="346"/>
      <c r="G79" s="346"/>
      <c r="H79" s="346"/>
      <c r="I79" s="346"/>
      <c r="J79" s="346"/>
      <c r="K79" s="346"/>
    </row>
    <row r="80" spans="1:11">
      <c r="A80" s="346"/>
      <c r="B80" s="346"/>
      <c r="C80" s="346"/>
      <c r="D80" s="346"/>
      <c r="E80" s="346"/>
      <c r="F80" s="346"/>
      <c r="G80" s="346"/>
      <c r="H80" s="346"/>
      <c r="I80" s="346"/>
      <c r="J80" s="346"/>
      <c r="K80" s="346"/>
    </row>
    <row r="81" spans="1:11">
      <c r="A81" s="346"/>
      <c r="B81" s="346"/>
      <c r="C81" s="346"/>
      <c r="D81" s="346"/>
      <c r="E81" s="346"/>
      <c r="F81" s="346"/>
      <c r="G81" s="346"/>
      <c r="H81" s="346"/>
      <c r="I81" s="346"/>
      <c r="J81" s="346"/>
      <c r="K81" s="346"/>
    </row>
    <row r="82" spans="1:11">
      <c r="A82" s="346"/>
      <c r="B82" s="346"/>
      <c r="C82" s="346"/>
      <c r="D82" s="346"/>
      <c r="E82" s="346"/>
      <c r="F82" s="346"/>
      <c r="G82" s="346"/>
      <c r="H82" s="346"/>
      <c r="I82" s="346"/>
      <c r="J82" s="346"/>
      <c r="K82" s="346"/>
    </row>
    <row r="83" spans="1:11">
      <c r="A83" s="346"/>
      <c r="B83" s="346"/>
      <c r="C83" s="346"/>
      <c r="D83" s="346"/>
      <c r="E83" s="346"/>
      <c r="F83" s="346"/>
      <c r="G83" s="346"/>
      <c r="H83" s="346"/>
      <c r="I83" s="346"/>
      <c r="J83" s="346"/>
      <c r="K83" s="346"/>
    </row>
    <row r="84" spans="1:11">
      <c r="A84" s="346"/>
      <c r="B84" s="346"/>
      <c r="C84" s="346"/>
      <c r="D84" s="346"/>
      <c r="E84" s="346"/>
      <c r="F84" s="346"/>
      <c r="G84" s="346"/>
      <c r="H84" s="346"/>
      <c r="I84" s="346"/>
      <c r="J84" s="346"/>
      <c r="K84" s="346"/>
    </row>
    <row r="85" spans="1:11">
      <c r="A85" s="346"/>
      <c r="B85" s="346"/>
      <c r="C85" s="346"/>
      <c r="D85" s="346"/>
      <c r="E85" s="346"/>
      <c r="F85" s="346"/>
      <c r="G85" s="346"/>
      <c r="H85" s="346"/>
      <c r="I85" s="346"/>
      <c r="J85" s="346"/>
      <c r="K85" s="346"/>
    </row>
    <row r="86" spans="1:11">
      <c r="A86" s="346"/>
      <c r="B86" s="346"/>
      <c r="C86" s="346"/>
      <c r="D86" s="346"/>
      <c r="E86" s="346"/>
      <c r="F86" s="346"/>
      <c r="G86" s="346"/>
      <c r="H86" s="346"/>
      <c r="I86" s="346"/>
      <c r="J86" s="346"/>
      <c r="K86" s="346"/>
    </row>
    <row r="87" spans="1:11">
      <c r="A87" s="346"/>
      <c r="B87" s="346"/>
      <c r="C87" s="346"/>
      <c r="D87" s="346"/>
      <c r="E87" s="346"/>
      <c r="F87" s="346"/>
      <c r="G87" s="346"/>
      <c r="H87" s="346"/>
      <c r="I87" s="346"/>
      <c r="J87" s="346"/>
      <c r="K87" s="346"/>
    </row>
    <row r="88" spans="1:11">
      <c r="A88" s="346"/>
      <c r="B88" s="346"/>
      <c r="C88" s="346"/>
      <c r="D88" s="346"/>
      <c r="E88" s="346"/>
      <c r="F88" s="346"/>
      <c r="G88" s="346"/>
      <c r="H88" s="346"/>
      <c r="I88" s="346"/>
      <c r="J88" s="346"/>
      <c r="K88" s="346"/>
    </row>
    <row r="89" spans="1:11">
      <c r="A89" s="346"/>
      <c r="B89" s="346"/>
      <c r="C89" s="346"/>
      <c r="D89" s="346"/>
      <c r="E89" s="346"/>
      <c r="F89" s="346"/>
      <c r="G89" s="346"/>
      <c r="H89" s="346"/>
      <c r="I89" s="346"/>
      <c r="J89" s="346"/>
      <c r="K89" s="346"/>
    </row>
    <row r="90" spans="1:11">
      <c r="A90" s="346"/>
      <c r="B90" s="346"/>
      <c r="C90" s="346"/>
      <c r="D90" s="346"/>
      <c r="E90" s="346"/>
      <c r="F90" s="346"/>
      <c r="G90" s="346"/>
      <c r="H90" s="346"/>
      <c r="I90" s="346"/>
      <c r="J90" s="346"/>
      <c r="K90" s="346"/>
    </row>
    <row r="91" spans="1:11">
      <c r="A91" s="346"/>
      <c r="B91" s="346"/>
      <c r="C91" s="346"/>
      <c r="D91" s="346"/>
      <c r="E91" s="346"/>
      <c r="F91" s="346"/>
      <c r="G91" s="346"/>
      <c r="H91" s="346"/>
      <c r="I91" s="346"/>
      <c r="J91" s="346"/>
      <c r="K91" s="346"/>
    </row>
    <row r="92" spans="1:11">
      <c r="A92" s="346"/>
      <c r="B92" s="346"/>
      <c r="C92" s="346"/>
      <c r="D92" s="346"/>
      <c r="E92" s="346"/>
      <c r="F92" s="346"/>
      <c r="G92" s="346"/>
      <c r="H92" s="346"/>
      <c r="I92" s="346"/>
      <c r="J92" s="346"/>
      <c r="K92" s="346"/>
    </row>
    <row r="93" spans="1:11">
      <c r="A93" s="346"/>
      <c r="B93" s="346"/>
      <c r="C93" s="346"/>
      <c r="D93" s="346"/>
      <c r="E93" s="346"/>
      <c r="F93" s="346"/>
      <c r="G93" s="346"/>
      <c r="H93" s="346"/>
      <c r="I93" s="346"/>
      <c r="J93" s="346"/>
      <c r="K93" s="346"/>
    </row>
    <row r="94" spans="1:11">
      <c r="A94" s="346"/>
      <c r="B94" s="346"/>
      <c r="C94" s="346"/>
      <c r="D94" s="346"/>
      <c r="E94" s="346"/>
      <c r="F94" s="346"/>
      <c r="G94" s="346"/>
      <c r="H94" s="346"/>
      <c r="I94" s="346"/>
      <c r="J94" s="346"/>
      <c r="K94" s="346"/>
    </row>
    <row r="95" spans="1:11">
      <c r="A95" s="346"/>
      <c r="B95" s="346"/>
      <c r="C95" s="346"/>
      <c r="D95" s="346"/>
      <c r="E95" s="346"/>
      <c r="F95" s="346"/>
      <c r="G95" s="346"/>
      <c r="H95" s="346"/>
      <c r="I95" s="346"/>
      <c r="J95" s="346"/>
      <c r="K95" s="346"/>
    </row>
    <row r="96" spans="1:11">
      <c r="A96" s="346"/>
      <c r="B96" s="346"/>
      <c r="C96" s="346"/>
      <c r="D96" s="346"/>
      <c r="E96" s="346"/>
      <c r="F96" s="346"/>
      <c r="G96" s="346"/>
      <c r="H96" s="346"/>
      <c r="I96" s="346"/>
      <c r="J96" s="346"/>
      <c r="K96" s="346"/>
    </row>
    <row r="97" spans="1:11">
      <c r="A97" s="346"/>
      <c r="B97" s="346"/>
      <c r="C97" s="346"/>
      <c r="D97" s="346"/>
      <c r="E97" s="346"/>
      <c r="F97" s="346"/>
      <c r="G97" s="346"/>
      <c r="H97" s="346"/>
      <c r="I97" s="346"/>
      <c r="J97" s="346"/>
      <c r="K97" s="346"/>
    </row>
    <row r="98" spans="1:11">
      <c r="A98" s="346"/>
      <c r="B98" s="346"/>
      <c r="C98" s="346"/>
      <c r="D98" s="346"/>
      <c r="E98" s="346"/>
      <c r="F98" s="346"/>
      <c r="G98" s="346"/>
      <c r="H98" s="346"/>
      <c r="I98" s="346"/>
      <c r="J98" s="346"/>
      <c r="K98" s="346"/>
    </row>
    <row r="99" spans="1:11">
      <c r="A99" s="346"/>
      <c r="B99" s="346"/>
      <c r="C99" s="346"/>
      <c r="D99" s="346"/>
      <c r="E99" s="346"/>
      <c r="F99" s="346"/>
      <c r="G99" s="346"/>
      <c r="H99" s="346"/>
      <c r="I99" s="346"/>
      <c r="J99" s="346"/>
      <c r="K99" s="346"/>
    </row>
    <row r="100" spans="1:11">
      <c r="A100" s="346"/>
      <c r="B100" s="346"/>
      <c r="C100" s="346"/>
      <c r="D100" s="346"/>
      <c r="E100" s="346"/>
      <c r="F100" s="346"/>
      <c r="G100" s="346"/>
      <c r="H100" s="346"/>
      <c r="I100" s="346"/>
      <c r="J100" s="346"/>
      <c r="K100" s="346"/>
    </row>
    <row r="102" spans="1:11" ht="225">
      <c r="A102" s="393" t="s">
        <v>1249</v>
      </c>
      <c r="B102" s="394" t="s">
        <v>1250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9C608-C414-45F2-9BAC-F7072DBBFA21}">
  <sheetPr>
    <tabColor rgb="FF1F4E79"/>
  </sheetPr>
  <dimension ref="A1:H106"/>
  <sheetViews>
    <sheetView workbookViewId="0">
      <pane ySplit="4" topLeftCell="A5" activePane="bottomLeft" state="frozen"/>
      <selection pane="bottomLeft"/>
    </sheetView>
  </sheetViews>
  <sheetFormatPr defaultRowHeight="15"/>
  <cols>
    <col min="1" max="1" width="26" customWidth="1"/>
    <col min="2" max="2" width="34" customWidth="1"/>
    <col min="3" max="3" width="40" customWidth="1"/>
    <col min="4" max="4" width="28" customWidth="1"/>
    <col min="5" max="7" width="24" customWidth="1"/>
    <col min="8" max="8" width="60" customWidth="1"/>
  </cols>
  <sheetData>
    <row r="1" spans="1:8" ht="30">
      <c r="A1" s="395" t="s">
        <v>1251</v>
      </c>
      <c r="B1" s="395"/>
      <c r="C1" s="395"/>
      <c r="D1" s="395"/>
      <c r="E1" s="395"/>
      <c r="F1" s="395"/>
      <c r="G1" s="395"/>
      <c r="H1" s="395"/>
    </row>
    <row r="2" spans="1:8" ht="90">
      <c r="A2" s="193" t="s">
        <v>1094</v>
      </c>
      <c r="B2" s="193" t="s">
        <v>1252</v>
      </c>
      <c r="C2" s="193"/>
      <c r="D2" s="193"/>
      <c r="E2" s="193"/>
      <c r="F2" s="193"/>
      <c r="G2" s="193"/>
      <c r="H2" s="193"/>
    </row>
    <row r="3" spans="1:8" ht="90">
      <c r="A3" s="193" t="s">
        <v>1208</v>
      </c>
      <c r="B3" s="193" t="s">
        <v>1253</v>
      </c>
      <c r="C3" s="193"/>
      <c r="D3" s="193"/>
      <c r="E3" s="193"/>
      <c r="F3" s="193"/>
      <c r="G3" s="193"/>
      <c r="H3" s="193"/>
    </row>
    <row r="4" spans="1:8">
      <c r="A4" s="395"/>
      <c r="B4" s="395"/>
      <c r="C4" s="395"/>
      <c r="D4" s="395"/>
      <c r="E4" s="395"/>
      <c r="F4" s="395"/>
      <c r="G4" s="395"/>
      <c r="H4" s="395"/>
    </row>
    <row r="5" spans="1:8" ht="30">
      <c r="A5" s="395" t="s">
        <v>1254</v>
      </c>
      <c r="B5" s="395" t="s">
        <v>1255</v>
      </c>
      <c r="C5" s="395" t="s">
        <v>1256</v>
      </c>
      <c r="D5" s="395" t="s">
        <v>1257</v>
      </c>
      <c r="E5" s="395" t="s">
        <v>1258</v>
      </c>
      <c r="F5" s="395" t="s">
        <v>1259</v>
      </c>
      <c r="G5" s="395" t="s">
        <v>1260</v>
      </c>
      <c r="H5" s="395" t="s">
        <v>386</v>
      </c>
    </row>
    <row r="6" spans="1:8" ht="30">
      <c r="A6" s="346" t="s">
        <v>79</v>
      </c>
      <c r="B6" s="346" t="s">
        <v>1261</v>
      </c>
      <c r="C6" s="346" t="s">
        <v>1262</v>
      </c>
      <c r="D6" s="346" t="s">
        <v>746</v>
      </c>
      <c r="E6" s="346" t="s">
        <v>1263</v>
      </c>
      <c r="F6" s="346" t="s">
        <v>1264</v>
      </c>
      <c r="G6" s="346" t="s">
        <v>1265</v>
      </c>
      <c r="H6" s="346" t="s">
        <v>1266</v>
      </c>
    </row>
    <row r="7" spans="1:8" ht="30">
      <c r="A7" s="346" t="s">
        <v>80</v>
      </c>
      <c r="B7" s="346" t="s">
        <v>1267</v>
      </c>
      <c r="C7" s="346" t="s">
        <v>1268</v>
      </c>
      <c r="D7" s="346" t="s">
        <v>746</v>
      </c>
      <c r="E7" s="346" t="s">
        <v>1269</v>
      </c>
      <c r="F7" s="346" t="s">
        <v>1264</v>
      </c>
      <c r="G7" s="346" t="s">
        <v>1265</v>
      </c>
      <c r="H7" s="346" t="s">
        <v>1270</v>
      </c>
    </row>
    <row r="8" spans="1:8">
      <c r="A8" s="346" t="s">
        <v>1271</v>
      </c>
      <c r="B8" s="346" t="s">
        <v>666</v>
      </c>
      <c r="C8" s="346" t="s">
        <v>1272</v>
      </c>
      <c r="D8" s="346" t="s">
        <v>746</v>
      </c>
      <c r="E8" s="346" t="s">
        <v>1273</v>
      </c>
      <c r="F8" s="346" t="s">
        <v>1274</v>
      </c>
      <c r="G8" s="346" t="s">
        <v>1265</v>
      </c>
      <c r="H8" s="346" t="s">
        <v>1275</v>
      </c>
    </row>
    <row r="9" spans="1:8" ht="30">
      <c r="A9" s="346" t="s">
        <v>1276</v>
      </c>
      <c r="B9" s="346" t="s">
        <v>778</v>
      </c>
      <c r="C9" s="346" t="s">
        <v>1277</v>
      </c>
      <c r="D9" s="346" t="s">
        <v>778</v>
      </c>
      <c r="E9" s="346" t="s">
        <v>1278</v>
      </c>
      <c r="F9" s="346" t="s">
        <v>1279</v>
      </c>
      <c r="G9" s="346" t="s">
        <v>1280</v>
      </c>
      <c r="H9" s="346" t="s">
        <v>1281</v>
      </c>
    </row>
    <row r="10" spans="1:8" ht="30">
      <c r="A10" s="346" t="s">
        <v>86</v>
      </c>
      <c r="B10" s="346" t="s">
        <v>1282</v>
      </c>
      <c r="C10" s="346" t="s">
        <v>1283</v>
      </c>
      <c r="D10" s="346" t="s">
        <v>778</v>
      </c>
      <c r="E10" s="346" t="s">
        <v>1284</v>
      </c>
      <c r="F10" s="346" t="s">
        <v>1285</v>
      </c>
      <c r="G10" s="346" t="s">
        <v>1280</v>
      </c>
      <c r="H10" s="346" t="s">
        <v>1286</v>
      </c>
    </row>
    <row r="11" spans="1:8" ht="30">
      <c r="A11" s="346" t="s">
        <v>416</v>
      </c>
      <c r="B11" s="346" t="s">
        <v>1267</v>
      </c>
      <c r="C11" s="346" t="s">
        <v>1287</v>
      </c>
      <c r="D11" s="346" t="s">
        <v>1054</v>
      </c>
      <c r="E11" s="346" t="s">
        <v>1288</v>
      </c>
      <c r="F11" s="346" t="s">
        <v>1289</v>
      </c>
      <c r="G11" s="346" t="s">
        <v>1290</v>
      </c>
      <c r="H11" s="346" t="s">
        <v>1291</v>
      </c>
    </row>
    <row r="12" spans="1:8" ht="30">
      <c r="A12" s="346" t="s">
        <v>1292</v>
      </c>
      <c r="B12" s="346" t="s">
        <v>1293</v>
      </c>
      <c r="C12" s="346" t="s">
        <v>1294</v>
      </c>
      <c r="D12" s="346" t="s">
        <v>1060</v>
      </c>
      <c r="E12" s="346" t="s">
        <v>1295</v>
      </c>
      <c r="F12" s="346" t="s">
        <v>1289</v>
      </c>
      <c r="G12" s="346" t="s">
        <v>1290</v>
      </c>
      <c r="H12" s="346" t="s">
        <v>1296</v>
      </c>
    </row>
    <row r="13" spans="1:8" ht="30">
      <c r="A13" s="346" t="s">
        <v>1297</v>
      </c>
      <c r="B13" s="346" t="s">
        <v>1298</v>
      </c>
      <c r="C13" s="346" t="s">
        <v>1299</v>
      </c>
      <c r="D13" s="346" t="s">
        <v>1064</v>
      </c>
      <c r="E13" s="346" t="s">
        <v>1300</v>
      </c>
      <c r="F13" s="346" t="s">
        <v>1289</v>
      </c>
      <c r="G13" s="346" t="s">
        <v>1290</v>
      </c>
      <c r="H13" s="346" t="s">
        <v>1301</v>
      </c>
    </row>
    <row r="14" spans="1:8" ht="30">
      <c r="A14" s="346" t="s">
        <v>1302</v>
      </c>
      <c r="B14" s="346" t="s">
        <v>1303</v>
      </c>
      <c r="C14" s="346" t="s">
        <v>1304</v>
      </c>
      <c r="D14" s="346" t="s">
        <v>751</v>
      </c>
      <c r="E14" s="346" t="s">
        <v>1305</v>
      </c>
      <c r="F14" s="346" t="s">
        <v>1264</v>
      </c>
      <c r="G14" s="346" t="s">
        <v>1265</v>
      </c>
      <c r="H14" s="346" t="s">
        <v>1306</v>
      </c>
    </row>
    <row r="15" spans="1:8" ht="30">
      <c r="A15" s="346" t="s">
        <v>1307</v>
      </c>
      <c r="B15" s="346" t="s">
        <v>1308</v>
      </c>
      <c r="C15" s="346" t="s">
        <v>1309</v>
      </c>
      <c r="D15" s="346" t="s">
        <v>1069</v>
      </c>
      <c r="E15" s="346" t="s">
        <v>1310</v>
      </c>
      <c r="F15" s="346" t="s">
        <v>1289</v>
      </c>
      <c r="G15" s="346" t="s">
        <v>1290</v>
      </c>
      <c r="H15" s="346" t="s">
        <v>1311</v>
      </c>
    </row>
    <row r="16" spans="1:8" ht="30">
      <c r="A16" s="346" t="s">
        <v>1312</v>
      </c>
      <c r="B16" s="346" t="s">
        <v>1313</v>
      </c>
      <c r="C16" s="346" t="s">
        <v>1314</v>
      </c>
      <c r="D16" s="346" t="s">
        <v>1074</v>
      </c>
      <c r="E16" s="346" t="s">
        <v>1315</v>
      </c>
      <c r="F16" s="346" t="s">
        <v>1289</v>
      </c>
      <c r="G16" s="346" t="s">
        <v>1290</v>
      </c>
      <c r="H16" s="346" t="s">
        <v>1316</v>
      </c>
    </row>
    <row r="17" spans="1:8" ht="30">
      <c r="A17" s="346" t="s">
        <v>610</v>
      </c>
      <c r="B17" s="346" t="s">
        <v>855</v>
      </c>
      <c r="C17" s="346" t="s">
        <v>1317</v>
      </c>
      <c r="D17" s="346" t="s">
        <v>855</v>
      </c>
      <c r="E17" s="346" t="s">
        <v>1318</v>
      </c>
      <c r="F17" s="346" t="s">
        <v>1285</v>
      </c>
      <c r="G17" s="346" t="s">
        <v>1280</v>
      </c>
      <c r="H17" s="346" t="s">
        <v>1319</v>
      </c>
    </row>
    <row r="18" spans="1:8" ht="30">
      <c r="A18" s="346" t="s">
        <v>637</v>
      </c>
      <c r="B18" s="346" t="s">
        <v>959</v>
      </c>
      <c r="C18" s="346" t="s">
        <v>1320</v>
      </c>
      <c r="D18" s="346" t="s">
        <v>1321</v>
      </c>
      <c r="E18" s="346" t="s">
        <v>1322</v>
      </c>
      <c r="F18" s="346" t="s">
        <v>1285</v>
      </c>
      <c r="G18" s="346" t="s">
        <v>1280</v>
      </c>
      <c r="H18" s="346" t="s">
        <v>1323</v>
      </c>
    </row>
    <row r="19" spans="1:8">
      <c r="A19" s="346"/>
      <c r="B19" s="346"/>
      <c r="C19" s="346"/>
      <c r="D19" s="346"/>
      <c r="E19" s="346"/>
      <c r="F19" s="346"/>
      <c r="G19" s="346"/>
      <c r="H19" s="346"/>
    </row>
    <row r="20" spans="1:8">
      <c r="A20" s="346"/>
      <c r="B20" s="346"/>
      <c r="C20" s="346"/>
      <c r="D20" s="346"/>
      <c r="E20" s="346"/>
      <c r="F20" s="346"/>
      <c r="G20" s="346"/>
      <c r="H20" s="346"/>
    </row>
    <row r="21" spans="1:8">
      <c r="A21" s="346"/>
      <c r="B21" s="346"/>
      <c r="C21" s="346"/>
      <c r="D21" s="346"/>
      <c r="E21" s="346"/>
      <c r="F21" s="346"/>
      <c r="G21" s="346"/>
      <c r="H21" s="346"/>
    </row>
    <row r="22" spans="1:8">
      <c r="A22" s="346"/>
      <c r="B22" s="346"/>
      <c r="C22" s="346"/>
      <c r="D22" s="346"/>
      <c r="E22" s="346"/>
      <c r="F22" s="346"/>
      <c r="G22" s="346"/>
      <c r="H22" s="346"/>
    </row>
    <row r="23" spans="1:8">
      <c r="A23" s="346"/>
      <c r="B23" s="346"/>
      <c r="C23" s="346"/>
      <c r="D23" s="346"/>
      <c r="E23" s="346"/>
      <c r="F23" s="346"/>
      <c r="G23" s="346"/>
      <c r="H23" s="346"/>
    </row>
    <row r="24" spans="1:8">
      <c r="A24" s="346"/>
      <c r="B24" s="346"/>
      <c r="C24" s="346"/>
      <c r="D24" s="346"/>
      <c r="E24" s="346"/>
      <c r="F24" s="346"/>
      <c r="G24" s="346"/>
      <c r="H24" s="346"/>
    </row>
    <row r="25" spans="1:8">
      <c r="A25" s="346"/>
      <c r="B25" s="346"/>
      <c r="C25" s="346"/>
      <c r="D25" s="346"/>
      <c r="E25" s="346"/>
      <c r="F25" s="346"/>
      <c r="G25" s="346"/>
      <c r="H25" s="346"/>
    </row>
    <row r="26" spans="1:8">
      <c r="A26" s="346"/>
      <c r="B26" s="346"/>
      <c r="C26" s="346"/>
      <c r="D26" s="346"/>
      <c r="E26" s="346"/>
      <c r="F26" s="346"/>
      <c r="G26" s="346"/>
      <c r="H26" s="346"/>
    </row>
    <row r="27" spans="1:8">
      <c r="A27" s="346"/>
      <c r="B27" s="346"/>
      <c r="C27" s="346"/>
      <c r="D27" s="346"/>
      <c r="E27" s="346"/>
      <c r="F27" s="346"/>
      <c r="G27" s="346"/>
      <c r="H27" s="346"/>
    </row>
    <row r="28" spans="1:8">
      <c r="A28" s="346"/>
      <c r="B28" s="346"/>
      <c r="C28" s="346"/>
      <c r="D28" s="346"/>
      <c r="E28" s="346"/>
      <c r="F28" s="346"/>
      <c r="G28" s="346"/>
      <c r="H28" s="346"/>
    </row>
    <row r="29" spans="1:8">
      <c r="A29" s="346"/>
      <c r="B29" s="346"/>
      <c r="C29" s="346"/>
      <c r="D29" s="346"/>
      <c r="E29" s="346"/>
      <c r="F29" s="346"/>
      <c r="G29" s="346"/>
      <c r="H29" s="346"/>
    </row>
    <row r="30" spans="1:8">
      <c r="A30" s="346"/>
      <c r="B30" s="346"/>
      <c r="C30" s="346"/>
      <c r="D30" s="346"/>
      <c r="E30" s="346"/>
      <c r="F30" s="346"/>
      <c r="G30" s="346"/>
      <c r="H30" s="346"/>
    </row>
    <row r="31" spans="1:8">
      <c r="A31" s="346"/>
      <c r="B31" s="346"/>
      <c r="C31" s="346"/>
      <c r="D31" s="346"/>
      <c r="E31" s="346"/>
      <c r="F31" s="346"/>
      <c r="G31" s="346"/>
      <c r="H31" s="346"/>
    </row>
    <row r="32" spans="1:8">
      <c r="A32" s="346"/>
      <c r="B32" s="346"/>
      <c r="C32" s="346"/>
      <c r="D32" s="346"/>
      <c r="E32" s="346"/>
      <c r="F32" s="346"/>
      <c r="G32" s="346"/>
      <c r="H32" s="346"/>
    </row>
    <row r="33" spans="1:8">
      <c r="A33" s="346"/>
      <c r="B33" s="346"/>
      <c r="C33" s="346"/>
      <c r="D33" s="346"/>
      <c r="E33" s="346"/>
      <c r="F33" s="346"/>
      <c r="G33" s="346"/>
      <c r="H33" s="346"/>
    </row>
    <row r="34" spans="1:8">
      <c r="A34" s="346"/>
      <c r="B34" s="346"/>
      <c r="C34" s="346"/>
      <c r="D34" s="346"/>
      <c r="E34" s="346"/>
      <c r="F34" s="346"/>
      <c r="G34" s="346"/>
      <c r="H34" s="346"/>
    </row>
    <row r="35" spans="1:8">
      <c r="A35" s="346"/>
      <c r="B35" s="346"/>
      <c r="C35" s="346"/>
      <c r="D35" s="346"/>
      <c r="E35" s="346"/>
      <c r="F35" s="346"/>
      <c r="G35" s="346"/>
      <c r="H35" s="346"/>
    </row>
    <row r="36" spans="1:8">
      <c r="A36" s="346"/>
      <c r="B36" s="346"/>
      <c r="C36" s="346"/>
      <c r="D36" s="346"/>
      <c r="E36" s="346"/>
      <c r="F36" s="346"/>
      <c r="G36" s="346"/>
      <c r="H36" s="346"/>
    </row>
    <row r="37" spans="1:8">
      <c r="A37" s="346"/>
      <c r="B37" s="346"/>
      <c r="C37" s="346"/>
      <c r="D37" s="346"/>
      <c r="E37" s="346"/>
      <c r="F37" s="346"/>
      <c r="G37" s="346"/>
      <c r="H37" s="346"/>
    </row>
    <row r="38" spans="1:8">
      <c r="A38" s="346"/>
      <c r="B38" s="346"/>
      <c r="C38" s="346"/>
      <c r="D38" s="346"/>
      <c r="E38" s="346"/>
      <c r="F38" s="346"/>
      <c r="G38" s="346"/>
      <c r="H38" s="346"/>
    </row>
    <row r="39" spans="1:8">
      <c r="A39" s="346"/>
      <c r="B39" s="346"/>
      <c r="C39" s="346"/>
      <c r="D39" s="346"/>
      <c r="E39" s="346"/>
      <c r="F39" s="346"/>
      <c r="G39" s="346"/>
      <c r="H39" s="346"/>
    </row>
    <row r="40" spans="1:8">
      <c r="A40" s="346"/>
      <c r="B40" s="346"/>
      <c r="C40" s="346"/>
      <c r="D40" s="346"/>
      <c r="E40" s="346"/>
      <c r="F40" s="346"/>
      <c r="G40" s="346"/>
      <c r="H40" s="346"/>
    </row>
    <row r="41" spans="1:8">
      <c r="A41" s="346"/>
      <c r="B41" s="346"/>
      <c r="C41" s="346"/>
      <c r="D41" s="346"/>
      <c r="E41" s="346"/>
      <c r="F41" s="346"/>
      <c r="G41" s="346"/>
      <c r="H41" s="346"/>
    </row>
    <row r="42" spans="1:8">
      <c r="A42" s="346"/>
      <c r="B42" s="346"/>
      <c r="C42" s="346"/>
      <c r="D42" s="346"/>
      <c r="E42" s="346"/>
      <c r="F42" s="346"/>
      <c r="G42" s="346"/>
      <c r="H42" s="346"/>
    </row>
    <row r="43" spans="1:8">
      <c r="A43" s="346"/>
      <c r="B43" s="346"/>
      <c r="C43" s="346"/>
      <c r="D43" s="346"/>
      <c r="E43" s="346"/>
      <c r="F43" s="346"/>
      <c r="G43" s="346"/>
      <c r="H43" s="346"/>
    </row>
    <row r="44" spans="1:8">
      <c r="A44" s="346"/>
      <c r="B44" s="346"/>
      <c r="C44" s="346"/>
      <c r="D44" s="346"/>
      <c r="E44" s="346"/>
      <c r="F44" s="346"/>
      <c r="G44" s="346"/>
      <c r="H44" s="346"/>
    </row>
    <row r="45" spans="1:8">
      <c r="A45" s="346"/>
      <c r="B45" s="346"/>
      <c r="C45" s="346"/>
      <c r="D45" s="346"/>
      <c r="E45" s="346"/>
      <c r="F45" s="346"/>
      <c r="G45" s="346"/>
      <c r="H45" s="346"/>
    </row>
    <row r="46" spans="1:8">
      <c r="A46" s="346"/>
      <c r="B46" s="346"/>
      <c r="C46" s="346"/>
      <c r="D46" s="346"/>
      <c r="E46" s="346"/>
      <c r="F46" s="346"/>
      <c r="G46" s="346"/>
      <c r="H46" s="346"/>
    </row>
    <row r="47" spans="1:8">
      <c r="A47" s="346"/>
      <c r="B47" s="346"/>
      <c r="C47" s="346"/>
      <c r="D47" s="346"/>
      <c r="E47" s="346"/>
      <c r="F47" s="346"/>
      <c r="G47" s="346"/>
      <c r="H47" s="346"/>
    </row>
    <row r="48" spans="1:8">
      <c r="A48" s="346"/>
      <c r="B48" s="346"/>
      <c r="C48" s="346"/>
      <c r="D48" s="346"/>
      <c r="E48" s="346"/>
      <c r="F48" s="346"/>
      <c r="G48" s="346"/>
      <c r="H48" s="346"/>
    </row>
    <row r="49" spans="1:8">
      <c r="A49" s="346"/>
      <c r="B49" s="346"/>
      <c r="C49" s="346"/>
      <c r="D49" s="346"/>
      <c r="E49" s="346"/>
      <c r="F49" s="346"/>
      <c r="G49" s="346"/>
      <c r="H49" s="346"/>
    </row>
    <row r="50" spans="1:8">
      <c r="A50" s="346"/>
      <c r="B50" s="346"/>
      <c r="C50" s="346"/>
      <c r="D50" s="346"/>
      <c r="E50" s="346"/>
      <c r="F50" s="346"/>
      <c r="G50" s="346"/>
      <c r="H50" s="346"/>
    </row>
    <row r="51" spans="1:8">
      <c r="A51" s="346"/>
      <c r="B51" s="346"/>
      <c r="C51" s="346"/>
      <c r="D51" s="346"/>
      <c r="E51" s="346"/>
      <c r="F51" s="346"/>
      <c r="G51" s="346"/>
      <c r="H51" s="346"/>
    </row>
    <row r="52" spans="1:8">
      <c r="A52" s="346"/>
      <c r="B52" s="346"/>
      <c r="C52" s="346"/>
      <c r="D52" s="346"/>
      <c r="E52" s="346"/>
      <c r="F52" s="346"/>
      <c r="G52" s="346"/>
      <c r="H52" s="346"/>
    </row>
    <row r="53" spans="1:8">
      <c r="A53" s="346"/>
      <c r="B53" s="346"/>
      <c r="C53" s="346"/>
      <c r="D53" s="346"/>
      <c r="E53" s="346"/>
      <c r="F53" s="346"/>
      <c r="G53" s="346"/>
      <c r="H53" s="346"/>
    </row>
    <row r="54" spans="1:8">
      <c r="A54" s="346"/>
      <c r="B54" s="346"/>
      <c r="C54" s="346"/>
      <c r="D54" s="346"/>
      <c r="E54" s="346"/>
      <c r="F54" s="346"/>
      <c r="G54" s="346"/>
      <c r="H54" s="346"/>
    </row>
    <row r="55" spans="1:8">
      <c r="A55" s="346"/>
      <c r="B55" s="346"/>
      <c r="C55" s="346"/>
      <c r="D55" s="346"/>
      <c r="E55" s="346"/>
      <c r="F55" s="346"/>
      <c r="G55" s="346"/>
      <c r="H55" s="346"/>
    </row>
    <row r="56" spans="1:8">
      <c r="A56" s="346"/>
      <c r="B56" s="346"/>
      <c r="C56" s="346"/>
      <c r="D56" s="346"/>
      <c r="E56" s="346"/>
      <c r="F56" s="346"/>
      <c r="G56" s="346"/>
      <c r="H56" s="346"/>
    </row>
    <row r="57" spans="1:8">
      <c r="A57" s="346"/>
      <c r="B57" s="346"/>
      <c r="C57" s="346"/>
      <c r="D57" s="346"/>
      <c r="E57" s="346"/>
      <c r="F57" s="346"/>
      <c r="G57" s="346"/>
      <c r="H57" s="346"/>
    </row>
    <row r="58" spans="1:8">
      <c r="A58" s="346"/>
      <c r="B58" s="346"/>
      <c r="C58" s="346"/>
      <c r="D58" s="346"/>
      <c r="E58" s="346"/>
      <c r="F58" s="346"/>
      <c r="G58" s="346"/>
      <c r="H58" s="346"/>
    </row>
    <row r="59" spans="1:8">
      <c r="A59" s="346"/>
      <c r="B59" s="346"/>
      <c r="C59" s="346"/>
      <c r="D59" s="346"/>
      <c r="E59" s="346"/>
      <c r="F59" s="346"/>
      <c r="G59" s="346"/>
      <c r="H59" s="346"/>
    </row>
    <row r="60" spans="1:8">
      <c r="A60" s="346"/>
      <c r="B60" s="346"/>
      <c r="C60" s="346"/>
      <c r="D60" s="346"/>
      <c r="E60" s="346"/>
      <c r="F60" s="346"/>
      <c r="G60" s="346"/>
      <c r="H60" s="346"/>
    </row>
    <row r="61" spans="1:8">
      <c r="A61" s="346"/>
      <c r="B61" s="346"/>
      <c r="C61" s="346"/>
      <c r="D61" s="346"/>
      <c r="E61" s="346"/>
      <c r="F61" s="346"/>
      <c r="G61" s="346"/>
      <c r="H61" s="346"/>
    </row>
    <row r="62" spans="1:8">
      <c r="A62" s="346"/>
      <c r="B62" s="346"/>
      <c r="C62" s="346"/>
      <c r="D62" s="346"/>
      <c r="E62" s="346"/>
      <c r="F62" s="346"/>
      <c r="G62" s="346"/>
      <c r="H62" s="346"/>
    </row>
    <row r="63" spans="1:8">
      <c r="A63" s="346"/>
      <c r="B63" s="346"/>
      <c r="C63" s="346"/>
      <c r="D63" s="346"/>
      <c r="E63" s="346"/>
      <c r="F63" s="346"/>
      <c r="G63" s="346"/>
      <c r="H63" s="346"/>
    </row>
    <row r="64" spans="1:8">
      <c r="A64" s="346"/>
      <c r="B64" s="346"/>
      <c r="C64" s="346"/>
      <c r="D64" s="346"/>
      <c r="E64" s="346"/>
      <c r="F64" s="346"/>
      <c r="G64" s="346"/>
      <c r="H64" s="346"/>
    </row>
    <row r="65" spans="1:8">
      <c r="A65" s="346"/>
      <c r="B65" s="346"/>
      <c r="C65" s="346"/>
      <c r="D65" s="346"/>
      <c r="E65" s="346"/>
      <c r="F65" s="346"/>
      <c r="G65" s="346"/>
      <c r="H65" s="346"/>
    </row>
    <row r="66" spans="1:8">
      <c r="A66" s="346"/>
      <c r="B66" s="346"/>
      <c r="C66" s="346"/>
      <c r="D66" s="346"/>
      <c r="E66" s="346"/>
      <c r="F66" s="346"/>
      <c r="G66" s="346"/>
      <c r="H66" s="346"/>
    </row>
    <row r="67" spans="1:8">
      <c r="A67" s="346"/>
      <c r="B67" s="346"/>
      <c r="C67" s="346"/>
      <c r="D67" s="346"/>
      <c r="E67" s="346"/>
      <c r="F67" s="346"/>
      <c r="G67" s="346"/>
      <c r="H67" s="346"/>
    </row>
    <row r="68" spans="1:8">
      <c r="A68" s="346"/>
      <c r="B68" s="346"/>
      <c r="C68" s="346"/>
      <c r="D68" s="346"/>
      <c r="E68" s="346"/>
      <c r="F68" s="346"/>
      <c r="G68" s="346"/>
      <c r="H68" s="346"/>
    </row>
    <row r="69" spans="1:8">
      <c r="A69" s="346"/>
      <c r="B69" s="346"/>
      <c r="C69" s="346"/>
      <c r="D69" s="346"/>
      <c r="E69" s="346"/>
      <c r="F69" s="346"/>
      <c r="G69" s="346"/>
      <c r="H69" s="346"/>
    </row>
    <row r="70" spans="1:8">
      <c r="A70" s="346"/>
      <c r="B70" s="346"/>
      <c r="C70" s="346"/>
      <c r="D70" s="346"/>
      <c r="E70" s="346"/>
      <c r="F70" s="346"/>
      <c r="G70" s="346"/>
      <c r="H70" s="346"/>
    </row>
    <row r="71" spans="1:8">
      <c r="A71" s="346"/>
      <c r="B71" s="346"/>
      <c r="C71" s="346"/>
      <c r="D71" s="346"/>
      <c r="E71" s="346"/>
      <c r="F71" s="346"/>
      <c r="G71" s="346"/>
      <c r="H71" s="346"/>
    </row>
    <row r="72" spans="1:8">
      <c r="A72" s="346"/>
      <c r="B72" s="346"/>
      <c r="C72" s="346"/>
      <c r="D72" s="346"/>
      <c r="E72" s="346"/>
      <c r="F72" s="346"/>
      <c r="G72" s="346"/>
      <c r="H72" s="346"/>
    </row>
    <row r="73" spans="1:8">
      <c r="A73" s="346"/>
      <c r="B73" s="346"/>
      <c r="C73" s="346"/>
      <c r="D73" s="346"/>
      <c r="E73" s="346"/>
      <c r="F73" s="346"/>
      <c r="G73" s="346"/>
      <c r="H73" s="346"/>
    </row>
    <row r="74" spans="1:8">
      <c r="A74" s="346"/>
      <c r="B74" s="346"/>
      <c r="C74" s="346"/>
      <c r="D74" s="346"/>
      <c r="E74" s="346"/>
      <c r="F74" s="346"/>
      <c r="G74" s="346"/>
      <c r="H74" s="346"/>
    </row>
    <row r="75" spans="1:8">
      <c r="A75" s="346"/>
      <c r="B75" s="346"/>
      <c r="C75" s="346"/>
      <c r="D75" s="346"/>
      <c r="E75" s="346"/>
      <c r="F75" s="346"/>
      <c r="G75" s="346"/>
      <c r="H75" s="346"/>
    </row>
    <row r="76" spans="1:8">
      <c r="A76" s="346"/>
      <c r="B76" s="346"/>
      <c r="C76" s="346"/>
      <c r="D76" s="346"/>
      <c r="E76" s="346"/>
      <c r="F76" s="346"/>
      <c r="G76" s="346"/>
      <c r="H76" s="346"/>
    </row>
    <row r="77" spans="1:8">
      <c r="A77" s="346"/>
      <c r="B77" s="346"/>
      <c r="C77" s="346"/>
      <c r="D77" s="346"/>
      <c r="E77" s="346"/>
      <c r="F77" s="346"/>
      <c r="G77" s="346"/>
      <c r="H77" s="346"/>
    </row>
    <row r="78" spans="1:8">
      <c r="A78" s="346"/>
      <c r="B78" s="346"/>
      <c r="C78" s="346"/>
      <c r="D78" s="346"/>
      <c r="E78" s="346"/>
      <c r="F78" s="346"/>
      <c r="G78" s="346"/>
      <c r="H78" s="346"/>
    </row>
    <row r="79" spans="1:8">
      <c r="A79" s="346"/>
      <c r="B79" s="346"/>
      <c r="C79" s="346"/>
      <c r="D79" s="346"/>
      <c r="E79" s="346"/>
      <c r="F79" s="346"/>
      <c r="G79" s="346"/>
      <c r="H79" s="346"/>
    </row>
    <row r="80" spans="1:8">
      <c r="A80" s="346"/>
      <c r="B80" s="346"/>
      <c r="C80" s="346"/>
      <c r="D80" s="346"/>
      <c r="E80" s="346"/>
      <c r="F80" s="346"/>
      <c r="G80" s="346"/>
      <c r="H80" s="346"/>
    </row>
    <row r="81" spans="1:8">
      <c r="A81" s="346"/>
      <c r="B81" s="346"/>
      <c r="C81" s="346"/>
      <c r="D81" s="346"/>
      <c r="E81" s="346"/>
      <c r="F81" s="346"/>
      <c r="G81" s="346"/>
      <c r="H81" s="346"/>
    </row>
    <row r="82" spans="1:8">
      <c r="A82" s="346"/>
      <c r="B82" s="346"/>
      <c r="C82" s="346"/>
      <c r="D82" s="346"/>
      <c r="E82" s="346"/>
      <c r="F82" s="346"/>
      <c r="G82" s="346"/>
      <c r="H82" s="346"/>
    </row>
    <row r="83" spans="1:8">
      <c r="A83" s="346"/>
      <c r="B83" s="346"/>
      <c r="C83" s="346"/>
      <c r="D83" s="346"/>
      <c r="E83" s="346"/>
      <c r="F83" s="346"/>
      <c r="G83" s="346"/>
      <c r="H83" s="346"/>
    </row>
    <row r="84" spans="1:8">
      <c r="A84" s="346"/>
      <c r="B84" s="346"/>
      <c r="C84" s="346"/>
      <c r="D84" s="346"/>
      <c r="E84" s="346"/>
      <c r="F84" s="346"/>
      <c r="G84" s="346"/>
      <c r="H84" s="346"/>
    </row>
    <row r="85" spans="1:8">
      <c r="A85" s="346"/>
      <c r="B85" s="346"/>
      <c r="C85" s="346"/>
      <c r="D85" s="346"/>
      <c r="E85" s="346"/>
      <c r="F85" s="346"/>
      <c r="G85" s="346"/>
      <c r="H85" s="346"/>
    </row>
    <row r="86" spans="1:8">
      <c r="A86" s="346"/>
      <c r="B86" s="346"/>
      <c r="C86" s="346"/>
      <c r="D86" s="346"/>
      <c r="E86" s="346"/>
      <c r="F86" s="346"/>
      <c r="G86" s="346"/>
      <c r="H86" s="346"/>
    </row>
    <row r="87" spans="1:8">
      <c r="A87" s="346"/>
      <c r="B87" s="346"/>
      <c r="C87" s="346"/>
      <c r="D87" s="346"/>
      <c r="E87" s="346"/>
      <c r="F87" s="346"/>
      <c r="G87" s="346"/>
      <c r="H87" s="346"/>
    </row>
    <row r="88" spans="1:8">
      <c r="A88" s="346"/>
      <c r="B88" s="346"/>
      <c r="C88" s="346"/>
      <c r="D88" s="346"/>
      <c r="E88" s="346"/>
      <c r="F88" s="346"/>
      <c r="G88" s="346"/>
      <c r="H88" s="346"/>
    </row>
    <row r="89" spans="1:8">
      <c r="A89" s="346"/>
      <c r="B89" s="346"/>
      <c r="C89" s="346"/>
      <c r="D89" s="346"/>
      <c r="E89" s="346"/>
      <c r="F89" s="346"/>
      <c r="G89" s="346"/>
      <c r="H89" s="346"/>
    </row>
    <row r="90" spans="1:8">
      <c r="A90" s="346"/>
      <c r="B90" s="346"/>
      <c r="C90" s="346"/>
      <c r="D90" s="346"/>
      <c r="E90" s="346"/>
      <c r="F90" s="346"/>
      <c r="G90" s="346"/>
      <c r="H90" s="346"/>
    </row>
    <row r="91" spans="1:8">
      <c r="A91" s="346"/>
      <c r="B91" s="346"/>
      <c r="C91" s="346"/>
      <c r="D91" s="346"/>
      <c r="E91" s="346"/>
      <c r="F91" s="346"/>
      <c r="G91" s="346"/>
      <c r="H91" s="346"/>
    </row>
    <row r="92" spans="1:8">
      <c r="A92" s="346"/>
      <c r="B92" s="346"/>
      <c r="C92" s="346"/>
      <c r="D92" s="346"/>
      <c r="E92" s="346"/>
      <c r="F92" s="346"/>
      <c r="G92" s="346"/>
      <c r="H92" s="346"/>
    </row>
    <row r="93" spans="1:8">
      <c r="A93" s="346"/>
      <c r="B93" s="346"/>
      <c r="C93" s="346"/>
      <c r="D93" s="346"/>
      <c r="E93" s="346"/>
      <c r="F93" s="346"/>
      <c r="G93" s="346"/>
      <c r="H93" s="346"/>
    </row>
    <row r="94" spans="1:8">
      <c r="A94" s="346"/>
      <c r="B94" s="346"/>
      <c r="C94" s="346"/>
      <c r="D94" s="346"/>
      <c r="E94" s="346"/>
      <c r="F94" s="346"/>
      <c r="G94" s="346"/>
      <c r="H94" s="346"/>
    </row>
    <row r="95" spans="1:8">
      <c r="A95" s="346"/>
      <c r="B95" s="346"/>
      <c r="C95" s="346"/>
      <c r="D95" s="346"/>
      <c r="E95" s="346"/>
      <c r="F95" s="346"/>
      <c r="G95" s="346"/>
      <c r="H95" s="346"/>
    </row>
    <row r="96" spans="1:8">
      <c r="A96" s="346"/>
      <c r="B96" s="346"/>
      <c r="C96" s="346"/>
      <c r="D96" s="346"/>
      <c r="E96" s="346"/>
      <c r="F96" s="346"/>
      <c r="G96" s="346"/>
      <c r="H96" s="346"/>
    </row>
    <row r="97" spans="1:8">
      <c r="A97" s="346"/>
      <c r="B97" s="346"/>
      <c r="C97" s="346"/>
      <c r="D97" s="346"/>
      <c r="E97" s="346"/>
      <c r="F97" s="346"/>
      <c r="G97" s="346"/>
      <c r="H97" s="346"/>
    </row>
    <row r="98" spans="1:8">
      <c r="A98" s="346"/>
      <c r="B98" s="346"/>
      <c r="C98" s="346"/>
      <c r="D98" s="346"/>
      <c r="E98" s="346"/>
      <c r="F98" s="346"/>
      <c r="G98" s="346"/>
      <c r="H98" s="346"/>
    </row>
    <row r="99" spans="1:8">
      <c r="A99" s="346"/>
      <c r="B99" s="346"/>
      <c r="C99" s="346"/>
      <c r="D99" s="346"/>
      <c r="E99" s="346"/>
      <c r="F99" s="346"/>
      <c r="G99" s="346"/>
      <c r="H99" s="346"/>
    </row>
    <row r="100" spans="1:8">
      <c r="A100" s="346"/>
      <c r="B100" s="346"/>
      <c r="C100" s="346"/>
      <c r="D100" s="346"/>
      <c r="E100" s="346"/>
      <c r="F100" s="346"/>
      <c r="G100" s="346"/>
      <c r="H100" s="346"/>
    </row>
    <row r="101" spans="1:8">
      <c r="A101" s="193"/>
      <c r="B101" s="193"/>
      <c r="C101" s="193"/>
      <c r="D101" s="193"/>
      <c r="E101" s="193"/>
      <c r="F101" s="193"/>
      <c r="G101" s="193"/>
      <c r="H101" s="193"/>
    </row>
    <row r="102" spans="1:8" ht="45">
      <c r="A102" s="392" t="s">
        <v>1324</v>
      </c>
      <c r="B102" s="215" t="s">
        <v>1325</v>
      </c>
      <c r="C102" s="215" t="s">
        <v>1326</v>
      </c>
      <c r="D102" s="392" t="s">
        <v>1054</v>
      </c>
      <c r="E102" s="392" t="s">
        <v>1327</v>
      </c>
      <c r="F102" s="215" t="s">
        <v>1328</v>
      </c>
      <c r="G102" s="392" t="s">
        <v>1329</v>
      </c>
      <c r="H102" s="215" t="s">
        <v>1330</v>
      </c>
    </row>
    <row r="103" spans="1:8" ht="45">
      <c r="A103" s="392" t="s">
        <v>1331</v>
      </c>
      <c r="B103" s="215" t="s">
        <v>1332</v>
      </c>
      <c r="C103" s="215" t="s">
        <v>1333</v>
      </c>
      <c r="D103" s="392" t="s">
        <v>1060</v>
      </c>
      <c r="E103" s="392" t="s">
        <v>1334</v>
      </c>
      <c r="F103" s="215" t="s">
        <v>1328</v>
      </c>
      <c r="G103" s="392" t="s">
        <v>1329</v>
      </c>
      <c r="H103" s="215" t="s">
        <v>1335</v>
      </c>
    </row>
    <row r="104" spans="1:8" ht="30">
      <c r="A104" s="392" t="s">
        <v>1336</v>
      </c>
      <c r="B104" s="215" t="s">
        <v>1337</v>
      </c>
      <c r="C104" s="215" t="s">
        <v>1338</v>
      </c>
      <c r="D104" s="392" t="s">
        <v>1064</v>
      </c>
      <c r="E104" s="392" t="s">
        <v>1339</v>
      </c>
      <c r="F104" s="215" t="s">
        <v>1328</v>
      </c>
      <c r="G104" s="392" t="s">
        <v>1329</v>
      </c>
      <c r="H104" s="215" t="s">
        <v>1340</v>
      </c>
    </row>
    <row r="105" spans="1:8" ht="60">
      <c r="A105" s="392" t="s">
        <v>1341</v>
      </c>
      <c r="B105" s="215" t="s">
        <v>1342</v>
      </c>
      <c r="C105" s="215" t="s">
        <v>1343</v>
      </c>
      <c r="D105" s="392" t="s">
        <v>1069</v>
      </c>
      <c r="E105" s="392" t="s">
        <v>1344</v>
      </c>
      <c r="F105" s="215" t="s">
        <v>1328</v>
      </c>
      <c r="G105" s="392" t="s">
        <v>1329</v>
      </c>
      <c r="H105" s="215" t="s">
        <v>1345</v>
      </c>
    </row>
    <row r="106" spans="1:8" ht="60">
      <c r="A106" s="392" t="s">
        <v>1346</v>
      </c>
      <c r="B106" s="215" t="s">
        <v>1347</v>
      </c>
      <c r="C106" s="215" t="s">
        <v>1348</v>
      </c>
      <c r="D106" s="392" t="s">
        <v>1074</v>
      </c>
      <c r="E106" s="392" t="s">
        <v>1349</v>
      </c>
      <c r="F106" s="215" t="s">
        <v>1328</v>
      </c>
      <c r="G106" s="392" t="s">
        <v>1329</v>
      </c>
      <c r="H106" s="215" t="s">
        <v>1350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349F5-B75B-4FA7-9BE3-9A8AC8DFE4F4}">
  <sheetPr>
    <tabColor rgb="FF7030A0"/>
  </sheetPr>
  <dimension ref="A1:V206"/>
  <sheetViews>
    <sheetView workbookViewId="0">
      <pane ySplit="6" topLeftCell="A7" activePane="bottomLeft" state="frozen"/>
      <selection sqref="A1:V1"/>
      <selection pane="bottomLeft" sqref="A1:V1"/>
    </sheetView>
  </sheetViews>
  <sheetFormatPr defaultRowHeight="15"/>
  <cols>
    <col min="1" max="1" width="12" customWidth="1"/>
    <col min="2" max="2" width="29.7109375" customWidth="1"/>
    <col min="3" max="3" width="24" customWidth="1"/>
    <col min="4" max="4" width="15" customWidth="1"/>
    <col min="5" max="5" width="14" customWidth="1"/>
    <col min="6" max="13" width="15" customWidth="1"/>
    <col min="14" max="14" width="16" customWidth="1"/>
    <col min="15" max="15" width="28" customWidth="1"/>
    <col min="16" max="16" width="14" customWidth="1"/>
    <col min="17" max="17" width="15" customWidth="1"/>
    <col min="18" max="18" width="16" customWidth="1"/>
    <col min="19" max="19" width="19" customWidth="1"/>
    <col min="20" max="20" width="15" customWidth="1"/>
    <col min="21" max="21" width="28" customWidth="1"/>
    <col min="22" max="22" width="12" customWidth="1"/>
  </cols>
  <sheetData>
    <row r="1" spans="1:22">
      <c r="A1" s="425" t="s">
        <v>1406</v>
      </c>
      <c r="B1" s="424"/>
      <c r="C1" s="424"/>
      <c r="D1" s="424"/>
      <c r="E1" s="424"/>
      <c r="F1" s="424"/>
      <c r="G1" s="424"/>
      <c r="H1" s="424"/>
      <c r="I1" s="424"/>
      <c r="J1" s="424"/>
      <c r="K1" s="424"/>
      <c r="L1" s="424"/>
      <c r="M1" s="424"/>
      <c r="N1" s="424"/>
      <c r="O1" s="424"/>
      <c r="P1" s="424"/>
      <c r="Q1" s="424"/>
      <c r="R1" s="424"/>
      <c r="S1" s="424"/>
      <c r="T1" s="424"/>
      <c r="U1" s="424"/>
      <c r="V1" s="424"/>
    </row>
    <row r="2" spans="1:22" ht="64.5" customHeight="1">
      <c r="A2" s="396" t="s">
        <v>1094</v>
      </c>
      <c r="B2" s="193" t="s">
        <v>1407</v>
      </c>
    </row>
    <row r="3" spans="1:22" ht="61.5" customHeight="1">
      <c r="A3" s="396" t="s">
        <v>1208</v>
      </c>
      <c r="B3" s="193" t="s">
        <v>1408</v>
      </c>
    </row>
    <row r="4" spans="1:22" ht="61.5" customHeight="1">
      <c r="A4" s="396" t="s">
        <v>1409</v>
      </c>
      <c r="B4" s="193" t="s">
        <v>1410</v>
      </c>
    </row>
    <row r="6" spans="1:22" ht="30">
      <c r="A6" s="397" t="s">
        <v>1411</v>
      </c>
      <c r="B6" s="397" t="s">
        <v>1263</v>
      </c>
      <c r="C6" s="397" t="s">
        <v>1269</v>
      </c>
      <c r="D6" s="397" t="s">
        <v>1412</v>
      </c>
      <c r="E6" s="397" t="s">
        <v>1413</v>
      </c>
      <c r="F6" s="397" t="s">
        <v>1414</v>
      </c>
      <c r="G6" s="397" t="s">
        <v>1288</v>
      </c>
      <c r="H6" s="397" t="s">
        <v>1415</v>
      </c>
      <c r="I6" s="397" t="s">
        <v>1416</v>
      </c>
      <c r="J6" s="397" t="s">
        <v>1417</v>
      </c>
      <c r="K6" s="397" t="s">
        <v>1418</v>
      </c>
      <c r="L6" s="397" t="s">
        <v>1419</v>
      </c>
      <c r="M6" s="397" t="s">
        <v>1420</v>
      </c>
      <c r="N6" s="397" t="s">
        <v>1421</v>
      </c>
      <c r="O6" s="397" t="s">
        <v>1422</v>
      </c>
      <c r="P6" s="397" t="s">
        <v>1423</v>
      </c>
      <c r="Q6" s="397" t="s">
        <v>1424</v>
      </c>
      <c r="R6" s="397" t="s">
        <v>1210</v>
      </c>
      <c r="S6" s="397" t="s">
        <v>1425</v>
      </c>
      <c r="T6" s="397" t="s">
        <v>1426</v>
      </c>
      <c r="U6" s="397" t="s">
        <v>386</v>
      </c>
      <c r="V6" s="397" t="s">
        <v>1427</v>
      </c>
    </row>
    <row r="7" spans="1:22">
      <c r="A7" s="398" t="str">
        <f t="shared" ref="A7:A38" si="0">IF($B7="","","UM-"&amp;TEXT(ROW()-6,"0000"))</f>
        <v/>
      </c>
      <c r="B7" s="399"/>
      <c r="C7" s="398" t="str">
        <f>IFERROR(INDEX(DATA_PROPERTY_MASTER!$B:$B,MATCH($B7,DATA_PROPERTY_MASTER!$A:$A,0)),"")</f>
        <v/>
      </c>
      <c r="D7" s="399"/>
      <c r="E7" s="399"/>
      <c r="F7" s="399"/>
      <c r="G7" s="400"/>
      <c r="H7" s="400"/>
      <c r="I7" s="400"/>
      <c r="J7" s="400"/>
      <c r="K7" s="401"/>
      <c r="L7" s="401"/>
      <c r="M7" s="402">
        <f t="shared" ref="M7:M38" si="1">IFERROR($G7*$K7,"")</f>
        <v>0</v>
      </c>
      <c r="N7" s="403" t="str">
        <f t="shared" ref="N7:N38" si="2">IFERROR(IF($L7&gt;0,1-($K7/$L7),""),"")</f>
        <v/>
      </c>
      <c r="O7" s="399"/>
      <c r="P7" s="399"/>
      <c r="Q7" s="399"/>
      <c r="R7" s="399"/>
      <c r="S7" s="399"/>
      <c r="T7" s="399"/>
      <c r="U7" s="399"/>
      <c r="V7" s="398" t="str">
        <f t="shared" ref="V7:V38" si="3">IF($B7="","Blank",IF(OR($G7="",$K7=""),"Review","OK"))</f>
        <v>Blank</v>
      </c>
    </row>
    <row r="8" spans="1:22">
      <c r="A8" s="398" t="str">
        <f t="shared" si="0"/>
        <v/>
      </c>
      <c r="B8" s="399"/>
      <c r="C8" s="398" t="str">
        <f>IFERROR(INDEX(DATA_PROPERTY_MASTER!$B:$B,MATCH($B8,DATA_PROPERTY_MASTER!$A:$A,0)),"")</f>
        <v/>
      </c>
      <c r="D8" s="399"/>
      <c r="E8" s="399"/>
      <c r="F8" s="399"/>
      <c r="G8" s="400"/>
      <c r="H8" s="400"/>
      <c r="I8" s="400"/>
      <c r="J8" s="400"/>
      <c r="K8" s="401"/>
      <c r="L8" s="401"/>
      <c r="M8" s="402">
        <f t="shared" si="1"/>
        <v>0</v>
      </c>
      <c r="N8" s="403" t="str">
        <f t="shared" si="2"/>
        <v/>
      </c>
      <c r="O8" s="399"/>
      <c r="P8" s="399"/>
      <c r="Q8" s="399"/>
      <c r="R8" s="399"/>
      <c r="S8" s="399"/>
      <c r="T8" s="399"/>
      <c r="U8" s="399"/>
      <c r="V8" s="398" t="str">
        <f t="shared" si="3"/>
        <v>Blank</v>
      </c>
    </row>
    <row r="9" spans="1:22">
      <c r="A9" s="398" t="str">
        <f t="shared" si="0"/>
        <v/>
      </c>
      <c r="B9" s="399"/>
      <c r="C9" s="398" t="str">
        <f>IFERROR(INDEX(DATA_PROPERTY_MASTER!$B:$B,MATCH($B9,DATA_PROPERTY_MASTER!$A:$A,0)),"")</f>
        <v/>
      </c>
      <c r="D9" s="399"/>
      <c r="E9" s="399"/>
      <c r="F9" s="399"/>
      <c r="G9" s="400"/>
      <c r="H9" s="400"/>
      <c r="I9" s="400"/>
      <c r="J9" s="400"/>
      <c r="K9" s="401"/>
      <c r="L9" s="401"/>
      <c r="M9" s="402">
        <f t="shared" si="1"/>
        <v>0</v>
      </c>
      <c r="N9" s="403" t="str">
        <f t="shared" si="2"/>
        <v/>
      </c>
      <c r="O9" s="399"/>
      <c r="P9" s="399"/>
      <c r="Q9" s="399"/>
      <c r="R9" s="399"/>
      <c r="S9" s="399"/>
      <c r="T9" s="399"/>
      <c r="U9" s="399"/>
      <c r="V9" s="398" t="str">
        <f t="shared" si="3"/>
        <v>Blank</v>
      </c>
    </row>
    <row r="10" spans="1:22">
      <c r="A10" s="398" t="str">
        <f t="shared" si="0"/>
        <v/>
      </c>
      <c r="B10" s="399"/>
      <c r="C10" s="398" t="str">
        <f>IFERROR(INDEX(DATA_PROPERTY_MASTER!$B:$B,MATCH($B10,DATA_PROPERTY_MASTER!$A:$A,0)),"")</f>
        <v/>
      </c>
      <c r="D10" s="399"/>
      <c r="E10" s="399"/>
      <c r="F10" s="399"/>
      <c r="G10" s="400"/>
      <c r="H10" s="400"/>
      <c r="I10" s="400"/>
      <c r="J10" s="400"/>
      <c r="K10" s="401"/>
      <c r="L10" s="401"/>
      <c r="M10" s="402">
        <f t="shared" si="1"/>
        <v>0</v>
      </c>
      <c r="N10" s="403" t="str">
        <f t="shared" si="2"/>
        <v/>
      </c>
      <c r="O10" s="399"/>
      <c r="P10" s="399"/>
      <c r="Q10" s="399"/>
      <c r="R10" s="399"/>
      <c r="S10" s="399"/>
      <c r="T10" s="399"/>
      <c r="U10" s="399"/>
      <c r="V10" s="398" t="str">
        <f t="shared" si="3"/>
        <v>Blank</v>
      </c>
    </row>
    <row r="11" spans="1:22">
      <c r="A11" s="398" t="str">
        <f t="shared" si="0"/>
        <v/>
      </c>
      <c r="B11" s="399"/>
      <c r="C11" s="398" t="str">
        <f>IFERROR(INDEX(DATA_PROPERTY_MASTER!$B:$B,MATCH($B11,DATA_PROPERTY_MASTER!$A:$A,0)),"")</f>
        <v/>
      </c>
      <c r="D11" s="399"/>
      <c r="E11" s="399"/>
      <c r="F11" s="399"/>
      <c r="G11" s="400"/>
      <c r="H11" s="400"/>
      <c r="I11" s="400"/>
      <c r="J11" s="400"/>
      <c r="K11" s="401"/>
      <c r="L11" s="401"/>
      <c r="M11" s="402">
        <f t="shared" si="1"/>
        <v>0</v>
      </c>
      <c r="N11" s="403" t="str">
        <f t="shared" si="2"/>
        <v/>
      </c>
      <c r="O11" s="399"/>
      <c r="P11" s="399"/>
      <c r="Q11" s="399"/>
      <c r="R11" s="399"/>
      <c r="S11" s="399"/>
      <c r="T11" s="399"/>
      <c r="U11" s="399"/>
      <c r="V11" s="398" t="str">
        <f t="shared" si="3"/>
        <v>Blank</v>
      </c>
    </row>
    <row r="12" spans="1:22">
      <c r="A12" s="398" t="str">
        <f t="shared" si="0"/>
        <v/>
      </c>
      <c r="B12" s="399"/>
      <c r="C12" s="398" t="str">
        <f>IFERROR(INDEX(DATA_PROPERTY_MASTER!$B:$B,MATCH($B12,DATA_PROPERTY_MASTER!$A:$A,0)),"")</f>
        <v/>
      </c>
      <c r="D12" s="399"/>
      <c r="E12" s="399"/>
      <c r="F12" s="399"/>
      <c r="G12" s="400"/>
      <c r="H12" s="400"/>
      <c r="I12" s="400"/>
      <c r="J12" s="400"/>
      <c r="K12" s="401"/>
      <c r="L12" s="401"/>
      <c r="M12" s="402">
        <f t="shared" si="1"/>
        <v>0</v>
      </c>
      <c r="N12" s="403" t="str">
        <f t="shared" si="2"/>
        <v/>
      </c>
      <c r="O12" s="399"/>
      <c r="P12" s="399"/>
      <c r="Q12" s="399"/>
      <c r="R12" s="399"/>
      <c r="S12" s="399"/>
      <c r="T12" s="399"/>
      <c r="U12" s="399"/>
      <c r="V12" s="398" t="str">
        <f t="shared" si="3"/>
        <v>Blank</v>
      </c>
    </row>
    <row r="13" spans="1:22">
      <c r="A13" s="398" t="str">
        <f t="shared" si="0"/>
        <v/>
      </c>
      <c r="B13" s="399"/>
      <c r="C13" s="398" t="str">
        <f>IFERROR(INDEX(DATA_PROPERTY_MASTER!$B:$B,MATCH($B13,DATA_PROPERTY_MASTER!$A:$A,0)),"")</f>
        <v/>
      </c>
      <c r="D13" s="399"/>
      <c r="E13" s="399"/>
      <c r="F13" s="399"/>
      <c r="G13" s="400"/>
      <c r="H13" s="400"/>
      <c r="I13" s="400"/>
      <c r="J13" s="400"/>
      <c r="K13" s="401"/>
      <c r="L13" s="401"/>
      <c r="M13" s="402">
        <f t="shared" si="1"/>
        <v>0</v>
      </c>
      <c r="N13" s="403" t="str">
        <f t="shared" si="2"/>
        <v/>
      </c>
      <c r="O13" s="399"/>
      <c r="P13" s="399"/>
      <c r="Q13" s="399"/>
      <c r="R13" s="399"/>
      <c r="S13" s="399"/>
      <c r="T13" s="399"/>
      <c r="U13" s="399"/>
      <c r="V13" s="398" t="str">
        <f t="shared" si="3"/>
        <v>Blank</v>
      </c>
    </row>
    <row r="14" spans="1:22">
      <c r="A14" s="398" t="str">
        <f t="shared" si="0"/>
        <v/>
      </c>
      <c r="B14" s="399"/>
      <c r="C14" s="398" t="str">
        <f>IFERROR(INDEX(DATA_PROPERTY_MASTER!$B:$B,MATCH($B14,DATA_PROPERTY_MASTER!$A:$A,0)),"")</f>
        <v/>
      </c>
      <c r="D14" s="399"/>
      <c r="E14" s="399"/>
      <c r="F14" s="399"/>
      <c r="G14" s="400"/>
      <c r="H14" s="400"/>
      <c r="I14" s="400"/>
      <c r="J14" s="400"/>
      <c r="K14" s="401"/>
      <c r="L14" s="401"/>
      <c r="M14" s="402">
        <f t="shared" si="1"/>
        <v>0</v>
      </c>
      <c r="N14" s="403" t="str">
        <f t="shared" si="2"/>
        <v/>
      </c>
      <c r="O14" s="399"/>
      <c r="P14" s="399"/>
      <c r="Q14" s="399"/>
      <c r="R14" s="399"/>
      <c r="S14" s="399"/>
      <c r="T14" s="399"/>
      <c r="U14" s="399"/>
      <c r="V14" s="398" t="str">
        <f t="shared" si="3"/>
        <v>Blank</v>
      </c>
    </row>
    <row r="15" spans="1:22">
      <c r="A15" s="398" t="str">
        <f t="shared" si="0"/>
        <v/>
      </c>
      <c r="B15" s="399"/>
      <c r="C15" s="398" t="str">
        <f>IFERROR(INDEX(DATA_PROPERTY_MASTER!$B:$B,MATCH($B15,DATA_PROPERTY_MASTER!$A:$A,0)),"")</f>
        <v/>
      </c>
      <c r="D15" s="399"/>
      <c r="E15" s="399"/>
      <c r="F15" s="399"/>
      <c r="G15" s="400"/>
      <c r="H15" s="400"/>
      <c r="I15" s="400"/>
      <c r="J15" s="400"/>
      <c r="K15" s="401"/>
      <c r="L15" s="401"/>
      <c r="M15" s="402">
        <f t="shared" si="1"/>
        <v>0</v>
      </c>
      <c r="N15" s="403" t="str">
        <f t="shared" si="2"/>
        <v/>
      </c>
      <c r="O15" s="399"/>
      <c r="P15" s="399"/>
      <c r="Q15" s="399"/>
      <c r="R15" s="399"/>
      <c r="S15" s="399"/>
      <c r="T15" s="399"/>
      <c r="U15" s="399"/>
      <c r="V15" s="398" t="str">
        <f t="shared" si="3"/>
        <v>Blank</v>
      </c>
    </row>
    <row r="16" spans="1:22">
      <c r="A16" s="398" t="str">
        <f t="shared" si="0"/>
        <v/>
      </c>
      <c r="B16" s="399"/>
      <c r="C16" s="398" t="str">
        <f>IFERROR(INDEX(DATA_PROPERTY_MASTER!$B:$B,MATCH($B16,DATA_PROPERTY_MASTER!$A:$A,0)),"")</f>
        <v/>
      </c>
      <c r="D16" s="399"/>
      <c r="E16" s="399"/>
      <c r="F16" s="399"/>
      <c r="G16" s="400"/>
      <c r="H16" s="400"/>
      <c r="I16" s="400"/>
      <c r="J16" s="400"/>
      <c r="K16" s="401"/>
      <c r="L16" s="401"/>
      <c r="M16" s="402">
        <f t="shared" si="1"/>
        <v>0</v>
      </c>
      <c r="N16" s="403" t="str">
        <f t="shared" si="2"/>
        <v/>
      </c>
      <c r="O16" s="399"/>
      <c r="P16" s="399"/>
      <c r="Q16" s="399"/>
      <c r="R16" s="399"/>
      <c r="S16" s="399"/>
      <c r="T16" s="399"/>
      <c r="U16" s="399"/>
      <c r="V16" s="398" t="str">
        <f t="shared" si="3"/>
        <v>Blank</v>
      </c>
    </row>
    <row r="17" spans="1:22">
      <c r="A17" s="398" t="str">
        <f t="shared" si="0"/>
        <v/>
      </c>
      <c r="B17" s="399"/>
      <c r="C17" s="398" t="str">
        <f>IFERROR(INDEX(DATA_PROPERTY_MASTER!$B:$B,MATCH($B17,DATA_PROPERTY_MASTER!$A:$A,0)),"")</f>
        <v/>
      </c>
      <c r="D17" s="399"/>
      <c r="E17" s="399"/>
      <c r="F17" s="399"/>
      <c r="G17" s="400"/>
      <c r="H17" s="400"/>
      <c r="I17" s="400"/>
      <c r="J17" s="400"/>
      <c r="K17" s="401"/>
      <c r="L17" s="401"/>
      <c r="M17" s="402">
        <f t="shared" si="1"/>
        <v>0</v>
      </c>
      <c r="N17" s="403" t="str">
        <f t="shared" si="2"/>
        <v/>
      </c>
      <c r="O17" s="399"/>
      <c r="P17" s="399"/>
      <c r="Q17" s="399"/>
      <c r="R17" s="399"/>
      <c r="S17" s="399"/>
      <c r="T17" s="399"/>
      <c r="U17" s="399"/>
      <c r="V17" s="398" t="str">
        <f t="shared" si="3"/>
        <v>Blank</v>
      </c>
    </row>
    <row r="18" spans="1:22">
      <c r="A18" s="398" t="str">
        <f t="shared" si="0"/>
        <v/>
      </c>
      <c r="B18" s="399"/>
      <c r="C18" s="398" t="str">
        <f>IFERROR(INDEX(DATA_PROPERTY_MASTER!$B:$B,MATCH($B18,DATA_PROPERTY_MASTER!$A:$A,0)),"")</f>
        <v/>
      </c>
      <c r="D18" s="399"/>
      <c r="E18" s="399"/>
      <c r="F18" s="399"/>
      <c r="G18" s="400"/>
      <c r="H18" s="400"/>
      <c r="I18" s="400"/>
      <c r="J18" s="400"/>
      <c r="K18" s="401"/>
      <c r="L18" s="401"/>
      <c r="M18" s="402">
        <f t="shared" si="1"/>
        <v>0</v>
      </c>
      <c r="N18" s="403" t="str">
        <f t="shared" si="2"/>
        <v/>
      </c>
      <c r="O18" s="399"/>
      <c r="P18" s="399"/>
      <c r="Q18" s="399"/>
      <c r="R18" s="399"/>
      <c r="S18" s="399"/>
      <c r="T18" s="399"/>
      <c r="U18" s="399"/>
      <c r="V18" s="398" t="str">
        <f t="shared" si="3"/>
        <v>Blank</v>
      </c>
    </row>
    <row r="19" spans="1:22">
      <c r="A19" s="398" t="str">
        <f t="shared" si="0"/>
        <v/>
      </c>
      <c r="B19" s="399"/>
      <c r="C19" s="398" t="str">
        <f>IFERROR(INDEX(DATA_PROPERTY_MASTER!$B:$B,MATCH($B19,DATA_PROPERTY_MASTER!$A:$A,0)),"")</f>
        <v/>
      </c>
      <c r="D19" s="399"/>
      <c r="E19" s="399"/>
      <c r="F19" s="399"/>
      <c r="G19" s="400"/>
      <c r="H19" s="400"/>
      <c r="I19" s="400"/>
      <c r="J19" s="400"/>
      <c r="K19" s="401"/>
      <c r="L19" s="401"/>
      <c r="M19" s="402">
        <f t="shared" si="1"/>
        <v>0</v>
      </c>
      <c r="N19" s="403" t="str">
        <f t="shared" si="2"/>
        <v/>
      </c>
      <c r="O19" s="399"/>
      <c r="P19" s="399"/>
      <c r="Q19" s="399"/>
      <c r="R19" s="399"/>
      <c r="S19" s="399"/>
      <c r="T19" s="399"/>
      <c r="U19" s="399"/>
      <c r="V19" s="398" t="str">
        <f t="shared" si="3"/>
        <v>Blank</v>
      </c>
    </row>
    <row r="20" spans="1:22">
      <c r="A20" s="398" t="str">
        <f t="shared" si="0"/>
        <v/>
      </c>
      <c r="B20" s="399"/>
      <c r="C20" s="398" t="str">
        <f>IFERROR(INDEX(DATA_PROPERTY_MASTER!$B:$B,MATCH($B20,DATA_PROPERTY_MASTER!$A:$A,0)),"")</f>
        <v/>
      </c>
      <c r="D20" s="399"/>
      <c r="E20" s="399"/>
      <c r="F20" s="399"/>
      <c r="G20" s="400"/>
      <c r="H20" s="400"/>
      <c r="I20" s="400"/>
      <c r="J20" s="400"/>
      <c r="K20" s="401"/>
      <c r="L20" s="401"/>
      <c r="M20" s="402">
        <f t="shared" si="1"/>
        <v>0</v>
      </c>
      <c r="N20" s="403" t="str">
        <f t="shared" si="2"/>
        <v/>
      </c>
      <c r="O20" s="399"/>
      <c r="P20" s="399"/>
      <c r="Q20" s="399"/>
      <c r="R20" s="399"/>
      <c r="S20" s="399"/>
      <c r="T20" s="399"/>
      <c r="U20" s="399"/>
      <c r="V20" s="398" t="str">
        <f t="shared" si="3"/>
        <v>Blank</v>
      </c>
    </row>
    <row r="21" spans="1:22">
      <c r="A21" s="398" t="str">
        <f t="shared" si="0"/>
        <v/>
      </c>
      <c r="B21" s="399"/>
      <c r="C21" s="398" t="str">
        <f>IFERROR(INDEX(DATA_PROPERTY_MASTER!$B:$B,MATCH($B21,DATA_PROPERTY_MASTER!$A:$A,0)),"")</f>
        <v/>
      </c>
      <c r="D21" s="399"/>
      <c r="E21" s="399"/>
      <c r="F21" s="399"/>
      <c r="G21" s="400"/>
      <c r="H21" s="400"/>
      <c r="I21" s="400"/>
      <c r="J21" s="400"/>
      <c r="K21" s="401"/>
      <c r="L21" s="401"/>
      <c r="M21" s="402">
        <f t="shared" si="1"/>
        <v>0</v>
      </c>
      <c r="N21" s="403" t="str">
        <f t="shared" si="2"/>
        <v/>
      </c>
      <c r="O21" s="399"/>
      <c r="P21" s="399"/>
      <c r="Q21" s="399"/>
      <c r="R21" s="399"/>
      <c r="S21" s="399"/>
      <c r="T21" s="399"/>
      <c r="U21" s="399"/>
      <c r="V21" s="398" t="str">
        <f t="shared" si="3"/>
        <v>Blank</v>
      </c>
    </row>
    <row r="22" spans="1:22">
      <c r="A22" s="398" t="str">
        <f t="shared" si="0"/>
        <v/>
      </c>
      <c r="B22" s="399"/>
      <c r="C22" s="398" t="str">
        <f>IFERROR(INDEX(DATA_PROPERTY_MASTER!$B:$B,MATCH($B22,DATA_PROPERTY_MASTER!$A:$A,0)),"")</f>
        <v/>
      </c>
      <c r="D22" s="399"/>
      <c r="E22" s="399"/>
      <c r="F22" s="399"/>
      <c r="G22" s="400"/>
      <c r="H22" s="400"/>
      <c r="I22" s="400"/>
      <c r="J22" s="400"/>
      <c r="K22" s="401"/>
      <c r="L22" s="401"/>
      <c r="M22" s="402">
        <f t="shared" si="1"/>
        <v>0</v>
      </c>
      <c r="N22" s="403" t="str">
        <f t="shared" si="2"/>
        <v/>
      </c>
      <c r="O22" s="399"/>
      <c r="P22" s="399"/>
      <c r="Q22" s="399"/>
      <c r="R22" s="399"/>
      <c r="S22" s="399"/>
      <c r="T22" s="399"/>
      <c r="U22" s="399"/>
      <c r="V22" s="398" t="str">
        <f t="shared" si="3"/>
        <v>Blank</v>
      </c>
    </row>
    <row r="23" spans="1:22">
      <c r="A23" s="398" t="str">
        <f t="shared" si="0"/>
        <v/>
      </c>
      <c r="B23" s="399"/>
      <c r="C23" s="398" t="str">
        <f>IFERROR(INDEX(DATA_PROPERTY_MASTER!$B:$B,MATCH($B23,DATA_PROPERTY_MASTER!$A:$A,0)),"")</f>
        <v/>
      </c>
      <c r="D23" s="399"/>
      <c r="E23" s="399"/>
      <c r="F23" s="399"/>
      <c r="G23" s="400"/>
      <c r="H23" s="400"/>
      <c r="I23" s="400"/>
      <c r="J23" s="400"/>
      <c r="K23" s="401"/>
      <c r="L23" s="401"/>
      <c r="M23" s="402">
        <f t="shared" si="1"/>
        <v>0</v>
      </c>
      <c r="N23" s="403" t="str">
        <f t="shared" si="2"/>
        <v/>
      </c>
      <c r="O23" s="399"/>
      <c r="P23" s="399"/>
      <c r="Q23" s="399"/>
      <c r="R23" s="399"/>
      <c r="S23" s="399"/>
      <c r="T23" s="399"/>
      <c r="U23" s="399"/>
      <c r="V23" s="398" t="str">
        <f t="shared" si="3"/>
        <v>Blank</v>
      </c>
    </row>
    <row r="24" spans="1:22">
      <c r="A24" s="398" t="str">
        <f t="shared" si="0"/>
        <v/>
      </c>
      <c r="B24" s="399"/>
      <c r="C24" s="398" t="str">
        <f>IFERROR(INDEX(DATA_PROPERTY_MASTER!$B:$B,MATCH($B24,DATA_PROPERTY_MASTER!$A:$A,0)),"")</f>
        <v/>
      </c>
      <c r="D24" s="399"/>
      <c r="E24" s="399"/>
      <c r="F24" s="399"/>
      <c r="G24" s="400"/>
      <c r="H24" s="400"/>
      <c r="I24" s="400"/>
      <c r="J24" s="400"/>
      <c r="K24" s="401"/>
      <c r="L24" s="401"/>
      <c r="M24" s="402">
        <f t="shared" si="1"/>
        <v>0</v>
      </c>
      <c r="N24" s="403" t="str">
        <f t="shared" si="2"/>
        <v/>
      </c>
      <c r="O24" s="399"/>
      <c r="P24" s="399"/>
      <c r="Q24" s="399"/>
      <c r="R24" s="399"/>
      <c r="S24" s="399"/>
      <c r="T24" s="399"/>
      <c r="U24" s="399"/>
      <c r="V24" s="398" t="str">
        <f t="shared" si="3"/>
        <v>Blank</v>
      </c>
    </row>
    <row r="25" spans="1:22">
      <c r="A25" s="398" t="str">
        <f t="shared" si="0"/>
        <v/>
      </c>
      <c r="B25" s="399"/>
      <c r="C25" s="398" t="str">
        <f>IFERROR(INDEX(DATA_PROPERTY_MASTER!$B:$B,MATCH($B25,DATA_PROPERTY_MASTER!$A:$A,0)),"")</f>
        <v/>
      </c>
      <c r="D25" s="399"/>
      <c r="E25" s="399"/>
      <c r="F25" s="399"/>
      <c r="G25" s="400"/>
      <c r="H25" s="400"/>
      <c r="I25" s="400"/>
      <c r="J25" s="400"/>
      <c r="K25" s="401"/>
      <c r="L25" s="401"/>
      <c r="M25" s="402">
        <f t="shared" si="1"/>
        <v>0</v>
      </c>
      <c r="N25" s="403" t="str">
        <f t="shared" si="2"/>
        <v/>
      </c>
      <c r="O25" s="399"/>
      <c r="P25" s="399"/>
      <c r="Q25" s="399"/>
      <c r="R25" s="399"/>
      <c r="S25" s="399"/>
      <c r="T25" s="399"/>
      <c r="U25" s="399"/>
      <c r="V25" s="398" t="str">
        <f t="shared" si="3"/>
        <v>Blank</v>
      </c>
    </row>
    <row r="26" spans="1:22">
      <c r="A26" s="398" t="str">
        <f t="shared" si="0"/>
        <v/>
      </c>
      <c r="B26" s="399"/>
      <c r="C26" s="398" t="str">
        <f>IFERROR(INDEX(DATA_PROPERTY_MASTER!$B:$B,MATCH($B26,DATA_PROPERTY_MASTER!$A:$A,0)),"")</f>
        <v/>
      </c>
      <c r="D26" s="399"/>
      <c r="E26" s="399"/>
      <c r="F26" s="399"/>
      <c r="G26" s="400"/>
      <c r="H26" s="400"/>
      <c r="I26" s="400"/>
      <c r="J26" s="400"/>
      <c r="K26" s="401"/>
      <c r="L26" s="401"/>
      <c r="M26" s="402">
        <f t="shared" si="1"/>
        <v>0</v>
      </c>
      <c r="N26" s="403" t="str">
        <f t="shared" si="2"/>
        <v/>
      </c>
      <c r="O26" s="399"/>
      <c r="P26" s="399"/>
      <c r="Q26" s="399"/>
      <c r="R26" s="399"/>
      <c r="S26" s="399"/>
      <c r="T26" s="399"/>
      <c r="U26" s="399"/>
      <c r="V26" s="398" t="str">
        <f t="shared" si="3"/>
        <v>Blank</v>
      </c>
    </row>
    <row r="27" spans="1:22">
      <c r="A27" s="398" t="str">
        <f t="shared" si="0"/>
        <v/>
      </c>
      <c r="B27" s="399"/>
      <c r="C27" s="398" t="str">
        <f>IFERROR(INDEX(DATA_PROPERTY_MASTER!$B:$B,MATCH($B27,DATA_PROPERTY_MASTER!$A:$A,0)),"")</f>
        <v/>
      </c>
      <c r="D27" s="399"/>
      <c r="E27" s="399"/>
      <c r="F27" s="399"/>
      <c r="G27" s="400"/>
      <c r="H27" s="400"/>
      <c r="I27" s="400"/>
      <c r="J27" s="400"/>
      <c r="K27" s="401"/>
      <c r="L27" s="401"/>
      <c r="M27" s="402">
        <f t="shared" si="1"/>
        <v>0</v>
      </c>
      <c r="N27" s="403" t="str">
        <f t="shared" si="2"/>
        <v/>
      </c>
      <c r="O27" s="399"/>
      <c r="P27" s="399"/>
      <c r="Q27" s="399"/>
      <c r="R27" s="399"/>
      <c r="S27" s="399"/>
      <c r="T27" s="399"/>
      <c r="U27" s="399"/>
      <c r="V27" s="398" t="str">
        <f t="shared" si="3"/>
        <v>Blank</v>
      </c>
    </row>
    <row r="28" spans="1:22">
      <c r="A28" s="398" t="str">
        <f t="shared" si="0"/>
        <v/>
      </c>
      <c r="B28" s="399"/>
      <c r="C28" s="398" t="str">
        <f>IFERROR(INDEX(DATA_PROPERTY_MASTER!$B:$B,MATCH($B28,DATA_PROPERTY_MASTER!$A:$A,0)),"")</f>
        <v/>
      </c>
      <c r="D28" s="399"/>
      <c r="E28" s="399"/>
      <c r="F28" s="399"/>
      <c r="G28" s="400"/>
      <c r="H28" s="400"/>
      <c r="I28" s="400"/>
      <c r="J28" s="400"/>
      <c r="K28" s="401"/>
      <c r="L28" s="401"/>
      <c r="M28" s="402">
        <f t="shared" si="1"/>
        <v>0</v>
      </c>
      <c r="N28" s="403" t="str">
        <f t="shared" si="2"/>
        <v/>
      </c>
      <c r="O28" s="399"/>
      <c r="P28" s="399"/>
      <c r="Q28" s="399"/>
      <c r="R28" s="399"/>
      <c r="S28" s="399"/>
      <c r="T28" s="399"/>
      <c r="U28" s="399"/>
      <c r="V28" s="398" t="str">
        <f t="shared" si="3"/>
        <v>Blank</v>
      </c>
    </row>
    <row r="29" spans="1:22">
      <c r="A29" s="398" t="str">
        <f t="shared" si="0"/>
        <v/>
      </c>
      <c r="B29" s="399"/>
      <c r="C29" s="398" t="str">
        <f>IFERROR(INDEX(DATA_PROPERTY_MASTER!$B:$B,MATCH($B29,DATA_PROPERTY_MASTER!$A:$A,0)),"")</f>
        <v/>
      </c>
      <c r="D29" s="399"/>
      <c r="E29" s="399"/>
      <c r="F29" s="399"/>
      <c r="G29" s="400"/>
      <c r="H29" s="400"/>
      <c r="I29" s="400"/>
      <c r="J29" s="400"/>
      <c r="K29" s="401"/>
      <c r="L29" s="401"/>
      <c r="M29" s="402">
        <f t="shared" si="1"/>
        <v>0</v>
      </c>
      <c r="N29" s="403" t="str">
        <f t="shared" si="2"/>
        <v/>
      </c>
      <c r="O29" s="399"/>
      <c r="P29" s="399"/>
      <c r="Q29" s="399"/>
      <c r="R29" s="399"/>
      <c r="S29" s="399"/>
      <c r="T29" s="399"/>
      <c r="U29" s="399"/>
      <c r="V29" s="398" t="str">
        <f t="shared" si="3"/>
        <v>Blank</v>
      </c>
    </row>
    <row r="30" spans="1:22">
      <c r="A30" s="398" t="str">
        <f t="shared" si="0"/>
        <v/>
      </c>
      <c r="B30" s="399"/>
      <c r="C30" s="398" t="str">
        <f>IFERROR(INDEX(DATA_PROPERTY_MASTER!$B:$B,MATCH($B30,DATA_PROPERTY_MASTER!$A:$A,0)),"")</f>
        <v/>
      </c>
      <c r="D30" s="399"/>
      <c r="E30" s="399"/>
      <c r="F30" s="399"/>
      <c r="G30" s="400"/>
      <c r="H30" s="400"/>
      <c r="I30" s="400"/>
      <c r="J30" s="400"/>
      <c r="K30" s="401"/>
      <c r="L30" s="401"/>
      <c r="M30" s="402">
        <f t="shared" si="1"/>
        <v>0</v>
      </c>
      <c r="N30" s="403" t="str">
        <f t="shared" si="2"/>
        <v/>
      </c>
      <c r="O30" s="399"/>
      <c r="P30" s="399"/>
      <c r="Q30" s="399"/>
      <c r="R30" s="399"/>
      <c r="S30" s="399"/>
      <c r="T30" s="399"/>
      <c r="U30" s="399"/>
      <c r="V30" s="398" t="str">
        <f t="shared" si="3"/>
        <v>Blank</v>
      </c>
    </row>
    <row r="31" spans="1:22">
      <c r="A31" s="398" t="str">
        <f t="shared" si="0"/>
        <v/>
      </c>
      <c r="B31" s="399"/>
      <c r="C31" s="398" t="str">
        <f>IFERROR(INDEX(DATA_PROPERTY_MASTER!$B:$B,MATCH($B31,DATA_PROPERTY_MASTER!$A:$A,0)),"")</f>
        <v/>
      </c>
      <c r="D31" s="399"/>
      <c r="E31" s="399"/>
      <c r="F31" s="399"/>
      <c r="G31" s="400"/>
      <c r="H31" s="400"/>
      <c r="I31" s="400"/>
      <c r="J31" s="400"/>
      <c r="K31" s="401"/>
      <c r="L31" s="401"/>
      <c r="M31" s="402">
        <f t="shared" si="1"/>
        <v>0</v>
      </c>
      <c r="N31" s="403" t="str">
        <f t="shared" si="2"/>
        <v/>
      </c>
      <c r="O31" s="399"/>
      <c r="P31" s="399"/>
      <c r="Q31" s="399"/>
      <c r="R31" s="399"/>
      <c r="S31" s="399"/>
      <c r="T31" s="399"/>
      <c r="U31" s="399"/>
      <c r="V31" s="398" t="str">
        <f t="shared" si="3"/>
        <v>Blank</v>
      </c>
    </row>
    <row r="32" spans="1:22">
      <c r="A32" s="398" t="str">
        <f t="shared" si="0"/>
        <v/>
      </c>
      <c r="B32" s="399"/>
      <c r="C32" s="398" t="str">
        <f>IFERROR(INDEX(DATA_PROPERTY_MASTER!$B:$B,MATCH($B32,DATA_PROPERTY_MASTER!$A:$A,0)),"")</f>
        <v/>
      </c>
      <c r="D32" s="399"/>
      <c r="E32" s="399"/>
      <c r="F32" s="399"/>
      <c r="G32" s="400"/>
      <c r="H32" s="400"/>
      <c r="I32" s="400"/>
      <c r="J32" s="400"/>
      <c r="K32" s="401"/>
      <c r="L32" s="401"/>
      <c r="M32" s="402">
        <f t="shared" si="1"/>
        <v>0</v>
      </c>
      <c r="N32" s="403" t="str">
        <f t="shared" si="2"/>
        <v/>
      </c>
      <c r="O32" s="399"/>
      <c r="P32" s="399"/>
      <c r="Q32" s="399"/>
      <c r="R32" s="399"/>
      <c r="S32" s="399"/>
      <c r="T32" s="399"/>
      <c r="U32" s="399"/>
      <c r="V32" s="398" t="str">
        <f t="shared" si="3"/>
        <v>Blank</v>
      </c>
    </row>
    <row r="33" spans="1:22">
      <c r="A33" s="398" t="str">
        <f t="shared" si="0"/>
        <v/>
      </c>
      <c r="B33" s="399"/>
      <c r="C33" s="398" t="str">
        <f>IFERROR(INDEX(DATA_PROPERTY_MASTER!$B:$B,MATCH($B33,DATA_PROPERTY_MASTER!$A:$A,0)),"")</f>
        <v/>
      </c>
      <c r="D33" s="399"/>
      <c r="E33" s="399"/>
      <c r="F33" s="399"/>
      <c r="G33" s="400"/>
      <c r="H33" s="400"/>
      <c r="I33" s="400"/>
      <c r="J33" s="400"/>
      <c r="K33" s="401"/>
      <c r="L33" s="401"/>
      <c r="M33" s="402">
        <f t="shared" si="1"/>
        <v>0</v>
      </c>
      <c r="N33" s="403" t="str">
        <f t="shared" si="2"/>
        <v/>
      </c>
      <c r="O33" s="399"/>
      <c r="P33" s="399"/>
      <c r="Q33" s="399"/>
      <c r="R33" s="399"/>
      <c r="S33" s="399"/>
      <c r="T33" s="399"/>
      <c r="U33" s="399"/>
      <c r="V33" s="398" t="str">
        <f t="shared" si="3"/>
        <v>Blank</v>
      </c>
    </row>
    <row r="34" spans="1:22">
      <c r="A34" s="398" t="str">
        <f t="shared" si="0"/>
        <v/>
      </c>
      <c r="B34" s="399"/>
      <c r="C34" s="398" t="str">
        <f>IFERROR(INDEX(DATA_PROPERTY_MASTER!$B:$B,MATCH($B34,DATA_PROPERTY_MASTER!$A:$A,0)),"")</f>
        <v/>
      </c>
      <c r="D34" s="399"/>
      <c r="E34" s="399"/>
      <c r="F34" s="399"/>
      <c r="G34" s="400"/>
      <c r="H34" s="400"/>
      <c r="I34" s="400"/>
      <c r="J34" s="400"/>
      <c r="K34" s="401"/>
      <c r="L34" s="401"/>
      <c r="M34" s="402">
        <f t="shared" si="1"/>
        <v>0</v>
      </c>
      <c r="N34" s="403" t="str">
        <f t="shared" si="2"/>
        <v/>
      </c>
      <c r="O34" s="399"/>
      <c r="P34" s="399"/>
      <c r="Q34" s="399"/>
      <c r="R34" s="399"/>
      <c r="S34" s="399"/>
      <c r="T34" s="399"/>
      <c r="U34" s="399"/>
      <c r="V34" s="398" t="str">
        <f t="shared" si="3"/>
        <v>Blank</v>
      </c>
    </row>
    <row r="35" spans="1:22">
      <c r="A35" s="398" t="str">
        <f t="shared" si="0"/>
        <v/>
      </c>
      <c r="B35" s="399"/>
      <c r="C35" s="398" t="str">
        <f>IFERROR(INDEX(DATA_PROPERTY_MASTER!$B:$B,MATCH($B35,DATA_PROPERTY_MASTER!$A:$A,0)),"")</f>
        <v/>
      </c>
      <c r="D35" s="399"/>
      <c r="E35" s="399"/>
      <c r="F35" s="399"/>
      <c r="G35" s="400"/>
      <c r="H35" s="400"/>
      <c r="I35" s="400"/>
      <c r="J35" s="400"/>
      <c r="K35" s="401"/>
      <c r="L35" s="401"/>
      <c r="M35" s="402">
        <f t="shared" si="1"/>
        <v>0</v>
      </c>
      <c r="N35" s="403" t="str">
        <f t="shared" si="2"/>
        <v/>
      </c>
      <c r="O35" s="399"/>
      <c r="P35" s="399"/>
      <c r="Q35" s="399"/>
      <c r="R35" s="399"/>
      <c r="S35" s="399"/>
      <c r="T35" s="399"/>
      <c r="U35" s="399"/>
      <c r="V35" s="398" t="str">
        <f t="shared" si="3"/>
        <v>Blank</v>
      </c>
    </row>
    <row r="36" spans="1:22">
      <c r="A36" s="398" t="str">
        <f t="shared" si="0"/>
        <v/>
      </c>
      <c r="B36" s="399"/>
      <c r="C36" s="398" t="str">
        <f>IFERROR(INDEX(DATA_PROPERTY_MASTER!$B:$B,MATCH($B36,DATA_PROPERTY_MASTER!$A:$A,0)),"")</f>
        <v/>
      </c>
      <c r="D36" s="399"/>
      <c r="E36" s="399"/>
      <c r="F36" s="399"/>
      <c r="G36" s="400"/>
      <c r="H36" s="400"/>
      <c r="I36" s="400"/>
      <c r="J36" s="400"/>
      <c r="K36" s="401"/>
      <c r="L36" s="401"/>
      <c r="M36" s="402">
        <f t="shared" si="1"/>
        <v>0</v>
      </c>
      <c r="N36" s="403" t="str">
        <f t="shared" si="2"/>
        <v/>
      </c>
      <c r="O36" s="399"/>
      <c r="P36" s="399"/>
      <c r="Q36" s="399"/>
      <c r="R36" s="399"/>
      <c r="S36" s="399"/>
      <c r="T36" s="399"/>
      <c r="U36" s="399"/>
      <c r="V36" s="398" t="str">
        <f t="shared" si="3"/>
        <v>Blank</v>
      </c>
    </row>
    <row r="37" spans="1:22">
      <c r="A37" s="398" t="str">
        <f t="shared" si="0"/>
        <v/>
      </c>
      <c r="B37" s="399"/>
      <c r="C37" s="398" t="str">
        <f>IFERROR(INDEX(DATA_PROPERTY_MASTER!$B:$B,MATCH($B37,DATA_PROPERTY_MASTER!$A:$A,0)),"")</f>
        <v/>
      </c>
      <c r="D37" s="399"/>
      <c r="E37" s="399"/>
      <c r="F37" s="399"/>
      <c r="G37" s="400"/>
      <c r="H37" s="400"/>
      <c r="I37" s="400"/>
      <c r="J37" s="400"/>
      <c r="K37" s="401"/>
      <c r="L37" s="401"/>
      <c r="M37" s="402">
        <f t="shared" si="1"/>
        <v>0</v>
      </c>
      <c r="N37" s="403" t="str">
        <f t="shared" si="2"/>
        <v/>
      </c>
      <c r="O37" s="399"/>
      <c r="P37" s="399"/>
      <c r="Q37" s="399"/>
      <c r="R37" s="399"/>
      <c r="S37" s="399"/>
      <c r="T37" s="399"/>
      <c r="U37" s="399"/>
      <c r="V37" s="398" t="str">
        <f t="shared" si="3"/>
        <v>Blank</v>
      </c>
    </row>
    <row r="38" spans="1:22">
      <c r="A38" s="398" t="str">
        <f t="shared" si="0"/>
        <v/>
      </c>
      <c r="B38" s="399"/>
      <c r="C38" s="398" t="str">
        <f>IFERROR(INDEX(DATA_PROPERTY_MASTER!$B:$B,MATCH($B38,DATA_PROPERTY_MASTER!$A:$A,0)),"")</f>
        <v/>
      </c>
      <c r="D38" s="399"/>
      <c r="E38" s="399"/>
      <c r="F38" s="399"/>
      <c r="G38" s="400"/>
      <c r="H38" s="400"/>
      <c r="I38" s="400"/>
      <c r="J38" s="400"/>
      <c r="K38" s="401"/>
      <c r="L38" s="401"/>
      <c r="M38" s="402">
        <f t="shared" si="1"/>
        <v>0</v>
      </c>
      <c r="N38" s="403" t="str">
        <f t="shared" si="2"/>
        <v/>
      </c>
      <c r="O38" s="399"/>
      <c r="P38" s="399"/>
      <c r="Q38" s="399"/>
      <c r="R38" s="399"/>
      <c r="S38" s="399"/>
      <c r="T38" s="399"/>
      <c r="U38" s="399"/>
      <c r="V38" s="398" t="str">
        <f t="shared" si="3"/>
        <v>Blank</v>
      </c>
    </row>
    <row r="39" spans="1:22">
      <c r="A39" s="398" t="str">
        <f t="shared" ref="A39:A70" si="4">IF($B39="","","UM-"&amp;TEXT(ROW()-6,"0000"))</f>
        <v/>
      </c>
      <c r="B39" s="399"/>
      <c r="C39" s="398" t="str">
        <f>IFERROR(INDEX(DATA_PROPERTY_MASTER!$B:$B,MATCH($B39,DATA_PROPERTY_MASTER!$A:$A,0)),"")</f>
        <v/>
      </c>
      <c r="D39" s="399"/>
      <c r="E39" s="399"/>
      <c r="F39" s="399"/>
      <c r="G39" s="400"/>
      <c r="H39" s="400"/>
      <c r="I39" s="400"/>
      <c r="J39" s="400"/>
      <c r="K39" s="401"/>
      <c r="L39" s="401"/>
      <c r="M39" s="402">
        <f t="shared" ref="M39:M70" si="5">IFERROR($G39*$K39,"")</f>
        <v>0</v>
      </c>
      <c r="N39" s="403" t="str">
        <f t="shared" ref="N39:N70" si="6">IFERROR(IF($L39&gt;0,1-($K39/$L39),""),"")</f>
        <v/>
      </c>
      <c r="O39" s="399"/>
      <c r="P39" s="399"/>
      <c r="Q39" s="399"/>
      <c r="R39" s="399"/>
      <c r="S39" s="399"/>
      <c r="T39" s="399"/>
      <c r="U39" s="399"/>
      <c r="V39" s="398" t="str">
        <f t="shared" ref="V39:V70" si="7">IF($B39="","Blank",IF(OR($G39="",$K39=""),"Review","OK"))</f>
        <v>Blank</v>
      </c>
    </row>
    <row r="40" spans="1:22">
      <c r="A40" s="398" t="str">
        <f t="shared" si="4"/>
        <v/>
      </c>
      <c r="B40" s="399"/>
      <c r="C40" s="398" t="str">
        <f>IFERROR(INDEX(DATA_PROPERTY_MASTER!$B:$B,MATCH($B40,DATA_PROPERTY_MASTER!$A:$A,0)),"")</f>
        <v/>
      </c>
      <c r="D40" s="399"/>
      <c r="E40" s="399"/>
      <c r="F40" s="399"/>
      <c r="G40" s="400"/>
      <c r="H40" s="400"/>
      <c r="I40" s="400"/>
      <c r="J40" s="400"/>
      <c r="K40" s="401"/>
      <c r="L40" s="401"/>
      <c r="M40" s="402">
        <f t="shared" si="5"/>
        <v>0</v>
      </c>
      <c r="N40" s="403" t="str">
        <f t="shared" si="6"/>
        <v/>
      </c>
      <c r="O40" s="399"/>
      <c r="P40" s="399"/>
      <c r="Q40" s="399"/>
      <c r="R40" s="399"/>
      <c r="S40" s="399"/>
      <c r="T40" s="399"/>
      <c r="U40" s="399"/>
      <c r="V40" s="398" t="str">
        <f t="shared" si="7"/>
        <v>Blank</v>
      </c>
    </row>
    <row r="41" spans="1:22">
      <c r="A41" s="398" t="str">
        <f t="shared" si="4"/>
        <v/>
      </c>
      <c r="B41" s="399"/>
      <c r="C41" s="398" t="str">
        <f>IFERROR(INDEX(DATA_PROPERTY_MASTER!$B:$B,MATCH($B41,DATA_PROPERTY_MASTER!$A:$A,0)),"")</f>
        <v/>
      </c>
      <c r="D41" s="399"/>
      <c r="E41" s="399"/>
      <c r="F41" s="399"/>
      <c r="G41" s="400"/>
      <c r="H41" s="400"/>
      <c r="I41" s="400"/>
      <c r="J41" s="400"/>
      <c r="K41" s="401"/>
      <c r="L41" s="401"/>
      <c r="M41" s="402">
        <f t="shared" si="5"/>
        <v>0</v>
      </c>
      <c r="N41" s="403" t="str">
        <f t="shared" si="6"/>
        <v/>
      </c>
      <c r="O41" s="399"/>
      <c r="P41" s="399"/>
      <c r="Q41" s="399"/>
      <c r="R41" s="399"/>
      <c r="S41" s="399"/>
      <c r="T41" s="399"/>
      <c r="U41" s="399"/>
      <c r="V41" s="398" t="str">
        <f t="shared" si="7"/>
        <v>Blank</v>
      </c>
    </row>
    <row r="42" spans="1:22">
      <c r="A42" s="398" t="str">
        <f t="shared" si="4"/>
        <v/>
      </c>
      <c r="B42" s="399"/>
      <c r="C42" s="398" t="str">
        <f>IFERROR(INDEX(DATA_PROPERTY_MASTER!$B:$B,MATCH($B42,DATA_PROPERTY_MASTER!$A:$A,0)),"")</f>
        <v/>
      </c>
      <c r="D42" s="399"/>
      <c r="E42" s="399"/>
      <c r="F42" s="399"/>
      <c r="G42" s="400"/>
      <c r="H42" s="400"/>
      <c r="I42" s="400"/>
      <c r="J42" s="400"/>
      <c r="K42" s="401"/>
      <c r="L42" s="401"/>
      <c r="M42" s="402">
        <f t="shared" si="5"/>
        <v>0</v>
      </c>
      <c r="N42" s="403" t="str">
        <f t="shared" si="6"/>
        <v/>
      </c>
      <c r="O42" s="399"/>
      <c r="P42" s="399"/>
      <c r="Q42" s="399"/>
      <c r="R42" s="399"/>
      <c r="S42" s="399"/>
      <c r="T42" s="399"/>
      <c r="U42" s="399"/>
      <c r="V42" s="398" t="str">
        <f t="shared" si="7"/>
        <v>Blank</v>
      </c>
    </row>
    <row r="43" spans="1:22">
      <c r="A43" s="398" t="str">
        <f t="shared" si="4"/>
        <v/>
      </c>
      <c r="B43" s="399"/>
      <c r="C43" s="398" t="str">
        <f>IFERROR(INDEX(DATA_PROPERTY_MASTER!$B:$B,MATCH($B43,DATA_PROPERTY_MASTER!$A:$A,0)),"")</f>
        <v/>
      </c>
      <c r="D43" s="399"/>
      <c r="E43" s="399"/>
      <c r="F43" s="399"/>
      <c r="G43" s="400"/>
      <c r="H43" s="400"/>
      <c r="I43" s="400"/>
      <c r="J43" s="400"/>
      <c r="K43" s="401"/>
      <c r="L43" s="401"/>
      <c r="M43" s="402">
        <f t="shared" si="5"/>
        <v>0</v>
      </c>
      <c r="N43" s="403" t="str">
        <f t="shared" si="6"/>
        <v/>
      </c>
      <c r="O43" s="399"/>
      <c r="P43" s="399"/>
      <c r="Q43" s="399"/>
      <c r="R43" s="399"/>
      <c r="S43" s="399"/>
      <c r="T43" s="399"/>
      <c r="U43" s="399"/>
      <c r="V43" s="398" t="str">
        <f t="shared" si="7"/>
        <v>Blank</v>
      </c>
    </row>
    <row r="44" spans="1:22">
      <c r="A44" s="398" t="str">
        <f t="shared" si="4"/>
        <v/>
      </c>
      <c r="B44" s="399"/>
      <c r="C44" s="398" t="str">
        <f>IFERROR(INDEX(DATA_PROPERTY_MASTER!$B:$B,MATCH($B44,DATA_PROPERTY_MASTER!$A:$A,0)),"")</f>
        <v/>
      </c>
      <c r="D44" s="399"/>
      <c r="E44" s="399"/>
      <c r="F44" s="399"/>
      <c r="G44" s="400"/>
      <c r="H44" s="400"/>
      <c r="I44" s="400"/>
      <c r="J44" s="400"/>
      <c r="K44" s="401"/>
      <c r="L44" s="401"/>
      <c r="M44" s="402">
        <f t="shared" si="5"/>
        <v>0</v>
      </c>
      <c r="N44" s="403" t="str">
        <f t="shared" si="6"/>
        <v/>
      </c>
      <c r="O44" s="399"/>
      <c r="P44" s="399"/>
      <c r="Q44" s="399"/>
      <c r="R44" s="399"/>
      <c r="S44" s="399"/>
      <c r="T44" s="399"/>
      <c r="U44" s="399"/>
      <c r="V44" s="398" t="str">
        <f t="shared" si="7"/>
        <v>Blank</v>
      </c>
    </row>
    <row r="45" spans="1:22">
      <c r="A45" s="398" t="str">
        <f t="shared" si="4"/>
        <v/>
      </c>
      <c r="B45" s="399"/>
      <c r="C45" s="398" t="str">
        <f>IFERROR(INDEX(DATA_PROPERTY_MASTER!$B:$B,MATCH($B45,DATA_PROPERTY_MASTER!$A:$A,0)),"")</f>
        <v/>
      </c>
      <c r="D45" s="399"/>
      <c r="E45" s="399"/>
      <c r="F45" s="399"/>
      <c r="G45" s="400"/>
      <c r="H45" s="400"/>
      <c r="I45" s="400"/>
      <c r="J45" s="400"/>
      <c r="K45" s="401"/>
      <c r="L45" s="401"/>
      <c r="M45" s="402">
        <f t="shared" si="5"/>
        <v>0</v>
      </c>
      <c r="N45" s="403" t="str">
        <f t="shared" si="6"/>
        <v/>
      </c>
      <c r="O45" s="399"/>
      <c r="P45" s="399"/>
      <c r="Q45" s="399"/>
      <c r="R45" s="399"/>
      <c r="S45" s="399"/>
      <c r="T45" s="399"/>
      <c r="U45" s="399"/>
      <c r="V45" s="398" t="str">
        <f t="shared" si="7"/>
        <v>Blank</v>
      </c>
    </row>
    <row r="46" spans="1:22">
      <c r="A46" s="398" t="str">
        <f t="shared" si="4"/>
        <v/>
      </c>
      <c r="B46" s="399"/>
      <c r="C46" s="398" t="str">
        <f>IFERROR(INDEX(DATA_PROPERTY_MASTER!$B:$B,MATCH($B46,DATA_PROPERTY_MASTER!$A:$A,0)),"")</f>
        <v/>
      </c>
      <c r="D46" s="399"/>
      <c r="E46" s="399"/>
      <c r="F46" s="399"/>
      <c r="G46" s="400"/>
      <c r="H46" s="400"/>
      <c r="I46" s="400"/>
      <c r="J46" s="400"/>
      <c r="K46" s="401"/>
      <c r="L46" s="401"/>
      <c r="M46" s="402">
        <f t="shared" si="5"/>
        <v>0</v>
      </c>
      <c r="N46" s="403" t="str">
        <f t="shared" si="6"/>
        <v/>
      </c>
      <c r="O46" s="399"/>
      <c r="P46" s="399"/>
      <c r="Q46" s="399"/>
      <c r="R46" s="399"/>
      <c r="S46" s="399"/>
      <c r="T46" s="399"/>
      <c r="U46" s="399"/>
      <c r="V46" s="398" t="str">
        <f t="shared" si="7"/>
        <v>Blank</v>
      </c>
    </row>
    <row r="47" spans="1:22">
      <c r="A47" s="398" t="str">
        <f t="shared" si="4"/>
        <v/>
      </c>
      <c r="B47" s="399"/>
      <c r="C47" s="398" t="str">
        <f>IFERROR(INDEX(DATA_PROPERTY_MASTER!$B:$B,MATCH($B47,DATA_PROPERTY_MASTER!$A:$A,0)),"")</f>
        <v/>
      </c>
      <c r="D47" s="399"/>
      <c r="E47" s="399"/>
      <c r="F47" s="399"/>
      <c r="G47" s="400"/>
      <c r="H47" s="400"/>
      <c r="I47" s="400"/>
      <c r="J47" s="400"/>
      <c r="K47" s="401"/>
      <c r="L47" s="401"/>
      <c r="M47" s="402">
        <f t="shared" si="5"/>
        <v>0</v>
      </c>
      <c r="N47" s="403" t="str">
        <f t="shared" si="6"/>
        <v/>
      </c>
      <c r="O47" s="399"/>
      <c r="P47" s="399"/>
      <c r="Q47" s="399"/>
      <c r="R47" s="399"/>
      <c r="S47" s="399"/>
      <c r="T47" s="399"/>
      <c r="U47" s="399"/>
      <c r="V47" s="398" t="str">
        <f t="shared" si="7"/>
        <v>Blank</v>
      </c>
    </row>
    <row r="48" spans="1:22">
      <c r="A48" s="398" t="str">
        <f t="shared" si="4"/>
        <v/>
      </c>
      <c r="B48" s="399"/>
      <c r="C48" s="398" t="str">
        <f>IFERROR(INDEX(DATA_PROPERTY_MASTER!$B:$B,MATCH($B48,DATA_PROPERTY_MASTER!$A:$A,0)),"")</f>
        <v/>
      </c>
      <c r="D48" s="399"/>
      <c r="E48" s="399"/>
      <c r="F48" s="399"/>
      <c r="G48" s="400"/>
      <c r="H48" s="400"/>
      <c r="I48" s="400"/>
      <c r="J48" s="400"/>
      <c r="K48" s="401"/>
      <c r="L48" s="401"/>
      <c r="M48" s="402">
        <f t="shared" si="5"/>
        <v>0</v>
      </c>
      <c r="N48" s="403" t="str">
        <f t="shared" si="6"/>
        <v/>
      </c>
      <c r="O48" s="399"/>
      <c r="P48" s="399"/>
      <c r="Q48" s="399"/>
      <c r="R48" s="399"/>
      <c r="S48" s="399"/>
      <c r="T48" s="399"/>
      <c r="U48" s="399"/>
      <c r="V48" s="398" t="str">
        <f t="shared" si="7"/>
        <v>Blank</v>
      </c>
    </row>
    <row r="49" spans="1:22">
      <c r="A49" s="398" t="str">
        <f t="shared" si="4"/>
        <v/>
      </c>
      <c r="B49" s="399"/>
      <c r="C49" s="398" t="str">
        <f>IFERROR(INDEX(DATA_PROPERTY_MASTER!$B:$B,MATCH($B49,DATA_PROPERTY_MASTER!$A:$A,0)),"")</f>
        <v/>
      </c>
      <c r="D49" s="399"/>
      <c r="E49" s="399"/>
      <c r="F49" s="399"/>
      <c r="G49" s="400"/>
      <c r="H49" s="400"/>
      <c r="I49" s="400"/>
      <c r="J49" s="400"/>
      <c r="K49" s="401"/>
      <c r="L49" s="401"/>
      <c r="M49" s="402">
        <f t="shared" si="5"/>
        <v>0</v>
      </c>
      <c r="N49" s="403" t="str">
        <f t="shared" si="6"/>
        <v/>
      </c>
      <c r="O49" s="399"/>
      <c r="P49" s="399"/>
      <c r="Q49" s="399"/>
      <c r="R49" s="399"/>
      <c r="S49" s="399"/>
      <c r="T49" s="399"/>
      <c r="U49" s="399"/>
      <c r="V49" s="398" t="str">
        <f t="shared" si="7"/>
        <v>Blank</v>
      </c>
    </row>
    <row r="50" spans="1:22">
      <c r="A50" s="398" t="str">
        <f t="shared" si="4"/>
        <v/>
      </c>
      <c r="B50" s="399"/>
      <c r="C50" s="398" t="str">
        <f>IFERROR(INDEX(DATA_PROPERTY_MASTER!$B:$B,MATCH($B50,DATA_PROPERTY_MASTER!$A:$A,0)),"")</f>
        <v/>
      </c>
      <c r="D50" s="399"/>
      <c r="E50" s="399"/>
      <c r="F50" s="399"/>
      <c r="G50" s="400"/>
      <c r="H50" s="400"/>
      <c r="I50" s="400"/>
      <c r="J50" s="400"/>
      <c r="K50" s="401"/>
      <c r="L50" s="401"/>
      <c r="M50" s="402">
        <f t="shared" si="5"/>
        <v>0</v>
      </c>
      <c r="N50" s="403" t="str">
        <f t="shared" si="6"/>
        <v/>
      </c>
      <c r="O50" s="399"/>
      <c r="P50" s="399"/>
      <c r="Q50" s="399"/>
      <c r="R50" s="399"/>
      <c r="S50" s="399"/>
      <c r="T50" s="399"/>
      <c r="U50" s="399"/>
      <c r="V50" s="398" t="str">
        <f t="shared" si="7"/>
        <v>Blank</v>
      </c>
    </row>
    <row r="51" spans="1:22">
      <c r="A51" s="398" t="str">
        <f t="shared" si="4"/>
        <v/>
      </c>
      <c r="B51" s="399"/>
      <c r="C51" s="398" t="str">
        <f>IFERROR(INDEX(DATA_PROPERTY_MASTER!$B:$B,MATCH($B51,DATA_PROPERTY_MASTER!$A:$A,0)),"")</f>
        <v/>
      </c>
      <c r="D51" s="399"/>
      <c r="E51" s="399"/>
      <c r="F51" s="399"/>
      <c r="G51" s="400"/>
      <c r="H51" s="400"/>
      <c r="I51" s="400"/>
      <c r="J51" s="400"/>
      <c r="K51" s="401"/>
      <c r="L51" s="401"/>
      <c r="M51" s="402">
        <f t="shared" si="5"/>
        <v>0</v>
      </c>
      <c r="N51" s="403" t="str">
        <f t="shared" si="6"/>
        <v/>
      </c>
      <c r="O51" s="399"/>
      <c r="P51" s="399"/>
      <c r="Q51" s="399"/>
      <c r="R51" s="399"/>
      <c r="S51" s="399"/>
      <c r="T51" s="399"/>
      <c r="U51" s="399"/>
      <c r="V51" s="398" t="str">
        <f t="shared" si="7"/>
        <v>Blank</v>
      </c>
    </row>
    <row r="52" spans="1:22">
      <c r="A52" s="398" t="str">
        <f t="shared" si="4"/>
        <v/>
      </c>
      <c r="B52" s="399"/>
      <c r="C52" s="398" t="str">
        <f>IFERROR(INDEX(DATA_PROPERTY_MASTER!$B:$B,MATCH($B52,DATA_PROPERTY_MASTER!$A:$A,0)),"")</f>
        <v/>
      </c>
      <c r="D52" s="399"/>
      <c r="E52" s="399"/>
      <c r="F52" s="399"/>
      <c r="G52" s="400"/>
      <c r="H52" s="400"/>
      <c r="I52" s="400"/>
      <c r="J52" s="400"/>
      <c r="K52" s="401"/>
      <c r="L52" s="401"/>
      <c r="M52" s="402">
        <f t="shared" si="5"/>
        <v>0</v>
      </c>
      <c r="N52" s="403" t="str">
        <f t="shared" si="6"/>
        <v/>
      </c>
      <c r="O52" s="399"/>
      <c r="P52" s="399"/>
      <c r="Q52" s="399"/>
      <c r="R52" s="399"/>
      <c r="S52" s="399"/>
      <c r="T52" s="399"/>
      <c r="U52" s="399"/>
      <c r="V52" s="398" t="str">
        <f t="shared" si="7"/>
        <v>Blank</v>
      </c>
    </row>
    <row r="53" spans="1:22">
      <c r="A53" s="398" t="str">
        <f t="shared" si="4"/>
        <v/>
      </c>
      <c r="B53" s="399"/>
      <c r="C53" s="398" t="str">
        <f>IFERROR(INDEX(DATA_PROPERTY_MASTER!$B:$B,MATCH($B53,DATA_PROPERTY_MASTER!$A:$A,0)),"")</f>
        <v/>
      </c>
      <c r="D53" s="399"/>
      <c r="E53" s="399"/>
      <c r="F53" s="399"/>
      <c r="G53" s="400"/>
      <c r="H53" s="400"/>
      <c r="I53" s="400"/>
      <c r="J53" s="400"/>
      <c r="K53" s="401"/>
      <c r="L53" s="401"/>
      <c r="M53" s="402">
        <f t="shared" si="5"/>
        <v>0</v>
      </c>
      <c r="N53" s="403" t="str">
        <f t="shared" si="6"/>
        <v/>
      </c>
      <c r="O53" s="399"/>
      <c r="P53" s="399"/>
      <c r="Q53" s="399"/>
      <c r="R53" s="399"/>
      <c r="S53" s="399"/>
      <c r="T53" s="399"/>
      <c r="U53" s="399"/>
      <c r="V53" s="398" t="str">
        <f t="shared" si="7"/>
        <v>Blank</v>
      </c>
    </row>
    <row r="54" spans="1:22">
      <c r="A54" s="398" t="str">
        <f t="shared" si="4"/>
        <v/>
      </c>
      <c r="B54" s="399"/>
      <c r="C54" s="398" t="str">
        <f>IFERROR(INDEX(DATA_PROPERTY_MASTER!$B:$B,MATCH($B54,DATA_PROPERTY_MASTER!$A:$A,0)),"")</f>
        <v/>
      </c>
      <c r="D54" s="399"/>
      <c r="E54" s="399"/>
      <c r="F54" s="399"/>
      <c r="G54" s="400"/>
      <c r="H54" s="400"/>
      <c r="I54" s="400"/>
      <c r="J54" s="400"/>
      <c r="K54" s="401"/>
      <c r="L54" s="401"/>
      <c r="M54" s="402">
        <f t="shared" si="5"/>
        <v>0</v>
      </c>
      <c r="N54" s="403" t="str">
        <f t="shared" si="6"/>
        <v/>
      </c>
      <c r="O54" s="399"/>
      <c r="P54" s="399"/>
      <c r="Q54" s="399"/>
      <c r="R54" s="399"/>
      <c r="S54" s="399"/>
      <c r="T54" s="399"/>
      <c r="U54" s="399"/>
      <c r="V54" s="398" t="str">
        <f t="shared" si="7"/>
        <v>Blank</v>
      </c>
    </row>
    <row r="55" spans="1:22">
      <c r="A55" s="398" t="str">
        <f t="shared" si="4"/>
        <v/>
      </c>
      <c r="B55" s="399"/>
      <c r="C55" s="398" t="str">
        <f>IFERROR(INDEX(DATA_PROPERTY_MASTER!$B:$B,MATCH($B55,DATA_PROPERTY_MASTER!$A:$A,0)),"")</f>
        <v/>
      </c>
      <c r="D55" s="399"/>
      <c r="E55" s="399"/>
      <c r="F55" s="399"/>
      <c r="G55" s="400"/>
      <c r="H55" s="400"/>
      <c r="I55" s="400"/>
      <c r="J55" s="400"/>
      <c r="K55" s="401"/>
      <c r="L55" s="401"/>
      <c r="M55" s="402">
        <f t="shared" si="5"/>
        <v>0</v>
      </c>
      <c r="N55" s="403" t="str">
        <f t="shared" si="6"/>
        <v/>
      </c>
      <c r="O55" s="399"/>
      <c r="P55" s="399"/>
      <c r="Q55" s="399"/>
      <c r="R55" s="399"/>
      <c r="S55" s="399"/>
      <c r="T55" s="399"/>
      <c r="U55" s="399"/>
      <c r="V55" s="398" t="str">
        <f t="shared" si="7"/>
        <v>Blank</v>
      </c>
    </row>
    <row r="56" spans="1:22">
      <c r="A56" s="398" t="str">
        <f t="shared" si="4"/>
        <v/>
      </c>
      <c r="B56" s="399"/>
      <c r="C56" s="398" t="str">
        <f>IFERROR(INDEX(DATA_PROPERTY_MASTER!$B:$B,MATCH($B56,DATA_PROPERTY_MASTER!$A:$A,0)),"")</f>
        <v/>
      </c>
      <c r="D56" s="399"/>
      <c r="E56" s="399"/>
      <c r="F56" s="399"/>
      <c r="G56" s="400"/>
      <c r="H56" s="400"/>
      <c r="I56" s="400"/>
      <c r="J56" s="400"/>
      <c r="K56" s="401"/>
      <c r="L56" s="401"/>
      <c r="M56" s="402">
        <f t="shared" si="5"/>
        <v>0</v>
      </c>
      <c r="N56" s="403" t="str">
        <f t="shared" si="6"/>
        <v/>
      </c>
      <c r="O56" s="399"/>
      <c r="P56" s="399"/>
      <c r="Q56" s="399"/>
      <c r="R56" s="399"/>
      <c r="S56" s="399"/>
      <c r="T56" s="399"/>
      <c r="U56" s="399"/>
      <c r="V56" s="398" t="str">
        <f t="shared" si="7"/>
        <v>Blank</v>
      </c>
    </row>
    <row r="57" spans="1:22">
      <c r="A57" s="398" t="str">
        <f t="shared" si="4"/>
        <v/>
      </c>
      <c r="B57" s="399"/>
      <c r="C57" s="398" t="str">
        <f>IFERROR(INDEX(DATA_PROPERTY_MASTER!$B:$B,MATCH($B57,DATA_PROPERTY_MASTER!$A:$A,0)),"")</f>
        <v/>
      </c>
      <c r="D57" s="399"/>
      <c r="E57" s="399"/>
      <c r="F57" s="399"/>
      <c r="G57" s="400"/>
      <c r="H57" s="400"/>
      <c r="I57" s="400"/>
      <c r="J57" s="400"/>
      <c r="K57" s="401"/>
      <c r="L57" s="401"/>
      <c r="M57" s="402">
        <f t="shared" si="5"/>
        <v>0</v>
      </c>
      <c r="N57" s="403" t="str">
        <f t="shared" si="6"/>
        <v/>
      </c>
      <c r="O57" s="399"/>
      <c r="P57" s="399"/>
      <c r="Q57" s="399"/>
      <c r="R57" s="399"/>
      <c r="S57" s="399"/>
      <c r="T57" s="399"/>
      <c r="U57" s="399"/>
      <c r="V57" s="398" t="str">
        <f t="shared" si="7"/>
        <v>Blank</v>
      </c>
    </row>
    <row r="58" spans="1:22">
      <c r="A58" s="398" t="str">
        <f t="shared" si="4"/>
        <v/>
      </c>
      <c r="B58" s="399"/>
      <c r="C58" s="398" t="str">
        <f>IFERROR(INDEX(DATA_PROPERTY_MASTER!$B:$B,MATCH($B58,DATA_PROPERTY_MASTER!$A:$A,0)),"")</f>
        <v/>
      </c>
      <c r="D58" s="399"/>
      <c r="E58" s="399"/>
      <c r="F58" s="399"/>
      <c r="G58" s="400"/>
      <c r="H58" s="400"/>
      <c r="I58" s="400"/>
      <c r="J58" s="400"/>
      <c r="K58" s="401"/>
      <c r="L58" s="401"/>
      <c r="M58" s="402">
        <f t="shared" si="5"/>
        <v>0</v>
      </c>
      <c r="N58" s="403" t="str">
        <f t="shared" si="6"/>
        <v/>
      </c>
      <c r="O58" s="399"/>
      <c r="P58" s="399"/>
      <c r="Q58" s="399"/>
      <c r="R58" s="399"/>
      <c r="S58" s="399"/>
      <c r="T58" s="399"/>
      <c r="U58" s="399"/>
      <c r="V58" s="398" t="str">
        <f t="shared" si="7"/>
        <v>Blank</v>
      </c>
    </row>
    <row r="59" spans="1:22">
      <c r="A59" s="398" t="str">
        <f t="shared" si="4"/>
        <v/>
      </c>
      <c r="B59" s="399"/>
      <c r="C59" s="398" t="str">
        <f>IFERROR(INDEX(DATA_PROPERTY_MASTER!$B:$B,MATCH($B59,DATA_PROPERTY_MASTER!$A:$A,0)),"")</f>
        <v/>
      </c>
      <c r="D59" s="399"/>
      <c r="E59" s="399"/>
      <c r="F59" s="399"/>
      <c r="G59" s="400"/>
      <c r="H59" s="400"/>
      <c r="I59" s="400"/>
      <c r="J59" s="400"/>
      <c r="K59" s="401"/>
      <c r="L59" s="401"/>
      <c r="M59" s="402">
        <f t="shared" si="5"/>
        <v>0</v>
      </c>
      <c r="N59" s="403" t="str">
        <f t="shared" si="6"/>
        <v/>
      </c>
      <c r="O59" s="399"/>
      <c r="P59" s="399"/>
      <c r="Q59" s="399"/>
      <c r="R59" s="399"/>
      <c r="S59" s="399"/>
      <c r="T59" s="399"/>
      <c r="U59" s="399"/>
      <c r="V59" s="398" t="str">
        <f t="shared" si="7"/>
        <v>Blank</v>
      </c>
    </row>
    <row r="60" spans="1:22">
      <c r="A60" s="398" t="str">
        <f t="shared" si="4"/>
        <v/>
      </c>
      <c r="B60" s="399"/>
      <c r="C60" s="398" t="str">
        <f>IFERROR(INDEX(DATA_PROPERTY_MASTER!$B:$B,MATCH($B60,DATA_PROPERTY_MASTER!$A:$A,0)),"")</f>
        <v/>
      </c>
      <c r="D60" s="399"/>
      <c r="E60" s="399"/>
      <c r="F60" s="399"/>
      <c r="G60" s="400"/>
      <c r="H60" s="400"/>
      <c r="I60" s="400"/>
      <c r="J60" s="400"/>
      <c r="K60" s="401"/>
      <c r="L60" s="401"/>
      <c r="M60" s="402">
        <f t="shared" si="5"/>
        <v>0</v>
      </c>
      <c r="N60" s="403" t="str">
        <f t="shared" si="6"/>
        <v/>
      </c>
      <c r="O60" s="399"/>
      <c r="P60" s="399"/>
      <c r="Q60" s="399"/>
      <c r="R60" s="399"/>
      <c r="S60" s="399"/>
      <c r="T60" s="399"/>
      <c r="U60" s="399"/>
      <c r="V60" s="398" t="str">
        <f t="shared" si="7"/>
        <v>Blank</v>
      </c>
    </row>
    <row r="61" spans="1:22">
      <c r="A61" s="398" t="str">
        <f t="shared" si="4"/>
        <v/>
      </c>
      <c r="B61" s="399"/>
      <c r="C61" s="398" t="str">
        <f>IFERROR(INDEX(DATA_PROPERTY_MASTER!$B:$B,MATCH($B61,DATA_PROPERTY_MASTER!$A:$A,0)),"")</f>
        <v/>
      </c>
      <c r="D61" s="399"/>
      <c r="E61" s="399"/>
      <c r="F61" s="399"/>
      <c r="G61" s="400"/>
      <c r="H61" s="400"/>
      <c r="I61" s="400"/>
      <c r="J61" s="400"/>
      <c r="K61" s="401"/>
      <c r="L61" s="401"/>
      <c r="M61" s="402">
        <f t="shared" si="5"/>
        <v>0</v>
      </c>
      <c r="N61" s="403" t="str">
        <f t="shared" si="6"/>
        <v/>
      </c>
      <c r="O61" s="399"/>
      <c r="P61" s="399"/>
      <c r="Q61" s="399"/>
      <c r="R61" s="399"/>
      <c r="S61" s="399"/>
      <c r="T61" s="399"/>
      <c r="U61" s="399"/>
      <c r="V61" s="398" t="str">
        <f t="shared" si="7"/>
        <v>Blank</v>
      </c>
    </row>
    <row r="62" spans="1:22">
      <c r="A62" s="398" t="str">
        <f t="shared" si="4"/>
        <v/>
      </c>
      <c r="B62" s="399"/>
      <c r="C62" s="398" t="str">
        <f>IFERROR(INDEX(DATA_PROPERTY_MASTER!$B:$B,MATCH($B62,DATA_PROPERTY_MASTER!$A:$A,0)),"")</f>
        <v/>
      </c>
      <c r="D62" s="399"/>
      <c r="E62" s="399"/>
      <c r="F62" s="399"/>
      <c r="G62" s="400"/>
      <c r="H62" s="400"/>
      <c r="I62" s="400"/>
      <c r="J62" s="400"/>
      <c r="K62" s="401"/>
      <c r="L62" s="401"/>
      <c r="M62" s="402">
        <f t="shared" si="5"/>
        <v>0</v>
      </c>
      <c r="N62" s="403" t="str">
        <f t="shared" si="6"/>
        <v/>
      </c>
      <c r="O62" s="399"/>
      <c r="P62" s="399"/>
      <c r="Q62" s="399"/>
      <c r="R62" s="399"/>
      <c r="S62" s="399"/>
      <c r="T62" s="399"/>
      <c r="U62" s="399"/>
      <c r="V62" s="398" t="str">
        <f t="shared" si="7"/>
        <v>Blank</v>
      </c>
    </row>
    <row r="63" spans="1:22">
      <c r="A63" s="398" t="str">
        <f t="shared" si="4"/>
        <v/>
      </c>
      <c r="B63" s="399"/>
      <c r="C63" s="398" t="str">
        <f>IFERROR(INDEX(DATA_PROPERTY_MASTER!$B:$B,MATCH($B63,DATA_PROPERTY_MASTER!$A:$A,0)),"")</f>
        <v/>
      </c>
      <c r="D63" s="399"/>
      <c r="E63" s="399"/>
      <c r="F63" s="399"/>
      <c r="G63" s="400"/>
      <c r="H63" s="400"/>
      <c r="I63" s="400"/>
      <c r="J63" s="400"/>
      <c r="K63" s="401"/>
      <c r="L63" s="401"/>
      <c r="M63" s="402">
        <f t="shared" si="5"/>
        <v>0</v>
      </c>
      <c r="N63" s="403" t="str">
        <f t="shared" si="6"/>
        <v/>
      </c>
      <c r="O63" s="399"/>
      <c r="P63" s="399"/>
      <c r="Q63" s="399"/>
      <c r="R63" s="399"/>
      <c r="S63" s="399"/>
      <c r="T63" s="399"/>
      <c r="U63" s="399"/>
      <c r="V63" s="398" t="str">
        <f t="shared" si="7"/>
        <v>Blank</v>
      </c>
    </row>
    <row r="64" spans="1:22">
      <c r="A64" s="398" t="str">
        <f t="shared" si="4"/>
        <v/>
      </c>
      <c r="B64" s="399"/>
      <c r="C64" s="398" t="str">
        <f>IFERROR(INDEX(DATA_PROPERTY_MASTER!$B:$B,MATCH($B64,DATA_PROPERTY_MASTER!$A:$A,0)),"")</f>
        <v/>
      </c>
      <c r="D64" s="399"/>
      <c r="E64" s="399"/>
      <c r="F64" s="399"/>
      <c r="G64" s="400"/>
      <c r="H64" s="400"/>
      <c r="I64" s="400"/>
      <c r="J64" s="400"/>
      <c r="K64" s="401"/>
      <c r="L64" s="401"/>
      <c r="M64" s="402">
        <f t="shared" si="5"/>
        <v>0</v>
      </c>
      <c r="N64" s="403" t="str">
        <f t="shared" si="6"/>
        <v/>
      </c>
      <c r="O64" s="399"/>
      <c r="P64" s="399"/>
      <c r="Q64" s="399"/>
      <c r="R64" s="399"/>
      <c r="S64" s="399"/>
      <c r="T64" s="399"/>
      <c r="U64" s="399"/>
      <c r="V64" s="398" t="str">
        <f t="shared" si="7"/>
        <v>Blank</v>
      </c>
    </row>
    <row r="65" spans="1:22">
      <c r="A65" s="398" t="str">
        <f t="shared" si="4"/>
        <v/>
      </c>
      <c r="B65" s="399"/>
      <c r="C65" s="398" t="str">
        <f>IFERROR(INDEX(DATA_PROPERTY_MASTER!$B:$B,MATCH($B65,DATA_PROPERTY_MASTER!$A:$A,0)),"")</f>
        <v/>
      </c>
      <c r="D65" s="399"/>
      <c r="E65" s="399"/>
      <c r="F65" s="399"/>
      <c r="G65" s="400"/>
      <c r="H65" s="400"/>
      <c r="I65" s="400"/>
      <c r="J65" s="400"/>
      <c r="K65" s="401"/>
      <c r="L65" s="401"/>
      <c r="M65" s="402">
        <f t="shared" si="5"/>
        <v>0</v>
      </c>
      <c r="N65" s="403" t="str">
        <f t="shared" si="6"/>
        <v/>
      </c>
      <c r="O65" s="399"/>
      <c r="P65" s="399"/>
      <c r="Q65" s="399"/>
      <c r="R65" s="399"/>
      <c r="S65" s="399"/>
      <c r="T65" s="399"/>
      <c r="U65" s="399"/>
      <c r="V65" s="398" t="str">
        <f t="shared" si="7"/>
        <v>Blank</v>
      </c>
    </row>
    <row r="66" spans="1:22">
      <c r="A66" s="398" t="str">
        <f t="shared" si="4"/>
        <v/>
      </c>
      <c r="B66" s="399"/>
      <c r="C66" s="398" t="str">
        <f>IFERROR(INDEX(DATA_PROPERTY_MASTER!$B:$B,MATCH($B66,DATA_PROPERTY_MASTER!$A:$A,0)),"")</f>
        <v/>
      </c>
      <c r="D66" s="399"/>
      <c r="E66" s="399"/>
      <c r="F66" s="399"/>
      <c r="G66" s="400"/>
      <c r="H66" s="400"/>
      <c r="I66" s="400"/>
      <c r="J66" s="400"/>
      <c r="K66" s="401"/>
      <c r="L66" s="401"/>
      <c r="M66" s="402">
        <f t="shared" si="5"/>
        <v>0</v>
      </c>
      <c r="N66" s="403" t="str">
        <f t="shared" si="6"/>
        <v/>
      </c>
      <c r="O66" s="399"/>
      <c r="P66" s="399"/>
      <c r="Q66" s="399"/>
      <c r="R66" s="399"/>
      <c r="S66" s="399"/>
      <c r="T66" s="399"/>
      <c r="U66" s="399"/>
      <c r="V66" s="398" t="str">
        <f t="shared" si="7"/>
        <v>Blank</v>
      </c>
    </row>
    <row r="67" spans="1:22">
      <c r="A67" s="398" t="str">
        <f t="shared" si="4"/>
        <v/>
      </c>
      <c r="B67" s="399"/>
      <c r="C67" s="398" t="str">
        <f>IFERROR(INDEX(DATA_PROPERTY_MASTER!$B:$B,MATCH($B67,DATA_PROPERTY_MASTER!$A:$A,0)),"")</f>
        <v/>
      </c>
      <c r="D67" s="399"/>
      <c r="E67" s="399"/>
      <c r="F67" s="399"/>
      <c r="G67" s="400"/>
      <c r="H67" s="400"/>
      <c r="I67" s="400"/>
      <c r="J67" s="400"/>
      <c r="K67" s="401"/>
      <c r="L67" s="401"/>
      <c r="M67" s="402">
        <f t="shared" si="5"/>
        <v>0</v>
      </c>
      <c r="N67" s="403" t="str">
        <f t="shared" si="6"/>
        <v/>
      </c>
      <c r="O67" s="399"/>
      <c r="P67" s="399"/>
      <c r="Q67" s="399"/>
      <c r="R67" s="399"/>
      <c r="S67" s="399"/>
      <c r="T67" s="399"/>
      <c r="U67" s="399"/>
      <c r="V67" s="398" t="str">
        <f t="shared" si="7"/>
        <v>Blank</v>
      </c>
    </row>
    <row r="68" spans="1:22">
      <c r="A68" s="398" t="str">
        <f t="shared" si="4"/>
        <v/>
      </c>
      <c r="B68" s="399"/>
      <c r="C68" s="398" t="str">
        <f>IFERROR(INDEX(DATA_PROPERTY_MASTER!$B:$B,MATCH($B68,DATA_PROPERTY_MASTER!$A:$A,0)),"")</f>
        <v/>
      </c>
      <c r="D68" s="399"/>
      <c r="E68" s="399"/>
      <c r="F68" s="399"/>
      <c r="G68" s="400"/>
      <c r="H68" s="400"/>
      <c r="I68" s="400"/>
      <c r="J68" s="400"/>
      <c r="K68" s="401"/>
      <c r="L68" s="401"/>
      <c r="M68" s="402">
        <f t="shared" si="5"/>
        <v>0</v>
      </c>
      <c r="N68" s="403" t="str">
        <f t="shared" si="6"/>
        <v/>
      </c>
      <c r="O68" s="399"/>
      <c r="P68" s="399"/>
      <c r="Q68" s="399"/>
      <c r="R68" s="399"/>
      <c r="S68" s="399"/>
      <c r="T68" s="399"/>
      <c r="U68" s="399"/>
      <c r="V68" s="398" t="str">
        <f t="shared" si="7"/>
        <v>Blank</v>
      </c>
    </row>
    <row r="69" spans="1:22">
      <c r="A69" s="398" t="str">
        <f t="shared" si="4"/>
        <v/>
      </c>
      <c r="B69" s="399"/>
      <c r="C69" s="398" t="str">
        <f>IFERROR(INDEX(DATA_PROPERTY_MASTER!$B:$B,MATCH($B69,DATA_PROPERTY_MASTER!$A:$A,0)),"")</f>
        <v/>
      </c>
      <c r="D69" s="399"/>
      <c r="E69" s="399"/>
      <c r="F69" s="399"/>
      <c r="G69" s="400"/>
      <c r="H69" s="400"/>
      <c r="I69" s="400"/>
      <c r="J69" s="400"/>
      <c r="K69" s="401"/>
      <c r="L69" s="401"/>
      <c r="M69" s="402">
        <f t="shared" si="5"/>
        <v>0</v>
      </c>
      <c r="N69" s="403" t="str">
        <f t="shared" si="6"/>
        <v/>
      </c>
      <c r="O69" s="399"/>
      <c r="P69" s="399"/>
      <c r="Q69" s="399"/>
      <c r="R69" s="399"/>
      <c r="S69" s="399"/>
      <c r="T69" s="399"/>
      <c r="U69" s="399"/>
      <c r="V69" s="398" t="str">
        <f t="shared" si="7"/>
        <v>Blank</v>
      </c>
    </row>
    <row r="70" spans="1:22">
      <c r="A70" s="398" t="str">
        <f t="shared" si="4"/>
        <v/>
      </c>
      <c r="B70" s="399"/>
      <c r="C70" s="398" t="str">
        <f>IFERROR(INDEX(DATA_PROPERTY_MASTER!$B:$B,MATCH($B70,DATA_PROPERTY_MASTER!$A:$A,0)),"")</f>
        <v/>
      </c>
      <c r="D70" s="399"/>
      <c r="E70" s="399"/>
      <c r="F70" s="399"/>
      <c r="G70" s="400"/>
      <c r="H70" s="400"/>
      <c r="I70" s="400"/>
      <c r="J70" s="400"/>
      <c r="K70" s="401"/>
      <c r="L70" s="401"/>
      <c r="M70" s="402">
        <f t="shared" si="5"/>
        <v>0</v>
      </c>
      <c r="N70" s="403" t="str">
        <f t="shared" si="6"/>
        <v/>
      </c>
      <c r="O70" s="399"/>
      <c r="P70" s="399"/>
      <c r="Q70" s="399"/>
      <c r="R70" s="399"/>
      <c r="S70" s="399"/>
      <c r="T70" s="399"/>
      <c r="U70" s="399"/>
      <c r="V70" s="398" t="str">
        <f t="shared" si="7"/>
        <v>Blank</v>
      </c>
    </row>
    <row r="71" spans="1:22">
      <c r="A71" s="398" t="str">
        <f t="shared" ref="A71:A102" si="8">IF($B71="","","UM-"&amp;TEXT(ROW()-6,"0000"))</f>
        <v/>
      </c>
      <c r="B71" s="399"/>
      <c r="C71" s="398" t="str">
        <f>IFERROR(INDEX(DATA_PROPERTY_MASTER!$B:$B,MATCH($B71,DATA_PROPERTY_MASTER!$A:$A,0)),"")</f>
        <v/>
      </c>
      <c r="D71" s="399"/>
      <c r="E71" s="399"/>
      <c r="F71" s="399"/>
      <c r="G71" s="400"/>
      <c r="H71" s="400"/>
      <c r="I71" s="400"/>
      <c r="J71" s="400"/>
      <c r="K71" s="401"/>
      <c r="L71" s="401"/>
      <c r="M71" s="402">
        <f t="shared" ref="M71:M102" si="9">IFERROR($G71*$K71,"")</f>
        <v>0</v>
      </c>
      <c r="N71" s="403" t="str">
        <f t="shared" ref="N71:N102" si="10">IFERROR(IF($L71&gt;0,1-($K71/$L71),""),"")</f>
        <v/>
      </c>
      <c r="O71" s="399"/>
      <c r="P71" s="399"/>
      <c r="Q71" s="399"/>
      <c r="R71" s="399"/>
      <c r="S71" s="399"/>
      <c r="T71" s="399"/>
      <c r="U71" s="399"/>
      <c r="V71" s="398" t="str">
        <f t="shared" ref="V71:V102" si="11">IF($B71="","Blank",IF(OR($G71="",$K71=""),"Review","OK"))</f>
        <v>Blank</v>
      </c>
    </row>
    <row r="72" spans="1:22">
      <c r="A72" s="398" t="str">
        <f t="shared" si="8"/>
        <v/>
      </c>
      <c r="B72" s="399"/>
      <c r="C72" s="398" t="str">
        <f>IFERROR(INDEX(DATA_PROPERTY_MASTER!$B:$B,MATCH($B72,DATA_PROPERTY_MASTER!$A:$A,0)),"")</f>
        <v/>
      </c>
      <c r="D72" s="399"/>
      <c r="E72" s="399"/>
      <c r="F72" s="399"/>
      <c r="G72" s="400"/>
      <c r="H72" s="400"/>
      <c r="I72" s="400"/>
      <c r="J72" s="400"/>
      <c r="K72" s="401"/>
      <c r="L72" s="401"/>
      <c r="M72" s="402">
        <f t="shared" si="9"/>
        <v>0</v>
      </c>
      <c r="N72" s="403" t="str">
        <f t="shared" si="10"/>
        <v/>
      </c>
      <c r="O72" s="399"/>
      <c r="P72" s="399"/>
      <c r="Q72" s="399"/>
      <c r="R72" s="399"/>
      <c r="S72" s="399"/>
      <c r="T72" s="399"/>
      <c r="U72" s="399"/>
      <c r="V72" s="398" t="str">
        <f t="shared" si="11"/>
        <v>Blank</v>
      </c>
    </row>
    <row r="73" spans="1:22">
      <c r="A73" s="398" t="str">
        <f t="shared" si="8"/>
        <v/>
      </c>
      <c r="B73" s="399"/>
      <c r="C73" s="398" t="str">
        <f>IFERROR(INDEX(DATA_PROPERTY_MASTER!$B:$B,MATCH($B73,DATA_PROPERTY_MASTER!$A:$A,0)),"")</f>
        <v/>
      </c>
      <c r="D73" s="399"/>
      <c r="E73" s="399"/>
      <c r="F73" s="399"/>
      <c r="G73" s="400"/>
      <c r="H73" s="400"/>
      <c r="I73" s="400"/>
      <c r="J73" s="400"/>
      <c r="K73" s="401"/>
      <c r="L73" s="401"/>
      <c r="M73" s="402">
        <f t="shared" si="9"/>
        <v>0</v>
      </c>
      <c r="N73" s="403" t="str">
        <f t="shared" si="10"/>
        <v/>
      </c>
      <c r="O73" s="399"/>
      <c r="P73" s="399"/>
      <c r="Q73" s="399"/>
      <c r="R73" s="399"/>
      <c r="S73" s="399"/>
      <c r="T73" s="399"/>
      <c r="U73" s="399"/>
      <c r="V73" s="398" t="str">
        <f t="shared" si="11"/>
        <v>Blank</v>
      </c>
    </row>
    <row r="74" spans="1:22">
      <c r="A74" s="398" t="str">
        <f t="shared" si="8"/>
        <v/>
      </c>
      <c r="B74" s="399"/>
      <c r="C74" s="398" t="str">
        <f>IFERROR(INDEX(DATA_PROPERTY_MASTER!$B:$B,MATCH($B74,DATA_PROPERTY_MASTER!$A:$A,0)),"")</f>
        <v/>
      </c>
      <c r="D74" s="399"/>
      <c r="E74" s="399"/>
      <c r="F74" s="399"/>
      <c r="G74" s="400"/>
      <c r="H74" s="400"/>
      <c r="I74" s="400"/>
      <c r="J74" s="400"/>
      <c r="K74" s="401"/>
      <c r="L74" s="401"/>
      <c r="M74" s="402">
        <f t="shared" si="9"/>
        <v>0</v>
      </c>
      <c r="N74" s="403" t="str">
        <f t="shared" si="10"/>
        <v/>
      </c>
      <c r="O74" s="399"/>
      <c r="P74" s="399"/>
      <c r="Q74" s="399"/>
      <c r="R74" s="399"/>
      <c r="S74" s="399"/>
      <c r="T74" s="399"/>
      <c r="U74" s="399"/>
      <c r="V74" s="398" t="str">
        <f t="shared" si="11"/>
        <v>Blank</v>
      </c>
    </row>
    <row r="75" spans="1:22">
      <c r="A75" s="398" t="str">
        <f t="shared" si="8"/>
        <v/>
      </c>
      <c r="B75" s="399"/>
      <c r="C75" s="398" t="str">
        <f>IFERROR(INDEX(DATA_PROPERTY_MASTER!$B:$B,MATCH($B75,DATA_PROPERTY_MASTER!$A:$A,0)),"")</f>
        <v/>
      </c>
      <c r="D75" s="399"/>
      <c r="E75" s="399"/>
      <c r="F75" s="399"/>
      <c r="G75" s="400"/>
      <c r="H75" s="400"/>
      <c r="I75" s="400"/>
      <c r="J75" s="400"/>
      <c r="K75" s="401"/>
      <c r="L75" s="401"/>
      <c r="M75" s="402">
        <f t="shared" si="9"/>
        <v>0</v>
      </c>
      <c r="N75" s="403" t="str">
        <f t="shared" si="10"/>
        <v/>
      </c>
      <c r="O75" s="399"/>
      <c r="P75" s="399"/>
      <c r="Q75" s="399"/>
      <c r="R75" s="399"/>
      <c r="S75" s="399"/>
      <c r="T75" s="399"/>
      <c r="U75" s="399"/>
      <c r="V75" s="398" t="str">
        <f t="shared" si="11"/>
        <v>Blank</v>
      </c>
    </row>
    <row r="76" spans="1:22">
      <c r="A76" s="398" t="str">
        <f t="shared" si="8"/>
        <v/>
      </c>
      <c r="B76" s="399"/>
      <c r="C76" s="398" t="str">
        <f>IFERROR(INDEX(DATA_PROPERTY_MASTER!$B:$B,MATCH($B76,DATA_PROPERTY_MASTER!$A:$A,0)),"")</f>
        <v/>
      </c>
      <c r="D76" s="399"/>
      <c r="E76" s="399"/>
      <c r="F76" s="399"/>
      <c r="G76" s="400"/>
      <c r="H76" s="400"/>
      <c r="I76" s="400"/>
      <c r="J76" s="400"/>
      <c r="K76" s="401"/>
      <c r="L76" s="401"/>
      <c r="M76" s="402">
        <f t="shared" si="9"/>
        <v>0</v>
      </c>
      <c r="N76" s="403" t="str">
        <f t="shared" si="10"/>
        <v/>
      </c>
      <c r="O76" s="399"/>
      <c r="P76" s="399"/>
      <c r="Q76" s="399"/>
      <c r="R76" s="399"/>
      <c r="S76" s="399"/>
      <c r="T76" s="399"/>
      <c r="U76" s="399"/>
      <c r="V76" s="398" t="str">
        <f t="shared" si="11"/>
        <v>Blank</v>
      </c>
    </row>
    <row r="77" spans="1:22">
      <c r="A77" s="398" t="str">
        <f t="shared" si="8"/>
        <v/>
      </c>
      <c r="B77" s="399"/>
      <c r="C77" s="398" t="str">
        <f>IFERROR(INDEX(DATA_PROPERTY_MASTER!$B:$B,MATCH($B77,DATA_PROPERTY_MASTER!$A:$A,0)),"")</f>
        <v/>
      </c>
      <c r="D77" s="399"/>
      <c r="E77" s="399"/>
      <c r="F77" s="399"/>
      <c r="G77" s="400"/>
      <c r="H77" s="400"/>
      <c r="I77" s="400"/>
      <c r="J77" s="400"/>
      <c r="K77" s="401"/>
      <c r="L77" s="401"/>
      <c r="M77" s="402">
        <f t="shared" si="9"/>
        <v>0</v>
      </c>
      <c r="N77" s="403" t="str">
        <f t="shared" si="10"/>
        <v/>
      </c>
      <c r="O77" s="399"/>
      <c r="P77" s="399"/>
      <c r="Q77" s="399"/>
      <c r="R77" s="399"/>
      <c r="S77" s="399"/>
      <c r="T77" s="399"/>
      <c r="U77" s="399"/>
      <c r="V77" s="398" t="str">
        <f t="shared" si="11"/>
        <v>Blank</v>
      </c>
    </row>
    <row r="78" spans="1:22">
      <c r="A78" s="398" t="str">
        <f t="shared" si="8"/>
        <v/>
      </c>
      <c r="B78" s="399"/>
      <c r="C78" s="398" t="str">
        <f>IFERROR(INDEX(DATA_PROPERTY_MASTER!$B:$B,MATCH($B78,DATA_PROPERTY_MASTER!$A:$A,0)),"")</f>
        <v/>
      </c>
      <c r="D78" s="399"/>
      <c r="E78" s="399"/>
      <c r="F78" s="399"/>
      <c r="G78" s="400"/>
      <c r="H78" s="400"/>
      <c r="I78" s="400"/>
      <c r="J78" s="400"/>
      <c r="K78" s="401"/>
      <c r="L78" s="401"/>
      <c r="M78" s="402">
        <f t="shared" si="9"/>
        <v>0</v>
      </c>
      <c r="N78" s="403" t="str">
        <f t="shared" si="10"/>
        <v/>
      </c>
      <c r="O78" s="399"/>
      <c r="P78" s="399"/>
      <c r="Q78" s="399"/>
      <c r="R78" s="399"/>
      <c r="S78" s="399"/>
      <c r="T78" s="399"/>
      <c r="U78" s="399"/>
      <c r="V78" s="398" t="str">
        <f t="shared" si="11"/>
        <v>Blank</v>
      </c>
    </row>
    <row r="79" spans="1:22">
      <c r="A79" s="398" t="str">
        <f t="shared" si="8"/>
        <v/>
      </c>
      <c r="B79" s="399"/>
      <c r="C79" s="398" t="str">
        <f>IFERROR(INDEX(DATA_PROPERTY_MASTER!$B:$B,MATCH($B79,DATA_PROPERTY_MASTER!$A:$A,0)),"")</f>
        <v/>
      </c>
      <c r="D79" s="399"/>
      <c r="E79" s="399"/>
      <c r="F79" s="399"/>
      <c r="G79" s="400"/>
      <c r="H79" s="400"/>
      <c r="I79" s="400"/>
      <c r="J79" s="400"/>
      <c r="K79" s="401"/>
      <c r="L79" s="401"/>
      <c r="M79" s="402">
        <f t="shared" si="9"/>
        <v>0</v>
      </c>
      <c r="N79" s="403" t="str">
        <f t="shared" si="10"/>
        <v/>
      </c>
      <c r="O79" s="399"/>
      <c r="P79" s="399"/>
      <c r="Q79" s="399"/>
      <c r="R79" s="399"/>
      <c r="S79" s="399"/>
      <c r="T79" s="399"/>
      <c r="U79" s="399"/>
      <c r="V79" s="398" t="str">
        <f t="shared" si="11"/>
        <v>Blank</v>
      </c>
    </row>
    <row r="80" spans="1:22">
      <c r="A80" s="398" t="str">
        <f t="shared" si="8"/>
        <v/>
      </c>
      <c r="B80" s="399"/>
      <c r="C80" s="398" t="str">
        <f>IFERROR(INDEX(DATA_PROPERTY_MASTER!$B:$B,MATCH($B80,DATA_PROPERTY_MASTER!$A:$A,0)),"")</f>
        <v/>
      </c>
      <c r="D80" s="399"/>
      <c r="E80" s="399"/>
      <c r="F80" s="399"/>
      <c r="G80" s="400"/>
      <c r="H80" s="400"/>
      <c r="I80" s="400"/>
      <c r="J80" s="400"/>
      <c r="K80" s="401"/>
      <c r="L80" s="401"/>
      <c r="M80" s="402">
        <f t="shared" si="9"/>
        <v>0</v>
      </c>
      <c r="N80" s="403" t="str">
        <f t="shared" si="10"/>
        <v/>
      </c>
      <c r="O80" s="399"/>
      <c r="P80" s="399"/>
      <c r="Q80" s="399"/>
      <c r="R80" s="399"/>
      <c r="S80" s="399"/>
      <c r="T80" s="399"/>
      <c r="U80" s="399"/>
      <c r="V80" s="398" t="str">
        <f t="shared" si="11"/>
        <v>Blank</v>
      </c>
    </row>
    <row r="81" spans="1:22">
      <c r="A81" s="398" t="str">
        <f t="shared" si="8"/>
        <v/>
      </c>
      <c r="B81" s="399"/>
      <c r="C81" s="398" t="str">
        <f>IFERROR(INDEX(DATA_PROPERTY_MASTER!$B:$B,MATCH($B81,DATA_PROPERTY_MASTER!$A:$A,0)),"")</f>
        <v/>
      </c>
      <c r="D81" s="399"/>
      <c r="E81" s="399"/>
      <c r="F81" s="399"/>
      <c r="G81" s="400"/>
      <c r="H81" s="400"/>
      <c r="I81" s="400"/>
      <c r="J81" s="400"/>
      <c r="K81" s="401"/>
      <c r="L81" s="401"/>
      <c r="M81" s="402">
        <f t="shared" si="9"/>
        <v>0</v>
      </c>
      <c r="N81" s="403" t="str">
        <f t="shared" si="10"/>
        <v/>
      </c>
      <c r="O81" s="399"/>
      <c r="P81" s="399"/>
      <c r="Q81" s="399"/>
      <c r="R81" s="399"/>
      <c r="S81" s="399"/>
      <c r="T81" s="399"/>
      <c r="U81" s="399"/>
      <c r="V81" s="398" t="str">
        <f t="shared" si="11"/>
        <v>Blank</v>
      </c>
    </row>
    <row r="82" spans="1:22">
      <c r="A82" s="398" t="str">
        <f t="shared" si="8"/>
        <v/>
      </c>
      <c r="B82" s="399"/>
      <c r="C82" s="398" t="str">
        <f>IFERROR(INDEX(DATA_PROPERTY_MASTER!$B:$B,MATCH($B82,DATA_PROPERTY_MASTER!$A:$A,0)),"")</f>
        <v/>
      </c>
      <c r="D82" s="399"/>
      <c r="E82" s="399"/>
      <c r="F82" s="399"/>
      <c r="G82" s="400"/>
      <c r="H82" s="400"/>
      <c r="I82" s="400"/>
      <c r="J82" s="400"/>
      <c r="K82" s="401"/>
      <c r="L82" s="401"/>
      <c r="M82" s="402">
        <f t="shared" si="9"/>
        <v>0</v>
      </c>
      <c r="N82" s="403" t="str">
        <f t="shared" si="10"/>
        <v/>
      </c>
      <c r="O82" s="399"/>
      <c r="P82" s="399"/>
      <c r="Q82" s="399"/>
      <c r="R82" s="399"/>
      <c r="S82" s="399"/>
      <c r="T82" s="399"/>
      <c r="U82" s="399"/>
      <c r="V82" s="398" t="str">
        <f t="shared" si="11"/>
        <v>Blank</v>
      </c>
    </row>
    <row r="83" spans="1:22">
      <c r="A83" s="398" t="str">
        <f t="shared" si="8"/>
        <v/>
      </c>
      <c r="B83" s="399"/>
      <c r="C83" s="398" t="str">
        <f>IFERROR(INDEX(DATA_PROPERTY_MASTER!$B:$B,MATCH($B83,DATA_PROPERTY_MASTER!$A:$A,0)),"")</f>
        <v/>
      </c>
      <c r="D83" s="399"/>
      <c r="E83" s="399"/>
      <c r="F83" s="399"/>
      <c r="G83" s="400"/>
      <c r="H83" s="400"/>
      <c r="I83" s="400"/>
      <c r="J83" s="400"/>
      <c r="K83" s="401"/>
      <c r="L83" s="401"/>
      <c r="M83" s="402">
        <f t="shared" si="9"/>
        <v>0</v>
      </c>
      <c r="N83" s="403" t="str">
        <f t="shared" si="10"/>
        <v/>
      </c>
      <c r="O83" s="399"/>
      <c r="P83" s="399"/>
      <c r="Q83" s="399"/>
      <c r="R83" s="399"/>
      <c r="S83" s="399"/>
      <c r="T83" s="399"/>
      <c r="U83" s="399"/>
      <c r="V83" s="398" t="str">
        <f t="shared" si="11"/>
        <v>Blank</v>
      </c>
    </row>
    <row r="84" spans="1:22">
      <c r="A84" s="398" t="str">
        <f t="shared" si="8"/>
        <v/>
      </c>
      <c r="B84" s="399"/>
      <c r="C84" s="398" t="str">
        <f>IFERROR(INDEX(DATA_PROPERTY_MASTER!$B:$B,MATCH($B84,DATA_PROPERTY_MASTER!$A:$A,0)),"")</f>
        <v/>
      </c>
      <c r="D84" s="399"/>
      <c r="E84" s="399"/>
      <c r="F84" s="399"/>
      <c r="G84" s="400"/>
      <c r="H84" s="400"/>
      <c r="I84" s="400"/>
      <c r="J84" s="400"/>
      <c r="K84" s="401"/>
      <c r="L84" s="401"/>
      <c r="M84" s="402">
        <f t="shared" si="9"/>
        <v>0</v>
      </c>
      <c r="N84" s="403" t="str">
        <f t="shared" si="10"/>
        <v/>
      </c>
      <c r="O84" s="399"/>
      <c r="P84" s="399"/>
      <c r="Q84" s="399"/>
      <c r="R84" s="399"/>
      <c r="S84" s="399"/>
      <c r="T84" s="399"/>
      <c r="U84" s="399"/>
      <c r="V84" s="398" t="str">
        <f t="shared" si="11"/>
        <v>Blank</v>
      </c>
    </row>
    <row r="85" spans="1:22">
      <c r="A85" s="398" t="str">
        <f t="shared" si="8"/>
        <v/>
      </c>
      <c r="B85" s="399"/>
      <c r="C85" s="398" t="str">
        <f>IFERROR(INDEX(DATA_PROPERTY_MASTER!$B:$B,MATCH($B85,DATA_PROPERTY_MASTER!$A:$A,0)),"")</f>
        <v/>
      </c>
      <c r="D85" s="399"/>
      <c r="E85" s="399"/>
      <c r="F85" s="399"/>
      <c r="G85" s="400"/>
      <c r="H85" s="400"/>
      <c r="I85" s="400"/>
      <c r="J85" s="400"/>
      <c r="K85" s="401"/>
      <c r="L85" s="401"/>
      <c r="M85" s="402">
        <f t="shared" si="9"/>
        <v>0</v>
      </c>
      <c r="N85" s="403" t="str">
        <f t="shared" si="10"/>
        <v/>
      </c>
      <c r="O85" s="399"/>
      <c r="P85" s="399"/>
      <c r="Q85" s="399"/>
      <c r="R85" s="399"/>
      <c r="S85" s="399"/>
      <c r="T85" s="399"/>
      <c r="U85" s="399"/>
      <c r="V85" s="398" t="str">
        <f t="shared" si="11"/>
        <v>Blank</v>
      </c>
    </row>
    <row r="86" spans="1:22">
      <c r="A86" s="398" t="str">
        <f t="shared" si="8"/>
        <v/>
      </c>
      <c r="B86" s="399"/>
      <c r="C86" s="398" t="str">
        <f>IFERROR(INDEX(DATA_PROPERTY_MASTER!$B:$B,MATCH($B86,DATA_PROPERTY_MASTER!$A:$A,0)),"")</f>
        <v/>
      </c>
      <c r="D86" s="399"/>
      <c r="E86" s="399"/>
      <c r="F86" s="399"/>
      <c r="G86" s="400"/>
      <c r="H86" s="400"/>
      <c r="I86" s="400"/>
      <c r="J86" s="400"/>
      <c r="K86" s="401"/>
      <c r="L86" s="401"/>
      <c r="M86" s="402">
        <f t="shared" si="9"/>
        <v>0</v>
      </c>
      <c r="N86" s="403" t="str">
        <f t="shared" si="10"/>
        <v/>
      </c>
      <c r="O86" s="399"/>
      <c r="P86" s="399"/>
      <c r="Q86" s="399"/>
      <c r="R86" s="399"/>
      <c r="S86" s="399"/>
      <c r="T86" s="399"/>
      <c r="U86" s="399"/>
      <c r="V86" s="398" t="str">
        <f t="shared" si="11"/>
        <v>Blank</v>
      </c>
    </row>
    <row r="87" spans="1:22">
      <c r="A87" s="398" t="str">
        <f t="shared" si="8"/>
        <v/>
      </c>
      <c r="B87" s="399"/>
      <c r="C87" s="398" t="str">
        <f>IFERROR(INDEX(DATA_PROPERTY_MASTER!$B:$B,MATCH($B87,DATA_PROPERTY_MASTER!$A:$A,0)),"")</f>
        <v/>
      </c>
      <c r="D87" s="399"/>
      <c r="E87" s="399"/>
      <c r="F87" s="399"/>
      <c r="G87" s="400"/>
      <c r="H87" s="400"/>
      <c r="I87" s="400"/>
      <c r="J87" s="400"/>
      <c r="K87" s="401"/>
      <c r="L87" s="401"/>
      <c r="M87" s="402">
        <f t="shared" si="9"/>
        <v>0</v>
      </c>
      <c r="N87" s="403" t="str">
        <f t="shared" si="10"/>
        <v/>
      </c>
      <c r="O87" s="399"/>
      <c r="P87" s="399"/>
      <c r="Q87" s="399"/>
      <c r="R87" s="399"/>
      <c r="S87" s="399"/>
      <c r="T87" s="399"/>
      <c r="U87" s="399"/>
      <c r="V87" s="398" t="str">
        <f t="shared" si="11"/>
        <v>Blank</v>
      </c>
    </row>
    <row r="88" spans="1:22">
      <c r="A88" s="398" t="str">
        <f t="shared" si="8"/>
        <v/>
      </c>
      <c r="B88" s="399"/>
      <c r="C88" s="398" t="str">
        <f>IFERROR(INDEX(DATA_PROPERTY_MASTER!$B:$B,MATCH($B88,DATA_PROPERTY_MASTER!$A:$A,0)),"")</f>
        <v/>
      </c>
      <c r="D88" s="399"/>
      <c r="E88" s="399"/>
      <c r="F88" s="399"/>
      <c r="G88" s="400"/>
      <c r="H88" s="400"/>
      <c r="I88" s="400"/>
      <c r="J88" s="400"/>
      <c r="K88" s="401"/>
      <c r="L88" s="401"/>
      <c r="M88" s="402">
        <f t="shared" si="9"/>
        <v>0</v>
      </c>
      <c r="N88" s="403" t="str">
        <f t="shared" si="10"/>
        <v/>
      </c>
      <c r="O88" s="399"/>
      <c r="P88" s="399"/>
      <c r="Q88" s="399"/>
      <c r="R88" s="399"/>
      <c r="S88" s="399"/>
      <c r="T88" s="399"/>
      <c r="U88" s="399"/>
      <c r="V88" s="398" t="str">
        <f t="shared" si="11"/>
        <v>Blank</v>
      </c>
    </row>
    <row r="89" spans="1:22">
      <c r="A89" s="398" t="str">
        <f t="shared" si="8"/>
        <v/>
      </c>
      <c r="B89" s="399"/>
      <c r="C89" s="398" t="str">
        <f>IFERROR(INDEX(DATA_PROPERTY_MASTER!$B:$B,MATCH($B89,DATA_PROPERTY_MASTER!$A:$A,0)),"")</f>
        <v/>
      </c>
      <c r="D89" s="399"/>
      <c r="E89" s="399"/>
      <c r="F89" s="399"/>
      <c r="G89" s="400"/>
      <c r="H89" s="400"/>
      <c r="I89" s="400"/>
      <c r="J89" s="400"/>
      <c r="K89" s="401"/>
      <c r="L89" s="401"/>
      <c r="M89" s="402">
        <f t="shared" si="9"/>
        <v>0</v>
      </c>
      <c r="N89" s="403" t="str">
        <f t="shared" si="10"/>
        <v/>
      </c>
      <c r="O89" s="399"/>
      <c r="P89" s="399"/>
      <c r="Q89" s="399"/>
      <c r="R89" s="399"/>
      <c r="S89" s="399"/>
      <c r="T89" s="399"/>
      <c r="U89" s="399"/>
      <c r="V89" s="398" t="str">
        <f t="shared" si="11"/>
        <v>Blank</v>
      </c>
    </row>
    <row r="90" spans="1:22">
      <c r="A90" s="398" t="str">
        <f t="shared" si="8"/>
        <v/>
      </c>
      <c r="B90" s="399"/>
      <c r="C90" s="398" t="str">
        <f>IFERROR(INDEX(DATA_PROPERTY_MASTER!$B:$B,MATCH($B90,DATA_PROPERTY_MASTER!$A:$A,0)),"")</f>
        <v/>
      </c>
      <c r="D90" s="399"/>
      <c r="E90" s="399"/>
      <c r="F90" s="399"/>
      <c r="G90" s="400"/>
      <c r="H90" s="400"/>
      <c r="I90" s="400"/>
      <c r="J90" s="400"/>
      <c r="K90" s="401"/>
      <c r="L90" s="401"/>
      <c r="M90" s="402">
        <f t="shared" si="9"/>
        <v>0</v>
      </c>
      <c r="N90" s="403" t="str">
        <f t="shared" si="10"/>
        <v/>
      </c>
      <c r="O90" s="399"/>
      <c r="P90" s="399"/>
      <c r="Q90" s="399"/>
      <c r="R90" s="399"/>
      <c r="S90" s="399"/>
      <c r="T90" s="399"/>
      <c r="U90" s="399"/>
      <c r="V90" s="398" t="str">
        <f t="shared" si="11"/>
        <v>Blank</v>
      </c>
    </row>
    <row r="91" spans="1:22">
      <c r="A91" s="398" t="str">
        <f t="shared" si="8"/>
        <v/>
      </c>
      <c r="B91" s="399"/>
      <c r="C91" s="398" t="str">
        <f>IFERROR(INDEX(DATA_PROPERTY_MASTER!$B:$B,MATCH($B91,DATA_PROPERTY_MASTER!$A:$A,0)),"")</f>
        <v/>
      </c>
      <c r="D91" s="399"/>
      <c r="E91" s="399"/>
      <c r="F91" s="399"/>
      <c r="G91" s="400"/>
      <c r="H91" s="400"/>
      <c r="I91" s="400"/>
      <c r="J91" s="400"/>
      <c r="K91" s="401"/>
      <c r="L91" s="401"/>
      <c r="M91" s="402">
        <f t="shared" si="9"/>
        <v>0</v>
      </c>
      <c r="N91" s="403" t="str">
        <f t="shared" si="10"/>
        <v/>
      </c>
      <c r="O91" s="399"/>
      <c r="P91" s="399"/>
      <c r="Q91" s="399"/>
      <c r="R91" s="399"/>
      <c r="S91" s="399"/>
      <c r="T91" s="399"/>
      <c r="U91" s="399"/>
      <c r="V91" s="398" t="str">
        <f t="shared" si="11"/>
        <v>Blank</v>
      </c>
    </row>
    <row r="92" spans="1:22">
      <c r="A92" s="398" t="str">
        <f t="shared" si="8"/>
        <v/>
      </c>
      <c r="B92" s="399"/>
      <c r="C92" s="398" t="str">
        <f>IFERROR(INDEX(DATA_PROPERTY_MASTER!$B:$B,MATCH($B92,DATA_PROPERTY_MASTER!$A:$A,0)),"")</f>
        <v/>
      </c>
      <c r="D92" s="399"/>
      <c r="E92" s="399"/>
      <c r="F92" s="399"/>
      <c r="G92" s="400"/>
      <c r="H92" s="400"/>
      <c r="I92" s="400"/>
      <c r="J92" s="400"/>
      <c r="K92" s="401"/>
      <c r="L92" s="401"/>
      <c r="M92" s="402">
        <f t="shared" si="9"/>
        <v>0</v>
      </c>
      <c r="N92" s="403" t="str">
        <f t="shared" si="10"/>
        <v/>
      </c>
      <c r="O92" s="399"/>
      <c r="P92" s="399"/>
      <c r="Q92" s="399"/>
      <c r="R92" s="399"/>
      <c r="S92" s="399"/>
      <c r="T92" s="399"/>
      <c r="U92" s="399"/>
      <c r="V92" s="398" t="str">
        <f t="shared" si="11"/>
        <v>Blank</v>
      </c>
    </row>
    <row r="93" spans="1:22">
      <c r="A93" s="398" t="str">
        <f t="shared" si="8"/>
        <v/>
      </c>
      <c r="B93" s="399"/>
      <c r="C93" s="398" t="str">
        <f>IFERROR(INDEX(DATA_PROPERTY_MASTER!$B:$B,MATCH($B93,DATA_PROPERTY_MASTER!$A:$A,0)),"")</f>
        <v/>
      </c>
      <c r="D93" s="399"/>
      <c r="E93" s="399"/>
      <c r="F93" s="399"/>
      <c r="G93" s="400"/>
      <c r="H93" s="400"/>
      <c r="I93" s="400"/>
      <c r="J93" s="400"/>
      <c r="K93" s="401"/>
      <c r="L93" s="401"/>
      <c r="M93" s="402">
        <f t="shared" si="9"/>
        <v>0</v>
      </c>
      <c r="N93" s="403" t="str">
        <f t="shared" si="10"/>
        <v/>
      </c>
      <c r="O93" s="399"/>
      <c r="P93" s="399"/>
      <c r="Q93" s="399"/>
      <c r="R93" s="399"/>
      <c r="S93" s="399"/>
      <c r="T93" s="399"/>
      <c r="U93" s="399"/>
      <c r="V93" s="398" t="str">
        <f t="shared" si="11"/>
        <v>Blank</v>
      </c>
    </row>
    <row r="94" spans="1:22">
      <c r="A94" s="398" t="str">
        <f t="shared" si="8"/>
        <v/>
      </c>
      <c r="B94" s="399"/>
      <c r="C94" s="398" t="str">
        <f>IFERROR(INDEX(DATA_PROPERTY_MASTER!$B:$B,MATCH($B94,DATA_PROPERTY_MASTER!$A:$A,0)),"")</f>
        <v/>
      </c>
      <c r="D94" s="399"/>
      <c r="E94" s="399"/>
      <c r="F94" s="399"/>
      <c r="G94" s="400"/>
      <c r="H94" s="400"/>
      <c r="I94" s="400"/>
      <c r="J94" s="400"/>
      <c r="K94" s="401"/>
      <c r="L94" s="401"/>
      <c r="M94" s="402">
        <f t="shared" si="9"/>
        <v>0</v>
      </c>
      <c r="N94" s="403" t="str">
        <f t="shared" si="10"/>
        <v/>
      </c>
      <c r="O94" s="399"/>
      <c r="P94" s="399"/>
      <c r="Q94" s="399"/>
      <c r="R94" s="399"/>
      <c r="S94" s="399"/>
      <c r="T94" s="399"/>
      <c r="U94" s="399"/>
      <c r="V94" s="398" t="str">
        <f t="shared" si="11"/>
        <v>Blank</v>
      </c>
    </row>
    <row r="95" spans="1:22">
      <c r="A95" s="398" t="str">
        <f t="shared" si="8"/>
        <v/>
      </c>
      <c r="B95" s="399"/>
      <c r="C95" s="398" t="str">
        <f>IFERROR(INDEX(DATA_PROPERTY_MASTER!$B:$B,MATCH($B95,DATA_PROPERTY_MASTER!$A:$A,0)),"")</f>
        <v/>
      </c>
      <c r="D95" s="399"/>
      <c r="E95" s="399"/>
      <c r="F95" s="399"/>
      <c r="G95" s="400"/>
      <c r="H95" s="400"/>
      <c r="I95" s="400"/>
      <c r="J95" s="400"/>
      <c r="K95" s="401"/>
      <c r="L95" s="401"/>
      <c r="M95" s="402">
        <f t="shared" si="9"/>
        <v>0</v>
      </c>
      <c r="N95" s="403" t="str">
        <f t="shared" si="10"/>
        <v/>
      </c>
      <c r="O95" s="399"/>
      <c r="P95" s="399"/>
      <c r="Q95" s="399"/>
      <c r="R95" s="399"/>
      <c r="S95" s="399"/>
      <c r="T95" s="399"/>
      <c r="U95" s="399"/>
      <c r="V95" s="398" t="str">
        <f t="shared" si="11"/>
        <v>Blank</v>
      </c>
    </row>
    <row r="96" spans="1:22">
      <c r="A96" s="398" t="str">
        <f t="shared" si="8"/>
        <v/>
      </c>
      <c r="B96" s="399"/>
      <c r="C96" s="398" t="str">
        <f>IFERROR(INDEX(DATA_PROPERTY_MASTER!$B:$B,MATCH($B96,DATA_PROPERTY_MASTER!$A:$A,0)),"")</f>
        <v/>
      </c>
      <c r="D96" s="399"/>
      <c r="E96" s="399"/>
      <c r="F96" s="399"/>
      <c r="G96" s="400"/>
      <c r="H96" s="400"/>
      <c r="I96" s="400"/>
      <c r="J96" s="400"/>
      <c r="K96" s="401"/>
      <c r="L96" s="401"/>
      <c r="M96" s="402">
        <f t="shared" si="9"/>
        <v>0</v>
      </c>
      <c r="N96" s="403" t="str">
        <f t="shared" si="10"/>
        <v/>
      </c>
      <c r="O96" s="399"/>
      <c r="P96" s="399"/>
      <c r="Q96" s="399"/>
      <c r="R96" s="399"/>
      <c r="S96" s="399"/>
      <c r="T96" s="399"/>
      <c r="U96" s="399"/>
      <c r="V96" s="398" t="str">
        <f t="shared" si="11"/>
        <v>Blank</v>
      </c>
    </row>
    <row r="97" spans="1:22">
      <c r="A97" s="398" t="str">
        <f t="shared" si="8"/>
        <v/>
      </c>
      <c r="B97" s="399"/>
      <c r="C97" s="398" t="str">
        <f>IFERROR(INDEX(DATA_PROPERTY_MASTER!$B:$B,MATCH($B97,DATA_PROPERTY_MASTER!$A:$A,0)),"")</f>
        <v/>
      </c>
      <c r="D97" s="399"/>
      <c r="E97" s="399"/>
      <c r="F97" s="399"/>
      <c r="G97" s="400"/>
      <c r="H97" s="400"/>
      <c r="I97" s="400"/>
      <c r="J97" s="400"/>
      <c r="K97" s="401"/>
      <c r="L97" s="401"/>
      <c r="M97" s="402">
        <f t="shared" si="9"/>
        <v>0</v>
      </c>
      <c r="N97" s="403" t="str">
        <f t="shared" si="10"/>
        <v/>
      </c>
      <c r="O97" s="399"/>
      <c r="P97" s="399"/>
      <c r="Q97" s="399"/>
      <c r="R97" s="399"/>
      <c r="S97" s="399"/>
      <c r="T97" s="399"/>
      <c r="U97" s="399"/>
      <c r="V97" s="398" t="str">
        <f t="shared" si="11"/>
        <v>Blank</v>
      </c>
    </row>
    <row r="98" spans="1:22">
      <c r="A98" s="398" t="str">
        <f t="shared" si="8"/>
        <v/>
      </c>
      <c r="B98" s="399"/>
      <c r="C98" s="398" t="str">
        <f>IFERROR(INDEX(DATA_PROPERTY_MASTER!$B:$B,MATCH($B98,DATA_PROPERTY_MASTER!$A:$A,0)),"")</f>
        <v/>
      </c>
      <c r="D98" s="399"/>
      <c r="E98" s="399"/>
      <c r="F98" s="399"/>
      <c r="G98" s="400"/>
      <c r="H98" s="400"/>
      <c r="I98" s="400"/>
      <c r="J98" s="400"/>
      <c r="K98" s="401"/>
      <c r="L98" s="401"/>
      <c r="M98" s="402">
        <f t="shared" si="9"/>
        <v>0</v>
      </c>
      <c r="N98" s="403" t="str">
        <f t="shared" si="10"/>
        <v/>
      </c>
      <c r="O98" s="399"/>
      <c r="P98" s="399"/>
      <c r="Q98" s="399"/>
      <c r="R98" s="399"/>
      <c r="S98" s="399"/>
      <c r="T98" s="399"/>
      <c r="U98" s="399"/>
      <c r="V98" s="398" t="str">
        <f t="shared" si="11"/>
        <v>Blank</v>
      </c>
    </row>
    <row r="99" spans="1:22">
      <c r="A99" s="398" t="str">
        <f t="shared" si="8"/>
        <v/>
      </c>
      <c r="B99" s="399"/>
      <c r="C99" s="398" t="str">
        <f>IFERROR(INDEX(DATA_PROPERTY_MASTER!$B:$B,MATCH($B99,DATA_PROPERTY_MASTER!$A:$A,0)),"")</f>
        <v/>
      </c>
      <c r="D99" s="399"/>
      <c r="E99" s="399"/>
      <c r="F99" s="399"/>
      <c r="G99" s="400"/>
      <c r="H99" s="400"/>
      <c r="I99" s="400"/>
      <c r="J99" s="400"/>
      <c r="K99" s="401"/>
      <c r="L99" s="401"/>
      <c r="M99" s="402">
        <f t="shared" si="9"/>
        <v>0</v>
      </c>
      <c r="N99" s="403" t="str">
        <f t="shared" si="10"/>
        <v/>
      </c>
      <c r="O99" s="399"/>
      <c r="P99" s="399"/>
      <c r="Q99" s="399"/>
      <c r="R99" s="399"/>
      <c r="S99" s="399"/>
      <c r="T99" s="399"/>
      <c r="U99" s="399"/>
      <c r="V99" s="398" t="str">
        <f t="shared" si="11"/>
        <v>Blank</v>
      </c>
    </row>
    <row r="100" spans="1:22">
      <c r="A100" s="398" t="str">
        <f t="shared" si="8"/>
        <v/>
      </c>
      <c r="B100" s="399"/>
      <c r="C100" s="398" t="str">
        <f>IFERROR(INDEX(DATA_PROPERTY_MASTER!$B:$B,MATCH($B100,DATA_PROPERTY_MASTER!$A:$A,0)),"")</f>
        <v/>
      </c>
      <c r="D100" s="399"/>
      <c r="E100" s="399"/>
      <c r="F100" s="399"/>
      <c r="G100" s="400"/>
      <c r="H100" s="400"/>
      <c r="I100" s="400"/>
      <c r="J100" s="400"/>
      <c r="K100" s="401"/>
      <c r="L100" s="401"/>
      <c r="M100" s="402">
        <f t="shared" si="9"/>
        <v>0</v>
      </c>
      <c r="N100" s="403" t="str">
        <f t="shared" si="10"/>
        <v/>
      </c>
      <c r="O100" s="399"/>
      <c r="P100" s="399"/>
      <c r="Q100" s="399"/>
      <c r="R100" s="399"/>
      <c r="S100" s="399"/>
      <c r="T100" s="399"/>
      <c r="U100" s="399"/>
      <c r="V100" s="398" t="str">
        <f t="shared" si="11"/>
        <v>Blank</v>
      </c>
    </row>
    <row r="101" spans="1:22">
      <c r="A101" s="398" t="str">
        <f t="shared" si="8"/>
        <v/>
      </c>
      <c r="B101" s="399"/>
      <c r="C101" s="398" t="str">
        <f>IFERROR(INDEX(DATA_PROPERTY_MASTER!$B:$B,MATCH($B101,DATA_PROPERTY_MASTER!$A:$A,0)),"")</f>
        <v/>
      </c>
      <c r="D101" s="399"/>
      <c r="E101" s="399"/>
      <c r="F101" s="399"/>
      <c r="G101" s="400"/>
      <c r="H101" s="400"/>
      <c r="I101" s="400"/>
      <c r="J101" s="400"/>
      <c r="K101" s="401"/>
      <c r="L101" s="401"/>
      <c r="M101" s="402">
        <f t="shared" si="9"/>
        <v>0</v>
      </c>
      <c r="N101" s="403" t="str">
        <f t="shared" si="10"/>
        <v/>
      </c>
      <c r="O101" s="399"/>
      <c r="P101" s="399"/>
      <c r="Q101" s="399"/>
      <c r="R101" s="399"/>
      <c r="S101" s="399"/>
      <c r="T101" s="399"/>
      <c r="U101" s="399"/>
      <c r="V101" s="398" t="str">
        <f t="shared" si="11"/>
        <v>Blank</v>
      </c>
    </row>
    <row r="102" spans="1:22">
      <c r="A102" s="398" t="str">
        <f t="shared" si="8"/>
        <v/>
      </c>
      <c r="B102" s="399"/>
      <c r="C102" s="398" t="str">
        <f>IFERROR(INDEX(DATA_PROPERTY_MASTER!$B:$B,MATCH($B102,DATA_PROPERTY_MASTER!$A:$A,0)),"")</f>
        <v/>
      </c>
      <c r="D102" s="399"/>
      <c r="E102" s="399"/>
      <c r="F102" s="399"/>
      <c r="G102" s="400"/>
      <c r="H102" s="400"/>
      <c r="I102" s="400"/>
      <c r="J102" s="400"/>
      <c r="K102" s="401"/>
      <c r="L102" s="401"/>
      <c r="M102" s="402">
        <f t="shared" si="9"/>
        <v>0</v>
      </c>
      <c r="N102" s="403" t="str">
        <f t="shared" si="10"/>
        <v/>
      </c>
      <c r="O102" s="399"/>
      <c r="P102" s="399"/>
      <c r="Q102" s="399"/>
      <c r="R102" s="399"/>
      <c r="S102" s="399"/>
      <c r="T102" s="399"/>
      <c r="U102" s="399"/>
      <c r="V102" s="398" t="str">
        <f t="shared" si="11"/>
        <v>Blank</v>
      </c>
    </row>
    <row r="103" spans="1:22">
      <c r="A103" s="398" t="str">
        <f t="shared" ref="A103:A134" si="12">IF($B103="","","UM-"&amp;TEXT(ROW()-6,"0000"))</f>
        <v/>
      </c>
      <c r="B103" s="399"/>
      <c r="C103" s="398" t="str">
        <f>IFERROR(INDEX(DATA_PROPERTY_MASTER!$B:$B,MATCH($B103,DATA_PROPERTY_MASTER!$A:$A,0)),"")</f>
        <v/>
      </c>
      <c r="D103" s="399"/>
      <c r="E103" s="399"/>
      <c r="F103" s="399"/>
      <c r="G103" s="400"/>
      <c r="H103" s="400"/>
      <c r="I103" s="400"/>
      <c r="J103" s="400"/>
      <c r="K103" s="401"/>
      <c r="L103" s="401"/>
      <c r="M103" s="402">
        <f t="shared" ref="M103:M134" si="13">IFERROR($G103*$K103,"")</f>
        <v>0</v>
      </c>
      <c r="N103" s="403" t="str">
        <f t="shared" ref="N103:N134" si="14">IFERROR(IF($L103&gt;0,1-($K103/$L103),""),"")</f>
        <v/>
      </c>
      <c r="O103" s="399"/>
      <c r="P103" s="399"/>
      <c r="Q103" s="399"/>
      <c r="R103" s="399"/>
      <c r="S103" s="399"/>
      <c r="T103" s="399"/>
      <c r="U103" s="399"/>
      <c r="V103" s="398" t="str">
        <f t="shared" ref="V103:V134" si="15">IF($B103="","Blank",IF(OR($G103="",$K103=""),"Review","OK"))</f>
        <v>Blank</v>
      </c>
    </row>
    <row r="104" spans="1:22">
      <c r="A104" s="398" t="str">
        <f t="shared" si="12"/>
        <v/>
      </c>
      <c r="B104" s="399"/>
      <c r="C104" s="398" t="str">
        <f>IFERROR(INDEX(DATA_PROPERTY_MASTER!$B:$B,MATCH($B104,DATA_PROPERTY_MASTER!$A:$A,0)),"")</f>
        <v/>
      </c>
      <c r="D104" s="399"/>
      <c r="E104" s="399"/>
      <c r="F104" s="399"/>
      <c r="G104" s="400"/>
      <c r="H104" s="400"/>
      <c r="I104" s="400"/>
      <c r="J104" s="400"/>
      <c r="K104" s="401"/>
      <c r="L104" s="401"/>
      <c r="M104" s="402">
        <f t="shared" si="13"/>
        <v>0</v>
      </c>
      <c r="N104" s="403" t="str">
        <f t="shared" si="14"/>
        <v/>
      </c>
      <c r="O104" s="399"/>
      <c r="P104" s="399"/>
      <c r="Q104" s="399"/>
      <c r="R104" s="399"/>
      <c r="S104" s="399"/>
      <c r="T104" s="399"/>
      <c r="U104" s="399"/>
      <c r="V104" s="398" t="str">
        <f t="shared" si="15"/>
        <v>Blank</v>
      </c>
    </row>
    <row r="105" spans="1:22">
      <c r="A105" s="398" t="str">
        <f t="shared" si="12"/>
        <v/>
      </c>
      <c r="B105" s="399"/>
      <c r="C105" s="398" t="str">
        <f>IFERROR(INDEX(DATA_PROPERTY_MASTER!$B:$B,MATCH($B105,DATA_PROPERTY_MASTER!$A:$A,0)),"")</f>
        <v/>
      </c>
      <c r="D105" s="399"/>
      <c r="E105" s="399"/>
      <c r="F105" s="399"/>
      <c r="G105" s="400"/>
      <c r="H105" s="400"/>
      <c r="I105" s="400"/>
      <c r="J105" s="400"/>
      <c r="K105" s="401"/>
      <c r="L105" s="401"/>
      <c r="M105" s="402">
        <f t="shared" si="13"/>
        <v>0</v>
      </c>
      <c r="N105" s="403" t="str">
        <f t="shared" si="14"/>
        <v/>
      </c>
      <c r="O105" s="399"/>
      <c r="P105" s="399"/>
      <c r="Q105" s="399"/>
      <c r="R105" s="399"/>
      <c r="S105" s="399"/>
      <c r="T105" s="399"/>
      <c r="U105" s="399"/>
      <c r="V105" s="398" t="str">
        <f t="shared" si="15"/>
        <v>Blank</v>
      </c>
    </row>
    <row r="106" spans="1:22">
      <c r="A106" s="398" t="str">
        <f t="shared" si="12"/>
        <v/>
      </c>
      <c r="B106" s="399"/>
      <c r="C106" s="398" t="str">
        <f>IFERROR(INDEX(DATA_PROPERTY_MASTER!$B:$B,MATCH($B106,DATA_PROPERTY_MASTER!$A:$A,0)),"")</f>
        <v/>
      </c>
      <c r="D106" s="399"/>
      <c r="E106" s="399"/>
      <c r="F106" s="399"/>
      <c r="G106" s="400"/>
      <c r="H106" s="400"/>
      <c r="I106" s="400"/>
      <c r="J106" s="400"/>
      <c r="K106" s="401"/>
      <c r="L106" s="401"/>
      <c r="M106" s="402">
        <f t="shared" si="13"/>
        <v>0</v>
      </c>
      <c r="N106" s="403" t="str">
        <f t="shared" si="14"/>
        <v/>
      </c>
      <c r="O106" s="399"/>
      <c r="P106" s="399"/>
      <c r="Q106" s="399"/>
      <c r="R106" s="399"/>
      <c r="S106" s="399"/>
      <c r="T106" s="399"/>
      <c r="U106" s="399"/>
      <c r="V106" s="398" t="str">
        <f t="shared" si="15"/>
        <v>Blank</v>
      </c>
    </row>
    <row r="107" spans="1:22">
      <c r="A107" s="398" t="str">
        <f t="shared" si="12"/>
        <v/>
      </c>
      <c r="B107" s="399"/>
      <c r="C107" s="398" t="str">
        <f>IFERROR(INDEX(DATA_PROPERTY_MASTER!$B:$B,MATCH($B107,DATA_PROPERTY_MASTER!$A:$A,0)),"")</f>
        <v/>
      </c>
      <c r="D107" s="399"/>
      <c r="E107" s="399"/>
      <c r="F107" s="399"/>
      <c r="G107" s="400"/>
      <c r="H107" s="400"/>
      <c r="I107" s="400"/>
      <c r="J107" s="400"/>
      <c r="K107" s="401"/>
      <c r="L107" s="401"/>
      <c r="M107" s="402">
        <f t="shared" si="13"/>
        <v>0</v>
      </c>
      <c r="N107" s="403" t="str">
        <f t="shared" si="14"/>
        <v/>
      </c>
      <c r="O107" s="399"/>
      <c r="P107" s="399"/>
      <c r="Q107" s="399"/>
      <c r="R107" s="399"/>
      <c r="S107" s="399"/>
      <c r="T107" s="399"/>
      <c r="U107" s="399"/>
      <c r="V107" s="398" t="str">
        <f t="shared" si="15"/>
        <v>Blank</v>
      </c>
    </row>
    <row r="108" spans="1:22">
      <c r="A108" s="398" t="str">
        <f t="shared" si="12"/>
        <v/>
      </c>
      <c r="B108" s="399"/>
      <c r="C108" s="398" t="str">
        <f>IFERROR(INDEX(DATA_PROPERTY_MASTER!$B:$B,MATCH($B108,DATA_PROPERTY_MASTER!$A:$A,0)),"")</f>
        <v/>
      </c>
      <c r="D108" s="399"/>
      <c r="E108" s="399"/>
      <c r="F108" s="399"/>
      <c r="G108" s="400"/>
      <c r="H108" s="400"/>
      <c r="I108" s="400"/>
      <c r="J108" s="400"/>
      <c r="K108" s="401"/>
      <c r="L108" s="401"/>
      <c r="M108" s="402">
        <f t="shared" si="13"/>
        <v>0</v>
      </c>
      <c r="N108" s="403" t="str">
        <f t="shared" si="14"/>
        <v/>
      </c>
      <c r="O108" s="399"/>
      <c r="P108" s="399"/>
      <c r="Q108" s="399"/>
      <c r="R108" s="399"/>
      <c r="S108" s="399"/>
      <c r="T108" s="399"/>
      <c r="U108" s="399"/>
      <c r="V108" s="398" t="str">
        <f t="shared" si="15"/>
        <v>Blank</v>
      </c>
    </row>
    <row r="109" spans="1:22">
      <c r="A109" s="398" t="str">
        <f t="shared" si="12"/>
        <v/>
      </c>
      <c r="B109" s="399"/>
      <c r="C109" s="398" t="str">
        <f>IFERROR(INDEX(DATA_PROPERTY_MASTER!$B:$B,MATCH($B109,DATA_PROPERTY_MASTER!$A:$A,0)),"")</f>
        <v/>
      </c>
      <c r="D109" s="399"/>
      <c r="E109" s="399"/>
      <c r="F109" s="399"/>
      <c r="G109" s="400"/>
      <c r="H109" s="400"/>
      <c r="I109" s="400"/>
      <c r="J109" s="400"/>
      <c r="K109" s="401"/>
      <c r="L109" s="401"/>
      <c r="M109" s="402">
        <f t="shared" si="13"/>
        <v>0</v>
      </c>
      <c r="N109" s="403" t="str">
        <f t="shared" si="14"/>
        <v/>
      </c>
      <c r="O109" s="399"/>
      <c r="P109" s="399"/>
      <c r="Q109" s="399"/>
      <c r="R109" s="399"/>
      <c r="S109" s="399"/>
      <c r="T109" s="399"/>
      <c r="U109" s="399"/>
      <c r="V109" s="398" t="str">
        <f t="shared" si="15"/>
        <v>Blank</v>
      </c>
    </row>
    <row r="110" spans="1:22">
      <c r="A110" s="398" t="str">
        <f t="shared" si="12"/>
        <v/>
      </c>
      <c r="B110" s="399"/>
      <c r="C110" s="398" t="str">
        <f>IFERROR(INDEX(DATA_PROPERTY_MASTER!$B:$B,MATCH($B110,DATA_PROPERTY_MASTER!$A:$A,0)),"")</f>
        <v/>
      </c>
      <c r="D110" s="399"/>
      <c r="E110" s="399"/>
      <c r="F110" s="399"/>
      <c r="G110" s="400"/>
      <c r="H110" s="400"/>
      <c r="I110" s="400"/>
      <c r="J110" s="400"/>
      <c r="K110" s="401"/>
      <c r="L110" s="401"/>
      <c r="M110" s="402">
        <f t="shared" si="13"/>
        <v>0</v>
      </c>
      <c r="N110" s="403" t="str">
        <f t="shared" si="14"/>
        <v/>
      </c>
      <c r="O110" s="399"/>
      <c r="P110" s="399"/>
      <c r="Q110" s="399"/>
      <c r="R110" s="399"/>
      <c r="S110" s="399"/>
      <c r="T110" s="399"/>
      <c r="U110" s="399"/>
      <c r="V110" s="398" t="str">
        <f t="shared" si="15"/>
        <v>Blank</v>
      </c>
    </row>
    <row r="111" spans="1:22">
      <c r="A111" s="398" t="str">
        <f t="shared" si="12"/>
        <v/>
      </c>
      <c r="B111" s="399"/>
      <c r="C111" s="398" t="str">
        <f>IFERROR(INDEX(DATA_PROPERTY_MASTER!$B:$B,MATCH($B111,DATA_PROPERTY_MASTER!$A:$A,0)),"")</f>
        <v/>
      </c>
      <c r="D111" s="399"/>
      <c r="E111" s="399"/>
      <c r="F111" s="399"/>
      <c r="G111" s="400"/>
      <c r="H111" s="400"/>
      <c r="I111" s="400"/>
      <c r="J111" s="400"/>
      <c r="K111" s="401"/>
      <c r="L111" s="401"/>
      <c r="M111" s="402">
        <f t="shared" si="13"/>
        <v>0</v>
      </c>
      <c r="N111" s="403" t="str">
        <f t="shared" si="14"/>
        <v/>
      </c>
      <c r="O111" s="399"/>
      <c r="P111" s="399"/>
      <c r="Q111" s="399"/>
      <c r="R111" s="399"/>
      <c r="S111" s="399"/>
      <c r="T111" s="399"/>
      <c r="U111" s="399"/>
      <c r="V111" s="398" t="str">
        <f t="shared" si="15"/>
        <v>Blank</v>
      </c>
    </row>
    <row r="112" spans="1:22">
      <c r="A112" s="398" t="str">
        <f t="shared" si="12"/>
        <v/>
      </c>
      <c r="B112" s="399"/>
      <c r="C112" s="398" t="str">
        <f>IFERROR(INDEX(DATA_PROPERTY_MASTER!$B:$B,MATCH($B112,DATA_PROPERTY_MASTER!$A:$A,0)),"")</f>
        <v/>
      </c>
      <c r="D112" s="399"/>
      <c r="E112" s="399"/>
      <c r="F112" s="399"/>
      <c r="G112" s="400"/>
      <c r="H112" s="400"/>
      <c r="I112" s="400"/>
      <c r="J112" s="400"/>
      <c r="K112" s="401"/>
      <c r="L112" s="401"/>
      <c r="M112" s="402">
        <f t="shared" si="13"/>
        <v>0</v>
      </c>
      <c r="N112" s="403" t="str">
        <f t="shared" si="14"/>
        <v/>
      </c>
      <c r="O112" s="399"/>
      <c r="P112" s="399"/>
      <c r="Q112" s="399"/>
      <c r="R112" s="399"/>
      <c r="S112" s="399"/>
      <c r="T112" s="399"/>
      <c r="U112" s="399"/>
      <c r="V112" s="398" t="str">
        <f t="shared" si="15"/>
        <v>Blank</v>
      </c>
    </row>
    <row r="113" spans="1:22">
      <c r="A113" s="398" t="str">
        <f t="shared" si="12"/>
        <v/>
      </c>
      <c r="B113" s="399"/>
      <c r="C113" s="398" t="str">
        <f>IFERROR(INDEX(DATA_PROPERTY_MASTER!$B:$B,MATCH($B113,DATA_PROPERTY_MASTER!$A:$A,0)),"")</f>
        <v/>
      </c>
      <c r="D113" s="399"/>
      <c r="E113" s="399"/>
      <c r="F113" s="399"/>
      <c r="G113" s="400"/>
      <c r="H113" s="400"/>
      <c r="I113" s="400"/>
      <c r="J113" s="400"/>
      <c r="K113" s="401"/>
      <c r="L113" s="401"/>
      <c r="M113" s="402">
        <f t="shared" si="13"/>
        <v>0</v>
      </c>
      <c r="N113" s="403" t="str">
        <f t="shared" si="14"/>
        <v/>
      </c>
      <c r="O113" s="399"/>
      <c r="P113" s="399"/>
      <c r="Q113" s="399"/>
      <c r="R113" s="399"/>
      <c r="S113" s="399"/>
      <c r="T113" s="399"/>
      <c r="U113" s="399"/>
      <c r="V113" s="398" t="str">
        <f t="shared" si="15"/>
        <v>Blank</v>
      </c>
    </row>
    <row r="114" spans="1:22">
      <c r="A114" s="398" t="str">
        <f t="shared" si="12"/>
        <v/>
      </c>
      <c r="B114" s="399"/>
      <c r="C114" s="398" t="str">
        <f>IFERROR(INDEX(DATA_PROPERTY_MASTER!$B:$B,MATCH($B114,DATA_PROPERTY_MASTER!$A:$A,0)),"")</f>
        <v/>
      </c>
      <c r="D114" s="399"/>
      <c r="E114" s="399"/>
      <c r="F114" s="399"/>
      <c r="G114" s="400"/>
      <c r="H114" s="400"/>
      <c r="I114" s="400"/>
      <c r="J114" s="400"/>
      <c r="K114" s="401"/>
      <c r="L114" s="401"/>
      <c r="M114" s="402">
        <f t="shared" si="13"/>
        <v>0</v>
      </c>
      <c r="N114" s="403" t="str">
        <f t="shared" si="14"/>
        <v/>
      </c>
      <c r="O114" s="399"/>
      <c r="P114" s="399"/>
      <c r="Q114" s="399"/>
      <c r="R114" s="399"/>
      <c r="S114" s="399"/>
      <c r="T114" s="399"/>
      <c r="U114" s="399"/>
      <c r="V114" s="398" t="str">
        <f t="shared" si="15"/>
        <v>Blank</v>
      </c>
    </row>
    <row r="115" spans="1:22">
      <c r="A115" s="398" t="str">
        <f t="shared" si="12"/>
        <v/>
      </c>
      <c r="B115" s="399"/>
      <c r="C115" s="398" t="str">
        <f>IFERROR(INDEX(DATA_PROPERTY_MASTER!$B:$B,MATCH($B115,DATA_PROPERTY_MASTER!$A:$A,0)),"")</f>
        <v/>
      </c>
      <c r="D115" s="399"/>
      <c r="E115" s="399"/>
      <c r="F115" s="399"/>
      <c r="G115" s="400"/>
      <c r="H115" s="400"/>
      <c r="I115" s="400"/>
      <c r="J115" s="400"/>
      <c r="K115" s="401"/>
      <c r="L115" s="401"/>
      <c r="M115" s="402">
        <f t="shared" si="13"/>
        <v>0</v>
      </c>
      <c r="N115" s="403" t="str">
        <f t="shared" si="14"/>
        <v/>
      </c>
      <c r="O115" s="399"/>
      <c r="P115" s="399"/>
      <c r="Q115" s="399"/>
      <c r="R115" s="399"/>
      <c r="S115" s="399"/>
      <c r="T115" s="399"/>
      <c r="U115" s="399"/>
      <c r="V115" s="398" t="str">
        <f t="shared" si="15"/>
        <v>Blank</v>
      </c>
    </row>
    <row r="116" spans="1:22">
      <c r="A116" s="398" t="str">
        <f t="shared" si="12"/>
        <v/>
      </c>
      <c r="B116" s="399"/>
      <c r="C116" s="398" t="str">
        <f>IFERROR(INDEX(DATA_PROPERTY_MASTER!$B:$B,MATCH($B116,DATA_PROPERTY_MASTER!$A:$A,0)),"")</f>
        <v/>
      </c>
      <c r="D116" s="399"/>
      <c r="E116" s="399"/>
      <c r="F116" s="399"/>
      <c r="G116" s="400"/>
      <c r="H116" s="400"/>
      <c r="I116" s="400"/>
      <c r="J116" s="400"/>
      <c r="K116" s="401"/>
      <c r="L116" s="401"/>
      <c r="M116" s="402">
        <f t="shared" si="13"/>
        <v>0</v>
      </c>
      <c r="N116" s="403" t="str">
        <f t="shared" si="14"/>
        <v/>
      </c>
      <c r="O116" s="399"/>
      <c r="P116" s="399"/>
      <c r="Q116" s="399"/>
      <c r="R116" s="399"/>
      <c r="S116" s="399"/>
      <c r="T116" s="399"/>
      <c r="U116" s="399"/>
      <c r="V116" s="398" t="str">
        <f t="shared" si="15"/>
        <v>Blank</v>
      </c>
    </row>
    <row r="117" spans="1:22">
      <c r="A117" s="398" t="str">
        <f t="shared" si="12"/>
        <v/>
      </c>
      <c r="B117" s="399"/>
      <c r="C117" s="398" t="str">
        <f>IFERROR(INDEX(DATA_PROPERTY_MASTER!$B:$B,MATCH($B117,DATA_PROPERTY_MASTER!$A:$A,0)),"")</f>
        <v/>
      </c>
      <c r="D117" s="399"/>
      <c r="E117" s="399"/>
      <c r="F117" s="399"/>
      <c r="G117" s="400"/>
      <c r="H117" s="400"/>
      <c r="I117" s="400"/>
      <c r="J117" s="400"/>
      <c r="K117" s="401"/>
      <c r="L117" s="401"/>
      <c r="M117" s="402">
        <f t="shared" si="13"/>
        <v>0</v>
      </c>
      <c r="N117" s="403" t="str">
        <f t="shared" si="14"/>
        <v/>
      </c>
      <c r="O117" s="399"/>
      <c r="P117" s="399"/>
      <c r="Q117" s="399"/>
      <c r="R117" s="399"/>
      <c r="S117" s="399"/>
      <c r="T117" s="399"/>
      <c r="U117" s="399"/>
      <c r="V117" s="398" t="str">
        <f t="shared" si="15"/>
        <v>Blank</v>
      </c>
    </row>
    <row r="118" spans="1:22">
      <c r="A118" s="398" t="str">
        <f t="shared" si="12"/>
        <v/>
      </c>
      <c r="B118" s="399"/>
      <c r="C118" s="398" t="str">
        <f>IFERROR(INDEX(DATA_PROPERTY_MASTER!$B:$B,MATCH($B118,DATA_PROPERTY_MASTER!$A:$A,0)),"")</f>
        <v/>
      </c>
      <c r="D118" s="399"/>
      <c r="E118" s="399"/>
      <c r="F118" s="399"/>
      <c r="G118" s="400"/>
      <c r="H118" s="400"/>
      <c r="I118" s="400"/>
      <c r="J118" s="400"/>
      <c r="K118" s="401"/>
      <c r="L118" s="401"/>
      <c r="M118" s="402">
        <f t="shared" si="13"/>
        <v>0</v>
      </c>
      <c r="N118" s="403" t="str">
        <f t="shared" si="14"/>
        <v/>
      </c>
      <c r="O118" s="399"/>
      <c r="P118" s="399"/>
      <c r="Q118" s="399"/>
      <c r="R118" s="399"/>
      <c r="S118" s="399"/>
      <c r="T118" s="399"/>
      <c r="U118" s="399"/>
      <c r="V118" s="398" t="str">
        <f t="shared" si="15"/>
        <v>Blank</v>
      </c>
    </row>
    <row r="119" spans="1:22">
      <c r="A119" s="398" t="str">
        <f t="shared" si="12"/>
        <v/>
      </c>
      <c r="B119" s="399"/>
      <c r="C119" s="398" t="str">
        <f>IFERROR(INDEX(DATA_PROPERTY_MASTER!$B:$B,MATCH($B119,DATA_PROPERTY_MASTER!$A:$A,0)),"")</f>
        <v/>
      </c>
      <c r="D119" s="399"/>
      <c r="E119" s="399"/>
      <c r="F119" s="399"/>
      <c r="G119" s="400"/>
      <c r="H119" s="400"/>
      <c r="I119" s="400"/>
      <c r="J119" s="400"/>
      <c r="K119" s="401"/>
      <c r="L119" s="401"/>
      <c r="M119" s="402">
        <f t="shared" si="13"/>
        <v>0</v>
      </c>
      <c r="N119" s="403" t="str">
        <f t="shared" si="14"/>
        <v/>
      </c>
      <c r="O119" s="399"/>
      <c r="P119" s="399"/>
      <c r="Q119" s="399"/>
      <c r="R119" s="399"/>
      <c r="S119" s="399"/>
      <c r="T119" s="399"/>
      <c r="U119" s="399"/>
      <c r="V119" s="398" t="str">
        <f t="shared" si="15"/>
        <v>Blank</v>
      </c>
    </row>
    <row r="120" spans="1:22">
      <c r="A120" s="398" t="str">
        <f t="shared" si="12"/>
        <v/>
      </c>
      <c r="B120" s="399"/>
      <c r="C120" s="398" t="str">
        <f>IFERROR(INDEX(DATA_PROPERTY_MASTER!$B:$B,MATCH($B120,DATA_PROPERTY_MASTER!$A:$A,0)),"")</f>
        <v/>
      </c>
      <c r="D120" s="399"/>
      <c r="E120" s="399"/>
      <c r="F120" s="399"/>
      <c r="G120" s="400"/>
      <c r="H120" s="400"/>
      <c r="I120" s="400"/>
      <c r="J120" s="400"/>
      <c r="K120" s="401"/>
      <c r="L120" s="401"/>
      <c r="M120" s="402">
        <f t="shared" si="13"/>
        <v>0</v>
      </c>
      <c r="N120" s="403" t="str">
        <f t="shared" si="14"/>
        <v/>
      </c>
      <c r="O120" s="399"/>
      <c r="P120" s="399"/>
      <c r="Q120" s="399"/>
      <c r="R120" s="399"/>
      <c r="S120" s="399"/>
      <c r="T120" s="399"/>
      <c r="U120" s="399"/>
      <c r="V120" s="398" t="str">
        <f t="shared" si="15"/>
        <v>Blank</v>
      </c>
    </row>
    <row r="121" spans="1:22">
      <c r="A121" s="398" t="str">
        <f t="shared" si="12"/>
        <v/>
      </c>
      <c r="B121" s="399"/>
      <c r="C121" s="398" t="str">
        <f>IFERROR(INDEX(DATA_PROPERTY_MASTER!$B:$B,MATCH($B121,DATA_PROPERTY_MASTER!$A:$A,0)),"")</f>
        <v/>
      </c>
      <c r="D121" s="399"/>
      <c r="E121" s="399"/>
      <c r="F121" s="399"/>
      <c r="G121" s="400"/>
      <c r="H121" s="400"/>
      <c r="I121" s="400"/>
      <c r="J121" s="400"/>
      <c r="K121" s="401"/>
      <c r="L121" s="401"/>
      <c r="M121" s="402">
        <f t="shared" si="13"/>
        <v>0</v>
      </c>
      <c r="N121" s="403" t="str">
        <f t="shared" si="14"/>
        <v/>
      </c>
      <c r="O121" s="399"/>
      <c r="P121" s="399"/>
      <c r="Q121" s="399"/>
      <c r="R121" s="399"/>
      <c r="S121" s="399"/>
      <c r="T121" s="399"/>
      <c r="U121" s="399"/>
      <c r="V121" s="398" t="str">
        <f t="shared" si="15"/>
        <v>Blank</v>
      </c>
    </row>
    <row r="122" spans="1:22">
      <c r="A122" s="398" t="str">
        <f t="shared" si="12"/>
        <v/>
      </c>
      <c r="B122" s="399"/>
      <c r="C122" s="398" t="str">
        <f>IFERROR(INDEX(DATA_PROPERTY_MASTER!$B:$B,MATCH($B122,DATA_PROPERTY_MASTER!$A:$A,0)),"")</f>
        <v/>
      </c>
      <c r="D122" s="399"/>
      <c r="E122" s="399"/>
      <c r="F122" s="399"/>
      <c r="G122" s="400"/>
      <c r="H122" s="400"/>
      <c r="I122" s="400"/>
      <c r="J122" s="400"/>
      <c r="K122" s="401"/>
      <c r="L122" s="401"/>
      <c r="M122" s="402">
        <f t="shared" si="13"/>
        <v>0</v>
      </c>
      <c r="N122" s="403" t="str">
        <f t="shared" si="14"/>
        <v/>
      </c>
      <c r="O122" s="399"/>
      <c r="P122" s="399"/>
      <c r="Q122" s="399"/>
      <c r="R122" s="399"/>
      <c r="S122" s="399"/>
      <c r="T122" s="399"/>
      <c r="U122" s="399"/>
      <c r="V122" s="398" t="str">
        <f t="shared" si="15"/>
        <v>Blank</v>
      </c>
    </row>
    <row r="123" spans="1:22">
      <c r="A123" s="398" t="str">
        <f t="shared" si="12"/>
        <v/>
      </c>
      <c r="B123" s="399"/>
      <c r="C123" s="398" t="str">
        <f>IFERROR(INDEX(DATA_PROPERTY_MASTER!$B:$B,MATCH($B123,DATA_PROPERTY_MASTER!$A:$A,0)),"")</f>
        <v/>
      </c>
      <c r="D123" s="399"/>
      <c r="E123" s="399"/>
      <c r="F123" s="399"/>
      <c r="G123" s="400"/>
      <c r="H123" s="400"/>
      <c r="I123" s="400"/>
      <c r="J123" s="400"/>
      <c r="K123" s="401"/>
      <c r="L123" s="401"/>
      <c r="M123" s="402">
        <f t="shared" si="13"/>
        <v>0</v>
      </c>
      <c r="N123" s="403" t="str">
        <f t="shared" si="14"/>
        <v/>
      </c>
      <c r="O123" s="399"/>
      <c r="P123" s="399"/>
      <c r="Q123" s="399"/>
      <c r="R123" s="399"/>
      <c r="S123" s="399"/>
      <c r="T123" s="399"/>
      <c r="U123" s="399"/>
      <c r="V123" s="398" t="str">
        <f t="shared" si="15"/>
        <v>Blank</v>
      </c>
    </row>
    <row r="124" spans="1:22">
      <c r="A124" s="398" t="str">
        <f t="shared" si="12"/>
        <v/>
      </c>
      <c r="B124" s="399"/>
      <c r="C124" s="398" t="str">
        <f>IFERROR(INDEX(DATA_PROPERTY_MASTER!$B:$B,MATCH($B124,DATA_PROPERTY_MASTER!$A:$A,0)),"")</f>
        <v/>
      </c>
      <c r="D124" s="399"/>
      <c r="E124" s="399"/>
      <c r="F124" s="399"/>
      <c r="G124" s="400"/>
      <c r="H124" s="400"/>
      <c r="I124" s="400"/>
      <c r="J124" s="400"/>
      <c r="K124" s="401"/>
      <c r="L124" s="401"/>
      <c r="M124" s="402">
        <f t="shared" si="13"/>
        <v>0</v>
      </c>
      <c r="N124" s="403" t="str">
        <f t="shared" si="14"/>
        <v/>
      </c>
      <c r="O124" s="399"/>
      <c r="P124" s="399"/>
      <c r="Q124" s="399"/>
      <c r="R124" s="399"/>
      <c r="S124" s="399"/>
      <c r="T124" s="399"/>
      <c r="U124" s="399"/>
      <c r="V124" s="398" t="str">
        <f t="shared" si="15"/>
        <v>Blank</v>
      </c>
    </row>
    <row r="125" spans="1:22">
      <c r="A125" s="398" t="str">
        <f t="shared" si="12"/>
        <v/>
      </c>
      <c r="B125" s="399"/>
      <c r="C125" s="398" t="str">
        <f>IFERROR(INDEX(DATA_PROPERTY_MASTER!$B:$B,MATCH($B125,DATA_PROPERTY_MASTER!$A:$A,0)),"")</f>
        <v/>
      </c>
      <c r="D125" s="399"/>
      <c r="E125" s="399"/>
      <c r="F125" s="399"/>
      <c r="G125" s="400"/>
      <c r="H125" s="400"/>
      <c r="I125" s="400"/>
      <c r="J125" s="400"/>
      <c r="K125" s="401"/>
      <c r="L125" s="401"/>
      <c r="M125" s="402">
        <f t="shared" si="13"/>
        <v>0</v>
      </c>
      <c r="N125" s="403" t="str">
        <f t="shared" si="14"/>
        <v/>
      </c>
      <c r="O125" s="399"/>
      <c r="P125" s="399"/>
      <c r="Q125" s="399"/>
      <c r="R125" s="399"/>
      <c r="S125" s="399"/>
      <c r="T125" s="399"/>
      <c r="U125" s="399"/>
      <c r="V125" s="398" t="str">
        <f t="shared" si="15"/>
        <v>Blank</v>
      </c>
    </row>
    <row r="126" spans="1:22">
      <c r="A126" s="398" t="str">
        <f t="shared" si="12"/>
        <v/>
      </c>
      <c r="B126" s="399"/>
      <c r="C126" s="398" t="str">
        <f>IFERROR(INDEX(DATA_PROPERTY_MASTER!$B:$B,MATCH($B126,DATA_PROPERTY_MASTER!$A:$A,0)),"")</f>
        <v/>
      </c>
      <c r="D126" s="399"/>
      <c r="E126" s="399"/>
      <c r="F126" s="399"/>
      <c r="G126" s="400"/>
      <c r="H126" s="400"/>
      <c r="I126" s="400"/>
      <c r="J126" s="400"/>
      <c r="K126" s="401"/>
      <c r="L126" s="401"/>
      <c r="M126" s="402">
        <f t="shared" si="13"/>
        <v>0</v>
      </c>
      <c r="N126" s="403" t="str">
        <f t="shared" si="14"/>
        <v/>
      </c>
      <c r="O126" s="399"/>
      <c r="P126" s="399"/>
      <c r="Q126" s="399"/>
      <c r="R126" s="399"/>
      <c r="S126" s="399"/>
      <c r="T126" s="399"/>
      <c r="U126" s="399"/>
      <c r="V126" s="398" t="str">
        <f t="shared" si="15"/>
        <v>Blank</v>
      </c>
    </row>
    <row r="127" spans="1:22">
      <c r="A127" s="398" t="str">
        <f t="shared" si="12"/>
        <v/>
      </c>
      <c r="B127" s="399"/>
      <c r="C127" s="398" t="str">
        <f>IFERROR(INDEX(DATA_PROPERTY_MASTER!$B:$B,MATCH($B127,DATA_PROPERTY_MASTER!$A:$A,0)),"")</f>
        <v/>
      </c>
      <c r="D127" s="399"/>
      <c r="E127" s="399"/>
      <c r="F127" s="399"/>
      <c r="G127" s="400"/>
      <c r="H127" s="400"/>
      <c r="I127" s="400"/>
      <c r="J127" s="400"/>
      <c r="K127" s="401"/>
      <c r="L127" s="401"/>
      <c r="M127" s="402">
        <f t="shared" si="13"/>
        <v>0</v>
      </c>
      <c r="N127" s="403" t="str">
        <f t="shared" si="14"/>
        <v/>
      </c>
      <c r="O127" s="399"/>
      <c r="P127" s="399"/>
      <c r="Q127" s="399"/>
      <c r="R127" s="399"/>
      <c r="S127" s="399"/>
      <c r="T127" s="399"/>
      <c r="U127" s="399"/>
      <c r="V127" s="398" t="str">
        <f t="shared" si="15"/>
        <v>Blank</v>
      </c>
    </row>
    <row r="128" spans="1:22">
      <c r="A128" s="398" t="str">
        <f t="shared" si="12"/>
        <v/>
      </c>
      <c r="B128" s="399"/>
      <c r="C128" s="398" t="str">
        <f>IFERROR(INDEX(DATA_PROPERTY_MASTER!$B:$B,MATCH($B128,DATA_PROPERTY_MASTER!$A:$A,0)),"")</f>
        <v/>
      </c>
      <c r="D128" s="399"/>
      <c r="E128" s="399"/>
      <c r="F128" s="399"/>
      <c r="G128" s="400"/>
      <c r="H128" s="400"/>
      <c r="I128" s="400"/>
      <c r="J128" s="400"/>
      <c r="K128" s="401"/>
      <c r="L128" s="401"/>
      <c r="M128" s="402">
        <f t="shared" si="13"/>
        <v>0</v>
      </c>
      <c r="N128" s="403" t="str">
        <f t="shared" si="14"/>
        <v/>
      </c>
      <c r="O128" s="399"/>
      <c r="P128" s="399"/>
      <c r="Q128" s="399"/>
      <c r="R128" s="399"/>
      <c r="S128" s="399"/>
      <c r="T128" s="399"/>
      <c r="U128" s="399"/>
      <c r="V128" s="398" t="str">
        <f t="shared" si="15"/>
        <v>Blank</v>
      </c>
    </row>
    <row r="129" spans="1:22">
      <c r="A129" s="398" t="str">
        <f t="shared" si="12"/>
        <v/>
      </c>
      <c r="B129" s="399"/>
      <c r="C129" s="398" t="str">
        <f>IFERROR(INDEX(DATA_PROPERTY_MASTER!$B:$B,MATCH($B129,DATA_PROPERTY_MASTER!$A:$A,0)),"")</f>
        <v/>
      </c>
      <c r="D129" s="399"/>
      <c r="E129" s="399"/>
      <c r="F129" s="399"/>
      <c r="G129" s="400"/>
      <c r="H129" s="400"/>
      <c r="I129" s="400"/>
      <c r="J129" s="400"/>
      <c r="K129" s="401"/>
      <c r="L129" s="401"/>
      <c r="M129" s="402">
        <f t="shared" si="13"/>
        <v>0</v>
      </c>
      <c r="N129" s="403" t="str">
        <f t="shared" si="14"/>
        <v/>
      </c>
      <c r="O129" s="399"/>
      <c r="P129" s="399"/>
      <c r="Q129" s="399"/>
      <c r="R129" s="399"/>
      <c r="S129" s="399"/>
      <c r="T129" s="399"/>
      <c r="U129" s="399"/>
      <c r="V129" s="398" t="str">
        <f t="shared" si="15"/>
        <v>Blank</v>
      </c>
    </row>
    <row r="130" spans="1:22">
      <c r="A130" s="398" t="str">
        <f t="shared" si="12"/>
        <v/>
      </c>
      <c r="B130" s="399"/>
      <c r="C130" s="398" t="str">
        <f>IFERROR(INDEX(DATA_PROPERTY_MASTER!$B:$B,MATCH($B130,DATA_PROPERTY_MASTER!$A:$A,0)),"")</f>
        <v/>
      </c>
      <c r="D130" s="399"/>
      <c r="E130" s="399"/>
      <c r="F130" s="399"/>
      <c r="G130" s="400"/>
      <c r="H130" s="400"/>
      <c r="I130" s="400"/>
      <c r="J130" s="400"/>
      <c r="K130" s="401"/>
      <c r="L130" s="401"/>
      <c r="M130" s="402">
        <f t="shared" si="13"/>
        <v>0</v>
      </c>
      <c r="N130" s="403" t="str">
        <f t="shared" si="14"/>
        <v/>
      </c>
      <c r="O130" s="399"/>
      <c r="P130" s="399"/>
      <c r="Q130" s="399"/>
      <c r="R130" s="399"/>
      <c r="S130" s="399"/>
      <c r="T130" s="399"/>
      <c r="U130" s="399"/>
      <c r="V130" s="398" t="str">
        <f t="shared" si="15"/>
        <v>Blank</v>
      </c>
    </row>
    <row r="131" spans="1:22">
      <c r="A131" s="398" t="str">
        <f t="shared" si="12"/>
        <v/>
      </c>
      <c r="B131" s="399"/>
      <c r="C131" s="398" t="str">
        <f>IFERROR(INDEX(DATA_PROPERTY_MASTER!$B:$B,MATCH($B131,DATA_PROPERTY_MASTER!$A:$A,0)),"")</f>
        <v/>
      </c>
      <c r="D131" s="399"/>
      <c r="E131" s="399"/>
      <c r="F131" s="399"/>
      <c r="G131" s="400"/>
      <c r="H131" s="400"/>
      <c r="I131" s="400"/>
      <c r="J131" s="400"/>
      <c r="K131" s="401"/>
      <c r="L131" s="401"/>
      <c r="M131" s="402">
        <f t="shared" si="13"/>
        <v>0</v>
      </c>
      <c r="N131" s="403" t="str">
        <f t="shared" si="14"/>
        <v/>
      </c>
      <c r="O131" s="399"/>
      <c r="P131" s="399"/>
      <c r="Q131" s="399"/>
      <c r="R131" s="399"/>
      <c r="S131" s="399"/>
      <c r="T131" s="399"/>
      <c r="U131" s="399"/>
      <c r="V131" s="398" t="str">
        <f t="shared" si="15"/>
        <v>Blank</v>
      </c>
    </row>
    <row r="132" spans="1:22">
      <c r="A132" s="398" t="str">
        <f t="shared" si="12"/>
        <v/>
      </c>
      <c r="B132" s="399"/>
      <c r="C132" s="398" t="str">
        <f>IFERROR(INDEX(DATA_PROPERTY_MASTER!$B:$B,MATCH($B132,DATA_PROPERTY_MASTER!$A:$A,0)),"")</f>
        <v/>
      </c>
      <c r="D132" s="399"/>
      <c r="E132" s="399"/>
      <c r="F132" s="399"/>
      <c r="G132" s="400"/>
      <c r="H132" s="400"/>
      <c r="I132" s="400"/>
      <c r="J132" s="400"/>
      <c r="K132" s="401"/>
      <c r="L132" s="401"/>
      <c r="M132" s="402">
        <f t="shared" si="13"/>
        <v>0</v>
      </c>
      <c r="N132" s="403" t="str">
        <f t="shared" si="14"/>
        <v/>
      </c>
      <c r="O132" s="399"/>
      <c r="P132" s="399"/>
      <c r="Q132" s="399"/>
      <c r="R132" s="399"/>
      <c r="S132" s="399"/>
      <c r="T132" s="399"/>
      <c r="U132" s="399"/>
      <c r="V132" s="398" t="str">
        <f t="shared" si="15"/>
        <v>Blank</v>
      </c>
    </row>
    <row r="133" spans="1:22">
      <c r="A133" s="398" t="str">
        <f t="shared" si="12"/>
        <v/>
      </c>
      <c r="B133" s="399"/>
      <c r="C133" s="398" t="str">
        <f>IFERROR(INDEX(DATA_PROPERTY_MASTER!$B:$B,MATCH($B133,DATA_PROPERTY_MASTER!$A:$A,0)),"")</f>
        <v/>
      </c>
      <c r="D133" s="399"/>
      <c r="E133" s="399"/>
      <c r="F133" s="399"/>
      <c r="G133" s="400"/>
      <c r="H133" s="400"/>
      <c r="I133" s="400"/>
      <c r="J133" s="400"/>
      <c r="K133" s="401"/>
      <c r="L133" s="401"/>
      <c r="M133" s="402">
        <f t="shared" si="13"/>
        <v>0</v>
      </c>
      <c r="N133" s="403" t="str">
        <f t="shared" si="14"/>
        <v/>
      </c>
      <c r="O133" s="399"/>
      <c r="P133" s="399"/>
      <c r="Q133" s="399"/>
      <c r="R133" s="399"/>
      <c r="S133" s="399"/>
      <c r="T133" s="399"/>
      <c r="U133" s="399"/>
      <c r="V133" s="398" t="str">
        <f t="shared" si="15"/>
        <v>Blank</v>
      </c>
    </row>
    <row r="134" spans="1:22">
      <c r="A134" s="398" t="str">
        <f t="shared" si="12"/>
        <v/>
      </c>
      <c r="B134" s="399"/>
      <c r="C134" s="398" t="str">
        <f>IFERROR(INDEX(DATA_PROPERTY_MASTER!$B:$B,MATCH($B134,DATA_PROPERTY_MASTER!$A:$A,0)),"")</f>
        <v/>
      </c>
      <c r="D134" s="399"/>
      <c r="E134" s="399"/>
      <c r="F134" s="399"/>
      <c r="G134" s="400"/>
      <c r="H134" s="400"/>
      <c r="I134" s="400"/>
      <c r="J134" s="400"/>
      <c r="K134" s="401"/>
      <c r="L134" s="401"/>
      <c r="M134" s="402">
        <f t="shared" si="13"/>
        <v>0</v>
      </c>
      <c r="N134" s="403" t="str">
        <f t="shared" si="14"/>
        <v/>
      </c>
      <c r="O134" s="399"/>
      <c r="P134" s="399"/>
      <c r="Q134" s="399"/>
      <c r="R134" s="399"/>
      <c r="S134" s="399"/>
      <c r="T134" s="399"/>
      <c r="U134" s="399"/>
      <c r="V134" s="398" t="str">
        <f t="shared" si="15"/>
        <v>Blank</v>
      </c>
    </row>
    <row r="135" spans="1:22">
      <c r="A135" s="398" t="str">
        <f t="shared" ref="A135:A166" si="16">IF($B135="","","UM-"&amp;TEXT(ROW()-6,"0000"))</f>
        <v/>
      </c>
      <c r="B135" s="399"/>
      <c r="C135" s="398" t="str">
        <f>IFERROR(INDEX(DATA_PROPERTY_MASTER!$B:$B,MATCH($B135,DATA_PROPERTY_MASTER!$A:$A,0)),"")</f>
        <v/>
      </c>
      <c r="D135" s="399"/>
      <c r="E135" s="399"/>
      <c r="F135" s="399"/>
      <c r="G135" s="400"/>
      <c r="H135" s="400"/>
      <c r="I135" s="400"/>
      <c r="J135" s="400"/>
      <c r="K135" s="401"/>
      <c r="L135" s="401"/>
      <c r="M135" s="402">
        <f t="shared" ref="M135:M166" si="17">IFERROR($G135*$K135,"")</f>
        <v>0</v>
      </c>
      <c r="N135" s="403" t="str">
        <f t="shared" ref="N135:N166" si="18">IFERROR(IF($L135&gt;0,1-($K135/$L135),""),"")</f>
        <v/>
      </c>
      <c r="O135" s="399"/>
      <c r="P135" s="399"/>
      <c r="Q135" s="399"/>
      <c r="R135" s="399"/>
      <c r="S135" s="399"/>
      <c r="T135" s="399"/>
      <c r="U135" s="399"/>
      <c r="V135" s="398" t="str">
        <f t="shared" ref="V135:V166" si="19">IF($B135="","Blank",IF(OR($G135="",$K135=""),"Review","OK"))</f>
        <v>Blank</v>
      </c>
    </row>
    <row r="136" spans="1:22">
      <c r="A136" s="398" t="str">
        <f t="shared" si="16"/>
        <v/>
      </c>
      <c r="B136" s="399"/>
      <c r="C136" s="398" t="str">
        <f>IFERROR(INDEX(DATA_PROPERTY_MASTER!$B:$B,MATCH($B136,DATA_PROPERTY_MASTER!$A:$A,0)),"")</f>
        <v/>
      </c>
      <c r="D136" s="399"/>
      <c r="E136" s="399"/>
      <c r="F136" s="399"/>
      <c r="G136" s="400"/>
      <c r="H136" s="400"/>
      <c r="I136" s="400"/>
      <c r="J136" s="400"/>
      <c r="K136" s="401"/>
      <c r="L136" s="401"/>
      <c r="M136" s="402">
        <f t="shared" si="17"/>
        <v>0</v>
      </c>
      <c r="N136" s="403" t="str">
        <f t="shared" si="18"/>
        <v/>
      </c>
      <c r="O136" s="399"/>
      <c r="P136" s="399"/>
      <c r="Q136" s="399"/>
      <c r="R136" s="399"/>
      <c r="S136" s="399"/>
      <c r="T136" s="399"/>
      <c r="U136" s="399"/>
      <c r="V136" s="398" t="str">
        <f t="shared" si="19"/>
        <v>Blank</v>
      </c>
    </row>
    <row r="137" spans="1:22">
      <c r="A137" s="398" t="str">
        <f t="shared" si="16"/>
        <v/>
      </c>
      <c r="B137" s="399"/>
      <c r="C137" s="398" t="str">
        <f>IFERROR(INDEX(DATA_PROPERTY_MASTER!$B:$B,MATCH($B137,DATA_PROPERTY_MASTER!$A:$A,0)),"")</f>
        <v/>
      </c>
      <c r="D137" s="399"/>
      <c r="E137" s="399"/>
      <c r="F137" s="399"/>
      <c r="G137" s="400"/>
      <c r="H137" s="400"/>
      <c r="I137" s="400"/>
      <c r="J137" s="400"/>
      <c r="K137" s="401"/>
      <c r="L137" s="401"/>
      <c r="M137" s="402">
        <f t="shared" si="17"/>
        <v>0</v>
      </c>
      <c r="N137" s="403" t="str">
        <f t="shared" si="18"/>
        <v/>
      </c>
      <c r="O137" s="399"/>
      <c r="P137" s="399"/>
      <c r="Q137" s="399"/>
      <c r="R137" s="399"/>
      <c r="S137" s="399"/>
      <c r="T137" s="399"/>
      <c r="U137" s="399"/>
      <c r="V137" s="398" t="str">
        <f t="shared" si="19"/>
        <v>Blank</v>
      </c>
    </row>
    <row r="138" spans="1:22">
      <c r="A138" s="398" t="str">
        <f t="shared" si="16"/>
        <v/>
      </c>
      <c r="B138" s="399"/>
      <c r="C138" s="398" t="str">
        <f>IFERROR(INDEX(DATA_PROPERTY_MASTER!$B:$B,MATCH($B138,DATA_PROPERTY_MASTER!$A:$A,0)),"")</f>
        <v/>
      </c>
      <c r="D138" s="399"/>
      <c r="E138" s="399"/>
      <c r="F138" s="399"/>
      <c r="G138" s="400"/>
      <c r="H138" s="400"/>
      <c r="I138" s="400"/>
      <c r="J138" s="400"/>
      <c r="K138" s="401"/>
      <c r="L138" s="401"/>
      <c r="M138" s="402">
        <f t="shared" si="17"/>
        <v>0</v>
      </c>
      <c r="N138" s="403" t="str">
        <f t="shared" si="18"/>
        <v/>
      </c>
      <c r="O138" s="399"/>
      <c r="P138" s="399"/>
      <c r="Q138" s="399"/>
      <c r="R138" s="399"/>
      <c r="S138" s="399"/>
      <c r="T138" s="399"/>
      <c r="U138" s="399"/>
      <c r="V138" s="398" t="str">
        <f t="shared" si="19"/>
        <v>Blank</v>
      </c>
    </row>
    <row r="139" spans="1:22">
      <c r="A139" s="398" t="str">
        <f t="shared" si="16"/>
        <v/>
      </c>
      <c r="B139" s="399"/>
      <c r="C139" s="398" t="str">
        <f>IFERROR(INDEX(DATA_PROPERTY_MASTER!$B:$B,MATCH($B139,DATA_PROPERTY_MASTER!$A:$A,0)),"")</f>
        <v/>
      </c>
      <c r="D139" s="399"/>
      <c r="E139" s="399"/>
      <c r="F139" s="399"/>
      <c r="G139" s="400"/>
      <c r="H139" s="400"/>
      <c r="I139" s="400"/>
      <c r="J139" s="400"/>
      <c r="K139" s="401"/>
      <c r="L139" s="401"/>
      <c r="M139" s="402">
        <f t="shared" si="17"/>
        <v>0</v>
      </c>
      <c r="N139" s="403" t="str">
        <f t="shared" si="18"/>
        <v/>
      </c>
      <c r="O139" s="399"/>
      <c r="P139" s="399"/>
      <c r="Q139" s="399"/>
      <c r="R139" s="399"/>
      <c r="S139" s="399"/>
      <c r="T139" s="399"/>
      <c r="U139" s="399"/>
      <c r="V139" s="398" t="str">
        <f t="shared" si="19"/>
        <v>Blank</v>
      </c>
    </row>
    <row r="140" spans="1:22">
      <c r="A140" s="398" t="str">
        <f t="shared" si="16"/>
        <v/>
      </c>
      <c r="B140" s="399"/>
      <c r="C140" s="398" t="str">
        <f>IFERROR(INDEX(DATA_PROPERTY_MASTER!$B:$B,MATCH($B140,DATA_PROPERTY_MASTER!$A:$A,0)),"")</f>
        <v/>
      </c>
      <c r="D140" s="399"/>
      <c r="E140" s="399"/>
      <c r="F140" s="399"/>
      <c r="G140" s="400"/>
      <c r="H140" s="400"/>
      <c r="I140" s="400"/>
      <c r="J140" s="400"/>
      <c r="K140" s="401"/>
      <c r="L140" s="401"/>
      <c r="M140" s="402">
        <f t="shared" si="17"/>
        <v>0</v>
      </c>
      <c r="N140" s="403" t="str">
        <f t="shared" si="18"/>
        <v/>
      </c>
      <c r="O140" s="399"/>
      <c r="P140" s="399"/>
      <c r="Q140" s="399"/>
      <c r="R140" s="399"/>
      <c r="S140" s="399"/>
      <c r="T140" s="399"/>
      <c r="U140" s="399"/>
      <c r="V140" s="398" t="str">
        <f t="shared" si="19"/>
        <v>Blank</v>
      </c>
    </row>
    <row r="141" spans="1:22">
      <c r="A141" s="398" t="str">
        <f t="shared" si="16"/>
        <v/>
      </c>
      <c r="B141" s="399"/>
      <c r="C141" s="398" t="str">
        <f>IFERROR(INDEX(DATA_PROPERTY_MASTER!$B:$B,MATCH($B141,DATA_PROPERTY_MASTER!$A:$A,0)),"")</f>
        <v/>
      </c>
      <c r="D141" s="399"/>
      <c r="E141" s="399"/>
      <c r="F141" s="399"/>
      <c r="G141" s="400"/>
      <c r="H141" s="400"/>
      <c r="I141" s="400"/>
      <c r="J141" s="400"/>
      <c r="K141" s="401"/>
      <c r="L141" s="401"/>
      <c r="M141" s="402">
        <f t="shared" si="17"/>
        <v>0</v>
      </c>
      <c r="N141" s="403" t="str">
        <f t="shared" si="18"/>
        <v/>
      </c>
      <c r="O141" s="399"/>
      <c r="P141" s="399"/>
      <c r="Q141" s="399"/>
      <c r="R141" s="399"/>
      <c r="S141" s="399"/>
      <c r="T141" s="399"/>
      <c r="U141" s="399"/>
      <c r="V141" s="398" t="str">
        <f t="shared" si="19"/>
        <v>Blank</v>
      </c>
    </row>
    <row r="142" spans="1:22">
      <c r="A142" s="398" t="str">
        <f t="shared" si="16"/>
        <v/>
      </c>
      <c r="B142" s="399"/>
      <c r="C142" s="398" t="str">
        <f>IFERROR(INDEX(DATA_PROPERTY_MASTER!$B:$B,MATCH($B142,DATA_PROPERTY_MASTER!$A:$A,0)),"")</f>
        <v/>
      </c>
      <c r="D142" s="399"/>
      <c r="E142" s="399"/>
      <c r="F142" s="399"/>
      <c r="G142" s="400"/>
      <c r="H142" s="400"/>
      <c r="I142" s="400"/>
      <c r="J142" s="400"/>
      <c r="K142" s="401"/>
      <c r="L142" s="401"/>
      <c r="M142" s="402">
        <f t="shared" si="17"/>
        <v>0</v>
      </c>
      <c r="N142" s="403" t="str">
        <f t="shared" si="18"/>
        <v/>
      </c>
      <c r="O142" s="399"/>
      <c r="P142" s="399"/>
      <c r="Q142" s="399"/>
      <c r="R142" s="399"/>
      <c r="S142" s="399"/>
      <c r="T142" s="399"/>
      <c r="U142" s="399"/>
      <c r="V142" s="398" t="str">
        <f t="shared" si="19"/>
        <v>Blank</v>
      </c>
    </row>
    <row r="143" spans="1:22">
      <c r="A143" s="398" t="str">
        <f t="shared" si="16"/>
        <v/>
      </c>
      <c r="B143" s="399"/>
      <c r="C143" s="398" t="str">
        <f>IFERROR(INDEX(DATA_PROPERTY_MASTER!$B:$B,MATCH($B143,DATA_PROPERTY_MASTER!$A:$A,0)),"")</f>
        <v/>
      </c>
      <c r="D143" s="399"/>
      <c r="E143" s="399"/>
      <c r="F143" s="399"/>
      <c r="G143" s="400"/>
      <c r="H143" s="400"/>
      <c r="I143" s="400"/>
      <c r="J143" s="400"/>
      <c r="K143" s="401"/>
      <c r="L143" s="401"/>
      <c r="M143" s="402">
        <f t="shared" si="17"/>
        <v>0</v>
      </c>
      <c r="N143" s="403" t="str">
        <f t="shared" si="18"/>
        <v/>
      </c>
      <c r="O143" s="399"/>
      <c r="P143" s="399"/>
      <c r="Q143" s="399"/>
      <c r="R143" s="399"/>
      <c r="S143" s="399"/>
      <c r="T143" s="399"/>
      <c r="U143" s="399"/>
      <c r="V143" s="398" t="str">
        <f t="shared" si="19"/>
        <v>Blank</v>
      </c>
    </row>
    <row r="144" spans="1:22">
      <c r="A144" s="398" t="str">
        <f t="shared" si="16"/>
        <v/>
      </c>
      <c r="B144" s="399"/>
      <c r="C144" s="398" t="str">
        <f>IFERROR(INDEX(DATA_PROPERTY_MASTER!$B:$B,MATCH($B144,DATA_PROPERTY_MASTER!$A:$A,0)),"")</f>
        <v/>
      </c>
      <c r="D144" s="399"/>
      <c r="E144" s="399"/>
      <c r="F144" s="399"/>
      <c r="G144" s="400"/>
      <c r="H144" s="400"/>
      <c r="I144" s="400"/>
      <c r="J144" s="400"/>
      <c r="K144" s="401"/>
      <c r="L144" s="401"/>
      <c r="M144" s="402">
        <f t="shared" si="17"/>
        <v>0</v>
      </c>
      <c r="N144" s="403" t="str">
        <f t="shared" si="18"/>
        <v/>
      </c>
      <c r="O144" s="399"/>
      <c r="P144" s="399"/>
      <c r="Q144" s="399"/>
      <c r="R144" s="399"/>
      <c r="S144" s="399"/>
      <c r="T144" s="399"/>
      <c r="U144" s="399"/>
      <c r="V144" s="398" t="str">
        <f t="shared" si="19"/>
        <v>Blank</v>
      </c>
    </row>
    <row r="145" spans="1:22">
      <c r="A145" s="398" t="str">
        <f t="shared" si="16"/>
        <v/>
      </c>
      <c r="B145" s="399"/>
      <c r="C145" s="398" t="str">
        <f>IFERROR(INDEX(DATA_PROPERTY_MASTER!$B:$B,MATCH($B145,DATA_PROPERTY_MASTER!$A:$A,0)),"")</f>
        <v/>
      </c>
      <c r="D145" s="399"/>
      <c r="E145" s="399"/>
      <c r="F145" s="399"/>
      <c r="G145" s="400"/>
      <c r="H145" s="400"/>
      <c r="I145" s="400"/>
      <c r="J145" s="400"/>
      <c r="K145" s="401"/>
      <c r="L145" s="401"/>
      <c r="M145" s="402">
        <f t="shared" si="17"/>
        <v>0</v>
      </c>
      <c r="N145" s="403" t="str">
        <f t="shared" si="18"/>
        <v/>
      </c>
      <c r="O145" s="399"/>
      <c r="P145" s="399"/>
      <c r="Q145" s="399"/>
      <c r="R145" s="399"/>
      <c r="S145" s="399"/>
      <c r="T145" s="399"/>
      <c r="U145" s="399"/>
      <c r="V145" s="398" t="str">
        <f t="shared" si="19"/>
        <v>Blank</v>
      </c>
    </row>
    <row r="146" spans="1:22">
      <c r="A146" s="398" t="str">
        <f t="shared" si="16"/>
        <v/>
      </c>
      <c r="B146" s="399"/>
      <c r="C146" s="398" t="str">
        <f>IFERROR(INDEX(DATA_PROPERTY_MASTER!$B:$B,MATCH($B146,DATA_PROPERTY_MASTER!$A:$A,0)),"")</f>
        <v/>
      </c>
      <c r="D146" s="399"/>
      <c r="E146" s="399"/>
      <c r="F146" s="399"/>
      <c r="G146" s="400"/>
      <c r="H146" s="400"/>
      <c r="I146" s="400"/>
      <c r="J146" s="400"/>
      <c r="K146" s="401"/>
      <c r="L146" s="401"/>
      <c r="M146" s="402">
        <f t="shared" si="17"/>
        <v>0</v>
      </c>
      <c r="N146" s="403" t="str">
        <f t="shared" si="18"/>
        <v/>
      </c>
      <c r="O146" s="399"/>
      <c r="P146" s="399"/>
      <c r="Q146" s="399"/>
      <c r="R146" s="399"/>
      <c r="S146" s="399"/>
      <c r="T146" s="399"/>
      <c r="U146" s="399"/>
      <c r="V146" s="398" t="str">
        <f t="shared" si="19"/>
        <v>Blank</v>
      </c>
    </row>
    <row r="147" spans="1:22">
      <c r="A147" s="398" t="str">
        <f t="shared" si="16"/>
        <v/>
      </c>
      <c r="B147" s="399"/>
      <c r="C147" s="398" t="str">
        <f>IFERROR(INDEX(DATA_PROPERTY_MASTER!$B:$B,MATCH($B147,DATA_PROPERTY_MASTER!$A:$A,0)),"")</f>
        <v/>
      </c>
      <c r="D147" s="399"/>
      <c r="E147" s="399"/>
      <c r="F147" s="399"/>
      <c r="G147" s="400"/>
      <c r="H147" s="400"/>
      <c r="I147" s="400"/>
      <c r="J147" s="400"/>
      <c r="K147" s="401"/>
      <c r="L147" s="401"/>
      <c r="M147" s="402">
        <f t="shared" si="17"/>
        <v>0</v>
      </c>
      <c r="N147" s="403" t="str">
        <f t="shared" si="18"/>
        <v/>
      </c>
      <c r="O147" s="399"/>
      <c r="P147" s="399"/>
      <c r="Q147" s="399"/>
      <c r="R147" s="399"/>
      <c r="S147" s="399"/>
      <c r="T147" s="399"/>
      <c r="U147" s="399"/>
      <c r="V147" s="398" t="str">
        <f t="shared" si="19"/>
        <v>Blank</v>
      </c>
    </row>
    <row r="148" spans="1:22">
      <c r="A148" s="398" t="str">
        <f t="shared" si="16"/>
        <v/>
      </c>
      <c r="B148" s="399"/>
      <c r="C148" s="398" t="str">
        <f>IFERROR(INDEX(DATA_PROPERTY_MASTER!$B:$B,MATCH($B148,DATA_PROPERTY_MASTER!$A:$A,0)),"")</f>
        <v/>
      </c>
      <c r="D148" s="399"/>
      <c r="E148" s="399"/>
      <c r="F148" s="399"/>
      <c r="G148" s="400"/>
      <c r="H148" s="400"/>
      <c r="I148" s="400"/>
      <c r="J148" s="400"/>
      <c r="K148" s="401"/>
      <c r="L148" s="401"/>
      <c r="M148" s="402">
        <f t="shared" si="17"/>
        <v>0</v>
      </c>
      <c r="N148" s="403" t="str">
        <f t="shared" si="18"/>
        <v/>
      </c>
      <c r="O148" s="399"/>
      <c r="P148" s="399"/>
      <c r="Q148" s="399"/>
      <c r="R148" s="399"/>
      <c r="S148" s="399"/>
      <c r="T148" s="399"/>
      <c r="U148" s="399"/>
      <c r="V148" s="398" t="str">
        <f t="shared" si="19"/>
        <v>Blank</v>
      </c>
    </row>
    <row r="149" spans="1:22">
      <c r="A149" s="398" t="str">
        <f t="shared" si="16"/>
        <v/>
      </c>
      <c r="B149" s="399"/>
      <c r="C149" s="398" t="str">
        <f>IFERROR(INDEX(DATA_PROPERTY_MASTER!$B:$B,MATCH($B149,DATA_PROPERTY_MASTER!$A:$A,0)),"")</f>
        <v/>
      </c>
      <c r="D149" s="399"/>
      <c r="E149" s="399"/>
      <c r="F149" s="399"/>
      <c r="G149" s="400"/>
      <c r="H149" s="400"/>
      <c r="I149" s="400"/>
      <c r="J149" s="400"/>
      <c r="K149" s="401"/>
      <c r="L149" s="401"/>
      <c r="M149" s="402">
        <f t="shared" si="17"/>
        <v>0</v>
      </c>
      <c r="N149" s="403" t="str">
        <f t="shared" si="18"/>
        <v/>
      </c>
      <c r="O149" s="399"/>
      <c r="P149" s="399"/>
      <c r="Q149" s="399"/>
      <c r="R149" s="399"/>
      <c r="S149" s="399"/>
      <c r="T149" s="399"/>
      <c r="U149" s="399"/>
      <c r="V149" s="398" t="str">
        <f t="shared" si="19"/>
        <v>Blank</v>
      </c>
    </row>
    <row r="150" spans="1:22">
      <c r="A150" s="398" t="str">
        <f t="shared" si="16"/>
        <v/>
      </c>
      <c r="B150" s="399"/>
      <c r="C150" s="398" t="str">
        <f>IFERROR(INDEX(DATA_PROPERTY_MASTER!$B:$B,MATCH($B150,DATA_PROPERTY_MASTER!$A:$A,0)),"")</f>
        <v/>
      </c>
      <c r="D150" s="399"/>
      <c r="E150" s="399"/>
      <c r="F150" s="399"/>
      <c r="G150" s="400"/>
      <c r="H150" s="400"/>
      <c r="I150" s="400"/>
      <c r="J150" s="400"/>
      <c r="K150" s="401"/>
      <c r="L150" s="401"/>
      <c r="M150" s="402">
        <f t="shared" si="17"/>
        <v>0</v>
      </c>
      <c r="N150" s="403" t="str">
        <f t="shared" si="18"/>
        <v/>
      </c>
      <c r="O150" s="399"/>
      <c r="P150" s="399"/>
      <c r="Q150" s="399"/>
      <c r="R150" s="399"/>
      <c r="S150" s="399"/>
      <c r="T150" s="399"/>
      <c r="U150" s="399"/>
      <c r="V150" s="398" t="str">
        <f t="shared" si="19"/>
        <v>Blank</v>
      </c>
    </row>
    <row r="151" spans="1:22">
      <c r="A151" s="398" t="str">
        <f t="shared" si="16"/>
        <v/>
      </c>
      <c r="B151" s="399"/>
      <c r="C151" s="398" t="str">
        <f>IFERROR(INDEX(DATA_PROPERTY_MASTER!$B:$B,MATCH($B151,DATA_PROPERTY_MASTER!$A:$A,0)),"")</f>
        <v/>
      </c>
      <c r="D151" s="399"/>
      <c r="E151" s="399"/>
      <c r="F151" s="399"/>
      <c r="G151" s="400"/>
      <c r="H151" s="400"/>
      <c r="I151" s="400"/>
      <c r="J151" s="400"/>
      <c r="K151" s="401"/>
      <c r="L151" s="401"/>
      <c r="M151" s="402">
        <f t="shared" si="17"/>
        <v>0</v>
      </c>
      <c r="N151" s="403" t="str">
        <f t="shared" si="18"/>
        <v/>
      </c>
      <c r="O151" s="399"/>
      <c r="P151" s="399"/>
      <c r="Q151" s="399"/>
      <c r="R151" s="399"/>
      <c r="S151" s="399"/>
      <c r="T151" s="399"/>
      <c r="U151" s="399"/>
      <c r="V151" s="398" t="str">
        <f t="shared" si="19"/>
        <v>Blank</v>
      </c>
    </row>
    <row r="152" spans="1:22">
      <c r="A152" s="398" t="str">
        <f t="shared" si="16"/>
        <v/>
      </c>
      <c r="B152" s="399"/>
      <c r="C152" s="398" t="str">
        <f>IFERROR(INDEX(DATA_PROPERTY_MASTER!$B:$B,MATCH($B152,DATA_PROPERTY_MASTER!$A:$A,0)),"")</f>
        <v/>
      </c>
      <c r="D152" s="399"/>
      <c r="E152" s="399"/>
      <c r="F152" s="399"/>
      <c r="G152" s="400"/>
      <c r="H152" s="400"/>
      <c r="I152" s="400"/>
      <c r="J152" s="400"/>
      <c r="K152" s="401"/>
      <c r="L152" s="401"/>
      <c r="M152" s="402">
        <f t="shared" si="17"/>
        <v>0</v>
      </c>
      <c r="N152" s="403" t="str">
        <f t="shared" si="18"/>
        <v/>
      </c>
      <c r="O152" s="399"/>
      <c r="P152" s="399"/>
      <c r="Q152" s="399"/>
      <c r="R152" s="399"/>
      <c r="S152" s="399"/>
      <c r="T152" s="399"/>
      <c r="U152" s="399"/>
      <c r="V152" s="398" t="str">
        <f t="shared" si="19"/>
        <v>Blank</v>
      </c>
    </row>
    <row r="153" spans="1:22">
      <c r="A153" s="398" t="str">
        <f t="shared" si="16"/>
        <v/>
      </c>
      <c r="B153" s="399"/>
      <c r="C153" s="398" t="str">
        <f>IFERROR(INDEX(DATA_PROPERTY_MASTER!$B:$B,MATCH($B153,DATA_PROPERTY_MASTER!$A:$A,0)),"")</f>
        <v/>
      </c>
      <c r="D153" s="399"/>
      <c r="E153" s="399"/>
      <c r="F153" s="399"/>
      <c r="G153" s="400"/>
      <c r="H153" s="400"/>
      <c r="I153" s="400"/>
      <c r="J153" s="400"/>
      <c r="K153" s="401"/>
      <c r="L153" s="401"/>
      <c r="M153" s="402">
        <f t="shared" si="17"/>
        <v>0</v>
      </c>
      <c r="N153" s="403" t="str">
        <f t="shared" si="18"/>
        <v/>
      </c>
      <c r="O153" s="399"/>
      <c r="P153" s="399"/>
      <c r="Q153" s="399"/>
      <c r="R153" s="399"/>
      <c r="S153" s="399"/>
      <c r="T153" s="399"/>
      <c r="U153" s="399"/>
      <c r="V153" s="398" t="str">
        <f t="shared" si="19"/>
        <v>Blank</v>
      </c>
    </row>
    <row r="154" spans="1:22">
      <c r="A154" s="398" t="str">
        <f t="shared" si="16"/>
        <v/>
      </c>
      <c r="B154" s="399"/>
      <c r="C154" s="398" t="str">
        <f>IFERROR(INDEX(DATA_PROPERTY_MASTER!$B:$B,MATCH($B154,DATA_PROPERTY_MASTER!$A:$A,0)),"")</f>
        <v/>
      </c>
      <c r="D154" s="399"/>
      <c r="E154" s="399"/>
      <c r="F154" s="399"/>
      <c r="G154" s="400"/>
      <c r="H154" s="400"/>
      <c r="I154" s="400"/>
      <c r="J154" s="400"/>
      <c r="K154" s="401"/>
      <c r="L154" s="401"/>
      <c r="M154" s="402">
        <f t="shared" si="17"/>
        <v>0</v>
      </c>
      <c r="N154" s="403" t="str">
        <f t="shared" si="18"/>
        <v/>
      </c>
      <c r="O154" s="399"/>
      <c r="P154" s="399"/>
      <c r="Q154" s="399"/>
      <c r="R154" s="399"/>
      <c r="S154" s="399"/>
      <c r="T154" s="399"/>
      <c r="U154" s="399"/>
      <c r="V154" s="398" t="str">
        <f t="shared" si="19"/>
        <v>Blank</v>
      </c>
    </row>
    <row r="155" spans="1:22">
      <c r="A155" s="398" t="str">
        <f t="shared" si="16"/>
        <v/>
      </c>
      <c r="B155" s="399"/>
      <c r="C155" s="398" t="str">
        <f>IFERROR(INDEX(DATA_PROPERTY_MASTER!$B:$B,MATCH($B155,DATA_PROPERTY_MASTER!$A:$A,0)),"")</f>
        <v/>
      </c>
      <c r="D155" s="399"/>
      <c r="E155" s="399"/>
      <c r="F155" s="399"/>
      <c r="G155" s="400"/>
      <c r="H155" s="400"/>
      <c r="I155" s="400"/>
      <c r="J155" s="400"/>
      <c r="K155" s="401"/>
      <c r="L155" s="401"/>
      <c r="M155" s="402">
        <f t="shared" si="17"/>
        <v>0</v>
      </c>
      <c r="N155" s="403" t="str">
        <f t="shared" si="18"/>
        <v/>
      </c>
      <c r="O155" s="399"/>
      <c r="P155" s="399"/>
      <c r="Q155" s="399"/>
      <c r="R155" s="399"/>
      <c r="S155" s="399"/>
      <c r="T155" s="399"/>
      <c r="U155" s="399"/>
      <c r="V155" s="398" t="str">
        <f t="shared" si="19"/>
        <v>Blank</v>
      </c>
    </row>
    <row r="156" spans="1:22">
      <c r="A156" s="398" t="str">
        <f t="shared" si="16"/>
        <v/>
      </c>
      <c r="B156" s="399"/>
      <c r="C156" s="398" t="str">
        <f>IFERROR(INDEX(DATA_PROPERTY_MASTER!$B:$B,MATCH($B156,DATA_PROPERTY_MASTER!$A:$A,0)),"")</f>
        <v/>
      </c>
      <c r="D156" s="399"/>
      <c r="E156" s="399"/>
      <c r="F156" s="399"/>
      <c r="G156" s="400"/>
      <c r="H156" s="400"/>
      <c r="I156" s="400"/>
      <c r="J156" s="400"/>
      <c r="K156" s="401"/>
      <c r="L156" s="401"/>
      <c r="M156" s="402">
        <f t="shared" si="17"/>
        <v>0</v>
      </c>
      <c r="N156" s="403" t="str">
        <f t="shared" si="18"/>
        <v/>
      </c>
      <c r="O156" s="399"/>
      <c r="P156" s="399"/>
      <c r="Q156" s="399"/>
      <c r="R156" s="399"/>
      <c r="S156" s="399"/>
      <c r="T156" s="399"/>
      <c r="U156" s="399"/>
      <c r="V156" s="398" t="str">
        <f t="shared" si="19"/>
        <v>Blank</v>
      </c>
    </row>
    <row r="157" spans="1:22">
      <c r="A157" s="398" t="str">
        <f t="shared" si="16"/>
        <v/>
      </c>
      <c r="B157" s="399"/>
      <c r="C157" s="398" t="str">
        <f>IFERROR(INDEX(DATA_PROPERTY_MASTER!$B:$B,MATCH($B157,DATA_PROPERTY_MASTER!$A:$A,0)),"")</f>
        <v/>
      </c>
      <c r="D157" s="399"/>
      <c r="E157" s="399"/>
      <c r="F157" s="399"/>
      <c r="G157" s="400"/>
      <c r="H157" s="400"/>
      <c r="I157" s="400"/>
      <c r="J157" s="400"/>
      <c r="K157" s="401"/>
      <c r="L157" s="401"/>
      <c r="M157" s="402">
        <f t="shared" si="17"/>
        <v>0</v>
      </c>
      <c r="N157" s="403" t="str">
        <f t="shared" si="18"/>
        <v/>
      </c>
      <c r="O157" s="399"/>
      <c r="P157" s="399"/>
      <c r="Q157" s="399"/>
      <c r="R157" s="399"/>
      <c r="S157" s="399"/>
      <c r="T157" s="399"/>
      <c r="U157" s="399"/>
      <c r="V157" s="398" t="str">
        <f t="shared" si="19"/>
        <v>Blank</v>
      </c>
    </row>
    <row r="158" spans="1:22">
      <c r="A158" s="398" t="str">
        <f t="shared" si="16"/>
        <v/>
      </c>
      <c r="B158" s="399"/>
      <c r="C158" s="398" t="str">
        <f>IFERROR(INDEX(DATA_PROPERTY_MASTER!$B:$B,MATCH($B158,DATA_PROPERTY_MASTER!$A:$A,0)),"")</f>
        <v/>
      </c>
      <c r="D158" s="399"/>
      <c r="E158" s="399"/>
      <c r="F158" s="399"/>
      <c r="G158" s="400"/>
      <c r="H158" s="400"/>
      <c r="I158" s="400"/>
      <c r="J158" s="400"/>
      <c r="K158" s="401"/>
      <c r="L158" s="401"/>
      <c r="M158" s="402">
        <f t="shared" si="17"/>
        <v>0</v>
      </c>
      <c r="N158" s="403" t="str">
        <f t="shared" si="18"/>
        <v/>
      </c>
      <c r="O158" s="399"/>
      <c r="P158" s="399"/>
      <c r="Q158" s="399"/>
      <c r="R158" s="399"/>
      <c r="S158" s="399"/>
      <c r="T158" s="399"/>
      <c r="U158" s="399"/>
      <c r="V158" s="398" t="str">
        <f t="shared" si="19"/>
        <v>Blank</v>
      </c>
    </row>
    <row r="159" spans="1:22">
      <c r="A159" s="398" t="str">
        <f t="shared" si="16"/>
        <v/>
      </c>
      <c r="B159" s="399"/>
      <c r="C159" s="398" t="str">
        <f>IFERROR(INDEX(DATA_PROPERTY_MASTER!$B:$B,MATCH($B159,DATA_PROPERTY_MASTER!$A:$A,0)),"")</f>
        <v/>
      </c>
      <c r="D159" s="399"/>
      <c r="E159" s="399"/>
      <c r="F159" s="399"/>
      <c r="G159" s="400"/>
      <c r="H159" s="400"/>
      <c r="I159" s="400"/>
      <c r="J159" s="400"/>
      <c r="K159" s="401"/>
      <c r="L159" s="401"/>
      <c r="M159" s="402">
        <f t="shared" si="17"/>
        <v>0</v>
      </c>
      <c r="N159" s="403" t="str">
        <f t="shared" si="18"/>
        <v/>
      </c>
      <c r="O159" s="399"/>
      <c r="P159" s="399"/>
      <c r="Q159" s="399"/>
      <c r="R159" s="399"/>
      <c r="S159" s="399"/>
      <c r="T159" s="399"/>
      <c r="U159" s="399"/>
      <c r="V159" s="398" t="str">
        <f t="shared" si="19"/>
        <v>Blank</v>
      </c>
    </row>
    <row r="160" spans="1:22">
      <c r="A160" s="398" t="str">
        <f t="shared" si="16"/>
        <v/>
      </c>
      <c r="B160" s="399"/>
      <c r="C160" s="398" t="str">
        <f>IFERROR(INDEX(DATA_PROPERTY_MASTER!$B:$B,MATCH($B160,DATA_PROPERTY_MASTER!$A:$A,0)),"")</f>
        <v/>
      </c>
      <c r="D160" s="399"/>
      <c r="E160" s="399"/>
      <c r="F160" s="399"/>
      <c r="G160" s="400"/>
      <c r="H160" s="400"/>
      <c r="I160" s="400"/>
      <c r="J160" s="400"/>
      <c r="K160" s="401"/>
      <c r="L160" s="401"/>
      <c r="M160" s="402">
        <f t="shared" si="17"/>
        <v>0</v>
      </c>
      <c r="N160" s="403" t="str">
        <f t="shared" si="18"/>
        <v/>
      </c>
      <c r="O160" s="399"/>
      <c r="P160" s="399"/>
      <c r="Q160" s="399"/>
      <c r="R160" s="399"/>
      <c r="S160" s="399"/>
      <c r="T160" s="399"/>
      <c r="U160" s="399"/>
      <c r="V160" s="398" t="str">
        <f t="shared" si="19"/>
        <v>Blank</v>
      </c>
    </row>
    <row r="161" spans="1:22">
      <c r="A161" s="398" t="str">
        <f t="shared" si="16"/>
        <v/>
      </c>
      <c r="B161" s="399"/>
      <c r="C161" s="398" t="str">
        <f>IFERROR(INDEX(DATA_PROPERTY_MASTER!$B:$B,MATCH($B161,DATA_PROPERTY_MASTER!$A:$A,0)),"")</f>
        <v/>
      </c>
      <c r="D161" s="399"/>
      <c r="E161" s="399"/>
      <c r="F161" s="399"/>
      <c r="G161" s="400"/>
      <c r="H161" s="400"/>
      <c r="I161" s="400"/>
      <c r="J161" s="400"/>
      <c r="K161" s="401"/>
      <c r="L161" s="401"/>
      <c r="M161" s="402">
        <f t="shared" si="17"/>
        <v>0</v>
      </c>
      <c r="N161" s="403" t="str">
        <f t="shared" si="18"/>
        <v/>
      </c>
      <c r="O161" s="399"/>
      <c r="P161" s="399"/>
      <c r="Q161" s="399"/>
      <c r="R161" s="399"/>
      <c r="S161" s="399"/>
      <c r="T161" s="399"/>
      <c r="U161" s="399"/>
      <c r="V161" s="398" t="str">
        <f t="shared" si="19"/>
        <v>Blank</v>
      </c>
    </row>
    <row r="162" spans="1:22">
      <c r="A162" s="398" t="str">
        <f t="shared" si="16"/>
        <v/>
      </c>
      <c r="B162" s="399"/>
      <c r="C162" s="398" t="str">
        <f>IFERROR(INDEX(DATA_PROPERTY_MASTER!$B:$B,MATCH($B162,DATA_PROPERTY_MASTER!$A:$A,0)),"")</f>
        <v/>
      </c>
      <c r="D162" s="399"/>
      <c r="E162" s="399"/>
      <c r="F162" s="399"/>
      <c r="G162" s="400"/>
      <c r="H162" s="400"/>
      <c r="I162" s="400"/>
      <c r="J162" s="400"/>
      <c r="K162" s="401"/>
      <c r="L162" s="401"/>
      <c r="M162" s="402">
        <f t="shared" si="17"/>
        <v>0</v>
      </c>
      <c r="N162" s="403" t="str">
        <f t="shared" si="18"/>
        <v/>
      </c>
      <c r="O162" s="399"/>
      <c r="P162" s="399"/>
      <c r="Q162" s="399"/>
      <c r="R162" s="399"/>
      <c r="S162" s="399"/>
      <c r="T162" s="399"/>
      <c r="U162" s="399"/>
      <c r="V162" s="398" t="str">
        <f t="shared" si="19"/>
        <v>Blank</v>
      </c>
    </row>
    <row r="163" spans="1:22">
      <c r="A163" s="398" t="str">
        <f t="shared" si="16"/>
        <v/>
      </c>
      <c r="B163" s="399"/>
      <c r="C163" s="398" t="str">
        <f>IFERROR(INDEX(DATA_PROPERTY_MASTER!$B:$B,MATCH($B163,DATA_PROPERTY_MASTER!$A:$A,0)),"")</f>
        <v/>
      </c>
      <c r="D163" s="399"/>
      <c r="E163" s="399"/>
      <c r="F163" s="399"/>
      <c r="G163" s="400"/>
      <c r="H163" s="400"/>
      <c r="I163" s="400"/>
      <c r="J163" s="400"/>
      <c r="K163" s="401"/>
      <c r="L163" s="401"/>
      <c r="M163" s="402">
        <f t="shared" si="17"/>
        <v>0</v>
      </c>
      <c r="N163" s="403" t="str">
        <f t="shared" si="18"/>
        <v/>
      </c>
      <c r="O163" s="399"/>
      <c r="P163" s="399"/>
      <c r="Q163" s="399"/>
      <c r="R163" s="399"/>
      <c r="S163" s="399"/>
      <c r="T163" s="399"/>
      <c r="U163" s="399"/>
      <c r="V163" s="398" t="str">
        <f t="shared" si="19"/>
        <v>Blank</v>
      </c>
    </row>
    <row r="164" spans="1:22">
      <c r="A164" s="398" t="str">
        <f t="shared" si="16"/>
        <v/>
      </c>
      <c r="B164" s="399"/>
      <c r="C164" s="398" t="str">
        <f>IFERROR(INDEX(DATA_PROPERTY_MASTER!$B:$B,MATCH($B164,DATA_PROPERTY_MASTER!$A:$A,0)),"")</f>
        <v/>
      </c>
      <c r="D164" s="399"/>
      <c r="E164" s="399"/>
      <c r="F164" s="399"/>
      <c r="G164" s="400"/>
      <c r="H164" s="400"/>
      <c r="I164" s="400"/>
      <c r="J164" s="400"/>
      <c r="K164" s="401"/>
      <c r="L164" s="401"/>
      <c r="M164" s="402">
        <f t="shared" si="17"/>
        <v>0</v>
      </c>
      <c r="N164" s="403" t="str">
        <f t="shared" si="18"/>
        <v/>
      </c>
      <c r="O164" s="399"/>
      <c r="P164" s="399"/>
      <c r="Q164" s="399"/>
      <c r="R164" s="399"/>
      <c r="S164" s="399"/>
      <c r="T164" s="399"/>
      <c r="U164" s="399"/>
      <c r="V164" s="398" t="str">
        <f t="shared" si="19"/>
        <v>Blank</v>
      </c>
    </row>
    <row r="165" spans="1:22">
      <c r="A165" s="398" t="str">
        <f t="shared" si="16"/>
        <v/>
      </c>
      <c r="B165" s="399"/>
      <c r="C165" s="398" t="str">
        <f>IFERROR(INDEX(DATA_PROPERTY_MASTER!$B:$B,MATCH($B165,DATA_PROPERTY_MASTER!$A:$A,0)),"")</f>
        <v/>
      </c>
      <c r="D165" s="399"/>
      <c r="E165" s="399"/>
      <c r="F165" s="399"/>
      <c r="G165" s="400"/>
      <c r="H165" s="400"/>
      <c r="I165" s="400"/>
      <c r="J165" s="400"/>
      <c r="K165" s="401"/>
      <c r="L165" s="401"/>
      <c r="M165" s="402">
        <f t="shared" si="17"/>
        <v>0</v>
      </c>
      <c r="N165" s="403" t="str">
        <f t="shared" si="18"/>
        <v/>
      </c>
      <c r="O165" s="399"/>
      <c r="P165" s="399"/>
      <c r="Q165" s="399"/>
      <c r="R165" s="399"/>
      <c r="S165" s="399"/>
      <c r="T165" s="399"/>
      <c r="U165" s="399"/>
      <c r="V165" s="398" t="str">
        <f t="shared" si="19"/>
        <v>Blank</v>
      </c>
    </row>
    <row r="166" spans="1:22">
      <c r="A166" s="398" t="str">
        <f t="shared" si="16"/>
        <v/>
      </c>
      <c r="B166" s="399"/>
      <c r="C166" s="398" t="str">
        <f>IFERROR(INDEX(DATA_PROPERTY_MASTER!$B:$B,MATCH($B166,DATA_PROPERTY_MASTER!$A:$A,0)),"")</f>
        <v/>
      </c>
      <c r="D166" s="399"/>
      <c r="E166" s="399"/>
      <c r="F166" s="399"/>
      <c r="G166" s="400"/>
      <c r="H166" s="400"/>
      <c r="I166" s="400"/>
      <c r="J166" s="400"/>
      <c r="K166" s="401"/>
      <c r="L166" s="401"/>
      <c r="M166" s="402">
        <f t="shared" si="17"/>
        <v>0</v>
      </c>
      <c r="N166" s="403" t="str">
        <f t="shared" si="18"/>
        <v/>
      </c>
      <c r="O166" s="399"/>
      <c r="P166" s="399"/>
      <c r="Q166" s="399"/>
      <c r="R166" s="399"/>
      <c r="S166" s="399"/>
      <c r="T166" s="399"/>
      <c r="U166" s="399"/>
      <c r="V166" s="398" t="str">
        <f t="shared" si="19"/>
        <v>Blank</v>
      </c>
    </row>
    <row r="167" spans="1:22">
      <c r="A167" s="398" t="str">
        <f t="shared" ref="A167:A198" si="20">IF($B167="","","UM-"&amp;TEXT(ROW()-6,"0000"))</f>
        <v/>
      </c>
      <c r="B167" s="399"/>
      <c r="C167" s="398" t="str">
        <f>IFERROR(INDEX(DATA_PROPERTY_MASTER!$B:$B,MATCH($B167,DATA_PROPERTY_MASTER!$A:$A,0)),"")</f>
        <v/>
      </c>
      <c r="D167" s="399"/>
      <c r="E167" s="399"/>
      <c r="F167" s="399"/>
      <c r="G167" s="400"/>
      <c r="H167" s="400"/>
      <c r="I167" s="400"/>
      <c r="J167" s="400"/>
      <c r="K167" s="401"/>
      <c r="L167" s="401"/>
      <c r="M167" s="402">
        <f t="shared" ref="M167:M198" si="21">IFERROR($G167*$K167,"")</f>
        <v>0</v>
      </c>
      <c r="N167" s="403" t="str">
        <f t="shared" ref="N167:N198" si="22">IFERROR(IF($L167&gt;0,1-($K167/$L167),""),"")</f>
        <v/>
      </c>
      <c r="O167" s="399"/>
      <c r="P167" s="399"/>
      <c r="Q167" s="399"/>
      <c r="R167" s="399"/>
      <c r="S167" s="399"/>
      <c r="T167" s="399"/>
      <c r="U167" s="399"/>
      <c r="V167" s="398" t="str">
        <f t="shared" ref="V167:V198" si="23">IF($B167="","Blank",IF(OR($G167="",$K167=""),"Review","OK"))</f>
        <v>Blank</v>
      </c>
    </row>
    <row r="168" spans="1:22">
      <c r="A168" s="398" t="str">
        <f t="shared" si="20"/>
        <v/>
      </c>
      <c r="B168" s="399"/>
      <c r="C168" s="398" t="str">
        <f>IFERROR(INDEX(DATA_PROPERTY_MASTER!$B:$B,MATCH($B168,DATA_PROPERTY_MASTER!$A:$A,0)),"")</f>
        <v/>
      </c>
      <c r="D168" s="399"/>
      <c r="E168" s="399"/>
      <c r="F168" s="399"/>
      <c r="G168" s="400"/>
      <c r="H168" s="400"/>
      <c r="I168" s="400"/>
      <c r="J168" s="400"/>
      <c r="K168" s="401"/>
      <c r="L168" s="401"/>
      <c r="M168" s="402">
        <f t="shared" si="21"/>
        <v>0</v>
      </c>
      <c r="N168" s="403" t="str">
        <f t="shared" si="22"/>
        <v/>
      </c>
      <c r="O168" s="399"/>
      <c r="P168" s="399"/>
      <c r="Q168" s="399"/>
      <c r="R168" s="399"/>
      <c r="S168" s="399"/>
      <c r="T168" s="399"/>
      <c r="U168" s="399"/>
      <c r="V168" s="398" t="str">
        <f t="shared" si="23"/>
        <v>Blank</v>
      </c>
    </row>
    <row r="169" spans="1:22">
      <c r="A169" s="398" t="str">
        <f t="shared" si="20"/>
        <v/>
      </c>
      <c r="B169" s="399"/>
      <c r="C169" s="398" t="str">
        <f>IFERROR(INDEX(DATA_PROPERTY_MASTER!$B:$B,MATCH($B169,DATA_PROPERTY_MASTER!$A:$A,0)),"")</f>
        <v/>
      </c>
      <c r="D169" s="399"/>
      <c r="E169" s="399"/>
      <c r="F169" s="399"/>
      <c r="G169" s="400"/>
      <c r="H169" s="400"/>
      <c r="I169" s="400"/>
      <c r="J169" s="400"/>
      <c r="K169" s="401"/>
      <c r="L169" s="401"/>
      <c r="M169" s="402">
        <f t="shared" si="21"/>
        <v>0</v>
      </c>
      <c r="N169" s="403" t="str">
        <f t="shared" si="22"/>
        <v/>
      </c>
      <c r="O169" s="399"/>
      <c r="P169" s="399"/>
      <c r="Q169" s="399"/>
      <c r="R169" s="399"/>
      <c r="S169" s="399"/>
      <c r="T169" s="399"/>
      <c r="U169" s="399"/>
      <c r="V169" s="398" t="str">
        <f t="shared" si="23"/>
        <v>Blank</v>
      </c>
    </row>
    <row r="170" spans="1:22">
      <c r="A170" s="398" t="str">
        <f t="shared" si="20"/>
        <v/>
      </c>
      <c r="B170" s="399"/>
      <c r="C170" s="398" t="str">
        <f>IFERROR(INDEX(DATA_PROPERTY_MASTER!$B:$B,MATCH($B170,DATA_PROPERTY_MASTER!$A:$A,0)),"")</f>
        <v/>
      </c>
      <c r="D170" s="399"/>
      <c r="E170" s="399"/>
      <c r="F170" s="399"/>
      <c r="G170" s="400"/>
      <c r="H170" s="400"/>
      <c r="I170" s="400"/>
      <c r="J170" s="400"/>
      <c r="K170" s="401"/>
      <c r="L170" s="401"/>
      <c r="M170" s="402">
        <f t="shared" si="21"/>
        <v>0</v>
      </c>
      <c r="N170" s="403" t="str">
        <f t="shared" si="22"/>
        <v/>
      </c>
      <c r="O170" s="399"/>
      <c r="P170" s="399"/>
      <c r="Q170" s="399"/>
      <c r="R170" s="399"/>
      <c r="S170" s="399"/>
      <c r="T170" s="399"/>
      <c r="U170" s="399"/>
      <c r="V170" s="398" t="str">
        <f t="shared" si="23"/>
        <v>Blank</v>
      </c>
    </row>
    <row r="171" spans="1:22">
      <c r="A171" s="398" t="str">
        <f t="shared" si="20"/>
        <v/>
      </c>
      <c r="B171" s="399"/>
      <c r="C171" s="398" t="str">
        <f>IFERROR(INDEX(DATA_PROPERTY_MASTER!$B:$B,MATCH($B171,DATA_PROPERTY_MASTER!$A:$A,0)),"")</f>
        <v/>
      </c>
      <c r="D171" s="399"/>
      <c r="E171" s="399"/>
      <c r="F171" s="399"/>
      <c r="G171" s="400"/>
      <c r="H171" s="400"/>
      <c r="I171" s="400"/>
      <c r="J171" s="400"/>
      <c r="K171" s="401"/>
      <c r="L171" s="401"/>
      <c r="M171" s="402">
        <f t="shared" si="21"/>
        <v>0</v>
      </c>
      <c r="N171" s="403" t="str">
        <f t="shared" si="22"/>
        <v/>
      </c>
      <c r="O171" s="399"/>
      <c r="P171" s="399"/>
      <c r="Q171" s="399"/>
      <c r="R171" s="399"/>
      <c r="S171" s="399"/>
      <c r="T171" s="399"/>
      <c r="U171" s="399"/>
      <c r="V171" s="398" t="str">
        <f t="shared" si="23"/>
        <v>Blank</v>
      </c>
    </row>
    <row r="172" spans="1:22">
      <c r="A172" s="398" t="str">
        <f t="shared" si="20"/>
        <v/>
      </c>
      <c r="B172" s="399"/>
      <c r="C172" s="398" t="str">
        <f>IFERROR(INDEX(DATA_PROPERTY_MASTER!$B:$B,MATCH($B172,DATA_PROPERTY_MASTER!$A:$A,0)),"")</f>
        <v/>
      </c>
      <c r="D172" s="399"/>
      <c r="E172" s="399"/>
      <c r="F172" s="399"/>
      <c r="G172" s="400"/>
      <c r="H172" s="400"/>
      <c r="I172" s="400"/>
      <c r="J172" s="400"/>
      <c r="K172" s="401"/>
      <c r="L172" s="401"/>
      <c r="M172" s="402">
        <f t="shared" si="21"/>
        <v>0</v>
      </c>
      <c r="N172" s="403" t="str">
        <f t="shared" si="22"/>
        <v/>
      </c>
      <c r="O172" s="399"/>
      <c r="P172" s="399"/>
      <c r="Q172" s="399"/>
      <c r="R172" s="399"/>
      <c r="S172" s="399"/>
      <c r="T172" s="399"/>
      <c r="U172" s="399"/>
      <c r="V172" s="398" t="str">
        <f t="shared" si="23"/>
        <v>Blank</v>
      </c>
    </row>
    <row r="173" spans="1:22">
      <c r="A173" s="398" t="str">
        <f t="shared" si="20"/>
        <v/>
      </c>
      <c r="B173" s="399"/>
      <c r="C173" s="398" t="str">
        <f>IFERROR(INDEX(DATA_PROPERTY_MASTER!$B:$B,MATCH($B173,DATA_PROPERTY_MASTER!$A:$A,0)),"")</f>
        <v/>
      </c>
      <c r="D173" s="399"/>
      <c r="E173" s="399"/>
      <c r="F173" s="399"/>
      <c r="G173" s="400"/>
      <c r="H173" s="400"/>
      <c r="I173" s="400"/>
      <c r="J173" s="400"/>
      <c r="K173" s="401"/>
      <c r="L173" s="401"/>
      <c r="M173" s="402">
        <f t="shared" si="21"/>
        <v>0</v>
      </c>
      <c r="N173" s="403" t="str">
        <f t="shared" si="22"/>
        <v/>
      </c>
      <c r="O173" s="399"/>
      <c r="P173" s="399"/>
      <c r="Q173" s="399"/>
      <c r="R173" s="399"/>
      <c r="S173" s="399"/>
      <c r="T173" s="399"/>
      <c r="U173" s="399"/>
      <c r="V173" s="398" t="str">
        <f t="shared" si="23"/>
        <v>Blank</v>
      </c>
    </row>
    <row r="174" spans="1:22">
      <c r="A174" s="398" t="str">
        <f t="shared" si="20"/>
        <v/>
      </c>
      <c r="B174" s="399"/>
      <c r="C174" s="398" t="str">
        <f>IFERROR(INDEX(DATA_PROPERTY_MASTER!$B:$B,MATCH($B174,DATA_PROPERTY_MASTER!$A:$A,0)),"")</f>
        <v/>
      </c>
      <c r="D174" s="399"/>
      <c r="E174" s="399"/>
      <c r="F174" s="399"/>
      <c r="G174" s="400"/>
      <c r="H174" s="400"/>
      <c r="I174" s="400"/>
      <c r="J174" s="400"/>
      <c r="K174" s="401"/>
      <c r="L174" s="401"/>
      <c r="M174" s="402">
        <f t="shared" si="21"/>
        <v>0</v>
      </c>
      <c r="N174" s="403" t="str">
        <f t="shared" si="22"/>
        <v/>
      </c>
      <c r="O174" s="399"/>
      <c r="P174" s="399"/>
      <c r="Q174" s="399"/>
      <c r="R174" s="399"/>
      <c r="S174" s="399"/>
      <c r="T174" s="399"/>
      <c r="U174" s="399"/>
      <c r="V174" s="398" t="str">
        <f t="shared" si="23"/>
        <v>Blank</v>
      </c>
    </row>
    <row r="175" spans="1:22">
      <c r="A175" s="398" t="str">
        <f t="shared" si="20"/>
        <v/>
      </c>
      <c r="B175" s="399"/>
      <c r="C175" s="398" t="str">
        <f>IFERROR(INDEX(DATA_PROPERTY_MASTER!$B:$B,MATCH($B175,DATA_PROPERTY_MASTER!$A:$A,0)),"")</f>
        <v/>
      </c>
      <c r="D175" s="399"/>
      <c r="E175" s="399"/>
      <c r="F175" s="399"/>
      <c r="G175" s="400"/>
      <c r="H175" s="400"/>
      <c r="I175" s="400"/>
      <c r="J175" s="400"/>
      <c r="K175" s="401"/>
      <c r="L175" s="401"/>
      <c r="M175" s="402">
        <f t="shared" si="21"/>
        <v>0</v>
      </c>
      <c r="N175" s="403" t="str">
        <f t="shared" si="22"/>
        <v/>
      </c>
      <c r="O175" s="399"/>
      <c r="P175" s="399"/>
      <c r="Q175" s="399"/>
      <c r="R175" s="399"/>
      <c r="S175" s="399"/>
      <c r="T175" s="399"/>
      <c r="U175" s="399"/>
      <c r="V175" s="398" t="str">
        <f t="shared" si="23"/>
        <v>Blank</v>
      </c>
    </row>
    <row r="176" spans="1:22">
      <c r="A176" s="398" t="str">
        <f t="shared" si="20"/>
        <v/>
      </c>
      <c r="B176" s="399"/>
      <c r="C176" s="398" t="str">
        <f>IFERROR(INDEX(DATA_PROPERTY_MASTER!$B:$B,MATCH($B176,DATA_PROPERTY_MASTER!$A:$A,0)),"")</f>
        <v/>
      </c>
      <c r="D176" s="399"/>
      <c r="E176" s="399"/>
      <c r="F176" s="399"/>
      <c r="G176" s="400"/>
      <c r="H176" s="400"/>
      <c r="I176" s="400"/>
      <c r="J176" s="400"/>
      <c r="K176" s="401"/>
      <c r="L176" s="401"/>
      <c r="M176" s="402">
        <f t="shared" si="21"/>
        <v>0</v>
      </c>
      <c r="N176" s="403" t="str">
        <f t="shared" si="22"/>
        <v/>
      </c>
      <c r="O176" s="399"/>
      <c r="P176" s="399"/>
      <c r="Q176" s="399"/>
      <c r="R176" s="399"/>
      <c r="S176" s="399"/>
      <c r="T176" s="399"/>
      <c r="U176" s="399"/>
      <c r="V176" s="398" t="str">
        <f t="shared" si="23"/>
        <v>Blank</v>
      </c>
    </row>
    <row r="177" spans="1:22">
      <c r="A177" s="398" t="str">
        <f t="shared" si="20"/>
        <v/>
      </c>
      <c r="B177" s="399"/>
      <c r="C177" s="398" t="str">
        <f>IFERROR(INDEX(DATA_PROPERTY_MASTER!$B:$B,MATCH($B177,DATA_PROPERTY_MASTER!$A:$A,0)),"")</f>
        <v/>
      </c>
      <c r="D177" s="399"/>
      <c r="E177" s="399"/>
      <c r="F177" s="399"/>
      <c r="G177" s="400"/>
      <c r="H177" s="400"/>
      <c r="I177" s="400"/>
      <c r="J177" s="400"/>
      <c r="K177" s="401"/>
      <c r="L177" s="401"/>
      <c r="M177" s="402">
        <f t="shared" si="21"/>
        <v>0</v>
      </c>
      <c r="N177" s="403" t="str">
        <f t="shared" si="22"/>
        <v/>
      </c>
      <c r="O177" s="399"/>
      <c r="P177" s="399"/>
      <c r="Q177" s="399"/>
      <c r="R177" s="399"/>
      <c r="S177" s="399"/>
      <c r="T177" s="399"/>
      <c r="U177" s="399"/>
      <c r="V177" s="398" t="str">
        <f t="shared" si="23"/>
        <v>Blank</v>
      </c>
    </row>
    <row r="178" spans="1:22">
      <c r="A178" s="398" t="str">
        <f t="shared" si="20"/>
        <v/>
      </c>
      <c r="B178" s="399"/>
      <c r="C178" s="398" t="str">
        <f>IFERROR(INDEX(DATA_PROPERTY_MASTER!$B:$B,MATCH($B178,DATA_PROPERTY_MASTER!$A:$A,0)),"")</f>
        <v/>
      </c>
      <c r="D178" s="399"/>
      <c r="E178" s="399"/>
      <c r="F178" s="399"/>
      <c r="G178" s="400"/>
      <c r="H178" s="400"/>
      <c r="I178" s="400"/>
      <c r="J178" s="400"/>
      <c r="K178" s="401"/>
      <c r="L178" s="401"/>
      <c r="M178" s="402">
        <f t="shared" si="21"/>
        <v>0</v>
      </c>
      <c r="N178" s="403" t="str">
        <f t="shared" si="22"/>
        <v/>
      </c>
      <c r="O178" s="399"/>
      <c r="P178" s="399"/>
      <c r="Q178" s="399"/>
      <c r="R178" s="399"/>
      <c r="S178" s="399"/>
      <c r="T178" s="399"/>
      <c r="U178" s="399"/>
      <c r="V178" s="398" t="str">
        <f t="shared" si="23"/>
        <v>Blank</v>
      </c>
    </row>
    <row r="179" spans="1:22">
      <c r="A179" s="398" t="str">
        <f t="shared" si="20"/>
        <v/>
      </c>
      <c r="B179" s="399"/>
      <c r="C179" s="398" t="str">
        <f>IFERROR(INDEX(DATA_PROPERTY_MASTER!$B:$B,MATCH($B179,DATA_PROPERTY_MASTER!$A:$A,0)),"")</f>
        <v/>
      </c>
      <c r="D179" s="399"/>
      <c r="E179" s="399"/>
      <c r="F179" s="399"/>
      <c r="G179" s="400"/>
      <c r="H179" s="400"/>
      <c r="I179" s="400"/>
      <c r="J179" s="400"/>
      <c r="K179" s="401"/>
      <c r="L179" s="401"/>
      <c r="M179" s="402">
        <f t="shared" si="21"/>
        <v>0</v>
      </c>
      <c r="N179" s="403" t="str">
        <f t="shared" si="22"/>
        <v/>
      </c>
      <c r="O179" s="399"/>
      <c r="P179" s="399"/>
      <c r="Q179" s="399"/>
      <c r="R179" s="399"/>
      <c r="S179" s="399"/>
      <c r="T179" s="399"/>
      <c r="U179" s="399"/>
      <c r="V179" s="398" t="str">
        <f t="shared" si="23"/>
        <v>Blank</v>
      </c>
    </row>
    <row r="180" spans="1:22">
      <c r="A180" s="398" t="str">
        <f t="shared" si="20"/>
        <v/>
      </c>
      <c r="B180" s="399"/>
      <c r="C180" s="398" t="str">
        <f>IFERROR(INDEX(DATA_PROPERTY_MASTER!$B:$B,MATCH($B180,DATA_PROPERTY_MASTER!$A:$A,0)),"")</f>
        <v/>
      </c>
      <c r="D180" s="399"/>
      <c r="E180" s="399"/>
      <c r="F180" s="399"/>
      <c r="G180" s="400"/>
      <c r="H180" s="400"/>
      <c r="I180" s="400"/>
      <c r="J180" s="400"/>
      <c r="K180" s="401"/>
      <c r="L180" s="401"/>
      <c r="M180" s="402">
        <f t="shared" si="21"/>
        <v>0</v>
      </c>
      <c r="N180" s="403" t="str">
        <f t="shared" si="22"/>
        <v/>
      </c>
      <c r="O180" s="399"/>
      <c r="P180" s="399"/>
      <c r="Q180" s="399"/>
      <c r="R180" s="399"/>
      <c r="S180" s="399"/>
      <c r="T180" s="399"/>
      <c r="U180" s="399"/>
      <c r="V180" s="398" t="str">
        <f t="shared" si="23"/>
        <v>Blank</v>
      </c>
    </row>
    <row r="181" spans="1:22">
      <c r="A181" s="398" t="str">
        <f t="shared" si="20"/>
        <v/>
      </c>
      <c r="B181" s="399"/>
      <c r="C181" s="398" t="str">
        <f>IFERROR(INDEX(DATA_PROPERTY_MASTER!$B:$B,MATCH($B181,DATA_PROPERTY_MASTER!$A:$A,0)),"")</f>
        <v/>
      </c>
      <c r="D181" s="399"/>
      <c r="E181" s="399"/>
      <c r="F181" s="399"/>
      <c r="G181" s="400"/>
      <c r="H181" s="400"/>
      <c r="I181" s="400"/>
      <c r="J181" s="400"/>
      <c r="K181" s="401"/>
      <c r="L181" s="401"/>
      <c r="M181" s="402">
        <f t="shared" si="21"/>
        <v>0</v>
      </c>
      <c r="N181" s="403" t="str">
        <f t="shared" si="22"/>
        <v/>
      </c>
      <c r="O181" s="399"/>
      <c r="P181" s="399"/>
      <c r="Q181" s="399"/>
      <c r="R181" s="399"/>
      <c r="S181" s="399"/>
      <c r="T181" s="399"/>
      <c r="U181" s="399"/>
      <c r="V181" s="398" t="str">
        <f t="shared" si="23"/>
        <v>Blank</v>
      </c>
    </row>
    <row r="182" spans="1:22">
      <c r="A182" s="398" t="str">
        <f t="shared" si="20"/>
        <v/>
      </c>
      <c r="B182" s="399"/>
      <c r="C182" s="398" t="str">
        <f>IFERROR(INDEX(DATA_PROPERTY_MASTER!$B:$B,MATCH($B182,DATA_PROPERTY_MASTER!$A:$A,0)),"")</f>
        <v/>
      </c>
      <c r="D182" s="399"/>
      <c r="E182" s="399"/>
      <c r="F182" s="399"/>
      <c r="G182" s="400"/>
      <c r="H182" s="400"/>
      <c r="I182" s="400"/>
      <c r="J182" s="400"/>
      <c r="K182" s="401"/>
      <c r="L182" s="401"/>
      <c r="M182" s="402">
        <f t="shared" si="21"/>
        <v>0</v>
      </c>
      <c r="N182" s="403" t="str">
        <f t="shared" si="22"/>
        <v/>
      </c>
      <c r="O182" s="399"/>
      <c r="P182" s="399"/>
      <c r="Q182" s="399"/>
      <c r="R182" s="399"/>
      <c r="S182" s="399"/>
      <c r="T182" s="399"/>
      <c r="U182" s="399"/>
      <c r="V182" s="398" t="str">
        <f t="shared" si="23"/>
        <v>Blank</v>
      </c>
    </row>
    <row r="183" spans="1:22">
      <c r="A183" s="398" t="str">
        <f t="shared" si="20"/>
        <v/>
      </c>
      <c r="B183" s="399"/>
      <c r="C183" s="398" t="str">
        <f>IFERROR(INDEX(DATA_PROPERTY_MASTER!$B:$B,MATCH($B183,DATA_PROPERTY_MASTER!$A:$A,0)),"")</f>
        <v/>
      </c>
      <c r="D183" s="399"/>
      <c r="E183" s="399"/>
      <c r="F183" s="399"/>
      <c r="G183" s="400"/>
      <c r="H183" s="400"/>
      <c r="I183" s="400"/>
      <c r="J183" s="400"/>
      <c r="K183" s="401"/>
      <c r="L183" s="401"/>
      <c r="M183" s="402">
        <f t="shared" si="21"/>
        <v>0</v>
      </c>
      <c r="N183" s="403" t="str">
        <f t="shared" si="22"/>
        <v/>
      </c>
      <c r="O183" s="399"/>
      <c r="P183" s="399"/>
      <c r="Q183" s="399"/>
      <c r="R183" s="399"/>
      <c r="S183" s="399"/>
      <c r="T183" s="399"/>
      <c r="U183" s="399"/>
      <c r="V183" s="398" t="str">
        <f t="shared" si="23"/>
        <v>Blank</v>
      </c>
    </row>
    <row r="184" spans="1:22">
      <c r="A184" s="398" t="str">
        <f t="shared" si="20"/>
        <v/>
      </c>
      <c r="B184" s="399"/>
      <c r="C184" s="398" t="str">
        <f>IFERROR(INDEX(DATA_PROPERTY_MASTER!$B:$B,MATCH($B184,DATA_PROPERTY_MASTER!$A:$A,0)),"")</f>
        <v/>
      </c>
      <c r="D184" s="399"/>
      <c r="E184" s="399"/>
      <c r="F184" s="399"/>
      <c r="G184" s="400"/>
      <c r="H184" s="400"/>
      <c r="I184" s="400"/>
      <c r="J184" s="400"/>
      <c r="K184" s="401"/>
      <c r="L184" s="401"/>
      <c r="M184" s="402">
        <f t="shared" si="21"/>
        <v>0</v>
      </c>
      <c r="N184" s="403" t="str">
        <f t="shared" si="22"/>
        <v/>
      </c>
      <c r="O184" s="399"/>
      <c r="P184" s="399"/>
      <c r="Q184" s="399"/>
      <c r="R184" s="399"/>
      <c r="S184" s="399"/>
      <c r="T184" s="399"/>
      <c r="U184" s="399"/>
      <c r="V184" s="398" t="str">
        <f t="shared" si="23"/>
        <v>Blank</v>
      </c>
    </row>
    <row r="185" spans="1:22">
      <c r="A185" s="398" t="str">
        <f t="shared" si="20"/>
        <v/>
      </c>
      <c r="B185" s="399"/>
      <c r="C185" s="398" t="str">
        <f>IFERROR(INDEX(DATA_PROPERTY_MASTER!$B:$B,MATCH($B185,DATA_PROPERTY_MASTER!$A:$A,0)),"")</f>
        <v/>
      </c>
      <c r="D185" s="399"/>
      <c r="E185" s="399"/>
      <c r="F185" s="399"/>
      <c r="G185" s="400"/>
      <c r="H185" s="400"/>
      <c r="I185" s="400"/>
      <c r="J185" s="400"/>
      <c r="K185" s="401"/>
      <c r="L185" s="401"/>
      <c r="M185" s="402">
        <f t="shared" si="21"/>
        <v>0</v>
      </c>
      <c r="N185" s="403" t="str">
        <f t="shared" si="22"/>
        <v/>
      </c>
      <c r="O185" s="399"/>
      <c r="P185" s="399"/>
      <c r="Q185" s="399"/>
      <c r="R185" s="399"/>
      <c r="S185" s="399"/>
      <c r="T185" s="399"/>
      <c r="U185" s="399"/>
      <c r="V185" s="398" t="str">
        <f t="shared" si="23"/>
        <v>Blank</v>
      </c>
    </row>
    <row r="186" spans="1:22">
      <c r="A186" s="398" t="str">
        <f t="shared" si="20"/>
        <v/>
      </c>
      <c r="B186" s="399"/>
      <c r="C186" s="398" t="str">
        <f>IFERROR(INDEX(DATA_PROPERTY_MASTER!$B:$B,MATCH($B186,DATA_PROPERTY_MASTER!$A:$A,0)),"")</f>
        <v/>
      </c>
      <c r="D186" s="399"/>
      <c r="E186" s="399"/>
      <c r="F186" s="399"/>
      <c r="G186" s="400"/>
      <c r="H186" s="400"/>
      <c r="I186" s="400"/>
      <c r="J186" s="400"/>
      <c r="K186" s="401"/>
      <c r="L186" s="401"/>
      <c r="M186" s="402">
        <f t="shared" si="21"/>
        <v>0</v>
      </c>
      <c r="N186" s="403" t="str">
        <f t="shared" si="22"/>
        <v/>
      </c>
      <c r="O186" s="399"/>
      <c r="P186" s="399"/>
      <c r="Q186" s="399"/>
      <c r="R186" s="399"/>
      <c r="S186" s="399"/>
      <c r="T186" s="399"/>
      <c r="U186" s="399"/>
      <c r="V186" s="398" t="str">
        <f t="shared" si="23"/>
        <v>Blank</v>
      </c>
    </row>
    <row r="187" spans="1:22">
      <c r="A187" s="398" t="str">
        <f t="shared" si="20"/>
        <v/>
      </c>
      <c r="B187" s="399"/>
      <c r="C187" s="398" t="str">
        <f>IFERROR(INDEX(DATA_PROPERTY_MASTER!$B:$B,MATCH($B187,DATA_PROPERTY_MASTER!$A:$A,0)),"")</f>
        <v/>
      </c>
      <c r="D187" s="399"/>
      <c r="E187" s="399"/>
      <c r="F187" s="399"/>
      <c r="G187" s="400"/>
      <c r="H187" s="400"/>
      <c r="I187" s="400"/>
      <c r="J187" s="400"/>
      <c r="K187" s="401"/>
      <c r="L187" s="401"/>
      <c r="M187" s="402">
        <f t="shared" si="21"/>
        <v>0</v>
      </c>
      <c r="N187" s="403" t="str">
        <f t="shared" si="22"/>
        <v/>
      </c>
      <c r="O187" s="399"/>
      <c r="P187" s="399"/>
      <c r="Q187" s="399"/>
      <c r="R187" s="399"/>
      <c r="S187" s="399"/>
      <c r="T187" s="399"/>
      <c r="U187" s="399"/>
      <c r="V187" s="398" t="str">
        <f t="shared" si="23"/>
        <v>Blank</v>
      </c>
    </row>
    <row r="188" spans="1:22">
      <c r="A188" s="398" t="str">
        <f t="shared" si="20"/>
        <v/>
      </c>
      <c r="B188" s="399"/>
      <c r="C188" s="398" t="str">
        <f>IFERROR(INDEX(DATA_PROPERTY_MASTER!$B:$B,MATCH($B188,DATA_PROPERTY_MASTER!$A:$A,0)),"")</f>
        <v/>
      </c>
      <c r="D188" s="399"/>
      <c r="E188" s="399"/>
      <c r="F188" s="399"/>
      <c r="G188" s="400"/>
      <c r="H188" s="400"/>
      <c r="I188" s="400"/>
      <c r="J188" s="400"/>
      <c r="K188" s="401"/>
      <c r="L188" s="401"/>
      <c r="M188" s="402">
        <f t="shared" si="21"/>
        <v>0</v>
      </c>
      <c r="N188" s="403" t="str">
        <f t="shared" si="22"/>
        <v/>
      </c>
      <c r="O188" s="399"/>
      <c r="P188" s="399"/>
      <c r="Q188" s="399"/>
      <c r="R188" s="399"/>
      <c r="S188" s="399"/>
      <c r="T188" s="399"/>
      <c r="U188" s="399"/>
      <c r="V188" s="398" t="str">
        <f t="shared" si="23"/>
        <v>Blank</v>
      </c>
    </row>
    <row r="189" spans="1:22">
      <c r="A189" s="398" t="str">
        <f t="shared" si="20"/>
        <v/>
      </c>
      <c r="B189" s="399"/>
      <c r="C189" s="398" t="str">
        <f>IFERROR(INDEX(DATA_PROPERTY_MASTER!$B:$B,MATCH($B189,DATA_PROPERTY_MASTER!$A:$A,0)),"")</f>
        <v/>
      </c>
      <c r="D189" s="399"/>
      <c r="E189" s="399"/>
      <c r="F189" s="399"/>
      <c r="G189" s="400"/>
      <c r="H189" s="400"/>
      <c r="I189" s="400"/>
      <c r="J189" s="400"/>
      <c r="K189" s="401"/>
      <c r="L189" s="401"/>
      <c r="M189" s="402">
        <f t="shared" si="21"/>
        <v>0</v>
      </c>
      <c r="N189" s="403" t="str">
        <f t="shared" si="22"/>
        <v/>
      </c>
      <c r="O189" s="399"/>
      <c r="P189" s="399"/>
      <c r="Q189" s="399"/>
      <c r="R189" s="399"/>
      <c r="S189" s="399"/>
      <c r="T189" s="399"/>
      <c r="U189" s="399"/>
      <c r="V189" s="398" t="str">
        <f t="shared" si="23"/>
        <v>Blank</v>
      </c>
    </row>
    <row r="190" spans="1:22">
      <c r="A190" s="398" t="str">
        <f t="shared" si="20"/>
        <v/>
      </c>
      <c r="B190" s="399"/>
      <c r="C190" s="398" t="str">
        <f>IFERROR(INDEX(DATA_PROPERTY_MASTER!$B:$B,MATCH($B190,DATA_PROPERTY_MASTER!$A:$A,0)),"")</f>
        <v/>
      </c>
      <c r="D190" s="399"/>
      <c r="E190" s="399"/>
      <c r="F190" s="399"/>
      <c r="G190" s="400"/>
      <c r="H190" s="400"/>
      <c r="I190" s="400"/>
      <c r="J190" s="400"/>
      <c r="K190" s="401"/>
      <c r="L190" s="401"/>
      <c r="M190" s="402">
        <f t="shared" si="21"/>
        <v>0</v>
      </c>
      <c r="N190" s="403" t="str">
        <f t="shared" si="22"/>
        <v/>
      </c>
      <c r="O190" s="399"/>
      <c r="P190" s="399"/>
      <c r="Q190" s="399"/>
      <c r="R190" s="399"/>
      <c r="S190" s="399"/>
      <c r="T190" s="399"/>
      <c r="U190" s="399"/>
      <c r="V190" s="398" t="str">
        <f t="shared" si="23"/>
        <v>Blank</v>
      </c>
    </row>
    <row r="191" spans="1:22">
      <c r="A191" s="398" t="str">
        <f t="shared" si="20"/>
        <v/>
      </c>
      <c r="B191" s="399"/>
      <c r="C191" s="398" t="str">
        <f>IFERROR(INDEX(DATA_PROPERTY_MASTER!$B:$B,MATCH($B191,DATA_PROPERTY_MASTER!$A:$A,0)),"")</f>
        <v/>
      </c>
      <c r="D191" s="399"/>
      <c r="E191" s="399"/>
      <c r="F191" s="399"/>
      <c r="G191" s="400"/>
      <c r="H191" s="400"/>
      <c r="I191" s="400"/>
      <c r="J191" s="400"/>
      <c r="K191" s="401"/>
      <c r="L191" s="401"/>
      <c r="M191" s="402">
        <f t="shared" si="21"/>
        <v>0</v>
      </c>
      <c r="N191" s="403" t="str">
        <f t="shared" si="22"/>
        <v/>
      </c>
      <c r="O191" s="399"/>
      <c r="P191" s="399"/>
      <c r="Q191" s="399"/>
      <c r="R191" s="399"/>
      <c r="S191" s="399"/>
      <c r="T191" s="399"/>
      <c r="U191" s="399"/>
      <c r="V191" s="398" t="str">
        <f t="shared" si="23"/>
        <v>Blank</v>
      </c>
    </row>
    <row r="192" spans="1:22">
      <c r="A192" s="398" t="str">
        <f t="shared" si="20"/>
        <v/>
      </c>
      <c r="B192" s="399"/>
      <c r="C192" s="398" t="str">
        <f>IFERROR(INDEX(DATA_PROPERTY_MASTER!$B:$B,MATCH($B192,DATA_PROPERTY_MASTER!$A:$A,0)),"")</f>
        <v/>
      </c>
      <c r="D192" s="399"/>
      <c r="E192" s="399"/>
      <c r="F192" s="399"/>
      <c r="G192" s="400"/>
      <c r="H192" s="400"/>
      <c r="I192" s="400"/>
      <c r="J192" s="400"/>
      <c r="K192" s="401"/>
      <c r="L192" s="401"/>
      <c r="M192" s="402">
        <f t="shared" si="21"/>
        <v>0</v>
      </c>
      <c r="N192" s="403" t="str">
        <f t="shared" si="22"/>
        <v/>
      </c>
      <c r="O192" s="399"/>
      <c r="P192" s="399"/>
      <c r="Q192" s="399"/>
      <c r="R192" s="399"/>
      <c r="S192" s="399"/>
      <c r="T192" s="399"/>
      <c r="U192" s="399"/>
      <c r="V192" s="398" t="str">
        <f t="shared" si="23"/>
        <v>Blank</v>
      </c>
    </row>
    <row r="193" spans="1:22">
      <c r="A193" s="398" t="str">
        <f t="shared" si="20"/>
        <v/>
      </c>
      <c r="B193" s="399"/>
      <c r="C193" s="398" t="str">
        <f>IFERROR(INDEX(DATA_PROPERTY_MASTER!$B:$B,MATCH($B193,DATA_PROPERTY_MASTER!$A:$A,0)),"")</f>
        <v/>
      </c>
      <c r="D193" s="399"/>
      <c r="E193" s="399"/>
      <c r="F193" s="399"/>
      <c r="G193" s="400"/>
      <c r="H193" s="400"/>
      <c r="I193" s="400"/>
      <c r="J193" s="400"/>
      <c r="K193" s="401"/>
      <c r="L193" s="401"/>
      <c r="M193" s="402">
        <f t="shared" si="21"/>
        <v>0</v>
      </c>
      <c r="N193" s="403" t="str">
        <f t="shared" si="22"/>
        <v/>
      </c>
      <c r="O193" s="399"/>
      <c r="P193" s="399"/>
      <c r="Q193" s="399"/>
      <c r="R193" s="399"/>
      <c r="S193" s="399"/>
      <c r="T193" s="399"/>
      <c r="U193" s="399"/>
      <c r="V193" s="398" t="str">
        <f t="shared" si="23"/>
        <v>Blank</v>
      </c>
    </row>
    <row r="194" spans="1:22">
      <c r="A194" s="398" t="str">
        <f t="shared" si="20"/>
        <v/>
      </c>
      <c r="B194" s="399"/>
      <c r="C194" s="398" t="str">
        <f>IFERROR(INDEX(DATA_PROPERTY_MASTER!$B:$B,MATCH($B194,DATA_PROPERTY_MASTER!$A:$A,0)),"")</f>
        <v/>
      </c>
      <c r="D194" s="399"/>
      <c r="E194" s="399"/>
      <c r="F194" s="399"/>
      <c r="G194" s="400"/>
      <c r="H194" s="400"/>
      <c r="I194" s="400"/>
      <c r="J194" s="400"/>
      <c r="K194" s="401"/>
      <c r="L194" s="401"/>
      <c r="M194" s="402">
        <f t="shared" si="21"/>
        <v>0</v>
      </c>
      <c r="N194" s="403" t="str">
        <f t="shared" si="22"/>
        <v/>
      </c>
      <c r="O194" s="399"/>
      <c r="P194" s="399"/>
      <c r="Q194" s="399"/>
      <c r="R194" s="399"/>
      <c r="S194" s="399"/>
      <c r="T194" s="399"/>
      <c r="U194" s="399"/>
      <c r="V194" s="398" t="str">
        <f t="shared" si="23"/>
        <v>Blank</v>
      </c>
    </row>
    <row r="195" spans="1:22">
      <c r="A195" s="398" t="str">
        <f t="shared" si="20"/>
        <v/>
      </c>
      <c r="B195" s="399"/>
      <c r="C195" s="398" t="str">
        <f>IFERROR(INDEX(DATA_PROPERTY_MASTER!$B:$B,MATCH($B195,DATA_PROPERTY_MASTER!$A:$A,0)),"")</f>
        <v/>
      </c>
      <c r="D195" s="399"/>
      <c r="E195" s="399"/>
      <c r="F195" s="399"/>
      <c r="G195" s="400"/>
      <c r="H195" s="400"/>
      <c r="I195" s="400"/>
      <c r="J195" s="400"/>
      <c r="K195" s="401"/>
      <c r="L195" s="401"/>
      <c r="M195" s="402">
        <f t="shared" si="21"/>
        <v>0</v>
      </c>
      <c r="N195" s="403" t="str">
        <f t="shared" si="22"/>
        <v/>
      </c>
      <c r="O195" s="399"/>
      <c r="P195" s="399"/>
      <c r="Q195" s="399"/>
      <c r="R195" s="399"/>
      <c r="S195" s="399"/>
      <c r="T195" s="399"/>
      <c r="U195" s="399"/>
      <c r="V195" s="398" t="str">
        <f t="shared" si="23"/>
        <v>Blank</v>
      </c>
    </row>
    <row r="196" spans="1:22">
      <c r="A196" s="398" t="str">
        <f t="shared" si="20"/>
        <v/>
      </c>
      <c r="B196" s="399"/>
      <c r="C196" s="398" t="str">
        <f>IFERROR(INDEX(DATA_PROPERTY_MASTER!$B:$B,MATCH($B196,DATA_PROPERTY_MASTER!$A:$A,0)),"")</f>
        <v/>
      </c>
      <c r="D196" s="399"/>
      <c r="E196" s="399"/>
      <c r="F196" s="399"/>
      <c r="G196" s="400"/>
      <c r="H196" s="400"/>
      <c r="I196" s="400"/>
      <c r="J196" s="400"/>
      <c r="K196" s="401"/>
      <c r="L196" s="401"/>
      <c r="M196" s="402">
        <f t="shared" si="21"/>
        <v>0</v>
      </c>
      <c r="N196" s="403" t="str">
        <f t="shared" si="22"/>
        <v/>
      </c>
      <c r="O196" s="399"/>
      <c r="P196" s="399"/>
      <c r="Q196" s="399"/>
      <c r="R196" s="399"/>
      <c r="S196" s="399"/>
      <c r="T196" s="399"/>
      <c r="U196" s="399"/>
      <c r="V196" s="398" t="str">
        <f t="shared" si="23"/>
        <v>Blank</v>
      </c>
    </row>
    <row r="197" spans="1:22">
      <c r="A197" s="398" t="str">
        <f t="shared" si="20"/>
        <v/>
      </c>
      <c r="B197" s="399"/>
      <c r="C197" s="398" t="str">
        <f>IFERROR(INDEX(DATA_PROPERTY_MASTER!$B:$B,MATCH($B197,DATA_PROPERTY_MASTER!$A:$A,0)),"")</f>
        <v/>
      </c>
      <c r="D197" s="399"/>
      <c r="E197" s="399"/>
      <c r="F197" s="399"/>
      <c r="G197" s="400"/>
      <c r="H197" s="400"/>
      <c r="I197" s="400"/>
      <c r="J197" s="400"/>
      <c r="K197" s="401"/>
      <c r="L197" s="401"/>
      <c r="M197" s="402">
        <f t="shared" si="21"/>
        <v>0</v>
      </c>
      <c r="N197" s="403" t="str">
        <f t="shared" si="22"/>
        <v/>
      </c>
      <c r="O197" s="399"/>
      <c r="P197" s="399"/>
      <c r="Q197" s="399"/>
      <c r="R197" s="399"/>
      <c r="S197" s="399"/>
      <c r="T197" s="399"/>
      <c r="U197" s="399"/>
      <c r="V197" s="398" t="str">
        <f t="shared" si="23"/>
        <v>Blank</v>
      </c>
    </row>
    <row r="198" spans="1:22">
      <c r="A198" s="398" t="str">
        <f t="shared" si="20"/>
        <v/>
      </c>
      <c r="B198" s="399"/>
      <c r="C198" s="398" t="str">
        <f>IFERROR(INDEX(DATA_PROPERTY_MASTER!$B:$B,MATCH($B198,DATA_PROPERTY_MASTER!$A:$A,0)),"")</f>
        <v/>
      </c>
      <c r="D198" s="399"/>
      <c r="E198" s="399"/>
      <c r="F198" s="399"/>
      <c r="G198" s="400"/>
      <c r="H198" s="400"/>
      <c r="I198" s="400"/>
      <c r="J198" s="400"/>
      <c r="K198" s="401"/>
      <c r="L198" s="401"/>
      <c r="M198" s="402">
        <f t="shared" si="21"/>
        <v>0</v>
      </c>
      <c r="N198" s="403" t="str">
        <f t="shared" si="22"/>
        <v/>
      </c>
      <c r="O198" s="399"/>
      <c r="P198" s="399"/>
      <c r="Q198" s="399"/>
      <c r="R198" s="399"/>
      <c r="S198" s="399"/>
      <c r="T198" s="399"/>
      <c r="U198" s="399"/>
      <c r="V198" s="398" t="str">
        <f t="shared" si="23"/>
        <v>Blank</v>
      </c>
    </row>
    <row r="199" spans="1:22">
      <c r="A199" s="398" t="str">
        <f t="shared" ref="A199:A206" si="24">IF($B199="","","UM-"&amp;TEXT(ROW()-6,"0000"))</f>
        <v/>
      </c>
      <c r="B199" s="399"/>
      <c r="C199" s="398" t="str">
        <f>IFERROR(INDEX(DATA_PROPERTY_MASTER!$B:$B,MATCH($B199,DATA_PROPERTY_MASTER!$A:$A,0)),"")</f>
        <v/>
      </c>
      <c r="D199" s="399"/>
      <c r="E199" s="399"/>
      <c r="F199" s="399"/>
      <c r="G199" s="400"/>
      <c r="H199" s="400"/>
      <c r="I199" s="400"/>
      <c r="J199" s="400"/>
      <c r="K199" s="401"/>
      <c r="L199" s="401"/>
      <c r="M199" s="402">
        <f t="shared" ref="M199:M206" si="25">IFERROR($G199*$K199,"")</f>
        <v>0</v>
      </c>
      <c r="N199" s="403" t="str">
        <f t="shared" ref="N199:N206" si="26">IFERROR(IF($L199&gt;0,1-($K199/$L199),""),"")</f>
        <v/>
      </c>
      <c r="O199" s="399"/>
      <c r="P199" s="399"/>
      <c r="Q199" s="399"/>
      <c r="R199" s="399"/>
      <c r="S199" s="399"/>
      <c r="T199" s="399"/>
      <c r="U199" s="399"/>
      <c r="V199" s="398" t="str">
        <f t="shared" ref="V199:V206" si="27">IF($B199="","Blank",IF(OR($G199="",$K199=""),"Review","OK"))</f>
        <v>Blank</v>
      </c>
    </row>
    <row r="200" spans="1:22">
      <c r="A200" s="398" t="str">
        <f t="shared" si="24"/>
        <v/>
      </c>
      <c r="B200" s="399"/>
      <c r="C200" s="398" t="str">
        <f>IFERROR(INDEX(DATA_PROPERTY_MASTER!$B:$B,MATCH($B200,DATA_PROPERTY_MASTER!$A:$A,0)),"")</f>
        <v/>
      </c>
      <c r="D200" s="399"/>
      <c r="E200" s="399"/>
      <c r="F200" s="399"/>
      <c r="G200" s="400"/>
      <c r="H200" s="400"/>
      <c r="I200" s="400"/>
      <c r="J200" s="400"/>
      <c r="K200" s="401"/>
      <c r="L200" s="401"/>
      <c r="M200" s="402">
        <f t="shared" si="25"/>
        <v>0</v>
      </c>
      <c r="N200" s="403" t="str">
        <f t="shared" si="26"/>
        <v/>
      </c>
      <c r="O200" s="399"/>
      <c r="P200" s="399"/>
      <c r="Q200" s="399"/>
      <c r="R200" s="399"/>
      <c r="S200" s="399"/>
      <c r="T200" s="399"/>
      <c r="U200" s="399"/>
      <c r="V200" s="398" t="str">
        <f t="shared" si="27"/>
        <v>Blank</v>
      </c>
    </row>
    <row r="201" spans="1:22">
      <c r="A201" s="398" t="str">
        <f t="shared" si="24"/>
        <v/>
      </c>
      <c r="B201" s="399"/>
      <c r="C201" s="398" t="str">
        <f>IFERROR(INDEX(DATA_PROPERTY_MASTER!$B:$B,MATCH($B201,DATA_PROPERTY_MASTER!$A:$A,0)),"")</f>
        <v/>
      </c>
      <c r="D201" s="399"/>
      <c r="E201" s="399"/>
      <c r="F201" s="399"/>
      <c r="G201" s="400"/>
      <c r="H201" s="400"/>
      <c r="I201" s="400"/>
      <c r="J201" s="400"/>
      <c r="K201" s="401"/>
      <c r="L201" s="401"/>
      <c r="M201" s="402">
        <f t="shared" si="25"/>
        <v>0</v>
      </c>
      <c r="N201" s="403" t="str">
        <f t="shared" si="26"/>
        <v/>
      </c>
      <c r="O201" s="399"/>
      <c r="P201" s="399"/>
      <c r="Q201" s="399"/>
      <c r="R201" s="399"/>
      <c r="S201" s="399"/>
      <c r="T201" s="399"/>
      <c r="U201" s="399"/>
      <c r="V201" s="398" t="str">
        <f t="shared" si="27"/>
        <v>Blank</v>
      </c>
    </row>
    <row r="202" spans="1:22">
      <c r="A202" s="398" t="str">
        <f t="shared" si="24"/>
        <v/>
      </c>
      <c r="B202" s="399"/>
      <c r="C202" s="398" t="str">
        <f>IFERROR(INDEX(DATA_PROPERTY_MASTER!$B:$B,MATCH($B202,DATA_PROPERTY_MASTER!$A:$A,0)),"")</f>
        <v/>
      </c>
      <c r="D202" s="399"/>
      <c r="E202" s="399"/>
      <c r="F202" s="399"/>
      <c r="G202" s="400"/>
      <c r="H202" s="400"/>
      <c r="I202" s="400"/>
      <c r="J202" s="400"/>
      <c r="K202" s="401"/>
      <c r="L202" s="401"/>
      <c r="M202" s="402">
        <f t="shared" si="25"/>
        <v>0</v>
      </c>
      <c r="N202" s="403" t="str">
        <f t="shared" si="26"/>
        <v/>
      </c>
      <c r="O202" s="399"/>
      <c r="P202" s="399"/>
      <c r="Q202" s="399"/>
      <c r="R202" s="399"/>
      <c r="S202" s="399"/>
      <c r="T202" s="399"/>
      <c r="U202" s="399"/>
      <c r="V202" s="398" t="str">
        <f t="shared" si="27"/>
        <v>Blank</v>
      </c>
    </row>
    <row r="203" spans="1:22">
      <c r="A203" s="398" t="str">
        <f t="shared" si="24"/>
        <v/>
      </c>
      <c r="B203" s="399"/>
      <c r="C203" s="398" t="str">
        <f>IFERROR(INDEX(DATA_PROPERTY_MASTER!$B:$B,MATCH($B203,DATA_PROPERTY_MASTER!$A:$A,0)),"")</f>
        <v/>
      </c>
      <c r="D203" s="399"/>
      <c r="E203" s="399"/>
      <c r="F203" s="399"/>
      <c r="G203" s="400"/>
      <c r="H203" s="400"/>
      <c r="I203" s="400"/>
      <c r="J203" s="400"/>
      <c r="K203" s="401"/>
      <c r="L203" s="401"/>
      <c r="M203" s="402">
        <f t="shared" si="25"/>
        <v>0</v>
      </c>
      <c r="N203" s="403" t="str">
        <f t="shared" si="26"/>
        <v/>
      </c>
      <c r="O203" s="399"/>
      <c r="P203" s="399"/>
      <c r="Q203" s="399"/>
      <c r="R203" s="399"/>
      <c r="S203" s="399"/>
      <c r="T203" s="399"/>
      <c r="U203" s="399"/>
      <c r="V203" s="398" t="str">
        <f t="shared" si="27"/>
        <v>Blank</v>
      </c>
    </row>
    <row r="204" spans="1:22">
      <c r="A204" s="398" t="str">
        <f t="shared" si="24"/>
        <v/>
      </c>
      <c r="B204" s="399"/>
      <c r="C204" s="398" t="str">
        <f>IFERROR(INDEX(DATA_PROPERTY_MASTER!$B:$B,MATCH($B204,DATA_PROPERTY_MASTER!$A:$A,0)),"")</f>
        <v/>
      </c>
      <c r="D204" s="399"/>
      <c r="E204" s="399"/>
      <c r="F204" s="399"/>
      <c r="G204" s="400"/>
      <c r="H204" s="400"/>
      <c r="I204" s="400"/>
      <c r="J204" s="400"/>
      <c r="K204" s="401"/>
      <c r="L204" s="401"/>
      <c r="M204" s="402">
        <f t="shared" si="25"/>
        <v>0</v>
      </c>
      <c r="N204" s="403" t="str">
        <f t="shared" si="26"/>
        <v/>
      </c>
      <c r="O204" s="399"/>
      <c r="P204" s="399"/>
      <c r="Q204" s="399"/>
      <c r="R204" s="399"/>
      <c r="S204" s="399"/>
      <c r="T204" s="399"/>
      <c r="U204" s="399"/>
      <c r="V204" s="398" t="str">
        <f t="shared" si="27"/>
        <v>Blank</v>
      </c>
    </row>
    <row r="205" spans="1:22">
      <c r="A205" s="398" t="str">
        <f t="shared" si="24"/>
        <v/>
      </c>
      <c r="B205" s="399"/>
      <c r="C205" s="398" t="str">
        <f>IFERROR(INDEX(DATA_PROPERTY_MASTER!$B:$B,MATCH($B205,DATA_PROPERTY_MASTER!$A:$A,0)),"")</f>
        <v/>
      </c>
      <c r="D205" s="399"/>
      <c r="E205" s="399"/>
      <c r="F205" s="399"/>
      <c r="G205" s="400"/>
      <c r="H205" s="400"/>
      <c r="I205" s="400"/>
      <c r="J205" s="400"/>
      <c r="K205" s="401"/>
      <c r="L205" s="401"/>
      <c r="M205" s="402">
        <f t="shared" si="25"/>
        <v>0</v>
      </c>
      <c r="N205" s="403" t="str">
        <f t="shared" si="26"/>
        <v/>
      </c>
      <c r="O205" s="399"/>
      <c r="P205" s="399"/>
      <c r="Q205" s="399"/>
      <c r="R205" s="399"/>
      <c r="S205" s="399"/>
      <c r="T205" s="399"/>
      <c r="U205" s="399"/>
      <c r="V205" s="398" t="str">
        <f t="shared" si="27"/>
        <v>Blank</v>
      </c>
    </row>
    <row r="206" spans="1:22">
      <c r="A206" s="398" t="str">
        <f t="shared" si="24"/>
        <v/>
      </c>
      <c r="B206" s="399"/>
      <c r="C206" s="398" t="str">
        <f>IFERROR(INDEX(DATA_PROPERTY_MASTER!$B:$B,MATCH($B206,DATA_PROPERTY_MASTER!$A:$A,0)),"")</f>
        <v/>
      </c>
      <c r="D206" s="399"/>
      <c r="E206" s="399"/>
      <c r="F206" s="399"/>
      <c r="G206" s="400"/>
      <c r="H206" s="400"/>
      <c r="I206" s="400"/>
      <c r="J206" s="400"/>
      <c r="K206" s="401"/>
      <c r="L206" s="401"/>
      <c r="M206" s="402">
        <f t="shared" si="25"/>
        <v>0</v>
      </c>
      <c r="N206" s="403" t="str">
        <f t="shared" si="26"/>
        <v/>
      </c>
      <c r="O206" s="399"/>
      <c r="P206" s="399"/>
      <c r="Q206" s="399"/>
      <c r="R206" s="399"/>
      <c r="S206" s="399"/>
      <c r="T206" s="399"/>
      <c r="U206" s="399"/>
      <c r="V206" s="398" t="str">
        <f t="shared" si="27"/>
        <v>Blank</v>
      </c>
    </row>
  </sheetData>
  <mergeCells count="1">
    <mergeCell ref="A1:V1"/>
  </mergeCells>
  <conditionalFormatting sqref="T7:T206">
    <cfRule type="expression" dxfId="50" priority="1">
      <formula>OR(T7="Review",T7="Funding Gap",T7="Expired / Review")</formula>
    </cfRule>
    <cfRule type="expression" dxfId="49" priority="2">
      <formula>OR(T7="OK",T7="Ready",T7="Funded / No Gap")</formula>
    </cfRule>
  </conditionalFormatting>
  <conditionalFormatting sqref="V7:V206">
    <cfRule type="expression" dxfId="48" priority="3">
      <formula>OR(V7="Review",V7="Funding Gap",V7="Expired / Review")</formula>
    </cfRule>
    <cfRule type="expression" dxfId="47" priority="4">
      <formula>OR(V7="OK",V7="Ready",V7="Funded / No Gap")</formula>
    </cfRule>
  </conditionalFormatting>
  <dataValidations count="2">
    <dataValidation type="list" allowBlank="1" sqref="S7:S206" xr:uid="{00000000-0002-0000-2800-000001000000}">
      <formula1>"High,Medium,Low,Unknown"</formula1>
    </dataValidation>
    <dataValidation type="list" allowBlank="1" sqref="T7:T206" xr:uid="{00000000-0002-0000-2800-000002000000}">
      <formula1>"Ready,Review,Missing,Not Provided"</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2800-000000000000}">
          <x14:formula1>
            <xm:f>DATA_PROPERTY_MASTER!$A$5:$A$21</xm:f>
          </x14:formula1>
          <xm:sqref>B7:B206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F23AE-F2F6-42BB-9D85-FA1EE9C0297A}">
  <sheetPr>
    <tabColor rgb="FF7030A0"/>
  </sheetPr>
  <dimension ref="A1:W206"/>
  <sheetViews>
    <sheetView workbookViewId="0">
      <pane ySplit="6" topLeftCell="A7" activePane="bottomLeft" state="frozen"/>
      <selection sqref="A1:V1"/>
      <selection pane="bottomLeft" sqref="A1:W1"/>
    </sheetView>
  </sheetViews>
  <sheetFormatPr defaultRowHeight="15"/>
  <cols>
    <col min="1" max="1" width="12" customWidth="1"/>
    <col min="2" max="2" width="29.28515625" customWidth="1"/>
    <col min="3" max="3" width="24" customWidth="1"/>
    <col min="4" max="5" width="15" customWidth="1"/>
    <col min="6" max="6" width="14" customWidth="1"/>
    <col min="7" max="9" width="15" customWidth="1"/>
    <col min="10" max="10" width="16" customWidth="1"/>
    <col min="11" max="13" width="15" customWidth="1"/>
    <col min="14" max="14" width="19" customWidth="1"/>
    <col min="15" max="15" width="16" customWidth="1"/>
    <col min="16" max="17" width="15" customWidth="1"/>
    <col min="18" max="19" width="16" customWidth="1"/>
    <col min="20" max="20" width="19" customWidth="1"/>
    <col min="21" max="21" width="15" customWidth="1"/>
    <col min="22" max="22" width="28" customWidth="1"/>
    <col min="23" max="23" width="12" customWidth="1"/>
  </cols>
  <sheetData>
    <row r="1" spans="1:23">
      <c r="A1" s="425" t="s">
        <v>1428</v>
      </c>
      <c r="B1" s="424"/>
      <c r="C1" s="424"/>
      <c r="D1" s="424"/>
      <c r="E1" s="424"/>
      <c r="F1" s="424"/>
      <c r="G1" s="424"/>
      <c r="H1" s="424"/>
      <c r="I1" s="424"/>
      <c r="J1" s="424"/>
      <c r="K1" s="424"/>
      <c r="L1" s="424"/>
      <c r="M1" s="424"/>
      <c r="N1" s="424"/>
      <c r="O1" s="424"/>
      <c r="P1" s="424"/>
      <c r="Q1" s="424"/>
      <c r="R1" s="424"/>
      <c r="S1" s="424"/>
      <c r="T1" s="424"/>
      <c r="U1" s="424"/>
      <c r="V1" s="424"/>
      <c r="W1" s="424"/>
    </row>
    <row r="2" spans="1:23" ht="54" customHeight="1">
      <c r="A2" s="396" t="s">
        <v>1094</v>
      </c>
      <c r="B2" s="193" t="s">
        <v>1429</v>
      </c>
    </row>
    <row r="3" spans="1:23" ht="67.5" customHeight="1">
      <c r="A3" s="396" t="s">
        <v>1208</v>
      </c>
      <c r="B3" s="193" t="s">
        <v>1430</v>
      </c>
    </row>
    <row r="4" spans="1:23" ht="68.25" customHeight="1">
      <c r="A4" s="396" t="s">
        <v>1409</v>
      </c>
      <c r="B4" s="193" t="s">
        <v>1410</v>
      </c>
    </row>
    <row r="6" spans="1:23" ht="30">
      <c r="A6" s="397" t="s">
        <v>1411</v>
      </c>
      <c r="B6" s="397" t="s">
        <v>1263</v>
      </c>
      <c r="C6" s="397" t="s">
        <v>1269</v>
      </c>
      <c r="D6" s="397" t="s">
        <v>1431</v>
      </c>
      <c r="E6" s="397" t="s">
        <v>1432</v>
      </c>
      <c r="F6" s="397" t="s">
        <v>1413</v>
      </c>
      <c r="G6" s="397" t="s">
        <v>1414</v>
      </c>
      <c r="H6" s="397" t="s">
        <v>1288</v>
      </c>
      <c r="I6" s="397" t="s">
        <v>1433</v>
      </c>
      <c r="J6" s="397" t="s">
        <v>1434</v>
      </c>
      <c r="K6" s="397" t="s">
        <v>1435</v>
      </c>
      <c r="L6" s="397" t="s">
        <v>1436</v>
      </c>
      <c r="M6" s="397" t="s">
        <v>1437</v>
      </c>
      <c r="N6" s="397" t="s">
        <v>1438</v>
      </c>
      <c r="O6" s="397" t="s">
        <v>1439</v>
      </c>
      <c r="P6" s="397" t="s">
        <v>1440</v>
      </c>
      <c r="Q6" s="397" t="s">
        <v>1441</v>
      </c>
      <c r="R6" s="397" t="s">
        <v>1421</v>
      </c>
      <c r="S6" s="397" t="s">
        <v>1210</v>
      </c>
      <c r="T6" s="397" t="s">
        <v>1425</v>
      </c>
      <c r="U6" s="397" t="s">
        <v>1426</v>
      </c>
      <c r="V6" s="397" t="s">
        <v>386</v>
      </c>
      <c r="W6" s="397" t="s">
        <v>1427</v>
      </c>
    </row>
    <row r="7" spans="1:23">
      <c r="A7" s="398" t="str">
        <f t="shared" ref="A7:A38" si="0">IF($B7="","","RR-"&amp;TEXT(ROW()-6,"0000"))</f>
        <v/>
      </c>
      <c r="B7" s="399"/>
      <c r="C7" s="398" t="str">
        <f>IFERROR(INDEX(DATA_PROPERTY_MASTER!$B:$B,MATCH($B7,DATA_PROPERTY_MASTER!$A:$A,0)),"")</f>
        <v/>
      </c>
      <c r="D7" s="399"/>
      <c r="E7" s="399"/>
      <c r="F7" s="399"/>
      <c r="G7" s="399"/>
      <c r="H7" s="399"/>
      <c r="I7" s="399"/>
      <c r="J7" s="399"/>
      <c r="K7" s="401"/>
      <c r="L7" s="401"/>
      <c r="M7" s="401"/>
      <c r="N7" s="401"/>
      <c r="O7" s="404"/>
      <c r="P7" s="402">
        <f t="shared" ref="P7:P38" si="1">IFERROR($H7*$K7*12,"")</f>
        <v>0</v>
      </c>
      <c r="Q7" s="402">
        <f t="shared" ref="Q7:Q38" si="2">IFERROR($H7*$L7*12,"")</f>
        <v>0</v>
      </c>
      <c r="R7" s="403" t="str">
        <f t="shared" ref="R7:R38" si="3">IFERROR(IF($L7&gt;0,1-($K7/$L7),""),"")</f>
        <v/>
      </c>
      <c r="S7" s="399"/>
      <c r="T7" s="399"/>
      <c r="U7" s="399"/>
      <c r="V7" s="399"/>
      <c r="W7" s="398" t="str">
        <f t="shared" ref="W7:W38" si="4">IF($B7="","Blank",IF(OR($K7="",$H7=""),"Review","OK"))</f>
        <v>Blank</v>
      </c>
    </row>
    <row r="8" spans="1:23">
      <c r="A8" s="398" t="str">
        <f t="shared" si="0"/>
        <v/>
      </c>
      <c r="B8" s="399"/>
      <c r="C8" s="398" t="str">
        <f>IFERROR(INDEX(DATA_PROPERTY_MASTER!$B:$B,MATCH($B8,DATA_PROPERTY_MASTER!$A:$A,0)),"")</f>
        <v/>
      </c>
      <c r="D8" s="399"/>
      <c r="E8" s="399"/>
      <c r="F8" s="399"/>
      <c r="G8" s="399"/>
      <c r="H8" s="399"/>
      <c r="I8" s="399"/>
      <c r="J8" s="399"/>
      <c r="K8" s="401"/>
      <c r="L8" s="401"/>
      <c r="M8" s="401"/>
      <c r="N8" s="401"/>
      <c r="O8" s="404"/>
      <c r="P8" s="402">
        <f t="shared" si="1"/>
        <v>0</v>
      </c>
      <c r="Q8" s="402">
        <f t="shared" si="2"/>
        <v>0</v>
      </c>
      <c r="R8" s="403" t="str">
        <f t="shared" si="3"/>
        <v/>
      </c>
      <c r="S8" s="399"/>
      <c r="T8" s="399"/>
      <c r="U8" s="399"/>
      <c r="V8" s="399"/>
      <c r="W8" s="398" t="str">
        <f t="shared" si="4"/>
        <v>Blank</v>
      </c>
    </row>
    <row r="9" spans="1:23">
      <c r="A9" s="398" t="str">
        <f t="shared" si="0"/>
        <v/>
      </c>
      <c r="B9" s="399"/>
      <c r="C9" s="398" t="str">
        <f>IFERROR(INDEX(DATA_PROPERTY_MASTER!$B:$B,MATCH($B9,DATA_PROPERTY_MASTER!$A:$A,0)),"")</f>
        <v/>
      </c>
      <c r="D9" s="399"/>
      <c r="E9" s="399"/>
      <c r="F9" s="399"/>
      <c r="G9" s="399"/>
      <c r="H9" s="399"/>
      <c r="I9" s="399"/>
      <c r="J9" s="399"/>
      <c r="K9" s="401"/>
      <c r="L9" s="401"/>
      <c r="M9" s="401"/>
      <c r="N9" s="401"/>
      <c r="O9" s="404"/>
      <c r="P9" s="402">
        <f t="shared" si="1"/>
        <v>0</v>
      </c>
      <c r="Q9" s="402">
        <f t="shared" si="2"/>
        <v>0</v>
      </c>
      <c r="R9" s="403" t="str">
        <f t="shared" si="3"/>
        <v/>
      </c>
      <c r="S9" s="399"/>
      <c r="T9" s="399"/>
      <c r="U9" s="399"/>
      <c r="V9" s="399"/>
      <c r="W9" s="398" t="str">
        <f t="shared" si="4"/>
        <v>Blank</v>
      </c>
    </row>
    <row r="10" spans="1:23">
      <c r="A10" s="398" t="str">
        <f t="shared" si="0"/>
        <v/>
      </c>
      <c r="B10" s="399"/>
      <c r="C10" s="398" t="str">
        <f>IFERROR(INDEX(DATA_PROPERTY_MASTER!$B:$B,MATCH($B10,DATA_PROPERTY_MASTER!$A:$A,0)),"")</f>
        <v/>
      </c>
      <c r="D10" s="399"/>
      <c r="E10" s="399"/>
      <c r="F10" s="399"/>
      <c r="G10" s="399"/>
      <c r="H10" s="399"/>
      <c r="I10" s="399"/>
      <c r="J10" s="399"/>
      <c r="K10" s="401"/>
      <c r="L10" s="401"/>
      <c r="M10" s="401"/>
      <c r="N10" s="401"/>
      <c r="O10" s="404"/>
      <c r="P10" s="402">
        <f t="shared" si="1"/>
        <v>0</v>
      </c>
      <c r="Q10" s="402">
        <f t="shared" si="2"/>
        <v>0</v>
      </c>
      <c r="R10" s="403" t="str">
        <f t="shared" si="3"/>
        <v/>
      </c>
      <c r="S10" s="399"/>
      <c r="T10" s="399"/>
      <c r="U10" s="399"/>
      <c r="V10" s="399"/>
      <c r="W10" s="398" t="str">
        <f t="shared" si="4"/>
        <v>Blank</v>
      </c>
    </row>
    <row r="11" spans="1:23">
      <c r="A11" s="398" t="str">
        <f t="shared" si="0"/>
        <v/>
      </c>
      <c r="B11" s="399"/>
      <c r="C11" s="398" t="str">
        <f>IFERROR(INDEX(DATA_PROPERTY_MASTER!$B:$B,MATCH($B11,DATA_PROPERTY_MASTER!$A:$A,0)),"")</f>
        <v/>
      </c>
      <c r="D11" s="399"/>
      <c r="E11" s="399"/>
      <c r="F11" s="399"/>
      <c r="G11" s="399"/>
      <c r="H11" s="399"/>
      <c r="I11" s="399"/>
      <c r="J11" s="399"/>
      <c r="K11" s="401"/>
      <c r="L11" s="401"/>
      <c r="M11" s="401"/>
      <c r="N11" s="401"/>
      <c r="O11" s="404"/>
      <c r="P11" s="402">
        <f t="shared" si="1"/>
        <v>0</v>
      </c>
      <c r="Q11" s="402">
        <f t="shared" si="2"/>
        <v>0</v>
      </c>
      <c r="R11" s="403" t="str">
        <f t="shared" si="3"/>
        <v/>
      </c>
      <c r="S11" s="399"/>
      <c r="T11" s="399"/>
      <c r="U11" s="399"/>
      <c r="V11" s="399"/>
      <c r="W11" s="398" t="str">
        <f t="shared" si="4"/>
        <v>Blank</v>
      </c>
    </row>
    <row r="12" spans="1:23">
      <c r="A12" s="398" t="str">
        <f t="shared" si="0"/>
        <v/>
      </c>
      <c r="B12" s="399"/>
      <c r="C12" s="398" t="str">
        <f>IFERROR(INDEX(DATA_PROPERTY_MASTER!$B:$B,MATCH($B12,DATA_PROPERTY_MASTER!$A:$A,0)),"")</f>
        <v/>
      </c>
      <c r="D12" s="399"/>
      <c r="E12" s="399"/>
      <c r="F12" s="399"/>
      <c r="G12" s="399"/>
      <c r="H12" s="399"/>
      <c r="I12" s="399"/>
      <c r="J12" s="399"/>
      <c r="K12" s="401"/>
      <c r="L12" s="401"/>
      <c r="M12" s="401"/>
      <c r="N12" s="401"/>
      <c r="O12" s="404"/>
      <c r="P12" s="402">
        <f t="shared" si="1"/>
        <v>0</v>
      </c>
      <c r="Q12" s="402">
        <f t="shared" si="2"/>
        <v>0</v>
      </c>
      <c r="R12" s="403" t="str">
        <f t="shared" si="3"/>
        <v/>
      </c>
      <c r="S12" s="399"/>
      <c r="T12" s="399"/>
      <c r="U12" s="399"/>
      <c r="V12" s="399"/>
      <c r="W12" s="398" t="str">
        <f t="shared" si="4"/>
        <v>Blank</v>
      </c>
    </row>
    <row r="13" spans="1:23">
      <c r="A13" s="398" t="str">
        <f t="shared" si="0"/>
        <v/>
      </c>
      <c r="B13" s="399"/>
      <c r="C13" s="398" t="str">
        <f>IFERROR(INDEX(DATA_PROPERTY_MASTER!$B:$B,MATCH($B13,DATA_PROPERTY_MASTER!$A:$A,0)),"")</f>
        <v/>
      </c>
      <c r="D13" s="399"/>
      <c r="E13" s="399"/>
      <c r="F13" s="399"/>
      <c r="G13" s="399"/>
      <c r="H13" s="399"/>
      <c r="I13" s="399"/>
      <c r="J13" s="399"/>
      <c r="K13" s="401"/>
      <c r="L13" s="401"/>
      <c r="M13" s="401"/>
      <c r="N13" s="401"/>
      <c r="O13" s="404"/>
      <c r="P13" s="402">
        <f t="shared" si="1"/>
        <v>0</v>
      </c>
      <c r="Q13" s="402">
        <f t="shared" si="2"/>
        <v>0</v>
      </c>
      <c r="R13" s="403" t="str">
        <f t="shared" si="3"/>
        <v/>
      </c>
      <c r="S13" s="399"/>
      <c r="T13" s="399"/>
      <c r="U13" s="399"/>
      <c r="V13" s="399"/>
      <c r="W13" s="398" t="str">
        <f t="shared" si="4"/>
        <v>Blank</v>
      </c>
    </row>
    <row r="14" spans="1:23">
      <c r="A14" s="398" t="str">
        <f t="shared" si="0"/>
        <v/>
      </c>
      <c r="B14" s="399"/>
      <c r="C14" s="398" t="str">
        <f>IFERROR(INDEX(DATA_PROPERTY_MASTER!$B:$B,MATCH($B14,DATA_PROPERTY_MASTER!$A:$A,0)),"")</f>
        <v/>
      </c>
      <c r="D14" s="399"/>
      <c r="E14" s="399"/>
      <c r="F14" s="399"/>
      <c r="G14" s="399"/>
      <c r="H14" s="399"/>
      <c r="I14" s="399"/>
      <c r="J14" s="399"/>
      <c r="K14" s="401"/>
      <c r="L14" s="401"/>
      <c r="M14" s="401"/>
      <c r="N14" s="401"/>
      <c r="O14" s="404"/>
      <c r="P14" s="402">
        <f t="shared" si="1"/>
        <v>0</v>
      </c>
      <c r="Q14" s="402">
        <f t="shared" si="2"/>
        <v>0</v>
      </c>
      <c r="R14" s="403" t="str">
        <f t="shared" si="3"/>
        <v/>
      </c>
      <c r="S14" s="399"/>
      <c r="T14" s="399"/>
      <c r="U14" s="399"/>
      <c r="V14" s="399"/>
      <c r="W14" s="398" t="str">
        <f t="shared" si="4"/>
        <v>Blank</v>
      </c>
    </row>
    <row r="15" spans="1:23">
      <c r="A15" s="398" t="str">
        <f t="shared" si="0"/>
        <v/>
      </c>
      <c r="B15" s="399"/>
      <c r="C15" s="398" t="str">
        <f>IFERROR(INDEX(DATA_PROPERTY_MASTER!$B:$B,MATCH($B15,DATA_PROPERTY_MASTER!$A:$A,0)),"")</f>
        <v/>
      </c>
      <c r="D15" s="399"/>
      <c r="E15" s="399"/>
      <c r="F15" s="399"/>
      <c r="G15" s="399"/>
      <c r="H15" s="399"/>
      <c r="I15" s="399"/>
      <c r="J15" s="399"/>
      <c r="K15" s="401"/>
      <c r="L15" s="401"/>
      <c r="M15" s="401"/>
      <c r="N15" s="401"/>
      <c r="O15" s="404"/>
      <c r="P15" s="402">
        <f t="shared" si="1"/>
        <v>0</v>
      </c>
      <c r="Q15" s="402">
        <f t="shared" si="2"/>
        <v>0</v>
      </c>
      <c r="R15" s="403" t="str">
        <f t="shared" si="3"/>
        <v/>
      </c>
      <c r="S15" s="399"/>
      <c r="T15" s="399"/>
      <c r="U15" s="399"/>
      <c r="V15" s="399"/>
      <c r="W15" s="398" t="str">
        <f t="shared" si="4"/>
        <v>Blank</v>
      </c>
    </row>
    <row r="16" spans="1:23">
      <c r="A16" s="398" t="str">
        <f t="shared" si="0"/>
        <v/>
      </c>
      <c r="B16" s="399"/>
      <c r="C16" s="398" t="str">
        <f>IFERROR(INDEX(DATA_PROPERTY_MASTER!$B:$B,MATCH($B16,DATA_PROPERTY_MASTER!$A:$A,0)),"")</f>
        <v/>
      </c>
      <c r="D16" s="399"/>
      <c r="E16" s="399"/>
      <c r="F16" s="399"/>
      <c r="G16" s="399"/>
      <c r="H16" s="399"/>
      <c r="I16" s="399"/>
      <c r="J16" s="399"/>
      <c r="K16" s="401"/>
      <c r="L16" s="401"/>
      <c r="M16" s="401"/>
      <c r="N16" s="401"/>
      <c r="O16" s="404"/>
      <c r="P16" s="402">
        <f t="shared" si="1"/>
        <v>0</v>
      </c>
      <c r="Q16" s="402">
        <f t="shared" si="2"/>
        <v>0</v>
      </c>
      <c r="R16" s="403" t="str">
        <f t="shared" si="3"/>
        <v/>
      </c>
      <c r="S16" s="399"/>
      <c r="T16" s="399"/>
      <c r="U16" s="399"/>
      <c r="V16" s="399"/>
      <c r="W16" s="398" t="str">
        <f t="shared" si="4"/>
        <v>Blank</v>
      </c>
    </row>
    <row r="17" spans="1:23">
      <c r="A17" s="398" t="str">
        <f t="shared" si="0"/>
        <v/>
      </c>
      <c r="B17" s="399"/>
      <c r="C17" s="398" t="str">
        <f>IFERROR(INDEX(DATA_PROPERTY_MASTER!$B:$B,MATCH($B17,DATA_PROPERTY_MASTER!$A:$A,0)),"")</f>
        <v/>
      </c>
      <c r="D17" s="399"/>
      <c r="E17" s="399"/>
      <c r="F17" s="399"/>
      <c r="G17" s="399"/>
      <c r="H17" s="399"/>
      <c r="I17" s="399"/>
      <c r="J17" s="399"/>
      <c r="K17" s="401"/>
      <c r="L17" s="401"/>
      <c r="M17" s="401"/>
      <c r="N17" s="401"/>
      <c r="O17" s="404"/>
      <c r="P17" s="402">
        <f t="shared" si="1"/>
        <v>0</v>
      </c>
      <c r="Q17" s="402">
        <f t="shared" si="2"/>
        <v>0</v>
      </c>
      <c r="R17" s="403" t="str">
        <f t="shared" si="3"/>
        <v/>
      </c>
      <c r="S17" s="399"/>
      <c r="T17" s="399"/>
      <c r="U17" s="399"/>
      <c r="V17" s="399"/>
      <c r="W17" s="398" t="str">
        <f t="shared" si="4"/>
        <v>Blank</v>
      </c>
    </row>
    <row r="18" spans="1:23">
      <c r="A18" s="398" t="str">
        <f t="shared" si="0"/>
        <v/>
      </c>
      <c r="B18" s="399"/>
      <c r="C18" s="398" t="str">
        <f>IFERROR(INDEX(DATA_PROPERTY_MASTER!$B:$B,MATCH($B18,DATA_PROPERTY_MASTER!$A:$A,0)),"")</f>
        <v/>
      </c>
      <c r="D18" s="399"/>
      <c r="E18" s="399"/>
      <c r="F18" s="399"/>
      <c r="G18" s="399"/>
      <c r="H18" s="399"/>
      <c r="I18" s="399"/>
      <c r="J18" s="399"/>
      <c r="K18" s="401"/>
      <c r="L18" s="401"/>
      <c r="M18" s="401"/>
      <c r="N18" s="401"/>
      <c r="O18" s="404"/>
      <c r="P18" s="402">
        <f t="shared" si="1"/>
        <v>0</v>
      </c>
      <c r="Q18" s="402">
        <f t="shared" si="2"/>
        <v>0</v>
      </c>
      <c r="R18" s="403" t="str">
        <f t="shared" si="3"/>
        <v/>
      </c>
      <c r="S18" s="399"/>
      <c r="T18" s="399"/>
      <c r="U18" s="399"/>
      <c r="V18" s="399"/>
      <c r="W18" s="398" t="str">
        <f t="shared" si="4"/>
        <v>Blank</v>
      </c>
    </row>
    <row r="19" spans="1:23">
      <c r="A19" s="398" t="str">
        <f t="shared" si="0"/>
        <v/>
      </c>
      <c r="B19" s="399"/>
      <c r="C19" s="398" t="str">
        <f>IFERROR(INDEX(DATA_PROPERTY_MASTER!$B:$B,MATCH($B19,DATA_PROPERTY_MASTER!$A:$A,0)),"")</f>
        <v/>
      </c>
      <c r="D19" s="399"/>
      <c r="E19" s="399"/>
      <c r="F19" s="399"/>
      <c r="G19" s="399"/>
      <c r="H19" s="399"/>
      <c r="I19" s="399"/>
      <c r="J19" s="399"/>
      <c r="K19" s="401"/>
      <c r="L19" s="401"/>
      <c r="M19" s="401"/>
      <c r="N19" s="401"/>
      <c r="O19" s="404"/>
      <c r="P19" s="402">
        <f t="shared" si="1"/>
        <v>0</v>
      </c>
      <c r="Q19" s="402">
        <f t="shared" si="2"/>
        <v>0</v>
      </c>
      <c r="R19" s="403" t="str">
        <f t="shared" si="3"/>
        <v/>
      </c>
      <c r="S19" s="399"/>
      <c r="T19" s="399"/>
      <c r="U19" s="399"/>
      <c r="V19" s="399"/>
      <c r="W19" s="398" t="str">
        <f t="shared" si="4"/>
        <v>Blank</v>
      </c>
    </row>
    <row r="20" spans="1:23">
      <c r="A20" s="398" t="str">
        <f t="shared" si="0"/>
        <v/>
      </c>
      <c r="B20" s="399"/>
      <c r="C20" s="398" t="str">
        <f>IFERROR(INDEX(DATA_PROPERTY_MASTER!$B:$B,MATCH($B20,DATA_PROPERTY_MASTER!$A:$A,0)),"")</f>
        <v/>
      </c>
      <c r="D20" s="399"/>
      <c r="E20" s="399"/>
      <c r="F20" s="399"/>
      <c r="G20" s="399"/>
      <c r="H20" s="399"/>
      <c r="I20" s="399"/>
      <c r="J20" s="399"/>
      <c r="K20" s="401"/>
      <c r="L20" s="401"/>
      <c r="M20" s="401"/>
      <c r="N20" s="401"/>
      <c r="O20" s="404"/>
      <c r="P20" s="402">
        <f t="shared" si="1"/>
        <v>0</v>
      </c>
      <c r="Q20" s="402">
        <f t="shared" si="2"/>
        <v>0</v>
      </c>
      <c r="R20" s="403" t="str">
        <f t="shared" si="3"/>
        <v/>
      </c>
      <c r="S20" s="399"/>
      <c r="T20" s="399"/>
      <c r="U20" s="399"/>
      <c r="V20" s="399"/>
      <c r="W20" s="398" t="str">
        <f t="shared" si="4"/>
        <v>Blank</v>
      </c>
    </row>
    <row r="21" spans="1:23">
      <c r="A21" s="398" t="str">
        <f t="shared" si="0"/>
        <v/>
      </c>
      <c r="B21" s="399"/>
      <c r="C21" s="398" t="str">
        <f>IFERROR(INDEX(DATA_PROPERTY_MASTER!$B:$B,MATCH($B21,DATA_PROPERTY_MASTER!$A:$A,0)),"")</f>
        <v/>
      </c>
      <c r="D21" s="399"/>
      <c r="E21" s="399"/>
      <c r="F21" s="399"/>
      <c r="G21" s="399"/>
      <c r="H21" s="399"/>
      <c r="I21" s="399"/>
      <c r="J21" s="399"/>
      <c r="K21" s="401"/>
      <c r="L21" s="401"/>
      <c r="M21" s="401"/>
      <c r="N21" s="401"/>
      <c r="O21" s="404"/>
      <c r="P21" s="402">
        <f t="shared" si="1"/>
        <v>0</v>
      </c>
      <c r="Q21" s="402">
        <f t="shared" si="2"/>
        <v>0</v>
      </c>
      <c r="R21" s="403" t="str">
        <f t="shared" si="3"/>
        <v/>
      </c>
      <c r="S21" s="399"/>
      <c r="T21" s="399"/>
      <c r="U21" s="399"/>
      <c r="V21" s="399"/>
      <c r="W21" s="398" t="str">
        <f t="shared" si="4"/>
        <v>Blank</v>
      </c>
    </row>
    <row r="22" spans="1:23">
      <c r="A22" s="398" t="str">
        <f t="shared" si="0"/>
        <v/>
      </c>
      <c r="B22" s="399"/>
      <c r="C22" s="398" t="str">
        <f>IFERROR(INDEX(DATA_PROPERTY_MASTER!$B:$B,MATCH($B22,DATA_PROPERTY_MASTER!$A:$A,0)),"")</f>
        <v/>
      </c>
      <c r="D22" s="399"/>
      <c r="E22" s="399"/>
      <c r="F22" s="399"/>
      <c r="G22" s="399"/>
      <c r="H22" s="399"/>
      <c r="I22" s="399"/>
      <c r="J22" s="399"/>
      <c r="K22" s="401"/>
      <c r="L22" s="401"/>
      <c r="M22" s="401"/>
      <c r="N22" s="401"/>
      <c r="O22" s="404"/>
      <c r="P22" s="402">
        <f t="shared" si="1"/>
        <v>0</v>
      </c>
      <c r="Q22" s="402">
        <f t="shared" si="2"/>
        <v>0</v>
      </c>
      <c r="R22" s="403" t="str">
        <f t="shared" si="3"/>
        <v/>
      </c>
      <c r="S22" s="399"/>
      <c r="T22" s="399"/>
      <c r="U22" s="399"/>
      <c r="V22" s="399"/>
      <c r="W22" s="398" t="str">
        <f t="shared" si="4"/>
        <v>Blank</v>
      </c>
    </row>
    <row r="23" spans="1:23">
      <c r="A23" s="398" t="str">
        <f t="shared" si="0"/>
        <v/>
      </c>
      <c r="B23" s="399"/>
      <c r="C23" s="398" t="str">
        <f>IFERROR(INDEX(DATA_PROPERTY_MASTER!$B:$B,MATCH($B23,DATA_PROPERTY_MASTER!$A:$A,0)),"")</f>
        <v/>
      </c>
      <c r="D23" s="399"/>
      <c r="E23" s="399"/>
      <c r="F23" s="399"/>
      <c r="G23" s="399"/>
      <c r="H23" s="399"/>
      <c r="I23" s="399"/>
      <c r="J23" s="399"/>
      <c r="K23" s="401"/>
      <c r="L23" s="401"/>
      <c r="M23" s="401"/>
      <c r="N23" s="401"/>
      <c r="O23" s="404"/>
      <c r="P23" s="402">
        <f t="shared" si="1"/>
        <v>0</v>
      </c>
      <c r="Q23" s="402">
        <f t="shared" si="2"/>
        <v>0</v>
      </c>
      <c r="R23" s="403" t="str">
        <f t="shared" si="3"/>
        <v/>
      </c>
      <c r="S23" s="399"/>
      <c r="T23" s="399"/>
      <c r="U23" s="399"/>
      <c r="V23" s="399"/>
      <c r="W23" s="398" t="str">
        <f t="shared" si="4"/>
        <v>Blank</v>
      </c>
    </row>
    <row r="24" spans="1:23">
      <c r="A24" s="398" t="str">
        <f t="shared" si="0"/>
        <v/>
      </c>
      <c r="B24" s="399"/>
      <c r="C24" s="398" t="str">
        <f>IFERROR(INDEX(DATA_PROPERTY_MASTER!$B:$B,MATCH($B24,DATA_PROPERTY_MASTER!$A:$A,0)),"")</f>
        <v/>
      </c>
      <c r="D24" s="399"/>
      <c r="E24" s="399"/>
      <c r="F24" s="399"/>
      <c r="G24" s="399"/>
      <c r="H24" s="399"/>
      <c r="I24" s="399"/>
      <c r="J24" s="399"/>
      <c r="K24" s="401"/>
      <c r="L24" s="401"/>
      <c r="M24" s="401"/>
      <c r="N24" s="401"/>
      <c r="O24" s="404"/>
      <c r="P24" s="402">
        <f t="shared" si="1"/>
        <v>0</v>
      </c>
      <c r="Q24" s="402">
        <f t="shared" si="2"/>
        <v>0</v>
      </c>
      <c r="R24" s="403" t="str">
        <f t="shared" si="3"/>
        <v/>
      </c>
      <c r="S24" s="399"/>
      <c r="T24" s="399"/>
      <c r="U24" s="399"/>
      <c r="V24" s="399"/>
      <c r="W24" s="398" t="str">
        <f t="shared" si="4"/>
        <v>Blank</v>
      </c>
    </row>
    <row r="25" spans="1:23">
      <c r="A25" s="398" t="str">
        <f t="shared" si="0"/>
        <v/>
      </c>
      <c r="B25" s="399"/>
      <c r="C25" s="398" t="str">
        <f>IFERROR(INDEX(DATA_PROPERTY_MASTER!$B:$B,MATCH($B25,DATA_PROPERTY_MASTER!$A:$A,0)),"")</f>
        <v/>
      </c>
      <c r="D25" s="399"/>
      <c r="E25" s="399"/>
      <c r="F25" s="399"/>
      <c r="G25" s="399"/>
      <c r="H25" s="399"/>
      <c r="I25" s="399"/>
      <c r="J25" s="399"/>
      <c r="K25" s="401"/>
      <c r="L25" s="401"/>
      <c r="M25" s="401"/>
      <c r="N25" s="401"/>
      <c r="O25" s="404"/>
      <c r="P25" s="402">
        <f t="shared" si="1"/>
        <v>0</v>
      </c>
      <c r="Q25" s="402">
        <f t="shared" si="2"/>
        <v>0</v>
      </c>
      <c r="R25" s="403" t="str">
        <f t="shared" si="3"/>
        <v/>
      </c>
      <c r="S25" s="399"/>
      <c r="T25" s="399"/>
      <c r="U25" s="399"/>
      <c r="V25" s="399"/>
      <c r="W25" s="398" t="str">
        <f t="shared" si="4"/>
        <v>Blank</v>
      </c>
    </row>
    <row r="26" spans="1:23">
      <c r="A26" s="398" t="str">
        <f t="shared" si="0"/>
        <v/>
      </c>
      <c r="B26" s="399"/>
      <c r="C26" s="398" t="str">
        <f>IFERROR(INDEX(DATA_PROPERTY_MASTER!$B:$B,MATCH($B26,DATA_PROPERTY_MASTER!$A:$A,0)),"")</f>
        <v/>
      </c>
      <c r="D26" s="399"/>
      <c r="E26" s="399"/>
      <c r="F26" s="399"/>
      <c r="G26" s="399"/>
      <c r="H26" s="399"/>
      <c r="I26" s="399"/>
      <c r="J26" s="399"/>
      <c r="K26" s="401"/>
      <c r="L26" s="401"/>
      <c r="M26" s="401"/>
      <c r="N26" s="401"/>
      <c r="O26" s="404"/>
      <c r="P26" s="402">
        <f t="shared" si="1"/>
        <v>0</v>
      </c>
      <c r="Q26" s="402">
        <f t="shared" si="2"/>
        <v>0</v>
      </c>
      <c r="R26" s="403" t="str">
        <f t="shared" si="3"/>
        <v/>
      </c>
      <c r="S26" s="399"/>
      <c r="T26" s="399"/>
      <c r="U26" s="399"/>
      <c r="V26" s="399"/>
      <c r="W26" s="398" t="str">
        <f t="shared" si="4"/>
        <v>Blank</v>
      </c>
    </row>
    <row r="27" spans="1:23">
      <c r="A27" s="398" t="str">
        <f t="shared" si="0"/>
        <v/>
      </c>
      <c r="B27" s="399"/>
      <c r="C27" s="398" t="str">
        <f>IFERROR(INDEX(DATA_PROPERTY_MASTER!$B:$B,MATCH($B27,DATA_PROPERTY_MASTER!$A:$A,0)),"")</f>
        <v/>
      </c>
      <c r="D27" s="399"/>
      <c r="E27" s="399"/>
      <c r="F27" s="399"/>
      <c r="G27" s="399"/>
      <c r="H27" s="399"/>
      <c r="I27" s="399"/>
      <c r="J27" s="399"/>
      <c r="K27" s="401"/>
      <c r="L27" s="401"/>
      <c r="M27" s="401"/>
      <c r="N27" s="401"/>
      <c r="O27" s="404"/>
      <c r="P27" s="402">
        <f t="shared" si="1"/>
        <v>0</v>
      </c>
      <c r="Q27" s="402">
        <f t="shared" si="2"/>
        <v>0</v>
      </c>
      <c r="R27" s="403" t="str">
        <f t="shared" si="3"/>
        <v/>
      </c>
      <c r="S27" s="399"/>
      <c r="T27" s="399"/>
      <c r="U27" s="399"/>
      <c r="V27" s="399"/>
      <c r="W27" s="398" t="str">
        <f t="shared" si="4"/>
        <v>Blank</v>
      </c>
    </row>
    <row r="28" spans="1:23">
      <c r="A28" s="398" t="str">
        <f t="shared" si="0"/>
        <v/>
      </c>
      <c r="B28" s="399"/>
      <c r="C28" s="398" t="str">
        <f>IFERROR(INDEX(DATA_PROPERTY_MASTER!$B:$B,MATCH($B28,DATA_PROPERTY_MASTER!$A:$A,0)),"")</f>
        <v/>
      </c>
      <c r="D28" s="399"/>
      <c r="E28" s="399"/>
      <c r="F28" s="399"/>
      <c r="G28" s="399"/>
      <c r="H28" s="399"/>
      <c r="I28" s="399"/>
      <c r="J28" s="399"/>
      <c r="K28" s="401"/>
      <c r="L28" s="401"/>
      <c r="M28" s="401"/>
      <c r="N28" s="401"/>
      <c r="O28" s="404"/>
      <c r="P28" s="402">
        <f t="shared" si="1"/>
        <v>0</v>
      </c>
      <c r="Q28" s="402">
        <f t="shared" si="2"/>
        <v>0</v>
      </c>
      <c r="R28" s="403" t="str">
        <f t="shared" si="3"/>
        <v/>
      </c>
      <c r="S28" s="399"/>
      <c r="T28" s="399"/>
      <c r="U28" s="399"/>
      <c r="V28" s="399"/>
      <c r="W28" s="398" t="str">
        <f t="shared" si="4"/>
        <v>Blank</v>
      </c>
    </row>
    <row r="29" spans="1:23">
      <c r="A29" s="398" t="str">
        <f t="shared" si="0"/>
        <v/>
      </c>
      <c r="B29" s="399"/>
      <c r="C29" s="398" t="str">
        <f>IFERROR(INDEX(DATA_PROPERTY_MASTER!$B:$B,MATCH($B29,DATA_PROPERTY_MASTER!$A:$A,0)),"")</f>
        <v/>
      </c>
      <c r="D29" s="399"/>
      <c r="E29" s="399"/>
      <c r="F29" s="399"/>
      <c r="G29" s="399"/>
      <c r="H29" s="399"/>
      <c r="I29" s="399"/>
      <c r="J29" s="399"/>
      <c r="K29" s="401"/>
      <c r="L29" s="401"/>
      <c r="M29" s="401"/>
      <c r="N29" s="401"/>
      <c r="O29" s="404"/>
      <c r="P29" s="402">
        <f t="shared" si="1"/>
        <v>0</v>
      </c>
      <c r="Q29" s="402">
        <f t="shared" si="2"/>
        <v>0</v>
      </c>
      <c r="R29" s="403" t="str">
        <f t="shared" si="3"/>
        <v/>
      </c>
      <c r="S29" s="399"/>
      <c r="T29" s="399"/>
      <c r="U29" s="399"/>
      <c r="V29" s="399"/>
      <c r="W29" s="398" t="str">
        <f t="shared" si="4"/>
        <v>Blank</v>
      </c>
    </row>
    <row r="30" spans="1:23">
      <c r="A30" s="398" t="str">
        <f t="shared" si="0"/>
        <v/>
      </c>
      <c r="B30" s="399"/>
      <c r="C30" s="398" t="str">
        <f>IFERROR(INDEX(DATA_PROPERTY_MASTER!$B:$B,MATCH($B30,DATA_PROPERTY_MASTER!$A:$A,0)),"")</f>
        <v/>
      </c>
      <c r="D30" s="399"/>
      <c r="E30" s="399"/>
      <c r="F30" s="399"/>
      <c r="G30" s="399"/>
      <c r="H30" s="399"/>
      <c r="I30" s="399"/>
      <c r="J30" s="399"/>
      <c r="K30" s="401"/>
      <c r="L30" s="401"/>
      <c r="M30" s="401"/>
      <c r="N30" s="401"/>
      <c r="O30" s="404"/>
      <c r="P30" s="402">
        <f t="shared" si="1"/>
        <v>0</v>
      </c>
      <c r="Q30" s="402">
        <f t="shared" si="2"/>
        <v>0</v>
      </c>
      <c r="R30" s="403" t="str">
        <f t="shared" si="3"/>
        <v/>
      </c>
      <c r="S30" s="399"/>
      <c r="T30" s="399"/>
      <c r="U30" s="399"/>
      <c r="V30" s="399"/>
      <c r="W30" s="398" t="str">
        <f t="shared" si="4"/>
        <v>Blank</v>
      </c>
    </row>
    <row r="31" spans="1:23">
      <c r="A31" s="398" t="str">
        <f t="shared" si="0"/>
        <v/>
      </c>
      <c r="B31" s="399"/>
      <c r="C31" s="398" t="str">
        <f>IFERROR(INDEX(DATA_PROPERTY_MASTER!$B:$B,MATCH($B31,DATA_PROPERTY_MASTER!$A:$A,0)),"")</f>
        <v/>
      </c>
      <c r="D31" s="399"/>
      <c r="E31" s="399"/>
      <c r="F31" s="399"/>
      <c r="G31" s="399"/>
      <c r="H31" s="399"/>
      <c r="I31" s="399"/>
      <c r="J31" s="399"/>
      <c r="K31" s="401"/>
      <c r="L31" s="401"/>
      <c r="M31" s="401"/>
      <c r="N31" s="401"/>
      <c r="O31" s="404"/>
      <c r="P31" s="402">
        <f t="shared" si="1"/>
        <v>0</v>
      </c>
      <c r="Q31" s="402">
        <f t="shared" si="2"/>
        <v>0</v>
      </c>
      <c r="R31" s="403" t="str">
        <f t="shared" si="3"/>
        <v/>
      </c>
      <c r="S31" s="399"/>
      <c r="T31" s="399"/>
      <c r="U31" s="399"/>
      <c r="V31" s="399"/>
      <c r="W31" s="398" t="str">
        <f t="shared" si="4"/>
        <v>Blank</v>
      </c>
    </row>
    <row r="32" spans="1:23">
      <c r="A32" s="398" t="str">
        <f t="shared" si="0"/>
        <v/>
      </c>
      <c r="B32" s="399"/>
      <c r="C32" s="398" t="str">
        <f>IFERROR(INDEX(DATA_PROPERTY_MASTER!$B:$B,MATCH($B32,DATA_PROPERTY_MASTER!$A:$A,0)),"")</f>
        <v/>
      </c>
      <c r="D32" s="399"/>
      <c r="E32" s="399"/>
      <c r="F32" s="399"/>
      <c r="G32" s="399"/>
      <c r="H32" s="399"/>
      <c r="I32" s="399"/>
      <c r="J32" s="399"/>
      <c r="K32" s="401"/>
      <c r="L32" s="401"/>
      <c r="M32" s="401"/>
      <c r="N32" s="401"/>
      <c r="O32" s="404"/>
      <c r="P32" s="402">
        <f t="shared" si="1"/>
        <v>0</v>
      </c>
      <c r="Q32" s="402">
        <f t="shared" si="2"/>
        <v>0</v>
      </c>
      <c r="R32" s="403" t="str">
        <f t="shared" si="3"/>
        <v/>
      </c>
      <c r="S32" s="399"/>
      <c r="T32" s="399"/>
      <c r="U32" s="399"/>
      <c r="V32" s="399"/>
      <c r="W32" s="398" t="str">
        <f t="shared" si="4"/>
        <v>Blank</v>
      </c>
    </row>
    <row r="33" spans="1:23">
      <c r="A33" s="398" t="str">
        <f t="shared" si="0"/>
        <v/>
      </c>
      <c r="B33" s="399"/>
      <c r="C33" s="398" t="str">
        <f>IFERROR(INDEX(DATA_PROPERTY_MASTER!$B:$B,MATCH($B33,DATA_PROPERTY_MASTER!$A:$A,0)),"")</f>
        <v/>
      </c>
      <c r="D33" s="399"/>
      <c r="E33" s="399"/>
      <c r="F33" s="399"/>
      <c r="G33" s="399"/>
      <c r="H33" s="399"/>
      <c r="I33" s="399"/>
      <c r="J33" s="399"/>
      <c r="K33" s="401"/>
      <c r="L33" s="401"/>
      <c r="M33" s="401"/>
      <c r="N33" s="401"/>
      <c r="O33" s="404"/>
      <c r="P33" s="402">
        <f t="shared" si="1"/>
        <v>0</v>
      </c>
      <c r="Q33" s="402">
        <f t="shared" si="2"/>
        <v>0</v>
      </c>
      <c r="R33" s="403" t="str">
        <f t="shared" si="3"/>
        <v/>
      </c>
      <c r="S33" s="399"/>
      <c r="T33" s="399"/>
      <c r="U33" s="399"/>
      <c r="V33" s="399"/>
      <c r="W33" s="398" t="str">
        <f t="shared" si="4"/>
        <v>Blank</v>
      </c>
    </row>
    <row r="34" spans="1:23">
      <c r="A34" s="398" t="str">
        <f t="shared" si="0"/>
        <v/>
      </c>
      <c r="B34" s="399"/>
      <c r="C34" s="398" t="str">
        <f>IFERROR(INDEX(DATA_PROPERTY_MASTER!$B:$B,MATCH($B34,DATA_PROPERTY_MASTER!$A:$A,0)),"")</f>
        <v/>
      </c>
      <c r="D34" s="399"/>
      <c r="E34" s="399"/>
      <c r="F34" s="399"/>
      <c r="G34" s="399"/>
      <c r="H34" s="399"/>
      <c r="I34" s="399"/>
      <c r="J34" s="399"/>
      <c r="K34" s="401"/>
      <c r="L34" s="401"/>
      <c r="M34" s="401"/>
      <c r="N34" s="401"/>
      <c r="O34" s="404"/>
      <c r="P34" s="402">
        <f t="shared" si="1"/>
        <v>0</v>
      </c>
      <c r="Q34" s="402">
        <f t="shared" si="2"/>
        <v>0</v>
      </c>
      <c r="R34" s="403" t="str">
        <f t="shared" si="3"/>
        <v/>
      </c>
      <c r="S34" s="399"/>
      <c r="T34" s="399"/>
      <c r="U34" s="399"/>
      <c r="V34" s="399"/>
      <c r="W34" s="398" t="str">
        <f t="shared" si="4"/>
        <v>Blank</v>
      </c>
    </row>
    <row r="35" spans="1:23">
      <c r="A35" s="398" t="str">
        <f t="shared" si="0"/>
        <v/>
      </c>
      <c r="B35" s="399"/>
      <c r="C35" s="398" t="str">
        <f>IFERROR(INDEX(DATA_PROPERTY_MASTER!$B:$B,MATCH($B35,DATA_PROPERTY_MASTER!$A:$A,0)),"")</f>
        <v/>
      </c>
      <c r="D35" s="399"/>
      <c r="E35" s="399"/>
      <c r="F35" s="399"/>
      <c r="G35" s="399"/>
      <c r="H35" s="399"/>
      <c r="I35" s="399"/>
      <c r="J35" s="399"/>
      <c r="K35" s="401"/>
      <c r="L35" s="401"/>
      <c r="M35" s="401"/>
      <c r="N35" s="401"/>
      <c r="O35" s="404"/>
      <c r="P35" s="402">
        <f t="shared" si="1"/>
        <v>0</v>
      </c>
      <c r="Q35" s="402">
        <f t="shared" si="2"/>
        <v>0</v>
      </c>
      <c r="R35" s="403" t="str">
        <f t="shared" si="3"/>
        <v/>
      </c>
      <c r="S35" s="399"/>
      <c r="T35" s="399"/>
      <c r="U35" s="399"/>
      <c r="V35" s="399"/>
      <c r="W35" s="398" t="str">
        <f t="shared" si="4"/>
        <v>Blank</v>
      </c>
    </row>
    <row r="36" spans="1:23">
      <c r="A36" s="398" t="str">
        <f t="shared" si="0"/>
        <v/>
      </c>
      <c r="B36" s="399"/>
      <c r="C36" s="398" t="str">
        <f>IFERROR(INDEX(DATA_PROPERTY_MASTER!$B:$B,MATCH($B36,DATA_PROPERTY_MASTER!$A:$A,0)),"")</f>
        <v/>
      </c>
      <c r="D36" s="399"/>
      <c r="E36" s="399"/>
      <c r="F36" s="399"/>
      <c r="G36" s="399"/>
      <c r="H36" s="399"/>
      <c r="I36" s="399"/>
      <c r="J36" s="399"/>
      <c r="K36" s="401"/>
      <c r="L36" s="401"/>
      <c r="M36" s="401"/>
      <c r="N36" s="401"/>
      <c r="O36" s="404"/>
      <c r="P36" s="402">
        <f t="shared" si="1"/>
        <v>0</v>
      </c>
      <c r="Q36" s="402">
        <f t="shared" si="2"/>
        <v>0</v>
      </c>
      <c r="R36" s="403" t="str">
        <f t="shared" si="3"/>
        <v/>
      </c>
      <c r="S36" s="399"/>
      <c r="T36" s="399"/>
      <c r="U36" s="399"/>
      <c r="V36" s="399"/>
      <c r="W36" s="398" t="str">
        <f t="shared" si="4"/>
        <v>Blank</v>
      </c>
    </row>
    <row r="37" spans="1:23">
      <c r="A37" s="398" t="str">
        <f t="shared" si="0"/>
        <v/>
      </c>
      <c r="B37" s="399"/>
      <c r="C37" s="398" t="str">
        <f>IFERROR(INDEX(DATA_PROPERTY_MASTER!$B:$B,MATCH($B37,DATA_PROPERTY_MASTER!$A:$A,0)),"")</f>
        <v/>
      </c>
      <c r="D37" s="399"/>
      <c r="E37" s="399"/>
      <c r="F37" s="399"/>
      <c r="G37" s="399"/>
      <c r="H37" s="399"/>
      <c r="I37" s="399"/>
      <c r="J37" s="399"/>
      <c r="K37" s="401"/>
      <c r="L37" s="401"/>
      <c r="M37" s="401"/>
      <c r="N37" s="401"/>
      <c r="O37" s="404"/>
      <c r="P37" s="402">
        <f t="shared" si="1"/>
        <v>0</v>
      </c>
      <c r="Q37" s="402">
        <f t="shared" si="2"/>
        <v>0</v>
      </c>
      <c r="R37" s="403" t="str">
        <f t="shared" si="3"/>
        <v/>
      </c>
      <c r="S37" s="399"/>
      <c r="T37" s="399"/>
      <c r="U37" s="399"/>
      <c r="V37" s="399"/>
      <c r="W37" s="398" t="str">
        <f t="shared" si="4"/>
        <v>Blank</v>
      </c>
    </row>
    <row r="38" spans="1:23">
      <c r="A38" s="398" t="str">
        <f t="shared" si="0"/>
        <v/>
      </c>
      <c r="B38" s="399"/>
      <c r="C38" s="398" t="str">
        <f>IFERROR(INDEX(DATA_PROPERTY_MASTER!$B:$B,MATCH($B38,DATA_PROPERTY_MASTER!$A:$A,0)),"")</f>
        <v/>
      </c>
      <c r="D38" s="399"/>
      <c r="E38" s="399"/>
      <c r="F38" s="399"/>
      <c r="G38" s="399"/>
      <c r="H38" s="399"/>
      <c r="I38" s="399"/>
      <c r="J38" s="399"/>
      <c r="K38" s="401"/>
      <c r="L38" s="401"/>
      <c r="M38" s="401"/>
      <c r="N38" s="401"/>
      <c r="O38" s="404"/>
      <c r="P38" s="402">
        <f t="shared" si="1"/>
        <v>0</v>
      </c>
      <c r="Q38" s="402">
        <f t="shared" si="2"/>
        <v>0</v>
      </c>
      <c r="R38" s="403" t="str">
        <f t="shared" si="3"/>
        <v/>
      </c>
      <c r="S38" s="399"/>
      <c r="T38" s="399"/>
      <c r="U38" s="399"/>
      <c r="V38" s="399"/>
      <c r="W38" s="398" t="str">
        <f t="shared" si="4"/>
        <v>Blank</v>
      </c>
    </row>
    <row r="39" spans="1:23">
      <c r="A39" s="398" t="str">
        <f t="shared" ref="A39:A70" si="5">IF($B39="","","RR-"&amp;TEXT(ROW()-6,"0000"))</f>
        <v/>
      </c>
      <c r="B39" s="399"/>
      <c r="C39" s="398" t="str">
        <f>IFERROR(INDEX(DATA_PROPERTY_MASTER!$B:$B,MATCH($B39,DATA_PROPERTY_MASTER!$A:$A,0)),"")</f>
        <v/>
      </c>
      <c r="D39" s="399"/>
      <c r="E39" s="399"/>
      <c r="F39" s="399"/>
      <c r="G39" s="399"/>
      <c r="H39" s="399"/>
      <c r="I39" s="399"/>
      <c r="J39" s="399"/>
      <c r="K39" s="401"/>
      <c r="L39" s="401"/>
      <c r="M39" s="401"/>
      <c r="N39" s="401"/>
      <c r="O39" s="404"/>
      <c r="P39" s="402">
        <f t="shared" ref="P39:P70" si="6">IFERROR($H39*$K39*12,"")</f>
        <v>0</v>
      </c>
      <c r="Q39" s="402">
        <f t="shared" ref="Q39:Q70" si="7">IFERROR($H39*$L39*12,"")</f>
        <v>0</v>
      </c>
      <c r="R39" s="403" t="str">
        <f t="shared" ref="R39:R70" si="8">IFERROR(IF($L39&gt;0,1-($K39/$L39),""),"")</f>
        <v/>
      </c>
      <c r="S39" s="399"/>
      <c r="T39" s="399"/>
      <c r="U39" s="399"/>
      <c r="V39" s="399"/>
      <c r="W39" s="398" t="str">
        <f t="shared" ref="W39:W70" si="9">IF($B39="","Blank",IF(OR($K39="",$H39=""),"Review","OK"))</f>
        <v>Blank</v>
      </c>
    </row>
    <row r="40" spans="1:23">
      <c r="A40" s="398" t="str">
        <f t="shared" si="5"/>
        <v/>
      </c>
      <c r="B40" s="399"/>
      <c r="C40" s="398" t="str">
        <f>IFERROR(INDEX(DATA_PROPERTY_MASTER!$B:$B,MATCH($B40,DATA_PROPERTY_MASTER!$A:$A,0)),"")</f>
        <v/>
      </c>
      <c r="D40" s="399"/>
      <c r="E40" s="399"/>
      <c r="F40" s="399"/>
      <c r="G40" s="399"/>
      <c r="H40" s="399"/>
      <c r="I40" s="399"/>
      <c r="J40" s="399"/>
      <c r="K40" s="401"/>
      <c r="L40" s="401"/>
      <c r="M40" s="401"/>
      <c r="N40" s="401"/>
      <c r="O40" s="404"/>
      <c r="P40" s="402">
        <f t="shared" si="6"/>
        <v>0</v>
      </c>
      <c r="Q40" s="402">
        <f t="shared" si="7"/>
        <v>0</v>
      </c>
      <c r="R40" s="403" t="str">
        <f t="shared" si="8"/>
        <v/>
      </c>
      <c r="S40" s="399"/>
      <c r="T40" s="399"/>
      <c r="U40" s="399"/>
      <c r="V40" s="399"/>
      <c r="W40" s="398" t="str">
        <f t="shared" si="9"/>
        <v>Blank</v>
      </c>
    </row>
    <row r="41" spans="1:23">
      <c r="A41" s="398" t="str">
        <f t="shared" si="5"/>
        <v/>
      </c>
      <c r="B41" s="399"/>
      <c r="C41" s="398" t="str">
        <f>IFERROR(INDEX(DATA_PROPERTY_MASTER!$B:$B,MATCH($B41,DATA_PROPERTY_MASTER!$A:$A,0)),"")</f>
        <v/>
      </c>
      <c r="D41" s="399"/>
      <c r="E41" s="399"/>
      <c r="F41" s="399"/>
      <c r="G41" s="399"/>
      <c r="H41" s="399"/>
      <c r="I41" s="399"/>
      <c r="J41" s="399"/>
      <c r="K41" s="401"/>
      <c r="L41" s="401"/>
      <c r="M41" s="401"/>
      <c r="N41" s="401"/>
      <c r="O41" s="404"/>
      <c r="P41" s="402">
        <f t="shared" si="6"/>
        <v>0</v>
      </c>
      <c r="Q41" s="402">
        <f t="shared" si="7"/>
        <v>0</v>
      </c>
      <c r="R41" s="403" t="str">
        <f t="shared" si="8"/>
        <v/>
      </c>
      <c r="S41" s="399"/>
      <c r="T41" s="399"/>
      <c r="U41" s="399"/>
      <c r="V41" s="399"/>
      <c r="W41" s="398" t="str">
        <f t="shared" si="9"/>
        <v>Blank</v>
      </c>
    </row>
    <row r="42" spans="1:23">
      <c r="A42" s="398" t="str">
        <f t="shared" si="5"/>
        <v/>
      </c>
      <c r="B42" s="399"/>
      <c r="C42" s="398" t="str">
        <f>IFERROR(INDEX(DATA_PROPERTY_MASTER!$B:$B,MATCH($B42,DATA_PROPERTY_MASTER!$A:$A,0)),"")</f>
        <v/>
      </c>
      <c r="D42" s="399"/>
      <c r="E42" s="399"/>
      <c r="F42" s="399"/>
      <c r="G42" s="399"/>
      <c r="H42" s="399"/>
      <c r="I42" s="399"/>
      <c r="J42" s="399"/>
      <c r="K42" s="401"/>
      <c r="L42" s="401"/>
      <c r="M42" s="401"/>
      <c r="N42" s="401"/>
      <c r="O42" s="404"/>
      <c r="P42" s="402">
        <f t="shared" si="6"/>
        <v>0</v>
      </c>
      <c r="Q42" s="402">
        <f t="shared" si="7"/>
        <v>0</v>
      </c>
      <c r="R42" s="403" t="str">
        <f t="shared" si="8"/>
        <v/>
      </c>
      <c r="S42" s="399"/>
      <c r="T42" s="399"/>
      <c r="U42" s="399"/>
      <c r="V42" s="399"/>
      <c r="W42" s="398" t="str">
        <f t="shared" si="9"/>
        <v>Blank</v>
      </c>
    </row>
    <row r="43" spans="1:23">
      <c r="A43" s="398" t="str">
        <f t="shared" si="5"/>
        <v/>
      </c>
      <c r="B43" s="399"/>
      <c r="C43" s="398" t="str">
        <f>IFERROR(INDEX(DATA_PROPERTY_MASTER!$B:$B,MATCH($B43,DATA_PROPERTY_MASTER!$A:$A,0)),"")</f>
        <v/>
      </c>
      <c r="D43" s="399"/>
      <c r="E43" s="399"/>
      <c r="F43" s="399"/>
      <c r="G43" s="399"/>
      <c r="H43" s="399"/>
      <c r="I43" s="399"/>
      <c r="J43" s="399"/>
      <c r="K43" s="401"/>
      <c r="L43" s="401"/>
      <c r="M43" s="401"/>
      <c r="N43" s="401"/>
      <c r="O43" s="404"/>
      <c r="P43" s="402">
        <f t="shared" si="6"/>
        <v>0</v>
      </c>
      <c r="Q43" s="402">
        <f t="shared" si="7"/>
        <v>0</v>
      </c>
      <c r="R43" s="403" t="str">
        <f t="shared" si="8"/>
        <v/>
      </c>
      <c r="S43" s="399"/>
      <c r="T43" s="399"/>
      <c r="U43" s="399"/>
      <c r="V43" s="399"/>
      <c r="W43" s="398" t="str">
        <f t="shared" si="9"/>
        <v>Blank</v>
      </c>
    </row>
    <row r="44" spans="1:23">
      <c r="A44" s="398" t="str">
        <f t="shared" si="5"/>
        <v/>
      </c>
      <c r="B44" s="399"/>
      <c r="C44" s="398" t="str">
        <f>IFERROR(INDEX(DATA_PROPERTY_MASTER!$B:$B,MATCH($B44,DATA_PROPERTY_MASTER!$A:$A,0)),"")</f>
        <v/>
      </c>
      <c r="D44" s="399"/>
      <c r="E44" s="399"/>
      <c r="F44" s="399"/>
      <c r="G44" s="399"/>
      <c r="H44" s="399"/>
      <c r="I44" s="399"/>
      <c r="J44" s="399"/>
      <c r="K44" s="401"/>
      <c r="L44" s="401"/>
      <c r="M44" s="401"/>
      <c r="N44" s="401"/>
      <c r="O44" s="404"/>
      <c r="P44" s="402">
        <f t="shared" si="6"/>
        <v>0</v>
      </c>
      <c r="Q44" s="402">
        <f t="shared" si="7"/>
        <v>0</v>
      </c>
      <c r="R44" s="403" t="str">
        <f t="shared" si="8"/>
        <v/>
      </c>
      <c r="S44" s="399"/>
      <c r="T44" s="399"/>
      <c r="U44" s="399"/>
      <c r="V44" s="399"/>
      <c r="W44" s="398" t="str">
        <f t="shared" si="9"/>
        <v>Blank</v>
      </c>
    </row>
    <row r="45" spans="1:23">
      <c r="A45" s="398" t="str">
        <f t="shared" si="5"/>
        <v/>
      </c>
      <c r="B45" s="399"/>
      <c r="C45" s="398" t="str">
        <f>IFERROR(INDEX(DATA_PROPERTY_MASTER!$B:$B,MATCH($B45,DATA_PROPERTY_MASTER!$A:$A,0)),"")</f>
        <v/>
      </c>
      <c r="D45" s="399"/>
      <c r="E45" s="399"/>
      <c r="F45" s="399"/>
      <c r="G45" s="399"/>
      <c r="H45" s="399"/>
      <c r="I45" s="399"/>
      <c r="J45" s="399"/>
      <c r="K45" s="401"/>
      <c r="L45" s="401"/>
      <c r="M45" s="401"/>
      <c r="N45" s="401"/>
      <c r="O45" s="404"/>
      <c r="P45" s="402">
        <f t="shared" si="6"/>
        <v>0</v>
      </c>
      <c r="Q45" s="402">
        <f t="shared" si="7"/>
        <v>0</v>
      </c>
      <c r="R45" s="403" t="str">
        <f t="shared" si="8"/>
        <v/>
      </c>
      <c r="S45" s="399"/>
      <c r="T45" s="399"/>
      <c r="U45" s="399"/>
      <c r="V45" s="399"/>
      <c r="W45" s="398" t="str">
        <f t="shared" si="9"/>
        <v>Blank</v>
      </c>
    </row>
    <row r="46" spans="1:23">
      <c r="A46" s="398" t="str">
        <f t="shared" si="5"/>
        <v/>
      </c>
      <c r="B46" s="399"/>
      <c r="C46" s="398" t="str">
        <f>IFERROR(INDEX(DATA_PROPERTY_MASTER!$B:$B,MATCH($B46,DATA_PROPERTY_MASTER!$A:$A,0)),"")</f>
        <v/>
      </c>
      <c r="D46" s="399"/>
      <c r="E46" s="399"/>
      <c r="F46" s="399"/>
      <c r="G46" s="399"/>
      <c r="H46" s="399"/>
      <c r="I46" s="399"/>
      <c r="J46" s="399"/>
      <c r="K46" s="401"/>
      <c r="L46" s="401"/>
      <c r="M46" s="401"/>
      <c r="N46" s="401"/>
      <c r="O46" s="404"/>
      <c r="P46" s="402">
        <f t="shared" si="6"/>
        <v>0</v>
      </c>
      <c r="Q46" s="402">
        <f t="shared" si="7"/>
        <v>0</v>
      </c>
      <c r="R46" s="403" t="str">
        <f t="shared" si="8"/>
        <v/>
      </c>
      <c r="S46" s="399"/>
      <c r="T46" s="399"/>
      <c r="U46" s="399"/>
      <c r="V46" s="399"/>
      <c r="W46" s="398" t="str">
        <f t="shared" si="9"/>
        <v>Blank</v>
      </c>
    </row>
    <row r="47" spans="1:23">
      <c r="A47" s="398" t="str">
        <f t="shared" si="5"/>
        <v/>
      </c>
      <c r="B47" s="399"/>
      <c r="C47" s="398" t="str">
        <f>IFERROR(INDEX(DATA_PROPERTY_MASTER!$B:$B,MATCH($B47,DATA_PROPERTY_MASTER!$A:$A,0)),"")</f>
        <v/>
      </c>
      <c r="D47" s="399"/>
      <c r="E47" s="399"/>
      <c r="F47" s="399"/>
      <c r="G47" s="399"/>
      <c r="H47" s="399"/>
      <c r="I47" s="399"/>
      <c r="J47" s="399"/>
      <c r="K47" s="401"/>
      <c r="L47" s="401"/>
      <c r="M47" s="401"/>
      <c r="N47" s="401"/>
      <c r="O47" s="404"/>
      <c r="P47" s="402">
        <f t="shared" si="6"/>
        <v>0</v>
      </c>
      <c r="Q47" s="402">
        <f t="shared" si="7"/>
        <v>0</v>
      </c>
      <c r="R47" s="403" t="str">
        <f t="shared" si="8"/>
        <v/>
      </c>
      <c r="S47" s="399"/>
      <c r="T47" s="399"/>
      <c r="U47" s="399"/>
      <c r="V47" s="399"/>
      <c r="W47" s="398" t="str">
        <f t="shared" si="9"/>
        <v>Blank</v>
      </c>
    </row>
    <row r="48" spans="1:23">
      <c r="A48" s="398" t="str">
        <f t="shared" si="5"/>
        <v/>
      </c>
      <c r="B48" s="399"/>
      <c r="C48" s="398" t="str">
        <f>IFERROR(INDEX(DATA_PROPERTY_MASTER!$B:$B,MATCH($B48,DATA_PROPERTY_MASTER!$A:$A,0)),"")</f>
        <v/>
      </c>
      <c r="D48" s="399"/>
      <c r="E48" s="399"/>
      <c r="F48" s="399"/>
      <c r="G48" s="399"/>
      <c r="H48" s="399"/>
      <c r="I48" s="399"/>
      <c r="J48" s="399"/>
      <c r="K48" s="401"/>
      <c r="L48" s="401"/>
      <c r="M48" s="401"/>
      <c r="N48" s="401"/>
      <c r="O48" s="404"/>
      <c r="P48" s="402">
        <f t="shared" si="6"/>
        <v>0</v>
      </c>
      <c r="Q48" s="402">
        <f t="shared" si="7"/>
        <v>0</v>
      </c>
      <c r="R48" s="403" t="str">
        <f t="shared" si="8"/>
        <v/>
      </c>
      <c r="S48" s="399"/>
      <c r="T48" s="399"/>
      <c r="U48" s="399"/>
      <c r="V48" s="399"/>
      <c r="W48" s="398" t="str">
        <f t="shared" si="9"/>
        <v>Blank</v>
      </c>
    </row>
    <row r="49" spans="1:23">
      <c r="A49" s="398" t="str">
        <f t="shared" si="5"/>
        <v/>
      </c>
      <c r="B49" s="399"/>
      <c r="C49" s="398" t="str">
        <f>IFERROR(INDEX(DATA_PROPERTY_MASTER!$B:$B,MATCH($B49,DATA_PROPERTY_MASTER!$A:$A,0)),"")</f>
        <v/>
      </c>
      <c r="D49" s="399"/>
      <c r="E49" s="399"/>
      <c r="F49" s="399"/>
      <c r="G49" s="399"/>
      <c r="H49" s="399"/>
      <c r="I49" s="399"/>
      <c r="J49" s="399"/>
      <c r="K49" s="401"/>
      <c r="L49" s="401"/>
      <c r="M49" s="401"/>
      <c r="N49" s="401"/>
      <c r="O49" s="404"/>
      <c r="P49" s="402">
        <f t="shared" si="6"/>
        <v>0</v>
      </c>
      <c r="Q49" s="402">
        <f t="shared" si="7"/>
        <v>0</v>
      </c>
      <c r="R49" s="403" t="str">
        <f t="shared" si="8"/>
        <v/>
      </c>
      <c r="S49" s="399"/>
      <c r="T49" s="399"/>
      <c r="U49" s="399"/>
      <c r="V49" s="399"/>
      <c r="W49" s="398" t="str">
        <f t="shared" si="9"/>
        <v>Blank</v>
      </c>
    </row>
    <row r="50" spans="1:23">
      <c r="A50" s="398" t="str">
        <f t="shared" si="5"/>
        <v/>
      </c>
      <c r="B50" s="399"/>
      <c r="C50" s="398" t="str">
        <f>IFERROR(INDEX(DATA_PROPERTY_MASTER!$B:$B,MATCH($B50,DATA_PROPERTY_MASTER!$A:$A,0)),"")</f>
        <v/>
      </c>
      <c r="D50" s="399"/>
      <c r="E50" s="399"/>
      <c r="F50" s="399"/>
      <c r="G50" s="399"/>
      <c r="H50" s="399"/>
      <c r="I50" s="399"/>
      <c r="J50" s="399"/>
      <c r="K50" s="401"/>
      <c r="L50" s="401"/>
      <c r="M50" s="401"/>
      <c r="N50" s="401"/>
      <c r="O50" s="404"/>
      <c r="P50" s="402">
        <f t="shared" si="6"/>
        <v>0</v>
      </c>
      <c r="Q50" s="402">
        <f t="shared" si="7"/>
        <v>0</v>
      </c>
      <c r="R50" s="403" t="str">
        <f t="shared" si="8"/>
        <v/>
      </c>
      <c r="S50" s="399"/>
      <c r="T50" s="399"/>
      <c r="U50" s="399"/>
      <c r="V50" s="399"/>
      <c r="W50" s="398" t="str">
        <f t="shared" si="9"/>
        <v>Blank</v>
      </c>
    </row>
    <row r="51" spans="1:23">
      <c r="A51" s="398" t="str">
        <f t="shared" si="5"/>
        <v/>
      </c>
      <c r="B51" s="399"/>
      <c r="C51" s="398" t="str">
        <f>IFERROR(INDEX(DATA_PROPERTY_MASTER!$B:$B,MATCH($B51,DATA_PROPERTY_MASTER!$A:$A,0)),"")</f>
        <v/>
      </c>
      <c r="D51" s="399"/>
      <c r="E51" s="399"/>
      <c r="F51" s="399"/>
      <c r="G51" s="399"/>
      <c r="H51" s="399"/>
      <c r="I51" s="399"/>
      <c r="J51" s="399"/>
      <c r="K51" s="401"/>
      <c r="L51" s="401"/>
      <c r="M51" s="401"/>
      <c r="N51" s="401"/>
      <c r="O51" s="404"/>
      <c r="P51" s="402">
        <f t="shared" si="6"/>
        <v>0</v>
      </c>
      <c r="Q51" s="402">
        <f t="shared" si="7"/>
        <v>0</v>
      </c>
      <c r="R51" s="403" t="str">
        <f t="shared" si="8"/>
        <v/>
      </c>
      <c r="S51" s="399"/>
      <c r="T51" s="399"/>
      <c r="U51" s="399"/>
      <c r="V51" s="399"/>
      <c r="W51" s="398" t="str">
        <f t="shared" si="9"/>
        <v>Blank</v>
      </c>
    </row>
    <row r="52" spans="1:23">
      <c r="A52" s="398" t="str">
        <f t="shared" si="5"/>
        <v/>
      </c>
      <c r="B52" s="399"/>
      <c r="C52" s="398" t="str">
        <f>IFERROR(INDEX(DATA_PROPERTY_MASTER!$B:$B,MATCH($B52,DATA_PROPERTY_MASTER!$A:$A,0)),"")</f>
        <v/>
      </c>
      <c r="D52" s="399"/>
      <c r="E52" s="399"/>
      <c r="F52" s="399"/>
      <c r="G52" s="399"/>
      <c r="H52" s="399"/>
      <c r="I52" s="399"/>
      <c r="J52" s="399"/>
      <c r="K52" s="401"/>
      <c r="L52" s="401"/>
      <c r="M52" s="401"/>
      <c r="N52" s="401"/>
      <c r="O52" s="404"/>
      <c r="P52" s="402">
        <f t="shared" si="6"/>
        <v>0</v>
      </c>
      <c r="Q52" s="402">
        <f t="shared" si="7"/>
        <v>0</v>
      </c>
      <c r="R52" s="403" t="str">
        <f t="shared" si="8"/>
        <v/>
      </c>
      <c r="S52" s="399"/>
      <c r="T52" s="399"/>
      <c r="U52" s="399"/>
      <c r="V52" s="399"/>
      <c r="W52" s="398" t="str">
        <f t="shared" si="9"/>
        <v>Blank</v>
      </c>
    </row>
    <row r="53" spans="1:23">
      <c r="A53" s="398" t="str">
        <f t="shared" si="5"/>
        <v/>
      </c>
      <c r="B53" s="399"/>
      <c r="C53" s="398" t="str">
        <f>IFERROR(INDEX(DATA_PROPERTY_MASTER!$B:$B,MATCH($B53,DATA_PROPERTY_MASTER!$A:$A,0)),"")</f>
        <v/>
      </c>
      <c r="D53" s="399"/>
      <c r="E53" s="399"/>
      <c r="F53" s="399"/>
      <c r="G53" s="399"/>
      <c r="H53" s="399"/>
      <c r="I53" s="399"/>
      <c r="J53" s="399"/>
      <c r="K53" s="401"/>
      <c r="L53" s="401"/>
      <c r="M53" s="401"/>
      <c r="N53" s="401"/>
      <c r="O53" s="404"/>
      <c r="P53" s="402">
        <f t="shared" si="6"/>
        <v>0</v>
      </c>
      <c r="Q53" s="402">
        <f t="shared" si="7"/>
        <v>0</v>
      </c>
      <c r="R53" s="403" t="str">
        <f t="shared" si="8"/>
        <v/>
      </c>
      <c r="S53" s="399"/>
      <c r="T53" s="399"/>
      <c r="U53" s="399"/>
      <c r="V53" s="399"/>
      <c r="W53" s="398" t="str">
        <f t="shared" si="9"/>
        <v>Blank</v>
      </c>
    </row>
    <row r="54" spans="1:23">
      <c r="A54" s="398" t="str">
        <f t="shared" si="5"/>
        <v/>
      </c>
      <c r="B54" s="399"/>
      <c r="C54" s="398" t="str">
        <f>IFERROR(INDEX(DATA_PROPERTY_MASTER!$B:$B,MATCH($B54,DATA_PROPERTY_MASTER!$A:$A,0)),"")</f>
        <v/>
      </c>
      <c r="D54" s="399"/>
      <c r="E54" s="399"/>
      <c r="F54" s="399"/>
      <c r="G54" s="399"/>
      <c r="H54" s="399"/>
      <c r="I54" s="399"/>
      <c r="J54" s="399"/>
      <c r="K54" s="401"/>
      <c r="L54" s="401"/>
      <c r="M54" s="401"/>
      <c r="N54" s="401"/>
      <c r="O54" s="404"/>
      <c r="P54" s="402">
        <f t="shared" si="6"/>
        <v>0</v>
      </c>
      <c r="Q54" s="402">
        <f t="shared" si="7"/>
        <v>0</v>
      </c>
      <c r="R54" s="403" t="str">
        <f t="shared" si="8"/>
        <v/>
      </c>
      <c r="S54" s="399"/>
      <c r="T54" s="399"/>
      <c r="U54" s="399"/>
      <c r="V54" s="399"/>
      <c r="W54" s="398" t="str">
        <f t="shared" si="9"/>
        <v>Blank</v>
      </c>
    </row>
    <row r="55" spans="1:23">
      <c r="A55" s="398" t="str">
        <f t="shared" si="5"/>
        <v/>
      </c>
      <c r="B55" s="399"/>
      <c r="C55" s="398" t="str">
        <f>IFERROR(INDEX(DATA_PROPERTY_MASTER!$B:$B,MATCH($B55,DATA_PROPERTY_MASTER!$A:$A,0)),"")</f>
        <v/>
      </c>
      <c r="D55" s="399"/>
      <c r="E55" s="399"/>
      <c r="F55" s="399"/>
      <c r="G55" s="399"/>
      <c r="H55" s="399"/>
      <c r="I55" s="399"/>
      <c r="J55" s="399"/>
      <c r="K55" s="401"/>
      <c r="L55" s="401"/>
      <c r="M55" s="401"/>
      <c r="N55" s="401"/>
      <c r="O55" s="404"/>
      <c r="P55" s="402">
        <f t="shared" si="6"/>
        <v>0</v>
      </c>
      <c r="Q55" s="402">
        <f t="shared" si="7"/>
        <v>0</v>
      </c>
      <c r="R55" s="403" t="str">
        <f t="shared" si="8"/>
        <v/>
      </c>
      <c r="S55" s="399"/>
      <c r="T55" s="399"/>
      <c r="U55" s="399"/>
      <c r="V55" s="399"/>
      <c r="W55" s="398" t="str">
        <f t="shared" si="9"/>
        <v>Blank</v>
      </c>
    </row>
    <row r="56" spans="1:23">
      <c r="A56" s="398" t="str">
        <f t="shared" si="5"/>
        <v/>
      </c>
      <c r="B56" s="399"/>
      <c r="C56" s="398" t="str">
        <f>IFERROR(INDEX(DATA_PROPERTY_MASTER!$B:$B,MATCH($B56,DATA_PROPERTY_MASTER!$A:$A,0)),"")</f>
        <v/>
      </c>
      <c r="D56" s="399"/>
      <c r="E56" s="399"/>
      <c r="F56" s="399"/>
      <c r="G56" s="399"/>
      <c r="H56" s="399"/>
      <c r="I56" s="399"/>
      <c r="J56" s="399"/>
      <c r="K56" s="401"/>
      <c r="L56" s="401"/>
      <c r="M56" s="401"/>
      <c r="N56" s="401"/>
      <c r="O56" s="404"/>
      <c r="P56" s="402">
        <f t="shared" si="6"/>
        <v>0</v>
      </c>
      <c r="Q56" s="402">
        <f t="shared" si="7"/>
        <v>0</v>
      </c>
      <c r="R56" s="403" t="str">
        <f t="shared" si="8"/>
        <v/>
      </c>
      <c r="S56" s="399"/>
      <c r="T56" s="399"/>
      <c r="U56" s="399"/>
      <c r="V56" s="399"/>
      <c r="W56" s="398" t="str">
        <f t="shared" si="9"/>
        <v>Blank</v>
      </c>
    </row>
    <row r="57" spans="1:23">
      <c r="A57" s="398" t="str">
        <f t="shared" si="5"/>
        <v/>
      </c>
      <c r="B57" s="399"/>
      <c r="C57" s="398" t="str">
        <f>IFERROR(INDEX(DATA_PROPERTY_MASTER!$B:$B,MATCH($B57,DATA_PROPERTY_MASTER!$A:$A,0)),"")</f>
        <v/>
      </c>
      <c r="D57" s="399"/>
      <c r="E57" s="399"/>
      <c r="F57" s="399"/>
      <c r="G57" s="399"/>
      <c r="H57" s="399"/>
      <c r="I57" s="399"/>
      <c r="J57" s="399"/>
      <c r="K57" s="401"/>
      <c r="L57" s="401"/>
      <c r="M57" s="401"/>
      <c r="N57" s="401"/>
      <c r="O57" s="404"/>
      <c r="P57" s="402">
        <f t="shared" si="6"/>
        <v>0</v>
      </c>
      <c r="Q57" s="402">
        <f t="shared" si="7"/>
        <v>0</v>
      </c>
      <c r="R57" s="403" t="str">
        <f t="shared" si="8"/>
        <v/>
      </c>
      <c r="S57" s="399"/>
      <c r="T57" s="399"/>
      <c r="U57" s="399"/>
      <c r="V57" s="399"/>
      <c r="W57" s="398" t="str">
        <f t="shared" si="9"/>
        <v>Blank</v>
      </c>
    </row>
    <row r="58" spans="1:23">
      <c r="A58" s="398" t="str">
        <f t="shared" si="5"/>
        <v/>
      </c>
      <c r="B58" s="399"/>
      <c r="C58" s="398" t="str">
        <f>IFERROR(INDEX(DATA_PROPERTY_MASTER!$B:$B,MATCH($B58,DATA_PROPERTY_MASTER!$A:$A,0)),"")</f>
        <v/>
      </c>
      <c r="D58" s="399"/>
      <c r="E58" s="399"/>
      <c r="F58" s="399"/>
      <c r="G58" s="399"/>
      <c r="H58" s="399"/>
      <c r="I58" s="399"/>
      <c r="J58" s="399"/>
      <c r="K58" s="401"/>
      <c r="L58" s="401"/>
      <c r="M58" s="401"/>
      <c r="N58" s="401"/>
      <c r="O58" s="404"/>
      <c r="P58" s="402">
        <f t="shared" si="6"/>
        <v>0</v>
      </c>
      <c r="Q58" s="402">
        <f t="shared" si="7"/>
        <v>0</v>
      </c>
      <c r="R58" s="403" t="str">
        <f t="shared" si="8"/>
        <v/>
      </c>
      <c r="S58" s="399"/>
      <c r="T58" s="399"/>
      <c r="U58" s="399"/>
      <c r="V58" s="399"/>
      <c r="W58" s="398" t="str">
        <f t="shared" si="9"/>
        <v>Blank</v>
      </c>
    </row>
    <row r="59" spans="1:23">
      <c r="A59" s="398" t="str">
        <f t="shared" si="5"/>
        <v/>
      </c>
      <c r="B59" s="399"/>
      <c r="C59" s="398" t="str">
        <f>IFERROR(INDEX(DATA_PROPERTY_MASTER!$B:$B,MATCH($B59,DATA_PROPERTY_MASTER!$A:$A,0)),"")</f>
        <v/>
      </c>
      <c r="D59" s="399"/>
      <c r="E59" s="399"/>
      <c r="F59" s="399"/>
      <c r="G59" s="399"/>
      <c r="H59" s="399"/>
      <c r="I59" s="399"/>
      <c r="J59" s="399"/>
      <c r="K59" s="401"/>
      <c r="L59" s="401"/>
      <c r="M59" s="401"/>
      <c r="N59" s="401"/>
      <c r="O59" s="404"/>
      <c r="P59" s="402">
        <f t="shared" si="6"/>
        <v>0</v>
      </c>
      <c r="Q59" s="402">
        <f t="shared" si="7"/>
        <v>0</v>
      </c>
      <c r="R59" s="403" t="str">
        <f t="shared" si="8"/>
        <v/>
      </c>
      <c r="S59" s="399"/>
      <c r="T59" s="399"/>
      <c r="U59" s="399"/>
      <c r="V59" s="399"/>
      <c r="W59" s="398" t="str">
        <f t="shared" si="9"/>
        <v>Blank</v>
      </c>
    </row>
    <row r="60" spans="1:23">
      <c r="A60" s="398" t="str">
        <f t="shared" si="5"/>
        <v/>
      </c>
      <c r="B60" s="399"/>
      <c r="C60" s="398" t="str">
        <f>IFERROR(INDEX(DATA_PROPERTY_MASTER!$B:$B,MATCH($B60,DATA_PROPERTY_MASTER!$A:$A,0)),"")</f>
        <v/>
      </c>
      <c r="D60" s="399"/>
      <c r="E60" s="399"/>
      <c r="F60" s="399"/>
      <c r="G60" s="399"/>
      <c r="H60" s="399"/>
      <c r="I60" s="399"/>
      <c r="J60" s="399"/>
      <c r="K60" s="401"/>
      <c r="L60" s="401"/>
      <c r="M60" s="401"/>
      <c r="N60" s="401"/>
      <c r="O60" s="404"/>
      <c r="P60" s="402">
        <f t="shared" si="6"/>
        <v>0</v>
      </c>
      <c r="Q60" s="402">
        <f t="shared" si="7"/>
        <v>0</v>
      </c>
      <c r="R60" s="403" t="str">
        <f t="shared" si="8"/>
        <v/>
      </c>
      <c r="S60" s="399"/>
      <c r="T60" s="399"/>
      <c r="U60" s="399"/>
      <c r="V60" s="399"/>
      <c r="W60" s="398" t="str">
        <f t="shared" si="9"/>
        <v>Blank</v>
      </c>
    </row>
    <row r="61" spans="1:23">
      <c r="A61" s="398" t="str">
        <f t="shared" si="5"/>
        <v/>
      </c>
      <c r="B61" s="399"/>
      <c r="C61" s="398" t="str">
        <f>IFERROR(INDEX(DATA_PROPERTY_MASTER!$B:$B,MATCH($B61,DATA_PROPERTY_MASTER!$A:$A,0)),"")</f>
        <v/>
      </c>
      <c r="D61" s="399"/>
      <c r="E61" s="399"/>
      <c r="F61" s="399"/>
      <c r="G61" s="399"/>
      <c r="H61" s="399"/>
      <c r="I61" s="399"/>
      <c r="J61" s="399"/>
      <c r="K61" s="401"/>
      <c r="L61" s="401"/>
      <c r="M61" s="401"/>
      <c r="N61" s="401"/>
      <c r="O61" s="404"/>
      <c r="P61" s="402">
        <f t="shared" si="6"/>
        <v>0</v>
      </c>
      <c r="Q61" s="402">
        <f t="shared" si="7"/>
        <v>0</v>
      </c>
      <c r="R61" s="403" t="str">
        <f t="shared" si="8"/>
        <v/>
      </c>
      <c r="S61" s="399"/>
      <c r="T61" s="399"/>
      <c r="U61" s="399"/>
      <c r="V61" s="399"/>
      <c r="W61" s="398" t="str">
        <f t="shared" si="9"/>
        <v>Blank</v>
      </c>
    </row>
    <row r="62" spans="1:23">
      <c r="A62" s="398" t="str">
        <f t="shared" si="5"/>
        <v/>
      </c>
      <c r="B62" s="399"/>
      <c r="C62" s="398" t="str">
        <f>IFERROR(INDEX(DATA_PROPERTY_MASTER!$B:$B,MATCH($B62,DATA_PROPERTY_MASTER!$A:$A,0)),"")</f>
        <v/>
      </c>
      <c r="D62" s="399"/>
      <c r="E62" s="399"/>
      <c r="F62" s="399"/>
      <c r="G62" s="399"/>
      <c r="H62" s="399"/>
      <c r="I62" s="399"/>
      <c r="J62" s="399"/>
      <c r="K62" s="401"/>
      <c r="L62" s="401"/>
      <c r="M62" s="401"/>
      <c r="N62" s="401"/>
      <c r="O62" s="404"/>
      <c r="P62" s="402">
        <f t="shared" si="6"/>
        <v>0</v>
      </c>
      <c r="Q62" s="402">
        <f t="shared" si="7"/>
        <v>0</v>
      </c>
      <c r="R62" s="403" t="str">
        <f t="shared" si="8"/>
        <v/>
      </c>
      <c r="S62" s="399"/>
      <c r="T62" s="399"/>
      <c r="U62" s="399"/>
      <c r="V62" s="399"/>
      <c r="W62" s="398" t="str">
        <f t="shared" si="9"/>
        <v>Blank</v>
      </c>
    </row>
    <row r="63" spans="1:23">
      <c r="A63" s="398" t="str">
        <f t="shared" si="5"/>
        <v/>
      </c>
      <c r="B63" s="399"/>
      <c r="C63" s="398" t="str">
        <f>IFERROR(INDEX(DATA_PROPERTY_MASTER!$B:$B,MATCH($B63,DATA_PROPERTY_MASTER!$A:$A,0)),"")</f>
        <v/>
      </c>
      <c r="D63" s="399"/>
      <c r="E63" s="399"/>
      <c r="F63" s="399"/>
      <c r="G63" s="399"/>
      <c r="H63" s="399"/>
      <c r="I63" s="399"/>
      <c r="J63" s="399"/>
      <c r="K63" s="401"/>
      <c r="L63" s="401"/>
      <c r="M63" s="401"/>
      <c r="N63" s="401"/>
      <c r="O63" s="404"/>
      <c r="P63" s="402">
        <f t="shared" si="6"/>
        <v>0</v>
      </c>
      <c r="Q63" s="402">
        <f t="shared" si="7"/>
        <v>0</v>
      </c>
      <c r="R63" s="403" t="str">
        <f t="shared" si="8"/>
        <v/>
      </c>
      <c r="S63" s="399"/>
      <c r="T63" s="399"/>
      <c r="U63" s="399"/>
      <c r="V63" s="399"/>
      <c r="W63" s="398" t="str">
        <f t="shared" si="9"/>
        <v>Blank</v>
      </c>
    </row>
    <row r="64" spans="1:23">
      <c r="A64" s="398" t="str">
        <f t="shared" si="5"/>
        <v/>
      </c>
      <c r="B64" s="399"/>
      <c r="C64" s="398" t="str">
        <f>IFERROR(INDEX(DATA_PROPERTY_MASTER!$B:$B,MATCH($B64,DATA_PROPERTY_MASTER!$A:$A,0)),"")</f>
        <v/>
      </c>
      <c r="D64" s="399"/>
      <c r="E64" s="399"/>
      <c r="F64" s="399"/>
      <c r="G64" s="399"/>
      <c r="H64" s="399"/>
      <c r="I64" s="399"/>
      <c r="J64" s="399"/>
      <c r="K64" s="401"/>
      <c r="L64" s="401"/>
      <c r="M64" s="401"/>
      <c r="N64" s="401"/>
      <c r="O64" s="404"/>
      <c r="P64" s="402">
        <f t="shared" si="6"/>
        <v>0</v>
      </c>
      <c r="Q64" s="402">
        <f t="shared" si="7"/>
        <v>0</v>
      </c>
      <c r="R64" s="403" t="str">
        <f t="shared" si="8"/>
        <v/>
      </c>
      <c r="S64" s="399"/>
      <c r="T64" s="399"/>
      <c r="U64" s="399"/>
      <c r="V64" s="399"/>
      <c r="W64" s="398" t="str">
        <f t="shared" si="9"/>
        <v>Blank</v>
      </c>
    </row>
    <row r="65" spans="1:23">
      <c r="A65" s="398" t="str">
        <f t="shared" si="5"/>
        <v/>
      </c>
      <c r="B65" s="399"/>
      <c r="C65" s="398" t="str">
        <f>IFERROR(INDEX(DATA_PROPERTY_MASTER!$B:$B,MATCH($B65,DATA_PROPERTY_MASTER!$A:$A,0)),"")</f>
        <v/>
      </c>
      <c r="D65" s="399"/>
      <c r="E65" s="399"/>
      <c r="F65" s="399"/>
      <c r="G65" s="399"/>
      <c r="H65" s="399"/>
      <c r="I65" s="399"/>
      <c r="J65" s="399"/>
      <c r="K65" s="401"/>
      <c r="L65" s="401"/>
      <c r="M65" s="401"/>
      <c r="N65" s="401"/>
      <c r="O65" s="404"/>
      <c r="P65" s="402">
        <f t="shared" si="6"/>
        <v>0</v>
      </c>
      <c r="Q65" s="402">
        <f t="shared" si="7"/>
        <v>0</v>
      </c>
      <c r="R65" s="403" t="str">
        <f t="shared" si="8"/>
        <v/>
      </c>
      <c r="S65" s="399"/>
      <c r="T65" s="399"/>
      <c r="U65" s="399"/>
      <c r="V65" s="399"/>
      <c r="W65" s="398" t="str">
        <f t="shared" si="9"/>
        <v>Blank</v>
      </c>
    </row>
    <row r="66" spans="1:23">
      <c r="A66" s="398" t="str">
        <f t="shared" si="5"/>
        <v/>
      </c>
      <c r="B66" s="399"/>
      <c r="C66" s="398" t="str">
        <f>IFERROR(INDEX(DATA_PROPERTY_MASTER!$B:$B,MATCH($B66,DATA_PROPERTY_MASTER!$A:$A,0)),"")</f>
        <v/>
      </c>
      <c r="D66" s="399"/>
      <c r="E66" s="399"/>
      <c r="F66" s="399"/>
      <c r="G66" s="399"/>
      <c r="H66" s="399"/>
      <c r="I66" s="399"/>
      <c r="J66" s="399"/>
      <c r="K66" s="401"/>
      <c r="L66" s="401"/>
      <c r="M66" s="401"/>
      <c r="N66" s="401"/>
      <c r="O66" s="404"/>
      <c r="P66" s="402">
        <f t="shared" si="6"/>
        <v>0</v>
      </c>
      <c r="Q66" s="402">
        <f t="shared" si="7"/>
        <v>0</v>
      </c>
      <c r="R66" s="403" t="str">
        <f t="shared" si="8"/>
        <v/>
      </c>
      <c r="S66" s="399"/>
      <c r="T66" s="399"/>
      <c r="U66" s="399"/>
      <c r="V66" s="399"/>
      <c r="W66" s="398" t="str">
        <f t="shared" si="9"/>
        <v>Blank</v>
      </c>
    </row>
    <row r="67" spans="1:23">
      <c r="A67" s="398" t="str">
        <f t="shared" si="5"/>
        <v/>
      </c>
      <c r="B67" s="399"/>
      <c r="C67" s="398" t="str">
        <f>IFERROR(INDEX(DATA_PROPERTY_MASTER!$B:$B,MATCH($B67,DATA_PROPERTY_MASTER!$A:$A,0)),"")</f>
        <v/>
      </c>
      <c r="D67" s="399"/>
      <c r="E67" s="399"/>
      <c r="F67" s="399"/>
      <c r="G67" s="399"/>
      <c r="H67" s="399"/>
      <c r="I67" s="399"/>
      <c r="J67" s="399"/>
      <c r="K67" s="401"/>
      <c r="L67" s="401"/>
      <c r="M67" s="401"/>
      <c r="N67" s="401"/>
      <c r="O67" s="404"/>
      <c r="P67" s="402">
        <f t="shared" si="6"/>
        <v>0</v>
      </c>
      <c r="Q67" s="402">
        <f t="shared" si="7"/>
        <v>0</v>
      </c>
      <c r="R67" s="403" t="str">
        <f t="shared" si="8"/>
        <v/>
      </c>
      <c r="S67" s="399"/>
      <c r="T67" s="399"/>
      <c r="U67" s="399"/>
      <c r="V67" s="399"/>
      <c r="W67" s="398" t="str">
        <f t="shared" si="9"/>
        <v>Blank</v>
      </c>
    </row>
    <row r="68" spans="1:23">
      <c r="A68" s="398" t="str">
        <f t="shared" si="5"/>
        <v/>
      </c>
      <c r="B68" s="399"/>
      <c r="C68" s="398" t="str">
        <f>IFERROR(INDEX(DATA_PROPERTY_MASTER!$B:$B,MATCH($B68,DATA_PROPERTY_MASTER!$A:$A,0)),"")</f>
        <v/>
      </c>
      <c r="D68" s="399"/>
      <c r="E68" s="399"/>
      <c r="F68" s="399"/>
      <c r="G68" s="399"/>
      <c r="H68" s="399"/>
      <c r="I68" s="399"/>
      <c r="J68" s="399"/>
      <c r="K68" s="401"/>
      <c r="L68" s="401"/>
      <c r="M68" s="401"/>
      <c r="N68" s="401"/>
      <c r="O68" s="404"/>
      <c r="P68" s="402">
        <f t="shared" si="6"/>
        <v>0</v>
      </c>
      <c r="Q68" s="402">
        <f t="shared" si="7"/>
        <v>0</v>
      </c>
      <c r="R68" s="403" t="str">
        <f t="shared" si="8"/>
        <v/>
      </c>
      <c r="S68" s="399"/>
      <c r="T68" s="399"/>
      <c r="U68" s="399"/>
      <c r="V68" s="399"/>
      <c r="W68" s="398" t="str">
        <f t="shared" si="9"/>
        <v>Blank</v>
      </c>
    </row>
    <row r="69" spans="1:23">
      <c r="A69" s="398" t="str">
        <f t="shared" si="5"/>
        <v/>
      </c>
      <c r="B69" s="399"/>
      <c r="C69" s="398" t="str">
        <f>IFERROR(INDEX(DATA_PROPERTY_MASTER!$B:$B,MATCH($B69,DATA_PROPERTY_MASTER!$A:$A,0)),"")</f>
        <v/>
      </c>
      <c r="D69" s="399"/>
      <c r="E69" s="399"/>
      <c r="F69" s="399"/>
      <c r="G69" s="399"/>
      <c r="H69" s="399"/>
      <c r="I69" s="399"/>
      <c r="J69" s="399"/>
      <c r="K69" s="401"/>
      <c r="L69" s="401"/>
      <c r="M69" s="401"/>
      <c r="N69" s="401"/>
      <c r="O69" s="404"/>
      <c r="P69" s="402">
        <f t="shared" si="6"/>
        <v>0</v>
      </c>
      <c r="Q69" s="402">
        <f t="shared" si="7"/>
        <v>0</v>
      </c>
      <c r="R69" s="403" t="str">
        <f t="shared" si="8"/>
        <v/>
      </c>
      <c r="S69" s="399"/>
      <c r="T69" s="399"/>
      <c r="U69" s="399"/>
      <c r="V69" s="399"/>
      <c r="W69" s="398" t="str">
        <f t="shared" si="9"/>
        <v>Blank</v>
      </c>
    </row>
    <row r="70" spans="1:23">
      <c r="A70" s="398" t="str">
        <f t="shared" si="5"/>
        <v/>
      </c>
      <c r="B70" s="399"/>
      <c r="C70" s="398" t="str">
        <f>IFERROR(INDEX(DATA_PROPERTY_MASTER!$B:$B,MATCH($B70,DATA_PROPERTY_MASTER!$A:$A,0)),"")</f>
        <v/>
      </c>
      <c r="D70" s="399"/>
      <c r="E70" s="399"/>
      <c r="F70" s="399"/>
      <c r="G70" s="399"/>
      <c r="H70" s="399"/>
      <c r="I70" s="399"/>
      <c r="J70" s="399"/>
      <c r="K70" s="401"/>
      <c r="L70" s="401"/>
      <c r="M70" s="401"/>
      <c r="N70" s="401"/>
      <c r="O70" s="404"/>
      <c r="P70" s="402">
        <f t="shared" si="6"/>
        <v>0</v>
      </c>
      <c r="Q70" s="402">
        <f t="shared" si="7"/>
        <v>0</v>
      </c>
      <c r="R70" s="403" t="str">
        <f t="shared" si="8"/>
        <v/>
      </c>
      <c r="S70" s="399"/>
      <c r="T70" s="399"/>
      <c r="U70" s="399"/>
      <c r="V70" s="399"/>
      <c r="W70" s="398" t="str">
        <f t="shared" si="9"/>
        <v>Blank</v>
      </c>
    </row>
    <row r="71" spans="1:23">
      <c r="A71" s="398" t="str">
        <f t="shared" ref="A71:A102" si="10">IF($B71="","","RR-"&amp;TEXT(ROW()-6,"0000"))</f>
        <v/>
      </c>
      <c r="B71" s="399"/>
      <c r="C71" s="398" t="str">
        <f>IFERROR(INDEX(DATA_PROPERTY_MASTER!$B:$B,MATCH($B71,DATA_PROPERTY_MASTER!$A:$A,0)),"")</f>
        <v/>
      </c>
      <c r="D71" s="399"/>
      <c r="E71" s="399"/>
      <c r="F71" s="399"/>
      <c r="G71" s="399"/>
      <c r="H71" s="399"/>
      <c r="I71" s="399"/>
      <c r="J71" s="399"/>
      <c r="K71" s="401"/>
      <c r="L71" s="401"/>
      <c r="M71" s="401"/>
      <c r="N71" s="401"/>
      <c r="O71" s="404"/>
      <c r="P71" s="402">
        <f t="shared" ref="P71:P102" si="11">IFERROR($H71*$K71*12,"")</f>
        <v>0</v>
      </c>
      <c r="Q71" s="402">
        <f t="shared" ref="Q71:Q102" si="12">IFERROR($H71*$L71*12,"")</f>
        <v>0</v>
      </c>
      <c r="R71" s="403" t="str">
        <f t="shared" ref="R71:R102" si="13">IFERROR(IF($L71&gt;0,1-($K71/$L71),""),"")</f>
        <v/>
      </c>
      <c r="S71" s="399"/>
      <c r="T71" s="399"/>
      <c r="U71" s="399"/>
      <c r="V71" s="399"/>
      <c r="W71" s="398" t="str">
        <f t="shared" ref="W71:W102" si="14">IF($B71="","Blank",IF(OR($K71="",$H71=""),"Review","OK"))</f>
        <v>Blank</v>
      </c>
    </row>
    <row r="72" spans="1:23">
      <c r="A72" s="398" t="str">
        <f t="shared" si="10"/>
        <v/>
      </c>
      <c r="B72" s="399"/>
      <c r="C72" s="398" t="str">
        <f>IFERROR(INDEX(DATA_PROPERTY_MASTER!$B:$B,MATCH($B72,DATA_PROPERTY_MASTER!$A:$A,0)),"")</f>
        <v/>
      </c>
      <c r="D72" s="399"/>
      <c r="E72" s="399"/>
      <c r="F72" s="399"/>
      <c r="G72" s="399"/>
      <c r="H72" s="399"/>
      <c r="I72" s="399"/>
      <c r="J72" s="399"/>
      <c r="K72" s="401"/>
      <c r="L72" s="401"/>
      <c r="M72" s="401"/>
      <c r="N72" s="401"/>
      <c r="O72" s="404"/>
      <c r="P72" s="402">
        <f t="shared" si="11"/>
        <v>0</v>
      </c>
      <c r="Q72" s="402">
        <f t="shared" si="12"/>
        <v>0</v>
      </c>
      <c r="R72" s="403" t="str">
        <f t="shared" si="13"/>
        <v/>
      </c>
      <c r="S72" s="399"/>
      <c r="T72" s="399"/>
      <c r="U72" s="399"/>
      <c r="V72" s="399"/>
      <c r="W72" s="398" t="str">
        <f t="shared" si="14"/>
        <v>Blank</v>
      </c>
    </row>
    <row r="73" spans="1:23">
      <c r="A73" s="398" t="str">
        <f t="shared" si="10"/>
        <v/>
      </c>
      <c r="B73" s="399"/>
      <c r="C73" s="398" t="str">
        <f>IFERROR(INDEX(DATA_PROPERTY_MASTER!$B:$B,MATCH($B73,DATA_PROPERTY_MASTER!$A:$A,0)),"")</f>
        <v/>
      </c>
      <c r="D73" s="399"/>
      <c r="E73" s="399"/>
      <c r="F73" s="399"/>
      <c r="G73" s="399"/>
      <c r="H73" s="399"/>
      <c r="I73" s="399"/>
      <c r="J73" s="399"/>
      <c r="K73" s="401"/>
      <c r="L73" s="401"/>
      <c r="M73" s="401"/>
      <c r="N73" s="401"/>
      <c r="O73" s="404"/>
      <c r="P73" s="402">
        <f t="shared" si="11"/>
        <v>0</v>
      </c>
      <c r="Q73" s="402">
        <f t="shared" si="12"/>
        <v>0</v>
      </c>
      <c r="R73" s="403" t="str">
        <f t="shared" si="13"/>
        <v/>
      </c>
      <c r="S73" s="399"/>
      <c r="T73" s="399"/>
      <c r="U73" s="399"/>
      <c r="V73" s="399"/>
      <c r="W73" s="398" t="str">
        <f t="shared" si="14"/>
        <v>Blank</v>
      </c>
    </row>
    <row r="74" spans="1:23">
      <c r="A74" s="398" t="str">
        <f t="shared" si="10"/>
        <v/>
      </c>
      <c r="B74" s="399"/>
      <c r="C74" s="398" t="str">
        <f>IFERROR(INDEX(DATA_PROPERTY_MASTER!$B:$B,MATCH($B74,DATA_PROPERTY_MASTER!$A:$A,0)),"")</f>
        <v/>
      </c>
      <c r="D74" s="399"/>
      <c r="E74" s="399"/>
      <c r="F74" s="399"/>
      <c r="G74" s="399"/>
      <c r="H74" s="399"/>
      <c r="I74" s="399"/>
      <c r="J74" s="399"/>
      <c r="K74" s="401"/>
      <c r="L74" s="401"/>
      <c r="M74" s="401"/>
      <c r="N74" s="401"/>
      <c r="O74" s="404"/>
      <c r="P74" s="402">
        <f t="shared" si="11"/>
        <v>0</v>
      </c>
      <c r="Q74" s="402">
        <f t="shared" si="12"/>
        <v>0</v>
      </c>
      <c r="R74" s="403" t="str">
        <f t="shared" si="13"/>
        <v/>
      </c>
      <c r="S74" s="399"/>
      <c r="T74" s="399"/>
      <c r="U74" s="399"/>
      <c r="V74" s="399"/>
      <c r="W74" s="398" t="str">
        <f t="shared" si="14"/>
        <v>Blank</v>
      </c>
    </row>
    <row r="75" spans="1:23">
      <c r="A75" s="398" t="str">
        <f t="shared" si="10"/>
        <v/>
      </c>
      <c r="B75" s="399"/>
      <c r="C75" s="398" t="str">
        <f>IFERROR(INDEX(DATA_PROPERTY_MASTER!$B:$B,MATCH($B75,DATA_PROPERTY_MASTER!$A:$A,0)),"")</f>
        <v/>
      </c>
      <c r="D75" s="399"/>
      <c r="E75" s="399"/>
      <c r="F75" s="399"/>
      <c r="G75" s="399"/>
      <c r="H75" s="399"/>
      <c r="I75" s="399"/>
      <c r="J75" s="399"/>
      <c r="K75" s="401"/>
      <c r="L75" s="401"/>
      <c r="M75" s="401"/>
      <c r="N75" s="401"/>
      <c r="O75" s="404"/>
      <c r="P75" s="402">
        <f t="shared" si="11"/>
        <v>0</v>
      </c>
      <c r="Q75" s="402">
        <f t="shared" si="12"/>
        <v>0</v>
      </c>
      <c r="R75" s="403" t="str">
        <f t="shared" si="13"/>
        <v/>
      </c>
      <c r="S75" s="399"/>
      <c r="T75" s="399"/>
      <c r="U75" s="399"/>
      <c r="V75" s="399"/>
      <c r="W75" s="398" t="str">
        <f t="shared" si="14"/>
        <v>Blank</v>
      </c>
    </row>
    <row r="76" spans="1:23">
      <c r="A76" s="398" t="str">
        <f t="shared" si="10"/>
        <v/>
      </c>
      <c r="B76" s="399"/>
      <c r="C76" s="398" t="str">
        <f>IFERROR(INDEX(DATA_PROPERTY_MASTER!$B:$B,MATCH($B76,DATA_PROPERTY_MASTER!$A:$A,0)),"")</f>
        <v/>
      </c>
      <c r="D76" s="399"/>
      <c r="E76" s="399"/>
      <c r="F76" s="399"/>
      <c r="G76" s="399"/>
      <c r="H76" s="399"/>
      <c r="I76" s="399"/>
      <c r="J76" s="399"/>
      <c r="K76" s="401"/>
      <c r="L76" s="401"/>
      <c r="M76" s="401"/>
      <c r="N76" s="401"/>
      <c r="O76" s="404"/>
      <c r="P76" s="402">
        <f t="shared" si="11"/>
        <v>0</v>
      </c>
      <c r="Q76" s="402">
        <f t="shared" si="12"/>
        <v>0</v>
      </c>
      <c r="R76" s="403" t="str">
        <f t="shared" si="13"/>
        <v/>
      </c>
      <c r="S76" s="399"/>
      <c r="T76" s="399"/>
      <c r="U76" s="399"/>
      <c r="V76" s="399"/>
      <c r="W76" s="398" t="str">
        <f t="shared" si="14"/>
        <v>Blank</v>
      </c>
    </row>
    <row r="77" spans="1:23">
      <c r="A77" s="398" t="str">
        <f t="shared" si="10"/>
        <v/>
      </c>
      <c r="B77" s="399"/>
      <c r="C77" s="398" t="str">
        <f>IFERROR(INDEX(DATA_PROPERTY_MASTER!$B:$B,MATCH($B77,DATA_PROPERTY_MASTER!$A:$A,0)),"")</f>
        <v/>
      </c>
      <c r="D77" s="399"/>
      <c r="E77" s="399"/>
      <c r="F77" s="399"/>
      <c r="G77" s="399"/>
      <c r="H77" s="399"/>
      <c r="I77" s="399"/>
      <c r="J77" s="399"/>
      <c r="K77" s="401"/>
      <c r="L77" s="401"/>
      <c r="M77" s="401"/>
      <c r="N77" s="401"/>
      <c r="O77" s="404"/>
      <c r="P77" s="402">
        <f t="shared" si="11"/>
        <v>0</v>
      </c>
      <c r="Q77" s="402">
        <f t="shared" si="12"/>
        <v>0</v>
      </c>
      <c r="R77" s="403" t="str">
        <f t="shared" si="13"/>
        <v/>
      </c>
      <c r="S77" s="399"/>
      <c r="T77" s="399"/>
      <c r="U77" s="399"/>
      <c r="V77" s="399"/>
      <c r="W77" s="398" t="str">
        <f t="shared" si="14"/>
        <v>Blank</v>
      </c>
    </row>
    <row r="78" spans="1:23">
      <c r="A78" s="398" t="str">
        <f t="shared" si="10"/>
        <v/>
      </c>
      <c r="B78" s="399"/>
      <c r="C78" s="398" t="str">
        <f>IFERROR(INDEX(DATA_PROPERTY_MASTER!$B:$B,MATCH($B78,DATA_PROPERTY_MASTER!$A:$A,0)),"")</f>
        <v/>
      </c>
      <c r="D78" s="399"/>
      <c r="E78" s="399"/>
      <c r="F78" s="399"/>
      <c r="G78" s="399"/>
      <c r="H78" s="399"/>
      <c r="I78" s="399"/>
      <c r="J78" s="399"/>
      <c r="K78" s="401"/>
      <c r="L78" s="401"/>
      <c r="M78" s="401"/>
      <c r="N78" s="401"/>
      <c r="O78" s="404"/>
      <c r="P78" s="402">
        <f t="shared" si="11"/>
        <v>0</v>
      </c>
      <c r="Q78" s="402">
        <f t="shared" si="12"/>
        <v>0</v>
      </c>
      <c r="R78" s="403" t="str">
        <f t="shared" si="13"/>
        <v/>
      </c>
      <c r="S78" s="399"/>
      <c r="T78" s="399"/>
      <c r="U78" s="399"/>
      <c r="V78" s="399"/>
      <c r="W78" s="398" t="str">
        <f t="shared" si="14"/>
        <v>Blank</v>
      </c>
    </row>
    <row r="79" spans="1:23">
      <c r="A79" s="398" t="str">
        <f t="shared" si="10"/>
        <v/>
      </c>
      <c r="B79" s="399"/>
      <c r="C79" s="398" t="str">
        <f>IFERROR(INDEX(DATA_PROPERTY_MASTER!$B:$B,MATCH($B79,DATA_PROPERTY_MASTER!$A:$A,0)),"")</f>
        <v/>
      </c>
      <c r="D79" s="399"/>
      <c r="E79" s="399"/>
      <c r="F79" s="399"/>
      <c r="G79" s="399"/>
      <c r="H79" s="399"/>
      <c r="I79" s="399"/>
      <c r="J79" s="399"/>
      <c r="K79" s="401"/>
      <c r="L79" s="401"/>
      <c r="M79" s="401"/>
      <c r="N79" s="401"/>
      <c r="O79" s="404"/>
      <c r="P79" s="402">
        <f t="shared" si="11"/>
        <v>0</v>
      </c>
      <c r="Q79" s="402">
        <f t="shared" si="12"/>
        <v>0</v>
      </c>
      <c r="R79" s="403" t="str">
        <f t="shared" si="13"/>
        <v/>
      </c>
      <c r="S79" s="399"/>
      <c r="T79" s="399"/>
      <c r="U79" s="399"/>
      <c r="V79" s="399"/>
      <c r="W79" s="398" t="str">
        <f t="shared" si="14"/>
        <v>Blank</v>
      </c>
    </row>
    <row r="80" spans="1:23">
      <c r="A80" s="398" t="str">
        <f t="shared" si="10"/>
        <v/>
      </c>
      <c r="B80" s="399"/>
      <c r="C80" s="398" t="str">
        <f>IFERROR(INDEX(DATA_PROPERTY_MASTER!$B:$B,MATCH($B80,DATA_PROPERTY_MASTER!$A:$A,0)),"")</f>
        <v/>
      </c>
      <c r="D80" s="399"/>
      <c r="E80" s="399"/>
      <c r="F80" s="399"/>
      <c r="G80" s="399"/>
      <c r="H80" s="399"/>
      <c r="I80" s="399"/>
      <c r="J80" s="399"/>
      <c r="K80" s="401"/>
      <c r="L80" s="401"/>
      <c r="M80" s="401"/>
      <c r="N80" s="401"/>
      <c r="O80" s="404"/>
      <c r="P80" s="402">
        <f t="shared" si="11"/>
        <v>0</v>
      </c>
      <c r="Q80" s="402">
        <f t="shared" si="12"/>
        <v>0</v>
      </c>
      <c r="R80" s="403" t="str">
        <f t="shared" si="13"/>
        <v/>
      </c>
      <c r="S80" s="399"/>
      <c r="T80" s="399"/>
      <c r="U80" s="399"/>
      <c r="V80" s="399"/>
      <c r="W80" s="398" t="str">
        <f t="shared" si="14"/>
        <v>Blank</v>
      </c>
    </row>
    <row r="81" spans="1:23">
      <c r="A81" s="398" t="str">
        <f t="shared" si="10"/>
        <v/>
      </c>
      <c r="B81" s="399"/>
      <c r="C81" s="398" t="str">
        <f>IFERROR(INDEX(DATA_PROPERTY_MASTER!$B:$B,MATCH($B81,DATA_PROPERTY_MASTER!$A:$A,0)),"")</f>
        <v/>
      </c>
      <c r="D81" s="399"/>
      <c r="E81" s="399"/>
      <c r="F81" s="399"/>
      <c r="G81" s="399"/>
      <c r="H81" s="399"/>
      <c r="I81" s="399"/>
      <c r="J81" s="399"/>
      <c r="K81" s="401"/>
      <c r="L81" s="401"/>
      <c r="M81" s="401"/>
      <c r="N81" s="401"/>
      <c r="O81" s="404"/>
      <c r="P81" s="402">
        <f t="shared" si="11"/>
        <v>0</v>
      </c>
      <c r="Q81" s="402">
        <f t="shared" si="12"/>
        <v>0</v>
      </c>
      <c r="R81" s="403" t="str">
        <f t="shared" si="13"/>
        <v/>
      </c>
      <c r="S81" s="399"/>
      <c r="T81" s="399"/>
      <c r="U81" s="399"/>
      <c r="V81" s="399"/>
      <c r="W81" s="398" t="str">
        <f t="shared" si="14"/>
        <v>Blank</v>
      </c>
    </row>
    <row r="82" spans="1:23">
      <c r="A82" s="398" t="str">
        <f t="shared" si="10"/>
        <v/>
      </c>
      <c r="B82" s="399"/>
      <c r="C82" s="398" t="str">
        <f>IFERROR(INDEX(DATA_PROPERTY_MASTER!$B:$B,MATCH($B82,DATA_PROPERTY_MASTER!$A:$A,0)),"")</f>
        <v/>
      </c>
      <c r="D82" s="399"/>
      <c r="E82" s="399"/>
      <c r="F82" s="399"/>
      <c r="G82" s="399"/>
      <c r="H82" s="399"/>
      <c r="I82" s="399"/>
      <c r="J82" s="399"/>
      <c r="K82" s="401"/>
      <c r="L82" s="401"/>
      <c r="M82" s="401"/>
      <c r="N82" s="401"/>
      <c r="O82" s="404"/>
      <c r="P82" s="402">
        <f t="shared" si="11"/>
        <v>0</v>
      </c>
      <c r="Q82" s="402">
        <f t="shared" si="12"/>
        <v>0</v>
      </c>
      <c r="R82" s="403" t="str">
        <f t="shared" si="13"/>
        <v/>
      </c>
      <c r="S82" s="399"/>
      <c r="T82" s="399"/>
      <c r="U82" s="399"/>
      <c r="V82" s="399"/>
      <c r="W82" s="398" t="str">
        <f t="shared" si="14"/>
        <v>Blank</v>
      </c>
    </row>
    <row r="83" spans="1:23">
      <c r="A83" s="398" t="str">
        <f t="shared" si="10"/>
        <v/>
      </c>
      <c r="B83" s="399"/>
      <c r="C83" s="398" t="str">
        <f>IFERROR(INDEX(DATA_PROPERTY_MASTER!$B:$B,MATCH($B83,DATA_PROPERTY_MASTER!$A:$A,0)),"")</f>
        <v/>
      </c>
      <c r="D83" s="399"/>
      <c r="E83" s="399"/>
      <c r="F83" s="399"/>
      <c r="G83" s="399"/>
      <c r="H83" s="399"/>
      <c r="I83" s="399"/>
      <c r="J83" s="399"/>
      <c r="K83" s="401"/>
      <c r="L83" s="401"/>
      <c r="M83" s="401"/>
      <c r="N83" s="401"/>
      <c r="O83" s="404"/>
      <c r="P83" s="402">
        <f t="shared" si="11"/>
        <v>0</v>
      </c>
      <c r="Q83" s="402">
        <f t="shared" si="12"/>
        <v>0</v>
      </c>
      <c r="R83" s="403" t="str">
        <f t="shared" si="13"/>
        <v/>
      </c>
      <c r="S83" s="399"/>
      <c r="T83" s="399"/>
      <c r="U83" s="399"/>
      <c r="V83" s="399"/>
      <c r="W83" s="398" t="str">
        <f t="shared" si="14"/>
        <v>Blank</v>
      </c>
    </row>
    <row r="84" spans="1:23">
      <c r="A84" s="398" t="str">
        <f t="shared" si="10"/>
        <v/>
      </c>
      <c r="B84" s="399"/>
      <c r="C84" s="398" t="str">
        <f>IFERROR(INDEX(DATA_PROPERTY_MASTER!$B:$B,MATCH($B84,DATA_PROPERTY_MASTER!$A:$A,0)),"")</f>
        <v/>
      </c>
      <c r="D84" s="399"/>
      <c r="E84" s="399"/>
      <c r="F84" s="399"/>
      <c r="G84" s="399"/>
      <c r="H84" s="399"/>
      <c r="I84" s="399"/>
      <c r="J84" s="399"/>
      <c r="K84" s="401"/>
      <c r="L84" s="401"/>
      <c r="M84" s="401"/>
      <c r="N84" s="401"/>
      <c r="O84" s="404"/>
      <c r="P84" s="402">
        <f t="shared" si="11"/>
        <v>0</v>
      </c>
      <c r="Q84" s="402">
        <f t="shared" si="12"/>
        <v>0</v>
      </c>
      <c r="R84" s="403" t="str">
        <f t="shared" si="13"/>
        <v/>
      </c>
      <c r="S84" s="399"/>
      <c r="T84" s="399"/>
      <c r="U84" s="399"/>
      <c r="V84" s="399"/>
      <c r="W84" s="398" t="str">
        <f t="shared" si="14"/>
        <v>Blank</v>
      </c>
    </row>
    <row r="85" spans="1:23">
      <c r="A85" s="398" t="str">
        <f t="shared" si="10"/>
        <v/>
      </c>
      <c r="B85" s="399"/>
      <c r="C85" s="398" t="str">
        <f>IFERROR(INDEX(DATA_PROPERTY_MASTER!$B:$B,MATCH($B85,DATA_PROPERTY_MASTER!$A:$A,0)),"")</f>
        <v/>
      </c>
      <c r="D85" s="399"/>
      <c r="E85" s="399"/>
      <c r="F85" s="399"/>
      <c r="G85" s="399"/>
      <c r="H85" s="399"/>
      <c r="I85" s="399"/>
      <c r="J85" s="399"/>
      <c r="K85" s="401"/>
      <c r="L85" s="401"/>
      <c r="M85" s="401"/>
      <c r="N85" s="401"/>
      <c r="O85" s="404"/>
      <c r="P85" s="402">
        <f t="shared" si="11"/>
        <v>0</v>
      </c>
      <c r="Q85" s="402">
        <f t="shared" si="12"/>
        <v>0</v>
      </c>
      <c r="R85" s="403" t="str">
        <f t="shared" si="13"/>
        <v/>
      </c>
      <c r="S85" s="399"/>
      <c r="T85" s="399"/>
      <c r="U85" s="399"/>
      <c r="V85" s="399"/>
      <c r="W85" s="398" t="str">
        <f t="shared" si="14"/>
        <v>Blank</v>
      </c>
    </row>
    <row r="86" spans="1:23">
      <c r="A86" s="398" t="str">
        <f t="shared" si="10"/>
        <v/>
      </c>
      <c r="B86" s="399"/>
      <c r="C86" s="398" t="str">
        <f>IFERROR(INDEX(DATA_PROPERTY_MASTER!$B:$B,MATCH($B86,DATA_PROPERTY_MASTER!$A:$A,0)),"")</f>
        <v/>
      </c>
      <c r="D86" s="399"/>
      <c r="E86" s="399"/>
      <c r="F86" s="399"/>
      <c r="G86" s="399"/>
      <c r="H86" s="399"/>
      <c r="I86" s="399"/>
      <c r="J86" s="399"/>
      <c r="K86" s="401"/>
      <c r="L86" s="401"/>
      <c r="M86" s="401"/>
      <c r="N86" s="401"/>
      <c r="O86" s="404"/>
      <c r="P86" s="402">
        <f t="shared" si="11"/>
        <v>0</v>
      </c>
      <c r="Q86" s="402">
        <f t="shared" si="12"/>
        <v>0</v>
      </c>
      <c r="R86" s="403" t="str">
        <f t="shared" si="13"/>
        <v/>
      </c>
      <c r="S86" s="399"/>
      <c r="T86" s="399"/>
      <c r="U86" s="399"/>
      <c r="V86" s="399"/>
      <c r="W86" s="398" t="str">
        <f t="shared" si="14"/>
        <v>Blank</v>
      </c>
    </row>
    <row r="87" spans="1:23">
      <c r="A87" s="398" t="str">
        <f t="shared" si="10"/>
        <v/>
      </c>
      <c r="B87" s="399"/>
      <c r="C87" s="398" t="str">
        <f>IFERROR(INDEX(DATA_PROPERTY_MASTER!$B:$B,MATCH($B87,DATA_PROPERTY_MASTER!$A:$A,0)),"")</f>
        <v/>
      </c>
      <c r="D87" s="399"/>
      <c r="E87" s="399"/>
      <c r="F87" s="399"/>
      <c r="G87" s="399"/>
      <c r="H87" s="399"/>
      <c r="I87" s="399"/>
      <c r="J87" s="399"/>
      <c r="K87" s="401"/>
      <c r="L87" s="401"/>
      <c r="M87" s="401"/>
      <c r="N87" s="401"/>
      <c r="O87" s="404"/>
      <c r="P87" s="402">
        <f t="shared" si="11"/>
        <v>0</v>
      </c>
      <c r="Q87" s="402">
        <f t="shared" si="12"/>
        <v>0</v>
      </c>
      <c r="R87" s="403" t="str">
        <f t="shared" si="13"/>
        <v/>
      </c>
      <c r="S87" s="399"/>
      <c r="T87" s="399"/>
      <c r="U87" s="399"/>
      <c r="V87" s="399"/>
      <c r="W87" s="398" t="str">
        <f t="shared" si="14"/>
        <v>Blank</v>
      </c>
    </row>
    <row r="88" spans="1:23">
      <c r="A88" s="398" t="str">
        <f t="shared" si="10"/>
        <v/>
      </c>
      <c r="B88" s="399"/>
      <c r="C88" s="398" t="str">
        <f>IFERROR(INDEX(DATA_PROPERTY_MASTER!$B:$B,MATCH($B88,DATA_PROPERTY_MASTER!$A:$A,0)),"")</f>
        <v/>
      </c>
      <c r="D88" s="399"/>
      <c r="E88" s="399"/>
      <c r="F88" s="399"/>
      <c r="G88" s="399"/>
      <c r="H88" s="399"/>
      <c r="I88" s="399"/>
      <c r="J88" s="399"/>
      <c r="K88" s="401"/>
      <c r="L88" s="401"/>
      <c r="M88" s="401"/>
      <c r="N88" s="401"/>
      <c r="O88" s="404"/>
      <c r="P88" s="402">
        <f t="shared" si="11"/>
        <v>0</v>
      </c>
      <c r="Q88" s="402">
        <f t="shared" si="12"/>
        <v>0</v>
      </c>
      <c r="R88" s="403" t="str">
        <f t="shared" si="13"/>
        <v/>
      </c>
      <c r="S88" s="399"/>
      <c r="T88" s="399"/>
      <c r="U88" s="399"/>
      <c r="V88" s="399"/>
      <c r="W88" s="398" t="str">
        <f t="shared" si="14"/>
        <v>Blank</v>
      </c>
    </row>
    <row r="89" spans="1:23">
      <c r="A89" s="398" t="str">
        <f t="shared" si="10"/>
        <v/>
      </c>
      <c r="B89" s="399"/>
      <c r="C89" s="398" t="str">
        <f>IFERROR(INDEX(DATA_PROPERTY_MASTER!$B:$B,MATCH($B89,DATA_PROPERTY_MASTER!$A:$A,0)),"")</f>
        <v/>
      </c>
      <c r="D89" s="399"/>
      <c r="E89" s="399"/>
      <c r="F89" s="399"/>
      <c r="G89" s="399"/>
      <c r="H89" s="399"/>
      <c r="I89" s="399"/>
      <c r="J89" s="399"/>
      <c r="K89" s="401"/>
      <c r="L89" s="401"/>
      <c r="M89" s="401"/>
      <c r="N89" s="401"/>
      <c r="O89" s="404"/>
      <c r="P89" s="402">
        <f t="shared" si="11"/>
        <v>0</v>
      </c>
      <c r="Q89" s="402">
        <f t="shared" si="12"/>
        <v>0</v>
      </c>
      <c r="R89" s="403" t="str">
        <f t="shared" si="13"/>
        <v/>
      </c>
      <c r="S89" s="399"/>
      <c r="T89" s="399"/>
      <c r="U89" s="399"/>
      <c r="V89" s="399"/>
      <c r="W89" s="398" t="str">
        <f t="shared" si="14"/>
        <v>Blank</v>
      </c>
    </row>
    <row r="90" spans="1:23">
      <c r="A90" s="398" t="str">
        <f t="shared" si="10"/>
        <v/>
      </c>
      <c r="B90" s="399"/>
      <c r="C90" s="398" t="str">
        <f>IFERROR(INDEX(DATA_PROPERTY_MASTER!$B:$B,MATCH($B90,DATA_PROPERTY_MASTER!$A:$A,0)),"")</f>
        <v/>
      </c>
      <c r="D90" s="399"/>
      <c r="E90" s="399"/>
      <c r="F90" s="399"/>
      <c r="G90" s="399"/>
      <c r="H90" s="399"/>
      <c r="I90" s="399"/>
      <c r="J90" s="399"/>
      <c r="K90" s="401"/>
      <c r="L90" s="401"/>
      <c r="M90" s="401"/>
      <c r="N90" s="401"/>
      <c r="O90" s="404"/>
      <c r="P90" s="402">
        <f t="shared" si="11"/>
        <v>0</v>
      </c>
      <c r="Q90" s="402">
        <f t="shared" si="12"/>
        <v>0</v>
      </c>
      <c r="R90" s="403" t="str">
        <f t="shared" si="13"/>
        <v/>
      </c>
      <c r="S90" s="399"/>
      <c r="T90" s="399"/>
      <c r="U90" s="399"/>
      <c r="V90" s="399"/>
      <c r="W90" s="398" t="str">
        <f t="shared" si="14"/>
        <v>Blank</v>
      </c>
    </row>
    <row r="91" spans="1:23">
      <c r="A91" s="398" t="str">
        <f t="shared" si="10"/>
        <v/>
      </c>
      <c r="B91" s="399"/>
      <c r="C91" s="398" t="str">
        <f>IFERROR(INDEX(DATA_PROPERTY_MASTER!$B:$B,MATCH($B91,DATA_PROPERTY_MASTER!$A:$A,0)),"")</f>
        <v/>
      </c>
      <c r="D91" s="399"/>
      <c r="E91" s="399"/>
      <c r="F91" s="399"/>
      <c r="G91" s="399"/>
      <c r="H91" s="399"/>
      <c r="I91" s="399"/>
      <c r="J91" s="399"/>
      <c r="K91" s="401"/>
      <c r="L91" s="401"/>
      <c r="M91" s="401"/>
      <c r="N91" s="401"/>
      <c r="O91" s="404"/>
      <c r="P91" s="402">
        <f t="shared" si="11"/>
        <v>0</v>
      </c>
      <c r="Q91" s="402">
        <f t="shared" si="12"/>
        <v>0</v>
      </c>
      <c r="R91" s="403" t="str">
        <f t="shared" si="13"/>
        <v/>
      </c>
      <c r="S91" s="399"/>
      <c r="T91" s="399"/>
      <c r="U91" s="399"/>
      <c r="V91" s="399"/>
      <c r="W91" s="398" t="str">
        <f t="shared" si="14"/>
        <v>Blank</v>
      </c>
    </row>
    <row r="92" spans="1:23">
      <c r="A92" s="398" t="str">
        <f t="shared" si="10"/>
        <v/>
      </c>
      <c r="B92" s="399"/>
      <c r="C92" s="398" t="str">
        <f>IFERROR(INDEX(DATA_PROPERTY_MASTER!$B:$B,MATCH($B92,DATA_PROPERTY_MASTER!$A:$A,0)),"")</f>
        <v/>
      </c>
      <c r="D92" s="399"/>
      <c r="E92" s="399"/>
      <c r="F92" s="399"/>
      <c r="G92" s="399"/>
      <c r="H92" s="399"/>
      <c r="I92" s="399"/>
      <c r="J92" s="399"/>
      <c r="K92" s="401"/>
      <c r="L92" s="401"/>
      <c r="M92" s="401"/>
      <c r="N92" s="401"/>
      <c r="O92" s="404"/>
      <c r="P92" s="402">
        <f t="shared" si="11"/>
        <v>0</v>
      </c>
      <c r="Q92" s="402">
        <f t="shared" si="12"/>
        <v>0</v>
      </c>
      <c r="R92" s="403" t="str">
        <f t="shared" si="13"/>
        <v/>
      </c>
      <c r="S92" s="399"/>
      <c r="T92" s="399"/>
      <c r="U92" s="399"/>
      <c r="V92" s="399"/>
      <c r="W92" s="398" t="str">
        <f t="shared" si="14"/>
        <v>Blank</v>
      </c>
    </row>
    <row r="93" spans="1:23">
      <c r="A93" s="398" t="str">
        <f t="shared" si="10"/>
        <v/>
      </c>
      <c r="B93" s="399"/>
      <c r="C93" s="398" t="str">
        <f>IFERROR(INDEX(DATA_PROPERTY_MASTER!$B:$B,MATCH($B93,DATA_PROPERTY_MASTER!$A:$A,0)),"")</f>
        <v/>
      </c>
      <c r="D93" s="399"/>
      <c r="E93" s="399"/>
      <c r="F93" s="399"/>
      <c r="G93" s="399"/>
      <c r="H93" s="399"/>
      <c r="I93" s="399"/>
      <c r="J93" s="399"/>
      <c r="K93" s="401"/>
      <c r="L93" s="401"/>
      <c r="M93" s="401"/>
      <c r="N93" s="401"/>
      <c r="O93" s="404"/>
      <c r="P93" s="402">
        <f t="shared" si="11"/>
        <v>0</v>
      </c>
      <c r="Q93" s="402">
        <f t="shared" si="12"/>
        <v>0</v>
      </c>
      <c r="R93" s="403" t="str">
        <f t="shared" si="13"/>
        <v/>
      </c>
      <c r="S93" s="399"/>
      <c r="T93" s="399"/>
      <c r="U93" s="399"/>
      <c r="V93" s="399"/>
      <c r="W93" s="398" t="str">
        <f t="shared" si="14"/>
        <v>Blank</v>
      </c>
    </row>
    <row r="94" spans="1:23">
      <c r="A94" s="398" t="str">
        <f t="shared" si="10"/>
        <v/>
      </c>
      <c r="B94" s="399"/>
      <c r="C94" s="398" t="str">
        <f>IFERROR(INDEX(DATA_PROPERTY_MASTER!$B:$B,MATCH($B94,DATA_PROPERTY_MASTER!$A:$A,0)),"")</f>
        <v/>
      </c>
      <c r="D94" s="399"/>
      <c r="E94" s="399"/>
      <c r="F94" s="399"/>
      <c r="G94" s="399"/>
      <c r="H94" s="399"/>
      <c r="I94" s="399"/>
      <c r="J94" s="399"/>
      <c r="K94" s="401"/>
      <c r="L94" s="401"/>
      <c r="M94" s="401"/>
      <c r="N94" s="401"/>
      <c r="O94" s="404"/>
      <c r="P94" s="402">
        <f t="shared" si="11"/>
        <v>0</v>
      </c>
      <c r="Q94" s="402">
        <f t="shared" si="12"/>
        <v>0</v>
      </c>
      <c r="R94" s="403" t="str">
        <f t="shared" si="13"/>
        <v/>
      </c>
      <c r="S94" s="399"/>
      <c r="T94" s="399"/>
      <c r="U94" s="399"/>
      <c r="V94" s="399"/>
      <c r="W94" s="398" t="str">
        <f t="shared" si="14"/>
        <v>Blank</v>
      </c>
    </row>
    <row r="95" spans="1:23">
      <c r="A95" s="398" t="str">
        <f t="shared" si="10"/>
        <v/>
      </c>
      <c r="B95" s="399"/>
      <c r="C95" s="398" t="str">
        <f>IFERROR(INDEX(DATA_PROPERTY_MASTER!$B:$B,MATCH($B95,DATA_PROPERTY_MASTER!$A:$A,0)),"")</f>
        <v/>
      </c>
      <c r="D95" s="399"/>
      <c r="E95" s="399"/>
      <c r="F95" s="399"/>
      <c r="G95" s="399"/>
      <c r="H95" s="399"/>
      <c r="I95" s="399"/>
      <c r="J95" s="399"/>
      <c r="K95" s="401"/>
      <c r="L95" s="401"/>
      <c r="M95" s="401"/>
      <c r="N95" s="401"/>
      <c r="O95" s="404"/>
      <c r="P95" s="402">
        <f t="shared" si="11"/>
        <v>0</v>
      </c>
      <c r="Q95" s="402">
        <f t="shared" si="12"/>
        <v>0</v>
      </c>
      <c r="R95" s="403" t="str">
        <f t="shared" si="13"/>
        <v/>
      </c>
      <c r="S95" s="399"/>
      <c r="T95" s="399"/>
      <c r="U95" s="399"/>
      <c r="V95" s="399"/>
      <c r="W95" s="398" t="str">
        <f t="shared" si="14"/>
        <v>Blank</v>
      </c>
    </row>
    <row r="96" spans="1:23">
      <c r="A96" s="398" t="str">
        <f t="shared" si="10"/>
        <v/>
      </c>
      <c r="B96" s="399"/>
      <c r="C96" s="398" t="str">
        <f>IFERROR(INDEX(DATA_PROPERTY_MASTER!$B:$B,MATCH($B96,DATA_PROPERTY_MASTER!$A:$A,0)),"")</f>
        <v/>
      </c>
      <c r="D96" s="399"/>
      <c r="E96" s="399"/>
      <c r="F96" s="399"/>
      <c r="G96" s="399"/>
      <c r="H96" s="399"/>
      <c r="I96" s="399"/>
      <c r="J96" s="399"/>
      <c r="K96" s="401"/>
      <c r="L96" s="401"/>
      <c r="M96" s="401"/>
      <c r="N96" s="401"/>
      <c r="O96" s="404"/>
      <c r="P96" s="402">
        <f t="shared" si="11"/>
        <v>0</v>
      </c>
      <c r="Q96" s="402">
        <f t="shared" si="12"/>
        <v>0</v>
      </c>
      <c r="R96" s="403" t="str">
        <f t="shared" si="13"/>
        <v/>
      </c>
      <c r="S96" s="399"/>
      <c r="T96" s="399"/>
      <c r="U96" s="399"/>
      <c r="V96" s="399"/>
      <c r="W96" s="398" t="str">
        <f t="shared" si="14"/>
        <v>Blank</v>
      </c>
    </row>
    <row r="97" spans="1:23">
      <c r="A97" s="398" t="str">
        <f t="shared" si="10"/>
        <v/>
      </c>
      <c r="B97" s="399"/>
      <c r="C97" s="398" t="str">
        <f>IFERROR(INDEX(DATA_PROPERTY_MASTER!$B:$B,MATCH($B97,DATA_PROPERTY_MASTER!$A:$A,0)),"")</f>
        <v/>
      </c>
      <c r="D97" s="399"/>
      <c r="E97" s="399"/>
      <c r="F97" s="399"/>
      <c r="G97" s="399"/>
      <c r="H97" s="399"/>
      <c r="I97" s="399"/>
      <c r="J97" s="399"/>
      <c r="K97" s="401"/>
      <c r="L97" s="401"/>
      <c r="M97" s="401"/>
      <c r="N97" s="401"/>
      <c r="O97" s="404"/>
      <c r="P97" s="402">
        <f t="shared" si="11"/>
        <v>0</v>
      </c>
      <c r="Q97" s="402">
        <f t="shared" si="12"/>
        <v>0</v>
      </c>
      <c r="R97" s="403" t="str">
        <f t="shared" si="13"/>
        <v/>
      </c>
      <c r="S97" s="399"/>
      <c r="T97" s="399"/>
      <c r="U97" s="399"/>
      <c r="V97" s="399"/>
      <c r="W97" s="398" t="str">
        <f t="shared" si="14"/>
        <v>Blank</v>
      </c>
    </row>
    <row r="98" spans="1:23">
      <c r="A98" s="398" t="str">
        <f t="shared" si="10"/>
        <v/>
      </c>
      <c r="B98" s="399"/>
      <c r="C98" s="398" t="str">
        <f>IFERROR(INDEX(DATA_PROPERTY_MASTER!$B:$B,MATCH($B98,DATA_PROPERTY_MASTER!$A:$A,0)),"")</f>
        <v/>
      </c>
      <c r="D98" s="399"/>
      <c r="E98" s="399"/>
      <c r="F98" s="399"/>
      <c r="G98" s="399"/>
      <c r="H98" s="399"/>
      <c r="I98" s="399"/>
      <c r="J98" s="399"/>
      <c r="K98" s="401"/>
      <c r="L98" s="401"/>
      <c r="M98" s="401"/>
      <c r="N98" s="401"/>
      <c r="O98" s="404"/>
      <c r="P98" s="402">
        <f t="shared" si="11"/>
        <v>0</v>
      </c>
      <c r="Q98" s="402">
        <f t="shared" si="12"/>
        <v>0</v>
      </c>
      <c r="R98" s="403" t="str">
        <f t="shared" si="13"/>
        <v/>
      </c>
      <c r="S98" s="399"/>
      <c r="T98" s="399"/>
      <c r="U98" s="399"/>
      <c r="V98" s="399"/>
      <c r="W98" s="398" t="str">
        <f t="shared" si="14"/>
        <v>Blank</v>
      </c>
    </row>
    <row r="99" spans="1:23">
      <c r="A99" s="398" t="str">
        <f t="shared" si="10"/>
        <v/>
      </c>
      <c r="B99" s="399"/>
      <c r="C99" s="398" t="str">
        <f>IFERROR(INDEX(DATA_PROPERTY_MASTER!$B:$B,MATCH($B99,DATA_PROPERTY_MASTER!$A:$A,0)),"")</f>
        <v/>
      </c>
      <c r="D99" s="399"/>
      <c r="E99" s="399"/>
      <c r="F99" s="399"/>
      <c r="G99" s="399"/>
      <c r="H99" s="399"/>
      <c r="I99" s="399"/>
      <c r="J99" s="399"/>
      <c r="K99" s="401"/>
      <c r="L99" s="401"/>
      <c r="M99" s="401"/>
      <c r="N99" s="401"/>
      <c r="O99" s="404"/>
      <c r="P99" s="402">
        <f t="shared" si="11"/>
        <v>0</v>
      </c>
      <c r="Q99" s="402">
        <f t="shared" si="12"/>
        <v>0</v>
      </c>
      <c r="R99" s="403" t="str">
        <f t="shared" si="13"/>
        <v/>
      </c>
      <c r="S99" s="399"/>
      <c r="T99" s="399"/>
      <c r="U99" s="399"/>
      <c r="V99" s="399"/>
      <c r="W99" s="398" t="str">
        <f t="shared" si="14"/>
        <v>Blank</v>
      </c>
    </row>
    <row r="100" spans="1:23">
      <c r="A100" s="398" t="str">
        <f t="shared" si="10"/>
        <v/>
      </c>
      <c r="B100" s="399"/>
      <c r="C100" s="398" t="str">
        <f>IFERROR(INDEX(DATA_PROPERTY_MASTER!$B:$B,MATCH($B100,DATA_PROPERTY_MASTER!$A:$A,0)),"")</f>
        <v/>
      </c>
      <c r="D100" s="399"/>
      <c r="E100" s="399"/>
      <c r="F100" s="399"/>
      <c r="G100" s="399"/>
      <c r="H100" s="399"/>
      <c r="I100" s="399"/>
      <c r="J100" s="399"/>
      <c r="K100" s="401"/>
      <c r="L100" s="401"/>
      <c r="M100" s="401"/>
      <c r="N100" s="401"/>
      <c r="O100" s="404"/>
      <c r="P100" s="402">
        <f t="shared" si="11"/>
        <v>0</v>
      </c>
      <c r="Q100" s="402">
        <f t="shared" si="12"/>
        <v>0</v>
      </c>
      <c r="R100" s="403" t="str">
        <f t="shared" si="13"/>
        <v/>
      </c>
      <c r="S100" s="399"/>
      <c r="T100" s="399"/>
      <c r="U100" s="399"/>
      <c r="V100" s="399"/>
      <c r="W100" s="398" t="str">
        <f t="shared" si="14"/>
        <v>Blank</v>
      </c>
    </row>
    <row r="101" spans="1:23">
      <c r="A101" s="398" t="str">
        <f t="shared" si="10"/>
        <v/>
      </c>
      <c r="B101" s="399"/>
      <c r="C101" s="398" t="str">
        <f>IFERROR(INDEX(DATA_PROPERTY_MASTER!$B:$B,MATCH($B101,DATA_PROPERTY_MASTER!$A:$A,0)),"")</f>
        <v/>
      </c>
      <c r="D101" s="399"/>
      <c r="E101" s="399"/>
      <c r="F101" s="399"/>
      <c r="G101" s="399"/>
      <c r="H101" s="399"/>
      <c r="I101" s="399"/>
      <c r="J101" s="399"/>
      <c r="K101" s="401"/>
      <c r="L101" s="401"/>
      <c r="M101" s="401"/>
      <c r="N101" s="401"/>
      <c r="O101" s="404"/>
      <c r="P101" s="402">
        <f t="shared" si="11"/>
        <v>0</v>
      </c>
      <c r="Q101" s="402">
        <f t="shared" si="12"/>
        <v>0</v>
      </c>
      <c r="R101" s="403" t="str">
        <f t="shared" si="13"/>
        <v/>
      </c>
      <c r="S101" s="399"/>
      <c r="T101" s="399"/>
      <c r="U101" s="399"/>
      <c r="V101" s="399"/>
      <c r="W101" s="398" t="str">
        <f t="shared" si="14"/>
        <v>Blank</v>
      </c>
    </row>
    <row r="102" spans="1:23">
      <c r="A102" s="398" t="str">
        <f t="shared" si="10"/>
        <v/>
      </c>
      <c r="B102" s="399"/>
      <c r="C102" s="398" t="str">
        <f>IFERROR(INDEX(DATA_PROPERTY_MASTER!$B:$B,MATCH($B102,DATA_PROPERTY_MASTER!$A:$A,0)),"")</f>
        <v/>
      </c>
      <c r="D102" s="399"/>
      <c r="E102" s="399"/>
      <c r="F102" s="399"/>
      <c r="G102" s="399"/>
      <c r="H102" s="399"/>
      <c r="I102" s="399"/>
      <c r="J102" s="399"/>
      <c r="K102" s="401"/>
      <c r="L102" s="401"/>
      <c r="M102" s="401"/>
      <c r="N102" s="401"/>
      <c r="O102" s="404"/>
      <c r="P102" s="402">
        <f t="shared" si="11"/>
        <v>0</v>
      </c>
      <c r="Q102" s="402">
        <f t="shared" si="12"/>
        <v>0</v>
      </c>
      <c r="R102" s="403" t="str">
        <f t="shared" si="13"/>
        <v/>
      </c>
      <c r="S102" s="399"/>
      <c r="T102" s="399"/>
      <c r="U102" s="399"/>
      <c r="V102" s="399"/>
      <c r="W102" s="398" t="str">
        <f t="shared" si="14"/>
        <v>Blank</v>
      </c>
    </row>
    <row r="103" spans="1:23">
      <c r="A103" s="398" t="str">
        <f t="shared" ref="A103:A134" si="15">IF($B103="","","RR-"&amp;TEXT(ROW()-6,"0000"))</f>
        <v/>
      </c>
      <c r="B103" s="399"/>
      <c r="C103" s="398" t="str">
        <f>IFERROR(INDEX(DATA_PROPERTY_MASTER!$B:$B,MATCH($B103,DATA_PROPERTY_MASTER!$A:$A,0)),"")</f>
        <v/>
      </c>
      <c r="D103" s="399"/>
      <c r="E103" s="399"/>
      <c r="F103" s="399"/>
      <c r="G103" s="399"/>
      <c r="H103" s="399"/>
      <c r="I103" s="399"/>
      <c r="J103" s="399"/>
      <c r="K103" s="401"/>
      <c r="L103" s="401"/>
      <c r="M103" s="401"/>
      <c r="N103" s="401"/>
      <c r="O103" s="404"/>
      <c r="P103" s="402">
        <f t="shared" ref="P103:P134" si="16">IFERROR($H103*$K103*12,"")</f>
        <v>0</v>
      </c>
      <c r="Q103" s="402">
        <f t="shared" ref="Q103:Q134" si="17">IFERROR($H103*$L103*12,"")</f>
        <v>0</v>
      </c>
      <c r="R103" s="403" t="str">
        <f t="shared" ref="R103:R134" si="18">IFERROR(IF($L103&gt;0,1-($K103/$L103),""),"")</f>
        <v/>
      </c>
      <c r="S103" s="399"/>
      <c r="T103" s="399"/>
      <c r="U103" s="399"/>
      <c r="V103" s="399"/>
      <c r="W103" s="398" t="str">
        <f t="shared" ref="W103:W134" si="19">IF($B103="","Blank",IF(OR($K103="",$H103=""),"Review","OK"))</f>
        <v>Blank</v>
      </c>
    </row>
    <row r="104" spans="1:23">
      <c r="A104" s="398" t="str">
        <f t="shared" si="15"/>
        <v/>
      </c>
      <c r="B104" s="399"/>
      <c r="C104" s="398" t="str">
        <f>IFERROR(INDEX(DATA_PROPERTY_MASTER!$B:$B,MATCH($B104,DATA_PROPERTY_MASTER!$A:$A,0)),"")</f>
        <v/>
      </c>
      <c r="D104" s="399"/>
      <c r="E104" s="399"/>
      <c r="F104" s="399"/>
      <c r="G104" s="399"/>
      <c r="H104" s="399"/>
      <c r="I104" s="399"/>
      <c r="J104" s="399"/>
      <c r="K104" s="401"/>
      <c r="L104" s="401"/>
      <c r="M104" s="401"/>
      <c r="N104" s="401"/>
      <c r="O104" s="404"/>
      <c r="P104" s="402">
        <f t="shared" si="16"/>
        <v>0</v>
      </c>
      <c r="Q104" s="402">
        <f t="shared" si="17"/>
        <v>0</v>
      </c>
      <c r="R104" s="403" t="str">
        <f t="shared" si="18"/>
        <v/>
      </c>
      <c r="S104" s="399"/>
      <c r="T104" s="399"/>
      <c r="U104" s="399"/>
      <c r="V104" s="399"/>
      <c r="W104" s="398" t="str">
        <f t="shared" si="19"/>
        <v>Blank</v>
      </c>
    </row>
    <row r="105" spans="1:23">
      <c r="A105" s="398" t="str">
        <f t="shared" si="15"/>
        <v/>
      </c>
      <c r="B105" s="399"/>
      <c r="C105" s="398" t="str">
        <f>IFERROR(INDEX(DATA_PROPERTY_MASTER!$B:$B,MATCH($B105,DATA_PROPERTY_MASTER!$A:$A,0)),"")</f>
        <v/>
      </c>
      <c r="D105" s="399"/>
      <c r="E105" s="399"/>
      <c r="F105" s="399"/>
      <c r="G105" s="399"/>
      <c r="H105" s="399"/>
      <c r="I105" s="399"/>
      <c r="J105" s="399"/>
      <c r="K105" s="401"/>
      <c r="L105" s="401"/>
      <c r="M105" s="401"/>
      <c r="N105" s="401"/>
      <c r="O105" s="404"/>
      <c r="P105" s="402">
        <f t="shared" si="16"/>
        <v>0</v>
      </c>
      <c r="Q105" s="402">
        <f t="shared" si="17"/>
        <v>0</v>
      </c>
      <c r="R105" s="403" t="str">
        <f t="shared" si="18"/>
        <v/>
      </c>
      <c r="S105" s="399"/>
      <c r="T105" s="399"/>
      <c r="U105" s="399"/>
      <c r="V105" s="399"/>
      <c r="W105" s="398" t="str">
        <f t="shared" si="19"/>
        <v>Blank</v>
      </c>
    </row>
    <row r="106" spans="1:23">
      <c r="A106" s="398" t="str">
        <f t="shared" si="15"/>
        <v/>
      </c>
      <c r="B106" s="399"/>
      <c r="C106" s="398" t="str">
        <f>IFERROR(INDEX(DATA_PROPERTY_MASTER!$B:$B,MATCH($B106,DATA_PROPERTY_MASTER!$A:$A,0)),"")</f>
        <v/>
      </c>
      <c r="D106" s="399"/>
      <c r="E106" s="399"/>
      <c r="F106" s="399"/>
      <c r="G106" s="399"/>
      <c r="H106" s="399"/>
      <c r="I106" s="399"/>
      <c r="J106" s="399"/>
      <c r="K106" s="401"/>
      <c r="L106" s="401"/>
      <c r="M106" s="401"/>
      <c r="N106" s="401"/>
      <c r="O106" s="404"/>
      <c r="P106" s="402">
        <f t="shared" si="16"/>
        <v>0</v>
      </c>
      <c r="Q106" s="402">
        <f t="shared" si="17"/>
        <v>0</v>
      </c>
      <c r="R106" s="403" t="str">
        <f t="shared" si="18"/>
        <v/>
      </c>
      <c r="S106" s="399"/>
      <c r="T106" s="399"/>
      <c r="U106" s="399"/>
      <c r="V106" s="399"/>
      <c r="W106" s="398" t="str">
        <f t="shared" si="19"/>
        <v>Blank</v>
      </c>
    </row>
    <row r="107" spans="1:23">
      <c r="A107" s="398" t="str">
        <f t="shared" si="15"/>
        <v/>
      </c>
      <c r="B107" s="399"/>
      <c r="C107" s="398" t="str">
        <f>IFERROR(INDEX(DATA_PROPERTY_MASTER!$B:$B,MATCH($B107,DATA_PROPERTY_MASTER!$A:$A,0)),"")</f>
        <v/>
      </c>
      <c r="D107" s="399"/>
      <c r="E107" s="399"/>
      <c r="F107" s="399"/>
      <c r="G107" s="399"/>
      <c r="H107" s="399"/>
      <c r="I107" s="399"/>
      <c r="J107" s="399"/>
      <c r="K107" s="401"/>
      <c r="L107" s="401"/>
      <c r="M107" s="401"/>
      <c r="N107" s="401"/>
      <c r="O107" s="404"/>
      <c r="P107" s="402">
        <f t="shared" si="16"/>
        <v>0</v>
      </c>
      <c r="Q107" s="402">
        <f t="shared" si="17"/>
        <v>0</v>
      </c>
      <c r="R107" s="403" t="str">
        <f t="shared" si="18"/>
        <v/>
      </c>
      <c r="S107" s="399"/>
      <c r="T107" s="399"/>
      <c r="U107" s="399"/>
      <c r="V107" s="399"/>
      <c r="W107" s="398" t="str">
        <f t="shared" si="19"/>
        <v>Blank</v>
      </c>
    </row>
    <row r="108" spans="1:23">
      <c r="A108" s="398" t="str">
        <f t="shared" si="15"/>
        <v/>
      </c>
      <c r="B108" s="399"/>
      <c r="C108" s="398" t="str">
        <f>IFERROR(INDEX(DATA_PROPERTY_MASTER!$B:$B,MATCH($B108,DATA_PROPERTY_MASTER!$A:$A,0)),"")</f>
        <v/>
      </c>
      <c r="D108" s="399"/>
      <c r="E108" s="399"/>
      <c r="F108" s="399"/>
      <c r="G108" s="399"/>
      <c r="H108" s="399"/>
      <c r="I108" s="399"/>
      <c r="J108" s="399"/>
      <c r="K108" s="401"/>
      <c r="L108" s="401"/>
      <c r="M108" s="401"/>
      <c r="N108" s="401"/>
      <c r="O108" s="404"/>
      <c r="P108" s="402">
        <f t="shared" si="16"/>
        <v>0</v>
      </c>
      <c r="Q108" s="402">
        <f t="shared" si="17"/>
        <v>0</v>
      </c>
      <c r="R108" s="403" t="str">
        <f t="shared" si="18"/>
        <v/>
      </c>
      <c r="S108" s="399"/>
      <c r="T108" s="399"/>
      <c r="U108" s="399"/>
      <c r="V108" s="399"/>
      <c r="W108" s="398" t="str">
        <f t="shared" si="19"/>
        <v>Blank</v>
      </c>
    </row>
    <row r="109" spans="1:23">
      <c r="A109" s="398" t="str">
        <f t="shared" si="15"/>
        <v/>
      </c>
      <c r="B109" s="399"/>
      <c r="C109" s="398" t="str">
        <f>IFERROR(INDEX(DATA_PROPERTY_MASTER!$B:$B,MATCH($B109,DATA_PROPERTY_MASTER!$A:$A,0)),"")</f>
        <v/>
      </c>
      <c r="D109" s="399"/>
      <c r="E109" s="399"/>
      <c r="F109" s="399"/>
      <c r="G109" s="399"/>
      <c r="H109" s="399"/>
      <c r="I109" s="399"/>
      <c r="J109" s="399"/>
      <c r="K109" s="401"/>
      <c r="L109" s="401"/>
      <c r="M109" s="401"/>
      <c r="N109" s="401"/>
      <c r="O109" s="404"/>
      <c r="P109" s="402">
        <f t="shared" si="16"/>
        <v>0</v>
      </c>
      <c r="Q109" s="402">
        <f t="shared" si="17"/>
        <v>0</v>
      </c>
      <c r="R109" s="403" t="str">
        <f t="shared" si="18"/>
        <v/>
      </c>
      <c r="S109" s="399"/>
      <c r="T109" s="399"/>
      <c r="U109" s="399"/>
      <c r="V109" s="399"/>
      <c r="W109" s="398" t="str">
        <f t="shared" si="19"/>
        <v>Blank</v>
      </c>
    </row>
    <row r="110" spans="1:23">
      <c r="A110" s="398" t="str">
        <f t="shared" si="15"/>
        <v/>
      </c>
      <c r="B110" s="399"/>
      <c r="C110" s="398" t="str">
        <f>IFERROR(INDEX(DATA_PROPERTY_MASTER!$B:$B,MATCH($B110,DATA_PROPERTY_MASTER!$A:$A,0)),"")</f>
        <v/>
      </c>
      <c r="D110" s="399"/>
      <c r="E110" s="399"/>
      <c r="F110" s="399"/>
      <c r="G110" s="399"/>
      <c r="H110" s="399"/>
      <c r="I110" s="399"/>
      <c r="J110" s="399"/>
      <c r="K110" s="401"/>
      <c r="L110" s="401"/>
      <c r="M110" s="401"/>
      <c r="N110" s="401"/>
      <c r="O110" s="404"/>
      <c r="P110" s="402">
        <f t="shared" si="16"/>
        <v>0</v>
      </c>
      <c r="Q110" s="402">
        <f t="shared" si="17"/>
        <v>0</v>
      </c>
      <c r="R110" s="403" t="str">
        <f t="shared" si="18"/>
        <v/>
      </c>
      <c r="S110" s="399"/>
      <c r="T110" s="399"/>
      <c r="U110" s="399"/>
      <c r="V110" s="399"/>
      <c r="W110" s="398" t="str">
        <f t="shared" si="19"/>
        <v>Blank</v>
      </c>
    </row>
    <row r="111" spans="1:23">
      <c r="A111" s="398" t="str">
        <f t="shared" si="15"/>
        <v/>
      </c>
      <c r="B111" s="399"/>
      <c r="C111" s="398" t="str">
        <f>IFERROR(INDEX(DATA_PROPERTY_MASTER!$B:$B,MATCH($B111,DATA_PROPERTY_MASTER!$A:$A,0)),"")</f>
        <v/>
      </c>
      <c r="D111" s="399"/>
      <c r="E111" s="399"/>
      <c r="F111" s="399"/>
      <c r="G111" s="399"/>
      <c r="H111" s="399"/>
      <c r="I111" s="399"/>
      <c r="J111" s="399"/>
      <c r="K111" s="401"/>
      <c r="L111" s="401"/>
      <c r="M111" s="401"/>
      <c r="N111" s="401"/>
      <c r="O111" s="404"/>
      <c r="P111" s="402">
        <f t="shared" si="16"/>
        <v>0</v>
      </c>
      <c r="Q111" s="402">
        <f t="shared" si="17"/>
        <v>0</v>
      </c>
      <c r="R111" s="403" t="str">
        <f t="shared" si="18"/>
        <v/>
      </c>
      <c r="S111" s="399"/>
      <c r="T111" s="399"/>
      <c r="U111" s="399"/>
      <c r="V111" s="399"/>
      <c r="W111" s="398" t="str">
        <f t="shared" si="19"/>
        <v>Blank</v>
      </c>
    </row>
    <row r="112" spans="1:23">
      <c r="A112" s="398" t="str">
        <f t="shared" si="15"/>
        <v/>
      </c>
      <c r="B112" s="399"/>
      <c r="C112" s="398" t="str">
        <f>IFERROR(INDEX(DATA_PROPERTY_MASTER!$B:$B,MATCH($B112,DATA_PROPERTY_MASTER!$A:$A,0)),"")</f>
        <v/>
      </c>
      <c r="D112" s="399"/>
      <c r="E112" s="399"/>
      <c r="F112" s="399"/>
      <c r="G112" s="399"/>
      <c r="H112" s="399"/>
      <c r="I112" s="399"/>
      <c r="J112" s="399"/>
      <c r="K112" s="401"/>
      <c r="L112" s="401"/>
      <c r="M112" s="401"/>
      <c r="N112" s="401"/>
      <c r="O112" s="404"/>
      <c r="P112" s="402">
        <f t="shared" si="16"/>
        <v>0</v>
      </c>
      <c r="Q112" s="402">
        <f t="shared" si="17"/>
        <v>0</v>
      </c>
      <c r="R112" s="403" t="str">
        <f t="shared" si="18"/>
        <v/>
      </c>
      <c r="S112" s="399"/>
      <c r="T112" s="399"/>
      <c r="U112" s="399"/>
      <c r="V112" s="399"/>
      <c r="W112" s="398" t="str">
        <f t="shared" si="19"/>
        <v>Blank</v>
      </c>
    </row>
    <row r="113" spans="1:23">
      <c r="A113" s="398" t="str">
        <f t="shared" si="15"/>
        <v/>
      </c>
      <c r="B113" s="399"/>
      <c r="C113" s="398" t="str">
        <f>IFERROR(INDEX(DATA_PROPERTY_MASTER!$B:$B,MATCH($B113,DATA_PROPERTY_MASTER!$A:$A,0)),"")</f>
        <v/>
      </c>
      <c r="D113" s="399"/>
      <c r="E113" s="399"/>
      <c r="F113" s="399"/>
      <c r="G113" s="399"/>
      <c r="H113" s="399"/>
      <c r="I113" s="399"/>
      <c r="J113" s="399"/>
      <c r="K113" s="401"/>
      <c r="L113" s="401"/>
      <c r="M113" s="401"/>
      <c r="N113" s="401"/>
      <c r="O113" s="404"/>
      <c r="P113" s="402">
        <f t="shared" si="16"/>
        <v>0</v>
      </c>
      <c r="Q113" s="402">
        <f t="shared" si="17"/>
        <v>0</v>
      </c>
      <c r="R113" s="403" t="str">
        <f t="shared" si="18"/>
        <v/>
      </c>
      <c r="S113" s="399"/>
      <c r="T113" s="399"/>
      <c r="U113" s="399"/>
      <c r="V113" s="399"/>
      <c r="W113" s="398" t="str">
        <f t="shared" si="19"/>
        <v>Blank</v>
      </c>
    </row>
    <row r="114" spans="1:23">
      <c r="A114" s="398" t="str">
        <f t="shared" si="15"/>
        <v/>
      </c>
      <c r="B114" s="399"/>
      <c r="C114" s="398" t="str">
        <f>IFERROR(INDEX(DATA_PROPERTY_MASTER!$B:$B,MATCH($B114,DATA_PROPERTY_MASTER!$A:$A,0)),"")</f>
        <v/>
      </c>
      <c r="D114" s="399"/>
      <c r="E114" s="399"/>
      <c r="F114" s="399"/>
      <c r="G114" s="399"/>
      <c r="H114" s="399"/>
      <c r="I114" s="399"/>
      <c r="J114" s="399"/>
      <c r="K114" s="401"/>
      <c r="L114" s="401"/>
      <c r="M114" s="401"/>
      <c r="N114" s="401"/>
      <c r="O114" s="404"/>
      <c r="P114" s="402">
        <f t="shared" si="16"/>
        <v>0</v>
      </c>
      <c r="Q114" s="402">
        <f t="shared" si="17"/>
        <v>0</v>
      </c>
      <c r="R114" s="403" t="str">
        <f t="shared" si="18"/>
        <v/>
      </c>
      <c r="S114" s="399"/>
      <c r="T114" s="399"/>
      <c r="U114" s="399"/>
      <c r="V114" s="399"/>
      <c r="W114" s="398" t="str">
        <f t="shared" si="19"/>
        <v>Blank</v>
      </c>
    </row>
    <row r="115" spans="1:23">
      <c r="A115" s="398" t="str">
        <f t="shared" si="15"/>
        <v/>
      </c>
      <c r="B115" s="399"/>
      <c r="C115" s="398" t="str">
        <f>IFERROR(INDEX(DATA_PROPERTY_MASTER!$B:$B,MATCH($B115,DATA_PROPERTY_MASTER!$A:$A,0)),"")</f>
        <v/>
      </c>
      <c r="D115" s="399"/>
      <c r="E115" s="399"/>
      <c r="F115" s="399"/>
      <c r="G115" s="399"/>
      <c r="H115" s="399"/>
      <c r="I115" s="399"/>
      <c r="J115" s="399"/>
      <c r="K115" s="401"/>
      <c r="L115" s="401"/>
      <c r="M115" s="401"/>
      <c r="N115" s="401"/>
      <c r="O115" s="404"/>
      <c r="P115" s="402">
        <f t="shared" si="16"/>
        <v>0</v>
      </c>
      <c r="Q115" s="402">
        <f t="shared" si="17"/>
        <v>0</v>
      </c>
      <c r="R115" s="403" t="str">
        <f t="shared" si="18"/>
        <v/>
      </c>
      <c r="S115" s="399"/>
      <c r="T115" s="399"/>
      <c r="U115" s="399"/>
      <c r="V115" s="399"/>
      <c r="W115" s="398" t="str">
        <f t="shared" si="19"/>
        <v>Blank</v>
      </c>
    </row>
    <row r="116" spans="1:23">
      <c r="A116" s="398" t="str">
        <f t="shared" si="15"/>
        <v/>
      </c>
      <c r="B116" s="399"/>
      <c r="C116" s="398" t="str">
        <f>IFERROR(INDEX(DATA_PROPERTY_MASTER!$B:$B,MATCH($B116,DATA_PROPERTY_MASTER!$A:$A,0)),"")</f>
        <v/>
      </c>
      <c r="D116" s="399"/>
      <c r="E116" s="399"/>
      <c r="F116" s="399"/>
      <c r="G116" s="399"/>
      <c r="H116" s="399"/>
      <c r="I116" s="399"/>
      <c r="J116" s="399"/>
      <c r="K116" s="401"/>
      <c r="L116" s="401"/>
      <c r="M116" s="401"/>
      <c r="N116" s="401"/>
      <c r="O116" s="404"/>
      <c r="P116" s="402">
        <f t="shared" si="16"/>
        <v>0</v>
      </c>
      <c r="Q116" s="402">
        <f t="shared" si="17"/>
        <v>0</v>
      </c>
      <c r="R116" s="403" t="str">
        <f t="shared" si="18"/>
        <v/>
      </c>
      <c r="S116" s="399"/>
      <c r="T116" s="399"/>
      <c r="U116" s="399"/>
      <c r="V116" s="399"/>
      <c r="W116" s="398" t="str">
        <f t="shared" si="19"/>
        <v>Blank</v>
      </c>
    </row>
    <row r="117" spans="1:23">
      <c r="A117" s="398" t="str">
        <f t="shared" si="15"/>
        <v/>
      </c>
      <c r="B117" s="399"/>
      <c r="C117" s="398" t="str">
        <f>IFERROR(INDEX(DATA_PROPERTY_MASTER!$B:$B,MATCH($B117,DATA_PROPERTY_MASTER!$A:$A,0)),"")</f>
        <v/>
      </c>
      <c r="D117" s="399"/>
      <c r="E117" s="399"/>
      <c r="F117" s="399"/>
      <c r="G117" s="399"/>
      <c r="H117" s="399"/>
      <c r="I117" s="399"/>
      <c r="J117" s="399"/>
      <c r="K117" s="401"/>
      <c r="L117" s="401"/>
      <c r="M117" s="401"/>
      <c r="N117" s="401"/>
      <c r="O117" s="404"/>
      <c r="P117" s="402">
        <f t="shared" si="16"/>
        <v>0</v>
      </c>
      <c r="Q117" s="402">
        <f t="shared" si="17"/>
        <v>0</v>
      </c>
      <c r="R117" s="403" t="str">
        <f t="shared" si="18"/>
        <v/>
      </c>
      <c r="S117" s="399"/>
      <c r="T117" s="399"/>
      <c r="U117" s="399"/>
      <c r="V117" s="399"/>
      <c r="W117" s="398" t="str">
        <f t="shared" si="19"/>
        <v>Blank</v>
      </c>
    </row>
    <row r="118" spans="1:23">
      <c r="A118" s="398" t="str">
        <f t="shared" si="15"/>
        <v/>
      </c>
      <c r="B118" s="399"/>
      <c r="C118" s="398" t="str">
        <f>IFERROR(INDEX(DATA_PROPERTY_MASTER!$B:$B,MATCH($B118,DATA_PROPERTY_MASTER!$A:$A,0)),"")</f>
        <v/>
      </c>
      <c r="D118" s="399"/>
      <c r="E118" s="399"/>
      <c r="F118" s="399"/>
      <c r="G118" s="399"/>
      <c r="H118" s="399"/>
      <c r="I118" s="399"/>
      <c r="J118" s="399"/>
      <c r="K118" s="401"/>
      <c r="L118" s="401"/>
      <c r="M118" s="401"/>
      <c r="N118" s="401"/>
      <c r="O118" s="404"/>
      <c r="P118" s="402">
        <f t="shared" si="16"/>
        <v>0</v>
      </c>
      <c r="Q118" s="402">
        <f t="shared" si="17"/>
        <v>0</v>
      </c>
      <c r="R118" s="403" t="str">
        <f t="shared" si="18"/>
        <v/>
      </c>
      <c r="S118" s="399"/>
      <c r="T118" s="399"/>
      <c r="U118" s="399"/>
      <c r="V118" s="399"/>
      <c r="W118" s="398" t="str">
        <f t="shared" si="19"/>
        <v>Blank</v>
      </c>
    </row>
    <row r="119" spans="1:23">
      <c r="A119" s="398" t="str">
        <f t="shared" si="15"/>
        <v/>
      </c>
      <c r="B119" s="399"/>
      <c r="C119" s="398" t="str">
        <f>IFERROR(INDEX(DATA_PROPERTY_MASTER!$B:$B,MATCH($B119,DATA_PROPERTY_MASTER!$A:$A,0)),"")</f>
        <v/>
      </c>
      <c r="D119" s="399"/>
      <c r="E119" s="399"/>
      <c r="F119" s="399"/>
      <c r="G119" s="399"/>
      <c r="H119" s="399"/>
      <c r="I119" s="399"/>
      <c r="J119" s="399"/>
      <c r="K119" s="401"/>
      <c r="L119" s="401"/>
      <c r="M119" s="401"/>
      <c r="N119" s="401"/>
      <c r="O119" s="404"/>
      <c r="P119" s="402">
        <f t="shared" si="16"/>
        <v>0</v>
      </c>
      <c r="Q119" s="402">
        <f t="shared" si="17"/>
        <v>0</v>
      </c>
      <c r="R119" s="403" t="str">
        <f t="shared" si="18"/>
        <v/>
      </c>
      <c r="S119" s="399"/>
      <c r="T119" s="399"/>
      <c r="U119" s="399"/>
      <c r="V119" s="399"/>
      <c r="W119" s="398" t="str">
        <f t="shared" si="19"/>
        <v>Blank</v>
      </c>
    </row>
    <row r="120" spans="1:23">
      <c r="A120" s="398" t="str">
        <f t="shared" si="15"/>
        <v/>
      </c>
      <c r="B120" s="399"/>
      <c r="C120" s="398" t="str">
        <f>IFERROR(INDEX(DATA_PROPERTY_MASTER!$B:$B,MATCH($B120,DATA_PROPERTY_MASTER!$A:$A,0)),"")</f>
        <v/>
      </c>
      <c r="D120" s="399"/>
      <c r="E120" s="399"/>
      <c r="F120" s="399"/>
      <c r="G120" s="399"/>
      <c r="H120" s="399"/>
      <c r="I120" s="399"/>
      <c r="J120" s="399"/>
      <c r="K120" s="401"/>
      <c r="L120" s="401"/>
      <c r="M120" s="401"/>
      <c r="N120" s="401"/>
      <c r="O120" s="404"/>
      <c r="P120" s="402">
        <f t="shared" si="16"/>
        <v>0</v>
      </c>
      <c r="Q120" s="402">
        <f t="shared" si="17"/>
        <v>0</v>
      </c>
      <c r="R120" s="403" t="str">
        <f t="shared" si="18"/>
        <v/>
      </c>
      <c r="S120" s="399"/>
      <c r="T120" s="399"/>
      <c r="U120" s="399"/>
      <c r="V120" s="399"/>
      <c r="W120" s="398" t="str">
        <f t="shared" si="19"/>
        <v>Blank</v>
      </c>
    </row>
    <row r="121" spans="1:23">
      <c r="A121" s="398" t="str">
        <f t="shared" si="15"/>
        <v/>
      </c>
      <c r="B121" s="399"/>
      <c r="C121" s="398" t="str">
        <f>IFERROR(INDEX(DATA_PROPERTY_MASTER!$B:$B,MATCH($B121,DATA_PROPERTY_MASTER!$A:$A,0)),"")</f>
        <v/>
      </c>
      <c r="D121" s="399"/>
      <c r="E121" s="399"/>
      <c r="F121" s="399"/>
      <c r="G121" s="399"/>
      <c r="H121" s="399"/>
      <c r="I121" s="399"/>
      <c r="J121" s="399"/>
      <c r="K121" s="401"/>
      <c r="L121" s="401"/>
      <c r="M121" s="401"/>
      <c r="N121" s="401"/>
      <c r="O121" s="404"/>
      <c r="P121" s="402">
        <f t="shared" si="16"/>
        <v>0</v>
      </c>
      <c r="Q121" s="402">
        <f t="shared" si="17"/>
        <v>0</v>
      </c>
      <c r="R121" s="403" t="str">
        <f t="shared" si="18"/>
        <v/>
      </c>
      <c r="S121" s="399"/>
      <c r="T121" s="399"/>
      <c r="U121" s="399"/>
      <c r="V121" s="399"/>
      <c r="W121" s="398" t="str">
        <f t="shared" si="19"/>
        <v>Blank</v>
      </c>
    </row>
    <row r="122" spans="1:23">
      <c r="A122" s="398" t="str">
        <f t="shared" si="15"/>
        <v/>
      </c>
      <c r="B122" s="399"/>
      <c r="C122" s="398" t="str">
        <f>IFERROR(INDEX(DATA_PROPERTY_MASTER!$B:$B,MATCH($B122,DATA_PROPERTY_MASTER!$A:$A,0)),"")</f>
        <v/>
      </c>
      <c r="D122" s="399"/>
      <c r="E122" s="399"/>
      <c r="F122" s="399"/>
      <c r="G122" s="399"/>
      <c r="H122" s="399"/>
      <c r="I122" s="399"/>
      <c r="J122" s="399"/>
      <c r="K122" s="401"/>
      <c r="L122" s="401"/>
      <c r="M122" s="401"/>
      <c r="N122" s="401"/>
      <c r="O122" s="404"/>
      <c r="P122" s="402">
        <f t="shared" si="16"/>
        <v>0</v>
      </c>
      <c r="Q122" s="402">
        <f t="shared" si="17"/>
        <v>0</v>
      </c>
      <c r="R122" s="403" t="str">
        <f t="shared" si="18"/>
        <v/>
      </c>
      <c r="S122" s="399"/>
      <c r="T122" s="399"/>
      <c r="U122" s="399"/>
      <c r="V122" s="399"/>
      <c r="W122" s="398" t="str">
        <f t="shared" si="19"/>
        <v>Blank</v>
      </c>
    </row>
    <row r="123" spans="1:23">
      <c r="A123" s="398" t="str">
        <f t="shared" si="15"/>
        <v/>
      </c>
      <c r="B123" s="399"/>
      <c r="C123" s="398" t="str">
        <f>IFERROR(INDEX(DATA_PROPERTY_MASTER!$B:$B,MATCH($B123,DATA_PROPERTY_MASTER!$A:$A,0)),"")</f>
        <v/>
      </c>
      <c r="D123" s="399"/>
      <c r="E123" s="399"/>
      <c r="F123" s="399"/>
      <c r="G123" s="399"/>
      <c r="H123" s="399"/>
      <c r="I123" s="399"/>
      <c r="J123" s="399"/>
      <c r="K123" s="401"/>
      <c r="L123" s="401"/>
      <c r="M123" s="401"/>
      <c r="N123" s="401"/>
      <c r="O123" s="404"/>
      <c r="P123" s="402">
        <f t="shared" si="16"/>
        <v>0</v>
      </c>
      <c r="Q123" s="402">
        <f t="shared" si="17"/>
        <v>0</v>
      </c>
      <c r="R123" s="403" t="str">
        <f t="shared" si="18"/>
        <v/>
      </c>
      <c r="S123" s="399"/>
      <c r="T123" s="399"/>
      <c r="U123" s="399"/>
      <c r="V123" s="399"/>
      <c r="W123" s="398" t="str">
        <f t="shared" si="19"/>
        <v>Blank</v>
      </c>
    </row>
    <row r="124" spans="1:23">
      <c r="A124" s="398" t="str">
        <f t="shared" si="15"/>
        <v/>
      </c>
      <c r="B124" s="399"/>
      <c r="C124" s="398" t="str">
        <f>IFERROR(INDEX(DATA_PROPERTY_MASTER!$B:$B,MATCH($B124,DATA_PROPERTY_MASTER!$A:$A,0)),"")</f>
        <v/>
      </c>
      <c r="D124" s="399"/>
      <c r="E124" s="399"/>
      <c r="F124" s="399"/>
      <c r="G124" s="399"/>
      <c r="H124" s="399"/>
      <c r="I124" s="399"/>
      <c r="J124" s="399"/>
      <c r="K124" s="401"/>
      <c r="L124" s="401"/>
      <c r="M124" s="401"/>
      <c r="N124" s="401"/>
      <c r="O124" s="404"/>
      <c r="P124" s="402">
        <f t="shared" si="16"/>
        <v>0</v>
      </c>
      <c r="Q124" s="402">
        <f t="shared" si="17"/>
        <v>0</v>
      </c>
      <c r="R124" s="403" t="str">
        <f t="shared" si="18"/>
        <v/>
      </c>
      <c r="S124" s="399"/>
      <c r="T124" s="399"/>
      <c r="U124" s="399"/>
      <c r="V124" s="399"/>
      <c r="W124" s="398" t="str">
        <f t="shared" si="19"/>
        <v>Blank</v>
      </c>
    </row>
    <row r="125" spans="1:23">
      <c r="A125" s="398" t="str">
        <f t="shared" si="15"/>
        <v/>
      </c>
      <c r="B125" s="399"/>
      <c r="C125" s="398" t="str">
        <f>IFERROR(INDEX(DATA_PROPERTY_MASTER!$B:$B,MATCH($B125,DATA_PROPERTY_MASTER!$A:$A,0)),"")</f>
        <v/>
      </c>
      <c r="D125" s="399"/>
      <c r="E125" s="399"/>
      <c r="F125" s="399"/>
      <c r="G125" s="399"/>
      <c r="H125" s="399"/>
      <c r="I125" s="399"/>
      <c r="J125" s="399"/>
      <c r="K125" s="401"/>
      <c r="L125" s="401"/>
      <c r="M125" s="401"/>
      <c r="N125" s="401"/>
      <c r="O125" s="404"/>
      <c r="P125" s="402">
        <f t="shared" si="16"/>
        <v>0</v>
      </c>
      <c r="Q125" s="402">
        <f t="shared" si="17"/>
        <v>0</v>
      </c>
      <c r="R125" s="403" t="str">
        <f t="shared" si="18"/>
        <v/>
      </c>
      <c r="S125" s="399"/>
      <c r="T125" s="399"/>
      <c r="U125" s="399"/>
      <c r="V125" s="399"/>
      <c r="W125" s="398" t="str">
        <f t="shared" si="19"/>
        <v>Blank</v>
      </c>
    </row>
    <row r="126" spans="1:23">
      <c r="A126" s="398" t="str">
        <f t="shared" si="15"/>
        <v/>
      </c>
      <c r="B126" s="399"/>
      <c r="C126" s="398" t="str">
        <f>IFERROR(INDEX(DATA_PROPERTY_MASTER!$B:$B,MATCH($B126,DATA_PROPERTY_MASTER!$A:$A,0)),"")</f>
        <v/>
      </c>
      <c r="D126" s="399"/>
      <c r="E126" s="399"/>
      <c r="F126" s="399"/>
      <c r="G126" s="399"/>
      <c r="H126" s="399"/>
      <c r="I126" s="399"/>
      <c r="J126" s="399"/>
      <c r="K126" s="401"/>
      <c r="L126" s="401"/>
      <c r="M126" s="401"/>
      <c r="N126" s="401"/>
      <c r="O126" s="404"/>
      <c r="P126" s="402">
        <f t="shared" si="16"/>
        <v>0</v>
      </c>
      <c r="Q126" s="402">
        <f t="shared" si="17"/>
        <v>0</v>
      </c>
      <c r="R126" s="403" t="str">
        <f t="shared" si="18"/>
        <v/>
      </c>
      <c r="S126" s="399"/>
      <c r="T126" s="399"/>
      <c r="U126" s="399"/>
      <c r="V126" s="399"/>
      <c r="W126" s="398" t="str">
        <f t="shared" si="19"/>
        <v>Blank</v>
      </c>
    </row>
    <row r="127" spans="1:23">
      <c r="A127" s="398" t="str">
        <f t="shared" si="15"/>
        <v/>
      </c>
      <c r="B127" s="399"/>
      <c r="C127" s="398" t="str">
        <f>IFERROR(INDEX(DATA_PROPERTY_MASTER!$B:$B,MATCH($B127,DATA_PROPERTY_MASTER!$A:$A,0)),"")</f>
        <v/>
      </c>
      <c r="D127" s="399"/>
      <c r="E127" s="399"/>
      <c r="F127" s="399"/>
      <c r="G127" s="399"/>
      <c r="H127" s="399"/>
      <c r="I127" s="399"/>
      <c r="J127" s="399"/>
      <c r="K127" s="401"/>
      <c r="L127" s="401"/>
      <c r="M127" s="401"/>
      <c r="N127" s="401"/>
      <c r="O127" s="404"/>
      <c r="P127" s="402">
        <f t="shared" si="16"/>
        <v>0</v>
      </c>
      <c r="Q127" s="402">
        <f t="shared" si="17"/>
        <v>0</v>
      </c>
      <c r="R127" s="403" t="str">
        <f t="shared" si="18"/>
        <v/>
      </c>
      <c r="S127" s="399"/>
      <c r="T127" s="399"/>
      <c r="U127" s="399"/>
      <c r="V127" s="399"/>
      <c r="W127" s="398" t="str">
        <f t="shared" si="19"/>
        <v>Blank</v>
      </c>
    </row>
    <row r="128" spans="1:23">
      <c r="A128" s="398" t="str">
        <f t="shared" si="15"/>
        <v/>
      </c>
      <c r="B128" s="399"/>
      <c r="C128" s="398" t="str">
        <f>IFERROR(INDEX(DATA_PROPERTY_MASTER!$B:$B,MATCH($B128,DATA_PROPERTY_MASTER!$A:$A,0)),"")</f>
        <v/>
      </c>
      <c r="D128" s="399"/>
      <c r="E128" s="399"/>
      <c r="F128" s="399"/>
      <c r="G128" s="399"/>
      <c r="H128" s="399"/>
      <c r="I128" s="399"/>
      <c r="J128" s="399"/>
      <c r="K128" s="401"/>
      <c r="L128" s="401"/>
      <c r="M128" s="401"/>
      <c r="N128" s="401"/>
      <c r="O128" s="404"/>
      <c r="P128" s="402">
        <f t="shared" si="16"/>
        <v>0</v>
      </c>
      <c r="Q128" s="402">
        <f t="shared" si="17"/>
        <v>0</v>
      </c>
      <c r="R128" s="403" t="str">
        <f t="shared" si="18"/>
        <v/>
      </c>
      <c r="S128" s="399"/>
      <c r="T128" s="399"/>
      <c r="U128" s="399"/>
      <c r="V128" s="399"/>
      <c r="W128" s="398" t="str">
        <f t="shared" si="19"/>
        <v>Blank</v>
      </c>
    </row>
    <row r="129" spans="1:23">
      <c r="A129" s="398" t="str">
        <f t="shared" si="15"/>
        <v/>
      </c>
      <c r="B129" s="399"/>
      <c r="C129" s="398" t="str">
        <f>IFERROR(INDEX(DATA_PROPERTY_MASTER!$B:$B,MATCH($B129,DATA_PROPERTY_MASTER!$A:$A,0)),"")</f>
        <v/>
      </c>
      <c r="D129" s="399"/>
      <c r="E129" s="399"/>
      <c r="F129" s="399"/>
      <c r="G129" s="399"/>
      <c r="H129" s="399"/>
      <c r="I129" s="399"/>
      <c r="J129" s="399"/>
      <c r="K129" s="401"/>
      <c r="L129" s="401"/>
      <c r="M129" s="401"/>
      <c r="N129" s="401"/>
      <c r="O129" s="404"/>
      <c r="P129" s="402">
        <f t="shared" si="16"/>
        <v>0</v>
      </c>
      <c r="Q129" s="402">
        <f t="shared" si="17"/>
        <v>0</v>
      </c>
      <c r="R129" s="403" t="str">
        <f t="shared" si="18"/>
        <v/>
      </c>
      <c r="S129" s="399"/>
      <c r="T129" s="399"/>
      <c r="U129" s="399"/>
      <c r="V129" s="399"/>
      <c r="W129" s="398" t="str">
        <f t="shared" si="19"/>
        <v>Blank</v>
      </c>
    </row>
    <row r="130" spans="1:23">
      <c r="A130" s="398" t="str">
        <f t="shared" si="15"/>
        <v/>
      </c>
      <c r="B130" s="399"/>
      <c r="C130" s="398" t="str">
        <f>IFERROR(INDEX(DATA_PROPERTY_MASTER!$B:$B,MATCH($B130,DATA_PROPERTY_MASTER!$A:$A,0)),"")</f>
        <v/>
      </c>
      <c r="D130" s="399"/>
      <c r="E130" s="399"/>
      <c r="F130" s="399"/>
      <c r="G130" s="399"/>
      <c r="H130" s="399"/>
      <c r="I130" s="399"/>
      <c r="J130" s="399"/>
      <c r="K130" s="401"/>
      <c r="L130" s="401"/>
      <c r="M130" s="401"/>
      <c r="N130" s="401"/>
      <c r="O130" s="404"/>
      <c r="P130" s="402">
        <f t="shared" si="16"/>
        <v>0</v>
      </c>
      <c r="Q130" s="402">
        <f t="shared" si="17"/>
        <v>0</v>
      </c>
      <c r="R130" s="403" t="str">
        <f t="shared" si="18"/>
        <v/>
      </c>
      <c r="S130" s="399"/>
      <c r="T130" s="399"/>
      <c r="U130" s="399"/>
      <c r="V130" s="399"/>
      <c r="W130" s="398" t="str">
        <f t="shared" si="19"/>
        <v>Blank</v>
      </c>
    </row>
    <row r="131" spans="1:23">
      <c r="A131" s="398" t="str">
        <f t="shared" si="15"/>
        <v/>
      </c>
      <c r="B131" s="399"/>
      <c r="C131" s="398" t="str">
        <f>IFERROR(INDEX(DATA_PROPERTY_MASTER!$B:$B,MATCH($B131,DATA_PROPERTY_MASTER!$A:$A,0)),"")</f>
        <v/>
      </c>
      <c r="D131" s="399"/>
      <c r="E131" s="399"/>
      <c r="F131" s="399"/>
      <c r="G131" s="399"/>
      <c r="H131" s="399"/>
      <c r="I131" s="399"/>
      <c r="J131" s="399"/>
      <c r="K131" s="401"/>
      <c r="L131" s="401"/>
      <c r="M131" s="401"/>
      <c r="N131" s="401"/>
      <c r="O131" s="404"/>
      <c r="P131" s="402">
        <f t="shared" si="16"/>
        <v>0</v>
      </c>
      <c r="Q131" s="402">
        <f t="shared" si="17"/>
        <v>0</v>
      </c>
      <c r="R131" s="403" t="str">
        <f t="shared" si="18"/>
        <v/>
      </c>
      <c r="S131" s="399"/>
      <c r="T131" s="399"/>
      <c r="U131" s="399"/>
      <c r="V131" s="399"/>
      <c r="W131" s="398" t="str">
        <f t="shared" si="19"/>
        <v>Blank</v>
      </c>
    </row>
    <row r="132" spans="1:23">
      <c r="A132" s="398" t="str">
        <f t="shared" si="15"/>
        <v/>
      </c>
      <c r="B132" s="399"/>
      <c r="C132" s="398" t="str">
        <f>IFERROR(INDEX(DATA_PROPERTY_MASTER!$B:$B,MATCH($B132,DATA_PROPERTY_MASTER!$A:$A,0)),"")</f>
        <v/>
      </c>
      <c r="D132" s="399"/>
      <c r="E132" s="399"/>
      <c r="F132" s="399"/>
      <c r="G132" s="399"/>
      <c r="H132" s="399"/>
      <c r="I132" s="399"/>
      <c r="J132" s="399"/>
      <c r="K132" s="401"/>
      <c r="L132" s="401"/>
      <c r="M132" s="401"/>
      <c r="N132" s="401"/>
      <c r="O132" s="404"/>
      <c r="P132" s="402">
        <f t="shared" si="16"/>
        <v>0</v>
      </c>
      <c r="Q132" s="402">
        <f t="shared" si="17"/>
        <v>0</v>
      </c>
      <c r="R132" s="403" t="str">
        <f t="shared" si="18"/>
        <v/>
      </c>
      <c r="S132" s="399"/>
      <c r="T132" s="399"/>
      <c r="U132" s="399"/>
      <c r="V132" s="399"/>
      <c r="W132" s="398" t="str">
        <f t="shared" si="19"/>
        <v>Blank</v>
      </c>
    </row>
    <row r="133" spans="1:23">
      <c r="A133" s="398" t="str">
        <f t="shared" si="15"/>
        <v/>
      </c>
      <c r="B133" s="399"/>
      <c r="C133" s="398" t="str">
        <f>IFERROR(INDEX(DATA_PROPERTY_MASTER!$B:$B,MATCH($B133,DATA_PROPERTY_MASTER!$A:$A,0)),"")</f>
        <v/>
      </c>
      <c r="D133" s="399"/>
      <c r="E133" s="399"/>
      <c r="F133" s="399"/>
      <c r="G133" s="399"/>
      <c r="H133" s="399"/>
      <c r="I133" s="399"/>
      <c r="J133" s="399"/>
      <c r="K133" s="401"/>
      <c r="L133" s="401"/>
      <c r="M133" s="401"/>
      <c r="N133" s="401"/>
      <c r="O133" s="404"/>
      <c r="P133" s="402">
        <f t="shared" si="16"/>
        <v>0</v>
      </c>
      <c r="Q133" s="402">
        <f t="shared" si="17"/>
        <v>0</v>
      </c>
      <c r="R133" s="403" t="str">
        <f t="shared" si="18"/>
        <v/>
      </c>
      <c r="S133" s="399"/>
      <c r="T133" s="399"/>
      <c r="U133" s="399"/>
      <c r="V133" s="399"/>
      <c r="W133" s="398" t="str">
        <f t="shared" si="19"/>
        <v>Blank</v>
      </c>
    </row>
    <row r="134" spans="1:23">
      <c r="A134" s="398" t="str">
        <f t="shared" si="15"/>
        <v/>
      </c>
      <c r="B134" s="399"/>
      <c r="C134" s="398" t="str">
        <f>IFERROR(INDEX(DATA_PROPERTY_MASTER!$B:$B,MATCH($B134,DATA_PROPERTY_MASTER!$A:$A,0)),"")</f>
        <v/>
      </c>
      <c r="D134" s="399"/>
      <c r="E134" s="399"/>
      <c r="F134" s="399"/>
      <c r="G134" s="399"/>
      <c r="H134" s="399"/>
      <c r="I134" s="399"/>
      <c r="J134" s="399"/>
      <c r="K134" s="401"/>
      <c r="L134" s="401"/>
      <c r="M134" s="401"/>
      <c r="N134" s="401"/>
      <c r="O134" s="404"/>
      <c r="P134" s="402">
        <f t="shared" si="16"/>
        <v>0</v>
      </c>
      <c r="Q134" s="402">
        <f t="shared" si="17"/>
        <v>0</v>
      </c>
      <c r="R134" s="403" t="str">
        <f t="shared" si="18"/>
        <v/>
      </c>
      <c r="S134" s="399"/>
      <c r="T134" s="399"/>
      <c r="U134" s="399"/>
      <c r="V134" s="399"/>
      <c r="W134" s="398" t="str">
        <f t="shared" si="19"/>
        <v>Blank</v>
      </c>
    </row>
    <row r="135" spans="1:23">
      <c r="A135" s="398" t="str">
        <f t="shared" ref="A135:A166" si="20">IF($B135="","","RR-"&amp;TEXT(ROW()-6,"0000"))</f>
        <v/>
      </c>
      <c r="B135" s="399"/>
      <c r="C135" s="398" t="str">
        <f>IFERROR(INDEX(DATA_PROPERTY_MASTER!$B:$B,MATCH($B135,DATA_PROPERTY_MASTER!$A:$A,0)),"")</f>
        <v/>
      </c>
      <c r="D135" s="399"/>
      <c r="E135" s="399"/>
      <c r="F135" s="399"/>
      <c r="G135" s="399"/>
      <c r="H135" s="399"/>
      <c r="I135" s="399"/>
      <c r="J135" s="399"/>
      <c r="K135" s="401"/>
      <c r="L135" s="401"/>
      <c r="M135" s="401"/>
      <c r="N135" s="401"/>
      <c r="O135" s="404"/>
      <c r="P135" s="402">
        <f t="shared" ref="P135:P166" si="21">IFERROR($H135*$K135*12,"")</f>
        <v>0</v>
      </c>
      <c r="Q135" s="402">
        <f t="shared" ref="Q135:Q166" si="22">IFERROR($H135*$L135*12,"")</f>
        <v>0</v>
      </c>
      <c r="R135" s="403" t="str">
        <f t="shared" ref="R135:R166" si="23">IFERROR(IF($L135&gt;0,1-($K135/$L135),""),"")</f>
        <v/>
      </c>
      <c r="S135" s="399"/>
      <c r="T135" s="399"/>
      <c r="U135" s="399"/>
      <c r="V135" s="399"/>
      <c r="W135" s="398" t="str">
        <f t="shared" ref="W135:W166" si="24">IF($B135="","Blank",IF(OR($K135="",$H135=""),"Review","OK"))</f>
        <v>Blank</v>
      </c>
    </row>
    <row r="136" spans="1:23">
      <c r="A136" s="398" t="str">
        <f t="shared" si="20"/>
        <v/>
      </c>
      <c r="B136" s="399"/>
      <c r="C136" s="398" t="str">
        <f>IFERROR(INDEX(DATA_PROPERTY_MASTER!$B:$B,MATCH($B136,DATA_PROPERTY_MASTER!$A:$A,0)),"")</f>
        <v/>
      </c>
      <c r="D136" s="399"/>
      <c r="E136" s="399"/>
      <c r="F136" s="399"/>
      <c r="G136" s="399"/>
      <c r="H136" s="399"/>
      <c r="I136" s="399"/>
      <c r="J136" s="399"/>
      <c r="K136" s="401"/>
      <c r="L136" s="401"/>
      <c r="M136" s="401"/>
      <c r="N136" s="401"/>
      <c r="O136" s="404"/>
      <c r="P136" s="402">
        <f t="shared" si="21"/>
        <v>0</v>
      </c>
      <c r="Q136" s="402">
        <f t="shared" si="22"/>
        <v>0</v>
      </c>
      <c r="R136" s="403" t="str">
        <f t="shared" si="23"/>
        <v/>
      </c>
      <c r="S136" s="399"/>
      <c r="T136" s="399"/>
      <c r="U136" s="399"/>
      <c r="V136" s="399"/>
      <c r="W136" s="398" t="str">
        <f t="shared" si="24"/>
        <v>Blank</v>
      </c>
    </row>
    <row r="137" spans="1:23">
      <c r="A137" s="398" t="str">
        <f t="shared" si="20"/>
        <v/>
      </c>
      <c r="B137" s="399"/>
      <c r="C137" s="398" t="str">
        <f>IFERROR(INDEX(DATA_PROPERTY_MASTER!$B:$B,MATCH($B137,DATA_PROPERTY_MASTER!$A:$A,0)),"")</f>
        <v/>
      </c>
      <c r="D137" s="399"/>
      <c r="E137" s="399"/>
      <c r="F137" s="399"/>
      <c r="G137" s="399"/>
      <c r="H137" s="399"/>
      <c r="I137" s="399"/>
      <c r="J137" s="399"/>
      <c r="K137" s="401"/>
      <c r="L137" s="401"/>
      <c r="M137" s="401"/>
      <c r="N137" s="401"/>
      <c r="O137" s="404"/>
      <c r="P137" s="402">
        <f t="shared" si="21"/>
        <v>0</v>
      </c>
      <c r="Q137" s="402">
        <f t="shared" si="22"/>
        <v>0</v>
      </c>
      <c r="R137" s="403" t="str">
        <f t="shared" si="23"/>
        <v/>
      </c>
      <c r="S137" s="399"/>
      <c r="T137" s="399"/>
      <c r="U137" s="399"/>
      <c r="V137" s="399"/>
      <c r="W137" s="398" t="str">
        <f t="shared" si="24"/>
        <v>Blank</v>
      </c>
    </row>
    <row r="138" spans="1:23">
      <c r="A138" s="398" t="str">
        <f t="shared" si="20"/>
        <v/>
      </c>
      <c r="B138" s="399"/>
      <c r="C138" s="398" t="str">
        <f>IFERROR(INDEX(DATA_PROPERTY_MASTER!$B:$B,MATCH($B138,DATA_PROPERTY_MASTER!$A:$A,0)),"")</f>
        <v/>
      </c>
      <c r="D138" s="399"/>
      <c r="E138" s="399"/>
      <c r="F138" s="399"/>
      <c r="G138" s="399"/>
      <c r="H138" s="399"/>
      <c r="I138" s="399"/>
      <c r="J138" s="399"/>
      <c r="K138" s="401"/>
      <c r="L138" s="401"/>
      <c r="M138" s="401"/>
      <c r="N138" s="401"/>
      <c r="O138" s="404"/>
      <c r="P138" s="402">
        <f t="shared" si="21"/>
        <v>0</v>
      </c>
      <c r="Q138" s="402">
        <f t="shared" si="22"/>
        <v>0</v>
      </c>
      <c r="R138" s="403" t="str">
        <f t="shared" si="23"/>
        <v/>
      </c>
      <c r="S138" s="399"/>
      <c r="T138" s="399"/>
      <c r="U138" s="399"/>
      <c r="V138" s="399"/>
      <c r="W138" s="398" t="str">
        <f t="shared" si="24"/>
        <v>Blank</v>
      </c>
    </row>
    <row r="139" spans="1:23">
      <c r="A139" s="398" t="str">
        <f t="shared" si="20"/>
        <v/>
      </c>
      <c r="B139" s="399"/>
      <c r="C139" s="398" t="str">
        <f>IFERROR(INDEX(DATA_PROPERTY_MASTER!$B:$B,MATCH($B139,DATA_PROPERTY_MASTER!$A:$A,0)),"")</f>
        <v/>
      </c>
      <c r="D139" s="399"/>
      <c r="E139" s="399"/>
      <c r="F139" s="399"/>
      <c r="G139" s="399"/>
      <c r="H139" s="399"/>
      <c r="I139" s="399"/>
      <c r="J139" s="399"/>
      <c r="K139" s="401"/>
      <c r="L139" s="401"/>
      <c r="M139" s="401"/>
      <c r="N139" s="401"/>
      <c r="O139" s="404"/>
      <c r="P139" s="402">
        <f t="shared" si="21"/>
        <v>0</v>
      </c>
      <c r="Q139" s="402">
        <f t="shared" si="22"/>
        <v>0</v>
      </c>
      <c r="R139" s="403" t="str">
        <f t="shared" si="23"/>
        <v/>
      </c>
      <c r="S139" s="399"/>
      <c r="T139" s="399"/>
      <c r="U139" s="399"/>
      <c r="V139" s="399"/>
      <c r="W139" s="398" t="str">
        <f t="shared" si="24"/>
        <v>Blank</v>
      </c>
    </row>
    <row r="140" spans="1:23">
      <c r="A140" s="398" t="str">
        <f t="shared" si="20"/>
        <v/>
      </c>
      <c r="B140" s="399"/>
      <c r="C140" s="398" t="str">
        <f>IFERROR(INDEX(DATA_PROPERTY_MASTER!$B:$B,MATCH($B140,DATA_PROPERTY_MASTER!$A:$A,0)),"")</f>
        <v/>
      </c>
      <c r="D140" s="399"/>
      <c r="E140" s="399"/>
      <c r="F140" s="399"/>
      <c r="G140" s="399"/>
      <c r="H140" s="399"/>
      <c r="I140" s="399"/>
      <c r="J140" s="399"/>
      <c r="K140" s="401"/>
      <c r="L140" s="401"/>
      <c r="M140" s="401"/>
      <c r="N140" s="401"/>
      <c r="O140" s="404"/>
      <c r="P140" s="402">
        <f t="shared" si="21"/>
        <v>0</v>
      </c>
      <c r="Q140" s="402">
        <f t="shared" si="22"/>
        <v>0</v>
      </c>
      <c r="R140" s="403" t="str">
        <f t="shared" si="23"/>
        <v/>
      </c>
      <c r="S140" s="399"/>
      <c r="T140" s="399"/>
      <c r="U140" s="399"/>
      <c r="V140" s="399"/>
      <c r="W140" s="398" t="str">
        <f t="shared" si="24"/>
        <v>Blank</v>
      </c>
    </row>
    <row r="141" spans="1:23">
      <c r="A141" s="398" t="str">
        <f t="shared" si="20"/>
        <v/>
      </c>
      <c r="B141" s="399"/>
      <c r="C141" s="398" t="str">
        <f>IFERROR(INDEX(DATA_PROPERTY_MASTER!$B:$B,MATCH($B141,DATA_PROPERTY_MASTER!$A:$A,0)),"")</f>
        <v/>
      </c>
      <c r="D141" s="399"/>
      <c r="E141" s="399"/>
      <c r="F141" s="399"/>
      <c r="G141" s="399"/>
      <c r="H141" s="399"/>
      <c r="I141" s="399"/>
      <c r="J141" s="399"/>
      <c r="K141" s="401"/>
      <c r="L141" s="401"/>
      <c r="M141" s="401"/>
      <c r="N141" s="401"/>
      <c r="O141" s="404"/>
      <c r="P141" s="402">
        <f t="shared" si="21"/>
        <v>0</v>
      </c>
      <c r="Q141" s="402">
        <f t="shared" si="22"/>
        <v>0</v>
      </c>
      <c r="R141" s="403" t="str">
        <f t="shared" si="23"/>
        <v/>
      </c>
      <c r="S141" s="399"/>
      <c r="T141" s="399"/>
      <c r="U141" s="399"/>
      <c r="V141" s="399"/>
      <c r="W141" s="398" t="str">
        <f t="shared" si="24"/>
        <v>Blank</v>
      </c>
    </row>
    <row r="142" spans="1:23">
      <c r="A142" s="398" t="str">
        <f t="shared" si="20"/>
        <v/>
      </c>
      <c r="B142" s="399"/>
      <c r="C142" s="398" t="str">
        <f>IFERROR(INDEX(DATA_PROPERTY_MASTER!$B:$B,MATCH($B142,DATA_PROPERTY_MASTER!$A:$A,0)),"")</f>
        <v/>
      </c>
      <c r="D142" s="399"/>
      <c r="E142" s="399"/>
      <c r="F142" s="399"/>
      <c r="G142" s="399"/>
      <c r="H142" s="399"/>
      <c r="I142" s="399"/>
      <c r="J142" s="399"/>
      <c r="K142" s="401"/>
      <c r="L142" s="401"/>
      <c r="M142" s="401"/>
      <c r="N142" s="401"/>
      <c r="O142" s="404"/>
      <c r="P142" s="402">
        <f t="shared" si="21"/>
        <v>0</v>
      </c>
      <c r="Q142" s="402">
        <f t="shared" si="22"/>
        <v>0</v>
      </c>
      <c r="R142" s="403" t="str">
        <f t="shared" si="23"/>
        <v/>
      </c>
      <c r="S142" s="399"/>
      <c r="T142" s="399"/>
      <c r="U142" s="399"/>
      <c r="V142" s="399"/>
      <c r="W142" s="398" t="str">
        <f t="shared" si="24"/>
        <v>Blank</v>
      </c>
    </row>
    <row r="143" spans="1:23">
      <c r="A143" s="398" t="str">
        <f t="shared" si="20"/>
        <v/>
      </c>
      <c r="B143" s="399"/>
      <c r="C143" s="398" t="str">
        <f>IFERROR(INDEX(DATA_PROPERTY_MASTER!$B:$B,MATCH($B143,DATA_PROPERTY_MASTER!$A:$A,0)),"")</f>
        <v/>
      </c>
      <c r="D143" s="399"/>
      <c r="E143" s="399"/>
      <c r="F143" s="399"/>
      <c r="G143" s="399"/>
      <c r="H143" s="399"/>
      <c r="I143" s="399"/>
      <c r="J143" s="399"/>
      <c r="K143" s="401"/>
      <c r="L143" s="401"/>
      <c r="M143" s="401"/>
      <c r="N143" s="401"/>
      <c r="O143" s="404"/>
      <c r="P143" s="402">
        <f t="shared" si="21"/>
        <v>0</v>
      </c>
      <c r="Q143" s="402">
        <f t="shared" si="22"/>
        <v>0</v>
      </c>
      <c r="R143" s="403" t="str">
        <f t="shared" si="23"/>
        <v/>
      </c>
      <c r="S143" s="399"/>
      <c r="T143" s="399"/>
      <c r="U143" s="399"/>
      <c r="V143" s="399"/>
      <c r="W143" s="398" t="str">
        <f t="shared" si="24"/>
        <v>Blank</v>
      </c>
    </row>
    <row r="144" spans="1:23">
      <c r="A144" s="398" t="str">
        <f t="shared" si="20"/>
        <v/>
      </c>
      <c r="B144" s="399"/>
      <c r="C144" s="398" t="str">
        <f>IFERROR(INDEX(DATA_PROPERTY_MASTER!$B:$B,MATCH($B144,DATA_PROPERTY_MASTER!$A:$A,0)),"")</f>
        <v/>
      </c>
      <c r="D144" s="399"/>
      <c r="E144" s="399"/>
      <c r="F144" s="399"/>
      <c r="G144" s="399"/>
      <c r="H144" s="399"/>
      <c r="I144" s="399"/>
      <c r="J144" s="399"/>
      <c r="K144" s="401"/>
      <c r="L144" s="401"/>
      <c r="M144" s="401"/>
      <c r="N144" s="401"/>
      <c r="O144" s="404"/>
      <c r="P144" s="402">
        <f t="shared" si="21"/>
        <v>0</v>
      </c>
      <c r="Q144" s="402">
        <f t="shared" si="22"/>
        <v>0</v>
      </c>
      <c r="R144" s="403" t="str">
        <f t="shared" si="23"/>
        <v/>
      </c>
      <c r="S144" s="399"/>
      <c r="T144" s="399"/>
      <c r="U144" s="399"/>
      <c r="V144" s="399"/>
      <c r="W144" s="398" t="str">
        <f t="shared" si="24"/>
        <v>Blank</v>
      </c>
    </row>
    <row r="145" spans="1:23">
      <c r="A145" s="398" t="str">
        <f t="shared" si="20"/>
        <v/>
      </c>
      <c r="B145" s="399"/>
      <c r="C145" s="398" t="str">
        <f>IFERROR(INDEX(DATA_PROPERTY_MASTER!$B:$B,MATCH($B145,DATA_PROPERTY_MASTER!$A:$A,0)),"")</f>
        <v/>
      </c>
      <c r="D145" s="399"/>
      <c r="E145" s="399"/>
      <c r="F145" s="399"/>
      <c r="G145" s="399"/>
      <c r="H145" s="399"/>
      <c r="I145" s="399"/>
      <c r="J145" s="399"/>
      <c r="K145" s="401"/>
      <c r="L145" s="401"/>
      <c r="M145" s="401"/>
      <c r="N145" s="401"/>
      <c r="O145" s="404"/>
      <c r="P145" s="402">
        <f t="shared" si="21"/>
        <v>0</v>
      </c>
      <c r="Q145" s="402">
        <f t="shared" si="22"/>
        <v>0</v>
      </c>
      <c r="R145" s="403" t="str">
        <f t="shared" si="23"/>
        <v/>
      </c>
      <c r="S145" s="399"/>
      <c r="T145" s="399"/>
      <c r="U145" s="399"/>
      <c r="V145" s="399"/>
      <c r="W145" s="398" t="str">
        <f t="shared" si="24"/>
        <v>Blank</v>
      </c>
    </row>
    <row r="146" spans="1:23">
      <c r="A146" s="398" t="str">
        <f t="shared" si="20"/>
        <v/>
      </c>
      <c r="B146" s="399"/>
      <c r="C146" s="398" t="str">
        <f>IFERROR(INDEX(DATA_PROPERTY_MASTER!$B:$B,MATCH($B146,DATA_PROPERTY_MASTER!$A:$A,0)),"")</f>
        <v/>
      </c>
      <c r="D146" s="399"/>
      <c r="E146" s="399"/>
      <c r="F146" s="399"/>
      <c r="G146" s="399"/>
      <c r="H146" s="399"/>
      <c r="I146" s="399"/>
      <c r="J146" s="399"/>
      <c r="K146" s="401"/>
      <c r="L146" s="401"/>
      <c r="M146" s="401"/>
      <c r="N146" s="401"/>
      <c r="O146" s="404"/>
      <c r="P146" s="402">
        <f t="shared" si="21"/>
        <v>0</v>
      </c>
      <c r="Q146" s="402">
        <f t="shared" si="22"/>
        <v>0</v>
      </c>
      <c r="R146" s="403" t="str">
        <f t="shared" si="23"/>
        <v/>
      </c>
      <c r="S146" s="399"/>
      <c r="T146" s="399"/>
      <c r="U146" s="399"/>
      <c r="V146" s="399"/>
      <c r="W146" s="398" t="str">
        <f t="shared" si="24"/>
        <v>Blank</v>
      </c>
    </row>
    <row r="147" spans="1:23">
      <c r="A147" s="398" t="str">
        <f t="shared" si="20"/>
        <v/>
      </c>
      <c r="B147" s="399"/>
      <c r="C147" s="398" t="str">
        <f>IFERROR(INDEX(DATA_PROPERTY_MASTER!$B:$B,MATCH($B147,DATA_PROPERTY_MASTER!$A:$A,0)),"")</f>
        <v/>
      </c>
      <c r="D147" s="399"/>
      <c r="E147" s="399"/>
      <c r="F147" s="399"/>
      <c r="G147" s="399"/>
      <c r="H147" s="399"/>
      <c r="I147" s="399"/>
      <c r="J147" s="399"/>
      <c r="K147" s="401"/>
      <c r="L147" s="401"/>
      <c r="M147" s="401"/>
      <c r="N147" s="401"/>
      <c r="O147" s="404"/>
      <c r="P147" s="402">
        <f t="shared" si="21"/>
        <v>0</v>
      </c>
      <c r="Q147" s="402">
        <f t="shared" si="22"/>
        <v>0</v>
      </c>
      <c r="R147" s="403" t="str">
        <f t="shared" si="23"/>
        <v/>
      </c>
      <c r="S147" s="399"/>
      <c r="T147" s="399"/>
      <c r="U147" s="399"/>
      <c r="V147" s="399"/>
      <c r="W147" s="398" t="str">
        <f t="shared" si="24"/>
        <v>Blank</v>
      </c>
    </row>
    <row r="148" spans="1:23">
      <c r="A148" s="398" t="str">
        <f t="shared" si="20"/>
        <v/>
      </c>
      <c r="B148" s="399"/>
      <c r="C148" s="398" t="str">
        <f>IFERROR(INDEX(DATA_PROPERTY_MASTER!$B:$B,MATCH($B148,DATA_PROPERTY_MASTER!$A:$A,0)),"")</f>
        <v/>
      </c>
      <c r="D148" s="399"/>
      <c r="E148" s="399"/>
      <c r="F148" s="399"/>
      <c r="G148" s="399"/>
      <c r="H148" s="399"/>
      <c r="I148" s="399"/>
      <c r="J148" s="399"/>
      <c r="K148" s="401"/>
      <c r="L148" s="401"/>
      <c r="M148" s="401"/>
      <c r="N148" s="401"/>
      <c r="O148" s="404"/>
      <c r="P148" s="402">
        <f t="shared" si="21"/>
        <v>0</v>
      </c>
      <c r="Q148" s="402">
        <f t="shared" si="22"/>
        <v>0</v>
      </c>
      <c r="R148" s="403" t="str">
        <f t="shared" si="23"/>
        <v/>
      </c>
      <c r="S148" s="399"/>
      <c r="T148" s="399"/>
      <c r="U148" s="399"/>
      <c r="V148" s="399"/>
      <c r="W148" s="398" t="str">
        <f t="shared" si="24"/>
        <v>Blank</v>
      </c>
    </row>
    <row r="149" spans="1:23">
      <c r="A149" s="398" t="str">
        <f t="shared" si="20"/>
        <v/>
      </c>
      <c r="B149" s="399"/>
      <c r="C149" s="398" t="str">
        <f>IFERROR(INDEX(DATA_PROPERTY_MASTER!$B:$B,MATCH($B149,DATA_PROPERTY_MASTER!$A:$A,0)),"")</f>
        <v/>
      </c>
      <c r="D149" s="399"/>
      <c r="E149" s="399"/>
      <c r="F149" s="399"/>
      <c r="G149" s="399"/>
      <c r="H149" s="399"/>
      <c r="I149" s="399"/>
      <c r="J149" s="399"/>
      <c r="K149" s="401"/>
      <c r="L149" s="401"/>
      <c r="M149" s="401"/>
      <c r="N149" s="401"/>
      <c r="O149" s="404"/>
      <c r="P149" s="402">
        <f t="shared" si="21"/>
        <v>0</v>
      </c>
      <c r="Q149" s="402">
        <f t="shared" si="22"/>
        <v>0</v>
      </c>
      <c r="R149" s="403" t="str">
        <f t="shared" si="23"/>
        <v/>
      </c>
      <c r="S149" s="399"/>
      <c r="T149" s="399"/>
      <c r="U149" s="399"/>
      <c r="V149" s="399"/>
      <c r="W149" s="398" t="str">
        <f t="shared" si="24"/>
        <v>Blank</v>
      </c>
    </row>
    <row r="150" spans="1:23">
      <c r="A150" s="398" t="str">
        <f t="shared" si="20"/>
        <v/>
      </c>
      <c r="B150" s="399"/>
      <c r="C150" s="398" t="str">
        <f>IFERROR(INDEX(DATA_PROPERTY_MASTER!$B:$B,MATCH($B150,DATA_PROPERTY_MASTER!$A:$A,0)),"")</f>
        <v/>
      </c>
      <c r="D150" s="399"/>
      <c r="E150" s="399"/>
      <c r="F150" s="399"/>
      <c r="G150" s="399"/>
      <c r="H150" s="399"/>
      <c r="I150" s="399"/>
      <c r="J150" s="399"/>
      <c r="K150" s="401"/>
      <c r="L150" s="401"/>
      <c r="M150" s="401"/>
      <c r="N150" s="401"/>
      <c r="O150" s="404"/>
      <c r="P150" s="402">
        <f t="shared" si="21"/>
        <v>0</v>
      </c>
      <c r="Q150" s="402">
        <f t="shared" si="22"/>
        <v>0</v>
      </c>
      <c r="R150" s="403" t="str">
        <f t="shared" si="23"/>
        <v/>
      </c>
      <c r="S150" s="399"/>
      <c r="T150" s="399"/>
      <c r="U150" s="399"/>
      <c r="V150" s="399"/>
      <c r="W150" s="398" t="str">
        <f t="shared" si="24"/>
        <v>Blank</v>
      </c>
    </row>
    <row r="151" spans="1:23">
      <c r="A151" s="398" t="str">
        <f t="shared" si="20"/>
        <v/>
      </c>
      <c r="B151" s="399"/>
      <c r="C151" s="398" t="str">
        <f>IFERROR(INDEX(DATA_PROPERTY_MASTER!$B:$B,MATCH($B151,DATA_PROPERTY_MASTER!$A:$A,0)),"")</f>
        <v/>
      </c>
      <c r="D151" s="399"/>
      <c r="E151" s="399"/>
      <c r="F151" s="399"/>
      <c r="G151" s="399"/>
      <c r="H151" s="399"/>
      <c r="I151" s="399"/>
      <c r="J151" s="399"/>
      <c r="K151" s="401"/>
      <c r="L151" s="401"/>
      <c r="M151" s="401"/>
      <c r="N151" s="401"/>
      <c r="O151" s="404"/>
      <c r="P151" s="402">
        <f t="shared" si="21"/>
        <v>0</v>
      </c>
      <c r="Q151" s="402">
        <f t="shared" si="22"/>
        <v>0</v>
      </c>
      <c r="R151" s="403" t="str">
        <f t="shared" si="23"/>
        <v/>
      </c>
      <c r="S151" s="399"/>
      <c r="T151" s="399"/>
      <c r="U151" s="399"/>
      <c r="V151" s="399"/>
      <c r="W151" s="398" t="str">
        <f t="shared" si="24"/>
        <v>Blank</v>
      </c>
    </row>
    <row r="152" spans="1:23">
      <c r="A152" s="398" t="str">
        <f t="shared" si="20"/>
        <v/>
      </c>
      <c r="B152" s="399"/>
      <c r="C152" s="398" t="str">
        <f>IFERROR(INDEX(DATA_PROPERTY_MASTER!$B:$B,MATCH($B152,DATA_PROPERTY_MASTER!$A:$A,0)),"")</f>
        <v/>
      </c>
      <c r="D152" s="399"/>
      <c r="E152" s="399"/>
      <c r="F152" s="399"/>
      <c r="G152" s="399"/>
      <c r="H152" s="399"/>
      <c r="I152" s="399"/>
      <c r="J152" s="399"/>
      <c r="K152" s="401"/>
      <c r="L152" s="401"/>
      <c r="M152" s="401"/>
      <c r="N152" s="401"/>
      <c r="O152" s="404"/>
      <c r="P152" s="402">
        <f t="shared" si="21"/>
        <v>0</v>
      </c>
      <c r="Q152" s="402">
        <f t="shared" si="22"/>
        <v>0</v>
      </c>
      <c r="R152" s="403" t="str">
        <f t="shared" si="23"/>
        <v/>
      </c>
      <c r="S152" s="399"/>
      <c r="T152" s="399"/>
      <c r="U152" s="399"/>
      <c r="V152" s="399"/>
      <c r="W152" s="398" t="str">
        <f t="shared" si="24"/>
        <v>Blank</v>
      </c>
    </row>
    <row r="153" spans="1:23">
      <c r="A153" s="398" t="str">
        <f t="shared" si="20"/>
        <v/>
      </c>
      <c r="B153" s="399"/>
      <c r="C153" s="398" t="str">
        <f>IFERROR(INDEX(DATA_PROPERTY_MASTER!$B:$B,MATCH($B153,DATA_PROPERTY_MASTER!$A:$A,0)),"")</f>
        <v/>
      </c>
      <c r="D153" s="399"/>
      <c r="E153" s="399"/>
      <c r="F153" s="399"/>
      <c r="G153" s="399"/>
      <c r="H153" s="399"/>
      <c r="I153" s="399"/>
      <c r="J153" s="399"/>
      <c r="K153" s="401"/>
      <c r="L153" s="401"/>
      <c r="M153" s="401"/>
      <c r="N153" s="401"/>
      <c r="O153" s="404"/>
      <c r="P153" s="402">
        <f t="shared" si="21"/>
        <v>0</v>
      </c>
      <c r="Q153" s="402">
        <f t="shared" si="22"/>
        <v>0</v>
      </c>
      <c r="R153" s="403" t="str">
        <f t="shared" si="23"/>
        <v/>
      </c>
      <c r="S153" s="399"/>
      <c r="T153" s="399"/>
      <c r="U153" s="399"/>
      <c r="V153" s="399"/>
      <c r="W153" s="398" t="str">
        <f t="shared" si="24"/>
        <v>Blank</v>
      </c>
    </row>
    <row r="154" spans="1:23">
      <c r="A154" s="398" t="str">
        <f t="shared" si="20"/>
        <v/>
      </c>
      <c r="B154" s="399"/>
      <c r="C154" s="398" t="str">
        <f>IFERROR(INDEX(DATA_PROPERTY_MASTER!$B:$B,MATCH($B154,DATA_PROPERTY_MASTER!$A:$A,0)),"")</f>
        <v/>
      </c>
      <c r="D154" s="399"/>
      <c r="E154" s="399"/>
      <c r="F154" s="399"/>
      <c r="G154" s="399"/>
      <c r="H154" s="399"/>
      <c r="I154" s="399"/>
      <c r="J154" s="399"/>
      <c r="K154" s="401"/>
      <c r="L154" s="401"/>
      <c r="M154" s="401"/>
      <c r="N154" s="401"/>
      <c r="O154" s="404"/>
      <c r="P154" s="402">
        <f t="shared" si="21"/>
        <v>0</v>
      </c>
      <c r="Q154" s="402">
        <f t="shared" si="22"/>
        <v>0</v>
      </c>
      <c r="R154" s="403" t="str">
        <f t="shared" si="23"/>
        <v/>
      </c>
      <c r="S154" s="399"/>
      <c r="T154" s="399"/>
      <c r="U154" s="399"/>
      <c r="V154" s="399"/>
      <c r="W154" s="398" t="str">
        <f t="shared" si="24"/>
        <v>Blank</v>
      </c>
    </row>
    <row r="155" spans="1:23">
      <c r="A155" s="398" t="str">
        <f t="shared" si="20"/>
        <v/>
      </c>
      <c r="B155" s="399"/>
      <c r="C155" s="398" t="str">
        <f>IFERROR(INDEX(DATA_PROPERTY_MASTER!$B:$B,MATCH($B155,DATA_PROPERTY_MASTER!$A:$A,0)),"")</f>
        <v/>
      </c>
      <c r="D155" s="399"/>
      <c r="E155" s="399"/>
      <c r="F155" s="399"/>
      <c r="G155" s="399"/>
      <c r="H155" s="399"/>
      <c r="I155" s="399"/>
      <c r="J155" s="399"/>
      <c r="K155" s="401"/>
      <c r="L155" s="401"/>
      <c r="M155" s="401"/>
      <c r="N155" s="401"/>
      <c r="O155" s="404"/>
      <c r="P155" s="402">
        <f t="shared" si="21"/>
        <v>0</v>
      </c>
      <c r="Q155" s="402">
        <f t="shared" si="22"/>
        <v>0</v>
      </c>
      <c r="R155" s="403" t="str">
        <f t="shared" si="23"/>
        <v/>
      </c>
      <c r="S155" s="399"/>
      <c r="T155" s="399"/>
      <c r="U155" s="399"/>
      <c r="V155" s="399"/>
      <c r="W155" s="398" t="str">
        <f t="shared" si="24"/>
        <v>Blank</v>
      </c>
    </row>
    <row r="156" spans="1:23">
      <c r="A156" s="398" t="str">
        <f t="shared" si="20"/>
        <v/>
      </c>
      <c r="B156" s="399"/>
      <c r="C156" s="398" t="str">
        <f>IFERROR(INDEX(DATA_PROPERTY_MASTER!$B:$B,MATCH($B156,DATA_PROPERTY_MASTER!$A:$A,0)),"")</f>
        <v/>
      </c>
      <c r="D156" s="399"/>
      <c r="E156" s="399"/>
      <c r="F156" s="399"/>
      <c r="G156" s="399"/>
      <c r="H156" s="399"/>
      <c r="I156" s="399"/>
      <c r="J156" s="399"/>
      <c r="K156" s="401"/>
      <c r="L156" s="401"/>
      <c r="M156" s="401"/>
      <c r="N156" s="401"/>
      <c r="O156" s="404"/>
      <c r="P156" s="402">
        <f t="shared" si="21"/>
        <v>0</v>
      </c>
      <c r="Q156" s="402">
        <f t="shared" si="22"/>
        <v>0</v>
      </c>
      <c r="R156" s="403" t="str">
        <f t="shared" si="23"/>
        <v/>
      </c>
      <c r="S156" s="399"/>
      <c r="T156" s="399"/>
      <c r="U156" s="399"/>
      <c r="V156" s="399"/>
      <c r="W156" s="398" t="str">
        <f t="shared" si="24"/>
        <v>Blank</v>
      </c>
    </row>
    <row r="157" spans="1:23">
      <c r="A157" s="398" t="str">
        <f t="shared" si="20"/>
        <v/>
      </c>
      <c r="B157" s="399"/>
      <c r="C157" s="398" t="str">
        <f>IFERROR(INDEX(DATA_PROPERTY_MASTER!$B:$B,MATCH($B157,DATA_PROPERTY_MASTER!$A:$A,0)),"")</f>
        <v/>
      </c>
      <c r="D157" s="399"/>
      <c r="E157" s="399"/>
      <c r="F157" s="399"/>
      <c r="G157" s="399"/>
      <c r="H157" s="399"/>
      <c r="I157" s="399"/>
      <c r="J157" s="399"/>
      <c r="K157" s="401"/>
      <c r="L157" s="401"/>
      <c r="M157" s="401"/>
      <c r="N157" s="401"/>
      <c r="O157" s="404"/>
      <c r="P157" s="402">
        <f t="shared" si="21"/>
        <v>0</v>
      </c>
      <c r="Q157" s="402">
        <f t="shared" si="22"/>
        <v>0</v>
      </c>
      <c r="R157" s="403" t="str">
        <f t="shared" si="23"/>
        <v/>
      </c>
      <c r="S157" s="399"/>
      <c r="T157" s="399"/>
      <c r="U157" s="399"/>
      <c r="V157" s="399"/>
      <c r="W157" s="398" t="str">
        <f t="shared" si="24"/>
        <v>Blank</v>
      </c>
    </row>
    <row r="158" spans="1:23">
      <c r="A158" s="398" t="str">
        <f t="shared" si="20"/>
        <v/>
      </c>
      <c r="B158" s="399"/>
      <c r="C158" s="398" t="str">
        <f>IFERROR(INDEX(DATA_PROPERTY_MASTER!$B:$B,MATCH($B158,DATA_PROPERTY_MASTER!$A:$A,0)),"")</f>
        <v/>
      </c>
      <c r="D158" s="399"/>
      <c r="E158" s="399"/>
      <c r="F158" s="399"/>
      <c r="G158" s="399"/>
      <c r="H158" s="399"/>
      <c r="I158" s="399"/>
      <c r="J158" s="399"/>
      <c r="K158" s="401"/>
      <c r="L158" s="401"/>
      <c r="M158" s="401"/>
      <c r="N158" s="401"/>
      <c r="O158" s="404"/>
      <c r="P158" s="402">
        <f t="shared" si="21"/>
        <v>0</v>
      </c>
      <c r="Q158" s="402">
        <f t="shared" si="22"/>
        <v>0</v>
      </c>
      <c r="R158" s="403" t="str">
        <f t="shared" si="23"/>
        <v/>
      </c>
      <c r="S158" s="399"/>
      <c r="T158" s="399"/>
      <c r="U158" s="399"/>
      <c r="V158" s="399"/>
      <c r="W158" s="398" t="str">
        <f t="shared" si="24"/>
        <v>Blank</v>
      </c>
    </row>
    <row r="159" spans="1:23">
      <c r="A159" s="398" t="str">
        <f t="shared" si="20"/>
        <v/>
      </c>
      <c r="B159" s="399"/>
      <c r="C159" s="398" t="str">
        <f>IFERROR(INDEX(DATA_PROPERTY_MASTER!$B:$B,MATCH($B159,DATA_PROPERTY_MASTER!$A:$A,0)),"")</f>
        <v/>
      </c>
      <c r="D159" s="399"/>
      <c r="E159" s="399"/>
      <c r="F159" s="399"/>
      <c r="G159" s="399"/>
      <c r="H159" s="399"/>
      <c r="I159" s="399"/>
      <c r="J159" s="399"/>
      <c r="K159" s="401"/>
      <c r="L159" s="401"/>
      <c r="M159" s="401"/>
      <c r="N159" s="401"/>
      <c r="O159" s="404"/>
      <c r="P159" s="402">
        <f t="shared" si="21"/>
        <v>0</v>
      </c>
      <c r="Q159" s="402">
        <f t="shared" si="22"/>
        <v>0</v>
      </c>
      <c r="R159" s="403" t="str">
        <f t="shared" si="23"/>
        <v/>
      </c>
      <c r="S159" s="399"/>
      <c r="T159" s="399"/>
      <c r="U159" s="399"/>
      <c r="V159" s="399"/>
      <c r="W159" s="398" t="str">
        <f t="shared" si="24"/>
        <v>Blank</v>
      </c>
    </row>
    <row r="160" spans="1:23">
      <c r="A160" s="398" t="str">
        <f t="shared" si="20"/>
        <v/>
      </c>
      <c r="B160" s="399"/>
      <c r="C160" s="398" t="str">
        <f>IFERROR(INDEX(DATA_PROPERTY_MASTER!$B:$B,MATCH($B160,DATA_PROPERTY_MASTER!$A:$A,0)),"")</f>
        <v/>
      </c>
      <c r="D160" s="399"/>
      <c r="E160" s="399"/>
      <c r="F160" s="399"/>
      <c r="G160" s="399"/>
      <c r="H160" s="399"/>
      <c r="I160" s="399"/>
      <c r="J160" s="399"/>
      <c r="K160" s="401"/>
      <c r="L160" s="401"/>
      <c r="M160" s="401"/>
      <c r="N160" s="401"/>
      <c r="O160" s="404"/>
      <c r="P160" s="402">
        <f t="shared" si="21"/>
        <v>0</v>
      </c>
      <c r="Q160" s="402">
        <f t="shared" si="22"/>
        <v>0</v>
      </c>
      <c r="R160" s="403" t="str">
        <f t="shared" si="23"/>
        <v/>
      </c>
      <c r="S160" s="399"/>
      <c r="T160" s="399"/>
      <c r="U160" s="399"/>
      <c r="V160" s="399"/>
      <c r="W160" s="398" t="str">
        <f t="shared" si="24"/>
        <v>Blank</v>
      </c>
    </row>
    <row r="161" spans="1:23">
      <c r="A161" s="398" t="str">
        <f t="shared" si="20"/>
        <v/>
      </c>
      <c r="B161" s="399"/>
      <c r="C161" s="398" t="str">
        <f>IFERROR(INDEX(DATA_PROPERTY_MASTER!$B:$B,MATCH($B161,DATA_PROPERTY_MASTER!$A:$A,0)),"")</f>
        <v/>
      </c>
      <c r="D161" s="399"/>
      <c r="E161" s="399"/>
      <c r="F161" s="399"/>
      <c r="G161" s="399"/>
      <c r="H161" s="399"/>
      <c r="I161" s="399"/>
      <c r="J161" s="399"/>
      <c r="K161" s="401"/>
      <c r="L161" s="401"/>
      <c r="M161" s="401"/>
      <c r="N161" s="401"/>
      <c r="O161" s="404"/>
      <c r="P161" s="402">
        <f t="shared" si="21"/>
        <v>0</v>
      </c>
      <c r="Q161" s="402">
        <f t="shared" si="22"/>
        <v>0</v>
      </c>
      <c r="R161" s="403" t="str">
        <f t="shared" si="23"/>
        <v/>
      </c>
      <c r="S161" s="399"/>
      <c r="T161" s="399"/>
      <c r="U161" s="399"/>
      <c r="V161" s="399"/>
      <c r="W161" s="398" t="str">
        <f t="shared" si="24"/>
        <v>Blank</v>
      </c>
    </row>
    <row r="162" spans="1:23">
      <c r="A162" s="398" t="str">
        <f t="shared" si="20"/>
        <v/>
      </c>
      <c r="B162" s="399"/>
      <c r="C162" s="398" t="str">
        <f>IFERROR(INDEX(DATA_PROPERTY_MASTER!$B:$B,MATCH($B162,DATA_PROPERTY_MASTER!$A:$A,0)),"")</f>
        <v/>
      </c>
      <c r="D162" s="399"/>
      <c r="E162" s="399"/>
      <c r="F162" s="399"/>
      <c r="G162" s="399"/>
      <c r="H162" s="399"/>
      <c r="I162" s="399"/>
      <c r="J162" s="399"/>
      <c r="K162" s="401"/>
      <c r="L162" s="401"/>
      <c r="M162" s="401"/>
      <c r="N162" s="401"/>
      <c r="O162" s="404"/>
      <c r="P162" s="402">
        <f t="shared" si="21"/>
        <v>0</v>
      </c>
      <c r="Q162" s="402">
        <f t="shared" si="22"/>
        <v>0</v>
      </c>
      <c r="R162" s="403" t="str">
        <f t="shared" si="23"/>
        <v/>
      </c>
      <c r="S162" s="399"/>
      <c r="T162" s="399"/>
      <c r="U162" s="399"/>
      <c r="V162" s="399"/>
      <c r="W162" s="398" t="str">
        <f t="shared" si="24"/>
        <v>Blank</v>
      </c>
    </row>
    <row r="163" spans="1:23">
      <c r="A163" s="398" t="str">
        <f t="shared" si="20"/>
        <v/>
      </c>
      <c r="B163" s="399"/>
      <c r="C163" s="398" t="str">
        <f>IFERROR(INDEX(DATA_PROPERTY_MASTER!$B:$B,MATCH($B163,DATA_PROPERTY_MASTER!$A:$A,0)),"")</f>
        <v/>
      </c>
      <c r="D163" s="399"/>
      <c r="E163" s="399"/>
      <c r="F163" s="399"/>
      <c r="G163" s="399"/>
      <c r="H163" s="399"/>
      <c r="I163" s="399"/>
      <c r="J163" s="399"/>
      <c r="K163" s="401"/>
      <c r="L163" s="401"/>
      <c r="M163" s="401"/>
      <c r="N163" s="401"/>
      <c r="O163" s="404"/>
      <c r="P163" s="402">
        <f t="shared" si="21"/>
        <v>0</v>
      </c>
      <c r="Q163" s="402">
        <f t="shared" si="22"/>
        <v>0</v>
      </c>
      <c r="R163" s="403" t="str">
        <f t="shared" si="23"/>
        <v/>
      </c>
      <c r="S163" s="399"/>
      <c r="T163" s="399"/>
      <c r="U163" s="399"/>
      <c r="V163" s="399"/>
      <c r="W163" s="398" t="str">
        <f t="shared" si="24"/>
        <v>Blank</v>
      </c>
    </row>
    <row r="164" spans="1:23">
      <c r="A164" s="398" t="str">
        <f t="shared" si="20"/>
        <v/>
      </c>
      <c r="B164" s="399"/>
      <c r="C164" s="398" t="str">
        <f>IFERROR(INDEX(DATA_PROPERTY_MASTER!$B:$B,MATCH($B164,DATA_PROPERTY_MASTER!$A:$A,0)),"")</f>
        <v/>
      </c>
      <c r="D164" s="399"/>
      <c r="E164" s="399"/>
      <c r="F164" s="399"/>
      <c r="G164" s="399"/>
      <c r="H164" s="399"/>
      <c r="I164" s="399"/>
      <c r="J164" s="399"/>
      <c r="K164" s="401"/>
      <c r="L164" s="401"/>
      <c r="M164" s="401"/>
      <c r="N164" s="401"/>
      <c r="O164" s="404"/>
      <c r="P164" s="402">
        <f t="shared" si="21"/>
        <v>0</v>
      </c>
      <c r="Q164" s="402">
        <f t="shared" si="22"/>
        <v>0</v>
      </c>
      <c r="R164" s="403" t="str">
        <f t="shared" si="23"/>
        <v/>
      </c>
      <c r="S164" s="399"/>
      <c r="T164" s="399"/>
      <c r="U164" s="399"/>
      <c r="V164" s="399"/>
      <c r="W164" s="398" t="str">
        <f t="shared" si="24"/>
        <v>Blank</v>
      </c>
    </row>
    <row r="165" spans="1:23">
      <c r="A165" s="398" t="str">
        <f t="shared" si="20"/>
        <v/>
      </c>
      <c r="B165" s="399"/>
      <c r="C165" s="398" t="str">
        <f>IFERROR(INDEX(DATA_PROPERTY_MASTER!$B:$B,MATCH($B165,DATA_PROPERTY_MASTER!$A:$A,0)),"")</f>
        <v/>
      </c>
      <c r="D165" s="399"/>
      <c r="E165" s="399"/>
      <c r="F165" s="399"/>
      <c r="G165" s="399"/>
      <c r="H165" s="399"/>
      <c r="I165" s="399"/>
      <c r="J165" s="399"/>
      <c r="K165" s="401"/>
      <c r="L165" s="401"/>
      <c r="M165" s="401"/>
      <c r="N165" s="401"/>
      <c r="O165" s="404"/>
      <c r="P165" s="402">
        <f t="shared" si="21"/>
        <v>0</v>
      </c>
      <c r="Q165" s="402">
        <f t="shared" si="22"/>
        <v>0</v>
      </c>
      <c r="R165" s="403" t="str">
        <f t="shared" si="23"/>
        <v/>
      </c>
      <c r="S165" s="399"/>
      <c r="T165" s="399"/>
      <c r="U165" s="399"/>
      <c r="V165" s="399"/>
      <c r="W165" s="398" t="str">
        <f t="shared" si="24"/>
        <v>Blank</v>
      </c>
    </row>
    <row r="166" spans="1:23">
      <c r="A166" s="398" t="str">
        <f t="shared" si="20"/>
        <v/>
      </c>
      <c r="B166" s="399"/>
      <c r="C166" s="398" t="str">
        <f>IFERROR(INDEX(DATA_PROPERTY_MASTER!$B:$B,MATCH($B166,DATA_PROPERTY_MASTER!$A:$A,0)),"")</f>
        <v/>
      </c>
      <c r="D166" s="399"/>
      <c r="E166" s="399"/>
      <c r="F166" s="399"/>
      <c r="G166" s="399"/>
      <c r="H166" s="399"/>
      <c r="I166" s="399"/>
      <c r="J166" s="399"/>
      <c r="K166" s="401"/>
      <c r="L166" s="401"/>
      <c r="M166" s="401"/>
      <c r="N166" s="401"/>
      <c r="O166" s="404"/>
      <c r="P166" s="402">
        <f t="shared" si="21"/>
        <v>0</v>
      </c>
      <c r="Q166" s="402">
        <f t="shared" si="22"/>
        <v>0</v>
      </c>
      <c r="R166" s="403" t="str">
        <f t="shared" si="23"/>
        <v/>
      </c>
      <c r="S166" s="399"/>
      <c r="T166" s="399"/>
      <c r="U166" s="399"/>
      <c r="V166" s="399"/>
      <c r="W166" s="398" t="str">
        <f t="shared" si="24"/>
        <v>Blank</v>
      </c>
    </row>
    <row r="167" spans="1:23">
      <c r="A167" s="398" t="str">
        <f t="shared" ref="A167:A198" si="25">IF($B167="","","RR-"&amp;TEXT(ROW()-6,"0000"))</f>
        <v/>
      </c>
      <c r="B167" s="399"/>
      <c r="C167" s="398" t="str">
        <f>IFERROR(INDEX(DATA_PROPERTY_MASTER!$B:$B,MATCH($B167,DATA_PROPERTY_MASTER!$A:$A,0)),"")</f>
        <v/>
      </c>
      <c r="D167" s="399"/>
      <c r="E167" s="399"/>
      <c r="F167" s="399"/>
      <c r="G167" s="399"/>
      <c r="H167" s="399"/>
      <c r="I167" s="399"/>
      <c r="J167" s="399"/>
      <c r="K167" s="401"/>
      <c r="L167" s="401"/>
      <c r="M167" s="401"/>
      <c r="N167" s="401"/>
      <c r="O167" s="404"/>
      <c r="P167" s="402">
        <f t="shared" ref="P167:P198" si="26">IFERROR($H167*$K167*12,"")</f>
        <v>0</v>
      </c>
      <c r="Q167" s="402">
        <f t="shared" ref="Q167:Q198" si="27">IFERROR($H167*$L167*12,"")</f>
        <v>0</v>
      </c>
      <c r="R167" s="403" t="str">
        <f t="shared" ref="R167:R198" si="28">IFERROR(IF($L167&gt;0,1-($K167/$L167),""),"")</f>
        <v/>
      </c>
      <c r="S167" s="399"/>
      <c r="T167" s="399"/>
      <c r="U167" s="399"/>
      <c r="V167" s="399"/>
      <c r="W167" s="398" t="str">
        <f t="shared" ref="W167:W198" si="29">IF($B167="","Blank",IF(OR($K167="",$H167=""),"Review","OK"))</f>
        <v>Blank</v>
      </c>
    </row>
    <row r="168" spans="1:23">
      <c r="A168" s="398" t="str">
        <f t="shared" si="25"/>
        <v/>
      </c>
      <c r="B168" s="399"/>
      <c r="C168" s="398" t="str">
        <f>IFERROR(INDEX(DATA_PROPERTY_MASTER!$B:$B,MATCH($B168,DATA_PROPERTY_MASTER!$A:$A,0)),"")</f>
        <v/>
      </c>
      <c r="D168" s="399"/>
      <c r="E168" s="399"/>
      <c r="F168" s="399"/>
      <c r="G168" s="399"/>
      <c r="H168" s="399"/>
      <c r="I168" s="399"/>
      <c r="J168" s="399"/>
      <c r="K168" s="401"/>
      <c r="L168" s="401"/>
      <c r="M168" s="401"/>
      <c r="N168" s="401"/>
      <c r="O168" s="404"/>
      <c r="P168" s="402">
        <f t="shared" si="26"/>
        <v>0</v>
      </c>
      <c r="Q168" s="402">
        <f t="shared" si="27"/>
        <v>0</v>
      </c>
      <c r="R168" s="403" t="str">
        <f t="shared" si="28"/>
        <v/>
      </c>
      <c r="S168" s="399"/>
      <c r="T168" s="399"/>
      <c r="U168" s="399"/>
      <c r="V168" s="399"/>
      <c r="W168" s="398" t="str">
        <f t="shared" si="29"/>
        <v>Blank</v>
      </c>
    </row>
    <row r="169" spans="1:23">
      <c r="A169" s="398" t="str">
        <f t="shared" si="25"/>
        <v/>
      </c>
      <c r="B169" s="399"/>
      <c r="C169" s="398" t="str">
        <f>IFERROR(INDEX(DATA_PROPERTY_MASTER!$B:$B,MATCH($B169,DATA_PROPERTY_MASTER!$A:$A,0)),"")</f>
        <v/>
      </c>
      <c r="D169" s="399"/>
      <c r="E169" s="399"/>
      <c r="F169" s="399"/>
      <c r="G169" s="399"/>
      <c r="H169" s="399"/>
      <c r="I169" s="399"/>
      <c r="J169" s="399"/>
      <c r="K169" s="401"/>
      <c r="L169" s="401"/>
      <c r="M169" s="401"/>
      <c r="N169" s="401"/>
      <c r="O169" s="404"/>
      <c r="P169" s="402">
        <f t="shared" si="26"/>
        <v>0</v>
      </c>
      <c r="Q169" s="402">
        <f t="shared" si="27"/>
        <v>0</v>
      </c>
      <c r="R169" s="403" t="str">
        <f t="shared" si="28"/>
        <v/>
      </c>
      <c r="S169" s="399"/>
      <c r="T169" s="399"/>
      <c r="U169" s="399"/>
      <c r="V169" s="399"/>
      <c r="W169" s="398" t="str">
        <f t="shared" si="29"/>
        <v>Blank</v>
      </c>
    </row>
    <row r="170" spans="1:23">
      <c r="A170" s="398" t="str">
        <f t="shared" si="25"/>
        <v/>
      </c>
      <c r="B170" s="399"/>
      <c r="C170" s="398" t="str">
        <f>IFERROR(INDEX(DATA_PROPERTY_MASTER!$B:$B,MATCH($B170,DATA_PROPERTY_MASTER!$A:$A,0)),"")</f>
        <v/>
      </c>
      <c r="D170" s="399"/>
      <c r="E170" s="399"/>
      <c r="F170" s="399"/>
      <c r="G170" s="399"/>
      <c r="H170" s="399"/>
      <c r="I170" s="399"/>
      <c r="J170" s="399"/>
      <c r="K170" s="401"/>
      <c r="L170" s="401"/>
      <c r="M170" s="401"/>
      <c r="N170" s="401"/>
      <c r="O170" s="404"/>
      <c r="P170" s="402">
        <f t="shared" si="26"/>
        <v>0</v>
      </c>
      <c r="Q170" s="402">
        <f t="shared" si="27"/>
        <v>0</v>
      </c>
      <c r="R170" s="403" t="str">
        <f t="shared" si="28"/>
        <v/>
      </c>
      <c r="S170" s="399"/>
      <c r="T170" s="399"/>
      <c r="U170" s="399"/>
      <c r="V170" s="399"/>
      <c r="W170" s="398" t="str">
        <f t="shared" si="29"/>
        <v>Blank</v>
      </c>
    </row>
    <row r="171" spans="1:23">
      <c r="A171" s="398" t="str">
        <f t="shared" si="25"/>
        <v/>
      </c>
      <c r="B171" s="399"/>
      <c r="C171" s="398" t="str">
        <f>IFERROR(INDEX(DATA_PROPERTY_MASTER!$B:$B,MATCH($B171,DATA_PROPERTY_MASTER!$A:$A,0)),"")</f>
        <v/>
      </c>
      <c r="D171" s="399"/>
      <c r="E171" s="399"/>
      <c r="F171" s="399"/>
      <c r="G171" s="399"/>
      <c r="H171" s="399"/>
      <c r="I171" s="399"/>
      <c r="J171" s="399"/>
      <c r="K171" s="401"/>
      <c r="L171" s="401"/>
      <c r="M171" s="401"/>
      <c r="N171" s="401"/>
      <c r="O171" s="404"/>
      <c r="P171" s="402">
        <f t="shared" si="26"/>
        <v>0</v>
      </c>
      <c r="Q171" s="402">
        <f t="shared" si="27"/>
        <v>0</v>
      </c>
      <c r="R171" s="403" t="str">
        <f t="shared" si="28"/>
        <v/>
      </c>
      <c r="S171" s="399"/>
      <c r="T171" s="399"/>
      <c r="U171" s="399"/>
      <c r="V171" s="399"/>
      <c r="W171" s="398" t="str">
        <f t="shared" si="29"/>
        <v>Blank</v>
      </c>
    </row>
    <row r="172" spans="1:23">
      <c r="A172" s="398" t="str">
        <f t="shared" si="25"/>
        <v/>
      </c>
      <c r="B172" s="399"/>
      <c r="C172" s="398" t="str">
        <f>IFERROR(INDEX(DATA_PROPERTY_MASTER!$B:$B,MATCH($B172,DATA_PROPERTY_MASTER!$A:$A,0)),"")</f>
        <v/>
      </c>
      <c r="D172" s="399"/>
      <c r="E172" s="399"/>
      <c r="F172" s="399"/>
      <c r="G172" s="399"/>
      <c r="H172" s="399"/>
      <c r="I172" s="399"/>
      <c r="J172" s="399"/>
      <c r="K172" s="401"/>
      <c r="L172" s="401"/>
      <c r="M172" s="401"/>
      <c r="N172" s="401"/>
      <c r="O172" s="404"/>
      <c r="P172" s="402">
        <f t="shared" si="26"/>
        <v>0</v>
      </c>
      <c r="Q172" s="402">
        <f t="shared" si="27"/>
        <v>0</v>
      </c>
      <c r="R172" s="403" t="str">
        <f t="shared" si="28"/>
        <v/>
      </c>
      <c r="S172" s="399"/>
      <c r="T172" s="399"/>
      <c r="U172" s="399"/>
      <c r="V172" s="399"/>
      <c r="W172" s="398" t="str">
        <f t="shared" si="29"/>
        <v>Blank</v>
      </c>
    </row>
    <row r="173" spans="1:23">
      <c r="A173" s="398" t="str">
        <f t="shared" si="25"/>
        <v/>
      </c>
      <c r="B173" s="399"/>
      <c r="C173" s="398" t="str">
        <f>IFERROR(INDEX(DATA_PROPERTY_MASTER!$B:$B,MATCH($B173,DATA_PROPERTY_MASTER!$A:$A,0)),"")</f>
        <v/>
      </c>
      <c r="D173" s="399"/>
      <c r="E173" s="399"/>
      <c r="F173" s="399"/>
      <c r="G173" s="399"/>
      <c r="H173" s="399"/>
      <c r="I173" s="399"/>
      <c r="J173" s="399"/>
      <c r="K173" s="401"/>
      <c r="L173" s="401"/>
      <c r="M173" s="401"/>
      <c r="N173" s="401"/>
      <c r="O173" s="404"/>
      <c r="P173" s="402">
        <f t="shared" si="26"/>
        <v>0</v>
      </c>
      <c r="Q173" s="402">
        <f t="shared" si="27"/>
        <v>0</v>
      </c>
      <c r="R173" s="403" t="str">
        <f t="shared" si="28"/>
        <v/>
      </c>
      <c r="S173" s="399"/>
      <c r="T173" s="399"/>
      <c r="U173" s="399"/>
      <c r="V173" s="399"/>
      <c r="W173" s="398" t="str">
        <f t="shared" si="29"/>
        <v>Blank</v>
      </c>
    </row>
    <row r="174" spans="1:23">
      <c r="A174" s="398" t="str">
        <f t="shared" si="25"/>
        <v/>
      </c>
      <c r="B174" s="399"/>
      <c r="C174" s="398" t="str">
        <f>IFERROR(INDEX(DATA_PROPERTY_MASTER!$B:$B,MATCH($B174,DATA_PROPERTY_MASTER!$A:$A,0)),"")</f>
        <v/>
      </c>
      <c r="D174" s="399"/>
      <c r="E174" s="399"/>
      <c r="F174" s="399"/>
      <c r="G174" s="399"/>
      <c r="H174" s="399"/>
      <c r="I174" s="399"/>
      <c r="J174" s="399"/>
      <c r="K174" s="401"/>
      <c r="L174" s="401"/>
      <c r="M174" s="401"/>
      <c r="N174" s="401"/>
      <c r="O174" s="404"/>
      <c r="P174" s="402">
        <f t="shared" si="26"/>
        <v>0</v>
      </c>
      <c r="Q174" s="402">
        <f t="shared" si="27"/>
        <v>0</v>
      </c>
      <c r="R174" s="403" t="str">
        <f t="shared" si="28"/>
        <v/>
      </c>
      <c r="S174" s="399"/>
      <c r="T174" s="399"/>
      <c r="U174" s="399"/>
      <c r="V174" s="399"/>
      <c r="W174" s="398" t="str">
        <f t="shared" si="29"/>
        <v>Blank</v>
      </c>
    </row>
    <row r="175" spans="1:23">
      <c r="A175" s="398" t="str">
        <f t="shared" si="25"/>
        <v/>
      </c>
      <c r="B175" s="399"/>
      <c r="C175" s="398" t="str">
        <f>IFERROR(INDEX(DATA_PROPERTY_MASTER!$B:$B,MATCH($B175,DATA_PROPERTY_MASTER!$A:$A,0)),"")</f>
        <v/>
      </c>
      <c r="D175" s="399"/>
      <c r="E175" s="399"/>
      <c r="F175" s="399"/>
      <c r="G175" s="399"/>
      <c r="H175" s="399"/>
      <c r="I175" s="399"/>
      <c r="J175" s="399"/>
      <c r="K175" s="401"/>
      <c r="L175" s="401"/>
      <c r="M175" s="401"/>
      <c r="N175" s="401"/>
      <c r="O175" s="404"/>
      <c r="P175" s="402">
        <f t="shared" si="26"/>
        <v>0</v>
      </c>
      <c r="Q175" s="402">
        <f t="shared" si="27"/>
        <v>0</v>
      </c>
      <c r="R175" s="403" t="str">
        <f t="shared" si="28"/>
        <v/>
      </c>
      <c r="S175" s="399"/>
      <c r="T175" s="399"/>
      <c r="U175" s="399"/>
      <c r="V175" s="399"/>
      <c r="W175" s="398" t="str">
        <f t="shared" si="29"/>
        <v>Blank</v>
      </c>
    </row>
    <row r="176" spans="1:23">
      <c r="A176" s="398" t="str">
        <f t="shared" si="25"/>
        <v/>
      </c>
      <c r="B176" s="399"/>
      <c r="C176" s="398" t="str">
        <f>IFERROR(INDEX(DATA_PROPERTY_MASTER!$B:$B,MATCH($B176,DATA_PROPERTY_MASTER!$A:$A,0)),"")</f>
        <v/>
      </c>
      <c r="D176" s="399"/>
      <c r="E176" s="399"/>
      <c r="F176" s="399"/>
      <c r="G176" s="399"/>
      <c r="H176" s="399"/>
      <c r="I176" s="399"/>
      <c r="J176" s="399"/>
      <c r="K176" s="401"/>
      <c r="L176" s="401"/>
      <c r="M176" s="401"/>
      <c r="N176" s="401"/>
      <c r="O176" s="404"/>
      <c r="P176" s="402">
        <f t="shared" si="26"/>
        <v>0</v>
      </c>
      <c r="Q176" s="402">
        <f t="shared" si="27"/>
        <v>0</v>
      </c>
      <c r="R176" s="403" t="str">
        <f t="shared" si="28"/>
        <v/>
      </c>
      <c r="S176" s="399"/>
      <c r="T176" s="399"/>
      <c r="U176" s="399"/>
      <c r="V176" s="399"/>
      <c r="W176" s="398" t="str">
        <f t="shared" si="29"/>
        <v>Blank</v>
      </c>
    </row>
    <row r="177" spans="1:23">
      <c r="A177" s="398" t="str">
        <f t="shared" si="25"/>
        <v/>
      </c>
      <c r="B177" s="399"/>
      <c r="C177" s="398" t="str">
        <f>IFERROR(INDEX(DATA_PROPERTY_MASTER!$B:$B,MATCH($B177,DATA_PROPERTY_MASTER!$A:$A,0)),"")</f>
        <v/>
      </c>
      <c r="D177" s="399"/>
      <c r="E177" s="399"/>
      <c r="F177" s="399"/>
      <c r="G177" s="399"/>
      <c r="H177" s="399"/>
      <c r="I177" s="399"/>
      <c r="J177" s="399"/>
      <c r="K177" s="401"/>
      <c r="L177" s="401"/>
      <c r="M177" s="401"/>
      <c r="N177" s="401"/>
      <c r="O177" s="404"/>
      <c r="P177" s="402">
        <f t="shared" si="26"/>
        <v>0</v>
      </c>
      <c r="Q177" s="402">
        <f t="shared" si="27"/>
        <v>0</v>
      </c>
      <c r="R177" s="403" t="str">
        <f t="shared" si="28"/>
        <v/>
      </c>
      <c r="S177" s="399"/>
      <c r="T177" s="399"/>
      <c r="U177" s="399"/>
      <c r="V177" s="399"/>
      <c r="W177" s="398" t="str">
        <f t="shared" si="29"/>
        <v>Blank</v>
      </c>
    </row>
    <row r="178" spans="1:23">
      <c r="A178" s="398" t="str">
        <f t="shared" si="25"/>
        <v/>
      </c>
      <c r="B178" s="399"/>
      <c r="C178" s="398" t="str">
        <f>IFERROR(INDEX(DATA_PROPERTY_MASTER!$B:$B,MATCH($B178,DATA_PROPERTY_MASTER!$A:$A,0)),"")</f>
        <v/>
      </c>
      <c r="D178" s="399"/>
      <c r="E178" s="399"/>
      <c r="F178" s="399"/>
      <c r="G178" s="399"/>
      <c r="H178" s="399"/>
      <c r="I178" s="399"/>
      <c r="J178" s="399"/>
      <c r="K178" s="401"/>
      <c r="L178" s="401"/>
      <c r="M178" s="401"/>
      <c r="N178" s="401"/>
      <c r="O178" s="404"/>
      <c r="P178" s="402">
        <f t="shared" si="26"/>
        <v>0</v>
      </c>
      <c r="Q178" s="402">
        <f t="shared" si="27"/>
        <v>0</v>
      </c>
      <c r="R178" s="403" t="str">
        <f t="shared" si="28"/>
        <v/>
      </c>
      <c r="S178" s="399"/>
      <c r="T178" s="399"/>
      <c r="U178" s="399"/>
      <c r="V178" s="399"/>
      <c r="W178" s="398" t="str">
        <f t="shared" si="29"/>
        <v>Blank</v>
      </c>
    </row>
    <row r="179" spans="1:23">
      <c r="A179" s="398" t="str">
        <f t="shared" si="25"/>
        <v/>
      </c>
      <c r="B179" s="399"/>
      <c r="C179" s="398" t="str">
        <f>IFERROR(INDEX(DATA_PROPERTY_MASTER!$B:$B,MATCH($B179,DATA_PROPERTY_MASTER!$A:$A,0)),"")</f>
        <v/>
      </c>
      <c r="D179" s="399"/>
      <c r="E179" s="399"/>
      <c r="F179" s="399"/>
      <c r="G179" s="399"/>
      <c r="H179" s="399"/>
      <c r="I179" s="399"/>
      <c r="J179" s="399"/>
      <c r="K179" s="401"/>
      <c r="L179" s="401"/>
      <c r="M179" s="401"/>
      <c r="N179" s="401"/>
      <c r="O179" s="404"/>
      <c r="P179" s="402">
        <f t="shared" si="26"/>
        <v>0</v>
      </c>
      <c r="Q179" s="402">
        <f t="shared" si="27"/>
        <v>0</v>
      </c>
      <c r="R179" s="403" t="str">
        <f t="shared" si="28"/>
        <v/>
      </c>
      <c r="S179" s="399"/>
      <c r="T179" s="399"/>
      <c r="U179" s="399"/>
      <c r="V179" s="399"/>
      <c r="W179" s="398" t="str">
        <f t="shared" si="29"/>
        <v>Blank</v>
      </c>
    </row>
    <row r="180" spans="1:23">
      <c r="A180" s="398" t="str">
        <f t="shared" si="25"/>
        <v/>
      </c>
      <c r="B180" s="399"/>
      <c r="C180" s="398" t="str">
        <f>IFERROR(INDEX(DATA_PROPERTY_MASTER!$B:$B,MATCH($B180,DATA_PROPERTY_MASTER!$A:$A,0)),"")</f>
        <v/>
      </c>
      <c r="D180" s="399"/>
      <c r="E180" s="399"/>
      <c r="F180" s="399"/>
      <c r="G180" s="399"/>
      <c r="H180" s="399"/>
      <c r="I180" s="399"/>
      <c r="J180" s="399"/>
      <c r="K180" s="401"/>
      <c r="L180" s="401"/>
      <c r="M180" s="401"/>
      <c r="N180" s="401"/>
      <c r="O180" s="404"/>
      <c r="P180" s="402">
        <f t="shared" si="26"/>
        <v>0</v>
      </c>
      <c r="Q180" s="402">
        <f t="shared" si="27"/>
        <v>0</v>
      </c>
      <c r="R180" s="403" t="str">
        <f t="shared" si="28"/>
        <v/>
      </c>
      <c r="S180" s="399"/>
      <c r="T180" s="399"/>
      <c r="U180" s="399"/>
      <c r="V180" s="399"/>
      <c r="W180" s="398" t="str">
        <f t="shared" si="29"/>
        <v>Blank</v>
      </c>
    </row>
    <row r="181" spans="1:23">
      <c r="A181" s="398" t="str">
        <f t="shared" si="25"/>
        <v/>
      </c>
      <c r="B181" s="399"/>
      <c r="C181" s="398" t="str">
        <f>IFERROR(INDEX(DATA_PROPERTY_MASTER!$B:$B,MATCH($B181,DATA_PROPERTY_MASTER!$A:$A,0)),"")</f>
        <v/>
      </c>
      <c r="D181" s="399"/>
      <c r="E181" s="399"/>
      <c r="F181" s="399"/>
      <c r="G181" s="399"/>
      <c r="H181" s="399"/>
      <c r="I181" s="399"/>
      <c r="J181" s="399"/>
      <c r="K181" s="401"/>
      <c r="L181" s="401"/>
      <c r="M181" s="401"/>
      <c r="N181" s="401"/>
      <c r="O181" s="404"/>
      <c r="P181" s="402">
        <f t="shared" si="26"/>
        <v>0</v>
      </c>
      <c r="Q181" s="402">
        <f t="shared" si="27"/>
        <v>0</v>
      </c>
      <c r="R181" s="403" t="str">
        <f t="shared" si="28"/>
        <v/>
      </c>
      <c r="S181" s="399"/>
      <c r="T181" s="399"/>
      <c r="U181" s="399"/>
      <c r="V181" s="399"/>
      <c r="W181" s="398" t="str">
        <f t="shared" si="29"/>
        <v>Blank</v>
      </c>
    </row>
    <row r="182" spans="1:23">
      <c r="A182" s="398" t="str">
        <f t="shared" si="25"/>
        <v/>
      </c>
      <c r="B182" s="399"/>
      <c r="C182" s="398" t="str">
        <f>IFERROR(INDEX(DATA_PROPERTY_MASTER!$B:$B,MATCH($B182,DATA_PROPERTY_MASTER!$A:$A,0)),"")</f>
        <v/>
      </c>
      <c r="D182" s="399"/>
      <c r="E182" s="399"/>
      <c r="F182" s="399"/>
      <c r="G182" s="399"/>
      <c r="H182" s="399"/>
      <c r="I182" s="399"/>
      <c r="J182" s="399"/>
      <c r="K182" s="401"/>
      <c r="L182" s="401"/>
      <c r="M182" s="401"/>
      <c r="N182" s="401"/>
      <c r="O182" s="404"/>
      <c r="P182" s="402">
        <f t="shared" si="26"/>
        <v>0</v>
      </c>
      <c r="Q182" s="402">
        <f t="shared" si="27"/>
        <v>0</v>
      </c>
      <c r="R182" s="403" t="str">
        <f t="shared" si="28"/>
        <v/>
      </c>
      <c r="S182" s="399"/>
      <c r="T182" s="399"/>
      <c r="U182" s="399"/>
      <c r="V182" s="399"/>
      <c r="W182" s="398" t="str">
        <f t="shared" si="29"/>
        <v>Blank</v>
      </c>
    </row>
    <row r="183" spans="1:23">
      <c r="A183" s="398" t="str">
        <f t="shared" si="25"/>
        <v/>
      </c>
      <c r="B183" s="399"/>
      <c r="C183" s="398" t="str">
        <f>IFERROR(INDEX(DATA_PROPERTY_MASTER!$B:$B,MATCH($B183,DATA_PROPERTY_MASTER!$A:$A,0)),"")</f>
        <v/>
      </c>
      <c r="D183" s="399"/>
      <c r="E183" s="399"/>
      <c r="F183" s="399"/>
      <c r="G183" s="399"/>
      <c r="H183" s="399"/>
      <c r="I183" s="399"/>
      <c r="J183" s="399"/>
      <c r="K183" s="401"/>
      <c r="L183" s="401"/>
      <c r="M183" s="401"/>
      <c r="N183" s="401"/>
      <c r="O183" s="404"/>
      <c r="P183" s="402">
        <f t="shared" si="26"/>
        <v>0</v>
      </c>
      <c r="Q183" s="402">
        <f t="shared" si="27"/>
        <v>0</v>
      </c>
      <c r="R183" s="403" t="str">
        <f t="shared" si="28"/>
        <v/>
      </c>
      <c r="S183" s="399"/>
      <c r="T183" s="399"/>
      <c r="U183" s="399"/>
      <c r="V183" s="399"/>
      <c r="W183" s="398" t="str">
        <f t="shared" si="29"/>
        <v>Blank</v>
      </c>
    </row>
    <row r="184" spans="1:23">
      <c r="A184" s="398" t="str">
        <f t="shared" si="25"/>
        <v/>
      </c>
      <c r="B184" s="399"/>
      <c r="C184" s="398" t="str">
        <f>IFERROR(INDEX(DATA_PROPERTY_MASTER!$B:$B,MATCH($B184,DATA_PROPERTY_MASTER!$A:$A,0)),"")</f>
        <v/>
      </c>
      <c r="D184" s="399"/>
      <c r="E184" s="399"/>
      <c r="F184" s="399"/>
      <c r="G184" s="399"/>
      <c r="H184" s="399"/>
      <c r="I184" s="399"/>
      <c r="J184" s="399"/>
      <c r="K184" s="401"/>
      <c r="L184" s="401"/>
      <c r="M184" s="401"/>
      <c r="N184" s="401"/>
      <c r="O184" s="404"/>
      <c r="P184" s="402">
        <f t="shared" si="26"/>
        <v>0</v>
      </c>
      <c r="Q184" s="402">
        <f t="shared" si="27"/>
        <v>0</v>
      </c>
      <c r="R184" s="403" t="str">
        <f t="shared" si="28"/>
        <v/>
      </c>
      <c r="S184" s="399"/>
      <c r="T184" s="399"/>
      <c r="U184" s="399"/>
      <c r="V184" s="399"/>
      <c r="W184" s="398" t="str">
        <f t="shared" si="29"/>
        <v>Blank</v>
      </c>
    </row>
    <row r="185" spans="1:23">
      <c r="A185" s="398" t="str">
        <f t="shared" si="25"/>
        <v/>
      </c>
      <c r="B185" s="399"/>
      <c r="C185" s="398" t="str">
        <f>IFERROR(INDEX(DATA_PROPERTY_MASTER!$B:$B,MATCH($B185,DATA_PROPERTY_MASTER!$A:$A,0)),"")</f>
        <v/>
      </c>
      <c r="D185" s="399"/>
      <c r="E185" s="399"/>
      <c r="F185" s="399"/>
      <c r="G185" s="399"/>
      <c r="H185" s="399"/>
      <c r="I185" s="399"/>
      <c r="J185" s="399"/>
      <c r="K185" s="401"/>
      <c r="L185" s="401"/>
      <c r="M185" s="401"/>
      <c r="N185" s="401"/>
      <c r="O185" s="404"/>
      <c r="P185" s="402">
        <f t="shared" si="26"/>
        <v>0</v>
      </c>
      <c r="Q185" s="402">
        <f t="shared" si="27"/>
        <v>0</v>
      </c>
      <c r="R185" s="403" t="str">
        <f t="shared" si="28"/>
        <v/>
      </c>
      <c r="S185" s="399"/>
      <c r="T185" s="399"/>
      <c r="U185" s="399"/>
      <c r="V185" s="399"/>
      <c r="W185" s="398" t="str">
        <f t="shared" si="29"/>
        <v>Blank</v>
      </c>
    </row>
    <row r="186" spans="1:23">
      <c r="A186" s="398" t="str">
        <f t="shared" si="25"/>
        <v/>
      </c>
      <c r="B186" s="399"/>
      <c r="C186" s="398" t="str">
        <f>IFERROR(INDEX(DATA_PROPERTY_MASTER!$B:$B,MATCH($B186,DATA_PROPERTY_MASTER!$A:$A,0)),"")</f>
        <v/>
      </c>
      <c r="D186" s="399"/>
      <c r="E186" s="399"/>
      <c r="F186" s="399"/>
      <c r="G186" s="399"/>
      <c r="H186" s="399"/>
      <c r="I186" s="399"/>
      <c r="J186" s="399"/>
      <c r="K186" s="401"/>
      <c r="L186" s="401"/>
      <c r="M186" s="401"/>
      <c r="N186" s="401"/>
      <c r="O186" s="404"/>
      <c r="P186" s="402">
        <f t="shared" si="26"/>
        <v>0</v>
      </c>
      <c r="Q186" s="402">
        <f t="shared" si="27"/>
        <v>0</v>
      </c>
      <c r="R186" s="403" t="str">
        <f t="shared" si="28"/>
        <v/>
      </c>
      <c r="S186" s="399"/>
      <c r="T186" s="399"/>
      <c r="U186" s="399"/>
      <c r="V186" s="399"/>
      <c r="W186" s="398" t="str">
        <f t="shared" si="29"/>
        <v>Blank</v>
      </c>
    </row>
    <row r="187" spans="1:23">
      <c r="A187" s="398" t="str">
        <f t="shared" si="25"/>
        <v/>
      </c>
      <c r="B187" s="399"/>
      <c r="C187" s="398" t="str">
        <f>IFERROR(INDEX(DATA_PROPERTY_MASTER!$B:$B,MATCH($B187,DATA_PROPERTY_MASTER!$A:$A,0)),"")</f>
        <v/>
      </c>
      <c r="D187" s="399"/>
      <c r="E187" s="399"/>
      <c r="F187" s="399"/>
      <c r="G187" s="399"/>
      <c r="H187" s="399"/>
      <c r="I187" s="399"/>
      <c r="J187" s="399"/>
      <c r="K187" s="401"/>
      <c r="L187" s="401"/>
      <c r="M187" s="401"/>
      <c r="N187" s="401"/>
      <c r="O187" s="404"/>
      <c r="P187" s="402">
        <f t="shared" si="26"/>
        <v>0</v>
      </c>
      <c r="Q187" s="402">
        <f t="shared" si="27"/>
        <v>0</v>
      </c>
      <c r="R187" s="403" t="str">
        <f t="shared" si="28"/>
        <v/>
      </c>
      <c r="S187" s="399"/>
      <c r="T187" s="399"/>
      <c r="U187" s="399"/>
      <c r="V187" s="399"/>
      <c r="W187" s="398" t="str">
        <f t="shared" si="29"/>
        <v>Blank</v>
      </c>
    </row>
    <row r="188" spans="1:23">
      <c r="A188" s="398" t="str">
        <f t="shared" si="25"/>
        <v/>
      </c>
      <c r="B188" s="399"/>
      <c r="C188" s="398" t="str">
        <f>IFERROR(INDEX(DATA_PROPERTY_MASTER!$B:$B,MATCH($B188,DATA_PROPERTY_MASTER!$A:$A,0)),"")</f>
        <v/>
      </c>
      <c r="D188" s="399"/>
      <c r="E188" s="399"/>
      <c r="F188" s="399"/>
      <c r="G188" s="399"/>
      <c r="H188" s="399"/>
      <c r="I188" s="399"/>
      <c r="J188" s="399"/>
      <c r="K188" s="401"/>
      <c r="L188" s="401"/>
      <c r="M188" s="401"/>
      <c r="N188" s="401"/>
      <c r="O188" s="404"/>
      <c r="P188" s="402">
        <f t="shared" si="26"/>
        <v>0</v>
      </c>
      <c r="Q188" s="402">
        <f t="shared" si="27"/>
        <v>0</v>
      </c>
      <c r="R188" s="403" t="str">
        <f t="shared" si="28"/>
        <v/>
      </c>
      <c r="S188" s="399"/>
      <c r="T188" s="399"/>
      <c r="U188" s="399"/>
      <c r="V188" s="399"/>
      <c r="W188" s="398" t="str">
        <f t="shared" si="29"/>
        <v>Blank</v>
      </c>
    </row>
    <row r="189" spans="1:23">
      <c r="A189" s="398" t="str">
        <f t="shared" si="25"/>
        <v/>
      </c>
      <c r="B189" s="399"/>
      <c r="C189" s="398" t="str">
        <f>IFERROR(INDEX(DATA_PROPERTY_MASTER!$B:$B,MATCH($B189,DATA_PROPERTY_MASTER!$A:$A,0)),"")</f>
        <v/>
      </c>
      <c r="D189" s="399"/>
      <c r="E189" s="399"/>
      <c r="F189" s="399"/>
      <c r="G189" s="399"/>
      <c r="H189" s="399"/>
      <c r="I189" s="399"/>
      <c r="J189" s="399"/>
      <c r="K189" s="401"/>
      <c r="L189" s="401"/>
      <c r="M189" s="401"/>
      <c r="N189" s="401"/>
      <c r="O189" s="404"/>
      <c r="P189" s="402">
        <f t="shared" si="26"/>
        <v>0</v>
      </c>
      <c r="Q189" s="402">
        <f t="shared" si="27"/>
        <v>0</v>
      </c>
      <c r="R189" s="403" t="str">
        <f t="shared" si="28"/>
        <v/>
      </c>
      <c r="S189" s="399"/>
      <c r="T189" s="399"/>
      <c r="U189" s="399"/>
      <c r="V189" s="399"/>
      <c r="W189" s="398" t="str">
        <f t="shared" si="29"/>
        <v>Blank</v>
      </c>
    </row>
    <row r="190" spans="1:23">
      <c r="A190" s="398" t="str">
        <f t="shared" si="25"/>
        <v/>
      </c>
      <c r="B190" s="399"/>
      <c r="C190" s="398" t="str">
        <f>IFERROR(INDEX(DATA_PROPERTY_MASTER!$B:$B,MATCH($B190,DATA_PROPERTY_MASTER!$A:$A,0)),"")</f>
        <v/>
      </c>
      <c r="D190" s="399"/>
      <c r="E190" s="399"/>
      <c r="F190" s="399"/>
      <c r="G190" s="399"/>
      <c r="H190" s="399"/>
      <c r="I190" s="399"/>
      <c r="J190" s="399"/>
      <c r="K190" s="401"/>
      <c r="L190" s="401"/>
      <c r="M190" s="401"/>
      <c r="N190" s="401"/>
      <c r="O190" s="404"/>
      <c r="P190" s="402">
        <f t="shared" si="26"/>
        <v>0</v>
      </c>
      <c r="Q190" s="402">
        <f t="shared" si="27"/>
        <v>0</v>
      </c>
      <c r="R190" s="403" t="str">
        <f t="shared" si="28"/>
        <v/>
      </c>
      <c r="S190" s="399"/>
      <c r="T190" s="399"/>
      <c r="U190" s="399"/>
      <c r="V190" s="399"/>
      <c r="W190" s="398" t="str">
        <f t="shared" si="29"/>
        <v>Blank</v>
      </c>
    </row>
    <row r="191" spans="1:23">
      <c r="A191" s="398" t="str">
        <f t="shared" si="25"/>
        <v/>
      </c>
      <c r="B191" s="399"/>
      <c r="C191" s="398" t="str">
        <f>IFERROR(INDEX(DATA_PROPERTY_MASTER!$B:$B,MATCH($B191,DATA_PROPERTY_MASTER!$A:$A,0)),"")</f>
        <v/>
      </c>
      <c r="D191" s="399"/>
      <c r="E191" s="399"/>
      <c r="F191" s="399"/>
      <c r="G191" s="399"/>
      <c r="H191" s="399"/>
      <c r="I191" s="399"/>
      <c r="J191" s="399"/>
      <c r="K191" s="401"/>
      <c r="L191" s="401"/>
      <c r="M191" s="401"/>
      <c r="N191" s="401"/>
      <c r="O191" s="404"/>
      <c r="P191" s="402">
        <f t="shared" si="26"/>
        <v>0</v>
      </c>
      <c r="Q191" s="402">
        <f t="shared" si="27"/>
        <v>0</v>
      </c>
      <c r="R191" s="403" t="str">
        <f t="shared" si="28"/>
        <v/>
      </c>
      <c r="S191" s="399"/>
      <c r="T191" s="399"/>
      <c r="U191" s="399"/>
      <c r="V191" s="399"/>
      <c r="W191" s="398" t="str">
        <f t="shared" si="29"/>
        <v>Blank</v>
      </c>
    </row>
    <row r="192" spans="1:23">
      <c r="A192" s="398" t="str">
        <f t="shared" si="25"/>
        <v/>
      </c>
      <c r="B192" s="399"/>
      <c r="C192" s="398" t="str">
        <f>IFERROR(INDEX(DATA_PROPERTY_MASTER!$B:$B,MATCH($B192,DATA_PROPERTY_MASTER!$A:$A,0)),"")</f>
        <v/>
      </c>
      <c r="D192" s="399"/>
      <c r="E192" s="399"/>
      <c r="F192" s="399"/>
      <c r="G192" s="399"/>
      <c r="H192" s="399"/>
      <c r="I192" s="399"/>
      <c r="J192" s="399"/>
      <c r="K192" s="401"/>
      <c r="L192" s="401"/>
      <c r="M192" s="401"/>
      <c r="N192" s="401"/>
      <c r="O192" s="404"/>
      <c r="P192" s="402">
        <f t="shared" si="26"/>
        <v>0</v>
      </c>
      <c r="Q192" s="402">
        <f t="shared" si="27"/>
        <v>0</v>
      </c>
      <c r="R192" s="403" t="str">
        <f t="shared" si="28"/>
        <v/>
      </c>
      <c r="S192" s="399"/>
      <c r="T192" s="399"/>
      <c r="U192" s="399"/>
      <c r="V192" s="399"/>
      <c r="W192" s="398" t="str">
        <f t="shared" si="29"/>
        <v>Blank</v>
      </c>
    </row>
    <row r="193" spans="1:23">
      <c r="A193" s="398" t="str">
        <f t="shared" si="25"/>
        <v/>
      </c>
      <c r="B193" s="399"/>
      <c r="C193" s="398" t="str">
        <f>IFERROR(INDEX(DATA_PROPERTY_MASTER!$B:$B,MATCH($B193,DATA_PROPERTY_MASTER!$A:$A,0)),"")</f>
        <v/>
      </c>
      <c r="D193" s="399"/>
      <c r="E193" s="399"/>
      <c r="F193" s="399"/>
      <c r="G193" s="399"/>
      <c r="H193" s="399"/>
      <c r="I193" s="399"/>
      <c r="J193" s="399"/>
      <c r="K193" s="401"/>
      <c r="L193" s="401"/>
      <c r="M193" s="401"/>
      <c r="N193" s="401"/>
      <c r="O193" s="404"/>
      <c r="P193" s="402">
        <f t="shared" si="26"/>
        <v>0</v>
      </c>
      <c r="Q193" s="402">
        <f t="shared" si="27"/>
        <v>0</v>
      </c>
      <c r="R193" s="403" t="str">
        <f t="shared" si="28"/>
        <v/>
      </c>
      <c r="S193" s="399"/>
      <c r="T193" s="399"/>
      <c r="U193" s="399"/>
      <c r="V193" s="399"/>
      <c r="W193" s="398" t="str">
        <f t="shared" si="29"/>
        <v>Blank</v>
      </c>
    </row>
    <row r="194" spans="1:23">
      <c r="A194" s="398" t="str">
        <f t="shared" si="25"/>
        <v/>
      </c>
      <c r="B194" s="399"/>
      <c r="C194" s="398" t="str">
        <f>IFERROR(INDEX(DATA_PROPERTY_MASTER!$B:$B,MATCH($B194,DATA_PROPERTY_MASTER!$A:$A,0)),"")</f>
        <v/>
      </c>
      <c r="D194" s="399"/>
      <c r="E194" s="399"/>
      <c r="F194" s="399"/>
      <c r="G194" s="399"/>
      <c r="H194" s="399"/>
      <c r="I194" s="399"/>
      <c r="J194" s="399"/>
      <c r="K194" s="401"/>
      <c r="L194" s="401"/>
      <c r="M194" s="401"/>
      <c r="N194" s="401"/>
      <c r="O194" s="404"/>
      <c r="P194" s="402">
        <f t="shared" si="26"/>
        <v>0</v>
      </c>
      <c r="Q194" s="402">
        <f t="shared" si="27"/>
        <v>0</v>
      </c>
      <c r="R194" s="403" t="str">
        <f t="shared" si="28"/>
        <v/>
      </c>
      <c r="S194" s="399"/>
      <c r="T194" s="399"/>
      <c r="U194" s="399"/>
      <c r="V194" s="399"/>
      <c r="W194" s="398" t="str">
        <f t="shared" si="29"/>
        <v>Blank</v>
      </c>
    </row>
    <row r="195" spans="1:23">
      <c r="A195" s="398" t="str">
        <f t="shared" si="25"/>
        <v/>
      </c>
      <c r="B195" s="399"/>
      <c r="C195" s="398" t="str">
        <f>IFERROR(INDEX(DATA_PROPERTY_MASTER!$B:$B,MATCH($B195,DATA_PROPERTY_MASTER!$A:$A,0)),"")</f>
        <v/>
      </c>
      <c r="D195" s="399"/>
      <c r="E195" s="399"/>
      <c r="F195" s="399"/>
      <c r="G195" s="399"/>
      <c r="H195" s="399"/>
      <c r="I195" s="399"/>
      <c r="J195" s="399"/>
      <c r="K195" s="401"/>
      <c r="L195" s="401"/>
      <c r="M195" s="401"/>
      <c r="N195" s="401"/>
      <c r="O195" s="404"/>
      <c r="P195" s="402">
        <f t="shared" si="26"/>
        <v>0</v>
      </c>
      <c r="Q195" s="402">
        <f t="shared" si="27"/>
        <v>0</v>
      </c>
      <c r="R195" s="403" t="str">
        <f t="shared" si="28"/>
        <v/>
      </c>
      <c r="S195" s="399"/>
      <c r="T195" s="399"/>
      <c r="U195" s="399"/>
      <c r="V195" s="399"/>
      <c r="W195" s="398" t="str">
        <f t="shared" si="29"/>
        <v>Blank</v>
      </c>
    </row>
    <row r="196" spans="1:23">
      <c r="A196" s="398" t="str">
        <f t="shared" si="25"/>
        <v/>
      </c>
      <c r="B196" s="399"/>
      <c r="C196" s="398" t="str">
        <f>IFERROR(INDEX(DATA_PROPERTY_MASTER!$B:$B,MATCH($B196,DATA_PROPERTY_MASTER!$A:$A,0)),"")</f>
        <v/>
      </c>
      <c r="D196" s="399"/>
      <c r="E196" s="399"/>
      <c r="F196" s="399"/>
      <c r="G196" s="399"/>
      <c r="H196" s="399"/>
      <c r="I196" s="399"/>
      <c r="J196" s="399"/>
      <c r="K196" s="401"/>
      <c r="L196" s="401"/>
      <c r="M196" s="401"/>
      <c r="N196" s="401"/>
      <c r="O196" s="404"/>
      <c r="P196" s="402">
        <f t="shared" si="26"/>
        <v>0</v>
      </c>
      <c r="Q196" s="402">
        <f t="shared" si="27"/>
        <v>0</v>
      </c>
      <c r="R196" s="403" t="str">
        <f t="shared" si="28"/>
        <v/>
      </c>
      <c r="S196" s="399"/>
      <c r="T196" s="399"/>
      <c r="U196" s="399"/>
      <c r="V196" s="399"/>
      <c r="W196" s="398" t="str">
        <f t="shared" si="29"/>
        <v>Blank</v>
      </c>
    </row>
    <row r="197" spans="1:23">
      <c r="A197" s="398" t="str">
        <f t="shared" si="25"/>
        <v/>
      </c>
      <c r="B197" s="399"/>
      <c r="C197" s="398" t="str">
        <f>IFERROR(INDEX(DATA_PROPERTY_MASTER!$B:$B,MATCH($B197,DATA_PROPERTY_MASTER!$A:$A,0)),"")</f>
        <v/>
      </c>
      <c r="D197" s="399"/>
      <c r="E197" s="399"/>
      <c r="F197" s="399"/>
      <c r="G197" s="399"/>
      <c r="H197" s="399"/>
      <c r="I197" s="399"/>
      <c r="J197" s="399"/>
      <c r="K197" s="401"/>
      <c r="L197" s="401"/>
      <c r="M197" s="401"/>
      <c r="N197" s="401"/>
      <c r="O197" s="404"/>
      <c r="P197" s="402">
        <f t="shared" si="26"/>
        <v>0</v>
      </c>
      <c r="Q197" s="402">
        <f t="shared" si="27"/>
        <v>0</v>
      </c>
      <c r="R197" s="403" t="str">
        <f t="shared" si="28"/>
        <v/>
      </c>
      <c r="S197" s="399"/>
      <c r="T197" s="399"/>
      <c r="U197" s="399"/>
      <c r="V197" s="399"/>
      <c r="W197" s="398" t="str">
        <f t="shared" si="29"/>
        <v>Blank</v>
      </c>
    </row>
    <row r="198" spans="1:23">
      <c r="A198" s="398" t="str">
        <f t="shared" si="25"/>
        <v/>
      </c>
      <c r="B198" s="399"/>
      <c r="C198" s="398" t="str">
        <f>IFERROR(INDEX(DATA_PROPERTY_MASTER!$B:$B,MATCH($B198,DATA_PROPERTY_MASTER!$A:$A,0)),"")</f>
        <v/>
      </c>
      <c r="D198" s="399"/>
      <c r="E198" s="399"/>
      <c r="F198" s="399"/>
      <c r="G198" s="399"/>
      <c r="H198" s="399"/>
      <c r="I198" s="399"/>
      <c r="J198" s="399"/>
      <c r="K198" s="401"/>
      <c r="L198" s="401"/>
      <c r="M198" s="401"/>
      <c r="N198" s="401"/>
      <c r="O198" s="404"/>
      <c r="P198" s="402">
        <f t="shared" si="26"/>
        <v>0</v>
      </c>
      <c r="Q198" s="402">
        <f t="shared" si="27"/>
        <v>0</v>
      </c>
      <c r="R198" s="403" t="str">
        <f t="shared" si="28"/>
        <v/>
      </c>
      <c r="S198" s="399"/>
      <c r="T198" s="399"/>
      <c r="U198" s="399"/>
      <c r="V198" s="399"/>
      <c r="W198" s="398" t="str">
        <f t="shared" si="29"/>
        <v>Blank</v>
      </c>
    </row>
    <row r="199" spans="1:23">
      <c r="A199" s="398" t="str">
        <f t="shared" ref="A199:A206" si="30">IF($B199="","","RR-"&amp;TEXT(ROW()-6,"0000"))</f>
        <v/>
      </c>
      <c r="B199" s="399"/>
      <c r="C199" s="398" t="str">
        <f>IFERROR(INDEX(DATA_PROPERTY_MASTER!$B:$B,MATCH($B199,DATA_PROPERTY_MASTER!$A:$A,0)),"")</f>
        <v/>
      </c>
      <c r="D199" s="399"/>
      <c r="E199" s="399"/>
      <c r="F199" s="399"/>
      <c r="G199" s="399"/>
      <c r="H199" s="399"/>
      <c r="I199" s="399"/>
      <c r="J199" s="399"/>
      <c r="K199" s="401"/>
      <c r="L199" s="401"/>
      <c r="M199" s="401"/>
      <c r="N199" s="401"/>
      <c r="O199" s="404"/>
      <c r="P199" s="402">
        <f t="shared" ref="P199:P206" si="31">IFERROR($H199*$K199*12,"")</f>
        <v>0</v>
      </c>
      <c r="Q199" s="402">
        <f t="shared" ref="Q199:Q206" si="32">IFERROR($H199*$L199*12,"")</f>
        <v>0</v>
      </c>
      <c r="R199" s="403" t="str">
        <f t="shared" ref="R199:R206" si="33">IFERROR(IF($L199&gt;0,1-($K199/$L199),""),"")</f>
        <v/>
      </c>
      <c r="S199" s="399"/>
      <c r="T199" s="399"/>
      <c r="U199" s="399"/>
      <c r="V199" s="399"/>
      <c r="W199" s="398" t="str">
        <f t="shared" ref="W199:W206" si="34">IF($B199="","Blank",IF(OR($K199="",$H199=""),"Review","OK"))</f>
        <v>Blank</v>
      </c>
    </row>
    <row r="200" spans="1:23">
      <c r="A200" s="398" t="str">
        <f t="shared" si="30"/>
        <v/>
      </c>
      <c r="B200" s="399"/>
      <c r="C200" s="398" t="str">
        <f>IFERROR(INDEX(DATA_PROPERTY_MASTER!$B:$B,MATCH($B200,DATA_PROPERTY_MASTER!$A:$A,0)),"")</f>
        <v/>
      </c>
      <c r="D200" s="399"/>
      <c r="E200" s="399"/>
      <c r="F200" s="399"/>
      <c r="G200" s="399"/>
      <c r="H200" s="399"/>
      <c r="I200" s="399"/>
      <c r="J200" s="399"/>
      <c r="K200" s="401"/>
      <c r="L200" s="401"/>
      <c r="M200" s="401"/>
      <c r="N200" s="401"/>
      <c r="O200" s="404"/>
      <c r="P200" s="402">
        <f t="shared" si="31"/>
        <v>0</v>
      </c>
      <c r="Q200" s="402">
        <f t="shared" si="32"/>
        <v>0</v>
      </c>
      <c r="R200" s="403" t="str">
        <f t="shared" si="33"/>
        <v/>
      </c>
      <c r="S200" s="399"/>
      <c r="T200" s="399"/>
      <c r="U200" s="399"/>
      <c r="V200" s="399"/>
      <c r="W200" s="398" t="str">
        <f t="shared" si="34"/>
        <v>Blank</v>
      </c>
    </row>
    <row r="201" spans="1:23">
      <c r="A201" s="398" t="str">
        <f t="shared" si="30"/>
        <v/>
      </c>
      <c r="B201" s="399"/>
      <c r="C201" s="398" t="str">
        <f>IFERROR(INDEX(DATA_PROPERTY_MASTER!$B:$B,MATCH($B201,DATA_PROPERTY_MASTER!$A:$A,0)),"")</f>
        <v/>
      </c>
      <c r="D201" s="399"/>
      <c r="E201" s="399"/>
      <c r="F201" s="399"/>
      <c r="G201" s="399"/>
      <c r="H201" s="399"/>
      <c r="I201" s="399"/>
      <c r="J201" s="399"/>
      <c r="K201" s="401"/>
      <c r="L201" s="401"/>
      <c r="M201" s="401"/>
      <c r="N201" s="401"/>
      <c r="O201" s="404"/>
      <c r="P201" s="402">
        <f t="shared" si="31"/>
        <v>0</v>
      </c>
      <c r="Q201" s="402">
        <f t="shared" si="32"/>
        <v>0</v>
      </c>
      <c r="R201" s="403" t="str">
        <f t="shared" si="33"/>
        <v/>
      </c>
      <c r="S201" s="399"/>
      <c r="T201" s="399"/>
      <c r="U201" s="399"/>
      <c r="V201" s="399"/>
      <c r="W201" s="398" t="str">
        <f t="shared" si="34"/>
        <v>Blank</v>
      </c>
    </row>
    <row r="202" spans="1:23">
      <c r="A202" s="398" t="str">
        <f t="shared" si="30"/>
        <v/>
      </c>
      <c r="B202" s="399"/>
      <c r="C202" s="398" t="str">
        <f>IFERROR(INDEX(DATA_PROPERTY_MASTER!$B:$B,MATCH($B202,DATA_PROPERTY_MASTER!$A:$A,0)),"")</f>
        <v/>
      </c>
      <c r="D202" s="399"/>
      <c r="E202" s="399"/>
      <c r="F202" s="399"/>
      <c r="G202" s="399"/>
      <c r="H202" s="399"/>
      <c r="I202" s="399"/>
      <c r="J202" s="399"/>
      <c r="K202" s="401"/>
      <c r="L202" s="401"/>
      <c r="M202" s="401"/>
      <c r="N202" s="401"/>
      <c r="O202" s="404"/>
      <c r="P202" s="402">
        <f t="shared" si="31"/>
        <v>0</v>
      </c>
      <c r="Q202" s="402">
        <f t="shared" si="32"/>
        <v>0</v>
      </c>
      <c r="R202" s="403" t="str">
        <f t="shared" si="33"/>
        <v/>
      </c>
      <c r="S202" s="399"/>
      <c r="T202" s="399"/>
      <c r="U202" s="399"/>
      <c r="V202" s="399"/>
      <c r="W202" s="398" t="str">
        <f t="shared" si="34"/>
        <v>Blank</v>
      </c>
    </row>
    <row r="203" spans="1:23">
      <c r="A203" s="398" t="str">
        <f t="shared" si="30"/>
        <v/>
      </c>
      <c r="B203" s="399"/>
      <c r="C203" s="398" t="str">
        <f>IFERROR(INDEX(DATA_PROPERTY_MASTER!$B:$B,MATCH($B203,DATA_PROPERTY_MASTER!$A:$A,0)),"")</f>
        <v/>
      </c>
      <c r="D203" s="399"/>
      <c r="E203" s="399"/>
      <c r="F203" s="399"/>
      <c r="G203" s="399"/>
      <c r="H203" s="399"/>
      <c r="I203" s="399"/>
      <c r="J203" s="399"/>
      <c r="K203" s="401"/>
      <c r="L203" s="401"/>
      <c r="M203" s="401"/>
      <c r="N203" s="401"/>
      <c r="O203" s="404"/>
      <c r="P203" s="402">
        <f t="shared" si="31"/>
        <v>0</v>
      </c>
      <c r="Q203" s="402">
        <f t="shared" si="32"/>
        <v>0</v>
      </c>
      <c r="R203" s="403" t="str">
        <f t="shared" si="33"/>
        <v/>
      </c>
      <c r="S203" s="399"/>
      <c r="T203" s="399"/>
      <c r="U203" s="399"/>
      <c r="V203" s="399"/>
      <c r="W203" s="398" t="str">
        <f t="shared" si="34"/>
        <v>Blank</v>
      </c>
    </row>
    <row r="204" spans="1:23">
      <c r="A204" s="398" t="str">
        <f t="shared" si="30"/>
        <v/>
      </c>
      <c r="B204" s="399"/>
      <c r="C204" s="398" t="str">
        <f>IFERROR(INDEX(DATA_PROPERTY_MASTER!$B:$B,MATCH($B204,DATA_PROPERTY_MASTER!$A:$A,0)),"")</f>
        <v/>
      </c>
      <c r="D204" s="399"/>
      <c r="E204" s="399"/>
      <c r="F204" s="399"/>
      <c r="G204" s="399"/>
      <c r="H204" s="399"/>
      <c r="I204" s="399"/>
      <c r="J204" s="399"/>
      <c r="K204" s="401"/>
      <c r="L204" s="401"/>
      <c r="M204" s="401"/>
      <c r="N204" s="401"/>
      <c r="O204" s="404"/>
      <c r="P204" s="402">
        <f t="shared" si="31"/>
        <v>0</v>
      </c>
      <c r="Q204" s="402">
        <f t="shared" si="32"/>
        <v>0</v>
      </c>
      <c r="R204" s="403" t="str">
        <f t="shared" si="33"/>
        <v/>
      </c>
      <c r="S204" s="399"/>
      <c r="T204" s="399"/>
      <c r="U204" s="399"/>
      <c r="V204" s="399"/>
      <c r="W204" s="398" t="str">
        <f t="shared" si="34"/>
        <v>Blank</v>
      </c>
    </row>
    <row r="205" spans="1:23">
      <c r="A205" s="398" t="str">
        <f t="shared" si="30"/>
        <v/>
      </c>
      <c r="B205" s="399"/>
      <c r="C205" s="398" t="str">
        <f>IFERROR(INDEX(DATA_PROPERTY_MASTER!$B:$B,MATCH($B205,DATA_PROPERTY_MASTER!$A:$A,0)),"")</f>
        <v/>
      </c>
      <c r="D205" s="399"/>
      <c r="E205" s="399"/>
      <c r="F205" s="399"/>
      <c r="G205" s="399"/>
      <c r="H205" s="399"/>
      <c r="I205" s="399"/>
      <c r="J205" s="399"/>
      <c r="K205" s="401"/>
      <c r="L205" s="401"/>
      <c r="M205" s="401"/>
      <c r="N205" s="401"/>
      <c r="O205" s="404"/>
      <c r="P205" s="402">
        <f t="shared" si="31"/>
        <v>0</v>
      </c>
      <c r="Q205" s="402">
        <f t="shared" si="32"/>
        <v>0</v>
      </c>
      <c r="R205" s="403" t="str">
        <f t="shared" si="33"/>
        <v/>
      </c>
      <c r="S205" s="399"/>
      <c r="T205" s="399"/>
      <c r="U205" s="399"/>
      <c r="V205" s="399"/>
      <c r="W205" s="398" t="str">
        <f t="shared" si="34"/>
        <v>Blank</v>
      </c>
    </row>
    <row r="206" spans="1:23">
      <c r="A206" s="398" t="str">
        <f t="shared" si="30"/>
        <v/>
      </c>
      <c r="B206" s="399"/>
      <c r="C206" s="398" t="str">
        <f>IFERROR(INDEX(DATA_PROPERTY_MASTER!$B:$B,MATCH($B206,DATA_PROPERTY_MASTER!$A:$A,0)),"")</f>
        <v/>
      </c>
      <c r="D206" s="399"/>
      <c r="E206" s="399"/>
      <c r="F206" s="399"/>
      <c r="G206" s="399"/>
      <c r="H206" s="399"/>
      <c r="I206" s="399"/>
      <c r="J206" s="399"/>
      <c r="K206" s="401"/>
      <c r="L206" s="401"/>
      <c r="M206" s="401"/>
      <c r="N206" s="401"/>
      <c r="O206" s="404"/>
      <c r="P206" s="402">
        <f t="shared" si="31"/>
        <v>0</v>
      </c>
      <c r="Q206" s="402">
        <f t="shared" si="32"/>
        <v>0</v>
      </c>
      <c r="R206" s="403" t="str">
        <f t="shared" si="33"/>
        <v/>
      </c>
      <c r="S206" s="399"/>
      <c r="T206" s="399"/>
      <c r="U206" s="399"/>
      <c r="V206" s="399"/>
      <c r="W206" s="398" t="str">
        <f t="shared" si="34"/>
        <v>Blank</v>
      </c>
    </row>
  </sheetData>
  <mergeCells count="1">
    <mergeCell ref="A1:W1"/>
  </mergeCells>
  <conditionalFormatting sqref="I7:I206">
    <cfRule type="expression" dxfId="46" priority="1">
      <formula>OR(I7="Review",I7="Funding Gap",I7="Expired / Review")</formula>
    </cfRule>
    <cfRule type="expression" dxfId="45" priority="2">
      <formula>OR(I7="OK",I7="Ready",I7="Funded / No Gap")</formula>
    </cfRule>
  </conditionalFormatting>
  <conditionalFormatting sqref="J7:J206">
    <cfRule type="expression" dxfId="44" priority="3">
      <formula>OR(J7="Review",J7="Funding Gap",J7="Expired / Review")</formula>
    </cfRule>
    <cfRule type="expression" dxfId="43" priority="4">
      <formula>OR(J7="OK",J7="Ready",J7="Funded / No Gap")</formula>
    </cfRule>
  </conditionalFormatting>
  <conditionalFormatting sqref="U7:U206">
    <cfRule type="expression" dxfId="42" priority="5">
      <formula>OR(U7="Review",U7="Funding Gap",U7="Expired / Review")</formula>
    </cfRule>
    <cfRule type="expression" dxfId="41" priority="6">
      <formula>OR(U7="OK",U7="Ready",U7="Funded / No Gap")</formula>
    </cfRule>
  </conditionalFormatting>
  <conditionalFormatting sqref="W7:W206">
    <cfRule type="expression" dxfId="40" priority="7">
      <formula>OR(W7="Review",W7="Funding Gap",W7="Expired / Review")</formula>
    </cfRule>
    <cfRule type="expression" dxfId="39" priority="8">
      <formula>OR(W7="OK",W7="Ready",W7="Funded / No Gap")</formula>
    </cfRule>
  </conditionalFormatting>
  <dataValidations count="2">
    <dataValidation type="list" allowBlank="1" sqref="T7:T206" xr:uid="{00000000-0002-0000-2900-000001000000}">
      <formula1>"High,Medium,Low,Unknown"</formula1>
    </dataValidation>
    <dataValidation type="list" allowBlank="1" sqref="U7:U206" xr:uid="{00000000-0002-0000-2900-000002000000}">
      <formula1>"Ready,Review,Missing,Not Provided"</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2900-000000000000}">
          <x14:formula1>
            <xm:f>DATA_PROPERTY_MASTER!$A$5:$A$21</xm:f>
          </x14:formula1>
          <xm:sqref>B7:B206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21CCA-9C92-4198-A3C8-091CA54F303A}">
  <sheetPr>
    <tabColor rgb="FF7030A0"/>
  </sheetPr>
  <dimension ref="A1:R206"/>
  <sheetViews>
    <sheetView workbookViewId="0">
      <pane ySplit="6" topLeftCell="A7" activePane="bottomLeft" state="frozen"/>
      <selection sqref="A1:V1"/>
      <selection pane="bottomLeft" sqref="A1:V1"/>
    </sheetView>
  </sheetViews>
  <sheetFormatPr defaultRowHeight="15"/>
  <cols>
    <col min="1" max="1" width="12" customWidth="1"/>
    <col min="2" max="2" width="26.5703125" customWidth="1"/>
    <col min="3" max="3" width="24" customWidth="1"/>
    <col min="4" max="4" width="13" customWidth="1"/>
    <col min="5" max="6" width="12" customWidth="1"/>
    <col min="7" max="7" width="22" customWidth="1"/>
    <col min="8" max="8" width="28" customWidth="1"/>
    <col min="9" max="10" width="15" customWidth="1"/>
    <col min="11" max="11" width="17" customWidth="1"/>
    <col min="12" max="12" width="16" customWidth="1"/>
    <col min="13" max="13" width="19" customWidth="1"/>
    <col min="14" max="14" width="20" customWidth="1"/>
    <col min="15" max="15" width="15" customWidth="1"/>
    <col min="16" max="16" width="18" customWidth="1"/>
    <col min="17" max="17" width="28" customWidth="1"/>
    <col min="18" max="18" width="12" customWidth="1"/>
  </cols>
  <sheetData>
    <row r="1" spans="1:18">
      <c r="A1" s="425" t="s">
        <v>1442</v>
      </c>
      <c r="B1" s="424"/>
      <c r="C1" s="424"/>
      <c r="D1" s="424"/>
      <c r="E1" s="424"/>
      <c r="F1" s="424"/>
      <c r="G1" s="424"/>
      <c r="H1" s="424"/>
      <c r="I1" s="424"/>
      <c r="J1" s="424"/>
      <c r="K1" s="424"/>
      <c r="L1" s="424"/>
      <c r="M1" s="424"/>
      <c r="N1" s="424"/>
      <c r="O1" s="424"/>
      <c r="P1" s="424"/>
      <c r="Q1" s="424"/>
      <c r="R1" s="424"/>
    </row>
    <row r="2" spans="1:18" ht="57.75" customHeight="1">
      <c r="A2" s="396" t="s">
        <v>1094</v>
      </c>
      <c r="B2" s="193" t="s">
        <v>1443</v>
      </c>
    </row>
    <row r="3" spans="1:18" ht="72.75" customHeight="1">
      <c r="A3" s="396" t="s">
        <v>1208</v>
      </c>
      <c r="B3" s="193" t="s">
        <v>1444</v>
      </c>
    </row>
    <row r="4" spans="1:18" ht="69.75" customHeight="1">
      <c r="A4" s="396" t="s">
        <v>1409</v>
      </c>
      <c r="B4" s="193" t="s">
        <v>1410</v>
      </c>
    </row>
    <row r="6" spans="1:18" ht="30">
      <c r="A6" s="397" t="s">
        <v>1411</v>
      </c>
      <c r="B6" s="397" t="s">
        <v>1263</v>
      </c>
      <c r="C6" s="397" t="s">
        <v>1269</v>
      </c>
      <c r="D6" s="397" t="s">
        <v>1445</v>
      </c>
      <c r="E6" s="397" t="s">
        <v>1446</v>
      </c>
      <c r="F6" s="397" t="s">
        <v>1447</v>
      </c>
      <c r="G6" s="397" t="s">
        <v>1448</v>
      </c>
      <c r="H6" s="397" t="s">
        <v>1449</v>
      </c>
      <c r="I6" s="397" t="s">
        <v>1450</v>
      </c>
      <c r="J6" s="397" t="s">
        <v>1451</v>
      </c>
      <c r="K6" s="397" t="s">
        <v>1452</v>
      </c>
      <c r="L6" s="397" t="s">
        <v>1210</v>
      </c>
      <c r="M6" s="397" t="s">
        <v>1425</v>
      </c>
      <c r="N6" s="397" t="s">
        <v>1453</v>
      </c>
      <c r="O6" s="397" t="s">
        <v>1426</v>
      </c>
      <c r="P6" s="397" t="s">
        <v>1454</v>
      </c>
      <c r="Q6" s="397" t="s">
        <v>386</v>
      </c>
      <c r="R6" s="397" t="s">
        <v>1427</v>
      </c>
    </row>
    <row r="7" spans="1:18">
      <c r="A7" s="398" t="str">
        <f t="shared" ref="A7:A38" si="0">IF($B7="","","OA-"&amp;TEXT(ROW()-6,"0000"))</f>
        <v/>
      </c>
      <c r="B7" s="399"/>
      <c r="C7" s="398" t="str">
        <f>IFERROR(INDEX(DATA_PROPERTY_MASTER!$B:$B,MATCH($B7,DATA_PROPERTY_MASTER!$A:$A,0)),"")</f>
        <v/>
      </c>
      <c r="D7" s="400"/>
      <c r="E7" s="399"/>
      <c r="F7" s="399"/>
      <c r="G7" s="399"/>
      <c r="H7" s="399"/>
      <c r="I7" s="399"/>
      <c r="J7" s="405"/>
      <c r="K7" s="399"/>
      <c r="L7" s="399"/>
      <c r="M7" s="399"/>
      <c r="N7" s="399"/>
      <c r="O7" s="399"/>
      <c r="P7" s="398" t="str">
        <f t="shared" ref="P7:P38" si="1">IF($B7="","",$B7&amp;"|"&amp;$D7&amp;"|"&amp;$F7&amp;"|"&amp;$I7)</f>
        <v/>
      </c>
      <c r="Q7" s="399"/>
      <c r="R7" s="398" t="str">
        <f t="shared" ref="R7:R38" si="2">IF($B7="","Blank",IF(OR($D7="",$I7="",$J7=""),"Review","OK"))</f>
        <v>Blank</v>
      </c>
    </row>
    <row r="8" spans="1:18">
      <c r="A8" s="398" t="str">
        <f t="shared" si="0"/>
        <v/>
      </c>
      <c r="B8" s="399"/>
      <c r="C8" s="398" t="str">
        <f>IFERROR(INDEX(DATA_PROPERTY_MASTER!$B:$B,MATCH($B8,DATA_PROPERTY_MASTER!$A:$A,0)),"")</f>
        <v/>
      </c>
      <c r="D8" s="400"/>
      <c r="E8" s="399"/>
      <c r="F8" s="399"/>
      <c r="G8" s="399"/>
      <c r="H8" s="399"/>
      <c r="I8" s="399"/>
      <c r="J8" s="405"/>
      <c r="K8" s="399"/>
      <c r="L8" s="399"/>
      <c r="M8" s="399"/>
      <c r="N8" s="399"/>
      <c r="O8" s="399"/>
      <c r="P8" s="398" t="str">
        <f t="shared" si="1"/>
        <v/>
      </c>
      <c r="Q8" s="399"/>
      <c r="R8" s="398" t="str">
        <f t="shared" si="2"/>
        <v>Blank</v>
      </c>
    </row>
    <row r="9" spans="1:18">
      <c r="A9" s="398" t="str">
        <f t="shared" si="0"/>
        <v/>
      </c>
      <c r="B9" s="399"/>
      <c r="C9" s="398" t="str">
        <f>IFERROR(INDEX(DATA_PROPERTY_MASTER!$B:$B,MATCH($B9,DATA_PROPERTY_MASTER!$A:$A,0)),"")</f>
        <v/>
      </c>
      <c r="D9" s="400"/>
      <c r="E9" s="399"/>
      <c r="F9" s="399"/>
      <c r="G9" s="399"/>
      <c r="H9" s="399"/>
      <c r="I9" s="399"/>
      <c r="J9" s="405"/>
      <c r="K9" s="399"/>
      <c r="L9" s="399"/>
      <c r="M9" s="399"/>
      <c r="N9" s="399"/>
      <c r="O9" s="399"/>
      <c r="P9" s="398" t="str">
        <f t="shared" si="1"/>
        <v/>
      </c>
      <c r="Q9" s="399"/>
      <c r="R9" s="398" t="str">
        <f t="shared" si="2"/>
        <v>Blank</v>
      </c>
    </row>
    <row r="10" spans="1:18">
      <c r="A10" s="398" t="str">
        <f t="shared" si="0"/>
        <v/>
      </c>
      <c r="B10" s="399"/>
      <c r="C10" s="398" t="str">
        <f>IFERROR(INDEX(DATA_PROPERTY_MASTER!$B:$B,MATCH($B10,DATA_PROPERTY_MASTER!$A:$A,0)),"")</f>
        <v/>
      </c>
      <c r="D10" s="400"/>
      <c r="E10" s="399"/>
      <c r="F10" s="399"/>
      <c r="G10" s="399"/>
      <c r="H10" s="399"/>
      <c r="I10" s="399"/>
      <c r="J10" s="405"/>
      <c r="K10" s="399"/>
      <c r="L10" s="399"/>
      <c r="M10" s="399"/>
      <c r="N10" s="399"/>
      <c r="O10" s="399"/>
      <c r="P10" s="398" t="str">
        <f t="shared" si="1"/>
        <v/>
      </c>
      <c r="Q10" s="399"/>
      <c r="R10" s="398" t="str">
        <f t="shared" si="2"/>
        <v>Blank</v>
      </c>
    </row>
    <row r="11" spans="1:18">
      <c r="A11" s="398" t="str">
        <f t="shared" si="0"/>
        <v/>
      </c>
      <c r="B11" s="399"/>
      <c r="C11" s="398" t="str">
        <f>IFERROR(INDEX(DATA_PROPERTY_MASTER!$B:$B,MATCH($B11,DATA_PROPERTY_MASTER!$A:$A,0)),"")</f>
        <v/>
      </c>
      <c r="D11" s="400"/>
      <c r="E11" s="399"/>
      <c r="F11" s="399"/>
      <c r="G11" s="399"/>
      <c r="H11" s="399"/>
      <c r="I11" s="399"/>
      <c r="J11" s="405"/>
      <c r="K11" s="399"/>
      <c r="L11" s="399"/>
      <c r="M11" s="399"/>
      <c r="N11" s="399"/>
      <c r="O11" s="399"/>
      <c r="P11" s="398" t="str">
        <f t="shared" si="1"/>
        <v/>
      </c>
      <c r="Q11" s="399"/>
      <c r="R11" s="398" t="str">
        <f t="shared" si="2"/>
        <v>Blank</v>
      </c>
    </row>
    <row r="12" spans="1:18">
      <c r="A12" s="398" t="str">
        <f t="shared" si="0"/>
        <v/>
      </c>
      <c r="B12" s="399"/>
      <c r="C12" s="398" t="str">
        <f>IFERROR(INDEX(DATA_PROPERTY_MASTER!$B:$B,MATCH($B12,DATA_PROPERTY_MASTER!$A:$A,0)),"")</f>
        <v/>
      </c>
      <c r="D12" s="400"/>
      <c r="E12" s="399"/>
      <c r="F12" s="399"/>
      <c r="G12" s="399"/>
      <c r="H12" s="399"/>
      <c r="I12" s="399"/>
      <c r="J12" s="405"/>
      <c r="K12" s="399"/>
      <c r="L12" s="399"/>
      <c r="M12" s="399"/>
      <c r="N12" s="399"/>
      <c r="O12" s="399"/>
      <c r="P12" s="398" t="str">
        <f t="shared" si="1"/>
        <v/>
      </c>
      <c r="Q12" s="399"/>
      <c r="R12" s="398" t="str">
        <f t="shared" si="2"/>
        <v>Blank</v>
      </c>
    </row>
    <row r="13" spans="1:18">
      <c r="A13" s="398" t="str">
        <f t="shared" si="0"/>
        <v/>
      </c>
      <c r="B13" s="399"/>
      <c r="C13" s="398" t="str">
        <f>IFERROR(INDEX(DATA_PROPERTY_MASTER!$B:$B,MATCH($B13,DATA_PROPERTY_MASTER!$A:$A,0)),"")</f>
        <v/>
      </c>
      <c r="D13" s="400"/>
      <c r="E13" s="399"/>
      <c r="F13" s="399"/>
      <c r="G13" s="399"/>
      <c r="H13" s="399"/>
      <c r="I13" s="399"/>
      <c r="J13" s="405"/>
      <c r="K13" s="399"/>
      <c r="L13" s="399"/>
      <c r="M13" s="399"/>
      <c r="N13" s="399"/>
      <c r="O13" s="399"/>
      <c r="P13" s="398" t="str">
        <f t="shared" si="1"/>
        <v/>
      </c>
      <c r="Q13" s="399"/>
      <c r="R13" s="398" t="str">
        <f t="shared" si="2"/>
        <v>Blank</v>
      </c>
    </row>
    <row r="14" spans="1:18">
      <c r="A14" s="398" t="str">
        <f t="shared" si="0"/>
        <v/>
      </c>
      <c r="B14" s="399"/>
      <c r="C14" s="398" t="str">
        <f>IFERROR(INDEX(DATA_PROPERTY_MASTER!$B:$B,MATCH($B14,DATA_PROPERTY_MASTER!$A:$A,0)),"")</f>
        <v/>
      </c>
      <c r="D14" s="400"/>
      <c r="E14" s="399"/>
      <c r="F14" s="399"/>
      <c r="G14" s="399"/>
      <c r="H14" s="399"/>
      <c r="I14" s="399"/>
      <c r="J14" s="405"/>
      <c r="K14" s="399"/>
      <c r="L14" s="399"/>
      <c r="M14" s="399"/>
      <c r="N14" s="399"/>
      <c r="O14" s="399"/>
      <c r="P14" s="398" t="str">
        <f t="shared" si="1"/>
        <v/>
      </c>
      <c r="Q14" s="399"/>
      <c r="R14" s="398" t="str">
        <f t="shared" si="2"/>
        <v>Blank</v>
      </c>
    </row>
    <row r="15" spans="1:18">
      <c r="A15" s="398" t="str">
        <f t="shared" si="0"/>
        <v/>
      </c>
      <c r="B15" s="399"/>
      <c r="C15" s="398" t="str">
        <f>IFERROR(INDEX(DATA_PROPERTY_MASTER!$B:$B,MATCH($B15,DATA_PROPERTY_MASTER!$A:$A,0)),"")</f>
        <v/>
      </c>
      <c r="D15" s="400"/>
      <c r="E15" s="399"/>
      <c r="F15" s="399"/>
      <c r="G15" s="399"/>
      <c r="H15" s="399"/>
      <c r="I15" s="399"/>
      <c r="J15" s="405"/>
      <c r="K15" s="399"/>
      <c r="L15" s="399"/>
      <c r="M15" s="399"/>
      <c r="N15" s="399"/>
      <c r="O15" s="399"/>
      <c r="P15" s="398" t="str">
        <f t="shared" si="1"/>
        <v/>
      </c>
      <c r="Q15" s="399"/>
      <c r="R15" s="398" t="str">
        <f t="shared" si="2"/>
        <v>Blank</v>
      </c>
    </row>
    <row r="16" spans="1:18">
      <c r="A16" s="398" t="str">
        <f t="shared" si="0"/>
        <v/>
      </c>
      <c r="B16" s="399"/>
      <c r="C16" s="398" t="str">
        <f>IFERROR(INDEX(DATA_PROPERTY_MASTER!$B:$B,MATCH($B16,DATA_PROPERTY_MASTER!$A:$A,0)),"")</f>
        <v/>
      </c>
      <c r="D16" s="400"/>
      <c r="E16" s="399"/>
      <c r="F16" s="399"/>
      <c r="G16" s="399"/>
      <c r="H16" s="399"/>
      <c r="I16" s="399"/>
      <c r="J16" s="405"/>
      <c r="K16" s="399"/>
      <c r="L16" s="399"/>
      <c r="M16" s="399"/>
      <c r="N16" s="399"/>
      <c r="O16" s="399"/>
      <c r="P16" s="398" t="str">
        <f t="shared" si="1"/>
        <v/>
      </c>
      <c r="Q16" s="399"/>
      <c r="R16" s="398" t="str">
        <f t="shared" si="2"/>
        <v>Blank</v>
      </c>
    </row>
    <row r="17" spans="1:18">
      <c r="A17" s="398" t="str">
        <f t="shared" si="0"/>
        <v/>
      </c>
      <c r="B17" s="399"/>
      <c r="C17" s="398" t="str">
        <f>IFERROR(INDEX(DATA_PROPERTY_MASTER!$B:$B,MATCH($B17,DATA_PROPERTY_MASTER!$A:$A,0)),"")</f>
        <v/>
      </c>
      <c r="D17" s="400"/>
      <c r="E17" s="399"/>
      <c r="F17" s="399"/>
      <c r="G17" s="399"/>
      <c r="H17" s="399"/>
      <c r="I17" s="399"/>
      <c r="J17" s="405"/>
      <c r="K17" s="399"/>
      <c r="L17" s="399"/>
      <c r="M17" s="399"/>
      <c r="N17" s="399"/>
      <c r="O17" s="399"/>
      <c r="P17" s="398" t="str">
        <f t="shared" si="1"/>
        <v/>
      </c>
      <c r="Q17" s="399"/>
      <c r="R17" s="398" t="str">
        <f t="shared" si="2"/>
        <v>Blank</v>
      </c>
    </row>
    <row r="18" spans="1:18">
      <c r="A18" s="398" t="str">
        <f t="shared" si="0"/>
        <v/>
      </c>
      <c r="B18" s="399"/>
      <c r="C18" s="398" t="str">
        <f>IFERROR(INDEX(DATA_PROPERTY_MASTER!$B:$B,MATCH($B18,DATA_PROPERTY_MASTER!$A:$A,0)),"")</f>
        <v/>
      </c>
      <c r="D18" s="400"/>
      <c r="E18" s="399"/>
      <c r="F18" s="399"/>
      <c r="G18" s="399"/>
      <c r="H18" s="399"/>
      <c r="I18" s="399"/>
      <c r="J18" s="405"/>
      <c r="K18" s="399"/>
      <c r="L18" s="399"/>
      <c r="M18" s="399"/>
      <c r="N18" s="399"/>
      <c r="O18" s="399"/>
      <c r="P18" s="398" t="str">
        <f t="shared" si="1"/>
        <v/>
      </c>
      <c r="Q18" s="399"/>
      <c r="R18" s="398" t="str">
        <f t="shared" si="2"/>
        <v>Blank</v>
      </c>
    </row>
    <row r="19" spans="1:18">
      <c r="A19" s="398" t="str">
        <f t="shared" si="0"/>
        <v/>
      </c>
      <c r="B19" s="399"/>
      <c r="C19" s="398" t="str">
        <f>IFERROR(INDEX(DATA_PROPERTY_MASTER!$B:$B,MATCH($B19,DATA_PROPERTY_MASTER!$A:$A,0)),"")</f>
        <v/>
      </c>
      <c r="D19" s="400"/>
      <c r="E19" s="399"/>
      <c r="F19" s="399"/>
      <c r="G19" s="399"/>
      <c r="H19" s="399"/>
      <c r="I19" s="399"/>
      <c r="J19" s="405"/>
      <c r="K19" s="399"/>
      <c r="L19" s="399"/>
      <c r="M19" s="399"/>
      <c r="N19" s="399"/>
      <c r="O19" s="399"/>
      <c r="P19" s="398" t="str">
        <f t="shared" si="1"/>
        <v/>
      </c>
      <c r="Q19" s="399"/>
      <c r="R19" s="398" t="str">
        <f t="shared" si="2"/>
        <v>Blank</v>
      </c>
    </row>
    <row r="20" spans="1:18">
      <c r="A20" s="398" t="str">
        <f t="shared" si="0"/>
        <v/>
      </c>
      <c r="B20" s="399"/>
      <c r="C20" s="398" t="str">
        <f>IFERROR(INDEX(DATA_PROPERTY_MASTER!$B:$B,MATCH($B20,DATA_PROPERTY_MASTER!$A:$A,0)),"")</f>
        <v/>
      </c>
      <c r="D20" s="400"/>
      <c r="E20" s="399"/>
      <c r="F20" s="399"/>
      <c r="G20" s="399"/>
      <c r="H20" s="399"/>
      <c r="I20" s="399"/>
      <c r="J20" s="405"/>
      <c r="K20" s="399"/>
      <c r="L20" s="399"/>
      <c r="M20" s="399"/>
      <c r="N20" s="399"/>
      <c r="O20" s="399"/>
      <c r="P20" s="398" t="str">
        <f t="shared" si="1"/>
        <v/>
      </c>
      <c r="Q20" s="399"/>
      <c r="R20" s="398" t="str">
        <f t="shared" si="2"/>
        <v>Blank</v>
      </c>
    </row>
    <row r="21" spans="1:18">
      <c r="A21" s="398" t="str">
        <f t="shared" si="0"/>
        <v/>
      </c>
      <c r="B21" s="399"/>
      <c r="C21" s="398" t="str">
        <f>IFERROR(INDEX(DATA_PROPERTY_MASTER!$B:$B,MATCH($B21,DATA_PROPERTY_MASTER!$A:$A,0)),"")</f>
        <v/>
      </c>
      <c r="D21" s="400"/>
      <c r="E21" s="399"/>
      <c r="F21" s="399"/>
      <c r="G21" s="399"/>
      <c r="H21" s="399"/>
      <c r="I21" s="399"/>
      <c r="J21" s="405"/>
      <c r="K21" s="399"/>
      <c r="L21" s="399"/>
      <c r="M21" s="399"/>
      <c r="N21" s="399"/>
      <c r="O21" s="399"/>
      <c r="P21" s="398" t="str">
        <f t="shared" si="1"/>
        <v/>
      </c>
      <c r="Q21" s="399"/>
      <c r="R21" s="398" t="str">
        <f t="shared" si="2"/>
        <v>Blank</v>
      </c>
    </row>
    <row r="22" spans="1:18">
      <c r="A22" s="398" t="str">
        <f t="shared" si="0"/>
        <v/>
      </c>
      <c r="B22" s="399"/>
      <c r="C22" s="398" t="str">
        <f>IFERROR(INDEX(DATA_PROPERTY_MASTER!$B:$B,MATCH($B22,DATA_PROPERTY_MASTER!$A:$A,0)),"")</f>
        <v/>
      </c>
      <c r="D22" s="400"/>
      <c r="E22" s="399"/>
      <c r="F22" s="399"/>
      <c r="G22" s="399"/>
      <c r="H22" s="399"/>
      <c r="I22" s="399"/>
      <c r="J22" s="405"/>
      <c r="K22" s="399"/>
      <c r="L22" s="399"/>
      <c r="M22" s="399"/>
      <c r="N22" s="399"/>
      <c r="O22" s="399"/>
      <c r="P22" s="398" t="str">
        <f t="shared" si="1"/>
        <v/>
      </c>
      <c r="Q22" s="399"/>
      <c r="R22" s="398" t="str">
        <f t="shared" si="2"/>
        <v>Blank</v>
      </c>
    </row>
    <row r="23" spans="1:18">
      <c r="A23" s="398" t="str">
        <f t="shared" si="0"/>
        <v/>
      </c>
      <c r="B23" s="399"/>
      <c r="C23" s="398" t="str">
        <f>IFERROR(INDEX(DATA_PROPERTY_MASTER!$B:$B,MATCH($B23,DATA_PROPERTY_MASTER!$A:$A,0)),"")</f>
        <v/>
      </c>
      <c r="D23" s="400"/>
      <c r="E23" s="399"/>
      <c r="F23" s="399"/>
      <c r="G23" s="399"/>
      <c r="H23" s="399"/>
      <c r="I23" s="399"/>
      <c r="J23" s="405"/>
      <c r="K23" s="399"/>
      <c r="L23" s="399"/>
      <c r="M23" s="399"/>
      <c r="N23" s="399"/>
      <c r="O23" s="399"/>
      <c r="P23" s="398" t="str">
        <f t="shared" si="1"/>
        <v/>
      </c>
      <c r="Q23" s="399"/>
      <c r="R23" s="398" t="str">
        <f t="shared" si="2"/>
        <v>Blank</v>
      </c>
    </row>
    <row r="24" spans="1:18">
      <c r="A24" s="398" t="str">
        <f t="shared" si="0"/>
        <v/>
      </c>
      <c r="B24" s="399"/>
      <c r="C24" s="398" t="str">
        <f>IFERROR(INDEX(DATA_PROPERTY_MASTER!$B:$B,MATCH($B24,DATA_PROPERTY_MASTER!$A:$A,0)),"")</f>
        <v/>
      </c>
      <c r="D24" s="400"/>
      <c r="E24" s="399"/>
      <c r="F24" s="399"/>
      <c r="G24" s="399"/>
      <c r="H24" s="399"/>
      <c r="I24" s="399"/>
      <c r="J24" s="405"/>
      <c r="K24" s="399"/>
      <c r="L24" s="399"/>
      <c r="M24" s="399"/>
      <c r="N24" s="399"/>
      <c r="O24" s="399"/>
      <c r="P24" s="398" t="str">
        <f t="shared" si="1"/>
        <v/>
      </c>
      <c r="Q24" s="399"/>
      <c r="R24" s="398" t="str">
        <f t="shared" si="2"/>
        <v>Blank</v>
      </c>
    </row>
    <row r="25" spans="1:18">
      <c r="A25" s="398" t="str">
        <f t="shared" si="0"/>
        <v/>
      </c>
      <c r="B25" s="399"/>
      <c r="C25" s="398" t="str">
        <f>IFERROR(INDEX(DATA_PROPERTY_MASTER!$B:$B,MATCH($B25,DATA_PROPERTY_MASTER!$A:$A,0)),"")</f>
        <v/>
      </c>
      <c r="D25" s="400"/>
      <c r="E25" s="399"/>
      <c r="F25" s="399"/>
      <c r="G25" s="399"/>
      <c r="H25" s="399"/>
      <c r="I25" s="399"/>
      <c r="J25" s="405"/>
      <c r="K25" s="399"/>
      <c r="L25" s="399"/>
      <c r="M25" s="399"/>
      <c r="N25" s="399"/>
      <c r="O25" s="399"/>
      <c r="P25" s="398" t="str">
        <f t="shared" si="1"/>
        <v/>
      </c>
      <c r="Q25" s="399"/>
      <c r="R25" s="398" t="str">
        <f t="shared" si="2"/>
        <v>Blank</v>
      </c>
    </row>
    <row r="26" spans="1:18">
      <c r="A26" s="398" t="str">
        <f t="shared" si="0"/>
        <v/>
      </c>
      <c r="B26" s="399"/>
      <c r="C26" s="398" t="str">
        <f>IFERROR(INDEX(DATA_PROPERTY_MASTER!$B:$B,MATCH($B26,DATA_PROPERTY_MASTER!$A:$A,0)),"")</f>
        <v/>
      </c>
      <c r="D26" s="400"/>
      <c r="E26" s="399"/>
      <c r="F26" s="399"/>
      <c r="G26" s="399"/>
      <c r="H26" s="399"/>
      <c r="I26" s="399"/>
      <c r="J26" s="405"/>
      <c r="K26" s="399"/>
      <c r="L26" s="399"/>
      <c r="M26" s="399"/>
      <c r="N26" s="399"/>
      <c r="O26" s="399"/>
      <c r="P26" s="398" t="str">
        <f t="shared" si="1"/>
        <v/>
      </c>
      <c r="Q26" s="399"/>
      <c r="R26" s="398" t="str">
        <f t="shared" si="2"/>
        <v>Blank</v>
      </c>
    </row>
    <row r="27" spans="1:18">
      <c r="A27" s="398" t="str">
        <f t="shared" si="0"/>
        <v/>
      </c>
      <c r="B27" s="399"/>
      <c r="C27" s="398" t="str">
        <f>IFERROR(INDEX(DATA_PROPERTY_MASTER!$B:$B,MATCH($B27,DATA_PROPERTY_MASTER!$A:$A,0)),"")</f>
        <v/>
      </c>
      <c r="D27" s="400"/>
      <c r="E27" s="399"/>
      <c r="F27" s="399"/>
      <c r="G27" s="399"/>
      <c r="H27" s="399"/>
      <c r="I27" s="399"/>
      <c r="J27" s="405"/>
      <c r="K27" s="399"/>
      <c r="L27" s="399"/>
      <c r="M27" s="399"/>
      <c r="N27" s="399"/>
      <c r="O27" s="399"/>
      <c r="P27" s="398" t="str">
        <f t="shared" si="1"/>
        <v/>
      </c>
      <c r="Q27" s="399"/>
      <c r="R27" s="398" t="str">
        <f t="shared" si="2"/>
        <v>Blank</v>
      </c>
    </row>
    <row r="28" spans="1:18">
      <c r="A28" s="398" t="str">
        <f t="shared" si="0"/>
        <v/>
      </c>
      <c r="B28" s="399"/>
      <c r="C28" s="398" t="str">
        <f>IFERROR(INDEX(DATA_PROPERTY_MASTER!$B:$B,MATCH($B28,DATA_PROPERTY_MASTER!$A:$A,0)),"")</f>
        <v/>
      </c>
      <c r="D28" s="400"/>
      <c r="E28" s="399"/>
      <c r="F28" s="399"/>
      <c r="G28" s="399"/>
      <c r="H28" s="399"/>
      <c r="I28" s="399"/>
      <c r="J28" s="405"/>
      <c r="K28" s="399"/>
      <c r="L28" s="399"/>
      <c r="M28" s="399"/>
      <c r="N28" s="399"/>
      <c r="O28" s="399"/>
      <c r="P28" s="398" t="str">
        <f t="shared" si="1"/>
        <v/>
      </c>
      <c r="Q28" s="399"/>
      <c r="R28" s="398" t="str">
        <f t="shared" si="2"/>
        <v>Blank</v>
      </c>
    </row>
    <row r="29" spans="1:18">
      <c r="A29" s="398" t="str">
        <f t="shared" si="0"/>
        <v/>
      </c>
      <c r="B29" s="399"/>
      <c r="C29" s="398" t="str">
        <f>IFERROR(INDEX(DATA_PROPERTY_MASTER!$B:$B,MATCH($B29,DATA_PROPERTY_MASTER!$A:$A,0)),"")</f>
        <v/>
      </c>
      <c r="D29" s="400"/>
      <c r="E29" s="399"/>
      <c r="F29" s="399"/>
      <c r="G29" s="399"/>
      <c r="H29" s="399"/>
      <c r="I29" s="399"/>
      <c r="J29" s="405"/>
      <c r="K29" s="399"/>
      <c r="L29" s="399"/>
      <c r="M29" s="399"/>
      <c r="N29" s="399"/>
      <c r="O29" s="399"/>
      <c r="P29" s="398" t="str">
        <f t="shared" si="1"/>
        <v/>
      </c>
      <c r="Q29" s="399"/>
      <c r="R29" s="398" t="str">
        <f t="shared" si="2"/>
        <v>Blank</v>
      </c>
    </row>
    <row r="30" spans="1:18">
      <c r="A30" s="398" t="str">
        <f t="shared" si="0"/>
        <v/>
      </c>
      <c r="B30" s="399"/>
      <c r="C30" s="398" t="str">
        <f>IFERROR(INDEX(DATA_PROPERTY_MASTER!$B:$B,MATCH($B30,DATA_PROPERTY_MASTER!$A:$A,0)),"")</f>
        <v/>
      </c>
      <c r="D30" s="400"/>
      <c r="E30" s="399"/>
      <c r="F30" s="399"/>
      <c r="G30" s="399"/>
      <c r="H30" s="399"/>
      <c r="I30" s="399"/>
      <c r="J30" s="405"/>
      <c r="K30" s="399"/>
      <c r="L30" s="399"/>
      <c r="M30" s="399"/>
      <c r="N30" s="399"/>
      <c r="O30" s="399"/>
      <c r="P30" s="398" t="str">
        <f t="shared" si="1"/>
        <v/>
      </c>
      <c r="Q30" s="399"/>
      <c r="R30" s="398" t="str">
        <f t="shared" si="2"/>
        <v>Blank</v>
      </c>
    </row>
    <row r="31" spans="1:18">
      <c r="A31" s="398" t="str">
        <f t="shared" si="0"/>
        <v/>
      </c>
      <c r="B31" s="399"/>
      <c r="C31" s="398" t="str">
        <f>IFERROR(INDEX(DATA_PROPERTY_MASTER!$B:$B,MATCH($B31,DATA_PROPERTY_MASTER!$A:$A,0)),"")</f>
        <v/>
      </c>
      <c r="D31" s="400"/>
      <c r="E31" s="399"/>
      <c r="F31" s="399"/>
      <c r="G31" s="399"/>
      <c r="H31" s="399"/>
      <c r="I31" s="399"/>
      <c r="J31" s="405"/>
      <c r="K31" s="399"/>
      <c r="L31" s="399"/>
      <c r="M31" s="399"/>
      <c r="N31" s="399"/>
      <c r="O31" s="399"/>
      <c r="P31" s="398" t="str">
        <f t="shared" si="1"/>
        <v/>
      </c>
      <c r="Q31" s="399"/>
      <c r="R31" s="398" t="str">
        <f t="shared" si="2"/>
        <v>Blank</v>
      </c>
    </row>
    <row r="32" spans="1:18">
      <c r="A32" s="398" t="str">
        <f t="shared" si="0"/>
        <v/>
      </c>
      <c r="B32" s="399"/>
      <c r="C32" s="398" t="str">
        <f>IFERROR(INDEX(DATA_PROPERTY_MASTER!$B:$B,MATCH($B32,DATA_PROPERTY_MASTER!$A:$A,0)),"")</f>
        <v/>
      </c>
      <c r="D32" s="400"/>
      <c r="E32" s="399"/>
      <c r="F32" s="399"/>
      <c r="G32" s="399"/>
      <c r="H32" s="399"/>
      <c r="I32" s="399"/>
      <c r="J32" s="405"/>
      <c r="K32" s="399"/>
      <c r="L32" s="399"/>
      <c r="M32" s="399"/>
      <c r="N32" s="399"/>
      <c r="O32" s="399"/>
      <c r="P32" s="398" t="str">
        <f t="shared" si="1"/>
        <v/>
      </c>
      <c r="Q32" s="399"/>
      <c r="R32" s="398" t="str">
        <f t="shared" si="2"/>
        <v>Blank</v>
      </c>
    </row>
    <row r="33" spans="1:18">
      <c r="A33" s="398" t="str">
        <f t="shared" si="0"/>
        <v/>
      </c>
      <c r="B33" s="399"/>
      <c r="C33" s="398" t="str">
        <f>IFERROR(INDEX(DATA_PROPERTY_MASTER!$B:$B,MATCH($B33,DATA_PROPERTY_MASTER!$A:$A,0)),"")</f>
        <v/>
      </c>
      <c r="D33" s="400"/>
      <c r="E33" s="399"/>
      <c r="F33" s="399"/>
      <c r="G33" s="399"/>
      <c r="H33" s="399"/>
      <c r="I33" s="399"/>
      <c r="J33" s="405"/>
      <c r="K33" s="399"/>
      <c r="L33" s="399"/>
      <c r="M33" s="399"/>
      <c r="N33" s="399"/>
      <c r="O33" s="399"/>
      <c r="P33" s="398" t="str">
        <f t="shared" si="1"/>
        <v/>
      </c>
      <c r="Q33" s="399"/>
      <c r="R33" s="398" t="str">
        <f t="shared" si="2"/>
        <v>Blank</v>
      </c>
    </row>
    <row r="34" spans="1:18">
      <c r="A34" s="398" t="str">
        <f t="shared" si="0"/>
        <v/>
      </c>
      <c r="B34" s="399"/>
      <c r="C34" s="398" t="str">
        <f>IFERROR(INDEX(DATA_PROPERTY_MASTER!$B:$B,MATCH($B34,DATA_PROPERTY_MASTER!$A:$A,0)),"")</f>
        <v/>
      </c>
      <c r="D34" s="400"/>
      <c r="E34" s="399"/>
      <c r="F34" s="399"/>
      <c r="G34" s="399"/>
      <c r="H34" s="399"/>
      <c r="I34" s="399"/>
      <c r="J34" s="405"/>
      <c r="K34" s="399"/>
      <c r="L34" s="399"/>
      <c r="M34" s="399"/>
      <c r="N34" s="399"/>
      <c r="O34" s="399"/>
      <c r="P34" s="398" t="str">
        <f t="shared" si="1"/>
        <v/>
      </c>
      <c r="Q34" s="399"/>
      <c r="R34" s="398" t="str">
        <f t="shared" si="2"/>
        <v>Blank</v>
      </c>
    </row>
    <row r="35" spans="1:18">
      <c r="A35" s="398" t="str">
        <f t="shared" si="0"/>
        <v/>
      </c>
      <c r="B35" s="399"/>
      <c r="C35" s="398" t="str">
        <f>IFERROR(INDEX(DATA_PROPERTY_MASTER!$B:$B,MATCH($B35,DATA_PROPERTY_MASTER!$A:$A,0)),"")</f>
        <v/>
      </c>
      <c r="D35" s="400"/>
      <c r="E35" s="399"/>
      <c r="F35" s="399"/>
      <c r="G35" s="399"/>
      <c r="H35" s="399"/>
      <c r="I35" s="399"/>
      <c r="J35" s="405"/>
      <c r="K35" s="399"/>
      <c r="L35" s="399"/>
      <c r="M35" s="399"/>
      <c r="N35" s="399"/>
      <c r="O35" s="399"/>
      <c r="P35" s="398" t="str">
        <f t="shared" si="1"/>
        <v/>
      </c>
      <c r="Q35" s="399"/>
      <c r="R35" s="398" t="str">
        <f t="shared" si="2"/>
        <v>Blank</v>
      </c>
    </row>
    <row r="36" spans="1:18">
      <c r="A36" s="398" t="str">
        <f t="shared" si="0"/>
        <v/>
      </c>
      <c r="B36" s="399"/>
      <c r="C36" s="398" t="str">
        <f>IFERROR(INDEX(DATA_PROPERTY_MASTER!$B:$B,MATCH($B36,DATA_PROPERTY_MASTER!$A:$A,0)),"")</f>
        <v/>
      </c>
      <c r="D36" s="400"/>
      <c r="E36" s="399"/>
      <c r="F36" s="399"/>
      <c r="G36" s="399"/>
      <c r="H36" s="399"/>
      <c r="I36" s="399"/>
      <c r="J36" s="405"/>
      <c r="K36" s="399"/>
      <c r="L36" s="399"/>
      <c r="M36" s="399"/>
      <c r="N36" s="399"/>
      <c r="O36" s="399"/>
      <c r="P36" s="398" t="str">
        <f t="shared" si="1"/>
        <v/>
      </c>
      <c r="Q36" s="399"/>
      <c r="R36" s="398" t="str">
        <f t="shared" si="2"/>
        <v>Blank</v>
      </c>
    </row>
    <row r="37" spans="1:18">
      <c r="A37" s="398" t="str">
        <f t="shared" si="0"/>
        <v/>
      </c>
      <c r="B37" s="399"/>
      <c r="C37" s="398" t="str">
        <f>IFERROR(INDEX(DATA_PROPERTY_MASTER!$B:$B,MATCH($B37,DATA_PROPERTY_MASTER!$A:$A,0)),"")</f>
        <v/>
      </c>
      <c r="D37" s="400"/>
      <c r="E37" s="399"/>
      <c r="F37" s="399"/>
      <c r="G37" s="399"/>
      <c r="H37" s="399"/>
      <c r="I37" s="399"/>
      <c r="J37" s="405"/>
      <c r="K37" s="399"/>
      <c r="L37" s="399"/>
      <c r="M37" s="399"/>
      <c r="N37" s="399"/>
      <c r="O37" s="399"/>
      <c r="P37" s="398" t="str">
        <f t="shared" si="1"/>
        <v/>
      </c>
      <c r="Q37" s="399"/>
      <c r="R37" s="398" t="str">
        <f t="shared" si="2"/>
        <v>Blank</v>
      </c>
    </row>
    <row r="38" spans="1:18">
      <c r="A38" s="398" t="str">
        <f t="shared" si="0"/>
        <v/>
      </c>
      <c r="B38" s="399"/>
      <c r="C38" s="398" t="str">
        <f>IFERROR(INDEX(DATA_PROPERTY_MASTER!$B:$B,MATCH($B38,DATA_PROPERTY_MASTER!$A:$A,0)),"")</f>
        <v/>
      </c>
      <c r="D38" s="400"/>
      <c r="E38" s="399"/>
      <c r="F38" s="399"/>
      <c r="G38" s="399"/>
      <c r="H38" s="399"/>
      <c r="I38" s="399"/>
      <c r="J38" s="405"/>
      <c r="K38" s="399"/>
      <c r="L38" s="399"/>
      <c r="M38" s="399"/>
      <c r="N38" s="399"/>
      <c r="O38" s="399"/>
      <c r="P38" s="398" t="str">
        <f t="shared" si="1"/>
        <v/>
      </c>
      <c r="Q38" s="399"/>
      <c r="R38" s="398" t="str">
        <f t="shared" si="2"/>
        <v>Blank</v>
      </c>
    </row>
    <row r="39" spans="1:18">
      <c r="A39" s="398" t="str">
        <f t="shared" ref="A39:A70" si="3">IF($B39="","","OA-"&amp;TEXT(ROW()-6,"0000"))</f>
        <v/>
      </c>
      <c r="B39" s="399"/>
      <c r="C39" s="398" t="str">
        <f>IFERROR(INDEX(DATA_PROPERTY_MASTER!$B:$B,MATCH($B39,DATA_PROPERTY_MASTER!$A:$A,0)),"")</f>
        <v/>
      </c>
      <c r="D39" s="400"/>
      <c r="E39" s="399"/>
      <c r="F39" s="399"/>
      <c r="G39" s="399"/>
      <c r="H39" s="399"/>
      <c r="I39" s="399"/>
      <c r="J39" s="405"/>
      <c r="K39" s="399"/>
      <c r="L39" s="399"/>
      <c r="M39" s="399"/>
      <c r="N39" s="399"/>
      <c r="O39" s="399"/>
      <c r="P39" s="398" t="str">
        <f t="shared" ref="P39:P70" si="4">IF($B39="","",$B39&amp;"|"&amp;$D39&amp;"|"&amp;$F39&amp;"|"&amp;$I39)</f>
        <v/>
      </c>
      <c r="Q39" s="399"/>
      <c r="R39" s="398" t="str">
        <f t="shared" ref="R39:R70" si="5">IF($B39="","Blank",IF(OR($D39="",$I39="",$J39=""),"Review","OK"))</f>
        <v>Blank</v>
      </c>
    </row>
    <row r="40" spans="1:18">
      <c r="A40" s="398" t="str">
        <f t="shared" si="3"/>
        <v/>
      </c>
      <c r="B40" s="399"/>
      <c r="C40" s="398" t="str">
        <f>IFERROR(INDEX(DATA_PROPERTY_MASTER!$B:$B,MATCH($B40,DATA_PROPERTY_MASTER!$A:$A,0)),"")</f>
        <v/>
      </c>
      <c r="D40" s="400"/>
      <c r="E40" s="399"/>
      <c r="F40" s="399"/>
      <c r="G40" s="399"/>
      <c r="H40" s="399"/>
      <c r="I40" s="399"/>
      <c r="J40" s="405"/>
      <c r="K40" s="399"/>
      <c r="L40" s="399"/>
      <c r="M40" s="399"/>
      <c r="N40" s="399"/>
      <c r="O40" s="399"/>
      <c r="P40" s="398" t="str">
        <f t="shared" si="4"/>
        <v/>
      </c>
      <c r="Q40" s="399"/>
      <c r="R40" s="398" t="str">
        <f t="shared" si="5"/>
        <v>Blank</v>
      </c>
    </row>
    <row r="41" spans="1:18">
      <c r="A41" s="398" t="str">
        <f t="shared" si="3"/>
        <v/>
      </c>
      <c r="B41" s="399"/>
      <c r="C41" s="398" t="str">
        <f>IFERROR(INDEX(DATA_PROPERTY_MASTER!$B:$B,MATCH($B41,DATA_PROPERTY_MASTER!$A:$A,0)),"")</f>
        <v/>
      </c>
      <c r="D41" s="400"/>
      <c r="E41" s="399"/>
      <c r="F41" s="399"/>
      <c r="G41" s="399"/>
      <c r="H41" s="399"/>
      <c r="I41" s="399"/>
      <c r="J41" s="405"/>
      <c r="K41" s="399"/>
      <c r="L41" s="399"/>
      <c r="M41" s="399"/>
      <c r="N41" s="399"/>
      <c r="O41" s="399"/>
      <c r="P41" s="398" t="str">
        <f t="shared" si="4"/>
        <v/>
      </c>
      <c r="Q41" s="399"/>
      <c r="R41" s="398" t="str">
        <f t="shared" si="5"/>
        <v>Blank</v>
      </c>
    </row>
    <row r="42" spans="1:18">
      <c r="A42" s="398" t="str">
        <f t="shared" si="3"/>
        <v/>
      </c>
      <c r="B42" s="399"/>
      <c r="C42" s="398" t="str">
        <f>IFERROR(INDEX(DATA_PROPERTY_MASTER!$B:$B,MATCH($B42,DATA_PROPERTY_MASTER!$A:$A,0)),"")</f>
        <v/>
      </c>
      <c r="D42" s="400"/>
      <c r="E42" s="399"/>
      <c r="F42" s="399"/>
      <c r="G42" s="399"/>
      <c r="H42" s="399"/>
      <c r="I42" s="399"/>
      <c r="J42" s="405"/>
      <c r="K42" s="399"/>
      <c r="L42" s="399"/>
      <c r="M42" s="399"/>
      <c r="N42" s="399"/>
      <c r="O42" s="399"/>
      <c r="P42" s="398" t="str">
        <f t="shared" si="4"/>
        <v/>
      </c>
      <c r="Q42" s="399"/>
      <c r="R42" s="398" t="str">
        <f t="shared" si="5"/>
        <v>Blank</v>
      </c>
    </row>
    <row r="43" spans="1:18">
      <c r="A43" s="398" t="str">
        <f t="shared" si="3"/>
        <v/>
      </c>
      <c r="B43" s="399"/>
      <c r="C43" s="398" t="str">
        <f>IFERROR(INDEX(DATA_PROPERTY_MASTER!$B:$B,MATCH($B43,DATA_PROPERTY_MASTER!$A:$A,0)),"")</f>
        <v/>
      </c>
      <c r="D43" s="400"/>
      <c r="E43" s="399"/>
      <c r="F43" s="399"/>
      <c r="G43" s="399"/>
      <c r="H43" s="399"/>
      <c r="I43" s="399"/>
      <c r="J43" s="405"/>
      <c r="K43" s="399"/>
      <c r="L43" s="399"/>
      <c r="M43" s="399"/>
      <c r="N43" s="399"/>
      <c r="O43" s="399"/>
      <c r="P43" s="398" t="str">
        <f t="shared" si="4"/>
        <v/>
      </c>
      <c r="Q43" s="399"/>
      <c r="R43" s="398" t="str">
        <f t="shared" si="5"/>
        <v>Blank</v>
      </c>
    </row>
    <row r="44" spans="1:18">
      <c r="A44" s="398" t="str">
        <f t="shared" si="3"/>
        <v/>
      </c>
      <c r="B44" s="399"/>
      <c r="C44" s="398" t="str">
        <f>IFERROR(INDEX(DATA_PROPERTY_MASTER!$B:$B,MATCH($B44,DATA_PROPERTY_MASTER!$A:$A,0)),"")</f>
        <v/>
      </c>
      <c r="D44" s="400"/>
      <c r="E44" s="399"/>
      <c r="F44" s="399"/>
      <c r="G44" s="399"/>
      <c r="H44" s="399"/>
      <c r="I44" s="399"/>
      <c r="J44" s="405"/>
      <c r="K44" s="399"/>
      <c r="L44" s="399"/>
      <c r="M44" s="399"/>
      <c r="N44" s="399"/>
      <c r="O44" s="399"/>
      <c r="P44" s="398" t="str">
        <f t="shared" si="4"/>
        <v/>
      </c>
      <c r="Q44" s="399"/>
      <c r="R44" s="398" t="str">
        <f t="shared" si="5"/>
        <v>Blank</v>
      </c>
    </row>
    <row r="45" spans="1:18">
      <c r="A45" s="398" t="str">
        <f t="shared" si="3"/>
        <v/>
      </c>
      <c r="B45" s="399"/>
      <c r="C45" s="398" t="str">
        <f>IFERROR(INDEX(DATA_PROPERTY_MASTER!$B:$B,MATCH($B45,DATA_PROPERTY_MASTER!$A:$A,0)),"")</f>
        <v/>
      </c>
      <c r="D45" s="400"/>
      <c r="E45" s="399"/>
      <c r="F45" s="399"/>
      <c r="G45" s="399"/>
      <c r="H45" s="399"/>
      <c r="I45" s="399"/>
      <c r="J45" s="405"/>
      <c r="K45" s="399"/>
      <c r="L45" s="399"/>
      <c r="M45" s="399"/>
      <c r="N45" s="399"/>
      <c r="O45" s="399"/>
      <c r="P45" s="398" t="str">
        <f t="shared" si="4"/>
        <v/>
      </c>
      <c r="Q45" s="399"/>
      <c r="R45" s="398" t="str">
        <f t="shared" si="5"/>
        <v>Blank</v>
      </c>
    </row>
    <row r="46" spans="1:18">
      <c r="A46" s="398" t="str">
        <f t="shared" si="3"/>
        <v/>
      </c>
      <c r="B46" s="399"/>
      <c r="C46" s="398" t="str">
        <f>IFERROR(INDEX(DATA_PROPERTY_MASTER!$B:$B,MATCH($B46,DATA_PROPERTY_MASTER!$A:$A,0)),"")</f>
        <v/>
      </c>
      <c r="D46" s="400"/>
      <c r="E46" s="399"/>
      <c r="F46" s="399"/>
      <c r="G46" s="399"/>
      <c r="H46" s="399"/>
      <c r="I46" s="399"/>
      <c r="J46" s="405"/>
      <c r="K46" s="399"/>
      <c r="L46" s="399"/>
      <c r="M46" s="399"/>
      <c r="N46" s="399"/>
      <c r="O46" s="399"/>
      <c r="P46" s="398" t="str">
        <f t="shared" si="4"/>
        <v/>
      </c>
      <c r="Q46" s="399"/>
      <c r="R46" s="398" t="str">
        <f t="shared" si="5"/>
        <v>Blank</v>
      </c>
    </row>
    <row r="47" spans="1:18">
      <c r="A47" s="398" t="str">
        <f t="shared" si="3"/>
        <v/>
      </c>
      <c r="B47" s="399"/>
      <c r="C47" s="398" t="str">
        <f>IFERROR(INDEX(DATA_PROPERTY_MASTER!$B:$B,MATCH($B47,DATA_PROPERTY_MASTER!$A:$A,0)),"")</f>
        <v/>
      </c>
      <c r="D47" s="400"/>
      <c r="E47" s="399"/>
      <c r="F47" s="399"/>
      <c r="G47" s="399"/>
      <c r="H47" s="399"/>
      <c r="I47" s="399"/>
      <c r="J47" s="405"/>
      <c r="K47" s="399"/>
      <c r="L47" s="399"/>
      <c r="M47" s="399"/>
      <c r="N47" s="399"/>
      <c r="O47" s="399"/>
      <c r="P47" s="398" t="str">
        <f t="shared" si="4"/>
        <v/>
      </c>
      <c r="Q47" s="399"/>
      <c r="R47" s="398" t="str">
        <f t="shared" si="5"/>
        <v>Blank</v>
      </c>
    </row>
    <row r="48" spans="1:18">
      <c r="A48" s="398" t="str">
        <f t="shared" si="3"/>
        <v/>
      </c>
      <c r="B48" s="399"/>
      <c r="C48" s="398" t="str">
        <f>IFERROR(INDEX(DATA_PROPERTY_MASTER!$B:$B,MATCH($B48,DATA_PROPERTY_MASTER!$A:$A,0)),"")</f>
        <v/>
      </c>
      <c r="D48" s="400"/>
      <c r="E48" s="399"/>
      <c r="F48" s="399"/>
      <c r="G48" s="399"/>
      <c r="H48" s="399"/>
      <c r="I48" s="399"/>
      <c r="J48" s="405"/>
      <c r="K48" s="399"/>
      <c r="L48" s="399"/>
      <c r="M48" s="399"/>
      <c r="N48" s="399"/>
      <c r="O48" s="399"/>
      <c r="P48" s="398" t="str">
        <f t="shared" si="4"/>
        <v/>
      </c>
      <c r="Q48" s="399"/>
      <c r="R48" s="398" t="str">
        <f t="shared" si="5"/>
        <v>Blank</v>
      </c>
    </row>
    <row r="49" spans="1:18">
      <c r="A49" s="398" t="str">
        <f t="shared" si="3"/>
        <v/>
      </c>
      <c r="B49" s="399"/>
      <c r="C49" s="398" t="str">
        <f>IFERROR(INDEX(DATA_PROPERTY_MASTER!$B:$B,MATCH($B49,DATA_PROPERTY_MASTER!$A:$A,0)),"")</f>
        <v/>
      </c>
      <c r="D49" s="400"/>
      <c r="E49" s="399"/>
      <c r="F49" s="399"/>
      <c r="G49" s="399"/>
      <c r="H49" s="399"/>
      <c r="I49" s="399"/>
      <c r="J49" s="405"/>
      <c r="K49" s="399"/>
      <c r="L49" s="399"/>
      <c r="M49" s="399"/>
      <c r="N49" s="399"/>
      <c r="O49" s="399"/>
      <c r="P49" s="398" t="str">
        <f t="shared" si="4"/>
        <v/>
      </c>
      <c r="Q49" s="399"/>
      <c r="R49" s="398" t="str">
        <f t="shared" si="5"/>
        <v>Blank</v>
      </c>
    </row>
    <row r="50" spans="1:18">
      <c r="A50" s="398" t="str">
        <f t="shared" si="3"/>
        <v/>
      </c>
      <c r="B50" s="399"/>
      <c r="C50" s="398" t="str">
        <f>IFERROR(INDEX(DATA_PROPERTY_MASTER!$B:$B,MATCH($B50,DATA_PROPERTY_MASTER!$A:$A,0)),"")</f>
        <v/>
      </c>
      <c r="D50" s="400"/>
      <c r="E50" s="399"/>
      <c r="F50" s="399"/>
      <c r="G50" s="399"/>
      <c r="H50" s="399"/>
      <c r="I50" s="399"/>
      <c r="J50" s="405"/>
      <c r="K50" s="399"/>
      <c r="L50" s="399"/>
      <c r="M50" s="399"/>
      <c r="N50" s="399"/>
      <c r="O50" s="399"/>
      <c r="P50" s="398" t="str">
        <f t="shared" si="4"/>
        <v/>
      </c>
      <c r="Q50" s="399"/>
      <c r="R50" s="398" t="str">
        <f t="shared" si="5"/>
        <v>Blank</v>
      </c>
    </row>
    <row r="51" spans="1:18">
      <c r="A51" s="398" t="str">
        <f t="shared" si="3"/>
        <v/>
      </c>
      <c r="B51" s="399"/>
      <c r="C51" s="398" t="str">
        <f>IFERROR(INDEX(DATA_PROPERTY_MASTER!$B:$B,MATCH($B51,DATA_PROPERTY_MASTER!$A:$A,0)),"")</f>
        <v/>
      </c>
      <c r="D51" s="400"/>
      <c r="E51" s="399"/>
      <c r="F51" s="399"/>
      <c r="G51" s="399"/>
      <c r="H51" s="399"/>
      <c r="I51" s="399"/>
      <c r="J51" s="405"/>
      <c r="K51" s="399"/>
      <c r="L51" s="399"/>
      <c r="M51" s="399"/>
      <c r="N51" s="399"/>
      <c r="O51" s="399"/>
      <c r="P51" s="398" t="str">
        <f t="shared" si="4"/>
        <v/>
      </c>
      <c r="Q51" s="399"/>
      <c r="R51" s="398" t="str">
        <f t="shared" si="5"/>
        <v>Blank</v>
      </c>
    </row>
    <row r="52" spans="1:18">
      <c r="A52" s="398" t="str">
        <f t="shared" si="3"/>
        <v/>
      </c>
      <c r="B52" s="399"/>
      <c r="C52" s="398" t="str">
        <f>IFERROR(INDEX(DATA_PROPERTY_MASTER!$B:$B,MATCH($B52,DATA_PROPERTY_MASTER!$A:$A,0)),"")</f>
        <v/>
      </c>
      <c r="D52" s="400"/>
      <c r="E52" s="399"/>
      <c r="F52" s="399"/>
      <c r="G52" s="399"/>
      <c r="H52" s="399"/>
      <c r="I52" s="399"/>
      <c r="J52" s="405"/>
      <c r="K52" s="399"/>
      <c r="L52" s="399"/>
      <c r="M52" s="399"/>
      <c r="N52" s="399"/>
      <c r="O52" s="399"/>
      <c r="P52" s="398" t="str">
        <f t="shared" si="4"/>
        <v/>
      </c>
      <c r="Q52" s="399"/>
      <c r="R52" s="398" t="str">
        <f t="shared" si="5"/>
        <v>Blank</v>
      </c>
    </row>
    <row r="53" spans="1:18">
      <c r="A53" s="398" t="str">
        <f t="shared" si="3"/>
        <v/>
      </c>
      <c r="B53" s="399"/>
      <c r="C53" s="398" t="str">
        <f>IFERROR(INDEX(DATA_PROPERTY_MASTER!$B:$B,MATCH($B53,DATA_PROPERTY_MASTER!$A:$A,0)),"")</f>
        <v/>
      </c>
      <c r="D53" s="400"/>
      <c r="E53" s="399"/>
      <c r="F53" s="399"/>
      <c r="G53" s="399"/>
      <c r="H53" s="399"/>
      <c r="I53" s="399"/>
      <c r="J53" s="405"/>
      <c r="K53" s="399"/>
      <c r="L53" s="399"/>
      <c r="M53" s="399"/>
      <c r="N53" s="399"/>
      <c r="O53" s="399"/>
      <c r="P53" s="398" t="str">
        <f t="shared" si="4"/>
        <v/>
      </c>
      <c r="Q53" s="399"/>
      <c r="R53" s="398" t="str">
        <f t="shared" si="5"/>
        <v>Blank</v>
      </c>
    </row>
    <row r="54" spans="1:18">
      <c r="A54" s="398" t="str">
        <f t="shared" si="3"/>
        <v/>
      </c>
      <c r="B54" s="399"/>
      <c r="C54" s="398" t="str">
        <f>IFERROR(INDEX(DATA_PROPERTY_MASTER!$B:$B,MATCH($B54,DATA_PROPERTY_MASTER!$A:$A,0)),"")</f>
        <v/>
      </c>
      <c r="D54" s="400"/>
      <c r="E54" s="399"/>
      <c r="F54" s="399"/>
      <c r="G54" s="399"/>
      <c r="H54" s="399"/>
      <c r="I54" s="399"/>
      <c r="J54" s="405"/>
      <c r="K54" s="399"/>
      <c r="L54" s="399"/>
      <c r="M54" s="399"/>
      <c r="N54" s="399"/>
      <c r="O54" s="399"/>
      <c r="P54" s="398" t="str">
        <f t="shared" si="4"/>
        <v/>
      </c>
      <c r="Q54" s="399"/>
      <c r="R54" s="398" t="str">
        <f t="shared" si="5"/>
        <v>Blank</v>
      </c>
    </row>
    <row r="55" spans="1:18">
      <c r="A55" s="398" t="str">
        <f t="shared" si="3"/>
        <v/>
      </c>
      <c r="B55" s="399"/>
      <c r="C55" s="398" t="str">
        <f>IFERROR(INDEX(DATA_PROPERTY_MASTER!$B:$B,MATCH($B55,DATA_PROPERTY_MASTER!$A:$A,0)),"")</f>
        <v/>
      </c>
      <c r="D55" s="400"/>
      <c r="E55" s="399"/>
      <c r="F55" s="399"/>
      <c r="G55" s="399"/>
      <c r="H55" s="399"/>
      <c r="I55" s="399"/>
      <c r="J55" s="405"/>
      <c r="K55" s="399"/>
      <c r="L55" s="399"/>
      <c r="M55" s="399"/>
      <c r="N55" s="399"/>
      <c r="O55" s="399"/>
      <c r="P55" s="398" t="str">
        <f t="shared" si="4"/>
        <v/>
      </c>
      <c r="Q55" s="399"/>
      <c r="R55" s="398" t="str">
        <f t="shared" si="5"/>
        <v>Blank</v>
      </c>
    </row>
    <row r="56" spans="1:18">
      <c r="A56" s="398" t="str">
        <f t="shared" si="3"/>
        <v/>
      </c>
      <c r="B56" s="399"/>
      <c r="C56" s="398" t="str">
        <f>IFERROR(INDEX(DATA_PROPERTY_MASTER!$B:$B,MATCH($B56,DATA_PROPERTY_MASTER!$A:$A,0)),"")</f>
        <v/>
      </c>
      <c r="D56" s="400"/>
      <c r="E56" s="399"/>
      <c r="F56" s="399"/>
      <c r="G56" s="399"/>
      <c r="H56" s="399"/>
      <c r="I56" s="399"/>
      <c r="J56" s="405"/>
      <c r="K56" s="399"/>
      <c r="L56" s="399"/>
      <c r="M56" s="399"/>
      <c r="N56" s="399"/>
      <c r="O56" s="399"/>
      <c r="P56" s="398" t="str">
        <f t="shared" si="4"/>
        <v/>
      </c>
      <c r="Q56" s="399"/>
      <c r="R56" s="398" t="str">
        <f t="shared" si="5"/>
        <v>Blank</v>
      </c>
    </row>
    <row r="57" spans="1:18">
      <c r="A57" s="398" t="str">
        <f t="shared" si="3"/>
        <v/>
      </c>
      <c r="B57" s="399"/>
      <c r="C57" s="398" t="str">
        <f>IFERROR(INDEX(DATA_PROPERTY_MASTER!$B:$B,MATCH($B57,DATA_PROPERTY_MASTER!$A:$A,0)),"")</f>
        <v/>
      </c>
      <c r="D57" s="400"/>
      <c r="E57" s="399"/>
      <c r="F57" s="399"/>
      <c r="G57" s="399"/>
      <c r="H57" s="399"/>
      <c r="I57" s="399"/>
      <c r="J57" s="405"/>
      <c r="K57" s="399"/>
      <c r="L57" s="399"/>
      <c r="M57" s="399"/>
      <c r="N57" s="399"/>
      <c r="O57" s="399"/>
      <c r="P57" s="398" t="str">
        <f t="shared" si="4"/>
        <v/>
      </c>
      <c r="Q57" s="399"/>
      <c r="R57" s="398" t="str">
        <f t="shared" si="5"/>
        <v>Blank</v>
      </c>
    </row>
    <row r="58" spans="1:18">
      <c r="A58" s="398" t="str">
        <f t="shared" si="3"/>
        <v/>
      </c>
      <c r="B58" s="399"/>
      <c r="C58" s="398" t="str">
        <f>IFERROR(INDEX(DATA_PROPERTY_MASTER!$B:$B,MATCH($B58,DATA_PROPERTY_MASTER!$A:$A,0)),"")</f>
        <v/>
      </c>
      <c r="D58" s="400"/>
      <c r="E58" s="399"/>
      <c r="F58" s="399"/>
      <c r="G58" s="399"/>
      <c r="H58" s="399"/>
      <c r="I58" s="399"/>
      <c r="J58" s="405"/>
      <c r="K58" s="399"/>
      <c r="L58" s="399"/>
      <c r="M58" s="399"/>
      <c r="N58" s="399"/>
      <c r="O58" s="399"/>
      <c r="P58" s="398" t="str">
        <f t="shared" si="4"/>
        <v/>
      </c>
      <c r="Q58" s="399"/>
      <c r="R58" s="398" t="str">
        <f t="shared" si="5"/>
        <v>Blank</v>
      </c>
    </row>
    <row r="59" spans="1:18">
      <c r="A59" s="398" t="str">
        <f t="shared" si="3"/>
        <v/>
      </c>
      <c r="B59" s="399"/>
      <c r="C59" s="398" t="str">
        <f>IFERROR(INDEX(DATA_PROPERTY_MASTER!$B:$B,MATCH($B59,DATA_PROPERTY_MASTER!$A:$A,0)),"")</f>
        <v/>
      </c>
      <c r="D59" s="400"/>
      <c r="E59" s="399"/>
      <c r="F59" s="399"/>
      <c r="G59" s="399"/>
      <c r="H59" s="399"/>
      <c r="I59" s="399"/>
      <c r="J59" s="405"/>
      <c r="K59" s="399"/>
      <c r="L59" s="399"/>
      <c r="M59" s="399"/>
      <c r="N59" s="399"/>
      <c r="O59" s="399"/>
      <c r="P59" s="398" t="str">
        <f t="shared" si="4"/>
        <v/>
      </c>
      <c r="Q59" s="399"/>
      <c r="R59" s="398" t="str">
        <f t="shared" si="5"/>
        <v>Blank</v>
      </c>
    </row>
    <row r="60" spans="1:18">
      <c r="A60" s="398" t="str">
        <f t="shared" si="3"/>
        <v/>
      </c>
      <c r="B60" s="399"/>
      <c r="C60" s="398" t="str">
        <f>IFERROR(INDEX(DATA_PROPERTY_MASTER!$B:$B,MATCH($B60,DATA_PROPERTY_MASTER!$A:$A,0)),"")</f>
        <v/>
      </c>
      <c r="D60" s="400"/>
      <c r="E60" s="399"/>
      <c r="F60" s="399"/>
      <c r="G60" s="399"/>
      <c r="H60" s="399"/>
      <c r="I60" s="399"/>
      <c r="J60" s="405"/>
      <c r="K60" s="399"/>
      <c r="L60" s="399"/>
      <c r="M60" s="399"/>
      <c r="N60" s="399"/>
      <c r="O60" s="399"/>
      <c r="P60" s="398" t="str">
        <f t="shared" si="4"/>
        <v/>
      </c>
      <c r="Q60" s="399"/>
      <c r="R60" s="398" t="str">
        <f t="shared" si="5"/>
        <v>Blank</v>
      </c>
    </row>
    <row r="61" spans="1:18">
      <c r="A61" s="398" t="str">
        <f t="shared" si="3"/>
        <v/>
      </c>
      <c r="B61" s="399"/>
      <c r="C61" s="398" t="str">
        <f>IFERROR(INDEX(DATA_PROPERTY_MASTER!$B:$B,MATCH($B61,DATA_PROPERTY_MASTER!$A:$A,0)),"")</f>
        <v/>
      </c>
      <c r="D61" s="400"/>
      <c r="E61" s="399"/>
      <c r="F61" s="399"/>
      <c r="G61" s="399"/>
      <c r="H61" s="399"/>
      <c r="I61" s="399"/>
      <c r="J61" s="405"/>
      <c r="K61" s="399"/>
      <c r="L61" s="399"/>
      <c r="M61" s="399"/>
      <c r="N61" s="399"/>
      <c r="O61" s="399"/>
      <c r="P61" s="398" t="str">
        <f t="shared" si="4"/>
        <v/>
      </c>
      <c r="Q61" s="399"/>
      <c r="R61" s="398" t="str">
        <f t="shared" si="5"/>
        <v>Blank</v>
      </c>
    </row>
    <row r="62" spans="1:18">
      <c r="A62" s="398" t="str">
        <f t="shared" si="3"/>
        <v/>
      </c>
      <c r="B62" s="399"/>
      <c r="C62" s="398" t="str">
        <f>IFERROR(INDEX(DATA_PROPERTY_MASTER!$B:$B,MATCH($B62,DATA_PROPERTY_MASTER!$A:$A,0)),"")</f>
        <v/>
      </c>
      <c r="D62" s="400"/>
      <c r="E62" s="399"/>
      <c r="F62" s="399"/>
      <c r="G62" s="399"/>
      <c r="H62" s="399"/>
      <c r="I62" s="399"/>
      <c r="J62" s="405"/>
      <c r="K62" s="399"/>
      <c r="L62" s="399"/>
      <c r="M62" s="399"/>
      <c r="N62" s="399"/>
      <c r="O62" s="399"/>
      <c r="P62" s="398" t="str">
        <f t="shared" si="4"/>
        <v/>
      </c>
      <c r="Q62" s="399"/>
      <c r="R62" s="398" t="str">
        <f t="shared" si="5"/>
        <v>Blank</v>
      </c>
    </row>
    <row r="63" spans="1:18">
      <c r="A63" s="398" t="str">
        <f t="shared" si="3"/>
        <v/>
      </c>
      <c r="B63" s="399"/>
      <c r="C63" s="398" t="str">
        <f>IFERROR(INDEX(DATA_PROPERTY_MASTER!$B:$B,MATCH($B63,DATA_PROPERTY_MASTER!$A:$A,0)),"")</f>
        <v/>
      </c>
      <c r="D63" s="400"/>
      <c r="E63" s="399"/>
      <c r="F63" s="399"/>
      <c r="G63" s="399"/>
      <c r="H63" s="399"/>
      <c r="I63" s="399"/>
      <c r="J63" s="405"/>
      <c r="K63" s="399"/>
      <c r="L63" s="399"/>
      <c r="M63" s="399"/>
      <c r="N63" s="399"/>
      <c r="O63" s="399"/>
      <c r="P63" s="398" t="str">
        <f t="shared" si="4"/>
        <v/>
      </c>
      <c r="Q63" s="399"/>
      <c r="R63" s="398" t="str">
        <f t="shared" si="5"/>
        <v>Blank</v>
      </c>
    </row>
    <row r="64" spans="1:18">
      <c r="A64" s="398" t="str">
        <f t="shared" si="3"/>
        <v/>
      </c>
      <c r="B64" s="399"/>
      <c r="C64" s="398" t="str">
        <f>IFERROR(INDEX(DATA_PROPERTY_MASTER!$B:$B,MATCH($B64,DATA_PROPERTY_MASTER!$A:$A,0)),"")</f>
        <v/>
      </c>
      <c r="D64" s="400"/>
      <c r="E64" s="399"/>
      <c r="F64" s="399"/>
      <c r="G64" s="399"/>
      <c r="H64" s="399"/>
      <c r="I64" s="399"/>
      <c r="J64" s="405"/>
      <c r="K64" s="399"/>
      <c r="L64" s="399"/>
      <c r="M64" s="399"/>
      <c r="N64" s="399"/>
      <c r="O64" s="399"/>
      <c r="P64" s="398" t="str">
        <f t="shared" si="4"/>
        <v/>
      </c>
      <c r="Q64" s="399"/>
      <c r="R64" s="398" t="str">
        <f t="shared" si="5"/>
        <v>Blank</v>
      </c>
    </row>
    <row r="65" spans="1:18">
      <c r="A65" s="398" t="str">
        <f t="shared" si="3"/>
        <v/>
      </c>
      <c r="B65" s="399"/>
      <c r="C65" s="398" t="str">
        <f>IFERROR(INDEX(DATA_PROPERTY_MASTER!$B:$B,MATCH($B65,DATA_PROPERTY_MASTER!$A:$A,0)),"")</f>
        <v/>
      </c>
      <c r="D65" s="400"/>
      <c r="E65" s="399"/>
      <c r="F65" s="399"/>
      <c r="G65" s="399"/>
      <c r="H65" s="399"/>
      <c r="I65" s="399"/>
      <c r="J65" s="405"/>
      <c r="K65" s="399"/>
      <c r="L65" s="399"/>
      <c r="M65" s="399"/>
      <c r="N65" s="399"/>
      <c r="O65" s="399"/>
      <c r="P65" s="398" t="str">
        <f t="shared" si="4"/>
        <v/>
      </c>
      <c r="Q65" s="399"/>
      <c r="R65" s="398" t="str">
        <f t="shared" si="5"/>
        <v>Blank</v>
      </c>
    </row>
    <row r="66" spans="1:18">
      <c r="A66" s="398" t="str">
        <f t="shared" si="3"/>
        <v/>
      </c>
      <c r="B66" s="399"/>
      <c r="C66" s="398" t="str">
        <f>IFERROR(INDEX(DATA_PROPERTY_MASTER!$B:$B,MATCH($B66,DATA_PROPERTY_MASTER!$A:$A,0)),"")</f>
        <v/>
      </c>
      <c r="D66" s="400"/>
      <c r="E66" s="399"/>
      <c r="F66" s="399"/>
      <c r="G66" s="399"/>
      <c r="H66" s="399"/>
      <c r="I66" s="399"/>
      <c r="J66" s="405"/>
      <c r="K66" s="399"/>
      <c r="L66" s="399"/>
      <c r="M66" s="399"/>
      <c r="N66" s="399"/>
      <c r="O66" s="399"/>
      <c r="P66" s="398" t="str">
        <f t="shared" si="4"/>
        <v/>
      </c>
      <c r="Q66" s="399"/>
      <c r="R66" s="398" t="str">
        <f t="shared" si="5"/>
        <v>Blank</v>
      </c>
    </row>
    <row r="67" spans="1:18">
      <c r="A67" s="398" t="str">
        <f t="shared" si="3"/>
        <v/>
      </c>
      <c r="B67" s="399"/>
      <c r="C67" s="398" t="str">
        <f>IFERROR(INDEX(DATA_PROPERTY_MASTER!$B:$B,MATCH($B67,DATA_PROPERTY_MASTER!$A:$A,0)),"")</f>
        <v/>
      </c>
      <c r="D67" s="400"/>
      <c r="E67" s="399"/>
      <c r="F67" s="399"/>
      <c r="G67" s="399"/>
      <c r="H67" s="399"/>
      <c r="I67" s="399"/>
      <c r="J67" s="405"/>
      <c r="K67" s="399"/>
      <c r="L67" s="399"/>
      <c r="M67" s="399"/>
      <c r="N67" s="399"/>
      <c r="O67" s="399"/>
      <c r="P67" s="398" t="str">
        <f t="shared" si="4"/>
        <v/>
      </c>
      <c r="Q67" s="399"/>
      <c r="R67" s="398" t="str">
        <f t="shared" si="5"/>
        <v>Blank</v>
      </c>
    </row>
    <row r="68" spans="1:18">
      <c r="A68" s="398" t="str">
        <f t="shared" si="3"/>
        <v/>
      </c>
      <c r="B68" s="399"/>
      <c r="C68" s="398" t="str">
        <f>IFERROR(INDEX(DATA_PROPERTY_MASTER!$B:$B,MATCH($B68,DATA_PROPERTY_MASTER!$A:$A,0)),"")</f>
        <v/>
      </c>
      <c r="D68" s="400"/>
      <c r="E68" s="399"/>
      <c r="F68" s="399"/>
      <c r="G68" s="399"/>
      <c r="H68" s="399"/>
      <c r="I68" s="399"/>
      <c r="J68" s="405"/>
      <c r="K68" s="399"/>
      <c r="L68" s="399"/>
      <c r="M68" s="399"/>
      <c r="N68" s="399"/>
      <c r="O68" s="399"/>
      <c r="P68" s="398" t="str">
        <f t="shared" si="4"/>
        <v/>
      </c>
      <c r="Q68" s="399"/>
      <c r="R68" s="398" t="str">
        <f t="shared" si="5"/>
        <v>Blank</v>
      </c>
    </row>
    <row r="69" spans="1:18">
      <c r="A69" s="398" t="str">
        <f t="shared" si="3"/>
        <v/>
      </c>
      <c r="B69" s="399"/>
      <c r="C69" s="398" t="str">
        <f>IFERROR(INDEX(DATA_PROPERTY_MASTER!$B:$B,MATCH($B69,DATA_PROPERTY_MASTER!$A:$A,0)),"")</f>
        <v/>
      </c>
      <c r="D69" s="400"/>
      <c r="E69" s="399"/>
      <c r="F69" s="399"/>
      <c r="G69" s="399"/>
      <c r="H69" s="399"/>
      <c r="I69" s="399"/>
      <c r="J69" s="405"/>
      <c r="K69" s="399"/>
      <c r="L69" s="399"/>
      <c r="M69" s="399"/>
      <c r="N69" s="399"/>
      <c r="O69" s="399"/>
      <c r="P69" s="398" t="str">
        <f t="shared" si="4"/>
        <v/>
      </c>
      <c r="Q69" s="399"/>
      <c r="R69" s="398" t="str">
        <f t="shared" si="5"/>
        <v>Blank</v>
      </c>
    </row>
    <row r="70" spans="1:18">
      <c r="A70" s="398" t="str">
        <f t="shared" si="3"/>
        <v/>
      </c>
      <c r="B70" s="399"/>
      <c r="C70" s="398" t="str">
        <f>IFERROR(INDEX(DATA_PROPERTY_MASTER!$B:$B,MATCH($B70,DATA_PROPERTY_MASTER!$A:$A,0)),"")</f>
        <v/>
      </c>
      <c r="D70" s="400"/>
      <c r="E70" s="399"/>
      <c r="F70" s="399"/>
      <c r="G70" s="399"/>
      <c r="H70" s="399"/>
      <c r="I70" s="399"/>
      <c r="J70" s="405"/>
      <c r="K70" s="399"/>
      <c r="L70" s="399"/>
      <c r="M70" s="399"/>
      <c r="N70" s="399"/>
      <c r="O70" s="399"/>
      <c r="P70" s="398" t="str">
        <f t="shared" si="4"/>
        <v/>
      </c>
      <c r="Q70" s="399"/>
      <c r="R70" s="398" t="str">
        <f t="shared" si="5"/>
        <v>Blank</v>
      </c>
    </row>
    <row r="71" spans="1:18">
      <c r="A71" s="398" t="str">
        <f t="shared" ref="A71:A102" si="6">IF($B71="","","OA-"&amp;TEXT(ROW()-6,"0000"))</f>
        <v/>
      </c>
      <c r="B71" s="399"/>
      <c r="C71" s="398" t="str">
        <f>IFERROR(INDEX(DATA_PROPERTY_MASTER!$B:$B,MATCH($B71,DATA_PROPERTY_MASTER!$A:$A,0)),"")</f>
        <v/>
      </c>
      <c r="D71" s="400"/>
      <c r="E71" s="399"/>
      <c r="F71" s="399"/>
      <c r="G71" s="399"/>
      <c r="H71" s="399"/>
      <c r="I71" s="399"/>
      <c r="J71" s="405"/>
      <c r="K71" s="399"/>
      <c r="L71" s="399"/>
      <c r="M71" s="399"/>
      <c r="N71" s="399"/>
      <c r="O71" s="399"/>
      <c r="P71" s="398" t="str">
        <f t="shared" ref="P71:P102" si="7">IF($B71="","",$B71&amp;"|"&amp;$D71&amp;"|"&amp;$F71&amp;"|"&amp;$I71)</f>
        <v/>
      </c>
      <c r="Q71" s="399"/>
      <c r="R71" s="398" t="str">
        <f t="shared" ref="R71:R102" si="8">IF($B71="","Blank",IF(OR($D71="",$I71="",$J71=""),"Review","OK"))</f>
        <v>Blank</v>
      </c>
    </row>
    <row r="72" spans="1:18">
      <c r="A72" s="398" t="str">
        <f t="shared" si="6"/>
        <v/>
      </c>
      <c r="B72" s="399"/>
      <c r="C72" s="398" t="str">
        <f>IFERROR(INDEX(DATA_PROPERTY_MASTER!$B:$B,MATCH($B72,DATA_PROPERTY_MASTER!$A:$A,0)),"")</f>
        <v/>
      </c>
      <c r="D72" s="400"/>
      <c r="E72" s="399"/>
      <c r="F72" s="399"/>
      <c r="G72" s="399"/>
      <c r="H72" s="399"/>
      <c r="I72" s="399"/>
      <c r="J72" s="405"/>
      <c r="K72" s="399"/>
      <c r="L72" s="399"/>
      <c r="M72" s="399"/>
      <c r="N72" s="399"/>
      <c r="O72" s="399"/>
      <c r="P72" s="398" t="str">
        <f t="shared" si="7"/>
        <v/>
      </c>
      <c r="Q72" s="399"/>
      <c r="R72" s="398" t="str">
        <f t="shared" si="8"/>
        <v>Blank</v>
      </c>
    </row>
    <row r="73" spans="1:18">
      <c r="A73" s="398" t="str">
        <f t="shared" si="6"/>
        <v/>
      </c>
      <c r="B73" s="399"/>
      <c r="C73" s="398" t="str">
        <f>IFERROR(INDEX(DATA_PROPERTY_MASTER!$B:$B,MATCH($B73,DATA_PROPERTY_MASTER!$A:$A,0)),"")</f>
        <v/>
      </c>
      <c r="D73" s="400"/>
      <c r="E73" s="399"/>
      <c r="F73" s="399"/>
      <c r="G73" s="399"/>
      <c r="H73" s="399"/>
      <c r="I73" s="399"/>
      <c r="J73" s="405"/>
      <c r="K73" s="399"/>
      <c r="L73" s="399"/>
      <c r="M73" s="399"/>
      <c r="N73" s="399"/>
      <c r="O73" s="399"/>
      <c r="P73" s="398" t="str">
        <f t="shared" si="7"/>
        <v/>
      </c>
      <c r="Q73" s="399"/>
      <c r="R73" s="398" t="str">
        <f t="shared" si="8"/>
        <v>Blank</v>
      </c>
    </row>
    <row r="74" spans="1:18">
      <c r="A74" s="398" t="str">
        <f t="shared" si="6"/>
        <v/>
      </c>
      <c r="B74" s="399"/>
      <c r="C74" s="398" t="str">
        <f>IFERROR(INDEX(DATA_PROPERTY_MASTER!$B:$B,MATCH($B74,DATA_PROPERTY_MASTER!$A:$A,0)),"")</f>
        <v/>
      </c>
      <c r="D74" s="400"/>
      <c r="E74" s="399"/>
      <c r="F74" s="399"/>
      <c r="G74" s="399"/>
      <c r="H74" s="399"/>
      <c r="I74" s="399"/>
      <c r="J74" s="405"/>
      <c r="K74" s="399"/>
      <c r="L74" s="399"/>
      <c r="M74" s="399"/>
      <c r="N74" s="399"/>
      <c r="O74" s="399"/>
      <c r="P74" s="398" t="str">
        <f t="shared" si="7"/>
        <v/>
      </c>
      <c r="Q74" s="399"/>
      <c r="R74" s="398" t="str">
        <f t="shared" si="8"/>
        <v>Blank</v>
      </c>
    </row>
    <row r="75" spans="1:18">
      <c r="A75" s="398" t="str">
        <f t="shared" si="6"/>
        <v/>
      </c>
      <c r="B75" s="399"/>
      <c r="C75" s="398" t="str">
        <f>IFERROR(INDEX(DATA_PROPERTY_MASTER!$B:$B,MATCH($B75,DATA_PROPERTY_MASTER!$A:$A,0)),"")</f>
        <v/>
      </c>
      <c r="D75" s="400"/>
      <c r="E75" s="399"/>
      <c r="F75" s="399"/>
      <c r="G75" s="399"/>
      <c r="H75" s="399"/>
      <c r="I75" s="399"/>
      <c r="J75" s="405"/>
      <c r="K75" s="399"/>
      <c r="L75" s="399"/>
      <c r="M75" s="399"/>
      <c r="N75" s="399"/>
      <c r="O75" s="399"/>
      <c r="P75" s="398" t="str">
        <f t="shared" si="7"/>
        <v/>
      </c>
      <c r="Q75" s="399"/>
      <c r="R75" s="398" t="str">
        <f t="shared" si="8"/>
        <v>Blank</v>
      </c>
    </row>
    <row r="76" spans="1:18">
      <c r="A76" s="398" t="str">
        <f t="shared" si="6"/>
        <v/>
      </c>
      <c r="B76" s="399"/>
      <c r="C76" s="398" t="str">
        <f>IFERROR(INDEX(DATA_PROPERTY_MASTER!$B:$B,MATCH($B76,DATA_PROPERTY_MASTER!$A:$A,0)),"")</f>
        <v/>
      </c>
      <c r="D76" s="400"/>
      <c r="E76" s="399"/>
      <c r="F76" s="399"/>
      <c r="G76" s="399"/>
      <c r="H76" s="399"/>
      <c r="I76" s="399"/>
      <c r="J76" s="405"/>
      <c r="K76" s="399"/>
      <c r="L76" s="399"/>
      <c r="M76" s="399"/>
      <c r="N76" s="399"/>
      <c r="O76" s="399"/>
      <c r="P76" s="398" t="str">
        <f t="shared" si="7"/>
        <v/>
      </c>
      <c r="Q76" s="399"/>
      <c r="R76" s="398" t="str">
        <f t="shared" si="8"/>
        <v>Blank</v>
      </c>
    </row>
    <row r="77" spans="1:18">
      <c r="A77" s="398" t="str">
        <f t="shared" si="6"/>
        <v/>
      </c>
      <c r="B77" s="399"/>
      <c r="C77" s="398" t="str">
        <f>IFERROR(INDEX(DATA_PROPERTY_MASTER!$B:$B,MATCH($B77,DATA_PROPERTY_MASTER!$A:$A,0)),"")</f>
        <v/>
      </c>
      <c r="D77" s="400"/>
      <c r="E77" s="399"/>
      <c r="F77" s="399"/>
      <c r="G77" s="399"/>
      <c r="H77" s="399"/>
      <c r="I77" s="399"/>
      <c r="J77" s="405"/>
      <c r="K77" s="399"/>
      <c r="L77" s="399"/>
      <c r="M77" s="399"/>
      <c r="N77" s="399"/>
      <c r="O77" s="399"/>
      <c r="P77" s="398" t="str">
        <f t="shared" si="7"/>
        <v/>
      </c>
      <c r="Q77" s="399"/>
      <c r="R77" s="398" t="str">
        <f t="shared" si="8"/>
        <v>Blank</v>
      </c>
    </row>
    <row r="78" spans="1:18">
      <c r="A78" s="398" t="str">
        <f t="shared" si="6"/>
        <v/>
      </c>
      <c r="B78" s="399"/>
      <c r="C78" s="398" t="str">
        <f>IFERROR(INDEX(DATA_PROPERTY_MASTER!$B:$B,MATCH($B78,DATA_PROPERTY_MASTER!$A:$A,0)),"")</f>
        <v/>
      </c>
      <c r="D78" s="400"/>
      <c r="E78" s="399"/>
      <c r="F78" s="399"/>
      <c r="G78" s="399"/>
      <c r="H78" s="399"/>
      <c r="I78" s="399"/>
      <c r="J78" s="405"/>
      <c r="K78" s="399"/>
      <c r="L78" s="399"/>
      <c r="M78" s="399"/>
      <c r="N78" s="399"/>
      <c r="O78" s="399"/>
      <c r="P78" s="398" t="str">
        <f t="shared" si="7"/>
        <v/>
      </c>
      <c r="Q78" s="399"/>
      <c r="R78" s="398" t="str">
        <f t="shared" si="8"/>
        <v>Blank</v>
      </c>
    </row>
    <row r="79" spans="1:18">
      <c r="A79" s="398" t="str">
        <f t="shared" si="6"/>
        <v/>
      </c>
      <c r="B79" s="399"/>
      <c r="C79" s="398" t="str">
        <f>IFERROR(INDEX(DATA_PROPERTY_MASTER!$B:$B,MATCH($B79,DATA_PROPERTY_MASTER!$A:$A,0)),"")</f>
        <v/>
      </c>
      <c r="D79" s="400"/>
      <c r="E79" s="399"/>
      <c r="F79" s="399"/>
      <c r="G79" s="399"/>
      <c r="H79" s="399"/>
      <c r="I79" s="399"/>
      <c r="J79" s="405"/>
      <c r="K79" s="399"/>
      <c r="L79" s="399"/>
      <c r="M79" s="399"/>
      <c r="N79" s="399"/>
      <c r="O79" s="399"/>
      <c r="P79" s="398" t="str">
        <f t="shared" si="7"/>
        <v/>
      </c>
      <c r="Q79" s="399"/>
      <c r="R79" s="398" t="str">
        <f t="shared" si="8"/>
        <v>Blank</v>
      </c>
    </row>
    <row r="80" spans="1:18">
      <c r="A80" s="398" t="str">
        <f t="shared" si="6"/>
        <v/>
      </c>
      <c r="B80" s="399"/>
      <c r="C80" s="398" t="str">
        <f>IFERROR(INDEX(DATA_PROPERTY_MASTER!$B:$B,MATCH($B80,DATA_PROPERTY_MASTER!$A:$A,0)),"")</f>
        <v/>
      </c>
      <c r="D80" s="400"/>
      <c r="E80" s="399"/>
      <c r="F80" s="399"/>
      <c r="G80" s="399"/>
      <c r="H80" s="399"/>
      <c r="I80" s="399"/>
      <c r="J80" s="405"/>
      <c r="K80" s="399"/>
      <c r="L80" s="399"/>
      <c r="M80" s="399"/>
      <c r="N80" s="399"/>
      <c r="O80" s="399"/>
      <c r="P80" s="398" t="str">
        <f t="shared" si="7"/>
        <v/>
      </c>
      <c r="Q80" s="399"/>
      <c r="R80" s="398" t="str">
        <f t="shared" si="8"/>
        <v>Blank</v>
      </c>
    </row>
    <row r="81" spans="1:18">
      <c r="A81" s="398" t="str">
        <f t="shared" si="6"/>
        <v/>
      </c>
      <c r="B81" s="399"/>
      <c r="C81" s="398" t="str">
        <f>IFERROR(INDEX(DATA_PROPERTY_MASTER!$B:$B,MATCH($B81,DATA_PROPERTY_MASTER!$A:$A,0)),"")</f>
        <v/>
      </c>
      <c r="D81" s="400"/>
      <c r="E81" s="399"/>
      <c r="F81" s="399"/>
      <c r="G81" s="399"/>
      <c r="H81" s="399"/>
      <c r="I81" s="399"/>
      <c r="J81" s="405"/>
      <c r="K81" s="399"/>
      <c r="L81" s="399"/>
      <c r="M81" s="399"/>
      <c r="N81" s="399"/>
      <c r="O81" s="399"/>
      <c r="P81" s="398" t="str">
        <f t="shared" si="7"/>
        <v/>
      </c>
      <c r="Q81" s="399"/>
      <c r="R81" s="398" t="str">
        <f t="shared" si="8"/>
        <v>Blank</v>
      </c>
    </row>
    <row r="82" spans="1:18">
      <c r="A82" s="398" t="str">
        <f t="shared" si="6"/>
        <v/>
      </c>
      <c r="B82" s="399"/>
      <c r="C82" s="398" t="str">
        <f>IFERROR(INDEX(DATA_PROPERTY_MASTER!$B:$B,MATCH($B82,DATA_PROPERTY_MASTER!$A:$A,0)),"")</f>
        <v/>
      </c>
      <c r="D82" s="400"/>
      <c r="E82" s="399"/>
      <c r="F82" s="399"/>
      <c r="G82" s="399"/>
      <c r="H82" s="399"/>
      <c r="I82" s="399"/>
      <c r="J82" s="405"/>
      <c r="K82" s="399"/>
      <c r="L82" s="399"/>
      <c r="M82" s="399"/>
      <c r="N82" s="399"/>
      <c r="O82" s="399"/>
      <c r="P82" s="398" t="str">
        <f t="shared" si="7"/>
        <v/>
      </c>
      <c r="Q82" s="399"/>
      <c r="R82" s="398" t="str">
        <f t="shared" si="8"/>
        <v>Blank</v>
      </c>
    </row>
    <row r="83" spans="1:18">
      <c r="A83" s="398" t="str">
        <f t="shared" si="6"/>
        <v/>
      </c>
      <c r="B83" s="399"/>
      <c r="C83" s="398" t="str">
        <f>IFERROR(INDEX(DATA_PROPERTY_MASTER!$B:$B,MATCH($B83,DATA_PROPERTY_MASTER!$A:$A,0)),"")</f>
        <v/>
      </c>
      <c r="D83" s="400"/>
      <c r="E83" s="399"/>
      <c r="F83" s="399"/>
      <c r="G83" s="399"/>
      <c r="H83" s="399"/>
      <c r="I83" s="399"/>
      <c r="J83" s="405"/>
      <c r="K83" s="399"/>
      <c r="L83" s="399"/>
      <c r="M83" s="399"/>
      <c r="N83" s="399"/>
      <c r="O83" s="399"/>
      <c r="P83" s="398" t="str">
        <f t="shared" si="7"/>
        <v/>
      </c>
      <c r="Q83" s="399"/>
      <c r="R83" s="398" t="str">
        <f t="shared" si="8"/>
        <v>Blank</v>
      </c>
    </row>
    <row r="84" spans="1:18">
      <c r="A84" s="398" t="str">
        <f t="shared" si="6"/>
        <v/>
      </c>
      <c r="B84" s="399"/>
      <c r="C84" s="398" t="str">
        <f>IFERROR(INDEX(DATA_PROPERTY_MASTER!$B:$B,MATCH($B84,DATA_PROPERTY_MASTER!$A:$A,0)),"")</f>
        <v/>
      </c>
      <c r="D84" s="400"/>
      <c r="E84" s="399"/>
      <c r="F84" s="399"/>
      <c r="G84" s="399"/>
      <c r="H84" s="399"/>
      <c r="I84" s="399"/>
      <c r="J84" s="405"/>
      <c r="K84" s="399"/>
      <c r="L84" s="399"/>
      <c r="M84" s="399"/>
      <c r="N84" s="399"/>
      <c r="O84" s="399"/>
      <c r="P84" s="398" t="str">
        <f t="shared" si="7"/>
        <v/>
      </c>
      <c r="Q84" s="399"/>
      <c r="R84" s="398" t="str">
        <f t="shared" si="8"/>
        <v>Blank</v>
      </c>
    </row>
    <row r="85" spans="1:18">
      <c r="A85" s="398" t="str">
        <f t="shared" si="6"/>
        <v/>
      </c>
      <c r="B85" s="399"/>
      <c r="C85" s="398" t="str">
        <f>IFERROR(INDEX(DATA_PROPERTY_MASTER!$B:$B,MATCH($B85,DATA_PROPERTY_MASTER!$A:$A,0)),"")</f>
        <v/>
      </c>
      <c r="D85" s="400"/>
      <c r="E85" s="399"/>
      <c r="F85" s="399"/>
      <c r="G85" s="399"/>
      <c r="H85" s="399"/>
      <c r="I85" s="399"/>
      <c r="J85" s="405"/>
      <c r="K85" s="399"/>
      <c r="L85" s="399"/>
      <c r="M85" s="399"/>
      <c r="N85" s="399"/>
      <c r="O85" s="399"/>
      <c r="P85" s="398" t="str">
        <f t="shared" si="7"/>
        <v/>
      </c>
      <c r="Q85" s="399"/>
      <c r="R85" s="398" t="str">
        <f t="shared" si="8"/>
        <v>Blank</v>
      </c>
    </row>
    <row r="86" spans="1:18">
      <c r="A86" s="398" t="str">
        <f t="shared" si="6"/>
        <v/>
      </c>
      <c r="B86" s="399"/>
      <c r="C86" s="398" t="str">
        <f>IFERROR(INDEX(DATA_PROPERTY_MASTER!$B:$B,MATCH($B86,DATA_PROPERTY_MASTER!$A:$A,0)),"")</f>
        <v/>
      </c>
      <c r="D86" s="400"/>
      <c r="E86" s="399"/>
      <c r="F86" s="399"/>
      <c r="G86" s="399"/>
      <c r="H86" s="399"/>
      <c r="I86" s="399"/>
      <c r="J86" s="405"/>
      <c r="K86" s="399"/>
      <c r="L86" s="399"/>
      <c r="M86" s="399"/>
      <c r="N86" s="399"/>
      <c r="O86" s="399"/>
      <c r="P86" s="398" t="str">
        <f t="shared" si="7"/>
        <v/>
      </c>
      <c r="Q86" s="399"/>
      <c r="R86" s="398" t="str">
        <f t="shared" si="8"/>
        <v>Blank</v>
      </c>
    </row>
    <row r="87" spans="1:18">
      <c r="A87" s="398" t="str">
        <f t="shared" si="6"/>
        <v/>
      </c>
      <c r="B87" s="399"/>
      <c r="C87" s="398" t="str">
        <f>IFERROR(INDEX(DATA_PROPERTY_MASTER!$B:$B,MATCH($B87,DATA_PROPERTY_MASTER!$A:$A,0)),"")</f>
        <v/>
      </c>
      <c r="D87" s="400"/>
      <c r="E87" s="399"/>
      <c r="F87" s="399"/>
      <c r="G87" s="399"/>
      <c r="H87" s="399"/>
      <c r="I87" s="399"/>
      <c r="J87" s="405"/>
      <c r="K87" s="399"/>
      <c r="L87" s="399"/>
      <c r="M87" s="399"/>
      <c r="N87" s="399"/>
      <c r="O87" s="399"/>
      <c r="P87" s="398" t="str">
        <f t="shared" si="7"/>
        <v/>
      </c>
      <c r="Q87" s="399"/>
      <c r="R87" s="398" t="str">
        <f t="shared" si="8"/>
        <v>Blank</v>
      </c>
    </row>
    <row r="88" spans="1:18">
      <c r="A88" s="398" t="str">
        <f t="shared" si="6"/>
        <v/>
      </c>
      <c r="B88" s="399"/>
      <c r="C88" s="398" t="str">
        <f>IFERROR(INDEX(DATA_PROPERTY_MASTER!$B:$B,MATCH($B88,DATA_PROPERTY_MASTER!$A:$A,0)),"")</f>
        <v/>
      </c>
      <c r="D88" s="400"/>
      <c r="E88" s="399"/>
      <c r="F88" s="399"/>
      <c r="G88" s="399"/>
      <c r="H88" s="399"/>
      <c r="I88" s="399"/>
      <c r="J88" s="405"/>
      <c r="K88" s="399"/>
      <c r="L88" s="399"/>
      <c r="M88" s="399"/>
      <c r="N88" s="399"/>
      <c r="O88" s="399"/>
      <c r="P88" s="398" t="str">
        <f t="shared" si="7"/>
        <v/>
      </c>
      <c r="Q88" s="399"/>
      <c r="R88" s="398" t="str">
        <f t="shared" si="8"/>
        <v>Blank</v>
      </c>
    </row>
    <row r="89" spans="1:18">
      <c r="A89" s="398" t="str">
        <f t="shared" si="6"/>
        <v/>
      </c>
      <c r="B89" s="399"/>
      <c r="C89" s="398" t="str">
        <f>IFERROR(INDEX(DATA_PROPERTY_MASTER!$B:$B,MATCH($B89,DATA_PROPERTY_MASTER!$A:$A,0)),"")</f>
        <v/>
      </c>
      <c r="D89" s="400"/>
      <c r="E89" s="399"/>
      <c r="F89" s="399"/>
      <c r="G89" s="399"/>
      <c r="H89" s="399"/>
      <c r="I89" s="399"/>
      <c r="J89" s="405"/>
      <c r="K89" s="399"/>
      <c r="L89" s="399"/>
      <c r="M89" s="399"/>
      <c r="N89" s="399"/>
      <c r="O89" s="399"/>
      <c r="P89" s="398" t="str">
        <f t="shared" si="7"/>
        <v/>
      </c>
      <c r="Q89" s="399"/>
      <c r="R89" s="398" t="str">
        <f t="shared" si="8"/>
        <v>Blank</v>
      </c>
    </row>
    <row r="90" spans="1:18">
      <c r="A90" s="398" t="str">
        <f t="shared" si="6"/>
        <v/>
      </c>
      <c r="B90" s="399"/>
      <c r="C90" s="398" t="str">
        <f>IFERROR(INDEX(DATA_PROPERTY_MASTER!$B:$B,MATCH($B90,DATA_PROPERTY_MASTER!$A:$A,0)),"")</f>
        <v/>
      </c>
      <c r="D90" s="400"/>
      <c r="E90" s="399"/>
      <c r="F90" s="399"/>
      <c r="G90" s="399"/>
      <c r="H90" s="399"/>
      <c r="I90" s="399"/>
      <c r="J90" s="405"/>
      <c r="K90" s="399"/>
      <c r="L90" s="399"/>
      <c r="M90" s="399"/>
      <c r="N90" s="399"/>
      <c r="O90" s="399"/>
      <c r="P90" s="398" t="str">
        <f t="shared" si="7"/>
        <v/>
      </c>
      <c r="Q90" s="399"/>
      <c r="R90" s="398" t="str">
        <f t="shared" si="8"/>
        <v>Blank</v>
      </c>
    </row>
    <row r="91" spans="1:18">
      <c r="A91" s="398" t="str">
        <f t="shared" si="6"/>
        <v/>
      </c>
      <c r="B91" s="399"/>
      <c r="C91" s="398" t="str">
        <f>IFERROR(INDEX(DATA_PROPERTY_MASTER!$B:$B,MATCH($B91,DATA_PROPERTY_MASTER!$A:$A,0)),"")</f>
        <v/>
      </c>
      <c r="D91" s="400"/>
      <c r="E91" s="399"/>
      <c r="F91" s="399"/>
      <c r="G91" s="399"/>
      <c r="H91" s="399"/>
      <c r="I91" s="399"/>
      <c r="J91" s="405"/>
      <c r="K91" s="399"/>
      <c r="L91" s="399"/>
      <c r="M91" s="399"/>
      <c r="N91" s="399"/>
      <c r="O91" s="399"/>
      <c r="P91" s="398" t="str">
        <f t="shared" si="7"/>
        <v/>
      </c>
      <c r="Q91" s="399"/>
      <c r="R91" s="398" t="str">
        <f t="shared" si="8"/>
        <v>Blank</v>
      </c>
    </row>
    <row r="92" spans="1:18">
      <c r="A92" s="398" t="str">
        <f t="shared" si="6"/>
        <v/>
      </c>
      <c r="B92" s="399"/>
      <c r="C92" s="398" t="str">
        <f>IFERROR(INDEX(DATA_PROPERTY_MASTER!$B:$B,MATCH($B92,DATA_PROPERTY_MASTER!$A:$A,0)),"")</f>
        <v/>
      </c>
      <c r="D92" s="400"/>
      <c r="E92" s="399"/>
      <c r="F92" s="399"/>
      <c r="G92" s="399"/>
      <c r="H92" s="399"/>
      <c r="I92" s="399"/>
      <c r="J92" s="405"/>
      <c r="K92" s="399"/>
      <c r="L92" s="399"/>
      <c r="M92" s="399"/>
      <c r="N92" s="399"/>
      <c r="O92" s="399"/>
      <c r="P92" s="398" t="str">
        <f t="shared" si="7"/>
        <v/>
      </c>
      <c r="Q92" s="399"/>
      <c r="R92" s="398" t="str">
        <f t="shared" si="8"/>
        <v>Blank</v>
      </c>
    </row>
    <row r="93" spans="1:18">
      <c r="A93" s="398" t="str">
        <f t="shared" si="6"/>
        <v/>
      </c>
      <c r="B93" s="399"/>
      <c r="C93" s="398" t="str">
        <f>IFERROR(INDEX(DATA_PROPERTY_MASTER!$B:$B,MATCH($B93,DATA_PROPERTY_MASTER!$A:$A,0)),"")</f>
        <v/>
      </c>
      <c r="D93" s="400"/>
      <c r="E93" s="399"/>
      <c r="F93" s="399"/>
      <c r="G93" s="399"/>
      <c r="H93" s="399"/>
      <c r="I93" s="399"/>
      <c r="J93" s="405"/>
      <c r="K93" s="399"/>
      <c r="L93" s="399"/>
      <c r="M93" s="399"/>
      <c r="N93" s="399"/>
      <c r="O93" s="399"/>
      <c r="P93" s="398" t="str">
        <f t="shared" si="7"/>
        <v/>
      </c>
      <c r="Q93" s="399"/>
      <c r="R93" s="398" t="str">
        <f t="shared" si="8"/>
        <v>Blank</v>
      </c>
    </row>
    <row r="94" spans="1:18">
      <c r="A94" s="398" t="str">
        <f t="shared" si="6"/>
        <v/>
      </c>
      <c r="B94" s="399"/>
      <c r="C94" s="398" t="str">
        <f>IFERROR(INDEX(DATA_PROPERTY_MASTER!$B:$B,MATCH($B94,DATA_PROPERTY_MASTER!$A:$A,0)),"")</f>
        <v/>
      </c>
      <c r="D94" s="400"/>
      <c r="E94" s="399"/>
      <c r="F94" s="399"/>
      <c r="G94" s="399"/>
      <c r="H94" s="399"/>
      <c r="I94" s="399"/>
      <c r="J94" s="405"/>
      <c r="K94" s="399"/>
      <c r="L94" s="399"/>
      <c r="M94" s="399"/>
      <c r="N94" s="399"/>
      <c r="O94" s="399"/>
      <c r="P94" s="398" t="str">
        <f t="shared" si="7"/>
        <v/>
      </c>
      <c r="Q94" s="399"/>
      <c r="R94" s="398" t="str">
        <f t="shared" si="8"/>
        <v>Blank</v>
      </c>
    </row>
    <row r="95" spans="1:18">
      <c r="A95" s="398" t="str">
        <f t="shared" si="6"/>
        <v/>
      </c>
      <c r="B95" s="399"/>
      <c r="C95" s="398" t="str">
        <f>IFERROR(INDEX(DATA_PROPERTY_MASTER!$B:$B,MATCH($B95,DATA_PROPERTY_MASTER!$A:$A,0)),"")</f>
        <v/>
      </c>
      <c r="D95" s="400"/>
      <c r="E95" s="399"/>
      <c r="F95" s="399"/>
      <c r="G95" s="399"/>
      <c r="H95" s="399"/>
      <c r="I95" s="399"/>
      <c r="J95" s="405"/>
      <c r="K95" s="399"/>
      <c r="L95" s="399"/>
      <c r="M95" s="399"/>
      <c r="N95" s="399"/>
      <c r="O95" s="399"/>
      <c r="P95" s="398" t="str">
        <f t="shared" si="7"/>
        <v/>
      </c>
      <c r="Q95" s="399"/>
      <c r="R95" s="398" t="str">
        <f t="shared" si="8"/>
        <v>Blank</v>
      </c>
    </row>
    <row r="96" spans="1:18">
      <c r="A96" s="398" t="str">
        <f t="shared" si="6"/>
        <v/>
      </c>
      <c r="B96" s="399"/>
      <c r="C96" s="398" t="str">
        <f>IFERROR(INDEX(DATA_PROPERTY_MASTER!$B:$B,MATCH($B96,DATA_PROPERTY_MASTER!$A:$A,0)),"")</f>
        <v/>
      </c>
      <c r="D96" s="400"/>
      <c r="E96" s="399"/>
      <c r="F96" s="399"/>
      <c r="G96" s="399"/>
      <c r="H96" s="399"/>
      <c r="I96" s="399"/>
      <c r="J96" s="405"/>
      <c r="K96" s="399"/>
      <c r="L96" s="399"/>
      <c r="M96" s="399"/>
      <c r="N96" s="399"/>
      <c r="O96" s="399"/>
      <c r="P96" s="398" t="str">
        <f t="shared" si="7"/>
        <v/>
      </c>
      <c r="Q96" s="399"/>
      <c r="R96" s="398" t="str">
        <f t="shared" si="8"/>
        <v>Blank</v>
      </c>
    </row>
    <row r="97" spans="1:18">
      <c r="A97" s="398" t="str">
        <f t="shared" si="6"/>
        <v/>
      </c>
      <c r="B97" s="399"/>
      <c r="C97" s="398" t="str">
        <f>IFERROR(INDEX(DATA_PROPERTY_MASTER!$B:$B,MATCH($B97,DATA_PROPERTY_MASTER!$A:$A,0)),"")</f>
        <v/>
      </c>
      <c r="D97" s="400"/>
      <c r="E97" s="399"/>
      <c r="F97" s="399"/>
      <c r="G97" s="399"/>
      <c r="H97" s="399"/>
      <c r="I97" s="399"/>
      <c r="J97" s="405"/>
      <c r="K97" s="399"/>
      <c r="L97" s="399"/>
      <c r="M97" s="399"/>
      <c r="N97" s="399"/>
      <c r="O97" s="399"/>
      <c r="P97" s="398" t="str">
        <f t="shared" si="7"/>
        <v/>
      </c>
      <c r="Q97" s="399"/>
      <c r="R97" s="398" t="str">
        <f t="shared" si="8"/>
        <v>Blank</v>
      </c>
    </row>
    <row r="98" spans="1:18">
      <c r="A98" s="398" t="str">
        <f t="shared" si="6"/>
        <v/>
      </c>
      <c r="B98" s="399"/>
      <c r="C98" s="398" t="str">
        <f>IFERROR(INDEX(DATA_PROPERTY_MASTER!$B:$B,MATCH($B98,DATA_PROPERTY_MASTER!$A:$A,0)),"")</f>
        <v/>
      </c>
      <c r="D98" s="400"/>
      <c r="E98" s="399"/>
      <c r="F98" s="399"/>
      <c r="G98" s="399"/>
      <c r="H98" s="399"/>
      <c r="I98" s="399"/>
      <c r="J98" s="405"/>
      <c r="K98" s="399"/>
      <c r="L98" s="399"/>
      <c r="M98" s="399"/>
      <c r="N98" s="399"/>
      <c r="O98" s="399"/>
      <c r="P98" s="398" t="str">
        <f t="shared" si="7"/>
        <v/>
      </c>
      <c r="Q98" s="399"/>
      <c r="R98" s="398" t="str">
        <f t="shared" si="8"/>
        <v>Blank</v>
      </c>
    </row>
    <row r="99" spans="1:18">
      <c r="A99" s="398" t="str">
        <f t="shared" si="6"/>
        <v/>
      </c>
      <c r="B99" s="399"/>
      <c r="C99" s="398" t="str">
        <f>IFERROR(INDEX(DATA_PROPERTY_MASTER!$B:$B,MATCH($B99,DATA_PROPERTY_MASTER!$A:$A,0)),"")</f>
        <v/>
      </c>
      <c r="D99" s="400"/>
      <c r="E99" s="399"/>
      <c r="F99" s="399"/>
      <c r="G99" s="399"/>
      <c r="H99" s="399"/>
      <c r="I99" s="399"/>
      <c r="J99" s="405"/>
      <c r="K99" s="399"/>
      <c r="L99" s="399"/>
      <c r="M99" s="399"/>
      <c r="N99" s="399"/>
      <c r="O99" s="399"/>
      <c r="P99" s="398" t="str">
        <f t="shared" si="7"/>
        <v/>
      </c>
      <c r="Q99" s="399"/>
      <c r="R99" s="398" t="str">
        <f t="shared" si="8"/>
        <v>Blank</v>
      </c>
    </row>
    <row r="100" spans="1:18">
      <c r="A100" s="398" t="str">
        <f t="shared" si="6"/>
        <v/>
      </c>
      <c r="B100" s="399"/>
      <c r="C100" s="398" t="str">
        <f>IFERROR(INDEX(DATA_PROPERTY_MASTER!$B:$B,MATCH($B100,DATA_PROPERTY_MASTER!$A:$A,0)),"")</f>
        <v/>
      </c>
      <c r="D100" s="400"/>
      <c r="E100" s="399"/>
      <c r="F100" s="399"/>
      <c r="G100" s="399"/>
      <c r="H100" s="399"/>
      <c r="I100" s="399"/>
      <c r="J100" s="405"/>
      <c r="K100" s="399"/>
      <c r="L100" s="399"/>
      <c r="M100" s="399"/>
      <c r="N100" s="399"/>
      <c r="O100" s="399"/>
      <c r="P100" s="398" t="str">
        <f t="shared" si="7"/>
        <v/>
      </c>
      <c r="Q100" s="399"/>
      <c r="R100" s="398" t="str">
        <f t="shared" si="8"/>
        <v>Blank</v>
      </c>
    </row>
    <row r="101" spans="1:18">
      <c r="A101" s="398" t="str">
        <f t="shared" si="6"/>
        <v/>
      </c>
      <c r="B101" s="399"/>
      <c r="C101" s="398" t="str">
        <f>IFERROR(INDEX(DATA_PROPERTY_MASTER!$B:$B,MATCH($B101,DATA_PROPERTY_MASTER!$A:$A,0)),"")</f>
        <v/>
      </c>
      <c r="D101" s="400"/>
      <c r="E101" s="399"/>
      <c r="F101" s="399"/>
      <c r="G101" s="399"/>
      <c r="H101" s="399"/>
      <c r="I101" s="399"/>
      <c r="J101" s="405"/>
      <c r="K101" s="399"/>
      <c r="L101" s="399"/>
      <c r="M101" s="399"/>
      <c r="N101" s="399"/>
      <c r="O101" s="399"/>
      <c r="P101" s="398" t="str">
        <f t="shared" si="7"/>
        <v/>
      </c>
      <c r="Q101" s="399"/>
      <c r="R101" s="398" t="str">
        <f t="shared" si="8"/>
        <v>Blank</v>
      </c>
    </row>
    <row r="102" spans="1:18">
      <c r="A102" s="398" t="str">
        <f t="shared" si="6"/>
        <v/>
      </c>
      <c r="B102" s="399"/>
      <c r="C102" s="398" t="str">
        <f>IFERROR(INDEX(DATA_PROPERTY_MASTER!$B:$B,MATCH($B102,DATA_PROPERTY_MASTER!$A:$A,0)),"")</f>
        <v/>
      </c>
      <c r="D102" s="400"/>
      <c r="E102" s="399"/>
      <c r="F102" s="399"/>
      <c r="G102" s="399"/>
      <c r="H102" s="399"/>
      <c r="I102" s="399"/>
      <c r="J102" s="405"/>
      <c r="K102" s="399"/>
      <c r="L102" s="399"/>
      <c r="M102" s="399"/>
      <c r="N102" s="399"/>
      <c r="O102" s="399"/>
      <c r="P102" s="398" t="str">
        <f t="shared" si="7"/>
        <v/>
      </c>
      <c r="Q102" s="399"/>
      <c r="R102" s="398" t="str">
        <f t="shared" si="8"/>
        <v>Blank</v>
      </c>
    </row>
    <row r="103" spans="1:18">
      <c r="A103" s="398" t="str">
        <f t="shared" ref="A103:A134" si="9">IF($B103="","","OA-"&amp;TEXT(ROW()-6,"0000"))</f>
        <v/>
      </c>
      <c r="B103" s="399"/>
      <c r="C103" s="398" t="str">
        <f>IFERROR(INDEX(DATA_PROPERTY_MASTER!$B:$B,MATCH($B103,DATA_PROPERTY_MASTER!$A:$A,0)),"")</f>
        <v/>
      </c>
      <c r="D103" s="400"/>
      <c r="E103" s="399"/>
      <c r="F103" s="399"/>
      <c r="G103" s="399"/>
      <c r="H103" s="399"/>
      <c r="I103" s="399"/>
      <c r="J103" s="405"/>
      <c r="K103" s="399"/>
      <c r="L103" s="399"/>
      <c r="M103" s="399"/>
      <c r="N103" s="399"/>
      <c r="O103" s="399"/>
      <c r="P103" s="398" t="str">
        <f t="shared" ref="P103:P134" si="10">IF($B103="","",$B103&amp;"|"&amp;$D103&amp;"|"&amp;$F103&amp;"|"&amp;$I103)</f>
        <v/>
      </c>
      <c r="Q103" s="399"/>
      <c r="R103" s="398" t="str">
        <f t="shared" ref="R103:R134" si="11">IF($B103="","Blank",IF(OR($D103="",$I103="",$J103=""),"Review","OK"))</f>
        <v>Blank</v>
      </c>
    </row>
    <row r="104" spans="1:18">
      <c r="A104" s="398" t="str">
        <f t="shared" si="9"/>
        <v/>
      </c>
      <c r="B104" s="399"/>
      <c r="C104" s="398" t="str">
        <f>IFERROR(INDEX(DATA_PROPERTY_MASTER!$B:$B,MATCH($B104,DATA_PROPERTY_MASTER!$A:$A,0)),"")</f>
        <v/>
      </c>
      <c r="D104" s="400"/>
      <c r="E104" s="399"/>
      <c r="F104" s="399"/>
      <c r="G104" s="399"/>
      <c r="H104" s="399"/>
      <c r="I104" s="399"/>
      <c r="J104" s="405"/>
      <c r="K104" s="399"/>
      <c r="L104" s="399"/>
      <c r="M104" s="399"/>
      <c r="N104" s="399"/>
      <c r="O104" s="399"/>
      <c r="P104" s="398" t="str">
        <f t="shared" si="10"/>
        <v/>
      </c>
      <c r="Q104" s="399"/>
      <c r="R104" s="398" t="str">
        <f t="shared" si="11"/>
        <v>Blank</v>
      </c>
    </row>
    <row r="105" spans="1:18">
      <c r="A105" s="398" t="str">
        <f t="shared" si="9"/>
        <v/>
      </c>
      <c r="B105" s="399"/>
      <c r="C105" s="398" t="str">
        <f>IFERROR(INDEX(DATA_PROPERTY_MASTER!$B:$B,MATCH($B105,DATA_PROPERTY_MASTER!$A:$A,0)),"")</f>
        <v/>
      </c>
      <c r="D105" s="400"/>
      <c r="E105" s="399"/>
      <c r="F105" s="399"/>
      <c r="G105" s="399"/>
      <c r="H105" s="399"/>
      <c r="I105" s="399"/>
      <c r="J105" s="405"/>
      <c r="K105" s="399"/>
      <c r="L105" s="399"/>
      <c r="M105" s="399"/>
      <c r="N105" s="399"/>
      <c r="O105" s="399"/>
      <c r="P105" s="398" t="str">
        <f t="shared" si="10"/>
        <v/>
      </c>
      <c r="Q105" s="399"/>
      <c r="R105" s="398" t="str">
        <f t="shared" si="11"/>
        <v>Blank</v>
      </c>
    </row>
    <row r="106" spans="1:18">
      <c r="A106" s="398" t="str">
        <f t="shared" si="9"/>
        <v/>
      </c>
      <c r="B106" s="399"/>
      <c r="C106" s="398" t="str">
        <f>IFERROR(INDEX(DATA_PROPERTY_MASTER!$B:$B,MATCH($B106,DATA_PROPERTY_MASTER!$A:$A,0)),"")</f>
        <v/>
      </c>
      <c r="D106" s="400"/>
      <c r="E106" s="399"/>
      <c r="F106" s="399"/>
      <c r="G106" s="399"/>
      <c r="H106" s="399"/>
      <c r="I106" s="399"/>
      <c r="J106" s="405"/>
      <c r="K106" s="399"/>
      <c r="L106" s="399"/>
      <c r="M106" s="399"/>
      <c r="N106" s="399"/>
      <c r="O106" s="399"/>
      <c r="P106" s="398" t="str">
        <f t="shared" si="10"/>
        <v/>
      </c>
      <c r="Q106" s="399"/>
      <c r="R106" s="398" t="str">
        <f t="shared" si="11"/>
        <v>Blank</v>
      </c>
    </row>
    <row r="107" spans="1:18">
      <c r="A107" s="398" t="str">
        <f t="shared" si="9"/>
        <v/>
      </c>
      <c r="B107" s="399"/>
      <c r="C107" s="398" t="str">
        <f>IFERROR(INDEX(DATA_PROPERTY_MASTER!$B:$B,MATCH($B107,DATA_PROPERTY_MASTER!$A:$A,0)),"")</f>
        <v/>
      </c>
      <c r="D107" s="400"/>
      <c r="E107" s="399"/>
      <c r="F107" s="399"/>
      <c r="G107" s="399"/>
      <c r="H107" s="399"/>
      <c r="I107" s="399"/>
      <c r="J107" s="405"/>
      <c r="K107" s="399"/>
      <c r="L107" s="399"/>
      <c r="M107" s="399"/>
      <c r="N107" s="399"/>
      <c r="O107" s="399"/>
      <c r="P107" s="398" t="str">
        <f t="shared" si="10"/>
        <v/>
      </c>
      <c r="Q107" s="399"/>
      <c r="R107" s="398" t="str">
        <f t="shared" si="11"/>
        <v>Blank</v>
      </c>
    </row>
    <row r="108" spans="1:18">
      <c r="A108" s="398" t="str">
        <f t="shared" si="9"/>
        <v/>
      </c>
      <c r="B108" s="399"/>
      <c r="C108" s="398" t="str">
        <f>IFERROR(INDEX(DATA_PROPERTY_MASTER!$B:$B,MATCH($B108,DATA_PROPERTY_MASTER!$A:$A,0)),"")</f>
        <v/>
      </c>
      <c r="D108" s="400"/>
      <c r="E108" s="399"/>
      <c r="F108" s="399"/>
      <c r="G108" s="399"/>
      <c r="H108" s="399"/>
      <c r="I108" s="399"/>
      <c r="J108" s="405"/>
      <c r="K108" s="399"/>
      <c r="L108" s="399"/>
      <c r="M108" s="399"/>
      <c r="N108" s="399"/>
      <c r="O108" s="399"/>
      <c r="P108" s="398" t="str">
        <f t="shared" si="10"/>
        <v/>
      </c>
      <c r="Q108" s="399"/>
      <c r="R108" s="398" t="str">
        <f t="shared" si="11"/>
        <v>Blank</v>
      </c>
    </row>
    <row r="109" spans="1:18">
      <c r="A109" s="398" t="str">
        <f t="shared" si="9"/>
        <v/>
      </c>
      <c r="B109" s="399"/>
      <c r="C109" s="398" t="str">
        <f>IFERROR(INDEX(DATA_PROPERTY_MASTER!$B:$B,MATCH($B109,DATA_PROPERTY_MASTER!$A:$A,0)),"")</f>
        <v/>
      </c>
      <c r="D109" s="400"/>
      <c r="E109" s="399"/>
      <c r="F109" s="399"/>
      <c r="G109" s="399"/>
      <c r="H109" s="399"/>
      <c r="I109" s="399"/>
      <c r="J109" s="405"/>
      <c r="K109" s="399"/>
      <c r="L109" s="399"/>
      <c r="M109" s="399"/>
      <c r="N109" s="399"/>
      <c r="O109" s="399"/>
      <c r="P109" s="398" t="str">
        <f t="shared" si="10"/>
        <v/>
      </c>
      <c r="Q109" s="399"/>
      <c r="R109" s="398" t="str">
        <f t="shared" si="11"/>
        <v>Blank</v>
      </c>
    </row>
    <row r="110" spans="1:18">
      <c r="A110" s="398" t="str">
        <f t="shared" si="9"/>
        <v/>
      </c>
      <c r="B110" s="399"/>
      <c r="C110" s="398" t="str">
        <f>IFERROR(INDEX(DATA_PROPERTY_MASTER!$B:$B,MATCH($B110,DATA_PROPERTY_MASTER!$A:$A,0)),"")</f>
        <v/>
      </c>
      <c r="D110" s="400"/>
      <c r="E110" s="399"/>
      <c r="F110" s="399"/>
      <c r="G110" s="399"/>
      <c r="H110" s="399"/>
      <c r="I110" s="399"/>
      <c r="J110" s="405"/>
      <c r="K110" s="399"/>
      <c r="L110" s="399"/>
      <c r="M110" s="399"/>
      <c r="N110" s="399"/>
      <c r="O110" s="399"/>
      <c r="P110" s="398" t="str">
        <f t="shared" si="10"/>
        <v/>
      </c>
      <c r="Q110" s="399"/>
      <c r="R110" s="398" t="str">
        <f t="shared" si="11"/>
        <v>Blank</v>
      </c>
    </row>
    <row r="111" spans="1:18">
      <c r="A111" s="398" t="str">
        <f t="shared" si="9"/>
        <v/>
      </c>
      <c r="B111" s="399"/>
      <c r="C111" s="398" t="str">
        <f>IFERROR(INDEX(DATA_PROPERTY_MASTER!$B:$B,MATCH($B111,DATA_PROPERTY_MASTER!$A:$A,0)),"")</f>
        <v/>
      </c>
      <c r="D111" s="400"/>
      <c r="E111" s="399"/>
      <c r="F111" s="399"/>
      <c r="G111" s="399"/>
      <c r="H111" s="399"/>
      <c r="I111" s="399"/>
      <c r="J111" s="405"/>
      <c r="K111" s="399"/>
      <c r="L111" s="399"/>
      <c r="M111" s="399"/>
      <c r="N111" s="399"/>
      <c r="O111" s="399"/>
      <c r="P111" s="398" t="str">
        <f t="shared" si="10"/>
        <v/>
      </c>
      <c r="Q111" s="399"/>
      <c r="R111" s="398" t="str">
        <f t="shared" si="11"/>
        <v>Blank</v>
      </c>
    </row>
    <row r="112" spans="1:18">
      <c r="A112" s="398" t="str">
        <f t="shared" si="9"/>
        <v/>
      </c>
      <c r="B112" s="399"/>
      <c r="C112" s="398" t="str">
        <f>IFERROR(INDEX(DATA_PROPERTY_MASTER!$B:$B,MATCH($B112,DATA_PROPERTY_MASTER!$A:$A,0)),"")</f>
        <v/>
      </c>
      <c r="D112" s="400"/>
      <c r="E112" s="399"/>
      <c r="F112" s="399"/>
      <c r="G112" s="399"/>
      <c r="H112" s="399"/>
      <c r="I112" s="399"/>
      <c r="J112" s="405"/>
      <c r="K112" s="399"/>
      <c r="L112" s="399"/>
      <c r="M112" s="399"/>
      <c r="N112" s="399"/>
      <c r="O112" s="399"/>
      <c r="P112" s="398" t="str">
        <f t="shared" si="10"/>
        <v/>
      </c>
      <c r="Q112" s="399"/>
      <c r="R112" s="398" t="str">
        <f t="shared" si="11"/>
        <v>Blank</v>
      </c>
    </row>
    <row r="113" spans="1:18">
      <c r="A113" s="398" t="str">
        <f t="shared" si="9"/>
        <v/>
      </c>
      <c r="B113" s="399"/>
      <c r="C113" s="398" t="str">
        <f>IFERROR(INDEX(DATA_PROPERTY_MASTER!$B:$B,MATCH($B113,DATA_PROPERTY_MASTER!$A:$A,0)),"")</f>
        <v/>
      </c>
      <c r="D113" s="400"/>
      <c r="E113" s="399"/>
      <c r="F113" s="399"/>
      <c r="G113" s="399"/>
      <c r="H113" s="399"/>
      <c r="I113" s="399"/>
      <c r="J113" s="405"/>
      <c r="K113" s="399"/>
      <c r="L113" s="399"/>
      <c r="M113" s="399"/>
      <c r="N113" s="399"/>
      <c r="O113" s="399"/>
      <c r="P113" s="398" t="str">
        <f t="shared" si="10"/>
        <v/>
      </c>
      <c r="Q113" s="399"/>
      <c r="R113" s="398" t="str">
        <f t="shared" si="11"/>
        <v>Blank</v>
      </c>
    </row>
    <row r="114" spans="1:18">
      <c r="A114" s="398" t="str">
        <f t="shared" si="9"/>
        <v/>
      </c>
      <c r="B114" s="399"/>
      <c r="C114" s="398" t="str">
        <f>IFERROR(INDEX(DATA_PROPERTY_MASTER!$B:$B,MATCH($B114,DATA_PROPERTY_MASTER!$A:$A,0)),"")</f>
        <v/>
      </c>
      <c r="D114" s="400"/>
      <c r="E114" s="399"/>
      <c r="F114" s="399"/>
      <c r="G114" s="399"/>
      <c r="H114" s="399"/>
      <c r="I114" s="399"/>
      <c r="J114" s="405"/>
      <c r="K114" s="399"/>
      <c r="L114" s="399"/>
      <c r="M114" s="399"/>
      <c r="N114" s="399"/>
      <c r="O114" s="399"/>
      <c r="P114" s="398" t="str">
        <f t="shared" si="10"/>
        <v/>
      </c>
      <c r="Q114" s="399"/>
      <c r="R114" s="398" t="str">
        <f t="shared" si="11"/>
        <v>Blank</v>
      </c>
    </row>
    <row r="115" spans="1:18">
      <c r="A115" s="398" t="str">
        <f t="shared" si="9"/>
        <v/>
      </c>
      <c r="B115" s="399"/>
      <c r="C115" s="398" t="str">
        <f>IFERROR(INDEX(DATA_PROPERTY_MASTER!$B:$B,MATCH($B115,DATA_PROPERTY_MASTER!$A:$A,0)),"")</f>
        <v/>
      </c>
      <c r="D115" s="400"/>
      <c r="E115" s="399"/>
      <c r="F115" s="399"/>
      <c r="G115" s="399"/>
      <c r="H115" s="399"/>
      <c r="I115" s="399"/>
      <c r="J115" s="405"/>
      <c r="K115" s="399"/>
      <c r="L115" s="399"/>
      <c r="M115" s="399"/>
      <c r="N115" s="399"/>
      <c r="O115" s="399"/>
      <c r="P115" s="398" t="str">
        <f t="shared" si="10"/>
        <v/>
      </c>
      <c r="Q115" s="399"/>
      <c r="R115" s="398" t="str">
        <f t="shared" si="11"/>
        <v>Blank</v>
      </c>
    </row>
    <row r="116" spans="1:18">
      <c r="A116" s="398" t="str">
        <f t="shared" si="9"/>
        <v/>
      </c>
      <c r="B116" s="399"/>
      <c r="C116" s="398" t="str">
        <f>IFERROR(INDEX(DATA_PROPERTY_MASTER!$B:$B,MATCH($B116,DATA_PROPERTY_MASTER!$A:$A,0)),"")</f>
        <v/>
      </c>
      <c r="D116" s="400"/>
      <c r="E116" s="399"/>
      <c r="F116" s="399"/>
      <c r="G116" s="399"/>
      <c r="H116" s="399"/>
      <c r="I116" s="399"/>
      <c r="J116" s="405"/>
      <c r="K116" s="399"/>
      <c r="L116" s="399"/>
      <c r="M116" s="399"/>
      <c r="N116" s="399"/>
      <c r="O116" s="399"/>
      <c r="P116" s="398" t="str">
        <f t="shared" si="10"/>
        <v/>
      </c>
      <c r="Q116" s="399"/>
      <c r="R116" s="398" t="str">
        <f t="shared" si="11"/>
        <v>Blank</v>
      </c>
    </row>
    <row r="117" spans="1:18">
      <c r="A117" s="398" t="str">
        <f t="shared" si="9"/>
        <v/>
      </c>
      <c r="B117" s="399"/>
      <c r="C117" s="398" t="str">
        <f>IFERROR(INDEX(DATA_PROPERTY_MASTER!$B:$B,MATCH($B117,DATA_PROPERTY_MASTER!$A:$A,0)),"")</f>
        <v/>
      </c>
      <c r="D117" s="400"/>
      <c r="E117" s="399"/>
      <c r="F117" s="399"/>
      <c r="G117" s="399"/>
      <c r="H117" s="399"/>
      <c r="I117" s="399"/>
      <c r="J117" s="405"/>
      <c r="K117" s="399"/>
      <c r="L117" s="399"/>
      <c r="M117" s="399"/>
      <c r="N117" s="399"/>
      <c r="O117" s="399"/>
      <c r="P117" s="398" t="str">
        <f t="shared" si="10"/>
        <v/>
      </c>
      <c r="Q117" s="399"/>
      <c r="R117" s="398" t="str">
        <f t="shared" si="11"/>
        <v>Blank</v>
      </c>
    </row>
    <row r="118" spans="1:18">
      <c r="A118" s="398" t="str">
        <f t="shared" si="9"/>
        <v/>
      </c>
      <c r="B118" s="399"/>
      <c r="C118" s="398" t="str">
        <f>IFERROR(INDEX(DATA_PROPERTY_MASTER!$B:$B,MATCH($B118,DATA_PROPERTY_MASTER!$A:$A,0)),"")</f>
        <v/>
      </c>
      <c r="D118" s="400"/>
      <c r="E118" s="399"/>
      <c r="F118" s="399"/>
      <c r="G118" s="399"/>
      <c r="H118" s="399"/>
      <c r="I118" s="399"/>
      <c r="J118" s="405"/>
      <c r="K118" s="399"/>
      <c r="L118" s="399"/>
      <c r="M118" s="399"/>
      <c r="N118" s="399"/>
      <c r="O118" s="399"/>
      <c r="P118" s="398" t="str">
        <f t="shared" si="10"/>
        <v/>
      </c>
      <c r="Q118" s="399"/>
      <c r="R118" s="398" t="str">
        <f t="shared" si="11"/>
        <v>Blank</v>
      </c>
    </row>
    <row r="119" spans="1:18">
      <c r="A119" s="398" t="str">
        <f t="shared" si="9"/>
        <v/>
      </c>
      <c r="B119" s="399"/>
      <c r="C119" s="398" t="str">
        <f>IFERROR(INDEX(DATA_PROPERTY_MASTER!$B:$B,MATCH($B119,DATA_PROPERTY_MASTER!$A:$A,0)),"")</f>
        <v/>
      </c>
      <c r="D119" s="400"/>
      <c r="E119" s="399"/>
      <c r="F119" s="399"/>
      <c r="G119" s="399"/>
      <c r="H119" s="399"/>
      <c r="I119" s="399"/>
      <c r="J119" s="405"/>
      <c r="K119" s="399"/>
      <c r="L119" s="399"/>
      <c r="M119" s="399"/>
      <c r="N119" s="399"/>
      <c r="O119" s="399"/>
      <c r="P119" s="398" t="str">
        <f t="shared" si="10"/>
        <v/>
      </c>
      <c r="Q119" s="399"/>
      <c r="R119" s="398" t="str">
        <f t="shared" si="11"/>
        <v>Blank</v>
      </c>
    </row>
    <row r="120" spans="1:18">
      <c r="A120" s="398" t="str">
        <f t="shared" si="9"/>
        <v/>
      </c>
      <c r="B120" s="399"/>
      <c r="C120" s="398" t="str">
        <f>IFERROR(INDEX(DATA_PROPERTY_MASTER!$B:$B,MATCH($B120,DATA_PROPERTY_MASTER!$A:$A,0)),"")</f>
        <v/>
      </c>
      <c r="D120" s="400"/>
      <c r="E120" s="399"/>
      <c r="F120" s="399"/>
      <c r="G120" s="399"/>
      <c r="H120" s="399"/>
      <c r="I120" s="399"/>
      <c r="J120" s="405"/>
      <c r="K120" s="399"/>
      <c r="L120" s="399"/>
      <c r="M120" s="399"/>
      <c r="N120" s="399"/>
      <c r="O120" s="399"/>
      <c r="P120" s="398" t="str">
        <f t="shared" si="10"/>
        <v/>
      </c>
      <c r="Q120" s="399"/>
      <c r="R120" s="398" t="str">
        <f t="shared" si="11"/>
        <v>Blank</v>
      </c>
    </row>
    <row r="121" spans="1:18">
      <c r="A121" s="398" t="str">
        <f t="shared" si="9"/>
        <v/>
      </c>
      <c r="B121" s="399"/>
      <c r="C121" s="398" t="str">
        <f>IFERROR(INDEX(DATA_PROPERTY_MASTER!$B:$B,MATCH($B121,DATA_PROPERTY_MASTER!$A:$A,0)),"")</f>
        <v/>
      </c>
      <c r="D121" s="400"/>
      <c r="E121" s="399"/>
      <c r="F121" s="399"/>
      <c r="G121" s="399"/>
      <c r="H121" s="399"/>
      <c r="I121" s="399"/>
      <c r="J121" s="405"/>
      <c r="K121" s="399"/>
      <c r="L121" s="399"/>
      <c r="M121" s="399"/>
      <c r="N121" s="399"/>
      <c r="O121" s="399"/>
      <c r="P121" s="398" t="str">
        <f t="shared" si="10"/>
        <v/>
      </c>
      <c r="Q121" s="399"/>
      <c r="R121" s="398" t="str">
        <f t="shared" si="11"/>
        <v>Blank</v>
      </c>
    </row>
    <row r="122" spans="1:18">
      <c r="A122" s="398" t="str">
        <f t="shared" si="9"/>
        <v/>
      </c>
      <c r="B122" s="399"/>
      <c r="C122" s="398" t="str">
        <f>IFERROR(INDEX(DATA_PROPERTY_MASTER!$B:$B,MATCH($B122,DATA_PROPERTY_MASTER!$A:$A,0)),"")</f>
        <v/>
      </c>
      <c r="D122" s="400"/>
      <c r="E122" s="399"/>
      <c r="F122" s="399"/>
      <c r="G122" s="399"/>
      <c r="H122" s="399"/>
      <c r="I122" s="399"/>
      <c r="J122" s="405"/>
      <c r="K122" s="399"/>
      <c r="L122" s="399"/>
      <c r="M122" s="399"/>
      <c r="N122" s="399"/>
      <c r="O122" s="399"/>
      <c r="P122" s="398" t="str">
        <f t="shared" si="10"/>
        <v/>
      </c>
      <c r="Q122" s="399"/>
      <c r="R122" s="398" t="str">
        <f t="shared" si="11"/>
        <v>Blank</v>
      </c>
    </row>
    <row r="123" spans="1:18">
      <c r="A123" s="398" t="str">
        <f t="shared" si="9"/>
        <v/>
      </c>
      <c r="B123" s="399"/>
      <c r="C123" s="398" t="str">
        <f>IFERROR(INDEX(DATA_PROPERTY_MASTER!$B:$B,MATCH($B123,DATA_PROPERTY_MASTER!$A:$A,0)),"")</f>
        <v/>
      </c>
      <c r="D123" s="400"/>
      <c r="E123" s="399"/>
      <c r="F123" s="399"/>
      <c r="G123" s="399"/>
      <c r="H123" s="399"/>
      <c r="I123" s="399"/>
      <c r="J123" s="405"/>
      <c r="K123" s="399"/>
      <c r="L123" s="399"/>
      <c r="M123" s="399"/>
      <c r="N123" s="399"/>
      <c r="O123" s="399"/>
      <c r="P123" s="398" t="str">
        <f t="shared" si="10"/>
        <v/>
      </c>
      <c r="Q123" s="399"/>
      <c r="R123" s="398" t="str">
        <f t="shared" si="11"/>
        <v>Blank</v>
      </c>
    </row>
    <row r="124" spans="1:18">
      <c r="A124" s="398" t="str">
        <f t="shared" si="9"/>
        <v/>
      </c>
      <c r="B124" s="399"/>
      <c r="C124" s="398" t="str">
        <f>IFERROR(INDEX(DATA_PROPERTY_MASTER!$B:$B,MATCH($B124,DATA_PROPERTY_MASTER!$A:$A,0)),"")</f>
        <v/>
      </c>
      <c r="D124" s="400"/>
      <c r="E124" s="399"/>
      <c r="F124" s="399"/>
      <c r="G124" s="399"/>
      <c r="H124" s="399"/>
      <c r="I124" s="399"/>
      <c r="J124" s="405"/>
      <c r="K124" s="399"/>
      <c r="L124" s="399"/>
      <c r="M124" s="399"/>
      <c r="N124" s="399"/>
      <c r="O124" s="399"/>
      <c r="P124" s="398" t="str">
        <f t="shared" si="10"/>
        <v/>
      </c>
      <c r="Q124" s="399"/>
      <c r="R124" s="398" t="str">
        <f t="shared" si="11"/>
        <v>Blank</v>
      </c>
    </row>
    <row r="125" spans="1:18">
      <c r="A125" s="398" t="str">
        <f t="shared" si="9"/>
        <v/>
      </c>
      <c r="B125" s="399"/>
      <c r="C125" s="398" t="str">
        <f>IFERROR(INDEX(DATA_PROPERTY_MASTER!$B:$B,MATCH($B125,DATA_PROPERTY_MASTER!$A:$A,0)),"")</f>
        <v/>
      </c>
      <c r="D125" s="400"/>
      <c r="E125" s="399"/>
      <c r="F125" s="399"/>
      <c r="G125" s="399"/>
      <c r="H125" s="399"/>
      <c r="I125" s="399"/>
      <c r="J125" s="405"/>
      <c r="K125" s="399"/>
      <c r="L125" s="399"/>
      <c r="M125" s="399"/>
      <c r="N125" s="399"/>
      <c r="O125" s="399"/>
      <c r="P125" s="398" t="str">
        <f t="shared" si="10"/>
        <v/>
      </c>
      <c r="Q125" s="399"/>
      <c r="R125" s="398" t="str">
        <f t="shared" si="11"/>
        <v>Blank</v>
      </c>
    </row>
    <row r="126" spans="1:18">
      <c r="A126" s="398" t="str">
        <f t="shared" si="9"/>
        <v/>
      </c>
      <c r="B126" s="399"/>
      <c r="C126" s="398" t="str">
        <f>IFERROR(INDEX(DATA_PROPERTY_MASTER!$B:$B,MATCH($B126,DATA_PROPERTY_MASTER!$A:$A,0)),"")</f>
        <v/>
      </c>
      <c r="D126" s="400"/>
      <c r="E126" s="399"/>
      <c r="F126" s="399"/>
      <c r="G126" s="399"/>
      <c r="H126" s="399"/>
      <c r="I126" s="399"/>
      <c r="J126" s="405"/>
      <c r="K126" s="399"/>
      <c r="L126" s="399"/>
      <c r="M126" s="399"/>
      <c r="N126" s="399"/>
      <c r="O126" s="399"/>
      <c r="P126" s="398" t="str">
        <f t="shared" si="10"/>
        <v/>
      </c>
      <c r="Q126" s="399"/>
      <c r="R126" s="398" t="str">
        <f t="shared" si="11"/>
        <v>Blank</v>
      </c>
    </row>
    <row r="127" spans="1:18">
      <c r="A127" s="398" t="str">
        <f t="shared" si="9"/>
        <v/>
      </c>
      <c r="B127" s="399"/>
      <c r="C127" s="398" t="str">
        <f>IFERROR(INDEX(DATA_PROPERTY_MASTER!$B:$B,MATCH($B127,DATA_PROPERTY_MASTER!$A:$A,0)),"")</f>
        <v/>
      </c>
      <c r="D127" s="400"/>
      <c r="E127" s="399"/>
      <c r="F127" s="399"/>
      <c r="G127" s="399"/>
      <c r="H127" s="399"/>
      <c r="I127" s="399"/>
      <c r="J127" s="405"/>
      <c r="K127" s="399"/>
      <c r="L127" s="399"/>
      <c r="M127" s="399"/>
      <c r="N127" s="399"/>
      <c r="O127" s="399"/>
      <c r="P127" s="398" t="str">
        <f t="shared" si="10"/>
        <v/>
      </c>
      <c r="Q127" s="399"/>
      <c r="R127" s="398" t="str">
        <f t="shared" si="11"/>
        <v>Blank</v>
      </c>
    </row>
    <row r="128" spans="1:18">
      <c r="A128" s="398" t="str">
        <f t="shared" si="9"/>
        <v/>
      </c>
      <c r="B128" s="399"/>
      <c r="C128" s="398" t="str">
        <f>IFERROR(INDEX(DATA_PROPERTY_MASTER!$B:$B,MATCH($B128,DATA_PROPERTY_MASTER!$A:$A,0)),"")</f>
        <v/>
      </c>
      <c r="D128" s="400"/>
      <c r="E128" s="399"/>
      <c r="F128" s="399"/>
      <c r="G128" s="399"/>
      <c r="H128" s="399"/>
      <c r="I128" s="399"/>
      <c r="J128" s="405"/>
      <c r="K128" s="399"/>
      <c r="L128" s="399"/>
      <c r="M128" s="399"/>
      <c r="N128" s="399"/>
      <c r="O128" s="399"/>
      <c r="P128" s="398" t="str">
        <f t="shared" si="10"/>
        <v/>
      </c>
      <c r="Q128" s="399"/>
      <c r="R128" s="398" t="str">
        <f t="shared" si="11"/>
        <v>Blank</v>
      </c>
    </row>
    <row r="129" spans="1:18">
      <c r="A129" s="398" t="str">
        <f t="shared" si="9"/>
        <v/>
      </c>
      <c r="B129" s="399"/>
      <c r="C129" s="398" t="str">
        <f>IFERROR(INDEX(DATA_PROPERTY_MASTER!$B:$B,MATCH($B129,DATA_PROPERTY_MASTER!$A:$A,0)),"")</f>
        <v/>
      </c>
      <c r="D129" s="400"/>
      <c r="E129" s="399"/>
      <c r="F129" s="399"/>
      <c r="G129" s="399"/>
      <c r="H129" s="399"/>
      <c r="I129" s="399"/>
      <c r="J129" s="405"/>
      <c r="K129" s="399"/>
      <c r="L129" s="399"/>
      <c r="M129" s="399"/>
      <c r="N129" s="399"/>
      <c r="O129" s="399"/>
      <c r="P129" s="398" t="str">
        <f t="shared" si="10"/>
        <v/>
      </c>
      <c r="Q129" s="399"/>
      <c r="R129" s="398" t="str">
        <f t="shared" si="11"/>
        <v>Blank</v>
      </c>
    </row>
    <row r="130" spans="1:18">
      <c r="A130" s="398" t="str">
        <f t="shared" si="9"/>
        <v/>
      </c>
      <c r="B130" s="399"/>
      <c r="C130" s="398" t="str">
        <f>IFERROR(INDEX(DATA_PROPERTY_MASTER!$B:$B,MATCH($B130,DATA_PROPERTY_MASTER!$A:$A,0)),"")</f>
        <v/>
      </c>
      <c r="D130" s="400"/>
      <c r="E130" s="399"/>
      <c r="F130" s="399"/>
      <c r="G130" s="399"/>
      <c r="H130" s="399"/>
      <c r="I130" s="399"/>
      <c r="J130" s="405"/>
      <c r="K130" s="399"/>
      <c r="L130" s="399"/>
      <c r="M130" s="399"/>
      <c r="N130" s="399"/>
      <c r="O130" s="399"/>
      <c r="P130" s="398" t="str">
        <f t="shared" si="10"/>
        <v/>
      </c>
      <c r="Q130" s="399"/>
      <c r="R130" s="398" t="str">
        <f t="shared" si="11"/>
        <v>Blank</v>
      </c>
    </row>
    <row r="131" spans="1:18">
      <c r="A131" s="398" t="str">
        <f t="shared" si="9"/>
        <v/>
      </c>
      <c r="B131" s="399"/>
      <c r="C131" s="398" t="str">
        <f>IFERROR(INDEX(DATA_PROPERTY_MASTER!$B:$B,MATCH($B131,DATA_PROPERTY_MASTER!$A:$A,0)),"")</f>
        <v/>
      </c>
      <c r="D131" s="400"/>
      <c r="E131" s="399"/>
      <c r="F131" s="399"/>
      <c r="G131" s="399"/>
      <c r="H131" s="399"/>
      <c r="I131" s="399"/>
      <c r="J131" s="405"/>
      <c r="K131" s="399"/>
      <c r="L131" s="399"/>
      <c r="M131" s="399"/>
      <c r="N131" s="399"/>
      <c r="O131" s="399"/>
      <c r="P131" s="398" t="str">
        <f t="shared" si="10"/>
        <v/>
      </c>
      <c r="Q131" s="399"/>
      <c r="R131" s="398" t="str">
        <f t="shared" si="11"/>
        <v>Blank</v>
      </c>
    </row>
    <row r="132" spans="1:18">
      <c r="A132" s="398" t="str">
        <f t="shared" si="9"/>
        <v/>
      </c>
      <c r="B132" s="399"/>
      <c r="C132" s="398" t="str">
        <f>IFERROR(INDEX(DATA_PROPERTY_MASTER!$B:$B,MATCH($B132,DATA_PROPERTY_MASTER!$A:$A,0)),"")</f>
        <v/>
      </c>
      <c r="D132" s="400"/>
      <c r="E132" s="399"/>
      <c r="F132" s="399"/>
      <c r="G132" s="399"/>
      <c r="H132" s="399"/>
      <c r="I132" s="399"/>
      <c r="J132" s="405"/>
      <c r="K132" s="399"/>
      <c r="L132" s="399"/>
      <c r="M132" s="399"/>
      <c r="N132" s="399"/>
      <c r="O132" s="399"/>
      <c r="P132" s="398" t="str">
        <f t="shared" si="10"/>
        <v/>
      </c>
      <c r="Q132" s="399"/>
      <c r="R132" s="398" t="str">
        <f t="shared" si="11"/>
        <v>Blank</v>
      </c>
    </row>
    <row r="133" spans="1:18">
      <c r="A133" s="398" t="str">
        <f t="shared" si="9"/>
        <v/>
      </c>
      <c r="B133" s="399"/>
      <c r="C133" s="398" t="str">
        <f>IFERROR(INDEX(DATA_PROPERTY_MASTER!$B:$B,MATCH($B133,DATA_PROPERTY_MASTER!$A:$A,0)),"")</f>
        <v/>
      </c>
      <c r="D133" s="400"/>
      <c r="E133" s="399"/>
      <c r="F133" s="399"/>
      <c r="G133" s="399"/>
      <c r="H133" s="399"/>
      <c r="I133" s="399"/>
      <c r="J133" s="405"/>
      <c r="K133" s="399"/>
      <c r="L133" s="399"/>
      <c r="M133" s="399"/>
      <c r="N133" s="399"/>
      <c r="O133" s="399"/>
      <c r="P133" s="398" t="str">
        <f t="shared" si="10"/>
        <v/>
      </c>
      <c r="Q133" s="399"/>
      <c r="R133" s="398" t="str">
        <f t="shared" si="11"/>
        <v>Blank</v>
      </c>
    </row>
    <row r="134" spans="1:18">
      <c r="A134" s="398" t="str">
        <f t="shared" si="9"/>
        <v/>
      </c>
      <c r="B134" s="399"/>
      <c r="C134" s="398" t="str">
        <f>IFERROR(INDEX(DATA_PROPERTY_MASTER!$B:$B,MATCH($B134,DATA_PROPERTY_MASTER!$A:$A,0)),"")</f>
        <v/>
      </c>
      <c r="D134" s="400"/>
      <c r="E134" s="399"/>
      <c r="F134" s="399"/>
      <c r="G134" s="399"/>
      <c r="H134" s="399"/>
      <c r="I134" s="399"/>
      <c r="J134" s="405"/>
      <c r="K134" s="399"/>
      <c r="L134" s="399"/>
      <c r="M134" s="399"/>
      <c r="N134" s="399"/>
      <c r="O134" s="399"/>
      <c r="P134" s="398" t="str">
        <f t="shared" si="10"/>
        <v/>
      </c>
      <c r="Q134" s="399"/>
      <c r="R134" s="398" t="str">
        <f t="shared" si="11"/>
        <v>Blank</v>
      </c>
    </row>
    <row r="135" spans="1:18">
      <c r="A135" s="398" t="str">
        <f t="shared" ref="A135:A166" si="12">IF($B135="","","OA-"&amp;TEXT(ROW()-6,"0000"))</f>
        <v/>
      </c>
      <c r="B135" s="399"/>
      <c r="C135" s="398" t="str">
        <f>IFERROR(INDEX(DATA_PROPERTY_MASTER!$B:$B,MATCH($B135,DATA_PROPERTY_MASTER!$A:$A,0)),"")</f>
        <v/>
      </c>
      <c r="D135" s="400"/>
      <c r="E135" s="399"/>
      <c r="F135" s="399"/>
      <c r="G135" s="399"/>
      <c r="H135" s="399"/>
      <c r="I135" s="399"/>
      <c r="J135" s="405"/>
      <c r="K135" s="399"/>
      <c r="L135" s="399"/>
      <c r="M135" s="399"/>
      <c r="N135" s="399"/>
      <c r="O135" s="399"/>
      <c r="P135" s="398" t="str">
        <f t="shared" ref="P135:P166" si="13">IF($B135="","",$B135&amp;"|"&amp;$D135&amp;"|"&amp;$F135&amp;"|"&amp;$I135)</f>
        <v/>
      </c>
      <c r="Q135" s="399"/>
      <c r="R135" s="398" t="str">
        <f t="shared" ref="R135:R166" si="14">IF($B135="","Blank",IF(OR($D135="",$I135="",$J135=""),"Review","OK"))</f>
        <v>Blank</v>
      </c>
    </row>
    <row r="136" spans="1:18">
      <c r="A136" s="398" t="str">
        <f t="shared" si="12"/>
        <v/>
      </c>
      <c r="B136" s="399"/>
      <c r="C136" s="398" t="str">
        <f>IFERROR(INDEX(DATA_PROPERTY_MASTER!$B:$B,MATCH($B136,DATA_PROPERTY_MASTER!$A:$A,0)),"")</f>
        <v/>
      </c>
      <c r="D136" s="400"/>
      <c r="E136" s="399"/>
      <c r="F136" s="399"/>
      <c r="G136" s="399"/>
      <c r="H136" s="399"/>
      <c r="I136" s="399"/>
      <c r="J136" s="405"/>
      <c r="K136" s="399"/>
      <c r="L136" s="399"/>
      <c r="M136" s="399"/>
      <c r="N136" s="399"/>
      <c r="O136" s="399"/>
      <c r="P136" s="398" t="str">
        <f t="shared" si="13"/>
        <v/>
      </c>
      <c r="Q136" s="399"/>
      <c r="R136" s="398" t="str">
        <f t="shared" si="14"/>
        <v>Blank</v>
      </c>
    </row>
    <row r="137" spans="1:18">
      <c r="A137" s="398" t="str">
        <f t="shared" si="12"/>
        <v/>
      </c>
      <c r="B137" s="399"/>
      <c r="C137" s="398" t="str">
        <f>IFERROR(INDEX(DATA_PROPERTY_MASTER!$B:$B,MATCH($B137,DATA_PROPERTY_MASTER!$A:$A,0)),"")</f>
        <v/>
      </c>
      <c r="D137" s="400"/>
      <c r="E137" s="399"/>
      <c r="F137" s="399"/>
      <c r="G137" s="399"/>
      <c r="H137" s="399"/>
      <c r="I137" s="399"/>
      <c r="J137" s="405"/>
      <c r="K137" s="399"/>
      <c r="L137" s="399"/>
      <c r="M137" s="399"/>
      <c r="N137" s="399"/>
      <c r="O137" s="399"/>
      <c r="P137" s="398" t="str">
        <f t="shared" si="13"/>
        <v/>
      </c>
      <c r="Q137" s="399"/>
      <c r="R137" s="398" t="str">
        <f t="shared" si="14"/>
        <v>Blank</v>
      </c>
    </row>
    <row r="138" spans="1:18">
      <c r="A138" s="398" t="str">
        <f t="shared" si="12"/>
        <v/>
      </c>
      <c r="B138" s="399"/>
      <c r="C138" s="398" t="str">
        <f>IFERROR(INDEX(DATA_PROPERTY_MASTER!$B:$B,MATCH($B138,DATA_PROPERTY_MASTER!$A:$A,0)),"")</f>
        <v/>
      </c>
      <c r="D138" s="400"/>
      <c r="E138" s="399"/>
      <c r="F138" s="399"/>
      <c r="G138" s="399"/>
      <c r="H138" s="399"/>
      <c r="I138" s="399"/>
      <c r="J138" s="405"/>
      <c r="K138" s="399"/>
      <c r="L138" s="399"/>
      <c r="M138" s="399"/>
      <c r="N138" s="399"/>
      <c r="O138" s="399"/>
      <c r="P138" s="398" t="str">
        <f t="shared" si="13"/>
        <v/>
      </c>
      <c r="Q138" s="399"/>
      <c r="R138" s="398" t="str">
        <f t="shared" si="14"/>
        <v>Blank</v>
      </c>
    </row>
    <row r="139" spans="1:18">
      <c r="A139" s="398" t="str">
        <f t="shared" si="12"/>
        <v/>
      </c>
      <c r="B139" s="399"/>
      <c r="C139" s="398" t="str">
        <f>IFERROR(INDEX(DATA_PROPERTY_MASTER!$B:$B,MATCH($B139,DATA_PROPERTY_MASTER!$A:$A,0)),"")</f>
        <v/>
      </c>
      <c r="D139" s="400"/>
      <c r="E139" s="399"/>
      <c r="F139" s="399"/>
      <c r="G139" s="399"/>
      <c r="H139" s="399"/>
      <c r="I139" s="399"/>
      <c r="J139" s="405"/>
      <c r="K139" s="399"/>
      <c r="L139" s="399"/>
      <c r="M139" s="399"/>
      <c r="N139" s="399"/>
      <c r="O139" s="399"/>
      <c r="P139" s="398" t="str">
        <f t="shared" si="13"/>
        <v/>
      </c>
      <c r="Q139" s="399"/>
      <c r="R139" s="398" t="str">
        <f t="shared" si="14"/>
        <v>Blank</v>
      </c>
    </row>
    <row r="140" spans="1:18">
      <c r="A140" s="398" t="str">
        <f t="shared" si="12"/>
        <v/>
      </c>
      <c r="B140" s="399"/>
      <c r="C140" s="398" t="str">
        <f>IFERROR(INDEX(DATA_PROPERTY_MASTER!$B:$B,MATCH($B140,DATA_PROPERTY_MASTER!$A:$A,0)),"")</f>
        <v/>
      </c>
      <c r="D140" s="400"/>
      <c r="E140" s="399"/>
      <c r="F140" s="399"/>
      <c r="G140" s="399"/>
      <c r="H140" s="399"/>
      <c r="I140" s="399"/>
      <c r="J140" s="405"/>
      <c r="K140" s="399"/>
      <c r="L140" s="399"/>
      <c r="M140" s="399"/>
      <c r="N140" s="399"/>
      <c r="O140" s="399"/>
      <c r="P140" s="398" t="str">
        <f t="shared" si="13"/>
        <v/>
      </c>
      <c r="Q140" s="399"/>
      <c r="R140" s="398" t="str">
        <f t="shared" si="14"/>
        <v>Blank</v>
      </c>
    </row>
    <row r="141" spans="1:18">
      <c r="A141" s="398" t="str">
        <f t="shared" si="12"/>
        <v/>
      </c>
      <c r="B141" s="399"/>
      <c r="C141" s="398" t="str">
        <f>IFERROR(INDEX(DATA_PROPERTY_MASTER!$B:$B,MATCH($B141,DATA_PROPERTY_MASTER!$A:$A,0)),"")</f>
        <v/>
      </c>
      <c r="D141" s="400"/>
      <c r="E141" s="399"/>
      <c r="F141" s="399"/>
      <c r="G141" s="399"/>
      <c r="H141" s="399"/>
      <c r="I141" s="399"/>
      <c r="J141" s="405"/>
      <c r="K141" s="399"/>
      <c r="L141" s="399"/>
      <c r="M141" s="399"/>
      <c r="N141" s="399"/>
      <c r="O141" s="399"/>
      <c r="P141" s="398" t="str">
        <f t="shared" si="13"/>
        <v/>
      </c>
      <c r="Q141" s="399"/>
      <c r="R141" s="398" t="str">
        <f t="shared" si="14"/>
        <v>Blank</v>
      </c>
    </row>
    <row r="142" spans="1:18">
      <c r="A142" s="398" t="str">
        <f t="shared" si="12"/>
        <v/>
      </c>
      <c r="B142" s="399"/>
      <c r="C142" s="398" t="str">
        <f>IFERROR(INDEX(DATA_PROPERTY_MASTER!$B:$B,MATCH($B142,DATA_PROPERTY_MASTER!$A:$A,0)),"")</f>
        <v/>
      </c>
      <c r="D142" s="400"/>
      <c r="E142" s="399"/>
      <c r="F142" s="399"/>
      <c r="G142" s="399"/>
      <c r="H142" s="399"/>
      <c r="I142" s="399"/>
      <c r="J142" s="405"/>
      <c r="K142" s="399"/>
      <c r="L142" s="399"/>
      <c r="M142" s="399"/>
      <c r="N142" s="399"/>
      <c r="O142" s="399"/>
      <c r="P142" s="398" t="str">
        <f t="shared" si="13"/>
        <v/>
      </c>
      <c r="Q142" s="399"/>
      <c r="R142" s="398" t="str">
        <f t="shared" si="14"/>
        <v>Blank</v>
      </c>
    </row>
    <row r="143" spans="1:18">
      <c r="A143" s="398" t="str">
        <f t="shared" si="12"/>
        <v/>
      </c>
      <c r="B143" s="399"/>
      <c r="C143" s="398" t="str">
        <f>IFERROR(INDEX(DATA_PROPERTY_MASTER!$B:$B,MATCH($B143,DATA_PROPERTY_MASTER!$A:$A,0)),"")</f>
        <v/>
      </c>
      <c r="D143" s="400"/>
      <c r="E143" s="399"/>
      <c r="F143" s="399"/>
      <c r="G143" s="399"/>
      <c r="H143" s="399"/>
      <c r="I143" s="399"/>
      <c r="J143" s="405"/>
      <c r="K143" s="399"/>
      <c r="L143" s="399"/>
      <c r="M143" s="399"/>
      <c r="N143" s="399"/>
      <c r="O143" s="399"/>
      <c r="P143" s="398" t="str">
        <f t="shared" si="13"/>
        <v/>
      </c>
      <c r="Q143" s="399"/>
      <c r="R143" s="398" t="str">
        <f t="shared" si="14"/>
        <v>Blank</v>
      </c>
    </row>
    <row r="144" spans="1:18">
      <c r="A144" s="398" t="str">
        <f t="shared" si="12"/>
        <v/>
      </c>
      <c r="B144" s="399"/>
      <c r="C144" s="398" t="str">
        <f>IFERROR(INDEX(DATA_PROPERTY_MASTER!$B:$B,MATCH($B144,DATA_PROPERTY_MASTER!$A:$A,0)),"")</f>
        <v/>
      </c>
      <c r="D144" s="400"/>
      <c r="E144" s="399"/>
      <c r="F144" s="399"/>
      <c r="G144" s="399"/>
      <c r="H144" s="399"/>
      <c r="I144" s="399"/>
      <c r="J144" s="405"/>
      <c r="K144" s="399"/>
      <c r="L144" s="399"/>
      <c r="M144" s="399"/>
      <c r="N144" s="399"/>
      <c r="O144" s="399"/>
      <c r="P144" s="398" t="str">
        <f t="shared" si="13"/>
        <v/>
      </c>
      <c r="Q144" s="399"/>
      <c r="R144" s="398" t="str">
        <f t="shared" si="14"/>
        <v>Blank</v>
      </c>
    </row>
    <row r="145" spans="1:18">
      <c r="A145" s="398" t="str">
        <f t="shared" si="12"/>
        <v/>
      </c>
      <c r="B145" s="399"/>
      <c r="C145" s="398" t="str">
        <f>IFERROR(INDEX(DATA_PROPERTY_MASTER!$B:$B,MATCH($B145,DATA_PROPERTY_MASTER!$A:$A,0)),"")</f>
        <v/>
      </c>
      <c r="D145" s="400"/>
      <c r="E145" s="399"/>
      <c r="F145" s="399"/>
      <c r="G145" s="399"/>
      <c r="H145" s="399"/>
      <c r="I145" s="399"/>
      <c r="J145" s="405"/>
      <c r="K145" s="399"/>
      <c r="L145" s="399"/>
      <c r="M145" s="399"/>
      <c r="N145" s="399"/>
      <c r="O145" s="399"/>
      <c r="P145" s="398" t="str">
        <f t="shared" si="13"/>
        <v/>
      </c>
      <c r="Q145" s="399"/>
      <c r="R145" s="398" t="str">
        <f t="shared" si="14"/>
        <v>Blank</v>
      </c>
    </row>
    <row r="146" spans="1:18">
      <c r="A146" s="398" t="str">
        <f t="shared" si="12"/>
        <v/>
      </c>
      <c r="B146" s="399"/>
      <c r="C146" s="398" t="str">
        <f>IFERROR(INDEX(DATA_PROPERTY_MASTER!$B:$B,MATCH($B146,DATA_PROPERTY_MASTER!$A:$A,0)),"")</f>
        <v/>
      </c>
      <c r="D146" s="400"/>
      <c r="E146" s="399"/>
      <c r="F146" s="399"/>
      <c r="G146" s="399"/>
      <c r="H146" s="399"/>
      <c r="I146" s="399"/>
      <c r="J146" s="405"/>
      <c r="K146" s="399"/>
      <c r="L146" s="399"/>
      <c r="M146" s="399"/>
      <c r="N146" s="399"/>
      <c r="O146" s="399"/>
      <c r="P146" s="398" t="str">
        <f t="shared" si="13"/>
        <v/>
      </c>
      <c r="Q146" s="399"/>
      <c r="R146" s="398" t="str">
        <f t="shared" si="14"/>
        <v>Blank</v>
      </c>
    </row>
    <row r="147" spans="1:18">
      <c r="A147" s="398" t="str">
        <f t="shared" si="12"/>
        <v/>
      </c>
      <c r="B147" s="399"/>
      <c r="C147" s="398" t="str">
        <f>IFERROR(INDEX(DATA_PROPERTY_MASTER!$B:$B,MATCH($B147,DATA_PROPERTY_MASTER!$A:$A,0)),"")</f>
        <v/>
      </c>
      <c r="D147" s="400"/>
      <c r="E147" s="399"/>
      <c r="F147" s="399"/>
      <c r="G147" s="399"/>
      <c r="H147" s="399"/>
      <c r="I147" s="399"/>
      <c r="J147" s="405"/>
      <c r="K147" s="399"/>
      <c r="L147" s="399"/>
      <c r="M147" s="399"/>
      <c r="N147" s="399"/>
      <c r="O147" s="399"/>
      <c r="P147" s="398" t="str">
        <f t="shared" si="13"/>
        <v/>
      </c>
      <c r="Q147" s="399"/>
      <c r="R147" s="398" t="str">
        <f t="shared" si="14"/>
        <v>Blank</v>
      </c>
    </row>
    <row r="148" spans="1:18">
      <c r="A148" s="398" t="str">
        <f t="shared" si="12"/>
        <v/>
      </c>
      <c r="B148" s="399"/>
      <c r="C148" s="398" t="str">
        <f>IFERROR(INDEX(DATA_PROPERTY_MASTER!$B:$B,MATCH($B148,DATA_PROPERTY_MASTER!$A:$A,0)),"")</f>
        <v/>
      </c>
      <c r="D148" s="400"/>
      <c r="E148" s="399"/>
      <c r="F148" s="399"/>
      <c r="G148" s="399"/>
      <c r="H148" s="399"/>
      <c r="I148" s="399"/>
      <c r="J148" s="405"/>
      <c r="K148" s="399"/>
      <c r="L148" s="399"/>
      <c r="M148" s="399"/>
      <c r="N148" s="399"/>
      <c r="O148" s="399"/>
      <c r="P148" s="398" t="str">
        <f t="shared" si="13"/>
        <v/>
      </c>
      <c r="Q148" s="399"/>
      <c r="R148" s="398" t="str">
        <f t="shared" si="14"/>
        <v>Blank</v>
      </c>
    </row>
    <row r="149" spans="1:18">
      <c r="A149" s="398" t="str">
        <f t="shared" si="12"/>
        <v/>
      </c>
      <c r="B149" s="399"/>
      <c r="C149" s="398" t="str">
        <f>IFERROR(INDEX(DATA_PROPERTY_MASTER!$B:$B,MATCH($B149,DATA_PROPERTY_MASTER!$A:$A,0)),"")</f>
        <v/>
      </c>
      <c r="D149" s="400"/>
      <c r="E149" s="399"/>
      <c r="F149" s="399"/>
      <c r="G149" s="399"/>
      <c r="H149" s="399"/>
      <c r="I149" s="399"/>
      <c r="J149" s="405"/>
      <c r="K149" s="399"/>
      <c r="L149" s="399"/>
      <c r="M149" s="399"/>
      <c r="N149" s="399"/>
      <c r="O149" s="399"/>
      <c r="P149" s="398" t="str">
        <f t="shared" si="13"/>
        <v/>
      </c>
      <c r="Q149" s="399"/>
      <c r="R149" s="398" t="str">
        <f t="shared" si="14"/>
        <v>Blank</v>
      </c>
    </row>
    <row r="150" spans="1:18">
      <c r="A150" s="398" t="str">
        <f t="shared" si="12"/>
        <v/>
      </c>
      <c r="B150" s="399"/>
      <c r="C150" s="398" t="str">
        <f>IFERROR(INDEX(DATA_PROPERTY_MASTER!$B:$B,MATCH($B150,DATA_PROPERTY_MASTER!$A:$A,0)),"")</f>
        <v/>
      </c>
      <c r="D150" s="400"/>
      <c r="E150" s="399"/>
      <c r="F150" s="399"/>
      <c r="G150" s="399"/>
      <c r="H150" s="399"/>
      <c r="I150" s="399"/>
      <c r="J150" s="405"/>
      <c r="K150" s="399"/>
      <c r="L150" s="399"/>
      <c r="M150" s="399"/>
      <c r="N150" s="399"/>
      <c r="O150" s="399"/>
      <c r="P150" s="398" t="str">
        <f t="shared" si="13"/>
        <v/>
      </c>
      <c r="Q150" s="399"/>
      <c r="R150" s="398" t="str">
        <f t="shared" si="14"/>
        <v>Blank</v>
      </c>
    </row>
    <row r="151" spans="1:18">
      <c r="A151" s="398" t="str">
        <f t="shared" si="12"/>
        <v/>
      </c>
      <c r="B151" s="399"/>
      <c r="C151" s="398" t="str">
        <f>IFERROR(INDEX(DATA_PROPERTY_MASTER!$B:$B,MATCH($B151,DATA_PROPERTY_MASTER!$A:$A,0)),"")</f>
        <v/>
      </c>
      <c r="D151" s="400"/>
      <c r="E151" s="399"/>
      <c r="F151" s="399"/>
      <c r="G151" s="399"/>
      <c r="H151" s="399"/>
      <c r="I151" s="399"/>
      <c r="J151" s="405"/>
      <c r="K151" s="399"/>
      <c r="L151" s="399"/>
      <c r="M151" s="399"/>
      <c r="N151" s="399"/>
      <c r="O151" s="399"/>
      <c r="P151" s="398" t="str">
        <f t="shared" si="13"/>
        <v/>
      </c>
      <c r="Q151" s="399"/>
      <c r="R151" s="398" t="str">
        <f t="shared" si="14"/>
        <v>Blank</v>
      </c>
    </row>
    <row r="152" spans="1:18">
      <c r="A152" s="398" t="str">
        <f t="shared" si="12"/>
        <v/>
      </c>
      <c r="B152" s="399"/>
      <c r="C152" s="398" t="str">
        <f>IFERROR(INDEX(DATA_PROPERTY_MASTER!$B:$B,MATCH($B152,DATA_PROPERTY_MASTER!$A:$A,0)),"")</f>
        <v/>
      </c>
      <c r="D152" s="400"/>
      <c r="E152" s="399"/>
      <c r="F152" s="399"/>
      <c r="G152" s="399"/>
      <c r="H152" s="399"/>
      <c r="I152" s="399"/>
      <c r="J152" s="405"/>
      <c r="K152" s="399"/>
      <c r="L152" s="399"/>
      <c r="M152" s="399"/>
      <c r="N152" s="399"/>
      <c r="O152" s="399"/>
      <c r="P152" s="398" t="str">
        <f t="shared" si="13"/>
        <v/>
      </c>
      <c r="Q152" s="399"/>
      <c r="R152" s="398" t="str">
        <f t="shared" si="14"/>
        <v>Blank</v>
      </c>
    </row>
    <row r="153" spans="1:18">
      <c r="A153" s="398" t="str">
        <f t="shared" si="12"/>
        <v/>
      </c>
      <c r="B153" s="399"/>
      <c r="C153" s="398" t="str">
        <f>IFERROR(INDEX(DATA_PROPERTY_MASTER!$B:$B,MATCH($B153,DATA_PROPERTY_MASTER!$A:$A,0)),"")</f>
        <v/>
      </c>
      <c r="D153" s="400"/>
      <c r="E153" s="399"/>
      <c r="F153" s="399"/>
      <c r="G153" s="399"/>
      <c r="H153" s="399"/>
      <c r="I153" s="399"/>
      <c r="J153" s="405"/>
      <c r="K153" s="399"/>
      <c r="L153" s="399"/>
      <c r="M153" s="399"/>
      <c r="N153" s="399"/>
      <c r="O153" s="399"/>
      <c r="P153" s="398" t="str">
        <f t="shared" si="13"/>
        <v/>
      </c>
      <c r="Q153" s="399"/>
      <c r="R153" s="398" t="str">
        <f t="shared" si="14"/>
        <v>Blank</v>
      </c>
    </row>
    <row r="154" spans="1:18">
      <c r="A154" s="398" t="str">
        <f t="shared" si="12"/>
        <v/>
      </c>
      <c r="B154" s="399"/>
      <c r="C154" s="398" t="str">
        <f>IFERROR(INDEX(DATA_PROPERTY_MASTER!$B:$B,MATCH($B154,DATA_PROPERTY_MASTER!$A:$A,0)),"")</f>
        <v/>
      </c>
      <c r="D154" s="400"/>
      <c r="E154" s="399"/>
      <c r="F154" s="399"/>
      <c r="G154" s="399"/>
      <c r="H154" s="399"/>
      <c r="I154" s="399"/>
      <c r="J154" s="405"/>
      <c r="K154" s="399"/>
      <c r="L154" s="399"/>
      <c r="M154" s="399"/>
      <c r="N154" s="399"/>
      <c r="O154" s="399"/>
      <c r="P154" s="398" t="str">
        <f t="shared" si="13"/>
        <v/>
      </c>
      <c r="Q154" s="399"/>
      <c r="R154" s="398" t="str">
        <f t="shared" si="14"/>
        <v>Blank</v>
      </c>
    </row>
    <row r="155" spans="1:18">
      <c r="A155" s="398" t="str">
        <f t="shared" si="12"/>
        <v/>
      </c>
      <c r="B155" s="399"/>
      <c r="C155" s="398" t="str">
        <f>IFERROR(INDEX(DATA_PROPERTY_MASTER!$B:$B,MATCH($B155,DATA_PROPERTY_MASTER!$A:$A,0)),"")</f>
        <v/>
      </c>
      <c r="D155" s="400"/>
      <c r="E155" s="399"/>
      <c r="F155" s="399"/>
      <c r="G155" s="399"/>
      <c r="H155" s="399"/>
      <c r="I155" s="399"/>
      <c r="J155" s="405"/>
      <c r="K155" s="399"/>
      <c r="L155" s="399"/>
      <c r="M155" s="399"/>
      <c r="N155" s="399"/>
      <c r="O155" s="399"/>
      <c r="P155" s="398" t="str">
        <f t="shared" si="13"/>
        <v/>
      </c>
      <c r="Q155" s="399"/>
      <c r="R155" s="398" t="str">
        <f t="shared" si="14"/>
        <v>Blank</v>
      </c>
    </row>
    <row r="156" spans="1:18">
      <c r="A156" s="398" t="str">
        <f t="shared" si="12"/>
        <v/>
      </c>
      <c r="B156" s="399"/>
      <c r="C156" s="398" t="str">
        <f>IFERROR(INDEX(DATA_PROPERTY_MASTER!$B:$B,MATCH($B156,DATA_PROPERTY_MASTER!$A:$A,0)),"")</f>
        <v/>
      </c>
      <c r="D156" s="400"/>
      <c r="E156" s="399"/>
      <c r="F156" s="399"/>
      <c r="G156" s="399"/>
      <c r="H156" s="399"/>
      <c r="I156" s="399"/>
      <c r="J156" s="405"/>
      <c r="K156" s="399"/>
      <c r="L156" s="399"/>
      <c r="M156" s="399"/>
      <c r="N156" s="399"/>
      <c r="O156" s="399"/>
      <c r="P156" s="398" t="str">
        <f t="shared" si="13"/>
        <v/>
      </c>
      <c r="Q156" s="399"/>
      <c r="R156" s="398" t="str">
        <f t="shared" si="14"/>
        <v>Blank</v>
      </c>
    </row>
    <row r="157" spans="1:18">
      <c r="A157" s="398" t="str">
        <f t="shared" si="12"/>
        <v/>
      </c>
      <c r="B157" s="399"/>
      <c r="C157" s="398" t="str">
        <f>IFERROR(INDEX(DATA_PROPERTY_MASTER!$B:$B,MATCH($B157,DATA_PROPERTY_MASTER!$A:$A,0)),"")</f>
        <v/>
      </c>
      <c r="D157" s="400"/>
      <c r="E157" s="399"/>
      <c r="F157" s="399"/>
      <c r="G157" s="399"/>
      <c r="H157" s="399"/>
      <c r="I157" s="399"/>
      <c r="J157" s="405"/>
      <c r="K157" s="399"/>
      <c r="L157" s="399"/>
      <c r="M157" s="399"/>
      <c r="N157" s="399"/>
      <c r="O157" s="399"/>
      <c r="P157" s="398" t="str">
        <f t="shared" si="13"/>
        <v/>
      </c>
      <c r="Q157" s="399"/>
      <c r="R157" s="398" t="str">
        <f t="shared" si="14"/>
        <v>Blank</v>
      </c>
    </row>
    <row r="158" spans="1:18">
      <c r="A158" s="398" t="str">
        <f t="shared" si="12"/>
        <v/>
      </c>
      <c r="B158" s="399"/>
      <c r="C158" s="398" t="str">
        <f>IFERROR(INDEX(DATA_PROPERTY_MASTER!$B:$B,MATCH($B158,DATA_PROPERTY_MASTER!$A:$A,0)),"")</f>
        <v/>
      </c>
      <c r="D158" s="400"/>
      <c r="E158" s="399"/>
      <c r="F158" s="399"/>
      <c r="G158" s="399"/>
      <c r="H158" s="399"/>
      <c r="I158" s="399"/>
      <c r="J158" s="405"/>
      <c r="K158" s="399"/>
      <c r="L158" s="399"/>
      <c r="M158" s="399"/>
      <c r="N158" s="399"/>
      <c r="O158" s="399"/>
      <c r="P158" s="398" t="str">
        <f t="shared" si="13"/>
        <v/>
      </c>
      <c r="Q158" s="399"/>
      <c r="R158" s="398" t="str">
        <f t="shared" si="14"/>
        <v>Blank</v>
      </c>
    </row>
    <row r="159" spans="1:18">
      <c r="A159" s="398" t="str">
        <f t="shared" si="12"/>
        <v/>
      </c>
      <c r="B159" s="399"/>
      <c r="C159" s="398" t="str">
        <f>IFERROR(INDEX(DATA_PROPERTY_MASTER!$B:$B,MATCH($B159,DATA_PROPERTY_MASTER!$A:$A,0)),"")</f>
        <v/>
      </c>
      <c r="D159" s="400"/>
      <c r="E159" s="399"/>
      <c r="F159" s="399"/>
      <c r="G159" s="399"/>
      <c r="H159" s="399"/>
      <c r="I159" s="399"/>
      <c r="J159" s="405"/>
      <c r="K159" s="399"/>
      <c r="L159" s="399"/>
      <c r="M159" s="399"/>
      <c r="N159" s="399"/>
      <c r="O159" s="399"/>
      <c r="P159" s="398" t="str">
        <f t="shared" si="13"/>
        <v/>
      </c>
      <c r="Q159" s="399"/>
      <c r="R159" s="398" t="str">
        <f t="shared" si="14"/>
        <v>Blank</v>
      </c>
    </row>
    <row r="160" spans="1:18">
      <c r="A160" s="398" t="str">
        <f t="shared" si="12"/>
        <v/>
      </c>
      <c r="B160" s="399"/>
      <c r="C160" s="398" t="str">
        <f>IFERROR(INDEX(DATA_PROPERTY_MASTER!$B:$B,MATCH($B160,DATA_PROPERTY_MASTER!$A:$A,0)),"")</f>
        <v/>
      </c>
      <c r="D160" s="400"/>
      <c r="E160" s="399"/>
      <c r="F160" s="399"/>
      <c r="G160" s="399"/>
      <c r="H160" s="399"/>
      <c r="I160" s="399"/>
      <c r="J160" s="405"/>
      <c r="K160" s="399"/>
      <c r="L160" s="399"/>
      <c r="M160" s="399"/>
      <c r="N160" s="399"/>
      <c r="O160" s="399"/>
      <c r="P160" s="398" t="str">
        <f t="shared" si="13"/>
        <v/>
      </c>
      <c r="Q160" s="399"/>
      <c r="R160" s="398" t="str">
        <f t="shared" si="14"/>
        <v>Blank</v>
      </c>
    </row>
    <row r="161" spans="1:18">
      <c r="A161" s="398" t="str">
        <f t="shared" si="12"/>
        <v/>
      </c>
      <c r="B161" s="399"/>
      <c r="C161" s="398" t="str">
        <f>IFERROR(INDEX(DATA_PROPERTY_MASTER!$B:$B,MATCH($B161,DATA_PROPERTY_MASTER!$A:$A,0)),"")</f>
        <v/>
      </c>
      <c r="D161" s="400"/>
      <c r="E161" s="399"/>
      <c r="F161" s="399"/>
      <c r="G161" s="399"/>
      <c r="H161" s="399"/>
      <c r="I161" s="399"/>
      <c r="J161" s="405"/>
      <c r="K161" s="399"/>
      <c r="L161" s="399"/>
      <c r="M161" s="399"/>
      <c r="N161" s="399"/>
      <c r="O161" s="399"/>
      <c r="P161" s="398" t="str">
        <f t="shared" si="13"/>
        <v/>
      </c>
      <c r="Q161" s="399"/>
      <c r="R161" s="398" t="str">
        <f t="shared" si="14"/>
        <v>Blank</v>
      </c>
    </row>
    <row r="162" spans="1:18">
      <c r="A162" s="398" t="str">
        <f t="shared" si="12"/>
        <v/>
      </c>
      <c r="B162" s="399"/>
      <c r="C162" s="398" t="str">
        <f>IFERROR(INDEX(DATA_PROPERTY_MASTER!$B:$B,MATCH($B162,DATA_PROPERTY_MASTER!$A:$A,0)),"")</f>
        <v/>
      </c>
      <c r="D162" s="400"/>
      <c r="E162" s="399"/>
      <c r="F162" s="399"/>
      <c r="G162" s="399"/>
      <c r="H162" s="399"/>
      <c r="I162" s="399"/>
      <c r="J162" s="405"/>
      <c r="K162" s="399"/>
      <c r="L162" s="399"/>
      <c r="M162" s="399"/>
      <c r="N162" s="399"/>
      <c r="O162" s="399"/>
      <c r="P162" s="398" t="str">
        <f t="shared" si="13"/>
        <v/>
      </c>
      <c r="Q162" s="399"/>
      <c r="R162" s="398" t="str">
        <f t="shared" si="14"/>
        <v>Blank</v>
      </c>
    </row>
    <row r="163" spans="1:18">
      <c r="A163" s="398" t="str">
        <f t="shared" si="12"/>
        <v/>
      </c>
      <c r="B163" s="399"/>
      <c r="C163" s="398" t="str">
        <f>IFERROR(INDEX(DATA_PROPERTY_MASTER!$B:$B,MATCH($B163,DATA_PROPERTY_MASTER!$A:$A,0)),"")</f>
        <v/>
      </c>
      <c r="D163" s="400"/>
      <c r="E163" s="399"/>
      <c r="F163" s="399"/>
      <c r="G163" s="399"/>
      <c r="H163" s="399"/>
      <c r="I163" s="399"/>
      <c r="J163" s="405"/>
      <c r="K163" s="399"/>
      <c r="L163" s="399"/>
      <c r="M163" s="399"/>
      <c r="N163" s="399"/>
      <c r="O163" s="399"/>
      <c r="P163" s="398" t="str">
        <f t="shared" si="13"/>
        <v/>
      </c>
      <c r="Q163" s="399"/>
      <c r="R163" s="398" t="str">
        <f t="shared" si="14"/>
        <v>Blank</v>
      </c>
    </row>
    <row r="164" spans="1:18">
      <c r="A164" s="398" t="str">
        <f t="shared" si="12"/>
        <v/>
      </c>
      <c r="B164" s="399"/>
      <c r="C164" s="398" t="str">
        <f>IFERROR(INDEX(DATA_PROPERTY_MASTER!$B:$B,MATCH($B164,DATA_PROPERTY_MASTER!$A:$A,0)),"")</f>
        <v/>
      </c>
      <c r="D164" s="400"/>
      <c r="E164" s="399"/>
      <c r="F164" s="399"/>
      <c r="G164" s="399"/>
      <c r="H164" s="399"/>
      <c r="I164" s="399"/>
      <c r="J164" s="405"/>
      <c r="K164" s="399"/>
      <c r="L164" s="399"/>
      <c r="M164" s="399"/>
      <c r="N164" s="399"/>
      <c r="O164" s="399"/>
      <c r="P164" s="398" t="str">
        <f t="shared" si="13"/>
        <v/>
      </c>
      <c r="Q164" s="399"/>
      <c r="R164" s="398" t="str">
        <f t="shared" si="14"/>
        <v>Blank</v>
      </c>
    </row>
    <row r="165" spans="1:18">
      <c r="A165" s="398" t="str">
        <f t="shared" si="12"/>
        <v/>
      </c>
      <c r="B165" s="399"/>
      <c r="C165" s="398" t="str">
        <f>IFERROR(INDEX(DATA_PROPERTY_MASTER!$B:$B,MATCH($B165,DATA_PROPERTY_MASTER!$A:$A,0)),"")</f>
        <v/>
      </c>
      <c r="D165" s="400"/>
      <c r="E165" s="399"/>
      <c r="F165" s="399"/>
      <c r="G165" s="399"/>
      <c r="H165" s="399"/>
      <c r="I165" s="399"/>
      <c r="J165" s="405"/>
      <c r="K165" s="399"/>
      <c r="L165" s="399"/>
      <c r="M165" s="399"/>
      <c r="N165" s="399"/>
      <c r="O165" s="399"/>
      <c r="P165" s="398" t="str">
        <f t="shared" si="13"/>
        <v/>
      </c>
      <c r="Q165" s="399"/>
      <c r="R165" s="398" t="str">
        <f t="shared" si="14"/>
        <v>Blank</v>
      </c>
    </row>
    <row r="166" spans="1:18">
      <c r="A166" s="398" t="str">
        <f t="shared" si="12"/>
        <v/>
      </c>
      <c r="B166" s="399"/>
      <c r="C166" s="398" t="str">
        <f>IFERROR(INDEX(DATA_PROPERTY_MASTER!$B:$B,MATCH($B166,DATA_PROPERTY_MASTER!$A:$A,0)),"")</f>
        <v/>
      </c>
      <c r="D166" s="400"/>
      <c r="E166" s="399"/>
      <c r="F166" s="399"/>
      <c r="G166" s="399"/>
      <c r="H166" s="399"/>
      <c r="I166" s="399"/>
      <c r="J166" s="405"/>
      <c r="K166" s="399"/>
      <c r="L166" s="399"/>
      <c r="M166" s="399"/>
      <c r="N166" s="399"/>
      <c r="O166" s="399"/>
      <c r="P166" s="398" t="str">
        <f t="shared" si="13"/>
        <v/>
      </c>
      <c r="Q166" s="399"/>
      <c r="R166" s="398" t="str">
        <f t="shared" si="14"/>
        <v>Blank</v>
      </c>
    </row>
    <row r="167" spans="1:18">
      <c r="A167" s="398" t="str">
        <f t="shared" ref="A167:A198" si="15">IF($B167="","","OA-"&amp;TEXT(ROW()-6,"0000"))</f>
        <v/>
      </c>
      <c r="B167" s="399"/>
      <c r="C167" s="398" t="str">
        <f>IFERROR(INDEX(DATA_PROPERTY_MASTER!$B:$B,MATCH($B167,DATA_PROPERTY_MASTER!$A:$A,0)),"")</f>
        <v/>
      </c>
      <c r="D167" s="400"/>
      <c r="E167" s="399"/>
      <c r="F167" s="399"/>
      <c r="G167" s="399"/>
      <c r="H167" s="399"/>
      <c r="I167" s="399"/>
      <c r="J167" s="405"/>
      <c r="K167" s="399"/>
      <c r="L167" s="399"/>
      <c r="M167" s="399"/>
      <c r="N167" s="399"/>
      <c r="O167" s="399"/>
      <c r="P167" s="398" t="str">
        <f t="shared" ref="P167:P198" si="16">IF($B167="","",$B167&amp;"|"&amp;$D167&amp;"|"&amp;$F167&amp;"|"&amp;$I167)</f>
        <v/>
      </c>
      <c r="Q167" s="399"/>
      <c r="R167" s="398" t="str">
        <f t="shared" ref="R167:R198" si="17">IF($B167="","Blank",IF(OR($D167="",$I167="",$J167=""),"Review","OK"))</f>
        <v>Blank</v>
      </c>
    </row>
    <row r="168" spans="1:18">
      <c r="A168" s="398" t="str">
        <f t="shared" si="15"/>
        <v/>
      </c>
      <c r="B168" s="399"/>
      <c r="C168" s="398" t="str">
        <f>IFERROR(INDEX(DATA_PROPERTY_MASTER!$B:$B,MATCH($B168,DATA_PROPERTY_MASTER!$A:$A,0)),"")</f>
        <v/>
      </c>
      <c r="D168" s="400"/>
      <c r="E168" s="399"/>
      <c r="F168" s="399"/>
      <c r="G168" s="399"/>
      <c r="H168" s="399"/>
      <c r="I168" s="399"/>
      <c r="J168" s="405"/>
      <c r="K168" s="399"/>
      <c r="L168" s="399"/>
      <c r="M168" s="399"/>
      <c r="N168" s="399"/>
      <c r="O168" s="399"/>
      <c r="P168" s="398" t="str">
        <f t="shared" si="16"/>
        <v/>
      </c>
      <c r="Q168" s="399"/>
      <c r="R168" s="398" t="str">
        <f t="shared" si="17"/>
        <v>Blank</v>
      </c>
    </row>
    <row r="169" spans="1:18">
      <c r="A169" s="398" t="str">
        <f t="shared" si="15"/>
        <v/>
      </c>
      <c r="B169" s="399"/>
      <c r="C169" s="398" t="str">
        <f>IFERROR(INDEX(DATA_PROPERTY_MASTER!$B:$B,MATCH($B169,DATA_PROPERTY_MASTER!$A:$A,0)),"")</f>
        <v/>
      </c>
      <c r="D169" s="400"/>
      <c r="E169" s="399"/>
      <c r="F169" s="399"/>
      <c r="G169" s="399"/>
      <c r="H169" s="399"/>
      <c r="I169" s="399"/>
      <c r="J169" s="405"/>
      <c r="K169" s="399"/>
      <c r="L169" s="399"/>
      <c r="M169" s="399"/>
      <c r="N169" s="399"/>
      <c r="O169" s="399"/>
      <c r="P169" s="398" t="str">
        <f t="shared" si="16"/>
        <v/>
      </c>
      <c r="Q169" s="399"/>
      <c r="R169" s="398" t="str">
        <f t="shared" si="17"/>
        <v>Blank</v>
      </c>
    </row>
    <row r="170" spans="1:18">
      <c r="A170" s="398" t="str">
        <f t="shared" si="15"/>
        <v/>
      </c>
      <c r="B170" s="399"/>
      <c r="C170" s="398" t="str">
        <f>IFERROR(INDEX(DATA_PROPERTY_MASTER!$B:$B,MATCH($B170,DATA_PROPERTY_MASTER!$A:$A,0)),"")</f>
        <v/>
      </c>
      <c r="D170" s="400"/>
      <c r="E170" s="399"/>
      <c r="F170" s="399"/>
      <c r="G170" s="399"/>
      <c r="H170" s="399"/>
      <c r="I170" s="399"/>
      <c r="J170" s="405"/>
      <c r="K170" s="399"/>
      <c r="L170" s="399"/>
      <c r="M170" s="399"/>
      <c r="N170" s="399"/>
      <c r="O170" s="399"/>
      <c r="P170" s="398" t="str">
        <f t="shared" si="16"/>
        <v/>
      </c>
      <c r="Q170" s="399"/>
      <c r="R170" s="398" t="str">
        <f t="shared" si="17"/>
        <v>Blank</v>
      </c>
    </row>
    <row r="171" spans="1:18">
      <c r="A171" s="398" t="str">
        <f t="shared" si="15"/>
        <v/>
      </c>
      <c r="B171" s="399"/>
      <c r="C171" s="398" t="str">
        <f>IFERROR(INDEX(DATA_PROPERTY_MASTER!$B:$B,MATCH($B171,DATA_PROPERTY_MASTER!$A:$A,0)),"")</f>
        <v/>
      </c>
      <c r="D171" s="400"/>
      <c r="E171" s="399"/>
      <c r="F171" s="399"/>
      <c r="G171" s="399"/>
      <c r="H171" s="399"/>
      <c r="I171" s="399"/>
      <c r="J171" s="405"/>
      <c r="K171" s="399"/>
      <c r="L171" s="399"/>
      <c r="M171" s="399"/>
      <c r="N171" s="399"/>
      <c r="O171" s="399"/>
      <c r="P171" s="398" t="str">
        <f t="shared" si="16"/>
        <v/>
      </c>
      <c r="Q171" s="399"/>
      <c r="R171" s="398" t="str">
        <f t="shared" si="17"/>
        <v>Blank</v>
      </c>
    </row>
    <row r="172" spans="1:18">
      <c r="A172" s="398" t="str">
        <f t="shared" si="15"/>
        <v/>
      </c>
      <c r="B172" s="399"/>
      <c r="C172" s="398" t="str">
        <f>IFERROR(INDEX(DATA_PROPERTY_MASTER!$B:$B,MATCH($B172,DATA_PROPERTY_MASTER!$A:$A,0)),"")</f>
        <v/>
      </c>
      <c r="D172" s="400"/>
      <c r="E172" s="399"/>
      <c r="F172" s="399"/>
      <c r="G172" s="399"/>
      <c r="H172" s="399"/>
      <c r="I172" s="399"/>
      <c r="J172" s="405"/>
      <c r="K172" s="399"/>
      <c r="L172" s="399"/>
      <c r="M172" s="399"/>
      <c r="N172" s="399"/>
      <c r="O172" s="399"/>
      <c r="P172" s="398" t="str">
        <f t="shared" si="16"/>
        <v/>
      </c>
      <c r="Q172" s="399"/>
      <c r="R172" s="398" t="str">
        <f t="shared" si="17"/>
        <v>Blank</v>
      </c>
    </row>
    <row r="173" spans="1:18">
      <c r="A173" s="398" t="str">
        <f t="shared" si="15"/>
        <v/>
      </c>
      <c r="B173" s="399"/>
      <c r="C173" s="398" t="str">
        <f>IFERROR(INDEX(DATA_PROPERTY_MASTER!$B:$B,MATCH($B173,DATA_PROPERTY_MASTER!$A:$A,0)),"")</f>
        <v/>
      </c>
      <c r="D173" s="400"/>
      <c r="E173" s="399"/>
      <c r="F173" s="399"/>
      <c r="G173" s="399"/>
      <c r="H173" s="399"/>
      <c r="I173" s="399"/>
      <c r="J173" s="405"/>
      <c r="K173" s="399"/>
      <c r="L173" s="399"/>
      <c r="M173" s="399"/>
      <c r="N173" s="399"/>
      <c r="O173" s="399"/>
      <c r="P173" s="398" t="str">
        <f t="shared" si="16"/>
        <v/>
      </c>
      <c r="Q173" s="399"/>
      <c r="R173" s="398" t="str">
        <f t="shared" si="17"/>
        <v>Blank</v>
      </c>
    </row>
    <row r="174" spans="1:18">
      <c r="A174" s="398" t="str">
        <f t="shared" si="15"/>
        <v/>
      </c>
      <c r="B174" s="399"/>
      <c r="C174" s="398" t="str">
        <f>IFERROR(INDEX(DATA_PROPERTY_MASTER!$B:$B,MATCH($B174,DATA_PROPERTY_MASTER!$A:$A,0)),"")</f>
        <v/>
      </c>
      <c r="D174" s="400"/>
      <c r="E174" s="399"/>
      <c r="F174" s="399"/>
      <c r="G174" s="399"/>
      <c r="H174" s="399"/>
      <c r="I174" s="399"/>
      <c r="J174" s="405"/>
      <c r="K174" s="399"/>
      <c r="L174" s="399"/>
      <c r="M174" s="399"/>
      <c r="N174" s="399"/>
      <c r="O174" s="399"/>
      <c r="P174" s="398" t="str">
        <f t="shared" si="16"/>
        <v/>
      </c>
      <c r="Q174" s="399"/>
      <c r="R174" s="398" t="str">
        <f t="shared" si="17"/>
        <v>Blank</v>
      </c>
    </row>
    <row r="175" spans="1:18">
      <c r="A175" s="398" t="str">
        <f t="shared" si="15"/>
        <v/>
      </c>
      <c r="B175" s="399"/>
      <c r="C175" s="398" t="str">
        <f>IFERROR(INDEX(DATA_PROPERTY_MASTER!$B:$B,MATCH($B175,DATA_PROPERTY_MASTER!$A:$A,0)),"")</f>
        <v/>
      </c>
      <c r="D175" s="400"/>
      <c r="E175" s="399"/>
      <c r="F175" s="399"/>
      <c r="G175" s="399"/>
      <c r="H175" s="399"/>
      <c r="I175" s="399"/>
      <c r="J175" s="405"/>
      <c r="K175" s="399"/>
      <c r="L175" s="399"/>
      <c r="M175" s="399"/>
      <c r="N175" s="399"/>
      <c r="O175" s="399"/>
      <c r="P175" s="398" t="str">
        <f t="shared" si="16"/>
        <v/>
      </c>
      <c r="Q175" s="399"/>
      <c r="R175" s="398" t="str">
        <f t="shared" si="17"/>
        <v>Blank</v>
      </c>
    </row>
    <row r="176" spans="1:18">
      <c r="A176" s="398" t="str">
        <f t="shared" si="15"/>
        <v/>
      </c>
      <c r="B176" s="399"/>
      <c r="C176" s="398" t="str">
        <f>IFERROR(INDEX(DATA_PROPERTY_MASTER!$B:$B,MATCH($B176,DATA_PROPERTY_MASTER!$A:$A,0)),"")</f>
        <v/>
      </c>
      <c r="D176" s="400"/>
      <c r="E176" s="399"/>
      <c r="F176" s="399"/>
      <c r="G176" s="399"/>
      <c r="H176" s="399"/>
      <c r="I176" s="399"/>
      <c r="J176" s="405"/>
      <c r="K176" s="399"/>
      <c r="L176" s="399"/>
      <c r="M176" s="399"/>
      <c r="N176" s="399"/>
      <c r="O176" s="399"/>
      <c r="P176" s="398" t="str">
        <f t="shared" si="16"/>
        <v/>
      </c>
      <c r="Q176" s="399"/>
      <c r="R176" s="398" t="str">
        <f t="shared" si="17"/>
        <v>Blank</v>
      </c>
    </row>
    <row r="177" spans="1:18">
      <c r="A177" s="398" t="str">
        <f t="shared" si="15"/>
        <v/>
      </c>
      <c r="B177" s="399"/>
      <c r="C177" s="398" t="str">
        <f>IFERROR(INDEX(DATA_PROPERTY_MASTER!$B:$B,MATCH($B177,DATA_PROPERTY_MASTER!$A:$A,0)),"")</f>
        <v/>
      </c>
      <c r="D177" s="400"/>
      <c r="E177" s="399"/>
      <c r="F177" s="399"/>
      <c r="G177" s="399"/>
      <c r="H177" s="399"/>
      <c r="I177" s="399"/>
      <c r="J177" s="405"/>
      <c r="K177" s="399"/>
      <c r="L177" s="399"/>
      <c r="M177" s="399"/>
      <c r="N177" s="399"/>
      <c r="O177" s="399"/>
      <c r="P177" s="398" t="str">
        <f t="shared" si="16"/>
        <v/>
      </c>
      <c r="Q177" s="399"/>
      <c r="R177" s="398" t="str">
        <f t="shared" si="17"/>
        <v>Blank</v>
      </c>
    </row>
    <row r="178" spans="1:18">
      <c r="A178" s="398" t="str">
        <f t="shared" si="15"/>
        <v/>
      </c>
      <c r="B178" s="399"/>
      <c r="C178" s="398" t="str">
        <f>IFERROR(INDEX(DATA_PROPERTY_MASTER!$B:$B,MATCH($B178,DATA_PROPERTY_MASTER!$A:$A,0)),"")</f>
        <v/>
      </c>
      <c r="D178" s="400"/>
      <c r="E178" s="399"/>
      <c r="F178" s="399"/>
      <c r="G178" s="399"/>
      <c r="H178" s="399"/>
      <c r="I178" s="399"/>
      <c r="J178" s="405"/>
      <c r="K178" s="399"/>
      <c r="L178" s="399"/>
      <c r="M178" s="399"/>
      <c r="N178" s="399"/>
      <c r="O178" s="399"/>
      <c r="P178" s="398" t="str">
        <f t="shared" si="16"/>
        <v/>
      </c>
      <c r="Q178" s="399"/>
      <c r="R178" s="398" t="str">
        <f t="shared" si="17"/>
        <v>Blank</v>
      </c>
    </row>
    <row r="179" spans="1:18">
      <c r="A179" s="398" t="str">
        <f t="shared" si="15"/>
        <v/>
      </c>
      <c r="B179" s="399"/>
      <c r="C179" s="398" t="str">
        <f>IFERROR(INDEX(DATA_PROPERTY_MASTER!$B:$B,MATCH($B179,DATA_PROPERTY_MASTER!$A:$A,0)),"")</f>
        <v/>
      </c>
      <c r="D179" s="400"/>
      <c r="E179" s="399"/>
      <c r="F179" s="399"/>
      <c r="G179" s="399"/>
      <c r="H179" s="399"/>
      <c r="I179" s="399"/>
      <c r="J179" s="405"/>
      <c r="K179" s="399"/>
      <c r="L179" s="399"/>
      <c r="M179" s="399"/>
      <c r="N179" s="399"/>
      <c r="O179" s="399"/>
      <c r="P179" s="398" t="str">
        <f t="shared" si="16"/>
        <v/>
      </c>
      <c r="Q179" s="399"/>
      <c r="R179" s="398" t="str">
        <f t="shared" si="17"/>
        <v>Blank</v>
      </c>
    </row>
    <row r="180" spans="1:18">
      <c r="A180" s="398" t="str">
        <f t="shared" si="15"/>
        <v/>
      </c>
      <c r="B180" s="399"/>
      <c r="C180" s="398" t="str">
        <f>IFERROR(INDEX(DATA_PROPERTY_MASTER!$B:$B,MATCH($B180,DATA_PROPERTY_MASTER!$A:$A,0)),"")</f>
        <v/>
      </c>
      <c r="D180" s="400"/>
      <c r="E180" s="399"/>
      <c r="F180" s="399"/>
      <c r="G180" s="399"/>
      <c r="H180" s="399"/>
      <c r="I180" s="399"/>
      <c r="J180" s="405"/>
      <c r="K180" s="399"/>
      <c r="L180" s="399"/>
      <c r="M180" s="399"/>
      <c r="N180" s="399"/>
      <c r="O180" s="399"/>
      <c r="P180" s="398" t="str">
        <f t="shared" si="16"/>
        <v/>
      </c>
      <c r="Q180" s="399"/>
      <c r="R180" s="398" t="str">
        <f t="shared" si="17"/>
        <v>Blank</v>
      </c>
    </row>
    <row r="181" spans="1:18">
      <c r="A181" s="398" t="str">
        <f t="shared" si="15"/>
        <v/>
      </c>
      <c r="B181" s="399"/>
      <c r="C181" s="398" t="str">
        <f>IFERROR(INDEX(DATA_PROPERTY_MASTER!$B:$B,MATCH($B181,DATA_PROPERTY_MASTER!$A:$A,0)),"")</f>
        <v/>
      </c>
      <c r="D181" s="400"/>
      <c r="E181" s="399"/>
      <c r="F181" s="399"/>
      <c r="G181" s="399"/>
      <c r="H181" s="399"/>
      <c r="I181" s="399"/>
      <c r="J181" s="405"/>
      <c r="K181" s="399"/>
      <c r="L181" s="399"/>
      <c r="M181" s="399"/>
      <c r="N181" s="399"/>
      <c r="O181" s="399"/>
      <c r="P181" s="398" t="str">
        <f t="shared" si="16"/>
        <v/>
      </c>
      <c r="Q181" s="399"/>
      <c r="R181" s="398" t="str">
        <f t="shared" si="17"/>
        <v>Blank</v>
      </c>
    </row>
    <row r="182" spans="1:18">
      <c r="A182" s="398" t="str">
        <f t="shared" si="15"/>
        <v/>
      </c>
      <c r="B182" s="399"/>
      <c r="C182" s="398" t="str">
        <f>IFERROR(INDEX(DATA_PROPERTY_MASTER!$B:$B,MATCH($B182,DATA_PROPERTY_MASTER!$A:$A,0)),"")</f>
        <v/>
      </c>
      <c r="D182" s="400"/>
      <c r="E182" s="399"/>
      <c r="F182" s="399"/>
      <c r="G182" s="399"/>
      <c r="H182" s="399"/>
      <c r="I182" s="399"/>
      <c r="J182" s="405"/>
      <c r="K182" s="399"/>
      <c r="L182" s="399"/>
      <c r="M182" s="399"/>
      <c r="N182" s="399"/>
      <c r="O182" s="399"/>
      <c r="P182" s="398" t="str">
        <f t="shared" si="16"/>
        <v/>
      </c>
      <c r="Q182" s="399"/>
      <c r="R182" s="398" t="str">
        <f t="shared" si="17"/>
        <v>Blank</v>
      </c>
    </row>
    <row r="183" spans="1:18">
      <c r="A183" s="398" t="str">
        <f t="shared" si="15"/>
        <v/>
      </c>
      <c r="B183" s="399"/>
      <c r="C183" s="398" t="str">
        <f>IFERROR(INDEX(DATA_PROPERTY_MASTER!$B:$B,MATCH($B183,DATA_PROPERTY_MASTER!$A:$A,0)),"")</f>
        <v/>
      </c>
      <c r="D183" s="400"/>
      <c r="E183" s="399"/>
      <c r="F183" s="399"/>
      <c r="G183" s="399"/>
      <c r="H183" s="399"/>
      <c r="I183" s="399"/>
      <c r="J183" s="405"/>
      <c r="K183" s="399"/>
      <c r="L183" s="399"/>
      <c r="M183" s="399"/>
      <c r="N183" s="399"/>
      <c r="O183" s="399"/>
      <c r="P183" s="398" t="str">
        <f t="shared" si="16"/>
        <v/>
      </c>
      <c r="Q183" s="399"/>
      <c r="R183" s="398" t="str">
        <f t="shared" si="17"/>
        <v>Blank</v>
      </c>
    </row>
    <row r="184" spans="1:18">
      <c r="A184" s="398" t="str">
        <f t="shared" si="15"/>
        <v/>
      </c>
      <c r="B184" s="399"/>
      <c r="C184" s="398" t="str">
        <f>IFERROR(INDEX(DATA_PROPERTY_MASTER!$B:$B,MATCH($B184,DATA_PROPERTY_MASTER!$A:$A,0)),"")</f>
        <v/>
      </c>
      <c r="D184" s="400"/>
      <c r="E184" s="399"/>
      <c r="F184" s="399"/>
      <c r="G184" s="399"/>
      <c r="H184" s="399"/>
      <c r="I184" s="399"/>
      <c r="J184" s="405"/>
      <c r="K184" s="399"/>
      <c r="L184" s="399"/>
      <c r="M184" s="399"/>
      <c r="N184" s="399"/>
      <c r="O184" s="399"/>
      <c r="P184" s="398" t="str">
        <f t="shared" si="16"/>
        <v/>
      </c>
      <c r="Q184" s="399"/>
      <c r="R184" s="398" t="str">
        <f t="shared" si="17"/>
        <v>Blank</v>
      </c>
    </row>
    <row r="185" spans="1:18">
      <c r="A185" s="398" t="str">
        <f t="shared" si="15"/>
        <v/>
      </c>
      <c r="B185" s="399"/>
      <c r="C185" s="398" t="str">
        <f>IFERROR(INDEX(DATA_PROPERTY_MASTER!$B:$B,MATCH($B185,DATA_PROPERTY_MASTER!$A:$A,0)),"")</f>
        <v/>
      </c>
      <c r="D185" s="400"/>
      <c r="E185" s="399"/>
      <c r="F185" s="399"/>
      <c r="G185" s="399"/>
      <c r="H185" s="399"/>
      <c r="I185" s="399"/>
      <c r="J185" s="405"/>
      <c r="K185" s="399"/>
      <c r="L185" s="399"/>
      <c r="M185" s="399"/>
      <c r="N185" s="399"/>
      <c r="O185" s="399"/>
      <c r="P185" s="398" t="str">
        <f t="shared" si="16"/>
        <v/>
      </c>
      <c r="Q185" s="399"/>
      <c r="R185" s="398" t="str">
        <f t="shared" si="17"/>
        <v>Blank</v>
      </c>
    </row>
    <row r="186" spans="1:18">
      <c r="A186" s="398" t="str">
        <f t="shared" si="15"/>
        <v/>
      </c>
      <c r="B186" s="399"/>
      <c r="C186" s="398" t="str">
        <f>IFERROR(INDEX(DATA_PROPERTY_MASTER!$B:$B,MATCH($B186,DATA_PROPERTY_MASTER!$A:$A,0)),"")</f>
        <v/>
      </c>
      <c r="D186" s="400"/>
      <c r="E186" s="399"/>
      <c r="F186" s="399"/>
      <c r="G186" s="399"/>
      <c r="H186" s="399"/>
      <c r="I186" s="399"/>
      <c r="J186" s="405"/>
      <c r="K186" s="399"/>
      <c r="L186" s="399"/>
      <c r="M186" s="399"/>
      <c r="N186" s="399"/>
      <c r="O186" s="399"/>
      <c r="P186" s="398" t="str">
        <f t="shared" si="16"/>
        <v/>
      </c>
      <c r="Q186" s="399"/>
      <c r="R186" s="398" t="str">
        <f t="shared" si="17"/>
        <v>Blank</v>
      </c>
    </row>
    <row r="187" spans="1:18">
      <c r="A187" s="398" t="str">
        <f t="shared" si="15"/>
        <v/>
      </c>
      <c r="B187" s="399"/>
      <c r="C187" s="398" t="str">
        <f>IFERROR(INDEX(DATA_PROPERTY_MASTER!$B:$B,MATCH($B187,DATA_PROPERTY_MASTER!$A:$A,0)),"")</f>
        <v/>
      </c>
      <c r="D187" s="400"/>
      <c r="E187" s="399"/>
      <c r="F187" s="399"/>
      <c r="G187" s="399"/>
      <c r="H187" s="399"/>
      <c r="I187" s="399"/>
      <c r="J187" s="405"/>
      <c r="K187" s="399"/>
      <c r="L187" s="399"/>
      <c r="M187" s="399"/>
      <c r="N187" s="399"/>
      <c r="O187" s="399"/>
      <c r="P187" s="398" t="str">
        <f t="shared" si="16"/>
        <v/>
      </c>
      <c r="Q187" s="399"/>
      <c r="R187" s="398" t="str">
        <f t="shared" si="17"/>
        <v>Blank</v>
      </c>
    </row>
    <row r="188" spans="1:18">
      <c r="A188" s="398" t="str">
        <f t="shared" si="15"/>
        <v/>
      </c>
      <c r="B188" s="399"/>
      <c r="C188" s="398" t="str">
        <f>IFERROR(INDEX(DATA_PROPERTY_MASTER!$B:$B,MATCH($B188,DATA_PROPERTY_MASTER!$A:$A,0)),"")</f>
        <v/>
      </c>
      <c r="D188" s="400"/>
      <c r="E188" s="399"/>
      <c r="F188" s="399"/>
      <c r="G188" s="399"/>
      <c r="H188" s="399"/>
      <c r="I188" s="399"/>
      <c r="J188" s="405"/>
      <c r="K188" s="399"/>
      <c r="L188" s="399"/>
      <c r="M188" s="399"/>
      <c r="N188" s="399"/>
      <c r="O188" s="399"/>
      <c r="P188" s="398" t="str">
        <f t="shared" si="16"/>
        <v/>
      </c>
      <c r="Q188" s="399"/>
      <c r="R188" s="398" t="str">
        <f t="shared" si="17"/>
        <v>Blank</v>
      </c>
    </row>
    <row r="189" spans="1:18">
      <c r="A189" s="398" t="str">
        <f t="shared" si="15"/>
        <v/>
      </c>
      <c r="B189" s="399"/>
      <c r="C189" s="398" t="str">
        <f>IFERROR(INDEX(DATA_PROPERTY_MASTER!$B:$B,MATCH($B189,DATA_PROPERTY_MASTER!$A:$A,0)),"")</f>
        <v/>
      </c>
      <c r="D189" s="400"/>
      <c r="E189" s="399"/>
      <c r="F189" s="399"/>
      <c r="G189" s="399"/>
      <c r="H189" s="399"/>
      <c r="I189" s="399"/>
      <c r="J189" s="405"/>
      <c r="K189" s="399"/>
      <c r="L189" s="399"/>
      <c r="M189" s="399"/>
      <c r="N189" s="399"/>
      <c r="O189" s="399"/>
      <c r="P189" s="398" t="str">
        <f t="shared" si="16"/>
        <v/>
      </c>
      <c r="Q189" s="399"/>
      <c r="R189" s="398" t="str">
        <f t="shared" si="17"/>
        <v>Blank</v>
      </c>
    </row>
    <row r="190" spans="1:18">
      <c r="A190" s="398" t="str">
        <f t="shared" si="15"/>
        <v/>
      </c>
      <c r="B190" s="399"/>
      <c r="C190" s="398" t="str">
        <f>IFERROR(INDEX(DATA_PROPERTY_MASTER!$B:$B,MATCH($B190,DATA_PROPERTY_MASTER!$A:$A,0)),"")</f>
        <v/>
      </c>
      <c r="D190" s="400"/>
      <c r="E190" s="399"/>
      <c r="F190" s="399"/>
      <c r="G190" s="399"/>
      <c r="H190" s="399"/>
      <c r="I190" s="399"/>
      <c r="J190" s="405"/>
      <c r="K190" s="399"/>
      <c r="L190" s="399"/>
      <c r="M190" s="399"/>
      <c r="N190" s="399"/>
      <c r="O190" s="399"/>
      <c r="P190" s="398" t="str">
        <f t="shared" si="16"/>
        <v/>
      </c>
      <c r="Q190" s="399"/>
      <c r="R190" s="398" t="str">
        <f t="shared" si="17"/>
        <v>Blank</v>
      </c>
    </row>
    <row r="191" spans="1:18">
      <c r="A191" s="398" t="str">
        <f t="shared" si="15"/>
        <v/>
      </c>
      <c r="B191" s="399"/>
      <c r="C191" s="398" t="str">
        <f>IFERROR(INDEX(DATA_PROPERTY_MASTER!$B:$B,MATCH($B191,DATA_PROPERTY_MASTER!$A:$A,0)),"")</f>
        <v/>
      </c>
      <c r="D191" s="400"/>
      <c r="E191" s="399"/>
      <c r="F191" s="399"/>
      <c r="G191" s="399"/>
      <c r="H191" s="399"/>
      <c r="I191" s="399"/>
      <c r="J191" s="405"/>
      <c r="K191" s="399"/>
      <c r="L191" s="399"/>
      <c r="M191" s="399"/>
      <c r="N191" s="399"/>
      <c r="O191" s="399"/>
      <c r="P191" s="398" t="str">
        <f t="shared" si="16"/>
        <v/>
      </c>
      <c r="Q191" s="399"/>
      <c r="R191" s="398" t="str">
        <f t="shared" si="17"/>
        <v>Blank</v>
      </c>
    </row>
    <row r="192" spans="1:18">
      <c r="A192" s="398" t="str">
        <f t="shared" si="15"/>
        <v/>
      </c>
      <c r="B192" s="399"/>
      <c r="C192" s="398" t="str">
        <f>IFERROR(INDEX(DATA_PROPERTY_MASTER!$B:$B,MATCH($B192,DATA_PROPERTY_MASTER!$A:$A,0)),"")</f>
        <v/>
      </c>
      <c r="D192" s="400"/>
      <c r="E192" s="399"/>
      <c r="F192" s="399"/>
      <c r="G192" s="399"/>
      <c r="H192" s="399"/>
      <c r="I192" s="399"/>
      <c r="J192" s="405"/>
      <c r="K192" s="399"/>
      <c r="L192" s="399"/>
      <c r="M192" s="399"/>
      <c r="N192" s="399"/>
      <c r="O192" s="399"/>
      <c r="P192" s="398" t="str">
        <f t="shared" si="16"/>
        <v/>
      </c>
      <c r="Q192" s="399"/>
      <c r="R192" s="398" t="str">
        <f t="shared" si="17"/>
        <v>Blank</v>
      </c>
    </row>
    <row r="193" spans="1:18">
      <c r="A193" s="398" t="str">
        <f t="shared" si="15"/>
        <v/>
      </c>
      <c r="B193" s="399"/>
      <c r="C193" s="398" t="str">
        <f>IFERROR(INDEX(DATA_PROPERTY_MASTER!$B:$B,MATCH($B193,DATA_PROPERTY_MASTER!$A:$A,0)),"")</f>
        <v/>
      </c>
      <c r="D193" s="400"/>
      <c r="E193" s="399"/>
      <c r="F193" s="399"/>
      <c r="G193" s="399"/>
      <c r="H193" s="399"/>
      <c r="I193" s="399"/>
      <c r="J193" s="405"/>
      <c r="K193" s="399"/>
      <c r="L193" s="399"/>
      <c r="M193" s="399"/>
      <c r="N193" s="399"/>
      <c r="O193" s="399"/>
      <c r="P193" s="398" t="str">
        <f t="shared" si="16"/>
        <v/>
      </c>
      <c r="Q193" s="399"/>
      <c r="R193" s="398" t="str">
        <f t="shared" si="17"/>
        <v>Blank</v>
      </c>
    </row>
    <row r="194" spans="1:18">
      <c r="A194" s="398" t="str">
        <f t="shared" si="15"/>
        <v/>
      </c>
      <c r="B194" s="399"/>
      <c r="C194" s="398" t="str">
        <f>IFERROR(INDEX(DATA_PROPERTY_MASTER!$B:$B,MATCH($B194,DATA_PROPERTY_MASTER!$A:$A,0)),"")</f>
        <v/>
      </c>
      <c r="D194" s="400"/>
      <c r="E194" s="399"/>
      <c r="F194" s="399"/>
      <c r="G194" s="399"/>
      <c r="H194" s="399"/>
      <c r="I194" s="399"/>
      <c r="J194" s="405"/>
      <c r="K194" s="399"/>
      <c r="L194" s="399"/>
      <c r="M194" s="399"/>
      <c r="N194" s="399"/>
      <c r="O194" s="399"/>
      <c r="P194" s="398" t="str">
        <f t="shared" si="16"/>
        <v/>
      </c>
      <c r="Q194" s="399"/>
      <c r="R194" s="398" t="str">
        <f t="shared" si="17"/>
        <v>Blank</v>
      </c>
    </row>
    <row r="195" spans="1:18">
      <c r="A195" s="398" t="str">
        <f t="shared" si="15"/>
        <v/>
      </c>
      <c r="B195" s="399"/>
      <c r="C195" s="398" t="str">
        <f>IFERROR(INDEX(DATA_PROPERTY_MASTER!$B:$B,MATCH($B195,DATA_PROPERTY_MASTER!$A:$A,0)),"")</f>
        <v/>
      </c>
      <c r="D195" s="400"/>
      <c r="E195" s="399"/>
      <c r="F195" s="399"/>
      <c r="G195" s="399"/>
      <c r="H195" s="399"/>
      <c r="I195" s="399"/>
      <c r="J195" s="405"/>
      <c r="K195" s="399"/>
      <c r="L195" s="399"/>
      <c r="M195" s="399"/>
      <c r="N195" s="399"/>
      <c r="O195" s="399"/>
      <c r="P195" s="398" t="str">
        <f t="shared" si="16"/>
        <v/>
      </c>
      <c r="Q195" s="399"/>
      <c r="R195" s="398" t="str">
        <f t="shared" si="17"/>
        <v>Blank</v>
      </c>
    </row>
    <row r="196" spans="1:18">
      <c r="A196" s="398" t="str">
        <f t="shared" si="15"/>
        <v/>
      </c>
      <c r="B196" s="399"/>
      <c r="C196" s="398" t="str">
        <f>IFERROR(INDEX(DATA_PROPERTY_MASTER!$B:$B,MATCH($B196,DATA_PROPERTY_MASTER!$A:$A,0)),"")</f>
        <v/>
      </c>
      <c r="D196" s="400"/>
      <c r="E196" s="399"/>
      <c r="F196" s="399"/>
      <c r="G196" s="399"/>
      <c r="H196" s="399"/>
      <c r="I196" s="399"/>
      <c r="J196" s="405"/>
      <c r="K196" s="399"/>
      <c r="L196" s="399"/>
      <c r="M196" s="399"/>
      <c r="N196" s="399"/>
      <c r="O196" s="399"/>
      <c r="P196" s="398" t="str">
        <f t="shared" si="16"/>
        <v/>
      </c>
      <c r="Q196" s="399"/>
      <c r="R196" s="398" t="str">
        <f t="shared" si="17"/>
        <v>Blank</v>
      </c>
    </row>
    <row r="197" spans="1:18">
      <c r="A197" s="398" t="str">
        <f t="shared" si="15"/>
        <v/>
      </c>
      <c r="B197" s="399"/>
      <c r="C197" s="398" t="str">
        <f>IFERROR(INDEX(DATA_PROPERTY_MASTER!$B:$B,MATCH($B197,DATA_PROPERTY_MASTER!$A:$A,0)),"")</f>
        <v/>
      </c>
      <c r="D197" s="400"/>
      <c r="E197" s="399"/>
      <c r="F197" s="399"/>
      <c r="G197" s="399"/>
      <c r="H197" s="399"/>
      <c r="I197" s="399"/>
      <c r="J197" s="405"/>
      <c r="K197" s="399"/>
      <c r="L197" s="399"/>
      <c r="M197" s="399"/>
      <c r="N197" s="399"/>
      <c r="O197" s="399"/>
      <c r="P197" s="398" t="str">
        <f t="shared" si="16"/>
        <v/>
      </c>
      <c r="Q197" s="399"/>
      <c r="R197" s="398" t="str">
        <f t="shared" si="17"/>
        <v>Blank</v>
      </c>
    </row>
    <row r="198" spans="1:18">
      <c r="A198" s="398" t="str">
        <f t="shared" si="15"/>
        <v/>
      </c>
      <c r="B198" s="399"/>
      <c r="C198" s="398" t="str">
        <f>IFERROR(INDEX(DATA_PROPERTY_MASTER!$B:$B,MATCH($B198,DATA_PROPERTY_MASTER!$A:$A,0)),"")</f>
        <v/>
      </c>
      <c r="D198" s="400"/>
      <c r="E198" s="399"/>
      <c r="F198" s="399"/>
      <c r="G198" s="399"/>
      <c r="H198" s="399"/>
      <c r="I198" s="399"/>
      <c r="J198" s="405"/>
      <c r="K198" s="399"/>
      <c r="L198" s="399"/>
      <c r="M198" s="399"/>
      <c r="N198" s="399"/>
      <c r="O198" s="399"/>
      <c r="P198" s="398" t="str">
        <f t="shared" si="16"/>
        <v/>
      </c>
      <c r="Q198" s="399"/>
      <c r="R198" s="398" t="str">
        <f t="shared" si="17"/>
        <v>Blank</v>
      </c>
    </row>
    <row r="199" spans="1:18">
      <c r="A199" s="398" t="str">
        <f t="shared" ref="A199:A206" si="18">IF($B199="","","OA-"&amp;TEXT(ROW()-6,"0000"))</f>
        <v/>
      </c>
      <c r="B199" s="399"/>
      <c r="C199" s="398" t="str">
        <f>IFERROR(INDEX(DATA_PROPERTY_MASTER!$B:$B,MATCH($B199,DATA_PROPERTY_MASTER!$A:$A,0)),"")</f>
        <v/>
      </c>
      <c r="D199" s="400"/>
      <c r="E199" s="399"/>
      <c r="F199" s="399"/>
      <c r="G199" s="399"/>
      <c r="H199" s="399"/>
      <c r="I199" s="399"/>
      <c r="J199" s="405"/>
      <c r="K199" s="399"/>
      <c r="L199" s="399"/>
      <c r="M199" s="399"/>
      <c r="N199" s="399"/>
      <c r="O199" s="399"/>
      <c r="P199" s="398" t="str">
        <f t="shared" ref="P199:P206" si="19">IF($B199="","",$B199&amp;"|"&amp;$D199&amp;"|"&amp;$F199&amp;"|"&amp;$I199)</f>
        <v/>
      </c>
      <c r="Q199" s="399"/>
      <c r="R199" s="398" t="str">
        <f t="shared" ref="R199:R206" si="20">IF($B199="","Blank",IF(OR($D199="",$I199="",$J199=""),"Review","OK"))</f>
        <v>Blank</v>
      </c>
    </row>
    <row r="200" spans="1:18">
      <c r="A200" s="398" t="str">
        <f t="shared" si="18"/>
        <v/>
      </c>
      <c r="B200" s="399"/>
      <c r="C200" s="398" t="str">
        <f>IFERROR(INDEX(DATA_PROPERTY_MASTER!$B:$B,MATCH($B200,DATA_PROPERTY_MASTER!$A:$A,0)),"")</f>
        <v/>
      </c>
      <c r="D200" s="400"/>
      <c r="E200" s="399"/>
      <c r="F200" s="399"/>
      <c r="G200" s="399"/>
      <c r="H200" s="399"/>
      <c r="I200" s="399"/>
      <c r="J200" s="405"/>
      <c r="K200" s="399"/>
      <c r="L200" s="399"/>
      <c r="M200" s="399"/>
      <c r="N200" s="399"/>
      <c r="O200" s="399"/>
      <c r="P200" s="398" t="str">
        <f t="shared" si="19"/>
        <v/>
      </c>
      <c r="Q200" s="399"/>
      <c r="R200" s="398" t="str">
        <f t="shared" si="20"/>
        <v>Blank</v>
      </c>
    </row>
    <row r="201" spans="1:18">
      <c r="A201" s="398" t="str">
        <f t="shared" si="18"/>
        <v/>
      </c>
      <c r="B201" s="399"/>
      <c r="C201" s="398" t="str">
        <f>IFERROR(INDEX(DATA_PROPERTY_MASTER!$B:$B,MATCH($B201,DATA_PROPERTY_MASTER!$A:$A,0)),"")</f>
        <v/>
      </c>
      <c r="D201" s="400"/>
      <c r="E201" s="399"/>
      <c r="F201" s="399"/>
      <c r="G201" s="399"/>
      <c r="H201" s="399"/>
      <c r="I201" s="399"/>
      <c r="J201" s="405"/>
      <c r="K201" s="399"/>
      <c r="L201" s="399"/>
      <c r="M201" s="399"/>
      <c r="N201" s="399"/>
      <c r="O201" s="399"/>
      <c r="P201" s="398" t="str">
        <f t="shared" si="19"/>
        <v/>
      </c>
      <c r="Q201" s="399"/>
      <c r="R201" s="398" t="str">
        <f t="shared" si="20"/>
        <v>Blank</v>
      </c>
    </row>
    <row r="202" spans="1:18">
      <c r="A202" s="398" t="str">
        <f t="shared" si="18"/>
        <v/>
      </c>
      <c r="B202" s="399"/>
      <c r="C202" s="398" t="str">
        <f>IFERROR(INDEX(DATA_PROPERTY_MASTER!$B:$B,MATCH($B202,DATA_PROPERTY_MASTER!$A:$A,0)),"")</f>
        <v/>
      </c>
      <c r="D202" s="400"/>
      <c r="E202" s="399"/>
      <c r="F202" s="399"/>
      <c r="G202" s="399"/>
      <c r="H202" s="399"/>
      <c r="I202" s="399"/>
      <c r="J202" s="405"/>
      <c r="K202" s="399"/>
      <c r="L202" s="399"/>
      <c r="M202" s="399"/>
      <c r="N202" s="399"/>
      <c r="O202" s="399"/>
      <c r="P202" s="398" t="str">
        <f t="shared" si="19"/>
        <v/>
      </c>
      <c r="Q202" s="399"/>
      <c r="R202" s="398" t="str">
        <f t="shared" si="20"/>
        <v>Blank</v>
      </c>
    </row>
    <row r="203" spans="1:18">
      <c r="A203" s="398" t="str">
        <f t="shared" si="18"/>
        <v/>
      </c>
      <c r="B203" s="399"/>
      <c r="C203" s="398" t="str">
        <f>IFERROR(INDEX(DATA_PROPERTY_MASTER!$B:$B,MATCH($B203,DATA_PROPERTY_MASTER!$A:$A,0)),"")</f>
        <v/>
      </c>
      <c r="D203" s="400"/>
      <c r="E203" s="399"/>
      <c r="F203" s="399"/>
      <c r="G203" s="399"/>
      <c r="H203" s="399"/>
      <c r="I203" s="399"/>
      <c r="J203" s="405"/>
      <c r="K203" s="399"/>
      <c r="L203" s="399"/>
      <c r="M203" s="399"/>
      <c r="N203" s="399"/>
      <c r="O203" s="399"/>
      <c r="P203" s="398" t="str">
        <f t="shared" si="19"/>
        <v/>
      </c>
      <c r="Q203" s="399"/>
      <c r="R203" s="398" t="str">
        <f t="shared" si="20"/>
        <v>Blank</v>
      </c>
    </row>
    <row r="204" spans="1:18">
      <c r="A204" s="398" t="str">
        <f t="shared" si="18"/>
        <v/>
      </c>
      <c r="B204" s="399"/>
      <c r="C204" s="398" t="str">
        <f>IFERROR(INDEX(DATA_PROPERTY_MASTER!$B:$B,MATCH($B204,DATA_PROPERTY_MASTER!$A:$A,0)),"")</f>
        <v/>
      </c>
      <c r="D204" s="400"/>
      <c r="E204" s="399"/>
      <c r="F204" s="399"/>
      <c r="G204" s="399"/>
      <c r="H204" s="399"/>
      <c r="I204" s="399"/>
      <c r="J204" s="405"/>
      <c r="K204" s="399"/>
      <c r="L204" s="399"/>
      <c r="M204" s="399"/>
      <c r="N204" s="399"/>
      <c r="O204" s="399"/>
      <c r="P204" s="398" t="str">
        <f t="shared" si="19"/>
        <v/>
      </c>
      <c r="Q204" s="399"/>
      <c r="R204" s="398" t="str">
        <f t="shared" si="20"/>
        <v>Blank</v>
      </c>
    </row>
    <row r="205" spans="1:18">
      <c r="A205" s="398" t="str">
        <f t="shared" si="18"/>
        <v/>
      </c>
      <c r="B205" s="399"/>
      <c r="C205" s="398" t="str">
        <f>IFERROR(INDEX(DATA_PROPERTY_MASTER!$B:$B,MATCH($B205,DATA_PROPERTY_MASTER!$A:$A,0)),"")</f>
        <v/>
      </c>
      <c r="D205" s="400"/>
      <c r="E205" s="399"/>
      <c r="F205" s="399"/>
      <c r="G205" s="399"/>
      <c r="H205" s="399"/>
      <c r="I205" s="399"/>
      <c r="J205" s="405"/>
      <c r="K205" s="399"/>
      <c r="L205" s="399"/>
      <c r="M205" s="399"/>
      <c r="N205" s="399"/>
      <c r="O205" s="399"/>
      <c r="P205" s="398" t="str">
        <f t="shared" si="19"/>
        <v/>
      </c>
      <c r="Q205" s="399"/>
      <c r="R205" s="398" t="str">
        <f t="shared" si="20"/>
        <v>Blank</v>
      </c>
    </row>
    <row r="206" spans="1:18">
      <c r="A206" s="398" t="str">
        <f t="shared" si="18"/>
        <v/>
      </c>
      <c r="B206" s="399"/>
      <c r="C206" s="398" t="str">
        <f>IFERROR(INDEX(DATA_PROPERTY_MASTER!$B:$B,MATCH($B206,DATA_PROPERTY_MASTER!$A:$A,0)),"")</f>
        <v/>
      </c>
      <c r="D206" s="400"/>
      <c r="E206" s="399"/>
      <c r="F206" s="399"/>
      <c r="G206" s="399"/>
      <c r="H206" s="399"/>
      <c r="I206" s="399"/>
      <c r="J206" s="405"/>
      <c r="K206" s="399"/>
      <c r="L206" s="399"/>
      <c r="M206" s="399"/>
      <c r="N206" s="399"/>
      <c r="O206" s="399"/>
      <c r="P206" s="398" t="str">
        <f t="shared" si="19"/>
        <v/>
      </c>
      <c r="Q206" s="399"/>
      <c r="R206" s="398" t="str">
        <f t="shared" si="20"/>
        <v>Blank</v>
      </c>
    </row>
  </sheetData>
  <mergeCells count="1">
    <mergeCell ref="A1:R1"/>
  </mergeCells>
  <conditionalFormatting sqref="O7:O206">
    <cfRule type="expression" dxfId="38" priority="1">
      <formula>OR(O7="Review",O7="Funding Gap",O7="Expired / Review")</formula>
    </cfRule>
    <cfRule type="expression" dxfId="37" priority="2">
      <formula>OR(O7="OK",O7="Ready",O7="Funded / No Gap")</formula>
    </cfRule>
  </conditionalFormatting>
  <conditionalFormatting sqref="R7:R206">
    <cfRule type="expression" dxfId="36" priority="3">
      <formula>OR(R7="Review",R7="Funding Gap",R7="Expired / Review")</formula>
    </cfRule>
    <cfRule type="expression" dxfId="35" priority="4">
      <formula>OR(R7="OK",R7="Ready",R7="Funded / No Gap")</formula>
    </cfRule>
  </conditionalFormatting>
  <dataValidations count="2">
    <dataValidation type="list" allowBlank="1" sqref="M7:N206" xr:uid="{00000000-0002-0000-2A00-000001000000}">
      <formula1>"High,Medium,Low,Unknown"</formula1>
    </dataValidation>
    <dataValidation type="list" allowBlank="1" sqref="O7:O206" xr:uid="{00000000-0002-0000-2A00-000003000000}">
      <formula1>"Ready,Review,Missing,Not Provided"</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2A00-000000000000}">
          <x14:formula1>
            <xm:f>DATA_PROPERTY_MASTER!$A$5:$A$21</xm:f>
          </x14:formula1>
          <xm:sqref>B7:B206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DB9C9-701E-4E6A-A11D-FF661F3454D3}">
  <sheetPr>
    <tabColor rgb="FF7030A0"/>
  </sheetPr>
  <dimension ref="A1:U206"/>
  <sheetViews>
    <sheetView workbookViewId="0">
      <pane ySplit="6" topLeftCell="A7" activePane="bottomLeft" state="frozen"/>
      <selection sqref="A1:V1"/>
      <selection pane="bottomLeft" sqref="A1:V1"/>
    </sheetView>
  </sheetViews>
  <sheetFormatPr defaultRowHeight="15"/>
  <cols>
    <col min="1" max="1" width="14" customWidth="1"/>
    <col min="2" max="2" width="29.5703125" customWidth="1"/>
    <col min="3" max="3" width="24" customWidth="1"/>
    <col min="4" max="4" width="16" customWidth="1"/>
    <col min="5" max="5" width="14" customWidth="1"/>
    <col min="6" max="7" width="12" customWidth="1"/>
    <col min="8" max="12" width="28" customWidth="1"/>
    <col min="13" max="13" width="16" customWidth="1"/>
    <col min="14" max="14" width="14" customWidth="1"/>
    <col min="15" max="15" width="22" customWidth="1"/>
    <col min="16" max="16" width="16" customWidth="1"/>
    <col min="17" max="17" width="19" customWidth="1"/>
    <col min="18" max="18" width="15" customWidth="1"/>
    <col min="19" max="19" width="18" customWidth="1"/>
    <col min="20" max="20" width="28" customWidth="1"/>
    <col min="21" max="21" width="12" customWidth="1"/>
  </cols>
  <sheetData>
    <row r="1" spans="1:21">
      <c r="A1" s="425" t="s">
        <v>1455</v>
      </c>
      <c r="B1" s="424"/>
      <c r="C1" s="424"/>
      <c r="D1" s="424"/>
      <c r="E1" s="424"/>
      <c r="F1" s="424"/>
      <c r="G1" s="424"/>
      <c r="H1" s="424"/>
      <c r="I1" s="424"/>
      <c r="J1" s="424"/>
      <c r="K1" s="424"/>
      <c r="L1" s="424"/>
      <c r="M1" s="424"/>
      <c r="N1" s="424"/>
      <c r="O1" s="424"/>
      <c r="P1" s="424"/>
      <c r="Q1" s="424"/>
      <c r="R1" s="424"/>
      <c r="S1" s="424"/>
      <c r="T1" s="424"/>
      <c r="U1" s="424"/>
    </row>
    <row r="2" spans="1:21" ht="78" customHeight="1">
      <c r="A2" s="396" t="s">
        <v>1094</v>
      </c>
      <c r="B2" s="193" t="s">
        <v>1456</v>
      </c>
    </row>
    <row r="3" spans="1:21" ht="60.75" customHeight="1">
      <c r="A3" s="396" t="s">
        <v>1208</v>
      </c>
      <c r="B3" s="193" t="s">
        <v>1457</v>
      </c>
    </row>
    <row r="4" spans="1:21" ht="72" customHeight="1">
      <c r="A4" s="396" t="s">
        <v>1409</v>
      </c>
      <c r="B4" s="193" t="s">
        <v>1410</v>
      </c>
    </row>
    <row r="6" spans="1:21" ht="30">
      <c r="A6" s="397" t="s">
        <v>1458</v>
      </c>
      <c r="B6" s="397" t="s">
        <v>1263</v>
      </c>
      <c r="C6" s="397" t="s">
        <v>1269</v>
      </c>
      <c r="D6" s="397" t="s">
        <v>1459</v>
      </c>
      <c r="E6" s="397" t="s">
        <v>1460</v>
      </c>
      <c r="F6" s="397" t="s">
        <v>1461</v>
      </c>
      <c r="G6" s="397" t="s">
        <v>1462</v>
      </c>
      <c r="H6" s="397" t="s">
        <v>1463</v>
      </c>
      <c r="I6" s="397" t="s">
        <v>1464</v>
      </c>
      <c r="J6" s="397" t="s">
        <v>1465</v>
      </c>
      <c r="K6" s="397" t="s">
        <v>1466</v>
      </c>
      <c r="L6" s="397" t="s">
        <v>1467</v>
      </c>
      <c r="M6" s="397" t="s">
        <v>1468</v>
      </c>
      <c r="N6" s="397" t="s">
        <v>1469</v>
      </c>
      <c r="O6" s="397" t="s">
        <v>1470</v>
      </c>
      <c r="P6" s="397" t="s">
        <v>1210</v>
      </c>
      <c r="Q6" s="397" t="s">
        <v>1425</v>
      </c>
      <c r="R6" s="397" t="s">
        <v>1426</v>
      </c>
      <c r="S6" s="397" t="s">
        <v>1471</v>
      </c>
      <c r="T6" s="397" t="s">
        <v>386</v>
      </c>
      <c r="U6" s="397" t="s">
        <v>1427</v>
      </c>
    </row>
    <row r="7" spans="1:21">
      <c r="A7" s="398" t="str">
        <f t="shared" ref="A7:A38" si="0">IF($B7="","","AGR-"&amp;TEXT(ROW()-6,"0000"))</f>
        <v/>
      </c>
      <c r="B7" s="399"/>
      <c r="C7" s="398" t="str">
        <f>IFERROR(INDEX(DATA_PROPERTY_MASTER!$B:$B,MATCH($B7,DATA_PROPERTY_MASTER!$A:$A,0)),"")</f>
        <v/>
      </c>
      <c r="D7" s="399"/>
      <c r="E7" s="399"/>
      <c r="F7" s="404"/>
      <c r="G7" s="404"/>
      <c r="H7" s="399"/>
      <c r="I7" s="399"/>
      <c r="J7" s="399"/>
      <c r="K7" s="399"/>
      <c r="L7" s="399"/>
      <c r="M7" s="399"/>
      <c r="N7" s="399"/>
      <c r="O7" s="399"/>
      <c r="P7" s="399"/>
      <c r="Q7" s="399"/>
      <c r="R7" s="399"/>
      <c r="S7" s="398" t="str">
        <f t="shared" ref="S7:S38" ca="1" si="1">IF($B7="","",IF($G7="","No end date",IF($G7&lt;TODAY(),"Expired / Review","Active / Future")))</f>
        <v/>
      </c>
      <c r="T7" s="399"/>
      <c r="U7" s="398" t="str">
        <f t="shared" ref="U7:U38" si="2">IF($B7="","Blank",IF(OR($D7="",$H7=""),"Review","OK"))</f>
        <v>Blank</v>
      </c>
    </row>
    <row r="8" spans="1:21">
      <c r="A8" s="398" t="str">
        <f t="shared" si="0"/>
        <v/>
      </c>
      <c r="B8" s="399"/>
      <c r="C8" s="398" t="str">
        <f>IFERROR(INDEX(DATA_PROPERTY_MASTER!$B:$B,MATCH($B8,DATA_PROPERTY_MASTER!$A:$A,0)),"")</f>
        <v/>
      </c>
      <c r="D8" s="399"/>
      <c r="E8" s="399"/>
      <c r="F8" s="404"/>
      <c r="G8" s="404"/>
      <c r="H8" s="399"/>
      <c r="I8" s="399"/>
      <c r="J8" s="399"/>
      <c r="K8" s="399"/>
      <c r="L8" s="399"/>
      <c r="M8" s="399"/>
      <c r="N8" s="399"/>
      <c r="O8" s="399"/>
      <c r="P8" s="399"/>
      <c r="Q8" s="399"/>
      <c r="R8" s="399"/>
      <c r="S8" s="398" t="str">
        <f t="shared" ca="1" si="1"/>
        <v/>
      </c>
      <c r="T8" s="399"/>
      <c r="U8" s="398" t="str">
        <f t="shared" si="2"/>
        <v>Blank</v>
      </c>
    </row>
    <row r="9" spans="1:21">
      <c r="A9" s="398" t="str">
        <f t="shared" si="0"/>
        <v/>
      </c>
      <c r="B9" s="399"/>
      <c r="C9" s="398" t="str">
        <f>IFERROR(INDEX(DATA_PROPERTY_MASTER!$B:$B,MATCH($B9,DATA_PROPERTY_MASTER!$A:$A,0)),"")</f>
        <v/>
      </c>
      <c r="D9" s="399"/>
      <c r="E9" s="399"/>
      <c r="F9" s="404"/>
      <c r="G9" s="404"/>
      <c r="H9" s="399"/>
      <c r="I9" s="399"/>
      <c r="J9" s="399"/>
      <c r="K9" s="399"/>
      <c r="L9" s="399"/>
      <c r="M9" s="399"/>
      <c r="N9" s="399"/>
      <c r="O9" s="399"/>
      <c r="P9" s="399"/>
      <c r="Q9" s="399"/>
      <c r="R9" s="399"/>
      <c r="S9" s="398" t="str">
        <f t="shared" ca="1" si="1"/>
        <v/>
      </c>
      <c r="T9" s="399"/>
      <c r="U9" s="398" t="str">
        <f t="shared" si="2"/>
        <v>Blank</v>
      </c>
    </row>
    <row r="10" spans="1:21">
      <c r="A10" s="398" t="str">
        <f t="shared" si="0"/>
        <v/>
      </c>
      <c r="B10" s="399"/>
      <c r="C10" s="398" t="str">
        <f>IFERROR(INDEX(DATA_PROPERTY_MASTER!$B:$B,MATCH($B10,DATA_PROPERTY_MASTER!$A:$A,0)),"")</f>
        <v/>
      </c>
      <c r="D10" s="399"/>
      <c r="E10" s="399"/>
      <c r="F10" s="404"/>
      <c r="G10" s="404"/>
      <c r="H10" s="399"/>
      <c r="I10" s="399"/>
      <c r="J10" s="399"/>
      <c r="K10" s="399"/>
      <c r="L10" s="399"/>
      <c r="M10" s="399"/>
      <c r="N10" s="399"/>
      <c r="O10" s="399"/>
      <c r="P10" s="399"/>
      <c r="Q10" s="399"/>
      <c r="R10" s="399"/>
      <c r="S10" s="398" t="str">
        <f t="shared" ca="1" si="1"/>
        <v/>
      </c>
      <c r="T10" s="399"/>
      <c r="U10" s="398" t="str">
        <f t="shared" si="2"/>
        <v>Blank</v>
      </c>
    </row>
    <row r="11" spans="1:21">
      <c r="A11" s="398" t="str">
        <f t="shared" si="0"/>
        <v/>
      </c>
      <c r="B11" s="399"/>
      <c r="C11" s="398" t="str">
        <f>IFERROR(INDEX(DATA_PROPERTY_MASTER!$B:$B,MATCH($B11,DATA_PROPERTY_MASTER!$A:$A,0)),"")</f>
        <v/>
      </c>
      <c r="D11" s="399"/>
      <c r="E11" s="399"/>
      <c r="F11" s="404"/>
      <c r="G11" s="404"/>
      <c r="H11" s="399"/>
      <c r="I11" s="399"/>
      <c r="J11" s="399"/>
      <c r="K11" s="399"/>
      <c r="L11" s="399"/>
      <c r="M11" s="399"/>
      <c r="N11" s="399"/>
      <c r="O11" s="399"/>
      <c r="P11" s="399"/>
      <c r="Q11" s="399"/>
      <c r="R11" s="399"/>
      <c r="S11" s="398" t="str">
        <f t="shared" ca="1" si="1"/>
        <v/>
      </c>
      <c r="T11" s="399"/>
      <c r="U11" s="398" t="str">
        <f t="shared" si="2"/>
        <v>Blank</v>
      </c>
    </row>
    <row r="12" spans="1:21">
      <c r="A12" s="398" t="str">
        <f t="shared" si="0"/>
        <v/>
      </c>
      <c r="B12" s="399"/>
      <c r="C12" s="398" t="str">
        <f>IFERROR(INDEX(DATA_PROPERTY_MASTER!$B:$B,MATCH($B12,DATA_PROPERTY_MASTER!$A:$A,0)),"")</f>
        <v/>
      </c>
      <c r="D12" s="399"/>
      <c r="E12" s="399"/>
      <c r="F12" s="404"/>
      <c r="G12" s="404"/>
      <c r="H12" s="399"/>
      <c r="I12" s="399"/>
      <c r="J12" s="399"/>
      <c r="K12" s="399"/>
      <c r="L12" s="399"/>
      <c r="M12" s="399"/>
      <c r="N12" s="399"/>
      <c r="O12" s="399"/>
      <c r="P12" s="399"/>
      <c r="Q12" s="399"/>
      <c r="R12" s="399"/>
      <c r="S12" s="398" t="str">
        <f t="shared" ca="1" si="1"/>
        <v/>
      </c>
      <c r="T12" s="399"/>
      <c r="U12" s="398" t="str">
        <f t="shared" si="2"/>
        <v>Blank</v>
      </c>
    </row>
    <row r="13" spans="1:21">
      <c r="A13" s="398" t="str">
        <f t="shared" si="0"/>
        <v/>
      </c>
      <c r="B13" s="399"/>
      <c r="C13" s="398" t="str">
        <f>IFERROR(INDEX(DATA_PROPERTY_MASTER!$B:$B,MATCH($B13,DATA_PROPERTY_MASTER!$A:$A,0)),"")</f>
        <v/>
      </c>
      <c r="D13" s="399"/>
      <c r="E13" s="399"/>
      <c r="F13" s="404"/>
      <c r="G13" s="404"/>
      <c r="H13" s="399"/>
      <c r="I13" s="399"/>
      <c r="J13" s="399"/>
      <c r="K13" s="399"/>
      <c r="L13" s="399"/>
      <c r="M13" s="399"/>
      <c r="N13" s="399"/>
      <c r="O13" s="399"/>
      <c r="P13" s="399"/>
      <c r="Q13" s="399"/>
      <c r="R13" s="399"/>
      <c r="S13" s="398" t="str">
        <f t="shared" ca="1" si="1"/>
        <v/>
      </c>
      <c r="T13" s="399"/>
      <c r="U13" s="398" t="str">
        <f t="shared" si="2"/>
        <v>Blank</v>
      </c>
    </row>
    <row r="14" spans="1:21">
      <c r="A14" s="398" t="str">
        <f t="shared" si="0"/>
        <v/>
      </c>
      <c r="B14" s="399"/>
      <c r="C14" s="398" t="str">
        <f>IFERROR(INDEX(DATA_PROPERTY_MASTER!$B:$B,MATCH($B14,DATA_PROPERTY_MASTER!$A:$A,0)),"")</f>
        <v/>
      </c>
      <c r="D14" s="399"/>
      <c r="E14" s="399"/>
      <c r="F14" s="404"/>
      <c r="G14" s="404"/>
      <c r="H14" s="399"/>
      <c r="I14" s="399"/>
      <c r="J14" s="399"/>
      <c r="K14" s="399"/>
      <c r="L14" s="399"/>
      <c r="M14" s="399"/>
      <c r="N14" s="399"/>
      <c r="O14" s="399"/>
      <c r="P14" s="399"/>
      <c r="Q14" s="399"/>
      <c r="R14" s="399"/>
      <c r="S14" s="398" t="str">
        <f t="shared" ca="1" si="1"/>
        <v/>
      </c>
      <c r="T14" s="399"/>
      <c r="U14" s="398" t="str">
        <f t="shared" si="2"/>
        <v>Blank</v>
      </c>
    </row>
    <row r="15" spans="1:21">
      <c r="A15" s="398" t="str">
        <f t="shared" si="0"/>
        <v/>
      </c>
      <c r="B15" s="399"/>
      <c r="C15" s="398" t="str">
        <f>IFERROR(INDEX(DATA_PROPERTY_MASTER!$B:$B,MATCH($B15,DATA_PROPERTY_MASTER!$A:$A,0)),"")</f>
        <v/>
      </c>
      <c r="D15" s="399"/>
      <c r="E15" s="399"/>
      <c r="F15" s="404"/>
      <c r="G15" s="404"/>
      <c r="H15" s="399"/>
      <c r="I15" s="399"/>
      <c r="J15" s="399"/>
      <c r="K15" s="399"/>
      <c r="L15" s="399"/>
      <c r="M15" s="399"/>
      <c r="N15" s="399"/>
      <c r="O15" s="399"/>
      <c r="P15" s="399"/>
      <c r="Q15" s="399"/>
      <c r="R15" s="399"/>
      <c r="S15" s="398" t="str">
        <f t="shared" ca="1" si="1"/>
        <v/>
      </c>
      <c r="T15" s="399"/>
      <c r="U15" s="398" t="str">
        <f t="shared" si="2"/>
        <v>Blank</v>
      </c>
    </row>
    <row r="16" spans="1:21">
      <c r="A16" s="398" t="str">
        <f t="shared" si="0"/>
        <v/>
      </c>
      <c r="B16" s="399"/>
      <c r="C16" s="398" t="str">
        <f>IFERROR(INDEX(DATA_PROPERTY_MASTER!$B:$B,MATCH($B16,DATA_PROPERTY_MASTER!$A:$A,0)),"")</f>
        <v/>
      </c>
      <c r="D16" s="399"/>
      <c r="E16" s="399"/>
      <c r="F16" s="404"/>
      <c r="G16" s="404"/>
      <c r="H16" s="399"/>
      <c r="I16" s="399"/>
      <c r="J16" s="399"/>
      <c r="K16" s="399"/>
      <c r="L16" s="399"/>
      <c r="M16" s="399"/>
      <c r="N16" s="399"/>
      <c r="O16" s="399"/>
      <c r="P16" s="399"/>
      <c r="Q16" s="399"/>
      <c r="R16" s="399"/>
      <c r="S16" s="398" t="str">
        <f t="shared" ca="1" si="1"/>
        <v/>
      </c>
      <c r="T16" s="399"/>
      <c r="U16" s="398" t="str">
        <f t="shared" si="2"/>
        <v>Blank</v>
      </c>
    </row>
    <row r="17" spans="1:21">
      <c r="A17" s="398" t="str">
        <f t="shared" si="0"/>
        <v/>
      </c>
      <c r="B17" s="399"/>
      <c r="C17" s="398" t="str">
        <f>IFERROR(INDEX(DATA_PROPERTY_MASTER!$B:$B,MATCH($B17,DATA_PROPERTY_MASTER!$A:$A,0)),"")</f>
        <v/>
      </c>
      <c r="D17" s="399"/>
      <c r="E17" s="399"/>
      <c r="F17" s="404"/>
      <c r="G17" s="404"/>
      <c r="H17" s="399"/>
      <c r="I17" s="399"/>
      <c r="J17" s="399"/>
      <c r="K17" s="399"/>
      <c r="L17" s="399"/>
      <c r="M17" s="399"/>
      <c r="N17" s="399"/>
      <c r="O17" s="399"/>
      <c r="P17" s="399"/>
      <c r="Q17" s="399"/>
      <c r="R17" s="399"/>
      <c r="S17" s="398" t="str">
        <f t="shared" ca="1" si="1"/>
        <v/>
      </c>
      <c r="T17" s="399"/>
      <c r="U17" s="398" t="str">
        <f t="shared" si="2"/>
        <v>Blank</v>
      </c>
    </row>
    <row r="18" spans="1:21">
      <c r="A18" s="398" t="str">
        <f t="shared" si="0"/>
        <v/>
      </c>
      <c r="B18" s="399"/>
      <c r="C18" s="398" t="str">
        <f>IFERROR(INDEX(DATA_PROPERTY_MASTER!$B:$B,MATCH($B18,DATA_PROPERTY_MASTER!$A:$A,0)),"")</f>
        <v/>
      </c>
      <c r="D18" s="399"/>
      <c r="E18" s="399"/>
      <c r="F18" s="404"/>
      <c r="G18" s="404"/>
      <c r="H18" s="399"/>
      <c r="I18" s="399"/>
      <c r="J18" s="399"/>
      <c r="K18" s="399"/>
      <c r="L18" s="399"/>
      <c r="M18" s="399"/>
      <c r="N18" s="399"/>
      <c r="O18" s="399"/>
      <c r="P18" s="399"/>
      <c r="Q18" s="399"/>
      <c r="R18" s="399"/>
      <c r="S18" s="398" t="str">
        <f t="shared" ca="1" si="1"/>
        <v/>
      </c>
      <c r="T18" s="399"/>
      <c r="U18" s="398" t="str">
        <f t="shared" si="2"/>
        <v>Blank</v>
      </c>
    </row>
    <row r="19" spans="1:21">
      <c r="A19" s="398" t="str">
        <f t="shared" si="0"/>
        <v/>
      </c>
      <c r="B19" s="399"/>
      <c r="C19" s="398" t="str">
        <f>IFERROR(INDEX(DATA_PROPERTY_MASTER!$B:$B,MATCH($B19,DATA_PROPERTY_MASTER!$A:$A,0)),"")</f>
        <v/>
      </c>
      <c r="D19" s="399"/>
      <c r="E19" s="399"/>
      <c r="F19" s="404"/>
      <c r="G19" s="404"/>
      <c r="H19" s="399"/>
      <c r="I19" s="399"/>
      <c r="J19" s="399"/>
      <c r="K19" s="399"/>
      <c r="L19" s="399"/>
      <c r="M19" s="399"/>
      <c r="N19" s="399"/>
      <c r="O19" s="399"/>
      <c r="P19" s="399"/>
      <c r="Q19" s="399"/>
      <c r="R19" s="399"/>
      <c r="S19" s="398" t="str">
        <f t="shared" ca="1" si="1"/>
        <v/>
      </c>
      <c r="T19" s="399"/>
      <c r="U19" s="398" t="str">
        <f t="shared" si="2"/>
        <v>Blank</v>
      </c>
    </row>
    <row r="20" spans="1:21">
      <c r="A20" s="398" t="str">
        <f t="shared" si="0"/>
        <v/>
      </c>
      <c r="B20" s="399"/>
      <c r="C20" s="398" t="str">
        <f>IFERROR(INDEX(DATA_PROPERTY_MASTER!$B:$B,MATCH($B20,DATA_PROPERTY_MASTER!$A:$A,0)),"")</f>
        <v/>
      </c>
      <c r="D20" s="399"/>
      <c r="E20" s="399"/>
      <c r="F20" s="404"/>
      <c r="G20" s="404"/>
      <c r="H20" s="399"/>
      <c r="I20" s="399"/>
      <c r="J20" s="399"/>
      <c r="K20" s="399"/>
      <c r="L20" s="399"/>
      <c r="M20" s="399"/>
      <c r="N20" s="399"/>
      <c r="O20" s="399"/>
      <c r="P20" s="399"/>
      <c r="Q20" s="399"/>
      <c r="R20" s="399"/>
      <c r="S20" s="398" t="str">
        <f t="shared" ca="1" si="1"/>
        <v/>
      </c>
      <c r="T20" s="399"/>
      <c r="U20" s="398" t="str">
        <f t="shared" si="2"/>
        <v>Blank</v>
      </c>
    </row>
    <row r="21" spans="1:21">
      <c r="A21" s="398" t="str">
        <f t="shared" si="0"/>
        <v/>
      </c>
      <c r="B21" s="399"/>
      <c r="C21" s="398" t="str">
        <f>IFERROR(INDEX(DATA_PROPERTY_MASTER!$B:$B,MATCH($B21,DATA_PROPERTY_MASTER!$A:$A,0)),"")</f>
        <v/>
      </c>
      <c r="D21" s="399"/>
      <c r="E21" s="399"/>
      <c r="F21" s="404"/>
      <c r="G21" s="404"/>
      <c r="H21" s="399"/>
      <c r="I21" s="399"/>
      <c r="J21" s="399"/>
      <c r="K21" s="399"/>
      <c r="L21" s="399"/>
      <c r="M21" s="399"/>
      <c r="N21" s="399"/>
      <c r="O21" s="399"/>
      <c r="P21" s="399"/>
      <c r="Q21" s="399"/>
      <c r="R21" s="399"/>
      <c r="S21" s="398" t="str">
        <f t="shared" ca="1" si="1"/>
        <v/>
      </c>
      <c r="T21" s="399"/>
      <c r="U21" s="398" t="str">
        <f t="shared" si="2"/>
        <v>Blank</v>
      </c>
    </row>
    <row r="22" spans="1:21">
      <c r="A22" s="398" t="str">
        <f t="shared" si="0"/>
        <v/>
      </c>
      <c r="B22" s="399"/>
      <c r="C22" s="398" t="str">
        <f>IFERROR(INDEX(DATA_PROPERTY_MASTER!$B:$B,MATCH($B22,DATA_PROPERTY_MASTER!$A:$A,0)),"")</f>
        <v/>
      </c>
      <c r="D22" s="399"/>
      <c r="E22" s="399"/>
      <c r="F22" s="404"/>
      <c r="G22" s="404"/>
      <c r="H22" s="399"/>
      <c r="I22" s="399"/>
      <c r="J22" s="399"/>
      <c r="K22" s="399"/>
      <c r="L22" s="399"/>
      <c r="M22" s="399"/>
      <c r="N22" s="399"/>
      <c r="O22" s="399"/>
      <c r="P22" s="399"/>
      <c r="Q22" s="399"/>
      <c r="R22" s="399"/>
      <c r="S22" s="398" t="str">
        <f t="shared" ca="1" si="1"/>
        <v/>
      </c>
      <c r="T22" s="399"/>
      <c r="U22" s="398" t="str">
        <f t="shared" si="2"/>
        <v>Blank</v>
      </c>
    </row>
    <row r="23" spans="1:21">
      <c r="A23" s="398" t="str">
        <f t="shared" si="0"/>
        <v/>
      </c>
      <c r="B23" s="399"/>
      <c r="C23" s="398" t="str">
        <f>IFERROR(INDEX(DATA_PROPERTY_MASTER!$B:$B,MATCH($B23,DATA_PROPERTY_MASTER!$A:$A,0)),"")</f>
        <v/>
      </c>
      <c r="D23" s="399"/>
      <c r="E23" s="399"/>
      <c r="F23" s="404"/>
      <c r="G23" s="404"/>
      <c r="H23" s="399"/>
      <c r="I23" s="399"/>
      <c r="J23" s="399"/>
      <c r="K23" s="399"/>
      <c r="L23" s="399"/>
      <c r="M23" s="399"/>
      <c r="N23" s="399"/>
      <c r="O23" s="399"/>
      <c r="P23" s="399"/>
      <c r="Q23" s="399"/>
      <c r="R23" s="399"/>
      <c r="S23" s="398" t="str">
        <f t="shared" ca="1" si="1"/>
        <v/>
      </c>
      <c r="T23" s="399"/>
      <c r="U23" s="398" t="str">
        <f t="shared" si="2"/>
        <v>Blank</v>
      </c>
    </row>
    <row r="24" spans="1:21">
      <c r="A24" s="398" t="str">
        <f t="shared" si="0"/>
        <v/>
      </c>
      <c r="B24" s="399"/>
      <c r="C24" s="398" t="str">
        <f>IFERROR(INDEX(DATA_PROPERTY_MASTER!$B:$B,MATCH($B24,DATA_PROPERTY_MASTER!$A:$A,0)),"")</f>
        <v/>
      </c>
      <c r="D24" s="399"/>
      <c r="E24" s="399"/>
      <c r="F24" s="404"/>
      <c r="G24" s="404"/>
      <c r="H24" s="399"/>
      <c r="I24" s="399"/>
      <c r="J24" s="399"/>
      <c r="K24" s="399"/>
      <c r="L24" s="399"/>
      <c r="M24" s="399"/>
      <c r="N24" s="399"/>
      <c r="O24" s="399"/>
      <c r="P24" s="399"/>
      <c r="Q24" s="399"/>
      <c r="R24" s="399"/>
      <c r="S24" s="398" t="str">
        <f t="shared" ca="1" si="1"/>
        <v/>
      </c>
      <c r="T24" s="399"/>
      <c r="U24" s="398" t="str">
        <f t="shared" si="2"/>
        <v>Blank</v>
      </c>
    </row>
    <row r="25" spans="1:21">
      <c r="A25" s="398" t="str">
        <f t="shared" si="0"/>
        <v/>
      </c>
      <c r="B25" s="399"/>
      <c r="C25" s="398" t="str">
        <f>IFERROR(INDEX(DATA_PROPERTY_MASTER!$B:$B,MATCH($B25,DATA_PROPERTY_MASTER!$A:$A,0)),"")</f>
        <v/>
      </c>
      <c r="D25" s="399"/>
      <c r="E25" s="399"/>
      <c r="F25" s="404"/>
      <c r="G25" s="404"/>
      <c r="H25" s="399"/>
      <c r="I25" s="399"/>
      <c r="J25" s="399"/>
      <c r="K25" s="399"/>
      <c r="L25" s="399"/>
      <c r="M25" s="399"/>
      <c r="N25" s="399"/>
      <c r="O25" s="399"/>
      <c r="P25" s="399"/>
      <c r="Q25" s="399"/>
      <c r="R25" s="399"/>
      <c r="S25" s="398" t="str">
        <f t="shared" ca="1" si="1"/>
        <v/>
      </c>
      <c r="T25" s="399"/>
      <c r="U25" s="398" t="str">
        <f t="shared" si="2"/>
        <v>Blank</v>
      </c>
    </row>
    <row r="26" spans="1:21">
      <c r="A26" s="398" t="str">
        <f t="shared" si="0"/>
        <v/>
      </c>
      <c r="B26" s="399"/>
      <c r="C26" s="398" t="str">
        <f>IFERROR(INDEX(DATA_PROPERTY_MASTER!$B:$B,MATCH($B26,DATA_PROPERTY_MASTER!$A:$A,0)),"")</f>
        <v/>
      </c>
      <c r="D26" s="399"/>
      <c r="E26" s="399"/>
      <c r="F26" s="404"/>
      <c r="G26" s="404"/>
      <c r="H26" s="399"/>
      <c r="I26" s="399"/>
      <c r="J26" s="399"/>
      <c r="K26" s="399"/>
      <c r="L26" s="399"/>
      <c r="M26" s="399"/>
      <c r="N26" s="399"/>
      <c r="O26" s="399"/>
      <c r="P26" s="399"/>
      <c r="Q26" s="399"/>
      <c r="R26" s="399"/>
      <c r="S26" s="398" t="str">
        <f t="shared" ca="1" si="1"/>
        <v/>
      </c>
      <c r="T26" s="399"/>
      <c r="U26" s="398" t="str">
        <f t="shared" si="2"/>
        <v>Blank</v>
      </c>
    </row>
    <row r="27" spans="1:21">
      <c r="A27" s="398" t="str">
        <f t="shared" si="0"/>
        <v/>
      </c>
      <c r="B27" s="399"/>
      <c r="C27" s="398" t="str">
        <f>IFERROR(INDEX(DATA_PROPERTY_MASTER!$B:$B,MATCH($B27,DATA_PROPERTY_MASTER!$A:$A,0)),"")</f>
        <v/>
      </c>
      <c r="D27" s="399"/>
      <c r="E27" s="399"/>
      <c r="F27" s="404"/>
      <c r="G27" s="404"/>
      <c r="H27" s="399"/>
      <c r="I27" s="399"/>
      <c r="J27" s="399"/>
      <c r="K27" s="399"/>
      <c r="L27" s="399"/>
      <c r="M27" s="399"/>
      <c r="N27" s="399"/>
      <c r="O27" s="399"/>
      <c r="P27" s="399"/>
      <c r="Q27" s="399"/>
      <c r="R27" s="399"/>
      <c r="S27" s="398" t="str">
        <f t="shared" ca="1" si="1"/>
        <v/>
      </c>
      <c r="T27" s="399"/>
      <c r="U27" s="398" t="str">
        <f t="shared" si="2"/>
        <v>Blank</v>
      </c>
    </row>
    <row r="28" spans="1:21">
      <c r="A28" s="398" t="str">
        <f t="shared" si="0"/>
        <v/>
      </c>
      <c r="B28" s="399"/>
      <c r="C28" s="398" t="str">
        <f>IFERROR(INDEX(DATA_PROPERTY_MASTER!$B:$B,MATCH($B28,DATA_PROPERTY_MASTER!$A:$A,0)),"")</f>
        <v/>
      </c>
      <c r="D28" s="399"/>
      <c r="E28" s="399"/>
      <c r="F28" s="404"/>
      <c r="G28" s="404"/>
      <c r="H28" s="399"/>
      <c r="I28" s="399"/>
      <c r="J28" s="399"/>
      <c r="K28" s="399"/>
      <c r="L28" s="399"/>
      <c r="M28" s="399"/>
      <c r="N28" s="399"/>
      <c r="O28" s="399"/>
      <c r="P28" s="399"/>
      <c r="Q28" s="399"/>
      <c r="R28" s="399"/>
      <c r="S28" s="398" t="str">
        <f t="shared" ca="1" si="1"/>
        <v/>
      </c>
      <c r="T28" s="399"/>
      <c r="U28" s="398" t="str">
        <f t="shared" si="2"/>
        <v>Blank</v>
      </c>
    </row>
    <row r="29" spans="1:21">
      <c r="A29" s="398" t="str">
        <f t="shared" si="0"/>
        <v/>
      </c>
      <c r="B29" s="399"/>
      <c r="C29" s="398" t="str">
        <f>IFERROR(INDEX(DATA_PROPERTY_MASTER!$B:$B,MATCH($B29,DATA_PROPERTY_MASTER!$A:$A,0)),"")</f>
        <v/>
      </c>
      <c r="D29" s="399"/>
      <c r="E29" s="399"/>
      <c r="F29" s="404"/>
      <c r="G29" s="404"/>
      <c r="H29" s="399"/>
      <c r="I29" s="399"/>
      <c r="J29" s="399"/>
      <c r="K29" s="399"/>
      <c r="L29" s="399"/>
      <c r="M29" s="399"/>
      <c r="N29" s="399"/>
      <c r="O29" s="399"/>
      <c r="P29" s="399"/>
      <c r="Q29" s="399"/>
      <c r="R29" s="399"/>
      <c r="S29" s="398" t="str">
        <f t="shared" ca="1" si="1"/>
        <v/>
      </c>
      <c r="T29" s="399"/>
      <c r="U29" s="398" t="str">
        <f t="shared" si="2"/>
        <v>Blank</v>
      </c>
    </row>
    <row r="30" spans="1:21">
      <c r="A30" s="398" t="str">
        <f t="shared" si="0"/>
        <v/>
      </c>
      <c r="B30" s="399"/>
      <c r="C30" s="398" t="str">
        <f>IFERROR(INDEX(DATA_PROPERTY_MASTER!$B:$B,MATCH($B30,DATA_PROPERTY_MASTER!$A:$A,0)),"")</f>
        <v/>
      </c>
      <c r="D30" s="399"/>
      <c r="E30" s="399"/>
      <c r="F30" s="404"/>
      <c r="G30" s="404"/>
      <c r="H30" s="399"/>
      <c r="I30" s="399"/>
      <c r="J30" s="399"/>
      <c r="K30" s="399"/>
      <c r="L30" s="399"/>
      <c r="M30" s="399"/>
      <c r="N30" s="399"/>
      <c r="O30" s="399"/>
      <c r="P30" s="399"/>
      <c r="Q30" s="399"/>
      <c r="R30" s="399"/>
      <c r="S30" s="398" t="str">
        <f t="shared" ca="1" si="1"/>
        <v/>
      </c>
      <c r="T30" s="399"/>
      <c r="U30" s="398" t="str">
        <f t="shared" si="2"/>
        <v>Blank</v>
      </c>
    </row>
    <row r="31" spans="1:21">
      <c r="A31" s="398" t="str">
        <f t="shared" si="0"/>
        <v/>
      </c>
      <c r="B31" s="399"/>
      <c r="C31" s="398" t="str">
        <f>IFERROR(INDEX(DATA_PROPERTY_MASTER!$B:$B,MATCH($B31,DATA_PROPERTY_MASTER!$A:$A,0)),"")</f>
        <v/>
      </c>
      <c r="D31" s="399"/>
      <c r="E31" s="399"/>
      <c r="F31" s="404"/>
      <c r="G31" s="404"/>
      <c r="H31" s="399"/>
      <c r="I31" s="399"/>
      <c r="J31" s="399"/>
      <c r="K31" s="399"/>
      <c r="L31" s="399"/>
      <c r="M31" s="399"/>
      <c r="N31" s="399"/>
      <c r="O31" s="399"/>
      <c r="P31" s="399"/>
      <c r="Q31" s="399"/>
      <c r="R31" s="399"/>
      <c r="S31" s="398" t="str">
        <f t="shared" ca="1" si="1"/>
        <v/>
      </c>
      <c r="T31" s="399"/>
      <c r="U31" s="398" t="str">
        <f t="shared" si="2"/>
        <v>Blank</v>
      </c>
    </row>
    <row r="32" spans="1:21">
      <c r="A32" s="398" t="str">
        <f t="shared" si="0"/>
        <v/>
      </c>
      <c r="B32" s="399"/>
      <c r="C32" s="398" t="str">
        <f>IFERROR(INDEX(DATA_PROPERTY_MASTER!$B:$B,MATCH($B32,DATA_PROPERTY_MASTER!$A:$A,0)),"")</f>
        <v/>
      </c>
      <c r="D32" s="399"/>
      <c r="E32" s="399"/>
      <c r="F32" s="404"/>
      <c r="G32" s="404"/>
      <c r="H32" s="399"/>
      <c r="I32" s="399"/>
      <c r="J32" s="399"/>
      <c r="K32" s="399"/>
      <c r="L32" s="399"/>
      <c r="M32" s="399"/>
      <c r="N32" s="399"/>
      <c r="O32" s="399"/>
      <c r="P32" s="399"/>
      <c r="Q32" s="399"/>
      <c r="R32" s="399"/>
      <c r="S32" s="398" t="str">
        <f t="shared" ca="1" si="1"/>
        <v/>
      </c>
      <c r="T32" s="399"/>
      <c r="U32" s="398" t="str">
        <f t="shared" si="2"/>
        <v>Blank</v>
      </c>
    </row>
    <row r="33" spans="1:21">
      <c r="A33" s="398" t="str">
        <f t="shared" si="0"/>
        <v/>
      </c>
      <c r="B33" s="399"/>
      <c r="C33" s="398" t="str">
        <f>IFERROR(INDEX(DATA_PROPERTY_MASTER!$B:$B,MATCH($B33,DATA_PROPERTY_MASTER!$A:$A,0)),"")</f>
        <v/>
      </c>
      <c r="D33" s="399"/>
      <c r="E33" s="399"/>
      <c r="F33" s="404"/>
      <c r="G33" s="404"/>
      <c r="H33" s="399"/>
      <c r="I33" s="399"/>
      <c r="J33" s="399"/>
      <c r="K33" s="399"/>
      <c r="L33" s="399"/>
      <c r="M33" s="399"/>
      <c r="N33" s="399"/>
      <c r="O33" s="399"/>
      <c r="P33" s="399"/>
      <c r="Q33" s="399"/>
      <c r="R33" s="399"/>
      <c r="S33" s="398" t="str">
        <f t="shared" ca="1" si="1"/>
        <v/>
      </c>
      <c r="T33" s="399"/>
      <c r="U33" s="398" t="str">
        <f t="shared" si="2"/>
        <v>Blank</v>
      </c>
    </row>
    <row r="34" spans="1:21">
      <c r="A34" s="398" t="str">
        <f t="shared" si="0"/>
        <v/>
      </c>
      <c r="B34" s="399"/>
      <c r="C34" s="398" t="str">
        <f>IFERROR(INDEX(DATA_PROPERTY_MASTER!$B:$B,MATCH($B34,DATA_PROPERTY_MASTER!$A:$A,0)),"")</f>
        <v/>
      </c>
      <c r="D34" s="399"/>
      <c r="E34" s="399"/>
      <c r="F34" s="404"/>
      <c r="G34" s="404"/>
      <c r="H34" s="399"/>
      <c r="I34" s="399"/>
      <c r="J34" s="399"/>
      <c r="K34" s="399"/>
      <c r="L34" s="399"/>
      <c r="M34" s="399"/>
      <c r="N34" s="399"/>
      <c r="O34" s="399"/>
      <c r="P34" s="399"/>
      <c r="Q34" s="399"/>
      <c r="R34" s="399"/>
      <c r="S34" s="398" t="str">
        <f t="shared" ca="1" si="1"/>
        <v/>
      </c>
      <c r="T34" s="399"/>
      <c r="U34" s="398" t="str">
        <f t="shared" si="2"/>
        <v>Blank</v>
      </c>
    </row>
    <row r="35" spans="1:21">
      <c r="A35" s="398" t="str">
        <f t="shared" si="0"/>
        <v/>
      </c>
      <c r="B35" s="399"/>
      <c r="C35" s="398" t="str">
        <f>IFERROR(INDEX(DATA_PROPERTY_MASTER!$B:$B,MATCH($B35,DATA_PROPERTY_MASTER!$A:$A,0)),"")</f>
        <v/>
      </c>
      <c r="D35" s="399"/>
      <c r="E35" s="399"/>
      <c r="F35" s="404"/>
      <c r="G35" s="404"/>
      <c r="H35" s="399"/>
      <c r="I35" s="399"/>
      <c r="J35" s="399"/>
      <c r="K35" s="399"/>
      <c r="L35" s="399"/>
      <c r="M35" s="399"/>
      <c r="N35" s="399"/>
      <c r="O35" s="399"/>
      <c r="P35" s="399"/>
      <c r="Q35" s="399"/>
      <c r="R35" s="399"/>
      <c r="S35" s="398" t="str">
        <f t="shared" ca="1" si="1"/>
        <v/>
      </c>
      <c r="T35" s="399"/>
      <c r="U35" s="398" t="str">
        <f t="shared" si="2"/>
        <v>Blank</v>
      </c>
    </row>
    <row r="36" spans="1:21">
      <c r="A36" s="398" t="str">
        <f t="shared" si="0"/>
        <v/>
      </c>
      <c r="B36" s="399"/>
      <c r="C36" s="398" t="str">
        <f>IFERROR(INDEX(DATA_PROPERTY_MASTER!$B:$B,MATCH($B36,DATA_PROPERTY_MASTER!$A:$A,0)),"")</f>
        <v/>
      </c>
      <c r="D36" s="399"/>
      <c r="E36" s="399"/>
      <c r="F36" s="404"/>
      <c r="G36" s="404"/>
      <c r="H36" s="399"/>
      <c r="I36" s="399"/>
      <c r="J36" s="399"/>
      <c r="K36" s="399"/>
      <c r="L36" s="399"/>
      <c r="M36" s="399"/>
      <c r="N36" s="399"/>
      <c r="O36" s="399"/>
      <c r="P36" s="399"/>
      <c r="Q36" s="399"/>
      <c r="R36" s="399"/>
      <c r="S36" s="398" t="str">
        <f t="shared" ca="1" si="1"/>
        <v/>
      </c>
      <c r="T36" s="399"/>
      <c r="U36" s="398" t="str">
        <f t="shared" si="2"/>
        <v>Blank</v>
      </c>
    </row>
    <row r="37" spans="1:21">
      <c r="A37" s="398" t="str">
        <f t="shared" si="0"/>
        <v/>
      </c>
      <c r="B37" s="399"/>
      <c r="C37" s="398" t="str">
        <f>IFERROR(INDEX(DATA_PROPERTY_MASTER!$B:$B,MATCH($B37,DATA_PROPERTY_MASTER!$A:$A,0)),"")</f>
        <v/>
      </c>
      <c r="D37" s="399"/>
      <c r="E37" s="399"/>
      <c r="F37" s="404"/>
      <c r="G37" s="404"/>
      <c r="H37" s="399"/>
      <c r="I37" s="399"/>
      <c r="J37" s="399"/>
      <c r="K37" s="399"/>
      <c r="L37" s="399"/>
      <c r="M37" s="399"/>
      <c r="N37" s="399"/>
      <c r="O37" s="399"/>
      <c r="P37" s="399"/>
      <c r="Q37" s="399"/>
      <c r="R37" s="399"/>
      <c r="S37" s="398" t="str">
        <f t="shared" ca="1" si="1"/>
        <v/>
      </c>
      <c r="T37" s="399"/>
      <c r="U37" s="398" t="str">
        <f t="shared" si="2"/>
        <v>Blank</v>
      </c>
    </row>
    <row r="38" spans="1:21">
      <c r="A38" s="398" t="str">
        <f t="shared" si="0"/>
        <v/>
      </c>
      <c r="B38" s="399"/>
      <c r="C38" s="398" t="str">
        <f>IFERROR(INDEX(DATA_PROPERTY_MASTER!$B:$B,MATCH($B38,DATA_PROPERTY_MASTER!$A:$A,0)),"")</f>
        <v/>
      </c>
      <c r="D38" s="399"/>
      <c r="E38" s="399"/>
      <c r="F38" s="404"/>
      <c r="G38" s="404"/>
      <c r="H38" s="399"/>
      <c r="I38" s="399"/>
      <c r="J38" s="399"/>
      <c r="K38" s="399"/>
      <c r="L38" s="399"/>
      <c r="M38" s="399"/>
      <c r="N38" s="399"/>
      <c r="O38" s="399"/>
      <c r="P38" s="399"/>
      <c r="Q38" s="399"/>
      <c r="R38" s="399"/>
      <c r="S38" s="398" t="str">
        <f t="shared" ca="1" si="1"/>
        <v/>
      </c>
      <c r="T38" s="399"/>
      <c r="U38" s="398" t="str">
        <f t="shared" si="2"/>
        <v>Blank</v>
      </c>
    </row>
    <row r="39" spans="1:21">
      <c r="A39" s="398" t="str">
        <f t="shared" ref="A39:A70" si="3">IF($B39="","","AGR-"&amp;TEXT(ROW()-6,"0000"))</f>
        <v/>
      </c>
      <c r="B39" s="399"/>
      <c r="C39" s="398" t="str">
        <f>IFERROR(INDEX(DATA_PROPERTY_MASTER!$B:$B,MATCH($B39,DATA_PROPERTY_MASTER!$A:$A,0)),"")</f>
        <v/>
      </c>
      <c r="D39" s="399"/>
      <c r="E39" s="399"/>
      <c r="F39" s="404"/>
      <c r="G39" s="404"/>
      <c r="H39" s="399"/>
      <c r="I39" s="399"/>
      <c r="J39" s="399"/>
      <c r="K39" s="399"/>
      <c r="L39" s="399"/>
      <c r="M39" s="399"/>
      <c r="N39" s="399"/>
      <c r="O39" s="399"/>
      <c r="P39" s="399"/>
      <c r="Q39" s="399"/>
      <c r="R39" s="399"/>
      <c r="S39" s="398" t="str">
        <f t="shared" ref="S39:S70" ca="1" si="4">IF($B39="","",IF($G39="","No end date",IF($G39&lt;TODAY(),"Expired / Review","Active / Future")))</f>
        <v/>
      </c>
      <c r="T39" s="399"/>
      <c r="U39" s="398" t="str">
        <f t="shared" ref="U39:U70" si="5">IF($B39="","Blank",IF(OR($D39="",$H39=""),"Review","OK"))</f>
        <v>Blank</v>
      </c>
    </row>
    <row r="40" spans="1:21">
      <c r="A40" s="398" t="str">
        <f t="shared" si="3"/>
        <v/>
      </c>
      <c r="B40" s="399"/>
      <c r="C40" s="398" t="str">
        <f>IFERROR(INDEX(DATA_PROPERTY_MASTER!$B:$B,MATCH($B40,DATA_PROPERTY_MASTER!$A:$A,0)),"")</f>
        <v/>
      </c>
      <c r="D40" s="399"/>
      <c r="E40" s="399"/>
      <c r="F40" s="404"/>
      <c r="G40" s="404"/>
      <c r="H40" s="399"/>
      <c r="I40" s="399"/>
      <c r="J40" s="399"/>
      <c r="K40" s="399"/>
      <c r="L40" s="399"/>
      <c r="M40" s="399"/>
      <c r="N40" s="399"/>
      <c r="O40" s="399"/>
      <c r="P40" s="399"/>
      <c r="Q40" s="399"/>
      <c r="R40" s="399"/>
      <c r="S40" s="398" t="str">
        <f t="shared" ca="1" si="4"/>
        <v/>
      </c>
      <c r="T40" s="399"/>
      <c r="U40" s="398" t="str">
        <f t="shared" si="5"/>
        <v>Blank</v>
      </c>
    </row>
    <row r="41" spans="1:21">
      <c r="A41" s="398" t="str">
        <f t="shared" si="3"/>
        <v/>
      </c>
      <c r="B41" s="399"/>
      <c r="C41" s="398" t="str">
        <f>IFERROR(INDEX(DATA_PROPERTY_MASTER!$B:$B,MATCH($B41,DATA_PROPERTY_MASTER!$A:$A,0)),"")</f>
        <v/>
      </c>
      <c r="D41" s="399"/>
      <c r="E41" s="399"/>
      <c r="F41" s="404"/>
      <c r="G41" s="404"/>
      <c r="H41" s="399"/>
      <c r="I41" s="399"/>
      <c r="J41" s="399"/>
      <c r="K41" s="399"/>
      <c r="L41" s="399"/>
      <c r="M41" s="399"/>
      <c r="N41" s="399"/>
      <c r="O41" s="399"/>
      <c r="P41" s="399"/>
      <c r="Q41" s="399"/>
      <c r="R41" s="399"/>
      <c r="S41" s="398" t="str">
        <f t="shared" ca="1" si="4"/>
        <v/>
      </c>
      <c r="T41" s="399"/>
      <c r="U41" s="398" t="str">
        <f t="shared" si="5"/>
        <v>Blank</v>
      </c>
    </row>
    <row r="42" spans="1:21">
      <c r="A42" s="398" t="str">
        <f t="shared" si="3"/>
        <v/>
      </c>
      <c r="B42" s="399"/>
      <c r="C42" s="398" t="str">
        <f>IFERROR(INDEX(DATA_PROPERTY_MASTER!$B:$B,MATCH($B42,DATA_PROPERTY_MASTER!$A:$A,0)),"")</f>
        <v/>
      </c>
      <c r="D42" s="399"/>
      <c r="E42" s="399"/>
      <c r="F42" s="404"/>
      <c r="G42" s="404"/>
      <c r="H42" s="399"/>
      <c r="I42" s="399"/>
      <c r="J42" s="399"/>
      <c r="K42" s="399"/>
      <c r="L42" s="399"/>
      <c r="M42" s="399"/>
      <c r="N42" s="399"/>
      <c r="O42" s="399"/>
      <c r="P42" s="399"/>
      <c r="Q42" s="399"/>
      <c r="R42" s="399"/>
      <c r="S42" s="398" t="str">
        <f t="shared" ca="1" si="4"/>
        <v/>
      </c>
      <c r="T42" s="399"/>
      <c r="U42" s="398" t="str">
        <f t="shared" si="5"/>
        <v>Blank</v>
      </c>
    </row>
    <row r="43" spans="1:21">
      <c r="A43" s="398" t="str">
        <f t="shared" si="3"/>
        <v/>
      </c>
      <c r="B43" s="399"/>
      <c r="C43" s="398" t="str">
        <f>IFERROR(INDEX(DATA_PROPERTY_MASTER!$B:$B,MATCH($B43,DATA_PROPERTY_MASTER!$A:$A,0)),"")</f>
        <v/>
      </c>
      <c r="D43" s="399"/>
      <c r="E43" s="399"/>
      <c r="F43" s="404"/>
      <c r="G43" s="404"/>
      <c r="H43" s="399"/>
      <c r="I43" s="399"/>
      <c r="J43" s="399"/>
      <c r="K43" s="399"/>
      <c r="L43" s="399"/>
      <c r="M43" s="399"/>
      <c r="N43" s="399"/>
      <c r="O43" s="399"/>
      <c r="P43" s="399"/>
      <c r="Q43" s="399"/>
      <c r="R43" s="399"/>
      <c r="S43" s="398" t="str">
        <f t="shared" ca="1" si="4"/>
        <v/>
      </c>
      <c r="T43" s="399"/>
      <c r="U43" s="398" t="str">
        <f t="shared" si="5"/>
        <v>Blank</v>
      </c>
    </row>
    <row r="44" spans="1:21">
      <c r="A44" s="398" t="str">
        <f t="shared" si="3"/>
        <v/>
      </c>
      <c r="B44" s="399"/>
      <c r="C44" s="398" t="str">
        <f>IFERROR(INDEX(DATA_PROPERTY_MASTER!$B:$B,MATCH($B44,DATA_PROPERTY_MASTER!$A:$A,0)),"")</f>
        <v/>
      </c>
      <c r="D44" s="399"/>
      <c r="E44" s="399"/>
      <c r="F44" s="404"/>
      <c r="G44" s="404"/>
      <c r="H44" s="399"/>
      <c r="I44" s="399"/>
      <c r="J44" s="399"/>
      <c r="K44" s="399"/>
      <c r="L44" s="399"/>
      <c r="M44" s="399"/>
      <c r="N44" s="399"/>
      <c r="O44" s="399"/>
      <c r="P44" s="399"/>
      <c r="Q44" s="399"/>
      <c r="R44" s="399"/>
      <c r="S44" s="398" t="str">
        <f t="shared" ca="1" si="4"/>
        <v/>
      </c>
      <c r="T44" s="399"/>
      <c r="U44" s="398" t="str">
        <f t="shared" si="5"/>
        <v>Blank</v>
      </c>
    </row>
    <row r="45" spans="1:21">
      <c r="A45" s="398" t="str">
        <f t="shared" si="3"/>
        <v/>
      </c>
      <c r="B45" s="399"/>
      <c r="C45" s="398" t="str">
        <f>IFERROR(INDEX(DATA_PROPERTY_MASTER!$B:$B,MATCH($B45,DATA_PROPERTY_MASTER!$A:$A,0)),"")</f>
        <v/>
      </c>
      <c r="D45" s="399"/>
      <c r="E45" s="399"/>
      <c r="F45" s="404"/>
      <c r="G45" s="404"/>
      <c r="H45" s="399"/>
      <c r="I45" s="399"/>
      <c r="J45" s="399"/>
      <c r="K45" s="399"/>
      <c r="L45" s="399"/>
      <c r="M45" s="399"/>
      <c r="N45" s="399"/>
      <c r="O45" s="399"/>
      <c r="P45" s="399"/>
      <c r="Q45" s="399"/>
      <c r="R45" s="399"/>
      <c r="S45" s="398" t="str">
        <f t="shared" ca="1" si="4"/>
        <v/>
      </c>
      <c r="T45" s="399"/>
      <c r="U45" s="398" t="str">
        <f t="shared" si="5"/>
        <v>Blank</v>
      </c>
    </row>
    <row r="46" spans="1:21">
      <c r="A46" s="398" t="str">
        <f t="shared" si="3"/>
        <v/>
      </c>
      <c r="B46" s="399"/>
      <c r="C46" s="398" t="str">
        <f>IFERROR(INDEX(DATA_PROPERTY_MASTER!$B:$B,MATCH($B46,DATA_PROPERTY_MASTER!$A:$A,0)),"")</f>
        <v/>
      </c>
      <c r="D46" s="399"/>
      <c r="E46" s="399"/>
      <c r="F46" s="404"/>
      <c r="G46" s="404"/>
      <c r="H46" s="399"/>
      <c r="I46" s="399"/>
      <c r="J46" s="399"/>
      <c r="K46" s="399"/>
      <c r="L46" s="399"/>
      <c r="M46" s="399"/>
      <c r="N46" s="399"/>
      <c r="O46" s="399"/>
      <c r="P46" s="399"/>
      <c r="Q46" s="399"/>
      <c r="R46" s="399"/>
      <c r="S46" s="398" t="str">
        <f t="shared" ca="1" si="4"/>
        <v/>
      </c>
      <c r="T46" s="399"/>
      <c r="U46" s="398" t="str">
        <f t="shared" si="5"/>
        <v>Blank</v>
      </c>
    </row>
    <row r="47" spans="1:21">
      <c r="A47" s="398" t="str">
        <f t="shared" si="3"/>
        <v/>
      </c>
      <c r="B47" s="399"/>
      <c r="C47" s="398" t="str">
        <f>IFERROR(INDEX(DATA_PROPERTY_MASTER!$B:$B,MATCH($B47,DATA_PROPERTY_MASTER!$A:$A,0)),"")</f>
        <v/>
      </c>
      <c r="D47" s="399"/>
      <c r="E47" s="399"/>
      <c r="F47" s="404"/>
      <c r="G47" s="404"/>
      <c r="H47" s="399"/>
      <c r="I47" s="399"/>
      <c r="J47" s="399"/>
      <c r="K47" s="399"/>
      <c r="L47" s="399"/>
      <c r="M47" s="399"/>
      <c r="N47" s="399"/>
      <c r="O47" s="399"/>
      <c r="P47" s="399"/>
      <c r="Q47" s="399"/>
      <c r="R47" s="399"/>
      <c r="S47" s="398" t="str">
        <f t="shared" ca="1" si="4"/>
        <v/>
      </c>
      <c r="T47" s="399"/>
      <c r="U47" s="398" t="str">
        <f t="shared" si="5"/>
        <v>Blank</v>
      </c>
    </row>
    <row r="48" spans="1:21">
      <c r="A48" s="398" t="str">
        <f t="shared" si="3"/>
        <v/>
      </c>
      <c r="B48" s="399"/>
      <c r="C48" s="398" t="str">
        <f>IFERROR(INDEX(DATA_PROPERTY_MASTER!$B:$B,MATCH($B48,DATA_PROPERTY_MASTER!$A:$A,0)),"")</f>
        <v/>
      </c>
      <c r="D48" s="399"/>
      <c r="E48" s="399"/>
      <c r="F48" s="404"/>
      <c r="G48" s="404"/>
      <c r="H48" s="399"/>
      <c r="I48" s="399"/>
      <c r="J48" s="399"/>
      <c r="K48" s="399"/>
      <c r="L48" s="399"/>
      <c r="M48" s="399"/>
      <c r="N48" s="399"/>
      <c r="O48" s="399"/>
      <c r="P48" s="399"/>
      <c r="Q48" s="399"/>
      <c r="R48" s="399"/>
      <c r="S48" s="398" t="str">
        <f t="shared" ca="1" si="4"/>
        <v/>
      </c>
      <c r="T48" s="399"/>
      <c r="U48" s="398" t="str">
        <f t="shared" si="5"/>
        <v>Blank</v>
      </c>
    </row>
    <row r="49" spans="1:21">
      <c r="A49" s="398" t="str">
        <f t="shared" si="3"/>
        <v/>
      </c>
      <c r="B49" s="399"/>
      <c r="C49" s="398" t="str">
        <f>IFERROR(INDEX(DATA_PROPERTY_MASTER!$B:$B,MATCH($B49,DATA_PROPERTY_MASTER!$A:$A,0)),"")</f>
        <v/>
      </c>
      <c r="D49" s="399"/>
      <c r="E49" s="399"/>
      <c r="F49" s="404"/>
      <c r="G49" s="404"/>
      <c r="H49" s="399"/>
      <c r="I49" s="399"/>
      <c r="J49" s="399"/>
      <c r="K49" s="399"/>
      <c r="L49" s="399"/>
      <c r="M49" s="399"/>
      <c r="N49" s="399"/>
      <c r="O49" s="399"/>
      <c r="P49" s="399"/>
      <c r="Q49" s="399"/>
      <c r="R49" s="399"/>
      <c r="S49" s="398" t="str">
        <f t="shared" ca="1" si="4"/>
        <v/>
      </c>
      <c r="T49" s="399"/>
      <c r="U49" s="398" t="str">
        <f t="shared" si="5"/>
        <v>Blank</v>
      </c>
    </row>
    <row r="50" spans="1:21">
      <c r="A50" s="398" t="str">
        <f t="shared" si="3"/>
        <v/>
      </c>
      <c r="B50" s="399"/>
      <c r="C50" s="398" t="str">
        <f>IFERROR(INDEX(DATA_PROPERTY_MASTER!$B:$B,MATCH($B50,DATA_PROPERTY_MASTER!$A:$A,0)),"")</f>
        <v/>
      </c>
      <c r="D50" s="399"/>
      <c r="E50" s="399"/>
      <c r="F50" s="404"/>
      <c r="G50" s="404"/>
      <c r="H50" s="399"/>
      <c r="I50" s="399"/>
      <c r="J50" s="399"/>
      <c r="K50" s="399"/>
      <c r="L50" s="399"/>
      <c r="M50" s="399"/>
      <c r="N50" s="399"/>
      <c r="O50" s="399"/>
      <c r="P50" s="399"/>
      <c r="Q50" s="399"/>
      <c r="R50" s="399"/>
      <c r="S50" s="398" t="str">
        <f t="shared" ca="1" si="4"/>
        <v/>
      </c>
      <c r="T50" s="399"/>
      <c r="U50" s="398" t="str">
        <f t="shared" si="5"/>
        <v>Blank</v>
      </c>
    </row>
    <row r="51" spans="1:21">
      <c r="A51" s="398" t="str">
        <f t="shared" si="3"/>
        <v/>
      </c>
      <c r="B51" s="399"/>
      <c r="C51" s="398" t="str">
        <f>IFERROR(INDEX(DATA_PROPERTY_MASTER!$B:$B,MATCH($B51,DATA_PROPERTY_MASTER!$A:$A,0)),"")</f>
        <v/>
      </c>
      <c r="D51" s="399"/>
      <c r="E51" s="399"/>
      <c r="F51" s="404"/>
      <c r="G51" s="404"/>
      <c r="H51" s="399"/>
      <c r="I51" s="399"/>
      <c r="J51" s="399"/>
      <c r="K51" s="399"/>
      <c r="L51" s="399"/>
      <c r="M51" s="399"/>
      <c r="N51" s="399"/>
      <c r="O51" s="399"/>
      <c r="P51" s="399"/>
      <c r="Q51" s="399"/>
      <c r="R51" s="399"/>
      <c r="S51" s="398" t="str">
        <f t="shared" ca="1" si="4"/>
        <v/>
      </c>
      <c r="T51" s="399"/>
      <c r="U51" s="398" t="str">
        <f t="shared" si="5"/>
        <v>Blank</v>
      </c>
    </row>
    <row r="52" spans="1:21">
      <c r="A52" s="398" t="str">
        <f t="shared" si="3"/>
        <v/>
      </c>
      <c r="B52" s="399"/>
      <c r="C52" s="398" t="str">
        <f>IFERROR(INDEX(DATA_PROPERTY_MASTER!$B:$B,MATCH($B52,DATA_PROPERTY_MASTER!$A:$A,0)),"")</f>
        <v/>
      </c>
      <c r="D52" s="399"/>
      <c r="E52" s="399"/>
      <c r="F52" s="404"/>
      <c r="G52" s="404"/>
      <c r="H52" s="399"/>
      <c r="I52" s="399"/>
      <c r="J52" s="399"/>
      <c r="K52" s="399"/>
      <c r="L52" s="399"/>
      <c r="M52" s="399"/>
      <c r="N52" s="399"/>
      <c r="O52" s="399"/>
      <c r="P52" s="399"/>
      <c r="Q52" s="399"/>
      <c r="R52" s="399"/>
      <c r="S52" s="398" t="str">
        <f t="shared" ca="1" si="4"/>
        <v/>
      </c>
      <c r="T52" s="399"/>
      <c r="U52" s="398" t="str">
        <f t="shared" si="5"/>
        <v>Blank</v>
      </c>
    </row>
    <row r="53" spans="1:21">
      <c r="A53" s="398" t="str">
        <f t="shared" si="3"/>
        <v/>
      </c>
      <c r="B53" s="399"/>
      <c r="C53" s="398" t="str">
        <f>IFERROR(INDEX(DATA_PROPERTY_MASTER!$B:$B,MATCH($B53,DATA_PROPERTY_MASTER!$A:$A,0)),"")</f>
        <v/>
      </c>
      <c r="D53" s="399"/>
      <c r="E53" s="399"/>
      <c r="F53" s="404"/>
      <c r="G53" s="404"/>
      <c r="H53" s="399"/>
      <c r="I53" s="399"/>
      <c r="J53" s="399"/>
      <c r="K53" s="399"/>
      <c r="L53" s="399"/>
      <c r="M53" s="399"/>
      <c r="N53" s="399"/>
      <c r="O53" s="399"/>
      <c r="P53" s="399"/>
      <c r="Q53" s="399"/>
      <c r="R53" s="399"/>
      <c r="S53" s="398" t="str">
        <f t="shared" ca="1" si="4"/>
        <v/>
      </c>
      <c r="T53" s="399"/>
      <c r="U53" s="398" t="str">
        <f t="shared" si="5"/>
        <v>Blank</v>
      </c>
    </row>
    <row r="54" spans="1:21">
      <c r="A54" s="398" t="str">
        <f t="shared" si="3"/>
        <v/>
      </c>
      <c r="B54" s="399"/>
      <c r="C54" s="398" t="str">
        <f>IFERROR(INDEX(DATA_PROPERTY_MASTER!$B:$B,MATCH($B54,DATA_PROPERTY_MASTER!$A:$A,0)),"")</f>
        <v/>
      </c>
      <c r="D54" s="399"/>
      <c r="E54" s="399"/>
      <c r="F54" s="404"/>
      <c r="G54" s="404"/>
      <c r="H54" s="399"/>
      <c r="I54" s="399"/>
      <c r="J54" s="399"/>
      <c r="K54" s="399"/>
      <c r="L54" s="399"/>
      <c r="M54" s="399"/>
      <c r="N54" s="399"/>
      <c r="O54" s="399"/>
      <c r="P54" s="399"/>
      <c r="Q54" s="399"/>
      <c r="R54" s="399"/>
      <c r="S54" s="398" t="str">
        <f t="shared" ca="1" si="4"/>
        <v/>
      </c>
      <c r="T54" s="399"/>
      <c r="U54" s="398" t="str">
        <f t="shared" si="5"/>
        <v>Blank</v>
      </c>
    </row>
    <row r="55" spans="1:21">
      <c r="A55" s="398" t="str">
        <f t="shared" si="3"/>
        <v/>
      </c>
      <c r="B55" s="399"/>
      <c r="C55" s="398" t="str">
        <f>IFERROR(INDEX(DATA_PROPERTY_MASTER!$B:$B,MATCH($B55,DATA_PROPERTY_MASTER!$A:$A,0)),"")</f>
        <v/>
      </c>
      <c r="D55" s="399"/>
      <c r="E55" s="399"/>
      <c r="F55" s="404"/>
      <c r="G55" s="404"/>
      <c r="H55" s="399"/>
      <c r="I55" s="399"/>
      <c r="J55" s="399"/>
      <c r="K55" s="399"/>
      <c r="L55" s="399"/>
      <c r="M55" s="399"/>
      <c r="N55" s="399"/>
      <c r="O55" s="399"/>
      <c r="P55" s="399"/>
      <c r="Q55" s="399"/>
      <c r="R55" s="399"/>
      <c r="S55" s="398" t="str">
        <f t="shared" ca="1" si="4"/>
        <v/>
      </c>
      <c r="T55" s="399"/>
      <c r="U55" s="398" t="str">
        <f t="shared" si="5"/>
        <v>Blank</v>
      </c>
    </row>
    <row r="56" spans="1:21">
      <c r="A56" s="398" t="str">
        <f t="shared" si="3"/>
        <v/>
      </c>
      <c r="B56" s="399"/>
      <c r="C56" s="398" t="str">
        <f>IFERROR(INDEX(DATA_PROPERTY_MASTER!$B:$B,MATCH($B56,DATA_PROPERTY_MASTER!$A:$A,0)),"")</f>
        <v/>
      </c>
      <c r="D56" s="399"/>
      <c r="E56" s="399"/>
      <c r="F56" s="404"/>
      <c r="G56" s="404"/>
      <c r="H56" s="399"/>
      <c r="I56" s="399"/>
      <c r="J56" s="399"/>
      <c r="K56" s="399"/>
      <c r="L56" s="399"/>
      <c r="M56" s="399"/>
      <c r="N56" s="399"/>
      <c r="O56" s="399"/>
      <c r="P56" s="399"/>
      <c r="Q56" s="399"/>
      <c r="R56" s="399"/>
      <c r="S56" s="398" t="str">
        <f t="shared" ca="1" si="4"/>
        <v/>
      </c>
      <c r="T56" s="399"/>
      <c r="U56" s="398" t="str">
        <f t="shared" si="5"/>
        <v>Blank</v>
      </c>
    </row>
    <row r="57" spans="1:21">
      <c r="A57" s="398" t="str">
        <f t="shared" si="3"/>
        <v/>
      </c>
      <c r="B57" s="399"/>
      <c r="C57" s="398" t="str">
        <f>IFERROR(INDEX(DATA_PROPERTY_MASTER!$B:$B,MATCH($B57,DATA_PROPERTY_MASTER!$A:$A,0)),"")</f>
        <v/>
      </c>
      <c r="D57" s="399"/>
      <c r="E57" s="399"/>
      <c r="F57" s="404"/>
      <c r="G57" s="404"/>
      <c r="H57" s="399"/>
      <c r="I57" s="399"/>
      <c r="J57" s="399"/>
      <c r="K57" s="399"/>
      <c r="L57" s="399"/>
      <c r="M57" s="399"/>
      <c r="N57" s="399"/>
      <c r="O57" s="399"/>
      <c r="P57" s="399"/>
      <c r="Q57" s="399"/>
      <c r="R57" s="399"/>
      <c r="S57" s="398" t="str">
        <f t="shared" ca="1" si="4"/>
        <v/>
      </c>
      <c r="T57" s="399"/>
      <c r="U57" s="398" t="str">
        <f t="shared" si="5"/>
        <v>Blank</v>
      </c>
    </row>
    <row r="58" spans="1:21">
      <c r="A58" s="398" t="str">
        <f t="shared" si="3"/>
        <v/>
      </c>
      <c r="B58" s="399"/>
      <c r="C58" s="398" t="str">
        <f>IFERROR(INDEX(DATA_PROPERTY_MASTER!$B:$B,MATCH($B58,DATA_PROPERTY_MASTER!$A:$A,0)),"")</f>
        <v/>
      </c>
      <c r="D58" s="399"/>
      <c r="E58" s="399"/>
      <c r="F58" s="404"/>
      <c r="G58" s="404"/>
      <c r="H58" s="399"/>
      <c r="I58" s="399"/>
      <c r="J58" s="399"/>
      <c r="K58" s="399"/>
      <c r="L58" s="399"/>
      <c r="M58" s="399"/>
      <c r="N58" s="399"/>
      <c r="O58" s="399"/>
      <c r="P58" s="399"/>
      <c r="Q58" s="399"/>
      <c r="R58" s="399"/>
      <c r="S58" s="398" t="str">
        <f t="shared" ca="1" si="4"/>
        <v/>
      </c>
      <c r="T58" s="399"/>
      <c r="U58" s="398" t="str">
        <f t="shared" si="5"/>
        <v>Blank</v>
      </c>
    </row>
    <row r="59" spans="1:21">
      <c r="A59" s="398" t="str">
        <f t="shared" si="3"/>
        <v/>
      </c>
      <c r="B59" s="399"/>
      <c r="C59" s="398" t="str">
        <f>IFERROR(INDEX(DATA_PROPERTY_MASTER!$B:$B,MATCH($B59,DATA_PROPERTY_MASTER!$A:$A,0)),"")</f>
        <v/>
      </c>
      <c r="D59" s="399"/>
      <c r="E59" s="399"/>
      <c r="F59" s="404"/>
      <c r="G59" s="404"/>
      <c r="H59" s="399"/>
      <c r="I59" s="399"/>
      <c r="J59" s="399"/>
      <c r="K59" s="399"/>
      <c r="L59" s="399"/>
      <c r="M59" s="399"/>
      <c r="N59" s="399"/>
      <c r="O59" s="399"/>
      <c r="P59" s="399"/>
      <c r="Q59" s="399"/>
      <c r="R59" s="399"/>
      <c r="S59" s="398" t="str">
        <f t="shared" ca="1" si="4"/>
        <v/>
      </c>
      <c r="T59" s="399"/>
      <c r="U59" s="398" t="str">
        <f t="shared" si="5"/>
        <v>Blank</v>
      </c>
    </row>
    <row r="60" spans="1:21">
      <c r="A60" s="398" t="str">
        <f t="shared" si="3"/>
        <v/>
      </c>
      <c r="B60" s="399"/>
      <c r="C60" s="398" t="str">
        <f>IFERROR(INDEX(DATA_PROPERTY_MASTER!$B:$B,MATCH($B60,DATA_PROPERTY_MASTER!$A:$A,0)),"")</f>
        <v/>
      </c>
      <c r="D60" s="399"/>
      <c r="E60" s="399"/>
      <c r="F60" s="404"/>
      <c r="G60" s="404"/>
      <c r="H60" s="399"/>
      <c r="I60" s="399"/>
      <c r="J60" s="399"/>
      <c r="K60" s="399"/>
      <c r="L60" s="399"/>
      <c r="M60" s="399"/>
      <c r="N60" s="399"/>
      <c r="O60" s="399"/>
      <c r="P60" s="399"/>
      <c r="Q60" s="399"/>
      <c r="R60" s="399"/>
      <c r="S60" s="398" t="str">
        <f t="shared" ca="1" si="4"/>
        <v/>
      </c>
      <c r="T60" s="399"/>
      <c r="U60" s="398" t="str">
        <f t="shared" si="5"/>
        <v>Blank</v>
      </c>
    </row>
    <row r="61" spans="1:21">
      <c r="A61" s="398" t="str">
        <f t="shared" si="3"/>
        <v/>
      </c>
      <c r="B61" s="399"/>
      <c r="C61" s="398" t="str">
        <f>IFERROR(INDEX(DATA_PROPERTY_MASTER!$B:$B,MATCH($B61,DATA_PROPERTY_MASTER!$A:$A,0)),"")</f>
        <v/>
      </c>
      <c r="D61" s="399"/>
      <c r="E61" s="399"/>
      <c r="F61" s="404"/>
      <c r="G61" s="404"/>
      <c r="H61" s="399"/>
      <c r="I61" s="399"/>
      <c r="J61" s="399"/>
      <c r="K61" s="399"/>
      <c r="L61" s="399"/>
      <c r="M61" s="399"/>
      <c r="N61" s="399"/>
      <c r="O61" s="399"/>
      <c r="P61" s="399"/>
      <c r="Q61" s="399"/>
      <c r="R61" s="399"/>
      <c r="S61" s="398" t="str">
        <f t="shared" ca="1" si="4"/>
        <v/>
      </c>
      <c r="T61" s="399"/>
      <c r="U61" s="398" t="str">
        <f t="shared" si="5"/>
        <v>Blank</v>
      </c>
    </row>
    <row r="62" spans="1:21">
      <c r="A62" s="398" t="str">
        <f t="shared" si="3"/>
        <v/>
      </c>
      <c r="B62" s="399"/>
      <c r="C62" s="398" t="str">
        <f>IFERROR(INDEX(DATA_PROPERTY_MASTER!$B:$B,MATCH($B62,DATA_PROPERTY_MASTER!$A:$A,0)),"")</f>
        <v/>
      </c>
      <c r="D62" s="399"/>
      <c r="E62" s="399"/>
      <c r="F62" s="404"/>
      <c r="G62" s="404"/>
      <c r="H62" s="399"/>
      <c r="I62" s="399"/>
      <c r="J62" s="399"/>
      <c r="K62" s="399"/>
      <c r="L62" s="399"/>
      <c r="M62" s="399"/>
      <c r="N62" s="399"/>
      <c r="O62" s="399"/>
      <c r="P62" s="399"/>
      <c r="Q62" s="399"/>
      <c r="R62" s="399"/>
      <c r="S62" s="398" t="str">
        <f t="shared" ca="1" si="4"/>
        <v/>
      </c>
      <c r="T62" s="399"/>
      <c r="U62" s="398" t="str">
        <f t="shared" si="5"/>
        <v>Blank</v>
      </c>
    </row>
    <row r="63" spans="1:21">
      <c r="A63" s="398" t="str">
        <f t="shared" si="3"/>
        <v/>
      </c>
      <c r="B63" s="399"/>
      <c r="C63" s="398" t="str">
        <f>IFERROR(INDEX(DATA_PROPERTY_MASTER!$B:$B,MATCH($B63,DATA_PROPERTY_MASTER!$A:$A,0)),"")</f>
        <v/>
      </c>
      <c r="D63" s="399"/>
      <c r="E63" s="399"/>
      <c r="F63" s="404"/>
      <c r="G63" s="404"/>
      <c r="H63" s="399"/>
      <c r="I63" s="399"/>
      <c r="J63" s="399"/>
      <c r="K63" s="399"/>
      <c r="L63" s="399"/>
      <c r="M63" s="399"/>
      <c r="N63" s="399"/>
      <c r="O63" s="399"/>
      <c r="P63" s="399"/>
      <c r="Q63" s="399"/>
      <c r="R63" s="399"/>
      <c r="S63" s="398" t="str">
        <f t="shared" ca="1" si="4"/>
        <v/>
      </c>
      <c r="T63" s="399"/>
      <c r="U63" s="398" t="str">
        <f t="shared" si="5"/>
        <v>Blank</v>
      </c>
    </row>
    <row r="64" spans="1:21">
      <c r="A64" s="398" t="str">
        <f t="shared" si="3"/>
        <v/>
      </c>
      <c r="B64" s="399"/>
      <c r="C64" s="398" t="str">
        <f>IFERROR(INDEX(DATA_PROPERTY_MASTER!$B:$B,MATCH($B64,DATA_PROPERTY_MASTER!$A:$A,0)),"")</f>
        <v/>
      </c>
      <c r="D64" s="399"/>
      <c r="E64" s="399"/>
      <c r="F64" s="404"/>
      <c r="G64" s="404"/>
      <c r="H64" s="399"/>
      <c r="I64" s="399"/>
      <c r="J64" s="399"/>
      <c r="K64" s="399"/>
      <c r="L64" s="399"/>
      <c r="M64" s="399"/>
      <c r="N64" s="399"/>
      <c r="O64" s="399"/>
      <c r="P64" s="399"/>
      <c r="Q64" s="399"/>
      <c r="R64" s="399"/>
      <c r="S64" s="398" t="str">
        <f t="shared" ca="1" si="4"/>
        <v/>
      </c>
      <c r="T64" s="399"/>
      <c r="U64" s="398" t="str">
        <f t="shared" si="5"/>
        <v>Blank</v>
      </c>
    </row>
    <row r="65" spans="1:21">
      <c r="A65" s="398" t="str">
        <f t="shared" si="3"/>
        <v/>
      </c>
      <c r="B65" s="399"/>
      <c r="C65" s="398" t="str">
        <f>IFERROR(INDEX(DATA_PROPERTY_MASTER!$B:$B,MATCH($B65,DATA_PROPERTY_MASTER!$A:$A,0)),"")</f>
        <v/>
      </c>
      <c r="D65" s="399"/>
      <c r="E65" s="399"/>
      <c r="F65" s="404"/>
      <c r="G65" s="404"/>
      <c r="H65" s="399"/>
      <c r="I65" s="399"/>
      <c r="J65" s="399"/>
      <c r="K65" s="399"/>
      <c r="L65" s="399"/>
      <c r="M65" s="399"/>
      <c r="N65" s="399"/>
      <c r="O65" s="399"/>
      <c r="P65" s="399"/>
      <c r="Q65" s="399"/>
      <c r="R65" s="399"/>
      <c r="S65" s="398" t="str">
        <f t="shared" ca="1" si="4"/>
        <v/>
      </c>
      <c r="T65" s="399"/>
      <c r="U65" s="398" t="str">
        <f t="shared" si="5"/>
        <v>Blank</v>
      </c>
    </row>
    <row r="66" spans="1:21">
      <c r="A66" s="398" t="str">
        <f t="shared" si="3"/>
        <v/>
      </c>
      <c r="B66" s="399"/>
      <c r="C66" s="398" t="str">
        <f>IFERROR(INDEX(DATA_PROPERTY_MASTER!$B:$B,MATCH($B66,DATA_PROPERTY_MASTER!$A:$A,0)),"")</f>
        <v/>
      </c>
      <c r="D66" s="399"/>
      <c r="E66" s="399"/>
      <c r="F66" s="404"/>
      <c r="G66" s="404"/>
      <c r="H66" s="399"/>
      <c r="I66" s="399"/>
      <c r="J66" s="399"/>
      <c r="K66" s="399"/>
      <c r="L66" s="399"/>
      <c r="M66" s="399"/>
      <c r="N66" s="399"/>
      <c r="O66" s="399"/>
      <c r="P66" s="399"/>
      <c r="Q66" s="399"/>
      <c r="R66" s="399"/>
      <c r="S66" s="398" t="str">
        <f t="shared" ca="1" si="4"/>
        <v/>
      </c>
      <c r="T66" s="399"/>
      <c r="U66" s="398" t="str">
        <f t="shared" si="5"/>
        <v>Blank</v>
      </c>
    </row>
    <row r="67" spans="1:21">
      <c r="A67" s="398" t="str">
        <f t="shared" si="3"/>
        <v/>
      </c>
      <c r="B67" s="399"/>
      <c r="C67" s="398" t="str">
        <f>IFERROR(INDEX(DATA_PROPERTY_MASTER!$B:$B,MATCH($B67,DATA_PROPERTY_MASTER!$A:$A,0)),"")</f>
        <v/>
      </c>
      <c r="D67" s="399"/>
      <c r="E67" s="399"/>
      <c r="F67" s="404"/>
      <c r="G67" s="404"/>
      <c r="H67" s="399"/>
      <c r="I67" s="399"/>
      <c r="J67" s="399"/>
      <c r="K67" s="399"/>
      <c r="L67" s="399"/>
      <c r="M67" s="399"/>
      <c r="N67" s="399"/>
      <c r="O67" s="399"/>
      <c r="P67" s="399"/>
      <c r="Q67" s="399"/>
      <c r="R67" s="399"/>
      <c r="S67" s="398" t="str">
        <f t="shared" ca="1" si="4"/>
        <v/>
      </c>
      <c r="T67" s="399"/>
      <c r="U67" s="398" t="str">
        <f t="shared" si="5"/>
        <v>Blank</v>
      </c>
    </row>
    <row r="68" spans="1:21">
      <c r="A68" s="398" t="str">
        <f t="shared" si="3"/>
        <v/>
      </c>
      <c r="B68" s="399"/>
      <c r="C68" s="398" t="str">
        <f>IFERROR(INDEX(DATA_PROPERTY_MASTER!$B:$B,MATCH($B68,DATA_PROPERTY_MASTER!$A:$A,0)),"")</f>
        <v/>
      </c>
      <c r="D68" s="399"/>
      <c r="E68" s="399"/>
      <c r="F68" s="404"/>
      <c r="G68" s="404"/>
      <c r="H68" s="399"/>
      <c r="I68" s="399"/>
      <c r="J68" s="399"/>
      <c r="K68" s="399"/>
      <c r="L68" s="399"/>
      <c r="M68" s="399"/>
      <c r="N68" s="399"/>
      <c r="O68" s="399"/>
      <c r="P68" s="399"/>
      <c r="Q68" s="399"/>
      <c r="R68" s="399"/>
      <c r="S68" s="398" t="str">
        <f t="shared" ca="1" si="4"/>
        <v/>
      </c>
      <c r="T68" s="399"/>
      <c r="U68" s="398" t="str">
        <f t="shared" si="5"/>
        <v>Blank</v>
      </c>
    </row>
    <row r="69" spans="1:21">
      <c r="A69" s="398" t="str">
        <f t="shared" si="3"/>
        <v/>
      </c>
      <c r="B69" s="399"/>
      <c r="C69" s="398" t="str">
        <f>IFERROR(INDEX(DATA_PROPERTY_MASTER!$B:$B,MATCH($B69,DATA_PROPERTY_MASTER!$A:$A,0)),"")</f>
        <v/>
      </c>
      <c r="D69" s="399"/>
      <c r="E69" s="399"/>
      <c r="F69" s="404"/>
      <c r="G69" s="404"/>
      <c r="H69" s="399"/>
      <c r="I69" s="399"/>
      <c r="J69" s="399"/>
      <c r="K69" s="399"/>
      <c r="L69" s="399"/>
      <c r="M69" s="399"/>
      <c r="N69" s="399"/>
      <c r="O69" s="399"/>
      <c r="P69" s="399"/>
      <c r="Q69" s="399"/>
      <c r="R69" s="399"/>
      <c r="S69" s="398" t="str">
        <f t="shared" ca="1" si="4"/>
        <v/>
      </c>
      <c r="T69" s="399"/>
      <c r="U69" s="398" t="str">
        <f t="shared" si="5"/>
        <v>Blank</v>
      </c>
    </row>
    <row r="70" spans="1:21">
      <c r="A70" s="398" t="str">
        <f t="shared" si="3"/>
        <v/>
      </c>
      <c r="B70" s="399"/>
      <c r="C70" s="398" t="str">
        <f>IFERROR(INDEX(DATA_PROPERTY_MASTER!$B:$B,MATCH($B70,DATA_PROPERTY_MASTER!$A:$A,0)),"")</f>
        <v/>
      </c>
      <c r="D70" s="399"/>
      <c r="E70" s="399"/>
      <c r="F70" s="404"/>
      <c r="G70" s="404"/>
      <c r="H70" s="399"/>
      <c r="I70" s="399"/>
      <c r="J70" s="399"/>
      <c r="K70" s="399"/>
      <c r="L70" s="399"/>
      <c r="M70" s="399"/>
      <c r="N70" s="399"/>
      <c r="O70" s="399"/>
      <c r="P70" s="399"/>
      <c r="Q70" s="399"/>
      <c r="R70" s="399"/>
      <c r="S70" s="398" t="str">
        <f t="shared" ca="1" si="4"/>
        <v/>
      </c>
      <c r="T70" s="399"/>
      <c r="U70" s="398" t="str">
        <f t="shared" si="5"/>
        <v>Blank</v>
      </c>
    </row>
    <row r="71" spans="1:21">
      <c r="A71" s="398" t="str">
        <f t="shared" ref="A71:A102" si="6">IF($B71="","","AGR-"&amp;TEXT(ROW()-6,"0000"))</f>
        <v/>
      </c>
      <c r="B71" s="399"/>
      <c r="C71" s="398" t="str">
        <f>IFERROR(INDEX(DATA_PROPERTY_MASTER!$B:$B,MATCH($B71,DATA_PROPERTY_MASTER!$A:$A,0)),"")</f>
        <v/>
      </c>
      <c r="D71" s="399"/>
      <c r="E71" s="399"/>
      <c r="F71" s="404"/>
      <c r="G71" s="404"/>
      <c r="H71" s="399"/>
      <c r="I71" s="399"/>
      <c r="J71" s="399"/>
      <c r="K71" s="399"/>
      <c r="L71" s="399"/>
      <c r="M71" s="399"/>
      <c r="N71" s="399"/>
      <c r="O71" s="399"/>
      <c r="P71" s="399"/>
      <c r="Q71" s="399"/>
      <c r="R71" s="399"/>
      <c r="S71" s="398" t="str">
        <f t="shared" ref="S71:S102" ca="1" si="7">IF($B71="","",IF($G71="","No end date",IF($G71&lt;TODAY(),"Expired / Review","Active / Future")))</f>
        <v/>
      </c>
      <c r="T71" s="399"/>
      <c r="U71" s="398" t="str">
        <f t="shared" ref="U71:U102" si="8">IF($B71="","Blank",IF(OR($D71="",$H71=""),"Review","OK"))</f>
        <v>Blank</v>
      </c>
    </row>
    <row r="72" spans="1:21">
      <c r="A72" s="398" t="str">
        <f t="shared" si="6"/>
        <v/>
      </c>
      <c r="B72" s="399"/>
      <c r="C72" s="398" t="str">
        <f>IFERROR(INDEX(DATA_PROPERTY_MASTER!$B:$B,MATCH($B72,DATA_PROPERTY_MASTER!$A:$A,0)),"")</f>
        <v/>
      </c>
      <c r="D72" s="399"/>
      <c r="E72" s="399"/>
      <c r="F72" s="404"/>
      <c r="G72" s="404"/>
      <c r="H72" s="399"/>
      <c r="I72" s="399"/>
      <c r="J72" s="399"/>
      <c r="K72" s="399"/>
      <c r="L72" s="399"/>
      <c r="M72" s="399"/>
      <c r="N72" s="399"/>
      <c r="O72" s="399"/>
      <c r="P72" s="399"/>
      <c r="Q72" s="399"/>
      <c r="R72" s="399"/>
      <c r="S72" s="398" t="str">
        <f t="shared" ca="1" si="7"/>
        <v/>
      </c>
      <c r="T72" s="399"/>
      <c r="U72" s="398" t="str">
        <f t="shared" si="8"/>
        <v>Blank</v>
      </c>
    </row>
    <row r="73" spans="1:21">
      <c r="A73" s="398" t="str">
        <f t="shared" si="6"/>
        <v/>
      </c>
      <c r="B73" s="399"/>
      <c r="C73" s="398" t="str">
        <f>IFERROR(INDEX(DATA_PROPERTY_MASTER!$B:$B,MATCH($B73,DATA_PROPERTY_MASTER!$A:$A,0)),"")</f>
        <v/>
      </c>
      <c r="D73" s="399"/>
      <c r="E73" s="399"/>
      <c r="F73" s="404"/>
      <c r="G73" s="404"/>
      <c r="H73" s="399"/>
      <c r="I73" s="399"/>
      <c r="J73" s="399"/>
      <c r="K73" s="399"/>
      <c r="L73" s="399"/>
      <c r="M73" s="399"/>
      <c r="N73" s="399"/>
      <c r="O73" s="399"/>
      <c r="P73" s="399"/>
      <c r="Q73" s="399"/>
      <c r="R73" s="399"/>
      <c r="S73" s="398" t="str">
        <f t="shared" ca="1" si="7"/>
        <v/>
      </c>
      <c r="T73" s="399"/>
      <c r="U73" s="398" t="str">
        <f t="shared" si="8"/>
        <v>Blank</v>
      </c>
    </row>
    <row r="74" spans="1:21">
      <c r="A74" s="398" t="str">
        <f t="shared" si="6"/>
        <v/>
      </c>
      <c r="B74" s="399"/>
      <c r="C74" s="398" t="str">
        <f>IFERROR(INDEX(DATA_PROPERTY_MASTER!$B:$B,MATCH($B74,DATA_PROPERTY_MASTER!$A:$A,0)),"")</f>
        <v/>
      </c>
      <c r="D74" s="399"/>
      <c r="E74" s="399"/>
      <c r="F74" s="404"/>
      <c r="G74" s="404"/>
      <c r="H74" s="399"/>
      <c r="I74" s="399"/>
      <c r="J74" s="399"/>
      <c r="K74" s="399"/>
      <c r="L74" s="399"/>
      <c r="M74" s="399"/>
      <c r="N74" s="399"/>
      <c r="O74" s="399"/>
      <c r="P74" s="399"/>
      <c r="Q74" s="399"/>
      <c r="R74" s="399"/>
      <c r="S74" s="398" t="str">
        <f t="shared" ca="1" si="7"/>
        <v/>
      </c>
      <c r="T74" s="399"/>
      <c r="U74" s="398" t="str">
        <f t="shared" si="8"/>
        <v>Blank</v>
      </c>
    </row>
    <row r="75" spans="1:21">
      <c r="A75" s="398" t="str">
        <f t="shared" si="6"/>
        <v/>
      </c>
      <c r="B75" s="399"/>
      <c r="C75" s="398" t="str">
        <f>IFERROR(INDEX(DATA_PROPERTY_MASTER!$B:$B,MATCH($B75,DATA_PROPERTY_MASTER!$A:$A,0)),"")</f>
        <v/>
      </c>
      <c r="D75" s="399"/>
      <c r="E75" s="399"/>
      <c r="F75" s="404"/>
      <c r="G75" s="404"/>
      <c r="H75" s="399"/>
      <c r="I75" s="399"/>
      <c r="J75" s="399"/>
      <c r="K75" s="399"/>
      <c r="L75" s="399"/>
      <c r="M75" s="399"/>
      <c r="N75" s="399"/>
      <c r="O75" s="399"/>
      <c r="P75" s="399"/>
      <c r="Q75" s="399"/>
      <c r="R75" s="399"/>
      <c r="S75" s="398" t="str">
        <f t="shared" ca="1" si="7"/>
        <v/>
      </c>
      <c r="T75" s="399"/>
      <c r="U75" s="398" t="str">
        <f t="shared" si="8"/>
        <v>Blank</v>
      </c>
    </row>
    <row r="76" spans="1:21">
      <c r="A76" s="398" t="str">
        <f t="shared" si="6"/>
        <v/>
      </c>
      <c r="B76" s="399"/>
      <c r="C76" s="398" t="str">
        <f>IFERROR(INDEX(DATA_PROPERTY_MASTER!$B:$B,MATCH($B76,DATA_PROPERTY_MASTER!$A:$A,0)),"")</f>
        <v/>
      </c>
      <c r="D76" s="399"/>
      <c r="E76" s="399"/>
      <c r="F76" s="404"/>
      <c r="G76" s="404"/>
      <c r="H76" s="399"/>
      <c r="I76" s="399"/>
      <c r="J76" s="399"/>
      <c r="K76" s="399"/>
      <c r="L76" s="399"/>
      <c r="M76" s="399"/>
      <c r="N76" s="399"/>
      <c r="O76" s="399"/>
      <c r="P76" s="399"/>
      <c r="Q76" s="399"/>
      <c r="R76" s="399"/>
      <c r="S76" s="398" t="str">
        <f t="shared" ca="1" si="7"/>
        <v/>
      </c>
      <c r="T76" s="399"/>
      <c r="U76" s="398" t="str">
        <f t="shared" si="8"/>
        <v>Blank</v>
      </c>
    </row>
    <row r="77" spans="1:21">
      <c r="A77" s="398" t="str">
        <f t="shared" si="6"/>
        <v/>
      </c>
      <c r="B77" s="399"/>
      <c r="C77" s="398" t="str">
        <f>IFERROR(INDEX(DATA_PROPERTY_MASTER!$B:$B,MATCH($B77,DATA_PROPERTY_MASTER!$A:$A,0)),"")</f>
        <v/>
      </c>
      <c r="D77" s="399"/>
      <c r="E77" s="399"/>
      <c r="F77" s="404"/>
      <c r="G77" s="404"/>
      <c r="H77" s="399"/>
      <c r="I77" s="399"/>
      <c r="J77" s="399"/>
      <c r="K77" s="399"/>
      <c r="L77" s="399"/>
      <c r="M77" s="399"/>
      <c r="N77" s="399"/>
      <c r="O77" s="399"/>
      <c r="P77" s="399"/>
      <c r="Q77" s="399"/>
      <c r="R77" s="399"/>
      <c r="S77" s="398" t="str">
        <f t="shared" ca="1" si="7"/>
        <v/>
      </c>
      <c r="T77" s="399"/>
      <c r="U77" s="398" t="str">
        <f t="shared" si="8"/>
        <v>Blank</v>
      </c>
    </row>
    <row r="78" spans="1:21">
      <c r="A78" s="398" t="str">
        <f t="shared" si="6"/>
        <v/>
      </c>
      <c r="B78" s="399"/>
      <c r="C78" s="398" t="str">
        <f>IFERROR(INDEX(DATA_PROPERTY_MASTER!$B:$B,MATCH($B78,DATA_PROPERTY_MASTER!$A:$A,0)),"")</f>
        <v/>
      </c>
      <c r="D78" s="399"/>
      <c r="E78" s="399"/>
      <c r="F78" s="404"/>
      <c r="G78" s="404"/>
      <c r="H78" s="399"/>
      <c r="I78" s="399"/>
      <c r="J78" s="399"/>
      <c r="K78" s="399"/>
      <c r="L78" s="399"/>
      <c r="M78" s="399"/>
      <c r="N78" s="399"/>
      <c r="O78" s="399"/>
      <c r="P78" s="399"/>
      <c r="Q78" s="399"/>
      <c r="R78" s="399"/>
      <c r="S78" s="398" t="str">
        <f t="shared" ca="1" si="7"/>
        <v/>
      </c>
      <c r="T78" s="399"/>
      <c r="U78" s="398" t="str">
        <f t="shared" si="8"/>
        <v>Blank</v>
      </c>
    </row>
    <row r="79" spans="1:21">
      <c r="A79" s="398" t="str">
        <f t="shared" si="6"/>
        <v/>
      </c>
      <c r="B79" s="399"/>
      <c r="C79" s="398" t="str">
        <f>IFERROR(INDEX(DATA_PROPERTY_MASTER!$B:$B,MATCH($B79,DATA_PROPERTY_MASTER!$A:$A,0)),"")</f>
        <v/>
      </c>
      <c r="D79" s="399"/>
      <c r="E79" s="399"/>
      <c r="F79" s="404"/>
      <c r="G79" s="404"/>
      <c r="H79" s="399"/>
      <c r="I79" s="399"/>
      <c r="J79" s="399"/>
      <c r="K79" s="399"/>
      <c r="L79" s="399"/>
      <c r="M79" s="399"/>
      <c r="N79" s="399"/>
      <c r="O79" s="399"/>
      <c r="P79" s="399"/>
      <c r="Q79" s="399"/>
      <c r="R79" s="399"/>
      <c r="S79" s="398" t="str">
        <f t="shared" ca="1" si="7"/>
        <v/>
      </c>
      <c r="T79" s="399"/>
      <c r="U79" s="398" t="str">
        <f t="shared" si="8"/>
        <v>Blank</v>
      </c>
    </row>
    <row r="80" spans="1:21">
      <c r="A80" s="398" t="str">
        <f t="shared" si="6"/>
        <v/>
      </c>
      <c r="B80" s="399"/>
      <c r="C80" s="398" t="str">
        <f>IFERROR(INDEX(DATA_PROPERTY_MASTER!$B:$B,MATCH($B80,DATA_PROPERTY_MASTER!$A:$A,0)),"")</f>
        <v/>
      </c>
      <c r="D80" s="399"/>
      <c r="E80" s="399"/>
      <c r="F80" s="404"/>
      <c r="G80" s="404"/>
      <c r="H80" s="399"/>
      <c r="I80" s="399"/>
      <c r="J80" s="399"/>
      <c r="K80" s="399"/>
      <c r="L80" s="399"/>
      <c r="M80" s="399"/>
      <c r="N80" s="399"/>
      <c r="O80" s="399"/>
      <c r="P80" s="399"/>
      <c r="Q80" s="399"/>
      <c r="R80" s="399"/>
      <c r="S80" s="398" t="str">
        <f t="shared" ca="1" si="7"/>
        <v/>
      </c>
      <c r="T80" s="399"/>
      <c r="U80" s="398" t="str">
        <f t="shared" si="8"/>
        <v>Blank</v>
      </c>
    </row>
    <row r="81" spans="1:21">
      <c r="A81" s="398" t="str">
        <f t="shared" si="6"/>
        <v/>
      </c>
      <c r="B81" s="399"/>
      <c r="C81" s="398" t="str">
        <f>IFERROR(INDEX(DATA_PROPERTY_MASTER!$B:$B,MATCH($B81,DATA_PROPERTY_MASTER!$A:$A,0)),"")</f>
        <v/>
      </c>
      <c r="D81" s="399"/>
      <c r="E81" s="399"/>
      <c r="F81" s="404"/>
      <c r="G81" s="404"/>
      <c r="H81" s="399"/>
      <c r="I81" s="399"/>
      <c r="J81" s="399"/>
      <c r="K81" s="399"/>
      <c r="L81" s="399"/>
      <c r="M81" s="399"/>
      <c r="N81" s="399"/>
      <c r="O81" s="399"/>
      <c r="P81" s="399"/>
      <c r="Q81" s="399"/>
      <c r="R81" s="399"/>
      <c r="S81" s="398" t="str">
        <f t="shared" ca="1" si="7"/>
        <v/>
      </c>
      <c r="T81" s="399"/>
      <c r="U81" s="398" t="str">
        <f t="shared" si="8"/>
        <v>Blank</v>
      </c>
    </row>
    <row r="82" spans="1:21">
      <c r="A82" s="398" t="str">
        <f t="shared" si="6"/>
        <v/>
      </c>
      <c r="B82" s="399"/>
      <c r="C82" s="398" t="str">
        <f>IFERROR(INDEX(DATA_PROPERTY_MASTER!$B:$B,MATCH($B82,DATA_PROPERTY_MASTER!$A:$A,0)),"")</f>
        <v/>
      </c>
      <c r="D82" s="399"/>
      <c r="E82" s="399"/>
      <c r="F82" s="404"/>
      <c r="G82" s="404"/>
      <c r="H82" s="399"/>
      <c r="I82" s="399"/>
      <c r="J82" s="399"/>
      <c r="K82" s="399"/>
      <c r="L82" s="399"/>
      <c r="M82" s="399"/>
      <c r="N82" s="399"/>
      <c r="O82" s="399"/>
      <c r="P82" s="399"/>
      <c r="Q82" s="399"/>
      <c r="R82" s="399"/>
      <c r="S82" s="398" t="str">
        <f t="shared" ca="1" si="7"/>
        <v/>
      </c>
      <c r="T82" s="399"/>
      <c r="U82" s="398" t="str">
        <f t="shared" si="8"/>
        <v>Blank</v>
      </c>
    </row>
    <row r="83" spans="1:21">
      <c r="A83" s="398" t="str">
        <f t="shared" si="6"/>
        <v/>
      </c>
      <c r="B83" s="399"/>
      <c r="C83" s="398" t="str">
        <f>IFERROR(INDEX(DATA_PROPERTY_MASTER!$B:$B,MATCH($B83,DATA_PROPERTY_MASTER!$A:$A,0)),"")</f>
        <v/>
      </c>
      <c r="D83" s="399"/>
      <c r="E83" s="399"/>
      <c r="F83" s="404"/>
      <c r="G83" s="404"/>
      <c r="H83" s="399"/>
      <c r="I83" s="399"/>
      <c r="J83" s="399"/>
      <c r="K83" s="399"/>
      <c r="L83" s="399"/>
      <c r="M83" s="399"/>
      <c r="N83" s="399"/>
      <c r="O83" s="399"/>
      <c r="P83" s="399"/>
      <c r="Q83" s="399"/>
      <c r="R83" s="399"/>
      <c r="S83" s="398" t="str">
        <f t="shared" ca="1" si="7"/>
        <v/>
      </c>
      <c r="T83" s="399"/>
      <c r="U83" s="398" t="str">
        <f t="shared" si="8"/>
        <v>Blank</v>
      </c>
    </row>
    <row r="84" spans="1:21">
      <c r="A84" s="398" t="str">
        <f t="shared" si="6"/>
        <v/>
      </c>
      <c r="B84" s="399"/>
      <c r="C84" s="398" t="str">
        <f>IFERROR(INDEX(DATA_PROPERTY_MASTER!$B:$B,MATCH($B84,DATA_PROPERTY_MASTER!$A:$A,0)),"")</f>
        <v/>
      </c>
      <c r="D84" s="399"/>
      <c r="E84" s="399"/>
      <c r="F84" s="404"/>
      <c r="G84" s="404"/>
      <c r="H84" s="399"/>
      <c r="I84" s="399"/>
      <c r="J84" s="399"/>
      <c r="K84" s="399"/>
      <c r="L84" s="399"/>
      <c r="M84" s="399"/>
      <c r="N84" s="399"/>
      <c r="O84" s="399"/>
      <c r="P84" s="399"/>
      <c r="Q84" s="399"/>
      <c r="R84" s="399"/>
      <c r="S84" s="398" t="str">
        <f t="shared" ca="1" si="7"/>
        <v/>
      </c>
      <c r="T84" s="399"/>
      <c r="U84" s="398" t="str">
        <f t="shared" si="8"/>
        <v>Blank</v>
      </c>
    </row>
    <row r="85" spans="1:21">
      <c r="A85" s="398" t="str">
        <f t="shared" si="6"/>
        <v/>
      </c>
      <c r="B85" s="399"/>
      <c r="C85" s="398" t="str">
        <f>IFERROR(INDEX(DATA_PROPERTY_MASTER!$B:$B,MATCH($B85,DATA_PROPERTY_MASTER!$A:$A,0)),"")</f>
        <v/>
      </c>
      <c r="D85" s="399"/>
      <c r="E85" s="399"/>
      <c r="F85" s="404"/>
      <c r="G85" s="404"/>
      <c r="H85" s="399"/>
      <c r="I85" s="399"/>
      <c r="J85" s="399"/>
      <c r="K85" s="399"/>
      <c r="L85" s="399"/>
      <c r="M85" s="399"/>
      <c r="N85" s="399"/>
      <c r="O85" s="399"/>
      <c r="P85" s="399"/>
      <c r="Q85" s="399"/>
      <c r="R85" s="399"/>
      <c r="S85" s="398" t="str">
        <f t="shared" ca="1" si="7"/>
        <v/>
      </c>
      <c r="T85" s="399"/>
      <c r="U85" s="398" t="str">
        <f t="shared" si="8"/>
        <v>Blank</v>
      </c>
    </row>
    <row r="86" spans="1:21">
      <c r="A86" s="398" t="str">
        <f t="shared" si="6"/>
        <v/>
      </c>
      <c r="B86" s="399"/>
      <c r="C86" s="398" t="str">
        <f>IFERROR(INDEX(DATA_PROPERTY_MASTER!$B:$B,MATCH($B86,DATA_PROPERTY_MASTER!$A:$A,0)),"")</f>
        <v/>
      </c>
      <c r="D86" s="399"/>
      <c r="E86" s="399"/>
      <c r="F86" s="404"/>
      <c r="G86" s="404"/>
      <c r="H86" s="399"/>
      <c r="I86" s="399"/>
      <c r="J86" s="399"/>
      <c r="K86" s="399"/>
      <c r="L86" s="399"/>
      <c r="M86" s="399"/>
      <c r="N86" s="399"/>
      <c r="O86" s="399"/>
      <c r="P86" s="399"/>
      <c r="Q86" s="399"/>
      <c r="R86" s="399"/>
      <c r="S86" s="398" t="str">
        <f t="shared" ca="1" si="7"/>
        <v/>
      </c>
      <c r="T86" s="399"/>
      <c r="U86" s="398" t="str">
        <f t="shared" si="8"/>
        <v>Blank</v>
      </c>
    </row>
    <row r="87" spans="1:21">
      <c r="A87" s="398" t="str">
        <f t="shared" si="6"/>
        <v/>
      </c>
      <c r="B87" s="399"/>
      <c r="C87" s="398" t="str">
        <f>IFERROR(INDEX(DATA_PROPERTY_MASTER!$B:$B,MATCH($B87,DATA_PROPERTY_MASTER!$A:$A,0)),"")</f>
        <v/>
      </c>
      <c r="D87" s="399"/>
      <c r="E87" s="399"/>
      <c r="F87" s="404"/>
      <c r="G87" s="404"/>
      <c r="H87" s="399"/>
      <c r="I87" s="399"/>
      <c r="J87" s="399"/>
      <c r="K87" s="399"/>
      <c r="L87" s="399"/>
      <c r="M87" s="399"/>
      <c r="N87" s="399"/>
      <c r="O87" s="399"/>
      <c r="P87" s="399"/>
      <c r="Q87" s="399"/>
      <c r="R87" s="399"/>
      <c r="S87" s="398" t="str">
        <f t="shared" ca="1" si="7"/>
        <v/>
      </c>
      <c r="T87" s="399"/>
      <c r="U87" s="398" t="str">
        <f t="shared" si="8"/>
        <v>Blank</v>
      </c>
    </row>
    <row r="88" spans="1:21">
      <c r="A88" s="398" t="str">
        <f t="shared" si="6"/>
        <v/>
      </c>
      <c r="B88" s="399"/>
      <c r="C88" s="398" t="str">
        <f>IFERROR(INDEX(DATA_PROPERTY_MASTER!$B:$B,MATCH($B88,DATA_PROPERTY_MASTER!$A:$A,0)),"")</f>
        <v/>
      </c>
      <c r="D88" s="399"/>
      <c r="E88" s="399"/>
      <c r="F88" s="404"/>
      <c r="G88" s="404"/>
      <c r="H88" s="399"/>
      <c r="I88" s="399"/>
      <c r="J88" s="399"/>
      <c r="K88" s="399"/>
      <c r="L88" s="399"/>
      <c r="M88" s="399"/>
      <c r="N88" s="399"/>
      <c r="O88" s="399"/>
      <c r="P88" s="399"/>
      <c r="Q88" s="399"/>
      <c r="R88" s="399"/>
      <c r="S88" s="398" t="str">
        <f t="shared" ca="1" si="7"/>
        <v/>
      </c>
      <c r="T88" s="399"/>
      <c r="U88" s="398" t="str">
        <f t="shared" si="8"/>
        <v>Blank</v>
      </c>
    </row>
    <row r="89" spans="1:21">
      <c r="A89" s="398" t="str">
        <f t="shared" si="6"/>
        <v/>
      </c>
      <c r="B89" s="399"/>
      <c r="C89" s="398" t="str">
        <f>IFERROR(INDEX(DATA_PROPERTY_MASTER!$B:$B,MATCH($B89,DATA_PROPERTY_MASTER!$A:$A,0)),"")</f>
        <v/>
      </c>
      <c r="D89" s="399"/>
      <c r="E89" s="399"/>
      <c r="F89" s="404"/>
      <c r="G89" s="404"/>
      <c r="H89" s="399"/>
      <c r="I89" s="399"/>
      <c r="J89" s="399"/>
      <c r="K89" s="399"/>
      <c r="L89" s="399"/>
      <c r="M89" s="399"/>
      <c r="N89" s="399"/>
      <c r="O89" s="399"/>
      <c r="P89" s="399"/>
      <c r="Q89" s="399"/>
      <c r="R89" s="399"/>
      <c r="S89" s="398" t="str">
        <f t="shared" ca="1" si="7"/>
        <v/>
      </c>
      <c r="T89" s="399"/>
      <c r="U89" s="398" t="str">
        <f t="shared" si="8"/>
        <v>Blank</v>
      </c>
    </row>
    <row r="90" spans="1:21">
      <c r="A90" s="398" t="str">
        <f t="shared" si="6"/>
        <v/>
      </c>
      <c r="B90" s="399"/>
      <c r="C90" s="398" t="str">
        <f>IFERROR(INDEX(DATA_PROPERTY_MASTER!$B:$B,MATCH($B90,DATA_PROPERTY_MASTER!$A:$A,0)),"")</f>
        <v/>
      </c>
      <c r="D90" s="399"/>
      <c r="E90" s="399"/>
      <c r="F90" s="404"/>
      <c r="G90" s="404"/>
      <c r="H90" s="399"/>
      <c r="I90" s="399"/>
      <c r="J90" s="399"/>
      <c r="K90" s="399"/>
      <c r="L90" s="399"/>
      <c r="M90" s="399"/>
      <c r="N90" s="399"/>
      <c r="O90" s="399"/>
      <c r="P90" s="399"/>
      <c r="Q90" s="399"/>
      <c r="R90" s="399"/>
      <c r="S90" s="398" t="str">
        <f t="shared" ca="1" si="7"/>
        <v/>
      </c>
      <c r="T90" s="399"/>
      <c r="U90" s="398" t="str">
        <f t="shared" si="8"/>
        <v>Blank</v>
      </c>
    </row>
    <row r="91" spans="1:21">
      <c r="A91" s="398" t="str">
        <f t="shared" si="6"/>
        <v/>
      </c>
      <c r="B91" s="399"/>
      <c r="C91" s="398" t="str">
        <f>IFERROR(INDEX(DATA_PROPERTY_MASTER!$B:$B,MATCH($B91,DATA_PROPERTY_MASTER!$A:$A,0)),"")</f>
        <v/>
      </c>
      <c r="D91" s="399"/>
      <c r="E91" s="399"/>
      <c r="F91" s="404"/>
      <c r="G91" s="404"/>
      <c r="H91" s="399"/>
      <c r="I91" s="399"/>
      <c r="J91" s="399"/>
      <c r="K91" s="399"/>
      <c r="L91" s="399"/>
      <c r="M91" s="399"/>
      <c r="N91" s="399"/>
      <c r="O91" s="399"/>
      <c r="P91" s="399"/>
      <c r="Q91" s="399"/>
      <c r="R91" s="399"/>
      <c r="S91" s="398" t="str">
        <f t="shared" ca="1" si="7"/>
        <v/>
      </c>
      <c r="T91" s="399"/>
      <c r="U91" s="398" t="str">
        <f t="shared" si="8"/>
        <v>Blank</v>
      </c>
    </row>
    <row r="92" spans="1:21">
      <c r="A92" s="398" t="str">
        <f t="shared" si="6"/>
        <v/>
      </c>
      <c r="B92" s="399"/>
      <c r="C92" s="398" t="str">
        <f>IFERROR(INDEX(DATA_PROPERTY_MASTER!$B:$B,MATCH($B92,DATA_PROPERTY_MASTER!$A:$A,0)),"")</f>
        <v/>
      </c>
      <c r="D92" s="399"/>
      <c r="E92" s="399"/>
      <c r="F92" s="404"/>
      <c r="G92" s="404"/>
      <c r="H92" s="399"/>
      <c r="I92" s="399"/>
      <c r="J92" s="399"/>
      <c r="K92" s="399"/>
      <c r="L92" s="399"/>
      <c r="M92" s="399"/>
      <c r="N92" s="399"/>
      <c r="O92" s="399"/>
      <c r="P92" s="399"/>
      <c r="Q92" s="399"/>
      <c r="R92" s="399"/>
      <c r="S92" s="398" t="str">
        <f t="shared" ca="1" si="7"/>
        <v/>
      </c>
      <c r="T92" s="399"/>
      <c r="U92" s="398" t="str">
        <f t="shared" si="8"/>
        <v>Blank</v>
      </c>
    </row>
    <row r="93" spans="1:21">
      <c r="A93" s="398" t="str">
        <f t="shared" si="6"/>
        <v/>
      </c>
      <c r="B93" s="399"/>
      <c r="C93" s="398" t="str">
        <f>IFERROR(INDEX(DATA_PROPERTY_MASTER!$B:$B,MATCH($B93,DATA_PROPERTY_MASTER!$A:$A,0)),"")</f>
        <v/>
      </c>
      <c r="D93" s="399"/>
      <c r="E93" s="399"/>
      <c r="F93" s="404"/>
      <c r="G93" s="404"/>
      <c r="H93" s="399"/>
      <c r="I93" s="399"/>
      <c r="J93" s="399"/>
      <c r="K93" s="399"/>
      <c r="L93" s="399"/>
      <c r="M93" s="399"/>
      <c r="N93" s="399"/>
      <c r="O93" s="399"/>
      <c r="P93" s="399"/>
      <c r="Q93" s="399"/>
      <c r="R93" s="399"/>
      <c r="S93" s="398" t="str">
        <f t="shared" ca="1" si="7"/>
        <v/>
      </c>
      <c r="T93" s="399"/>
      <c r="U93" s="398" t="str">
        <f t="shared" si="8"/>
        <v>Blank</v>
      </c>
    </row>
    <row r="94" spans="1:21">
      <c r="A94" s="398" t="str">
        <f t="shared" si="6"/>
        <v/>
      </c>
      <c r="B94" s="399"/>
      <c r="C94" s="398" t="str">
        <f>IFERROR(INDEX(DATA_PROPERTY_MASTER!$B:$B,MATCH($B94,DATA_PROPERTY_MASTER!$A:$A,0)),"")</f>
        <v/>
      </c>
      <c r="D94" s="399"/>
      <c r="E94" s="399"/>
      <c r="F94" s="404"/>
      <c r="G94" s="404"/>
      <c r="H94" s="399"/>
      <c r="I94" s="399"/>
      <c r="J94" s="399"/>
      <c r="K94" s="399"/>
      <c r="L94" s="399"/>
      <c r="M94" s="399"/>
      <c r="N94" s="399"/>
      <c r="O94" s="399"/>
      <c r="P94" s="399"/>
      <c r="Q94" s="399"/>
      <c r="R94" s="399"/>
      <c r="S94" s="398" t="str">
        <f t="shared" ca="1" si="7"/>
        <v/>
      </c>
      <c r="T94" s="399"/>
      <c r="U94" s="398" t="str">
        <f t="shared" si="8"/>
        <v>Blank</v>
      </c>
    </row>
    <row r="95" spans="1:21">
      <c r="A95" s="398" t="str">
        <f t="shared" si="6"/>
        <v/>
      </c>
      <c r="B95" s="399"/>
      <c r="C95" s="398" t="str">
        <f>IFERROR(INDEX(DATA_PROPERTY_MASTER!$B:$B,MATCH($B95,DATA_PROPERTY_MASTER!$A:$A,0)),"")</f>
        <v/>
      </c>
      <c r="D95" s="399"/>
      <c r="E95" s="399"/>
      <c r="F95" s="404"/>
      <c r="G95" s="404"/>
      <c r="H95" s="399"/>
      <c r="I95" s="399"/>
      <c r="J95" s="399"/>
      <c r="K95" s="399"/>
      <c r="L95" s="399"/>
      <c r="M95" s="399"/>
      <c r="N95" s="399"/>
      <c r="O95" s="399"/>
      <c r="P95" s="399"/>
      <c r="Q95" s="399"/>
      <c r="R95" s="399"/>
      <c r="S95" s="398" t="str">
        <f t="shared" ca="1" si="7"/>
        <v/>
      </c>
      <c r="T95" s="399"/>
      <c r="U95" s="398" t="str">
        <f t="shared" si="8"/>
        <v>Blank</v>
      </c>
    </row>
    <row r="96" spans="1:21">
      <c r="A96" s="398" t="str">
        <f t="shared" si="6"/>
        <v/>
      </c>
      <c r="B96" s="399"/>
      <c r="C96" s="398" t="str">
        <f>IFERROR(INDEX(DATA_PROPERTY_MASTER!$B:$B,MATCH($B96,DATA_PROPERTY_MASTER!$A:$A,0)),"")</f>
        <v/>
      </c>
      <c r="D96" s="399"/>
      <c r="E96" s="399"/>
      <c r="F96" s="404"/>
      <c r="G96" s="404"/>
      <c r="H96" s="399"/>
      <c r="I96" s="399"/>
      <c r="J96" s="399"/>
      <c r="K96" s="399"/>
      <c r="L96" s="399"/>
      <c r="M96" s="399"/>
      <c r="N96" s="399"/>
      <c r="O96" s="399"/>
      <c r="P96" s="399"/>
      <c r="Q96" s="399"/>
      <c r="R96" s="399"/>
      <c r="S96" s="398" t="str">
        <f t="shared" ca="1" si="7"/>
        <v/>
      </c>
      <c r="T96" s="399"/>
      <c r="U96" s="398" t="str">
        <f t="shared" si="8"/>
        <v>Blank</v>
      </c>
    </row>
    <row r="97" spans="1:21">
      <c r="A97" s="398" t="str">
        <f t="shared" si="6"/>
        <v/>
      </c>
      <c r="B97" s="399"/>
      <c r="C97" s="398" t="str">
        <f>IFERROR(INDEX(DATA_PROPERTY_MASTER!$B:$B,MATCH($B97,DATA_PROPERTY_MASTER!$A:$A,0)),"")</f>
        <v/>
      </c>
      <c r="D97" s="399"/>
      <c r="E97" s="399"/>
      <c r="F97" s="404"/>
      <c r="G97" s="404"/>
      <c r="H97" s="399"/>
      <c r="I97" s="399"/>
      <c r="J97" s="399"/>
      <c r="K97" s="399"/>
      <c r="L97" s="399"/>
      <c r="M97" s="399"/>
      <c r="N97" s="399"/>
      <c r="O97" s="399"/>
      <c r="P97" s="399"/>
      <c r="Q97" s="399"/>
      <c r="R97" s="399"/>
      <c r="S97" s="398" t="str">
        <f t="shared" ca="1" si="7"/>
        <v/>
      </c>
      <c r="T97" s="399"/>
      <c r="U97" s="398" t="str">
        <f t="shared" si="8"/>
        <v>Blank</v>
      </c>
    </row>
    <row r="98" spans="1:21">
      <c r="A98" s="398" t="str">
        <f t="shared" si="6"/>
        <v/>
      </c>
      <c r="B98" s="399"/>
      <c r="C98" s="398" t="str">
        <f>IFERROR(INDEX(DATA_PROPERTY_MASTER!$B:$B,MATCH($B98,DATA_PROPERTY_MASTER!$A:$A,0)),"")</f>
        <v/>
      </c>
      <c r="D98" s="399"/>
      <c r="E98" s="399"/>
      <c r="F98" s="404"/>
      <c r="G98" s="404"/>
      <c r="H98" s="399"/>
      <c r="I98" s="399"/>
      <c r="J98" s="399"/>
      <c r="K98" s="399"/>
      <c r="L98" s="399"/>
      <c r="M98" s="399"/>
      <c r="N98" s="399"/>
      <c r="O98" s="399"/>
      <c r="P98" s="399"/>
      <c r="Q98" s="399"/>
      <c r="R98" s="399"/>
      <c r="S98" s="398" t="str">
        <f t="shared" ca="1" si="7"/>
        <v/>
      </c>
      <c r="T98" s="399"/>
      <c r="U98" s="398" t="str">
        <f t="shared" si="8"/>
        <v>Blank</v>
      </c>
    </row>
    <row r="99" spans="1:21">
      <c r="A99" s="398" t="str">
        <f t="shared" si="6"/>
        <v/>
      </c>
      <c r="B99" s="399"/>
      <c r="C99" s="398" t="str">
        <f>IFERROR(INDEX(DATA_PROPERTY_MASTER!$B:$B,MATCH($B99,DATA_PROPERTY_MASTER!$A:$A,0)),"")</f>
        <v/>
      </c>
      <c r="D99" s="399"/>
      <c r="E99" s="399"/>
      <c r="F99" s="404"/>
      <c r="G99" s="404"/>
      <c r="H99" s="399"/>
      <c r="I99" s="399"/>
      <c r="J99" s="399"/>
      <c r="K99" s="399"/>
      <c r="L99" s="399"/>
      <c r="M99" s="399"/>
      <c r="N99" s="399"/>
      <c r="O99" s="399"/>
      <c r="P99" s="399"/>
      <c r="Q99" s="399"/>
      <c r="R99" s="399"/>
      <c r="S99" s="398" t="str">
        <f t="shared" ca="1" si="7"/>
        <v/>
      </c>
      <c r="T99" s="399"/>
      <c r="U99" s="398" t="str">
        <f t="shared" si="8"/>
        <v>Blank</v>
      </c>
    </row>
    <row r="100" spans="1:21">
      <c r="A100" s="398" t="str">
        <f t="shared" si="6"/>
        <v/>
      </c>
      <c r="B100" s="399"/>
      <c r="C100" s="398" t="str">
        <f>IFERROR(INDEX(DATA_PROPERTY_MASTER!$B:$B,MATCH($B100,DATA_PROPERTY_MASTER!$A:$A,0)),"")</f>
        <v/>
      </c>
      <c r="D100" s="399"/>
      <c r="E100" s="399"/>
      <c r="F100" s="404"/>
      <c r="G100" s="404"/>
      <c r="H100" s="399"/>
      <c r="I100" s="399"/>
      <c r="J100" s="399"/>
      <c r="K100" s="399"/>
      <c r="L100" s="399"/>
      <c r="M100" s="399"/>
      <c r="N100" s="399"/>
      <c r="O100" s="399"/>
      <c r="P100" s="399"/>
      <c r="Q100" s="399"/>
      <c r="R100" s="399"/>
      <c r="S100" s="398" t="str">
        <f t="shared" ca="1" si="7"/>
        <v/>
      </c>
      <c r="T100" s="399"/>
      <c r="U100" s="398" t="str">
        <f t="shared" si="8"/>
        <v>Blank</v>
      </c>
    </row>
    <row r="101" spans="1:21">
      <c r="A101" s="398" t="str">
        <f t="shared" si="6"/>
        <v/>
      </c>
      <c r="B101" s="399"/>
      <c r="C101" s="398" t="str">
        <f>IFERROR(INDEX(DATA_PROPERTY_MASTER!$B:$B,MATCH($B101,DATA_PROPERTY_MASTER!$A:$A,0)),"")</f>
        <v/>
      </c>
      <c r="D101" s="399"/>
      <c r="E101" s="399"/>
      <c r="F101" s="404"/>
      <c r="G101" s="404"/>
      <c r="H101" s="399"/>
      <c r="I101" s="399"/>
      <c r="J101" s="399"/>
      <c r="K101" s="399"/>
      <c r="L101" s="399"/>
      <c r="M101" s="399"/>
      <c r="N101" s="399"/>
      <c r="O101" s="399"/>
      <c r="P101" s="399"/>
      <c r="Q101" s="399"/>
      <c r="R101" s="399"/>
      <c r="S101" s="398" t="str">
        <f t="shared" ca="1" si="7"/>
        <v/>
      </c>
      <c r="T101" s="399"/>
      <c r="U101" s="398" t="str">
        <f t="shared" si="8"/>
        <v>Blank</v>
      </c>
    </row>
    <row r="102" spans="1:21">
      <c r="A102" s="398" t="str">
        <f t="shared" si="6"/>
        <v/>
      </c>
      <c r="B102" s="399"/>
      <c r="C102" s="398" t="str">
        <f>IFERROR(INDEX(DATA_PROPERTY_MASTER!$B:$B,MATCH($B102,DATA_PROPERTY_MASTER!$A:$A,0)),"")</f>
        <v/>
      </c>
      <c r="D102" s="399"/>
      <c r="E102" s="399"/>
      <c r="F102" s="404"/>
      <c r="G102" s="404"/>
      <c r="H102" s="399"/>
      <c r="I102" s="399"/>
      <c r="J102" s="399"/>
      <c r="K102" s="399"/>
      <c r="L102" s="399"/>
      <c r="M102" s="399"/>
      <c r="N102" s="399"/>
      <c r="O102" s="399"/>
      <c r="P102" s="399"/>
      <c r="Q102" s="399"/>
      <c r="R102" s="399"/>
      <c r="S102" s="398" t="str">
        <f t="shared" ca="1" si="7"/>
        <v/>
      </c>
      <c r="T102" s="399"/>
      <c r="U102" s="398" t="str">
        <f t="shared" si="8"/>
        <v>Blank</v>
      </c>
    </row>
    <row r="103" spans="1:21">
      <c r="A103" s="398" t="str">
        <f t="shared" ref="A103:A134" si="9">IF($B103="","","AGR-"&amp;TEXT(ROW()-6,"0000"))</f>
        <v/>
      </c>
      <c r="B103" s="399"/>
      <c r="C103" s="398" t="str">
        <f>IFERROR(INDEX(DATA_PROPERTY_MASTER!$B:$B,MATCH($B103,DATA_PROPERTY_MASTER!$A:$A,0)),"")</f>
        <v/>
      </c>
      <c r="D103" s="399"/>
      <c r="E103" s="399"/>
      <c r="F103" s="404"/>
      <c r="G103" s="404"/>
      <c r="H103" s="399"/>
      <c r="I103" s="399"/>
      <c r="J103" s="399"/>
      <c r="K103" s="399"/>
      <c r="L103" s="399"/>
      <c r="M103" s="399"/>
      <c r="N103" s="399"/>
      <c r="O103" s="399"/>
      <c r="P103" s="399"/>
      <c r="Q103" s="399"/>
      <c r="R103" s="399"/>
      <c r="S103" s="398" t="str">
        <f t="shared" ref="S103:S134" ca="1" si="10">IF($B103="","",IF($G103="","No end date",IF($G103&lt;TODAY(),"Expired / Review","Active / Future")))</f>
        <v/>
      </c>
      <c r="T103" s="399"/>
      <c r="U103" s="398" t="str">
        <f t="shared" ref="U103:U134" si="11">IF($B103="","Blank",IF(OR($D103="",$H103=""),"Review","OK"))</f>
        <v>Blank</v>
      </c>
    </row>
    <row r="104" spans="1:21">
      <c r="A104" s="398" t="str">
        <f t="shared" si="9"/>
        <v/>
      </c>
      <c r="B104" s="399"/>
      <c r="C104" s="398" t="str">
        <f>IFERROR(INDEX(DATA_PROPERTY_MASTER!$B:$B,MATCH($B104,DATA_PROPERTY_MASTER!$A:$A,0)),"")</f>
        <v/>
      </c>
      <c r="D104" s="399"/>
      <c r="E104" s="399"/>
      <c r="F104" s="404"/>
      <c r="G104" s="404"/>
      <c r="H104" s="399"/>
      <c r="I104" s="399"/>
      <c r="J104" s="399"/>
      <c r="K104" s="399"/>
      <c r="L104" s="399"/>
      <c r="M104" s="399"/>
      <c r="N104" s="399"/>
      <c r="O104" s="399"/>
      <c r="P104" s="399"/>
      <c r="Q104" s="399"/>
      <c r="R104" s="399"/>
      <c r="S104" s="398" t="str">
        <f t="shared" ca="1" si="10"/>
        <v/>
      </c>
      <c r="T104" s="399"/>
      <c r="U104" s="398" t="str">
        <f t="shared" si="11"/>
        <v>Blank</v>
      </c>
    </row>
    <row r="105" spans="1:21">
      <c r="A105" s="398" t="str">
        <f t="shared" si="9"/>
        <v/>
      </c>
      <c r="B105" s="399"/>
      <c r="C105" s="398" t="str">
        <f>IFERROR(INDEX(DATA_PROPERTY_MASTER!$B:$B,MATCH($B105,DATA_PROPERTY_MASTER!$A:$A,0)),"")</f>
        <v/>
      </c>
      <c r="D105" s="399"/>
      <c r="E105" s="399"/>
      <c r="F105" s="404"/>
      <c r="G105" s="404"/>
      <c r="H105" s="399"/>
      <c r="I105" s="399"/>
      <c r="J105" s="399"/>
      <c r="K105" s="399"/>
      <c r="L105" s="399"/>
      <c r="M105" s="399"/>
      <c r="N105" s="399"/>
      <c r="O105" s="399"/>
      <c r="P105" s="399"/>
      <c r="Q105" s="399"/>
      <c r="R105" s="399"/>
      <c r="S105" s="398" t="str">
        <f t="shared" ca="1" si="10"/>
        <v/>
      </c>
      <c r="T105" s="399"/>
      <c r="U105" s="398" t="str">
        <f t="shared" si="11"/>
        <v>Blank</v>
      </c>
    </row>
    <row r="106" spans="1:21">
      <c r="A106" s="398" t="str">
        <f t="shared" si="9"/>
        <v/>
      </c>
      <c r="B106" s="399"/>
      <c r="C106" s="398" t="str">
        <f>IFERROR(INDEX(DATA_PROPERTY_MASTER!$B:$B,MATCH($B106,DATA_PROPERTY_MASTER!$A:$A,0)),"")</f>
        <v/>
      </c>
      <c r="D106" s="399"/>
      <c r="E106" s="399"/>
      <c r="F106" s="404"/>
      <c r="G106" s="404"/>
      <c r="H106" s="399"/>
      <c r="I106" s="399"/>
      <c r="J106" s="399"/>
      <c r="K106" s="399"/>
      <c r="L106" s="399"/>
      <c r="M106" s="399"/>
      <c r="N106" s="399"/>
      <c r="O106" s="399"/>
      <c r="P106" s="399"/>
      <c r="Q106" s="399"/>
      <c r="R106" s="399"/>
      <c r="S106" s="398" t="str">
        <f t="shared" ca="1" si="10"/>
        <v/>
      </c>
      <c r="T106" s="399"/>
      <c r="U106" s="398" t="str">
        <f t="shared" si="11"/>
        <v>Blank</v>
      </c>
    </row>
    <row r="107" spans="1:21">
      <c r="A107" s="398" t="str">
        <f t="shared" si="9"/>
        <v/>
      </c>
      <c r="B107" s="399"/>
      <c r="C107" s="398" t="str">
        <f>IFERROR(INDEX(DATA_PROPERTY_MASTER!$B:$B,MATCH($B107,DATA_PROPERTY_MASTER!$A:$A,0)),"")</f>
        <v/>
      </c>
      <c r="D107" s="399"/>
      <c r="E107" s="399"/>
      <c r="F107" s="404"/>
      <c r="G107" s="404"/>
      <c r="H107" s="399"/>
      <c r="I107" s="399"/>
      <c r="J107" s="399"/>
      <c r="K107" s="399"/>
      <c r="L107" s="399"/>
      <c r="M107" s="399"/>
      <c r="N107" s="399"/>
      <c r="O107" s="399"/>
      <c r="P107" s="399"/>
      <c r="Q107" s="399"/>
      <c r="R107" s="399"/>
      <c r="S107" s="398" t="str">
        <f t="shared" ca="1" si="10"/>
        <v/>
      </c>
      <c r="T107" s="399"/>
      <c r="U107" s="398" t="str">
        <f t="shared" si="11"/>
        <v>Blank</v>
      </c>
    </row>
    <row r="108" spans="1:21">
      <c r="A108" s="398" t="str">
        <f t="shared" si="9"/>
        <v/>
      </c>
      <c r="B108" s="399"/>
      <c r="C108" s="398" t="str">
        <f>IFERROR(INDEX(DATA_PROPERTY_MASTER!$B:$B,MATCH($B108,DATA_PROPERTY_MASTER!$A:$A,0)),"")</f>
        <v/>
      </c>
      <c r="D108" s="399"/>
      <c r="E108" s="399"/>
      <c r="F108" s="404"/>
      <c r="G108" s="404"/>
      <c r="H108" s="399"/>
      <c r="I108" s="399"/>
      <c r="J108" s="399"/>
      <c r="K108" s="399"/>
      <c r="L108" s="399"/>
      <c r="M108" s="399"/>
      <c r="N108" s="399"/>
      <c r="O108" s="399"/>
      <c r="P108" s="399"/>
      <c r="Q108" s="399"/>
      <c r="R108" s="399"/>
      <c r="S108" s="398" t="str">
        <f t="shared" ca="1" si="10"/>
        <v/>
      </c>
      <c r="T108" s="399"/>
      <c r="U108" s="398" t="str">
        <f t="shared" si="11"/>
        <v>Blank</v>
      </c>
    </row>
    <row r="109" spans="1:21">
      <c r="A109" s="398" t="str">
        <f t="shared" si="9"/>
        <v/>
      </c>
      <c r="B109" s="399"/>
      <c r="C109" s="398" t="str">
        <f>IFERROR(INDEX(DATA_PROPERTY_MASTER!$B:$B,MATCH($B109,DATA_PROPERTY_MASTER!$A:$A,0)),"")</f>
        <v/>
      </c>
      <c r="D109" s="399"/>
      <c r="E109" s="399"/>
      <c r="F109" s="404"/>
      <c r="G109" s="404"/>
      <c r="H109" s="399"/>
      <c r="I109" s="399"/>
      <c r="J109" s="399"/>
      <c r="K109" s="399"/>
      <c r="L109" s="399"/>
      <c r="M109" s="399"/>
      <c r="N109" s="399"/>
      <c r="O109" s="399"/>
      <c r="P109" s="399"/>
      <c r="Q109" s="399"/>
      <c r="R109" s="399"/>
      <c r="S109" s="398" t="str">
        <f t="shared" ca="1" si="10"/>
        <v/>
      </c>
      <c r="T109" s="399"/>
      <c r="U109" s="398" t="str">
        <f t="shared" si="11"/>
        <v>Blank</v>
      </c>
    </row>
    <row r="110" spans="1:21">
      <c r="A110" s="398" t="str">
        <f t="shared" si="9"/>
        <v/>
      </c>
      <c r="B110" s="399"/>
      <c r="C110" s="398" t="str">
        <f>IFERROR(INDEX(DATA_PROPERTY_MASTER!$B:$B,MATCH($B110,DATA_PROPERTY_MASTER!$A:$A,0)),"")</f>
        <v/>
      </c>
      <c r="D110" s="399"/>
      <c r="E110" s="399"/>
      <c r="F110" s="404"/>
      <c r="G110" s="404"/>
      <c r="H110" s="399"/>
      <c r="I110" s="399"/>
      <c r="J110" s="399"/>
      <c r="K110" s="399"/>
      <c r="L110" s="399"/>
      <c r="M110" s="399"/>
      <c r="N110" s="399"/>
      <c r="O110" s="399"/>
      <c r="P110" s="399"/>
      <c r="Q110" s="399"/>
      <c r="R110" s="399"/>
      <c r="S110" s="398" t="str">
        <f t="shared" ca="1" si="10"/>
        <v/>
      </c>
      <c r="T110" s="399"/>
      <c r="U110" s="398" t="str">
        <f t="shared" si="11"/>
        <v>Blank</v>
      </c>
    </row>
    <row r="111" spans="1:21">
      <c r="A111" s="398" t="str">
        <f t="shared" si="9"/>
        <v/>
      </c>
      <c r="B111" s="399"/>
      <c r="C111" s="398" t="str">
        <f>IFERROR(INDEX(DATA_PROPERTY_MASTER!$B:$B,MATCH($B111,DATA_PROPERTY_MASTER!$A:$A,0)),"")</f>
        <v/>
      </c>
      <c r="D111" s="399"/>
      <c r="E111" s="399"/>
      <c r="F111" s="404"/>
      <c r="G111" s="404"/>
      <c r="H111" s="399"/>
      <c r="I111" s="399"/>
      <c r="J111" s="399"/>
      <c r="K111" s="399"/>
      <c r="L111" s="399"/>
      <c r="M111" s="399"/>
      <c r="N111" s="399"/>
      <c r="O111" s="399"/>
      <c r="P111" s="399"/>
      <c r="Q111" s="399"/>
      <c r="R111" s="399"/>
      <c r="S111" s="398" t="str">
        <f t="shared" ca="1" si="10"/>
        <v/>
      </c>
      <c r="T111" s="399"/>
      <c r="U111" s="398" t="str">
        <f t="shared" si="11"/>
        <v>Blank</v>
      </c>
    </row>
    <row r="112" spans="1:21">
      <c r="A112" s="398" t="str">
        <f t="shared" si="9"/>
        <v/>
      </c>
      <c r="B112" s="399"/>
      <c r="C112" s="398" t="str">
        <f>IFERROR(INDEX(DATA_PROPERTY_MASTER!$B:$B,MATCH($B112,DATA_PROPERTY_MASTER!$A:$A,0)),"")</f>
        <v/>
      </c>
      <c r="D112" s="399"/>
      <c r="E112" s="399"/>
      <c r="F112" s="404"/>
      <c r="G112" s="404"/>
      <c r="H112" s="399"/>
      <c r="I112" s="399"/>
      <c r="J112" s="399"/>
      <c r="K112" s="399"/>
      <c r="L112" s="399"/>
      <c r="M112" s="399"/>
      <c r="N112" s="399"/>
      <c r="O112" s="399"/>
      <c r="P112" s="399"/>
      <c r="Q112" s="399"/>
      <c r="R112" s="399"/>
      <c r="S112" s="398" t="str">
        <f t="shared" ca="1" si="10"/>
        <v/>
      </c>
      <c r="T112" s="399"/>
      <c r="U112" s="398" t="str">
        <f t="shared" si="11"/>
        <v>Blank</v>
      </c>
    </row>
    <row r="113" spans="1:21">
      <c r="A113" s="398" t="str">
        <f t="shared" si="9"/>
        <v/>
      </c>
      <c r="B113" s="399"/>
      <c r="C113" s="398" t="str">
        <f>IFERROR(INDEX(DATA_PROPERTY_MASTER!$B:$B,MATCH($B113,DATA_PROPERTY_MASTER!$A:$A,0)),"")</f>
        <v/>
      </c>
      <c r="D113" s="399"/>
      <c r="E113" s="399"/>
      <c r="F113" s="404"/>
      <c r="G113" s="404"/>
      <c r="H113" s="399"/>
      <c r="I113" s="399"/>
      <c r="J113" s="399"/>
      <c r="K113" s="399"/>
      <c r="L113" s="399"/>
      <c r="M113" s="399"/>
      <c r="N113" s="399"/>
      <c r="O113" s="399"/>
      <c r="P113" s="399"/>
      <c r="Q113" s="399"/>
      <c r="R113" s="399"/>
      <c r="S113" s="398" t="str">
        <f t="shared" ca="1" si="10"/>
        <v/>
      </c>
      <c r="T113" s="399"/>
      <c r="U113" s="398" t="str">
        <f t="shared" si="11"/>
        <v>Blank</v>
      </c>
    </row>
    <row r="114" spans="1:21">
      <c r="A114" s="398" t="str">
        <f t="shared" si="9"/>
        <v/>
      </c>
      <c r="B114" s="399"/>
      <c r="C114" s="398" t="str">
        <f>IFERROR(INDEX(DATA_PROPERTY_MASTER!$B:$B,MATCH($B114,DATA_PROPERTY_MASTER!$A:$A,0)),"")</f>
        <v/>
      </c>
      <c r="D114" s="399"/>
      <c r="E114" s="399"/>
      <c r="F114" s="404"/>
      <c r="G114" s="404"/>
      <c r="H114" s="399"/>
      <c r="I114" s="399"/>
      <c r="J114" s="399"/>
      <c r="K114" s="399"/>
      <c r="L114" s="399"/>
      <c r="M114" s="399"/>
      <c r="N114" s="399"/>
      <c r="O114" s="399"/>
      <c r="P114" s="399"/>
      <c r="Q114" s="399"/>
      <c r="R114" s="399"/>
      <c r="S114" s="398" t="str">
        <f t="shared" ca="1" si="10"/>
        <v/>
      </c>
      <c r="T114" s="399"/>
      <c r="U114" s="398" t="str">
        <f t="shared" si="11"/>
        <v>Blank</v>
      </c>
    </row>
    <row r="115" spans="1:21">
      <c r="A115" s="398" t="str">
        <f t="shared" si="9"/>
        <v/>
      </c>
      <c r="B115" s="399"/>
      <c r="C115" s="398" t="str">
        <f>IFERROR(INDEX(DATA_PROPERTY_MASTER!$B:$B,MATCH($B115,DATA_PROPERTY_MASTER!$A:$A,0)),"")</f>
        <v/>
      </c>
      <c r="D115" s="399"/>
      <c r="E115" s="399"/>
      <c r="F115" s="404"/>
      <c r="G115" s="404"/>
      <c r="H115" s="399"/>
      <c r="I115" s="399"/>
      <c r="J115" s="399"/>
      <c r="K115" s="399"/>
      <c r="L115" s="399"/>
      <c r="M115" s="399"/>
      <c r="N115" s="399"/>
      <c r="O115" s="399"/>
      <c r="P115" s="399"/>
      <c r="Q115" s="399"/>
      <c r="R115" s="399"/>
      <c r="S115" s="398" t="str">
        <f t="shared" ca="1" si="10"/>
        <v/>
      </c>
      <c r="T115" s="399"/>
      <c r="U115" s="398" t="str">
        <f t="shared" si="11"/>
        <v>Blank</v>
      </c>
    </row>
    <row r="116" spans="1:21">
      <c r="A116" s="398" t="str">
        <f t="shared" si="9"/>
        <v/>
      </c>
      <c r="B116" s="399"/>
      <c r="C116" s="398" t="str">
        <f>IFERROR(INDEX(DATA_PROPERTY_MASTER!$B:$B,MATCH($B116,DATA_PROPERTY_MASTER!$A:$A,0)),"")</f>
        <v/>
      </c>
      <c r="D116" s="399"/>
      <c r="E116" s="399"/>
      <c r="F116" s="404"/>
      <c r="G116" s="404"/>
      <c r="H116" s="399"/>
      <c r="I116" s="399"/>
      <c r="J116" s="399"/>
      <c r="K116" s="399"/>
      <c r="L116" s="399"/>
      <c r="M116" s="399"/>
      <c r="N116" s="399"/>
      <c r="O116" s="399"/>
      <c r="P116" s="399"/>
      <c r="Q116" s="399"/>
      <c r="R116" s="399"/>
      <c r="S116" s="398" t="str">
        <f t="shared" ca="1" si="10"/>
        <v/>
      </c>
      <c r="T116" s="399"/>
      <c r="U116" s="398" t="str">
        <f t="shared" si="11"/>
        <v>Blank</v>
      </c>
    </row>
    <row r="117" spans="1:21">
      <c r="A117" s="398" t="str">
        <f t="shared" si="9"/>
        <v/>
      </c>
      <c r="B117" s="399"/>
      <c r="C117" s="398" t="str">
        <f>IFERROR(INDEX(DATA_PROPERTY_MASTER!$B:$B,MATCH($B117,DATA_PROPERTY_MASTER!$A:$A,0)),"")</f>
        <v/>
      </c>
      <c r="D117" s="399"/>
      <c r="E117" s="399"/>
      <c r="F117" s="404"/>
      <c r="G117" s="404"/>
      <c r="H117" s="399"/>
      <c r="I117" s="399"/>
      <c r="J117" s="399"/>
      <c r="K117" s="399"/>
      <c r="L117" s="399"/>
      <c r="M117" s="399"/>
      <c r="N117" s="399"/>
      <c r="O117" s="399"/>
      <c r="P117" s="399"/>
      <c r="Q117" s="399"/>
      <c r="R117" s="399"/>
      <c r="S117" s="398" t="str">
        <f t="shared" ca="1" si="10"/>
        <v/>
      </c>
      <c r="T117" s="399"/>
      <c r="U117" s="398" t="str">
        <f t="shared" si="11"/>
        <v>Blank</v>
      </c>
    </row>
    <row r="118" spans="1:21">
      <c r="A118" s="398" t="str">
        <f t="shared" si="9"/>
        <v/>
      </c>
      <c r="B118" s="399"/>
      <c r="C118" s="398" t="str">
        <f>IFERROR(INDEX(DATA_PROPERTY_MASTER!$B:$B,MATCH($B118,DATA_PROPERTY_MASTER!$A:$A,0)),"")</f>
        <v/>
      </c>
      <c r="D118" s="399"/>
      <c r="E118" s="399"/>
      <c r="F118" s="404"/>
      <c r="G118" s="404"/>
      <c r="H118" s="399"/>
      <c r="I118" s="399"/>
      <c r="J118" s="399"/>
      <c r="K118" s="399"/>
      <c r="L118" s="399"/>
      <c r="M118" s="399"/>
      <c r="N118" s="399"/>
      <c r="O118" s="399"/>
      <c r="P118" s="399"/>
      <c r="Q118" s="399"/>
      <c r="R118" s="399"/>
      <c r="S118" s="398" t="str">
        <f t="shared" ca="1" si="10"/>
        <v/>
      </c>
      <c r="T118" s="399"/>
      <c r="U118" s="398" t="str">
        <f t="shared" si="11"/>
        <v>Blank</v>
      </c>
    </row>
    <row r="119" spans="1:21">
      <c r="A119" s="398" t="str">
        <f t="shared" si="9"/>
        <v/>
      </c>
      <c r="B119" s="399"/>
      <c r="C119" s="398" t="str">
        <f>IFERROR(INDEX(DATA_PROPERTY_MASTER!$B:$B,MATCH($B119,DATA_PROPERTY_MASTER!$A:$A,0)),"")</f>
        <v/>
      </c>
      <c r="D119" s="399"/>
      <c r="E119" s="399"/>
      <c r="F119" s="404"/>
      <c r="G119" s="404"/>
      <c r="H119" s="399"/>
      <c r="I119" s="399"/>
      <c r="J119" s="399"/>
      <c r="K119" s="399"/>
      <c r="L119" s="399"/>
      <c r="M119" s="399"/>
      <c r="N119" s="399"/>
      <c r="O119" s="399"/>
      <c r="P119" s="399"/>
      <c r="Q119" s="399"/>
      <c r="R119" s="399"/>
      <c r="S119" s="398" t="str">
        <f t="shared" ca="1" si="10"/>
        <v/>
      </c>
      <c r="T119" s="399"/>
      <c r="U119" s="398" t="str">
        <f t="shared" si="11"/>
        <v>Blank</v>
      </c>
    </row>
    <row r="120" spans="1:21">
      <c r="A120" s="398" t="str">
        <f t="shared" si="9"/>
        <v/>
      </c>
      <c r="B120" s="399"/>
      <c r="C120" s="398" t="str">
        <f>IFERROR(INDEX(DATA_PROPERTY_MASTER!$B:$B,MATCH($B120,DATA_PROPERTY_MASTER!$A:$A,0)),"")</f>
        <v/>
      </c>
      <c r="D120" s="399"/>
      <c r="E120" s="399"/>
      <c r="F120" s="404"/>
      <c r="G120" s="404"/>
      <c r="H120" s="399"/>
      <c r="I120" s="399"/>
      <c r="J120" s="399"/>
      <c r="K120" s="399"/>
      <c r="L120" s="399"/>
      <c r="M120" s="399"/>
      <c r="N120" s="399"/>
      <c r="O120" s="399"/>
      <c r="P120" s="399"/>
      <c r="Q120" s="399"/>
      <c r="R120" s="399"/>
      <c r="S120" s="398" t="str">
        <f t="shared" ca="1" si="10"/>
        <v/>
      </c>
      <c r="T120" s="399"/>
      <c r="U120" s="398" t="str">
        <f t="shared" si="11"/>
        <v>Blank</v>
      </c>
    </row>
    <row r="121" spans="1:21">
      <c r="A121" s="398" t="str">
        <f t="shared" si="9"/>
        <v/>
      </c>
      <c r="B121" s="399"/>
      <c r="C121" s="398" t="str">
        <f>IFERROR(INDEX(DATA_PROPERTY_MASTER!$B:$B,MATCH($B121,DATA_PROPERTY_MASTER!$A:$A,0)),"")</f>
        <v/>
      </c>
      <c r="D121" s="399"/>
      <c r="E121" s="399"/>
      <c r="F121" s="404"/>
      <c r="G121" s="404"/>
      <c r="H121" s="399"/>
      <c r="I121" s="399"/>
      <c r="J121" s="399"/>
      <c r="K121" s="399"/>
      <c r="L121" s="399"/>
      <c r="M121" s="399"/>
      <c r="N121" s="399"/>
      <c r="O121" s="399"/>
      <c r="P121" s="399"/>
      <c r="Q121" s="399"/>
      <c r="R121" s="399"/>
      <c r="S121" s="398" t="str">
        <f t="shared" ca="1" si="10"/>
        <v/>
      </c>
      <c r="T121" s="399"/>
      <c r="U121" s="398" t="str">
        <f t="shared" si="11"/>
        <v>Blank</v>
      </c>
    </row>
    <row r="122" spans="1:21">
      <c r="A122" s="398" t="str">
        <f t="shared" si="9"/>
        <v/>
      </c>
      <c r="B122" s="399"/>
      <c r="C122" s="398" t="str">
        <f>IFERROR(INDEX(DATA_PROPERTY_MASTER!$B:$B,MATCH($B122,DATA_PROPERTY_MASTER!$A:$A,0)),"")</f>
        <v/>
      </c>
      <c r="D122" s="399"/>
      <c r="E122" s="399"/>
      <c r="F122" s="404"/>
      <c r="G122" s="404"/>
      <c r="H122" s="399"/>
      <c r="I122" s="399"/>
      <c r="J122" s="399"/>
      <c r="K122" s="399"/>
      <c r="L122" s="399"/>
      <c r="M122" s="399"/>
      <c r="N122" s="399"/>
      <c r="O122" s="399"/>
      <c r="P122" s="399"/>
      <c r="Q122" s="399"/>
      <c r="R122" s="399"/>
      <c r="S122" s="398" t="str">
        <f t="shared" ca="1" si="10"/>
        <v/>
      </c>
      <c r="T122" s="399"/>
      <c r="U122" s="398" t="str">
        <f t="shared" si="11"/>
        <v>Blank</v>
      </c>
    </row>
    <row r="123" spans="1:21">
      <c r="A123" s="398" t="str">
        <f t="shared" si="9"/>
        <v/>
      </c>
      <c r="B123" s="399"/>
      <c r="C123" s="398" t="str">
        <f>IFERROR(INDEX(DATA_PROPERTY_MASTER!$B:$B,MATCH($B123,DATA_PROPERTY_MASTER!$A:$A,0)),"")</f>
        <v/>
      </c>
      <c r="D123" s="399"/>
      <c r="E123" s="399"/>
      <c r="F123" s="404"/>
      <c r="G123" s="404"/>
      <c r="H123" s="399"/>
      <c r="I123" s="399"/>
      <c r="J123" s="399"/>
      <c r="K123" s="399"/>
      <c r="L123" s="399"/>
      <c r="M123" s="399"/>
      <c r="N123" s="399"/>
      <c r="O123" s="399"/>
      <c r="P123" s="399"/>
      <c r="Q123" s="399"/>
      <c r="R123" s="399"/>
      <c r="S123" s="398" t="str">
        <f t="shared" ca="1" si="10"/>
        <v/>
      </c>
      <c r="T123" s="399"/>
      <c r="U123" s="398" t="str">
        <f t="shared" si="11"/>
        <v>Blank</v>
      </c>
    </row>
    <row r="124" spans="1:21">
      <c r="A124" s="398" t="str">
        <f t="shared" si="9"/>
        <v/>
      </c>
      <c r="B124" s="399"/>
      <c r="C124" s="398" t="str">
        <f>IFERROR(INDEX(DATA_PROPERTY_MASTER!$B:$B,MATCH($B124,DATA_PROPERTY_MASTER!$A:$A,0)),"")</f>
        <v/>
      </c>
      <c r="D124" s="399"/>
      <c r="E124" s="399"/>
      <c r="F124" s="404"/>
      <c r="G124" s="404"/>
      <c r="H124" s="399"/>
      <c r="I124" s="399"/>
      <c r="J124" s="399"/>
      <c r="K124" s="399"/>
      <c r="L124" s="399"/>
      <c r="M124" s="399"/>
      <c r="N124" s="399"/>
      <c r="O124" s="399"/>
      <c r="P124" s="399"/>
      <c r="Q124" s="399"/>
      <c r="R124" s="399"/>
      <c r="S124" s="398" t="str">
        <f t="shared" ca="1" si="10"/>
        <v/>
      </c>
      <c r="T124" s="399"/>
      <c r="U124" s="398" t="str">
        <f t="shared" si="11"/>
        <v>Blank</v>
      </c>
    </row>
    <row r="125" spans="1:21">
      <c r="A125" s="398" t="str">
        <f t="shared" si="9"/>
        <v/>
      </c>
      <c r="B125" s="399"/>
      <c r="C125" s="398" t="str">
        <f>IFERROR(INDEX(DATA_PROPERTY_MASTER!$B:$B,MATCH($B125,DATA_PROPERTY_MASTER!$A:$A,0)),"")</f>
        <v/>
      </c>
      <c r="D125" s="399"/>
      <c r="E125" s="399"/>
      <c r="F125" s="404"/>
      <c r="G125" s="404"/>
      <c r="H125" s="399"/>
      <c r="I125" s="399"/>
      <c r="J125" s="399"/>
      <c r="K125" s="399"/>
      <c r="L125" s="399"/>
      <c r="M125" s="399"/>
      <c r="N125" s="399"/>
      <c r="O125" s="399"/>
      <c r="P125" s="399"/>
      <c r="Q125" s="399"/>
      <c r="R125" s="399"/>
      <c r="S125" s="398" t="str">
        <f t="shared" ca="1" si="10"/>
        <v/>
      </c>
      <c r="T125" s="399"/>
      <c r="U125" s="398" t="str">
        <f t="shared" si="11"/>
        <v>Blank</v>
      </c>
    </row>
    <row r="126" spans="1:21">
      <c r="A126" s="398" t="str">
        <f t="shared" si="9"/>
        <v/>
      </c>
      <c r="B126" s="399"/>
      <c r="C126" s="398" t="str">
        <f>IFERROR(INDEX(DATA_PROPERTY_MASTER!$B:$B,MATCH($B126,DATA_PROPERTY_MASTER!$A:$A,0)),"")</f>
        <v/>
      </c>
      <c r="D126" s="399"/>
      <c r="E126" s="399"/>
      <c r="F126" s="404"/>
      <c r="G126" s="404"/>
      <c r="H126" s="399"/>
      <c r="I126" s="399"/>
      <c r="J126" s="399"/>
      <c r="K126" s="399"/>
      <c r="L126" s="399"/>
      <c r="M126" s="399"/>
      <c r="N126" s="399"/>
      <c r="O126" s="399"/>
      <c r="P126" s="399"/>
      <c r="Q126" s="399"/>
      <c r="R126" s="399"/>
      <c r="S126" s="398" t="str">
        <f t="shared" ca="1" si="10"/>
        <v/>
      </c>
      <c r="T126" s="399"/>
      <c r="U126" s="398" t="str">
        <f t="shared" si="11"/>
        <v>Blank</v>
      </c>
    </row>
    <row r="127" spans="1:21">
      <c r="A127" s="398" t="str">
        <f t="shared" si="9"/>
        <v/>
      </c>
      <c r="B127" s="399"/>
      <c r="C127" s="398" t="str">
        <f>IFERROR(INDEX(DATA_PROPERTY_MASTER!$B:$B,MATCH($B127,DATA_PROPERTY_MASTER!$A:$A,0)),"")</f>
        <v/>
      </c>
      <c r="D127" s="399"/>
      <c r="E127" s="399"/>
      <c r="F127" s="404"/>
      <c r="G127" s="404"/>
      <c r="H127" s="399"/>
      <c r="I127" s="399"/>
      <c r="J127" s="399"/>
      <c r="K127" s="399"/>
      <c r="L127" s="399"/>
      <c r="M127" s="399"/>
      <c r="N127" s="399"/>
      <c r="O127" s="399"/>
      <c r="P127" s="399"/>
      <c r="Q127" s="399"/>
      <c r="R127" s="399"/>
      <c r="S127" s="398" t="str">
        <f t="shared" ca="1" si="10"/>
        <v/>
      </c>
      <c r="T127" s="399"/>
      <c r="U127" s="398" t="str">
        <f t="shared" si="11"/>
        <v>Blank</v>
      </c>
    </row>
    <row r="128" spans="1:21">
      <c r="A128" s="398" t="str">
        <f t="shared" si="9"/>
        <v/>
      </c>
      <c r="B128" s="399"/>
      <c r="C128" s="398" t="str">
        <f>IFERROR(INDEX(DATA_PROPERTY_MASTER!$B:$B,MATCH($B128,DATA_PROPERTY_MASTER!$A:$A,0)),"")</f>
        <v/>
      </c>
      <c r="D128" s="399"/>
      <c r="E128" s="399"/>
      <c r="F128" s="404"/>
      <c r="G128" s="404"/>
      <c r="H128" s="399"/>
      <c r="I128" s="399"/>
      <c r="J128" s="399"/>
      <c r="K128" s="399"/>
      <c r="L128" s="399"/>
      <c r="M128" s="399"/>
      <c r="N128" s="399"/>
      <c r="O128" s="399"/>
      <c r="P128" s="399"/>
      <c r="Q128" s="399"/>
      <c r="R128" s="399"/>
      <c r="S128" s="398" t="str">
        <f t="shared" ca="1" si="10"/>
        <v/>
      </c>
      <c r="T128" s="399"/>
      <c r="U128" s="398" t="str">
        <f t="shared" si="11"/>
        <v>Blank</v>
      </c>
    </row>
    <row r="129" spans="1:21">
      <c r="A129" s="398" t="str">
        <f t="shared" si="9"/>
        <v/>
      </c>
      <c r="B129" s="399"/>
      <c r="C129" s="398" t="str">
        <f>IFERROR(INDEX(DATA_PROPERTY_MASTER!$B:$B,MATCH($B129,DATA_PROPERTY_MASTER!$A:$A,0)),"")</f>
        <v/>
      </c>
      <c r="D129" s="399"/>
      <c r="E129" s="399"/>
      <c r="F129" s="404"/>
      <c r="G129" s="404"/>
      <c r="H129" s="399"/>
      <c r="I129" s="399"/>
      <c r="J129" s="399"/>
      <c r="K129" s="399"/>
      <c r="L129" s="399"/>
      <c r="M129" s="399"/>
      <c r="N129" s="399"/>
      <c r="O129" s="399"/>
      <c r="P129" s="399"/>
      <c r="Q129" s="399"/>
      <c r="R129" s="399"/>
      <c r="S129" s="398" t="str">
        <f t="shared" ca="1" si="10"/>
        <v/>
      </c>
      <c r="T129" s="399"/>
      <c r="U129" s="398" t="str">
        <f t="shared" si="11"/>
        <v>Blank</v>
      </c>
    </row>
    <row r="130" spans="1:21">
      <c r="A130" s="398" t="str">
        <f t="shared" si="9"/>
        <v/>
      </c>
      <c r="B130" s="399"/>
      <c r="C130" s="398" t="str">
        <f>IFERROR(INDEX(DATA_PROPERTY_MASTER!$B:$B,MATCH($B130,DATA_PROPERTY_MASTER!$A:$A,0)),"")</f>
        <v/>
      </c>
      <c r="D130" s="399"/>
      <c r="E130" s="399"/>
      <c r="F130" s="404"/>
      <c r="G130" s="404"/>
      <c r="H130" s="399"/>
      <c r="I130" s="399"/>
      <c r="J130" s="399"/>
      <c r="K130" s="399"/>
      <c r="L130" s="399"/>
      <c r="M130" s="399"/>
      <c r="N130" s="399"/>
      <c r="O130" s="399"/>
      <c r="P130" s="399"/>
      <c r="Q130" s="399"/>
      <c r="R130" s="399"/>
      <c r="S130" s="398" t="str">
        <f t="shared" ca="1" si="10"/>
        <v/>
      </c>
      <c r="T130" s="399"/>
      <c r="U130" s="398" t="str">
        <f t="shared" si="11"/>
        <v>Blank</v>
      </c>
    </row>
    <row r="131" spans="1:21">
      <c r="A131" s="398" t="str">
        <f t="shared" si="9"/>
        <v/>
      </c>
      <c r="B131" s="399"/>
      <c r="C131" s="398" t="str">
        <f>IFERROR(INDEX(DATA_PROPERTY_MASTER!$B:$B,MATCH($B131,DATA_PROPERTY_MASTER!$A:$A,0)),"")</f>
        <v/>
      </c>
      <c r="D131" s="399"/>
      <c r="E131" s="399"/>
      <c r="F131" s="404"/>
      <c r="G131" s="404"/>
      <c r="H131" s="399"/>
      <c r="I131" s="399"/>
      <c r="J131" s="399"/>
      <c r="K131" s="399"/>
      <c r="L131" s="399"/>
      <c r="M131" s="399"/>
      <c r="N131" s="399"/>
      <c r="O131" s="399"/>
      <c r="P131" s="399"/>
      <c r="Q131" s="399"/>
      <c r="R131" s="399"/>
      <c r="S131" s="398" t="str">
        <f t="shared" ca="1" si="10"/>
        <v/>
      </c>
      <c r="T131" s="399"/>
      <c r="U131" s="398" t="str">
        <f t="shared" si="11"/>
        <v>Blank</v>
      </c>
    </row>
    <row r="132" spans="1:21">
      <c r="A132" s="398" t="str">
        <f t="shared" si="9"/>
        <v/>
      </c>
      <c r="B132" s="399"/>
      <c r="C132" s="398" t="str">
        <f>IFERROR(INDEX(DATA_PROPERTY_MASTER!$B:$B,MATCH($B132,DATA_PROPERTY_MASTER!$A:$A,0)),"")</f>
        <v/>
      </c>
      <c r="D132" s="399"/>
      <c r="E132" s="399"/>
      <c r="F132" s="404"/>
      <c r="G132" s="404"/>
      <c r="H132" s="399"/>
      <c r="I132" s="399"/>
      <c r="J132" s="399"/>
      <c r="K132" s="399"/>
      <c r="L132" s="399"/>
      <c r="M132" s="399"/>
      <c r="N132" s="399"/>
      <c r="O132" s="399"/>
      <c r="P132" s="399"/>
      <c r="Q132" s="399"/>
      <c r="R132" s="399"/>
      <c r="S132" s="398" t="str">
        <f t="shared" ca="1" si="10"/>
        <v/>
      </c>
      <c r="T132" s="399"/>
      <c r="U132" s="398" t="str">
        <f t="shared" si="11"/>
        <v>Blank</v>
      </c>
    </row>
    <row r="133" spans="1:21">
      <c r="A133" s="398" t="str">
        <f t="shared" si="9"/>
        <v/>
      </c>
      <c r="B133" s="399"/>
      <c r="C133" s="398" t="str">
        <f>IFERROR(INDEX(DATA_PROPERTY_MASTER!$B:$B,MATCH($B133,DATA_PROPERTY_MASTER!$A:$A,0)),"")</f>
        <v/>
      </c>
      <c r="D133" s="399"/>
      <c r="E133" s="399"/>
      <c r="F133" s="404"/>
      <c r="G133" s="404"/>
      <c r="H133" s="399"/>
      <c r="I133" s="399"/>
      <c r="J133" s="399"/>
      <c r="K133" s="399"/>
      <c r="L133" s="399"/>
      <c r="M133" s="399"/>
      <c r="N133" s="399"/>
      <c r="O133" s="399"/>
      <c r="P133" s="399"/>
      <c r="Q133" s="399"/>
      <c r="R133" s="399"/>
      <c r="S133" s="398" t="str">
        <f t="shared" ca="1" si="10"/>
        <v/>
      </c>
      <c r="T133" s="399"/>
      <c r="U133" s="398" t="str">
        <f t="shared" si="11"/>
        <v>Blank</v>
      </c>
    </row>
    <row r="134" spans="1:21">
      <c r="A134" s="398" t="str">
        <f t="shared" si="9"/>
        <v/>
      </c>
      <c r="B134" s="399"/>
      <c r="C134" s="398" t="str">
        <f>IFERROR(INDEX(DATA_PROPERTY_MASTER!$B:$B,MATCH($B134,DATA_PROPERTY_MASTER!$A:$A,0)),"")</f>
        <v/>
      </c>
      <c r="D134" s="399"/>
      <c r="E134" s="399"/>
      <c r="F134" s="404"/>
      <c r="G134" s="404"/>
      <c r="H134" s="399"/>
      <c r="I134" s="399"/>
      <c r="J134" s="399"/>
      <c r="K134" s="399"/>
      <c r="L134" s="399"/>
      <c r="M134" s="399"/>
      <c r="N134" s="399"/>
      <c r="O134" s="399"/>
      <c r="P134" s="399"/>
      <c r="Q134" s="399"/>
      <c r="R134" s="399"/>
      <c r="S134" s="398" t="str">
        <f t="shared" ca="1" si="10"/>
        <v/>
      </c>
      <c r="T134" s="399"/>
      <c r="U134" s="398" t="str">
        <f t="shared" si="11"/>
        <v>Blank</v>
      </c>
    </row>
    <row r="135" spans="1:21">
      <c r="A135" s="398" t="str">
        <f t="shared" ref="A135:A166" si="12">IF($B135="","","AGR-"&amp;TEXT(ROW()-6,"0000"))</f>
        <v/>
      </c>
      <c r="B135" s="399"/>
      <c r="C135" s="398" t="str">
        <f>IFERROR(INDEX(DATA_PROPERTY_MASTER!$B:$B,MATCH($B135,DATA_PROPERTY_MASTER!$A:$A,0)),"")</f>
        <v/>
      </c>
      <c r="D135" s="399"/>
      <c r="E135" s="399"/>
      <c r="F135" s="404"/>
      <c r="G135" s="404"/>
      <c r="H135" s="399"/>
      <c r="I135" s="399"/>
      <c r="J135" s="399"/>
      <c r="K135" s="399"/>
      <c r="L135" s="399"/>
      <c r="M135" s="399"/>
      <c r="N135" s="399"/>
      <c r="O135" s="399"/>
      <c r="P135" s="399"/>
      <c r="Q135" s="399"/>
      <c r="R135" s="399"/>
      <c r="S135" s="398" t="str">
        <f t="shared" ref="S135:S166" ca="1" si="13">IF($B135="","",IF($G135="","No end date",IF($G135&lt;TODAY(),"Expired / Review","Active / Future")))</f>
        <v/>
      </c>
      <c r="T135" s="399"/>
      <c r="U135" s="398" t="str">
        <f t="shared" ref="U135:U166" si="14">IF($B135="","Blank",IF(OR($D135="",$H135=""),"Review","OK"))</f>
        <v>Blank</v>
      </c>
    </row>
    <row r="136" spans="1:21">
      <c r="A136" s="398" t="str">
        <f t="shared" si="12"/>
        <v/>
      </c>
      <c r="B136" s="399"/>
      <c r="C136" s="398" t="str">
        <f>IFERROR(INDEX(DATA_PROPERTY_MASTER!$B:$B,MATCH($B136,DATA_PROPERTY_MASTER!$A:$A,0)),"")</f>
        <v/>
      </c>
      <c r="D136" s="399"/>
      <c r="E136" s="399"/>
      <c r="F136" s="404"/>
      <c r="G136" s="404"/>
      <c r="H136" s="399"/>
      <c r="I136" s="399"/>
      <c r="J136" s="399"/>
      <c r="K136" s="399"/>
      <c r="L136" s="399"/>
      <c r="M136" s="399"/>
      <c r="N136" s="399"/>
      <c r="O136" s="399"/>
      <c r="P136" s="399"/>
      <c r="Q136" s="399"/>
      <c r="R136" s="399"/>
      <c r="S136" s="398" t="str">
        <f t="shared" ca="1" si="13"/>
        <v/>
      </c>
      <c r="T136" s="399"/>
      <c r="U136" s="398" t="str">
        <f t="shared" si="14"/>
        <v>Blank</v>
      </c>
    </row>
    <row r="137" spans="1:21">
      <c r="A137" s="398" t="str">
        <f t="shared" si="12"/>
        <v/>
      </c>
      <c r="B137" s="399"/>
      <c r="C137" s="398" t="str">
        <f>IFERROR(INDEX(DATA_PROPERTY_MASTER!$B:$B,MATCH($B137,DATA_PROPERTY_MASTER!$A:$A,0)),"")</f>
        <v/>
      </c>
      <c r="D137" s="399"/>
      <c r="E137" s="399"/>
      <c r="F137" s="404"/>
      <c r="G137" s="404"/>
      <c r="H137" s="399"/>
      <c r="I137" s="399"/>
      <c r="J137" s="399"/>
      <c r="K137" s="399"/>
      <c r="L137" s="399"/>
      <c r="M137" s="399"/>
      <c r="N137" s="399"/>
      <c r="O137" s="399"/>
      <c r="P137" s="399"/>
      <c r="Q137" s="399"/>
      <c r="R137" s="399"/>
      <c r="S137" s="398" t="str">
        <f t="shared" ca="1" si="13"/>
        <v/>
      </c>
      <c r="T137" s="399"/>
      <c r="U137" s="398" t="str">
        <f t="shared" si="14"/>
        <v>Blank</v>
      </c>
    </row>
    <row r="138" spans="1:21">
      <c r="A138" s="398" t="str">
        <f t="shared" si="12"/>
        <v/>
      </c>
      <c r="B138" s="399"/>
      <c r="C138" s="398" t="str">
        <f>IFERROR(INDEX(DATA_PROPERTY_MASTER!$B:$B,MATCH($B138,DATA_PROPERTY_MASTER!$A:$A,0)),"")</f>
        <v/>
      </c>
      <c r="D138" s="399"/>
      <c r="E138" s="399"/>
      <c r="F138" s="404"/>
      <c r="G138" s="404"/>
      <c r="H138" s="399"/>
      <c r="I138" s="399"/>
      <c r="J138" s="399"/>
      <c r="K138" s="399"/>
      <c r="L138" s="399"/>
      <c r="M138" s="399"/>
      <c r="N138" s="399"/>
      <c r="O138" s="399"/>
      <c r="P138" s="399"/>
      <c r="Q138" s="399"/>
      <c r="R138" s="399"/>
      <c r="S138" s="398" t="str">
        <f t="shared" ca="1" si="13"/>
        <v/>
      </c>
      <c r="T138" s="399"/>
      <c r="U138" s="398" t="str">
        <f t="shared" si="14"/>
        <v>Blank</v>
      </c>
    </row>
    <row r="139" spans="1:21">
      <c r="A139" s="398" t="str">
        <f t="shared" si="12"/>
        <v/>
      </c>
      <c r="B139" s="399"/>
      <c r="C139" s="398" t="str">
        <f>IFERROR(INDEX(DATA_PROPERTY_MASTER!$B:$B,MATCH($B139,DATA_PROPERTY_MASTER!$A:$A,0)),"")</f>
        <v/>
      </c>
      <c r="D139" s="399"/>
      <c r="E139" s="399"/>
      <c r="F139" s="404"/>
      <c r="G139" s="404"/>
      <c r="H139" s="399"/>
      <c r="I139" s="399"/>
      <c r="J139" s="399"/>
      <c r="K139" s="399"/>
      <c r="L139" s="399"/>
      <c r="M139" s="399"/>
      <c r="N139" s="399"/>
      <c r="O139" s="399"/>
      <c r="P139" s="399"/>
      <c r="Q139" s="399"/>
      <c r="R139" s="399"/>
      <c r="S139" s="398" t="str">
        <f t="shared" ca="1" si="13"/>
        <v/>
      </c>
      <c r="T139" s="399"/>
      <c r="U139" s="398" t="str">
        <f t="shared" si="14"/>
        <v>Blank</v>
      </c>
    </row>
    <row r="140" spans="1:21">
      <c r="A140" s="398" t="str">
        <f t="shared" si="12"/>
        <v/>
      </c>
      <c r="B140" s="399"/>
      <c r="C140" s="398" t="str">
        <f>IFERROR(INDEX(DATA_PROPERTY_MASTER!$B:$B,MATCH($B140,DATA_PROPERTY_MASTER!$A:$A,0)),"")</f>
        <v/>
      </c>
      <c r="D140" s="399"/>
      <c r="E140" s="399"/>
      <c r="F140" s="404"/>
      <c r="G140" s="404"/>
      <c r="H140" s="399"/>
      <c r="I140" s="399"/>
      <c r="J140" s="399"/>
      <c r="K140" s="399"/>
      <c r="L140" s="399"/>
      <c r="M140" s="399"/>
      <c r="N140" s="399"/>
      <c r="O140" s="399"/>
      <c r="P140" s="399"/>
      <c r="Q140" s="399"/>
      <c r="R140" s="399"/>
      <c r="S140" s="398" t="str">
        <f t="shared" ca="1" si="13"/>
        <v/>
      </c>
      <c r="T140" s="399"/>
      <c r="U140" s="398" t="str">
        <f t="shared" si="14"/>
        <v>Blank</v>
      </c>
    </row>
    <row r="141" spans="1:21">
      <c r="A141" s="398" t="str">
        <f t="shared" si="12"/>
        <v/>
      </c>
      <c r="B141" s="399"/>
      <c r="C141" s="398" t="str">
        <f>IFERROR(INDEX(DATA_PROPERTY_MASTER!$B:$B,MATCH($B141,DATA_PROPERTY_MASTER!$A:$A,0)),"")</f>
        <v/>
      </c>
      <c r="D141" s="399"/>
      <c r="E141" s="399"/>
      <c r="F141" s="404"/>
      <c r="G141" s="404"/>
      <c r="H141" s="399"/>
      <c r="I141" s="399"/>
      <c r="J141" s="399"/>
      <c r="K141" s="399"/>
      <c r="L141" s="399"/>
      <c r="M141" s="399"/>
      <c r="N141" s="399"/>
      <c r="O141" s="399"/>
      <c r="P141" s="399"/>
      <c r="Q141" s="399"/>
      <c r="R141" s="399"/>
      <c r="S141" s="398" t="str">
        <f t="shared" ca="1" si="13"/>
        <v/>
      </c>
      <c r="T141" s="399"/>
      <c r="U141" s="398" t="str">
        <f t="shared" si="14"/>
        <v>Blank</v>
      </c>
    </row>
    <row r="142" spans="1:21">
      <c r="A142" s="398" t="str">
        <f t="shared" si="12"/>
        <v/>
      </c>
      <c r="B142" s="399"/>
      <c r="C142" s="398" t="str">
        <f>IFERROR(INDEX(DATA_PROPERTY_MASTER!$B:$B,MATCH($B142,DATA_PROPERTY_MASTER!$A:$A,0)),"")</f>
        <v/>
      </c>
      <c r="D142" s="399"/>
      <c r="E142" s="399"/>
      <c r="F142" s="404"/>
      <c r="G142" s="404"/>
      <c r="H142" s="399"/>
      <c r="I142" s="399"/>
      <c r="J142" s="399"/>
      <c r="K142" s="399"/>
      <c r="L142" s="399"/>
      <c r="M142" s="399"/>
      <c r="N142" s="399"/>
      <c r="O142" s="399"/>
      <c r="P142" s="399"/>
      <c r="Q142" s="399"/>
      <c r="R142" s="399"/>
      <c r="S142" s="398" t="str">
        <f t="shared" ca="1" si="13"/>
        <v/>
      </c>
      <c r="T142" s="399"/>
      <c r="U142" s="398" t="str">
        <f t="shared" si="14"/>
        <v>Blank</v>
      </c>
    </row>
    <row r="143" spans="1:21">
      <c r="A143" s="398" t="str">
        <f t="shared" si="12"/>
        <v/>
      </c>
      <c r="B143" s="399"/>
      <c r="C143" s="398" t="str">
        <f>IFERROR(INDEX(DATA_PROPERTY_MASTER!$B:$B,MATCH($B143,DATA_PROPERTY_MASTER!$A:$A,0)),"")</f>
        <v/>
      </c>
      <c r="D143" s="399"/>
      <c r="E143" s="399"/>
      <c r="F143" s="404"/>
      <c r="G143" s="404"/>
      <c r="H143" s="399"/>
      <c r="I143" s="399"/>
      <c r="J143" s="399"/>
      <c r="K143" s="399"/>
      <c r="L143" s="399"/>
      <c r="M143" s="399"/>
      <c r="N143" s="399"/>
      <c r="O143" s="399"/>
      <c r="P143" s="399"/>
      <c r="Q143" s="399"/>
      <c r="R143" s="399"/>
      <c r="S143" s="398" t="str">
        <f t="shared" ca="1" si="13"/>
        <v/>
      </c>
      <c r="T143" s="399"/>
      <c r="U143" s="398" t="str">
        <f t="shared" si="14"/>
        <v>Blank</v>
      </c>
    </row>
    <row r="144" spans="1:21">
      <c r="A144" s="398" t="str">
        <f t="shared" si="12"/>
        <v/>
      </c>
      <c r="B144" s="399"/>
      <c r="C144" s="398" t="str">
        <f>IFERROR(INDEX(DATA_PROPERTY_MASTER!$B:$B,MATCH($B144,DATA_PROPERTY_MASTER!$A:$A,0)),"")</f>
        <v/>
      </c>
      <c r="D144" s="399"/>
      <c r="E144" s="399"/>
      <c r="F144" s="404"/>
      <c r="G144" s="404"/>
      <c r="H144" s="399"/>
      <c r="I144" s="399"/>
      <c r="J144" s="399"/>
      <c r="K144" s="399"/>
      <c r="L144" s="399"/>
      <c r="M144" s="399"/>
      <c r="N144" s="399"/>
      <c r="O144" s="399"/>
      <c r="P144" s="399"/>
      <c r="Q144" s="399"/>
      <c r="R144" s="399"/>
      <c r="S144" s="398" t="str">
        <f t="shared" ca="1" si="13"/>
        <v/>
      </c>
      <c r="T144" s="399"/>
      <c r="U144" s="398" t="str">
        <f t="shared" si="14"/>
        <v>Blank</v>
      </c>
    </row>
    <row r="145" spans="1:21">
      <c r="A145" s="398" t="str">
        <f t="shared" si="12"/>
        <v/>
      </c>
      <c r="B145" s="399"/>
      <c r="C145" s="398" t="str">
        <f>IFERROR(INDEX(DATA_PROPERTY_MASTER!$B:$B,MATCH($B145,DATA_PROPERTY_MASTER!$A:$A,0)),"")</f>
        <v/>
      </c>
      <c r="D145" s="399"/>
      <c r="E145" s="399"/>
      <c r="F145" s="404"/>
      <c r="G145" s="404"/>
      <c r="H145" s="399"/>
      <c r="I145" s="399"/>
      <c r="J145" s="399"/>
      <c r="K145" s="399"/>
      <c r="L145" s="399"/>
      <c r="M145" s="399"/>
      <c r="N145" s="399"/>
      <c r="O145" s="399"/>
      <c r="P145" s="399"/>
      <c r="Q145" s="399"/>
      <c r="R145" s="399"/>
      <c r="S145" s="398" t="str">
        <f t="shared" ca="1" si="13"/>
        <v/>
      </c>
      <c r="T145" s="399"/>
      <c r="U145" s="398" t="str">
        <f t="shared" si="14"/>
        <v>Blank</v>
      </c>
    </row>
    <row r="146" spans="1:21">
      <c r="A146" s="398" t="str">
        <f t="shared" si="12"/>
        <v/>
      </c>
      <c r="B146" s="399"/>
      <c r="C146" s="398" t="str">
        <f>IFERROR(INDEX(DATA_PROPERTY_MASTER!$B:$B,MATCH($B146,DATA_PROPERTY_MASTER!$A:$A,0)),"")</f>
        <v/>
      </c>
      <c r="D146" s="399"/>
      <c r="E146" s="399"/>
      <c r="F146" s="404"/>
      <c r="G146" s="404"/>
      <c r="H146" s="399"/>
      <c r="I146" s="399"/>
      <c r="J146" s="399"/>
      <c r="K146" s="399"/>
      <c r="L146" s="399"/>
      <c r="M146" s="399"/>
      <c r="N146" s="399"/>
      <c r="O146" s="399"/>
      <c r="P146" s="399"/>
      <c r="Q146" s="399"/>
      <c r="R146" s="399"/>
      <c r="S146" s="398" t="str">
        <f t="shared" ca="1" si="13"/>
        <v/>
      </c>
      <c r="T146" s="399"/>
      <c r="U146" s="398" t="str">
        <f t="shared" si="14"/>
        <v>Blank</v>
      </c>
    </row>
    <row r="147" spans="1:21">
      <c r="A147" s="398" t="str">
        <f t="shared" si="12"/>
        <v/>
      </c>
      <c r="B147" s="399"/>
      <c r="C147" s="398" t="str">
        <f>IFERROR(INDEX(DATA_PROPERTY_MASTER!$B:$B,MATCH($B147,DATA_PROPERTY_MASTER!$A:$A,0)),"")</f>
        <v/>
      </c>
      <c r="D147" s="399"/>
      <c r="E147" s="399"/>
      <c r="F147" s="404"/>
      <c r="G147" s="404"/>
      <c r="H147" s="399"/>
      <c r="I147" s="399"/>
      <c r="J147" s="399"/>
      <c r="K147" s="399"/>
      <c r="L147" s="399"/>
      <c r="M147" s="399"/>
      <c r="N147" s="399"/>
      <c r="O147" s="399"/>
      <c r="P147" s="399"/>
      <c r="Q147" s="399"/>
      <c r="R147" s="399"/>
      <c r="S147" s="398" t="str">
        <f t="shared" ca="1" si="13"/>
        <v/>
      </c>
      <c r="T147" s="399"/>
      <c r="U147" s="398" t="str">
        <f t="shared" si="14"/>
        <v>Blank</v>
      </c>
    </row>
    <row r="148" spans="1:21">
      <c r="A148" s="398" t="str">
        <f t="shared" si="12"/>
        <v/>
      </c>
      <c r="B148" s="399"/>
      <c r="C148" s="398" t="str">
        <f>IFERROR(INDEX(DATA_PROPERTY_MASTER!$B:$B,MATCH($B148,DATA_PROPERTY_MASTER!$A:$A,0)),"")</f>
        <v/>
      </c>
      <c r="D148" s="399"/>
      <c r="E148" s="399"/>
      <c r="F148" s="404"/>
      <c r="G148" s="404"/>
      <c r="H148" s="399"/>
      <c r="I148" s="399"/>
      <c r="J148" s="399"/>
      <c r="K148" s="399"/>
      <c r="L148" s="399"/>
      <c r="M148" s="399"/>
      <c r="N148" s="399"/>
      <c r="O148" s="399"/>
      <c r="P148" s="399"/>
      <c r="Q148" s="399"/>
      <c r="R148" s="399"/>
      <c r="S148" s="398" t="str">
        <f t="shared" ca="1" si="13"/>
        <v/>
      </c>
      <c r="T148" s="399"/>
      <c r="U148" s="398" t="str">
        <f t="shared" si="14"/>
        <v>Blank</v>
      </c>
    </row>
    <row r="149" spans="1:21">
      <c r="A149" s="398" t="str">
        <f t="shared" si="12"/>
        <v/>
      </c>
      <c r="B149" s="399"/>
      <c r="C149" s="398" t="str">
        <f>IFERROR(INDEX(DATA_PROPERTY_MASTER!$B:$B,MATCH($B149,DATA_PROPERTY_MASTER!$A:$A,0)),"")</f>
        <v/>
      </c>
      <c r="D149" s="399"/>
      <c r="E149" s="399"/>
      <c r="F149" s="404"/>
      <c r="G149" s="404"/>
      <c r="H149" s="399"/>
      <c r="I149" s="399"/>
      <c r="J149" s="399"/>
      <c r="K149" s="399"/>
      <c r="L149" s="399"/>
      <c r="M149" s="399"/>
      <c r="N149" s="399"/>
      <c r="O149" s="399"/>
      <c r="P149" s="399"/>
      <c r="Q149" s="399"/>
      <c r="R149" s="399"/>
      <c r="S149" s="398" t="str">
        <f t="shared" ca="1" si="13"/>
        <v/>
      </c>
      <c r="T149" s="399"/>
      <c r="U149" s="398" t="str">
        <f t="shared" si="14"/>
        <v>Blank</v>
      </c>
    </row>
    <row r="150" spans="1:21">
      <c r="A150" s="398" t="str">
        <f t="shared" si="12"/>
        <v/>
      </c>
      <c r="B150" s="399"/>
      <c r="C150" s="398" t="str">
        <f>IFERROR(INDEX(DATA_PROPERTY_MASTER!$B:$B,MATCH($B150,DATA_PROPERTY_MASTER!$A:$A,0)),"")</f>
        <v/>
      </c>
      <c r="D150" s="399"/>
      <c r="E150" s="399"/>
      <c r="F150" s="404"/>
      <c r="G150" s="404"/>
      <c r="H150" s="399"/>
      <c r="I150" s="399"/>
      <c r="J150" s="399"/>
      <c r="K150" s="399"/>
      <c r="L150" s="399"/>
      <c r="M150" s="399"/>
      <c r="N150" s="399"/>
      <c r="O150" s="399"/>
      <c r="P150" s="399"/>
      <c r="Q150" s="399"/>
      <c r="R150" s="399"/>
      <c r="S150" s="398" t="str">
        <f t="shared" ca="1" si="13"/>
        <v/>
      </c>
      <c r="T150" s="399"/>
      <c r="U150" s="398" t="str">
        <f t="shared" si="14"/>
        <v>Blank</v>
      </c>
    </row>
    <row r="151" spans="1:21">
      <c r="A151" s="398" t="str">
        <f t="shared" si="12"/>
        <v/>
      </c>
      <c r="B151" s="399"/>
      <c r="C151" s="398" t="str">
        <f>IFERROR(INDEX(DATA_PROPERTY_MASTER!$B:$B,MATCH($B151,DATA_PROPERTY_MASTER!$A:$A,0)),"")</f>
        <v/>
      </c>
      <c r="D151" s="399"/>
      <c r="E151" s="399"/>
      <c r="F151" s="404"/>
      <c r="G151" s="404"/>
      <c r="H151" s="399"/>
      <c r="I151" s="399"/>
      <c r="J151" s="399"/>
      <c r="K151" s="399"/>
      <c r="L151" s="399"/>
      <c r="M151" s="399"/>
      <c r="N151" s="399"/>
      <c r="O151" s="399"/>
      <c r="P151" s="399"/>
      <c r="Q151" s="399"/>
      <c r="R151" s="399"/>
      <c r="S151" s="398" t="str">
        <f t="shared" ca="1" si="13"/>
        <v/>
      </c>
      <c r="T151" s="399"/>
      <c r="U151" s="398" t="str">
        <f t="shared" si="14"/>
        <v>Blank</v>
      </c>
    </row>
    <row r="152" spans="1:21">
      <c r="A152" s="398" t="str">
        <f t="shared" si="12"/>
        <v/>
      </c>
      <c r="B152" s="399"/>
      <c r="C152" s="398" t="str">
        <f>IFERROR(INDEX(DATA_PROPERTY_MASTER!$B:$B,MATCH($B152,DATA_PROPERTY_MASTER!$A:$A,0)),"")</f>
        <v/>
      </c>
      <c r="D152" s="399"/>
      <c r="E152" s="399"/>
      <c r="F152" s="404"/>
      <c r="G152" s="404"/>
      <c r="H152" s="399"/>
      <c r="I152" s="399"/>
      <c r="J152" s="399"/>
      <c r="K152" s="399"/>
      <c r="L152" s="399"/>
      <c r="M152" s="399"/>
      <c r="N152" s="399"/>
      <c r="O152" s="399"/>
      <c r="P152" s="399"/>
      <c r="Q152" s="399"/>
      <c r="R152" s="399"/>
      <c r="S152" s="398" t="str">
        <f t="shared" ca="1" si="13"/>
        <v/>
      </c>
      <c r="T152" s="399"/>
      <c r="U152" s="398" t="str">
        <f t="shared" si="14"/>
        <v>Blank</v>
      </c>
    </row>
    <row r="153" spans="1:21">
      <c r="A153" s="398" t="str">
        <f t="shared" si="12"/>
        <v/>
      </c>
      <c r="B153" s="399"/>
      <c r="C153" s="398" t="str">
        <f>IFERROR(INDEX(DATA_PROPERTY_MASTER!$B:$B,MATCH($B153,DATA_PROPERTY_MASTER!$A:$A,0)),"")</f>
        <v/>
      </c>
      <c r="D153" s="399"/>
      <c r="E153" s="399"/>
      <c r="F153" s="404"/>
      <c r="G153" s="404"/>
      <c r="H153" s="399"/>
      <c r="I153" s="399"/>
      <c r="J153" s="399"/>
      <c r="K153" s="399"/>
      <c r="L153" s="399"/>
      <c r="M153" s="399"/>
      <c r="N153" s="399"/>
      <c r="O153" s="399"/>
      <c r="P153" s="399"/>
      <c r="Q153" s="399"/>
      <c r="R153" s="399"/>
      <c r="S153" s="398" t="str">
        <f t="shared" ca="1" si="13"/>
        <v/>
      </c>
      <c r="T153" s="399"/>
      <c r="U153" s="398" t="str">
        <f t="shared" si="14"/>
        <v>Blank</v>
      </c>
    </row>
    <row r="154" spans="1:21">
      <c r="A154" s="398" t="str">
        <f t="shared" si="12"/>
        <v/>
      </c>
      <c r="B154" s="399"/>
      <c r="C154" s="398" t="str">
        <f>IFERROR(INDEX(DATA_PROPERTY_MASTER!$B:$B,MATCH($B154,DATA_PROPERTY_MASTER!$A:$A,0)),"")</f>
        <v/>
      </c>
      <c r="D154" s="399"/>
      <c r="E154" s="399"/>
      <c r="F154" s="404"/>
      <c r="G154" s="404"/>
      <c r="H154" s="399"/>
      <c r="I154" s="399"/>
      <c r="J154" s="399"/>
      <c r="K154" s="399"/>
      <c r="L154" s="399"/>
      <c r="M154" s="399"/>
      <c r="N154" s="399"/>
      <c r="O154" s="399"/>
      <c r="P154" s="399"/>
      <c r="Q154" s="399"/>
      <c r="R154" s="399"/>
      <c r="S154" s="398" t="str">
        <f t="shared" ca="1" si="13"/>
        <v/>
      </c>
      <c r="T154" s="399"/>
      <c r="U154" s="398" t="str">
        <f t="shared" si="14"/>
        <v>Blank</v>
      </c>
    </row>
    <row r="155" spans="1:21">
      <c r="A155" s="398" t="str">
        <f t="shared" si="12"/>
        <v/>
      </c>
      <c r="B155" s="399"/>
      <c r="C155" s="398" t="str">
        <f>IFERROR(INDEX(DATA_PROPERTY_MASTER!$B:$B,MATCH($B155,DATA_PROPERTY_MASTER!$A:$A,0)),"")</f>
        <v/>
      </c>
      <c r="D155" s="399"/>
      <c r="E155" s="399"/>
      <c r="F155" s="404"/>
      <c r="G155" s="404"/>
      <c r="H155" s="399"/>
      <c r="I155" s="399"/>
      <c r="J155" s="399"/>
      <c r="K155" s="399"/>
      <c r="L155" s="399"/>
      <c r="M155" s="399"/>
      <c r="N155" s="399"/>
      <c r="O155" s="399"/>
      <c r="P155" s="399"/>
      <c r="Q155" s="399"/>
      <c r="R155" s="399"/>
      <c r="S155" s="398" t="str">
        <f t="shared" ca="1" si="13"/>
        <v/>
      </c>
      <c r="T155" s="399"/>
      <c r="U155" s="398" t="str">
        <f t="shared" si="14"/>
        <v>Blank</v>
      </c>
    </row>
    <row r="156" spans="1:21">
      <c r="A156" s="398" t="str">
        <f t="shared" si="12"/>
        <v/>
      </c>
      <c r="B156" s="399"/>
      <c r="C156" s="398" t="str">
        <f>IFERROR(INDEX(DATA_PROPERTY_MASTER!$B:$B,MATCH($B156,DATA_PROPERTY_MASTER!$A:$A,0)),"")</f>
        <v/>
      </c>
      <c r="D156" s="399"/>
      <c r="E156" s="399"/>
      <c r="F156" s="404"/>
      <c r="G156" s="404"/>
      <c r="H156" s="399"/>
      <c r="I156" s="399"/>
      <c r="J156" s="399"/>
      <c r="K156" s="399"/>
      <c r="L156" s="399"/>
      <c r="M156" s="399"/>
      <c r="N156" s="399"/>
      <c r="O156" s="399"/>
      <c r="P156" s="399"/>
      <c r="Q156" s="399"/>
      <c r="R156" s="399"/>
      <c r="S156" s="398" t="str">
        <f t="shared" ca="1" si="13"/>
        <v/>
      </c>
      <c r="T156" s="399"/>
      <c r="U156" s="398" t="str">
        <f t="shared" si="14"/>
        <v>Blank</v>
      </c>
    </row>
    <row r="157" spans="1:21">
      <c r="A157" s="398" t="str">
        <f t="shared" si="12"/>
        <v/>
      </c>
      <c r="B157" s="399"/>
      <c r="C157" s="398" t="str">
        <f>IFERROR(INDEX(DATA_PROPERTY_MASTER!$B:$B,MATCH($B157,DATA_PROPERTY_MASTER!$A:$A,0)),"")</f>
        <v/>
      </c>
      <c r="D157" s="399"/>
      <c r="E157" s="399"/>
      <c r="F157" s="404"/>
      <c r="G157" s="404"/>
      <c r="H157" s="399"/>
      <c r="I157" s="399"/>
      <c r="J157" s="399"/>
      <c r="K157" s="399"/>
      <c r="L157" s="399"/>
      <c r="M157" s="399"/>
      <c r="N157" s="399"/>
      <c r="O157" s="399"/>
      <c r="P157" s="399"/>
      <c r="Q157" s="399"/>
      <c r="R157" s="399"/>
      <c r="S157" s="398" t="str">
        <f t="shared" ca="1" si="13"/>
        <v/>
      </c>
      <c r="T157" s="399"/>
      <c r="U157" s="398" t="str">
        <f t="shared" si="14"/>
        <v>Blank</v>
      </c>
    </row>
    <row r="158" spans="1:21">
      <c r="A158" s="398" t="str">
        <f t="shared" si="12"/>
        <v/>
      </c>
      <c r="B158" s="399"/>
      <c r="C158" s="398" t="str">
        <f>IFERROR(INDEX(DATA_PROPERTY_MASTER!$B:$B,MATCH($B158,DATA_PROPERTY_MASTER!$A:$A,0)),"")</f>
        <v/>
      </c>
      <c r="D158" s="399"/>
      <c r="E158" s="399"/>
      <c r="F158" s="404"/>
      <c r="G158" s="404"/>
      <c r="H158" s="399"/>
      <c r="I158" s="399"/>
      <c r="J158" s="399"/>
      <c r="K158" s="399"/>
      <c r="L158" s="399"/>
      <c r="M158" s="399"/>
      <c r="N158" s="399"/>
      <c r="O158" s="399"/>
      <c r="P158" s="399"/>
      <c r="Q158" s="399"/>
      <c r="R158" s="399"/>
      <c r="S158" s="398" t="str">
        <f t="shared" ca="1" si="13"/>
        <v/>
      </c>
      <c r="T158" s="399"/>
      <c r="U158" s="398" t="str">
        <f t="shared" si="14"/>
        <v>Blank</v>
      </c>
    </row>
    <row r="159" spans="1:21">
      <c r="A159" s="398" t="str">
        <f t="shared" si="12"/>
        <v/>
      </c>
      <c r="B159" s="399"/>
      <c r="C159" s="398" t="str">
        <f>IFERROR(INDEX(DATA_PROPERTY_MASTER!$B:$B,MATCH($B159,DATA_PROPERTY_MASTER!$A:$A,0)),"")</f>
        <v/>
      </c>
      <c r="D159" s="399"/>
      <c r="E159" s="399"/>
      <c r="F159" s="404"/>
      <c r="G159" s="404"/>
      <c r="H159" s="399"/>
      <c r="I159" s="399"/>
      <c r="J159" s="399"/>
      <c r="K159" s="399"/>
      <c r="L159" s="399"/>
      <c r="M159" s="399"/>
      <c r="N159" s="399"/>
      <c r="O159" s="399"/>
      <c r="P159" s="399"/>
      <c r="Q159" s="399"/>
      <c r="R159" s="399"/>
      <c r="S159" s="398" t="str">
        <f t="shared" ca="1" si="13"/>
        <v/>
      </c>
      <c r="T159" s="399"/>
      <c r="U159" s="398" t="str">
        <f t="shared" si="14"/>
        <v>Blank</v>
      </c>
    </row>
    <row r="160" spans="1:21">
      <c r="A160" s="398" t="str">
        <f t="shared" si="12"/>
        <v/>
      </c>
      <c r="B160" s="399"/>
      <c r="C160" s="398" t="str">
        <f>IFERROR(INDEX(DATA_PROPERTY_MASTER!$B:$B,MATCH($B160,DATA_PROPERTY_MASTER!$A:$A,0)),"")</f>
        <v/>
      </c>
      <c r="D160" s="399"/>
      <c r="E160" s="399"/>
      <c r="F160" s="404"/>
      <c r="G160" s="404"/>
      <c r="H160" s="399"/>
      <c r="I160" s="399"/>
      <c r="J160" s="399"/>
      <c r="K160" s="399"/>
      <c r="L160" s="399"/>
      <c r="M160" s="399"/>
      <c r="N160" s="399"/>
      <c r="O160" s="399"/>
      <c r="P160" s="399"/>
      <c r="Q160" s="399"/>
      <c r="R160" s="399"/>
      <c r="S160" s="398" t="str">
        <f t="shared" ca="1" si="13"/>
        <v/>
      </c>
      <c r="T160" s="399"/>
      <c r="U160" s="398" t="str">
        <f t="shared" si="14"/>
        <v>Blank</v>
      </c>
    </row>
    <row r="161" spans="1:21">
      <c r="A161" s="398" t="str">
        <f t="shared" si="12"/>
        <v/>
      </c>
      <c r="B161" s="399"/>
      <c r="C161" s="398" t="str">
        <f>IFERROR(INDEX(DATA_PROPERTY_MASTER!$B:$B,MATCH($B161,DATA_PROPERTY_MASTER!$A:$A,0)),"")</f>
        <v/>
      </c>
      <c r="D161" s="399"/>
      <c r="E161" s="399"/>
      <c r="F161" s="404"/>
      <c r="G161" s="404"/>
      <c r="H161" s="399"/>
      <c r="I161" s="399"/>
      <c r="J161" s="399"/>
      <c r="K161" s="399"/>
      <c r="L161" s="399"/>
      <c r="M161" s="399"/>
      <c r="N161" s="399"/>
      <c r="O161" s="399"/>
      <c r="P161" s="399"/>
      <c r="Q161" s="399"/>
      <c r="R161" s="399"/>
      <c r="S161" s="398" t="str">
        <f t="shared" ca="1" si="13"/>
        <v/>
      </c>
      <c r="T161" s="399"/>
      <c r="U161" s="398" t="str">
        <f t="shared" si="14"/>
        <v>Blank</v>
      </c>
    </row>
    <row r="162" spans="1:21">
      <c r="A162" s="398" t="str">
        <f t="shared" si="12"/>
        <v/>
      </c>
      <c r="B162" s="399"/>
      <c r="C162" s="398" t="str">
        <f>IFERROR(INDEX(DATA_PROPERTY_MASTER!$B:$B,MATCH($B162,DATA_PROPERTY_MASTER!$A:$A,0)),"")</f>
        <v/>
      </c>
      <c r="D162" s="399"/>
      <c r="E162" s="399"/>
      <c r="F162" s="404"/>
      <c r="G162" s="404"/>
      <c r="H162" s="399"/>
      <c r="I162" s="399"/>
      <c r="J162" s="399"/>
      <c r="K162" s="399"/>
      <c r="L162" s="399"/>
      <c r="M162" s="399"/>
      <c r="N162" s="399"/>
      <c r="O162" s="399"/>
      <c r="P162" s="399"/>
      <c r="Q162" s="399"/>
      <c r="R162" s="399"/>
      <c r="S162" s="398" t="str">
        <f t="shared" ca="1" si="13"/>
        <v/>
      </c>
      <c r="T162" s="399"/>
      <c r="U162" s="398" t="str">
        <f t="shared" si="14"/>
        <v>Blank</v>
      </c>
    </row>
    <row r="163" spans="1:21">
      <c r="A163" s="398" t="str">
        <f t="shared" si="12"/>
        <v/>
      </c>
      <c r="B163" s="399"/>
      <c r="C163" s="398" t="str">
        <f>IFERROR(INDEX(DATA_PROPERTY_MASTER!$B:$B,MATCH($B163,DATA_PROPERTY_MASTER!$A:$A,0)),"")</f>
        <v/>
      </c>
      <c r="D163" s="399"/>
      <c r="E163" s="399"/>
      <c r="F163" s="404"/>
      <c r="G163" s="404"/>
      <c r="H163" s="399"/>
      <c r="I163" s="399"/>
      <c r="J163" s="399"/>
      <c r="K163" s="399"/>
      <c r="L163" s="399"/>
      <c r="M163" s="399"/>
      <c r="N163" s="399"/>
      <c r="O163" s="399"/>
      <c r="P163" s="399"/>
      <c r="Q163" s="399"/>
      <c r="R163" s="399"/>
      <c r="S163" s="398" t="str">
        <f t="shared" ca="1" si="13"/>
        <v/>
      </c>
      <c r="T163" s="399"/>
      <c r="U163" s="398" t="str">
        <f t="shared" si="14"/>
        <v>Blank</v>
      </c>
    </row>
    <row r="164" spans="1:21">
      <c r="A164" s="398" t="str">
        <f t="shared" si="12"/>
        <v/>
      </c>
      <c r="B164" s="399"/>
      <c r="C164" s="398" t="str">
        <f>IFERROR(INDEX(DATA_PROPERTY_MASTER!$B:$B,MATCH($B164,DATA_PROPERTY_MASTER!$A:$A,0)),"")</f>
        <v/>
      </c>
      <c r="D164" s="399"/>
      <c r="E164" s="399"/>
      <c r="F164" s="404"/>
      <c r="G164" s="404"/>
      <c r="H164" s="399"/>
      <c r="I164" s="399"/>
      <c r="J164" s="399"/>
      <c r="K164" s="399"/>
      <c r="L164" s="399"/>
      <c r="M164" s="399"/>
      <c r="N164" s="399"/>
      <c r="O164" s="399"/>
      <c r="P164" s="399"/>
      <c r="Q164" s="399"/>
      <c r="R164" s="399"/>
      <c r="S164" s="398" t="str">
        <f t="shared" ca="1" si="13"/>
        <v/>
      </c>
      <c r="T164" s="399"/>
      <c r="U164" s="398" t="str">
        <f t="shared" si="14"/>
        <v>Blank</v>
      </c>
    </row>
    <row r="165" spans="1:21">
      <c r="A165" s="398" t="str">
        <f t="shared" si="12"/>
        <v/>
      </c>
      <c r="B165" s="399"/>
      <c r="C165" s="398" t="str">
        <f>IFERROR(INDEX(DATA_PROPERTY_MASTER!$B:$B,MATCH($B165,DATA_PROPERTY_MASTER!$A:$A,0)),"")</f>
        <v/>
      </c>
      <c r="D165" s="399"/>
      <c r="E165" s="399"/>
      <c r="F165" s="404"/>
      <c r="G165" s="404"/>
      <c r="H165" s="399"/>
      <c r="I165" s="399"/>
      <c r="J165" s="399"/>
      <c r="K165" s="399"/>
      <c r="L165" s="399"/>
      <c r="M165" s="399"/>
      <c r="N165" s="399"/>
      <c r="O165" s="399"/>
      <c r="P165" s="399"/>
      <c r="Q165" s="399"/>
      <c r="R165" s="399"/>
      <c r="S165" s="398" t="str">
        <f t="shared" ca="1" si="13"/>
        <v/>
      </c>
      <c r="T165" s="399"/>
      <c r="U165" s="398" t="str">
        <f t="shared" si="14"/>
        <v>Blank</v>
      </c>
    </row>
    <row r="166" spans="1:21">
      <c r="A166" s="398" t="str">
        <f t="shared" si="12"/>
        <v/>
      </c>
      <c r="B166" s="399"/>
      <c r="C166" s="398" t="str">
        <f>IFERROR(INDEX(DATA_PROPERTY_MASTER!$B:$B,MATCH($B166,DATA_PROPERTY_MASTER!$A:$A,0)),"")</f>
        <v/>
      </c>
      <c r="D166" s="399"/>
      <c r="E166" s="399"/>
      <c r="F166" s="404"/>
      <c r="G166" s="404"/>
      <c r="H166" s="399"/>
      <c r="I166" s="399"/>
      <c r="J166" s="399"/>
      <c r="K166" s="399"/>
      <c r="L166" s="399"/>
      <c r="M166" s="399"/>
      <c r="N166" s="399"/>
      <c r="O166" s="399"/>
      <c r="P166" s="399"/>
      <c r="Q166" s="399"/>
      <c r="R166" s="399"/>
      <c r="S166" s="398" t="str">
        <f t="shared" ca="1" si="13"/>
        <v/>
      </c>
      <c r="T166" s="399"/>
      <c r="U166" s="398" t="str">
        <f t="shared" si="14"/>
        <v>Blank</v>
      </c>
    </row>
    <row r="167" spans="1:21">
      <c r="A167" s="398" t="str">
        <f t="shared" ref="A167:A198" si="15">IF($B167="","","AGR-"&amp;TEXT(ROW()-6,"0000"))</f>
        <v/>
      </c>
      <c r="B167" s="399"/>
      <c r="C167" s="398" t="str">
        <f>IFERROR(INDEX(DATA_PROPERTY_MASTER!$B:$B,MATCH($B167,DATA_PROPERTY_MASTER!$A:$A,0)),"")</f>
        <v/>
      </c>
      <c r="D167" s="399"/>
      <c r="E167" s="399"/>
      <c r="F167" s="404"/>
      <c r="G167" s="404"/>
      <c r="H167" s="399"/>
      <c r="I167" s="399"/>
      <c r="J167" s="399"/>
      <c r="K167" s="399"/>
      <c r="L167" s="399"/>
      <c r="M167" s="399"/>
      <c r="N167" s="399"/>
      <c r="O167" s="399"/>
      <c r="P167" s="399"/>
      <c r="Q167" s="399"/>
      <c r="R167" s="399"/>
      <c r="S167" s="398" t="str">
        <f t="shared" ref="S167:S198" ca="1" si="16">IF($B167="","",IF($G167="","No end date",IF($G167&lt;TODAY(),"Expired / Review","Active / Future")))</f>
        <v/>
      </c>
      <c r="T167" s="399"/>
      <c r="U167" s="398" t="str">
        <f t="shared" ref="U167:U198" si="17">IF($B167="","Blank",IF(OR($D167="",$H167=""),"Review","OK"))</f>
        <v>Blank</v>
      </c>
    </row>
    <row r="168" spans="1:21">
      <c r="A168" s="398" t="str">
        <f t="shared" si="15"/>
        <v/>
      </c>
      <c r="B168" s="399"/>
      <c r="C168" s="398" t="str">
        <f>IFERROR(INDEX(DATA_PROPERTY_MASTER!$B:$B,MATCH($B168,DATA_PROPERTY_MASTER!$A:$A,0)),"")</f>
        <v/>
      </c>
      <c r="D168" s="399"/>
      <c r="E168" s="399"/>
      <c r="F168" s="404"/>
      <c r="G168" s="404"/>
      <c r="H168" s="399"/>
      <c r="I168" s="399"/>
      <c r="J168" s="399"/>
      <c r="K168" s="399"/>
      <c r="L168" s="399"/>
      <c r="M168" s="399"/>
      <c r="N168" s="399"/>
      <c r="O168" s="399"/>
      <c r="P168" s="399"/>
      <c r="Q168" s="399"/>
      <c r="R168" s="399"/>
      <c r="S168" s="398" t="str">
        <f t="shared" ca="1" si="16"/>
        <v/>
      </c>
      <c r="T168" s="399"/>
      <c r="U168" s="398" t="str">
        <f t="shared" si="17"/>
        <v>Blank</v>
      </c>
    </row>
    <row r="169" spans="1:21">
      <c r="A169" s="398" t="str">
        <f t="shared" si="15"/>
        <v/>
      </c>
      <c r="B169" s="399"/>
      <c r="C169" s="398" t="str">
        <f>IFERROR(INDEX(DATA_PROPERTY_MASTER!$B:$B,MATCH($B169,DATA_PROPERTY_MASTER!$A:$A,0)),"")</f>
        <v/>
      </c>
      <c r="D169" s="399"/>
      <c r="E169" s="399"/>
      <c r="F169" s="404"/>
      <c r="G169" s="404"/>
      <c r="H169" s="399"/>
      <c r="I169" s="399"/>
      <c r="J169" s="399"/>
      <c r="K169" s="399"/>
      <c r="L169" s="399"/>
      <c r="M169" s="399"/>
      <c r="N169" s="399"/>
      <c r="O169" s="399"/>
      <c r="P169" s="399"/>
      <c r="Q169" s="399"/>
      <c r="R169" s="399"/>
      <c r="S169" s="398" t="str">
        <f t="shared" ca="1" si="16"/>
        <v/>
      </c>
      <c r="T169" s="399"/>
      <c r="U169" s="398" t="str">
        <f t="shared" si="17"/>
        <v>Blank</v>
      </c>
    </row>
    <row r="170" spans="1:21">
      <c r="A170" s="398" t="str">
        <f t="shared" si="15"/>
        <v/>
      </c>
      <c r="B170" s="399"/>
      <c r="C170" s="398" t="str">
        <f>IFERROR(INDEX(DATA_PROPERTY_MASTER!$B:$B,MATCH($B170,DATA_PROPERTY_MASTER!$A:$A,0)),"")</f>
        <v/>
      </c>
      <c r="D170" s="399"/>
      <c r="E170" s="399"/>
      <c r="F170" s="404"/>
      <c r="G170" s="404"/>
      <c r="H170" s="399"/>
      <c r="I170" s="399"/>
      <c r="J170" s="399"/>
      <c r="K170" s="399"/>
      <c r="L170" s="399"/>
      <c r="M170" s="399"/>
      <c r="N170" s="399"/>
      <c r="O170" s="399"/>
      <c r="P170" s="399"/>
      <c r="Q170" s="399"/>
      <c r="R170" s="399"/>
      <c r="S170" s="398" t="str">
        <f t="shared" ca="1" si="16"/>
        <v/>
      </c>
      <c r="T170" s="399"/>
      <c r="U170" s="398" t="str">
        <f t="shared" si="17"/>
        <v>Blank</v>
      </c>
    </row>
    <row r="171" spans="1:21">
      <c r="A171" s="398" t="str">
        <f t="shared" si="15"/>
        <v/>
      </c>
      <c r="B171" s="399"/>
      <c r="C171" s="398" t="str">
        <f>IFERROR(INDEX(DATA_PROPERTY_MASTER!$B:$B,MATCH($B171,DATA_PROPERTY_MASTER!$A:$A,0)),"")</f>
        <v/>
      </c>
      <c r="D171" s="399"/>
      <c r="E171" s="399"/>
      <c r="F171" s="404"/>
      <c r="G171" s="404"/>
      <c r="H171" s="399"/>
      <c r="I171" s="399"/>
      <c r="J171" s="399"/>
      <c r="K171" s="399"/>
      <c r="L171" s="399"/>
      <c r="M171" s="399"/>
      <c r="N171" s="399"/>
      <c r="O171" s="399"/>
      <c r="P171" s="399"/>
      <c r="Q171" s="399"/>
      <c r="R171" s="399"/>
      <c r="S171" s="398" t="str">
        <f t="shared" ca="1" si="16"/>
        <v/>
      </c>
      <c r="T171" s="399"/>
      <c r="U171" s="398" t="str">
        <f t="shared" si="17"/>
        <v>Blank</v>
      </c>
    </row>
    <row r="172" spans="1:21">
      <c r="A172" s="398" t="str">
        <f t="shared" si="15"/>
        <v/>
      </c>
      <c r="B172" s="399"/>
      <c r="C172" s="398" t="str">
        <f>IFERROR(INDEX(DATA_PROPERTY_MASTER!$B:$B,MATCH($B172,DATA_PROPERTY_MASTER!$A:$A,0)),"")</f>
        <v/>
      </c>
      <c r="D172" s="399"/>
      <c r="E172" s="399"/>
      <c r="F172" s="404"/>
      <c r="G172" s="404"/>
      <c r="H172" s="399"/>
      <c r="I172" s="399"/>
      <c r="J172" s="399"/>
      <c r="K172" s="399"/>
      <c r="L172" s="399"/>
      <c r="M172" s="399"/>
      <c r="N172" s="399"/>
      <c r="O172" s="399"/>
      <c r="P172" s="399"/>
      <c r="Q172" s="399"/>
      <c r="R172" s="399"/>
      <c r="S172" s="398" t="str">
        <f t="shared" ca="1" si="16"/>
        <v/>
      </c>
      <c r="T172" s="399"/>
      <c r="U172" s="398" t="str">
        <f t="shared" si="17"/>
        <v>Blank</v>
      </c>
    </row>
    <row r="173" spans="1:21">
      <c r="A173" s="398" t="str">
        <f t="shared" si="15"/>
        <v/>
      </c>
      <c r="B173" s="399"/>
      <c r="C173" s="398" t="str">
        <f>IFERROR(INDEX(DATA_PROPERTY_MASTER!$B:$B,MATCH($B173,DATA_PROPERTY_MASTER!$A:$A,0)),"")</f>
        <v/>
      </c>
      <c r="D173" s="399"/>
      <c r="E173" s="399"/>
      <c r="F173" s="404"/>
      <c r="G173" s="404"/>
      <c r="H173" s="399"/>
      <c r="I173" s="399"/>
      <c r="J173" s="399"/>
      <c r="K173" s="399"/>
      <c r="L173" s="399"/>
      <c r="M173" s="399"/>
      <c r="N173" s="399"/>
      <c r="O173" s="399"/>
      <c r="P173" s="399"/>
      <c r="Q173" s="399"/>
      <c r="R173" s="399"/>
      <c r="S173" s="398" t="str">
        <f t="shared" ca="1" si="16"/>
        <v/>
      </c>
      <c r="T173" s="399"/>
      <c r="U173" s="398" t="str">
        <f t="shared" si="17"/>
        <v>Blank</v>
      </c>
    </row>
    <row r="174" spans="1:21">
      <c r="A174" s="398" t="str">
        <f t="shared" si="15"/>
        <v/>
      </c>
      <c r="B174" s="399"/>
      <c r="C174" s="398" t="str">
        <f>IFERROR(INDEX(DATA_PROPERTY_MASTER!$B:$B,MATCH($B174,DATA_PROPERTY_MASTER!$A:$A,0)),"")</f>
        <v/>
      </c>
      <c r="D174" s="399"/>
      <c r="E174" s="399"/>
      <c r="F174" s="404"/>
      <c r="G174" s="404"/>
      <c r="H174" s="399"/>
      <c r="I174" s="399"/>
      <c r="J174" s="399"/>
      <c r="K174" s="399"/>
      <c r="L174" s="399"/>
      <c r="M174" s="399"/>
      <c r="N174" s="399"/>
      <c r="O174" s="399"/>
      <c r="P174" s="399"/>
      <c r="Q174" s="399"/>
      <c r="R174" s="399"/>
      <c r="S174" s="398" t="str">
        <f t="shared" ca="1" si="16"/>
        <v/>
      </c>
      <c r="T174" s="399"/>
      <c r="U174" s="398" t="str">
        <f t="shared" si="17"/>
        <v>Blank</v>
      </c>
    </row>
    <row r="175" spans="1:21">
      <c r="A175" s="398" t="str">
        <f t="shared" si="15"/>
        <v/>
      </c>
      <c r="B175" s="399"/>
      <c r="C175" s="398" t="str">
        <f>IFERROR(INDEX(DATA_PROPERTY_MASTER!$B:$B,MATCH($B175,DATA_PROPERTY_MASTER!$A:$A,0)),"")</f>
        <v/>
      </c>
      <c r="D175" s="399"/>
      <c r="E175" s="399"/>
      <c r="F175" s="404"/>
      <c r="G175" s="404"/>
      <c r="H175" s="399"/>
      <c r="I175" s="399"/>
      <c r="J175" s="399"/>
      <c r="K175" s="399"/>
      <c r="L175" s="399"/>
      <c r="M175" s="399"/>
      <c r="N175" s="399"/>
      <c r="O175" s="399"/>
      <c r="P175" s="399"/>
      <c r="Q175" s="399"/>
      <c r="R175" s="399"/>
      <c r="S175" s="398" t="str">
        <f t="shared" ca="1" si="16"/>
        <v/>
      </c>
      <c r="T175" s="399"/>
      <c r="U175" s="398" t="str">
        <f t="shared" si="17"/>
        <v>Blank</v>
      </c>
    </row>
    <row r="176" spans="1:21">
      <c r="A176" s="398" t="str">
        <f t="shared" si="15"/>
        <v/>
      </c>
      <c r="B176" s="399"/>
      <c r="C176" s="398" t="str">
        <f>IFERROR(INDEX(DATA_PROPERTY_MASTER!$B:$B,MATCH($B176,DATA_PROPERTY_MASTER!$A:$A,0)),"")</f>
        <v/>
      </c>
      <c r="D176" s="399"/>
      <c r="E176" s="399"/>
      <c r="F176" s="404"/>
      <c r="G176" s="404"/>
      <c r="H176" s="399"/>
      <c r="I176" s="399"/>
      <c r="J176" s="399"/>
      <c r="K176" s="399"/>
      <c r="L176" s="399"/>
      <c r="M176" s="399"/>
      <c r="N176" s="399"/>
      <c r="O176" s="399"/>
      <c r="P176" s="399"/>
      <c r="Q176" s="399"/>
      <c r="R176" s="399"/>
      <c r="S176" s="398" t="str">
        <f t="shared" ca="1" si="16"/>
        <v/>
      </c>
      <c r="T176" s="399"/>
      <c r="U176" s="398" t="str">
        <f t="shared" si="17"/>
        <v>Blank</v>
      </c>
    </row>
    <row r="177" spans="1:21">
      <c r="A177" s="398" t="str">
        <f t="shared" si="15"/>
        <v/>
      </c>
      <c r="B177" s="399"/>
      <c r="C177" s="398" t="str">
        <f>IFERROR(INDEX(DATA_PROPERTY_MASTER!$B:$B,MATCH($B177,DATA_PROPERTY_MASTER!$A:$A,0)),"")</f>
        <v/>
      </c>
      <c r="D177" s="399"/>
      <c r="E177" s="399"/>
      <c r="F177" s="404"/>
      <c r="G177" s="404"/>
      <c r="H177" s="399"/>
      <c r="I177" s="399"/>
      <c r="J177" s="399"/>
      <c r="K177" s="399"/>
      <c r="L177" s="399"/>
      <c r="M177" s="399"/>
      <c r="N177" s="399"/>
      <c r="O177" s="399"/>
      <c r="P177" s="399"/>
      <c r="Q177" s="399"/>
      <c r="R177" s="399"/>
      <c r="S177" s="398" t="str">
        <f t="shared" ca="1" si="16"/>
        <v/>
      </c>
      <c r="T177" s="399"/>
      <c r="U177" s="398" t="str">
        <f t="shared" si="17"/>
        <v>Blank</v>
      </c>
    </row>
    <row r="178" spans="1:21">
      <c r="A178" s="398" t="str">
        <f t="shared" si="15"/>
        <v/>
      </c>
      <c r="B178" s="399"/>
      <c r="C178" s="398" t="str">
        <f>IFERROR(INDEX(DATA_PROPERTY_MASTER!$B:$B,MATCH($B178,DATA_PROPERTY_MASTER!$A:$A,0)),"")</f>
        <v/>
      </c>
      <c r="D178" s="399"/>
      <c r="E178" s="399"/>
      <c r="F178" s="404"/>
      <c r="G178" s="404"/>
      <c r="H178" s="399"/>
      <c r="I178" s="399"/>
      <c r="J178" s="399"/>
      <c r="K178" s="399"/>
      <c r="L178" s="399"/>
      <c r="M178" s="399"/>
      <c r="N178" s="399"/>
      <c r="O178" s="399"/>
      <c r="P178" s="399"/>
      <c r="Q178" s="399"/>
      <c r="R178" s="399"/>
      <c r="S178" s="398" t="str">
        <f t="shared" ca="1" si="16"/>
        <v/>
      </c>
      <c r="T178" s="399"/>
      <c r="U178" s="398" t="str">
        <f t="shared" si="17"/>
        <v>Blank</v>
      </c>
    </row>
    <row r="179" spans="1:21">
      <c r="A179" s="398" t="str">
        <f t="shared" si="15"/>
        <v/>
      </c>
      <c r="B179" s="399"/>
      <c r="C179" s="398" t="str">
        <f>IFERROR(INDEX(DATA_PROPERTY_MASTER!$B:$B,MATCH($B179,DATA_PROPERTY_MASTER!$A:$A,0)),"")</f>
        <v/>
      </c>
      <c r="D179" s="399"/>
      <c r="E179" s="399"/>
      <c r="F179" s="404"/>
      <c r="G179" s="404"/>
      <c r="H179" s="399"/>
      <c r="I179" s="399"/>
      <c r="J179" s="399"/>
      <c r="K179" s="399"/>
      <c r="L179" s="399"/>
      <c r="M179" s="399"/>
      <c r="N179" s="399"/>
      <c r="O179" s="399"/>
      <c r="P179" s="399"/>
      <c r="Q179" s="399"/>
      <c r="R179" s="399"/>
      <c r="S179" s="398" t="str">
        <f t="shared" ca="1" si="16"/>
        <v/>
      </c>
      <c r="T179" s="399"/>
      <c r="U179" s="398" t="str">
        <f t="shared" si="17"/>
        <v>Blank</v>
      </c>
    </row>
    <row r="180" spans="1:21">
      <c r="A180" s="398" t="str">
        <f t="shared" si="15"/>
        <v/>
      </c>
      <c r="B180" s="399"/>
      <c r="C180" s="398" t="str">
        <f>IFERROR(INDEX(DATA_PROPERTY_MASTER!$B:$B,MATCH($B180,DATA_PROPERTY_MASTER!$A:$A,0)),"")</f>
        <v/>
      </c>
      <c r="D180" s="399"/>
      <c r="E180" s="399"/>
      <c r="F180" s="404"/>
      <c r="G180" s="404"/>
      <c r="H180" s="399"/>
      <c r="I180" s="399"/>
      <c r="J180" s="399"/>
      <c r="K180" s="399"/>
      <c r="L180" s="399"/>
      <c r="M180" s="399"/>
      <c r="N180" s="399"/>
      <c r="O180" s="399"/>
      <c r="P180" s="399"/>
      <c r="Q180" s="399"/>
      <c r="R180" s="399"/>
      <c r="S180" s="398" t="str">
        <f t="shared" ca="1" si="16"/>
        <v/>
      </c>
      <c r="T180" s="399"/>
      <c r="U180" s="398" t="str">
        <f t="shared" si="17"/>
        <v>Blank</v>
      </c>
    </row>
    <row r="181" spans="1:21">
      <c r="A181" s="398" t="str">
        <f t="shared" si="15"/>
        <v/>
      </c>
      <c r="B181" s="399"/>
      <c r="C181" s="398" t="str">
        <f>IFERROR(INDEX(DATA_PROPERTY_MASTER!$B:$B,MATCH($B181,DATA_PROPERTY_MASTER!$A:$A,0)),"")</f>
        <v/>
      </c>
      <c r="D181" s="399"/>
      <c r="E181" s="399"/>
      <c r="F181" s="404"/>
      <c r="G181" s="404"/>
      <c r="H181" s="399"/>
      <c r="I181" s="399"/>
      <c r="J181" s="399"/>
      <c r="K181" s="399"/>
      <c r="L181" s="399"/>
      <c r="M181" s="399"/>
      <c r="N181" s="399"/>
      <c r="O181" s="399"/>
      <c r="P181" s="399"/>
      <c r="Q181" s="399"/>
      <c r="R181" s="399"/>
      <c r="S181" s="398" t="str">
        <f t="shared" ca="1" si="16"/>
        <v/>
      </c>
      <c r="T181" s="399"/>
      <c r="U181" s="398" t="str">
        <f t="shared" si="17"/>
        <v>Blank</v>
      </c>
    </row>
    <row r="182" spans="1:21">
      <c r="A182" s="398" t="str">
        <f t="shared" si="15"/>
        <v/>
      </c>
      <c r="B182" s="399"/>
      <c r="C182" s="398" t="str">
        <f>IFERROR(INDEX(DATA_PROPERTY_MASTER!$B:$B,MATCH($B182,DATA_PROPERTY_MASTER!$A:$A,0)),"")</f>
        <v/>
      </c>
      <c r="D182" s="399"/>
      <c r="E182" s="399"/>
      <c r="F182" s="404"/>
      <c r="G182" s="404"/>
      <c r="H182" s="399"/>
      <c r="I182" s="399"/>
      <c r="J182" s="399"/>
      <c r="K182" s="399"/>
      <c r="L182" s="399"/>
      <c r="M182" s="399"/>
      <c r="N182" s="399"/>
      <c r="O182" s="399"/>
      <c r="P182" s="399"/>
      <c r="Q182" s="399"/>
      <c r="R182" s="399"/>
      <c r="S182" s="398" t="str">
        <f t="shared" ca="1" si="16"/>
        <v/>
      </c>
      <c r="T182" s="399"/>
      <c r="U182" s="398" t="str">
        <f t="shared" si="17"/>
        <v>Blank</v>
      </c>
    </row>
    <row r="183" spans="1:21">
      <c r="A183" s="398" t="str">
        <f t="shared" si="15"/>
        <v/>
      </c>
      <c r="B183" s="399"/>
      <c r="C183" s="398" t="str">
        <f>IFERROR(INDEX(DATA_PROPERTY_MASTER!$B:$B,MATCH($B183,DATA_PROPERTY_MASTER!$A:$A,0)),"")</f>
        <v/>
      </c>
      <c r="D183" s="399"/>
      <c r="E183" s="399"/>
      <c r="F183" s="404"/>
      <c r="G183" s="404"/>
      <c r="H183" s="399"/>
      <c r="I183" s="399"/>
      <c r="J183" s="399"/>
      <c r="K183" s="399"/>
      <c r="L183" s="399"/>
      <c r="M183" s="399"/>
      <c r="N183" s="399"/>
      <c r="O183" s="399"/>
      <c r="P183" s="399"/>
      <c r="Q183" s="399"/>
      <c r="R183" s="399"/>
      <c r="S183" s="398" t="str">
        <f t="shared" ca="1" si="16"/>
        <v/>
      </c>
      <c r="T183" s="399"/>
      <c r="U183" s="398" t="str">
        <f t="shared" si="17"/>
        <v>Blank</v>
      </c>
    </row>
    <row r="184" spans="1:21">
      <c r="A184" s="398" t="str">
        <f t="shared" si="15"/>
        <v/>
      </c>
      <c r="B184" s="399"/>
      <c r="C184" s="398" t="str">
        <f>IFERROR(INDEX(DATA_PROPERTY_MASTER!$B:$B,MATCH($B184,DATA_PROPERTY_MASTER!$A:$A,0)),"")</f>
        <v/>
      </c>
      <c r="D184" s="399"/>
      <c r="E184" s="399"/>
      <c r="F184" s="404"/>
      <c r="G184" s="404"/>
      <c r="H184" s="399"/>
      <c r="I184" s="399"/>
      <c r="J184" s="399"/>
      <c r="K184" s="399"/>
      <c r="L184" s="399"/>
      <c r="M184" s="399"/>
      <c r="N184" s="399"/>
      <c r="O184" s="399"/>
      <c r="P184" s="399"/>
      <c r="Q184" s="399"/>
      <c r="R184" s="399"/>
      <c r="S184" s="398" t="str">
        <f t="shared" ca="1" si="16"/>
        <v/>
      </c>
      <c r="T184" s="399"/>
      <c r="U184" s="398" t="str">
        <f t="shared" si="17"/>
        <v>Blank</v>
      </c>
    </row>
    <row r="185" spans="1:21">
      <c r="A185" s="398" t="str">
        <f t="shared" si="15"/>
        <v/>
      </c>
      <c r="B185" s="399"/>
      <c r="C185" s="398" t="str">
        <f>IFERROR(INDEX(DATA_PROPERTY_MASTER!$B:$B,MATCH($B185,DATA_PROPERTY_MASTER!$A:$A,0)),"")</f>
        <v/>
      </c>
      <c r="D185" s="399"/>
      <c r="E185" s="399"/>
      <c r="F185" s="404"/>
      <c r="G185" s="404"/>
      <c r="H185" s="399"/>
      <c r="I185" s="399"/>
      <c r="J185" s="399"/>
      <c r="K185" s="399"/>
      <c r="L185" s="399"/>
      <c r="M185" s="399"/>
      <c r="N185" s="399"/>
      <c r="O185" s="399"/>
      <c r="P185" s="399"/>
      <c r="Q185" s="399"/>
      <c r="R185" s="399"/>
      <c r="S185" s="398" t="str">
        <f t="shared" ca="1" si="16"/>
        <v/>
      </c>
      <c r="T185" s="399"/>
      <c r="U185" s="398" t="str">
        <f t="shared" si="17"/>
        <v>Blank</v>
      </c>
    </row>
    <row r="186" spans="1:21">
      <c r="A186" s="398" t="str">
        <f t="shared" si="15"/>
        <v/>
      </c>
      <c r="B186" s="399"/>
      <c r="C186" s="398" t="str">
        <f>IFERROR(INDEX(DATA_PROPERTY_MASTER!$B:$B,MATCH($B186,DATA_PROPERTY_MASTER!$A:$A,0)),"")</f>
        <v/>
      </c>
      <c r="D186" s="399"/>
      <c r="E186" s="399"/>
      <c r="F186" s="404"/>
      <c r="G186" s="404"/>
      <c r="H186" s="399"/>
      <c r="I186" s="399"/>
      <c r="J186" s="399"/>
      <c r="K186" s="399"/>
      <c r="L186" s="399"/>
      <c r="M186" s="399"/>
      <c r="N186" s="399"/>
      <c r="O186" s="399"/>
      <c r="P186" s="399"/>
      <c r="Q186" s="399"/>
      <c r="R186" s="399"/>
      <c r="S186" s="398" t="str">
        <f t="shared" ca="1" si="16"/>
        <v/>
      </c>
      <c r="T186" s="399"/>
      <c r="U186" s="398" t="str">
        <f t="shared" si="17"/>
        <v>Blank</v>
      </c>
    </row>
    <row r="187" spans="1:21">
      <c r="A187" s="398" t="str">
        <f t="shared" si="15"/>
        <v/>
      </c>
      <c r="B187" s="399"/>
      <c r="C187" s="398" t="str">
        <f>IFERROR(INDEX(DATA_PROPERTY_MASTER!$B:$B,MATCH($B187,DATA_PROPERTY_MASTER!$A:$A,0)),"")</f>
        <v/>
      </c>
      <c r="D187" s="399"/>
      <c r="E187" s="399"/>
      <c r="F187" s="404"/>
      <c r="G187" s="404"/>
      <c r="H187" s="399"/>
      <c r="I187" s="399"/>
      <c r="J187" s="399"/>
      <c r="K187" s="399"/>
      <c r="L187" s="399"/>
      <c r="M187" s="399"/>
      <c r="N187" s="399"/>
      <c r="O187" s="399"/>
      <c r="P187" s="399"/>
      <c r="Q187" s="399"/>
      <c r="R187" s="399"/>
      <c r="S187" s="398" t="str">
        <f t="shared" ca="1" si="16"/>
        <v/>
      </c>
      <c r="T187" s="399"/>
      <c r="U187" s="398" t="str">
        <f t="shared" si="17"/>
        <v>Blank</v>
      </c>
    </row>
    <row r="188" spans="1:21">
      <c r="A188" s="398" t="str">
        <f t="shared" si="15"/>
        <v/>
      </c>
      <c r="B188" s="399"/>
      <c r="C188" s="398" t="str">
        <f>IFERROR(INDEX(DATA_PROPERTY_MASTER!$B:$B,MATCH($B188,DATA_PROPERTY_MASTER!$A:$A,0)),"")</f>
        <v/>
      </c>
      <c r="D188" s="399"/>
      <c r="E188" s="399"/>
      <c r="F188" s="404"/>
      <c r="G188" s="404"/>
      <c r="H188" s="399"/>
      <c r="I188" s="399"/>
      <c r="J188" s="399"/>
      <c r="K188" s="399"/>
      <c r="L188" s="399"/>
      <c r="M188" s="399"/>
      <c r="N188" s="399"/>
      <c r="O188" s="399"/>
      <c r="P188" s="399"/>
      <c r="Q188" s="399"/>
      <c r="R188" s="399"/>
      <c r="S188" s="398" t="str">
        <f t="shared" ca="1" si="16"/>
        <v/>
      </c>
      <c r="T188" s="399"/>
      <c r="U188" s="398" t="str">
        <f t="shared" si="17"/>
        <v>Blank</v>
      </c>
    </row>
    <row r="189" spans="1:21">
      <c r="A189" s="398" t="str">
        <f t="shared" si="15"/>
        <v/>
      </c>
      <c r="B189" s="399"/>
      <c r="C189" s="398" t="str">
        <f>IFERROR(INDEX(DATA_PROPERTY_MASTER!$B:$B,MATCH($B189,DATA_PROPERTY_MASTER!$A:$A,0)),"")</f>
        <v/>
      </c>
      <c r="D189" s="399"/>
      <c r="E189" s="399"/>
      <c r="F189" s="404"/>
      <c r="G189" s="404"/>
      <c r="H189" s="399"/>
      <c r="I189" s="399"/>
      <c r="J189" s="399"/>
      <c r="K189" s="399"/>
      <c r="L189" s="399"/>
      <c r="M189" s="399"/>
      <c r="N189" s="399"/>
      <c r="O189" s="399"/>
      <c r="P189" s="399"/>
      <c r="Q189" s="399"/>
      <c r="R189" s="399"/>
      <c r="S189" s="398" t="str">
        <f t="shared" ca="1" si="16"/>
        <v/>
      </c>
      <c r="T189" s="399"/>
      <c r="U189" s="398" t="str">
        <f t="shared" si="17"/>
        <v>Blank</v>
      </c>
    </row>
    <row r="190" spans="1:21">
      <c r="A190" s="398" t="str">
        <f t="shared" si="15"/>
        <v/>
      </c>
      <c r="B190" s="399"/>
      <c r="C190" s="398" t="str">
        <f>IFERROR(INDEX(DATA_PROPERTY_MASTER!$B:$B,MATCH($B190,DATA_PROPERTY_MASTER!$A:$A,0)),"")</f>
        <v/>
      </c>
      <c r="D190" s="399"/>
      <c r="E190" s="399"/>
      <c r="F190" s="404"/>
      <c r="G190" s="404"/>
      <c r="H190" s="399"/>
      <c r="I190" s="399"/>
      <c r="J190" s="399"/>
      <c r="K190" s="399"/>
      <c r="L190" s="399"/>
      <c r="M190" s="399"/>
      <c r="N190" s="399"/>
      <c r="O190" s="399"/>
      <c r="P190" s="399"/>
      <c r="Q190" s="399"/>
      <c r="R190" s="399"/>
      <c r="S190" s="398" t="str">
        <f t="shared" ca="1" si="16"/>
        <v/>
      </c>
      <c r="T190" s="399"/>
      <c r="U190" s="398" t="str">
        <f t="shared" si="17"/>
        <v>Blank</v>
      </c>
    </row>
    <row r="191" spans="1:21">
      <c r="A191" s="398" t="str">
        <f t="shared" si="15"/>
        <v/>
      </c>
      <c r="B191" s="399"/>
      <c r="C191" s="398" t="str">
        <f>IFERROR(INDEX(DATA_PROPERTY_MASTER!$B:$B,MATCH($B191,DATA_PROPERTY_MASTER!$A:$A,0)),"")</f>
        <v/>
      </c>
      <c r="D191" s="399"/>
      <c r="E191" s="399"/>
      <c r="F191" s="404"/>
      <c r="G191" s="404"/>
      <c r="H191" s="399"/>
      <c r="I191" s="399"/>
      <c r="J191" s="399"/>
      <c r="K191" s="399"/>
      <c r="L191" s="399"/>
      <c r="M191" s="399"/>
      <c r="N191" s="399"/>
      <c r="O191" s="399"/>
      <c r="P191" s="399"/>
      <c r="Q191" s="399"/>
      <c r="R191" s="399"/>
      <c r="S191" s="398" t="str">
        <f t="shared" ca="1" si="16"/>
        <v/>
      </c>
      <c r="T191" s="399"/>
      <c r="U191" s="398" t="str">
        <f t="shared" si="17"/>
        <v>Blank</v>
      </c>
    </row>
    <row r="192" spans="1:21">
      <c r="A192" s="398" t="str">
        <f t="shared" si="15"/>
        <v/>
      </c>
      <c r="B192" s="399"/>
      <c r="C192" s="398" t="str">
        <f>IFERROR(INDEX(DATA_PROPERTY_MASTER!$B:$B,MATCH($B192,DATA_PROPERTY_MASTER!$A:$A,0)),"")</f>
        <v/>
      </c>
      <c r="D192" s="399"/>
      <c r="E192" s="399"/>
      <c r="F192" s="404"/>
      <c r="G192" s="404"/>
      <c r="H192" s="399"/>
      <c r="I192" s="399"/>
      <c r="J192" s="399"/>
      <c r="K192" s="399"/>
      <c r="L192" s="399"/>
      <c r="M192" s="399"/>
      <c r="N192" s="399"/>
      <c r="O192" s="399"/>
      <c r="P192" s="399"/>
      <c r="Q192" s="399"/>
      <c r="R192" s="399"/>
      <c r="S192" s="398" t="str">
        <f t="shared" ca="1" si="16"/>
        <v/>
      </c>
      <c r="T192" s="399"/>
      <c r="U192" s="398" t="str">
        <f t="shared" si="17"/>
        <v>Blank</v>
      </c>
    </row>
    <row r="193" spans="1:21">
      <c r="A193" s="398" t="str">
        <f t="shared" si="15"/>
        <v/>
      </c>
      <c r="B193" s="399"/>
      <c r="C193" s="398" t="str">
        <f>IFERROR(INDEX(DATA_PROPERTY_MASTER!$B:$B,MATCH($B193,DATA_PROPERTY_MASTER!$A:$A,0)),"")</f>
        <v/>
      </c>
      <c r="D193" s="399"/>
      <c r="E193" s="399"/>
      <c r="F193" s="404"/>
      <c r="G193" s="404"/>
      <c r="H193" s="399"/>
      <c r="I193" s="399"/>
      <c r="J193" s="399"/>
      <c r="K193" s="399"/>
      <c r="L193" s="399"/>
      <c r="M193" s="399"/>
      <c r="N193" s="399"/>
      <c r="O193" s="399"/>
      <c r="P193" s="399"/>
      <c r="Q193" s="399"/>
      <c r="R193" s="399"/>
      <c r="S193" s="398" t="str">
        <f t="shared" ca="1" si="16"/>
        <v/>
      </c>
      <c r="T193" s="399"/>
      <c r="U193" s="398" t="str">
        <f t="shared" si="17"/>
        <v>Blank</v>
      </c>
    </row>
    <row r="194" spans="1:21">
      <c r="A194" s="398" t="str">
        <f t="shared" si="15"/>
        <v/>
      </c>
      <c r="B194" s="399"/>
      <c r="C194" s="398" t="str">
        <f>IFERROR(INDEX(DATA_PROPERTY_MASTER!$B:$B,MATCH($B194,DATA_PROPERTY_MASTER!$A:$A,0)),"")</f>
        <v/>
      </c>
      <c r="D194" s="399"/>
      <c r="E194" s="399"/>
      <c r="F194" s="404"/>
      <c r="G194" s="404"/>
      <c r="H194" s="399"/>
      <c r="I194" s="399"/>
      <c r="J194" s="399"/>
      <c r="K194" s="399"/>
      <c r="L194" s="399"/>
      <c r="M194" s="399"/>
      <c r="N194" s="399"/>
      <c r="O194" s="399"/>
      <c r="P194" s="399"/>
      <c r="Q194" s="399"/>
      <c r="R194" s="399"/>
      <c r="S194" s="398" t="str">
        <f t="shared" ca="1" si="16"/>
        <v/>
      </c>
      <c r="T194" s="399"/>
      <c r="U194" s="398" t="str">
        <f t="shared" si="17"/>
        <v>Blank</v>
      </c>
    </row>
    <row r="195" spans="1:21">
      <c r="A195" s="398" t="str">
        <f t="shared" si="15"/>
        <v/>
      </c>
      <c r="B195" s="399"/>
      <c r="C195" s="398" t="str">
        <f>IFERROR(INDEX(DATA_PROPERTY_MASTER!$B:$B,MATCH($B195,DATA_PROPERTY_MASTER!$A:$A,0)),"")</f>
        <v/>
      </c>
      <c r="D195" s="399"/>
      <c r="E195" s="399"/>
      <c r="F195" s="404"/>
      <c r="G195" s="404"/>
      <c r="H195" s="399"/>
      <c r="I195" s="399"/>
      <c r="J195" s="399"/>
      <c r="K195" s="399"/>
      <c r="L195" s="399"/>
      <c r="M195" s="399"/>
      <c r="N195" s="399"/>
      <c r="O195" s="399"/>
      <c r="P195" s="399"/>
      <c r="Q195" s="399"/>
      <c r="R195" s="399"/>
      <c r="S195" s="398" t="str">
        <f t="shared" ca="1" si="16"/>
        <v/>
      </c>
      <c r="T195" s="399"/>
      <c r="U195" s="398" t="str">
        <f t="shared" si="17"/>
        <v>Blank</v>
      </c>
    </row>
    <row r="196" spans="1:21">
      <c r="A196" s="398" t="str">
        <f t="shared" si="15"/>
        <v/>
      </c>
      <c r="B196" s="399"/>
      <c r="C196" s="398" t="str">
        <f>IFERROR(INDEX(DATA_PROPERTY_MASTER!$B:$B,MATCH($B196,DATA_PROPERTY_MASTER!$A:$A,0)),"")</f>
        <v/>
      </c>
      <c r="D196" s="399"/>
      <c r="E196" s="399"/>
      <c r="F196" s="404"/>
      <c r="G196" s="404"/>
      <c r="H196" s="399"/>
      <c r="I196" s="399"/>
      <c r="J196" s="399"/>
      <c r="K196" s="399"/>
      <c r="L196" s="399"/>
      <c r="M196" s="399"/>
      <c r="N196" s="399"/>
      <c r="O196" s="399"/>
      <c r="P196" s="399"/>
      <c r="Q196" s="399"/>
      <c r="R196" s="399"/>
      <c r="S196" s="398" t="str">
        <f t="shared" ca="1" si="16"/>
        <v/>
      </c>
      <c r="T196" s="399"/>
      <c r="U196" s="398" t="str">
        <f t="shared" si="17"/>
        <v>Blank</v>
      </c>
    </row>
    <row r="197" spans="1:21">
      <c r="A197" s="398" t="str">
        <f t="shared" si="15"/>
        <v/>
      </c>
      <c r="B197" s="399"/>
      <c r="C197" s="398" t="str">
        <f>IFERROR(INDEX(DATA_PROPERTY_MASTER!$B:$B,MATCH($B197,DATA_PROPERTY_MASTER!$A:$A,0)),"")</f>
        <v/>
      </c>
      <c r="D197" s="399"/>
      <c r="E197" s="399"/>
      <c r="F197" s="404"/>
      <c r="G197" s="404"/>
      <c r="H197" s="399"/>
      <c r="I197" s="399"/>
      <c r="J197" s="399"/>
      <c r="K197" s="399"/>
      <c r="L197" s="399"/>
      <c r="M197" s="399"/>
      <c r="N197" s="399"/>
      <c r="O197" s="399"/>
      <c r="P197" s="399"/>
      <c r="Q197" s="399"/>
      <c r="R197" s="399"/>
      <c r="S197" s="398" t="str">
        <f t="shared" ca="1" si="16"/>
        <v/>
      </c>
      <c r="T197" s="399"/>
      <c r="U197" s="398" t="str">
        <f t="shared" si="17"/>
        <v>Blank</v>
      </c>
    </row>
    <row r="198" spans="1:21">
      <c r="A198" s="398" t="str">
        <f t="shared" si="15"/>
        <v/>
      </c>
      <c r="B198" s="399"/>
      <c r="C198" s="398" t="str">
        <f>IFERROR(INDEX(DATA_PROPERTY_MASTER!$B:$B,MATCH($B198,DATA_PROPERTY_MASTER!$A:$A,0)),"")</f>
        <v/>
      </c>
      <c r="D198" s="399"/>
      <c r="E198" s="399"/>
      <c r="F198" s="404"/>
      <c r="G198" s="404"/>
      <c r="H198" s="399"/>
      <c r="I198" s="399"/>
      <c r="J198" s="399"/>
      <c r="K198" s="399"/>
      <c r="L198" s="399"/>
      <c r="M198" s="399"/>
      <c r="N198" s="399"/>
      <c r="O198" s="399"/>
      <c r="P198" s="399"/>
      <c r="Q198" s="399"/>
      <c r="R198" s="399"/>
      <c r="S198" s="398" t="str">
        <f t="shared" ca="1" si="16"/>
        <v/>
      </c>
      <c r="T198" s="399"/>
      <c r="U198" s="398" t="str">
        <f t="shared" si="17"/>
        <v>Blank</v>
      </c>
    </row>
    <row r="199" spans="1:21">
      <c r="A199" s="398" t="str">
        <f t="shared" ref="A199:A206" si="18">IF($B199="","","AGR-"&amp;TEXT(ROW()-6,"0000"))</f>
        <v/>
      </c>
      <c r="B199" s="399"/>
      <c r="C199" s="398" t="str">
        <f>IFERROR(INDEX(DATA_PROPERTY_MASTER!$B:$B,MATCH($B199,DATA_PROPERTY_MASTER!$A:$A,0)),"")</f>
        <v/>
      </c>
      <c r="D199" s="399"/>
      <c r="E199" s="399"/>
      <c r="F199" s="404"/>
      <c r="G199" s="404"/>
      <c r="H199" s="399"/>
      <c r="I199" s="399"/>
      <c r="J199" s="399"/>
      <c r="K199" s="399"/>
      <c r="L199" s="399"/>
      <c r="M199" s="399"/>
      <c r="N199" s="399"/>
      <c r="O199" s="399"/>
      <c r="P199" s="399"/>
      <c r="Q199" s="399"/>
      <c r="R199" s="399"/>
      <c r="S199" s="398" t="str">
        <f t="shared" ref="S199:S206" ca="1" si="19">IF($B199="","",IF($G199="","No end date",IF($G199&lt;TODAY(),"Expired / Review","Active / Future")))</f>
        <v/>
      </c>
      <c r="T199" s="399"/>
      <c r="U199" s="398" t="str">
        <f t="shared" ref="U199:U206" si="20">IF($B199="","Blank",IF(OR($D199="",$H199=""),"Review","OK"))</f>
        <v>Blank</v>
      </c>
    </row>
    <row r="200" spans="1:21">
      <c r="A200" s="398" t="str">
        <f t="shared" si="18"/>
        <v/>
      </c>
      <c r="B200" s="399"/>
      <c r="C200" s="398" t="str">
        <f>IFERROR(INDEX(DATA_PROPERTY_MASTER!$B:$B,MATCH($B200,DATA_PROPERTY_MASTER!$A:$A,0)),"")</f>
        <v/>
      </c>
      <c r="D200" s="399"/>
      <c r="E200" s="399"/>
      <c r="F200" s="404"/>
      <c r="G200" s="404"/>
      <c r="H200" s="399"/>
      <c r="I200" s="399"/>
      <c r="J200" s="399"/>
      <c r="K200" s="399"/>
      <c r="L200" s="399"/>
      <c r="M200" s="399"/>
      <c r="N200" s="399"/>
      <c r="O200" s="399"/>
      <c r="P200" s="399"/>
      <c r="Q200" s="399"/>
      <c r="R200" s="399"/>
      <c r="S200" s="398" t="str">
        <f t="shared" ca="1" si="19"/>
        <v/>
      </c>
      <c r="T200" s="399"/>
      <c r="U200" s="398" t="str">
        <f t="shared" si="20"/>
        <v>Blank</v>
      </c>
    </row>
    <row r="201" spans="1:21">
      <c r="A201" s="398" t="str">
        <f t="shared" si="18"/>
        <v/>
      </c>
      <c r="B201" s="399"/>
      <c r="C201" s="398" t="str">
        <f>IFERROR(INDEX(DATA_PROPERTY_MASTER!$B:$B,MATCH($B201,DATA_PROPERTY_MASTER!$A:$A,0)),"")</f>
        <v/>
      </c>
      <c r="D201" s="399"/>
      <c r="E201" s="399"/>
      <c r="F201" s="404"/>
      <c r="G201" s="404"/>
      <c r="H201" s="399"/>
      <c r="I201" s="399"/>
      <c r="J201" s="399"/>
      <c r="K201" s="399"/>
      <c r="L201" s="399"/>
      <c r="M201" s="399"/>
      <c r="N201" s="399"/>
      <c r="O201" s="399"/>
      <c r="P201" s="399"/>
      <c r="Q201" s="399"/>
      <c r="R201" s="399"/>
      <c r="S201" s="398" t="str">
        <f t="shared" ca="1" si="19"/>
        <v/>
      </c>
      <c r="T201" s="399"/>
      <c r="U201" s="398" t="str">
        <f t="shared" si="20"/>
        <v>Blank</v>
      </c>
    </row>
    <row r="202" spans="1:21">
      <c r="A202" s="398" t="str">
        <f t="shared" si="18"/>
        <v/>
      </c>
      <c r="B202" s="399"/>
      <c r="C202" s="398" t="str">
        <f>IFERROR(INDEX(DATA_PROPERTY_MASTER!$B:$B,MATCH($B202,DATA_PROPERTY_MASTER!$A:$A,0)),"")</f>
        <v/>
      </c>
      <c r="D202" s="399"/>
      <c r="E202" s="399"/>
      <c r="F202" s="404"/>
      <c r="G202" s="404"/>
      <c r="H202" s="399"/>
      <c r="I202" s="399"/>
      <c r="J202" s="399"/>
      <c r="K202" s="399"/>
      <c r="L202" s="399"/>
      <c r="M202" s="399"/>
      <c r="N202" s="399"/>
      <c r="O202" s="399"/>
      <c r="P202" s="399"/>
      <c r="Q202" s="399"/>
      <c r="R202" s="399"/>
      <c r="S202" s="398" t="str">
        <f t="shared" ca="1" si="19"/>
        <v/>
      </c>
      <c r="T202" s="399"/>
      <c r="U202" s="398" t="str">
        <f t="shared" si="20"/>
        <v>Blank</v>
      </c>
    </row>
    <row r="203" spans="1:21">
      <c r="A203" s="398" t="str">
        <f t="shared" si="18"/>
        <v/>
      </c>
      <c r="B203" s="399"/>
      <c r="C203" s="398" t="str">
        <f>IFERROR(INDEX(DATA_PROPERTY_MASTER!$B:$B,MATCH($B203,DATA_PROPERTY_MASTER!$A:$A,0)),"")</f>
        <v/>
      </c>
      <c r="D203" s="399"/>
      <c r="E203" s="399"/>
      <c r="F203" s="404"/>
      <c r="G203" s="404"/>
      <c r="H203" s="399"/>
      <c r="I203" s="399"/>
      <c r="J203" s="399"/>
      <c r="K203" s="399"/>
      <c r="L203" s="399"/>
      <c r="M203" s="399"/>
      <c r="N203" s="399"/>
      <c r="O203" s="399"/>
      <c r="P203" s="399"/>
      <c r="Q203" s="399"/>
      <c r="R203" s="399"/>
      <c r="S203" s="398" t="str">
        <f t="shared" ca="1" si="19"/>
        <v/>
      </c>
      <c r="T203" s="399"/>
      <c r="U203" s="398" t="str">
        <f t="shared" si="20"/>
        <v>Blank</v>
      </c>
    </row>
    <row r="204" spans="1:21">
      <c r="A204" s="398" t="str">
        <f t="shared" si="18"/>
        <v/>
      </c>
      <c r="B204" s="399"/>
      <c r="C204" s="398" t="str">
        <f>IFERROR(INDEX(DATA_PROPERTY_MASTER!$B:$B,MATCH($B204,DATA_PROPERTY_MASTER!$A:$A,0)),"")</f>
        <v/>
      </c>
      <c r="D204" s="399"/>
      <c r="E204" s="399"/>
      <c r="F204" s="404"/>
      <c r="G204" s="404"/>
      <c r="H204" s="399"/>
      <c r="I204" s="399"/>
      <c r="J204" s="399"/>
      <c r="K204" s="399"/>
      <c r="L204" s="399"/>
      <c r="M204" s="399"/>
      <c r="N204" s="399"/>
      <c r="O204" s="399"/>
      <c r="P204" s="399"/>
      <c r="Q204" s="399"/>
      <c r="R204" s="399"/>
      <c r="S204" s="398" t="str">
        <f t="shared" ca="1" si="19"/>
        <v/>
      </c>
      <c r="T204" s="399"/>
      <c r="U204" s="398" t="str">
        <f t="shared" si="20"/>
        <v>Blank</v>
      </c>
    </row>
    <row r="205" spans="1:21">
      <c r="A205" s="398" t="str">
        <f t="shared" si="18"/>
        <v/>
      </c>
      <c r="B205" s="399"/>
      <c r="C205" s="398" t="str">
        <f>IFERROR(INDEX(DATA_PROPERTY_MASTER!$B:$B,MATCH($B205,DATA_PROPERTY_MASTER!$A:$A,0)),"")</f>
        <v/>
      </c>
      <c r="D205" s="399"/>
      <c r="E205" s="399"/>
      <c r="F205" s="404"/>
      <c r="G205" s="404"/>
      <c r="H205" s="399"/>
      <c r="I205" s="399"/>
      <c r="J205" s="399"/>
      <c r="K205" s="399"/>
      <c r="L205" s="399"/>
      <c r="M205" s="399"/>
      <c r="N205" s="399"/>
      <c r="O205" s="399"/>
      <c r="P205" s="399"/>
      <c r="Q205" s="399"/>
      <c r="R205" s="399"/>
      <c r="S205" s="398" t="str">
        <f t="shared" ca="1" si="19"/>
        <v/>
      </c>
      <c r="T205" s="399"/>
      <c r="U205" s="398" t="str">
        <f t="shared" si="20"/>
        <v>Blank</v>
      </c>
    </row>
    <row r="206" spans="1:21">
      <c r="A206" s="398" t="str">
        <f t="shared" si="18"/>
        <v/>
      </c>
      <c r="B206" s="399"/>
      <c r="C206" s="398" t="str">
        <f>IFERROR(INDEX(DATA_PROPERTY_MASTER!$B:$B,MATCH($B206,DATA_PROPERTY_MASTER!$A:$A,0)),"")</f>
        <v/>
      </c>
      <c r="D206" s="399"/>
      <c r="E206" s="399"/>
      <c r="F206" s="404"/>
      <c r="G206" s="404"/>
      <c r="H206" s="399"/>
      <c r="I206" s="399"/>
      <c r="J206" s="399"/>
      <c r="K206" s="399"/>
      <c r="L206" s="399"/>
      <c r="M206" s="399"/>
      <c r="N206" s="399"/>
      <c r="O206" s="399"/>
      <c r="P206" s="399"/>
      <c r="Q206" s="399"/>
      <c r="R206" s="399"/>
      <c r="S206" s="398" t="str">
        <f t="shared" ca="1" si="19"/>
        <v/>
      </c>
      <c r="T206" s="399"/>
      <c r="U206" s="398" t="str">
        <f t="shared" si="20"/>
        <v>Blank</v>
      </c>
    </row>
  </sheetData>
  <mergeCells count="1">
    <mergeCell ref="A1:U1"/>
  </mergeCells>
  <conditionalFormatting sqref="O7:O206">
    <cfRule type="expression" dxfId="34" priority="1">
      <formula>OR(O7="Review",O7="Funding Gap",O7="Expired / Review")</formula>
    </cfRule>
    <cfRule type="expression" dxfId="33" priority="2">
      <formula>OR(O7="OK",O7="Ready",O7="Funded / No Gap")</formula>
    </cfRule>
  </conditionalFormatting>
  <conditionalFormatting sqref="R7:R206">
    <cfRule type="expression" dxfId="32" priority="3">
      <formula>OR(R7="Review",R7="Funding Gap",R7="Expired / Review")</formula>
    </cfRule>
    <cfRule type="expression" dxfId="31" priority="4">
      <formula>OR(R7="OK",R7="Ready",R7="Funded / No Gap")</formula>
    </cfRule>
  </conditionalFormatting>
  <conditionalFormatting sqref="S7:S206">
    <cfRule type="expression" dxfId="30" priority="5">
      <formula>OR(S7="Review",S7="Funding Gap",S7="Expired / Review")</formula>
    </cfRule>
    <cfRule type="expression" dxfId="29" priority="6">
      <formula>OR(S7="OK",S7="Ready",S7="Funded / No Gap")</formula>
    </cfRule>
  </conditionalFormatting>
  <conditionalFormatting sqref="U7:U206">
    <cfRule type="expression" dxfId="28" priority="7">
      <formula>OR(U7="Review",U7="Funding Gap",U7="Expired / Review")</formula>
    </cfRule>
    <cfRule type="expression" dxfId="27" priority="8">
      <formula>OR(U7="OK",U7="Ready",U7="Funded / No Gap")</formula>
    </cfRule>
  </conditionalFormatting>
  <dataValidations count="2">
    <dataValidation type="list" allowBlank="1" sqref="Q7:Q206" xr:uid="{00000000-0002-0000-2B00-000001000000}">
      <formula1>"High,Medium,Low,Unknown"</formula1>
    </dataValidation>
    <dataValidation type="list" allowBlank="1" sqref="R7:R206" xr:uid="{00000000-0002-0000-2B00-000002000000}">
      <formula1>"Ready,Review,Missing,Not Provided"</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2B00-000000000000}">
          <x14:formula1>
            <xm:f>DATA_PROPERTY_MASTER!$A$5:$A$21</xm:f>
          </x14:formula1>
          <xm:sqref>B7:B206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78FB5-CFDA-4F4A-AB6F-8539ECA5F6C8}">
  <sheetPr>
    <tabColor rgb="FF7030A0"/>
  </sheetPr>
  <dimension ref="A1:T206"/>
  <sheetViews>
    <sheetView workbookViewId="0">
      <pane ySplit="6" topLeftCell="A7" activePane="bottomLeft" state="frozen"/>
      <selection sqref="A1:V1"/>
      <selection pane="bottomLeft" sqref="A1:V1"/>
    </sheetView>
  </sheetViews>
  <sheetFormatPr defaultRowHeight="15"/>
  <cols>
    <col min="1" max="1" width="17" customWidth="1"/>
    <col min="2" max="2" width="30.140625" customWidth="1"/>
    <col min="3" max="3" width="24" customWidth="1"/>
    <col min="4" max="4" width="14" customWidth="1"/>
    <col min="5" max="5" width="18" customWidth="1"/>
    <col min="6" max="6" width="22" customWidth="1"/>
    <col min="7" max="7" width="13" customWidth="1"/>
    <col min="8" max="10" width="15" customWidth="1"/>
    <col min="11" max="11" width="16" customWidth="1"/>
    <col min="12" max="12" width="22" customWidth="1"/>
    <col min="13" max="13" width="21" customWidth="1"/>
    <col min="14" max="14" width="22" customWidth="1"/>
    <col min="15" max="15" width="16" customWidth="1"/>
    <col min="16" max="16" width="19" customWidth="1"/>
    <col min="17" max="17" width="15" customWidth="1"/>
    <col min="18" max="18" width="18" customWidth="1"/>
    <col min="19" max="19" width="28" customWidth="1"/>
    <col min="20" max="20" width="12" customWidth="1"/>
  </cols>
  <sheetData>
    <row r="1" spans="1:20">
      <c r="A1" s="425" t="s">
        <v>1472</v>
      </c>
      <c r="B1" s="424"/>
      <c r="C1" s="424"/>
      <c r="D1" s="424"/>
      <c r="E1" s="424"/>
      <c r="F1" s="424"/>
      <c r="G1" s="424"/>
      <c r="H1" s="424"/>
      <c r="I1" s="424"/>
      <c r="J1" s="424"/>
      <c r="K1" s="424"/>
      <c r="L1" s="424"/>
      <c r="M1" s="424"/>
      <c r="N1" s="424"/>
      <c r="O1" s="424"/>
      <c r="P1" s="424"/>
      <c r="Q1" s="424"/>
      <c r="R1" s="424"/>
      <c r="S1" s="424"/>
      <c r="T1" s="424"/>
    </row>
    <row r="2" spans="1:20" ht="71.25" customHeight="1">
      <c r="A2" s="396" t="s">
        <v>1094</v>
      </c>
      <c r="B2" s="193" t="s">
        <v>1473</v>
      </c>
    </row>
    <row r="3" spans="1:20" ht="86.25" customHeight="1">
      <c r="A3" s="396" t="s">
        <v>1208</v>
      </c>
      <c r="B3" s="193" t="s">
        <v>1474</v>
      </c>
    </row>
    <row r="4" spans="1:20" ht="76.5" customHeight="1">
      <c r="A4" s="396" t="s">
        <v>1409</v>
      </c>
      <c r="B4" s="193" t="s">
        <v>1410</v>
      </c>
    </row>
    <row r="6" spans="1:20" ht="30">
      <c r="A6" s="397" t="s">
        <v>1475</v>
      </c>
      <c r="B6" s="397" t="s">
        <v>1263</v>
      </c>
      <c r="C6" s="397" t="s">
        <v>1269</v>
      </c>
      <c r="D6" s="397" t="s">
        <v>1476</v>
      </c>
      <c r="E6" s="397" t="s">
        <v>1477</v>
      </c>
      <c r="F6" s="397" t="s">
        <v>1478</v>
      </c>
      <c r="G6" s="397" t="s">
        <v>1479</v>
      </c>
      <c r="H6" s="397" t="s">
        <v>1480</v>
      </c>
      <c r="I6" s="397" t="s">
        <v>1481</v>
      </c>
      <c r="J6" s="397" t="s">
        <v>1482</v>
      </c>
      <c r="K6" s="397" t="s">
        <v>1483</v>
      </c>
      <c r="L6" s="397" t="s">
        <v>1484</v>
      </c>
      <c r="M6" s="397" t="s">
        <v>1485</v>
      </c>
      <c r="N6" s="397" t="s">
        <v>1486</v>
      </c>
      <c r="O6" s="397" t="s">
        <v>1210</v>
      </c>
      <c r="P6" s="397" t="s">
        <v>1425</v>
      </c>
      <c r="Q6" s="397" t="s">
        <v>1426</v>
      </c>
      <c r="R6" s="397" t="s">
        <v>1487</v>
      </c>
      <c r="S6" s="397" t="s">
        <v>386</v>
      </c>
      <c r="T6" s="397" t="s">
        <v>1427</v>
      </c>
    </row>
    <row r="7" spans="1:20">
      <c r="A7" s="398" t="str">
        <f t="shared" ref="A7:A38" si="0">IF($B7="","","CN-"&amp;TEXT(ROW()-6,"0000"))</f>
        <v/>
      </c>
      <c r="B7" s="399"/>
      <c r="C7" s="398" t="str">
        <f>IFERROR(INDEX(DATA_PROPERTY_MASTER!$B:$B,MATCH($B7,DATA_PROPERTY_MASTER!$A:$A,0)),"")</f>
        <v/>
      </c>
      <c r="D7" s="399"/>
      <c r="E7" s="399"/>
      <c r="F7" s="399"/>
      <c r="G7" s="400"/>
      <c r="H7" s="405"/>
      <c r="I7" s="405"/>
      <c r="J7" s="406">
        <f t="shared" ref="J7:J38" si="1">IFERROR(MAX($H7-$I7,0),"")</f>
        <v>0</v>
      </c>
      <c r="K7" s="399"/>
      <c r="L7" s="399"/>
      <c r="M7" s="399"/>
      <c r="N7" s="399"/>
      <c r="O7" s="399"/>
      <c r="P7" s="399"/>
      <c r="Q7" s="399"/>
      <c r="R7" s="398" t="str">
        <f t="shared" ref="R7:R38" si="2">IF($B7="","",IF($J7&gt;0,"Funding Gap","Funded / No Gap"))</f>
        <v/>
      </c>
      <c r="S7" s="399"/>
      <c r="T7" s="398" t="str">
        <f t="shared" ref="T7:T38" si="3">IF($B7="","Blank",IF(OR($D7="",$G7="",$H7=""),"Review","OK"))</f>
        <v>Blank</v>
      </c>
    </row>
    <row r="8" spans="1:20">
      <c r="A8" s="398" t="str">
        <f t="shared" si="0"/>
        <v/>
      </c>
      <c r="B8" s="399"/>
      <c r="C8" s="398" t="str">
        <f>IFERROR(INDEX(DATA_PROPERTY_MASTER!$B:$B,MATCH($B8,DATA_PROPERTY_MASTER!$A:$A,0)),"")</f>
        <v/>
      </c>
      <c r="D8" s="399"/>
      <c r="E8" s="399"/>
      <c r="F8" s="399"/>
      <c r="G8" s="400"/>
      <c r="H8" s="405"/>
      <c r="I8" s="405"/>
      <c r="J8" s="406">
        <f t="shared" si="1"/>
        <v>0</v>
      </c>
      <c r="K8" s="399"/>
      <c r="L8" s="399"/>
      <c r="M8" s="399"/>
      <c r="N8" s="399"/>
      <c r="O8" s="399"/>
      <c r="P8" s="399"/>
      <c r="Q8" s="399"/>
      <c r="R8" s="398" t="str">
        <f t="shared" si="2"/>
        <v/>
      </c>
      <c r="S8" s="399"/>
      <c r="T8" s="398" t="str">
        <f t="shared" si="3"/>
        <v>Blank</v>
      </c>
    </row>
    <row r="9" spans="1:20">
      <c r="A9" s="398" t="str">
        <f t="shared" si="0"/>
        <v/>
      </c>
      <c r="B9" s="399"/>
      <c r="C9" s="398" t="str">
        <f>IFERROR(INDEX(DATA_PROPERTY_MASTER!$B:$B,MATCH($B9,DATA_PROPERTY_MASTER!$A:$A,0)),"")</f>
        <v/>
      </c>
      <c r="D9" s="399"/>
      <c r="E9" s="399"/>
      <c r="F9" s="399"/>
      <c r="G9" s="400"/>
      <c r="H9" s="405"/>
      <c r="I9" s="405"/>
      <c r="J9" s="406">
        <f t="shared" si="1"/>
        <v>0</v>
      </c>
      <c r="K9" s="399"/>
      <c r="L9" s="399"/>
      <c r="M9" s="399"/>
      <c r="N9" s="399"/>
      <c r="O9" s="399"/>
      <c r="P9" s="399"/>
      <c r="Q9" s="399"/>
      <c r="R9" s="398" t="str">
        <f t="shared" si="2"/>
        <v/>
      </c>
      <c r="S9" s="399"/>
      <c r="T9" s="398" t="str">
        <f t="shared" si="3"/>
        <v>Blank</v>
      </c>
    </row>
    <row r="10" spans="1:20">
      <c r="A10" s="398" t="str">
        <f t="shared" si="0"/>
        <v/>
      </c>
      <c r="B10" s="399"/>
      <c r="C10" s="398" t="str">
        <f>IFERROR(INDEX(DATA_PROPERTY_MASTER!$B:$B,MATCH($B10,DATA_PROPERTY_MASTER!$A:$A,0)),"")</f>
        <v/>
      </c>
      <c r="D10" s="399"/>
      <c r="E10" s="399"/>
      <c r="F10" s="399"/>
      <c r="G10" s="400"/>
      <c r="H10" s="405"/>
      <c r="I10" s="405"/>
      <c r="J10" s="406">
        <f t="shared" si="1"/>
        <v>0</v>
      </c>
      <c r="K10" s="399"/>
      <c r="L10" s="399"/>
      <c r="M10" s="399"/>
      <c r="N10" s="399"/>
      <c r="O10" s="399"/>
      <c r="P10" s="399"/>
      <c r="Q10" s="399"/>
      <c r="R10" s="398" t="str">
        <f t="shared" si="2"/>
        <v/>
      </c>
      <c r="S10" s="399"/>
      <c r="T10" s="398" t="str">
        <f t="shared" si="3"/>
        <v>Blank</v>
      </c>
    </row>
    <row r="11" spans="1:20">
      <c r="A11" s="398" t="str">
        <f t="shared" si="0"/>
        <v/>
      </c>
      <c r="B11" s="399"/>
      <c r="C11" s="398" t="str">
        <f>IFERROR(INDEX(DATA_PROPERTY_MASTER!$B:$B,MATCH($B11,DATA_PROPERTY_MASTER!$A:$A,0)),"")</f>
        <v/>
      </c>
      <c r="D11" s="399"/>
      <c r="E11" s="399"/>
      <c r="F11" s="399"/>
      <c r="G11" s="400"/>
      <c r="H11" s="405"/>
      <c r="I11" s="405"/>
      <c r="J11" s="406">
        <f t="shared" si="1"/>
        <v>0</v>
      </c>
      <c r="K11" s="399"/>
      <c r="L11" s="399"/>
      <c r="M11" s="399"/>
      <c r="N11" s="399"/>
      <c r="O11" s="399"/>
      <c r="P11" s="399"/>
      <c r="Q11" s="399"/>
      <c r="R11" s="398" t="str">
        <f t="shared" si="2"/>
        <v/>
      </c>
      <c r="S11" s="399"/>
      <c r="T11" s="398" t="str">
        <f t="shared" si="3"/>
        <v>Blank</v>
      </c>
    </row>
    <row r="12" spans="1:20">
      <c r="A12" s="398" t="str">
        <f t="shared" si="0"/>
        <v/>
      </c>
      <c r="B12" s="399"/>
      <c r="C12" s="398" t="str">
        <f>IFERROR(INDEX(DATA_PROPERTY_MASTER!$B:$B,MATCH($B12,DATA_PROPERTY_MASTER!$A:$A,0)),"")</f>
        <v/>
      </c>
      <c r="D12" s="399"/>
      <c r="E12" s="399"/>
      <c r="F12" s="399"/>
      <c r="G12" s="400"/>
      <c r="H12" s="405"/>
      <c r="I12" s="405"/>
      <c r="J12" s="406">
        <f t="shared" si="1"/>
        <v>0</v>
      </c>
      <c r="K12" s="399"/>
      <c r="L12" s="399"/>
      <c r="M12" s="399"/>
      <c r="N12" s="399"/>
      <c r="O12" s="399"/>
      <c r="P12" s="399"/>
      <c r="Q12" s="399"/>
      <c r="R12" s="398" t="str">
        <f t="shared" si="2"/>
        <v/>
      </c>
      <c r="S12" s="399"/>
      <c r="T12" s="398" t="str">
        <f t="shared" si="3"/>
        <v>Blank</v>
      </c>
    </row>
    <row r="13" spans="1:20">
      <c r="A13" s="398" t="str">
        <f t="shared" si="0"/>
        <v/>
      </c>
      <c r="B13" s="399"/>
      <c r="C13" s="398" t="str">
        <f>IFERROR(INDEX(DATA_PROPERTY_MASTER!$B:$B,MATCH($B13,DATA_PROPERTY_MASTER!$A:$A,0)),"")</f>
        <v/>
      </c>
      <c r="D13" s="399"/>
      <c r="E13" s="399"/>
      <c r="F13" s="399"/>
      <c r="G13" s="400"/>
      <c r="H13" s="405"/>
      <c r="I13" s="405"/>
      <c r="J13" s="406">
        <f t="shared" si="1"/>
        <v>0</v>
      </c>
      <c r="K13" s="399"/>
      <c r="L13" s="399"/>
      <c r="M13" s="399"/>
      <c r="N13" s="399"/>
      <c r="O13" s="399"/>
      <c r="P13" s="399"/>
      <c r="Q13" s="399"/>
      <c r="R13" s="398" t="str">
        <f t="shared" si="2"/>
        <v/>
      </c>
      <c r="S13" s="399"/>
      <c r="T13" s="398" t="str">
        <f t="shared" si="3"/>
        <v>Blank</v>
      </c>
    </row>
    <row r="14" spans="1:20">
      <c r="A14" s="398" t="str">
        <f t="shared" si="0"/>
        <v/>
      </c>
      <c r="B14" s="399"/>
      <c r="C14" s="398" t="str">
        <f>IFERROR(INDEX(DATA_PROPERTY_MASTER!$B:$B,MATCH($B14,DATA_PROPERTY_MASTER!$A:$A,0)),"")</f>
        <v/>
      </c>
      <c r="D14" s="399"/>
      <c r="E14" s="399"/>
      <c r="F14" s="399"/>
      <c r="G14" s="400"/>
      <c r="H14" s="405"/>
      <c r="I14" s="405"/>
      <c r="J14" s="406">
        <f t="shared" si="1"/>
        <v>0</v>
      </c>
      <c r="K14" s="399"/>
      <c r="L14" s="399"/>
      <c r="M14" s="399"/>
      <c r="N14" s="399"/>
      <c r="O14" s="399"/>
      <c r="P14" s="399"/>
      <c r="Q14" s="399"/>
      <c r="R14" s="398" t="str">
        <f t="shared" si="2"/>
        <v/>
      </c>
      <c r="S14" s="399"/>
      <c r="T14" s="398" t="str">
        <f t="shared" si="3"/>
        <v>Blank</v>
      </c>
    </row>
    <row r="15" spans="1:20">
      <c r="A15" s="398" t="str">
        <f t="shared" si="0"/>
        <v/>
      </c>
      <c r="B15" s="399"/>
      <c r="C15" s="398" t="str">
        <f>IFERROR(INDEX(DATA_PROPERTY_MASTER!$B:$B,MATCH($B15,DATA_PROPERTY_MASTER!$A:$A,0)),"")</f>
        <v/>
      </c>
      <c r="D15" s="399"/>
      <c r="E15" s="399"/>
      <c r="F15" s="399"/>
      <c r="G15" s="400"/>
      <c r="H15" s="405"/>
      <c r="I15" s="405"/>
      <c r="J15" s="406">
        <f t="shared" si="1"/>
        <v>0</v>
      </c>
      <c r="K15" s="399"/>
      <c r="L15" s="399"/>
      <c r="M15" s="399"/>
      <c r="N15" s="399"/>
      <c r="O15" s="399"/>
      <c r="P15" s="399"/>
      <c r="Q15" s="399"/>
      <c r="R15" s="398" t="str">
        <f t="shared" si="2"/>
        <v/>
      </c>
      <c r="S15" s="399"/>
      <c r="T15" s="398" t="str">
        <f t="shared" si="3"/>
        <v>Blank</v>
      </c>
    </row>
    <row r="16" spans="1:20">
      <c r="A16" s="398" t="str">
        <f t="shared" si="0"/>
        <v/>
      </c>
      <c r="B16" s="399"/>
      <c r="C16" s="398" t="str">
        <f>IFERROR(INDEX(DATA_PROPERTY_MASTER!$B:$B,MATCH($B16,DATA_PROPERTY_MASTER!$A:$A,0)),"")</f>
        <v/>
      </c>
      <c r="D16" s="399"/>
      <c r="E16" s="399"/>
      <c r="F16" s="399"/>
      <c r="G16" s="400"/>
      <c r="H16" s="405"/>
      <c r="I16" s="405"/>
      <c r="J16" s="406">
        <f t="shared" si="1"/>
        <v>0</v>
      </c>
      <c r="K16" s="399"/>
      <c r="L16" s="399"/>
      <c r="M16" s="399"/>
      <c r="N16" s="399"/>
      <c r="O16" s="399"/>
      <c r="P16" s="399"/>
      <c r="Q16" s="399"/>
      <c r="R16" s="398" t="str">
        <f t="shared" si="2"/>
        <v/>
      </c>
      <c r="S16" s="399"/>
      <c r="T16" s="398" t="str">
        <f t="shared" si="3"/>
        <v>Blank</v>
      </c>
    </row>
    <row r="17" spans="1:20">
      <c r="A17" s="398" t="str">
        <f t="shared" si="0"/>
        <v/>
      </c>
      <c r="B17" s="399"/>
      <c r="C17" s="398" t="str">
        <f>IFERROR(INDEX(DATA_PROPERTY_MASTER!$B:$B,MATCH($B17,DATA_PROPERTY_MASTER!$A:$A,0)),"")</f>
        <v/>
      </c>
      <c r="D17" s="399"/>
      <c r="E17" s="399"/>
      <c r="F17" s="399"/>
      <c r="G17" s="400"/>
      <c r="H17" s="405"/>
      <c r="I17" s="405"/>
      <c r="J17" s="406">
        <f t="shared" si="1"/>
        <v>0</v>
      </c>
      <c r="K17" s="399"/>
      <c r="L17" s="399"/>
      <c r="M17" s="399"/>
      <c r="N17" s="399"/>
      <c r="O17" s="399"/>
      <c r="P17" s="399"/>
      <c r="Q17" s="399"/>
      <c r="R17" s="398" t="str">
        <f t="shared" si="2"/>
        <v/>
      </c>
      <c r="S17" s="399"/>
      <c r="T17" s="398" t="str">
        <f t="shared" si="3"/>
        <v>Blank</v>
      </c>
    </row>
    <row r="18" spans="1:20">
      <c r="A18" s="398" t="str">
        <f t="shared" si="0"/>
        <v/>
      </c>
      <c r="B18" s="399"/>
      <c r="C18" s="398" t="str">
        <f>IFERROR(INDEX(DATA_PROPERTY_MASTER!$B:$B,MATCH($B18,DATA_PROPERTY_MASTER!$A:$A,0)),"")</f>
        <v/>
      </c>
      <c r="D18" s="399"/>
      <c r="E18" s="399"/>
      <c r="F18" s="399"/>
      <c r="G18" s="400"/>
      <c r="H18" s="405"/>
      <c r="I18" s="405"/>
      <c r="J18" s="406">
        <f t="shared" si="1"/>
        <v>0</v>
      </c>
      <c r="K18" s="399"/>
      <c r="L18" s="399"/>
      <c r="M18" s="399"/>
      <c r="N18" s="399"/>
      <c r="O18" s="399"/>
      <c r="P18" s="399"/>
      <c r="Q18" s="399"/>
      <c r="R18" s="398" t="str">
        <f t="shared" si="2"/>
        <v/>
      </c>
      <c r="S18" s="399"/>
      <c r="T18" s="398" t="str">
        <f t="shared" si="3"/>
        <v>Blank</v>
      </c>
    </row>
    <row r="19" spans="1:20">
      <c r="A19" s="398" t="str">
        <f t="shared" si="0"/>
        <v/>
      </c>
      <c r="B19" s="399"/>
      <c r="C19" s="398" t="str">
        <f>IFERROR(INDEX(DATA_PROPERTY_MASTER!$B:$B,MATCH($B19,DATA_PROPERTY_MASTER!$A:$A,0)),"")</f>
        <v/>
      </c>
      <c r="D19" s="399"/>
      <c r="E19" s="399"/>
      <c r="F19" s="399"/>
      <c r="G19" s="400"/>
      <c r="H19" s="405"/>
      <c r="I19" s="405"/>
      <c r="J19" s="406">
        <f t="shared" si="1"/>
        <v>0</v>
      </c>
      <c r="K19" s="399"/>
      <c r="L19" s="399"/>
      <c r="M19" s="399"/>
      <c r="N19" s="399"/>
      <c r="O19" s="399"/>
      <c r="P19" s="399"/>
      <c r="Q19" s="399"/>
      <c r="R19" s="398" t="str">
        <f t="shared" si="2"/>
        <v/>
      </c>
      <c r="S19" s="399"/>
      <c r="T19" s="398" t="str">
        <f t="shared" si="3"/>
        <v>Blank</v>
      </c>
    </row>
    <row r="20" spans="1:20">
      <c r="A20" s="398" t="str">
        <f t="shared" si="0"/>
        <v/>
      </c>
      <c r="B20" s="399"/>
      <c r="C20" s="398" t="str">
        <f>IFERROR(INDEX(DATA_PROPERTY_MASTER!$B:$B,MATCH($B20,DATA_PROPERTY_MASTER!$A:$A,0)),"")</f>
        <v/>
      </c>
      <c r="D20" s="399"/>
      <c r="E20" s="399"/>
      <c r="F20" s="399"/>
      <c r="G20" s="400"/>
      <c r="H20" s="405"/>
      <c r="I20" s="405"/>
      <c r="J20" s="406">
        <f t="shared" si="1"/>
        <v>0</v>
      </c>
      <c r="K20" s="399"/>
      <c r="L20" s="399"/>
      <c r="M20" s="399"/>
      <c r="N20" s="399"/>
      <c r="O20" s="399"/>
      <c r="P20" s="399"/>
      <c r="Q20" s="399"/>
      <c r="R20" s="398" t="str">
        <f t="shared" si="2"/>
        <v/>
      </c>
      <c r="S20" s="399"/>
      <c r="T20" s="398" t="str">
        <f t="shared" si="3"/>
        <v>Blank</v>
      </c>
    </row>
    <row r="21" spans="1:20">
      <c r="A21" s="398" t="str">
        <f t="shared" si="0"/>
        <v/>
      </c>
      <c r="B21" s="399"/>
      <c r="C21" s="398" t="str">
        <f>IFERROR(INDEX(DATA_PROPERTY_MASTER!$B:$B,MATCH($B21,DATA_PROPERTY_MASTER!$A:$A,0)),"")</f>
        <v/>
      </c>
      <c r="D21" s="399"/>
      <c r="E21" s="399"/>
      <c r="F21" s="399"/>
      <c r="G21" s="400"/>
      <c r="H21" s="405"/>
      <c r="I21" s="405"/>
      <c r="J21" s="406">
        <f t="shared" si="1"/>
        <v>0</v>
      </c>
      <c r="K21" s="399"/>
      <c r="L21" s="399"/>
      <c r="M21" s="399"/>
      <c r="N21" s="399"/>
      <c r="O21" s="399"/>
      <c r="P21" s="399"/>
      <c r="Q21" s="399"/>
      <c r="R21" s="398" t="str">
        <f t="shared" si="2"/>
        <v/>
      </c>
      <c r="S21" s="399"/>
      <c r="T21" s="398" t="str">
        <f t="shared" si="3"/>
        <v>Blank</v>
      </c>
    </row>
    <row r="22" spans="1:20">
      <c r="A22" s="398" t="str">
        <f t="shared" si="0"/>
        <v/>
      </c>
      <c r="B22" s="399"/>
      <c r="C22" s="398" t="str">
        <f>IFERROR(INDEX(DATA_PROPERTY_MASTER!$B:$B,MATCH($B22,DATA_PROPERTY_MASTER!$A:$A,0)),"")</f>
        <v/>
      </c>
      <c r="D22" s="399"/>
      <c r="E22" s="399"/>
      <c r="F22" s="399"/>
      <c r="G22" s="400"/>
      <c r="H22" s="405"/>
      <c r="I22" s="405"/>
      <c r="J22" s="406">
        <f t="shared" si="1"/>
        <v>0</v>
      </c>
      <c r="K22" s="399"/>
      <c r="L22" s="399"/>
      <c r="M22" s="399"/>
      <c r="N22" s="399"/>
      <c r="O22" s="399"/>
      <c r="P22" s="399"/>
      <c r="Q22" s="399"/>
      <c r="R22" s="398" t="str">
        <f t="shared" si="2"/>
        <v/>
      </c>
      <c r="S22" s="399"/>
      <c r="T22" s="398" t="str">
        <f t="shared" si="3"/>
        <v>Blank</v>
      </c>
    </row>
    <row r="23" spans="1:20">
      <c r="A23" s="398" t="str">
        <f t="shared" si="0"/>
        <v/>
      </c>
      <c r="B23" s="399"/>
      <c r="C23" s="398" t="str">
        <f>IFERROR(INDEX(DATA_PROPERTY_MASTER!$B:$B,MATCH($B23,DATA_PROPERTY_MASTER!$A:$A,0)),"")</f>
        <v/>
      </c>
      <c r="D23" s="399"/>
      <c r="E23" s="399"/>
      <c r="F23" s="399"/>
      <c r="G23" s="400"/>
      <c r="H23" s="405"/>
      <c r="I23" s="405"/>
      <c r="J23" s="406">
        <f t="shared" si="1"/>
        <v>0</v>
      </c>
      <c r="K23" s="399"/>
      <c r="L23" s="399"/>
      <c r="M23" s="399"/>
      <c r="N23" s="399"/>
      <c r="O23" s="399"/>
      <c r="P23" s="399"/>
      <c r="Q23" s="399"/>
      <c r="R23" s="398" t="str">
        <f t="shared" si="2"/>
        <v/>
      </c>
      <c r="S23" s="399"/>
      <c r="T23" s="398" t="str">
        <f t="shared" si="3"/>
        <v>Blank</v>
      </c>
    </row>
    <row r="24" spans="1:20">
      <c r="A24" s="398" t="str">
        <f t="shared" si="0"/>
        <v/>
      </c>
      <c r="B24" s="399"/>
      <c r="C24" s="398" t="str">
        <f>IFERROR(INDEX(DATA_PROPERTY_MASTER!$B:$B,MATCH($B24,DATA_PROPERTY_MASTER!$A:$A,0)),"")</f>
        <v/>
      </c>
      <c r="D24" s="399"/>
      <c r="E24" s="399"/>
      <c r="F24" s="399"/>
      <c r="G24" s="400"/>
      <c r="H24" s="405"/>
      <c r="I24" s="405"/>
      <c r="J24" s="406">
        <f t="shared" si="1"/>
        <v>0</v>
      </c>
      <c r="K24" s="399"/>
      <c r="L24" s="399"/>
      <c r="M24" s="399"/>
      <c r="N24" s="399"/>
      <c r="O24" s="399"/>
      <c r="P24" s="399"/>
      <c r="Q24" s="399"/>
      <c r="R24" s="398" t="str">
        <f t="shared" si="2"/>
        <v/>
      </c>
      <c r="S24" s="399"/>
      <c r="T24" s="398" t="str">
        <f t="shared" si="3"/>
        <v>Blank</v>
      </c>
    </row>
    <row r="25" spans="1:20">
      <c r="A25" s="398" t="str">
        <f t="shared" si="0"/>
        <v/>
      </c>
      <c r="B25" s="399"/>
      <c r="C25" s="398" t="str">
        <f>IFERROR(INDEX(DATA_PROPERTY_MASTER!$B:$B,MATCH($B25,DATA_PROPERTY_MASTER!$A:$A,0)),"")</f>
        <v/>
      </c>
      <c r="D25" s="399"/>
      <c r="E25" s="399"/>
      <c r="F25" s="399"/>
      <c r="G25" s="400"/>
      <c r="H25" s="405"/>
      <c r="I25" s="405"/>
      <c r="J25" s="406">
        <f t="shared" si="1"/>
        <v>0</v>
      </c>
      <c r="K25" s="399"/>
      <c r="L25" s="399"/>
      <c r="M25" s="399"/>
      <c r="N25" s="399"/>
      <c r="O25" s="399"/>
      <c r="P25" s="399"/>
      <c r="Q25" s="399"/>
      <c r="R25" s="398" t="str">
        <f t="shared" si="2"/>
        <v/>
      </c>
      <c r="S25" s="399"/>
      <c r="T25" s="398" t="str">
        <f t="shared" si="3"/>
        <v>Blank</v>
      </c>
    </row>
    <row r="26" spans="1:20">
      <c r="A26" s="398" t="str">
        <f t="shared" si="0"/>
        <v/>
      </c>
      <c r="B26" s="399"/>
      <c r="C26" s="398" t="str">
        <f>IFERROR(INDEX(DATA_PROPERTY_MASTER!$B:$B,MATCH($B26,DATA_PROPERTY_MASTER!$A:$A,0)),"")</f>
        <v/>
      </c>
      <c r="D26" s="399"/>
      <c r="E26" s="399"/>
      <c r="F26" s="399"/>
      <c r="G26" s="400"/>
      <c r="H26" s="405"/>
      <c r="I26" s="405"/>
      <c r="J26" s="406">
        <f t="shared" si="1"/>
        <v>0</v>
      </c>
      <c r="K26" s="399"/>
      <c r="L26" s="399"/>
      <c r="M26" s="399"/>
      <c r="N26" s="399"/>
      <c r="O26" s="399"/>
      <c r="P26" s="399"/>
      <c r="Q26" s="399"/>
      <c r="R26" s="398" t="str">
        <f t="shared" si="2"/>
        <v/>
      </c>
      <c r="S26" s="399"/>
      <c r="T26" s="398" t="str">
        <f t="shared" si="3"/>
        <v>Blank</v>
      </c>
    </row>
    <row r="27" spans="1:20">
      <c r="A27" s="398" t="str">
        <f t="shared" si="0"/>
        <v/>
      </c>
      <c r="B27" s="399"/>
      <c r="C27" s="398" t="str">
        <f>IFERROR(INDEX(DATA_PROPERTY_MASTER!$B:$B,MATCH($B27,DATA_PROPERTY_MASTER!$A:$A,0)),"")</f>
        <v/>
      </c>
      <c r="D27" s="399"/>
      <c r="E27" s="399"/>
      <c r="F27" s="399"/>
      <c r="G27" s="400"/>
      <c r="H27" s="405"/>
      <c r="I27" s="405"/>
      <c r="J27" s="406">
        <f t="shared" si="1"/>
        <v>0</v>
      </c>
      <c r="K27" s="399"/>
      <c r="L27" s="399"/>
      <c r="M27" s="399"/>
      <c r="N27" s="399"/>
      <c r="O27" s="399"/>
      <c r="P27" s="399"/>
      <c r="Q27" s="399"/>
      <c r="R27" s="398" t="str">
        <f t="shared" si="2"/>
        <v/>
      </c>
      <c r="S27" s="399"/>
      <c r="T27" s="398" t="str">
        <f t="shared" si="3"/>
        <v>Blank</v>
      </c>
    </row>
    <row r="28" spans="1:20">
      <c r="A28" s="398" t="str">
        <f t="shared" si="0"/>
        <v/>
      </c>
      <c r="B28" s="399"/>
      <c r="C28" s="398" t="str">
        <f>IFERROR(INDEX(DATA_PROPERTY_MASTER!$B:$B,MATCH($B28,DATA_PROPERTY_MASTER!$A:$A,0)),"")</f>
        <v/>
      </c>
      <c r="D28" s="399"/>
      <c r="E28" s="399"/>
      <c r="F28" s="399"/>
      <c r="G28" s="400"/>
      <c r="H28" s="405"/>
      <c r="I28" s="405"/>
      <c r="J28" s="406">
        <f t="shared" si="1"/>
        <v>0</v>
      </c>
      <c r="K28" s="399"/>
      <c r="L28" s="399"/>
      <c r="M28" s="399"/>
      <c r="N28" s="399"/>
      <c r="O28" s="399"/>
      <c r="P28" s="399"/>
      <c r="Q28" s="399"/>
      <c r="R28" s="398" t="str">
        <f t="shared" si="2"/>
        <v/>
      </c>
      <c r="S28" s="399"/>
      <c r="T28" s="398" t="str">
        <f t="shared" si="3"/>
        <v>Blank</v>
      </c>
    </row>
    <row r="29" spans="1:20">
      <c r="A29" s="398" t="str">
        <f t="shared" si="0"/>
        <v/>
      </c>
      <c r="B29" s="399"/>
      <c r="C29" s="398" t="str">
        <f>IFERROR(INDEX(DATA_PROPERTY_MASTER!$B:$B,MATCH($B29,DATA_PROPERTY_MASTER!$A:$A,0)),"")</f>
        <v/>
      </c>
      <c r="D29" s="399"/>
      <c r="E29" s="399"/>
      <c r="F29" s="399"/>
      <c r="G29" s="400"/>
      <c r="H29" s="405"/>
      <c r="I29" s="405"/>
      <c r="J29" s="406">
        <f t="shared" si="1"/>
        <v>0</v>
      </c>
      <c r="K29" s="399"/>
      <c r="L29" s="399"/>
      <c r="M29" s="399"/>
      <c r="N29" s="399"/>
      <c r="O29" s="399"/>
      <c r="P29" s="399"/>
      <c r="Q29" s="399"/>
      <c r="R29" s="398" t="str">
        <f t="shared" si="2"/>
        <v/>
      </c>
      <c r="S29" s="399"/>
      <c r="T29" s="398" t="str">
        <f t="shared" si="3"/>
        <v>Blank</v>
      </c>
    </row>
    <row r="30" spans="1:20">
      <c r="A30" s="398" t="str">
        <f t="shared" si="0"/>
        <v/>
      </c>
      <c r="B30" s="399"/>
      <c r="C30" s="398" t="str">
        <f>IFERROR(INDEX(DATA_PROPERTY_MASTER!$B:$B,MATCH($B30,DATA_PROPERTY_MASTER!$A:$A,0)),"")</f>
        <v/>
      </c>
      <c r="D30" s="399"/>
      <c r="E30" s="399"/>
      <c r="F30" s="399"/>
      <c r="G30" s="400"/>
      <c r="H30" s="405"/>
      <c r="I30" s="405"/>
      <c r="J30" s="406">
        <f t="shared" si="1"/>
        <v>0</v>
      </c>
      <c r="K30" s="399"/>
      <c r="L30" s="399"/>
      <c r="M30" s="399"/>
      <c r="N30" s="399"/>
      <c r="O30" s="399"/>
      <c r="P30" s="399"/>
      <c r="Q30" s="399"/>
      <c r="R30" s="398" t="str">
        <f t="shared" si="2"/>
        <v/>
      </c>
      <c r="S30" s="399"/>
      <c r="T30" s="398" t="str">
        <f t="shared" si="3"/>
        <v>Blank</v>
      </c>
    </row>
    <row r="31" spans="1:20">
      <c r="A31" s="398" t="str">
        <f t="shared" si="0"/>
        <v/>
      </c>
      <c r="B31" s="399"/>
      <c r="C31" s="398" t="str">
        <f>IFERROR(INDEX(DATA_PROPERTY_MASTER!$B:$B,MATCH($B31,DATA_PROPERTY_MASTER!$A:$A,0)),"")</f>
        <v/>
      </c>
      <c r="D31" s="399"/>
      <c r="E31" s="399"/>
      <c r="F31" s="399"/>
      <c r="G31" s="400"/>
      <c r="H31" s="405"/>
      <c r="I31" s="405"/>
      <c r="J31" s="406">
        <f t="shared" si="1"/>
        <v>0</v>
      </c>
      <c r="K31" s="399"/>
      <c r="L31" s="399"/>
      <c r="M31" s="399"/>
      <c r="N31" s="399"/>
      <c r="O31" s="399"/>
      <c r="P31" s="399"/>
      <c r="Q31" s="399"/>
      <c r="R31" s="398" t="str">
        <f t="shared" si="2"/>
        <v/>
      </c>
      <c r="S31" s="399"/>
      <c r="T31" s="398" t="str">
        <f t="shared" si="3"/>
        <v>Blank</v>
      </c>
    </row>
    <row r="32" spans="1:20">
      <c r="A32" s="398" t="str">
        <f t="shared" si="0"/>
        <v/>
      </c>
      <c r="B32" s="399"/>
      <c r="C32" s="398" t="str">
        <f>IFERROR(INDEX(DATA_PROPERTY_MASTER!$B:$B,MATCH($B32,DATA_PROPERTY_MASTER!$A:$A,0)),"")</f>
        <v/>
      </c>
      <c r="D32" s="399"/>
      <c r="E32" s="399"/>
      <c r="F32" s="399"/>
      <c r="G32" s="400"/>
      <c r="H32" s="405"/>
      <c r="I32" s="405"/>
      <c r="J32" s="406">
        <f t="shared" si="1"/>
        <v>0</v>
      </c>
      <c r="K32" s="399"/>
      <c r="L32" s="399"/>
      <c r="M32" s="399"/>
      <c r="N32" s="399"/>
      <c r="O32" s="399"/>
      <c r="P32" s="399"/>
      <c r="Q32" s="399"/>
      <c r="R32" s="398" t="str">
        <f t="shared" si="2"/>
        <v/>
      </c>
      <c r="S32" s="399"/>
      <c r="T32" s="398" t="str">
        <f t="shared" si="3"/>
        <v>Blank</v>
      </c>
    </row>
    <row r="33" spans="1:20">
      <c r="A33" s="398" t="str">
        <f t="shared" si="0"/>
        <v/>
      </c>
      <c r="B33" s="399"/>
      <c r="C33" s="398" t="str">
        <f>IFERROR(INDEX(DATA_PROPERTY_MASTER!$B:$B,MATCH($B33,DATA_PROPERTY_MASTER!$A:$A,0)),"")</f>
        <v/>
      </c>
      <c r="D33" s="399"/>
      <c r="E33" s="399"/>
      <c r="F33" s="399"/>
      <c r="G33" s="400"/>
      <c r="H33" s="405"/>
      <c r="I33" s="405"/>
      <c r="J33" s="406">
        <f t="shared" si="1"/>
        <v>0</v>
      </c>
      <c r="K33" s="399"/>
      <c r="L33" s="399"/>
      <c r="M33" s="399"/>
      <c r="N33" s="399"/>
      <c r="O33" s="399"/>
      <c r="P33" s="399"/>
      <c r="Q33" s="399"/>
      <c r="R33" s="398" t="str">
        <f t="shared" si="2"/>
        <v/>
      </c>
      <c r="S33" s="399"/>
      <c r="T33" s="398" t="str">
        <f t="shared" si="3"/>
        <v>Blank</v>
      </c>
    </row>
    <row r="34" spans="1:20">
      <c r="A34" s="398" t="str">
        <f t="shared" si="0"/>
        <v/>
      </c>
      <c r="B34" s="399"/>
      <c r="C34" s="398" t="str">
        <f>IFERROR(INDEX(DATA_PROPERTY_MASTER!$B:$B,MATCH($B34,DATA_PROPERTY_MASTER!$A:$A,0)),"")</f>
        <v/>
      </c>
      <c r="D34" s="399"/>
      <c r="E34" s="399"/>
      <c r="F34" s="399"/>
      <c r="G34" s="400"/>
      <c r="H34" s="405"/>
      <c r="I34" s="405"/>
      <c r="J34" s="406">
        <f t="shared" si="1"/>
        <v>0</v>
      </c>
      <c r="K34" s="399"/>
      <c r="L34" s="399"/>
      <c r="M34" s="399"/>
      <c r="N34" s="399"/>
      <c r="O34" s="399"/>
      <c r="P34" s="399"/>
      <c r="Q34" s="399"/>
      <c r="R34" s="398" t="str">
        <f t="shared" si="2"/>
        <v/>
      </c>
      <c r="S34" s="399"/>
      <c r="T34" s="398" t="str">
        <f t="shared" si="3"/>
        <v>Blank</v>
      </c>
    </row>
    <row r="35" spans="1:20">
      <c r="A35" s="398" t="str">
        <f t="shared" si="0"/>
        <v/>
      </c>
      <c r="B35" s="399"/>
      <c r="C35" s="398" t="str">
        <f>IFERROR(INDEX(DATA_PROPERTY_MASTER!$B:$B,MATCH($B35,DATA_PROPERTY_MASTER!$A:$A,0)),"")</f>
        <v/>
      </c>
      <c r="D35" s="399"/>
      <c r="E35" s="399"/>
      <c r="F35" s="399"/>
      <c r="G35" s="400"/>
      <c r="H35" s="405"/>
      <c r="I35" s="405"/>
      <c r="J35" s="406">
        <f t="shared" si="1"/>
        <v>0</v>
      </c>
      <c r="K35" s="399"/>
      <c r="L35" s="399"/>
      <c r="M35" s="399"/>
      <c r="N35" s="399"/>
      <c r="O35" s="399"/>
      <c r="P35" s="399"/>
      <c r="Q35" s="399"/>
      <c r="R35" s="398" t="str">
        <f t="shared" si="2"/>
        <v/>
      </c>
      <c r="S35" s="399"/>
      <c r="T35" s="398" t="str">
        <f t="shared" si="3"/>
        <v>Blank</v>
      </c>
    </row>
    <row r="36" spans="1:20">
      <c r="A36" s="398" t="str">
        <f t="shared" si="0"/>
        <v/>
      </c>
      <c r="B36" s="399"/>
      <c r="C36" s="398" t="str">
        <f>IFERROR(INDEX(DATA_PROPERTY_MASTER!$B:$B,MATCH($B36,DATA_PROPERTY_MASTER!$A:$A,0)),"")</f>
        <v/>
      </c>
      <c r="D36" s="399"/>
      <c r="E36" s="399"/>
      <c r="F36" s="399"/>
      <c r="G36" s="400"/>
      <c r="H36" s="405"/>
      <c r="I36" s="405"/>
      <c r="J36" s="406">
        <f t="shared" si="1"/>
        <v>0</v>
      </c>
      <c r="K36" s="399"/>
      <c r="L36" s="399"/>
      <c r="M36" s="399"/>
      <c r="N36" s="399"/>
      <c r="O36" s="399"/>
      <c r="P36" s="399"/>
      <c r="Q36" s="399"/>
      <c r="R36" s="398" t="str">
        <f t="shared" si="2"/>
        <v/>
      </c>
      <c r="S36" s="399"/>
      <c r="T36" s="398" t="str">
        <f t="shared" si="3"/>
        <v>Blank</v>
      </c>
    </row>
    <row r="37" spans="1:20">
      <c r="A37" s="398" t="str">
        <f t="shared" si="0"/>
        <v/>
      </c>
      <c r="B37" s="399"/>
      <c r="C37" s="398" t="str">
        <f>IFERROR(INDEX(DATA_PROPERTY_MASTER!$B:$B,MATCH($B37,DATA_PROPERTY_MASTER!$A:$A,0)),"")</f>
        <v/>
      </c>
      <c r="D37" s="399"/>
      <c r="E37" s="399"/>
      <c r="F37" s="399"/>
      <c r="G37" s="400"/>
      <c r="H37" s="405"/>
      <c r="I37" s="405"/>
      <c r="J37" s="406">
        <f t="shared" si="1"/>
        <v>0</v>
      </c>
      <c r="K37" s="399"/>
      <c r="L37" s="399"/>
      <c r="M37" s="399"/>
      <c r="N37" s="399"/>
      <c r="O37" s="399"/>
      <c r="P37" s="399"/>
      <c r="Q37" s="399"/>
      <c r="R37" s="398" t="str">
        <f t="shared" si="2"/>
        <v/>
      </c>
      <c r="S37" s="399"/>
      <c r="T37" s="398" t="str">
        <f t="shared" si="3"/>
        <v>Blank</v>
      </c>
    </row>
    <row r="38" spans="1:20">
      <c r="A38" s="398" t="str">
        <f t="shared" si="0"/>
        <v/>
      </c>
      <c r="B38" s="399"/>
      <c r="C38" s="398" t="str">
        <f>IFERROR(INDEX(DATA_PROPERTY_MASTER!$B:$B,MATCH($B38,DATA_PROPERTY_MASTER!$A:$A,0)),"")</f>
        <v/>
      </c>
      <c r="D38" s="399"/>
      <c r="E38" s="399"/>
      <c r="F38" s="399"/>
      <c r="G38" s="400"/>
      <c r="H38" s="405"/>
      <c r="I38" s="405"/>
      <c r="J38" s="406">
        <f t="shared" si="1"/>
        <v>0</v>
      </c>
      <c r="K38" s="399"/>
      <c r="L38" s="399"/>
      <c r="M38" s="399"/>
      <c r="N38" s="399"/>
      <c r="O38" s="399"/>
      <c r="P38" s="399"/>
      <c r="Q38" s="399"/>
      <c r="R38" s="398" t="str">
        <f t="shared" si="2"/>
        <v/>
      </c>
      <c r="S38" s="399"/>
      <c r="T38" s="398" t="str">
        <f t="shared" si="3"/>
        <v>Blank</v>
      </c>
    </row>
    <row r="39" spans="1:20">
      <c r="A39" s="398" t="str">
        <f t="shared" ref="A39:A70" si="4">IF($B39="","","CN-"&amp;TEXT(ROW()-6,"0000"))</f>
        <v/>
      </c>
      <c r="B39" s="399"/>
      <c r="C39" s="398" t="str">
        <f>IFERROR(INDEX(DATA_PROPERTY_MASTER!$B:$B,MATCH($B39,DATA_PROPERTY_MASTER!$A:$A,0)),"")</f>
        <v/>
      </c>
      <c r="D39" s="399"/>
      <c r="E39" s="399"/>
      <c r="F39" s="399"/>
      <c r="G39" s="400"/>
      <c r="H39" s="405"/>
      <c r="I39" s="405"/>
      <c r="J39" s="406">
        <f t="shared" ref="J39:J70" si="5">IFERROR(MAX($H39-$I39,0),"")</f>
        <v>0</v>
      </c>
      <c r="K39" s="399"/>
      <c r="L39" s="399"/>
      <c r="M39" s="399"/>
      <c r="N39" s="399"/>
      <c r="O39" s="399"/>
      <c r="P39" s="399"/>
      <c r="Q39" s="399"/>
      <c r="R39" s="398" t="str">
        <f t="shared" ref="R39:R70" si="6">IF($B39="","",IF($J39&gt;0,"Funding Gap","Funded / No Gap"))</f>
        <v/>
      </c>
      <c r="S39" s="399"/>
      <c r="T39" s="398" t="str">
        <f t="shared" ref="T39:T70" si="7">IF($B39="","Blank",IF(OR($D39="",$G39="",$H39=""),"Review","OK"))</f>
        <v>Blank</v>
      </c>
    </row>
    <row r="40" spans="1:20">
      <c r="A40" s="398" t="str">
        <f t="shared" si="4"/>
        <v/>
      </c>
      <c r="B40" s="399"/>
      <c r="C40" s="398" t="str">
        <f>IFERROR(INDEX(DATA_PROPERTY_MASTER!$B:$B,MATCH($B40,DATA_PROPERTY_MASTER!$A:$A,0)),"")</f>
        <v/>
      </c>
      <c r="D40" s="399"/>
      <c r="E40" s="399"/>
      <c r="F40" s="399"/>
      <c r="G40" s="400"/>
      <c r="H40" s="405"/>
      <c r="I40" s="405"/>
      <c r="J40" s="406">
        <f t="shared" si="5"/>
        <v>0</v>
      </c>
      <c r="K40" s="399"/>
      <c r="L40" s="399"/>
      <c r="M40" s="399"/>
      <c r="N40" s="399"/>
      <c r="O40" s="399"/>
      <c r="P40" s="399"/>
      <c r="Q40" s="399"/>
      <c r="R40" s="398" t="str">
        <f t="shared" si="6"/>
        <v/>
      </c>
      <c r="S40" s="399"/>
      <c r="T40" s="398" t="str">
        <f t="shared" si="7"/>
        <v>Blank</v>
      </c>
    </row>
    <row r="41" spans="1:20">
      <c r="A41" s="398" t="str">
        <f t="shared" si="4"/>
        <v/>
      </c>
      <c r="B41" s="399"/>
      <c r="C41" s="398" t="str">
        <f>IFERROR(INDEX(DATA_PROPERTY_MASTER!$B:$B,MATCH($B41,DATA_PROPERTY_MASTER!$A:$A,0)),"")</f>
        <v/>
      </c>
      <c r="D41" s="399"/>
      <c r="E41" s="399"/>
      <c r="F41" s="399"/>
      <c r="G41" s="400"/>
      <c r="H41" s="405"/>
      <c r="I41" s="405"/>
      <c r="J41" s="406">
        <f t="shared" si="5"/>
        <v>0</v>
      </c>
      <c r="K41" s="399"/>
      <c r="L41" s="399"/>
      <c r="M41" s="399"/>
      <c r="N41" s="399"/>
      <c r="O41" s="399"/>
      <c r="P41" s="399"/>
      <c r="Q41" s="399"/>
      <c r="R41" s="398" t="str">
        <f t="shared" si="6"/>
        <v/>
      </c>
      <c r="S41" s="399"/>
      <c r="T41" s="398" t="str">
        <f t="shared" si="7"/>
        <v>Blank</v>
      </c>
    </row>
    <row r="42" spans="1:20">
      <c r="A42" s="398" t="str">
        <f t="shared" si="4"/>
        <v/>
      </c>
      <c r="B42" s="399"/>
      <c r="C42" s="398" t="str">
        <f>IFERROR(INDEX(DATA_PROPERTY_MASTER!$B:$B,MATCH($B42,DATA_PROPERTY_MASTER!$A:$A,0)),"")</f>
        <v/>
      </c>
      <c r="D42" s="399"/>
      <c r="E42" s="399"/>
      <c r="F42" s="399"/>
      <c r="G42" s="400"/>
      <c r="H42" s="405"/>
      <c r="I42" s="405"/>
      <c r="J42" s="406">
        <f t="shared" si="5"/>
        <v>0</v>
      </c>
      <c r="K42" s="399"/>
      <c r="L42" s="399"/>
      <c r="M42" s="399"/>
      <c r="N42" s="399"/>
      <c r="O42" s="399"/>
      <c r="P42" s="399"/>
      <c r="Q42" s="399"/>
      <c r="R42" s="398" t="str">
        <f t="shared" si="6"/>
        <v/>
      </c>
      <c r="S42" s="399"/>
      <c r="T42" s="398" t="str">
        <f t="shared" si="7"/>
        <v>Blank</v>
      </c>
    </row>
    <row r="43" spans="1:20">
      <c r="A43" s="398" t="str">
        <f t="shared" si="4"/>
        <v/>
      </c>
      <c r="B43" s="399"/>
      <c r="C43" s="398" t="str">
        <f>IFERROR(INDEX(DATA_PROPERTY_MASTER!$B:$B,MATCH($B43,DATA_PROPERTY_MASTER!$A:$A,0)),"")</f>
        <v/>
      </c>
      <c r="D43" s="399"/>
      <c r="E43" s="399"/>
      <c r="F43" s="399"/>
      <c r="G43" s="400"/>
      <c r="H43" s="405"/>
      <c r="I43" s="405"/>
      <c r="J43" s="406">
        <f t="shared" si="5"/>
        <v>0</v>
      </c>
      <c r="K43" s="399"/>
      <c r="L43" s="399"/>
      <c r="M43" s="399"/>
      <c r="N43" s="399"/>
      <c r="O43" s="399"/>
      <c r="P43" s="399"/>
      <c r="Q43" s="399"/>
      <c r="R43" s="398" t="str">
        <f t="shared" si="6"/>
        <v/>
      </c>
      <c r="S43" s="399"/>
      <c r="T43" s="398" t="str">
        <f t="shared" si="7"/>
        <v>Blank</v>
      </c>
    </row>
    <row r="44" spans="1:20">
      <c r="A44" s="398" t="str">
        <f t="shared" si="4"/>
        <v/>
      </c>
      <c r="B44" s="399"/>
      <c r="C44" s="398" t="str">
        <f>IFERROR(INDEX(DATA_PROPERTY_MASTER!$B:$B,MATCH($B44,DATA_PROPERTY_MASTER!$A:$A,0)),"")</f>
        <v/>
      </c>
      <c r="D44" s="399"/>
      <c r="E44" s="399"/>
      <c r="F44" s="399"/>
      <c r="G44" s="400"/>
      <c r="H44" s="405"/>
      <c r="I44" s="405"/>
      <c r="J44" s="406">
        <f t="shared" si="5"/>
        <v>0</v>
      </c>
      <c r="K44" s="399"/>
      <c r="L44" s="399"/>
      <c r="M44" s="399"/>
      <c r="N44" s="399"/>
      <c r="O44" s="399"/>
      <c r="P44" s="399"/>
      <c r="Q44" s="399"/>
      <c r="R44" s="398" t="str">
        <f t="shared" si="6"/>
        <v/>
      </c>
      <c r="S44" s="399"/>
      <c r="T44" s="398" t="str">
        <f t="shared" si="7"/>
        <v>Blank</v>
      </c>
    </row>
    <row r="45" spans="1:20">
      <c r="A45" s="398" t="str">
        <f t="shared" si="4"/>
        <v/>
      </c>
      <c r="B45" s="399"/>
      <c r="C45" s="398" t="str">
        <f>IFERROR(INDEX(DATA_PROPERTY_MASTER!$B:$B,MATCH($B45,DATA_PROPERTY_MASTER!$A:$A,0)),"")</f>
        <v/>
      </c>
      <c r="D45" s="399"/>
      <c r="E45" s="399"/>
      <c r="F45" s="399"/>
      <c r="G45" s="400"/>
      <c r="H45" s="405"/>
      <c r="I45" s="405"/>
      <c r="J45" s="406">
        <f t="shared" si="5"/>
        <v>0</v>
      </c>
      <c r="K45" s="399"/>
      <c r="L45" s="399"/>
      <c r="M45" s="399"/>
      <c r="N45" s="399"/>
      <c r="O45" s="399"/>
      <c r="P45" s="399"/>
      <c r="Q45" s="399"/>
      <c r="R45" s="398" t="str">
        <f t="shared" si="6"/>
        <v/>
      </c>
      <c r="S45" s="399"/>
      <c r="T45" s="398" t="str">
        <f t="shared" si="7"/>
        <v>Blank</v>
      </c>
    </row>
    <row r="46" spans="1:20">
      <c r="A46" s="398" t="str">
        <f t="shared" si="4"/>
        <v/>
      </c>
      <c r="B46" s="399"/>
      <c r="C46" s="398" t="str">
        <f>IFERROR(INDEX(DATA_PROPERTY_MASTER!$B:$B,MATCH($B46,DATA_PROPERTY_MASTER!$A:$A,0)),"")</f>
        <v/>
      </c>
      <c r="D46" s="399"/>
      <c r="E46" s="399"/>
      <c r="F46" s="399"/>
      <c r="G46" s="400"/>
      <c r="H46" s="405"/>
      <c r="I46" s="405"/>
      <c r="J46" s="406">
        <f t="shared" si="5"/>
        <v>0</v>
      </c>
      <c r="K46" s="399"/>
      <c r="L46" s="399"/>
      <c r="M46" s="399"/>
      <c r="N46" s="399"/>
      <c r="O46" s="399"/>
      <c r="P46" s="399"/>
      <c r="Q46" s="399"/>
      <c r="R46" s="398" t="str">
        <f t="shared" si="6"/>
        <v/>
      </c>
      <c r="S46" s="399"/>
      <c r="T46" s="398" t="str">
        <f t="shared" si="7"/>
        <v>Blank</v>
      </c>
    </row>
    <row r="47" spans="1:20">
      <c r="A47" s="398" t="str">
        <f t="shared" si="4"/>
        <v/>
      </c>
      <c r="B47" s="399"/>
      <c r="C47" s="398" t="str">
        <f>IFERROR(INDEX(DATA_PROPERTY_MASTER!$B:$B,MATCH($B47,DATA_PROPERTY_MASTER!$A:$A,0)),"")</f>
        <v/>
      </c>
      <c r="D47" s="399"/>
      <c r="E47" s="399"/>
      <c r="F47" s="399"/>
      <c r="G47" s="400"/>
      <c r="H47" s="405"/>
      <c r="I47" s="405"/>
      <c r="J47" s="406">
        <f t="shared" si="5"/>
        <v>0</v>
      </c>
      <c r="K47" s="399"/>
      <c r="L47" s="399"/>
      <c r="M47" s="399"/>
      <c r="N47" s="399"/>
      <c r="O47" s="399"/>
      <c r="P47" s="399"/>
      <c r="Q47" s="399"/>
      <c r="R47" s="398" t="str">
        <f t="shared" si="6"/>
        <v/>
      </c>
      <c r="S47" s="399"/>
      <c r="T47" s="398" t="str">
        <f t="shared" si="7"/>
        <v>Blank</v>
      </c>
    </row>
    <row r="48" spans="1:20">
      <c r="A48" s="398" t="str">
        <f t="shared" si="4"/>
        <v/>
      </c>
      <c r="B48" s="399"/>
      <c r="C48" s="398" t="str">
        <f>IFERROR(INDEX(DATA_PROPERTY_MASTER!$B:$B,MATCH($B48,DATA_PROPERTY_MASTER!$A:$A,0)),"")</f>
        <v/>
      </c>
      <c r="D48" s="399"/>
      <c r="E48" s="399"/>
      <c r="F48" s="399"/>
      <c r="G48" s="400"/>
      <c r="H48" s="405"/>
      <c r="I48" s="405"/>
      <c r="J48" s="406">
        <f t="shared" si="5"/>
        <v>0</v>
      </c>
      <c r="K48" s="399"/>
      <c r="L48" s="399"/>
      <c r="M48" s="399"/>
      <c r="N48" s="399"/>
      <c r="O48" s="399"/>
      <c r="P48" s="399"/>
      <c r="Q48" s="399"/>
      <c r="R48" s="398" t="str">
        <f t="shared" si="6"/>
        <v/>
      </c>
      <c r="S48" s="399"/>
      <c r="T48" s="398" t="str">
        <f t="shared" si="7"/>
        <v>Blank</v>
      </c>
    </row>
    <row r="49" spans="1:20">
      <c r="A49" s="398" t="str">
        <f t="shared" si="4"/>
        <v/>
      </c>
      <c r="B49" s="399"/>
      <c r="C49" s="398" t="str">
        <f>IFERROR(INDEX(DATA_PROPERTY_MASTER!$B:$B,MATCH($B49,DATA_PROPERTY_MASTER!$A:$A,0)),"")</f>
        <v/>
      </c>
      <c r="D49" s="399"/>
      <c r="E49" s="399"/>
      <c r="F49" s="399"/>
      <c r="G49" s="400"/>
      <c r="H49" s="405"/>
      <c r="I49" s="405"/>
      <c r="J49" s="406">
        <f t="shared" si="5"/>
        <v>0</v>
      </c>
      <c r="K49" s="399"/>
      <c r="L49" s="399"/>
      <c r="M49" s="399"/>
      <c r="N49" s="399"/>
      <c r="O49" s="399"/>
      <c r="P49" s="399"/>
      <c r="Q49" s="399"/>
      <c r="R49" s="398" t="str">
        <f t="shared" si="6"/>
        <v/>
      </c>
      <c r="S49" s="399"/>
      <c r="T49" s="398" t="str">
        <f t="shared" si="7"/>
        <v>Blank</v>
      </c>
    </row>
    <row r="50" spans="1:20">
      <c r="A50" s="398" t="str">
        <f t="shared" si="4"/>
        <v/>
      </c>
      <c r="B50" s="399"/>
      <c r="C50" s="398" t="str">
        <f>IFERROR(INDEX(DATA_PROPERTY_MASTER!$B:$B,MATCH($B50,DATA_PROPERTY_MASTER!$A:$A,0)),"")</f>
        <v/>
      </c>
      <c r="D50" s="399"/>
      <c r="E50" s="399"/>
      <c r="F50" s="399"/>
      <c r="G50" s="400"/>
      <c r="H50" s="405"/>
      <c r="I50" s="405"/>
      <c r="J50" s="406">
        <f t="shared" si="5"/>
        <v>0</v>
      </c>
      <c r="K50" s="399"/>
      <c r="L50" s="399"/>
      <c r="M50" s="399"/>
      <c r="N50" s="399"/>
      <c r="O50" s="399"/>
      <c r="P50" s="399"/>
      <c r="Q50" s="399"/>
      <c r="R50" s="398" t="str">
        <f t="shared" si="6"/>
        <v/>
      </c>
      <c r="S50" s="399"/>
      <c r="T50" s="398" t="str">
        <f t="shared" si="7"/>
        <v>Blank</v>
      </c>
    </row>
    <row r="51" spans="1:20">
      <c r="A51" s="398" t="str">
        <f t="shared" si="4"/>
        <v/>
      </c>
      <c r="B51" s="399"/>
      <c r="C51" s="398" t="str">
        <f>IFERROR(INDEX(DATA_PROPERTY_MASTER!$B:$B,MATCH($B51,DATA_PROPERTY_MASTER!$A:$A,0)),"")</f>
        <v/>
      </c>
      <c r="D51" s="399"/>
      <c r="E51" s="399"/>
      <c r="F51" s="399"/>
      <c r="G51" s="400"/>
      <c r="H51" s="405"/>
      <c r="I51" s="405"/>
      <c r="J51" s="406">
        <f t="shared" si="5"/>
        <v>0</v>
      </c>
      <c r="K51" s="399"/>
      <c r="L51" s="399"/>
      <c r="M51" s="399"/>
      <c r="N51" s="399"/>
      <c r="O51" s="399"/>
      <c r="P51" s="399"/>
      <c r="Q51" s="399"/>
      <c r="R51" s="398" t="str">
        <f t="shared" si="6"/>
        <v/>
      </c>
      <c r="S51" s="399"/>
      <c r="T51" s="398" t="str">
        <f t="shared" si="7"/>
        <v>Blank</v>
      </c>
    </row>
    <row r="52" spans="1:20">
      <c r="A52" s="398" t="str">
        <f t="shared" si="4"/>
        <v/>
      </c>
      <c r="B52" s="399"/>
      <c r="C52" s="398" t="str">
        <f>IFERROR(INDEX(DATA_PROPERTY_MASTER!$B:$B,MATCH($B52,DATA_PROPERTY_MASTER!$A:$A,0)),"")</f>
        <v/>
      </c>
      <c r="D52" s="399"/>
      <c r="E52" s="399"/>
      <c r="F52" s="399"/>
      <c r="G52" s="400"/>
      <c r="H52" s="405"/>
      <c r="I52" s="405"/>
      <c r="J52" s="406">
        <f t="shared" si="5"/>
        <v>0</v>
      </c>
      <c r="K52" s="399"/>
      <c r="L52" s="399"/>
      <c r="M52" s="399"/>
      <c r="N52" s="399"/>
      <c r="O52" s="399"/>
      <c r="P52" s="399"/>
      <c r="Q52" s="399"/>
      <c r="R52" s="398" t="str">
        <f t="shared" si="6"/>
        <v/>
      </c>
      <c r="S52" s="399"/>
      <c r="T52" s="398" t="str">
        <f t="shared" si="7"/>
        <v>Blank</v>
      </c>
    </row>
    <row r="53" spans="1:20">
      <c r="A53" s="398" t="str">
        <f t="shared" si="4"/>
        <v/>
      </c>
      <c r="B53" s="399"/>
      <c r="C53" s="398" t="str">
        <f>IFERROR(INDEX(DATA_PROPERTY_MASTER!$B:$B,MATCH($B53,DATA_PROPERTY_MASTER!$A:$A,0)),"")</f>
        <v/>
      </c>
      <c r="D53" s="399"/>
      <c r="E53" s="399"/>
      <c r="F53" s="399"/>
      <c r="G53" s="400"/>
      <c r="H53" s="405"/>
      <c r="I53" s="405"/>
      <c r="J53" s="406">
        <f t="shared" si="5"/>
        <v>0</v>
      </c>
      <c r="K53" s="399"/>
      <c r="L53" s="399"/>
      <c r="M53" s="399"/>
      <c r="N53" s="399"/>
      <c r="O53" s="399"/>
      <c r="P53" s="399"/>
      <c r="Q53" s="399"/>
      <c r="R53" s="398" t="str">
        <f t="shared" si="6"/>
        <v/>
      </c>
      <c r="S53" s="399"/>
      <c r="T53" s="398" t="str">
        <f t="shared" si="7"/>
        <v>Blank</v>
      </c>
    </row>
    <row r="54" spans="1:20">
      <c r="A54" s="398" t="str">
        <f t="shared" si="4"/>
        <v/>
      </c>
      <c r="B54" s="399"/>
      <c r="C54" s="398" t="str">
        <f>IFERROR(INDEX(DATA_PROPERTY_MASTER!$B:$B,MATCH($B54,DATA_PROPERTY_MASTER!$A:$A,0)),"")</f>
        <v/>
      </c>
      <c r="D54" s="399"/>
      <c r="E54" s="399"/>
      <c r="F54" s="399"/>
      <c r="G54" s="400"/>
      <c r="H54" s="405"/>
      <c r="I54" s="405"/>
      <c r="J54" s="406">
        <f t="shared" si="5"/>
        <v>0</v>
      </c>
      <c r="K54" s="399"/>
      <c r="L54" s="399"/>
      <c r="M54" s="399"/>
      <c r="N54" s="399"/>
      <c r="O54" s="399"/>
      <c r="P54" s="399"/>
      <c r="Q54" s="399"/>
      <c r="R54" s="398" t="str">
        <f t="shared" si="6"/>
        <v/>
      </c>
      <c r="S54" s="399"/>
      <c r="T54" s="398" t="str">
        <f t="shared" si="7"/>
        <v>Blank</v>
      </c>
    </row>
    <row r="55" spans="1:20">
      <c r="A55" s="398" t="str">
        <f t="shared" si="4"/>
        <v/>
      </c>
      <c r="B55" s="399"/>
      <c r="C55" s="398" t="str">
        <f>IFERROR(INDEX(DATA_PROPERTY_MASTER!$B:$B,MATCH($B55,DATA_PROPERTY_MASTER!$A:$A,0)),"")</f>
        <v/>
      </c>
      <c r="D55" s="399"/>
      <c r="E55" s="399"/>
      <c r="F55" s="399"/>
      <c r="G55" s="400"/>
      <c r="H55" s="405"/>
      <c r="I55" s="405"/>
      <c r="J55" s="406">
        <f t="shared" si="5"/>
        <v>0</v>
      </c>
      <c r="K55" s="399"/>
      <c r="L55" s="399"/>
      <c r="M55" s="399"/>
      <c r="N55" s="399"/>
      <c r="O55" s="399"/>
      <c r="P55" s="399"/>
      <c r="Q55" s="399"/>
      <c r="R55" s="398" t="str">
        <f t="shared" si="6"/>
        <v/>
      </c>
      <c r="S55" s="399"/>
      <c r="T55" s="398" t="str">
        <f t="shared" si="7"/>
        <v>Blank</v>
      </c>
    </row>
    <row r="56" spans="1:20">
      <c r="A56" s="398" t="str">
        <f t="shared" si="4"/>
        <v/>
      </c>
      <c r="B56" s="399"/>
      <c r="C56" s="398" t="str">
        <f>IFERROR(INDEX(DATA_PROPERTY_MASTER!$B:$B,MATCH($B56,DATA_PROPERTY_MASTER!$A:$A,0)),"")</f>
        <v/>
      </c>
      <c r="D56" s="399"/>
      <c r="E56" s="399"/>
      <c r="F56" s="399"/>
      <c r="G56" s="400"/>
      <c r="H56" s="405"/>
      <c r="I56" s="405"/>
      <c r="J56" s="406">
        <f t="shared" si="5"/>
        <v>0</v>
      </c>
      <c r="K56" s="399"/>
      <c r="L56" s="399"/>
      <c r="M56" s="399"/>
      <c r="N56" s="399"/>
      <c r="O56" s="399"/>
      <c r="P56" s="399"/>
      <c r="Q56" s="399"/>
      <c r="R56" s="398" t="str">
        <f t="shared" si="6"/>
        <v/>
      </c>
      <c r="S56" s="399"/>
      <c r="T56" s="398" t="str">
        <f t="shared" si="7"/>
        <v>Blank</v>
      </c>
    </row>
    <row r="57" spans="1:20">
      <c r="A57" s="398" t="str">
        <f t="shared" si="4"/>
        <v/>
      </c>
      <c r="B57" s="399"/>
      <c r="C57" s="398" t="str">
        <f>IFERROR(INDEX(DATA_PROPERTY_MASTER!$B:$B,MATCH($B57,DATA_PROPERTY_MASTER!$A:$A,0)),"")</f>
        <v/>
      </c>
      <c r="D57" s="399"/>
      <c r="E57" s="399"/>
      <c r="F57" s="399"/>
      <c r="G57" s="400"/>
      <c r="H57" s="405"/>
      <c r="I57" s="405"/>
      <c r="J57" s="406">
        <f t="shared" si="5"/>
        <v>0</v>
      </c>
      <c r="K57" s="399"/>
      <c r="L57" s="399"/>
      <c r="M57" s="399"/>
      <c r="N57" s="399"/>
      <c r="O57" s="399"/>
      <c r="P57" s="399"/>
      <c r="Q57" s="399"/>
      <c r="R57" s="398" t="str">
        <f t="shared" si="6"/>
        <v/>
      </c>
      <c r="S57" s="399"/>
      <c r="T57" s="398" t="str">
        <f t="shared" si="7"/>
        <v>Blank</v>
      </c>
    </row>
    <row r="58" spans="1:20">
      <c r="A58" s="398" t="str">
        <f t="shared" si="4"/>
        <v/>
      </c>
      <c r="B58" s="399"/>
      <c r="C58" s="398" t="str">
        <f>IFERROR(INDEX(DATA_PROPERTY_MASTER!$B:$B,MATCH($B58,DATA_PROPERTY_MASTER!$A:$A,0)),"")</f>
        <v/>
      </c>
      <c r="D58" s="399"/>
      <c r="E58" s="399"/>
      <c r="F58" s="399"/>
      <c r="G58" s="400"/>
      <c r="H58" s="405"/>
      <c r="I58" s="405"/>
      <c r="J58" s="406">
        <f t="shared" si="5"/>
        <v>0</v>
      </c>
      <c r="K58" s="399"/>
      <c r="L58" s="399"/>
      <c r="M58" s="399"/>
      <c r="N58" s="399"/>
      <c r="O58" s="399"/>
      <c r="P58" s="399"/>
      <c r="Q58" s="399"/>
      <c r="R58" s="398" t="str">
        <f t="shared" si="6"/>
        <v/>
      </c>
      <c r="S58" s="399"/>
      <c r="T58" s="398" t="str">
        <f t="shared" si="7"/>
        <v>Blank</v>
      </c>
    </row>
    <row r="59" spans="1:20">
      <c r="A59" s="398" t="str">
        <f t="shared" si="4"/>
        <v/>
      </c>
      <c r="B59" s="399"/>
      <c r="C59" s="398" t="str">
        <f>IFERROR(INDEX(DATA_PROPERTY_MASTER!$B:$B,MATCH($B59,DATA_PROPERTY_MASTER!$A:$A,0)),"")</f>
        <v/>
      </c>
      <c r="D59" s="399"/>
      <c r="E59" s="399"/>
      <c r="F59" s="399"/>
      <c r="G59" s="400"/>
      <c r="H59" s="405"/>
      <c r="I59" s="405"/>
      <c r="J59" s="406">
        <f t="shared" si="5"/>
        <v>0</v>
      </c>
      <c r="K59" s="399"/>
      <c r="L59" s="399"/>
      <c r="M59" s="399"/>
      <c r="N59" s="399"/>
      <c r="O59" s="399"/>
      <c r="P59" s="399"/>
      <c r="Q59" s="399"/>
      <c r="R59" s="398" t="str">
        <f t="shared" si="6"/>
        <v/>
      </c>
      <c r="S59" s="399"/>
      <c r="T59" s="398" t="str">
        <f t="shared" si="7"/>
        <v>Blank</v>
      </c>
    </row>
    <row r="60" spans="1:20">
      <c r="A60" s="398" t="str">
        <f t="shared" si="4"/>
        <v/>
      </c>
      <c r="B60" s="399"/>
      <c r="C60" s="398" t="str">
        <f>IFERROR(INDEX(DATA_PROPERTY_MASTER!$B:$B,MATCH($B60,DATA_PROPERTY_MASTER!$A:$A,0)),"")</f>
        <v/>
      </c>
      <c r="D60" s="399"/>
      <c r="E60" s="399"/>
      <c r="F60" s="399"/>
      <c r="G60" s="400"/>
      <c r="H60" s="405"/>
      <c r="I60" s="405"/>
      <c r="J60" s="406">
        <f t="shared" si="5"/>
        <v>0</v>
      </c>
      <c r="K60" s="399"/>
      <c r="L60" s="399"/>
      <c r="M60" s="399"/>
      <c r="N60" s="399"/>
      <c r="O60" s="399"/>
      <c r="P60" s="399"/>
      <c r="Q60" s="399"/>
      <c r="R60" s="398" t="str">
        <f t="shared" si="6"/>
        <v/>
      </c>
      <c r="S60" s="399"/>
      <c r="T60" s="398" t="str">
        <f t="shared" si="7"/>
        <v>Blank</v>
      </c>
    </row>
    <row r="61" spans="1:20">
      <c r="A61" s="398" t="str">
        <f t="shared" si="4"/>
        <v/>
      </c>
      <c r="B61" s="399"/>
      <c r="C61" s="398" t="str">
        <f>IFERROR(INDEX(DATA_PROPERTY_MASTER!$B:$B,MATCH($B61,DATA_PROPERTY_MASTER!$A:$A,0)),"")</f>
        <v/>
      </c>
      <c r="D61" s="399"/>
      <c r="E61" s="399"/>
      <c r="F61" s="399"/>
      <c r="G61" s="400"/>
      <c r="H61" s="405"/>
      <c r="I61" s="405"/>
      <c r="J61" s="406">
        <f t="shared" si="5"/>
        <v>0</v>
      </c>
      <c r="K61" s="399"/>
      <c r="L61" s="399"/>
      <c r="M61" s="399"/>
      <c r="N61" s="399"/>
      <c r="O61" s="399"/>
      <c r="P61" s="399"/>
      <c r="Q61" s="399"/>
      <c r="R61" s="398" t="str">
        <f t="shared" si="6"/>
        <v/>
      </c>
      <c r="S61" s="399"/>
      <c r="T61" s="398" t="str">
        <f t="shared" si="7"/>
        <v>Blank</v>
      </c>
    </row>
    <row r="62" spans="1:20">
      <c r="A62" s="398" t="str">
        <f t="shared" si="4"/>
        <v/>
      </c>
      <c r="B62" s="399"/>
      <c r="C62" s="398" t="str">
        <f>IFERROR(INDEX(DATA_PROPERTY_MASTER!$B:$B,MATCH($B62,DATA_PROPERTY_MASTER!$A:$A,0)),"")</f>
        <v/>
      </c>
      <c r="D62" s="399"/>
      <c r="E62" s="399"/>
      <c r="F62" s="399"/>
      <c r="G62" s="400"/>
      <c r="H62" s="405"/>
      <c r="I62" s="405"/>
      <c r="J62" s="406">
        <f t="shared" si="5"/>
        <v>0</v>
      </c>
      <c r="K62" s="399"/>
      <c r="L62" s="399"/>
      <c r="M62" s="399"/>
      <c r="N62" s="399"/>
      <c r="O62" s="399"/>
      <c r="P62" s="399"/>
      <c r="Q62" s="399"/>
      <c r="R62" s="398" t="str">
        <f t="shared" si="6"/>
        <v/>
      </c>
      <c r="S62" s="399"/>
      <c r="T62" s="398" t="str">
        <f t="shared" si="7"/>
        <v>Blank</v>
      </c>
    </row>
    <row r="63" spans="1:20">
      <c r="A63" s="398" t="str">
        <f t="shared" si="4"/>
        <v/>
      </c>
      <c r="B63" s="399"/>
      <c r="C63" s="398" t="str">
        <f>IFERROR(INDEX(DATA_PROPERTY_MASTER!$B:$B,MATCH($B63,DATA_PROPERTY_MASTER!$A:$A,0)),"")</f>
        <v/>
      </c>
      <c r="D63" s="399"/>
      <c r="E63" s="399"/>
      <c r="F63" s="399"/>
      <c r="G63" s="400"/>
      <c r="H63" s="405"/>
      <c r="I63" s="405"/>
      <c r="J63" s="406">
        <f t="shared" si="5"/>
        <v>0</v>
      </c>
      <c r="K63" s="399"/>
      <c r="L63" s="399"/>
      <c r="M63" s="399"/>
      <c r="N63" s="399"/>
      <c r="O63" s="399"/>
      <c r="P63" s="399"/>
      <c r="Q63" s="399"/>
      <c r="R63" s="398" t="str">
        <f t="shared" si="6"/>
        <v/>
      </c>
      <c r="S63" s="399"/>
      <c r="T63" s="398" t="str">
        <f t="shared" si="7"/>
        <v>Blank</v>
      </c>
    </row>
    <row r="64" spans="1:20">
      <c r="A64" s="398" t="str">
        <f t="shared" si="4"/>
        <v/>
      </c>
      <c r="B64" s="399"/>
      <c r="C64" s="398" t="str">
        <f>IFERROR(INDEX(DATA_PROPERTY_MASTER!$B:$B,MATCH($B64,DATA_PROPERTY_MASTER!$A:$A,0)),"")</f>
        <v/>
      </c>
      <c r="D64" s="399"/>
      <c r="E64" s="399"/>
      <c r="F64" s="399"/>
      <c r="G64" s="400"/>
      <c r="H64" s="405"/>
      <c r="I64" s="405"/>
      <c r="J64" s="406">
        <f t="shared" si="5"/>
        <v>0</v>
      </c>
      <c r="K64" s="399"/>
      <c r="L64" s="399"/>
      <c r="M64" s="399"/>
      <c r="N64" s="399"/>
      <c r="O64" s="399"/>
      <c r="P64" s="399"/>
      <c r="Q64" s="399"/>
      <c r="R64" s="398" t="str">
        <f t="shared" si="6"/>
        <v/>
      </c>
      <c r="S64" s="399"/>
      <c r="T64" s="398" t="str">
        <f t="shared" si="7"/>
        <v>Blank</v>
      </c>
    </row>
    <row r="65" spans="1:20">
      <c r="A65" s="398" t="str">
        <f t="shared" si="4"/>
        <v/>
      </c>
      <c r="B65" s="399"/>
      <c r="C65" s="398" t="str">
        <f>IFERROR(INDEX(DATA_PROPERTY_MASTER!$B:$B,MATCH($B65,DATA_PROPERTY_MASTER!$A:$A,0)),"")</f>
        <v/>
      </c>
      <c r="D65" s="399"/>
      <c r="E65" s="399"/>
      <c r="F65" s="399"/>
      <c r="G65" s="400"/>
      <c r="H65" s="405"/>
      <c r="I65" s="405"/>
      <c r="J65" s="406">
        <f t="shared" si="5"/>
        <v>0</v>
      </c>
      <c r="K65" s="399"/>
      <c r="L65" s="399"/>
      <c r="M65" s="399"/>
      <c r="N65" s="399"/>
      <c r="O65" s="399"/>
      <c r="P65" s="399"/>
      <c r="Q65" s="399"/>
      <c r="R65" s="398" t="str">
        <f t="shared" si="6"/>
        <v/>
      </c>
      <c r="S65" s="399"/>
      <c r="T65" s="398" t="str">
        <f t="shared" si="7"/>
        <v>Blank</v>
      </c>
    </row>
    <row r="66" spans="1:20">
      <c r="A66" s="398" t="str">
        <f t="shared" si="4"/>
        <v/>
      </c>
      <c r="B66" s="399"/>
      <c r="C66" s="398" t="str">
        <f>IFERROR(INDEX(DATA_PROPERTY_MASTER!$B:$B,MATCH($B66,DATA_PROPERTY_MASTER!$A:$A,0)),"")</f>
        <v/>
      </c>
      <c r="D66" s="399"/>
      <c r="E66" s="399"/>
      <c r="F66" s="399"/>
      <c r="G66" s="400"/>
      <c r="H66" s="405"/>
      <c r="I66" s="405"/>
      <c r="J66" s="406">
        <f t="shared" si="5"/>
        <v>0</v>
      </c>
      <c r="K66" s="399"/>
      <c r="L66" s="399"/>
      <c r="M66" s="399"/>
      <c r="N66" s="399"/>
      <c r="O66" s="399"/>
      <c r="P66" s="399"/>
      <c r="Q66" s="399"/>
      <c r="R66" s="398" t="str">
        <f t="shared" si="6"/>
        <v/>
      </c>
      <c r="S66" s="399"/>
      <c r="T66" s="398" t="str">
        <f t="shared" si="7"/>
        <v>Blank</v>
      </c>
    </row>
    <row r="67" spans="1:20">
      <c r="A67" s="398" t="str">
        <f t="shared" si="4"/>
        <v/>
      </c>
      <c r="B67" s="399"/>
      <c r="C67" s="398" t="str">
        <f>IFERROR(INDEX(DATA_PROPERTY_MASTER!$B:$B,MATCH($B67,DATA_PROPERTY_MASTER!$A:$A,0)),"")</f>
        <v/>
      </c>
      <c r="D67" s="399"/>
      <c r="E67" s="399"/>
      <c r="F67" s="399"/>
      <c r="G67" s="400"/>
      <c r="H67" s="405"/>
      <c r="I67" s="405"/>
      <c r="J67" s="406">
        <f t="shared" si="5"/>
        <v>0</v>
      </c>
      <c r="K67" s="399"/>
      <c r="L67" s="399"/>
      <c r="M67" s="399"/>
      <c r="N67" s="399"/>
      <c r="O67" s="399"/>
      <c r="P67" s="399"/>
      <c r="Q67" s="399"/>
      <c r="R67" s="398" t="str">
        <f t="shared" si="6"/>
        <v/>
      </c>
      <c r="S67" s="399"/>
      <c r="T67" s="398" t="str">
        <f t="shared" si="7"/>
        <v>Blank</v>
      </c>
    </row>
    <row r="68" spans="1:20">
      <c r="A68" s="398" t="str">
        <f t="shared" si="4"/>
        <v/>
      </c>
      <c r="B68" s="399"/>
      <c r="C68" s="398" t="str">
        <f>IFERROR(INDEX(DATA_PROPERTY_MASTER!$B:$B,MATCH($B68,DATA_PROPERTY_MASTER!$A:$A,0)),"")</f>
        <v/>
      </c>
      <c r="D68" s="399"/>
      <c r="E68" s="399"/>
      <c r="F68" s="399"/>
      <c r="G68" s="400"/>
      <c r="H68" s="405"/>
      <c r="I68" s="405"/>
      <c r="J68" s="406">
        <f t="shared" si="5"/>
        <v>0</v>
      </c>
      <c r="K68" s="399"/>
      <c r="L68" s="399"/>
      <c r="M68" s="399"/>
      <c r="N68" s="399"/>
      <c r="O68" s="399"/>
      <c r="P68" s="399"/>
      <c r="Q68" s="399"/>
      <c r="R68" s="398" t="str">
        <f t="shared" si="6"/>
        <v/>
      </c>
      <c r="S68" s="399"/>
      <c r="T68" s="398" t="str">
        <f t="shared" si="7"/>
        <v>Blank</v>
      </c>
    </row>
    <row r="69" spans="1:20">
      <c r="A69" s="398" t="str">
        <f t="shared" si="4"/>
        <v/>
      </c>
      <c r="B69" s="399"/>
      <c r="C69" s="398" t="str">
        <f>IFERROR(INDEX(DATA_PROPERTY_MASTER!$B:$B,MATCH($B69,DATA_PROPERTY_MASTER!$A:$A,0)),"")</f>
        <v/>
      </c>
      <c r="D69" s="399"/>
      <c r="E69" s="399"/>
      <c r="F69" s="399"/>
      <c r="G69" s="400"/>
      <c r="H69" s="405"/>
      <c r="I69" s="405"/>
      <c r="J69" s="406">
        <f t="shared" si="5"/>
        <v>0</v>
      </c>
      <c r="K69" s="399"/>
      <c r="L69" s="399"/>
      <c r="M69" s="399"/>
      <c r="N69" s="399"/>
      <c r="O69" s="399"/>
      <c r="P69" s="399"/>
      <c r="Q69" s="399"/>
      <c r="R69" s="398" t="str">
        <f t="shared" si="6"/>
        <v/>
      </c>
      <c r="S69" s="399"/>
      <c r="T69" s="398" t="str">
        <f t="shared" si="7"/>
        <v>Blank</v>
      </c>
    </row>
    <row r="70" spans="1:20">
      <c r="A70" s="398" t="str">
        <f t="shared" si="4"/>
        <v/>
      </c>
      <c r="B70" s="399"/>
      <c r="C70" s="398" t="str">
        <f>IFERROR(INDEX(DATA_PROPERTY_MASTER!$B:$B,MATCH($B70,DATA_PROPERTY_MASTER!$A:$A,0)),"")</f>
        <v/>
      </c>
      <c r="D70" s="399"/>
      <c r="E70" s="399"/>
      <c r="F70" s="399"/>
      <c r="G70" s="400"/>
      <c r="H70" s="405"/>
      <c r="I70" s="405"/>
      <c r="J70" s="406">
        <f t="shared" si="5"/>
        <v>0</v>
      </c>
      <c r="K70" s="399"/>
      <c r="L70" s="399"/>
      <c r="M70" s="399"/>
      <c r="N70" s="399"/>
      <c r="O70" s="399"/>
      <c r="P70" s="399"/>
      <c r="Q70" s="399"/>
      <c r="R70" s="398" t="str">
        <f t="shared" si="6"/>
        <v/>
      </c>
      <c r="S70" s="399"/>
      <c r="T70" s="398" t="str">
        <f t="shared" si="7"/>
        <v>Blank</v>
      </c>
    </row>
    <row r="71" spans="1:20">
      <c r="A71" s="398" t="str">
        <f t="shared" ref="A71:A102" si="8">IF($B71="","","CN-"&amp;TEXT(ROW()-6,"0000"))</f>
        <v/>
      </c>
      <c r="B71" s="399"/>
      <c r="C71" s="398" t="str">
        <f>IFERROR(INDEX(DATA_PROPERTY_MASTER!$B:$B,MATCH($B71,DATA_PROPERTY_MASTER!$A:$A,0)),"")</f>
        <v/>
      </c>
      <c r="D71" s="399"/>
      <c r="E71" s="399"/>
      <c r="F71" s="399"/>
      <c r="G71" s="400"/>
      <c r="H71" s="405"/>
      <c r="I71" s="405"/>
      <c r="J71" s="406">
        <f t="shared" ref="J71:J102" si="9">IFERROR(MAX($H71-$I71,0),"")</f>
        <v>0</v>
      </c>
      <c r="K71" s="399"/>
      <c r="L71" s="399"/>
      <c r="M71" s="399"/>
      <c r="N71" s="399"/>
      <c r="O71" s="399"/>
      <c r="P71" s="399"/>
      <c r="Q71" s="399"/>
      <c r="R71" s="398" t="str">
        <f t="shared" ref="R71:R102" si="10">IF($B71="","",IF($J71&gt;0,"Funding Gap","Funded / No Gap"))</f>
        <v/>
      </c>
      <c r="S71" s="399"/>
      <c r="T71" s="398" t="str">
        <f t="shared" ref="T71:T102" si="11">IF($B71="","Blank",IF(OR($D71="",$G71="",$H71=""),"Review","OK"))</f>
        <v>Blank</v>
      </c>
    </row>
    <row r="72" spans="1:20">
      <c r="A72" s="398" t="str">
        <f t="shared" si="8"/>
        <v/>
      </c>
      <c r="B72" s="399"/>
      <c r="C72" s="398" t="str">
        <f>IFERROR(INDEX(DATA_PROPERTY_MASTER!$B:$B,MATCH($B72,DATA_PROPERTY_MASTER!$A:$A,0)),"")</f>
        <v/>
      </c>
      <c r="D72" s="399"/>
      <c r="E72" s="399"/>
      <c r="F72" s="399"/>
      <c r="G72" s="400"/>
      <c r="H72" s="405"/>
      <c r="I72" s="405"/>
      <c r="J72" s="406">
        <f t="shared" si="9"/>
        <v>0</v>
      </c>
      <c r="K72" s="399"/>
      <c r="L72" s="399"/>
      <c r="M72" s="399"/>
      <c r="N72" s="399"/>
      <c r="O72" s="399"/>
      <c r="P72" s="399"/>
      <c r="Q72" s="399"/>
      <c r="R72" s="398" t="str">
        <f t="shared" si="10"/>
        <v/>
      </c>
      <c r="S72" s="399"/>
      <c r="T72" s="398" t="str">
        <f t="shared" si="11"/>
        <v>Blank</v>
      </c>
    </row>
    <row r="73" spans="1:20">
      <c r="A73" s="398" t="str">
        <f t="shared" si="8"/>
        <v/>
      </c>
      <c r="B73" s="399"/>
      <c r="C73" s="398" t="str">
        <f>IFERROR(INDEX(DATA_PROPERTY_MASTER!$B:$B,MATCH($B73,DATA_PROPERTY_MASTER!$A:$A,0)),"")</f>
        <v/>
      </c>
      <c r="D73" s="399"/>
      <c r="E73" s="399"/>
      <c r="F73" s="399"/>
      <c r="G73" s="400"/>
      <c r="H73" s="405"/>
      <c r="I73" s="405"/>
      <c r="J73" s="406">
        <f t="shared" si="9"/>
        <v>0</v>
      </c>
      <c r="K73" s="399"/>
      <c r="L73" s="399"/>
      <c r="M73" s="399"/>
      <c r="N73" s="399"/>
      <c r="O73" s="399"/>
      <c r="P73" s="399"/>
      <c r="Q73" s="399"/>
      <c r="R73" s="398" t="str">
        <f t="shared" si="10"/>
        <v/>
      </c>
      <c r="S73" s="399"/>
      <c r="T73" s="398" t="str">
        <f t="shared" si="11"/>
        <v>Blank</v>
      </c>
    </row>
    <row r="74" spans="1:20">
      <c r="A74" s="398" t="str">
        <f t="shared" si="8"/>
        <v/>
      </c>
      <c r="B74" s="399"/>
      <c r="C74" s="398" t="str">
        <f>IFERROR(INDEX(DATA_PROPERTY_MASTER!$B:$B,MATCH($B74,DATA_PROPERTY_MASTER!$A:$A,0)),"")</f>
        <v/>
      </c>
      <c r="D74" s="399"/>
      <c r="E74" s="399"/>
      <c r="F74" s="399"/>
      <c r="G74" s="400"/>
      <c r="H74" s="405"/>
      <c r="I74" s="405"/>
      <c r="J74" s="406">
        <f t="shared" si="9"/>
        <v>0</v>
      </c>
      <c r="K74" s="399"/>
      <c r="L74" s="399"/>
      <c r="M74" s="399"/>
      <c r="N74" s="399"/>
      <c r="O74" s="399"/>
      <c r="P74" s="399"/>
      <c r="Q74" s="399"/>
      <c r="R74" s="398" t="str">
        <f t="shared" si="10"/>
        <v/>
      </c>
      <c r="S74" s="399"/>
      <c r="T74" s="398" t="str">
        <f t="shared" si="11"/>
        <v>Blank</v>
      </c>
    </row>
    <row r="75" spans="1:20">
      <c r="A75" s="398" t="str">
        <f t="shared" si="8"/>
        <v/>
      </c>
      <c r="B75" s="399"/>
      <c r="C75" s="398" t="str">
        <f>IFERROR(INDEX(DATA_PROPERTY_MASTER!$B:$B,MATCH($B75,DATA_PROPERTY_MASTER!$A:$A,0)),"")</f>
        <v/>
      </c>
      <c r="D75" s="399"/>
      <c r="E75" s="399"/>
      <c r="F75" s="399"/>
      <c r="G75" s="400"/>
      <c r="H75" s="405"/>
      <c r="I75" s="405"/>
      <c r="J75" s="406">
        <f t="shared" si="9"/>
        <v>0</v>
      </c>
      <c r="K75" s="399"/>
      <c r="L75" s="399"/>
      <c r="M75" s="399"/>
      <c r="N75" s="399"/>
      <c r="O75" s="399"/>
      <c r="P75" s="399"/>
      <c r="Q75" s="399"/>
      <c r="R75" s="398" t="str">
        <f t="shared" si="10"/>
        <v/>
      </c>
      <c r="S75" s="399"/>
      <c r="T75" s="398" t="str">
        <f t="shared" si="11"/>
        <v>Blank</v>
      </c>
    </row>
    <row r="76" spans="1:20">
      <c r="A76" s="398" t="str">
        <f t="shared" si="8"/>
        <v/>
      </c>
      <c r="B76" s="399"/>
      <c r="C76" s="398" t="str">
        <f>IFERROR(INDEX(DATA_PROPERTY_MASTER!$B:$B,MATCH($B76,DATA_PROPERTY_MASTER!$A:$A,0)),"")</f>
        <v/>
      </c>
      <c r="D76" s="399"/>
      <c r="E76" s="399"/>
      <c r="F76" s="399"/>
      <c r="G76" s="400"/>
      <c r="H76" s="405"/>
      <c r="I76" s="405"/>
      <c r="J76" s="406">
        <f t="shared" si="9"/>
        <v>0</v>
      </c>
      <c r="K76" s="399"/>
      <c r="L76" s="399"/>
      <c r="M76" s="399"/>
      <c r="N76" s="399"/>
      <c r="O76" s="399"/>
      <c r="P76" s="399"/>
      <c r="Q76" s="399"/>
      <c r="R76" s="398" t="str">
        <f t="shared" si="10"/>
        <v/>
      </c>
      <c r="S76" s="399"/>
      <c r="T76" s="398" t="str">
        <f t="shared" si="11"/>
        <v>Blank</v>
      </c>
    </row>
    <row r="77" spans="1:20">
      <c r="A77" s="398" t="str">
        <f t="shared" si="8"/>
        <v/>
      </c>
      <c r="B77" s="399"/>
      <c r="C77" s="398" t="str">
        <f>IFERROR(INDEX(DATA_PROPERTY_MASTER!$B:$B,MATCH($B77,DATA_PROPERTY_MASTER!$A:$A,0)),"")</f>
        <v/>
      </c>
      <c r="D77" s="399"/>
      <c r="E77" s="399"/>
      <c r="F77" s="399"/>
      <c r="G77" s="400"/>
      <c r="H77" s="405"/>
      <c r="I77" s="405"/>
      <c r="J77" s="406">
        <f t="shared" si="9"/>
        <v>0</v>
      </c>
      <c r="K77" s="399"/>
      <c r="L77" s="399"/>
      <c r="M77" s="399"/>
      <c r="N77" s="399"/>
      <c r="O77" s="399"/>
      <c r="P77" s="399"/>
      <c r="Q77" s="399"/>
      <c r="R77" s="398" t="str">
        <f t="shared" si="10"/>
        <v/>
      </c>
      <c r="S77" s="399"/>
      <c r="T77" s="398" t="str">
        <f t="shared" si="11"/>
        <v>Blank</v>
      </c>
    </row>
    <row r="78" spans="1:20">
      <c r="A78" s="398" t="str">
        <f t="shared" si="8"/>
        <v/>
      </c>
      <c r="B78" s="399"/>
      <c r="C78" s="398" t="str">
        <f>IFERROR(INDEX(DATA_PROPERTY_MASTER!$B:$B,MATCH($B78,DATA_PROPERTY_MASTER!$A:$A,0)),"")</f>
        <v/>
      </c>
      <c r="D78" s="399"/>
      <c r="E78" s="399"/>
      <c r="F78" s="399"/>
      <c r="G78" s="400"/>
      <c r="H78" s="405"/>
      <c r="I78" s="405"/>
      <c r="J78" s="406">
        <f t="shared" si="9"/>
        <v>0</v>
      </c>
      <c r="K78" s="399"/>
      <c r="L78" s="399"/>
      <c r="M78" s="399"/>
      <c r="N78" s="399"/>
      <c r="O78" s="399"/>
      <c r="P78" s="399"/>
      <c r="Q78" s="399"/>
      <c r="R78" s="398" t="str">
        <f t="shared" si="10"/>
        <v/>
      </c>
      <c r="S78" s="399"/>
      <c r="T78" s="398" t="str">
        <f t="shared" si="11"/>
        <v>Blank</v>
      </c>
    </row>
    <row r="79" spans="1:20">
      <c r="A79" s="398" t="str">
        <f t="shared" si="8"/>
        <v/>
      </c>
      <c r="B79" s="399"/>
      <c r="C79" s="398" t="str">
        <f>IFERROR(INDEX(DATA_PROPERTY_MASTER!$B:$B,MATCH($B79,DATA_PROPERTY_MASTER!$A:$A,0)),"")</f>
        <v/>
      </c>
      <c r="D79" s="399"/>
      <c r="E79" s="399"/>
      <c r="F79" s="399"/>
      <c r="G79" s="400"/>
      <c r="H79" s="405"/>
      <c r="I79" s="405"/>
      <c r="J79" s="406">
        <f t="shared" si="9"/>
        <v>0</v>
      </c>
      <c r="K79" s="399"/>
      <c r="L79" s="399"/>
      <c r="M79" s="399"/>
      <c r="N79" s="399"/>
      <c r="O79" s="399"/>
      <c r="P79" s="399"/>
      <c r="Q79" s="399"/>
      <c r="R79" s="398" t="str">
        <f t="shared" si="10"/>
        <v/>
      </c>
      <c r="S79" s="399"/>
      <c r="T79" s="398" t="str">
        <f t="shared" si="11"/>
        <v>Blank</v>
      </c>
    </row>
    <row r="80" spans="1:20">
      <c r="A80" s="398" t="str">
        <f t="shared" si="8"/>
        <v/>
      </c>
      <c r="B80" s="399"/>
      <c r="C80" s="398" t="str">
        <f>IFERROR(INDEX(DATA_PROPERTY_MASTER!$B:$B,MATCH($B80,DATA_PROPERTY_MASTER!$A:$A,0)),"")</f>
        <v/>
      </c>
      <c r="D80" s="399"/>
      <c r="E80" s="399"/>
      <c r="F80" s="399"/>
      <c r="G80" s="400"/>
      <c r="H80" s="405"/>
      <c r="I80" s="405"/>
      <c r="J80" s="406">
        <f t="shared" si="9"/>
        <v>0</v>
      </c>
      <c r="K80" s="399"/>
      <c r="L80" s="399"/>
      <c r="M80" s="399"/>
      <c r="N80" s="399"/>
      <c r="O80" s="399"/>
      <c r="P80" s="399"/>
      <c r="Q80" s="399"/>
      <c r="R80" s="398" t="str">
        <f t="shared" si="10"/>
        <v/>
      </c>
      <c r="S80" s="399"/>
      <c r="T80" s="398" t="str">
        <f t="shared" si="11"/>
        <v>Blank</v>
      </c>
    </row>
    <row r="81" spans="1:20">
      <c r="A81" s="398" t="str">
        <f t="shared" si="8"/>
        <v/>
      </c>
      <c r="B81" s="399"/>
      <c r="C81" s="398" t="str">
        <f>IFERROR(INDEX(DATA_PROPERTY_MASTER!$B:$B,MATCH($B81,DATA_PROPERTY_MASTER!$A:$A,0)),"")</f>
        <v/>
      </c>
      <c r="D81" s="399"/>
      <c r="E81" s="399"/>
      <c r="F81" s="399"/>
      <c r="G81" s="400"/>
      <c r="H81" s="405"/>
      <c r="I81" s="405"/>
      <c r="J81" s="406">
        <f t="shared" si="9"/>
        <v>0</v>
      </c>
      <c r="K81" s="399"/>
      <c r="L81" s="399"/>
      <c r="M81" s="399"/>
      <c r="N81" s="399"/>
      <c r="O81" s="399"/>
      <c r="P81" s="399"/>
      <c r="Q81" s="399"/>
      <c r="R81" s="398" t="str">
        <f t="shared" si="10"/>
        <v/>
      </c>
      <c r="S81" s="399"/>
      <c r="T81" s="398" t="str">
        <f t="shared" si="11"/>
        <v>Blank</v>
      </c>
    </row>
    <row r="82" spans="1:20">
      <c r="A82" s="398" t="str">
        <f t="shared" si="8"/>
        <v/>
      </c>
      <c r="B82" s="399"/>
      <c r="C82" s="398" t="str">
        <f>IFERROR(INDEX(DATA_PROPERTY_MASTER!$B:$B,MATCH($B82,DATA_PROPERTY_MASTER!$A:$A,0)),"")</f>
        <v/>
      </c>
      <c r="D82" s="399"/>
      <c r="E82" s="399"/>
      <c r="F82" s="399"/>
      <c r="G82" s="400"/>
      <c r="H82" s="405"/>
      <c r="I82" s="405"/>
      <c r="J82" s="406">
        <f t="shared" si="9"/>
        <v>0</v>
      </c>
      <c r="K82" s="399"/>
      <c r="L82" s="399"/>
      <c r="M82" s="399"/>
      <c r="N82" s="399"/>
      <c r="O82" s="399"/>
      <c r="P82" s="399"/>
      <c r="Q82" s="399"/>
      <c r="R82" s="398" t="str">
        <f t="shared" si="10"/>
        <v/>
      </c>
      <c r="S82" s="399"/>
      <c r="T82" s="398" t="str">
        <f t="shared" si="11"/>
        <v>Blank</v>
      </c>
    </row>
    <row r="83" spans="1:20">
      <c r="A83" s="398" t="str">
        <f t="shared" si="8"/>
        <v/>
      </c>
      <c r="B83" s="399"/>
      <c r="C83" s="398" t="str">
        <f>IFERROR(INDEX(DATA_PROPERTY_MASTER!$B:$B,MATCH($B83,DATA_PROPERTY_MASTER!$A:$A,0)),"")</f>
        <v/>
      </c>
      <c r="D83" s="399"/>
      <c r="E83" s="399"/>
      <c r="F83" s="399"/>
      <c r="G83" s="400"/>
      <c r="H83" s="405"/>
      <c r="I83" s="405"/>
      <c r="J83" s="406">
        <f t="shared" si="9"/>
        <v>0</v>
      </c>
      <c r="K83" s="399"/>
      <c r="L83" s="399"/>
      <c r="M83" s="399"/>
      <c r="N83" s="399"/>
      <c r="O83" s="399"/>
      <c r="P83" s="399"/>
      <c r="Q83" s="399"/>
      <c r="R83" s="398" t="str">
        <f t="shared" si="10"/>
        <v/>
      </c>
      <c r="S83" s="399"/>
      <c r="T83" s="398" t="str">
        <f t="shared" si="11"/>
        <v>Blank</v>
      </c>
    </row>
    <row r="84" spans="1:20">
      <c r="A84" s="398" t="str">
        <f t="shared" si="8"/>
        <v/>
      </c>
      <c r="B84" s="399"/>
      <c r="C84" s="398" t="str">
        <f>IFERROR(INDEX(DATA_PROPERTY_MASTER!$B:$B,MATCH($B84,DATA_PROPERTY_MASTER!$A:$A,0)),"")</f>
        <v/>
      </c>
      <c r="D84" s="399"/>
      <c r="E84" s="399"/>
      <c r="F84" s="399"/>
      <c r="G84" s="400"/>
      <c r="H84" s="405"/>
      <c r="I84" s="405"/>
      <c r="J84" s="406">
        <f t="shared" si="9"/>
        <v>0</v>
      </c>
      <c r="K84" s="399"/>
      <c r="L84" s="399"/>
      <c r="M84" s="399"/>
      <c r="N84" s="399"/>
      <c r="O84" s="399"/>
      <c r="P84" s="399"/>
      <c r="Q84" s="399"/>
      <c r="R84" s="398" t="str">
        <f t="shared" si="10"/>
        <v/>
      </c>
      <c r="S84" s="399"/>
      <c r="T84" s="398" t="str">
        <f t="shared" si="11"/>
        <v>Blank</v>
      </c>
    </row>
    <row r="85" spans="1:20">
      <c r="A85" s="398" t="str">
        <f t="shared" si="8"/>
        <v/>
      </c>
      <c r="B85" s="399"/>
      <c r="C85" s="398" t="str">
        <f>IFERROR(INDEX(DATA_PROPERTY_MASTER!$B:$B,MATCH($B85,DATA_PROPERTY_MASTER!$A:$A,0)),"")</f>
        <v/>
      </c>
      <c r="D85" s="399"/>
      <c r="E85" s="399"/>
      <c r="F85" s="399"/>
      <c r="G85" s="400"/>
      <c r="H85" s="405"/>
      <c r="I85" s="405"/>
      <c r="J85" s="406">
        <f t="shared" si="9"/>
        <v>0</v>
      </c>
      <c r="K85" s="399"/>
      <c r="L85" s="399"/>
      <c r="M85" s="399"/>
      <c r="N85" s="399"/>
      <c r="O85" s="399"/>
      <c r="P85" s="399"/>
      <c r="Q85" s="399"/>
      <c r="R85" s="398" t="str">
        <f t="shared" si="10"/>
        <v/>
      </c>
      <c r="S85" s="399"/>
      <c r="T85" s="398" t="str">
        <f t="shared" si="11"/>
        <v>Blank</v>
      </c>
    </row>
    <row r="86" spans="1:20">
      <c r="A86" s="398" t="str">
        <f t="shared" si="8"/>
        <v/>
      </c>
      <c r="B86" s="399"/>
      <c r="C86" s="398" t="str">
        <f>IFERROR(INDEX(DATA_PROPERTY_MASTER!$B:$B,MATCH($B86,DATA_PROPERTY_MASTER!$A:$A,0)),"")</f>
        <v/>
      </c>
      <c r="D86" s="399"/>
      <c r="E86" s="399"/>
      <c r="F86" s="399"/>
      <c r="G86" s="400"/>
      <c r="H86" s="405"/>
      <c r="I86" s="405"/>
      <c r="J86" s="406">
        <f t="shared" si="9"/>
        <v>0</v>
      </c>
      <c r="K86" s="399"/>
      <c r="L86" s="399"/>
      <c r="M86" s="399"/>
      <c r="N86" s="399"/>
      <c r="O86" s="399"/>
      <c r="P86" s="399"/>
      <c r="Q86" s="399"/>
      <c r="R86" s="398" t="str">
        <f t="shared" si="10"/>
        <v/>
      </c>
      <c r="S86" s="399"/>
      <c r="T86" s="398" t="str">
        <f t="shared" si="11"/>
        <v>Blank</v>
      </c>
    </row>
    <row r="87" spans="1:20">
      <c r="A87" s="398" t="str">
        <f t="shared" si="8"/>
        <v/>
      </c>
      <c r="B87" s="399"/>
      <c r="C87" s="398" t="str">
        <f>IFERROR(INDEX(DATA_PROPERTY_MASTER!$B:$B,MATCH($B87,DATA_PROPERTY_MASTER!$A:$A,0)),"")</f>
        <v/>
      </c>
      <c r="D87" s="399"/>
      <c r="E87" s="399"/>
      <c r="F87" s="399"/>
      <c r="G87" s="400"/>
      <c r="H87" s="405"/>
      <c r="I87" s="405"/>
      <c r="J87" s="406">
        <f t="shared" si="9"/>
        <v>0</v>
      </c>
      <c r="K87" s="399"/>
      <c r="L87" s="399"/>
      <c r="M87" s="399"/>
      <c r="N87" s="399"/>
      <c r="O87" s="399"/>
      <c r="P87" s="399"/>
      <c r="Q87" s="399"/>
      <c r="R87" s="398" t="str">
        <f t="shared" si="10"/>
        <v/>
      </c>
      <c r="S87" s="399"/>
      <c r="T87" s="398" t="str">
        <f t="shared" si="11"/>
        <v>Blank</v>
      </c>
    </row>
    <row r="88" spans="1:20">
      <c r="A88" s="398" t="str">
        <f t="shared" si="8"/>
        <v/>
      </c>
      <c r="B88" s="399"/>
      <c r="C88" s="398" t="str">
        <f>IFERROR(INDEX(DATA_PROPERTY_MASTER!$B:$B,MATCH($B88,DATA_PROPERTY_MASTER!$A:$A,0)),"")</f>
        <v/>
      </c>
      <c r="D88" s="399"/>
      <c r="E88" s="399"/>
      <c r="F88" s="399"/>
      <c r="G88" s="400"/>
      <c r="H88" s="405"/>
      <c r="I88" s="405"/>
      <c r="J88" s="406">
        <f t="shared" si="9"/>
        <v>0</v>
      </c>
      <c r="K88" s="399"/>
      <c r="L88" s="399"/>
      <c r="M88" s="399"/>
      <c r="N88" s="399"/>
      <c r="O88" s="399"/>
      <c r="P88" s="399"/>
      <c r="Q88" s="399"/>
      <c r="R88" s="398" t="str">
        <f t="shared" si="10"/>
        <v/>
      </c>
      <c r="S88" s="399"/>
      <c r="T88" s="398" t="str">
        <f t="shared" si="11"/>
        <v>Blank</v>
      </c>
    </row>
    <row r="89" spans="1:20">
      <c r="A89" s="398" t="str">
        <f t="shared" si="8"/>
        <v/>
      </c>
      <c r="B89" s="399"/>
      <c r="C89" s="398" t="str">
        <f>IFERROR(INDEX(DATA_PROPERTY_MASTER!$B:$B,MATCH($B89,DATA_PROPERTY_MASTER!$A:$A,0)),"")</f>
        <v/>
      </c>
      <c r="D89" s="399"/>
      <c r="E89" s="399"/>
      <c r="F89" s="399"/>
      <c r="G89" s="400"/>
      <c r="H89" s="405"/>
      <c r="I89" s="405"/>
      <c r="J89" s="406">
        <f t="shared" si="9"/>
        <v>0</v>
      </c>
      <c r="K89" s="399"/>
      <c r="L89" s="399"/>
      <c r="M89" s="399"/>
      <c r="N89" s="399"/>
      <c r="O89" s="399"/>
      <c r="P89" s="399"/>
      <c r="Q89" s="399"/>
      <c r="R89" s="398" t="str">
        <f t="shared" si="10"/>
        <v/>
      </c>
      <c r="S89" s="399"/>
      <c r="T89" s="398" t="str">
        <f t="shared" si="11"/>
        <v>Blank</v>
      </c>
    </row>
    <row r="90" spans="1:20">
      <c r="A90" s="398" t="str">
        <f t="shared" si="8"/>
        <v/>
      </c>
      <c r="B90" s="399"/>
      <c r="C90" s="398" t="str">
        <f>IFERROR(INDEX(DATA_PROPERTY_MASTER!$B:$B,MATCH($B90,DATA_PROPERTY_MASTER!$A:$A,0)),"")</f>
        <v/>
      </c>
      <c r="D90" s="399"/>
      <c r="E90" s="399"/>
      <c r="F90" s="399"/>
      <c r="G90" s="400"/>
      <c r="H90" s="405"/>
      <c r="I90" s="405"/>
      <c r="J90" s="406">
        <f t="shared" si="9"/>
        <v>0</v>
      </c>
      <c r="K90" s="399"/>
      <c r="L90" s="399"/>
      <c r="M90" s="399"/>
      <c r="N90" s="399"/>
      <c r="O90" s="399"/>
      <c r="P90" s="399"/>
      <c r="Q90" s="399"/>
      <c r="R90" s="398" t="str">
        <f t="shared" si="10"/>
        <v/>
      </c>
      <c r="S90" s="399"/>
      <c r="T90" s="398" t="str">
        <f t="shared" si="11"/>
        <v>Blank</v>
      </c>
    </row>
    <row r="91" spans="1:20">
      <c r="A91" s="398" t="str">
        <f t="shared" si="8"/>
        <v/>
      </c>
      <c r="B91" s="399"/>
      <c r="C91" s="398" t="str">
        <f>IFERROR(INDEX(DATA_PROPERTY_MASTER!$B:$B,MATCH($B91,DATA_PROPERTY_MASTER!$A:$A,0)),"")</f>
        <v/>
      </c>
      <c r="D91" s="399"/>
      <c r="E91" s="399"/>
      <c r="F91" s="399"/>
      <c r="G91" s="400"/>
      <c r="H91" s="405"/>
      <c r="I91" s="405"/>
      <c r="J91" s="406">
        <f t="shared" si="9"/>
        <v>0</v>
      </c>
      <c r="K91" s="399"/>
      <c r="L91" s="399"/>
      <c r="M91" s="399"/>
      <c r="N91" s="399"/>
      <c r="O91" s="399"/>
      <c r="P91" s="399"/>
      <c r="Q91" s="399"/>
      <c r="R91" s="398" t="str">
        <f t="shared" si="10"/>
        <v/>
      </c>
      <c r="S91" s="399"/>
      <c r="T91" s="398" t="str">
        <f t="shared" si="11"/>
        <v>Blank</v>
      </c>
    </row>
    <row r="92" spans="1:20">
      <c r="A92" s="398" t="str">
        <f t="shared" si="8"/>
        <v/>
      </c>
      <c r="B92" s="399"/>
      <c r="C92" s="398" t="str">
        <f>IFERROR(INDEX(DATA_PROPERTY_MASTER!$B:$B,MATCH($B92,DATA_PROPERTY_MASTER!$A:$A,0)),"")</f>
        <v/>
      </c>
      <c r="D92" s="399"/>
      <c r="E92" s="399"/>
      <c r="F92" s="399"/>
      <c r="G92" s="400"/>
      <c r="H92" s="405"/>
      <c r="I92" s="405"/>
      <c r="J92" s="406">
        <f t="shared" si="9"/>
        <v>0</v>
      </c>
      <c r="K92" s="399"/>
      <c r="L92" s="399"/>
      <c r="M92" s="399"/>
      <c r="N92" s="399"/>
      <c r="O92" s="399"/>
      <c r="P92" s="399"/>
      <c r="Q92" s="399"/>
      <c r="R92" s="398" t="str">
        <f t="shared" si="10"/>
        <v/>
      </c>
      <c r="S92" s="399"/>
      <c r="T92" s="398" t="str">
        <f t="shared" si="11"/>
        <v>Blank</v>
      </c>
    </row>
    <row r="93" spans="1:20">
      <c r="A93" s="398" t="str">
        <f t="shared" si="8"/>
        <v/>
      </c>
      <c r="B93" s="399"/>
      <c r="C93" s="398" t="str">
        <f>IFERROR(INDEX(DATA_PROPERTY_MASTER!$B:$B,MATCH($B93,DATA_PROPERTY_MASTER!$A:$A,0)),"")</f>
        <v/>
      </c>
      <c r="D93" s="399"/>
      <c r="E93" s="399"/>
      <c r="F93" s="399"/>
      <c r="G93" s="400"/>
      <c r="H93" s="405"/>
      <c r="I93" s="405"/>
      <c r="J93" s="406">
        <f t="shared" si="9"/>
        <v>0</v>
      </c>
      <c r="K93" s="399"/>
      <c r="L93" s="399"/>
      <c r="M93" s="399"/>
      <c r="N93" s="399"/>
      <c r="O93" s="399"/>
      <c r="P93" s="399"/>
      <c r="Q93" s="399"/>
      <c r="R93" s="398" t="str">
        <f t="shared" si="10"/>
        <v/>
      </c>
      <c r="S93" s="399"/>
      <c r="T93" s="398" t="str">
        <f t="shared" si="11"/>
        <v>Blank</v>
      </c>
    </row>
    <row r="94" spans="1:20">
      <c r="A94" s="398" t="str">
        <f t="shared" si="8"/>
        <v/>
      </c>
      <c r="B94" s="399"/>
      <c r="C94" s="398" t="str">
        <f>IFERROR(INDEX(DATA_PROPERTY_MASTER!$B:$B,MATCH($B94,DATA_PROPERTY_MASTER!$A:$A,0)),"")</f>
        <v/>
      </c>
      <c r="D94" s="399"/>
      <c r="E94" s="399"/>
      <c r="F94" s="399"/>
      <c r="G94" s="400"/>
      <c r="H94" s="405"/>
      <c r="I94" s="405"/>
      <c r="J94" s="406">
        <f t="shared" si="9"/>
        <v>0</v>
      </c>
      <c r="K94" s="399"/>
      <c r="L94" s="399"/>
      <c r="M94" s="399"/>
      <c r="N94" s="399"/>
      <c r="O94" s="399"/>
      <c r="P94" s="399"/>
      <c r="Q94" s="399"/>
      <c r="R94" s="398" t="str">
        <f t="shared" si="10"/>
        <v/>
      </c>
      <c r="S94" s="399"/>
      <c r="T94" s="398" t="str">
        <f t="shared" si="11"/>
        <v>Blank</v>
      </c>
    </row>
    <row r="95" spans="1:20">
      <c r="A95" s="398" t="str">
        <f t="shared" si="8"/>
        <v/>
      </c>
      <c r="B95" s="399"/>
      <c r="C95" s="398" t="str">
        <f>IFERROR(INDEX(DATA_PROPERTY_MASTER!$B:$B,MATCH($B95,DATA_PROPERTY_MASTER!$A:$A,0)),"")</f>
        <v/>
      </c>
      <c r="D95" s="399"/>
      <c r="E95" s="399"/>
      <c r="F95" s="399"/>
      <c r="G95" s="400"/>
      <c r="H95" s="405"/>
      <c r="I95" s="405"/>
      <c r="J95" s="406">
        <f t="shared" si="9"/>
        <v>0</v>
      </c>
      <c r="K95" s="399"/>
      <c r="L95" s="399"/>
      <c r="M95" s="399"/>
      <c r="N95" s="399"/>
      <c r="O95" s="399"/>
      <c r="P95" s="399"/>
      <c r="Q95" s="399"/>
      <c r="R95" s="398" t="str">
        <f t="shared" si="10"/>
        <v/>
      </c>
      <c r="S95" s="399"/>
      <c r="T95" s="398" t="str">
        <f t="shared" si="11"/>
        <v>Blank</v>
      </c>
    </row>
    <row r="96" spans="1:20">
      <c r="A96" s="398" t="str">
        <f t="shared" si="8"/>
        <v/>
      </c>
      <c r="B96" s="399"/>
      <c r="C96" s="398" t="str">
        <f>IFERROR(INDEX(DATA_PROPERTY_MASTER!$B:$B,MATCH($B96,DATA_PROPERTY_MASTER!$A:$A,0)),"")</f>
        <v/>
      </c>
      <c r="D96" s="399"/>
      <c r="E96" s="399"/>
      <c r="F96" s="399"/>
      <c r="G96" s="400"/>
      <c r="H96" s="405"/>
      <c r="I96" s="405"/>
      <c r="J96" s="406">
        <f t="shared" si="9"/>
        <v>0</v>
      </c>
      <c r="K96" s="399"/>
      <c r="L96" s="399"/>
      <c r="M96" s="399"/>
      <c r="N96" s="399"/>
      <c r="O96" s="399"/>
      <c r="P96" s="399"/>
      <c r="Q96" s="399"/>
      <c r="R96" s="398" t="str">
        <f t="shared" si="10"/>
        <v/>
      </c>
      <c r="S96" s="399"/>
      <c r="T96" s="398" t="str">
        <f t="shared" si="11"/>
        <v>Blank</v>
      </c>
    </row>
    <row r="97" spans="1:20">
      <c r="A97" s="398" t="str">
        <f t="shared" si="8"/>
        <v/>
      </c>
      <c r="B97" s="399"/>
      <c r="C97" s="398" t="str">
        <f>IFERROR(INDEX(DATA_PROPERTY_MASTER!$B:$B,MATCH($B97,DATA_PROPERTY_MASTER!$A:$A,0)),"")</f>
        <v/>
      </c>
      <c r="D97" s="399"/>
      <c r="E97" s="399"/>
      <c r="F97" s="399"/>
      <c r="G97" s="400"/>
      <c r="H97" s="405"/>
      <c r="I97" s="405"/>
      <c r="J97" s="406">
        <f t="shared" si="9"/>
        <v>0</v>
      </c>
      <c r="K97" s="399"/>
      <c r="L97" s="399"/>
      <c r="M97" s="399"/>
      <c r="N97" s="399"/>
      <c r="O97" s="399"/>
      <c r="P97" s="399"/>
      <c r="Q97" s="399"/>
      <c r="R97" s="398" t="str">
        <f t="shared" si="10"/>
        <v/>
      </c>
      <c r="S97" s="399"/>
      <c r="T97" s="398" t="str">
        <f t="shared" si="11"/>
        <v>Blank</v>
      </c>
    </row>
    <row r="98" spans="1:20">
      <c r="A98" s="398" t="str">
        <f t="shared" si="8"/>
        <v/>
      </c>
      <c r="B98" s="399"/>
      <c r="C98" s="398" t="str">
        <f>IFERROR(INDEX(DATA_PROPERTY_MASTER!$B:$B,MATCH($B98,DATA_PROPERTY_MASTER!$A:$A,0)),"")</f>
        <v/>
      </c>
      <c r="D98" s="399"/>
      <c r="E98" s="399"/>
      <c r="F98" s="399"/>
      <c r="G98" s="400"/>
      <c r="H98" s="405"/>
      <c r="I98" s="405"/>
      <c r="J98" s="406">
        <f t="shared" si="9"/>
        <v>0</v>
      </c>
      <c r="K98" s="399"/>
      <c r="L98" s="399"/>
      <c r="M98" s="399"/>
      <c r="N98" s="399"/>
      <c r="O98" s="399"/>
      <c r="P98" s="399"/>
      <c r="Q98" s="399"/>
      <c r="R98" s="398" t="str">
        <f t="shared" si="10"/>
        <v/>
      </c>
      <c r="S98" s="399"/>
      <c r="T98" s="398" t="str">
        <f t="shared" si="11"/>
        <v>Blank</v>
      </c>
    </row>
    <row r="99" spans="1:20">
      <c r="A99" s="398" t="str">
        <f t="shared" si="8"/>
        <v/>
      </c>
      <c r="B99" s="399"/>
      <c r="C99" s="398" t="str">
        <f>IFERROR(INDEX(DATA_PROPERTY_MASTER!$B:$B,MATCH($B99,DATA_PROPERTY_MASTER!$A:$A,0)),"")</f>
        <v/>
      </c>
      <c r="D99" s="399"/>
      <c r="E99" s="399"/>
      <c r="F99" s="399"/>
      <c r="G99" s="400"/>
      <c r="H99" s="405"/>
      <c r="I99" s="405"/>
      <c r="J99" s="406">
        <f t="shared" si="9"/>
        <v>0</v>
      </c>
      <c r="K99" s="399"/>
      <c r="L99" s="399"/>
      <c r="M99" s="399"/>
      <c r="N99" s="399"/>
      <c r="O99" s="399"/>
      <c r="P99" s="399"/>
      <c r="Q99" s="399"/>
      <c r="R99" s="398" t="str">
        <f t="shared" si="10"/>
        <v/>
      </c>
      <c r="S99" s="399"/>
      <c r="T99" s="398" t="str">
        <f t="shared" si="11"/>
        <v>Blank</v>
      </c>
    </row>
    <row r="100" spans="1:20">
      <c r="A100" s="398" t="str">
        <f t="shared" si="8"/>
        <v/>
      </c>
      <c r="B100" s="399"/>
      <c r="C100" s="398" t="str">
        <f>IFERROR(INDEX(DATA_PROPERTY_MASTER!$B:$B,MATCH($B100,DATA_PROPERTY_MASTER!$A:$A,0)),"")</f>
        <v/>
      </c>
      <c r="D100" s="399"/>
      <c r="E100" s="399"/>
      <c r="F100" s="399"/>
      <c r="G100" s="400"/>
      <c r="H100" s="405"/>
      <c r="I100" s="405"/>
      <c r="J100" s="406">
        <f t="shared" si="9"/>
        <v>0</v>
      </c>
      <c r="K100" s="399"/>
      <c r="L100" s="399"/>
      <c r="M100" s="399"/>
      <c r="N100" s="399"/>
      <c r="O100" s="399"/>
      <c r="P100" s="399"/>
      <c r="Q100" s="399"/>
      <c r="R100" s="398" t="str">
        <f t="shared" si="10"/>
        <v/>
      </c>
      <c r="S100" s="399"/>
      <c r="T100" s="398" t="str">
        <f t="shared" si="11"/>
        <v>Blank</v>
      </c>
    </row>
    <row r="101" spans="1:20">
      <c r="A101" s="398" t="str">
        <f t="shared" si="8"/>
        <v/>
      </c>
      <c r="B101" s="399"/>
      <c r="C101" s="398" t="str">
        <f>IFERROR(INDEX(DATA_PROPERTY_MASTER!$B:$B,MATCH($B101,DATA_PROPERTY_MASTER!$A:$A,0)),"")</f>
        <v/>
      </c>
      <c r="D101" s="399"/>
      <c r="E101" s="399"/>
      <c r="F101" s="399"/>
      <c r="G101" s="400"/>
      <c r="H101" s="405"/>
      <c r="I101" s="405"/>
      <c r="J101" s="406">
        <f t="shared" si="9"/>
        <v>0</v>
      </c>
      <c r="K101" s="399"/>
      <c r="L101" s="399"/>
      <c r="M101" s="399"/>
      <c r="N101" s="399"/>
      <c r="O101" s="399"/>
      <c r="P101" s="399"/>
      <c r="Q101" s="399"/>
      <c r="R101" s="398" t="str">
        <f t="shared" si="10"/>
        <v/>
      </c>
      <c r="S101" s="399"/>
      <c r="T101" s="398" t="str">
        <f t="shared" si="11"/>
        <v>Blank</v>
      </c>
    </row>
    <row r="102" spans="1:20">
      <c r="A102" s="398" t="str">
        <f t="shared" si="8"/>
        <v/>
      </c>
      <c r="B102" s="399"/>
      <c r="C102" s="398" t="str">
        <f>IFERROR(INDEX(DATA_PROPERTY_MASTER!$B:$B,MATCH($B102,DATA_PROPERTY_MASTER!$A:$A,0)),"")</f>
        <v/>
      </c>
      <c r="D102" s="399"/>
      <c r="E102" s="399"/>
      <c r="F102" s="399"/>
      <c r="G102" s="400"/>
      <c r="H102" s="405"/>
      <c r="I102" s="405"/>
      <c r="J102" s="406">
        <f t="shared" si="9"/>
        <v>0</v>
      </c>
      <c r="K102" s="399"/>
      <c r="L102" s="399"/>
      <c r="M102" s="399"/>
      <c r="N102" s="399"/>
      <c r="O102" s="399"/>
      <c r="P102" s="399"/>
      <c r="Q102" s="399"/>
      <c r="R102" s="398" t="str">
        <f t="shared" si="10"/>
        <v/>
      </c>
      <c r="S102" s="399"/>
      <c r="T102" s="398" t="str">
        <f t="shared" si="11"/>
        <v>Blank</v>
      </c>
    </row>
    <row r="103" spans="1:20">
      <c r="A103" s="398" t="str">
        <f t="shared" ref="A103:A134" si="12">IF($B103="","","CN-"&amp;TEXT(ROW()-6,"0000"))</f>
        <v/>
      </c>
      <c r="B103" s="399"/>
      <c r="C103" s="398" t="str">
        <f>IFERROR(INDEX(DATA_PROPERTY_MASTER!$B:$B,MATCH($B103,DATA_PROPERTY_MASTER!$A:$A,0)),"")</f>
        <v/>
      </c>
      <c r="D103" s="399"/>
      <c r="E103" s="399"/>
      <c r="F103" s="399"/>
      <c r="G103" s="400"/>
      <c r="H103" s="405"/>
      <c r="I103" s="405"/>
      <c r="J103" s="406">
        <f t="shared" ref="J103:J134" si="13">IFERROR(MAX($H103-$I103,0),"")</f>
        <v>0</v>
      </c>
      <c r="K103" s="399"/>
      <c r="L103" s="399"/>
      <c r="M103" s="399"/>
      <c r="N103" s="399"/>
      <c r="O103" s="399"/>
      <c r="P103" s="399"/>
      <c r="Q103" s="399"/>
      <c r="R103" s="398" t="str">
        <f t="shared" ref="R103:R134" si="14">IF($B103="","",IF($J103&gt;0,"Funding Gap","Funded / No Gap"))</f>
        <v/>
      </c>
      <c r="S103" s="399"/>
      <c r="T103" s="398" t="str">
        <f t="shared" ref="T103:T134" si="15">IF($B103="","Blank",IF(OR($D103="",$G103="",$H103=""),"Review","OK"))</f>
        <v>Blank</v>
      </c>
    </row>
    <row r="104" spans="1:20">
      <c r="A104" s="398" t="str">
        <f t="shared" si="12"/>
        <v/>
      </c>
      <c r="B104" s="399"/>
      <c r="C104" s="398" t="str">
        <f>IFERROR(INDEX(DATA_PROPERTY_MASTER!$B:$B,MATCH($B104,DATA_PROPERTY_MASTER!$A:$A,0)),"")</f>
        <v/>
      </c>
      <c r="D104" s="399"/>
      <c r="E104" s="399"/>
      <c r="F104" s="399"/>
      <c r="G104" s="400"/>
      <c r="H104" s="405"/>
      <c r="I104" s="405"/>
      <c r="J104" s="406">
        <f t="shared" si="13"/>
        <v>0</v>
      </c>
      <c r="K104" s="399"/>
      <c r="L104" s="399"/>
      <c r="M104" s="399"/>
      <c r="N104" s="399"/>
      <c r="O104" s="399"/>
      <c r="P104" s="399"/>
      <c r="Q104" s="399"/>
      <c r="R104" s="398" t="str">
        <f t="shared" si="14"/>
        <v/>
      </c>
      <c r="S104" s="399"/>
      <c r="T104" s="398" t="str">
        <f t="shared" si="15"/>
        <v>Blank</v>
      </c>
    </row>
    <row r="105" spans="1:20">
      <c r="A105" s="398" t="str">
        <f t="shared" si="12"/>
        <v/>
      </c>
      <c r="B105" s="399"/>
      <c r="C105" s="398" t="str">
        <f>IFERROR(INDEX(DATA_PROPERTY_MASTER!$B:$B,MATCH($B105,DATA_PROPERTY_MASTER!$A:$A,0)),"")</f>
        <v/>
      </c>
      <c r="D105" s="399"/>
      <c r="E105" s="399"/>
      <c r="F105" s="399"/>
      <c r="G105" s="400"/>
      <c r="H105" s="405"/>
      <c r="I105" s="405"/>
      <c r="J105" s="406">
        <f t="shared" si="13"/>
        <v>0</v>
      </c>
      <c r="K105" s="399"/>
      <c r="L105" s="399"/>
      <c r="M105" s="399"/>
      <c r="N105" s="399"/>
      <c r="O105" s="399"/>
      <c r="P105" s="399"/>
      <c r="Q105" s="399"/>
      <c r="R105" s="398" t="str">
        <f t="shared" si="14"/>
        <v/>
      </c>
      <c r="S105" s="399"/>
      <c r="T105" s="398" t="str">
        <f t="shared" si="15"/>
        <v>Blank</v>
      </c>
    </row>
    <row r="106" spans="1:20">
      <c r="A106" s="398" t="str">
        <f t="shared" si="12"/>
        <v/>
      </c>
      <c r="B106" s="399"/>
      <c r="C106" s="398" t="str">
        <f>IFERROR(INDEX(DATA_PROPERTY_MASTER!$B:$B,MATCH($B106,DATA_PROPERTY_MASTER!$A:$A,0)),"")</f>
        <v/>
      </c>
      <c r="D106" s="399"/>
      <c r="E106" s="399"/>
      <c r="F106" s="399"/>
      <c r="G106" s="400"/>
      <c r="H106" s="405"/>
      <c r="I106" s="405"/>
      <c r="J106" s="406">
        <f t="shared" si="13"/>
        <v>0</v>
      </c>
      <c r="K106" s="399"/>
      <c r="L106" s="399"/>
      <c r="M106" s="399"/>
      <c r="N106" s="399"/>
      <c r="O106" s="399"/>
      <c r="P106" s="399"/>
      <c r="Q106" s="399"/>
      <c r="R106" s="398" t="str">
        <f t="shared" si="14"/>
        <v/>
      </c>
      <c r="S106" s="399"/>
      <c r="T106" s="398" t="str">
        <f t="shared" si="15"/>
        <v>Blank</v>
      </c>
    </row>
    <row r="107" spans="1:20">
      <c r="A107" s="398" t="str">
        <f t="shared" si="12"/>
        <v/>
      </c>
      <c r="B107" s="399"/>
      <c r="C107" s="398" t="str">
        <f>IFERROR(INDEX(DATA_PROPERTY_MASTER!$B:$B,MATCH($B107,DATA_PROPERTY_MASTER!$A:$A,0)),"")</f>
        <v/>
      </c>
      <c r="D107" s="399"/>
      <c r="E107" s="399"/>
      <c r="F107" s="399"/>
      <c r="G107" s="400"/>
      <c r="H107" s="405"/>
      <c r="I107" s="405"/>
      <c r="J107" s="406">
        <f t="shared" si="13"/>
        <v>0</v>
      </c>
      <c r="K107" s="399"/>
      <c r="L107" s="399"/>
      <c r="M107" s="399"/>
      <c r="N107" s="399"/>
      <c r="O107" s="399"/>
      <c r="P107" s="399"/>
      <c r="Q107" s="399"/>
      <c r="R107" s="398" t="str">
        <f t="shared" si="14"/>
        <v/>
      </c>
      <c r="S107" s="399"/>
      <c r="T107" s="398" t="str">
        <f t="shared" si="15"/>
        <v>Blank</v>
      </c>
    </row>
    <row r="108" spans="1:20">
      <c r="A108" s="398" t="str">
        <f t="shared" si="12"/>
        <v/>
      </c>
      <c r="B108" s="399"/>
      <c r="C108" s="398" t="str">
        <f>IFERROR(INDEX(DATA_PROPERTY_MASTER!$B:$B,MATCH($B108,DATA_PROPERTY_MASTER!$A:$A,0)),"")</f>
        <v/>
      </c>
      <c r="D108" s="399"/>
      <c r="E108" s="399"/>
      <c r="F108" s="399"/>
      <c r="G108" s="400"/>
      <c r="H108" s="405"/>
      <c r="I108" s="405"/>
      <c r="J108" s="406">
        <f t="shared" si="13"/>
        <v>0</v>
      </c>
      <c r="K108" s="399"/>
      <c r="L108" s="399"/>
      <c r="M108" s="399"/>
      <c r="N108" s="399"/>
      <c r="O108" s="399"/>
      <c r="P108" s="399"/>
      <c r="Q108" s="399"/>
      <c r="R108" s="398" t="str">
        <f t="shared" si="14"/>
        <v/>
      </c>
      <c r="S108" s="399"/>
      <c r="T108" s="398" t="str">
        <f t="shared" si="15"/>
        <v>Blank</v>
      </c>
    </row>
    <row r="109" spans="1:20">
      <c r="A109" s="398" t="str">
        <f t="shared" si="12"/>
        <v/>
      </c>
      <c r="B109" s="399"/>
      <c r="C109" s="398" t="str">
        <f>IFERROR(INDEX(DATA_PROPERTY_MASTER!$B:$B,MATCH($B109,DATA_PROPERTY_MASTER!$A:$A,0)),"")</f>
        <v/>
      </c>
      <c r="D109" s="399"/>
      <c r="E109" s="399"/>
      <c r="F109" s="399"/>
      <c r="G109" s="400"/>
      <c r="H109" s="405"/>
      <c r="I109" s="405"/>
      <c r="J109" s="406">
        <f t="shared" si="13"/>
        <v>0</v>
      </c>
      <c r="K109" s="399"/>
      <c r="L109" s="399"/>
      <c r="M109" s="399"/>
      <c r="N109" s="399"/>
      <c r="O109" s="399"/>
      <c r="P109" s="399"/>
      <c r="Q109" s="399"/>
      <c r="R109" s="398" t="str">
        <f t="shared" si="14"/>
        <v/>
      </c>
      <c r="S109" s="399"/>
      <c r="T109" s="398" t="str">
        <f t="shared" si="15"/>
        <v>Blank</v>
      </c>
    </row>
    <row r="110" spans="1:20">
      <c r="A110" s="398" t="str">
        <f t="shared" si="12"/>
        <v/>
      </c>
      <c r="B110" s="399"/>
      <c r="C110" s="398" t="str">
        <f>IFERROR(INDEX(DATA_PROPERTY_MASTER!$B:$B,MATCH($B110,DATA_PROPERTY_MASTER!$A:$A,0)),"")</f>
        <v/>
      </c>
      <c r="D110" s="399"/>
      <c r="E110" s="399"/>
      <c r="F110" s="399"/>
      <c r="G110" s="400"/>
      <c r="H110" s="405"/>
      <c r="I110" s="405"/>
      <c r="J110" s="406">
        <f t="shared" si="13"/>
        <v>0</v>
      </c>
      <c r="K110" s="399"/>
      <c r="L110" s="399"/>
      <c r="M110" s="399"/>
      <c r="N110" s="399"/>
      <c r="O110" s="399"/>
      <c r="P110" s="399"/>
      <c r="Q110" s="399"/>
      <c r="R110" s="398" t="str">
        <f t="shared" si="14"/>
        <v/>
      </c>
      <c r="S110" s="399"/>
      <c r="T110" s="398" t="str">
        <f t="shared" si="15"/>
        <v>Blank</v>
      </c>
    </row>
    <row r="111" spans="1:20">
      <c r="A111" s="398" t="str">
        <f t="shared" si="12"/>
        <v/>
      </c>
      <c r="B111" s="399"/>
      <c r="C111" s="398" t="str">
        <f>IFERROR(INDEX(DATA_PROPERTY_MASTER!$B:$B,MATCH($B111,DATA_PROPERTY_MASTER!$A:$A,0)),"")</f>
        <v/>
      </c>
      <c r="D111" s="399"/>
      <c r="E111" s="399"/>
      <c r="F111" s="399"/>
      <c r="G111" s="400"/>
      <c r="H111" s="405"/>
      <c r="I111" s="405"/>
      <c r="J111" s="406">
        <f t="shared" si="13"/>
        <v>0</v>
      </c>
      <c r="K111" s="399"/>
      <c r="L111" s="399"/>
      <c r="M111" s="399"/>
      <c r="N111" s="399"/>
      <c r="O111" s="399"/>
      <c r="P111" s="399"/>
      <c r="Q111" s="399"/>
      <c r="R111" s="398" t="str">
        <f t="shared" si="14"/>
        <v/>
      </c>
      <c r="S111" s="399"/>
      <c r="T111" s="398" t="str">
        <f t="shared" si="15"/>
        <v>Blank</v>
      </c>
    </row>
    <row r="112" spans="1:20">
      <c r="A112" s="398" t="str">
        <f t="shared" si="12"/>
        <v/>
      </c>
      <c r="B112" s="399"/>
      <c r="C112" s="398" t="str">
        <f>IFERROR(INDEX(DATA_PROPERTY_MASTER!$B:$B,MATCH($B112,DATA_PROPERTY_MASTER!$A:$A,0)),"")</f>
        <v/>
      </c>
      <c r="D112" s="399"/>
      <c r="E112" s="399"/>
      <c r="F112" s="399"/>
      <c r="G112" s="400"/>
      <c r="H112" s="405"/>
      <c r="I112" s="405"/>
      <c r="J112" s="406">
        <f t="shared" si="13"/>
        <v>0</v>
      </c>
      <c r="K112" s="399"/>
      <c r="L112" s="399"/>
      <c r="M112" s="399"/>
      <c r="N112" s="399"/>
      <c r="O112" s="399"/>
      <c r="P112" s="399"/>
      <c r="Q112" s="399"/>
      <c r="R112" s="398" t="str">
        <f t="shared" si="14"/>
        <v/>
      </c>
      <c r="S112" s="399"/>
      <c r="T112" s="398" t="str">
        <f t="shared" si="15"/>
        <v>Blank</v>
      </c>
    </row>
    <row r="113" spans="1:20">
      <c r="A113" s="398" t="str">
        <f t="shared" si="12"/>
        <v/>
      </c>
      <c r="B113" s="399"/>
      <c r="C113" s="398" t="str">
        <f>IFERROR(INDEX(DATA_PROPERTY_MASTER!$B:$B,MATCH($B113,DATA_PROPERTY_MASTER!$A:$A,0)),"")</f>
        <v/>
      </c>
      <c r="D113" s="399"/>
      <c r="E113" s="399"/>
      <c r="F113" s="399"/>
      <c r="G113" s="400"/>
      <c r="H113" s="405"/>
      <c r="I113" s="405"/>
      <c r="J113" s="406">
        <f t="shared" si="13"/>
        <v>0</v>
      </c>
      <c r="K113" s="399"/>
      <c r="L113" s="399"/>
      <c r="M113" s="399"/>
      <c r="N113" s="399"/>
      <c r="O113" s="399"/>
      <c r="P113" s="399"/>
      <c r="Q113" s="399"/>
      <c r="R113" s="398" t="str">
        <f t="shared" si="14"/>
        <v/>
      </c>
      <c r="S113" s="399"/>
      <c r="T113" s="398" t="str">
        <f t="shared" si="15"/>
        <v>Blank</v>
      </c>
    </row>
    <row r="114" spans="1:20">
      <c r="A114" s="398" t="str">
        <f t="shared" si="12"/>
        <v/>
      </c>
      <c r="B114" s="399"/>
      <c r="C114" s="398" t="str">
        <f>IFERROR(INDEX(DATA_PROPERTY_MASTER!$B:$B,MATCH($B114,DATA_PROPERTY_MASTER!$A:$A,0)),"")</f>
        <v/>
      </c>
      <c r="D114" s="399"/>
      <c r="E114" s="399"/>
      <c r="F114" s="399"/>
      <c r="G114" s="400"/>
      <c r="H114" s="405"/>
      <c r="I114" s="405"/>
      <c r="J114" s="406">
        <f t="shared" si="13"/>
        <v>0</v>
      </c>
      <c r="K114" s="399"/>
      <c r="L114" s="399"/>
      <c r="M114" s="399"/>
      <c r="N114" s="399"/>
      <c r="O114" s="399"/>
      <c r="P114" s="399"/>
      <c r="Q114" s="399"/>
      <c r="R114" s="398" t="str">
        <f t="shared" si="14"/>
        <v/>
      </c>
      <c r="S114" s="399"/>
      <c r="T114" s="398" t="str">
        <f t="shared" si="15"/>
        <v>Blank</v>
      </c>
    </row>
    <row r="115" spans="1:20">
      <c r="A115" s="398" t="str">
        <f t="shared" si="12"/>
        <v/>
      </c>
      <c r="B115" s="399"/>
      <c r="C115" s="398" t="str">
        <f>IFERROR(INDEX(DATA_PROPERTY_MASTER!$B:$B,MATCH($B115,DATA_PROPERTY_MASTER!$A:$A,0)),"")</f>
        <v/>
      </c>
      <c r="D115" s="399"/>
      <c r="E115" s="399"/>
      <c r="F115" s="399"/>
      <c r="G115" s="400"/>
      <c r="H115" s="405"/>
      <c r="I115" s="405"/>
      <c r="J115" s="406">
        <f t="shared" si="13"/>
        <v>0</v>
      </c>
      <c r="K115" s="399"/>
      <c r="L115" s="399"/>
      <c r="M115" s="399"/>
      <c r="N115" s="399"/>
      <c r="O115" s="399"/>
      <c r="P115" s="399"/>
      <c r="Q115" s="399"/>
      <c r="R115" s="398" t="str">
        <f t="shared" si="14"/>
        <v/>
      </c>
      <c r="S115" s="399"/>
      <c r="T115" s="398" t="str">
        <f t="shared" si="15"/>
        <v>Blank</v>
      </c>
    </row>
    <row r="116" spans="1:20">
      <c r="A116" s="398" t="str">
        <f t="shared" si="12"/>
        <v/>
      </c>
      <c r="B116" s="399"/>
      <c r="C116" s="398" t="str">
        <f>IFERROR(INDEX(DATA_PROPERTY_MASTER!$B:$B,MATCH($B116,DATA_PROPERTY_MASTER!$A:$A,0)),"")</f>
        <v/>
      </c>
      <c r="D116" s="399"/>
      <c r="E116" s="399"/>
      <c r="F116" s="399"/>
      <c r="G116" s="400"/>
      <c r="H116" s="405"/>
      <c r="I116" s="405"/>
      <c r="J116" s="406">
        <f t="shared" si="13"/>
        <v>0</v>
      </c>
      <c r="K116" s="399"/>
      <c r="L116" s="399"/>
      <c r="M116" s="399"/>
      <c r="N116" s="399"/>
      <c r="O116" s="399"/>
      <c r="P116" s="399"/>
      <c r="Q116" s="399"/>
      <c r="R116" s="398" t="str">
        <f t="shared" si="14"/>
        <v/>
      </c>
      <c r="S116" s="399"/>
      <c r="T116" s="398" t="str">
        <f t="shared" si="15"/>
        <v>Blank</v>
      </c>
    </row>
    <row r="117" spans="1:20">
      <c r="A117" s="398" t="str">
        <f t="shared" si="12"/>
        <v/>
      </c>
      <c r="B117" s="399"/>
      <c r="C117" s="398" t="str">
        <f>IFERROR(INDEX(DATA_PROPERTY_MASTER!$B:$B,MATCH($B117,DATA_PROPERTY_MASTER!$A:$A,0)),"")</f>
        <v/>
      </c>
      <c r="D117" s="399"/>
      <c r="E117" s="399"/>
      <c r="F117" s="399"/>
      <c r="G117" s="400"/>
      <c r="H117" s="405"/>
      <c r="I117" s="405"/>
      <c r="J117" s="406">
        <f t="shared" si="13"/>
        <v>0</v>
      </c>
      <c r="K117" s="399"/>
      <c r="L117" s="399"/>
      <c r="M117" s="399"/>
      <c r="N117" s="399"/>
      <c r="O117" s="399"/>
      <c r="P117" s="399"/>
      <c r="Q117" s="399"/>
      <c r="R117" s="398" t="str">
        <f t="shared" si="14"/>
        <v/>
      </c>
      <c r="S117" s="399"/>
      <c r="T117" s="398" t="str">
        <f t="shared" si="15"/>
        <v>Blank</v>
      </c>
    </row>
    <row r="118" spans="1:20">
      <c r="A118" s="398" t="str">
        <f t="shared" si="12"/>
        <v/>
      </c>
      <c r="B118" s="399"/>
      <c r="C118" s="398" t="str">
        <f>IFERROR(INDEX(DATA_PROPERTY_MASTER!$B:$B,MATCH($B118,DATA_PROPERTY_MASTER!$A:$A,0)),"")</f>
        <v/>
      </c>
      <c r="D118" s="399"/>
      <c r="E118" s="399"/>
      <c r="F118" s="399"/>
      <c r="G118" s="400"/>
      <c r="H118" s="405"/>
      <c r="I118" s="405"/>
      <c r="J118" s="406">
        <f t="shared" si="13"/>
        <v>0</v>
      </c>
      <c r="K118" s="399"/>
      <c r="L118" s="399"/>
      <c r="M118" s="399"/>
      <c r="N118" s="399"/>
      <c r="O118" s="399"/>
      <c r="P118" s="399"/>
      <c r="Q118" s="399"/>
      <c r="R118" s="398" t="str">
        <f t="shared" si="14"/>
        <v/>
      </c>
      <c r="S118" s="399"/>
      <c r="T118" s="398" t="str">
        <f t="shared" si="15"/>
        <v>Blank</v>
      </c>
    </row>
    <row r="119" spans="1:20">
      <c r="A119" s="398" t="str">
        <f t="shared" si="12"/>
        <v/>
      </c>
      <c r="B119" s="399"/>
      <c r="C119" s="398" t="str">
        <f>IFERROR(INDEX(DATA_PROPERTY_MASTER!$B:$B,MATCH($B119,DATA_PROPERTY_MASTER!$A:$A,0)),"")</f>
        <v/>
      </c>
      <c r="D119" s="399"/>
      <c r="E119" s="399"/>
      <c r="F119" s="399"/>
      <c r="G119" s="400"/>
      <c r="H119" s="405"/>
      <c r="I119" s="405"/>
      <c r="J119" s="406">
        <f t="shared" si="13"/>
        <v>0</v>
      </c>
      <c r="K119" s="399"/>
      <c r="L119" s="399"/>
      <c r="M119" s="399"/>
      <c r="N119" s="399"/>
      <c r="O119" s="399"/>
      <c r="P119" s="399"/>
      <c r="Q119" s="399"/>
      <c r="R119" s="398" t="str">
        <f t="shared" si="14"/>
        <v/>
      </c>
      <c r="S119" s="399"/>
      <c r="T119" s="398" t="str">
        <f t="shared" si="15"/>
        <v>Blank</v>
      </c>
    </row>
    <row r="120" spans="1:20">
      <c r="A120" s="398" t="str">
        <f t="shared" si="12"/>
        <v/>
      </c>
      <c r="B120" s="399"/>
      <c r="C120" s="398" t="str">
        <f>IFERROR(INDEX(DATA_PROPERTY_MASTER!$B:$B,MATCH($B120,DATA_PROPERTY_MASTER!$A:$A,0)),"")</f>
        <v/>
      </c>
      <c r="D120" s="399"/>
      <c r="E120" s="399"/>
      <c r="F120" s="399"/>
      <c r="G120" s="400"/>
      <c r="H120" s="405"/>
      <c r="I120" s="405"/>
      <c r="J120" s="406">
        <f t="shared" si="13"/>
        <v>0</v>
      </c>
      <c r="K120" s="399"/>
      <c r="L120" s="399"/>
      <c r="M120" s="399"/>
      <c r="N120" s="399"/>
      <c r="O120" s="399"/>
      <c r="P120" s="399"/>
      <c r="Q120" s="399"/>
      <c r="R120" s="398" t="str">
        <f t="shared" si="14"/>
        <v/>
      </c>
      <c r="S120" s="399"/>
      <c r="T120" s="398" t="str">
        <f t="shared" si="15"/>
        <v>Blank</v>
      </c>
    </row>
    <row r="121" spans="1:20">
      <c r="A121" s="398" t="str">
        <f t="shared" si="12"/>
        <v/>
      </c>
      <c r="B121" s="399"/>
      <c r="C121" s="398" t="str">
        <f>IFERROR(INDEX(DATA_PROPERTY_MASTER!$B:$B,MATCH($B121,DATA_PROPERTY_MASTER!$A:$A,0)),"")</f>
        <v/>
      </c>
      <c r="D121" s="399"/>
      <c r="E121" s="399"/>
      <c r="F121" s="399"/>
      <c r="G121" s="400"/>
      <c r="H121" s="405"/>
      <c r="I121" s="405"/>
      <c r="J121" s="406">
        <f t="shared" si="13"/>
        <v>0</v>
      </c>
      <c r="K121" s="399"/>
      <c r="L121" s="399"/>
      <c r="M121" s="399"/>
      <c r="N121" s="399"/>
      <c r="O121" s="399"/>
      <c r="P121" s="399"/>
      <c r="Q121" s="399"/>
      <c r="R121" s="398" t="str">
        <f t="shared" si="14"/>
        <v/>
      </c>
      <c r="S121" s="399"/>
      <c r="T121" s="398" t="str">
        <f t="shared" si="15"/>
        <v>Blank</v>
      </c>
    </row>
    <row r="122" spans="1:20">
      <c r="A122" s="398" t="str">
        <f t="shared" si="12"/>
        <v/>
      </c>
      <c r="B122" s="399"/>
      <c r="C122" s="398" t="str">
        <f>IFERROR(INDEX(DATA_PROPERTY_MASTER!$B:$B,MATCH($B122,DATA_PROPERTY_MASTER!$A:$A,0)),"")</f>
        <v/>
      </c>
      <c r="D122" s="399"/>
      <c r="E122" s="399"/>
      <c r="F122" s="399"/>
      <c r="G122" s="400"/>
      <c r="H122" s="405"/>
      <c r="I122" s="405"/>
      <c r="J122" s="406">
        <f t="shared" si="13"/>
        <v>0</v>
      </c>
      <c r="K122" s="399"/>
      <c r="L122" s="399"/>
      <c r="M122" s="399"/>
      <c r="N122" s="399"/>
      <c r="O122" s="399"/>
      <c r="P122" s="399"/>
      <c r="Q122" s="399"/>
      <c r="R122" s="398" t="str">
        <f t="shared" si="14"/>
        <v/>
      </c>
      <c r="S122" s="399"/>
      <c r="T122" s="398" t="str">
        <f t="shared" si="15"/>
        <v>Blank</v>
      </c>
    </row>
    <row r="123" spans="1:20">
      <c r="A123" s="398" t="str">
        <f t="shared" si="12"/>
        <v/>
      </c>
      <c r="B123" s="399"/>
      <c r="C123" s="398" t="str">
        <f>IFERROR(INDEX(DATA_PROPERTY_MASTER!$B:$B,MATCH($B123,DATA_PROPERTY_MASTER!$A:$A,0)),"")</f>
        <v/>
      </c>
      <c r="D123" s="399"/>
      <c r="E123" s="399"/>
      <c r="F123" s="399"/>
      <c r="G123" s="400"/>
      <c r="H123" s="405"/>
      <c r="I123" s="405"/>
      <c r="J123" s="406">
        <f t="shared" si="13"/>
        <v>0</v>
      </c>
      <c r="K123" s="399"/>
      <c r="L123" s="399"/>
      <c r="M123" s="399"/>
      <c r="N123" s="399"/>
      <c r="O123" s="399"/>
      <c r="P123" s="399"/>
      <c r="Q123" s="399"/>
      <c r="R123" s="398" t="str">
        <f t="shared" si="14"/>
        <v/>
      </c>
      <c r="S123" s="399"/>
      <c r="T123" s="398" t="str">
        <f t="shared" si="15"/>
        <v>Blank</v>
      </c>
    </row>
    <row r="124" spans="1:20">
      <c r="A124" s="398" t="str">
        <f t="shared" si="12"/>
        <v/>
      </c>
      <c r="B124" s="399"/>
      <c r="C124" s="398" t="str">
        <f>IFERROR(INDEX(DATA_PROPERTY_MASTER!$B:$B,MATCH($B124,DATA_PROPERTY_MASTER!$A:$A,0)),"")</f>
        <v/>
      </c>
      <c r="D124" s="399"/>
      <c r="E124" s="399"/>
      <c r="F124" s="399"/>
      <c r="G124" s="400"/>
      <c r="H124" s="405"/>
      <c r="I124" s="405"/>
      <c r="J124" s="406">
        <f t="shared" si="13"/>
        <v>0</v>
      </c>
      <c r="K124" s="399"/>
      <c r="L124" s="399"/>
      <c r="M124" s="399"/>
      <c r="N124" s="399"/>
      <c r="O124" s="399"/>
      <c r="P124" s="399"/>
      <c r="Q124" s="399"/>
      <c r="R124" s="398" t="str">
        <f t="shared" si="14"/>
        <v/>
      </c>
      <c r="S124" s="399"/>
      <c r="T124" s="398" t="str">
        <f t="shared" si="15"/>
        <v>Blank</v>
      </c>
    </row>
    <row r="125" spans="1:20">
      <c r="A125" s="398" t="str">
        <f t="shared" si="12"/>
        <v/>
      </c>
      <c r="B125" s="399"/>
      <c r="C125" s="398" t="str">
        <f>IFERROR(INDEX(DATA_PROPERTY_MASTER!$B:$B,MATCH($B125,DATA_PROPERTY_MASTER!$A:$A,0)),"")</f>
        <v/>
      </c>
      <c r="D125" s="399"/>
      <c r="E125" s="399"/>
      <c r="F125" s="399"/>
      <c r="G125" s="400"/>
      <c r="H125" s="405"/>
      <c r="I125" s="405"/>
      <c r="J125" s="406">
        <f t="shared" si="13"/>
        <v>0</v>
      </c>
      <c r="K125" s="399"/>
      <c r="L125" s="399"/>
      <c r="M125" s="399"/>
      <c r="N125" s="399"/>
      <c r="O125" s="399"/>
      <c r="P125" s="399"/>
      <c r="Q125" s="399"/>
      <c r="R125" s="398" t="str">
        <f t="shared" si="14"/>
        <v/>
      </c>
      <c r="S125" s="399"/>
      <c r="T125" s="398" t="str">
        <f t="shared" si="15"/>
        <v>Blank</v>
      </c>
    </row>
    <row r="126" spans="1:20">
      <c r="A126" s="398" t="str">
        <f t="shared" si="12"/>
        <v/>
      </c>
      <c r="B126" s="399"/>
      <c r="C126" s="398" t="str">
        <f>IFERROR(INDEX(DATA_PROPERTY_MASTER!$B:$B,MATCH($B126,DATA_PROPERTY_MASTER!$A:$A,0)),"")</f>
        <v/>
      </c>
      <c r="D126" s="399"/>
      <c r="E126" s="399"/>
      <c r="F126" s="399"/>
      <c r="G126" s="400"/>
      <c r="H126" s="405"/>
      <c r="I126" s="405"/>
      <c r="J126" s="406">
        <f t="shared" si="13"/>
        <v>0</v>
      </c>
      <c r="K126" s="399"/>
      <c r="L126" s="399"/>
      <c r="M126" s="399"/>
      <c r="N126" s="399"/>
      <c r="O126" s="399"/>
      <c r="P126" s="399"/>
      <c r="Q126" s="399"/>
      <c r="R126" s="398" t="str">
        <f t="shared" si="14"/>
        <v/>
      </c>
      <c r="S126" s="399"/>
      <c r="T126" s="398" t="str">
        <f t="shared" si="15"/>
        <v>Blank</v>
      </c>
    </row>
    <row r="127" spans="1:20">
      <c r="A127" s="398" t="str">
        <f t="shared" si="12"/>
        <v/>
      </c>
      <c r="B127" s="399"/>
      <c r="C127" s="398" t="str">
        <f>IFERROR(INDEX(DATA_PROPERTY_MASTER!$B:$B,MATCH($B127,DATA_PROPERTY_MASTER!$A:$A,0)),"")</f>
        <v/>
      </c>
      <c r="D127" s="399"/>
      <c r="E127" s="399"/>
      <c r="F127" s="399"/>
      <c r="G127" s="400"/>
      <c r="H127" s="405"/>
      <c r="I127" s="405"/>
      <c r="J127" s="406">
        <f t="shared" si="13"/>
        <v>0</v>
      </c>
      <c r="K127" s="399"/>
      <c r="L127" s="399"/>
      <c r="M127" s="399"/>
      <c r="N127" s="399"/>
      <c r="O127" s="399"/>
      <c r="P127" s="399"/>
      <c r="Q127" s="399"/>
      <c r="R127" s="398" t="str">
        <f t="shared" si="14"/>
        <v/>
      </c>
      <c r="S127" s="399"/>
      <c r="T127" s="398" t="str">
        <f t="shared" si="15"/>
        <v>Blank</v>
      </c>
    </row>
    <row r="128" spans="1:20">
      <c r="A128" s="398" t="str">
        <f t="shared" si="12"/>
        <v/>
      </c>
      <c r="B128" s="399"/>
      <c r="C128" s="398" t="str">
        <f>IFERROR(INDEX(DATA_PROPERTY_MASTER!$B:$B,MATCH($B128,DATA_PROPERTY_MASTER!$A:$A,0)),"")</f>
        <v/>
      </c>
      <c r="D128" s="399"/>
      <c r="E128" s="399"/>
      <c r="F128" s="399"/>
      <c r="G128" s="400"/>
      <c r="H128" s="405"/>
      <c r="I128" s="405"/>
      <c r="J128" s="406">
        <f t="shared" si="13"/>
        <v>0</v>
      </c>
      <c r="K128" s="399"/>
      <c r="L128" s="399"/>
      <c r="M128" s="399"/>
      <c r="N128" s="399"/>
      <c r="O128" s="399"/>
      <c r="P128" s="399"/>
      <c r="Q128" s="399"/>
      <c r="R128" s="398" t="str">
        <f t="shared" si="14"/>
        <v/>
      </c>
      <c r="S128" s="399"/>
      <c r="T128" s="398" t="str">
        <f t="shared" si="15"/>
        <v>Blank</v>
      </c>
    </row>
    <row r="129" spans="1:20">
      <c r="A129" s="398" t="str">
        <f t="shared" si="12"/>
        <v/>
      </c>
      <c r="B129" s="399"/>
      <c r="C129" s="398" t="str">
        <f>IFERROR(INDEX(DATA_PROPERTY_MASTER!$B:$B,MATCH($B129,DATA_PROPERTY_MASTER!$A:$A,0)),"")</f>
        <v/>
      </c>
      <c r="D129" s="399"/>
      <c r="E129" s="399"/>
      <c r="F129" s="399"/>
      <c r="G129" s="400"/>
      <c r="H129" s="405"/>
      <c r="I129" s="405"/>
      <c r="J129" s="406">
        <f t="shared" si="13"/>
        <v>0</v>
      </c>
      <c r="K129" s="399"/>
      <c r="L129" s="399"/>
      <c r="M129" s="399"/>
      <c r="N129" s="399"/>
      <c r="O129" s="399"/>
      <c r="P129" s="399"/>
      <c r="Q129" s="399"/>
      <c r="R129" s="398" t="str">
        <f t="shared" si="14"/>
        <v/>
      </c>
      <c r="S129" s="399"/>
      <c r="T129" s="398" t="str">
        <f t="shared" si="15"/>
        <v>Blank</v>
      </c>
    </row>
    <row r="130" spans="1:20">
      <c r="A130" s="398" t="str">
        <f t="shared" si="12"/>
        <v/>
      </c>
      <c r="B130" s="399"/>
      <c r="C130" s="398" t="str">
        <f>IFERROR(INDEX(DATA_PROPERTY_MASTER!$B:$B,MATCH($B130,DATA_PROPERTY_MASTER!$A:$A,0)),"")</f>
        <v/>
      </c>
      <c r="D130" s="399"/>
      <c r="E130" s="399"/>
      <c r="F130" s="399"/>
      <c r="G130" s="400"/>
      <c r="H130" s="405"/>
      <c r="I130" s="405"/>
      <c r="J130" s="406">
        <f t="shared" si="13"/>
        <v>0</v>
      </c>
      <c r="K130" s="399"/>
      <c r="L130" s="399"/>
      <c r="M130" s="399"/>
      <c r="N130" s="399"/>
      <c r="O130" s="399"/>
      <c r="P130" s="399"/>
      <c r="Q130" s="399"/>
      <c r="R130" s="398" t="str">
        <f t="shared" si="14"/>
        <v/>
      </c>
      <c r="S130" s="399"/>
      <c r="T130" s="398" t="str">
        <f t="shared" si="15"/>
        <v>Blank</v>
      </c>
    </row>
    <row r="131" spans="1:20">
      <c r="A131" s="398" t="str">
        <f t="shared" si="12"/>
        <v/>
      </c>
      <c r="B131" s="399"/>
      <c r="C131" s="398" t="str">
        <f>IFERROR(INDEX(DATA_PROPERTY_MASTER!$B:$B,MATCH($B131,DATA_PROPERTY_MASTER!$A:$A,0)),"")</f>
        <v/>
      </c>
      <c r="D131" s="399"/>
      <c r="E131" s="399"/>
      <c r="F131" s="399"/>
      <c r="G131" s="400"/>
      <c r="H131" s="405"/>
      <c r="I131" s="405"/>
      <c r="J131" s="406">
        <f t="shared" si="13"/>
        <v>0</v>
      </c>
      <c r="K131" s="399"/>
      <c r="L131" s="399"/>
      <c r="M131" s="399"/>
      <c r="N131" s="399"/>
      <c r="O131" s="399"/>
      <c r="P131" s="399"/>
      <c r="Q131" s="399"/>
      <c r="R131" s="398" t="str">
        <f t="shared" si="14"/>
        <v/>
      </c>
      <c r="S131" s="399"/>
      <c r="T131" s="398" t="str">
        <f t="shared" si="15"/>
        <v>Blank</v>
      </c>
    </row>
    <row r="132" spans="1:20">
      <c r="A132" s="398" t="str">
        <f t="shared" si="12"/>
        <v/>
      </c>
      <c r="B132" s="399"/>
      <c r="C132" s="398" t="str">
        <f>IFERROR(INDEX(DATA_PROPERTY_MASTER!$B:$B,MATCH($B132,DATA_PROPERTY_MASTER!$A:$A,0)),"")</f>
        <v/>
      </c>
      <c r="D132" s="399"/>
      <c r="E132" s="399"/>
      <c r="F132" s="399"/>
      <c r="G132" s="400"/>
      <c r="H132" s="405"/>
      <c r="I132" s="405"/>
      <c r="J132" s="406">
        <f t="shared" si="13"/>
        <v>0</v>
      </c>
      <c r="K132" s="399"/>
      <c r="L132" s="399"/>
      <c r="M132" s="399"/>
      <c r="N132" s="399"/>
      <c r="O132" s="399"/>
      <c r="P132" s="399"/>
      <c r="Q132" s="399"/>
      <c r="R132" s="398" t="str">
        <f t="shared" si="14"/>
        <v/>
      </c>
      <c r="S132" s="399"/>
      <c r="T132" s="398" t="str">
        <f t="shared" si="15"/>
        <v>Blank</v>
      </c>
    </row>
    <row r="133" spans="1:20">
      <c r="A133" s="398" t="str">
        <f t="shared" si="12"/>
        <v/>
      </c>
      <c r="B133" s="399"/>
      <c r="C133" s="398" t="str">
        <f>IFERROR(INDEX(DATA_PROPERTY_MASTER!$B:$B,MATCH($B133,DATA_PROPERTY_MASTER!$A:$A,0)),"")</f>
        <v/>
      </c>
      <c r="D133" s="399"/>
      <c r="E133" s="399"/>
      <c r="F133" s="399"/>
      <c r="G133" s="400"/>
      <c r="H133" s="405"/>
      <c r="I133" s="405"/>
      <c r="J133" s="406">
        <f t="shared" si="13"/>
        <v>0</v>
      </c>
      <c r="K133" s="399"/>
      <c r="L133" s="399"/>
      <c r="M133" s="399"/>
      <c r="N133" s="399"/>
      <c r="O133" s="399"/>
      <c r="P133" s="399"/>
      <c r="Q133" s="399"/>
      <c r="R133" s="398" t="str">
        <f t="shared" si="14"/>
        <v/>
      </c>
      <c r="S133" s="399"/>
      <c r="T133" s="398" t="str">
        <f t="shared" si="15"/>
        <v>Blank</v>
      </c>
    </row>
    <row r="134" spans="1:20">
      <c r="A134" s="398" t="str">
        <f t="shared" si="12"/>
        <v/>
      </c>
      <c r="B134" s="399"/>
      <c r="C134" s="398" t="str">
        <f>IFERROR(INDEX(DATA_PROPERTY_MASTER!$B:$B,MATCH($B134,DATA_PROPERTY_MASTER!$A:$A,0)),"")</f>
        <v/>
      </c>
      <c r="D134" s="399"/>
      <c r="E134" s="399"/>
      <c r="F134" s="399"/>
      <c r="G134" s="400"/>
      <c r="H134" s="405"/>
      <c r="I134" s="405"/>
      <c r="J134" s="406">
        <f t="shared" si="13"/>
        <v>0</v>
      </c>
      <c r="K134" s="399"/>
      <c r="L134" s="399"/>
      <c r="M134" s="399"/>
      <c r="N134" s="399"/>
      <c r="O134" s="399"/>
      <c r="P134" s="399"/>
      <c r="Q134" s="399"/>
      <c r="R134" s="398" t="str">
        <f t="shared" si="14"/>
        <v/>
      </c>
      <c r="S134" s="399"/>
      <c r="T134" s="398" t="str">
        <f t="shared" si="15"/>
        <v>Blank</v>
      </c>
    </row>
    <row r="135" spans="1:20">
      <c r="A135" s="398" t="str">
        <f t="shared" ref="A135:A166" si="16">IF($B135="","","CN-"&amp;TEXT(ROW()-6,"0000"))</f>
        <v/>
      </c>
      <c r="B135" s="399"/>
      <c r="C135" s="398" t="str">
        <f>IFERROR(INDEX(DATA_PROPERTY_MASTER!$B:$B,MATCH($B135,DATA_PROPERTY_MASTER!$A:$A,0)),"")</f>
        <v/>
      </c>
      <c r="D135" s="399"/>
      <c r="E135" s="399"/>
      <c r="F135" s="399"/>
      <c r="G135" s="400"/>
      <c r="H135" s="405"/>
      <c r="I135" s="405"/>
      <c r="J135" s="406">
        <f t="shared" ref="J135:J166" si="17">IFERROR(MAX($H135-$I135,0),"")</f>
        <v>0</v>
      </c>
      <c r="K135" s="399"/>
      <c r="L135" s="399"/>
      <c r="M135" s="399"/>
      <c r="N135" s="399"/>
      <c r="O135" s="399"/>
      <c r="P135" s="399"/>
      <c r="Q135" s="399"/>
      <c r="R135" s="398" t="str">
        <f t="shared" ref="R135:R166" si="18">IF($B135="","",IF($J135&gt;0,"Funding Gap","Funded / No Gap"))</f>
        <v/>
      </c>
      <c r="S135" s="399"/>
      <c r="T135" s="398" t="str">
        <f t="shared" ref="T135:T166" si="19">IF($B135="","Blank",IF(OR($D135="",$G135="",$H135=""),"Review","OK"))</f>
        <v>Blank</v>
      </c>
    </row>
    <row r="136" spans="1:20">
      <c r="A136" s="398" t="str">
        <f t="shared" si="16"/>
        <v/>
      </c>
      <c r="B136" s="399"/>
      <c r="C136" s="398" t="str">
        <f>IFERROR(INDEX(DATA_PROPERTY_MASTER!$B:$B,MATCH($B136,DATA_PROPERTY_MASTER!$A:$A,0)),"")</f>
        <v/>
      </c>
      <c r="D136" s="399"/>
      <c r="E136" s="399"/>
      <c r="F136" s="399"/>
      <c r="G136" s="400"/>
      <c r="H136" s="405"/>
      <c r="I136" s="405"/>
      <c r="J136" s="406">
        <f t="shared" si="17"/>
        <v>0</v>
      </c>
      <c r="K136" s="399"/>
      <c r="L136" s="399"/>
      <c r="M136" s="399"/>
      <c r="N136" s="399"/>
      <c r="O136" s="399"/>
      <c r="P136" s="399"/>
      <c r="Q136" s="399"/>
      <c r="R136" s="398" t="str">
        <f t="shared" si="18"/>
        <v/>
      </c>
      <c r="S136" s="399"/>
      <c r="T136" s="398" t="str">
        <f t="shared" si="19"/>
        <v>Blank</v>
      </c>
    </row>
    <row r="137" spans="1:20">
      <c r="A137" s="398" t="str">
        <f t="shared" si="16"/>
        <v/>
      </c>
      <c r="B137" s="399"/>
      <c r="C137" s="398" t="str">
        <f>IFERROR(INDEX(DATA_PROPERTY_MASTER!$B:$B,MATCH($B137,DATA_PROPERTY_MASTER!$A:$A,0)),"")</f>
        <v/>
      </c>
      <c r="D137" s="399"/>
      <c r="E137" s="399"/>
      <c r="F137" s="399"/>
      <c r="G137" s="400"/>
      <c r="H137" s="405"/>
      <c r="I137" s="405"/>
      <c r="J137" s="406">
        <f t="shared" si="17"/>
        <v>0</v>
      </c>
      <c r="K137" s="399"/>
      <c r="L137" s="399"/>
      <c r="M137" s="399"/>
      <c r="N137" s="399"/>
      <c r="O137" s="399"/>
      <c r="P137" s="399"/>
      <c r="Q137" s="399"/>
      <c r="R137" s="398" t="str">
        <f t="shared" si="18"/>
        <v/>
      </c>
      <c r="S137" s="399"/>
      <c r="T137" s="398" t="str">
        <f t="shared" si="19"/>
        <v>Blank</v>
      </c>
    </row>
    <row r="138" spans="1:20">
      <c r="A138" s="398" t="str">
        <f t="shared" si="16"/>
        <v/>
      </c>
      <c r="B138" s="399"/>
      <c r="C138" s="398" t="str">
        <f>IFERROR(INDEX(DATA_PROPERTY_MASTER!$B:$B,MATCH($B138,DATA_PROPERTY_MASTER!$A:$A,0)),"")</f>
        <v/>
      </c>
      <c r="D138" s="399"/>
      <c r="E138" s="399"/>
      <c r="F138" s="399"/>
      <c r="G138" s="400"/>
      <c r="H138" s="405"/>
      <c r="I138" s="405"/>
      <c r="J138" s="406">
        <f t="shared" si="17"/>
        <v>0</v>
      </c>
      <c r="K138" s="399"/>
      <c r="L138" s="399"/>
      <c r="M138" s="399"/>
      <c r="N138" s="399"/>
      <c r="O138" s="399"/>
      <c r="P138" s="399"/>
      <c r="Q138" s="399"/>
      <c r="R138" s="398" t="str">
        <f t="shared" si="18"/>
        <v/>
      </c>
      <c r="S138" s="399"/>
      <c r="T138" s="398" t="str">
        <f t="shared" si="19"/>
        <v>Blank</v>
      </c>
    </row>
    <row r="139" spans="1:20">
      <c r="A139" s="398" t="str">
        <f t="shared" si="16"/>
        <v/>
      </c>
      <c r="B139" s="399"/>
      <c r="C139" s="398" t="str">
        <f>IFERROR(INDEX(DATA_PROPERTY_MASTER!$B:$B,MATCH($B139,DATA_PROPERTY_MASTER!$A:$A,0)),"")</f>
        <v/>
      </c>
      <c r="D139" s="399"/>
      <c r="E139" s="399"/>
      <c r="F139" s="399"/>
      <c r="G139" s="400"/>
      <c r="H139" s="405"/>
      <c r="I139" s="405"/>
      <c r="J139" s="406">
        <f t="shared" si="17"/>
        <v>0</v>
      </c>
      <c r="K139" s="399"/>
      <c r="L139" s="399"/>
      <c r="M139" s="399"/>
      <c r="N139" s="399"/>
      <c r="O139" s="399"/>
      <c r="P139" s="399"/>
      <c r="Q139" s="399"/>
      <c r="R139" s="398" t="str">
        <f t="shared" si="18"/>
        <v/>
      </c>
      <c r="S139" s="399"/>
      <c r="T139" s="398" t="str">
        <f t="shared" si="19"/>
        <v>Blank</v>
      </c>
    </row>
    <row r="140" spans="1:20">
      <c r="A140" s="398" t="str">
        <f t="shared" si="16"/>
        <v/>
      </c>
      <c r="B140" s="399"/>
      <c r="C140" s="398" t="str">
        <f>IFERROR(INDEX(DATA_PROPERTY_MASTER!$B:$B,MATCH($B140,DATA_PROPERTY_MASTER!$A:$A,0)),"")</f>
        <v/>
      </c>
      <c r="D140" s="399"/>
      <c r="E140" s="399"/>
      <c r="F140" s="399"/>
      <c r="G140" s="400"/>
      <c r="H140" s="405"/>
      <c r="I140" s="405"/>
      <c r="J140" s="406">
        <f t="shared" si="17"/>
        <v>0</v>
      </c>
      <c r="K140" s="399"/>
      <c r="L140" s="399"/>
      <c r="M140" s="399"/>
      <c r="N140" s="399"/>
      <c r="O140" s="399"/>
      <c r="P140" s="399"/>
      <c r="Q140" s="399"/>
      <c r="R140" s="398" t="str">
        <f t="shared" si="18"/>
        <v/>
      </c>
      <c r="S140" s="399"/>
      <c r="T140" s="398" t="str">
        <f t="shared" si="19"/>
        <v>Blank</v>
      </c>
    </row>
    <row r="141" spans="1:20">
      <c r="A141" s="398" t="str">
        <f t="shared" si="16"/>
        <v/>
      </c>
      <c r="B141" s="399"/>
      <c r="C141" s="398" t="str">
        <f>IFERROR(INDEX(DATA_PROPERTY_MASTER!$B:$B,MATCH($B141,DATA_PROPERTY_MASTER!$A:$A,0)),"")</f>
        <v/>
      </c>
      <c r="D141" s="399"/>
      <c r="E141" s="399"/>
      <c r="F141" s="399"/>
      <c r="G141" s="400"/>
      <c r="H141" s="405"/>
      <c r="I141" s="405"/>
      <c r="J141" s="406">
        <f t="shared" si="17"/>
        <v>0</v>
      </c>
      <c r="K141" s="399"/>
      <c r="L141" s="399"/>
      <c r="M141" s="399"/>
      <c r="N141" s="399"/>
      <c r="O141" s="399"/>
      <c r="P141" s="399"/>
      <c r="Q141" s="399"/>
      <c r="R141" s="398" t="str">
        <f t="shared" si="18"/>
        <v/>
      </c>
      <c r="S141" s="399"/>
      <c r="T141" s="398" t="str">
        <f t="shared" si="19"/>
        <v>Blank</v>
      </c>
    </row>
    <row r="142" spans="1:20">
      <c r="A142" s="398" t="str">
        <f t="shared" si="16"/>
        <v/>
      </c>
      <c r="B142" s="399"/>
      <c r="C142" s="398" t="str">
        <f>IFERROR(INDEX(DATA_PROPERTY_MASTER!$B:$B,MATCH($B142,DATA_PROPERTY_MASTER!$A:$A,0)),"")</f>
        <v/>
      </c>
      <c r="D142" s="399"/>
      <c r="E142" s="399"/>
      <c r="F142" s="399"/>
      <c r="G142" s="400"/>
      <c r="H142" s="405"/>
      <c r="I142" s="405"/>
      <c r="J142" s="406">
        <f t="shared" si="17"/>
        <v>0</v>
      </c>
      <c r="K142" s="399"/>
      <c r="L142" s="399"/>
      <c r="M142" s="399"/>
      <c r="N142" s="399"/>
      <c r="O142" s="399"/>
      <c r="P142" s="399"/>
      <c r="Q142" s="399"/>
      <c r="R142" s="398" t="str">
        <f t="shared" si="18"/>
        <v/>
      </c>
      <c r="S142" s="399"/>
      <c r="T142" s="398" t="str">
        <f t="shared" si="19"/>
        <v>Blank</v>
      </c>
    </row>
    <row r="143" spans="1:20">
      <c r="A143" s="398" t="str">
        <f t="shared" si="16"/>
        <v/>
      </c>
      <c r="B143" s="399"/>
      <c r="C143" s="398" t="str">
        <f>IFERROR(INDEX(DATA_PROPERTY_MASTER!$B:$B,MATCH($B143,DATA_PROPERTY_MASTER!$A:$A,0)),"")</f>
        <v/>
      </c>
      <c r="D143" s="399"/>
      <c r="E143" s="399"/>
      <c r="F143" s="399"/>
      <c r="G143" s="400"/>
      <c r="H143" s="405"/>
      <c r="I143" s="405"/>
      <c r="J143" s="406">
        <f t="shared" si="17"/>
        <v>0</v>
      </c>
      <c r="K143" s="399"/>
      <c r="L143" s="399"/>
      <c r="M143" s="399"/>
      <c r="N143" s="399"/>
      <c r="O143" s="399"/>
      <c r="P143" s="399"/>
      <c r="Q143" s="399"/>
      <c r="R143" s="398" t="str">
        <f t="shared" si="18"/>
        <v/>
      </c>
      <c r="S143" s="399"/>
      <c r="T143" s="398" t="str">
        <f t="shared" si="19"/>
        <v>Blank</v>
      </c>
    </row>
    <row r="144" spans="1:20">
      <c r="A144" s="398" t="str">
        <f t="shared" si="16"/>
        <v/>
      </c>
      <c r="B144" s="399"/>
      <c r="C144" s="398" t="str">
        <f>IFERROR(INDEX(DATA_PROPERTY_MASTER!$B:$B,MATCH($B144,DATA_PROPERTY_MASTER!$A:$A,0)),"")</f>
        <v/>
      </c>
      <c r="D144" s="399"/>
      <c r="E144" s="399"/>
      <c r="F144" s="399"/>
      <c r="G144" s="400"/>
      <c r="H144" s="405"/>
      <c r="I144" s="405"/>
      <c r="J144" s="406">
        <f t="shared" si="17"/>
        <v>0</v>
      </c>
      <c r="K144" s="399"/>
      <c r="L144" s="399"/>
      <c r="M144" s="399"/>
      <c r="N144" s="399"/>
      <c r="O144" s="399"/>
      <c r="P144" s="399"/>
      <c r="Q144" s="399"/>
      <c r="R144" s="398" t="str">
        <f t="shared" si="18"/>
        <v/>
      </c>
      <c r="S144" s="399"/>
      <c r="T144" s="398" t="str">
        <f t="shared" si="19"/>
        <v>Blank</v>
      </c>
    </row>
    <row r="145" spans="1:20">
      <c r="A145" s="398" t="str">
        <f t="shared" si="16"/>
        <v/>
      </c>
      <c r="B145" s="399"/>
      <c r="C145" s="398" t="str">
        <f>IFERROR(INDEX(DATA_PROPERTY_MASTER!$B:$B,MATCH($B145,DATA_PROPERTY_MASTER!$A:$A,0)),"")</f>
        <v/>
      </c>
      <c r="D145" s="399"/>
      <c r="E145" s="399"/>
      <c r="F145" s="399"/>
      <c r="G145" s="400"/>
      <c r="H145" s="405"/>
      <c r="I145" s="405"/>
      <c r="J145" s="406">
        <f t="shared" si="17"/>
        <v>0</v>
      </c>
      <c r="K145" s="399"/>
      <c r="L145" s="399"/>
      <c r="M145" s="399"/>
      <c r="N145" s="399"/>
      <c r="O145" s="399"/>
      <c r="P145" s="399"/>
      <c r="Q145" s="399"/>
      <c r="R145" s="398" t="str">
        <f t="shared" si="18"/>
        <v/>
      </c>
      <c r="S145" s="399"/>
      <c r="T145" s="398" t="str">
        <f t="shared" si="19"/>
        <v>Blank</v>
      </c>
    </row>
    <row r="146" spans="1:20">
      <c r="A146" s="398" t="str">
        <f t="shared" si="16"/>
        <v/>
      </c>
      <c r="B146" s="399"/>
      <c r="C146" s="398" t="str">
        <f>IFERROR(INDEX(DATA_PROPERTY_MASTER!$B:$B,MATCH($B146,DATA_PROPERTY_MASTER!$A:$A,0)),"")</f>
        <v/>
      </c>
      <c r="D146" s="399"/>
      <c r="E146" s="399"/>
      <c r="F146" s="399"/>
      <c r="G146" s="400"/>
      <c r="H146" s="405"/>
      <c r="I146" s="405"/>
      <c r="J146" s="406">
        <f t="shared" si="17"/>
        <v>0</v>
      </c>
      <c r="K146" s="399"/>
      <c r="L146" s="399"/>
      <c r="M146" s="399"/>
      <c r="N146" s="399"/>
      <c r="O146" s="399"/>
      <c r="P146" s="399"/>
      <c r="Q146" s="399"/>
      <c r="R146" s="398" t="str">
        <f t="shared" si="18"/>
        <v/>
      </c>
      <c r="S146" s="399"/>
      <c r="T146" s="398" t="str">
        <f t="shared" si="19"/>
        <v>Blank</v>
      </c>
    </row>
    <row r="147" spans="1:20">
      <c r="A147" s="398" t="str">
        <f t="shared" si="16"/>
        <v/>
      </c>
      <c r="B147" s="399"/>
      <c r="C147" s="398" t="str">
        <f>IFERROR(INDEX(DATA_PROPERTY_MASTER!$B:$B,MATCH($B147,DATA_PROPERTY_MASTER!$A:$A,0)),"")</f>
        <v/>
      </c>
      <c r="D147" s="399"/>
      <c r="E147" s="399"/>
      <c r="F147" s="399"/>
      <c r="G147" s="400"/>
      <c r="H147" s="405"/>
      <c r="I147" s="405"/>
      <c r="J147" s="406">
        <f t="shared" si="17"/>
        <v>0</v>
      </c>
      <c r="K147" s="399"/>
      <c r="L147" s="399"/>
      <c r="M147" s="399"/>
      <c r="N147" s="399"/>
      <c r="O147" s="399"/>
      <c r="P147" s="399"/>
      <c r="Q147" s="399"/>
      <c r="R147" s="398" t="str">
        <f t="shared" si="18"/>
        <v/>
      </c>
      <c r="S147" s="399"/>
      <c r="T147" s="398" t="str">
        <f t="shared" si="19"/>
        <v>Blank</v>
      </c>
    </row>
    <row r="148" spans="1:20">
      <c r="A148" s="398" t="str">
        <f t="shared" si="16"/>
        <v/>
      </c>
      <c r="B148" s="399"/>
      <c r="C148" s="398" t="str">
        <f>IFERROR(INDEX(DATA_PROPERTY_MASTER!$B:$B,MATCH($B148,DATA_PROPERTY_MASTER!$A:$A,0)),"")</f>
        <v/>
      </c>
      <c r="D148" s="399"/>
      <c r="E148" s="399"/>
      <c r="F148" s="399"/>
      <c r="G148" s="400"/>
      <c r="H148" s="405"/>
      <c r="I148" s="405"/>
      <c r="J148" s="406">
        <f t="shared" si="17"/>
        <v>0</v>
      </c>
      <c r="K148" s="399"/>
      <c r="L148" s="399"/>
      <c r="M148" s="399"/>
      <c r="N148" s="399"/>
      <c r="O148" s="399"/>
      <c r="P148" s="399"/>
      <c r="Q148" s="399"/>
      <c r="R148" s="398" t="str">
        <f t="shared" si="18"/>
        <v/>
      </c>
      <c r="S148" s="399"/>
      <c r="T148" s="398" t="str">
        <f t="shared" si="19"/>
        <v>Blank</v>
      </c>
    </row>
    <row r="149" spans="1:20">
      <c r="A149" s="398" t="str">
        <f t="shared" si="16"/>
        <v/>
      </c>
      <c r="B149" s="399"/>
      <c r="C149" s="398" t="str">
        <f>IFERROR(INDEX(DATA_PROPERTY_MASTER!$B:$B,MATCH($B149,DATA_PROPERTY_MASTER!$A:$A,0)),"")</f>
        <v/>
      </c>
      <c r="D149" s="399"/>
      <c r="E149" s="399"/>
      <c r="F149" s="399"/>
      <c r="G149" s="400"/>
      <c r="H149" s="405"/>
      <c r="I149" s="405"/>
      <c r="J149" s="406">
        <f t="shared" si="17"/>
        <v>0</v>
      </c>
      <c r="K149" s="399"/>
      <c r="L149" s="399"/>
      <c r="M149" s="399"/>
      <c r="N149" s="399"/>
      <c r="O149" s="399"/>
      <c r="P149" s="399"/>
      <c r="Q149" s="399"/>
      <c r="R149" s="398" t="str">
        <f t="shared" si="18"/>
        <v/>
      </c>
      <c r="S149" s="399"/>
      <c r="T149" s="398" t="str">
        <f t="shared" si="19"/>
        <v>Blank</v>
      </c>
    </row>
    <row r="150" spans="1:20">
      <c r="A150" s="398" t="str">
        <f t="shared" si="16"/>
        <v/>
      </c>
      <c r="B150" s="399"/>
      <c r="C150" s="398" t="str">
        <f>IFERROR(INDEX(DATA_PROPERTY_MASTER!$B:$B,MATCH($B150,DATA_PROPERTY_MASTER!$A:$A,0)),"")</f>
        <v/>
      </c>
      <c r="D150" s="399"/>
      <c r="E150" s="399"/>
      <c r="F150" s="399"/>
      <c r="G150" s="400"/>
      <c r="H150" s="405"/>
      <c r="I150" s="405"/>
      <c r="J150" s="406">
        <f t="shared" si="17"/>
        <v>0</v>
      </c>
      <c r="K150" s="399"/>
      <c r="L150" s="399"/>
      <c r="M150" s="399"/>
      <c r="N150" s="399"/>
      <c r="O150" s="399"/>
      <c r="P150" s="399"/>
      <c r="Q150" s="399"/>
      <c r="R150" s="398" t="str">
        <f t="shared" si="18"/>
        <v/>
      </c>
      <c r="S150" s="399"/>
      <c r="T150" s="398" t="str">
        <f t="shared" si="19"/>
        <v>Blank</v>
      </c>
    </row>
    <row r="151" spans="1:20">
      <c r="A151" s="398" t="str">
        <f t="shared" si="16"/>
        <v/>
      </c>
      <c r="B151" s="399"/>
      <c r="C151" s="398" t="str">
        <f>IFERROR(INDEX(DATA_PROPERTY_MASTER!$B:$B,MATCH($B151,DATA_PROPERTY_MASTER!$A:$A,0)),"")</f>
        <v/>
      </c>
      <c r="D151" s="399"/>
      <c r="E151" s="399"/>
      <c r="F151" s="399"/>
      <c r="G151" s="400"/>
      <c r="H151" s="405"/>
      <c r="I151" s="405"/>
      <c r="J151" s="406">
        <f t="shared" si="17"/>
        <v>0</v>
      </c>
      <c r="K151" s="399"/>
      <c r="L151" s="399"/>
      <c r="M151" s="399"/>
      <c r="N151" s="399"/>
      <c r="O151" s="399"/>
      <c r="P151" s="399"/>
      <c r="Q151" s="399"/>
      <c r="R151" s="398" t="str">
        <f t="shared" si="18"/>
        <v/>
      </c>
      <c r="S151" s="399"/>
      <c r="T151" s="398" t="str">
        <f t="shared" si="19"/>
        <v>Blank</v>
      </c>
    </row>
    <row r="152" spans="1:20">
      <c r="A152" s="398" t="str">
        <f t="shared" si="16"/>
        <v/>
      </c>
      <c r="B152" s="399"/>
      <c r="C152" s="398" t="str">
        <f>IFERROR(INDEX(DATA_PROPERTY_MASTER!$B:$B,MATCH($B152,DATA_PROPERTY_MASTER!$A:$A,0)),"")</f>
        <v/>
      </c>
      <c r="D152" s="399"/>
      <c r="E152" s="399"/>
      <c r="F152" s="399"/>
      <c r="G152" s="400"/>
      <c r="H152" s="405"/>
      <c r="I152" s="405"/>
      <c r="J152" s="406">
        <f t="shared" si="17"/>
        <v>0</v>
      </c>
      <c r="K152" s="399"/>
      <c r="L152" s="399"/>
      <c r="M152" s="399"/>
      <c r="N152" s="399"/>
      <c r="O152" s="399"/>
      <c r="P152" s="399"/>
      <c r="Q152" s="399"/>
      <c r="R152" s="398" t="str">
        <f t="shared" si="18"/>
        <v/>
      </c>
      <c r="S152" s="399"/>
      <c r="T152" s="398" t="str">
        <f t="shared" si="19"/>
        <v>Blank</v>
      </c>
    </row>
    <row r="153" spans="1:20">
      <c r="A153" s="398" t="str">
        <f t="shared" si="16"/>
        <v/>
      </c>
      <c r="B153" s="399"/>
      <c r="C153" s="398" t="str">
        <f>IFERROR(INDEX(DATA_PROPERTY_MASTER!$B:$B,MATCH($B153,DATA_PROPERTY_MASTER!$A:$A,0)),"")</f>
        <v/>
      </c>
      <c r="D153" s="399"/>
      <c r="E153" s="399"/>
      <c r="F153" s="399"/>
      <c r="G153" s="400"/>
      <c r="H153" s="405"/>
      <c r="I153" s="405"/>
      <c r="J153" s="406">
        <f t="shared" si="17"/>
        <v>0</v>
      </c>
      <c r="K153" s="399"/>
      <c r="L153" s="399"/>
      <c r="M153" s="399"/>
      <c r="N153" s="399"/>
      <c r="O153" s="399"/>
      <c r="P153" s="399"/>
      <c r="Q153" s="399"/>
      <c r="R153" s="398" t="str">
        <f t="shared" si="18"/>
        <v/>
      </c>
      <c r="S153" s="399"/>
      <c r="T153" s="398" t="str">
        <f t="shared" si="19"/>
        <v>Blank</v>
      </c>
    </row>
    <row r="154" spans="1:20">
      <c r="A154" s="398" t="str">
        <f t="shared" si="16"/>
        <v/>
      </c>
      <c r="B154" s="399"/>
      <c r="C154" s="398" t="str">
        <f>IFERROR(INDEX(DATA_PROPERTY_MASTER!$B:$B,MATCH($B154,DATA_PROPERTY_MASTER!$A:$A,0)),"")</f>
        <v/>
      </c>
      <c r="D154" s="399"/>
      <c r="E154" s="399"/>
      <c r="F154" s="399"/>
      <c r="G154" s="400"/>
      <c r="H154" s="405"/>
      <c r="I154" s="405"/>
      <c r="J154" s="406">
        <f t="shared" si="17"/>
        <v>0</v>
      </c>
      <c r="K154" s="399"/>
      <c r="L154" s="399"/>
      <c r="M154" s="399"/>
      <c r="N154" s="399"/>
      <c r="O154" s="399"/>
      <c r="P154" s="399"/>
      <c r="Q154" s="399"/>
      <c r="R154" s="398" t="str">
        <f t="shared" si="18"/>
        <v/>
      </c>
      <c r="S154" s="399"/>
      <c r="T154" s="398" t="str">
        <f t="shared" si="19"/>
        <v>Blank</v>
      </c>
    </row>
    <row r="155" spans="1:20">
      <c r="A155" s="398" t="str">
        <f t="shared" si="16"/>
        <v/>
      </c>
      <c r="B155" s="399"/>
      <c r="C155" s="398" t="str">
        <f>IFERROR(INDEX(DATA_PROPERTY_MASTER!$B:$B,MATCH($B155,DATA_PROPERTY_MASTER!$A:$A,0)),"")</f>
        <v/>
      </c>
      <c r="D155" s="399"/>
      <c r="E155" s="399"/>
      <c r="F155" s="399"/>
      <c r="G155" s="400"/>
      <c r="H155" s="405"/>
      <c r="I155" s="405"/>
      <c r="J155" s="406">
        <f t="shared" si="17"/>
        <v>0</v>
      </c>
      <c r="K155" s="399"/>
      <c r="L155" s="399"/>
      <c r="M155" s="399"/>
      <c r="N155" s="399"/>
      <c r="O155" s="399"/>
      <c r="P155" s="399"/>
      <c r="Q155" s="399"/>
      <c r="R155" s="398" t="str">
        <f t="shared" si="18"/>
        <v/>
      </c>
      <c r="S155" s="399"/>
      <c r="T155" s="398" t="str">
        <f t="shared" si="19"/>
        <v>Blank</v>
      </c>
    </row>
    <row r="156" spans="1:20">
      <c r="A156" s="398" t="str">
        <f t="shared" si="16"/>
        <v/>
      </c>
      <c r="B156" s="399"/>
      <c r="C156" s="398" t="str">
        <f>IFERROR(INDEX(DATA_PROPERTY_MASTER!$B:$B,MATCH($B156,DATA_PROPERTY_MASTER!$A:$A,0)),"")</f>
        <v/>
      </c>
      <c r="D156" s="399"/>
      <c r="E156" s="399"/>
      <c r="F156" s="399"/>
      <c r="G156" s="400"/>
      <c r="H156" s="405"/>
      <c r="I156" s="405"/>
      <c r="J156" s="406">
        <f t="shared" si="17"/>
        <v>0</v>
      </c>
      <c r="K156" s="399"/>
      <c r="L156" s="399"/>
      <c r="M156" s="399"/>
      <c r="N156" s="399"/>
      <c r="O156" s="399"/>
      <c r="P156" s="399"/>
      <c r="Q156" s="399"/>
      <c r="R156" s="398" t="str">
        <f t="shared" si="18"/>
        <v/>
      </c>
      <c r="S156" s="399"/>
      <c r="T156" s="398" t="str">
        <f t="shared" si="19"/>
        <v>Blank</v>
      </c>
    </row>
    <row r="157" spans="1:20">
      <c r="A157" s="398" t="str">
        <f t="shared" si="16"/>
        <v/>
      </c>
      <c r="B157" s="399"/>
      <c r="C157" s="398" t="str">
        <f>IFERROR(INDEX(DATA_PROPERTY_MASTER!$B:$B,MATCH($B157,DATA_PROPERTY_MASTER!$A:$A,0)),"")</f>
        <v/>
      </c>
      <c r="D157" s="399"/>
      <c r="E157" s="399"/>
      <c r="F157" s="399"/>
      <c r="G157" s="400"/>
      <c r="H157" s="405"/>
      <c r="I157" s="405"/>
      <c r="J157" s="406">
        <f t="shared" si="17"/>
        <v>0</v>
      </c>
      <c r="K157" s="399"/>
      <c r="L157" s="399"/>
      <c r="M157" s="399"/>
      <c r="N157" s="399"/>
      <c r="O157" s="399"/>
      <c r="P157" s="399"/>
      <c r="Q157" s="399"/>
      <c r="R157" s="398" t="str">
        <f t="shared" si="18"/>
        <v/>
      </c>
      <c r="S157" s="399"/>
      <c r="T157" s="398" t="str">
        <f t="shared" si="19"/>
        <v>Blank</v>
      </c>
    </row>
    <row r="158" spans="1:20">
      <c r="A158" s="398" t="str">
        <f t="shared" si="16"/>
        <v/>
      </c>
      <c r="B158" s="399"/>
      <c r="C158" s="398" t="str">
        <f>IFERROR(INDEX(DATA_PROPERTY_MASTER!$B:$B,MATCH($B158,DATA_PROPERTY_MASTER!$A:$A,0)),"")</f>
        <v/>
      </c>
      <c r="D158" s="399"/>
      <c r="E158" s="399"/>
      <c r="F158" s="399"/>
      <c r="G158" s="400"/>
      <c r="H158" s="405"/>
      <c r="I158" s="405"/>
      <c r="J158" s="406">
        <f t="shared" si="17"/>
        <v>0</v>
      </c>
      <c r="K158" s="399"/>
      <c r="L158" s="399"/>
      <c r="M158" s="399"/>
      <c r="N158" s="399"/>
      <c r="O158" s="399"/>
      <c r="P158" s="399"/>
      <c r="Q158" s="399"/>
      <c r="R158" s="398" t="str">
        <f t="shared" si="18"/>
        <v/>
      </c>
      <c r="S158" s="399"/>
      <c r="T158" s="398" t="str">
        <f t="shared" si="19"/>
        <v>Blank</v>
      </c>
    </row>
    <row r="159" spans="1:20">
      <c r="A159" s="398" t="str">
        <f t="shared" si="16"/>
        <v/>
      </c>
      <c r="B159" s="399"/>
      <c r="C159" s="398" t="str">
        <f>IFERROR(INDEX(DATA_PROPERTY_MASTER!$B:$B,MATCH($B159,DATA_PROPERTY_MASTER!$A:$A,0)),"")</f>
        <v/>
      </c>
      <c r="D159" s="399"/>
      <c r="E159" s="399"/>
      <c r="F159" s="399"/>
      <c r="G159" s="400"/>
      <c r="H159" s="405"/>
      <c r="I159" s="405"/>
      <c r="J159" s="406">
        <f t="shared" si="17"/>
        <v>0</v>
      </c>
      <c r="K159" s="399"/>
      <c r="L159" s="399"/>
      <c r="M159" s="399"/>
      <c r="N159" s="399"/>
      <c r="O159" s="399"/>
      <c r="P159" s="399"/>
      <c r="Q159" s="399"/>
      <c r="R159" s="398" t="str">
        <f t="shared" si="18"/>
        <v/>
      </c>
      <c r="S159" s="399"/>
      <c r="T159" s="398" t="str">
        <f t="shared" si="19"/>
        <v>Blank</v>
      </c>
    </row>
    <row r="160" spans="1:20">
      <c r="A160" s="398" t="str">
        <f t="shared" si="16"/>
        <v/>
      </c>
      <c r="B160" s="399"/>
      <c r="C160" s="398" t="str">
        <f>IFERROR(INDEX(DATA_PROPERTY_MASTER!$B:$B,MATCH($B160,DATA_PROPERTY_MASTER!$A:$A,0)),"")</f>
        <v/>
      </c>
      <c r="D160" s="399"/>
      <c r="E160" s="399"/>
      <c r="F160" s="399"/>
      <c r="G160" s="400"/>
      <c r="H160" s="405"/>
      <c r="I160" s="405"/>
      <c r="J160" s="406">
        <f t="shared" si="17"/>
        <v>0</v>
      </c>
      <c r="K160" s="399"/>
      <c r="L160" s="399"/>
      <c r="M160" s="399"/>
      <c r="N160" s="399"/>
      <c r="O160" s="399"/>
      <c r="P160" s="399"/>
      <c r="Q160" s="399"/>
      <c r="R160" s="398" t="str">
        <f t="shared" si="18"/>
        <v/>
      </c>
      <c r="S160" s="399"/>
      <c r="T160" s="398" t="str">
        <f t="shared" si="19"/>
        <v>Blank</v>
      </c>
    </row>
    <row r="161" spans="1:20">
      <c r="A161" s="398" t="str">
        <f t="shared" si="16"/>
        <v/>
      </c>
      <c r="B161" s="399"/>
      <c r="C161" s="398" t="str">
        <f>IFERROR(INDEX(DATA_PROPERTY_MASTER!$B:$B,MATCH($B161,DATA_PROPERTY_MASTER!$A:$A,0)),"")</f>
        <v/>
      </c>
      <c r="D161" s="399"/>
      <c r="E161" s="399"/>
      <c r="F161" s="399"/>
      <c r="G161" s="400"/>
      <c r="H161" s="405"/>
      <c r="I161" s="405"/>
      <c r="J161" s="406">
        <f t="shared" si="17"/>
        <v>0</v>
      </c>
      <c r="K161" s="399"/>
      <c r="L161" s="399"/>
      <c r="M161" s="399"/>
      <c r="N161" s="399"/>
      <c r="O161" s="399"/>
      <c r="P161" s="399"/>
      <c r="Q161" s="399"/>
      <c r="R161" s="398" t="str">
        <f t="shared" si="18"/>
        <v/>
      </c>
      <c r="S161" s="399"/>
      <c r="T161" s="398" t="str">
        <f t="shared" si="19"/>
        <v>Blank</v>
      </c>
    </row>
    <row r="162" spans="1:20">
      <c r="A162" s="398" t="str">
        <f t="shared" si="16"/>
        <v/>
      </c>
      <c r="B162" s="399"/>
      <c r="C162" s="398" t="str">
        <f>IFERROR(INDEX(DATA_PROPERTY_MASTER!$B:$B,MATCH($B162,DATA_PROPERTY_MASTER!$A:$A,0)),"")</f>
        <v/>
      </c>
      <c r="D162" s="399"/>
      <c r="E162" s="399"/>
      <c r="F162" s="399"/>
      <c r="G162" s="400"/>
      <c r="H162" s="405"/>
      <c r="I162" s="405"/>
      <c r="J162" s="406">
        <f t="shared" si="17"/>
        <v>0</v>
      </c>
      <c r="K162" s="399"/>
      <c r="L162" s="399"/>
      <c r="M162" s="399"/>
      <c r="N162" s="399"/>
      <c r="O162" s="399"/>
      <c r="P162" s="399"/>
      <c r="Q162" s="399"/>
      <c r="R162" s="398" t="str">
        <f t="shared" si="18"/>
        <v/>
      </c>
      <c r="S162" s="399"/>
      <c r="T162" s="398" t="str">
        <f t="shared" si="19"/>
        <v>Blank</v>
      </c>
    </row>
    <row r="163" spans="1:20">
      <c r="A163" s="398" t="str">
        <f t="shared" si="16"/>
        <v/>
      </c>
      <c r="B163" s="399"/>
      <c r="C163" s="398" t="str">
        <f>IFERROR(INDEX(DATA_PROPERTY_MASTER!$B:$B,MATCH($B163,DATA_PROPERTY_MASTER!$A:$A,0)),"")</f>
        <v/>
      </c>
      <c r="D163" s="399"/>
      <c r="E163" s="399"/>
      <c r="F163" s="399"/>
      <c r="G163" s="400"/>
      <c r="H163" s="405"/>
      <c r="I163" s="405"/>
      <c r="J163" s="406">
        <f t="shared" si="17"/>
        <v>0</v>
      </c>
      <c r="K163" s="399"/>
      <c r="L163" s="399"/>
      <c r="M163" s="399"/>
      <c r="N163" s="399"/>
      <c r="O163" s="399"/>
      <c r="P163" s="399"/>
      <c r="Q163" s="399"/>
      <c r="R163" s="398" t="str">
        <f t="shared" si="18"/>
        <v/>
      </c>
      <c r="S163" s="399"/>
      <c r="T163" s="398" t="str">
        <f t="shared" si="19"/>
        <v>Blank</v>
      </c>
    </row>
    <row r="164" spans="1:20">
      <c r="A164" s="398" t="str">
        <f t="shared" si="16"/>
        <v/>
      </c>
      <c r="B164" s="399"/>
      <c r="C164" s="398" t="str">
        <f>IFERROR(INDEX(DATA_PROPERTY_MASTER!$B:$B,MATCH($B164,DATA_PROPERTY_MASTER!$A:$A,0)),"")</f>
        <v/>
      </c>
      <c r="D164" s="399"/>
      <c r="E164" s="399"/>
      <c r="F164" s="399"/>
      <c r="G164" s="400"/>
      <c r="H164" s="405"/>
      <c r="I164" s="405"/>
      <c r="J164" s="406">
        <f t="shared" si="17"/>
        <v>0</v>
      </c>
      <c r="K164" s="399"/>
      <c r="L164" s="399"/>
      <c r="M164" s="399"/>
      <c r="N164" s="399"/>
      <c r="O164" s="399"/>
      <c r="P164" s="399"/>
      <c r="Q164" s="399"/>
      <c r="R164" s="398" t="str">
        <f t="shared" si="18"/>
        <v/>
      </c>
      <c r="S164" s="399"/>
      <c r="T164" s="398" t="str">
        <f t="shared" si="19"/>
        <v>Blank</v>
      </c>
    </row>
    <row r="165" spans="1:20">
      <c r="A165" s="398" t="str">
        <f t="shared" si="16"/>
        <v/>
      </c>
      <c r="B165" s="399"/>
      <c r="C165" s="398" t="str">
        <f>IFERROR(INDEX(DATA_PROPERTY_MASTER!$B:$B,MATCH($B165,DATA_PROPERTY_MASTER!$A:$A,0)),"")</f>
        <v/>
      </c>
      <c r="D165" s="399"/>
      <c r="E165" s="399"/>
      <c r="F165" s="399"/>
      <c r="G165" s="400"/>
      <c r="H165" s="405"/>
      <c r="I165" s="405"/>
      <c r="J165" s="406">
        <f t="shared" si="17"/>
        <v>0</v>
      </c>
      <c r="K165" s="399"/>
      <c r="L165" s="399"/>
      <c r="M165" s="399"/>
      <c r="N165" s="399"/>
      <c r="O165" s="399"/>
      <c r="P165" s="399"/>
      <c r="Q165" s="399"/>
      <c r="R165" s="398" t="str">
        <f t="shared" si="18"/>
        <v/>
      </c>
      <c r="S165" s="399"/>
      <c r="T165" s="398" t="str">
        <f t="shared" si="19"/>
        <v>Blank</v>
      </c>
    </row>
    <row r="166" spans="1:20">
      <c r="A166" s="398" t="str">
        <f t="shared" si="16"/>
        <v/>
      </c>
      <c r="B166" s="399"/>
      <c r="C166" s="398" t="str">
        <f>IFERROR(INDEX(DATA_PROPERTY_MASTER!$B:$B,MATCH($B166,DATA_PROPERTY_MASTER!$A:$A,0)),"")</f>
        <v/>
      </c>
      <c r="D166" s="399"/>
      <c r="E166" s="399"/>
      <c r="F166" s="399"/>
      <c r="G166" s="400"/>
      <c r="H166" s="405"/>
      <c r="I166" s="405"/>
      <c r="J166" s="406">
        <f t="shared" si="17"/>
        <v>0</v>
      </c>
      <c r="K166" s="399"/>
      <c r="L166" s="399"/>
      <c r="M166" s="399"/>
      <c r="N166" s="399"/>
      <c r="O166" s="399"/>
      <c r="P166" s="399"/>
      <c r="Q166" s="399"/>
      <c r="R166" s="398" t="str">
        <f t="shared" si="18"/>
        <v/>
      </c>
      <c r="S166" s="399"/>
      <c r="T166" s="398" t="str">
        <f t="shared" si="19"/>
        <v>Blank</v>
      </c>
    </row>
    <row r="167" spans="1:20">
      <c r="A167" s="398" t="str">
        <f t="shared" ref="A167:A198" si="20">IF($B167="","","CN-"&amp;TEXT(ROW()-6,"0000"))</f>
        <v/>
      </c>
      <c r="B167" s="399"/>
      <c r="C167" s="398" t="str">
        <f>IFERROR(INDEX(DATA_PROPERTY_MASTER!$B:$B,MATCH($B167,DATA_PROPERTY_MASTER!$A:$A,0)),"")</f>
        <v/>
      </c>
      <c r="D167" s="399"/>
      <c r="E167" s="399"/>
      <c r="F167" s="399"/>
      <c r="G167" s="400"/>
      <c r="H167" s="405"/>
      <c r="I167" s="405"/>
      <c r="J167" s="406">
        <f t="shared" ref="J167:J198" si="21">IFERROR(MAX($H167-$I167,0),"")</f>
        <v>0</v>
      </c>
      <c r="K167" s="399"/>
      <c r="L167" s="399"/>
      <c r="M167" s="399"/>
      <c r="N167" s="399"/>
      <c r="O167" s="399"/>
      <c r="P167" s="399"/>
      <c r="Q167" s="399"/>
      <c r="R167" s="398" t="str">
        <f t="shared" ref="R167:R198" si="22">IF($B167="","",IF($J167&gt;0,"Funding Gap","Funded / No Gap"))</f>
        <v/>
      </c>
      <c r="S167" s="399"/>
      <c r="T167" s="398" t="str">
        <f t="shared" ref="T167:T198" si="23">IF($B167="","Blank",IF(OR($D167="",$G167="",$H167=""),"Review","OK"))</f>
        <v>Blank</v>
      </c>
    </row>
    <row r="168" spans="1:20">
      <c r="A168" s="398" t="str">
        <f t="shared" si="20"/>
        <v/>
      </c>
      <c r="B168" s="399"/>
      <c r="C168" s="398" t="str">
        <f>IFERROR(INDEX(DATA_PROPERTY_MASTER!$B:$B,MATCH($B168,DATA_PROPERTY_MASTER!$A:$A,0)),"")</f>
        <v/>
      </c>
      <c r="D168" s="399"/>
      <c r="E168" s="399"/>
      <c r="F168" s="399"/>
      <c r="G168" s="400"/>
      <c r="H168" s="405"/>
      <c r="I168" s="405"/>
      <c r="J168" s="406">
        <f t="shared" si="21"/>
        <v>0</v>
      </c>
      <c r="K168" s="399"/>
      <c r="L168" s="399"/>
      <c r="M168" s="399"/>
      <c r="N168" s="399"/>
      <c r="O168" s="399"/>
      <c r="P168" s="399"/>
      <c r="Q168" s="399"/>
      <c r="R168" s="398" t="str">
        <f t="shared" si="22"/>
        <v/>
      </c>
      <c r="S168" s="399"/>
      <c r="T168" s="398" t="str">
        <f t="shared" si="23"/>
        <v>Blank</v>
      </c>
    </row>
    <row r="169" spans="1:20">
      <c r="A169" s="398" t="str">
        <f t="shared" si="20"/>
        <v/>
      </c>
      <c r="B169" s="399"/>
      <c r="C169" s="398" t="str">
        <f>IFERROR(INDEX(DATA_PROPERTY_MASTER!$B:$B,MATCH($B169,DATA_PROPERTY_MASTER!$A:$A,0)),"")</f>
        <v/>
      </c>
      <c r="D169" s="399"/>
      <c r="E169" s="399"/>
      <c r="F169" s="399"/>
      <c r="G169" s="400"/>
      <c r="H169" s="405"/>
      <c r="I169" s="405"/>
      <c r="J169" s="406">
        <f t="shared" si="21"/>
        <v>0</v>
      </c>
      <c r="K169" s="399"/>
      <c r="L169" s="399"/>
      <c r="M169" s="399"/>
      <c r="N169" s="399"/>
      <c r="O169" s="399"/>
      <c r="P169" s="399"/>
      <c r="Q169" s="399"/>
      <c r="R169" s="398" t="str">
        <f t="shared" si="22"/>
        <v/>
      </c>
      <c r="S169" s="399"/>
      <c r="T169" s="398" t="str">
        <f t="shared" si="23"/>
        <v>Blank</v>
      </c>
    </row>
    <row r="170" spans="1:20">
      <c r="A170" s="398" t="str">
        <f t="shared" si="20"/>
        <v/>
      </c>
      <c r="B170" s="399"/>
      <c r="C170" s="398" t="str">
        <f>IFERROR(INDEX(DATA_PROPERTY_MASTER!$B:$B,MATCH($B170,DATA_PROPERTY_MASTER!$A:$A,0)),"")</f>
        <v/>
      </c>
      <c r="D170" s="399"/>
      <c r="E170" s="399"/>
      <c r="F170" s="399"/>
      <c r="G170" s="400"/>
      <c r="H170" s="405"/>
      <c r="I170" s="405"/>
      <c r="J170" s="406">
        <f t="shared" si="21"/>
        <v>0</v>
      </c>
      <c r="K170" s="399"/>
      <c r="L170" s="399"/>
      <c r="M170" s="399"/>
      <c r="N170" s="399"/>
      <c r="O170" s="399"/>
      <c r="P170" s="399"/>
      <c r="Q170" s="399"/>
      <c r="R170" s="398" t="str">
        <f t="shared" si="22"/>
        <v/>
      </c>
      <c r="S170" s="399"/>
      <c r="T170" s="398" t="str">
        <f t="shared" si="23"/>
        <v>Blank</v>
      </c>
    </row>
    <row r="171" spans="1:20">
      <c r="A171" s="398" t="str">
        <f t="shared" si="20"/>
        <v/>
      </c>
      <c r="B171" s="399"/>
      <c r="C171" s="398" t="str">
        <f>IFERROR(INDEX(DATA_PROPERTY_MASTER!$B:$B,MATCH($B171,DATA_PROPERTY_MASTER!$A:$A,0)),"")</f>
        <v/>
      </c>
      <c r="D171" s="399"/>
      <c r="E171" s="399"/>
      <c r="F171" s="399"/>
      <c r="G171" s="400"/>
      <c r="H171" s="405"/>
      <c r="I171" s="405"/>
      <c r="J171" s="406">
        <f t="shared" si="21"/>
        <v>0</v>
      </c>
      <c r="K171" s="399"/>
      <c r="L171" s="399"/>
      <c r="M171" s="399"/>
      <c r="N171" s="399"/>
      <c r="O171" s="399"/>
      <c r="P171" s="399"/>
      <c r="Q171" s="399"/>
      <c r="R171" s="398" t="str">
        <f t="shared" si="22"/>
        <v/>
      </c>
      <c r="S171" s="399"/>
      <c r="T171" s="398" t="str">
        <f t="shared" si="23"/>
        <v>Blank</v>
      </c>
    </row>
    <row r="172" spans="1:20">
      <c r="A172" s="398" t="str">
        <f t="shared" si="20"/>
        <v/>
      </c>
      <c r="B172" s="399"/>
      <c r="C172" s="398" t="str">
        <f>IFERROR(INDEX(DATA_PROPERTY_MASTER!$B:$B,MATCH($B172,DATA_PROPERTY_MASTER!$A:$A,0)),"")</f>
        <v/>
      </c>
      <c r="D172" s="399"/>
      <c r="E172" s="399"/>
      <c r="F172" s="399"/>
      <c r="G172" s="400"/>
      <c r="H172" s="405"/>
      <c r="I172" s="405"/>
      <c r="J172" s="406">
        <f t="shared" si="21"/>
        <v>0</v>
      </c>
      <c r="K172" s="399"/>
      <c r="L172" s="399"/>
      <c r="M172" s="399"/>
      <c r="N172" s="399"/>
      <c r="O172" s="399"/>
      <c r="P172" s="399"/>
      <c r="Q172" s="399"/>
      <c r="R172" s="398" t="str">
        <f t="shared" si="22"/>
        <v/>
      </c>
      <c r="S172" s="399"/>
      <c r="T172" s="398" t="str">
        <f t="shared" si="23"/>
        <v>Blank</v>
      </c>
    </row>
    <row r="173" spans="1:20">
      <c r="A173" s="398" t="str">
        <f t="shared" si="20"/>
        <v/>
      </c>
      <c r="B173" s="399"/>
      <c r="C173" s="398" t="str">
        <f>IFERROR(INDEX(DATA_PROPERTY_MASTER!$B:$B,MATCH($B173,DATA_PROPERTY_MASTER!$A:$A,0)),"")</f>
        <v/>
      </c>
      <c r="D173" s="399"/>
      <c r="E173" s="399"/>
      <c r="F173" s="399"/>
      <c r="G173" s="400"/>
      <c r="H173" s="405"/>
      <c r="I173" s="405"/>
      <c r="J173" s="406">
        <f t="shared" si="21"/>
        <v>0</v>
      </c>
      <c r="K173" s="399"/>
      <c r="L173" s="399"/>
      <c r="M173" s="399"/>
      <c r="N173" s="399"/>
      <c r="O173" s="399"/>
      <c r="P173" s="399"/>
      <c r="Q173" s="399"/>
      <c r="R173" s="398" t="str">
        <f t="shared" si="22"/>
        <v/>
      </c>
      <c r="S173" s="399"/>
      <c r="T173" s="398" t="str">
        <f t="shared" si="23"/>
        <v>Blank</v>
      </c>
    </row>
    <row r="174" spans="1:20">
      <c r="A174" s="398" t="str">
        <f t="shared" si="20"/>
        <v/>
      </c>
      <c r="B174" s="399"/>
      <c r="C174" s="398" t="str">
        <f>IFERROR(INDEX(DATA_PROPERTY_MASTER!$B:$B,MATCH($B174,DATA_PROPERTY_MASTER!$A:$A,0)),"")</f>
        <v/>
      </c>
      <c r="D174" s="399"/>
      <c r="E174" s="399"/>
      <c r="F174" s="399"/>
      <c r="G174" s="400"/>
      <c r="H174" s="405"/>
      <c r="I174" s="405"/>
      <c r="J174" s="406">
        <f t="shared" si="21"/>
        <v>0</v>
      </c>
      <c r="K174" s="399"/>
      <c r="L174" s="399"/>
      <c r="M174" s="399"/>
      <c r="N174" s="399"/>
      <c r="O174" s="399"/>
      <c r="P174" s="399"/>
      <c r="Q174" s="399"/>
      <c r="R174" s="398" t="str">
        <f t="shared" si="22"/>
        <v/>
      </c>
      <c r="S174" s="399"/>
      <c r="T174" s="398" t="str">
        <f t="shared" si="23"/>
        <v>Blank</v>
      </c>
    </row>
    <row r="175" spans="1:20">
      <c r="A175" s="398" t="str">
        <f t="shared" si="20"/>
        <v/>
      </c>
      <c r="B175" s="399"/>
      <c r="C175" s="398" t="str">
        <f>IFERROR(INDEX(DATA_PROPERTY_MASTER!$B:$B,MATCH($B175,DATA_PROPERTY_MASTER!$A:$A,0)),"")</f>
        <v/>
      </c>
      <c r="D175" s="399"/>
      <c r="E175" s="399"/>
      <c r="F175" s="399"/>
      <c r="G175" s="400"/>
      <c r="H175" s="405"/>
      <c r="I175" s="405"/>
      <c r="J175" s="406">
        <f t="shared" si="21"/>
        <v>0</v>
      </c>
      <c r="K175" s="399"/>
      <c r="L175" s="399"/>
      <c r="M175" s="399"/>
      <c r="N175" s="399"/>
      <c r="O175" s="399"/>
      <c r="P175" s="399"/>
      <c r="Q175" s="399"/>
      <c r="R175" s="398" t="str">
        <f t="shared" si="22"/>
        <v/>
      </c>
      <c r="S175" s="399"/>
      <c r="T175" s="398" t="str">
        <f t="shared" si="23"/>
        <v>Blank</v>
      </c>
    </row>
    <row r="176" spans="1:20">
      <c r="A176" s="398" t="str">
        <f t="shared" si="20"/>
        <v/>
      </c>
      <c r="B176" s="399"/>
      <c r="C176" s="398" t="str">
        <f>IFERROR(INDEX(DATA_PROPERTY_MASTER!$B:$B,MATCH($B176,DATA_PROPERTY_MASTER!$A:$A,0)),"")</f>
        <v/>
      </c>
      <c r="D176" s="399"/>
      <c r="E176" s="399"/>
      <c r="F176" s="399"/>
      <c r="G176" s="400"/>
      <c r="H176" s="405"/>
      <c r="I176" s="405"/>
      <c r="J176" s="406">
        <f t="shared" si="21"/>
        <v>0</v>
      </c>
      <c r="K176" s="399"/>
      <c r="L176" s="399"/>
      <c r="M176" s="399"/>
      <c r="N176" s="399"/>
      <c r="O176" s="399"/>
      <c r="P176" s="399"/>
      <c r="Q176" s="399"/>
      <c r="R176" s="398" t="str">
        <f t="shared" si="22"/>
        <v/>
      </c>
      <c r="S176" s="399"/>
      <c r="T176" s="398" t="str">
        <f t="shared" si="23"/>
        <v>Blank</v>
      </c>
    </row>
    <row r="177" spans="1:20">
      <c r="A177" s="398" t="str">
        <f t="shared" si="20"/>
        <v/>
      </c>
      <c r="B177" s="399"/>
      <c r="C177" s="398" t="str">
        <f>IFERROR(INDEX(DATA_PROPERTY_MASTER!$B:$B,MATCH($B177,DATA_PROPERTY_MASTER!$A:$A,0)),"")</f>
        <v/>
      </c>
      <c r="D177" s="399"/>
      <c r="E177" s="399"/>
      <c r="F177" s="399"/>
      <c r="G177" s="400"/>
      <c r="H177" s="405"/>
      <c r="I177" s="405"/>
      <c r="J177" s="406">
        <f t="shared" si="21"/>
        <v>0</v>
      </c>
      <c r="K177" s="399"/>
      <c r="L177" s="399"/>
      <c r="M177" s="399"/>
      <c r="N177" s="399"/>
      <c r="O177" s="399"/>
      <c r="P177" s="399"/>
      <c r="Q177" s="399"/>
      <c r="R177" s="398" t="str">
        <f t="shared" si="22"/>
        <v/>
      </c>
      <c r="S177" s="399"/>
      <c r="T177" s="398" t="str">
        <f t="shared" si="23"/>
        <v>Blank</v>
      </c>
    </row>
    <row r="178" spans="1:20">
      <c r="A178" s="398" t="str">
        <f t="shared" si="20"/>
        <v/>
      </c>
      <c r="B178" s="399"/>
      <c r="C178" s="398" t="str">
        <f>IFERROR(INDEX(DATA_PROPERTY_MASTER!$B:$B,MATCH($B178,DATA_PROPERTY_MASTER!$A:$A,0)),"")</f>
        <v/>
      </c>
      <c r="D178" s="399"/>
      <c r="E178" s="399"/>
      <c r="F178" s="399"/>
      <c r="G178" s="400"/>
      <c r="H178" s="405"/>
      <c r="I178" s="405"/>
      <c r="J178" s="406">
        <f t="shared" si="21"/>
        <v>0</v>
      </c>
      <c r="K178" s="399"/>
      <c r="L178" s="399"/>
      <c r="M178" s="399"/>
      <c r="N178" s="399"/>
      <c r="O178" s="399"/>
      <c r="P178" s="399"/>
      <c r="Q178" s="399"/>
      <c r="R178" s="398" t="str">
        <f t="shared" si="22"/>
        <v/>
      </c>
      <c r="S178" s="399"/>
      <c r="T178" s="398" t="str">
        <f t="shared" si="23"/>
        <v>Blank</v>
      </c>
    </row>
    <row r="179" spans="1:20">
      <c r="A179" s="398" t="str">
        <f t="shared" si="20"/>
        <v/>
      </c>
      <c r="B179" s="399"/>
      <c r="C179" s="398" t="str">
        <f>IFERROR(INDEX(DATA_PROPERTY_MASTER!$B:$B,MATCH($B179,DATA_PROPERTY_MASTER!$A:$A,0)),"")</f>
        <v/>
      </c>
      <c r="D179" s="399"/>
      <c r="E179" s="399"/>
      <c r="F179" s="399"/>
      <c r="G179" s="400"/>
      <c r="H179" s="405"/>
      <c r="I179" s="405"/>
      <c r="J179" s="406">
        <f t="shared" si="21"/>
        <v>0</v>
      </c>
      <c r="K179" s="399"/>
      <c r="L179" s="399"/>
      <c r="M179" s="399"/>
      <c r="N179" s="399"/>
      <c r="O179" s="399"/>
      <c r="P179" s="399"/>
      <c r="Q179" s="399"/>
      <c r="R179" s="398" t="str">
        <f t="shared" si="22"/>
        <v/>
      </c>
      <c r="S179" s="399"/>
      <c r="T179" s="398" t="str">
        <f t="shared" si="23"/>
        <v>Blank</v>
      </c>
    </row>
    <row r="180" spans="1:20">
      <c r="A180" s="398" t="str">
        <f t="shared" si="20"/>
        <v/>
      </c>
      <c r="B180" s="399"/>
      <c r="C180" s="398" t="str">
        <f>IFERROR(INDEX(DATA_PROPERTY_MASTER!$B:$B,MATCH($B180,DATA_PROPERTY_MASTER!$A:$A,0)),"")</f>
        <v/>
      </c>
      <c r="D180" s="399"/>
      <c r="E180" s="399"/>
      <c r="F180" s="399"/>
      <c r="G180" s="400"/>
      <c r="H180" s="405"/>
      <c r="I180" s="405"/>
      <c r="J180" s="406">
        <f t="shared" si="21"/>
        <v>0</v>
      </c>
      <c r="K180" s="399"/>
      <c r="L180" s="399"/>
      <c r="M180" s="399"/>
      <c r="N180" s="399"/>
      <c r="O180" s="399"/>
      <c r="P180" s="399"/>
      <c r="Q180" s="399"/>
      <c r="R180" s="398" t="str">
        <f t="shared" si="22"/>
        <v/>
      </c>
      <c r="S180" s="399"/>
      <c r="T180" s="398" t="str">
        <f t="shared" si="23"/>
        <v>Blank</v>
      </c>
    </row>
    <row r="181" spans="1:20">
      <c r="A181" s="398" t="str">
        <f t="shared" si="20"/>
        <v/>
      </c>
      <c r="B181" s="399"/>
      <c r="C181" s="398" t="str">
        <f>IFERROR(INDEX(DATA_PROPERTY_MASTER!$B:$B,MATCH($B181,DATA_PROPERTY_MASTER!$A:$A,0)),"")</f>
        <v/>
      </c>
      <c r="D181" s="399"/>
      <c r="E181" s="399"/>
      <c r="F181" s="399"/>
      <c r="G181" s="400"/>
      <c r="H181" s="405"/>
      <c r="I181" s="405"/>
      <c r="J181" s="406">
        <f t="shared" si="21"/>
        <v>0</v>
      </c>
      <c r="K181" s="399"/>
      <c r="L181" s="399"/>
      <c r="M181" s="399"/>
      <c r="N181" s="399"/>
      <c r="O181" s="399"/>
      <c r="P181" s="399"/>
      <c r="Q181" s="399"/>
      <c r="R181" s="398" t="str">
        <f t="shared" si="22"/>
        <v/>
      </c>
      <c r="S181" s="399"/>
      <c r="T181" s="398" t="str">
        <f t="shared" si="23"/>
        <v>Blank</v>
      </c>
    </row>
    <row r="182" spans="1:20">
      <c r="A182" s="398" t="str">
        <f t="shared" si="20"/>
        <v/>
      </c>
      <c r="B182" s="399"/>
      <c r="C182" s="398" t="str">
        <f>IFERROR(INDEX(DATA_PROPERTY_MASTER!$B:$B,MATCH($B182,DATA_PROPERTY_MASTER!$A:$A,0)),"")</f>
        <v/>
      </c>
      <c r="D182" s="399"/>
      <c r="E182" s="399"/>
      <c r="F182" s="399"/>
      <c r="G182" s="400"/>
      <c r="H182" s="405"/>
      <c r="I182" s="405"/>
      <c r="J182" s="406">
        <f t="shared" si="21"/>
        <v>0</v>
      </c>
      <c r="K182" s="399"/>
      <c r="L182" s="399"/>
      <c r="M182" s="399"/>
      <c r="N182" s="399"/>
      <c r="O182" s="399"/>
      <c r="P182" s="399"/>
      <c r="Q182" s="399"/>
      <c r="R182" s="398" t="str">
        <f t="shared" si="22"/>
        <v/>
      </c>
      <c r="S182" s="399"/>
      <c r="T182" s="398" t="str">
        <f t="shared" si="23"/>
        <v>Blank</v>
      </c>
    </row>
    <row r="183" spans="1:20">
      <c r="A183" s="398" t="str">
        <f t="shared" si="20"/>
        <v/>
      </c>
      <c r="B183" s="399"/>
      <c r="C183" s="398" t="str">
        <f>IFERROR(INDEX(DATA_PROPERTY_MASTER!$B:$B,MATCH($B183,DATA_PROPERTY_MASTER!$A:$A,0)),"")</f>
        <v/>
      </c>
      <c r="D183" s="399"/>
      <c r="E183" s="399"/>
      <c r="F183" s="399"/>
      <c r="G183" s="400"/>
      <c r="H183" s="405"/>
      <c r="I183" s="405"/>
      <c r="J183" s="406">
        <f t="shared" si="21"/>
        <v>0</v>
      </c>
      <c r="K183" s="399"/>
      <c r="L183" s="399"/>
      <c r="M183" s="399"/>
      <c r="N183" s="399"/>
      <c r="O183" s="399"/>
      <c r="P183" s="399"/>
      <c r="Q183" s="399"/>
      <c r="R183" s="398" t="str">
        <f t="shared" si="22"/>
        <v/>
      </c>
      <c r="S183" s="399"/>
      <c r="T183" s="398" t="str">
        <f t="shared" si="23"/>
        <v>Blank</v>
      </c>
    </row>
    <row r="184" spans="1:20">
      <c r="A184" s="398" t="str">
        <f t="shared" si="20"/>
        <v/>
      </c>
      <c r="B184" s="399"/>
      <c r="C184" s="398" t="str">
        <f>IFERROR(INDEX(DATA_PROPERTY_MASTER!$B:$B,MATCH($B184,DATA_PROPERTY_MASTER!$A:$A,0)),"")</f>
        <v/>
      </c>
      <c r="D184" s="399"/>
      <c r="E184" s="399"/>
      <c r="F184" s="399"/>
      <c r="G184" s="400"/>
      <c r="H184" s="405"/>
      <c r="I184" s="405"/>
      <c r="J184" s="406">
        <f t="shared" si="21"/>
        <v>0</v>
      </c>
      <c r="K184" s="399"/>
      <c r="L184" s="399"/>
      <c r="M184" s="399"/>
      <c r="N184" s="399"/>
      <c r="O184" s="399"/>
      <c r="P184" s="399"/>
      <c r="Q184" s="399"/>
      <c r="R184" s="398" t="str">
        <f t="shared" si="22"/>
        <v/>
      </c>
      <c r="S184" s="399"/>
      <c r="T184" s="398" t="str">
        <f t="shared" si="23"/>
        <v>Blank</v>
      </c>
    </row>
    <row r="185" spans="1:20">
      <c r="A185" s="398" t="str">
        <f t="shared" si="20"/>
        <v/>
      </c>
      <c r="B185" s="399"/>
      <c r="C185" s="398" t="str">
        <f>IFERROR(INDEX(DATA_PROPERTY_MASTER!$B:$B,MATCH($B185,DATA_PROPERTY_MASTER!$A:$A,0)),"")</f>
        <v/>
      </c>
      <c r="D185" s="399"/>
      <c r="E185" s="399"/>
      <c r="F185" s="399"/>
      <c r="G185" s="400"/>
      <c r="H185" s="405"/>
      <c r="I185" s="405"/>
      <c r="J185" s="406">
        <f t="shared" si="21"/>
        <v>0</v>
      </c>
      <c r="K185" s="399"/>
      <c r="L185" s="399"/>
      <c r="M185" s="399"/>
      <c r="N185" s="399"/>
      <c r="O185" s="399"/>
      <c r="P185" s="399"/>
      <c r="Q185" s="399"/>
      <c r="R185" s="398" t="str">
        <f t="shared" si="22"/>
        <v/>
      </c>
      <c r="S185" s="399"/>
      <c r="T185" s="398" t="str">
        <f t="shared" si="23"/>
        <v>Blank</v>
      </c>
    </row>
    <row r="186" spans="1:20">
      <c r="A186" s="398" t="str">
        <f t="shared" si="20"/>
        <v/>
      </c>
      <c r="B186" s="399"/>
      <c r="C186" s="398" t="str">
        <f>IFERROR(INDEX(DATA_PROPERTY_MASTER!$B:$B,MATCH($B186,DATA_PROPERTY_MASTER!$A:$A,0)),"")</f>
        <v/>
      </c>
      <c r="D186" s="399"/>
      <c r="E186" s="399"/>
      <c r="F186" s="399"/>
      <c r="G186" s="400"/>
      <c r="H186" s="405"/>
      <c r="I186" s="405"/>
      <c r="J186" s="406">
        <f t="shared" si="21"/>
        <v>0</v>
      </c>
      <c r="K186" s="399"/>
      <c r="L186" s="399"/>
      <c r="M186" s="399"/>
      <c r="N186" s="399"/>
      <c r="O186" s="399"/>
      <c r="P186" s="399"/>
      <c r="Q186" s="399"/>
      <c r="R186" s="398" t="str">
        <f t="shared" si="22"/>
        <v/>
      </c>
      <c r="S186" s="399"/>
      <c r="T186" s="398" t="str">
        <f t="shared" si="23"/>
        <v>Blank</v>
      </c>
    </row>
    <row r="187" spans="1:20">
      <c r="A187" s="398" t="str">
        <f t="shared" si="20"/>
        <v/>
      </c>
      <c r="B187" s="399"/>
      <c r="C187" s="398" t="str">
        <f>IFERROR(INDEX(DATA_PROPERTY_MASTER!$B:$B,MATCH($B187,DATA_PROPERTY_MASTER!$A:$A,0)),"")</f>
        <v/>
      </c>
      <c r="D187" s="399"/>
      <c r="E187" s="399"/>
      <c r="F187" s="399"/>
      <c r="G187" s="400"/>
      <c r="H187" s="405"/>
      <c r="I187" s="405"/>
      <c r="J187" s="406">
        <f t="shared" si="21"/>
        <v>0</v>
      </c>
      <c r="K187" s="399"/>
      <c r="L187" s="399"/>
      <c r="M187" s="399"/>
      <c r="N187" s="399"/>
      <c r="O187" s="399"/>
      <c r="P187" s="399"/>
      <c r="Q187" s="399"/>
      <c r="R187" s="398" t="str">
        <f t="shared" si="22"/>
        <v/>
      </c>
      <c r="S187" s="399"/>
      <c r="T187" s="398" t="str">
        <f t="shared" si="23"/>
        <v>Blank</v>
      </c>
    </row>
    <row r="188" spans="1:20">
      <c r="A188" s="398" t="str">
        <f t="shared" si="20"/>
        <v/>
      </c>
      <c r="B188" s="399"/>
      <c r="C188" s="398" t="str">
        <f>IFERROR(INDEX(DATA_PROPERTY_MASTER!$B:$B,MATCH($B188,DATA_PROPERTY_MASTER!$A:$A,0)),"")</f>
        <v/>
      </c>
      <c r="D188" s="399"/>
      <c r="E188" s="399"/>
      <c r="F188" s="399"/>
      <c r="G188" s="400"/>
      <c r="H188" s="405"/>
      <c r="I188" s="405"/>
      <c r="J188" s="406">
        <f t="shared" si="21"/>
        <v>0</v>
      </c>
      <c r="K188" s="399"/>
      <c r="L188" s="399"/>
      <c r="M188" s="399"/>
      <c r="N188" s="399"/>
      <c r="O188" s="399"/>
      <c r="P188" s="399"/>
      <c r="Q188" s="399"/>
      <c r="R188" s="398" t="str">
        <f t="shared" si="22"/>
        <v/>
      </c>
      <c r="S188" s="399"/>
      <c r="T188" s="398" t="str">
        <f t="shared" si="23"/>
        <v>Blank</v>
      </c>
    </row>
    <row r="189" spans="1:20">
      <c r="A189" s="398" t="str">
        <f t="shared" si="20"/>
        <v/>
      </c>
      <c r="B189" s="399"/>
      <c r="C189" s="398" t="str">
        <f>IFERROR(INDEX(DATA_PROPERTY_MASTER!$B:$B,MATCH($B189,DATA_PROPERTY_MASTER!$A:$A,0)),"")</f>
        <v/>
      </c>
      <c r="D189" s="399"/>
      <c r="E189" s="399"/>
      <c r="F189" s="399"/>
      <c r="G189" s="400"/>
      <c r="H189" s="405"/>
      <c r="I189" s="405"/>
      <c r="J189" s="406">
        <f t="shared" si="21"/>
        <v>0</v>
      </c>
      <c r="K189" s="399"/>
      <c r="L189" s="399"/>
      <c r="M189" s="399"/>
      <c r="N189" s="399"/>
      <c r="O189" s="399"/>
      <c r="P189" s="399"/>
      <c r="Q189" s="399"/>
      <c r="R189" s="398" t="str">
        <f t="shared" si="22"/>
        <v/>
      </c>
      <c r="S189" s="399"/>
      <c r="T189" s="398" t="str">
        <f t="shared" si="23"/>
        <v>Blank</v>
      </c>
    </row>
    <row r="190" spans="1:20">
      <c r="A190" s="398" t="str">
        <f t="shared" si="20"/>
        <v/>
      </c>
      <c r="B190" s="399"/>
      <c r="C190" s="398" t="str">
        <f>IFERROR(INDEX(DATA_PROPERTY_MASTER!$B:$B,MATCH($B190,DATA_PROPERTY_MASTER!$A:$A,0)),"")</f>
        <v/>
      </c>
      <c r="D190" s="399"/>
      <c r="E190" s="399"/>
      <c r="F190" s="399"/>
      <c r="G190" s="400"/>
      <c r="H190" s="405"/>
      <c r="I190" s="405"/>
      <c r="J190" s="406">
        <f t="shared" si="21"/>
        <v>0</v>
      </c>
      <c r="K190" s="399"/>
      <c r="L190" s="399"/>
      <c r="M190" s="399"/>
      <c r="N190" s="399"/>
      <c r="O190" s="399"/>
      <c r="P190" s="399"/>
      <c r="Q190" s="399"/>
      <c r="R190" s="398" t="str">
        <f t="shared" si="22"/>
        <v/>
      </c>
      <c r="S190" s="399"/>
      <c r="T190" s="398" t="str">
        <f t="shared" si="23"/>
        <v>Blank</v>
      </c>
    </row>
    <row r="191" spans="1:20">
      <c r="A191" s="398" t="str">
        <f t="shared" si="20"/>
        <v/>
      </c>
      <c r="B191" s="399"/>
      <c r="C191" s="398" t="str">
        <f>IFERROR(INDEX(DATA_PROPERTY_MASTER!$B:$B,MATCH($B191,DATA_PROPERTY_MASTER!$A:$A,0)),"")</f>
        <v/>
      </c>
      <c r="D191" s="399"/>
      <c r="E191" s="399"/>
      <c r="F191" s="399"/>
      <c r="G191" s="400"/>
      <c r="H191" s="405"/>
      <c r="I191" s="405"/>
      <c r="J191" s="406">
        <f t="shared" si="21"/>
        <v>0</v>
      </c>
      <c r="K191" s="399"/>
      <c r="L191" s="399"/>
      <c r="M191" s="399"/>
      <c r="N191" s="399"/>
      <c r="O191" s="399"/>
      <c r="P191" s="399"/>
      <c r="Q191" s="399"/>
      <c r="R191" s="398" t="str">
        <f t="shared" si="22"/>
        <v/>
      </c>
      <c r="S191" s="399"/>
      <c r="T191" s="398" t="str">
        <f t="shared" si="23"/>
        <v>Blank</v>
      </c>
    </row>
    <row r="192" spans="1:20">
      <c r="A192" s="398" t="str">
        <f t="shared" si="20"/>
        <v/>
      </c>
      <c r="B192" s="399"/>
      <c r="C192" s="398" t="str">
        <f>IFERROR(INDEX(DATA_PROPERTY_MASTER!$B:$B,MATCH($B192,DATA_PROPERTY_MASTER!$A:$A,0)),"")</f>
        <v/>
      </c>
      <c r="D192" s="399"/>
      <c r="E192" s="399"/>
      <c r="F192" s="399"/>
      <c r="G192" s="400"/>
      <c r="H192" s="405"/>
      <c r="I192" s="405"/>
      <c r="J192" s="406">
        <f t="shared" si="21"/>
        <v>0</v>
      </c>
      <c r="K192" s="399"/>
      <c r="L192" s="399"/>
      <c r="M192" s="399"/>
      <c r="N192" s="399"/>
      <c r="O192" s="399"/>
      <c r="P192" s="399"/>
      <c r="Q192" s="399"/>
      <c r="R192" s="398" t="str">
        <f t="shared" si="22"/>
        <v/>
      </c>
      <c r="S192" s="399"/>
      <c r="T192" s="398" t="str">
        <f t="shared" si="23"/>
        <v>Blank</v>
      </c>
    </row>
    <row r="193" spans="1:20">
      <c r="A193" s="398" t="str">
        <f t="shared" si="20"/>
        <v/>
      </c>
      <c r="B193" s="399"/>
      <c r="C193" s="398" t="str">
        <f>IFERROR(INDEX(DATA_PROPERTY_MASTER!$B:$B,MATCH($B193,DATA_PROPERTY_MASTER!$A:$A,0)),"")</f>
        <v/>
      </c>
      <c r="D193" s="399"/>
      <c r="E193" s="399"/>
      <c r="F193" s="399"/>
      <c r="G193" s="400"/>
      <c r="H193" s="405"/>
      <c r="I193" s="405"/>
      <c r="J193" s="406">
        <f t="shared" si="21"/>
        <v>0</v>
      </c>
      <c r="K193" s="399"/>
      <c r="L193" s="399"/>
      <c r="M193" s="399"/>
      <c r="N193" s="399"/>
      <c r="O193" s="399"/>
      <c r="P193" s="399"/>
      <c r="Q193" s="399"/>
      <c r="R193" s="398" t="str">
        <f t="shared" si="22"/>
        <v/>
      </c>
      <c r="S193" s="399"/>
      <c r="T193" s="398" t="str">
        <f t="shared" si="23"/>
        <v>Blank</v>
      </c>
    </row>
    <row r="194" spans="1:20">
      <c r="A194" s="398" t="str">
        <f t="shared" si="20"/>
        <v/>
      </c>
      <c r="B194" s="399"/>
      <c r="C194" s="398" t="str">
        <f>IFERROR(INDEX(DATA_PROPERTY_MASTER!$B:$B,MATCH($B194,DATA_PROPERTY_MASTER!$A:$A,0)),"")</f>
        <v/>
      </c>
      <c r="D194" s="399"/>
      <c r="E194" s="399"/>
      <c r="F194" s="399"/>
      <c r="G194" s="400"/>
      <c r="H194" s="405"/>
      <c r="I194" s="405"/>
      <c r="J194" s="406">
        <f t="shared" si="21"/>
        <v>0</v>
      </c>
      <c r="K194" s="399"/>
      <c r="L194" s="399"/>
      <c r="M194" s="399"/>
      <c r="N194" s="399"/>
      <c r="O194" s="399"/>
      <c r="P194" s="399"/>
      <c r="Q194" s="399"/>
      <c r="R194" s="398" t="str">
        <f t="shared" si="22"/>
        <v/>
      </c>
      <c r="S194" s="399"/>
      <c r="T194" s="398" t="str">
        <f t="shared" si="23"/>
        <v>Blank</v>
      </c>
    </row>
    <row r="195" spans="1:20">
      <c r="A195" s="398" t="str">
        <f t="shared" si="20"/>
        <v/>
      </c>
      <c r="B195" s="399"/>
      <c r="C195" s="398" t="str">
        <f>IFERROR(INDEX(DATA_PROPERTY_MASTER!$B:$B,MATCH($B195,DATA_PROPERTY_MASTER!$A:$A,0)),"")</f>
        <v/>
      </c>
      <c r="D195" s="399"/>
      <c r="E195" s="399"/>
      <c r="F195" s="399"/>
      <c r="G195" s="400"/>
      <c r="H195" s="405"/>
      <c r="I195" s="405"/>
      <c r="J195" s="406">
        <f t="shared" si="21"/>
        <v>0</v>
      </c>
      <c r="K195" s="399"/>
      <c r="L195" s="399"/>
      <c r="M195" s="399"/>
      <c r="N195" s="399"/>
      <c r="O195" s="399"/>
      <c r="P195" s="399"/>
      <c r="Q195" s="399"/>
      <c r="R195" s="398" t="str">
        <f t="shared" si="22"/>
        <v/>
      </c>
      <c r="S195" s="399"/>
      <c r="T195" s="398" t="str">
        <f t="shared" si="23"/>
        <v>Blank</v>
      </c>
    </row>
    <row r="196" spans="1:20">
      <c r="A196" s="398" t="str">
        <f t="shared" si="20"/>
        <v/>
      </c>
      <c r="B196" s="399"/>
      <c r="C196" s="398" t="str">
        <f>IFERROR(INDEX(DATA_PROPERTY_MASTER!$B:$B,MATCH($B196,DATA_PROPERTY_MASTER!$A:$A,0)),"")</f>
        <v/>
      </c>
      <c r="D196" s="399"/>
      <c r="E196" s="399"/>
      <c r="F196" s="399"/>
      <c r="G196" s="400"/>
      <c r="H196" s="405"/>
      <c r="I196" s="405"/>
      <c r="J196" s="406">
        <f t="shared" si="21"/>
        <v>0</v>
      </c>
      <c r="K196" s="399"/>
      <c r="L196" s="399"/>
      <c r="M196" s="399"/>
      <c r="N196" s="399"/>
      <c r="O196" s="399"/>
      <c r="P196" s="399"/>
      <c r="Q196" s="399"/>
      <c r="R196" s="398" t="str">
        <f t="shared" si="22"/>
        <v/>
      </c>
      <c r="S196" s="399"/>
      <c r="T196" s="398" t="str">
        <f t="shared" si="23"/>
        <v>Blank</v>
      </c>
    </row>
    <row r="197" spans="1:20">
      <c r="A197" s="398" t="str">
        <f t="shared" si="20"/>
        <v/>
      </c>
      <c r="B197" s="399"/>
      <c r="C197" s="398" t="str">
        <f>IFERROR(INDEX(DATA_PROPERTY_MASTER!$B:$B,MATCH($B197,DATA_PROPERTY_MASTER!$A:$A,0)),"")</f>
        <v/>
      </c>
      <c r="D197" s="399"/>
      <c r="E197" s="399"/>
      <c r="F197" s="399"/>
      <c r="G197" s="400"/>
      <c r="H197" s="405"/>
      <c r="I197" s="405"/>
      <c r="J197" s="406">
        <f t="shared" si="21"/>
        <v>0</v>
      </c>
      <c r="K197" s="399"/>
      <c r="L197" s="399"/>
      <c r="M197" s="399"/>
      <c r="N197" s="399"/>
      <c r="O197" s="399"/>
      <c r="P197" s="399"/>
      <c r="Q197" s="399"/>
      <c r="R197" s="398" t="str">
        <f t="shared" si="22"/>
        <v/>
      </c>
      <c r="S197" s="399"/>
      <c r="T197" s="398" t="str">
        <f t="shared" si="23"/>
        <v>Blank</v>
      </c>
    </row>
    <row r="198" spans="1:20">
      <c r="A198" s="398" t="str">
        <f t="shared" si="20"/>
        <v/>
      </c>
      <c r="B198" s="399"/>
      <c r="C198" s="398" t="str">
        <f>IFERROR(INDEX(DATA_PROPERTY_MASTER!$B:$B,MATCH($B198,DATA_PROPERTY_MASTER!$A:$A,0)),"")</f>
        <v/>
      </c>
      <c r="D198" s="399"/>
      <c r="E198" s="399"/>
      <c r="F198" s="399"/>
      <c r="G198" s="400"/>
      <c r="H198" s="405"/>
      <c r="I198" s="405"/>
      <c r="J198" s="406">
        <f t="shared" si="21"/>
        <v>0</v>
      </c>
      <c r="K198" s="399"/>
      <c r="L198" s="399"/>
      <c r="M198" s="399"/>
      <c r="N198" s="399"/>
      <c r="O198" s="399"/>
      <c r="P198" s="399"/>
      <c r="Q198" s="399"/>
      <c r="R198" s="398" t="str">
        <f t="shared" si="22"/>
        <v/>
      </c>
      <c r="S198" s="399"/>
      <c r="T198" s="398" t="str">
        <f t="shared" si="23"/>
        <v>Blank</v>
      </c>
    </row>
    <row r="199" spans="1:20">
      <c r="A199" s="398" t="str">
        <f t="shared" ref="A199:A206" si="24">IF($B199="","","CN-"&amp;TEXT(ROW()-6,"0000"))</f>
        <v/>
      </c>
      <c r="B199" s="399"/>
      <c r="C199" s="398" t="str">
        <f>IFERROR(INDEX(DATA_PROPERTY_MASTER!$B:$B,MATCH($B199,DATA_PROPERTY_MASTER!$A:$A,0)),"")</f>
        <v/>
      </c>
      <c r="D199" s="399"/>
      <c r="E199" s="399"/>
      <c r="F199" s="399"/>
      <c r="G199" s="400"/>
      <c r="H199" s="405"/>
      <c r="I199" s="405"/>
      <c r="J199" s="406">
        <f t="shared" ref="J199:J206" si="25">IFERROR(MAX($H199-$I199,0),"")</f>
        <v>0</v>
      </c>
      <c r="K199" s="399"/>
      <c r="L199" s="399"/>
      <c r="M199" s="399"/>
      <c r="N199" s="399"/>
      <c r="O199" s="399"/>
      <c r="P199" s="399"/>
      <c r="Q199" s="399"/>
      <c r="R199" s="398" t="str">
        <f t="shared" ref="R199:R206" si="26">IF($B199="","",IF($J199&gt;0,"Funding Gap","Funded / No Gap"))</f>
        <v/>
      </c>
      <c r="S199" s="399"/>
      <c r="T199" s="398" t="str">
        <f t="shared" ref="T199:T206" si="27">IF($B199="","Blank",IF(OR($D199="",$G199="",$H199=""),"Review","OK"))</f>
        <v>Blank</v>
      </c>
    </row>
    <row r="200" spans="1:20">
      <c r="A200" s="398" t="str">
        <f t="shared" si="24"/>
        <v/>
      </c>
      <c r="B200" s="399"/>
      <c r="C200" s="398" t="str">
        <f>IFERROR(INDEX(DATA_PROPERTY_MASTER!$B:$B,MATCH($B200,DATA_PROPERTY_MASTER!$A:$A,0)),"")</f>
        <v/>
      </c>
      <c r="D200" s="399"/>
      <c r="E200" s="399"/>
      <c r="F200" s="399"/>
      <c r="G200" s="400"/>
      <c r="H200" s="405"/>
      <c r="I200" s="405"/>
      <c r="J200" s="406">
        <f t="shared" si="25"/>
        <v>0</v>
      </c>
      <c r="K200" s="399"/>
      <c r="L200" s="399"/>
      <c r="M200" s="399"/>
      <c r="N200" s="399"/>
      <c r="O200" s="399"/>
      <c r="P200" s="399"/>
      <c r="Q200" s="399"/>
      <c r="R200" s="398" t="str">
        <f t="shared" si="26"/>
        <v/>
      </c>
      <c r="S200" s="399"/>
      <c r="T200" s="398" t="str">
        <f t="shared" si="27"/>
        <v>Blank</v>
      </c>
    </row>
    <row r="201" spans="1:20">
      <c r="A201" s="398" t="str">
        <f t="shared" si="24"/>
        <v/>
      </c>
      <c r="B201" s="399"/>
      <c r="C201" s="398" t="str">
        <f>IFERROR(INDEX(DATA_PROPERTY_MASTER!$B:$B,MATCH($B201,DATA_PROPERTY_MASTER!$A:$A,0)),"")</f>
        <v/>
      </c>
      <c r="D201" s="399"/>
      <c r="E201" s="399"/>
      <c r="F201" s="399"/>
      <c r="G201" s="400"/>
      <c r="H201" s="405"/>
      <c r="I201" s="405"/>
      <c r="J201" s="406">
        <f t="shared" si="25"/>
        <v>0</v>
      </c>
      <c r="K201" s="399"/>
      <c r="L201" s="399"/>
      <c r="M201" s="399"/>
      <c r="N201" s="399"/>
      <c r="O201" s="399"/>
      <c r="P201" s="399"/>
      <c r="Q201" s="399"/>
      <c r="R201" s="398" t="str">
        <f t="shared" si="26"/>
        <v/>
      </c>
      <c r="S201" s="399"/>
      <c r="T201" s="398" t="str">
        <f t="shared" si="27"/>
        <v>Blank</v>
      </c>
    </row>
    <row r="202" spans="1:20">
      <c r="A202" s="398" t="str">
        <f t="shared" si="24"/>
        <v/>
      </c>
      <c r="B202" s="399"/>
      <c r="C202" s="398" t="str">
        <f>IFERROR(INDEX(DATA_PROPERTY_MASTER!$B:$B,MATCH($B202,DATA_PROPERTY_MASTER!$A:$A,0)),"")</f>
        <v/>
      </c>
      <c r="D202" s="399"/>
      <c r="E202" s="399"/>
      <c r="F202" s="399"/>
      <c r="G202" s="400"/>
      <c r="H202" s="405"/>
      <c r="I202" s="405"/>
      <c r="J202" s="406">
        <f t="shared" si="25"/>
        <v>0</v>
      </c>
      <c r="K202" s="399"/>
      <c r="L202" s="399"/>
      <c r="M202" s="399"/>
      <c r="N202" s="399"/>
      <c r="O202" s="399"/>
      <c r="P202" s="399"/>
      <c r="Q202" s="399"/>
      <c r="R202" s="398" t="str">
        <f t="shared" si="26"/>
        <v/>
      </c>
      <c r="S202" s="399"/>
      <c r="T202" s="398" t="str">
        <f t="shared" si="27"/>
        <v>Blank</v>
      </c>
    </row>
    <row r="203" spans="1:20">
      <c r="A203" s="398" t="str">
        <f t="shared" si="24"/>
        <v/>
      </c>
      <c r="B203" s="399"/>
      <c r="C203" s="398" t="str">
        <f>IFERROR(INDEX(DATA_PROPERTY_MASTER!$B:$B,MATCH($B203,DATA_PROPERTY_MASTER!$A:$A,0)),"")</f>
        <v/>
      </c>
      <c r="D203" s="399"/>
      <c r="E203" s="399"/>
      <c r="F203" s="399"/>
      <c r="G203" s="400"/>
      <c r="H203" s="405"/>
      <c r="I203" s="405"/>
      <c r="J203" s="406">
        <f t="shared" si="25"/>
        <v>0</v>
      </c>
      <c r="K203" s="399"/>
      <c r="L203" s="399"/>
      <c r="M203" s="399"/>
      <c r="N203" s="399"/>
      <c r="O203" s="399"/>
      <c r="P203" s="399"/>
      <c r="Q203" s="399"/>
      <c r="R203" s="398" t="str">
        <f t="shared" si="26"/>
        <v/>
      </c>
      <c r="S203" s="399"/>
      <c r="T203" s="398" t="str">
        <f t="shared" si="27"/>
        <v>Blank</v>
      </c>
    </row>
    <row r="204" spans="1:20">
      <c r="A204" s="398" t="str">
        <f t="shared" si="24"/>
        <v/>
      </c>
      <c r="B204" s="399"/>
      <c r="C204" s="398" t="str">
        <f>IFERROR(INDEX(DATA_PROPERTY_MASTER!$B:$B,MATCH($B204,DATA_PROPERTY_MASTER!$A:$A,0)),"")</f>
        <v/>
      </c>
      <c r="D204" s="399"/>
      <c r="E204" s="399"/>
      <c r="F204" s="399"/>
      <c r="G204" s="400"/>
      <c r="H204" s="405"/>
      <c r="I204" s="405"/>
      <c r="J204" s="406">
        <f t="shared" si="25"/>
        <v>0</v>
      </c>
      <c r="K204" s="399"/>
      <c r="L204" s="399"/>
      <c r="M204" s="399"/>
      <c r="N204" s="399"/>
      <c r="O204" s="399"/>
      <c r="P204" s="399"/>
      <c r="Q204" s="399"/>
      <c r="R204" s="398" t="str">
        <f t="shared" si="26"/>
        <v/>
      </c>
      <c r="S204" s="399"/>
      <c r="T204" s="398" t="str">
        <f t="shared" si="27"/>
        <v>Blank</v>
      </c>
    </row>
    <row r="205" spans="1:20">
      <c r="A205" s="398" t="str">
        <f t="shared" si="24"/>
        <v/>
      </c>
      <c r="B205" s="399"/>
      <c r="C205" s="398" t="str">
        <f>IFERROR(INDEX(DATA_PROPERTY_MASTER!$B:$B,MATCH($B205,DATA_PROPERTY_MASTER!$A:$A,0)),"")</f>
        <v/>
      </c>
      <c r="D205" s="399"/>
      <c r="E205" s="399"/>
      <c r="F205" s="399"/>
      <c r="G205" s="400"/>
      <c r="H205" s="405"/>
      <c r="I205" s="405"/>
      <c r="J205" s="406">
        <f t="shared" si="25"/>
        <v>0</v>
      </c>
      <c r="K205" s="399"/>
      <c r="L205" s="399"/>
      <c r="M205" s="399"/>
      <c r="N205" s="399"/>
      <c r="O205" s="399"/>
      <c r="P205" s="399"/>
      <c r="Q205" s="399"/>
      <c r="R205" s="398" t="str">
        <f t="shared" si="26"/>
        <v/>
      </c>
      <c r="S205" s="399"/>
      <c r="T205" s="398" t="str">
        <f t="shared" si="27"/>
        <v>Blank</v>
      </c>
    </row>
    <row r="206" spans="1:20">
      <c r="A206" s="398" t="str">
        <f t="shared" si="24"/>
        <v/>
      </c>
      <c r="B206" s="399"/>
      <c r="C206" s="398" t="str">
        <f>IFERROR(INDEX(DATA_PROPERTY_MASTER!$B:$B,MATCH($B206,DATA_PROPERTY_MASTER!$A:$A,0)),"")</f>
        <v/>
      </c>
      <c r="D206" s="399"/>
      <c r="E206" s="399"/>
      <c r="F206" s="399"/>
      <c r="G206" s="400"/>
      <c r="H206" s="405"/>
      <c r="I206" s="405"/>
      <c r="J206" s="406">
        <f t="shared" si="25"/>
        <v>0</v>
      </c>
      <c r="K206" s="399"/>
      <c r="L206" s="399"/>
      <c r="M206" s="399"/>
      <c r="N206" s="399"/>
      <c r="O206" s="399"/>
      <c r="P206" s="399"/>
      <c r="Q206" s="399"/>
      <c r="R206" s="398" t="str">
        <f t="shared" si="26"/>
        <v/>
      </c>
      <c r="S206" s="399"/>
      <c r="T206" s="398" t="str">
        <f t="shared" si="27"/>
        <v>Blank</v>
      </c>
    </row>
  </sheetData>
  <mergeCells count="1">
    <mergeCell ref="A1:T1"/>
  </mergeCells>
  <conditionalFormatting sqref="L7:L206">
    <cfRule type="expression" dxfId="26" priority="1">
      <formula>OR(L7="Review",L7="Funding Gap",L7="Expired / Review")</formula>
    </cfRule>
    <cfRule type="expression" dxfId="25" priority="2">
      <formula>OR(L7="OK",L7="Ready",L7="Funded / No Gap")</formula>
    </cfRule>
  </conditionalFormatting>
  <conditionalFormatting sqref="Q7:Q206">
    <cfRule type="expression" dxfId="24" priority="3">
      <formula>OR(Q7="Review",Q7="Funding Gap",Q7="Expired / Review")</formula>
    </cfRule>
    <cfRule type="expression" dxfId="23" priority="4">
      <formula>OR(Q7="OK",Q7="Ready",Q7="Funded / No Gap")</formula>
    </cfRule>
  </conditionalFormatting>
  <conditionalFormatting sqref="R7:R206">
    <cfRule type="expression" dxfId="22" priority="5">
      <formula>OR(R7="Review",R7="Funding Gap",R7="Expired / Review")</formula>
    </cfRule>
    <cfRule type="expression" dxfId="21" priority="6">
      <formula>OR(R7="OK",R7="Ready",R7="Funded / No Gap")</formula>
    </cfRule>
  </conditionalFormatting>
  <conditionalFormatting sqref="T7:T206">
    <cfRule type="expression" dxfId="20" priority="7">
      <formula>OR(T7="Review",T7="Funding Gap",T7="Expired / Review")</formula>
    </cfRule>
    <cfRule type="expression" dxfId="19" priority="8">
      <formula>OR(T7="OK",T7="Ready",T7="Funded / No Gap")</formula>
    </cfRule>
  </conditionalFormatting>
  <dataValidations count="2">
    <dataValidation type="list" allowBlank="1" sqref="P7:P206" xr:uid="{00000000-0002-0000-2C00-000001000000}">
      <formula1>"High,Medium,Low,Unknown"</formula1>
    </dataValidation>
    <dataValidation type="list" allowBlank="1" sqref="Q7:Q206" xr:uid="{00000000-0002-0000-2C00-000002000000}">
      <formula1>"Ready,Review,Missing,Not Provided"</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2C00-000000000000}">
          <x14:formula1>
            <xm:f>DATA_PROPERTY_MASTER!$A$5:$A$21</xm:f>
          </x14:formula1>
          <xm:sqref>B7:B206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8B0F1-329C-4D22-B17F-AC1DB9FC7426}">
  <sheetPr>
    <tabColor rgb="FF808080"/>
  </sheetPr>
  <dimension ref="A1:AF49"/>
  <sheetViews>
    <sheetView showGridLines="0" workbookViewId="0">
      <selection activeCell="J28" sqref="J28"/>
    </sheetView>
  </sheetViews>
  <sheetFormatPr defaultColWidth="0" defaultRowHeight="12.75"/>
  <cols>
    <col min="1" max="1" width="1.7109375" style="3" customWidth="1"/>
    <col min="2" max="2" width="8.85546875" style="3" customWidth="1"/>
    <col min="3" max="3" width="19" style="3" customWidth="1"/>
    <col min="4" max="4" width="19.5703125" style="3" customWidth="1"/>
    <col min="5" max="5" width="15" style="3" customWidth="1"/>
    <col min="6" max="6" width="10.5703125" style="3" customWidth="1"/>
    <col min="7" max="7" width="9.85546875" style="3" customWidth="1"/>
    <col min="8" max="8" width="0.5703125" style="3" customWidth="1"/>
    <col min="9" max="29" width="12.7109375" style="3" customWidth="1"/>
    <col min="30" max="32" width="8.85546875" style="3" customWidth="1"/>
    <col min="33" max="33" width="13" style="3" hidden="1" customWidth="1"/>
    <col min="34" max="16384" width="13" style="3" hidden="1"/>
  </cols>
  <sheetData>
    <row r="1" spans="2:24" ht="7.9" customHeight="1"/>
    <row r="2" spans="2:24" ht="15.75" customHeight="1">
      <c r="B2" s="426" t="s">
        <v>413</v>
      </c>
      <c r="C2" s="427"/>
      <c r="D2" s="427"/>
      <c r="E2" s="427"/>
      <c r="F2" s="427"/>
      <c r="G2" s="427"/>
      <c r="H2" s="427"/>
      <c r="I2" s="427"/>
      <c r="J2" s="427"/>
      <c r="K2" s="427"/>
      <c r="L2" s="427"/>
      <c r="M2" s="427"/>
      <c r="N2" s="427"/>
      <c r="O2" s="427"/>
      <c r="P2" s="427"/>
      <c r="Q2" s="427"/>
      <c r="R2" s="427"/>
      <c r="S2" s="427"/>
      <c r="T2" s="427"/>
      <c r="U2" s="427"/>
      <c r="V2" s="427"/>
      <c r="W2" s="427"/>
      <c r="X2" s="427"/>
    </row>
    <row r="3" spans="2:24" ht="15">
      <c r="B3" s="428" t="s">
        <v>231</v>
      </c>
      <c r="C3" s="429"/>
      <c r="D3" s="429"/>
      <c r="E3" s="429"/>
      <c r="F3" s="429"/>
      <c r="G3" s="430"/>
      <c r="I3" s="428" t="s">
        <v>414</v>
      </c>
      <c r="J3" s="429"/>
      <c r="K3" s="430"/>
      <c r="L3" s="428" t="s">
        <v>415</v>
      </c>
      <c r="M3" s="429"/>
      <c r="N3" s="429"/>
      <c r="O3" s="429"/>
      <c r="P3" s="429"/>
      <c r="Q3" s="429"/>
      <c r="R3" s="430"/>
      <c r="S3" s="428" t="s">
        <v>416</v>
      </c>
      <c r="T3" s="429"/>
      <c r="U3" s="429"/>
      <c r="V3" s="429"/>
      <c r="W3" s="429"/>
      <c r="X3" s="430"/>
    </row>
    <row r="4" spans="2:24" ht="51" customHeight="1">
      <c r="B4" s="302" t="s">
        <v>417</v>
      </c>
      <c r="C4" s="302" t="s">
        <v>231</v>
      </c>
      <c r="D4" s="302" t="s">
        <v>418</v>
      </c>
      <c r="E4" s="302" t="s">
        <v>232</v>
      </c>
      <c r="F4" s="302" t="s">
        <v>419</v>
      </c>
      <c r="G4" s="302" t="s">
        <v>56</v>
      </c>
      <c r="I4" s="302" t="s">
        <v>420</v>
      </c>
      <c r="J4" s="302" t="s">
        <v>421</v>
      </c>
      <c r="K4" s="302" t="s">
        <v>422</v>
      </c>
      <c r="L4" s="302" t="s">
        <v>415</v>
      </c>
      <c r="M4" s="302" t="s">
        <v>403</v>
      </c>
      <c r="N4" s="302" t="s">
        <v>423</v>
      </c>
      <c r="O4" s="302" t="s">
        <v>404</v>
      </c>
      <c r="P4" s="302" t="s">
        <v>424</v>
      </c>
      <c r="Q4" s="302" t="s">
        <v>425</v>
      </c>
      <c r="R4" s="302" t="s">
        <v>426</v>
      </c>
      <c r="S4" s="302" t="s">
        <v>427</v>
      </c>
      <c r="T4" s="302" t="s">
        <v>428</v>
      </c>
      <c r="U4" s="302" t="s">
        <v>429</v>
      </c>
      <c r="V4" s="302" t="s">
        <v>430</v>
      </c>
      <c r="W4" s="302" t="s">
        <v>431</v>
      </c>
      <c r="X4" s="302" t="s">
        <v>432</v>
      </c>
    </row>
    <row r="5" spans="2:24">
      <c r="B5" s="33" t="s">
        <v>433</v>
      </c>
      <c r="C5" s="33" t="s">
        <v>310</v>
      </c>
      <c r="D5" s="33" t="s">
        <v>323</v>
      </c>
      <c r="E5" s="33" t="s">
        <v>434</v>
      </c>
      <c r="F5" s="34">
        <v>2025</v>
      </c>
      <c r="G5" s="34" t="s">
        <v>435</v>
      </c>
      <c r="I5" s="33" t="s">
        <v>436</v>
      </c>
      <c r="J5" s="34" t="s">
        <v>437</v>
      </c>
      <c r="K5" s="34">
        <v>2027</v>
      </c>
      <c r="L5" s="34" t="s">
        <v>437</v>
      </c>
      <c r="M5" s="34"/>
      <c r="N5" s="35"/>
      <c r="O5" s="34"/>
      <c r="P5" s="37"/>
      <c r="Q5" s="37"/>
      <c r="R5" s="37"/>
      <c r="S5" s="33">
        <v>46</v>
      </c>
      <c r="T5" s="33">
        <v>0</v>
      </c>
      <c r="U5" s="33">
        <v>6</v>
      </c>
      <c r="V5" s="33">
        <v>24</v>
      </c>
      <c r="W5" s="33">
        <v>14</v>
      </c>
      <c r="X5" s="33">
        <v>2</v>
      </c>
    </row>
    <row r="6" spans="2:24">
      <c r="B6" s="38" t="s">
        <v>438</v>
      </c>
      <c r="C6" s="38" t="s">
        <v>311</v>
      </c>
      <c r="D6" s="38" t="s">
        <v>439</v>
      </c>
      <c r="E6" s="38" t="s">
        <v>434</v>
      </c>
      <c r="F6" s="39">
        <v>2025</v>
      </c>
      <c r="G6" s="39" t="s">
        <v>435</v>
      </c>
      <c r="I6" s="38" t="s">
        <v>436</v>
      </c>
      <c r="J6" s="39" t="s">
        <v>437</v>
      </c>
      <c r="K6" s="39">
        <v>2028</v>
      </c>
      <c r="L6" s="39" t="s">
        <v>440</v>
      </c>
      <c r="M6" s="40">
        <v>4.0239999999999998E-2</v>
      </c>
      <c r="N6" s="41">
        <v>49461</v>
      </c>
      <c r="O6" s="39">
        <v>22</v>
      </c>
      <c r="P6" s="42">
        <v>54330.12</v>
      </c>
      <c r="Q6" s="42">
        <v>54330.12</v>
      </c>
      <c r="R6" s="42">
        <v>794745.17</v>
      </c>
      <c r="S6" s="38">
        <v>21</v>
      </c>
      <c r="T6" s="38">
        <v>0</v>
      </c>
      <c r="U6" s="38">
        <v>0</v>
      </c>
      <c r="V6" s="38">
        <v>13</v>
      </c>
      <c r="W6" s="38">
        <v>6</v>
      </c>
      <c r="X6" s="38">
        <v>2</v>
      </c>
    </row>
    <row r="7" spans="2:24">
      <c r="B7" s="33" t="s">
        <v>441</v>
      </c>
      <c r="C7" s="33" t="s">
        <v>312</v>
      </c>
      <c r="D7" s="33" t="s">
        <v>442</v>
      </c>
      <c r="E7" s="33" t="s">
        <v>434</v>
      </c>
      <c r="F7" s="34">
        <v>2025</v>
      </c>
      <c r="G7" s="34" t="s">
        <v>435</v>
      </c>
      <c r="I7" s="33" t="s">
        <v>436</v>
      </c>
      <c r="J7" s="34" t="s">
        <v>437</v>
      </c>
      <c r="K7" s="34">
        <v>2028</v>
      </c>
      <c r="L7" s="34" t="s">
        <v>440</v>
      </c>
      <c r="M7" s="36">
        <v>4.0239999999999998E-2</v>
      </c>
      <c r="N7" s="35">
        <v>49491</v>
      </c>
      <c r="O7" s="34">
        <v>22</v>
      </c>
      <c r="P7" s="37">
        <v>110563.68</v>
      </c>
      <c r="Q7" s="37">
        <v>110563.68</v>
      </c>
      <c r="R7" s="37">
        <v>1617334.89</v>
      </c>
      <c r="S7" s="33">
        <v>18</v>
      </c>
      <c r="T7" s="33">
        <v>0</v>
      </c>
      <c r="U7" s="33">
        <v>0</v>
      </c>
      <c r="V7" s="33">
        <v>9</v>
      </c>
      <c r="W7" s="33">
        <v>9</v>
      </c>
      <c r="X7" s="33">
        <v>0</v>
      </c>
    </row>
    <row r="8" spans="2:24">
      <c r="B8" s="38" t="s">
        <v>443</v>
      </c>
      <c r="C8" s="38" t="s">
        <v>313</v>
      </c>
      <c r="D8" s="38" t="s">
        <v>444</v>
      </c>
      <c r="E8" s="38" t="s">
        <v>445</v>
      </c>
      <c r="F8" s="39">
        <v>2025</v>
      </c>
      <c r="G8" s="39" t="s">
        <v>435</v>
      </c>
      <c r="I8" s="38" t="s">
        <v>445</v>
      </c>
      <c r="J8" s="39">
        <v>2048</v>
      </c>
      <c r="K8" s="39">
        <v>2027</v>
      </c>
      <c r="L8" s="39" t="s">
        <v>437</v>
      </c>
      <c r="M8" s="40"/>
      <c r="N8" s="41"/>
      <c r="O8" s="39"/>
      <c r="P8" s="42"/>
      <c r="Q8" s="42"/>
      <c r="R8" s="42"/>
      <c r="S8" s="38">
        <v>64</v>
      </c>
      <c r="T8" s="38">
        <v>63</v>
      </c>
      <c r="U8" s="38">
        <v>1</v>
      </c>
      <c r="V8" s="38">
        <v>0</v>
      </c>
      <c r="W8" s="38">
        <v>0</v>
      </c>
      <c r="X8" s="38">
        <v>0</v>
      </c>
    </row>
    <row r="9" spans="2:24">
      <c r="B9" s="33" t="s">
        <v>446</v>
      </c>
      <c r="C9" s="33" t="s">
        <v>314</v>
      </c>
      <c r="D9" s="33" t="s">
        <v>447</v>
      </c>
      <c r="E9" s="33" t="s">
        <v>434</v>
      </c>
      <c r="F9" s="34">
        <v>2025</v>
      </c>
      <c r="G9" s="34" t="s">
        <v>435</v>
      </c>
      <c r="I9" s="33" t="s">
        <v>448</v>
      </c>
      <c r="J9" s="34">
        <v>2032</v>
      </c>
      <c r="K9" s="34">
        <v>2027</v>
      </c>
      <c r="L9" s="34" t="s">
        <v>449</v>
      </c>
      <c r="M9" s="36">
        <v>4.2299999999999997E-2</v>
      </c>
      <c r="N9" s="35">
        <v>46419</v>
      </c>
      <c r="O9" s="34">
        <v>3</v>
      </c>
      <c r="P9" s="37">
        <v>178507.8</v>
      </c>
      <c r="Q9" s="37">
        <v>178507.8</v>
      </c>
      <c r="R9" s="37">
        <v>274036.81</v>
      </c>
      <c r="S9" s="33">
        <v>34</v>
      </c>
      <c r="T9" s="33">
        <v>0</v>
      </c>
      <c r="U9" s="33">
        <v>18</v>
      </c>
      <c r="V9" s="33">
        <v>14</v>
      </c>
      <c r="W9" s="33">
        <v>2</v>
      </c>
      <c r="X9" s="33">
        <v>0</v>
      </c>
    </row>
    <row r="10" spans="2:24">
      <c r="B10" s="38" t="s">
        <v>450</v>
      </c>
      <c r="C10" s="38" t="s">
        <v>315</v>
      </c>
      <c r="D10" s="38" t="s">
        <v>451</v>
      </c>
      <c r="E10" s="38" t="s">
        <v>452</v>
      </c>
      <c r="F10" s="39">
        <v>2025</v>
      </c>
      <c r="G10" s="39" t="s">
        <v>435</v>
      </c>
      <c r="I10" s="38" t="s">
        <v>436</v>
      </c>
      <c r="J10" s="39" t="s">
        <v>437</v>
      </c>
      <c r="K10" s="39" t="s">
        <v>437</v>
      </c>
      <c r="L10" s="39" t="s">
        <v>448</v>
      </c>
      <c r="M10" s="40">
        <v>4.2099999999999999E-2</v>
      </c>
      <c r="N10" s="41">
        <v>48976</v>
      </c>
      <c r="O10" s="39">
        <v>35</v>
      </c>
      <c r="P10" s="42">
        <v>297840</v>
      </c>
      <c r="Q10" s="42">
        <v>0</v>
      </c>
      <c r="R10" s="42">
        <v>5475821.2999999998</v>
      </c>
      <c r="S10" s="38">
        <v>61</v>
      </c>
      <c r="T10" s="38">
        <v>3</v>
      </c>
      <c r="U10" s="38">
        <v>48</v>
      </c>
      <c r="V10" s="38">
        <v>7</v>
      </c>
      <c r="W10" s="38">
        <v>3</v>
      </c>
      <c r="X10" s="38">
        <v>0</v>
      </c>
    </row>
    <row r="11" spans="2:24">
      <c r="B11" s="33" t="s">
        <v>453</v>
      </c>
      <c r="C11" s="33" t="s">
        <v>316</v>
      </c>
      <c r="D11" s="33" t="s">
        <v>454</v>
      </c>
      <c r="E11" s="33" t="s">
        <v>455</v>
      </c>
      <c r="F11" s="34">
        <v>2025</v>
      </c>
      <c r="G11" s="34" t="s">
        <v>435</v>
      </c>
      <c r="I11" s="33" t="s">
        <v>436</v>
      </c>
      <c r="J11" s="34" t="s">
        <v>437</v>
      </c>
      <c r="K11" s="34">
        <v>2028</v>
      </c>
      <c r="L11" s="34" t="s">
        <v>449</v>
      </c>
      <c r="M11" s="36">
        <v>3.7400000000000003E-2</v>
      </c>
      <c r="N11" s="35">
        <v>46844</v>
      </c>
      <c r="O11" s="34">
        <v>4</v>
      </c>
      <c r="P11" s="37">
        <v>244376.04</v>
      </c>
      <c r="Q11" s="37">
        <v>0</v>
      </c>
      <c r="R11" s="37">
        <v>639949.68999999994</v>
      </c>
      <c r="S11" s="33">
        <v>36</v>
      </c>
      <c r="T11" s="33">
        <v>0</v>
      </c>
      <c r="U11" s="33">
        <v>0</v>
      </c>
      <c r="V11" s="33">
        <v>18</v>
      </c>
      <c r="W11" s="33">
        <v>14</v>
      </c>
      <c r="X11" s="33">
        <v>4</v>
      </c>
    </row>
    <row r="12" spans="2:24">
      <c r="B12" s="38" t="s">
        <v>456</v>
      </c>
      <c r="C12" s="38" t="s">
        <v>317</v>
      </c>
      <c r="D12" s="38" t="s">
        <v>457</v>
      </c>
      <c r="E12" s="38" t="s">
        <v>455</v>
      </c>
      <c r="F12" s="39">
        <v>2025</v>
      </c>
      <c r="G12" s="39" t="s">
        <v>435</v>
      </c>
      <c r="I12" s="38" t="s">
        <v>436</v>
      </c>
      <c r="J12" s="39" t="s">
        <v>437</v>
      </c>
      <c r="K12" s="39">
        <v>2026</v>
      </c>
      <c r="L12" s="39" t="s">
        <v>449</v>
      </c>
      <c r="M12" s="40">
        <v>1.01E-2</v>
      </c>
      <c r="N12" s="41">
        <v>46143</v>
      </c>
      <c r="O12" s="39">
        <v>4</v>
      </c>
      <c r="P12" s="42">
        <v>176698.83</v>
      </c>
      <c r="Q12" s="42">
        <v>0</v>
      </c>
      <c r="R12" s="42">
        <v>176698.83</v>
      </c>
      <c r="S12" s="38">
        <v>40</v>
      </c>
      <c r="T12" s="38">
        <v>0</v>
      </c>
      <c r="U12" s="38">
        <v>0</v>
      </c>
      <c r="V12" s="38">
        <v>17</v>
      </c>
      <c r="W12" s="38">
        <v>17</v>
      </c>
      <c r="X12" s="38">
        <v>6</v>
      </c>
    </row>
    <row r="13" spans="2:24">
      <c r="B13" s="33" t="s">
        <v>458</v>
      </c>
      <c r="C13" s="33" t="s">
        <v>318</v>
      </c>
      <c r="D13" s="33" t="s">
        <v>459</v>
      </c>
      <c r="E13" s="33" t="s">
        <v>460</v>
      </c>
      <c r="F13" s="34">
        <v>2025</v>
      </c>
      <c r="G13" s="34" t="s">
        <v>435</v>
      </c>
      <c r="I13" s="33" t="s">
        <v>460</v>
      </c>
      <c r="J13" s="34">
        <v>2046</v>
      </c>
      <c r="K13" s="34">
        <v>2026</v>
      </c>
      <c r="L13" s="34" t="s">
        <v>449</v>
      </c>
      <c r="M13" s="36">
        <v>1.01E-2</v>
      </c>
      <c r="N13" s="35">
        <v>46266</v>
      </c>
      <c r="O13" s="34">
        <v>5</v>
      </c>
      <c r="P13" s="37">
        <v>125540.52</v>
      </c>
      <c r="Q13" s="37">
        <v>0</v>
      </c>
      <c r="R13" s="37">
        <v>145670.51999999999</v>
      </c>
      <c r="S13" s="33">
        <v>19</v>
      </c>
      <c r="T13" s="33">
        <v>0</v>
      </c>
      <c r="U13" s="33">
        <v>0</v>
      </c>
      <c r="V13" s="33">
        <v>10</v>
      </c>
      <c r="W13" s="33">
        <v>5</v>
      </c>
      <c r="X13" s="33">
        <v>4</v>
      </c>
    </row>
    <row r="14" spans="2:24">
      <c r="B14" s="38" t="s">
        <v>461</v>
      </c>
      <c r="C14" s="38" t="s">
        <v>319</v>
      </c>
      <c r="D14" s="38" t="s">
        <v>462</v>
      </c>
      <c r="E14" s="38" t="s">
        <v>463</v>
      </c>
      <c r="F14" s="39">
        <v>2025</v>
      </c>
      <c r="G14" s="39" t="s">
        <v>435</v>
      </c>
      <c r="I14" s="38" t="s">
        <v>436</v>
      </c>
      <c r="J14" s="39" t="s">
        <v>437</v>
      </c>
      <c r="K14" s="39" t="s">
        <v>437</v>
      </c>
      <c r="L14" s="39" t="s">
        <v>448</v>
      </c>
      <c r="M14" s="40">
        <v>4.2099999999999999E-2</v>
      </c>
      <c r="N14" s="41">
        <v>48976</v>
      </c>
      <c r="O14" s="39">
        <v>35</v>
      </c>
      <c r="P14" s="42">
        <v>271563.84000000003</v>
      </c>
      <c r="Q14" s="42">
        <v>0</v>
      </c>
      <c r="R14" s="42">
        <v>4992966</v>
      </c>
      <c r="S14" s="38">
        <v>47</v>
      </c>
      <c r="T14" s="38">
        <v>6</v>
      </c>
      <c r="U14" s="38">
        <v>28</v>
      </c>
      <c r="V14" s="38">
        <v>13</v>
      </c>
      <c r="W14" s="38">
        <v>0</v>
      </c>
      <c r="X14" s="38">
        <v>0</v>
      </c>
    </row>
    <row r="15" spans="2:24">
      <c r="B15" s="33" t="s">
        <v>464</v>
      </c>
      <c r="C15" s="33" t="s">
        <v>320</v>
      </c>
      <c r="D15" s="33" t="s">
        <v>465</v>
      </c>
      <c r="E15" s="33" t="s">
        <v>434</v>
      </c>
      <c r="F15" s="34">
        <v>2025</v>
      </c>
      <c r="G15" s="34" t="s">
        <v>435</v>
      </c>
      <c r="I15" s="33" t="s">
        <v>448</v>
      </c>
      <c r="J15" s="34">
        <v>2051</v>
      </c>
      <c r="K15" s="34">
        <v>2027</v>
      </c>
      <c r="L15" s="34" t="s">
        <v>449</v>
      </c>
      <c r="M15" s="36">
        <v>4.24E-2</v>
      </c>
      <c r="N15" s="35">
        <v>46508</v>
      </c>
      <c r="O15" s="34">
        <v>3</v>
      </c>
      <c r="P15" s="37">
        <v>274351.8</v>
      </c>
      <c r="Q15" s="37">
        <v>0</v>
      </c>
      <c r="R15" s="37">
        <v>485006.87</v>
      </c>
      <c r="S15" s="33">
        <v>40</v>
      </c>
      <c r="T15" s="33">
        <v>0</v>
      </c>
      <c r="U15" s="33">
        <v>0</v>
      </c>
      <c r="V15" s="33">
        <v>24</v>
      </c>
      <c r="W15" s="33">
        <v>12</v>
      </c>
      <c r="X15" s="33">
        <v>4</v>
      </c>
    </row>
    <row r="16" spans="2:24">
      <c r="B16" s="38" t="s">
        <v>466</v>
      </c>
      <c r="C16" s="38" t="s">
        <v>321</v>
      </c>
      <c r="D16" s="38" t="s">
        <v>467</v>
      </c>
      <c r="E16" s="38" t="s">
        <v>455</v>
      </c>
      <c r="F16" s="39">
        <v>2025</v>
      </c>
      <c r="G16" s="39" t="s">
        <v>435</v>
      </c>
      <c r="I16" s="38" t="s">
        <v>468</v>
      </c>
      <c r="J16" s="39">
        <v>2058</v>
      </c>
      <c r="K16" s="39">
        <v>2026</v>
      </c>
      <c r="L16" s="39" t="s">
        <v>469</v>
      </c>
      <c r="M16" s="40">
        <v>4.4650000000000002E-2</v>
      </c>
      <c r="N16" s="41">
        <v>49096</v>
      </c>
      <c r="O16" s="39">
        <v>9</v>
      </c>
      <c r="P16" s="42">
        <v>443187</v>
      </c>
      <c r="Q16" s="42">
        <v>0</v>
      </c>
      <c r="R16" s="42">
        <v>3432387.1</v>
      </c>
      <c r="S16" s="38">
        <v>49</v>
      </c>
      <c r="T16" s="38">
        <v>0</v>
      </c>
      <c r="U16" s="38">
        <v>0</v>
      </c>
      <c r="V16" s="38">
        <v>22</v>
      </c>
      <c r="W16" s="38">
        <v>25</v>
      </c>
      <c r="X16" s="38">
        <v>2</v>
      </c>
    </row>
    <row r="17" spans="2:29">
      <c r="B17" s="33" t="s">
        <v>470</v>
      </c>
      <c r="C17" s="33" t="s">
        <v>322</v>
      </c>
      <c r="D17" s="33" t="s">
        <v>471</v>
      </c>
      <c r="E17" s="33" t="s">
        <v>455</v>
      </c>
      <c r="F17" s="34">
        <v>2025</v>
      </c>
      <c r="G17" s="34" t="s">
        <v>435</v>
      </c>
      <c r="I17" s="33" t="s">
        <v>455</v>
      </c>
      <c r="J17" s="34">
        <v>2054</v>
      </c>
      <c r="K17" s="34">
        <v>2054</v>
      </c>
      <c r="L17" s="34" t="s">
        <v>472</v>
      </c>
      <c r="M17" s="36">
        <v>2.4E-2</v>
      </c>
      <c r="N17" s="35">
        <v>46143</v>
      </c>
      <c r="O17" s="34">
        <v>10</v>
      </c>
      <c r="P17" s="37">
        <v>291146.28000000003</v>
      </c>
      <c r="Q17" s="37">
        <v>0</v>
      </c>
      <c r="R17" s="37">
        <v>1976761.19</v>
      </c>
      <c r="S17" s="33">
        <v>38</v>
      </c>
      <c r="T17" s="33">
        <v>0</v>
      </c>
      <c r="U17" s="33">
        <v>0</v>
      </c>
      <c r="V17" s="33">
        <v>18</v>
      </c>
      <c r="W17" s="33">
        <v>16</v>
      </c>
      <c r="X17" s="33">
        <v>4</v>
      </c>
    </row>
    <row r="18" spans="2:29">
      <c r="B18" s="38" t="s">
        <v>473</v>
      </c>
      <c r="C18" s="38" t="s">
        <v>323</v>
      </c>
      <c r="D18" s="38" t="s">
        <v>323</v>
      </c>
      <c r="E18" s="38" t="s">
        <v>434</v>
      </c>
      <c r="F18" s="39">
        <v>2028</v>
      </c>
      <c r="G18" s="39" t="s">
        <v>474</v>
      </c>
      <c r="I18" s="38" t="s">
        <v>436</v>
      </c>
      <c r="J18" s="39">
        <v>2058</v>
      </c>
      <c r="K18" s="39">
        <v>2058</v>
      </c>
      <c r="L18" s="39" t="s">
        <v>475</v>
      </c>
      <c r="M18" s="40"/>
      <c r="N18" s="41"/>
      <c r="O18" s="39"/>
      <c r="P18" s="42"/>
      <c r="Q18" s="42"/>
      <c r="R18" s="42"/>
      <c r="S18" s="38">
        <v>97</v>
      </c>
      <c r="T18" s="38">
        <v>6</v>
      </c>
      <c r="U18" s="38">
        <v>42</v>
      </c>
      <c r="V18" s="38">
        <v>33</v>
      </c>
      <c r="W18" s="38">
        <v>14</v>
      </c>
      <c r="X18" s="38">
        <v>2</v>
      </c>
    </row>
    <row r="19" spans="2:29">
      <c r="B19" s="33" t="s">
        <v>476</v>
      </c>
      <c r="C19" s="33" t="s">
        <v>324</v>
      </c>
      <c r="D19" s="33" t="s">
        <v>324</v>
      </c>
      <c r="E19" s="33" t="s">
        <v>434</v>
      </c>
      <c r="F19" s="34">
        <v>2028</v>
      </c>
      <c r="G19" s="34" t="s">
        <v>474</v>
      </c>
      <c r="I19" s="33" t="s">
        <v>436</v>
      </c>
      <c r="J19" s="34">
        <v>2058</v>
      </c>
      <c r="K19" s="34">
        <v>2058</v>
      </c>
      <c r="L19" s="34" t="s">
        <v>475</v>
      </c>
      <c r="M19" s="34"/>
      <c r="N19" s="35"/>
      <c r="O19" s="34"/>
      <c r="P19" s="37"/>
      <c r="Q19" s="37"/>
      <c r="R19" s="37"/>
      <c r="S19" s="33">
        <v>91</v>
      </c>
      <c r="T19" s="33">
        <v>32</v>
      </c>
      <c r="U19" s="33">
        <v>25</v>
      </c>
      <c r="V19" s="33">
        <v>23</v>
      </c>
      <c r="W19" s="33">
        <v>11</v>
      </c>
      <c r="X19" s="33">
        <v>0</v>
      </c>
    </row>
    <row r="20" spans="2:29">
      <c r="B20" s="38" t="s">
        <v>477</v>
      </c>
      <c r="C20" s="38" t="s">
        <v>325</v>
      </c>
      <c r="D20" s="38" t="s">
        <v>478</v>
      </c>
      <c r="E20" s="38" t="s">
        <v>479</v>
      </c>
      <c r="F20" s="39">
        <v>2027</v>
      </c>
      <c r="G20" s="39" t="s">
        <v>474</v>
      </c>
      <c r="I20" s="38" t="s">
        <v>436</v>
      </c>
      <c r="J20" s="39">
        <v>2057</v>
      </c>
      <c r="K20" s="39">
        <v>2057</v>
      </c>
      <c r="L20" s="39" t="s">
        <v>480</v>
      </c>
      <c r="M20" s="40"/>
      <c r="N20" s="41"/>
      <c r="O20" s="39"/>
      <c r="P20" s="42"/>
      <c r="Q20" s="42"/>
      <c r="R20" s="42"/>
      <c r="S20" s="38">
        <v>328</v>
      </c>
      <c r="T20" s="38">
        <v>0</v>
      </c>
      <c r="U20" s="38">
        <v>72</v>
      </c>
      <c r="V20" s="38">
        <v>140</v>
      </c>
      <c r="W20" s="38">
        <v>116</v>
      </c>
      <c r="X20" s="38">
        <v>0</v>
      </c>
    </row>
    <row r="21" spans="2:29">
      <c r="B21" s="33" t="s">
        <v>481</v>
      </c>
      <c r="C21" s="33" t="s">
        <v>326</v>
      </c>
      <c r="D21" s="33" t="s">
        <v>326</v>
      </c>
      <c r="E21" s="33" t="s">
        <v>434</v>
      </c>
      <c r="F21" s="34">
        <v>2029</v>
      </c>
      <c r="G21" s="34" t="s">
        <v>474</v>
      </c>
      <c r="I21" s="33" t="s">
        <v>436</v>
      </c>
      <c r="J21" s="34">
        <v>2059</v>
      </c>
      <c r="K21" s="34">
        <v>2059</v>
      </c>
      <c r="L21" s="34" t="s">
        <v>475</v>
      </c>
      <c r="M21" s="34"/>
      <c r="N21" s="35"/>
      <c r="O21" s="34"/>
      <c r="P21" s="37"/>
      <c r="Q21" s="37"/>
      <c r="R21" s="37"/>
      <c r="S21" s="33">
        <v>93</v>
      </c>
      <c r="T21" s="33">
        <v>26</v>
      </c>
      <c r="U21" s="33">
        <v>29</v>
      </c>
      <c r="V21" s="33">
        <v>26</v>
      </c>
      <c r="W21" s="33">
        <v>12</v>
      </c>
      <c r="X21" s="33">
        <v>0</v>
      </c>
    </row>
    <row r="23" spans="2:29">
      <c r="B23" s="31" t="s">
        <v>482</v>
      </c>
    </row>
    <row r="24" spans="2:29">
      <c r="B24" s="30" t="s">
        <v>483</v>
      </c>
    </row>
    <row r="25" spans="2:29">
      <c r="B25" s="30"/>
    </row>
    <row r="26" spans="2:29">
      <c r="B26" s="30"/>
    </row>
    <row r="27" spans="2:29">
      <c r="B27" s="30"/>
    </row>
    <row r="28" spans="2:29">
      <c r="B28" s="30"/>
    </row>
    <row r="29" spans="2:29">
      <c r="B29" s="30"/>
    </row>
    <row r="30" spans="2:29">
      <c r="B30" s="30"/>
    </row>
    <row r="31" spans="2:29" ht="15">
      <c r="B31" s="431" t="s">
        <v>231</v>
      </c>
      <c r="C31" s="429"/>
      <c r="D31" s="429"/>
      <c r="E31" s="429"/>
      <c r="F31" s="429"/>
      <c r="G31" s="430"/>
    </row>
    <row r="32" spans="2:29" ht="38.25" customHeight="1">
      <c r="B32" s="43" t="s">
        <v>417</v>
      </c>
      <c r="C32" s="43" t="s">
        <v>231</v>
      </c>
      <c r="D32" s="43" t="s">
        <v>418</v>
      </c>
      <c r="E32" s="43" t="s">
        <v>232</v>
      </c>
      <c r="F32" s="43" t="s">
        <v>419</v>
      </c>
      <c r="G32" s="43" t="s">
        <v>56</v>
      </c>
      <c r="I32" s="169">
        <v>2025</v>
      </c>
      <c r="J32" s="169">
        <v>2026</v>
      </c>
      <c r="K32" s="169">
        <v>2027</v>
      </c>
      <c r="L32" s="169">
        <v>2028</v>
      </c>
      <c r="M32" s="169">
        <v>2029</v>
      </c>
      <c r="N32" s="169">
        <v>2030</v>
      </c>
      <c r="O32" s="169">
        <v>2031</v>
      </c>
      <c r="P32" s="169">
        <v>2032</v>
      </c>
      <c r="Q32" s="169">
        <v>2033</v>
      </c>
      <c r="R32" s="169">
        <v>2034</v>
      </c>
      <c r="S32" s="169">
        <v>2035</v>
      </c>
      <c r="T32" s="169">
        <v>2036</v>
      </c>
      <c r="U32" s="169">
        <v>2037</v>
      </c>
      <c r="V32" s="169">
        <v>2038</v>
      </c>
      <c r="W32" s="169">
        <v>2039</v>
      </c>
      <c r="X32" s="169">
        <v>2040</v>
      </c>
      <c r="Y32" s="169">
        <v>2041</v>
      </c>
      <c r="Z32" s="169">
        <v>2042</v>
      </c>
      <c r="AA32" s="169">
        <v>2043</v>
      </c>
      <c r="AB32" s="169">
        <v>2044</v>
      </c>
      <c r="AC32" s="169">
        <v>2045</v>
      </c>
    </row>
    <row r="33" spans="2:29">
      <c r="B33" s="33" t="s">
        <v>433</v>
      </c>
      <c r="C33" s="33" t="s">
        <v>310</v>
      </c>
      <c r="D33" s="33" t="s">
        <v>323</v>
      </c>
      <c r="E33" s="33" t="s">
        <v>434</v>
      </c>
      <c r="F33" s="34">
        <v>2025</v>
      </c>
      <c r="G33" s="34" t="s">
        <v>435</v>
      </c>
      <c r="I33" s="303">
        <f>INDEX(BLD_AB!$E$41:$Y$41,MATCH(I$32,BLD_AB!$E$12:$Y$12,0))</f>
        <v>436078.4040000001</v>
      </c>
      <c r="J33" s="303">
        <f>INDEX(BLD_AB!$E$41:$Y$41,MATCH(J$32,BLD_AB!$E$12:$Y$12,0))</f>
        <v>441788.59207999997</v>
      </c>
      <c r="K33" s="303">
        <f>INDEX(BLD_AB!$E$41:$Y$41,MATCH(K$32,BLD_AB!$E$12:$Y$12,0))</f>
        <v>608477.74486720003</v>
      </c>
      <c r="L33" s="303">
        <f>INDEX(BLD_AB!$E$41:$Y$41,MATCH(L$32,BLD_AB!$E$12:$Y$12,0))</f>
        <v>617390.19115654402</v>
      </c>
      <c r="M33" s="303">
        <f>INDEX(BLD_AB!$E$41:$Y$41,MATCH(M$32,BLD_AB!$E$12:$Y$12,0))</f>
        <v>626350.60202735476</v>
      </c>
      <c r="N33" s="303">
        <f>INDEX(BLD_AB!$E$41:$Y$41,MATCH(N$32,BLD_AB!$E$12:$Y$12,0))</f>
        <v>635354.72539748915</v>
      </c>
      <c r="O33" s="303">
        <f>INDEX(BLD_AB!$E$41:$Y$41,MATCH(O$32,BLD_AB!$E$12:$Y$12,0))</f>
        <v>644398.01568820979</v>
      </c>
      <c r="P33" s="303">
        <f>INDEX(BLD_AB!$E$41:$Y$41,MATCH(P$32,BLD_AB!$E$12:$Y$12,0))</f>
        <v>653475.6196160554</v>
      </c>
      <c r="Q33" s="303">
        <f>INDEX(BLD_AB!$E$41:$Y$41,MATCH(Q$32,BLD_AB!$E$12:$Y$12,0))</f>
        <v>662582.36136702134</v>
      </c>
      <c r="R33" s="303">
        <f>INDEX(BLD_AB!$E$41:$Y$41,MATCH(R$32,BLD_AB!$E$12:$Y$12,0))</f>
        <v>671712.72712735226</v>
      </c>
      <c r="S33" s="303">
        <f>INDEX(BLD_AB!$E$41:$Y$41,MATCH(S$32,BLD_AB!$E$12:$Y$12,0))</f>
        <v>684075.4484884768</v>
      </c>
      <c r="T33" s="303">
        <f>INDEX(BLD_AB!$E$41:$Y$41,MATCH(T$32,BLD_AB!$E$12:$Y$12,0))</f>
        <v>696658.63594728825</v>
      </c>
      <c r="U33" s="303">
        <f>INDEX(BLD_AB!$E$41:$Y$41,MATCH(U$32,BLD_AB!$E$12:$Y$12,0))</f>
        <v>709466.02911750181</v>
      </c>
      <c r="V33" s="303">
        <f>INDEX(BLD_AB!$E$41:$Y$41,MATCH(V$32,BLD_AB!$E$12:$Y$12,0))</f>
        <v>722501.42566240183</v>
      </c>
      <c r="W33" s="303">
        <f>INDEX(BLD_AB!$E$41:$Y$41,MATCH(W$32,BLD_AB!$E$12:$Y$12,0))</f>
        <v>735768.68203726329</v>
      </c>
      <c r="X33" s="303">
        <f>INDEX(BLD_AB!$E$41:$Y$41,MATCH(X$32,BLD_AB!$E$12:$Y$12,0))</f>
        <v>749271.71423616272</v>
      </c>
      <c r="Y33" s="303">
        <f>INDEX(BLD_AB!$E$41:$Y$41,MATCH(Y$32,BLD_AB!$E$12:$Y$12,0))</f>
        <v>763014.4985429931</v>
      </c>
      <c r="Z33" s="303">
        <f>INDEX(BLD_AB!$E$41:$Y$41,MATCH(Z$32,BLD_AB!$E$12:$Y$12,0))</f>
        <v>777001.07228651363</v>
      </c>
      <c r="AA33" s="303">
        <f>INDEX(BLD_AB!$E$41:$Y$41,MATCH(AA$32,BLD_AB!$E$12:$Y$12,0))</f>
        <v>791235.53459922108</v>
      </c>
      <c r="AB33" s="303">
        <f>INDEX(BLD_AB!$E$41:$Y$41,MATCH(AB$32,BLD_AB!$E$12:$Y$12,0))</f>
        <v>805722.04717985657</v>
      </c>
      <c r="AC33" s="303">
        <f>INDEX(BLD_AB!$E$41:$Y$41,MATCH(AC$32,BLD_AB!$E$12:$Y$12,0))</f>
        <v>820464.83505932102</v>
      </c>
    </row>
    <row r="34" spans="2:29">
      <c r="B34" s="38" t="s">
        <v>438</v>
      </c>
      <c r="C34" s="38" t="s">
        <v>311</v>
      </c>
      <c r="D34" s="38" t="s">
        <v>439</v>
      </c>
      <c r="E34" s="38" t="s">
        <v>434</v>
      </c>
      <c r="F34" s="39">
        <v>2025</v>
      </c>
      <c r="G34" s="39" t="s">
        <v>435</v>
      </c>
      <c r="I34" s="303">
        <f>INDEX(BLD_AC!$E$41:$Y$41,MATCH(I$32,BLD_AC!$E$12:$Y$12,0))</f>
        <v>172856.47799999994</v>
      </c>
      <c r="J34" s="303">
        <f>INDEX(BLD_AC!$E$41:$Y$41,MATCH(J$32,BLD_AC!$E$12:$Y$12,0))</f>
        <v>172215.62515999994</v>
      </c>
      <c r="K34" s="303">
        <f>INDEX(BLD_AC!$E$41:$Y$41,MATCH(K$32,BLD_AC!$E$12:$Y$12,0))</f>
        <v>171441.5000631999</v>
      </c>
      <c r="L34" s="303">
        <f>INDEX(BLD_AC!$E$41:$Y$41,MATCH(L$32,BLD_AC!$E$12:$Y$12,0))</f>
        <v>245496.03812892796</v>
      </c>
      <c r="M34" s="303">
        <f>INDEX(BLD_AC!$E$41:$Y$41,MATCH(M$32,BLD_AC!$E$12:$Y$12,0))</f>
        <v>245931.96353918654</v>
      </c>
      <c r="N34" s="303">
        <f>INDEX(BLD_AC!$E$41:$Y$41,MATCH(N$32,BLD_AC!$E$12:$Y$12,0))</f>
        <v>246241.11173955747</v>
      </c>
      <c r="O34" s="303">
        <f>INDEX(BLD_AC!$E$41:$Y$41,MATCH(O$32,BLD_AC!$E$12:$Y$12,0))</f>
        <v>246415.52735711931</v>
      </c>
      <c r="P34" s="303">
        <f>INDEX(BLD_AC!$E$41:$Y$41,MATCH(P$32,BLD_AC!$E$12:$Y$12,0))</f>
        <v>246446.87911834323</v>
      </c>
      <c r="Q34" s="303">
        <f>INDEX(BLD_AC!$E$41:$Y$41,MATCH(Q$32,BLD_AC!$E$12:$Y$12,0))</f>
        <v>246326.44365935485</v>
      </c>
      <c r="R34" s="303">
        <f>INDEX(BLD_AC!$E$41:$Y$41,MATCH(R$32,BLD_AC!$E$12:$Y$12,0))</f>
        <v>246045.08866553241</v>
      </c>
      <c r="S34" s="303">
        <f>INDEX(BLD_AC!$E$41:$Y$41,MATCH(S$32,BLD_AC!$E$12:$Y$12,0))</f>
        <v>248807.85485742081</v>
      </c>
      <c r="T34" s="303">
        <f>INDEX(BLD_AC!$E$41:$Y$41,MATCH(T$32,BLD_AC!$E$12:$Y$12,0))</f>
        <v>197268.96804361115</v>
      </c>
      <c r="U34" s="303">
        <f>INDEX(BLD_AC!$E$41:$Y$41,MATCH(U$32,BLD_AC!$E$12:$Y$12,0))</f>
        <v>200088.56785575132</v>
      </c>
      <c r="V34" s="303">
        <f>INDEX(BLD_AC!$E$41:$Y$41,MATCH(V$32,BLD_AC!$E$12:$Y$12,0))</f>
        <v>202936.41517541598</v>
      </c>
      <c r="W34" s="303">
        <f>INDEX(BLD_AC!$E$41:$Y$41,MATCH(W$32,BLD_AC!$E$12:$Y$12,0))</f>
        <v>205812.37134053797</v>
      </c>
      <c r="X34" s="303">
        <f>INDEX(BLD_AC!$E$41:$Y$41,MATCH(X$32,BLD_AC!$E$12:$Y$12,0))</f>
        <v>208716.27732550257</v>
      </c>
      <c r="Y34" s="303">
        <f>INDEX(BLD_AC!$E$41:$Y$41,MATCH(Y$32,BLD_AC!$E$12:$Y$12,0))</f>
        <v>211647.9528941203</v>
      </c>
      <c r="Z34" s="303">
        <f>INDEX(BLD_AC!$E$41:$Y$41,MATCH(Z$32,BLD_AC!$E$12:$Y$12,0))</f>
        <v>214607.19572466286</v>
      </c>
      <c r="AA34" s="303">
        <f>INDEX(BLD_AC!$E$41:$Y$41,MATCH(AA$32,BLD_AC!$E$12:$Y$12,0))</f>
        <v>217593.78050613316</v>
      </c>
      <c r="AB34" s="303">
        <f>INDEX(BLD_AC!$E$41:$Y$41,MATCH(AB$32,BLD_AC!$E$12:$Y$12,0))</f>
        <v>220607.45800490718</v>
      </c>
      <c r="AC34" s="303">
        <f>INDEX(BLD_AC!$E$41:$Y$41,MATCH(AC$32,BLD_AC!$E$12:$Y$12,0))</f>
        <v>223647.95410087286</v>
      </c>
    </row>
    <row r="35" spans="2:29">
      <c r="B35" s="33" t="s">
        <v>441</v>
      </c>
      <c r="C35" s="33" t="s">
        <v>312</v>
      </c>
      <c r="D35" s="33" t="s">
        <v>442</v>
      </c>
      <c r="E35" s="33" t="s">
        <v>434</v>
      </c>
      <c r="F35" s="34">
        <v>2025</v>
      </c>
      <c r="G35" s="34" t="s">
        <v>435</v>
      </c>
      <c r="I35" s="303">
        <f>INDEX(BLD_BT!$E$41:$Y$41,MATCH(I$32,BLD_BT!$E$12:$Y$12,0))</f>
        <v>259166.84399999998</v>
      </c>
      <c r="J35" s="303">
        <f>INDEX(BLD_BT!$E$41:$Y$41,MATCH(J$32,BLD_BT!$E$12:$Y$12,0))</f>
        <v>259732.10727999997</v>
      </c>
      <c r="K35" s="303">
        <f>INDEX(BLD_BT!$E$41:$Y$41,MATCH(K$32,BLD_BT!$E$12:$Y$12,0))</f>
        <v>260212.40382559999</v>
      </c>
      <c r="L35" s="303">
        <f>INDEX(BLD_BT!$E$41:$Y$41,MATCH(L$32,BLD_BT!$E$12:$Y$12,0))</f>
        <v>320850.319244224</v>
      </c>
      <c r="M35" s="303">
        <f>INDEX(BLD_BT!$E$41:$Y$41,MATCH(M$32,BLD_BT!$E$12:$Y$12,0))</f>
        <v>322348.72935390845</v>
      </c>
      <c r="N35" s="303">
        <f>INDEX(BLD_BT!$E$41:$Y$41,MATCH(N$32,BLD_BT!$E$12:$Y$12,0))</f>
        <v>323768.81475877855</v>
      </c>
      <c r="O35" s="303">
        <f>INDEX(BLD_BT!$E$41:$Y$41,MATCH(O$32,BLD_BT!$E$12:$Y$12,0))</f>
        <v>325104.67724845785</v>
      </c>
      <c r="P35" s="303">
        <f>INDEX(BLD_BT!$E$41:$Y$41,MATCH(P$32,BLD_BT!$E$12:$Y$12,0))</f>
        <v>326350.12737971084</v>
      </c>
      <c r="Q35" s="303">
        <f>INDEX(BLD_BT!$E$41:$Y$41,MATCH(Q$32,BLD_BT!$E$12:$Y$12,0))</f>
        <v>327498.67172104027</v>
      </c>
      <c r="R35" s="303">
        <f>INDEX(BLD_BT!$E$41:$Y$41,MATCH(R$32,BLD_BT!$E$12:$Y$12,0))</f>
        <v>328543.49956494546</v>
      </c>
      <c r="S35" s="303">
        <f>INDEX(BLD_BT!$E$41:$Y$41,MATCH(S$32,BLD_BT!$E$12:$Y$12,0))</f>
        <v>332046.68923871045</v>
      </c>
      <c r="T35" s="303">
        <f>INDEX(BLD_BT!$E$41:$Y$41,MATCH(T$32,BLD_BT!$E$12:$Y$12,0))</f>
        <v>225034.8525380124</v>
      </c>
      <c r="U35" s="303">
        <f>INDEX(BLD_BT!$E$41:$Y$41,MATCH(U$32,BLD_BT!$E$12:$Y$12,0))</f>
        <v>228635.78728116356</v>
      </c>
      <c r="V35" s="303">
        <f>INDEX(BLD_BT!$E$41:$Y$41,MATCH(V$32,BLD_BT!$E$12:$Y$12,0))</f>
        <v>232286.24666148721</v>
      </c>
      <c r="W35" s="303">
        <f>INDEX(BLD_BT!$E$41:$Y$41,MATCH(W$32,BLD_BT!$E$12:$Y$12,0))</f>
        <v>235986.6588202852</v>
      </c>
      <c r="X35" s="303">
        <f>INDEX(BLD_BT!$E$41:$Y$41,MATCH(X$32,BLD_BT!$E$12:$Y$12,0))</f>
        <v>239737.44640289823</v>
      </c>
      <c r="Y35" s="303">
        <f>INDEX(BLD_BT!$E$41:$Y$41,MATCH(Y$32,BLD_BT!$E$12:$Y$12,0))</f>
        <v>243539.02609731877</v>
      </c>
      <c r="Z35" s="303">
        <f>INDEX(BLD_BT!$E$41:$Y$41,MATCH(Z$32,BLD_BT!$E$12:$Y$12,0))</f>
        <v>247391.8081547865</v>
      </c>
      <c r="AA35" s="303">
        <f>INDEX(BLD_BT!$E$41:$Y$41,MATCH(AA$32,BLD_BT!$E$12:$Y$12,0))</f>
        <v>251296.19589179195</v>
      </c>
      <c r="AB35" s="303">
        <f>INDEX(BLD_BT!$E$41:$Y$41,MATCH(AB$32,BLD_BT!$E$12:$Y$12,0))</f>
        <v>255252.58517288521</v>
      </c>
      <c r="AC35" s="303">
        <f>INDEX(BLD_BT!$E$41:$Y$41,MATCH(AC$32,BLD_BT!$E$12:$Y$12,0))</f>
        <v>259261.36387368172</v>
      </c>
    </row>
    <row r="36" spans="2:29">
      <c r="B36" s="38" t="s">
        <v>443</v>
      </c>
      <c r="C36" s="38" t="s">
        <v>313</v>
      </c>
      <c r="D36" s="38" t="s">
        <v>444</v>
      </c>
      <c r="E36" s="38" t="s">
        <v>445</v>
      </c>
      <c r="F36" s="39">
        <v>2025</v>
      </c>
      <c r="G36" s="39" t="s">
        <v>435</v>
      </c>
      <c r="I36" s="303">
        <f>INDEX(BLD_CH!$E$41:$Y$41,MATCH(I$32,BLD_CH!$E$12:$Y$12,0))</f>
        <v>225686.19199999992</v>
      </c>
      <c r="J36" s="303">
        <f>INDEX(BLD_CH!$E$41:$Y$41,MATCH(J$32,BLD_CH!$E$12:$Y$12,0))</f>
        <v>220425.03584000008</v>
      </c>
      <c r="K36" s="303">
        <f>INDEX(BLD_CH!$E$41:$Y$41,MATCH(K$32,BLD_CH!$E$12:$Y$12,0))</f>
        <v>475975.22450559994</v>
      </c>
      <c r="L36" s="303">
        <f>INDEX(BLD_CH!$E$41:$Y$41,MATCH(L$32,BLD_CH!$E$12:$Y$12,0))</f>
        <v>474922.21878771181</v>
      </c>
      <c r="M36" s="303">
        <f>INDEX(BLD_CH!$E$41:$Y$41,MATCH(M$32,BLD_CH!$E$12:$Y$12,0))</f>
        <v>473425.25254714594</v>
      </c>
      <c r="N36" s="303">
        <f>INDEX(BLD_CH!$E$41:$Y$41,MATCH(N$32,BLD_CH!$E$12:$Y$12,0))</f>
        <v>471458.53055711603</v>
      </c>
      <c r="O36" s="303">
        <f>INDEX(BLD_CH!$E$41:$Y$41,MATCH(O$32,BLD_CH!$E$12:$Y$12,0))</f>
        <v>468995.06504564686</v>
      </c>
      <c r="P36" s="303">
        <f>INDEX(BLD_CH!$E$41:$Y$41,MATCH(P$32,BLD_CH!$E$12:$Y$12,0))</f>
        <v>466006.62477904372</v>
      </c>
      <c r="Q36" s="303">
        <f>INDEX(BLD_CH!$E$41:$Y$41,MATCH(Q$32,BLD_CH!$E$12:$Y$12,0))</f>
        <v>462463.68204440759</v>
      </c>
      <c r="R36" s="303">
        <f>INDEX(BLD_CH!$E$41:$Y$41,MATCH(R$32,BLD_CH!$E$12:$Y$12,0))</f>
        <v>458335.35744587018</v>
      </c>
      <c r="S36" s="303">
        <f>INDEX(BLD_CH!$E$41:$Y$41,MATCH(S$32,BLD_CH!$E$12:$Y$12,0))</f>
        <v>464023.8890525368</v>
      </c>
      <c r="T36" s="303">
        <f>INDEX(BLD_CH!$E$41:$Y$41,MATCH(T$32,BLD_CH!$E$12:$Y$12,0))</f>
        <v>469739.2369027806</v>
      </c>
      <c r="U36" s="303">
        <f>INDEX(BLD_CH!$E$41:$Y$41,MATCH(U$32,BLD_CH!$E$12:$Y$12,0))</f>
        <v>475479.76346175908</v>
      </c>
      <c r="V36" s="303">
        <f>INDEX(BLD_CH!$E$41:$Y$41,MATCH(V$32,BLD_CH!$E$12:$Y$12,0))</f>
        <v>481243.74409744062</v>
      </c>
      <c r="W36" s="303">
        <f>INDEX(BLD_CH!$E$41:$Y$41,MATCH(W$32,BLD_CH!$E$12:$Y$12,0))</f>
        <v>487029.36397999641</v>
      </c>
      <c r="X36" s="303">
        <f>INDEX(BLD_CH!$E$41:$Y$41,MATCH(X$32,BLD_CH!$E$12:$Y$12,0))</f>
        <v>492834.71488521888</v>
      </c>
      <c r="Y36" s="303">
        <f>INDEX(BLD_CH!$E$41:$Y$41,MATCH(Y$32,BLD_CH!$E$12:$Y$12,0))</f>
        <v>498657.79189918563</v>
      </c>
      <c r="Z36" s="303">
        <f>INDEX(BLD_CH!$E$41:$Y$41,MATCH(Z$32,BLD_CH!$E$12:$Y$12,0))</f>
        <v>504496.4900213395</v>
      </c>
      <c r="AA36" s="303">
        <f>INDEX(BLD_CH!$E$41:$Y$41,MATCH(AA$32,BLD_CH!$E$12:$Y$12,0))</f>
        <v>510348.60066304007</v>
      </c>
      <c r="AB36" s="303">
        <f>INDEX(BLD_CH!$E$41:$Y$41,MATCH(AB$32,BLD_CH!$E$12:$Y$12,0))</f>
        <v>516211.80803860619</v>
      </c>
      <c r="AC36" s="303">
        <f>INDEX(BLD_CH!$E$41:$Y$41,MATCH(AC$32,BLD_CH!$E$12:$Y$12,0))</f>
        <v>522083.68544574128</v>
      </c>
    </row>
    <row r="37" spans="2:29">
      <c r="B37" s="33" t="s">
        <v>446</v>
      </c>
      <c r="C37" s="33" t="s">
        <v>314</v>
      </c>
      <c r="D37" s="33" t="s">
        <v>447</v>
      </c>
      <c r="E37" s="33" t="s">
        <v>434</v>
      </c>
      <c r="F37" s="34">
        <v>2025</v>
      </c>
      <c r="G37" s="34" t="s">
        <v>435</v>
      </c>
      <c r="I37" s="303">
        <f>INDEX(BLD_CC!$E$41:$Y$41,MATCH(I$32,BLD_CC!$E$12:$Y$12,0))</f>
        <v>343316.33199999994</v>
      </c>
      <c r="J37" s="303">
        <f>INDEX(BLD_CC!$E$41:$Y$41,MATCH(J$32,BLD_CC!$E$12:$Y$12,0))</f>
        <v>342478.44264000002</v>
      </c>
      <c r="K37" s="303">
        <f>INDEX(BLD_CC!$E$41:$Y$41,MATCH(K$32,BLD_CC!$E$12:$Y$12,0))</f>
        <v>467983.07098560006</v>
      </c>
      <c r="L37" s="303">
        <f>INDEX(BLD_CC!$E$41:$Y$41,MATCH(L$32,BLD_CC!$E$12:$Y$12,0))</f>
        <v>290793.3771093121</v>
      </c>
      <c r="M37" s="303">
        <f>INDEX(BLD_CC!$E$41:$Y$41,MATCH(M$32,BLD_CC!$E$12:$Y$12,0))</f>
        <v>291958.98938365834</v>
      </c>
      <c r="N37" s="303">
        <f>INDEX(BLD_CC!$E$41:$Y$41,MATCH(N$32,BLD_CC!$E$12:$Y$12,0))</f>
        <v>292961.90369277791</v>
      </c>
      <c r="O37" s="303">
        <f>INDEX(BLD_CC!$E$41:$Y$41,MATCH(O$32,BLD_CC!$E$12:$Y$12,0))</f>
        <v>293791.42566893779</v>
      </c>
      <c r="P37" s="303">
        <f>INDEX(BLD_CC!$E$41:$Y$41,MATCH(P$32,BLD_CC!$E$12:$Y$12,0))</f>
        <v>294436.34944071289</v>
      </c>
      <c r="Q37" s="303">
        <f>INDEX(BLD_CC!$E$41:$Y$41,MATCH(Q$32,BLD_CC!$E$12:$Y$12,0))</f>
        <v>294884.93549825926</v>
      </c>
      <c r="R37" s="303">
        <f>INDEX(BLD_CC!$E$41:$Y$41,MATCH(R$32,BLD_CC!$E$12:$Y$12,0))</f>
        <v>295124.88763970596</v>
      </c>
      <c r="S37" s="303">
        <f>INDEX(BLD_CC!$E$41:$Y$41,MATCH(S$32,BLD_CC!$E$12:$Y$12,0))</f>
        <v>299556.37128468545</v>
      </c>
      <c r="T37" s="303">
        <f>INDEX(BLD_CC!$E$41:$Y$41,MATCH(T$32,BLD_CC!$E$12:$Y$12,0))</f>
        <v>304039.70924986881</v>
      </c>
      <c r="U37" s="303">
        <f>INDEX(BLD_CC!$E$41:$Y$41,MATCH(U$32,BLD_CC!$E$12:$Y$12,0))</f>
        <v>308575.01923784328</v>
      </c>
      <c r="V37" s="303">
        <f>INDEX(BLD_CC!$E$41:$Y$41,MATCH(V$32,BLD_CC!$E$12:$Y$12,0))</f>
        <v>313162.39832065167</v>
      </c>
      <c r="W37" s="303">
        <f>INDEX(BLD_CC!$E$41:$Y$41,MATCH(W$32,BLD_CC!$E$12:$Y$12,0))</f>
        <v>317801.9219525677</v>
      </c>
      <c r="X37" s="303">
        <f>INDEX(BLD_CC!$E$41:$Y$41,MATCH(X$32,BLD_CC!$E$12:$Y$12,0))</f>
        <v>322493.64294875937</v>
      </c>
      <c r="Y37" s="303">
        <f>INDEX(BLD_CC!$E$41:$Y$41,MATCH(Y$32,BLD_CC!$E$12:$Y$12,0))</f>
        <v>327237.59042880329</v>
      </c>
      <c r="Z37" s="303">
        <f>INDEX(BLD_CC!$E$41:$Y$41,MATCH(Z$32,BLD_CC!$E$12:$Y$12,0))</f>
        <v>332033.76872397523</v>
      </c>
      <c r="AA37" s="303">
        <f>INDEX(BLD_CC!$E$41:$Y$41,MATCH(AA$32,BLD_CC!$E$12:$Y$12,0))</f>
        <v>336882.15624721529</v>
      </c>
      <c r="AB37" s="303">
        <f>INDEX(BLD_CC!$E$41:$Y$41,MATCH(AB$32,BLD_CC!$E$12:$Y$12,0))</f>
        <v>341782.70432463905</v>
      </c>
      <c r="AC37" s="303">
        <f>INDEX(BLD_CC!$E$41:$Y$41,MATCH(AC$32,BLD_CC!$E$12:$Y$12,0))</f>
        <v>346735.3359874232</v>
      </c>
    </row>
    <row r="38" spans="2:29">
      <c r="B38" s="38" t="s">
        <v>450</v>
      </c>
      <c r="C38" s="38" t="s">
        <v>315</v>
      </c>
      <c r="D38" s="38" t="s">
        <v>451</v>
      </c>
      <c r="E38" s="38" t="s">
        <v>452</v>
      </c>
      <c r="F38" s="39">
        <v>2025</v>
      </c>
      <c r="G38" s="39" t="s">
        <v>435</v>
      </c>
      <c r="I38" s="303">
        <f>INDEX(BLD_EA!$E$41:$Y$41,MATCH(I$32,BLD_EA!$E$12:$Y$12,0))</f>
        <v>579873.69400000002</v>
      </c>
      <c r="J38" s="303">
        <f>INDEX(BLD_EA!$E$41:$Y$41,MATCH(J$32,BLD_EA!$E$12:$Y$12,0))</f>
        <v>583200.50788000016</v>
      </c>
      <c r="K38" s="303">
        <f>INDEX(BLD_EA!$E$41:$Y$41,MATCH(K$32,BLD_EA!$E$12:$Y$12,0))</f>
        <v>586263.03163760004</v>
      </c>
      <c r="L38" s="303">
        <f>INDEX(BLD_EA!$E$41:$Y$41,MATCH(L$32,BLD_EA!$E$12:$Y$12,0))</f>
        <v>589042.74641435198</v>
      </c>
      <c r="M38" s="303">
        <f>INDEX(BLD_EA!$E$41:$Y$41,MATCH(M$32,BLD_EA!$E$12:$Y$12,0))</f>
        <v>591520.23365239915</v>
      </c>
      <c r="N38" s="303">
        <f>INDEX(BLD_EA!$E$41:$Y$41,MATCH(N$32,BLD_EA!$E$12:$Y$12,0))</f>
        <v>593675.13592759764</v>
      </c>
      <c r="O38" s="303">
        <f>INDEX(BLD_EA!$E$41:$Y$41,MATCH(O$32,BLD_EA!$E$12:$Y$12,0))</f>
        <v>595486.11615238572</v>
      </c>
      <c r="P38" s="303">
        <f>INDEX(BLD_EA!$E$41:$Y$41,MATCH(P$32,BLD_EA!$E$12:$Y$12,0))</f>
        <v>596930.81508191943</v>
      </c>
      <c r="Q38" s="303">
        <f>INDEX(BLD_EA!$E$41:$Y$41,MATCH(Q$32,BLD_EA!$E$12:$Y$12,0))</f>
        <v>597985.80705430289</v>
      </c>
      <c r="R38" s="303">
        <f>INDEX(BLD_EA!$E$41:$Y$41,MATCH(R$32,BLD_EA!$E$12:$Y$12,0))</f>
        <v>598626.55389296403</v>
      </c>
      <c r="S38" s="303">
        <f>INDEX(BLD_EA!$E$41:$Y$41,MATCH(S$32,BLD_EA!$E$12:$Y$12,0))</f>
        <v>607656.15295219317</v>
      </c>
      <c r="T38" s="303">
        <f>INDEX(BLD_EA!$E$41:$Y$41,MATCH(T$32,BLD_EA!$E$12:$Y$12,0))</f>
        <v>616792.77069214068</v>
      </c>
      <c r="U38" s="303">
        <f>INDEX(BLD_EA!$E$41:$Y$41,MATCH(U$32,BLD_EA!$E$12:$Y$12,0))</f>
        <v>626036.70815390965</v>
      </c>
      <c r="V38" s="303">
        <f>INDEX(BLD_EA!$E$41:$Y$41,MATCH(V$32,BLD_EA!$E$12:$Y$12,0))</f>
        <v>635388.22641611274</v>
      </c>
      <c r="W38" s="303">
        <f>INDEX(BLD_EA!$E$41:$Y$41,MATCH(W$32,BLD_EA!$E$12:$Y$12,0))</f>
        <v>644847.54464603774</v>
      </c>
      <c r="X38" s="303">
        <f>INDEX(BLD_EA!$E$41:$Y$41,MATCH(X$32,BLD_EA!$E$12:$Y$12,0))</f>
        <v>654414.83808310062</v>
      </c>
      <c r="Y38" s="303">
        <f>INDEX(BLD_EA!$E$41:$Y$41,MATCH(Y$32,BLD_EA!$E$12:$Y$12,0))</f>
        <v>664090.23595250899</v>
      </c>
      <c r="Z38" s="303">
        <f>INDEX(BLD_EA!$E$41:$Y$41,MATCH(Z$32,BLD_EA!$E$12:$Y$12,0))</f>
        <v>673873.81930699979</v>
      </c>
      <c r="AA38" s="303">
        <f>INDEX(BLD_EA!$E$41:$Y$41,MATCH(AA$32,BLD_EA!$E$12:$Y$12,0))</f>
        <v>683765.61879446544</v>
      </c>
      <c r="AB38" s="303">
        <f>INDEX(BLD_EA!$E$41:$Y$41,MATCH(AB$32,BLD_EA!$E$12:$Y$12,0))</f>
        <v>693765.61234921357</v>
      </c>
      <c r="AC38" s="303">
        <f>INDEX(BLD_EA!$E$41:$Y$41,MATCH(AC$32,BLD_EA!$E$12:$Y$12,0))</f>
        <v>703873.72280452854</v>
      </c>
    </row>
    <row r="39" spans="2:29">
      <c r="B39" s="33" t="s">
        <v>453</v>
      </c>
      <c r="C39" s="33" t="s">
        <v>316</v>
      </c>
      <c r="D39" s="33" t="s">
        <v>454</v>
      </c>
      <c r="E39" s="33" t="s">
        <v>455</v>
      </c>
      <c r="F39" s="34">
        <v>2025</v>
      </c>
      <c r="G39" s="34" t="s">
        <v>435</v>
      </c>
      <c r="I39" s="303">
        <f>INDEX(BLD_EE!$E$41:$Y$41,MATCH(I$32,BLD_EE!$E$12:$Y$12,0))</f>
        <v>207537.00800000003</v>
      </c>
      <c r="J39" s="303">
        <f>INDEX(BLD_EE!$E$41:$Y$41,MATCH(J$32,BLD_EE!$E$12:$Y$12,0))</f>
        <v>207348.16816</v>
      </c>
      <c r="K39" s="303">
        <f>INDEX(BLD_EE!$E$41:$Y$41,MATCH(K$32,BLD_EE!$E$12:$Y$12,0))</f>
        <v>206981.96832319998</v>
      </c>
      <c r="L39" s="303">
        <f>INDEX(BLD_EE!$E$41:$Y$41,MATCH(L$32,BLD_EE!$E$12:$Y$12,0))</f>
        <v>289501.41110732796</v>
      </c>
      <c r="M39" s="303">
        <f>INDEX(BLD_EE!$E$41:$Y$41,MATCH(M$32,BLD_EE!$E$12:$Y$12,0))</f>
        <v>290410.00201235455</v>
      </c>
      <c r="N39" s="303">
        <f>INDEX(BLD_EE!$E$41:$Y$41,MATCH(N$32,BLD_EE!$E$12:$Y$12,0))</f>
        <v>291141.50724279688</v>
      </c>
      <c r="O39" s="303">
        <f>INDEX(BLD_EE!$E$41:$Y$41,MATCH(O$32,BLD_EE!$E$12:$Y$12,0))</f>
        <v>291684.57478545577</v>
      </c>
      <c r="P39" s="303">
        <f>INDEX(BLD_EE!$E$41:$Y$41,MATCH(P$32,BLD_EE!$E$12:$Y$12,0))</f>
        <v>292027.31317488017</v>
      </c>
      <c r="Q39" s="303">
        <f>INDEX(BLD_EE!$E$41:$Y$41,MATCH(Q$32,BLD_EE!$E$12:$Y$12,0))</f>
        <v>292157.26820784144</v>
      </c>
      <c r="R39" s="303">
        <f>INDEX(BLD_EE!$E$41:$Y$41,MATCH(R$32,BLD_EE!$E$12:$Y$12,0))</f>
        <v>292061.39869224018</v>
      </c>
      <c r="S39" s="303">
        <f>INDEX(BLD_EE!$E$41:$Y$41,MATCH(S$32,BLD_EE!$E$12:$Y$12,0))</f>
        <v>296358.482797348</v>
      </c>
      <c r="T39" s="303">
        <f>INDEX(BLD_EE!$E$41:$Y$41,MATCH(T$32,BLD_EE!$E$12:$Y$12,0))</f>
        <v>300702.90498783981</v>
      </c>
      <c r="U39" s="303">
        <f>INDEX(BLD_EE!$E$41:$Y$41,MATCH(U$32,BLD_EE!$E$12:$Y$12,0))</f>
        <v>305094.64693550469</v>
      </c>
      <c r="V39" s="303">
        <f>INDEX(BLD_EE!$E$41:$Y$41,MATCH(V$32,BLD_EE!$E$12:$Y$12,0))</f>
        <v>309533.6658183207</v>
      </c>
      <c r="W39" s="303">
        <f>INDEX(BLD_EE!$E$41:$Y$41,MATCH(W$32,BLD_EE!$E$12:$Y$12,0))</f>
        <v>314019.8932273956</v>
      </c>
      <c r="X39" s="303">
        <f>INDEX(BLD_EE!$E$41:$Y$41,MATCH(X$32,BLD_EE!$E$12:$Y$12,0))</f>
        <v>318553.23403696984</v>
      </c>
      <c r="Y39" s="303">
        <f>INDEX(BLD_EE!$E$41:$Y$41,MATCH(Y$32,BLD_EE!$E$12:$Y$12,0))</f>
        <v>323133.56523636123</v>
      </c>
      <c r="Z39" s="303">
        <f>INDEX(BLD_EE!$E$41:$Y$41,MATCH(Z$32,BLD_EE!$E$12:$Y$12,0))</f>
        <v>327760.73472270631</v>
      </c>
      <c r="AA39" s="303">
        <f>INDEX(BLD_EE!$E$41:$Y$41,MATCH(AA$32,BLD_EE!$E$12:$Y$12,0))</f>
        <v>332434.56005331944</v>
      </c>
      <c r="AB39" s="303">
        <f>INDEX(BLD_EE!$E$41:$Y$41,MATCH(AB$32,BLD_EE!$E$12:$Y$12,0))</f>
        <v>337154.8271564485</v>
      </c>
      <c r="AC39" s="303">
        <f>INDEX(BLD_EE!$E$41:$Y$41,MATCH(AC$32,BLD_EE!$E$12:$Y$12,0))</f>
        <v>341921.28899919137</v>
      </c>
    </row>
    <row r="40" spans="2:29">
      <c r="B40" s="38" t="s">
        <v>456</v>
      </c>
      <c r="C40" s="38" t="s">
        <v>317</v>
      </c>
      <c r="D40" s="38" t="s">
        <v>457</v>
      </c>
      <c r="E40" s="38" t="s">
        <v>455</v>
      </c>
      <c r="F40" s="39">
        <v>2025</v>
      </c>
      <c r="G40" s="39" t="s">
        <v>435</v>
      </c>
      <c r="I40" s="303">
        <f>INDEX(BLD_JP!$E$41:$Y$41,MATCH(I$32,BLD_JP!$E$12:$Y$12,0))</f>
        <v>141364.12</v>
      </c>
      <c r="J40" s="303">
        <f>INDEX(BLD_JP!$E$41:$Y$41,MATCH(J$32,BLD_JP!$E$12:$Y$12,0))</f>
        <v>236702.40479999996</v>
      </c>
      <c r="K40" s="303">
        <f>INDEX(BLD_JP!$E$41:$Y$41,MATCH(K$32,BLD_JP!$E$12:$Y$12,0))</f>
        <v>236138.75529599993</v>
      </c>
      <c r="L40" s="303">
        <f>INDEX(BLD_JP!$E$41:$Y$41,MATCH(L$32,BLD_JP!$E$12:$Y$12,0))</f>
        <v>235351.92489791982</v>
      </c>
      <c r="M40" s="303">
        <f>INDEX(BLD_JP!$E$41:$Y$41,MATCH(M$32,BLD_JP!$E$12:$Y$12,0))</f>
        <v>234328.97367171821</v>
      </c>
      <c r="N40" s="303">
        <f>INDEX(BLD_JP!$E$41:$Y$41,MATCH(N$32,BLD_JP!$E$12:$Y$12,0))</f>
        <v>233056.36383202608</v>
      </c>
      <c r="O40" s="303">
        <f>INDEX(BLD_JP!$E$41:$Y$41,MATCH(O$32,BLD_JP!$E$12:$Y$12,0))</f>
        <v>231519.9342230155</v>
      </c>
      <c r="P40" s="303">
        <f>INDEX(BLD_JP!$E$41:$Y$41,MATCH(P$32,BLD_JP!$E$12:$Y$12,0))</f>
        <v>229704.87374639808</v>
      </c>
      <c r="Q40" s="303">
        <f>INDEX(BLD_JP!$E$41:$Y$41,MATCH(Q$32,BLD_JP!$E$12:$Y$12,0))</f>
        <v>227595.69369380531</v>
      </c>
      <c r="R40" s="303">
        <f>INDEX(BLD_JP!$E$41:$Y$41,MATCH(R$32,BLD_JP!$E$12:$Y$12,0))</f>
        <v>225176.19893905998</v>
      </c>
      <c r="S40" s="303">
        <f>INDEX(BLD_JP!$E$41:$Y$41,MATCH(S$32,BLD_JP!$E$12:$Y$12,0))</f>
        <v>227867.1566743998</v>
      </c>
      <c r="T40" s="303">
        <f>INDEX(BLD_JP!$E$41:$Y$41,MATCH(T$32,BLD_JP!$E$12:$Y$12,0))</f>
        <v>230566.61940835993</v>
      </c>
      <c r="U40" s="303">
        <f>INDEX(BLD_JP!$E$41:$Y$41,MATCH(U$32,BLD_JP!$E$12:$Y$12,0))</f>
        <v>233273.6243870114</v>
      </c>
      <c r="V40" s="303">
        <f>INDEX(BLD_JP!$E$41:$Y$41,MATCH(V$32,BLD_JP!$E$12:$Y$12,0))</f>
        <v>235987.1612799982</v>
      </c>
      <c r="W40" s="303">
        <f>INDEX(BLD_JP!$E$41:$Y$41,MATCH(W$32,BLD_JP!$E$12:$Y$12,0))</f>
        <v>238706.17052097555</v>
      </c>
      <c r="X40" s="303">
        <f>INDEX(BLD_JP!$E$41:$Y$41,MATCH(X$32,BLD_JP!$E$12:$Y$12,0))</f>
        <v>241429.54159715667</v>
      </c>
      <c r="Y40" s="303">
        <f>INDEX(BLD_JP!$E$41:$Y$41,MATCH(Y$32,BLD_JP!$E$12:$Y$12,0))</f>
        <v>244156.111286506</v>
      </c>
      <c r="Z40" s="303">
        <f>INDEX(BLD_JP!$E$41:$Y$41,MATCH(Z$32,BLD_JP!$E$12:$Y$12,0))</f>
        <v>246884.66184107732</v>
      </c>
      <c r="AA40" s="303">
        <f>INDEX(BLD_JP!$E$41:$Y$41,MATCH(AA$32,BLD_JP!$E$12:$Y$12,0))</f>
        <v>249613.919114961</v>
      </c>
      <c r="AB40" s="303">
        <f>INDEX(BLD_JP!$E$41:$Y$41,MATCH(AB$32,BLD_JP!$E$12:$Y$12,0))</f>
        <v>252342.55063524883</v>
      </c>
      <c r="AC40" s="303">
        <f>INDEX(BLD_JP!$E$41:$Y$41,MATCH(AC$32,BLD_JP!$E$12:$Y$12,0))</f>
        <v>255069.16361439234</v>
      </c>
    </row>
    <row r="41" spans="2:29">
      <c r="B41" s="33" t="s">
        <v>458</v>
      </c>
      <c r="C41" s="33" t="s">
        <v>318</v>
      </c>
      <c r="D41" s="33" t="s">
        <v>459</v>
      </c>
      <c r="E41" s="33" t="s">
        <v>460</v>
      </c>
      <c r="F41" s="34">
        <v>2025</v>
      </c>
      <c r="G41" s="34" t="s">
        <v>435</v>
      </c>
      <c r="I41" s="303">
        <f>INDEX(BLD_MH!$E$41:$Y$41,MATCH(I$32,BLD_MH!$E$12:$Y$12,0))</f>
        <v>146321.51200000005</v>
      </c>
      <c r="J41" s="303">
        <f>INDEX(BLD_MH!$E$41:$Y$41,MATCH(J$32,BLD_MH!$E$12:$Y$12,0))</f>
        <v>210980.64448000002</v>
      </c>
      <c r="K41" s="303">
        <f>INDEX(BLD_MH!$E$41:$Y$41,MATCH(K$32,BLD_MH!$E$12:$Y$12,0))</f>
        <v>211367.31656960002</v>
      </c>
      <c r="L41" s="303">
        <f>INDEX(BLD_MH!$E$41:$Y$41,MATCH(L$32,BLD_MH!$E$12:$Y$12,0))</f>
        <v>211608.40446899191</v>
      </c>
      <c r="M41" s="303">
        <f>INDEX(BLD_MH!$E$41:$Y$41,MATCH(M$32,BLD_MH!$E$12:$Y$12,0))</f>
        <v>211694.86378909191</v>
      </c>
      <c r="N41" s="303">
        <f>INDEX(BLD_MH!$E$41:$Y$41,MATCH(N$32,BLD_MH!$E$12:$Y$12,0))</f>
        <v>211617.22394482244</v>
      </c>
      <c r="O41" s="303">
        <f>INDEX(BLD_MH!$E$41:$Y$41,MATCH(O$32,BLD_MH!$E$12:$Y$12,0))</f>
        <v>211365.56981886574</v>
      </c>
      <c r="P41" s="303">
        <f>INDEX(BLD_MH!$E$41:$Y$41,MATCH(P$32,BLD_MH!$E$12:$Y$12,0))</f>
        <v>210929.52266619558</v>
      </c>
      <c r="Q41" s="303">
        <f>INDEX(BLD_MH!$E$41:$Y$41,MATCH(Q$32,BLD_MH!$E$12:$Y$12,0))</f>
        <v>210298.22022851012</v>
      </c>
      <c r="R41" s="303">
        <f>INDEX(BLD_MH!$E$41:$Y$41,MATCH(R$32,BLD_MH!$E$12:$Y$12,0))</f>
        <v>209460.29602643073</v>
      </c>
      <c r="S41" s="303">
        <f>INDEX(BLD_MH!$E$41:$Y$41,MATCH(S$32,BLD_MH!$E$12:$Y$12,0))</f>
        <v>212338.09090923046</v>
      </c>
      <c r="T41" s="303">
        <f>INDEX(BLD_MH!$E$41:$Y$41,MATCH(T$32,BLD_MH!$E$12:$Y$12,0))</f>
        <v>215240.65641374286</v>
      </c>
      <c r="U41" s="303">
        <f>INDEX(BLD_MH!$E$41:$Y$41,MATCH(U$32,BLD_MH!$E$12:$Y$12,0))</f>
        <v>218167.66832050378</v>
      </c>
      <c r="V41" s="303">
        <f>INDEX(BLD_MH!$E$41:$Y$41,MATCH(V$32,BLD_MH!$E$12:$Y$12,0))</f>
        <v>221118.77543486224</v>
      </c>
      <c r="W41" s="303">
        <f>INDEX(BLD_MH!$E$41:$Y$41,MATCH(W$32,BLD_MH!$E$12:$Y$12,0))</f>
        <v>224093.59853520652</v>
      </c>
      <c r="X41" s="303">
        <f>INDEX(BLD_MH!$E$41:$Y$41,MATCH(X$32,BLD_MH!$E$12:$Y$12,0))</f>
        <v>227091.72928734845</v>
      </c>
      <c r="Y41" s="303">
        <f>INDEX(BLD_MH!$E$41:$Y$41,MATCH(Y$32,BLD_MH!$E$12:$Y$12,0))</f>
        <v>230112.72912406956</v>
      </c>
      <c r="Z41" s="303">
        <f>INDEX(BLD_MH!$E$41:$Y$41,MATCH(Z$32,BLD_MH!$E$12:$Y$12,0))</f>
        <v>233156.12808879942</v>
      </c>
      <c r="AA41" s="303">
        <f>INDEX(BLD_MH!$E$41:$Y$41,MATCH(AA$32,BLD_MH!$E$12:$Y$12,0))</f>
        <v>236221.42364238016</v>
      </c>
      <c r="AB41" s="303">
        <f>INDEX(BLD_MH!$E$41:$Y$41,MATCH(AB$32,BLD_MH!$E$12:$Y$12,0))</f>
        <v>239308.07943182741</v>
      </c>
      <c r="AC41" s="303">
        <f>INDEX(BLD_MH!$E$41:$Y$41,MATCH(AC$32,BLD_MH!$E$12:$Y$12,0))</f>
        <v>242415.52401997877</v>
      </c>
    </row>
    <row r="42" spans="2:29">
      <c r="B42" s="38" t="s">
        <v>461</v>
      </c>
      <c r="C42" s="38" t="s">
        <v>319</v>
      </c>
      <c r="D42" s="38" t="s">
        <v>462</v>
      </c>
      <c r="E42" s="38" t="s">
        <v>463</v>
      </c>
      <c r="F42" s="39">
        <v>2025</v>
      </c>
      <c r="G42" s="39" t="s">
        <v>435</v>
      </c>
      <c r="I42" s="303">
        <f>INDEX(BLD_MM!$E$41:$Y$41,MATCH(I$32,BLD_MM!$E$12:$Y$12,0))</f>
        <v>502606.51400000008</v>
      </c>
      <c r="J42" s="303">
        <f>INDEX(BLD_MM!$E$41:$Y$41,MATCH(J$32,BLD_MM!$E$12:$Y$12,0))</f>
        <v>507090.76428000006</v>
      </c>
      <c r="K42" s="303">
        <f>INDEX(BLD_MM!$E$41:$Y$41,MATCH(K$32,BLD_MM!$E$12:$Y$12,0))</f>
        <v>511441.98436559999</v>
      </c>
      <c r="L42" s="303">
        <f>INDEX(BLD_MM!$E$41:$Y$41,MATCH(L$32,BLD_MM!$E$12:$Y$12,0))</f>
        <v>515648.60504491202</v>
      </c>
      <c r="M42" s="303">
        <f>INDEX(BLD_MM!$E$41:$Y$41,MATCH(M$32,BLD_MM!$E$12:$Y$12,0))</f>
        <v>519698.46937749011</v>
      </c>
      <c r="N42" s="303">
        <f>INDEX(BLD_MM!$E$41:$Y$41,MATCH(N$32,BLD_MM!$E$12:$Y$12,0))</f>
        <v>523578.80668598716</v>
      </c>
      <c r="O42" s="303">
        <f>INDEX(BLD_MM!$E$41:$Y$41,MATCH(O$32,BLD_MM!$E$12:$Y$12,0))</f>
        <v>527276.20545749215</v>
      </c>
      <c r="P42" s="303">
        <f>INDEX(BLD_MM!$E$41:$Y$41,MATCH(P$32,BLD_MM!$E$12:$Y$12,0))</f>
        <v>530776.58510993817</v>
      </c>
      <c r="Q42" s="303">
        <f>INDEX(BLD_MM!$E$41:$Y$41,MATCH(Q$32,BLD_MM!$E$12:$Y$12,0))</f>
        <v>534065.16657716536</v>
      </c>
      <c r="R42" s="303">
        <f>INDEX(BLD_MM!$E$41:$Y$41,MATCH(R$32,BLD_MM!$E$12:$Y$12,0))</f>
        <v>537126.441664338</v>
      </c>
      <c r="S42" s="303">
        <f>INDEX(BLD_MM!$E$41:$Y$41,MATCH(S$32,BLD_MM!$E$12:$Y$12,0))</f>
        <v>545887.76315408852</v>
      </c>
      <c r="T42" s="303">
        <f>INDEX(BLD_MM!$E$41:$Y$41,MATCH(T$32,BLD_MM!$E$12:$Y$12,0))</f>
        <v>554774.78089004557</v>
      </c>
      <c r="U42" s="303">
        <f>INDEX(BLD_MM!$E$41:$Y$41,MATCH(U$32,BLD_MM!$E$12:$Y$12,0))</f>
        <v>563788.77054254361</v>
      </c>
      <c r="V42" s="303">
        <f>INDEX(BLD_MM!$E$41:$Y$41,MATCH(V$32,BLD_MM!$E$12:$Y$12,0))</f>
        <v>572931.00233895902</v>
      </c>
      <c r="W42" s="303">
        <f>INDEX(BLD_MM!$E$41:$Y$41,MATCH(W$32,BLD_MM!$E$12:$Y$12,0))</f>
        <v>582202.74018094223</v>
      </c>
      <c r="X42" s="303">
        <f>INDEX(BLD_MM!$E$41:$Y$41,MATCH(X$32,BLD_MM!$E$12:$Y$12,0))</f>
        <v>591605.24072464451</v>
      </c>
      <c r="Y42" s="303">
        <f>INDEX(BLD_MM!$E$41:$Y$41,MATCH(Y$32,BLD_MM!$E$12:$Y$12,0))</f>
        <v>601139.75242272357</v>
      </c>
      <c r="Z42" s="303">
        <f>INDEX(BLD_MM!$E$41:$Y$41,MATCH(Z$32,BLD_MM!$E$12:$Y$12,0))</f>
        <v>610807.51452685357</v>
      </c>
      <c r="AA42" s="303">
        <f>INDEX(BLD_MM!$E$41:$Y$41,MATCH(AA$32,BLD_MM!$E$12:$Y$12,0))</f>
        <v>620609.75604945794</v>
      </c>
      <c r="AB42" s="303">
        <f>INDEX(BLD_MM!$E$41:$Y$41,MATCH(AB$32,BLD_MM!$E$12:$Y$12,0))</f>
        <v>630547.69468331616</v>
      </c>
      <c r="AC42" s="303">
        <f>INDEX(BLD_MM!$E$41:$Y$41,MATCH(AC$32,BLD_MM!$E$12:$Y$12,0))</f>
        <v>640622.53567767376</v>
      </c>
    </row>
    <row r="43" spans="2:29">
      <c r="B43" s="33" t="s">
        <v>464</v>
      </c>
      <c r="C43" s="33" t="s">
        <v>320</v>
      </c>
      <c r="D43" s="33" t="s">
        <v>465</v>
      </c>
      <c r="E43" s="33" t="s">
        <v>434</v>
      </c>
      <c r="F43" s="34">
        <v>2025</v>
      </c>
      <c r="G43" s="34" t="s">
        <v>435</v>
      </c>
      <c r="I43" s="303">
        <f>INDEX(BLD_NT!$E$41:$Y$41,MATCH(I$32,BLD_NT!$E$12:$Y$12,0))</f>
        <v>310204.71999999997</v>
      </c>
      <c r="J43" s="303">
        <f>INDEX(BLD_NT!$E$41:$Y$41,MATCH(J$32,BLD_NT!$E$12:$Y$12,0))</f>
        <v>310630.17440000002</v>
      </c>
      <c r="K43" s="303">
        <f>INDEX(BLD_NT!$E$41:$Y$41,MATCH(K$32,BLD_NT!$E$12:$Y$12,0))</f>
        <v>440733.09145599999</v>
      </c>
      <c r="L43" s="303">
        <f>INDEX(BLD_NT!$E$41:$Y$41,MATCH(L$32,BLD_NT!$E$12:$Y$12,0))</f>
        <v>443297.57626111974</v>
      </c>
      <c r="M43" s="303">
        <f>INDEX(BLD_NT!$E$41:$Y$41,MATCH(M$32,BLD_NT!$E$12:$Y$12,0))</f>
        <v>445663.34368138242</v>
      </c>
      <c r="N43" s="303">
        <f>INDEX(BLD_NT!$E$41:$Y$41,MATCH(N$32,BLD_NT!$E$12:$Y$12,0))</f>
        <v>447816.41908585152</v>
      </c>
      <c r="O43" s="303">
        <f>INDEX(BLD_NT!$E$41:$Y$41,MATCH(O$32,BLD_NT!$E$12:$Y$12,0))</f>
        <v>449742.1483396439</v>
      </c>
      <c r="P43" s="303">
        <f>INDEX(BLD_NT!$E$41:$Y$41,MATCH(P$32,BLD_NT!$E$12:$Y$12,0))</f>
        <v>451425.16821339499</v>
      </c>
      <c r="Q43" s="303">
        <f>INDEX(BLD_NT!$E$41:$Y$41,MATCH(Q$32,BLD_NT!$E$12:$Y$12,0))</f>
        <v>452849.37556089915</v>
      </c>
      <c r="R43" s="303">
        <f>INDEX(BLD_NT!$E$41:$Y$41,MATCH(R$32,BLD_NT!$E$12:$Y$12,0))</f>
        <v>453997.89521468332</v>
      </c>
      <c r="S43" s="303">
        <f>INDEX(BLD_NT!$E$41:$Y$41,MATCH(S$32,BLD_NT!$E$12:$Y$12,0))</f>
        <v>461021.65147604427</v>
      </c>
      <c r="T43" s="303">
        <f>INDEX(BLD_NT!$E$41:$Y$41,MATCH(T$32,BLD_NT!$E$12:$Y$12,0))</f>
        <v>468134.47782155912</v>
      </c>
      <c r="U43" s="303">
        <f>INDEX(BLD_NT!$E$41:$Y$41,MATCH(U$32,BLD_NT!$E$12:$Y$12,0))</f>
        <v>475336.87052688375</v>
      </c>
      <c r="V43" s="303">
        <f>INDEX(BLD_NT!$E$41:$Y$41,MATCH(V$32,BLD_NT!$E$12:$Y$12,0))</f>
        <v>482629.30366503762</v>
      </c>
      <c r="W43" s="303">
        <f>INDEX(BLD_NT!$E$41:$Y$41,MATCH(W$32,BLD_NT!$E$12:$Y$12,0))</f>
        <v>490012.2278591448</v>
      </c>
      <c r="X43" s="303">
        <f>INDEX(BLD_NT!$E$41:$Y$41,MATCH(X$32,BLD_NT!$E$12:$Y$12,0))</f>
        <v>497486.06899015466</v>
      </c>
      <c r="Y43" s="303">
        <f>INDEX(BLD_NT!$E$41:$Y$41,MATCH(Y$32,BLD_NT!$E$12:$Y$12,0))</f>
        <v>505051.22685812943</v>
      </c>
      <c r="Z43" s="303">
        <f>INDEX(BLD_NT!$E$41:$Y$41,MATCH(Z$32,BLD_NT!$E$12:$Y$12,0))</f>
        <v>512708.0737956689</v>
      </c>
      <c r="AA43" s="303">
        <f>INDEX(BLD_NT!$E$41:$Y$41,MATCH(AA$32,BLD_NT!$E$12:$Y$12,0))</f>
        <v>520456.95323196874</v>
      </c>
      <c r="AB43" s="303">
        <f>INDEX(BLD_NT!$E$41:$Y$41,MATCH(AB$32,BLD_NT!$E$12:$Y$12,0))</f>
        <v>528298.17820600315</v>
      </c>
      <c r="AC43" s="303">
        <f>INDEX(BLD_NT!$E$41:$Y$41,MATCH(AC$32,BLD_NT!$E$12:$Y$12,0))</f>
        <v>536232.02982725354</v>
      </c>
    </row>
    <row r="44" spans="2:29">
      <c r="B44" s="38" t="s">
        <v>466</v>
      </c>
      <c r="C44" s="38" t="s">
        <v>321</v>
      </c>
      <c r="D44" s="38" t="s">
        <v>467</v>
      </c>
      <c r="E44" s="38" t="s">
        <v>455</v>
      </c>
      <c r="F44" s="39">
        <v>2025</v>
      </c>
      <c r="G44" s="39" t="s">
        <v>435</v>
      </c>
      <c r="I44" s="303">
        <f>INDEX(BLD_NG!$E$41:$Y$41,MATCH(I$32,BLD_NG!$E$12:$Y$12,0))</f>
        <v>371605.62199999997</v>
      </c>
      <c r="J44" s="303">
        <f>INDEX(BLD_NG!$E$41:$Y$41,MATCH(J$32,BLD_NG!$E$12:$Y$12,0))</f>
        <v>469146.46888000017</v>
      </c>
      <c r="K44" s="303">
        <f>INDEX(BLD_NG!$E$41:$Y$41,MATCH(K$32,BLD_NG!$E$12:$Y$12,0))</f>
        <v>472064.11345760006</v>
      </c>
      <c r="L44" s="303">
        <f>INDEX(BLD_NG!$E$41:$Y$41,MATCH(L$32,BLD_NG!$E$12:$Y$12,0))</f>
        <v>474781.49953475199</v>
      </c>
      <c r="M44" s="303">
        <f>INDEX(BLD_NG!$E$41:$Y$41,MATCH(M$32,BLD_NG!$E$12:$Y$12,0))</f>
        <v>477284.27748576715</v>
      </c>
      <c r="N44" s="303">
        <f>INDEX(BLD_NG!$E$41:$Y$41,MATCH(N$32,BLD_NG!$E$12:$Y$12,0))</f>
        <v>479557.39691421518</v>
      </c>
      <c r="O44" s="303">
        <f>INDEX(BLD_NG!$E$41:$Y$41,MATCH(O$32,BLD_NG!$E$12:$Y$12,0))</f>
        <v>481585.07608638151</v>
      </c>
      <c r="P44" s="303">
        <f>INDEX(BLD_NG!$E$41:$Y$41,MATCH(P$32,BLD_NG!$E$12:$Y$12,0))</f>
        <v>483350.77009134629</v>
      </c>
      <c r="Q44" s="303">
        <f>INDEX(BLD_NG!$E$41:$Y$41,MATCH(Q$32,BLD_NG!$E$12:$Y$12,0))</f>
        <v>484837.13767574017</v>
      </c>
      <c r="R44" s="303">
        <f>INDEX(BLD_NG!$E$41:$Y$41,MATCH(R$32,BLD_NG!$E$12:$Y$12,0))</f>
        <v>486026.00669912464</v>
      </c>
      <c r="S44" s="303">
        <f>INDEX(BLD_NG!$E$41:$Y$41,MATCH(S$32,BLD_NG!$E$12:$Y$12,0))</f>
        <v>493534.47966327332</v>
      </c>
      <c r="T44" s="303">
        <f>INDEX(BLD_NG!$E$41:$Y$41,MATCH(T$32,BLD_NG!$E$12:$Y$12,0))</f>
        <v>501137.82090745878</v>
      </c>
      <c r="U44" s="303">
        <f>INDEX(BLD_NG!$E$41:$Y$41,MATCH(U$32,BLD_NG!$E$12:$Y$12,0))</f>
        <v>508836.5452678015</v>
      </c>
      <c r="V44" s="303">
        <f>INDEX(BLD_NG!$E$41:$Y$41,MATCH(V$32,BLD_NG!$E$12:$Y$12,0))</f>
        <v>516631.14331390557</v>
      </c>
      <c r="W44" s="303">
        <f>INDEX(BLD_NG!$E$41:$Y$41,MATCH(W$32,BLD_NG!$E$12:$Y$12,0))</f>
        <v>524522.07999945048</v>
      </c>
      <c r="X44" s="303">
        <f>INDEX(BLD_NG!$E$41:$Y$41,MATCH(X$32,BLD_NG!$E$12:$Y$12,0))</f>
        <v>532509.79326418764</v>
      </c>
      <c r="Y44" s="303">
        <f>INDEX(BLD_NG!$E$41:$Y$41,MATCH(Y$32,BLD_NG!$E$12:$Y$12,0))</f>
        <v>540594.69258583884</v>
      </c>
      <c r="Z44" s="303">
        <f>INDEX(BLD_NG!$E$41:$Y$41,MATCH(Z$32,BLD_NG!$E$12:$Y$12,0))</f>
        <v>548777.15748033219</v>
      </c>
      <c r="AA44" s="303">
        <f>INDEX(BLD_NG!$E$41:$Y$41,MATCH(AA$32,BLD_NG!$E$12:$Y$12,0))</f>
        <v>557057.53594878467</v>
      </c>
      <c r="AB44" s="303">
        <f>INDEX(BLD_NG!$E$41:$Y$41,MATCH(AB$32,BLD_NG!$E$12:$Y$12,0))</f>
        <v>565436.14286957716</v>
      </c>
      <c r="AC44" s="303">
        <f>INDEX(BLD_NG!$E$41:$Y$41,MATCH(AC$32,BLD_NG!$E$12:$Y$12,0))</f>
        <v>573913.25833383086</v>
      </c>
    </row>
    <row r="45" spans="2:29">
      <c r="B45" s="33" t="s">
        <v>470</v>
      </c>
      <c r="C45" s="33" t="s">
        <v>322</v>
      </c>
      <c r="D45" s="33" t="s">
        <v>471</v>
      </c>
      <c r="E45" s="33" t="s">
        <v>455</v>
      </c>
      <c r="F45" s="34">
        <v>2025</v>
      </c>
      <c r="G45" s="34" t="s">
        <v>435</v>
      </c>
      <c r="I45" s="303">
        <f>INDEX(BLD_RG!$E$41:$Y$41,MATCH(I$32,BLD_RG!$E$12:$Y$12,0))</f>
        <v>233508.56400000007</v>
      </c>
      <c r="J45" s="303">
        <f>INDEX(BLD_RG!$E$41:$Y$41,MATCH(J$32,BLD_RG!$E$12:$Y$12,0))</f>
        <v>233866.97528000007</v>
      </c>
      <c r="K45" s="303">
        <f>INDEX(BLD_RG!$E$41:$Y$41,MATCH(K$32,BLD_RG!$E$12:$Y$12,0))</f>
        <v>234060.0843856</v>
      </c>
      <c r="L45" s="303">
        <f>INDEX(BLD_RG!$E$41:$Y$41,MATCH(L$32,BLD_RG!$E$12:$Y$12,0))</f>
        <v>234077.68645731194</v>
      </c>
      <c r="M45" s="303">
        <f>INDEX(BLD_RG!$E$41:$Y$41,MATCH(M$32,BLD_RG!$E$12:$Y$12,0))</f>
        <v>233909.09658581819</v>
      </c>
      <c r="N45" s="303">
        <f>INDEX(BLD_RG!$E$41:$Y$41,MATCH(N$32,BLD_RG!$E$12:$Y$12,0))</f>
        <v>233543.12917286891</v>
      </c>
      <c r="O45" s="303">
        <f>INDEX(BLD_RG!$E$41:$Y$41,MATCH(O$32,BLD_RG!$E$12:$Y$12,0))</f>
        <v>232968.07643787412</v>
      </c>
      <c r="P45" s="303">
        <f>INDEX(BLD_RG!$E$41:$Y$41,MATCH(P$32,BLD_RG!$E$12:$Y$12,0))</f>
        <v>232171.68603544118</v>
      </c>
      <c r="Q45" s="303">
        <f>INDEX(BLD_RG!$E$41:$Y$41,MATCH(Q$32,BLD_RG!$E$12:$Y$12,0))</f>
        <v>231141.13774771214</v>
      </c>
      <c r="R45" s="303">
        <f>INDEX(BLD_RG!$E$41:$Y$41,MATCH(R$32,BLD_RG!$E$12:$Y$12,0))</f>
        <v>229863.01921389083</v>
      </c>
      <c r="S45" s="303">
        <f>INDEX(BLD_RG!$E$41:$Y$41,MATCH(S$32,BLD_RG!$E$12:$Y$12,0))</f>
        <v>232926.03486308717</v>
      </c>
      <c r="T45" s="303">
        <f>INDEX(BLD_RG!$E$41:$Y$41,MATCH(T$32,BLD_RG!$E$12:$Y$12,0))</f>
        <v>236011.95470689022</v>
      </c>
      <c r="U45" s="303">
        <f>INDEX(BLD_RG!$E$41:$Y$41,MATCH(U$32,BLD_RG!$E$12:$Y$12,0))</f>
        <v>239120.2779262329</v>
      </c>
      <c r="V45" s="303">
        <f>INDEX(BLD_RG!$E$41:$Y$41,MATCH(V$32,BLD_RG!$E$12:$Y$12,0))</f>
        <v>242250.46971309237</v>
      </c>
      <c r="W45" s="303">
        <f>INDEX(BLD_RG!$E$41:$Y$41,MATCH(W$32,BLD_RG!$E$12:$Y$12,0))</f>
        <v>245401.9599913978</v>
      </c>
      <c r="X45" s="303">
        <f>INDEX(BLD_RG!$E$41:$Y$41,MATCH(X$32,BLD_RG!$E$12:$Y$12,0))</f>
        <v>248574.14209737012</v>
      </c>
      <c r="Y45" s="303">
        <f>INDEX(BLD_RG!$E$41:$Y$41,MATCH(Y$32,BLD_RG!$E$12:$Y$12,0))</f>
        <v>251766.37141811574</v>
      </c>
      <c r="Z45" s="303">
        <f>INDEX(BLD_RG!$E$41:$Y$41,MATCH(Z$32,BLD_RG!$E$12:$Y$12,0))</f>
        <v>254977.9639872461</v>
      </c>
      <c r="AA45" s="303">
        <f>INDEX(BLD_RG!$E$41:$Y$41,MATCH(AA$32,BLD_RG!$E$12:$Y$12,0))</f>
        <v>258208.19503627834</v>
      </c>
      <c r="AB45" s="303">
        <f>INDEX(BLD_RG!$E$41:$Y$41,MATCH(AB$32,BLD_RG!$E$12:$Y$12,0))</f>
        <v>261456.2975005231</v>
      </c>
      <c r="AC45" s="303">
        <f>INDEX(BLD_RG!$E$41:$Y$41,MATCH(AC$32,BLD_RG!$E$12:$Y$12,0))</f>
        <v>264721.46047814103</v>
      </c>
    </row>
    <row r="46" spans="2:29">
      <c r="B46" s="38" t="s">
        <v>473</v>
      </c>
      <c r="C46" s="38" t="s">
        <v>323</v>
      </c>
      <c r="D46" s="38" t="s">
        <v>323</v>
      </c>
      <c r="E46" s="38" t="s">
        <v>434</v>
      </c>
      <c r="F46" s="39">
        <v>2028</v>
      </c>
      <c r="G46" s="39" t="s">
        <v>474</v>
      </c>
      <c r="I46" s="303">
        <f>INDEX(BLD_AS!$E$41:$Y$41,MATCH(I$32,BLD_AS!$E$12:$Y$12,0))</f>
        <v>0</v>
      </c>
      <c r="J46" s="303">
        <f>INDEX(BLD_AS!$E$41:$Y$41,MATCH(J$32,BLD_AS!$E$12:$Y$12,0))</f>
        <v>0</v>
      </c>
      <c r="K46" s="303">
        <f>INDEX(BLD_AS!$E$41:$Y$41,MATCH(K$32,BLD_AS!$E$12:$Y$12,0))</f>
        <v>0</v>
      </c>
      <c r="L46" s="303">
        <f>INDEX(BLD_AS!$E$41:$Y$41,MATCH(L$32,BLD_AS!$E$12:$Y$12,0))</f>
        <v>1213031.43274072</v>
      </c>
      <c r="M46" s="303">
        <f>INDEX(BLD_AS!$E$41:$Y$41,MATCH(M$32,BLD_AS!$E$12:$Y$12,0))</f>
        <v>1220832.7363856141</v>
      </c>
      <c r="N46" s="303">
        <f>INDEX(BLD_AS!$E$41:$Y$41,MATCH(N$32,BLD_AS!$E$12:$Y$12,0))</f>
        <v>1228131.6931030094</v>
      </c>
      <c r="O46" s="303">
        <f>INDEX(BLD_AS!$E$41:$Y$41,MATCH(O$32,BLD_AS!$E$12:$Y$12,0))</f>
        <v>1234891.9210343407</v>
      </c>
      <c r="P46" s="303">
        <f>INDEX(BLD_AS!$E$41:$Y$41,MATCH(P$32,BLD_AS!$E$12:$Y$12,0))</f>
        <v>1241075.2572870685</v>
      </c>
      <c r="Q46" s="303">
        <f>INDEX(BLD_AS!$E$41:$Y$41,MATCH(Q$32,BLD_AS!$E$12:$Y$12,0))</f>
        <v>1246641.6801781324</v>
      </c>
      <c r="R46" s="303">
        <f>INDEX(BLD_AS!$E$41:$Y$41,MATCH(R$32,BLD_AS!$E$12:$Y$12,0))</f>
        <v>1251549.228236831</v>
      </c>
      <c r="S46" s="303">
        <f>INDEX(BLD_AS!$E$41:$Y$41,MATCH(S$32,BLD_AS!$E$12:$Y$12,0))</f>
        <v>1271373.6385599028</v>
      </c>
      <c r="T46" s="303">
        <f>INDEX(BLD_AS!$E$41:$Y$41,MATCH(T$32,BLD_AS!$E$12:$Y$12,0))</f>
        <v>1291464.3727333951</v>
      </c>
      <c r="U46" s="303">
        <f>INDEX(BLD_AS!$E$41:$Y$41,MATCH(U$32,BLD_AS!$E$12:$Y$12,0))</f>
        <v>1311823.5031254133</v>
      </c>
      <c r="V46" s="303">
        <f>INDEX(BLD_AS!$E$41:$Y$41,MATCH(V$32,BLD_AS!$E$12:$Y$12,0))</f>
        <v>1332453.0621987071</v>
      </c>
      <c r="W46" s="303">
        <f>INDEX(BLD_AS!$E$41:$Y$41,MATCH(W$32,BLD_AS!$E$12:$Y$12,0))</f>
        <v>1353355.0396787361</v>
      </c>
      <c r="X46" s="303">
        <f>INDEX(BLD_AS!$E$41:$Y$41,MATCH(X$32,BLD_AS!$E$12:$Y$12,0))</f>
        <v>1374531.3796142661</v>
      </c>
      <c r="Y46" s="303">
        <f>INDEX(BLD_AS!$E$41:$Y$41,MATCH(Y$32,BLD_AS!$E$12:$Y$12,0))</f>
        <v>1395983.9773270567</v>
      </c>
      <c r="Z46" s="303">
        <f>INDEX(BLD_AS!$E$41:$Y$41,MATCH(Z$32,BLD_AS!$E$12:$Y$12,0))</f>
        <v>1417714.6762471155</v>
      </c>
      <c r="AA46" s="303">
        <f>INDEX(BLD_AS!$E$41:$Y$41,MATCH(AA$32,BLD_AS!$E$12:$Y$12,0))</f>
        <v>1439725.2646299123</v>
      </c>
      <c r="AB46" s="303">
        <f>INDEX(BLD_AS!$E$41:$Y$41,MATCH(AB$32,BLD_AS!$E$12:$Y$12,0))</f>
        <v>1462017.4721518131</v>
      </c>
      <c r="AC46" s="303">
        <f>INDEX(BLD_AS!$E$41:$Y$41,MATCH(AC$32,BLD_AS!$E$12:$Y$12,0))</f>
        <v>1484592.9663798832</v>
      </c>
    </row>
    <row r="47" spans="2:29">
      <c r="B47" s="33" t="s">
        <v>476</v>
      </c>
      <c r="C47" s="33" t="s">
        <v>324</v>
      </c>
      <c r="D47" s="33" t="s">
        <v>324</v>
      </c>
      <c r="E47" s="33" t="s">
        <v>434</v>
      </c>
      <c r="F47" s="34">
        <v>2028</v>
      </c>
      <c r="G47" s="34" t="s">
        <v>474</v>
      </c>
      <c r="I47" s="303">
        <f>INDEX(BLD_PS!$E$41:$Y$41,MATCH(I$32,BLD_PS!$E$12:$Y$12,0))</f>
        <v>0</v>
      </c>
      <c r="J47" s="303">
        <f>INDEX(BLD_PS!$E$41:$Y$41,MATCH(J$32,BLD_PS!$E$12:$Y$12,0))</f>
        <v>0</v>
      </c>
      <c r="K47" s="303">
        <f>INDEX(BLD_PS!$E$41:$Y$41,MATCH(K$32,BLD_PS!$E$12:$Y$12,0))</f>
        <v>0</v>
      </c>
      <c r="L47" s="303">
        <f>INDEX(BLD_PS!$E$41:$Y$41,MATCH(L$32,BLD_PS!$E$12:$Y$12,0))</f>
        <v>1004966.1800435679</v>
      </c>
      <c r="M47" s="303">
        <f>INDEX(BLD_PS!$E$41:$Y$41,MATCH(M$32,BLD_PS!$E$12:$Y$12,0))</f>
        <v>1009635.6991618793</v>
      </c>
      <c r="N47" s="303">
        <f>INDEX(BLD_PS!$E$41:$Y$41,MATCH(N$32,BLD_PS!$E$12:$Y$12,0))</f>
        <v>1013781.4164832546</v>
      </c>
      <c r="O47" s="303">
        <f>INDEX(BLD_PS!$E$41:$Y$41,MATCH(O$32,BLD_PS!$E$12:$Y$12,0))</f>
        <v>1017368.1682845826</v>
      </c>
      <c r="P47" s="303">
        <f>INDEX(BLD_PS!$E$41:$Y$41,MATCH(P$32,BLD_PS!$E$12:$Y$12,0))</f>
        <v>1020359.1000608036</v>
      </c>
      <c r="Q47" s="303">
        <f>INDEX(BLD_PS!$E$41:$Y$41,MATCH(Q$32,BLD_PS!$E$12:$Y$12,0))</f>
        <v>1022715.5932089707</v>
      </c>
      <c r="R47" s="303">
        <f>INDEX(BLD_PS!$E$41:$Y$41,MATCH(R$32,BLD_PS!$E$12:$Y$12,0))</f>
        <v>1024397.1886659784</v>
      </c>
      <c r="S47" s="303">
        <f>INDEX(BLD_PS!$E$41:$Y$41,MATCH(S$32,BLD_PS!$E$12:$Y$12,0))</f>
        <v>1040004.2261734338</v>
      </c>
      <c r="T47" s="303">
        <f>INDEX(BLD_PS!$E$41:$Y$41,MATCH(T$32,BLD_PS!$E$12:$Y$12,0))</f>
        <v>1055801.3817743913</v>
      </c>
      <c r="U47" s="303">
        <f>INDEX(BLD_PS!$E$41:$Y$41,MATCH(U$32,BLD_PS!$E$12:$Y$12,0))</f>
        <v>1071789.4072643053</v>
      </c>
      <c r="V47" s="303">
        <f>INDEX(BLD_PS!$E$41:$Y$41,MATCH(V$32,BLD_PS!$E$12:$Y$12,0))</f>
        <v>1087968.9932103781</v>
      </c>
      <c r="W47" s="303">
        <f>INDEX(BLD_PS!$E$41:$Y$41,MATCH(W$32,BLD_PS!$E$12:$Y$12,0))</f>
        <v>1104340.7658203926</v>
      </c>
      <c r="X47" s="303">
        <f>INDEX(BLD_PS!$E$41:$Y$41,MATCH(X$32,BLD_PS!$E$12:$Y$12,0))</f>
        <v>1120905.2837012517</v>
      </c>
      <c r="Y47" s="303">
        <f>INDEX(BLD_PS!$E$41:$Y$41,MATCH(Y$32,BLD_PS!$E$12:$Y$12,0))</f>
        <v>1137663.0345038394</v>
      </c>
      <c r="Z47" s="303">
        <f>INDEX(BLD_PS!$E$41:$Y$41,MATCH(Z$32,BLD_PS!$E$12:$Y$12,0))</f>
        <v>1154614.4314506936</v>
      </c>
      <c r="AA47" s="303">
        <f>INDEX(BLD_PS!$E$41:$Y$41,MATCH(AA$32,BLD_PS!$E$12:$Y$12,0))</f>
        <v>1171759.8097429036</v>
      </c>
      <c r="AB47" s="303">
        <f>INDEX(BLD_PS!$E$41:$Y$41,MATCH(AB$32,BLD_PS!$E$12:$Y$12,0))</f>
        <v>1189099.4228425384</v>
      </c>
      <c r="AC47" s="303">
        <f>INDEX(BLD_PS!$E$41:$Y$41,MATCH(AC$32,BLD_PS!$E$12:$Y$12,0))</f>
        <v>1206633.4386267851</v>
      </c>
    </row>
    <row r="48" spans="2:29">
      <c r="B48" s="38" t="s">
        <v>477</v>
      </c>
      <c r="C48" s="38" t="s">
        <v>325</v>
      </c>
      <c r="D48" s="38" t="s">
        <v>478</v>
      </c>
      <c r="E48" s="38" t="s">
        <v>479</v>
      </c>
      <c r="F48" s="39">
        <v>2027</v>
      </c>
      <c r="G48" s="39" t="s">
        <v>474</v>
      </c>
      <c r="I48" s="303">
        <f>INDEX(BLD_PM!$E$41:$Y$41,MATCH(I$32,BLD_PM!$E$12:$Y$12,0))</f>
        <v>0</v>
      </c>
      <c r="J48" s="303">
        <f>INDEX(BLD_PM!$E$41:$Y$41,MATCH(J$32,BLD_PM!$E$12:$Y$12,0))</f>
        <v>0</v>
      </c>
      <c r="K48" s="303">
        <f>INDEX(BLD_PM!$E$41:$Y$41,MATCH(K$32,BLD_PM!$E$12:$Y$12,0))</f>
        <v>4693091.2387541272</v>
      </c>
      <c r="L48" s="303">
        <f>INDEX(BLD_PM!$E$41:$Y$41,MATCH(L$32,BLD_PM!$E$12:$Y$12,0))</f>
        <v>4783137.1787292091</v>
      </c>
      <c r="M48" s="303">
        <f>INDEX(BLD_PM!$E$41:$Y$41,MATCH(M$32,BLD_PM!$E$12:$Y$12,0))</f>
        <v>4874831.4021117957</v>
      </c>
      <c r="N48" s="303">
        <f>INDEX(BLD_PM!$E$41:$Y$41,MATCH(N$32,BLD_PM!$E$12:$Y$12,0))</f>
        <v>4968200.7691543512</v>
      </c>
      <c r="O48" s="303">
        <f>INDEX(BLD_PM!$E$41:$Y$41,MATCH(O$32,BLD_PM!$E$12:$Y$12,0))</f>
        <v>5063272.4330977714</v>
      </c>
      <c r="P48" s="303">
        <f>INDEX(BLD_PM!$E$41:$Y$41,MATCH(P$32,BLD_PM!$E$12:$Y$12,0))</f>
        <v>5160073.836262471</v>
      </c>
      <c r="Q48" s="303">
        <f>INDEX(BLD_PM!$E$41:$Y$41,MATCH(Q$32,BLD_PM!$E$12:$Y$12,0))</f>
        <v>5258632.7056705775</v>
      </c>
      <c r="R48" s="303">
        <f>INDEX(BLD_PM!$E$41:$Y$41,MATCH(R$32,BLD_PM!$E$12:$Y$12,0))</f>
        <v>5358977.0481741587</v>
      </c>
      <c r="S48" s="303">
        <f>INDEX(BLD_PM!$E$41:$Y$41,MATCH(S$32,BLD_PM!$E$12:$Y$12,0))</f>
        <v>5464901.2281190874</v>
      </c>
      <c r="T48" s="303">
        <f>INDEX(BLD_PM!$E$41:$Y$41,MATCH(T$32,BLD_PM!$E$12:$Y$12,0))</f>
        <v>5572912.5076374477</v>
      </c>
      <c r="U48" s="303">
        <f>INDEX(BLD_PM!$E$41:$Y$41,MATCH(U$32,BLD_PM!$E$12:$Y$12,0))</f>
        <v>5683051.8441200778</v>
      </c>
      <c r="V48" s="303">
        <f>INDEX(BLD_PM!$E$41:$Y$41,MATCH(V$32,BLD_PM!$E$12:$Y$12,0))</f>
        <v>5795360.9944906058</v>
      </c>
      <c r="W48" s="303">
        <f>INDEX(BLD_PM!$E$41:$Y$41,MATCH(W$32,BLD_PM!$E$12:$Y$12,0))</f>
        <v>5909882.5307057481</v>
      </c>
      <c r="X48" s="303">
        <f>INDEX(BLD_PM!$E$41:$Y$41,MATCH(X$32,BLD_PM!$E$12:$Y$12,0))</f>
        <v>6026659.8555533253</v>
      </c>
      <c r="Y48" s="303">
        <f>INDEX(BLD_PM!$E$41:$Y$41,MATCH(Y$32,BLD_PM!$E$12:$Y$12,0))</f>
        <v>6145737.2187536927</v>
      </c>
      <c r="Z48" s="303">
        <f>INDEX(BLD_PM!$E$41:$Y$41,MATCH(Z$32,BLD_PM!$E$12:$Y$12,0))</f>
        <v>6267159.7333702995</v>
      </c>
      <c r="AA48" s="303">
        <f>INDEX(BLD_PM!$E$41:$Y$41,MATCH(AA$32,BLD_PM!$E$12:$Y$12,0))</f>
        <v>6390973.3925352767</v>
      </c>
      <c r="AB48" s="303">
        <f>INDEX(BLD_PM!$E$41:$Y$41,MATCH(AB$32,BLD_PM!$E$12:$Y$12,0))</f>
        <v>6517225.0864959909</v>
      </c>
      <c r="AC48" s="303">
        <f>INDEX(BLD_PM!$E$41:$Y$41,MATCH(AC$32,BLD_PM!$E$12:$Y$12,0))</f>
        <v>6645962.6199886706</v>
      </c>
    </row>
    <row r="49" spans="2:29">
      <c r="B49" s="33" t="s">
        <v>481</v>
      </c>
      <c r="C49" s="33" t="s">
        <v>326</v>
      </c>
      <c r="D49" s="33" t="s">
        <v>326</v>
      </c>
      <c r="E49" s="33" t="s">
        <v>434</v>
      </c>
      <c r="F49" s="34">
        <v>2029</v>
      </c>
      <c r="G49" s="34" t="s">
        <v>474</v>
      </c>
      <c r="I49" s="303">
        <f>INDEX(BLD_CD!$E$41:$Y$41,MATCH(I$32,BLD_CD!$E$12:$Y$12,0))</f>
        <v>0</v>
      </c>
      <c r="J49" s="303">
        <f>INDEX(BLD_CD!$E$41:$Y$41,MATCH(J$32,BLD_CD!$E$12:$Y$12,0))</f>
        <v>0</v>
      </c>
      <c r="K49" s="303">
        <f>INDEX(BLD_CD!$E$41:$Y$41,MATCH(K$32,BLD_CD!$E$12:$Y$12,0))</f>
        <v>0</v>
      </c>
      <c r="L49" s="303">
        <f>INDEX(BLD_CD!$E$41:$Y$41,MATCH(L$32,BLD_CD!$E$12:$Y$12,0))</f>
        <v>0</v>
      </c>
      <c r="M49" s="303">
        <f>INDEX(BLD_CD!$E$41:$Y$41,MATCH(M$32,BLD_CD!$E$12:$Y$12,0))</f>
        <v>1474873.7757218662</v>
      </c>
      <c r="N49" s="303">
        <f>INDEX(BLD_CD!$E$41:$Y$41,MATCH(N$32,BLD_CD!$E$12:$Y$12,0))</f>
        <v>1489667.3223928344</v>
      </c>
      <c r="O49" s="303">
        <f>INDEX(BLD_CD!$E$41:$Y$41,MATCH(O$32,BLD_CD!$E$12:$Y$12,0))</f>
        <v>1504168.5828434834</v>
      </c>
      <c r="P49" s="303">
        <f>INDEX(BLD_CD!$E$41:$Y$41,MATCH(P$32,BLD_CD!$E$12:$Y$12,0))</f>
        <v>1518348.1850632569</v>
      </c>
      <c r="Q49" s="303">
        <f>INDEX(BLD_CD!$E$41:$Y$41,MATCH(Q$32,BLD_CD!$E$12:$Y$12,0))</f>
        <v>1532175.2285499428</v>
      </c>
      <c r="R49" s="303">
        <f>INDEX(BLD_CD!$E$41:$Y$41,MATCH(R$32,BLD_CD!$E$12:$Y$12,0))</f>
        <v>1545617.2160977784</v>
      </c>
      <c r="S49" s="303">
        <f>INDEX(BLD_CD!$E$41:$Y$41,MATCH(S$32,BLD_CD!$E$12:$Y$12,0))</f>
        <v>1572057.1659937119</v>
      </c>
      <c r="T49" s="303">
        <f>INDEX(BLD_CD!$E$41:$Y$41,MATCH(T$32,BLD_CD!$E$12:$Y$12,0))</f>
        <v>1598914.1050269119</v>
      </c>
      <c r="U49" s="303">
        <f>INDEX(BLD_CD!$E$41:$Y$41,MATCH(U$32,BLD_CD!$E$12:$Y$12,0))</f>
        <v>1626193.5777336112</v>
      </c>
      <c r="V49" s="303">
        <f>INDEX(BLD_CD!$E$41:$Y$41,MATCH(V$32,BLD_CD!$E$12:$Y$12,0))</f>
        <v>1653901.1696595983</v>
      </c>
      <c r="W49" s="303">
        <f>INDEX(BLD_CD!$E$41:$Y$41,MATCH(W$32,BLD_CD!$E$12:$Y$12,0))</f>
        <v>1682042.5064333873</v>
      </c>
      <c r="X49" s="303">
        <f>INDEX(BLD_CD!$E$41:$Y$41,MATCH(X$32,BLD_CD!$E$12:$Y$12,0))</f>
        <v>1710623.2527771662</v>
      </c>
      <c r="Y49" s="303">
        <f>INDEX(BLD_CD!$E$41:$Y$41,MATCH(Y$32,BLD_CD!$E$12:$Y$12,0))</f>
        <v>1739649.1114532005</v>
      </c>
      <c r="Z49" s="303">
        <f>INDEX(BLD_CD!$E$41:$Y$41,MATCH(Z$32,BLD_CD!$E$12:$Y$12,0))</f>
        <v>1769125.8221432669</v>
      </c>
      <c r="AA49" s="303">
        <f>INDEX(BLD_CD!$E$41:$Y$41,MATCH(AA$32,BLD_CD!$E$12:$Y$12,0))</f>
        <v>1799059.1602586592</v>
      </c>
      <c r="AB49" s="303">
        <f>INDEX(BLD_CD!$E$41:$Y$41,MATCH(AB$32,BLD_CD!$E$12:$Y$12,0))</f>
        <v>1829454.9356781729</v>
      </c>
      <c r="AC49" s="303">
        <f>INDEX(BLD_CD!$E$41:$Y$41,MATCH(AC$32,BLD_CD!$E$12:$Y$12,0))</f>
        <v>1860318.991411435</v>
      </c>
    </row>
  </sheetData>
  <mergeCells count="6">
    <mergeCell ref="B2:X2"/>
    <mergeCell ref="B3:G3"/>
    <mergeCell ref="I3:K3"/>
    <mergeCell ref="B31:G31"/>
    <mergeCell ref="L3:R3"/>
    <mergeCell ref="S3:X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231E-8847-4808-B5D3-62DC2B72663C}">
  <sheetPr>
    <tabColor rgb="FF808080"/>
  </sheetPr>
  <dimension ref="A1:Z40"/>
  <sheetViews>
    <sheetView showGridLines="0" workbookViewId="0">
      <selection activeCell="J28" sqref="J28"/>
    </sheetView>
  </sheetViews>
  <sheetFormatPr defaultColWidth="0" defaultRowHeight="12.75"/>
  <cols>
    <col min="1" max="1" width="1.7109375" style="3" customWidth="1"/>
    <col min="2" max="2" width="28.42578125" style="3" customWidth="1"/>
    <col min="3" max="19" width="11.7109375" style="3" customWidth="1"/>
    <col min="20" max="26" width="8.85546875" style="3" customWidth="1"/>
    <col min="27" max="27" width="8.85546875" style="3" hidden="1" customWidth="1"/>
    <col min="28" max="16384" width="8.85546875" style="3" hidden="1"/>
  </cols>
  <sheetData>
    <row r="1" spans="2:19" ht="7.9" customHeight="1"/>
    <row r="2" spans="2:19" ht="15.75" customHeight="1">
      <c r="B2" s="432" t="s">
        <v>484</v>
      </c>
      <c r="C2" s="424"/>
      <c r="D2" s="424"/>
      <c r="E2" s="424"/>
      <c r="F2" s="424"/>
      <c r="G2" s="424"/>
      <c r="H2" s="424"/>
      <c r="I2" s="424"/>
      <c r="J2" s="424"/>
      <c r="K2" s="424"/>
      <c r="L2" s="424"/>
      <c r="M2" s="424"/>
      <c r="N2" s="424"/>
      <c r="O2" s="424"/>
      <c r="P2" s="424"/>
      <c r="Q2" s="424"/>
      <c r="R2" s="424"/>
      <c r="S2" s="424"/>
    </row>
    <row r="3" spans="2:19" ht="39" customHeight="1">
      <c r="B3" s="304" t="s">
        <v>485</v>
      </c>
      <c r="C3" s="305" t="s">
        <v>310</v>
      </c>
      <c r="D3" s="305" t="s">
        <v>311</v>
      </c>
      <c r="E3" s="305" t="s">
        <v>312</v>
      </c>
      <c r="F3" s="305" t="s">
        <v>313</v>
      </c>
      <c r="G3" s="305" t="s">
        <v>314</v>
      </c>
      <c r="H3" s="305" t="s">
        <v>315</v>
      </c>
      <c r="I3" s="305" t="s">
        <v>316</v>
      </c>
      <c r="J3" s="305" t="s">
        <v>317</v>
      </c>
      <c r="K3" s="305" t="s">
        <v>318</v>
      </c>
      <c r="L3" s="305" t="s">
        <v>319</v>
      </c>
      <c r="M3" s="305" t="s">
        <v>320</v>
      </c>
      <c r="N3" s="305" t="s">
        <v>321</v>
      </c>
      <c r="O3" s="305" t="s">
        <v>322</v>
      </c>
      <c r="P3" s="305" t="s">
        <v>323</v>
      </c>
      <c r="Q3" s="305" t="s">
        <v>324</v>
      </c>
      <c r="R3" s="305" t="s">
        <v>325</v>
      </c>
      <c r="S3" s="305" t="s">
        <v>326</v>
      </c>
    </row>
    <row r="4" spans="2:19" ht="13.5" customHeight="1">
      <c r="B4" s="433" t="s">
        <v>329</v>
      </c>
      <c r="C4" s="424"/>
      <c r="D4" s="424"/>
      <c r="E4" s="424"/>
      <c r="F4" s="424"/>
      <c r="G4" s="424"/>
      <c r="H4" s="424"/>
      <c r="I4" s="424"/>
      <c r="J4" s="424"/>
      <c r="K4" s="424"/>
      <c r="L4" s="424"/>
      <c r="M4" s="424"/>
      <c r="N4" s="424"/>
      <c r="O4" s="424"/>
      <c r="P4" s="424"/>
      <c r="Q4" s="424"/>
      <c r="R4" s="424"/>
      <c r="S4" s="424"/>
    </row>
    <row r="5" spans="2:19">
      <c r="B5" s="28" t="s">
        <v>330</v>
      </c>
      <c r="C5" s="29">
        <v>438228</v>
      </c>
      <c r="D5" s="29">
        <v>200000</v>
      </c>
      <c r="E5" s="29">
        <v>210000</v>
      </c>
      <c r="F5" s="29">
        <v>450000</v>
      </c>
      <c r="G5" s="29">
        <v>250000</v>
      </c>
      <c r="H5" s="29">
        <v>894501</v>
      </c>
      <c r="I5" s="29">
        <v>350000</v>
      </c>
      <c r="J5" s="29">
        <v>300000</v>
      </c>
      <c r="K5" s="29">
        <v>240000</v>
      </c>
      <c r="L5" s="29">
        <v>683452</v>
      </c>
      <c r="M5" s="29">
        <v>480000</v>
      </c>
      <c r="N5" s="29">
        <v>600000</v>
      </c>
      <c r="O5" s="29">
        <v>370000</v>
      </c>
      <c r="P5" s="29">
        <v>1636062</v>
      </c>
      <c r="Q5" s="29">
        <v>1399704</v>
      </c>
      <c r="R5" s="29">
        <v>3800872.26</v>
      </c>
      <c r="S5" s="29">
        <v>1812384</v>
      </c>
    </row>
    <row r="6" spans="2:19">
      <c r="B6" s="58" t="s">
        <v>331</v>
      </c>
      <c r="C6" s="59">
        <v>2500</v>
      </c>
      <c r="D6" s="59">
        <v>2500</v>
      </c>
      <c r="E6" s="59">
        <v>6500</v>
      </c>
      <c r="F6" s="59">
        <v>3000</v>
      </c>
      <c r="G6" s="59">
        <v>5000</v>
      </c>
      <c r="H6" s="59">
        <v>5000</v>
      </c>
      <c r="I6" s="59">
        <v>3300</v>
      </c>
      <c r="J6" s="59">
        <v>5000</v>
      </c>
      <c r="K6" s="59">
        <v>2500</v>
      </c>
      <c r="L6" s="59">
        <v>9270</v>
      </c>
      <c r="M6" s="59">
        <v>3000</v>
      </c>
      <c r="N6" s="59">
        <v>0</v>
      </c>
      <c r="O6" s="59">
        <v>4000</v>
      </c>
      <c r="P6" s="59">
        <v>18960</v>
      </c>
      <c r="Q6" s="59">
        <v>18960</v>
      </c>
      <c r="R6" s="59">
        <v>0</v>
      </c>
      <c r="S6" s="59">
        <v>15360</v>
      </c>
    </row>
    <row r="7" spans="2:19">
      <c r="B7" s="28" t="s">
        <v>332</v>
      </c>
      <c r="C7" s="29">
        <v>0</v>
      </c>
      <c r="D7" s="29">
        <v>0</v>
      </c>
      <c r="E7" s="29">
        <v>0</v>
      </c>
      <c r="F7" s="29">
        <v>0</v>
      </c>
      <c r="G7" s="29">
        <v>0</v>
      </c>
      <c r="H7" s="29">
        <v>0</v>
      </c>
      <c r="I7" s="29">
        <v>0</v>
      </c>
      <c r="J7" s="29">
        <v>0</v>
      </c>
      <c r="K7" s="29">
        <v>0</v>
      </c>
      <c r="L7" s="29">
        <v>100</v>
      </c>
      <c r="M7" s="29">
        <v>0</v>
      </c>
      <c r="N7" s="29">
        <v>0</v>
      </c>
      <c r="O7" s="29">
        <v>0</v>
      </c>
      <c r="P7" s="29">
        <v>0</v>
      </c>
      <c r="Q7" s="29">
        <v>0</v>
      </c>
      <c r="R7" s="29">
        <v>0</v>
      </c>
      <c r="S7" s="29">
        <v>0</v>
      </c>
    </row>
    <row r="8" spans="2:19">
      <c r="B8" s="58" t="s">
        <v>333</v>
      </c>
      <c r="C8" s="59">
        <v>0</v>
      </c>
      <c r="D8" s="59">
        <v>0</v>
      </c>
      <c r="E8" s="59">
        <v>0</v>
      </c>
      <c r="F8" s="59">
        <v>0</v>
      </c>
      <c r="G8" s="59">
        <v>0</v>
      </c>
      <c r="H8" s="59">
        <v>110</v>
      </c>
      <c r="I8" s="59">
        <v>0</v>
      </c>
      <c r="J8" s="59">
        <v>0</v>
      </c>
      <c r="K8" s="59">
        <v>0</v>
      </c>
      <c r="L8" s="59">
        <v>520</v>
      </c>
      <c r="M8" s="59">
        <v>0</v>
      </c>
      <c r="N8" s="59">
        <v>0</v>
      </c>
      <c r="O8" s="59">
        <v>0</v>
      </c>
      <c r="P8" s="59">
        <v>0</v>
      </c>
      <c r="Q8" s="59">
        <v>0</v>
      </c>
      <c r="R8" s="59">
        <v>50979</v>
      </c>
      <c r="S8" s="59">
        <v>23112</v>
      </c>
    </row>
    <row r="9" spans="2:19">
      <c r="B9" s="28" t="s">
        <v>334</v>
      </c>
      <c r="C9" s="29">
        <v>0</v>
      </c>
      <c r="D9" s="29">
        <v>0</v>
      </c>
      <c r="E9" s="29">
        <v>0</v>
      </c>
      <c r="F9" s="29">
        <v>0</v>
      </c>
      <c r="G9" s="29">
        <v>0</v>
      </c>
      <c r="H9" s="29">
        <v>2805</v>
      </c>
      <c r="I9" s="29">
        <v>0</v>
      </c>
      <c r="J9" s="29">
        <v>1500</v>
      </c>
      <c r="K9" s="29">
        <v>0</v>
      </c>
      <c r="L9" s="29">
        <v>9440</v>
      </c>
      <c r="M9" s="29">
        <v>960</v>
      </c>
      <c r="N9" s="29">
        <v>0</v>
      </c>
      <c r="O9" s="29">
        <v>0</v>
      </c>
      <c r="P9" s="29">
        <v>19380</v>
      </c>
      <c r="Q9" s="29">
        <v>11220</v>
      </c>
      <c r="R9" s="29">
        <v>103527</v>
      </c>
      <c r="S9" s="29">
        <v>6000</v>
      </c>
    </row>
    <row r="10" spans="2:19">
      <c r="B10" s="58" t="s">
        <v>335</v>
      </c>
      <c r="C10" s="59">
        <v>0</v>
      </c>
      <c r="D10" s="59">
        <v>0</v>
      </c>
      <c r="E10" s="59">
        <v>0</v>
      </c>
      <c r="F10" s="59">
        <v>19724</v>
      </c>
      <c r="G10" s="59">
        <v>0</v>
      </c>
      <c r="H10" s="59">
        <v>0</v>
      </c>
      <c r="I10" s="59">
        <v>0</v>
      </c>
      <c r="J10" s="59">
        <v>0</v>
      </c>
      <c r="K10" s="59">
        <v>29400</v>
      </c>
      <c r="L10" s="59">
        <v>0</v>
      </c>
      <c r="M10" s="59">
        <v>0</v>
      </c>
      <c r="N10" s="59">
        <v>0</v>
      </c>
      <c r="O10" s="59">
        <v>0</v>
      </c>
      <c r="P10" s="59">
        <v>21570</v>
      </c>
      <c r="Q10" s="59">
        <v>19200</v>
      </c>
      <c r="R10" s="59">
        <v>0</v>
      </c>
      <c r="S10" s="59">
        <v>0</v>
      </c>
    </row>
    <row r="11" spans="2:19" ht="15">
      <c r="B11" s="434" t="s">
        <v>342</v>
      </c>
      <c r="C11" s="424"/>
      <c r="D11" s="424"/>
      <c r="E11" s="424"/>
      <c r="F11" s="424"/>
      <c r="G11" s="424"/>
      <c r="H11" s="424"/>
      <c r="I11" s="424"/>
      <c r="J11" s="424"/>
      <c r="K11" s="424"/>
      <c r="L11" s="424"/>
      <c r="M11" s="424"/>
      <c r="N11" s="424"/>
      <c r="O11" s="424"/>
      <c r="P11" s="424"/>
      <c r="Q11" s="424"/>
      <c r="R11" s="424"/>
      <c r="S11" s="424"/>
    </row>
    <row r="12" spans="2:19">
      <c r="B12" s="28" t="s">
        <v>343</v>
      </c>
      <c r="C12" s="29">
        <v>21500</v>
      </c>
      <c r="D12" s="29">
        <v>21500</v>
      </c>
      <c r="E12" s="29">
        <v>13530</v>
      </c>
      <c r="F12" s="29">
        <v>30000</v>
      </c>
      <c r="G12" s="29">
        <v>20100</v>
      </c>
      <c r="H12" s="29">
        <v>39361</v>
      </c>
      <c r="I12" s="29">
        <v>25340</v>
      </c>
      <c r="J12" s="29">
        <v>34000</v>
      </c>
      <c r="K12" s="29">
        <v>21000</v>
      </c>
      <c r="L12" s="29">
        <v>28118</v>
      </c>
      <c r="M12" s="29">
        <v>26400</v>
      </c>
      <c r="N12" s="29">
        <v>32250</v>
      </c>
      <c r="O12" s="29">
        <v>22282</v>
      </c>
      <c r="P12" s="29">
        <v>85200</v>
      </c>
      <c r="Q12" s="29">
        <v>84600</v>
      </c>
      <c r="R12" s="29">
        <v>0</v>
      </c>
      <c r="S12" s="29">
        <v>57351</v>
      </c>
    </row>
    <row r="13" spans="2:19">
      <c r="B13" s="58" t="s">
        <v>344</v>
      </c>
      <c r="C13" s="59">
        <v>1250</v>
      </c>
      <c r="D13" s="59">
        <v>1250</v>
      </c>
      <c r="E13" s="59">
        <v>1250</v>
      </c>
      <c r="F13" s="59">
        <v>32250</v>
      </c>
      <c r="G13" s="59">
        <v>1250</v>
      </c>
      <c r="H13" s="59">
        <v>1250</v>
      </c>
      <c r="I13" s="59">
        <v>1250</v>
      </c>
      <c r="J13" s="59">
        <v>725</v>
      </c>
      <c r="K13" s="59">
        <v>1800</v>
      </c>
      <c r="L13" s="59">
        <v>3632</v>
      </c>
      <c r="M13" s="59">
        <v>1250</v>
      </c>
      <c r="N13" s="59">
        <v>1800</v>
      </c>
      <c r="O13" s="59">
        <v>1250</v>
      </c>
      <c r="P13" s="59">
        <v>12000</v>
      </c>
      <c r="Q13" s="59">
        <v>12000</v>
      </c>
      <c r="R13" s="59">
        <v>0</v>
      </c>
      <c r="S13" s="59">
        <v>6000</v>
      </c>
    </row>
    <row r="14" spans="2:19">
      <c r="B14" s="28" t="s">
        <v>345</v>
      </c>
      <c r="C14" s="29">
        <v>24445</v>
      </c>
      <c r="D14" s="29">
        <v>24445</v>
      </c>
      <c r="E14" s="29">
        <v>22800</v>
      </c>
      <c r="F14" s="29">
        <v>58150</v>
      </c>
      <c r="G14" s="29">
        <v>38650</v>
      </c>
      <c r="H14" s="29">
        <v>43500</v>
      </c>
      <c r="I14" s="29">
        <v>38000</v>
      </c>
      <c r="J14" s="29">
        <v>40100</v>
      </c>
      <c r="K14" s="29">
        <v>35680</v>
      </c>
      <c r="L14" s="29">
        <v>20000</v>
      </c>
      <c r="M14" s="29">
        <v>39200</v>
      </c>
      <c r="N14" s="29">
        <v>45214</v>
      </c>
      <c r="O14" s="29">
        <v>20185</v>
      </c>
      <c r="P14" s="29">
        <v>85000</v>
      </c>
      <c r="Q14" s="29">
        <v>85000</v>
      </c>
      <c r="R14" s="29">
        <v>0</v>
      </c>
      <c r="S14" s="29">
        <v>72125</v>
      </c>
    </row>
    <row r="15" spans="2:19">
      <c r="B15" s="58" t="s">
        <v>346</v>
      </c>
      <c r="C15" s="59">
        <v>4810</v>
      </c>
      <c r="D15" s="59">
        <v>4810</v>
      </c>
      <c r="E15" s="59">
        <v>6360</v>
      </c>
      <c r="F15" s="59">
        <v>24500</v>
      </c>
      <c r="G15" s="59">
        <v>200</v>
      </c>
      <c r="H15" s="59">
        <v>15360</v>
      </c>
      <c r="I15" s="59">
        <v>14600</v>
      </c>
      <c r="J15" s="59">
        <v>15400</v>
      </c>
      <c r="K15" s="59">
        <v>28650</v>
      </c>
      <c r="L15" s="59">
        <v>13204</v>
      </c>
      <c r="M15" s="59">
        <v>27000</v>
      </c>
      <c r="N15" s="59">
        <v>30000</v>
      </c>
      <c r="O15" s="59">
        <v>16400</v>
      </c>
      <c r="P15" s="59">
        <v>80000</v>
      </c>
      <c r="Q15" s="59">
        <v>39996</v>
      </c>
      <c r="R15" s="59">
        <v>0</v>
      </c>
      <c r="S15" s="59">
        <v>28428</v>
      </c>
    </row>
    <row r="16" spans="2:19">
      <c r="B16" s="28" t="s">
        <v>347</v>
      </c>
      <c r="C16" s="29">
        <v>25000</v>
      </c>
      <c r="D16" s="29">
        <v>25000</v>
      </c>
      <c r="E16" s="29">
        <v>19000</v>
      </c>
      <c r="F16" s="29">
        <v>40000</v>
      </c>
      <c r="G16" s="29">
        <v>24000</v>
      </c>
      <c r="H16" s="29">
        <v>74914</v>
      </c>
      <c r="I16" s="29">
        <v>33000</v>
      </c>
      <c r="J16" s="29">
        <v>33000</v>
      </c>
      <c r="K16" s="29">
        <v>21550</v>
      </c>
      <c r="L16" s="29">
        <v>36541</v>
      </c>
      <c r="M16" s="29">
        <v>45000</v>
      </c>
      <c r="N16" s="29">
        <v>47000</v>
      </c>
      <c r="O16" s="29">
        <v>26000</v>
      </c>
      <c r="P16" s="29">
        <v>40000</v>
      </c>
      <c r="Q16" s="29">
        <v>129996</v>
      </c>
      <c r="R16" s="29">
        <v>0</v>
      </c>
      <c r="S16" s="29">
        <v>118451</v>
      </c>
    </row>
    <row r="17" spans="2:19">
      <c r="B17" s="58" t="s">
        <v>348</v>
      </c>
      <c r="C17" s="59">
        <v>10000</v>
      </c>
      <c r="D17" s="59">
        <v>10000</v>
      </c>
      <c r="E17" s="59">
        <v>10000</v>
      </c>
      <c r="F17" s="59">
        <v>25000</v>
      </c>
      <c r="G17" s="59">
        <v>12000</v>
      </c>
      <c r="H17" s="59">
        <v>9635</v>
      </c>
      <c r="I17" s="59">
        <v>10000</v>
      </c>
      <c r="J17" s="59">
        <v>10000</v>
      </c>
      <c r="K17" s="59">
        <v>12000</v>
      </c>
      <c r="L17" s="59">
        <v>11907</v>
      </c>
      <c r="M17" s="59">
        <v>25000</v>
      </c>
      <c r="N17" s="59">
        <v>15000</v>
      </c>
      <c r="O17" s="59">
        <v>10000</v>
      </c>
      <c r="P17" s="59">
        <v>100000</v>
      </c>
      <c r="Q17" s="59">
        <v>120000</v>
      </c>
      <c r="R17" s="59">
        <v>0</v>
      </c>
      <c r="S17" s="59">
        <v>47381</v>
      </c>
    </row>
    <row r="18" spans="2:19">
      <c r="B18" s="28" t="s">
        <v>349</v>
      </c>
      <c r="C18" s="29">
        <v>0</v>
      </c>
      <c r="D18" s="29">
        <v>0</v>
      </c>
      <c r="E18" s="29">
        <v>0</v>
      </c>
      <c r="F18" s="29">
        <v>0</v>
      </c>
      <c r="G18" s="29">
        <v>0</v>
      </c>
      <c r="H18" s="29">
        <v>1325</v>
      </c>
      <c r="I18" s="29">
        <v>0</v>
      </c>
      <c r="J18" s="29">
        <v>0</v>
      </c>
      <c r="K18" s="29">
        <v>0</v>
      </c>
      <c r="L18" s="29">
        <v>3103</v>
      </c>
      <c r="M18" s="29">
        <v>0</v>
      </c>
      <c r="N18" s="29">
        <v>0</v>
      </c>
      <c r="O18" s="29">
        <v>0</v>
      </c>
      <c r="P18" s="29">
        <v>0</v>
      </c>
      <c r="Q18" s="29">
        <v>0</v>
      </c>
      <c r="R18" s="29">
        <v>0</v>
      </c>
      <c r="S18" s="29">
        <v>0</v>
      </c>
    </row>
    <row r="19" spans="2:19">
      <c r="B19" s="58" t="s">
        <v>350</v>
      </c>
      <c r="C19" s="59">
        <v>8610</v>
      </c>
      <c r="D19" s="59">
        <v>8610</v>
      </c>
      <c r="E19" s="59">
        <v>5336</v>
      </c>
      <c r="F19" s="59">
        <v>30324</v>
      </c>
      <c r="G19" s="59">
        <v>7500</v>
      </c>
      <c r="H19" s="59">
        <v>52462</v>
      </c>
      <c r="I19" s="59">
        <v>800</v>
      </c>
      <c r="J19" s="59">
        <v>0</v>
      </c>
      <c r="K19" s="59">
        <v>2835</v>
      </c>
      <c r="L19" s="59">
        <v>30479</v>
      </c>
      <c r="M19" s="59">
        <v>0</v>
      </c>
      <c r="N19" s="59">
        <v>1155</v>
      </c>
      <c r="O19" s="59">
        <v>845</v>
      </c>
      <c r="P19" s="59">
        <v>0</v>
      </c>
      <c r="Q19" s="59">
        <v>0</v>
      </c>
      <c r="R19" s="59">
        <v>0</v>
      </c>
      <c r="S19" s="59">
        <v>0</v>
      </c>
    </row>
    <row r="20" spans="2:19">
      <c r="B20" s="28" t="s">
        <v>351</v>
      </c>
      <c r="C20" s="29">
        <v>6200</v>
      </c>
      <c r="D20" s="29">
        <v>6200</v>
      </c>
      <c r="E20" s="29">
        <v>5336</v>
      </c>
      <c r="F20" s="29">
        <v>31446</v>
      </c>
      <c r="G20" s="29">
        <v>11000</v>
      </c>
      <c r="H20" s="29">
        <v>7777</v>
      </c>
      <c r="I20" s="29">
        <v>4000</v>
      </c>
      <c r="J20" s="29">
        <v>6300</v>
      </c>
      <c r="K20" s="29">
        <v>2835</v>
      </c>
      <c r="L20" s="29">
        <v>4851</v>
      </c>
      <c r="M20" s="29">
        <v>14037</v>
      </c>
      <c r="N20" s="29">
        <v>4200</v>
      </c>
      <c r="O20" s="29">
        <v>5616</v>
      </c>
      <c r="P20" s="29">
        <v>60000</v>
      </c>
      <c r="Q20" s="29">
        <v>0</v>
      </c>
      <c r="R20" s="29">
        <v>0</v>
      </c>
      <c r="S20" s="29">
        <v>60000</v>
      </c>
    </row>
    <row r="21" spans="2:19">
      <c r="B21" s="58" t="s">
        <v>352</v>
      </c>
      <c r="C21" s="59">
        <v>15160</v>
      </c>
      <c r="D21" s="59">
        <v>15160</v>
      </c>
      <c r="E21" s="59">
        <v>14850</v>
      </c>
      <c r="F21" s="59">
        <v>96600</v>
      </c>
      <c r="G21" s="59">
        <v>17000</v>
      </c>
      <c r="H21" s="59">
        <v>88700</v>
      </c>
      <c r="I21" s="59">
        <v>32987</v>
      </c>
      <c r="J21" s="59">
        <v>43797</v>
      </c>
      <c r="K21" s="59">
        <v>17342</v>
      </c>
      <c r="L21" s="59">
        <v>34566</v>
      </c>
      <c r="M21" s="59">
        <v>29400</v>
      </c>
      <c r="N21" s="59">
        <v>45150</v>
      </c>
      <c r="O21" s="59">
        <v>41635</v>
      </c>
      <c r="P21" s="59">
        <v>50000</v>
      </c>
      <c r="Q21" s="59">
        <v>50004</v>
      </c>
      <c r="R21" s="59">
        <v>0</v>
      </c>
      <c r="S21" s="59">
        <v>28428</v>
      </c>
    </row>
    <row r="22" spans="2:19">
      <c r="B22" s="28" t="s">
        <v>353</v>
      </c>
      <c r="C22" s="29">
        <v>32208</v>
      </c>
      <c r="D22" s="29">
        <v>32208</v>
      </c>
      <c r="E22" s="29">
        <v>20605</v>
      </c>
      <c r="F22" s="29">
        <v>96954</v>
      </c>
      <c r="G22" s="29">
        <v>40970</v>
      </c>
      <c r="H22" s="29">
        <v>42432</v>
      </c>
      <c r="I22" s="29">
        <v>55729</v>
      </c>
      <c r="J22" s="29">
        <v>55651</v>
      </c>
      <c r="K22" s="29">
        <v>28484</v>
      </c>
      <c r="L22" s="29">
        <v>43660</v>
      </c>
      <c r="M22" s="29">
        <v>64215</v>
      </c>
      <c r="N22" s="29">
        <v>70162</v>
      </c>
      <c r="O22" s="29">
        <v>55651</v>
      </c>
      <c r="P22" s="29">
        <v>125040</v>
      </c>
      <c r="Q22" s="29">
        <v>101760</v>
      </c>
      <c r="R22" s="29">
        <v>0</v>
      </c>
      <c r="S22" s="29">
        <v>125000</v>
      </c>
    </row>
    <row r="23" spans="2:19">
      <c r="B23" s="58" t="s">
        <v>354</v>
      </c>
      <c r="C23" s="59">
        <v>1386</v>
      </c>
      <c r="D23" s="59">
        <v>1386</v>
      </c>
      <c r="E23" s="59">
        <v>1273</v>
      </c>
      <c r="F23" s="59">
        <v>23520</v>
      </c>
      <c r="G23" s="59">
        <v>34033</v>
      </c>
      <c r="H23" s="59">
        <v>36817</v>
      </c>
      <c r="I23" s="59">
        <v>1273</v>
      </c>
      <c r="J23" s="59">
        <v>15724</v>
      </c>
      <c r="K23" s="59">
        <v>12100</v>
      </c>
      <c r="L23" s="59">
        <v>48333</v>
      </c>
      <c r="M23" s="59">
        <v>17430</v>
      </c>
      <c r="N23" s="59">
        <v>18900</v>
      </c>
      <c r="O23" s="59">
        <v>15724</v>
      </c>
      <c r="P23" s="59">
        <v>94374</v>
      </c>
      <c r="Q23" s="59">
        <v>62496</v>
      </c>
      <c r="R23" s="59">
        <v>176400</v>
      </c>
      <c r="S23" s="59">
        <v>85285</v>
      </c>
    </row>
    <row r="24" spans="2:19" ht="7.9" customHeight="1"/>
    <row r="25" spans="2:19">
      <c r="B25" s="31" t="s">
        <v>482</v>
      </c>
    </row>
    <row r="26" spans="2:19">
      <c r="B26" s="30" t="s">
        <v>483</v>
      </c>
    </row>
    <row r="27" spans="2:19">
      <c r="B27" s="30" t="s">
        <v>486</v>
      </c>
    </row>
    <row r="28" spans="2:19">
      <c r="B28" s="30" t="s">
        <v>487</v>
      </c>
    </row>
    <row r="29" spans="2:19">
      <c r="B29" s="30"/>
    </row>
    <row r="30" spans="2:19">
      <c r="B30" s="30"/>
    </row>
    <row r="31" spans="2:19">
      <c r="B31" s="30"/>
    </row>
    <row r="32" spans="2:19">
      <c r="B32" s="30"/>
    </row>
    <row r="33" spans="2:2">
      <c r="B33" s="30"/>
    </row>
    <row r="34" spans="2:2">
      <c r="B34" s="30"/>
    </row>
    <row r="35" spans="2:2">
      <c r="B35" s="30"/>
    </row>
    <row r="36" spans="2:2">
      <c r="B36" s="30"/>
    </row>
    <row r="37" spans="2:2">
      <c r="B37" s="30"/>
    </row>
    <row r="38" spans="2:2">
      <c r="B38" s="30"/>
    </row>
    <row r="39" spans="2:2">
      <c r="B39" s="30"/>
    </row>
    <row r="40" spans="2:2">
      <c r="B40" s="30"/>
    </row>
  </sheetData>
  <mergeCells count="3">
    <mergeCell ref="B2:S2"/>
    <mergeCell ref="B4:S4"/>
    <mergeCell ref="B11:S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372A4-1E94-461D-A9F4-CAD6E4CB3C05}">
  <sheetPr>
    <tabColor rgb="FF808080"/>
  </sheetPr>
  <dimension ref="A1:Z26"/>
  <sheetViews>
    <sheetView showGridLines="0" workbookViewId="0">
      <selection activeCell="J28" sqref="J28"/>
    </sheetView>
  </sheetViews>
  <sheetFormatPr defaultColWidth="0" defaultRowHeight="12.75"/>
  <cols>
    <col min="1" max="1" width="1.7109375" style="3" customWidth="1"/>
    <col min="2" max="2" width="20.42578125" style="3" customWidth="1"/>
    <col min="3" max="4" width="15.42578125" style="3" customWidth="1"/>
    <col min="5" max="5" width="8.85546875" style="3" customWidth="1"/>
    <col min="6" max="6" width="15.7109375" style="3" customWidth="1"/>
    <col min="7" max="10" width="16.7109375" style="3" customWidth="1"/>
    <col min="11" max="11" width="1.5703125" style="3" customWidth="1"/>
    <col min="12" max="12" width="15.42578125" style="3" customWidth="1"/>
    <col min="13" max="13" width="10.140625" style="3" customWidth="1"/>
    <col min="14" max="26" width="8.85546875" style="3" customWidth="1"/>
    <col min="27" max="27" width="8.85546875" style="3" hidden="1" customWidth="1"/>
    <col min="28" max="16384" width="8.85546875" style="3" hidden="1"/>
  </cols>
  <sheetData>
    <row r="1" spans="2:14" ht="7.9" customHeight="1"/>
    <row r="2" spans="2:14" ht="16.5" customHeight="1">
      <c r="B2" s="432" t="s">
        <v>488</v>
      </c>
      <c r="C2" s="424"/>
      <c r="D2" s="424"/>
      <c r="E2" s="424"/>
      <c r="F2" s="424"/>
      <c r="G2" s="424"/>
      <c r="H2" s="424"/>
      <c r="I2" s="424"/>
      <c r="J2" s="424"/>
    </row>
    <row r="3" spans="2:14" ht="15" customHeight="1">
      <c r="B3" s="276" t="s">
        <v>489</v>
      </c>
      <c r="G3" s="437" t="s">
        <v>490</v>
      </c>
      <c r="H3" s="424"/>
      <c r="I3" s="437" t="s">
        <v>102</v>
      </c>
      <c r="J3" s="424"/>
      <c r="L3" s="435" t="s">
        <v>491</v>
      </c>
      <c r="M3" s="436"/>
    </row>
    <row r="4" spans="2:14" ht="30.6" customHeight="1">
      <c r="B4" s="306" t="s">
        <v>80</v>
      </c>
      <c r="C4" s="306" t="s">
        <v>232</v>
      </c>
      <c r="D4" s="306" t="s">
        <v>419</v>
      </c>
      <c r="E4" s="306" t="s">
        <v>492</v>
      </c>
      <c r="F4" s="306" t="s">
        <v>493</v>
      </c>
      <c r="G4" s="306" t="s">
        <v>494</v>
      </c>
      <c r="H4" s="306" t="s">
        <v>495</v>
      </c>
      <c r="I4" s="306" t="s">
        <v>496</v>
      </c>
      <c r="J4" s="306" t="s">
        <v>497</v>
      </c>
      <c r="K4" s="45"/>
      <c r="L4" s="307" t="s">
        <v>232</v>
      </c>
      <c r="M4" s="308" t="s">
        <v>498</v>
      </c>
      <c r="N4" s="45"/>
    </row>
    <row r="5" spans="2:14" ht="13.5" customHeight="1">
      <c r="B5" s="60" t="str">
        <f t="array" ref="B5:B21">_xlfn.UNIQUE('01_Property Summary'!$C$5:$C$21)</f>
        <v>Alma Blackwell</v>
      </c>
      <c r="C5" s="309" t="str">
        <f>INDEX('01_Property Summary'!$E$5:$E$21,MATCH('02_Rent Engine'!$B5,'01_Property Summary'!$C$5:$C$21,0))</f>
        <v>Vancouver</v>
      </c>
      <c r="D5" s="309">
        <f>INDEX('01_Property Summary'!$F$5:$F$21,MATCH('02_Rent Engine'!$B5,'01_Property Summary'!$C$5:$C$21,0))</f>
        <v>2025</v>
      </c>
      <c r="E5" s="309">
        <f>INDEX('01_Property Summary'!$S$5:$S$21,MATCH('02_Rent Engine'!$B5,'01_Property Summary'!$C$5:$C$21,0))</f>
        <v>46</v>
      </c>
      <c r="F5" s="310">
        <f>INDEX('01_Base Yr. Inputs'!$5:$5,MATCH('02_Rent Engine'!$B5,'01_Base Yr. Inputs'!$3:$3,0))</f>
        <v>438228</v>
      </c>
      <c r="G5" s="310">
        <f t="shared" ref="G5:G21" si="0">F5/E5</f>
        <v>9526.6956521739139</v>
      </c>
      <c r="H5" s="310">
        <f t="shared" ref="H5:H21" si="1">G5/12</f>
        <v>793.89130434782612</v>
      </c>
      <c r="I5" s="310">
        <f t="shared" ref="I5:I21" si="2">J5*12*E5</f>
        <v>2017146</v>
      </c>
      <c r="J5" s="310">
        <f t="shared" ref="J5:J21" si="3">INDEX($M$5:$M$11,MATCH($C5,_xlfn.ANCHORARRAY($L$5),0))</f>
        <v>3654.25</v>
      </c>
      <c r="K5" s="47"/>
      <c r="L5" s="61" t="str">
        <f t="array" ref="L5:L11">_xlfn.UNIQUE($C$5:$C$21)</f>
        <v>Vancouver</v>
      </c>
      <c r="M5" s="62">
        <v>3654.25</v>
      </c>
      <c r="N5" s="49"/>
    </row>
    <row r="6" spans="2:14">
      <c r="B6" s="50" t="str">
        <v>Antkiw Court</v>
      </c>
      <c r="C6" s="311" t="str">
        <f>INDEX('01_Property Summary'!$E$5:$E$21,MATCH('02_Rent Engine'!$B6,'01_Property Summary'!$C$5:$C$21,0))</f>
        <v>Vancouver</v>
      </c>
      <c r="D6" s="311">
        <f>INDEX('01_Property Summary'!$F$5:$F$21,MATCH('02_Rent Engine'!$B6,'01_Property Summary'!$C$5:$C$21,0))</f>
        <v>2025</v>
      </c>
      <c r="E6" s="311">
        <f>INDEX('01_Property Summary'!$S$5:$S$21,MATCH('02_Rent Engine'!$B6,'01_Property Summary'!$C$5:$C$21,0))</f>
        <v>21</v>
      </c>
      <c r="F6" s="312">
        <f>INDEX('01_Base Yr. Inputs'!$5:$5,MATCH('02_Rent Engine'!$B6,'01_Base Yr. Inputs'!$3:$3,0))</f>
        <v>200000</v>
      </c>
      <c r="G6" s="312">
        <f t="shared" si="0"/>
        <v>9523.8095238095229</v>
      </c>
      <c r="H6" s="312">
        <f t="shared" si="1"/>
        <v>793.65079365079362</v>
      </c>
      <c r="I6" s="312">
        <f t="shared" si="2"/>
        <v>920871</v>
      </c>
      <c r="J6" s="312">
        <f t="shared" si="3"/>
        <v>3654.25</v>
      </c>
      <c r="K6" s="47"/>
      <c r="L6" s="51" t="str">
        <v>DNV</v>
      </c>
      <c r="M6" s="52">
        <v>3923</v>
      </c>
      <c r="N6" s="49"/>
    </row>
    <row r="7" spans="2:14">
      <c r="B7" s="60" t="str">
        <v>Beatrice Terrace</v>
      </c>
      <c r="C7" s="309" t="str">
        <f>INDEX('01_Property Summary'!$E$5:$E$21,MATCH('02_Rent Engine'!$B7,'01_Property Summary'!$C$5:$C$21,0))</f>
        <v>Vancouver</v>
      </c>
      <c r="D7" s="309">
        <f>INDEX('01_Property Summary'!$F$5:$F$21,MATCH('02_Rent Engine'!$B7,'01_Property Summary'!$C$5:$C$21,0))</f>
        <v>2025</v>
      </c>
      <c r="E7" s="309">
        <f>INDEX('01_Property Summary'!$S$5:$S$21,MATCH('02_Rent Engine'!$B7,'01_Property Summary'!$C$5:$C$21,0))</f>
        <v>18</v>
      </c>
      <c r="F7" s="310">
        <f>INDEX('01_Base Yr. Inputs'!$5:$5,MATCH('02_Rent Engine'!$B7,'01_Base Yr. Inputs'!$3:$3,0))</f>
        <v>210000</v>
      </c>
      <c r="G7" s="310">
        <f t="shared" si="0"/>
        <v>11666.666666666666</v>
      </c>
      <c r="H7" s="310">
        <f t="shared" si="1"/>
        <v>972.22222222222217</v>
      </c>
      <c r="I7" s="310">
        <f t="shared" si="2"/>
        <v>789318</v>
      </c>
      <c r="J7" s="310">
        <f t="shared" si="3"/>
        <v>3654.25</v>
      </c>
      <c r="K7" s="47"/>
      <c r="L7" s="61" t="str">
        <v>New Westminster</v>
      </c>
      <c r="M7" s="62">
        <v>2742</v>
      </c>
      <c r="N7" s="49"/>
    </row>
    <row r="8" spans="2:14">
      <c r="B8" s="50" t="str">
        <v>Capilano House</v>
      </c>
      <c r="C8" s="311" t="str">
        <f>INDEX('01_Property Summary'!$E$5:$E$21,MATCH('02_Rent Engine'!$B8,'01_Property Summary'!$C$5:$C$21,0))</f>
        <v>DNV</v>
      </c>
      <c r="D8" s="311">
        <f>INDEX('01_Property Summary'!$F$5:$F$21,MATCH('02_Rent Engine'!$B8,'01_Property Summary'!$C$5:$C$21,0))</f>
        <v>2025</v>
      </c>
      <c r="E8" s="311">
        <f>INDEX('01_Property Summary'!$S$5:$S$21,MATCH('02_Rent Engine'!$B8,'01_Property Summary'!$C$5:$C$21,0))</f>
        <v>64</v>
      </c>
      <c r="F8" s="312">
        <f>INDEX('01_Base Yr. Inputs'!$5:$5,MATCH('02_Rent Engine'!$B8,'01_Base Yr. Inputs'!$3:$3,0))</f>
        <v>450000</v>
      </c>
      <c r="G8" s="312">
        <f t="shared" si="0"/>
        <v>7031.25</v>
      </c>
      <c r="H8" s="312">
        <f t="shared" si="1"/>
        <v>585.9375</v>
      </c>
      <c r="I8" s="312">
        <f t="shared" si="2"/>
        <v>3012864</v>
      </c>
      <c r="J8" s="312">
        <f t="shared" si="3"/>
        <v>3923</v>
      </c>
      <c r="K8" s="47"/>
      <c r="L8" s="51" t="str">
        <v>Surrey</v>
      </c>
      <c r="M8" s="52">
        <v>2659.25</v>
      </c>
      <c r="N8" s="49"/>
    </row>
    <row r="9" spans="2:14">
      <c r="B9" s="60" t="str">
        <v>Constance Court</v>
      </c>
      <c r="C9" s="309" t="str">
        <f>INDEX('01_Property Summary'!$E$5:$E$21,MATCH('02_Rent Engine'!$B9,'01_Property Summary'!$C$5:$C$21,0))</f>
        <v>Vancouver</v>
      </c>
      <c r="D9" s="309">
        <f>INDEX('01_Property Summary'!$F$5:$F$21,MATCH('02_Rent Engine'!$B9,'01_Property Summary'!$C$5:$C$21,0))</f>
        <v>2025</v>
      </c>
      <c r="E9" s="309">
        <f>INDEX('01_Property Summary'!$S$5:$S$21,MATCH('02_Rent Engine'!$B9,'01_Property Summary'!$C$5:$C$21,0))</f>
        <v>34</v>
      </c>
      <c r="F9" s="310">
        <f>INDEX('01_Base Yr. Inputs'!$5:$5,MATCH('02_Rent Engine'!$B9,'01_Base Yr. Inputs'!$3:$3,0))</f>
        <v>250000</v>
      </c>
      <c r="G9" s="310">
        <f t="shared" si="0"/>
        <v>7352.9411764705883</v>
      </c>
      <c r="H9" s="310">
        <f t="shared" si="1"/>
        <v>612.74509803921569</v>
      </c>
      <c r="I9" s="310">
        <f t="shared" si="2"/>
        <v>1490934</v>
      </c>
      <c r="J9" s="310">
        <f t="shared" si="3"/>
        <v>3654.25</v>
      </c>
      <c r="K9" s="47"/>
      <c r="L9" s="61" t="str">
        <v>CNV</v>
      </c>
      <c r="M9" s="62">
        <v>3923</v>
      </c>
      <c r="N9" s="49"/>
    </row>
    <row r="10" spans="2:14">
      <c r="B10" s="50" t="str">
        <v>Evergreen Apartments</v>
      </c>
      <c r="C10" s="311" t="str">
        <f>INDEX('01_Property Summary'!$E$5:$E$21,MATCH('02_Rent Engine'!$B10,'01_Property Summary'!$C$5:$C$21,0))</f>
        <v>New Westminster</v>
      </c>
      <c r="D10" s="311">
        <f>INDEX('01_Property Summary'!$F$5:$F$21,MATCH('02_Rent Engine'!$B10,'01_Property Summary'!$C$5:$C$21,0))</f>
        <v>2025</v>
      </c>
      <c r="E10" s="311">
        <f>INDEX('01_Property Summary'!$S$5:$S$21,MATCH('02_Rent Engine'!$B10,'01_Property Summary'!$C$5:$C$21,0))</f>
        <v>61</v>
      </c>
      <c r="F10" s="312">
        <f>INDEX('01_Base Yr. Inputs'!$5:$5,MATCH('02_Rent Engine'!$B10,'01_Base Yr. Inputs'!$3:$3,0))</f>
        <v>894501</v>
      </c>
      <c r="G10" s="312">
        <f t="shared" si="0"/>
        <v>14663.950819672131</v>
      </c>
      <c r="H10" s="312">
        <f t="shared" si="1"/>
        <v>1221.9959016393443</v>
      </c>
      <c r="I10" s="312">
        <f t="shared" si="2"/>
        <v>2007144</v>
      </c>
      <c r="J10" s="312">
        <f t="shared" si="3"/>
        <v>2742</v>
      </c>
      <c r="K10" s="47"/>
      <c r="L10" s="51" t="str">
        <v>Burnaby</v>
      </c>
      <c r="M10" s="52">
        <v>2881.25</v>
      </c>
      <c r="N10" s="49"/>
    </row>
    <row r="11" spans="2:14" ht="13.5" customHeight="1">
      <c r="B11" s="60" t="str">
        <v>Evelyn Estates</v>
      </c>
      <c r="C11" s="309" t="str">
        <f>INDEX('01_Property Summary'!$E$5:$E$21,MATCH('02_Rent Engine'!$B11,'01_Property Summary'!$C$5:$C$21,0))</f>
        <v>Surrey</v>
      </c>
      <c r="D11" s="309">
        <f>INDEX('01_Property Summary'!$F$5:$F$21,MATCH('02_Rent Engine'!$B11,'01_Property Summary'!$C$5:$C$21,0))</f>
        <v>2025</v>
      </c>
      <c r="E11" s="309">
        <f>INDEX('01_Property Summary'!$S$5:$S$21,MATCH('02_Rent Engine'!$B11,'01_Property Summary'!$C$5:$C$21,0))</f>
        <v>36</v>
      </c>
      <c r="F11" s="310">
        <f>INDEX('01_Base Yr. Inputs'!$5:$5,MATCH('02_Rent Engine'!$B11,'01_Base Yr. Inputs'!$3:$3,0))</f>
        <v>350000</v>
      </c>
      <c r="G11" s="310">
        <f t="shared" si="0"/>
        <v>9722.2222222222226</v>
      </c>
      <c r="H11" s="310">
        <f t="shared" si="1"/>
        <v>810.18518518518522</v>
      </c>
      <c r="I11" s="310">
        <f t="shared" si="2"/>
        <v>1148796</v>
      </c>
      <c r="J11" s="310">
        <f t="shared" si="3"/>
        <v>2659.25</v>
      </c>
      <c r="K11" s="47"/>
      <c r="L11" s="63" t="str">
        <v>Port Moody</v>
      </c>
      <c r="M11" s="64">
        <v>3086.25</v>
      </c>
      <c r="N11" s="49"/>
    </row>
    <row r="12" spans="2:14">
      <c r="B12" s="50" t="str">
        <v>Jessica Place</v>
      </c>
      <c r="C12" s="311" t="str">
        <f>INDEX('01_Property Summary'!$E$5:$E$21,MATCH('02_Rent Engine'!$B12,'01_Property Summary'!$C$5:$C$21,0))</f>
        <v>Surrey</v>
      </c>
      <c r="D12" s="311">
        <f>INDEX('01_Property Summary'!$F$5:$F$21,MATCH('02_Rent Engine'!$B12,'01_Property Summary'!$C$5:$C$21,0))</f>
        <v>2025</v>
      </c>
      <c r="E12" s="311">
        <f>INDEX('01_Property Summary'!$S$5:$S$21,MATCH('02_Rent Engine'!$B12,'01_Property Summary'!$C$5:$C$21,0))</f>
        <v>40</v>
      </c>
      <c r="F12" s="312">
        <f>INDEX('01_Base Yr. Inputs'!$5:$5,MATCH('02_Rent Engine'!$B12,'01_Base Yr. Inputs'!$3:$3,0))</f>
        <v>300000</v>
      </c>
      <c r="G12" s="312">
        <f t="shared" si="0"/>
        <v>7500</v>
      </c>
      <c r="H12" s="312">
        <f t="shared" si="1"/>
        <v>625</v>
      </c>
      <c r="I12" s="312">
        <f t="shared" si="2"/>
        <v>1276440</v>
      </c>
      <c r="J12" s="312">
        <f t="shared" si="3"/>
        <v>2659.25</v>
      </c>
      <c r="K12" s="47"/>
      <c r="L12" s="48"/>
      <c r="M12" s="49"/>
      <c r="N12" s="49"/>
    </row>
    <row r="13" spans="2:14">
      <c r="B13" s="60" t="str">
        <v>Margaret Heights</v>
      </c>
      <c r="C13" s="309" t="str">
        <f>INDEX('01_Property Summary'!$E$5:$E$21,MATCH('02_Rent Engine'!$B13,'01_Property Summary'!$C$5:$C$21,0))</f>
        <v>CNV</v>
      </c>
      <c r="D13" s="309">
        <f>INDEX('01_Property Summary'!$F$5:$F$21,MATCH('02_Rent Engine'!$B13,'01_Property Summary'!$C$5:$C$21,0))</f>
        <v>2025</v>
      </c>
      <c r="E13" s="309">
        <f>INDEX('01_Property Summary'!$S$5:$S$21,MATCH('02_Rent Engine'!$B13,'01_Property Summary'!$C$5:$C$21,0))</f>
        <v>19</v>
      </c>
      <c r="F13" s="310">
        <f>INDEX('01_Base Yr. Inputs'!$5:$5,MATCH('02_Rent Engine'!$B13,'01_Base Yr. Inputs'!$3:$3,0))</f>
        <v>240000</v>
      </c>
      <c r="G13" s="310">
        <f t="shared" si="0"/>
        <v>12631.578947368422</v>
      </c>
      <c r="H13" s="310">
        <f t="shared" si="1"/>
        <v>1052.6315789473686</v>
      </c>
      <c r="I13" s="310">
        <f t="shared" si="2"/>
        <v>894444</v>
      </c>
      <c r="J13" s="310">
        <f t="shared" si="3"/>
        <v>3923</v>
      </c>
      <c r="K13" s="47"/>
      <c r="L13" s="48"/>
      <c r="M13" s="49"/>
      <c r="N13" s="49"/>
    </row>
    <row r="14" spans="2:14">
      <c r="B14" s="50" t="str">
        <v>Murray Manor</v>
      </c>
      <c r="C14" s="311" t="str">
        <f>INDEX('01_Property Summary'!$E$5:$E$21,MATCH('02_Rent Engine'!$B14,'01_Property Summary'!$C$5:$C$21,0))</f>
        <v>Burnaby</v>
      </c>
      <c r="D14" s="311">
        <f>INDEX('01_Property Summary'!$F$5:$F$21,MATCH('02_Rent Engine'!$B14,'01_Property Summary'!$C$5:$C$21,0))</f>
        <v>2025</v>
      </c>
      <c r="E14" s="311">
        <f>INDEX('01_Property Summary'!$S$5:$S$21,MATCH('02_Rent Engine'!$B14,'01_Property Summary'!$C$5:$C$21,0))</f>
        <v>47</v>
      </c>
      <c r="F14" s="312">
        <f>INDEX('01_Base Yr. Inputs'!$5:$5,MATCH('02_Rent Engine'!$B14,'01_Base Yr. Inputs'!$3:$3,0))</f>
        <v>683452</v>
      </c>
      <c r="G14" s="312">
        <f t="shared" si="0"/>
        <v>14541.531914893618</v>
      </c>
      <c r="H14" s="312">
        <f t="shared" si="1"/>
        <v>1211.7943262411347</v>
      </c>
      <c r="I14" s="312">
        <f t="shared" si="2"/>
        <v>1625025</v>
      </c>
      <c r="J14" s="312">
        <f t="shared" si="3"/>
        <v>2881.25</v>
      </c>
      <c r="K14" s="47"/>
      <c r="L14" s="48"/>
      <c r="M14" s="49"/>
      <c r="N14" s="49"/>
    </row>
    <row r="15" spans="2:14">
      <c r="B15" s="60" t="str">
        <v>Natalia Terrace</v>
      </c>
      <c r="C15" s="309" t="str">
        <f>INDEX('01_Property Summary'!$E$5:$E$21,MATCH('02_Rent Engine'!$B15,'01_Property Summary'!$C$5:$C$21,0))</f>
        <v>Vancouver</v>
      </c>
      <c r="D15" s="309">
        <f>INDEX('01_Property Summary'!$F$5:$F$21,MATCH('02_Rent Engine'!$B15,'01_Property Summary'!$C$5:$C$21,0))</f>
        <v>2025</v>
      </c>
      <c r="E15" s="309">
        <f>INDEX('01_Property Summary'!$S$5:$S$21,MATCH('02_Rent Engine'!$B15,'01_Property Summary'!$C$5:$C$21,0))</f>
        <v>40</v>
      </c>
      <c r="F15" s="310">
        <f>INDEX('01_Base Yr. Inputs'!$5:$5,MATCH('02_Rent Engine'!$B15,'01_Base Yr. Inputs'!$3:$3,0))</f>
        <v>480000</v>
      </c>
      <c r="G15" s="310">
        <f t="shared" si="0"/>
        <v>12000</v>
      </c>
      <c r="H15" s="310">
        <f t="shared" si="1"/>
        <v>1000</v>
      </c>
      <c r="I15" s="310">
        <f t="shared" si="2"/>
        <v>1754040</v>
      </c>
      <c r="J15" s="310">
        <f t="shared" si="3"/>
        <v>3654.25</v>
      </c>
      <c r="K15" s="47"/>
      <c r="L15" s="48"/>
      <c r="M15" s="49"/>
      <c r="N15" s="49"/>
    </row>
    <row r="16" spans="2:14">
      <c r="B16" s="50" t="str">
        <v>Newton Green</v>
      </c>
      <c r="C16" s="311" t="str">
        <f>INDEX('01_Property Summary'!$E$5:$E$21,MATCH('02_Rent Engine'!$B16,'01_Property Summary'!$C$5:$C$21,0))</f>
        <v>Surrey</v>
      </c>
      <c r="D16" s="311">
        <f>INDEX('01_Property Summary'!$F$5:$F$21,MATCH('02_Rent Engine'!$B16,'01_Property Summary'!$C$5:$C$21,0))</f>
        <v>2025</v>
      </c>
      <c r="E16" s="311">
        <f>INDEX('01_Property Summary'!$S$5:$S$21,MATCH('02_Rent Engine'!$B16,'01_Property Summary'!$C$5:$C$21,0))</f>
        <v>49</v>
      </c>
      <c r="F16" s="312">
        <f>INDEX('01_Base Yr. Inputs'!$5:$5,MATCH('02_Rent Engine'!$B16,'01_Base Yr. Inputs'!$3:$3,0))</f>
        <v>600000</v>
      </c>
      <c r="G16" s="312">
        <f t="shared" si="0"/>
        <v>12244.897959183674</v>
      </c>
      <c r="H16" s="312">
        <f t="shared" si="1"/>
        <v>1020.4081632653061</v>
      </c>
      <c r="I16" s="312">
        <f t="shared" si="2"/>
        <v>1563639</v>
      </c>
      <c r="J16" s="312">
        <f t="shared" si="3"/>
        <v>2659.25</v>
      </c>
      <c r="K16" s="47"/>
      <c r="L16" s="48"/>
      <c r="M16" s="49"/>
      <c r="N16" s="49"/>
    </row>
    <row r="17" spans="2:14">
      <c r="B17" s="60" t="str">
        <v>Rosemary Green</v>
      </c>
      <c r="C17" s="309" t="str">
        <f>INDEX('01_Property Summary'!$E$5:$E$21,MATCH('02_Rent Engine'!$B17,'01_Property Summary'!$C$5:$C$21,0))</f>
        <v>Surrey</v>
      </c>
      <c r="D17" s="309">
        <f>INDEX('01_Property Summary'!$F$5:$F$21,MATCH('02_Rent Engine'!$B17,'01_Property Summary'!$C$5:$C$21,0))</f>
        <v>2025</v>
      </c>
      <c r="E17" s="309">
        <f>INDEX('01_Property Summary'!$S$5:$S$21,MATCH('02_Rent Engine'!$B17,'01_Property Summary'!$C$5:$C$21,0))</f>
        <v>38</v>
      </c>
      <c r="F17" s="310">
        <f>INDEX('01_Base Yr. Inputs'!$5:$5,MATCH('02_Rent Engine'!$B17,'01_Base Yr. Inputs'!$3:$3,0))</f>
        <v>370000</v>
      </c>
      <c r="G17" s="310">
        <f t="shared" si="0"/>
        <v>9736.8421052631584</v>
      </c>
      <c r="H17" s="310">
        <f t="shared" si="1"/>
        <v>811.40350877192986</v>
      </c>
      <c r="I17" s="310">
        <f t="shared" si="2"/>
        <v>1212618</v>
      </c>
      <c r="J17" s="310">
        <f t="shared" si="3"/>
        <v>2659.25</v>
      </c>
      <c r="K17" s="47"/>
      <c r="L17" s="48"/>
      <c r="M17" s="49"/>
      <c r="N17" s="49"/>
    </row>
    <row r="18" spans="2:14">
      <c r="B18" s="50" t="str">
        <v>1656 Adanac Street</v>
      </c>
      <c r="C18" s="311" t="str">
        <f>INDEX('01_Property Summary'!$E$5:$E$21,MATCH('02_Rent Engine'!$B18,'01_Property Summary'!$C$5:$C$21,0))</f>
        <v>Vancouver</v>
      </c>
      <c r="D18" s="311">
        <f>INDEX('01_Property Summary'!$F$5:$F$21,MATCH('02_Rent Engine'!$B18,'01_Property Summary'!$C$5:$C$21,0))</f>
        <v>2028</v>
      </c>
      <c r="E18" s="311">
        <f>INDEX('01_Property Summary'!$S$5:$S$21,MATCH('02_Rent Engine'!$B18,'01_Property Summary'!$C$5:$C$21,0))</f>
        <v>97</v>
      </c>
      <c r="F18" s="312">
        <f>INDEX('01_Base Yr. Inputs'!$5:$5,MATCH('02_Rent Engine'!$B18,'01_Base Yr. Inputs'!$3:$3,0))</f>
        <v>1636062</v>
      </c>
      <c r="G18" s="312">
        <f t="shared" si="0"/>
        <v>16866.618556701033</v>
      </c>
      <c r="H18" s="312">
        <f t="shared" si="1"/>
        <v>1405.5515463917527</v>
      </c>
      <c r="I18" s="312">
        <f t="shared" si="2"/>
        <v>4253547</v>
      </c>
      <c r="J18" s="312">
        <f t="shared" si="3"/>
        <v>3654.25</v>
      </c>
      <c r="K18" s="47"/>
      <c r="L18" s="48"/>
      <c r="M18" s="49"/>
      <c r="N18" s="49"/>
    </row>
    <row r="19" spans="2:14">
      <c r="B19" s="60" t="str">
        <v>450 Pacific Street</v>
      </c>
      <c r="C19" s="309" t="str">
        <f>INDEX('01_Property Summary'!$E$5:$E$21,MATCH('02_Rent Engine'!$B19,'01_Property Summary'!$C$5:$C$21,0))</f>
        <v>Vancouver</v>
      </c>
      <c r="D19" s="309">
        <f>INDEX('01_Property Summary'!$F$5:$F$21,MATCH('02_Rent Engine'!$B19,'01_Property Summary'!$C$5:$C$21,0))</f>
        <v>2028</v>
      </c>
      <c r="E19" s="309">
        <f>INDEX('01_Property Summary'!$S$5:$S$21,MATCH('02_Rent Engine'!$B19,'01_Property Summary'!$C$5:$C$21,0))</f>
        <v>91</v>
      </c>
      <c r="F19" s="310">
        <f>INDEX('01_Base Yr. Inputs'!$5:$5,MATCH('02_Rent Engine'!$B19,'01_Base Yr. Inputs'!$3:$3,0))</f>
        <v>1399704</v>
      </c>
      <c r="G19" s="310">
        <f t="shared" si="0"/>
        <v>15381.362637362638</v>
      </c>
      <c r="H19" s="310">
        <f t="shared" si="1"/>
        <v>1281.7802197802198</v>
      </c>
      <c r="I19" s="310">
        <f t="shared" si="2"/>
        <v>3990441</v>
      </c>
      <c r="J19" s="310">
        <f t="shared" si="3"/>
        <v>3654.25</v>
      </c>
      <c r="K19" s="47"/>
      <c r="L19" s="48"/>
      <c r="M19" s="49"/>
      <c r="N19" s="49"/>
    </row>
    <row r="20" spans="2:14">
      <c r="B20" s="50" t="str">
        <v>The Creek, Port Moody</v>
      </c>
      <c r="C20" s="311" t="str">
        <f>INDEX('01_Property Summary'!$E$5:$E$21,MATCH('02_Rent Engine'!$B20,'01_Property Summary'!$C$5:$C$21,0))</f>
        <v>Port Moody</v>
      </c>
      <c r="D20" s="311">
        <f>INDEX('01_Property Summary'!$F$5:$F$21,MATCH('02_Rent Engine'!$B20,'01_Property Summary'!$C$5:$C$21,0))</f>
        <v>2027</v>
      </c>
      <c r="E20" s="311">
        <f>INDEX('01_Property Summary'!$S$5:$S$21,MATCH('02_Rent Engine'!$B20,'01_Property Summary'!$C$5:$C$21,0))</f>
        <v>328</v>
      </c>
      <c r="F20" s="312">
        <f>INDEX('01_Base Yr. Inputs'!$5:$5,MATCH('02_Rent Engine'!$B20,'01_Base Yr. Inputs'!$3:$3,0))</f>
        <v>3800872.26</v>
      </c>
      <c r="G20" s="312">
        <f t="shared" si="0"/>
        <v>11588.025182926829</v>
      </c>
      <c r="H20" s="312">
        <f t="shared" si="1"/>
        <v>965.66876524390239</v>
      </c>
      <c r="I20" s="312">
        <f t="shared" si="2"/>
        <v>12147480</v>
      </c>
      <c r="J20" s="312">
        <f t="shared" si="3"/>
        <v>3086.25</v>
      </c>
      <c r="K20" s="47"/>
      <c r="L20" s="48"/>
      <c r="M20" s="49"/>
      <c r="N20" s="49"/>
    </row>
    <row r="21" spans="2:14">
      <c r="B21" s="60" t="str">
        <v>800 Commercial Drive</v>
      </c>
      <c r="C21" s="309" t="str">
        <f>INDEX('01_Property Summary'!$E$5:$E$21,MATCH('02_Rent Engine'!$B21,'01_Property Summary'!$C$5:$C$21,0))</f>
        <v>Vancouver</v>
      </c>
      <c r="D21" s="309">
        <f>INDEX('01_Property Summary'!$F$5:$F$21,MATCH('02_Rent Engine'!$B21,'01_Property Summary'!$C$5:$C$21,0))</f>
        <v>2029</v>
      </c>
      <c r="E21" s="309">
        <f>INDEX('01_Property Summary'!$S$5:$S$21,MATCH('02_Rent Engine'!$B21,'01_Property Summary'!$C$5:$C$21,0))</f>
        <v>93</v>
      </c>
      <c r="F21" s="310">
        <f>INDEX('01_Base Yr. Inputs'!$5:$5,MATCH('02_Rent Engine'!$B21,'01_Base Yr. Inputs'!$3:$3,0))</f>
        <v>1812384</v>
      </c>
      <c r="G21" s="310">
        <f t="shared" si="0"/>
        <v>19488</v>
      </c>
      <c r="H21" s="310">
        <f t="shared" si="1"/>
        <v>1624</v>
      </c>
      <c r="I21" s="310">
        <f t="shared" si="2"/>
        <v>4078143</v>
      </c>
      <c r="J21" s="310">
        <f t="shared" si="3"/>
        <v>3654.25</v>
      </c>
      <c r="K21" s="47"/>
      <c r="L21" s="48"/>
      <c r="M21" s="49"/>
      <c r="N21" s="49"/>
    </row>
    <row r="23" spans="2:14">
      <c r="B23" s="31" t="s">
        <v>482</v>
      </c>
    </row>
    <row r="24" spans="2:14">
      <c r="B24" s="30" t="s">
        <v>499</v>
      </c>
    </row>
    <row r="25" spans="2:14">
      <c r="B25" s="30" t="s">
        <v>500</v>
      </c>
    </row>
    <row r="26" spans="2:14">
      <c r="B26" s="30"/>
    </row>
  </sheetData>
  <mergeCells count="4">
    <mergeCell ref="L3:M3"/>
    <mergeCell ref="G3:H3"/>
    <mergeCell ref="B2:J2"/>
    <mergeCell ref="I3:J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EFA3D-4187-43B3-A8B7-ACB03C10EF7C}">
  <sheetPr>
    <tabColor rgb="FF808080"/>
  </sheetPr>
  <dimension ref="A1:BC146"/>
  <sheetViews>
    <sheetView showGridLines="0" workbookViewId="0">
      <selection activeCell="J28" sqref="J28"/>
    </sheetView>
  </sheetViews>
  <sheetFormatPr defaultColWidth="0" defaultRowHeight="12.75"/>
  <cols>
    <col min="1" max="1" width="1.7109375" style="3" customWidth="1"/>
    <col min="2" max="2" width="20.7109375" style="3" customWidth="1"/>
    <col min="3" max="3" width="15" style="3" customWidth="1"/>
    <col min="4" max="4" width="7.7109375" style="3" customWidth="1"/>
    <col min="5" max="5" width="5.140625" style="3" customWidth="1"/>
    <col min="6" max="26" width="12.7109375" style="3" customWidth="1"/>
    <col min="27" max="54" width="8.85546875" style="3" hidden="1" customWidth="1"/>
    <col min="55" max="55" width="13" style="3" hidden="1" customWidth="1"/>
    <col min="56" max="56" width="8.85546875" style="3" hidden="1" customWidth="1"/>
    <col min="57" max="16384" width="8.85546875" style="3" hidden="1"/>
  </cols>
  <sheetData>
    <row r="1" spans="2:25" ht="7.9" customHeight="1"/>
    <row r="2" spans="2:25" ht="15.75" customHeight="1">
      <c r="B2" s="432" t="s">
        <v>501</v>
      </c>
      <c r="C2" s="424"/>
      <c r="D2" s="424"/>
      <c r="E2" s="424"/>
      <c r="F2" s="424"/>
      <c r="G2" s="424"/>
      <c r="H2" s="424"/>
      <c r="I2" s="424"/>
      <c r="J2" s="424"/>
      <c r="K2" s="424"/>
      <c r="L2" s="424"/>
      <c r="M2" s="424"/>
      <c r="N2" s="424"/>
      <c r="O2" s="424"/>
      <c r="P2" s="424"/>
      <c r="Q2" s="424"/>
      <c r="R2" s="424"/>
      <c r="S2" s="424"/>
      <c r="T2" s="424"/>
      <c r="U2" s="424"/>
      <c r="V2" s="424"/>
      <c r="W2" s="424"/>
      <c r="X2" s="424"/>
      <c r="Y2" s="424"/>
    </row>
    <row r="3" spans="2:25" ht="13.5" customHeight="1"/>
    <row r="4" spans="2:25" ht="13.5" customHeight="1">
      <c r="B4" s="443" t="s">
        <v>407</v>
      </c>
      <c r="C4" s="442"/>
    </row>
    <row r="5" spans="2:25" ht="13.5" customHeight="1">
      <c r="B5" s="56" t="s">
        <v>502</v>
      </c>
      <c r="C5" s="313">
        <f>'01_Assumptions'!$C$25</f>
        <v>0.9</v>
      </c>
    </row>
    <row r="6" spans="2:25">
      <c r="B6" s="56" t="s">
        <v>503</v>
      </c>
      <c r="C6" s="314">
        <f>'01_Assumptions'!$C$26</f>
        <v>450000</v>
      </c>
    </row>
    <row r="7" spans="2:25">
      <c r="B7" s="56" t="s">
        <v>385</v>
      </c>
      <c r="C7" s="315">
        <f>'01_Assumptions'!$C$27</f>
        <v>4.4999999999999998E-2</v>
      </c>
    </row>
    <row r="8" spans="2:25" ht="13.5" customHeight="1">
      <c r="B8" s="56" t="s">
        <v>404</v>
      </c>
      <c r="C8" s="316">
        <f>'01_Assumptions'!$C$28</f>
        <v>40</v>
      </c>
    </row>
    <row r="9" spans="2:25" ht="13.5" customHeight="1">
      <c r="B9" s="441" t="s">
        <v>399</v>
      </c>
      <c r="C9" s="442"/>
    </row>
    <row r="10" spans="2:25" ht="13.5" customHeight="1">
      <c r="B10" s="56" t="s">
        <v>504</v>
      </c>
      <c r="C10" s="313">
        <f>'01_Assumptions'!$C$18</f>
        <v>0.75</v>
      </c>
    </row>
    <row r="11" spans="2:25">
      <c r="B11" s="56" t="s">
        <v>213</v>
      </c>
      <c r="C11" s="317">
        <f>'01_Assumptions'!$C$19</f>
        <v>1.2</v>
      </c>
    </row>
    <row r="12" spans="2:25">
      <c r="B12" s="56" t="s">
        <v>405</v>
      </c>
      <c r="C12" s="313">
        <f>'01_Assumptions'!$C$22</f>
        <v>0.06</v>
      </c>
    </row>
    <row r="13" spans="2:25">
      <c r="B13" s="56" t="s">
        <v>385</v>
      </c>
      <c r="C13" s="315">
        <f>'01_Assumptions'!$C$20</f>
        <v>0.04</v>
      </c>
    </row>
    <row r="14" spans="2:25" ht="13.5" customHeight="1">
      <c r="B14" s="57" t="s">
        <v>404</v>
      </c>
      <c r="C14" s="316">
        <f>'01_Assumptions'!$C$21</f>
        <v>35</v>
      </c>
    </row>
    <row r="15" spans="2:25">
      <c r="B15" s="30" t="s">
        <v>505</v>
      </c>
      <c r="C15" s="33"/>
    </row>
    <row r="16" spans="2:25">
      <c r="C16" s="33"/>
    </row>
    <row r="17" spans="2:25" ht="13.9" customHeight="1">
      <c r="B17" s="46" t="s">
        <v>489</v>
      </c>
      <c r="G17" s="446" t="s">
        <v>506</v>
      </c>
      <c r="H17" s="424"/>
      <c r="I17" s="424"/>
      <c r="J17" s="424"/>
      <c r="K17" s="424"/>
      <c r="L17" s="424"/>
      <c r="M17" s="424"/>
      <c r="N17" s="424"/>
      <c r="O17" s="445" t="s">
        <v>507</v>
      </c>
      <c r="P17" s="424"/>
      <c r="Q17" s="447" t="s">
        <v>23</v>
      </c>
      <c r="R17" s="424"/>
      <c r="S17" s="440" t="s">
        <v>508</v>
      </c>
      <c r="T17" s="427"/>
      <c r="U17" s="427"/>
      <c r="V17" s="427"/>
      <c r="W17" s="427"/>
      <c r="X17" s="427"/>
      <c r="Y17" s="427"/>
    </row>
    <row r="18" spans="2:25" ht="51" customHeight="1">
      <c r="B18" s="53" t="s">
        <v>80</v>
      </c>
      <c r="C18" s="53" t="s">
        <v>232</v>
      </c>
      <c r="D18" s="53" t="s">
        <v>56</v>
      </c>
      <c r="E18" s="53" t="s">
        <v>49</v>
      </c>
      <c r="F18" s="53" t="s">
        <v>509</v>
      </c>
      <c r="G18" s="44" t="s">
        <v>415</v>
      </c>
      <c r="H18" s="44" t="s">
        <v>403</v>
      </c>
      <c r="I18" s="44" t="s">
        <v>510</v>
      </c>
      <c r="J18" s="44" t="s">
        <v>404</v>
      </c>
      <c r="K18" s="44" t="s">
        <v>424</v>
      </c>
      <c r="L18" s="44" t="s">
        <v>425</v>
      </c>
      <c r="M18" s="44" t="s">
        <v>511</v>
      </c>
      <c r="N18" s="44" t="s">
        <v>426</v>
      </c>
      <c r="O18" s="54" t="s">
        <v>512</v>
      </c>
      <c r="P18" s="54" t="s">
        <v>513</v>
      </c>
      <c r="Q18" s="55" t="s">
        <v>514</v>
      </c>
      <c r="R18" s="55" t="s">
        <v>515</v>
      </c>
      <c r="S18" s="65" t="s">
        <v>516</v>
      </c>
      <c r="T18" s="65" t="s">
        <v>517</v>
      </c>
      <c r="U18" s="65" t="s">
        <v>518</v>
      </c>
      <c r="V18" s="65" t="s">
        <v>519</v>
      </c>
      <c r="W18" s="65" t="s">
        <v>520</v>
      </c>
      <c r="X18" s="65" t="s">
        <v>521</v>
      </c>
      <c r="Y18" s="65" t="s">
        <v>522</v>
      </c>
    </row>
    <row r="19" spans="2:25">
      <c r="B19" s="50" t="str">
        <f t="array" ref="B19:B35">_xlfn.UNIQUE('01_Property Summary'!$C$5:$C$21)</f>
        <v>Alma Blackwell</v>
      </c>
      <c r="C19" s="311" t="str">
        <f>INDEX('01_Property Summary'!$E$5:$E$21,MATCH('02_Rent Engine'!$B5,'01_Property Summary'!$C$5:$C$21,0))</f>
        <v>Vancouver</v>
      </c>
      <c r="D19" s="311" t="str">
        <f>INDEX('01_Property Summary'!$G$5:$G$21,MATCH('02_Debt Engine'!B19,'01_Property Summary'!$C$5:$C$21,0))</f>
        <v>Active</v>
      </c>
      <c r="E19" s="311">
        <f>INDEX('01_Property Summary'!$S$5:$S$21,MATCH('02_Debt Engine'!B19,'01_Property Summary'!$C$5:$C$21,0))</f>
        <v>46</v>
      </c>
      <c r="F19" s="143" t="s">
        <v>523</v>
      </c>
      <c r="G19" s="311" t="str">
        <f>INDEX('01_Property Summary'!L$5:L$21,MATCH('02_Debt Engine'!$B19,'01_Property Summary'!$C$5:$C$21,0))</f>
        <v>N/A</v>
      </c>
      <c r="H19" s="318">
        <f>INDEX('01_Property Summary'!M$5:M$21,MATCH('02_Debt Engine'!$B19,'01_Property Summary'!$C$5:$C$21,0))</f>
        <v>0</v>
      </c>
      <c r="I19" s="311">
        <f>IF(D19="Active",YEAR(INDEX('01_Property Summary'!N$5:N$21,MATCH('02_Debt Engine'!$B19,'01_Property Summary'!$C$5:$C$21,0))),INDEX('02_Rent Engine'!$D$5:$D$21,MATCH($B19,'02_Rent Engine'!$B$5:$B$21,0)))</f>
        <v>1900</v>
      </c>
      <c r="J19" s="311">
        <f>INDEX('01_Property Summary'!O$5:O$21,MATCH('02_Debt Engine'!$B19,'01_Property Summary'!$C$5:$C$21,0))</f>
        <v>0</v>
      </c>
      <c r="K19" s="319">
        <f>INDEX('01_Property Summary'!P$5:P$21,MATCH('02_Debt Engine'!$B19,'01_Property Summary'!$C$5:$C$21,0))</f>
        <v>0</v>
      </c>
      <c r="L19" s="319">
        <f>INDEX('01_Property Summary'!Q$5:Q$21,MATCH('02_Debt Engine'!$B19,'01_Property Summary'!$C$5:$C$21,0))</f>
        <v>0</v>
      </c>
      <c r="M19" s="320">
        <f t="shared" ref="M19:M35" si="0">IFERROR(L19/K19,0)</f>
        <v>0</v>
      </c>
      <c r="N19" s="319">
        <f>INDEX('01_Property Summary'!R$5:R$21,MATCH('02_Debt Engine'!$B19,'01_Property Summary'!$C$5:$C$21,0))</f>
        <v>0</v>
      </c>
      <c r="O19" s="319">
        <f t="shared" ref="O19:O35" si="1">IF($D19="New Dev",E19*$C$6*$C$5,0)</f>
        <v>0</v>
      </c>
      <c r="P19" s="319">
        <f t="shared" ref="P19:P35" si="2">IFERROR(-PMT($C$7/12,$C$8*12,O19)*12,0)</f>
        <v>0</v>
      </c>
      <c r="Q19" s="319">
        <f t="shared" ref="Q19:Q35" si="3">IF($D19="Active",N19*H19,(O19*$C$7))</f>
        <v>0</v>
      </c>
      <c r="R19" s="319">
        <f t="shared" ref="R19:R35" si="4">IF($D19="Active",K19-Q19,P19-Q19)</f>
        <v>0</v>
      </c>
      <c r="S19" s="319">
        <f>IFERROR(INDEX(BLD_AB!$41:$41,MATCH('02_Debt Engine'!$I19,BLD_AB!$12:$12,0)),0)</f>
        <v>0</v>
      </c>
      <c r="T19" s="319">
        <f t="shared" ref="T19:T35" si="5">IF($F19="Yes",MAX(0,$S19/$C$12*$C$10),0)</f>
        <v>0</v>
      </c>
      <c r="U19" s="319">
        <f t="shared" ref="U19:U35" si="6">IF($F19="Yes",MAX(0,IF($S19&lt;=0,0,$S19/$C$11/(PMT($C$13/12,$C$14*12,-1)*12))),0)</f>
        <v>0</v>
      </c>
      <c r="V19" s="319">
        <f t="shared" ref="V19:V35" si="7">MIN(T19,U19)</f>
        <v>0</v>
      </c>
      <c r="W19" s="319">
        <f t="shared" ref="W19:W35" si="8">IFERROR(-PMT($C$13/12,$C$14*12,$V19)*12,0)</f>
        <v>0</v>
      </c>
      <c r="X19" s="319">
        <f t="shared" ref="X19:X35" si="9">IF($V19&lt;&gt;0,$V19*$C$13,0)</f>
        <v>0</v>
      </c>
      <c r="Y19" s="319">
        <f t="shared" ref="Y19:Y35" si="10">W19-X19</f>
        <v>0</v>
      </c>
    </row>
    <row r="20" spans="2:25">
      <c r="B20" s="50" t="str">
        <v>Antkiw Court</v>
      </c>
      <c r="C20" s="311" t="str">
        <f>INDEX('01_Property Summary'!$E$5:$E$21,MATCH('02_Rent Engine'!$B6,'01_Property Summary'!$C$5:$C$21,0))</f>
        <v>Vancouver</v>
      </c>
      <c r="D20" s="311" t="str">
        <f>INDEX('01_Property Summary'!$G$5:$G$21,MATCH('02_Debt Engine'!B20,'01_Property Summary'!$C$5:$C$21,0))</f>
        <v>Active</v>
      </c>
      <c r="E20" s="311">
        <f>INDEX('01_Property Summary'!$S$5:$S$21,MATCH('02_Debt Engine'!B20,'01_Property Summary'!$C$5:$C$21,0))</f>
        <v>21</v>
      </c>
      <c r="F20" s="143" t="s">
        <v>523</v>
      </c>
      <c r="G20" s="311" t="str">
        <f>INDEX('01_Property Summary'!L$5:L$21,MATCH('02_Debt Engine'!$B20,'01_Property Summary'!$C$5:$C$21,0))</f>
        <v>BCHMC/NPAT</v>
      </c>
      <c r="H20" s="318">
        <f>INDEX('01_Property Summary'!M$5:M$21,MATCH('02_Debt Engine'!$B20,'01_Property Summary'!$C$5:$C$21,0))</f>
        <v>4.0239999999999998E-2</v>
      </c>
      <c r="I20" s="311">
        <f>IF(D20="Active",YEAR(INDEX('01_Property Summary'!N$5:N$21,MATCH('02_Debt Engine'!$B20,'01_Property Summary'!$C$5:$C$21,0))),INDEX('02_Rent Engine'!$D$5:$D$21,MATCH($B20,'02_Rent Engine'!$B$5:$B$21,0)))</f>
        <v>2035</v>
      </c>
      <c r="J20" s="311">
        <f>INDEX('01_Property Summary'!O$5:O$21,MATCH('02_Debt Engine'!$B20,'01_Property Summary'!$C$5:$C$21,0))</f>
        <v>22</v>
      </c>
      <c r="K20" s="319">
        <f>INDEX('01_Property Summary'!P$5:P$21,MATCH('02_Debt Engine'!$B20,'01_Property Summary'!$C$5:$C$21,0))</f>
        <v>54330.12</v>
      </c>
      <c r="L20" s="319">
        <f>INDEX('01_Property Summary'!Q$5:Q$21,MATCH('02_Debt Engine'!$B20,'01_Property Summary'!$C$5:$C$21,0))</f>
        <v>54330.12</v>
      </c>
      <c r="M20" s="320">
        <f t="shared" si="0"/>
        <v>1</v>
      </c>
      <c r="N20" s="319">
        <f>INDEX('01_Property Summary'!R$5:R$21,MATCH('02_Debt Engine'!$B20,'01_Property Summary'!$C$5:$C$21,0))</f>
        <v>794745.17</v>
      </c>
      <c r="O20" s="319">
        <f t="shared" si="1"/>
        <v>0</v>
      </c>
      <c r="P20" s="319">
        <f t="shared" si="2"/>
        <v>0</v>
      </c>
      <c r="Q20" s="319">
        <f t="shared" si="3"/>
        <v>31980.545640799999</v>
      </c>
      <c r="R20" s="319">
        <f t="shared" si="4"/>
        <v>22349.574359200004</v>
      </c>
      <c r="S20" s="319">
        <f>IFERROR(INDEX(BLD_AC!$41:$41,MATCH('02_Debt Engine'!$I20,BLD_AC!$12:$12,0)),0)</f>
        <v>248807.85485742081</v>
      </c>
      <c r="T20" s="319">
        <f t="shared" si="5"/>
        <v>0</v>
      </c>
      <c r="U20" s="319">
        <f t="shared" si="6"/>
        <v>0</v>
      </c>
      <c r="V20" s="319">
        <f t="shared" si="7"/>
        <v>0</v>
      </c>
      <c r="W20" s="319">
        <f t="shared" si="8"/>
        <v>0</v>
      </c>
      <c r="X20" s="319">
        <f t="shared" si="9"/>
        <v>0</v>
      </c>
      <c r="Y20" s="319">
        <f t="shared" si="10"/>
        <v>0</v>
      </c>
    </row>
    <row r="21" spans="2:25">
      <c r="B21" s="50" t="str">
        <v>Beatrice Terrace</v>
      </c>
      <c r="C21" s="311" t="str">
        <f>INDEX('01_Property Summary'!$E$5:$E$21,MATCH('02_Rent Engine'!$B7,'01_Property Summary'!$C$5:$C$21,0))</f>
        <v>Vancouver</v>
      </c>
      <c r="D21" s="311" t="str">
        <f>INDEX('01_Property Summary'!$G$5:$G$21,MATCH('02_Debt Engine'!B21,'01_Property Summary'!$C$5:$C$21,0))</f>
        <v>Active</v>
      </c>
      <c r="E21" s="311">
        <f>INDEX('01_Property Summary'!$S$5:$S$21,MATCH('02_Debt Engine'!B21,'01_Property Summary'!$C$5:$C$21,0))</f>
        <v>18</v>
      </c>
      <c r="F21" s="143" t="s">
        <v>523</v>
      </c>
      <c r="G21" s="311" t="str">
        <f>INDEX('01_Property Summary'!L$5:L$21,MATCH('02_Debt Engine'!$B21,'01_Property Summary'!$C$5:$C$21,0))</f>
        <v>BCHMC/NPAT</v>
      </c>
      <c r="H21" s="318">
        <f>INDEX('01_Property Summary'!M$5:M$21,MATCH('02_Debt Engine'!$B21,'01_Property Summary'!$C$5:$C$21,0))</f>
        <v>4.0239999999999998E-2</v>
      </c>
      <c r="I21" s="311">
        <f>IF(D21="Active",YEAR(INDEX('01_Property Summary'!N$5:N$21,MATCH('02_Debt Engine'!$B21,'01_Property Summary'!$C$5:$C$21,0))),INDEX('02_Rent Engine'!$D$5:$D$21,MATCH($B21,'02_Rent Engine'!$B$5:$B$21,0)))</f>
        <v>2035</v>
      </c>
      <c r="J21" s="311">
        <f>INDEX('01_Property Summary'!O$5:O$21,MATCH('02_Debt Engine'!$B21,'01_Property Summary'!$C$5:$C$21,0))</f>
        <v>22</v>
      </c>
      <c r="K21" s="319">
        <f>INDEX('01_Property Summary'!P$5:P$21,MATCH('02_Debt Engine'!$B21,'01_Property Summary'!$C$5:$C$21,0))</f>
        <v>110563.68</v>
      </c>
      <c r="L21" s="319">
        <f>INDEX('01_Property Summary'!Q$5:Q$21,MATCH('02_Debt Engine'!$B21,'01_Property Summary'!$C$5:$C$21,0))</f>
        <v>110563.68</v>
      </c>
      <c r="M21" s="320">
        <f t="shared" si="0"/>
        <v>1</v>
      </c>
      <c r="N21" s="319">
        <f>INDEX('01_Property Summary'!R$5:R$21,MATCH('02_Debt Engine'!$B21,'01_Property Summary'!$C$5:$C$21,0))</f>
        <v>1617334.89</v>
      </c>
      <c r="O21" s="319">
        <f t="shared" si="1"/>
        <v>0</v>
      </c>
      <c r="P21" s="319">
        <f t="shared" si="2"/>
        <v>0</v>
      </c>
      <c r="Q21" s="319">
        <f t="shared" si="3"/>
        <v>65081.555973599992</v>
      </c>
      <c r="R21" s="319">
        <f t="shared" si="4"/>
        <v>45482.124026400001</v>
      </c>
      <c r="S21" s="319">
        <f>IFERROR(INDEX(BLD_BT!$41:$41,MATCH('02_Debt Engine'!$I21,BLD_BT!$12:$12,0)),0)</f>
        <v>332046.68923871045</v>
      </c>
      <c r="T21" s="319">
        <f t="shared" si="5"/>
        <v>0</v>
      </c>
      <c r="U21" s="319">
        <f t="shared" si="6"/>
        <v>0</v>
      </c>
      <c r="V21" s="319">
        <f t="shared" si="7"/>
        <v>0</v>
      </c>
      <c r="W21" s="319">
        <f t="shared" si="8"/>
        <v>0</v>
      </c>
      <c r="X21" s="319">
        <f t="shared" si="9"/>
        <v>0</v>
      </c>
      <c r="Y21" s="319">
        <f t="shared" si="10"/>
        <v>0</v>
      </c>
    </row>
    <row r="22" spans="2:25">
      <c r="B22" s="50" t="str">
        <v>Capilano House</v>
      </c>
      <c r="C22" s="311" t="str">
        <f>INDEX('01_Property Summary'!$E$5:$E$21,MATCH('02_Rent Engine'!$B8,'01_Property Summary'!$C$5:$C$21,0))</f>
        <v>DNV</v>
      </c>
      <c r="D22" s="311" t="str">
        <f>INDEX('01_Property Summary'!$G$5:$G$21,MATCH('02_Debt Engine'!B22,'01_Property Summary'!$C$5:$C$21,0))</f>
        <v>Active</v>
      </c>
      <c r="E22" s="311">
        <f>INDEX('01_Property Summary'!$S$5:$S$21,MATCH('02_Debt Engine'!B22,'01_Property Summary'!$C$5:$C$21,0))</f>
        <v>64</v>
      </c>
      <c r="F22" s="143" t="s">
        <v>523</v>
      </c>
      <c r="G22" s="311" t="str">
        <f>INDEX('01_Property Summary'!L$5:L$21,MATCH('02_Debt Engine'!$B22,'01_Property Summary'!$C$5:$C$21,0))</f>
        <v>N/A</v>
      </c>
      <c r="H22" s="318">
        <f>INDEX('01_Property Summary'!M$5:M$21,MATCH('02_Debt Engine'!$B22,'01_Property Summary'!$C$5:$C$21,0))</f>
        <v>0</v>
      </c>
      <c r="I22" s="311">
        <f>IF(D22="Active",YEAR(INDEX('01_Property Summary'!N$5:N$21,MATCH('02_Debt Engine'!$B22,'01_Property Summary'!$C$5:$C$21,0))),INDEX('02_Rent Engine'!$D$5:$D$21,MATCH($B22,'02_Rent Engine'!$B$5:$B$21,0)))</f>
        <v>1900</v>
      </c>
      <c r="J22" s="311">
        <f>INDEX('01_Property Summary'!O$5:O$21,MATCH('02_Debt Engine'!$B22,'01_Property Summary'!$C$5:$C$21,0))</f>
        <v>0</v>
      </c>
      <c r="K22" s="319">
        <f>INDEX('01_Property Summary'!P$5:P$21,MATCH('02_Debt Engine'!$B22,'01_Property Summary'!$C$5:$C$21,0))</f>
        <v>0</v>
      </c>
      <c r="L22" s="319">
        <f>INDEX('01_Property Summary'!Q$5:Q$21,MATCH('02_Debt Engine'!$B22,'01_Property Summary'!$C$5:$C$21,0))</f>
        <v>0</v>
      </c>
      <c r="M22" s="320">
        <f t="shared" si="0"/>
        <v>0</v>
      </c>
      <c r="N22" s="319">
        <f>INDEX('01_Property Summary'!R$5:R$21,MATCH('02_Debt Engine'!$B22,'01_Property Summary'!$C$5:$C$21,0))</f>
        <v>0</v>
      </c>
      <c r="O22" s="319">
        <f t="shared" si="1"/>
        <v>0</v>
      </c>
      <c r="P22" s="319">
        <f t="shared" si="2"/>
        <v>0</v>
      </c>
      <c r="Q22" s="319">
        <f t="shared" si="3"/>
        <v>0</v>
      </c>
      <c r="R22" s="319">
        <f t="shared" si="4"/>
        <v>0</v>
      </c>
      <c r="S22" s="319">
        <f>IFERROR(INDEX(BLD_CH!$41:$41,MATCH('02_Debt Engine'!$I22,BLD_CH!$12:$12,0)),0)</f>
        <v>0</v>
      </c>
      <c r="T22" s="319">
        <f t="shared" si="5"/>
        <v>0</v>
      </c>
      <c r="U22" s="319">
        <f t="shared" si="6"/>
        <v>0</v>
      </c>
      <c r="V22" s="319">
        <f t="shared" si="7"/>
        <v>0</v>
      </c>
      <c r="W22" s="319">
        <f t="shared" si="8"/>
        <v>0</v>
      </c>
      <c r="X22" s="319">
        <f t="shared" si="9"/>
        <v>0</v>
      </c>
      <c r="Y22" s="319">
        <f t="shared" si="10"/>
        <v>0</v>
      </c>
    </row>
    <row r="23" spans="2:25">
      <c r="B23" s="50" t="str">
        <v>Constance Court</v>
      </c>
      <c r="C23" s="311" t="str">
        <f>INDEX('01_Property Summary'!$E$5:$E$21,MATCH('02_Rent Engine'!$B9,'01_Property Summary'!$C$5:$C$21,0))</f>
        <v>Vancouver</v>
      </c>
      <c r="D23" s="311" t="str">
        <f>INDEX('01_Property Summary'!$G$5:$G$21,MATCH('02_Debt Engine'!B23,'01_Property Summary'!$C$5:$C$21,0))</f>
        <v>Active</v>
      </c>
      <c r="E23" s="311">
        <f>INDEX('01_Property Summary'!$S$5:$S$21,MATCH('02_Debt Engine'!B23,'01_Property Summary'!$C$5:$C$21,0))</f>
        <v>34</v>
      </c>
      <c r="F23" s="143" t="s">
        <v>523</v>
      </c>
      <c r="G23" s="311" t="str">
        <f>INDEX('01_Property Summary'!L$5:L$21,MATCH('02_Debt Engine'!$B23,'01_Property Summary'!$C$5:$C$21,0))</f>
        <v>BCHMC</v>
      </c>
      <c r="H23" s="318">
        <f>INDEX('01_Property Summary'!M$5:M$21,MATCH('02_Debt Engine'!$B23,'01_Property Summary'!$C$5:$C$21,0))</f>
        <v>4.2299999999999997E-2</v>
      </c>
      <c r="I23" s="311">
        <f>IF(D23="Active",YEAR(INDEX('01_Property Summary'!N$5:N$21,MATCH('02_Debt Engine'!$B23,'01_Property Summary'!$C$5:$C$21,0))),INDEX('02_Rent Engine'!$D$5:$D$21,MATCH($B23,'02_Rent Engine'!$B$5:$B$21,0)))</f>
        <v>2027</v>
      </c>
      <c r="J23" s="311">
        <f>INDEX('01_Property Summary'!O$5:O$21,MATCH('02_Debt Engine'!$B23,'01_Property Summary'!$C$5:$C$21,0))</f>
        <v>3</v>
      </c>
      <c r="K23" s="319">
        <f>INDEX('01_Property Summary'!P$5:P$21,MATCH('02_Debt Engine'!$B23,'01_Property Summary'!$C$5:$C$21,0))</f>
        <v>178507.8</v>
      </c>
      <c r="L23" s="319">
        <f>INDEX('01_Property Summary'!Q$5:Q$21,MATCH('02_Debt Engine'!$B23,'01_Property Summary'!$C$5:$C$21,0))</f>
        <v>178507.8</v>
      </c>
      <c r="M23" s="320">
        <f t="shared" si="0"/>
        <v>1</v>
      </c>
      <c r="N23" s="319">
        <f>INDEX('01_Property Summary'!R$5:R$21,MATCH('02_Debt Engine'!$B23,'01_Property Summary'!$C$5:$C$21,0))</f>
        <v>274036.81</v>
      </c>
      <c r="O23" s="319">
        <f t="shared" si="1"/>
        <v>0</v>
      </c>
      <c r="P23" s="319">
        <f t="shared" si="2"/>
        <v>0</v>
      </c>
      <c r="Q23" s="319">
        <f t="shared" si="3"/>
        <v>11591.757062999999</v>
      </c>
      <c r="R23" s="319">
        <f t="shared" si="4"/>
        <v>166916.04293699999</v>
      </c>
      <c r="S23" s="319">
        <f>IFERROR(INDEX(BLD_CC!$41:$41,MATCH('02_Debt Engine'!$I23,BLD_CC!$12:$12,0)),0)</f>
        <v>467983.07098560006</v>
      </c>
      <c r="T23" s="319">
        <f t="shared" si="5"/>
        <v>0</v>
      </c>
      <c r="U23" s="319">
        <f t="shared" si="6"/>
        <v>0</v>
      </c>
      <c r="V23" s="319">
        <f t="shared" si="7"/>
        <v>0</v>
      </c>
      <c r="W23" s="319">
        <f t="shared" si="8"/>
        <v>0</v>
      </c>
      <c r="X23" s="319">
        <f t="shared" si="9"/>
        <v>0</v>
      </c>
      <c r="Y23" s="319">
        <f t="shared" si="10"/>
        <v>0</v>
      </c>
    </row>
    <row r="24" spans="2:25">
      <c r="B24" s="50" t="str">
        <v>Evergreen Apartments</v>
      </c>
      <c r="C24" s="311" t="str">
        <f>INDEX('01_Property Summary'!$E$5:$E$21,MATCH('02_Rent Engine'!$B10,'01_Property Summary'!$C$5:$C$21,0))</f>
        <v>New Westminster</v>
      </c>
      <c r="D24" s="311" t="str">
        <f>INDEX('01_Property Summary'!$G$5:$G$21,MATCH('02_Debt Engine'!B24,'01_Property Summary'!$C$5:$C$21,0))</f>
        <v>Active</v>
      </c>
      <c r="E24" s="311">
        <f>INDEX('01_Property Summary'!$S$5:$S$21,MATCH('02_Debt Engine'!B24,'01_Property Summary'!$C$5:$C$21,0))</f>
        <v>61</v>
      </c>
      <c r="F24" s="143" t="s">
        <v>524</v>
      </c>
      <c r="G24" s="311" t="str">
        <f>INDEX('01_Property Summary'!L$5:L$21,MATCH('02_Debt Engine'!$B24,'01_Property Summary'!$C$5:$C$21,0))</f>
        <v>Vancity</v>
      </c>
      <c r="H24" s="318">
        <f>INDEX('01_Property Summary'!M$5:M$21,MATCH('02_Debt Engine'!$B24,'01_Property Summary'!$C$5:$C$21,0))</f>
        <v>4.2099999999999999E-2</v>
      </c>
      <c r="I24" s="311">
        <f>IF(D24="Active",YEAR(INDEX('01_Property Summary'!N$5:N$21,MATCH('02_Debt Engine'!$B24,'01_Property Summary'!$C$5:$C$21,0))),INDEX('02_Rent Engine'!$D$5:$D$21,MATCH($B24,'02_Rent Engine'!$B$5:$B$21,0)))</f>
        <v>2034</v>
      </c>
      <c r="J24" s="311">
        <f>INDEX('01_Property Summary'!O$5:O$21,MATCH('02_Debt Engine'!$B24,'01_Property Summary'!$C$5:$C$21,0))</f>
        <v>35</v>
      </c>
      <c r="K24" s="319">
        <f>INDEX('01_Property Summary'!P$5:P$21,MATCH('02_Debt Engine'!$B24,'01_Property Summary'!$C$5:$C$21,0))</f>
        <v>297840</v>
      </c>
      <c r="L24" s="319">
        <f>INDEX('01_Property Summary'!Q$5:Q$21,MATCH('02_Debt Engine'!$B24,'01_Property Summary'!$C$5:$C$21,0))</f>
        <v>0</v>
      </c>
      <c r="M24" s="320">
        <f t="shared" si="0"/>
        <v>0</v>
      </c>
      <c r="N24" s="319">
        <f>INDEX('01_Property Summary'!R$5:R$21,MATCH('02_Debt Engine'!$B24,'01_Property Summary'!$C$5:$C$21,0))</f>
        <v>5475821.2999999998</v>
      </c>
      <c r="O24" s="319">
        <f t="shared" si="1"/>
        <v>0</v>
      </c>
      <c r="P24" s="319">
        <f t="shared" si="2"/>
        <v>0</v>
      </c>
      <c r="Q24" s="319">
        <f t="shared" si="3"/>
        <v>230532.07672999997</v>
      </c>
      <c r="R24" s="319">
        <f t="shared" si="4"/>
        <v>67307.923270000028</v>
      </c>
      <c r="S24" s="319">
        <f>IFERROR(INDEX(BLD_EA!$41:$41,MATCH('02_Debt Engine'!$I24,BLD_EA!$12:$12,0)),0)</f>
        <v>598626.55389296403</v>
      </c>
      <c r="T24" s="319">
        <f t="shared" si="5"/>
        <v>7482831.9236620506</v>
      </c>
      <c r="U24" s="319">
        <f t="shared" si="6"/>
        <v>9388812.1006571315</v>
      </c>
      <c r="V24" s="319">
        <f t="shared" si="7"/>
        <v>7482831.9236620506</v>
      </c>
      <c r="W24" s="319">
        <f t="shared" si="8"/>
        <v>397585.07606343459</v>
      </c>
      <c r="X24" s="319">
        <f t="shared" si="9"/>
        <v>299313.27694648202</v>
      </c>
      <c r="Y24" s="319">
        <f t="shared" si="10"/>
        <v>98271.799116952578</v>
      </c>
    </row>
    <row r="25" spans="2:25">
      <c r="B25" s="50" t="str">
        <v>Evelyn Estates</v>
      </c>
      <c r="C25" s="311" t="str">
        <f>INDEX('01_Property Summary'!$E$5:$E$21,MATCH('02_Rent Engine'!$B11,'01_Property Summary'!$C$5:$C$21,0))</f>
        <v>Surrey</v>
      </c>
      <c r="D25" s="311" t="str">
        <f>INDEX('01_Property Summary'!$G$5:$G$21,MATCH('02_Debt Engine'!B25,'01_Property Summary'!$C$5:$C$21,0))</f>
        <v>Active</v>
      </c>
      <c r="E25" s="311">
        <f>INDEX('01_Property Summary'!$S$5:$S$21,MATCH('02_Debt Engine'!B25,'01_Property Summary'!$C$5:$C$21,0))</f>
        <v>36</v>
      </c>
      <c r="F25" s="143" t="s">
        <v>523</v>
      </c>
      <c r="G25" s="311" t="str">
        <f>INDEX('01_Property Summary'!L$5:L$21,MATCH('02_Debt Engine'!$B25,'01_Property Summary'!$C$5:$C$21,0))</f>
        <v>BCHMC</v>
      </c>
      <c r="H25" s="318">
        <f>INDEX('01_Property Summary'!M$5:M$21,MATCH('02_Debt Engine'!$B25,'01_Property Summary'!$C$5:$C$21,0))</f>
        <v>3.7400000000000003E-2</v>
      </c>
      <c r="I25" s="311">
        <f>IF(D25="Active",YEAR(INDEX('01_Property Summary'!N$5:N$21,MATCH('02_Debt Engine'!$B25,'01_Property Summary'!$C$5:$C$21,0))),INDEX('02_Rent Engine'!$D$5:$D$21,MATCH($B25,'02_Rent Engine'!$B$5:$B$21,0)))</f>
        <v>2028</v>
      </c>
      <c r="J25" s="311">
        <f>INDEX('01_Property Summary'!O$5:O$21,MATCH('02_Debt Engine'!$B25,'01_Property Summary'!$C$5:$C$21,0))</f>
        <v>4</v>
      </c>
      <c r="K25" s="319">
        <f>INDEX('01_Property Summary'!P$5:P$21,MATCH('02_Debt Engine'!$B25,'01_Property Summary'!$C$5:$C$21,0))</f>
        <v>244376.04</v>
      </c>
      <c r="L25" s="319">
        <f>INDEX('01_Property Summary'!Q$5:Q$21,MATCH('02_Debt Engine'!$B25,'01_Property Summary'!$C$5:$C$21,0))</f>
        <v>0</v>
      </c>
      <c r="M25" s="320">
        <f t="shared" si="0"/>
        <v>0</v>
      </c>
      <c r="N25" s="319">
        <f>INDEX('01_Property Summary'!R$5:R$21,MATCH('02_Debt Engine'!$B25,'01_Property Summary'!$C$5:$C$21,0))</f>
        <v>639949.68999999994</v>
      </c>
      <c r="O25" s="319">
        <f t="shared" si="1"/>
        <v>0</v>
      </c>
      <c r="P25" s="319">
        <f t="shared" si="2"/>
        <v>0</v>
      </c>
      <c r="Q25" s="319">
        <f t="shared" si="3"/>
        <v>23934.118406000001</v>
      </c>
      <c r="R25" s="319">
        <f t="shared" si="4"/>
        <v>220441.92159400001</v>
      </c>
      <c r="S25" s="319">
        <f>IFERROR(INDEX(BLD_EE!$41:$41,MATCH('02_Debt Engine'!$I25,BLD_EE!$12:$12,0)),0)</f>
        <v>289501.41110732796</v>
      </c>
      <c r="T25" s="319">
        <f t="shared" si="5"/>
        <v>0</v>
      </c>
      <c r="U25" s="319">
        <f t="shared" si="6"/>
        <v>0</v>
      </c>
      <c r="V25" s="319">
        <f t="shared" si="7"/>
        <v>0</v>
      </c>
      <c r="W25" s="319">
        <f t="shared" si="8"/>
        <v>0</v>
      </c>
      <c r="X25" s="319">
        <f t="shared" si="9"/>
        <v>0</v>
      </c>
      <c r="Y25" s="319">
        <f t="shared" si="10"/>
        <v>0</v>
      </c>
    </row>
    <row r="26" spans="2:25">
      <c r="B26" s="50" t="str">
        <v>Jessica Place</v>
      </c>
      <c r="C26" s="311" t="str">
        <f>INDEX('01_Property Summary'!$E$5:$E$21,MATCH('02_Rent Engine'!$B12,'01_Property Summary'!$C$5:$C$21,0))</f>
        <v>Surrey</v>
      </c>
      <c r="D26" s="311" t="str">
        <f>INDEX('01_Property Summary'!$G$5:$G$21,MATCH('02_Debt Engine'!B26,'01_Property Summary'!$C$5:$C$21,0))</f>
        <v>Active</v>
      </c>
      <c r="E26" s="311">
        <f>INDEX('01_Property Summary'!$S$5:$S$21,MATCH('02_Debt Engine'!B26,'01_Property Summary'!$C$5:$C$21,0))</f>
        <v>40</v>
      </c>
      <c r="F26" s="143" t="s">
        <v>523</v>
      </c>
      <c r="G26" s="311" t="str">
        <f>INDEX('01_Property Summary'!L$5:L$21,MATCH('02_Debt Engine'!$B26,'01_Property Summary'!$C$5:$C$21,0))</f>
        <v>BCHMC</v>
      </c>
      <c r="H26" s="318">
        <f>INDEX('01_Property Summary'!M$5:M$21,MATCH('02_Debt Engine'!$B26,'01_Property Summary'!$C$5:$C$21,0))</f>
        <v>1.01E-2</v>
      </c>
      <c r="I26" s="311">
        <f>IF(D26="Active",YEAR(INDEX('01_Property Summary'!N$5:N$21,MATCH('02_Debt Engine'!$B26,'01_Property Summary'!$C$5:$C$21,0))),INDEX('02_Rent Engine'!$D$5:$D$21,MATCH($B26,'02_Rent Engine'!$B$5:$B$21,0)))</f>
        <v>2026</v>
      </c>
      <c r="J26" s="311">
        <f>INDEX('01_Property Summary'!O$5:O$21,MATCH('02_Debt Engine'!$B26,'01_Property Summary'!$C$5:$C$21,0))</f>
        <v>4</v>
      </c>
      <c r="K26" s="319">
        <f>INDEX('01_Property Summary'!P$5:P$21,MATCH('02_Debt Engine'!$B26,'01_Property Summary'!$C$5:$C$21,0))</f>
        <v>176698.83</v>
      </c>
      <c r="L26" s="319">
        <f>INDEX('01_Property Summary'!Q$5:Q$21,MATCH('02_Debt Engine'!$B26,'01_Property Summary'!$C$5:$C$21,0))</f>
        <v>0</v>
      </c>
      <c r="M26" s="320">
        <f t="shared" si="0"/>
        <v>0</v>
      </c>
      <c r="N26" s="319">
        <f>INDEX('01_Property Summary'!R$5:R$21,MATCH('02_Debt Engine'!$B26,'01_Property Summary'!$C$5:$C$21,0))</f>
        <v>176698.83</v>
      </c>
      <c r="O26" s="319">
        <f t="shared" si="1"/>
        <v>0</v>
      </c>
      <c r="P26" s="319">
        <f t="shared" si="2"/>
        <v>0</v>
      </c>
      <c r="Q26" s="319">
        <f t="shared" si="3"/>
        <v>1784.6581829999998</v>
      </c>
      <c r="R26" s="319">
        <f t="shared" si="4"/>
        <v>174914.17181699999</v>
      </c>
      <c r="S26" s="319">
        <f>IFERROR(INDEX(BLD_JP!$41:$41,MATCH('02_Debt Engine'!$I26,BLD_JP!$12:$12,0)),0)</f>
        <v>236702.40479999996</v>
      </c>
      <c r="T26" s="319">
        <f t="shared" si="5"/>
        <v>0</v>
      </c>
      <c r="U26" s="319">
        <f t="shared" si="6"/>
        <v>0</v>
      </c>
      <c r="V26" s="319">
        <f t="shared" si="7"/>
        <v>0</v>
      </c>
      <c r="W26" s="319">
        <f t="shared" si="8"/>
        <v>0</v>
      </c>
      <c r="X26" s="319">
        <f t="shared" si="9"/>
        <v>0</v>
      </c>
      <c r="Y26" s="319">
        <f t="shared" si="10"/>
        <v>0</v>
      </c>
    </row>
    <row r="27" spans="2:25">
      <c r="B27" s="50" t="str">
        <v>Margaret Heights</v>
      </c>
      <c r="C27" s="311" t="str">
        <f>INDEX('01_Property Summary'!$E$5:$E$21,MATCH('02_Rent Engine'!$B13,'01_Property Summary'!$C$5:$C$21,0))</f>
        <v>CNV</v>
      </c>
      <c r="D27" s="311" t="str">
        <f>INDEX('01_Property Summary'!$G$5:$G$21,MATCH('02_Debt Engine'!B27,'01_Property Summary'!$C$5:$C$21,0))</f>
        <v>Active</v>
      </c>
      <c r="E27" s="311">
        <f>INDEX('01_Property Summary'!$S$5:$S$21,MATCH('02_Debt Engine'!B27,'01_Property Summary'!$C$5:$C$21,0))</f>
        <v>19</v>
      </c>
      <c r="F27" s="143" t="s">
        <v>523</v>
      </c>
      <c r="G27" s="311" t="str">
        <f>INDEX('01_Property Summary'!L$5:L$21,MATCH('02_Debt Engine'!$B27,'01_Property Summary'!$C$5:$C$21,0))</f>
        <v>BCHMC</v>
      </c>
      <c r="H27" s="318">
        <f>INDEX('01_Property Summary'!M$5:M$21,MATCH('02_Debt Engine'!$B27,'01_Property Summary'!$C$5:$C$21,0))</f>
        <v>1.01E-2</v>
      </c>
      <c r="I27" s="311">
        <f>IF(D27="Active",YEAR(INDEX('01_Property Summary'!N$5:N$21,MATCH('02_Debt Engine'!$B27,'01_Property Summary'!$C$5:$C$21,0))),INDEX('02_Rent Engine'!$D$5:$D$21,MATCH($B27,'02_Rent Engine'!$B$5:$B$21,0)))</f>
        <v>2026</v>
      </c>
      <c r="J27" s="311">
        <f>INDEX('01_Property Summary'!O$5:O$21,MATCH('02_Debt Engine'!$B27,'01_Property Summary'!$C$5:$C$21,0))</f>
        <v>5</v>
      </c>
      <c r="K27" s="319">
        <f>INDEX('01_Property Summary'!P$5:P$21,MATCH('02_Debt Engine'!$B27,'01_Property Summary'!$C$5:$C$21,0))</f>
        <v>125540.52</v>
      </c>
      <c r="L27" s="319">
        <f>INDEX('01_Property Summary'!Q$5:Q$21,MATCH('02_Debt Engine'!$B27,'01_Property Summary'!$C$5:$C$21,0))</f>
        <v>0</v>
      </c>
      <c r="M27" s="320">
        <f t="shared" si="0"/>
        <v>0</v>
      </c>
      <c r="N27" s="319">
        <f>INDEX('01_Property Summary'!R$5:R$21,MATCH('02_Debt Engine'!$B27,'01_Property Summary'!$C$5:$C$21,0))</f>
        <v>145670.51999999999</v>
      </c>
      <c r="O27" s="319">
        <f t="shared" si="1"/>
        <v>0</v>
      </c>
      <c r="P27" s="319">
        <f t="shared" si="2"/>
        <v>0</v>
      </c>
      <c r="Q27" s="319">
        <f t="shared" si="3"/>
        <v>1471.2722519999998</v>
      </c>
      <c r="R27" s="319">
        <f t="shared" si="4"/>
        <v>124069.24774800001</v>
      </c>
      <c r="S27" s="319">
        <f>IFERROR(INDEX(BLD_MH!$41:$41,MATCH('02_Debt Engine'!$I27,BLD_MH!$12:$12,0)),0)</f>
        <v>210980.64448000002</v>
      </c>
      <c r="T27" s="319">
        <f t="shared" si="5"/>
        <v>0</v>
      </c>
      <c r="U27" s="319">
        <f t="shared" si="6"/>
        <v>0</v>
      </c>
      <c r="V27" s="319">
        <f t="shared" si="7"/>
        <v>0</v>
      </c>
      <c r="W27" s="319">
        <f t="shared" si="8"/>
        <v>0</v>
      </c>
      <c r="X27" s="319">
        <f t="shared" si="9"/>
        <v>0</v>
      </c>
      <c r="Y27" s="319">
        <f t="shared" si="10"/>
        <v>0</v>
      </c>
    </row>
    <row r="28" spans="2:25">
      <c r="B28" s="50" t="str">
        <v>Murray Manor</v>
      </c>
      <c r="C28" s="311" t="str">
        <f>INDEX('01_Property Summary'!$E$5:$E$21,MATCH('02_Rent Engine'!$B14,'01_Property Summary'!$C$5:$C$21,0))</f>
        <v>Burnaby</v>
      </c>
      <c r="D28" s="311" t="str">
        <f>INDEX('01_Property Summary'!$G$5:$G$21,MATCH('02_Debt Engine'!B28,'01_Property Summary'!$C$5:$C$21,0))</f>
        <v>Active</v>
      </c>
      <c r="E28" s="311">
        <f>INDEX('01_Property Summary'!$S$5:$S$21,MATCH('02_Debt Engine'!B28,'01_Property Summary'!$C$5:$C$21,0))</f>
        <v>47</v>
      </c>
      <c r="F28" s="143" t="s">
        <v>524</v>
      </c>
      <c r="G28" s="311" t="str">
        <f>INDEX('01_Property Summary'!L$5:L$21,MATCH('02_Debt Engine'!$B28,'01_Property Summary'!$C$5:$C$21,0))</f>
        <v>Vancity</v>
      </c>
      <c r="H28" s="318">
        <f>INDEX('01_Property Summary'!M$5:M$21,MATCH('02_Debt Engine'!$B28,'01_Property Summary'!$C$5:$C$21,0))</f>
        <v>4.2099999999999999E-2</v>
      </c>
      <c r="I28" s="311">
        <f>IF(D28="Active",YEAR(INDEX('01_Property Summary'!N$5:N$21,MATCH('02_Debt Engine'!$B28,'01_Property Summary'!$C$5:$C$21,0))),INDEX('02_Rent Engine'!$D$5:$D$21,MATCH($B28,'02_Rent Engine'!$B$5:$B$21,0)))</f>
        <v>2034</v>
      </c>
      <c r="J28" s="311">
        <f>INDEX('01_Property Summary'!O$5:O$21,MATCH('02_Debt Engine'!$B28,'01_Property Summary'!$C$5:$C$21,0))</f>
        <v>35</v>
      </c>
      <c r="K28" s="319">
        <f>INDEX('01_Property Summary'!P$5:P$21,MATCH('02_Debt Engine'!$B28,'01_Property Summary'!$C$5:$C$21,0))</f>
        <v>271563.84000000003</v>
      </c>
      <c r="L28" s="319">
        <f>INDEX('01_Property Summary'!Q$5:Q$21,MATCH('02_Debt Engine'!$B28,'01_Property Summary'!$C$5:$C$21,0))</f>
        <v>0</v>
      </c>
      <c r="M28" s="320">
        <f t="shared" si="0"/>
        <v>0</v>
      </c>
      <c r="N28" s="319">
        <f>INDEX('01_Property Summary'!R$5:R$21,MATCH('02_Debt Engine'!$B28,'01_Property Summary'!$C$5:$C$21,0))</f>
        <v>4992966</v>
      </c>
      <c r="O28" s="319">
        <f t="shared" si="1"/>
        <v>0</v>
      </c>
      <c r="P28" s="319">
        <f t="shared" si="2"/>
        <v>0</v>
      </c>
      <c r="Q28" s="319">
        <f t="shared" si="3"/>
        <v>210203.86859999999</v>
      </c>
      <c r="R28" s="319">
        <f t="shared" si="4"/>
        <v>61359.971400000039</v>
      </c>
      <c r="S28" s="319">
        <f>IFERROR(INDEX(BLD_MM!$41:$41,MATCH('02_Debt Engine'!$I28,BLD_MM!$12:$12,0)),0)</f>
        <v>537126.441664338</v>
      </c>
      <c r="T28" s="319">
        <f t="shared" si="5"/>
        <v>6714080.5208042245</v>
      </c>
      <c r="U28" s="319">
        <f t="shared" si="6"/>
        <v>8424249.1454576217</v>
      </c>
      <c r="V28" s="319">
        <f t="shared" si="7"/>
        <v>6714080.5208042245</v>
      </c>
      <c r="W28" s="319">
        <f t="shared" si="8"/>
        <v>356739.03166510991</v>
      </c>
      <c r="X28" s="319">
        <f t="shared" si="9"/>
        <v>268563.220832169</v>
      </c>
      <c r="Y28" s="319">
        <f t="shared" si="10"/>
        <v>88175.810832940915</v>
      </c>
    </row>
    <row r="29" spans="2:25">
      <c r="B29" s="50" t="str">
        <v>Natalia Terrace</v>
      </c>
      <c r="C29" s="311" t="str">
        <f>INDEX('01_Property Summary'!$E$5:$E$21,MATCH('02_Rent Engine'!$B15,'01_Property Summary'!$C$5:$C$21,0))</f>
        <v>Vancouver</v>
      </c>
      <c r="D29" s="311" t="str">
        <f>INDEX('01_Property Summary'!$G$5:$G$21,MATCH('02_Debt Engine'!B29,'01_Property Summary'!$C$5:$C$21,0))</f>
        <v>Active</v>
      </c>
      <c r="E29" s="311">
        <f>INDEX('01_Property Summary'!$S$5:$S$21,MATCH('02_Debt Engine'!B29,'01_Property Summary'!$C$5:$C$21,0))</f>
        <v>40</v>
      </c>
      <c r="F29" s="143" t="s">
        <v>523</v>
      </c>
      <c r="G29" s="311" t="str">
        <f>INDEX('01_Property Summary'!L$5:L$21,MATCH('02_Debt Engine'!$B29,'01_Property Summary'!$C$5:$C$21,0))</f>
        <v>BCHMC</v>
      </c>
      <c r="H29" s="318">
        <f>INDEX('01_Property Summary'!M$5:M$21,MATCH('02_Debt Engine'!$B29,'01_Property Summary'!$C$5:$C$21,0))</f>
        <v>4.24E-2</v>
      </c>
      <c r="I29" s="311">
        <f>IF(D29="Active",YEAR(INDEX('01_Property Summary'!N$5:N$21,MATCH('02_Debt Engine'!$B29,'01_Property Summary'!$C$5:$C$21,0))),INDEX('02_Rent Engine'!$D$5:$D$21,MATCH($B29,'02_Rent Engine'!$B$5:$B$21,0)))</f>
        <v>2027</v>
      </c>
      <c r="J29" s="311">
        <f>INDEX('01_Property Summary'!O$5:O$21,MATCH('02_Debt Engine'!$B29,'01_Property Summary'!$C$5:$C$21,0))</f>
        <v>3</v>
      </c>
      <c r="K29" s="319">
        <f>INDEX('01_Property Summary'!P$5:P$21,MATCH('02_Debt Engine'!$B29,'01_Property Summary'!$C$5:$C$21,0))</f>
        <v>274351.8</v>
      </c>
      <c r="L29" s="319">
        <f>INDEX('01_Property Summary'!Q$5:Q$21,MATCH('02_Debt Engine'!$B29,'01_Property Summary'!$C$5:$C$21,0))</f>
        <v>0</v>
      </c>
      <c r="M29" s="320">
        <f t="shared" si="0"/>
        <v>0</v>
      </c>
      <c r="N29" s="319">
        <f>INDEX('01_Property Summary'!R$5:R$21,MATCH('02_Debt Engine'!$B29,'01_Property Summary'!$C$5:$C$21,0))</f>
        <v>485006.87</v>
      </c>
      <c r="O29" s="319">
        <f t="shared" si="1"/>
        <v>0</v>
      </c>
      <c r="P29" s="319">
        <f t="shared" si="2"/>
        <v>0</v>
      </c>
      <c r="Q29" s="319">
        <f t="shared" si="3"/>
        <v>20564.291288</v>
      </c>
      <c r="R29" s="319">
        <f t="shared" si="4"/>
        <v>253787.50871199998</v>
      </c>
      <c r="S29" s="319">
        <f>IFERROR(INDEX(BLD_NT!$41:$41,MATCH('02_Debt Engine'!$I29,BLD_NT!$12:$12,0)),0)</f>
        <v>440733.09145599999</v>
      </c>
      <c r="T29" s="319">
        <f t="shared" si="5"/>
        <v>0</v>
      </c>
      <c r="U29" s="319">
        <f t="shared" si="6"/>
        <v>0</v>
      </c>
      <c r="V29" s="319">
        <f t="shared" si="7"/>
        <v>0</v>
      </c>
      <c r="W29" s="319">
        <f t="shared" si="8"/>
        <v>0</v>
      </c>
      <c r="X29" s="319">
        <f t="shared" si="9"/>
        <v>0</v>
      </c>
      <c r="Y29" s="319">
        <f t="shared" si="10"/>
        <v>0</v>
      </c>
    </row>
    <row r="30" spans="2:25">
      <c r="B30" s="50" t="str">
        <v>Newton Green</v>
      </c>
      <c r="C30" s="311" t="str">
        <f>INDEX('01_Property Summary'!$E$5:$E$21,MATCH('02_Rent Engine'!$B16,'01_Property Summary'!$C$5:$C$21,0))</f>
        <v>Surrey</v>
      </c>
      <c r="D30" s="311" t="str">
        <f>INDEX('01_Property Summary'!$G$5:$G$21,MATCH('02_Debt Engine'!B30,'01_Property Summary'!$C$5:$C$21,0))</f>
        <v>Active</v>
      </c>
      <c r="E30" s="311">
        <f>INDEX('01_Property Summary'!$S$5:$S$21,MATCH('02_Debt Engine'!B30,'01_Property Summary'!$C$5:$C$21,0))</f>
        <v>49</v>
      </c>
      <c r="F30" s="143" t="s">
        <v>524</v>
      </c>
      <c r="G30" s="311" t="str">
        <f>INDEX('01_Property Summary'!L$5:L$21,MATCH('02_Debt Engine'!$B30,'01_Property Summary'!$C$5:$C$21,0))</f>
        <v>CMLS</v>
      </c>
      <c r="H30" s="318">
        <f>INDEX('01_Property Summary'!M$5:M$21,MATCH('02_Debt Engine'!$B30,'01_Property Summary'!$C$5:$C$21,0))</f>
        <v>4.4650000000000002E-2</v>
      </c>
      <c r="I30" s="311">
        <f>IF(D30="Active",YEAR(INDEX('01_Property Summary'!N$5:N$21,MATCH('02_Debt Engine'!$B30,'01_Property Summary'!$C$5:$C$21,0))),INDEX('02_Rent Engine'!$D$5:$D$21,MATCH($B30,'02_Rent Engine'!$B$5:$B$21,0)))</f>
        <v>2034</v>
      </c>
      <c r="J30" s="311">
        <f>INDEX('01_Property Summary'!O$5:O$21,MATCH('02_Debt Engine'!$B30,'01_Property Summary'!$C$5:$C$21,0))</f>
        <v>9</v>
      </c>
      <c r="K30" s="319">
        <f>INDEX('01_Property Summary'!P$5:P$21,MATCH('02_Debt Engine'!$B30,'01_Property Summary'!$C$5:$C$21,0))</f>
        <v>443187</v>
      </c>
      <c r="L30" s="319">
        <f>INDEX('01_Property Summary'!Q$5:Q$21,MATCH('02_Debt Engine'!$B30,'01_Property Summary'!$C$5:$C$21,0))</f>
        <v>0</v>
      </c>
      <c r="M30" s="320">
        <f t="shared" si="0"/>
        <v>0</v>
      </c>
      <c r="N30" s="319">
        <f>INDEX('01_Property Summary'!R$5:R$21,MATCH('02_Debt Engine'!$B30,'01_Property Summary'!$C$5:$C$21,0))</f>
        <v>3432387.1</v>
      </c>
      <c r="O30" s="319">
        <f t="shared" si="1"/>
        <v>0</v>
      </c>
      <c r="P30" s="319">
        <f t="shared" si="2"/>
        <v>0</v>
      </c>
      <c r="Q30" s="319">
        <f t="shared" si="3"/>
        <v>153256.084015</v>
      </c>
      <c r="R30" s="319">
        <f t="shared" si="4"/>
        <v>289930.91598499997</v>
      </c>
      <c r="S30" s="319">
        <f>IFERROR(INDEX(BLD_NG!$41:$41,MATCH('02_Debt Engine'!$I30,BLD_NG!$12:$12,0)),0)</f>
        <v>486026.00669912464</v>
      </c>
      <c r="T30" s="319">
        <f t="shared" si="5"/>
        <v>6075325.0837390581</v>
      </c>
      <c r="U30" s="319">
        <f t="shared" si="6"/>
        <v>7622793.9159322996</v>
      </c>
      <c r="V30" s="319">
        <f t="shared" si="7"/>
        <v>6075325.0837390581</v>
      </c>
      <c r="W30" s="319">
        <f t="shared" si="8"/>
        <v>322800.05887749186</v>
      </c>
      <c r="X30" s="319">
        <f t="shared" si="9"/>
        <v>243013.00334956232</v>
      </c>
      <c r="Y30" s="319">
        <f t="shared" si="10"/>
        <v>79787.055527929537</v>
      </c>
    </row>
    <row r="31" spans="2:25">
      <c r="B31" s="50" t="str">
        <v>Rosemary Green</v>
      </c>
      <c r="C31" s="311" t="str">
        <f>INDEX('01_Property Summary'!$E$5:$E$21,MATCH('02_Rent Engine'!$B17,'01_Property Summary'!$C$5:$C$21,0))</f>
        <v>Surrey</v>
      </c>
      <c r="D31" s="311" t="str">
        <f>INDEX('01_Property Summary'!$G$5:$G$21,MATCH('02_Debt Engine'!B31,'01_Property Summary'!$C$5:$C$21,0))</f>
        <v>Active</v>
      </c>
      <c r="E31" s="311">
        <f>INDEX('01_Property Summary'!$S$5:$S$21,MATCH('02_Debt Engine'!B31,'01_Property Summary'!$C$5:$C$21,0))</f>
        <v>38</v>
      </c>
      <c r="F31" s="143" t="s">
        <v>523</v>
      </c>
      <c r="G31" s="311" t="str">
        <f>INDEX('01_Property Summary'!L$5:L$21,MATCH('02_Debt Engine'!$B31,'01_Property Summary'!$C$5:$C$21,0))</f>
        <v>Peoples Group</v>
      </c>
      <c r="H31" s="318">
        <f>INDEX('01_Property Summary'!M$5:M$21,MATCH('02_Debt Engine'!$B31,'01_Property Summary'!$C$5:$C$21,0))</f>
        <v>2.4E-2</v>
      </c>
      <c r="I31" s="311">
        <f>IF(D31="Active",YEAR(INDEX('01_Property Summary'!N$5:N$21,MATCH('02_Debt Engine'!$B31,'01_Property Summary'!$C$5:$C$21,0))),INDEX('02_Rent Engine'!$D$5:$D$21,MATCH($B31,'02_Rent Engine'!$B$5:$B$21,0)))</f>
        <v>2026</v>
      </c>
      <c r="J31" s="311">
        <f>INDEX('01_Property Summary'!O$5:O$21,MATCH('02_Debt Engine'!$B31,'01_Property Summary'!$C$5:$C$21,0))</f>
        <v>10</v>
      </c>
      <c r="K31" s="319">
        <f>INDEX('01_Property Summary'!P$5:P$21,MATCH('02_Debt Engine'!$B31,'01_Property Summary'!$C$5:$C$21,0))</f>
        <v>291146.28000000003</v>
      </c>
      <c r="L31" s="319">
        <f>INDEX('01_Property Summary'!Q$5:Q$21,MATCH('02_Debt Engine'!$B31,'01_Property Summary'!$C$5:$C$21,0))</f>
        <v>0</v>
      </c>
      <c r="M31" s="320">
        <f t="shared" si="0"/>
        <v>0</v>
      </c>
      <c r="N31" s="319">
        <f>INDEX('01_Property Summary'!R$5:R$21,MATCH('02_Debt Engine'!$B31,'01_Property Summary'!$C$5:$C$21,0))</f>
        <v>1976761.19</v>
      </c>
      <c r="O31" s="319">
        <f t="shared" si="1"/>
        <v>0</v>
      </c>
      <c r="P31" s="319">
        <f t="shared" si="2"/>
        <v>0</v>
      </c>
      <c r="Q31" s="319">
        <f t="shared" si="3"/>
        <v>47442.268559999997</v>
      </c>
      <c r="R31" s="319">
        <f t="shared" si="4"/>
        <v>243704.01144000003</v>
      </c>
      <c r="S31" s="319">
        <f>IFERROR(INDEX(BLD_RG!$41:$41,MATCH('02_Debt Engine'!$I31,BLD_RG!$12:$12,0)),0)</f>
        <v>233866.97528000007</v>
      </c>
      <c r="T31" s="319">
        <f t="shared" si="5"/>
        <v>0</v>
      </c>
      <c r="U31" s="319">
        <f t="shared" si="6"/>
        <v>0</v>
      </c>
      <c r="V31" s="319">
        <f t="shared" si="7"/>
        <v>0</v>
      </c>
      <c r="W31" s="319">
        <f t="shared" si="8"/>
        <v>0</v>
      </c>
      <c r="X31" s="319">
        <f t="shared" si="9"/>
        <v>0</v>
      </c>
      <c r="Y31" s="319">
        <f t="shared" si="10"/>
        <v>0</v>
      </c>
    </row>
    <row r="32" spans="2:25">
      <c r="B32" s="50" t="str">
        <v>1656 Adanac Street</v>
      </c>
      <c r="C32" s="311" t="str">
        <f>INDEX('01_Property Summary'!$E$5:$E$21,MATCH('02_Rent Engine'!$B18,'01_Property Summary'!$C$5:$C$21,0))</f>
        <v>Vancouver</v>
      </c>
      <c r="D32" s="311" t="str">
        <f>INDEX('01_Property Summary'!$G$5:$G$21,MATCH('02_Debt Engine'!B32,'01_Property Summary'!$C$5:$C$21,0))</f>
        <v>New Dev</v>
      </c>
      <c r="E32" s="311">
        <f>INDEX('01_Property Summary'!$S$5:$S$21,MATCH('02_Debt Engine'!B32,'01_Property Summary'!$C$5:$C$21,0))</f>
        <v>97</v>
      </c>
      <c r="F32" s="143" t="s">
        <v>524</v>
      </c>
      <c r="G32" s="311" t="str">
        <f>INDEX('01_Property Summary'!L$5:L$21,MATCH('02_Debt Engine'!$B32,'01_Property Summary'!$C$5:$C$21,0))</f>
        <v>BCH CHF</v>
      </c>
      <c r="H32" s="318">
        <f>INDEX('01_Property Summary'!M$5:M$21,MATCH('02_Debt Engine'!$B32,'01_Property Summary'!$C$5:$C$21,0))</f>
        <v>0</v>
      </c>
      <c r="I32" s="311">
        <f>IF(D32="Active",YEAR(INDEX('01_Property Summary'!N$5:N$21,MATCH('02_Debt Engine'!$B32,'01_Property Summary'!$C$5:$C$21,0))),INDEX('02_Rent Engine'!$D$5:$D$21,MATCH($B32,'02_Rent Engine'!$B$5:$B$21,0)))</f>
        <v>2028</v>
      </c>
      <c r="J32" s="311">
        <f>INDEX('01_Property Summary'!O$5:O$21,MATCH('02_Debt Engine'!$B32,'01_Property Summary'!$C$5:$C$21,0))</f>
        <v>0</v>
      </c>
      <c r="K32" s="319">
        <f>INDEX('01_Property Summary'!P$5:P$21,MATCH('02_Debt Engine'!$B32,'01_Property Summary'!$C$5:$C$21,0))</f>
        <v>0</v>
      </c>
      <c r="L32" s="319">
        <f>INDEX('01_Property Summary'!Q$5:Q$21,MATCH('02_Debt Engine'!$B32,'01_Property Summary'!$C$5:$C$21,0))</f>
        <v>0</v>
      </c>
      <c r="M32" s="320">
        <f t="shared" si="0"/>
        <v>0</v>
      </c>
      <c r="N32" s="319">
        <f>INDEX('01_Property Summary'!R$5:R$21,MATCH('02_Debt Engine'!$B32,'01_Property Summary'!$C$5:$C$21,0))</f>
        <v>0</v>
      </c>
      <c r="O32" s="319">
        <f t="shared" si="1"/>
        <v>39285000</v>
      </c>
      <c r="P32" s="319">
        <f t="shared" si="2"/>
        <v>2119329.1278112764</v>
      </c>
      <c r="Q32" s="319">
        <f t="shared" si="3"/>
        <v>1767825</v>
      </c>
      <c r="R32" s="319">
        <f t="shared" si="4"/>
        <v>351504.12781127635</v>
      </c>
      <c r="S32" s="319">
        <f>IFERROR(INDEX(BLD_AS!$41:$41,MATCH('02_Debt Engine'!$I32,BLD_AS!$12:$12,0)),0)</f>
        <v>1213031.43274072</v>
      </c>
      <c r="T32" s="319">
        <f t="shared" si="5"/>
        <v>15162892.909259001</v>
      </c>
      <c r="U32" s="319">
        <f t="shared" si="6"/>
        <v>19025090.217147127</v>
      </c>
      <c r="V32" s="319">
        <f t="shared" si="7"/>
        <v>15162892.909259001</v>
      </c>
      <c r="W32" s="319">
        <f t="shared" si="8"/>
        <v>805649.51774556539</v>
      </c>
      <c r="X32" s="319">
        <f t="shared" si="9"/>
        <v>606515.71637035999</v>
      </c>
      <c r="Y32" s="319">
        <f t="shared" si="10"/>
        <v>199133.8013752054</v>
      </c>
    </row>
    <row r="33" spans="2:26">
      <c r="B33" s="50" t="str">
        <v>450 Pacific Street</v>
      </c>
      <c r="C33" s="311" t="str">
        <f>INDEX('01_Property Summary'!$E$5:$E$21,MATCH('02_Rent Engine'!$B19,'01_Property Summary'!$C$5:$C$21,0))</f>
        <v>Vancouver</v>
      </c>
      <c r="D33" s="311" t="str">
        <f>INDEX('01_Property Summary'!$G$5:$G$21,MATCH('02_Debt Engine'!B33,'01_Property Summary'!$C$5:$C$21,0))</f>
        <v>New Dev</v>
      </c>
      <c r="E33" s="311">
        <f>INDEX('01_Property Summary'!$S$5:$S$21,MATCH('02_Debt Engine'!B33,'01_Property Summary'!$C$5:$C$21,0))</f>
        <v>91</v>
      </c>
      <c r="F33" s="143" t="s">
        <v>524</v>
      </c>
      <c r="G33" s="311" t="str">
        <f>INDEX('01_Property Summary'!L$5:L$21,MATCH('02_Debt Engine'!$B33,'01_Property Summary'!$C$5:$C$21,0))</f>
        <v>BCH CHF</v>
      </c>
      <c r="H33" s="318">
        <f>INDEX('01_Property Summary'!M$5:M$21,MATCH('02_Debt Engine'!$B33,'01_Property Summary'!$C$5:$C$21,0))</f>
        <v>0</v>
      </c>
      <c r="I33" s="311">
        <f>IF(D33="Active",YEAR(INDEX('01_Property Summary'!N$5:N$21,MATCH('02_Debt Engine'!$B33,'01_Property Summary'!$C$5:$C$21,0))),INDEX('02_Rent Engine'!$D$5:$D$21,MATCH($B33,'02_Rent Engine'!$B$5:$B$21,0)))</f>
        <v>2028</v>
      </c>
      <c r="J33" s="311">
        <f>INDEX('01_Property Summary'!O$5:O$21,MATCH('02_Debt Engine'!$B33,'01_Property Summary'!$C$5:$C$21,0))</f>
        <v>0</v>
      </c>
      <c r="K33" s="319">
        <f>INDEX('01_Property Summary'!P$5:P$21,MATCH('02_Debt Engine'!$B33,'01_Property Summary'!$C$5:$C$21,0))</f>
        <v>0</v>
      </c>
      <c r="L33" s="319">
        <f>INDEX('01_Property Summary'!Q$5:Q$21,MATCH('02_Debt Engine'!$B33,'01_Property Summary'!$C$5:$C$21,0))</f>
        <v>0</v>
      </c>
      <c r="M33" s="320">
        <f t="shared" si="0"/>
        <v>0</v>
      </c>
      <c r="N33" s="319">
        <f>INDEX('01_Property Summary'!R$5:R$21,MATCH('02_Debt Engine'!$B33,'01_Property Summary'!$C$5:$C$21,0))</f>
        <v>0</v>
      </c>
      <c r="O33" s="319">
        <f t="shared" si="1"/>
        <v>36855000</v>
      </c>
      <c r="P33" s="319">
        <f t="shared" si="2"/>
        <v>1988236.6044415063</v>
      </c>
      <c r="Q33" s="319">
        <f t="shared" si="3"/>
        <v>1658475</v>
      </c>
      <c r="R33" s="319">
        <f t="shared" si="4"/>
        <v>329761.60444150632</v>
      </c>
      <c r="S33" s="319">
        <f>IFERROR(INDEX(BLD_PS!$41:$41,MATCH('02_Debt Engine'!$I33,BLD_PS!$12:$12,0)),0)</f>
        <v>1004966.1800435679</v>
      </c>
      <c r="T33" s="319">
        <f t="shared" si="5"/>
        <v>12562077.2505446</v>
      </c>
      <c r="U33" s="319">
        <f t="shared" si="6"/>
        <v>15761811.049951024</v>
      </c>
      <c r="V33" s="319">
        <f t="shared" si="7"/>
        <v>12562077.2505446</v>
      </c>
      <c r="W33" s="319">
        <f t="shared" si="8"/>
        <v>667460.46017404622</v>
      </c>
      <c r="X33" s="319">
        <f t="shared" si="9"/>
        <v>502483.09002178401</v>
      </c>
      <c r="Y33" s="319">
        <f t="shared" si="10"/>
        <v>164977.37015226221</v>
      </c>
    </row>
    <row r="34" spans="2:26">
      <c r="B34" s="50" t="str">
        <v>The Creek, Port Moody</v>
      </c>
      <c r="C34" s="311" t="str">
        <f>INDEX('01_Property Summary'!$E$5:$E$21,MATCH('02_Rent Engine'!$B20,'01_Property Summary'!$C$5:$C$21,0))</f>
        <v>Port Moody</v>
      </c>
      <c r="D34" s="311" t="str">
        <f>INDEX('01_Property Summary'!$G$5:$G$21,MATCH('02_Debt Engine'!B34,'01_Property Summary'!$C$5:$C$21,0))</f>
        <v>New Dev</v>
      </c>
      <c r="E34" s="311">
        <f>INDEX('01_Property Summary'!$S$5:$S$21,MATCH('02_Debt Engine'!B34,'01_Property Summary'!$C$5:$C$21,0))</f>
        <v>328</v>
      </c>
      <c r="F34" s="143" t="s">
        <v>524</v>
      </c>
      <c r="G34" s="311" t="str">
        <f>INDEX('01_Property Summary'!L$5:L$21,MATCH('02_Debt Engine'!$B34,'01_Property Summary'!$C$5:$C$21,0))</f>
        <v>CMHC</v>
      </c>
      <c r="H34" s="318">
        <f>INDEX('01_Property Summary'!M$5:M$21,MATCH('02_Debt Engine'!$B34,'01_Property Summary'!$C$5:$C$21,0))</f>
        <v>0</v>
      </c>
      <c r="I34" s="311">
        <f>IF(D34="Active",YEAR(INDEX('01_Property Summary'!N$5:N$21,MATCH('02_Debt Engine'!$B34,'01_Property Summary'!$C$5:$C$21,0))),INDEX('02_Rent Engine'!$D$5:$D$21,MATCH($B34,'02_Rent Engine'!$B$5:$B$21,0)))</f>
        <v>2027</v>
      </c>
      <c r="J34" s="311">
        <f>INDEX('01_Property Summary'!O$5:O$21,MATCH('02_Debt Engine'!$B34,'01_Property Summary'!$C$5:$C$21,0))</f>
        <v>0</v>
      </c>
      <c r="K34" s="319">
        <f>INDEX('01_Property Summary'!P$5:P$21,MATCH('02_Debt Engine'!$B34,'01_Property Summary'!$C$5:$C$21,0))</f>
        <v>0</v>
      </c>
      <c r="L34" s="319">
        <f>INDEX('01_Property Summary'!Q$5:Q$21,MATCH('02_Debt Engine'!$B34,'01_Property Summary'!$C$5:$C$21,0))</f>
        <v>0</v>
      </c>
      <c r="M34" s="320">
        <f t="shared" si="0"/>
        <v>0</v>
      </c>
      <c r="N34" s="319">
        <f>INDEX('01_Property Summary'!R$5:R$21,MATCH('02_Debt Engine'!$B34,'01_Property Summary'!$C$5:$C$21,0))</f>
        <v>0</v>
      </c>
      <c r="O34" s="319">
        <f t="shared" si="1"/>
        <v>132840000</v>
      </c>
      <c r="P34" s="319">
        <f t="shared" si="2"/>
        <v>7166391.2775474079</v>
      </c>
      <c r="Q34" s="319">
        <f t="shared" si="3"/>
        <v>5977800</v>
      </c>
      <c r="R34" s="319">
        <f t="shared" si="4"/>
        <v>1188591.2775474079</v>
      </c>
      <c r="S34" s="319">
        <f>IFERROR(INDEX(BLD_PM!$41:$41,MATCH('02_Debt Engine'!$I34,BLD_PM!$12:$12,0)),0)</f>
        <v>4693091.2387541272</v>
      </c>
      <c r="T34" s="319">
        <f t="shared" si="5"/>
        <v>58663640.484426588</v>
      </c>
      <c r="U34" s="319">
        <f t="shared" si="6"/>
        <v>73606076.318126723</v>
      </c>
      <c r="V34" s="319">
        <f t="shared" si="7"/>
        <v>58663640.484426588</v>
      </c>
      <c r="W34" s="319">
        <f t="shared" si="8"/>
        <v>3116973.3868276179</v>
      </c>
      <c r="X34" s="319">
        <f t="shared" si="9"/>
        <v>2346545.6193770636</v>
      </c>
      <c r="Y34" s="319">
        <f t="shared" si="10"/>
        <v>770427.7674505543</v>
      </c>
    </row>
    <row r="35" spans="2:26">
      <c r="B35" s="50" t="str">
        <v>800 Commercial Drive</v>
      </c>
      <c r="C35" s="311" t="str">
        <f>INDEX('01_Property Summary'!$E$5:$E$21,MATCH('02_Rent Engine'!$B21,'01_Property Summary'!$C$5:$C$21,0))</f>
        <v>Vancouver</v>
      </c>
      <c r="D35" s="311" t="str">
        <f>INDEX('01_Property Summary'!$G$5:$G$21,MATCH('02_Debt Engine'!B35,'01_Property Summary'!$C$5:$C$21,0))</f>
        <v>New Dev</v>
      </c>
      <c r="E35" s="311">
        <f>INDEX('01_Property Summary'!$S$5:$S$21,MATCH('02_Debt Engine'!B35,'01_Property Summary'!$C$5:$C$21,0))</f>
        <v>93</v>
      </c>
      <c r="F35" s="143" t="s">
        <v>524</v>
      </c>
      <c r="G35" s="311" t="str">
        <f>INDEX('01_Property Summary'!L$5:L$21,MATCH('02_Debt Engine'!$B35,'01_Property Summary'!$C$5:$C$21,0))</f>
        <v>BCH CHF</v>
      </c>
      <c r="H35" s="318">
        <f>INDEX('01_Property Summary'!M$5:M$21,MATCH('02_Debt Engine'!$B35,'01_Property Summary'!$C$5:$C$21,0))</f>
        <v>0</v>
      </c>
      <c r="I35" s="311">
        <f>IF(D35="Active",YEAR(INDEX('01_Property Summary'!N$5:N$21,MATCH('02_Debt Engine'!$B35,'01_Property Summary'!$C$5:$C$21,0))),INDEX('02_Rent Engine'!$D$5:$D$21,MATCH($B35,'02_Rent Engine'!$B$5:$B$21,0)))</f>
        <v>2029</v>
      </c>
      <c r="J35" s="311">
        <f>INDEX('01_Property Summary'!O$5:O$21,MATCH('02_Debt Engine'!$B35,'01_Property Summary'!$C$5:$C$21,0))</f>
        <v>0</v>
      </c>
      <c r="K35" s="319">
        <f>INDEX('01_Property Summary'!P$5:P$21,MATCH('02_Debt Engine'!$B35,'01_Property Summary'!$C$5:$C$21,0))</f>
        <v>0</v>
      </c>
      <c r="L35" s="319">
        <f>INDEX('01_Property Summary'!Q$5:Q$21,MATCH('02_Debt Engine'!$B35,'01_Property Summary'!$C$5:$C$21,0))</f>
        <v>0</v>
      </c>
      <c r="M35" s="320">
        <f t="shared" si="0"/>
        <v>0</v>
      </c>
      <c r="N35" s="319">
        <f>INDEX('01_Property Summary'!R$5:R$21,MATCH('02_Debt Engine'!$B35,'01_Property Summary'!$C$5:$C$21,0))</f>
        <v>0</v>
      </c>
      <c r="O35" s="319">
        <f t="shared" si="1"/>
        <v>37665000</v>
      </c>
      <c r="P35" s="319">
        <f t="shared" si="2"/>
        <v>2031934.1122314297</v>
      </c>
      <c r="Q35" s="319">
        <f t="shared" si="3"/>
        <v>1694925</v>
      </c>
      <c r="R35" s="319">
        <f t="shared" si="4"/>
        <v>337009.11223142967</v>
      </c>
      <c r="S35" s="319">
        <f>IFERROR(INDEX(BLD_CD!$41:$41,MATCH('02_Debt Engine'!$I35,BLD_CD!$12:$12,0)),0)</f>
        <v>1474873.7757218662</v>
      </c>
      <c r="T35" s="319">
        <f t="shared" si="5"/>
        <v>18435922.196523327</v>
      </c>
      <c r="U35" s="319">
        <f t="shared" si="6"/>
        <v>23131805.066761646</v>
      </c>
      <c r="V35" s="319">
        <f t="shared" si="7"/>
        <v>18435922.196523327</v>
      </c>
      <c r="W35" s="319">
        <f t="shared" si="8"/>
        <v>979555.28115311568</v>
      </c>
      <c r="X35" s="319">
        <f t="shared" si="9"/>
        <v>737436.88786093309</v>
      </c>
      <c r="Y35" s="319">
        <f t="shared" si="10"/>
        <v>242118.39329218259</v>
      </c>
    </row>
    <row r="41" spans="2:26" ht="13.5" customHeight="1">
      <c r="B41" s="24"/>
      <c r="C41" s="24"/>
      <c r="D41" s="24"/>
      <c r="E41" s="24"/>
      <c r="F41" s="24"/>
      <c r="G41" s="24"/>
      <c r="H41" s="24"/>
      <c r="I41" s="24"/>
      <c r="J41" s="24"/>
      <c r="K41" s="24"/>
      <c r="L41" s="24"/>
      <c r="M41" s="24"/>
      <c r="N41" s="24"/>
      <c r="O41" s="24"/>
      <c r="P41" s="24"/>
      <c r="Q41" s="24"/>
      <c r="R41" s="24"/>
      <c r="S41" s="24"/>
      <c r="T41" s="24"/>
      <c r="U41" s="24"/>
      <c r="V41" s="24"/>
      <c r="W41" s="24"/>
      <c r="X41" s="24"/>
      <c r="Y41" s="24"/>
    </row>
    <row r="42" spans="2:26" ht="13.5" customHeight="1"/>
    <row r="44" spans="2:26" ht="15">
      <c r="F44" s="444" t="s">
        <v>525</v>
      </c>
      <c r="G44" s="427"/>
      <c r="H44" s="427"/>
      <c r="I44" s="427"/>
      <c r="J44" s="427"/>
      <c r="K44" s="427"/>
      <c r="L44" s="427"/>
      <c r="M44" s="427"/>
      <c r="N44" s="427"/>
      <c r="O44" s="427"/>
      <c r="P44" s="427"/>
      <c r="Q44" s="427"/>
      <c r="R44" s="427"/>
      <c r="S44" s="427"/>
      <c r="T44" s="427"/>
      <c r="U44" s="427"/>
      <c r="V44" s="427"/>
      <c r="W44" s="427"/>
      <c r="X44" s="427"/>
      <c r="Y44" s="427"/>
      <c r="Z44" s="427"/>
    </row>
    <row r="45" spans="2:26">
      <c r="B45" s="145" t="s">
        <v>80</v>
      </c>
      <c r="C45" s="13"/>
      <c r="D45" s="13"/>
      <c r="E45" s="144"/>
      <c r="F45" s="131">
        <v>2025</v>
      </c>
      <c r="G45" s="321">
        <f t="shared" ref="G45:Z45" si="11">F45+1</f>
        <v>2026</v>
      </c>
      <c r="H45" s="321">
        <f t="shared" si="11"/>
        <v>2027</v>
      </c>
      <c r="I45" s="321">
        <f t="shared" si="11"/>
        <v>2028</v>
      </c>
      <c r="J45" s="321">
        <f t="shared" si="11"/>
        <v>2029</v>
      </c>
      <c r="K45" s="321">
        <f t="shared" si="11"/>
        <v>2030</v>
      </c>
      <c r="L45" s="321">
        <f t="shared" si="11"/>
        <v>2031</v>
      </c>
      <c r="M45" s="321">
        <f t="shared" si="11"/>
        <v>2032</v>
      </c>
      <c r="N45" s="321">
        <f t="shared" si="11"/>
        <v>2033</v>
      </c>
      <c r="O45" s="321">
        <f t="shared" si="11"/>
        <v>2034</v>
      </c>
      <c r="P45" s="321">
        <f t="shared" si="11"/>
        <v>2035</v>
      </c>
      <c r="Q45" s="321">
        <f t="shared" si="11"/>
        <v>2036</v>
      </c>
      <c r="R45" s="321">
        <f t="shared" si="11"/>
        <v>2037</v>
      </c>
      <c r="S45" s="321">
        <f t="shared" si="11"/>
        <v>2038</v>
      </c>
      <c r="T45" s="321">
        <f t="shared" si="11"/>
        <v>2039</v>
      </c>
      <c r="U45" s="321">
        <f t="shared" si="11"/>
        <v>2040</v>
      </c>
      <c r="V45" s="321">
        <f t="shared" si="11"/>
        <v>2041</v>
      </c>
      <c r="W45" s="321">
        <f t="shared" si="11"/>
        <v>2042</v>
      </c>
      <c r="X45" s="321">
        <f t="shared" si="11"/>
        <v>2043</v>
      </c>
      <c r="Y45" s="321">
        <f t="shared" si="11"/>
        <v>2044</v>
      </c>
      <c r="Z45" s="321">
        <f t="shared" si="11"/>
        <v>2045</v>
      </c>
    </row>
    <row r="46" spans="2:26">
      <c r="B46" s="50" t="str">
        <f t="array" ref="B46:B62">_xlfn.UNIQUE('01_Property Summary'!$C$5:$C$21)</f>
        <v>Alma Blackwell</v>
      </c>
      <c r="F46" s="319">
        <f>'02A_Debt Schedule'!C14</f>
        <v>0</v>
      </c>
      <c r="G46" s="319">
        <f>'02A_Debt Schedule'!D14</f>
        <v>0</v>
      </c>
      <c r="H46" s="319">
        <f>'02A_Debt Schedule'!E14</f>
        <v>0</v>
      </c>
      <c r="I46" s="319">
        <f>'02A_Debt Schedule'!F14</f>
        <v>0</v>
      </c>
      <c r="J46" s="319">
        <f>'02A_Debt Schedule'!G14</f>
        <v>0</v>
      </c>
      <c r="K46" s="319">
        <f>'02A_Debt Schedule'!H14</f>
        <v>0</v>
      </c>
      <c r="L46" s="319">
        <f>'02A_Debt Schedule'!I14</f>
        <v>0</v>
      </c>
      <c r="M46" s="319">
        <f>'02A_Debt Schedule'!J14</f>
        <v>0</v>
      </c>
      <c r="N46" s="319">
        <f>'02A_Debt Schedule'!K14</f>
        <v>0</v>
      </c>
      <c r="O46" s="319">
        <f>'02A_Debt Schedule'!L14</f>
        <v>0</v>
      </c>
      <c r="P46" s="319">
        <f>'02A_Debt Schedule'!M14</f>
        <v>0</v>
      </c>
      <c r="Q46" s="319">
        <f>'02A_Debt Schedule'!N14</f>
        <v>0</v>
      </c>
      <c r="R46" s="319">
        <f>'02A_Debt Schedule'!O14</f>
        <v>0</v>
      </c>
      <c r="S46" s="319">
        <f>'02A_Debt Schedule'!P14</f>
        <v>0</v>
      </c>
      <c r="T46" s="319">
        <f>'02A_Debt Schedule'!Q14</f>
        <v>0</v>
      </c>
      <c r="U46" s="319">
        <f>'02A_Debt Schedule'!R14</f>
        <v>0</v>
      </c>
      <c r="V46" s="319">
        <f>'02A_Debt Schedule'!S14</f>
        <v>0</v>
      </c>
      <c r="W46" s="319">
        <f>'02A_Debt Schedule'!T14</f>
        <v>0</v>
      </c>
      <c r="X46" s="319">
        <f>'02A_Debt Schedule'!U14</f>
        <v>0</v>
      </c>
      <c r="Y46" s="319">
        <f>'02A_Debt Schedule'!V14</f>
        <v>0</v>
      </c>
      <c r="Z46" s="319">
        <f>'02A_Debt Schedule'!W14</f>
        <v>0</v>
      </c>
    </row>
    <row r="47" spans="2:26">
      <c r="B47" s="50" t="str">
        <v>Antkiw Court</v>
      </c>
      <c r="F47" s="319">
        <f>'02A_Debt Schedule'!C24</f>
        <v>54330.12</v>
      </c>
      <c r="G47" s="319">
        <f>'02A_Debt Schedule'!D24</f>
        <v>54330.12</v>
      </c>
      <c r="H47" s="319">
        <f>'02A_Debt Schedule'!E24</f>
        <v>54330.12</v>
      </c>
      <c r="I47" s="319">
        <f>'02A_Debt Schedule'!F24</f>
        <v>54330.12</v>
      </c>
      <c r="J47" s="319">
        <f>'02A_Debt Schedule'!G24</f>
        <v>54330.12</v>
      </c>
      <c r="K47" s="319">
        <f>'02A_Debt Schedule'!H24</f>
        <v>54330.12</v>
      </c>
      <c r="L47" s="319">
        <f>'02A_Debt Schedule'!I24</f>
        <v>54330.12</v>
      </c>
      <c r="M47" s="319">
        <f>'02A_Debt Schedule'!J24</f>
        <v>54330.12</v>
      </c>
      <c r="N47" s="319">
        <f>'02A_Debt Schedule'!K24</f>
        <v>54330.12</v>
      </c>
      <c r="O47" s="319">
        <f>'02A_Debt Schedule'!L24</f>
        <v>54330.12</v>
      </c>
      <c r="P47" s="319">
        <f>'02A_Debt Schedule'!M24</f>
        <v>54330.12</v>
      </c>
      <c r="Q47" s="319">
        <f>'02A_Debt Schedule'!N24</f>
        <v>54330.12</v>
      </c>
      <c r="R47" s="319">
        <f>'02A_Debt Schedule'!O24</f>
        <v>54330.119999999995</v>
      </c>
      <c r="S47" s="319">
        <f>'02A_Debt Schedule'!P24</f>
        <v>54330.12</v>
      </c>
      <c r="T47" s="319">
        <f>'02A_Debt Schedule'!Q24</f>
        <v>54330.12</v>
      </c>
      <c r="U47" s="319">
        <f>'02A_Debt Schedule'!R24</f>
        <v>54330.12000000001</v>
      </c>
      <c r="V47" s="319">
        <f>'02A_Debt Schedule'!S24</f>
        <v>54330.12</v>
      </c>
      <c r="W47" s="319">
        <f>'02A_Debt Schedule'!T24</f>
        <v>54330.12</v>
      </c>
      <c r="X47" s="319">
        <f>'02A_Debt Schedule'!U24</f>
        <v>54330.12</v>
      </c>
      <c r="Y47" s="319">
        <f>'02A_Debt Schedule'!V24</f>
        <v>54330.12</v>
      </c>
      <c r="Z47" s="319">
        <f>'02A_Debt Schedule'!W24</f>
        <v>54330.12</v>
      </c>
    </row>
    <row r="48" spans="2:26">
      <c r="B48" s="50" t="str">
        <v>Beatrice Terrace</v>
      </c>
      <c r="F48" s="319">
        <f>'02A_Debt Schedule'!C34</f>
        <v>110563.68</v>
      </c>
      <c r="G48" s="319">
        <f>'02A_Debt Schedule'!D34</f>
        <v>110563.68</v>
      </c>
      <c r="H48" s="319">
        <f>'02A_Debt Schedule'!E34</f>
        <v>110563.68</v>
      </c>
      <c r="I48" s="319">
        <f>'02A_Debt Schedule'!F34</f>
        <v>110563.68</v>
      </c>
      <c r="J48" s="319">
        <f>'02A_Debt Schedule'!G34</f>
        <v>110563.68</v>
      </c>
      <c r="K48" s="319">
        <f>'02A_Debt Schedule'!H34</f>
        <v>110563.68</v>
      </c>
      <c r="L48" s="319">
        <f>'02A_Debt Schedule'!I34</f>
        <v>110563.68</v>
      </c>
      <c r="M48" s="319">
        <f>'02A_Debt Schedule'!J34</f>
        <v>110563.68</v>
      </c>
      <c r="N48" s="319">
        <f>'02A_Debt Schedule'!K34</f>
        <v>110563.68</v>
      </c>
      <c r="O48" s="319">
        <f>'02A_Debt Schedule'!L34</f>
        <v>110563.68</v>
      </c>
      <c r="P48" s="319">
        <f>'02A_Debt Schedule'!M34</f>
        <v>110563.68</v>
      </c>
      <c r="Q48" s="319">
        <f>'02A_Debt Schedule'!N34</f>
        <v>110563.68</v>
      </c>
      <c r="R48" s="319">
        <f>'02A_Debt Schedule'!O34</f>
        <v>110563.68</v>
      </c>
      <c r="S48" s="319">
        <f>'02A_Debt Schedule'!P34</f>
        <v>110563.68</v>
      </c>
      <c r="T48" s="319">
        <f>'02A_Debt Schedule'!Q34</f>
        <v>110563.68</v>
      </c>
      <c r="U48" s="319">
        <f>'02A_Debt Schedule'!R34</f>
        <v>110563.68</v>
      </c>
      <c r="V48" s="319">
        <f>'02A_Debt Schedule'!S34</f>
        <v>110563.68</v>
      </c>
      <c r="W48" s="319">
        <f>'02A_Debt Schedule'!T34</f>
        <v>110563.68</v>
      </c>
      <c r="X48" s="319">
        <f>'02A_Debt Schedule'!U34</f>
        <v>110563.68</v>
      </c>
      <c r="Y48" s="319">
        <f>'02A_Debt Schedule'!V34</f>
        <v>110563.68</v>
      </c>
      <c r="Z48" s="319">
        <f>'02A_Debt Schedule'!W34</f>
        <v>110563.68</v>
      </c>
    </row>
    <row r="49" spans="2:26">
      <c r="B49" s="50" t="str">
        <v>Capilano House</v>
      </c>
      <c r="F49" s="319">
        <f>'02A_Debt Schedule'!C44</f>
        <v>0</v>
      </c>
      <c r="G49" s="319">
        <f>'02A_Debt Schedule'!D44</f>
        <v>0</v>
      </c>
      <c r="H49" s="319">
        <f>'02A_Debt Schedule'!E44</f>
        <v>0</v>
      </c>
      <c r="I49" s="319">
        <f>'02A_Debt Schedule'!F44</f>
        <v>0</v>
      </c>
      <c r="J49" s="319">
        <f>'02A_Debt Schedule'!G44</f>
        <v>0</v>
      </c>
      <c r="K49" s="319">
        <f>'02A_Debt Schedule'!H44</f>
        <v>0</v>
      </c>
      <c r="L49" s="319">
        <f>'02A_Debt Schedule'!I44</f>
        <v>0</v>
      </c>
      <c r="M49" s="319">
        <f>'02A_Debt Schedule'!J44</f>
        <v>0</v>
      </c>
      <c r="N49" s="319">
        <f>'02A_Debt Schedule'!K44</f>
        <v>0</v>
      </c>
      <c r="O49" s="319">
        <f>'02A_Debt Schedule'!L44</f>
        <v>0</v>
      </c>
      <c r="P49" s="319">
        <f>'02A_Debt Schedule'!M44</f>
        <v>0</v>
      </c>
      <c r="Q49" s="319">
        <f>'02A_Debt Schedule'!N44</f>
        <v>0</v>
      </c>
      <c r="R49" s="319">
        <f>'02A_Debt Schedule'!O44</f>
        <v>0</v>
      </c>
      <c r="S49" s="319">
        <f>'02A_Debt Schedule'!P44</f>
        <v>0</v>
      </c>
      <c r="T49" s="319">
        <f>'02A_Debt Schedule'!Q44</f>
        <v>0</v>
      </c>
      <c r="U49" s="319">
        <f>'02A_Debt Schedule'!R44</f>
        <v>0</v>
      </c>
      <c r="V49" s="319">
        <f>'02A_Debt Schedule'!S44</f>
        <v>0</v>
      </c>
      <c r="W49" s="319">
        <f>'02A_Debt Schedule'!T44</f>
        <v>0</v>
      </c>
      <c r="X49" s="319">
        <f>'02A_Debt Schedule'!U44</f>
        <v>0</v>
      </c>
      <c r="Y49" s="319">
        <f>'02A_Debt Schedule'!V44</f>
        <v>0</v>
      </c>
      <c r="Z49" s="319">
        <f>'02A_Debt Schedule'!W44</f>
        <v>0</v>
      </c>
    </row>
    <row r="50" spans="2:26">
      <c r="B50" s="50" t="str">
        <v>Constance Court</v>
      </c>
      <c r="F50" s="319">
        <f>'02A_Debt Schedule'!C54</f>
        <v>178507.8</v>
      </c>
      <c r="G50" s="319">
        <f>'02A_Debt Schedule'!D54</f>
        <v>111651.9755097649</v>
      </c>
      <c r="H50" s="319">
        <f>'02A_Debt Schedule'!E54</f>
        <v>0</v>
      </c>
      <c r="I50" s="319">
        <f>'02A_Debt Schedule'!F54</f>
        <v>0</v>
      </c>
      <c r="J50" s="319">
        <f>'02A_Debt Schedule'!G54</f>
        <v>0</v>
      </c>
      <c r="K50" s="319">
        <f>'02A_Debt Schedule'!H54</f>
        <v>0</v>
      </c>
      <c r="L50" s="319">
        <f>'02A_Debt Schedule'!I54</f>
        <v>0</v>
      </c>
      <c r="M50" s="319">
        <f>'02A_Debt Schedule'!J54</f>
        <v>0</v>
      </c>
      <c r="N50" s="319">
        <f>'02A_Debt Schedule'!K54</f>
        <v>0</v>
      </c>
      <c r="O50" s="319">
        <f>'02A_Debt Schedule'!L54</f>
        <v>0</v>
      </c>
      <c r="P50" s="319">
        <f>'02A_Debt Schedule'!M54</f>
        <v>0</v>
      </c>
      <c r="Q50" s="319">
        <f>'02A_Debt Schedule'!N54</f>
        <v>0</v>
      </c>
      <c r="R50" s="319">
        <f>'02A_Debt Schedule'!O54</f>
        <v>0</v>
      </c>
      <c r="S50" s="319">
        <f>'02A_Debt Schedule'!P54</f>
        <v>0</v>
      </c>
      <c r="T50" s="319">
        <f>'02A_Debt Schedule'!Q54</f>
        <v>0</v>
      </c>
      <c r="U50" s="319">
        <f>'02A_Debt Schedule'!R54</f>
        <v>0</v>
      </c>
      <c r="V50" s="319">
        <f>'02A_Debt Schedule'!S54</f>
        <v>0</v>
      </c>
      <c r="W50" s="319">
        <f>'02A_Debt Schedule'!T54</f>
        <v>0</v>
      </c>
      <c r="X50" s="319">
        <f>'02A_Debt Schedule'!U54</f>
        <v>0</v>
      </c>
      <c r="Y50" s="319">
        <f>'02A_Debt Schedule'!V54</f>
        <v>0</v>
      </c>
      <c r="Z50" s="319">
        <f>'02A_Debt Schedule'!W54</f>
        <v>0</v>
      </c>
    </row>
    <row r="51" spans="2:26">
      <c r="B51" s="50" t="str">
        <v>Evergreen Apartments</v>
      </c>
      <c r="F51" s="319">
        <f>'02A_Debt Schedule'!C64</f>
        <v>297840</v>
      </c>
      <c r="G51" s="319">
        <f>'02A_Debt Schedule'!D64</f>
        <v>297840</v>
      </c>
      <c r="H51" s="319">
        <f>'02A_Debt Schedule'!E64</f>
        <v>297840</v>
      </c>
      <c r="I51" s="319">
        <f>'02A_Debt Schedule'!F64</f>
        <v>297840</v>
      </c>
      <c r="J51" s="319">
        <f>'02A_Debt Schedule'!G64</f>
        <v>297840</v>
      </c>
      <c r="K51" s="319">
        <f>'02A_Debt Schedule'!H64</f>
        <v>297840</v>
      </c>
      <c r="L51" s="319">
        <f>'02A_Debt Schedule'!I64</f>
        <v>297840</v>
      </c>
      <c r="M51" s="319">
        <f>'02A_Debt Schedule'!J64</f>
        <v>297840</v>
      </c>
      <c r="N51" s="319">
        <f>'02A_Debt Schedule'!K64</f>
        <v>297840</v>
      </c>
      <c r="O51" s="319">
        <f>'02A_Debt Schedule'!L64</f>
        <v>297840</v>
      </c>
      <c r="P51" s="319">
        <f>'02A_Debt Schedule'!M64</f>
        <v>397585.07606343459</v>
      </c>
      <c r="Q51" s="319">
        <f>'02A_Debt Schedule'!N64</f>
        <v>397585.07606343459</v>
      </c>
      <c r="R51" s="319">
        <f>'02A_Debt Schedule'!O64</f>
        <v>397585.07606343459</v>
      </c>
      <c r="S51" s="319">
        <f>'02A_Debt Schedule'!P64</f>
        <v>397585.07606343459</v>
      </c>
      <c r="T51" s="319">
        <f>'02A_Debt Schedule'!Q64</f>
        <v>397585.07606343459</v>
      </c>
      <c r="U51" s="319">
        <f>'02A_Debt Schedule'!R64</f>
        <v>397585.07606343459</v>
      </c>
      <c r="V51" s="319">
        <f>'02A_Debt Schedule'!S64</f>
        <v>397585.07606343459</v>
      </c>
      <c r="W51" s="319">
        <f>'02A_Debt Schedule'!T64</f>
        <v>397585.07606343459</v>
      </c>
      <c r="X51" s="319">
        <f>'02A_Debt Schedule'!U64</f>
        <v>397585.07606343459</v>
      </c>
      <c r="Y51" s="319">
        <f>'02A_Debt Schedule'!V64</f>
        <v>397585.07606343459</v>
      </c>
      <c r="Z51" s="319">
        <f>'02A_Debt Schedule'!W64</f>
        <v>397585.07606343459</v>
      </c>
    </row>
    <row r="52" spans="2:26">
      <c r="B52" s="50" t="str">
        <v>Evelyn Estates</v>
      </c>
      <c r="F52" s="319">
        <f>'02A_Debt Schedule'!C74</f>
        <v>244376.04</v>
      </c>
      <c r="G52" s="319">
        <f>'02A_Debt Schedule'!D74</f>
        <v>244376.04</v>
      </c>
      <c r="H52" s="319">
        <f>'02A_Debt Schedule'!E74</f>
        <v>197958.03627290428</v>
      </c>
      <c r="I52" s="319">
        <f>'02A_Debt Schedule'!F74</f>
        <v>0</v>
      </c>
      <c r="J52" s="319">
        <f>'02A_Debt Schedule'!G74</f>
        <v>0</v>
      </c>
      <c r="K52" s="319">
        <f>'02A_Debt Schedule'!H74</f>
        <v>0</v>
      </c>
      <c r="L52" s="319">
        <f>'02A_Debt Schedule'!I74</f>
        <v>0</v>
      </c>
      <c r="M52" s="319">
        <f>'02A_Debt Schedule'!J74</f>
        <v>0</v>
      </c>
      <c r="N52" s="319">
        <f>'02A_Debt Schedule'!K74</f>
        <v>0</v>
      </c>
      <c r="O52" s="319">
        <f>'02A_Debt Schedule'!L74</f>
        <v>0</v>
      </c>
      <c r="P52" s="319">
        <f>'02A_Debt Schedule'!M74</f>
        <v>0</v>
      </c>
      <c r="Q52" s="319">
        <f>'02A_Debt Schedule'!N74</f>
        <v>0</v>
      </c>
      <c r="R52" s="319">
        <f>'02A_Debt Schedule'!O74</f>
        <v>0</v>
      </c>
      <c r="S52" s="319">
        <f>'02A_Debt Schedule'!P74</f>
        <v>0</v>
      </c>
      <c r="T52" s="319">
        <f>'02A_Debt Schedule'!Q74</f>
        <v>0</v>
      </c>
      <c r="U52" s="319">
        <f>'02A_Debt Schedule'!R74</f>
        <v>0</v>
      </c>
      <c r="V52" s="319">
        <f>'02A_Debt Schedule'!S74</f>
        <v>0</v>
      </c>
      <c r="W52" s="319">
        <f>'02A_Debt Schedule'!T74</f>
        <v>0</v>
      </c>
      <c r="X52" s="319">
        <f>'02A_Debt Schedule'!U74</f>
        <v>0</v>
      </c>
      <c r="Y52" s="319">
        <f>'02A_Debt Schedule'!V74</f>
        <v>0</v>
      </c>
      <c r="Z52" s="319">
        <f>'02A_Debt Schedule'!W74</f>
        <v>0</v>
      </c>
    </row>
    <row r="53" spans="2:26">
      <c r="B53" s="50" t="str">
        <v>Jessica Place</v>
      </c>
      <c r="F53" s="319">
        <f>'02A_Debt Schedule'!C84</f>
        <v>176698.83</v>
      </c>
      <c r="G53" s="319">
        <f>'02A_Debt Schedule'!D84</f>
        <v>1802.6832306482922</v>
      </c>
      <c r="H53" s="319">
        <f>'02A_Debt Schedule'!E84</f>
        <v>0</v>
      </c>
      <c r="I53" s="319">
        <f>'02A_Debt Schedule'!F84</f>
        <v>0</v>
      </c>
      <c r="J53" s="319">
        <f>'02A_Debt Schedule'!G84</f>
        <v>0</v>
      </c>
      <c r="K53" s="319">
        <f>'02A_Debt Schedule'!H84</f>
        <v>0</v>
      </c>
      <c r="L53" s="319">
        <f>'02A_Debt Schedule'!I84</f>
        <v>0</v>
      </c>
      <c r="M53" s="319">
        <f>'02A_Debt Schedule'!J84</f>
        <v>0</v>
      </c>
      <c r="N53" s="319">
        <f>'02A_Debt Schedule'!K84</f>
        <v>0</v>
      </c>
      <c r="O53" s="319">
        <f>'02A_Debt Schedule'!L84</f>
        <v>0</v>
      </c>
      <c r="P53" s="319">
        <f>'02A_Debt Schedule'!M84</f>
        <v>0</v>
      </c>
      <c r="Q53" s="319">
        <f>'02A_Debt Schedule'!N84</f>
        <v>0</v>
      </c>
      <c r="R53" s="319">
        <f>'02A_Debt Schedule'!O84</f>
        <v>0</v>
      </c>
      <c r="S53" s="319">
        <f>'02A_Debt Schedule'!P84</f>
        <v>0</v>
      </c>
      <c r="T53" s="319">
        <f>'02A_Debt Schedule'!Q84</f>
        <v>0</v>
      </c>
      <c r="U53" s="319">
        <f>'02A_Debt Schedule'!R84</f>
        <v>0</v>
      </c>
      <c r="V53" s="319">
        <f>'02A_Debt Schedule'!S84</f>
        <v>0</v>
      </c>
      <c r="W53" s="319">
        <f>'02A_Debt Schedule'!T84</f>
        <v>0</v>
      </c>
      <c r="X53" s="319">
        <f>'02A_Debt Schedule'!U84</f>
        <v>0</v>
      </c>
      <c r="Y53" s="319">
        <f>'02A_Debt Schedule'!V84</f>
        <v>0</v>
      </c>
      <c r="Z53" s="319">
        <f>'02A_Debt Schedule'!W84</f>
        <v>0</v>
      </c>
    </row>
    <row r="54" spans="2:26">
      <c r="B54" s="50" t="str">
        <v>Margaret Heights</v>
      </c>
      <c r="F54" s="319">
        <f>'02A_Debt Schedule'!C94</f>
        <v>125540.52</v>
      </c>
      <c r="G54" s="319">
        <f>'02A_Debt Schedule'!D94</f>
        <v>21819.445101745179</v>
      </c>
      <c r="H54" s="319">
        <f>'02A_Debt Schedule'!E94</f>
        <v>0</v>
      </c>
      <c r="I54" s="319">
        <f>'02A_Debt Schedule'!F94</f>
        <v>0</v>
      </c>
      <c r="J54" s="319">
        <f>'02A_Debt Schedule'!G94</f>
        <v>0</v>
      </c>
      <c r="K54" s="319">
        <f>'02A_Debt Schedule'!H94</f>
        <v>0</v>
      </c>
      <c r="L54" s="319">
        <f>'02A_Debt Schedule'!I94</f>
        <v>0</v>
      </c>
      <c r="M54" s="319">
        <f>'02A_Debt Schedule'!J94</f>
        <v>0</v>
      </c>
      <c r="N54" s="319">
        <f>'02A_Debt Schedule'!K94</f>
        <v>0</v>
      </c>
      <c r="O54" s="319">
        <f>'02A_Debt Schedule'!L94</f>
        <v>0</v>
      </c>
      <c r="P54" s="319">
        <f>'02A_Debt Schedule'!M94</f>
        <v>0</v>
      </c>
      <c r="Q54" s="319">
        <f>'02A_Debt Schedule'!N94</f>
        <v>0</v>
      </c>
      <c r="R54" s="319">
        <f>'02A_Debt Schedule'!O94</f>
        <v>0</v>
      </c>
      <c r="S54" s="319">
        <f>'02A_Debt Schedule'!P94</f>
        <v>0</v>
      </c>
      <c r="T54" s="319">
        <f>'02A_Debt Schedule'!Q94</f>
        <v>0</v>
      </c>
      <c r="U54" s="319">
        <f>'02A_Debt Schedule'!R94</f>
        <v>0</v>
      </c>
      <c r="V54" s="319">
        <f>'02A_Debt Schedule'!S94</f>
        <v>0</v>
      </c>
      <c r="W54" s="319">
        <f>'02A_Debt Schedule'!T94</f>
        <v>0</v>
      </c>
      <c r="X54" s="319">
        <f>'02A_Debt Schedule'!U94</f>
        <v>0</v>
      </c>
      <c r="Y54" s="319">
        <f>'02A_Debt Schedule'!V94</f>
        <v>0</v>
      </c>
      <c r="Z54" s="319">
        <f>'02A_Debt Schedule'!W94</f>
        <v>0</v>
      </c>
    </row>
    <row r="55" spans="2:26">
      <c r="B55" s="50" t="str">
        <v>Murray Manor</v>
      </c>
      <c r="F55" s="319">
        <f>'02A_Debt Schedule'!C104</f>
        <v>271563.84000000003</v>
      </c>
      <c r="G55" s="319">
        <f>'02A_Debt Schedule'!D104</f>
        <v>271563.84000000003</v>
      </c>
      <c r="H55" s="319">
        <f>'02A_Debt Schedule'!E104</f>
        <v>271563.84000000003</v>
      </c>
      <c r="I55" s="319">
        <f>'02A_Debt Schedule'!F104</f>
        <v>271563.84000000003</v>
      </c>
      <c r="J55" s="319">
        <f>'02A_Debt Schedule'!G104</f>
        <v>271563.84000000003</v>
      </c>
      <c r="K55" s="319">
        <f>'02A_Debt Schedule'!H104</f>
        <v>271563.84000000003</v>
      </c>
      <c r="L55" s="319">
        <f>'02A_Debt Schedule'!I104</f>
        <v>271563.84000000003</v>
      </c>
      <c r="M55" s="319">
        <f>'02A_Debt Schedule'!J104</f>
        <v>271563.84000000003</v>
      </c>
      <c r="N55" s="319">
        <f>'02A_Debt Schedule'!K104</f>
        <v>271563.84000000003</v>
      </c>
      <c r="O55" s="319">
        <f>'02A_Debt Schedule'!L104</f>
        <v>271563.84000000003</v>
      </c>
      <c r="P55" s="319">
        <f>'02A_Debt Schedule'!M104</f>
        <v>356739.03166510991</v>
      </c>
      <c r="Q55" s="319">
        <f>'02A_Debt Schedule'!N104</f>
        <v>356739.03166510991</v>
      </c>
      <c r="R55" s="319">
        <f>'02A_Debt Schedule'!O104</f>
        <v>356739.03166510991</v>
      </c>
      <c r="S55" s="319">
        <f>'02A_Debt Schedule'!P104</f>
        <v>356739.03166510991</v>
      </c>
      <c r="T55" s="319">
        <f>'02A_Debt Schedule'!Q104</f>
        <v>356739.03166510991</v>
      </c>
      <c r="U55" s="319">
        <f>'02A_Debt Schedule'!R104</f>
        <v>356739.03166510991</v>
      </c>
      <c r="V55" s="319">
        <f>'02A_Debt Schedule'!S104</f>
        <v>356739.03166510991</v>
      </c>
      <c r="W55" s="319">
        <f>'02A_Debt Schedule'!T104</f>
        <v>356739.03166510991</v>
      </c>
      <c r="X55" s="319">
        <f>'02A_Debt Schedule'!U104</f>
        <v>356739.03166510991</v>
      </c>
      <c r="Y55" s="319">
        <f>'02A_Debt Schedule'!V104</f>
        <v>356739.03166510991</v>
      </c>
      <c r="Z55" s="319">
        <f>'02A_Debt Schedule'!W104</f>
        <v>356739.03166510991</v>
      </c>
    </row>
    <row r="56" spans="2:26">
      <c r="B56" s="50" t="str">
        <v>Natalia Terrace</v>
      </c>
      <c r="F56" s="319">
        <f>'02A_Debt Schedule'!C114</f>
        <v>274351.8</v>
      </c>
      <c r="G56" s="319">
        <f>'02A_Debt Schedule'!D114</f>
        <v>241023.06220661121</v>
      </c>
      <c r="H56" s="319">
        <f>'02A_Debt Schedule'!E114</f>
        <v>0</v>
      </c>
      <c r="I56" s="319">
        <f>'02A_Debt Schedule'!F114</f>
        <v>0</v>
      </c>
      <c r="J56" s="319">
        <f>'02A_Debt Schedule'!G114</f>
        <v>0</v>
      </c>
      <c r="K56" s="319">
        <f>'02A_Debt Schedule'!H114</f>
        <v>0</v>
      </c>
      <c r="L56" s="319">
        <f>'02A_Debt Schedule'!I114</f>
        <v>0</v>
      </c>
      <c r="M56" s="319">
        <f>'02A_Debt Schedule'!J114</f>
        <v>0</v>
      </c>
      <c r="N56" s="319">
        <f>'02A_Debt Schedule'!K114</f>
        <v>0</v>
      </c>
      <c r="O56" s="319">
        <f>'02A_Debt Schedule'!L114</f>
        <v>0</v>
      </c>
      <c r="P56" s="319">
        <f>'02A_Debt Schedule'!M114</f>
        <v>0</v>
      </c>
      <c r="Q56" s="319">
        <f>'02A_Debt Schedule'!N114</f>
        <v>0</v>
      </c>
      <c r="R56" s="319">
        <f>'02A_Debt Schedule'!O114</f>
        <v>0</v>
      </c>
      <c r="S56" s="319">
        <f>'02A_Debt Schedule'!P114</f>
        <v>0</v>
      </c>
      <c r="T56" s="319">
        <f>'02A_Debt Schedule'!Q114</f>
        <v>0</v>
      </c>
      <c r="U56" s="319">
        <f>'02A_Debt Schedule'!R114</f>
        <v>0</v>
      </c>
      <c r="V56" s="319">
        <f>'02A_Debt Schedule'!S114</f>
        <v>0</v>
      </c>
      <c r="W56" s="319">
        <f>'02A_Debt Schedule'!T114</f>
        <v>0</v>
      </c>
      <c r="X56" s="319">
        <f>'02A_Debt Schedule'!U114</f>
        <v>0</v>
      </c>
      <c r="Y56" s="319">
        <f>'02A_Debt Schedule'!V114</f>
        <v>0</v>
      </c>
      <c r="Z56" s="319">
        <f>'02A_Debt Schedule'!W114</f>
        <v>0</v>
      </c>
    </row>
    <row r="57" spans="2:26">
      <c r="B57" s="50" t="str">
        <v>Newton Green</v>
      </c>
      <c r="F57" s="319">
        <f>'02A_Debt Schedule'!C124</f>
        <v>443187</v>
      </c>
      <c r="G57" s="319">
        <f>'02A_Debt Schedule'!D124</f>
        <v>443187</v>
      </c>
      <c r="H57" s="319">
        <f>'02A_Debt Schedule'!E124</f>
        <v>443187</v>
      </c>
      <c r="I57" s="319">
        <f>'02A_Debt Schedule'!F124</f>
        <v>443187</v>
      </c>
      <c r="J57" s="319">
        <f>'02A_Debt Schedule'!G124</f>
        <v>443187</v>
      </c>
      <c r="K57" s="319">
        <f>'02A_Debt Schedule'!H124</f>
        <v>443187</v>
      </c>
      <c r="L57" s="319">
        <f>'02A_Debt Schedule'!I124</f>
        <v>443187</v>
      </c>
      <c r="M57" s="319">
        <f>'02A_Debt Schedule'!J124</f>
        <v>443187</v>
      </c>
      <c r="N57" s="319">
        <f>'02A_Debt Schedule'!K124</f>
        <v>443187</v>
      </c>
      <c r="O57" s="319">
        <f>'02A_Debt Schedule'!L124</f>
        <v>318638.49974513921</v>
      </c>
      <c r="P57" s="319">
        <f>'02A_Debt Schedule'!M124</f>
        <v>322800.05887749186</v>
      </c>
      <c r="Q57" s="319">
        <f>'02A_Debt Schedule'!N124</f>
        <v>322800.05887749186</v>
      </c>
      <c r="R57" s="319">
        <f>'02A_Debt Schedule'!O124</f>
        <v>322800.05887749186</v>
      </c>
      <c r="S57" s="319">
        <f>'02A_Debt Schedule'!P124</f>
        <v>322800.05887749186</v>
      </c>
      <c r="T57" s="319">
        <f>'02A_Debt Schedule'!Q124</f>
        <v>322800.05887749186</v>
      </c>
      <c r="U57" s="319">
        <f>'02A_Debt Schedule'!R124</f>
        <v>322800.05887749186</v>
      </c>
      <c r="V57" s="319">
        <f>'02A_Debt Schedule'!S124</f>
        <v>322800.05887749186</v>
      </c>
      <c r="W57" s="319">
        <f>'02A_Debt Schedule'!T124</f>
        <v>322800.05887749186</v>
      </c>
      <c r="X57" s="319">
        <f>'02A_Debt Schedule'!U124</f>
        <v>322800.05887749186</v>
      </c>
      <c r="Y57" s="319">
        <f>'02A_Debt Schedule'!V124</f>
        <v>322800.05887749186</v>
      </c>
      <c r="Z57" s="319">
        <f>'02A_Debt Schedule'!W124</f>
        <v>322800.05887749186</v>
      </c>
    </row>
    <row r="58" spans="2:26">
      <c r="B58" s="50" t="str">
        <v>Rosemary Green</v>
      </c>
      <c r="F58" s="319">
        <f>'02A_Debt Schedule'!C134</f>
        <v>291146.28000000003</v>
      </c>
      <c r="G58" s="319">
        <f>'02A_Debt Schedule'!D134</f>
        <v>291146.28000000003</v>
      </c>
      <c r="H58" s="319">
        <f>'02A_Debt Schedule'!E134</f>
        <v>291146.28000000003</v>
      </c>
      <c r="I58" s="319">
        <f>'02A_Debt Schedule'!F134</f>
        <v>291146.28000000003</v>
      </c>
      <c r="J58" s="319">
        <f>'02A_Debt Schedule'!G134</f>
        <v>291146.28000000003</v>
      </c>
      <c r="K58" s="319">
        <f>'02A_Debt Schedule'!H134</f>
        <v>291146.28000000003</v>
      </c>
      <c r="L58" s="319">
        <f>'02A_Debt Schedule'!I134</f>
        <v>291146.28000000003</v>
      </c>
      <c r="M58" s="319">
        <f>'02A_Debt Schedule'!J134</f>
        <v>146404.95610520948</v>
      </c>
      <c r="N58" s="319">
        <f>'02A_Debt Schedule'!K134</f>
        <v>0</v>
      </c>
      <c r="O58" s="319">
        <f>'02A_Debt Schedule'!L134</f>
        <v>0</v>
      </c>
      <c r="P58" s="319">
        <f>'02A_Debt Schedule'!M134</f>
        <v>0</v>
      </c>
      <c r="Q58" s="319">
        <f>'02A_Debt Schedule'!N134</f>
        <v>0</v>
      </c>
      <c r="R58" s="319">
        <f>'02A_Debt Schedule'!O134</f>
        <v>0</v>
      </c>
      <c r="S58" s="319">
        <f>'02A_Debt Schedule'!P134</f>
        <v>0</v>
      </c>
      <c r="T58" s="319">
        <f>'02A_Debt Schedule'!Q134</f>
        <v>0</v>
      </c>
      <c r="U58" s="319">
        <f>'02A_Debt Schedule'!R134</f>
        <v>0</v>
      </c>
      <c r="V58" s="319">
        <f>'02A_Debt Schedule'!S134</f>
        <v>0</v>
      </c>
      <c r="W58" s="319">
        <f>'02A_Debt Schedule'!T134</f>
        <v>0</v>
      </c>
      <c r="X58" s="319">
        <f>'02A_Debt Schedule'!U134</f>
        <v>0</v>
      </c>
      <c r="Y58" s="319">
        <f>'02A_Debt Schedule'!V134</f>
        <v>0</v>
      </c>
      <c r="Z58" s="319">
        <f>'02A_Debt Schedule'!W134</f>
        <v>0</v>
      </c>
    </row>
    <row r="59" spans="2:26">
      <c r="B59" s="50" t="str">
        <v>1656 Adanac Street</v>
      </c>
      <c r="F59" s="319">
        <f>'02A_Debt Schedule'!C144</f>
        <v>2119329.1278112764</v>
      </c>
      <c r="G59" s="319">
        <f>'02A_Debt Schedule'!D144</f>
        <v>2119329.1278112764</v>
      </c>
      <c r="H59" s="319">
        <f>'02A_Debt Schedule'!E144</f>
        <v>2119329.1278112764</v>
      </c>
      <c r="I59" s="319">
        <f>'02A_Debt Schedule'!F144</f>
        <v>2119329.1278112764</v>
      </c>
      <c r="J59" s="319">
        <f>'02A_Debt Schedule'!G144</f>
        <v>805649.51774556539</v>
      </c>
      <c r="K59" s="319">
        <f>'02A_Debt Schedule'!H144</f>
        <v>805649.51774556539</v>
      </c>
      <c r="L59" s="319">
        <f>'02A_Debt Schedule'!I144</f>
        <v>805649.51774556539</v>
      </c>
      <c r="M59" s="319">
        <f>'02A_Debt Schedule'!J144</f>
        <v>805649.51774556539</v>
      </c>
      <c r="N59" s="319">
        <f>'02A_Debt Schedule'!K144</f>
        <v>805649.51774556539</v>
      </c>
      <c r="O59" s="319">
        <f>'02A_Debt Schedule'!L144</f>
        <v>805649.51774556539</v>
      </c>
      <c r="P59" s="319">
        <f>'02A_Debt Schedule'!M144</f>
        <v>805649.51774556539</v>
      </c>
      <c r="Q59" s="319">
        <f>'02A_Debt Schedule'!N144</f>
        <v>805649.51774556539</v>
      </c>
      <c r="R59" s="319">
        <f>'02A_Debt Schedule'!O144</f>
        <v>805649.51774556539</v>
      </c>
      <c r="S59" s="319">
        <f>'02A_Debt Schedule'!P144</f>
        <v>805649.51774556539</v>
      </c>
      <c r="T59" s="319">
        <f>'02A_Debt Schedule'!Q144</f>
        <v>805649.51774556539</v>
      </c>
      <c r="U59" s="319">
        <f>'02A_Debt Schedule'!R144</f>
        <v>805649.51774556539</v>
      </c>
      <c r="V59" s="319">
        <f>'02A_Debt Schedule'!S144</f>
        <v>805649.51774556539</v>
      </c>
      <c r="W59" s="319">
        <f>'02A_Debt Schedule'!T144</f>
        <v>805649.51774556539</v>
      </c>
      <c r="X59" s="319">
        <f>'02A_Debt Schedule'!U144</f>
        <v>805649.51774556539</v>
      </c>
      <c r="Y59" s="319">
        <f>'02A_Debt Schedule'!V144</f>
        <v>805649.51774556539</v>
      </c>
      <c r="Z59" s="319">
        <f>'02A_Debt Schedule'!W144</f>
        <v>805649.51774556539</v>
      </c>
    </row>
    <row r="60" spans="2:26">
      <c r="B60" s="50" t="str">
        <v>450 Pacific Street</v>
      </c>
      <c r="F60" s="319">
        <f>'02A_Debt Schedule'!C154</f>
        <v>1988236.6044415063</v>
      </c>
      <c r="G60" s="319">
        <f>'02A_Debt Schedule'!D154</f>
        <v>1988236.6044415063</v>
      </c>
      <c r="H60" s="319">
        <f>'02A_Debt Schedule'!E154</f>
        <v>1988236.6044415063</v>
      </c>
      <c r="I60" s="319">
        <f>'02A_Debt Schedule'!F154</f>
        <v>1988236.6044415063</v>
      </c>
      <c r="J60" s="319">
        <f>'02A_Debt Schedule'!G154</f>
        <v>667460.46017404622</v>
      </c>
      <c r="K60" s="319">
        <f>'02A_Debt Schedule'!H154</f>
        <v>667460.46017404622</v>
      </c>
      <c r="L60" s="319">
        <f>'02A_Debt Schedule'!I154</f>
        <v>667460.46017404622</v>
      </c>
      <c r="M60" s="319">
        <f>'02A_Debt Schedule'!J154</f>
        <v>667460.46017404622</v>
      </c>
      <c r="N60" s="319">
        <f>'02A_Debt Schedule'!K154</f>
        <v>667460.46017404622</v>
      </c>
      <c r="O60" s="319">
        <f>'02A_Debt Schedule'!L154</f>
        <v>667460.46017404622</v>
      </c>
      <c r="P60" s="319">
        <f>'02A_Debt Schedule'!M154</f>
        <v>667460.46017404622</v>
      </c>
      <c r="Q60" s="319">
        <f>'02A_Debt Schedule'!N154</f>
        <v>667460.46017404622</v>
      </c>
      <c r="R60" s="319">
        <f>'02A_Debt Schedule'!O154</f>
        <v>667460.46017404622</v>
      </c>
      <c r="S60" s="319">
        <f>'02A_Debt Schedule'!P154</f>
        <v>667460.46017404622</v>
      </c>
      <c r="T60" s="319">
        <f>'02A_Debt Schedule'!Q154</f>
        <v>667460.46017404622</v>
      </c>
      <c r="U60" s="319">
        <f>'02A_Debt Schedule'!R154</f>
        <v>667460.46017404622</v>
      </c>
      <c r="V60" s="319">
        <f>'02A_Debt Schedule'!S154</f>
        <v>667460.46017404622</v>
      </c>
      <c r="W60" s="319">
        <f>'02A_Debt Schedule'!T154</f>
        <v>667460.46017404622</v>
      </c>
      <c r="X60" s="319">
        <f>'02A_Debt Schedule'!U154</f>
        <v>667460.46017404622</v>
      </c>
      <c r="Y60" s="319">
        <f>'02A_Debt Schedule'!V154</f>
        <v>667460.46017404622</v>
      </c>
      <c r="Z60" s="319">
        <f>'02A_Debt Schedule'!W154</f>
        <v>667460.46017404622</v>
      </c>
    </row>
    <row r="61" spans="2:26">
      <c r="B61" s="50" t="str">
        <v>The Creek, Port Moody</v>
      </c>
      <c r="F61" s="319">
        <f>'02A_Debt Schedule'!C164</f>
        <v>7166391.2775474079</v>
      </c>
      <c r="G61" s="319">
        <f>'02A_Debt Schedule'!D164</f>
        <v>7166391.2775474079</v>
      </c>
      <c r="H61" s="319">
        <f>'02A_Debt Schedule'!E164</f>
        <v>7166391.2775474079</v>
      </c>
      <c r="I61" s="319">
        <f>'02A_Debt Schedule'!F164</f>
        <v>3116973.3868276179</v>
      </c>
      <c r="J61" s="319">
        <f>'02A_Debt Schedule'!G164</f>
        <v>3116973.3868276179</v>
      </c>
      <c r="K61" s="319">
        <f>'02A_Debt Schedule'!H164</f>
        <v>3116973.3868276179</v>
      </c>
      <c r="L61" s="319">
        <f>'02A_Debt Schedule'!I164</f>
        <v>3116973.3868276179</v>
      </c>
      <c r="M61" s="319">
        <f>'02A_Debt Schedule'!J164</f>
        <v>3116973.3868276179</v>
      </c>
      <c r="N61" s="319">
        <f>'02A_Debt Schedule'!K164</f>
        <v>3116973.3868276179</v>
      </c>
      <c r="O61" s="319">
        <f>'02A_Debt Schedule'!L164</f>
        <v>3116973.3868276179</v>
      </c>
      <c r="P61" s="319">
        <f>'02A_Debt Schedule'!M164</f>
        <v>3116973.3868276179</v>
      </c>
      <c r="Q61" s="319">
        <f>'02A_Debt Schedule'!N164</f>
        <v>3116973.3868276179</v>
      </c>
      <c r="R61" s="319">
        <f>'02A_Debt Schedule'!O164</f>
        <v>3116973.3868276179</v>
      </c>
      <c r="S61" s="319">
        <f>'02A_Debt Schedule'!P164</f>
        <v>3116973.3868276179</v>
      </c>
      <c r="T61" s="319">
        <f>'02A_Debt Schedule'!Q164</f>
        <v>3116973.3868276179</v>
      </c>
      <c r="U61" s="319">
        <f>'02A_Debt Schedule'!R164</f>
        <v>3116973.3868276179</v>
      </c>
      <c r="V61" s="319">
        <f>'02A_Debt Schedule'!S164</f>
        <v>3116973.3868276179</v>
      </c>
      <c r="W61" s="319">
        <f>'02A_Debt Schedule'!T164</f>
        <v>3116973.3868276179</v>
      </c>
      <c r="X61" s="319">
        <f>'02A_Debt Schedule'!U164</f>
        <v>3116973.3868276179</v>
      </c>
      <c r="Y61" s="319">
        <f>'02A_Debt Schedule'!V164</f>
        <v>3116973.3868276179</v>
      </c>
      <c r="Z61" s="319">
        <f>'02A_Debt Schedule'!W164</f>
        <v>3116973.3868276179</v>
      </c>
    </row>
    <row r="62" spans="2:26">
      <c r="B62" s="50" t="str">
        <v>800 Commercial Drive</v>
      </c>
      <c r="F62" s="319">
        <f>'02A_Debt Schedule'!C174</f>
        <v>2031934.1122314297</v>
      </c>
      <c r="G62" s="319">
        <f>'02A_Debt Schedule'!D174</f>
        <v>2031934.1122314297</v>
      </c>
      <c r="H62" s="319">
        <f>'02A_Debt Schedule'!E174</f>
        <v>2031934.1122314297</v>
      </c>
      <c r="I62" s="319">
        <f>'02A_Debt Schedule'!F174</f>
        <v>2031934.1122314297</v>
      </c>
      <c r="J62" s="319">
        <f>'02A_Debt Schedule'!G174</f>
        <v>2031934.1122314297</v>
      </c>
      <c r="K62" s="319">
        <f>'02A_Debt Schedule'!H174</f>
        <v>979555.28115311568</v>
      </c>
      <c r="L62" s="319">
        <f>'02A_Debt Schedule'!I174</f>
        <v>979555.28115311568</v>
      </c>
      <c r="M62" s="319">
        <f>'02A_Debt Schedule'!J174</f>
        <v>979555.28115311568</v>
      </c>
      <c r="N62" s="319">
        <f>'02A_Debt Schedule'!K174</f>
        <v>979555.28115311568</v>
      </c>
      <c r="O62" s="319">
        <f>'02A_Debt Schedule'!L174</f>
        <v>979555.28115311568</v>
      </c>
      <c r="P62" s="319">
        <f>'02A_Debt Schedule'!M174</f>
        <v>979555.28115311568</v>
      </c>
      <c r="Q62" s="319">
        <f>'02A_Debt Schedule'!N174</f>
        <v>979555.28115311568</v>
      </c>
      <c r="R62" s="319">
        <f>'02A_Debt Schedule'!O174</f>
        <v>979555.28115311568</v>
      </c>
      <c r="S62" s="319">
        <f>'02A_Debt Schedule'!P174</f>
        <v>979555.28115311568</v>
      </c>
      <c r="T62" s="319">
        <f>'02A_Debt Schedule'!Q174</f>
        <v>979555.28115311568</v>
      </c>
      <c r="U62" s="319">
        <f>'02A_Debt Schedule'!R174</f>
        <v>979555.28115311568</v>
      </c>
      <c r="V62" s="319">
        <f>'02A_Debt Schedule'!S174</f>
        <v>979555.28115311568</v>
      </c>
      <c r="W62" s="319">
        <f>'02A_Debt Schedule'!T174</f>
        <v>979555.28115311568</v>
      </c>
      <c r="X62" s="319">
        <f>'02A_Debt Schedule'!U174</f>
        <v>979555.28115311568</v>
      </c>
      <c r="Y62" s="319">
        <f>'02A_Debt Schedule'!V174</f>
        <v>979555.28115311568</v>
      </c>
      <c r="Z62" s="319">
        <f>'02A_Debt Schedule'!W174</f>
        <v>979555.28115311568</v>
      </c>
    </row>
    <row r="68" spans="2:26" ht="13.5" customHeight="1">
      <c r="B68" s="24"/>
      <c r="C68" s="24"/>
      <c r="D68" s="24"/>
      <c r="E68" s="24"/>
      <c r="F68" s="24"/>
      <c r="G68" s="24"/>
      <c r="H68" s="24"/>
      <c r="I68" s="24"/>
      <c r="J68" s="24"/>
      <c r="K68" s="24"/>
      <c r="L68" s="24"/>
      <c r="M68" s="24"/>
      <c r="N68" s="24"/>
      <c r="O68" s="24"/>
      <c r="P68" s="24"/>
      <c r="Q68" s="24"/>
      <c r="R68" s="24"/>
      <c r="S68" s="24"/>
      <c r="T68" s="24"/>
      <c r="U68" s="24"/>
      <c r="V68" s="24"/>
      <c r="W68" s="24"/>
      <c r="X68" s="24"/>
      <c r="Y68" s="24"/>
    </row>
    <row r="69" spans="2:26" ht="13.5" customHeight="1"/>
    <row r="72" spans="2:26" ht="15">
      <c r="F72" s="438" t="s">
        <v>526</v>
      </c>
      <c r="G72" s="427"/>
      <c r="H72" s="427"/>
      <c r="I72" s="427"/>
      <c r="J72" s="427"/>
      <c r="K72" s="427"/>
      <c r="L72" s="427"/>
      <c r="M72" s="427"/>
      <c r="N72" s="427"/>
      <c r="O72" s="427"/>
      <c r="P72" s="427"/>
      <c r="Q72" s="427"/>
      <c r="R72" s="427"/>
      <c r="S72" s="427"/>
      <c r="T72" s="427"/>
      <c r="U72" s="427"/>
      <c r="V72" s="427"/>
      <c r="W72" s="427"/>
      <c r="X72" s="427"/>
      <c r="Y72" s="427"/>
      <c r="Z72" s="427"/>
    </row>
    <row r="73" spans="2:26">
      <c r="B73" s="145" t="s">
        <v>80</v>
      </c>
      <c r="C73" s="13"/>
      <c r="D73" s="13"/>
      <c r="E73" s="144"/>
      <c r="F73" s="146">
        <v>2025</v>
      </c>
      <c r="G73" s="322">
        <f t="shared" ref="G73:Z73" si="12">F73+1</f>
        <v>2026</v>
      </c>
      <c r="H73" s="322">
        <f t="shared" si="12"/>
        <v>2027</v>
      </c>
      <c r="I73" s="322">
        <f t="shared" si="12"/>
        <v>2028</v>
      </c>
      <c r="J73" s="322">
        <f t="shared" si="12"/>
        <v>2029</v>
      </c>
      <c r="K73" s="322">
        <f t="shared" si="12"/>
        <v>2030</v>
      </c>
      <c r="L73" s="322">
        <f t="shared" si="12"/>
        <v>2031</v>
      </c>
      <c r="M73" s="322">
        <f t="shared" si="12"/>
        <v>2032</v>
      </c>
      <c r="N73" s="322">
        <f t="shared" si="12"/>
        <v>2033</v>
      </c>
      <c r="O73" s="322">
        <f t="shared" si="12"/>
        <v>2034</v>
      </c>
      <c r="P73" s="322">
        <f t="shared" si="12"/>
        <v>2035</v>
      </c>
      <c r="Q73" s="322">
        <f t="shared" si="12"/>
        <v>2036</v>
      </c>
      <c r="R73" s="322">
        <f t="shared" si="12"/>
        <v>2037</v>
      </c>
      <c r="S73" s="322">
        <f t="shared" si="12"/>
        <v>2038</v>
      </c>
      <c r="T73" s="322">
        <f t="shared" si="12"/>
        <v>2039</v>
      </c>
      <c r="U73" s="322">
        <f t="shared" si="12"/>
        <v>2040</v>
      </c>
      <c r="V73" s="322">
        <f t="shared" si="12"/>
        <v>2041</v>
      </c>
      <c r="W73" s="322">
        <f t="shared" si="12"/>
        <v>2042</v>
      </c>
      <c r="X73" s="322">
        <f t="shared" si="12"/>
        <v>2043</v>
      </c>
      <c r="Y73" s="322">
        <f t="shared" si="12"/>
        <v>2044</v>
      </c>
      <c r="Z73" s="322">
        <f t="shared" si="12"/>
        <v>2045</v>
      </c>
    </row>
    <row r="74" spans="2:26">
      <c r="B74" s="50" t="str">
        <f t="array" ref="B74:B90">_xlfn.UNIQUE('01_Property Summary'!$C$5:$C$21)</f>
        <v>Alma Blackwell</v>
      </c>
      <c r="F74" s="319">
        <f>'02A_Debt Schedule'!C10</f>
        <v>0</v>
      </c>
      <c r="G74" s="319">
        <f>'02A_Debt Schedule'!D10</f>
        <v>0</v>
      </c>
      <c r="H74" s="319">
        <f>'02A_Debt Schedule'!E10</f>
        <v>0</v>
      </c>
      <c r="I74" s="319">
        <f>'02A_Debt Schedule'!F10</f>
        <v>0</v>
      </c>
      <c r="J74" s="319">
        <f>'02A_Debt Schedule'!G10</f>
        <v>0</v>
      </c>
      <c r="K74" s="319">
        <f>'02A_Debt Schedule'!H10</f>
        <v>0</v>
      </c>
      <c r="L74" s="319">
        <f>'02A_Debt Schedule'!I10</f>
        <v>0</v>
      </c>
      <c r="M74" s="319">
        <f>'02A_Debt Schedule'!J10</f>
        <v>0</v>
      </c>
      <c r="N74" s="319">
        <f>'02A_Debt Schedule'!K10</f>
        <v>0</v>
      </c>
      <c r="O74" s="319">
        <f>'02A_Debt Schedule'!L10</f>
        <v>0</v>
      </c>
      <c r="P74" s="319">
        <f>'02A_Debt Schedule'!M10</f>
        <v>0</v>
      </c>
      <c r="Q74" s="319">
        <f>'02A_Debt Schedule'!N10</f>
        <v>0</v>
      </c>
      <c r="R74" s="319">
        <f>'02A_Debt Schedule'!O10</f>
        <v>0</v>
      </c>
      <c r="S74" s="319">
        <f>'02A_Debt Schedule'!P10</f>
        <v>0</v>
      </c>
      <c r="T74" s="319">
        <f>'02A_Debt Schedule'!Q10</f>
        <v>0</v>
      </c>
      <c r="U74" s="319">
        <f>'02A_Debt Schedule'!R10</f>
        <v>0</v>
      </c>
      <c r="V74" s="319">
        <f>'02A_Debt Schedule'!S10</f>
        <v>0</v>
      </c>
      <c r="W74" s="319">
        <f>'02A_Debt Schedule'!T10</f>
        <v>0</v>
      </c>
      <c r="X74" s="319">
        <f>'02A_Debt Schedule'!U10</f>
        <v>0</v>
      </c>
      <c r="Y74" s="319">
        <f>'02A_Debt Schedule'!V10</f>
        <v>0</v>
      </c>
      <c r="Z74" s="319">
        <f>'02A_Debt Schedule'!W10</f>
        <v>0</v>
      </c>
    </row>
    <row r="75" spans="2:26">
      <c r="B75" s="50" t="str">
        <v>Antkiw Court</v>
      </c>
      <c r="F75" s="319">
        <f>'02A_Debt Schedule'!C20</f>
        <v>772395.59564080008</v>
      </c>
      <c r="G75" s="319">
        <f>'02A_Debt Schedule'!D20</f>
        <v>749146.67440938589</v>
      </c>
      <c r="H75" s="319">
        <f>'02A_Debt Schedule'!E20</f>
        <v>724962.21658761962</v>
      </c>
      <c r="I75" s="319">
        <f>'02A_Debt Schedule'!F20</f>
        <v>699804.57618310547</v>
      </c>
      <c r="J75" s="319">
        <f>'02A_Debt Schedule'!G20</f>
        <v>673634.59232871362</v>
      </c>
      <c r="K75" s="319">
        <f>'02A_Debt Schedule'!H20</f>
        <v>646411.52832402103</v>
      </c>
      <c r="L75" s="319">
        <f>'02A_Debt Schedule'!I20</f>
        <v>618093.00822377962</v>
      </c>
      <c r="M75" s="319">
        <f>'02A_Debt Schedule'!J20</f>
        <v>588634.95087470452</v>
      </c>
      <c r="N75" s="319">
        <f>'02A_Debt Schedule'!K20</f>
        <v>557991.50129790267</v>
      </c>
      <c r="O75" s="319">
        <f>'02A_Debt Schedule'!L20</f>
        <v>526114.95931013022</v>
      </c>
      <c r="P75" s="319">
        <f>'02A_Debt Schedule'!M20</f>
        <v>492955.70527276985</v>
      </c>
      <c r="Q75" s="319">
        <f>'02A_Debt Schedule'!N20</f>
        <v>458462.12285294611</v>
      </c>
      <c r="R75" s="319">
        <f>'02A_Debt Schedule'!O20</f>
        <v>422580.51867654867</v>
      </c>
      <c r="S75" s="319">
        <f>'02A_Debt Schedule'!P20</f>
        <v>385255.03874809301</v>
      </c>
      <c r="T75" s="319">
        <f>'02A_Debt Schedule'!Q20</f>
        <v>346427.58150731627</v>
      </c>
      <c r="U75" s="319">
        <f>'02A_Debt Schedule'!R20</f>
        <v>306037.70738717064</v>
      </c>
      <c r="V75" s="319">
        <f>'02A_Debt Schedule'!S20</f>
        <v>264022.54473243037</v>
      </c>
      <c r="W75" s="319">
        <f>'02A_Debt Schedule'!T20</f>
        <v>220316.69193246338</v>
      </c>
      <c r="X75" s="319">
        <f>'02A_Debt Schedule'!U20</f>
        <v>174852.11561582569</v>
      </c>
      <c r="Y75" s="319">
        <f>'02A_Debt Schedule'!V20</f>
        <v>127558.04474820651</v>
      </c>
      <c r="Z75" s="319">
        <f>'02A_Debt Schedule'!W20</f>
        <v>78360.860468874336</v>
      </c>
    </row>
    <row r="76" spans="2:26">
      <c r="B76" s="50" t="str">
        <v>Beatrice Terrace</v>
      </c>
      <c r="F76" s="319">
        <f>'02A_Debt Schedule'!C30</f>
        <v>1571852.7659735999</v>
      </c>
      <c r="G76" s="319">
        <f>'02A_Debt Schedule'!D30</f>
        <v>1524540.4412763775</v>
      </c>
      <c r="H76" s="319">
        <f>'02A_Debt Schedule'!E30</f>
        <v>1475324.2686333391</v>
      </c>
      <c r="I76" s="319">
        <f>'02A_Debt Schedule'!F30</f>
        <v>1424127.6372031446</v>
      </c>
      <c r="J76" s="319">
        <f>'02A_Debt Schedule'!G30</f>
        <v>1370870.8533241991</v>
      </c>
      <c r="K76" s="319">
        <f>'02A_Debt Schedule'!H30</f>
        <v>1315471.0164619649</v>
      </c>
      <c r="L76" s="319">
        <f>'02A_Debt Schedule'!I30</f>
        <v>1257841.8901643944</v>
      </c>
      <c r="M76" s="319">
        <f>'02A_Debt Schedule'!J30</f>
        <v>1197893.7678246095</v>
      </c>
      <c r="N76" s="319">
        <f>'02A_Debt Schedule'!K30</f>
        <v>1135533.3330418719</v>
      </c>
      <c r="O76" s="319">
        <f>'02A_Debt Schedule'!L30</f>
        <v>1070663.5143634768</v>
      </c>
      <c r="P76" s="319">
        <f>'02A_Debt Schedule'!M30</f>
        <v>1003183.3341814631</v>
      </c>
      <c r="Q76" s="319">
        <f>'02A_Debt Schedule'!N30</f>
        <v>932987.75154892518</v>
      </c>
      <c r="R76" s="319">
        <f>'02A_Debt Schedule'!O30</f>
        <v>859967.49867125391</v>
      </c>
      <c r="S76" s="319">
        <f>'02A_Debt Schedule'!P30</f>
        <v>784008.91081778519</v>
      </c>
      <c r="T76" s="319">
        <f>'02A_Debt Schedule'!Q30</f>
        <v>704993.7493890929</v>
      </c>
      <c r="U76" s="319">
        <f>'02A_Debt Schedule'!R30</f>
        <v>622799.01786450995</v>
      </c>
      <c r="V76" s="319">
        <f>'02A_Debt Schedule'!S30</f>
        <v>537296.77034337784</v>
      </c>
      <c r="W76" s="319">
        <f>'02A_Debt Schedule'!T30</f>
        <v>448353.91238199535</v>
      </c>
      <c r="X76" s="319">
        <f>'02A_Debt Schedule'!U30</f>
        <v>355831.99381624686</v>
      </c>
      <c r="Y76" s="319">
        <f>'02A_Debt Schedule'!V30</f>
        <v>259586.99324741264</v>
      </c>
      <c r="Z76" s="319">
        <f>'02A_Debt Schedule'!W30</f>
        <v>159469.09385568852</v>
      </c>
    </row>
    <row r="77" spans="2:26">
      <c r="B77" s="50" t="str">
        <v>Capilano House</v>
      </c>
      <c r="F77" s="319">
        <f>'02A_Debt Schedule'!C40</f>
        <v>0</v>
      </c>
      <c r="G77" s="319">
        <f>'02A_Debt Schedule'!D40</f>
        <v>0</v>
      </c>
      <c r="H77" s="319">
        <f>'02A_Debt Schedule'!E40</f>
        <v>0</v>
      </c>
      <c r="I77" s="319">
        <f>'02A_Debt Schedule'!F40</f>
        <v>0</v>
      </c>
      <c r="J77" s="319">
        <f>'02A_Debt Schedule'!G40</f>
        <v>0</v>
      </c>
      <c r="K77" s="319">
        <f>'02A_Debt Schedule'!H40</f>
        <v>0</v>
      </c>
      <c r="L77" s="319">
        <f>'02A_Debt Schedule'!I40</f>
        <v>0</v>
      </c>
      <c r="M77" s="319">
        <f>'02A_Debt Schedule'!J40</f>
        <v>0</v>
      </c>
      <c r="N77" s="319">
        <f>'02A_Debt Schedule'!K40</f>
        <v>0</v>
      </c>
      <c r="O77" s="319">
        <f>'02A_Debt Schedule'!L40</f>
        <v>0</v>
      </c>
      <c r="P77" s="319">
        <f>'02A_Debt Schedule'!M40</f>
        <v>0</v>
      </c>
      <c r="Q77" s="319">
        <f>'02A_Debt Schedule'!N40</f>
        <v>0</v>
      </c>
      <c r="R77" s="319">
        <f>'02A_Debt Schedule'!O40</f>
        <v>0</v>
      </c>
      <c r="S77" s="319">
        <f>'02A_Debt Schedule'!P40</f>
        <v>0</v>
      </c>
      <c r="T77" s="319">
        <f>'02A_Debt Schedule'!Q40</f>
        <v>0</v>
      </c>
      <c r="U77" s="319">
        <f>'02A_Debt Schedule'!R40</f>
        <v>0</v>
      </c>
      <c r="V77" s="319">
        <f>'02A_Debt Schedule'!S40</f>
        <v>0</v>
      </c>
      <c r="W77" s="319">
        <f>'02A_Debt Schedule'!T40</f>
        <v>0</v>
      </c>
      <c r="X77" s="319">
        <f>'02A_Debt Schedule'!U40</f>
        <v>0</v>
      </c>
      <c r="Y77" s="319">
        <f>'02A_Debt Schedule'!V40</f>
        <v>0</v>
      </c>
      <c r="Z77" s="319">
        <f>'02A_Debt Schedule'!W40</f>
        <v>0</v>
      </c>
    </row>
    <row r="78" spans="2:26">
      <c r="B78" s="50" t="str">
        <v>Constance Court</v>
      </c>
      <c r="F78" s="319">
        <f>'02A_Debt Schedule'!C50</f>
        <v>107120.76706300001</v>
      </c>
      <c r="G78" s="319">
        <f>'02A_Debt Schedule'!D50</f>
        <v>0</v>
      </c>
      <c r="H78" s="319">
        <f>'02A_Debt Schedule'!E50</f>
        <v>0</v>
      </c>
      <c r="I78" s="319">
        <f>'02A_Debt Schedule'!F50</f>
        <v>0</v>
      </c>
      <c r="J78" s="319">
        <f>'02A_Debt Schedule'!G50</f>
        <v>0</v>
      </c>
      <c r="K78" s="319">
        <f>'02A_Debt Schedule'!H50</f>
        <v>0</v>
      </c>
      <c r="L78" s="319">
        <f>'02A_Debt Schedule'!I50</f>
        <v>0</v>
      </c>
      <c r="M78" s="319">
        <f>'02A_Debt Schedule'!J50</f>
        <v>0</v>
      </c>
      <c r="N78" s="319">
        <f>'02A_Debt Schedule'!K50</f>
        <v>0</v>
      </c>
      <c r="O78" s="319">
        <f>'02A_Debt Schedule'!L50</f>
        <v>0</v>
      </c>
      <c r="P78" s="319">
        <f>'02A_Debt Schedule'!M50</f>
        <v>0</v>
      </c>
      <c r="Q78" s="319">
        <f>'02A_Debt Schedule'!N50</f>
        <v>0</v>
      </c>
      <c r="R78" s="319">
        <f>'02A_Debt Schedule'!O50</f>
        <v>0</v>
      </c>
      <c r="S78" s="319">
        <f>'02A_Debt Schedule'!P50</f>
        <v>0</v>
      </c>
      <c r="T78" s="319">
        <f>'02A_Debt Schedule'!Q50</f>
        <v>0</v>
      </c>
      <c r="U78" s="319">
        <f>'02A_Debt Schedule'!R50</f>
        <v>0</v>
      </c>
      <c r="V78" s="319">
        <f>'02A_Debt Schedule'!S50</f>
        <v>0</v>
      </c>
      <c r="W78" s="319">
        <f>'02A_Debt Schedule'!T50</f>
        <v>0</v>
      </c>
      <c r="X78" s="319">
        <f>'02A_Debt Schedule'!U50</f>
        <v>0</v>
      </c>
      <c r="Y78" s="319">
        <f>'02A_Debt Schedule'!V50</f>
        <v>0</v>
      </c>
      <c r="Z78" s="319">
        <f>'02A_Debt Schedule'!W50</f>
        <v>0</v>
      </c>
    </row>
    <row r="79" spans="2:26">
      <c r="B79" s="50" t="str">
        <v>Evergreen Apartments</v>
      </c>
      <c r="F79" s="319">
        <f>'02A_Debt Schedule'!C60</f>
        <v>5408513.3767299997</v>
      </c>
      <c r="G79" s="319">
        <f>'02A_Debt Schedule'!D60</f>
        <v>5338371.7898903331</v>
      </c>
      <c r="H79" s="319">
        <f>'02A_Debt Schedule'!E60</f>
        <v>5265277.2422447158</v>
      </c>
      <c r="I79" s="319">
        <f>'02A_Debt Schedule'!F60</f>
        <v>5189105.4141432187</v>
      </c>
      <c r="J79" s="319">
        <f>'02A_Debt Schedule'!G60</f>
        <v>5109726.7520786477</v>
      </c>
      <c r="K79" s="319">
        <f>'02A_Debt Schedule'!H60</f>
        <v>5027006.248341159</v>
      </c>
      <c r="L79" s="319">
        <f>'02A_Debt Schedule'!I60</f>
        <v>4940803.2113963217</v>
      </c>
      <c r="M79" s="319">
        <f>'02A_Debt Schedule'!J60</f>
        <v>4850971.0265961066</v>
      </c>
      <c r="N79" s="319">
        <f>'02A_Debt Schedule'!K60</f>
        <v>4757356.9068158027</v>
      </c>
      <c r="O79" s="319">
        <f>'02A_Debt Schedule'!L60</f>
        <v>4659801.6325927479</v>
      </c>
      <c r="P79" s="319">
        <f>'02A_Debt Schedule'!M60</f>
        <v>7384560.1245450983</v>
      </c>
      <c r="Q79" s="319">
        <f>'02A_Debt Schedule'!N60</f>
        <v>7282357.4534634678</v>
      </c>
      <c r="R79" s="319">
        <f>'02A_Debt Schedule'!O60</f>
        <v>7176066.6755385716</v>
      </c>
      <c r="S79" s="319">
        <f>'02A_Debt Schedule'!P60</f>
        <v>7065524.2664966797</v>
      </c>
      <c r="T79" s="319">
        <f>'02A_Debt Schedule'!Q60</f>
        <v>6950560.1610931121</v>
      </c>
      <c r="U79" s="319">
        <f>'02A_Debt Schedule'!R60</f>
        <v>6830997.4914734019</v>
      </c>
      <c r="V79" s="319">
        <f>'02A_Debt Schedule'!S60</f>
        <v>6706652.3150689034</v>
      </c>
      <c r="W79" s="319">
        <f>'02A_Debt Schedule'!T60</f>
        <v>6577333.3316082247</v>
      </c>
      <c r="X79" s="319">
        <f>'02A_Debt Schedule'!U60</f>
        <v>6442841.5888091195</v>
      </c>
      <c r="Y79" s="319">
        <f>'02A_Debt Schedule'!V60</f>
        <v>6302970.1762980502</v>
      </c>
      <c r="Z79" s="319">
        <f>'02A_Debt Schedule'!W60</f>
        <v>6157503.9072865378</v>
      </c>
    </row>
    <row r="80" spans="2:26">
      <c r="B80" s="50" t="str">
        <v>Evelyn Estates</v>
      </c>
      <c r="F80" s="319">
        <f>'02A_Debt Schedule'!C70</f>
        <v>419507.76840599993</v>
      </c>
      <c r="G80" s="319">
        <f>'02A_Debt Schedule'!D70</f>
        <v>190821.31894438431</v>
      </c>
      <c r="H80" s="319">
        <f>'02A_Debt Schedule'!E70</f>
        <v>0</v>
      </c>
      <c r="I80" s="319">
        <f>'02A_Debt Schedule'!F70</f>
        <v>0</v>
      </c>
      <c r="J80" s="319">
        <f>'02A_Debt Schedule'!G70</f>
        <v>0</v>
      </c>
      <c r="K80" s="319">
        <f>'02A_Debt Schedule'!H70</f>
        <v>0</v>
      </c>
      <c r="L80" s="319">
        <f>'02A_Debt Schedule'!I70</f>
        <v>0</v>
      </c>
      <c r="M80" s="319">
        <f>'02A_Debt Schedule'!J70</f>
        <v>0</v>
      </c>
      <c r="N80" s="319">
        <f>'02A_Debt Schedule'!K70</f>
        <v>0</v>
      </c>
      <c r="O80" s="319">
        <f>'02A_Debt Schedule'!L70</f>
        <v>0</v>
      </c>
      <c r="P80" s="319">
        <f>'02A_Debt Schedule'!M70</f>
        <v>0</v>
      </c>
      <c r="Q80" s="319">
        <f>'02A_Debt Schedule'!N70</f>
        <v>0</v>
      </c>
      <c r="R80" s="319">
        <f>'02A_Debt Schedule'!O70</f>
        <v>0</v>
      </c>
      <c r="S80" s="319">
        <f>'02A_Debt Schedule'!P70</f>
        <v>0</v>
      </c>
      <c r="T80" s="319">
        <f>'02A_Debt Schedule'!Q70</f>
        <v>0</v>
      </c>
      <c r="U80" s="319">
        <f>'02A_Debt Schedule'!R70</f>
        <v>0</v>
      </c>
      <c r="V80" s="319">
        <f>'02A_Debt Schedule'!S70</f>
        <v>0</v>
      </c>
      <c r="W80" s="319">
        <f>'02A_Debt Schedule'!T70</f>
        <v>0</v>
      </c>
      <c r="X80" s="319">
        <f>'02A_Debt Schedule'!U70</f>
        <v>0</v>
      </c>
      <c r="Y80" s="319">
        <f>'02A_Debt Schedule'!V70</f>
        <v>0</v>
      </c>
      <c r="Z80" s="319">
        <f>'02A_Debt Schedule'!W70</f>
        <v>0</v>
      </c>
    </row>
    <row r="81" spans="2:26">
      <c r="B81" s="50" t="str">
        <v>Jessica Place</v>
      </c>
      <c r="F81" s="319">
        <f>'02A_Debt Schedule'!C80</f>
        <v>1784.6581829999923</v>
      </c>
      <c r="G81" s="319">
        <f>'02A_Debt Schedule'!D80</f>
        <v>0</v>
      </c>
      <c r="H81" s="319">
        <f>'02A_Debt Schedule'!E80</f>
        <v>0</v>
      </c>
      <c r="I81" s="319">
        <f>'02A_Debt Schedule'!F80</f>
        <v>0</v>
      </c>
      <c r="J81" s="319">
        <f>'02A_Debt Schedule'!G80</f>
        <v>0</v>
      </c>
      <c r="K81" s="319">
        <f>'02A_Debt Schedule'!H80</f>
        <v>0</v>
      </c>
      <c r="L81" s="319">
        <f>'02A_Debt Schedule'!I80</f>
        <v>0</v>
      </c>
      <c r="M81" s="319">
        <f>'02A_Debt Schedule'!J80</f>
        <v>0</v>
      </c>
      <c r="N81" s="319">
        <f>'02A_Debt Schedule'!K80</f>
        <v>0</v>
      </c>
      <c r="O81" s="319">
        <f>'02A_Debt Schedule'!L80</f>
        <v>0</v>
      </c>
      <c r="P81" s="319">
        <f>'02A_Debt Schedule'!M80</f>
        <v>0</v>
      </c>
      <c r="Q81" s="319">
        <f>'02A_Debt Schedule'!N80</f>
        <v>0</v>
      </c>
      <c r="R81" s="319">
        <f>'02A_Debt Schedule'!O80</f>
        <v>0</v>
      </c>
      <c r="S81" s="319">
        <f>'02A_Debt Schedule'!P80</f>
        <v>0</v>
      </c>
      <c r="T81" s="319">
        <f>'02A_Debt Schedule'!Q80</f>
        <v>0</v>
      </c>
      <c r="U81" s="319">
        <f>'02A_Debt Schedule'!R80</f>
        <v>0</v>
      </c>
      <c r="V81" s="319">
        <f>'02A_Debt Schedule'!S80</f>
        <v>0</v>
      </c>
      <c r="W81" s="319">
        <f>'02A_Debt Schedule'!T80</f>
        <v>0</v>
      </c>
      <c r="X81" s="319">
        <f>'02A_Debt Schedule'!U80</f>
        <v>0</v>
      </c>
      <c r="Y81" s="319">
        <f>'02A_Debt Schedule'!V80</f>
        <v>0</v>
      </c>
      <c r="Z81" s="319">
        <f>'02A_Debt Schedule'!W80</f>
        <v>0</v>
      </c>
    </row>
    <row r="82" spans="2:26">
      <c r="B82" s="50" t="str">
        <v>Margaret Heights</v>
      </c>
      <c r="F82" s="319">
        <f>'02A_Debt Schedule'!C90</f>
        <v>21601.272251999981</v>
      </c>
      <c r="G82" s="319">
        <f>'02A_Debt Schedule'!D90</f>
        <v>0</v>
      </c>
      <c r="H82" s="319">
        <f>'02A_Debt Schedule'!E90</f>
        <v>0</v>
      </c>
      <c r="I82" s="319">
        <f>'02A_Debt Schedule'!F90</f>
        <v>0</v>
      </c>
      <c r="J82" s="319">
        <f>'02A_Debt Schedule'!G90</f>
        <v>0</v>
      </c>
      <c r="K82" s="319">
        <f>'02A_Debt Schedule'!H90</f>
        <v>0</v>
      </c>
      <c r="L82" s="319">
        <f>'02A_Debt Schedule'!I90</f>
        <v>0</v>
      </c>
      <c r="M82" s="319">
        <f>'02A_Debt Schedule'!J90</f>
        <v>0</v>
      </c>
      <c r="N82" s="319">
        <f>'02A_Debt Schedule'!K90</f>
        <v>0</v>
      </c>
      <c r="O82" s="319">
        <f>'02A_Debt Schedule'!L90</f>
        <v>0</v>
      </c>
      <c r="P82" s="319">
        <f>'02A_Debt Schedule'!M90</f>
        <v>0</v>
      </c>
      <c r="Q82" s="319">
        <f>'02A_Debt Schedule'!N90</f>
        <v>0</v>
      </c>
      <c r="R82" s="319">
        <f>'02A_Debt Schedule'!O90</f>
        <v>0</v>
      </c>
      <c r="S82" s="319">
        <f>'02A_Debt Schedule'!P90</f>
        <v>0</v>
      </c>
      <c r="T82" s="319">
        <f>'02A_Debt Schedule'!Q90</f>
        <v>0</v>
      </c>
      <c r="U82" s="319">
        <f>'02A_Debt Schedule'!R90</f>
        <v>0</v>
      </c>
      <c r="V82" s="319">
        <f>'02A_Debt Schedule'!S90</f>
        <v>0</v>
      </c>
      <c r="W82" s="319">
        <f>'02A_Debt Schedule'!T90</f>
        <v>0</v>
      </c>
      <c r="X82" s="319">
        <f>'02A_Debt Schedule'!U90</f>
        <v>0</v>
      </c>
      <c r="Y82" s="319">
        <f>'02A_Debt Schedule'!V90</f>
        <v>0</v>
      </c>
      <c r="Z82" s="319">
        <f>'02A_Debt Schedule'!W90</f>
        <v>0</v>
      </c>
    </row>
    <row r="83" spans="2:26">
      <c r="B83" s="50" t="str">
        <v>Murray Manor</v>
      </c>
      <c r="F83" s="319">
        <f>'02A_Debt Schedule'!C100</f>
        <v>4931606.0285999998</v>
      </c>
      <c r="G83" s="319">
        <f>'02A_Debt Schedule'!D100</f>
        <v>4867662.80240406</v>
      </c>
      <c r="H83" s="319">
        <f>'02A_Debt Schedule'!E100</f>
        <v>4801027.566385271</v>
      </c>
      <c r="I83" s="319">
        <f>'02A_Debt Schedule'!F100</f>
        <v>4731586.9869300909</v>
      </c>
      <c r="J83" s="319">
        <f>'02A_Debt Schedule'!G100</f>
        <v>4659222.9590798477</v>
      </c>
      <c r="K83" s="319">
        <f>'02A_Debt Schedule'!H100</f>
        <v>4583812.4056571089</v>
      </c>
      <c r="L83" s="319">
        <f>'02A_Debt Schedule'!I100</f>
        <v>4505227.0679352731</v>
      </c>
      <c r="M83" s="319">
        <f>'02A_Debt Schedule'!J100</f>
        <v>4423333.2874953477</v>
      </c>
      <c r="N83" s="319">
        <f>'02A_Debt Schedule'!K100</f>
        <v>4337991.7788989022</v>
      </c>
      <c r="O83" s="319">
        <f>'02A_Debt Schedule'!L100</f>
        <v>4249057.3927905457</v>
      </c>
      <c r="P83" s="319">
        <f>'02A_Debt Schedule'!M100</f>
        <v>6625904.7099712836</v>
      </c>
      <c r="Q83" s="319">
        <f>'02A_Debt Schedule'!N100</f>
        <v>6534201.8667050246</v>
      </c>
      <c r="R83" s="319">
        <f>'02A_Debt Schedule'!O100</f>
        <v>6438830.9097081153</v>
      </c>
      <c r="S83" s="319">
        <f>'02A_Debt Schedule'!P100</f>
        <v>6339645.11443133</v>
      </c>
      <c r="T83" s="319">
        <f>'02A_Debt Schedule'!Q100</f>
        <v>6236491.8873434737</v>
      </c>
      <c r="U83" s="319">
        <f>'02A_Debt Schedule'!R100</f>
        <v>6129212.5311721023</v>
      </c>
      <c r="V83" s="319">
        <f>'02A_Debt Schedule'!S100</f>
        <v>6017642.0007538768</v>
      </c>
      <c r="W83" s="319">
        <f>'02A_Debt Schedule'!T100</f>
        <v>5901608.6491189217</v>
      </c>
      <c r="X83" s="319">
        <f>'02A_Debt Schedule'!U100</f>
        <v>5780933.9634185685</v>
      </c>
      <c r="Y83" s="319">
        <f>'02A_Debt Schedule'!V100</f>
        <v>5655432.2902902011</v>
      </c>
      <c r="Z83" s="319">
        <f>'02A_Debt Schedule'!W100</f>
        <v>5524910.5502366992</v>
      </c>
    </row>
    <row r="84" spans="2:26">
      <c r="B84" s="50" t="str">
        <v>Natalia Terrace</v>
      </c>
      <c r="F84" s="319">
        <f>'02A_Debt Schedule'!C110</f>
        <v>231219.36128800001</v>
      </c>
      <c r="G84" s="319">
        <f>'02A_Debt Schedule'!D110</f>
        <v>0</v>
      </c>
      <c r="H84" s="319">
        <f>'02A_Debt Schedule'!E110</f>
        <v>0</v>
      </c>
      <c r="I84" s="319">
        <f>'02A_Debt Schedule'!F110</f>
        <v>0</v>
      </c>
      <c r="J84" s="319">
        <f>'02A_Debt Schedule'!G110</f>
        <v>0</v>
      </c>
      <c r="K84" s="319">
        <f>'02A_Debt Schedule'!H110</f>
        <v>0</v>
      </c>
      <c r="L84" s="319">
        <f>'02A_Debt Schedule'!I110</f>
        <v>0</v>
      </c>
      <c r="M84" s="319">
        <f>'02A_Debt Schedule'!J110</f>
        <v>0</v>
      </c>
      <c r="N84" s="319">
        <f>'02A_Debt Schedule'!K110</f>
        <v>0</v>
      </c>
      <c r="O84" s="319">
        <f>'02A_Debt Schedule'!L110</f>
        <v>0</v>
      </c>
      <c r="P84" s="319">
        <f>'02A_Debt Schedule'!M110</f>
        <v>0</v>
      </c>
      <c r="Q84" s="319">
        <f>'02A_Debt Schedule'!N110</f>
        <v>0</v>
      </c>
      <c r="R84" s="319">
        <f>'02A_Debt Schedule'!O110</f>
        <v>0</v>
      </c>
      <c r="S84" s="319">
        <f>'02A_Debt Schedule'!P110</f>
        <v>0</v>
      </c>
      <c r="T84" s="319">
        <f>'02A_Debt Schedule'!Q110</f>
        <v>0</v>
      </c>
      <c r="U84" s="319">
        <f>'02A_Debt Schedule'!R110</f>
        <v>0</v>
      </c>
      <c r="V84" s="319">
        <f>'02A_Debt Schedule'!S110</f>
        <v>0</v>
      </c>
      <c r="W84" s="319">
        <f>'02A_Debt Schedule'!T110</f>
        <v>0</v>
      </c>
      <c r="X84" s="319">
        <f>'02A_Debt Schedule'!U110</f>
        <v>0</v>
      </c>
      <c r="Y84" s="319">
        <f>'02A_Debt Schedule'!V110</f>
        <v>0</v>
      </c>
      <c r="Z84" s="319">
        <f>'02A_Debt Schedule'!W110</f>
        <v>0</v>
      </c>
    </row>
    <row r="85" spans="2:26">
      <c r="B85" s="50" t="str">
        <v>Newton Green</v>
      </c>
      <c r="F85" s="319">
        <f>'02A_Debt Schedule'!C120</f>
        <v>3142456.1840150002</v>
      </c>
      <c r="G85" s="319">
        <f>'02A_Debt Schedule'!D120</f>
        <v>2839579.85263127</v>
      </c>
      <c r="H85" s="319">
        <f>'02A_Debt Schedule'!E120</f>
        <v>2523180.0930512561</v>
      </c>
      <c r="I85" s="319">
        <f>'02A_Debt Schedule'!F120</f>
        <v>2192653.0842059948</v>
      </c>
      <c r="J85" s="319">
        <f>'02A_Debt Schedule'!G120</f>
        <v>1847368.0444157925</v>
      </c>
      <c r="K85" s="319">
        <f>'02A_Debt Schedule'!H120</f>
        <v>1486666.0275989575</v>
      </c>
      <c r="L85" s="319">
        <f>'02A_Debt Schedule'!I120</f>
        <v>1109858.665731251</v>
      </c>
      <c r="M85" s="319">
        <f>'02A_Debt Schedule'!J120</f>
        <v>716226.85515615134</v>
      </c>
      <c r="N85" s="319">
        <f>'02A_Debt Schedule'!K120</f>
        <v>305019.38423887349</v>
      </c>
      <c r="O85" s="319">
        <f>'02A_Debt Schedule'!L120</f>
        <v>0</v>
      </c>
      <c r="P85" s="319">
        <f>'02A_Debt Schedule'!M120</f>
        <v>5995538.0282111289</v>
      </c>
      <c r="Q85" s="319">
        <f>'02A_Debt Schedule'!N120</f>
        <v>5912559.4904620824</v>
      </c>
      <c r="R85" s="319">
        <f>'02A_Debt Schedule'!O120</f>
        <v>5826261.8112030737</v>
      </c>
      <c r="S85" s="319">
        <f>'02A_Debt Schedule'!P120</f>
        <v>5736512.224773705</v>
      </c>
      <c r="T85" s="319">
        <f>'02A_Debt Schedule'!Q120</f>
        <v>5643172.6548871612</v>
      </c>
      <c r="U85" s="319">
        <f>'02A_Debt Schedule'!R120</f>
        <v>5546099.5022051558</v>
      </c>
      <c r="V85" s="319">
        <f>'02A_Debt Schedule'!S120</f>
        <v>5445143.4234158704</v>
      </c>
      <c r="W85" s="319">
        <f>'02A_Debt Schedule'!T120</f>
        <v>5340149.1014750134</v>
      </c>
      <c r="X85" s="319">
        <f>'02A_Debt Schedule'!U120</f>
        <v>5230955.0066565219</v>
      </c>
      <c r="Y85" s="319">
        <f>'02A_Debt Schedule'!V120</f>
        <v>5117393.1480452912</v>
      </c>
      <c r="Z85" s="319">
        <f>'02A_Debt Schedule'!W120</f>
        <v>4999288.8150896113</v>
      </c>
    </row>
    <row r="86" spans="2:26">
      <c r="B86" s="50" t="str">
        <v>Rosemary Green</v>
      </c>
      <c r="F86" s="319">
        <f>'02A_Debt Schedule'!C130</f>
        <v>1733057.1785599999</v>
      </c>
      <c r="G86" s="319">
        <f>'02A_Debt Schedule'!D130</f>
        <v>1483504.2708454398</v>
      </c>
      <c r="H86" s="319">
        <f>'02A_Debt Schedule'!E130</f>
        <v>1227962.0933457303</v>
      </c>
      <c r="I86" s="319">
        <f>'02A_Debt Schedule'!F130</f>
        <v>966286.90358602779</v>
      </c>
      <c r="J86" s="319">
        <f>'02A_Debt Schedule'!G130</f>
        <v>698331.50927209249</v>
      </c>
      <c r="K86" s="319">
        <f>'02A_Debt Schedule'!H130</f>
        <v>423945.18549462268</v>
      </c>
      <c r="L86" s="319">
        <f>'02A_Debt Schedule'!I130</f>
        <v>142973.58994649362</v>
      </c>
      <c r="M86" s="319">
        <f>'02A_Debt Schedule'!J130</f>
        <v>0</v>
      </c>
      <c r="N86" s="319">
        <f>'02A_Debt Schedule'!K130</f>
        <v>0</v>
      </c>
      <c r="O86" s="319">
        <f>'02A_Debt Schedule'!L130</f>
        <v>0</v>
      </c>
      <c r="P86" s="319">
        <f>'02A_Debt Schedule'!M130</f>
        <v>0</v>
      </c>
      <c r="Q86" s="319">
        <f>'02A_Debt Schedule'!N130</f>
        <v>0</v>
      </c>
      <c r="R86" s="319">
        <f>'02A_Debt Schedule'!O130</f>
        <v>0</v>
      </c>
      <c r="S86" s="319">
        <f>'02A_Debt Schedule'!P130</f>
        <v>0</v>
      </c>
      <c r="T86" s="319">
        <f>'02A_Debt Schedule'!Q130</f>
        <v>0</v>
      </c>
      <c r="U86" s="319">
        <f>'02A_Debt Schedule'!R130</f>
        <v>0</v>
      </c>
      <c r="V86" s="319">
        <f>'02A_Debt Schedule'!S130</f>
        <v>0</v>
      </c>
      <c r="W86" s="319">
        <f>'02A_Debt Schedule'!T130</f>
        <v>0</v>
      </c>
      <c r="X86" s="319">
        <f>'02A_Debt Schedule'!U130</f>
        <v>0</v>
      </c>
      <c r="Y86" s="319">
        <f>'02A_Debt Schedule'!V130</f>
        <v>0</v>
      </c>
      <c r="Z86" s="319">
        <f>'02A_Debt Schedule'!W130</f>
        <v>0</v>
      </c>
    </row>
    <row r="87" spans="2:26">
      <c r="B87" s="50" t="str">
        <v>1656 Adanac Street</v>
      </c>
      <c r="F87" s="319">
        <f>'02A_Debt Schedule'!C140</f>
        <v>38933495.872188725</v>
      </c>
      <c r="G87" s="319">
        <f>'02A_Debt Schedule'!D140</f>
        <v>38566174.058625944</v>
      </c>
      <c r="H87" s="319">
        <f>'02A_Debt Schedule'!E140</f>
        <v>38182322.763452835</v>
      </c>
      <c r="I87" s="319">
        <f>'02A_Debt Schedule'!F140</f>
        <v>37781198.159996934</v>
      </c>
      <c r="J87" s="319">
        <f>'02A_Debt Schedule'!G140</f>
        <v>14963759.107883796</v>
      </c>
      <c r="K87" s="319">
        <f>'02A_Debt Schedule'!H140</f>
        <v>14756659.954453582</v>
      </c>
      <c r="L87" s="319">
        <f>'02A_Debt Schedule'!I140</f>
        <v>14541276.83488616</v>
      </c>
      <c r="M87" s="319">
        <f>'02A_Debt Schedule'!J140</f>
        <v>14317278.39053604</v>
      </c>
      <c r="N87" s="319">
        <f>'02A_Debt Schedule'!K140</f>
        <v>14084320.008411916</v>
      </c>
      <c r="O87" s="319">
        <f>'02A_Debt Schedule'!L140</f>
        <v>13842043.291002827</v>
      </c>
      <c r="P87" s="319">
        <f>'02A_Debt Schedule'!M140</f>
        <v>13590075.504897375</v>
      </c>
      <c r="Q87" s="319">
        <f>'02A_Debt Schedule'!N140</f>
        <v>13328029.007347705</v>
      </c>
      <c r="R87" s="319">
        <f>'02A_Debt Schedule'!O140</f>
        <v>13055500.649896048</v>
      </c>
      <c r="S87" s="319">
        <f>'02A_Debt Schedule'!P140</f>
        <v>12772071.158146325</v>
      </c>
      <c r="T87" s="319">
        <f>'02A_Debt Schedule'!Q140</f>
        <v>12477304.486726614</v>
      </c>
      <c r="U87" s="319">
        <f>'02A_Debt Schedule'!R140</f>
        <v>12170747.148450114</v>
      </c>
      <c r="V87" s="319">
        <f>'02A_Debt Schedule'!S140</f>
        <v>11851927.516642554</v>
      </c>
      <c r="W87" s="319">
        <f>'02A_Debt Schedule'!T140</f>
        <v>11520355.09956269</v>
      </c>
      <c r="X87" s="319">
        <f>'02A_Debt Schedule'!U140</f>
        <v>11175519.785799632</v>
      </c>
      <c r="Y87" s="319">
        <f>'02A_Debt Schedule'!V140</f>
        <v>10816891.059486052</v>
      </c>
      <c r="Z87" s="319">
        <f>'02A_Debt Schedule'!W140</f>
        <v>10443917.184119929</v>
      </c>
    </row>
    <row r="88" spans="2:26">
      <c r="B88" s="50" t="str">
        <v>450 Pacific Street</v>
      </c>
      <c r="F88" s="319">
        <f>'02A_Debt Schedule'!C150</f>
        <v>36525238.395558491</v>
      </c>
      <c r="G88" s="319">
        <f>'02A_Debt Schedule'!D150</f>
        <v>36180637.518917114</v>
      </c>
      <c r="H88" s="319">
        <f>'02A_Debt Schedule'!E150</f>
        <v>35820529.602826878</v>
      </c>
      <c r="I88" s="319">
        <f>'02A_Debt Schedule'!F150</f>
        <v>35444216.830512583</v>
      </c>
      <c r="J88" s="319">
        <f>'02A_Debt Schedule'!G150</f>
        <v>12397099.880392337</v>
      </c>
      <c r="K88" s="319">
        <f>'02A_Debt Schedule'!H150</f>
        <v>12225523.415433984</v>
      </c>
      <c r="L88" s="319">
        <f>'02A_Debt Schedule'!I150</f>
        <v>12047083.891877297</v>
      </c>
      <c r="M88" s="319">
        <f>'02A_Debt Schedule'!J150</f>
        <v>11861506.787378343</v>
      </c>
      <c r="N88" s="319">
        <f>'02A_Debt Schedule'!K150</f>
        <v>11668506.59869943</v>
      </c>
      <c r="O88" s="319">
        <f>'02A_Debt Schedule'!L150</f>
        <v>11467786.40247336</v>
      </c>
      <c r="P88" s="319">
        <f>'02A_Debt Schedule'!M150</f>
        <v>11259037.398398248</v>
      </c>
      <c r="Q88" s="319">
        <f>'02A_Debt Schedule'!N150</f>
        <v>11041938.434160132</v>
      </c>
      <c r="R88" s="319">
        <f>'02A_Debt Schedule'!O150</f>
        <v>10816155.511352491</v>
      </c>
      <c r="S88" s="319">
        <f>'02A_Debt Schedule'!P150</f>
        <v>10581341.271632545</v>
      </c>
      <c r="T88" s="319">
        <f>'02A_Debt Schedule'!Q150</f>
        <v>10337134.4623238</v>
      </c>
      <c r="U88" s="319">
        <f>'02A_Debt Schedule'!R150</f>
        <v>10083159.380642705</v>
      </c>
      <c r="V88" s="319">
        <f>'02A_Debt Schedule'!S150</f>
        <v>9819025.2956943661</v>
      </c>
      <c r="W88" s="319">
        <f>'02A_Debt Schedule'!T150</f>
        <v>9544325.847348094</v>
      </c>
      <c r="X88" s="319">
        <f>'02A_Debt Schedule'!U150</f>
        <v>9258638.4210679717</v>
      </c>
      <c r="Y88" s="319">
        <f>'02A_Debt Schedule'!V150</f>
        <v>8961523.497736644</v>
      </c>
      <c r="Z88" s="319">
        <f>'02A_Debt Schedule'!W150</f>
        <v>8652523.9774720632</v>
      </c>
    </row>
    <row r="89" spans="2:26">
      <c r="B89" s="50" t="str">
        <v>The Creek, Port Moody</v>
      </c>
      <c r="F89" s="319">
        <f>'02A_Debt Schedule'!C160</f>
        <v>131651408.7224526</v>
      </c>
      <c r="G89" s="319">
        <f>'02A_Debt Schedule'!D160</f>
        <v>130409330.83741556</v>
      </c>
      <c r="H89" s="319">
        <f>'02A_Debt Schedule'!E160</f>
        <v>129111359.44755185</v>
      </c>
      <c r="I89" s="319">
        <f>'02A_Debt Schedule'!F160</f>
        <v>57893212.716976032</v>
      </c>
      <c r="J89" s="319">
        <f>'02A_Debt Schedule'!G160</f>
        <v>57091967.838827454</v>
      </c>
      <c r="K89" s="319">
        <f>'02A_Debt Schedule'!H160</f>
        <v>56258673.165552936</v>
      </c>
      <c r="L89" s="319">
        <f>'02A_Debt Schedule'!I160</f>
        <v>55392046.705347434</v>
      </c>
      <c r="M89" s="319">
        <f>'02A_Debt Schedule'!J160</f>
        <v>54490755.186733715</v>
      </c>
      <c r="N89" s="319">
        <f>'02A_Debt Schedule'!K160</f>
        <v>53553412.007375449</v>
      </c>
      <c r="O89" s="319">
        <f>'02A_Debt Schedule'!L160</f>
        <v>52578575.100842848</v>
      </c>
      <c r="P89" s="319">
        <f>'02A_Debt Schedule'!M160</f>
        <v>51564744.718048945</v>
      </c>
      <c r="Q89" s="319">
        <f>'02A_Debt Schedule'!N160</f>
        <v>50510361.119943283</v>
      </c>
      <c r="R89" s="319">
        <f>'02A_Debt Schedule'!O160</f>
        <v>49413802.177913398</v>
      </c>
      <c r="S89" s="319">
        <f>'02A_Debt Schedule'!P160</f>
        <v>48273380.878202319</v>
      </c>
      <c r="T89" s="319">
        <f>'02A_Debt Schedule'!Q160</f>
        <v>47087342.726502791</v>
      </c>
      <c r="U89" s="319">
        <f>'02A_Debt Schedule'!R160</f>
        <v>45853863.048735283</v>
      </c>
      <c r="V89" s="319">
        <f>'02A_Debt Schedule'!S160</f>
        <v>44571044.183857076</v>
      </c>
      <c r="W89" s="319">
        <f>'02A_Debt Schedule'!T160</f>
        <v>43236912.564383738</v>
      </c>
      <c r="X89" s="319">
        <f>'02A_Debt Schedule'!U160</f>
        <v>41849415.680131473</v>
      </c>
      <c r="Y89" s="319">
        <f>'02A_Debt Schedule'!V160</f>
        <v>40406418.920509115</v>
      </c>
      <c r="Z89" s="319">
        <f>'02A_Debt Schedule'!W160</f>
        <v>38905702.290501863</v>
      </c>
    </row>
    <row r="90" spans="2:26">
      <c r="B90" s="50" t="str">
        <v>800 Commercial Drive</v>
      </c>
      <c r="F90" s="319">
        <f>'02A_Debt Schedule'!C170</f>
        <v>37327990.887768567</v>
      </c>
      <c r="G90" s="319">
        <f>'02A_Debt Schedule'!D170</f>
        <v>36975816.365486726</v>
      </c>
      <c r="H90" s="319">
        <f>'02A_Debt Schedule'!E170</f>
        <v>36607793.989702202</v>
      </c>
      <c r="I90" s="319">
        <f>'02A_Debt Schedule'!F170</f>
        <v>36223210.607007369</v>
      </c>
      <c r="J90" s="319">
        <f>'02A_Debt Schedule'!G170</f>
        <v>35821320.972091272</v>
      </c>
      <c r="K90" s="319">
        <f>'02A_Debt Schedule'!H170</f>
        <v>18193803.803231146</v>
      </c>
      <c r="L90" s="319">
        <f>'02A_Debt Schedule'!I170</f>
        <v>17942000.674207278</v>
      </c>
      <c r="M90" s="319">
        <f>'02A_Debt Schedule'!J170</f>
        <v>17680125.420022454</v>
      </c>
      <c r="N90" s="319">
        <f>'02A_Debt Schedule'!K170</f>
        <v>17407775.155670237</v>
      </c>
      <c r="O90" s="319">
        <f>'02A_Debt Schedule'!L170</f>
        <v>17124530.880743932</v>
      </c>
      <c r="P90" s="319">
        <f>'02A_Debt Schedule'!M170</f>
        <v>16829956.834820572</v>
      </c>
      <c r="Q90" s="319">
        <f>'02A_Debt Schedule'!N170</f>
        <v>16523599.82706028</v>
      </c>
      <c r="R90" s="319">
        <f>'02A_Debt Schedule'!O170</f>
        <v>16204988.538989576</v>
      </c>
      <c r="S90" s="319">
        <f>'02A_Debt Schedule'!P170</f>
        <v>15873632.799396044</v>
      </c>
      <c r="T90" s="319">
        <f>'02A_Debt Schedule'!Q170</f>
        <v>15529022.83021877</v>
      </c>
      <c r="U90" s="319">
        <f>'02A_Debt Schedule'!R170</f>
        <v>15170628.462274404</v>
      </c>
      <c r="V90" s="319">
        <f>'02A_Debt Schedule'!S170</f>
        <v>14797898.319612265</v>
      </c>
      <c r="W90" s="319">
        <f>'02A_Debt Schedule'!T170</f>
        <v>14410258.97124364</v>
      </c>
      <c r="X90" s="319">
        <f>'02A_Debt Schedule'!U170</f>
        <v>14007114.048940271</v>
      </c>
      <c r="Y90" s="319">
        <f>'02A_Debt Schedule'!V170</f>
        <v>13587843.329744766</v>
      </c>
      <c r="Z90" s="319">
        <f>'02A_Debt Schedule'!W170</f>
        <v>13151801.781781441</v>
      </c>
    </row>
    <row r="96" spans="2:26" ht="13.5" customHeight="1">
      <c r="B96" s="24"/>
      <c r="C96" s="24"/>
      <c r="D96" s="24"/>
      <c r="E96" s="24"/>
      <c r="F96" s="24"/>
      <c r="G96" s="24"/>
      <c r="H96" s="24"/>
      <c r="I96" s="24"/>
      <c r="J96" s="24"/>
      <c r="K96" s="24"/>
      <c r="L96" s="24"/>
      <c r="M96" s="24"/>
      <c r="N96" s="24"/>
      <c r="O96" s="24"/>
      <c r="P96" s="24"/>
      <c r="Q96" s="24"/>
      <c r="R96" s="24"/>
      <c r="S96" s="24"/>
      <c r="T96" s="24"/>
      <c r="U96" s="24"/>
      <c r="V96" s="24"/>
      <c r="W96" s="24"/>
      <c r="X96" s="24"/>
      <c r="Y96" s="24"/>
    </row>
    <row r="97" spans="2:26" ht="13.5" customHeight="1"/>
    <row r="100" spans="2:26" ht="15">
      <c r="F100" s="448" t="s">
        <v>527</v>
      </c>
      <c r="G100" s="427"/>
      <c r="H100" s="427"/>
      <c r="I100" s="427"/>
      <c r="J100" s="427"/>
      <c r="K100" s="427"/>
      <c r="L100" s="427"/>
      <c r="M100" s="427"/>
      <c r="N100" s="427"/>
      <c r="O100" s="427"/>
      <c r="P100" s="427"/>
      <c r="Q100" s="427"/>
      <c r="R100" s="427"/>
      <c r="S100" s="427"/>
      <c r="T100" s="427"/>
      <c r="U100" s="427"/>
      <c r="V100" s="427"/>
      <c r="W100" s="427"/>
      <c r="X100" s="427"/>
      <c r="Y100" s="427"/>
      <c r="Z100" s="427"/>
    </row>
    <row r="101" spans="2:26">
      <c r="B101" s="145" t="s">
        <v>80</v>
      </c>
      <c r="C101" s="13"/>
      <c r="D101" s="13"/>
      <c r="E101" s="144"/>
      <c r="F101" s="147">
        <v>2025</v>
      </c>
      <c r="G101" s="323">
        <f t="shared" ref="G101:Z101" si="13">F101+1</f>
        <v>2026</v>
      </c>
      <c r="H101" s="323">
        <f t="shared" si="13"/>
        <v>2027</v>
      </c>
      <c r="I101" s="323">
        <f t="shared" si="13"/>
        <v>2028</v>
      </c>
      <c r="J101" s="323">
        <f t="shared" si="13"/>
        <v>2029</v>
      </c>
      <c r="K101" s="323">
        <f t="shared" si="13"/>
        <v>2030</v>
      </c>
      <c r="L101" s="323">
        <f t="shared" si="13"/>
        <v>2031</v>
      </c>
      <c r="M101" s="323">
        <f t="shared" si="13"/>
        <v>2032</v>
      </c>
      <c r="N101" s="323">
        <f t="shared" si="13"/>
        <v>2033</v>
      </c>
      <c r="O101" s="323">
        <f t="shared" si="13"/>
        <v>2034</v>
      </c>
      <c r="P101" s="323">
        <f t="shared" si="13"/>
        <v>2035</v>
      </c>
      <c r="Q101" s="323">
        <f t="shared" si="13"/>
        <v>2036</v>
      </c>
      <c r="R101" s="323">
        <f t="shared" si="13"/>
        <v>2037</v>
      </c>
      <c r="S101" s="323">
        <f t="shared" si="13"/>
        <v>2038</v>
      </c>
      <c r="T101" s="323">
        <f t="shared" si="13"/>
        <v>2039</v>
      </c>
      <c r="U101" s="323">
        <f t="shared" si="13"/>
        <v>2040</v>
      </c>
      <c r="V101" s="323">
        <f t="shared" si="13"/>
        <v>2041</v>
      </c>
      <c r="W101" s="323">
        <f t="shared" si="13"/>
        <v>2042</v>
      </c>
      <c r="X101" s="323">
        <f t="shared" si="13"/>
        <v>2043</v>
      </c>
      <c r="Y101" s="323">
        <f t="shared" si="13"/>
        <v>2044</v>
      </c>
      <c r="Z101" s="323">
        <f t="shared" si="13"/>
        <v>2045</v>
      </c>
    </row>
    <row r="102" spans="2:26">
      <c r="B102" s="50" t="str">
        <f t="array" ref="B102:B118">_xlfn.UNIQUE('01_Property Summary'!$C$5:$C$21)</f>
        <v>Alma Blackwell</v>
      </c>
      <c r="F102" s="319">
        <f>'02A_Debt Schedule'!C11</f>
        <v>0</v>
      </c>
      <c r="G102" s="319">
        <f>'02A_Debt Schedule'!D11</f>
        <v>0</v>
      </c>
      <c r="H102" s="319">
        <f>'02A_Debt Schedule'!E11</f>
        <v>0</v>
      </c>
      <c r="I102" s="319">
        <f>'02A_Debt Schedule'!F11</f>
        <v>0</v>
      </c>
      <c r="J102" s="319">
        <f>'02A_Debt Schedule'!G11</f>
        <v>0</v>
      </c>
      <c r="K102" s="319">
        <f>'02A_Debt Schedule'!H11</f>
        <v>0</v>
      </c>
      <c r="L102" s="319">
        <f>'02A_Debt Schedule'!I11</f>
        <v>0</v>
      </c>
      <c r="M102" s="319">
        <f>'02A_Debt Schedule'!J11</f>
        <v>0</v>
      </c>
      <c r="N102" s="319">
        <f>'02A_Debt Schedule'!K11</f>
        <v>0</v>
      </c>
      <c r="O102" s="319">
        <f>'02A_Debt Schedule'!L11</f>
        <v>0</v>
      </c>
      <c r="P102" s="319">
        <f>'02A_Debt Schedule'!M11</f>
        <v>0</v>
      </c>
      <c r="Q102" s="319">
        <f>'02A_Debt Schedule'!N11</f>
        <v>0</v>
      </c>
      <c r="R102" s="319">
        <f>'02A_Debt Schedule'!O11</f>
        <v>0</v>
      </c>
      <c r="S102" s="319">
        <f>'02A_Debt Schedule'!P11</f>
        <v>0</v>
      </c>
      <c r="T102" s="319">
        <f>'02A_Debt Schedule'!Q11</f>
        <v>0</v>
      </c>
      <c r="U102" s="319">
        <f>'02A_Debt Schedule'!R11</f>
        <v>0</v>
      </c>
      <c r="V102" s="319">
        <f>'02A_Debt Schedule'!S11</f>
        <v>0</v>
      </c>
      <c r="W102" s="319">
        <f>'02A_Debt Schedule'!T11</f>
        <v>0</v>
      </c>
      <c r="X102" s="319">
        <f>'02A_Debt Schedule'!U11</f>
        <v>0</v>
      </c>
      <c r="Y102" s="319">
        <f>'02A_Debt Schedule'!V11</f>
        <v>0</v>
      </c>
      <c r="Z102" s="319">
        <f>'02A_Debt Schedule'!W11</f>
        <v>0</v>
      </c>
    </row>
    <row r="103" spans="2:26">
      <c r="B103" s="50" t="str">
        <v>Antkiw Court</v>
      </c>
      <c r="F103" s="319">
        <f>'02A_Debt Schedule'!C21</f>
        <v>0</v>
      </c>
      <c r="G103" s="319">
        <f>'02A_Debt Schedule'!D21</f>
        <v>0</v>
      </c>
      <c r="H103" s="319">
        <f>'02A_Debt Schedule'!E21</f>
        <v>0</v>
      </c>
      <c r="I103" s="319">
        <f>'02A_Debt Schedule'!F21</f>
        <v>0</v>
      </c>
      <c r="J103" s="319">
        <f>'02A_Debt Schedule'!G21</f>
        <v>0</v>
      </c>
      <c r="K103" s="319">
        <f>'02A_Debt Schedule'!H21</f>
        <v>0</v>
      </c>
      <c r="L103" s="319">
        <f>'02A_Debt Schedule'!I21</f>
        <v>0</v>
      </c>
      <c r="M103" s="319">
        <f>'02A_Debt Schedule'!J21</f>
        <v>0</v>
      </c>
      <c r="N103" s="319">
        <f>'02A_Debt Schedule'!K21</f>
        <v>0</v>
      </c>
      <c r="O103" s="319">
        <f>'02A_Debt Schedule'!L21</f>
        <v>0</v>
      </c>
      <c r="P103" s="319">
        <f>'02A_Debt Schedule'!M21</f>
        <v>0</v>
      </c>
      <c r="Q103" s="319">
        <f>'02A_Debt Schedule'!N21</f>
        <v>0</v>
      </c>
      <c r="R103" s="319">
        <f>'02A_Debt Schedule'!O21</f>
        <v>0</v>
      </c>
      <c r="S103" s="319">
        <f>'02A_Debt Schedule'!P21</f>
        <v>0</v>
      </c>
      <c r="T103" s="319">
        <f>'02A_Debt Schedule'!Q21</f>
        <v>0</v>
      </c>
      <c r="U103" s="319">
        <f>'02A_Debt Schedule'!R21</f>
        <v>0</v>
      </c>
      <c r="V103" s="319">
        <f>'02A_Debt Schedule'!S21</f>
        <v>0</v>
      </c>
      <c r="W103" s="319">
        <f>'02A_Debt Schedule'!T21</f>
        <v>0</v>
      </c>
      <c r="X103" s="319">
        <f>'02A_Debt Schedule'!U21</f>
        <v>0</v>
      </c>
      <c r="Y103" s="319">
        <f>'02A_Debt Schedule'!V21</f>
        <v>0</v>
      </c>
      <c r="Z103" s="319">
        <f>'02A_Debt Schedule'!W21</f>
        <v>0</v>
      </c>
    </row>
    <row r="104" spans="2:26">
      <c r="B104" s="50" t="str">
        <v>Beatrice Terrace</v>
      </c>
      <c r="F104" s="319">
        <f>'02A_Debt Schedule'!C31</f>
        <v>0</v>
      </c>
      <c r="G104" s="319">
        <f>'02A_Debt Schedule'!D31</f>
        <v>0</v>
      </c>
      <c r="H104" s="319">
        <f>'02A_Debt Schedule'!E31</f>
        <v>0</v>
      </c>
      <c r="I104" s="319">
        <f>'02A_Debt Schedule'!F31</f>
        <v>0</v>
      </c>
      <c r="J104" s="319">
        <f>'02A_Debt Schedule'!G31</f>
        <v>0</v>
      </c>
      <c r="K104" s="319">
        <f>'02A_Debt Schedule'!H31</f>
        <v>0</v>
      </c>
      <c r="L104" s="319">
        <f>'02A_Debt Schedule'!I31</f>
        <v>0</v>
      </c>
      <c r="M104" s="319">
        <f>'02A_Debt Schedule'!J31</f>
        <v>0</v>
      </c>
      <c r="N104" s="319">
        <f>'02A_Debt Schedule'!K31</f>
        <v>0</v>
      </c>
      <c r="O104" s="319">
        <f>'02A_Debt Schedule'!L31</f>
        <v>0</v>
      </c>
      <c r="P104" s="319">
        <f>'02A_Debt Schedule'!M31</f>
        <v>0</v>
      </c>
      <c r="Q104" s="319">
        <f>'02A_Debt Schedule'!N31</f>
        <v>0</v>
      </c>
      <c r="R104" s="319">
        <f>'02A_Debt Schedule'!O31</f>
        <v>0</v>
      </c>
      <c r="S104" s="319">
        <f>'02A_Debt Schedule'!P31</f>
        <v>0</v>
      </c>
      <c r="T104" s="319">
        <f>'02A_Debt Schedule'!Q31</f>
        <v>0</v>
      </c>
      <c r="U104" s="319">
        <f>'02A_Debt Schedule'!R31</f>
        <v>0</v>
      </c>
      <c r="V104" s="319">
        <f>'02A_Debt Schedule'!S31</f>
        <v>0</v>
      </c>
      <c r="W104" s="319">
        <f>'02A_Debt Schedule'!T31</f>
        <v>0</v>
      </c>
      <c r="X104" s="319">
        <f>'02A_Debt Schedule'!U31</f>
        <v>0</v>
      </c>
      <c r="Y104" s="319">
        <f>'02A_Debt Schedule'!V31</f>
        <v>0</v>
      </c>
      <c r="Z104" s="319">
        <f>'02A_Debt Schedule'!W31</f>
        <v>0</v>
      </c>
    </row>
    <row r="105" spans="2:26">
      <c r="B105" s="50" t="str">
        <v>Capilano House</v>
      </c>
      <c r="F105" s="319">
        <f>'02A_Debt Schedule'!C41</f>
        <v>0</v>
      </c>
      <c r="G105" s="319">
        <f>'02A_Debt Schedule'!D41</f>
        <v>0</v>
      </c>
      <c r="H105" s="319">
        <f>'02A_Debt Schedule'!E41</f>
        <v>0</v>
      </c>
      <c r="I105" s="319">
        <f>'02A_Debt Schedule'!F41</f>
        <v>0</v>
      </c>
      <c r="J105" s="319">
        <f>'02A_Debt Schedule'!G41</f>
        <v>0</v>
      </c>
      <c r="K105" s="319">
        <f>'02A_Debt Schedule'!H41</f>
        <v>0</v>
      </c>
      <c r="L105" s="319">
        <f>'02A_Debt Schedule'!I41</f>
        <v>0</v>
      </c>
      <c r="M105" s="319">
        <f>'02A_Debt Schedule'!J41</f>
        <v>0</v>
      </c>
      <c r="N105" s="319">
        <f>'02A_Debt Schedule'!K41</f>
        <v>0</v>
      </c>
      <c r="O105" s="319">
        <f>'02A_Debt Schedule'!L41</f>
        <v>0</v>
      </c>
      <c r="P105" s="319">
        <f>'02A_Debt Schedule'!M41</f>
        <v>0</v>
      </c>
      <c r="Q105" s="319">
        <f>'02A_Debt Schedule'!N41</f>
        <v>0</v>
      </c>
      <c r="R105" s="319">
        <f>'02A_Debt Schedule'!O41</f>
        <v>0</v>
      </c>
      <c r="S105" s="319">
        <f>'02A_Debt Schedule'!P41</f>
        <v>0</v>
      </c>
      <c r="T105" s="319">
        <f>'02A_Debt Schedule'!Q41</f>
        <v>0</v>
      </c>
      <c r="U105" s="319">
        <f>'02A_Debt Schedule'!R41</f>
        <v>0</v>
      </c>
      <c r="V105" s="319">
        <f>'02A_Debt Schedule'!S41</f>
        <v>0</v>
      </c>
      <c r="W105" s="319">
        <f>'02A_Debt Schedule'!T41</f>
        <v>0</v>
      </c>
      <c r="X105" s="319">
        <f>'02A_Debt Schedule'!U41</f>
        <v>0</v>
      </c>
      <c r="Y105" s="319">
        <f>'02A_Debt Schedule'!V41</f>
        <v>0</v>
      </c>
      <c r="Z105" s="319">
        <f>'02A_Debt Schedule'!W41</f>
        <v>0</v>
      </c>
    </row>
    <row r="106" spans="2:26">
      <c r="B106" s="50" t="str">
        <v>Constance Court</v>
      </c>
      <c r="F106" s="319">
        <f>'02A_Debt Schedule'!C51</f>
        <v>0</v>
      </c>
      <c r="G106" s="319">
        <f>'02A_Debt Schedule'!D51</f>
        <v>0</v>
      </c>
      <c r="H106" s="319">
        <f>'02A_Debt Schedule'!E51</f>
        <v>0</v>
      </c>
      <c r="I106" s="319">
        <f>'02A_Debt Schedule'!F51</f>
        <v>0</v>
      </c>
      <c r="J106" s="319">
        <f>'02A_Debt Schedule'!G51</f>
        <v>0</v>
      </c>
      <c r="K106" s="319">
        <f>'02A_Debt Schedule'!H51</f>
        <v>0</v>
      </c>
      <c r="L106" s="319">
        <f>'02A_Debt Schedule'!I51</f>
        <v>0</v>
      </c>
      <c r="M106" s="319">
        <f>'02A_Debt Schedule'!J51</f>
        <v>0</v>
      </c>
      <c r="N106" s="319">
        <f>'02A_Debt Schedule'!K51</f>
        <v>0</v>
      </c>
      <c r="O106" s="319">
        <f>'02A_Debt Schedule'!L51</f>
        <v>0</v>
      </c>
      <c r="P106" s="319">
        <f>'02A_Debt Schedule'!M51</f>
        <v>0</v>
      </c>
      <c r="Q106" s="319">
        <f>'02A_Debt Schedule'!N51</f>
        <v>0</v>
      </c>
      <c r="R106" s="319">
        <f>'02A_Debt Schedule'!O51</f>
        <v>0</v>
      </c>
      <c r="S106" s="319">
        <f>'02A_Debt Schedule'!P51</f>
        <v>0</v>
      </c>
      <c r="T106" s="319">
        <f>'02A_Debt Schedule'!Q51</f>
        <v>0</v>
      </c>
      <c r="U106" s="319">
        <f>'02A_Debt Schedule'!R51</f>
        <v>0</v>
      </c>
      <c r="V106" s="319">
        <f>'02A_Debt Schedule'!S51</f>
        <v>0</v>
      </c>
      <c r="W106" s="319">
        <f>'02A_Debt Schedule'!T51</f>
        <v>0</v>
      </c>
      <c r="X106" s="319">
        <f>'02A_Debt Schedule'!U51</f>
        <v>0</v>
      </c>
      <c r="Y106" s="319">
        <f>'02A_Debt Schedule'!V51</f>
        <v>0</v>
      </c>
      <c r="Z106" s="319">
        <f>'02A_Debt Schedule'!W51</f>
        <v>0</v>
      </c>
    </row>
    <row r="107" spans="2:26">
      <c r="B107" s="50" t="str">
        <v>Evergreen Apartments</v>
      </c>
      <c r="F107" s="319">
        <f>'02A_Debt Schedule'!C61</f>
        <v>0</v>
      </c>
      <c r="G107" s="319">
        <f>'02A_Debt Schedule'!D61</f>
        <v>0</v>
      </c>
      <c r="H107" s="319">
        <f>'02A_Debt Schedule'!E61</f>
        <v>0</v>
      </c>
      <c r="I107" s="319">
        <f>'02A_Debt Schedule'!F61</f>
        <v>0</v>
      </c>
      <c r="J107" s="319">
        <f>'02A_Debt Schedule'!G61</f>
        <v>0</v>
      </c>
      <c r="K107" s="319">
        <f>'02A_Debt Schedule'!H61</f>
        <v>0</v>
      </c>
      <c r="L107" s="319">
        <f>'02A_Debt Schedule'!I61</f>
        <v>0</v>
      </c>
      <c r="M107" s="319">
        <f>'02A_Debt Schedule'!J61</f>
        <v>0</v>
      </c>
      <c r="N107" s="319">
        <f>'02A_Debt Schedule'!K61</f>
        <v>0</v>
      </c>
      <c r="O107" s="319">
        <f>'02A_Debt Schedule'!L61</f>
        <v>-4659801.6325927479</v>
      </c>
      <c r="P107" s="319">
        <f>'02A_Debt Schedule'!M61</f>
        <v>0</v>
      </c>
      <c r="Q107" s="319">
        <f>'02A_Debt Schedule'!N61</f>
        <v>0</v>
      </c>
      <c r="R107" s="319">
        <f>'02A_Debt Schedule'!O61</f>
        <v>0</v>
      </c>
      <c r="S107" s="319">
        <f>'02A_Debt Schedule'!P61</f>
        <v>0</v>
      </c>
      <c r="T107" s="319">
        <f>'02A_Debt Schedule'!Q61</f>
        <v>0</v>
      </c>
      <c r="U107" s="319">
        <f>'02A_Debt Schedule'!R61</f>
        <v>0</v>
      </c>
      <c r="V107" s="319">
        <f>'02A_Debt Schedule'!S61</f>
        <v>0</v>
      </c>
      <c r="W107" s="319">
        <f>'02A_Debt Schedule'!T61</f>
        <v>0</v>
      </c>
      <c r="X107" s="319">
        <f>'02A_Debt Schedule'!U61</f>
        <v>0</v>
      </c>
      <c r="Y107" s="319">
        <f>'02A_Debt Schedule'!V61</f>
        <v>0</v>
      </c>
      <c r="Z107" s="319">
        <f>'02A_Debt Schedule'!W61</f>
        <v>0</v>
      </c>
    </row>
    <row r="108" spans="2:26">
      <c r="B108" s="50" t="str">
        <v>Evelyn Estates</v>
      </c>
      <c r="F108" s="319">
        <f>'02A_Debt Schedule'!C71</f>
        <v>0</v>
      </c>
      <c r="G108" s="319">
        <f>'02A_Debt Schedule'!D71</f>
        <v>0</v>
      </c>
      <c r="H108" s="319">
        <f>'02A_Debt Schedule'!E71</f>
        <v>0</v>
      </c>
      <c r="I108" s="319">
        <f>'02A_Debt Schedule'!F71</f>
        <v>0</v>
      </c>
      <c r="J108" s="319">
        <f>'02A_Debt Schedule'!G71</f>
        <v>0</v>
      </c>
      <c r="K108" s="319">
        <f>'02A_Debt Schedule'!H71</f>
        <v>0</v>
      </c>
      <c r="L108" s="319">
        <f>'02A_Debt Schedule'!I71</f>
        <v>0</v>
      </c>
      <c r="M108" s="319">
        <f>'02A_Debt Schedule'!J71</f>
        <v>0</v>
      </c>
      <c r="N108" s="319">
        <f>'02A_Debt Schedule'!K71</f>
        <v>0</v>
      </c>
      <c r="O108" s="319">
        <f>'02A_Debt Schedule'!L71</f>
        <v>0</v>
      </c>
      <c r="P108" s="319">
        <f>'02A_Debt Schedule'!M71</f>
        <v>0</v>
      </c>
      <c r="Q108" s="319">
        <f>'02A_Debt Schedule'!N71</f>
        <v>0</v>
      </c>
      <c r="R108" s="319">
        <f>'02A_Debt Schedule'!O71</f>
        <v>0</v>
      </c>
      <c r="S108" s="319">
        <f>'02A_Debt Schedule'!P71</f>
        <v>0</v>
      </c>
      <c r="T108" s="319">
        <f>'02A_Debt Schedule'!Q71</f>
        <v>0</v>
      </c>
      <c r="U108" s="319">
        <f>'02A_Debt Schedule'!R71</f>
        <v>0</v>
      </c>
      <c r="V108" s="319">
        <f>'02A_Debt Schedule'!S71</f>
        <v>0</v>
      </c>
      <c r="W108" s="319">
        <f>'02A_Debt Schedule'!T71</f>
        <v>0</v>
      </c>
      <c r="X108" s="319">
        <f>'02A_Debt Schedule'!U71</f>
        <v>0</v>
      </c>
      <c r="Y108" s="319">
        <f>'02A_Debt Schedule'!V71</f>
        <v>0</v>
      </c>
      <c r="Z108" s="319">
        <f>'02A_Debt Schedule'!W71</f>
        <v>0</v>
      </c>
    </row>
    <row r="109" spans="2:26">
      <c r="B109" s="50" t="str">
        <v>Jessica Place</v>
      </c>
      <c r="F109" s="319">
        <f>'02A_Debt Schedule'!C81</f>
        <v>0</v>
      </c>
      <c r="G109" s="319">
        <f>'02A_Debt Schedule'!D81</f>
        <v>0</v>
      </c>
      <c r="H109" s="319">
        <f>'02A_Debt Schedule'!E81</f>
        <v>0</v>
      </c>
      <c r="I109" s="319">
        <f>'02A_Debt Schedule'!F81</f>
        <v>0</v>
      </c>
      <c r="J109" s="319">
        <f>'02A_Debt Schedule'!G81</f>
        <v>0</v>
      </c>
      <c r="K109" s="319">
        <f>'02A_Debt Schedule'!H81</f>
        <v>0</v>
      </c>
      <c r="L109" s="319">
        <f>'02A_Debt Schedule'!I81</f>
        <v>0</v>
      </c>
      <c r="M109" s="319">
        <f>'02A_Debt Schedule'!J81</f>
        <v>0</v>
      </c>
      <c r="N109" s="319">
        <f>'02A_Debt Schedule'!K81</f>
        <v>0</v>
      </c>
      <c r="O109" s="319">
        <f>'02A_Debt Schedule'!L81</f>
        <v>0</v>
      </c>
      <c r="P109" s="319">
        <f>'02A_Debt Schedule'!M81</f>
        <v>0</v>
      </c>
      <c r="Q109" s="319">
        <f>'02A_Debt Schedule'!N81</f>
        <v>0</v>
      </c>
      <c r="R109" s="319">
        <f>'02A_Debt Schedule'!O81</f>
        <v>0</v>
      </c>
      <c r="S109" s="319">
        <f>'02A_Debt Schedule'!P81</f>
        <v>0</v>
      </c>
      <c r="T109" s="319">
        <f>'02A_Debt Schedule'!Q81</f>
        <v>0</v>
      </c>
      <c r="U109" s="319">
        <f>'02A_Debt Schedule'!R81</f>
        <v>0</v>
      </c>
      <c r="V109" s="319">
        <f>'02A_Debt Schedule'!S81</f>
        <v>0</v>
      </c>
      <c r="W109" s="319">
        <f>'02A_Debt Schedule'!T81</f>
        <v>0</v>
      </c>
      <c r="X109" s="319">
        <f>'02A_Debt Schedule'!U81</f>
        <v>0</v>
      </c>
      <c r="Y109" s="319">
        <f>'02A_Debt Schedule'!V81</f>
        <v>0</v>
      </c>
      <c r="Z109" s="319">
        <f>'02A_Debt Schedule'!W81</f>
        <v>0</v>
      </c>
    </row>
    <row r="110" spans="2:26">
      <c r="B110" s="50" t="str">
        <v>Margaret Heights</v>
      </c>
      <c r="F110" s="319">
        <f>'02A_Debt Schedule'!C91</f>
        <v>0</v>
      </c>
      <c r="G110" s="319">
        <f>'02A_Debt Schedule'!D91</f>
        <v>0</v>
      </c>
      <c r="H110" s="319">
        <f>'02A_Debt Schedule'!E91</f>
        <v>0</v>
      </c>
      <c r="I110" s="319">
        <f>'02A_Debt Schedule'!F91</f>
        <v>0</v>
      </c>
      <c r="J110" s="319">
        <f>'02A_Debt Schedule'!G91</f>
        <v>0</v>
      </c>
      <c r="K110" s="319">
        <f>'02A_Debt Schedule'!H91</f>
        <v>0</v>
      </c>
      <c r="L110" s="319">
        <f>'02A_Debt Schedule'!I91</f>
        <v>0</v>
      </c>
      <c r="M110" s="319">
        <f>'02A_Debt Schedule'!J91</f>
        <v>0</v>
      </c>
      <c r="N110" s="319">
        <f>'02A_Debt Schedule'!K91</f>
        <v>0</v>
      </c>
      <c r="O110" s="319">
        <f>'02A_Debt Schedule'!L91</f>
        <v>0</v>
      </c>
      <c r="P110" s="319">
        <f>'02A_Debt Schedule'!M91</f>
        <v>0</v>
      </c>
      <c r="Q110" s="319">
        <f>'02A_Debt Schedule'!N91</f>
        <v>0</v>
      </c>
      <c r="R110" s="319">
        <f>'02A_Debt Schedule'!O91</f>
        <v>0</v>
      </c>
      <c r="S110" s="319">
        <f>'02A_Debt Schedule'!P91</f>
        <v>0</v>
      </c>
      <c r="T110" s="319">
        <f>'02A_Debt Schedule'!Q91</f>
        <v>0</v>
      </c>
      <c r="U110" s="319">
        <f>'02A_Debt Schedule'!R91</f>
        <v>0</v>
      </c>
      <c r="V110" s="319">
        <f>'02A_Debt Schedule'!S91</f>
        <v>0</v>
      </c>
      <c r="W110" s="319">
        <f>'02A_Debt Schedule'!T91</f>
        <v>0</v>
      </c>
      <c r="X110" s="319">
        <f>'02A_Debt Schedule'!U91</f>
        <v>0</v>
      </c>
      <c r="Y110" s="319">
        <f>'02A_Debt Schedule'!V91</f>
        <v>0</v>
      </c>
      <c r="Z110" s="319">
        <f>'02A_Debt Schedule'!W91</f>
        <v>0</v>
      </c>
    </row>
    <row r="111" spans="2:26">
      <c r="B111" s="50" t="str">
        <v>Murray Manor</v>
      </c>
      <c r="F111" s="319">
        <f>'02A_Debt Schedule'!C101</f>
        <v>0</v>
      </c>
      <c r="G111" s="319">
        <f>'02A_Debt Schedule'!D101</f>
        <v>0</v>
      </c>
      <c r="H111" s="319">
        <f>'02A_Debt Schedule'!E101</f>
        <v>0</v>
      </c>
      <c r="I111" s="319">
        <f>'02A_Debt Schedule'!F101</f>
        <v>0</v>
      </c>
      <c r="J111" s="319">
        <f>'02A_Debt Schedule'!G101</f>
        <v>0</v>
      </c>
      <c r="K111" s="319">
        <f>'02A_Debt Schedule'!H101</f>
        <v>0</v>
      </c>
      <c r="L111" s="319">
        <f>'02A_Debt Schedule'!I101</f>
        <v>0</v>
      </c>
      <c r="M111" s="319">
        <f>'02A_Debt Schedule'!J101</f>
        <v>0</v>
      </c>
      <c r="N111" s="319">
        <f>'02A_Debt Schedule'!K101</f>
        <v>0</v>
      </c>
      <c r="O111" s="319">
        <f>'02A_Debt Schedule'!L101</f>
        <v>-4249057.3927905457</v>
      </c>
      <c r="P111" s="319">
        <f>'02A_Debt Schedule'!M101</f>
        <v>0</v>
      </c>
      <c r="Q111" s="319">
        <f>'02A_Debt Schedule'!N101</f>
        <v>0</v>
      </c>
      <c r="R111" s="319">
        <f>'02A_Debt Schedule'!O101</f>
        <v>0</v>
      </c>
      <c r="S111" s="319">
        <f>'02A_Debt Schedule'!P101</f>
        <v>0</v>
      </c>
      <c r="T111" s="319">
        <f>'02A_Debt Schedule'!Q101</f>
        <v>0</v>
      </c>
      <c r="U111" s="319">
        <f>'02A_Debt Schedule'!R101</f>
        <v>0</v>
      </c>
      <c r="V111" s="319">
        <f>'02A_Debt Schedule'!S101</f>
        <v>0</v>
      </c>
      <c r="W111" s="319">
        <f>'02A_Debt Schedule'!T101</f>
        <v>0</v>
      </c>
      <c r="X111" s="319">
        <f>'02A_Debt Schedule'!U101</f>
        <v>0</v>
      </c>
      <c r="Y111" s="319">
        <f>'02A_Debt Schedule'!V101</f>
        <v>0</v>
      </c>
      <c r="Z111" s="319">
        <f>'02A_Debt Schedule'!W101</f>
        <v>0</v>
      </c>
    </row>
    <row r="112" spans="2:26">
      <c r="B112" s="50" t="str">
        <v>Natalia Terrace</v>
      </c>
      <c r="F112" s="319">
        <f>'02A_Debt Schedule'!C111</f>
        <v>0</v>
      </c>
      <c r="G112" s="319">
        <f>'02A_Debt Schedule'!D111</f>
        <v>0</v>
      </c>
      <c r="H112" s="319">
        <f>'02A_Debt Schedule'!E111</f>
        <v>0</v>
      </c>
      <c r="I112" s="319">
        <f>'02A_Debt Schedule'!F111</f>
        <v>0</v>
      </c>
      <c r="J112" s="319">
        <f>'02A_Debt Schedule'!G111</f>
        <v>0</v>
      </c>
      <c r="K112" s="319">
        <f>'02A_Debt Schedule'!H111</f>
        <v>0</v>
      </c>
      <c r="L112" s="319">
        <f>'02A_Debt Schedule'!I111</f>
        <v>0</v>
      </c>
      <c r="M112" s="319">
        <f>'02A_Debt Schedule'!J111</f>
        <v>0</v>
      </c>
      <c r="N112" s="319">
        <f>'02A_Debt Schedule'!K111</f>
        <v>0</v>
      </c>
      <c r="O112" s="319">
        <f>'02A_Debt Schedule'!L111</f>
        <v>0</v>
      </c>
      <c r="P112" s="319">
        <f>'02A_Debt Schedule'!M111</f>
        <v>0</v>
      </c>
      <c r="Q112" s="319">
        <f>'02A_Debt Schedule'!N111</f>
        <v>0</v>
      </c>
      <c r="R112" s="319">
        <f>'02A_Debt Schedule'!O111</f>
        <v>0</v>
      </c>
      <c r="S112" s="319">
        <f>'02A_Debt Schedule'!P111</f>
        <v>0</v>
      </c>
      <c r="T112" s="319">
        <f>'02A_Debt Schedule'!Q111</f>
        <v>0</v>
      </c>
      <c r="U112" s="319">
        <f>'02A_Debt Schedule'!R111</f>
        <v>0</v>
      </c>
      <c r="V112" s="319">
        <f>'02A_Debt Schedule'!S111</f>
        <v>0</v>
      </c>
      <c r="W112" s="319">
        <f>'02A_Debt Schedule'!T111</f>
        <v>0</v>
      </c>
      <c r="X112" s="319">
        <f>'02A_Debt Schedule'!U111</f>
        <v>0</v>
      </c>
      <c r="Y112" s="319">
        <f>'02A_Debt Schedule'!V111</f>
        <v>0</v>
      </c>
      <c r="Z112" s="319">
        <f>'02A_Debt Schedule'!W111</f>
        <v>0</v>
      </c>
    </row>
    <row r="113" spans="2:26">
      <c r="B113" s="50" t="str">
        <v>Newton Green</v>
      </c>
      <c r="F113" s="319">
        <f>'02A_Debt Schedule'!C121</f>
        <v>0</v>
      </c>
      <c r="G113" s="319">
        <f>'02A_Debt Schedule'!D121</f>
        <v>0</v>
      </c>
      <c r="H113" s="319">
        <f>'02A_Debt Schedule'!E121</f>
        <v>0</v>
      </c>
      <c r="I113" s="319">
        <f>'02A_Debt Schedule'!F121</f>
        <v>0</v>
      </c>
      <c r="J113" s="319">
        <f>'02A_Debt Schedule'!G121</f>
        <v>0</v>
      </c>
      <c r="K113" s="319">
        <f>'02A_Debt Schedule'!H121</f>
        <v>0</v>
      </c>
      <c r="L113" s="319">
        <f>'02A_Debt Schedule'!I121</f>
        <v>0</v>
      </c>
      <c r="M113" s="319">
        <f>'02A_Debt Schedule'!J121</f>
        <v>0</v>
      </c>
      <c r="N113" s="319">
        <f>'02A_Debt Schedule'!K121</f>
        <v>0</v>
      </c>
      <c r="O113" s="319">
        <f>'02A_Debt Schedule'!L121</f>
        <v>0</v>
      </c>
      <c r="P113" s="319">
        <f>'02A_Debt Schedule'!M121</f>
        <v>0</v>
      </c>
      <c r="Q113" s="319">
        <f>'02A_Debt Schedule'!N121</f>
        <v>0</v>
      </c>
      <c r="R113" s="319">
        <f>'02A_Debt Schedule'!O121</f>
        <v>0</v>
      </c>
      <c r="S113" s="319">
        <f>'02A_Debt Schedule'!P121</f>
        <v>0</v>
      </c>
      <c r="T113" s="319">
        <f>'02A_Debt Schedule'!Q121</f>
        <v>0</v>
      </c>
      <c r="U113" s="319">
        <f>'02A_Debt Schedule'!R121</f>
        <v>0</v>
      </c>
      <c r="V113" s="319">
        <f>'02A_Debt Schedule'!S121</f>
        <v>0</v>
      </c>
      <c r="W113" s="319">
        <f>'02A_Debt Schedule'!T121</f>
        <v>0</v>
      </c>
      <c r="X113" s="319">
        <f>'02A_Debt Schedule'!U121</f>
        <v>0</v>
      </c>
      <c r="Y113" s="319">
        <f>'02A_Debt Schedule'!V121</f>
        <v>0</v>
      </c>
      <c r="Z113" s="319">
        <f>'02A_Debt Schedule'!W121</f>
        <v>0</v>
      </c>
    </row>
    <row r="114" spans="2:26">
      <c r="B114" s="50" t="str">
        <v>Rosemary Green</v>
      </c>
      <c r="F114" s="319">
        <f>'02A_Debt Schedule'!C131</f>
        <v>0</v>
      </c>
      <c r="G114" s="319">
        <f>'02A_Debt Schedule'!D131</f>
        <v>0</v>
      </c>
      <c r="H114" s="319">
        <f>'02A_Debt Schedule'!E131</f>
        <v>0</v>
      </c>
      <c r="I114" s="319">
        <f>'02A_Debt Schedule'!F131</f>
        <v>0</v>
      </c>
      <c r="J114" s="319">
        <f>'02A_Debt Schedule'!G131</f>
        <v>0</v>
      </c>
      <c r="K114" s="319">
        <f>'02A_Debt Schedule'!H131</f>
        <v>0</v>
      </c>
      <c r="L114" s="319">
        <f>'02A_Debt Schedule'!I131</f>
        <v>0</v>
      </c>
      <c r="M114" s="319">
        <f>'02A_Debt Schedule'!J131</f>
        <v>0</v>
      </c>
      <c r="N114" s="319">
        <f>'02A_Debt Schedule'!K131</f>
        <v>0</v>
      </c>
      <c r="O114" s="319">
        <f>'02A_Debt Schedule'!L131</f>
        <v>0</v>
      </c>
      <c r="P114" s="319">
        <f>'02A_Debt Schedule'!M131</f>
        <v>0</v>
      </c>
      <c r="Q114" s="319">
        <f>'02A_Debt Schedule'!N131</f>
        <v>0</v>
      </c>
      <c r="R114" s="319">
        <f>'02A_Debt Schedule'!O131</f>
        <v>0</v>
      </c>
      <c r="S114" s="319">
        <f>'02A_Debt Schedule'!P131</f>
        <v>0</v>
      </c>
      <c r="T114" s="319">
        <f>'02A_Debt Schedule'!Q131</f>
        <v>0</v>
      </c>
      <c r="U114" s="319">
        <f>'02A_Debt Schedule'!R131</f>
        <v>0</v>
      </c>
      <c r="V114" s="319">
        <f>'02A_Debt Schedule'!S131</f>
        <v>0</v>
      </c>
      <c r="W114" s="319">
        <f>'02A_Debt Schedule'!T131</f>
        <v>0</v>
      </c>
      <c r="X114" s="319">
        <f>'02A_Debt Schedule'!U131</f>
        <v>0</v>
      </c>
      <c r="Y114" s="319">
        <f>'02A_Debt Schedule'!V131</f>
        <v>0</v>
      </c>
      <c r="Z114" s="319">
        <f>'02A_Debt Schedule'!W131</f>
        <v>0</v>
      </c>
    </row>
    <row r="115" spans="2:26">
      <c r="B115" s="50" t="str">
        <v>1656 Adanac Street</v>
      </c>
      <c r="F115" s="319">
        <f>'02A_Debt Schedule'!C141</f>
        <v>0</v>
      </c>
      <c r="G115" s="319">
        <f>'02A_Debt Schedule'!D141</f>
        <v>0</v>
      </c>
      <c r="H115" s="319">
        <f>'02A_Debt Schedule'!E141</f>
        <v>0</v>
      </c>
      <c r="I115" s="319">
        <f>'02A_Debt Schedule'!F141</f>
        <v>-37781198.159996934</v>
      </c>
      <c r="J115" s="319">
        <f>'02A_Debt Schedule'!G141</f>
        <v>0</v>
      </c>
      <c r="K115" s="319">
        <f>'02A_Debt Schedule'!H141</f>
        <v>0</v>
      </c>
      <c r="L115" s="319">
        <f>'02A_Debt Schedule'!I141</f>
        <v>0</v>
      </c>
      <c r="M115" s="319">
        <f>'02A_Debt Schedule'!J141</f>
        <v>0</v>
      </c>
      <c r="N115" s="319">
        <f>'02A_Debt Schedule'!K141</f>
        <v>0</v>
      </c>
      <c r="O115" s="319">
        <f>'02A_Debt Schedule'!L141</f>
        <v>0</v>
      </c>
      <c r="P115" s="319">
        <f>'02A_Debt Schedule'!M141</f>
        <v>0</v>
      </c>
      <c r="Q115" s="319">
        <f>'02A_Debt Schedule'!N141</f>
        <v>0</v>
      </c>
      <c r="R115" s="319">
        <f>'02A_Debt Schedule'!O141</f>
        <v>0</v>
      </c>
      <c r="S115" s="319">
        <f>'02A_Debt Schedule'!P141</f>
        <v>0</v>
      </c>
      <c r="T115" s="319">
        <f>'02A_Debt Schedule'!Q141</f>
        <v>0</v>
      </c>
      <c r="U115" s="319">
        <f>'02A_Debt Schedule'!R141</f>
        <v>0</v>
      </c>
      <c r="V115" s="319">
        <f>'02A_Debt Schedule'!S141</f>
        <v>0</v>
      </c>
      <c r="W115" s="319">
        <f>'02A_Debt Schedule'!T141</f>
        <v>0</v>
      </c>
      <c r="X115" s="319">
        <f>'02A_Debt Schedule'!U141</f>
        <v>0</v>
      </c>
      <c r="Y115" s="319">
        <f>'02A_Debt Schedule'!V141</f>
        <v>0</v>
      </c>
      <c r="Z115" s="319">
        <f>'02A_Debt Schedule'!W141</f>
        <v>0</v>
      </c>
    </row>
    <row r="116" spans="2:26">
      <c r="B116" s="50" t="str">
        <v>450 Pacific Street</v>
      </c>
      <c r="F116" s="319">
        <f>'02A_Debt Schedule'!C151</f>
        <v>0</v>
      </c>
      <c r="G116" s="319">
        <f>'02A_Debt Schedule'!D151</f>
        <v>0</v>
      </c>
      <c r="H116" s="319">
        <f>'02A_Debt Schedule'!E151</f>
        <v>0</v>
      </c>
      <c r="I116" s="319">
        <f>'02A_Debt Schedule'!F151</f>
        <v>-35444216.830512583</v>
      </c>
      <c r="J116" s="319">
        <f>'02A_Debt Schedule'!G151</f>
        <v>0</v>
      </c>
      <c r="K116" s="319">
        <f>'02A_Debt Schedule'!H151</f>
        <v>0</v>
      </c>
      <c r="L116" s="319">
        <f>'02A_Debt Schedule'!I151</f>
        <v>0</v>
      </c>
      <c r="M116" s="319">
        <f>'02A_Debt Schedule'!J151</f>
        <v>0</v>
      </c>
      <c r="N116" s="319">
        <f>'02A_Debt Schedule'!K151</f>
        <v>0</v>
      </c>
      <c r="O116" s="319">
        <f>'02A_Debt Schedule'!L151</f>
        <v>0</v>
      </c>
      <c r="P116" s="319">
        <f>'02A_Debt Schedule'!M151</f>
        <v>0</v>
      </c>
      <c r="Q116" s="319">
        <f>'02A_Debt Schedule'!N151</f>
        <v>0</v>
      </c>
      <c r="R116" s="319">
        <f>'02A_Debt Schedule'!O151</f>
        <v>0</v>
      </c>
      <c r="S116" s="319">
        <f>'02A_Debt Schedule'!P151</f>
        <v>0</v>
      </c>
      <c r="T116" s="319">
        <f>'02A_Debt Schedule'!Q151</f>
        <v>0</v>
      </c>
      <c r="U116" s="319">
        <f>'02A_Debt Schedule'!R151</f>
        <v>0</v>
      </c>
      <c r="V116" s="319">
        <f>'02A_Debt Schedule'!S151</f>
        <v>0</v>
      </c>
      <c r="W116" s="319">
        <f>'02A_Debt Schedule'!T151</f>
        <v>0</v>
      </c>
      <c r="X116" s="319">
        <f>'02A_Debt Schedule'!U151</f>
        <v>0</v>
      </c>
      <c r="Y116" s="319">
        <f>'02A_Debt Schedule'!V151</f>
        <v>0</v>
      </c>
      <c r="Z116" s="319">
        <f>'02A_Debt Schedule'!W151</f>
        <v>0</v>
      </c>
    </row>
    <row r="117" spans="2:26">
      <c r="B117" s="50" t="str">
        <v>The Creek, Port Moody</v>
      </c>
      <c r="F117" s="319">
        <f>'02A_Debt Schedule'!C161</f>
        <v>0</v>
      </c>
      <c r="G117" s="319">
        <f>'02A_Debt Schedule'!D161</f>
        <v>0</v>
      </c>
      <c r="H117" s="319">
        <f>'02A_Debt Schedule'!E161</f>
        <v>-129111359.44755185</v>
      </c>
      <c r="I117" s="319">
        <f>'02A_Debt Schedule'!F161</f>
        <v>0</v>
      </c>
      <c r="J117" s="319">
        <f>'02A_Debt Schedule'!G161</f>
        <v>0</v>
      </c>
      <c r="K117" s="319">
        <f>'02A_Debt Schedule'!H161</f>
        <v>0</v>
      </c>
      <c r="L117" s="319">
        <f>'02A_Debt Schedule'!I161</f>
        <v>0</v>
      </c>
      <c r="M117" s="319">
        <f>'02A_Debt Schedule'!J161</f>
        <v>0</v>
      </c>
      <c r="N117" s="319">
        <f>'02A_Debt Schedule'!K161</f>
        <v>0</v>
      </c>
      <c r="O117" s="319">
        <f>'02A_Debt Schedule'!L161</f>
        <v>0</v>
      </c>
      <c r="P117" s="319">
        <f>'02A_Debt Schedule'!M161</f>
        <v>0</v>
      </c>
      <c r="Q117" s="319">
        <f>'02A_Debt Schedule'!N161</f>
        <v>0</v>
      </c>
      <c r="R117" s="319">
        <f>'02A_Debt Schedule'!O161</f>
        <v>0</v>
      </c>
      <c r="S117" s="319">
        <f>'02A_Debt Schedule'!P161</f>
        <v>0</v>
      </c>
      <c r="T117" s="319">
        <f>'02A_Debt Schedule'!Q161</f>
        <v>0</v>
      </c>
      <c r="U117" s="319">
        <f>'02A_Debt Schedule'!R161</f>
        <v>0</v>
      </c>
      <c r="V117" s="319">
        <f>'02A_Debt Schedule'!S161</f>
        <v>0</v>
      </c>
      <c r="W117" s="319">
        <f>'02A_Debt Schedule'!T161</f>
        <v>0</v>
      </c>
      <c r="X117" s="319">
        <f>'02A_Debt Schedule'!U161</f>
        <v>0</v>
      </c>
      <c r="Y117" s="319">
        <f>'02A_Debt Schedule'!V161</f>
        <v>0</v>
      </c>
      <c r="Z117" s="319">
        <f>'02A_Debt Schedule'!W161</f>
        <v>0</v>
      </c>
    </row>
    <row r="118" spans="2:26">
      <c r="B118" s="50" t="str">
        <v>800 Commercial Drive</v>
      </c>
      <c r="F118" s="319">
        <f>'02A_Debt Schedule'!C171</f>
        <v>0</v>
      </c>
      <c r="G118" s="319">
        <f>'02A_Debt Schedule'!D171</f>
        <v>0</v>
      </c>
      <c r="H118" s="319">
        <f>'02A_Debt Schedule'!E171</f>
        <v>0</v>
      </c>
      <c r="I118" s="319">
        <f>'02A_Debt Schedule'!F171</f>
        <v>0</v>
      </c>
      <c r="J118" s="319">
        <f>'02A_Debt Schedule'!G171</f>
        <v>-35821320.972091272</v>
      </c>
      <c r="K118" s="319">
        <f>'02A_Debt Schedule'!H171</f>
        <v>0</v>
      </c>
      <c r="L118" s="319">
        <f>'02A_Debt Schedule'!I171</f>
        <v>0</v>
      </c>
      <c r="M118" s="319">
        <f>'02A_Debt Schedule'!J171</f>
        <v>0</v>
      </c>
      <c r="N118" s="319">
        <f>'02A_Debt Schedule'!K171</f>
        <v>0</v>
      </c>
      <c r="O118" s="319">
        <f>'02A_Debt Schedule'!L171</f>
        <v>0</v>
      </c>
      <c r="P118" s="319">
        <f>'02A_Debt Schedule'!M171</f>
        <v>0</v>
      </c>
      <c r="Q118" s="319">
        <f>'02A_Debt Schedule'!N171</f>
        <v>0</v>
      </c>
      <c r="R118" s="319">
        <f>'02A_Debt Schedule'!O171</f>
        <v>0</v>
      </c>
      <c r="S118" s="319">
        <f>'02A_Debt Schedule'!P171</f>
        <v>0</v>
      </c>
      <c r="T118" s="319">
        <f>'02A_Debt Schedule'!Q171</f>
        <v>0</v>
      </c>
      <c r="U118" s="319">
        <f>'02A_Debt Schedule'!R171</f>
        <v>0</v>
      </c>
      <c r="V118" s="319">
        <f>'02A_Debt Schedule'!S171</f>
        <v>0</v>
      </c>
      <c r="W118" s="319">
        <f>'02A_Debt Schedule'!T171</f>
        <v>0</v>
      </c>
      <c r="X118" s="319">
        <f>'02A_Debt Schedule'!U171</f>
        <v>0</v>
      </c>
      <c r="Y118" s="319">
        <f>'02A_Debt Schedule'!V171</f>
        <v>0</v>
      </c>
      <c r="Z118" s="319">
        <f>'02A_Debt Schedule'!W171</f>
        <v>0</v>
      </c>
    </row>
    <row r="124" spans="2:26" ht="13.5" customHeight="1">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row>
    <row r="125" spans="2:26" ht="13.5" customHeight="1"/>
    <row r="128" spans="2:26" ht="15">
      <c r="F128" s="439" t="s">
        <v>528</v>
      </c>
      <c r="G128" s="427"/>
      <c r="H128" s="427"/>
      <c r="I128" s="427"/>
      <c r="J128" s="427"/>
      <c r="K128" s="427"/>
      <c r="L128" s="427"/>
      <c r="M128" s="427"/>
      <c r="N128" s="427"/>
      <c r="O128" s="427"/>
      <c r="P128" s="427"/>
      <c r="Q128" s="427"/>
      <c r="R128" s="427"/>
      <c r="S128" s="427"/>
      <c r="T128" s="427"/>
      <c r="U128" s="427"/>
      <c r="V128" s="427"/>
      <c r="W128" s="427"/>
      <c r="X128" s="427"/>
      <c r="Y128" s="427"/>
      <c r="Z128" s="427"/>
    </row>
    <row r="129" spans="2:26">
      <c r="B129" s="145" t="s">
        <v>80</v>
      </c>
      <c r="C129" s="13"/>
      <c r="D129" s="13"/>
      <c r="E129" s="144"/>
      <c r="F129" s="148">
        <v>2025</v>
      </c>
      <c r="G129" s="324">
        <f t="shared" ref="G129:Z129" si="14">F129+1</f>
        <v>2026</v>
      </c>
      <c r="H129" s="324">
        <f t="shared" si="14"/>
        <v>2027</v>
      </c>
      <c r="I129" s="324">
        <f t="shared" si="14"/>
        <v>2028</v>
      </c>
      <c r="J129" s="324">
        <f t="shared" si="14"/>
        <v>2029</v>
      </c>
      <c r="K129" s="324">
        <f t="shared" si="14"/>
        <v>2030</v>
      </c>
      <c r="L129" s="324">
        <f t="shared" si="14"/>
        <v>2031</v>
      </c>
      <c r="M129" s="324">
        <f t="shared" si="14"/>
        <v>2032</v>
      </c>
      <c r="N129" s="324">
        <f t="shared" si="14"/>
        <v>2033</v>
      </c>
      <c r="O129" s="324">
        <f t="shared" si="14"/>
        <v>2034</v>
      </c>
      <c r="P129" s="324">
        <f t="shared" si="14"/>
        <v>2035</v>
      </c>
      <c r="Q129" s="324">
        <f t="shared" si="14"/>
        <v>2036</v>
      </c>
      <c r="R129" s="324">
        <f t="shared" si="14"/>
        <v>2037</v>
      </c>
      <c r="S129" s="324">
        <f t="shared" si="14"/>
        <v>2038</v>
      </c>
      <c r="T129" s="324">
        <f t="shared" si="14"/>
        <v>2039</v>
      </c>
      <c r="U129" s="324">
        <f t="shared" si="14"/>
        <v>2040</v>
      </c>
      <c r="V129" s="324">
        <f t="shared" si="14"/>
        <v>2041</v>
      </c>
      <c r="W129" s="324">
        <f t="shared" si="14"/>
        <v>2042</v>
      </c>
      <c r="X129" s="324">
        <f t="shared" si="14"/>
        <v>2043</v>
      </c>
      <c r="Y129" s="324">
        <f t="shared" si="14"/>
        <v>2044</v>
      </c>
      <c r="Z129" s="324">
        <f t="shared" si="14"/>
        <v>2045</v>
      </c>
    </row>
    <row r="130" spans="2:26">
      <c r="B130" s="50" t="str">
        <f t="array" ref="B130:B146">_xlfn.UNIQUE('01_Property Summary'!$C$5:$C$21)</f>
        <v>Alma Blackwell</v>
      </c>
      <c r="F130" s="319">
        <f>'02A_Debt Schedule'!C12</f>
        <v>0</v>
      </c>
      <c r="G130" s="319">
        <f>'02A_Debt Schedule'!D12</f>
        <v>0</v>
      </c>
      <c r="H130" s="319">
        <f>'02A_Debt Schedule'!E12</f>
        <v>0</v>
      </c>
      <c r="I130" s="319">
        <f>'02A_Debt Schedule'!F12</f>
        <v>0</v>
      </c>
      <c r="J130" s="319">
        <f>'02A_Debt Schedule'!G12</f>
        <v>0</v>
      </c>
      <c r="K130" s="319">
        <f>'02A_Debt Schedule'!H12</f>
        <v>0</v>
      </c>
      <c r="L130" s="319">
        <f>'02A_Debt Schedule'!I12</f>
        <v>0</v>
      </c>
      <c r="M130" s="319">
        <f>'02A_Debt Schedule'!J12</f>
        <v>0</v>
      </c>
      <c r="N130" s="319">
        <f>'02A_Debt Schedule'!K12</f>
        <v>0</v>
      </c>
      <c r="O130" s="319">
        <f>'02A_Debt Schedule'!L12</f>
        <v>0</v>
      </c>
      <c r="P130" s="319">
        <f>'02A_Debt Schedule'!M12</f>
        <v>0</v>
      </c>
      <c r="Q130" s="319">
        <f>'02A_Debt Schedule'!N12</f>
        <v>0</v>
      </c>
      <c r="R130" s="319">
        <f>'02A_Debt Schedule'!O12</f>
        <v>0</v>
      </c>
      <c r="S130" s="319">
        <f>'02A_Debt Schedule'!P12</f>
        <v>0</v>
      </c>
      <c r="T130" s="319">
        <f>'02A_Debt Schedule'!Q12</f>
        <v>0</v>
      </c>
      <c r="U130" s="319">
        <f>'02A_Debt Schedule'!R12</f>
        <v>0</v>
      </c>
      <c r="V130" s="319">
        <f>'02A_Debt Schedule'!S12</f>
        <v>0</v>
      </c>
      <c r="W130" s="319">
        <f>'02A_Debt Schedule'!T12</f>
        <v>0</v>
      </c>
      <c r="X130" s="319">
        <f>'02A_Debt Schedule'!U12</f>
        <v>0</v>
      </c>
      <c r="Y130" s="319">
        <f>'02A_Debt Schedule'!V12</f>
        <v>0</v>
      </c>
      <c r="Z130" s="319">
        <f>'02A_Debt Schedule'!W12</f>
        <v>0</v>
      </c>
    </row>
    <row r="131" spans="2:26">
      <c r="B131" s="50" t="str">
        <v>Antkiw Court</v>
      </c>
      <c r="F131" s="319">
        <f>'02A_Debt Schedule'!C22</f>
        <v>0</v>
      </c>
      <c r="G131" s="319">
        <f>'02A_Debt Schedule'!D22</f>
        <v>0</v>
      </c>
      <c r="H131" s="319">
        <f>'02A_Debt Schedule'!E22</f>
        <v>0</v>
      </c>
      <c r="I131" s="319">
        <f>'02A_Debt Schedule'!F22</f>
        <v>0</v>
      </c>
      <c r="J131" s="319">
        <f>'02A_Debt Schedule'!G22</f>
        <v>0</v>
      </c>
      <c r="K131" s="319">
        <f>'02A_Debt Schedule'!H22</f>
        <v>0</v>
      </c>
      <c r="L131" s="319">
        <f>'02A_Debt Schedule'!I22</f>
        <v>0</v>
      </c>
      <c r="M131" s="319">
        <f>'02A_Debt Schedule'!J22</f>
        <v>0</v>
      </c>
      <c r="N131" s="319">
        <f>'02A_Debt Schedule'!K22</f>
        <v>0</v>
      </c>
      <c r="O131" s="319">
        <f>'02A_Debt Schedule'!L22</f>
        <v>0</v>
      </c>
      <c r="P131" s="319">
        <f>'02A_Debt Schedule'!M22</f>
        <v>0</v>
      </c>
      <c r="Q131" s="319">
        <f>'02A_Debt Schedule'!N22</f>
        <v>0</v>
      </c>
      <c r="R131" s="319">
        <f>'02A_Debt Schedule'!O22</f>
        <v>0</v>
      </c>
      <c r="S131" s="319">
        <f>'02A_Debt Schedule'!P22</f>
        <v>0</v>
      </c>
      <c r="T131" s="319">
        <f>'02A_Debt Schedule'!Q22</f>
        <v>0</v>
      </c>
      <c r="U131" s="319">
        <f>'02A_Debt Schedule'!R22</f>
        <v>0</v>
      </c>
      <c r="V131" s="319">
        <f>'02A_Debt Schedule'!S22</f>
        <v>0</v>
      </c>
      <c r="W131" s="319">
        <f>'02A_Debt Schedule'!T22</f>
        <v>0</v>
      </c>
      <c r="X131" s="319">
        <f>'02A_Debt Schedule'!U22</f>
        <v>0</v>
      </c>
      <c r="Y131" s="319">
        <f>'02A_Debt Schedule'!V22</f>
        <v>0</v>
      </c>
      <c r="Z131" s="319">
        <f>'02A_Debt Schedule'!W22</f>
        <v>0</v>
      </c>
    </row>
    <row r="132" spans="2:26">
      <c r="B132" s="50" t="str">
        <v>Beatrice Terrace</v>
      </c>
      <c r="F132" s="319">
        <f>'02A_Debt Schedule'!C32</f>
        <v>0</v>
      </c>
      <c r="G132" s="319">
        <f>'02A_Debt Schedule'!D32</f>
        <v>0</v>
      </c>
      <c r="H132" s="319">
        <f>'02A_Debt Schedule'!E32</f>
        <v>0</v>
      </c>
      <c r="I132" s="319">
        <f>'02A_Debt Schedule'!F32</f>
        <v>0</v>
      </c>
      <c r="J132" s="319">
        <f>'02A_Debt Schedule'!G32</f>
        <v>0</v>
      </c>
      <c r="K132" s="319">
        <f>'02A_Debt Schedule'!H32</f>
        <v>0</v>
      </c>
      <c r="L132" s="319">
        <f>'02A_Debt Schedule'!I32</f>
        <v>0</v>
      </c>
      <c r="M132" s="319">
        <f>'02A_Debt Schedule'!J32</f>
        <v>0</v>
      </c>
      <c r="N132" s="319">
        <f>'02A_Debt Schedule'!K32</f>
        <v>0</v>
      </c>
      <c r="O132" s="319">
        <f>'02A_Debt Schedule'!L32</f>
        <v>0</v>
      </c>
      <c r="P132" s="319">
        <f>'02A_Debt Schedule'!M32</f>
        <v>0</v>
      </c>
      <c r="Q132" s="319">
        <f>'02A_Debt Schedule'!N32</f>
        <v>0</v>
      </c>
      <c r="R132" s="319">
        <f>'02A_Debt Schedule'!O32</f>
        <v>0</v>
      </c>
      <c r="S132" s="319">
        <f>'02A_Debt Schedule'!P32</f>
        <v>0</v>
      </c>
      <c r="T132" s="319">
        <f>'02A_Debt Schedule'!Q32</f>
        <v>0</v>
      </c>
      <c r="U132" s="319">
        <f>'02A_Debt Schedule'!R32</f>
        <v>0</v>
      </c>
      <c r="V132" s="319">
        <f>'02A_Debt Schedule'!S32</f>
        <v>0</v>
      </c>
      <c r="W132" s="319">
        <f>'02A_Debt Schedule'!T32</f>
        <v>0</v>
      </c>
      <c r="X132" s="319">
        <f>'02A_Debt Schedule'!U32</f>
        <v>0</v>
      </c>
      <c r="Y132" s="319">
        <f>'02A_Debt Schedule'!V32</f>
        <v>0</v>
      </c>
      <c r="Z132" s="319">
        <f>'02A_Debt Schedule'!W32</f>
        <v>0</v>
      </c>
    </row>
    <row r="133" spans="2:26">
      <c r="B133" s="50" t="str">
        <v>Capilano House</v>
      </c>
      <c r="F133" s="319">
        <f>'02A_Debt Schedule'!C42</f>
        <v>0</v>
      </c>
      <c r="G133" s="319">
        <f>'02A_Debt Schedule'!D42</f>
        <v>0</v>
      </c>
      <c r="H133" s="319">
        <f>'02A_Debt Schedule'!E42</f>
        <v>0</v>
      </c>
      <c r="I133" s="319">
        <f>'02A_Debt Schedule'!F42</f>
        <v>0</v>
      </c>
      <c r="J133" s="319">
        <f>'02A_Debt Schedule'!G42</f>
        <v>0</v>
      </c>
      <c r="K133" s="319">
        <f>'02A_Debt Schedule'!H42</f>
        <v>0</v>
      </c>
      <c r="L133" s="319">
        <f>'02A_Debt Schedule'!I42</f>
        <v>0</v>
      </c>
      <c r="M133" s="319">
        <f>'02A_Debt Schedule'!J42</f>
        <v>0</v>
      </c>
      <c r="N133" s="319">
        <f>'02A_Debt Schedule'!K42</f>
        <v>0</v>
      </c>
      <c r="O133" s="319">
        <f>'02A_Debt Schedule'!L42</f>
        <v>0</v>
      </c>
      <c r="P133" s="319">
        <f>'02A_Debt Schedule'!M42</f>
        <v>0</v>
      </c>
      <c r="Q133" s="319">
        <f>'02A_Debt Schedule'!N42</f>
        <v>0</v>
      </c>
      <c r="R133" s="319">
        <f>'02A_Debt Schedule'!O42</f>
        <v>0</v>
      </c>
      <c r="S133" s="319">
        <f>'02A_Debt Schedule'!P42</f>
        <v>0</v>
      </c>
      <c r="T133" s="319">
        <f>'02A_Debt Schedule'!Q42</f>
        <v>0</v>
      </c>
      <c r="U133" s="319">
        <f>'02A_Debt Schedule'!R42</f>
        <v>0</v>
      </c>
      <c r="V133" s="319">
        <f>'02A_Debt Schedule'!S42</f>
        <v>0</v>
      </c>
      <c r="W133" s="319">
        <f>'02A_Debt Schedule'!T42</f>
        <v>0</v>
      </c>
      <c r="X133" s="319">
        <f>'02A_Debt Schedule'!U42</f>
        <v>0</v>
      </c>
      <c r="Y133" s="319">
        <f>'02A_Debt Schedule'!V42</f>
        <v>0</v>
      </c>
      <c r="Z133" s="319">
        <f>'02A_Debt Schedule'!W42</f>
        <v>0</v>
      </c>
    </row>
    <row r="134" spans="2:26">
      <c r="B134" s="50" t="str">
        <v>Constance Court</v>
      </c>
      <c r="F134" s="319">
        <f>'02A_Debt Schedule'!C52</f>
        <v>0</v>
      </c>
      <c r="G134" s="319">
        <f>'02A_Debt Schedule'!D52</f>
        <v>0</v>
      </c>
      <c r="H134" s="319">
        <f>'02A_Debt Schedule'!E52</f>
        <v>0</v>
      </c>
      <c r="I134" s="319">
        <f>'02A_Debt Schedule'!F52</f>
        <v>0</v>
      </c>
      <c r="J134" s="319">
        <f>'02A_Debt Schedule'!G52</f>
        <v>0</v>
      </c>
      <c r="K134" s="319">
        <f>'02A_Debt Schedule'!H52</f>
        <v>0</v>
      </c>
      <c r="L134" s="319">
        <f>'02A_Debt Schedule'!I52</f>
        <v>0</v>
      </c>
      <c r="M134" s="319">
        <f>'02A_Debt Schedule'!J52</f>
        <v>0</v>
      </c>
      <c r="N134" s="319">
        <f>'02A_Debt Schedule'!K52</f>
        <v>0</v>
      </c>
      <c r="O134" s="319">
        <f>'02A_Debt Schedule'!L52</f>
        <v>0</v>
      </c>
      <c r="P134" s="319">
        <f>'02A_Debt Schedule'!M52</f>
        <v>0</v>
      </c>
      <c r="Q134" s="319">
        <f>'02A_Debt Schedule'!N52</f>
        <v>0</v>
      </c>
      <c r="R134" s="319">
        <f>'02A_Debt Schedule'!O52</f>
        <v>0</v>
      </c>
      <c r="S134" s="319">
        <f>'02A_Debt Schedule'!P52</f>
        <v>0</v>
      </c>
      <c r="T134" s="319">
        <f>'02A_Debt Schedule'!Q52</f>
        <v>0</v>
      </c>
      <c r="U134" s="319">
        <f>'02A_Debt Schedule'!R52</f>
        <v>0</v>
      </c>
      <c r="V134" s="319">
        <f>'02A_Debt Schedule'!S52</f>
        <v>0</v>
      </c>
      <c r="W134" s="319">
        <f>'02A_Debt Schedule'!T52</f>
        <v>0</v>
      </c>
      <c r="X134" s="319">
        <f>'02A_Debt Schedule'!U52</f>
        <v>0</v>
      </c>
      <c r="Y134" s="319">
        <f>'02A_Debt Schedule'!V52</f>
        <v>0</v>
      </c>
      <c r="Z134" s="319">
        <f>'02A_Debt Schedule'!W52</f>
        <v>0</v>
      </c>
    </row>
    <row r="135" spans="2:26">
      <c r="B135" s="50" t="str">
        <v>Evergreen Apartments</v>
      </c>
      <c r="F135" s="319">
        <f>'02A_Debt Schedule'!C62</f>
        <v>0</v>
      </c>
      <c r="G135" s="319">
        <f>'02A_Debt Schedule'!D62</f>
        <v>0</v>
      </c>
      <c r="H135" s="319">
        <f>'02A_Debt Schedule'!E62</f>
        <v>0</v>
      </c>
      <c r="I135" s="319">
        <f>'02A_Debt Schedule'!F62</f>
        <v>0</v>
      </c>
      <c r="J135" s="319">
        <f>'02A_Debt Schedule'!G62</f>
        <v>0</v>
      </c>
      <c r="K135" s="319">
        <f>'02A_Debt Schedule'!H62</f>
        <v>0</v>
      </c>
      <c r="L135" s="319">
        <f>'02A_Debt Schedule'!I62</f>
        <v>0</v>
      </c>
      <c r="M135" s="319">
        <f>'02A_Debt Schedule'!J62</f>
        <v>0</v>
      </c>
      <c r="N135" s="319">
        <f>'02A_Debt Schedule'!K62</f>
        <v>0</v>
      </c>
      <c r="O135" s="319">
        <f>'02A_Debt Schedule'!L62</f>
        <v>7482831.9236620506</v>
      </c>
      <c r="P135" s="319">
        <f>'02A_Debt Schedule'!M62</f>
        <v>0</v>
      </c>
      <c r="Q135" s="319">
        <f>'02A_Debt Schedule'!N62</f>
        <v>0</v>
      </c>
      <c r="R135" s="319">
        <f>'02A_Debt Schedule'!O62</f>
        <v>0</v>
      </c>
      <c r="S135" s="319">
        <f>'02A_Debt Schedule'!P62</f>
        <v>0</v>
      </c>
      <c r="T135" s="319">
        <f>'02A_Debt Schedule'!Q62</f>
        <v>0</v>
      </c>
      <c r="U135" s="319">
        <f>'02A_Debt Schedule'!R62</f>
        <v>0</v>
      </c>
      <c r="V135" s="319">
        <f>'02A_Debt Schedule'!S62</f>
        <v>0</v>
      </c>
      <c r="W135" s="319">
        <f>'02A_Debt Schedule'!T62</f>
        <v>0</v>
      </c>
      <c r="X135" s="319">
        <f>'02A_Debt Schedule'!U62</f>
        <v>0</v>
      </c>
      <c r="Y135" s="319">
        <f>'02A_Debt Schedule'!V62</f>
        <v>0</v>
      </c>
      <c r="Z135" s="319">
        <f>'02A_Debt Schedule'!W62</f>
        <v>0</v>
      </c>
    </row>
    <row r="136" spans="2:26">
      <c r="B136" s="50" t="str">
        <v>Evelyn Estates</v>
      </c>
      <c r="F136" s="319">
        <f>'02A_Debt Schedule'!C72</f>
        <v>0</v>
      </c>
      <c r="G136" s="319">
        <f>'02A_Debt Schedule'!D72</f>
        <v>0</v>
      </c>
      <c r="H136" s="319">
        <f>'02A_Debt Schedule'!E72</f>
        <v>0</v>
      </c>
      <c r="I136" s="319">
        <f>'02A_Debt Schedule'!F72</f>
        <v>0</v>
      </c>
      <c r="J136" s="319">
        <f>'02A_Debt Schedule'!G72</f>
        <v>0</v>
      </c>
      <c r="K136" s="319">
        <f>'02A_Debt Schedule'!H72</f>
        <v>0</v>
      </c>
      <c r="L136" s="319">
        <f>'02A_Debt Schedule'!I72</f>
        <v>0</v>
      </c>
      <c r="M136" s="319">
        <f>'02A_Debt Schedule'!J72</f>
        <v>0</v>
      </c>
      <c r="N136" s="319">
        <f>'02A_Debt Schedule'!K72</f>
        <v>0</v>
      </c>
      <c r="O136" s="319">
        <f>'02A_Debt Schedule'!L72</f>
        <v>0</v>
      </c>
      <c r="P136" s="319">
        <f>'02A_Debt Schedule'!M72</f>
        <v>0</v>
      </c>
      <c r="Q136" s="319">
        <f>'02A_Debt Schedule'!N72</f>
        <v>0</v>
      </c>
      <c r="R136" s="319">
        <f>'02A_Debt Schedule'!O72</f>
        <v>0</v>
      </c>
      <c r="S136" s="319">
        <f>'02A_Debt Schedule'!P72</f>
        <v>0</v>
      </c>
      <c r="T136" s="319">
        <f>'02A_Debt Schedule'!Q72</f>
        <v>0</v>
      </c>
      <c r="U136" s="319">
        <f>'02A_Debt Schedule'!R72</f>
        <v>0</v>
      </c>
      <c r="V136" s="319">
        <f>'02A_Debt Schedule'!S72</f>
        <v>0</v>
      </c>
      <c r="W136" s="319">
        <f>'02A_Debt Schedule'!T72</f>
        <v>0</v>
      </c>
      <c r="X136" s="319">
        <f>'02A_Debt Schedule'!U72</f>
        <v>0</v>
      </c>
      <c r="Y136" s="319">
        <f>'02A_Debt Schedule'!V72</f>
        <v>0</v>
      </c>
      <c r="Z136" s="319">
        <f>'02A_Debt Schedule'!W72</f>
        <v>0</v>
      </c>
    </row>
    <row r="137" spans="2:26">
      <c r="B137" s="50" t="str">
        <v>Jessica Place</v>
      </c>
      <c r="F137" s="319">
        <f>'02A_Debt Schedule'!C82</f>
        <v>0</v>
      </c>
      <c r="G137" s="319">
        <f>'02A_Debt Schedule'!D82</f>
        <v>0</v>
      </c>
      <c r="H137" s="319">
        <f>'02A_Debt Schedule'!E82</f>
        <v>0</v>
      </c>
      <c r="I137" s="319">
        <f>'02A_Debt Schedule'!F82</f>
        <v>0</v>
      </c>
      <c r="J137" s="319">
        <f>'02A_Debt Schedule'!G82</f>
        <v>0</v>
      </c>
      <c r="K137" s="319">
        <f>'02A_Debt Schedule'!H82</f>
        <v>0</v>
      </c>
      <c r="L137" s="319">
        <f>'02A_Debt Schedule'!I82</f>
        <v>0</v>
      </c>
      <c r="M137" s="319">
        <f>'02A_Debt Schedule'!J82</f>
        <v>0</v>
      </c>
      <c r="N137" s="319">
        <f>'02A_Debt Schedule'!K82</f>
        <v>0</v>
      </c>
      <c r="O137" s="319">
        <f>'02A_Debt Schedule'!L82</f>
        <v>0</v>
      </c>
      <c r="P137" s="319">
        <f>'02A_Debt Schedule'!M82</f>
        <v>0</v>
      </c>
      <c r="Q137" s="319">
        <f>'02A_Debt Schedule'!N82</f>
        <v>0</v>
      </c>
      <c r="R137" s="319">
        <f>'02A_Debt Schedule'!O82</f>
        <v>0</v>
      </c>
      <c r="S137" s="319">
        <f>'02A_Debt Schedule'!P82</f>
        <v>0</v>
      </c>
      <c r="T137" s="319">
        <f>'02A_Debt Schedule'!Q82</f>
        <v>0</v>
      </c>
      <c r="U137" s="319">
        <f>'02A_Debt Schedule'!R82</f>
        <v>0</v>
      </c>
      <c r="V137" s="319">
        <f>'02A_Debt Schedule'!S82</f>
        <v>0</v>
      </c>
      <c r="W137" s="319">
        <f>'02A_Debt Schedule'!T82</f>
        <v>0</v>
      </c>
      <c r="X137" s="319">
        <f>'02A_Debt Schedule'!U82</f>
        <v>0</v>
      </c>
      <c r="Y137" s="319">
        <f>'02A_Debt Schedule'!V82</f>
        <v>0</v>
      </c>
      <c r="Z137" s="319">
        <f>'02A_Debt Schedule'!W82</f>
        <v>0</v>
      </c>
    </row>
    <row r="138" spans="2:26">
      <c r="B138" s="50" t="str">
        <v>Margaret Heights</v>
      </c>
      <c r="F138" s="319">
        <f>'02A_Debt Schedule'!C92</f>
        <v>0</v>
      </c>
      <c r="G138" s="319">
        <f>'02A_Debt Schedule'!D92</f>
        <v>0</v>
      </c>
      <c r="H138" s="319">
        <f>'02A_Debt Schedule'!E92</f>
        <v>0</v>
      </c>
      <c r="I138" s="319">
        <f>'02A_Debt Schedule'!F92</f>
        <v>0</v>
      </c>
      <c r="J138" s="319">
        <f>'02A_Debt Schedule'!G92</f>
        <v>0</v>
      </c>
      <c r="K138" s="319">
        <f>'02A_Debt Schedule'!H92</f>
        <v>0</v>
      </c>
      <c r="L138" s="319">
        <f>'02A_Debt Schedule'!I92</f>
        <v>0</v>
      </c>
      <c r="M138" s="319">
        <f>'02A_Debt Schedule'!J92</f>
        <v>0</v>
      </c>
      <c r="N138" s="319">
        <f>'02A_Debt Schedule'!K92</f>
        <v>0</v>
      </c>
      <c r="O138" s="319">
        <f>'02A_Debt Schedule'!L92</f>
        <v>0</v>
      </c>
      <c r="P138" s="319">
        <f>'02A_Debt Schedule'!M92</f>
        <v>0</v>
      </c>
      <c r="Q138" s="319">
        <f>'02A_Debt Schedule'!N92</f>
        <v>0</v>
      </c>
      <c r="R138" s="319">
        <f>'02A_Debt Schedule'!O92</f>
        <v>0</v>
      </c>
      <c r="S138" s="319">
        <f>'02A_Debt Schedule'!P92</f>
        <v>0</v>
      </c>
      <c r="T138" s="319">
        <f>'02A_Debt Schedule'!Q92</f>
        <v>0</v>
      </c>
      <c r="U138" s="319">
        <f>'02A_Debt Schedule'!R92</f>
        <v>0</v>
      </c>
      <c r="V138" s="319">
        <f>'02A_Debt Schedule'!S92</f>
        <v>0</v>
      </c>
      <c r="W138" s="319">
        <f>'02A_Debt Schedule'!T92</f>
        <v>0</v>
      </c>
      <c r="X138" s="319">
        <f>'02A_Debt Schedule'!U92</f>
        <v>0</v>
      </c>
      <c r="Y138" s="319">
        <f>'02A_Debt Schedule'!V92</f>
        <v>0</v>
      </c>
      <c r="Z138" s="319">
        <f>'02A_Debt Schedule'!W92</f>
        <v>0</v>
      </c>
    </row>
    <row r="139" spans="2:26">
      <c r="B139" s="50" t="str">
        <v>Murray Manor</v>
      </c>
      <c r="F139" s="319">
        <f>'02A_Debt Schedule'!C102</f>
        <v>0</v>
      </c>
      <c r="G139" s="319">
        <f>'02A_Debt Schedule'!D102</f>
        <v>0</v>
      </c>
      <c r="H139" s="319">
        <f>'02A_Debt Schedule'!E102</f>
        <v>0</v>
      </c>
      <c r="I139" s="319">
        <f>'02A_Debt Schedule'!F102</f>
        <v>0</v>
      </c>
      <c r="J139" s="319">
        <f>'02A_Debt Schedule'!G102</f>
        <v>0</v>
      </c>
      <c r="K139" s="319">
        <f>'02A_Debt Schedule'!H102</f>
        <v>0</v>
      </c>
      <c r="L139" s="319">
        <f>'02A_Debt Schedule'!I102</f>
        <v>0</v>
      </c>
      <c r="M139" s="319">
        <f>'02A_Debt Schedule'!J102</f>
        <v>0</v>
      </c>
      <c r="N139" s="319">
        <f>'02A_Debt Schedule'!K102</f>
        <v>0</v>
      </c>
      <c r="O139" s="319">
        <f>'02A_Debt Schedule'!L102</f>
        <v>6714080.5208042245</v>
      </c>
      <c r="P139" s="319">
        <f>'02A_Debt Schedule'!M102</f>
        <v>0</v>
      </c>
      <c r="Q139" s="319">
        <f>'02A_Debt Schedule'!N102</f>
        <v>0</v>
      </c>
      <c r="R139" s="319">
        <f>'02A_Debt Schedule'!O102</f>
        <v>0</v>
      </c>
      <c r="S139" s="319">
        <f>'02A_Debt Schedule'!P102</f>
        <v>0</v>
      </c>
      <c r="T139" s="319">
        <f>'02A_Debt Schedule'!Q102</f>
        <v>0</v>
      </c>
      <c r="U139" s="319">
        <f>'02A_Debt Schedule'!R102</f>
        <v>0</v>
      </c>
      <c r="V139" s="319">
        <f>'02A_Debt Schedule'!S102</f>
        <v>0</v>
      </c>
      <c r="W139" s="319">
        <f>'02A_Debt Schedule'!T102</f>
        <v>0</v>
      </c>
      <c r="X139" s="319">
        <f>'02A_Debt Schedule'!U102</f>
        <v>0</v>
      </c>
      <c r="Y139" s="319">
        <f>'02A_Debt Schedule'!V102</f>
        <v>0</v>
      </c>
      <c r="Z139" s="319">
        <f>'02A_Debt Schedule'!W102</f>
        <v>0</v>
      </c>
    </row>
    <row r="140" spans="2:26">
      <c r="B140" s="50" t="str">
        <v>Natalia Terrace</v>
      </c>
      <c r="F140" s="319">
        <f>'02A_Debt Schedule'!C112</f>
        <v>0</v>
      </c>
      <c r="G140" s="319">
        <f>'02A_Debt Schedule'!D112</f>
        <v>0</v>
      </c>
      <c r="H140" s="319">
        <f>'02A_Debt Schedule'!E112</f>
        <v>0</v>
      </c>
      <c r="I140" s="319">
        <f>'02A_Debt Schedule'!F112</f>
        <v>0</v>
      </c>
      <c r="J140" s="319">
        <f>'02A_Debt Schedule'!G112</f>
        <v>0</v>
      </c>
      <c r="K140" s="319">
        <f>'02A_Debt Schedule'!H112</f>
        <v>0</v>
      </c>
      <c r="L140" s="319">
        <f>'02A_Debt Schedule'!I112</f>
        <v>0</v>
      </c>
      <c r="M140" s="319">
        <f>'02A_Debt Schedule'!J112</f>
        <v>0</v>
      </c>
      <c r="N140" s="319">
        <f>'02A_Debt Schedule'!K112</f>
        <v>0</v>
      </c>
      <c r="O140" s="319">
        <f>'02A_Debt Schedule'!L112</f>
        <v>0</v>
      </c>
      <c r="P140" s="319">
        <f>'02A_Debt Schedule'!M112</f>
        <v>0</v>
      </c>
      <c r="Q140" s="319">
        <f>'02A_Debt Schedule'!N112</f>
        <v>0</v>
      </c>
      <c r="R140" s="319">
        <f>'02A_Debt Schedule'!O112</f>
        <v>0</v>
      </c>
      <c r="S140" s="319">
        <f>'02A_Debt Schedule'!P112</f>
        <v>0</v>
      </c>
      <c r="T140" s="319">
        <f>'02A_Debt Schedule'!Q112</f>
        <v>0</v>
      </c>
      <c r="U140" s="319">
        <f>'02A_Debt Schedule'!R112</f>
        <v>0</v>
      </c>
      <c r="V140" s="319">
        <f>'02A_Debt Schedule'!S112</f>
        <v>0</v>
      </c>
      <c r="W140" s="319">
        <f>'02A_Debt Schedule'!T112</f>
        <v>0</v>
      </c>
      <c r="X140" s="319">
        <f>'02A_Debt Schedule'!U112</f>
        <v>0</v>
      </c>
      <c r="Y140" s="319">
        <f>'02A_Debt Schedule'!V112</f>
        <v>0</v>
      </c>
      <c r="Z140" s="319">
        <f>'02A_Debt Schedule'!W112</f>
        <v>0</v>
      </c>
    </row>
    <row r="141" spans="2:26">
      <c r="B141" s="50" t="str">
        <v>Newton Green</v>
      </c>
      <c r="F141" s="319">
        <f>'02A_Debt Schedule'!C122</f>
        <v>0</v>
      </c>
      <c r="G141" s="319">
        <f>'02A_Debt Schedule'!D122</f>
        <v>0</v>
      </c>
      <c r="H141" s="319">
        <f>'02A_Debt Schedule'!E122</f>
        <v>0</v>
      </c>
      <c r="I141" s="319">
        <f>'02A_Debt Schedule'!F122</f>
        <v>0</v>
      </c>
      <c r="J141" s="319">
        <f>'02A_Debt Schedule'!G122</f>
        <v>0</v>
      </c>
      <c r="K141" s="319">
        <f>'02A_Debt Schedule'!H122</f>
        <v>0</v>
      </c>
      <c r="L141" s="319">
        <f>'02A_Debt Schedule'!I122</f>
        <v>0</v>
      </c>
      <c r="M141" s="319">
        <f>'02A_Debt Schedule'!J122</f>
        <v>0</v>
      </c>
      <c r="N141" s="319">
        <f>'02A_Debt Schedule'!K122</f>
        <v>0</v>
      </c>
      <c r="O141" s="319">
        <f>'02A_Debt Schedule'!L122</f>
        <v>6075325.0837390581</v>
      </c>
      <c r="P141" s="319">
        <f>'02A_Debt Schedule'!M122</f>
        <v>0</v>
      </c>
      <c r="Q141" s="319">
        <f>'02A_Debt Schedule'!N122</f>
        <v>0</v>
      </c>
      <c r="R141" s="319">
        <f>'02A_Debt Schedule'!O122</f>
        <v>0</v>
      </c>
      <c r="S141" s="319">
        <f>'02A_Debt Schedule'!P122</f>
        <v>0</v>
      </c>
      <c r="T141" s="319">
        <f>'02A_Debt Schedule'!Q122</f>
        <v>0</v>
      </c>
      <c r="U141" s="319">
        <f>'02A_Debt Schedule'!R122</f>
        <v>0</v>
      </c>
      <c r="V141" s="319">
        <f>'02A_Debt Schedule'!S122</f>
        <v>0</v>
      </c>
      <c r="W141" s="319">
        <f>'02A_Debt Schedule'!T122</f>
        <v>0</v>
      </c>
      <c r="X141" s="319">
        <f>'02A_Debt Schedule'!U122</f>
        <v>0</v>
      </c>
      <c r="Y141" s="319">
        <f>'02A_Debt Schedule'!V122</f>
        <v>0</v>
      </c>
      <c r="Z141" s="319">
        <f>'02A_Debt Schedule'!W122</f>
        <v>0</v>
      </c>
    </row>
    <row r="142" spans="2:26">
      <c r="B142" s="50" t="str">
        <v>Rosemary Green</v>
      </c>
      <c r="F142" s="319">
        <f>'02A_Debt Schedule'!C132</f>
        <v>0</v>
      </c>
      <c r="G142" s="319">
        <f>'02A_Debt Schedule'!D132</f>
        <v>0</v>
      </c>
      <c r="H142" s="319">
        <f>'02A_Debt Schedule'!E132</f>
        <v>0</v>
      </c>
      <c r="I142" s="319">
        <f>'02A_Debt Schedule'!F132</f>
        <v>0</v>
      </c>
      <c r="J142" s="319">
        <f>'02A_Debt Schedule'!G132</f>
        <v>0</v>
      </c>
      <c r="K142" s="319">
        <f>'02A_Debt Schedule'!H132</f>
        <v>0</v>
      </c>
      <c r="L142" s="319">
        <f>'02A_Debt Schedule'!I132</f>
        <v>0</v>
      </c>
      <c r="M142" s="319">
        <f>'02A_Debt Schedule'!J132</f>
        <v>0</v>
      </c>
      <c r="N142" s="319">
        <f>'02A_Debt Schedule'!K132</f>
        <v>0</v>
      </c>
      <c r="O142" s="319">
        <f>'02A_Debt Schedule'!L132</f>
        <v>0</v>
      </c>
      <c r="P142" s="319">
        <f>'02A_Debt Schedule'!M132</f>
        <v>0</v>
      </c>
      <c r="Q142" s="319">
        <f>'02A_Debt Schedule'!N132</f>
        <v>0</v>
      </c>
      <c r="R142" s="319">
        <f>'02A_Debt Schedule'!O132</f>
        <v>0</v>
      </c>
      <c r="S142" s="319">
        <f>'02A_Debt Schedule'!P132</f>
        <v>0</v>
      </c>
      <c r="T142" s="319">
        <f>'02A_Debt Schedule'!Q132</f>
        <v>0</v>
      </c>
      <c r="U142" s="319">
        <f>'02A_Debt Schedule'!R132</f>
        <v>0</v>
      </c>
      <c r="V142" s="319">
        <f>'02A_Debt Schedule'!S132</f>
        <v>0</v>
      </c>
      <c r="W142" s="319">
        <f>'02A_Debt Schedule'!T132</f>
        <v>0</v>
      </c>
      <c r="X142" s="319">
        <f>'02A_Debt Schedule'!U132</f>
        <v>0</v>
      </c>
      <c r="Y142" s="319">
        <f>'02A_Debt Schedule'!V132</f>
        <v>0</v>
      </c>
      <c r="Z142" s="319">
        <f>'02A_Debt Schedule'!W132</f>
        <v>0</v>
      </c>
    </row>
    <row r="143" spans="2:26">
      <c r="B143" s="50" t="str">
        <v>1656 Adanac Street</v>
      </c>
      <c r="F143" s="319">
        <f>'02A_Debt Schedule'!C142</f>
        <v>0</v>
      </c>
      <c r="G143" s="319">
        <f>'02A_Debt Schedule'!D142</f>
        <v>0</v>
      </c>
      <c r="H143" s="319">
        <f>'02A_Debt Schedule'!E142</f>
        <v>0</v>
      </c>
      <c r="I143" s="319">
        <f>'02A_Debt Schedule'!F142</f>
        <v>15162892.909259001</v>
      </c>
      <c r="J143" s="319">
        <f>'02A_Debt Schedule'!G142</f>
        <v>0</v>
      </c>
      <c r="K143" s="319">
        <f>'02A_Debt Schedule'!H142</f>
        <v>0</v>
      </c>
      <c r="L143" s="319">
        <f>'02A_Debt Schedule'!I142</f>
        <v>0</v>
      </c>
      <c r="M143" s="319">
        <f>'02A_Debt Schedule'!J142</f>
        <v>0</v>
      </c>
      <c r="N143" s="319">
        <f>'02A_Debt Schedule'!K142</f>
        <v>0</v>
      </c>
      <c r="O143" s="319">
        <f>'02A_Debt Schedule'!L142</f>
        <v>0</v>
      </c>
      <c r="P143" s="319">
        <f>'02A_Debt Schedule'!M142</f>
        <v>0</v>
      </c>
      <c r="Q143" s="319">
        <f>'02A_Debt Schedule'!N142</f>
        <v>0</v>
      </c>
      <c r="R143" s="319">
        <f>'02A_Debt Schedule'!O142</f>
        <v>0</v>
      </c>
      <c r="S143" s="319">
        <f>'02A_Debt Schedule'!P142</f>
        <v>0</v>
      </c>
      <c r="T143" s="319">
        <f>'02A_Debt Schedule'!Q142</f>
        <v>0</v>
      </c>
      <c r="U143" s="319">
        <f>'02A_Debt Schedule'!R142</f>
        <v>0</v>
      </c>
      <c r="V143" s="319">
        <f>'02A_Debt Schedule'!S142</f>
        <v>0</v>
      </c>
      <c r="W143" s="319">
        <f>'02A_Debt Schedule'!T142</f>
        <v>0</v>
      </c>
      <c r="X143" s="319">
        <f>'02A_Debt Schedule'!U142</f>
        <v>0</v>
      </c>
      <c r="Y143" s="319">
        <f>'02A_Debt Schedule'!V142</f>
        <v>0</v>
      </c>
      <c r="Z143" s="319">
        <f>'02A_Debt Schedule'!W142</f>
        <v>0</v>
      </c>
    </row>
    <row r="144" spans="2:26">
      <c r="B144" s="50" t="str">
        <v>450 Pacific Street</v>
      </c>
      <c r="F144" s="319">
        <f>'02A_Debt Schedule'!C152</f>
        <v>0</v>
      </c>
      <c r="G144" s="319">
        <f>'02A_Debt Schedule'!D152</f>
        <v>0</v>
      </c>
      <c r="H144" s="319">
        <f>'02A_Debt Schedule'!E152</f>
        <v>0</v>
      </c>
      <c r="I144" s="319">
        <f>'02A_Debt Schedule'!F152</f>
        <v>12562077.2505446</v>
      </c>
      <c r="J144" s="319">
        <f>'02A_Debt Schedule'!G152</f>
        <v>0</v>
      </c>
      <c r="K144" s="319">
        <f>'02A_Debt Schedule'!H152</f>
        <v>0</v>
      </c>
      <c r="L144" s="319">
        <f>'02A_Debt Schedule'!I152</f>
        <v>0</v>
      </c>
      <c r="M144" s="319">
        <f>'02A_Debt Schedule'!J152</f>
        <v>0</v>
      </c>
      <c r="N144" s="319">
        <f>'02A_Debt Schedule'!K152</f>
        <v>0</v>
      </c>
      <c r="O144" s="319">
        <f>'02A_Debt Schedule'!L152</f>
        <v>0</v>
      </c>
      <c r="P144" s="319">
        <f>'02A_Debt Schedule'!M152</f>
        <v>0</v>
      </c>
      <c r="Q144" s="319">
        <f>'02A_Debt Schedule'!N152</f>
        <v>0</v>
      </c>
      <c r="R144" s="319">
        <f>'02A_Debt Schedule'!O152</f>
        <v>0</v>
      </c>
      <c r="S144" s="319">
        <f>'02A_Debt Schedule'!P152</f>
        <v>0</v>
      </c>
      <c r="T144" s="319">
        <f>'02A_Debt Schedule'!Q152</f>
        <v>0</v>
      </c>
      <c r="U144" s="319">
        <f>'02A_Debt Schedule'!R152</f>
        <v>0</v>
      </c>
      <c r="V144" s="319">
        <f>'02A_Debt Schedule'!S152</f>
        <v>0</v>
      </c>
      <c r="W144" s="319">
        <f>'02A_Debt Schedule'!T152</f>
        <v>0</v>
      </c>
      <c r="X144" s="319">
        <f>'02A_Debt Schedule'!U152</f>
        <v>0</v>
      </c>
      <c r="Y144" s="319">
        <f>'02A_Debt Schedule'!V152</f>
        <v>0</v>
      </c>
      <c r="Z144" s="319">
        <f>'02A_Debt Schedule'!W152</f>
        <v>0</v>
      </c>
    </row>
    <row r="145" spans="2:26">
      <c r="B145" s="50" t="str">
        <v>The Creek, Port Moody</v>
      </c>
      <c r="F145" s="319">
        <f>'02A_Debt Schedule'!C162</f>
        <v>0</v>
      </c>
      <c r="G145" s="319">
        <f>'02A_Debt Schedule'!D162</f>
        <v>0</v>
      </c>
      <c r="H145" s="319">
        <f>'02A_Debt Schedule'!E162</f>
        <v>58663640.484426588</v>
      </c>
      <c r="I145" s="319">
        <f>'02A_Debt Schedule'!F162</f>
        <v>0</v>
      </c>
      <c r="J145" s="319">
        <f>'02A_Debt Schedule'!G162</f>
        <v>0</v>
      </c>
      <c r="K145" s="319">
        <f>'02A_Debt Schedule'!H162</f>
        <v>0</v>
      </c>
      <c r="L145" s="319">
        <f>'02A_Debt Schedule'!I162</f>
        <v>0</v>
      </c>
      <c r="M145" s="319">
        <f>'02A_Debt Schedule'!J162</f>
        <v>0</v>
      </c>
      <c r="N145" s="319">
        <f>'02A_Debt Schedule'!K162</f>
        <v>0</v>
      </c>
      <c r="O145" s="319">
        <f>'02A_Debt Schedule'!L162</f>
        <v>0</v>
      </c>
      <c r="P145" s="319">
        <f>'02A_Debt Schedule'!M162</f>
        <v>0</v>
      </c>
      <c r="Q145" s="319">
        <f>'02A_Debt Schedule'!N162</f>
        <v>0</v>
      </c>
      <c r="R145" s="319">
        <f>'02A_Debt Schedule'!O162</f>
        <v>0</v>
      </c>
      <c r="S145" s="319">
        <f>'02A_Debt Schedule'!P162</f>
        <v>0</v>
      </c>
      <c r="T145" s="319">
        <f>'02A_Debt Schedule'!Q162</f>
        <v>0</v>
      </c>
      <c r="U145" s="319">
        <f>'02A_Debt Schedule'!R162</f>
        <v>0</v>
      </c>
      <c r="V145" s="319">
        <f>'02A_Debt Schedule'!S162</f>
        <v>0</v>
      </c>
      <c r="W145" s="319">
        <f>'02A_Debt Schedule'!T162</f>
        <v>0</v>
      </c>
      <c r="X145" s="319">
        <f>'02A_Debt Schedule'!U162</f>
        <v>0</v>
      </c>
      <c r="Y145" s="319">
        <f>'02A_Debt Schedule'!V162</f>
        <v>0</v>
      </c>
      <c r="Z145" s="319">
        <f>'02A_Debt Schedule'!W162</f>
        <v>0</v>
      </c>
    </row>
    <row r="146" spans="2:26">
      <c r="B146" s="50" t="str">
        <v>800 Commercial Drive</v>
      </c>
      <c r="F146" s="319">
        <f>'02A_Debt Schedule'!C172</f>
        <v>0</v>
      </c>
      <c r="G146" s="319">
        <f>'02A_Debt Schedule'!D172</f>
        <v>0</v>
      </c>
      <c r="H146" s="319">
        <f>'02A_Debt Schedule'!E172</f>
        <v>0</v>
      </c>
      <c r="I146" s="319">
        <f>'02A_Debt Schedule'!F172</f>
        <v>0</v>
      </c>
      <c r="J146" s="319">
        <f>'02A_Debt Schedule'!G172</f>
        <v>18435922.196523327</v>
      </c>
      <c r="K146" s="319">
        <f>'02A_Debt Schedule'!H172</f>
        <v>0</v>
      </c>
      <c r="L146" s="319">
        <f>'02A_Debt Schedule'!I172</f>
        <v>0</v>
      </c>
      <c r="M146" s="319">
        <f>'02A_Debt Schedule'!J172</f>
        <v>0</v>
      </c>
      <c r="N146" s="319">
        <f>'02A_Debt Schedule'!K172</f>
        <v>0</v>
      </c>
      <c r="O146" s="319">
        <f>'02A_Debt Schedule'!L172</f>
        <v>0</v>
      </c>
      <c r="P146" s="319">
        <f>'02A_Debt Schedule'!M172</f>
        <v>0</v>
      </c>
      <c r="Q146" s="319">
        <f>'02A_Debt Schedule'!N172</f>
        <v>0</v>
      </c>
      <c r="R146" s="319">
        <f>'02A_Debt Schedule'!O172</f>
        <v>0</v>
      </c>
      <c r="S146" s="319">
        <f>'02A_Debt Schedule'!P172</f>
        <v>0</v>
      </c>
      <c r="T146" s="319">
        <f>'02A_Debt Schedule'!Q172</f>
        <v>0</v>
      </c>
      <c r="U146" s="319">
        <f>'02A_Debt Schedule'!R172</f>
        <v>0</v>
      </c>
      <c r="V146" s="319">
        <f>'02A_Debt Schedule'!S172</f>
        <v>0</v>
      </c>
      <c r="W146" s="319">
        <f>'02A_Debt Schedule'!T172</f>
        <v>0</v>
      </c>
      <c r="X146" s="319">
        <f>'02A_Debt Schedule'!U172</f>
        <v>0</v>
      </c>
      <c r="Y146" s="319">
        <f>'02A_Debt Schedule'!V172</f>
        <v>0</v>
      </c>
      <c r="Z146" s="319">
        <f>'02A_Debt Schedule'!W172</f>
        <v>0</v>
      </c>
    </row>
  </sheetData>
  <mergeCells count="11">
    <mergeCell ref="B2:Y2"/>
    <mergeCell ref="F72:Z72"/>
    <mergeCell ref="F128:Z128"/>
    <mergeCell ref="S17:Y17"/>
    <mergeCell ref="B9:C9"/>
    <mergeCell ref="B4:C4"/>
    <mergeCell ref="F44:Z44"/>
    <mergeCell ref="O17:P17"/>
    <mergeCell ref="G17:N17"/>
    <mergeCell ref="Q17:R17"/>
    <mergeCell ref="F100:Z100"/>
  </mergeCells>
  <conditionalFormatting sqref="I19:I35">
    <cfRule type="cellIs" dxfId="18" priority="1" operator="equal">
      <formula>1900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97380-21E8-4A8E-828F-3B6011E78007}">
  <sheetPr>
    <tabColor rgb="FF808080"/>
  </sheetPr>
  <dimension ref="A1:Z174"/>
  <sheetViews>
    <sheetView showGridLines="0" workbookViewId="0">
      <selection activeCell="J28" sqref="J28"/>
    </sheetView>
  </sheetViews>
  <sheetFormatPr defaultColWidth="0" defaultRowHeight="12.75"/>
  <cols>
    <col min="1" max="1" width="1.7109375" style="3" customWidth="1"/>
    <col min="2" max="2" width="21.140625" style="3" customWidth="1"/>
    <col min="3" max="23" width="12.7109375" style="3" customWidth="1"/>
    <col min="24" max="26" width="8.85546875" style="3" customWidth="1"/>
    <col min="27" max="27" width="8.85546875" style="3" hidden="1" customWidth="1"/>
    <col min="28" max="16384" width="8.85546875" style="3" hidden="1"/>
  </cols>
  <sheetData>
    <row r="1" spans="2:23" ht="7.9" customHeight="1"/>
    <row r="2" spans="2:23" ht="15.75" customHeight="1">
      <c r="B2" s="432" t="s">
        <v>529</v>
      </c>
      <c r="C2" s="424"/>
      <c r="D2" s="424"/>
      <c r="E2" s="424"/>
      <c r="F2" s="424"/>
      <c r="G2" s="424"/>
      <c r="H2" s="424"/>
      <c r="I2" s="424"/>
      <c r="J2" s="424"/>
      <c r="K2" s="424"/>
      <c r="L2" s="424"/>
      <c r="M2" s="424"/>
      <c r="N2" s="424"/>
      <c r="O2" s="424"/>
      <c r="P2" s="424"/>
      <c r="Q2" s="424"/>
      <c r="R2" s="424"/>
      <c r="S2" s="424"/>
      <c r="T2" s="424"/>
      <c r="U2" s="424"/>
      <c r="V2" s="424"/>
      <c r="W2" s="424"/>
    </row>
    <row r="3" spans="2:23" ht="7.9" customHeight="1"/>
    <row r="4" spans="2:23">
      <c r="B4" s="325" t="s">
        <v>530</v>
      </c>
      <c r="C4" s="325">
        <v>2025</v>
      </c>
      <c r="D4" s="326">
        <f t="shared" ref="D4:W4" si="0">C4+1</f>
        <v>2026</v>
      </c>
      <c r="E4" s="326">
        <f t="shared" si="0"/>
        <v>2027</v>
      </c>
      <c r="F4" s="326">
        <f t="shared" si="0"/>
        <v>2028</v>
      </c>
      <c r="G4" s="326">
        <f t="shared" si="0"/>
        <v>2029</v>
      </c>
      <c r="H4" s="326">
        <f t="shared" si="0"/>
        <v>2030</v>
      </c>
      <c r="I4" s="326">
        <f t="shared" si="0"/>
        <v>2031</v>
      </c>
      <c r="J4" s="326">
        <f t="shared" si="0"/>
        <v>2032</v>
      </c>
      <c r="K4" s="326">
        <f t="shared" si="0"/>
        <v>2033</v>
      </c>
      <c r="L4" s="326">
        <f t="shared" si="0"/>
        <v>2034</v>
      </c>
      <c r="M4" s="326">
        <f t="shared" si="0"/>
        <v>2035</v>
      </c>
      <c r="N4" s="326">
        <f t="shared" si="0"/>
        <v>2036</v>
      </c>
      <c r="O4" s="326">
        <f t="shared" si="0"/>
        <v>2037</v>
      </c>
      <c r="P4" s="326">
        <f t="shared" si="0"/>
        <v>2038</v>
      </c>
      <c r="Q4" s="326">
        <f t="shared" si="0"/>
        <v>2039</v>
      </c>
      <c r="R4" s="326">
        <f t="shared" si="0"/>
        <v>2040</v>
      </c>
      <c r="S4" s="326">
        <f t="shared" si="0"/>
        <v>2041</v>
      </c>
      <c r="T4" s="326">
        <f t="shared" si="0"/>
        <v>2042</v>
      </c>
      <c r="U4" s="326">
        <f t="shared" si="0"/>
        <v>2043</v>
      </c>
      <c r="V4" s="326">
        <f t="shared" si="0"/>
        <v>2044</v>
      </c>
      <c r="W4" s="326">
        <f t="shared" si="0"/>
        <v>2045</v>
      </c>
    </row>
    <row r="5" spans="2:23" ht="7.9" customHeight="1"/>
    <row r="6" spans="2:23">
      <c r="B6" s="327" t="str">
        <f>'02_Debt Engine'!$B$19</f>
        <v>Alma Blackwell</v>
      </c>
      <c r="C6" s="327" t="str">
        <f>_xlfn.LET(_xlpm.refiyr,INDEX('02_Debt Engine'!$I$19:$I$35,MATCH('02A_Debt Schedule'!$B6,'02_Debt Engine'!$B$19:$B$35,0)),IF(_xlpm.refiyr='02A_Debt Schedule'!C$4,"Refi Yr.",""))</f>
        <v/>
      </c>
      <c r="D6" s="327" t="str">
        <f>_xlfn.LET(_xlpm.refiyr,INDEX('02_Debt Engine'!$I$19:$I$35,MATCH('02A_Debt Schedule'!$B6,'02_Debt Engine'!$B$19:$B$35,0)),IF(_xlpm.refiyr='02A_Debt Schedule'!D$4,"Refi Yr.",""))</f>
        <v/>
      </c>
      <c r="E6" s="327" t="str">
        <f>_xlfn.LET(_xlpm.refiyr,INDEX('02_Debt Engine'!$I$19:$I$35,MATCH('02A_Debt Schedule'!$B6,'02_Debt Engine'!$B$19:$B$35,0)),IF(_xlpm.refiyr='02A_Debt Schedule'!E$4,"Refi Yr.",""))</f>
        <v/>
      </c>
      <c r="F6" s="327" t="str">
        <f>_xlfn.LET(_xlpm.refiyr,INDEX('02_Debt Engine'!$I$19:$I$35,MATCH('02A_Debt Schedule'!$B6,'02_Debt Engine'!$B$19:$B$35,0)),IF(_xlpm.refiyr='02A_Debt Schedule'!F$4,"Refi Yr.",""))</f>
        <v/>
      </c>
      <c r="G6" s="327" t="str">
        <f>_xlfn.LET(_xlpm.refiyr,INDEX('02_Debt Engine'!$I$19:$I$35,MATCH('02A_Debt Schedule'!$B6,'02_Debt Engine'!$B$19:$B$35,0)),IF(_xlpm.refiyr='02A_Debt Schedule'!G$4,"Refi Yr.",""))</f>
        <v/>
      </c>
      <c r="H6" s="327" t="str">
        <f>_xlfn.LET(_xlpm.refiyr,INDEX('02_Debt Engine'!$I$19:$I$35,MATCH('02A_Debt Schedule'!$B6,'02_Debt Engine'!$B$19:$B$35,0)),IF(_xlpm.refiyr='02A_Debt Schedule'!H$4,"Refi Yr.",""))</f>
        <v/>
      </c>
      <c r="I6" s="327" t="str">
        <f>_xlfn.LET(_xlpm.refiyr,INDEX('02_Debt Engine'!$I$19:$I$35,MATCH('02A_Debt Schedule'!$B6,'02_Debt Engine'!$B$19:$B$35,0)),IF(_xlpm.refiyr='02A_Debt Schedule'!I$4,"Refi Yr.",""))</f>
        <v/>
      </c>
      <c r="J6" s="327" t="str">
        <f>_xlfn.LET(_xlpm.refiyr,INDEX('02_Debt Engine'!$I$19:$I$35,MATCH('02A_Debt Schedule'!$B6,'02_Debt Engine'!$B$19:$B$35,0)),IF(_xlpm.refiyr='02A_Debt Schedule'!J$4,"Refi Yr.",""))</f>
        <v/>
      </c>
      <c r="K6" s="327" t="str">
        <f>_xlfn.LET(_xlpm.refiyr,INDEX('02_Debt Engine'!$I$19:$I$35,MATCH('02A_Debt Schedule'!$B6,'02_Debt Engine'!$B$19:$B$35,0)),IF(_xlpm.refiyr='02A_Debt Schedule'!K$4,"Refi Yr.",""))</f>
        <v/>
      </c>
      <c r="L6" s="327" t="str">
        <f>_xlfn.LET(_xlpm.refiyr,INDEX('02_Debt Engine'!$I$19:$I$35,MATCH('02A_Debt Schedule'!$B6,'02_Debt Engine'!$B$19:$B$35,0)),IF(_xlpm.refiyr='02A_Debt Schedule'!L$4,"Refi Yr.",""))</f>
        <v/>
      </c>
      <c r="M6" s="327" t="str">
        <f>_xlfn.LET(_xlpm.refiyr,INDEX('02_Debt Engine'!$I$19:$I$35,MATCH('02A_Debt Schedule'!$B6,'02_Debt Engine'!$B$19:$B$35,0)),IF(_xlpm.refiyr='02A_Debt Schedule'!M$4,"Refi Yr.",""))</f>
        <v/>
      </c>
      <c r="N6" s="327" t="str">
        <f>_xlfn.LET(_xlpm.refiyr,INDEX('02_Debt Engine'!$I$19:$I$35,MATCH('02A_Debt Schedule'!$B6,'02_Debt Engine'!$B$19:$B$35,0)),IF(_xlpm.refiyr='02A_Debt Schedule'!N$4,"Refi Yr.",""))</f>
        <v/>
      </c>
      <c r="O6" s="327" t="str">
        <f>_xlfn.LET(_xlpm.refiyr,INDEX('02_Debt Engine'!$I$19:$I$35,MATCH('02A_Debt Schedule'!$B6,'02_Debt Engine'!$B$19:$B$35,0)),IF(_xlpm.refiyr='02A_Debt Schedule'!O$4,"Refi Yr.",""))</f>
        <v/>
      </c>
      <c r="P6" s="327" t="str">
        <f>_xlfn.LET(_xlpm.refiyr,INDEX('02_Debt Engine'!$I$19:$I$35,MATCH('02A_Debt Schedule'!$B6,'02_Debt Engine'!$B$19:$B$35,0)),IF(_xlpm.refiyr='02A_Debt Schedule'!P$4,"Refi Yr.",""))</f>
        <v/>
      </c>
      <c r="Q6" s="327" t="str">
        <f>_xlfn.LET(_xlpm.refiyr,INDEX('02_Debt Engine'!$I$19:$I$35,MATCH('02A_Debt Schedule'!$B6,'02_Debt Engine'!$B$19:$B$35,0)),IF(_xlpm.refiyr='02A_Debt Schedule'!Q$4,"Refi Yr.",""))</f>
        <v/>
      </c>
      <c r="R6" s="327" t="str">
        <f>_xlfn.LET(_xlpm.refiyr,INDEX('02_Debt Engine'!$I$19:$I$35,MATCH('02A_Debt Schedule'!$B6,'02_Debt Engine'!$B$19:$B$35,0)),IF(_xlpm.refiyr='02A_Debt Schedule'!R$4,"Refi Yr.",""))</f>
        <v/>
      </c>
      <c r="S6" s="327" t="str">
        <f>_xlfn.LET(_xlpm.refiyr,INDEX('02_Debt Engine'!$I$19:$I$35,MATCH('02A_Debt Schedule'!$B6,'02_Debt Engine'!$B$19:$B$35,0)),IF(_xlpm.refiyr='02A_Debt Schedule'!S$4,"Refi Yr.",""))</f>
        <v/>
      </c>
      <c r="T6" s="327" t="str">
        <f>_xlfn.LET(_xlpm.refiyr,INDEX('02_Debt Engine'!$I$19:$I$35,MATCH('02A_Debt Schedule'!$B6,'02_Debt Engine'!$B$19:$B$35,0)),IF(_xlpm.refiyr='02A_Debt Schedule'!T$4,"Refi Yr.",""))</f>
        <v/>
      </c>
      <c r="U6" s="327" t="str">
        <f>_xlfn.LET(_xlpm.refiyr,INDEX('02_Debt Engine'!$I$19:$I$35,MATCH('02A_Debt Schedule'!$B6,'02_Debt Engine'!$B$19:$B$35,0)),IF(_xlpm.refiyr='02A_Debt Schedule'!U$4,"Refi Yr.",""))</f>
        <v/>
      </c>
      <c r="V6" s="327" t="str">
        <f>_xlfn.LET(_xlpm.refiyr,INDEX('02_Debt Engine'!$I$19:$I$35,MATCH('02A_Debt Schedule'!$B6,'02_Debt Engine'!$B$19:$B$35,0)),IF(_xlpm.refiyr='02A_Debt Schedule'!V$4,"Refi Yr.",""))</f>
        <v/>
      </c>
      <c r="W6" s="327" t="str">
        <f>_xlfn.LET(_xlpm.refiyr,INDEX('02_Debt Engine'!$I$19:$I$35,MATCH('02A_Debt Schedule'!$B6,'02_Debt Engine'!$B$19:$B$35,0)),IF(_xlpm.refiyr='02A_Debt Schedule'!W$4,"Refi Yr.",""))</f>
        <v/>
      </c>
    </row>
    <row r="7" spans="2:23">
      <c r="B7" s="3" t="s">
        <v>531</v>
      </c>
      <c r="C7" s="328">
        <f>IF('02_Debt Engine'!$D$19="Active",'02_Debt Engine'!$N$19,'02_Debt Engine'!$O$19)</f>
        <v>0</v>
      </c>
      <c r="D7" s="328">
        <f>IF(AND('02_Debt Engine'!$F$19="Yes",'02_Debt Engine'!$V$19&gt;0,C$4='02_Debt Engine'!$I$19),'02_Debt Engine'!$V$19,C10)</f>
        <v>0</v>
      </c>
      <c r="E7" s="328">
        <f>IF(AND('02_Debt Engine'!$F$19="Yes",'02_Debt Engine'!$V$19&gt;0,D$4='02_Debt Engine'!$I$19),'02_Debt Engine'!$V$19,D10)</f>
        <v>0</v>
      </c>
      <c r="F7" s="328">
        <f>IF(AND('02_Debt Engine'!$F$19="Yes",'02_Debt Engine'!$V$19&gt;0,E$4='02_Debt Engine'!$I$19),'02_Debt Engine'!$V$19,E10)</f>
        <v>0</v>
      </c>
      <c r="G7" s="328">
        <f>IF(AND('02_Debt Engine'!$F$19="Yes",'02_Debt Engine'!$V$19&gt;0,F$4='02_Debt Engine'!$I$19),'02_Debt Engine'!$V$19,F10)</f>
        <v>0</v>
      </c>
      <c r="H7" s="328">
        <f>IF(AND('02_Debt Engine'!$F$19="Yes",'02_Debt Engine'!$V$19&gt;0,G$4='02_Debt Engine'!$I$19),'02_Debt Engine'!$V$19,G10)</f>
        <v>0</v>
      </c>
      <c r="I7" s="328">
        <f>IF(AND('02_Debt Engine'!$F$19="Yes",'02_Debt Engine'!$V$19&gt;0,H$4='02_Debt Engine'!$I$19),'02_Debt Engine'!$V$19,H10)</f>
        <v>0</v>
      </c>
      <c r="J7" s="328">
        <f>IF(AND('02_Debt Engine'!$F$19="Yes",'02_Debt Engine'!$V$19&gt;0,I$4='02_Debt Engine'!$I$19),'02_Debt Engine'!$V$19,I10)</f>
        <v>0</v>
      </c>
      <c r="K7" s="328">
        <f>IF(AND('02_Debt Engine'!$F$19="Yes",'02_Debt Engine'!$V$19&gt;0,J$4='02_Debt Engine'!$I$19),'02_Debt Engine'!$V$19,J10)</f>
        <v>0</v>
      </c>
      <c r="L7" s="328">
        <f>IF(AND('02_Debt Engine'!$F$19="Yes",'02_Debt Engine'!$V$19&gt;0,K$4='02_Debt Engine'!$I$19),'02_Debt Engine'!$V$19,K10)</f>
        <v>0</v>
      </c>
      <c r="M7" s="328">
        <f>IF(AND('02_Debt Engine'!$F$19="Yes",'02_Debt Engine'!$V$19&gt;0,L$4='02_Debt Engine'!$I$19),'02_Debt Engine'!$V$19,L10)</f>
        <v>0</v>
      </c>
      <c r="N7" s="328">
        <f>IF(AND('02_Debt Engine'!$F$19="Yes",'02_Debt Engine'!$V$19&gt;0,M$4='02_Debt Engine'!$I$19),'02_Debt Engine'!$V$19,M10)</f>
        <v>0</v>
      </c>
      <c r="O7" s="328">
        <f>IF(AND('02_Debt Engine'!$F$19="Yes",'02_Debt Engine'!$V$19&gt;0,N$4='02_Debt Engine'!$I$19),'02_Debt Engine'!$V$19,N10)</f>
        <v>0</v>
      </c>
      <c r="P7" s="328">
        <f>IF(AND('02_Debt Engine'!$F$19="Yes",'02_Debt Engine'!$V$19&gt;0,O$4='02_Debt Engine'!$I$19),'02_Debt Engine'!$V$19,O10)</f>
        <v>0</v>
      </c>
      <c r="Q7" s="328">
        <f>IF(AND('02_Debt Engine'!$F$19="Yes",'02_Debt Engine'!$V$19&gt;0,P$4='02_Debt Engine'!$I$19),'02_Debt Engine'!$V$19,P10)</f>
        <v>0</v>
      </c>
      <c r="R7" s="328">
        <f>IF(AND('02_Debt Engine'!$F$19="Yes",'02_Debt Engine'!$V$19&gt;0,Q$4='02_Debt Engine'!$I$19),'02_Debt Engine'!$V$19,Q10)</f>
        <v>0</v>
      </c>
      <c r="S7" s="328">
        <f>IF(AND('02_Debt Engine'!$F$19="Yes",'02_Debt Engine'!$V$19&gt;0,R$4='02_Debt Engine'!$I$19),'02_Debt Engine'!$V$19,R10)</f>
        <v>0</v>
      </c>
      <c r="T7" s="328">
        <f>IF(AND('02_Debt Engine'!$F$19="Yes",'02_Debt Engine'!$V$19&gt;0,S$4='02_Debt Engine'!$I$19),'02_Debt Engine'!$V$19,S10)</f>
        <v>0</v>
      </c>
      <c r="U7" s="328">
        <f>IF(AND('02_Debt Engine'!$F$19="Yes",'02_Debt Engine'!$V$19&gt;0,T$4='02_Debt Engine'!$I$19),'02_Debt Engine'!$V$19,T10)</f>
        <v>0</v>
      </c>
      <c r="V7" s="328">
        <f>IF(AND('02_Debt Engine'!$F$19="Yes",'02_Debt Engine'!$V$19&gt;0,U$4='02_Debt Engine'!$I$19),'02_Debt Engine'!$V$19,U10)</f>
        <v>0</v>
      </c>
      <c r="W7" s="328">
        <f>IF(AND('02_Debt Engine'!$F$19="Yes",'02_Debt Engine'!$V$19&gt;0,V$4='02_Debt Engine'!$I$19),'02_Debt Engine'!$V$19,V10)</f>
        <v>0</v>
      </c>
    </row>
    <row r="8" spans="2:23">
      <c r="B8" s="3" t="s">
        <v>514</v>
      </c>
      <c r="C8" s="328">
        <f>IF(C7&lt;=0,0,C7*IF(AND('02_Debt Engine'!$F$19="Yes",'02_Debt Engine'!$V$19&gt;0,C$4&gt;'02_Debt Engine'!$I$19),'02_Debt Engine'!$C$13,IF('02_Debt Engine'!$D$19="Active",'02_Debt Engine'!$H$19,'02_Debt Engine'!$C$7)))</f>
        <v>0</v>
      </c>
      <c r="D8" s="328">
        <f>IF(D7&lt;=0,0,D7*IF(AND('02_Debt Engine'!$F$19="Yes",'02_Debt Engine'!$V$19&gt;0,D$4&gt;'02_Debt Engine'!$I$19),'02_Debt Engine'!$C$13,IF('02_Debt Engine'!$D$19="Active",'02_Debt Engine'!$H$19,'02_Debt Engine'!$C$7)))</f>
        <v>0</v>
      </c>
      <c r="E8" s="328">
        <f>IF(E7&lt;=0,0,E7*IF(AND('02_Debt Engine'!$F$19="Yes",'02_Debt Engine'!$V$19&gt;0,E$4&gt;'02_Debt Engine'!$I$19),'02_Debt Engine'!$C$13,IF('02_Debt Engine'!$D$19="Active",'02_Debt Engine'!$H$19,'02_Debt Engine'!$C$7)))</f>
        <v>0</v>
      </c>
      <c r="F8" s="328">
        <f>IF(F7&lt;=0,0,F7*IF(AND('02_Debt Engine'!$F$19="Yes",'02_Debt Engine'!$V$19&gt;0,F$4&gt;'02_Debt Engine'!$I$19),'02_Debt Engine'!$C$13,IF('02_Debt Engine'!$D$19="Active",'02_Debt Engine'!$H$19,'02_Debt Engine'!$C$7)))</f>
        <v>0</v>
      </c>
      <c r="G8" s="328">
        <f>IF(G7&lt;=0,0,G7*IF(AND('02_Debt Engine'!$F$19="Yes",'02_Debt Engine'!$V$19&gt;0,G$4&gt;'02_Debt Engine'!$I$19),'02_Debt Engine'!$C$13,IF('02_Debt Engine'!$D$19="Active",'02_Debt Engine'!$H$19,'02_Debt Engine'!$C$7)))</f>
        <v>0</v>
      </c>
      <c r="H8" s="328">
        <f>IF(H7&lt;=0,0,H7*IF(AND('02_Debt Engine'!$F$19="Yes",'02_Debt Engine'!$V$19&gt;0,H$4&gt;'02_Debt Engine'!$I$19),'02_Debt Engine'!$C$13,IF('02_Debt Engine'!$D$19="Active",'02_Debt Engine'!$H$19,'02_Debt Engine'!$C$7)))</f>
        <v>0</v>
      </c>
      <c r="I8" s="328">
        <f>IF(I7&lt;=0,0,I7*IF(AND('02_Debt Engine'!$F$19="Yes",'02_Debt Engine'!$V$19&gt;0,I$4&gt;'02_Debt Engine'!$I$19),'02_Debt Engine'!$C$13,IF('02_Debt Engine'!$D$19="Active",'02_Debt Engine'!$H$19,'02_Debt Engine'!$C$7)))</f>
        <v>0</v>
      </c>
      <c r="J8" s="328">
        <f>IF(J7&lt;=0,0,J7*IF(AND('02_Debt Engine'!$F$19="Yes",'02_Debt Engine'!$V$19&gt;0,J$4&gt;'02_Debt Engine'!$I$19),'02_Debt Engine'!$C$13,IF('02_Debt Engine'!$D$19="Active",'02_Debt Engine'!$H$19,'02_Debt Engine'!$C$7)))</f>
        <v>0</v>
      </c>
      <c r="K8" s="328">
        <f>IF(K7&lt;=0,0,K7*IF(AND('02_Debt Engine'!$F$19="Yes",'02_Debt Engine'!$V$19&gt;0,K$4&gt;'02_Debt Engine'!$I$19),'02_Debt Engine'!$C$13,IF('02_Debt Engine'!$D$19="Active",'02_Debt Engine'!$H$19,'02_Debt Engine'!$C$7)))</f>
        <v>0</v>
      </c>
      <c r="L8" s="328">
        <f>IF(L7&lt;=0,0,L7*IF(AND('02_Debt Engine'!$F$19="Yes",'02_Debt Engine'!$V$19&gt;0,L$4&gt;'02_Debt Engine'!$I$19),'02_Debt Engine'!$C$13,IF('02_Debt Engine'!$D$19="Active",'02_Debt Engine'!$H$19,'02_Debt Engine'!$C$7)))</f>
        <v>0</v>
      </c>
      <c r="M8" s="328">
        <f>IF(M7&lt;=0,0,M7*IF(AND('02_Debt Engine'!$F$19="Yes",'02_Debt Engine'!$V$19&gt;0,M$4&gt;'02_Debt Engine'!$I$19),'02_Debt Engine'!$C$13,IF('02_Debt Engine'!$D$19="Active",'02_Debt Engine'!$H$19,'02_Debt Engine'!$C$7)))</f>
        <v>0</v>
      </c>
      <c r="N8" s="328">
        <f>IF(N7&lt;=0,0,N7*IF(AND('02_Debt Engine'!$F$19="Yes",'02_Debt Engine'!$V$19&gt;0,N$4&gt;'02_Debt Engine'!$I$19),'02_Debt Engine'!$C$13,IF('02_Debt Engine'!$D$19="Active",'02_Debt Engine'!$H$19,'02_Debt Engine'!$C$7)))</f>
        <v>0</v>
      </c>
      <c r="O8" s="328">
        <f>IF(O7&lt;=0,0,O7*IF(AND('02_Debt Engine'!$F$19="Yes",'02_Debt Engine'!$V$19&gt;0,O$4&gt;'02_Debt Engine'!$I$19),'02_Debt Engine'!$C$13,IF('02_Debt Engine'!$D$19="Active",'02_Debt Engine'!$H$19,'02_Debt Engine'!$C$7)))</f>
        <v>0</v>
      </c>
      <c r="P8" s="328">
        <f>IF(P7&lt;=0,0,P7*IF(AND('02_Debt Engine'!$F$19="Yes",'02_Debt Engine'!$V$19&gt;0,P$4&gt;'02_Debt Engine'!$I$19),'02_Debt Engine'!$C$13,IF('02_Debt Engine'!$D$19="Active",'02_Debt Engine'!$H$19,'02_Debt Engine'!$C$7)))</f>
        <v>0</v>
      </c>
      <c r="Q8" s="328">
        <f>IF(Q7&lt;=0,0,Q7*IF(AND('02_Debt Engine'!$F$19="Yes",'02_Debt Engine'!$V$19&gt;0,Q$4&gt;'02_Debt Engine'!$I$19),'02_Debt Engine'!$C$13,IF('02_Debt Engine'!$D$19="Active",'02_Debt Engine'!$H$19,'02_Debt Engine'!$C$7)))</f>
        <v>0</v>
      </c>
      <c r="R8" s="328">
        <f>IF(R7&lt;=0,0,R7*IF(AND('02_Debt Engine'!$F$19="Yes",'02_Debt Engine'!$V$19&gt;0,R$4&gt;'02_Debt Engine'!$I$19),'02_Debt Engine'!$C$13,IF('02_Debt Engine'!$D$19="Active",'02_Debt Engine'!$H$19,'02_Debt Engine'!$C$7)))</f>
        <v>0</v>
      </c>
      <c r="S8" s="328">
        <f>IF(S7&lt;=0,0,S7*IF(AND('02_Debt Engine'!$F$19="Yes",'02_Debt Engine'!$V$19&gt;0,S$4&gt;'02_Debt Engine'!$I$19),'02_Debt Engine'!$C$13,IF('02_Debt Engine'!$D$19="Active",'02_Debt Engine'!$H$19,'02_Debt Engine'!$C$7)))</f>
        <v>0</v>
      </c>
      <c r="T8" s="328">
        <f>IF(T7&lt;=0,0,T7*IF(AND('02_Debt Engine'!$F$19="Yes",'02_Debt Engine'!$V$19&gt;0,T$4&gt;'02_Debt Engine'!$I$19),'02_Debt Engine'!$C$13,IF('02_Debt Engine'!$D$19="Active",'02_Debt Engine'!$H$19,'02_Debt Engine'!$C$7)))</f>
        <v>0</v>
      </c>
      <c r="U8" s="328">
        <f>IF(U7&lt;=0,0,U7*IF(AND('02_Debt Engine'!$F$19="Yes",'02_Debt Engine'!$V$19&gt;0,U$4&gt;'02_Debt Engine'!$I$19),'02_Debt Engine'!$C$13,IF('02_Debt Engine'!$D$19="Active",'02_Debt Engine'!$H$19,'02_Debt Engine'!$C$7)))</f>
        <v>0</v>
      </c>
      <c r="V8" s="328">
        <f>IF(V7&lt;=0,0,V7*IF(AND('02_Debt Engine'!$F$19="Yes",'02_Debt Engine'!$V$19&gt;0,V$4&gt;'02_Debt Engine'!$I$19),'02_Debt Engine'!$C$13,IF('02_Debt Engine'!$D$19="Active",'02_Debt Engine'!$H$19,'02_Debt Engine'!$C$7)))</f>
        <v>0</v>
      </c>
      <c r="W8" s="328">
        <f>IF(W7&lt;=0,0,W7*IF(AND('02_Debt Engine'!$F$19="Yes",'02_Debt Engine'!$V$19&gt;0,W$4&gt;'02_Debt Engine'!$I$19),'02_Debt Engine'!$C$13,IF('02_Debt Engine'!$D$19="Active",'02_Debt Engine'!$H$19,'02_Debt Engine'!$C$7)))</f>
        <v>0</v>
      </c>
    </row>
    <row r="9" spans="2:23">
      <c r="B9" s="13" t="s">
        <v>532</v>
      </c>
      <c r="C9" s="329">
        <f>IF(C7&lt;=0,0,MIN(C7,IF(AND('02_Debt Engine'!$F$19="Yes",'02_Debt Engine'!$V$19&gt;0,C$4&gt;'02_Debt Engine'!$I$19),'02_Debt Engine'!$W$19,IF('02_Debt Engine'!$D$19="Active",'02_Debt Engine'!$K$19,'02_Debt Engine'!$P$19))-C8))</f>
        <v>0</v>
      </c>
      <c r="D9" s="329">
        <f>IF(D7&lt;=0,0,MIN(D7,IF(AND('02_Debt Engine'!$F$19="Yes",'02_Debt Engine'!$V$19&gt;0,D$4&gt;'02_Debt Engine'!$I$19),'02_Debt Engine'!$W$19,IF('02_Debt Engine'!$D$19="Active",'02_Debt Engine'!$K$19,'02_Debt Engine'!$P$19))-D8))</f>
        <v>0</v>
      </c>
      <c r="E9" s="329">
        <f>IF(E7&lt;=0,0,MIN(E7,IF(AND('02_Debt Engine'!$F$19="Yes",'02_Debt Engine'!$V$19&gt;0,E$4&gt;'02_Debt Engine'!$I$19),'02_Debt Engine'!$W$19,IF('02_Debt Engine'!$D$19="Active",'02_Debt Engine'!$K$19,'02_Debt Engine'!$P$19))-E8))</f>
        <v>0</v>
      </c>
      <c r="F9" s="329">
        <f>IF(F7&lt;=0,0,MIN(F7,IF(AND('02_Debt Engine'!$F$19="Yes",'02_Debt Engine'!$V$19&gt;0,F$4&gt;'02_Debt Engine'!$I$19),'02_Debt Engine'!$W$19,IF('02_Debt Engine'!$D$19="Active",'02_Debt Engine'!$K$19,'02_Debt Engine'!$P$19))-F8))</f>
        <v>0</v>
      </c>
      <c r="G9" s="329">
        <f>IF(G7&lt;=0,0,MIN(G7,IF(AND('02_Debt Engine'!$F$19="Yes",'02_Debt Engine'!$V$19&gt;0,G$4&gt;'02_Debt Engine'!$I$19),'02_Debt Engine'!$W$19,IF('02_Debt Engine'!$D$19="Active",'02_Debt Engine'!$K$19,'02_Debt Engine'!$P$19))-G8))</f>
        <v>0</v>
      </c>
      <c r="H9" s="329">
        <f>IF(H7&lt;=0,0,MIN(H7,IF(AND('02_Debt Engine'!$F$19="Yes",'02_Debt Engine'!$V$19&gt;0,H$4&gt;'02_Debt Engine'!$I$19),'02_Debt Engine'!$W$19,IF('02_Debt Engine'!$D$19="Active",'02_Debt Engine'!$K$19,'02_Debt Engine'!$P$19))-H8))</f>
        <v>0</v>
      </c>
      <c r="I9" s="329">
        <f>IF(I7&lt;=0,0,MIN(I7,IF(AND('02_Debt Engine'!$F$19="Yes",'02_Debt Engine'!$V$19&gt;0,I$4&gt;'02_Debt Engine'!$I$19),'02_Debt Engine'!$W$19,IF('02_Debt Engine'!$D$19="Active",'02_Debt Engine'!$K$19,'02_Debt Engine'!$P$19))-I8))</f>
        <v>0</v>
      </c>
      <c r="J9" s="329">
        <f>IF(J7&lt;=0,0,MIN(J7,IF(AND('02_Debt Engine'!$F$19="Yes",'02_Debt Engine'!$V$19&gt;0,J$4&gt;'02_Debt Engine'!$I$19),'02_Debt Engine'!$W$19,IF('02_Debt Engine'!$D$19="Active",'02_Debt Engine'!$K$19,'02_Debt Engine'!$P$19))-J8))</f>
        <v>0</v>
      </c>
      <c r="K9" s="329">
        <f>IF(K7&lt;=0,0,MIN(K7,IF(AND('02_Debt Engine'!$F$19="Yes",'02_Debt Engine'!$V$19&gt;0,K$4&gt;'02_Debt Engine'!$I$19),'02_Debt Engine'!$W$19,IF('02_Debt Engine'!$D$19="Active",'02_Debt Engine'!$K$19,'02_Debt Engine'!$P$19))-K8))</f>
        <v>0</v>
      </c>
      <c r="L9" s="329">
        <f>IF(L7&lt;=0,0,MIN(L7,IF(AND('02_Debt Engine'!$F$19="Yes",'02_Debt Engine'!$V$19&gt;0,L$4&gt;'02_Debt Engine'!$I$19),'02_Debt Engine'!$W$19,IF('02_Debt Engine'!$D$19="Active",'02_Debt Engine'!$K$19,'02_Debt Engine'!$P$19))-L8))</f>
        <v>0</v>
      </c>
      <c r="M9" s="329">
        <f>IF(M7&lt;=0,0,MIN(M7,IF(AND('02_Debt Engine'!$F$19="Yes",'02_Debt Engine'!$V$19&gt;0,M$4&gt;'02_Debt Engine'!$I$19),'02_Debt Engine'!$W$19,IF('02_Debt Engine'!$D$19="Active",'02_Debt Engine'!$K$19,'02_Debt Engine'!$P$19))-M8))</f>
        <v>0</v>
      </c>
      <c r="N9" s="329">
        <f>IF(N7&lt;=0,0,MIN(N7,IF(AND('02_Debt Engine'!$F$19="Yes",'02_Debt Engine'!$V$19&gt;0,N$4&gt;'02_Debt Engine'!$I$19),'02_Debt Engine'!$W$19,IF('02_Debt Engine'!$D$19="Active",'02_Debt Engine'!$K$19,'02_Debt Engine'!$P$19))-N8))</f>
        <v>0</v>
      </c>
      <c r="O9" s="329">
        <f>IF(O7&lt;=0,0,MIN(O7,IF(AND('02_Debt Engine'!$F$19="Yes",'02_Debt Engine'!$V$19&gt;0,O$4&gt;'02_Debt Engine'!$I$19),'02_Debt Engine'!$W$19,IF('02_Debt Engine'!$D$19="Active",'02_Debt Engine'!$K$19,'02_Debt Engine'!$P$19))-O8))</f>
        <v>0</v>
      </c>
      <c r="P9" s="329">
        <f>IF(P7&lt;=0,0,MIN(P7,IF(AND('02_Debt Engine'!$F$19="Yes",'02_Debt Engine'!$V$19&gt;0,P$4&gt;'02_Debt Engine'!$I$19),'02_Debt Engine'!$W$19,IF('02_Debt Engine'!$D$19="Active",'02_Debt Engine'!$K$19,'02_Debt Engine'!$P$19))-P8))</f>
        <v>0</v>
      </c>
      <c r="Q9" s="329">
        <f>IF(Q7&lt;=0,0,MIN(Q7,IF(AND('02_Debt Engine'!$F$19="Yes",'02_Debt Engine'!$V$19&gt;0,Q$4&gt;'02_Debt Engine'!$I$19),'02_Debt Engine'!$W$19,IF('02_Debt Engine'!$D$19="Active",'02_Debt Engine'!$K$19,'02_Debt Engine'!$P$19))-Q8))</f>
        <v>0</v>
      </c>
      <c r="R9" s="329">
        <f>IF(R7&lt;=0,0,MIN(R7,IF(AND('02_Debt Engine'!$F$19="Yes",'02_Debt Engine'!$V$19&gt;0,R$4&gt;'02_Debt Engine'!$I$19),'02_Debt Engine'!$W$19,IF('02_Debt Engine'!$D$19="Active",'02_Debt Engine'!$K$19,'02_Debt Engine'!$P$19))-R8))</f>
        <v>0</v>
      </c>
      <c r="S9" s="329">
        <f>IF(S7&lt;=0,0,MIN(S7,IF(AND('02_Debt Engine'!$F$19="Yes",'02_Debt Engine'!$V$19&gt;0,S$4&gt;'02_Debt Engine'!$I$19),'02_Debt Engine'!$W$19,IF('02_Debt Engine'!$D$19="Active",'02_Debt Engine'!$K$19,'02_Debt Engine'!$P$19))-S8))</f>
        <v>0</v>
      </c>
      <c r="T9" s="329">
        <f>IF(T7&lt;=0,0,MIN(T7,IF(AND('02_Debt Engine'!$F$19="Yes",'02_Debt Engine'!$V$19&gt;0,T$4&gt;'02_Debt Engine'!$I$19),'02_Debt Engine'!$W$19,IF('02_Debt Engine'!$D$19="Active",'02_Debt Engine'!$K$19,'02_Debt Engine'!$P$19))-T8))</f>
        <v>0</v>
      </c>
      <c r="U9" s="329">
        <f>IF(U7&lt;=0,0,MIN(U7,IF(AND('02_Debt Engine'!$F$19="Yes",'02_Debt Engine'!$V$19&gt;0,U$4&gt;'02_Debt Engine'!$I$19),'02_Debt Engine'!$W$19,IF('02_Debt Engine'!$D$19="Active",'02_Debt Engine'!$K$19,'02_Debt Engine'!$P$19))-U8))</f>
        <v>0</v>
      </c>
      <c r="V9" s="329">
        <f>IF(V7&lt;=0,0,MIN(V7,IF(AND('02_Debt Engine'!$F$19="Yes",'02_Debt Engine'!$V$19&gt;0,V$4&gt;'02_Debt Engine'!$I$19),'02_Debt Engine'!$W$19,IF('02_Debt Engine'!$D$19="Active",'02_Debt Engine'!$K$19,'02_Debt Engine'!$P$19))-V8))</f>
        <v>0</v>
      </c>
      <c r="W9" s="329">
        <f>IF(W7&lt;=0,0,MIN(W7,IF(AND('02_Debt Engine'!$F$19="Yes",'02_Debt Engine'!$V$19&gt;0,W$4&gt;'02_Debt Engine'!$I$19),'02_Debt Engine'!$W$19,IF('02_Debt Engine'!$D$19="Active",'02_Debt Engine'!$K$19,'02_Debt Engine'!$P$19))-W8))</f>
        <v>0</v>
      </c>
    </row>
    <row r="10" spans="2:23">
      <c r="B10" s="14" t="s">
        <v>533</v>
      </c>
      <c r="C10" s="328">
        <f t="shared" ref="C10:W10" si="1">C7-C9</f>
        <v>0</v>
      </c>
      <c r="D10" s="328">
        <f t="shared" si="1"/>
        <v>0</v>
      </c>
      <c r="E10" s="328">
        <f t="shared" si="1"/>
        <v>0</v>
      </c>
      <c r="F10" s="328">
        <f t="shared" si="1"/>
        <v>0</v>
      </c>
      <c r="G10" s="328">
        <f t="shared" si="1"/>
        <v>0</v>
      </c>
      <c r="H10" s="328">
        <f t="shared" si="1"/>
        <v>0</v>
      </c>
      <c r="I10" s="328">
        <f t="shared" si="1"/>
        <v>0</v>
      </c>
      <c r="J10" s="328">
        <f t="shared" si="1"/>
        <v>0</v>
      </c>
      <c r="K10" s="328">
        <f t="shared" si="1"/>
        <v>0</v>
      </c>
      <c r="L10" s="328">
        <f t="shared" si="1"/>
        <v>0</v>
      </c>
      <c r="M10" s="328">
        <f t="shared" si="1"/>
        <v>0</v>
      </c>
      <c r="N10" s="328">
        <f t="shared" si="1"/>
        <v>0</v>
      </c>
      <c r="O10" s="328">
        <f t="shared" si="1"/>
        <v>0</v>
      </c>
      <c r="P10" s="328">
        <f t="shared" si="1"/>
        <v>0</v>
      </c>
      <c r="Q10" s="328">
        <f t="shared" si="1"/>
        <v>0</v>
      </c>
      <c r="R10" s="328">
        <f t="shared" si="1"/>
        <v>0</v>
      </c>
      <c r="S10" s="328">
        <f t="shared" si="1"/>
        <v>0</v>
      </c>
      <c r="T10" s="328">
        <f t="shared" si="1"/>
        <v>0</v>
      </c>
      <c r="U10" s="328">
        <f t="shared" si="1"/>
        <v>0</v>
      </c>
      <c r="V10" s="328">
        <f t="shared" si="1"/>
        <v>0</v>
      </c>
      <c r="W10" s="328">
        <f t="shared" si="1"/>
        <v>0</v>
      </c>
    </row>
    <row r="11" spans="2:23">
      <c r="B11" s="3" t="s">
        <v>367</v>
      </c>
      <c r="C11" s="328">
        <f>IF(AND('02_Debt Engine'!$F$19="Yes",'02_Debt Engine'!$V$19&gt;0,C$4='02_Debt Engine'!$I$19),-C10,0)</f>
        <v>0</v>
      </c>
      <c r="D11" s="328">
        <f>IF(AND('02_Debt Engine'!$F$19="Yes",'02_Debt Engine'!$V$19&gt;0,D$4='02_Debt Engine'!$I$19),-D10,0)</f>
        <v>0</v>
      </c>
      <c r="E11" s="328">
        <f>IF(AND('02_Debt Engine'!$F$19="Yes",'02_Debt Engine'!$V$19&gt;0,E$4='02_Debt Engine'!$I$19),-E10,0)</f>
        <v>0</v>
      </c>
      <c r="F11" s="328">
        <f>IF(AND('02_Debt Engine'!$F$19="Yes",'02_Debt Engine'!$V$19&gt;0,F$4='02_Debt Engine'!$I$19),-F10,0)</f>
        <v>0</v>
      </c>
      <c r="G11" s="328">
        <f>IF(AND('02_Debt Engine'!$F$19="Yes",'02_Debt Engine'!$V$19&gt;0,G$4='02_Debt Engine'!$I$19),-G10,0)</f>
        <v>0</v>
      </c>
      <c r="H11" s="328">
        <f>IF(AND('02_Debt Engine'!$F$19="Yes",'02_Debt Engine'!$V$19&gt;0,H$4='02_Debt Engine'!$I$19),-H10,0)</f>
        <v>0</v>
      </c>
      <c r="I11" s="328">
        <f>IF(AND('02_Debt Engine'!$F$19="Yes",'02_Debt Engine'!$V$19&gt;0,I$4='02_Debt Engine'!$I$19),-I10,0)</f>
        <v>0</v>
      </c>
      <c r="J11" s="328">
        <f>IF(AND('02_Debt Engine'!$F$19="Yes",'02_Debt Engine'!$V$19&gt;0,J$4='02_Debt Engine'!$I$19),-J10,0)</f>
        <v>0</v>
      </c>
      <c r="K11" s="328">
        <f>IF(AND('02_Debt Engine'!$F$19="Yes",'02_Debt Engine'!$V$19&gt;0,K$4='02_Debt Engine'!$I$19),-K10,0)</f>
        <v>0</v>
      </c>
      <c r="L11" s="328">
        <f>IF(AND('02_Debt Engine'!$F$19="Yes",'02_Debt Engine'!$V$19&gt;0,L$4='02_Debt Engine'!$I$19),-L10,0)</f>
        <v>0</v>
      </c>
      <c r="M11" s="328">
        <f>IF(AND('02_Debt Engine'!$F$19="Yes",'02_Debt Engine'!$V$19&gt;0,M$4='02_Debt Engine'!$I$19),-M10,0)</f>
        <v>0</v>
      </c>
      <c r="N11" s="328">
        <f>IF(AND('02_Debt Engine'!$F$19="Yes",'02_Debt Engine'!$V$19&gt;0,N$4='02_Debt Engine'!$I$19),-N10,0)</f>
        <v>0</v>
      </c>
      <c r="O11" s="328">
        <f>IF(AND('02_Debt Engine'!$F$19="Yes",'02_Debt Engine'!$V$19&gt;0,O$4='02_Debt Engine'!$I$19),-O10,0)</f>
        <v>0</v>
      </c>
      <c r="P11" s="328">
        <f>IF(AND('02_Debt Engine'!$F$19="Yes",'02_Debt Engine'!$V$19&gt;0,P$4='02_Debt Engine'!$I$19),-P10,0)</f>
        <v>0</v>
      </c>
      <c r="Q11" s="328">
        <f>IF(AND('02_Debt Engine'!$F$19="Yes",'02_Debt Engine'!$V$19&gt;0,Q$4='02_Debt Engine'!$I$19),-Q10,0)</f>
        <v>0</v>
      </c>
      <c r="R11" s="328">
        <f>IF(AND('02_Debt Engine'!$F$19="Yes",'02_Debt Engine'!$V$19&gt;0,R$4='02_Debt Engine'!$I$19),-R10,0)</f>
        <v>0</v>
      </c>
      <c r="S11" s="328">
        <f>IF(AND('02_Debt Engine'!$F$19="Yes",'02_Debt Engine'!$V$19&gt;0,S$4='02_Debt Engine'!$I$19),-S10,0)</f>
        <v>0</v>
      </c>
      <c r="T11" s="328">
        <f>IF(AND('02_Debt Engine'!$F$19="Yes",'02_Debt Engine'!$V$19&gt;0,T$4='02_Debt Engine'!$I$19),-T10,0)</f>
        <v>0</v>
      </c>
      <c r="U11" s="328">
        <f>IF(AND('02_Debt Engine'!$F$19="Yes",'02_Debt Engine'!$V$19&gt;0,U$4='02_Debt Engine'!$I$19),-U10,0)</f>
        <v>0</v>
      </c>
      <c r="V11" s="328">
        <f>IF(AND('02_Debt Engine'!$F$19="Yes",'02_Debt Engine'!$V$19&gt;0,V$4='02_Debt Engine'!$I$19),-V10,0)</f>
        <v>0</v>
      </c>
      <c r="W11" s="328">
        <f>IF(AND('02_Debt Engine'!$F$19="Yes",'02_Debt Engine'!$V$19&gt;0,W$4='02_Debt Engine'!$I$19),-W10,0)</f>
        <v>0</v>
      </c>
    </row>
    <row r="12" spans="2:23">
      <c r="B12" s="13" t="s">
        <v>534</v>
      </c>
      <c r="C12" s="329">
        <f>IF(AND('02_Debt Engine'!$F$19="Yes",'02_Debt Engine'!$V$19&gt;0,C$4='02_Debt Engine'!$I$19),'02_Debt Engine'!$V$19,0)</f>
        <v>0</v>
      </c>
      <c r="D12" s="329">
        <f>IF(AND('02_Debt Engine'!$F$19="Yes",'02_Debt Engine'!$V$19&gt;0,D$4='02_Debt Engine'!$I$19),'02_Debt Engine'!$V$19,0)</f>
        <v>0</v>
      </c>
      <c r="E12" s="329">
        <f>IF(AND('02_Debt Engine'!$F$19="Yes",'02_Debt Engine'!$V$19&gt;0,E$4='02_Debt Engine'!$I$19),'02_Debt Engine'!$V$19,0)</f>
        <v>0</v>
      </c>
      <c r="F12" s="329">
        <f>IF(AND('02_Debt Engine'!$F$19="Yes",'02_Debt Engine'!$V$19&gt;0,F$4='02_Debt Engine'!$I$19),'02_Debt Engine'!$V$19,0)</f>
        <v>0</v>
      </c>
      <c r="G12" s="329">
        <f>IF(AND('02_Debt Engine'!$F$19="Yes",'02_Debt Engine'!$V$19&gt;0,G$4='02_Debt Engine'!$I$19),'02_Debt Engine'!$V$19,0)</f>
        <v>0</v>
      </c>
      <c r="H12" s="329">
        <f>IF(AND('02_Debt Engine'!$F$19="Yes",'02_Debt Engine'!$V$19&gt;0,H$4='02_Debt Engine'!$I$19),'02_Debt Engine'!$V$19,0)</f>
        <v>0</v>
      </c>
      <c r="I12" s="329">
        <f>IF(AND('02_Debt Engine'!$F$19="Yes",'02_Debt Engine'!$V$19&gt;0,I$4='02_Debt Engine'!$I$19),'02_Debt Engine'!$V$19,0)</f>
        <v>0</v>
      </c>
      <c r="J12" s="329">
        <f>IF(AND('02_Debt Engine'!$F$19="Yes",'02_Debt Engine'!$V$19&gt;0,J$4='02_Debt Engine'!$I$19),'02_Debt Engine'!$V$19,0)</f>
        <v>0</v>
      </c>
      <c r="K12" s="329">
        <f>IF(AND('02_Debt Engine'!$F$19="Yes",'02_Debt Engine'!$V$19&gt;0,K$4='02_Debt Engine'!$I$19),'02_Debt Engine'!$V$19,0)</f>
        <v>0</v>
      </c>
      <c r="L12" s="329">
        <f>IF(AND('02_Debt Engine'!$F$19="Yes",'02_Debt Engine'!$V$19&gt;0,L$4='02_Debt Engine'!$I$19),'02_Debt Engine'!$V$19,0)</f>
        <v>0</v>
      </c>
      <c r="M12" s="329">
        <f>IF(AND('02_Debt Engine'!$F$19="Yes",'02_Debt Engine'!$V$19&gt;0,M$4='02_Debt Engine'!$I$19),'02_Debt Engine'!$V$19,0)</f>
        <v>0</v>
      </c>
      <c r="N12" s="329">
        <f>IF(AND('02_Debt Engine'!$F$19="Yes",'02_Debt Engine'!$V$19&gt;0,N$4='02_Debt Engine'!$I$19),'02_Debt Engine'!$V$19,0)</f>
        <v>0</v>
      </c>
      <c r="O12" s="329">
        <f>IF(AND('02_Debt Engine'!$F$19="Yes",'02_Debt Engine'!$V$19&gt;0,O$4='02_Debt Engine'!$I$19),'02_Debt Engine'!$V$19,0)</f>
        <v>0</v>
      </c>
      <c r="P12" s="329">
        <f>IF(AND('02_Debt Engine'!$F$19="Yes",'02_Debt Engine'!$V$19&gt;0,P$4='02_Debt Engine'!$I$19),'02_Debt Engine'!$V$19,0)</f>
        <v>0</v>
      </c>
      <c r="Q12" s="329">
        <f>IF(AND('02_Debt Engine'!$F$19="Yes",'02_Debt Engine'!$V$19&gt;0,Q$4='02_Debt Engine'!$I$19),'02_Debt Engine'!$V$19,0)</f>
        <v>0</v>
      </c>
      <c r="R12" s="329">
        <f>IF(AND('02_Debt Engine'!$F$19="Yes",'02_Debt Engine'!$V$19&gt;0,R$4='02_Debt Engine'!$I$19),'02_Debt Engine'!$V$19,0)</f>
        <v>0</v>
      </c>
      <c r="S12" s="329">
        <f>IF(AND('02_Debt Engine'!$F$19="Yes",'02_Debt Engine'!$V$19&gt;0,S$4='02_Debt Engine'!$I$19),'02_Debt Engine'!$V$19,0)</f>
        <v>0</v>
      </c>
      <c r="T12" s="329">
        <f>IF(AND('02_Debt Engine'!$F$19="Yes",'02_Debt Engine'!$V$19&gt;0,T$4='02_Debt Engine'!$I$19),'02_Debt Engine'!$V$19,0)</f>
        <v>0</v>
      </c>
      <c r="U12" s="329">
        <f>IF(AND('02_Debt Engine'!$F$19="Yes",'02_Debt Engine'!$V$19&gt;0,U$4='02_Debt Engine'!$I$19),'02_Debt Engine'!$V$19,0)</f>
        <v>0</v>
      </c>
      <c r="V12" s="329">
        <f>IF(AND('02_Debt Engine'!$F$19="Yes",'02_Debt Engine'!$V$19&gt;0,V$4='02_Debt Engine'!$I$19),'02_Debt Engine'!$V$19,0)</f>
        <v>0</v>
      </c>
      <c r="W12" s="329">
        <f>IF(AND('02_Debt Engine'!$F$19="Yes",'02_Debt Engine'!$V$19&gt;0,W$4='02_Debt Engine'!$I$19),'02_Debt Engine'!$V$19,0)</f>
        <v>0</v>
      </c>
    </row>
    <row r="13" spans="2:23">
      <c r="B13" s="3" t="s">
        <v>535</v>
      </c>
      <c r="C13" s="330">
        <f t="shared" ref="C13:W13" si="2">C11+C12</f>
        <v>0</v>
      </c>
      <c r="D13" s="330">
        <f t="shared" si="2"/>
        <v>0</v>
      </c>
      <c r="E13" s="330">
        <f t="shared" si="2"/>
        <v>0</v>
      </c>
      <c r="F13" s="330">
        <f t="shared" si="2"/>
        <v>0</v>
      </c>
      <c r="G13" s="330">
        <f t="shared" si="2"/>
        <v>0</v>
      </c>
      <c r="H13" s="330">
        <f t="shared" si="2"/>
        <v>0</v>
      </c>
      <c r="I13" s="330">
        <f t="shared" si="2"/>
        <v>0</v>
      </c>
      <c r="J13" s="330">
        <f t="shared" si="2"/>
        <v>0</v>
      </c>
      <c r="K13" s="330">
        <f t="shared" si="2"/>
        <v>0</v>
      </c>
      <c r="L13" s="330">
        <f t="shared" si="2"/>
        <v>0</v>
      </c>
      <c r="M13" s="330">
        <f t="shared" si="2"/>
        <v>0</v>
      </c>
      <c r="N13" s="330">
        <f t="shared" si="2"/>
        <v>0</v>
      </c>
      <c r="O13" s="330">
        <f t="shared" si="2"/>
        <v>0</v>
      </c>
      <c r="P13" s="330">
        <f t="shared" si="2"/>
        <v>0</v>
      </c>
      <c r="Q13" s="330">
        <f t="shared" si="2"/>
        <v>0</v>
      </c>
      <c r="R13" s="330">
        <f t="shared" si="2"/>
        <v>0</v>
      </c>
      <c r="S13" s="330">
        <f t="shared" si="2"/>
        <v>0</v>
      </c>
      <c r="T13" s="330">
        <f t="shared" si="2"/>
        <v>0</v>
      </c>
      <c r="U13" s="330">
        <f t="shared" si="2"/>
        <v>0</v>
      </c>
      <c r="V13" s="330">
        <f t="shared" si="2"/>
        <v>0</v>
      </c>
      <c r="W13" s="330">
        <f t="shared" si="2"/>
        <v>0</v>
      </c>
    </row>
    <row r="14" spans="2:23">
      <c r="B14" s="3" t="s">
        <v>525</v>
      </c>
      <c r="C14" s="328">
        <f t="shared" ref="C14:W14" si="3">C8+C9</f>
        <v>0</v>
      </c>
      <c r="D14" s="328">
        <f t="shared" si="3"/>
        <v>0</v>
      </c>
      <c r="E14" s="328">
        <f t="shared" si="3"/>
        <v>0</v>
      </c>
      <c r="F14" s="328">
        <f t="shared" si="3"/>
        <v>0</v>
      </c>
      <c r="G14" s="328">
        <f t="shared" si="3"/>
        <v>0</v>
      </c>
      <c r="H14" s="328">
        <f t="shared" si="3"/>
        <v>0</v>
      </c>
      <c r="I14" s="328">
        <f t="shared" si="3"/>
        <v>0</v>
      </c>
      <c r="J14" s="328">
        <f t="shared" si="3"/>
        <v>0</v>
      </c>
      <c r="K14" s="328">
        <f t="shared" si="3"/>
        <v>0</v>
      </c>
      <c r="L14" s="328">
        <f t="shared" si="3"/>
        <v>0</v>
      </c>
      <c r="M14" s="328">
        <f t="shared" si="3"/>
        <v>0</v>
      </c>
      <c r="N14" s="328">
        <f t="shared" si="3"/>
        <v>0</v>
      </c>
      <c r="O14" s="328">
        <f t="shared" si="3"/>
        <v>0</v>
      </c>
      <c r="P14" s="328">
        <f t="shared" si="3"/>
        <v>0</v>
      </c>
      <c r="Q14" s="328">
        <f t="shared" si="3"/>
        <v>0</v>
      </c>
      <c r="R14" s="328">
        <f t="shared" si="3"/>
        <v>0</v>
      </c>
      <c r="S14" s="328">
        <f t="shared" si="3"/>
        <v>0</v>
      </c>
      <c r="T14" s="328">
        <f t="shared" si="3"/>
        <v>0</v>
      </c>
      <c r="U14" s="328">
        <f t="shared" si="3"/>
        <v>0</v>
      </c>
      <c r="V14" s="328">
        <f t="shared" si="3"/>
        <v>0</v>
      </c>
      <c r="W14" s="328">
        <f t="shared" si="3"/>
        <v>0</v>
      </c>
    </row>
    <row r="16" spans="2:23">
      <c r="B16" s="327" t="str">
        <f>'02_Debt Engine'!$B$20</f>
        <v>Antkiw Court</v>
      </c>
      <c r="C16" s="327" t="str">
        <f>_xlfn.LET(_xlpm.refiyr,INDEX('02_Debt Engine'!$I$19:$I$35,MATCH('02A_Debt Schedule'!$B16,'02_Debt Engine'!$B$19:$B$35,0)),IF(_xlpm.refiyr='02A_Debt Schedule'!C$4,"Refi Yr.",""))</f>
        <v/>
      </c>
      <c r="D16" s="327" t="str">
        <f>_xlfn.LET(_xlpm.refiyr,INDEX('02_Debt Engine'!$I$19:$I$35,MATCH('02A_Debt Schedule'!$B16,'02_Debt Engine'!$B$19:$B$35,0)),IF(_xlpm.refiyr='02A_Debt Schedule'!D$4,"Refi Yr.",""))</f>
        <v/>
      </c>
      <c r="E16" s="327" t="str">
        <f>_xlfn.LET(_xlpm.refiyr,INDEX('02_Debt Engine'!$I$19:$I$35,MATCH('02A_Debt Schedule'!$B16,'02_Debt Engine'!$B$19:$B$35,0)),IF(_xlpm.refiyr='02A_Debt Schedule'!E$4,"Refi Yr.",""))</f>
        <v/>
      </c>
      <c r="F16" s="327" t="str">
        <f>_xlfn.LET(_xlpm.refiyr,INDEX('02_Debt Engine'!$I$19:$I$35,MATCH('02A_Debt Schedule'!$B16,'02_Debt Engine'!$B$19:$B$35,0)),IF(_xlpm.refiyr='02A_Debt Schedule'!F$4,"Refi Yr.",""))</f>
        <v/>
      </c>
      <c r="G16" s="327" t="str">
        <f>_xlfn.LET(_xlpm.refiyr,INDEX('02_Debt Engine'!$I$19:$I$35,MATCH('02A_Debt Schedule'!$B16,'02_Debt Engine'!$B$19:$B$35,0)),IF(_xlpm.refiyr='02A_Debt Schedule'!G$4,"Refi Yr.",""))</f>
        <v/>
      </c>
      <c r="H16" s="327" t="str">
        <f>_xlfn.LET(_xlpm.refiyr,INDEX('02_Debt Engine'!$I$19:$I$35,MATCH('02A_Debt Schedule'!$B16,'02_Debt Engine'!$B$19:$B$35,0)),IF(_xlpm.refiyr='02A_Debt Schedule'!H$4,"Refi Yr.",""))</f>
        <v/>
      </c>
      <c r="I16" s="327" t="str">
        <f>_xlfn.LET(_xlpm.refiyr,INDEX('02_Debt Engine'!$I$19:$I$35,MATCH('02A_Debt Schedule'!$B16,'02_Debt Engine'!$B$19:$B$35,0)),IF(_xlpm.refiyr='02A_Debt Schedule'!I$4,"Refi Yr.",""))</f>
        <v/>
      </c>
      <c r="J16" s="327" t="str">
        <f>_xlfn.LET(_xlpm.refiyr,INDEX('02_Debt Engine'!$I$19:$I$35,MATCH('02A_Debt Schedule'!$B16,'02_Debt Engine'!$B$19:$B$35,0)),IF(_xlpm.refiyr='02A_Debt Schedule'!J$4,"Refi Yr.",""))</f>
        <v/>
      </c>
      <c r="K16" s="327" t="str">
        <f>_xlfn.LET(_xlpm.refiyr,INDEX('02_Debt Engine'!$I$19:$I$35,MATCH('02A_Debt Schedule'!$B16,'02_Debt Engine'!$B$19:$B$35,0)),IF(_xlpm.refiyr='02A_Debt Schedule'!K$4,"Refi Yr.",""))</f>
        <v/>
      </c>
      <c r="L16" s="327" t="str">
        <f>_xlfn.LET(_xlpm.refiyr,INDEX('02_Debt Engine'!$I$19:$I$35,MATCH('02A_Debt Schedule'!$B16,'02_Debt Engine'!$B$19:$B$35,0)),IF(_xlpm.refiyr='02A_Debt Schedule'!L$4,"Refi Yr.",""))</f>
        <v/>
      </c>
      <c r="M16" s="327" t="str">
        <f>_xlfn.LET(_xlpm.refiyr,INDEX('02_Debt Engine'!$I$19:$I$35,MATCH('02A_Debt Schedule'!$B16,'02_Debt Engine'!$B$19:$B$35,0)),IF(_xlpm.refiyr='02A_Debt Schedule'!M$4,"Refi Yr.",""))</f>
        <v>Refi Yr.</v>
      </c>
      <c r="N16" s="327" t="str">
        <f>_xlfn.LET(_xlpm.refiyr,INDEX('02_Debt Engine'!$I$19:$I$35,MATCH('02A_Debt Schedule'!$B16,'02_Debt Engine'!$B$19:$B$35,0)),IF(_xlpm.refiyr='02A_Debt Schedule'!N$4,"Refi Yr.",""))</f>
        <v/>
      </c>
      <c r="O16" s="327" t="str">
        <f>_xlfn.LET(_xlpm.refiyr,INDEX('02_Debt Engine'!$I$19:$I$35,MATCH('02A_Debt Schedule'!$B16,'02_Debt Engine'!$B$19:$B$35,0)),IF(_xlpm.refiyr='02A_Debt Schedule'!O$4,"Refi Yr.",""))</f>
        <v/>
      </c>
      <c r="P16" s="327" t="str">
        <f>_xlfn.LET(_xlpm.refiyr,INDEX('02_Debt Engine'!$I$19:$I$35,MATCH('02A_Debt Schedule'!$B16,'02_Debt Engine'!$B$19:$B$35,0)),IF(_xlpm.refiyr='02A_Debt Schedule'!P$4,"Refi Yr.",""))</f>
        <v/>
      </c>
      <c r="Q16" s="327" t="str">
        <f>_xlfn.LET(_xlpm.refiyr,INDEX('02_Debt Engine'!$I$19:$I$35,MATCH('02A_Debt Schedule'!$B16,'02_Debt Engine'!$B$19:$B$35,0)),IF(_xlpm.refiyr='02A_Debt Schedule'!Q$4,"Refi Yr.",""))</f>
        <v/>
      </c>
      <c r="R16" s="327" t="str">
        <f>_xlfn.LET(_xlpm.refiyr,INDEX('02_Debt Engine'!$I$19:$I$35,MATCH('02A_Debt Schedule'!$B16,'02_Debt Engine'!$B$19:$B$35,0)),IF(_xlpm.refiyr='02A_Debt Schedule'!R$4,"Refi Yr.",""))</f>
        <v/>
      </c>
      <c r="S16" s="327" t="str">
        <f>_xlfn.LET(_xlpm.refiyr,INDEX('02_Debt Engine'!$I$19:$I$35,MATCH('02A_Debt Schedule'!$B16,'02_Debt Engine'!$B$19:$B$35,0)),IF(_xlpm.refiyr='02A_Debt Schedule'!S$4,"Refi Yr.",""))</f>
        <v/>
      </c>
      <c r="T16" s="327" t="str">
        <f>_xlfn.LET(_xlpm.refiyr,INDEX('02_Debt Engine'!$I$19:$I$35,MATCH('02A_Debt Schedule'!$B16,'02_Debt Engine'!$B$19:$B$35,0)),IF(_xlpm.refiyr='02A_Debt Schedule'!T$4,"Refi Yr.",""))</f>
        <v/>
      </c>
      <c r="U16" s="327" t="str">
        <f>_xlfn.LET(_xlpm.refiyr,INDEX('02_Debt Engine'!$I$19:$I$35,MATCH('02A_Debt Schedule'!$B16,'02_Debt Engine'!$B$19:$B$35,0)),IF(_xlpm.refiyr='02A_Debt Schedule'!U$4,"Refi Yr.",""))</f>
        <v/>
      </c>
      <c r="V16" s="327" t="str">
        <f>_xlfn.LET(_xlpm.refiyr,INDEX('02_Debt Engine'!$I$19:$I$35,MATCH('02A_Debt Schedule'!$B16,'02_Debt Engine'!$B$19:$B$35,0)),IF(_xlpm.refiyr='02A_Debt Schedule'!V$4,"Refi Yr.",""))</f>
        <v/>
      </c>
      <c r="W16" s="327" t="str">
        <f>_xlfn.LET(_xlpm.refiyr,INDEX('02_Debt Engine'!$I$19:$I$35,MATCH('02A_Debt Schedule'!$B16,'02_Debt Engine'!$B$19:$B$35,0)),IF(_xlpm.refiyr='02A_Debt Schedule'!W$4,"Refi Yr.",""))</f>
        <v/>
      </c>
    </row>
    <row r="17" spans="2:23">
      <c r="B17" s="3" t="s">
        <v>531</v>
      </c>
      <c r="C17" s="328">
        <f>IF('02_Debt Engine'!$D$20="Active",'02_Debt Engine'!$N$20,'02_Debt Engine'!$O$20)</f>
        <v>794745.17</v>
      </c>
      <c r="D17" s="328">
        <f>IF(AND('02_Debt Engine'!$F$20="Yes",'02_Debt Engine'!$V$20&gt;0,C$4='02_Debt Engine'!$I$20),'02_Debt Engine'!$V$20,C20)</f>
        <v>772395.59564080008</v>
      </c>
      <c r="E17" s="328">
        <f>IF(AND('02_Debt Engine'!$F$20="Yes",'02_Debt Engine'!$V$20&gt;0,D$4='02_Debt Engine'!$I$20),'02_Debt Engine'!$V$20,D20)</f>
        <v>749146.67440938589</v>
      </c>
      <c r="F17" s="328">
        <f>IF(AND('02_Debt Engine'!$F$20="Yes",'02_Debt Engine'!$V$20&gt;0,E$4='02_Debt Engine'!$I$20),'02_Debt Engine'!$V$20,E20)</f>
        <v>724962.21658761962</v>
      </c>
      <c r="G17" s="328">
        <f>IF(AND('02_Debt Engine'!$F$20="Yes",'02_Debt Engine'!$V$20&gt;0,F$4='02_Debt Engine'!$I$20),'02_Debt Engine'!$V$20,F20)</f>
        <v>699804.57618310547</v>
      </c>
      <c r="H17" s="328">
        <f>IF(AND('02_Debt Engine'!$F$20="Yes",'02_Debt Engine'!$V$20&gt;0,G$4='02_Debt Engine'!$I$20),'02_Debt Engine'!$V$20,G20)</f>
        <v>673634.59232871362</v>
      </c>
      <c r="I17" s="328">
        <f>IF(AND('02_Debt Engine'!$F$20="Yes",'02_Debt Engine'!$V$20&gt;0,H$4='02_Debt Engine'!$I$20),'02_Debt Engine'!$V$20,H20)</f>
        <v>646411.52832402103</v>
      </c>
      <c r="J17" s="328">
        <f>IF(AND('02_Debt Engine'!$F$20="Yes",'02_Debt Engine'!$V$20&gt;0,I$4='02_Debt Engine'!$I$20),'02_Debt Engine'!$V$20,I20)</f>
        <v>618093.00822377962</v>
      </c>
      <c r="K17" s="328">
        <f>IF(AND('02_Debt Engine'!$F$20="Yes",'02_Debt Engine'!$V$20&gt;0,J$4='02_Debt Engine'!$I$20),'02_Debt Engine'!$V$20,J20)</f>
        <v>588634.95087470452</v>
      </c>
      <c r="L17" s="328">
        <f>IF(AND('02_Debt Engine'!$F$20="Yes",'02_Debt Engine'!$V$20&gt;0,K$4='02_Debt Engine'!$I$20),'02_Debt Engine'!$V$20,K20)</f>
        <v>557991.50129790267</v>
      </c>
      <c r="M17" s="328">
        <f>IF(AND('02_Debt Engine'!$F$20="Yes",'02_Debt Engine'!$V$20&gt;0,L$4='02_Debt Engine'!$I$20),'02_Debt Engine'!$V$20,L20)</f>
        <v>526114.95931013022</v>
      </c>
      <c r="N17" s="328">
        <f>IF(AND('02_Debt Engine'!$F$20="Yes",'02_Debt Engine'!$V$20&gt;0,M$4='02_Debt Engine'!$I$20),'02_Debt Engine'!$V$20,M20)</f>
        <v>492955.70527276985</v>
      </c>
      <c r="O17" s="328">
        <f>IF(AND('02_Debt Engine'!$F$20="Yes",'02_Debt Engine'!$V$20&gt;0,N$4='02_Debt Engine'!$I$20),'02_Debt Engine'!$V$20,N20)</f>
        <v>458462.12285294611</v>
      </c>
      <c r="P17" s="328">
        <f>IF(AND('02_Debt Engine'!$F$20="Yes",'02_Debt Engine'!$V$20&gt;0,O$4='02_Debt Engine'!$I$20),'02_Debt Engine'!$V$20,O20)</f>
        <v>422580.51867654867</v>
      </c>
      <c r="Q17" s="328">
        <f>IF(AND('02_Debt Engine'!$F$20="Yes",'02_Debt Engine'!$V$20&gt;0,P$4='02_Debt Engine'!$I$20),'02_Debt Engine'!$V$20,P20)</f>
        <v>385255.03874809301</v>
      </c>
      <c r="R17" s="328">
        <f>IF(AND('02_Debt Engine'!$F$20="Yes",'02_Debt Engine'!$V$20&gt;0,Q$4='02_Debt Engine'!$I$20),'02_Debt Engine'!$V$20,Q20)</f>
        <v>346427.58150731627</v>
      </c>
      <c r="S17" s="328">
        <f>IF(AND('02_Debt Engine'!$F$20="Yes",'02_Debt Engine'!$V$20&gt;0,R$4='02_Debt Engine'!$I$20),'02_Debt Engine'!$V$20,R20)</f>
        <v>306037.70738717064</v>
      </c>
      <c r="T17" s="328">
        <f>IF(AND('02_Debt Engine'!$F$20="Yes",'02_Debt Engine'!$V$20&gt;0,S$4='02_Debt Engine'!$I$20),'02_Debt Engine'!$V$20,S20)</f>
        <v>264022.54473243037</v>
      </c>
      <c r="U17" s="328">
        <f>IF(AND('02_Debt Engine'!$F$20="Yes",'02_Debt Engine'!$V$20&gt;0,T$4='02_Debt Engine'!$I$20),'02_Debt Engine'!$V$20,T20)</f>
        <v>220316.69193246338</v>
      </c>
      <c r="V17" s="328">
        <f>IF(AND('02_Debt Engine'!$F$20="Yes",'02_Debt Engine'!$V$20&gt;0,U$4='02_Debt Engine'!$I$20),'02_Debt Engine'!$V$20,U20)</f>
        <v>174852.11561582569</v>
      </c>
      <c r="W17" s="328">
        <f>IF(AND('02_Debt Engine'!$F$20="Yes",'02_Debt Engine'!$V$20&gt;0,V$4='02_Debt Engine'!$I$20),'02_Debt Engine'!$V$20,V20)</f>
        <v>127558.04474820651</v>
      </c>
    </row>
    <row r="18" spans="2:23">
      <c r="B18" s="3" t="s">
        <v>514</v>
      </c>
      <c r="C18" s="328">
        <f>IF(C17&lt;=0,0,C17*IF(AND('02_Debt Engine'!$F$20="Yes",'02_Debt Engine'!$V$20&gt;0,C$4&gt;'02_Debt Engine'!$I$20),'02_Debt Engine'!$C$13,IF('02_Debt Engine'!$D$20="Active",'02_Debt Engine'!$H$20,'02_Debt Engine'!$C$7)))</f>
        <v>31980.545640799999</v>
      </c>
      <c r="D18" s="328">
        <f>IF(D17&lt;=0,0,D17*IF(AND('02_Debt Engine'!$F$20="Yes",'02_Debt Engine'!$V$20&gt;0,D$4&gt;'02_Debt Engine'!$I$20),'02_Debt Engine'!$C$13,IF('02_Debt Engine'!$D$20="Active",'02_Debt Engine'!$H$20,'02_Debt Engine'!$C$7)))</f>
        <v>31081.198768585793</v>
      </c>
      <c r="E18" s="328">
        <f>IF(E17&lt;=0,0,E17*IF(AND('02_Debt Engine'!$F$20="Yes",'02_Debt Engine'!$V$20&gt;0,E$4&gt;'02_Debt Engine'!$I$20),'02_Debt Engine'!$C$13,IF('02_Debt Engine'!$D$20="Active",'02_Debt Engine'!$H$20,'02_Debt Engine'!$C$7)))</f>
        <v>30145.662178233688</v>
      </c>
      <c r="F18" s="328">
        <f>IF(F17&lt;=0,0,F17*IF(AND('02_Debt Engine'!$F$20="Yes",'02_Debt Engine'!$V$20&gt;0,F$4&gt;'02_Debt Engine'!$I$20),'02_Debt Engine'!$C$13,IF('02_Debt Engine'!$D$20="Active",'02_Debt Engine'!$H$20,'02_Debt Engine'!$C$7)))</f>
        <v>29172.479595485813</v>
      </c>
      <c r="G18" s="328">
        <f>IF(G17&lt;=0,0,G17*IF(AND('02_Debt Engine'!$F$20="Yes",'02_Debt Engine'!$V$20&gt;0,G$4&gt;'02_Debt Engine'!$I$20),'02_Debt Engine'!$C$13,IF('02_Debt Engine'!$D$20="Active",'02_Debt Engine'!$H$20,'02_Debt Engine'!$C$7)))</f>
        <v>28160.136145608161</v>
      </c>
      <c r="H18" s="328">
        <f>IF(H17&lt;=0,0,H17*IF(AND('02_Debt Engine'!$F$20="Yes",'02_Debt Engine'!$V$20&gt;0,H$4&gt;'02_Debt Engine'!$I$20),'02_Debt Engine'!$C$13,IF('02_Debt Engine'!$D$20="Active",'02_Debt Engine'!$H$20,'02_Debt Engine'!$C$7)))</f>
        <v>27107.055995307433</v>
      </c>
      <c r="I18" s="328">
        <f>IF(I17&lt;=0,0,I17*IF(AND('02_Debt Engine'!$F$20="Yes",'02_Debt Engine'!$V$20&gt;0,I$4&gt;'02_Debt Engine'!$I$20),'02_Debt Engine'!$C$13,IF('02_Debt Engine'!$D$20="Active",'02_Debt Engine'!$H$20,'02_Debt Engine'!$C$7)))</f>
        <v>26011.599899758607</v>
      </c>
      <c r="J18" s="328">
        <f>IF(J17&lt;=0,0,J17*IF(AND('02_Debt Engine'!$F$20="Yes",'02_Debt Engine'!$V$20&gt;0,J$4&gt;'02_Debt Engine'!$I$20),'02_Debt Engine'!$C$13,IF('02_Debt Engine'!$D$20="Active",'02_Debt Engine'!$H$20,'02_Debt Engine'!$C$7)))</f>
        <v>24872.06265092489</v>
      </c>
      <c r="K18" s="328">
        <f>IF(K17&lt;=0,0,K17*IF(AND('02_Debt Engine'!$F$20="Yes",'02_Debt Engine'!$V$20&gt;0,K$4&gt;'02_Debt Engine'!$I$20),'02_Debt Engine'!$C$13,IF('02_Debt Engine'!$D$20="Active",'02_Debt Engine'!$H$20,'02_Debt Engine'!$C$7)))</f>
        <v>23686.670423198109</v>
      </c>
      <c r="L18" s="328">
        <f>IF(L17&lt;=0,0,L17*IF(AND('02_Debt Engine'!$F$20="Yes",'02_Debt Engine'!$V$20&gt;0,L$4&gt;'02_Debt Engine'!$I$20),'02_Debt Engine'!$C$13,IF('02_Debt Engine'!$D$20="Active",'02_Debt Engine'!$H$20,'02_Debt Engine'!$C$7)))</f>
        <v>22453.578012227601</v>
      </c>
      <c r="M18" s="328">
        <f>IF(M17&lt;=0,0,M17*IF(AND('02_Debt Engine'!$F$20="Yes",'02_Debt Engine'!$V$20&gt;0,M$4&gt;'02_Debt Engine'!$I$20),'02_Debt Engine'!$C$13,IF('02_Debt Engine'!$D$20="Active",'02_Debt Engine'!$H$20,'02_Debt Engine'!$C$7)))</f>
        <v>21170.86596263964</v>
      </c>
      <c r="N18" s="328">
        <f>IF(N17&lt;=0,0,N17*IF(AND('02_Debt Engine'!$F$20="Yes",'02_Debt Engine'!$V$20&gt;0,N$4&gt;'02_Debt Engine'!$I$20),'02_Debt Engine'!$C$13,IF('02_Debt Engine'!$D$20="Active",'02_Debt Engine'!$H$20,'02_Debt Engine'!$C$7)))</f>
        <v>19836.537580176257</v>
      </c>
      <c r="O18" s="328">
        <f>IF(O17&lt;=0,0,O17*IF(AND('02_Debt Engine'!$F$20="Yes",'02_Debt Engine'!$V$20&gt;0,O$4&gt;'02_Debt Engine'!$I$20),'02_Debt Engine'!$C$13,IF('02_Debt Engine'!$D$20="Active",'02_Debt Engine'!$H$20,'02_Debt Engine'!$C$7)))</f>
        <v>18448.515823602549</v>
      </c>
      <c r="P18" s="328">
        <f>IF(P17&lt;=0,0,P17*IF(AND('02_Debt Engine'!$F$20="Yes",'02_Debt Engine'!$V$20&gt;0,P$4&gt;'02_Debt Engine'!$I$20),'02_Debt Engine'!$C$13,IF('02_Debt Engine'!$D$20="Active",'02_Debt Engine'!$H$20,'02_Debt Engine'!$C$7)))</f>
        <v>17004.640071544316</v>
      </c>
      <c r="Q18" s="328">
        <f>IF(Q17&lt;=0,0,Q17*IF(AND('02_Debt Engine'!$F$20="Yes",'02_Debt Engine'!$V$20&gt;0,Q$4&gt;'02_Debt Engine'!$I$20),'02_Debt Engine'!$C$13,IF('02_Debt Engine'!$D$20="Active",'02_Debt Engine'!$H$20,'02_Debt Engine'!$C$7)))</f>
        <v>15502.662759223262</v>
      </c>
      <c r="R18" s="328">
        <f>IF(R17&lt;=0,0,R17*IF(AND('02_Debt Engine'!$F$20="Yes",'02_Debt Engine'!$V$20&gt;0,R$4&gt;'02_Debt Engine'!$I$20),'02_Debt Engine'!$C$13,IF('02_Debt Engine'!$D$20="Active",'02_Debt Engine'!$H$20,'02_Debt Engine'!$C$7)))</f>
        <v>13940.245879854407</v>
      </c>
      <c r="S18" s="328">
        <f>IF(S17&lt;=0,0,S17*IF(AND('02_Debt Engine'!$F$20="Yes",'02_Debt Engine'!$V$20&gt;0,S$4&gt;'02_Debt Engine'!$I$20),'02_Debt Engine'!$C$13,IF('02_Debt Engine'!$D$20="Active",'02_Debt Engine'!$H$20,'02_Debt Engine'!$C$7)))</f>
        <v>12314.957345259745</v>
      </c>
      <c r="T18" s="328">
        <f>IF(T17&lt;=0,0,T17*IF(AND('02_Debt Engine'!$F$20="Yes",'02_Debt Engine'!$V$20&gt;0,T$4&gt;'02_Debt Engine'!$I$20),'02_Debt Engine'!$C$13,IF('02_Debt Engine'!$D$20="Active",'02_Debt Engine'!$H$20,'02_Debt Engine'!$C$7)))</f>
        <v>10624.267200032997</v>
      </c>
      <c r="U18" s="328">
        <f>IF(U17&lt;=0,0,U17*IF(AND('02_Debt Engine'!$F$20="Yes",'02_Debt Engine'!$V$20&gt;0,U$4&gt;'02_Debt Engine'!$I$20),'02_Debt Engine'!$C$13,IF('02_Debt Engine'!$D$20="Active",'02_Debt Engine'!$H$20,'02_Debt Engine'!$C$7)))</f>
        <v>8865.5436833623262</v>
      </c>
      <c r="V18" s="328">
        <f>IF(V17&lt;=0,0,V17*IF(AND('02_Debt Engine'!$F$20="Yes",'02_Debt Engine'!$V$20&gt;0,V$4&gt;'02_Debt Engine'!$I$20),'02_Debt Engine'!$C$13,IF('02_Debt Engine'!$D$20="Active",'02_Debt Engine'!$H$20,'02_Debt Engine'!$C$7)))</f>
        <v>7036.0491323808255</v>
      </c>
      <c r="W18" s="328">
        <f>IF(W17&lt;=0,0,W17*IF(AND('02_Debt Engine'!$F$20="Yes",'02_Debt Engine'!$V$20&gt;0,W$4&gt;'02_Debt Engine'!$I$20),'02_Debt Engine'!$C$13,IF('02_Debt Engine'!$D$20="Active",'02_Debt Engine'!$H$20,'02_Debt Engine'!$C$7)))</f>
        <v>5132.9357206678296</v>
      </c>
    </row>
    <row r="19" spans="2:23">
      <c r="B19" s="13" t="s">
        <v>532</v>
      </c>
      <c r="C19" s="329">
        <f>IF(C17&lt;=0,0,MIN(C17,IF(AND('02_Debt Engine'!$F$20="Yes",'02_Debt Engine'!$V$20&gt;0,C$4&gt;'02_Debt Engine'!$I$20),'02_Debt Engine'!$W$20,IF('02_Debt Engine'!$D$20="Active",'02_Debt Engine'!$K$20,'02_Debt Engine'!$P$20))-C18))</f>
        <v>22349.574359200004</v>
      </c>
      <c r="D19" s="329">
        <f>IF(D17&lt;=0,0,MIN(D17,IF(AND('02_Debt Engine'!$F$20="Yes",'02_Debt Engine'!$V$20&gt;0,D$4&gt;'02_Debt Engine'!$I$20),'02_Debt Engine'!$W$20,IF('02_Debt Engine'!$D$20="Active",'02_Debt Engine'!$K$20,'02_Debt Engine'!$P$20))-D18))</f>
        <v>23248.92123141421</v>
      </c>
      <c r="E19" s="329">
        <f>IF(E17&lt;=0,0,MIN(E17,IF(AND('02_Debt Engine'!$F$20="Yes",'02_Debt Engine'!$V$20&gt;0,E$4&gt;'02_Debt Engine'!$I$20),'02_Debt Engine'!$W$20,IF('02_Debt Engine'!$D$20="Active",'02_Debt Engine'!$K$20,'02_Debt Engine'!$P$20))-E18))</f>
        <v>24184.457821766315</v>
      </c>
      <c r="F19" s="329">
        <f>IF(F17&lt;=0,0,MIN(F17,IF(AND('02_Debt Engine'!$F$20="Yes",'02_Debt Engine'!$V$20&gt;0,F$4&gt;'02_Debt Engine'!$I$20),'02_Debt Engine'!$W$20,IF('02_Debt Engine'!$D$20="Active",'02_Debt Engine'!$K$20,'02_Debt Engine'!$P$20))-F18))</f>
        <v>25157.64040451419</v>
      </c>
      <c r="G19" s="329">
        <f>IF(G17&lt;=0,0,MIN(G17,IF(AND('02_Debt Engine'!$F$20="Yes",'02_Debt Engine'!$V$20&gt;0,G$4&gt;'02_Debt Engine'!$I$20),'02_Debt Engine'!$W$20,IF('02_Debt Engine'!$D$20="Active",'02_Debt Engine'!$K$20,'02_Debt Engine'!$P$20))-G18))</f>
        <v>26169.983854391841</v>
      </c>
      <c r="H19" s="329">
        <f>IF(H17&lt;=0,0,MIN(H17,IF(AND('02_Debt Engine'!$F$20="Yes",'02_Debt Engine'!$V$20&gt;0,H$4&gt;'02_Debt Engine'!$I$20),'02_Debt Engine'!$W$20,IF('02_Debt Engine'!$D$20="Active",'02_Debt Engine'!$K$20,'02_Debt Engine'!$P$20))-H18))</f>
        <v>27223.064004692569</v>
      </c>
      <c r="I19" s="329">
        <f>IF(I17&lt;=0,0,MIN(I17,IF(AND('02_Debt Engine'!$F$20="Yes",'02_Debt Engine'!$V$20&gt;0,I$4&gt;'02_Debt Engine'!$I$20),'02_Debt Engine'!$W$20,IF('02_Debt Engine'!$D$20="Active",'02_Debt Engine'!$K$20,'02_Debt Engine'!$P$20))-I18))</f>
        <v>28318.520100241396</v>
      </c>
      <c r="J19" s="329">
        <f>IF(J17&lt;=0,0,MIN(J17,IF(AND('02_Debt Engine'!$F$20="Yes",'02_Debt Engine'!$V$20&gt;0,J$4&gt;'02_Debt Engine'!$I$20),'02_Debt Engine'!$W$20,IF('02_Debt Engine'!$D$20="Active",'02_Debt Engine'!$K$20,'02_Debt Engine'!$P$20))-J18))</f>
        <v>29458.057349075112</v>
      </c>
      <c r="K19" s="329">
        <f>IF(K17&lt;=0,0,MIN(K17,IF(AND('02_Debt Engine'!$F$20="Yes",'02_Debt Engine'!$V$20&gt;0,K$4&gt;'02_Debt Engine'!$I$20),'02_Debt Engine'!$W$20,IF('02_Debt Engine'!$D$20="Active",'02_Debt Engine'!$K$20,'02_Debt Engine'!$P$20))-K18))</f>
        <v>30643.449576801893</v>
      </c>
      <c r="L19" s="329">
        <f>IF(L17&lt;=0,0,MIN(L17,IF(AND('02_Debt Engine'!$F$20="Yes",'02_Debt Engine'!$V$20&gt;0,L$4&gt;'02_Debt Engine'!$I$20),'02_Debt Engine'!$W$20,IF('02_Debt Engine'!$D$20="Active",'02_Debt Engine'!$K$20,'02_Debt Engine'!$P$20))-L18))</f>
        <v>31876.541987772402</v>
      </c>
      <c r="M19" s="329">
        <f>IF(M17&lt;=0,0,MIN(M17,IF(AND('02_Debt Engine'!$F$20="Yes",'02_Debt Engine'!$V$20&gt;0,M$4&gt;'02_Debt Engine'!$I$20),'02_Debt Engine'!$W$20,IF('02_Debt Engine'!$D$20="Active",'02_Debt Engine'!$K$20,'02_Debt Engine'!$P$20))-M18))</f>
        <v>33159.254037360362</v>
      </c>
      <c r="N19" s="329">
        <f>IF(N17&lt;=0,0,MIN(N17,IF(AND('02_Debt Engine'!$F$20="Yes",'02_Debt Engine'!$V$20&gt;0,N$4&gt;'02_Debt Engine'!$I$20),'02_Debt Engine'!$W$20,IF('02_Debt Engine'!$D$20="Active",'02_Debt Engine'!$K$20,'02_Debt Engine'!$P$20))-N18))</f>
        <v>34493.582419823746</v>
      </c>
      <c r="O19" s="329">
        <f>IF(O17&lt;=0,0,MIN(O17,IF(AND('02_Debt Engine'!$F$20="Yes",'02_Debt Engine'!$V$20&gt;0,O$4&gt;'02_Debt Engine'!$I$20),'02_Debt Engine'!$W$20,IF('02_Debt Engine'!$D$20="Active",'02_Debt Engine'!$K$20,'02_Debt Engine'!$P$20))-O18))</f>
        <v>35881.60417639745</v>
      </c>
      <c r="P19" s="329">
        <f>IF(P17&lt;=0,0,MIN(P17,IF(AND('02_Debt Engine'!$F$20="Yes",'02_Debt Engine'!$V$20&gt;0,P$4&gt;'02_Debt Engine'!$I$20),'02_Debt Engine'!$W$20,IF('02_Debt Engine'!$D$20="Active",'02_Debt Engine'!$K$20,'02_Debt Engine'!$P$20))-P18))</f>
        <v>37325.479928455687</v>
      </c>
      <c r="Q19" s="329">
        <f>IF(Q17&lt;=0,0,MIN(Q17,IF(AND('02_Debt Engine'!$F$20="Yes",'02_Debt Engine'!$V$20&gt;0,Q$4&gt;'02_Debt Engine'!$I$20),'02_Debt Engine'!$W$20,IF('02_Debt Engine'!$D$20="Active",'02_Debt Engine'!$K$20,'02_Debt Engine'!$P$20))-Q18))</f>
        <v>38827.457240776741</v>
      </c>
      <c r="R19" s="329">
        <f>IF(R17&lt;=0,0,MIN(R17,IF(AND('02_Debt Engine'!$F$20="Yes",'02_Debt Engine'!$V$20&gt;0,R$4&gt;'02_Debt Engine'!$I$20),'02_Debt Engine'!$W$20,IF('02_Debt Engine'!$D$20="Active",'02_Debt Engine'!$K$20,'02_Debt Engine'!$P$20))-R18))</f>
        <v>40389.8741201456</v>
      </c>
      <c r="S19" s="329">
        <f>IF(S17&lt;=0,0,MIN(S17,IF(AND('02_Debt Engine'!$F$20="Yes",'02_Debt Engine'!$V$20&gt;0,S$4&gt;'02_Debt Engine'!$I$20),'02_Debt Engine'!$W$20,IF('02_Debt Engine'!$D$20="Active",'02_Debt Engine'!$K$20,'02_Debt Engine'!$P$20))-S18))</f>
        <v>42015.162654740256</v>
      </c>
      <c r="T19" s="329">
        <f>IF(T17&lt;=0,0,MIN(T17,IF(AND('02_Debt Engine'!$F$20="Yes",'02_Debt Engine'!$V$20&gt;0,T$4&gt;'02_Debt Engine'!$I$20),'02_Debt Engine'!$W$20,IF('02_Debt Engine'!$D$20="Active",'02_Debt Engine'!$K$20,'02_Debt Engine'!$P$20))-T18))</f>
        <v>43705.852799967004</v>
      </c>
      <c r="U19" s="329">
        <f>IF(U17&lt;=0,0,MIN(U17,IF(AND('02_Debt Engine'!$F$20="Yes",'02_Debt Engine'!$V$20&gt;0,U$4&gt;'02_Debt Engine'!$I$20),'02_Debt Engine'!$W$20,IF('02_Debt Engine'!$D$20="Active",'02_Debt Engine'!$K$20,'02_Debt Engine'!$P$20))-U18))</f>
        <v>45464.576316637678</v>
      </c>
      <c r="V19" s="329">
        <f>IF(V17&lt;=0,0,MIN(V17,IF(AND('02_Debt Engine'!$F$20="Yes",'02_Debt Engine'!$V$20&gt;0,V$4&gt;'02_Debt Engine'!$I$20),'02_Debt Engine'!$W$20,IF('02_Debt Engine'!$D$20="Active",'02_Debt Engine'!$K$20,'02_Debt Engine'!$P$20))-V18))</f>
        <v>47294.070867619179</v>
      </c>
      <c r="W19" s="329">
        <f>IF(W17&lt;=0,0,MIN(W17,IF(AND('02_Debt Engine'!$F$20="Yes",'02_Debt Engine'!$V$20&gt;0,W$4&gt;'02_Debt Engine'!$I$20),'02_Debt Engine'!$W$20,IF('02_Debt Engine'!$D$20="Active",'02_Debt Engine'!$K$20,'02_Debt Engine'!$P$20))-W18))</f>
        <v>49197.18427933217</v>
      </c>
    </row>
    <row r="20" spans="2:23">
      <c r="B20" s="14" t="s">
        <v>533</v>
      </c>
      <c r="C20" s="331">
        <f t="shared" ref="C20:W20" si="4">C17-C19</f>
        <v>772395.59564080008</v>
      </c>
      <c r="D20" s="331">
        <f t="shared" si="4"/>
        <v>749146.67440938589</v>
      </c>
      <c r="E20" s="331">
        <f t="shared" si="4"/>
        <v>724962.21658761962</v>
      </c>
      <c r="F20" s="331">
        <f t="shared" si="4"/>
        <v>699804.57618310547</v>
      </c>
      <c r="G20" s="331">
        <f t="shared" si="4"/>
        <v>673634.59232871362</v>
      </c>
      <c r="H20" s="331">
        <f t="shared" si="4"/>
        <v>646411.52832402103</v>
      </c>
      <c r="I20" s="331">
        <f t="shared" si="4"/>
        <v>618093.00822377962</v>
      </c>
      <c r="J20" s="331">
        <f t="shared" si="4"/>
        <v>588634.95087470452</v>
      </c>
      <c r="K20" s="331">
        <f t="shared" si="4"/>
        <v>557991.50129790267</v>
      </c>
      <c r="L20" s="331">
        <f t="shared" si="4"/>
        <v>526114.95931013022</v>
      </c>
      <c r="M20" s="331">
        <f t="shared" si="4"/>
        <v>492955.70527276985</v>
      </c>
      <c r="N20" s="331">
        <f t="shared" si="4"/>
        <v>458462.12285294611</v>
      </c>
      <c r="O20" s="331">
        <f t="shared" si="4"/>
        <v>422580.51867654867</v>
      </c>
      <c r="P20" s="331">
        <f t="shared" si="4"/>
        <v>385255.03874809301</v>
      </c>
      <c r="Q20" s="331">
        <f t="shared" si="4"/>
        <v>346427.58150731627</v>
      </c>
      <c r="R20" s="331">
        <f t="shared" si="4"/>
        <v>306037.70738717064</v>
      </c>
      <c r="S20" s="331">
        <f t="shared" si="4"/>
        <v>264022.54473243037</v>
      </c>
      <c r="T20" s="331">
        <f t="shared" si="4"/>
        <v>220316.69193246338</v>
      </c>
      <c r="U20" s="331">
        <f t="shared" si="4"/>
        <v>174852.11561582569</v>
      </c>
      <c r="V20" s="331">
        <f t="shared" si="4"/>
        <v>127558.04474820651</v>
      </c>
      <c r="W20" s="331">
        <f t="shared" si="4"/>
        <v>78360.860468874336</v>
      </c>
    </row>
    <row r="21" spans="2:23">
      <c r="B21" s="3" t="s">
        <v>367</v>
      </c>
      <c r="C21" s="328">
        <f>IF(AND('02_Debt Engine'!$F$20="Yes",'02_Debt Engine'!$V$20&gt;0,C$4='02_Debt Engine'!$I$20),-C20,0)</f>
        <v>0</v>
      </c>
      <c r="D21" s="328">
        <f>IF(AND('02_Debt Engine'!$F$20="Yes",'02_Debt Engine'!$V$20&gt;0,D$4='02_Debt Engine'!$I$20),-D20,0)</f>
        <v>0</v>
      </c>
      <c r="E21" s="328">
        <f>IF(AND('02_Debt Engine'!$F$20="Yes",'02_Debt Engine'!$V$20&gt;0,E$4='02_Debt Engine'!$I$20),-E20,0)</f>
        <v>0</v>
      </c>
      <c r="F21" s="328">
        <f>IF(AND('02_Debt Engine'!$F$20="Yes",'02_Debt Engine'!$V$20&gt;0,F$4='02_Debt Engine'!$I$20),-F20,0)</f>
        <v>0</v>
      </c>
      <c r="G21" s="328">
        <f>IF(AND('02_Debt Engine'!$F$20="Yes",'02_Debt Engine'!$V$20&gt;0,G$4='02_Debt Engine'!$I$20),-G20,0)</f>
        <v>0</v>
      </c>
      <c r="H21" s="328">
        <f>IF(AND('02_Debt Engine'!$F$20="Yes",'02_Debt Engine'!$V$20&gt;0,H$4='02_Debt Engine'!$I$20),-H20,0)</f>
        <v>0</v>
      </c>
      <c r="I21" s="328">
        <f>IF(AND('02_Debt Engine'!$F$20="Yes",'02_Debt Engine'!$V$20&gt;0,I$4='02_Debt Engine'!$I$20),-I20,0)</f>
        <v>0</v>
      </c>
      <c r="J21" s="328">
        <f>IF(AND('02_Debt Engine'!$F$20="Yes",'02_Debt Engine'!$V$20&gt;0,J$4='02_Debt Engine'!$I$20),-J20,0)</f>
        <v>0</v>
      </c>
      <c r="K21" s="328">
        <f>IF(AND('02_Debt Engine'!$F$20="Yes",'02_Debt Engine'!$V$20&gt;0,K$4='02_Debt Engine'!$I$20),-K20,0)</f>
        <v>0</v>
      </c>
      <c r="L21" s="328">
        <f>IF(AND('02_Debt Engine'!$F$20="Yes",'02_Debt Engine'!$V$20&gt;0,L$4='02_Debt Engine'!$I$20),-L20,0)</f>
        <v>0</v>
      </c>
      <c r="M21" s="328">
        <f>IF(AND('02_Debt Engine'!$F$20="Yes",'02_Debt Engine'!$V$20&gt;0,M$4='02_Debt Engine'!$I$20),-M20,0)</f>
        <v>0</v>
      </c>
      <c r="N21" s="328">
        <f>IF(AND('02_Debt Engine'!$F$20="Yes",'02_Debt Engine'!$V$20&gt;0,N$4='02_Debt Engine'!$I$20),-N20,0)</f>
        <v>0</v>
      </c>
      <c r="O21" s="328">
        <f>IF(AND('02_Debt Engine'!$F$20="Yes",'02_Debt Engine'!$V$20&gt;0,O$4='02_Debt Engine'!$I$20),-O20,0)</f>
        <v>0</v>
      </c>
      <c r="P21" s="328">
        <f>IF(AND('02_Debt Engine'!$F$20="Yes",'02_Debt Engine'!$V$20&gt;0,P$4='02_Debt Engine'!$I$20),-P20,0)</f>
        <v>0</v>
      </c>
      <c r="Q21" s="328">
        <f>IF(AND('02_Debt Engine'!$F$20="Yes",'02_Debt Engine'!$V$20&gt;0,Q$4='02_Debt Engine'!$I$20),-Q20,0)</f>
        <v>0</v>
      </c>
      <c r="R21" s="328">
        <f>IF(AND('02_Debt Engine'!$F$20="Yes",'02_Debt Engine'!$V$20&gt;0,R$4='02_Debt Engine'!$I$20),-R20,0)</f>
        <v>0</v>
      </c>
      <c r="S21" s="328">
        <f>IF(AND('02_Debt Engine'!$F$20="Yes",'02_Debt Engine'!$V$20&gt;0,S$4='02_Debt Engine'!$I$20),-S20,0)</f>
        <v>0</v>
      </c>
      <c r="T21" s="328">
        <f>IF(AND('02_Debt Engine'!$F$20="Yes",'02_Debt Engine'!$V$20&gt;0,T$4='02_Debt Engine'!$I$20),-T20,0)</f>
        <v>0</v>
      </c>
      <c r="U21" s="328">
        <f>IF(AND('02_Debt Engine'!$F$20="Yes",'02_Debt Engine'!$V$20&gt;0,U$4='02_Debt Engine'!$I$20),-U20,0)</f>
        <v>0</v>
      </c>
      <c r="V21" s="328">
        <f>IF(AND('02_Debt Engine'!$F$20="Yes",'02_Debt Engine'!$V$20&gt;0,V$4='02_Debt Engine'!$I$20),-V20,0)</f>
        <v>0</v>
      </c>
      <c r="W21" s="328">
        <f>IF(AND('02_Debt Engine'!$F$20="Yes",'02_Debt Engine'!$V$20&gt;0,W$4='02_Debt Engine'!$I$20),-W20,0)</f>
        <v>0</v>
      </c>
    </row>
    <row r="22" spans="2:23">
      <c r="B22" s="13" t="s">
        <v>534</v>
      </c>
      <c r="C22" s="329">
        <f>IF(AND('02_Debt Engine'!$F$20="Yes",'02_Debt Engine'!$V$20&gt;0,C$4='02_Debt Engine'!$I$20),'02_Debt Engine'!$V$20,0)</f>
        <v>0</v>
      </c>
      <c r="D22" s="329">
        <f>IF(AND('02_Debt Engine'!$F$20="Yes",'02_Debt Engine'!$V$20&gt;0,D$4='02_Debt Engine'!$I$20),'02_Debt Engine'!$V$20,0)</f>
        <v>0</v>
      </c>
      <c r="E22" s="329">
        <f>IF(AND('02_Debt Engine'!$F$20="Yes",'02_Debt Engine'!$V$20&gt;0,E$4='02_Debt Engine'!$I$20),'02_Debt Engine'!$V$20,0)</f>
        <v>0</v>
      </c>
      <c r="F22" s="329">
        <f>IF(AND('02_Debt Engine'!$F$20="Yes",'02_Debt Engine'!$V$20&gt;0,F$4='02_Debt Engine'!$I$20),'02_Debt Engine'!$V$20,0)</f>
        <v>0</v>
      </c>
      <c r="G22" s="329">
        <f>IF(AND('02_Debt Engine'!$F$20="Yes",'02_Debt Engine'!$V$20&gt;0,G$4='02_Debt Engine'!$I$20),'02_Debt Engine'!$V$20,0)</f>
        <v>0</v>
      </c>
      <c r="H22" s="329">
        <f>IF(AND('02_Debt Engine'!$F$20="Yes",'02_Debt Engine'!$V$20&gt;0,H$4='02_Debt Engine'!$I$20),'02_Debt Engine'!$V$20,0)</f>
        <v>0</v>
      </c>
      <c r="I22" s="329">
        <f>IF(AND('02_Debt Engine'!$F$20="Yes",'02_Debt Engine'!$V$20&gt;0,I$4='02_Debt Engine'!$I$20),'02_Debt Engine'!$V$20,0)</f>
        <v>0</v>
      </c>
      <c r="J22" s="329">
        <f>IF(AND('02_Debt Engine'!$F$20="Yes",'02_Debt Engine'!$V$20&gt;0,J$4='02_Debt Engine'!$I$20),'02_Debt Engine'!$V$20,0)</f>
        <v>0</v>
      </c>
      <c r="K22" s="329">
        <f>IF(AND('02_Debt Engine'!$F$20="Yes",'02_Debt Engine'!$V$20&gt;0,K$4='02_Debt Engine'!$I$20),'02_Debt Engine'!$V$20,0)</f>
        <v>0</v>
      </c>
      <c r="L22" s="329">
        <f>IF(AND('02_Debt Engine'!$F$20="Yes",'02_Debt Engine'!$V$20&gt;0,L$4='02_Debt Engine'!$I$20),'02_Debt Engine'!$V$20,0)</f>
        <v>0</v>
      </c>
      <c r="M22" s="329">
        <f>IF(AND('02_Debt Engine'!$F$20="Yes",'02_Debt Engine'!$V$20&gt;0,M$4='02_Debt Engine'!$I$20),'02_Debt Engine'!$V$20,0)</f>
        <v>0</v>
      </c>
      <c r="N22" s="329">
        <f>IF(AND('02_Debt Engine'!$F$20="Yes",'02_Debt Engine'!$V$20&gt;0,N$4='02_Debt Engine'!$I$20),'02_Debt Engine'!$V$20,0)</f>
        <v>0</v>
      </c>
      <c r="O22" s="329">
        <f>IF(AND('02_Debt Engine'!$F$20="Yes",'02_Debt Engine'!$V$20&gt;0,O$4='02_Debt Engine'!$I$20),'02_Debt Engine'!$V$20,0)</f>
        <v>0</v>
      </c>
      <c r="P22" s="329">
        <f>IF(AND('02_Debt Engine'!$F$20="Yes",'02_Debt Engine'!$V$20&gt;0,P$4='02_Debt Engine'!$I$20),'02_Debt Engine'!$V$20,0)</f>
        <v>0</v>
      </c>
      <c r="Q22" s="329">
        <f>IF(AND('02_Debt Engine'!$F$20="Yes",'02_Debt Engine'!$V$20&gt;0,Q$4='02_Debt Engine'!$I$20),'02_Debt Engine'!$V$20,0)</f>
        <v>0</v>
      </c>
      <c r="R22" s="329">
        <f>IF(AND('02_Debt Engine'!$F$20="Yes",'02_Debt Engine'!$V$20&gt;0,R$4='02_Debt Engine'!$I$20),'02_Debt Engine'!$V$20,0)</f>
        <v>0</v>
      </c>
      <c r="S22" s="329">
        <f>IF(AND('02_Debt Engine'!$F$20="Yes",'02_Debt Engine'!$V$20&gt;0,S$4='02_Debt Engine'!$I$20),'02_Debt Engine'!$V$20,0)</f>
        <v>0</v>
      </c>
      <c r="T22" s="329">
        <f>IF(AND('02_Debt Engine'!$F$20="Yes",'02_Debt Engine'!$V$20&gt;0,T$4='02_Debt Engine'!$I$20),'02_Debt Engine'!$V$20,0)</f>
        <v>0</v>
      </c>
      <c r="U22" s="329">
        <f>IF(AND('02_Debt Engine'!$F$20="Yes",'02_Debt Engine'!$V$20&gt;0,U$4='02_Debt Engine'!$I$20),'02_Debt Engine'!$V$20,0)</f>
        <v>0</v>
      </c>
      <c r="V22" s="329">
        <f>IF(AND('02_Debt Engine'!$F$20="Yes",'02_Debt Engine'!$V$20&gt;0,V$4='02_Debt Engine'!$I$20),'02_Debt Engine'!$V$20,0)</f>
        <v>0</v>
      </c>
      <c r="W22" s="329">
        <f>IF(AND('02_Debt Engine'!$F$20="Yes",'02_Debt Engine'!$V$20&gt;0,W$4='02_Debt Engine'!$I$20),'02_Debt Engine'!$V$20,0)</f>
        <v>0</v>
      </c>
    </row>
    <row r="23" spans="2:23">
      <c r="B23" s="3" t="s">
        <v>535</v>
      </c>
      <c r="C23" s="330">
        <f t="shared" ref="C23:W23" si="5">C21+C22</f>
        <v>0</v>
      </c>
      <c r="D23" s="330">
        <f t="shared" si="5"/>
        <v>0</v>
      </c>
      <c r="E23" s="330">
        <f t="shared" si="5"/>
        <v>0</v>
      </c>
      <c r="F23" s="330">
        <f t="shared" si="5"/>
        <v>0</v>
      </c>
      <c r="G23" s="330">
        <f t="shared" si="5"/>
        <v>0</v>
      </c>
      <c r="H23" s="330">
        <f t="shared" si="5"/>
        <v>0</v>
      </c>
      <c r="I23" s="330">
        <f t="shared" si="5"/>
        <v>0</v>
      </c>
      <c r="J23" s="330">
        <f t="shared" si="5"/>
        <v>0</v>
      </c>
      <c r="K23" s="330">
        <f t="shared" si="5"/>
        <v>0</v>
      </c>
      <c r="L23" s="330">
        <f t="shared" si="5"/>
        <v>0</v>
      </c>
      <c r="M23" s="330">
        <f t="shared" si="5"/>
        <v>0</v>
      </c>
      <c r="N23" s="330">
        <f t="shared" si="5"/>
        <v>0</v>
      </c>
      <c r="O23" s="330">
        <f t="shared" si="5"/>
        <v>0</v>
      </c>
      <c r="P23" s="330">
        <f t="shared" si="5"/>
        <v>0</v>
      </c>
      <c r="Q23" s="330">
        <f t="shared" si="5"/>
        <v>0</v>
      </c>
      <c r="R23" s="330">
        <f t="shared" si="5"/>
        <v>0</v>
      </c>
      <c r="S23" s="330">
        <f t="shared" si="5"/>
        <v>0</v>
      </c>
      <c r="T23" s="330">
        <f t="shared" si="5"/>
        <v>0</v>
      </c>
      <c r="U23" s="330">
        <f t="shared" si="5"/>
        <v>0</v>
      </c>
      <c r="V23" s="330">
        <f t="shared" si="5"/>
        <v>0</v>
      </c>
      <c r="W23" s="330">
        <f t="shared" si="5"/>
        <v>0</v>
      </c>
    </row>
    <row r="24" spans="2:23">
      <c r="B24" s="14" t="s">
        <v>525</v>
      </c>
      <c r="C24" s="328">
        <f t="shared" ref="C24:W24" si="6">C18+C19</f>
        <v>54330.12</v>
      </c>
      <c r="D24" s="328">
        <f t="shared" si="6"/>
        <v>54330.12</v>
      </c>
      <c r="E24" s="328">
        <f t="shared" si="6"/>
        <v>54330.12</v>
      </c>
      <c r="F24" s="328">
        <f t="shared" si="6"/>
        <v>54330.12</v>
      </c>
      <c r="G24" s="328">
        <f t="shared" si="6"/>
        <v>54330.12</v>
      </c>
      <c r="H24" s="328">
        <f t="shared" si="6"/>
        <v>54330.12</v>
      </c>
      <c r="I24" s="328">
        <f t="shared" si="6"/>
        <v>54330.12</v>
      </c>
      <c r="J24" s="328">
        <f t="shared" si="6"/>
        <v>54330.12</v>
      </c>
      <c r="K24" s="328">
        <f t="shared" si="6"/>
        <v>54330.12</v>
      </c>
      <c r="L24" s="328">
        <f t="shared" si="6"/>
        <v>54330.12</v>
      </c>
      <c r="M24" s="328">
        <f t="shared" si="6"/>
        <v>54330.12</v>
      </c>
      <c r="N24" s="328">
        <f t="shared" si="6"/>
        <v>54330.12</v>
      </c>
      <c r="O24" s="328">
        <f t="shared" si="6"/>
        <v>54330.119999999995</v>
      </c>
      <c r="P24" s="328">
        <f t="shared" si="6"/>
        <v>54330.12</v>
      </c>
      <c r="Q24" s="328">
        <f t="shared" si="6"/>
        <v>54330.12</v>
      </c>
      <c r="R24" s="328">
        <f t="shared" si="6"/>
        <v>54330.12000000001</v>
      </c>
      <c r="S24" s="328">
        <f t="shared" si="6"/>
        <v>54330.12</v>
      </c>
      <c r="T24" s="328">
        <f t="shared" si="6"/>
        <v>54330.12</v>
      </c>
      <c r="U24" s="328">
        <f t="shared" si="6"/>
        <v>54330.12</v>
      </c>
      <c r="V24" s="328">
        <f t="shared" si="6"/>
        <v>54330.12</v>
      </c>
      <c r="W24" s="328">
        <f t="shared" si="6"/>
        <v>54330.12</v>
      </c>
    </row>
    <row r="26" spans="2:23">
      <c r="B26" s="327" t="str">
        <f>'02_Debt Engine'!$B$21</f>
        <v>Beatrice Terrace</v>
      </c>
      <c r="C26" s="327" t="str">
        <f>_xlfn.LET(_xlpm.refiyr,INDEX('02_Debt Engine'!$I$19:$I$35,MATCH('02A_Debt Schedule'!$B26,'02_Debt Engine'!$B$19:$B$35,0)),IF(_xlpm.refiyr='02A_Debt Schedule'!C$4,"Refi Yr.",""))</f>
        <v/>
      </c>
      <c r="D26" s="327" t="str">
        <f>_xlfn.LET(_xlpm.refiyr,INDEX('02_Debt Engine'!$I$19:$I$35,MATCH('02A_Debt Schedule'!$B26,'02_Debt Engine'!$B$19:$B$35,0)),IF(_xlpm.refiyr='02A_Debt Schedule'!D$4,"Refi Yr.",""))</f>
        <v/>
      </c>
      <c r="E26" s="327" t="str">
        <f>_xlfn.LET(_xlpm.refiyr,INDEX('02_Debt Engine'!$I$19:$I$35,MATCH('02A_Debt Schedule'!$B26,'02_Debt Engine'!$B$19:$B$35,0)),IF(_xlpm.refiyr='02A_Debt Schedule'!E$4,"Refi Yr.",""))</f>
        <v/>
      </c>
      <c r="F26" s="327" t="str">
        <f>_xlfn.LET(_xlpm.refiyr,INDEX('02_Debt Engine'!$I$19:$I$35,MATCH('02A_Debt Schedule'!$B26,'02_Debt Engine'!$B$19:$B$35,0)),IF(_xlpm.refiyr='02A_Debt Schedule'!F$4,"Refi Yr.",""))</f>
        <v/>
      </c>
      <c r="G26" s="327" t="str">
        <f>_xlfn.LET(_xlpm.refiyr,INDEX('02_Debt Engine'!$I$19:$I$35,MATCH('02A_Debt Schedule'!$B26,'02_Debt Engine'!$B$19:$B$35,0)),IF(_xlpm.refiyr='02A_Debt Schedule'!G$4,"Refi Yr.",""))</f>
        <v/>
      </c>
      <c r="H26" s="327" t="str">
        <f>_xlfn.LET(_xlpm.refiyr,INDEX('02_Debt Engine'!$I$19:$I$35,MATCH('02A_Debt Schedule'!$B26,'02_Debt Engine'!$B$19:$B$35,0)),IF(_xlpm.refiyr='02A_Debt Schedule'!H$4,"Refi Yr.",""))</f>
        <v/>
      </c>
      <c r="I26" s="327" t="str">
        <f>_xlfn.LET(_xlpm.refiyr,INDEX('02_Debt Engine'!$I$19:$I$35,MATCH('02A_Debt Schedule'!$B26,'02_Debt Engine'!$B$19:$B$35,0)),IF(_xlpm.refiyr='02A_Debt Schedule'!I$4,"Refi Yr.",""))</f>
        <v/>
      </c>
      <c r="J26" s="327" t="str">
        <f>_xlfn.LET(_xlpm.refiyr,INDEX('02_Debt Engine'!$I$19:$I$35,MATCH('02A_Debt Schedule'!$B26,'02_Debt Engine'!$B$19:$B$35,0)),IF(_xlpm.refiyr='02A_Debt Schedule'!J$4,"Refi Yr.",""))</f>
        <v/>
      </c>
      <c r="K26" s="327" t="str">
        <f>_xlfn.LET(_xlpm.refiyr,INDEX('02_Debt Engine'!$I$19:$I$35,MATCH('02A_Debt Schedule'!$B26,'02_Debt Engine'!$B$19:$B$35,0)),IF(_xlpm.refiyr='02A_Debt Schedule'!K$4,"Refi Yr.",""))</f>
        <v/>
      </c>
      <c r="L26" s="327" t="str">
        <f>_xlfn.LET(_xlpm.refiyr,INDEX('02_Debt Engine'!$I$19:$I$35,MATCH('02A_Debt Schedule'!$B26,'02_Debt Engine'!$B$19:$B$35,0)),IF(_xlpm.refiyr='02A_Debt Schedule'!L$4,"Refi Yr.",""))</f>
        <v/>
      </c>
      <c r="M26" s="327" t="str">
        <f>_xlfn.LET(_xlpm.refiyr,INDEX('02_Debt Engine'!$I$19:$I$35,MATCH('02A_Debt Schedule'!$B26,'02_Debt Engine'!$B$19:$B$35,0)),IF(_xlpm.refiyr='02A_Debt Schedule'!M$4,"Refi Yr.",""))</f>
        <v>Refi Yr.</v>
      </c>
      <c r="N26" s="327" t="str">
        <f>_xlfn.LET(_xlpm.refiyr,INDEX('02_Debt Engine'!$I$19:$I$35,MATCH('02A_Debt Schedule'!$B26,'02_Debt Engine'!$B$19:$B$35,0)),IF(_xlpm.refiyr='02A_Debt Schedule'!N$4,"Refi Yr.",""))</f>
        <v/>
      </c>
      <c r="O26" s="327" t="str">
        <f>_xlfn.LET(_xlpm.refiyr,INDEX('02_Debt Engine'!$I$19:$I$35,MATCH('02A_Debt Schedule'!$B26,'02_Debt Engine'!$B$19:$B$35,0)),IF(_xlpm.refiyr='02A_Debt Schedule'!O$4,"Refi Yr.",""))</f>
        <v/>
      </c>
      <c r="P26" s="327" t="str">
        <f>_xlfn.LET(_xlpm.refiyr,INDEX('02_Debt Engine'!$I$19:$I$35,MATCH('02A_Debt Schedule'!$B26,'02_Debt Engine'!$B$19:$B$35,0)),IF(_xlpm.refiyr='02A_Debt Schedule'!P$4,"Refi Yr.",""))</f>
        <v/>
      </c>
      <c r="Q26" s="327" t="str">
        <f>_xlfn.LET(_xlpm.refiyr,INDEX('02_Debt Engine'!$I$19:$I$35,MATCH('02A_Debt Schedule'!$B26,'02_Debt Engine'!$B$19:$B$35,0)),IF(_xlpm.refiyr='02A_Debt Schedule'!Q$4,"Refi Yr.",""))</f>
        <v/>
      </c>
      <c r="R26" s="327" t="str">
        <f>_xlfn.LET(_xlpm.refiyr,INDEX('02_Debt Engine'!$I$19:$I$35,MATCH('02A_Debt Schedule'!$B26,'02_Debt Engine'!$B$19:$B$35,0)),IF(_xlpm.refiyr='02A_Debt Schedule'!R$4,"Refi Yr.",""))</f>
        <v/>
      </c>
      <c r="S26" s="327" t="str">
        <f>_xlfn.LET(_xlpm.refiyr,INDEX('02_Debt Engine'!$I$19:$I$35,MATCH('02A_Debt Schedule'!$B26,'02_Debt Engine'!$B$19:$B$35,0)),IF(_xlpm.refiyr='02A_Debt Schedule'!S$4,"Refi Yr.",""))</f>
        <v/>
      </c>
      <c r="T26" s="327" t="str">
        <f>_xlfn.LET(_xlpm.refiyr,INDEX('02_Debt Engine'!$I$19:$I$35,MATCH('02A_Debt Schedule'!$B26,'02_Debt Engine'!$B$19:$B$35,0)),IF(_xlpm.refiyr='02A_Debt Schedule'!T$4,"Refi Yr.",""))</f>
        <v/>
      </c>
      <c r="U26" s="327" t="str">
        <f>_xlfn.LET(_xlpm.refiyr,INDEX('02_Debt Engine'!$I$19:$I$35,MATCH('02A_Debt Schedule'!$B26,'02_Debt Engine'!$B$19:$B$35,0)),IF(_xlpm.refiyr='02A_Debt Schedule'!U$4,"Refi Yr.",""))</f>
        <v/>
      </c>
      <c r="V26" s="327" t="str">
        <f>_xlfn.LET(_xlpm.refiyr,INDEX('02_Debt Engine'!$I$19:$I$35,MATCH('02A_Debt Schedule'!$B26,'02_Debt Engine'!$B$19:$B$35,0)),IF(_xlpm.refiyr='02A_Debt Schedule'!V$4,"Refi Yr.",""))</f>
        <v/>
      </c>
      <c r="W26" s="327" t="str">
        <f>_xlfn.LET(_xlpm.refiyr,INDEX('02_Debt Engine'!$I$19:$I$35,MATCH('02A_Debt Schedule'!$B26,'02_Debt Engine'!$B$19:$B$35,0)),IF(_xlpm.refiyr='02A_Debt Schedule'!W$4,"Refi Yr.",""))</f>
        <v/>
      </c>
    </row>
    <row r="27" spans="2:23">
      <c r="B27" s="3" t="s">
        <v>531</v>
      </c>
      <c r="C27" s="328">
        <f>IF('02_Debt Engine'!$D$21="Active",'02_Debt Engine'!$N$21,'02_Debt Engine'!$O$21)</f>
        <v>1617334.89</v>
      </c>
      <c r="D27" s="328">
        <f>IF(AND('02_Debt Engine'!$F$21="Yes",'02_Debt Engine'!$V$21&gt;0,C$4='02_Debt Engine'!$I$21),'02_Debt Engine'!$V$21,C30)</f>
        <v>1571852.7659735999</v>
      </c>
      <c r="E27" s="328">
        <f>IF(AND('02_Debt Engine'!$F$21="Yes",'02_Debt Engine'!$V$21&gt;0,D$4='02_Debt Engine'!$I$21),'02_Debt Engine'!$V$21,D30)</f>
        <v>1524540.4412763775</v>
      </c>
      <c r="F27" s="328">
        <f>IF(AND('02_Debt Engine'!$F$21="Yes",'02_Debt Engine'!$V$21&gt;0,E$4='02_Debt Engine'!$I$21),'02_Debt Engine'!$V$21,E30)</f>
        <v>1475324.2686333391</v>
      </c>
      <c r="G27" s="328">
        <f>IF(AND('02_Debt Engine'!$F$21="Yes",'02_Debt Engine'!$V$21&gt;0,F$4='02_Debt Engine'!$I$21),'02_Debt Engine'!$V$21,F30)</f>
        <v>1424127.6372031446</v>
      </c>
      <c r="H27" s="328">
        <f>IF(AND('02_Debt Engine'!$F$21="Yes",'02_Debt Engine'!$V$21&gt;0,G$4='02_Debt Engine'!$I$21),'02_Debt Engine'!$V$21,G30)</f>
        <v>1370870.8533241991</v>
      </c>
      <c r="I27" s="328">
        <f>IF(AND('02_Debt Engine'!$F$21="Yes",'02_Debt Engine'!$V$21&gt;0,H$4='02_Debt Engine'!$I$21),'02_Debt Engine'!$V$21,H30)</f>
        <v>1315471.0164619649</v>
      </c>
      <c r="J27" s="328">
        <f>IF(AND('02_Debt Engine'!$F$21="Yes",'02_Debt Engine'!$V$21&gt;0,I$4='02_Debt Engine'!$I$21),'02_Debt Engine'!$V$21,I30)</f>
        <v>1257841.8901643944</v>
      </c>
      <c r="K27" s="328">
        <f>IF(AND('02_Debt Engine'!$F$21="Yes",'02_Debt Engine'!$V$21&gt;0,J$4='02_Debt Engine'!$I$21),'02_Debt Engine'!$V$21,J30)</f>
        <v>1197893.7678246095</v>
      </c>
      <c r="L27" s="328">
        <f>IF(AND('02_Debt Engine'!$F$21="Yes",'02_Debt Engine'!$V$21&gt;0,K$4='02_Debt Engine'!$I$21),'02_Debt Engine'!$V$21,K30)</f>
        <v>1135533.3330418719</v>
      </c>
      <c r="M27" s="328">
        <f>IF(AND('02_Debt Engine'!$F$21="Yes",'02_Debt Engine'!$V$21&gt;0,L$4='02_Debt Engine'!$I$21),'02_Debt Engine'!$V$21,L30)</f>
        <v>1070663.5143634768</v>
      </c>
      <c r="N27" s="328">
        <f>IF(AND('02_Debt Engine'!$F$21="Yes",'02_Debt Engine'!$V$21&gt;0,M$4='02_Debt Engine'!$I$21),'02_Debt Engine'!$V$21,M30)</f>
        <v>1003183.3341814631</v>
      </c>
      <c r="O27" s="328">
        <f>IF(AND('02_Debt Engine'!$F$21="Yes",'02_Debt Engine'!$V$21&gt;0,N$4='02_Debt Engine'!$I$21),'02_Debt Engine'!$V$21,N30)</f>
        <v>932987.75154892518</v>
      </c>
      <c r="P27" s="328">
        <f>IF(AND('02_Debt Engine'!$F$21="Yes",'02_Debt Engine'!$V$21&gt;0,O$4='02_Debt Engine'!$I$21),'02_Debt Engine'!$V$21,O30)</f>
        <v>859967.49867125391</v>
      </c>
      <c r="Q27" s="328">
        <f>IF(AND('02_Debt Engine'!$F$21="Yes",'02_Debt Engine'!$V$21&gt;0,P$4='02_Debt Engine'!$I$21),'02_Debt Engine'!$V$21,P30)</f>
        <v>784008.91081778519</v>
      </c>
      <c r="R27" s="328">
        <f>IF(AND('02_Debt Engine'!$F$21="Yes",'02_Debt Engine'!$V$21&gt;0,Q$4='02_Debt Engine'!$I$21),'02_Debt Engine'!$V$21,Q30)</f>
        <v>704993.7493890929</v>
      </c>
      <c r="S27" s="328">
        <f>IF(AND('02_Debt Engine'!$F$21="Yes",'02_Debt Engine'!$V$21&gt;0,R$4='02_Debt Engine'!$I$21),'02_Debt Engine'!$V$21,R30)</f>
        <v>622799.01786450995</v>
      </c>
      <c r="T27" s="328">
        <f>IF(AND('02_Debt Engine'!$F$21="Yes",'02_Debt Engine'!$V$21&gt;0,S$4='02_Debt Engine'!$I$21),'02_Debt Engine'!$V$21,S30)</f>
        <v>537296.77034337784</v>
      </c>
      <c r="U27" s="328">
        <f>IF(AND('02_Debt Engine'!$F$21="Yes",'02_Debt Engine'!$V$21&gt;0,T$4='02_Debt Engine'!$I$21),'02_Debt Engine'!$V$21,T30)</f>
        <v>448353.91238199535</v>
      </c>
      <c r="V27" s="328">
        <f>IF(AND('02_Debt Engine'!$F$21="Yes",'02_Debt Engine'!$V$21&gt;0,U$4='02_Debt Engine'!$I$21),'02_Debt Engine'!$V$21,U30)</f>
        <v>355831.99381624686</v>
      </c>
      <c r="W27" s="328">
        <f>IF(AND('02_Debt Engine'!$F$21="Yes",'02_Debt Engine'!$V$21&gt;0,V$4='02_Debt Engine'!$I$21),'02_Debt Engine'!$V$21,V30)</f>
        <v>259586.99324741264</v>
      </c>
    </row>
    <row r="28" spans="2:23">
      <c r="B28" s="3" t="s">
        <v>514</v>
      </c>
      <c r="C28" s="328">
        <f>IF(C27&lt;=0,0,C27*IF(AND('02_Debt Engine'!$F$21="Yes",'02_Debt Engine'!$V$21&gt;0,C$4&gt;'02_Debt Engine'!$I$21),'02_Debt Engine'!$C$13,IF('02_Debt Engine'!$D$21="Active",'02_Debt Engine'!$H$21,'02_Debt Engine'!$C$7)))</f>
        <v>65081.555973599992</v>
      </c>
      <c r="D28" s="328">
        <f>IF(D27&lt;=0,0,D27*IF(AND('02_Debt Engine'!$F$21="Yes",'02_Debt Engine'!$V$21&gt;0,D$4&gt;'02_Debt Engine'!$I$21),'02_Debt Engine'!$C$13,IF('02_Debt Engine'!$D$21="Active",'02_Debt Engine'!$H$21,'02_Debt Engine'!$C$7)))</f>
        <v>63251.355302777658</v>
      </c>
      <c r="E28" s="328">
        <f>IF(E27&lt;=0,0,E27*IF(AND('02_Debt Engine'!$F$21="Yes",'02_Debt Engine'!$V$21&gt;0,E$4&gt;'02_Debt Engine'!$I$21),'02_Debt Engine'!$C$13,IF('02_Debt Engine'!$D$21="Active",'02_Debt Engine'!$H$21,'02_Debt Engine'!$C$7)))</f>
        <v>61347.507356961432</v>
      </c>
      <c r="F28" s="328">
        <f>IF(F27&lt;=0,0,F27*IF(AND('02_Debt Engine'!$F$21="Yes",'02_Debt Engine'!$V$21&gt;0,F$4&gt;'02_Debt Engine'!$I$21),'02_Debt Engine'!$C$13,IF('02_Debt Engine'!$D$21="Active",'02_Debt Engine'!$H$21,'02_Debt Engine'!$C$7)))</f>
        <v>59367.048569805564</v>
      </c>
      <c r="G28" s="328">
        <f>IF(G27&lt;=0,0,G27*IF(AND('02_Debt Engine'!$F$21="Yes",'02_Debt Engine'!$V$21&gt;0,G$4&gt;'02_Debt Engine'!$I$21),'02_Debt Engine'!$C$13,IF('02_Debt Engine'!$D$21="Active",'02_Debt Engine'!$H$21,'02_Debt Engine'!$C$7)))</f>
        <v>57306.896121054539</v>
      </c>
      <c r="H28" s="328">
        <f>IF(H27&lt;=0,0,H27*IF(AND('02_Debt Engine'!$F$21="Yes",'02_Debt Engine'!$V$21&gt;0,H$4&gt;'02_Debt Engine'!$I$21),'02_Debt Engine'!$C$13,IF('02_Debt Engine'!$D$21="Active",'02_Debt Engine'!$H$21,'02_Debt Engine'!$C$7)))</f>
        <v>55163.843137765769</v>
      </c>
      <c r="I28" s="328">
        <f>IF(I27&lt;=0,0,I27*IF(AND('02_Debt Engine'!$F$21="Yes",'02_Debt Engine'!$V$21&gt;0,I$4&gt;'02_Debt Engine'!$I$21),'02_Debt Engine'!$C$13,IF('02_Debt Engine'!$D$21="Active",'02_Debt Engine'!$H$21,'02_Debt Engine'!$C$7)))</f>
        <v>52934.553702429468</v>
      </c>
      <c r="J28" s="328">
        <f>IF(J27&lt;=0,0,J27*IF(AND('02_Debt Engine'!$F$21="Yes",'02_Debt Engine'!$V$21&gt;0,J$4&gt;'02_Debt Engine'!$I$21),'02_Debt Engine'!$C$13,IF('02_Debt Engine'!$D$21="Active",'02_Debt Engine'!$H$21,'02_Debt Engine'!$C$7)))</f>
        <v>50615.557660215229</v>
      </c>
      <c r="K28" s="328">
        <f>IF(K27&lt;=0,0,K27*IF(AND('02_Debt Engine'!$F$21="Yes",'02_Debt Engine'!$V$21&gt;0,K$4&gt;'02_Debt Engine'!$I$21),'02_Debt Engine'!$C$13,IF('02_Debt Engine'!$D$21="Active",'02_Debt Engine'!$H$21,'02_Debt Engine'!$C$7)))</f>
        <v>48203.245217262287</v>
      </c>
      <c r="L28" s="328">
        <f>IF(L27&lt;=0,0,L27*IF(AND('02_Debt Engine'!$F$21="Yes",'02_Debt Engine'!$V$21&gt;0,L$4&gt;'02_Debt Engine'!$I$21),'02_Debt Engine'!$C$13,IF('02_Debt Engine'!$D$21="Active",'02_Debt Engine'!$H$21,'02_Debt Engine'!$C$7)))</f>
        <v>45693.86132160492</v>
      </c>
      <c r="M28" s="328">
        <f>IF(M27&lt;=0,0,M27*IF(AND('02_Debt Engine'!$F$21="Yes",'02_Debt Engine'!$V$21&gt;0,M$4&gt;'02_Debt Engine'!$I$21),'02_Debt Engine'!$C$13,IF('02_Debt Engine'!$D$21="Active",'02_Debt Engine'!$H$21,'02_Debt Engine'!$C$7)))</f>
        <v>43083.499817986303</v>
      </c>
      <c r="N28" s="328">
        <f>IF(N27&lt;=0,0,N27*IF(AND('02_Debt Engine'!$F$21="Yes",'02_Debt Engine'!$V$21&gt;0,N$4&gt;'02_Debt Engine'!$I$21),'02_Debt Engine'!$C$13,IF('02_Debt Engine'!$D$21="Active",'02_Debt Engine'!$H$21,'02_Debt Engine'!$C$7)))</f>
        <v>40368.097367462076</v>
      </c>
      <c r="O28" s="328">
        <f>IF(O27&lt;=0,0,O27*IF(AND('02_Debt Engine'!$F$21="Yes",'02_Debt Engine'!$V$21&gt;0,O$4&gt;'02_Debt Engine'!$I$21),'02_Debt Engine'!$C$13,IF('02_Debt Engine'!$D$21="Active",'02_Debt Engine'!$H$21,'02_Debt Engine'!$C$7)))</f>
        <v>37543.427122328751</v>
      </c>
      <c r="P28" s="328">
        <f>IF(P27&lt;=0,0,P27*IF(AND('02_Debt Engine'!$F$21="Yes",'02_Debt Engine'!$V$21&gt;0,P$4&gt;'02_Debt Engine'!$I$21),'02_Debt Engine'!$C$13,IF('02_Debt Engine'!$D$21="Active",'02_Debt Engine'!$H$21,'02_Debt Engine'!$C$7)))</f>
        <v>34605.092146531257</v>
      </c>
      <c r="Q28" s="328">
        <f>IF(Q27&lt;=0,0,Q27*IF(AND('02_Debt Engine'!$F$21="Yes",'02_Debt Engine'!$V$21&gt;0,Q$4&gt;'02_Debt Engine'!$I$21),'02_Debt Engine'!$C$13,IF('02_Debt Engine'!$D$21="Active",'02_Debt Engine'!$H$21,'02_Debt Engine'!$C$7)))</f>
        <v>31548.518571307675</v>
      </c>
      <c r="R28" s="328">
        <f>IF(R27&lt;=0,0,R27*IF(AND('02_Debt Engine'!$F$21="Yes",'02_Debt Engine'!$V$21&gt;0,R$4&gt;'02_Debt Engine'!$I$21),'02_Debt Engine'!$C$13,IF('02_Debt Engine'!$D$21="Active",'02_Debt Engine'!$H$21,'02_Debt Engine'!$C$7)))</f>
        <v>28368.948475417095</v>
      </c>
      <c r="S28" s="328">
        <f>IF(S27&lt;=0,0,S27*IF(AND('02_Debt Engine'!$F$21="Yes",'02_Debt Engine'!$V$21&gt;0,S$4&gt;'02_Debt Engine'!$I$21),'02_Debt Engine'!$C$13,IF('02_Debt Engine'!$D$21="Active",'02_Debt Engine'!$H$21,'02_Debt Engine'!$C$7)))</f>
        <v>25061.432478867879</v>
      </c>
      <c r="T28" s="328">
        <f>IF(T27&lt;=0,0,T27*IF(AND('02_Debt Engine'!$F$21="Yes",'02_Debt Engine'!$V$21&gt;0,T$4&gt;'02_Debt Engine'!$I$21),'02_Debt Engine'!$C$13,IF('02_Debt Engine'!$D$21="Active",'02_Debt Engine'!$H$21,'02_Debt Engine'!$C$7)))</f>
        <v>21620.822038617524</v>
      </c>
      <c r="U28" s="328">
        <f>IF(U27&lt;=0,0,U27*IF(AND('02_Debt Engine'!$F$21="Yes",'02_Debt Engine'!$V$21&gt;0,U$4&gt;'02_Debt Engine'!$I$21),'02_Debt Engine'!$C$13,IF('02_Debt Engine'!$D$21="Active",'02_Debt Engine'!$H$21,'02_Debt Engine'!$C$7)))</f>
        <v>18041.761434251493</v>
      </c>
      <c r="V28" s="328">
        <f>IF(V27&lt;=0,0,V27*IF(AND('02_Debt Engine'!$F$21="Yes",'02_Debt Engine'!$V$21&gt;0,V$4&gt;'02_Debt Engine'!$I$21),'02_Debt Engine'!$C$13,IF('02_Debt Engine'!$D$21="Active",'02_Debt Engine'!$H$21,'02_Debt Engine'!$C$7)))</f>
        <v>14318.679431165772</v>
      </c>
      <c r="W28" s="328">
        <f>IF(W27&lt;=0,0,W27*IF(AND('02_Debt Engine'!$F$21="Yes",'02_Debt Engine'!$V$21&gt;0,W$4&gt;'02_Debt Engine'!$I$21),'02_Debt Engine'!$C$13,IF('02_Debt Engine'!$D$21="Active",'02_Debt Engine'!$H$21,'02_Debt Engine'!$C$7)))</f>
        <v>10445.780608275883</v>
      </c>
    </row>
    <row r="29" spans="2:23">
      <c r="B29" s="13" t="s">
        <v>532</v>
      </c>
      <c r="C29" s="329">
        <f>IF(C27&lt;=0,0,MIN(C27,IF(AND('02_Debt Engine'!$F$21="Yes",'02_Debt Engine'!$V$21&gt;0,C$4&gt;'02_Debt Engine'!$I$21),'02_Debt Engine'!$W$21,IF('02_Debt Engine'!$D$21="Active",'02_Debt Engine'!$K$21,'02_Debt Engine'!$P$21))-C28))</f>
        <v>45482.124026400001</v>
      </c>
      <c r="D29" s="329">
        <f>IF(D27&lt;=0,0,MIN(D27,IF(AND('02_Debt Engine'!$F$21="Yes",'02_Debt Engine'!$V$21&gt;0,D$4&gt;'02_Debt Engine'!$I$21),'02_Debt Engine'!$W$21,IF('02_Debt Engine'!$D$21="Active",'02_Debt Engine'!$K$21,'02_Debt Engine'!$P$21))-D28))</f>
        <v>47312.324697222335</v>
      </c>
      <c r="E29" s="329">
        <f>IF(E27&lt;=0,0,MIN(E27,IF(AND('02_Debt Engine'!$F$21="Yes",'02_Debt Engine'!$V$21&gt;0,E$4&gt;'02_Debt Engine'!$I$21),'02_Debt Engine'!$W$21,IF('02_Debt Engine'!$D$21="Active",'02_Debt Engine'!$K$21,'02_Debt Engine'!$P$21))-E28))</f>
        <v>49216.172643038561</v>
      </c>
      <c r="F29" s="329">
        <f>IF(F27&lt;=0,0,MIN(F27,IF(AND('02_Debt Engine'!$F$21="Yes",'02_Debt Engine'!$V$21&gt;0,F$4&gt;'02_Debt Engine'!$I$21),'02_Debt Engine'!$W$21,IF('02_Debt Engine'!$D$21="Active",'02_Debt Engine'!$K$21,'02_Debt Engine'!$P$21))-F28))</f>
        <v>51196.631430194429</v>
      </c>
      <c r="G29" s="329">
        <f>IF(G27&lt;=0,0,MIN(G27,IF(AND('02_Debt Engine'!$F$21="Yes",'02_Debt Engine'!$V$21&gt;0,G$4&gt;'02_Debt Engine'!$I$21),'02_Debt Engine'!$W$21,IF('02_Debt Engine'!$D$21="Active",'02_Debt Engine'!$K$21,'02_Debt Engine'!$P$21))-G28))</f>
        <v>53256.783878945454</v>
      </c>
      <c r="H29" s="329">
        <f>IF(H27&lt;=0,0,MIN(H27,IF(AND('02_Debt Engine'!$F$21="Yes",'02_Debt Engine'!$V$21&gt;0,H$4&gt;'02_Debt Engine'!$I$21),'02_Debt Engine'!$W$21,IF('02_Debt Engine'!$D$21="Active",'02_Debt Engine'!$K$21,'02_Debt Engine'!$P$21))-H28))</f>
        <v>55399.836862234224</v>
      </c>
      <c r="I29" s="329">
        <f>IF(I27&lt;=0,0,MIN(I27,IF(AND('02_Debt Engine'!$F$21="Yes",'02_Debt Engine'!$V$21&gt;0,I$4&gt;'02_Debt Engine'!$I$21),'02_Debt Engine'!$W$21,IF('02_Debt Engine'!$D$21="Active",'02_Debt Engine'!$K$21,'02_Debt Engine'!$P$21))-I28))</f>
        <v>57629.126297570525</v>
      </c>
      <c r="J29" s="329">
        <f>IF(J27&lt;=0,0,MIN(J27,IF(AND('02_Debt Engine'!$F$21="Yes",'02_Debt Engine'!$V$21&gt;0,J$4&gt;'02_Debt Engine'!$I$21),'02_Debt Engine'!$W$21,IF('02_Debt Engine'!$D$21="Active",'02_Debt Engine'!$K$21,'02_Debt Engine'!$P$21))-J28))</f>
        <v>59948.122339784764</v>
      </c>
      <c r="K29" s="329">
        <f>IF(K27&lt;=0,0,MIN(K27,IF(AND('02_Debt Engine'!$F$21="Yes",'02_Debt Engine'!$V$21&gt;0,K$4&gt;'02_Debt Engine'!$I$21),'02_Debt Engine'!$W$21,IF('02_Debt Engine'!$D$21="Active",'02_Debt Engine'!$K$21,'02_Debt Engine'!$P$21))-K28))</f>
        <v>62360.434782737706</v>
      </c>
      <c r="L29" s="329">
        <f>IF(L27&lt;=0,0,MIN(L27,IF(AND('02_Debt Engine'!$F$21="Yes",'02_Debt Engine'!$V$21&gt;0,L$4&gt;'02_Debt Engine'!$I$21),'02_Debt Engine'!$W$21,IF('02_Debt Engine'!$D$21="Active",'02_Debt Engine'!$K$21,'02_Debt Engine'!$P$21))-L28))</f>
        <v>64869.818678395073</v>
      </c>
      <c r="M29" s="329">
        <f>IF(M27&lt;=0,0,MIN(M27,IF(AND('02_Debt Engine'!$F$21="Yes",'02_Debt Engine'!$V$21&gt;0,M$4&gt;'02_Debt Engine'!$I$21),'02_Debt Engine'!$W$21,IF('02_Debt Engine'!$D$21="Active",'02_Debt Engine'!$K$21,'02_Debt Engine'!$P$21))-M28))</f>
        <v>67480.18018201369</v>
      </c>
      <c r="N29" s="329">
        <f>IF(N27&lt;=0,0,MIN(N27,IF(AND('02_Debt Engine'!$F$21="Yes",'02_Debt Engine'!$V$21&gt;0,N$4&gt;'02_Debt Engine'!$I$21),'02_Debt Engine'!$W$21,IF('02_Debt Engine'!$D$21="Active",'02_Debt Engine'!$K$21,'02_Debt Engine'!$P$21))-N28))</f>
        <v>70195.582632537917</v>
      </c>
      <c r="O29" s="329">
        <f>IF(O27&lt;=0,0,MIN(O27,IF(AND('02_Debt Engine'!$F$21="Yes",'02_Debt Engine'!$V$21&gt;0,O$4&gt;'02_Debt Engine'!$I$21),'02_Debt Engine'!$W$21,IF('02_Debt Engine'!$D$21="Active",'02_Debt Engine'!$K$21,'02_Debt Engine'!$P$21))-O28))</f>
        <v>73020.252877671242</v>
      </c>
      <c r="P29" s="329">
        <f>IF(P27&lt;=0,0,MIN(P27,IF(AND('02_Debt Engine'!$F$21="Yes",'02_Debt Engine'!$V$21&gt;0,P$4&gt;'02_Debt Engine'!$I$21),'02_Debt Engine'!$W$21,IF('02_Debt Engine'!$D$21="Active",'02_Debt Engine'!$K$21,'02_Debt Engine'!$P$21))-P28))</f>
        <v>75958.587853468736</v>
      </c>
      <c r="Q29" s="329">
        <f>IF(Q27&lt;=0,0,MIN(Q27,IF(AND('02_Debt Engine'!$F$21="Yes",'02_Debt Engine'!$V$21&gt;0,Q$4&gt;'02_Debt Engine'!$I$21),'02_Debt Engine'!$W$21,IF('02_Debt Engine'!$D$21="Active",'02_Debt Engine'!$K$21,'02_Debt Engine'!$P$21))-Q28))</f>
        <v>79015.161428692314</v>
      </c>
      <c r="R29" s="329">
        <f>IF(R27&lt;=0,0,MIN(R27,IF(AND('02_Debt Engine'!$F$21="Yes",'02_Debt Engine'!$V$21&gt;0,R$4&gt;'02_Debt Engine'!$I$21),'02_Debt Engine'!$W$21,IF('02_Debt Engine'!$D$21="Active",'02_Debt Engine'!$K$21,'02_Debt Engine'!$P$21))-R28))</f>
        <v>82194.731524582894</v>
      </c>
      <c r="S29" s="329">
        <f>IF(S27&lt;=0,0,MIN(S27,IF(AND('02_Debt Engine'!$F$21="Yes",'02_Debt Engine'!$V$21&gt;0,S$4&gt;'02_Debt Engine'!$I$21),'02_Debt Engine'!$W$21,IF('02_Debt Engine'!$D$21="Active",'02_Debt Engine'!$K$21,'02_Debt Engine'!$P$21))-S28))</f>
        <v>85502.247521132114</v>
      </c>
      <c r="T29" s="329">
        <f>IF(T27&lt;=0,0,MIN(T27,IF(AND('02_Debt Engine'!$F$21="Yes",'02_Debt Engine'!$V$21&gt;0,T$4&gt;'02_Debt Engine'!$I$21),'02_Debt Engine'!$W$21,IF('02_Debt Engine'!$D$21="Active",'02_Debt Engine'!$K$21,'02_Debt Engine'!$P$21))-T28))</f>
        <v>88942.85796138247</v>
      </c>
      <c r="U29" s="329">
        <f>IF(U27&lt;=0,0,MIN(U27,IF(AND('02_Debt Engine'!$F$21="Yes",'02_Debt Engine'!$V$21&gt;0,U$4&gt;'02_Debt Engine'!$I$21),'02_Debt Engine'!$W$21,IF('02_Debt Engine'!$D$21="Active",'02_Debt Engine'!$K$21,'02_Debt Engine'!$P$21))-U28))</f>
        <v>92521.918565748492</v>
      </c>
      <c r="V29" s="329">
        <f>IF(V27&lt;=0,0,MIN(V27,IF(AND('02_Debt Engine'!$F$21="Yes",'02_Debt Engine'!$V$21&gt;0,V$4&gt;'02_Debt Engine'!$I$21),'02_Debt Engine'!$W$21,IF('02_Debt Engine'!$D$21="Active",'02_Debt Engine'!$K$21,'02_Debt Engine'!$P$21))-V28))</f>
        <v>96245.000568834221</v>
      </c>
      <c r="W29" s="329">
        <f>IF(W27&lt;=0,0,MIN(W27,IF(AND('02_Debt Engine'!$F$21="Yes",'02_Debt Engine'!$V$21&gt;0,W$4&gt;'02_Debt Engine'!$I$21),'02_Debt Engine'!$W$21,IF('02_Debt Engine'!$D$21="Active",'02_Debt Engine'!$K$21,'02_Debt Engine'!$P$21))-W28))</f>
        <v>100117.89939172412</v>
      </c>
    </row>
    <row r="30" spans="2:23">
      <c r="B30" s="14" t="s">
        <v>533</v>
      </c>
      <c r="C30" s="331">
        <f t="shared" ref="C30:W30" si="7">C27-C29</f>
        <v>1571852.7659735999</v>
      </c>
      <c r="D30" s="331">
        <f t="shared" si="7"/>
        <v>1524540.4412763775</v>
      </c>
      <c r="E30" s="331">
        <f t="shared" si="7"/>
        <v>1475324.2686333391</v>
      </c>
      <c r="F30" s="331">
        <f t="shared" si="7"/>
        <v>1424127.6372031446</v>
      </c>
      <c r="G30" s="331">
        <f t="shared" si="7"/>
        <v>1370870.8533241991</v>
      </c>
      <c r="H30" s="331">
        <f t="shared" si="7"/>
        <v>1315471.0164619649</v>
      </c>
      <c r="I30" s="331">
        <f t="shared" si="7"/>
        <v>1257841.8901643944</v>
      </c>
      <c r="J30" s="331">
        <f t="shared" si="7"/>
        <v>1197893.7678246095</v>
      </c>
      <c r="K30" s="331">
        <f t="shared" si="7"/>
        <v>1135533.3330418719</v>
      </c>
      <c r="L30" s="331">
        <f t="shared" si="7"/>
        <v>1070663.5143634768</v>
      </c>
      <c r="M30" s="331">
        <f t="shared" si="7"/>
        <v>1003183.3341814631</v>
      </c>
      <c r="N30" s="331">
        <f t="shared" si="7"/>
        <v>932987.75154892518</v>
      </c>
      <c r="O30" s="331">
        <f t="shared" si="7"/>
        <v>859967.49867125391</v>
      </c>
      <c r="P30" s="331">
        <f t="shared" si="7"/>
        <v>784008.91081778519</v>
      </c>
      <c r="Q30" s="331">
        <f t="shared" si="7"/>
        <v>704993.7493890929</v>
      </c>
      <c r="R30" s="331">
        <f t="shared" si="7"/>
        <v>622799.01786450995</v>
      </c>
      <c r="S30" s="331">
        <f t="shared" si="7"/>
        <v>537296.77034337784</v>
      </c>
      <c r="T30" s="331">
        <f t="shared" si="7"/>
        <v>448353.91238199535</v>
      </c>
      <c r="U30" s="331">
        <f t="shared" si="7"/>
        <v>355831.99381624686</v>
      </c>
      <c r="V30" s="331">
        <f t="shared" si="7"/>
        <v>259586.99324741264</v>
      </c>
      <c r="W30" s="331">
        <f t="shared" si="7"/>
        <v>159469.09385568852</v>
      </c>
    </row>
    <row r="31" spans="2:23">
      <c r="B31" s="3" t="s">
        <v>367</v>
      </c>
      <c r="C31" s="328">
        <f>IF(AND('02_Debt Engine'!$F$21="Yes",'02_Debt Engine'!$V$21&gt;0,C$4='02_Debt Engine'!$I$21),-C30,0)</f>
        <v>0</v>
      </c>
      <c r="D31" s="328">
        <f>IF(AND('02_Debt Engine'!$F$21="Yes",'02_Debt Engine'!$V$21&gt;0,D$4='02_Debt Engine'!$I$21),-D30,0)</f>
        <v>0</v>
      </c>
      <c r="E31" s="328">
        <f>IF(AND('02_Debt Engine'!$F$21="Yes",'02_Debt Engine'!$V$21&gt;0,E$4='02_Debt Engine'!$I$21),-E30,0)</f>
        <v>0</v>
      </c>
      <c r="F31" s="328">
        <f>IF(AND('02_Debt Engine'!$F$21="Yes",'02_Debt Engine'!$V$21&gt;0,F$4='02_Debt Engine'!$I$21),-F30,0)</f>
        <v>0</v>
      </c>
      <c r="G31" s="328">
        <f>IF(AND('02_Debt Engine'!$F$21="Yes",'02_Debt Engine'!$V$21&gt;0,G$4='02_Debt Engine'!$I$21),-G30,0)</f>
        <v>0</v>
      </c>
      <c r="H31" s="328">
        <f>IF(AND('02_Debt Engine'!$F$21="Yes",'02_Debt Engine'!$V$21&gt;0,H$4='02_Debt Engine'!$I$21),-H30,0)</f>
        <v>0</v>
      </c>
      <c r="I31" s="328">
        <f>IF(AND('02_Debt Engine'!$F$21="Yes",'02_Debt Engine'!$V$21&gt;0,I$4='02_Debt Engine'!$I$21),-I30,0)</f>
        <v>0</v>
      </c>
      <c r="J31" s="328">
        <f>IF(AND('02_Debt Engine'!$F$21="Yes",'02_Debt Engine'!$V$21&gt;0,J$4='02_Debt Engine'!$I$21),-J30,0)</f>
        <v>0</v>
      </c>
      <c r="K31" s="328">
        <f>IF(AND('02_Debt Engine'!$F$21="Yes",'02_Debt Engine'!$V$21&gt;0,K$4='02_Debt Engine'!$I$21),-K30,0)</f>
        <v>0</v>
      </c>
      <c r="L31" s="328">
        <f>IF(AND('02_Debt Engine'!$F$21="Yes",'02_Debt Engine'!$V$21&gt;0,L$4='02_Debt Engine'!$I$21),-L30,0)</f>
        <v>0</v>
      </c>
      <c r="M31" s="328">
        <f>IF(AND('02_Debt Engine'!$F$21="Yes",'02_Debt Engine'!$V$21&gt;0,M$4='02_Debt Engine'!$I$21),-M30,0)</f>
        <v>0</v>
      </c>
      <c r="N31" s="328">
        <f>IF(AND('02_Debt Engine'!$F$21="Yes",'02_Debt Engine'!$V$21&gt;0,N$4='02_Debt Engine'!$I$21),-N30,0)</f>
        <v>0</v>
      </c>
      <c r="O31" s="328">
        <f>IF(AND('02_Debt Engine'!$F$21="Yes",'02_Debt Engine'!$V$21&gt;0,O$4='02_Debt Engine'!$I$21),-O30,0)</f>
        <v>0</v>
      </c>
      <c r="P31" s="328">
        <f>IF(AND('02_Debt Engine'!$F$21="Yes",'02_Debt Engine'!$V$21&gt;0,P$4='02_Debt Engine'!$I$21),-P30,0)</f>
        <v>0</v>
      </c>
      <c r="Q31" s="328">
        <f>IF(AND('02_Debt Engine'!$F$21="Yes",'02_Debt Engine'!$V$21&gt;0,Q$4='02_Debt Engine'!$I$21),-Q30,0)</f>
        <v>0</v>
      </c>
      <c r="R31" s="328">
        <f>IF(AND('02_Debt Engine'!$F$21="Yes",'02_Debt Engine'!$V$21&gt;0,R$4='02_Debt Engine'!$I$21),-R30,0)</f>
        <v>0</v>
      </c>
      <c r="S31" s="328">
        <f>IF(AND('02_Debt Engine'!$F$21="Yes",'02_Debt Engine'!$V$21&gt;0,S$4='02_Debt Engine'!$I$21),-S30,0)</f>
        <v>0</v>
      </c>
      <c r="T31" s="328">
        <f>IF(AND('02_Debt Engine'!$F$21="Yes",'02_Debt Engine'!$V$21&gt;0,T$4='02_Debt Engine'!$I$21),-T30,0)</f>
        <v>0</v>
      </c>
      <c r="U31" s="328">
        <f>IF(AND('02_Debt Engine'!$F$21="Yes",'02_Debt Engine'!$V$21&gt;0,U$4='02_Debt Engine'!$I$21),-U30,0)</f>
        <v>0</v>
      </c>
      <c r="V31" s="328">
        <f>IF(AND('02_Debt Engine'!$F$21="Yes",'02_Debt Engine'!$V$21&gt;0,V$4='02_Debt Engine'!$I$21),-V30,0)</f>
        <v>0</v>
      </c>
      <c r="W31" s="328">
        <f>IF(AND('02_Debt Engine'!$F$21="Yes",'02_Debt Engine'!$V$21&gt;0,W$4='02_Debt Engine'!$I$21),-W30,0)</f>
        <v>0</v>
      </c>
    </row>
    <row r="32" spans="2:23">
      <c r="B32" s="13" t="s">
        <v>534</v>
      </c>
      <c r="C32" s="329">
        <f>IF(AND('02_Debt Engine'!$F$21="Yes",'02_Debt Engine'!$V$21&gt;0,C$4='02_Debt Engine'!$I$21),'02_Debt Engine'!$V$21,0)</f>
        <v>0</v>
      </c>
      <c r="D32" s="329">
        <f>IF(AND('02_Debt Engine'!$F$21="Yes",'02_Debt Engine'!$V$21&gt;0,D$4='02_Debt Engine'!$I$21),'02_Debt Engine'!$V$21,0)</f>
        <v>0</v>
      </c>
      <c r="E32" s="329">
        <f>IF(AND('02_Debt Engine'!$F$21="Yes",'02_Debt Engine'!$V$21&gt;0,E$4='02_Debt Engine'!$I$21),'02_Debt Engine'!$V$21,0)</f>
        <v>0</v>
      </c>
      <c r="F32" s="329">
        <f>IF(AND('02_Debt Engine'!$F$21="Yes",'02_Debt Engine'!$V$21&gt;0,F$4='02_Debt Engine'!$I$21),'02_Debt Engine'!$V$21,0)</f>
        <v>0</v>
      </c>
      <c r="G32" s="329">
        <f>IF(AND('02_Debt Engine'!$F$21="Yes",'02_Debt Engine'!$V$21&gt;0,G$4='02_Debt Engine'!$I$21),'02_Debt Engine'!$V$21,0)</f>
        <v>0</v>
      </c>
      <c r="H32" s="329">
        <f>IF(AND('02_Debt Engine'!$F$21="Yes",'02_Debt Engine'!$V$21&gt;0,H$4='02_Debt Engine'!$I$21),'02_Debt Engine'!$V$21,0)</f>
        <v>0</v>
      </c>
      <c r="I32" s="329">
        <f>IF(AND('02_Debt Engine'!$F$21="Yes",'02_Debt Engine'!$V$21&gt;0,I$4='02_Debt Engine'!$I$21),'02_Debt Engine'!$V$21,0)</f>
        <v>0</v>
      </c>
      <c r="J32" s="329">
        <f>IF(AND('02_Debt Engine'!$F$21="Yes",'02_Debt Engine'!$V$21&gt;0,J$4='02_Debt Engine'!$I$21),'02_Debt Engine'!$V$21,0)</f>
        <v>0</v>
      </c>
      <c r="K32" s="329">
        <f>IF(AND('02_Debt Engine'!$F$21="Yes",'02_Debt Engine'!$V$21&gt;0,K$4='02_Debt Engine'!$I$21),'02_Debt Engine'!$V$21,0)</f>
        <v>0</v>
      </c>
      <c r="L32" s="329">
        <f>IF(AND('02_Debt Engine'!$F$21="Yes",'02_Debt Engine'!$V$21&gt;0,L$4='02_Debt Engine'!$I$21),'02_Debt Engine'!$V$21,0)</f>
        <v>0</v>
      </c>
      <c r="M32" s="329">
        <f>IF(AND('02_Debt Engine'!$F$21="Yes",'02_Debt Engine'!$V$21&gt;0,M$4='02_Debt Engine'!$I$21),'02_Debt Engine'!$V$21,0)</f>
        <v>0</v>
      </c>
      <c r="N32" s="329">
        <f>IF(AND('02_Debt Engine'!$F$21="Yes",'02_Debt Engine'!$V$21&gt;0,N$4='02_Debt Engine'!$I$21),'02_Debt Engine'!$V$21,0)</f>
        <v>0</v>
      </c>
      <c r="O32" s="329">
        <f>IF(AND('02_Debt Engine'!$F$21="Yes",'02_Debt Engine'!$V$21&gt;0,O$4='02_Debt Engine'!$I$21),'02_Debt Engine'!$V$21,0)</f>
        <v>0</v>
      </c>
      <c r="P32" s="329">
        <f>IF(AND('02_Debt Engine'!$F$21="Yes",'02_Debt Engine'!$V$21&gt;0,P$4='02_Debt Engine'!$I$21),'02_Debt Engine'!$V$21,0)</f>
        <v>0</v>
      </c>
      <c r="Q32" s="329">
        <f>IF(AND('02_Debt Engine'!$F$21="Yes",'02_Debt Engine'!$V$21&gt;0,Q$4='02_Debt Engine'!$I$21),'02_Debt Engine'!$V$21,0)</f>
        <v>0</v>
      </c>
      <c r="R32" s="329">
        <f>IF(AND('02_Debt Engine'!$F$21="Yes",'02_Debt Engine'!$V$21&gt;0,R$4='02_Debt Engine'!$I$21),'02_Debt Engine'!$V$21,0)</f>
        <v>0</v>
      </c>
      <c r="S32" s="329">
        <f>IF(AND('02_Debt Engine'!$F$21="Yes",'02_Debt Engine'!$V$21&gt;0,S$4='02_Debt Engine'!$I$21),'02_Debt Engine'!$V$21,0)</f>
        <v>0</v>
      </c>
      <c r="T32" s="329">
        <f>IF(AND('02_Debt Engine'!$F$21="Yes",'02_Debt Engine'!$V$21&gt;0,T$4='02_Debt Engine'!$I$21),'02_Debt Engine'!$V$21,0)</f>
        <v>0</v>
      </c>
      <c r="U32" s="329">
        <f>IF(AND('02_Debt Engine'!$F$21="Yes",'02_Debt Engine'!$V$21&gt;0,U$4='02_Debt Engine'!$I$21),'02_Debt Engine'!$V$21,0)</f>
        <v>0</v>
      </c>
      <c r="V32" s="329">
        <f>IF(AND('02_Debt Engine'!$F$21="Yes",'02_Debt Engine'!$V$21&gt;0,V$4='02_Debt Engine'!$I$21),'02_Debt Engine'!$V$21,0)</f>
        <v>0</v>
      </c>
      <c r="W32" s="329">
        <f>IF(AND('02_Debt Engine'!$F$21="Yes",'02_Debt Engine'!$V$21&gt;0,W$4='02_Debt Engine'!$I$21),'02_Debt Engine'!$V$21,0)</f>
        <v>0</v>
      </c>
    </row>
    <row r="33" spans="2:23">
      <c r="B33" s="3" t="s">
        <v>535</v>
      </c>
      <c r="C33" s="330">
        <f t="shared" ref="C33:W33" si="8">C31+C32</f>
        <v>0</v>
      </c>
      <c r="D33" s="330">
        <f t="shared" si="8"/>
        <v>0</v>
      </c>
      <c r="E33" s="330">
        <f t="shared" si="8"/>
        <v>0</v>
      </c>
      <c r="F33" s="330">
        <f t="shared" si="8"/>
        <v>0</v>
      </c>
      <c r="G33" s="330">
        <f t="shared" si="8"/>
        <v>0</v>
      </c>
      <c r="H33" s="330">
        <f t="shared" si="8"/>
        <v>0</v>
      </c>
      <c r="I33" s="330">
        <f t="shared" si="8"/>
        <v>0</v>
      </c>
      <c r="J33" s="330">
        <f t="shared" si="8"/>
        <v>0</v>
      </c>
      <c r="K33" s="330">
        <f t="shared" si="8"/>
        <v>0</v>
      </c>
      <c r="L33" s="330">
        <f t="shared" si="8"/>
        <v>0</v>
      </c>
      <c r="M33" s="330">
        <f t="shared" si="8"/>
        <v>0</v>
      </c>
      <c r="N33" s="330">
        <f t="shared" si="8"/>
        <v>0</v>
      </c>
      <c r="O33" s="330">
        <f t="shared" si="8"/>
        <v>0</v>
      </c>
      <c r="P33" s="330">
        <f t="shared" si="8"/>
        <v>0</v>
      </c>
      <c r="Q33" s="330">
        <f t="shared" si="8"/>
        <v>0</v>
      </c>
      <c r="R33" s="330">
        <f t="shared" si="8"/>
        <v>0</v>
      </c>
      <c r="S33" s="330">
        <f t="shared" si="8"/>
        <v>0</v>
      </c>
      <c r="T33" s="330">
        <f t="shared" si="8"/>
        <v>0</v>
      </c>
      <c r="U33" s="330">
        <f t="shared" si="8"/>
        <v>0</v>
      </c>
      <c r="V33" s="330">
        <f t="shared" si="8"/>
        <v>0</v>
      </c>
      <c r="W33" s="330">
        <f t="shared" si="8"/>
        <v>0</v>
      </c>
    </row>
    <row r="34" spans="2:23">
      <c r="B34" s="14" t="s">
        <v>525</v>
      </c>
      <c r="C34" s="328">
        <f t="shared" ref="C34:W34" si="9">C28+C29</f>
        <v>110563.68</v>
      </c>
      <c r="D34" s="328">
        <f t="shared" si="9"/>
        <v>110563.68</v>
      </c>
      <c r="E34" s="328">
        <f t="shared" si="9"/>
        <v>110563.68</v>
      </c>
      <c r="F34" s="328">
        <f t="shared" si="9"/>
        <v>110563.68</v>
      </c>
      <c r="G34" s="328">
        <f t="shared" si="9"/>
        <v>110563.68</v>
      </c>
      <c r="H34" s="328">
        <f t="shared" si="9"/>
        <v>110563.68</v>
      </c>
      <c r="I34" s="328">
        <f t="shared" si="9"/>
        <v>110563.68</v>
      </c>
      <c r="J34" s="328">
        <f t="shared" si="9"/>
        <v>110563.68</v>
      </c>
      <c r="K34" s="328">
        <f t="shared" si="9"/>
        <v>110563.68</v>
      </c>
      <c r="L34" s="328">
        <f t="shared" si="9"/>
        <v>110563.68</v>
      </c>
      <c r="M34" s="328">
        <f t="shared" si="9"/>
        <v>110563.68</v>
      </c>
      <c r="N34" s="328">
        <f t="shared" si="9"/>
        <v>110563.68</v>
      </c>
      <c r="O34" s="328">
        <f t="shared" si="9"/>
        <v>110563.68</v>
      </c>
      <c r="P34" s="328">
        <f t="shared" si="9"/>
        <v>110563.68</v>
      </c>
      <c r="Q34" s="328">
        <f t="shared" si="9"/>
        <v>110563.68</v>
      </c>
      <c r="R34" s="328">
        <f t="shared" si="9"/>
        <v>110563.68</v>
      </c>
      <c r="S34" s="328">
        <f t="shared" si="9"/>
        <v>110563.68</v>
      </c>
      <c r="T34" s="328">
        <f t="shared" si="9"/>
        <v>110563.68</v>
      </c>
      <c r="U34" s="328">
        <f t="shared" si="9"/>
        <v>110563.68</v>
      </c>
      <c r="V34" s="328">
        <f t="shared" si="9"/>
        <v>110563.68</v>
      </c>
      <c r="W34" s="328">
        <f t="shared" si="9"/>
        <v>110563.68</v>
      </c>
    </row>
    <row r="36" spans="2:23">
      <c r="B36" s="327" t="str">
        <f>'02_Debt Engine'!$B$22</f>
        <v>Capilano House</v>
      </c>
      <c r="C36" s="327" t="str">
        <f>_xlfn.LET(_xlpm.refiyr,INDEX('02_Debt Engine'!$I$19:$I$35,MATCH('02A_Debt Schedule'!$B36,'02_Debt Engine'!$B$19:$B$35,0)),IF(_xlpm.refiyr='02A_Debt Schedule'!C$4,"Refi Yr.",""))</f>
        <v/>
      </c>
      <c r="D36" s="327" t="str">
        <f>_xlfn.LET(_xlpm.refiyr,INDEX('02_Debt Engine'!$I$19:$I$35,MATCH('02A_Debt Schedule'!$B36,'02_Debt Engine'!$B$19:$B$35,0)),IF(_xlpm.refiyr='02A_Debt Schedule'!D$4,"Refi Yr.",""))</f>
        <v/>
      </c>
      <c r="E36" s="327" t="str">
        <f>_xlfn.LET(_xlpm.refiyr,INDEX('02_Debt Engine'!$I$19:$I$35,MATCH('02A_Debt Schedule'!$B36,'02_Debt Engine'!$B$19:$B$35,0)),IF(_xlpm.refiyr='02A_Debt Schedule'!E$4,"Refi Yr.",""))</f>
        <v/>
      </c>
      <c r="F36" s="327" t="str">
        <f>_xlfn.LET(_xlpm.refiyr,INDEX('02_Debt Engine'!$I$19:$I$35,MATCH('02A_Debt Schedule'!$B36,'02_Debt Engine'!$B$19:$B$35,0)),IF(_xlpm.refiyr='02A_Debt Schedule'!F$4,"Refi Yr.",""))</f>
        <v/>
      </c>
      <c r="G36" s="327" t="str">
        <f>_xlfn.LET(_xlpm.refiyr,INDEX('02_Debt Engine'!$I$19:$I$35,MATCH('02A_Debt Schedule'!$B36,'02_Debt Engine'!$B$19:$B$35,0)),IF(_xlpm.refiyr='02A_Debt Schedule'!G$4,"Refi Yr.",""))</f>
        <v/>
      </c>
      <c r="H36" s="327" t="str">
        <f>_xlfn.LET(_xlpm.refiyr,INDEX('02_Debt Engine'!$I$19:$I$35,MATCH('02A_Debt Schedule'!$B36,'02_Debt Engine'!$B$19:$B$35,0)),IF(_xlpm.refiyr='02A_Debt Schedule'!H$4,"Refi Yr.",""))</f>
        <v/>
      </c>
      <c r="I36" s="327" t="str">
        <f>_xlfn.LET(_xlpm.refiyr,INDEX('02_Debt Engine'!$I$19:$I$35,MATCH('02A_Debt Schedule'!$B36,'02_Debt Engine'!$B$19:$B$35,0)),IF(_xlpm.refiyr='02A_Debt Schedule'!I$4,"Refi Yr.",""))</f>
        <v/>
      </c>
      <c r="J36" s="327" t="str">
        <f>_xlfn.LET(_xlpm.refiyr,INDEX('02_Debt Engine'!$I$19:$I$35,MATCH('02A_Debt Schedule'!$B36,'02_Debt Engine'!$B$19:$B$35,0)),IF(_xlpm.refiyr='02A_Debt Schedule'!J$4,"Refi Yr.",""))</f>
        <v/>
      </c>
      <c r="K36" s="327" t="str">
        <f>_xlfn.LET(_xlpm.refiyr,INDEX('02_Debt Engine'!$I$19:$I$35,MATCH('02A_Debt Schedule'!$B36,'02_Debt Engine'!$B$19:$B$35,0)),IF(_xlpm.refiyr='02A_Debt Schedule'!K$4,"Refi Yr.",""))</f>
        <v/>
      </c>
      <c r="L36" s="327" t="str">
        <f>_xlfn.LET(_xlpm.refiyr,INDEX('02_Debt Engine'!$I$19:$I$35,MATCH('02A_Debt Schedule'!$B36,'02_Debt Engine'!$B$19:$B$35,0)),IF(_xlpm.refiyr='02A_Debt Schedule'!L$4,"Refi Yr.",""))</f>
        <v/>
      </c>
      <c r="M36" s="327" t="str">
        <f>_xlfn.LET(_xlpm.refiyr,INDEX('02_Debt Engine'!$I$19:$I$35,MATCH('02A_Debt Schedule'!$B36,'02_Debt Engine'!$B$19:$B$35,0)),IF(_xlpm.refiyr='02A_Debt Schedule'!M$4,"Refi Yr.",""))</f>
        <v/>
      </c>
      <c r="N36" s="327" t="str">
        <f>_xlfn.LET(_xlpm.refiyr,INDEX('02_Debt Engine'!$I$19:$I$35,MATCH('02A_Debt Schedule'!$B36,'02_Debt Engine'!$B$19:$B$35,0)),IF(_xlpm.refiyr='02A_Debt Schedule'!N$4,"Refi Yr.",""))</f>
        <v/>
      </c>
      <c r="O36" s="327" t="str">
        <f>_xlfn.LET(_xlpm.refiyr,INDEX('02_Debt Engine'!$I$19:$I$35,MATCH('02A_Debt Schedule'!$B36,'02_Debt Engine'!$B$19:$B$35,0)),IF(_xlpm.refiyr='02A_Debt Schedule'!O$4,"Refi Yr.",""))</f>
        <v/>
      </c>
      <c r="P36" s="327" t="str">
        <f>_xlfn.LET(_xlpm.refiyr,INDEX('02_Debt Engine'!$I$19:$I$35,MATCH('02A_Debt Schedule'!$B36,'02_Debt Engine'!$B$19:$B$35,0)),IF(_xlpm.refiyr='02A_Debt Schedule'!P$4,"Refi Yr.",""))</f>
        <v/>
      </c>
      <c r="Q36" s="327" t="str">
        <f>_xlfn.LET(_xlpm.refiyr,INDEX('02_Debt Engine'!$I$19:$I$35,MATCH('02A_Debt Schedule'!$B36,'02_Debt Engine'!$B$19:$B$35,0)),IF(_xlpm.refiyr='02A_Debt Schedule'!Q$4,"Refi Yr.",""))</f>
        <v/>
      </c>
      <c r="R36" s="327" t="str">
        <f>_xlfn.LET(_xlpm.refiyr,INDEX('02_Debt Engine'!$I$19:$I$35,MATCH('02A_Debt Schedule'!$B36,'02_Debt Engine'!$B$19:$B$35,0)),IF(_xlpm.refiyr='02A_Debt Schedule'!R$4,"Refi Yr.",""))</f>
        <v/>
      </c>
      <c r="S36" s="327" t="str">
        <f>_xlfn.LET(_xlpm.refiyr,INDEX('02_Debt Engine'!$I$19:$I$35,MATCH('02A_Debt Schedule'!$B36,'02_Debt Engine'!$B$19:$B$35,0)),IF(_xlpm.refiyr='02A_Debt Schedule'!S$4,"Refi Yr.",""))</f>
        <v/>
      </c>
      <c r="T36" s="327" t="str">
        <f>_xlfn.LET(_xlpm.refiyr,INDEX('02_Debt Engine'!$I$19:$I$35,MATCH('02A_Debt Schedule'!$B36,'02_Debt Engine'!$B$19:$B$35,0)),IF(_xlpm.refiyr='02A_Debt Schedule'!T$4,"Refi Yr.",""))</f>
        <v/>
      </c>
      <c r="U36" s="327" t="str">
        <f>_xlfn.LET(_xlpm.refiyr,INDEX('02_Debt Engine'!$I$19:$I$35,MATCH('02A_Debt Schedule'!$B36,'02_Debt Engine'!$B$19:$B$35,0)),IF(_xlpm.refiyr='02A_Debt Schedule'!U$4,"Refi Yr.",""))</f>
        <v/>
      </c>
      <c r="V36" s="327" t="str">
        <f>_xlfn.LET(_xlpm.refiyr,INDEX('02_Debt Engine'!$I$19:$I$35,MATCH('02A_Debt Schedule'!$B36,'02_Debt Engine'!$B$19:$B$35,0)),IF(_xlpm.refiyr='02A_Debt Schedule'!V$4,"Refi Yr.",""))</f>
        <v/>
      </c>
      <c r="W36" s="327" t="str">
        <f>_xlfn.LET(_xlpm.refiyr,INDEX('02_Debt Engine'!$I$19:$I$35,MATCH('02A_Debt Schedule'!$B36,'02_Debt Engine'!$B$19:$B$35,0)),IF(_xlpm.refiyr='02A_Debt Schedule'!W$4,"Refi Yr.",""))</f>
        <v/>
      </c>
    </row>
    <row r="37" spans="2:23">
      <c r="B37" s="3" t="s">
        <v>531</v>
      </c>
      <c r="C37" s="328">
        <f>IF('02_Debt Engine'!$D$22="Active",'02_Debt Engine'!$N$22,'02_Debt Engine'!$O$22)</f>
        <v>0</v>
      </c>
      <c r="D37" s="328">
        <f>IF(AND('02_Debt Engine'!$F$22="Yes",'02_Debt Engine'!$V$22&gt;0,C$4='02_Debt Engine'!$I$22),'02_Debt Engine'!$V$22,C40)</f>
        <v>0</v>
      </c>
      <c r="E37" s="328">
        <f>IF(AND('02_Debt Engine'!$F$22="Yes",'02_Debt Engine'!$V$22&gt;0,D$4='02_Debt Engine'!$I$22),'02_Debt Engine'!$V$22,D40)</f>
        <v>0</v>
      </c>
      <c r="F37" s="328">
        <f>IF(AND('02_Debt Engine'!$F$22="Yes",'02_Debt Engine'!$V$22&gt;0,E$4='02_Debt Engine'!$I$22),'02_Debt Engine'!$V$22,E40)</f>
        <v>0</v>
      </c>
      <c r="G37" s="328">
        <f>IF(AND('02_Debt Engine'!$F$22="Yes",'02_Debt Engine'!$V$22&gt;0,F$4='02_Debt Engine'!$I$22),'02_Debt Engine'!$V$22,F40)</f>
        <v>0</v>
      </c>
      <c r="H37" s="328">
        <f>IF(AND('02_Debt Engine'!$F$22="Yes",'02_Debt Engine'!$V$22&gt;0,G$4='02_Debt Engine'!$I$22),'02_Debt Engine'!$V$22,G40)</f>
        <v>0</v>
      </c>
      <c r="I37" s="328">
        <f>IF(AND('02_Debt Engine'!$F$22="Yes",'02_Debt Engine'!$V$22&gt;0,H$4='02_Debt Engine'!$I$22),'02_Debt Engine'!$V$22,H40)</f>
        <v>0</v>
      </c>
      <c r="J37" s="328">
        <f>IF(AND('02_Debt Engine'!$F$22="Yes",'02_Debt Engine'!$V$22&gt;0,I$4='02_Debt Engine'!$I$22),'02_Debt Engine'!$V$22,I40)</f>
        <v>0</v>
      </c>
      <c r="K37" s="328">
        <f>IF(AND('02_Debt Engine'!$F$22="Yes",'02_Debt Engine'!$V$22&gt;0,J$4='02_Debt Engine'!$I$22),'02_Debt Engine'!$V$22,J40)</f>
        <v>0</v>
      </c>
      <c r="L37" s="328">
        <f>IF(AND('02_Debt Engine'!$F$22="Yes",'02_Debt Engine'!$V$22&gt;0,K$4='02_Debt Engine'!$I$22),'02_Debt Engine'!$V$22,K40)</f>
        <v>0</v>
      </c>
      <c r="M37" s="328">
        <f>IF(AND('02_Debt Engine'!$F$22="Yes",'02_Debt Engine'!$V$22&gt;0,L$4='02_Debt Engine'!$I$22),'02_Debt Engine'!$V$22,L40)</f>
        <v>0</v>
      </c>
      <c r="N37" s="328">
        <f>IF(AND('02_Debt Engine'!$F$22="Yes",'02_Debt Engine'!$V$22&gt;0,M$4='02_Debt Engine'!$I$22),'02_Debt Engine'!$V$22,M40)</f>
        <v>0</v>
      </c>
      <c r="O37" s="328">
        <f>IF(AND('02_Debt Engine'!$F$22="Yes",'02_Debt Engine'!$V$22&gt;0,N$4='02_Debt Engine'!$I$22),'02_Debt Engine'!$V$22,N40)</f>
        <v>0</v>
      </c>
      <c r="P37" s="328">
        <f>IF(AND('02_Debt Engine'!$F$22="Yes",'02_Debt Engine'!$V$22&gt;0,O$4='02_Debt Engine'!$I$22),'02_Debt Engine'!$V$22,O40)</f>
        <v>0</v>
      </c>
      <c r="Q37" s="328">
        <f>IF(AND('02_Debt Engine'!$F$22="Yes",'02_Debt Engine'!$V$22&gt;0,P$4='02_Debt Engine'!$I$22),'02_Debt Engine'!$V$22,P40)</f>
        <v>0</v>
      </c>
      <c r="R37" s="328">
        <f>IF(AND('02_Debt Engine'!$F$22="Yes",'02_Debt Engine'!$V$22&gt;0,Q$4='02_Debt Engine'!$I$22),'02_Debt Engine'!$V$22,Q40)</f>
        <v>0</v>
      </c>
      <c r="S37" s="328">
        <f>IF(AND('02_Debt Engine'!$F$22="Yes",'02_Debt Engine'!$V$22&gt;0,R$4='02_Debt Engine'!$I$22),'02_Debt Engine'!$V$22,R40)</f>
        <v>0</v>
      </c>
      <c r="T37" s="328">
        <f>IF(AND('02_Debt Engine'!$F$22="Yes",'02_Debt Engine'!$V$22&gt;0,S$4='02_Debt Engine'!$I$22),'02_Debt Engine'!$V$22,S40)</f>
        <v>0</v>
      </c>
      <c r="U37" s="328">
        <f>IF(AND('02_Debt Engine'!$F$22="Yes",'02_Debt Engine'!$V$22&gt;0,T$4='02_Debt Engine'!$I$22),'02_Debt Engine'!$V$22,T40)</f>
        <v>0</v>
      </c>
      <c r="V37" s="328">
        <f>IF(AND('02_Debt Engine'!$F$22="Yes",'02_Debt Engine'!$V$22&gt;0,U$4='02_Debt Engine'!$I$22),'02_Debt Engine'!$V$22,U40)</f>
        <v>0</v>
      </c>
      <c r="W37" s="328">
        <f>IF(AND('02_Debt Engine'!$F$22="Yes",'02_Debt Engine'!$V$22&gt;0,V$4='02_Debt Engine'!$I$22),'02_Debt Engine'!$V$22,V40)</f>
        <v>0</v>
      </c>
    </row>
    <row r="38" spans="2:23">
      <c r="B38" s="3" t="s">
        <v>514</v>
      </c>
      <c r="C38" s="328">
        <f>IF(C37&lt;=0,0,C37*IF(AND('02_Debt Engine'!$F$22="Yes",'02_Debt Engine'!$V$22&gt;0,C$4&gt;'02_Debt Engine'!$I$22),'02_Debt Engine'!$C$13,IF('02_Debt Engine'!$D$22="Active",'02_Debt Engine'!$H$22,'02_Debt Engine'!$C$7)))</f>
        <v>0</v>
      </c>
      <c r="D38" s="328">
        <f>IF(D37&lt;=0,0,D37*IF(AND('02_Debt Engine'!$F$22="Yes",'02_Debt Engine'!$V$22&gt;0,D$4&gt;'02_Debt Engine'!$I$22),'02_Debt Engine'!$C$13,IF('02_Debt Engine'!$D$22="Active",'02_Debt Engine'!$H$22,'02_Debt Engine'!$C$7)))</f>
        <v>0</v>
      </c>
      <c r="E38" s="328">
        <f>IF(E37&lt;=0,0,E37*IF(AND('02_Debt Engine'!$F$22="Yes",'02_Debt Engine'!$V$22&gt;0,E$4&gt;'02_Debt Engine'!$I$22),'02_Debt Engine'!$C$13,IF('02_Debt Engine'!$D$22="Active",'02_Debt Engine'!$H$22,'02_Debt Engine'!$C$7)))</f>
        <v>0</v>
      </c>
      <c r="F38" s="328">
        <f>IF(F37&lt;=0,0,F37*IF(AND('02_Debt Engine'!$F$22="Yes",'02_Debt Engine'!$V$22&gt;0,F$4&gt;'02_Debt Engine'!$I$22),'02_Debt Engine'!$C$13,IF('02_Debt Engine'!$D$22="Active",'02_Debt Engine'!$H$22,'02_Debt Engine'!$C$7)))</f>
        <v>0</v>
      </c>
      <c r="G38" s="328">
        <f>IF(G37&lt;=0,0,G37*IF(AND('02_Debt Engine'!$F$22="Yes",'02_Debt Engine'!$V$22&gt;0,G$4&gt;'02_Debt Engine'!$I$22),'02_Debt Engine'!$C$13,IF('02_Debt Engine'!$D$22="Active",'02_Debt Engine'!$H$22,'02_Debt Engine'!$C$7)))</f>
        <v>0</v>
      </c>
      <c r="H38" s="328">
        <f>IF(H37&lt;=0,0,H37*IF(AND('02_Debt Engine'!$F$22="Yes",'02_Debt Engine'!$V$22&gt;0,H$4&gt;'02_Debt Engine'!$I$22),'02_Debt Engine'!$C$13,IF('02_Debt Engine'!$D$22="Active",'02_Debt Engine'!$H$22,'02_Debt Engine'!$C$7)))</f>
        <v>0</v>
      </c>
      <c r="I38" s="328">
        <f>IF(I37&lt;=0,0,I37*IF(AND('02_Debt Engine'!$F$22="Yes",'02_Debt Engine'!$V$22&gt;0,I$4&gt;'02_Debt Engine'!$I$22),'02_Debt Engine'!$C$13,IF('02_Debt Engine'!$D$22="Active",'02_Debt Engine'!$H$22,'02_Debt Engine'!$C$7)))</f>
        <v>0</v>
      </c>
      <c r="J38" s="328">
        <f>IF(J37&lt;=0,0,J37*IF(AND('02_Debt Engine'!$F$22="Yes",'02_Debt Engine'!$V$22&gt;0,J$4&gt;'02_Debt Engine'!$I$22),'02_Debt Engine'!$C$13,IF('02_Debt Engine'!$D$22="Active",'02_Debt Engine'!$H$22,'02_Debt Engine'!$C$7)))</f>
        <v>0</v>
      </c>
      <c r="K38" s="328">
        <f>IF(K37&lt;=0,0,K37*IF(AND('02_Debt Engine'!$F$22="Yes",'02_Debt Engine'!$V$22&gt;0,K$4&gt;'02_Debt Engine'!$I$22),'02_Debt Engine'!$C$13,IF('02_Debt Engine'!$D$22="Active",'02_Debt Engine'!$H$22,'02_Debt Engine'!$C$7)))</f>
        <v>0</v>
      </c>
      <c r="L38" s="328">
        <f>IF(L37&lt;=0,0,L37*IF(AND('02_Debt Engine'!$F$22="Yes",'02_Debt Engine'!$V$22&gt;0,L$4&gt;'02_Debt Engine'!$I$22),'02_Debt Engine'!$C$13,IF('02_Debt Engine'!$D$22="Active",'02_Debt Engine'!$H$22,'02_Debt Engine'!$C$7)))</f>
        <v>0</v>
      </c>
      <c r="M38" s="328">
        <f>IF(M37&lt;=0,0,M37*IF(AND('02_Debt Engine'!$F$22="Yes",'02_Debt Engine'!$V$22&gt;0,M$4&gt;'02_Debt Engine'!$I$22),'02_Debt Engine'!$C$13,IF('02_Debt Engine'!$D$22="Active",'02_Debt Engine'!$H$22,'02_Debt Engine'!$C$7)))</f>
        <v>0</v>
      </c>
      <c r="N38" s="328">
        <f>IF(N37&lt;=0,0,N37*IF(AND('02_Debt Engine'!$F$22="Yes",'02_Debt Engine'!$V$22&gt;0,N$4&gt;'02_Debt Engine'!$I$22),'02_Debt Engine'!$C$13,IF('02_Debt Engine'!$D$22="Active",'02_Debt Engine'!$H$22,'02_Debt Engine'!$C$7)))</f>
        <v>0</v>
      </c>
      <c r="O38" s="328">
        <f>IF(O37&lt;=0,0,O37*IF(AND('02_Debt Engine'!$F$22="Yes",'02_Debt Engine'!$V$22&gt;0,O$4&gt;'02_Debt Engine'!$I$22),'02_Debt Engine'!$C$13,IF('02_Debt Engine'!$D$22="Active",'02_Debt Engine'!$H$22,'02_Debt Engine'!$C$7)))</f>
        <v>0</v>
      </c>
      <c r="P38" s="328">
        <f>IF(P37&lt;=0,0,P37*IF(AND('02_Debt Engine'!$F$22="Yes",'02_Debt Engine'!$V$22&gt;0,P$4&gt;'02_Debt Engine'!$I$22),'02_Debt Engine'!$C$13,IF('02_Debt Engine'!$D$22="Active",'02_Debt Engine'!$H$22,'02_Debt Engine'!$C$7)))</f>
        <v>0</v>
      </c>
      <c r="Q38" s="328">
        <f>IF(Q37&lt;=0,0,Q37*IF(AND('02_Debt Engine'!$F$22="Yes",'02_Debt Engine'!$V$22&gt;0,Q$4&gt;'02_Debt Engine'!$I$22),'02_Debt Engine'!$C$13,IF('02_Debt Engine'!$D$22="Active",'02_Debt Engine'!$H$22,'02_Debt Engine'!$C$7)))</f>
        <v>0</v>
      </c>
      <c r="R38" s="328">
        <f>IF(R37&lt;=0,0,R37*IF(AND('02_Debt Engine'!$F$22="Yes",'02_Debt Engine'!$V$22&gt;0,R$4&gt;'02_Debt Engine'!$I$22),'02_Debt Engine'!$C$13,IF('02_Debt Engine'!$D$22="Active",'02_Debt Engine'!$H$22,'02_Debt Engine'!$C$7)))</f>
        <v>0</v>
      </c>
      <c r="S38" s="328">
        <f>IF(S37&lt;=0,0,S37*IF(AND('02_Debt Engine'!$F$22="Yes",'02_Debt Engine'!$V$22&gt;0,S$4&gt;'02_Debt Engine'!$I$22),'02_Debt Engine'!$C$13,IF('02_Debt Engine'!$D$22="Active",'02_Debt Engine'!$H$22,'02_Debt Engine'!$C$7)))</f>
        <v>0</v>
      </c>
      <c r="T38" s="328">
        <f>IF(T37&lt;=0,0,T37*IF(AND('02_Debt Engine'!$F$22="Yes",'02_Debt Engine'!$V$22&gt;0,T$4&gt;'02_Debt Engine'!$I$22),'02_Debt Engine'!$C$13,IF('02_Debt Engine'!$D$22="Active",'02_Debt Engine'!$H$22,'02_Debt Engine'!$C$7)))</f>
        <v>0</v>
      </c>
      <c r="U38" s="328">
        <f>IF(U37&lt;=0,0,U37*IF(AND('02_Debt Engine'!$F$22="Yes",'02_Debt Engine'!$V$22&gt;0,U$4&gt;'02_Debt Engine'!$I$22),'02_Debt Engine'!$C$13,IF('02_Debt Engine'!$D$22="Active",'02_Debt Engine'!$H$22,'02_Debt Engine'!$C$7)))</f>
        <v>0</v>
      </c>
      <c r="V38" s="328">
        <f>IF(V37&lt;=0,0,V37*IF(AND('02_Debt Engine'!$F$22="Yes",'02_Debt Engine'!$V$22&gt;0,V$4&gt;'02_Debt Engine'!$I$22),'02_Debt Engine'!$C$13,IF('02_Debt Engine'!$D$22="Active",'02_Debt Engine'!$H$22,'02_Debt Engine'!$C$7)))</f>
        <v>0</v>
      </c>
      <c r="W38" s="328">
        <f>IF(W37&lt;=0,0,W37*IF(AND('02_Debt Engine'!$F$22="Yes",'02_Debt Engine'!$V$22&gt;0,W$4&gt;'02_Debt Engine'!$I$22),'02_Debt Engine'!$C$13,IF('02_Debt Engine'!$D$22="Active",'02_Debt Engine'!$H$22,'02_Debt Engine'!$C$7)))</f>
        <v>0</v>
      </c>
    </row>
    <row r="39" spans="2:23">
      <c r="B39" s="13" t="s">
        <v>532</v>
      </c>
      <c r="C39" s="329">
        <f>IF(C37&lt;=0,0,MIN(C37,IF(AND('02_Debt Engine'!$F$22="Yes",'02_Debt Engine'!$V$22&gt;0,C$4&gt;'02_Debt Engine'!$I$22),'02_Debt Engine'!$W$22,IF('02_Debt Engine'!$D$22="Active",'02_Debt Engine'!$K$22,'02_Debt Engine'!$P$22))-C38))</f>
        <v>0</v>
      </c>
      <c r="D39" s="329">
        <f>IF(D37&lt;=0,0,MIN(D37,IF(AND('02_Debt Engine'!$F$22="Yes",'02_Debt Engine'!$V$22&gt;0,D$4&gt;'02_Debt Engine'!$I$22),'02_Debt Engine'!$W$22,IF('02_Debt Engine'!$D$22="Active",'02_Debt Engine'!$K$22,'02_Debt Engine'!$P$22))-D38))</f>
        <v>0</v>
      </c>
      <c r="E39" s="329">
        <f>IF(E37&lt;=0,0,MIN(E37,IF(AND('02_Debt Engine'!$F$22="Yes",'02_Debt Engine'!$V$22&gt;0,E$4&gt;'02_Debt Engine'!$I$22),'02_Debt Engine'!$W$22,IF('02_Debt Engine'!$D$22="Active",'02_Debt Engine'!$K$22,'02_Debt Engine'!$P$22))-E38))</f>
        <v>0</v>
      </c>
      <c r="F39" s="329">
        <f>IF(F37&lt;=0,0,MIN(F37,IF(AND('02_Debt Engine'!$F$22="Yes",'02_Debt Engine'!$V$22&gt;0,F$4&gt;'02_Debt Engine'!$I$22),'02_Debt Engine'!$W$22,IF('02_Debt Engine'!$D$22="Active",'02_Debt Engine'!$K$22,'02_Debt Engine'!$P$22))-F38))</f>
        <v>0</v>
      </c>
      <c r="G39" s="329">
        <f>IF(G37&lt;=0,0,MIN(G37,IF(AND('02_Debt Engine'!$F$22="Yes",'02_Debt Engine'!$V$22&gt;0,G$4&gt;'02_Debt Engine'!$I$22),'02_Debt Engine'!$W$22,IF('02_Debt Engine'!$D$22="Active",'02_Debt Engine'!$K$22,'02_Debt Engine'!$P$22))-G38))</f>
        <v>0</v>
      </c>
      <c r="H39" s="329">
        <f>IF(H37&lt;=0,0,MIN(H37,IF(AND('02_Debt Engine'!$F$22="Yes",'02_Debt Engine'!$V$22&gt;0,H$4&gt;'02_Debt Engine'!$I$22),'02_Debt Engine'!$W$22,IF('02_Debt Engine'!$D$22="Active",'02_Debt Engine'!$K$22,'02_Debt Engine'!$P$22))-H38))</f>
        <v>0</v>
      </c>
      <c r="I39" s="329">
        <f>IF(I37&lt;=0,0,MIN(I37,IF(AND('02_Debt Engine'!$F$22="Yes",'02_Debt Engine'!$V$22&gt;0,I$4&gt;'02_Debt Engine'!$I$22),'02_Debt Engine'!$W$22,IF('02_Debt Engine'!$D$22="Active",'02_Debt Engine'!$K$22,'02_Debt Engine'!$P$22))-I38))</f>
        <v>0</v>
      </c>
      <c r="J39" s="329">
        <f>IF(J37&lt;=0,0,MIN(J37,IF(AND('02_Debt Engine'!$F$22="Yes",'02_Debt Engine'!$V$22&gt;0,J$4&gt;'02_Debt Engine'!$I$22),'02_Debt Engine'!$W$22,IF('02_Debt Engine'!$D$22="Active",'02_Debt Engine'!$K$22,'02_Debt Engine'!$P$22))-J38))</f>
        <v>0</v>
      </c>
      <c r="K39" s="329">
        <f>IF(K37&lt;=0,0,MIN(K37,IF(AND('02_Debt Engine'!$F$22="Yes",'02_Debt Engine'!$V$22&gt;0,K$4&gt;'02_Debt Engine'!$I$22),'02_Debt Engine'!$W$22,IF('02_Debt Engine'!$D$22="Active",'02_Debt Engine'!$K$22,'02_Debt Engine'!$P$22))-K38))</f>
        <v>0</v>
      </c>
      <c r="L39" s="329">
        <f>IF(L37&lt;=0,0,MIN(L37,IF(AND('02_Debt Engine'!$F$22="Yes",'02_Debt Engine'!$V$22&gt;0,L$4&gt;'02_Debt Engine'!$I$22),'02_Debt Engine'!$W$22,IF('02_Debt Engine'!$D$22="Active",'02_Debt Engine'!$K$22,'02_Debt Engine'!$P$22))-L38))</f>
        <v>0</v>
      </c>
      <c r="M39" s="329">
        <f>IF(M37&lt;=0,0,MIN(M37,IF(AND('02_Debt Engine'!$F$22="Yes",'02_Debt Engine'!$V$22&gt;0,M$4&gt;'02_Debt Engine'!$I$22),'02_Debt Engine'!$W$22,IF('02_Debt Engine'!$D$22="Active",'02_Debt Engine'!$K$22,'02_Debt Engine'!$P$22))-M38))</f>
        <v>0</v>
      </c>
      <c r="N39" s="329">
        <f>IF(N37&lt;=0,0,MIN(N37,IF(AND('02_Debt Engine'!$F$22="Yes",'02_Debt Engine'!$V$22&gt;0,N$4&gt;'02_Debt Engine'!$I$22),'02_Debt Engine'!$W$22,IF('02_Debt Engine'!$D$22="Active",'02_Debt Engine'!$K$22,'02_Debt Engine'!$P$22))-N38))</f>
        <v>0</v>
      </c>
      <c r="O39" s="329">
        <f>IF(O37&lt;=0,0,MIN(O37,IF(AND('02_Debt Engine'!$F$22="Yes",'02_Debt Engine'!$V$22&gt;0,O$4&gt;'02_Debt Engine'!$I$22),'02_Debt Engine'!$W$22,IF('02_Debt Engine'!$D$22="Active",'02_Debt Engine'!$K$22,'02_Debt Engine'!$P$22))-O38))</f>
        <v>0</v>
      </c>
      <c r="P39" s="329">
        <f>IF(P37&lt;=0,0,MIN(P37,IF(AND('02_Debt Engine'!$F$22="Yes",'02_Debt Engine'!$V$22&gt;0,P$4&gt;'02_Debt Engine'!$I$22),'02_Debt Engine'!$W$22,IF('02_Debt Engine'!$D$22="Active",'02_Debt Engine'!$K$22,'02_Debt Engine'!$P$22))-P38))</f>
        <v>0</v>
      </c>
      <c r="Q39" s="329">
        <f>IF(Q37&lt;=0,0,MIN(Q37,IF(AND('02_Debt Engine'!$F$22="Yes",'02_Debt Engine'!$V$22&gt;0,Q$4&gt;'02_Debt Engine'!$I$22),'02_Debt Engine'!$W$22,IF('02_Debt Engine'!$D$22="Active",'02_Debt Engine'!$K$22,'02_Debt Engine'!$P$22))-Q38))</f>
        <v>0</v>
      </c>
      <c r="R39" s="329">
        <f>IF(R37&lt;=0,0,MIN(R37,IF(AND('02_Debt Engine'!$F$22="Yes",'02_Debt Engine'!$V$22&gt;0,R$4&gt;'02_Debt Engine'!$I$22),'02_Debt Engine'!$W$22,IF('02_Debt Engine'!$D$22="Active",'02_Debt Engine'!$K$22,'02_Debt Engine'!$P$22))-R38))</f>
        <v>0</v>
      </c>
      <c r="S39" s="329">
        <f>IF(S37&lt;=0,0,MIN(S37,IF(AND('02_Debt Engine'!$F$22="Yes",'02_Debt Engine'!$V$22&gt;0,S$4&gt;'02_Debt Engine'!$I$22),'02_Debt Engine'!$W$22,IF('02_Debt Engine'!$D$22="Active",'02_Debt Engine'!$K$22,'02_Debt Engine'!$P$22))-S38))</f>
        <v>0</v>
      </c>
      <c r="T39" s="329">
        <f>IF(T37&lt;=0,0,MIN(T37,IF(AND('02_Debt Engine'!$F$22="Yes",'02_Debt Engine'!$V$22&gt;0,T$4&gt;'02_Debt Engine'!$I$22),'02_Debt Engine'!$W$22,IF('02_Debt Engine'!$D$22="Active",'02_Debt Engine'!$K$22,'02_Debt Engine'!$P$22))-T38))</f>
        <v>0</v>
      </c>
      <c r="U39" s="329">
        <f>IF(U37&lt;=0,0,MIN(U37,IF(AND('02_Debt Engine'!$F$22="Yes",'02_Debt Engine'!$V$22&gt;0,U$4&gt;'02_Debt Engine'!$I$22),'02_Debt Engine'!$W$22,IF('02_Debt Engine'!$D$22="Active",'02_Debt Engine'!$K$22,'02_Debt Engine'!$P$22))-U38))</f>
        <v>0</v>
      </c>
      <c r="V39" s="329">
        <f>IF(V37&lt;=0,0,MIN(V37,IF(AND('02_Debt Engine'!$F$22="Yes",'02_Debt Engine'!$V$22&gt;0,V$4&gt;'02_Debt Engine'!$I$22),'02_Debt Engine'!$W$22,IF('02_Debt Engine'!$D$22="Active",'02_Debt Engine'!$K$22,'02_Debt Engine'!$P$22))-V38))</f>
        <v>0</v>
      </c>
      <c r="W39" s="329">
        <f>IF(W37&lt;=0,0,MIN(W37,IF(AND('02_Debt Engine'!$F$22="Yes",'02_Debt Engine'!$V$22&gt;0,W$4&gt;'02_Debt Engine'!$I$22),'02_Debt Engine'!$W$22,IF('02_Debt Engine'!$D$22="Active",'02_Debt Engine'!$K$22,'02_Debt Engine'!$P$22))-W38))</f>
        <v>0</v>
      </c>
    </row>
    <row r="40" spans="2:23">
      <c r="B40" s="14" t="s">
        <v>533</v>
      </c>
      <c r="C40" s="331">
        <f t="shared" ref="C40:W40" si="10">C37-C39</f>
        <v>0</v>
      </c>
      <c r="D40" s="331">
        <f t="shared" si="10"/>
        <v>0</v>
      </c>
      <c r="E40" s="331">
        <f t="shared" si="10"/>
        <v>0</v>
      </c>
      <c r="F40" s="331">
        <f t="shared" si="10"/>
        <v>0</v>
      </c>
      <c r="G40" s="331">
        <f t="shared" si="10"/>
        <v>0</v>
      </c>
      <c r="H40" s="331">
        <f t="shared" si="10"/>
        <v>0</v>
      </c>
      <c r="I40" s="331">
        <f t="shared" si="10"/>
        <v>0</v>
      </c>
      <c r="J40" s="331">
        <f t="shared" si="10"/>
        <v>0</v>
      </c>
      <c r="K40" s="331">
        <f t="shared" si="10"/>
        <v>0</v>
      </c>
      <c r="L40" s="331">
        <f t="shared" si="10"/>
        <v>0</v>
      </c>
      <c r="M40" s="331">
        <f t="shared" si="10"/>
        <v>0</v>
      </c>
      <c r="N40" s="331">
        <f t="shared" si="10"/>
        <v>0</v>
      </c>
      <c r="O40" s="331">
        <f t="shared" si="10"/>
        <v>0</v>
      </c>
      <c r="P40" s="331">
        <f t="shared" si="10"/>
        <v>0</v>
      </c>
      <c r="Q40" s="331">
        <f t="shared" si="10"/>
        <v>0</v>
      </c>
      <c r="R40" s="331">
        <f t="shared" si="10"/>
        <v>0</v>
      </c>
      <c r="S40" s="331">
        <f t="shared" si="10"/>
        <v>0</v>
      </c>
      <c r="T40" s="331">
        <f t="shared" si="10"/>
        <v>0</v>
      </c>
      <c r="U40" s="331">
        <f t="shared" si="10"/>
        <v>0</v>
      </c>
      <c r="V40" s="331">
        <f t="shared" si="10"/>
        <v>0</v>
      </c>
      <c r="W40" s="331">
        <f t="shared" si="10"/>
        <v>0</v>
      </c>
    </row>
    <row r="41" spans="2:23">
      <c r="B41" s="3" t="s">
        <v>367</v>
      </c>
      <c r="C41" s="328">
        <f>IF(AND('02_Debt Engine'!$F$22="Yes",'02_Debt Engine'!$V$22&gt;0,C$4='02_Debt Engine'!$I$22),-C40,0)</f>
        <v>0</v>
      </c>
      <c r="D41" s="328">
        <f>IF(AND('02_Debt Engine'!$F$22="Yes",'02_Debt Engine'!$V$22&gt;0,D$4='02_Debt Engine'!$I$22),-D40,0)</f>
        <v>0</v>
      </c>
      <c r="E41" s="328">
        <f>IF(AND('02_Debt Engine'!$F$22="Yes",'02_Debt Engine'!$V$22&gt;0,E$4='02_Debt Engine'!$I$22),-E40,0)</f>
        <v>0</v>
      </c>
      <c r="F41" s="328">
        <f>IF(AND('02_Debt Engine'!$F$22="Yes",'02_Debt Engine'!$V$22&gt;0,F$4='02_Debt Engine'!$I$22),-F40,0)</f>
        <v>0</v>
      </c>
      <c r="G41" s="328">
        <f>IF(AND('02_Debt Engine'!$F$22="Yes",'02_Debt Engine'!$V$22&gt;0,G$4='02_Debt Engine'!$I$22),-G40,0)</f>
        <v>0</v>
      </c>
      <c r="H41" s="328">
        <f>IF(AND('02_Debt Engine'!$F$22="Yes",'02_Debt Engine'!$V$22&gt;0,H$4='02_Debt Engine'!$I$22),-H40,0)</f>
        <v>0</v>
      </c>
      <c r="I41" s="328">
        <f>IF(AND('02_Debt Engine'!$F$22="Yes",'02_Debt Engine'!$V$22&gt;0,I$4='02_Debt Engine'!$I$22),-I40,0)</f>
        <v>0</v>
      </c>
      <c r="J41" s="328">
        <f>IF(AND('02_Debt Engine'!$F$22="Yes",'02_Debt Engine'!$V$22&gt;0,J$4='02_Debt Engine'!$I$22),-J40,0)</f>
        <v>0</v>
      </c>
      <c r="K41" s="328">
        <f>IF(AND('02_Debt Engine'!$F$22="Yes",'02_Debt Engine'!$V$22&gt;0,K$4='02_Debt Engine'!$I$22),-K40,0)</f>
        <v>0</v>
      </c>
      <c r="L41" s="328">
        <f>IF(AND('02_Debt Engine'!$F$22="Yes",'02_Debt Engine'!$V$22&gt;0,L$4='02_Debt Engine'!$I$22),-L40,0)</f>
        <v>0</v>
      </c>
      <c r="M41" s="328">
        <f>IF(AND('02_Debt Engine'!$F$22="Yes",'02_Debt Engine'!$V$22&gt;0,M$4='02_Debt Engine'!$I$22),-M40,0)</f>
        <v>0</v>
      </c>
      <c r="N41" s="328">
        <f>IF(AND('02_Debt Engine'!$F$22="Yes",'02_Debt Engine'!$V$22&gt;0,N$4='02_Debt Engine'!$I$22),-N40,0)</f>
        <v>0</v>
      </c>
      <c r="O41" s="328">
        <f>IF(AND('02_Debt Engine'!$F$22="Yes",'02_Debt Engine'!$V$22&gt;0,O$4='02_Debt Engine'!$I$22),-O40,0)</f>
        <v>0</v>
      </c>
      <c r="P41" s="328">
        <f>IF(AND('02_Debt Engine'!$F$22="Yes",'02_Debt Engine'!$V$22&gt;0,P$4='02_Debt Engine'!$I$22),-P40,0)</f>
        <v>0</v>
      </c>
      <c r="Q41" s="328">
        <f>IF(AND('02_Debt Engine'!$F$22="Yes",'02_Debt Engine'!$V$22&gt;0,Q$4='02_Debt Engine'!$I$22),-Q40,0)</f>
        <v>0</v>
      </c>
      <c r="R41" s="328">
        <f>IF(AND('02_Debt Engine'!$F$22="Yes",'02_Debt Engine'!$V$22&gt;0,R$4='02_Debt Engine'!$I$22),-R40,0)</f>
        <v>0</v>
      </c>
      <c r="S41" s="328">
        <f>IF(AND('02_Debt Engine'!$F$22="Yes",'02_Debt Engine'!$V$22&gt;0,S$4='02_Debt Engine'!$I$22),-S40,0)</f>
        <v>0</v>
      </c>
      <c r="T41" s="328">
        <f>IF(AND('02_Debt Engine'!$F$22="Yes",'02_Debt Engine'!$V$22&gt;0,T$4='02_Debt Engine'!$I$22),-T40,0)</f>
        <v>0</v>
      </c>
      <c r="U41" s="328">
        <f>IF(AND('02_Debt Engine'!$F$22="Yes",'02_Debt Engine'!$V$22&gt;0,U$4='02_Debt Engine'!$I$22),-U40,0)</f>
        <v>0</v>
      </c>
      <c r="V41" s="328">
        <f>IF(AND('02_Debt Engine'!$F$22="Yes",'02_Debt Engine'!$V$22&gt;0,V$4='02_Debt Engine'!$I$22),-V40,0)</f>
        <v>0</v>
      </c>
      <c r="W41" s="328">
        <f>IF(AND('02_Debt Engine'!$F$22="Yes",'02_Debt Engine'!$V$22&gt;0,W$4='02_Debt Engine'!$I$22),-W40,0)</f>
        <v>0</v>
      </c>
    </row>
    <row r="42" spans="2:23">
      <c r="B42" s="13" t="s">
        <v>534</v>
      </c>
      <c r="C42" s="329">
        <f>IF(AND('02_Debt Engine'!$F$22="Yes",'02_Debt Engine'!$V$22&gt;0,C$4='02_Debt Engine'!$I$22),'02_Debt Engine'!$V$22,0)</f>
        <v>0</v>
      </c>
      <c r="D42" s="329">
        <f>IF(AND('02_Debt Engine'!$F$22="Yes",'02_Debt Engine'!$V$22&gt;0,D$4='02_Debt Engine'!$I$22),'02_Debt Engine'!$V$22,0)</f>
        <v>0</v>
      </c>
      <c r="E42" s="329">
        <f>IF(AND('02_Debt Engine'!$F$22="Yes",'02_Debt Engine'!$V$22&gt;0,E$4='02_Debt Engine'!$I$22),'02_Debt Engine'!$V$22,0)</f>
        <v>0</v>
      </c>
      <c r="F42" s="329">
        <f>IF(AND('02_Debt Engine'!$F$22="Yes",'02_Debt Engine'!$V$22&gt;0,F$4='02_Debt Engine'!$I$22),'02_Debt Engine'!$V$22,0)</f>
        <v>0</v>
      </c>
      <c r="G42" s="329">
        <f>IF(AND('02_Debt Engine'!$F$22="Yes",'02_Debt Engine'!$V$22&gt;0,G$4='02_Debt Engine'!$I$22),'02_Debt Engine'!$V$22,0)</f>
        <v>0</v>
      </c>
      <c r="H42" s="329">
        <f>IF(AND('02_Debt Engine'!$F$22="Yes",'02_Debt Engine'!$V$22&gt;0,H$4='02_Debt Engine'!$I$22),'02_Debt Engine'!$V$22,0)</f>
        <v>0</v>
      </c>
      <c r="I42" s="329">
        <f>IF(AND('02_Debt Engine'!$F$22="Yes",'02_Debt Engine'!$V$22&gt;0,I$4='02_Debt Engine'!$I$22),'02_Debt Engine'!$V$22,0)</f>
        <v>0</v>
      </c>
      <c r="J42" s="329">
        <f>IF(AND('02_Debt Engine'!$F$22="Yes",'02_Debt Engine'!$V$22&gt;0,J$4='02_Debt Engine'!$I$22),'02_Debt Engine'!$V$22,0)</f>
        <v>0</v>
      </c>
      <c r="K42" s="329">
        <f>IF(AND('02_Debt Engine'!$F$22="Yes",'02_Debt Engine'!$V$22&gt;0,K$4='02_Debt Engine'!$I$22),'02_Debt Engine'!$V$22,0)</f>
        <v>0</v>
      </c>
      <c r="L42" s="329">
        <f>IF(AND('02_Debt Engine'!$F$22="Yes",'02_Debt Engine'!$V$22&gt;0,L$4='02_Debt Engine'!$I$22),'02_Debt Engine'!$V$22,0)</f>
        <v>0</v>
      </c>
      <c r="M42" s="329">
        <f>IF(AND('02_Debt Engine'!$F$22="Yes",'02_Debt Engine'!$V$22&gt;0,M$4='02_Debt Engine'!$I$22),'02_Debt Engine'!$V$22,0)</f>
        <v>0</v>
      </c>
      <c r="N42" s="329">
        <f>IF(AND('02_Debt Engine'!$F$22="Yes",'02_Debt Engine'!$V$22&gt;0,N$4='02_Debt Engine'!$I$22),'02_Debt Engine'!$V$22,0)</f>
        <v>0</v>
      </c>
      <c r="O42" s="329">
        <f>IF(AND('02_Debt Engine'!$F$22="Yes",'02_Debt Engine'!$V$22&gt;0,O$4='02_Debt Engine'!$I$22),'02_Debt Engine'!$V$22,0)</f>
        <v>0</v>
      </c>
      <c r="P42" s="329">
        <f>IF(AND('02_Debt Engine'!$F$22="Yes",'02_Debt Engine'!$V$22&gt;0,P$4='02_Debt Engine'!$I$22),'02_Debt Engine'!$V$22,0)</f>
        <v>0</v>
      </c>
      <c r="Q42" s="329">
        <f>IF(AND('02_Debt Engine'!$F$22="Yes",'02_Debt Engine'!$V$22&gt;0,Q$4='02_Debt Engine'!$I$22),'02_Debt Engine'!$V$22,0)</f>
        <v>0</v>
      </c>
      <c r="R42" s="329">
        <f>IF(AND('02_Debt Engine'!$F$22="Yes",'02_Debt Engine'!$V$22&gt;0,R$4='02_Debt Engine'!$I$22),'02_Debt Engine'!$V$22,0)</f>
        <v>0</v>
      </c>
      <c r="S42" s="329">
        <f>IF(AND('02_Debt Engine'!$F$22="Yes",'02_Debt Engine'!$V$22&gt;0,S$4='02_Debt Engine'!$I$22),'02_Debt Engine'!$V$22,0)</f>
        <v>0</v>
      </c>
      <c r="T42" s="329">
        <f>IF(AND('02_Debt Engine'!$F$22="Yes",'02_Debt Engine'!$V$22&gt;0,T$4='02_Debt Engine'!$I$22),'02_Debt Engine'!$V$22,0)</f>
        <v>0</v>
      </c>
      <c r="U42" s="329">
        <f>IF(AND('02_Debt Engine'!$F$22="Yes",'02_Debt Engine'!$V$22&gt;0,U$4='02_Debt Engine'!$I$22),'02_Debt Engine'!$V$22,0)</f>
        <v>0</v>
      </c>
      <c r="V42" s="329">
        <f>IF(AND('02_Debt Engine'!$F$22="Yes",'02_Debt Engine'!$V$22&gt;0,V$4='02_Debt Engine'!$I$22),'02_Debt Engine'!$V$22,0)</f>
        <v>0</v>
      </c>
      <c r="W42" s="329">
        <f>IF(AND('02_Debt Engine'!$F$22="Yes",'02_Debt Engine'!$V$22&gt;0,W$4='02_Debt Engine'!$I$22),'02_Debt Engine'!$V$22,0)</f>
        <v>0</v>
      </c>
    </row>
    <row r="43" spans="2:23">
      <c r="B43" s="3" t="s">
        <v>535</v>
      </c>
      <c r="C43" s="330">
        <f t="shared" ref="C43:W43" si="11">C41+C42</f>
        <v>0</v>
      </c>
      <c r="D43" s="330">
        <f t="shared" si="11"/>
        <v>0</v>
      </c>
      <c r="E43" s="330">
        <f t="shared" si="11"/>
        <v>0</v>
      </c>
      <c r="F43" s="330">
        <f t="shared" si="11"/>
        <v>0</v>
      </c>
      <c r="G43" s="330">
        <f t="shared" si="11"/>
        <v>0</v>
      </c>
      <c r="H43" s="330">
        <f t="shared" si="11"/>
        <v>0</v>
      </c>
      <c r="I43" s="330">
        <f t="shared" si="11"/>
        <v>0</v>
      </c>
      <c r="J43" s="330">
        <f t="shared" si="11"/>
        <v>0</v>
      </c>
      <c r="K43" s="330">
        <f t="shared" si="11"/>
        <v>0</v>
      </c>
      <c r="L43" s="330">
        <f t="shared" si="11"/>
        <v>0</v>
      </c>
      <c r="M43" s="330">
        <f t="shared" si="11"/>
        <v>0</v>
      </c>
      <c r="N43" s="330">
        <f t="shared" si="11"/>
        <v>0</v>
      </c>
      <c r="O43" s="330">
        <f t="shared" si="11"/>
        <v>0</v>
      </c>
      <c r="P43" s="330">
        <f t="shared" si="11"/>
        <v>0</v>
      </c>
      <c r="Q43" s="330">
        <f t="shared" si="11"/>
        <v>0</v>
      </c>
      <c r="R43" s="330">
        <f t="shared" si="11"/>
        <v>0</v>
      </c>
      <c r="S43" s="330">
        <f t="shared" si="11"/>
        <v>0</v>
      </c>
      <c r="T43" s="330">
        <f t="shared" si="11"/>
        <v>0</v>
      </c>
      <c r="U43" s="330">
        <f t="shared" si="11"/>
        <v>0</v>
      </c>
      <c r="V43" s="330">
        <f t="shared" si="11"/>
        <v>0</v>
      </c>
      <c r="W43" s="330">
        <f t="shared" si="11"/>
        <v>0</v>
      </c>
    </row>
    <row r="44" spans="2:23">
      <c r="B44" s="14" t="s">
        <v>525</v>
      </c>
      <c r="C44" s="328">
        <f t="shared" ref="C44:W44" si="12">C38+C39</f>
        <v>0</v>
      </c>
      <c r="D44" s="328">
        <f t="shared" si="12"/>
        <v>0</v>
      </c>
      <c r="E44" s="328">
        <f t="shared" si="12"/>
        <v>0</v>
      </c>
      <c r="F44" s="328">
        <f t="shared" si="12"/>
        <v>0</v>
      </c>
      <c r="G44" s="328">
        <f t="shared" si="12"/>
        <v>0</v>
      </c>
      <c r="H44" s="328">
        <f t="shared" si="12"/>
        <v>0</v>
      </c>
      <c r="I44" s="328">
        <f t="shared" si="12"/>
        <v>0</v>
      </c>
      <c r="J44" s="328">
        <f t="shared" si="12"/>
        <v>0</v>
      </c>
      <c r="K44" s="328">
        <f t="shared" si="12"/>
        <v>0</v>
      </c>
      <c r="L44" s="328">
        <f t="shared" si="12"/>
        <v>0</v>
      </c>
      <c r="M44" s="328">
        <f t="shared" si="12"/>
        <v>0</v>
      </c>
      <c r="N44" s="328">
        <f t="shared" si="12"/>
        <v>0</v>
      </c>
      <c r="O44" s="328">
        <f t="shared" si="12"/>
        <v>0</v>
      </c>
      <c r="P44" s="328">
        <f t="shared" si="12"/>
        <v>0</v>
      </c>
      <c r="Q44" s="328">
        <f t="shared" si="12"/>
        <v>0</v>
      </c>
      <c r="R44" s="328">
        <f t="shared" si="12"/>
        <v>0</v>
      </c>
      <c r="S44" s="328">
        <f t="shared" si="12"/>
        <v>0</v>
      </c>
      <c r="T44" s="328">
        <f t="shared" si="12"/>
        <v>0</v>
      </c>
      <c r="U44" s="328">
        <f t="shared" si="12"/>
        <v>0</v>
      </c>
      <c r="V44" s="328">
        <f t="shared" si="12"/>
        <v>0</v>
      </c>
      <c r="W44" s="328">
        <f t="shared" si="12"/>
        <v>0</v>
      </c>
    </row>
    <row r="46" spans="2:23">
      <c r="B46" s="327" t="str">
        <f>'02_Debt Engine'!$B$23</f>
        <v>Constance Court</v>
      </c>
      <c r="C46" s="327" t="str">
        <f>_xlfn.LET(_xlpm.refiyr,INDEX('02_Debt Engine'!$I$19:$I$35,MATCH('02A_Debt Schedule'!$B46,'02_Debt Engine'!$B$19:$B$35,0)),IF(_xlpm.refiyr='02A_Debt Schedule'!C$4,"Refi Yr.",""))</f>
        <v/>
      </c>
      <c r="D46" s="327" t="str">
        <f>_xlfn.LET(_xlpm.refiyr,INDEX('02_Debt Engine'!$I$19:$I$35,MATCH('02A_Debt Schedule'!$B46,'02_Debt Engine'!$B$19:$B$35,0)),IF(_xlpm.refiyr='02A_Debt Schedule'!D$4,"Refi Yr.",""))</f>
        <v/>
      </c>
      <c r="E46" s="327" t="str">
        <f>_xlfn.LET(_xlpm.refiyr,INDEX('02_Debt Engine'!$I$19:$I$35,MATCH('02A_Debt Schedule'!$B46,'02_Debt Engine'!$B$19:$B$35,0)),IF(_xlpm.refiyr='02A_Debt Schedule'!E$4,"Refi Yr.",""))</f>
        <v>Refi Yr.</v>
      </c>
      <c r="F46" s="327" t="str">
        <f>_xlfn.LET(_xlpm.refiyr,INDEX('02_Debt Engine'!$I$19:$I$35,MATCH('02A_Debt Schedule'!$B46,'02_Debt Engine'!$B$19:$B$35,0)),IF(_xlpm.refiyr='02A_Debt Schedule'!F$4,"Refi Yr.",""))</f>
        <v/>
      </c>
      <c r="G46" s="327" t="str">
        <f>_xlfn.LET(_xlpm.refiyr,INDEX('02_Debt Engine'!$I$19:$I$35,MATCH('02A_Debt Schedule'!$B46,'02_Debt Engine'!$B$19:$B$35,0)),IF(_xlpm.refiyr='02A_Debt Schedule'!G$4,"Refi Yr.",""))</f>
        <v/>
      </c>
      <c r="H46" s="327" t="str">
        <f>_xlfn.LET(_xlpm.refiyr,INDEX('02_Debt Engine'!$I$19:$I$35,MATCH('02A_Debt Schedule'!$B46,'02_Debt Engine'!$B$19:$B$35,0)),IF(_xlpm.refiyr='02A_Debt Schedule'!H$4,"Refi Yr.",""))</f>
        <v/>
      </c>
      <c r="I46" s="327" t="str">
        <f>_xlfn.LET(_xlpm.refiyr,INDEX('02_Debt Engine'!$I$19:$I$35,MATCH('02A_Debt Schedule'!$B46,'02_Debt Engine'!$B$19:$B$35,0)),IF(_xlpm.refiyr='02A_Debt Schedule'!I$4,"Refi Yr.",""))</f>
        <v/>
      </c>
      <c r="J46" s="327" t="str">
        <f>_xlfn.LET(_xlpm.refiyr,INDEX('02_Debt Engine'!$I$19:$I$35,MATCH('02A_Debt Schedule'!$B46,'02_Debt Engine'!$B$19:$B$35,0)),IF(_xlpm.refiyr='02A_Debt Schedule'!J$4,"Refi Yr.",""))</f>
        <v/>
      </c>
      <c r="K46" s="327" t="str">
        <f>_xlfn.LET(_xlpm.refiyr,INDEX('02_Debt Engine'!$I$19:$I$35,MATCH('02A_Debt Schedule'!$B46,'02_Debt Engine'!$B$19:$B$35,0)),IF(_xlpm.refiyr='02A_Debt Schedule'!K$4,"Refi Yr.",""))</f>
        <v/>
      </c>
      <c r="L46" s="327" t="str">
        <f>_xlfn.LET(_xlpm.refiyr,INDEX('02_Debt Engine'!$I$19:$I$35,MATCH('02A_Debt Schedule'!$B46,'02_Debt Engine'!$B$19:$B$35,0)),IF(_xlpm.refiyr='02A_Debt Schedule'!L$4,"Refi Yr.",""))</f>
        <v/>
      </c>
      <c r="M46" s="327" t="str">
        <f>_xlfn.LET(_xlpm.refiyr,INDEX('02_Debt Engine'!$I$19:$I$35,MATCH('02A_Debt Schedule'!$B46,'02_Debt Engine'!$B$19:$B$35,0)),IF(_xlpm.refiyr='02A_Debt Schedule'!M$4,"Refi Yr.",""))</f>
        <v/>
      </c>
      <c r="N46" s="327" t="str">
        <f>_xlfn.LET(_xlpm.refiyr,INDEX('02_Debt Engine'!$I$19:$I$35,MATCH('02A_Debt Schedule'!$B46,'02_Debt Engine'!$B$19:$B$35,0)),IF(_xlpm.refiyr='02A_Debt Schedule'!N$4,"Refi Yr.",""))</f>
        <v/>
      </c>
      <c r="O46" s="327" t="str">
        <f>_xlfn.LET(_xlpm.refiyr,INDEX('02_Debt Engine'!$I$19:$I$35,MATCH('02A_Debt Schedule'!$B46,'02_Debt Engine'!$B$19:$B$35,0)),IF(_xlpm.refiyr='02A_Debt Schedule'!O$4,"Refi Yr.",""))</f>
        <v/>
      </c>
      <c r="P46" s="327" t="str">
        <f>_xlfn.LET(_xlpm.refiyr,INDEX('02_Debt Engine'!$I$19:$I$35,MATCH('02A_Debt Schedule'!$B46,'02_Debt Engine'!$B$19:$B$35,0)),IF(_xlpm.refiyr='02A_Debt Schedule'!P$4,"Refi Yr.",""))</f>
        <v/>
      </c>
      <c r="Q46" s="327" t="str">
        <f>_xlfn.LET(_xlpm.refiyr,INDEX('02_Debt Engine'!$I$19:$I$35,MATCH('02A_Debt Schedule'!$B46,'02_Debt Engine'!$B$19:$B$35,0)),IF(_xlpm.refiyr='02A_Debt Schedule'!Q$4,"Refi Yr.",""))</f>
        <v/>
      </c>
      <c r="R46" s="327" t="str">
        <f>_xlfn.LET(_xlpm.refiyr,INDEX('02_Debt Engine'!$I$19:$I$35,MATCH('02A_Debt Schedule'!$B46,'02_Debt Engine'!$B$19:$B$35,0)),IF(_xlpm.refiyr='02A_Debt Schedule'!R$4,"Refi Yr.",""))</f>
        <v/>
      </c>
      <c r="S46" s="327" t="str">
        <f>_xlfn.LET(_xlpm.refiyr,INDEX('02_Debt Engine'!$I$19:$I$35,MATCH('02A_Debt Schedule'!$B46,'02_Debt Engine'!$B$19:$B$35,0)),IF(_xlpm.refiyr='02A_Debt Schedule'!S$4,"Refi Yr.",""))</f>
        <v/>
      </c>
      <c r="T46" s="327" t="str">
        <f>_xlfn.LET(_xlpm.refiyr,INDEX('02_Debt Engine'!$I$19:$I$35,MATCH('02A_Debt Schedule'!$B46,'02_Debt Engine'!$B$19:$B$35,0)),IF(_xlpm.refiyr='02A_Debt Schedule'!T$4,"Refi Yr.",""))</f>
        <v/>
      </c>
      <c r="U46" s="327" t="str">
        <f>_xlfn.LET(_xlpm.refiyr,INDEX('02_Debt Engine'!$I$19:$I$35,MATCH('02A_Debt Schedule'!$B46,'02_Debt Engine'!$B$19:$B$35,0)),IF(_xlpm.refiyr='02A_Debt Schedule'!U$4,"Refi Yr.",""))</f>
        <v/>
      </c>
      <c r="V46" s="327" t="str">
        <f>_xlfn.LET(_xlpm.refiyr,INDEX('02_Debt Engine'!$I$19:$I$35,MATCH('02A_Debt Schedule'!$B46,'02_Debt Engine'!$B$19:$B$35,0)),IF(_xlpm.refiyr='02A_Debt Schedule'!V$4,"Refi Yr.",""))</f>
        <v/>
      </c>
      <c r="W46" s="327" t="str">
        <f>_xlfn.LET(_xlpm.refiyr,INDEX('02_Debt Engine'!$I$19:$I$35,MATCH('02A_Debt Schedule'!$B46,'02_Debt Engine'!$B$19:$B$35,0)),IF(_xlpm.refiyr='02A_Debt Schedule'!W$4,"Refi Yr.",""))</f>
        <v/>
      </c>
    </row>
    <row r="47" spans="2:23">
      <c r="B47" s="3" t="s">
        <v>531</v>
      </c>
      <c r="C47" s="328">
        <f>IF('02_Debt Engine'!$D$23="Active",'02_Debt Engine'!$N$23,'02_Debt Engine'!$O$23)</f>
        <v>274036.81</v>
      </c>
      <c r="D47" s="328">
        <f>IF(AND('02_Debt Engine'!$F$23="Yes",'02_Debt Engine'!$V$23&gt;0,C$4='02_Debt Engine'!$I$23),'02_Debt Engine'!$V$23,C50)</f>
        <v>107120.76706300001</v>
      </c>
      <c r="E47" s="328">
        <f>IF(AND('02_Debt Engine'!$F$23="Yes",'02_Debt Engine'!$V$23&gt;0,D$4='02_Debt Engine'!$I$23),'02_Debt Engine'!$V$23,D50)</f>
        <v>0</v>
      </c>
      <c r="F47" s="328">
        <f>IF(AND('02_Debt Engine'!$F$23="Yes",'02_Debt Engine'!$V$23&gt;0,E$4='02_Debt Engine'!$I$23),'02_Debt Engine'!$V$23,E50)</f>
        <v>0</v>
      </c>
      <c r="G47" s="328">
        <f>IF(AND('02_Debt Engine'!$F$23="Yes",'02_Debt Engine'!$V$23&gt;0,F$4='02_Debt Engine'!$I$23),'02_Debt Engine'!$V$23,F50)</f>
        <v>0</v>
      </c>
      <c r="H47" s="328">
        <f>IF(AND('02_Debt Engine'!$F$23="Yes",'02_Debt Engine'!$V$23&gt;0,G$4='02_Debt Engine'!$I$23),'02_Debt Engine'!$V$23,G50)</f>
        <v>0</v>
      </c>
      <c r="I47" s="328">
        <f>IF(AND('02_Debt Engine'!$F$23="Yes",'02_Debt Engine'!$V$23&gt;0,H$4='02_Debt Engine'!$I$23),'02_Debt Engine'!$V$23,H50)</f>
        <v>0</v>
      </c>
      <c r="J47" s="328">
        <f>IF(AND('02_Debt Engine'!$F$23="Yes",'02_Debt Engine'!$V$23&gt;0,I$4='02_Debt Engine'!$I$23),'02_Debt Engine'!$V$23,I50)</f>
        <v>0</v>
      </c>
      <c r="K47" s="328">
        <f>IF(AND('02_Debt Engine'!$F$23="Yes",'02_Debt Engine'!$V$23&gt;0,J$4='02_Debt Engine'!$I$23),'02_Debt Engine'!$V$23,J50)</f>
        <v>0</v>
      </c>
      <c r="L47" s="328">
        <f>IF(AND('02_Debt Engine'!$F$23="Yes",'02_Debt Engine'!$V$23&gt;0,K$4='02_Debt Engine'!$I$23),'02_Debt Engine'!$V$23,K50)</f>
        <v>0</v>
      </c>
      <c r="M47" s="328">
        <f>IF(AND('02_Debt Engine'!$F$23="Yes",'02_Debt Engine'!$V$23&gt;0,L$4='02_Debt Engine'!$I$23),'02_Debt Engine'!$V$23,L50)</f>
        <v>0</v>
      </c>
      <c r="N47" s="328">
        <f>IF(AND('02_Debt Engine'!$F$23="Yes",'02_Debt Engine'!$V$23&gt;0,M$4='02_Debt Engine'!$I$23),'02_Debt Engine'!$V$23,M50)</f>
        <v>0</v>
      </c>
      <c r="O47" s="328">
        <f>IF(AND('02_Debt Engine'!$F$23="Yes",'02_Debt Engine'!$V$23&gt;0,N$4='02_Debt Engine'!$I$23),'02_Debt Engine'!$V$23,N50)</f>
        <v>0</v>
      </c>
      <c r="P47" s="328">
        <f>IF(AND('02_Debt Engine'!$F$23="Yes",'02_Debt Engine'!$V$23&gt;0,O$4='02_Debt Engine'!$I$23),'02_Debt Engine'!$V$23,O50)</f>
        <v>0</v>
      </c>
      <c r="Q47" s="328">
        <f>IF(AND('02_Debt Engine'!$F$23="Yes",'02_Debt Engine'!$V$23&gt;0,P$4='02_Debt Engine'!$I$23),'02_Debt Engine'!$V$23,P50)</f>
        <v>0</v>
      </c>
      <c r="R47" s="328">
        <f>IF(AND('02_Debt Engine'!$F$23="Yes",'02_Debt Engine'!$V$23&gt;0,Q$4='02_Debt Engine'!$I$23),'02_Debt Engine'!$V$23,Q50)</f>
        <v>0</v>
      </c>
      <c r="S47" s="328">
        <f>IF(AND('02_Debt Engine'!$F$23="Yes",'02_Debt Engine'!$V$23&gt;0,R$4='02_Debt Engine'!$I$23),'02_Debt Engine'!$V$23,R50)</f>
        <v>0</v>
      </c>
      <c r="T47" s="328">
        <f>IF(AND('02_Debt Engine'!$F$23="Yes",'02_Debt Engine'!$V$23&gt;0,S$4='02_Debt Engine'!$I$23),'02_Debt Engine'!$V$23,S50)</f>
        <v>0</v>
      </c>
      <c r="U47" s="328">
        <f>IF(AND('02_Debt Engine'!$F$23="Yes",'02_Debt Engine'!$V$23&gt;0,T$4='02_Debt Engine'!$I$23),'02_Debt Engine'!$V$23,T50)</f>
        <v>0</v>
      </c>
      <c r="V47" s="328">
        <f>IF(AND('02_Debt Engine'!$F$23="Yes",'02_Debt Engine'!$V$23&gt;0,U$4='02_Debt Engine'!$I$23),'02_Debt Engine'!$V$23,U50)</f>
        <v>0</v>
      </c>
      <c r="W47" s="328">
        <f>IF(AND('02_Debt Engine'!$F$23="Yes",'02_Debt Engine'!$V$23&gt;0,V$4='02_Debt Engine'!$I$23),'02_Debt Engine'!$V$23,V50)</f>
        <v>0</v>
      </c>
    </row>
    <row r="48" spans="2:23">
      <c r="B48" s="3" t="s">
        <v>514</v>
      </c>
      <c r="C48" s="328">
        <f>IF(C47&lt;=0,0,C47*IF(AND('02_Debt Engine'!$F$23="Yes",'02_Debt Engine'!$V$23&gt;0,C$4&gt;'02_Debt Engine'!$I$23),'02_Debt Engine'!$C$13,IF('02_Debt Engine'!$D$23="Active",'02_Debt Engine'!$H$23,'02_Debt Engine'!$C$7)))</f>
        <v>11591.757062999999</v>
      </c>
      <c r="D48" s="328">
        <f>IF(D47&lt;=0,0,D47*IF(AND('02_Debt Engine'!$F$23="Yes",'02_Debt Engine'!$V$23&gt;0,D$4&gt;'02_Debt Engine'!$I$23),'02_Debt Engine'!$C$13,IF('02_Debt Engine'!$D$23="Active",'02_Debt Engine'!$H$23,'02_Debt Engine'!$C$7)))</f>
        <v>4531.2084467649001</v>
      </c>
      <c r="E48" s="328">
        <f>IF(E47&lt;=0,0,E47*IF(AND('02_Debt Engine'!$F$23="Yes",'02_Debt Engine'!$V$23&gt;0,E$4&gt;'02_Debt Engine'!$I$23),'02_Debt Engine'!$C$13,IF('02_Debt Engine'!$D$23="Active",'02_Debt Engine'!$H$23,'02_Debt Engine'!$C$7)))</f>
        <v>0</v>
      </c>
      <c r="F48" s="328">
        <f>IF(F47&lt;=0,0,F47*IF(AND('02_Debt Engine'!$F$23="Yes",'02_Debt Engine'!$V$23&gt;0,F$4&gt;'02_Debt Engine'!$I$23),'02_Debt Engine'!$C$13,IF('02_Debt Engine'!$D$23="Active",'02_Debt Engine'!$H$23,'02_Debt Engine'!$C$7)))</f>
        <v>0</v>
      </c>
      <c r="G48" s="328">
        <f>IF(G47&lt;=0,0,G47*IF(AND('02_Debt Engine'!$F$23="Yes",'02_Debt Engine'!$V$23&gt;0,G$4&gt;'02_Debt Engine'!$I$23),'02_Debt Engine'!$C$13,IF('02_Debt Engine'!$D$23="Active",'02_Debt Engine'!$H$23,'02_Debt Engine'!$C$7)))</f>
        <v>0</v>
      </c>
      <c r="H48" s="328">
        <f>IF(H47&lt;=0,0,H47*IF(AND('02_Debt Engine'!$F$23="Yes",'02_Debt Engine'!$V$23&gt;0,H$4&gt;'02_Debt Engine'!$I$23),'02_Debt Engine'!$C$13,IF('02_Debt Engine'!$D$23="Active",'02_Debt Engine'!$H$23,'02_Debt Engine'!$C$7)))</f>
        <v>0</v>
      </c>
      <c r="I48" s="328">
        <f>IF(I47&lt;=0,0,I47*IF(AND('02_Debt Engine'!$F$23="Yes",'02_Debt Engine'!$V$23&gt;0,I$4&gt;'02_Debt Engine'!$I$23),'02_Debt Engine'!$C$13,IF('02_Debt Engine'!$D$23="Active",'02_Debt Engine'!$H$23,'02_Debt Engine'!$C$7)))</f>
        <v>0</v>
      </c>
      <c r="J48" s="328">
        <f>IF(J47&lt;=0,0,J47*IF(AND('02_Debt Engine'!$F$23="Yes",'02_Debt Engine'!$V$23&gt;0,J$4&gt;'02_Debt Engine'!$I$23),'02_Debt Engine'!$C$13,IF('02_Debt Engine'!$D$23="Active",'02_Debt Engine'!$H$23,'02_Debt Engine'!$C$7)))</f>
        <v>0</v>
      </c>
      <c r="K48" s="328">
        <f>IF(K47&lt;=0,0,K47*IF(AND('02_Debt Engine'!$F$23="Yes",'02_Debt Engine'!$V$23&gt;0,K$4&gt;'02_Debt Engine'!$I$23),'02_Debt Engine'!$C$13,IF('02_Debt Engine'!$D$23="Active",'02_Debt Engine'!$H$23,'02_Debt Engine'!$C$7)))</f>
        <v>0</v>
      </c>
      <c r="L48" s="328">
        <f>IF(L47&lt;=0,0,L47*IF(AND('02_Debt Engine'!$F$23="Yes",'02_Debt Engine'!$V$23&gt;0,L$4&gt;'02_Debt Engine'!$I$23),'02_Debt Engine'!$C$13,IF('02_Debt Engine'!$D$23="Active",'02_Debt Engine'!$H$23,'02_Debt Engine'!$C$7)))</f>
        <v>0</v>
      </c>
      <c r="M48" s="328">
        <f>IF(M47&lt;=0,0,M47*IF(AND('02_Debt Engine'!$F$23="Yes",'02_Debt Engine'!$V$23&gt;0,M$4&gt;'02_Debt Engine'!$I$23),'02_Debt Engine'!$C$13,IF('02_Debt Engine'!$D$23="Active",'02_Debt Engine'!$H$23,'02_Debt Engine'!$C$7)))</f>
        <v>0</v>
      </c>
      <c r="N48" s="328">
        <f>IF(N47&lt;=0,0,N47*IF(AND('02_Debt Engine'!$F$23="Yes",'02_Debt Engine'!$V$23&gt;0,N$4&gt;'02_Debt Engine'!$I$23),'02_Debt Engine'!$C$13,IF('02_Debt Engine'!$D$23="Active",'02_Debt Engine'!$H$23,'02_Debt Engine'!$C$7)))</f>
        <v>0</v>
      </c>
      <c r="O48" s="328">
        <f>IF(O47&lt;=0,0,O47*IF(AND('02_Debt Engine'!$F$23="Yes",'02_Debt Engine'!$V$23&gt;0,O$4&gt;'02_Debt Engine'!$I$23),'02_Debt Engine'!$C$13,IF('02_Debt Engine'!$D$23="Active",'02_Debt Engine'!$H$23,'02_Debt Engine'!$C$7)))</f>
        <v>0</v>
      </c>
      <c r="P48" s="328">
        <f>IF(P47&lt;=0,0,P47*IF(AND('02_Debt Engine'!$F$23="Yes",'02_Debt Engine'!$V$23&gt;0,P$4&gt;'02_Debt Engine'!$I$23),'02_Debt Engine'!$C$13,IF('02_Debt Engine'!$D$23="Active",'02_Debt Engine'!$H$23,'02_Debt Engine'!$C$7)))</f>
        <v>0</v>
      </c>
      <c r="Q48" s="328">
        <f>IF(Q47&lt;=0,0,Q47*IF(AND('02_Debt Engine'!$F$23="Yes",'02_Debt Engine'!$V$23&gt;0,Q$4&gt;'02_Debt Engine'!$I$23),'02_Debt Engine'!$C$13,IF('02_Debt Engine'!$D$23="Active",'02_Debt Engine'!$H$23,'02_Debt Engine'!$C$7)))</f>
        <v>0</v>
      </c>
      <c r="R48" s="328">
        <f>IF(R47&lt;=0,0,R47*IF(AND('02_Debt Engine'!$F$23="Yes",'02_Debt Engine'!$V$23&gt;0,R$4&gt;'02_Debt Engine'!$I$23),'02_Debt Engine'!$C$13,IF('02_Debt Engine'!$D$23="Active",'02_Debt Engine'!$H$23,'02_Debt Engine'!$C$7)))</f>
        <v>0</v>
      </c>
      <c r="S48" s="328">
        <f>IF(S47&lt;=0,0,S47*IF(AND('02_Debt Engine'!$F$23="Yes",'02_Debt Engine'!$V$23&gt;0,S$4&gt;'02_Debt Engine'!$I$23),'02_Debt Engine'!$C$13,IF('02_Debt Engine'!$D$23="Active",'02_Debt Engine'!$H$23,'02_Debt Engine'!$C$7)))</f>
        <v>0</v>
      </c>
      <c r="T48" s="328">
        <f>IF(T47&lt;=0,0,T47*IF(AND('02_Debt Engine'!$F$23="Yes",'02_Debt Engine'!$V$23&gt;0,T$4&gt;'02_Debt Engine'!$I$23),'02_Debt Engine'!$C$13,IF('02_Debt Engine'!$D$23="Active",'02_Debt Engine'!$H$23,'02_Debt Engine'!$C$7)))</f>
        <v>0</v>
      </c>
      <c r="U48" s="328">
        <f>IF(U47&lt;=0,0,U47*IF(AND('02_Debt Engine'!$F$23="Yes",'02_Debt Engine'!$V$23&gt;0,U$4&gt;'02_Debt Engine'!$I$23),'02_Debt Engine'!$C$13,IF('02_Debt Engine'!$D$23="Active",'02_Debt Engine'!$H$23,'02_Debt Engine'!$C$7)))</f>
        <v>0</v>
      </c>
      <c r="V48" s="328">
        <f>IF(V47&lt;=0,0,V47*IF(AND('02_Debt Engine'!$F$23="Yes",'02_Debt Engine'!$V$23&gt;0,V$4&gt;'02_Debt Engine'!$I$23),'02_Debt Engine'!$C$13,IF('02_Debt Engine'!$D$23="Active",'02_Debt Engine'!$H$23,'02_Debt Engine'!$C$7)))</f>
        <v>0</v>
      </c>
      <c r="W48" s="328">
        <f>IF(W47&lt;=0,0,W47*IF(AND('02_Debt Engine'!$F$23="Yes",'02_Debt Engine'!$V$23&gt;0,W$4&gt;'02_Debt Engine'!$I$23),'02_Debt Engine'!$C$13,IF('02_Debt Engine'!$D$23="Active",'02_Debt Engine'!$H$23,'02_Debt Engine'!$C$7)))</f>
        <v>0</v>
      </c>
    </row>
    <row r="49" spans="2:23">
      <c r="B49" s="13" t="s">
        <v>532</v>
      </c>
      <c r="C49" s="329">
        <f>IF(C47&lt;=0,0,MIN(C47,IF(AND('02_Debt Engine'!$F$23="Yes",'02_Debt Engine'!$V$23&gt;0,C$4&gt;'02_Debt Engine'!$I$23),'02_Debt Engine'!$W$23,IF('02_Debt Engine'!$D$23="Active",'02_Debt Engine'!$K$23,'02_Debt Engine'!$P$23))-C48))</f>
        <v>166916.04293699999</v>
      </c>
      <c r="D49" s="329">
        <f>IF(D47&lt;=0,0,MIN(D47,IF(AND('02_Debt Engine'!$F$23="Yes",'02_Debt Engine'!$V$23&gt;0,D$4&gt;'02_Debt Engine'!$I$23),'02_Debt Engine'!$W$23,IF('02_Debt Engine'!$D$23="Active",'02_Debt Engine'!$K$23,'02_Debt Engine'!$P$23))-D48))</f>
        <v>107120.76706300001</v>
      </c>
      <c r="E49" s="329">
        <f>IF(E47&lt;=0,0,MIN(E47,IF(AND('02_Debt Engine'!$F$23="Yes",'02_Debt Engine'!$V$23&gt;0,E$4&gt;'02_Debt Engine'!$I$23),'02_Debt Engine'!$W$23,IF('02_Debt Engine'!$D$23="Active",'02_Debt Engine'!$K$23,'02_Debt Engine'!$P$23))-E48))</f>
        <v>0</v>
      </c>
      <c r="F49" s="329">
        <f>IF(F47&lt;=0,0,MIN(F47,IF(AND('02_Debt Engine'!$F$23="Yes",'02_Debt Engine'!$V$23&gt;0,F$4&gt;'02_Debt Engine'!$I$23),'02_Debt Engine'!$W$23,IF('02_Debt Engine'!$D$23="Active",'02_Debt Engine'!$K$23,'02_Debt Engine'!$P$23))-F48))</f>
        <v>0</v>
      </c>
      <c r="G49" s="329">
        <f>IF(G47&lt;=0,0,MIN(G47,IF(AND('02_Debt Engine'!$F$23="Yes",'02_Debt Engine'!$V$23&gt;0,G$4&gt;'02_Debt Engine'!$I$23),'02_Debt Engine'!$W$23,IF('02_Debt Engine'!$D$23="Active",'02_Debt Engine'!$K$23,'02_Debt Engine'!$P$23))-G48))</f>
        <v>0</v>
      </c>
      <c r="H49" s="329">
        <f>IF(H47&lt;=0,0,MIN(H47,IF(AND('02_Debt Engine'!$F$23="Yes",'02_Debt Engine'!$V$23&gt;0,H$4&gt;'02_Debt Engine'!$I$23),'02_Debt Engine'!$W$23,IF('02_Debt Engine'!$D$23="Active",'02_Debt Engine'!$K$23,'02_Debt Engine'!$P$23))-H48))</f>
        <v>0</v>
      </c>
      <c r="I49" s="329">
        <f>IF(I47&lt;=0,0,MIN(I47,IF(AND('02_Debt Engine'!$F$23="Yes",'02_Debt Engine'!$V$23&gt;0,I$4&gt;'02_Debt Engine'!$I$23),'02_Debt Engine'!$W$23,IF('02_Debt Engine'!$D$23="Active",'02_Debt Engine'!$K$23,'02_Debt Engine'!$P$23))-I48))</f>
        <v>0</v>
      </c>
      <c r="J49" s="329">
        <f>IF(J47&lt;=0,0,MIN(J47,IF(AND('02_Debt Engine'!$F$23="Yes",'02_Debt Engine'!$V$23&gt;0,J$4&gt;'02_Debt Engine'!$I$23),'02_Debt Engine'!$W$23,IF('02_Debt Engine'!$D$23="Active",'02_Debt Engine'!$K$23,'02_Debt Engine'!$P$23))-J48))</f>
        <v>0</v>
      </c>
      <c r="K49" s="329">
        <f>IF(K47&lt;=0,0,MIN(K47,IF(AND('02_Debt Engine'!$F$23="Yes",'02_Debt Engine'!$V$23&gt;0,K$4&gt;'02_Debt Engine'!$I$23),'02_Debt Engine'!$W$23,IF('02_Debt Engine'!$D$23="Active",'02_Debt Engine'!$K$23,'02_Debt Engine'!$P$23))-K48))</f>
        <v>0</v>
      </c>
      <c r="L49" s="329">
        <f>IF(L47&lt;=0,0,MIN(L47,IF(AND('02_Debt Engine'!$F$23="Yes",'02_Debt Engine'!$V$23&gt;0,L$4&gt;'02_Debt Engine'!$I$23),'02_Debt Engine'!$W$23,IF('02_Debt Engine'!$D$23="Active",'02_Debt Engine'!$K$23,'02_Debt Engine'!$P$23))-L48))</f>
        <v>0</v>
      </c>
      <c r="M49" s="329">
        <f>IF(M47&lt;=0,0,MIN(M47,IF(AND('02_Debt Engine'!$F$23="Yes",'02_Debt Engine'!$V$23&gt;0,M$4&gt;'02_Debt Engine'!$I$23),'02_Debt Engine'!$W$23,IF('02_Debt Engine'!$D$23="Active",'02_Debt Engine'!$K$23,'02_Debt Engine'!$P$23))-M48))</f>
        <v>0</v>
      </c>
      <c r="N49" s="329">
        <f>IF(N47&lt;=0,0,MIN(N47,IF(AND('02_Debt Engine'!$F$23="Yes",'02_Debt Engine'!$V$23&gt;0,N$4&gt;'02_Debt Engine'!$I$23),'02_Debt Engine'!$W$23,IF('02_Debt Engine'!$D$23="Active",'02_Debt Engine'!$K$23,'02_Debt Engine'!$P$23))-N48))</f>
        <v>0</v>
      </c>
      <c r="O49" s="329">
        <f>IF(O47&lt;=0,0,MIN(O47,IF(AND('02_Debt Engine'!$F$23="Yes",'02_Debt Engine'!$V$23&gt;0,O$4&gt;'02_Debt Engine'!$I$23),'02_Debt Engine'!$W$23,IF('02_Debt Engine'!$D$23="Active",'02_Debt Engine'!$K$23,'02_Debt Engine'!$P$23))-O48))</f>
        <v>0</v>
      </c>
      <c r="P49" s="329">
        <f>IF(P47&lt;=0,0,MIN(P47,IF(AND('02_Debt Engine'!$F$23="Yes",'02_Debt Engine'!$V$23&gt;0,P$4&gt;'02_Debt Engine'!$I$23),'02_Debt Engine'!$W$23,IF('02_Debt Engine'!$D$23="Active",'02_Debt Engine'!$K$23,'02_Debt Engine'!$P$23))-P48))</f>
        <v>0</v>
      </c>
      <c r="Q49" s="329">
        <f>IF(Q47&lt;=0,0,MIN(Q47,IF(AND('02_Debt Engine'!$F$23="Yes",'02_Debt Engine'!$V$23&gt;0,Q$4&gt;'02_Debt Engine'!$I$23),'02_Debt Engine'!$W$23,IF('02_Debt Engine'!$D$23="Active",'02_Debt Engine'!$K$23,'02_Debt Engine'!$P$23))-Q48))</f>
        <v>0</v>
      </c>
      <c r="R49" s="329">
        <f>IF(R47&lt;=0,0,MIN(R47,IF(AND('02_Debt Engine'!$F$23="Yes",'02_Debt Engine'!$V$23&gt;0,R$4&gt;'02_Debt Engine'!$I$23),'02_Debt Engine'!$W$23,IF('02_Debt Engine'!$D$23="Active",'02_Debt Engine'!$K$23,'02_Debt Engine'!$P$23))-R48))</f>
        <v>0</v>
      </c>
      <c r="S49" s="329">
        <f>IF(S47&lt;=0,0,MIN(S47,IF(AND('02_Debt Engine'!$F$23="Yes",'02_Debt Engine'!$V$23&gt;0,S$4&gt;'02_Debt Engine'!$I$23),'02_Debt Engine'!$W$23,IF('02_Debt Engine'!$D$23="Active",'02_Debt Engine'!$K$23,'02_Debt Engine'!$P$23))-S48))</f>
        <v>0</v>
      </c>
      <c r="T49" s="329">
        <f>IF(T47&lt;=0,0,MIN(T47,IF(AND('02_Debt Engine'!$F$23="Yes",'02_Debt Engine'!$V$23&gt;0,T$4&gt;'02_Debt Engine'!$I$23),'02_Debt Engine'!$W$23,IF('02_Debt Engine'!$D$23="Active",'02_Debt Engine'!$K$23,'02_Debt Engine'!$P$23))-T48))</f>
        <v>0</v>
      </c>
      <c r="U49" s="329">
        <f>IF(U47&lt;=0,0,MIN(U47,IF(AND('02_Debt Engine'!$F$23="Yes",'02_Debt Engine'!$V$23&gt;0,U$4&gt;'02_Debt Engine'!$I$23),'02_Debt Engine'!$W$23,IF('02_Debt Engine'!$D$23="Active",'02_Debt Engine'!$K$23,'02_Debt Engine'!$P$23))-U48))</f>
        <v>0</v>
      </c>
      <c r="V49" s="329">
        <f>IF(V47&lt;=0,0,MIN(V47,IF(AND('02_Debt Engine'!$F$23="Yes",'02_Debt Engine'!$V$23&gt;0,V$4&gt;'02_Debt Engine'!$I$23),'02_Debt Engine'!$W$23,IF('02_Debt Engine'!$D$23="Active",'02_Debt Engine'!$K$23,'02_Debt Engine'!$P$23))-V48))</f>
        <v>0</v>
      </c>
      <c r="W49" s="329">
        <f>IF(W47&lt;=0,0,MIN(W47,IF(AND('02_Debt Engine'!$F$23="Yes",'02_Debt Engine'!$V$23&gt;0,W$4&gt;'02_Debt Engine'!$I$23),'02_Debt Engine'!$W$23,IF('02_Debt Engine'!$D$23="Active",'02_Debt Engine'!$K$23,'02_Debt Engine'!$P$23))-W48))</f>
        <v>0</v>
      </c>
    </row>
    <row r="50" spans="2:23">
      <c r="B50" s="14" t="s">
        <v>533</v>
      </c>
      <c r="C50" s="331">
        <f t="shared" ref="C50:W50" si="13">C47-C49</f>
        <v>107120.76706300001</v>
      </c>
      <c r="D50" s="331">
        <f t="shared" si="13"/>
        <v>0</v>
      </c>
      <c r="E50" s="331">
        <f t="shared" si="13"/>
        <v>0</v>
      </c>
      <c r="F50" s="331">
        <f t="shared" si="13"/>
        <v>0</v>
      </c>
      <c r="G50" s="331">
        <f t="shared" si="13"/>
        <v>0</v>
      </c>
      <c r="H50" s="331">
        <f t="shared" si="13"/>
        <v>0</v>
      </c>
      <c r="I50" s="331">
        <f t="shared" si="13"/>
        <v>0</v>
      </c>
      <c r="J50" s="331">
        <f t="shared" si="13"/>
        <v>0</v>
      </c>
      <c r="K50" s="331">
        <f t="shared" si="13"/>
        <v>0</v>
      </c>
      <c r="L50" s="331">
        <f t="shared" si="13"/>
        <v>0</v>
      </c>
      <c r="M50" s="331">
        <f t="shared" si="13"/>
        <v>0</v>
      </c>
      <c r="N50" s="331">
        <f t="shared" si="13"/>
        <v>0</v>
      </c>
      <c r="O50" s="331">
        <f t="shared" si="13"/>
        <v>0</v>
      </c>
      <c r="P50" s="331">
        <f t="shared" si="13"/>
        <v>0</v>
      </c>
      <c r="Q50" s="331">
        <f t="shared" si="13"/>
        <v>0</v>
      </c>
      <c r="R50" s="331">
        <f t="shared" si="13"/>
        <v>0</v>
      </c>
      <c r="S50" s="331">
        <f t="shared" si="13"/>
        <v>0</v>
      </c>
      <c r="T50" s="331">
        <f t="shared" si="13"/>
        <v>0</v>
      </c>
      <c r="U50" s="331">
        <f t="shared" si="13"/>
        <v>0</v>
      </c>
      <c r="V50" s="331">
        <f t="shared" si="13"/>
        <v>0</v>
      </c>
      <c r="W50" s="331">
        <f t="shared" si="13"/>
        <v>0</v>
      </c>
    </row>
    <row r="51" spans="2:23">
      <c r="B51" s="3" t="s">
        <v>367</v>
      </c>
      <c r="C51" s="328">
        <f>IF(AND('02_Debt Engine'!$F$23="Yes",'02_Debt Engine'!$V$23&gt;0,C$4='02_Debt Engine'!$I$23),-C50,0)</f>
        <v>0</v>
      </c>
      <c r="D51" s="328">
        <f>IF(AND('02_Debt Engine'!$F$23="Yes",'02_Debt Engine'!$V$23&gt;0,D$4='02_Debt Engine'!$I$23),-D50,0)</f>
        <v>0</v>
      </c>
      <c r="E51" s="328">
        <f>IF(AND('02_Debt Engine'!$F$23="Yes",'02_Debt Engine'!$V$23&gt;0,E$4='02_Debt Engine'!$I$23),-E50,0)</f>
        <v>0</v>
      </c>
      <c r="F51" s="328">
        <f>IF(AND('02_Debt Engine'!$F$23="Yes",'02_Debt Engine'!$V$23&gt;0,F$4='02_Debt Engine'!$I$23),-F50,0)</f>
        <v>0</v>
      </c>
      <c r="G51" s="328">
        <f>IF(AND('02_Debt Engine'!$F$23="Yes",'02_Debt Engine'!$V$23&gt;0,G$4='02_Debt Engine'!$I$23),-G50,0)</f>
        <v>0</v>
      </c>
      <c r="H51" s="328">
        <f>IF(AND('02_Debt Engine'!$F$23="Yes",'02_Debt Engine'!$V$23&gt;0,H$4='02_Debt Engine'!$I$23),-H50,0)</f>
        <v>0</v>
      </c>
      <c r="I51" s="328">
        <f>IF(AND('02_Debt Engine'!$F$23="Yes",'02_Debt Engine'!$V$23&gt;0,I$4='02_Debt Engine'!$I$23),-I50,0)</f>
        <v>0</v>
      </c>
      <c r="J51" s="328">
        <f>IF(AND('02_Debt Engine'!$F$23="Yes",'02_Debt Engine'!$V$23&gt;0,J$4='02_Debt Engine'!$I$23),-J50,0)</f>
        <v>0</v>
      </c>
      <c r="K51" s="328">
        <f>IF(AND('02_Debt Engine'!$F$23="Yes",'02_Debt Engine'!$V$23&gt;0,K$4='02_Debt Engine'!$I$23),-K50,0)</f>
        <v>0</v>
      </c>
      <c r="L51" s="328">
        <f>IF(AND('02_Debt Engine'!$F$23="Yes",'02_Debt Engine'!$V$23&gt;0,L$4='02_Debt Engine'!$I$23),-L50,0)</f>
        <v>0</v>
      </c>
      <c r="M51" s="328">
        <f>IF(AND('02_Debt Engine'!$F$23="Yes",'02_Debt Engine'!$V$23&gt;0,M$4='02_Debt Engine'!$I$23),-M50,0)</f>
        <v>0</v>
      </c>
      <c r="N51" s="328">
        <f>IF(AND('02_Debt Engine'!$F$23="Yes",'02_Debt Engine'!$V$23&gt;0,N$4='02_Debt Engine'!$I$23),-N50,0)</f>
        <v>0</v>
      </c>
      <c r="O51" s="328">
        <f>IF(AND('02_Debt Engine'!$F$23="Yes",'02_Debt Engine'!$V$23&gt;0,O$4='02_Debt Engine'!$I$23),-O50,0)</f>
        <v>0</v>
      </c>
      <c r="P51" s="328">
        <f>IF(AND('02_Debt Engine'!$F$23="Yes",'02_Debt Engine'!$V$23&gt;0,P$4='02_Debt Engine'!$I$23),-P50,0)</f>
        <v>0</v>
      </c>
      <c r="Q51" s="328">
        <f>IF(AND('02_Debt Engine'!$F$23="Yes",'02_Debt Engine'!$V$23&gt;0,Q$4='02_Debt Engine'!$I$23),-Q50,0)</f>
        <v>0</v>
      </c>
      <c r="R51" s="328">
        <f>IF(AND('02_Debt Engine'!$F$23="Yes",'02_Debt Engine'!$V$23&gt;0,R$4='02_Debt Engine'!$I$23),-R50,0)</f>
        <v>0</v>
      </c>
      <c r="S51" s="328">
        <f>IF(AND('02_Debt Engine'!$F$23="Yes",'02_Debt Engine'!$V$23&gt;0,S$4='02_Debt Engine'!$I$23),-S50,0)</f>
        <v>0</v>
      </c>
      <c r="T51" s="328">
        <f>IF(AND('02_Debt Engine'!$F$23="Yes",'02_Debt Engine'!$V$23&gt;0,T$4='02_Debt Engine'!$I$23),-T50,0)</f>
        <v>0</v>
      </c>
      <c r="U51" s="328">
        <f>IF(AND('02_Debt Engine'!$F$23="Yes",'02_Debt Engine'!$V$23&gt;0,U$4='02_Debt Engine'!$I$23),-U50,0)</f>
        <v>0</v>
      </c>
      <c r="V51" s="328">
        <f>IF(AND('02_Debt Engine'!$F$23="Yes",'02_Debt Engine'!$V$23&gt;0,V$4='02_Debt Engine'!$I$23),-V50,0)</f>
        <v>0</v>
      </c>
      <c r="W51" s="328">
        <f>IF(AND('02_Debt Engine'!$F$23="Yes",'02_Debt Engine'!$V$23&gt;0,W$4='02_Debt Engine'!$I$23),-W50,0)</f>
        <v>0</v>
      </c>
    </row>
    <row r="52" spans="2:23">
      <c r="B52" s="13" t="s">
        <v>534</v>
      </c>
      <c r="C52" s="329">
        <f>IF(AND('02_Debt Engine'!$F$23="Yes",'02_Debt Engine'!$V$23&gt;0,C$4='02_Debt Engine'!$I$23),'02_Debt Engine'!$V$23,0)</f>
        <v>0</v>
      </c>
      <c r="D52" s="329">
        <f>IF(AND('02_Debt Engine'!$F$23="Yes",'02_Debt Engine'!$V$23&gt;0,D$4='02_Debt Engine'!$I$23),'02_Debt Engine'!$V$23,0)</f>
        <v>0</v>
      </c>
      <c r="E52" s="329">
        <f>IF(AND('02_Debt Engine'!$F$23="Yes",'02_Debt Engine'!$V$23&gt;0,E$4='02_Debt Engine'!$I$23),'02_Debt Engine'!$V$23,0)</f>
        <v>0</v>
      </c>
      <c r="F52" s="329">
        <f>IF(AND('02_Debt Engine'!$F$23="Yes",'02_Debt Engine'!$V$23&gt;0,F$4='02_Debt Engine'!$I$23),'02_Debt Engine'!$V$23,0)</f>
        <v>0</v>
      </c>
      <c r="G52" s="329">
        <f>IF(AND('02_Debt Engine'!$F$23="Yes",'02_Debt Engine'!$V$23&gt;0,G$4='02_Debt Engine'!$I$23),'02_Debt Engine'!$V$23,0)</f>
        <v>0</v>
      </c>
      <c r="H52" s="329">
        <f>IF(AND('02_Debt Engine'!$F$23="Yes",'02_Debt Engine'!$V$23&gt;0,H$4='02_Debt Engine'!$I$23),'02_Debt Engine'!$V$23,0)</f>
        <v>0</v>
      </c>
      <c r="I52" s="329">
        <f>IF(AND('02_Debt Engine'!$F$23="Yes",'02_Debt Engine'!$V$23&gt;0,I$4='02_Debt Engine'!$I$23),'02_Debt Engine'!$V$23,0)</f>
        <v>0</v>
      </c>
      <c r="J52" s="329">
        <f>IF(AND('02_Debt Engine'!$F$23="Yes",'02_Debt Engine'!$V$23&gt;0,J$4='02_Debt Engine'!$I$23),'02_Debt Engine'!$V$23,0)</f>
        <v>0</v>
      </c>
      <c r="K52" s="329">
        <f>IF(AND('02_Debt Engine'!$F$23="Yes",'02_Debt Engine'!$V$23&gt;0,K$4='02_Debt Engine'!$I$23),'02_Debt Engine'!$V$23,0)</f>
        <v>0</v>
      </c>
      <c r="L52" s="329">
        <f>IF(AND('02_Debt Engine'!$F$23="Yes",'02_Debt Engine'!$V$23&gt;0,L$4='02_Debt Engine'!$I$23),'02_Debt Engine'!$V$23,0)</f>
        <v>0</v>
      </c>
      <c r="M52" s="329">
        <f>IF(AND('02_Debt Engine'!$F$23="Yes",'02_Debt Engine'!$V$23&gt;0,M$4='02_Debt Engine'!$I$23),'02_Debt Engine'!$V$23,0)</f>
        <v>0</v>
      </c>
      <c r="N52" s="329">
        <f>IF(AND('02_Debt Engine'!$F$23="Yes",'02_Debt Engine'!$V$23&gt;0,N$4='02_Debt Engine'!$I$23),'02_Debt Engine'!$V$23,0)</f>
        <v>0</v>
      </c>
      <c r="O52" s="329">
        <f>IF(AND('02_Debt Engine'!$F$23="Yes",'02_Debt Engine'!$V$23&gt;0,O$4='02_Debt Engine'!$I$23),'02_Debt Engine'!$V$23,0)</f>
        <v>0</v>
      </c>
      <c r="P52" s="329">
        <f>IF(AND('02_Debt Engine'!$F$23="Yes",'02_Debt Engine'!$V$23&gt;0,P$4='02_Debt Engine'!$I$23),'02_Debt Engine'!$V$23,0)</f>
        <v>0</v>
      </c>
      <c r="Q52" s="329">
        <f>IF(AND('02_Debt Engine'!$F$23="Yes",'02_Debt Engine'!$V$23&gt;0,Q$4='02_Debt Engine'!$I$23),'02_Debt Engine'!$V$23,0)</f>
        <v>0</v>
      </c>
      <c r="R52" s="329">
        <f>IF(AND('02_Debt Engine'!$F$23="Yes",'02_Debt Engine'!$V$23&gt;0,R$4='02_Debt Engine'!$I$23),'02_Debt Engine'!$V$23,0)</f>
        <v>0</v>
      </c>
      <c r="S52" s="329">
        <f>IF(AND('02_Debt Engine'!$F$23="Yes",'02_Debt Engine'!$V$23&gt;0,S$4='02_Debt Engine'!$I$23),'02_Debt Engine'!$V$23,0)</f>
        <v>0</v>
      </c>
      <c r="T52" s="329">
        <f>IF(AND('02_Debt Engine'!$F$23="Yes",'02_Debt Engine'!$V$23&gt;0,T$4='02_Debt Engine'!$I$23),'02_Debt Engine'!$V$23,0)</f>
        <v>0</v>
      </c>
      <c r="U52" s="329">
        <f>IF(AND('02_Debt Engine'!$F$23="Yes",'02_Debt Engine'!$V$23&gt;0,U$4='02_Debt Engine'!$I$23),'02_Debt Engine'!$V$23,0)</f>
        <v>0</v>
      </c>
      <c r="V52" s="329">
        <f>IF(AND('02_Debt Engine'!$F$23="Yes",'02_Debt Engine'!$V$23&gt;0,V$4='02_Debt Engine'!$I$23),'02_Debt Engine'!$V$23,0)</f>
        <v>0</v>
      </c>
      <c r="W52" s="329">
        <f>IF(AND('02_Debt Engine'!$F$23="Yes",'02_Debt Engine'!$V$23&gt;0,W$4='02_Debt Engine'!$I$23),'02_Debt Engine'!$V$23,0)</f>
        <v>0</v>
      </c>
    </row>
    <row r="53" spans="2:23">
      <c r="B53" s="3" t="s">
        <v>535</v>
      </c>
      <c r="C53" s="330">
        <f t="shared" ref="C53:W53" si="14">C51+C52</f>
        <v>0</v>
      </c>
      <c r="D53" s="330">
        <f t="shared" si="14"/>
        <v>0</v>
      </c>
      <c r="E53" s="330">
        <f t="shared" si="14"/>
        <v>0</v>
      </c>
      <c r="F53" s="330">
        <f t="shared" si="14"/>
        <v>0</v>
      </c>
      <c r="G53" s="330">
        <f t="shared" si="14"/>
        <v>0</v>
      </c>
      <c r="H53" s="330">
        <f t="shared" si="14"/>
        <v>0</v>
      </c>
      <c r="I53" s="330">
        <f t="shared" si="14"/>
        <v>0</v>
      </c>
      <c r="J53" s="330">
        <f t="shared" si="14"/>
        <v>0</v>
      </c>
      <c r="K53" s="330">
        <f t="shared" si="14"/>
        <v>0</v>
      </c>
      <c r="L53" s="330">
        <f t="shared" si="14"/>
        <v>0</v>
      </c>
      <c r="M53" s="330">
        <f t="shared" si="14"/>
        <v>0</v>
      </c>
      <c r="N53" s="330">
        <f t="shared" si="14"/>
        <v>0</v>
      </c>
      <c r="O53" s="330">
        <f t="shared" si="14"/>
        <v>0</v>
      </c>
      <c r="P53" s="330">
        <f t="shared" si="14"/>
        <v>0</v>
      </c>
      <c r="Q53" s="330">
        <f t="shared" si="14"/>
        <v>0</v>
      </c>
      <c r="R53" s="330">
        <f t="shared" si="14"/>
        <v>0</v>
      </c>
      <c r="S53" s="330">
        <f t="shared" si="14"/>
        <v>0</v>
      </c>
      <c r="T53" s="330">
        <f t="shared" si="14"/>
        <v>0</v>
      </c>
      <c r="U53" s="330">
        <f t="shared" si="14"/>
        <v>0</v>
      </c>
      <c r="V53" s="330">
        <f t="shared" si="14"/>
        <v>0</v>
      </c>
      <c r="W53" s="330">
        <f t="shared" si="14"/>
        <v>0</v>
      </c>
    </row>
    <row r="54" spans="2:23">
      <c r="B54" s="14" t="s">
        <v>525</v>
      </c>
      <c r="C54" s="328">
        <f t="shared" ref="C54:W54" si="15">C48+C49</f>
        <v>178507.8</v>
      </c>
      <c r="D54" s="328">
        <f t="shared" si="15"/>
        <v>111651.9755097649</v>
      </c>
      <c r="E54" s="328">
        <f t="shared" si="15"/>
        <v>0</v>
      </c>
      <c r="F54" s="328">
        <f t="shared" si="15"/>
        <v>0</v>
      </c>
      <c r="G54" s="328">
        <f t="shared" si="15"/>
        <v>0</v>
      </c>
      <c r="H54" s="328">
        <f t="shared" si="15"/>
        <v>0</v>
      </c>
      <c r="I54" s="328">
        <f t="shared" si="15"/>
        <v>0</v>
      </c>
      <c r="J54" s="328">
        <f t="shared" si="15"/>
        <v>0</v>
      </c>
      <c r="K54" s="328">
        <f t="shared" si="15"/>
        <v>0</v>
      </c>
      <c r="L54" s="328">
        <f t="shared" si="15"/>
        <v>0</v>
      </c>
      <c r="M54" s="328">
        <f t="shared" si="15"/>
        <v>0</v>
      </c>
      <c r="N54" s="328">
        <f t="shared" si="15"/>
        <v>0</v>
      </c>
      <c r="O54" s="328">
        <f t="shared" si="15"/>
        <v>0</v>
      </c>
      <c r="P54" s="328">
        <f t="shared" si="15"/>
        <v>0</v>
      </c>
      <c r="Q54" s="328">
        <f t="shared" si="15"/>
        <v>0</v>
      </c>
      <c r="R54" s="328">
        <f t="shared" si="15"/>
        <v>0</v>
      </c>
      <c r="S54" s="328">
        <f t="shared" si="15"/>
        <v>0</v>
      </c>
      <c r="T54" s="328">
        <f t="shared" si="15"/>
        <v>0</v>
      </c>
      <c r="U54" s="328">
        <f t="shared" si="15"/>
        <v>0</v>
      </c>
      <c r="V54" s="328">
        <f t="shared" si="15"/>
        <v>0</v>
      </c>
      <c r="W54" s="328">
        <f t="shared" si="15"/>
        <v>0</v>
      </c>
    </row>
    <row r="56" spans="2:23">
      <c r="B56" s="327" t="str">
        <f>'02_Debt Engine'!$B$24</f>
        <v>Evergreen Apartments</v>
      </c>
      <c r="C56" s="327" t="str">
        <f>_xlfn.LET(_xlpm.refiyr,INDEX('02_Debt Engine'!$I$19:$I$35,MATCH('02A_Debt Schedule'!$B56,'02_Debt Engine'!$B$19:$B$35,0)),IF(_xlpm.refiyr='02A_Debt Schedule'!C$4,"Refi Yr.",""))</f>
        <v/>
      </c>
      <c r="D56" s="327" t="str">
        <f>_xlfn.LET(_xlpm.refiyr,INDEX('02_Debt Engine'!$I$19:$I$35,MATCH('02A_Debt Schedule'!$B56,'02_Debt Engine'!$B$19:$B$35,0)),IF(_xlpm.refiyr='02A_Debt Schedule'!D$4,"Refi Yr.",""))</f>
        <v/>
      </c>
      <c r="E56" s="327" t="str">
        <f>_xlfn.LET(_xlpm.refiyr,INDEX('02_Debt Engine'!$I$19:$I$35,MATCH('02A_Debt Schedule'!$B56,'02_Debt Engine'!$B$19:$B$35,0)),IF(_xlpm.refiyr='02A_Debt Schedule'!E$4,"Refi Yr.",""))</f>
        <v/>
      </c>
      <c r="F56" s="327" t="str">
        <f>_xlfn.LET(_xlpm.refiyr,INDEX('02_Debt Engine'!$I$19:$I$35,MATCH('02A_Debt Schedule'!$B56,'02_Debt Engine'!$B$19:$B$35,0)),IF(_xlpm.refiyr='02A_Debt Schedule'!F$4,"Refi Yr.",""))</f>
        <v/>
      </c>
      <c r="G56" s="327" t="str">
        <f>_xlfn.LET(_xlpm.refiyr,INDEX('02_Debt Engine'!$I$19:$I$35,MATCH('02A_Debt Schedule'!$B56,'02_Debt Engine'!$B$19:$B$35,0)),IF(_xlpm.refiyr='02A_Debt Schedule'!G$4,"Refi Yr.",""))</f>
        <v/>
      </c>
      <c r="H56" s="327" t="str">
        <f>_xlfn.LET(_xlpm.refiyr,INDEX('02_Debt Engine'!$I$19:$I$35,MATCH('02A_Debt Schedule'!$B56,'02_Debt Engine'!$B$19:$B$35,0)),IF(_xlpm.refiyr='02A_Debt Schedule'!H$4,"Refi Yr.",""))</f>
        <v/>
      </c>
      <c r="I56" s="327" t="str">
        <f>_xlfn.LET(_xlpm.refiyr,INDEX('02_Debt Engine'!$I$19:$I$35,MATCH('02A_Debt Schedule'!$B56,'02_Debt Engine'!$B$19:$B$35,0)),IF(_xlpm.refiyr='02A_Debt Schedule'!I$4,"Refi Yr.",""))</f>
        <v/>
      </c>
      <c r="J56" s="327" t="str">
        <f>_xlfn.LET(_xlpm.refiyr,INDEX('02_Debt Engine'!$I$19:$I$35,MATCH('02A_Debt Schedule'!$B56,'02_Debt Engine'!$B$19:$B$35,0)),IF(_xlpm.refiyr='02A_Debt Schedule'!J$4,"Refi Yr.",""))</f>
        <v/>
      </c>
      <c r="K56" s="327" t="str">
        <f>_xlfn.LET(_xlpm.refiyr,INDEX('02_Debt Engine'!$I$19:$I$35,MATCH('02A_Debt Schedule'!$B56,'02_Debt Engine'!$B$19:$B$35,0)),IF(_xlpm.refiyr='02A_Debt Schedule'!K$4,"Refi Yr.",""))</f>
        <v/>
      </c>
      <c r="L56" s="327" t="str">
        <f>_xlfn.LET(_xlpm.refiyr,INDEX('02_Debt Engine'!$I$19:$I$35,MATCH('02A_Debt Schedule'!$B56,'02_Debt Engine'!$B$19:$B$35,0)),IF(_xlpm.refiyr='02A_Debt Schedule'!L$4,"Refi Yr.",""))</f>
        <v>Refi Yr.</v>
      </c>
      <c r="M56" s="327" t="str">
        <f>_xlfn.LET(_xlpm.refiyr,INDEX('02_Debt Engine'!$I$19:$I$35,MATCH('02A_Debt Schedule'!$B56,'02_Debt Engine'!$B$19:$B$35,0)),IF(_xlpm.refiyr='02A_Debt Schedule'!M$4,"Refi Yr.",""))</f>
        <v/>
      </c>
      <c r="N56" s="327" t="str">
        <f>_xlfn.LET(_xlpm.refiyr,INDEX('02_Debt Engine'!$I$19:$I$35,MATCH('02A_Debt Schedule'!$B56,'02_Debt Engine'!$B$19:$B$35,0)),IF(_xlpm.refiyr='02A_Debt Schedule'!N$4,"Refi Yr.",""))</f>
        <v/>
      </c>
      <c r="O56" s="327" t="str">
        <f>_xlfn.LET(_xlpm.refiyr,INDEX('02_Debt Engine'!$I$19:$I$35,MATCH('02A_Debt Schedule'!$B56,'02_Debt Engine'!$B$19:$B$35,0)),IF(_xlpm.refiyr='02A_Debt Schedule'!O$4,"Refi Yr.",""))</f>
        <v/>
      </c>
      <c r="P56" s="327" t="str">
        <f>_xlfn.LET(_xlpm.refiyr,INDEX('02_Debt Engine'!$I$19:$I$35,MATCH('02A_Debt Schedule'!$B56,'02_Debt Engine'!$B$19:$B$35,0)),IF(_xlpm.refiyr='02A_Debt Schedule'!P$4,"Refi Yr.",""))</f>
        <v/>
      </c>
      <c r="Q56" s="327" t="str">
        <f>_xlfn.LET(_xlpm.refiyr,INDEX('02_Debt Engine'!$I$19:$I$35,MATCH('02A_Debt Schedule'!$B56,'02_Debt Engine'!$B$19:$B$35,0)),IF(_xlpm.refiyr='02A_Debt Schedule'!Q$4,"Refi Yr.",""))</f>
        <v/>
      </c>
      <c r="R56" s="327" t="str">
        <f>_xlfn.LET(_xlpm.refiyr,INDEX('02_Debt Engine'!$I$19:$I$35,MATCH('02A_Debt Schedule'!$B56,'02_Debt Engine'!$B$19:$B$35,0)),IF(_xlpm.refiyr='02A_Debt Schedule'!R$4,"Refi Yr.",""))</f>
        <v/>
      </c>
      <c r="S56" s="327" t="str">
        <f>_xlfn.LET(_xlpm.refiyr,INDEX('02_Debt Engine'!$I$19:$I$35,MATCH('02A_Debt Schedule'!$B56,'02_Debt Engine'!$B$19:$B$35,0)),IF(_xlpm.refiyr='02A_Debt Schedule'!S$4,"Refi Yr.",""))</f>
        <v/>
      </c>
      <c r="T56" s="327" t="str">
        <f>_xlfn.LET(_xlpm.refiyr,INDEX('02_Debt Engine'!$I$19:$I$35,MATCH('02A_Debt Schedule'!$B56,'02_Debt Engine'!$B$19:$B$35,0)),IF(_xlpm.refiyr='02A_Debt Schedule'!T$4,"Refi Yr.",""))</f>
        <v/>
      </c>
      <c r="U56" s="327" t="str">
        <f>_xlfn.LET(_xlpm.refiyr,INDEX('02_Debt Engine'!$I$19:$I$35,MATCH('02A_Debt Schedule'!$B56,'02_Debt Engine'!$B$19:$B$35,0)),IF(_xlpm.refiyr='02A_Debt Schedule'!U$4,"Refi Yr.",""))</f>
        <v/>
      </c>
      <c r="V56" s="327" t="str">
        <f>_xlfn.LET(_xlpm.refiyr,INDEX('02_Debt Engine'!$I$19:$I$35,MATCH('02A_Debt Schedule'!$B56,'02_Debt Engine'!$B$19:$B$35,0)),IF(_xlpm.refiyr='02A_Debt Schedule'!V$4,"Refi Yr.",""))</f>
        <v/>
      </c>
      <c r="W56" s="327" t="str">
        <f>_xlfn.LET(_xlpm.refiyr,INDEX('02_Debt Engine'!$I$19:$I$35,MATCH('02A_Debt Schedule'!$B56,'02_Debt Engine'!$B$19:$B$35,0)),IF(_xlpm.refiyr='02A_Debt Schedule'!W$4,"Refi Yr.",""))</f>
        <v/>
      </c>
    </row>
    <row r="57" spans="2:23">
      <c r="B57" s="3" t="s">
        <v>531</v>
      </c>
      <c r="C57" s="328">
        <f>IF('02_Debt Engine'!$D$24="Active",'02_Debt Engine'!$N$24,'02_Debt Engine'!$O$24)</f>
        <v>5475821.2999999998</v>
      </c>
      <c r="D57" s="328">
        <f>IF(AND('02_Debt Engine'!$F$24="Yes",'02_Debt Engine'!$V$24&gt;0,C$4='02_Debt Engine'!$I$24),'02_Debt Engine'!$V$24,C60)</f>
        <v>5408513.3767299997</v>
      </c>
      <c r="E57" s="328">
        <f>IF(AND('02_Debt Engine'!$F$24="Yes",'02_Debt Engine'!$V$24&gt;0,D$4='02_Debt Engine'!$I$24),'02_Debt Engine'!$V$24,D60)</f>
        <v>5338371.7898903331</v>
      </c>
      <c r="F57" s="328">
        <f>IF(AND('02_Debt Engine'!$F$24="Yes",'02_Debt Engine'!$V$24&gt;0,E$4='02_Debt Engine'!$I$24),'02_Debt Engine'!$V$24,E60)</f>
        <v>5265277.2422447158</v>
      </c>
      <c r="G57" s="328">
        <f>IF(AND('02_Debt Engine'!$F$24="Yes",'02_Debt Engine'!$V$24&gt;0,F$4='02_Debt Engine'!$I$24),'02_Debt Engine'!$V$24,F60)</f>
        <v>5189105.4141432187</v>
      </c>
      <c r="H57" s="328">
        <f>IF(AND('02_Debt Engine'!$F$24="Yes",'02_Debt Engine'!$V$24&gt;0,G$4='02_Debt Engine'!$I$24),'02_Debt Engine'!$V$24,G60)</f>
        <v>5109726.7520786477</v>
      </c>
      <c r="I57" s="328">
        <f>IF(AND('02_Debt Engine'!$F$24="Yes",'02_Debt Engine'!$V$24&gt;0,H$4='02_Debt Engine'!$I$24),'02_Debt Engine'!$V$24,H60)</f>
        <v>5027006.248341159</v>
      </c>
      <c r="J57" s="328">
        <f>IF(AND('02_Debt Engine'!$F$24="Yes",'02_Debt Engine'!$V$24&gt;0,I$4='02_Debt Engine'!$I$24),'02_Debt Engine'!$V$24,I60)</f>
        <v>4940803.2113963217</v>
      </c>
      <c r="K57" s="328">
        <f>IF(AND('02_Debt Engine'!$F$24="Yes",'02_Debt Engine'!$V$24&gt;0,J$4='02_Debt Engine'!$I$24),'02_Debt Engine'!$V$24,J60)</f>
        <v>4850971.0265961066</v>
      </c>
      <c r="L57" s="328">
        <f>IF(AND('02_Debt Engine'!$F$24="Yes",'02_Debt Engine'!$V$24&gt;0,K$4='02_Debt Engine'!$I$24),'02_Debt Engine'!$V$24,K60)</f>
        <v>4757356.9068158027</v>
      </c>
      <c r="M57" s="328">
        <f>IF(AND('02_Debt Engine'!$F$24="Yes",'02_Debt Engine'!$V$24&gt;0,L$4='02_Debt Engine'!$I$24),'02_Debt Engine'!$V$24,L60)</f>
        <v>7482831.9236620506</v>
      </c>
      <c r="N57" s="328">
        <f>IF(AND('02_Debt Engine'!$F$24="Yes",'02_Debt Engine'!$V$24&gt;0,M$4='02_Debt Engine'!$I$24),'02_Debt Engine'!$V$24,M60)</f>
        <v>7384560.1245450983</v>
      </c>
      <c r="O57" s="328">
        <f>IF(AND('02_Debt Engine'!$F$24="Yes",'02_Debt Engine'!$V$24&gt;0,N$4='02_Debt Engine'!$I$24),'02_Debt Engine'!$V$24,N60)</f>
        <v>7282357.4534634678</v>
      </c>
      <c r="P57" s="328">
        <f>IF(AND('02_Debt Engine'!$F$24="Yes",'02_Debt Engine'!$V$24&gt;0,O$4='02_Debt Engine'!$I$24),'02_Debt Engine'!$V$24,O60)</f>
        <v>7176066.6755385716</v>
      </c>
      <c r="Q57" s="328">
        <f>IF(AND('02_Debt Engine'!$F$24="Yes",'02_Debt Engine'!$V$24&gt;0,P$4='02_Debt Engine'!$I$24),'02_Debt Engine'!$V$24,P60)</f>
        <v>7065524.2664966797</v>
      </c>
      <c r="R57" s="328">
        <f>IF(AND('02_Debt Engine'!$F$24="Yes",'02_Debt Engine'!$V$24&gt;0,Q$4='02_Debt Engine'!$I$24),'02_Debt Engine'!$V$24,Q60)</f>
        <v>6950560.1610931121</v>
      </c>
      <c r="S57" s="328">
        <f>IF(AND('02_Debt Engine'!$F$24="Yes",'02_Debt Engine'!$V$24&gt;0,R$4='02_Debt Engine'!$I$24),'02_Debt Engine'!$V$24,R60)</f>
        <v>6830997.4914734019</v>
      </c>
      <c r="T57" s="328">
        <f>IF(AND('02_Debt Engine'!$F$24="Yes",'02_Debt Engine'!$V$24&gt;0,S$4='02_Debt Engine'!$I$24),'02_Debt Engine'!$V$24,S60)</f>
        <v>6706652.3150689034</v>
      </c>
      <c r="U57" s="328">
        <f>IF(AND('02_Debt Engine'!$F$24="Yes",'02_Debt Engine'!$V$24&gt;0,T$4='02_Debt Engine'!$I$24),'02_Debt Engine'!$V$24,T60)</f>
        <v>6577333.3316082247</v>
      </c>
      <c r="V57" s="328">
        <f>IF(AND('02_Debt Engine'!$F$24="Yes",'02_Debt Engine'!$V$24&gt;0,U$4='02_Debt Engine'!$I$24),'02_Debt Engine'!$V$24,U60)</f>
        <v>6442841.5888091195</v>
      </c>
      <c r="W57" s="328">
        <f>IF(AND('02_Debt Engine'!$F$24="Yes",'02_Debt Engine'!$V$24&gt;0,V$4='02_Debt Engine'!$I$24),'02_Debt Engine'!$V$24,V60)</f>
        <v>6302970.1762980502</v>
      </c>
    </row>
    <row r="58" spans="2:23">
      <c r="B58" s="3" t="s">
        <v>514</v>
      </c>
      <c r="C58" s="328">
        <f>IF(C57&lt;=0,0,C57*IF(AND('02_Debt Engine'!$F$24="Yes",'02_Debt Engine'!$V$24&gt;0,C$4&gt;'02_Debt Engine'!$I$24),'02_Debt Engine'!$C$13,IF('02_Debt Engine'!$D$24="Active",'02_Debt Engine'!$H$24,'02_Debt Engine'!$C$7)))</f>
        <v>230532.07672999997</v>
      </c>
      <c r="D58" s="328">
        <f>IF(D57&lt;=0,0,D57*IF(AND('02_Debt Engine'!$F$24="Yes",'02_Debt Engine'!$V$24&gt;0,D$4&gt;'02_Debt Engine'!$I$24),'02_Debt Engine'!$C$13,IF('02_Debt Engine'!$D$24="Active",'02_Debt Engine'!$H$24,'02_Debt Engine'!$C$7)))</f>
        <v>227698.41316033297</v>
      </c>
      <c r="E58" s="328">
        <f>IF(E57&lt;=0,0,E57*IF(AND('02_Debt Engine'!$F$24="Yes",'02_Debt Engine'!$V$24&gt;0,E$4&gt;'02_Debt Engine'!$I$24),'02_Debt Engine'!$C$13,IF('02_Debt Engine'!$D$24="Active",'02_Debt Engine'!$H$24,'02_Debt Engine'!$C$7)))</f>
        <v>224745.45235438301</v>
      </c>
      <c r="F58" s="328">
        <f>IF(F57&lt;=0,0,F57*IF(AND('02_Debt Engine'!$F$24="Yes",'02_Debt Engine'!$V$24&gt;0,F$4&gt;'02_Debt Engine'!$I$24),'02_Debt Engine'!$C$13,IF('02_Debt Engine'!$D$24="Active",'02_Debt Engine'!$H$24,'02_Debt Engine'!$C$7)))</f>
        <v>221668.17189850254</v>
      </c>
      <c r="G58" s="328">
        <f>IF(G57&lt;=0,0,G57*IF(AND('02_Debt Engine'!$F$24="Yes",'02_Debt Engine'!$V$24&gt;0,G$4&gt;'02_Debt Engine'!$I$24),'02_Debt Engine'!$C$13,IF('02_Debt Engine'!$D$24="Active",'02_Debt Engine'!$H$24,'02_Debt Engine'!$C$7)))</f>
        <v>218461.3379354295</v>
      </c>
      <c r="H58" s="328">
        <f>IF(H57&lt;=0,0,H57*IF(AND('02_Debt Engine'!$F$24="Yes",'02_Debt Engine'!$V$24&gt;0,H$4&gt;'02_Debt Engine'!$I$24),'02_Debt Engine'!$C$13,IF('02_Debt Engine'!$D$24="Active",'02_Debt Engine'!$H$24,'02_Debt Engine'!$C$7)))</f>
        <v>215119.49626251106</v>
      </c>
      <c r="I58" s="328">
        <f>IF(I57&lt;=0,0,I57*IF(AND('02_Debt Engine'!$F$24="Yes",'02_Debt Engine'!$V$24&gt;0,I$4&gt;'02_Debt Engine'!$I$24),'02_Debt Engine'!$C$13,IF('02_Debt Engine'!$D$24="Active",'02_Debt Engine'!$H$24,'02_Debt Engine'!$C$7)))</f>
        <v>211636.96305516278</v>
      </c>
      <c r="J58" s="328">
        <f>IF(J57&lt;=0,0,J57*IF(AND('02_Debt Engine'!$F$24="Yes",'02_Debt Engine'!$V$24&gt;0,J$4&gt;'02_Debt Engine'!$I$24),'02_Debt Engine'!$C$13,IF('02_Debt Engine'!$D$24="Active",'02_Debt Engine'!$H$24,'02_Debt Engine'!$C$7)))</f>
        <v>208007.81519978514</v>
      </c>
      <c r="K58" s="328">
        <f>IF(K57&lt;=0,0,K57*IF(AND('02_Debt Engine'!$F$24="Yes",'02_Debt Engine'!$V$24&gt;0,K$4&gt;'02_Debt Engine'!$I$24),'02_Debt Engine'!$C$13,IF('02_Debt Engine'!$D$24="Active",'02_Debt Engine'!$H$24,'02_Debt Engine'!$C$7)))</f>
        <v>204225.88021969609</v>
      </c>
      <c r="L58" s="328">
        <f>IF(L57&lt;=0,0,L57*IF(AND('02_Debt Engine'!$F$24="Yes",'02_Debt Engine'!$V$24&gt;0,L$4&gt;'02_Debt Engine'!$I$24),'02_Debt Engine'!$C$13,IF('02_Debt Engine'!$D$24="Active",'02_Debt Engine'!$H$24,'02_Debt Engine'!$C$7)))</f>
        <v>200284.7257769453</v>
      </c>
      <c r="M58" s="328">
        <f>IF(M57&lt;=0,0,M57*IF(AND('02_Debt Engine'!$F$24="Yes",'02_Debt Engine'!$V$24&gt;0,M$4&gt;'02_Debt Engine'!$I$24),'02_Debt Engine'!$C$13,IF('02_Debt Engine'!$D$24="Active",'02_Debt Engine'!$H$24,'02_Debt Engine'!$C$7)))</f>
        <v>299313.27694648202</v>
      </c>
      <c r="N58" s="328">
        <f>IF(N57&lt;=0,0,N57*IF(AND('02_Debt Engine'!$F$24="Yes",'02_Debt Engine'!$V$24&gt;0,N$4&gt;'02_Debt Engine'!$I$24),'02_Debt Engine'!$C$13,IF('02_Debt Engine'!$D$24="Active",'02_Debt Engine'!$H$24,'02_Debt Engine'!$C$7)))</f>
        <v>295382.40498180396</v>
      </c>
      <c r="O58" s="328">
        <f>IF(O57&lt;=0,0,O57*IF(AND('02_Debt Engine'!$F$24="Yes",'02_Debt Engine'!$V$24&gt;0,O$4&gt;'02_Debt Engine'!$I$24),'02_Debt Engine'!$C$13,IF('02_Debt Engine'!$D$24="Active",'02_Debt Engine'!$H$24,'02_Debt Engine'!$C$7)))</f>
        <v>291294.29813853872</v>
      </c>
      <c r="P58" s="328">
        <f>IF(P57&lt;=0,0,P57*IF(AND('02_Debt Engine'!$F$24="Yes",'02_Debt Engine'!$V$24&gt;0,P$4&gt;'02_Debt Engine'!$I$24),'02_Debt Engine'!$C$13,IF('02_Debt Engine'!$D$24="Active",'02_Debt Engine'!$H$24,'02_Debt Engine'!$C$7)))</f>
        <v>287042.66702154285</v>
      </c>
      <c r="Q58" s="328">
        <f>IF(Q57&lt;=0,0,Q57*IF(AND('02_Debt Engine'!$F$24="Yes",'02_Debt Engine'!$V$24&gt;0,Q$4&gt;'02_Debt Engine'!$I$24),'02_Debt Engine'!$C$13,IF('02_Debt Engine'!$D$24="Active",'02_Debt Engine'!$H$24,'02_Debt Engine'!$C$7)))</f>
        <v>282620.97065986722</v>
      </c>
      <c r="R58" s="328">
        <f>IF(R57&lt;=0,0,R57*IF(AND('02_Debt Engine'!$F$24="Yes",'02_Debt Engine'!$V$24&gt;0,R$4&gt;'02_Debt Engine'!$I$24),'02_Debt Engine'!$C$13,IF('02_Debt Engine'!$D$24="Active",'02_Debt Engine'!$H$24,'02_Debt Engine'!$C$7)))</f>
        <v>278022.40644372447</v>
      </c>
      <c r="S58" s="328">
        <f>IF(S57&lt;=0,0,S57*IF(AND('02_Debt Engine'!$F$24="Yes",'02_Debt Engine'!$V$24&gt;0,S$4&gt;'02_Debt Engine'!$I$24),'02_Debt Engine'!$C$13,IF('02_Debt Engine'!$D$24="Active",'02_Debt Engine'!$H$24,'02_Debt Engine'!$C$7)))</f>
        <v>273239.89965893608</v>
      </c>
      <c r="T58" s="328">
        <f>IF(T57&lt;=0,0,T57*IF(AND('02_Debt Engine'!$F$24="Yes",'02_Debt Engine'!$V$24&gt;0,T$4&gt;'02_Debt Engine'!$I$24),'02_Debt Engine'!$C$13,IF('02_Debt Engine'!$D$24="Active",'02_Debt Engine'!$H$24,'02_Debt Engine'!$C$7)))</f>
        <v>268266.09260275617</v>
      </c>
      <c r="U58" s="328">
        <f>IF(U57&lt;=0,0,U57*IF(AND('02_Debt Engine'!$F$24="Yes",'02_Debt Engine'!$V$24&gt;0,U$4&gt;'02_Debt Engine'!$I$24),'02_Debt Engine'!$C$13,IF('02_Debt Engine'!$D$24="Active",'02_Debt Engine'!$H$24,'02_Debt Engine'!$C$7)))</f>
        <v>263093.33326432901</v>
      </c>
      <c r="V58" s="328">
        <f>IF(V57&lt;=0,0,V57*IF(AND('02_Debt Engine'!$F$24="Yes",'02_Debt Engine'!$V$24&gt;0,V$4&gt;'02_Debt Engine'!$I$24),'02_Debt Engine'!$C$13,IF('02_Debt Engine'!$D$24="Active",'02_Debt Engine'!$H$24,'02_Debt Engine'!$C$7)))</f>
        <v>257713.6635523648</v>
      </c>
      <c r="W58" s="328">
        <f>IF(W57&lt;=0,0,W57*IF(AND('02_Debt Engine'!$F$24="Yes",'02_Debt Engine'!$V$24&gt;0,W$4&gt;'02_Debt Engine'!$I$24),'02_Debt Engine'!$C$13,IF('02_Debt Engine'!$D$24="Active",'02_Debt Engine'!$H$24,'02_Debt Engine'!$C$7)))</f>
        <v>252118.80705192202</v>
      </c>
    </row>
    <row r="59" spans="2:23">
      <c r="B59" s="13" t="s">
        <v>532</v>
      </c>
      <c r="C59" s="329">
        <f>IF(C57&lt;=0,0,MIN(C57,IF(AND('02_Debt Engine'!$F$24="Yes",'02_Debt Engine'!$V$24&gt;0,C$4&gt;'02_Debt Engine'!$I$24),'02_Debt Engine'!$W$24,IF('02_Debt Engine'!$D$24="Active",'02_Debt Engine'!$K$24,'02_Debt Engine'!$P$24))-C58))</f>
        <v>67307.923270000028</v>
      </c>
      <c r="D59" s="329">
        <f>IF(D57&lt;=0,0,MIN(D57,IF(AND('02_Debt Engine'!$F$24="Yes",'02_Debt Engine'!$V$24&gt;0,D$4&gt;'02_Debt Engine'!$I$24),'02_Debt Engine'!$W$24,IF('02_Debt Engine'!$D$24="Active",'02_Debt Engine'!$K$24,'02_Debt Engine'!$P$24))-D58))</f>
        <v>70141.586839667027</v>
      </c>
      <c r="E59" s="329">
        <f>IF(E57&lt;=0,0,MIN(E57,IF(AND('02_Debt Engine'!$F$24="Yes",'02_Debt Engine'!$V$24&gt;0,E$4&gt;'02_Debt Engine'!$I$24),'02_Debt Engine'!$W$24,IF('02_Debt Engine'!$D$24="Active",'02_Debt Engine'!$K$24,'02_Debt Engine'!$P$24))-E58))</f>
        <v>73094.547645616985</v>
      </c>
      <c r="F59" s="329">
        <f>IF(F57&lt;=0,0,MIN(F57,IF(AND('02_Debt Engine'!$F$24="Yes",'02_Debt Engine'!$V$24&gt;0,F$4&gt;'02_Debt Engine'!$I$24),'02_Debt Engine'!$W$24,IF('02_Debt Engine'!$D$24="Active",'02_Debt Engine'!$K$24,'02_Debt Engine'!$P$24))-F58))</f>
        <v>76171.828101497464</v>
      </c>
      <c r="G59" s="329">
        <f>IF(G57&lt;=0,0,MIN(G57,IF(AND('02_Debt Engine'!$F$24="Yes",'02_Debt Engine'!$V$24&gt;0,G$4&gt;'02_Debt Engine'!$I$24),'02_Debt Engine'!$W$24,IF('02_Debt Engine'!$D$24="Active",'02_Debt Engine'!$K$24,'02_Debt Engine'!$P$24))-G58))</f>
        <v>79378.662064570497</v>
      </c>
      <c r="H59" s="329">
        <f>IF(H57&lt;=0,0,MIN(H57,IF(AND('02_Debt Engine'!$F$24="Yes",'02_Debt Engine'!$V$24&gt;0,H$4&gt;'02_Debt Engine'!$I$24),'02_Debt Engine'!$W$24,IF('02_Debt Engine'!$D$24="Active",'02_Debt Engine'!$K$24,'02_Debt Engine'!$P$24))-H58))</f>
        <v>82720.503737488936</v>
      </c>
      <c r="I59" s="329">
        <f>IF(I57&lt;=0,0,MIN(I57,IF(AND('02_Debt Engine'!$F$24="Yes",'02_Debt Engine'!$V$24&gt;0,I$4&gt;'02_Debt Engine'!$I$24),'02_Debt Engine'!$W$24,IF('02_Debt Engine'!$D$24="Active",'02_Debt Engine'!$K$24,'02_Debt Engine'!$P$24))-I58))</f>
        <v>86203.036944837222</v>
      </c>
      <c r="J59" s="329">
        <f>IF(J57&lt;=0,0,MIN(J57,IF(AND('02_Debt Engine'!$F$24="Yes",'02_Debt Engine'!$V$24&gt;0,J$4&gt;'02_Debt Engine'!$I$24),'02_Debt Engine'!$W$24,IF('02_Debt Engine'!$D$24="Active",'02_Debt Engine'!$K$24,'02_Debt Engine'!$P$24))-J58))</f>
        <v>89832.184800214862</v>
      </c>
      <c r="K59" s="329">
        <f>IF(K57&lt;=0,0,MIN(K57,IF(AND('02_Debt Engine'!$F$24="Yes",'02_Debt Engine'!$V$24&gt;0,K$4&gt;'02_Debt Engine'!$I$24),'02_Debt Engine'!$W$24,IF('02_Debt Engine'!$D$24="Active",'02_Debt Engine'!$K$24,'02_Debt Engine'!$P$24))-K58))</f>
        <v>93614.11978030391</v>
      </c>
      <c r="L59" s="329">
        <f>IF(L57&lt;=0,0,MIN(L57,IF(AND('02_Debt Engine'!$F$24="Yes",'02_Debt Engine'!$V$24&gt;0,L$4&gt;'02_Debt Engine'!$I$24),'02_Debt Engine'!$W$24,IF('02_Debt Engine'!$D$24="Active",'02_Debt Engine'!$K$24,'02_Debt Engine'!$P$24))-L58))</f>
        <v>97555.274223054701</v>
      </c>
      <c r="M59" s="329">
        <f>IF(M57&lt;=0,0,MIN(M57,IF(AND('02_Debt Engine'!$F$24="Yes",'02_Debt Engine'!$V$24&gt;0,M$4&gt;'02_Debt Engine'!$I$24),'02_Debt Engine'!$W$24,IF('02_Debt Engine'!$D$24="Active",'02_Debt Engine'!$K$24,'02_Debt Engine'!$P$24))-M58))</f>
        <v>98271.799116952578</v>
      </c>
      <c r="N59" s="329">
        <f>IF(N57&lt;=0,0,MIN(N57,IF(AND('02_Debt Engine'!$F$24="Yes",'02_Debt Engine'!$V$24&gt;0,N$4&gt;'02_Debt Engine'!$I$24),'02_Debt Engine'!$W$24,IF('02_Debt Engine'!$D$24="Active",'02_Debt Engine'!$K$24,'02_Debt Engine'!$P$24))-N58))</f>
        <v>102202.67108163063</v>
      </c>
      <c r="O59" s="329">
        <f>IF(O57&lt;=0,0,MIN(O57,IF(AND('02_Debt Engine'!$F$24="Yes",'02_Debt Engine'!$V$24&gt;0,O$4&gt;'02_Debt Engine'!$I$24),'02_Debt Engine'!$W$24,IF('02_Debt Engine'!$D$24="Active",'02_Debt Engine'!$K$24,'02_Debt Engine'!$P$24))-O58))</f>
        <v>106290.77792489587</v>
      </c>
      <c r="P59" s="329">
        <f>IF(P57&lt;=0,0,MIN(P57,IF(AND('02_Debt Engine'!$F$24="Yes",'02_Debt Engine'!$V$24&gt;0,P$4&gt;'02_Debt Engine'!$I$24),'02_Debt Engine'!$W$24,IF('02_Debt Engine'!$D$24="Active",'02_Debt Engine'!$K$24,'02_Debt Engine'!$P$24))-P58))</f>
        <v>110542.40904189175</v>
      </c>
      <c r="Q59" s="329">
        <f>IF(Q57&lt;=0,0,MIN(Q57,IF(AND('02_Debt Engine'!$F$24="Yes",'02_Debt Engine'!$V$24&gt;0,Q$4&gt;'02_Debt Engine'!$I$24),'02_Debt Engine'!$W$24,IF('02_Debt Engine'!$D$24="Active",'02_Debt Engine'!$K$24,'02_Debt Engine'!$P$24))-Q58))</f>
        <v>114964.10540356737</v>
      </c>
      <c r="R59" s="329">
        <f>IF(R57&lt;=0,0,MIN(R57,IF(AND('02_Debt Engine'!$F$24="Yes",'02_Debt Engine'!$V$24&gt;0,R$4&gt;'02_Debt Engine'!$I$24),'02_Debt Engine'!$W$24,IF('02_Debt Engine'!$D$24="Active",'02_Debt Engine'!$K$24,'02_Debt Engine'!$P$24))-R58))</f>
        <v>119562.66961971013</v>
      </c>
      <c r="S59" s="329">
        <f>IF(S57&lt;=0,0,MIN(S57,IF(AND('02_Debt Engine'!$F$24="Yes",'02_Debt Engine'!$V$24&gt;0,S$4&gt;'02_Debt Engine'!$I$24),'02_Debt Engine'!$W$24,IF('02_Debt Engine'!$D$24="Active",'02_Debt Engine'!$K$24,'02_Debt Engine'!$P$24))-S58))</f>
        <v>124345.17640449852</v>
      </c>
      <c r="T59" s="329">
        <f>IF(T57&lt;=0,0,MIN(T57,IF(AND('02_Debt Engine'!$F$24="Yes",'02_Debt Engine'!$V$24&gt;0,T$4&gt;'02_Debt Engine'!$I$24),'02_Debt Engine'!$W$24,IF('02_Debt Engine'!$D$24="Active",'02_Debt Engine'!$K$24,'02_Debt Engine'!$P$24))-T58))</f>
        <v>129318.98346067843</v>
      </c>
      <c r="U59" s="329">
        <f>IF(U57&lt;=0,0,MIN(U57,IF(AND('02_Debt Engine'!$F$24="Yes",'02_Debt Engine'!$V$24&gt;0,U$4&gt;'02_Debt Engine'!$I$24),'02_Debt Engine'!$W$24,IF('02_Debt Engine'!$D$24="Active",'02_Debt Engine'!$K$24,'02_Debt Engine'!$P$24))-U58))</f>
        <v>134491.74279910559</v>
      </c>
      <c r="V59" s="329">
        <f>IF(V57&lt;=0,0,MIN(V57,IF(AND('02_Debt Engine'!$F$24="Yes",'02_Debt Engine'!$V$24&gt;0,V$4&gt;'02_Debt Engine'!$I$24),'02_Debt Engine'!$W$24,IF('02_Debt Engine'!$D$24="Active",'02_Debt Engine'!$K$24,'02_Debt Engine'!$P$24))-V58))</f>
        <v>139871.41251106979</v>
      </c>
      <c r="W59" s="329">
        <f>IF(W57&lt;=0,0,MIN(W57,IF(AND('02_Debt Engine'!$F$24="Yes",'02_Debt Engine'!$V$24&gt;0,W$4&gt;'02_Debt Engine'!$I$24),'02_Debt Engine'!$W$24,IF('02_Debt Engine'!$D$24="Active",'02_Debt Engine'!$K$24,'02_Debt Engine'!$P$24))-W58))</f>
        <v>145466.26901151257</v>
      </c>
    </row>
    <row r="60" spans="2:23">
      <c r="B60" s="14" t="s">
        <v>533</v>
      </c>
      <c r="C60" s="331">
        <f t="shared" ref="C60:W60" si="16">C57-C59</f>
        <v>5408513.3767299997</v>
      </c>
      <c r="D60" s="331">
        <f t="shared" si="16"/>
        <v>5338371.7898903331</v>
      </c>
      <c r="E60" s="331">
        <f t="shared" si="16"/>
        <v>5265277.2422447158</v>
      </c>
      <c r="F60" s="331">
        <f t="shared" si="16"/>
        <v>5189105.4141432187</v>
      </c>
      <c r="G60" s="331">
        <f t="shared" si="16"/>
        <v>5109726.7520786477</v>
      </c>
      <c r="H60" s="331">
        <f t="shared" si="16"/>
        <v>5027006.248341159</v>
      </c>
      <c r="I60" s="331">
        <f t="shared" si="16"/>
        <v>4940803.2113963217</v>
      </c>
      <c r="J60" s="331">
        <f t="shared" si="16"/>
        <v>4850971.0265961066</v>
      </c>
      <c r="K60" s="331">
        <f t="shared" si="16"/>
        <v>4757356.9068158027</v>
      </c>
      <c r="L60" s="331">
        <f t="shared" si="16"/>
        <v>4659801.6325927479</v>
      </c>
      <c r="M60" s="331">
        <f t="shared" si="16"/>
        <v>7384560.1245450983</v>
      </c>
      <c r="N60" s="331">
        <f t="shared" si="16"/>
        <v>7282357.4534634678</v>
      </c>
      <c r="O60" s="331">
        <f t="shared" si="16"/>
        <v>7176066.6755385716</v>
      </c>
      <c r="P60" s="331">
        <f t="shared" si="16"/>
        <v>7065524.2664966797</v>
      </c>
      <c r="Q60" s="331">
        <f t="shared" si="16"/>
        <v>6950560.1610931121</v>
      </c>
      <c r="R60" s="331">
        <f t="shared" si="16"/>
        <v>6830997.4914734019</v>
      </c>
      <c r="S60" s="331">
        <f t="shared" si="16"/>
        <v>6706652.3150689034</v>
      </c>
      <c r="T60" s="331">
        <f t="shared" si="16"/>
        <v>6577333.3316082247</v>
      </c>
      <c r="U60" s="331">
        <f t="shared" si="16"/>
        <v>6442841.5888091195</v>
      </c>
      <c r="V60" s="331">
        <f t="shared" si="16"/>
        <v>6302970.1762980502</v>
      </c>
      <c r="W60" s="331">
        <f t="shared" si="16"/>
        <v>6157503.9072865378</v>
      </c>
    </row>
    <row r="61" spans="2:23">
      <c r="B61" s="3" t="s">
        <v>367</v>
      </c>
      <c r="C61" s="328">
        <f>IF(AND('02_Debt Engine'!$F$24="Yes",'02_Debt Engine'!$V$24&gt;0,C$4='02_Debt Engine'!$I$24),-C60,0)</f>
        <v>0</v>
      </c>
      <c r="D61" s="328">
        <f>IF(AND('02_Debt Engine'!$F$24="Yes",'02_Debt Engine'!$V$24&gt;0,D$4='02_Debt Engine'!$I$24),-D60,0)</f>
        <v>0</v>
      </c>
      <c r="E61" s="328">
        <f>IF(AND('02_Debt Engine'!$F$24="Yes",'02_Debt Engine'!$V$24&gt;0,E$4='02_Debt Engine'!$I$24),-E60,0)</f>
        <v>0</v>
      </c>
      <c r="F61" s="328">
        <f>IF(AND('02_Debt Engine'!$F$24="Yes",'02_Debt Engine'!$V$24&gt;0,F$4='02_Debt Engine'!$I$24),-F60,0)</f>
        <v>0</v>
      </c>
      <c r="G61" s="328">
        <f>IF(AND('02_Debt Engine'!$F$24="Yes",'02_Debt Engine'!$V$24&gt;0,G$4='02_Debt Engine'!$I$24),-G60,0)</f>
        <v>0</v>
      </c>
      <c r="H61" s="328">
        <f>IF(AND('02_Debt Engine'!$F$24="Yes",'02_Debt Engine'!$V$24&gt;0,H$4='02_Debt Engine'!$I$24),-H60,0)</f>
        <v>0</v>
      </c>
      <c r="I61" s="328">
        <f>IF(AND('02_Debt Engine'!$F$24="Yes",'02_Debt Engine'!$V$24&gt;0,I$4='02_Debt Engine'!$I$24),-I60,0)</f>
        <v>0</v>
      </c>
      <c r="J61" s="328">
        <f>IF(AND('02_Debt Engine'!$F$24="Yes",'02_Debt Engine'!$V$24&gt;0,J$4='02_Debt Engine'!$I$24),-J60,0)</f>
        <v>0</v>
      </c>
      <c r="K61" s="328">
        <f>IF(AND('02_Debt Engine'!$F$24="Yes",'02_Debt Engine'!$V$24&gt;0,K$4='02_Debt Engine'!$I$24),-K60,0)</f>
        <v>0</v>
      </c>
      <c r="L61" s="328">
        <f>IF(AND('02_Debt Engine'!$F$24="Yes",'02_Debt Engine'!$V$24&gt;0,L$4='02_Debt Engine'!$I$24),-L60,0)</f>
        <v>-4659801.6325927479</v>
      </c>
      <c r="M61" s="328">
        <f>IF(AND('02_Debt Engine'!$F$24="Yes",'02_Debt Engine'!$V$24&gt;0,M$4='02_Debt Engine'!$I$24),-M60,0)</f>
        <v>0</v>
      </c>
      <c r="N61" s="328">
        <f>IF(AND('02_Debt Engine'!$F$24="Yes",'02_Debt Engine'!$V$24&gt;0,N$4='02_Debt Engine'!$I$24),-N60,0)</f>
        <v>0</v>
      </c>
      <c r="O61" s="328">
        <f>IF(AND('02_Debt Engine'!$F$24="Yes",'02_Debt Engine'!$V$24&gt;0,O$4='02_Debt Engine'!$I$24),-O60,0)</f>
        <v>0</v>
      </c>
      <c r="P61" s="328">
        <f>IF(AND('02_Debt Engine'!$F$24="Yes",'02_Debt Engine'!$V$24&gt;0,P$4='02_Debt Engine'!$I$24),-P60,0)</f>
        <v>0</v>
      </c>
      <c r="Q61" s="328">
        <f>IF(AND('02_Debt Engine'!$F$24="Yes",'02_Debt Engine'!$V$24&gt;0,Q$4='02_Debt Engine'!$I$24),-Q60,0)</f>
        <v>0</v>
      </c>
      <c r="R61" s="328">
        <f>IF(AND('02_Debt Engine'!$F$24="Yes",'02_Debt Engine'!$V$24&gt;0,R$4='02_Debt Engine'!$I$24),-R60,0)</f>
        <v>0</v>
      </c>
      <c r="S61" s="328">
        <f>IF(AND('02_Debt Engine'!$F$24="Yes",'02_Debt Engine'!$V$24&gt;0,S$4='02_Debt Engine'!$I$24),-S60,0)</f>
        <v>0</v>
      </c>
      <c r="T61" s="328">
        <f>IF(AND('02_Debt Engine'!$F$24="Yes",'02_Debt Engine'!$V$24&gt;0,T$4='02_Debt Engine'!$I$24),-T60,0)</f>
        <v>0</v>
      </c>
      <c r="U61" s="328">
        <f>IF(AND('02_Debt Engine'!$F$24="Yes",'02_Debt Engine'!$V$24&gt;0,U$4='02_Debt Engine'!$I$24),-U60,0)</f>
        <v>0</v>
      </c>
      <c r="V61" s="328">
        <f>IF(AND('02_Debt Engine'!$F$24="Yes",'02_Debt Engine'!$V$24&gt;0,V$4='02_Debt Engine'!$I$24),-V60,0)</f>
        <v>0</v>
      </c>
      <c r="W61" s="328">
        <f>IF(AND('02_Debt Engine'!$F$24="Yes",'02_Debt Engine'!$V$24&gt;0,W$4='02_Debt Engine'!$I$24),-W60,0)</f>
        <v>0</v>
      </c>
    </row>
    <row r="62" spans="2:23">
      <c r="B62" s="13" t="s">
        <v>534</v>
      </c>
      <c r="C62" s="329">
        <f>IF(AND('02_Debt Engine'!$F$24="Yes",'02_Debt Engine'!$V$24&gt;0,C$4='02_Debt Engine'!$I$24),'02_Debt Engine'!$V$24,0)</f>
        <v>0</v>
      </c>
      <c r="D62" s="329">
        <f>IF(AND('02_Debt Engine'!$F$24="Yes",'02_Debt Engine'!$V$24&gt;0,D$4='02_Debt Engine'!$I$24),'02_Debt Engine'!$V$24,0)</f>
        <v>0</v>
      </c>
      <c r="E62" s="329">
        <f>IF(AND('02_Debt Engine'!$F$24="Yes",'02_Debt Engine'!$V$24&gt;0,E$4='02_Debt Engine'!$I$24),'02_Debt Engine'!$V$24,0)</f>
        <v>0</v>
      </c>
      <c r="F62" s="329">
        <f>IF(AND('02_Debt Engine'!$F$24="Yes",'02_Debt Engine'!$V$24&gt;0,F$4='02_Debt Engine'!$I$24),'02_Debt Engine'!$V$24,0)</f>
        <v>0</v>
      </c>
      <c r="G62" s="329">
        <f>IF(AND('02_Debt Engine'!$F$24="Yes",'02_Debt Engine'!$V$24&gt;0,G$4='02_Debt Engine'!$I$24),'02_Debt Engine'!$V$24,0)</f>
        <v>0</v>
      </c>
      <c r="H62" s="329">
        <f>IF(AND('02_Debt Engine'!$F$24="Yes",'02_Debt Engine'!$V$24&gt;0,H$4='02_Debt Engine'!$I$24),'02_Debt Engine'!$V$24,0)</f>
        <v>0</v>
      </c>
      <c r="I62" s="329">
        <f>IF(AND('02_Debt Engine'!$F$24="Yes",'02_Debt Engine'!$V$24&gt;0,I$4='02_Debt Engine'!$I$24),'02_Debt Engine'!$V$24,0)</f>
        <v>0</v>
      </c>
      <c r="J62" s="329">
        <f>IF(AND('02_Debt Engine'!$F$24="Yes",'02_Debt Engine'!$V$24&gt;0,J$4='02_Debt Engine'!$I$24),'02_Debt Engine'!$V$24,0)</f>
        <v>0</v>
      </c>
      <c r="K62" s="329">
        <f>IF(AND('02_Debt Engine'!$F$24="Yes",'02_Debt Engine'!$V$24&gt;0,K$4='02_Debt Engine'!$I$24),'02_Debt Engine'!$V$24,0)</f>
        <v>0</v>
      </c>
      <c r="L62" s="329">
        <f>IF(AND('02_Debt Engine'!$F$24="Yes",'02_Debt Engine'!$V$24&gt;0,L$4='02_Debt Engine'!$I$24),'02_Debt Engine'!$V$24,0)</f>
        <v>7482831.9236620506</v>
      </c>
      <c r="M62" s="329">
        <f>IF(AND('02_Debt Engine'!$F$24="Yes",'02_Debt Engine'!$V$24&gt;0,M$4='02_Debt Engine'!$I$24),'02_Debt Engine'!$V$24,0)</f>
        <v>0</v>
      </c>
      <c r="N62" s="329">
        <f>IF(AND('02_Debt Engine'!$F$24="Yes",'02_Debt Engine'!$V$24&gt;0,N$4='02_Debt Engine'!$I$24),'02_Debt Engine'!$V$24,0)</f>
        <v>0</v>
      </c>
      <c r="O62" s="329">
        <f>IF(AND('02_Debt Engine'!$F$24="Yes",'02_Debt Engine'!$V$24&gt;0,O$4='02_Debt Engine'!$I$24),'02_Debt Engine'!$V$24,0)</f>
        <v>0</v>
      </c>
      <c r="P62" s="329">
        <f>IF(AND('02_Debt Engine'!$F$24="Yes",'02_Debt Engine'!$V$24&gt;0,P$4='02_Debt Engine'!$I$24),'02_Debt Engine'!$V$24,0)</f>
        <v>0</v>
      </c>
      <c r="Q62" s="329">
        <f>IF(AND('02_Debt Engine'!$F$24="Yes",'02_Debt Engine'!$V$24&gt;0,Q$4='02_Debt Engine'!$I$24),'02_Debt Engine'!$V$24,0)</f>
        <v>0</v>
      </c>
      <c r="R62" s="329">
        <f>IF(AND('02_Debt Engine'!$F$24="Yes",'02_Debt Engine'!$V$24&gt;0,R$4='02_Debt Engine'!$I$24),'02_Debt Engine'!$V$24,0)</f>
        <v>0</v>
      </c>
      <c r="S62" s="329">
        <f>IF(AND('02_Debt Engine'!$F$24="Yes",'02_Debt Engine'!$V$24&gt;0,S$4='02_Debt Engine'!$I$24),'02_Debt Engine'!$V$24,0)</f>
        <v>0</v>
      </c>
      <c r="T62" s="329">
        <f>IF(AND('02_Debt Engine'!$F$24="Yes",'02_Debt Engine'!$V$24&gt;0,T$4='02_Debt Engine'!$I$24),'02_Debt Engine'!$V$24,0)</f>
        <v>0</v>
      </c>
      <c r="U62" s="329">
        <f>IF(AND('02_Debt Engine'!$F$24="Yes",'02_Debt Engine'!$V$24&gt;0,U$4='02_Debt Engine'!$I$24),'02_Debt Engine'!$V$24,0)</f>
        <v>0</v>
      </c>
      <c r="V62" s="329">
        <f>IF(AND('02_Debt Engine'!$F$24="Yes",'02_Debt Engine'!$V$24&gt;0,V$4='02_Debt Engine'!$I$24),'02_Debt Engine'!$V$24,0)</f>
        <v>0</v>
      </c>
      <c r="W62" s="329">
        <f>IF(AND('02_Debt Engine'!$F$24="Yes",'02_Debt Engine'!$V$24&gt;0,W$4='02_Debt Engine'!$I$24),'02_Debt Engine'!$V$24,0)</f>
        <v>0</v>
      </c>
    </row>
    <row r="63" spans="2:23">
      <c r="B63" s="3" t="s">
        <v>535</v>
      </c>
      <c r="C63" s="330">
        <f t="shared" ref="C63:W63" si="17">C61+C62</f>
        <v>0</v>
      </c>
      <c r="D63" s="330">
        <f t="shared" si="17"/>
        <v>0</v>
      </c>
      <c r="E63" s="330">
        <f t="shared" si="17"/>
        <v>0</v>
      </c>
      <c r="F63" s="330">
        <f t="shared" si="17"/>
        <v>0</v>
      </c>
      <c r="G63" s="330">
        <f t="shared" si="17"/>
        <v>0</v>
      </c>
      <c r="H63" s="330">
        <f t="shared" si="17"/>
        <v>0</v>
      </c>
      <c r="I63" s="330">
        <f t="shared" si="17"/>
        <v>0</v>
      </c>
      <c r="J63" s="330">
        <f t="shared" si="17"/>
        <v>0</v>
      </c>
      <c r="K63" s="330">
        <f t="shared" si="17"/>
        <v>0</v>
      </c>
      <c r="L63" s="330">
        <f t="shared" si="17"/>
        <v>2823030.2910693027</v>
      </c>
      <c r="M63" s="330">
        <f t="shared" si="17"/>
        <v>0</v>
      </c>
      <c r="N63" s="330">
        <f t="shared" si="17"/>
        <v>0</v>
      </c>
      <c r="O63" s="330">
        <f t="shared" si="17"/>
        <v>0</v>
      </c>
      <c r="P63" s="330">
        <f t="shared" si="17"/>
        <v>0</v>
      </c>
      <c r="Q63" s="330">
        <f t="shared" si="17"/>
        <v>0</v>
      </c>
      <c r="R63" s="330">
        <f t="shared" si="17"/>
        <v>0</v>
      </c>
      <c r="S63" s="330">
        <f t="shared" si="17"/>
        <v>0</v>
      </c>
      <c r="T63" s="330">
        <f t="shared" si="17"/>
        <v>0</v>
      </c>
      <c r="U63" s="330">
        <f t="shared" si="17"/>
        <v>0</v>
      </c>
      <c r="V63" s="330">
        <f t="shared" si="17"/>
        <v>0</v>
      </c>
      <c r="W63" s="330">
        <f t="shared" si="17"/>
        <v>0</v>
      </c>
    </row>
    <row r="64" spans="2:23">
      <c r="B64" s="14" t="s">
        <v>525</v>
      </c>
      <c r="C64" s="328">
        <f t="shared" ref="C64:W64" si="18">C58+C59</f>
        <v>297840</v>
      </c>
      <c r="D64" s="328">
        <f t="shared" si="18"/>
        <v>297840</v>
      </c>
      <c r="E64" s="328">
        <f t="shared" si="18"/>
        <v>297840</v>
      </c>
      <c r="F64" s="328">
        <f t="shared" si="18"/>
        <v>297840</v>
      </c>
      <c r="G64" s="328">
        <f t="shared" si="18"/>
        <v>297840</v>
      </c>
      <c r="H64" s="328">
        <f t="shared" si="18"/>
        <v>297840</v>
      </c>
      <c r="I64" s="328">
        <f t="shared" si="18"/>
        <v>297840</v>
      </c>
      <c r="J64" s="328">
        <f t="shared" si="18"/>
        <v>297840</v>
      </c>
      <c r="K64" s="328">
        <f t="shared" si="18"/>
        <v>297840</v>
      </c>
      <c r="L64" s="328">
        <f t="shared" si="18"/>
        <v>297840</v>
      </c>
      <c r="M64" s="328">
        <f t="shared" si="18"/>
        <v>397585.07606343459</v>
      </c>
      <c r="N64" s="328">
        <f t="shared" si="18"/>
        <v>397585.07606343459</v>
      </c>
      <c r="O64" s="328">
        <f t="shared" si="18"/>
        <v>397585.07606343459</v>
      </c>
      <c r="P64" s="328">
        <f t="shared" si="18"/>
        <v>397585.07606343459</v>
      </c>
      <c r="Q64" s="328">
        <f t="shared" si="18"/>
        <v>397585.07606343459</v>
      </c>
      <c r="R64" s="328">
        <f t="shared" si="18"/>
        <v>397585.07606343459</v>
      </c>
      <c r="S64" s="328">
        <f t="shared" si="18"/>
        <v>397585.07606343459</v>
      </c>
      <c r="T64" s="328">
        <f t="shared" si="18"/>
        <v>397585.07606343459</v>
      </c>
      <c r="U64" s="328">
        <f t="shared" si="18"/>
        <v>397585.07606343459</v>
      </c>
      <c r="V64" s="328">
        <f t="shared" si="18"/>
        <v>397585.07606343459</v>
      </c>
      <c r="W64" s="328">
        <f t="shared" si="18"/>
        <v>397585.07606343459</v>
      </c>
    </row>
    <row r="66" spans="2:23">
      <c r="B66" s="327" t="str">
        <f>'02_Debt Engine'!$B$25</f>
        <v>Evelyn Estates</v>
      </c>
      <c r="C66" s="327" t="str">
        <f>_xlfn.LET(_xlpm.refiyr,INDEX('02_Debt Engine'!$I$19:$I$35,MATCH('02A_Debt Schedule'!$B66,'02_Debt Engine'!$B$19:$B$35,0)),IF(_xlpm.refiyr='02A_Debt Schedule'!C$4,"Refi Yr.",""))</f>
        <v/>
      </c>
      <c r="D66" s="327" t="str">
        <f>_xlfn.LET(_xlpm.refiyr,INDEX('02_Debt Engine'!$I$19:$I$35,MATCH('02A_Debt Schedule'!$B66,'02_Debt Engine'!$B$19:$B$35,0)),IF(_xlpm.refiyr='02A_Debt Schedule'!D$4,"Refi Yr.",""))</f>
        <v/>
      </c>
      <c r="E66" s="327" t="str">
        <f>_xlfn.LET(_xlpm.refiyr,INDEX('02_Debt Engine'!$I$19:$I$35,MATCH('02A_Debt Schedule'!$B66,'02_Debt Engine'!$B$19:$B$35,0)),IF(_xlpm.refiyr='02A_Debt Schedule'!E$4,"Refi Yr.",""))</f>
        <v/>
      </c>
      <c r="F66" s="327" t="str">
        <f>_xlfn.LET(_xlpm.refiyr,INDEX('02_Debt Engine'!$I$19:$I$35,MATCH('02A_Debt Schedule'!$B66,'02_Debt Engine'!$B$19:$B$35,0)),IF(_xlpm.refiyr='02A_Debt Schedule'!F$4,"Refi Yr.",""))</f>
        <v>Refi Yr.</v>
      </c>
      <c r="G66" s="327" t="str">
        <f>_xlfn.LET(_xlpm.refiyr,INDEX('02_Debt Engine'!$I$19:$I$35,MATCH('02A_Debt Schedule'!$B66,'02_Debt Engine'!$B$19:$B$35,0)),IF(_xlpm.refiyr='02A_Debt Schedule'!G$4,"Refi Yr.",""))</f>
        <v/>
      </c>
      <c r="H66" s="327" t="str">
        <f>_xlfn.LET(_xlpm.refiyr,INDEX('02_Debt Engine'!$I$19:$I$35,MATCH('02A_Debt Schedule'!$B66,'02_Debt Engine'!$B$19:$B$35,0)),IF(_xlpm.refiyr='02A_Debt Schedule'!H$4,"Refi Yr.",""))</f>
        <v/>
      </c>
      <c r="I66" s="327" t="str">
        <f>_xlfn.LET(_xlpm.refiyr,INDEX('02_Debt Engine'!$I$19:$I$35,MATCH('02A_Debt Schedule'!$B66,'02_Debt Engine'!$B$19:$B$35,0)),IF(_xlpm.refiyr='02A_Debt Schedule'!I$4,"Refi Yr.",""))</f>
        <v/>
      </c>
      <c r="J66" s="327" t="str">
        <f>_xlfn.LET(_xlpm.refiyr,INDEX('02_Debt Engine'!$I$19:$I$35,MATCH('02A_Debt Schedule'!$B66,'02_Debt Engine'!$B$19:$B$35,0)),IF(_xlpm.refiyr='02A_Debt Schedule'!J$4,"Refi Yr.",""))</f>
        <v/>
      </c>
      <c r="K66" s="327" t="str">
        <f>_xlfn.LET(_xlpm.refiyr,INDEX('02_Debt Engine'!$I$19:$I$35,MATCH('02A_Debt Schedule'!$B66,'02_Debt Engine'!$B$19:$B$35,0)),IF(_xlpm.refiyr='02A_Debt Schedule'!K$4,"Refi Yr.",""))</f>
        <v/>
      </c>
      <c r="L66" s="327" t="str">
        <f>_xlfn.LET(_xlpm.refiyr,INDEX('02_Debt Engine'!$I$19:$I$35,MATCH('02A_Debt Schedule'!$B66,'02_Debt Engine'!$B$19:$B$35,0)),IF(_xlpm.refiyr='02A_Debt Schedule'!L$4,"Refi Yr.",""))</f>
        <v/>
      </c>
      <c r="M66" s="327" t="str">
        <f>_xlfn.LET(_xlpm.refiyr,INDEX('02_Debt Engine'!$I$19:$I$35,MATCH('02A_Debt Schedule'!$B66,'02_Debt Engine'!$B$19:$B$35,0)),IF(_xlpm.refiyr='02A_Debt Schedule'!M$4,"Refi Yr.",""))</f>
        <v/>
      </c>
      <c r="N66" s="327" t="str">
        <f>_xlfn.LET(_xlpm.refiyr,INDEX('02_Debt Engine'!$I$19:$I$35,MATCH('02A_Debt Schedule'!$B66,'02_Debt Engine'!$B$19:$B$35,0)),IF(_xlpm.refiyr='02A_Debt Schedule'!N$4,"Refi Yr.",""))</f>
        <v/>
      </c>
      <c r="O66" s="327" t="str">
        <f>_xlfn.LET(_xlpm.refiyr,INDEX('02_Debt Engine'!$I$19:$I$35,MATCH('02A_Debt Schedule'!$B66,'02_Debt Engine'!$B$19:$B$35,0)),IF(_xlpm.refiyr='02A_Debt Schedule'!O$4,"Refi Yr.",""))</f>
        <v/>
      </c>
      <c r="P66" s="327" t="str">
        <f>_xlfn.LET(_xlpm.refiyr,INDEX('02_Debt Engine'!$I$19:$I$35,MATCH('02A_Debt Schedule'!$B66,'02_Debt Engine'!$B$19:$B$35,0)),IF(_xlpm.refiyr='02A_Debt Schedule'!P$4,"Refi Yr.",""))</f>
        <v/>
      </c>
      <c r="Q66" s="327" t="str">
        <f>_xlfn.LET(_xlpm.refiyr,INDEX('02_Debt Engine'!$I$19:$I$35,MATCH('02A_Debt Schedule'!$B66,'02_Debt Engine'!$B$19:$B$35,0)),IF(_xlpm.refiyr='02A_Debt Schedule'!Q$4,"Refi Yr.",""))</f>
        <v/>
      </c>
      <c r="R66" s="327" t="str">
        <f>_xlfn.LET(_xlpm.refiyr,INDEX('02_Debt Engine'!$I$19:$I$35,MATCH('02A_Debt Schedule'!$B66,'02_Debt Engine'!$B$19:$B$35,0)),IF(_xlpm.refiyr='02A_Debt Schedule'!R$4,"Refi Yr.",""))</f>
        <v/>
      </c>
      <c r="S66" s="327" t="str">
        <f>_xlfn.LET(_xlpm.refiyr,INDEX('02_Debt Engine'!$I$19:$I$35,MATCH('02A_Debt Schedule'!$B66,'02_Debt Engine'!$B$19:$B$35,0)),IF(_xlpm.refiyr='02A_Debt Schedule'!S$4,"Refi Yr.",""))</f>
        <v/>
      </c>
      <c r="T66" s="327" t="str">
        <f>_xlfn.LET(_xlpm.refiyr,INDEX('02_Debt Engine'!$I$19:$I$35,MATCH('02A_Debt Schedule'!$B66,'02_Debt Engine'!$B$19:$B$35,0)),IF(_xlpm.refiyr='02A_Debt Schedule'!T$4,"Refi Yr.",""))</f>
        <v/>
      </c>
      <c r="U66" s="327" t="str">
        <f>_xlfn.LET(_xlpm.refiyr,INDEX('02_Debt Engine'!$I$19:$I$35,MATCH('02A_Debt Schedule'!$B66,'02_Debt Engine'!$B$19:$B$35,0)),IF(_xlpm.refiyr='02A_Debt Schedule'!U$4,"Refi Yr.",""))</f>
        <v/>
      </c>
      <c r="V66" s="327" t="str">
        <f>_xlfn.LET(_xlpm.refiyr,INDEX('02_Debt Engine'!$I$19:$I$35,MATCH('02A_Debt Schedule'!$B66,'02_Debt Engine'!$B$19:$B$35,0)),IF(_xlpm.refiyr='02A_Debt Schedule'!V$4,"Refi Yr.",""))</f>
        <v/>
      </c>
      <c r="W66" s="327" t="str">
        <f>_xlfn.LET(_xlpm.refiyr,INDEX('02_Debt Engine'!$I$19:$I$35,MATCH('02A_Debt Schedule'!$B66,'02_Debt Engine'!$B$19:$B$35,0)),IF(_xlpm.refiyr='02A_Debt Schedule'!W$4,"Refi Yr.",""))</f>
        <v/>
      </c>
    </row>
    <row r="67" spans="2:23">
      <c r="B67" s="3" t="s">
        <v>531</v>
      </c>
      <c r="C67" s="328">
        <f>IF('02_Debt Engine'!$D$25="Active",'02_Debt Engine'!$N$25,'02_Debt Engine'!$O$25)</f>
        <v>639949.68999999994</v>
      </c>
      <c r="D67" s="328">
        <f>IF(AND('02_Debt Engine'!$F$25="Yes",'02_Debt Engine'!$V$25&gt;0,C$4='02_Debt Engine'!$I$25),'02_Debt Engine'!$V$25,C70)</f>
        <v>419507.76840599993</v>
      </c>
      <c r="E67" s="328">
        <f>IF(AND('02_Debt Engine'!$F$25="Yes",'02_Debt Engine'!$V$25&gt;0,D$4='02_Debt Engine'!$I$25),'02_Debt Engine'!$V$25,D70)</f>
        <v>190821.31894438431</v>
      </c>
      <c r="F67" s="328">
        <f>IF(AND('02_Debt Engine'!$F$25="Yes",'02_Debt Engine'!$V$25&gt;0,E$4='02_Debt Engine'!$I$25),'02_Debt Engine'!$V$25,E70)</f>
        <v>0</v>
      </c>
      <c r="G67" s="328">
        <f>IF(AND('02_Debt Engine'!$F$25="Yes",'02_Debt Engine'!$V$25&gt;0,F$4='02_Debt Engine'!$I$25),'02_Debt Engine'!$V$25,F70)</f>
        <v>0</v>
      </c>
      <c r="H67" s="328">
        <f>IF(AND('02_Debt Engine'!$F$25="Yes",'02_Debt Engine'!$V$25&gt;0,G$4='02_Debt Engine'!$I$25),'02_Debt Engine'!$V$25,G70)</f>
        <v>0</v>
      </c>
      <c r="I67" s="328">
        <f>IF(AND('02_Debt Engine'!$F$25="Yes",'02_Debt Engine'!$V$25&gt;0,H$4='02_Debt Engine'!$I$25),'02_Debt Engine'!$V$25,H70)</f>
        <v>0</v>
      </c>
      <c r="J67" s="328">
        <f>IF(AND('02_Debt Engine'!$F$25="Yes",'02_Debt Engine'!$V$25&gt;0,I$4='02_Debt Engine'!$I$25),'02_Debt Engine'!$V$25,I70)</f>
        <v>0</v>
      </c>
      <c r="K67" s="328">
        <f>IF(AND('02_Debt Engine'!$F$25="Yes",'02_Debt Engine'!$V$25&gt;0,J$4='02_Debt Engine'!$I$25),'02_Debt Engine'!$V$25,J70)</f>
        <v>0</v>
      </c>
      <c r="L67" s="328">
        <f>IF(AND('02_Debt Engine'!$F$25="Yes",'02_Debt Engine'!$V$25&gt;0,K$4='02_Debt Engine'!$I$25),'02_Debt Engine'!$V$25,K70)</f>
        <v>0</v>
      </c>
      <c r="M67" s="328">
        <f>IF(AND('02_Debt Engine'!$F$25="Yes",'02_Debt Engine'!$V$25&gt;0,L$4='02_Debt Engine'!$I$25),'02_Debt Engine'!$V$25,L70)</f>
        <v>0</v>
      </c>
      <c r="N67" s="328">
        <f>IF(AND('02_Debt Engine'!$F$25="Yes",'02_Debt Engine'!$V$25&gt;0,M$4='02_Debt Engine'!$I$25),'02_Debt Engine'!$V$25,M70)</f>
        <v>0</v>
      </c>
      <c r="O67" s="328">
        <f>IF(AND('02_Debt Engine'!$F$25="Yes",'02_Debt Engine'!$V$25&gt;0,N$4='02_Debt Engine'!$I$25),'02_Debt Engine'!$V$25,N70)</f>
        <v>0</v>
      </c>
      <c r="P67" s="328">
        <f>IF(AND('02_Debt Engine'!$F$25="Yes",'02_Debt Engine'!$V$25&gt;0,O$4='02_Debt Engine'!$I$25),'02_Debt Engine'!$V$25,O70)</f>
        <v>0</v>
      </c>
      <c r="Q67" s="328">
        <f>IF(AND('02_Debt Engine'!$F$25="Yes",'02_Debt Engine'!$V$25&gt;0,P$4='02_Debt Engine'!$I$25),'02_Debt Engine'!$V$25,P70)</f>
        <v>0</v>
      </c>
      <c r="R67" s="328">
        <f>IF(AND('02_Debt Engine'!$F$25="Yes",'02_Debt Engine'!$V$25&gt;0,Q$4='02_Debt Engine'!$I$25),'02_Debt Engine'!$V$25,Q70)</f>
        <v>0</v>
      </c>
      <c r="S67" s="328">
        <f>IF(AND('02_Debt Engine'!$F$25="Yes",'02_Debt Engine'!$V$25&gt;0,R$4='02_Debt Engine'!$I$25),'02_Debt Engine'!$V$25,R70)</f>
        <v>0</v>
      </c>
      <c r="T67" s="328">
        <f>IF(AND('02_Debt Engine'!$F$25="Yes",'02_Debt Engine'!$V$25&gt;0,S$4='02_Debt Engine'!$I$25),'02_Debt Engine'!$V$25,S70)</f>
        <v>0</v>
      </c>
      <c r="U67" s="328">
        <f>IF(AND('02_Debt Engine'!$F$25="Yes",'02_Debt Engine'!$V$25&gt;0,T$4='02_Debt Engine'!$I$25),'02_Debt Engine'!$V$25,T70)</f>
        <v>0</v>
      </c>
      <c r="V67" s="328">
        <f>IF(AND('02_Debt Engine'!$F$25="Yes",'02_Debt Engine'!$V$25&gt;0,U$4='02_Debt Engine'!$I$25),'02_Debt Engine'!$V$25,U70)</f>
        <v>0</v>
      </c>
      <c r="W67" s="328">
        <f>IF(AND('02_Debt Engine'!$F$25="Yes",'02_Debt Engine'!$V$25&gt;0,V$4='02_Debt Engine'!$I$25),'02_Debt Engine'!$V$25,V70)</f>
        <v>0</v>
      </c>
    </row>
    <row r="68" spans="2:23">
      <c r="B68" s="3" t="s">
        <v>514</v>
      </c>
      <c r="C68" s="328">
        <f>IF(C67&lt;=0,0,C67*IF(AND('02_Debt Engine'!$F$25="Yes",'02_Debt Engine'!$V$25&gt;0,C$4&gt;'02_Debt Engine'!$I$25),'02_Debt Engine'!$C$13,IF('02_Debt Engine'!$D$25="Active",'02_Debt Engine'!$H$25,'02_Debt Engine'!$C$7)))</f>
        <v>23934.118406000001</v>
      </c>
      <c r="D68" s="328">
        <f>IF(D67&lt;=0,0,D67*IF(AND('02_Debt Engine'!$F$25="Yes",'02_Debt Engine'!$V$25&gt;0,D$4&gt;'02_Debt Engine'!$I$25),'02_Debt Engine'!$C$13,IF('02_Debt Engine'!$D$25="Active",'02_Debt Engine'!$H$25,'02_Debt Engine'!$C$7)))</f>
        <v>15689.590538384398</v>
      </c>
      <c r="E68" s="328">
        <f>IF(E67&lt;=0,0,E67*IF(AND('02_Debt Engine'!$F$25="Yes",'02_Debt Engine'!$V$25&gt;0,E$4&gt;'02_Debt Engine'!$I$25),'02_Debt Engine'!$C$13,IF('02_Debt Engine'!$D$25="Active",'02_Debt Engine'!$H$25,'02_Debt Engine'!$C$7)))</f>
        <v>7136.7173285199742</v>
      </c>
      <c r="F68" s="328">
        <f>IF(F67&lt;=0,0,F67*IF(AND('02_Debt Engine'!$F$25="Yes",'02_Debt Engine'!$V$25&gt;0,F$4&gt;'02_Debt Engine'!$I$25),'02_Debt Engine'!$C$13,IF('02_Debt Engine'!$D$25="Active",'02_Debt Engine'!$H$25,'02_Debt Engine'!$C$7)))</f>
        <v>0</v>
      </c>
      <c r="G68" s="328">
        <f>IF(G67&lt;=0,0,G67*IF(AND('02_Debt Engine'!$F$25="Yes",'02_Debt Engine'!$V$25&gt;0,G$4&gt;'02_Debt Engine'!$I$25),'02_Debt Engine'!$C$13,IF('02_Debt Engine'!$D$25="Active",'02_Debt Engine'!$H$25,'02_Debt Engine'!$C$7)))</f>
        <v>0</v>
      </c>
      <c r="H68" s="328">
        <f>IF(H67&lt;=0,0,H67*IF(AND('02_Debt Engine'!$F$25="Yes",'02_Debt Engine'!$V$25&gt;0,H$4&gt;'02_Debt Engine'!$I$25),'02_Debt Engine'!$C$13,IF('02_Debt Engine'!$D$25="Active",'02_Debt Engine'!$H$25,'02_Debt Engine'!$C$7)))</f>
        <v>0</v>
      </c>
      <c r="I68" s="328">
        <f>IF(I67&lt;=0,0,I67*IF(AND('02_Debt Engine'!$F$25="Yes",'02_Debt Engine'!$V$25&gt;0,I$4&gt;'02_Debt Engine'!$I$25),'02_Debt Engine'!$C$13,IF('02_Debt Engine'!$D$25="Active",'02_Debt Engine'!$H$25,'02_Debt Engine'!$C$7)))</f>
        <v>0</v>
      </c>
      <c r="J68" s="328">
        <f>IF(J67&lt;=0,0,J67*IF(AND('02_Debt Engine'!$F$25="Yes",'02_Debt Engine'!$V$25&gt;0,J$4&gt;'02_Debt Engine'!$I$25),'02_Debt Engine'!$C$13,IF('02_Debt Engine'!$D$25="Active",'02_Debt Engine'!$H$25,'02_Debt Engine'!$C$7)))</f>
        <v>0</v>
      </c>
      <c r="K68" s="328">
        <f>IF(K67&lt;=0,0,K67*IF(AND('02_Debt Engine'!$F$25="Yes",'02_Debt Engine'!$V$25&gt;0,K$4&gt;'02_Debt Engine'!$I$25),'02_Debt Engine'!$C$13,IF('02_Debt Engine'!$D$25="Active",'02_Debt Engine'!$H$25,'02_Debt Engine'!$C$7)))</f>
        <v>0</v>
      </c>
      <c r="L68" s="328">
        <f>IF(L67&lt;=0,0,L67*IF(AND('02_Debt Engine'!$F$25="Yes",'02_Debt Engine'!$V$25&gt;0,L$4&gt;'02_Debt Engine'!$I$25),'02_Debt Engine'!$C$13,IF('02_Debt Engine'!$D$25="Active",'02_Debt Engine'!$H$25,'02_Debt Engine'!$C$7)))</f>
        <v>0</v>
      </c>
      <c r="M68" s="328">
        <f>IF(M67&lt;=0,0,M67*IF(AND('02_Debt Engine'!$F$25="Yes",'02_Debt Engine'!$V$25&gt;0,M$4&gt;'02_Debt Engine'!$I$25),'02_Debt Engine'!$C$13,IF('02_Debt Engine'!$D$25="Active",'02_Debt Engine'!$H$25,'02_Debt Engine'!$C$7)))</f>
        <v>0</v>
      </c>
      <c r="N68" s="328">
        <f>IF(N67&lt;=0,0,N67*IF(AND('02_Debt Engine'!$F$25="Yes",'02_Debt Engine'!$V$25&gt;0,N$4&gt;'02_Debt Engine'!$I$25),'02_Debt Engine'!$C$13,IF('02_Debt Engine'!$D$25="Active",'02_Debt Engine'!$H$25,'02_Debt Engine'!$C$7)))</f>
        <v>0</v>
      </c>
      <c r="O68" s="328">
        <f>IF(O67&lt;=0,0,O67*IF(AND('02_Debt Engine'!$F$25="Yes",'02_Debt Engine'!$V$25&gt;0,O$4&gt;'02_Debt Engine'!$I$25),'02_Debt Engine'!$C$13,IF('02_Debt Engine'!$D$25="Active",'02_Debt Engine'!$H$25,'02_Debt Engine'!$C$7)))</f>
        <v>0</v>
      </c>
      <c r="P68" s="328">
        <f>IF(P67&lt;=0,0,P67*IF(AND('02_Debt Engine'!$F$25="Yes",'02_Debt Engine'!$V$25&gt;0,P$4&gt;'02_Debt Engine'!$I$25),'02_Debt Engine'!$C$13,IF('02_Debt Engine'!$D$25="Active",'02_Debt Engine'!$H$25,'02_Debt Engine'!$C$7)))</f>
        <v>0</v>
      </c>
      <c r="Q68" s="328">
        <f>IF(Q67&lt;=0,0,Q67*IF(AND('02_Debt Engine'!$F$25="Yes",'02_Debt Engine'!$V$25&gt;0,Q$4&gt;'02_Debt Engine'!$I$25),'02_Debt Engine'!$C$13,IF('02_Debt Engine'!$D$25="Active",'02_Debt Engine'!$H$25,'02_Debt Engine'!$C$7)))</f>
        <v>0</v>
      </c>
      <c r="R68" s="328">
        <f>IF(R67&lt;=0,0,R67*IF(AND('02_Debt Engine'!$F$25="Yes",'02_Debt Engine'!$V$25&gt;0,R$4&gt;'02_Debt Engine'!$I$25),'02_Debt Engine'!$C$13,IF('02_Debt Engine'!$D$25="Active",'02_Debt Engine'!$H$25,'02_Debt Engine'!$C$7)))</f>
        <v>0</v>
      </c>
      <c r="S68" s="328">
        <f>IF(S67&lt;=0,0,S67*IF(AND('02_Debt Engine'!$F$25="Yes",'02_Debt Engine'!$V$25&gt;0,S$4&gt;'02_Debt Engine'!$I$25),'02_Debt Engine'!$C$13,IF('02_Debt Engine'!$D$25="Active",'02_Debt Engine'!$H$25,'02_Debt Engine'!$C$7)))</f>
        <v>0</v>
      </c>
      <c r="T68" s="328">
        <f>IF(T67&lt;=0,0,T67*IF(AND('02_Debt Engine'!$F$25="Yes",'02_Debt Engine'!$V$25&gt;0,T$4&gt;'02_Debt Engine'!$I$25),'02_Debt Engine'!$C$13,IF('02_Debt Engine'!$D$25="Active",'02_Debt Engine'!$H$25,'02_Debt Engine'!$C$7)))</f>
        <v>0</v>
      </c>
      <c r="U68" s="328">
        <f>IF(U67&lt;=0,0,U67*IF(AND('02_Debt Engine'!$F$25="Yes",'02_Debt Engine'!$V$25&gt;0,U$4&gt;'02_Debt Engine'!$I$25),'02_Debt Engine'!$C$13,IF('02_Debt Engine'!$D$25="Active",'02_Debt Engine'!$H$25,'02_Debt Engine'!$C$7)))</f>
        <v>0</v>
      </c>
      <c r="V68" s="328">
        <f>IF(V67&lt;=0,0,V67*IF(AND('02_Debt Engine'!$F$25="Yes",'02_Debt Engine'!$V$25&gt;0,V$4&gt;'02_Debt Engine'!$I$25),'02_Debt Engine'!$C$13,IF('02_Debt Engine'!$D$25="Active",'02_Debt Engine'!$H$25,'02_Debt Engine'!$C$7)))</f>
        <v>0</v>
      </c>
      <c r="W68" s="328">
        <f>IF(W67&lt;=0,0,W67*IF(AND('02_Debt Engine'!$F$25="Yes",'02_Debt Engine'!$V$25&gt;0,W$4&gt;'02_Debt Engine'!$I$25),'02_Debt Engine'!$C$13,IF('02_Debt Engine'!$D$25="Active",'02_Debt Engine'!$H$25,'02_Debt Engine'!$C$7)))</f>
        <v>0</v>
      </c>
    </row>
    <row r="69" spans="2:23">
      <c r="B69" s="13" t="s">
        <v>532</v>
      </c>
      <c r="C69" s="329">
        <f>IF(C67&lt;=0,0,MIN(C67,IF(AND('02_Debt Engine'!$F$25="Yes",'02_Debt Engine'!$V$25&gt;0,C$4&gt;'02_Debt Engine'!$I$25),'02_Debt Engine'!$W$25,IF('02_Debt Engine'!$D$25="Active",'02_Debt Engine'!$K$25,'02_Debt Engine'!$P$25))-C68))</f>
        <v>220441.92159400001</v>
      </c>
      <c r="D69" s="329">
        <f>IF(D67&lt;=0,0,MIN(D67,IF(AND('02_Debt Engine'!$F$25="Yes",'02_Debt Engine'!$V$25&gt;0,D$4&gt;'02_Debt Engine'!$I$25),'02_Debt Engine'!$W$25,IF('02_Debt Engine'!$D$25="Active",'02_Debt Engine'!$K$25,'02_Debt Engine'!$P$25))-D68))</f>
        <v>228686.44946161562</v>
      </c>
      <c r="E69" s="329">
        <f>IF(E67&lt;=0,0,MIN(E67,IF(AND('02_Debt Engine'!$F$25="Yes",'02_Debt Engine'!$V$25&gt;0,E$4&gt;'02_Debt Engine'!$I$25),'02_Debt Engine'!$W$25,IF('02_Debt Engine'!$D$25="Active",'02_Debt Engine'!$K$25,'02_Debt Engine'!$P$25))-E68))</f>
        <v>190821.31894438431</v>
      </c>
      <c r="F69" s="329">
        <f>IF(F67&lt;=0,0,MIN(F67,IF(AND('02_Debt Engine'!$F$25="Yes",'02_Debt Engine'!$V$25&gt;0,F$4&gt;'02_Debt Engine'!$I$25),'02_Debt Engine'!$W$25,IF('02_Debt Engine'!$D$25="Active",'02_Debt Engine'!$K$25,'02_Debt Engine'!$P$25))-F68))</f>
        <v>0</v>
      </c>
      <c r="G69" s="329">
        <f>IF(G67&lt;=0,0,MIN(G67,IF(AND('02_Debt Engine'!$F$25="Yes",'02_Debt Engine'!$V$25&gt;0,G$4&gt;'02_Debt Engine'!$I$25),'02_Debt Engine'!$W$25,IF('02_Debt Engine'!$D$25="Active",'02_Debt Engine'!$K$25,'02_Debt Engine'!$P$25))-G68))</f>
        <v>0</v>
      </c>
      <c r="H69" s="329">
        <f>IF(H67&lt;=0,0,MIN(H67,IF(AND('02_Debt Engine'!$F$25="Yes",'02_Debt Engine'!$V$25&gt;0,H$4&gt;'02_Debt Engine'!$I$25),'02_Debt Engine'!$W$25,IF('02_Debt Engine'!$D$25="Active",'02_Debt Engine'!$K$25,'02_Debt Engine'!$P$25))-H68))</f>
        <v>0</v>
      </c>
      <c r="I69" s="329">
        <f>IF(I67&lt;=0,0,MIN(I67,IF(AND('02_Debt Engine'!$F$25="Yes",'02_Debt Engine'!$V$25&gt;0,I$4&gt;'02_Debt Engine'!$I$25),'02_Debt Engine'!$W$25,IF('02_Debt Engine'!$D$25="Active",'02_Debt Engine'!$K$25,'02_Debt Engine'!$P$25))-I68))</f>
        <v>0</v>
      </c>
      <c r="J69" s="329">
        <f>IF(J67&lt;=0,0,MIN(J67,IF(AND('02_Debt Engine'!$F$25="Yes",'02_Debt Engine'!$V$25&gt;0,J$4&gt;'02_Debt Engine'!$I$25),'02_Debt Engine'!$W$25,IF('02_Debt Engine'!$D$25="Active",'02_Debt Engine'!$K$25,'02_Debt Engine'!$P$25))-J68))</f>
        <v>0</v>
      </c>
      <c r="K69" s="329">
        <f>IF(K67&lt;=0,0,MIN(K67,IF(AND('02_Debt Engine'!$F$25="Yes",'02_Debt Engine'!$V$25&gt;0,K$4&gt;'02_Debt Engine'!$I$25),'02_Debt Engine'!$W$25,IF('02_Debt Engine'!$D$25="Active",'02_Debt Engine'!$K$25,'02_Debt Engine'!$P$25))-K68))</f>
        <v>0</v>
      </c>
      <c r="L69" s="329">
        <f>IF(L67&lt;=0,0,MIN(L67,IF(AND('02_Debt Engine'!$F$25="Yes",'02_Debt Engine'!$V$25&gt;0,L$4&gt;'02_Debt Engine'!$I$25),'02_Debt Engine'!$W$25,IF('02_Debt Engine'!$D$25="Active",'02_Debt Engine'!$K$25,'02_Debt Engine'!$P$25))-L68))</f>
        <v>0</v>
      </c>
      <c r="M69" s="329">
        <f>IF(M67&lt;=0,0,MIN(M67,IF(AND('02_Debt Engine'!$F$25="Yes",'02_Debt Engine'!$V$25&gt;0,M$4&gt;'02_Debt Engine'!$I$25),'02_Debt Engine'!$W$25,IF('02_Debt Engine'!$D$25="Active",'02_Debt Engine'!$K$25,'02_Debt Engine'!$P$25))-M68))</f>
        <v>0</v>
      </c>
      <c r="N69" s="329">
        <f>IF(N67&lt;=0,0,MIN(N67,IF(AND('02_Debt Engine'!$F$25="Yes",'02_Debt Engine'!$V$25&gt;0,N$4&gt;'02_Debt Engine'!$I$25),'02_Debt Engine'!$W$25,IF('02_Debt Engine'!$D$25="Active",'02_Debt Engine'!$K$25,'02_Debt Engine'!$P$25))-N68))</f>
        <v>0</v>
      </c>
      <c r="O69" s="329">
        <f>IF(O67&lt;=0,0,MIN(O67,IF(AND('02_Debt Engine'!$F$25="Yes",'02_Debt Engine'!$V$25&gt;0,O$4&gt;'02_Debt Engine'!$I$25),'02_Debt Engine'!$W$25,IF('02_Debt Engine'!$D$25="Active",'02_Debt Engine'!$K$25,'02_Debt Engine'!$P$25))-O68))</f>
        <v>0</v>
      </c>
      <c r="P69" s="329">
        <f>IF(P67&lt;=0,0,MIN(P67,IF(AND('02_Debt Engine'!$F$25="Yes",'02_Debt Engine'!$V$25&gt;0,P$4&gt;'02_Debt Engine'!$I$25),'02_Debt Engine'!$W$25,IF('02_Debt Engine'!$D$25="Active",'02_Debt Engine'!$K$25,'02_Debt Engine'!$P$25))-P68))</f>
        <v>0</v>
      </c>
      <c r="Q69" s="329">
        <f>IF(Q67&lt;=0,0,MIN(Q67,IF(AND('02_Debt Engine'!$F$25="Yes",'02_Debt Engine'!$V$25&gt;0,Q$4&gt;'02_Debt Engine'!$I$25),'02_Debt Engine'!$W$25,IF('02_Debt Engine'!$D$25="Active",'02_Debt Engine'!$K$25,'02_Debt Engine'!$P$25))-Q68))</f>
        <v>0</v>
      </c>
      <c r="R69" s="329">
        <f>IF(R67&lt;=0,0,MIN(R67,IF(AND('02_Debt Engine'!$F$25="Yes",'02_Debt Engine'!$V$25&gt;0,R$4&gt;'02_Debt Engine'!$I$25),'02_Debt Engine'!$W$25,IF('02_Debt Engine'!$D$25="Active",'02_Debt Engine'!$K$25,'02_Debt Engine'!$P$25))-R68))</f>
        <v>0</v>
      </c>
      <c r="S69" s="329">
        <f>IF(S67&lt;=0,0,MIN(S67,IF(AND('02_Debt Engine'!$F$25="Yes",'02_Debt Engine'!$V$25&gt;0,S$4&gt;'02_Debt Engine'!$I$25),'02_Debt Engine'!$W$25,IF('02_Debt Engine'!$D$25="Active",'02_Debt Engine'!$K$25,'02_Debt Engine'!$P$25))-S68))</f>
        <v>0</v>
      </c>
      <c r="T69" s="329">
        <f>IF(T67&lt;=0,0,MIN(T67,IF(AND('02_Debt Engine'!$F$25="Yes",'02_Debt Engine'!$V$25&gt;0,T$4&gt;'02_Debt Engine'!$I$25),'02_Debt Engine'!$W$25,IF('02_Debt Engine'!$D$25="Active",'02_Debt Engine'!$K$25,'02_Debt Engine'!$P$25))-T68))</f>
        <v>0</v>
      </c>
      <c r="U69" s="329">
        <f>IF(U67&lt;=0,0,MIN(U67,IF(AND('02_Debt Engine'!$F$25="Yes",'02_Debt Engine'!$V$25&gt;0,U$4&gt;'02_Debt Engine'!$I$25),'02_Debt Engine'!$W$25,IF('02_Debt Engine'!$D$25="Active",'02_Debt Engine'!$K$25,'02_Debt Engine'!$P$25))-U68))</f>
        <v>0</v>
      </c>
      <c r="V69" s="329">
        <f>IF(V67&lt;=0,0,MIN(V67,IF(AND('02_Debt Engine'!$F$25="Yes",'02_Debt Engine'!$V$25&gt;0,V$4&gt;'02_Debt Engine'!$I$25),'02_Debt Engine'!$W$25,IF('02_Debt Engine'!$D$25="Active",'02_Debt Engine'!$K$25,'02_Debt Engine'!$P$25))-V68))</f>
        <v>0</v>
      </c>
      <c r="W69" s="329">
        <f>IF(W67&lt;=0,0,MIN(W67,IF(AND('02_Debt Engine'!$F$25="Yes",'02_Debt Engine'!$V$25&gt;0,W$4&gt;'02_Debt Engine'!$I$25),'02_Debt Engine'!$W$25,IF('02_Debt Engine'!$D$25="Active",'02_Debt Engine'!$K$25,'02_Debt Engine'!$P$25))-W68))</f>
        <v>0</v>
      </c>
    </row>
    <row r="70" spans="2:23">
      <c r="B70" s="14" t="s">
        <v>533</v>
      </c>
      <c r="C70" s="331">
        <f t="shared" ref="C70:W70" si="19">C67-C69</f>
        <v>419507.76840599993</v>
      </c>
      <c r="D70" s="331">
        <f t="shared" si="19"/>
        <v>190821.31894438431</v>
      </c>
      <c r="E70" s="331">
        <f t="shared" si="19"/>
        <v>0</v>
      </c>
      <c r="F70" s="331">
        <f t="shared" si="19"/>
        <v>0</v>
      </c>
      <c r="G70" s="331">
        <f t="shared" si="19"/>
        <v>0</v>
      </c>
      <c r="H70" s="331">
        <f t="shared" si="19"/>
        <v>0</v>
      </c>
      <c r="I70" s="331">
        <f t="shared" si="19"/>
        <v>0</v>
      </c>
      <c r="J70" s="331">
        <f t="shared" si="19"/>
        <v>0</v>
      </c>
      <c r="K70" s="331">
        <f t="shared" si="19"/>
        <v>0</v>
      </c>
      <c r="L70" s="331">
        <f t="shared" si="19"/>
        <v>0</v>
      </c>
      <c r="M70" s="331">
        <f t="shared" si="19"/>
        <v>0</v>
      </c>
      <c r="N70" s="331">
        <f t="shared" si="19"/>
        <v>0</v>
      </c>
      <c r="O70" s="331">
        <f t="shared" si="19"/>
        <v>0</v>
      </c>
      <c r="P70" s="331">
        <f t="shared" si="19"/>
        <v>0</v>
      </c>
      <c r="Q70" s="331">
        <f t="shared" si="19"/>
        <v>0</v>
      </c>
      <c r="R70" s="331">
        <f t="shared" si="19"/>
        <v>0</v>
      </c>
      <c r="S70" s="331">
        <f t="shared" si="19"/>
        <v>0</v>
      </c>
      <c r="T70" s="331">
        <f t="shared" si="19"/>
        <v>0</v>
      </c>
      <c r="U70" s="331">
        <f t="shared" si="19"/>
        <v>0</v>
      </c>
      <c r="V70" s="331">
        <f t="shared" si="19"/>
        <v>0</v>
      </c>
      <c r="W70" s="331">
        <f t="shared" si="19"/>
        <v>0</v>
      </c>
    </row>
    <row r="71" spans="2:23">
      <c r="B71" s="3" t="s">
        <v>367</v>
      </c>
      <c r="C71" s="328">
        <f>IF(AND('02_Debt Engine'!$F$25="Yes",'02_Debt Engine'!$V$25&gt;0,C$4='02_Debt Engine'!$I$25),-C70,0)</f>
        <v>0</v>
      </c>
      <c r="D71" s="328">
        <f>IF(AND('02_Debt Engine'!$F$25="Yes",'02_Debt Engine'!$V$25&gt;0,D$4='02_Debt Engine'!$I$25),-D70,0)</f>
        <v>0</v>
      </c>
      <c r="E71" s="328">
        <f>IF(AND('02_Debt Engine'!$F$25="Yes",'02_Debt Engine'!$V$25&gt;0,E$4='02_Debt Engine'!$I$25),-E70,0)</f>
        <v>0</v>
      </c>
      <c r="F71" s="328">
        <f>IF(AND('02_Debt Engine'!$F$25="Yes",'02_Debt Engine'!$V$25&gt;0,F$4='02_Debt Engine'!$I$25),-F70,0)</f>
        <v>0</v>
      </c>
      <c r="G71" s="328">
        <f>IF(AND('02_Debt Engine'!$F$25="Yes",'02_Debt Engine'!$V$25&gt;0,G$4='02_Debt Engine'!$I$25),-G70,0)</f>
        <v>0</v>
      </c>
      <c r="H71" s="328">
        <f>IF(AND('02_Debt Engine'!$F$25="Yes",'02_Debt Engine'!$V$25&gt;0,H$4='02_Debt Engine'!$I$25),-H70,0)</f>
        <v>0</v>
      </c>
      <c r="I71" s="328">
        <f>IF(AND('02_Debt Engine'!$F$25="Yes",'02_Debt Engine'!$V$25&gt;0,I$4='02_Debt Engine'!$I$25),-I70,0)</f>
        <v>0</v>
      </c>
      <c r="J71" s="328">
        <f>IF(AND('02_Debt Engine'!$F$25="Yes",'02_Debt Engine'!$V$25&gt;0,J$4='02_Debt Engine'!$I$25),-J70,0)</f>
        <v>0</v>
      </c>
      <c r="K71" s="328">
        <f>IF(AND('02_Debt Engine'!$F$25="Yes",'02_Debt Engine'!$V$25&gt;0,K$4='02_Debt Engine'!$I$25),-K70,0)</f>
        <v>0</v>
      </c>
      <c r="L71" s="328">
        <f>IF(AND('02_Debt Engine'!$F$25="Yes",'02_Debt Engine'!$V$25&gt;0,L$4='02_Debt Engine'!$I$25),-L70,0)</f>
        <v>0</v>
      </c>
      <c r="M71" s="328">
        <f>IF(AND('02_Debt Engine'!$F$25="Yes",'02_Debt Engine'!$V$25&gt;0,M$4='02_Debt Engine'!$I$25),-M70,0)</f>
        <v>0</v>
      </c>
      <c r="N71" s="328">
        <f>IF(AND('02_Debt Engine'!$F$25="Yes",'02_Debt Engine'!$V$25&gt;0,N$4='02_Debt Engine'!$I$25),-N70,0)</f>
        <v>0</v>
      </c>
      <c r="O71" s="328">
        <f>IF(AND('02_Debt Engine'!$F$25="Yes",'02_Debt Engine'!$V$25&gt;0,O$4='02_Debt Engine'!$I$25),-O70,0)</f>
        <v>0</v>
      </c>
      <c r="P71" s="328">
        <f>IF(AND('02_Debt Engine'!$F$25="Yes",'02_Debt Engine'!$V$25&gt;0,P$4='02_Debt Engine'!$I$25),-P70,0)</f>
        <v>0</v>
      </c>
      <c r="Q71" s="328">
        <f>IF(AND('02_Debt Engine'!$F$25="Yes",'02_Debt Engine'!$V$25&gt;0,Q$4='02_Debt Engine'!$I$25),-Q70,0)</f>
        <v>0</v>
      </c>
      <c r="R71" s="328">
        <f>IF(AND('02_Debt Engine'!$F$25="Yes",'02_Debt Engine'!$V$25&gt;0,R$4='02_Debt Engine'!$I$25),-R70,0)</f>
        <v>0</v>
      </c>
      <c r="S71" s="328">
        <f>IF(AND('02_Debt Engine'!$F$25="Yes",'02_Debt Engine'!$V$25&gt;0,S$4='02_Debt Engine'!$I$25),-S70,0)</f>
        <v>0</v>
      </c>
      <c r="T71" s="328">
        <f>IF(AND('02_Debt Engine'!$F$25="Yes",'02_Debt Engine'!$V$25&gt;0,T$4='02_Debt Engine'!$I$25),-T70,0)</f>
        <v>0</v>
      </c>
      <c r="U71" s="328">
        <f>IF(AND('02_Debt Engine'!$F$25="Yes",'02_Debt Engine'!$V$25&gt;0,U$4='02_Debt Engine'!$I$25),-U70,0)</f>
        <v>0</v>
      </c>
      <c r="V71" s="328">
        <f>IF(AND('02_Debt Engine'!$F$25="Yes",'02_Debt Engine'!$V$25&gt;0,V$4='02_Debt Engine'!$I$25),-V70,0)</f>
        <v>0</v>
      </c>
      <c r="W71" s="328">
        <f>IF(AND('02_Debt Engine'!$F$25="Yes",'02_Debt Engine'!$V$25&gt;0,W$4='02_Debt Engine'!$I$25),-W70,0)</f>
        <v>0</v>
      </c>
    </row>
    <row r="72" spans="2:23">
      <c r="B72" s="13" t="s">
        <v>534</v>
      </c>
      <c r="C72" s="329">
        <f>IF(AND('02_Debt Engine'!$F$25="Yes",'02_Debt Engine'!$V$25&gt;0,C$4='02_Debt Engine'!$I$25),'02_Debt Engine'!$V$25,0)</f>
        <v>0</v>
      </c>
      <c r="D72" s="329">
        <f>IF(AND('02_Debt Engine'!$F$25="Yes",'02_Debt Engine'!$V$25&gt;0,D$4='02_Debt Engine'!$I$25),'02_Debt Engine'!$V$25,0)</f>
        <v>0</v>
      </c>
      <c r="E72" s="329">
        <f>IF(AND('02_Debt Engine'!$F$25="Yes",'02_Debt Engine'!$V$25&gt;0,E$4='02_Debt Engine'!$I$25),'02_Debt Engine'!$V$25,0)</f>
        <v>0</v>
      </c>
      <c r="F72" s="329">
        <f>IF(AND('02_Debt Engine'!$F$25="Yes",'02_Debt Engine'!$V$25&gt;0,F$4='02_Debt Engine'!$I$25),'02_Debt Engine'!$V$25,0)</f>
        <v>0</v>
      </c>
      <c r="G72" s="329">
        <f>IF(AND('02_Debt Engine'!$F$25="Yes",'02_Debt Engine'!$V$25&gt;0,G$4='02_Debt Engine'!$I$25),'02_Debt Engine'!$V$25,0)</f>
        <v>0</v>
      </c>
      <c r="H72" s="329">
        <f>IF(AND('02_Debt Engine'!$F$25="Yes",'02_Debt Engine'!$V$25&gt;0,H$4='02_Debt Engine'!$I$25),'02_Debt Engine'!$V$25,0)</f>
        <v>0</v>
      </c>
      <c r="I72" s="329">
        <f>IF(AND('02_Debt Engine'!$F$25="Yes",'02_Debt Engine'!$V$25&gt;0,I$4='02_Debt Engine'!$I$25),'02_Debt Engine'!$V$25,0)</f>
        <v>0</v>
      </c>
      <c r="J72" s="329">
        <f>IF(AND('02_Debt Engine'!$F$25="Yes",'02_Debt Engine'!$V$25&gt;0,J$4='02_Debt Engine'!$I$25),'02_Debt Engine'!$V$25,0)</f>
        <v>0</v>
      </c>
      <c r="K72" s="329">
        <f>IF(AND('02_Debt Engine'!$F$25="Yes",'02_Debt Engine'!$V$25&gt;0,K$4='02_Debt Engine'!$I$25),'02_Debt Engine'!$V$25,0)</f>
        <v>0</v>
      </c>
      <c r="L72" s="329">
        <f>IF(AND('02_Debt Engine'!$F$25="Yes",'02_Debt Engine'!$V$25&gt;0,L$4='02_Debt Engine'!$I$25),'02_Debt Engine'!$V$25,0)</f>
        <v>0</v>
      </c>
      <c r="M72" s="329">
        <f>IF(AND('02_Debt Engine'!$F$25="Yes",'02_Debt Engine'!$V$25&gt;0,M$4='02_Debt Engine'!$I$25),'02_Debt Engine'!$V$25,0)</f>
        <v>0</v>
      </c>
      <c r="N72" s="329">
        <f>IF(AND('02_Debt Engine'!$F$25="Yes",'02_Debt Engine'!$V$25&gt;0,N$4='02_Debt Engine'!$I$25),'02_Debt Engine'!$V$25,0)</f>
        <v>0</v>
      </c>
      <c r="O72" s="329">
        <f>IF(AND('02_Debt Engine'!$F$25="Yes",'02_Debt Engine'!$V$25&gt;0,O$4='02_Debt Engine'!$I$25),'02_Debt Engine'!$V$25,0)</f>
        <v>0</v>
      </c>
      <c r="P72" s="329">
        <f>IF(AND('02_Debt Engine'!$F$25="Yes",'02_Debt Engine'!$V$25&gt;0,P$4='02_Debt Engine'!$I$25),'02_Debt Engine'!$V$25,0)</f>
        <v>0</v>
      </c>
      <c r="Q72" s="329">
        <f>IF(AND('02_Debt Engine'!$F$25="Yes",'02_Debt Engine'!$V$25&gt;0,Q$4='02_Debt Engine'!$I$25),'02_Debt Engine'!$V$25,0)</f>
        <v>0</v>
      </c>
      <c r="R72" s="329">
        <f>IF(AND('02_Debt Engine'!$F$25="Yes",'02_Debt Engine'!$V$25&gt;0,R$4='02_Debt Engine'!$I$25),'02_Debt Engine'!$V$25,0)</f>
        <v>0</v>
      </c>
      <c r="S72" s="329">
        <f>IF(AND('02_Debt Engine'!$F$25="Yes",'02_Debt Engine'!$V$25&gt;0,S$4='02_Debt Engine'!$I$25),'02_Debt Engine'!$V$25,0)</f>
        <v>0</v>
      </c>
      <c r="T72" s="329">
        <f>IF(AND('02_Debt Engine'!$F$25="Yes",'02_Debt Engine'!$V$25&gt;0,T$4='02_Debt Engine'!$I$25),'02_Debt Engine'!$V$25,0)</f>
        <v>0</v>
      </c>
      <c r="U72" s="329">
        <f>IF(AND('02_Debt Engine'!$F$25="Yes",'02_Debt Engine'!$V$25&gt;0,U$4='02_Debt Engine'!$I$25),'02_Debt Engine'!$V$25,0)</f>
        <v>0</v>
      </c>
      <c r="V72" s="329">
        <f>IF(AND('02_Debt Engine'!$F$25="Yes",'02_Debt Engine'!$V$25&gt;0,V$4='02_Debt Engine'!$I$25),'02_Debt Engine'!$V$25,0)</f>
        <v>0</v>
      </c>
      <c r="W72" s="329">
        <f>IF(AND('02_Debt Engine'!$F$25="Yes",'02_Debt Engine'!$V$25&gt;0,W$4='02_Debt Engine'!$I$25),'02_Debt Engine'!$V$25,0)</f>
        <v>0</v>
      </c>
    </row>
    <row r="73" spans="2:23">
      <c r="B73" s="3" t="s">
        <v>535</v>
      </c>
      <c r="C73" s="330">
        <f t="shared" ref="C73:W73" si="20">C71+C72</f>
        <v>0</v>
      </c>
      <c r="D73" s="330">
        <f t="shared" si="20"/>
        <v>0</v>
      </c>
      <c r="E73" s="330">
        <f t="shared" si="20"/>
        <v>0</v>
      </c>
      <c r="F73" s="330">
        <f t="shared" si="20"/>
        <v>0</v>
      </c>
      <c r="G73" s="330">
        <f t="shared" si="20"/>
        <v>0</v>
      </c>
      <c r="H73" s="330">
        <f t="shared" si="20"/>
        <v>0</v>
      </c>
      <c r="I73" s="330">
        <f t="shared" si="20"/>
        <v>0</v>
      </c>
      <c r="J73" s="330">
        <f t="shared" si="20"/>
        <v>0</v>
      </c>
      <c r="K73" s="330">
        <f t="shared" si="20"/>
        <v>0</v>
      </c>
      <c r="L73" s="330">
        <f t="shared" si="20"/>
        <v>0</v>
      </c>
      <c r="M73" s="330">
        <f t="shared" si="20"/>
        <v>0</v>
      </c>
      <c r="N73" s="330">
        <f t="shared" si="20"/>
        <v>0</v>
      </c>
      <c r="O73" s="330">
        <f t="shared" si="20"/>
        <v>0</v>
      </c>
      <c r="P73" s="330">
        <f t="shared" si="20"/>
        <v>0</v>
      </c>
      <c r="Q73" s="330">
        <f t="shared" si="20"/>
        <v>0</v>
      </c>
      <c r="R73" s="330">
        <f t="shared" si="20"/>
        <v>0</v>
      </c>
      <c r="S73" s="330">
        <f t="shared" si="20"/>
        <v>0</v>
      </c>
      <c r="T73" s="330">
        <f t="shared" si="20"/>
        <v>0</v>
      </c>
      <c r="U73" s="330">
        <f t="shared" si="20"/>
        <v>0</v>
      </c>
      <c r="V73" s="330">
        <f t="shared" si="20"/>
        <v>0</v>
      </c>
      <c r="W73" s="330">
        <f t="shared" si="20"/>
        <v>0</v>
      </c>
    </row>
    <row r="74" spans="2:23">
      <c r="B74" s="14" t="s">
        <v>525</v>
      </c>
      <c r="C74" s="328">
        <f t="shared" ref="C74:W74" si="21">C68+C69</f>
        <v>244376.04</v>
      </c>
      <c r="D74" s="328">
        <f t="shared" si="21"/>
        <v>244376.04</v>
      </c>
      <c r="E74" s="328">
        <f t="shared" si="21"/>
        <v>197958.03627290428</v>
      </c>
      <c r="F74" s="328">
        <f t="shared" si="21"/>
        <v>0</v>
      </c>
      <c r="G74" s="328">
        <f t="shared" si="21"/>
        <v>0</v>
      </c>
      <c r="H74" s="328">
        <f t="shared" si="21"/>
        <v>0</v>
      </c>
      <c r="I74" s="328">
        <f t="shared" si="21"/>
        <v>0</v>
      </c>
      <c r="J74" s="328">
        <f t="shared" si="21"/>
        <v>0</v>
      </c>
      <c r="K74" s="328">
        <f t="shared" si="21"/>
        <v>0</v>
      </c>
      <c r="L74" s="328">
        <f t="shared" si="21"/>
        <v>0</v>
      </c>
      <c r="M74" s="328">
        <f t="shared" si="21"/>
        <v>0</v>
      </c>
      <c r="N74" s="328">
        <f t="shared" si="21"/>
        <v>0</v>
      </c>
      <c r="O74" s="328">
        <f t="shared" si="21"/>
        <v>0</v>
      </c>
      <c r="P74" s="328">
        <f t="shared" si="21"/>
        <v>0</v>
      </c>
      <c r="Q74" s="328">
        <f t="shared" si="21"/>
        <v>0</v>
      </c>
      <c r="R74" s="328">
        <f t="shared" si="21"/>
        <v>0</v>
      </c>
      <c r="S74" s="328">
        <f t="shared" si="21"/>
        <v>0</v>
      </c>
      <c r="T74" s="328">
        <f t="shared" si="21"/>
        <v>0</v>
      </c>
      <c r="U74" s="328">
        <f t="shared" si="21"/>
        <v>0</v>
      </c>
      <c r="V74" s="328">
        <f t="shared" si="21"/>
        <v>0</v>
      </c>
      <c r="W74" s="328">
        <f t="shared" si="21"/>
        <v>0</v>
      </c>
    </row>
    <row r="76" spans="2:23">
      <c r="B76" s="327" t="str">
        <f>'02_Debt Engine'!$B$26</f>
        <v>Jessica Place</v>
      </c>
      <c r="C76" s="327" t="str">
        <f>_xlfn.LET(_xlpm.refiyr,INDEX('02_Debt Engine'!$I$19:$I$35,MATCH('02A_Debt Schedule'!$B76,'02_Debt Engine'!$B$19:$B$35,0)),IF(_xlpm.refiyr='02A_Debt Schedule'!C$4,"Refi Yr.",""))</f>
        <v/>
      </c>
      <c r="D76" s="327" t="str">
        <f>_xlfn.LET(_xlpm.refiyr,INDEX('02_Debt Engine'!$I$19:$I$35,MATCH('02A_Debt Schedule'!$B76,'02_Debt Engine'!$B$19:$B$35,0)),IF(_xlpm.refiyr='02A_Debt Schedule'!D$4,"Refi Yr.",""))</f>
        <v>Refi Yr.</v>
      </c>
      <c r="E76" s="327" t="str">
        <f>_xlfn.LET(_xlpm.refiyr,INDEX('02_Debt Engine'!$I$19:$I$35,MATCH('02A_Debt Schedule'!$B76,'02_Debt Engine'!$B$19:$B$35,0)),IF(_xlpm.refiyr='02A_Debt Schedule'!E$4,"Refi Yr.",""))</f>
        <v/>
      </c>
      <c r="F76" s="327" t="str">
        <f>_xlfn.LET(_xlpm.refiyr,INDEX('02_Debt Engine'!$I$19:$I$35,MATCH('02A_Debt Schedule'!$B76,'02_Debt Engine'!$B$19:$B$35,0)),IF(_xlpm.refiyr='02A_Debt Schedule'!F$4,"Refi Yr.",""))</f>
        <v/>
      </c>
      <c r="G76" s="327" t="str">
        <f>_xlfn.LET(_xlpm.refiyr,INDEX('02_Debt Engine'!$I$19:$I$35,MATCH('02A_Debt Schedule'!$B76,'02_Debt Engine'!$B$19:$B$35,0)),IF(_xlpm.refiyr='02A_Debt Schedule'!G$4,"Refi Yr.",""))</f>
        <v/>
      </c>
      <c r="H76" s="327" t="str">
        <f>_xlfn.LET(_xlpm.refiyr,INDEX('02_Debt Engine'!$I$19:$I$35,MATCH('02A_Debt Schedule'!$B76,'02_Debt Engine'!$B$19:$B$35,0)),IF(_xlpm.refiyr='02A_Debt Schedule'!H$4,"Refi Yr.",""))</f>
        <v/>
      </c>
      <c r="I76" s="327" t="str">
        <f>_xlfn.LET(_xlpm.refiyr,INDEX('02_Debt Engine'!$I$19:$I$35,MATCH('02A_Debt Schedule'!$B76,'02_Debt Engine'!$B$19:$B$35,0)),IF(_xlpm.refiyr='02A_Debt Schedule'!I$4,"Refi Yr.",""))</f>
        <v/>
      </c>
      <c r="J76" s="327" t="str">
        <f>_xlfn.LET(_xlpm.refiyr,INDEX('02_Debt Engine'!$I$19:$I$35,MATCH('02A_Debt Schedule'!$B76,'02_Debt Engine'!$B$19:$B$35,0)),IF(_xlpm.refiyr='02A_Debt Schedule'!J$4,"Refi Yr.",""))</f>
        <v/>
      </c>
      <c r="K76" s="327" t="str">
        <f>_xlfn.LET(_xlpm.refiyr,INDEX('02_Debt Engine'!$I$19:$I$35,MATCH('02A_Debt Schedule'!$B76,'02_Debt Engine'!$B$19:$B$35,0)),IF(_xlpm.refiyr='02A_Debt Schedule'!K$4,"Refi Yr.",""))</f>
        <v/>
      </c>
      <c r="L76" s="327" t="str">
        <f>_xlfn.LET(_xlpm.refiyr,INDEX('02_Debt Engine'!$I$19:$I$35,MATCH('02A_Debt Schedule'!$B76,'02_Debt Engine'!$B$19:$B$35,0)),IF(_xlpm.refiyr='02A_Debt Schedule'!L$4,"Refi Yr.",""))</f>
        <v/>
      </c>
      <c r="M76" s="327" t="str">
        <f>_xlfn.LET(_xlpm.refiyr,INDEX('02_Debt Engine'!$I$19:$I$35,MATCH('02A_Debt Schedule'!$B76,'02_Debt Engine'!$B$19:$B$35,0)),IF(_xlpm.refiyr='02A_Debt Schedule'!M$4,"Refi Yr.",""))</f>
        <v/>
      </c>
      <c r="N76" s="327" t="str">
        <f>_xlfn.LET(_xlpm.refiyr,INDEX('02_Debt Engine'!$I$19:$I$35,MATCH('02A_Debt Schedule'!$B76,'02_Debt Engine'!$B$19:$B$35,0)),IF(_xlpm.refiyr='02A_Debt Schedule'!N$4,"Refi Yr.",""))</f>
        <v/>
      </c>
      <c r="O76" s="327" t="str">
        <f>_xlfn.LET(_xlpm.refiyr,INDEX('02_Debt Engine'!$I$19:$I$35,MATCH('02A_Debt Schedule'!$B76,'02_Debt Engine'!$B$19:$B$35,0)),IF(_xlpm.refiyr='02A_Debt Schedule'!O$4,"Refi Yr.",""))</f>
        <v/>
      </c>
      <c r="P76" s="327" t="str">
        <f>_xlfn.LET(_xlpm.refiyr,INDEX('02_Debt Engine'!$I$19:$I$35,MATCH('02A_Debt Schedule'!$B76,'02_Debt Engine'!$B$19:$B$35,0)),IF(_xlpm.refiyr='02A_Debt Schedule'!P$4,"Refi Yr.",""))</f>
        <v/>
      </c>
      <c r="Q76" s="327" t="str">
        <f>_xlfn.LET(_xlpm.refiyr,INDEX('02_Debt Engine'!$I$19:$I$35,MATCH('02A_Debt Schedule'!$B76,'02_Debt Engine'!$B$19:$B$35,0)),IF(_xlpm.refiyr='02A_Debt Schedule'!Q$4,"Refi Yr.",""))</f>
        <v/>
      </c>
      <c r="R76" s="327" t="str">
        <f>_xlfn.LET(_xlpm.refiyr,INDEX('02_Debt Engine'!$I$19:$I$35,MATCH('02A_Debt Schedule'!$B76,'02_Debt Engine'!$B$19:$B$35,0)),IF(_xlpm.refiyr='02A_Debt Schedule'!R$4,"Refi Yr.",""))</f>
        <v/>
      </c>
      <c r="S76" s="327" t="str">
        <f>_xlfn.LET(_xlpm.refiyr,INDEX('02_Debt Engine'!$I$19:$I$35,MATCH('02A_Debt Schedule'!$B76,'02_Debt Engine'!$B$19:$B$35,0)),IF(_xlpm.refiyr='02A_Debt Schedule'!S$4,"Refi Yr.",""))</f>
        <v/>
      </c>
      <c r="T76" s="327" t="str">
        <f>_xlfn.LET(_xlpm.refiyr,INDEX('02_Debt Engine'!$I$19:$I$35,MATCH('02A_Debt Schedule'!$B76,'02_Debt Engine'!$B$19:$B$35,0)),IF(_xlpm.refiyr='02A_Debt Schedule'!T$4,"Refi Yr.",""))</f>
        <v/>
      </c>
      <c r="U76" s="327" t="str">
        <f>_xlfn.LET(_xlpm.refiyr,INDEX('02_Debt Engine'!$I$19:$I$35,MATCH('02A_Debt Schedule'!$B76,'02_Debt Engine'!$B$19:$B$35,0)),IF(_xlpm.refiyr='02A_Debt Schedule'!U$4,"Refi Yr.",""))</f>
        <v/>
      </c>
      <c r="V76" s="327" t="str">
        <f>_xlfn.LET(_xlpm.refiyr,INDEX('02_Debt Engine'!$I$19:$I$35,MATCH('02A_Debt Schedule'!$B76,'02_Debt Engine'!$B$19:$B$35,0)),IF(_xlpm.refiyr='02A_Debt Schedule'!V$4,"Refi Yr.",""))</f>
        <v/>
      </c>
      <c r="W76" s="327" t="str">
        <f>_xlfn.LET(_xlpm.refiyr,INDEX('02_Debt Engine'!$I$19:$I$35,MATCH('02A_Debt Schedule'!$B76,'02_Debt Engine'!$B$19:$B$35,0)),IF(_xlpm.refiyr='02A_Debt Schedule'!W$4,"Refi Yr.",""))</f>
        <v/>
      </c>
    </row>
    <row r="77" spans="2:23">
      <c r="B77" s="3" t="s">
        <v>531</v>
      </c>
      <c r="C77" s="328">
        <f>IF('02_Debt Engine'!$D$26="Active",'02_Debt Engine'!$N$26,'02_Debt Engine'!$O$26)</f>
        <v>176698.83</v>
      </c>
      <c r="D77" s="328">
        <f>IF(AND('02_Debt Engine'!$F$26="Yes",'02_Debt Engine'!$V$26&gt;0,C$4='02_Debt Engine'!$I$26),'02_Debt Engine'!$V$26,C80)</f>
        <v>1784.6581829999923</v>
      </c>
      <c r="E77" s="328">
        <f>IF(AND('02_Debt Engine'!$F$26="Yes",'02_Debt Engine'!$V$26&gt;0,D$4='02_Debt Engine'!$I$26),'02_Debt Engine'!$V$26,D80)</f>
        <v>0</v>
      </c>
      <c r="F77" s="328">
        <f>IF(AND('02_Debt Engine'!$F$26="Yes",'02_Debt Engine'!$V$26&gt;0,E$4='02_Debt Engine'!$I$26),'02_Debt Engine'!$V$26,E80)</f>
        <v>0</v>
      </c>
      <c r="G77" s="328">
        <f>IF(AND('02_Debt Engine'!$F$26="Yes",'02_Debt Engine'!$V$26&gt;0,F$4='02_Debt Engine'!$I$26),'02_Debt Engine'!$V$26,F80)</f>
        <v>0</v>
      </c>
      <c r="H77" s="328">
        <f>IF(AND('02_Debt Engine'!$F$26="Yes",'02_Debt Engine'!$V$26&gt;0,G$4='02_Debt Engine'!$I$26),'02_Debt Engine'!$V$26,G80)</f>
        <v>0</v>
      </c>
      <c r="I77" s="328">
        <f>IF(AND('02_Debt Engine'!$F$26="Yes",'02_Debt Engine'!$V$26&gt;0,H$4='02_Debt Engine'!$I$26),'02_Debt Engine'!$V$26,H80)</f>
        <v>0</v>
      </c>
      <c r="J77" s="328">
        <f>IF(AND('02_Debt Engine'!$F$26="Yes",'02_Debt Engine'!$V$26&gt;0,I$4='02_Debt Engine'!$I$26),'02_Debt Engine'!$V$26,I80)</f>
        <v>0</v>
      </c>
      <c r="K77" s="328">
        <f>IF(AND('02_Debt Engine'!$F$26="Yes",'02_Debt Engine'!$V$26&gt;0,J$4='02_Debt Engine'!$I$26),'02_Debt Engine'!$V$26,J80)</f>
        <v>0</v>
      </c>
      <c r="L77" s="328">
        <f>IF(AND('02_Debt Engine'!$F$26="Yes",'02_Debt Engine'!$V$26&gt;0,K$4='02_Debt Engine'!$I$26),'02_Debt Engine'!$V$26,K80)</f>
        <v>0</v>
      </c>
      <c r="M77" s="328">
        <f>IF(AND('02_Debt Engine'!$F$26="Yes",'02_Debt Engine'!$V$26&gt;0,L$4='02_Debt Engine'!$I$26),'02_Debt Engine'!$V$26,L80)</f>
        <v>0</v>
      </c>
      <c r="N77" s="328">
        <f>IF(AND('02_Debt Engine'!$F$26="Yes",'02_Debt Engine'!$V$26&gt;0,M$4='02_Debt Engine'!$I$26),'02_Debt Engine'!$V$26,M80)</f>
        <v>0</v>
      </c>
      <c r="O77" s="328">
        <f>IF(AND('02_Debt Engine'!$F$26="Yes",'02_Debt Engine'!$V$26&gt;0,N$4='02_Debt Engine'!$I$26),'02_Debt Engine'!$V$26,N80)</f>
        <v>0</v>
      </c>
      <c r="P77" s="328">
        <f>IF(AND('02_Debt Engine'!$F$26="Yes",'02_Debt Engine'!$V$26&gt;0,O$4='02_Debt Engine'!$I$26),'02_Debt Engine'!$V$26,O80)</f>
        <v>0</v>
      </c>
      <c r="Q77" s="328">
        <f>IF(AND('02_Debt Engine'!$F$26="Yes",'02_Debt Engine'!$V$26&gt;0,P$4='02_Debt Engine'!$I$26),'02_Debt Engine'!$V$26,P80)</f>
        <v>0</v>
      </c>
      <c r="R77" s="328">
        <f>IF(AND('02_Debt Engine'!$F$26="Yes",'02_Debt Engine'!$V$26&gt;0,Q$4='02_Debt Engine'!$I$26),'02_Debt Engine'!$V$26,Q80)</f>
        <v>0</v>
      </c>
      <c r="S77" s="328">
        <f>IF(AND('02_Debt Engine'!$F$26="Yes",'02_Debt Engine'!$V$26&gt;0,R$4='02_Debt Engine'!$I$26),'02_Debt Engine'!$V$26,R80)</f>
        <v>0</v>
      </c>
      <c r="T77" s="328">
        <f>IF(AND('02_Debt Engine'!$F$26="Yes",'02_Debt Engine'!$V$26&gt;0,S$4='02_Debt Engine'!$I$26),'02_Debt Engine'!$V$26,S80)</f>
        <v>0</v>
      </c>
      <c r="U77" s="328">
        <f>IF(AND('02_Debt Engine'!$F$26="Yes",'02_Debt Engine'!$V$26&gt;0,T$4='02_Debt Engine'!$I$26),'02_Debt Engine'!$V$26,T80)</f>
        <v>0</v>
      </c>
      <c r="V77" s="328">
        <f>IF(AND('02_Debt Engine'!$F$26="Yes",'02_Debt Engine'!$V$26&gt;0,U$4='02_Debt Engine'!$I$26),'02_Debt Engine'!$V$26,U80)</f>
        <v>0</v>
      </c>
      <c r="W77" s="328">
        <f>IF(AND('02_Debt Engine'!$F$26="Yes",'02_Debt Engine'!$V$26&gt;0,V$4='02_Debt Engine'!$I$26),'02_Debt Engine'!$V$26,V80)</f>
        <v>0</v>
      </c>
    </row>
    <row r="78" spans="2:23">
      <c r="B78" s="3" t="s">
        <v>514</v>
      </c>
      <c r="C78" s="328">
        <f>IF(C77&lt;=0,0,C77*IF(AND('02_Debt Engine'!$F$26="Yes",'02_Debt Engine'!$V$26&gt;0,C$4&gt;'02_Debt Engine'!$I$26),'02_Debt Engine'!$C$13,IF('02_Debt Engine'!$D$26="Active",'02_Debt Engine'!$H$26,'02_Debt Engine'!$C$7)))</f>
        <v>1784.6581829999998</v>
      </c>
      <c r="D78" s="328">
        <f>IF(D77&lt;=0,0,D77*IF(AND('02_Debt Engine'!$F$26="Yes",'02_Debt Engine'!$V$26&gt;0,D$4&gt;'02_Debt Engine'!$I$26),'02_Debt Engine'!$C$13,IF('02_Debt Engine'!$D$26="Active",'02_Debt Engine'!$H$26,'02_Debt Engine'!$C$7)))</f>
        <v>18.025047648299921</v>
      </c>
      <c r="E78" s="328">
        <f>IF(E77&lt;=0,0,E77*IF(AND('02_Debt Engine'!$F$26="Yes",'02_Debt Engine'!$V$26&gt;0,E$4&gt;'02_Debt Engine'!$I$26),'02_Debt Engine'!$C$13,IF('02_Debt Engine'!$D$26="Active",'02_Debt Engine'!$H$26,'02_Debt Engine'!$C$7)))</f>
        <v>0</v>
      </c>
      <c r="F78" s="328">
        <f>IF(F77&lt;=0,0,F77*IF(AND('02_Debt Engine'!$F$26="Yes",'02_Debt Engine'!$V$26&gt;0,F$4&gt;'02_Debt Engine'!$I$26),'02_Debt Engine'!$C$13,IF('02_Debt Engine'!$D$26="Active",'02_Debt Engine'!$H$26,'02_Debt Engine'!$C$7)))</f>
        <v>0</v>
      </c>
      <c r="G78" s="328">
        <f>IF(G77&lt;=0,0,G77*IF(AND('02_Debt Engine'!$F$26="Yes",'02_Debt Engine'!$V$26&gt;0,G$4&gt;'02_Debt Engine'!$I$26),'02_Debt Engine'!$C$13,IF('02_Debt Engine'!$D$26="Active",'02_Debt Engine'!$H$26,'02_Debt Engine'!$C$7)))</f>
        <v>0</v>
      </c>
      <c r="H78" s="328">
        <f>IF(H77&lt;=0,0,H77*IF(AND('02_Debt Engine'!$F$26="Yes",'02_Debt Engine'!$V$26&gt;0,H$4&gt;'02_Debt Engine'!$I$26),'02_Debt Engine'!$C$13,IF('02_Debt Engine'!$D$26="Active",'02_Debt Engine'!$H$26,'02_Debt Engine'!$C$7)))</f>
        <v>0</v>
      </c>
      <c r="I78" s="328">
        <f>IF(I77&lt;=0,0,I77*IF(AND('02_Debt Engine'!$F$26="Yes",'02_Debt Engine'!$V$26&gt;0,I$4&gt;'02_Debt Engine'!$I$26),'02_Debt Engine'!$C$13,IF('02_Debt Engine'!$D$26="Active",'02_Debt Engine'!$H$26,'02_Debt Engine'!$C$7)))</f>
        <v>0</v>
      </c>
      <c r="J78" s="328">
        <f>IF(J77&lt;=0,0,J77*IF(AND('02_Debt Engine'!$F$26="Yes",'02_Debt Engine'!$V$26&gt;0,J$4&gt;'02_Debt Engine'!$I$26),'02_Debt Engine'!$C$13,IF('02_Debt Engine'!$D$26="Active",'02_Debt Engine'!$H$26,'02_Debt Engine'!$C$7)))</f>
        <v>0</v>
      </c>
      <c r="K78" s="328">
        <f>IF(K77&lt;=0,0,K77*IF(AND('02_Debt Engine'!$F$26="Yes",'02_Debt Engine'!$V$26&gt;0,K$4&gt;'02_Debt Engine'!$I$26),'02_Debt Engine'!$C$13,IF('02_Debt Engine'!$D$26="Active",'02_Debt Engine'!$H$26,'02_Debt Engine'!$C$7)))</f>
        <v>0</v>
      </c>
      <c r="L78" s="328">
        <f>IF(L77&lt;=0,0,L77*IF(AND('02_Debt Engine'!$F$26="Yes",'02_Debt Engine'!$V$26&gt;0,L$4&gt;'02_Debt Engine'!$I$26),'02_Debt Engine'!$C$13,IF('02_Debt Engine'!$D$26="Active",'02_Debt Engine'!$H$26,'02_Debt Engine'!$C$7)))</f>
        <v>0</v>
      </c>
      <c r="M78" s="328">
        <f>IF(M77&lt;=0,0,M77*IF(AND('02_Debt Engine'!$F$26="Yes",'02_Debt Engine'!$V$26&gt;0,M$4&gt;'02_Debt Engine'!$I$26),'02_Debt Engine'!$C$13,IF('02_Debt Engine'!$D$26="Active",'02_Debt Engine'!$H$26,'02_Debt Engine'!$C$7)))</f>
        <v>0</v>
      </c>
      <c r="N78" s="328">
        <f>IF(N77&lt;=0,0,N77*IF(AND('02_Debt Engine'!$F$26="Yes",'02_Debt Engine'!$V$26&gt;0,N$4&gt;'02_Debt Engine'!$I$26),'02_Debt Engine'!$C$13,IF('02_Debt Engine'!$D$26="Active",'02_Debt Engine'!$H$26,'02_Debt Engine'!$C$7)))</f>
        <v>0</v>
      </c>
      <c r="O78" s="328">
        <f>IF(O77&lt;=0,0,O77*IF(AND('02_Debt Engine'!$F$26="Yes",'02_Debt Engine'!$V$26&gt;0,O$4&gt;'02_Debt Engine'!$I$26),'02_Debt Engine'!$C$13,IF('02_Debt Engine'!$D$26="Active",'02_Debt Engine'!$H$26,'02_Debt Engine'!$C$7)))</f>
        <v>0</v>
      </c>
      <c r="P78" s="328">
        <f>IF(P77&lt;=0,0,P77*IF(AND('02_Debt Engine'!$F$26="Yes",'02_Debt Engine'!$V$26&gt;0,P$4&gt;'02_Debt Engine'!$I$26),'02_Debt Engine'!$C$13,IF('02_Debt Engine'!$D$26="Active",'02_Debt Engine'!$H$26,'02_Debt Engine'!$C$7)))</f>
        <v>0</v>
      </c>
      <c r="Q78" s="328">
        <f>IF(Q77&lt;=0,0,Q77*IF(AND('02_Debt Engine'!$F$26="Yes",'02_Debt Engine'!$V$26&gt;0,Q$4&gt;'02_Debt Engine'!$I$26),'02_Debt Engine'!$C$13,IF('02_Debt Engine'!$D$26="Active",'02_Debt Engine'!$H$26,'02_Debt Engine'!$C$7)))</f>
        <v>0</v>
      </c>
      <c r="R78" s="328">
        <f>IF(R77&lt;=0,0,R77*IF(AND('02_Debt Engine'!$F$26="Yes",'02_Debt Engine'!$V$26&gt;0,R$4&gt;'02_Debt Engine'!$I$26),'02_Debt Engine'!$C$13,IF('02_Debt Engine'!$D$26="Active",'02_Debt Engine'!$H$26,'02_Debt Engine'!$C$7)))</f>
        <v>0</v>
      </c>
      <c r="S78" s="328">
        <f>IF(S77&lt;=0,0,S77*IF(AND('02_Debt Engine'!$F$26="Yes",'02_Debt Engine'!$V$26&gt;0,S$4&gt;'02_Debt Engine'!$I$26),'02_Debt Engine'!$C$13,IF('02_Debt Engine'!$D$26="Active",'02_Debt Engine'!$H$26,'02_Debt Engine'!$C$7)))</f>
        <v>0</v>
      </c>
      <c r="T78" s="328">
        <f>IF(T77&lt;=0,0,T77*IF(AND('02_Debt Engine'!$F$26="Yes",'02_Debt Engine'!$V$26&gt;0,T$4&gt;'02_Debt Engine'!$I$26),'02_Debt Engine'!$C$13,IF('02_Debt Engine'!$D$26="Active",'02_Debt Engine'!$H$26,'02_Debt Engine'!$C$7)))</f>
        <v>0</v>
      </c>
      <c r="U78" s="328">
        <f>IF(U77&lt;=0,0,U77*IF(AND('02_Debt Engine'!$F$26="Yes",'02_Debt Engine'!$V$26&gt;0,U$4&gt;'02_Debt Engine'!$I$26),'02_Debt Engine'!$C$13,IF('02_Debt Engine'!$D$26="Active",'02_Debt Engine'!$H$26,'02_Debt Engine'!$C$7)))</f>
        <v>0</v>
      </c>
      <c r="V78" s="328">
        <f>IF(V77&lt;=0,0,V77*IF(AND('02_Debt Engine'!$F$26="Yes",'02_Debt Engine'!$V$26&gt;0,V$4&gt;'02_Debt Engine'!$I$26),'02_Debt Engine'!$C$13,IF('02_Debt Engine'!$D$26="Active",'02_Debt Engine'!$H$26,'02_Debt Engine'!$C$7)))</f>
        <v>0</v>
      </c>
      <c r="W78" s="328">
        <f>IF(W77&lt;=0,0,W77*IF(AND('02_Debt Engine'!$F$26="Yes",'02_Debt Engine'!$V$26&gt;0,W$4&gt;'02_Debt Engine'!$I$26),'02_Debt Engine'!$C$13,IF('02_Debt Engine'!$D$26="Active",'02_Debt Engine'!$H$26,'02_Debt Engine'!$C$7)))</f>
        <v>0</v>
      </c>
    </row>
    <row r="79" spans="2:23">
      <c r="B79" s="13" t="s">
        <v>532</v>
      </c>
      <c r="C79" s="329">
        <f>IF(C77&lt;=0,0,MIN(C77,IF(AND('02_Debt Engine'!$F$26="Yes",'02_Debt Engine'!$V$26&gt;0,C$4&gt;'02_Debt Engine'!$I$26),'02_Debt Engine'!$W$26,IF('02_Debt Engine'!$D$26="Active",'02_Debt Engine'!$K$26,'02_Debt Engine'!$P$26))-C78))</f>
        <v>174914.17181699999</v>
      </c>
      <c r="D79" s="329">
        <f>IF(D77&lt;=0,0,MIN(D77,IF(AND('02_Debt Engine'!$F$26="Yes",'02_Debt Engine'!$V$26&gt;0,D$4&gt;'02_Debt Engine'!$I$26),'02_Debt Engine'!$W$26,IF('02_Debt Engine'!$D$26="Active",'02_Debt Engine'!$K$26,'02_Debt Engine'!$P$26))-D78))</f>
        <v>1784.6581829999923</v>
      </c>
      <c r="E79" s="329">
        <f>IF(E77&lt;=0,0,MIN(E77,IF(AND('02_Debt Engine'!$F$26="Yes",'02_Debt Engine'!$V$26&gt;0,E$4&gt;'02_Debt Engine'!$I$26),'02_Debt Engine'!$W$26,IF('02_Debt Engine'!$D$26="Active",'02_Debt Engine'!$K$26,'02_Debt Engine'!$P$26))-E78))</f>
        <v>0</v>
      </c>
      <c r="F79" s="329">
        <f>IF(F77&lt;=0,0,MIN(F77,IF(AND('02_Debt Engine'!$F$26="Yes",'02_Debt Engine'!$V$26&gt;0,F$4&gt;'02_Debt Engine'!$I$26),'02_Debt Engine'!$W$26,IF('02_Debt Engine'!$D$26="Active",'02_Debt Engine'!$K$26,'02_Debt Engine'!$P$26))-F78))</f>
        <v>0</v>
      </c>
      <c r="G79" s="329">
        <f>IF(G77&lt;=0,0,MIN(G77,IF(AND('02_Debt Engine'!$F$26="Yes",'02_Debt Engine'!$V$26&gt;0,G$4&gt;'02_Debt Engine'!$I$26),'02_Debt Engine'!$W$26,IF('02_Debt Engine'!$D$26="Active",'02_Debt Engine'!$K$26,'02_Debt Engine'!$P$26))-G78))</f>
        <v>0</v>
      </c>
      <c r="H79" s="329">
        <f>IF(H77&lt;=0,0,MIN(H77,IF(AND('02_Debt Engine'!$F$26="Yes",'02_Debt Engine'!$V$26&gt;0,H$4&gt;'02_Debt Engine'!$I$26),'02_Debt Engine'!$W$26,IF('02_Debt Engine'!$D$26="Active",'02_Debt Engine'!$K$26,'02_Debt Engine'!$P$26))-H78))</f>
        <v>0</v>
      </c>
      <c r="I79" s="329">
        <f>IF(I77&lt;=0,0,MIN(I77,IF(AND('02_Debt Engine'!$F$26="Yes",'02_Debt Engine'!$V$26&gt;0,I$4&gt;'02_Debt Engine'!$I$26),'02_Debt Engine'!$W$26,IF('02_Debt Engine'!$D$26="Active",'02_Debt Engine'!$K$26,'02_Debt Engine'!$P$26))-I78))</f>
        <v>0</v>
      </c>
      <c r="J79" s="329">
        <f>IF(J77&lt;=0,0,MIN(J77,IF(AND('02_Debt Engine'!$F$26="Yes",'02_Debt Engine'!$V$26&gt;0,J$4&gt;'02_Debt Engine'!$I$26),'02_Debt Engine'!$W$26,IF('02_Debt Engine'!$D$26="Active",'02_Debt Engine'!$K$26,'02_Debt Engine'!$P$26))-J78))</f>
        <v>0</v>
      </c>
      <c r="K79" s="329">
        <f>IF(K77&lt;=0,0,MIN(K77,IF(AND('02_Debt Engine'!$F$26="Yes",'02_Debt Engine'!$V$26&gt;0,K$4&gt;'02_Debt Engine'!$I$26),'02_Debt Engine'!$W$26,IF('02_Debt Engine'!$D$26="Active",'02_Debt Engine'!$K$26,'02_Debt Engine'!$P$26))-K78))</f>
        <v>0</v>
      </c>
      <c r="L79" s="329">
        <f>IF(L77&lt;=0,0,MIN(L77,IF(AND('02_Debt Engine'!$F$26="Yes",'02_Debt Engine'!$V$26&gt;0,L$4&gt;'02_Debt Engine'!$I$26),'02_Debt Engine'!$W$26,IF('02_Debt Engine'!$D$26="Active",'02_Debt Engine'!$K$26,'02_Debt Engine'!$P$26))-L78))</f>
        <v>0</v>
      </c>
      <c r="M79" s="329">
        <f>IF(M77&lt;=0,0,MIN(M77,IF(AND('02_Debt Engine'!$F$26="Yes",'02_Debt Engine'!$V$26&gt;0,M$4&gt;'02_Debt Engine'!$I$26),'02_Debt Engine'!$W$26,IF('02_Debt Engine'!$D$26="Active",'02_Debt Engine'!$K$26,'02_Debt Engine'!$P$26))-M78))</f>
        <v>0</v>
      </c>
      <c r="N79" s="329">
        <f>IF(N77&lt;=0,0,MIN(N77,IF(AND('02_Debt Engine'!$F$26="Yes",'02_Debt Engine'!$V$26&gt;0,N$4&gt;'02_Debt Engine'!$I$26),'02_Debt Engine'!$W$26,IF('02_Debt Engine'!$D$26="Active",'02_Debt Engine'!$K$26,'02_Debt Engine'!$P$26))-N78))</f>
        <v>0</v>
      </c>
      <c r="O79" s="329">
        <f>IF(O77&lt;=0,0,MIN(O77,IF(AND('02_Debt Engine'!$F$26="Yes",'02_Debt Engine'!$V$26&gt;0,O$4&gt;'02_Debt Engine'!$I$26),'02_Debt Engine'!$W$26,IF('02_Debt Engine'!$D$26="Active",'02_Debt Engine'!$K$26,'02_Debt Engine'!$P$26))-O78))</f>
        <v>0</v>
      </c>
      <c r="P79" s="329">
        <f>IF(P77&lt;=0,0,MIN(P77,IF(AND('02_Debt Engine'!$F$26="Yes",'02_Debt Engine'!$V$26&gt;0,P$4&gt;'02_Debt Engine'!$I$26),'02_Debt Engine'!$W$26,IF('02_Debt Engine'!$D$26="Active",'02_Debt Engine'!$K$26,'02_Debt Engine'!$P$26))-P78))</f>
        <v>0</v>
      </c>
      <c r="Q79" s="329">
        <f>IF(Q77&lt;=0,0,MIN(Q77,IF(AND('02_Debt Engine'!$F$26="Yes",'02_Debt Engine'!$V$26&gt;0,Q$4&gt;'02_Debt Engine'!$I$26),'02_Debt Engine'!$W$26,IF('02_Debt Engine'!$D$26="Active",'02_Debt Engine'!$K$26,'02_Debt Engine'!$P$26))-Q78))</f>
        <v>0</v>
      </c>
      <c r="R79" s="329">
        <f>IF(R77&lt;=0,0,MIN(R77,IF(AND('02_Debt Engine'!$F$26="Yes",'02_Debt Engine'!$V$26&gt;0,R$4&gt;'02_Debt Engine'!$I$26),'02_Debt Engine'!$W$26,IF('02_Debt Engine'!$D$26="Active",'02_Debt Engine'!$K$26,'02_Debt Engine'!$P$26))-R78))</f>
        <v>0</v>
      </c>
      <c r="S79" s="329">
        <f>IF(S77&lt;=0,0,MIN(S77,IF(AND('02_Debt Engine'!$F$26="Yes",'02_Debt Engine'!$V$26&gt;0,S$4&gt;'02_Debt Engine'!$I$26),'02_Debt Engine'!$W$26,IF('02_Debt Engine'!$D$26="Active",'02_Debt Engine'!$K$26,'02_Debt Engine'!$P$26))-S78))</f>
        <v>0</v>
      </c>
      <c r="T79" s="329">
        <f>IF(T77&lt;=0,0,MIN(T77,IF(AND('02_Debt Engine'!$F$26="Yes",'02_Debt Engine'!$V$26&gt;0,T$4&gt;'02_Debt Engine'!$I$26),'02_Debt Engine'!$W$26,IF('02_Debt Engine'!$D$26="Active",'02_Debt Engine'!$K$26,'02_Debt Engine'!$P$26))-T78))</f>
        <v>0</v>
      </c>
      <c r="U79" s="329">
        <f>IF(U77&lt;=0,0,MIN(U77,IF(AND('02_Debt Engine'!$F$26="Yes",'02_Debt Engine'!$V$26&gt;0,U$4&gt;'02_Debt Engine'!$I$26),'02_Debt Engine'!$W$26,IF('02_Debt Engine'!$D$26="Active",'02_Debt Engine'!$K$26,'02_Debt Engine'!$P$26))-U78))</f>
        <v>0</v>
      </c>
      <c r="V79" s="329">
        <f>IF(V77&lt;=0,0,MIN(V77,IF(AND('02_Debt Engine'!$F$26="Yes",'02_Debt Engine'!$V$26&gt;0,V$4&gt;'02_Debt Engine'!$I$26),'02_Debt Engine'!$W$26,IF('02_Debt Engine'!$D$26="Active",'02_Debt Engine'!$K$26,'02_Debt Engine'!$P$26))-V78))</f>
        <v>0</v>
      </c>
      <c r="W79" s="329">
        <f>IF(W77&lt;=0,0,MIN(W77,IF(AND('02_Debt Engine'!$F$26="Yes",'02_Debt Engine'!$V$26&gt;0,W$4&gt;'02_Debt Engine'!$I$26),'02_Debt Engine'!$W$26,IF('02_Debt Engine'!$D$26="Active",'02_Debt Engine'!$K$26,'02_Debt Engine'!$P$26))-W78))</f>
        <v>0</v>
      </c>
    </row>
    <row r="80" spans="2:23">
      <c r="B80" s="14" t="s">
        <v>533</v>
      </c>
      <c r="C80" s="331">
        <f t="shared" ref="C80:W80" si="22">C77-C79</f>
        <v>1784.6581829999923</v>
      </c>
      <c r="D80" s="331">
        <f t="shared" si="22"/>
        <v>0</v>
      </c>
      <c r="E80" s="331">
        <f t="shared" si="22"/>
        <v>0</v>
      </c>
      <c r="F80" s="331">
        <f t="shared" si="22"/>
        <v>0</v>
      </c>
      <c r="G80" s="331">
        <f t="shared" si="22"/>
        <v>0</v>
      </c>
      <c r="H80" s="331">
        <f t="shared" si="22"/>
        <v>0</v>
      </c>
      <c r="I80" s="331">
        <f t="shared" si="22"/>
        <v>0</v>
      </c>
      <c r="J80" s="331">
        <f t="shared" si="22"/>
        <v>0</v>
      </c>
      <c r="K80" s="331">
        <f t="shared" si="22"/>
        <v>0</v>
      </c>
      <c r="L80" s="331">
        <f t="shared" si="22"/>
        <v>0</v>
      </c>
      <c r="M80" s="331">
        <f t="shared" si="22"/>
        <v>0</v>
      </c>
      <c r="N80" s="331">
        <f t="shared" si="22"/>
        <v>0</v>
      </c>
      <c r="O80" s="331">
        <f t="shared" si="22"/>
        <v>0</v>
      </c>
      <c r="P80" s="331">
        <f t="shared" si="22"/>
        <v>0</v>
      </c>
      <c r="Q80" s="331">
        <f t="shared" si="22"/>
        <v>0</v>
      </c>
      <c r="R80" s="331">
        <f t="shared" si="22"/>
        <v>0</v>
      </c>
      <c r="S80" s="331">
        <f t="shared" si="22"/>
        <v>0</v>
      </c>
      <c r="T80" s="331">
        <f t="shared" si="22"/>
        <v>0</v>
      </c>
      <c r="U80" s="331">
        <f t="shared" si="22"/>
        <v>0</v>
      </c>
      <c r="V80" s="331">
        <f t="shared" si="22"/>
        <v>0</v>
      </c>
      <c r="W80" s="331">
        <f t="shared" si="22"/>
        <v>0</v>
      </c>
    </row>
    <row r="81" spans="2:23">
      <c r="B81" s="3" t="s">
        <v>367</v>
      </c>
      <c r="C81" s="328">
        <f>IF(AND('02_Debt Engine'!$F$26="Yes",'02_Debt Engine'!$V$26&gt;0,C$4='02_Debt Engine'!$I$26),-C80,0)</f>
        <v>0</v>
      </c>
      <c r="D81" s="328">
        <f>IF(AND('02_Debt Engine'!$F$26="Yes",'02_Debt Engine'!$V$26&gt;0,D$4='02_Debt Engine'!$I$26),-D80,0)</f>
        <v>0</v>
      </c>
      <c r="E81" s="328">
        <f>IF(AND('02_Debt Engine'!$F$26="Yes",'02_Debt Engine'!$V$26&gt;0,E$4='02_Debt Engine'!$I$26),-E80,0)</f>
        <v>0</v>
      </c>
      <c r="F81" s="328">
        <f>IF(AND('02_Debt Engine'!$F$26="Yes",'02_Debt Engine'!$V$26&gt;0,F$4='02_Debt Engine'!$I$26),-F80,0)</f>
        <v>0</v>
      </c>
      <c r="G81" s="328">
        <f>IF(AND('02_Debt Engine'!$F$26="Yes",'02_Debt Engine'!$V$26&gt;0,G$4='02_Debt Engine'!$I$26),-G80,0)</f>
        <v>0</v>
      </c>
      <c r="H81" s="328">
        <f>IF(AND('02_Debt Engine'!$F$26="Yes",'02_Debt Engine'!$V$26&gt;0,H$4='02_Debt Engine'!$I$26),-H80,0)</f>
        <v>0</v>
      </c>
      <c r="I81" s="328">
        <f>IF(AND('02_Debt Engine'!$F$26="Yes",'02_Debt Engine'!$V$26&gt;0,I$4='02_Debt Engine'!$I$26),-I80,0)</f>
        <v>0</v>
      </c>
      <c r="J81" s="328">
        <f>IF(AND('02_Debt Engine'!$F$26="Yes",'02_Debt Engine'!$V$26&gt;0,J$4='02_Debt Engine'!$I$26),-J80,0)</f>
        <v>0</v>
      </c>
      <c r="K81" s="328">
        <f>IF(AND('02_Debt Engine'!$F$26="Yes",'02_Debt Engine'!$V$26&gt;0,K$4='02_Debt Engine'!$I$26),-K80,0)</f>
        <v>0</v>
      </c>
      <c r="L81" s="328">
        <f>IF(AND('02_Debt Engine'!$F$26="Yes",'02_Debt Engine'!$V$26&gt;0,L$4='02_Debt Engine'!$I$26),-L80,0)</f>
        <v>0</v>
      </c>
      <c r="M81" s="328">
        <f>IF(AND('02_Debt Engine'!$F$26="Yes",'02_Debt Engine'!$V$26&gt;0,M$4='02_Debt Engine'!$I$26),-M80,0)</f>
        <v>0</v>
      </c>
      <c r="N81" s="328">
        <f>IF(AND('02_Debt Engine'!$F$26="Yes",'02_Debt Engine'!$V$26&gt;0,N$4='02_Debt Engine'!$I$26),-N80,0)</f>
        <v>0</v>
      </c>
      <c r="O81" s="328">
        <f>IF(AND('02_Debt Engine'!$F$26="Yes",'02_Debt Engine'!$V$26&gt;0,O$4='02_Debt Engine'!$I$26),-O80,0)</f>
        <v>0</v>
      </c>
      <c r="P81" s="328">
        <f>IF(AND('02_Debt Engine'!$F$26="Yes",'02_Debt Engine'!$V$26&gt;0,P$4='02_Debt Engine'!$I$26),-P80,0)</f>
        <v>0</v>
      </c>
      <c r="Q81" s="328">
        <f>IF(AND('02_Debt Engine'!$F$26="Yes",'02_Debt Engine'!$V$26&gt;0,Q$4='02_Debt Engine'!$I$26),-Q80,0)</f>
        <v>0</v>
      </c>
      <c r="R81" s="328">
        <f>IF(AND('02_Debt Engine'!$F$26="Yes",'02_Debt Engine'!$V$26&gt;0,R$4='02_Debt Engine'!$I$26),-R80,0)</f>
        <v>0</v>
      </c>
      <c r="S81" s="328">
        <f>IF(AND('02_Debt Engine'!$F$26="Yes",'02_Debt Engine'!$V$26&gt;0,S$4='02_Debt Engine'!$I$26),-S80,0)</f>
        <v>0</v>
      </c>
      <c r="T81" s="328">
        <f>IF(AND('02_Debt Engine'!$F$26="Yes",'02_Debt Engine'!$V$26&gt;0,T$4='02_Debt Engine'!$I$26),-T80,0)</f>
        <v>0</v>
      </c>
      <c r="U81" s="328">
        <f>IF(AND('02_Debt Engine'!$F$26="Yes",'02_Debt Engine'!$V$26&gt;0,U$4='02_Debt Engine'!$I$26),-U80,0)</f>
        <v>0</v>
      </c>
      <c r="V81" s="328">
        <f>IF(AND('02_Debt Engine'!$F$26="Yes",'02_Debt Engine'!$V$26&gt;0,V$4='02_Debt Engine'!$I$26),-V80,0)</f>
        <v>0</v>
      </c>
      <c r="W81" s="328">
        <f>IF(AND('02_Debt Engine'!$F$26="Yes",'02_Debt Engine'!$V$26&gt;0,W$4='02_Debt Engine'!$I$26),-W80,0)</f>
        <v>0</v>
      </c>
    </row>
    <row r="82" spans="2:23">
      <c r="B82" s="13" t="s">
        <v>534</v>
      </c>
      <c r="C82" s="329">
        <f>IF(AND('02_Debt Engine'!$F$26="Yes",'02_Debt Engine'!$V$26&gt;0,C$4='02_Debt Engine'!$I$26),'02_Debt Engine'!$V$26,0)</f>
        <v>0</v>
      </c>
      <c r="D82" s="329">
        <f>IF(AND('02_Debt Engine'!$F$26="Yes",'02_Debt Engine'!$V$26&gt;0,D$4='02_Debt Engine'!$I$26),'02_Debt Engine'!$V$26,0)</f>
        <v>0</v>
      </c>
      <c r="E82" s="329">
        <f>IF(AND('02_Debt Engine'!$F$26="Yes",'02_Debt Engine'!$V$26&gt;0,E$4='02_Debt Engine'!$I$26),'02_Debt Engine'!$V$26,0)</f>
        <v>0</v>
      </c>
      <c r="F82" s="329">
        <f>IF(AND('02_Debt Engine'!$F$26="Yes",'02_Debt Engine'!$V$26&gt;0,F$4='02_Debt Engine'!$I$26),'02_Debt Engine'!$V$26,0)</f>
        <v>0</v>
      </c>
      <c r="G82" s="329">
        <f>IF(AND('02_Debt Engine'!$F$26="Yes",'02_Debt Engine'!$V$26&gt;0,G$4='02_Debt Engine'!$I$26),'02_Debt Engine'!$V$26,0)</f>
        <v>0</v>
      </c>
      <c r="H82" s="329">
        <f>IF(AND('02_Debt Engine'!$F$26="Yes",'02_Debt Engine'!$V$26&gt;0,H$4='02_Debt Engine'!$I$26),'02_Debt Engine'!$V$26,0)</f>
        <v>0</v>
      </c>
      <c r="I82" s="329">
        <f>IF(AND('02_Debt Engine'!$F$26="Yes",'02_Debt Engine'!$V$26&gt;0,I$4='02_Debt Engine'!$I$26),'02_Debt Engine'!$V$26,0)</f>
        <v>0</v>
      </c>
      <c r="J82" s="329">
        <f>IF(AND('02_Debt Engine'!$F$26="Yes",'02_Debt Engine'!$V$26&gt;0,J$4='02_Debt Engine'!$I$26),'02_Debt Engine'!$V$26,0)</f>
        <v>0</v>
      </c>
      <c r="K82" s="329">
        <f>IF(AND('02_Debt Engine'!$F$26="Yes",'02_Debt Engine'!$V$26&gt;0,K$4='02_Debt Engine'!$I$26),'02_Debt Engine'!$V$26,0)</f>
        <v>0</v>
      </c>
      <c r="L82" s="329">
        <f>IF(AND('02_Debt Engine'!$F$26="Yes",'02_Debt Engine'!$V$26&gt;0,L$4='02_Debt Engine'!$I$26),'02_Debt Engine'!$V$26,0)</f>
        <v>0</v>
      </c>
      <c r="M82" s="329">
        <f>IF(AND('02_Debt Engine'!$F$26="Yes",'02_Debt Engine'!$V$26&gt;0,M$4='02_Debt Engine'!$I$26),'02_Debt Engine'!$V$26,0)</f>
        <v>0</v>
      </c>
      <c r="N82" s="329">
        <f>IF(AND('02_Debt Engine'!$F$26="Yes",'02_Debt Engine'!$V$26&gt;0,N$4='02_Debt Engine'!$I$26),'02_Debt Engine'!$V$26,0)</f>
        <v>0</v>
      </c>
      <c r="O82" s="329">
        <f>IF(AND('02_Debt Engine'!$F$26="Yes",'02_Debt Engine'!$V$26&gt;0,O$4='02_Debt Engine'!$I$26),'02_Debt Engine'!$V$26,0)</f>
        <v>0</v>
      </c>
      <c r="P82" s="329">
        <f>IF(AND('02_Debt Engine'!$F$26="Yes",'02_Debt Engine'!$V$26&gt;0,P$4='02_Debt Engine'!$I$26),'02_Debt Engine'!$V$26,0)</f>
        <v>0</v>
      </c>
      <c r="Q82" s="329">
        <f>IF(AND('02_Debt Engine'!$F$26="Yes",'02_Debt Engine'!$V$26&gt;0,Q$4='02_Debt Engine'!$I$26),'02_Debt Engine'!$V$26,0)</f>
        <v>0</v>
      </c>
      <c r="R82" s="329">
        <f>IF(AND('02_Debt Engine'!$F$26="Yes",'02_Debt Engine'!$V$26&gt;0,R$4='02_Debt Engine'!$I$26),'02_Debt Engine'!$V$26,0)</f>
        <v>0</v>
      </c>
      <c r="S82" s="329">
        <f>IF(AND('02_Debt Engine'!$F$26="Yes",'02_Debt Engine'!$V$26&gt;0,S$4='02_Debt Engine'!$I$26),'02_Debt Engine'!$V$26,0)</f>
        <v>0</v>
      </c>
      <c r="T82" s="329">
        <f>IF(AND('02_Debt Engine'!$F$26="Yes",'02_Debt Engine'!$V$26&gt;0,T$4='02_Debt Engine'!$I$26),'02_Debt Engine'!$V$26,0)</f>
        <v>0</v>
      </c>
      <c r="U82" s="329">
        <f>IF(AND('02_Debt Engine'!$F$26="Yes",'02_Debt Engine'!$V$26&gt;0,U$4='02_Debt Engine'!$I$26),'02_Debt Engine'!$V$26,0)</f>
        <v>0</v>
      </c>
      <c r="V82" s="329">
        <f>IF(AND('02_Debt Engine'!$F$26="Yes",'02_Debt Engine'!$V$26&gt;0,V$4='02_Debt Engine'!$I$26),'02_Debt Engine'!$V$26,0)</f>
        <v>0</v>
      </c>
      <c r="W82" s="329">
        <f>IF(AND('02_Debt Engine'!$F$26="Yes",'02_Debt Engine'!$V$26&gt;0,W$4='02_Debt Engine'!$I$26),'02_Debt Engine'!$V$26,0)</f>
        <v>0</v>
      </c>
    </row>
    <row r="83" spans="2:23">
      <c r="B83" s="3" t="s">
        <v>535</v>
      </c>
      <c r="C83" s="330">
        <f t="shared" ref="C83:W83" si="23">C81+C82</f>
        <v>0</v>
      </c>
      <c r="D83" s="330">
        <f t="shared" si="23"/>
        <v>0</v>
      </c>
      <c r="E83" s="330">
        <f t="shared" si="23"/>
        <v>0</v>
      </c>
      <c r="F83" s="330">
        <f t="shared" si="23"/>
        <v>0</v>
      </c>
      <c r="G83" s="330">
        <f t="shared" si="23"/>
        <v>0</v>
      </c>
      <c r="H83" s="330">
        <f t="shared" si="23"/>
        <v>0</v>
      </c>
      <c r="I83" s="330">
        <f t="shared" si="23"/>
        <v>0</v>
      </c>
      <c r="J83" s="330">
        <f t="shared" si="23"/>
        <v>0</v>
      </c>
      <c r="K83" s="330">
        <f t="shared" si="23"/>
        <v>0</v>
      </c>
      <c r="L83" s="330">
        <f t="shared" si="23"/>
        <v>0</v>
      </c>
      <c r="M83" s="330">
        <f t="shared" si="23"/>
        <v>0</v>
      </c>
      <c r="N83" s="330">
        <f t="shared" si="23"/>
        <v>0</v>
      </c>
      <c r="O83" s="330">
        <f t="shared" si="23"/>
        <v>0</v>
      </c>
      <c r="P83" s="330">
        <f t="shared" si="23"/>
        <v>0</v>
      </c>
      <c r="Q83" s="330">
        <f t="shared" si="23"/>
        <v>0</v>
      </c>
      <c r="R83" s="330">
        <f t="shared" si="23"/>
        <v>0</v>
      </c>
      <c r="S83" s="330">
        <f t="shared" si="23"/>
        <v>0</v>
      </c>
      <c r="T83" s="330">
        <f t="shared" si="23"/>
        <v>0</v>
      </c>
      <c r="U83" s="330">
        <f t="shared" si="23"/>
        <v>0</v>
      </c>
      <c r="V83" s="330">
        <f t="shared" si="23"/>
        <v>0</v>
      </c>
      <c r="W83" s="330">
        <f t="shared" si="23"/>
        <v>0</v>
      </c>
    </row>
    <row r="84" spans="2:23">
      <c r="B84" s="14" t="s">
        <v>525</v>
      </c>
      <c r="C84" s="328">
        <f t="shared" ref="C84:W84" si="24">C78+C79</f>
        <v>176698.83</v>
      </c>
      <c r="D84" s="328">
        <f t="shared" si="24"/>
        <v>1802.6832306482922</v>
      </c>
      <c r="E84" s="328">
        <f t="shared" si="24"/>
        <v>0</v>
      </c>
      <c r="F84" s="328">
        <f t="shared" si="24"/>
        <v>0</v>
      </c>
      <c r="G84" s="328">
        <f t="shared" si="24"/>
        <v>0</v>
      </c>
      <c r="H84" s="328">
        <f t="shared" si="24"/>
        <v>0</v>
      </c>
      <c r="I84" s="328">
        <f t="shared" si="24"/>
        <v>0</v>
      </c>
      <c r="J84" s="328">
        <f t="shared" si="24"/>
        <v>0</v>
      </c>
      <c r="K84" s="328">
        <f t="shared" si="24"/>
        <v>0</v>
      </c>
      <c r="L84" s="328">
        <f t="shared" si="24"/>
        <v>0</v>
      </c>
      <c r="M84" s="328">
        <f t="shared" si="24"/>
        <v>0</v>
      </c>
      <c r="N84" s="328">
        <f t="shared" si="24"/>
        <v>0</v>
      </c>
      <c r="O84" s="328">
        <f t="shared" si="24"/>
        <v>0</v>
      </c>
      <c r="P84" s="328">
        <f t="shared" si="24"/>
        <v>0</v>
      </c>
      <c r="Q84" s="328">
        <f t="shared" si="24"/>
        <v>0</v>
      </c>
      <c r="R84" s="328">
        <f t="shared" si="24"/>
        <v>0</v>
      </c>
      <c r="S84" s="328">
        <f t="shared" si="24"/>
        <v>0</v>
      </c>
      <c r="T84" s="328">
        <f t="shared" si="24"/>
        <v>0</v>
      </c>
      <c r="U84" s="328">
        <f t="shared" si="24"/>
        <v>0</v>
      </c>
      <c r="V84" s="328">
        <f t="shared" si="24"/>
        <v>0</v>
      </c>
      <c r="W84" s="328">
        <f t="shared" si="24"/>
        <v>0</v>
      </c>
    </row>
    <row r="86" spans="2:23">
      <c r="B86" s="327" t="str">
        <f>'02_Debt Engine'!$B$27</f>
        <v>Margaret Heights</v>
      </c>
      <c r="C86" s="327" t="str">
        <f>_xlfn.LET(_xlpm.refiyr,INDEX('02_Debt Engine'!$I$19:$I$35,MATCH('02A_Debt Schedule'!$B86,'02_Debt Engine'!$B$19:$B$35,0)),IF(_xlpm.refiyr='02A_Debt Schedule'!C$4,"Refi Yr.",""))</f>
        <v/>
      </c>
      <c r="D86" s="327" t="str">
        <f>_xlfn.LET(_xlpm.refiyr,INDEX('02_Debt Engine'!$I$19:$I$35,MATCH('02A_Debt Schedule'!$B86,'02_Debt Engine'!$B$19:$B$35,0)),IF(_xlpm.refiyr='02A_Debt Schedule'!D$4,"Refi Yr.",""))</f>
        <v>Refi Yr.</v>
      </c>
      <c r="E86" s="327" t="str">
        <f>_xlfn.LET(_xlpm.refiyr,INDEX('02_Debt Engine'!$I$19:$I$35,MATCH('02A_Debt Schedule'!$B86,'02_Debt Engine'!$B$19:$B$35,0)),IF(_xlpm.refiyr='02A_Debt Schedule'!E$4,"Refi Yr.",""))</f>
        <v/>
      </c>
      <c r="F86" s="327" t="str">
        <f>_xlfn.LET(_xlpm.refiyr,INDEX('02_Debt Engine'!$I$19:$I$35,MATCH('02A_Debt Schedule'!$B86,'02_Debt Engine'!$B$19:$B$35,0)),IF(_xlpm.refiyr='02A_Debt Schedule'!F$4,"Refi Yr.",""))</f>
        <v/>
      </c>
      <c r="G86" s="327" t="str">
        <f>_xlfn.LET(_xlpm.refiyr,INDEX('02_Debt Engine'!$I$19:$I$35,MATCH('02A_Debt Schedule'!$B86,'02_Debt Engine'!$B$19:$B$35,0)),IF(_xlpm.refiyr='02A_Debt Schedule'!G$4,"Refi Yr.",""))</f>
        <v/>
      </c>
      <c r="H86" s="327" t="str">
        <f>_xlfn.LET(_xlpm.refiyr,INDEX('02_Debt Engine'!$I$19:$I$35,MATCH('02A_Debt Schedule'!$B86,'02_Debt Engine'!$B$19:$B$35,0)),IF(_xlpm.refiyr='02A_Debt Schedule'!H$4,"Refi Yr.",""))</f>
        <v/>
      </c>
      <c r="I86" s="327" t="str">
        <f>_xlfn.LET(_xlpm.refiyr,INDEX('02_Debt Engine'!$I$19:$I$35,MATCH('02A_Debt Schedule'!$B86,'02_Debt Engine'!$B$19:$B$35,0)),IF(_xlpm.refiyr='02A_Debt Schedule'!I$4,"Refi Yr.",""))</f>
        <v/>
      </c>
      <c r="J86" s="327" t="str">
        <f>_xlfn.LET(_xlpm.refiyr,INDEX('02_Debt Engine'!$I$19:$I$35,MATCH('02A_Debt Schedule'!$B86,'02_Debt Engine'!$B$19:$B$35,0)),IF(_xlpm.refiyr='02A_Debt Schedule'!J$4,"Refi Yr.",""))</f>
        <v/>
      </c>
      <c r="K86" s="327" t="str">
        <f>_xlfn.LET(_xlpm.refiyr,INDEX('02_Debt Engine'!$I$19:$I$35,MATCH('02A_Debt Schedule'!$B86,'02_Debt Engine'!$B$19:$B$35,0)),IF(_xlpm.refiyr='02A_Debt Schedule'!K$4,"Refi Yr.",""))</f>
        <v/>
      </c>
      <c r="L86" s="327" t="str">
        <f>_xlfn.LET(_xlpm.refiyr,INDEX('02_Debt Engine'!$I$19:$I$35,MATCH('02A_Debt Schedule'!$B86,'02_Debt Engine'!$B$19:$B$35,0)),IF(_xlpm.refiyr='02A_Debt Schedule'!L$4,"Refi Yr.",""))</f>
        <v/>
      </c>
      <c r="M86" s="327" t="str">
        <f>_xlfn.LET(_xlpm.refiyr,INDEX('02_Debt Engine'!$I$19:$I$35,MATCH('02A_Debt Schedule'!$B86,'02_Debt Engine'!$B$19:$B$35,0)),IF(_xlpm.refiyr='02A_Debt Schedule'!M$4,"Refi Yr.",""))</f>
        <v/>
      </c>
      <c r="N86" s="327" t="str">
        <f>_xlfn.LET(_xlpm.refiyr,INDEX('02_Debt Engine'!$I$19:$I$35,MATCH('02A_Debt Schedule'!$B86,'02_Debt Engine'!$B$19:$B$35,0)),IF(_xlpm.refiyr='02A_Debt Schedule'!N$4,"Refi Yr.",""))</f>
        <v/>
      </c>
      <c r="O86" s="327" t="str">
        <f>_xlfn.LET(_xlpm.refiyr,INDEX('02_Debt Engine'!$I$19:$I$35,MATCH('02A_Debt Schedule'!$B86,'02_Debt Engine'!$B$19:$B$35,0)),IF(_xlpm.refiyr='02A_Debt Schedule'!O$4,"Refi Yr.",""))</f>
        <v/>
      </c>
      <c r="P86" s="327" t="str">
        <f>_xlfn.LET(_xlpm.refiyr,INDEX('02_Debt Engine'!$I$19:$I$35,MATCH('02A_Debt Schedule'!$B86,'02_Debt Engine'!$B$19:$B$35,0)),IF(_xlpm.refiyr='02A_Debt Schedule'!P$4,"Refi Yr.",""))</f>
        <v/>
      </c>
      <c r="Q86" s="327" t="str">
        <f>_xlfn.LET(_xlpm.refiyr,INDEX('02_Debt Engine'!$I$19:$I$35,MATCH('02A_Debt Schedule'!$B86,'02_Debt Engine'!$B$19:$B$35,0)),IF(_xlpm.refiyr='02A_Debt Schedule'!Q$4,"Refi Yr.",""))</f>
        <v/>
      </c>
      <c r="R86" s="327" t="str">
        <f>_xlfn.LET(_xlpm.refiyr,INDEX('02_Debt Engine'!$I$19:$I$35,MATCH('02A_Debt Schedule'!$B86,'02_Debt Engine'!$B$19:$B$35,0)),IF(_xlpm.refiyr='02A_Debt Schedule'!R$4,"Refi Yr.",""))</f>
        <v/>
      </c>
      <c r="S86" s="327" t="str">
        <f>_xlfn.LET(_xlpm.refiyr,INDEX('02_Debt Engine'!$I$19:$I$35,MATCH('02A_Debt Schedule'!$B86,'02_Debt Engine'!$B$19:$B$35,0)),IF(_xlpm.refiyr='02A_Debt Schedule'!S$4,"Refi Yr.",""))</f>
        <v/>
      </c>
      <c r="T86" s="327" t="str">
        <f>_xlfn.LET(_xlpm.refiyr,INDEX('02_Debt Engine'!$I$19:$I$35,MATCH('02A_Debt Schedule'!$B86,'02_Debt Engine'!$B$19:$B$35,0)),IF(_xlpm.refiyr='02A_Debt Schedule'!T$4,"Refi Yr.",""))</f>
        <v/>
      </c>
      <c r="U86" s="327" t="str">
        <f>_xlfn.LET(_xlpm.refiyr,INDEX('02_Debt Engine'!$I$19:$I$35,MATCH('02A_Debt Schedule'!$B86,'02_Debt Engine'!$B$19:$B$35,0)),IF(_xlpm.refiyr='02A_Debt Schedule'!U$4,"Refi Yr.",""))</f>
        <v/>
      </c>
      <c r="V86" s="327" t="str">
        <f>_xlfn.LET(_xlpm.refiyr,INDEX('02_Debt Engine'!$I$19:$I$35,MATCH('02A_Debt Schedule'!$B86,'02_Debt Engine'!$B$19:$B$35,0)),IF(_xlpm.refiyr='02A_Debt Schedule'!V$4,"Refi Yr.",""))</f>
        <v/>
      </c>
      <c r="W86" s="327" t="str">
        <f>_xlfn.LET(_xlpm.refiyr,INDEX('02_Debt Engine'!$I$19:$I$35,MATCH('02A_Debt Schedule'!$B86,'02_Debt Engine'!$B$19:$B$35,0)),IF(_xlpm.refiyr='02A_Debt Schedule'!W$4,"Refi Yr.",""))</f>
        <v/>
      </c>
    </row>
    <row r="87" spans="2:23">
      <c r="B87" s="3" t="s">
        <v>531</v>
      </c>
      <c r="C87" s="328">
        <f>IF('02_Debt Engine'!$D$27="Active",'02_Debt Engine'!$N$27,'02_Debt Engine'!$O$27)</f>
        <v>145670.51999999999</v>
      </c>
      <c r="D87" s="328">
        <f>IF(AND('02_Debt Engine'!$F$27="Yes",'02_Debt Engine'!$V$27&gt;0,C$4='02_Debt Engine'!$I$27),'02_Debt Engine'!$V$27,C90)</f>
        <v>21601.272251999981</v>
      </c>
      <c r="E87" s="328">
        <f>IF(AND('02_Debt Engine'!$F$27="Yes",'02_Debt Engine'!$V$27&gt;0,D$4='02_Debt Engine'!$I$27),'02_Debt Engine'!$V$27,D90)</f>
        <v>0</v>
      </c>
      <c r="F87" s="328">
        <f>IF(AND('02_Debt Engine'!$F$27="Yes",'02_Debt Engine'!$V$27&gt;0,E$4='02_Debt Engine'!$I$27),'02_Debt Engine'!$V$27,E90)</f>
        <v>0</v>
      </c>
      <c r="G87" s="328">
        <f>IF(AND('02_Debt Engine'!$F$27="Yes",'02_Debt Engine'!$V$27&gt;0,F$4='02_Debt Engine'!$I$27),'02_Debt Engine'!$V$27,F90)</f>
        <v>0</v>
      </c>
      <c r="H87" s="328">
        <f>IF(AND('02_Debt Engine'!$F$27="Yes",'02_Debt Engine'!$V$27&gt;0,G$4='02_Debt Engine'!$I$27),'02_Debt Engine'!$V$27,G90)</f>
        <v>0</v>
      </c>
      <c r="I87" s="328">
        <f>IF(AND('02_Debt Engine'!$F$27="Yes",'02_Debt Engine'!$V$27&gt;0,H$4='02_Debt Engine'!$I$27),'02_Debt Engine'!$V$27,H90)</f>
        <v>0</v>
      </c>
      <c r="J87" s="328">
        <f>IF(AND('02_Debt Engine'!$F$27="Yes",'02_Debt Engine'!$V$27&gt;0,I$4='02_Debt Engine'!$I$27),'02_Debt Engine'!$V$27,I90)</f>
        <v>0</v>
      </c>
      <c r="K87" s="328">
        <f>IF(AND('02_Debt Engine'!$F$27="Yes",'02_Debt Engine'!$V$27&gt;0,J$4='02_Debt Engine'!$I$27),'02_Debt Engine'!$V$27,J90)</f>
        <v>0</v>
      </c>
      <c r="L87" s="328">
        <f>IF(AND('02_Debt Engine'!$F$27="Yes",'02_Debt Engine'!$V$27&gt;0,K$4='02_Debt Engine'!$I$27),'02_Debt Engine'!$V$27,K90)</f>
        <v>0</v>
      </c>
      <c r="M87" s="328">
        <f>IF(AND('02_Debt Engine'!$F$27="Yes",'02_Debt Engine'!$V$27&gt;0,L$4='02_Debt Engine'!$I$27),'02_Debt Engine'!$V$27,L90)</f>
        <v>0</v>
      </c>
      <c r="N87" s="328">
        <f>IF(AND('02_Debt Engine'!$F$27="Yes",'02_Debt Engine'!$V$27&gt;0,M$4='02_Debt Engine'!$I$27),'02_Debt Engine'!$V$27,M90)</f>
        <v>0</v>
      </c>
      <c r="O87" s="328">
        <f>IF(AND('02_Debt Engine'!$F$27="Yes",'02_Debt Engine'!$V$27&gt;0,N$4='02_Debt Engine'!$I$27),'02_Debt Engine'!$V$27,N90)</f>
        <v>0</v>
      </c>
      <c r="P87" s="328">
        <f>IF(AND('02_Debt Engine'!$F$27="Yes",'02_Debt Engine'!$V$27&gt;0,O$4='02_Debt Engine'!$I$27),'02_Debt Engine'!$V$27,O90)</f>
        <v>0</v>
      </c>
      <c r="Q87" s="328">
        <f>IF(AND('02_Debt Engine'!$F$27="Yes",'02_Debt Engine'!$V$27&gt;0,P$4='02_Debt Engine'!$I$27),'02_Debt Engine'!$V$27,P90)</f>
        <v>0</v>
      </c>
      <c r="R87" s="328">
        <f>IF(AND('02_Debt Engine'!$F$27="Yes",'02_Debt Engine'!$V$27&gt;0,Q$4='02_Debt Engine'!$I$27),'02_Debt Engine'!$V$27,Q90)</f>
        <v>0</v>
      </c>
      <c r="S87" s="328">
        <f>IF(AND('02_Debt Engine'!$F$27="Yes",'02_Debt Engine'!$V$27&gt;0,R$4='02_Debt Engine'!$I$27),'02_Debt Engine'!$V$27,R90)</f>
        <v>0</v>
      </c>
      <c r="T87" s="328">
        <f>IF(AND('02_Debt Engine'!$F$27="Yes",'02_Debt Engine'!$V$27&gt;0,S$4='02_Debt Engine'!$I$27),'02_Debt Engine'!$V$27,S90)</f>
        <v>0</v>
      </c>
      <c r="U87" s="328">
        <f>IF(AND('02_Debt Engine'!$F$27="Yes",'02_Debt Engine'!$V$27&gt;0,T$4='02_Debt Engine'!$I$27),'02_Debt Engine'!$V$27,T90)</f>
        <v>0</v>
      </c>
      <c r="V87" s="328">
        <f>IF(AND('02_Debt Engine'!$F$27="Yes",'02_Debt Engine'!$V$27&gt;0,U$4='02_Debt Engine'!$I$27),'02_Debt Engine'!$V$27,U90)</f>
        <v>0</v>
      </c>
      <c r="W87" s="328">
        <f>IF(AND('02_Debt Engine'!$F$27="Yes",'02_Debt Engine'!$V$27&gt;0,V$4='02_Debt Engine'!$I$27),'02_Debt Engine'!$V$27,V90)</f>
        <v>0</v>
      </c>
    </row>
    <row r="88" spans="2:23">
      <c r="B88" s="3" t="s">
        <v>514</v>
      </c>
      <c r="C88" s="328">
        <f>IF(C87&lt;=0,0,C87*IF(AND('02_Debt Engine'!$F$27="Yes",'02_Debt Engine'!$V$27&gt;0,C$4&gt;'02_Debt Engine'!$I$27),'02_Debt Engine'!$C$13,IF('02_Debt Engine'!$D$27="Active",'02_Debt Engine'!$H$27,'02_Debt Engine'!$C$7)))</f>
        <v>1471.2722519999998</v>
      </c>
      <c r="D88" s="328">
        <f>IF(D87&lt;=0,0,D87*IF(AND('02_Debt Engine'!$F$27="Yes",'02_Debt Engine'!$V$27&gt;0,D$4&gt;'02_Debt Engine'!$I$27),'02_Debt Engine'!$C$13,IF('02_Debt Engine'!$D$27="Active",'02_Debt Engine'!$H$27,'02_Debt Engine'!$C$7)))</f>
        <v>218.17284974519978</v>
      </c>
      <c r="E88" s="328">
        <f>IF(E87&lt;=0,0,E87*IF(AND('02_Debt Engine'!$F$27="Yes",'02_Debt Engine'!$V$27&gt;0,E$4&gt;'02_Debt Engine'!$I$27),'02_Debt Engine'!$C$13,IF('02_Debt Engine'!$D$27="Active",'02_Debt Engine'!$H$27,'02_Debt Engine'!$C$7)))</f>
        <v>0</v>
      </c>
      <c r="F88" s="328">
        <f>IF(F87&lt;=0,0,F87*IF(AND('02_Debt Engine'!$F$27="Yes",'02_Debt Engine'!$V$27&gt;0,F$4&gt;'02_Debt Engine'!$I$27),'02_Debt Engine'!$C$13,IF('02_Debt Engine'!$D$27="Active",'02_Debt Engine'!$H$27,'02_Debt Engine'!$C$7)))</f>
        <v>0</v>
      </c>
      <c r="G88" s="328">
        <f>IF(G87&lt;=0,0,G87*IF(AND('02_Debt Engine'!$F$27="Yes",'02_Debt Engine'!$V$27&gt;0,G$4&gt;'02_Debt Engine'!$I$27),'02_Debt Engine'!$C$13,IF('02_Debt Engine'!$D$27="Active",'02_Debt Engine'!$H$27,'02_Debt Engine'!$C$7)))</f>
        <v>0</v>
      </c>
      <c r="H88" s="328">
        <f>IF(H87&lt;=0,0,H87*IF(AND('02_Debt Engine'!$F$27="Yes",'02_Debt Engine'!$V$27&gt;0,H$4&gt;'02_Debt Engine'!$I$27),'02_Debt Engine'!$C$13,IF('02_Debt Engine'!$D$27="Active",'02_Debt Engine'!$H$27,'02_Debt Engine'!$C$7)))</f>
        <v>0</v>
      </c>
      <c r="I88" s="328">
        <f>IF(I87&lt;=0,0,I87*IF(AND('02_Debt Engine'!$F$27="Yes",'02_Debt Engine'!$V$27&gt;0,I$4&gt;'02_Debt Engine'!$I$27),'02_Debt Engine'!$C$13,IF('02_Debt Engine'!$D$27="Active",'02_Debt Engine'!$H$27,'02_Debt Engine'!$C$7)))</f>
        <v>0</v>
      </c>
      <c r="J88" s="328">
        <f>IF(J87&lt;=0,0,J87*IF(AND('02_Debt Engine'!$F$27="Yes",'02_Debt Engine'!$V$27&gt;0,J$4&gt;'02_Debt Engine'!$I$27),'02_Debt Engine'!$C$13,IF('02_Debt Engine'!$D$27="Active",'02_Debt Engine'!$H$27,'02_Debt Engine'!$C$7)))</f>
        <v>0</v>
      </c>
      <c r="K88" s="328">
        <f>IF(K87&lt;=0,0,K87*IF(AND('02_Debt Engine'!$F$27="Yes",'02_Debt Engine'!$V$27&gt;0,K$4&gt;'02_Debt Engine'!$I$27),'02_Debt Engine'!$C$13,IF('02_Debt Engine'!$D$27="Active",'02_Debt Engine'!$H$27,'02_Debt Engine'!$C$7)))</f>
        <v>0</v>
      </c>
      <c r="L88" s="328">
        <f>IF(L87&lt;=0,0,L87*IF(AND('02_Debt Engine'!$F$27="Yes",'02_Debt Engine'!$V$27&gt;0,L$4&gt;'02_Debt Engine'!$I$27),'02_Debt Engine'!$C$13,IF('02_Debt Engine'!$D$27="Active",'02_Debt Engine'!$H$27,'02_Debt Engine'!$C$7)))</f>
        <v>0</v>
      </c>
      <c r="M88" s="328">
        <f>IF(M87&lt;=0,0,M87*IF(AND('02_Debt Engine'!$F$27="Yes",'02_Debt Engine'!$V$27&gt;0,M$4&gt;'02_Debt Engine'!$I$27),'02_Debt Engine'!$C$13,IF('02_Debt Engine'!$D$27="Active",'02_Debt Engine'!$H$27,'02_Debt Engine'!$C$7)))</f>
        <v>0</v>
      </c>
      <c r="N88" s="328">
        <f>IF(N87&lt;=0,0,N87*IF(AND('02_Debt Engine'!$F$27="Yes",'02_Debt Engine'!$V$27&gt;0,N$4&gt;'02_Debt Engine'!$I$27),'02_Debt Engine'!$C$13,IF('02_Debt Engine'!$D$27="Active",'02_Debt Engine'!$H$27,'02_Debt Engine'!$C$7)))</f>
        <v>0</v>
      </c>
      <c r="O88" s="328">
        <f>IF(O87&lt;=0,0,O87*IF(AND('02_Debt Engine'!$F$27="Yes",'02_Debt Engine'!$V$27&gt;0,O$4&gt;'02_Debt Engine'!$I$27),'02_Debt Engine'!$C$13,IF('02_Debt Engine'!$D$27="Active",'02_Debt Engine'!$H$27,'02_Debt Engine'!$C$7)))</f>
        <v>0</v>
      </c>
      <c r="P88" s="328">
        <f>IF(P87&lt;=0,0,P87*IF(AND('02_Debt Engine'!$F$27="Yes",'02_Debt Engine'!$V$27&gt;0,P$4&gt;'02_Debt Engine'!$I$27),'02_Debt Engine'!$C$13,IF('02_Debt Engine'!$D$27="Active",'02_Debt Engine'!$H$27,'02_Debt Engine'!$C$7)))</f>
        <v>0</v>
      </c>
      <c r="Q88" s="328">
        <f>IF(Q87&lt;=0,0,Q87*IF(AND('02_Debt Engine'!$F$27="Yes",'02_Debt Engine'!$V$27&gt;0,Q$4&gt;'02_Debt Engine'!$I$27),'02_Debt Engine'!$C$13,IF('02_Debt Engine'!$D$27="Active",'02_Debt Engine'!$H$27,'02_Debt Engine'!$C$7)))</f>
        <v>0</v>
      </c>
      <c r="R88" s="328">
        <f>IF(R87&lt;=0,0,R87*IF(AND('02_Debt Engine'!$F$27="Yes",'02_Debt Engine'!$V$27&gt;0,R$4&gt;'02_Debt Engine'!$I$27),'02_Debt Engine'!$C$13,IF('02_Debt Engine'!$D$27="Active",'02_Debt Engine'!$H$27,'02_Debt Engine'!$C$7)))</f>
        <v>0</v>
      </c>
      <c r="S88" s="328">
        <f>IF(S87&lt;=0,0,S87*IF(AND('02_Debt Engine'!$F$27="Yes",'02_Debt Engine'!$V$27&gt;0,S$4&gt;'02_Debt Engine'!$I$27),'02_Debt Engine'!$C$13,IF('02_Debt Engine'!$D$27="Active",'02_Debt Engine'!$H$27,'02_Debt Engine'!$C$7)))</f>
        <v>0</v>
      </c>
      <c r="T88" s="328">
        <f>IF(T87&lt;=0,0,T87*IF(AND('02_Debt Engine'!$F$27="Yes",'02_Debt Engine'!$V$27&gt;0,T$4&gt;'02_Debt Engine'!$I$27),'02_Debt Engine'!$C$13,IF('02_Debt Engine'!$D$27="Active",'02_Debt Engine'!$H$27,'02_Debt Engine'!$C$7)))</f>
        <v>0</v>
      </c>
      <c r="U88" s="328">
        <f>IF(U87&lt;=0,0,U87*IF(AND('02_Debt Engine'!$F$27="Yes",'02_Debt Engine'!$V$27&gt;0,U$4&gt;'02_Debt Engine'!$I$27),'02_Debt Engine'!$C$13,IF('02_Debt Engine'!$D$27="Active",'02_Debt Engine'!$H$27,'02_Debt Engine'!$C$7)))</f>
        <v>0</v>
      </c>
      <c r="V88" s="328">
        <f>IF(V87&lt;=0,0,V87*IF(AND('02_Debt Engine'!$F$27="Yes",'02_Debt Engine'!$V$27&gt;0,V$4&gt;'02_Debt Engine'!$I$27),'02_Debt Engine'!$C$13,IF('02_Debt Engine'!$D$27="Active",'02_Debt Engine'!$H$27,'02_Debt Engine'!$C$7)))</f>
        <v>0</v>
      </c>
      <c r="W88" s="328">
        <f>IF(W87&lt;=0,0,W87*IF(AND('02_Debt Engine'!$F$27="Yes",'02_Debt Engine'!$V$27&gt;0,W$4&gt;'02_Debt Engine'!$I$27),'02_Debt Engine'!$C$13,IF('02_Debt Engine'!$D$27="Active",'02_Debt Engine'!$H$27,'02_Debt Engine'!$C$7)))</f>
        <v>0</v>
      </c>
    </row>
    <row r="89" spans="2:23">
      <c r="B89" s="13" t="s">
        <v>532</v>
      </c>
      <c r="C89" s="329">
        <f>IF(C87&lt;=0,0,MIN(C87,IF(AND('02_Debt Engine'!$F$27="Yes",'02_Debt Engine'!$V$27&gt;0,C$4&gt;'02_Debt Engine'!$I$27),'02_Debt Engine'!$W$27,IF('02_Debt Engine'!$D$27="Active",'02_Debt Engine'!$K$27,'02_Debt Engine'!$P$27))-C88))</f>
        <v>124069.24774800001</v>
      </c>
      <c r="D89" s="329">
        <f>IF(D87&lt;=0,0,MIN(D87,IF(AND('02_Debt Engine'!$F$27="Yes",'02_Debt Engine'!$V$27&gt;0,D$4&gt;'02_Debt Engine'!$I$27),'02_Debt Engine'!$W$27,IF('02_Debt Engine'!$D$27="Active",'02_Debt Engine'!$K$27,'02_Debt Engine'!$P$27))-D88))</f>
        <v>21601.272251999981</v>
      </c>
      <c r="E89" s="329">
        <f>IF(E87&lt;=0,0,MIN(E87,IF(AND('02_Debt Engine'!$F$27="Yes",'02_Debt Engine'!$V$27&gt;0,E$4&gt;'02_Debt Engine'!$I$27),'02_Debt Engine'!$W$27,IF('02_Debt Engine'!$D$27="Active",'02_Debt Engine'!$K$27,'02_Debt Engine'!$P$27))-E88))</f>
        <v>0</v>
      </c>
      <c r="F89" s="329">
        <f>IF(F87&lt;=0,0,MIN(F87,IF(AND('02_Debt Engine'!$F$27="Yes",'02_Debt Engine'!$V$27&gt;0,F$4&gt;'02_Debt Engine'!$I$27),'02_Debt Engine'!$W$27,IF('02_Debt Engine'!$D$27="Active",'02_Debt Engine'!$K$27,'02_Debt Engine'!$P$27))-F88))</f>
        <v>0</v>
      </c>
      <c r="G89" s="329">
        <f>IF(G87&lt;=0,0,MIN(G87,IF(AND('02_Debt Engine'!$F$27="Yes",'02_Debt Engine'!$V$27&gt;0,G$4&gt;'02_Debt Engine'!$I$27),'02_Debt Engine'!$W$27,IF('02_Debt Engine'!$D$27="Active",'02_Debt Engine'!$K$27,'02_Debt Engine'!$P$27))-G88))</f>
        <v>0</v>
      </c>
      <c r="H89" s="329">
        <f>IF(H87&lt;=0,0,MIN(H87,IF(AND('02_Debt Engine'!$F$27="Yes",'02_Debt Engine'!$V$27&gt;0,H$4&gt;'02_Debt Engine'!$I$27),'02_Debt Engine'!$W$27,IF('02_Debt Engine'!$D$27="Active",'02_Debt Engine'!$K$27,'02_Debt Engine'!$P$27))-H88))</f>
        <v>0</v>
      </c>
      <c r="I89" s="329">
        <f>IF(I87&lt;=0,0,MIN(I87,IF(AND('02_Debt Engine'!$F$27="Yes",'02_Debt Engine'!$V$27&gt;0,I$4&gt;'02_Debt Engine'!$I$27),'02_Debt Engine'!$W$27,IF('02_Debt Engine'!$D$27="Active",'02_Debt Engine'!$K$27,'02_Debt Engine'!$P$27))-I88))</f>
        <v>0</v>
      </c>
      <c r="J89" s="329">
        <f>IF(J87&lt;=0,0,MIN(J87,IF(AND('02_Debt Engine'!$F$27="Yes",'02_Debt Engine'!$V$27&gt;0,J$4&gt;'02_Debt Engine'!$I$27),'02_Debt Engine'!$W$27,IF('02_Debt Engine'!$D$27="Active",'02_Debt Engine'!$K$27,'02_Debt Engine'!$P$27))-J88))</f>
        <v>0</v>
      </c>
      <c r="K89" s="329">
        <f>IF(K87&lt;=0,0,MIN(K87,IF(AND('02_Debt Engine'!$F$27="Yes",'02_Debt Engine'!$V$27&gt;0,K$4&gt;'02_Debt Engine'!$I$27),'02_Debt Engine'!$W$27,IF('02_Debt Engine'!$D$27="Active",'02_Debt Engine'!$K$27,'02_Debt Engine'!$P$27))-K88))</f>
        <v>0</v>
      </c>
      <c r="L89" s="329">
        <f>IF(L87&lt;=0,0,MIN(L87,IF(AND('02_Debt Engine'!$F$27="Yes",'02_Debt Engine'!$V$27&gt;0,L$4&gt;'02_Debt Engine'!$I$27),'02_Debt Engine'!$W$27,IF('02_Debt Engine'!$D$27="Active",'02_Debt Engine'!$K$27,'02_Debt Engine'!$P$27))-L88))</f>
        <v>0</v>
      </c>
      <c r="M89" s="329">
        <f>IF(M87&lt;=0,0,MIN(M87,IF(AND('02_Debt Engine'!$F$27="Yes",'02_Debt Engine'!$V$27&gt;0,M$4&gt;'02_Debt Engine'!$I$27),'02_Debt Engine'!$W$27,IF('02_Debt Engine'!$D$27="Active",'02_Debt Engine'!$K$27,'02_Debt Engine'!$P$27))-M88))</f>
        <v>0</v>
      </c>
      <c r="N89" s="329">
        <f>IF(N87&lt;=0,0,MIN(N87,IF(AND('02_Debt Engine'!$F$27="Yes",'02_Debt Engine'!$V$27&gt;0,N$4&gt;'02_Debt Engine'!$I$27),'02_Debt Engine'!$W$27,IF('02_Debt Engine'!$D$27="Active",'02_Debt Engine'!$K$27,'02_Debt Engine'!$P$27))-N88))</f>
        <v>0</v>
      </c>
      <c r="O89" s="329">
        <f>IF(O87&lt;=0,0,MIN(O87,IF(AND('02_Debt Engine'!$F$27="Yes",'02_Debt Engine'!$V$27&gt;0,O$4&gt;'02_Debt Engine'!$I$27),'02_Debt Engine'!$W$27,IF('02_Debt Engine'!$D$27="Active",'02_Debt Engine'!$K$27,'02_Debt Engine'!$P$27))-O88))</f>
        <v>0</v>
      </c>
      <c r="P89" s="329">
        <f>IF(P87&lt;=0,0,MIN(P87,IF(AND('02_Debt Engine'!$F$27="Yes",'02_Debt Engine'!$V$27&gt;0,P$4&gt;'02_Debt Engine'!$I$27),'02_Debt Engine'!$W$27,IF('02_Debt Engine'!$D$27="Active",'02_Debt Engine'!$K$27,'02_Debt Engine'!$P$27))-P88))</f>
        <v>0</v>
      </c>
      <c r="Q89" s="329">
        <f>IF(Q87&lt;=0,0,MIN(Q87,IF(AND('02_Debt Engine'!$F$27="Yes",'02_Debt Engine'!$V$27&gt;0,Q$4&gt;'02_Debt Engine'!$I$27),'02_Debt Engine'!$W$27,IF('02_Debt Engine'!$D$27="Active",'02_Debt Engine'!$K$27,'02_Debt Engine'!$P$27))-Q88))</f>
        <v>0</v>
      </c>
      <c r="R89" s="329">
        <f>IF(R87&lt;=0,0,MIN(R87,IF(AND('02_Debt Engine'!$F$27="Yes",'02_Debt Engine'!$V$27&gt;0,R$4&gt;'02_Debt Engine'!$I$27),'02_Debt Engine'!$W$27,IF('02_Debt Engine'!$D$27="Active",'02_Debt Engine'!$K$27,'02_Debt Engine'!$P$27))-R88))</f>
        <v>0</v>
      </c>
      <c r="S89" s="329">
        <f>IF(S87&lt;=0,0,MIN(S87,IF(AND('02_Debt Engine'!$F$27="Yes",'02_Debt Engine'!$V$27&gt;0,S$4&gt;'02_Debt Engine'!$I$27),'02_Debt Engine'!$W$27,IF('02_Debt Engine'!$D$27="Active",'02_Debt Engine'!$K$27,'02_Debt Engine'!$P$27))-S88))</f>
        <v>0</v>
      </c>
      <c r="T89" s="329">
        <f>IF(T87&lt;=0,0,MIN(T87,IF(AND('02_Debt Engine'!$F$27="Yes",'02_Debt Engine'!$V$27&gt;0,T$4&gt;'02_Debt Engine'!$I$27),'02_Debt Engine'!$W$27,IF('02_Debt Engine'!$D$27="Active",'02_Debt Engine'!$K$27,'02_Debt Engine'!$P$27))-T88))</f>
        <v>0</v>
      </c>
      <c r="U89" s="329">
        <f>IF(U87&lt;=0,0,MIN(U87,IF(AND('02_Debt Engine'!$F$27="Yes",'02_Debt Engine'!$V$27&gt;0,U$4&gt;'02_Debt Engine'!$I$27),'02_Debt Engine'!$W$27,IF('02_Debt Engine'!$D$27="Active",'02_Debt Engine'!$K$27,'02_Debt Engine'!$P$27))-U88))</f>
        <v>0</v>
      </c>
      <c r="V89" s="329">
        <f>IF(V87&lt;=0,0,MIN(V87,IF(AND('02_Debt Engine'!$F$27="Yes",'02_Debt Engine'!$V$27&gt;0,V$4&gt;'02_Debt Engine'!$I$27),'02_Debt Engine'!$W$27,IF('02_Debt Engine'!$D$27="Active",'02_Debt Engine'!$K$27,'02_Debt Engine'!$P$27))-V88))</f>
        <v>0</v>
      </c>
      <c r="W89" s="329">
        <f>IF(W87&lt;=0,0,MIN(W87,IF(AND('02_Debt Engine'!$F$27="Yes",'02_Debt Engine'!$V$27&gt;0,W$4&gt;'02_Debt Engine'!$I$27),'02_Debt Engine'!$W$27,IF('02_Debt Engine'!$D$27="Active",'02_Debt Engine'!$K$27,'02_Debt Engine'!$P$27))-W88))</f>
        <v>0</v>
      </c>
    </row>
    <row r="90" spans="2:23">
      <c r="B90" s="14" t="s">
        <v>533</v>
      </c>
      <c r="C90" s="331">
        <f t="shared" ref="C90:W90" si="25">C87-C89</f>
        <v>21601.272251999981</v>
      </c>
      <c r="D90" s="331">
        <f t="shared" si="25"/>
        <v>0</v>
      </c>
      <c r="E90" s="331">
        <f t="shared" si="25"/>
        <v>0</v>
      </c>
      <c r="F90" s="331">
        <f t="shared" si="25"/>
        <v>0</v>
      </c>
      <c r="G90" s="331">
        <f t="shared" si="25"/>
        <v>0</v>
      </c>
      <c r="H90" s="331">
        <f t="shared" si="25"/>
        <v>0</v>
      </c>
      <c r="I90" s="331">
        <f t="shared" si="25"/>
        <v>0</v>
      </c>
      <c r="J90" s="331">
        <f t="shared" si="25"/>
        <v>0</v>
      </c>
      <c r="K90" s="331">
        <f t="shared" si="25"/>
        <v>0</v>
      </c>
      <c r="L90" s="331">
        <f t="shared" si="25"/>
        <v>0</v>
      </c>
      <c r="M90" s="331">
        <f t="shared" si="25"/>
        <v>0</v>
      </c>
      <c r="N90" s="331">
        <f t="shared" si="25"/>
        <v>0</v>
      </c>
      <c r="O90" s="331">
        <f t="shared" si="25"/>
        <v>0</v>
      </c>
      <c r="P90" s="331">
        <f t="shared" si="25"/>
        <v>0</v>
      </c>
      <c r="Q90" s="331">
        <f t="shared" si="25"/>
        <v>0</v>
      </c>
      <c r="R90" s="331">
        <f t="shared" si="25"/>
        <v>0</v>
      </c>
      <c r="S90" s="331">
        <f t="shared" si="25"/>
        <v>0</v>
      </c>
      <c r="T90" s="331">
        <f t="shared" si="25"/>
        <v>0</v>
      </c>
      <c r="U90" s="331">
        <f t="shared" si="25"/>
        <v>0</v>
      </c>
      <c r="V90" s="331">
        <f t="shared" si="25"/>
        <v>0</v>
      </c>
      <c r="W90" s="331">
        <f t="shared" si="25"/>
        <v>0</v>
      </c>
    </row>
    <row r="91" spans="2:23">
      <c r="B91" s="3" t="s">
        <v>367</v>
      </c>
      <c r="C91" s="328">
        <f>IF(AND('02_Debt Engine'!$F$27="Yes",'02_Debt Engine'!$V$27&gt;0,C$4='02_Debt Engine'!$I$27),-C90,0)</f>
        <v>0</v>
      </c>
      <c r="D91" s="328">
        <f>IF(AND('02_Debt Engine'!$F$27="Yes",'02_Debt Engine'!$V$27&gt;0,D$4='02_Debt Engine'!$I$27),-D90,0)</f>
        <v>0</v>
      </c>
      <c r="E91" s="328">
        <f>IF(AND('02_Debt Engine'!$F$27="Yes",'02_Debt Engine'!$V$27&gt;0,E$4='02_Debt Engine'!$I$27),-E90,0)</f>
        <v>0</v>
      </c>
      <c r="F91" s="328">
        <f>IF(AND('02_Debt Engine'!$F$27="Yes",'02_Debt Engine'!$V$27&gt;0,F$4='02_Debt Engine'!$I$27),-F90,0)</f>
        <v>0</v>
      </c>
      <c r="G91" s="328">
        <f>IF(AND('02_Debt Engine'!$F$27="Yes",'02_Debt Engine'!$V$27&gt;0,G$4='02_Debt Engine'!$I$27),-G90,0)</f>
        <v>0</v>
      </c>
      <c r="H91" s="328">
        <f>IF(AND('02_Debt Engine'!$F$27="Yes",'02_Debt Engine'!$V$27&gt;0,H$4='02_Debt Engine'!$I$27),-H90,0)</f>
        <v>0</v>
      </c>
      <c r="I91" s="328">
        <f>IF(AND('02_Debt Engine'!$F$27="Yes",'02_Debt Engine'!$V$27&gt;0,I$4='02_Debt Engine'!$I$27),-I90,0)</f>
        <v>0</v>
      </c>
      <c r="J91" s="328">
        <f>IF(AND('02_Debt Engine'!$F$27="Yes",'02_Debt Engine'!$V$27&gt;0,J$4='02_Debt Engine'!$I$27),-J90,0)</f>
        <v>0</v>
      </c>
      <c r="K91" s="328">
        <f>IF(AND('02_Debt Engine'!$F$27="Yes",'02_Debt Engine'!$V$27&gt;0,K$4='02_Debt Engine'!$I$27),-K90,0)</f>
        <v>0</v>
      </c>
      <c r="L91" s="328">
        <f>IF(AND('02_Debt Engine'!$F$27="Yes",'02_Debt Engine'!$V$27&gt;0,L$4='02_Debt Engine'!$I$27),-L90,0)</f>
        <v>0</v>
      </c>
      <c r="M91" s="328">
        <f>IF(AND('02_Debt Engine'!$F$27="Yes",'02_Debt Engine'!$V$27&gt;0,M$4='02_Debt Engine'!$I$27),-M90,0)</f>
        <v>0</v>
      </c>
      <c r="N91" s="328">
        <f>IF(AND('02_Debt Engine'!$F$27="Yes",'02_Debt Engine'!$V$27&gt;0,N$4='02_Debt Engine'!$I$27),-N90,0)</f>
        <v>0</v>
      </c>
      <c r="O91" s="328">
        <f>IF(AND('02_Debt Engine'!$F$27="Yes",'02_Debt Engine'!$V$27&gt;0,O$4='02_Debt Engine'!$I$27),-O90,0)</f>
        <v>0</v>
      </c>
      <c r="P91" s="328">
        <f>IF(AND('02_Debt Engine'!$F$27="Yes",'02_Debt Engine'!$V$27&gt;0,P$4='02_Debt Engine'!$I$27),-P90,0)</f>
        <v>0</v>
      </c>
      <c r="Q91" s="328">
        <f>IF(AND('02_Debt Engine'!$F$27="Yes",'02_Debt Engine'!$V$27&gt;0,Q$4='02_Debt Engine'!$I$27),-Q90,0)</f>
        <v>0</v>
      </c>
      <c r="R91" s="328">
        <f>IF(AND('02_Debt Engine'!$F$27="Yes",'02_Debt Engine'!$V$27&gt;0,R$4='02_Debt Engine'!$I$27),-R90,0)</f>
        <v>0</v>
      </c>
      <c r="S91" s="328">
        <f>IF(AND('02_Debt Engine'!$F$27="Yes",'02_Debt Engine'!$V$27&gt;0,S$4='02_Debt Engine'!$I$27),-S90,0)</f>
        <v>0</v>
      </c>
      <c r="T91" s="328">
        <f>IF(AND('02_Debt Engine'!$F$27="Yes",'02_Debt Engine'!$V$27&gt;0,T$4='02_Debt Engine'!$I$27),-T90,0)</f>
        <v>0</v>
      </c>
      <c r="U91" s="328">
        <f>IF(AND('02_Debt Engine'!$F$27="Yes",'02_Debt Engine'!$V$27&gt;0,U$4='02_Debt Engine'!$I$27),-U90,0)</f>
        <v>0</v>
      </c>
      <c r="V91" s="328">
        <f>IF(AND('02_Debt Engine'!$F$27="Yes",'02_Debt Engine'!$V$27&gt;0,V$4='02_Debt Engine'!$I$27),-V90,0)</f>
        <v>0</v>
      </c>
      <c r="W91" s="328">
        <f>IF(AND('02_Debt Engine'!$F$27="Yes",'02_Debt Engine'!$V$27&gt;0,W$4='02_Debt Engine'!$I$27),-W90,0)</f>
        <v>0</v>
      </c>
    </row>
    <row r="92" spans="2:23">
      <c r="B92" s="13" t="s">
        <v>534</v>
      </c>
      <c r="C92" s="329">
        <f>IF(AND('02_Debt Engine'!$F$27="Yes",'02_Debt Engine'!$V$27&gt;0,C$4='02_Debt Engine'!$I$27),'02_Debt Engine'!$V$27,0)</f>
        <v>0</v>
      </c>
      <c r="D92" s="329">
        <f>IF(AND('02_Debt Engine'!$F$27="Yes",'02_Debt Engine'!$V$27&gt;0,D$4='02_Debt Engine'!$I$27),'02_Debt Engine'!$V$27,0)</f>
        <v>0</v>
      </c>
      <c r="E92" s="329">
        <f>IF(AND('02_Debt Engine'!$F$27="Yes",'02_Debt Engine'!$V$27&gt;0,E$4='02_Debt Engine'!$I$27),'02_Debt Engine'!$V$27,0)</f>
        <v>0</v>
      </c>
      <c r="F92" s="329">
        <f>IF(AND('02_Debt Engine'!$F$27="Yes",'02_Debt Engine'!$V$27&gt;0,F$4='02_Debt Engine'!$I$27),'02_Debt Engine'!$V$27,0)</f>
        <v>0</v>
      </c>
      <c r="G92" s="329">
        <f>IF(AND('02_Debt Engine'!$F$27="Yes",'02_Debt Engine'!$V$27&gt;0,G$4='02_Debt Engine'!$I$27),'02_Debt Engine'!$V$27,0)</f>
        <v>0</v>
      </c>
      <c r="H92" s="329">
        <f>IF(AND('02_Debt Engine'!$F$27="Yes",'02_Debt Engine'!$V$27&gt;0,H$4='02_Debt Engine'!$I$27),'02_Debt Engine'!$V$27,0)</f>
        <v>0</v>
      </c>
      <c r="I92" s="329">
        <f>IF(AND('02_Debt Engine'!$F$27="Yes",'02_Debt Engine'!$V$27&gt;0,I$4='02_Debt Engine'!$I$27),'02_Debt Engine'!$V$27,0)</f>
        <v>0</v>
      </c>
      <c r="J92" s="329">
        <f>IF(AND('02_Debt Engine'!$F$27="Yes",'02_Debt Engine'!$V$27&gt;0,J$4='02_Debt Engine'!$I$27),'02_Debt Engine'!$V$27,0)</f>
        <v>0</v>
      </c>
      <c r="K92" s="329">
        <f>IF(AND('02_Debt Engine'!$F$27="Yes",'02_Debt Engine'!$V$27&gt;0,K$4='02_Debt Engine'!$I$27),'02_Debt Engine'!$V$27,0)</f>
        <v>0</v>
      </c>
      <c r="L92" s="329">
        <f>IF(AND('02_Debt Engine'!$F$27="Yes",'02_Debt Engine'!$V$27&gt;0,L$4='02_Debt Engine'!$I$27),'02_Debt Engine'!$V$27,0)</f>
        <v>0</v>
      </c>
      <c r="M92" s="329">
        <f>IF(AND('02_Debt Engine'!$F$27="Yes",'02_Debt Engine'!$V$27&gt;0,M$4='02_Debt Engine'!$I$27),'02_Debt Engine'!$V$27,0)</f>
        <v>0</v>
      </c>
      <c r="N92" s="329">
        <f>IF(AND('02_Debt Engine'!$F$27="Yes",'02_Debt Engine'!$V$27&gt;0,N$4='02_Debt Engine'!$I$27),'02_Debt Engine'!$V$27,0)</f>
        <v>0</v>
      </c>
      <c r="O92" s="329">
        <f>IF(AND('02_Debt Engine'!$F$27="Yes",'02_Debt Engine'!$V$27&gt;0,O$4='02_Debt Engine'!$I$27),'02_Debt Engine'!$V$27,0)</f>
        <v>0</v>
      </c>
      <c r="P92" s="329">
        <f>IF(AND('02_Debt Engine'!$F$27="Yes",'02_Debt Engine'!$V$27&gt;0,P$4='02_Debt Engine'!$I$27),'02_Debt Engine'!$V$27,0)</f>
        <v>0</v>
      </c>
      <c r="Q92" s="329">
        <f>IF(AND('02_Debt Engine'!$F$27="Yes",'02_Debt Engine'!$V$27&gt;0,Q$4='02_Debt Engine'!$I$27),'02_Debt Engine'!$V$27,0)</f>
        <v>0</v>
      </c>
      <c r="R92" s="329">
        <f>IF(AND('02_Debt Engine'!$F$27="Yes",'02_Debt Engine'!$V$27&gt;0,R$4='02_Debt Engine'!$I$27),'02_Debt Engine'!$V$27,0)</f>
        <v>0</v>
      </c>
      <c r="S92" s="329">
        <f>IF(AND('02_Debt Engine'!$F$27="Yes",'02_Debt Engine'!$V$27&gt;0,S$4='02_Debt Engine'!$I$27),'02_Debt Engine'!$V$27,0)</f>
        <v>0</v>
      </c>
      <c r="T92" s="329">
        <f>IF(AND('02_Debt Engine'!$F$27="Yes",'02_Debt Engine'!$V$27&gt;0,T$4='02_Debt Engine'!$I$27),'02_Debt Engine'!$V$27,0)</f>
        <v>0</v>
      </c>
      <c r="U92" s="329">
        <f>IF(AND('02_Debt Engine'!$F$27="Yes",'02_Debt Engine'!$V$27&gt;0,U$4='02_Debt Engine'!$I$27),'02_Debt Engine'!$V$27,0)</f>
        <v>0</v>
      </c>
      <c r="V92" s="329">
        <f>IF(AND('02_Debt Engine'!$F$27="Yes",'02_Debt Engine'!$V$27&gt;0,V$4='02_Debt Engine'!$I$27),'02_Debt Engine'!$V$27,0)</f>
        <v>0</v>
      </c>
      <c r="W92" s="329">
        <f>IF(AND('02_Debt Engine'!$F$27="Yes",'02_Debt Engine'!$V$27&gt;0,W$4='02_Debt Engine'!$I$27),'02_Debt Engine'!$V$27,0)</f>
        <v>0</v>
      </c>
    </row>
    <row r="93" spans="2:23">
      <c r="B93" s="3" t="s">
        <v>535</v>
      </c>
      <c r="C93" s="330">
        <f t="shared" ref="C93:W93" si="26">C91+C92</f>
        <v>0</v>
      </c>
      <c r="D93" s="330">
        <f t="shared" si="26"/>
        <v>0</v>
      </c>
      <c r="E93" s="330">
        <f t="shared" si="26"/>
        <v>0</v>
      </c>
      <c r="F93" s="330">
        <f t="shared" si="26"/>
        <v>0</v>
      </c>
      <c r="G93" s="330">
        <f t="shared" si="26"/>
        <v>0</v>
      </c>
      <c r="H93" s="330">
        <f t="shared" si="26"/>
        <v>0</v>
      </c>
      <c r="I93" s="330">
        <f t="shared" si="26"/>
        <v>0</v>
      </c>
      <c r="J93" s="330">
        <f t="shared" si="26"/>
        <v>0</v>
      </c>
      <c r="K93" s="330">
        <f t="shared" si="26"/>
        <v>0</v>
      </c>
      <c r="L93" s="330">
        <f t="shared" si="26"/>
        <v>0</v>
      </c>
      <c r="M93" s="330">
        <f t="shared" si="26"/>
        <v>0</v>
      </c>
      <c r="N93" s="330">
        <f t="shared" si="26"/>
        <v>0</v>
      </c>
      <c r="O93" s="330">
        <f t="shared" si="26"/>
        <v>0</v>
      </c>
      <c r="P93" s="330">
        <f t="shared" si="26"/>
        <v>0</v>
      </c>
      <c r="Q93" s="330">
        <f t="shared" si="26"/>
        <v>0</v>
      </c>
      <c r="R93" s="330">
        <f t="shared" si="26"/>
        <v>0</v>
      </c>
      <c r="S93" s="330">
        <f t="shared" si="26"/>
        <v>0</v>
      </c>
      <c r="T93" s="330">
        <f t="shared" si="26"/>
        <v>0</v>
      </c>
      <c r="U93" s="330">
        <f t="shared" si="26"/>
        <v>0</v>
      </c>
      <c r="V93" s="330">
        <f t="shared" si="26"/>
        <v>0</v>
      </c>
      <c r="W93" s="330">
        <f t="shared" si="26"/>
        <v>0</v>
      </c>
    </row>
    <row r="94" spans="2:23">
      <c r="B94" s="14" t="s">
        <v>525</v>
      </c>
      <c r="C94" s="328">
        <f t="shared" ref="C94:W94" si="27">C88+C89</f>
        <v>125540.52</v>
      </c>
      <c r="D94" s="328">
        <f t="shared" si="27"/>
        <v>21819.445101745179</v>
      </c>
      <c r="E94" s="328">
        <f t="shared" si="27"/>
        <v>0</v>
      </c>
      <c r="F94" s="328">
        <f t="shared" si="27"/>
        <v>0</v>
      </c>
      <c r="G94" s="328">
        <f t="shared" si="27"/>
        <v>0</v>
      </c>
      <c r="H94" s="328">
        <f t="shared" si="27"/>
        <v>0</v>
      </c>
      <c r="I94" s="328">
        <f t="shared" si="27"/>
        <v>0</v>
      </c>
      <c r="J94" s="328">
        <f t="shared" si="27"/>
        <v>0</v>
      </c>
      <c r="K94" s="328">
        <f t="shared" si="27"/>
        <v>0</v>
      </c>
      <c r="L94" s="328">
        <f t="shared" si="27"/>
        <v>0</v>
      </c>
      <c r="M94" s="328">
        <f t="shared" si="27"/>
        <v>0</v>
      </c>
      <c r="N94" s="328">
        <f t="shared" si="27"/>
        <v>0</v>
      </c>
      <c r="O94" s="328">
        <f t="shared" si="27"/>
        <v>0</v>
      </c>
      <c r="P94" s="328">
        <f t="shared" si="27"/>
        <v>0</v>
      </c>
      <c r="Q94" s="328">
        <f t="shared" si="27"/>
        <v>0</v>
      </c>
      <c r="R94" s="328">
        <f t="shared" si="27"/>
        <v>0</v>
      </c>
      <c r="S94" s="328">
        <f t="shared" si="27"/>
        <v>0</v>
      </c>
      <c r="T94" s="328">
        <f t="shared" si="27"/>
        <v>0</v>
      </c>
      <c r="U94" s="328">
        <f t="shared" si="27"/>
        <v>0</v>
      </c>
      <c r="V94" s="328">
        <f t="shared" si="27"/>
        <v>0</v>
      </c>
      <c r="W94" s="328">
        <f t="shared" si="27"/>
        <v>0</v>
      </c>
    </row>
    <row r="96" spans="2:23">
      <c r="B96" s="327" t="str">
        <f>'02_Debt Engine'!$B$28</f>
        <v>Murray Manor</v>
      </c>
      <c r="C96" s="327" t="str">
        <f>_xlfn.LET(_xlpm.refiyr,INDEX('02_Debt Engine'!$I$19:$I$35,MATCH('02A_Debt Schedule'!$B96,'02_Debt Engine'!$B$19:$B$35,0)),IF(_xlpm.refiyr='02A_Debt Schedule'!C$4,"Refi Yr.",""))</f>
        <v/>
      </c>
      <c r="D96" s="327" t="str">
        <f>_xlfn.LET(_xlpm.refiyr,INDEX('02_Debt Engine'!$I$19:$I$35,MATCH('02A_Debt Schedule'!$B96,'02_Debt Engine'!$B$19:$B$35,0)),IF(_xlpm.refiyr='02A_Debt Schedule'!D$4,"Refi Yr.",""))</f>
        <v/>
      </c>
      <c r="E96" s="327" t="str">
        <f>_xlfn.LET(_xlpm.refiyr,INDEX('02_Debt Engine'!$I$19:$I$35,MATCH('02A_Debt Schedule'!$B96,'02_Debt Engine'!$B$19:$B$35,0)),IF(_xlpm.refiyr='02A_Debt Schedule'!E$4,"Refi Yr.",""))</f>
        <v/>
      </c>
      <c r="F96" s="327" t="str">
        <f>_xlfn.LET(_xlpm.refiyr,INDEX('02_Debt Engine'!$I$19:$I$35,MATCH('02A_Debt Schedule'!$B96,'02_Debt Engine'!$B$19:$B$35,0)),IF(_xlpm.refiyr='02A_Debt Schedule'!F$4,"Refi Yr.",""))</f>
        <v/>
      </c>
      <c r="G96" s="327" t="str">
        <f>_xlfn.LET(_xlpm.refiyr,INDEX('02_Debt Engine'!$I$19:$I$35,MATCH('02A_Debt Schedule'!$B96,'02_Debt Engine'!$B$19:$B$35,0)),IF(_xlpm.refiyr='02A_Debt Schedule'!G$4,"Refi Yr.",""))</f>
        <v/>
      </c>
      <c r="H96" s="327" t="str">
        <f>_xlfn.LET(_xlpm.refiyr,INDEX('02_Debt Engine'!$I$19:$I$35,MATCH('02A_Debt Schedule'!$B96,'02_Debt Engine'!$B$19:$B$35,0)),IF(_xlpm.refiyr='02A_Debt Schedule'!H$4,"Refi Yr.",""))</f>
        <v/>
      </c>
      <c r="I96" s="327" t="str">
        <f>_xlfn.LET(_xlpm.refiyr,INDEX('02_Debt Engine'!$I$19:$I$35,MATCH('02A_Debt Schedule'!$B96,'02_Debt Engine'!$B$19:$B$35,0)),IF(_xlpm.refiyr='02A_Debt Schedule'!I$4,"Refi Yr.",""))</f>
        <v/>
      </c>
      <c r="J96" s="327" t="str">
        <f>_xlfn.LET(_xlpm.refiyr,INDEX('02_Debt Engine'!$I$19:$I$35,MATCH('02A_Debt Schedule'!$B96,'02_Debt Engine'!$B$19:$B$35,0)),IF(_xlpm.refiyr='02A_Debt Schedule'!J$4,"Refi Yr.",""))</f>
        <v/>
      </c>
      <c r="K96" s="327" t="str">
        <f>_xlfn.LET(_xlpm.refiyr,INDEX('02_Debt Engine'!$I$19:$I$35,MATCH('02A_Debt Schedule'!$B96,'02_Debt Engine'!$B$19:$B$35,0)),IF(_xlpm.refiyr='02A_Debt Schedule'!K$4,"Refi Yr.",""))</f>
        <v/>
      </c>
      <c r="L96" s="327" t="str">
        <f>_xlfn.LET(_xlpm.refiyr,INDEX('02_Debt Engine'!$I$19:$I$35,MATCH('02A_Debt Schedule'!$B96,'02_Debt Engine'!$B$19:$B$35,0)),IF(_xlpm.refiyr='02A_Debt Schedule'!L$4,"Refi Yr.",""))</f>
        <v>Refi Yr.</v>
      </c>
      <c r="M96" s="327" t="str">
        <f>_xlfn.LET(_xlpm.refiyr,INDEX('02_Debt Engine'!$I$19:$I$35,MATCH('02A_Debt Schedule'!$B96,'02_Debt Engine'!$B$19:$B$35,0)),IF(_xlpm.refiyr='02A_Debt Schedule'!M$4,"Refi Yr.",""))</f>
        <v/>
      </c>
      <c r="N96" s="327" t="str">
        <f>_xlfn.LET(_xlpm.refiyr,INDEX('02_Debt Engine'!$I$19:$I$35,MATCH('02A_Debt Schedule'!$B96,'02_Debt Engine'!$B$19:$B$35,0)),IF(_xlpm.refiyr='02A_Debt Schedule'!N$4,"Refi Yr.",""))</f>
        <v/>
      </c>
      <c r="O96" s="327" t="str">
        <f>_xlfn.LET(_xlpm.refiyr,INDEX('02_Debt Engine'!$I$19:$I$35,MATCH('02A_Debt Schedule'!$B96,'02_Debt Engine'!$B$19:$B$35,0)),IF(_xlpm.refiyr='02A_Debt Schedule'!O$4,"Refi Yr.",""))</f>
        <v/>
      </c>
      <c r="P96" s="327" t="str">
        <f>_xlfn.LET(_xlpm.refiyr,INDEX('02_Debt Engine'!$I$19:$I$35,MATCH('02A_Debt Schedule'!$B96,'02_Debt Engine'!$B$19:$B$35,0)),IF(_xlpm.refiyr='02A_Debt Schedule'!P$4,"Refi Yr.",""))</f>
        <v/>
      </c>
      <c r="Q96" s="327" t="str">
        <f>_xlfn.LET(_xlpm.refiyr,INDEX('02_Debt Engine'!$I$19:$I$35,MATCH('02A_Debt Schedule'!$B96,'02_Debt Engine'!$B$19:$B$35,0)),IF(_xlpm.refiyr='02A_Debt Schedule'!Q$4,"Refi Yr.",""))</f>
        <v/>
      </c>
      <c r="R96" s="327" t="str">
        <f>_xlfn.LET(_xlpm.refiyr,INDEX('02_Debt Engine'!$I$19:$I$35,MATCH('02A_Debt Schedule'!$B96,'02_Debt Engine'!$B$19:$B$35,0)),IF(_xlpm.refiyr='02A_Debt Schedule'!R$4,"Refi Yr.",""))</f>
        <v/>
      </c>
      <c r="S96" s="327" t="str">
        <f>_xlfn.LET(_xlpm.refiyr,INDEX('02_Debt Engine'!$I$19:$I$35,MATCH('02A_Debt Schedule'!$B96,'02_Debt Engine'!$B$19:$B$35,0)),IF(_xlpm.refiyr='02A_Debt Schedule'!S$4,"Refi Yr.",""))</f>
        <v/>
      </c>
      <c r="T96" s="327" t="str">
        <f>_xlfn.LET(_xlpm.refiyr,INDEX('02_Debt Engine'!$I$19:$I$35,MATCH('02A_Debt Schedule'!$B96,'02_Debt Engine'!$B$19:$B$35,0)),IF(_xlpm.refiyr='02A_Debt Schedule'!T$4,"Refi Yr.",""))</f>
        <v/>
      </c>
      <c r="U96" s="327" t="str">
        <f>_xlfn.LET(_xlpm.refiyr,INDEX('02_Debt Engine'!$I$19:$I$35,MATCH('02A_Debt Schedule'!$B96,'02_Debt Engine'!$B$19:$B$35,0)),IF(_xlpm.refiyr='02A_Debt Schedule'!U$4,"Refi Yr.",""))</f>
        <v/>
      </c>
      <c r="V96" s="327" t="str">
        <f>_xlfn.LET(_xlpm.refiyr,INDEX('02_Debt Engine'!$I$19:$I$35,MATCH('02A_Debt Schedule'!$B96,'02_Debt Engine'!$B$19:$B$35,0)),IF(_xlpm.refiyr='02A_Debt Schedule'!V$4,"Refi Yr.",""))</f>
        <v/>
      </c>
      <c r="W96" s="327" t="str">
        <f>_xlfn.LET(_xlpm.refiyr,INDEX('02_Debt Engine'!$I$19:$I$35,MATCH('02A_Debt Schedule'!$B96,'02_Debt Engine'!$B$19:$B$35,0)),IF(_xlpm.refiyr='02A_Debt Schedule'!W$4,"Refi Yr.",""))</f>
        <v/>
      </c>
    </row>
    <row r="97" spans="2:23">
      <c r="B97" s="3" t="s">
        <v>531</v>
      </c>
      <c r="C97" s="328">
        <f>IF('02_Debt Engine'!$D$28="Active",'02_Debt Engine'!$N$28,'02_Debt Engine'!$O$28)</f>
        <v>4992966</v>
      </c>
      <c r="D97" s="328">
        <f>IF(AND('02_Debt Engine'!$F$28="Yes",'02_Debt Engine'!$V$28&gt;0,C$4='02_Debt Engine'!$I$28),'02_Debt Engine'!$V$28,C100)</f>
        <v>4931606.0285999998</v>
      </c>
      <c r="E97" s="328">
        <f>IF(AND('02_Debt Engine'!$F$28="Yes",'02_Debt Engine'!$V$28&gt;0,D$4='02_Debt Engine'!$I$28),'02_Debt Engine'!$V$28,D100)</f>
        <v>4867662.80240406</v>
      </c>
      <c r="F97" s="328">
        <f>IF(AND('02_Debt Engine'!$F$28="Yes",'02_Debt Engine'!$V$28&gt;0,E$4='02_Debt Engine'!$I$28),'02_Debt Engine'!$V$28,E100)</f>
        <v>4801027.566385271</v>
      </c>
      <c r="G97" s="328">
        <f>IF(AND('02_Debt Engine'!$F$28="Yes",'02_Debt Engine'!$V$28&gt;0,F$4='02_Debt Engine'!$I$28),'02_Debt Engine'!$V$28,F100)</f>
        <v>4731586.9869300909</v>
      </c>
      <c r="H97" s="328">
        <f>IF(AND('02_Debt Engine'!$F$28="Yes",'02_Debt Engine'!$V$28&gt;0,G$4='02_Debt Engine'!$I$28),'02_Debt Engine'!$V$28,G100)</f>
        <v>4659222.9590798477</v>
      </c>
      <c r="I97" s="328">
        <f>IF(AND('02_Debt Engine'!$F$28="Yes",'02_Debt Engine'!$V$28&gt;0,H$4='02_Debt Engine'!$I$28),'02_Debt Engine'!$V$28,H100)</f>
        <v>4583812.4056571089</v>
      </c>
      <c r="J97" s="328">
        <f>IF(AND('02_Debt Engine'!$F$28="Yes",'02_Debt Engine'!$V$28&gt;0,I$4='02_Debt Engine'!$I$28),'02_Debt Engine'!$V$28,I100)</f>
        <v>4505227.0679352731</v>
      </c>
      <c r="K97" s="328">
        <f>IF(AND('02_Debt Engine'!$F$28="Yes",'02_Debt Engine'!$V$28&gt;0,J$4='02_Debt Engine'!$I$28),'02_Debt Engine'!$V$28,J100)</f>
        <v>4423333.2874953477</v>
      </c>
      <c r="L97" s="328">
        <f>IF(AND('02_Debt Engine'!$F$28="Yes",'02_Debt Engine'!$V$28&gt;0,K$4='02_Debt Engine'!$I$28),'02_Debt Engine'!$V$28,K100)</f>
        <v>4337991.7788989022</v>
      </c>
      <c r="M97" s="328">
        <f>IF(AND('02_Debt Engine'!$F$28="Yes",'02_Debt Engine'!$V$28&gt;0,L$4='02_Debt Engine'!$I$28),'02_Debt Engine'!$V$28,L100)</f>
        <v>6714080.5208042245</v>
      </c>
      <c r="N97" s="328">
        <f>IF(AND('02_Debt Engine'!$F$28="Yes",'02_Debt Engine'!$V$28&gt;0,M$4='02_Debt Engine'!$I$28),'02_Debt Engine'!$V$28,M100)</f>
        <v>6625904.7099712836</v>
      </c>
      <c r="O97" s="328">
        <f>IF(AND('02_Debt Engine'!$F$28="Yes",'02_Debt Engine'!$V$28&gt;0,N$4='02_Debt Engine'!$I$28),'02_Debt Engine'!$V$28,N100)</f>
        <v>6534201.8667050246</v>
      </c>
      <c r="P97" s="328">
        <f>IF(AND('02_Debt Engine'!$F$28="Yes",'02_Debt Engine'!$V$28&gt;0,O$4='02_Debt Engine'!$I$28),'02_Debt Engine'!$V$28,O100)</f>
        <v>6438830.9097081153</v>
      </c>
      <c r="Q97" s="328">
        <f>IF(AND('02_Debt Engine'!$F$28="Yes",'02_Debt Engine'!$V$28&gt;0,P$4='02_Debt Engine'!$I$28),'02_Debt Engine'!$V$28,P100)</f>
        <v>6339645.11443133</v>
      </c>
      <c r="R97" s="328">
        <f>IF(AND('02_Debt Engine'!$F$28="Yes",'02_Debt Engine'!$V$28&gt;0,Q$4='02_Debt Engine'!$I$28),'02_Debt Engine'!$V$28,Q100)</f>
        <v>6236491.8873434737</v>
      </c>
      <c r="S97" s="328">
        <f>IF(AND('02_Debt Engine'!$F$28="Yes",'02_Debt Engine'!$V$28&gt;0,R$4='02_Debt Engine'!$I$28),'02_Debt Engine'!$V$28,R100)</f>
        <v>6129212.5311721023</v>
      </c>
      <c r="T97" s="328">
        <f>IF(AND('02_Debt Engine'!$F$28="Yes",'02_Debt Engine'!$V$28&gt;0,S$4='02_Debt Engine'!$I$28),'02_Debt Engine'!$V$28,S100)</f>
        <v>6017642.0007538768</v>
      </c>
      <c r="U97" s="328">
        <f>IF(AND('02_Debt Engine'!$F$28="Yes",'02_Debt Engine'!$V$28&gt;0,T$4='02_Debt Engine'!$I$28),'02_Debt Engine'!$V$28,T100)</f>
        <v>5901608.6491189217</v>
      </c>
      <c r="V97" s="328">
        <f>IF(AND('02_Debt Engine'!$F$28="Yes",'02_Debt Engine'!$V$28&gt;0,U$4='02_Debt Engine'!$I$28),'02_Debt Engine'!$V$28,U100)</f>
        <v>5780933.9634185685</v>
      </c>
      <c r="W97" s="328">
        <f>IF(AND('02_Debt Engine'!$F$28="Yes",'02_Debt Engine'!$V$28&gt;0,V$4='02_Debt Engine'!$I$28),'02_Debt Engine'!$V$28,V100)</f>
        <v>5655432.2902902011</v>
      </c>
    </row>
    <row r="98" spans="2:23">
      <c r="B98" s="3" t="s">
        <v>514</v>
      </c>
      <c r="C98" s="328">
        <f>IF(C97&lt;=0,0,C97*IF(AND('02_Debt Engine'!$F$28="Yes",'02_Debt Engine'!$V$28&gt;0,C$4&gt;'02_Debt Engine'!$I$28),'02_Debt Engine'!$C$13,IF('02_Debt Engine'!$D$28="Active",'02_Debt Engine'!$H$28,'02_Debt Engine'!$C$7)))</f>
        <v>210203.86859999999</v>
      </c>
      <c r="D98" s="328">
        <f>IF(D97&lt;=0,0,D97*IF(AND('02_Debt Engine'!$F$28="Yes",'02_Debt Engine'!$V$28&gt;0,D$4&gt;'02_Debt Engine'!$I$28),'02_Debt Engine'!$C$13,IF('02_Debt Engine'!$D$28="Active",'02_Debt Engine'!$H$28,'02_Debt Engine'!$C$7)))</f>
        <v>207620.61380405998</v>
      </c>
      <c r="E98" s="328">
        <f>IF(E97&lt;=0,0,E97*IF(AND('02_Debt Engine'!$F$28="Yes",'02_Debt Engine'!$V$28&gt;0,E$4&gt;'02_Debt Engine'!$I$28),'02_Debt Engine'!$C$13,IF('02_Debt Engine'!$D$28="Active",'02_Debt Engine'!$H$28,'02_Debt Engine'!$C$7)))</f>
        <v>204928.60398121091</v>
      </c>
      <c r="F98" s="328">
        <f>IF(F97&lt;=0,0,F97*IF(AND('02_Debt Engine'!$F$28="Yes",'02_Debt Engine'!$V$28&gt;0,F$4&gt;'02_Debt Engine'!$I$28),'02_Debt Engine'!$C$13,IF('02_Debt Engine'!$D$28="Active",'02_Debt Engine'!$H$28,'02_Debt Engine'!$C$7)))</f>
        <v>202123.2605448199</v>
      </c>
      <c r="G98" s="328">
        <f>IF(G97&lt;=0,0,G97*IF(AND('02_Debt Engine'!$F$28="Yes",'02_Debt Engine'!$V$28&gt;0,G$4&gt;'02_Debt Engine'!$I$28),'02_Debt Engine'!$C$13,IF('02_Debt Engine'!$D$28="Active",'02_Debt Engine'!$H$28,'02_Debt Engine'!$C$7)))</f>
        <v>199199.81214975682</v>
      </c>
      <c r="H98" s="328">
        <f>IF(H97&lt;=0,0,H97*IF(AND('02_Debt Engine'!$F$28="Yes",'02_Debt Engine'!$V$28&gt;0,H$4&gt;'02_Debt Engine'!$I$28),'02_Debt Engine'!$C$13,IF('02_Debt Engine'!$D$28="Active",'02_Debt Engine'!$H$28,'02_Debt Engine'!$C$7)))</f>
        <v>196153.28657726158</v>
      </c>
      <c r="I98" s="328">
        <f>IF(I97&lt;=0,0,I97*IF(AND('02_Debt Engine'!$F$28="Yes",'02_Debt Engine'!$V$28&gt;0,I$4&gt;'02_Debt Engine'!$I$28),'02_Debt Engine'!$C$13,IF('02_Debt Engine'!$D$28="Active",'02_Debt Engine'!$H$28,'02_Debt Engine'!$C$7)))</f>
        <v>192978.50227816429</v>
      </c>
      <c r="J98" s="328">
        <f>IF(J97&lt;=0,0,J97*IF(AND('02_Debt Engine'!$F$28="Yes",'02_Debt Engine'!$V$28&gt;0,J$4&gt;'02_Debt Engine'!$I$28),'02_Debt Engine'!$C$13,IF('02_Debt Engine'!$D$28="Active",'02_Debt Engine'!$H$28,'02_Debt Engine'!$C$7)))</f>
        <v>189670.05956007499</v>
      </c>
      <c r="K98" s="328">
        <f>IF(K97&lt;=0,0,K97*IF(AND('02_Debt Engine'!$F$28="Yes",'02_Debt Engine'!$V$28&gt;0,K$4&gt;'02_Debt Engine'!$I$28),'02_Debt Engine'!$C$13,IF('02_Debt Engine'!$D$28="Active",'02_Debt Engine'!$H$28,'02_Debt Engine'!$C$7)))</f>
        <v>186222.33140355413</v>
      </c>
      <c r="L98" s="328">
        <f>IF(L97&lt;=0,0,L97*IF(AND('02_Debt Engine'!$F$28="Yes",'02_Debt Engine'!$V$28&gt;0,L$4&gt;'02_Debt Engine'!$I$28),'02_Debt Engine'!$C$13,IF('02_Debt Engine'!$D$28="Active",'02_Debt Engine'!$H$28,'02_Debt Engine'!$C$7)))</f>
        <v>182629.45389164379</v>
      </c>
      <c r="M98" s="328">
        <f>IF(M97&lt;=0,0,M97*IF(AND('02_Debt Engine'!$F$28="Yes",'02_Debt Engine'!$V$28&gt;0,M$4&gt;'02_Debt Engine'!$I$28),'02_Debt Engine'!$C$13,IF('02_Debt Engine'!$D$28="Active",'02_Debt Engine'!$H$28,'02_Debt Engine'!$C$7)))</f>
        <v>268563.220832169</v>
      </c>
      <c r="N98" s="328">
        <f>IF(N97&lt;=0,0,N97*IF(AND('02_Debt Engine'!$F$28="Yes",'02_Debt Engine'!$V$28&gt;0,N$4&gt;'02_Debt Engine'!$I$28),'02_Debt Engine'!$C$13,IF('02_Debt Engine'!$D$28="Active",'02_Debt Engine'!$H$28,'02_Debt Engine'!$C$7)))</f>
        <v>265036.18839885137</v>
      </c>
      <c r="O98" s="328">
        <f>IF(O97&lt;=0,0,O97*IF(AND('02_Debt Engine'!$F$28="Yes",'02_Debt Engine'!$V$28&gt;0,O$4&gt;'02_Debt Engine'!$I$28),'02_Debt Engine'!$C$13,IF('02_Debt Engine'!$D$28="Active",'02_Debt Engine'!$H$28,'02_Debt Engine'!$C$7)))</f>
        <v>261368.07466820098</v>
      </c>
      <c r="P98" s="328">
        <f>IF(P97&lt;=0,0,P97*IF(AND('02_Debt Engine'!$F$28="Yes",'02_Debt Engine'!$V$28&gt;0,P$4&gt;'02_Debt Engine'!$I$28),'02_Debt Engine'!$C$13,IF('02_Debt Engine'!$D$28="Active",'02_Debt Engine'!$H$28,'02_Debt Engine'!$C$7)))</f>
        <v>257553.23638832461</v>
      </c>
      <c r="Q98" s="328">
        <f>IF(Q97&lt;=0,0,Q97*IF(AND('02_Debt Engine'!$F$28="Yes",'02_Debt Engine'!$V$28&gt;0,Q$4&gt;'02_Debt Engine'!$I$28),'02_Debt Engine'!$C$13,IF('02_Debt Engine'!$D$28="Active",'02_Debt Engine'!$H$28,'02_Debt Engine'!$C$7)))</f>
        <v>253585.80457725321</v>
      </c>
      <c r="R98" s="328">
        <f>IF(R97&lt;=0,0,R97*IF(AND('02_Debt Engine'!$F$28="Yes",'02_Debt Engine'!$V$28&gt;0,R$4&gt;'02_Debt Engine'!$I$28),'02_Debt Engine'!$C$13,IF('02_Debt Engine'!$D$28="Active",'02_Debt Engine'!$H$28,'02_Debt Engine'!$C$7)))</f>
        <v>249459.67549373896</v>
      </c>
      <c r="S98" s="328">
        <f>IF(S97&lt;=0,0,S97*IF(AND('02_Debt Engine'!$F$28="Yes",'02_Debt Engine'!$V$28&gt;0,S$4&gt;'02_Debt Engine'!$I$28),'02_Debt Engine'!$C$13,IF('02_Debt Engine'!$D$28="Active",'02_Debt Engine'!$H$28,'02_Debt Engine'!$C$7)))</f>
        <v>245168.50124688409</v>
      </c>
      <c r="T98" s="328">
        <f>IF(T97&lt;=0,0,T97*IF(AND('02_Debt Engine'!$F$28="Yes",'02_Debt Engine'!$V$28&gt;0,T$4&gt;'02_Debt Engine'!$I$28),'02_Debt Engine'!$C$13,IF('02_Debt Engine'!$D$28="Active",'02_Debt Engine'!$H$28,'02_Debt Engine'!$C$7)))</f>
        <v>240705.68003015508</v>
      </c>
      <c r="U98" s="328">
        <f>IF(U97&lt;=0,0,U97*IF(AND('02_Debt Engine'!$F$28="Yes",'02_Debt Engine'!$V$28&gt;0,U$4&gt;'02_Debt Engine'!$I$28),'02_Debt Engine'!$C$13,IF('02_Debt Engine'!$D$28="Active",'02_Debt Engine'!$H$28,'02_Debt Engine'!$C$7)))</f>
        <v>236064.34596475688</v>
      </c>
      <c r="V98" s="328">
        <f>IF(V97&lt;=0,0,V97*IF(AND('02_Debt Engine'!$F$28="Yes",'02_Debt Engine'!$V$28&gt;0,V$4&gt;'02_Debt Engine'!$I$28),'02_Debt Engine'!$C$13,IF('02_Debt Engine'!$D$28="Active",'02_Debt Engine'!$H$28,'02_Debt Engine'!$C$7)))</f>
        <v>231237.35853674274</v>
      </c>
      <c r="W98" s="328">
        <f>IF(W97&lt;=0,0,W97*IF(AND('02_Debt Engine'!$F$28="Yes",'02_Debt Engine'!$V$28&gt;0,W$4&gt;'02_Debt Engine'!$I$28),'02_Debt Engine'!$C$13,IF('02_Debt Engine'!$D$28="Active",'02_Debt Engine'!$H$28,'02_Debt Engine'!$C$7)))</f>
        <v>226217.29161160806</v>
      </c>
    </row>
    <row r="99" spans="2:23">
      <c r="B99" s="13" t="s">
        <v>532</v>
      </c>
      <c r="C99" s="329">
        <f>IF(C97&lt;=0,0,MIN(C97,IF(AND('02_Debt Engine'!$F$28="Yes",'02_Debt Engine'!$V$28&gt;0,C$4&gt;'02_Debt Engine'!$I$28),'02_Debt Engine'!$W$28,IF('02_Debt Engine'!$D$28="Active",'02_Debt Engine'!$K$28,'02_Debt Engine'!$P$28))-C98))</f>
        <v>61359.971400000039</v>
      </c>
      <c r="D99" s="329">
        <f>IF(D97&lt;=0,0,MIN(D97,IF(AND('02_Debt Engine'!$F$28="Yes",'02_Debt Engine'!$V$28&gt;0,D$4&gt;'02_Debt Engine'!$I$28),'02_Debt Engine'!$W$28,IF('02_Debt Engine'!$D$28="Active",'02_Debt Engine'!$K$28,'02_Debt Engine'!$P$28))-D98))</f>
        <v>63943.226195940049</v>
      </c>
      <c r="E99" s="329">
        <f>IF(E97&lt;=0,0,MIN(E97,IF(AND('02_Debt Engine'!$F$28="Yes",'02_Debt Engine'!$V$28&gt;0,E$4&gt;'02_Debt Engine'!$I$28),'02_Debt Engine'!$W$28,IF('02_Debt Engine'!$D$28="Active",'02_Debt Engine'!$K$28,'02_Debt Engine'!$P$28))-E98))</f>
        <v>66635.236018789117</v>
      </c>
      <c r="F99" s="329">
        <f>IF(F97&lt;=0,0,MIN(F97,IF(AND('02_Debt Engine'!$F$28="Yes",'02_Debt Engine'!$V$28&gt;0,F$4&gt;'02_Debt Engine'!$I$28),'02_Debt Engine'!$W$28,IF('02_Debt Engine'!$D$28="Active",'02_Debt Engine'!$K$28,'02_Debt Engine'!$P$28))-F98))</f>
        <v>69440.579455180123</v>
      </c>
      <c r="G99" s="329">
        <f>IF(G97&lt;=0,0,MIN(G97,IF(AND('02_Debt Engine'!$F$28="Yes",'02_Debt Engine'!$V$28&gt;0,G$4&gt;'02_Debt Engine'!$I$28),'02_Debt Engine'!$W$28,IF('02_Debt Engine'!$D$28="Active",'02_Debt Engine'!$K$28,'02_Debt Engine'!$P$28))-G98))</f>
        <v>72364.027850243205</v>
      </c>
      <c r="H99" s="329">
        <f>IF(H97&lt;=0,0,MIN(H97,IF(AND('02_Debt Engine'!$F$28="Yes",'02_Debt Engine'!$V$28&gt;0,H$4&gt;'02_Debt Engine'!$I$28),'02_Debt Engine'!$W$28,IF('02_Debt Engine'!$D$28="Active",'02_Debt Engine'!$K$28,'02_Debt Engine'!$P$28))-H98))</f>
        <v>75410.553422738449</v>
      </c>
      <c r="I99" s="329">
        <f>IF(I97&lt;=0,0,MIN(I97,IF(AND('02_Debt Engine'!$F$28="Yes",'02_Debt Engine'!$V$28&gt;0,I$4&gt;'02_Debt Engine'!$I$28),'02_Debt Engine'!$W$28,IF('02_Debt Engine'!$D$28="Active",'02_Debt Engine'!$K$28,'02_Debt Engine'!$P$28))-I98))</f>
        <v>78585.337721835735</v>
      </c>
      <c r="J99" s="329">
        <f>IF(J97&lt;=0,0,MIN(J97,IF(AND('02_Debt Engine'!$F$28="Yes",'02_Debt Engine'!$V$28&gt;0,J$4&gt;'02_Debt Engine'!$I$28),'02_Debt Engine'!$W$28,IF('02_Debt Engine'!$D$28="Active",'02_Debt Engine'!$K$28,'02_Debt Engine'!$P$28))-J98))</f>
        <v>81893.780439925031</v>
      </c>
      <c r="K99" s="329">
        <f>IF(K97&lt;=0,0,MIN(K97,IF(AND('02_Debt Engine'!$F$28="Yes",'02_Debt Engine'!$V$28&gt;0,K$4&gt;'02_Debt Engine'!$I$28),'02_Debt Engine'!$W$28,IF('02_Debt Engine'!$D$28="Active",'02_Debt Engine'!$K$28,'02_Debt Engine'!$P$28))-K98))</f>
        <v>85341.508596445899</v>
      </c>
      <c r="L99" s="329">
        <f>IF(L97&lt;=0,0,MIN(L97,IF(AND('02_Debt Engine'!$F$28="Yes",'02_Debt Engine'!$V$28&gt;0,L$4&gt;'02_Debt Engine'!$I$28),'02_Debt Engine'!$W$28,IF('02_Debt Engine'!$D$28="Active",'02_Debt Engine'!$K$28,'02_Debt Engine'!$P$28))-L98))</f>
        <v>88934.386108356237</v>
      </c>
      <c r="M99" s="329">
        <f>IF(M97&lt;=0,0,MIN(M97,IF(AND('02_Debt Engine'!$F$28="Yes",'02_Debt Engine'!$V$28&gt;0,M$4&gt;'02_Debt Engine'!$I$28),'02_Debt Engine'!$W$28,IF('02_Debt Engine'!$D$28="Active",'02_Debt Engine'!$K$28,'02_Debt Engine'!$P$28))-M98))</f>
        <v>88175.810832940915</v>
      </c>
      <c r="N99" s="329">
        <f>IF(N97&lt;=0,0,MIN(N97,IF(AND('02_Debt Engine'!$F$28="Yes",'02_Debt Engine'!$V$28&gt;0,N$4&gt;'02_Debt Engine'!$I$28),'02_Debt Engine'!$W$28,IF('02_Debt Engine'!$D$28="Active",'02_Debt Engine'!$K$28,'02_Debt Engine'!$P$28))-N98))</f>
        <v>91702.84326625854</v>
      </c>
      <c r="O99" s="329">
        <f>IF(O97&lt;=0,0,MIN(O97,IF(AND('02_Debt Engine'!$F$28="Yes",'02_Debt Engine'!$V$28&gt;0,O$4&gt;'02_Debt Engine'!$I$28),'02_Debt Engine'!$W$28,IF('02_Debt Engine'!$D$28="Active",'02_Debt Engine'!$K$28,'02_Debt Engine'!$P$28))-O98))</f>
        <v>95370.956996908935</v>
      </c>
      <c r="P99" s="329">
        <f>IF(P97&lt;=0,0,MIN(P97,IF(AND('02_Debt Engine'!$F$28="Yes",'02_Debt Engine'!$V$28&gt;0,P$4&gt;'02_Debt Engine'!$I$28),'02_Debt Engine'!$W$28,IF('02_Debt Engine'!$D$28="Active",'02_Debt Engine'!$K$28,'02_Debt Engine'!$P$28))-P98))</f>
        <v>99185.795276785298</v>
      </c>
      <c r="Q99" s="329">
        <f>IF(Q97&lt;=0,0,MIN(Q97,IF(AND('02_Debt Engine'!$F$28="Yes",'02_Debt Engine'!$V$28&gt;0,Q$4&gt;'02_Debt Engine'!$I$28),'02_Debt Engine'!$W$28,IF('02_Debt Engine'!$D$28="Active",'02_Debt Engine'!$K$28,'02_Debt Engine'!$P$28))-Q98))</f>
        <v>103153.22708785671</v>
      </c>
      <c r="R99" s="329">
        <f>IF(R97&lt;=0,0,MIN(R97,IF(AND('02_Debt Engine'!$F$28="Yes",'02_Debt Engine'!$V$28&gt;0,R$4&gt;'02_Debt Engine'!$I$28),'02_Debt Engine'!$W$28,IF('02_Debt Engine'!$D$28="Active",'02_Debt Engine'!$K$28,'02_Debt Engine'!$P$28))-R98))</f>
        <v>107279.35617137095</v>
      </c>
      <c r="S99" s="329">
        <f>IF(S97&lt;=0,0,MIN(S97,IF(AND('02_Debt Engine'!$F$28="Yes",'02_Debt Engine'!$V$28&gt;0,S$4&gt;'02_Debt Engine'!$I$28),'02_Debt Engine'!$W$28,IF('02_Debt Engine'!$D$28="Active",'02_Debt Engine'!$K$28,'02_Debt Engine'!$P$28))-S98))</f>
        <v>111570.53041822583</v>
      </c>
      <c r="T99" s="329">
        <f>IF(T97&lt;=0,0,MIN(T97,IF(AND('02_Debt Engine'!$F$28="Yes",'02_Debt Engine'!$V$28&gt;0,T$4&gt;'02_Debt Engine'!$I$28),'02_Debt Engine'!$W$28,IF('02_Debt Engine'!$D$28="Active",'02_Debt Engine'!$K$28,'02_Debt Engine'!$P$28))-T98))</f>
        <v>116033.35163495483</v>
      </c>
      <c r="U99" s="329">
        <f>IF(U97&lt;=0,0,MIN(U97,IF(AND('02_Debt Engine'!$F$28="Yes",'02_Debt Engine'!$V$28&gt;0,U$4&gt;'02_Debt Engine'!$I$28),'02_Debt Engine'!$W$28,IF('02_Debt Engine'!$D$28="Active",'02_Debt Engine'!$K$28,'02_Debt Engine'!$P$28))-U98))</f>
        <v>120674.68570035303</v>
      </c>
      <c r="V99" s="329">
        <f>IF(V97&lt;=0,0,MIN(V97,IF(AND('02_Debt Engine'!$F$28="Yes",'02_Debt Engine'!$V$28&gt;0,V$4&gt;'02_Debt Engine'!$I$28),'02_Debt Engine'!$W$28,IF('02_Debt Engine'!$D$28="Active",'02_Debt Engine'!$K$28,'02_Debt Engine'!$P$28))-V98))</f>
        <v>125501.67312836717</v>
      </c>
      <c r="W99" s="329">
        <f>IF(W97&lt;=0,0,MIN(W97,IF(AND('02_Debt Engine'!$F$28="Yes",'02_Debt Engine'!$V$28&gt;0,W$4&gt;'02_Debt Engine'!$I$28),'02_Debt Engine'!$W$28,IF('02_Debt Engine'!$D$28="Active",'02_Debt Engine'!$K$28,'02_Debt Engine'!$P$28))-W98))</f>
        <v>130521.74005350185</v>
      </c>
    </row>
    <row r="100" spans="2:23">
      <c r="B100" s="14" t="s">
        <v>533</v>
      </c>
      <c r="C100" s="331">
        <f t="shared" ref="C100:W100" si="28">C97-C99</f>
        <v>4931606.0285999998</v>
      </c>
      <c r="D100" s="331">
        <f t="shared" si="28"/>
        <v>4867662.80240406</v>
      </c>
      <c r="E100" s="331">
        <f t="shared" si="28"/>
        <v>4801027.566385271</v>
      </c>
      <c r="F100" s="331">
        <f t="shared" si="28"/>
        <v>4731586.9869300909</v>
      </c>
      <c r="G100" s="331">
        <f t="shared" si="28"/>
        <v>4659222.9590798477</v>
      </c>
      <c r="H100" s="331">
        <f t="shared" si="28"/>
        <v>4583812.4056571089</v>
      </c>
      <c r="I100" s="331">
        <f t="shared" si="28"/>
        <v>4505227.0679352731</v>
      </c>
      <c r="J100" s="331">
        <f t="shared" si="28"/>
        <v>4423333.2874953477</v>
      </c>
      <c r="K100" s="331">
        <f t="shared" si="28"/>
        <v>4337991.7788989022</v>
      </c>
      <c r="L100" s="331">
        <f t="shared" si="28"/>
        <v>4249057.3927905457</v>
      </c>
      <c r="M100" s="331">
        <f t="shared" si="28"/>
        <v>6625904.7099712836</v>
      </c>
      <c r="N100" s="331">
        <f t="shared" si="28"/>
        <v>6534201.8667050246</v>
      </c>
      <c r="O100" s="331">
        <f t="shared" si="28"/>
        <v>6438830.9097081153</v>
      </c>
      <c r="P100" s="331">
        <f t="shared" si="28"/>
        <v>6339645.11443133</v>
      </c>
      <c r="Q100" s="331">
        <f t="shared" si="28"/>
        <v>6236491.8873434737</v>
      </c>
      <c r="R100" s="331">
        <f t="shared" si="28"/>
        <v>6129212.5311721023</v>
      </c>
      <c r="S100" s="331">
        <f t="shared" si="28"/>
        <v>6017642.0007538768</v>
      </c>
      <c r="T100" s="331">
        <f t="shared" si="28"/>
        <v>5901608.6491189217</v>
      </c>
      <c r="U100" s="331">
        <f t="shared" si="28"/>
        <v>5780933.9634185685</v>
      </c>
      <c r="V100" s="331">
        <f t="shared" si="28"/>
        <v>5655432.2902902011</v>
      </c>
      <c r="W100" s="331">
        <f t="shared" si="28"/>
        <v>5524910.5502366992</v>
      </c>
    </row>
    <row r="101" spans="2:23">
      <c r="B101" s="3" t="s">
        <v>367</v>
      </c>
      <c r="C101" s="328">
        <f>IF(AND('02_Debt Engine'!$F$28="Yes",'02_Debt Engine'!$V$28&gt;0,C$4='02_Debt Engine'!$I$28),-C100,0)</f>
        <v>0</v>
      </c>
      <c r="D101" s="328">
        <f>IF(AND('02_Debt Engine'!$F$28="Yes",'02_Debt Engine'!$V$28&gt;0,D$4='02_Debt Engine'!$I$28),-D100,0)</f>
        <v>0</v>
      </c>
      <c r="E101" s="328">
        <f>IF(AND('02_Debt Engine'!$F$28="Yes",'02_Debt Engine'!$V$28&gt;0,E$4='02_Debt Engine'!$I$28),-E100,0)</f>
        <v>0</v>
      </c>
      <c r="F101" s="328">
        <f>IF(AND('02_Debt Engine'!$F$28="Yes",'02_Debt Engine'!$V$28&gt;0,F$4='02_Debt Engine'!$I$28),-F100,0)</f>
        <v>0</v>
      </c>
      <c r="G101" s="328">
        <f>IF(AND('02_Debt Engine'!$F$28="Yes",'02_Debt Engine'!$V$28&gt;0,G$4='02_Debt Engine'!$I$28),-G100,0)</f>
        <v>0</v>
      </c>
      <c r="H101" s="328">
        <f>IF(AND('02_Debt Engine'!$F$28="Yes",'02_Debt Engine'!$V$28&gt;0,H$4='02_Debt Engine'!$I$28),-H100,0)</f>
        <v>0</v>
      </c>
      <c r="I101" s="328">
        <f>IF(AND('02_Debt Engine'!$F$28="Yes",'02_Debt Engine'!$V$28&gt;0,I$4='02_Debt Engine'!$I$28),-I100,0)</f>
        <v>0</v>
      </c>
      <c r="J101" s="328">
        <f>IF(AND('02_Debt Engine'!$F$28="Yes",'02_Debt Engine'!$V$28&gt;0,J$4='02_Debt Engine'!$I$28),-J100,0)</f>
        <v>0</v>
      </c>
      <c r="K101" s="328">
        <f>IF(AND('02_Debt Engine'!$F$28="Yes",'02_Debt Engine'!$V$28&gt;0,K$4='02_Debt Engine'!$I$28),-K100,0)</f>
        <v>0</v>
      </c>
      <c r="L101" s="328">
        <f>IF(AND('02_Debt Engine'!$F$28="Yes",'02_Debt Engine'!$V$28&gt;0,L$4='02_Debt Engine'!$I$28),-L100,0)</f>
        <v>-4249057.3927905457</v>
      </c>
      <c r="M101" s="328">
        <f>IF(AND('02_Debt Engine'!$F$28="Yes",'02_Debt Engine'!$V$28&gt;0,M$4='02_Debt Engine'!$I$28),-M100,0)</f>
        <v>0</v>
      </c>
      <c r="N101" s="328">
        <f>IF(AND('02_Debt Engine'!$F$28="Yes",'02_Debt Engine'!$V$28&gt;0,N$4='02_Debt Engine'!$I$28),-N100,0)</f>
        <v>0</v>
      </c>
      <c r="O101" s="328">
        <f>IF(AND('02_Debt Engine'!$F$28="Yes",'02_Debt Engine'!$V$28&gt;0,O$4='02_Debt Engine'!$I$28),-O100,0)</f>
        <v>0</v>
      </c>
      <c r="P101" s="328">
        <f>IF(AND('02_Debt Engine'!$F$28="Yes",'02_Debt Engine'!$V$28&gt;0,P$4='02_Debt Engine'!$I$28),-P100,0)</f>
        <v>0</v>
      </c>
      <c r="Q101" s="328">
        <f>IF(AND('02_Debt Engine'!$F$28="Yes",'02_Debt Engine'!$V$28&gt;0,Q$4='02_Debt Engine'!$I$28),-Q100,0)</f>
        <v>0</v>
      </c>
      <c r="R101" s="328">
        <f>IF(AND('02_Debt Engine'!$F$28="Yes",'02_Debt Engine'!$V$28&gt;0,R$4='02_Debt Engine'!$I$28),-R100,0)</f>
        <v>0</v>
      </c>
      <c r="S101" s="328">
        <f>IF(AND('02_Debt Engine'!$F$28="Yes",'02_Debt Engine'!$V$28&gt;0,S$4='02_Debt Engine'!$I$28),-S100,0)</f>
        <v>0</v>
      </c>
      <c r="T101" s="328">
        <f>IF(AND('02_Debt Engine'!$F$28="Yes",'02_Debt Engine'!$V$28&gt;0,T$4='02_Debt Engine'!$I$28),-T100,0)</f>
        <v>0</v>
      </c>
      <c r="U101" s="328">
        <f>IF(AND('02_Debt Engine'!$F$28="Yes",'02_Debt Engine'!$V$28&gt;0,U$4='02_Debt Engine'!$I$28),-U100,0)</f>
        <v>0</v>
      </c>
      <c r="V101" s="328">
        <f>IF(AND('02_Debt Engine'!$F$28="Yes",'02_Debt Engine'!$V$28&gt;0,V$4='02_Debt Engine'!$I$28),-V100,0)</f>
        <v>0</v>
      </c>
      <c r="W101" s="328">
        <f>IF(AND('02_Debt Engine'!$F$28="Yes",'02_Debt Engine'!$V$28&gt;0,W$4='02_Debt Engine'!$I$28),-W100,0)</f>
        <v>0</v>
      </c>
    </row>
    <row r="102" spans="2:23">
      <c r="B102" s="13" t="s">
        <v>534</v>
      </c>
      <c r="C102" s="329">
        <f>IF(AND('02_Debt Engine'!$F$28="Yes",'02_Debt Engine'!$V$28&gt;0,C$4='02_Debt Engine'!$I$28),'02_Debt Engine'!$V$28,0)</f>
        <v>0</v>
      </c>
      <c r="D102" s="329">
        <f>IF(AND('02_Debt Engine'!$F$28="Yes",'02_Debt Engine'!$V$28&gt;0,D$4='02_Debt Engine'!$I$28),'02_Debt Engine'!$V$28,0)</f>
        <v>0</v>
      </c>
      <c r="E102" s="329">
        <f>IF(AND('02_Debt Engine'!$F$28="Yes",'02_Debt Engine'!$V$28&gt;0,E$4='02_Debt Engine'!$I$28),'02_Debt Engine'!$V$28,0)</f>
        <v>0</v>
      </c>
      <c r="F102" s="329">
        <f>IF(AND('02_Debt Engine'!$F$28="Yes",'02_Debt Engine'!$V$28&gt;0,F$4='02_Debt Engine'!$I$28),'02_Debt Engine'!$V$28,0)</f>
        <v>0</v>
      </c>
      <c r="G102" s="329">
        <f>IF(AND('02_Debt Engine'!$F$28="Yes",'02_Debt Engine'!$V$28&gt;0,G$4='02_Debt Engine'!$I$28),'02_Debt Engine'!$V$28,0)</f>
        <v>0</v>
      </c>
      <c r="H102" s="329">
        <f>IF(AND('02_Debt Engine'!$F$28="Yes",'02_Debt Engine'!$V$28&gt;0,H$4='02_Debt Engine'!$I$28),'02_Debt Engine'!$V$28,0)</f>
        <v>0</v>
      </c>
      <c r="I102" s="329">
        <f>IF(AND('02_Debt Engine'!$F$28="Yes",'02_Debt Engine'!$V$28&gt;0,I$4='02_Debt Engine'!$I$28),'02_Debt Engine'!$V$28,0)</f>
        <v>0</v>
      </c>
      <c r="J102" s="329">
        <f>IF(AND('02_Debt Engine'!$F$28="Yes",'02_Debt Engine'!$V$28&gt;0,J$4='02_Debt Engine'!$I$28),'02_Debt Engine'!$V$28,0)</f>
        <v>0</v>
      </c>
      <c r="K102" s="329">
        <f>IF(AND('02_Debt Engine'!$F$28="Yes",'02_Debt Engine'!$V$28&gt;0,K$4='02_Debt Engine'!$I$28),'02_Debt Engine'!$V$28,0)</f>
        <v>0</v>
      </c>
      <c r="L102" s="329">
        <f>IF(AND('02_Debt Engine'!$F$28="Yes",'02_Debt Engine'!$V$28&gt;0,L$4='02_Debt Engine'!$I$28),'02_Debt Engine'!$V$28,0)</f>
        <v>6714080.5208042245</v>
      </c>
      <c r="M102" s="329">
        <f>IF(AND('02_Debt Engine'!$F$28="Yes",'02_Debt Engine'!$V$28&gt;0,M$4='02_Debt Engine'!$I$28),'02_Debt Engine'!$V$28,0)</f>
        <v>0</v>
      </c>
      <c r="N102" s="329">
        <f>IF(AND('02_Debt Engine'!$F$28="Yes",'02_Debt Engine'!$V$28&gt;0,N$4='02_Debt Engine'!$I$28),'02_Debt Engine'!$V$28,0)</f>
        <v>0</v>
      </c>
      <c r="O102" s="329">
        <f>IF(AND('02_Debt Engine'!$F$28="Yes",'02_Debt Engine'!$V$28&gt;0,O$4='02_Debt Engine'!$I$28),'02_Debt Engine'!$V$28,0)</f>
        <v>0</v>
      </c>
      <c r="P102" s="329">
        <f>IF(AND('02_Debt Engine'!$F$28="Yes",'02_Debt Engine'!$V$28&gt;0,P$4='02_Debt Engine'!$I$28),'02_Debt Engine'!$V$28,0)</f>
        <v>0</v>
      </c>
      <c r="Q102" s="329">
        <f>IF(AND('02_Debt Engine'!$F$28="Yes",'02_Debt Engine'!$V$28&gt;0,Q$4='02_Debt Engine'!$I$28),'02_Debt Engine'!$V$28,0)</f>
        <v>0</v>
      </c>
      <c r="R102" s="329">
        <f>IF(AND('02_Debt Engine'!$F$28="Yes",'02_Debt Engine'!$V$28&gt;0,R$4='02_Debt Engine'!$I$28),'02_Debt Engine'!$V$28,0)</f>
        <v>0</v>
      </c>
      <c r="S102" s="329">
        <f>IF(AND('02_Debt Engine'!$F$28="Yes",'02_Debt Engine'!$V$28&gt;0,S$4='02_Debt Engine'!$I$28),'02_Debt Engine'!$V$28,0)</f>
        <v>0</v>
      </c>
      <c r="T102" s="329">
        <f>IF(AND('02_Debt Engine'!$F$28="Yes",'02_Debt Engine'!$V$28&gt;0,T$4='02_Debt Engine'!$I$28),'02_Debt Engine'!$V$28,0)</f>
        <v>0</v>
      </c>
      <c r="U102" s="329">
        <f>IF(AND('02_Debt Engine'!$F$28="Yes",'02_Debt Engine'!$V$28&gt;0,U$4='02_Debt Engine'!$I$28),'02_Debt Engine'!$V$28,0)</f>
        <v>0</v>
      </c>
      <c r="V102" s="329">
        <f>IF(AND('02_Debt Engine'!$F$28="Yes",'02_Debt Engine'!$V$28&gt;0,V$4='02_Debt Engine'!$I$28),'02_Debt Engine'!$V$28,0)</f>
        <v>0</v>
      </c>
      <c r="W102" s="329">
        <f>IF(AND('02_Debt Engine'!$F$28="Yes",'02_Debt Engine'!$V$28&gt;0,W$4='02_Debt Engine'!$I$28),'02_Debt Engine'!$V$28,0)</f>
        <v>0</v>
      </c>
    </row>
    <row r="103" spans="2:23">
      <c r="B103" s="3" t="s">
        <v>535</v>
      </c>
      <c r="C103" s="330">
        <f t="shared" ref="C103:W103" si="29">C101+C102</f>
        <v>0</v>
      </c>
      <c r="D103" s="330">
        <f t="shared" si="29"/>
        <v>0</v>
      </c>
      <c r="E103" s="330">
        <f t="shared" si="29"/>
        <v>0</v>
      </c>
      <c r="F103" s="330">
        <f t="shared" si="29"/>
        <v>0</v>
      </c>
      <c r="G103" s="330">
        <f t="shared" si="29"/>
        <v>0</v>
      </c>
      <c r="H103" s="330">
        <f t="shared" si="29"/>
        <v>0</v>
      </c>
      <c r="I103" s="330">
        <f t="shared" si="29"/>
        <v>0</v>
      </c>
      <c r="J103" s="330">
        <f t="shared" si="29"/>
        <v>0</v>
      </c>
      <c r="K103" s="330">
        <f t="shared" si="29"/>
        <v>0</v>
      </c>
      <c r="L103" s="330">
        <f t="shared" si="29"/>
        <v>2465023.1280136788</v>
      </c>
      <c r="M103" s="330">
        <f t="shared" si="29"/>
        <v>0</v>
      </c>
      <c r="N103" s="330">
        <f t="shared" si="29"/>
        <v>0</v>
      </c>
      <c r="O103" s="330">
        <f t="shared" si="29"/>
        <v>0</v>
      </c>
      <c r="P103" s="330">
        <f t="shared" si="29"/>
        <v>0</v>
      </c>
      <c r="Q103" s="330">
        <f t="shared" si="29"/>
        <v>0</v>
      </c>
      <c r="R103" s="330">
        <f t="shared" si="29"/>
        <v>0</v>
      </c>
      <c r="S103" s="330">
        <f t="shared" si="29"/>
        <v>0</v>
      </c>
      <c r="T103" s="330">
        <f t="shared" si="29"/>
        <v>0</v>
      </c>
      <c r="U103" s="330">
        <f t="shared" si="29"/>
        <v>0</v>
      </c>
      <c r="V103" s="330">
        <f t="shared" si="29"/>
        <v>0</v>
      </c>
      <c r="W103" s="330">
        <f t="shared" si="29"/>
        <v>0</v>
      </c>
    </row>
    <row r="104" spans="2:23">
      <c r="B104" s="14" t="s">
        <v>525</v>
      </c>
      <c r="C104" s="328">
        <f t="shared" ref="C104:W104" si="30">C98+C99</f>
        <v>271563.84000000003</v>
      </c>
      <c r="D104" s="328">
        <f t="shared" si="30"/>
        <v>271563.84000000003</v>
      </c>
      <c r="E104" s="328">
        <f t="shared" si="30"/>
        <v>271563.84000000003</v>
      </c>
      <c r="F104" s="328">
        <f t="shared" si="30"/>
        <v>271563.84000000003</v>
      </c>
      <c r="G104" s="328">
        <f t="shared" si="30"/>
        <v>271563.84000000003</v>
      </c>
      <c r="H104" s="328">
        <f t="shared" si="30"/>
        <v>271563.84000000003</v>
      </c>
      <c r="I104" s="328">
        <f t="shared" si="30"/>
        <v>271563.84000000003</v>
      </c>
      <c r="J104" s="328">
        <f t="shared" si="30"/>
        <v>271563.84000000003</v>
      </c>
      <c r="K104" s="328">
        <f t="shared" si="30"/>
        <v>271563.84000000003</v>
      </c>
      <c r="L104" s="328">
        <f t="shared" si="30"/>
        <v>271563.84000000003</v>
      </c>
      <c r="M104" s="328">
        <f t="shared" si="30"/>
        <v>356739.03166510991</v>
      </c>
      <c r="N104" s="328">
        <f t="shared" si="30"/>
        <v>356739.03166510991</v>
      </c>
      <c r="O104" s="328">
        <f t="shared" si="30"/>
        <v>356739.03166510991</v>
      </c>
      <c r="P104" s="328">
        <f t="shared" si="30"/>
        <v>356739.03166510991</v>
      </c>
      <c r="Q104" s="328">
        <f t="shared" si="30"/>
        <v>356739.03166510991</v>
      </c>
      <c r="R104" s="328">
        <f t="shared" si="30"/>
        <v>356739.03166510991</v>
      </c>
      <c r="S104" s="328">
        <f t="shared" si="30"/>
        <v>356739.03166510991</v>
      </c>
      <c r="T104" s="328">
        <f t="shared" si="30"/>
        <v>356739.03166510991</v>
      </c>
      <c r="U104" s="328">
        <f t="shared" si="30"/>
        <v>356739.03166510991</v>
      </c>
      <c r="V104" s="328">
        <f t="shared" si="30"/>
        <v>356739.03166510991</v>
      </c>
      <c r="W104" s="328">
        <f t="shared" si="30"/>
        <v>356739.03166510991</v>
      </c>
    </row>
    <row r="106" spans="2:23">
      <c r="B106" s="327" t="str">
        <f>'02_Debt Engine'!$B$29</f>
        <v>Natalia Terrace</v>
      </c>
      <c r="C106" s="327" t="str">
        <f>_xlfn.LET(_xlpm.refiyr,INDEX('02_Debt Engine'!$I$19:$I$35,MATCH('02A_Debt Schedule'!$B106,'02_Debt Engine'!$B$19:$B$35,0)),IF(_xlpm.refiyr='02A_Debt Schedule'!C$4,"Refi Yr.",""))</f>
        <v/>
      </c>
      <c r="D106" s="327" t="str">
        <f>_xlfn.LET(_xlpm.refiyr,INDEX('02_Debt Engine'!$I$19:$I$35,MATCH('02A_Debt Schedule'!$B106,'02_Debt Engine'!$B$19:$B$35,0)),IF(_xlpm.refiyr='02A_Debt Schedule'!D$4,"Refi Yr.",""))</f>
        <v/>
      </c>
      <c r="E106" s="327" t="str">
        <f>_xlfn.LET(_xlpm.refiyr,INDEX('02_Debt Engine'!$I$19:$I$35,MATCH('02A_Debt Schedule'!$B106,'02_Debt Engine'!$B$19:$B$35,0)),IF(_xlpm.refiyr='02A_Debt Schedule'!E$4,"Refi Yr.",""))</f>
        <v>Refi Yr.</v>
      </c>
      <c r="F106" s="327" t="str">
        <f>_xlfn.LET(_xlpm.refiyr,INDEX('02_Debt Engine'!$I$19:$I$35,MATCH('02A_Debt Schedule'!$B106,'02_Debt Engine'!$B$19:$B$35,0)),IF(_xlpm.refiyr='02A_Debt Schedule'!F$4,"Refi Yr.",""))</f>
        <v/>
      </c>
      <c r="G106" s="327" t="str">
        <f>_xlfn.LET(_xlpm.refiyr,INDEX('02_Debt Engine'!$I$19:$I$35,MATCH('02A_Debt Schedule'!$B106,'02_Debt Engine'!$B$19:$B$35,0)),IF(_xlpm.refiyr='02A_Debt Schedule'!G$4,"Refi Yr.",""))</f>
        <v/>
      </c>
      <c r="H106" s="327" t="str">
        <f>_xlfn.LET(_xlpm.refiyr,INDEX('02_Debt Engine'!$I$19:$I$35,MATCH('02A_Debt Schedule'!$B106,'02_Debt Engine'!$B$19:$B$35,0)),IF(_xlpm.refiyr='02A_Debt Schedule'!H$4,"Refi Yr.",""))</f>
        <v/>
      </c>
      <c r="I106" s="327" t="str">
        <f>_xlfn.LET(_xlpm.refiyr,INDEX('02_Debt Engine'!$I$19:$I$35,MATCH('02A_Debt Schedule'!$B106,'02_Debt Engine'!$B$19:$B$35,0)),IF(_xlpm.refiyr='02A_Debt Schedule'!I$4,"Refi Yr.",""))</f>
        <v/>
      </c>
      <c r="J106" s="327" t="str">
        <f>_xlfn.LET(_xlpm.refiyr,INDEX('02_Debt Engine'!$I$19:$I$35,MATCH('02A_Debt Schedule'!$B106,'02_Debt Engine'!$B$19:$B$35,0)),IF(_xlpm.refiyr='02A_Debt Schedule'!J$4,"Refi Yr.",""))</f>
        <v/>
      </c>
      <c r="K106" s="327" t="str">
        <f>_xlfn.LET(_xlpm.refiyr,INDEX('02_Debt Engine'!$I$19:$I$35,MATCH('02A_Debt Schedule'!$B106,'02_Debt Engine'!$B$19:$B$35,0)),IF(_xlpm.refiyr='02A_Debt Schedule'!K$4,"Refi Yr.",""))</f>
        <v/>
      </c>
      <c r="L106" s="327" t="str">
        <f>_xlfn.LET(_xlpm.refiyr,INDEX('02_Debt Engine'!$I$19:$I$35,MATCH('02A_Debt Schedule'!$B106,'02_Debt Engine'!$B$19:$B$35,0)),IF(_xlpm.refiyr='02A_Debt Schedule'!L$4,"Refi Yr.",""))</f>
        <v/>
      </c>
      <c r="M106" s="327" t="str">
        <f>_xlfn.LET(_xlpm.refiyr,INDEX('02_Debt Engine'!$I$19:$I$35,MATCH('02A_Debt Schedule'!$B106,'02_Debt Engine'!$B$19:$B$35,0)),IF(_xlpm.refiyr='02A_Debt Schedule'!M$4,"Refi Yr.",""))</f>
        <v/>
      </c>
      <c r="N106" s="327" t="str">
        <f>_xlfn.LET(_xlpm.refiyr,INDEX('02_Debt Engine'!$I$19:$I$35,MATCH('02A_Debt Schedule'!$B106,'02_Debt Engine'!$B$19:$B$35,0)),IF(_xlpm.refiyr='02A_Debt Schedule'!N$4,"Refi Yr.",""))</f>
        <v/>
      </c>
      <c r="O106" s="327" t="str">
        <f>_xlfn.LET(_xlpm.refiyr,INDEX('02_Debt Engine'!$I$19:$I$35,MATCH('02A_Debt Schedule'!$B106,'02_Debt Engine'!$B$19:$B$35,0)),IF(_xlpm.refiyr='02A_Debt Schedule'!O$4,"Refi Yr.",""))</f>
        <v/>
      </c>
      <c r="P106" s="327" t="str">
        <f>_xlfn.LET(_xlpm.refiyr,INDEX('02_Debt Engine'!$I$19:$I$35,MATCH('02A_Debt Schedule'!$B106,'02_Debt Engine'!$B$19:$B$35,0)),IF(_xlpm.refiyr='02A_Debt Schedule'!P$4,"Refi Yr.",""))</f>
        <v/>
      </c>
      <c r="Q106" s="327" t="str">
        <f>_xlfn.LET(_xlpm.refiyr,INDEX('02_Debt Engine'!$I$19:$I$35,MATCH('02A_Debt Schedule'!$B106,'02_Debt Engine'!$B$19:$B$35,0)),IF(_xlpm.refiyr='02A_Debt Schedule'!Q$4,"Refi Yr.",""))</f>
        <v/>
      </c>
      <c r="R106" s="327" t="str">
        <f>_xlfn.LET(_xlpm.refiyr,INDEX('02_Debt Engine'!$I$19:$I$35,MATCH('02A_Debt Schedule'!$B106,'02_Debt Engine'!$B$19:$B$35,0)),IF(_xlpm.refiyr='02A_Debt Schedule'!R$4,"Refi Yr.",""))</f>
        <v/>
      </c>
      <c r="S106" s="327" t="str">
        <f>_xlfn.LET(_xlpm.refiyr,INDEX('02_Debt Engine'!$I$19:$I$35,MATCH('02A_Debt Schedule'!$B106,'02_Debt Engine'!$B$19:$B$35,0)),IF(_xlpm.refiyr='02A_Debt Schedule'!S$4,"Refi Yr.",""))</f>
        <v/>
      </c>
      <c r="T106" s="327" t="str">
        <f>_xlfn.LET(_xlpm.refiyr,INDEX('02_Debt Engine'!$I$19:$I$35,MATCH('02A_Debt Schedule'!$B106,'02_Debt Engine'!$B$19:$B$35,0)),IF(_xlpm.refiyr='02A_Debt Schedule'!T$4,"Refi Yr.",""))</f>
        <v/>
      </c>
      <c r="U106" s="327" t="str">
        <f>_xlfn.LET(_xlpm.refiyr,INDEX('02_Debt Engine'!$I$19:$I$35,MATCH('02A_Debt Schedule'!$B106,'02_Debt Engine'!$B$19:$B$35,0)),IF(_xlpm.refiyr='02A_Debt Schedule'!U$4,"Refi Yr.",""))</f>
        <v/>
      </c>
      <c r="V106" s="327" t="str">
        <f>_xlfn.LET(_xlpm.refiyr,INDEX('02_Debt Engine'!$I$19:$I$35,MATCH('02A_Debt Schedule'!$B106,'02_Debt Engine'!$B$19:$B$35,0)),IF(_xlpm.refiyr='02A_Debt Schedule'!V$4,"Refi Yr.",""))</f>
        <v/>
      </c>
      <c r="W106" s="327" t="str">
        <f>_xlfn.LET(_xlpm.refiyr,INDEX('02_Debt Engine'!$I$19:$I$35,MATCH('02A_Debt Schedule'!$B106,'02_Debt Engine'!$B$19:$B$35,0)),IF(_xlpm.refiyr='02A_Debt Schedule'!W$4,"Refi Yr.",""))</f>
        <v/>
      </c>
    </row>
    <row r="107" spans="2:23">
      <c r="B107" s="3" t="s">
        <v>531</v>
      </c>
      <c r="C107" s="328">
        <f>IF('02_Debt Engine'!$D$29="Active",'02_Debt Engine'!$N$29,'02_Debt Engine'!$O$29)</f>
        <v>485006.87</v>
      </c>
      <c r="D107" s="328">
        <f>IF(AND('02_Debt Engine'!$F$29="Yes",'02_Debt Engine'!$V$29&gt;0,C$4='02_Debt Engine'!$I$29),'02_Debt Engine'!$V$29,C110)</f>
        <v>231219.36128800001</v>
      </c>
      <c r="E107" s="328">
        <f>IF(AND('02_Debt Engine'!$F$29="Yes",'02_Debt Engine'!$V$29&gt;0,D$4='02_Debt Engine'!$I$29),'02_Debt Engine'!$V$29,D110)</f>
        <v>0</v>
      </c>
      <c r="F107" s="328">
        <f>IF(AND('02_Debt Engine'!$F$29="Yes",'02_Debt Engine'!$V$29&gt;0,E$4='02_Debt Engine'!$I$29),'02_Debt Engine'!$V$29,E110)</f>
        <v>0</v>
      </c>
      <c r="G107" s="328">
        <f>IF(AND('02_Debt Engine'!$F$29="Yes",'02_Debt Engine'!$V$29&gt;0,F$4='02_Debt Engine'!$I$29),'02_Debt Engine'!$V$29,F110)</f>
        <v>0</v>
      </c>
      <c r="H107" s="328">
        <f>IF(AND('02_Debt Engine'!$F$29="Yes",'02_Debt Engine'!$V$29&gt;0,G$4='02_Debt Engine'!$I$29),'02_Debt Engine'!$V$29,G110)</f>
        <v>0</v>
      </c>
      <c r="I107" s="328">
        <f>IF(AND('02_Debt Engine'!$F$29="Yes",'02_Debt Engine'!$V$29&gt;0,H$4='02_Debt Engine'!$I$29),'02_Debt Engine'!$V$29,H110)</f>
        <v>0</v>
      </c>
      <c r="J107" s="328">
        <f>IF(AND('02_Debt Engine'!$F$29="Yes",'02_Debt Engine'!$V$29&gt;0,I$4='02_Debt Engine'!$I$29),'02_Debt Engine'!$V$29,I110)</f>
        <v>0</v>
      </c>
      <c r="K107" s="328">
        <f>IF(AND('02_Debt Engine'!$F$29="Yes",'02_Debt Engine'!$V$29&gt;0,J$4='02_Debt Engine'!$I$29),'02_Debt Engine'!$V$29,J110)</f>
        <v>0</v>
      </c>
      <c r="L107" s="328">
        <f>IF(AND('02_Debt Engine'!$F$29="Yes",'02_Debt Engine'!$V$29&gt;0,K$4='02_Debt Engine'!$I$29),'02_Debt Engine'!$V$29,K110)</f>
        <v>0</v>
      </c>
      <c r="M107" s="328">
        <f>IF(AND('02_Debt Engine'!$F$29="Yes",'02_Debt Engine'!$V$29&gt;0,L$4='02_Debt Engine'!$I$29),'02_Debt Engine'!$V$29,L110)</f>
        <v>0</v>
      </c>
      <c r="N107" s="328">
        <f>IF(AND('02_Debt Engine'!$F$29="Yes",'02_Debt Engine'!$V$29&gt;0,M$4='02_Debt Engine'!$I$29),'02_Debt Engine'!$V$29,M110)</f>
        <v>0</v>
      </c>
      <c r="O107" s="328">
        <f>IF(AND('02_Debt Engine'!$F$29="Yes",'02_Debt Engine'!$V$29&gt;0,N$4='02_Debt Engine'!$I$29),'02_Debt Engine'!$V$29,N110)</f>
        <v>0</v>
      </c>
      <c r="P107" s="328">
        <f>IF(AND('02_Debt Engine'!$F$29="Yes",'02_Debt Engine'!$V$29&gt;0,O$4='02_Debt Engine'!$I$29),'02_Debt Engine'!$V$29,O110)</f>
        <v>0</v>
      </c>
      <c r="Q107" s="328">
        <f>IF(AND('02_Debt Engine'!$F$29="Yes",'02_Debt Engine'!$V$29&gt;0,P$4='02_Debt Engine'!$I$29),'02_Debt Engine'!$V$29,P110)</f>
        <v>0</v>
      </c>
      <c r="R107" s="328">
        <f>IF(AND('02_Debt Engine'!$F$29="Yes",'02_Debt Engine'!$V$29&gt;0,Q$4='02_Debt Engine'!$I$29),'02_Debt Engine'!$V$29,Q110)</f>
        <v>0</v>
      </c>
      <c r="S107" s="328">
        <f>IF(AND('02_Debt Engine'!$F$29="Yes",'02_Debt Engine'!$V$29&gt;0,R$4='02_Debt Engine'!$I$29),'02_Debt Engine'!$V$29,R110)</f>
        <v>0</v>
      </c>
      <c r="T107" s="328">
        <f>IF(AND('02_Debt Engine'!$F$29="Yes",'02_Debt Engine'!$V$29&gt;0,S$4='02_Debt Engine'!$I$29),'02_Debt Engine'!$V$29,S110)</f>
        <v>0</v>
      </c>
      <c r="U107" s="328">
        <f>IF(AND('02_Debt Engine'!$F$29="Yes",'02_Debt Engine'!$V$29&gt;0,T$4='02_Debt Engine'!$I$29),'02_Debt Engine'!$V$29,T110)</f>
        <v>0</v>
      </c>
      <c r="V107" s="328">
        <f>IF(AND('02_Debt Engine'!$F$29="Yes",'02_Debt Engine'!$V$29&gt;0,U$4='02_Debt Engine'!$I$29),'02_Debt Engine'!$V$29,U110)</f>
        <v>0</v>
      </c>
      <c r="W107" s="328">
        <f>IF(AND('02_Debt Engine'!$F$29="Yes",'02_Debt Engine'!$V$29&gt;0,V$4='02_Debt Engine'!$I$29),'02_Debt Engine'!$V$29,V110)</f>
        <v>0</v>
      </c>
    </row>
    <row r="108" spans="2:23">
      <c r="B108" s="3" t="s">
        <v>514</v>
      </c>
      <c r="C108" s="328">
        <f>IF(C107&lt;=0,0,C107*IF(AND('02_Debt Engine'!$F$29="Yes",'02_Debt Engine'!$V$29&gt;0,C$4&gt;'02_Debt Engine'!$I$29),'02_Debt Engine'!$C$13,IF('02_Debt Engine'!$D$29="Active",'02_Debt Engine'!$H$29,'02_Debt Engine'!$C$7)))</f>
        <v>20564.291288</v>
      </c>
      <c r="D108" s="328">
        <f>IF(D107&lt;=0,0,D107*IF(AND('02_Debt Engine'!$F$29="Yes",'02_Debt Engine'!$V$29&gt;0,D$4&gt;'02_Debt Engine'!$I$29),'02_Debt Engine'!$C$13,IF('02_Debt Engine'!$D$29="Active",'02_Debt Engine'!$H$29,'02_Debt Engine'!$C$7)))</f>
        <v>9803.7009186112009</v>
      </c>
      <c r="E108" s="328">
        <f>IF(E107&lt;=0,0,E107*IF(AND('02_Debt Engine'!$F$29="Yes",'02_Debt Engine'!$V$29&gt;0,E$4&gt;'02_Debt Engine'!$I$29),'02_Debt Engine'!$C$13,IF('02_Debt Engine'!$D$29="Active",'02_Debt Engine'!$H$29,'02_Debt Engine'!$C$7)))</f>
        <v>0</v>
      </c>
      <c r="F108" s="328">
        <f>IF(F107&lt;=0,0,F107*IF(AND('02_Debt Engine'!$F$29="Yes",'02_Debt Engine'!$V$29&gt;0,F$4&gt;'02_Debt Engine'!$I$29),'02_Debt Engine'!$C$13,IF('02_Debt Engine'!$D$29="Active",'02_Debt Engine'!$H$29,'02_Debt Engine'!$C$7)))</f>
        <v>0</v>
      </c>
      <c r="G108" s="328">
        <f>IF(G107&lt;=0,0,G107*IF(AND('02_Debt Engine'!$F$29="Yes",'02_Debt Engine'!$V$29&gt;0,G$4&gt;'02_Debt Engine'!$I$29),'02_Debt Engine'!$C$13,IF('02_Debt Engine'!$D$29="Active",'02_Debt Engine'!$H$29,'02_Debt Engine'!$C$7)))</f>
        <v>0</v>
      </c>
      <c r="H108" s="328">
        <f>IF(H107&lt;=0,0,H107*IF(AND('02_Debt Engine'!$F$29="Yes",'02_Debt Engine'!$V$29&gt;0,H$4&gt;'02_Debt Engine'!$I$29),'02_Debt Engine'!$C$13,IF('02_Debt Engine'!$D$29="Active",'02_Debt Engine'!$H$29,'02_Debt Engine'!$C$7)))</f>
        <v>0</v>
      </c>
      <c r="I108" s="328">
        <f>IF(I107&lt;=0,0,I107*IF(AND('02_Debt Engine'!$F$29="Yes",'02_Debt Engine'!$V$29&gt;0,I$4&gt;'02_Debt Engine'!$I$29),'02_Debt Engine'!$C$13,IF('02_Debt Engine'!$D$29="Active",'02_Debt Engine'!$H$29,'02_Debt Engine'!$C$7)))</f>
        <v>0</v>
      </c>
      <c r="J108" s="328">
        <f>IF(J107&lt;=0,0,J107*IF(AND('02_Debt Engine'!$F$29="Yes",'02_Debt Engine'!$V$29&gt;0,J$4&gt;'02_Debt Engine'!$I$29),'02_Debt Engine'!$C$13,IF('02_Debt Engine'!$D$29="Active",'02_Debt Engine'!$H$29,'02_Debt Engine'!$C$7)))</f>
        <v>0</v>
      </c>
      <c r="K108" s="328">
        <f>IF(K107&lt;=0,0,K107*IF(AND('02_Debt Engine'!$F$29="Yes",'02_Debt Engine'!$V$29&gt;0,K$4&gt;'02_Debt Engine'!$I$29),'02_Debt Engine'!$C$13,IF('02_Debt Engine'!$D$29="Active",'02_Debt Engine'!$H$29,'02_Debt Engine'!$C$7)))</f>
        <v>0</v>
      </c>
      <c r="L108" s="328">
        <f>IF(L107&lt;=0,0,L107*IF(AND('02_Debt Engine'!$F$29="Yes",'02_Debt Engine'!$V$29&gt;0,L$4&gt;'02_Debt Engine'!$I$29),'02_Debt Engine'!$C$13,IF('02_Debt Engine'!$D$29="Active",'02_Debt Engine'!$H$29,'02_Debt Engine'!$C$7)))</f>
        <v>0</v>
      </c>
      <c r="M108" s="328">
        <f>IF(M107&lt;=0,0,M107*IF(AND('02_Debt Engine'!$F$29="Yes",'02_Debt Engine'!$V$29&gt;0,M$4&gt;'02_Debt Engine'!$I$29),'02_Debt Engine'!$C$13,IF('02_Debt Engine'!$D$29="Active",'02_Debt Engine'!$H$29,'02_Debt Engine'!$C$7)))</f>
        <v>0</v>
      </c>
      <c r="N108" s="328">
        <f>IF(N107&lt;=0,0,N107*IF(AND('02_Debt Engine'!$F$29="Yes",'02_Debt Engine'!$V$29&gt;0,N$4&gt;'02_Debt Engine'!$I$29),'02_Debt Engine'!$C$13,IF('02_Debt Engine'!$D$29="Active",'02_Debt Engine'!$H$29,'02_Debt Engine'!$C$7)))</f>
        <v>0</v>
      </c>
      <c r="O108" s="328">
        <f>IF(O107&lt;=0,0,O107*IF(AND('02_Debt Engine'!$F$29="Yes",'02_Debt Engine'!$V$29&gt;0,O$4&gt;'02_Debt Engine'!$I$29),'02_Debt Engine'!$C$13,IF('02_Debt Engine'!$D$29="Active",'02_Debt Engine'!$H$29,'02_Debt Engine'!$C$7)))</f>
        <v>0</v>
      </c>
      <c r="P108" s="328">
        <f>IF(P107&lt;=0,0,P107*IF(AND('02_Debt Engine'!$F$29="Yes",'02_Debt Engine'!$V$29&gt;0,P$4&gt;'02_Debt Engine'!$I$29),'02_Debt Engine'!$C$13,IF('02_Debt Engine'!$D$29="Active",'02_Debt Engine'!$H$29,'02_Debt Engine'!$C$7)))</f>
        <v>0</v>
      </c>
      <c r="Q108" s="328">
        <f>IF(Q107&lt;=0,0,Q107*IF(AND('02_Debt Engine'!$F$29="Yes",'02_Debt Engine'!$V$29&gt;0,Q$4&gt;'02_Debt Engine'!$I$29),'02_Debt Engine'!$C$13,IF('02_Debt Engine'!$D$29="Active",'02_Debt Engine'!$H$29,'02_Debt Engine'!$C$7)))</f>
        <v>0</v>
      </c>
      <c r="R108" s="328">
        <f>IF(R107&lt;=0,0,R107*IF(AND('02_Debt Engine'!$F$29="Yes",'02_Debt Engine'!$V$29&gt;0,R$4&gt;'02_Debt Engine'!$I$29),'02_Debt Engine'!$C$13,IF('02_Debt Engine'!$D$29="Active",'02_Debt Engine'!$H$29,'02_Debt Engine'!$C$7)))</f>
        <v>0</v>
      </c>
      <c r="S108" s="328">
        <f>IF(S107&lt;=0,0,S107*IF(AND('02_Debt Engine'!$F$29="Yes",'02_Debt Engine'!$V$29&gt;0,S$4&gt;'02_Debt Engine'!$I$29),'02_Debt Engine'!$C$13,IF('02_Debt Engine'!$D$29="Active",'02_Debt Engine'!$H$29,'02_Debt Engine'!$C$7)))</f>
        <v>0</v>
      </c>
      <c r="T108" s="328">
        <f>IF(T107&lt;=0,0,T107*IF(AND('02_Debt Engine'!$F$29="Yes",'02_Debt Engine'!$V$29&gt;0,T$4&gt;'02_Debt Engine'!$I$29),'02_Debt Engine'!$C$13,IF('02_Debt Engine'!$D$29="Active",'02_Debt Engine'!$H$29,'02_Debt Engine'!$C$7)))</f>
        <v>0</v>
      </c>
      <c r="U108" s="328">
        <f>IF(U107&lt;=0,0,U107*IF(AND('02_Debt Engine'!$F$29="Yes",'02_Debt Engine'!$V$29&gt;0,U$4&gt;'02_Debt Engine'!$I$29),'02_Debt Engine'!$C$13,IF('02_Debt Engine'!$D$29="Active",'02_Debt Engine'!$H$29,'02_Debt Engine'!$C$7)))</f>
        <v>0</v>
      </c>
      <c r="V108" s="328">
        <f>IF(V107&lt;=0,0,V107*IF(AND('02_Debt Engine'!$F$29="Yes",'02_Debt Engine'!$V$29&gt;0,V$4&gt;'02_Debt Engine'!$I$29),'02_Debt Engine'!$C$13,IF('02_Debt Engine'!$D$29="Active",'02_Debt Engine'!$H$29,'02_Debt Engine'!$C$7)))</f>
        <v>0</v>
      </c>
      <c r="W108" s="328">
        <f>IF(W107&lt;=0,0,W107*IF(AND('02_Debt Engine'!$F$29="Yes",'02_Debt Engine'!$V$29&gt;0,W$4&gt;'02_Debt Engine'!$I$29),'02_Debt Engine'!$C$13,IF('02_Debt Engine'!$D$29="Active",'02_Debt Engine'!$H$29,'02_Debt Engine'!$C$7)))</f>
        <v>0</v>
      </c>
    </row>
    <row r="109" spans="2:23">
      <c r="B109" s="13" t="s">
        <v>532</v>
      </c>
      <c r="C109" s="329">
        <f>IF(C107&lt;=0,0,MIN(C107,IF(AND('02_Debt Engine'!$F$29="Yes",'02_Debt Engine'!$V$29&gt;0,C$4&gt;'02_Debt Engine'!$I$29),'02_Debt Engine'!$W$29,IF('02_Debt Engine'!$D$29="Active",'02_Debt Engine'!$K$29,'02_Debt Engine'!$P$29))-C108))</f>
        <v>253787.50871199998</v>
      </c>
      <c r="D109" s="329">
        <f>IF(D107&lt;=0,0,MIN(D107,IF(AND('02_Debt Engine'!$F$29="Yes",'02_Debt Engine'!$V$29&gt;0,D$4&gt;'02_Debt Engine'!$I$29),'02_Debt Engine'!$W$29,IF('02_Debt Engine'!$D$29="Active",'02_Debt Engine'!$K$29,'02_Debt Engine'!$P$29))-D108))</f>
        <v>231219.36128800001</v>
      </c>
      <c r="E109" s="329">
        <f>IF(E107&lt;=0,0,MIN(E107,IF(AND('02_Debt Engine'!$F$29="Yes",'02_Debt Engine'!$V$29&gt;0,E$4&gt;'02_Debt Engine'!$I$29),'02_Debt Engine'!$W$29,IF('02_Debt Engine'!$D$29="Active",'02_Debt Engine'!$K$29,'02_Debt Engine'!$P$29))-E108))</f>
        <v>0</v>
      </c>
      <c r="F109" s="329">
        <f>IF(F107&lt;=0,0,MIN(F107,IF(AND('02_Debt Engine'!$F$29="Yes",'02_Debt Engine'!$V$29&gt;0,F$4&gt;'02_Debt Engine'!$I$29),'02_Debt Engine'!$W$29,IF('02_Debt Engine'!$D$29="Active",'02_Debt Engine'!$K$29,'02_Debt Engine'!$P$29))-F108))</f>
        <v>0</v>
      </c>
      <c r="G109" s="329">
        <f>IF(G107&lt;=0,0,MIN(G107,IF(AND('02_Debt Engine'!$F$29="Yes",'02_Debt Engine'!$V$29&gt;0,G$4&gt;'02_Debt Engine'!$I$29),'02_Debt Engine'!$W$29,IF('02_Debt Engine'!$D$29="Active",'02_Debt Engine'!$K$29,'02_Debt Engine'!$P$29))-G108))</f>
        <v>0</v>
      </c>
      <c r="H109" s="329">
        <f>IF(H107&lt;=0,0,MIN(H107,IF(AND('02_Debt Engine'!$F$29="Yes",'02_Debt Engine'!$V$29&gt;0,H$4&gt;'02_Debt Engine'!$I$29),'02_Debt Engine'!$W$29,IF('02_Debt Engine'!$D$29="Active",'02_Debt Engine'!$K$29,'02_Debt Engine'!$P$29))-H108))</f>
        <v>0</v>
      </c>
      <c r="I109" s="329">
        <f>IF(I107&lt;=0,0,MIN(I107,IF(AND('02_Debt Engine'!$F$29="Yes",'02_Debt Engine'!$V$29&gt;0,I$4&gt;'02_Debt Engine'!$I$29),'02_Debt Engine'!$W$29,IF('02_Debt Engine'!$D$29="Active",'02_Debt Engine'!$K$29,'02_Debt Engine'!$P$29))-I108))</f>
        <v>0</v>
      </c>
      <c r="J109" s="329">
        <f>IF(J107&lt;=0,0,MIN(J107,IF(AND('02_Debt Engine'!$F$29="Yes",'02_Debt Engine'!$V$29&gt;0,J$4&gt;'02_Debt Engine'!$I$29),'02_Debt Engine'!$W$29,IF('02_Debt Engine'!$D$29="Active",'02_Debt Engine'!$K$29,'02_Debt Engine'!$P$29))-J108))</f>
        <v>0</v>
      </c>
      <c r="K109" s="329">
        <f>IF(K107&lt;=0,0,MIN(K107,IF(AND('02_Debt Engine'!$F$29="Yes",'02_Debt Engine'!$V$29&gt;0,K$4&gt;'02_Debt Engine'!$I$29),'02_Debt Engine'!$W$29,IF('02_Debt Engine'!$D$29="Active",'02_Debt Engine'!$K$29,'02_Debt Engine'!$P$29))-K108))</f>
        <v>0</v>
      </c>
      <c r="L109" s="329">
        <f>IF(L107&lt;=0,0,MIN(L107,IF(AND('02_Debt Engine'!$F$29="Yes",'02_Debt Engine'!$V$29&gt;0,L$4&gt;'02_Debt Engine'!$I$29),'02_Debt Engine'!$W$29,IF('02_Debt Engine'!$D$29="Active",'02_Debt Engine'!$K$29,'02_Debt Engine'!$P$29))-L108))</f>
        <v>0</v>
      </c>
      <c r="M109" s="329">
        <f>IF(M107&lt;=0,0,MIN(M107,IF(AND('02_Debt Engine'!$F$29="Yes",'02_Debt Engine'!$V$29&gt;0,M$4&gt;'02_Debt Engine'!$I$29),'02_Debt Engine'!$W$29,IF('02_Debt Engine'!$D$29="Active",'02_Debt Engine'!$K$29,'02_Debt Engine'!$P$29))-M108))</f>
        <v>0</v>
      </c>
      <c r="N109" s="329">
        <f>IF(N107&lt;=0,0,MIN(N107,IF(AND('02_Debt Engine'!$F$29="Yes",'02_Debt Engine'!$V$29&gt;0,N$4&gt;'02_Debt Engine'!$I$29),'02_Debt Engine'!$W$29,IF('02_Debt Engine'!$D$29="Active",'02_Debt Engine'!$K$29,'02_Debt Engine'!$P$29))-N108))</f>
        <v>0</v>
      </c>
      <c r="O109" s="329">
        <f>IF(O107&lt;=0,0,MIN(O107,IF(AND('02_Debt Engine'!$F$29="Yes",'02_Debt Engine'!$V$29&gt;0,O$4&gt;'02_Debt Engine'!$I$29),'02_Debt Engine'!$W$29,IF('02_Debt Engine'!$D$29="Active",'02_Debt Engine'!$K$29,'02_Debt Engine'!$P$29))-O108))</f>
        <v>0</v>
      </c>
      <c r="P109" s="329">
        <f>IF(P107&lt;=0,0,MIN(P107,IF(AND('02_Debt Engine'!$F$29="Yes",'02_Debt Engine'!$V$29&gt;0,P$4&gt;'02_Debt Engine'!$I$29),'02_Debt Engine'!$W$29,IF('02_Debt Engine'!$D$29="Active",'02_Debt Engine'!$K$29,'02_Debt Engine'!$P$29))-P108))</f>
        <v>0</v>
      </c>
      <c r="Q109" s="329">
        <f>IF(Q107&lt;=0,0,MIN(Q107,IF(AND('02_Debt Engine'!$F$29="Yes",'02_Debt Engine'!$V$29&gt;0,Q$4&gt;'02_Debt Engine'!$I$29),'02_Debt Engine'!$W$29,IF('02_Debt Engine'!$D$29="Active",'02_Debt Engine'!$K$29,'02_Debt Engine'!$P$29))-Q108))</f>
        <v>0</v>
      </c>
      <c r="R109" s="329">
        <f>IF(R107&lt;=0,0,MIN(R107,IF(AND('02_Debt Engine'!$F$29="Yes",'02_Debt Engine'!$V$29&gt;0,R$4&gt;'02_Debt Engine'!$I$29),'02_Debt Engine'!$W$29,IF('02_Debt Engine'!$D$29="Active",'02_Debt Engine'!$K$29,'02_Debt Engine'!$P$29))-R108))</f>
        <v>0</v>
      </c>
      <c r="S109" s="329">
        <f>IF(S107&lt;=0,0,MIN(S107,IF(AND('02_Debt Engine'!$F$29="Yes",'02_Debt Engine'!$V$29&gt;0,S$4&gt;'02_Debt Engine'!$I$29),'02_Debt Engine'!$W$29,IF('02_Debt Engine'!$D$29="Active",'02_Debt Engine'!$K$29,'02_Debt Engine'!$P$29))-S108))</f>
        <v>0</v>
      </c>
      <c r="T109" s="329">
        <f>IF(T107&lt;=0,0,MIN(T107,IF(AND('02_Debt Engine'!$F$29="Yes",'02_Debt Engine'!$V$29&gt;0,T$4&gt;'02_Debt Engine'!$I$29),'02_Debt Engine'!$W$29,IF('02_Debt Engine'!$D$29="Active",'02_Debt Engine'!$K$29,'02_Debt Engine'!$P$29))-T108))</f>
        <v>0</v>
      </c>
      <c r="U109" s="329">
        <f>IF(U107&lt;=0,0,MIN(U107,IF(AND('02_Debt Engine'!$F$29="Yes",'02_Debt Engine'!$V$29&gt;0,U$4&gt;'02_Debt Engine'!$I$29),'02_Debt Engine'!$W$29,IF('02_Debt Engine'!$D$29="Active",'02_Debt Engine'!$K$29,'02_Debt Engine'!$P$29))-U108))</f>
        <v>0</v>
      </c>
      <c r="V109" s="329">
        <f>IF(V107&lt;=0,0,MIN(V107,IF(AND('02_Debt Engine'!$F$29="Yes",'02_Debt Engine'!$V$29&gt;0,V$4&gt;'02_Debt Engine'!$I$29),'02_Debt Engine'!$W$29,IF('02_Debt Engine'!$D$29="Active",'02_Debt Engine'!$K$29,'02_Debt Engine'!$P$29))-V108))</f>
        <v>0</v>
      </c>
      <c r="W109" s="329">
        <f>IF(W107&lt;=0,0,MIN(W107,IF(AND('02_Debt Engine'!$F$29="Yes",'02_Debt Engine'!$V$29&gt;0,W$4&gt;'02_Debt Engine'!$I$29),'02_Debt Engine'!$W$29,IF('02_Debt Engine'!$D$29="Active",'02_Debt Engine'!$K$29,'02_Debt Engine'!$P$29))-W108))</f>
        <v>0</v>
      </c>
    </row>
    <row r="110" spans="2:23">
      <c r="B110" s="14" t="s">
        <v>533</v>
      </c>
      <c r="C110" s="331">
        <f t="shared" ref="C110:W110" si="31">C107-C109</f>
        <v>231219.36128800001</v>
      </c>
      <c r="D110" s="331">
        <f t="shared" si="31"/>
        <v>0</v>
      </c>
      <c r="E110" s="331">
        <f t="shared" si="31"/>
        <v>0</v>
      </c>
      <c r="F110" s="331">
        <f t="shared" si="31"/>
        <v>0</v>
      </c>
      <c r="G110" s="331">
        <f t="shared" si="31"/>
        <v>0</v>
      </c>
      <c r="H110" s="331">
        <f t="shared" si="31"/>
        <v>0</v>
      </c>
      <c r="I110" s="331">
        <f t="shared" si="31"/>
        <v>0</v>
      </c>
      <c r="J110" s="331">
        <f t="shared" si="31"/>
        <v>0</v>
      </c>
      <c r="K110" s="331">
        <f t="shared" si="31"/>
        <v>0</v>
      </c>
      <c r="L110" s="331">
        <f t="shared" si="31"/>
        <v>0</v>
      </c>
      <c r="M110" s="331">
        <f t="shared" si="31"/>
        <v>0</v>
      </c>
      <c r="N110" s="331">
        <f t="shared" si="31"/>
        <v>0</v>
      </c>
      <c r="O110" s="331">
        <f t="shared" si="31"/>
        <v>0</v>
      </c>
      <c r="P110" s="331">
        <f t="shared" si="31"/>
        <v>0</v>
      </c>
      <c r="Q110" s="331">
        <f t="shared" si="31"/>
        <v>0</v>
      </c>
      <c r="R110" s="331">
        <f t="shared" si="31"/>
        <v>0</v>
      </c>
      <c r="S110" s="331">
        <f t="shared" si="31"/>
        <v>0</v>
      </c>
      <c r="T110" s="331">
        <f t="shared" si="31"/>
        <v>0</v>
      </c>
      <c r="U110" s="331">
        <f t="shared" si="31"/>
        <v>0</v>
      </c>
      <c r="V110" s="331">
        <f t="shared" si="31"/>
        <v>0</v>
      </c>
      <c r="W110" s="331">
        <f t="shared" si="31"/>
        <v>0</v>
      </c>
    </row>
    <row r="111" spans="2:23">
      <c r="B111" s="3" t="s">
        <v>367</v>
      </c>
      <c r="C111" s="328">
        <f>IF(AND('02_Debt Engine'!$F$29="Yes",'02_Debt Engine'!$V$29&gt;0,C$4='02_Debt Engine'!$I$29),-C110,0)</f>
        <v>0</v>
      </c>
      <c r="D111" s="328">
        <f>IF(AND('02_Debt Engine'!$F$29="Yes",'02_Debt Engine'!$V$29&gt;0,D$4='02_Debt Engine'!$I$29),-D110,0)</f>
        <v>0</v>
      </c>
      <c r="E111" s="328">
        <f>IF(AND('02_Debt Engine'!$F$29="Yes",'02_Debt Engine'!$V$29&gt;0,E$4='02_Debt Engine'!$I$29),-E110,0)</f>
        <v>0</v>
      </c>
      <c r="F111" s="328">
        <f>IF(AND('02_Debt Engine'!$F$29="Yes",'02_Debt Engine'!$V$29&gt;0,F$4='02_Debt Engine'!$I$29),-F110,0)</f>
        <v>0</v>
      </c>
      <c r="G111" s="328">
        <f>IF(AND('02_Debt Engine'!$F$29="Yes",'02_Debt Engine'!$V$29&gt;0,G$4='02_Debt Engine'!$I$29),-G110,0)</f>
        <v>0</v>
      </c>
      <c r="H111" s="328">
        <f>IF(AND('02_Debt Engine'!$F$29="Yes",'02_Debt Engine'!$V$29&gt;0,H$4='02_Debt Engine'!$I$29),-H110,0)</f>
        <v>0</v>
      </c>
      <c r="I111" s="328">
        <f>IF(AND('02_Debt Engine'!$F$29="Yes",'02_Debt Engine'!$V$29&gt;0,I$4='02_Debt Engine'!$I$29),-I110,0)</f>
        <v>0</v>
      </c>
      <c r="J111" s="328">
        <f>IF(AND('02_Debt Engine'!$F$29="Yes",'02_Debt Engine'!$V$29&gt;0,J$4='02_Debt Engine'!$I$29),-J110,0)</f>
        <v>0</v>
      </c>
      <c r="K111" s="328">
        <f>IF(AND('02_Debt Engine'!$F$29="Yes",'02_Debt Engine'!$V$29&gt;0,K$4='02_Debt Engine'!$I$29),-K110,0)</f>
        <v>0</v>
      </c>
      <c r="L111" s="328">
        <f>IF(AND('02_Debt Engine'!$F$29="Yes",'02_Debt Engine'!$V$29&gt;0,L$4='02_Debt Engine'!$I$29),-L110,0)</f>
        <v>0</v>
      </c>
      <c r="M111" s="328">
        <f>IF(AND('02_Debt Engine'!$F$29="Yes",'02_Debt Engine'!$V$29&gt;0,M$4='02_Debt Engine'!$I$29),-M110,0)</f>
        <v>0</v>
      </c>
      <c r="N111" s="328">
        <f>IF(AND('02_Debt Engine'!$F$29="Yes",'02_Debt Engine'!$V$29&gt;0,N$4='02_Debt Engine'!$I$29),-N110,0)</f>
        <v>0</v>
      </c>
      <c r="O111" s="328">
        <f>IF(AND('02_Debt Engine'!$F$29="Yes",'02_Debt Engine'!$V$29&gt;0,O$4='02_Debt Engine'!$I$29),-O110,0)</f>
        <v>0</v>
      </c>
      <c r="P111" s="328">
        <f>IF(AND('02_Debt Engine'!$F$29="Yes",'02_Debt Engine'!$V$29&gt;0,P$4='02_Debt Engine'!$I$29),-P110,0)</f>
        <v>0</v>
      </c>
      <c r="Q111" s="328">
        <f>IF(AND('02_Debt Engine'!$F$29="Yes",'02_Debt Engine'!$V$29&gt;0,Q$4='02_Debt Engine'!$I$29),-Q110,0)</f>
        <v>0</v>
      </c>
      <c r="R111" s="328">
        <f>IF(AND('02_Debt Engine'!$F$29="Yes",'02_Debt Engine'!$V$29&gt;0,R$4='02_Debt Engine'!$I$29),-R110,0)</f>
        <v>0</v>
      </c>
      <c r="S111" s="328">
        <f>IF(AND('02_Debt Engine'!$F$29="Yes",'02_Debt Engine'!$V$29&gt;0,S$4='02_Debt Engine'!$I$29),-S110,0)</f>
        <v>0</v>
      </c>
      <c r="T111" s="328">
        <f>IF(AND('02_Debt Engine'!$F$29="Yes",'02_Debt Engine'!$V$29&gt;0,T$4='02_Debt Engine'!$I$29),-T110,0)</f>
        <v>0</v>
      </c>
      <c r="U111" s="328">
        <f>IF(AND('02_Debt Engine'!$F$29="Yes",'02_Debt Engine'!$V$29&gt;0,U$4='02_Debt Engine'!$I$29),-U110,0)</f>
        <v>0</v>
      </c>
      <c r="V111" s="328">
        <f>IF(AND('02_Debt Engine'!$F$29="Yes",'02_Debt Engine'!$V$29&gt;0,V$4='02_Debt Engine'!$I$29),-V110,0)</f>
        <v>0</v>
      </c>
      <c r="W111" s="328">
        <f>IF(AND('02_Debt Engine'!$F$29="Yes",'02_Debt Engine'!$V$29&gt;0,W$4='02_Debt Engine'!$I$29),-W110,0)</f>
        <v>0</v>
      </c>
    </row>
    <row r="112" spans="2:23">
      <c r="B112" s="13" t="s">
        <v>534</v>
      </c>
      <c r="C112" s="329">
        <f>IF(AND('02_Debt Engine'!$F$29="Yes",'02_Debt Engine'!$V$29&gt;0,C$4='02_Debt Engine'!$I$29),'02_Debt Engine'!$V$29,0)</f>
        <v>0</v>
      </c>
      <c r="D112" s="329">
        <f>IF(AND('02_Debt Engine'!$F$29="Yes",'02_Debt Engine'!$V$29&gt;0,D$4='02_Debt Engine'!$I$29),'02_Debt Engine'!$V$29,0)</f>
        <v>0</v>
      </c>
      <c r="E112" s="329">
        <f>IF(AND('02_Debt Engine'!$F$29="Yes",'02_Debt Engine'!$V$29&gt;0,E$4='02_Debt Engine'!$I$29),'02_Debt Engine'!$V$29,0)</f>
        <v>0</v>
      </c>
      <c r="F112" s="329">
        <f>IF(AND('02_Debt Engine'!$F$29="Yes",'02_Debt Engine'!$V$29&gt;0,F$4='02_Debt Engine'!$I$29),'02_Debt Engine'!$V$29,0)</f>
        <v>0</v>
      </c>
      <c r="G112" s="329">
        <f>IF(AND('02_Debt Engine'!$F$29="Yes",'02_Debt Engine'!$V$29&gt;0,G$4='02_Debt Engine'!$I$29),'02_Debt Engine'!$V$29,0)</f>
        <v>0</v>
      </c>
      <c r="H112" s="329">
        <f>IF(AND('02_Debt Engine'!$F$29="Yes",'02_Debt Engine'!$V$29&gt;0,H$4='02_Debt Engine'!$I$29),'02_Debt Engine'!$V$29,0)</f>
        <v>0</v>
      </c>
      <c r="I112" s="329">
        <f>IF(AND('02_Debt Engine'!$F$29="Yes",'02_Debt Engine'!$V$29&gt;0,I$4='02_Debt Engine'!$I$29),'02_Debt Engine'!$V$29,0)</f>
        <v>0</v>
      </c>
      <c r="J112" s="329">
        <f>IF(AND('02_Debt Engine'!$F$29="Yes",'02_Debt Engine'!$V$29&gt;0,J$4='02_Debt Engine'!$I$29),'02_Debt Engine'!$V$29,0)</f>
        <v>0</v>
      </c>
      <c r="K112" s="329">
        <f>IF(AND('02_Debt Engine'!$F$29="Yes",'02_Debt Engine'!$V$29&gt;0,K$4='02_Debt Engine'!$I$29),'02_Debt Engine'!$V$29,0)</f>
        <v>0</v>
      </c>
      <c r="L112" s="329">
        <f>IF(AND('02_Debt Engine'!$F$29="Yes",'02_Debt Engine'!$V$29&gt;0,L$4='02_Debt Engine'!$I$29),'02_Debt Engine'!$V$29,0)</f>
        <v>0</v>
      </c>
      <c r="M112" s="329">
        <f>IF(AND('02_Debt Engine'!$F$29="Yes",'02_Debt Engine'!$V$29&gt;0,M$4='02_Debt Engine'!$I$29),'02_Debt Engine'!$V$29,0)</f>
        <v>0</v>
      </c>
      <c r="N112" s="329">
        <f>IF(AND('02_Debt Engine'!$F$29="Yes",'02_Debt Engine'!$V$29&gt;0,N$4='02_Debt Engine'!$I$29),'02_Debt Engine'!$V$29,0)</f>
        <v>0</v>
      </c>
      <c r="O112" s="329">
        <f>IF(AND('02_Debt Engine'!$F$29="Yes",'02_Debt Engine'!$V$29&gt;0,O$4='02_Debt Engine'!$I$29),'02_Debt Engine'!$V$29,0)</f>
        <v>0</v>
      </c>
      <c r="P112" s="329">
        <f>IF(AND('02_Debt Engine'!$F$29="Yes",'02_Debt Engine'!$V$29&gt;0,P$4='02_Debt Engine'!$I$29),'02_Debt Engine'!$V$29,0)</f>
        <v>0</v>
      </c>
      <c r="Q112" s="329">
        <f>IF(AND('02_Debt Engine'!$F$29="Yes",'02_Debt Engine'!$V$29&gt;0,Q$4='02_Debt Engine'!$I$29),'02_Debt Engine'!$V$29,0)</f>
        <v>0</v>
      </c>
      <c r="R112" s="329">
        <f>IF(AND('02_Debt Engine'!$F$29="Yes",'02_Debt Engine'!$V$29&gt;0,R$4='02_Debt Engine'!$I$29),'02_Debt Engine'!$V$29,0)</f>
        <v>0</v>
      </c>
      <c r="S112" s="329">
        <f>IF(AND('02_Debt Engine'!$F$29="Yes",'02_Debt Engine'!$V$29&gt;0,S$4='02_Debt Engine'!$I$29),'02_Debt Engine'!$V$29,0)</f>
        <v>0</v>
      </c>
      <c r="T112" s="329">
        <f>IF(AND('02_Debt Engine'!$F$29="Yes",'02_Debt Engine'!$V$29&gt;0,T$4='02_Debt Engine'!$I$29),'02_Debt Engine'!$V$29,0)</f>
        <v>0</v>
      </c>
      <c r="U112" s="329">
        <f>IF(AND('02_Debt Engine'!$F$29="Yes",'02_Debt Engine'!$V$29&gt;0,U$4='02_Debt Engine'!$I$29),'02_Debt Engine'!$V$29,0)</f>
        <v>0</v>
      </c>
      <c r="V112" s="329">
        <f>IF(AND('02_Debt Engine'!$F$29="Yes",'02_Debt Engine'!$V$29&gt;0,V$4='02_Debt Engine'!$I$29),'02_Debt Engine'!$V$29,0)</f>
        <v>0</v>
      </c>
      <c r="W112" s="329">
        <f>IF(AND('02_Debt Engine'!$F$29="Yes",'02_Debt Engine'!$V$29&gt;0,W$4='02_Debt Engine'!$I$29),'02_Debt Engine'!$V$29,0)</f>
        <v>0</v>
      </c>
    </row>
    <row r="113" spans="2:23">
      <c r="B113" s="3" t="s">
        <v>535</v>
      </c>
      <c r="C113" s="330">
        <f t="shared" ref="C113:W113" si="32">C111+C112</f>
        <v>0</v>
      </c>
      <c r="D113" s="330">
        <f t="shared" si="32"/>
        <v>0</v>
      </c>
      <c r="E113" s="330">
        <f t="shared" si="32"/>
        <v>0</v>
      </c>
      <c r="F113" s="330">
        <f t="shared" si="32"/>
        <v>0</v>
      </c>
      <c r="G113" s="330">
        <f t="shared" si="32"/>
        <v>0</v>
      </c>
      <c r="H113" s="330">
        <f t="shared" si="32"/>
        <v>0</v>
      </c>
      <c r="I113" s="330">
        <f t="shared" si="32"/>
        <v>0</v>
      </c>
      <c r="J113" s="330">
        <f t="shared" si="32"/>
        <v>0</v>
      </c>
      <c r="K113" s="330">
        <f t="shared" si="32"/>
        <v>0</v>
      </c>
      <c r="L113" s="330">
        <f t="shared" si="32"/>
        <v>0</v>
      </c>
      <c r="M113" s="330">
        <f t="shared" si="32"/>
        <v>0</v>
      </c>
      <c r="N113" s="330">
        <f t="shared" si="32"/>
        <v>0</v>
      </c>
      <c r="O113" s="330">
        <f t="shared" si="32"/>
        <v>0</v>
      </c>
      <c r="P113" s="330">
        <f t="shared" si="32"/>
        <v>0</v>
      </c>
      <c r="Q113" s="330">
        <f t="shared" si="32"/>
        <v>0</v>
      </c>
      <c r="R113" s="330">
        <f t="shared" si="32"/>
        <v>0</v>
      </c>
      <c r="S113" s="330">
        <f t="shared" si="32"/>
        <v>0</v>
      </c>
      <c r="T113" s="330">
        <f t="shared" si="32"/>
        <v>0</v>
      </c>
      <c r="U113" s="330">
        <f t="shared" si="32"/>
        <v>0</v>
      </c>
      <c r="V113" s="330">
        <f t="shared" si="32"/>
        <v>0</v>
      </c>
      <c r="W113" s="330">
        <f t="shared" si="32"/>
        <v>0</v>
      </c>
    </row>
    <row r="114" spans="2:23">
      <c r="B114" s="14" t="s">
        <v>525</v>
      </c>
      <c r="C114" s="328">
        <f t="shared" ref="C114:W114" si="33">C108+C109</f>
        <v>274351.8</v>
      </c>
      <c r="D114" s="328">
        <f t="shared" si="33"/>
        <v>241023.06220661121</v>
      </c>
      <c r="E114" s="328">
        <f t="shared" si="33"/>
        <v>0</v>
      </c>
      <c r="F114" s="328">
        <f t="shared" si="33"/>
        <v>0</v>
      </c>
      <c r="G114" s="328">
        <f t="shared" si="33"/>
        <v>0</v>
      </c>
      <c r="H114" s="328">
        <f t="shared" si="33"/>
        <v>0</v>
      </c>
      <c r="I114" s="328">
        <f t="shared" si="33"/>
        <v>0</v>
      </c>
      <c r="J114" s="328">
        <f t="shared" si="33"/>
        <v>0</v>
      </c>
      <c r="K114" s="328">
        <f t="shared" si="33"/>
        <v>0</v>
      </c>
      <c r="L114" s="328">
        <f t="shared" si="33"/>
        <v>0</v>
      </c>
      <c r="M114" s="328">
        <f t="shared" si="33"/>
        <v>0</v>
      </c>
      <c r="N114" s="328">
        <f t="shared" si="33"/>
        <v>0</v>
      </c>
      <c r="O114" s="328">
        <f t="shared" si="33"/>
        <v>0</v>
      </c>
      <c r="P114" s="328">
        <f t="shared" si="33"/>
        <v>0</v>
      </c>
      <c r="Q114" s="328">
        <f t="shared" si="33"/>
        <v>0</v>
      </c>
      <c r="R114" s="328">
        <f t="shared" si="33"/>
        <v>0</v>
      </c>
      <c r="S114" s="328">
        <f t="shared" si="33"/>
        <v>0</v>
      </c>
      <c r="T114" s="328">
        <f t="shared" si="33"/>
        <v>0</v>
      </c>
      <c r="U114" s="328">
        <f t="shared" si="33"/>
        <v>0</v>
      </c>
      <c r="V114" s="328">
        <f t="shared" si="33"/>
        <v>0</v>
      </c>
      <c r="W114" s="328">
        <f t="shared" si="33"/>
        <v>0</v>
      </c>
    </row>
    <row r="116" spans="2:23">
      <c r="B116" s="327" t="str">
        <f>'02_Debt Engine'!$B$30</f>
        <v>Newton Green</v>
      </c>
      <c r="C116" s="327" t="str">
        <f>_xlfn.LET(_xlpm.refiyr,INDEX('02_Debt Engine'!$I$19:$I$35,MATCH('02A_Debt Schedule'!$B116,'02_Debt Engine'!$B$19:$B$35,0)),IF(_xlpm.refiyr='02A_Debt Schedule'!C$4,"Refi Yr.",""))</f>
        <v/>
      </c>
      <c r="D116" s="327" t="str">
        <f>_xlfn.LET(_xlpm.refiyr,INDEX('02_Debt Engine'!$I$19:$I$35,MATCH('02A_Debt Schedule'!$B116,'02_Debt Engine'!$B$19:$B$35,0)),IF(_xlpm.refiyr='02A_Debt Schedule'!D$4,"Refi Yr.",""))</f>
        <v/>
      </c>
      <c r="E116" s="327" t="str">
        <f>_xlfn.LET(_xlpm.refiyr,INDEX('02_Debt Engine'!$I$19:$I$35,MATCH('02A_Debt Schedule'!$B116,'02_Debt Engine'!$B$19:$B$35,0)),IF(_xlpm.refiyr='02A_Debt Schedule'!E$4,"Refi Yr.",""))</f>
        <v/>
      </c>
      <c r="F116" s="327" t="str">
        <f>_xlfn.LET(_xlpm.refiyr,INDEX('02_Debt Engine'!$I$19:$I$35,MATCH('02A_Debt Schedule'!$B116,'02_Debt Engine'!$B$19:$B$35,0)),IF(_xlpm.refiyr='02A_Debt Schedule'!F$4,"Refi Yr.",""))</f>
        <v/>
      </c>
      <c r="G116" s="327" t="str">
        <f>_xlfn.LET(_xlpm.refiyr,INDEX('02_Debt Engine'!$I$19:$I$35,MATCH('02A_Debt Schedule'!$B116,'02_Debt Engine'!$B$19:$B$35,0)),IF(_xlpm.refiyr='02A_Debt Schedule'!G$4,"Refi Yr.",""))</f>
        <v/>
      </c>
      <c r="H116" s="327" t="str">
        <f>_xlfn.LET(_xlpm.refiyr,INDEX('02_Debt Engine'!$I$19:$I$35,MATCH('02A_Debt Schedule'!$B116,'02_Debt Engine'!$B$19:$B$35,0)),IF(_xlpm.refiyr='02A_Debt Schedule'!H$4,"Refi Yr.",""))</f>
        <v/>
      </c>
      <c r="I116" s="327" t="str">
        <f>_xlfn.LET(_xlpm.refiyr,INDEX('02_Debt Engine'!$I$19:$I$35,MATCH('02A_Debt Schedule'!$B116,'02_Debt Engine'!$B$19:$B$35,0)),IF(_xlpm.refiyr='02A_Debt Schedule'!I$4,"Refi Yr.",""))</f>
        <v/>
      </c>
      <c r="J116" s="327" t="str">
        <f>_xlfn.LET(_xlpm.refiyr,INDEX('02_Debt Engine'!$I$19:$I$35,MATCH('02A_Debt Schedule'!$B116,'02_Debt Engine'!$B$19:$B$35,0)),IF(_xlpm.refiyr='02A_Debt Schedule'!J$4,"Refi Yr.",""))</f>
        <v/>
      </c>
      <c r="K116" s="327" t="str">
        <f>_xlfn.LET(_xlpm.refiyr,INDEX('02_Debt Engine'!$I$19:$I$35,MATCH('02A_Debt Schedule'!$B116,'02_Debt Engine'!$B$19:$B$35,0)),IF(_xlpm.refiyr='02A_Debt Schedule'!K$4,"Refi Yr.",""))</f>
        <v/>
      </c>
      <c r="L116" s="327" t="str">
        <f>_xlfn.LET(_xlpm.refiyr,INDEX('02_Debt Engine'!$I$19:$I$35,MATCH('02A_Debt Schedule'!$B116,'02_Debt Engine'!$B$19:$B$35,0)),IF(_xlpm.refiyr='02A_Debt Schedule'!L$4,"Refi Yr.",""))</f>
        <v>Refi Yr.</v>
      </c>
      <c r="M116" s="327" t="str">
        <f>_xlfn.LET(_xlpm.refiyr,INDEX('02_Debt Engine'!$I$19:$I$35,MATCH('02A_Debt Schedule'!$B116,'02_Debt Engine'!$B$19:$B$35,0)),IF(_xlpm.refiyr='02A_Debt Schedule'!M$4,"Refi Yr.",""))</f>
        <v/>
      </c>
      <c r="N116" s="327" t="str">
        <f>_xlfn.LET(_xlpm.refiyr,INDEX('02_Debt Engine'!$I$19:$I$35,MATCH('02A_Debt Schedule'!$B116,'02_Debt Engine'!$B$19:$B$35,0)),IF(_xlpm.refiyr='02A_Debt Schedule'!N$4,"Refi Yr.",""))</f>
        <v/>
      </c>
      <c r="O116" s="327" t="str">
        <f>_xlfn.LET(_xlpm.refiyr,INDEX('02_Debt Engine'!$I$19:$I$35,MATCH('02A_Debt Schedule'!$B116,'02_Debt Engine'!$B$19:$B$35,0)),IF(_xlpm.refiyr='02A_Debt Schedule'!O$4,"Refi Yr.",""))</f>
        <v/>
      </c>
      <c r="P116" s="327" t="str">
        <f>_xlfn.LET(_xlpm.refiyr,INDEX('02_Debt Engine'!$I$19:$I$35,MATCH('02A_Debt Schedule'!$B116,'02_Debt Engine'!$B$19:$B$35,0)),IF(_xlpm.refiyr='02A_Debt Schedule'!P$4,"Refi Yr.",""))</f>
        <v/>
      </c>
      <c r="Q116" s="327" t="str">
        <f>_xlfn.LET(_xlpm.refiyr,INDEX('02_Debt Engine'!$I$19:$I$35,MATCH('02A_Debt Schedule'!$B116,'02_Debt Engine'!$B$19:$B$35,0)),IF(_xlpm.refiyr='02A_Debt Schedule'!Q$4,"Refi Yr.",""))</f>
        <v/>
      </c>
      <c r="R116" s="327" t="str">
        <f>_xlfn.LET(_xlpm.refiyr,INDEX('02_Debt Engine'!$I$19:$I$35,MATCH('02A_Debt Schedule'!$B116,'02_Debt Engine'!$B$19:$B$35,0)),IF(_xlpm.refiyr='02A_Debt Schedule'!R$4,"Refi Yr.",""))</f>
        <v/>
      </c>
      <c r="S116" s="327" t="str">
        <f>_xlfn.LET(_xlpm.refiyr,INDEX('02_Debt Engine'!$I$19:$I$35,MATCH('02A_Debt Schedule'!$B116,'02_Debt Engine'!$B$19:$B$35,0)),IF(_xlpm.refiyr='02A_Debt Schedule'!S$4,"Refi Yr.",""))</f>
        <v/>
      </c>
      <c r="T116" s="327" t="str">
        <f>_xlfn.LET(_xlpm.refiyr,INDEX('02_Debt Engine'!$I$19:$I$35,MATCH('02A_Debt Schedule'!$B116,'02_Debt Engine'!$B$19:$B$35,0)),IF(_xlpm.refiyr='02A_Debt Schedule'!T$4,"Refi Yr.",""))</f>
        <v/>
      </c>
      <c r="U116" s="327" t="str">
        <f>_xlfn.LET(_xlpm.refiyr,INDEX('02_Debt Engine'!$I$19:$I$35,MATCH('02A_Debt Schedule'!$B116,'02_Debt Engine'!$B$19:$B$35,0)),IF(_xlpm.refiyr='02A_Debt Schedule'!U$4,"Refi Yr.",""))</f>
        <v/>
      </c>
      <c r="V116" s="327" t="str">
        <f>_xlfn.LET(_xlpm.refiyr,INDEX('02_Debt Engine'!$I$19:$I$35,MATCH('02A_Debt Schedule'!$B116,'02_Debt Engine'!$B$19:$B$35,0)),IF(_xlpm.refiyr='02A_Debt Schedule'!V$4,"Refi Yr.",""))</f>
        <v/>
      </c>
      <c r="W116" s="327" t="str">
        <f>_xlfn.LET(_xlpm.refiyr,INDEX('02_Debt Engine'!$I$19:$I$35,MATCH('02A_Debt Schedule'!$B116,'02_Debt Engine'!$B$19:$B$35,0)),IF(_xlpm.refiyr='02A_Debt Schedule'!W$4,"Refi Yr.",""))</f>
        <v/>
      </c>
    </row>
    <row r="117" spans="2:23">
      <c r="B117" s="3" t="s">
        <v>531</v>
      </c>
      <c r="C117" s="328">
        <f>IF('02_Debt Engine'!$D$30="Active",'02_Debt Engine'!$N$30,'02_Debt Engine'!$O$30)</f>
        <v>3432387.1</v>
      </c>
      <c r="D117" s="328">
        <f>IF(AND('02_Debt Engine'!$F$30="Yes",'02_Debt Engine'!$V$30&gt;0,C$4='02_Debt Engine'!$I$30),'02_Debt Engine'!$V$30,C120)</f>
        <v>3142456.1840150002</v>
      </c>
      <c r="E117" s="328">
        <f>IF(AND('02_Debt Engine'!$F$30="Yes",'02_Debt Engine'!$V$30&gt;0,D$4='02_Debt Engine'!$I$30),'02_Debt Engine'!$V$30,D120)</f>
        <v>2839579.85263127</v>
      </c>
      <c r="F117" s="328">
        <f>IF(AND('02_Debt Engine'!$F$30="Yes",'02_Debt Engine'!$V$30&gt;0,E$4='02_Debt Engine'!$I$30),'02_Debt Engine'!$V$30,E120)</f>
        <v>2523180.0930512561</v>
      </c>
      <c r="G117" s="328">
        <f>IF(AND('02_Debt Engine'!$F$30="Yes",'02_Debt Engine'!$V$30&gt;0,F$4='02_Debt Engine'!$I$30),'02_Debt Engine'!$V$30,F120)</f>
        <v>2192653.0842059948</v>
      </c>
      <c r="H117" s="328">
        <f>IF(AND('02_Debt Engine'!$F$30="Yes",'02_Debt Engine'!$V$30&gt;0,G$4='02_Debt Engine'!$I$30),'02_Debt Engine'!$V$30,G120)</f>
        <v>1847368.0444157925</v>
      </c>
      <c r="I117" s="328">
        <f>IF(AND('02_Debt Engine'!$F$30="Yes",'02_Debt Engine'!$V$30&gt;0,H$4='02_Debt Engine'!$I$30),'02_Debt Engine'!$V$30,H120)</f>
        <v>1486666.0275989575</v>
      </c>
      <c r="J117" s="328">
        <f>IF(AND('02_Debt Engine'!$F$30="Yes",'02_Debt Engine'!$V$30&gt;0,I$4='02_Debt Engine'!$I$30),'02_Debt Engine'!$V$30,I120)</f>
        <v>1109858.665731251</v>
      </c>
      <c r="K117" s="328">
        <f>IF(AND('02_Debt Engine'!$F$30="Yes",'02_Debt Engine'!$V$30&gt;0,J$4='02_Debt Engine'!$I$30),'02_Debt Engine'!$V$30,J120)</f>
        <v>716226.85515615134</v>
      </c>
      <c r="L117" s="328">
        <f>IF(AND('02_Debt Engine'!$F$30="Yes",'02_Debt Engine'!$V$30&gt;0,K$4='02_Debt Engine'!$I$30),'02_Debt Engine'!$V$30,K120)</f>
        <v>305019.38423887349</v>
      </c>
      <c r="M117" s="328">
        <f>IF(AND('02_Debt Engine'!$F$30="Yes",'02_Debt Engine'!$V$30&gt;0,L$4='02_Debt Engine'!$I$30),'02_Debt Engine'!$V$30,L120)</f>
        <v>6075325.0837390581</v>
      </c>
      <c r="N117" s="328">
        <f>IF(AND('02_Debt Engine'!$F$30="Yes",'02_Debt Engine'!$V$30&gt;0,M$4='02_Debt Engine'!$I$30),'02_Debt Engine'!$V$30,M120)</f>
        <v>5995538.0282111289</v>
      </c>
      <c r="O117" s="328">
        <f>IF(AND('02_Debt Engine'!$F$30="Yes",'02_Debt Engine'!$V$30&gt;0,N$4='02_Debt Engine'!$I$30),'02_Debt Engine'!$V$30,N120)</f>
        <v>5912559.4904620824</v>
      </c>
      <c r="P117" s="328">
        <f>IF(AND('02_Debt Engine'!$F$30="Yes",'02_Debt Engine'!$V$30&gt;0,O$4='02_Debt Engine'!$I$30),'02_Debt Engine'!$V$30,O120)</f>
        <v>5826261.8112030737</v>
      </c>
      <c r="Q117" s="328">
        <f>IF(AND('02_Debt Engine'!$F$30="Yes",'02_Debt Engine'!$V$30&gt;0,P$4='02_Debt Engine'!$I$30),'02_Debt Engine'!$V$30,P120)</f>
        <v>5736512.224773705</v>
      </c>
      <c r="R117" s="328">
        <f>IF(AND('02_Debt Engine'!$F$30="Yes",'02_Debt Engine'!$V$30&gt;0,Q$4='02_Debt Engine'!$I$30),'02_Debt Engine'!$V$30,Q120)</f>
        <v>5643172.6548871612</v>
      </c>
      <c r="S117" s="328">
        <f>IF(AND('02_Debt Engine'!$F$30="Yes",'02_Debt Engine'!$V$30&gt;0,R$4='02_Debt Engine'!$I$30),'02_Debt Engine'!$V$30,R120)</f>
        <v>5546099.5022051558</v>
      </c>
      <c r="T117" s="328">
        <f>IF(AND('02_Debt Engine'!$F$30="Yes",'02_Debt Engine'!$V$30&gt;0,S$4='02_Debt Engine'!$I$30),'02_Debt Engine'!$V$30,S120)</f>
        <v>5445143.4234158704</v>
      </c>
      <c r="U117" s="328">
        <f>IF(AND('02_Debt Engine'!$F$30="Yes",'02_Debt Engine'!$V$30&gt;0,T$4='02_Debt Engine'!$I$30),'02_Debt Engine'!$V$30,T120)</f>
        <v>5340149.1014750134</v>
      </c>
      <c r="V117" s="328">
        <f>IF(AND('02_Debt Engine'!$F$30="Yes",'02_Debt Engine'!$V$30&gt;0,U$4='02_Debt Engine'!$I$30),'02_Debt Engine'!$V$30,U120)</f>
        <v>5230955.0066565219</v>
      </c>
      <c r="W117" s="328">
        <f>IF(AND('02_Debt Engine'!$F$30="Yes",'02_Debt Engine'!$V$30&gt;0,V$4='02_Debt Engine'!$I$30),'02_Debt Engine'!$V$30,V120)</f>
        <v>5117393.1480452912</v>
      </c>
    </row>
    <row r="118" spans="2:23">
      <c r="B118" s="3" t="s">
        <v>514</v>
      </c>
      <c r="C118" s="328">
        <f>IF(C117&lt;=0,0,C117*IF(AND('02_Debt Engine'!$F$30="Yes",'02_Debt Engine'!$V$30&gt;0,C$4&gt;'02_Debt Engine'!$I$30),'02_Debt Engine'!$C$13,IF('02_Debt Engine'!$D$30="Active",'02_Debt Engine'!$H$30,'02_Debt Engine'!$C$7)))</f>
        <v>153256.084015</v>
      </c>
      <c r="D118" s="328">
        <f>IF(D117&lt;=0,0,D117*IF(AND('02_Debt Engine'!$F$30="Yes",'02_Debt Engine'!$V$30&gt;0,D$4&gt;'02_Debt Engine'!$I$30),'02_Debt Engine'!$C$13,IF('02_Debt Engine'!$D$30="Active",'02_Debt Engine'!$H$30,'02_Debt Engine'!$C$7)))</f>
        <v>140310.66861626977</v>
      </c>
      <c r="E118" s="328">
        <f>IF(E117&lt;=0,0,E117*IF(AND('02_Debt Engine'!$F$30="Yes",'02_Debt Engine'!$V$30&gt;0,E$4&gt;'02_Debt Engine'!$I$30),'02_Debt Engine'!$C$13,IF('02_Debt Engine'!$D$30="Active",'02_Debt Engine'!$H$30,'02_Debt Engine'!$C$7)))</f>
        <v>126787.24041998621</v>
      </c>
      <c r="F118" s="328">
        <f>IF(F117&lt;=0,0,F117*IF(AND('02_Debt Engine'!$F$30="Yes",'02_Debt Engine'!$V$30&gt;0,F$4&gt;'02_Debt Engine'!$I$30),'02_Debt Engine'!$C$13,IF('02_Debt Engine'!$D$30="Active",'02_Debt Engine'!$H$30,'02_Debt Engine'!$C$7)))</f>
        <v>112659.99115473859</v>
      </c>
      <c r="G118" s="328">
        <f>IF(G117&lt;=0,0,G117*IF(AND('02_Debt Engine'!$F$30="Yes",'02_Debt Engine'!$V$30&gt;0,G$4&gt;'02_Debt Engine'!$I$30),'02_Debt Engine'!$C$13,IF('02_Debt Engine'!$D$30="Active",'02_Debt Engine'!$H$30,'02_Debt Engine'!$C$7)))</f>
        <v>97901.960209797675</v>
      </c>
      <c r="H118" s="328">
        <f>IF(H117&lt;=0,0,H117*IF(AND('02_Debt Engine'!$F$30="Yes",'02_Debt Engine'!$V$30&gt;0,H$4&gt;'02_Debt Engine'!$I$30),'02_Debt Engine'!$C$13,IF('02_Debt Engine'!$D$30="Active",'02_Debt Engine'!$H$30,'02_Debt Engine'!$C$7)))</f>
        <v>82484.983183165139</v>
      </c>
      <c r="I118" s="328">
        <f>IF(I117&lt;=0,0,I117*IF(AND('02_Debt Engine'!$F$30="Yes",'02_Debt Engine'!$V$30&gt;0,I$4&gt;'02_Debt Engine'!$I$30),'02_Debt Engine'!$C$13,IF('02_Debt Engine'!$D$30="Active",'02_Debt Engine'!$H$30,'02_Debt Engine'!$C$7)))</f>
        <v>66379.638132293461</v>
      </c>
      <c r="J118" s="328">
        <f>IF(J117&lt;=0,0,J117*IF(AND('02_Debt Engine'!$F$30="Yes",'02_Debt Engine'!$V$30&gt;0,J$4&gt;'02_Debt Engine'!$I$30),'02_Debt Engine'!$C$13,IF('02_Debt Engine'!$D$30="Active",'02_Debt Engine'!$H$30,'02_Debt Engine'!$C$7)))</f>
        <v>49555.18942490036</v>
      </c>
      <c r="K118" s="328">
        <f>IF(K117&lt;=0,0,K117*IF(AND('02_Debt Engine'!$F$30="Yes",'02_Debt Engine'!$V$30&gt;0,K$4&gt;'02_Debt Engine'!$I$30),'02_Debt Engine'!$C$13,IF('02_Debt Engine'!$D$30="Active",'02_Debt Engine'!$H$30,'02_Debt Engine'!$C$7)))</f>
        <v>31979.529082722158</v>
      </c>
      <c r="L118" s="328">
        <f>IF(L117&lt;=0,0,L117*IF(AND('02_Debt Engine'!$F$30="Yes",'02_Debt Engine'!$V$30&gt;0,L$4&gt;'02_Debt Engine'!$I$30),'02_Debt Engine'!$C$13,IF('02_Debt Engine'!$D$30="Active",'02_Debt Engine'!$H$30,'02_Debt Engine'!$C$7)))</f>
        <v>13619.115506265702</v>
      </c>
      <c r="M118" s="328">
        <f>IF(M117&lt;=0,0,M117*IF(AND('02_Debt Engine'!$F$30="Yes",'02_Debt Engine'!$V$30&gt;0,M$4&gt;'02_Debt Engine'!$I$30),'02_Debt Engine'!$C$13,IF('02_Debt Engine'!$D$30="Active",'02_Debt Engine'!$H$30,'02_Debt Engine'!$C$7)))</f>
        <v>243013.00334956232</v>
      </c>
      <c r="N118" s="328">
        <f>IF(N117&lt;=0,0,N117*IF(AND('02_Debt Engine'!$F$30="Yes",'02_Debt Engine'!$V$30&gt;0,N$4&gt;'02_Debt Engine'!$I$30),'02_Debt Engine'!$C$13,IF('02_Debt Engine'!$D$30="Active",'02_Debt Engine'!$H$30,'02_Debt Engine'!$C$7)))</f>
        <v>239821.52112844517</v>
      </c>
      <c r="O118" s="328">
        <f>IF(O117&lt;=0,0,O117*IF(AND('02_Debt Engine'!$F$30="Yes",'02_Debt Engine'!$V$30&gt;0,O$4&gt;'02_Debt Engine'!$I$30),'02_Debt Engine'!$C$13,IF('02_Debt Engine'!$D$30="Active",'02_Debt Engine'!$H$30,'02_Debt Engine'!$C$7)))</f>
        <v>236502.3796184833</v>
      </c>
      <c r="P118" s="328">
        <f>IF(P117&lt;=0,0,P117*IF(AND('02_Debt Engine'!$F$30="Yes",'02_Debt Engine'!$V$30&gt;0,P$4&gt;'02_Debt Engine'!$I$30),'02_Debt Engine'!$C$13,IF('02_Debt Engine'!$D$30="Active",'02_Debt Engine'!$H$30,'02_Debt Engine'!$C$7)))</f>
        <v>233050.47244812295</v>
      </c>
      <c r="Q118" s="328">
        <f>IF(Q117&lt;=0,0,Q117*IF(AND('02_Debt Engine'!$F$30="Yes",'02_Debt Engine'!$V$30&gt;0,Q$4&gt;'02_Debt Engine'!$I$30),'02_Debt Engine'!$C$13,IF('02_Debt Engine'!$D$30="Active",'02_Debt Engine'!$H$30,'02_Debt Engine'!$C$7)))</f>
        <v>229460.48899094822</v>
      </c>
      <c r="R118" s="328">
        <f>IF(R117&lt;=0,0,R117*IF(AND('02_Debt Engine'!$F$30="Yes",'02_Debt Engine'!$V$30&gt;0,R$4&gt;'02_Debt Engine'!$I$30),'02_Debt Engine'!$C$13,IF('02_Debt Engine'!$D$30="Active",'02_Debt Engine'!$H$30,'02_Debt Engine'!$C$7)))</f>
        <v>225726.90619548646</v>
      </c>
      <c r="S118" s="328">
        <f>IF(S117&lt;=0,0,S117*IF(AND('02_Debt Engine'!$F$30="Yes",'02_Debt Engine'!$V$30&gt;0,S$4&gt;'02_Debt Engine'!$I$30),'02_Debt Engine'!$C$13,IF('02_Debt Engine'!$D$30="Active",'02_Debt Engine'!$H$30,'02_Debt Engine'!$C$7)))</f>
        <v>221843.98008820624</v>
      </c>
      <c r="T118" s="328">
        <f>IF(T117&lt;=0,0,T117*IF(AND('02_Debt Engine'!$F$30="Yes",'02_Debt Engine'!$V$30&gt;0,T$4&gt;'02_Debt Engine'!$I$30),'02_Debt Engine'!$C$13,IF('02_Debt Engine'!$D$30="Active",'02_Debt Engine'!$H$30,'02_Debt Engine'!$C$7)))</f>
        <v>217805.73693663481</v>
      </c>
      <c r="U118" s="328">
        <f>IF(U117&lt;=0,0,U117*IF(AND('02_Debt Engine'!$F$30="Yes",'02_Debt Engine'!$V$30&gt;0,U$4&gt;'02_Debt Engine'!$I$30),'02_Debt Engine'!$C$13,IF('02_Debt Engine'!$D$30="Active",'02_Debt Engine'!$H$30,'02_Debt Engine'!$C$7)))</f>
        <v>213605.96405900054</v>
      </c>
      <c r="V118" s="328">
        <f>IF(V117&lt;=0,0,V117*IF(AND('02_Debt Engine'!$F$30="Yes",'02_Debt Engine'!$V$30&gt;0,V$4&gt;'02_Debt Engine'!$I$30),'02_Debt Engine'!$C$13,IF('02_Debt Engine'!$D$30="Active",'02_Debt Engine'!$H$30,'02_Debt Engine'!$C$7)))</f>
        <v>209238.20026626089</v>
      </c>
      <c r="W118" s="328">
        <f>IF(W117&lt;=0,0,W117*IF(AND('02_Debt Engine'!$F$30="Yes",'02_Debt Engine'!$V$30&gt;0,W$4&gt;'02_Debt Engine'!$I$30),'02_Debt Engine'!$C$13,IF('02_Debt Engine'!$D$30="Active",'02_Debt Engine'!$H$30,'02_Debt Engine'!$C$7)))</f>
        <v>204695.72592181165</v>
      </c>
    </row>
    <row r="119" spans="2:23">
      <c r="B119" s="13" t="s">
        <v>532</v>
      </c>
      <c r="C119" s="329">
        <f>IF(C117&lt;=0,0,MIN(C117,IF(AND('02_Debt Engine'!$F$30="Yes",'02_Debt Engine'!$V$30&gt;0,C$4&gt;'02_Debt Engine'!$I$30),'02_Debt Engine'!$W$30,IF('02_Debt Engine'!$D$30="Active",'02_Debt Engine'!$K$30,'02_Debt Engine'!$P$30))-C118))</f>
        <v>289930.91598499997</v>
      </c>
      <c r="D119" s="329">
        <f>IF(D117&lt;=0,0,MIN(D117,IF(AND('02_Debt Engine'!$F$30="Yes",'02_Debt Engine'!$V$30&gt;0,D$4&gt;'02_Debt Engine'!$I$30),'02_Debt Engine'!$W$30,IF('02_Debt Engine'!$D$30="Active",'02_Debt Engine'!$K$30,'02_Debt Engine'!$P$30))-D118))</f>
        <v>302876.33138373023</v>
      </c>
      <c r="E119" s="329">
        <f>IF(E117&lt;=0,0,MIN(E117,IF(AND('02_Debt Engine'!$F$30="Yes",'02_Debt Engine'!$V$30&gt;0,E$4&gt;'02_Debt Engine'!$I$30),'02_Debt Engine'!$W$30,IF('02_Debt Engine'!$D$30="Active",'02_Debt Engine'!$K$30,'02_Debt Engine'!$P$30))-E118))</f>
        <v>316399.75958001381</v>
      </c>
      <c r="F119" s="329">
        <f>IF(F117&lt;=0,0,MIN(F117,IF(AND('02_Debt Engine'!$F$30="Yes",'02_Debt Engine'!$V$30&gt;0,F$4&gt;'02_Debt Engine'!$I$30),'02_Debt Engine'!$W$30,IF('02_Debt Engine'!$D$30="Active",'02_Debt Engine'!$K$30,'02_Debt Engine'!$P$30))-F118))</f>
        <v>330527.00884526141</v>
      </c>
      <c r="G119" s="329">
        <f>IF(G117&lt;=0,0,MIN(G117,IF(AND('02_Debt Engine'!$F$30="Yes",'02_Debt Engine'!$V$30&gt;0,G$4&gt;'02_Debt Engine'!$I$30),'02_Debt Engine'!$W$30,IF('02_Debt Engine'!$D$30="Active",'02_Debt Engine'!$K$30,'02_Debt Engine'!$P$30))-G118))</f>
        <v>345285.03979020234</v>
      </c>
      <c r="H119" s="329">
        <f>IF(H117&lt;=0,0,MIN(H117,IF(AND('02_Debt Engine'!$F$30="Yes",'02_Debt Engine'!$V$30&gt;0,H$4&gt;'02_Debt Engine'!$I$30),'02_Debt Engine'!$W$30,IF('02_Debt Engine'!$D$30="Active",'02_Debt Engine'!$K$30,'02_Debt Engine'!$P$30))-H118))</f>
        <v>360702.01681683486</v>
      </c>
      <c r="I119" s="329">
        <f>IF(I117&lt;=0,0,MIN(I117,IF(AND('02_Debt Engine'!$F$30="Yes",'02_Debt Engine'!$V$30&gt;0,I$4&gt;'02_Debt Engine'!$I$30),'02_Debt Engine'!$W$30,IF('02_Debt Engine'!$D$30="Active",'02_Debt Engine'!$K$30,'02_Debt Engine'!$P$30))-I118))</f>
        <v>376807.36186770652</v>
      </c>
      <c r="J119" s="329">
        <f>IF(J117&lt;=0,0,MIN(J117,IF(AND('02_Debt Engine'!$F$30="Yes",'02_Debt Engine'!$V$30&gt;0,J$4&gt;'02_Debt Engine'!$I$30),'02_Debt Engine'!$W$30,IF('02_Debt Engine'!$D$30="Active",'02_Debt Engine'!$K$30,'02_Debt Engine'!$P$30))-J118))</f>
        <v>393631.81057509966</v>
      </c>
      <c r="K119" s="329">
        <f>IF(K117&lt;=0,0,MIN(K117,IF(AND('02_Debt Engine'!$F$30="Yes",'02_Debt Engine'!$V$30&gt;0,K$4&gt;'02_Debt Engine'!$I$30),'02_Debt Engine'!$W$30,IF('02_Debt Engine'!$D$30="Active",'02_Debt Engine'!$K$30,'02_Debt Engine'!$P$30))-K118))</f>
        <v>411207.47091727785</v>
      </c>
      <c r="L119" s="329">
        <f>IF(L117&lt;=0,0,MIN(L117,IF(AND('02_Debt Engine'!$F$30="Yes",'02_Debt Engine'!$V$30&gt;0,L$4&gt;'02_Debt Engine'!$I$30),'02_Debt Engine'!$W$30,IF('02_Debt Engine'!$D$30="Active",'02_Debt Engine'!$K$30,'02_Debt Engine'!$P$30))-L118))</f>
        <v>305019.38423887349</v>
      </c>
      <c r="M119" s="329">
        <f>IF(M117&lt;=0,0,MIN(M117,IF(AND('02_Debt Engine'!$F$30="Yes",'02_Debt Engine'!$V$30&gt;0,M$4&gt;'02_Debt Engine'!$I$30),'02_Debt Engine'!$W$30,IF('02_Debt Engine'!$D$30="Active",'02_Debt Engine'!$K$30,'02_Debt Engine'!$P$30))-M118))</f>
        <v>79787.055527929537</v>
      </c>
      <c r="N119" s="329">
        <f>IF(N117&lt;=0,0,MIN(N117,IF(AND('02_Debt Engine'!$F$30="Yes",'02_Debt Engine'!$V$30&gt;0,N$4&gt;'02_Debt Engine'!$I$30),'02_Debt Engine'!$W$30,IF('02_Debt Engine'!$D$30="Active",'02_Debt Engine'!$K$30,'02_Debt Engine'!$P$30))-N118))</f>
        <v>82978.537749046693</v>
      </c>
      <c r="O119" s="329">
        <f>IF(O117&lt;=0,0,MIN(O117,IF(AND('02_Debt Engine'!$F$30="Yes",'02_Debt Engine'!$V$30&gt;0,O$4&gt;'02_Debt Engine'!$I$30),'02_Debt Engine'!$W$30,IF('02_Debt Engine'!$D$30="Active",'02_Debt Engine'!$K$30,'02_Debt Engine'!$P$30))-O118))</f>
        <v>86297.679259008553</v>
      </c>
      <c r="P119" s="329">
        <f>IF(P117&lt;=0,0,MIN(P117,IF(AND('02_Debt Engine'!$F$30="Yes",'02_Debt Engine'!$V$30&gt;0,P$4&gt;'02_Debt Engine'!$I$30),'02_Debt Engine'!$W$30,IF('02_Debt Engine'!$D$30="Active",'02_Debt Engine'!$K$30,'02_Debt Engine'!$P$30))-P118))</f>
        <v>89749.586429368908</v>
      </c>
      <c r="Q119" s="329">
        <f>IF(Q117&lt;=0,0,MIN(Q117,IF(AND('02_Debt Engine'!$F$30="Yes",'02_Debt Engine'!$V$30&gt;0,Q$4&gt;'02_Debt Engine'!$I$30),'02_Debt Engine'!$W$30,IF('02_Debt Engine'!$D$30="Active",'02_Debt Engine'!$K$30,'02_Debt Engine'!$P$30))-Q118))</f>
        <v>93339.569886543642</v>
      </c>
      <c r="R119" s="329">
        <f>IF(R117&lt;=0,0,MIN(R117,IF(AND('02_Debt Engine'!$F$30="Yes",'02_Debt Engine'!$V$30&gt;0,R$4&gt;'02_Debt Engine'!$I$30),'02_Debt Engine'!$W$30,IF('02_Debt Engine'!$D$30="Active",'02_Debt Engine'!$K$30,'02_Debt Engine'!$P$30))-R118))</f>
        <v>97073.152682005399</v>
      </c>
      <c r="S119" s="329">
        <f>IF(S117&lt;=0,0,MIN(S117,IF(AND('02_Debt Engine'!$F$30="Yes",'02_Debt Engine'!$V$30&gt;0,S$4&gt;'02_Debt Engine'!$I$30),'02_Debt Engine'!$W$30,IF('02_Debt Engine'!$D$30="Active",'02_Debt Engine'!$K$30,'02_Debt Engine'!$P$30))-S118))</f>
        <v>100956.07878928562</v>
      </c>
      <c r="T119" s="329">
        <f>IF(T117&lt;=0,0,MIN(T117,IF(AND('02_Debt Engine'!$F$30="Yes",'02_Debt Engine'!$V$30&gt;0,T$4&gt;'02_Debt Engine'!$I$30),'02_Debt Engine'!$W$30,IF('02_Debt Engine'!$D$30="Active",'02_Debt Engine'!$K$30,'02_Debt Engine'!$P$30))-T118))</f>
        <v>104994.32194085704</v>
      </c>
      <c r="U119" s="329">
        <f>IF(U117&lt;=0,0,MIN(U117,IF(AND('02_Debt Engine'!$F$30="Yes",'02_Debt Engine'!$V$30&gt;0,U$4&gt;'02_Debt Engine'!$I$30),'02_Debt Engine'!$W$30,IF('02_Debt Engine'!$D$30="Active",'02_Debt Engine'!$K$30,'02_Debt Engine'!$P$30))-U118))</f>
        <v>109194.09481849131</v>
      </c>
      <c r="V119" s="329">
        <f>IF(V117&lt;=0,0,MIN(V117,IF(AND('02_Debt Engine'!$F$30="Yes",'02_Debt Engine'!$V$30&gt;0,V$4&gt;'02_Debt Engine'!$I$30),'02_Debt Engine'!$W$30,IF('02_Debt Engine'!$D$30="Active",'02_Debt Engine'!$K$30,'02_Debt Engine'!$P$30))-V118))</f>
        <v>113561.85861123097</v>
      </c>
      <c r="W119" s="329">
        <f>IF(W117&lt;=0,0,MIN(W117,IF(AND('02_Debt Engine'!$F$30="Yes",'02_Debt Engine'!$V$30&gt;0,W$4&gt;'02_Debt Engine'!$I$30),'02_Debt Engine'!$W$30,IF('02_Debt Engine'!$D$30="Active",'02_Debt Engine'!$K$30,'02_Debt Engine'!$P$30))-W118))</f>
        <v>118104.33295568021</v>
      </c>
    </row>
    <row r="120" spans="2:23">
      <c r="B120" s="14" t="s">
        <v>533</v>
      </c>
      <c r="C120" s="331">
        <f t="shared" ref="C120:W120" si="34">C117-C119</f>
        <v>3142456.1840150002</v>
      </c>
      <c r="D120" s="331">
        <f t="shared" si="34"/>
        <v>2839579.85263127</v>
      </c>
      <c r="E120" s="331">
        <f t="shared" si="34"/>
        <v>2523180.0930512561</v>
      </c>
      <c r="F120" s="331">
        <f t="shared" si="34"/>
        <v>2192653.0842059948</v>
      </c>
      <c r="G120" s="331">
        <f t="shared" si="34"/>
        <v>1847368.0444157925</v>
      </c>
      <c r="H120" s="331">
        <f t="shared" si="34"/>
        <v>1486666.0275989575</v>
      </c>
      <c r="I120" s="331">
        <f t="shared" si="34"/>
        <v>1109858.665731251</v>
      </c>
      <c r="J120" s="331">
        <f t="shared" si="34"/>
        <v>716226.85515615134</v>
      </c>
      <c r="K120" s="331">
        <f t="shared" si="34"/>
        <v>305019.38423887349</v>
      </c>
      <c r="L120" s="331">
        <f t="shared" si="34"/>
        <v>0</v>
      </c>
      <c r="M120" s="331">
        <f t="shared" si="34"/>
        <v>5995538.0282111289</v>
      </c>
      <c r="N120" s="331">
        <f t="shared" si="34"/>
        <v>5912559.4904620824</v>
      </c>
      <c r="O120" s="331">
        <f t="shared" si="34"/>
        <v>5826261.8112030737</v>
      </c>
      <c r="P120" s="331">
        <f t="shared" si="34"/>
        <v>5736512.224773705</v>
      </c>
      <c r="Q120" s="331">
        <f t="shared" si="34"/>
        <v>5643172.6548871612</v>
      </c>
      <c r="R120" s="331">
        <f t="shared" si="34"/>
        <v>5546099.5022051558</v>
      </c>
      <c r="S120" s="331">
        <f t="shared" si="34"/>
        <v>5445143.4234158704</v>
      </c>
      <c r="T120" s="331">
        <f t="shared" si="34"/>
        <v>5340149.1014750134</v>
      </c>
      <c r="U120" s="331">
        <f t="shared" si="34"/>
        <v>5230955.0066565219</v>
      </c>
      <c r="V120" s="331">
        <f t="shared" si="34"/>
        <v>5117393.1480452912</v>
      </c>
      <c r="W120" s="331">
        <f t="shared" si="34"/>
        <v>4999288.8150896113</v>
      </c>
    </row>
    <row r="121" spans="2:23">
      <c r="B121" s="3" t="s">
        <v>367</v>
      </c>
      <c r="C121" s="328">
        <f>IF(AND('02_Debt Engine'!$F$30="Yes",'02_Debt Engine'!$V$30&gt;0,C$4='02_Debt Engine'!$I$30),-C120,0)</f>
        <v>0</v>
      </c>
      <c r="D121" s="328">
        <f>IF(AND('02_Debt Engine'!$F$30="Yes",'02_Debt Engine'!$V$30&gt;0,D$4='02_Debt Engine'!$I$30),-D120,0)</f>
        <v>0</v>
      </c>
      <c r="E121" s="328">
        <f>IF(AND('02_Debt Engine'!$F$30="Yes",'02_Debt Engine'!$V$30&gt;0,E$4='02_Debt Engine'!$I$30),-E120,0)</f>
        <v>0</v>
      </c>
      <c r="F121" s="328">
        <f>IF(AND('02_Debt Engine'!$F$30="Yes",'02_Debt Engine'!$V$30&gt;0,F$4='02_Debt Engine'!$I$30),-F120,0)</f>
        <v>0</v>
      </c>
      <c r="G121" s="328">
        <f>IF(AND('02_Debt Engine'!$F$30="Yes",'02_Debt Engine'!$V$30&gt;0,G$4='02_Debt Engine'!$I$30),-G120,0)</f>
        <v>0</v>
      </c>
      <c r="H121" s="328">
        <f>IF(AND('02_Debt Engine'!$F$30="Yes",'02_Debt Engine'!$V$30&gt;0,H$4='02_Debt Engine'!$I$30),-H120,0)</f>
        <v>0</v>
      </c>
      <c r="I121" s="328">
        <f>IF(AND('02_Debt Engine'!$F$30="Yes",'02_Debt Engine'!$V$30&gt;0,I$4='02_Debt Engine'!$I$30),-I120,0)</f>
        <v>0</v>
      </c>
      <c r="J121" s="328">
        <f>IF(AND('02_Debt Engine'!$F$30="Yes",'02_Debt Engine'!$V$30&gt;0,J$4='02_Debt Engine'!$I$30),-J120,0)</f>
        <v>0</v>
      </c>
      <c r="K121" s="328">
        <f>IF(AND('02_Debt Engine'!$F$30="Yes",'02_Debt Engine'!$V$30&gt;0,K$4='02_Debt Engine'!$I$30),-K120,0)</f>
        <v>0</v>
      </c>
      <c r="L121" s="328">
        <f>IF(AND('02_Debt Engine'!$F$30="Yes",'02_Debt Engine'!$V$30&gt;0,L$4='02_Debt Engine'!$I$30),-L120,0)</f>
        <v>0</v>
      </c>
      <c r="M121" s="328">
        <f>IF(AND('02_Debt Engine'!$F$30="Yes",'02_Debt Engine'!$V$30&gt;0,M$4='02_Debt Engine'!$I$30),-M120,0)</f>
        <v>0</v>
      </c>
      <c r="N121" s="328">
        <f>IF(AND('02_Debt Engine'!$F$30="Yes",'02_Debt Engine'!$V$30&gt;0,N$4='02_Debt Engine'!$I$30),-N120,0)</f>
        <v>0</v>
      </c>
      <c r="O121" s="328">
        <f>IF(AND('02_Debt Engine'!$F$30="Yes",'02_Debt Engine'!$V$30&gt;0,O$4='02_Debt Engine'!$I$30),-O120,0)</f>
        <v>0</v>
      </c>
      <c r="P121" s="328">
        <f>IF(AND('02_Debt Engine'!$F$30="Yes",'02_Debt Engine'!$V$30&gt;0,P$4='02_Debt Engine'!$I$30),-P120,0)</f>
        <v>0</v>
      </c>
      <c r="Q121" s="328">
        <f>IF(AND('02_Debt Engine'!$F$30="Yes",'02_Debt Engine'!$V$30&gt;0,Q$4='02_Debt Engine'!$I$30),-Q120,0)</f>
        <v>0</v>
      </c>
      <c r="R121" s="328">
        <f>IF(AND('02_Debt Engine'!$F$30="Yes",'02_Debt Engine'!$V$30&gt;0,R$4='02_Debt Engine'!$I$30),-R120,0)</f>
        <v>0</v>
      </c>
      <c r="S121" s="328">
        <f>IF(AND('02_Debt Engine'!$F$30="Yes",'02_Debt Engine'!$V$30&gt;0,S$4='02_Debt Engine'!$I$30),-S120,0)</f>
        <v>0</v>
      </c>
      <c r="T121" s="328">
        <f>IF(AND('02_Debt Engine'!$F$30="Yes",'02_Debt Engine'!$V$30&gt;0,T$4='02_Debt Engine'!$I$30),-T120,0)</f>
        <v>0</v>
      </c>
      <c r="U121" s="328">
        <f>IF(AND('02_Debt Engine'!$F$30="Yes",'02_Debt Engine'!$V$30&gt;0,U$4='02_Debt Engine'!$I$30),-U120,0)</f>
        <v>0</v>
      </c>
      <c r="V121" s="328">
        <f>IF(AND('02_Debt Engine'!$F$30="Yes",'02_Debt Engine'!$V$30&gt;0,V$4='02_Debt Engine'!$I$30),-V120,0)</f>
        <v>0</v>
      </c>
      <c r="W121" s="328">
        <f>IF(AND('02_Debt Engine'!$F$30="Yes",'02_Debt Engine'!$V$30&gt;0,W$4='02_Debt Engine'!$I$30),-W120,0)</f>
        <v>0</v>
      </c>
    </row>
    <row r="122" spans="2:23">
      <c r="B122" s="13" t="s">
        <v>534</v>
      </c>
      <c r="C122" s="329">
        <f>IF(AND('02_Debt Engine'!$F$30="Yes",'02_Debt Engine'!$V$30&gt;0,C$4='02_Debt Engine'!$I$30),'02_Debt Engine'!$V$30,0)</f>
        <v>0</v>
      </c>
      <c r="D122" s="329">
        <f>IF(AND('02_Debt Engine'!$F$30="Yes",'02_Debt Engine'!$V$30&gt;0,D$4='02_Debt Engine'!$I$30),'02_Debt Engine'!$V$30,0)</f>
        <v>0</v>
      </c>
      <c r="E122" s="329">
        <f>IF(AND('02_Debt Engine'!$F$30="Yes",'02_Debt Engine'!$V$30&gt;0,E$4='02_Debt Engine'!$I$30),'02_Debt Engine'!$V$30,0)</f>
        <v>0</v>
      </c>
      <c r="F122" s="329">
        <f>IF(AND('02_Debt Engine'!$F$30="Yes",'02_Debt Engine'!$V$30&gt;0,F$4='02_Debt Engine'!$I$30),'02_Debt Engine'!$V$30,0)</f>
        <v>0</v>
      </c>
      <c r="G122" s="329">
        <f>IF(AND('02_Debt Engine'!$F$30="Yes",'02_Debt Engine'!$V$30&gt;0,G$4='02_Debt Engine'!$I$30),'02_Debt Engine'!$V$30,0)</f>
        <v>0</v>
      </c>
      <c r="H122" s="329">
        <f>IF(AND('02_Debt Engine'!$F$30="Yes",'02_Debt Engine'!$V$30&gt;0,H$4='02_Debt Engine'!$I$30),'02_Debt Engine'!$V$30,0)</f>
        <v>0</v>
      </c>
      <c r="I122" s="329">
        <f>IF(AND('02_Debt Engine'!$F$30="Yes",'02_Debt Engine'!$V$30&gt;0,I$4='02_Debt Engine'!$I$30),'02_Debt Engine'!$V$30,0)</f>
        <v>0</v>
      </c>
      <c r="J122" s="329">
        <f>IF(AND('02_Debt Engine'!$F$30="Yes",'02_Debt Engine'!$V$30&gt;0,J$4='02_Debt Engine'!$I$30),'02_Debt Engine'!$V$30,0)</f>
        <v>0</v>
      </c>
      <c r="K122" s="329">
        <f>IF(AND('02_Debt Engine'!$F$30="Yes",'02_Debt Engine'!$V$30&gt;0,K$4='02_Debt Engine'!$I$30),'02_Debt Engine'!$V$30,0)</f>
        <v>0</v>
      </c>
      <c r="L122" s="329">
        <f>IF(AND('02_Debt Engine'!$F$30="Yes",'02_Debt Engine'!$V$30&gt;0,L$4='02_Debt Engine'!$I$30),'02_Debt Engine'!$V$30,0)</f>
        <v>6075325.0837390581</v>
      </c>
      <c r="M122" s="329">
        <f>IF(AND('02_Debt Engine'!$F$30="Yes",'02_Debt Engine'!$V$30&gt;0,M$4='02_Debt Engine'!$I$30),'02_Debt Engine'!$V$30,0)</f>
        <v>0</v>
      </c>
      <c r="N122" s="329">
        <f>IF(AND('02_Debt Engine'!$F$30="Yes",'02_Debt Engine'!$V$30&gt;0,N$4='02_Debt Engine'!$I$30),'02_Debt Engine'!$V$30,0)</f>
        <v>0</v>
      </c>
      <c r="O122" s="329">
        <f>IF(AND('02_Debt Engine'!$F$30="Yes",'02_Debt Engine'!$V$30&gt;0,O$4='02_Debt Engine'!$I$30),'02_Debt Engine'!$V$30,0)</f>
        <v>0</v>
      </c>
      <c r="P122" s="329">
        <f>IF(AND('02_Debt Engine'!$F$30="Yes",'02_Debt Engine'!$V$30&gt;0,P$4='02_Debt Engine'!$I$30),'02_Debt Engine'!$V$30,0)</f>
        <v>0</v>
      </c>
      <c r="Q122" s="329">
        <f>IF(AND('02_Debt Engine'!$F$30="Yes",'02_Debt Engine'!$V$30&gt;0,Q$4='02_Debt Engine'!$I$30),'02_Debt Engine'!$V$30,0)</f>
        <v>0</v>
      </c>
      <c r="R122" s="329">
        <f>IF(AND('02_Debt Engine'!$F$30="Yes",'02_Debt Engine'!$V$30&gt;0,R$4='02_Debt Engine'!$I$30),'02_Debt Engine'!$V$30,0)</f>
        <v>0</v>
      </c>
      <c r="S122" s="329">
        <f>IF(AND('02_Debt Engine'!$F$30="Yes",'02_Debt Engine'!$V$30&gt;0,S$4='02_Debt Engine'!$I$30),'02_Debt Engine'!$V$30,0)</f>
        <v>0</v>
      </c>
      <c r="T122" s="329">
        <f>IF(AND('02_Debt Engine'!$F$30="Yes",'02_Debt Engine'!$V$30&gt;0,T$4='02_Debt Engine'!$I$30),'02_Debt Engine'!$V$30,0)</f>
        <v>0</v>
      </c>
      <c r="U122" s="329">
        <f>IF(AND('02_Debt Engine'!$F$30="Yes",'02_Debt Engine'!$V$30&gt;0,U$4='02_Debt Engine'!$I$30),'02_Debt Engine'!$V$30,0)</f>
        <v>0</v>
      </c>
      <c r="V122" s="329">
        <f>IF(AND('02_Debt Engine'!$F$30="Yes",'02_Debt Engine'!$V$30&gt;0,V$4='02_Debt Engine'!$I$30),'02_Debt Engine'!$V$30,0)</f>
        <v>0</v>
      </c>
      <c r="W122" s="329">
        <f>IF(AND('02_Debt Engine'!$F$30="Yes",'02_Debt Engine'!$V$30&gt;0,W$4='02_Debt Engine'!$I$30),'02_Debt Engine'!$V$30,0)</f>
        <v>0</v>
      </c>
    </row>
    <row r="123" spans="2:23">
      <c r="B123" s="3" t="s">
        <v>535</v>
      </c>
      <c r="C123" s="330">
        <f t="shared" ref="C123:W123" si="35">C121+C122</f>
        <v>0</v>
      </c>
      <c r="D123" s="330">
        <f t="shared" si="35"/>
        <v>0</v>
      </c>
      <c r="E123" s="330">
        <f t="shared" si="35"/>
        <v>0</v>
      </c>
      <c r="F123" s="330">
        <f t="shared" si="35"/>
        <v>0</v>
      </c>
      <c r="G123" s="330">
        <f t="shared" si="35"/>
        <v>0</v>
      </c>
      <c r="H123" s="330">
        <f t="shared" si="35"/>
        <v>0</v>
      </c>
      <c r="I123" s="330">
        <f t="shared" si="35"/>
        <v>0</v>
      </c>
      <c r="J123" s="330">
        <f t="shared" si="35"/>
        <v>0</v>
      </c>
      <c r="K123" s="330">
        <f t="shared" si="35"/>
        <v>0</v>
      </c>
      <c r="L123" s="330">
        <f t="shared" si="35"/>
        <v>6075325.0837390581</v>
      </c>
      <c r="M123" s="330">
        <f t="shared" si="35"/>
        <v>0</v>
      </c>
      <c r="N123" s="330">
        <f t="shared" si="35"/>
        <v>0</v>
      </c>
      <c r="O123" s="330">
        <f t="shared" si="35"/>
        <v>0</v>
      </c>
      <c r="P123" s="330">
        <f t="shared" si="35"/>
        <v>0</v>
      </c>
      <c r="Q123" s="330">
        <f t="shared" si="35"/>
        <v>0</v>
      </c>
      <c r="R123" s="330">
        <f t="shared" si="35"/>
        <v>0</v>
      </c>
      <c r="S123" s="330">
        <f t="shared" si="35"/>
        <v>0</v>
      </c>
      <c r="T123" s="330">
        <f t="shared" si="35"/>
        <v>0</v>
      </c>
      <c r="U123" s="330">
        <f t="shared" si="35"/>
        <v>0</v>
      </c>
      <c r="V123" s="330">
        <f t="shared" si="35"/>
        <v>0</v>
      </c>
      <c r="W123" s="330">
        <f t="shared" si="35"/>
        <v>0</v>
      </c>
    </row>
    <row r="124" spans="2:23">
      <c r="B124" s="14" t="s">
        <v>525</v>
      </c>
      <c r="C124" s="328">
        <f t="shared" ref="C124:W124" si="36">C118+C119</f>
        <v>443187</v>
      </c>
      <c r="D124" s="328">
        <f t="shared" si="36"/>
        <v>443187</v>
      </c>
      <c r="E124" s="328">
        <f t="shared" si="36"/>
        <v>443187</v>
      </c>
      <c r="F124" s="328">
        <f t="shared" si="36"/>
        <v>443187</v>
      </c>
      <c r="G124" s="328">
        <f t="shared" si="36"/>
        <v>443187</v>
      </c>
      <c r="H124" s="328">
        <f t="shared" si="36"/>
        <v>443187</v>
      </c>
      <c r="I124" s="328">
        <f t="shared" si="36"/>
        <v>443187</v>
      </c>
      <c r="J124" s="328">
        <f t="shared" si="36"/>
        <v>443187</v>
      </c>
      <c r="K124" s="328">
        <f t="shared" si="36"/>
        <v>443187</v>
      </c>
      <c r="L124" s="328">
        <f t="shared" si="36"/>
        <v>318638.49974513921</v>
      </c>
      <c r="M124" s="328">
        <f t="shared" si="36"/>
        <v>322800.05887749186</v>
      </c>
      <c r="N124" s="328">
        <f t="shared" si="36"/>
        <v>322800.05887749186</v>
      </c>
      <c r="O124" s="328">
        <f t="shared" si="36"/>
        <v>322800.05887749186</v>
      </c>
      <c r="P124" s="328">
        <f t="shared" si="36"/>
        <v>322800.05887749186</v>
      </c>
      <c r="Q124" s="328">
        <f t="shared" si="36"/>
        <v>322800.05887749186</v>
      </c>
      <c r="R124" s="328">
        <f t="shared" si="36"/>
        <v>322800.05887749186</v>
      </c>
      <c r="S124" s="328">
        <f t="shared" si="36"/>
        <v>322800.05887749186</v>
      </c>
      <c r="T124" s="328">
        <f t="shared" si="36"/>
        <v>322800.05887749186</v>
      </c>
      <c r="U124" s="328">
        <f t="shared" si="36"/>
        <v>322800.05887749186</v>
      </c>
      <c r="V124" s="328">
        <f t="shared" si="36"/>
        <v>322800.05887749186</v>
      </c>
      <c r="W124" s="328">
        <f t="shared" si="36"/>
        <v>322800.05887749186</v>
      </c>
    </row>
    <row r="126" spans="2:23">
      <c r="B126" s="327" t="str">
        <f>'02_Debt Engine'!$B$31</f>
        <v>Rosemary Green</v>
      </c>
      <c r="C126" s="327" t="str">
        <f>_xlfn.LET(_xlpm.refiyr,INDEX('02_Debt Engine'!$I$19:$I$35,MATCH('02A_Debt Schedule'!$B126,'02_Debt Engine'!$B$19:$B$35,0)),IF(_xlpm.refiyr='02A_Debt Schedule'!C$4,"Refi Yr.",""))</f>
        <v/>
      </c>
      <c r="D126" s="327" t="str">
        <f>_xlfn.LET(_xlpm.refiyr,INDEX('02_Debt Engine'!$I$19:$I$35,MATCH('02A_Debt Schedule'!$B126,'02_Debt Engine'!$B$19:$B$35,0)),IF(_xlpm.refiyr='02A_Debt Schedule'!D$4,"Refi Yr.",""))</f>
        <v>Refi Yr.</v>
      </c>
      <c r="E126" s="327" t="str">
        <f>_xlfn.LET(_xlpm.refiyr,INDEX('02_Debt Engine'!$I$19:$I$35,MATCH('02A_Debt Schedule'!$B126,'02_Debt Engine'!$B$19:$B$35,0)),IF(_xlpm.refiyr='02A_Debt Schedule'!E$4,"Refi Yr.",""))</f>
        <v/>
      </c>
      <c r="F126" s="327" t="str">
        <f>_xlfn.LET(_xlpm.refiyr,INDEX('02_Debt Engine'!$I$19:$I$35,MATCH('02A_Debt Schedule'!$B126,'02_Debt Engine'!$B$19:$B$35,0)),IF(_xlpm.refiyr='02A_Debt Schedule'!F$4,"Refi Yr.",""))</f>
        <v/>
      </c>
      <c r="G126" s="327" t="str">
        <f>_xlfn.LET(_xlpm.refiyr,INDEX('02_Debt Engine'!$I$19:$I$35,MATCH('02A_Debt Schedule'!$B126,'02_Debt Engine'!$B$19:$B$35,0)),IF(_xlpm.refiyr='02A_Debt Schedule'!G$4,"Refi Yr.",""))</f>
        <v/>
      </c>
      <c r="H126" s="327" t="str">
        <f>_xlfn.LET(_xlpm.refiyr,INDEX('02_Debt Engine'!$I$19:$I$35,MATCH('02A_Debt Schedule'!$B126,'02_Debt Engine'!$B$19:$B$35,0)),IF(_xlpm.refiyr='02A_Debt Schedule'!H$4,"Refi Yr.",""))</f>
        <v/>
      </c>
      <c r="I126" s="327" t="str">
        <f>_xlfn.LET(_xlpm.refiyr,INDEX('02_Debt Engine'!$I$19:$I$35,MATCH('02A_Debt Schedule'!$B126,'02_Debt Engine'!$B$19:$B$35,0)),IF(_xlpm.refiyr='02A_Debt Schedule'!I$4,"Refi Yr.",""))</f>
        <v/>
      </c>
      <c r="J126" s="327" t="str">
        <f>_xlfn.LET(_xlpm.refiyr,INDEX('02_Debt Engine'!$I$19:$I$35,MATCH('02A_Debt Schedule'!$B126,'02_Debt Engine'!$B$19:$B$35,0)),IF(_xlpm.refiyr='02A_Debt Schedule'!J$4,"Refi Yr.",""))</f>
        <v/>
      </c>
      <c r="K126" s="327" t="str">
        <f>_xlfn.LET(_xlpm.refiyr,INDEX('02_Debt Engine'!$I$19:$I$35,MATCH('02A_Debt Schedule'!$B126,'02_Debt Engine'!$B$19:$B$35,0)),IF(_xlpm.refiyr='02A_Debt Schedule'!K$4,"Refi Yr.",""))</f>
        <v/>
      </c>
      <c r="L126" s="327" t="str">
        <f>_xlfn.LET(_xlpm.refiyr,INDEX('02_Debt Engine'!$I$19:$I$35,MATCH('02A_Debt Schedule'!$B126,'02_Debt Engine'!$B$19:$B$35,0)),IF(_xlpm.refiyr='02A_Debt Schedule'!L$4,"Refi Yr.",""))</f>
        <v/>
      </c>
      <c r="M126" s="327" t="str">
        <f>_xlfn.LET(_xlpm.refiyr,INDEX('02_Debt Engine'!$I$19:$I$35,MATCH('02A_Debt Schedule'!$B126,'02_Debt Engine'!$B$19:$B$35,0)),IF(_xlpm.refiyr='02A_Debt Schedule'!M$4,"Refi Yr.",""))</f>
        <v/>
      </c>
      <c r="N126" s="327" t="str">
        <f>_xlfn.LET(_xlpm.refiyr,INDEX('02_Debt Engine'!$I$19:$I$35,MATCH('02A_Debt Schedule'!$B126,'02_Debt Engine'!$B$19:$B$35,0)),IF(_xlpm.refiyr='02A_Debt Schedule'!N$4,"Refi Yr.",""))</f>
        <v/>
      </c>
      <c r="O126" s="327" t="str">
        <f>_xlfn.LET(_xlpm.refiyr,INDEX('02_Debt Engine'!$I$19:$I$35,MATCH('02A_Debt Schedule'!$B126,'02_Debt Engine'!$B$19:$B$35,0)),IF(_xlpm.refiyr='02A_Debt Schedule'!O$4,"Refi Yr.",""))</f>
        <v/>
      </c>
      <c r="P126" s="327" t="str">
        <f>_xlfn.LET(_xlpm.refiyr,INDEX('02_Debt Engine'!$I$19:$I$35,MATCH('02A_Debt Schedule'!$B126,'02_Debt Engine'!$B$19:$B$35,0)),IF(_xlpm.refiyr='02A_Debt Schedule'!P$4,"Refi Yr.",""))</f>
        <v/>
      </c>
      <c r="Q126" s="327" t="str">
        <f>_xlfn.LET(_xlpm.refiyr,INDEX('02_Debt Engine'!$I$19:$I$35,MATCH('02A_Debt Schedule'!$B126,'02_Debt Engine'!$B$19:$B$35,0)),IF(_xlpm.refiyr='02A_Debt Schedule'!Q$4,"Refi Yr.",""))</f>
        <v/>
      </c>
      <c r="R126" s="327" t="str">
        <f>_xlfn.LET(_xlpm.refiyr,INDEX('02_Debt Engine'!$I$19:$I$35,MATCH('02A_Debt Schedule'!$B126,'02_Debt Engine'!$B$19:$B$35,0)),IF(_xlpm.refiyr='02A_Debt Schedule'!R$4,"Refi Yr.",""))</f>
        <v/>
      </c>
      <c r="S126" s="327" t="str">
        <f>_xlfn.LET(_xlpm.refiyr,INDEX('02_Debt Engine'!$I$19:$I$35,MATCH('02A_Debt Schedule'!$B126,'02_Debt Engine'!$B$19:$B$35,0)),IF(_xlpm.refiyr='02A_Debt Schedule'!S$4,"Refi Yr.",""))</f>
        <v/>
      </c>
      <c r="T126" s="327" t="str">
        <f>_xlfn.LET(_xlpm.refiyr,INDEX('02_Debt Engine'!$I$19:$I$35,MATCH('02A_Debt Schedule'!$B126,'02_Debt Engine'!$B$19:$B$35,0)),IF(_xlpm.refiyr='02A_Debt Schedule'!T$4,"Refi Yr.",""))</f>
        <v/>
      </c>
      <c r="U126" s="327" t="str">
        <f>_xlfn.LET(_xlpm.refiyr,INDEX('02_Debt Engine'!$I$19:$I$35,MATCH('02A_Debt Schedule'!$B126,'02_Debt Engine'!$B$19:$B$35,0)),IF(_xlpm.refiyr='02A_Debt Schedule'!U$4,"Refi Yr.",""))</f>
        <v/>
      </c>
      <c r="V126" s="327" t="str">
        <f>_xlfn.LET(_xlpm.refiyr,INDEX('02_Debt Engine'!$I$19:$I$35,MATCH('02A_Debt Schedule'!$B126,'02_Debt Engine'!$B$19:$B$35,0)),IF(_xlpm.refiyr='02A_Debt Schedule'!V$4,"Refi Yr.",""))</f>
        <v/>
      </c>
      <c r="W126" s="327" t="str">
        <f>_xlfn.LET(_xlpm.refiyr,INDEX('02_Debt Engine'!$I$19:$I$35,MATCH('02A_Debt Schedule'!$B126,'02_Debt Engine'!$B$19:$B$35,0)),IF(_xlpm.refiyr='02A_Debt Schedule'!W$4,"Refi Yr.",""))</f>
        <v/>
      </c>
    </row>
    <row r="127" spans="2:23">
      <c r="B127" s="3" t="s">
        <v>531</v>
      </c>
      <c r="C127" s="328">
        <f>IF('02_Debt Engine'!$D$31="Active",'02_Debt Engine'!$N$31,'02_Debt Engine'!$O$31)</f>
        <v>1976761.19</v>
      </c>
      <c r="D127" s="328">
        <f>IF(AND('02_Debt Engine'!$F$31="Yes",'02_Debt Engine'!$V$31&gt;0,C$4='02_Debt Engine'!$I$31),'02_Debt Engine'!$V$31,C130)</f>
        <v>1733057.1785599999</v>
      </c>
      <c r="E127" s="328">
        <f>IF(AND('02_Debt Engine'!$F$31="Yes",'02_Debt Engine'!$V$31&gt;0,D$4='02_Debt Engine'!$I$31),'02_Debt Engine'!$V$31,D130)</f>
        <v>1483504.2708454398</v>
      </c>
      <c r="F127" s="328">
        <f>IF(AND('02_Debt Engine'!$F$31="Yes",'02_Debt Engine'!$V$31&gt;0,E$4='02_Debt Engine'!$I$31),'02_Debt Engine'!$V$31,E130)</f>
        <v>1227962.0933457303</v>
      </c>
      <c r="G127" s="328">
        <f>IF(AND('02_Debt Engine'!$F$31="Yes",'02_Debt Engine'!$V$31&gt;0,F$4='02_Debt Engine'!$I$31),'02_Debt Engine'!$V$31,F130)</f>
        <v>966286.90358602779</v>
      </c>
      <c r="H127" s="328">
        <f>IF(AND('02_Debt Engine'!$F$31="Yes",'02_Debt Engine'!$V$31&gt;0,G$4='02_Debt Engine'!$I$31),'02_Debt Engine'!$V$31,G130)</f>
        <v>698331.50927209249</v>
      </c>
      <c r="I127" s="328">
        <f>IF(AND('02_Debt Engine'!$F$31="Yes",'02_Debt Engine'!$V$31&gt;0,H$4='02_Debt Engine'!$I$31),'02_Debt Engine'!$V$31,H130)</f>
        <v>423945.18549462268</v>
      </c>
      <c r="J127" s="328">
        <f>IF(AND('02_Debt Engine'!$F$31="Yes",'02_Debt Engine'!$V$31&gt;0,I$4='02_Debt Engine'!$I$31),'02_Debt Engine'!$V$31,I130)</f>
        <v>142973.58994649362</v>
      </c>
      <c r="K127" s="328">
        <f>IF(AND('02_Debt Engine'!$F$31="Yes",'02_Debt Engine'!$V$31&gt;0,J$4='02_Debt Engine'!$I$31),'02_Debt Engine'!$V$31,J130)</f>
        <v>0</v>
      </c>
      <c r="L127" s="328">
        <f>IF(AND('02_Debt Engine'!$F$31="Yes",'02_Debt Engine'!$V$31&gt;0,K$4='02_Debt Engine'!$I$31),'02_Debt Engine'!$V$31,K130)</f>
        <v>0</v>
      </c>
      <c r="M127" s="328">
        <f>IF(AND('02_Debt Engine'!$F$31="Yes",'02_Debt Engine'!$V$31&gt;0,L$4='02_Debt Engine'!$I$31),'02_Debt Engine'!$V$31,L130)</f>
        <v>0</v>
      </c>
      <c r="N127" s="328">
        <f>IF(AND('02_Debt Engine'!$F$31="Yes",'02_Debt Engine'!$V$31&gt;0,M$4='02_Debt Engine'!$I$31),'02_Debt Engine'!$V$31,M130)</f>
        <v>0</v>
      </c>
      <c r="O127" s="328">
        <f>IF(AND('02_Debt Engine'!$F$31="Yes",'02_Debt Engine'!$V$31&gt;0,N$4='02_Debt Engine'!$I$31),'02_Debt Engine'!$V$31,N130)</f>
        <v>0</v>
      </c>
      <c r="P127" s="328">
        <f>IF(AND('02_Debt Engine'!$F$31="Yes",'02_Debt Engine'!$V$31&gt;0,O$4='02_Debt Engine'!$I$31),'02_Debt Engine'!$V$31,O130)</f>
        <v>0</v>
      </c>
      <c r="Q127" s="328">
        <f>IF(AND('02_Debt Engine'!$F$31="Yes",'02_Debt Engine'!$V$31&gt;0,P$4='02_Debt Engine'!$I$31),'02_Debt Engine'!$V$31,P130)</f>
        <v>0</v>
      </c>
      <c r="R127" s="328">
        <f>IF(AND('02_Debt Engine'!$F$31="Yes",'02_Debt Engine'!$V$31&gt;0,Q$4='02_Debt Engine'!$I$31),'02_Debt Engine'!$V$31,Q130)</f>
        <v>0</v>
      </c>
      <c r="S127" s="328">
        <f>IF(AND('02_Debt Engine'!$F$31="Yes",'02_Debt Engine'!$V$31&gt;0,R$4='02_Debt Engine'!$I$31),'02_Debt Engine'!$V$31,R130)</f>
        <v>0</v>
      </c>
      <c r="T127" s="328">
        <f>IF(AND('02_Debt Engine'!$F$31="Yes",'02_Debt Engine'!$V$31&gt;0,S$4='02_Debt Engine'!$I$31),'02_Debt Engine'!$V$31,S130)</f>
        <v>0</v>
      </c>
      <c r="U127" s="328">
        <f>IF(AND('02_Debt Engine'!$F$31="Yes",'02_Debt Engine'!$V$31&gt;0,T$4='02_Debt Engine'!$I$31),'02_Debt Engine'!$V$31,T130)</f>
        <v>0</v>
      </c>
      <c r="V127" s="328">
        <f>IF(AND('02_Debt Engine'!$F$31="Yes",'02_Debt Engine'!$V$31&gt;0,U$4='02_Debt Engine'!$I$31),'02_Debt Engine'!$V$31,U130)</f>
        <v>0</v>
      </c>
      <c r="W127" s="328">
        <f>IF(AND('02_Debt Engine'!$F$31="Yes",'02_Debt Engine'!$V$31&gt;0,V$4='02_Debt Engine'!$I$31),'02_Debt Engine'!$V$31,V130)</f>
        <v>0</v>
      </c>
    </row>
    <row r="128" spans="2:23">
      <c r="B128" s="3" t="s">
        <v>514</v>
      </c>
      <c r="C128" s="328">
        <f>IF(C127&lt;=0,0,C127*IF(AND('02_Debt Engine'!$F$31="Yes",'02_Debt Engine'!$V$31&gt;0,C$4&gt;'02_Debt Engine'!$I$31),'02_Debt Engine'!$C$13,IF('02_Debt Engine'!$D$31="Active",'02_Debt Engine'!$H$31,'02_Debt Engine'!$C$7)))</f>
        <v>47442.268559999997</v>
      </c>
      <c r="D128" s="328">
        <f>IF(D127&lt;=0,0,D127*IF(AND('02_Debt Engine'!$F$31="Yes",'02_Debt Engine'!$V$31&gt;0,D$4&gt;'02_Debt Engine'!$I$31),'02_Debt Engine'!$C$13,IF('02_Debt Engine'!$D$31="Active",'02_Debt Engine'!$H$31,'02_Debt Engine'!$C$7)))</f>
        <v>41593.372285439997</v>
      </c>
      <c r="E128" s="328">
        <f>IF(E127&lt;=0,0,E127*IF(AND('02_Debt Engine'!$F$31="Yes",'02_Debt Engine'!$V$31&gt;0,E$4&gt;'02_Debt Engine'!$I$31),'02_Debt Engine'!$C$13,IF('02_Debt Engine'!$D$31="Active",'02_Debt Engine'!$H$31,'02_Debt Engine'!$C$7)))</f>
        <v>35604.102500290552</v>
      </c>
      <c r="F128" s="328">
        <f>IF(F127&lt;=0,0,F127*IF(AND('02_Debt Engine'!$F$31="Yes",'02_Debt Engine'!$V$31&gt;0,F$4&gt;'02_Debt Engine'!$I$31),'02_Debt Engine'!$C$13,IF('02_Debt Engine'!$D$31="Active",'02_Debt Engine'!$H$31,'02_Debt Engine'!$C$7)))</f>
        <v>29471.09024029753</v>
      </c>
      <c r="G128" s="328">
        <f>IF(G127&lt;=0,0,G127*IF(AND('02_Debt Engine'!$F$31="Yes",'02_Debt Engine'!$V$31&gt;0,G$4&gt;'02_Debt Engine'!$I$31),'02_Debt Engine'!$C$13,IF('02_Debt Engine'!$D$31="Active",'02_Debt Engine'!$H$31,'02_Debt Engine'!$C$7)))</f>
        <v>23190.885686064667</v>
      </c>
      <c r="H128" s="328">
        <f>IF(H127&lt;=0,0,H127*IF(AND('02_Debt Engine'!$F$31="Yes",'02_Debt Engine'!$V$31&gt;0,H$4&gt;'02_Debt Engine'!$I$31),'02_Debt Engine'!$C$13,IF('02_Debt Engine'!$D$31="Active",'02_Debt Engine'!$H$31,'02_Debt Engine'!$C$7)))</f>
        <v>16759.956222530222</v>
      </c>
      <c r="I128" s="328">
        <f>IF(I127&lt;=0,0,I127*IF(AND('02_Debt Engine'!$F$31="Yes",'02_Debt Engine'!$V$31&gt;0,I$4&gt;'02_Debt Engine'!$I$31),'02_Debt Engine'!$C$13,IF('02_Debt Engine'!$D$31="Active",'02_Debt Engine'!$H$31,'02_Debt Engine'!$C$7)))</f>
        <v>10174.684451870944</v>
      </c>
      <c r="J128" s="328">
        <f>IF(J127&lt;=0,0,J127*IF(AND('02_Debt Engine'!$F$31="Yes",'02_Debt Engine'!$V$31&gt;0,J$4&gt;'02_Debt Engine'!$I$31),'02_Debt Engine'!$C$13,IF('02_Debt Engine'!$D$31="Active",'02_Debt Engine'!$H$31,'02_Debt Engine'!$C$7)))</f>
        <v>3431.3661587158472</v>
      </c>
      <c r="K128" s="328">
        <f>IF(K127&lt;=0,0,K127*IF(AND('02_Debt Engine'!$F$31="Yes",'02_Debt Engine'!$V$31&gt;0,K$4&gt;'02_Debt Engine'!$I$31),'02_Debt Engine'!$C$13,IF('02_Debt Engine'!$D$31="Active",'02_Debt Engine'!$H$31,'02_Debt Engine'!$C$7)))</f>
        <v>0</v>
      </c>
      <c r="L128" s="328">
        <f>IF(L127&lt;=0,0,L127*IF(AND('02_Debt Engine'!$F$31="Yes",'02_Debt Engine'!$V$31&gt;0,L$4&gt;'02_Debt Engine'!$I$31),'02_Debt Engine'!$C$13,IF('02_Debt Engine'!$D$31="Active",'02_Debt Engine'!$H$31,'02_Debt Engine'!$C$7)))</f>
        <v>0</v>
      </c>
      <c r="M128" s="328">
        <f>IF(M127&lt;=0,0,M127*IF(AND('02_Debt Engine'!$F$31="Yes",'02_Debt Engine'!$V$31&gt;0,M$4&gt;'02_Debt Engine'!$I$31),'02_Debt Engine'!$C$13,IF('02_Debt Engine'!$D$31="Active",'02_Debt Engine'!$H$31,'02_Debt Engine'!$C$7)))</f>
        <v>0</v>
      </c>
      <c r="N128" s="328">
        <f>IF(N127&lt;=0,0,N127*IF(AND('02_Debt Engine'!$F$31="Yes",'02_Debt Engine'!$V$31&gt;0,N$4&gt;'02_Debt Engine'!$I$31),'02_Debt Engine'!$C$13,IF('02_Debt Engine'!$D$31="Active",'02_Debt Engine'!$H$31,'02_Debt Engine'!$C$7)))</f>
        <v>0</v>
      </c>
      <c r="O128" s="328">
        <f>IF(O127&lt;=0,0,O127*IF(AND('02_Debt Engine'!$F$31="Yes",'02_Debt Engine'!$V$31&gt;0,O$4&gt;'02_Debt Engine'!$I$31),'02_Debt Engine'!$C$13,IF('02_Debt Engine'!$D$31="Active",'02_Debt Engine'!$H$31,'02_Debt Engine'!$C$7)))</f>
        <v>0</v>
      </c>
      <c r="P128" s="328">
        <f>IF(P127&lt;=0,0,P127*IF(AND('02_Debt Engine'!$F$31="Yes",'02_Debt Engine'!$V$31&gt;0,P$4&gt;'02_Debt Engine'!$I$31),'02_Debt Engine'!$C$13,IF('02_Debt Engine'!$D$31="Active",'02_Debt Engine'!$H$31,'02_Debt Engine'!$C$7)))</f>
        <v>0</v>
      </c>
      <c r="Q128" s="328">
        <f>IF(Q127&lt;=0,0,Q127*IF(AND('02_Debt Engine'!$F$31="Yes",'02_Debt Engine'!$V$31&gt;0,Q$4&gt;'02_Debt Engine'!$I$31),'02_Debt Engine'!$C$13,IF('02_Debt Engine'!$D$31="Active",'02_Debt Engine'!$H$31,'02_Debt Engine'!$C$7)))</f>
        <v>0</v>
      </c>
      <c r="R128" s="328">
        <f>IF(R127&lt;=0,0,R127*IF(AND('02_Debt Engine'!$F$31="Yes",'02_Debt Engine'!$V$31&gt;0,R$4&gt;'02_Debt Engine'!$I$31),'02_Debt Engine'!$C$13,IF('02_Debt Engine'!$D$31="Active",'02_Debt Engine'!$H$31,'02_Debt Engine'!$C$7)))</f>
        <v>0</v>
      </c>
      <c r="S128" s="328">
        <f>IF(S127&lt;=0,0,S127*IF(AND('02_Debt Engine'!$F$31="Yes",'02_Debt Engine'!$V$31&gt;0,S$4&gt;'02_Debt Engine'!$I$31),'02_Debt Engine'!$C$13,IF('02_Debt Engine'!$D$31="Active",'02_Debt Engine'!$H$31,'02_Debt Engine'!$C$7)))</f>
        <v>0</v>
      </c>
      <c r="T128" s="328">
        <f>IF(T127&lt;=0,0,T127*IF(AND('02_Debt Engine'!$F$31="Yes",'02_Debt Engine'!$V$31&gt;0,T$4&gt;'02_Debt Engine'!$I$31),'02_Debt Engine'!$C$13,IF('02_Debt Engine'!$D$31="Active",'02_Debt Engine'!$H$31,'02_Debt Engine'!$C$7)))</f>
        <v>0</v>
      </c>
      <c r="U128" s="328">
        <f>IF(U127&lt;=0,0,U127*IF(AND('02_Debt Engine'!$F$31="Yes",'02_Debt Engine'!$V$31&gt;0,U$4&gt;'02_Debt Engine'!$I$31),'02_Debt Engine'!$C$13,IF('02_Debt Engine'!$D$31="Active",'02_Debt Engine'!$H$31,'02_Debt Engine'!$C$7)))</f>
        <v>0</v>
      </c>
      <c r="V128" s="328">
        <f>IF(V127&lt;=0,0,V127*IF(AND('02_Debt Engine'!$F$31="Yes",'02_Debt Engine'!$V$31&gt;0,V$4&gt;'02_Debt Engine'!$I$31),'02_Debt Engine'!$C$13,IF('02_Debt Engine'!$D$31="Active",'02_Debt Engine'!$H$31,'02_Debt Engine'!$C$7)))</f>
        <v>0</v>
      </c>
      <c r="W128" s="328">
        <f>IF(W127&lt;=0,0,W127*IF(AND('02_Debt Engine'!$F$31="Yes",'02_Debt Engine'!$V$31&gt;0,W$4&gt;'02_Debt Engine'!$I$31),'02_Debt Engine'!$C$13,IF('02_Debt Engine'!$D$31="Active",'02_Debt Engine'!$H$31,'02_Debt Engine'!$C$7)))</f>
        <v>0</v>
      </c>
    </row>
    <row r="129" spans="2:23">
      <c r="B129" s="13" t="s">
        <v>532</v>
      </c>
      <c r="C129" s="329">
        <f>IF(C127&lt;=0,0,MIN(C127,IF(AND('02_Debt Engine'!$F$31="Yes",'02_Debt Engine'!$V$31&gt;0,C$4&gt;'02_Debt Engine'!$I$31),'02_Debt Engine'!$W$31,IF('02_Debt Engine'!$D$31="Active",'02_Debt Engine'!$K$31,'02_Debt Engine'!$P$31))-C128))</f>
        <v>243704.01144000003</v>
      </c>
      <c r="D129" s="329">
        <f>IF(D127&lt;=0,0,MIN(D127,IF(AND('02_Debt Engine'!$F$31="Yes",'02_Debt Engine'!$V$31&gt;0,D$4&gt;'02_Debt Engine'!$I$31),'02_Debt Engine'!$W$31,IF('02_Debt Engine'!$D$31="Active",'02_Debt Engine'!$K$31,'02_Debt Engine'!$P$31))-D128))</f>
        <v>249552.90771456005</v>
      </c>
      <c r="E129" s="329">
        <f>IF(E127&lt;=0,0,MIN(E127,IF(AND('02_Debt Engine'!$F$31="Yes",'02_Debt Engine'!$V$31&gt;0,E$4&gt;'02_Debt Engine'!$I$31),'02_Debt Engine'!$W$31,IF('02_Debt Engine'!$D$31="Active",'02_Debt Engine'!$K$31,'02_Debt Engine'!$P$31))-E128))</f>
        <v>255542.17749970948</v>
      </c>
      <c r="F129" s="329">
        <f>IF(F127&lt;=0,0,MIN(F127,IF(AND('02_Debt Engine'!$F$31="Yes",'02_Debt Engine'!$V$31&gt;0,F$4&gt;'02_Debt Engine'!$I$31),'02_Debt Engine'!$W$31,IF('02_Debt Engine'!$D$31="Active",'02_Debt Engine'!$K$31,'02_Debt Engine'!$P$31))-F128))</f>
        <v>261675.18975970251</v>
      </c>
      <c r="G129" s="329">
        <f>IF(G127&lt;=0,0,MIN(G127,IF(AND('02_Debt Engine'!$F$31="Yes",'02_Debt Engine'!$V$31&gt;0,G$4&gt;'02_Debt Engine'!$I$31),'02_Debt Engine'!$W$31,IF('02_Debt Engine'!$D$31="Active",'02_Debt Engine'!$K$31,'02_Debt Engine'!$P$31))-G128))</f>
        <v>267955.39431393537</v>
      </c>
      <c r="H129" s="329">
        <f>IF(H127&lt;=0,0,MIN(H127,IF(AND('02_Debt Engine'!$F$31="Yes",'02_Debt Engine'!$V$31&gt;0,H$4&gt;'02_Debt Engine'!$I$31),'02_Debt Engine'!$W$31,IF('02_Debt Engine'!$D$31="Active",'02_Debt Engine'!$K$31,'02_Debt Engine'!$P$31))-H128))</f>
        <v>274386.32377746981</v>
      </c>
      <c r="I129" s="329">
        <f>IF(I127&lt;=0,0,MIN(I127,IF(AND('02_Debt Engine'!$F$31="Yes",'02_Debt Engine'!$V$31&gt;0,I$4&gt;'02_Debt Engine'!$I$31),'02_Debt Engine'!$W$31,IF('02_Debt Engine'!$D$31="Active",'02_Debt Engine'!$K$31,'02_Debt Engine'!$P$31))-I128))</f>
        <v>280971.59554812906</v>
      </c>
      <c r="J129" s="329">
        <f>IF(J127&lt;=0,0,MIN(J127,IF(AND('02_Debt Engine'!$F$31="Yes",'02_Debt Engine'!$V$31&gt;0,J$4&gt;'02_Debt Engine'!$I$31),'02_Debt Engine'!$W$31,IF('02_Debt Engine'!$D$31="Active",'02_Debt Engine'!$K$31,'02_Debt Engine'!$P$31))-J128))</f>
        <v>142973.58994649362</v>
      </c>
      <c r="K129" s="329">
        <f>IF(K127&lt;=0,0,MIN(K127,IF(AND('02_Debt Engine'!$F$31="Yes",'02_Debt Engine'!$V$31&gt;0,K$4&gt;'02_Debt Engine'!$I$31),'02_Debt Engine'!$W$31,IF('02_Debt Engine'!$D$31="Active",'02_Debt Engine'!$K$31,'02_Debt Engine'!$P$31))-K128))</f>
        <v>0</v>
      </c>
      <c r="L129" s="329">
        <f>IF(L127&lt;=0,0,MIN(L127,IF(AND('02_Debt Engine'!$F$31="Yes",'02_Debt Engine'!$V$31&gt;0,L$4&gt;'02_Debt Engine'!$I$31),'02_Debt Engine'!$W$31,IF('02_Debt Engine'!$D$31="Active",'02_Debt Engine'!$K$31,'02_Debt Engine'!$P$31))-L128))</f>
        <v>0</v>
      </c>
      <c r="M129" s="329">
        <f>IF(M127&lt;=0,0,MIN(M127,IF(AND('02_Debt Engine'!$F$31="Yes",'02_Debt Engine'!$V$31&gt;0,M$4&gt;'02_Debt Engine'!$I$31),'02_Debt Engine'!$W$31,IF('02_Debt Engine'!$D$31="Active",'02_Debt Engine'!$K$31,'02_Debt Engine'!$P$31))-M128))</f>
        <v>0</v>
      </c>
      <c r="N129" s="329">
        <f>IF(N127&lt;=0,0,MIN(N127,IF(AND('02_Debt Engine'!$F$31="Yes",'02_Debt Engine'!$V$31&gt;0,N$4&gt;'02_Debt Engine'!$I$31),'02_Debt Engine'!$W$31,IF('02_Debt Engine'!$D$31="Active",'02_Debt Engine'!$K$31,'02_Debt Engine'!$P$31))-N128))</f>
        <v>0</v>
      </c>
      <c r="O129" s="329">
        <f>IF(O127&lt;=0,0,MIN(O127,IF(AND('02_Debt Engine'!$F$31="Yes",'02_Debt Engine'!$V$31&gt;0,O$4&gt;'02_Debt Engine'!$I$31),'02_Debt Engine'!$W$31,IF('02_Debt Engine'!$D$31="Active",'02_Debt Engine'!$K$31,'02_Debt Engine'!$P$31))-O128))</f>
        <v>0</v>
      </c>
      <c r="P129" s="329">
        <f>IF(P127&lt;=0,0,MIN(P127,IF(AND('02_Debt Engine'!$F$31="Yes",'02_Debt Engine'!$V$31&gt;0,P$4&gt;'02_Debt Engine'!$I$31),'02_Debt Engine'!$W$31,IF('02_Debt Engine'!$D$31="Active",'02_Debt Engine'!$K$31,'02_Debt Engine'!$P$31))-P128))</f>
        <v>0</v>
      </c>
      <c r="Q129" s="329">
        <f>IF(Q127&lt;=0,0,MIN(Q127,IF(AND('02_Debt Engine'!$F$31="Yes",'02_Debt Engine'!$V$31&gt;0,Q$4&gt;'02_Debt Engine'!$I$31),'02_Debt Engine'!$W$31,IF('02_Debt Engine'!$D$31="Active",'02_Debt Engine'!$K$31,'02_Debt Engine'!$P$31))-Q128))</f>
        <v>0</v>
      </c>
      <c r="R129" s="329">
        <f>IF(R127&lt;=0,0,MIN(R127,IF(AND('02_Debt Engine'!$F$31="Yes",'02_Debt Engine'!$V$31&gt;0,R$4&gt;'02_Debt Engine'!$I$31),'02_Debt Engine'!$W$31,IF('02_Debt Engine'!$D$31="Active",'02_Debt Engine'!$K$31,'02_Debt Engine'!$P$31))-R128))</f>
        <v>0</v>
      </c>
      <c r="S129" s="329">
        <f>IF(S127&lt;=0,0,MIN(S127,IF(AND('02_Debt Engine'!$F$31="Yes",'02_Debt Engine'!$V$31&gt;0,S$4&gt;'02_Debt Engine'!$I$31),'02_Debt Engine'!$W$31,IF('02_Debt Engine'!$D$31="Active",'02_Debt Engine'!$K$31,'02_Debt Engine'!$P$31))-S128))</f>
        <v>0</v>
      </c>
      <c r="T129" s="329">
        <f>IF(T127&lt;=0,0,MIN(T127,IF(AND('02_Debt Engine'!$F$31="Yes",'02_Debt Engine'!$V$31&gt;0,T$4&gt;'02_Debt Engine'!$I$31),'02_Debt Engine'!$W$31,IF('02_Debt Engine'!$D$31="Active",'02_Debt Engine'!$K$31,'02_Debt Engine'!$P$31))-T128))</f>
        <v>0</v>
      </c>
      <c r="U129" s="329">
        <f>IF(U127&lt;=0,0,MIN(U127,IF(AND('02_Debt Engine'!$F$31="Yes",'02_Debt Engine'!$V$31&gt;0,U$4&gt;'02_Debt Engine'!$I$31),'02_Debt Engine'!$W$31,IF('02_Debt Engine'!$D$31="Active",'02_Debt Engine'!$K$31,'02_Debt Engine'!$P$31))-U128))</f>
        <v>0</v>
      </c>
      <c r="V129" s="329">
        <f>IF(V127&lt;=0,0,MIN(V127,IF(AND('02_Debt Engine'!$F$31="Yes",'02_Debt Engine'!$V$31&gt;0,V$4&gt;'02_Debt Engine'!$I$31),'02_Debt Engine'!$W$31,IF('02_Debt Engine'!$D$31="Active",'02_Debt Engine'!$K$31,'02_Debt Engine'!$P$31))-V128))</f>
        <v>0</v>
      </c>
      <c r="W129" s="329">
        <f>IF(W127&lt;=0,0,MIN(W127,IF(AND('02_Debt Engine'!$F$31="Yes",'02_Debt Engine'!$V$31&gt;0,W$4&gt;'02_Debt Engine'!$I$31),'02_Debt Engine'!$W$31,IF('02_Debt Engine'!$D$31="Active",'02_Debt Engine'!$K$31,'02_Debt Engine'!$P$31))-W128))</f>
        <v>0</v>
      </c>
    </row>
    <row r="130" spans="2:23">
      <c r="B130" s="14" t="s">
        <v>533</v>
      </c>
      <c r="C130" s="331">
        <f t="shared" ref="C130:W130" si="37">C127-C129</f>
        <v>1733057.1785599999</v>
      </c>
      <c r="D130" s="331">
        <f t="shared" si="37"/>
        <v>1483504.2708454398</v>
      </c>
      <c r="E130" s="331">
        <f t="shared" si="37"/>
        <v>1227962.0933457303</v>
      </c>
      <c r="F130" s="331">
        <f t="shared" si="37"/>
        <v>966286.90358602779</v>
      </c>
      <c r="G130" s="331">
        <f t="shared" si="37"/>
        <v>698331.50927209249</v>
      </c>
      <c r="H130" s="331">
        <f t="shared" si="37"/>
        <v>423945.18549462268</v>
      </c>
      <c r="I130" s="331">
        <f t="shared" si="37"/>
        <v>142973.58994649362</v>
      </c>
      <c r="J130" s="331">
        <f t="shared" si="37"/>
        <v>0</v>
      </c>
      <c r="K130" s="331">
        <f t="shared" si="37"/>
        <v>0</v>
      </c>
      <c r="L130" s="331">
        <f t="shared" si="37"/>
        <v>0</v>
      </c>
      <c r="M130" s="331">
        <f t="shared" si="37"/>
        <v>0</v>
      </c>
      <c r="N130" s="331">
        <f t="shared" si="37"/>
        <v>0</v>
      </c>
      <c r="O130" s="331">
        <f t="shared" si="37"/>
        <v>0</v>
      </c>
      <c r="P130" s="331">
        <f t="shared" si="37"/>
        <v>0</v>
      </c>
      <c r="Q130" s="331">
        <f t="shared" si="37"/>
        <v>0</v>
      </c>
      <c r="R130" s="331">
        <f t="shared" si="37"/>
        <v>0</v>
      </c>
      <c r="S130" s="331">
        <f t="shared" si="37"/>
        <v>0</v>
      </c>
      <c r="T130" s="331">
        <f t="shared" si="37"/>
        <v>0</v>
      </c>
      <c r="U130" s="331">
        <f t="shared" si="37"/>
        <v>0</v>
      </c>
      <c r="V130" s="331">
        <f t="shared" si="37"/>
        <v>0</v>
      </c>
      <c r="W130" s="331">
        <f t="shared" si="37"/>
        <v>0</v>
      </c>
    </row>
    <row r="131" spans="2:23">
      <c r="B131" s="3" t="s">
        <v>367</v>
      </c>
      <c r="C131" s="328">
        <f>IF(AND('02_Debt Engine'!$F$31="Yes",'02_Debt Engine'!$V$31&gt;0,C$4='02_Debt Engine'!$I$31),-C130,0)</f>
        <v>0</v>
      </c>
      <c r="D131" s="328">
        <f>IF(AND('02_Debt Engine'!$F$31="Yes",'02_Debt Engine'!$V$31&gt;0,D$4='02_Debt Engine'!$I$31),-D130,0)</f>
        <v>0</v>
      </c>
      <c r="E131" s="328">
        <f>IF(AND('02_Debt Engine'!$F$31="Yes",'02_Debt Engine'!$V$31&gt;0,E$4='02_Debt Engine'!$I$31),-E130,0)</f>
        <v>0</v>
      </c>
      <c r="F131" s="328">
        <f>IF(AND('02_Debt Engine'!$F$31="Yes",'02_Debt Engine'!$V$31&gt;0,F$4='02_Debt Engine'!$I$31),-F130,0)</f>
        <v>0</v>
      </c>
      <c r="G131" s="328">
        <f>IF(AND('02_Debt Engine'!$F$31="Yes",'02_Debt Engine'!$V$31&gt;0,G$4='02_Debt Engine'!$I$31),-G130,0)</f>
        <v>0</v>
      </c>
      <c r="H131" s="328">
        <f>IF(AND('02_Debt Engine'!$F$31="Yes",'02_Debt Engine'!$V$31&gt;0,H$4='02_Debt Engine'!$I$31),-H130,0)</f>
        <v>0</v>
      </c>
      <c r="I131" s="328">
        <f>IF(AND('02_Debt Engine'!$F$31="Yes",'02_Debt Engine'!$V$31&gt;0,I$4='02_Debt Engine'!$I$31),-I130,0)</f>
        <v>0</v>
      </c>
      <c r="J131" s="328">
        <f>IF(AND('02_Debt Engine'!$F$31="Yes",'02_Debt Engine'!$V$31&gt;0,J$4='02_Debt Engine'!$I$31),-J130,0)</f>
        <v>0</v>
      </c>
      <c r="K131" s="328">
        <f>IF(AND('02_Debt Engine'!$F$31="Yes",'02_Debt Engine'!$V$31&gt;0,K$4='02_Debt Engine'!$I$31),-K130,0)</f>
        <v>0</v>
      </c>
      <c r="L131" s="328">
        <f>IF(AND('02_Debt Engine'!$F$31="Yes",'02_Debt Engine'!$V$31&gt;0,L$4='02_Debt Engine'!$I$31),-L130,0)</f>
        <v>0</v>
      </c>
      <c r="M131" s="328">
        <f>IF(AND('02_Debt Engine'!$F$31="Yes",'02_Debt Engine'!$V$31&gt;0,M$4='02_Debt Engine'!$I$31),-M130,0)</f>
        <v>0</v>
      </c>
      <c r="N131" s="328">
        <f>IF(AND('02_Debt Engine'!$F$31="Yes",'02_Debt Engine'!$V$31&gt;0,N$4='02_Debt Engine'!$I$31),-N130,0)</f>
        <v>0</v>
      </c>
      <c r="O131" s="328">
        <f>IF(AND('02_Debt Engine'!$F$31="Yes",'02_Debt Engine'!$V$31&gt;0,O$4='02_Debt Engine'!$I$31),-O130,0)</f>
        <v>0</v>
      </c>
      <c r="P131" s="328">
        <f>IF(AND('02_Debt Engine'!$F$31="Yes",'02_Debt Engine'!$V$31&gt;0,P$4='02_Debt Engine'!$I$31),-P130,0)</f>
        <v>0</v>
      </c>
      <c r="Q131" s="328">
        <f>IF(AND('02_Debt Engine'!$F$31="Yes",'02_Debt Engine'!$V$31&gt;0,Q$4='02_Debt Engine'!$I$31),-Q130,0)</f>
        <v>0</v>
      </c>
      <c r="R131" s="328">
        <f>IF(AND('02_Debt Engine'!$F$31="Yes",'02_Debt Engine'!$V$31&gt;0,R$4='02_Debt Engine'!$I$31),-R130,0)</f>
        <v>0</v>
      </c>
      <c r="S131" s="328">
        <f>IF(AND('02_Debt Engine'!$F$31="Yes",'02_Debt Engine'!$V$31&gt;0,S$4='02_Debt Engine'!$I$31),-S130,0)</f>
        <v>0</v>
      </c>
      <c r="T131" s="328">
        <f>IF(AND('02_Debt Engine'!$F$31="Yes",'02_Debt Engine'!$V$31&gt;0,T$4='02_Debt Engine'!$I$31),-T130,0)</f>
        <v>0</v>
      </c>
      <c r="U131" s="328">
        <f>IF(AND('02_Debt Engine'!$F$31="Yes",'02_Debt Engine'!$V$31&gt;0,U$4='02_Debt Engine'!$I$31),-U130,0)</f>
        <v>0</v>
      </c>
      <c r="V131" s="328">
        <f>IF(AND('02_Debt Engine'!$F$31="Yes",'02_Debt Engine'!$V$31&gt;0,V$4='02_Debt Engine'!$I$31),-V130,0)</f>
        <v>0</v>
      </c>
      <c r="W131" s="328">
        <f>IF(AND('02_Debt Engine'!$F$31="Yes",'02_Debt Engine'!$V$31&gt;0,W$4='02_Debt Engine'!$I$31),-W130,0)</f>
        <v>0</v>
      </c>
    </row>
    <row r="132" spans="2:23">
      <c r="B132" s="13" t="s">
        <v>534</v>
      </c>
      <c r="C132" s="329">
        <f>IF(AND('02_Debt Engine'!$F$31="Yes",'02_Debt Engine'!$V$31&gt;0,C$4='02_Debt Engine'!$I$31),'02_Debt Engine'!$V$31,0)</f>
        <v>0</v>
      </c>
      <c r="D132" s="329">
        <f>IF(AND('02_Debt Engine'!$F$31="Yes",'02_Debt Engine'!$V$31&gt;0,D$4='02_Debt Engine'!$I$31),'02_Debt Engine'!$V$31,0)</f>
        <v>0</v>
      </c>
      <c r="E132" s="329">
        <f>IF(AND('02_Debt Engine'!$F$31="Yes",'02_Debt Engine'!$V$31&gt;0,E$4='02_Debt Engine'!$I$31),'02_Debt Engine'!$V$31,0)</f>
        <v>0</v>
      </c>
      <c r="F132" s="329">
        <f>IF(AND('02_Debt Engine'!$F$31="Yes",'02_Debt Engine'!$V$31&gt;0,F$4='02_Debt Engine'!$I$31),'02_Debt Engine'!$V$31,0)</f>
        <v>0</v>
      </c>
      <c r="G132" s="329">
        <f>IF(AND('02_Debt Engine'!$F$31="Yes",'02_Debt Engine'!$V$31&gt;0,G$4='02_Debt Engine'!$I$31),'02_Debt Engine'!$V$31,0)</f>
        <v>0</v>
      </c>
      <c r="H132" s="329">
        <f>IF(AND('02_Debt Engine'!$F$31="Yes",'02_Debt Engine'!$V$31&gt;0,H$4='02_Debt Engine'!$I$31),'02_Debt Engine'!$V$31,0)</f>
        <v>0</v>
      </c>
      <c r="I132" s="329">
        <f>IF(AND('02_Debt Engine'!$F$31="Yes",'02_Debt Engine'!$V$31&gt;0,I$4='02_Debt Engine'!$I$31),'02_Debt Engine'!$V$31,0)</f>
        <v>0</v>
      </c>
      <c r="J132" s="329">
        <f>IF(AND('02_Debt Engine'!$F$31="Yes",'02_Debt Engine'!$V$31&gt;0,J$4='02_Debt Engine'!$I$31),'02_Debt Engine'!$V$31,0)</f>
        <v>0</v>
      </c>
      <c r="K132" s="329">
        <f>IF(AND('02_Debt Engine'!$F$31="Yes",'02_Debt Engine'!$V$31&gt;0,K$4='02_Debt Engine'!$I$31),'02_Debt Engine'!$V$31,0)</f>
        <v>0</v>
      </c>
      <c r="L132" s="329">
        <f>IF(AND('02_Debt Engine'!$F$31="Yes",'02_Debt Engine'!$V$31&gt;0,L$4='02_Debt Engine'!$I$31),'02_Debt Engine'!$V$31,0)</f>
        <v>0</v>
      </c>
      <c r="M132" s="329">
        <f>IF(AND('02_Debt Engine'!$F$31="Yes",'02_Debt Engine'!$V$31&gt;0,M$4='02_Debt Engine'!$I$31),'02_Debt Engine'!$V$31,0)</f>
        <v>0</v>
      </c>
      <c r="N132" s="329">
        <f>IF(AND('02_Debt Engine'!$F$31="Yes",'02_Debt Engine'!$V$31&gt;0,N$4='02_Debt Engine'!$I$31),'02_Debt Engine'!$V$31,0)</f>
        <v>0</v>
      </c>
      <c r="O132" s="329">
        <f>IF(AND('02_Debt Engine'!$F$31="Yes",'02_Debt Engine'!$V$31&gt;0,O$4='02_Debt Engine'!$I$31),'02_Debt Engine'!$V$31,0)</f>
        <v>0</v>
      </c>
      <c r="P132" s="329">
        <f>IF(AND('02_Debt Engine'!$F$31="Yes",'02_Debt Engine'!$V$31&gt;0,P$4='02_Debt Engine'!$I$31),'02_Debt Engine'!$V$31,0)</f>
        <v>0</v>
      </c>
      <c r="Q132" s="329">
        <f>IF(AND('02_Debt Engine'!$F$31="Yes",'02_Debt Engine'!$V$31&gt;0,Q$4='02_Debt Engine'!$I$31),'02_Debt Engine'!$V$31,0)</f>
        <v>0</v>
      </c>
      <c r="R132" s="329">
        <f>IF(AND('02_Debt Engine'!$F$31="Yes",'02_Debt Engine'!$V$31&gt;0,R$4='02_Debt Engine'!$I$31),'02_Debt Engine'!$V$31,0)</f>
        <v>0</v>
      </c>
      <c r="S132" s="329">
        <f>IF(AND('02_Debt Engine'!$F$31="Yes",'02_Debt Engine'!$V$31&gt;0,S$4='02_Debt Engine'!$I$31),'02_Debt Engine'!$V$31,0)</f>
        <v>0</v>
      </c>
      <c r="T132" s="329">
        <f>IF(AND('02_Debt Engine'!$F$31="Yes",'02_Debt Engine'!$V$31&gt;0,T$4='02_Debt Engine'!$I$31),'02_Debt Engine'!$V$31,0)</f>
        <v>0</v>
      </c>
      <c r="U132" s="329">
        <f>IF(AND('02_Debt Engine'!$F$31="Yes",'02_Debt Engine'!$V$31&gt;0,U$4='02_Debt Engine'!$I$31),'02_Debt Engine'!$V$31,0)</f>
        <v>0</v>
      </c>
      <c r="V132" s="329">
        <f>IF(AND('02_Debt Engine'!$F$31="Yes",'02_Debt Engine'!$V$31&gt;0,V$4='02_Debt Engine'!$I$31),'02_Debt Engine'!$V$31,0)</f>
        <v>0</v>
      </c>
      <c r="W132" s="329">
        <f>IF(AND('02_Debt Engine'!$F$31="Yes",'02_Debt Engine'!$V$31&gt;0,W$4='02_Debt Engine'!$I$31),'02_Debt Engine'!$V$31,0)</f>
        <v>0</v>
      </c>
    </row>
    <row r="133" spans="2:23">
      <c r="B133" s="3" t="s">
        <v>535</v>
      </c>
      <c r="C133" s="330">
        <f t="shared" ref="C133:W133" si="38">C131+C132</f>
        <v>0</v>
      </c>
      <c r="D133" s="330">
        <f t="shared" si="38"/>
        <v>0</v>
      </c>
      <c r="E133" s="330">
        <f t="shared" si="38"/>
        <v>0</v>
      </c>
      <c r="F133" s="330">
        <f t="shared" si="38"/>
        <v>0</v>
      </c>
      <c r="G133" s="330">
        <f t="shared" si="38"/>
        <v>0</v>
      </c>
      <c r="H133" s="330">
        <f t="shared" si="38"/>
        <v>0</v>
      </c>
      <c r="I133" s="330">
        <f t="shared" si="38"/>
        <v>0</v>
      </c>
      <c r="J133" s="330">
        <f t="shared" si="38"/>
        <v>0</v>
      </c>
      <c r="K133" s="330">
        <f t="shared" si="38"/>
        <v>0</v>
      </c>
      <c r="L133" s="330">
        <f t="shared" si="38"/>
        <v>0</v>
      </c>
      <c r="M133" s="330">
        <f t="shared" si="38"/>
        <v>0</v>
      </c>
      <c r="N133" s="330">
        <f t="shared" si="38"/>
        <v>0</v>
      </c>
      <c r="O133" s="330">
        <f t="shared" si="38"/>
        <v>0</v>
      </c>
      <c r="P133" s="330">
        <f t="shared" si="38"/>
        <v>0</v>
      </c>
      <c r="Q133" s="330">
        <f t="shared" si="38"/>
        <v>0</v>
      </c>
      <c r="R133" s="330">
        <f t="shared" si="38"/>
        <v>0</v>
      </c>
      <c r="S133" s="330">
        <f t="shared" si="38"/>
        <v>0</v>
      </c>
      <c r="T133" s="330">
        <f t="shared" si="38"/>
        <v>0</v>
      </c>
      <c r="U133" s="330">
        <f t="shared" si="38"/>
        <v>0</v>
      </c>
      <c r="V133" s="330">
        <f t="shared" si="38"/>
        <v>0</v>
      </c>
      <c r="W133" s="330">
        <f t="shared" si="38"/>
        <v>0</v>
      </c>
    </row>
    <row r="134" spans="2:23">
      <c r="B134" s="14" t="s">
        <v>525</v>
      </c>
      <c r="C134" s="328">
        <f t="shared" ref="C134:W134" si="39">C128+C129</f>
        <v>291146.28000000003</v>
      </c>
      <c r="D134" s="328">
        <f t="shared" si="39"/>
        <v>291146.28000000003</v>
      </c>
      <c r="E134" s="328">
        <f t="shared" si="39"/>
        <v>291146.28000000003</v>
      </c>
      <c r="F134" s="328">
        <f t="shared" si="39"/>
        <v>291146.28000000003</v>
      </c>
      <c r="G134" s="328">
        <f t="shared" si="39"/>
        <v>291146.28000000003</v>
      </c>
      <c r="H134" s="328">
        <f t="shared" si="39"/>
        <v>291146.28000000003</v>
      </c>
      <c r="I134" s="328">
        <f t="shared" si="39"/>
        <v>291146.28000000003</v>
      </c>
      <c r="J134" s="328">
        <f t="shared" si="39"/>
        <v>146404.95610520948</v>
      </c>
      <c r="K134" s="328">
        <f t="shared" si="39"/>
        <v>0</v>
      </c>
      <c r="L134" s="328">
        <f t="shared" si="39"/>
        <v>0</v>
      </c>
      <c r="M134" s="328">
        <f t="shared" si="39"/>
        <v>0</v>
      </c>
      <c r="N134" s="328">
        <f t="shared" si="39"/>
        <v>0</v>
      </c>
      <c r="O134" s="328">
        <f t="shared" si="39"/>
        <v>0</v>
      </c>
      <c r="P134" s="328">
        <f t="shared" si="39"/>
        <v>0</v>
      </c>
      <c r="Q134" s="328">
        <f t="shared" si="39"/>
        <v>0</v>
      </c>
      <c r="R134" s="328">
        <f t="shared" si="39"/>
        <v>0</v>
      </c>
      <c r="S134" s="328">
        <f t="shared" si="39"/>
        <v>0</v>
      </c>
      <c r="T134" s="328">
        <f t="shared" si="39"/>
        <v>0</v>
      </c>
      <c r="U134" s="328">
        <f t="shared" si="39"/>
        <v>0</v>
      </c>
      <c r="V134" s="328">
        <f t="shared" si="39"/>
        <v>0</v>
      </c>
      <c r="W134" s="328">
        <f t="shared" si="39"/>
        <v>0</v>
      </c>
    </row>
    <row r="136" spans="2:23">
      <c r="B136" s="327" t="str">
        <f>'02_Debt Engine'!$B$32</f>
        <v>1656 Adanac Street</v>
      </c>
      <c r="C136" s="327" t="str">
        <f>_xlfn.LET(_xlpm.refiyr,INDEX('02_Debt Engine'!$I$19:$I$35,MATCH('02A_Debt Schedule'!$B136,'02_Debt Engine'!$B$19:$B$35,0)),IF(_xlpm.refiyr='02A_Debt Schedule'!C$4,"Refi Yr.",""))</f>
        <v/>
      </c>
      <c r="D136" s="327" t="str">
        <f>_xlfn.LET(_xlpm.refiyr,INDEX('02_Debt Engine'!$I$19:$I$35,MATCH('02A_Debt Schedule'!$B136,'02_Debt Engine'!$B$19:$B$35,0)),IF(_xlpm.refiyr='02A_Debt Schedule'!D$4,"Refi Yr.",""))</f>
        <v/>
      </c>
      <c r="E136" s="327" t="str">
        <f>_xlfn.LET(_xlpm.refiyr,INDEX('02_Debt Engine'!$I$19:$I$35,MATCH('02A_Debt Schedule'!$B136,'02_Debt Engine'!$B$19:$B$35,0)),IF(_xlpm.refiyr='02A_Debt Schedule'!E$4,"Refi Yr.",""))</f>
        <v/>
      </c>
      <c r="F136" s="327" t="str">
        <f>_xlfn.LET(_xlpm.refiyr,INDEX('02_Debt Engine'!$I$19:$I$35,MATCH('02A_Debt Schedule'!$B136,'02_Debt Engine'!$B$19:$B$35,0)),IF(_xlpm.refiyr='02A_Debt Schedule'!F$4,"Refi Yr.",""))</f>
        <v>Refi Yr.</v>
      </c>
      <c r="G136" s="327" t="str">
        <f>_xlfn.LET(_xlpm.refiyr,INDEX('02_Debt Engine'!$I$19:$I$35,MATCH('02A_Debt Schedule'!$B136,'02_Debt Engine'!$B$19:$B$35,0)),IF(_xlpm.refiyr='02A_Debt Schedule'!G$4,"Refi Yr.",""))</f>
        <v/>
      </c>
      <c r="H136" s="327" t="str">
        <f>_xlfn.LET(_xlpm.refiyr,INDEX('02_Debt Engine'!$I$19:$I$35,MATCH('02A_Debt Schedule'!$B136,'02_Debt Engine'!$B$19:$B$35,0)),IF(_xlpm.refiyr='02A_Debt Schedule'!H$4,"Refi Yr.",""))</f>
        <v/>
      </c>
      <c r="I136" s="327" t="str">
        <f>_xlfn.LET(_xlpm.refiyr,INDEX('02_Debt Engine'!$I$19:$I$35,MATCH('02A_Debt Schedule'!$B136,'02_Debt Engine'!$B$19:$B$35,0)),IF(_xlpm.refiyr='02A_Debt Schedule'!I$4,"Refi Yr.",""))</f>
        <v/>
      </c>
      <c r="J136" s="327" t="str">
        <f>_xlfn.LET(_xlpm.refiyr,INDEX('02_Debt Engine'!$I$19:$I$35,MATCH('02A_Debt Schedule'!$B136,'02_Debt Engine'!$B$19:$B$35,0)),IF(_xlpm.refiyr='02A_Debt Schedule'!J$4,"Refi Yr.",""))</f>
        <v/>
      </c>
      <c r="K136" s="327" t="str">
        <f>_xlfn.LET(_xlpm.refiyr,INDEX('02_Debt Engine'!$I$19:$I$35,MATCH('02A_Debt Schedule'!$B136,'02_Debt Engine'!$B$19:$B$35,0)),IF(_xlpm.refiyr='02A_Debt Schedule'!K$4,"Refi Yr.",""))</f>
        <v/>
      </c>
      <c r="L136" s="327" t="str">
        <f>_xlfn.LET(_xlpm.refiyr,INDEX('02_Debt Engine'!$I$19:$I$35,MATCH('02A_Debt Schedule'!$B136,'02_Debt Engine'!$B$19:$B$35,0)),IF(_xlpm.refiyr='02A_Debt Schedule'!L$4,"Refi Yr.",""))</f>
        <v/>
      </c>
      <c r="M136" s="327" t="str">
        <f>_xlfn.LET(_xlpm.refiyr,INDEX('02_Debt Engine'!$I$19:$I$35,MATCH('02A_Debt Schedule'!$B136,'02_Debt Engine'!$B$19:$B$35,0)),IF(_xlpm.refiyr='02A_Debt Schedule'!M$4,"Refi Yr.",""))</f>
        <v/>
      </c>
      <c r="N136" s="327" t="str">
        <f>_xlfn.LET(_xlpm.refiyr,INDEX('02_Debt Engine'!$I$19:$I$35,MATCH('02A_Debt Schedule'!$B136,'02_Debt Engine'!$B$19:$B$35,0)),IF(_xlpm.refiyr='02A_Debt Schedule'!N$4,"Refi Yr.",""))</f>
        <v/>
      </c>
      <c r="O136" s="327" t="str">
        <f>_xlfn.LET(_xlpm.refiyr,INDEX('02_Debt Engine'!$I$19:$I$35,MATCH('02A_Debt Schedule'!$B136,'02_Debt Engine'!$B$19:$B$35,0)),IF(_xlpm.refiyr='02A_Debt Schedule'!O$4,"Refi Yr.",""))</f>
        <v/>
      </c>
      <c r="P136" s="327" t="str">
        <f>_xlfn.LET(_xlpm.refiyr,INDEX('02_Debt Engine'!$I$19:$I$35,MATCH('02A_Debt Schedule'!$B136,'02_Debt Engine'!$B$19:$B$35,0)),IF(_xlpm.refiyr='02A_Debt Schedule'!P$4,"Refi Yr.",""))</f>
        <v/>
      </c>
      <c r="Q136" s="327" t="str">
        <f>_xlfn.LET(_xlpm.refiyr,INDEX('02_Debt Engine'!$I$19:$I$35,MATCH('02A_Debt Schedule'!$B136,'02_Debt Engine'!$B$19:$B$35,0)),IF(_xlpm.refiyr='02A_Debt Schedule'!Q$4,"Refi Yr.",""))</f>
        <v/>
      </c>
      <c r="R136" s="327" t="str">
        <f>_xlfn.LET(_xlpm.refiyr,INDEX('02_Debt Engine'!$I$19:$I$35,MATCH('02A_Debt Schedule'!$B136,'02_Debt Engine'!$B$19:$B$35,0)),IF(_xlpm.refiyr='02A_Debt Schedule'!R$4,"Refi Yr.",""))</f>
        <v/>
      </c>
      <c r="S136" s="327" t="str">
        <f>_xlfn.LET(_xlpm.refiyr,INDEX('02_Debt Engine'!$I$19:$I$35,MATCH('02A_Debt Schedule'!$B136,'02_Debt Engine'!$B$19:$B$35,0)),IF(_xlpm.refiyr='02A_Debt Schedule'!S$4,"Refi Yr.",""))</f>
        <v/>
      </c>
      <c r="T136" s="327" t="str">
        <f>_xlfn.LET(_xlpm.refiyr,INDEX('02_Debt Engine'!$I$19:$I$35,MATCH('02A_Debt Schedule'!$B136,'02_Debt Engine'!$B$19:$B$35,0)),IF(_xlpm.refiyr='02A_Debt Schedule'!T$4,"Refi Yr.",""))</f>
        <v/>
      </c>
      <c r="U136" s="327" t="str">
        <f>_xlfn.LET(_xlpm.refiyr,INDEX('02_Debt Engine'!$I$19:$I$35,MATCH('02A_Debt Schedule'!$B136,'02_Debt Engine'!$B$19:$B$35,0)),IF(_xlpm.refiyr='02A_Debt Schedule'!U$4,"Refi Yr.",""))</f>
        <v/>
      </c>
      <c r="V136" s="327" t="str">
        <f>_xlfn.LET(_xlpm.refiyr,INDEX('02_Debt Engine'!$I$19:$I$35,MATCH('02A_Debt Schedule'!$B136,'02_Debt Engine'!$B$19:$B$35,0)),IF(_xlpm.refiyr='02A_Debt Schedule'!V$4,"Refi Yr.",""))</f>
        <v/>
      </c>
      <c r="W136" s="327" t="str">
        <f>_xlfn.LET(_xlpm.refiyr,INDEX('02_Debt Engine'!$I$19:$I$35,MATCH('02A_Debt Schedule'!$B136,'02_Debt Engine'!$B$19:$B$35,0)),IF(_xlpm.refiyr='02A_Debt Schedule'!W$4,"Refi Yr.",""))</f>
        <v/>
      </c>
    </row>
    <row r="137" spans="2:23">
      <c r="B137" s="3" t="s">
        <v>531</v>
      </c>
      <c r="C137" s="328">
        <f>IF('02_Debt Engine'!$D$32="Active",'02_Debt Engine'!$N$32,'02_Debt Engine'!$O$32)</f>
        <v>39285000</v>
      </c>
      <c r="D137" s="328">
        <f>IF(AND('02_Debt Engine'!$F$32="Yes",'02_Debt Engine'!$V$32&gt;0,C$4='02_Debt Engine'!$I$32),'02_Debt Engine'!$V$32,C140)</f>
        <v>38933495.872188725</v>
      </c>
      <c r="E137" s="328">
        <f>IF(AND('02_Debt Engine'!$F$32="Yes",'02_Debt Engine'!$V$32&gt;0,D$4='02_Debt Engine'!$I$32),'02_Debt Engine'!$V$32,D140)</f>
        <v>38566174.058625944</v>
      </c>
      <c r="F137" s="328">
        <f>IF(AND('02_Debt Engine'!$F$32="Yes",'02_Debt Engine'!$V$32&gt;0,E$4='02_Debt Engine'!$I$32),'02_Debt Engine'!$V$32,E140)</f>
        <v>38182322.763452835</v>
      </c>
      <c r="G137" s="328">
        <f>IF(AND('02_Debt Engine'!$F$32="Yes",'02_Debt Engine'!$V$32&gt;0,F$4='02_Debt Engine'!$I$32),'02_Debt Engine'!$V$32,F140)</f>
        <v>15162892.909259001</v>
      </c>
      <c r="H137" s="328">
        <f>IF(AND('02_Debt Engine'!$F$32="Yes",'02_Debt Engine'!$V$32&gt;0,G$4='02_Debt Engine'!$I$32),'02_Debt Engine'!$V$32,G140)</f>
        <v>14963759.107883796</v>
      </c>
      <c r="I137" s="328">
        <f>IF(AND('02_Debt Engine'!$F$32="Yes",'02_Debt Engine'!$V$32&gt;0,H$4='02_Debt Engine'!$I$32),'02_Debt Engine'!$V$32,H140)</f>
        <v>14756659.954453582</v>
      </c>
      <c r="J137" s="328">
        <f>IF(AND('02_Debt Engine'!$F$32="Yes",'02_Debt Engine'!$V$32&gt;0,I$4='02_Debt Engine'!$I$32),'02_Debt Engine'!$V$32,I140)</f>
        <v>14541276.83488616</v>
      </c>
      <c r="K137" s="328">
        <f>IF(AND('02_Debt Engine'!$F$32="Yes",'02_Debt Engine'!$V$32&gt;0,J$4='02_Debt Engine'!$I$32),'02_Debt Engine'!$V$32,J140)</f>
        <v>14317278.39053604</v>
      </c>
      <c r="L137" s="328">
        <f>IF(AND('02_Debt Engine'!$F$32="Yes",'02_Debt Engine'!$V$32&gt;0,K$4='02_Debt Engine'!$I$32),'02_Debt Engine'!$V$32,K140)</f>
        <v>14084320.008411916</v>
      </c>
      <c r="M137" s="328">
        <f>IF(AND('02_Debt Engine'!$F$32="Yes",'02_Debt Engine'!$V$32&gt;0,L$4='02_Debt Engine'!$I$32),'02_Debt Engine'!$V$32,L140)</f>
        <v>13842043.291002827</v>
      </c>
      <c r="N137" s="328">
        <f>IF(AND('02_Debt Engine'!$F$32="Yes",'02_Debt Engine'!$V$32&gt;0,M$4='02_Debt Engine'!$I$32),'02_Debt Engine'!$V$32,M140)</f>
        <v>13590075.504897375</v>
      </c>
      <c r="O137" s="328">
        <f>IF(AND('02_Debt Engine'!$F$32="Yes",'02_Debt Engine'!$V$32&gt;0,N$4='02_Debt Engine'!$I$32),'02_Debt Engine'!$V$32,N140)</f>
        <v>13328029.007347705</v>
      </c>
      <c r="P137" s="328">
        <f>IF(AND('02_Debt Engine'!$F$32="Yes",'02_Debt Engine'!$V$32&gt;0,O$4='02_Debt Engine'!$I$32),'02_Debt Engine'!$V$32,O140)</f>
        <v>13055500.649896048</v>
      </c>
      <c r="Q137" s="328">
        <f>IF(AND('02_Debt Engine'!$F$32="Yes",'02_Debt Engine'!$V$32&gt;0,P$4='02_Debt Engine'!$I$32),'02_Debt Engine'!$V$32,P140)</f>
        <v>12772071.158146325</v>
      </c>
      <c r="R137" s="328">
        <f>IF(AND('02_Debt Engine'!$F$32="Yes",'02_Debt Engine'!$V$32&gt;0,Q$4='02_Debt Engine'!$I$32),'02_Debt Engine'!$V$32,Q140)</f>
        <v>12477304.486726614</v>
      </c>
      <c r="S137" s="328">
        <f>IF(AND('02_Debt Engine'!$F$32="Yes",'02_Debt Engine'!$V$32&gt;0,R$4='02_Debt Engine'!$I$32),'02_Debt Engine'!$V$32,R140)</f>
        <v>12170747.148450114</v>
      </c>
      <c r="T137" s="328">
        <f>IF(AND('02_Debt Engine'!$F$32="Yes",'02_Debt Engine'!$V$32&gt;0,S$4='02_Debt Engine'!$I$32),'02_Debt Engine'!$V$32,S140)</f>
        <v>11851927.516642554</v>
      </c>
      <c r="U137" s="328">
        <f>IF(AND('02_Debt Engine'!$F$32="Yes",'02_Debt Engine'!$V$32&gt;0,T$4='02_Debt Engine'!$I$32),'02_Debt Engine'!$V$32,T140)</f>
        <v>11520355.09956269</v>
      </c>
      <c r="V137" s="328">
        <f>IF(AND('02_Debt Engine'!$F$32="Yes",'02_Debt Engine'!$V$32&gt;0,U$4='02_Debt Engine'!$I$32),'02_Debt Engine'!$V$32,U140)</f>
        <v>11175519.785799632</v>
      </c>
      <c r="W137" s="328">
        <f>IF(AND('02_Debt Engine'!$F$32="Yes",'02_Debt Engine'!$V$32&gt;0,V$4='02_Debt Engine'!$I$32),'02_Debt Engine'!$V$32,V140)</f>
        <v>10816891.059486052</v>
      </c>
    </row>
    <row r="138" spans="2:23">
      <c r="B138" s="3" t="s">
        <v>514</v>
      </c>
      <c r="C138" s="328">
        <f>IF(C137&lt;=0,0,C137*IF(AND('02_Debt Engine'!$F$32="Yes",'02_Debt Engine'!$V$32&gt;0,C$4&gt;'02_Debt Engine'!$I$32),'02_Debt Engine'!$C$13,IF('02_Debt Engine'!$D$32="Active",'02_Debt Engine'!$H$32,'02_Debt Engine'!$C$7)))</f>
        <v>1767825</v>
      </c>
      <c r="D138" s="328">
        <f>IF(D137&lt;=0,0,D137*IF(AND('02_Debt Engine'!$F$32="Yes",'02_Debt Engine'!$V$32&gt;0,D$4&gt;'02_Debt Engine'!$I$32),'02_Debt Engine'!$C$13,IF('02_Debt Engine'!$D$32="Active",'02_Debt Engine'!$H$32,'02_Debt Engine'!$C$7)))</f>
        <v>1752007.3142484925</v>
      </c>
      <c r="E138" s="328">
        <f>IF(E137&lt;=0,0,E137*IF(AND('02_Debt Engine'!$F$32="Yes",'02_Debt Engine'!$V$32&gt;0,E$4&gt;'02_Debt Engine'!$I$32),'02_Debt Engine'!$C$13,IF('02_Debt Engine'!$D$32="Active",'02_Debt Engine'!$H$32,'02_Debt Engine'!$C$7)))</f>
        <v>1735477.8326381673</v>
      </c>
      <c r="F138" s="328">
        <f>IF(F137&lt;=0,0,F137*IF(AND('02_Debt Engine'!$F$32="Yes",'02_Debt Engine'!$V$32&gt;0,F$4&gt;'02_Debt Engine'!$I$32),'02_Debt Engine'!$C$13,IF('02_Debt Engine'!$D$32="Active",'02_Debt Engine'!$H$32,'02_Debt Engine'!$C$7)))</f>
        <v>1718204.5243553775</v>
      </c>
      <c r="G138" s="328">
        <f>IF(G137&lt;=0,0,G137*IF(AND('02_Debt Engine'!$F$32="Yes",'02_Debt Engine'!$V$32&gt;0,G$4&gt;'02_Debt Engine'!$I$32),'02_Debt Engine'!$C$13,IF('02_Debt Engine'!$D$32="Active",'02_Debt Engine'!$H$32,'02_Debt Engine'!$C$7)))</f>
        <v>606515.71637035999</v>
      </c>
      <c r="H138" s="328">
        <f>IF(H137&lt;=0,0,H137*IF(AND('02_Debt Engine'!$F$32="Yes",'02_Debt Engine'!$V$32&gt;0,H$4&gt;'02_Debt Engine'!$I$32),'02_Debt Engine'!$C$13,IF('02_Debt Engine'!$D$32="Active",'02_Debt Engine'!$H$32,'02_Debt Engine'!$C$7)))</f>
        <v>598550.36431535182</v>
      </c>
      <c r="I138" s="328">
        <f>IF(I137&lt;=0,0,I137*IF(AND('02_Debt Engine'!$F$32="Yes",'02_Debt Engine'!$V$32&gt;0,I$4&gt;'02_Debt Engine'!$I$32),'02_Debt Engine'!$C$13,IF('02_Debt Engine'!$D$32="Active",'02_Debt Engine'!$H$32,'02_Debt Engine'!$C$7)))</f>
        <v>590266.39817814331</v>
      </c>
      <c r="J138" s="328">
        <f>IF(J137&lt;=0,0,J137*IF(AND('02_Debt Engine'!$F$32="Yes",'02_Debt Engine'!$V$32&gt;0,J$4&gt;'02_Debt Engine'!$I$32),'02_Debt Engine'!$C$13,IF('02_Debt Engine'!$D$32="Active",'02_Debt Engine'!$H$32,'02_Debt Engine'!$C$7)))</f>
        <v>581651.07339544641</v>
      </c>
      <c r="K138" s="328">
        <f>IF(K137&lt;=0,0,K137*IF(AND('02_Debt Engine'!$F$32="Yes",'02_Debt Engine'!$V$32&gt;0,K$4&gt;'02_Debt Engine'!$I$32),'02_Debt Engine'!$C$13,IF('02_Debt Engine'!$D$32="Active",'02_Debt Engine'!$H$32,'02_Debt Engine'!$C$7)))</f>
        <v>572691.13562144164</v>
      </c>
      <c r="L138" s="328">
        <f>IF(L137&lt;=0,0,L137*IF(AND('02_Debt Engine'!$F$32="Yes",'02_Debt Engine'!$V$32&gt;0,L$4&gt;'02_Debt Engine'!$I$32),'02_Debt Engine'!$C$13,IF('02_Debt Engine'!$D$32="Active",'02_Debt Engine'!$H$32,'02_Debt Engine'!$C$7)))</f>
        <v>563372.80033647665</v>
      </c>
      <c r="M138" s="328">
        <f>IF(M137&lt;=0,0,M137*IF(AND('02_Debt Engine'!$F$32="Yes",'02_Debt Engine'!$V$32&gt;0,M$4&gt;'02_Debt Engine'!$I$32),'02_Debt Engine'!$C$13,IF('02_Debt Engine'!$D$32="Active",'02_Debt Engine'!$H$32,'02_Debt Engine'!$C$7)))</f>
        <v>553681.73164011305</v>
      </c>
      <c r="N138" s="328">
        <f>IF(N137&lt;=0,0,N137*IF(AND('02_Debt Engine'!$F$32="Yes",'02_Debt Engine'!$V$32&gt;0,N$4&gt;'02_Debt Engine'!$I$32),'02_Debt Engine'!$C$13,IF('02_Debt Engine'!$D$32="Active",'02_Debt Engine'!$H$32,'02_Debt Engine'!$C$7)))</f>
        <v>543603.02019589499</v>
      </c>
      <c r="O138" s="328">
        <f>IF(O137&lt;=0,0,O137*IF(AND('02_Debt Engine'!$F$32="Yes",'02_Debt Engine'!$V$32&gt;0,O$4&gt;'02_Debt Engine'!$I$32),'02_Debt Engine'!$C$13,IF('02_Debt Engine'!$D$32="Active",'02_Debt Engine'!$H$32,'02_Debt Engine'!$C$7)))</f>
        <v>533121.16029390821</v>
      </c>
      <c r="P138" s="328">
        <f>IF(P137&lt;=0,0,P137*IF(AND('02_Debt Engine'!$F$32="Yes",'02_Debt Engine'!$V$32&gt;0,P$4&gt;'02_Debt Engine'!$I$32),'02_Debt Engine'!$C$13,IF('02_Debt Engine'!$D$32="Active",'02_Debt Engine'!$H$32,'02_Debt Engine'!$C$7)))</f>
        <v>522220.02599584195</v>
      </c>
      <c r="Q138" s="328">
        <f>IF(Q137&lt;=0,0,Q137*IF(AND('02_Debt Engine'!$F$32="Yes",'02_Debt Engine'!$V$32&gt;0,Q$4&gt;'02_Debt Engine'!$I$32),'02_Debt Engine'!$C$13,IF('02_Debt Engine'!$D$32="Active",'02_Debt Engine'!$H$32,'02_Debt Engine'!$C$7)))</f>
        <v>510882.84632585302</v>
      </c>
      <c r="R138" s="328">
        <f>IF(R137&lt;=0,0,R137*IF(AND('02_Debt Engine'!$F$32="Yes",'02_Debt Engine'!$V$32&gt;0,R$4&gt;'02_Debt Engine'!$I$32),'02_Debt Engine'!$C$13,IF('02_Debt Engine'!$D$32="Active",'02_Debt Engine'!$H$32,'02_Debt Engine'!$C$7)))</f>
        <v>499092.17946906458</v>
      </c>
      <c r="S138" s="328">
        <f>IF(S137&lt;=0,0,S137*IF(AND('02_Debt Engine'!$F$32="Yes",'02_Debt Engine'!$V$32&gt;0,S$4&gt;'02_Debt Engine'!$I$32),'02_Debt Engine'!$C$13,IF('02_Debt Engine'!$D$32="Active",'02_Debt Engine'!$H$32,'02_Debt Engine'!$C$7)))</f>
        <v>486829.88593800459</v>
      </c>
      <c r="T138" s="328">
        <f>IF(T137&lt;=0,0,T137*IF(AND('02_Debt Engine'!$F$32="Yes",'02_Debt Engine'!$V$32&gt;0,T$4&gt;'02_Debt Engine'!$I$32),'02_Debt Engine'!$C$13,IF('02_Debt Engine'!$D$32="Active",'02_Debt Engine'!$H$32,'02_Debt Engine'!$C$7)))</f>
        <v>474077.10066570214</v>
      </c>
      <c r="U138" s="328">
        <f>IF(U137&lt;=0,0,U137*IF(AND('02_Debt Engine'!$F$32="Yes",'02_Debt Engine'!$V$32&gt;0,U$4&gt;'02_Debt Engine'!$I$32),'02_Debt Engine'!$C$13,IF('02_Debt Engine'!$D$32="Active",'02_Debt Engine'!$H$32,'02_Debt Engine'!$C$7)))</f>
        <v>460814.20398250758</v>
      </c>
      <c r="V138" s="328">
        <f>IF(V137&lt;=0,0,V137*IF(AND('02_Debt Engine'!$F$32="Yes",'02_Debt Engine'!$V$32&gt;0,V$4&gt;'02_Debt Engine'!$I$32),'02_Debt Engine'!$C$13,IF('02_Debt Engine'!$D$32="Active",'02_Debt Engine'!$H$32,'02_Debt Engine'!$C$7)))</f>
        <v>447020.79143198527</v>
      </c>
      <c r="W138" s="328">
        <f>IF(W137&lt;=0,0,W137*IF(AND('02_Debt Engine'!$F$32="Yes",'02_Debt Engine'!$V$32&gt;0,W$4&gt;'02_Debt Engine'!$I$32),'02_Debt Engine'!$C$13,IF('02_Debt Engine'!$D$32="Active",'02_Debt Engine'!$H$32,'02_Debt Engine'!$C$7)))</f>
        <v>432675.64237944211</v>
      </c>
    </row>
    <row r="139" spans="2:23">
      <c r="B139" s="13" t="s">
        <v>532</v>
      </c>
      <c r="C139" s="329">
        <f>IF(C137&lt;=0,0,MIN(C137,IF(AND('02_Debt Engine'!$F$32="Yes",'02_Debt Engine'!$V$32&gt;0,C$4&gt;'02_Debt Engine'!$I$32),'02_Debt Engine'!$W$32,IF('02_Debt Engine'!$D$32="Active",'02_Debt Engine'!$K$32,'02_Debt Engine'!$P$32))-C138))</f>
        <v>351504.12781127635</v>
      </c>
      <c r="D139" s="329">
        <f>IF(D137&lt;=0,0,MIN(D137,IF(AND('02_Debt Engine'!$F$32="Yes",'02_Debt Engine'!$V$32&gt;0,D$4&gt;'02_Debt Engine'!$I$32),'02_Debt Engine'!$W$32,IF('02_Debt Engine'!$D$32="Active",'02_Debt Engine'!$K$32,'02_Debt Engine'!$P$32))-D138))</f>
        <v>367321.81356278388</v>
      </c>
      <c r="E139" s="329">
        <f>IF(E137&lt;=0,0,MIN(E137,IF(AND('02_Debt Engine'!$F$32="Yes",'02_Debt Engine'!$V$32&gt;0,E$4&gt;'02_Debt Engine'!$I$32),'02_Debt Engine'!$W$32,IF('02_Debt Engine'!$D$32="Active",'02_Debt Engine'!$K$32,'02_Debt Engine'!$P$32))-E138))</f>
        <v>383851.29517310904</v>
      </c>
      <c r="F139" s="329">
        <f>IF(F137&lt;=0,0,MIN(F137,IF(AND('02_Debt Engine'!$F$32="Yes",'02_Debt Engine'!$V$32&gt;0,F$4&gt;'02_Debt Engine'!$I$32),'02_Debt Engine'!$W$32,IF('02_Debt Engine'!$D$32="Active",'02_Debt Engine'!$K$32,'02_Debt Engine'!$P$32))-F138))</f>
        <v>401124.60345589882</v>
      </c>
      <c r="G139" s="329">
        <f>IF(G137&lt;=0,0,MIN(G137,IF(AND('02_Debt Engine'!$F$32="Yes",'02_Debt Engine'!$V$32&gt;0,G$4&gt;'02_Debt Engine'!$I$32),'02_Debt Engine'!$W$32,IF('02_Debt Engine'!$D$32="Active",'02_Debt Engine'!$K$32,'02_Debt Engine'!$P$32))-G138))</f>
        <v>199133.8013752054</v>
      </c>
      <c r="H139" s="329">
        <f>IF(H137&lt;=0,0,MIN(H137,IF(AND('02_Debt Engine'!$F$32="Yes",'02_Debt Engine'!$V$32&gt;0,H$4&gt;'02_Debt Engine'!$I$32),'02_Debt Engine'!$W$32,IF('02_Debt Engine'!$D$32="Active",'02_Debt Engine'!$K$32,'02_Debt Engine'!$P$32))-H138))</f>
        <v>207099.15343021357</v>
      </c>
      <c r="I139" s="329">
        <f>IF(I137&lt;=0,0,MIN(I137,IF(AND('02_Debt Engine'!$F$32="Yes",'02_Debt Engine'!$V$32&gt;0,I$4&gt;'02_Debt Engine'!$I$32),'02_Debt Engine'!$W$32,IF('02_Debt Engine'!$D$32="Active",'02_Debt Engine'!$K$32,'02_Debt Engine'!$P$32))-I138))</f>
        <v>215383.11956742208</v>
      </c>
      <c r="J139" s="329">
        <f>IF(J137&lt;=0,0,MIN(J137,IF(AND('02_Debt Engine'!$F$32="Yes",'02_Debt Engine'!$V$32&gt;0,J$4&gt;'02_Debt Engine'!$I$32),'02_Debt Engine'!$W$32,IF('02_Debt Engine'!$D$32="Active",'02_Debt Engine'!$K$32,'02_Debt Engine'!$P$32))-J138))</f>
        <v>223998.44435011898</v>
      </c>
      <c r="K139" s="329">
        <f>IF(K137&lt;=0,0,MIN(K137,IF(AND('02_Debt Engine'!$F$32="Yes",'02_Debt Engine'!$V$32&gt;0,K$4&gt;'02_Debt Engine'!$I$32),'02_Debt Engine'!$W$32,IF('02_Debt Engine'!$D$32="Active",'02_Debt Engine'!$K$32,'02_Debt Engine'!$P$32))-K138))</f>
        <v>232958.38212412375</v>
      </c>
      <c r="L139" s="329">
        <f>IF(L137&lt;=0,0,MIN(L137,IF(AND('02_Debt Engine'!$F$32="Yes",'02_Debt Engine'!$V$32&gt;0,L$4&gt;'02_Debt Engine'!$I$32),'02_Debt Engine'!$W$32,IF('02_Debt Engine'!$D$32="Active",'02_Debt Engine'!$K$32,'02_Debt Engine'!$P$32))-L138))</f>
        <v>242276.71740908874</v>
      </c>
      <c r="M139" s="329">
        <f>IF(M137&lt;=0,0,MIN(M137,IF(AND('02_Debt Engine'!$F$32="Yes",'02_Debt Engine'!$V$32&gt;0,M$4&gt;'02_Debt Engine'!$I$32),'02_Debt Engine'!$W$32,IF('02_Debt Engine'!$D$32="Active",'02_Debt Engine'!$K$32,'02_Debt Engine'!$P$32))-M138))</f>
        <v>251967.78610545234</v>
      </c>
      <c r="N139" s="329">
        <f>IF(N137&lt;=0,0,MIN(N137,IF(AND('02_Debt Engine'!$F$32="Yes",'02_Debt Engine'!$V$32&gt;0,N$4&gt;'02_Debt Engine'!$I$32),'02_Debt Engine'!$W$32,IF('02_Debt Engine'!$D$32="Active",'02_Debt Engine'!$K$32,'02_Debt Engine'!$P$32))-N138))</f>
        <v>262046.4975496704</v>
      </c>
      <c r="O139" s="329">
        <f>IF(O137&lt;=0,0,MIN(O137,IF(AND('02_Debt Engine'!$F$32="Yes",'02_Debt Engine'!$V$32&gt;0,O$4&gt;'02_Debt Engine'!$I$32),'02_Debt Engine'!$W$32,IF('02_Debt Engine'!$D$32="Active",'02_Debt Engine'!$K$32,'02_Debt Engine'!$P$32))-O138))</f>
        <v>272528.35745165718</v>
      </c>
      <c r="P139" s="329">
        <f>IF(P137&lt;=0,0,MIN(P137,IF(AND('02_Debt Engine'!$F$32="Yes",'02_Debt Engine'!$V$32&gt;0,P$4&gt;'02_Debt Engine'!$I$32),'02_Debt Engine'!$W$32,IF('02_Debt Engine'!$D$32="Active",'02_Debt Engine'!$K$32,'02_Debt Engine'!$P$32))-P138))</f>
        <v>283429.49174972344</v>
      </c>
      <c r="Q139" s="329">
        <f>IF(Q137&lt;=0,0,MIN(Q137,IF(AND('02_Debt Engine'!$F$32="Yes",'02_Debt Engine'!$V$32&gt;0,Q$4&gt;'02_Debt Engine'!$I$32),'02_Debt Engine'!$W$32,IF('02_Debt Engine'!$D$32="Active",'02_Debt Engine'!$K$32,'02_Debt Engine'!$P$32))-Q138))</f>
        <v>294766.67141971237</v>
      </c>
      <c r="R139" s="329">
        <f>IF(R137&lt;=0,0,MIN(R137,IF(AND('02_Debt Engine'!$F$32="Yes",'02_Debt Engine'!$V$32&gt;0,R$4&gt;'02_Debt Engine'!$I$32),'02_Debt Engine'!$W$32,IF('02_Debt Engine'!$D$32="Active",'02_Debt Engine'!$K$32,'02_Debt Engine'!$P$32))-R138))</f>
        <v>306557.33827650081</v>
      </c>
      <c r="S139" s="329">
        <f>IF(S137&lt;=0,0,MIN(S137,IF(AND('02_Debt Engine'!$F$32="Yes",'02_Debt Engine'!$V$32&gt;0,S$4&gt;'02_Debt Engine'!$I$32),'02_Debt Engine'!$W$32,IF('02_Debt Engine'!$D$32="Active",'02_Debt Engine'!$K$32,'02_Debt Engine'!$P$32))-S138))</f>
        <v>318819.6318075608</v>
      </c>
      <c r="T139" s="329">
        <f>IF(T137&lt;=0,0,MIN(T137,IF(AND('02_Debt Engine'!$F$32="Yes",'02_Debt Engine'!$V$32&gt;0,T$4&gt;'02_Debt Engine'!$I$32),'02_Debt Engine'!$W$32,IF('02_Debt Engine'!$D$32="Active",'02_Debt Engine'!$K$32,'02_Debt Engine'!$P$32))-T138))</f>
        <v>331572.41707986325</v>
      </c>
      <c r="U139" s="329">
        <f>IF(U137&lt;=0,0,MIN(U137,IF(AND('02_Debt Engine'!$F$32="Yes",'02_Debt Engine'!$V$32&gt;0,U$4&gt;'02_Debt Engine'!$I$32),'02_Debt Engine'!$W$32,IF('02_Debt Engine'!$D$32="Active",'02_Debt Engine'!$K$32,'02_Debt Engine'!$P$32))-U138))</f>
        <v>344835.31376305781</v>
      </c>
      <c r="V139" s="329">
        <f>IF(V137&lt;=0,0,MIN(V137,IF(AND('02_Debt Engine'!$F$32="Yes",'02_Debt Engine'!$V$32&gt;0,V$4&gt;'02_Debt Engine'!$I$32),'02_Debt Engine'!$W$32,IF('02_Debt Engine'!$D$32="Active",'02_Debt Engine'!$K$32,'02_Debt Engine'!$P$32))-V138))</f>
        <v>358628.72631358012</v>
      </c>
      <c r="W139" s="329">
        <f>IF(W137&lt;=0,0,MIN(W137,IF(AND('02_Debt Engine'!$F$32="Yes",'02_Debt Engine'!$V$32&gt;0,W$4&gt;'02_Debt Engine'!$I$32),'02_Debt Engine'!$W$32,IF('02_Debt Engine'!$D$32="Active",'02_Debt Engine'!$K$32,'02_Debt Engine'!$P$32))-W138))</f>
        <v>372973.87536612328</v>
      </c>
    </row>
    <row r="140" spans="2:23">
      <c r="B140" s="14" t="s">
        <v>533</v>
      </c>
      <c r="C140" s="331">
        <f t="shared" ref="C140:W140" si="40">C137-C139</f>
        <v>38933495.872188725</v>
      </c>
      <c r="D140" s="331">
        <f t="shared" si="40"/>
        <v>38566174.058625944</v>
      </c>
      <c r="E140" s="331">
        <f t="shared" si="40"/>
        <v>38182322.763452835</v>
      </c>
      <c r="F140" s="331">
        <f t="shared" si="40"/>
        <v>37781198.159996934</v>
      </c>
      <c r="G140" s="331">
        <f t="shared" si="40"/>
        <v>14963759.107883796</v>
      </c>
      <c r="H140" s="331">
        <f t="shared" si="40"/>
        <v>14756659.954453582</v>
      </c>
      <c r="I140" s="331">
        <f t="shared" si="40"/>
        <v>14541276.83488616</v>
      </c>
      <c r="J140" s="331">
        <f t="shared" si="40"/>
        <v>14317278.39053604</v>
      </c>
      <c r="K140" s="331">
        <f t="shared" si="40"/>
        <v>14084320.008411916</v>
      </c>
      <c r="L140" s="331">
        <f t="shared" si="40"/>
        <v>13842043.291002827</v>
      </c>
      <c r="M140" s="331">
        <f t="shared" si="40"/>
        <v>13590075.504897375</v>
      </c>
      <c r="N140" s="331">
        <f t="shared" si="40"/>
        <v>13328029.007347705</v>
      </c>
      <c r="O140" s="331">
        <f t="shared" si="40"/>
        <v>13055500.649896048</v>
      </c>
      <c r="P140" s="331">
        <f t="shared" si="40"/>
        <v>12772071.158146325</v>
      </c>
      <c r="Q140" s="331">
        <f t="shared" si="40"/>
        <v>12477304.486726614</v>
      </c>
      <c r="R140" s="331">
        <f t="shared" si="40"/>
        <v>12170747.148450114</v>
      </c>
      <c r="S140" s="331">
        <f t="shared" si="40"/>
        <v>11851927.516642554</v>
      </c>
      <c r="T140" s="331">
        <f t="shared" si="40"/>
        <v>11520355.09956269</v>
      </c>
      <c r="U140" s="331">
        <f t="shared" si="40"/>
        <v>11175519.785799632</v>
      </c>
      <c r="V140" s="331">
        <f t="shared" si="40"/>
        <v>10816891.059486052</v>
      </c>
      <c r="W140" s="331">
        <f t="shared" si="40"/>
        <v>10443917.184119929</v>
      </c>
    </row>
    <row r="141" spans="2:23">
      <c r="B141" s="3" t="s">
        <v>367</v>
      </c>
      <c r="C141" s="328">
        <f>IF(AND('02_Debt Engine'!$F$32="Yes",'02_Debt Engine'!$V$32&gt;0,C$4='02_Debt Engine'!$I$32),-C140,0)</f>
        <v>0</v>
      </c>
      <c r="D141" s="328">
        <f>IF(AND('02_Debt Engine'!$F$32="Yes",'02_Debt Engine'!$V$32&gt;0,D$4='02_Debt Engine'!$I$32),-D140,0)</f>
        <v>0</v>
      </c>
      <c r="E141" s="328">
        <f>IF(AND('02_Debt Engine'!$F$32="Yes",'02_Debt Engine'!$V$32&gt;0,E$4='02_Debt Engine'!$I$32),-E140,0)</f>
        <v>0</v>
      </c>
      <c r="F141" s="328">
        <f>IF(AND('02_Debt Engine'!$F$32="Yes",'02_Debt Engine'!$V$32&gt;0,F$4='02_Debt Engine'!$I$32),-F140,0)</f>
        <v>-37781198.159996934</v>
      </c>
      <c r="G141" s="328">
        <f>IF(AND('02_Debt Engine'!$F$32="Yes",'02_Debt Engine'!$V$32&gt;0,G$4='02_Debt Engine'!$I$32),-G140,0)</f>
        <v>0</v>
      </c>
      <c r="H141" s="328">
        <f>IF(AND('02_Debt Engine'!$F$32="Yes",'02_Debt Engine'!$V$32&gt;0,H$4='02_Debt Engine'!$I$32),-H140,0)</f>
        <v>0</v>
      </c>
      <c r="I141" s="328">
        <f>IF(AND('02_Debt Engine'!$F$32="Yes",'02_Debt Engine'!$V$32&gt;0,I$4='02_Debt Engine'!$I$32),-I140,0)</f>
        <v>0</v>
      </c>
      <c r="J141" s="328">
        <f>IF(AND('02_Debt Engine'!$F$32="Yes",'02_Debt Engine'!$V$32&gt;0,J$4='02_Debt Engine'!$I$32),-J140,0)</f>
        <v>0</v>
      </c>
      <c r="K141" s="328">
        <f>IF(AND('02_Debt Engine'!$F$32="Yes",'02_Debt Engine'!$V$32&gt;0,K$4='02_Debt Engine'!$I$32),-K140,0)</f>
        <v>0</v>
      </c>
      <c r="L141" s="328">
        <f>IF(AND('02_Debt Engine'!$F$32="Yes",'02_Debt Engine'!$V$32&gt;0,L$4='02_Debt Engine'!$I$32),-L140,0)</f>
        <v>0</v>
      </c>
      <c r="M141" s="328">
        <f>IF(AND('02_Debt Engine'!$F$32="Yes",'02_Debt Engine'!$V$32&gt;0,M$4='02_Debt Engine'!$I$32),-M140,0)</f>
        <v>0</v>
      </c>
      <c r="N141" s="328">
        <f>IF(AND('02_Debt Engine'!$F$32="Yes",'02_Debt Engine'!$V$32&gt;0,N$4='02_Debt Engine'!$I$32),-N140,0)</f>
        <v>0</v>
      </c>
      <c r="O141" s="328">
        <f>IF(AND('02_Debt Engine'!$F$32="Yes",'02_Debt Engine'!$V$32&gt;0,O$4='02_Debt Engine'!$I$32),-O140,0)</f>
        <v>0</v>
      </c>
      <c r="P141" s="328">
        <f>IF(AND('02_Debt Engine'!$F$32="Yes",'02_Debt Engine'!$V$32&gt;0,P$4='02_Debt Engine'!$I$32),-P140,0)</f>
        <v>0</v>
      </c>
      <c r="Q141" s="328">
        <f>IF(AND('02_Debt Engine'!$F$32="Yes",'02_Debt Engine'!$V$32&gt;0,Q$4='02_Debt Engine'!$I$32),-Q140,0)</f>
        <v>0</v>
      </c>
      <c r="R141" s="328">
        <f>IF(AND('02_Debt Engine'!$F$32="Yes",'02_Debt Engine'!$V$32&gt;0,R$4='02_Debt Engine'!$I$32),-R140,0)</f>
        <v>0</v>
      </c>
      <c r="S141" s="328">
        <f>IF(AND('02_Debt Engine'!$F$32="Yes",'02_Debt Engine'!$V$32&gt;0,S$4='02_Debt Engine'!$I$32),-S140,0)</f>
        <v>0</v>
      </c>
      <c r="T141" s="328">
        <f>IF(AND('02_Debt Engine'!$F$32="Yes",'02_Debt Engine'!$V$32&gt;0,T$4='02_Debt Engine'!$I$32),-T140,0)</f>
        <v>0</v>
      </c>
      <c r="U141" s="328">
        <f>IF(AND('02_Debt Engine'!$F$32="Yes",'02_Debt Engine'!$V$32&gt;0,U$4='02_Debt Engine'!$I$32),-U140,0)</f>
        <v>0</v>
      </c>
      <c r="V141" s="328">
        <f>IF(AND('02_Debt Engine'!$F$32="Yes",'02_Debt Engine'!$V$32&gt;0,V$4='02_Debt Engine'!$I$32),-V140,0)</f>
        <v>0</v>
      </c>
      <c r="W141" s="328">
        <f>IF(AND('02_Debt Engine'!$F$32="Yes",'02_Debt Engine'!$V$32&gt;0,W$4='02_Debt Engine'!$I$32),-W140,0)</f>
        <v>0</v>
      </c>
    </row>
    <row r="142" spans="2:23">
      <c r="B142" s="13" t="s">
        <v>534</v>
      </c>
      <c r="C142" s="329">
        <f>IF(AND('02_Debt Engine'!$F$32="Yes",'02_Debt Engine'!$V$32&gt;0,C$4='02_Debt Engine'!$I$32),'02_Debt Engine'!$V$32,0)</f>
        <v>0</v>
      </c>
      <c r="D142" s="329">
        <f>IF(AND('02_Debt Engine'!$F$32="Yes",'02_Debt Engine'!$V$32&gt;0,D$4='02_Debt Engine'!$I$32),'02_Debt Engine'!$V$32,0)</f>
        <v>0</v>
      </c>
      <c r="E142" s="329">
        <f>IF(AND('02_Debt Engine'!$F$32="Yes",'02_Debt Engine'!$V$32&gt;0,E$4='02_Debt Engine'!$I$32),'02_Debt Engine'!$V$32,0)</f>
        <v>0</v>
      </c>
      <c r="F142" s="329">
        <f>IF(AND('02_Debt Engine'!$F$32="Yes",'02_Debt Engine'!$V$32&gt;0,F$4='02_Debt Engine'!$I$32),'02_Debt Engine'!$V$32,0)</f>
        <v>15162892.909259001</v>
      </c>
      <c r="G142" s="329">
        <f>IF(AND('02_Debt Engine'!$F$32="Yes",'02_Debt Engine'!$V$32&gt;0,G$4='02_Debt Engine'!$I$32),'02_Debt Engine'!$V$32,0)</f>
        <v>0</v>
      </c>
      <c r="H142" s="329">
        <f>IF(AND('02_Debt Engine'!$F$32="Yes",'02_Debt Engine'!$V$32&gt;0,H$4='02_Debt Engine'!$I$32),'02_Debt Engine'!$V$32,0)</f>
        <v>0</v>
      </c>
      <c r="I142" s="329">
        <f>IF(AND('02_Debt Engine'!$F$32="Yes",'02_Debt Engine'!$V$32&gt;0,I$4='02_Debt Engine'!$I$32),'02_Debt Engine'!$V$32,0)</f>
        <v>0</v>
      </c>
      <c r="J142" s="329">
        <f>IF(AND('02_Debt Engine'!$F$32="Yes",'02_Debt Engine'!$V$32&gt;0,J$4='02_Debt Engine'!$I$32),'02_Debt Engine'!$V$32,0)</f>
        <v>0</v>
      </c>
      <c r="K142" s="329">
        <f>IF(AND('02_Debt Engine'!$F$32="Yes",'02_Debt Engine'!$V$32&gt;0,K$4='02_Debt Engine'!$I$32),'02_Debt Engine'!$V$32,0)</f>
        <v>0</v>
      </c>
      <c r="L142" s="329">
        <f>IF(AND('02_Debt Engine'!$F$32="Yes",'02_Debt Engine'!$V$32&gt;0,L$4='02_Debt Engine'!$I$32),'02_Debt Engine'!$V$32,0)</f>
        <v>0</v>
      </c>
      <c r="M142" s="329">
        <f>IF(AND('02_Debt Engine'!$F$32="Yes",'02_Debt Engine'!$V$32&gt;0,M$4='02_Debt Engine'!$I$32),'02_Debt Engine'!$V$32,0)</f>
        <v>0</v>
      </c>
      <c r="N142" s="329">
        <f>IF(AND('02_Debt Engine'!$F$32="Yes",'02_Debt Engine'!$V$32&gt;0,N$4='02_Debt Engine'!$I$32),'02_Debt Engine'!$V$32,0)</f>
        <v>0</v>
      </c>
      <c r="O142" s="329">
        <f>IF(AND('02_Debt Engine'!$F$32="Yes",'02_Debt Engine'!$V$32&gt;0,O$4='02_Debt Engine'!$I$32),'02_Debt Engine'!$V$32,0)</f>
        <v>0</v>
      </c>
      <c r="P142" s="329">
        <f>IF(AND('02_Debt Engine'!$F$32="Yes",'02_Debt Engine'!$V$32&gt;0,P$4='02_Debt Engine'!$I$32),'02_Debt Engine'!$V$32,0)</f>
        <v>0</v>
      </c>
      <c r="Q142" s="329">
        <f>IF(AND('02_Debt Engine'!$F$32="Yes",'02_Debt Engine'!$V$32&gt;0,Q$4='02_Debt Engine'!$I$32),'02_Debt Engine'!$V$32,0)</f>
        <v>0</v>
      </c>
      <c r="R142" s="329">
        <f>IF(AND('02_Debt Engine'!$F$32="Yes",'02_Debt Engine'!$V$32&gt;0,R$4='02_Debt Engine'!$I$32),'02_Debt Engine'!$V$32,0)</f>
        <v>0</v>
      </c>
      <c r="S142" s="329">
        <f>IF(AND('02_Debt Engine'!$F$32="Yes",'02_Debt Engine'!$V$32&gt;0,S$4='02_Debt Engine'!$I$32),'02_Debt Engine'!$V$32,0)</f>
        <v>0</v>
      </c>
      <c r="T142" s="329">
        <f>IF(AND('02_Debt Engine'!$F$32="Yes",'02_Debt Engine'!$V$32&gt;0,T$4='02_Debt Engine'!$I$32),'02_Debt Engine'!$V$32,0)</f>
        <v>0</v>
      </c>
      <c r="U142" s="329">
        <f>IF(AND('02_Debt Engine'!$F$32="Yes",'02_Debt Engine'!$V$32&gt;0,U$4='02_Debt Engine'!$I$32),'02_Debt Engine'!$V$32,0)</f>
        <v>0</v>
      </c>
      <c r="V142" s="329">
        <f>IF(AND('02_Debt Engine'!$F$32="Yes",'02_Debt Engine'!$V$32&gt;0,V$4='02_Debt Engine'!$I$32),'02_Debt Engine'!$V$32,0)</f>
        <v>0</v>
      </c>
      <c r="W142" s="329">
        <f>IF(AND('02_Debt Engine'!$F$32="Yes",'02_Debt Engine'!$V$32&gt;0,W$4='02_Debt Engine'!$I$32),'02_Debt Engine'!$V$32,0)</f>
        <v>0</v>
      </c>
    </row>
    <row r="143" spans="2:23">
      <c r="B143" s="3" t="s">
        <v>535</v>
      </c>
      <c r="C143" s="330">
        <f t="shared" ref="C143:W143" si="41">C141+C142</f>
        <v>0</v>
      </c>
      <c r="D143" s="330">
        <f t="shared" si="41"/>
        <v>0</v>
      </c>
      <c r="E143" s="330">
        <f t="shared" si="41"/>
        <v>0</v>
      </c>
      <c r="F143" s="330">
        <f t="shared" si="41"/>
        <v>-22618305.250737935</v>
      </c>
      <c r="G143" s="330">
        <f t="shared" si="41"/>
        <v>0</v>
      </c>
      <c r="H143" s="330">
        <f t="shared" si="41"/>
        <v>0</v>
      </c>
      <c r="I143" s="330">
        <f t="shared" si="41"/>
        <v>0</v>
      </c>
      <c r="J143" s="330">
        <f t="shared" si="41"/>
        <v>0</v>
      </c>
      <c r="K143" s="330">
        <f t="shared" si="41"/>
        <v>0</v>
      </c>
      <c r="L143" s="330">
        <f t="shared" si="41"/>
        <v>0</v>
      </c>
      <c r="M143" s="330">
        <f t="shared" si="41"/>
        <v>0</v>
      </c>
      <c r="N143" s="330">
        <f t="shared" si="41"/>
        <v>0</v>
      </c>
      <c r="O143" s="330">
        <f t="shared" si="41"/>
        <v>0</v>
      </c>
      <c r="P143" s="330">
        <f t="shared" si="41"/>
        <v>0</v>
      </c>
      <c r="Q143" s="330">
        <f t="shared" si="41"/>
        <v>0</v>
      </c>
      <c r="R143" s="330">
        <f t="shared" si="41"/>
        <v>0</v>
      </c>
      <c r="S143" s="330">
        <f t="shared" si="41"/>
        <v>0</v>
      </c>
      <c r="T143" s="330">
        <f t="shared" si="41"/>
        <v>0</v>
      </c>
      <c r="U143" s="330">
        <f t="shared" si="41"/>
        <v>0</v>
      </c>
      <c r="V143" s="330">
        <f t="shared" si="41"/>
        <v>0</v>
      </c>
      <c r="W143" s="330">
        <f t="shared" si="41"/>
        <v>0</v>
      </c>
    </row>
    <row r="144" spans="2:23">
      <c r="B144" s="14" t="s">
        <v>525</v>
      </c>
      <c r="C144" s="328">
        <f t="shared" ref="C144:W144" si="42">C138+C139</f>
        <v>2119329.1278112764</v>
      </c>
      <c r="D144" s="328">
        <f t="shared" si="42"/>
        <v>2119329.1278112764</v>
      </c>
      <c r="E144" s="328">
        <f t="shared" si="42"/>
        <v>2119329.1278112764</v>
      </c>
      <c r="F144" s="328">
        <f t="shared" si="42"/>
        <v>2119329.1278112764</v>
      </c>
      <c r="G144" s="328">
        <f t="shared" si="42"/>
        <v>805649.51774556539</v>
      </c>
      <c r="H144" s="328">
        <f t="shared" si="42"/>
        <v>805649.51774556539</v>
      </c>
      <c r="I144" s="328">
        <f t="shared" si="42"/>
        <v>805649.51774556539</v>
      </c>
      <c r="J144" s="328">
        <f t="shared" si="42"/>
        <v>805649.51774556539</v>
      </c>
      <c r="K144" s="328">
        <f t="shared" si="42"/>
        <v>805649.51774556539</v>
      </c>
      <c r="L144" s="328">
        <f t="shared" si="42"/>
        <v>805649.51774556539</v>
      </c>
      <c r="M144" s="328">
        <f t="shared" si="42"/>
        <v>805649.51774556539</v>
      </c>
      <c r="N144" s="328">
        <f t="shared" si="42"/>
        <v>805649.51774556539</v>
      </c>
      <c r="O144" s="328">
        <f t="shared" si="42"/>
        <v>805649.51774556539</v>
      </c>
      <c r="P144" s="328">
        <f t="shared" si="42"/>
        <v>805649.51774556539</v>
      </c>
      <c r="Q144" s="328">
        <f t="shared" si="42"/>
        <v>805649.51774556539</v>
      </c>
      <c r="R144" s="328">
        <f t="shared" si="42"/>
        <v>805649.51774556539</v>
      </c>
      <c r="S144" s="328">
        <f t="shared" si="42"/>
        <v>805649.51774556539</v>
      </c>
      <c r="T144" s="328">
        <f t="shared" si="42"/>
        <v>805649.51774556539</v>
      </c>
      <c r="U144" s="328">
        <f t="shared" si="42"/>
        <v>805649.51774556539</v>
      </c>
      <c r="V144" s="328">
        <f t="shared" si="42"/>
        <v>805649.51774556539</v>
      </c>
      <c r="W144" s="328">
        <f t="shared" si="42"/>
        <v>805649.51774556539</v>
      </c>
    </row>
    <row r="146" spans="2:23">
      <c r="B146" s="327" t="str">
        <f>'02_Debt Engine'!$B$33</f>
        <v>450 Pacific Street</v>
      </c>
      <c r="C146" s="327" t="str">
        <f>_xlfn.LET(_xlpm.refiyr,INDEX('02_Debt Engine'!$I$19:$I$35,MATCH('02A_Debt Schedule'!$B146,'02_Debt Engine'!$B$19:$B$35,0)),IF(_xlpm.refiyr='02A_Debt Schedule'!C$4,"Refi Yr.",""))</f>
        <v/>
      </c>
      <c r="D146" s="327" t="str">
        <f>_xlfn.LET(_xlpm.refiyr,INDEX('02_Debt Engine'!$I$19:$I$35,MATCH('02A_Debt Schedule'!$B146,'02_Debt Engine'!$B$19:$B$35,0)),IF(_xlpm.refiyr='02A_Debt Schedule'!D$4,"Refi Yr.",""))</f>
        <v/>
      </c>
      <c r="E146" s="327" t="str">
        <f>_xlfn.LET(_xlpm.refiyr,INDEX('02_Debt Engine'!$I$19:$I$35,MATCH('02A_Debt Schedule'!$B146,'02_Debt Engine'!$B$19:$B$35,0)),IF(_xlpm.refiyr='02A_Debt Schedule'!E$4,"Refi Yr.",""))</f>
        <v/>
      </c>
      <c r="F146" s="327" t="str">
        <f>_xlfn.LET(_xlpm.refiyr,INDEX('02_Debt Engine'!$I$19:$I$35,MATCH('02A_Debt Schedule'!$B146,'02_Debt Engine'!$B$19:$B$35,0)),IF(_xlpm.refiyr='02A_Debt Schedule'!F$4,"Refi Yr.",""))</f>
        <v>Refi Yr.</v>
      </c>
      <c r="G146" s="327" t="str">
        <f>_xlfn.LET(_xlpm.refiyr,INDEX('02_Debt Engine'!$I$19:$I$35,MATCH('02A_Debt Schedule'!$B146,'02_Debt Engine'!$B$19:$B$35,0)),IF(_xlpm.refiyr='02A_Debt Schedule'!G$4,"Refi Yr.",""))</f>
        <v/>
      </c>
      <c r="H146" s="327" t="str">
        <f>_xlfn.LET(_xlpm.refiyr,INDEX('02_Debt Engine'!$I$19:$I$35,MATCH('02A_Debt Schedule'!$B146,'02_Debt Engine'!$B$19:$B$35,0)),IF(_xlpm.refiyr='02A_Debt Schedule'!H$4,"Refi Yr.",""))</f>
        <v/>
      </c>
      <c r="I146" s="327" t="str">
        <f>_xlfn.LET(_xlpm.refiyr,INDEX('02_Debt Engine'!$I$19:$I$35,MATCH('02A_Debt Schedule'!$B146,'02_Debt Engine'!$B$19:$B$35,0)),IF(_xlpm.refiyr='02A_Debt Schedule'!I$4,"Refi Yr.",""))</f>
        <v/>
      </c>
      <c r="J146" s="327" t="str">
        <f>_xlfn.LET(_xlpm.refiyr,INDEX('02_Debt Engine'!$I$19:$I$35,MATCH('02A_Debt Schedule'!$B146,'02_Debt Engine'!$B$19:$B$35,0)),IF(_xlpm.refiyr='02A_Debt Schedule'!J$4,"Refi Yr.",""))</f>
        <v/>
      </c>
      <c r="K146" s="327" t="str">
        <f>_xlfn.LET(_xlpm.refiyr,INDEX('02_Debt Engine'!$I$19:$I$35,MATCH('02A_Debt Schedule'!$B146,'02_Debt Engine'!$B$19:$B$35,0)),IF(_xlpm.refiyr='02A_Debt Schedule'!K$4,"Refi Yr.",""))</f>
        <v/>
      </c>
      <c r="L146" s="327" t="str">
        <f>_xlfn.LET(_xlpm.refiyr,INDEX('02_Debt Engine'!$I$19:$I$35,MATCH('02A_Debt Schedule'!$B146,'02_Debt Engine'!$B$19:$B$35,0)),IF(_xlpm.refiyr='02A_Debt Schedule'!L$4,"Refi Yr.",""))</f>
        <v/>
      </c>
      <c r="M146" s="327" t="str">
        <f>_xlfn.LET(_xlpm.refiyr,INDEX('02_Debt Engine'!$I$19:$I$35,MATCH('02A_Debt Schedule'!$B146,'02_Debt Engine'!$B$19:$B$35,0)),IF(_xlpm.refiyr='02A_Debt Schedule'!M$4,"Refi Yr.",""))</f>
        <v/>
      </c>
      <c r="N146" s="327" t="str">
        <f>_xlfn.LET(_xlpm.refiyr,INDEX('02_Debt Engine'!$I$19:$I$35,MATCH('02A_Debt Schedule'!$B146,'02_Debt Engine'!$B$19:$B$35,0)),IF(_xlpm.refiyr='02A_Debt Schedule'!N$4,"Refi Yr.",""))</f>
        <v/>
      </c>
      <c r="O146" s="327" t="str">
        <f>_xlfn.LET(_xlpm.refiyr,INDEX('02_Debt Engine'!$I$19:$I$35,MATCH('02A_Debt Schedule'!$B146,'02_Debt Engine'!$B$19:$B$35,0)),IF(_xlpm.refiyr='02A_Debt Schedule'!O$4,"Refi Yr.",""))</f>
        <v/>
      </c>
      <c r="P146" s="327" t="str">
        <f>_xlfn.LET(_xlpm.refiyr,INDEX('02_Debt Engine'!$I$19:$I$35,MATCH('02A_Debt Schedule'!$B146,'02_Debt Engine'!$B$19:$B$35,0)),IF(_xlpm.refiyr='02A_Debt Schedule'!P$4,"Refi Yr.",""))</f>
        <v/>
      </c>
      <c r="Q146" s="327" t="str">
        <f>_xlfn.LET(_xlpm.refiyr,INDEX('02_Debt Engine'!$I$19:$I$35,MATCH('02A_Debt Schedule'!$B146,'02_Debt Engine'!$B$19:$B$35,0)),IF(_xlpm.refiyr='02A_Debt Schedule'!Q$4,"Refi Yr.",""))</f>
        <v/>
      </c>
      <c r="R146" s="327" t="str">
        <f>_xlfn.LET(_xlpm.refiyr,INDEX('02_Debt Engine'!$I$19:$I$35,MATCH('02A_Debt Schedule'!$B146,'02_Debt Engine'!$B$19:$B$35,0)),IF(_xlpm.refiyr='02A_Debt Schedule'!R$4,"Refi Yr.",""))</f>
        <v/>
      </c>
      <c r="S146" s="327" t="str">
        <f>_xlfn.LET(_xlpm.refiyr,INDEX('02_Debt Engine'!$I$19:$I$35,MATCH('02A_Debt Schedule'!$B146,'02_Debt Engine'!$B$19:$B$35,0)),IF(_xlpm.refiyr='02A_Debt Schedule'!S$4,"Refi Yr.",""))</f>
        <v/>
      </c>
      <c r="T146" s="327" t="str">
        <f>_xlfn.LET(_xlpm.refiyr,INDEX('02_Debt Engine'!$I$19:$I$35,MATCH('02A_Debt Schedule'!$B146,'02_Debt Engine'!$B$19:$B$35,0)),IF(_xlpm.refiyr='02A_Debt Schedule'!T$4,"Refi Yr.",""))</f>
        <v/>
      </c>
      <c r="U146" s="327" t="str">
        <f>_xlfn.LET(_xlpm.refiyr,INDEX('02_Debt Engine'!$I$19:$I$35,MATCH('02A_Debt Schedule'!$B146,'02_Debt Engine'!$B$19:$B$35,0)),IF(_xlpm.refiyr='02A_Debt Schedule'!U$4,"Refi Yr.",""))</f>
        <v/>
      </c>
      <c r="V146" s="327" t="str">
        <f>_xlfn.LET(_xlpm.refiyr,INDEX('02_Debt Engine'!$I$19:$I$35,MATCH('02A_Debt Schedule'!$B146,'02_Debt Engine'!$B$19:$B$35,0)),IF(_xlpm.refiyr='02A_Debt Schedule'!V$4,"Refi Yr.",""))</f>
        <v/>
      </c>
      <c r="W146" s="327" t="str">
        <f>_xlfn.LET(_xlpm.refiyr,INDEX('02_Debt Engine'!$I$19:$I$35,MATCH('02A_Debt Schedule'!$B146,'02_Debt Engine'!$B$19:$B$35,0)),IF(_xlpm.refiyr='02A_Debt Schedule'!W$4,"Refi Yr.",""))</f>
        <v/>
      </c>
    </row>
    <row r="147" spans="2:23">
      <c r="B147" s="3" t="s">
        <v>531</v>
      </c>
      <c r="C147" s="328">
        <f>IF('02_Debt Engine'!$D$33="Active",'02_Debt Engine'!$N$33,'02_Debt Engine'!$O$33)</f>
        <v>36855000</v>
      </c>
      <c r="D147" s="328">
        <f>IF(AND('02_Debt Engine'!$F$33="Yes",'02_Debt Engine'!$V$33&gt;0,C$4='02_Debt Engine'!$I$33),'02_Debt Engine'!$V$33,C150)</f>
        <v>36525238.395558491</v>
      </c>
      <c r="E147" s="328">
        <f>IF(AND('02_Debt Engine'!$F$33="Yes",'02_Debt Engine'!$V$33&gt;0,D$4='02_Debt Engine'!$I$33),'02_Debt Engine'!$V$33,D150)</f>
        <v>36180637.518917114</v>
      </c>
      <c r="F147" s="328">
        <f>IF(AND('02_Debt Engine'!$F$33="Yes",'02_Debt Engine'!$V$33&gt;0,E$4='02_Debt Engine'!$I$33),'02_Debt Engine'!$V$33,E150)</f>
        <v>35820529.602826878</v>
      </c>
      <c r="G147" s="328">
        <f>IF(AND('02_Debt Engine'!$F$33="Yes",'02_Debt Engine'!$V$33&gt;0,F$4='02_Debt Engine'!$I$33),'02_Debt Engine'!$V$33,F150)</f>
        <v>12562077.2505446</v>
      </c>
      <c r="H147" s="328">
        <f>IF(AND('02_Debt Engine'!$F$33="Yes",'02_Debt Engine'!$V$33&gt;0,G$4='02_Debt Engine'!$I$33),'02_Debt Engine'!$V$33,G150)</f>
        <v>12397099.880392337</v>
      </c>
      <c r="I147" s="328">
        <f>IF(AND('02_Debt Engine'!$F$33="Yes",'02_Debt Engine'!$V$33&gt;0,H$4='02_Debt Engine'!$I$33),'02_Debt Engine'!$V$33,H150)</f>
        <v>12225523.415433984</v>
      </c>
      <c r="J147" s="328">
        <f>IF(AND('02_Debt Engine'!$F$33="Yes",'02_Debt Engine'!$V$33&gt;0,I$4='02_Debt Engine'!$I$33),'02_Debt Engine'!$V$33,I150)</f>
        <v>12047083.891877297</v>
      </c>
      <c r="K147" s="328">
        <f>IF(AND('02_Debt Engine'!$F$33="Yes",'02_Debt Engine'!$V$33&gt;0,J$4='02_Debt Engine'!$I$33),'02_Debt Engine'!$V$33,J150)</f>
        <v>11861506.787378343</v>
      </c>
      <c r="L147" s="328">
        <f>IF(AND('02_Debt Engine'!$F$33="Yes",'02_Debt Engine'!$V$33&gt;0,K$4='02_Debt Engine'!$I$33),'02_Debt Engine'!$V$33,K150)</f>
        <v>11668506.59869943</v>
      </c>
      <c r="M147" s="328">
        <f>IF(AND('02_Debt Engine'!$F$33="Yes",'02_Debt Engine'!$V$33&gt;0,L$4='02_Debt Engine'!$I$33),'02_Debt Engine'!$V$33,L150)</f>
        <v>11467786.40247336</v>
      </c>
      <c r="N147" s="328">
        <f>IF(AND('02_Debt Engine'!$F$33="Yes",'02_Debt Engine'!$V$33&gt;0,M$4='02_Debt Engine'!$I$33),'02_Debt Engine'!$V$33,M150)</f>
        <v>11259037.398398248</v>
      </c>
      <c r="O147" s="328">
        <f>IF(AND('02_Debt Engine'!$F$33="Yes",'02_Debt Engine'!$V$33&gt;0,N$4='02_Debt Engine'!$I$33),'02_Debt Engine'!$V$33,N150)</f>
        <v>11041938.434160132</v>
      </c>
      <c r="P147" s="328">
        <f>IF(AND('02_Debt Engine'!$F$33="Yes",'02_Debt Engine'!$V$33&gt;0,O$4='02_Debt Engine'!$I$33),'02_Debt Engine'!$V$33,O150)</f>
        <v>10816155.511352491</v>
      </c>
      <c r="Q147" s="328">
        <f>IF(AND('02_Debt Engine'!$F$33="Yes",'02_Debt Engine'!$V$33&gt;0,P$4='02_Debt Engine'!$I$33),'02_Debt Engine'!$V$33,P150)</f>
        <v>10581341.271632545</v>
      </c>
      <c r="R147" s="328">
        <f>IF(AND('02_Debt Engine'!$F$33="Yes",'02_Debt Engine'!$V$33&gt;0,Q$4='02_Debt Engine'!$I$33),'02_Debt Engine'!$V$33,Q150)</f>
        <v>10337134.4623238</v>
      </c>
      <c r="S147" s="328">
        <f>IF(AND('02_Debt Engine'!$F$33="Yes",'02_Debt Engine'!$V$33&gt;0,R$4='02_Debt Engine'!$I$33),'02_Debt Engine'!$V$33,R150)</f>
        <v>10083159.380642705</v>
      </c>
      <c r="T147" s="328">
        <f>IF(AND('02_Debt Engine'!$F$33="Yes",'02_Debt Engine'!$V$33&gt;0,S$4='02_Debt Engine'!$I$33),'02_Debt Engine'!$V$33,S150)</f>
        <v>9819025.2956943661</v>
      </c>
      <c r="U147" s="328">
        <f>IF(AND('02_Debt Engine'!$F$33="Yes",'02_Debt Engine'!$V$33&gt;0,T$4='02_Debt Engine'!$I$33),'02_Debt Engine'!$V$33,T150)</f>
        <v>9544325.847348094</v>
      </c>
      <c r="V147" s="328">
        <f>IF(AND('02_Debt Engine'!$F$33="Yes",'02_Debt Engine'!$V$33&gt;0,U$4='02_Debt Engine'!$I$33),'02_Debt Engine'!$V$33,U150)</f>
        <v>9258638.4210679717</v>
      </c>
      <c r="W147" s="328">
        <f>IF(AND('02_Debt Engine'!$F$33="Yes",'02_Debt Engine'!$V$33&gt;0,V$4='02_Debt Engine'!$I$33),'02_Debt Engine'!$V$33,V150)</f>
        <v>8961523.497736644</v>
      </c>
    </row>
    <row r="148" spans="2:23">
      <c r="B148" s="3" t="s">
        <v>514</v>
      </c>
      <c r="C148" s="328">
        <f>IF(C147&lt;=0,0,C147*IF(AND('02_Debt Engine'!$F$33="Yes",'02_Debt Engine'!$V$33&gt;0,C$4&gt;'02_Debt Engine'!$I$33),'02_Debt Engine'!$C$13,IF('02_Debt Engine'!$D$33="Active",'02_Debt Engine'!$H$33,'02_Debt Engine'!$C$7)))</f>
        <v>1658475</v>
      </c>
      <c r="D148" s="328">
        <f>IF(D147&lt;=0,0,D147*IF(AND('02_Debt Engine'!$F$33="Yes",'02_Debt Engine'!$V$33&gt;0,D$4&gt;'02_Debt Engine'!$I$33),'02_Debt Engine'!$C$13,IF('02_Debt Engine'!$D$33="Active",'02_Debt Engine'!$H$33,'02_Debt Engine'!$C$7)))</f>
        <v>1643635.727800132</v>
      </c>
      <c r="E148" s="328">
        <f>IF(E147&lt;=0,0,E147*IF(AND('02_Debt Engine'!$F$33="Yes",'02_Debt Engine'!$V$33&gt;0,E$4&gt;'02_Debt Engine'!$I$33),'02_Debt Engine'!$C$13,IF('02_Debt Engine'!$D$33="Active",'02_Debt Engine'!$H$33,'02_Debt Engine'!$C$7)))</f>
        <v>1628128.68835127</v>
      </c>
      <c r="F148" s="328">
        <f>IF(F147&lt;=0,0,F147*IF(AND('02_Debt Engine'!$F$33="Yes",'02_Debt Engine'!$V$33&gt;0,F$4&gt;'02_Debt Engine'!$I$33),'02_Debt Engine'!$C$13,IF('02_Debt Engine'!$D$33="Active",'02_Debt Engine'!$H$33,'02_Debt Engine'!$C$7)))</f>
        <v>1611923.8321272095</v>
      </c>
      <c r="G148" s="328">
        <f>IF(G147&lt;=0,0,G147*IF(AND('02_Debt Engine'!$F$33="Yes",'02_Debt Engine'!$V$33&gt;0,G$4&gt;'02_Debt Engine'!$I$33),'02_Debt Engine'!$C$13,IF('02_Debt Engine'!$D$33="Active",'02_Debt Engine'!$H$33,'02_Debt Engine'!$C$7)))</f>
        <v>502483.09002178401</v>
      </c>
      <c r="H148" s="328">
        <f>IF(H147&lt;=0,0,H147*IF(AND('02_Debt Engine'!$F$33="Yes",'02_Debt Engine'!$V$33&gt;0,H$4&gt;'02_Debt Engine'!$I$33),'02_Debt Engine'!$C$13,IF('02_Debt Engine'!$D$33="Active",'02_Debt Engine'!$H$33,'02_Debt Engine'!$C$7)))</f>
        <v>495883.99521569349</v>
      </c>
      <c r="I148" s="328">
        <f>IF(I147&lt;=0,0,I147*IF(AND('02_Debt Engine'!$F$33="Yes",'02_Debt Engine'!$V$33&gt;0,I$4&gt;'02_Debt Engine'!$I$33),'02_Debt Engine'!$C$13,IF('02_Debt Engine'!$D$33="Active",'02_Debt Engine'!$H$33,'02_Debt Engine'!$C$7)))</f>
        <v>489020.9366173594</v>
      </c>
      <c r="J148" s="328">
        <f>IF(J147&lt;=0,0,J147*IF(AND('02_Debt Engine'!$F$33="Yes",'02_Debt Engine'!$V$33&gt;0,J$4&gt;'02_Debt Engine'!$I$33),'02_Debt Engine'!$C$13,IF('02_Debt Engine'!$D$33="Active",'02_Debt Engine'!$H$33,'02_Debt Engine'!$C$7)))</f>
        <v>481883.35567509191</v>
      </c>
      <c r="K148" s="328">
        <f>IF(K147&lt;=0,0,K147*IF(AND('02_Debt Engine'!$F$33="Yes",'02_Debt Engine'!$V$33&gt;0,K$4&gt;'02_Debt Engine'!$I$33),'02_Debt Engine'!$C$13,IF('02_Debt Engine'!$D$33="Active",'02_Debt Engine'!$H$33,'02_Debt Engine'!$C$7)))</f>
        <v>474460.2714951337</v>
      </c>
      <c r="L148" s="328">
        <f>IF(L147&lt;=0,0,L147*IF(AND('02_Debt Engine'!$F$33="Yes",'02_Debt Engine'!$V$33&gt;0,L$4&gt;'02_Debt Engine'!$I$33),'02_Debt Engine'!$C$13,IF('02_Debt Engine'!$D$33="Active",'02_Debt Engine'!$H$33,'02_Debt Engine'!$C$7)))</f>
        <v>466740.26394797722</v>
      </c>
      <c r="M148" s="328">
        <f>IF(M147&lt;=0,0,M147*IF(AND('02_Debt Engine'!$F$33="Yes",'02_Debt Engine'!$V$33&gt;0,M$4&gt;'02_Debt Engine'!$I$33),'02_Debt Engine'!$C$13,IF('02_Debt Engine'!$D$33="Active",'02_Debt Engine'!$H$33,'02_Debt Engine'!$C$7)))</f>
        <v>458711.4560989344</v>
      </c>
      <c r="N148" s="328">
        <f>IF(N147&lt;=0,0,N147*IF(AND('02_Debt Engine'!$F$33="Yes",'02_Debt Engine'!$V$33&gt;0,N$4&gt;'02_Debt Engine'!$I$33),'02_Debt Engine'!$C$13,IF('02_Debt Engine'!$D$33="Active",'02_Debt Engine'!$H$33,'02_Debt Engine'!$C$7)))</f>
        <v>450361.49593592994</v>
      </c>
      <c r="O148" s="328">
        <f>IF(O147&lt;=0,0,O147*IF(AND('02_Debt Engine'!$F$33="Yes",'02_Debt Engine'!$V$33&gt;0,O$4&gt;'02_Debt Engine'!$I$33),'02_Debt Engine'!$C$13,IF('02_Debt Engine'!$D$33="Active",'02_Debt Engine'!$H$33,'02_Debt Engine'!$C$7)))</f>
        <v>441677.5373664053</v>
      </c>
      <c r="P148" s="328">
        <f>IF(P147&lt;=0,0,P147*IF(AND('02_Debt Engine'!$F$33="Yes",'02_Debt Engine'!$V$33&gt;0,P$4&gt;'02_Debt Engine'!$I$33),'02_Debt Engine'!$C$13,IF('02_Debt Engine'!$D$33="Active",'02_Debt Engine'!$H$33,'02_Debt Engine'!$C$7)))</f>
        <v>432646.22045409965</v>
      </c>
      <c r="Q148" s="328">
        <f>IF(Q147&lt;=0,0,Q147*IF(AND('02_Debt Engine'!$F$33="Yes",'02_Debt Engine'!$V$33&gt;0,Q$4&gt;'02_Debt Engine'!$I$33),'02_Debt Engine'!$C$13,IF('02_Debt Engine'!$D$33="Active",'02_Debt Engine'!$H$33,'02_Debt Engine'!$C$7)))</f>
        <v>423253.65086530178</v>
      </c>
      <c r="R148" s="328">
        <f>IF(R147&lt;=0,0,R147*IF(AND('02_Debt Engine'!$F$33="Yes",'02_Debt Engine'!$V$33&gt;0,R$4&gt;'02_Debt Engine'!$I$33),'02_Debt Engine'!$C$13,IF('02_Debt Engine'!$D$33="Active",'02_Debt Engine'!$H$33,'02_Debt Engine'!$C$7)))</f>
        <v>413485.37849295198</v>
      </c>
      <c r="S148" s="328">
        <f>IF(S147&lt;=0,0,S147*IF(AND('02_Debt Engine'!$F$33="Yes",'02_Debt Engine'!$V$33&gt;0,S$4&gt;'02_Debt Engine'!$I$33),'02_Debt Engine'!$C$13,IF('02_Debt Engine'!$D$33="Active",'02_Debt Engine'!$H$33,'02_Debt Engine'!$C$7)))</f>
        <v>403326.37522570818</v>
      </c>
      <c r="T148" s="328">
        <f>IF(T147&lt;=0,0,T147*IF(AND('02_Debt Engine'!$F$33="Yes",'02_Debt Engine'!$V$33&gt;0,T$4&gt;'02_Debt Engine'!$I$33),'02_Debt Engine'!$C$13,IF('02_Debt Engine'!$D$33="Active",'02_Debt Engine'!$H$33,'02_Debt Engine'!$C$7)))</f>
        <v>392761.01182777464</v>
      </c>
      <c r="U148" s="328">
        <f>IF(U147&lt;=0,0,U147*IF(AND('02_Debt Engine'!$F$33="Yes",'02_Debt Engine'!$V$33&gt;0,U$4&gt;'02_Debt Engine'!$I$33),'02_Debt Engine'!$C$13,IF('02_Debt Engine'!$D$33="Active",'02_Debt Engine'!$H$33,'02_Debt Engine'!$C$7)))</f>
        <v>381773.03389392374</v>
      </c>
      <c r="V148" s="328">
        <f>IF(V147&lt;=0,0,V147*IF(AND('02_Debt Engine'!$F$33="Yes",'02_Debt Engine'!$V$33&gt;0,V$4&gt;'02_Debt Engine'!$I$33),'02_Debt Engine'!$C$13,IF('02_Debt Engine'!$D$33="Active",'02_Debt Engine'!$H$33,'02_Debt Engine'!$C$7)))</f>
        <v>370345.5368427189</v>
      </c>
      <c r="W148" s="328">
        <f>IF(W147&lt;=0,0,W147*IF(AND('02_Debt Engine'!$F$33="Yes",'02_Debt Engine'!$V$33&gt;0,W$4&gt;'02_Debt Engine'!$I$33),'02_Debt Engine'!$C$13,IF('02_Debt Engine'!$D$33="Active",'02_Debt Engine'!$H$33,'02_Debt Engine'!$C$7)))</f>
        <v>358460.93990946579</v>
      </c>
    </row>
    <row r="149" spans="2:23">
      <c r="B149" s="13" t="s">
        <v>532</v>
      </c>
      <c r="C149" s="329">
        <f>IF(C147&lt;=0,0,MIN(C147,IF(AND('02_Debt Engine'!$F$33="Yes",'02_Debt Engine'!$V$33&gt;0,C$4&gt;'02_Debt Engine'!$I$33),'02_Debt Engine'!$W$33,IF('02_Debt Engine'!$D$33="Active",'02_Debt Engine'!$K$33,'02_Debt Engine'!$P$33))-C148))</f>
        <v>329761.60444150632</v>
      </c>
      <c r="D149" s="329">
        <f>IF(D147&lt;=0,0,MIN(D147,IF(AND('02_Debt Engine'!$F$33="Yes",'02_Debt Engine'!$V$33&gt;0,D$4&gt;'02_Debt Engine'!$I$33),'02_Debt Engine'!$W$33,IF('02_Debt Engine'!$D$33="Active",'02_Debt Engine'!$K$33,'02_Debt Engine'!$P$33))-D148))</f>
        <v>344600.87664137431</v>
      </c>
      <c r="E149" s="329">
        <f>IF(E147&lt;=0,0,MIN(E147,IF(AND('02_Debt Engine'!$F$33="Yes",'02_Debt Engine'!$V$33&gt;0,E$4&gt;'02_Debt Engine'!$I$33),'02_Debt Engine'!$W$33,IF('02_Debt Engine'!$D$33="Active",'02_Debt Engine'!$K$33,'02_Debt Engine'!$P$33))-E148))</f>
        <v>360107.91609023628</v>
      </c>
      <c r="F149" s="329">
        <f>IF(F147&lt;=0,0,MIN(F147,IF(AND('02_Debt Engine'!$F$33="Yes",'02_Debt Engine'!$V$33&gt;0,F$4&gt;'02_Debt Engine'!$I$33),'02_Debt Engine'!$W$33,IF('02_Debt Engine'!$D$33="Active",'02_Debt Engine'!$K$33,'02_Debt Engine'!$P$33))-F148))</f>
        <v>376312.7723142968</v>
      </c>
      <c r="G149" s="329">
        <f>IF(G147&lt;=0,0,MIN(G147,IF(AND('02_Debt Engine'!$F$33="Yes",'02_Debt Engine'!$V$33&gt;0,G$4&gt;'02_Debt Engine'!$I$33),'02_Debt Engine'!$W$33,IF('02_Debt Engine'!$D$33="Active",'02_Debt Engine'!$K$33,'02_Debt Engine'!$P$33))-G148))</f>
        <v>164977.37015226221</v>
      </c>
      <c r="H149" s="329">
        <f>IF(H147&lt;=0,0,MIN(H147,IF(AND('02_Debt Engine'!$F$33="Yes",'02_Debt Engine'!$V$33&gt;0,H$4&gt;'02_Debt Engine'!$I$33),'02_Debt Engine'!$W$33,IF('02_Debt Engine'!$D$33="Active",'02_Debt Engine'!$K$33,'02_Debt Engine'!$P$33))-H148))</f>
        <v>171576.46495835274</v>
      </c>
      <c r="I149" s="329">
        <f>IF(I147&lt;=0,0,MIN(I147,IF(AND('02_Debt Engine'!$F$33="Yes",'02_Debt Engine'!$V$33&gt;0,I$4&gt;'02_Debt Engine'!$I$33),'02_Debt Engine'!$W$33,IF('02_Debt Engine'!$D$33="Active",'02_Debt Engine'!$K$33,'02_Debt Engine'!$P$33))-I148))</f>
        <v>178439.52355668682</v>
      </c>
      <c r="J149" s="329">
        <f>IF(J147&lt;=0,0,MIN(J147,IF(AND('02_Debt Engine'!$F$33="Yes",'02_Debt Engine'!$V$33&gt;0,J$4&gt;'02_Debt Engine'!$I$33),'02_Debt Engine'!$W$33,IF('02_Debt Engine'!$D$33="Active",'02_Debt Engine'!$K$33,'02_Debt Engine'!$P$33))-J148))</f>
        <v>185577.10449895432</v>
      </c>
      <c r="K149" s="329">
        <f>IF(K147&lt;=0,0,MIN(K147,IF(AND('02_Debt Engine'!$F$33="Yes",'02_Debt Engine'!$V$33&gt;0,K$4&gt;'02_Debt Engine'!$I$33),'02_Debt Engine'!$W$33,IF('02_Debt Engine'!$D$33="Active",'02_Debt Engine'!$K$33,'02_Debt Engine'!$P$33))-K148))</f>
        <v>193000.18867891253</v>
      </c>
      <c r="L149" s="329">
        <f>IF(L147&lt;=0,0,MIN(L147,IF(AND('02_Debt Engine'!$F$33="Yes",'02_Debt Engine'!$V$33&gt;0,L$4&gt;'02_Debt Engine'!$I$33),'02_Debt Engine'!$W$33,IF('02_Debt Engine'!$D$33="Active",'02_Debt Engine'!$K$33,'02_Debt Engine'!$P$33))-L148))</f>
        <v>200720.19622606901</v>
      </c>
      <c r="M149" s="329">
        <f>IF(M147&lt;=0,0,MIN(M147,IF(AND('02_Debt Engine'!$F$33="Yes",'02_Debt Engine'!$V$33&gt;0,M$4&gt;'02_Debt Engine'!$I$33),'02_Debt Engine'!$W$33,IF('02_Debt Engine'!$D$33="Active",'02_Debt Engine'!$K$33,'02_Debt Engine'!$P$33))-M148))</f>
        <v>208749.00407511182</v>
      </c>
      <c r="N149" s="329">
        <f>IF(N147&lt;=0,0,MIN(N147,IF(AND('02_Debt Engine'!$F$33="Yes",'02_Debt Engine'!$V$33&gt;0,N$4&gt;'02_Debt Engine'!$I$33),'02_Debt Engine'!$W$33,IF('02_Debt Engine'!$D$33="Active",'02_Debt Engine'!$K$33,'02_Debt Engine'!$P$33))-N148))</f>
        <v>217098.96423811628</v>
      </c>
      <c r="O149" s="329">
        <f>IF(O147&lt;=0,0,MIN(O147,IF(AND('02_Debt Engine'!$F$33="Yes",'02_Debt Engine'!$V$33&gt;0,O$4&gt;'02_Debt Engine'!$I$33),'02_Debt Engine'!$W$33,IF('02_Debt Engine'!$D$33="Active",'02_Debt Engine'!$K$33,'02_Debt Engine'!$P$33))-O148))</f>
        <v>225782.92280764092</v>
      </c>
      <c r="P149" s="329">
        <f>IF(P147&lt;=0,0,MIN(P147,IF(AND('02_Debt Engine'!$F$33="Yes",'02_Debt Engine'!$V$33&gt;0,P$4&gt;'02_Debt Engine'!$I$33),'02_Debt Engine'!$W$33,IF('02_Debt Engine'!$D$33="Active",'02_Debt Engine'!$K$33,'02_Debt Engine'!$P$33))-P148))</f>
        <v>234814.23971994658</v>
      </c>
      <c r="Q149" s="329">
        <f>IF(Q147&lt;=0,0,MIN(Q147,IF(AND('02_Debt Engine'!$F$33="Yes",'02_Debt Engine'!$V$33&gt;0,Q$4&gt;'02_Debt Engine'!$I$33),'02_Debt Engine'!$W$33,IF('02_Debt Engine'!$D$33="Active",'02_Debt Engine'!$K$33,'02_Debt Engine'!$P$33))-Q148))</f>
        <v>244206.80930874444</v>
      </c>
      <c r="R149" s="329">
        <f>IF(R147&lt;=0,0,MIN(R147,IF(AND('02_Debt Engine'!$F$33="Yes",'02_Debt Engine'!$V$33&gt;0,R$4&gt;'02_Debt Engine'!$I$33),'02_Debt Engine'!$W$33,IF('02_Debt Engine'!$D$33="Active",'02_Debt Engine'!$K$33,'02_Debt Engine'!$P$33))-R148))</f>
        <v>253975.08168109425</v>
      </c>
      <c r="S149" s="329">
        <f>IF(S147&lt;=0,0,MIN(S147,IF(AND('02_Debt Engine'!$F$33="Yes",'02_Debt Engine'!$V$33&gt;0,S$4&gt;'02_Debt Engine'!$I$33),'02_Debt Engine'!$W$33,IF('02_Debt Engine'!$D$33="Active",'02_Debt Engine'!$K$33,'02_Debt Engine'!$P$33))-S148))</f>
        <v>264134.08494833804</v>
      </c>
      <c r="T149" s="329">
        <f>IF(T147&lt;=0,0,MIN(T147,IF(AND('02_Debt Engine'!$F$33="Yes",'02_Debt Engine'!$V$33&gt;0,T$4&gt;'02_Debt Engine'!$I$33),'02_Debt Engine'!$W$33,IF('02_Debt Engine'!$D$33="Active",'02_Debt Engine'!$K$33,'02_Debt Engine'!$P$33))-T148))</f>
        <v>274699.44834627159</v>
      </c>
      <c r="U149" s="329">
        <f>IF(U147&lt;=0,0,MIN(U147,IF(AND('02_Debt Engine'!$F$33="Yes",'02_Debt Engine'!$V$33&gt;0,U$4&gt;'02_Debt Engine'!$I$33),'02_Debt Engine'!$W$33,IF('02_Debt Engine'!$D$33="Active",'02_Debt Engine'!$K$33,'02_Debt Engine'!$P$33))-U148))</f>
        <v>285687.42628012248</v>
      </c>
      <c r="V149" s="329">
        <f>IF(V147&lt;=0,0,MIN(V147,IF(AND('02_Debt Engine'!$F$33="Yes",'02_Debt Engine'!$V$33&gt;0,V$4&gt;'02_Debt Engine'!$I$33),'02_Debt Engine'!$W$33,IF('02_Debt Engine'!$D$33="Active",'02_Debt Engine'!$K$33,'02_Debt Engine'!$P$33))-V148))</f>
        <v>297114.92333132733</v>
      </c>
      <c r="W149" s="329">
        <f>IF(W147&lt;=0,0,MIN(W147,IF(AND('02_Debt Engine'!$F$33="Yes",'02_Debt Engine'!$V$33&gt;0,W$4&gt;'02_Debt Engine'!$I$33),'02_Debt Engine'!$W$33,IF('02_Debt Engine'!$D$33="Active",'02_Debt Engine'!$K$33,'02_Debt Engine'!$P$33))-W148))</f>
        <v>308999.52026458044</v>
      </c>
    </row>
    <row r="150" spans="2:23">
      <c r="B150" s="14" t="s">
        <v>533</v>
      </c>
      <c r="C150" s="331">
        <f t="shared" ref="C150:W150" si="43">C147-C149</f>
        <v>36525238.395558491</v>
      </c>
      <c r="D150" s="331">
        <f t="shared" si="43"/>
        <v>36180637.518917114</v>
      </c>
      <c r="E150" s="331">
        <f t="shared" si="43"/>
        <v>35820529.602826878</v>
      </c>
      <c r="F150" s="331">
        <f t="shared" si="43"/>
        <v>35444216.830512583</v>
      </c>
      <c r="G150" s="331">
        <f t="shared" si="43"/>
        <v>12397099.880392337</v>
      </c>
      <c r="H150" s="331">
        <f t="shared" si="43"/>
        <v>12225523.415433984</v>
      </c>
      <c r="I150" s="331">
        <f t="shared" si="43"/>
        <v>12047083.891877297</v>
      </c>
      <c r="J150" s="331">
        <f t="shared" si="43"/>
        <v>11861506.787378343</v>
      </c>
      <c r="K150" s="331">
        <f t="shared" si="43"/>
        <v>11668506.59869943</v>
      </c>
      <c r="L150" s="331">
        <f t="shared" si="43"/>
        <v>11467786.40247336</v>
      </c>
      <c r="M150" s="331">
        <f t="shared" si="43"/>
        <v>11259037.398398248</v>
      </c>
      <c r="N150" s="331">
        <f t="shared" si="43"/>
        <v>11041938.434160132</v>
      </c>
      <c r="O150" s="331">
        <f t="shared" si="43"/>
        <v>10816155.511352491</v>
      </c>
      <c r="P150" s="331">
        <f t="shared" si="43"/>
        <v>10581341.271632545</v>
      </c>
      <c r="Q150" s="331">
        <f t="shared" si="43"/>
        <v>10337134.4623238</v>
      </c>
      <c r="R150" s="331">
        <f t="shared" si="43"/>
        <v>10083159.380642705</v>
      </c>
      <c r="S150" s="331">
        <f t="shared" si="43"/>
        <v>9819025.2956943661</v>
      </c>
      <c r="T150" s="331">
        <f t="shared" si="43"/>
        <v>9544325.847348094</v>
      </c>
      <c r="U150" s="331">
        <f t="shared" si="43"/>
        <v>9258638.4210679717</v>
      </c>
      <c r="V150" s="331">
        <f t="shared" si="43"/>
        <v>8961523.497736644</v>
      </c>
      <c r="W150" s="331">
        <f t="shared" si="43"/>
        <v>8652523.9774720632</v>
      </c>
    </row>
    <row r="151" spans="2:23">
      <c r="B151" s="3" t="s">
        <v>367</v>
      </c>
      <c r="C151" s="328">
        <f>IF(AND('02_Debt Engine'!$F$33="Yes",'02_Debt Engine'!$V$33&gt;0,C$4='02_Debt Engine'!$I$33),-C150,0)</f>
        <v>0</v>
      </c>
      <c r="D151" s="328">
        <f>IF(AND('02_Debt Engine'!$F$33="Yes",'02_Debt Engine'!$V$33&gt;0,D$4='02_Debt Engine'!$I$33),-D150,0)</f>
        <v>0</v>
      </c>
      <c r="E151" s="328">
        <f>IF(AND('02_Debt Engine'!$F$33="Yes",'02_Debt Engine'!$V$33&gt;0,E$4='02_Debt Engine'!$I$33),-E150,0)</f>
        <v>0</v>
      </c>
      <c r="F151" s="328">
        <f>IF(AND('02_Debt Engine'!$F$33="Yes",'02_Debt Engine'!$V$33&gt;0,F$4='02_Debt Engine'!$I$33),-F150,0)</f>
        <v>-35444216.830512583</v>
      </c>
      <c r="G151" s="328">
        <f>IF(AND('02_Debt Engine'!$F$33="Yes",'02_Debt Engine'!$V$33&gt;0,G$4='02_Debt Engine'!$I$33),-G150,0)</f>
        <v>0</v>
      </c>
      <c r="H151" s="328">
        <f>IF(AND('02_Debt Engine'!$F$33="Yes",'02_Debt Engine'!$V$33&gt;0,H$4='02_Debt Engine'!$I$33),-H150,0)</f>
        <v>0</v>
      </c>
      <c r="I151" s="328">
        <f>IF(AND('02_Debt Engine'!$F$33="Yes",'02_Debt Engine'!$V$33&gt;0,I$4='02_Debt Engine'!$I$33),-I150,0)</f>
        <v>0</v>
      </c>
      <c r="J151" s="328">
        <f>IF(AND('02_Debt Engine'!$F$33="Yes",'02_Debt Engine'!$V$33&gt;0,J$4='02_Debt Engine'!$I$33),-J150,0)</f>
        <v>0</v>
      </c>
      <c r="K151" s="328">
        <f>IF(AND('02_Debt Engine'!$F$33="Yes",'02_Debt Engine'!$V$33&gt;0,K$4='02_Debt Engine'!$I$33),-K150,0)</f>
        <v>0</v>
      </c>
      <c r="L151" s="328">
        <f>IF(AND('02_Debt Engine'!$F$33="Yes",'02_Debt Engine'!$V$33&gt;0,L$4='02_Debt Engine'!$I$33),-L150,0)</f>
        <v>0</v>
      </c>
      <c r="M151" s="328">
        <f>IF(AND('02_Debt Engine'!$F$33="Yes",'02_Debt Engine'!$V$33&gt;0,M$4='02_Debt Engine'!$I$33),-M150,0)</f>
        <v>0</v>
      </c>
      <c r="N151" s="328">
        <f>IF(AND('02_Debt Engine'!$F$33="Yes",'02_Debt Engine'!$V$33&gt;0,N$4='02_Debt Engine'!$I$33),-N150,0)</f>
        <v>0</v>
      </c>
      <c r="O151" s="328">
        <f>IF(AND('02_Debt Engine'!$F$33="Yes",'02_Debt Engine'!$V$33&gt;0,O$4='02_Debt Engine'!$I$33),-O150,0)</f>
        <v>0</v>
      </c>
      <c r="P151" s="328">
        <f>IF(AND('02_Debt Engine'!$F$33="Yes",'02_Debt Engine'!$V$33&gt;0,P$4='02_Debt Engine'!$I$33),-P150,0)</f>
        <v>0</v>
      </c>
      <c r="Q151" s="328">
        <f>IF(AND('02_Debt Engine'!$F$33="Yes",'02_Debt Engine'!$V$33&gt;0,Q$4='02_Debt Engine'!$I$33),-Q150,0)</f>
        <v>0</v>
      </c>
      <c r="R151" s="328">
        <f>IF(AND('02_Debt Engine'!$F$33="Yes",'02_Debt Engine'!$V$33&gt;0,R$4='02_Debt Engine'!$I$33),-R150,0)</f>
        <v>0</v>
      </c>
      <c r="S151" s="328">
        <f>IF(AND('02_Debt Engine'!$F$33="Yes",'02_Debt Engine'!$V$33&gt;0,S$4='02_Debt Engine'!$I$33),-S150,0)</f>
        <v>0</v>
      </c>
      <c r="T151" s="328">
        <f>IF(AND('02_Debt Engine'!$F$33="Yes",'02_Debt Engine'!$V$33&gt;0,T$4='02_Debt Engine'!$I$33),-T150,0)</f>
        <v>0</v>
      </c>
      <c r="U151" s="328">
        <f>IF(AND('02_Debt Engine'!$F$33="Yes",'02_Debt Engine'!$V$33&gt;0,U$4='02_Debt Engine'!$I$33),-U150,0)</f>
        <v>0</v>
      </c>
      <c r="V151" s="328">
        <f>IF(AND('02_Debt Engine'!$F$33="Yes",'02_Debt Engine'!$V$33&gt;0,V$4='02_Debt Engine'!$I$33),-V150,0)</f>
        <v>0</v>
      </c>
      <c r="W151" s="328">
        <f>IF(AND('02_Debt Engine'!$F$33="Yes",'02_Debt Engine'!$V$33&gt;0,W$4='02_Debt Engine'!$I$33),-W150,0)</f>
        <v>0</v>
      </c>
    </row>
    <row r="152" spans="2:23">
      <c r="B152" s="13" t="s">
        <v>534</v>
      </c>
      <c r="C152" s="329">
        <f>IF(AND('02_Debt Engine'!$F$33="Yes",'02_Debt Engine'!$V$33&gt;0,C$4='02_Debt Engine'!$I$33),'02_Debt Engine'!$V$33,0)</f>
        <v>0</v>
      </c>
      <c r="D152" s="329">
        <f>IF(AND('02_Debt Engine'!$F$33="Yes",'02_Debt Engine'!$V$33&gt;0,D$4='02_Debt Engine'!$I$33),'02_Debt Engine'!$V$33,0)</f>
        <v>0</v>
      </c>
      <c r="E152" s="329">
        <f>IF(AND('02_Debt Engine'!$F$33="Yes",'02_Debt Engine'!$V$33&gt;0,E$4='02_Debt Engine'!$I$33),'02_Debt Engine'!$V$33,0)</f>
        <v>0</v>
      </c>
      <c r="F152" s="329">
        <f>IF(AND('02_Debt Engine'!$F$33="Yes",'02_Debt Engine'!$V$33&gt;0,F$4='02_Debt Engine'!$I$33),'02_Debt Engine'!$V$33,0)</f>
        <v>12562077.2505446</v>
      </c>
      <c r="G152" s="329">
        <f>IF(AND('02_Debt Engine'!$F$33="Yes",'02_Debt Engine'!$V$33&gt;0,G$4='02_Debt Engine'!$I$33),'02_Debt Engine'!$V$33,0)</f>
        <v>0</v>
      </c>
      <c r="H152" s="329">
        <f>IF(AND('02_Debt Engine'!$F$33="Yes",'02_Debt Engine'!$V$33&gt;0,H$4='02_Debt Engine'!$I$33),'02_Debt Engine'!$V$33,0)</f>
        <v>0</v>
      </c>
      <c r="I152" s="329">
        <f>IF(AND('02_Debt Engine'!$F$33="Yes",'02_Debt Engine'!$V$33&gt;0,I$4='02_Debt Engine'!$I$33),'02_Debt Engine'!$V$33,0)</f>
        <v>0</v>
      </c>
      <c r="J152" s="329">
        <f>IF(AND('02_Debt Engine'!$F$33="Yes",'02_Debt Engine'!$V$33&gt;0,J$4='02_Debt Engine'!$I$33),'02_Debt Engine'!$V$33,0)</f>
        <v>0</v>
      </c>
      <c r="K152" s="329">
        <f>IF(AND('02_Debt Engine'!$F$33="Yes",'02_Debt Engine'!$V$33&gt;0,K$4='02_Debt Engine'!$I$33),'02_Debt Engine'!$V$33,0)</f>
        <v>0</v>
      </c>
      <c r="L152" s="329">
        <f>IF(AND('02_Debt Engine'!$F$33="Yes",'02_Debt Engine'!$V$33&gt;0,L$4='02_Debt Engine'!$I$33),'02_Debt Engine'!$V$33,0)</f>
        <v>0</v>
      </c>
      <c r="M152" s="329">
        <f>IF(AND('02_Debt Engine'!$F$33="Yes",'02_Debt Engine'!$V$33&gt;0,M$4='02_Debt Engine'!$I$33),'02_Debt Engine'!$V$33,0)</f>
        <v>0</v>
      </c>
      <c r="N152" s="329">
        <f>IF(AND('02_Debt Engine'!$F$33="Yes",'02_Debt Engine'!$V$33&gt;0,N$4='02_Debt Engine'!$I$33),'02_Debt Engine'!$V$33,0)</f>
        <v>0</v>
      </c>
      <c r="O152" s="329">
        <f>IF(AND('02_Debt Engine'!$F$33="Yes",'02_Debt Engine'!$V$33&gt;0,O$4='02_Debt Engine'!$I$33),'02_Debt Engine'!$V$33,0)</f>
        <v>0</v>
      </c>
      <c r="P152" s="329">
        <f>IF(AND('02_Debt Engine'!$F$33="Yes",'02_Debt Engine'!$V$33&gt;0,P$4='02_Debt Engine'!$I$33),'02_Debt Engine'!$V$33,0)</f>
        <v>0</v>
      </c>
      <c r="Q152" s="329">
        <f>IF(AND('02_Debt Engine'!$F$33="Yes",'02_Debt Engine'!$V$33&gt;0,Q$4='02_Debt Engine'!$I$33),'02_Debt Engine'!$V$33,0)</f>
        <v>0</v>
      </c>
      <c r="R152" s="329">
        <f>IF(AND('02_Debt Engine'!$F$33="Yes",'02_Debt Engine'!$V$33&gt;0,R$4='02_Debt Engine'!$I$33),'02_Debt Engine'!$V$33,0)</f>
        <v>0</v>
      </c>
      <c r="S152" s="329">
        <f>IF(AND('02_Debt Engine'!$F$33="Yes",'02_Debt Engine'!$V$33&gt;0,S$4='02_Debt Engine'!$I$33),'02_Debt Engine'!$V$33,0)</f>
        <v>0</v>
      </c>
      <c r="T152" s="329">
        <f>IF(AND('02_Debt Engine'!$F$33="Yes",'02_Debt Engine'!$V$33&gt;0,T$4='02_Debt Engine'!$I$33),'02_Debt Engine'!$V$33,0)</f>
        <v>0</v>
      </c>
      <c r="U152" s="329">
        <f>IF(AND('02_Debt Engine'!$F$33="Yes",'02_Debt Engine'!$V$33&gt;0,U$4='02_Debt Engine'!$I$33),'02_Debt Engine'!$V$33,0)</f>
        <v>0</v>
      </c>
      <c r="V152" s="329">
        <f>IF(AND('02_Debt Engine'!$F$33="Yes",'02_Debt Engine'!$V$33&gt;0,V$4='02_Debt Engine'!$I$33),'02_Debt Engine'!$V$33,0)</f>
        <v>0</v>
      </c>
      <c r="W152" s="329">
        <f>IF(AND('02_Debt Engine'!$F$33="Yes",'02_Debt Engine'!$V$33&gt;0,W$4='02_Debt Engine'!$I$33),'02_Debt Engine'!$V$33,0)</f>
        <v>0</v>
      </c>
    </row>
    <row r="153" spans="2:23">
      <c r="B153" s="3" t="s">
        <v>535</v>
      </c>
      <c r="C153" s="330">
        <f t="shared" ref="C153:W153" si="44">C151+C152</f>
        <v>0</v>
      </c>
      <c r="D153" s="330">
        <f t="shared" si="44"/>
        <v>0</v>
      </c>
      <c r="E153" s="330">
        <f t="shared" si="44"/>
        <v>0</v>
      </c>
      <c r="F153" s="330">
        <f t="shared" si="44"/>
        <v>-22882139.579967983</v>
      </c>
      <c r="G153" s="330">
        <f t="shared" si="44"/>
        <v>0</v>
      </c>
      <c r="H153" s="330">
        <f t="shared" si="44"/>
        <v>0</v>
      </c>
      <c r="I153" s="330">
        <f t="shared" si="44"/>
        <v>0</v>
      </c>
      <c r="J153" s="330">
        <f t="shared" si="44"/>
        <v>0</v>
      </c>
      <c r="K153" s="330">
        <f t="shared" si="44"/>
        <v>0</v>
      </c>
      <c r="L153" s="330">
        <f t="shared" si="44"/>
        <v>0</v>
      </c>
      <c r="M153" s="330">
        <f t="shared" si="44"/>
        <v>0</v>
      </c>
      <c r="N153" s="330">
        <f t="shared" si="44"/>
        <v>0</v>
      </c>
      <c r="O153" s="330">
        <f t="shared" si="44"/>
        <v>0</v>
      </c>
      <c r="P153" s="330">
        <f t="shared" si="44"/>
        <v>0</v>
      </c>
      <c r="Q153" s="330">
        <f t="shared" si="44"/>
        <v>0</v>
      </c>
      <c r="R153" s="330">
        <f t="shared" si="44"/>
        <v>0</v>
      </c>
      <c r="S153" s="330">
        <f t="shared" si="44"/>
        <v>0</v>
      </c>
      <c r="T153" s="330">
        <f t="shared" si="44"/>
        <v>0</v>
      </c>
      <c r="U153" s="330">
        <f t="shared" si="44"/>
        <v>0</v>
      </c>
      <c r="V153" s="330">
        <f t="shared" si="44"/>
        <v>0</v>
      </c>
      <c r="W153" s="330">
        <f t="shared" si="44"/>
        <v>0</v>
      </c>
    </row>
    <row r="154" spans="2:23">
      <c r="B154" s="14" t="s">
        <v>525</v>
      </c>
      <c r="C154" s="328">
        <f t="shared" ref="C154:W154" si="45">C148+C149</f>
        <v>1988236.6044415063</v>
      </c>
      <c r="D154" s="328">
        <f t="shared" si="45"/>
        <v>1988236.6044415063</v>
      </c>
      <c r="E154" s="328">
        <f t="shared" si="45"/>
        <v>1988236.6044415063</v>
      </c>
      <c r="F154" s="328">
        <f t="shared" si="45"/>
        <v>1988236.6044415063</v>
      </c>
      <c r="G154" s="328">
        <f t="shared" si="45"/>
        <v>667460.46017404622</v>
      </c>
      <c r="H154" s="328">
        <f t="shared" si="45"/>
        <v>667460.46017404622</v>
      </c>
      <c r="I154" s="328">
        <f t="shared" si="45"/>
        <v>667460.46017404622</v>
      </c>
      <c r="J154" s="328">
        <f t="shared" si="45"/>
        <v>667460.46017404622</v>
      </c>
      <c r="K154" s="328">
        <f t="shared" si="45"/>
        <v>667460.46017404622</v>
      </c>
      <c r="L154" s="328">
        <f t="shared" si="45"/>
        <v>667460.46017404622</v>
      </c>
      <c r="M154" s="328">
        <f t="shared" si="45"/>
        <v>667460.46017404622</v>
      </c>
      <c r="N154" s="328">
        <f t="shared" si="45"/>
        <v>667460.46017404622</v>
      </c>
      <c r="O154" s="328">
        <f t="shared" si="45"/>
        <v>667460.46017404622</v>
      </c>
      <c r="P154" s="328">
        <f t="shared" si="45"/>
        <v>667460.46017404622</v>
      </c>
      <c r="Q154" s="328">
        <f t="shared" si="45"/>
        <v>667460.46017404622</v>
      </c>
      <c r="R154" s="328">
        <f t="shared" si="45"/>
        <v>667460.46017404622</v>
      </c>
      <c r="S154" s="328">
        <f t="shared" si="45"/>
        <v>667460.46017404622</v>
      </c>
      <c r="T154" s="328">
        <f t="shared" si="45"/>
        <v>667460.46017404622</v>
      </c>
      <c r="U154" s="328">
        <f t="shared" si="45"/>
        <v>667460.46017404622</v>
      </c>
      <c r="V154" s="328">
        <f t="shared" si="45"/>
        <v>667460.46017404622</v>
      </c>
      <c r="W154" s="328">
        <f t="shared" si="45"/>
        <v>667460.46017404622</v>
      </c>
    </row>
    <row r="156" spans="2:23">
      <c r="B156" s="327" t="str">
        <f>'02_Debt Engine'!$B$34</f>
        <v>The Creek, Port Moody</v>
      </c>
      <c r="C156" s="327" t="str">
        <f>_xlfn.LET(_xlpm.refiyr,INDEX('02_Debt Engine'!$I$19:$I$35,MATCH('02A_Debt Schedule'!$B156,'02_Debt Engine'!$B$19:$B$35,0)),IF(_xlpm.refiyr='02A_Debt Schedule'!C$4,"Refi Yr.",""))</f>
        <v/>
      </c>
      <c r="D156" s="327" t="str">
        <f>_xlfn.LET(_xlpm.refiyr,INDEX('02_Debt Engine'!$I$19:$I$35,MATCH('02A_Debt Schedule'!$B156,'02_Debt Engine'!$B$19:$B$35,0)),IF(_xlpm.refiyr='02A_Debt Schedule'!D$4,"Refi Yr.",""))</f>
        <v/>
      </c>
      <c r="E156" s="327" t="str">
        <f>_xlfn.LET(_xlpm.refiyr,INDEX('02_Debt Engine'!$I$19:$I$35,MATCH('02A_Debt Schedule'!$B156,'02_Debt Engine'!$B$19:$B$35,0)),IF(_xlpm.refiyr='02A_Debt Schedule'!E$4,"Refi Yr.",""))</f>
        <v>Refi Yr.</v>
      </c>
      <c r="F156" s="327" t="str">
        <f>_xlfn.LET(_xlpm.refiyr,INDEX('02_Debt Engine'!$I$19:$I$35,MATCH('02A_Debt Schedule'!$B156,'02_Debt Engine'!$B$19:$B$35,0)),IF(_xlpm.refiyr='02A_Debt Schedule'!F$4,"Refi Yr.",""))</f>
        <v/>
      </c>
      <c r="G156" s="327" t="str">
        <f>_xlfn.LET(_xlpm.refiyr,INDEX('02_Debt Engine'!$I$19:$I$35,MATCH('02A_Debt Schedule'!$B156,'02_Debt Engine'!$B$19:$B$35,0)),IF(_xlpm.refiyr='02A_Debt Schedule'!G$4,"Refi Yr.",""))</f>
        <v/>
      </c>
      <c r="H156" s="327" t="str">
        <f>_xlfn.LET(_xlpm.refiyr,INDEX('02_Debt Engine'!$I$19:$I$35,MATCH('02A_Debt Schedule'!$B156,'02_Debt Engine'!$B$19:$B$35,0)),IF(_xlpm.refiyr='02A_Debt Schedule'!H$4,"Refi Yr.",""))</f>
        <v/>
      </c>
      <c r="I156" s="327" t="str">
        <f>_xlfn.LET(_xlpm.refiyr,INDEX('02_Debt Engine'!$I$19:$I$35,MATCH('02A_Debt Schedule'!$B156,'02_Debt Engine'!$B$19:$B$35,0)),IF(_xlpm.refiyr='02A_Debt Schedule'!I$4,"Refi Yr.",""))</f>
        <v/>
      </c>
      <c r="J156" s="327" t="str">
        <f>_xlfn.LET(_xlpm.refiyr,INDEX('02_Debt Engine'!$I$19:$I$35,MATCH('02A_Debt Schedule'!$B156,'02_Debt Engine'!$B$19:$B$35,0)),IF(_xlpm.refiyr='02A_Debt Schedule'!J$4,"Refi Yr.",""))</f>
        <v/>
      </c>
      <c r="K156" s="327" t="str">
        <f>_xlfn.LET(_xlpm.refiyr,INDEX('02_Debt Engine'!$I$19:$I$35,MATCH('02A_Debt Schedule'!$B156,'02_Debt Engine'!$B$19:$B$35,0)),IF(_xlpm.refiyr='02A_Debt Schedule'!K$4,"Refi Yr.",""))</f>
        <v/>
      </c>
      <c r="L156" s="327" t="str">
        <f>_xlfn.LET(_xlpm.refiyr,INDEX('02_Debt Engine'!$I$19:$I$35,MATCH('02A_Debt Schedule'!$B156,'02_Debt Engine'!$B$19:$B$35,0)),IF(_xlpm.refiyr='02A_Debt Schedule'!L$4,"Refi Yr.",""))</f>
        <v/>
      </c>
      <c r="M156" s="327" t="str">
        <f>_xlfn.LET(_xlpm.refiyr,INDEX('02_Debt Engine'!$I$19:$I$35,MATCH('02A_Debt Schedule'!$B156,'02_Debt Engine'!$B$19:$B$35,0)),IF(_xlpm.refiyr='02A_Debt Schedule'!M$4,"Refi Yr.",""))</f>
        <v/>
      </c>
      <c r="N156" s="327" t="str">
        <f>_xlfn.LET(_xlpm.refiyr,INDEX('02_Debt Engine'!$I$19:$I$35,MATCH('02A_Debt Schedule'!$B156,'02_Debt Engine'!$B$19:$B$35,0)),IF(_xlpm.refiyr='02A_Debt Schedule'!N$4,"Refi Yr.",""))</f>
        <v/>
      </c>
      <c r="O156" s="327" t="str">
        <f>_xlfn.LET(_xlpm.refiyr,INDEX('02_Debt Engine'!$I$19:$I$35,MATCH('02A_Debt Schedule'!$B156,'02_Debt Engine'!$B$19:$B$35,0)),IF(_xlpm.refiyr='02A_Debt Schedule'!O$4,"Refi Yr.",""))</f>
        <v/>
      </c>
      <c r="P156" s="327" t="str">
        <f>_xlfn.LET(_xlpm.refiyr,INDEX('02_Debt Engine'!$I$19:$I$35,MATCH('02A_Debt Schedule'!$B156,'02_Debt Engine'!$B$19:$B$35,0)),IF(_xlpm.refiyr='02A_Debt Schedule'!P$4,"Refi Yr.",""))</f>
        <v/>
      </c>
      <c r="Q156" s="327" t="str">
        <f>_xlfn.LET(_xlpm.refiyr,INDEX('02_Debt Engine'!$I$19:$I$35,MATCH('02A_Debt Schedule'!$B156,'02_Debt Engine'!$B$19:$B$35,0)),IF(_xlpm.refiyr='02A_Debt Schedule'!Q$4,"Refi Yr.",""))</f>
        <v/>
      </c>
      <c r="R156" s="327" t="str">
        <f>_xlfn.LET(_xlpm.refiyr,INDEX('02_Debt Engine'!$I$19:$I$35,MATCH('02A_Debt Schedule'!$B156,'02_Debt Engine'!$B$19:$B$35,0)),IF(_xlpm.refiyr='02A_Debt Schedule'!R$4,"Refi Yr.",""))</f>
        <v/>
      </c>
      <c r="S156" s="327" t="str">
        <f>_xlfn.LET(_xlpm.refiyr,INDEX('02_Debt Engine'!$I$19:$I$35,MATCH('02A_Debt Schedule'!$B156,'02_Debt Engine'!$B$19:$B$35,0)),IF(_xlpm.refiyr='02A_Debt Schedule'!S$4,"Refi Yr.",""))</f>
        <v/>
      </c>
      <c r="T156" s="327" t="str">
        <f>_xlfn.LET(_xlpm.refiyr,INDEX('02_Debt Engine'!$I$19:$I$35,MATCH('02A_Debt Schedule'!$B156,'02_Debt Engine'!$B$19:$B$35,0)),IF(_xlpm.refiyr='02A_Debt Schedule'!T$4,"Refi Yr.",""))</f>
        <v/>
      </c>
      <c r="U156" s="327" t="str">
        <f>_xlfn.LET(_xlpm.refiyr,INDEX('02_Debt Engine'!$I$19:$I$35,MATCH('02A_Debt Schedule'!$B156,'02_Debt Engine'!$B$19:$B$35,0)),IF(_xlpm.refiyr='02A_Debt Schedule'!U$4,"Refi Yr.",""))</f>
        <v/>
      </c>
      <c r="V156" s="327" t="str">
        <f>_xlfn.LET(_xlpm.refiyr,INDEX('02_Debt Engine'!$I$19:$I$35,MATCH('02A_Debt Schedule'!$B156,'02_Debt Engine'!$B$19:$B$35,0)),IF(_xlpm.refiyr='02A_Debt Schedule'!V$4,"Refi Yr.",""))</f>
        <v/>
      </c>
      <c r="W156" s="327" t="str">
        <f>_xlfn.LET(_xlpm.refiyr,INDEX('02_Debt Engine'!$I$19:$I$35,MATCH('02A_Debt Schedule'!$B156,'02_Debt Engine'!$B$19:$B$35,0)),IF(_xlpm.refiyr='02A_Debt Schedule'!W$4,"Refi Yr.",""))</f>
        <v/>
      </c>
    </row>
    <row r="157" spans="2:23">
      <c r="B157" s="3" t="s">
        <v>531</v>
      </c>
      <c r="C157" s="328">
        <f>IF('02_Debt Engine'!$D$34="Active",'02_Debt Engine'!$N$34,'02_Debt Engine'!$O$34)</f>
        <v>132840000</v>
      </c>
      <c r="D157" s="328">
        <f>IF(AND('02_Debt Engine'!$F$34="Yes",'02_Debt Engine'!$V$34&gt;0,C$4='02_Debt Engine'!$I$34),'02_Debt Engine'!$V$34,C160)</f>
        <v>131651408.7224526</v>
      </c>
      <c r="E157" s="328">
        <f>IF(AND('02_Debt Engine'!$F$34="Yes",'02_Debt Engine'!$V$34&gt;0,D$4='02_Debt Engine'!$I$34),'02_Debt Engine'!$V$34,D160)</f>
        <v>130409330.83741556</v>
      </c>
      <c r="F157" s="328">
        <f>IF(AND('02_Debt Engine'!$F$34="Yes",'02_Debt Engine'!$V$34&gt;0,E$4='02_Debt Engine'!$I$34),'02_Debt Engine'!$V$34,E160)</f>
        <v>58663640.484426588</v>
      </c>
      <c r="G157" s="328">
        <f>IF(AND('02_Debt Engine'!$F$34="Yes",'02_Debt Engine'!$V$34&gt;0,F$4='02_Debt Engine'!$I$34),'02_Debt Engine'!$V$34,F160)</f>
        <v>57893212.716976032</v>
      </c>
      <c r="H157" s="328">
        <f>IF(AND('02_Debt Engine'!$F$34="Yes",'02_Debt Engine'!$V$34&gt;0,G$4='02_Debt Engine'!$I$34),'02_Debt Engine'!$V$34,G160)</f>
        <v>57091967.838827454</v>
      </c>
      <c r="I157" s="328">
        <f>IF(AND('02_Debt Engine'!$F$34="Yes",'02_Debt Engine'!$V$34&gt;0,H$4='02_Debt Engine'!$I$34),'02_Debt Engine'!$V$34,H160)</f>
        <v>56258673.165552936</v>
      </c>
      <c r="J157" s="328">
        <f>IF(AND('02_Debt Engine'!$F$34="Yes",'02_Debt Engine'!$V$34&gt;0,I$4='02_Debt Engine'!$I$34),'02_Debt Engine'!$V$34,I160)</f>
        <v>55392046.705347434</v>
      </c>
      <c r="K157" s="328">
        <f>IF(AND('02_Debt Engine'!$F$34="Yes",'02_Debt Engine'!$V$34&gt;0,J$4='02_Debt Engine'!$I$34),'02_Debt Engine'!$V$34,J160)</f>
        <v>54490755.186733715</v>
      </c>
      <c r="L157" s="328">
        <f>IF(AND('02_Debt Engine'!$F$34="Yes",'02_Debt Engine'!$V$34&gt;0,K$4='02_Debt Engine'!$I$34),'02_Debt Engine'!$V$34,K160)</f>
        <v>53553412.007375449</v>
      </c>
      <c r="M157" s="328">
        <f>IF(AND('02_Debt Engine'!$F$34="Yes",'02_Debt Engine'!$V$34&gt;0,L$4='02_Debt Engine'!$I$34),'02_Debt Engine'!$V$34,L160)</f>
        <v>52578575.100842848</v>
      </c>
      <c r="N157" s="328">
        <f>IF(AND('02_Debt Engine'!$F$34="Yes",'02_Debt Engine'!$V$34&gt;0,M$4='02_Debt Engine'!$I$34),'02_Debt Engine'!$V$34,M160)</f>
        <v>51564744.718048945</v>
      </c>
      <c r="O157" s="328">
        <f>IF(AND('02_Debt Engine'!$F$34="Yes",'02_Debt Engine'!$V$34&gt;0,N$4='02_Debt Engine'!$I$34),'02_Debt Engine'!$V$34,N160)</f>
        <v>50510361.119943283</v>
      </c>
      <c r="P157" s="328">
        <f>IF(AND('02_Debt Engine'!$F$34="Yes",'02_Debt Engine'!$V$34&gt;0,O$4='02_Debt Engine'!$I$34),'02_Debt Engine'!$V$34,O160)</f>
        <v>49413802.177913398</v>
      </c>
      <c r="Q157" s="328">
        <f>IF(AND('02_Debt Engine'!$F$34="Yes",'02_Debt Engine'!$V$34&gt;0,P$4='02_Debt Engine'!$I$34),'02_Debt Engine'!$V$34,P160)</f>
        <v>48273380.878202319</v>
      </c>
      <c r="R157" s="328">
        <f>IF(AND('02_Debt Engine'!$F$34="Yes",'02_Debt Engine'!$V$34&gt;0,Q$4='02_Debt Engine'!$I$34),'02_Debt Engine'!$V$34,Q160)</f>
        <v>47087342.726502791</v>
      </c>
      <c r="S157" s="328">
        <f>IF(AND('02_Debt Engine'!$F$34="Yes",'02_Debt Engine'!$V$34&gt;0,R$4='02_Debt Engine'!$I$34),'02_Debt Engine'!$V$34,R160)</f>
        <v>45853863.048735283</v>
      </c>
      <c r="T157" s="328">
        <f>IF(AND('02_Debt Engine'!$F$34="Yes",'02_Debt Engine'!$V$34&gt;0,S$4='02_Debt Engine'!$I$34),'02_Debt Engine'!$V$34,S160)</f>
        <v>44571044.183857076</v>
      </c>
      <c r="U157" s="328">
        <f>IF(AND('02_Debt Engine'!$F$34="Yes",'02_Debt Engine'!$V$34&gt;0,T$4='02_Debt Engine'!$I$34),'02_Debt Engine'!$V$34,T160)</f>
        <v>43236912.564383738</v>
      </c>
      <c r="V157" s="328">
        <f>IF(AND('02_Debt Engine'!$F$34="Yes",'02_Debt Engine'!$V$34&gt;0,U$4='02_Debt Engine'!$I$34),'02_Debt Engine'!$V$34,U160)</f>
        <v>41849415.680131473</v>
      </c>
      <c r="W157" s="328">
        <f>IF(AND('02_Debt Engine'!$F$34="Yes",'02_Debt Engine'!$V$34&gt;0,V$4='02_Debt Engine'!$I$34),'02_Debt Engine'!$V$34,V160)</f>
        <v>40406418.920509115</v>
      </c>
    </row>
    <row r="158" spans="2:23">
      <c r="B158" s="3" t="s">
        <v>514</v>
      </c>
      <c r="C158" s="328">
        <f>IF(C157&lt;=0,0,C157*IF(AND('02_Debt Engine'!$F$34="Yes",'02_Debt Engine'!$V$34&gt;0,C$4&gt;'02_Debt Engine'!$I$34),'02_Debt Engine'!$C$13,IF('02_Debt Engine'!$D$34="Active",'02_Debt Engine'!$H$34,'02_Debt Engine'!$C$7)))</f>
        <v>5977800</v>
      </c>
      <c r="D158" s="328">
        <f>IF(D157&lt;=0,0,D157*IF(AND('02_Debt Engine'!$F$34="Yes",'02_Debt Engine'!$V$34&gt;0,D$4&gt;'02_Debt Engine'!$I$34),'02_Debt Engine'!$C$13,IF('02_Debt Engine'!$D$34="Active",'02_Debt Engine'!$H$34,'02_Debt Engine'!$C$7)))</f>
        <v>5924313.3925103666</v>
      </c>
      <c r="E158" s="328">
        <f>IF(E157&lt;=0,0,E157*IF(AND('02_Debt Engine'!$F$34="Yes",'02_Debt Engine'!$V$34&gt;0,E$4&gt;'02_Debt Engine'!$I$34),'02_Debt Engine'!$C$13,IF('02_Debt Engine'!$D$34="Active",'02_Debt Engine'!$H$34,'02_Debt Engine'!$C$7)))</f>
        <v>5868419.8876836998</v>
      </c>
      <c r="F158" s="328">
        <f>IF(F157&lt;=0,0,F157*IF(AND('02_Debt Engine'!$F$34="Yes",'02_Debt Engine'!$V$34&gt;0,F$4&gt;'02_Debt Engine'!$I$34),'02_Debt Engine'!$C$13,IF('02_Debt Engine'!$D$34="Active",'02_Debt Engine'!$H$34,'02_Debt Engine'!$C$7)))</f>
        <v>2346545.6193770636</v>
      </c>
      <c r="G158" s="328">
        <f>IF(G157&lt;=0,0,G157*IF(AND('02_Debt Engine'!$F$34="Yes",'02_Debt Engine'!$V$34&gt;0,G$4&gt;'02_Debt Engine'!$I$34),'02_Debt Engine'!$C$13,IF('02_Debt Engine'!$D$34="Active",'02_Debt Engine'!$H$34,'02_Debt Engine'!$C$7)))</f>
        <v>2315728.5086790412</v>
      </c>
      <c r="H158" s="328">
        <f>IF(H157&lt;=0,0,H157*IF(AND('02_Debt Engine'!$F$34="Yes",'02_Debt Engine'!$V$34&gt;0,H$4&gt;'02_Debt Engine'!$I$34),'02_Debt Engine'!$C$13,IF('02_Debt Engine'!$D$34="Active",'02_Debt Engine'!$H$34,'02_Debt Engine'!$C$7)))</f>
        <v>2283678.713553098</v>
      </c>
      <c r="I158" s="328">
        <f>IF(I157&lt;=0,0,I157*IF(AND('02_Debt Engine'!$F$34="Yes",'02_Debt Engine'!$V$34&gt;0,I$4&gt;'02_Debt Engine'!$I$34),'02_Debt Engine'!$C$13,IF('02_Debt Engine'!$D$34="Active",'02_Debt Engine'!$H$34,'02_Debt Engine'!$C$7)))</f>
        <v>2250346.9266221174</v>
      </c>
      <c r="J158" s="328">
        <f>IF(J157&lt;=0,0,J157*IF(AND('02_Debt Engine'!$F$34="Yes",'02_Debt Engine'!$V$34&gt;0,J$4&gt;'02_Debt Engine'!$I$34),'02_Debt Engine'!$C$13,IF('02_Debt Engine'!$D$34="Active",'02_Debt Engine'!$H$34,'02_Debt Engine'!$C$7)))</f>
        <v>2215681.8682138976</v>
      </c>
      <c r="K158" s="328">
        <f>IF(K157&lt;=0,0,K157*IF(AND('02_Debt Engine'!$F$34="Yes",'02_Debt Engine'!$V$34&gt;0,K$4&gt;'02_Debt Engine'!$I$34),'02_Debt Engine'!$C$13,IF('02_Debt Engine'!$D$34="Active",'02_Debt Engine'!$H$34,'02_Debt Engine'!$C$7)))</f>
        <v>2179630.2074693488</v>
      </c>
      <c r="L158" s="328">
        <f>IF(L157&lt;=0,0,L157*IF(AND('02_Debt Engine'!$F$34="Yes",'02_Debt Engine'!$V$34&gt;0,L$4&gt;'02_Debt Engine'!$I$34),'02_Debt Engine'!$C$13,IF('02_Debt Engine'!$D$34="Active",'02_Debt Engine'!$H$34,'02_Debt Engine'!$C$7)))</f>
        <v>2142136.4802950178</v>
      </c>
      <c r="M158" s="328">
        <f>IF(M157&lt;=0,0,M157*IF(AND('02_Debt Engine'!$F$34="Yes",'02_Debt Engine'!$V$34&gt;0,M$4&gt;'02_Debt Engine'!$I$34),'02_Debt Engine'!$C$13,IF('02_Debt Engine'!$D$34="Active",'02_Debt Engine'!$H$34,'02_Debt Engine'!$C$7)))</f>
        <v>2103143.0040337141</v>
      </c>
      <c r="N158" s="328">
        <f>IF(N157&lt;=0,0,N157*IF(AND('02_Debt Engine'!$F$34="Yes",'02_Debt Engine'!$V$34&gt;0,N$4&gt;'02_Debt Engine'!$I$34),'02_Debt Engine'!$C$13,IF('02_Debt Engine'!$D$34="Active",'02_Debt Engine'!$H$34,'02_Debt Engine'!$C$7)))</f>
        <v>2062589.7887219579</v>
      </c>
      <c r="O158" s="328">
        <f>IF(O157&lt;=0,0,O157*IF(AND('02_Debt Engine'!$F$34="Yes",'02_Debt Engine'!$V$34&gt;0,O$4&gt;'02_Debt Engine'!$I$34),'02_Debt Engine'!$C$13,IF('02_Debt Engine'!$D$34="Active",'02_Debt Engine'!$H$34,'02_Debt Engine'!$C$7)))</f>
        <v>2020414.4447977315</v>
      </c>
      <c r="P158" s="328">
        <f>IF(P157&lt;=0,0,P157*IF(AND('02_Debt Engine'!$F$34="Yes",'02_Debt Engine'!$V$34&gt;0,P$4&gt;'02_Debt Engine'!$I$34),'02_Debt Engine'!$C$13,IF('02_Debt Engine'!$D$34="Active",'02_Debt Engine'!$H$34,'02_Debt Engine'!$C$7)))</f>
        <v>1976552.087116536</v>
      </c>
      <c r="Q158" s="328">
        <f>IF(Q157&lt;=0,0,Q157*IF(AND('02_Debt Engine'!$F$34="Yes",'02_Debt Engine'!$V$34&gt;0,Q$4&gt;'02_Debt Engine'!$I$34),'02_Debt Engine'!$C$13,IF('02_Debt Engine'!$D$34="Active",'02_Debt Engine'!$H$34,'02_Debt Engine'!$C$7)))</f>
        <v>1930935.2351280928</v>
      </c>
      <c r="R158" s="328">
        <f>IF(R157&lt;=0,0,R157*IF(AND('02_Debt Engine'!$F$34="Yes",'02_Debt Engine'!$V$34&gt;0,R$4&gt;'02_Debt Engine'!$I$34),'02_Debt Engine'!$C$13,IF('02_Debt Engine'!$D$34="Active",'02_Debt Engine'!$H$34,'02_Debt Engine'!$C$7)))</f>
        <v>1883493.7090601118</v>
      </c>
      <c r="S158" s="328">
        <f>IF(S157&lt;=0,0,S157*IF(AND('02_Debt Engine'!$F$34="Yes",'02_Debt Engine'!$V$34&gt;0,S$4&gt;'02_Debt Engine'!$I$34),'02_Debt Engine'!$C$13,IF('02_Debt Engine'!$D$34="Active",'02_Debt Engine'!$H$34,'02_Debt Engine'!$C$7)))</f>
        <v>1834154.5219494114</v>
      </c>
      <c r="T158" s="328">
        <f>IF(T157&lt;=0,0,T157*IF(AND('02_Debt Engine'!$F$34="Yes",'02_Debt Engine'!$V$34&gt;0,T$4&gt;'02_Debt Engine'!$I$34),'02_Debt Engine'!$C$13,IF('02_Debt Engine'!$D$34="Active",'02_Debt Engine'!$H$34,'02_Debt Engine'!$C$7)))</f>
        <v>1782841.767354283</v>
      </c>
      <c r="U158" s="328">
        <f>IF(U157&lt;=0,0,U157*IF(AND('02_Debt Engine'!$F$34="Yes",'02_Debt Engine'!$V$34&gt;0,U$4&gt;'02_Debt Engine'!$I$34),'02_Debt Engine'!$C$13,IF('02_Debt Engine'!$D$34="Active",'02_Debt Engine'!$H$34,'02_Debt Engine'!$C$7)))</f>
        <v>1729476.5025753495</v>
      </c>
      <c r="V158" s="328">
        <f>IF(V157&lt;=0,0,V157*IF(AND('02_Debt Engine'!$F$34="Yes",'02_Debt Engine'!$V$34&gt;0,V$4&gt;'02_Debt Engine'!$I$34),'02_Debt Engine'!$C$13,IF('02_Debt Engine'!$D$34="Active",'02_Debt Engine'!$H$34,'02_Debt Engine'!$C$7)))</f>
        <v>1673976.6272052589</v>
      </c>
      <c r="W158" s="328">
        <f>IF(W157&lt;=0,0,W157*IF(AND('02_Debt Engine'!$F$34="Yes",'02_Debt Engine'!$V$34&gt;0,W$4&gt;'02_Debt Engine'!$I$34),'02_Debt Engine'!$C$13,IF('02_Debt Engine'!$D$34="Active",'02_Debt Engine'!$H$34,'02_Debt Engine'!$C$7)))</f>
        <v>1616256.7568203646</v>
      </c>
    </row>
    <row r="159" spans="2:23">
      <c r="B159" s="13" t="s">
        <v>532</v>
      </c>
      <c r="C159" s="329">
        <f>IF(C157&lt;=0,0,MIN(C157,IF(AND('02_Debt Engine'!$F$34="Yes",'02_Debt Engine'!$V$34&gt;0,C$4&gt;'02_Debt Engine'!$I$34),'02_Debt Engine'!$W$34,IF('02_Debt Engine'!$D$34="Active",'02_Debt Engine'!$K$34,'02_Debt Engine'!$P$34))-C158))</f>
        <v>1188591.2775474079</v>
      </c>
      <c r="D159" s="329">
        <f>IF(D157&lt;=0,0,MIN(D157,IF(AND('02_Debt Engine'!$F$34="Yes",'02_Debt Engine'!$V$34&gt;0,D$4&gt;'02_Debt Engine'!$I$34),'02_Debt Engine'!$W$34,IF('02_Debt Engine'!$D$34="Active",'02_Debt Engine'!$K$34,'02_Debt Engine'!$P$34))-D158))</f>
        <v>1242077.8850370413</v>
      </c>
      <c r="E159" s="329">
        <f>IF(E157&lt;=0,0,MIN(E157,IF(AND('02_Debt Engine'!$F$34="Yes",'02_Debt Engine'!$V$34&gt;0,E$4&gt;'02_Debt Engine'!$I$34),'02_Debt Engine'!$W$34,IF('02_Debt Engine'!$D$34="Active",'02_Debt Engine'!$K$34,'02_Debt Engine'!$P$34))-E158))</f>
        <v>1297971.3898637081</v>
      </c>
      <c r="F159" s="329">
        <f>IF(F157&lt;=0,0,MIN(F157,IF(AND('02_Debt Engine'!$F$34="Yes",'02_Debt Engine'!$V$34&gt;0,F$4&gt;'02_Debt Engine'!$I$34),'02_Debt Engine'!$W$34,IF('02_Debt Engine'!$D$34="Active",'02_Debt Engine'!$K$34,'02_Debt Engine'!$P$34))-F158))</f>
        <v>770427.7674505543</v>
      </c>
      <c r="G159" s="329">
        <f>IF(G157&lt;=0,0,MIN(G157,IF(AND('02_Debt Engine'!$F$34="Yes",'02_Debt Engine'!$V$34&gt;0,G$4&gt;'02_Debt Engine'!$I$34),'02_Debt Engine'!$W$34,IF('02_Debt Engine'!$D$34="Active",'02_Debt Engine'!$K$34,'02_Debt Engine'!$P$34))-G158))</f>
        <v>801244.87814857671</v>
      </c>
      <c r="H159" s="329">
        <f>IF(H157&lt;=0,0,MIN(H157,IF(AND('02_Debt Engine'!$F$34="Yes",'02_Debt Engine'!$V$34&gt;0,H$4&gt;'02_Debt Engine'!$I$34),'02_Debt Engine'!$W$34,IF('02_Debt Engine'!$D$34="Active",'02_Debt Engine'!$K$34,'02_Debt Engine'!$P$34))-H158))</f>
        <v>833294.67327451985</v>
      </c>
      <c r="I159" s="329">
        <f>IF(I157&lt;=0,0,MIN(I157,IF(AND('02_Debt Engine'!$F$34="Yes",'02_Debt Engine'!$V$34&gt;0,I$4&gt;'02_Debt Engine'!$I$34),'02_Debt Engine'!$W$34,IF('02_Debt Engine'!$D$34="Active",'02_Debt Engine'!$K$34,'02_Debt Engine'!$P$34))-I158))</f>
        <v>866626.46020550048</v>
      </c>
      <c r="J159" s="329">
        <f>IF(J157&lt;=0,0,MIN(J157,IF(AND('02_Debt Engine'!$F$34="Yes",'02_Debt Engine'!$V$34&gt;0,J$4&gt;'02_Debt Engine'!$I$34),'02_Debt Engine'!$W$34,IF('02_Debt Engine'!$D$34="Active",'02_Debt Engine'!$K$34,'02_Debt Engine'!$P$34))-J158))</f>
        <v>901291.51861372031</v>
      </c>
      <c r="K159" s="329">
        <f>IF(K157&lt;=0,0,MIN(K157,IF(AND('02_Debt Engine'!$F$34="Yes",'02_Debt Engine'!$V$34&gt;0,K$4&gt;'02_Debt Engine'!$I$34),'02_Debt Engine'!$W$34,IF('02_Debt Engine'!$D$34="Active",'02_Debt Engine'!$K$34,'02_Debt Engine'!$P$34))-K158))</f>
        <v>937343.17935826909</v>
      </c>
      <c r="L159" s="329">
        <f>IF(L157&lt;=0,0,MIN(L157,IF(AND('02_Debt Engine'!$F$34="Yes",'02_Debt Engine'!$V$34&gt;0,L$4&gt;'02_Debt Engine'!$I$34),'02_Debt Engine'!$W$34,IF('02_Debt Engine'!$D$34="Active",'02_Debt Engine'!$K$34,'02_Debt Engine'!$P$34))-L158))</f>
        <v>974836.90653260006</v>
      </c>
      <c r="M159" s="329">
        <f>IF(M157&lt;=0,0,MIN(M157,IF(AND('02_Debt Engine'!$F$34="Yes",'02_Debt Engine'!$V$34&gt;0,M$4&gt;'02_Debt Engine'!$I$34),'02_Debt Engine'!$W$34,IF('02_Debt Engine'!$D$34="Active",'02_Debt Engine'!$K$34,'02_Debt Engine'!$P$34))-M158))</f>
        <v>1013830.3827939038</v>
      </c>
      <c r="N159" s="329">
        <f>IF(N157&lt;=0,0,MIN(N157,IF(AND('02_Debt Engine'!$F$34="Yes",'02_Debt Engine'!$V$34&gt;0,N$4&gt;'02_Debt Engine'!$I$34),'02_Debt Engine'!$W$34,IF('02_Debt Engine'!$D$34="Active",'02_Debt Engine'!$K$34,'02_Debt Engine'!$P$34))-N158))</f>
        <v>1054383.5981056599</v>
      </c>
      <c r="O159" s="329">
        <f>IF(O157&lt;=0,0,MIN(O157,IF(AND('02_Debt Engine'!$F$34="Yes",'02_Debt Engine'!$V$34&gt;0,O$4&gt;'02_Debt Engine'!$I$34),'02_Debt Engine'!$W$34,IF('02_Debt Engine'!$D$34="Active",'02_Debt Engine'!$K$34,'02_Debt Engine'!$P$34))-O158))</f>
        <v>1096558.9420298864</v>
      </c>
      <c r="P159" s="329">
        <f>IF(P157&lt;=0,0,MIN(P157,IF(AND('02_Debt Engine'!$F$34="Yes",'02_Debt Engine'!$V$34&gt;0,P$4&gt;'02_Debt Engine'!$I$34),'02_Debt Engine'!$W$34,IF('02_Debt Engine'!$D$34="Active",'02_Debt Engine'!$K$34,'02_Debt Engine'!$P$34))-P158))</f>
        <v>1140421.2997110819</v>
      </c>
      <c r="Q159" s="329">
        <f>IF(Q157&lt;=0,0,MIN(Q157,IF(AND('02_Debt Engine'!$F$34="Yes",'02_Debt Engine'!$V$34&gt;0,Q$4&gt;'02_Debt Engine'!$I$34),'02_Debt Engine'!$W$34,IF('02_Debt Engine'!$D$34="Active",'02_Debt Engine'!$K$34,'02_Debt Engine'!$P$34))-Q158))</f>
        <v>1186038.1516995251</v>
      </c>
      <c r="R159" s="329">
        <f>IF(R157&lt;=0,0,MIN(R157,IF(AND('02_Debt Engine'!$F$34="Yes",'02_Debt Engine'!$V$34&gt;0,R$4&gt;'02_Debt Engine'!$I$34),'02_Debt Engine'!$W$34,IF('02_Debt Engine'!$D$34="Active",'02_Debt Engine'!$K$34,'02_Debt Engine'!$P$34))-R158))</f>
        <v>1233479.6777675061</v>
      </c>
      <c r="S159" s="329">
        <f>IF(S157&lt;=0,0,MIN(S157,IF(AND('02_Debt Engine'!$F$34="Yes",'02_Debt Engine'!$V$34&gt;0,S$4&gt;'02_Debt Engine'!$I$34),'02_Debt Engine'!$W$34,IF('02_Debt Engine'!$D$34="Active",'02_Debt Engine'!$K$34,'02_Debt Engine'!$P$34))-S158))</f>
        <v>1282818.8648782065</v>
      </c>
      <c r="T159" s="329">
        <f>IF(T157&lt;=0,0,MIN(T157,IF(AND('02_Debt Engine'!$F$34="Yes",'02_Debt Engine'!$V$34&gt;0,T$4&gt;'02_Debt Engine'!$I$34),'02_Debt Engine'!$W$34,IF('02_Debt Engine'!$D$34="Active",'02_Debt Engine'!$K$34,'02_Debt Engine'!$P$34))-T158))</f>
        <v>1334131.6194733349</v>
      </c>
      <c r="U159" s="329">
        <f>IF(U157&lt;=0,0,MIN(U157,IF(AND('02_Debt Engine'!$F$34="Yes",'02_Debt Engine'!$V$34&gt;0,U$4&gt;'02_Debt Engine'!$I$34),'02_Debt Engine'!$W$34,IF('02_Debt Engine'!$D$34="Active",'02_Debt Engine'!$K$34,'02_Debt Engine'!$P$34))-U158))</f>
        <v>1387496.8842522684</v>
      </c>
      <c r="V159" s="329">
        <f>IF(V157&lt;=0,0,MIN(V157,IF(AND('02_Debt Engine'!$F$34="Yes",'02_Debt Engine'!$V$34&gt;0,V$4&gt;'02_Debt Engine'!$I$34),'02_Debt Engine'!$W$34,IF('02_Debt Engine'!$D$34="Active",'02_Debt Engine'!$K$34,'02_Debt Engine'!$P$34))-V158))</f>
        <v>1442996.7596223589</v>
      </c>
      <c r="W159" s="329">
        <f>IF(W157&lt;=0,0,MIN(W157,IF(AND('02_Debt Engine'!$F$34="Yes",'02_Debt Engine'!$V$34&gt;0,W$4&gt;'02_Debt Engine'!$I$34),'02_Debt Engine'!$W$34,IF('02_Debt Engine'!$D$34="Active",'02_Debt Engine'!$K$34,'02_Debt Engine'!$P$34))-W158))</f>
        <v>1500716.6300072533</v>
      </c>
    </row>
    <row r="160" spans="2:23">
      <c r="B160" s="14" t="s">
        <v>533</v>
      </c>
      <c r="C160" s="331">
        <f t="shared" ref="C160:W160" si="46">C157-C159</f>
        <v>131651408.7224526</v>
      </c>
      <c r="D160" s="331">
        <f t="shared" si="46"/>
        <v>130409330.83741556</v>
      </c>
      <c r="E160" s="331">
        <f t="shared" si="46"/>
        <v>129111359.44755185</v>
      </c>
      <c r="F160" s="331">
        <f t="shared" si="46"/>
        <v>57893212.716976032</v>
      </c>
      <c r="G160" s="331">
        <f t="shared" si="46"/>
        <v>57091967.838827454</v>
      </c>
      <c r="H160" s="331">
        <f t="shared" si="46"/>
        <v>56258673.165552936</v>
      </c>
      <c r="I160" s="331">
        <f t="shared" si="46"/>
        <v>55392046.705347434</v>
      </c>
      <c r="J160" s="331">
        <f t="shared" si="46"/>
        <v>54490755.186733715</v>
      </c>
      <c r="K160" s="331">
        <f t="shared" si="46"/>
        <v>53553412.007375449</v>
      </c>
      <c r="L160" s="331">
        <f t="shared" si="46"/>
        <v>52578575.100842848</v>
      </c>
      <c r="M160" s="331">
        <f t="shared" si="46"/>
        <v>51564744.718048945</v>
      </c>
      <c r="N160" s="331">
        <f t="shared" si="46"/>
        <v>50510361.119943283</v>
      </c>
      <c r="O160" s="331">
        <f t="shared" si="46"/>
        <v>49413802.177913398</v>
      </c>
      <c r="P160" s="331">
        <f t="shared" si="46"/>
        <v>48273380.878202319</v>
      </c>
      <c r="Q160" s="331">
        <f t="shared" si="46"/>
        <v>47087342.726502791</v>
      </c>
      <c r="R160" s="331">
        <f t="shared" si="46"/>
        <v>45853863.048735283</v>
      </c>
      <c r="S160" s="331">
        <f t="shared" si="46"/>
        <v>44571044.183857076</v>
      </c>
      <c r="T160" s="331">
        <f t="shared" si="46"/>
        <v>43236912.564383738</v>
      </c>
      <c r="U160" s="331">
        <f t="shared" si="46"/>
        <v>41849415.680131473</v>
      </c>
      <c r="V160" s="331">
        <f t="shared" si="46"/>
        <v>40406418.920509115</v>
      </c>
      <c r="W160" s="331">
        <f t="shared" si="46"/>
        <v>38905702.290501863</v>
      </c>
    </row>
    <row r="161" spans="2:23">
      <c r="B161" s="3" t="s">
        <v>367</v>
      </c>
      <c r="C161" s="328">
        <f>IF(AND('02_Debt Engine'!$F$34="Yes",'02_Debt Engine'!$V$34&gt;0,C$4='02_Debt Engine'!$I$34),-C160,0)</f>
        <v>0</v>
      </c>
      <c r="D161" s="328">
        <f>IF(AND('02_Debt Engine'!$F$34="Yes",'02_Debt Engine'!$V$34&gt;0,D$4='02_Debt Engine'!$I$34),-D160,0)</f>
        <v>0</v>
      </c>
      <c r="E161" s="328">
        <f>IF(AND('02_Debt Engine'!$F$34="Yes",'02_Debt Engine'!$V$34&gt;0,E$4='02_Debt Engine'!$I$34),-E160,0)</f>
        <v>-129111359.44755185</v>
      </c>
      <c r="F161" s="328">
        <f>IF(AND('02_Debt Engine'!$F$34="Yes",'02_Debt Engine'!$V$34&gt;0,F$4='02_Debt Engine'!$I$34),-F160,0)</f>
        <v>0</v>
      </c>
      <c r="G161" s="328">
        <f>IF(AND('02_Debt Engine'!$F$34="Yes",'02_Debt Engine'!$V$34&gt;0,G$4='02_Debt Engine'!$I$34),-G160,0)</f>
        <v>0</v>
      </c>
      <c r="H161" s="328">
        <f>IF(AND('02_Debt Engine'!$F$34="Yes",'02_Debt Engine'!$V$34&gt;0,H$4='02_Debt Engine'!$I$34),-H160,0)</f>
        <v>0</v>
      </c>
      <c r="I161" s="328">
        <f>IF(AND('02_Debt Engine'!$F$34="Yes",'02_Debt Engine'!$V$34&gt;0,I$4='02_Debt Engine'!$I$34),-I160,0)</f>
        <v>0</v>
      </c>
      <c r="J161" s="328">
        <f>IF(AND('02_Debt Engine'!$F$34="Yes",'02_Debt Engine'!$V$34&gt;0,J$4='02_Debt Engine'!$I$34),-J160,0)</f>
        <v>0</v>
      </c>
      <c r="K161" s="328">
        <f>IF(AND('02_Debt Engine'!$F$34="Yes",'02_Debt Engine'!$V$34&gt;0,K$4='02_Debt Engine'!$I$34),-K160,0)</f>
        <v>0</v>
      </c>
      <c r="L161" s="328">
        <f>IF(AND('02_Debt Engine'!$F$34="Yes",'02_Debt Engine'!$V$34&gt;0,L$4='02_Debt Engine'!$I$34),-L160,0)</f>
        <v>0</v>
      </c>
      <c r="M161" s="328">
        <f>IF(AND('02_Debt Engine'!$F$34="Yes",'02_Debt Engine'!$V$34&gt;0,M$4='02_Debt Engine'!$I$34),-M160,0)</f>
        <v>0</v>
      </c>
      <c r="N161" s="328">
        <f>IF(AND('02_Debt Engine'!$F$34="Yes",'02_Debt Engine'!$V$34&gt;0,N$4='02_Debt Engine'!$I$34),-N160,0)</f>
        <v>0</v>
      </c>
      <c r="O161" s="328">
        <f>IF(AND('02_Debt Engine'!$F$34="Yes",'02_Debt Engine'!$V$34&gt;0,O$4='02_Debt Engine'!$I$34),-O160,0)</f>
        <v>0</v>
      </c>
      <c r="P161" s="328">
        <f>IF(AND('02_Debt Engine'!$F$34="Yes",'02_Debt Engine'!$V$34&gt;0,P$4='02_Debt Engine'!$I$34),-P160,0)</f>
        <v>0</v>
      </c>
      <c r="Q161" s="328">
        <f>IF(AND('02_Debt Engine'!$F$34="Yes",'02_Debt Engine'!$V$34&gt;0,Q$4='02_Debt Engine'!$I$34),-Q160,0)</f>
        <v>0</v>
      </c>
      <c r="R161" s="328">
        <f>IF(AND('02_Debt Engine'!$F$34="Yes",'02_Debt Engine'!$V$34&gt;0,R$4='02_Debt Engine'!$I$34),-R160,0)</f>
        <v>0</v>
      </c>
      <c r="S161" s="328">
        <f>IF(AND('02_Debt Engine'!$F$34="Yes",'02_Debt Engine'!$V$34&gt;0,S$4='02_Debt Engine'!$I$34),-S160,0)</f>
        <v>0</v>
      </c>
      <c r="T161" s="328">
        <f>IF(AND('02_Debt Engine'!$F$34="Yes",'02_Debt Engine'!$V$34&gt;0,T$4='02_Debt Engine'!$I$34),-T160,0)</f>
        <v>0</v>
      </c>
      <c r="U161" s="328">
        <f>IF(AND('02_Debt Engine'!$F$34="Yes",'02_Debt Engine'!$V$34&gt;0,U$4='02_Debt Engine'!$I$34),-U160,0)</f>
        <v>0</v>
      </c>
      <c r="V161" s="328">
        <f>IF(AND('02_Debt Engine'!$F$34="Yes",'02_Debt Engine'!$V$34&gt;0,V$4='02_Debt Engine'!$I$34),-V160,0)</f>
        <v>0</v>
      </c>
      <c r="W161" s="328">
        <f>IF(AND('02_Debt Engine'!$F$34="Yes",'02_Debt Engine'!$V$34&gt;0,W$4='02_Debt Engine'!$I$34),-W160,0)</f>
        <v>0</v>
      </c>
    </row>
    <row r="162" spans="2:23">
      <c r="B162" s="13" t="s">
        <v>534</v>
      </c>
      <c r="C162" s="329">
        <f>IF(AND('02_Debt Engine'!$F$34="Yes",'02_Debt Engine'!$V$34&gt;0,C$4='02_Debt Engine'!$I$34),'02_Debt Engine'!$V$34,0)</f>
        <v>0</v>
      </c>
      <c r="D162" s="329">
        <f>IF(AND('02_Debt Engine'!$F$34="Yes",'02_Debt Engine'!$V$34&gt;0,D$4='02_Debt Engine'!$I$34),'02_Debt Engine'!$V$34,0)</f>
        <v>0</v>
      </c>
      <c r="E162" s="329">
        <f>IF(AND('02_Debt Engine'!$F$34="Yes",'02_Debt Engine'!$V$34&gt;0,E$4='02_Debt Engine'!$I$34),'02_Debt Engine'!$V$34,0)</f>
        <v>58663640.484426588</v>
      </c>
      <c r="F162" s="329">
        <f>IF(AND('02_Debt Engine'!$F$34="Yes",'02_Debt Engine'!$V$34&gt;0,F$4='02_Debt Engine'!$I$34),'02_Debt Engine'!$V$34,0)</f>
        <v>0</v>
      </c>
      <c r="G162" s="329">
        <f>IF(AND('02_Debt Engine'!$F$34="Yes",'02_Debt Engine'!$V$34&gt;0,G$4='02_Debt Engine'!$I$34),'02_Debt Engine'!$V$34,0)</f>
        <v>0</v>
      </c>
      <c r="H162" s="329">
        <f>IF(AND('02_Debt Engine'!$F$34="Yes",'02_Debt Engine'!$V$34&gt;0,H$4='02_Debt Engine'!$I$34),'02_Debt Engine'!$V$34,0)</f>
        <v>0</v>
      </c>
      <c r="I162" s="329">
        <f>IF(AND('02_Debt Engine'!$F$34="Yes",'02_Debt Engine'!$V$34&gt;0,I$4='02_Debt Engine'!$I$34),'02_Debt Engine'!$V$34,0)</f>
        <v>0</v>
      </c>
      <c r="J162" s="329">
        <f>IF(AND('02_Debt Engine'!$F$34="Yes",'02_Debt Engine'!$V$34&gt;0,J$4='02_Debt Engine'!$I$34),'02_Debt Engine'!$V$34,0)</f>
        <v>0</v>
      </c>
      <c r="K162" s="329">
        <f>IF(AND('02_Debt Engine'!$F$34="Yes",'02_Debt Engine'!$V$34&gt;0,K$4='02_Debt Engine'!$I$34),'02_Debt Engine'!$V$34,0)</f>
        <v>0</v>
      </c>
      <c r="L162" s="329">
        <f>IF(AND('02_Debt Engine'!$F$34="Yes",'02_Debt Engine'!$V$34&gt;0,L$4='02_Debt Engine'!$I$34),'02_Debt Engine'!$V$34,0)</f>
        <v>0</v>
      </c>
      <c r="M162" s="329">
        <f>IF(AND('02_Debt Engine'!$F$34="Yes",'02_Debt Engine'!$V$34&gt;0,M$4='02_Debt Engine'!$I$34),'02_Debt Engine'!$V$34,0)</f>
        <v>0</v>
      </c>
      <c r="N162" s="329">
        <f>IF(AND('02_Debt Engine'!$F$34="Yes",'02_Debt Engine'!$V$34&gt;0,N$4='02_Debt Engine'!$I$34),'02_Debt Engine'!$V$34,0)</f>
        <v>0</v>
      </c>
      <c r="O162" s="329">
        <f>IF(AND('02_Debt Engine'!$F$34="Yes",'02_Debt Engine'!$V$34&gt;0,O$4='02_Debt Engine'!$I$34),'02_Debt Engine'!$V$34,0)</f>
        <v>0</v>
      </c>
      <c r="P162" s="329">
        <f>IF(AND('02_Debt Engine'!$F$34="Yes",'02_Debt Engine'!$V$34&gt;0,P$4='02_Debt Engine'!$I$34),'02_Debt Engine'!$V$34,0)</f>
        <v>0</v>
      </c>
      <c r="Q162" s="329">
        <f>IF(AND('02_Debt Engine'!$F$34="Yes",'02_Debt Engine'!$V$34&gt;0,Q$4='02_Debt Engine'!$I$34),'02_Debt Engine'!$V$34,0)</f>
        <v>0</v>
      </c>
      <c r="R162" s="329">
        <f>IF(AND('02_Debt Engine'!$F$34="Yes",'02_Debt Engine'!$V$34&gt;0,R$4='02_Debt Engine'!$I$34),'02_Debt Engine'!$V$34,0)</f>
        <v>0</v>
      </c>
      <c r="S162" s="329">
        <f>IF(AND('02_Debt Engine'!$F$34="Yes",'02_Debt Engine'!$V$34&gt;0,S$4='02_Debt Engine'!$I$34),'02_Debt Engine'!$V$34,0)</f>
        <v>0</v>
      </c>
      <c r="T162" s="329">
        <f>IF(AND('02_Debt Engine'!$F$34="Yes",'02_Debt Engine'!$V$34&gt;0,T$4='02_Debt Engine'!$I$34),'02_Debt Engine'!$V$34,0)</f>
        <v>0</v>
      </c>
      <c r="U162" s="329">
        <f>IF(AND('02_Debt Engine'!$F$34="Yes",'02_Debt Engine'!$V$34&gt;0,U$4='02_Debt Engine'!$I$34),'02_Debt Engine'!$V$34,0)</f>
        <v>0</v>
      </c>
      <c r="V162" s="329">
        <f>IF(AND('02_Debt Engine'!$F$34="Yes",'02_Debt Engine'!$V$34&gt;0,V$4='02_Debt Engine'!$I$34),'02_Debt Engine'!$V$34,0)</f>
        <v>0</v>
      </c>
      <c r="W162" s="329">
        <f>IF(AND('02_Debt Engine'!$F$34="Yes",'02_Debt Engine'!$V$34&gt;0,W$4='02_Debt Engine'!$I$34),'02_Debt Engine'!$V$34,0)</f>
        <v>0</v>
      </c>
    </row>
    <row r="163" spans="2:23">
      <c r="B163" s="3" t="s">
        <v>535</v>
      </c>
      <c r="C163" s="330">
        <f t="shared" ref="C163:W163" si="47">C161+C162</f>
        <v>0</v>
      </c>
      <c r="D163" s="330">
        <f t="shared" si="47"/>
        <v>0</v>
      </c>
      <c r="E163" s="330">
        <f t="shared" si="47"/>
        <v>-70447718.963125259</v>
      </c>
      <c r="F163" s="330">
        <f t="shared" si="47"/>
        <v>0</v>
      </c>
      <c r="G163" s="330">
        <f t="shared" si="47"/>
        <v>0</v>
      </c>
      <c r="H163" s="330">
        <f t="shared" si="47"/>
        <v>0</v>
      </c>
      <c r="I163" s="330">
        <f t="shared" si="47"/>
        <v>0</v>
      </c>
      <c r="J163" s="330">
        <f t="shared" si="47"/>
        <v>0</v>
      </c>
      <c r="K163" s="330">
        <f t="shared" si="47"/>
        <v>0</v>
      </c>
      <c r="L163" s="330">
        <f t="shared" si="47"/>
        <v>0</v>
      </c>
      <c r="M163" s="330">
        <f t="shared" si="47"/>
        <v>0</v>
      </c>
      <c r="N163" s="330">
        <f t="shared" si="47"/>
        <v>0</v>
      </c>
      <c r="O163" s="330">
        <f t="shared" si="47"/>
        <v>0</v>
      </c>
      <c r="P163" s="330">
        <f t="shared" si="47"/>
        <v>0</v>
      </c>
      <c r="Q163" s="330">
        <f t="shared" si="47"/>
        <v>0</v>
      </c>
      <c r="R163" s="330">
        <f t="shared" si="47"/>
        <v>0</v>
      </c>
      <c r="S163" s="330">
        <f t="shared" si="47"/>
        <v>0</v>
      </c>
      <c r="T163" s="330">
        <f t="shared" si="47"/>
        <v>0</v>
      </c>
      <c r="U163" s="330">
        <f t="shared" si="47"/>
        <v>0</v>
      </c>
      <c r="V163" s="330">
        <f t="shared" si="47"/>
        <v>0</v>
      </c>
      <c r="W163" s="330">
        <f t="shared" si="47"/>
        <v>0</v>
      </c>
    </row>
    <row r="164" spans="2:23">
      <c r="B164" s="14" t="s">
        <v>525</v>
      </c>
      <c r="C164" s="328">
        <f t="shared" ref="C164:W164" si="48">C158+C159</f>
        <v>7166391.2775474079</v>
      </c>
      <c r="D164" s="328">
        <f t="shared" si="48"/>
        <v>7166391.2775474079</v>
      </c>
      <c r="E164" s="328">
        <f t="shared" si="48"/>
        <v>7166391.2775474079</v>
      </c>
      <c r="F164" s="328">
        <f t="shared" si="48"/>
        <v>3116973.3868276179</v>
      </c>
      <c r="G164" s="328">
        <f t="shared" si="48"/>
        <v>3116973.3868276179</v>
      </c>
      <c r="H164" s="328">
        <f t="shared" si="48"/>
        <v>3116973.3868276179</v>
      </c>
      <c r="I164" s="328">
        <f t="shared" si="48"/>
        <v>3116973.3868276179</v>
      </c>
      <c r="J164" s="328">
        <f t="shared" si="48"/>
        <v>3116973.3868276179</v>
      </c>
      <c r="K164" s="328">
        <f t="shared" si="48"/>
        <v>3116973.3868276179</v>
      </c>
      <c r="L164" s="328">
        <f t="shared" si="48"/>
        <v>3116973.3868276179</v>
      </c>
      <c r="M164" s="328">
        <f t="shared" si="48"/>
        <v>3116973.3868276179</v>
      </c>
      <c r="N164" s="328">
        <f t="shared" si="48"/>
        <v>3116973.3868276179</v>
      </c>
      <c r="O164" s="328">
        <f t="shared" si="48"/>
        <v>3116973.3868276179</v>
      </c>
      <c r="P164" s="328">
        <f t="shared" si="48"/>
        <v>3116973.3868276179</v>
      </c>
      <c r="Q164" s="328">
        <f t="shared" si="48"/>
        <v>3116973.3868276179</v>
      </c>
      <c r="R164" s="328">
        <f t="shared" si="48"/>
        <v>3116973.3868276179</v>
      </c>
      <c r="S164" s="328">
        <f t="shared" si="48"/>
        <v>3116973.3868276179</v>
      </c>
      <c r="T164" s="328">
        <f t="shared" si="48"/>
        <v>3116973.3868276179</v>
      </c>
      <c r="U164" s="328">
        <f t="shared" si="48"/>
        <v>3116973.3868276179</v>
      </c>
      <c r="V164" s="328">
        <f t="shared" si="48"/>
        <v>3116973.3868276179</v>
      </c>
      <c r="W164" s="328">
        <f t="shared" si="48"/>
        <v>3116973.3868276179</v>
      </c>
    </row>
    <row r="166" spans="2:23">
      <c r="B166" s="327" t="str">
        <f>'02_Debt Engine'!$B$35</f>
        <v>800 Commercial Drive</v>
      </c>
      <c r="C166" s="327" t="str">
        <f>_xlfn.LET(_xlpm.refiyr,INDEX('02_Debt Engine'!$I$19:$I$35,MATCH('02A_Debt Schedule'!$B166,'02_Debt Engine'!$B$19:$B$35,0)),IF(_xlpm.refiyr='02A_Debt Schedule'!C$4,"Refi Yr.",""))</f>
        <v/>
      </c>
      <c r="D166" s="327" t="str">
        <f>_xlfn.LET(_xlpm.refiyr,INDEX('02_Debt Engine'!$I$19:$I$35,MATCH('02A_Debt Schedule'!$B166,'02_Debt Engine'!$B$19:$B$35,0)),IF(_xlpm.refiyr='02A_Debt Schedule'!D$4,"Refi Yr.",""))</f>
        <v/>
      </c>
      <c r="E166" s="327" t="str">
        <f>_xlfn.LET(_xlpm.refiyr,INDEX('02_Debt Engine'!$I$19:$I$35,MATCH('02A_Debt Schedule'!$B166,'02_Debt Engine'!$B$19:$B$35,0)),IF(_xlpm.refiyr='02A_Debt Schedule'!E$4,"Refi Yr.",""))</f>
        <v/>
      </c>
      <c r="F166" s="327" t="str">
        <f>_xlfn.LET(_xlpm.refiyr,INDEX('02_Debt Engine'!$I$19:$I$35,MATCH('02A_Debt Schedule'!$B166,'02_Debt Engine'!$B$19:$B$35,0)),IF(_xlpm.refiyr='02A_Debt Schedule'!F$4,"Refi Yr.",""))</f>
        <v/>
      </c>
      <c r="G166" s="327" t="str">
        <f>_xlfn.LET(_xlpm.refiyr,INDEX('02_Debt Engine'!$I$19:$I$35,MATCH('02A_Debt Schedule'!$B166,'02_Debt Engine'!$B$19:$B$35,0)),IF(_xlpm.refiyr='02A_Debt Schedule'!G$4,"Refi Yr.",""))</f>
        <v>Refi Yr.</v>
      </c>
      <c r="H166" s="327" t="str">
        <f>_xlfn.LET(_xlpm.refiyr,INDEX('02_Debt Engine'!$I$19:$I$35,MATCH('02A_Debt Schedule'!$B166,'02_Debt Engine'!$B$19:$B$35,0)),IF(_xlpm.refiyr='02A_Debt Schedule'!H$4,"Refi Yr.",""))</f>
        <v/>
      </c>
      <c r="I166" s="327" t="str">
        <f>_xlfn.LET(_xlpm.refiyr,INDEX('02_Debt Engine'!$I$19:$I$35,MATCH('02A_Debt Schedule'!$B166,'02_Debt Engine'!$B$19:$B$35,0)),IF(_xlpm.refiyr='02A_Debt Schedule'!I$4,"Refi Yr.",""))</f>
        <v/>
      </c>
      <c r="J166" s="327" t="str">
        <f>_xlfn.LET(_xlpm.refiyr,INDEX('02_Debt Engine'!$I$19:$I$35,MATCH('02A_Debt Schedule'!$B166,'02_Debt Engine'!$B$19:$B$35,0)),IF(_xlpm.refiyr='02A_Debt Schedule'!J$4,"Refi Yr.",""))</f>
        <v/>
      </c>
      <c r="K166" s="327" t="str">
        <f>_xlfn.LET(_xlpm.refiyr,INDEX('02_Debt Engine'!$I$19:$I$35,MATCH('02A_Debt Schedule'!$B166,'02_Debt Engine'!$B$19:$B$35,0)),IF(_xlpm.refiyr='02A_Debt Schedule'!K$4,"Refi Yr.",""))</f>
        <v/>
      </c>
      <c r="L166" s="327" t="str">
        <f>_xlfn.LET(_xlpm.refiyr,INDEX('02_Debt Engine'!$I$19:$I$35,MATCH('02A_Debt Schedule'!$B166,'02_Debt Engine'!$B$19:$B$35,0)),IF(_xlpm.refiyr='02A_Debt Schedule'!L$4,"Refi Yr.",""))</f>
        <v/>
      </c>
      <c r="M166" s="327" t="str">
        <f>_xlfn.LET(_xlpm.refiyr,INDEX('02_Debt Engine'!$I$19:$I$35,MATCH('02A_Debt Schedule'!$B166,'02_Debt Engine'!$B$19:$B$35,0)),IF(_xlpm.refiyr='02A_Debt Schedule'!M$4,"Refi Yr.",""))</f>
        <v/>
      </c>
      <c r="N166" s="327" t="str">
        <f>_xlfn.LET(_xlpm.refiyr,INDEX('02_Debt Engine'!$I$19:$I$35,MATCH('02A_Debt Schedule'!$B166,'02_Debt Engine'!$B$19:$B$35,0)),IF(_xlpm.refiyr='02A_Debt Schedule'!N$4,"Refi Yr.",""))</f>
        <v/>
      </c>
      <c r="O166" s="327" t="str">
        <f>_xlfn.LET(_xlpm.refiyr,INDEX('02_Debt Engine'!$I$19:$I$35,MATCH('02A_Debt Schedule'!$B166,'02_Debt Engine'!$B$19:$B$35,0)),IF(_xlpm.refiyr='02A_Debt Schedule'!O$4,"Refi Yr.",""))</f>
        <v/>
      </c>
      <c r="P166" s="327" t="str">
        <f>_xlfn.LET(_xlpm.refiyr,INDEX('02_Debt Engine'!$I$19:$I$35,MATCH('02A_Debt Schedule'!$B166,'02_Debt Engine'!$B$19:$B$35,0)),IF(_xlpm.refiyr='02A_Debt Schedule'!P$4,"Refi Yr.",""))</f>
        <v/>
      </c>
      <c r="Q166" s="327" t="str">
        <f>_xlfn.LET(_xlpm.refiyr,INDEX('02_Debt Engine'!$I$19:$I$35,MATCH('02A_Debt Schedule'!$B166,'02_Debt Engine'!$B$19:$B$35,0)),IF(_xlpm.refiyr='02A_Debt Schedule'!Q$4,"Refi Yr.",""))</f>
        <v/>
      </c>
      <c r="R166" s="327" t="str">
        <f>_xlfn.LET(_xlpm.refiyr,INDEX('02_Debt Engine'!$I$19:$I$35,MATCH('02A_Debt Schedule'!$B166,'02_Debt Engine'!$B$19:$B$35,0)),IF(_xlpm.refiyr='02A_Debt Schedule'!R$4,"Refi Yr.",""))</f>
        <v/>
      </c>
      <c r="S166" s="327" t="str">
        <f>_xlfn.LET(_xlpm.refiyr,INDEX('02_Debt Engine'!$I$19:$I$35,MATCH('02A_Debt Schedule'!$B166,'02_Debt Engine'!$B$19:$B$35,0)),IF(_xlpm.refiyr='02A_Debt Schedule'!S$4,"Refi Yr.",""))</f>
        <v/>
      </c>
      <c r="T166" s="327" t="str">
        <f>_xlfn.LET(_xlpm.refiyr,INDEX('02_Debt Engine'!$I$19:$I$35,MATCH('02A_Debt Schedule'!$B166,'02_Debt Engine'!$B$19:$B$35,0)),IF(_xlpm.refiyr='02A_Debt Schedule'!T$4,"Refi Yr.",""))</f>
        <v/>
      </c>
      <c r="U166" s="327" t="str">
        <f>_xlfn.LET(_xlpm.refiyr,INDEX('02_Debt Engine'!$I$19:$I$35,MATCH('02A_Debt Schedule'!$B166,'02_Debt Engine'!$B$19:$B$35,0)),IF(_xlpm.refiyr='02A_Debt Schedule'!U$4,"Refi Yr.",""))</f>
        <v/>
      </c>
      <c r="V166" s="327" t="str">
        <f>_xlfn.LET(_xlpm.refiyr,INDEX('02_Debt Engine'!$I$19:$I$35,MATCH('02A_Debt Schedule'!$B166,'02_Debt Engine'!$B$19:$B$35,0)),IF(_xlpm.refiyr='02A_Debt Schedule'!V$4,"Refi Yr.",""))</f>
        <v/>
      </c>
      <c r="W166" s="327" t="str">
        <f>_xlfn.LET(_xlpm.refiyr,INDEX('02_Debt Engine'!$I$19:$I$35,MATCH('02A_Debt Schedule'!$B166,'02_Debt Engine'!$B$19:$B$35,0)),IF(_xlpm.refiyr='02A_Debt Schedule'!W$4,"Refi Yr.",""))</f>
        <v/>
      </c>
    </row>
    <row r="167" spans="2:23">
      <c r="B167" s="3" t="s">
        <v>531</v>
      </c>
      <c r="C167" s="328">
        <f>IF('02_Debt Engine'!$D$35="Active",'02_Debt Engine'!$N$35,'02_Debt Engine'!$O$35)</f>
        <v>37665000</v>
      </c>
      <c r="D167" s="328">
        <f>IF(AND('02_Debt Engine'!$F$35="Yes",'02_Debt Engine'!$V$35&gt;0,C$4='02_Debt Engine'!$I$35),'02_Debt Engine'!$V$35,C170)</f>
        <v>37327990.887768567</v>
      </c>
      <c r="E167" s="328">
        <f>IF(AND('02_Debt Engine'!$F$35="Yes",'02_Debt Engine'!$V$35&gt;0,D$4='02_Debt Engine'!$I$35),'02_Debt Engine'!$V$35,D170)</f>
        <v>36975816.365486726</v>
      </c>
      <c r="F167" s="328">
        <f>IF(AND('02_Debt Engine'!$F$35="Yes",'02_Debt Engine'!$V$35&gt;0,E$4='02_Debt Engine'!$I$35),'02_Debt Engine'!$V$35,E170)</f>
        <v>36607793.989702202</v>
      </c>
      <c r="G167" s="328">
        <f>IF(AND('02_Debt Engine'!$F$35="Yes",'02_Debt Engine'!$V$35&gt;0,F$4='02_Debt Engine'!$I$35),'02_Debt Engine'!$V$35,F170)</f>
        <v>36223210.607007369</v>
      </c>
      <c r="H167" s="328">
        <f>IF(AND('02_Debt Engine'!$F$35="Yes",'02_Debt Engine'!$V$35&gt;0,G$4='02_Debt Engine'!$I$35),'02_Debt Engine'!$V$35,G170)</f>
        <v>18435922.196523327</v>
      </c>
      <c r="I167" s="328">
        <f>IF(AND('02_Debt Engine'!$F$35="Yes",'02_Debt Engine'!$V$35&gt;0,H$4='02_Debt Engine'!$I$35),'02_Debt Engine'!$V$35,H170)</f>
        <v>18193803.803231146</v>
      </c>
      <c r="J167" s="328">
        <f>IF(AND('02_Debt Engine'!$F$35="Yes",'02_Debt Engine'!$V$35&gt;0,I$4='02_Debt Engine'!$I$35),'02_Debt Engine'!$V$35,I170)</f>
        <v>17942000.674207278</v>
      </c>
      <c r="K167" s="328">
        <f>IF(AND('02_Debt Engine'!$F$35="Yes",'02_Debt Engine'!$V$35&gt;0,J$4='02_Debt Engine'!$I$35),'02_Debt Engine'!$V$35,J170)</f>
        <v>17680125.420022454</v>
      </c>
      <c r="L167" s="328">
        <f>IF(AND('02_Debt Engine'!$F$35="Yes",'02_Debt Engine'!$V$35&gt;0,K$4='02_Debt Engine'!$I$35),'02_Debt Engine'!$V$35,K170)</f>
        <v>17407775.155670237</v>
      </c>
      <c r="M167" s="328">
        <f>IF(AND('02_Debt Engine'!$F$35="Yes",'02_Debt Engine'!$V$35&gt;0,L$4='02_Debt Engine'!$I$35),'02_Debt Engine'!$V$35,L170)</f>
        <v>17124530.880743932</v>
      </c>
      <c r="N167" s="328">
        <f>IF(AND('02_Debt Engine'!$F$35="Yes",'02_Debt Engine'!$V$35&gt;0,M$4='02_Debt Engine'!$I$35),'02_Debt Engine'!$V$35,M170)</f>
        <v>16829956.834820572</v>
      </c>
      <c r="O167" s="328">
        <f>IF(AND('02_Debt Engine'!$F$35="Yes",'02_Debt Engine'!$V$35&gt;0,N$4='02_Debt Engine'!$I$35),'02_Debt Engine'!$V$35,N170)</f>
        <v>16523599.82706028</v>
      </c>
      <c r="P167" s="328">
        <f>IF(AND('02_Debt Engine'!$F$35="Yes",'02_Debt Engine'!$V$35&gt;0,O$4='02_Debt Engine'!$I$35),'02_Debt Engine'!$V$35,O170)</f>
        <v>16204988.538989576</v>
      </c>
      <c r="Q167" s="328">
        <f>IF(AND('02_Debt Engine'!$F$35="Yes",'02_Debt Engine'!$V$35&gt;0,P$4='02_Debt Engine'!$I$35),'02_Debt Engine'!$V$35,P170)</f>
        <v>15873632.799396044</v>
      </c>
      <c r="R167" s="328">
        <f>IF(AND('02_Debt Engine'!$F$35="Yes",'02_Debt Engine'!$V$35&gt;0,Q$4='02_Debt Engine'!$I$35),'02_Debt Engine'!$V$35,Q170)</f>
        <v>15529022.83021877</v>
      </c>
      <c r="S167" s="328">
        <f>IF(AND('02_Debt Engine'!$F$35="Yes",'02_Debt Engine'!$V$35&gt;0,R$4='02_Debt Engine'!$I$35),'02_Debt Engine'!$V$35,R170)</f>
        <v>15170628.462274404</v>
      </c>
      <c r="T167" s="328">
        <f>IF(AND('02_Debt Engine'!$F$35="Yes",'02_Debt Engine'!$V$35&gt;0,S$4='02_Debt Engine'!$I$35),'02_Debt Engine'!$V$35,S170)</f>
        <v>14797898.319612265</v>
      </c>
      <c r="U167" s="328">
        <f>IF(AND('02_Debt Engine'!$F$35="Yes",'02_Debt Engine'!$V$35&gt;0,T$4='02_Debt Engine'!$I$35),'02_Debt Engine'!$V$35,T170)</f>
        <v>14410258.97124364</v>
      </c>
      <c r="V167" s="328">
        <f>IF(AND('02_Debt Engine'!$F$35="Yes",'02_Debt Engine'!$V$35&gt;0,U$4='02_Debt Engine'!$I$35),'02_Debt Engine'!$V$35,U170)</f>
        <v>14007114.048940271</v>
      </c>
      <c r="W167" s="328">
        <f>IF(AND('02_Debt Engine'!$F$35="Yes",'02_Debt Engine'!$V$35&gt;0,V$4='02_Debt Engine'!$I$35),'02_Debt Engine'!$V$35,V170)</f>
        <v>13587843.329744766</v>
      </c>
    </row>
    <row r="168" spans="2:23">
      <c r="B168" s="3" t="s">
        <v>514</v>
      </c>
      <c r="C168" s="328">
        <f>IF(C167&lt;=0,0,C167*IF(AND('02_Debt Engine'!$F$35="Yes",'02_Debt Engine'!$V$35&gt;0,C$4&gt;'02_Debt Engine'!$I$35),'02_Debt Engine'!$C$13,IF('02_Debt Engine'!$D$35="Active",'02_Debt Engine'!$H$35,'02_Debt Engine'!$C$7)))</f>
        <v>1694925</v>
      </c>
      <c r="D168" s="328">
        <f>IF(D167&lt;=0,0,D167*IF(AND('02_Debt Engine'!$F$35="Yes",'02_Debt Engine'!$V$35&gt;0,D$4&gt;'02_Debt Engine'!$I$35),'02_Debt Engine'!$C$13,IF('02_Debt Engine'!$D$35="Active",'02_Debt Engine'!$H$35,'02_Debt Engine'!$C$7)))</f>
        <v>1679759.5899495855</v>
      </c>
      <c r="E168" s="328">
        <f>IF(E167&lt;=0,0,E167*IF(AND('02_Debt Engine'!$F$35="Yes",'02_Debt Engine'!$V$35&gt;0,E$4&gt;'02_Debt Engine'!$I$35),'02_Debt Engine'!$C$13,IF('02_Debt Engine'!$D$35="Active",'02_Debt Engine'!$H$35,'02_Debt Engine'!$C$7)))</f>
        <v>1663911.7364469026</v>
      </c>
      <c r="F168" s="328">
        <f>IF(F167&lt;=0,0,F167*IF(AND('02_Debt Engine'!$F$35="Yes",'02_Debt Engine'!$V$35&gt;0,F$4&gt;'02_Debt Engine'!$I$35),'02_Debt Engine'!$C$13,IF('02_Debt Engine'!$D$35="Active",'02_Debt Engine'!$H$35,'02_Debt Engine'!$C$7)))</f>
        <v>1647350.729536599</v>
      </c>
      <c r="G168" s="328">
        <f>IF(G167&lt;=0,0,G167*IF(AND('02_Debt Engine'!$F$35="Yes",'02_Debt Engine'!$V$35&gt;0,G$4&gt;'02_Debt Engine'!$I$35),'02_Debt Engine'!$C$13,IF('02_Debt Engine'!$D$35="Active",'02_Debt Engine'!$H$35,'02_Debt Engine'!$C$7)))</f>
        <v>1630044.4773153316</v>
      </c>
      <c r="H168" s="328">
        <f>IF(H167&lt;=0,0,H167*IF(AND('02_Debt Engine'!$F$35="Yes",'02_Debt Engine'!$V$35&gt;0,H$4&gt;'02_Debt Engine'!$I$35),'02_Debt Engine'!$C$13,IF('02_Debt Engine'!$D$35="Active",'02_Debt Engine'!$H$35,'02_Debt Engine'!$C$7)))</f>
        <v>737436.88786093309</v>
      </c>
      <c r="I168" s="328">
        <f>IF(I167&lt;=0,0,I167*IF(AND('02_Debt Engine'!$F$35="Yes",'02_Debt Engine'!$V$35&gt;0,I$4&gt;'02_Debt Engine'!$I$35),'02_Debt Engine'!$C$13,IF('02_Debt Engine'!$D$35="Active",'02_Debt Engine'!$H$35,'02_Debt Engine'!$C$7)))</f>
        <v>727752.15212924581</v>
      </c>
      <c r="J168" s="328">
        <f>IF(J167&lt;=0,0,J167*IF(AND('02_Debt Engine'!$F$35="Yes",'02_Debt Engine'!$V$35&gt;0,J$4&gt;'02_Debt Engine'!$I$35),'02_Debt Engine'!$C$13,IF('02_Debt Engine'!$D$35="Active",'02_Debt Engine'!$H$35,'02_Debt Engine'!$C$7)))</f>
        <v>717680.02696829115</v>
      </c>
      <c r="K168" s="328">
        <f>IF(K167&lt;=0,0,K167*IF(AND('02_Debt Engine'!$F$35="Yes",'02_Debt Engine'!$V$35&gt;0,K$4&gt;'02_Debt Engine'!$I$35),'02_Debt Engine'!$C$13,IF('02_Debt Engine'!$D$35="Active",'02_Debt Engine'!$H$35,'02_Debt Engine'!$C$7)))</f>
        <v>707205.01680089813</v>
      </c>
      <c r="L168" s="328">
        <f>IF(L167&lt;=0,0,L167*IF(AND('02_Debt Engine'!$F$35="Yes",'02_Debt Engine'!$V$35&gt;0,L$4&gt;'02_Debt Engine'!$I$35),'02_Debt Engine'!$C$13,IF('02_Debt Engine'!$D$35="Active",'02_Debt Engine'!$H$35,'02_Debt Engine'!$C$7)))</f>
        <v>696311.00622680946</v>
      </c>
      <c r="M168" s="328">
        <f>IF(M167&lt;=0,0,M167*IF(AND('02_Debt Engine'!$F$35="Yes",'02_Debt Engine'!$V$35&gt;0,M$4&gt;'02_Debt Engine'!$I$35),'02_Debt Engine'!$C$13,IF('02_Debt Engine'!$D$35="Active",'02_Debt Engine'!$H$35,'02_Debt Engine'!$C$7)))</f>
        <v>684981.23522975727</v>
      </c>
      <c r="N168" s="328">
        <f>IF(N167&lt;=0,0,N167*IF(AND('02_Debt Engine'!$F$35="Yes",'02_Debt Engine'!$V$35&gt;0,N$4&gt;'02_Debt Engine'!$I$35),'02_Debt Engine'!$C$13,IF('02_Debt Engine'!$D$35="Active",'02_Debt Engine'!$H$35,'02_Debt Engine'!$C$7)))</f>
        <v>673198.27339282294</v>
      </c>
      <c r="O168" s="328">
        <f>IF(O167&lt;=0,0,O167*IF(AND('02_Debt Engine'!$F$35="Yes",'02_Debt Engine'!$V$35&gt;0,O$4&gt;'02_Debt Engine'!$I$35),'02_Debt Engine'!$C$13,IF('02_Debt Engine'!$D$35="Active",'02_Debt Engine'!$H$35,'02_Debt Engine'!$C$7)))</f>
        <v>660943.99308241124</v>
      </c>
      <c r="P168" s="328">
        <f>IF(P167&lt;=0,0,P167*IF(AND('02_Debt Engine'!$F$35="Yes",'02_Debt Engine'!$V$35&gt;0,P$4&gt;'02_Debt Engine'!$I$35),'02_Debt Engine'!$C$13,IF('02_Debt Engine'!$D$35="Active",'02_Debt Engine'!$H$35,'02_Debt Engine'!$C$7)))</f>
        <v>648199.54155958304</v>
      </c>
      <c r="Q168" s="328">
        <f>IF(Q167&lt;=0,0,Q167*IF(AND('02_Debt Engine'!$F$35="Yes",'02_Debt Engine'!$V$35&gt;0,Q$4&gt;'02_Debt Engine'!$I$35),'02_Debt Engine'!$C$13,IF('02_Debt Engine'!$D$35="Active",'02_Debt Engine'!$H$35,'02_Debt Engine'!$C$7)))</f>
        <v>634945.31197584176</v>
      </c>
      <c r="R168" s="328">
        <f>IF(R167&lt;=0,0,R167*IF(AND('02_Debt Engine'!$F$35="Yes",'02_Debt Engine'!$V$35&gt;0,R$4&gt;'02_Debt Engine'!$I$35),'02_Debt Engine'!$C$13,IF('02_Debt Engine'!$D$35="Active",'02_Debt Engine'!$H$35,'02_Debt Engine'!$C$7)))</f>
        <v>621160.91320875078</v>
      </c>
      <c r="S168" s="328">
        <f>IF(S167&lt;=0,0,S167*IF(AND('02_Debt Engine'!$F$35="Yes",'02_Debt Engine'!$V$35&gt;0,S$4&gt;'02_Debt Engine'!$I$35),'02_Debt Engine'!$C$13,IF('02_Debt Engine'!$D$35="Active",'02_Debt Engine'!$H$35,'02_Debt Engine'!$C$7)))</f>
        <v>606825.13849097618</v>
      </c>
      <c r="T168" s="328">
        <f>IF(T167&lt;=0,0,T167*IF(AND('02_Debt Engine'!$F$35="Yes",'02_Debt Engine'!$V$35&gt;0,T$4&gt;'02_Debt Engine'!$I$35),'02_Debt Engine'!$C$13,IF('02_Debt Engine'!$D$35="Active",'02_Debt Engine'!$H$35,'02_Debt Engine'!$C$7)))</f>
        <v>591915.93278449064</v>
      </c>
      <c r="U168" s="328">
        <f>IF(U167&lt;=0,0,U167*IF(AND('02_Debt Engine'!$F$35="Yes",'02_Debt Engine'!$V$35&gt;0,U$4&gt;'02_Debt Engine'!$I$35),'02_Debt Engine'!$C$13,IF('02_Debt Engine'!$D$35="Active",'02_Debt Engine'!$H$35,'02_Debt Engine'!$C$7)))</f>
        <v>576410.35884974559</v>
      </c>
      <c r="V168" s="328">
        <f>IF(V167&lt;=0,0,V167*IF(AND('02_Debt Engine'!$F$35="Yes",'02_Debt Engine'!$V$35&gt;0,V$4&gt;'02_Debt Engine'!$I$35),'02_Debt Engine'!$C$13,IF('02_Debt Engine'!$D$35="Active",'02_Debt Engine'!$H$35,'02_Debt Engine'!$C$7)))</f>
        <v>560284.56195761089</v>
      </c>
      <c r="W168" s="328">
        <f>IF(W167&lt;=0,0,W167*IF(AND('02_Debt Engine'!$F$35="Yes",'02_Debt Engine'!$V$35&gt;0,W$4&gt;'02_Debt Engine'!$I$35),'02_Debt Engine'!$C$13,IF('02_Debt Engine'!$D$35="Active",'02_Debt Engine'!$H$35,'02_Debt Engine'!$C$7)))</f>
        <v>543513.73318979063</v>
      </c>
    </row>
    <row r="169" spans="2:23">
      <c r="B169" s="13" t="s">
        <v>532</v>
      </c>
      <c r="C169" s="329">
        <f>IF(C167&lt;=0,0,MIN(C167,IF(AND('02_Debt Engine'!$F$35="Yes",'02_Debt Engine'!$V$35&gt;0,C$4&gt;'02_Debt Engine'!$I$35),'02_Debt Engine'!$W$35,IF('02_Debt Engine'!$D$35="Active",'02_Debt Engine'!$K$35,'02_Debt Engine'!$P$35))-C168))</f>
        <v>337009.11223142967</v>
      </c>
      <c r="D169" s="329">
        <f>IF(D167&lt;=0,0,MIN(D167,IF(AND('02_Debt Engine'!$F$35="Yes",'02_Debt Engine'!$V$35&gt;0,D$4&gt;'02_Debt Engine'!$I$35),'02_Debt Engine'!$W$35,IF('02_Debt Engine'!$D$35="Active",'02_Debt Engine'!$K$35,'02_Debt Engine'!$P$35))-D168))</f>
        <v>352174.52228184417</v>
      </c>
      <c r="E169" s="329">
        <f>IF(E167&lt;=0,0,MIN(E167,IF(AND('02_Debt Engine'!$F$35="Yes",'02_Debt Engine'!$V$35&gt;0,E$4&gt;'02_Debt Engine'!$I$35),'02_Debt Engine'!$W$35,IF('02_Debt Engine'!$D$35="Active",'02_Debt Engine'!$K$35,'02_Debt Engine'!$P$35))-E168))</f>
        <v>368022.37578452704</v>
      </c>
      <c r="F169" s="329">
        <f>IF(F167&lt;=0,0,MIN(F167,IF(AND('02_Debt Engine'!$F$35="Yes",'02_Debt Engine'!$V$35&gt;0,F$4&gt;'02_Debt Engine'!$I$35),'02_Debt Engine'!$W$35,IF('02_Debt Engine'!$D$35="Active",'02_Debt Engine'!$K$35,'02_Debt Engine'!$P$35))-F168))</f>
        <v>384583.38269483065</v>
      </c>
      <c r="G169" s="329">
        <f>IF(G167&lt;=0,0,MIN(G167,IF(AND('02_Debt Engine'!$F$35="Yes",'02_Debt Engine'!$V$35&gt;0,G$4&gt;'02_Debt Engine'!$I$35),'02_Debt Engine'!$W$35,IF('02_Debt Engine'!$D$35="Active",'02_Debt Engine'!$K$35,'02_Debt Engine'!$P$35))-G168))</f>
        <v>401889.63491609809</v>
      </c>
      <c r="H169" s="329">
        <f>IF(H167&lt;=0,0,MIN(H167,IF(AND('02_Debt Engine'!$F$35="Yes",'02_Debt Engine'!$V$35&gt;0,H$4&gt;'02_Debt Engine'!$I$35),'02_Debt Engine'!$W$35,IF('02_Debt Engine'!$D$35="Active",'02_Debt Engine'!$K$35,'02_Debt Engine'!$P$35))-H168))</f>
        <v>242118.39329218259</v>
      </c>
      <c r="I169" s="329">
        <f>IF(I167&lt;=0,0,MIN(I167,IF(AND('02_Debt Engine'!$F$35="Yes",'02_Debt Engine'!$V$35&gt;0,I$4&gt;'02_Debt Engine'!$I$35),'02_Debt Engine'!$W$35,IF('02_Debt Engine'!$D$35="Active",'02_Debt Engine'!$K$35,'02_Debt Engine'!$P$35))-I168))</f>
        <v>251803.12902386987</v>
      </c>
      <c r="J169" s="329">
        <f>IF(J167&lt;=0,0,MIN(J167,IF(AND('02_Debt Engine'!$F$35="Yes",'02_Debt Engine'!$V$35&gt;0,J$4&gt;'02_Debt Engine'!$I$35),'02_Debt Engine'!$W$35,IF('02_Debt Engine'!$D$35="Active",'02_Debt Engine'!$K$35,'02_Debt Engine'!$P$35))-J168))</f>
        <v>261875.25418482453</v>
      </c>
      <c r="K169" s="329">
        <f>IF(K167&lt;=0,0,MIN(K167,IF(AND('02_Debt Engine'!$F$35="Yes",'02_Debt Engine'!$V$35&gt;0,K$4&gt;'02_Debt Engine'!$I$35),'02_Debt Engine'!$W$35,IF('02_Debt Engine'!$D$35="Active",'02_Debt Engine'!$K$35,'02_Debt Engine'!$P$35))-K168))</f>
        <v>272350.26435221755</v>
      </c>
      <c r="L169" s="329">
        <f>IF(L167&lt;=0,0,MIN(L167,IF(AND('02_Debt Engine'!$F$35="Yes",'02_Debt Engine'!$V$35&gt;0,L$4&gt;'02_Debt Engine'!$I$35),'02_Debt Engine'!$W$35,IF('02_Debt Engine'!$D$35="Active",'02_Debt Engine'!$K$35,'02_Debt Engine'!$P$35))-L168))</f>
        <v>283244.27492630621</v>
      </c>
      <c r="M169" s="329">
        <f>IF(M167&lt;=0,0,MIN(M167,IF(AND('02_Debt Engine'!$F$35="Yes",'02_Debt Engine'!$V$35&gt;0,M$4&gt;'02_Debt Engine'!$I$35),'02_Debt Engine'!$W$35,IF('02_Debt Engine'!$D$35="Active",'02_Debt Engine'!$K$35,'02_Debt Engine'!$P$35))-M168))</f>
        <v>294574.04592335841</v>
      </c>
      <c r="N169" s="329">
        <f>IF(N167&lt;=0,0,MIN(N167,IF(AND('02_Debt Engine'!$F$35="Yes",'02_Debt Engine'!$V$35&gt;0,N$4&gt;'02_Debt Engine'!$I$35),'02_Debt Engine'!$W$35,IF('02_Debt Engine'!$D$35="Active",'02_Debt Engine'!$K$35,'02_Debt Engine'!$P$35))-N168))</f>
        <v>306357.00776029273</v>
      </c>
      <c r="O169" s="329">
        <f>IF(O167&lt;=0,0,MIN(O167,IF(AND('02_Debt Engine'!$F$35="Yes",'02_Debt Engine'!$V$35&gt;0,O$4&gt;'02_Debt Engine'!$I$35),'02_Debt Engine'!$W$35,IF('02_Debt Engine'!$D$35="Active",'02_Debt Engine'!$K$35,'02_Debt Engine'!$P$35))-O168))</f>
        <v>318611.28807070444</v>
      </c>
      <c r="P169" s="329">
        <f>IF(P167&lt;=0,0,MIN(P167,IF(AND('02_Debt Engine'!$F$35="Yes",'02_Debt Engine'!$V$35&gt;0,P$4&gt;'02_Debt Engine'!$I$35),'02_Debt Engine'!$W$35,IF('02_Debt Engine'!$D$35="Active",'02_Debt Engine'!$K$35,'02_Debt Engine'!$P$35))-P168))</f>
        <v>331355.73959353263</v>
      </c>
      <c r="Q169" s="329">
        <f>IF(Q167&lt;=0,0,MIN(Q167,IF(AND('02_Debt Engine'!$F$35="Yes",'02_Debt Engine'!$V$35&gt;0,Q$4&gt;'02_Debt Engine'!$I$35),'02_Debt Engine'!$W$35,IF('02_Debt Engine'!$D$35="Active",'02_Debt Engine'!$K$35,'02_Debt Engine'!$P$35))-Q168))</f>
        <v>344609.96917727392</v>
      </c>
      <c r="R169" s="329">
        <f>IF(R167&lt;=0,0,MIN(R167,IF(AND('02_Debt Engine'!$F$35="Yes",'02_Debt Engine'!$V$35&gt;0,R$4&gt;'02_Debt Engine'!$I$35),'02_Debt Engine'!$W$35,IF('02_Debt Engine'!$D$35="Active",'02_Debt Engine'!$K$35,'02_Debt Engine'!$P$35))-R168))</f>
        <v>358394.3679443649</v>
      </c>
      <c r="S169" s="329">
        <f>IF(S167&lt;=0,0,MIN(S167,IF(AND('02_Debt Engine'!$F$35="Yes",'02_Debt Engine'!$V$35&gt;0,S$4&gt;'02_Debt Engine'!$I$35),'02_Debt Engine'!$W$35,IF('02_Debt Engine'!$D$35="Active",'02_Debt Engine'!$K$35,'02_Debt Engine'!$P$35))-S168))</f>
        <v>372730.14266213949</v>
      </c>
      <c r="T169" s="329">
        <f>IF(T167&lt;=0,0,MIN(T167,IF(AND('02_Debt Engine'!$F$35="Yes",'02_Debt Engine'!$V$35&gt;0,T$4&gt;'02_Debt Engine'!$I$35),'02_Debt Engine'!$W$35,IF('02_Debt Engine'!$D$35="Active",'02_Debt Engine'!$K$35,'02_Debt Engine'!$P$35))-T168))</f>
        <v>387639.34836862504</v>
      </c>
      <c r="U169" s="329">
        <f>IF(U167&lt;=0,0,MIN(U167,IF(AND('02_Debt Engine'!$F$35="Yes",'02_Debt Engine'!$V$35&gt;0,U$4&gt;'02_Debt Engine'!$I$35),'02_Debt Engine'!$W$35,IF('02_Debt Engine'!$D$35="Active",'02_Debt Engine'!$K$35,'02_Debt Engine'!$P$35))-U168))</f>
        <v>403144.92230337008</v>
      </c>
      <c r="V169" s="329">
        <f>IF(V167&lt;=0,0,MIN(V167,IF(AND('02_Debt Engine'!$F$35="Yes",'02_Debt Engine'!$V$35&gt;0,V$4&gt;'02_Debt Engine'!$I$35),'02_Debt Engine'!$W$35,IF('02_Debt Engine'!$D$35="Active",'02_Debt Engine'!$K$35,'02_Debt Engine'!$P$35))-V168))</f>
        <v>419270.71919550479</v>
      </c>
      <c r="W169" s="329">
        <f>IF(W167&lt;=0,0,MIN(W167,IF(AND('02_Debt Engine'!$F$35="Yes",'02_Debt Engine'!$V$35&gt;0,W$4&gt;'02_Debt Engine'!$I$35),'02_Debt Engine'!$W$35,IF('02_Debt Engine'!$D$35="Active",'02_Debt Engine'!$K$35,'02_Debt Engine'!$P$35))-W168))</f>
        <v>436041.54796332505</v>
      </c>
    </row>
    <row r="170" spans="2:23">
      <c r="B170" s="14" t="s">
        <v>533</v>
      </c>
      <c r="C170" s="331">
        <f t="shared" ref="C170:W170" si="49">C167-C169</f>
        <v>37327990.887768567</v>
      </c>
      <c r="D170" s="331">
        <f t="shared" si="49"/>
        <v>36975816.365486726</v>
      </c>
      <c r="E170" s="331">
        <f t="shared" si="49"/>
        <v>36607793.989702202</v>
      </c>
      <c r="F170" s="331">
        <f t="shared" si="49"/>
        <v>36223210.607007369</v>
      </c>
      <c r="G170" s="331">
        <f t="shared" si="49"/>
        <v>35821320.972091272</v>
      </c>
      <c r="H170" s="331">
        <f t="shared" si="49"/>
        <v>18193803.803231146</v>
      </c>
      <c r="I170" s="331">
        <f t="shared" si="49"/>
        <v>17942000.674207278</v>
      </c>
      <c r="J170" s="331">
        <f t="shared" si="49"/>
        <v>17680125.420022454</v>
      </c>
      <c r="K170" s="331">
        <f t="shared" si="49"/>
        <v>17407775.155670237</v>
      </c>
      <c r="L170" s="331">
        <f t="shared" si="49"/>
        <v>17124530.880743932</v>
      </c>
      <c r="M170" s="331">
        <f t="shared" si="49"/>
        <v>16829956.834820572</v>
      </c>
      <c r="N170" s="331">
        <f t="shared" si="49"/>
        <v>16523599.82706028</v>
      </c>
      <c r="O170" s="331">
        <f t="shared" si="49"/>
        <v>16204988.538989576</v>
      </c>
      <c r="P170" s="331">
        <f t="shared" si="49"/>
        <v>15873632.799396044</v>
      </c>
      <c r="Q170" s="331">
        <f t="shared" si="49"/>
        <v>15529022.83021877</v>
      </c>
      <c r="R170" s="331">
        <f t="shared" si="49"/>
        <v>15170628.462274404</v>
      </c>
      <c r="S170" s="331">
        <f t="shared" si="49"/>
        <v>14797898.319612265</v>
      </c>
      <c r="T170" s="331">
        <f t="shared" si="49"/>
        <v>14410258.97124364</v>
      </c>
      <c r="U170" s="331">
        <f t="shared" si="49"/>
        <v>14007114.048940271</v>
      </c>
      <c r="V170" s="331">
        <f t="shared" si="49"/>
        <v>13587843.329744766</v>
      </c>
      <c r="W170" s="331">
        <f t="shared" si="49"/>
        <v>13151801.781781441</v>
      </c>
    </row>
    <row r="171" spans="2:23">
      <c r="B171" s="3" t="s">
        <v>367</v>
      </c>
      <c r="C171" s="328">
        <f>IF(AND('02_Debt Engine'!$F$35="Yes",'02_Debt Engine'!$V$35&gt;0,C$4='02_Debt Engine'!$I$35),-C170,0)</f>
        <v>0</v>
      </c>
      <c r="D171" s="328">
        <f>IF(AND('02_Debt Engine'!$F$35="Yes",'02_Debt Engine'!$V$35&gt;0,D$4='02_Debt Engine'!$I$35),-D170,0)</f>
        <v>0</v>
      </c>
      <c r="E171" s="328">
        <f>IF(AND('02_Debt Engine'!$F$35="Yes",'02_Debt Engine'!$V$35&gt;0,E$4='02_Debt Engine'!$I$35),-E170,0)</f>
        <v>0</v>
      </c>
      <c r="F171" s="328">
        <f>IF(AND('02_Debt Engine'!$F$35="Yes",'02_Debt Engine'!$V$35&gt;0,F$4='02_Debt Engine'!$I$35),-F170,0)</f>
        <v>0</v>
      </c>
      <c r="G171" s="328">
        <f>IF(AND('02_Debt Engine'!$F$35="Yes",'02_Debt Engine'!$V$35&gt;0,G$4='02_Debt Engine'!$I$35),-G170,0)</f>
        <v>-35821320.972091272</v>
      </c>
      <c r="H171" s="328">
        <f>IF(AND('02_Debt Engine'!$F$35="Yes",'02_Debt Engine'!$V$35&gt;0,H$4='02_Debt Engine'!$I$35),-H170,0)</f>
        <v>0</v>
      </c>
      <c r="I171" s="328">
        <f>IF(AND('02_Debt Engine'!$F$35="Yes",'02_Debt Engine'!$V$35&gt;0,I$4='02_Debt Engine'!$I$35),-I170,0)</f>
        <v>0</v>
      </c>
      <c r="J171" s="328">
        <f>IF(AND('02_Debt Engine'!$F$35="Yes",'02_Debt Engine'!$V$35&gt;0,J$4='02_Debt Engine'!$I$35),-J170,0)</f>
        <v>0</v>
      </c>
      <c r="K171" s="328">
        <f>IF(AND('02_Debt Engine'!$F$35="Yes",'02_Debt Engine'!$V$35&gt;0,K$4='02_Debt Engine'!$I$35),-K170,0)</f>
        <v>0</v>
      </c>
      <c r="L171" s="328">
        <f>IF(AND('02_Debt Engine'!$F$35="Yes",'02_Debt Engine'!$V$35&gt;0,L$4='02_Debt Engine'!$I$35),-L170,0)</f>
        <v>0</v>
      </c>
      <c r="M171" s="328">
        <f>IF(AND('02_Debt Engine'!$F$35="Yes",'02_Debt Engine'!$V$35&gt;0,M$4='02_Debt Engine'!$I$35),-M170,0)</f>
        <v>0</v>
      </c>
      <c r="N171" s="328">
        <f>IF(AND('02_Debt Engine'!$F$35="Yes",'02_Debt Engine'!$V$35&gt;0,N$4='02_Debt Engine'!$I$35),-N170,0)</f>
        <v>0</v>
      </c>
      <c r="O171" s="328">
        <f>IF(AND('02_Debt Engine'!$F$35="Yes",'02_Debt Engine'!$V$35&gt;0,O$4='02_Debt Engine'!$I$35),-O170,0)</f>
        <v>0</v>
      </c>
      <c r="P171" s="328">
        <f>IF(AND('02_Debt Engine'!$F$35="Yes",'02_Debt Engine'!$V$35&gt;0,P$4='02_Debt Engine'!$I$35),-P170,0)</f>
        <v>0</v>
      </c>
      <c r="Q171" s="328">
        <f>IF(AND('02_Debt Engine'!$F$35="Yes",'02_Debt Engine'!$V$35&gt;0,Q$4='02_Debt Engine'!$I$35),-Q170,0)</f>
        <v>0</v>
      </c>
      <c r="R171" s="328">
        <f>IF(AND('02_Debt Engine'!$F$35="Yes",'02_Debt Engine'!$V$35&gt;0,R$4='02_Debt Engine'!$I$35),-R170,0)</f>
        <v>0</v>
      </c>
      <c r="S171" s="328">
        <f>IF(AND('02_Debt Engine'!$F$35="Yes",'02_Debt Engine'!$V$35&gt;0,S$4='02_Debt Engine'!$I$35),-S170,0)</f>
        <v>0</v>
      </c>
      <c r="T171" s="328">
        <f>IF(AND('02_Debt Engine'!$F$35="Yes",'02_Debt Engine'!$V$35&gt;0,T$4='02_Debt Engine'!$I$35),-T170,0)</f>
        <v>0</v>
      </c>
      <c r="U171" s="328">
        <f>IF(AND('02_Debt Engine'!$F$35="Yes",'02_Debt Engine'!$V$35&gt;0,U$4='02_Debt Engine'!$I$35),-U170,0)</f>
        <v>0</v>
      </c>
      <c r="V171" s="328">
        <f>IF(AND('02_Debt Engine'!$F$35="Yes",'02_Debt Engine'!$V$35&gt;0,V$4='02_Debt Engine'!$I$35),-V170,0)</f>
        <v>0</v>
      </c>
      <c r="W171" s="328">
        <f>IF(AND('02_Debt Engine'!$F$35="Yes",'02_Debt Engine'!$V$35&gt;0,W$4='02_Debt Engine'!$I$35),-W170,0)</f>
        <v>0</v>
      </c>
    </row>
    <row r="172" spans="2:23">
      <c r="B172" s="13" t="s">
        <v>534</v>
      </c>
      <c r="C172" s="329">
        <f>IF(AND('02_Debt Engine'!$F$35="Yes",'02_Debt Engine'!$V$35&gt;0,C$4='02_Debt Engine'!$I$35),'02_Debt Engine'!$V$35,0)</f>
        <v>0</v>
      </c>
      <c r="D172" s="329">
        <f>IF(AND('02_Debt Engine'!$F$35="Yes",'02_Debt Engine'!$V$35&gt;0,D$4='02_Debt Engine'!$I$35),'02_Debt Engine'!$V$35,0)</f>
        <v>0</v>
      </c>
      <c r="E172" s="329">
        <f>IF(AND('02_Debt Engine'!$F$35="Yes",'02_Debt Engine'!$V$35&gt;0,E$4='02_Debt Engine'!$I$35),'02_Debt Engine'!$V$35,0)</f>
        <v>0</v>
      </c>
      <c r="F172" s="329">
        <f>IF(AND('02_Debt Engine'!$F$35="Yes",'02_Debt Engine'!$V$35&gt;0,F$4='02_Debt Engine'!$I$35),'02_Debt Engine'!$V$35,0)</f>
        <v>0</v>
      </c>
      <c r="G172" s="329">
        <f>IF(AND('02_Debt Engine'!$F$35="Yes",'02_Debt Engine'!$V$35&gt;0,G$4='02_Debt Engine'!$I$35),'02_Debt Engine'!$V$35,0)</f>
        <v>18435922.196523327</v>
      </c>
      <c r="H172" s="329">
        <f>IF(AND('02_Debt Engine'!$F$35="Yes",'02_Debt Engine'!$V$35&gt;0,H$4='02_Debt Engine'!$I$35),'02_Debt Engine'!$V$35,0)</f>
        <v>0</v>
      </c>
      <c r="I172" s="329">
        <f>IF(AND('02_Debt Engine'!$F$35="Yes",'02_Debt Engine'!$V$35&gt;0,I$4='02_Debt Engine'!$I$35),'02_Debt Engine'!$V$35,0)</f>
        <v>0</v>
      </c>
      <c r="J172" s="329">
        <f>IF(AND('02_Debt Engine'!$F$35="Yes",'02_Debt Engine'!$V$35&gt;0,J$4='02_Debt Engine'!$I$35),'02_Debt Engine'!$V$35,0)</f>
        <v>0</v>
      </c>
      <c r="K172" s="329">
        <f>IF(AND('02_Debt Engine'!$F$35="Yes",'02_Debt Engine'!$V$35&gt;0,K$4='02_Debt Engine'!$I$35),'02_Debt Engine'!$V$35,0)</f>
        <v>0</v>
      </c>
      <c r="L172" s="329">
        <f>IF(AND('02_Debt Engine'!$F$35="Yes",'02_Debt Engine'!$V$35&gt;0,L$4='02_Debt Engine'!$I$35),'02_Debt Engine'!$V$35,0)</f>
        <v>0</v>
      </c>
      <c r="M172" s="329">
        <f>IF(AND('02_Debt Engine'!$F$35="Yes",'02_Debt Engine'!$V$35&gt;0,M$4='02_Debt Engine'!$I$35),'02_Debt Engine'!$V$35,0)</f>
        <v>0</v>
      </c>
      <c r="N172" s="329">
        <f>IF(AND('02_Debt Engine'!$F$35="Yes",'02_Debt Engine'!$V$35&gt;0,N$4='02_Debt Engine'!$I$35),'02_Debt Engine'!$V$35,0)</f>
        <v>0</v>
      </c>
      <c r="O172" s="329">
        <f>IF(AND('02_Debt Engine'!$F$35="Yes",'02_Debt Engine'!$V$35&gt;0,O$4='02_Debt Engine'!$I$35),'02_Debt Engine'!$V$35,0)</f>
        <v>0</v>
      </c>
      <c r="P172" s="329">
        <f>IF(AND('02_Debt Engine'!$F$35="Yes",'02_Debt Engine'!$V$35&gt;0,P$4='02_Debt Engine'!$I$35),'02_Debt Engine'!$V$35,0)</f>
        <v>0</v>
      </c>
      <c r="Q172" s="329">
        <f>IF(AND('02_Debt Engine'!$F$35="Yes",'02_Debt Engine'!$V$35&gt;0,Q$4='02_Debt Engine'!$I$35),'02_Debt Engine'!$V$35,0)</f>
        <v>0</v>
      </c>
      <c r="R172" s="329">
        <f>IF(AND('02_Debt Engine'!$F$35="Yes",'02_Debt Engine'!$V$35&gt;0,R$4='02_Debt Engine'!$I$35),'02_Debt Engine'!$V$35,0)</f>
        <v>0</v>
      </c>
      <c r="S172" s="329">
        <f>IF(AND('02_Debt Engine'!$F$35="Yes",'02_Debt Engine'!$V$35&gt;0,S$4='02_Debt Engine'!$I$35),'02_Debt Engine'!$V$35,0)</f>
        <v>0</v>
      </c>
      <c r="T172" s="329">
        <f>IF(AND('02_Debt Engine'!$F$35="Yes",'02_Debt Engine'!$V$35&gt;0,T$4='02_Debt Engine'!$I$35),'02_Debt Engine'!$V$35,0)</f>
        <v>0</v>
      </c>
      <c r="U172" s="329">
        <f>IF(AND('02_Debt Engine'!$F$35="Yes",'02_Debt Engine'!$V$35&gt;0,U$4='02_Debt Engine'!$I$35),'02_Debt Engine'!$V$35,0)</f>
        <v>0</v>
      </c>
      <c r="V172" s="329">
        <f>IF(AND('02_Debt Engine'!$F$35="Yes",'02_Debt Engine'!$V$35&gt;0,V$4='02_Debt Engine'!$I$35),'02_Debt Engine'!$V$35,0)</f>
        <v>0</v>
      </c>
      <c r="W172" s="329">
        <f>IF(AND('02_Debt Engine'!$F$35="Yes",'02_Debt Engine'!$V$35&gt;0,W$4='02_Debt Engine'!$I$35),'02_Debt Engine'!$V$35,0)</f>
        <v>0</v>
      </c>
    </row>
    <row r="173" spans="2:23">
      <c r="B173" s="3" t="s">
        <v>535</v>
      </c>
      <c r="C173" s="330">
        <f t="shared" ref="C173:W173" si="50">C171+C172</f>
        <v>0</v>
      </c>
      <c r="D173" s="330">
        <f t="shared" si="50"/>
        <v>0</v>
      </c>
      <c r="E173" s="330">
        <f t="shared" si="50"/>
        <v>0</v>
      </c>
      <c r="F173" s="330">
        <f t="shared" si="50"/>
        <v>0</v>
      </c>
      <c r="G173" s="330">
        <f t="shared" si="50"/>
        <v>-17385398.775567945</v>
      </c>
      <c r="H173" s="330">
        <f t="shared" si="50"/>
        <v>0</v>
      </c>
      <c r="I173" s="330">
        <f t="shared" si="50"/>
        <v>0</v>
      </c>
      <c r="J173" s="330">
        <f t="shared" si="50"/>
        <v>0</v>
      </c>
      <c r="K173" s="330">
        <f t="shared" si="50"/>
        <v>0</v>
      </c>
      <c r="L173" s="330">
        <f t="shared" si="50"/>
        <v>0</v>
      </c>
      <c r="M173" s="330">
        <f t="shared" si="50"/>
        <v>0</v>
      </c>
      <c r="N173" s="330">
        <f t="shared" si="50"/>
        <v>0</v>
      </c>
      <c r="O173" s="330">
        <f t="shared" si="50"/>
        <v>0</v>
      </c>
      <c r="P173" s="330">
        <f t="shared" si="50"/>
        <v>0</v>
      </c>
      <c r="Q173" s="330">
        <f t="shared" si="50"/>
        <v>0</v>
      </c>
      <c r="R173" s="330">
        <f t="shared" si="50"/>
        <v>0</v>
      </c>
      <c r="S173" s="330">
        <f t="shared" si="50"/>
        <v>0</v>
      </c>
      <c r="T173" s="330">
        <f t="shared" si="50"/>
        <v>0</v>
      </c>
      <c r="U173" s="330">
        <f t="shared" si="50"/>
        <v>0</v>
      </c>
      <c r="V173" s="330">
        <f t="shared" si="50"/>
        <v>0</v>
      </c>
      <c r="W173" s="330">
        <f t="shared" si="50"/>
        <v>0</v>
      </c>
    </row>
    <row r="174" spans="2:23">
      <c r="B174" s="14" t="s">
        <v>525</v>
      </c>
      <c r="C174" s="328">
        <f t="shared" ref="C174:W174" si="51">C168+C169</f>
        <v>2031934.1122314297</v>
      </c>
      <c r="D174" s="328">
        <f t="shared" si="51"/>
        <v>2031934.1122314297</v>
      </c>
      <c r="E174" s="328">
        <f t="shared" si="51"/>
        <v>2031934.1122314297</v>
      </c>
      <c r="F174" s="328">
        <f t="shared" si="51"/>
        <v>2031934.1122314297</v>
      </c>
      <c r="G174" s="328">
        <f t="shared" si="51"/>
        <v>2031934.1122314297</v>
      </c>
      <c r="H174" s="328">
        <f t="shared" si="51"/>
        <v>979555.28115311568</v>
      </c>
      <c r="I174" s="328">
        <f t="shared" si="51"/>
        <v>979555.28115311568</v>
      </c>
      <c r="J174" s="328">
        <f t="shared" si="51"/>
        <v>979555.28115311568</v>
      </c>
      <c r="K174" s="328">
        <f t="shared" si="51"/>
        <v>979555.28115311568</v>
      </c>
      <c r="L174" s="328">
        <f t="shared" si="51"/>
        <v>979555.28115311568</v>
      </c>
      <c r="M174" s="328">
        <f t="shared" si="51"/>
        <v>979555.28115311568</v>
      </c>
      <c r="N174" s="328">
        <f t="shared" si="51"/>
        <v>979555.28115311568</v>
      </c>
      <c r="O174" s="328">
        <f t="shared" si="51"/>
        <v>979555.28115311568</v>
      </c>
      <c r="P174" s="328">
        <f t="shared" si="51"/>
        <v>979555.28115311568</v>
      </c>
      <c r="Q174" s="328">
        <f t="shared" si="51"/>
        <v>979555.28115311568</v>
      </c>
      <c r="R174" s="328">
        <f t="shared" si="51"/>
        <v>979555.28115311568</v>
      </c>
      <c r="S174" s="328">
        <f t="shared" si="51"/>
        <v>979555.28115311568</v>
      </c>
      <c r="T174" s="328">
        <f t="shared" si="51"/>
        <v>979555.28115311568</v>
      </c>
      <c r="U174" s="328">
        <f t="shared" si="51"/>
        <v>979555.28115311568</v>
      </c>
      <c r="V174" s="328">
        <f t="shared" si="51"/>
        <v>979555.28115311568</v>
      </c>
      <c r="W174" s="328">
        <f t="shared" si="51"/>
        <v>979555.28115311568</v>
      </c>
    </row>
  </sheetData>
  <mergeCells count="1">
    <mergeCell ref="B2:W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E009-3DDD-4732-9545-9ECFBE5CC75D}">
  <sheetPr>
    <tabColor rgb="FF808080"/>
  </sheetPr>
  <dimension ref="A1:Y87"/>
  <sheetViews>
    <sheetView showGridLines="0" workbookViewId="0">
      <selection activeCell="J28" sqref="J28"/>
    </sheetView>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75" customHeight="1">
      <c r="C1" s="274" t="s">
        <v>307</v>
      </c>
      <c r="E1" s="275" t="str">
        <f>COUNTA('01_Property Summary'!$C$5:$C$21)&amp;" Properties"</f>
        <v>17 Properties</v>
      </c>
      <c r="F1" s="2"/>
      <c r="G1" s="2"/>
      <c r="J1" s="450" t="s">
        <v>308</v>
      </c>
      <c r="K1" s="424"/>
      <c r="L1" s="424"/>
      <c r="M1" s="424"/>
      <c r="N1" s="424"/>
      <c r="O1" s="424"/>
      <c r="P1" s="3"/>
      <c r="Q1" s="3"/>
      <c r="R1" s="3"/>
      <c r="S1" s="3"/>
      <c r="T1" s="3"/>
    </row>
    <row r="2" spans="3:25" ht="15" customHeight="1">
      <c r="C2" s="276" t="s">
        <v>13</v>
      </c>
      <c r="D2" s="14"/>
      <c r="E2" s="277">
        <f>'01_Assumptions'!$C$31</f>
        <v>0.6</v>
      </c>
      <c r="J2" s="278" t="str">
        <f>"Gate 1 — NOI ≥ 0 at stabilization ("&amp;$E$4&amp;"):"</f>
        <v>Gate 1 — NOI ≥ 0 at stabilization (2035):</v>
      </c>
      <c r="M2" s="451" t="str">
        <f>_xlfn.LET(_xlpm.stabnoi,INDEX($41:$41,MATCH(($E$4),$12:$12,0)),IF(_xlpm.stabnoi&gt;=0,"PASS — NOI $"&amp;TEXT(_xlpm.stabnoi,"#,##0"),"FAIL — NOI $"&amp;TEXT(_xlpm.stabnoi,"#,##0")))</f>
        <v>PASS — NOI $13,770,361</v>
      </c>
      <c r="N2" s="424"/>
      <c r="O2" s="424"/>
      <c r="R2" s="6"/>
      <c r="S2" s="6"/>
    </row>
    <row r="3" spans="3:25" ht="15" customHeight="1">
      <c r="C3" s="276" t="s">
        <v>12</v>
      </c>
      <c r="D3" s="14"/>
      <c r="E3" s="277">
        <f>'01_Assumptions'!$C$32</f>
        <v>0.06</v>
      </c>
      <c r="J3" s="278" t="str">
        <f>"Gate 2 — DSCR ≥ 1.0× at stabilization ("&amp;$E$4&amp;"):"</f>
        <v>Gate 2 — DSCR ≥ 1.0× at stabilization (2035):</v>
      </c>
      <c r="M3" s="451" t="str">
        <f>_xlfn.LET(_xlpm.debt,INDEX($48:$48,MATCH(($E$4),$12:$12,0)),_xlpm.dscr,INDEX($50:$50,MATCH(($E$4),$12:$12,0)),
IF(_xlpm.debt=0,"PASS — no debt svc",IF(IFERROR(_xlpm.dscr,0)&gt;=1,"PASS — DSCR "&amp;TEXT(IFERROR(_xlpm.dscr,0),"0.00")&amp;"x","FAIL — DSCR "&amp;TEXT(IFERROR(_xlpm.dscr,0),"0.00")&amp;"x")))</f>
        <v>PASS — DSCR 2.02x</v>
      </c>
      <c r="N3" s="424"/>
      <c r="O3" s="424"/>
      <c r="R3" s="6"/>
      <c r="S3" s="6"/>
    </row>
    <row r="4" spans="3:25" ht="15">
      <c r="C4" s="276" t="s">
        <v>11</v>
      </c>
      <c r="D4" s="14"/>
      <c r="E4" s="279">
        <f>'01_Assumptions'!$C$34</f>
        <v>2035</v>
      </c>
      <c r="J4" s="280" t="s">
        <v>309</v>
      </c>
      <c r="M4" s="451" t="str">
        <f>IF(AND($J$52&gt;0,$O$52&gt;0),"PASS — AFFO $"&amp;TEXT($J$52,"#,##0")&amp;" (2030) / $"&amp;TEXT($O$52,"#,##0")&amp;" (2035)","FAIL — AFFO $"&amp;TEXT($J$52,"#,##0")&amp;" (2030) / $"&amp;TEXT($O$52,"#,##0")&amp;" (2035)")</f>
        <v>PASS — AFFO $6,009,928 (2030) / $6,958,704 (2035)</v>
      </c>
      <c r="N4" s="424"/>
      <c r="O4" s="424"/>
      <c r="R4" s="6"/>
      <c r="S4" s="6"/>
    </row>
    <row r="5" spans="3:25" ht="15" customHeight="1">
      <c r="J5" s="7"/>
      <c r="L5" s="6"/>
      <c r="M5" s="6"/>
      <c r="R5" s="6"/>
      <c r="S5" s="6"/>
    </row>
    <row r="7" spans="3:25" ht="38.25" customHeight="1">
      <c r="C7" s="7" t="s">
        <v>231</v>
      </c>
      <c r="E7" s="142" t="s">
        <v>310</v>
      </c>
      <c r="F7" s="142" t="s">
        <v>311</v>
      </c>
      <c r="G7" s="142" t="s">
        <v>312</v>
      </c>
      <c r="H7" s="142" t="s">
        <v>313</v>
      </c>
      <c r="I7" s="142" t="s">
        <v>314</v>
      </c>
      <c r="J7" s="142" t="s">
        <v>315</v>
      </c>
      <c r="K7" s="142" t="s">
        <v>316</v>
      </c>
      <c r="L7" s="142" t="s">
        <v>317</v>
      </c>
      <c r="M7" s="142" t="s">
        <v>318</v>
      </c>
      <c r="N7" s="142" t="s">
        <v>319</v>
      </c>
      <c r="O7" s="142" t="s">
        <v>320</v>
      </c>
      <c r="P7" s="142" t="s">
        <v>321</v>
      </c>
      <c r="Q7" s="142" t="s">
        <v>322</v>
      </c>
      <c r="R7" s="142" t="s">
        <v>323</v>
      </c>
      <c r="S7" s="142" t="s">
        <v>324</v>
      </c>
      <c r="T7" s="142" t="s">
        <v>325</v>
      </c>
      <c r="U7" s="142" t="s">
        <v>326</v>
      </c>
    </row>
    <row r="8" spans="3:25">
      <c r="C8" s="7" t="s">
        <v>327</v>
      </c>
      <c r="E8" s="281" t="str">
        <f>'00_MODEL_CONTROL'!E5</f>
        <v>No</v>
      </c>
      <c r="F8" s="281" t="str">
        <f>'00_MODEL_CONTROL'!E6</f>
        <v>Yes</v>
      </c>
      <c r="G8" s="281" t="str">
        <f>'00_MODEL_CONTROL'!E7</f>
        <v>Yes</v>
      </c>
      <c r="H8" s="281" t="str">
        <f>'00_MODEL_CONTROL'!E8</f>
        <v>Yes</v>
      </c>
      <c r="I8" s="281" t="str">
        <f>'00_MODEL_CONTROL'!E9</f>
        <v>Yes</v>
      </c>
      <c r="J8" s="281" t="str">
        <f>'00_MODEL_CONTROL'!E10</f>
        <v>Yes</v>
      </c>
      <c r="K8" s="281" t="str">
        <f>'00_MODEL_CONTROL'!E11</f>
        <v>Yes</v>
      </c>
      <c r="L8" s="281" t="str">
        <f>'00_MODEL_CONTROL'!E12</f>
        <v>Yes</v>
      </c>
      <c r="M8" s="281" t="str">
        <f>'00_MODEL_CONTROL'!E13</f>
        <v>Yes</v>
      </c>
      <c r="N8" s="281" t="str">
        <f>'00_MODEL_CONTROL'!E14</f>
        <v>Yes</v>
      </c>
      <c r="O8" s="281" t="str">
        <f>'00_MODEL_CONTROL'!E15</f>
        <v>Yes</v>
      </c>
      <c r="P8" s="281" t="str">
        <f>'00_MODEL_CONTROL'!E16</f>
        <v>Yes</v>
      </c>
      <c r="Q8" s="281" t="str">
        <f>'00_MODEL_CONTROL'!E17</f>
        <v>Yes</v>
      </c>
      <c r="R8" s="281" t="str">
        <f>'00_MODEL_CONTROL'!E18</f>
        <v>Yes</v>
      </c>
      <c r="S8" s="281" t="str">
        <f>'00_MODEL_CONTROL'!E19</f>
        <v>Yes</v>
      </c>
      <c r="T8" s="281" t="str">
        <f>'00_MODEL_CONTROL'!E20</f>
        <v>Yes</v>
      </c>
      <c r="U8" s="281" t="str">
        <f>'00_MODEL_CONTROL'!E21</f>
        <v>Yes</v>
      </c>
    </row>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IF($E$8="Yes",IFERROR(BLD_AB!E13,0),0)+IF($F$8="Yes",IFERROR(BLD_AC!E13,0),0)+IF($G$8="Yes",IFERROR(BLD_BT!E13,0),0)+IF($H$8="Yes",IFERROR(BLD_CH!E13,0),0)+IF($I$8="Yes",IFERROR(BLD_CC!E13,0),0)+IF($J$8="Yes",IFERROR(BLD_EA!E13,0),0)+IF($K$8="Yes",IFERROR(BLD_EE!E13,0),0)+IF($L$8="Yes",IFERROR(BLD_JP!E13,0),0)+IF($M$8="Yes",IFERROR(BLD_MH!E13,0),0)+IF($N$8="Yes",IFERROR(BLD_MM!E13,0),0)+IF($O$8="Yes",IFERROR(BLD_NT!E13,0),0)+IF($P$8="Yes",IFERROR(BLD_NG!E13,0),0)+IF($Q$8="Yes",IFERROR(BLD_RG!E13,0),0)+IF($R$8="Yes",IFERROR(BLD_AS!E13,0),0)+IF($S$8="Yes",IFERROR(BLD_PS!E13,0),0)+IF($T$8="Yes",IFERROR(BLD_PM!E13,0),0)+IF($U$8="Yes",IFERROR(BLD_CD!E13,0),0)</f>
        <v>6294771</v>
      </c>
      <c r="F13" s="283">
        <f>IF($E$8="Yes",IFERROR(BLD_AB!F13,0),0)+IF($F$8="Yes",IFERROR(BLD_AC!F13,0),0)+IF($G$8="Yes",IFERROR(BLD_BT!F13,0),0)+IF($H$8="Yes",IFERROR(BLD_CH!F13,0),0)+IF($I$8="Yes",IFERROR(BLD_CC!F13,0),0)+IF($J$8="Yes",IFERROR(BLD_EA!F13,0),0)+IF($K$8="Yes",IFERROR(BLD_EE!F13,0),0)+IF($L$8="Yes",IFERROR(BLD_JP!F13,0),0)+IF($M$8="Yes",IFERROR(BLD_MH!F13,0),0)+IF($N$8="Yes",IFERROR(BLD_MM!F13,0),0)+IF($O$8="Yes",IFERROR(BLD_NT!F13,0),0)+IF($P$8="Yes",IFERROR(BLD_NG!F13,0),0)+IF($Q$8="Yes",IFERROR(BLD_RG!F13,0),0)+IF($R$8="Yes",IFERROR(BLD_AS!F13,0),0)+IF($S$8="Yes",IFERROR(BLD_PS!F13,0),0)+IF($T$8="Yes",IFERROR(BLD_PM!F13,0),0)+IF($U$8="Yes",IFERROR(BLD_CD!F13,0),0)</f>
        <v>6685307.7660000008</v>
      </c>
      <c r="G13" s="283">
        <f>IF($E$8="Yes",IFERROR(BLD_AB!G13,0),0)+IF($F$8="Yes",IFERROR(BLD_AC!G13,0),0)+IF($G$8="Yes",IFERROR(BLD_BT!G13,0),0)+IF($H$8="Yes",IFERROR(BLD_CH!G13,0),0)+IF($I$8="Yes",IFERROR(BLD_CC!G13,0),0)+IF($J$8="Yes",IFERROR(BLD_EA!G13,0),0)+IF($K$8="Yes",IFERROR(BLD_EE!G13,0),0)+IF($L$8="Yes",IFERROR(BLD_JP!G13,0),0)+IF($M$8="Yes",IFERROR(BLD_MH!G13,0),0)+IF($N$8="Yes",IFERROR(BLD_MM!G13,0),0)+IF($O$8="Yes",IFERROR(BLD_NT!G13,0),0)+IF($P$8="Yes",IFERROR(BLD_NG!G13,0),0)+IF($Q$8="Yes",IFERROR(BLD_RG!G13,0),0)+IF($R$8="Yes",IFERROR(BLD_AS!G13,0),0)+IF($S$8="Yes",IFERROR(BLD_PS!G13,0),0)+IF($T$8="Yes",IFERROR(BLD_PM!G13,0),0)+IF($U$8="Yes",IFERROR(BLD_CD!G13,0),0)</f>
        <v>12170120.755413599</v>
      </c>
      <c r="H13" s="283">
        <f>IF($E$8="Yes",IFERROR(BLD_AB!H13,0),0)+IF($F$8="Yes",IFERROR(BLD_AC!H13,0),0)+IF($G$8="Yes",IFERROR(BLD_BT!H13,0),0)+IF($H$8="Yes",IFERROR(BLD_CH!H13,0),0)+IF($I$8="Yes",IFERROR(BLD_CC!H13,0),0)+IF($J$8="Yes",IFERROR(BLD_EA!H13,0),0)+IF($K$8="Yes",IFERROR(BLD_EE!H13,0),0)+IF($L$8="Yes",IFERROR(BLD_JP!H13,0),0)+IF($M$8="Yes",IFERROR(BLD_MH!H13,0),0)+IF($N$8="Yes",IFERROR(BLD_MM!H13,0),0)+IF($O$8="Yes",IFERROR(BLD_NT!H13,0),0)+IF($P$8="Yes",IFERROR(BLD_NG!H13,0),0)+IF($Q$8="Yes",IFERROR(BLD_RG!H13,0),0)+IF($R$8="Yes",IFERROR(BLD_AS!H13,0),0)+IF($S$8="Yes",IFERROR(BLD_PS!H13,0),0)+IF($T$8="Yes",IFERROR(BLD_PM!H13,0),0)+IF($U$8="Yes",IFERROR(BLD_CD!H13,0),0)</f>
        <v>16410548.988455471</v>
      </c>
      <c r="I13" s="283">
        <f>IF($E$8="Yes",IFERROR(BLD_AB!I13,0),0)+IF($F$8="Yes",IFERROR(BLD_AC!I13,0),0)+IF($G$8="Yes",IFERROR(BLD_BT!I13,0),0)+IF($H$8="Yes",IFERROR(BLD_CH!I13,0),0)+IF($I$8="Yes",IFERROR(BLD_CC!I13,0),0)+IF($J$8="Yes",IFERROR(BLD_EA!I13,0),0)+IF($K$8="Yes",IFERROR(BLD_EE!I13,0),0)+IF($L$8="Yes",IFERROR(BLD_JP!I13,0),0)+IF($M$8="Yes",IFERROR(BLD_MH!I13,0),0)+IF($N$8="Yes",IFERROR(BLD_MM!I13,0),0)+IF($O$8="Yes",IFERROR(BLD_NT!I13,0),0)+IF($P$8="Yes",IFERROR(BLD_NG!I13,0),0)+IF($Q$8="Yes",IFERROR(BLD_RG!I13,0),0)+IF($R$8="Yes",IFERROR(BLD_AS!I13,0),0)+IF($S$8="Yes",IFERROR(BLD_PS!I13,0),0)+IF($T$8="Yes",IFERROR(BLD_PM!I13,0),0)+IF($U$8="Yes",IFERROR(BLD_CD!I13,0),0)</f>
        <v>18945795.736934967</v>
      </c>
      <c r="J13" s="283">
        <f>IF($E$8="Yes",IFERROR(BLD_AB!J13,0),0)+IF($F$8="Yes",IFERROR(BLD_AC!J13,0),0)+IF($G$8="Yes",IFERROR(BLD_BT!J13,0),0)+IF($H$8="Yes",IFERROR(BLD_CH!J13,0),0)+IF($I$8="Yes",IFERROR(BLD_CC!J13,0),0)+IF($J$8="Yes",IFERROR(BLD_EA!J13,0),0)+IF($K$8="Yes",IFERROR(BLD_EE!J13,0),0)+IF($L$8="Yes",IFERROR(BLD_JP!J13,0),0)+IF($M$8="Yes",IFERROR(BLD_MH!J13,0),0)+IF($N$8="Yes",IFERROR(BLD_MM!J13,0),0)+IF($O$8="Yes",IFERROR(BLD_NT!J13,0),0)+IF($P$8="Yes",IFERROR(BLD_NG!J13,0),0)+IF($Q$8="Yes",IFERROR(BLD_RG!J13,0),0)+IF($R$8="Yes",IFERROR(BLD_AS!J13,0),0)+IF($S$8="Yes",IFERROR(BLD_PS!J13,0),0)+IF($T$8="Yes",IFERROR(BLD_PM!J13,0),0)+IF($U$8="Yes",IFERROR(BLD_CD!J13,0),0)</f>
        <v>19324711.651673667</v>
      </c>
      <c r="K13" s="283">
        <f>IF($E$8="Yes",IFERROR(BLD_AB!K13,0),0)+IF($F$8="Yes",IFERROR(BLD_AC!K13,0),0)+IF($G$8="Yes",IFERROR(BLD_BT!K13,0),0)+IF($H$8="Yes",IFERROR(BLD_CH!K13,0),0)+IF($I$8="Yes",IFERROR(BLD_CC!K13,0),0)+IF($J$8="Yes",IFERROR(BLD_EA!K13,0),0)+IF($K$8="Yes",IFERROR(BLD_EE!K13,0),0)+IF($L$8="Yes",IFERROR(BLD_JP!K13,0),0)+IF($M$8="Yes",IFERROR(BLD_MH!K13,0),0)+IF($N$8="Yes",IFERROR(BLD_MM!K13,0),0)+IF($O$8="Yes",IFERROR(BLD_NT!K13,0),0)+IF($P$8="Yes",IFERROR(BLD_NG!K13,0),0)+IF($Q$8="Yes",IFERROR(BLD_RG!K13,0),0)+IF($R$8="Yes",IFERROR(BLD_AS!K13,0),0)+IF($S$8="Yes",IFERROR(BLD_PS!K13,0),0)+IF($T$8="Yes",IFERROR(BLD_PM!K13,0),0)+IF($U$8="Yes",IFERROR(BLD_CD!K13,0),0)</f>
        <v>19711205.884707142</v>
      </c>
      <c r="L13" s="283">
        <f>IF($E$8="Yes",IFERROR(BLD_AB!L13,0),0)+IF($F$8="Yes",IFERROR(BLD_AC!L13,0),0)+IF($G$8="Yes",IFERROR(BLD_BT!L13,0),0)+IF($H$8="Yes",IFERROR(BLD_CH!L13,0),0)+IF($I$8="Yes",IFERROR(BLD_CC!L13,0),0)+IF($J$8="Yes",IFERROR(BLD_EA!L13,0),0)+IF($K$8="Yes",IFERROR(BLD_EE!L13,0),0)+IF($L$8="Yes",IFERROR(BLD_JP!L13,0),0)+IF($M$8="Yes",IFERROR(BLD_MH!L13,0),0)+IF($N$8="Yes",IFERROR(BLD_MM!L13,0),0)+IF($O$8="Yes",IFERROR(BLD_NT!L13,0),0)+IF($P$8="Yes",IFERROR(BLD_NG!L13,0),0)+IF($Q$8="Yes",IFERROR(BLD_RG!L13,0),0)+IF($R$8="Yes",IFERROR(BLD_AS!L13,0),0)+IF($S$8="Yes",IFERROR(BLD_PS!L13,0),0)+IF($T$8="Yes",IFERROR(BLD_PM!L13,0),0)+IF($U$8="Yes",IFERROR(BLD_CD!L13,0),0)</f>
        <v>20105430.002401281</v>
      </c>
      <c r="M13" s="283">
        <f>IF($E$8="Yes",IFERROR(BLD_AB!M13,0),0)+IF($F$8="Yes",IFERROR(BLD_AC!M13,0),0)+IF($G$8="Yes",IFERROR(BLD_BT!M13,0),0)+IF($H$8="Yes",IFERROR(BLD_CH!M13,0),0)+IF($I$8="Yes",IFERROR(BLD_CC!M13,0),0)+IF($J$8="Yes",IFERROR(BLD_EA!M13,0),0)+IF($K$8="Yes",IFERROR(BLD_EE!M13,0),0)+IF($L$8="Yes",IFERROR(BLD_JP!M13,0),0)+IF($M$8="Yes",IFERROR(BLD_MH!M13,0),0)+IF($N$8="Yes",IFERROR(BLD_MM!M13,0),0)+IF($O$8="Yes",IFERROR(BLD_NT!M13,0),0)+IF($P$8="Yes",IFERROR(BLD_NG!M13,0),0)+IF($Q$8="Yes",IFERROR(BLD_RG!M13,0),0)+IF($R$8="Yes",IFERROR(BLD_AS!M13,0),0)+IF($S$8="Yes",IFERROR(BLD_PS!M13,0),0)+IF($T$8="Yes",IFERROR(BLD_PM!M13,0),0)+IF($U$8="Yes",IFERROR(BLD_CD!M13,0),0)</f>
        <v>20507538.602449305</v>
      </c>
      <c r="N13" s="283">
        <f>IF($E$8="Yes",IFERROR(BLD_AB!N13,0),0)+IF($F$8="Yes",IFERROR(BLD_AC!N13,0),0)+IF($G$8="Yes",IFERROR(BLD_BT!N13,0),0)+IF($H$8="Yes",IFERROR(BLD_CH!N13,0),0)+IF($I$8="Yes",IFERROR(BLD_CC!N13,0),0)+IF($J$8="Yes",IFERROR(BLD_EA!N13,0),0)+IF($K$8="Yes",IFERROR(BLD_EE!N13,0),0)+IF($L$8="Yes",IFERROR(BLD_JP!N13,0),0)+IF($M$8="Yes",IFERROR(BLD_MH!N13,0),0)+IF($N$8="Yes",IFERROR(BLD_MM!N13,0),0)+IF($O$8="Yes",IFERROR(BLD_NT!N13,0),0)+IF($P$8="Yes",IFERROR(BLD_NG!N13,0),0)+IF($Q$8="Yes",IFERROR(BLD_RG!N13,0),0)+IF($R$8="Yes",IFERROR(BLD_AS!N13,0),0)+IF($S$8="Yes",IFERROR(BLD_PS!N13,0),0)+IF($T$8="Yes",IFERROR(BLD_PM!N13,0),0)+IF($U$8="Yes",IFERROR(BLD_CD!N13,0),0)</f>
        <v>20917689.374498289</v>
      </c>
      <c r="O13" s="283">
        <f>IF($E$8="Yes",IFERROR(BLD_AB!O13,0),0)+IF($F$8="Yes",IFERROR(BLD_AC!O13,0),0)+IF($G$8="Yes",IFERROR(BLD_BT!O13,0),0)+IF($H$8="Yes",IFERROR(BLD_CH!O13,0),0)+IF($I$8="Yes",IFERROR(BLD_CC!O13,0),0)+IF($J$8="Yes",IFERROR(BLD_EA!O13,0),0)+IF($K$8="Yes",IFERROR(BLD_EE!O13,0),0)+IF($L$8="Yes",IFERROR(BLD_JP!O13,0),0)+IF($M$8="Yes",IFERROR(BLD_MH!O13,0),0)+IF($N$8="Yes",IFERROR(BLD_MM!O13,0),0)+IF($O$8="Yes",IFERROR(BLD_NT!O13,0),0)+IF($P$8="Yes",IFERROR(BLD_NG!O13,0),0)+IF($Q$8="Yes",IFERROR(BLD_RG!O13,0),0)+IF($R$8="Yes",IFERROR(BLD_AS!O13,0),0)+IF($S$8="Yes",IFERROR(BLD_PS!O13,0),0)+IF($T$8="Yes",IFERROR(BLD_PM!O13,0),0)+IF($U$8="Yes",IFERROR(BLD_CD!O13,0),0)</f>
        <v>21336043.161988258</v>
      </c>
      <c r="P13" s="283">
        <f>IF($E$8="Yes",IFERROR(BLD_AB!P13,0),0)+IF($F$8="Yes",IFERROR(BLD_AC!P13,0),0)+IF($G$8="Yes",IFERROR(BLD_BT!P13,0),0)+IF($H$8="Yes",IFERROR(BLD_CH!P13,0),0)+IF($I$8="Yes",IFERROR(BLD_CC!P13,0),0)+IF($J$8="Yes",IFERROR(BLD_EA!P13,0),0)+IF($K$8="Yes",IFERROR(BLD_EE!P13,0),0)+IF($L$8="Yes",IFERROR(BLD_JP!P13,0),0)+IF($M$8="Yes",IFERROR(BLD_MH!P13,0),0)+IF($N$8="Yes",IFERROR(BLD_MM!P13,0),0)+IF($O$8="Yes",IFERROR(BLD_NT!P13,0),0)+IF($P$8="Yes",IFERROR(BLD_NG!P13,0),0)+IF($Q$8="Yes",IFERROR(BLD_RG!P13,0),0)+IF($R$8="Yes",IFERROR(BLD_AS!P13,0),0)+IF($S$8="Yes",IFERROR(BLD_PS!P13,0),0)+IF($T$8="Yes",IFERROR(BLD_PM!P13,0),0)+IF($U$8="Yes",IFERROR(BLD_CD!P13,0),0)</f>
        <v>21762764.025228016</v>
      </c>
      <c r="Q13" s="283">
        <f>IF($E$8="Yes",IFERROR(BLD_AB!Q13,0),0)+IF($F$8="Yes",IFERROR(BLD_AC!Q13,0),0)+IF($G$8="Yes",IFERROR(BLD_BT!Q13,0),0)+IF($H$8="Yes",IFERROR(BLD_CH!Q13,0),0)+IF($I$8="Yes",IFERROR(BLD_CC!Q13,0),0)+IF($J$8="Yes",IFERROR(BLD_EA!Q13,0),0)+IF($K$8="Yes",IFERROR(BLD_EE!Q13,0),0)+IF($L$8="Yes",IFERROR(BLD_JP!Q13,0),0)+IF($M$8="Yes",IFERROR(BLD_MH!Q13,0),0)+IF($N$8="Yes",IFERROR(BLD_MM!Q13,0),0)+IF($O$8="Yes",IFERROR(BLD_NT!Q13,0),0)+IF($P$8="Yes",IFERROR(BLD_NG!Q13,0),0)+IF($Q$8="Yes",IFERROR(BLD_RG!Q13,0),0)+IF($R$8="Yes",IFERROR(BLD_AS!Q13,0),0)+IF($S$8="Yes",IFERROR(BLD_PS!Q13,0),0)+IF($T$8="Yes",IFERROR(BLD_PM!Q13,0),0)+IF($U$8="Yes",IFERROR(BLD_CD!Q13,0),0)</f>
        <v>22198019.305732585</v>
      </c>
      <c r="R13" s="283">
        <f>IF($E$8="Yes",IFERROR(BLD_AB!R13,0),0)+IF($F$8="Yes",IFERROR(BLD_AC!R13,0),0)+IF($G$8="Yes",IFERROR(BLD_BT!R13,0),0)+IF($H$8="Yes",IFERROR(BLD_CH!R13,0),0)+IF($I$8="Yes",IFERROR(BLD_CC!R13,0),0)+IF($J$8="Yes",IFERROR(BLD_EA!R13,0),0)+IF($K$8="Yes",IFERROR(BLD_EE!R13,0),0)+IF($L$8="Yes",IFERROR(BLD_JP!R13,0),0)+IF($M$8="Yes",IFERROR(BLD_MH!R13,0),0)+IF($N$8="Yes",IFERROR(BLD_MM!R13,0),0)+IF($O$8="Yes",IFERROR(BLD_NT!R13,0),0)+IF($P$8="Yes",IFERROR(BLD_NG!R13,0),0)+IF($Q$8="Yes",IFERROR(BLD_RG!R13,0),0)+IF($R$8="Yes",IFERROR(BLD_AS!R13,0),0)+IF($S$8="Yes",IFERROR(BLD_PS!R13,0),0)+IF($T$8="Yes",IFERROR(BLD_PM!R13,0),0)+IF($U$8="Yes",IFERROR(BLD_CD!R13,0),0)</f>
        <v>22641979.691847235</v>
      </c>
      <c r="S13" s="283">
        <f>IF($E$8="Yes",IFERROR(BLD_AB!S13,0),0)+IF($F$8="Yes",IFERROR(BLD_AC!S13,0),0)+IF($G$8="Yes",IFERROR(BLD_BT!S13,0),0)+IF($H$8="Yes",IFERROR(BLD_CH!S13,0),0)+IF($I$8="Yes",IFERROR(BLD_CC!S13,0),0)+IF($J$8="Yes",IFERROR(BLD_EA!S13,0),0)+IF($K$8="Yes",IFERROR(BLD_EE!S13,0),0)+IF($L$8="Yes",IFERROR(BLD_JP!S13,0),0)+IF($M$8="Yes",IFERROR(BLD_MH!S13,0),0)+IF($N$8="Yes",IFERROR(BLD_MM!S13,0),0)+IF($O$8="Yes",IFERROR(BLD_NT!S13,0),0)+IF($P$8="Yes",IFERROR(BLD_NG!S13,0),0)+IF($Q$8="Yes",IFERROR(BLD_RG!S13,0),0)+IF($R$8="Yes",IFERROR(BLD_AS!S13,0),0)+IF($S$8="Yes",IFERROR(BLD_PS!S13,0),0)+IF($T$8="Yes",IFERROR(BLD_PM!S13,0),0)+IF($U$8="Yes",IFERROR(BLD_CD!S13,0),0)</f>
        <v>23094819.285684183</v>
      </c>
      <c r="T13" s="283">
        <f>IF($E$8="Yes",IFERROR(BLD_AB!T13,0),0)+IF($F$8="Yes",IFERROR(BLD_AC!T13,0),0)+IF($G$8="Yes",IFERROR(BLD_BT!T13,0),0)+IF($H$8="Yes",IFERROR(BLD_CH!T13,0),0)+IF($I$8="Yes",IFERROR(BLD_CC!T13,0),0)+IF($J$8="Yes",IFERROR(BLD_EA!T13,0),0)+IF($K$8="Yes",IFERROR(BLD_EE!T13,0),0)+IF($L$8="Yes",IFERROR(BLD_JP!T13,0),0)+IF($M$8="Yes",IFERROR(BLD_MH!T13,0),0)+IF($N$8="Yes",IFERROR(BLD_MM!T13,0),0)+IF($O$8="Yes",IFERROR(BLD_NT!T13,0),0)+IF($P$8="Yes",IFERROR(BLD_NG!T13,0),0)+IF($Q$8="Yes",IFERROR(BLD_RG!T13,0),0)+IF($R$8="Yes",IFERROR(BLD_AS!T13,0),0)+IF($S$8="Yes",IFERROR(BLD_PS!T13,0),0)+IF($T$8="Yes",IFERROR(BLD_PM!T13,0),0)+IF($U$8="Yes",IFERROR(BLD_CD!T13,0),0)</f>
        <v>23556715.671397857</v>
      </c>
      <c r="U13" s="283">
        <f>IF($E$8="Yes",IFERROR(BLD_AB!U13,0),0)+IF($F$8="Yes",IFERROR(BLD_AC!U13,0),0)+IF($G$8="Yes",IFERROR(BLD_BT!U13,0),0)+IF($H$8="Yes",IFERROR(BLD_CH!U13,0),0)+IF($I$8="Yes",IFERROR(BLD_CC!U13,0),0)+IF($J$8="Yes",IFERROR(BLD_EA!U13,0),0)+IF($K$8="Yes",IFERROR(BLD_EE!U13,0),0)+IF($L$8="Yes",IFERROR(BLD_JP!U13,0),0)+IF($M$8="Yes",IFERROR(BLD_MH!U13,0),0)+IF($N$8="Yes",IFERROR(BLD_MM!U13,0),0)+IF($O$8="Yes",IFERROR(BLD_NT!U13,0),0)+IF($P$8="Yes",IFERROR(BLD_NG!U13,0),0)+IF($Q$8="Yes",IFERROR(BLD_RG!U13,0),0)+IF($R$8="Yes",IFERROR(BLD_AS!U13,0),0)+IF($S$8="Yes",IFERROR(BLD_PS!U13,0),0)+IF($T$8="Yes",IFERROR(BLD_PM!U13,0),0)+IF($U$8="Yes",IFERROR(BLD_CD!U13,0),0)</f>
        <v>24027849.98482582</v>
      </c>
      <c r="V13" s="283">
        <f>IF($E$8="Yes",IFERROR(BLD_AB!V13,0),0)+IF($F$8="Yes",IFERROR(BLD_AC!V13,0),0)+IF($G$8="Yes",IFERROR(BLD_BT!V13,0),0)+IF($H$8="Yes",IFERROR(BLD_CH!V13,0),0)+IF($I$8="Yes",IFERROR(BLD_CC!V13,0),0)+IF($J$8="Yes",IFERROR(BLD_EA!V13,0),0)+IF($K$8="Yes",IFERROR(BLD_EE!V13,0),0)+IF($L$8="Yes",IFERROR(BLD_JP!V13,0),0)+IF($M$8="Yes",IFERROR(BLD_MH!V13,0),0)+IF($N$8="Yes",IFERROR(BLD_MM!V13,0),0)+IF($O$8="Yes",IFERROR(BLD_NT!V13,0),0)+IF($P$8="Yes",IFERROR(BLD_NG!V13,0),0)+IF($Q$8="Yes",IFERROR(BLD_RG!V13,0),0)+IF($R$8="Yes",IFERROR(BLD_AS!V13,0),0)+IF($S$8="Yes",IFERROR(BLD_PS!V13,0),0)+IF($T$8="Yes",IFERROR(BLD_PM!V13,0),0)+IF($U$8="Yes",IFERROR(BLD_CD!V13,0),0)</f>
        <v>24508406.984522339</v>
      </c>
      <c r="W13" s="283">
        <f>IF($E$8="Yes",IFERROR(BLD_AB!W13,0),0)+IF($F$8="Yes",IFERROR(BLD_AC!W13,0),0)+IF($G$8="Yes",IFERROR(BLD_BT!W13,0),0)+IF($H$8="Yes",IFERROR(BLD_CH!W13,0),0)+IF($I$8="Yes",IFERROR(BLD_CC!W13,0),0)+IF($J$8="Yes",IFERROR(BLD_EA!W13,0),0)+IF($K$8="Yes",IFERROR(BLD_EE!W13,0),0)+IF($L$8="Yes",IFERROR(BLD_JP!W13,0),0)+IF($M$8="Yes",IFERROR(BLD_MH!W13,0),0)+IF($N$8="Yes",IFERROR(BLD_MM!W13,0),0)+IF($O$8="Yes",IFERROR(BLD_NT!W13,0),0)+IF($P$8="Yes",IFERROR(BLD_NG!W13,0),0)+IF($Q$8="Yes",IFERROR(BLD_RG!W13,0),0)+IF($R$8="Yes",IFERROR(BLD_AS!W13,0),0)+IF($S$8="Yes",IFERROR(BLD_PS!W13,0),0)+IF($T$8="Yes",IFERROR(BLD_PM!W13,0),0)+IF($U$8="Yes",IFERROR(BLD_CD!W13,0),0)</f>
        <v>24998575.124212783</v>
      </c>
      <c r="X13" s="283">
        <f>IF($E$8="Yes",IFERROR(BLD_AB!X13,0),0)+IF($F$8="Yes",IFERROR(BLD_AC!X13,0),0)+IF($G$8="Yes",IFERROR(BLD_BT!X13,0),0)+IF($H$8="Yes",IFERROR(BLD_CH!X13,0),0)+IF($I$8="Yes",IFERROR(BLD_CC!X13,0),0)+IF($J$8="Yes",IFERROR(BLD_EA!X13,0),0)+IF($K$8="Yes",IFERROR(BLD_EE!X13,0),0)+IF($L$8="Yes",IFERROR(BLD_JP!X13,0),0)+IF($M$8="Yes",IFERROR(BLD_MH!X13,0),0)+IF($N$8="Yes",IFERROR(BLD_MM!X13,0),0)+IF($O$8="Yes",IFERROR(BLD_NT!X13,0),0)+IF($P$8="Yes",IFERROR(BLD_NG!X13,0),0)+IF($Q$8="Yes",IFERROR(BLD_RG!X13,0),0)+IF($R$8="Yes",IFERROR(BLD_AS!X13,0),0)+IF($S$8="Yes",IFERROR(BLD_PS!X13,0),0)+IF($T$8="Yes",IFERROR(BLD_PM!X13,0),0)+IF($U$8="Yes",IFERROR(BLD_CD!X13,0),0)</f>
        <v>25498546.626697041</v>
      </c>
      <c r="Y13" s="283">
        <f>IF($E$8="Yes",IFERROR(BLD_AB!Y13,0),0)+IF($F$8="Yes",IFERROR(BLD_AC!Y13,0),0)+IF($G$8="Yes",IFERROR(BLD_BT!Y13,0),0)+IF($H$8="Yes",IFERROR(BLD_CH!Y13,0),0)+IF($I$8="Yes",IFERROR(BLD_CC!Y13,0),0)+IF($J$8="Yes",IFERROR(BLD_EA!Y13,0),0)+IF($K$8="Yes",IFERROR(BLD_EE!Y13,0),0)+IF($L$8="Yes",IFERROR(BLD_JP!Y13,0),0)+IF($M$8="Yes",IFERROR(BLD_MH!Y13,0),0)+IF($N$8="Yes",IFERROR(BLD_MM!Y13,0),0)+IF($O$8="Yes",IFERROR(BLD_NT!Y13,0),0)+IF($P$8="Yes",IFERROR(BLD_NG!Y13,0),0)+IF($Q$8="Yes",IFERROR(BLD_RG!Y13,0),0)+IF($R$8="Yes",IFERROR(BLD_AS!Y13,0),0)+IF($S$8="Yes",IFERROR(BLD_PS!Y13,0),0)+IF($T$8="Yes",IFERROR(BLD_PM!Y13,0),0)+IF($U$8="Yes",IFERROR(BLD_CD!Y13,0),0)</f>
        <v>26008517.55923098</v>
      </c>
    </row>
    <row r="14" spans="3:25" ht="13.5" customHeight="1">
      <c r="C14" s="10" t="s">
        <v>331</v>
      </c>
      <c r="E14" s="283">
        <f>IF($E$8="Yes",IFERROR(BLD_AB!E14,0),0)+IF($F$8="Yes",IFERROR(BLD_AC!E14,0),0)+IF($G$8="Yes",IFERROR(BLD_BT!E14,0),0)+IF($H$8="Yes",IFERROR(BLD_CH!E14,0),0)+IF($I$8="Yes",IFERROR(BLD_CC!E14,0),0)+IF($J$8="Yes",IFERROR(BLD_EA!E14,0),0)+IF($K$8="Yes",IFERROR(BLD_EE!E14,0),0)+IF($L$8="Yes",IFERROR(BLD_JP!E14,0),0)+IF($M$8="Yes",IFERROR(BLD_MH!E14,0),0)+IF($N$8="Yes",IFERROR(BLD_MM!E14,0),0)+IF($O$8="Yes",IFERROR(BLD_NT!E14,0),0)+IF($P$8="Yes",IFERROR(BLD_NG!E14,0),0)+IF($Q$8="Yes",IFERROR(BLD_RG!E14,0),0)+IF($R$8="Yes",IFERROR(BLD_AS!E14,0),0)+IF($S$8="Yes",IFERROR(BLD_PS!E14,0),0)+IF($T$8="Yes",IFERROR(BLD_PM!E14,0),0)+IF($U$8="Yes",IFERROR(BLD_CD!E14,0),0)</f>
        <v>49070</v>
      </c>
      <c r="F14" s="283">
        <f>IF($E$8="Yes",IFERROR(BLD_AB!F14,0),0)+IF($F$8="Yes",IFERROR(BLD_AC!F14,0),0)+IF($G$8="Yes",IFERROR(BLD_BT!F14,0),0)+IF($H$8="Yes",IFERROR(BLD_CH!F14,0),0)+IF($I$8="Yes",IFERROR(BLD_CC!F14,0),0)+IF($J$8="Yes",IFERROR(BLD_EA!F14,0),0)+IF($K$8="Yes",IFERROR(BLD_EE!F14,0),0)+IF($L$8="Yes",IFERROR(BLD_JP!F14,0),0)+IF($M$8="Yes",IFERROR(BLD_MH!F14,0),0)+IF($N$8="Yes",IFERROR(BLD_MM!F14,0),0)+IF($O$8="Yes",IFERROR(BLD_NT!F14,0),0)+IF($P$8="Yes",IFERROR(BLD_NG!F14,0),0)+IF($Q$8="Yes",IFERROR(BLD_RG!F14,0),0)+IF($R$8="Yes",IFERROR(BLD_AS!F14,0),0)+IF($S$8="Yes",IFERROR(BLD_PS!F14,0),0)+IF($T$8="Yes",IFERROR(BLD_PM!F14,0),0)+IF($U$8="Yes",IFERROR(BLD_CD!F14,0),0)</f>
        <v>50051.4</v>
      </c>
      <c r="G14" s="283">
        <f>IF($E$8="Yes",IFERROR(BLD_AB!G14,0),0)+IF($F$8="Yes",IFERROR(BLD_AC!G14,0),0)+IF($G$8="Yes",IFERROR(BLD_BT!G14,0),0)+IF($H$8="Yes",IFERROR(BLD_CH!G14,0),0)+IF($I$8="Yes",IFERROR(BLD_CC!G14,0),0)+IF($J$8="Yes",IFERROR(BLD_EA!G14,0),0)+IF($K$8="Yes",IFERROR(BLD_EE!G14,0),0)+IF($L$8="Yes",IFERROR(BLD_JP!G14,0),0)+IF($M$8="Yes",IFERROR(BLD_MH!G14,0),0)+IF($N$8="Yes",IFERROR(BLD_MM!G14,0),0)+IF($O$8="Yes",IFERROR(BLD_NT!G14,0),0)+IF($P$8="Yes",IFERROR(BLD_NG!G14,0),0)+IF($Q$8="Yes",IFERROR(BLD_RG!G14,0),0)+IF($R$8="Yes",IFERROR(BLD_AS!G14,0),0)+IF($S$8="Yes",IFERROR(BLD_PS!G14,0),0)+IF($T$8="Yes",IFERROR(BLD_PM!G14,0),0)+IF($U$8="Yes",IFERROR(BLD_CD!G14,0),0)</f>
        <v>51052.427999999993</v>
      </c>
      <c r="H14" s="283">
        <f>IF($E$8="Yes",IFERROR(BLD_AB!H14,0),0)+IF($F$8="Yes",IFERROR(BLD_AC!H14,0),0)+IF($G$8="Yes",IFERROR(BLD_BT!H14,0),0)+IF($H$8="Yes",IFERROR(BLD_CH!H14,0),0)+IF($I$8="Yes",IFERROR(BLD_CC!H14,0),0)+IF($J$8="Yes",IFERROR(BLD_EA!H14,0),0)+IF($K$8="Yes",IFERROR(BLD_EE!H14,0),0)+IF($L$8="Yes",IFERROR(BLD_JP!H14,0),0)+IF($M$8="Yes",IFERROR(BLD_MH!H14,0),0)+IF($N$8="Yes",IFERROR(BLD_MM!H14,0),0)+IF($O$8="Yes",IFERROR(BLD_NT!H14,0),0)+IF($P$8="Yes",IFERROR(BLD_NG!H14,0),0)+IF($Q$8="Yes",IFERROR(BLD_RG!H14,0),0)+IF($R$8="Yes",IFERROR(BLD_AS!H14,0),0)+IF($S$8="Yes",IFERROR(BLD_PS!H14,0),0)+IF($T$8="Yes",IFERROR(BLD_PM!H14,0),0)+IF($U$8="Yes",IFERROR(BLD_CD!H14,0),0)</f>
        <v>92314.483919999999</v>
      </c>
      <c r="I14" s="283">
        <f>IF($E$8="Yes",IFERROR(BLD_AB!I14,0),0)+IF($F$8="Yes",IFERROR(BLD_AC!I14,0),0)+IF($G$8="Yes",IFERROR(BLD_BT!I14,0),0)+IF($H$8="Yes",IFERROR(BLD_CH!I14,0),0)+IF($I$8="Yes",IFERROR(BLD_CC!I14,0),0)+IF($J$8="Yes",IFERROR(BLD_EA!I14,0),0)+IF($K$8="Yes",IFERROR(BLD_EE!I14,0),0)+IF($L$8="Yes",IFERROR(BLD_JP!I14,0),0)+IF($M$8="Yes",IFERROR(BLD_MH!I14,0),0)+IF($N$8="Yes",IFERROR(BLD_MM!I14,0),0)+IF($O$8="Yes",IFERROR(BLD_NT!I14,0),0)+IF($P$8="Yes",IFERROR(BLD_NG!I14,0),0)+IF($Q$8="Yes",IFERROR(BLD_RG!I14,0),0)+IF($R$8="Yes",IFERROR(BLD_AS!I14,0),0)+IF($S$8="Yes",IFERROR(BLD_PS!I14,0),0)+IF($T$8="Yes",IFERROR(BLD_PM!I14,0),0)+IF($U$8="Yes",IFERROR(BLD_CD!I14,0),0)</f>
        <v>110786.931576</v>
      </c>
      <c r="J14" s="283">
        <f>IF($E$8="Yes",IFERROR(BLD_AB!J14,0),0)+IF($F$8="Yes",IFERROR(BLD_AC!J14,0),0)+IF($G$8="Yes",IFERROR(BLD_BT!J14,0),0)+IF($H$8="Yes",IFERROR(BLD_CH!J14,0),0)+IF($I$8="Yes",IFERROR(BLD_CC!J14,0),0)+IF($J$8="Yes",IFERROR(BLD_EA!J14,0),0)+IF($K$8="Yes",IFERROR(BLD_EE!J14,0),0)+IF($L$8="Yes",IFERROR(BLD_JP!J14,0),0)+IF($M$8="Yes",IFERROR(BLD_MH!J14,0),0)+IF($N$8="Yes",IFERROR(BLD_MM!J14,0),0)+IF($O$8="Yes",IFERROR(BLD_NT!J14,0),0)+IF($P$8="Yes",IFERROR(BLD_NG!J14,0),0)+IF($Q$8="Yes",IFERROR(BLD_RG!J14,0),0)+IF($R$8="Yes",IFERROR(BLD_AS!J14,0),0)+IF($S$8="Yes",IFERROR(BLD_PS!J14,0),0)+IF($T$8="Yes",IFERROR(BLD_PM!J14,0),0)+IF($U$8="Yes",IFERROR(BLD_CD!J14,0),0)</f>
        <v>113002.67020752002</v>
      </c>
      <c r="K14" s="283">
        <f>IF($E$8="Yes",IFERROR(BLD_AB!K14,0),0)+IF($F$8="Yes",IFERROR(BLD_AC!K14,0),0)+IF($G$8="Yes",IFERROR(BLD_BT!K14,0),0)+IF($H$8="Yes",IFERROR(BLD_CH!K14,0),0)+IF($I$8="Yes",IFERROR(BLD_CC!K14,0),0)+IF($J$8="Yes",IFERROR(BLD_EA!K14,0),0)+IF($K$8="Yes",IFERROR(BLD_EE!K14,0),0)+IF($L$8="Yes",IFERROR(BLD_JP!K14,0),0)+IF($M$8="Yes",IFERROR(BLD_MH!K14,0),0)+IF($N$8="Yes",IFERROR(BLD_MM!K14,0),0)+IF($O$8="Yes",IFERROR(BLD_NT!K14,0),0)+IF($P$8="Yes",IFERROR(BLD_NG!K14,0),0)+IF($Q$8="Yes",IFERROR(BLD_RG!K14,0),0)+IF($R$8="Yes",IFERROR(BLD_AS!K14,0),0)+IF($S$8="Yes",IFERROR(BLD_PS!K14,0),0)+IF($T$8="Yes",IFERROR(BLD_PM!K14,0),0)+IF($U$8="Yes",IFERROR(BLD_CD!K14,0),0)</f>
        <v>115262.72361167042</v>
      </c>
      <c r="L14" s="283">
        <f>IF($E$8="Yes",IFERROR(BLD_AB!L14,0),0)+IF($F$8="Yes",IFERROR(BLD_AC!L14,0),0)+IF($G$8="Yes",IFERROR(BLD_BT!L14,0),0)+IF($H$8="Yes",IFERROR(BLD_CH!L14,0),0)+IF($I$8="Yes",IFERROR(BLD_CC!L14,0),0)+IF($J$8="Yes",IFERROR(BLD_EA!L14,0),0)+IF($K$8="Yes",IFERROR(BLD_EE!L14,0),0)+IF($L$8="Yes",IFERROR(BLD_JP!L14,0),0)+IF($M$8="Yes",IFERROR(BLD_MH!L14,0),0)+IF($N$8="Yes",IFERROR(BLD_MM!L14,0),0)+IF($O$8="Yes",IFERROR(BLD_NT!L14,0),0)+IF($P$8="Yes",IFERROR(BLD_NG!L14,0),0)+IF($Q$8="Yes",IFERROR(BLD_RG!L14,0),0)+IF($R$8="Yes",IFERROR(BLD_AS!L14,0),0)+IF($S$8="Yes",IFERROR(BLD_PS!L14,0),0)+IF($T$8="Yes",IFERROR(BLD_PM!L14,0),0)+IF($U$8="Yes",IFERROR(BLD_CD!L14,0),0)</f>
        <v>117567.97808390378</v>
      </c>
      <c r="M14" s="283">
        <f>IF($E$8="Yes",IFERROR(BLD_AB!M14,0),0)+IF($F$8="Yes",IFERROR(BLD_AC!M14,0),0)+IF($G$8="Yes",IFERROR(BLD_BT!M14,0),0)+IF($H$8="Yes",IFERROR(BLD_CH!M14,0),0)+IF($I$8="Yes",IFERROR(BLD_CC!M14,0),0)+IF($J$8="Yes",IFERROR(BLD_EA!M14,0),0)+IF($K$8="Yes",IFERROR(BLD_EE!M14,0),0)+IF($L$8="Yes",IFERROR(BLD_JP!M14,0),0)+IF($M$8="Yes",IFERROR(BLD_MH!M14,0),0)+IF($N$8="Yes",IFERROR(BLD_MM!M14,0),0)+IF($O$8="Yes",IFERROR(BLD_NT!M14,0),0)+IF($P$8="Yes",IFERROR(BLD_NG!M14,0),0)+IF($Q$8="Yes",IFERROR(BLD_RG!M14,0),0)+IF($R$8="Yes",IFERROR(BLD_AS!M14,0),0)+IF($S$8="Yes",IFERROR(BLD_PS!M14,0),0)+IF($T$8="Yes",IFERROR(BLD_PM!M14,0),0)+IF($U$8="Yes",IFERROR(BLD_CD!M14,0),0)</f>
        <v>119919.33764558188</v>
      </c>
      <c r="N14" s="283">
        <f>IF($E$8="Yes",IFERROR(BLD_AB!N14,0),0)+IF($F$8="Yes",IFERROR(BLD_AC!N14,0),0)+IF($G$8="Yes",IFERROR(BLD_BT!N14,0),0)+IF($H$8="Yes",IFERROR(BLD_CH!N14,0),0)+IF($I$8="Yes",IFERROR(BLD_CC!N14,0),0)+IF($J$8="Yes",IFERROR(BLD_EA!N14,0),0)+IF($K$8="Yes",IFERROR(BLD_EE!N14,0),0)+IF($L$8="Yes",IFERROR(BLD_JP!N14,0),0)+IF($M$8="Yes",IFERROR(BLD_MH!N14,0),0)+IF($N$8="Yes",IFERROR(BLD_MM!N14,0),0)+IF($O$8="Yes",IFERROR(BLD_NT!N14,0),0)+IF($P$8="Yes",IFERROR(BLD_NG!N14,0),0)+IF($Q$8="Yes",IFERROR(BLD_RG!N14,0),0)+IF($R$8="Yes",IFERROR(BLD_AS!N14,0),0)+IF($S$8="Yes",IFERROR(BLD_PS!N14,0),0)+IF($T$8="Yes",IFERROR(BLD_PM!N14,0),0)+IF($U$8="Yes",IFERROR(BLD_CD!N14,0),0)</f>
        <v>122317.72439849352</v>
      </c>
      <c r="O14" s="283">
        <f>IF($E$8="Yes",IFERROR(BLD_AB!O14,0),0)+IF($F$8="Yes",IFERROR(BLD_AC!O14,0),0)+IF($G$8="Yes",IFERROR(BLD_BT!O14,0),0)+IF($H$8="Yes",IFERROR(BLD_CH!O14,0),0)+IF($I$8="Yes",IFERROR(BLD_CC!O14,0),0)+IF($J$8="Yes",IFERROR(BLD_EA!O14,0),0)+IF($K$8="Yes",IFERROR(BLD_EE!O14,0),0)+IF($L$8="Yes",IFERROR(BLD_JP!O14,0),0)+IF($M$8="Yes",IFERROR(BLD_MH!O14,0),0)+IF($N$8="Yes",IFERROR(BLD_MM!O14,0),0)+IF($O$8="Yes",IFERROR(BLD_NT!O14,0),0)+IF($P$8="Yes",IFERROR(BLD_NG!O14,0),0)+IF($Q$8="Yes",IFERROR(BLD_RG!O14,0),0)+IF($R$8="Yes",IFERROR(BLD_AS!O14,0),0)+IF($S$8="Yes",IFERROR(BLD_PS!O14,0),0)+IF($T$8="Yes",IFERROR(BLD_PM!O14,0),0)+IF($U$8="Yes",IFERROR(BLD_CD!O14,0),0)</f>
        <v>124764.07888646339</v>
      </c>
      <c r="P14" s="283">
        <f>IF($E$8="Yes",IFERROR(BLD_AB!P14,0),0)+IF($F$8="Yes",IFERROR(BLD_AC!P14,0),0)+IF($G$8="Yes",IFERROR(BLD_BT!P14,0),0)+IF($H$8="Yes",IFERROR(BLD_CH!P14,0),0)+IF($I$8="Yes",IFERROR(BLD_CC!P14,0),0)+IF($J$8="Yes",IFERROR(BLD_EA!P14,0),0)+IF($K$8="Yes",IFERROR(BLD_EE!P14,0),0)+IF($L$8="Yes",IFERROR(BLD_JP!P14,0),0)+IF($M$8="Yes",IFERROR(BLD_MH!P14,0),0)+IF($N$8="Yes",IFERROR(BLD_MM!P14,0),0)+IF($O$8="Yes",IFERROR(BLD_NT!P14,0),0)+IF($P$8="Yes",IFERROR(BLD_NG!P14,0),0)+IF($Q$8="Yes",IFERROR(BLD_RG!P14,0),0)+IF($R$8="Yes",IFERROR(BLD_AS!P14,0),0)+IF($S$8="Yes",IFERROR(BLD_PS!P14,0),0)+IF($T$8="Yes",IFERROR(BLD_PM!P14,0),0)+IF($U$8="Yes",IFERROR(BLD_CD!P14,0),0)</f>
        <v>127259.36046419266</v>
      </c>
      <c r="Q14" s="283">
        <f>IF($E$8="Yes",IFERROR(BLD_AB!Q14,0),0)+IF($F$8="Yes",IFERROR(BLD_AC!Q14,0),0)+IF($G$8="Yes",IFERROR(BLD_BT!Q14,0),0)+IF($H$8="Yes",IFERROR(BLD_CH!Q14,0),0)+IF($I$8="Yes",IFERROR(BLD_CC!Q14,0),0)+IF($J$8="Yes",IFERROR(BLD_EA!Q14,0),0)+IF($K$8="Yes",IFERROR(BLD_EE!Q14,0),0)+IF($L$8="Yes",IFERROR(BLD_JP!Q14,0),0)+IF($M$8="Yes",IFERROR(BLD_MH!Q14,0),0)+IF($N$8="Yes",IFERROR(BLD_MM!Q14,0),0)+IF($O$8="Yes",IFERROR(BLD_NT!Q14,0),0)+IF($P$8="Yes",IFERROR(BLD_NG!Q14,0),0)+IF($Q$8="Yes",IFERROR(BLD_RG!Q14,0),0)+IF($R$8="Yes",IFERROR(BLD_AS!Q14,0),0)+IF($S$8="Yes",IFERROR(BLD_PS!Q14,0),0)+IF($T$8="Yes",IFERROR(BLD_PM!Q14,0),0)+IF($U$8="Yes",IFERROR(BLD_CD!Q14,0),0)</f>
        <v>129804.54767347648</v>
      </c>
      <c r="R14" s="283">
        <f>IF($E$8="Yes",IFERROR(BLD_AB!R14,0),0)+IF($F$8="Yes",IFERROR(BLD_AC!R14,0),0)+IF($G$8="Yes",IFERROR(BLD_BT!R14,0),0)+IF($H$8="Yes",IFERROR(BLD_CH!R14,0),0)+IF($I$8="Yes",IFERROR(BLD_CC!R14,0),0)+IF($J$8="Yes",IFERROR(BLD_EA!R14,0),0)+IF($K$8="Yes",IFERROR(BLD_EE!R14,0),0)+IF($L$8="Yes",IFERROR(BLD_JP!R14,0),0)+IF($M$8="Yes",IFERROR(BLD_MH!R14,0),0)+IF($N$8="Yes",IFERROR(BLD_MM!R14,0),0)+IF($O$8="Yes",IFERROR(BLD_NT!R14,0),0)+IF($P$8="Yes",IFERROR(BLD_NG!R14,0),0)+IF($Q$8="Yes",IFERROR(BLD_RG!R14,0),0)+IF($R$8="Yes",IFERROR(BLD_AS!R14,0),0)+IF($S$8="Yes",IFERROR(BLD_PS!R14,0),0)+IF($T$8="Yes",IFERROR(BLD_PM!R14,0),0)+IF($U$8="Yes",IFERROR(BLD_CD!R14,0),0)</f>
        <v>132400.63862694602</v>
      </c>
      <c r="S14" s="283">
        <f>IF($E$8="Yes",IFERROR(BLD_AB!S14,0),0)+IF($F$8="Yes",IFERROR(BLD_AC!S14,0),0)+IF($G$8="Yes",IFERROR(BLD_BT!S14,0),0)+IF($H$8="Yes",IFERROR(BLD_CH!S14,0),0)+IF($I$8="Yes",IFERROR(BLD_CC!S14,0),0)+IF($J$8="Yes",IFERROR(BLD_EA!S14,0),0)+IF($K$8="Yes",IFERROR(BLD_EE!S14,0),0)+IF($L$8="Yes",IFERROR(BLD_JP!S14,0),0)+IF($M$8="Yes",IFERROR(BLD_MH!S14,0),0)+IF($N$8="Yes",IFERROR(BLD_MM!S14,0),0)+IF($O$8="Yes",IFERROR(BLD_NT!S14,0),0)+IF($P$8="Yes",IFERROR(BLD_NG!S14,0),0)+IF($Q$8="Yes",IFERROR(BLD_RG!S14,0),0)+IF($R$8="Yes",IFERROR(BLD_AS!S14,0),0)+IF($S$8="Yes",IFERROR(BLD_PS!S14,0),0)+IF($T$8="Yes",IFERROR(BLD_PM!S14,0),0)+IF($U$8="Yes",IFERROR(BLD_CD!S14,0),0)</f>
        <v>135048.65139948495</v>
      </c>
      <c r="T14" s="283">
        <f>IF($E$8="Yes",IFERROR(BLD_AB!T14,0),0)+IF($F$8="Yes",IFERROR(BLD_AC!T14,0),0)+IF($G$8="Yes",IFERROR(BLD_BT!T14,0),0)+IF($H$8="Yes",IFERROR(BLD_CH!T14,0),0)+IF($I$8="Yes",IFERROR(BLD_CC!T14,0),0)+IF($J$8="Yes",IFERROR(BLD_EA!T14,0),0)+IF($K$8="Yes",IFERROR(BLD_EE!T14,0),0)+IF($L$8="Yes",IFERROR(BLD_JP!T14,0),0)+IF($M$8="Yes",IFERROR(BLD_MH!T14,0),0)+IF($N$8="Yes",IFERROR(BLD_MM!T14,0),0)+IF($O$8="Yes",IFERROR(BLD_NT!T14,0),0)+IF($P$8="Yes",IFERROR(BLD_NG!T14,0),0)+IF($Q$8="Yes",IFERROR(BLD_RG!T14,0),0)+IF($R$8="Yes",IFERROR(BLD_AS!T14,0),0)+IF($S$8="Yes",IFERROR(BLD_PS!T14,0),0)+IF($T$8="Yes",IFERROR(BLD_PM!T14,0),0)+IF($U$8="Yes",IFERROR(BLD_CD!T14,0),0)</f>
        <v>137749.62442747469</v>
      </c>
      <c r="U14" s="283">
        <f>IF($E$8="Yes",IFERROR(BLD_AB!U14,0),0)+IF($F$8="Yes",IFERROR(BLD_AC!U14,0),0)+IF($G$8="Yes",IFERROR(BLD_BT!U14,0),0)+IF($H$8="Yes",IFERROR(BLD_CH!U14,0),0)+IF($I$8="Yes",IFERROR(BLD_CC!U14,0),0)+IF($J$8="Yes",IFERROR(BLD_EA!U14,0),0)+IF($K$8="Yes",IFERROR(BLD_EE!U14,0),0)+IF($L$8="Yes",IFERROR(BLD_JP!U14,0),0)+IF($M$8="Yes",IFERROR(BLD_MH!U14,0),0)+IF($N$8="Yes",IFERROR(BLD_MM!U14,0),0)+IF($O$8="Yes",IFERROR(BLD_NT!U14,0),0)+IF($P$8="Yes",IFERROR(BLD_NG!U14,0),0)+IF($Q$8="Yes",IFERROR(BLD_RG!U14,0),0)+IF($R$8="Yes",IFERROR(BLD_AS!U14,0),0)+IF($S$8="Yes",IFERROR(BLD_PS!U14,0),0)+IF($T$8="Yes",IFERROR(BLD_PM!U14,0),0)+IF($U$8="Yes",IFERROR(BLD_CD!U14,0),0)</f>
        <v>140504.61691602413</v>
      </c>
      <c r="V14" s="283">
        <f>IF($E$8="Yes",IFERROR(BLD_AB!V14,0),0)+IF($F$8="Yes",IFERROR(BLD_AC!V14,0),0)+IF($G$8="Yes",IFERROR(BLD_BT!V14,0),0)+IF($H$8="Yes",IFERROR(BLD_CH!V14,0),0)+IF($I$8="Yes",IFERROR(BLD_CC!V14,0),0)+IF($J$8="Yes",IFERROR(BLD_EA!V14,0),0)+IF($K$8="Yes",IFERROR(BLD_EE!V14,0),0)+IF($L$8="Yes",IFERROR(BLD_JP!V14,0),0)+IF($M$8="Yes",IFERROR(BLD_MH!V14,0),0)+IF($N$8="Yes",IFERROR(BLD_MM!V14,0),0)+IF($O$8="Yes",IFERROR(BLD_NT!V14,0),0)+IF($P$8="Yes",IFERROR(BLD_NG!V14,0),0)+IF($Q$8="Yes",IFERROR(BLD_RG!V14,0),0)+IF($R$8="Yes",IFERROR(BLD_AS!V14,0),0)+IF($S$8="Yes",IFERROR(BLD_PS!V14,0),0)+IF($T$8="Yes",IFERROR(BLD_PM!V14,0),0)+IF($U$8="Yes",IFERROR(BLD_CD!V14,0),0)</f>
        <v>143314.70925434463</v>
      </c>
      <c r="W14" s="283">
        <f>IF($E$8="Yes",IFERROR(BLD_AB!W14,0),0)+IF($F$8="Yes",IFERROR(BLD_AC!W14,0),0)+IF($G$8="Yes",IFERROR(BLD_BT!W14,0),0)+IF($H$8="Yes",IFERROR(BLD_CH!W14,0),0)+IF($I$8="Yes",IFERROR(BLD_CC!W14,0),0)+IF($J$8="Yes",IFERROR(BLD_EA!W14,0),0)+IF($K$8="Yes",IFERROR(BLD_EE!W14,0),0)+IF($L$8="Yes",IFERROR(BLD_JP!W14,0),0)+IF($M$8="Yes",IFERROR(BLD_MH!W14,0),0)+IF($N$8="Yes",IFERROR(BLD_MM!W14,0),0)+IF($O$8="Yes",IFERROR(BLD_NT!W14,0),0)+IF($P$8="Yes",IFERROR(BLD_NG!W14,0),0)+IF($Q$8="Yes",IFERROR(BLD_RG!W14,0),0)+IF($R$8="Yes",IFERROR(BLD_AS!W14,0),0)+IF($S$8="Yes",IFERROR(BLD_PS!W14,0),0)+IF($T$8="Yes",IFERROR(BLD_PM!W14,0),0)+IF($U$8="Yes",IFERROR(BLD_CD!W14,0),0)</f>
        <v>146181.00343943152</v>
      </c>
      <c r="X14" s="283">
        <f>IF($E$8="Yes",IFERROR(BLD_AB!X14,0),0)+IF($F$8="Yes",IFERROR(BLD_AC!X14,0),0)+IF($G$8="Yes",IFERROR(BLD_BT!X14,0),0)+IF($H$8="Yes",IFERROR(BLD_CH!X14,0),0)+IF($I$8="Yes",IFERROR(BLD_CC!X14,0),0)+IF($J$8="Yes",IFERROR(BLD_EA!X14,0),0)+IF($K$8="Yes",IFERROR(BLD_EE!X14,0),0)+IF($L$8="Yes",IFERROR(BLD_JP!X14,0),0)+IF($M$8="Yes",IFERROR(BLD_MH!X14,0),0)+IF($N$8="Yes",IFERROR(BLD_MM!X14,0),0)+IF($O$8="Yes",IFERROR(BLD_NT!X14,0),0)+IF($P$8="Yes",IFERROR(BLD_NG!X14,0),0)+IF($Q$8="Yes",IFERROR(BLD_RG!X14,0),0)+IF($R$8="Yes",IFERROR(BLD_AS!X14,0),0)+IF($S$8="Yes",IFERROR(BLD_PS!X14,0),0)+IF($T$8="Yes",IFERROR(BLD_PM!X14,0),0)+IF($U$8="Yes",IFERROR(BLD_CD!X14,0),0)</f>
        <v>149104.62350822016</v>
      </c>
      <c r="Y14" s="283">
        <f>IF($E$8="Yes",IFERROR(BLD_AB!Y14,0),0)+IF($F$8="Yes",IFERROR(BLD_AC!Y14,0),0)+IF($G$8="Yes",IFERROR(BLD_BT!Y14,0),0)+IF($H$8="Yes",IFERROR(BLD_CH!Y14,0),0)+IF($I$8="Yes",IFERROR(BLD_CC!Y14,0),0)+IF($J$8="Yes",IFERROR(BLD_EA!Y14,0),0)+IF($K$8="Yes",IFERROR(BLD_EE!Y14,0),0)+IF($L$8="Yes",IFERROR(BLD_JP!Y14,0),0)+IF($M$8="Yes",IFERROR(BLD_MH!Y14,0),0)+IF($N$8="Yes",IFERROR(BLD_MM!Y14,0),0)+IF($O$8="Yes",IFERROR(BLD_NT!Y14,0),0)+IF($P$8="Yes",IFERROR(BLD_NG!Y14,0),0)+IF($Q$8="Yes",IFERROR(BLD_RG!Y14,0),0)+IF($R$8="Yes",IFERROR(BLD_AS!Y14,0),0)+IF($S$8="Yes",IFERROR(BLD_PS!Y14,0),0)+IF($T$8="Yes",IFERROR(BLD_PM!Y14,0),0)+IF($U$8="Yes",IFERROR(BLD_CD!Y14,0),0)</f>
        <v>152086.71597838451</v>
      </c>
    </row>
    <row r="15" spans="3:25" ht="13.5" customHeight="1">
      <c r="C15" s="10" t="s">
        <v>332</v>
      </c>
      <c r="E15" s="283">
        <f>IF($E$8="Yes",IFERROR(BLD_AB!E15,0),0)+IF($F$8="Yes",IFERROR(BLD_AC!E15,0),0)+IF($G$8="Yes",IFERROR(BLD_BT!E15,0),0)+IF($H$8="Yes",IFERROR(BLD_CH!E15,0),0)+IF($I$8="Yes",IFERROR(BLD_CC!E15,0),0)+IF($J$8="Yes",IFERROR(BLD_EA!E15,0),0)+IF($K$8="Yes",IFERROR(BLD_EE!E15,0),0)+IF($L$8="Yes",IFERROR(BLD_JP!E15,0),0)+IF($M$8="Yes",IFERROR(BLD_MH!E15,0),0)+IF($N$8="Yes",IFERROR(BLD_MM!E15,0),0)+IF($O$8="Yes",IFERROR(BLD_NT!E15,0),0)+IF($P$8="Yes",IFERROR(BLD_NG!E15,0),0)+IF($Q$8="Yes",IFERROR(BLD_RG!E15,0),0)+IF($R$8="Yes",IFERROR(BLD_AS!E15,0),0)+IF($S$8="Yes",IFERROR(BLD_PS!E15,0),0)+IF($T$8="Yes",IFERROR(BLD_PM!E15,0),0)+IF($U$8="Yes",IFERROR(BLD_CD!E15,0),0)</f>
        <v>100</v>
      </c>
      <c r="F15" s="283">
        <f>IF($E$8="Yes",IFERROR(BLD_AB!F15,0),0)+IF($F$8="Yes",IFERROR(BLD_AC!F15,0),0)+IF($G$8="Yes",IFERROR(BLD_BT!F15,0),0)+IF($H$8="Yes",IFERROR(BLD_CH!F15,0),0)+IF($I$8="Yes",IFERROR(BLD_CC!F15,0),0)+IF($J$8="Yes",IFERROR(BLD_EA!F15,0),0)+IF($K$8="Yes",IFERROR(BLD_EE!F15,0),0)+IF($L$8="Yes",IFERROR(BLD_JP!F15,0),0)+IF($M$8="Yes",IFERROR(BLD_MH!F15,0),0)+IF($N$8="Yes",IFERROR(BLD_MM!F15,0),0)+IF($O$8="Yes",IFERROR(BLD_NT!F15,0),0)+IF($P$8="Yes",IFERROR(BLD_NG!F15,0),0)+IF($Q$8="Yes",IFERROR(BLD_RG!F15,0),0)+IF($R$8="Yes",IFERROR(BLD_AS!F15,0),0)+IF($S$8="Yes",IFERROR(BLD_PS!F15,0),0)+IF($T$8="Yes",IFERROR(BLD_PM!F15,0),0)+IF($U$8="Yes",IFERROR(BLD_CD!F15,0),0)</f>
        <v>102</v>
      </c>
      <c r="G15" s="283">
        <f>IF($E$8="Yes",IFERROR(BLD_AB!G15,0),0)+IF($F$8="Yes",IFERROR(BLD_AC!G15,0),0)+IF($G$8="Yes",IFERROR(BLD_BT!G15,0),0)+IF($H$8="Yes",IFERROR(BLD_CH!G15,0),0)+IF($I$8="Yes",IFERROR(BLD_CC!G15,0),0)+IF($J$8="Yes",IFERROR(BLD_EA!G15,0),0)+IF($K$8="Yes",IFERROR(BLD_EE!G15,0),0)+IF($L$8="Yes",IFERROR(BLD_JP!G15,0),0)+IF($M$8="Yes",IFERROR(BLD_MH!G15,0),0)+IF($N$8="Yes",IFERROR(BLD_MM!G15,0),0)+IF($O$8="Yes",IFERROR(BLD_NT!G15,0),0)+IF($P$8="Yes",IFERROR(BLD_NG!G15,0),0)+IF($Q$8="Yes",IFERROR(BLD_RG!G15,0),0)+IF($R$8="Yes",IFERROR(BLD_AS!G15,0),0)+IF($S$8="Yes",IFERROR(BLD_PS!G15,0),0)+IF($T$8="Yes",IFERROR(BLD_PM!G15,0),0)+IF($U$8="Yes",IFERROR(BLD_CD!G15,0),0)</f>
        <v>104.03999999999999</v>
      </c>
      <c r="H15" s="283">
        <f>IF($E$8="Yes",IFERROR(BLD_AB!H15,0),0)+IF($F$8="Yes",IFERROR(BLD_AC!H15,0),0)+IF($G$8="Yes",IFERROR(BLD_BT!H15,0),0)+IF($H$8="Yes",IFERROR(BLD_CH!H15,0),0)+IF($I$8="Yes",IFERROR(BLD_CC!H15,0),0)+IF($J$8="Yes",IFERROR(BLD_EA!H15,0),0)+IF($K$8="Yes",IFERROR(BLD_EE!H15,0),0)+IF($L$8="Yes",IFERROR(BLD_JP!H15,0),0)+IF($M$8="Yes",IFERROR(BLD_MH!H15,0),0)+IF($N$8="Yes",IFERROR(BLD_MM!H15,0),0)+IF($O$8="Yes",IFERROR(BLD_NT!H15,0),0)+IF($P$8="Yes",IFERROR(BLD_NG!H15,0),0)+IF($Q$8="Yes",IFERROR(BLD_RG!H15,0),0)+IF($R$8="Yes",IFERROR(BLD_AS!H15,0),0)+IF($S$8="Yes",IFERROR(BLD_PS!H15,0),0)+IF($T$8="Yes",IFERROR(BLD_PM!H15,0),0)+IF($U$8="Yes",IFERROR(BLD_CD!H15,0),0)</f>
        <v>106.12079999999999</v>
      </c>
      <c r="I15" s="283">
        <f>IF($E$8="Yes",IFERROR(BLD_AB!I15,0),0)+IF($F$8="Yes",IFERROR(BLD_AC!I15,0),0)+IF($G$8="Yes",IFERROR(BLD_BT!I15,0),0)+IF($H$8="Yes",IFERROR(BLD_CH!I15,0),0)+IF($I$8="Yes",IFERROR(BLD_CC!I15,0),0)+IF($J$8="Yes",IFERROR(BLD_EA!I15,0),0)+IF($K$8="Yes",IFERROR(BLD_EE!I15,0),0)+IF($L$8="Yes",IFERROR(BLD_JP!I15,0),0)+IF($M$8="Yes",IFERROR(BLD_MH!I15,0),0)+IF($N$8="Yes",IFERROR(BLD_MM!I15,0),0)+IF($O$8="Yes",IFERROR(BLD_NT!I15,0),0)+IF($P$8="Yes",IFERROR(BLD_NG!I15,0),0)+IF($Q$8="Yes",IFERROR(BLD_RG!I15,0),0)+IF($R$8="Yes",IFERROR(BLD_AS!I15,0),0)+IF($S$8="Yes",IFERROR(BLD_PS!I15,0),0)+IF($T$8="Yes",IFERROR(BLD_PM!I15,0),0)+IF($U$8="Yes",IFERROR(BLD_CD!I15,0),0)</f>
        <v>108.243216</v>
      </c>
      <c r="J15" s="283">
        <f>IF($E$8="Yes",IFERROR(BLD_AB!J15,0),0)+IF($F$8="Yes",IFERROR(BLD_AC!J15,0),0)+IF($G$8="Yes",IFERROR(BLD_BT!J15,0),0)+IF($H$8="Yes",IFERROR(BLD_CH!J15,0),0)+IF($I$8="Yes",IFERROR(BLD_CC!J15,0),0)+IF($J$8="Yes",IFERROR(BLD_EA!J15,0),0)+IF($K$8="Yes",IFERROR(BLD_EE!J15,0),0)+IF($L$8="Yes",IFERROR(BLD_JP!J15,0),0)+IF($M$8="Yes",IFERROR(BLD_MH!J15,0),0)+IF($N$8="Yes",IFERROR(BLD_MM!J15,0),0)+IF($O$8="Yes",IFERROR(BLD_NT!J15,0),0)+IF($P$8="Yes",IFERROR(BLD_NG!J15,0),0)+IF($Q$8="Yes",IFERROR(BLD_RG!J15,0),0)+IF($R$8="Yes",IFERROR(BLD_AS!J15,0),0)+IF($S$8="Yes",IFERROR(BLD_PS!J15,0),0)+IF($T$8="Yes",IFERROR(BLD_PM!J15,0),0)+IF($U$8="Yes",IFERROR(BLD_CD!J15,0),0)</f>
        <v>110.40808032</v>
      </c>
      <c r="K15" s="283">
        <f>IF($E$8="Yes",IFERROR(BLD_AB!K15,0),0)+IF($F$8="Yes",IFERROR(BLD_AC!K15,0),0)+IF($G$8="Yes",IFERROR(BLD_BT!K15,0),0)+IF($H$8="Yes",IFERROR(BLD_CH!K15,0),0)+IF($I$8="Yes",IFERROR(BLD_CC!K15,0),0)+IF($J$8="Yes",IFERROR(BLD_EA!K15,0),0)+IF($K$8="Yes",IFERROR(BLD_EE!K15,0),0)+IF($L$8="Yes",IFERROR(BLD_JP!K15,0),0)+IF($M$8="Yes",IFERROR(BLD_MH!K15,0),0)+IF($N$8="Yes",IFERROR(BLD_MM!K15,0),0)+IF($O$8="Yes",IFERROR(BLD_NT!K15,0),0)+IF($P$8="Yes",IFERROR(BLD_NG!K15,0),0)+IF($Q$8="Yes",IFERROR(BLD_RG!K15,0),0)+IF($R$8="Yes",IFERROR(BLD_AS!K15,0),0)+IF($S$8="Yes",IFERROR(BLD_PS!K15,0),0)+IF($T$8="Yes",IFERROR(BLD_PM!K15,0),0)+IF($U$8="Yes",IFERROR(BLD_CD!K15,0),0)</f>
        <v>112.61624192640001</v>
      </c>
      <c r="L15" s="283">
        <f>IF($E$8="Yes",IFERROR(BLD_AB!L15,0),0)+IF($F$8="Yes",IFERROR(BLD_AC!L15,0),0)+IF($G$8="Yes",IFERROR(BLD_BT!L15,0),0)+IF($H$8="Yes",IFERROR(BLD_CH!L15,0),0)+IF($I$8="Yes",IFERROR(BLD_CC!L15,0),0)+IF($J$8="Yes",IFERROR(BLD_EA!L15,0),0)+IF($K$8="Yes",IFERROR(BLD_EE!L15,0),0)+IF($L$8="Yes",IFERROR(BLD_JP!L15,0),0)+IF($M$8="Yes",IFERROR(BLD_MH!L15,0),0)+IF($N$8="Yes",IFERROR(BLD_MM!L15,0),0)+IF($O$8="Yes",IFERROR(BLD_NT!L15,0),0)+IF($P$8="Yes",IFERROR(BLD_NG!L15,0),0)+IF($Q$8="Yes",IFERROR(BLD_RG!L15,0),0)+IF($R$8="Yes",IFERROR(BLD_AS!L15,0),0)+IF($S$8="Yes",IFERROR(BLD_PS!L15,0),0)+IF($T$8="Yes",IFERROR(BLD_PM!L15,0),0)+IF($U$8="Yes",IFERROR(BLD_CD!L15,0),0)</f>
        <v>114.86856676492798</v>
      </c>
      <c r="M15" s="283">
        <f>IF($E$8="Yes",IFERROR(BLD_AB!M15,0),0)+IF($F$8="Yes",IFERROR(BLD_AC!M15,0),0)+IF($G$8="Yes",IFERROR(BLD_BT!M15,0),0)+IF($H$8="Yes",IFERROR(BLD_CH!M15,0),0)+IF($I$8="Yes",IFERROR(BLD_CC!M15,0),0)+IF($J$8="Yes",IFERROR(BLD_EA!M15,0),0)+IF($K$8="Yes",IFERROR(BLD_EE!M15,0),0)+IF($L$8="Yes",IFERROR(BLD_JP!M15,0),0)+IF($M$8="Yes",IFERROR(BLD_MH!M15,0),0)+IF($N$8="Yes",IFERROR(BLD_MM!M15,0),0)+IF($O$8="Yes",IFERROR(BLD_NT!M15,0),0)+IF($P$8="Yes",IFERROR(BLD_NG!M15,0),0)+IF($Q$8="Yes",IFERROR(BLD_RG!M15,0),0)+IF($R$8="Yes",IFERROR(BLD_AS!M15,0),0)+IF($S$8="Yes",IFERROR(BLD_PS!M15,0),0)+IF($T$8="Yes",IFERROR(BLD_PM!M15,0),0)+IF($U$8="Yes",IFERROR(BLD_CD!M15,0),0)</f>
        <v>117.16593810022655</v>
      </c>
      <c r="N15" s="283">
        <f>IF($E$8="Yes",IFERROR(BLD_AB!N15,0),0)+IF($F$8="Yes",IFERROR(BLD_AC!N15,0),0)+IF($G$8="Yes",IFERROR(BLD_BT!N15,0),0)+IF($H$8="Yes",IFERROR(BLD_CH!N15,0),0)+IF($I$8="Yes",IFERROR(BLD_CC!N15,0),0)+IF($J$8="Yes",IFERROR(BLD_EA!N15,0),0)+IF($K$8="Yes",IFERROR(BLD_EE!N15,0),0)+IF($L$8="Yes",IFERROR(BLD_JP!N15,0),0)+IF($M$8="Yes",IFERROR(BLD_MH!N15,0),0)+IF($N$8="Yes",IFERROR(BLD_MM!N15,0),0)+IF($O$8="Yes",IFERROR(BLD_NT!N15,0),0)+IF($P$8="Yes",IFERROR(BLD_NG!N15,0),0)+IF($Q$8="Yes",IFERROR(BLD_RG!N15,0),0)+IF($R$8="Yes",IFERROR(BLD_AS!N15,0),0)+IF($S$8="Yes",IFERROR(BLD_PS!N15,0),0)+IF($T$8="Yes",IFERROR(BLD_PM!N15,0),0)+IF($U$8="Yes",IFERROR(BLD_CD!N15,0),0)</f>
        <v>119.50925686223108</v>
      </c>
      <c r="O15" s="283">
        <f>IF($E$8="Yes",IFERROR(BLD_AB!O15,0),0)+IF($F$8="Yes",IFERROR(BLD_AC!O15,0),0)+IF($G$8="Yes",IFERROR(BLD_BT!O15,0),0)+IF($H$8="Yes",IFERROR(BLD_CH!O15,0),0)+IF($I$8="Yes",IFERROR(BLD_CC!O15,0),0)+IF($J$8="Yes",IFERROR(BLD_EA!O15,0),0)+IF($K$8="Yes",IFERROR(BLD_EE!O15,0),0)+IF($L$8="Yes",IFERROR(BLD_JP!O15,0),0)+IF($M$8="Yes",IFERROR(BLD_MH!O15,0),0)+IF($N$8="Yes",IFERROR(BLD_MM!O15,0),0)+IF($O$8="Yes",IFERROR(BLD_NT!O15,0),0)+IF($P$8="Yes",IFERROR(BLD_NG!O15,0),0)+IF($Q$8="Yes",IFERROR(BLD_RG!O15,0),0)+IF($R$8="Yes",IFERROR(BLD_AS!O15,0),0)+IF($S$8="Yes",IFERROR(BLD_PS!O15,0),0)+IF($T$8="Yes",IFERROR(BLD_PM!O15,0),0)+IF($U$8="Yes",IFERROR(BLD_CD!O15,0),0)</f>
        <v>121.89944199947571</v>
      </c>
      <c r="P15" s="283">
        <f>IF($E$8="Yes",IFERROR(BLD_AB!P15,0),0)+IF($F$8="Yes",IFERROR(BLD_AC!P15,0),0)+IF($G$8="Yes",IFERROR(BLD_BT!P15,0),0)+IF($H$8="Yes",IFERROR(BLD_CH!P15,0),0)+IF($I$8="Yes",IFERROR(BLD_CC!P15,0),0)+IF($J$8="Yes",IFERROR(BLD_EA!P15,0),0)+IF($K$8="Yes",IFERROR(BLD_EE!P15,0),0)+IF($L$8="Yes",IFERROR(BLD_JP!P15,0),0)+IF($M$8="Yes",IFERROR(BLD_MH!P15,0),0)+IF($N$8="Yes",IFERROR(BLD_MM!P15,0),0)+IF($O$8="Yes",IFERROR(BLD_NT!P15,0),0)+IF($P$8="Yes",IFERROR(BLD_NG!P15,0),0)+IF($Q$8="Yes",IFERROR(BLD_RG!P15,0),0)+IF($R$8="Yes",IFERROR(BLD_AS!P15,0),0)+IF($S$8="Yes",IFERROR(BLD_PS!P15,0),0)+IF($T$8="Yes",IFERROR(BLD_PM!P15,0),0)+IF($U$8="Yes",IFERROR(BLD_CD!P15,0),0)</f>
        <v>124.33743083946523</v>
      </c>
      <c r="Q15" s="283">
        <f>IF($E$8="Yes",IFERROR(BLD_AB!Q15,0),0)+IF($F$8="Yes",IFERROR(BLD_AC!Q15,0),0)+IF($G$8="Yes",IFERROR(BLD_BT!Q15,0),0)+IF($H$8="Yes",IFERROR(BLD_CH!Q15,0),0)+IF($I$8="Yes",IFERROR(BLD_CC!Q15,0),0)+IF($J$8="Yes",IFERROR(BLD_EA!Q15,0),0)+IF($K$8="Yes",IFERROR(BLD_EE!Q15,0),0)+IF($L$8="Yes",IFERROR(BLD_JP!Q15,0),0)+IF($M$8="Yes",IFERROR(BLD_MH!Q15,0),0)+IF($N$8="Yes",IFERROR(BLD_MM!Q15,0),0)+IF($O$8="Yes",IFERROR(BLD_NT!Q15,0),0)+IF($P$8="Yes",IFERROR(BLD_NG!Q15,0),0)+IF($Q$8="Yes",IFERROR(BLD_RG!Q15,0),0)+IF($R$8="Yes",IFERROR(BLD_AS!Q15,0),0)+IF($S$8="Yes",IFERROR(BLD_PS!Q15,0),0)+IF($T$8="Yes",IFERROR(BLD_PM!Q15,0),0)+IF($U$8="Yes",IFERROR(BLD_CD!Q15,0),0)</f>
        <v>126.8241794562545</v>
      </c>
      <c r="R15" s="283">
        <f>IF($E$8="Yes",IFERROR(BLD_AB!R15,0),0)+IF($F$8="Yes",IFERROR(BLD_AC!R15,0),0)+IF($G$8="Yes",IFERROR(BLD_BT!R15,0),0)+IF($H$8="Yes",IFERROR(BLD_CH!R15,0),0)+IF($I$8="Yes",IFERROR(BLD_CC!R15,0),0)+IF($J$8="Yes",IFERROR(BLD_EA!R15,0),0)+IF($K$8="Yes",IFERROR(BLD_EE!R15,0),0)+IF($L$8="Yes",IFERROR(BLD_JP!R15,0),0)+IF($M$8="Yes",IFERROR(BLD_MH!R15,0),0)+IF($N$8="Yes",IFERROR(BLD_MM!R15,0),0)+IF($O$8="Yes",IFERROR(BLD_NT!R15,0),0)+IF($P$8="Yes",IFERROR(BLD_NG!R15,0),0)+IF($Q$8="Yes",IFERROR(BLD_RG!R15,0),0)+IF($R$8="Yes",IFERROR(BLD_AS!R15,0),0)+IF($S$8="Yes",IFERROR(BLD_PS!R15,0),0)+IF($T$8="Yes",IFERROR(BLD_PM!R15,0),0)+IF($U$8="Yes",IFERROR(BLD_CD!R15,0),0)</f>
        <v>129.3606630453796</v>
      </c>
      <c r="S15" s="283">
        <f>IF($E$8="Yes",IFERROR(BLD_AB!S15,0),0)+IF($F$8="Yes",IFERROR(BLD_AC!S15,0),0)+IF($G$8="Yes",IFERROR(BLD_BT!S15,0),0)+IF($H$8="Yes",IFERROR(BLD_CH!S15,0),0)+IF($I$8="Yes",IFERROR(BLD_CC!S15,0),0)+IF($J$8="Yes",IFERROR(BLD_EA!S15,0),0)+IF($K$8="Yes",IFERROR(BLD_EE!S15,0),0)+IF($L$8="Yes",IFERROR(BLD_JP!S15,0),0)+IF($M$8="Yes",IFERROR(BLD_MH!S15,0),0)+IF($N$8="Yes",IFERROR(BLD_MM!S15,0),0)+IF($O$8="Yes",IFERROR(BLD_NT!S15,0),0)+IF($P$8="Yes",IFERROR(BLD_NG!S15,0),0)+IF($Q$8="Yes",IFERROR(BLD_RG!S15,0),0)+IF($R$8="Yes",IFERROR(BLD_AS!S15,0),0)+IF($S$8="Yes",IFERROR(BLD_PS!S15,0),0)+IF($T$8="Yes",IFERROR(BLD_PM!S15,0),0)+IF($U$8="Yes",IFERROR(BLD_CD!S15,0),0)</f>
        <v>131.94787630628721</v>
      </c>
      <c r="T15" s="283">
        <f>IF($E$8="Yes",IFERROR(BLD_AB!T15,0),0)+IF($F$8="Yes",IFERROR(BLD_AC!T15,0),0)+IF($G$8="Yes",IFERROR(BLD_BT!T15,0),0)+IF($H$8="Yes",IFERROR(BLD_CH!T15,0),0)+IF($I$8="Yes",IFERROR(BLD_CC!T15,0),0)+IF($J$8="Yes",IFERROR(BLD_EA!T15,0),0)+IF($K$8="Yes",IFERROR(BLD_EE!T15,0),0)+IF($L$8="Yes",IFERROR(BLD_JP!T15,0),0)+IF($M$8="Yes",IFERROR(BLD_MH!T15,0),0)+IF($N$8="Yes",IFERROR(BLD_MM!T15,0),0)+IF($O$8="Yes",IFERROR(BLD_NT!T15,0),0)+IF($P$8="Yes",IFERROR(BLD_NG!T15,0),0)+IF($Q$8="Yes",IFERROR(BLD_RG!T15,0),0)+IF($R$8="Yes",IFERROR(BLD_AS!T15,0),0)+IF($S$8="Yes",IFERROR(BLD_PS!T15,0),0)+IF($T$8="Yes",IFERROR(BLD_PM!T15,0),0)+IF($U$8="Yes",IFERROR(BLD_CD!T15,0),0)</f>
        <v>134.58683383241296</v>
      </c>
      <c r="U15" s="283">
        <f>IF($E$8="Yes",IFERROR(BLD_AB!U15,0),0)+IF($F$8="Yes",IFERROR(BLD_AC!U15,0),0)+IF($G$8="Yes",IFERROR(BLD_BT!U15,0),0)+IF($H$8="Yes",IFERROR(BLD_CH!U15,0),0)+IF($I$8="Yes",IFERROR(BLD_CC!U15,0),0)+IF($J$8="Yes",IFERROR(BLD_EA!U15,0),0)+IF($K$8="Yes",IFERROR(BLD_EE!U15,0),0)+IF($L$8="Yes",IFERROR(BLD_JP!U15,0),0)+IF($M$8="Yes",IFERROR(BLD_MH!U15,0),0)+IF($N$8="Yes",IFERROR(BLD_MM!U15,0),0)+IF($O$8="Yes",IFERROR(BLD_NT!U15,0),0)+IF($P$8="Yes",IFERROR(BLD_NG!U15,0),0)+IF($Q$8="Yes",IFERROR(BLD_RG!U15,0),0)+IF($R$8="Yes",IFERROR(BLD_AS!U15,0),0)+IF($S$8="Yes",IFERROR(BLD_PS!U15,0),0)+IF($T$8="Yes",IFERROR(BLD_PM!U15,0),0)+IF($U$8="Yes",IFERROR(BLD_CD!U15,0),0)</f>
        <v>137.27857050906118</v>
      </c>
      <c r="V15" s="283">
        <f>IF($E$8="Yes",IFERROR(BLD_AB!V15,0),0)+IF($F$8="Yes",IFERROR(BLD_AC!V15,0),0)+IF($G$8="Yes",IFERROR(BLD_BT!V15,0),0)+IF($H$8="Yes",IFERROR(BLD_CH!V15,0),0)+IF($I$8="Yes",IFERROR(BLD_CC!V15,0),0)+IF($J$8="Yes",IFERROR(BLD_EA!V15,0),0)+IF($K$8="Yes",IFERROR(BLD_EE!V15,0),0)+IF($L$8="Yes",IFERROR(BLD_JP!V15,0),0)+IF($M$8="Yes",IFERROR(BLD_MH!V15,0),0)+IF($N$8="Yes",IFERROR(BLD_MM!V15,0),0)+IF($O$8="Yes",IFERROR(BLD_NT!V15,0),0)+IF($P$8="Yes",IFERROR(BLD_NG!V15,0),0)+IF($Q$8="Yes",IFERROR(BLD_RG!V15,0),0)+IF($R$8="Yes",IFERROR(BLD_AS!V15,0),0)+IF($S$8="Yes",IFERROR(BLD_PS!V15,0),0)+IF($T$8="Yes",IFERROR(BLD_PM!V15,0),0)+IF($U$8="Yes",IFERROR(BLD_CD!V15,0),0)</f>
        <v>140.02414191924242</v>
      </c>
      <c r="W15" s="283">
        <f>IF($E$8="Yes",IFERROR(BLD_AB!W15,0),0)+IF($F$8="Yes",IFERROR(BLD_AC!W15,0),0)+IF($G$8="Yes",IFERROR(BLD_BT!W15,0),0)+IF($H$8="Yes",IFERROR(BLD_CH!W15,0),0)+IF($I$8="Yes",IFERROR(BLD_CC!W15,0),0)+IF($J$8="Yes",IFERROR(BLD_EA!W15,0),0)+IF($K$8="Yes",IFERROR(BLD_EE!W15,0),0)+IF($L$8="Yes",IFERROR(BLD_JP!W15,0),0)+IF($M$8="Yes",IFERROR(BLD_MH!W15,0),0)+IF($N$8="Yes",IFERROR(BLD_MM!W15,0),0)+IF($O$8="Yes",IFERROR(BLD_NT!W15,0),0)+IF($P$8="Yes",IFERROR(BLD_NG!W15,0),0)+IF($Q$8="Yes",IFERROR(BLD_RG!W15,0),0)+IF($R$8="Yes",IFERROR(BLD_AS!W15,0),0)+IF($S$8="Yes",IFERROR(BLD_PS!W15,0),0)+IF($T$8="Yes",IFERROR(BLD_PM!W15,0),0)+IF($U$8="Yes",IFERROR(BLD_CD!W15,0),0)</f>
        <v>142.82462475762728</v>
      </c>
      <c r="X15" s="283">
        <f>IF($E$8="Yes",IFERROR(BLD_AB!X15,0),0)+IF($F$8="Yes",IFERROR(BLD_AC!X15,0),0)+IF($G$8="Yes",IFERROR(BLD_BT!X15,0),0)+IF($H$8="Yes",IFERROR(BLD_CH!X15,0),0)+IF($I$8="Yes",IFERROR(BLD_CC!X15,0),0)+IF($J$8="Yes",IFERROR(BLD_EA!X15,0),0)+IF($K$8="Yes",IFERROR(BLD_EE!X15,0),0)+IF($L$8="Yes",IFERROR(BLD_JP!X15,0),0)+IF($M$8="Yes",IFERROR(BLD_MH!X15,0),0)+IF($N$8="Yes",IFERROR(BLD_MM!X15,0),0)+IF($O$8="Yes",IFERROR(BLD_NT!X15,0),0)+IF($P$8="Yes",IFERROR(BLD_NG!X15,0),0)+IF($Q$8="Yes",IFERROR(BLD_RG!X15,0),0)+IF($R$8="Yes",IFERROR(BLD_AS!X15,0),0)+IF($S$8="Yes",IFERROR(BLD_PS!X15,0),0)+IF($T$8="Yes",IFERROR(BLD_PM!X15,0),0)+IF($U$8="Yes",IFERROR(BLD_CD!X15,0),0)</f>
        <v>145.68111725277984</v>
      </c>
      <c r="Y15" s="283">
        <f>IF($E$8="Yes",IFERROR(BLD_AB!Y15,0),0)+IF($F$8="Yes",IFERROR(BLD_AC!Y15,0),0)+IF($G$8="Yes",IFERROR(BLD_BT!Y15,0),0)+IF($H$8="Yes",IFERROR(BLD_CH!Y15,0),0)+IF($I$8="Yes",IFERROR(BLD_CC!Y15,0),0)+IF($J$8="Yes",IFERROR(BLD_EA!Y15,0),0)+IF($K$8="Yes",IFERROR(BLD_EE!Y15,0),0)+IF($L$8="Yes",IFERROR(BLD_JP!Y15,0),0)+IF($M$8="Yes",IFERROR(BLD_MH!Y15,0),0)+IF($N$8="Yes",IFERROR(BLD_MM!Y15,0),0)+IF($O$8="Yes",IFERROR(BLD_NT!Y15,0),0)+IF($P$8="Yes",IFERROR(BLD_NG!Y15,0),0)+IF($Q$8="Yes",IFERROR(BLD_RG!Y15,0),0)+IF($R$8="Yes",IFERROR(BLD_AS!Y15,0),0)+IF($S$8="Yes",IFERROR(BLD_PS!Y15,0),0)+IF($T$8="Yes",IFERROR(BLD_PM!Y15,0),0)+IF($U$8="Yes",IFERROR(BLD_CD!Y15,0),0)</f>
        <v>148.5947395978354</v>
      </c>
    </row>
    <row r="16" spans="3:25" ht="13.5" customHeight="1">
      <c r="C16" s="10" t="s">
        <v>333</v>
      </c>
      <c r="E16" s="283">
        <f>IF($E$8="Yes",IFERROR(BLD_AB!E16,0),0)+IF($F$8="Yes",IFERROR(BLD_AC!E16,0),0)+IF($G$8="Yes",IFERROR(BLD_BT!E16,0),0)+IF($H$8="Yes",IFERROR(BLD_CH!E16,0),0)+IF($I$8="Yes",IFERROR(BLD_CC!E16,0),0)+IF($J$8="Yes",IFERROR(BLD_EA!E16,0),0)+IF($K$8="Yes",IFERROR(BLD_EE!E16,0),0)+IF($L$8="Yes",IFERROR(BLD_JP!E16,0),0)+IF($M$8="Yes",IFERROR(BLD_MH!E16,0),0)+IF($N$8="Yes",IFERROR(BLD_MM!E16,0),0)+IF($O$8="Yes",IFERROR(BLD_NT!E16,0),0)+IF($P$8="Yes",IFERROR(BLD_NG!E16,0),0)+IF($Q$8="Yes",IFERROR(BLD_RG!E16,0),0)+IF($R$8="Yes",IFERROR(BLD_AS!E16,0),0)+IF($S$8="Yes",IFERROR(BLD_PS!E16,0),0)+IF($T$8="Yes",IFERROR(BLD_PM!E16,0),0)+IF($U$8="Yes",IFERROR(BLD_CD!E16,0),0)</f>
        <v>630</v>
      </c>
      <c r="F16" s="283">
        <f>IF($E$8="Yes",IFERROR(BLD_AB!F16,0),0)+IF($F$8="Yes",IFERROR(BLD_AC!F16,0),0)+IF($G$8="Yes",IFERROR(BLD_BT!F16,0),0)+IF($H$8="Yes",IFERROR(BLD_CH!F16,0),0)+IF($I$8="Yes",IFERROR(BLD_CC!F16,0),0)+IF($J$8="Yes",IFERROR(BLD_EA!F16,0),0)+IF($K$8="Yes",IFERROR(BLD_EE!F16,0),0)+IF($L$8="Yes",IFERROR(BLD_JP!F16,0),0)+IF($M$8="Yes",IFERROR(BLD_MH!F16,0),0)+IF($N$8="Yes",IFERROR(BLD_MM!F16,0),0)+IF($O$8="Yes",IFERROR(BLD_NT!F16,0),0)+IF($P$8="Yes",IFERROR(BLD_NG!F16,0),0)+IF($Q$8="Yes",IFERROR(BLD_RG!F16,0),0)+IF($R$8="Yes",IFERROR(BLD_AS!F16,0),0)+IF($S$8="Yes",IFERROR(BLD_PS!F16,0),0)+IF($T$8="Yes",IFERROR(BLD_PM!F16,0),0)+IF($U$8="Yes",IFERROR(BLD_CD!F16,0),0)</f>
        <v>642.6</v>
      </c>
      <c r="G16" s="283">
        <f>IF($E$8="Yes",IFERROR(BLD_AB!G16,0),0)+IF($F$8="Yes",IFERROR(BLD_AC!G16,0),0)+IF($G$8="Yes",IFERROR(BLD_BT!G16,0),0)+IF($H$8="Yes",IFERROR(BLD_CH!G16,0),0)+IF($I$8="Yes",IFERROR(BLD_CC!G16,0),0)+IF($J$8="Yes",IFERROR(BLD_EA!G16,0),0)+IF($K$8="Yes",IFERROR(BLD_EE!G16,0),0)+IF($L$8="Yes",IFERROR(BLD_JP!G16,0),0)+IF($M$8="Yes",IFERROR(BLD_MH!G16,0),0)+IF($N$8="Yes",IFERROR(BLD_MM!G16,0),0)+IF($O$8="Yes",IFERROR(BLD_NT!G16,0),0)+IF($P$8="Yes",IFERROR(BLD_NG!G16,0),0)+IF($Q$8="Yes",IFERROR(BLD_RG!G16,0),0)+IF($R$8="Yes",IFERROR(BLD_AS!G16,0),0)+IF($S$8="Yes",IFERROR(BLD_PS!G16,0),0)+IF($T$8="Yes",IFERROR(BLD_PM!G16,0),0)+IF($U$8="Yes",IFERROR(BLD_CD!G16,0),0)</f>
        <v>53694.003599999996</v>
      </c>
      <c r="H16" s="283">
        <f>IF($E$8="Yes",IFERROR(BLD_AB!H16,0),0)+IF($F$8="Yes",IFERROR(BLD_AC!H16,0),0)+IF($G$8="Yes",IFERROR(BLD_BT!H16,0),0)+IF($H$8="Yes",IFERROR(BLD_CH!H16,0),0)+IF($I$8="Yes",IFERROR(BLD_CC!H16,0),0)+IF($J$8="Yes",IFERROR(BLD_EA!H16,0),0)+IF($K$8="Yes",IFERROR(BLD_EE!H16,0),0)+IF($L$8="Yes",IFERROR(BLD_JP!H16,0),0)+IF($M$8="Yes",IFERROR(BLD_MH!H16,0),0)+IF($N$8="Yes",IFERROR(BLD_MM!H16,0),0)+IF($O$8="Yes",IFERROR(BLD_NT!H16,0),0)+IF($P$8="Yes",IFERROR(BLD_NG!H16,0),0)+IF($Q$8="Yes",IFERROR(BLD_RG!H16,0),0)+IF($R$8="Yes",IFERROR(BLD_AS!H16,0),0)+IF($S$8="Yes",IFERROR(BLD_PS!H16,0),0)+IF($T$8="Yes",IFERROR(BLD_PM!H16,0),0)+IF($U$8="Yes",IFERROR(BLD_CD!H16,0),0)</f>
        <v>54767.883671999996</v>
      </c>
      <c r="I16" s="283">
        <f>IF($E$8="Yes",IFERROR(BLD_AB!I16,0),0)+IF($F$8="Yes",IFERROR(BLD_AC!I16,0),0)+IF($G$8="Yes",IFERROR(BLD_BT!I16,0),0)+IF($H$8="Yes",IFERROR(BLD_CH!I16,0),0)+IF($I$8="Yes",IFERROR(BLD_CC!I16,0),0)+IF($J$8="Yes",IFERROR(BLD_EA!I16,0),0)+IF($K$8="Yes",IFERROR(BLD_EE!I16,0),0)+IF($L$8="Yes",IFERROR(BLD_JP!I16,0),0)+IF($M$8="Yes",IFERROR(BLD_MH!I16,0),0)+IF($N$8="Yes",IFERROR(BLD_MM!I16,0),0)+IF($O$8="Yes",IFERROR(BLD_NT!I16,0),0)+IF($P$8="Yes",IFERROR(BLD_NG!I16,0),0)+IF($Q$8="Yes",IFERROR(BLD_RG!I16,0),0)+IF($R$8="Yes",IFERROR(BLD_AS!I16,0),0)+IF($S$8="Yes",IFERROR(BLD_PS!I16,0),0)+IF($T$8="Yes",IFERROR(BLD_PM!I16,0),0)+IF($U$8="Yes",IFERROR(BLD_CD!I16,0),0)</f>
        <v>80880.413427360007</v>
      </c>
      <c r="J16" s="283">
        <f>IF($E$8="Yes",IFERROR(BLD_AB!J16,0),0)+IF($F$8="Yes",IFERROR(BLD_AC!J16,0),0)+IF($G$8="Yes",IFERROR(BLD_BT!J16,0),0)+IF($H$8="Yes",IFERROR(BLD_CH!J16,0),0)+IF($I$8="Yes",IFERROR(BLD_CC!J16,0),0)+IF($J$8="Yes",IFERROR(BLD_EA!J16,0),0)+IF($K$8="Yes",IFERROR(BLD_EE!J16,0),0)+IF($L$8="Yes",IFERROR(BLD_JP!J16,0),0)+IF($M$8="Yes",IFERROR(BLD_MH!J16,0),0)+IF($N$8="Yes",IFERROR(BLD_MM!J16,0),0)+IF($O$8="Yes",IFERROR(BLD_NT!J16,0),0)+IF($P$8="Yes",IFERROR(BLD_NG!J16,0),0)+IF($Q$8="Yes",IFERROR(BLD_RG!J16,0),0)+IF($R$8="Yes",IFERROR(BLD_AS!J16,0),0)+IF($S$8="Yes",IFERROR(BLD_PS!J16,0),0)+IF($T$8="Yes",IFERROR(BLD_PM!J16,0),0)+IF($U$8="Yes",IFERROR(BLD_CD!J16,0),0)</f>
        <v>82498.021695907199</v>
      </c>
      <c r="K16" s="283">
        <f>IF($E$8="Yes",IFERROR(BLD_AB!K16,0),0)+IF($F$8="Yes",IFERROR(BLD_AC!K16,0),0)+IF($G$8="Yes",IFERROR(BLD_BT!K16,0),0)+IF($H$8="Yes",IFERROR(BLD_CH!K16,0),0)+IF($I$8="Yes",IFERROR(BLD_CC!K16,0),0)+IF($J$8="Yes",IFERROR(BLD_EA!K16,0),0)+IF($K$8="Yes",IFERROR(BLD_EE!K16,0),0)+IF($L$8="Yes",IFERROR(BLD_JP!K16,0),0)+IF($M$8="Yes",IFERROR(BLD_MH!K16,0),0)+IF($N$8="Yes",IFERROR(BLD_MM!K16,0),0)+IF($O$8="Yes",IFERROR(BLD_NT!K16,0),0)+IF($P$8="Yes",IFERROR(BLD_NG!K16,0),0)+IF($Q$8="Yes",IFERROR(BLD_RG!K16,0),0)+IF($R$8="Yes",IFERROR(BLD_AS!K16,0),0)+IF($S$8="Yes",IFERROR(BLD_PS!K16,0),0)+IF($T$8="Yes",IFERROR(BLD_PM!K16,0),0)+IF($U$8="Yes",IFERROR(BLD_CD!K16,0),0)</f>
        <v>84147.982129825352</v>
      </c>
      <c r="L16" s="283">
        <f>IF($E$8="Yes",IFERROR(BLD_AB!L16,0),0)+IF($F$8="Yes",IFERROR(BLD_AC!L16,0),0)+IF($G$8="Yes",IFERROR(BLD_BT!L16,0),0)+IF($H$8="Yes",IFERROR(BLD_CH!L16,0),0)+IF($I$8="Yes",IFERROR(BLD_CC!L16,0),0)+IF($J$8="Yes",IFERROR(BLD_EA!L16,0),0)+IF($K$8="Yes",IFERROR(BLD_EE!L16,0),0)+IF($L$8="Yes",IFERROR(BLD_JP!L16,0),0)+IF($M$8="Yes",IFERROR(BLD_MH!L16,0),0)+IF($N$8="Yes",IFERROR(BLD_MM!L16,0),0)+IF($O$8="Yes",IFERROR(BLD_NT!L16,0),0)+IF($P$8="Yes",IFERROR(BLD_NG!L16,0),0)+IF($Q$8="Yes",IFERROR(BLD_RG!L16,0),0)+IF($R$8="Yes",IFERROR(BLD_AS!L16,0),0)+IF($S$8="Yes",IFERROR(BLD_PS!L16,0),0)+IF($T$8="Yes",IFERROR(BLD_PM!L16,0),0)+IF($U$8="Yes",IFERROR(BLD_CD!L16,0),0)</f>
        <v>85830.941772421837</v>
      </c>
      <c r="M16" s="283">
        <f>IF($E$8="Yes",IFERROR(BLD_AB!M16,0),0)+IF($F$8="Yes",IFERROR(BLD_AC!M16,0),0)+IF($G$8="Yes",IFERROR(BLD_BT!M16,0),0)+IF($H$8="Yes",IFERROR(BLD_CH!M16,0),0)+IF($I$8="Yes",IFERROR(BLD_CC!M16,0),0)+IF($J$8="Yes",IFERROR(BLD_EA!M16,0),0)+IF($K$8="Yes",IFERROR(BLD_EE!M16,0),0)+IF($L$8="Yes",IFERROR(BLD_JP!M16,0),0)+IF($M$8="Yes",IFERROR(BLD_MH!M16,0),0)+IF($N$8="Yes",IFERROR(BLD_MM!M16,0),0)+IF($O$8="Yes",IFERROR(BLD_NT!M16,0),0)+IF($P$8="Yes",IFERROR(BLD_NG!M16,0),0)+IF($Q$8="Yes",IFERROR(BLD_RG!M16,0),0)+IF($R$8="Yes",IFERROR(BLD_AS!M16,0),0)+IF($S$8="Yes",IFERROR(BLD_PS!M16,0),0)+IF($T$8="Yes",IFERROR(BLD_PM!M16,0),0)+IF($U$8="Yes",IFERROR(BLD_CD!M16,0),0)</f>
        <v>87547.560607870284</v>
      </c>
      <c r="N16" s="283">
        <f>IF($E$8="Yes",IFERROR(BLD_AB!N16,0),0)+IF($F$8="Yes",IFERROR(BLD_AC!N16,0),0)+IF($G$8="Yes",IFERROR(BLD_BT!N16,0),0)+IF($H$8="Yes",IFERROR(BLD_CH!N16,0),0)+IF($I$8="Yes",IFERROR(BLD_CC!N16,0),0)+IF($J$8="Yes",IFERROR(BLD_EA!N16,0),0)+IF($K$8="Yes",IFERROR(BLD_EE!N16,0),0)+IF($L$8="Yes",IFERROR(BLD_JP!N16,0),0)+IF($M$8="Yes",IFERROR(BLD_MH!N16,0),0)+IF($N$8="Yes",IFERROR(BLD_MM!N16,0),0)+IF($O$8="Yes",IFERROR(BLD_NT!N16,0),0)+IF($P$8="Yes",IFERROR(BLD_NG!N16,0),0)+IF($Q$8="Yes",IFERROR(BLD_RG!N16,0),0)+IF($R$8="Yes",IFERROR(BLD_AS!N16,0),0)+IF($S$8="Yes",IFERROR(BLD_PS!N16,0),0)+IF($T$8="Yes",IFERROR(BLD_PM!N16,0),0)+IF($U$8="Yes",IFERROR(BLD_CD!N16,0),0)</f>
        <v>89298.511820027692</v>
      </c>
      <c r="O16" s="283">
        <f>IF($E$8="Yes",IFERROR(BLD_AB!O16,0),0)+IF($F$8="Yes",IFERROR(BLD_AC!O16,0),0)+IF($G$8="Yes",IFERROR(BLD_BT!O16,0),0)+IF($H$8="Yes",IFERROR(BLD_CH!O16,0),0)+IF($I$8="Yes",IFERROR(BLD_CC!O16,0),0)+IF($J$8="Yes",IFERROR(BLD_EA!O16,0),0)+IF($K$8="Yes",IFERROR(BLD_EE!O16,0),0)+IF($L$8="Yes",IFERROR(BLD_JP!O16,0),0)+IF($M$8="Yes",IFERROR(BLD_MH!O16,0),0)+IF($N$8="Yes",IFERROR(BLD_MM!O16,0),0)+IF($O$8="Yes",IFERROR(BLD_NT!O16,0),0)+IF($P$8="Yes",IFERROR(BLD_NG!O16,0),0)+IF($Q$8="Yes",IFERROR(BLD_RG!O16,0),0)+IF($R$8="Yes",IFERROR(BLD_AS!O16,0),0)+IF($S$8="Yes",IFERROR(BLD_PS!O16,0),0)+IF($T$8="Yes",IFERROR(BLD_PM!O16,0),0)+IF($U$8="Yes",IFERROR(BLD_CD!O16,0),0)</f>
        <v>91084.482056428242</v>
      </c>
      <c r="P16" s="283">
        <f>IF($E$8="Yes",IFERROR(BLD_AB!P16,0),0)+IF($F$8="Yes",IFERROR(BLD_AC!P16,0),0)+IF($G$8="Yes",IFERROR(BLD_BT!P16,0),0)+IF($H$8="Yes",IFERROR(BLD_CH!P16,0),0)+IF($I$8="Yes",IFERROR(BLD_CC!P16,0),0)+IF($J$8="Yes",IFERROR(BLD_EA!P16,0),0)+IF($K$8="Yes",IFERROR(BLD_EE!P16,0),0)+IF($L$8="Yes",IFERROR(BLD_JP!P16,0),0)+IF($M$8="Yes",IFERROR(BLD_MH!P16,0),0)+IF($N$8="Yes",IFERROR(BLD_MM!P16,0),0)+IF($O$8="Yes",IFERROR(BLD_NT!P16,0),0)+IF($P$8="Yes",IFERROR(BLD_NG!P16,0),0)+IF($Q$8="Yes",IFERROR(BLD_RG!P16,0),0)+IF($R$8="Yes",IFERROR(BLD_AS!P16,0),0)+IF($S$8="Yes",IFERROR(BLD_PS!P16,0),0)+IF($T$8="Yes",IFERROR(BLD_PM!P16,0),0)+IF($U$8="Yes",IFERROR(BLD_CD!P16,0),0)</f>
        <v>92906.171697556812</v>
      </c>
      <c r="Q16" s="283">
        <f>IF($E$8="Yes",IFERROR(BLD_AB!Q16,0),0)+IF($F$8="Yes",IFERROR(BLD_AC!Q16,0),0)+IF($G$8="Yes",IFERROR(BLD_BT!Q16,0),0)+IF($H$8="Yes",IFERROR(BLD_CH!Q16,0),0)+IF($I$8="Yes",IFERROR(BLD_CC!Q16,0),0)+IF($J$8="Yes",IFERROR(BLD_EA!Q16,0),0)+IF($K$8="Yes",IFERROR(BLD_EE!Q16,0),0)+IF($L$8="Yes",IFERROR(BLD_JP!Q16,0),0)+IF($M$8="Yes",IFERROR(BLD_MH!Q16,0),0)+IF($N$8="Yes",IFERROR(BLD_MM!Q16,0),0)+IF($O$8="Yes",IFERROR(BLD_NT!Q16,0),0)+IF($P$8="Yes",IFERROR(BLD_NG!Q16,0),0)+IF($Q$8="Yes",IFERROR(BLD_RG!Q16,0),0)+IF($R$8="Yes",IFERROR(BLD_AS!Q16,0),0)+IF($S$8="Yes",IFERROR(BLD_PS!Q16,0),0)+IF($T$8="Yes",IFERROR(BLD_PM!Q16,0),0)+IF($U$8="Yes",IFERROR(BLD_CD!Q16,0),0)</f>
        <v>94764.295131507926</v>
      </c>
      <c r="R16" s="283">
        <f>IF($E$8="Yes",IFERROR(BLD_AB!R16,0),0)+IF($F$8="Yes",IFERROR(BLD_AC!R16,0),0)+IF($G$8="Yes",IFERROR(BLD_BT!R16,0),0)+IF($H$8="Yes",IFERROR(BLD_CH!R16,0),0)+IF($I$8="Yes",IFERROR(BLD_CC!R16,0),0)+IF($J$8="Yes",IFERROR(BLD_EA!R16,0),0)+IF($K$8="Yes",IFERROR(BLD_EE!R16,0),0)+IF($L$8="Yes",IFERROR(BLD_JP!R16,0),0)+IF($M$8="Yes",IFERROR(BLD_MH!R16,0),0)+IF($N$8="Yes",IFERROR(BLD_MM!R16,0),0)+IF($O$8="Yes",IFERROR(BLD_NT!R16,0),0)+IF($P$8="Yes",IFERROR(BLD_NG!R16,0),0)+IF($Q$8="Yes",IFERROR(BLD_RG!R16,0),0)+IF($R$8="Yes",IFERROR(BLD_AS!R16,0),0)+IF($S$8="Yes",IFERROR(BLD_PS!R16,0),0)+IF($T$8="Yes",IFERROR(BLD_PM!R16,0),0)+IF($U$8="Yes",IFERROR(BLD_CD!R16,0),0)</f>
        <v>96659.581034138086</v>
      </c>
      <c r="S16" s="283">
        <f>IF($E$8="Yes",IFERROR(BLD_AB!S16,0),0)+IF($F$8="Yes",IFERROR(BLD_AC!S16,0),0)+IF($G$8="Yes",IFERROR(BLD_BT!S16,0),0)+IF($H$8="Yes",IFERROR(BLD_CH!S16,0),0)+IF($I$8="Yes",IFERROR(BLD_CC!S16,0),0)+IF($J$8="Yes",IFERROR(BLD_EA!S16,0),0)+IF($K$8="Yes",IFERROR(BLD_EE!S16,0),0)+IF($L$8="Yes",IFERROR(BLD_JP!S16,0),0)+IF($M$8="Yes",IFERROR(BLD_MH!S16,0),0)+IF($N$8="Yes",IFERROR(BLD_MM!S16,0),0)+IF($O$8="Yes",IFERROR(BLD_NT!S16,0),0)+IF($P$8="Yes",IFERROR(BLD_NG!S16,0),0)+IF($Q$8="Yes",IFERROR(BLD_RG!S16,0),0)+IF($R$8="Yes",IFERROR(BLD_AS!S16,0),0)+IF($S$8="Yes",IFERROR(BLD_PS!S16,0),0)+IF($T$8="Yes",IFERROR(BLD_PM!S16,0),0)+IF($U$8="Yes",IFERROR(BLD_CD!S16,0),0)</f>
        <v>98592.772654820859</v>
      </c>
      <c r="T16" s="283">
        <f>IF($E$8="Yes",IFERROR(BLD_AB!T16,0),0)+IF($F$8="Yes",IFERROR(BLD_AC!T16,0),0)+IF($G$8="Yes",IFERROR(BLD_BT!T16,0),0)+IF($H$8="Yes",IFERROR(BLD_CH!T16,0),0)+IF($I$8="Yes",IFERROR(BLD_CC!T16,0),0)+IF($J$8="Yes",IFERROR(BLD_EA!T16,0),0)+IF($K$8="Yes",IFERROR(BLD_EE!T16,0),0)+IF($L$8="Yes",IFERROR(BLD_JP!T16,0),0)+IF($M$8="Yes",IFERROR(BLD_MH!T16,0),0)+IF($N$8="Yes",IFERROR(BLD_MM!T16,0),0)+IF($O$8="Yes",IFERROR(BLD_NT!T16,0),0)+IF($P$8="Yes",IFERROR(BLD_NG!T16,0),0)+IF($Q$8="Yes",IFERROR(BLD_RG!T16,0),0)+IF($R$8="Yes",IFERROR(BLD_AS!T16,0),0)+IF($S$8="Yes",IFERROR(BLD_PS!T16,0),0)+IF($T$8="Yes",IFERROR(BLD_PM!T16,0),0)+IF($U$8="Yes",IFERROR(BLD_CD!T16,0),0)</f>
        <v>100564.62810791729</v>
      </c>
      <c r="U16" s="283">
        <f>IF($E$8="Yes",IFERROR(BLD_AB!U16,0),0)+IF($F$8="Yes",IFERROR(BLD_AC!U16,0),0)+IF($G$8="Yes",IFERROR(BLD_BT!U16,0),0)+IF($H$8="Yes",IFERROR(BLD_CH!U16,0),0)+IF($I$8="Yes",IFERROR(BLD_CC!U16,0),0)+IF($J$8="Yes",IFERROR(BLD_EA!U16,0),0)+IF($K$8="Yes",IFERROR(BLD_EE!U16,0),0)+IF($L$8="Yes",IFERROR(BLD_JP!U16,0),0)+IF($M$8="Yes",IFERROR(BLD_MH!U16,0),0)+IF($N$8="Yes",IFERROR(BLD_MM!U16,0),0)+IF($O$8="Yes",IFERROR(BLD_NT!U16,0),0)+IF($P$8="Yes",IFERROR(BLD_NG!U16,0),0)+IF($Q$8="Yes",IFERROR(BLD_RG!U16,0),0)+IF($R$8="Yes",IFERROR(BLD_AS!U16,0),0)+IF($S$8="Yes",IFERROR(BLD_PS!U16,0),0)+IF($T$8="Yes",IFERROR(BLD_PM!U16,0),0)+IF($U$8="Yes",IFERROR(BLD_CD!U16,0),0)</f>
        <v>102575.9206700756</v>
      </c>
      <c r="V16" s="283">
        <f>IF($E$8="Yes",IFERROR(BLD_AB!V16,0),0)+IF($F$8="Yes",IFERROR(BLD_AC!V16,0),0)+IF($G$8="Yes",IFERROR(BLD_BT!V16,0),0)+IF($H$8="Yes",IFERROR(BLD_CH!V16,0),0)+IF($I$8="Yes",IFERROR(BLD_CC!V16,0),0)+IF($J$8="Yes",IFERROR(BLD_EA!V16,0),0)+IF($K$8="Yes",IFERROR(BLD_EE!V16,0),0)+IF($L$8="Yes",IFERROR(BLD_JP!V16,0),0)+IF($M$8="Yes",IFERROR(BLD_MH!V16,0),0)+IF($N$8="Yes",IFERROR(BLD_MM!V16,0),0)+IF($O$8="Yes",IFERROR(BLD_NT!V16,0),0)+IF($P$8="Yes",IFERROR(BLD_NG!V16,0),0)+IF($Q$8="Yes",IFERROR(BLD_RG!V16,0),0)+IF($R$8="Yes",IFERROR(BLD_AS!V16,0),0)+IF($S$8="Yes",IFERROR(BLD_PS!V16,0),0)+IF($T$8="Yes",IFERROR(BLD_PM!V16,0),0)+IF($U$8="Yes",IFERROR(BLD_CD!V16,0),0)</f>
        <v>104627.43908347713</v>
      </c>
      <c r="W16" s="283">
        <f>IF($E$8="Yes",IFERROR(BLD_AB!W16,0),0)+IF($F$8="Yes",IFERROR(BLD_AC!W16,0),0)+IF($G$8="Yes",IFERROR(BLD_BT!W16,0),0)+IF($H$8="Yes",IFERROR(BLD_CH!W16,0),0)+IF($I$8="Yes",IFERROR(BLD_CC!W16,0),0)+IF($J$8="Yes",IFERROR(BLD_EA!W16,0),0)+IF($K$8="Yes",IFERROR(BLD_EE!W16,0),0)+IF($L$8="Yes",IFERROR(BLD_JP!W16,0),0)+IF($M$8="Yes",IFERROR(BLD_MH!W16,0),0)+IF($N$8="Yes",IFERROR(BLD_MM!W16,0),0)+IF($O$8="Yes",IFERROR(BLD_NT!W16,0),0)+IF($P$8="Yes",IFERROR(BLD_NG!W16,0),0)+IF($Q$8="Yes",IFERROR(BLD_RG!W16,0),0)+IF($R$8="Yes",IFERROR(BLD_AS!W16,0),0)+IF($S$8="Yes",IFERROR(BLD_PS!W16,0),0)+IF($T$8="Yes",IFERROR(BLD_PM!W16,0),0)+IF($U$8="Yes",IFERROR(BLD_CD!W16,0),0)</f>
        <v>106719.98786514667</v>
      </c>
      <c r="X16" s="283">
        <f>IF($E$8="Yes",IFERROR(BLD_AB!X16,0),0)+IF($F$8="Yes",IFERROR(BLD_AC!X16,0),0)+IF($G$8="Yes",IFERROR(BLD_BT!X16,0),0)+IF($H$8="Yes",IFERROR(BLD_CH!X16,0),0)+IF($I$8="Yes",IFERROR(BLD_CC!X16,0),0)+IF($J$8="Yes",IFERROR(BLD_EA!X16,0),0)+IF($K$8="Yes",IFERROR(BLD_EE!X16,0),0)+IF($L$8="Yes",IFERROR(BLD_JP!X16,0),0)+IF($M$8="Yes",IFERROR(BLD_MH!X16,0),0)+IF($N$8="Yes",IFERROR(BLD_MM!X16,0),0)+IF($O$8="Yes",IFERROR(BLD_NT!X16,0),0)+IF($P$8="Yes",IFERROR(BLD_NG!X16,0),0)+IF($Q$8="Yes",IFERROR(BLD_RG!X16,0),0)+IF($R$8="Yes",IFERROR(BLD_AS!X16,0),0)+IF($S$8="Yes",IFERROR(BLD_PS!X16,0),0)+IF($T$8="Yes",IFERROR(BLD_PM!X16,0),0)+IF($U$8="Yes",IFERROR(BLD_CD!X16,0),0)</f>
        <v>108854.38762244961</v>
      </c>
      <c r="Y16" s="283">
        <f>IF($E$8="Yes",IFERROR(BLD_AB!Y16,0),0)+IF($F$8="Yes",IFERROR(BLD_AC!Y16,0),0)+IF($G$8="Yes",IFERROR(BLD_BT!Y16,0),0)+IF($H$8="Yes",IFERROR(BLD_CH!Y16,0),0)+IF($I$8="Yes",IFERROR(BLD_CC!Y16,0),0)+IF($J$8="Yes",IFERROR(BLD_EA!Y16,0),0)+IF($K$8="Yes",IFERROR(BLD_EE!Y16,0),0)+IF($L$8="Yes",IFERROR(BLD_JP!Y16,0),0)+IF($M$8="Yes",IFERROR(BLD_MH!Y16,0),0)+IF($N$8="Yes",IFERROR(BLD_MM!Y16,0),0)+IF($O$8="Yes",IFERROR(BLD_NT!Y16,0),0)+IF($P$8="Yes",IFERROR(BLD_NG!Y16,0),0)+IF($Q$8="Yes",IFERROR(BLD_RG!Y16,0),0)+IF($R$8="Yes",IFERROR(BLD_AS!Y16,0),0)+IF($S$8="Yes",IFERROR(BLD_PS!Y16,0),0)+IF($T$8="Yes",IFERROR(BLD_PM!Y16,0),0)+IF($U$8="Yes",IFERROR(BLD_CD!Y16,0),0)</f>
        <v>111031.47537489858</v>
      </c>
    </row>
    <row r="17" spans="3:25" ht="13.5" customHeight="1">
      <c r="C17" s="10" t="s">
        <v>334</v>
      </c>
      <c r="E17" s="283">
        <f>IF($E$8="Yes",IFERROR(BLD_AB!E17,0),0)+IF($F$8="Yes",IFERROR(BLD_AC!E17,0),0)+IF($G$8="Yes",IFERROR(BLD_BT!E17,0),0)+IF($H$8="Yes",IFERROR(BLD_CH!E17,0),0)+IF($I$8="Yes",IFERROR(BLD_CC!E17,0),0)+IF($J$8="Yes",IFERROR(BLD_EA!E17,0),0)+IF($K$8="Yes",IFERROR(BLD_EE!E17,0),0)+IF($L$8="Yes",IFERROR(BLD_JP!E17,0),0)+IF($M$8="Yes",IFERROR(BLD_MH!E17,0),0)+IF($N$8="Yes",IFERROR(BLD_MM!E17,0),0)+IF($O$8="Yes",IFERROR(BLD_NT!E17,0),0)+IF($P$8="Yes",IFERROR(BLD_NG!E17,0),0)+IF($Q$8="Yes",IFERROR(BLD_RG!E17,0),0)+IF($R$8="Yes",IFERROR(BLD_AS!E17,0),0)+IF($S$8="Yes",IFERROR(BLD_PS!E17,0),0)+IF($T$8="Yes",IFERROR(BLD_PM!E17,0),0)+IF($U$8="Yes",IFERROR(BLD_CD!E17,0),0)</f>
        <v>14705</v>
      </c>
      <c r="F17" s="283">
        <f>IF($E$8="Yes",IFERROR(BLD_AB!F17,0),0)+IF($F$8="Yes",IFERROR(BLD_AC!F17,0),0)+IF($G$8="Yes",IFERROR(BLD_BT!F17,0),0)+IF($H$8="Yes",IFERROR(BLD_CH!F17,0),0)+IF($I$8="Yes",IFERROR(BLD_CC!F17,0),0)+IF($J$8="Yes",IFERROR(BLD_EA!F17,0),0)+IF($K$8="Yes",IFERROR(BLD_EE!F17,0),0)+IF($L$8="Yes",IFERROR(BLD_JP!F17,0),0)+IF($M$8="Yes",IFERROR(BLD_MH!F17,0),0)+IF($N$8="Yes",IFERROR(BLD_MM!F17,0),0)+IF($O$8="Yes",IFERROR(BLD_NT!F17,0),0)+IF($P$8="Yes",IFERROR(BLD_NG!F17,0),0)+IF($Q$8="Yes",IFERROR(BLD_RG!F17,0),0)+IF($R$8="Yes",IFERROR(BLD_AS!F17,0),0)+IF($S$8="Yes",IFERROR(BLD_PS!F17,0),0)+IF($T$8="Yes",IFERROR(BLD_PM!F17,0),0)+IF($U$8="Yes",IFERROR(BLD_CD!F17,0),0)</f>
        <v>14999.1</v>
      </c>
      <c r="G17" s="283">
        <f>IF($E$8="Yes",IFERROR(BLD_AB!G17,0),0)+IF($F$8="Yes",IFERROR(BLD_AC!G17,0),0)+IF($G$8="Yes",IFERROR(BLD_BT!G17,0),0)+IF($H$8="Yes",IFERROR(BLD_CH!G17,0),0)+IF($I$8="Yes",IFERROR(BLD_CC!G17,0),0)+IF($J$8="Yes",IFERROR(BLD_EA!G17,0),0)+IF($K$8="Yes",IFERROR(BLD_EE!G17,0),0)+IF($L$8="Yes",IFERROR(BLD_JP!G17,0),0)+IF($M$8="Yes",IFERROR(BLD_MH!G17,0),0)+IF($N$8="Yes",IFERROR(BLD_MM!G17,0),0)+IF($O$8="Yes",IFERROR(BLD_NT!G17,0),0)+IF($P$8="Yes",IFERROR(BLD_NG!G17,0),0)+IF($Q$8="Yes",IFERROR(BLD_RG!G17,0),0)+IF($R$8="Yes",IFERROR(BLD_AS!G17,0),0)+IF($S$8="Yes",IFERROR(BLD_PS!G17,0),0)+IF($T$8="Yes",IFERROR(BLD_PM!G17,0),0)+IF($U$8="Yes",IFERROR(BLD_CD!G17,0),0)</f>
        <v>123008.57279999999</v>
      </c>
      <c r="H17" s="283">
        <f>IF($E$8="Yes",IFERROR(BLD_AB!H17,0),0)+IF($F$8="Yes",IFERROR(BLD_AC!H17,0),0)+IF($G$8="Yes",IFERROR(BLD_BT!H17,0),0)+IF($H$8="Yes",IFERROR(BLD_CH!H17,0),0)+IF($I$8="Yes",IFERROR(BLD_CC!H17,0),0)+IF($J$8="Yes",IFERROR(BLD_EA!H17,0),0)+IF($K$8="Yes",IFERROR(BLD_EE!H17,0),0)+IF($L$8="Yes",IFERROR(BLD_JP!H17,0),0)+IF($M$8="Yes",IFERROR(BLD_MH!H17,0),0)+IF($N$8="Yes",IFERROR(BLD_MM!H17,0),0)+IF($O$8="Yes",IFERROR(BLD_NT!H17,0),0)+IF($P$8="Yes",IFERROR(BLD_NG!H17,0),0)+IF($Q$8="Yes",IFERROR(BLD_RG!H17,0),0)+IF($R$8="Yes",IFERROR(BLD_AS!H17,0),0)+IF($S$8="Yes",IFERROR(BLD_PS!H17,0),0)+IF($T$8="Yes",IFERROR(BLD_PM!H17,0),0)+IF($U$8="Yes",IFERROR(BLD_CD!H17,0),0)</f>
        <v>157941.70905599999</v>
      </c>
      <c r="I17" s="283">
        <f>IF($E$8="Yes",IFERROR(BLD_AB!I17,0),0)+IF($F$8="Yes",IFERROR(BLD_AC!I17,0),0)+IF($G$8="Yes",IFERROR(BLD_BT!I17,0),0)+IF($H$8="Yes",IFERROR(BLD_CH!I17,0),0)+IF($I$8="Yes",IFERROR(BLD_CC!I17,0),0)+IF($J$8="Yes",IFERROR(BLD_EA!I17,0),0)+IF($K$8="Yes",IFERROR(BLD_EE!I17,0),0)+IF($L$8="Yes",IFERROR(BLD_JP!I17,0),0)+IF($M$8="Yes",IFERROR(BLD_MH!I17,0),0)+IF($N$8="Yes",IFERROR(BLD_MM!I17,0),0)+IF($O$8="Yes",IFERROR(BLD_NT!I17,0),0)+IF($P$8="Yes",IFERROR(BLD_NG!I17,0),0)+IF($Q$8="Yes",IFERROR(BLD_RG!I17,0),0)+IF($R$8="Yes",IFERROR(BLD_AS!I17,0),0)+IF($S$8="Yes",IFERROR(BLD_PS!I17,0),0)+IF($T$8="Yes",IFERROR(BLD_PM!I17,0),0)+IF($U$8="Yes",IFERROR(BLD_CD!I17,0),0)</f>
        <v>167595.13619712001</v>
      </c>
      <c r="J17" s="283">
        <f>IF($E$8="Yes",IFERROR(BLD_AB!J17,0),0)+IF($F$8="Yes",IFERROR(BLD_AC!J17,0),0)+IF($G$8="Yes",IFERROR(BLD_BT!J17,0),0)+IF($H$8="Yes",IFERROR(BLD_CH!J17,0),0)+IF($I$8="Yes",IFERROR(BLD_CC!J17,0),0)+IF($J$8="Yes",IFERROR(BLD_EA!J17,0),0)+IF($K$8="Yes",IFERROR(BLD_EE!J17,0),0)+IF($L$8="Yes",IFERROR(BLD_JP!J17,0),0)+IF($M$8="Yes",IFERROR(BLD_MH!J17,0),0)+IF($N$8="Yes",IFERROR(BLD_MM!J17,0),0)+IF($O$8="Yes",IFERROR(BLD_NT!J17,0),0)+IF($P$8="Yes",IFERROR(BLD_NG!J17,0),0)+IF($Q$8="Yes",IFERROR(BLD_RG!J17,0),0)+IF($R$8="Yes",IFERROR(BLD_AS!J17,0),0)+IF($S$8="Yes",IFERROR(BLD_PS!J17,0),0)+IF($T$8="Yes",IFERROR(BLD_PM!J17,0),0)+IF($U$8="Yes",IFERROR(BLD_CD!J17,0),0)</f>
        <v>170947.0389210624</v>
      </c>
      <c r="K17" s="283">
        <f>IF($E$8="Yes",IFERROR(BLD_AB!K17,0),0)+IF($F$8="Yes",IFERROR(BLD_AC!K17,0),0)+IF($G$8="Yes",IFERROR(BLD_BT!K17,0),0)+IF($H$8="Yes",IFERROR(BLD_CH!K17,0),0)+IF($I$8="Yes",IFERROR(BLD_CC!K17,0),0)+IF($J$8="Yes",IFERROR(BLD_EA!K17,0),0)+IF($K$8="Yes",IFERROR(BLD_EE!K17,0),0)+IF($L$8="Yes",IFERROR(BLD_JP!K17,0),0)+IF($M$8="Yes",IFERROR(BLD_MH!K17,0),0)+IF($N$8="Yes",IFERROR(BLD_MM!K17,0),0)+IF($O$8="Yes",IFERROR(BLD_NT!K17,0),0)+IF($P$8="Yes",IFERROR(BLD_NG!K17,0),0)+IF($Q$8="Yes",IFERROR(BLD_RG!K17,0),0)+IF($R$8="Yes",IFERROR(BLD_AS!K17,0),0)+IF($S$8="Yes",IFERROR(BLD_PS!K17,0),0)+IF($T$8="Yes",IFERROR(BLD_PM!K17,0),0)+IF($U$8="Yes",IFERROR(BLD_CD!K17,0),0)</f>
        <v>174365.97969948367</v>
      </c>
      <c r="L17" s="283">
        <f>IF($E$8="Yes",IFERROR(BLD_AB!L17,0),0)+IF($F$8="Yes",IFERROR(BLD_AC!L17,0),0)+IF($G$8="Yes",IFERROR(BLD_BT!L17,0),0)+IF($H$8="Yes",IFERROR(BLD_CH!L17,0),0)+IF($I$8="Yes",IFERROR(BLD_CC!L17,0),0)+IF($J$8="Yes",IFERROR(BLD_EA!L17,0),0)+IF($K$8="Yes",IFERROR(BLD_EE!L17,0),0)+IF($L$8="Yes",IFERROR(BLD_JP!L17,0),0)+IF($M$8="Yes",IFERROR(BLD_MH!L17,0),0)+IF($N$8="Yes",IFERROR(BLD_MM!L17,0),0)+IF($O$8="Yes",IFERROR(BLD_NT!L17,0),0)+IF($P$8="Yes",IFERROR(BLD_NG!L17,0),0)+IF($Q$8="Yes",IFERROR(BLD_RG!L17,0),0)+IF($R$8="Yes",IFERROR(BLD_AS!L17,0),0)+IF($S$8="Yes",IFERROR(BLD_PS!L17,0),0)+IF($T$8="Yes",IFERROR(BLD_PM!L17,0),0)+IF($U$8="Yes",IFERROR(BLD_CD!L17,0),0)</f>
        <v>177853.2992934733</v>
      </c>
      <c r="M17" s="283">
        <f>IF($E$8="Yes",IFERROR(BLD_AB!M17,0),0)+IF($F$8="Yes",IFERROR(BLD_AC!M17,0),0)+IF($G$8="Yes",IFERROR(BLD_BT!M17,0),0)+IF($H$8="Yes",IFERROR(BLD_CH!M17,0),0)+IF($I$8="Yes",IFERROR(BLD_CC!M17,0),0)+IF($J$8="Yes",IFERROR(BLD_EA!M17,0),0)+IF($K$8="Yes",IFERROR(BLD_EE!M17,0),0)+IF($L$8="Yes",IFERROR(BLD_JP!M17,0),0)+IF($M$8="Yes",IFERROR(BLD_MH!M17,0),0)+IF($N$8="Yes",IFERROR(BLD_MM!M17,0),0)+IF($O$8="Yes",IFERROR(BLD_NT!M17,0),0)+IF($P$8="Yes",IFERROR(BLD_NG!M17,0),0)+IF($Q$8="Yes",IFERROR(BLD_RG!M17,0),0)+IF($R$8="Yes",IFERROR(BLD_AS!M17,0),0)+IF($S$8="Yes",IFERROR(BLD_PS!M17,0),0)+IF($T$8="Yes",IFERROR(BLD_PM!M17,0),0)+IF($U$8="Yes",IFERROR(BLD_CD!M17,0),0)</f>
        <v>181410.36527934275</v>
      </c>
      <c r="N17" s="283">
        <f>IF($E$8="Yes",IFERROR(BLD_AB!N17,0),0)+IF($F$8="Yes",IFERROR(BLD_AC!N17,0),0)+IF($G$8="Yes",IFERROR(BLD_BT!N17,0),0)+IF($H$8="Yes",IFERROR(BLD_CH!N17,0),0)+IF($I$8="Yes",IFERROR(BLD_CC!N17,0),0)+IF($J$8="Yes",IFERROR(BLD_EA!N17,0),0)+IF($K$8="Yes",IFERROR(BLD_EE!N17,0),0)+IF($L$8="Yes",IFERROR(BLD_JP!N17,0),0)+IF($M$8="Yes",IFERROR(BLD_MH!N17,0),0)+IF($N$8="Yes",IFERROR(BLD_MM!N17,0),0)+IF($O$8="Yes",IFERROR(BLD_NT!N17,0),0)+IF($P$8="Yes",IFERROR(BLD_NG!N17,0),0)+IF($Q$8="Yes",IFERROR(BLD_RG!N17,0),0)+IF($R$8="Yes",IFERROR(BLD_AS!N17,0),0)+IF($S$8="Yes",IFERROR(BLD_PS!N17,0),0)+IF($T$8="Yes",IFERROR(BLD_PM!N17,0),0)+IF($U$8="Yes",IFERROR(BLD_CD!N17,0),0)</f>
        <v>185038.57258492964</v>
      </c>
      <c r="O17" s="283">
        <f>IF($E$8="Yes",IFERROR(BLD_AB!O17,0),0)+IF($F$8="Yes",IFERROR(BLD_AC!O17,0),0)+IF($G$8="Yes",IFERROR(BLD_BT!O17,0),0)+IF($H$8="Yes",IFERROR(BLD_CH!O17,0),0)+IF($I$8="Yes",IFERROR(BLD_CC!O17,0),0)+IF($J$8="Yes",IFERROR(BLD_EA!O17,0),0)+IF($K$8="Yes",IFERROR(BLD_EE!O17,0),0)+IF($L$8="Yes",IFERROR(BLD_JP!O17,0),0)+IF($M$8="Yes",IFERROR(BLD_MH!O17,0),0)+IF($N$8="Yes",IFERROR(BLD_MM!O17,0),0)+IF($O$8="Yes",IFERROR(BLD_NT!O17,0),0)+IF($P$8="Yes",IFERROR(BLD_NG!O17,0),0)+IF($Q$8="Yes",IFERROR(BLD_RG!O17,0),0)+IF($R$8="Yes",IFERROR(BLD_AS!O17,0),0)+IF($S$8="Yes",IFERROR(BLD_PS!O17,0),0)+IF($T$8="Yes",IFERROR(BLD_PM!O17,0),0)+IF($U$8="Yes",IFERROR(BLD_CD!O17,0),0)</f>
        <v>188739.34403662826</v>
      </c>
      <c r="P17" s="283">
        <f>IF($E$8="Yes",IFERROR(BLD_AB!P17,0),0)+IF($F$8="Yes",IFERROR(BLD_AC!P17,0),0)+IF($G$8="Yes",IFERROR(BLD_BT!P17,0),0)+IF($H$8="Yes",IFERROR(BLD_CH!P17,0),0)+IF($I$8="Yes",IFERROR(BLD_CC!P17,0),0)+IF($J$8="Yes",IFERROR(BLD_EA!P17,0),0)+IF($K$8="Yes",IFERROR(BLD_EE!P17,0),0)+IF($L$8="Yes",IFERROR(BLD_JP!P17,0),0)+IF($M$8="Yes",IFERROR(BLD_MH!P17,0),0)+IF($N$8="Yes",IFERROR(BLD_MM!P17,0),0)+IF($O$8="Yes",IFERROR(BLD_NT!P17,0),0)+IF($P$8="Yes",IFERROR(BLD_NG!P17,0),0)+IF($Q$8="Yes",IFERROR(BLD_RG!P17,0),0)+IF($R$8="Yes",IFERROR(BLD_AS!P17,0),0)+IF($S$8="Yes",IFERROR(BLD_PS!P17,0),0)+IF($T$8="Yes",IFERROR(BLD_PM!P17,0),0)+IF($U$8="Yes",IFERROR(BLD_CD!P17,0),0)</f>
        <v>192514.1309173608</v>
      </c>
      <c r="Q17" s="283">
        <f>IF($E$8="Yes",IFERROR(BLD_AB!Q17,0),0)+IF($F$8="Yes",IFERROR(BLD_AC!Q17,0),0)+IF($G$8="Yes",IFERROR(BLD_BT!Q17,0),0)+IF($H$8="Yes",IFERROR(BLD_CH!Q17,0),0)+IF($I$8="Yes",IFERROR(BLD_CC!Q17,0),0)+IF($J$8="Yes",IFERROR(BLD_EA!Q17,0),0)+IF($K$8="Yes",IFERROR(BLD_EE!Q17,0),0)+IF($L$8="Yes",IFERROR(BLD_JP!Q17,0),0)+IF($M$8="Yes",IFERROR(BLD_MH!Q17,0),0)+IF($N$8="Yes",IFERROR(BLD_MM!Q17,0),0)+IF($O$8="Yes",IFERROR(BLD_NT!Q17,0),0)+IF($P$8="Yes",IFERROR(BLD_NG!Q17,0),0)+IF($Q$8="Yes",IFERROR(BLD_RG!Q17,0),0)+IF($R$8="Yes",IFERROR(BLD_AS!Q17,0),0)+IF($S$8="Yes",IFERROR(BLD_PS!Q17,0),0)+IF($T$8="Yes",IFERROR(BLD_PM!Q17,0),0)+IF($U$8="Yes",IFERROR(BLD_CD!Q17,0),0)</f>
        <v>196364.41353570795</v>
      </c>
      <c r="R17" s="283">
        <f>IF($E$8="Yes",IFERROR(BLD_AB!R17,0),0)+IF($F$8="Yes",IFERROR(BLD_AC!R17,0),0)+IF($G$8="Yes",IFERROR(BLD_BT!R17,0),0)+IF($H$8="Yes",IFERROR(BLD_CH!R17,0),0)+IF($I$8="Yes",IFERROR(BLD_CC!R17,0),0)+IF($J$8="Yes",IFERROR(BLD_EA!R17,0),0)+IF($K$8="Yes",IFERROR(BLD_EE!R17,0),0)+IF($L$8="Yes",IFERROR(BLD_JP!R17,0),0)+IF($M$8="Yes",IFERROR(BLD_MH!R17,0),0)+IF($N$8="Yes",IFERROR(BLD_MM!R17,0),0)+IF($O$8="Yes",IFERROR(BLD_NT!R17,0),0)+IF($P$8="Yes",IFERROR(BLD_NG!R17,0),0)+IF($Q$8="Yes",IFERROR(BLD_RG!R17,0),0)+IF($R$8="Yes",IFERROR(BLD_AS!R17,0),0)+IF($S$8="Yes",IFERROR(BLD_PS!R17,0),0)+IF($T$8="Yes",IFERROR(BLD_PM!R17,0),0)+IF($U$8="Yes",IFERROR(BLD_CD!R17,0),0)</f>
        <v>200291.70180642218</v>
      </c>
      <c r="S17" s="283">
        <f>IF($E$8="Yes",IFERROR(BLD_AB!S17,0),0)+IF($F$8="Yes",IFERROR(BLD_AC!S17,0),0)+IF($G$8="Yes",IFERROR(BLD_BT!S17,0),0)+IF($H$8="Yes",IFERROR(BLD_CH!S17,0),0)+IF($I$8="Yes",IFERROR(BLD_CC!S17,0),0)+IF($J$8="Yes",IFERROR(BLD_EA!S17,0),0)+IF($K$8="Yes",IFERROR(BLD_EE!S17,0),0)+IF($L$8="Yes",IFERROR(BLD_JP!S17,0),0)+IF($M$8="Yes",IFERROR(BLD_MH!S17,0),0)+IF($N$8="Yes",IFERROR(BLD_MM!S17,0),0)+IF($O$8="Yes",IFERROR(BLD_NT!S17,0),0)+IF($P$8="Yes",IFERROR(BLD_NG!S17,0),0)+IF($Q$8="Yes",IFERROR(BLD_RG!S17,0),0)+IF($R$8="Yes",IFERROR(BLD_AS!S17,0),0)+IF($S$8="Yes",IFERROR(BLD_PS!S17,0),0)+IF($T$8="Yes",IFERROR(BLD_PM!S17,0),0)+IF($U$8="Yes",IFERROR(BLD_CD!S17,0),0)</f>
        <v>204297.5358425506</v>
      </c>
      <c r="T17" s="283">
        <f>IF($E$8="Yes",IFERROR(BLD_AB!T17,0),0)+IF($F$8="Yes",IFERROR(BLD_AC!T17,0),0)+IF($G$8="Yes",IFERROR(BLD_BT!T17,0),0)+IF($H$8="Yes",IFERROR(BLD_CH!T17,0),0)+IF($I$8="Yes",IFERROR(BLD_CC!T17,0),0)+IF($J$8="Yes",IFERROR(BLD_EA!T17,0),0)+IF($K$8="Yes",IFERROR(BLD_EE!T17,0),0)+IF($L$8="Yes",IFERROR(BLD_JP!T17,0),0)+IF($M$8="Yes",IFERROR(BLD_MH!T17,0),0)+IF($N$8="Yes",IFERROR(BLD_MM!T17,0),0)+IF($O$8="Yes",IFERROR(BLD_NT!T17,0),0)+IF($P$8="Yes",IFERROR(BLD_NG!T17,0),0)+IF($Q$8="Yes",IFERROR(BLD_RG!T17,0),0)+IF($R$8="Yes",IFERROR(BLD_AS!T17,0),0)+IF($S$8="Yes",IFERROR(BLD_PS!T17,0),0)+IF($T$8="Yes",IFERROR(BLD_PM!T17,0),0)+IF($U$8="Yes",IFERROR(BLD_CD!T17,0),0)</f>
        <v>208383.48655940164</v>
      </c>
      <c r="U17" s="283">
        <f>IF($E$8="Yes",IFERROR(BLD_AB!U17,0),0)+IF($F$8="Yes",IFERROR(BLD_AC!U17,0),0)+IF($G$8="Yes",IFERROR(BLD_BT!U17,0),0)+IF($H$8="Yes",IFERROR(BLD_CH!U17,0),0)+IF($I$8="Yes",IFERROR(BLD_CC!U17,0),0)+IF($J$8="Yes",IFERROR(BLD_EA!U17,0),0)+IF($K$8="Yes",IFERROR(BLD_EE!U17,0),0)+IF($L$8="Yes",IFERROR(BLD_JP!U17,0),0)+IF($M$8="Yes",IFERROR(BLD_MH!U17,0),0)+IF($N$8="Yes",IFERROR(BLD_MM!U17,0),0)+IF($O$8="Yes",IFERROR(BLD_NT!U17,0),0)+IF($P$8="Yes",IFERROR(BLD_NG!U17,0),0)+IF($Q$8="Yes",IFERROR(BLD_RG!U17,0),0)+IF($R$8="Yes",IFERROR(BLD_AS!U17,0),0)+IF($S$8="Yes",IFERROR(BLD_PS!U17,0),0)+IF($T$8="Yes",IFERROR(BLD_PM!U17,0),0)+IF($U$8="Yes",IFERROR(BLD_CD!U17,0),0)</f>
        <v>212551.15629058963</v>
      </c>
      <c r="V17" s="283">
        <f>IF($E$8="Yes",IFERROR(BLD_AB!V17,0),0)+IF($F$8="Yes",IFERROR(BLD_AC!V17,0),0)+IF($G$8="Yes",IFERROR(BLD_BT!V17,0),0)+IF($H$8="Yes",IFERROR(BLD_CH!V17,0),0)+IF($I$8="Yes",IFERROR(BLD_CC!V17,0),0)+IF($J$8="Yes",IFERROR(BLD_EA!V17,0),0)+IF($K$8="Yes",IFERROR(BLD_EE!V17,0),0)+IF($L$8="Yes",IFERROR(BLD_JP!V17,0),0)+IF($M$8="Yes",IFERROR(BLD_MH!V17,0),0)+IF($N$8="Yes",IFERROR(BLD_MM!V17,0),0)+IF($O$8="Yes",IFERROR(BLD_NT!V17,0),0)+IF($P$8="Yes",IFERROR(BLD_NG!V17,0),0)+IF($Q$8="Yes",IFERROR(BLD_RG!V17,0),0)+IF($R$8="Yes",IFERROR(BLD_AS!V17,0),0)+IF($S$8="Yes",IFERROR(BLD_PS!V17,0),0)+IF($T$8="Yes",IFERROR(BLD_PM!V17,0),0)+IF($U$8="Yes",IFERROR(BLD_CD!V17,0),0)</f>
        <v>216802.17941640143</v>
      </c>
      <c r="W17" s="283">
        <f>IF($E$8="Yes",IFERROR(BLD_AB!W17,0),0)+IF($F$8="Yes",IFERROR(BLD_AC!W17,0),0)+IF($G$8="Yes",IFERROR(BLD_BT!W17,0),0)+IF($H$8="Yes",IFERROR(BLD_CH!W17,0),0)+IF($I$8="Yes",IFERROR(BLD_CC!W17,0),0)+IF($J$8="Yes",IFERROR(BLD_EA!W17,0),0)+IF($K$8="Yes",IFERROR(BLD_EE!W17,0),0)+IF($L$8="Yes",IFERROR(BLD_JP!W17,0),0)+IF($M$8="Yes",IFERROR(BLD_MH!W17,0),0)+IF($N$8="Yes",IFERROR(BLD_MM!W17,0),0)+IF($O$8="Yes",IFERROR(BLD_NT!W17,0),0)+IF($P$8="Yes",IFERROR(BLD_NG!W17,0),0)+IF($Q$8="Yes",IFERROR(BLD_RG!W17,0),0)+IF($R$8="Yes",IFERROR(BLD_AS!W17,0),0)+IF($S$8="Yes",IFERROR(BLD_PS!W17,0),0)+IF($T$8="Yes",IFERROR(BLD_PM!W17,0),0)+IF($U$8="Yes",IFERROR(BLD_CD!W17,0),0)</f>
        <v>221138.22300472946</v>
      </c>
      <c r="X17" s="283">
        <f>IF($E$8="Yes",IFERROR(BLD_AB!X17,0),0)+IF($F$8="Yes",IFERROR(BLD_AC!X17,0),0)+IF($G$8="Yes",IFERROR(BLD_BT!X17,0),0)+IF($H$8="Yes",IFERROR(BLD_CH!X17,0),0)+IF($I$8="Yes",IFERROR(BLD_CC!X17,0),0)+IF($J$8="Yes",IFERROR(BLD_EA!X17,0),0)+IF($K$8="Yes",IFERROR(BLD_EE!X17,0),0)+IF($L$8="Yes",IFERROR(BLD_JP!X17,0),0)+IF($M$8="Yes",IFERROR(BLD_MH!X17,0),0)+IF($N$8="Yes",IFERROR(BLD_MM!X17,0),0)+IF($O$8="Yes",IFERROR(BLD_NT!X17,0),0)+IF($P$8="Yes",IFERROR(BLD_NG!X17,0),0)+IF($Q$8="Yes",IFERROR(BLD_RG!X17,0),0)+IF($R$8="Yes",IFERROR(BLD_AS!X17,0),0)+IF($S$8="Yes",IFERROR(BLD_PS!X17,0),0)+IF($T$8="Yes",IFERROR(BLD_PM!X17,0),0)+IF($U$8="Yes",IFERROR(BLD_CD!X17,0),0)</f>
        <v>225560.98746482408</v>
      </c>
      <c r="Y17" s="283">
        <f>IF($E$8="Yes",IFERROR(BLD_AB!Y17,0),0)+IF($F$8="Yes",IFERROR(BLD_AC!Y17,0),0)+IF($G$8="Yes",IFERROR(BLD_BT!Y17,0),0)+IF($H$8="Yes",IFERROR(BLD_CH!Y17,0),0)+IF($I$8="Yes",IFERROR(BLD_CC!Y17,0),0)+IF($J$8="Yes",IFERROR(BLD_EA!Y17,0),0)+IF($K$8="Yes",IFERROR(BLD_EE!Y17,0),0)+IF($L$8="Yes",IFERROR(BLD_JP!Y17,0),0)+IF($M$8="Yes",IFERROR(BLD_MH!Y17,0),0)+IF($N$8="Yes",IFERROR(BLD_MM!Y17,0),0)+IF($O$8="Yes",IFERROR(BLD_NT!Y17,0),0)+IF($P$8="Yes",IFERROR(BLD_NG!Y17,0),0)+IF($Q$8="Yes",IFERROR(BLD_RG!Y17,0),0)+IF($R$8="Yes",IFERROR(BLD_AS!Y17,0),0)+IF($S$8="Yes",IFERROR(BLD_PS!Y17,0),0)+IF($T$8="Yes",IFERROR(BLD_PM!Y17,0),0)+IF($U$8="Yes",IFERROR(BLD_CD!Y17,0),0)</f>
        <v>230072.20721412051</v>
      </c>
    </row>
    <row r="18" spans="3:25" ht="13.5" customHeight="1">
      <c r="C18" s="11" t="s">
        <v>335</v>
      </c>
      <c r="E18" s="284">
        <f>IF($E$8="Yes",IFERROR(BLD_AB!E18,0),0)+IF($F$8="Yes",IFERROR(BLD_AC!E18,0),0)+IF($G$8="Yes",IFERROR(BLD_BT!E18,0),0)+IF($H$8="Yes",IFERROR(BLD_CH!E18,0),0)+IF($I$8="Yes",IFERROR(BLD_CC!E18,0),0)+IF($J$8="Yes",IFERROR(BLD_EA!E18,0),0)+IF($K$8="Yes",IFERROR(BLD_EE!E18,0),0)+IF($L$8="Yes",IFERROR(BLD_JP!E18,0),0)+IF($M$8="Yes",IFERROR(BLD_MH!E18,0),0)+IF($N$8="Yes",IFERROR(BLD_MM!E18,0),0)+IF($O$8="Yes",IFERROR(BLD_NT!E18,0),0)+IF($P$8="Yes",IFERROR(BLD_NG!E18,0),0)+IF($Q$8="Yes",IFERROR(BLD_RG!E18,0),0)+IF($R$8="Yes",IFERROR(BLD_AS!E18,0),0)+IF($S$8="Yes",IFERROR(BLD_PS!E18,0),0)+IF($T$8="Yes",IFERROR(BLD_PM!E18,0),0)+IF($U$8="Yes",IFERROR(BLD_CD!E18,0),0)</f>
        <v>49124</v>
      </c>
      <c r="F18" s="284">
        <f>IF($E$8="Yes",IFERROR(BLD_AB!F18,0),0)+IF($F$8="Yes",IFERROR(BLD_AC!F18,0),0)+IF($G$8="Yes",IFERROR(BLD_BT!F18,0),0)+IF($H$8="Yes",IFERROR(BLD_CH!F18,0),0)+IF($I$8="Yes",IFERROR(BLD_CC!F18,0),0)+IF($J$8="Yes",IFERROR(BLD_EA!F18,0),0)+IF($K$8="Yes",IFERROR(BLD_EE!F18,0),0)+IF($L$8="Yes",IFERROR(BLD_JP!F18,0),0)+IF($M$8="Yes",IFERROR(BLD_MH!F18,0),0)+IF($N$8="Yes",IFERROR(BLD_MM!F18,0),0)+IF($O$8="Yes",IFERROR(BLD_NT!F18,0),0)+IF($P$8="Yes",IFERROR(BLD_NG!F18,0),0)+IF($Q$8="Yes",IFERROR(BLD_RG!F18,0),0)+IF($R$8="Yes",IFERROR(BLD_AS!F18,0),0)+IF($S$8="Yes",IFERROR(BLD_PS!F18,0),0)+IF($T$8="Yes",IFERROR(BLD_PM!F18,0),0)+IF($U$8="Yes",IFERROR(BLD_CD!F18,0),0)</f>
        <v>50106.479999999996</v>
      </c>
      <c r="G18" s="284">
        <f>IF($E$8="Yes",IFERROR(BLD_AB!G18,0),0)+IF($F$8="Yes",IFERROR(BLD_AC!G18,0),0)+IF($G$8="Yes",IFERROR(BLD_BT!G18,0),0)+IF($H$8="Yes",IFERROR(BLD_CH!G18,0),0)+IF($I$8="Yes",IFERROR(BLD_CC!G18,0),0)+IF($J$8="Yes",IFERROR(BLD_EA!G18,0),0)+IF($K$8="Yes",IFERROR(BLD_EE!G18,0),0)+IF($L$8="Yes",IFERROR(BLD_JP!G18,0),0)+IF($M$8="Yes",IFERROR(BLD_MH!G18,0),0)+IF($N$8="Yes",IFERROR(BLD_MM!G18,0),0)+IF($O$8="Yes",IFERROR(BLD_NT!G18,0),0)+IF($P$8="Yes",IFERROR(BLD_NG!G18,0),0)+IF($Q$8="Yes",IFERROR(BLD_RG!G18,0),0)+IF($R$8="Yes",IFERROR(BLD_AS!G18,0),0)+IF($S$8="Yes",IFERROR(BLD_PS!G18,0),0)+IF($T$8="Yes",IFERROR(BLD_PM!G18,0),0)+IF($U$8="Yes",IFERROR(BLD_CD!G18,0),0)</f>
        <v>51108.609599999996</v>
      </c>
      <c r="H18" s="284">
        <f>IF($E$8="Yes",IFERROR(BLD_AB!H18,0),0)+IF($F$8="Yes",IFERROR(BLD_AC!H18,0),0)+IF($G$8="Yes",IFERROR(BLD_BT!H18,0),0)+IF($H$8="Yes",IFERROR(BLD_CH!H18,0),0)+IF($I$8="Yes",IFERROR(BLD_CC!H18,0),0)+IF($J$8="Yes",IFERROR(BLD_EA!H18,0),0)+IF($K$8="Yes",IFERROR(BLD_EE!H18,0),0)+IF($L$8="Yes",IFERROR(BLD_JP!H18,0),0)+IF($M$8="Yes",IFERROR(BLD_MH!H18,0),0)+IF($N$8="Yes",IFERROR(BLD_MM!H18,0),0)+IF($O$8="Yes",IFERROR(BLD_NT!H18,0),0)+IF($P$8="Yes",IFERROR(BLD_NG!H18,0),0)+IF($Q$8="Yes",IFERROR(BLD_RG!H18,0),0)+IF($R$8="Yes",IFERROR(BLD_AS!H18,0),0)+IF($S$8="Yes",IFERROR(BLD_PS!H18,0),0)+IF($T$8="Yes",IFERROR(BLD_PM!H18,0),0)+IF($U$8="Yes",IFERROR(BLD_CD!H18,0),0)</f>
        <v>95396.231951999987</v>
      </c>
      <c r="I18" s="284">
        <f>IF($E$8="Yes",IFERROR(BLD_AB!I18,0),0)+IF($F$8="Yes",IFERROR(BLD_AC!I18,0),0)+IF($G$8="Yes",IFERROR(BLD_BT!I18,0),0)+IF($H$8="Yes",IFERROR(BLD_CH!I18,0),0)+IF($I$8="Yes",IFERROR(BLD_CC!I18,0),0)+IF($J$8="Yes",IFERROR(BLD_EA!I18,0),0)+IF($K$8="Yes",IFERROR(BLD_EE!I18,0),0)+IF($L$8="Yes",IFERROR(BLD_JP!I18,0),0)+IF($M$8="Yes",IFERROR(BLD_MH!I18,0),0)+IF($N$8="Yes",IFERROR(BLD_MM!I18,0),0)+IF($O$8="Yes",IFERROR(BLD_NT!I18,0),0)+IF($P$8="Yes",IFERROR(BLD_NG!I18,0),0)+IF($Q$8="Yes",IFERROR(BLD_RG!I18,0),0)+IF($R$8="Yes",IFERROR(BLD_AS!I18,0),0)+IF($S$8="Yes",IFERROR(BLD_PS!I18,0),0)+IF($T$8="Yes",IFERROR(BLD_PM!I18,0),0)+IF($U$8="Yes",IFERROR(BLD_CD!I18,0),0)</f>
        <v>97304.156591039995</v>
      </c>
      <c r="J18" s="284">
        <f>IF($E$8="Yes",IFERROR(BLD_AB!J18,0),0)+IF($F$8="Yes",IFERROR(BLD_AC!J18,0),0)+IF($G$8="Yes",IFERROR(BLD_BT!J18,0),0)+IF($H$8="Yes",IFERROR(BLD_CH!J18,0),0)+IF($I$8="Yes",IFERROR(BLD_CC!J18,0),0)+IF($J$8="Yes",IFERROR(BLD_EA!J18,0),0)+IF($K$8="Yes",IFERROR(BLD_EE!J18,0),0)+IF($L$8="Yes",IFERROR(BLD_JP!J18,0),0)+IF($M$8="Yes",IFERROR(BLD_MH!J18,0),0)+IF($N$8="Yes",IFERROR(BLD_MM!J18,0),0)+IF($O$8="Yes",IFERROR(BLD_NT!J18,0),0)+IF($P$8="Yes",IFERROR(BLD_NG!J18,0),0)+IF($Q$8="Yes",IFERROR(BLD_RG!J18,0),0)+IF($R$8="Yes",IFERROR(BLD_AS!J18,0),0)+IF($S$8="Yes",IFERROR(BLD_PS!J18,0),0)+IF($T$8="Yes",IFERROR(BLD_PM!J18,0),0)+IF($U$8="Yes",IFERROR(BLD_CD!J18,0),0)</f>
        <v>99250.239722860817</v>
      </c>
      <c r="K18" s="284">
        <f>IF($E$8="Yes",IFERROR(BLD_AB!K18,0),0)+IF($F$8="Yes",IFERROR(BLD_AC!K18,0),0)+IF($G$8="Yes",IFERROR(BLD_BT!K18,0),0)+IF($H$8="Yes",IFERROR(BLD_CH!K18,0),0)+IF($I$8="Yes",IFERROR(BLD_CC!K18,0),0)+IF($J$8="Yes",IFERROR(BLD_EA!K18,0),0)+IF($K$8="Yes",IFERROR(BLD_EE!K18,0),0)+IF($L$8="Yes",IFERROR(BLD_JP!K18,0),0)+IF($M$8="Yes",IFERROR(BLD_MH!K18,0),0)+IF($N$8="Yes",IFERROR(BLD_MM!K18,0),0)+IF($O$8="Yes",IFERROR(BLD_NT!K18,0),0)+IF($P$8="Yes",IFERROR(BLD_NG!K18,0),0)+IF($Q$8="Yes",IFERROR(BLD_RG!K18,0),0)+IF($R$8="Yes",IFERROR(BLD_AS!K18,0),0)+IF($S$8="Yes",IFERROR(BLD_PS!K18,0),0)+IF($T$8="Yes",IFERROR(BLD_PM!K18,0),0)+IF($U$8="Yes",IFERROR(BLD_CD!K18,0),0)</f>
        <v>101235.24451731802</v>
      </c>
      <c r="L18" s="284">
        <f>IF($E$8="Yes",IFERROR(BLD_AB!L18,0),0)+IF($F$8="Yes",IFERROR(BLD_AC!L18,0),0)+IF($G$8="Yes",IFERROR(BLD_BT!L18,0),0)+IF($H$8="Yes",IFERROR(BLD_CH!L18,0),0)+IF($I$8="Yes",IFERROR(BLD_CC!L18,0),0)+IF($J$8="Yes",IFERROR(BLD_EA!L18,0),0)+IF($K$8="Yes",IFERROR(BLD_EE!L18,0),0)+IF($L$8="Yes",IFERROR(BLD_JP!L18,0),0)+IF($M$8="Yes",IFERROR(BLD_MH!L18,0),0)+IF($N$8="Yes",IFERROR(BLD_MM!L18,0),0)+IF($O$8="Yes",IFERROR(BLD_NT!L18,0),0)+IF($P$8="Yes",IFERROR(BLD_NG!L18,0),0)+IF($Q$8="Yes",IFERROR(BLD_RG!L18,0),0)+IF($R$8="Yes",IFERROR(BLD_AS!L18,0),0)+IF($S$8="Yes",IFERROR(BLD_PS!L18,0),0)+IF($T$8="Yes",IFERROR(BLD_PM!L18,0),0)+IF($U$8="Yes",IFERROR(BLD_CD!L18,0),0)</f>
        <v>103259.94940766436</v>
      </c>
      <c r="M18" s="284">
        <f>IF($E$8="Yes",IFERROR(BLD_AB!M18,0),0)+IF($F$8="Yes",IFERROR(BLD_AC!M18,0),0)+IF($G$8="Yes",IFERROR(BLD_BT!M18,0),0)+IF($H$8="Yes",IFERROR(BLD_CH!M18,0),0)+IF($I$8="Yes",IFERROR(BLD_CC!M18,0),0)+IF($J$8="Yes",IFERROR(BLD_EA!M18,0),0)+IF($K$8="Yes",IFERROR(BLD_EE!M18,0),0)+IF($L$8="Yes",IFERROR(BLD_JP!M18,0),0)+IF($M$8="Yes",IFERROR(BLD_MH!M18,0),0)+IF($N$8="Yes",IFERROR(BLD_MM!M18,0),0)+IF($O$8="Yes",IFERROR(BLD_NT!M18,0),0)+IF($P$8="Yes",IFERROR(BLD_NG!M18,0),0)+IF($Q$8="Yes",IFERROR(BLD_RG!M18,0),0)+IF($R$8="Yes",IFERROR(BLD_AS!M18,0),0)+IF($S$8="Yes",IFERROR(BLD_PS!M18,0),0)+IF($T$8="Yes",IFERROR(BLD_PM!M18,0),0)+IF($U$8="Yes",IFERROR(BLD_CD!M18,0),0)</f>
        <v>105325.14839581765</v>
      </c>
      <c r="N18" s="284">
        <f>IF($E$8="Yes",IFERROR(BLD_AB!N18,0),0)+IF($F$8="Yes",IFERROR(BLD_AC!N18,0),0)+IF($G$8="Yes",IFERROR(BLD_BT!N18,0),0)+IF($H$8="Yes",IFERROR(BLD_CH!N18,0),0)+IF($I$8="Yes",IFERROR(BLD_CC!N18,0),0)+IF($J$8="Yes",IFERROR(BLD_EA!N18,0),0)+IF($K$8="Yes",IFERROR(BLD_EE!N18,0),0)+IF($L$8="Yes",IFERROR(BLD_JP!N18,0),0)+IF($M$8="Yes",IFERROR(BLD_MH!N18,0),0)+IF($N$8="Yes",IFERROR(BLD_MM!N18,0),0)+IF($O$8="Yes",IFERROR(BLD_NT!N18,0),0)+IF($P$8="Yes",IFERROR(BLD_NG!N18,0),0)+IF($Q$8="Yes",IFERROR(BLD_RG!N18,0),0)+IF($R$8="Yes",IFERROR(BLD_AS!N18,0),0)+IF($S$8="Yes",IFERROR(BLD_PS!N18,0),0)+IF($T$8="Yes",IFERROR(BLD_PM!N18,0),0)+IF($U$8="Yes",IFERROR(BLD_CD!N18,0),0)</f>
        <v>107431.65136373401</v>
      </c>
      <c r="O18" s="284">
        <f>IF($E$8="Yes",IFERROR(BLD_AB!O18,0),0)+IF($F$8="Yes",IFERROR(BLD_AC!O18,0),0)+IF($G$8="Yes",IFERROR(BLD_BT!O18,0),0)+IF($H$8="Yes",IFERROR(BLD_CH!O18,0),0)+IF($I$8="Yes",IFERROR(BLD_CC!O18,0),0)+IF($J$8="Yes",IFERROR(BLD_EA!O18,0),0)+IF($K$8="Yes",IFERROR(BLD_EE!O18,0),0)+IF($L$8="Yes",IFERROR(BLD_JP!O18,0),0)+IF($M$8="Yes",IFERROR(BLD_MH!O18,0),0)+IF($N$8="Yes",IFERROR(BLD_MM!O18,0),0)+IF($O$8="Yes",IFERROR(BLD_NT!O18,0),0)+IF($P$8="Yes",IFERROR(BLD_NG!O18,0),0)+IF($Q$8="Yes",IFERROR(BLD_RG!O18,0),0)+IF($R$8="Yes",IFERROR(BLD_AS!O18,0),0)+IF($S$8="Yes",IFERROR(BLD_PS!O18,0),0)+IF($T$8="Yes",IFERROR(BLD_PM!O18,0),0)+IF($U$8="Yes",IFERROR(BLD_CD!O18,0),0)</f>
        <v>109580.2843910087</v>
      </c>
      <c r="P18" s="284">
        <f>IF($E$8="Yes",IFERROR(BLD_AB!P18,0),0)+IF($F$8="Yes",IFERROR(BLD_AC!P18,0),0)+IF($G$8="Yes",IFERROR(BLD_BT!P18,0),0)+IF($H$8="Yes",IFERROR(BLD_CH!P18,0),0)+IF($I$8="Yes",IFERROR(BLD_CC!P18,0),0)+IF($J$8="Yes",IFERROR(BLD_EA!P18,0),0)+IF($K$8="Yes",IFERROR(BLD_EE!P18,0),0)+IF($L$8="Yes",IFERROR(BLD_JP!P18,0),0)+IF($M$8="Yes",IFERROR(BLD_MH!P18,0),0)+IF($N$8="Yes",IFERROR(BLD_MM!P18,0),0)+IF($O$8="Yes",IFERROR(BLD_NT!P18,0),0)+IF($P$8="Yes",IFERROR(BLD_NG!P18,0),0)+IF($Q$8="Yes",IFERROR(BLD_RG!P18,0),0)+IF($R$8="Yes",IFERROR(BLD_AS!P18,0),0)+IF($S$8="Yes",IFERROR(BLD_PS!P18,0),0)+IF($T$8="Yes",IFERROR(BLD_PM!P18,0),0)+IF($U$8="Yes",IFERROR(BLD_CD!P18,0),0)</f>
        <v>111771.89007882887</v>
      </c>
      <c r="Q18" s="284">
        <f>IF($E$8="Yes",IFERROR(BLD_AB!Q18,0),0)+IF($F$8="Yes",IFERROR(BLD_AC!Q18,0),0)+IF($G$8="Yes",IFERROR(BLD_BT!Q18,0),0)+IF($H$8="Yes",IFERROR(BLD_CH!Q18,0),0)+IF($I$8="Yes",IFERROR(BLD_CC!Q18,0),0)+IF($J$8="Yes",IFERROR(BLD_EA!Q18,0),0)+IF($K$8="Yes",IFERROR(BLD_EE!Q18,0),0)+IF($L$8="Yes",IFERROR(BLD_JP!Q18,0),0)+IF($M$8="Yes",IFERROR(BLD_MH!Q18,0),0)+IF($N$8="Yes",IFERROR(BLD_MM!Q18,0),0)+IF($O$8="Yes",IFERROR(BLD_NT!Q18,0),0)+IF($P$8="Yes",IFERROR(BLD_NG!Q18,0),0)+IF($Q$8="Yes",IFERROR(BLD_RG!Q18,0),0)+IF($R$8="Yes",IFERROR(BLD_AS!Q18,0),0)+IF($S$8="Yes",IFERROR(BLD_PS!Q18,0),0)+IF($T$8="Yes",IFERROR(BLD_PM!Q18,0),0)+IF($U$8="Yes",IFERROR(BLD_CD!Q18,0),0)</f>
        <v>114007.32788040543</v>
      </c>
      <c r="R18" s="284">
        <f>IF($E$8="Yes",IFERROR(BLD_AB!R18,0),0)+IF($F$8="Yes",IFERROR(BLD_AC!R18,0),0)+IF($G$8="Yes",IFERROR(BLD_BT!R18,0),0)+IF($H$8="Yes",IFERROR(BLD_CH!R18,0),0)+IF($I$8="Yes",IFERROR(BLD_CC!R18,0),0)+IF($J$8="Yes",IFERROR(BLD_EA!R18,0),0)+IF($K$8="Yes",IFERROR(BLD_EE!R18,0),0)+IF($L$8="Yes",IFERROR(BLD_JP!R18,0),0)+IF($M$8="Yes",IFERROR(BLD_MH!R18,0),0)+IF($N$8="Yes",IFERROR(BLD_MM!R18,0),0)+IF($O$8="Yes",IFERROR(BLD_NT!R18,0),0)+IF($P$8="Yes",IFERROR(BLD_NG!R18,0),0)+IF($Q$8="Yes",IFERROR(BLD_RG!R18,0),0)+IF($R$8="Yes",IFERROR(BLD_AS!R18,0),0)+IF($S$8="Yes",IFERROR(BLD_PS!R18,0),0)+IF($T$8="Yes",IFERROR(BLD_PM!R18,0),0)+IF($U$8="Yes",IFERROR(BLD_CD!R18,0),0)</f>
        <v>116287.47443801355</v>
      </c>
      <c r="S18" s="284">
        <f>IF($E$8="Yes",IFERROR(BLD_AB!S18,0),0)+IF($F$8="Yes",IFERROR(BLD_AC!S18,0),0)+IF($G$8="Yes",IFERROR(BLD_BT!S18,0),0)+IF($H$8="Yes",IFERROR(BLD_CH!S18,0),0)+IF($I$8="Yes",IFERROR(BLD_CC!S18,0),0)+IF($J$8="Yes",IFERROR(BLD_EA!S18,0),0)+IF($K$8="Yes",IFERROR(BLD_EE!S18,0),0)+IF($L$8="Yes",IFERROR(BLD_JP!S18,0),0)+IF($M$8="Yes",IFERROR(BLD_MH!S18,0),0)+IF($N$8="Yes",IFERROR(BLD_MM!S18,0),0)+IF($O$8="Yes",IFERROR(BLD_NT!S18,0),0)+IF($P$8="Yes",IFERROR(BLD_NG!S18,0),0)+IF($Q$8="Yes",IFERROR(BLD_RG!S18,0),0)+IF($R$8="Yes",IFERROR(BLD_AS!S18,0),0)+IF($S$8="Yes",IFERROR(BLD_PS!S18,0),0)+IF($T$8="Yes",IFERROR(BLD_PM!S18,0),0)+IF($U$8="Yes",IFERROR(BLD_CD!S18,0),0)</f>
        <v>118613.22392677383</v>
      </c>
      <c r="T18" s="284">
        <f>IF($E$8="Yes",IFERROR(BLD_AB!T18,0),0)+IF($F$8="Yes",IFERROR(BLD_AC!T18,0),0)+IF($G$8="Yes",IFERROR(BLD_BT!T18,0),0)+IF($H$8="Yes",IFERROR(BLD_CH!T18,0),0)+IF($I$8="Yes",IFERROR(BLD_CC!T18,0),0)+IF($J$8="Yes",IFERROR(BLD_EA!T18,0),0)+IF($K$8="Yes",IFERROR(BLD_EE!T18,0),0)+IF($L$8="Yes",IFERROR(BLD_JP!T18,0),0)+IF($M$8="Yes",IFERROR(BLD_MH!T18,0),0)+IF($N$8="Yes",IFERROR(BLD_MM!T18,0),0)+IF($O$8="Yes",IFERROR(BLD_NT!T18,0),0)+IF($P$8="Yes",IFERROR(BLD_NG!T18,0),0)+IF($Q$8="Yes",IFERROR(BLD_RG!T18,0),0)+IF($R$8="Yes",IFERROR(BLD_AS!T18,0),0)+IF($S$8="Yes",IFERROR(BLD_PS!T18,0),0)+IF($T$8="Yes",IFERROR(BLD_PM!T18,0),0)+IF($U$8="Yes",IFERROR(BLD_CD!T18,0),0)</f>
        <v>120985.48840530931</v>
      </c>
      <c r="U18" s="284">
        <f>IF($E$8="Yes",IFERROR(BLD_AB!U18,0),0)+IF($F$8="Yes",IFERROR(BLD_AC!U18,0),0)+IF($G$8="Yes",IFERROR(BLD_BT!U18,0),0)+IF($H$8="Yes",IFERROR(BLD_CH!U18,0),0)+IF($I$8="Yes",IFERROR(BLD_CC!U18,0),0)+IF($J$8="Yes",IFERROR(BLD_EA!U18,0),0)+IF($K$8="Yes",IFERROR(BLD_EE!U18,0),0)+IF($L$8="Yes",IFERROR(BLD_JP!U18,0),0)+IF($M$8="Yes",IFERROR(BLD_MH!U18,0),0)+IF($N$8="Yes",IFERROR(BLD_MM!U18,0),0)+IF($O$8="Yes",IFERROR(BLD_NT!U18,0),0)+IF($P$8="Yes",IFERROR(BLD_NG!U18,0),0)+IF($Q$8="Yes",IFERROR(BLD_RG!U18,0),0)+IF($R$8="Yes",IFERROR(BLD_AS!U18,0),0)+IF($S$8="Yes",IFERROR(BLD_PS!U18,0),0)+IF($T$8="Yes",IFERROR(BLD_PM!U18,0),0)+IF($U$8="Yes",IFERROR(BLD_CD!U18,0),0)</f>
        <v>123405.19817341547</v>
      </c>
      <c r="V18" s="284">
        <f>IF($E$8="Yes",IFERROR(BLD_AB!V18,0),0)+IF($F$8="Yes",IFERROR(BLD_AC!V18,0),0)+IF($G$8="Yes",IFERROR(BLD_BT!V18,0),0)+IF($H$8="Yes",IFERROR(BLD_CH!V18,0),0)+IF($I$8="Yes",IFERROR(BLD_CC!V18,0),0)+IF($J$8="Yes",IFERROR(BLD_EA!V18,0),0)+IF($K$8="Yes",IFERROR(BLD_EE!V18,0),0)+IF($L$8="Yes",IFERROR(BLD_JP!V18,0),0)+IF($M$8="Yes",IFERROR(BLD_MH!V18,0),0)+IF($N$8="Yes",IFERROR(BLD_MM!V18,0),0)+IF($O$8="Yes",IFERROR(BLD_NT!V18,0),0)+IF($P$8="Yes",IFERROR(BLD_NG!V18,0),0)+IF($Q$8="Yes",IFERROR(BLD_RG!V18,0),0)+IF($R$8="Yes",IFERROR(BLD_AS!V18,0),0)+IF($S$8="Yes",IFERROR(BLD_PS!V18,0),0)+IF($T$8="Yes",IFERROR(BLD_PM!V18,0),0)+IF($U$8="Yes",IFERROR(BLD_CD!V18,0),0)</f>
        <v>125873.30213688378</v>
      </c>
      <c r="W18" s="284">
        <f>IF($E$8="Yes",IFERROR(BLD_AB!W18,0),0)+IF($F$8="Yes",IFERROR(BLD_AC!W18,0),0)+IF($G$8="Yes",IFERROR(BLD_BT!W18,0),0)+IF($H$8="Yes",IFERROR(BLD_CH!W18,0),0)+IF($I$8="Yes",IFERROR(BLD_CC!W18,0),0)+IF($J$8="Yes",IFERROR(BLD_EA!W18,0),0)+IF($K$8="Yes",IFERROR(BLD_EE!W18,0),0)+IF($L$8="Yes",IFERROR(BLD_JP!W18,0),0)+IF($M$8="Yes",IFERROR(BLD_MH!W18,0),0)+IF($N$8="Yes",IFERROR(BLD_MM!W18,0),0)+IF($O$8="Yes",IFERROR(BLD_NT!W18,0),0)+IF($P$8="Yes",IFERROR(BLD_NG!W18,0),0)+IF($Q$8="Yes",IFERROR(BLD_RG!W18,0),0)+IF($R$8="Yes",IFERROR(BLD_AS!W18,0),0)+IF($S$8="Yes",IFERROR(BLD_PS!W18,0),0)+IF($T$8="Yes",IFERROR(BLD_PM!W18,0),0)+IF($U$8="Yes",IFERROR(BLD_CD!W18,0),0)</f>
        <v>128390.76817962147</v>
      </c>
      <c r="X18" s="284">
        <f>IF($E$8="Yes",IFERROR(BLD_AB!X18,0),0)+IF($F$8="Yes",IFERROR(BLD_AC!X18,0),0)+IF($G$8="Yes",IFERROR(BLD_BT!X18,0),0)+IF($H$8="Yes",IFERROR(BLD_CH!X18,0),0)+IF($I$8="Yes",IFERROR(BLD_CC!X18,0),0)+IF($J$8="Yes",IFERROR(BLD_EA!X18,0),0)+IF($K$8="Yes",IFERROR(BLD_EE!X18,0),0)+IF($L$8="Yes",IFERROR(BLD_JP!X18,0),0)+IF($M$8="Yes",IFERROR(BLD_MH!X18,0),0)+IF($N$8="Yes",IFERROR(BLD_MM!X18,0),0)+IF($O$8="Yes",IFERROR(BLD_NT!X18,0),0)+IF($P$8="Yes",IFERROR(BLD_NG!X18,0),0)+IF($Q$8="Yes",IFERROR(BLD_RG!X18,0),0)+IF($R$8="Yes",IFERROR(BLD_AS!X18,0),0)+IF($S$8="Yes",IFERROR(BLD_PS!X18,0),0)+IF($T$8="Yes",IFERROR(BLD_PM!X18,0),0)+IF($U$8="Yes",IFERROR(BLD_CD!X18,0),0)</f>
        <v>130958.58354321391</v>
      </c>
      <c r="Y18" s="284">
        <f>IF($E$8="Yes",IFERROR(BLD_AB!Y18,0),0)+IF($F$8="Yes",IFERROR(BLD_AC!Y18,0),0)+IF($G$8="Yes",IFERROR(BLD_BT!Y18,0),0)+IF($H$8="Yes",IFERROR(BLD_CH!Y18,0),0)+IF($I$8="Yes",IFERROR(BLD_CC!Y18,0),0)+IF($J$8="Yes",IFERROR(BLD_EA!Y18,0),0)+IF($K$8="Yes",IFERROR(BLD_EE!Y18,0),0)+IF($L$8="Yes",IFERROR(BLD_JP!Y18,0),0)+IF($M$8="Yes",IFERROR(BLD_MH!Y18,0),0)+IF($N$8="Yes",IFERROR(BLD_MM!Y18,0),0)+IF($O$8="Yes",IFERROR(BLD_NT!Y18,0),0)+IF($P$8="Yes",IFERROR(BLD_NG!Y18,0),0)+IF($Q$8="Yes",IFERROR(BLD_RG!Y18,0),0)+IF($R$8="Yes",IFERROR(BLD_AS!Y18,0),0)+IF($S$8="Yes",IFERROR(BLD_PS!Y18,0),0)+IF($T$8="Yes",IFERROR(BLD_PM!Y18,0),0)+IF($U$8="Yes",IFERROR(BLD_CD!Y18,0),0)</f>
        <v>133577.75521407818</v>
      </c>
    </row>
    <row r="19" spans="3:25" ht="13.5" customHeight="1">
      <c r="C19" s="3" t="s">
        <v>336</v>
      </c>
      <c r="E19" s="285">
        <f t="shared" ref="E19:Y19" si="1">SUM(E14:E18)</f>
        <v>113629</v>
      </c>
      <c r="F19" s="285">
        <f t="shared" si="1"/>
        <v>115901.58</v>
      </c>
      <c r="G19" s="285">
        <f t="shared" si="1"/>
        <v>278967.65399999998</v>
      </c>
      <c r="H19" s="285">
        <f t="shared" si="1"/>
        <v>400526.42939999996</v>
      </c>
      <c r="I19" s="285">
        <f t="shared" si="1"/>
        <v>456674.88100752002</v>
      </c>
      <c r="J19" s="285">
        <f t="shared" si="1"/>
        <v>465808.3786276704</v>
      </c>
      <c r="K19" s="285">
        <f t="shared" si="1"/>
        <v>475124.54620022385</v>
      </c>
      <c r="L19" s="285">
        <f t="shared" si="1"/>
        <v>484627.0371242282</v>
      </c>
      <c r="M19" s="285">
        <f t="shared" si="1"/>
        <v>494319.57786671282</v>
      </c>
      <c r="N19" s="285">
        <f t="shared" si="1"/>
        <v>504205.96942404716</v>
      </c>
      <c r="O19" s="285">
        <f t="shared" si="1"/>
        <v>514290.08881252806</v>
      </c>
      <c r="P19" s="285">
        <f t="shared" si="1"/>
        <v>524575.89058877865</v>
      </c>
      <c r="Q19" s="285">
        <f t="shared" si="1"/>
        <v>535067.40840055409</v>
      </c>
      <c r="R19" s="285">
        <f t="shared" si="1"/>
        <v>545768.75656856515</v>
      </c>
      <c r="S19" s="285">
        <f t="shared" si="1"/>
        <v>556684.13169993658</v>
      </c>
      <c r="T19" s="285">
        <f t="shared" si="1"/>
        <v>567817.81433393527</v>
      </c>
      <c r="U19" s="285">
        <f t="shared" si="1"/>
        <v>579174.17062061385</v>
      </c>
      <c r="V19" s="285">
        <f t="shared" si="1"/>
        <v>590757.65403302619</v>
      </c>
      <c r="W19" s="285">
        <f t="shared" si="1"/>
        <v>602572.80711368669</v>
      </c>
      <c r="X19" s="285">
        <f t="shared" si="1"/>
        <v>614624.26325596054</v>
      </c>
      <c r="Y19" s="285">
        <f t="shared" si="1"/>
        <v>626916.74852107954</v>
      </c>
    </row>
    <row r="20" spans="3:25" ht="13.5" customHeight="1">
      <c r="C20" s="10" t="s">
        <v>337</v>
      </c>
      <c r="E20" s="283">
        <f t="shared" ref="E20:Y20" si="2">E13+E19</f>
        <v>6408400</v>
      </c>
      <c r="F20" s="283">
        <f t="shared" si="2"/>
        <v>6801209.3460000008</v>
      </c>
      <c r="G20" s="283">
        <f t="shared" si="2"/>
        <v>12449088.409413598</v>
      </c>
      <c r="H20" s="283">
        <f t="shared" si="2"/>
        <v>16811075.417855471</v>
      </c>
      <c r="I20" s="283">
        <f t="shared" si="2"/>
        <v>19402470.617942486</v>
      </c>
      <c r="J20" s="283">
        <f t="shared" si="2"/>
        <v>19790520.030301336</v>
      </c>
      <c r="K20" s="283">
        <f t="shared" si="2"/>
        <v>20186330.430907365</v>
      </c>
      <c r="L20" s="283">
        <f t="shared" si="2"/>
        <v>20590057.039525509</v>
      </c>
      <c r="M20" s="283">
        <f t="shared" si="2"/>
        <v>21001858.18031602</v>
      </c>
      <c r="N20" s="283">
        <f t="shared" si="2"/>
        <v>21421895.343922336</v>
      </c>
      <c r="O20" s="283">
        <f t="shared" si="2"/>
        <v>21850333.250800785</v>
      </c>
      <c r="P20" s="283">
        <f t="shared" si="2"/>
        <v>22287339.915816795</v>
      </c>
      <c r="Q20" s="283">
        <f t="shared" si="2"/>
        <v>22733086.71413314</v>
      </c>
      <c r="R20" s="283">
        <f t="shared" si="2"/>
        <v>23187748.448415801</v>
      </c>
      <c r="S20" s="283">
        <f t="shared" si="2"/>
        <v>23651503.417384122</v>
      </c>
      <c r="T20" s="283">
        <f t="shared" si="2"/>
        <v>24124533.485731792</v>
      </c>
      <c r="U20" s="283">
        <f t="shared" si="2"/>
        <v>24607024.155446433</v>
      </c>
      <c r="V20" s="283">
        <f t="shared" si="2"/>
        <v>25099164.638555367</v>
      </c>
      <c r="W20" s="283">
        <f t="shared" si="2"/>
        <v>25601147.931326471</v>
      </c>
      <c r="X20" s="283">
        <f t="shared" si="2"/>
        <v>26113170.889953002</v>
      </c>
      <c r="Y20" s="283">
        <f t="shared" si="2"/>
        <v>26635434.307752058</v>
      </c>
    </row>
    <row r="21" spans="3:25" ht="13.5" customHeight="1">
      <c r="C21" s="11" t="s">
        <v>338</v>
      </c>
      <c r="E21" s="284">
        <f>IF($E$8="Yes",IFERROR(BLD_AB!E21,0),0)+IF($F$8="Yes",IFERROR(BLD_AC!E21,0),0)+IF($G$8="Yes",IFERROR(BLD_BT!E21,0),0)+IF($H$8="Yes",IFERROR(BLD_CH!E21,0),0)+IF($I$8="Yes",IFERROR(BLD_CC!E21,0),0)+IF($J$8="Yes",IFERROR(BLD_EA!E21,0),0)+IF($K$8="Yes",IFERROR(BLD_EE!E21,0),0)+IF($L$8="Yes",IFERROR(BLD_JP!E21,0),0)+IF($M$8="Yes",IFERROR(BLD_MH!E21,0),0)+IF($N$8="Yes",IFERROR(BLD_MM!E21,0),0)+IF($O$8="Yes",IFERROR(BLD_NT!E21,0),0)+IF($P$8="Yes",IFERROR(BLD_NG!E21,0),0)+IF($Q$8="Yes",IFERROR(BLD_RG!E21,0),0)+IF($R$8="Yes",IFERROR(BLD_AS!E21,0),0)+IF($S$8="Yes",IFERROR(BLD_PS!E21,0),0)+IF($T$8="Yes",IFERROR(BLD_PM!E21,0),0)+IF($U$8="Yes",IFERROR(BLD_CD!E21,0),0)</f>
        <v>-128168.00000000003</v>
      </c>
      <c r="F21" s="284">
        <f>IF($E$8="Yes",IFERROR(BLD_AB!F21,0),0)+IF($F$8="Yes",IFERROR(BLD_AC!F21,0),0)+IF($G$8="Yes",IFERROR(BLD_BT!F21,0),0)+IF($H$8="Yes",IFERROR(BLD_CH!F21,0),0)+IF($I$8="Yes",IFERROR(BLD_CC!F21,0),0)+IF($J$8="Yes",IFERROR(BLD_EA!F21,0),0)+IF($K$8="Yes",IFERROR(BLD_EE!F21,0),0)+IF($L$8="Yes",IFERROR(BLD_JP!F21,0),0)+IF($M$8="Yes",IFERROR(BLD_MH!F21,0),0)+IF($N$8="Yes",IFERROR(BLD_MM!F21,0),0)+IF($O$8="Yes",IFERROR(BLD_NT!F21,0),0)+IF($P$8="Yes",IFERROR(BLD_NG!F21,0),0)+IF($Q$8="Yes",IFERROR(BLD_RG!F21,0),0)+IF($R$8="Yes",IFERROR(BLD_AS!F21,0),0)+IF($S$8="Yes",IFERROR(BLD_PS!F21,0),0)+IF($T$8="Yes",IFERROR(BLD_PM!F21,0),0)+IF($U$8="Yes",IFERROR(BLD_CD!F21,0),0)</f>
        <v>-136024.18692000001</v>
      </c>
      <c r="G21" s="284">
        <f>IF($E$8="Yes",IFERROR(BLD_AB!G21,0),0)+IF($F$8="Yes",IFERROR(BLD_AC!G21,0),0)+IF($G$8="Yes",IFERROR(BLD_BT!G21,0),0)+IF($H$8="Yes",IFERROR(BLD_CH!G21,0),0)+IF($I$8="Yes",IFERROR(BLD_CC!G21,0),0)+IF($J$8="Yes",IFERROR(BLD_EA!G21,0),0)+IF($K$8="Yes",IFERROR(BLD_EE!G21,0),0)+IF($L$8="Yes",IFERROR(BLD_JP!G21,0),0)+IF($M$8="Yes",IFERROR(BLD_MH!G21,0),0)+IF($N$8="Yes",IFERROR(BLD_MM!G21,0),0)+IF($O$8="Yes",IFERROR(BLD_NT!G21,0),0)+IF($P$8="Yes",IFERROR(BLD_NG!G21,0),0)+IF($Q$8="Yes",IFERROR(BLD_RG!G21,0),0)+IF($R$8="Yes",IFERROR(BLD_AS!G21,0),0)+IF($S$8="Yes",IFERROR(BLD_PS!G21,0),0)+IF($T$8="Yes",IFERROR(BLD_PM!G21,0),0)+IF($U$8="Yes",IFERROR(BLD_CD!G21,0),0)</f>
        <v>-248981.76818827196</v>
      </c>
      <c r="H21" s="284">
        <f>IF($E$8="Yes",IFERROR(BLD_AB!H21,0),0)+IF($F$8="Yes",IFERROR(BLD_AC!H21,0),0)+IF($G$8="Yes",IFERROR(BLD_BT!H21,0),0)+IF($H$8="Yes",IFERROR(BLD_CH!H21,0),0)+IF($I$8="Yes",IFERROR(BLD_CC!H21,0),0)+IF($J$8="Yes",IFERROR(BLD_EA!H21,0),0)+IF($K$8="Yes",IFERROR(BLD_EE!H21,0),0)+IF($L$8="Yes",IFERROR(BLD_JP!H21,0),0)+IF($M$8="Yes",IFERROR(BLD_MH!H21,0),0)+IF($N$8="Yes",IFERROR(BLD_MM!H21,0),0)+IF($O$8="Yes",IFERROR(BLD_NT!H21,0),0)+IF($P$8="Yes",IFERROR(BLD_NG!H21,0),0)+IF($Q$8="Yes",IFERROR(BLD_RG!H21,0),0)+IF($R$8="Yes",IFERROR(BLD_AS!H21,0),0)+IF($S$8="Yes",IFERROR(BLD_PS!H21,0),0)+IF($T$8="Yes",IFERROR(BLD_PM!H21,0),0)+IF($U$8="Yes",IFERROR(BLD_CD!H21,0),0)</f>
        <v>-336221.50835710944</v>
      </c>
      <c r="I21" s="284">
        <f>IF($E$8="Yes",IFERROR(BLD_AB!I21,0),0)+IF($F$8="Yes",IFERROR(BLD_AC!I21,0),0)+IF($G$8="Yes",IFERROR(BLD_BT!I21,0),0)+IF($H$8="Yes",IFERROR(BLD_CH!I21,0),0)+IF($I$8="Yes",IFERROR(BLD_CC!I21,0),0)+IF($J$8="Yes",IFERROR(BLD_EA!I21,0),0)+IF($K$8="Yes",IFERROR(BLD_EE!I21,0),0)+IF($L$8="Yes",IFERROR(BLD_JP!I21,0),0)+IF($M$8="Yes",IFERROR(BLD_MH!I21,0),0)+IF($N$8="Yes",IFERROR(BLD_MM!I21,0),0)+IF($O$8="Yes",IFERROR(BLD_NT!I21,0),0)+IF($P$8="Yes",IFERROR(BLD_NG!I21,0),0)+IF($Q$8="Yes",IFERROR(BLD_RG!I21,0),0)+IF($R$8="Yes",IFERROR(BLD_AS!I21,0),0)+IF($S$8="Yes",IFERROR(BLD_PS!I21,0),0)+IF($T$8="Yes",IFERROR(BLD_PM!I21,0),0)+IF($U$8="Yes",IFERROR(BLD_CD!I21,0),0)</f>
        <v>-388049.41235884972</v>
      </c>
      <c r="J21" s="284">
        <f>IF($E$8="Yes",IFERROR(BLD_AB!J21,0),0)+IF($F$8="Yes",IFERROR(BLD_AC!J21,0),0)+IF($G$8="Yes",IFERROR(BLD_BT!J21,0),0)+IF($H$8="Yes",IFERROR(BLD_CH!J21,0),0)+IF($I$8="Yes",IFERROR(BLD_CC!J21,0),0)+IF($J$8="Yes",IFERROR(BLD_EA!J21,0),0)+IF($K$8="Yes",IFERROR(BLD_EE!J21,0),0)+IF($L$8="Yes",IFERROR(BLD_JP!J21,0),0)+IF($M$8="Yes",IFERROR(BLD_MH!J21,0),0)+IF($N$8="Yes",IFERROR(BLD_MM!J21,0),0)+IF($O$8="Yes",IFERROR(BLD_NT!J21,0),0)+IF($P$8="Yes",IFERROR(BLD_NG!J21,0),0)+IF($Q$8="Yes",IFERROR(BLD_RG!J21,0),0)+IF($R$8="Yes",IFERROR(BLD_AS!J21,0),0)+IF($S$8="Yes",IFERROR(BLD_PS!J21,0),0)+IF($T$8="Yes",IFERROR(BLD_PM!J21,0),0)+IF($U$8="Yes",IFERROR(BLD_CD!J21,0),0)</f>
        <v>-395810.4006060267</v>
      </c>
      <c r="K21" s="284">
        <f>IF($E$8="Yes",IFERROR(BLD_AB!K21,0),0)+IF($F$8="Yes",IFERROR(BLD_AC!K21,0),0)+IF($G$8="Yes",IFERROR(BLD_BT!K21,0),0)+IF($H$8="Yes",IFERROR(BLD_CH!K21,0),0)+IF($I$8="Yes",IFERROR(BLD_CC!K21,0),0)+IF($J$8="Yes",IFERROR(BLD_EA!K21,0),0)+IF($K$8="Yes",IFERROR(BLD_EE!K21,0),0)+IF($L$8="Yes",IFERROR(BLD_JP!K21,0),0)+IF($M$8="Yes",IFERROR(BLD_MH!K21,0),0)+IF($N$8="Yes",IFERROR(BLD_MM!K21,0),0)+IF($O$8="Yes",IFERROR(BLD_NT!K21,0),0)+IF($P$8="Yes",IFERROR(BLD_NG!K21,0),0)+IF($Q$8="Yes",IFERROR(BLD_RG!K21,0),0)+IF($R$8="Yes",IFERROR(BLD_AS!K21,0),0)+IF($S$8="Yes",IFERROR(BLD_PS!K21,0),0)+IF($T$8="Yes",IFERROR(BLD_PM!K21,0),0)+IF($U$8="Yes",IFERROR(BLD_CD!K21,0),0)</f>
        <v>-403726.60861814732</v>
      </c>
      <c r="L21" s="284">
        <f>IF($E$8="Yes",IFERROR(BLD_AB!L21,0),0)+IF($F$8="Yes",IFERROR(BLD_AC!L21,0),0)+IF($G$8="Yes",IFERROR(BLD_BT!L21,0),0)+IF($H$8="Yes",IFERROR(BLD_CH!L21,0),0)+IF($I$8="Yes",IFERROR(BLD_CC!L21,0),0)+IF($J$8="Yes",IFERROR(BLD_EA!L21,0),0)+IF($K$8="Yes",IFERROR(BLD_EE!L21,0),0)+IF($L$8="Yes",IFERROR(BLD_JP!L21,0),0)+IF($M$8="Yes",IFERROR(BLD_MH!L21,0),0)+IF($N$8="Yes",IFERROR(BLD_MM!L21,0),0)+IF($O$8="Yes",IFERROR(BLD_NT!L21,0),0)+IF($P$8="Yes",IFERROR(BLD_NG!L21,0),0)+IF($Q$8="Yes",IFERROR(BLD_RG!L21,0),0)+IF($R$8="Yes",IFERROR(BLD_AS!L21,0),0)+IF($S$8="Yes",IFERROR(BLD_PS!L21,0),0)+IF($T$8="Yes",IFERROR(BLD_PM!L21,0),0)+IF($U$8="Yes",IFERROR(BLD_CD!L21,0),0)</f>
        <v>-411801.14079051017</v>
      </c>
      <c r="M21" s="284">
        <f>IF($E$8="Yes",IFERROR(BLD_AB!M21,0),0)+IF($F$8="Yes",IFERROR(BLD_AC!M21,0),0)+IF($G$8="Yes",IFERROR(BLD_BT!M21,0),0)+IF($H$8="Yes",IFERROR(BLD_CH!M21,0),0)+IF($I$8="Yes",IFERROR(BLD_CC!M21,0),0)+IF($J$8="Yes",IFERROR(BLD_EA!M21,0),0)+IF($K$8="Yes",IFERROR(BLD_EE!M21,0),0)+IF($L$8="Yes",IFERROR(BLD_JP!M21,0),0)+IF($M$8="Yes",IFERROR(BLD_MH!M21,0),0)+IF($N$8="Yes",IFERROR(BLD_MM!M21,0),0)+IF($O$8="Yes",IFERROR(BLD_NT!M21,0),0)+IF($P$8="Yes",IFERROR(BLD_NG!M21,0),0)+IF($Q$8="Yes",IFERROR(BLD_RG!M21,0),0)+IF($R$8="Yes",IFERROR(BLD_AS!M21,0),0)+IF($S$8="Yes",IFERROR(BLD_PS!M21,0),0)+IF($T$8="Yes",IFERROR(BLD_PM!M21,0),0)+IF($U$8="Yes",IFERROR(BLD_CD!M21,0),0)</f>
        <v>-420037.16360632039</v>
      </c>
      <c r="N21" s="284">
        <f>IF($E$8="Yes",IFERROR(BLD_AB!N21,0),0)+IF($F$8="Yes",IFERROR(BLD_AC!N21,0),0)+IF($G$8="Yes",IFERROR(BLD_BT!N21,0),0)+IF($H$8="Yes",IFERROR(BLD_CH!N21,0),0)+IF($I$8="Yes",IFERROR(BLD_CC!N21,0),0)+IF($J$8="Yes",IFERROR(BLD_EA!N21,0),0)+IF($K$8="Yes",IFERROR(BLD_EE!N21,0),0)+IF($L$8="Yes",IFERROR(BLD_JP!N21,0),0)+IF($M$8="Yes",IFERROR(BLD_MH!N21,0),0)+IF($N$8="Yes",IFERROR(BLD_MM!N21,0),0)+IF($O$8="Yes",IFERROR(BLD_NT!N21,0),0)+IF($P$8="Yes",IFERROR(BLD_NG!N21,0),0)+IF($Q$8="Yes",IFERROR(BLD_RG!N21,0),0)+IF($R$8="Yes",IFERROR(BLD_AS!N21,0),0)+IF($S$8="Yes",IFERROR(BLD_PS!N21,0),0)+IF($T$8="Yes",IFERROR(BLD_PM!N21,0),0)+IF($U$8="Yes",IFERROR(BLD_CD!N21,0),0)</f>
        <v>-428437.90687844675</v>
      </c>
      <c r="O21" s="284">
        <f>IF($E$8="Yes",IFERROR(BLD_AB!O21,0),0)+IF($F$8="Yes",IFERROR(BLD_AC!O21,0),0)+IF($G$8="Yes",IFERROR(BLD_BT!O21,0),0)+IF($H$8="Yes",IFERROR(BLD_CH!O21,0),0)+IF($I$8="Yes",IFERROR(BLD_CC!O21,0),0)+IF($J$8="Yes",IFERROR(BLD_EA!O21,0),0)+IF($K$8="Yes",IFERROR(BLD_EE!O21,0),0)+IF($L$8="Yes",IFERROR(BLD_JP!O21,0),0)+IF($M$8="Yes",IFERROR(BLD_MH!O21,0),0)+IF($N$8="Yes",IFERROR(BLD_MM!O21,0),0)+IF($O$8="Yes",IFERROR(BLD_NT!O21,0),0)+IF($P$8="Yes",IFERROR(BLD_NG!O21,0),0)+IF($Q$8="Yes",IFERROR(BLD_RG!O21,0),0)+IF($R$8="Yes",IFERROR(BLD_AS!O21,0),0)+IF($S$8="Yes",IFERROR(BLD_PS!O21,0),0)+IF($T$8="Yes",IFERROR(BLD_PM!O21,0),0)+IF($U$8="Yes",IFERROR(BLD_CD!O21,0),0)</f>
        <v>-437006.66501601576</v>
      </c>
      <c r="P21" s="284">
        <f>IF($E$8="Yes",IFERROR(BLD_AB!P21,0),0)+IF($F$8="Yes",IFERROR(BLD_AC!P21,0),0)+IF($G$8="Yes",IFERROR(BLD_BT!P21,0),0)+IF($H$8="Yes",IFERROR(BLD_CH!P21,0),0)+IF($I$8="Yes",IFERROR(BLD_CC!P21,0),0)+IF($J$8="Yes",IFERROR(BLD_EA!P21,0),0)+IF($K$8="Yes",IFERROR(BLD_EE!P21,0),0)+IF($L$8="Yes",IFERROR(BLD_JP!P21,0),0)+IF($M$8="Yes",IFERROR(BLD_MH!P21,0),0)+IF($N$8="Yes",IFERROR(BLD_MM!P21,0),0)+IF($O$8="Yes",IFERROR(BLD_NT!P21,0),0)+IF($P$8="Yes",IFERROR(BLD_NG!P21,0),0)+IF($Q$8="Yes",IFERROR(BLD_RG!P21,0),0)+IF($R$8="Yes",IFERROR(BLD_AS!P21,0),0)+IF($S$8="Yes",IFERROR(BLD_PS!P21,0),0)+IF($T$8="Yes",IFERROR(BLD_PM!P21,0),0)+IF($U$8="Yes",IFERROR(BLD_CD!P21,0),0)</f>
        <v>-445746.79831633606</v>
      </c>
      <c r="Q21" s="284">
        <f>IF($E$8="Yes",IFERROR(BLD_AB!Q21,0),0)+IF($F$8="Yes",IFERROR(BLD_AC!Q21,0),0)+IF($G$8="Yes",IFERROR(BLD_BT!Q21,0),0)+IF($H$8="Yes",IFERROR(BLD_CH!Q21,0),0)+IF($I$8="Yes",IFERROR(BLD_CC!Q21,0),0)+IF($J$8="Yes",IFERROR(BLD_EA!Q21,0),0)+IF($K$8="Yes",IFERROR(BLD_EE!Q21,0),0)+IF($L$8="Yes",IFERROR(BLD_JP!Q21,0),0)+IF($M$8="Yes",IFERROR(BLD_MH!Q21,0),0)+IF($N$8="Yes",IFERROR(BLD_MM!Q21,0),0)+IF($O$8="Yes",IFERROR(BLD_NT!Q21,0),0)+IF($P$8="Yes",IFERROR(BLD_NG!Q21,0),0)+IF($Q$8="Yes",IFERROR(BLD_RG!Q21,0),0)+IF($R$8="Yes",IFERROR(BLD_AS!Q21,0),0)+IF($S$8="Yes",IFERROR(BLD_PS!Q21,0),0)+IF($T$8="Yes",IFERROR(BLD_PM!Q21,0),0)+IF($U$8="Yes",IFERROR(BLD_CD!Q21,0),0)</f>
        <v>-454661.73428266274</v>
      </c>
      <c r="R21" s="284">
        <f>IF($E$8="Yes",IFERROR(BLD_AB!R21,0),0)+IF($F$8="Yes",IFERROR(BLD_AC!R21,0),0)+IF($G$8="Yes",IFERROR(BLD_BT!R21,0),0)+IF($H$8="Yes",IFERROR(BLD_CH!R21,0),0)+IF($I$8="Yes",IFERROR(BLD_CC!R21,0),0)+IF($J$8="Yes",IFERROR(BLD_EA!R21,0),0)+IF($K$8="Yes",IFERROR(BLD_EE!R21,0),0)+IF($L$8="Yes",IFERROR(BLD_JP!R21,0),0)+IF($M$8="Yes",IFERROR(BLD_MH!R21,0),0)+IF($N$8="Yes",IFERROR(BLD_MM!R21,0),0)+IF($O$8="Yes",IFERROR(BLD_NT!R21,0),0)+IF($P$8="Yes",IFERROR(BLD_NG!R21,0),0)+IF($Q$8="Yes",IFERROR(BLD_RG!R21,0),0)+IF($R$8="Yes",IFERROR(BLD_AS!R21,0),0)+IF($S$8="Yes",IFERROR(BLD_PS!R21,0),0)+IF($T$8="Yes",IFERROR(BLD_PM!R21,0),0)+IF($U$8="Yes",IFERROR(BLD_CD!R21,0),0)</f>
        <v>-463754.96896831598</v>
      </c>
      <c r="S21" s="284">
        <f>IF($E$8="Yes",IFERROR(BLD_AB!S21,0),0)+IF($F$8="Yes",IFERROR(BLD_AC!S21,0),0)+IF($G$8="Yes",IFERROR(BLD_BT!S21,0),0)+IF($H$8="Yes",IFERROR(BLD_CH!S21,0),0)+IF($I$8="Yes",IFERROR(BLD_CC!S21,0),0)+IF($J$8="Yes",IFERROR(BLD_EA!S21,0),0)+IF($K$8="Yes",IFERROR(BLD_EE!S21,0),0)+IF($L$8="Yes",IFERROR(BLD_JP!S21,0),0)+IF($M$8="Yes",IFERROR(BLD_MH!S21,0),0)+IF($N$8="Yes",IFERROR(BLD_MM!S21,0),0)+IF($O$8="Yes",IFERROR(BLD_NT!S21,0),0)+IF($P$8="Yes",IFERROR(BLD_NG!S21,0),0)+IF($Q$8="Yes",IFERROR(BLD_RG!S21,0),0)+IF($R$8="Yes",IFERROR(BLD_AS!S21,0),0)+IF($S$8="Yes",IFERROR(BLD_PS!S21,0),0)+IF($T$8="Yes",IFERROR(BLD_PM!S21,0),0)+IF($U$8="Yes",IFERROR(BLD_CD!S21,0),0)</f>
        <v>-473030.06834768236</v>
      </c>
      <c r="T21" s="284">
        <f>IF($E$8="Yes",IFERROR(BLD_AB!T21,0),0)+IF($F$8="Yes",IFERROR(BLD_AC!T21,0),0)+IF($G$8="Yes",IFERROR(BLD_BT!T21,0),0)+IF($H$8="Yes",IFERROR(BLD_CH!T21,0),0)+IF($I$8="Yes",IFERROR(BLD_CC!T21,0),0)+IF($J$8="Yes",IFERROR(BLD_EA!T21,0),0)+IF($K$8="Yes",IFERROR(BLD_EE!T21,0),0)+IF($L$8="Yes",IFERROR(BLD_JP!T21,0),0)+IF($M$8="Yes",IFERROR(BLD_MH!T21,0),0)+IF($N$8="Yes",IFERROR(BLD_MM!T21,0),0)+IF($O$8="Yes",IFERROR(BLD_NT!T21,0),0)+IF($P$8="Yes",IFERROR(BLD_NG!T21,0),0)+IF($Q$8="Yes",IFERROR(BLD_RG!T21,0),0)+IF($R$8="Yes",IFERROR(BLD_AS!T21,0),0)+IF($S$8="Yes",IFERROR(BLD_PS!T21,0),0)+IF($T$8="Yes",IFERROR(BLD_PM!T21,0),0)+IF($U$8="Yes",IFERROR(BLD_CD!T21,0),0)</f>
        <v>-482490.66971463594</v>
      </c>
      <c r="U21" s="284">
        <f>IF($E$8="Yes",IFERROR(BLD_AB!U21,0),0)+IF($F$8="Yes",IFERROR(BLD_AC!U21,0),0)+IF($G$8="Yes",IFERROR(BLD_BT!U21,0),0)+IF($H$8="Yes",IFERROR(BLD_CH!U21,0),0)+IF($I$8="Yes",IFERROR(BLD_CC!U21,0),0)+IF($J$8="Yes",IFERROR(BLD_EA!U21,0),0)+IF($K$8="Yes",IFERROR(BLD_EE!U21,0),0)+IF($L$8="Yes",IFERROR(BLD_JP!U21,0),0)+IF($M$8="Yes",IFERROR(BLD_MH!U21,0),0)+IF($N$8="Yes",IFERROR(BLD_MM!U21,0),0)+IF($O$8="Yes",IFERROR(BLD_NT!U21,0),0)+IF($P$8="Yes",IFERROR(BLD_NG!U21,0),0)+IF($Q$8="Yes",IFERROR(BLD_RG!U21,0),0)+IF($R$8="Yes",IFERROR(BLD_AS!U21,0),0)+IF($S$8="Yes",IFERROR(BLD_PS!U21,0),0)+IF($T$8="Yes",IFERROR(BLD_PM!U21,0),0)+IF($U$8="Yes",IFERROR(BLD_CD!U21,0),0)</f>
        <v>-492140.48310892866</v>
      </c>
      <c r="V21" s="284">
        <f>IF($E$8="Yes",IFERROR(BLD_AB!V21,0),0)+IF($F$8="Yes",IFERROR(BLD_AC!V21,0),0)+IF($G$8="Yes",IFERROR(BLD_BT!V21,0),0)+IF($H$8="Yes",IFERROR(BLD_CH!V21,0),0)+IF($I$8="Yes",IFERROR(BLD_CC!V21,0),0)+IF($J$8="Yes",IFERROR(BLD_EA!V21,0),0)+IF($K$8="Yes",IFERROR(BLD_EE!V21,0),0)+IF($L$8="Yes",IFERROR(BLD_JP!V21,0),0)+IF($M$8="Yes",IFERROR(BLD_MH!V21,0),0)+IF($N$8="Yes",IFERROR(BLD_MM!V21,0),0)+IF($O$8="Yes",IFERROR(BLD_NT!V21,0),0)+IF($P$8="Yes",IFERROR(BLD_NG!V21,0),0)+IF($Q$8="Yes",IFERROR(BLD_RG!V21,0),0)+IF($R$8="Yes",IFERROR(BLD_AS!V21,0),0)+IF($S$8="Yes",IFERROR(BLD_PS!V21,0),0)+IF($T$8="Yes",IFERROR(BLD_PM!V21,0),0)+IF($U$8="Yes",IFERROR(BLD_CD!V21,0),0)</f>
        <v>-501983.29277110728</v>
      </c>
      <c r="W21" s="284">
        <f>IF($E$8="Yes",IFERROR(BLD_AB!W21,0),0)+IF($F$8="Yes",IFERROR(BLD_AC!W21,0),0)+IF($G$8="Yes",IFERROR(BLD_BT!W21,0),0)+IF($H$8="Yes",IFERROR(BLD_CH!W21,0),0)+IF($I$8="Yes",IFERROR(BLD_CC!W21,0),0)+IF($J$8="Yes",IFERROR(BLD_EA!W21,0),0)+IF($K$8="Yes",IFERROR(BLD_EE!W21,0),0)+IF($L$8="Yes",IFERROR(BLD_JP!W21,0),0)+IF($M$8="Yes",IFERROR(BLD_MH!W21,0),0)+IF($N$8="Yes",IFERROR(BLD_MM!W21,0),0)+IF($O$8="Yes",IFERROR(BLD_NT!W21,0),0)+IF($P$8="Yes",IFERROR(BLD_NG!W21,0),0)+IF($Q$8="Yes",IFERROR(BLD_RG!W21,0),0)+IF($R$8="Yes",IFERROR(BLD_AS!W21,0),0)+IF($S$8="Yes",IFERROR(BLD_PS!W21,0),0)+IF($T$8="Yes",IFERROR(BLD_PM!W21,0),0)+IF($U$8="Yes",IFERROR(BLD_CD!W21,0),0)</f>
        <v>-512022.95862652943</v>
      </c>
      <c r="X21" s="284">
        <f>IF($E$8="Yes",IFERROR(BLD_AB!X21,0),0)+IF($F$8="Yes",IFERROR(BLD_AC!X21,0),0)+IF($G$8="Yes",IFERROR(BLD_BT!X21,0),0)+IF($H$8="Yes",IFERROR(BLD_CH!X21,0),0)+IF($I$8="Yes",IFERROR(BLD_CC!X21,0),0)+IF($J$8="Yes",IFERROR(BLD_EA!X21,0),0)+IF($K$8="Yes",IFERROR(BLD_EE!X21,0),0)+IF($L$8="Yes",IFERROR(BLD_JP!X21,0),0)+IF($M$8="Yes",IFERROR(BLD_MH!X21,0),0)+IF($N$8="Yes",IFERROR(BLD_MM!X21,0),0)+IF($O$8="Yes",IFERROR(BLD_NT!X21,0),0)+IF($P$8="Yes",IFERROR(BLD_NG!X21,0),0)+IF($Q$8="Yes",IFERROR(BLD_RG!X21,0),0)+IF($R$8="Yes",IFERROR(BLD_AS!X21,0),0)+IF($S$8="Yes",IFERROR(BLD_PS!X21,0),0)+IF($T$8="Yes",IFERROR(BLD_PM!X21,0),0)+IF($U$8="Yes",IFERROR(BLD_CD!X21,0),0)</f>
        <v>-522263.41779906</v>
      </c>
      <c r="Y21" s="284">
        <f>IF($E$8="Yes",IFERROR(BLD_AB!Y21,0),0)+IF($F$8="Yes",IFERROR(BLD_AC!Y21,0),0)+IF($G$8="Yes",IFERROR(BLD_BT!Y21,0),0)+IF($H$8="Yes",IFERROR(BLD_CH!Y21,0),0)+IF($I$8="Yes",IFERROR(BLD_CC!Y21,0),0)+IF($J$8="Yes",IFERROR(BLD_EA!Y21,0),0)+IF($K$8="Yes",IFERROR(BLD_EE!Y21,0),0)+IF($L$8="Yes",IFERROR(BLD_JP!Y21,0),0)+IF($M$8="Yes",IFERROR(BLD_MH!Y21,0),0)+IF($N$8="Yes",IFERROR(BLD_MM!Y21,0),0)+IF($O$8="Yes",IFERROR(BLD_NT!Y21,0),0)+IF($P$8="Yes",IFERROR(BLD_NG!Y21,0),0)+IF($Q$8="Yes",IFERROR(BLD_RG!Y21,0),0)+IF($R$8="Yes",IFERROR(BLD_AS!Y21,0),0)+IF($S$8="Yes",IFERROR(BLD_PS!Y21,0),0)+IF($T$8="Yes",IFERROR(BLD_PM!Y21,0),0)+IF($U$8="Yes",IFERROR(BLD_CD!Y21,0),0)</f>
        <v>-532708.68615504121</v>
      </c>
    </row>
    <row r="22" spans="3:25" ht="13.5" customHeight="1">
      <c r="C22" s="3" t="s">
        <v>339</v>
      </c>
      <c r="E22" s="285">
        <f t="shared" ref="E22:Y22" si="3">E20+E21</f>
        <v>6280232</v>
      </c>
      <c r="F22" s="285">
        <f t="shared" si="3"/>
        <v>6665185.1590800006</v>
      </c>
      <c r="G22" s="285">
        <f t="shared" si="3"/>
        <v>12200106.641225327</v>
      </c>
      <c r="H22" s="285">
        <f t="shared" si="3"/>
        <v>16474853.909498362</v>
      </c>
      <c r="I22" s="285">
        <f t="shared" si="3"/>
        <v>19014421.205583636</v>
      </c>
      <c r="J22" s="285">
        <f t="shared" si="3"/>
        <v>19394709.629695311</v>
      </c>
      <c r="K22" s="285">
        <f t="shared" si="3"/>
        <v>19782603.822289217</v>
      </c>
      <c r="L22" s="285">
        <f t="shared" si="3"/>
        <v>20178255.898734998</v>
      </c>
      <c r="M22" s="285">
        <f t="shared" si="3"/>
        <v>20581821.0167097</v>
      </c>
      <c r="N22" s="285">
        <f t="shared" si="3"/>
        <v>20993457.43704389</v>
      </c>
      <c r="O22" s="285">
        <f t="shared" si="3"/>
        <v>21413326.585784771</v>
      </c>
      <c r="P22" s="285">
        <f t="shared" si="3"/>
        <v>21841593.117500458</v>
      </c>
      <c r="Q22" s="285">
        <f t="shared" si="3"/>
        <v>22278424.979850478</v>
      </c>
      <c r="R22" s="285">
        <f t="shared" si="3"/>
        <v>22723993.479447484</v>
      </c>
      <c r="S22" s="285">
        <f t="shared" si="3"/>
        <v>23178473.34903644</v>
      </c>
      <c r="T22" s="285">
        <f t="shared" si="3"/>
        <v>23642042.816017155</v>
      </c>
      <c r="U22" s="285">
        <f t="shared" si="3"/>
        <v>24114883.672337502</v>
      </c>
      <c r="V22" s="285">
        <f t="shared" si="3"/>
        <v>24597181.345784258</v>
      </c>
      <c r="W22" s="285">
        <f t="shared" si="3"/>
        <v>25089124.97269994</v>
      </c>
      <c r="X22" s="285">
        <f t="shared" si="3"/>
        <v>25590907.472153943</v>
      </c>
      <c r="Y22" s="285">
        <f t="shared" si="3"/>
        <v>26102725.621597018</v>
      </c>
    </row>
    <row r="23" spans="3:25" ht="13.5" customHeight="1">
      <c r="C23" s="13" t="s">
        <v>340</v>
      </c>
      <c r="D23" s="13"/>
      <c r="E23" s="284">
        <f>IF($E$8="Yes",IFERROR(BLD_AB!E23,0),0)+IF($F$8="Yes",IFERROR(BLD_AC!E23,0),0)+IF($G$8="Yes",IFERROR(BLD_BT!E23,0),0)+IF($H$8="Yes",IFERROR(BLD_CH!E23,0),0)+IF($I$8="Yes",IFERROR(BLD_CC!E23,0),0)+IF($J$8="Yes",IFERROR(BLD_EA!E23,0),0)+IF($K$8="Yes",IFERROR(BLD_EE!E23,0),0)+IF($L$8="Yes",IFERROR(BLD_JP!E23,0),0)+IF($M$8="Yes",IFERROR(BLD_MH!E23,0),0)+IF($N$8="Yes",IFERROR(BLD_MM!E23,0),0)+IF($O$8="Yes",IFERROR(BLD_NT!E23,0),0)+IF($P$8="Yes",IFERROR(BLD_NG!E23,0),0)+IF($Q$8="Yes",IFERROR(BLD_RG!E23,0),0)+IF($R$8="Yes",IFERROR(BLD_AS!E23,0),0)+IF($S$8="Yes",IFERROR(BLD_PS!E23,0),0)+IF($T$8="Yes",IFERROR(BLD_PM!E23,0),0)+IF($U$8="Yes",IFERROR(BLD_CD!E23,0),0)</f>
        <v>343401.6</v>
      </c>
      <c r="F23" s="284">
        <f>IF($E$8="Yes",IFERROR(BLD_AB!F23,0),0)+IF($F$8="Yes",IFERROR(BLD_AC!F23,0),0)+IF($G$8="Yes",IFERROR(BLD_BT!F23,0),0)+IF($H$8="Yes",IFERROR(BLD_CH!F23,0),0)+IF($I$8="Yes",IFERROR(BLD_CC!F23,0),0)+IF($J$8="Yes",IFERROR(BLD_EA!F23,0),0)+IF($K$8="Yes",IFERROR(BLD_EE!F23,0),0)+IF($L$8="Yes",IFERROR(BLD_JP!F23,0),0)+IF($M$8="Yes",IFERROR(BLD_MH!F23,0),0)+IF($N$8="Yes",IFERROR(BLD_MM!F23,0),0)+IF($O$8="Yes",IFERROR(BLD_NT!F23,0),0)+IF($P$8="Yes",IFERROR(BLD_NG!F23,0),0)+IF($Q$8="Yes",IFERROR(BLD_RG!F23,0),0)+IF($R$8="Yes",IFERROR(BLD_AS!F23,0),0)+IF($S$8="Yes",IFERROR(BLD_PS!F23,0),0)+IF($T$8="Yes",IFERROR(BLD_PM!F23,0),0)+IF($U$8="Yes",IFERROR(BLD_CD!F23,0),0)</f>
        <v>343401.6</v>
      </c>
      <c r="G23" s="284">
        <f>IF($E$8="Yes",IFERROR(BLD_AB!G23,0),0)+IF($F$8="Yes",IFERROR(BLD_AC!G23,0),0)+IF($G$8="Yes",IFERROR(BLD_BT!G23,0),0)+IF($H$8="Yes",IFERROR(BLD_CH!G23,0),0)+IF($I$8="Yes",IFERROR(BLD_CC!G23,0),0)+IF($J$8="Yes",IFERROR(BLD_EA!G23,0),0)+IF($K$8="Yes",IFERROR(BLD_EE!G23,0),0)+IF($L$8="Yes",IFERROR(BLD_JP!G23,0),0)+IF($M$8="Yes",IFERROR(BLD_MH!G23,0),0)+IF($N$8="Yes",IFERROR(BLD_MM!G23,0),0)+IF($O$8="Yes",IFERROR(BLD_NT!G23,0),0)+IF($P$8="Yes",IFERROR(BLD_NG!G23,0),0)+IF($Q$8="Yes",IFERROR(BLD_RG!G23,0),0)+IF($R$8="Yes",IFERROR(BLD_AS!G23,0),0)+IF($S$8="Yes",IFERROR(BLD_PS!G23,0),0)+IF($T$8="Yes",IFERROR(BLD_PM!G23,0),0)+IF($U$8="Yes",IFERROR(BLD_CD!G23,0),0)</f>
        <v>343401.6</v>
      </c>
      <c r="H23" s="284">
        <f>IF($E$8="Yes",IFERROR(BLD_AB!H23,0),0)+IF($F$8="Yes",IFERROR(BLD_AC!H23,0),0)+IF($G$8="Yes",IFERROR(BLD_BT!H23,0),0)+IF($H$8="Yes",IFERROR(BLD_CH!H23,0),0)+IF($I$8="Yes",IFERROR(BLD_CC!H23,0),0)+IF($J$8="Yes",IFERROR(BLD_EA!H23,0),0)+IF($K$8="Yes",IFERROR(BLD_EE!H23,0),0)+IF($L$8="Yes",IFERROR(BLD_JP!H23,0),0)+IF($M$8="Yes",IFERROR(BLD_MH!H23,0),0)+IF($N$8="Yes",IFERROR(BLD_MM!H23,0),0)+IF($O$8="Yes",IFERROR(BLD_NT!H23,0),0)+IF($P$8="Yes",IFERROR(BLD_NG!H23,0),0)+IF($Q$8="Yes",IFERROR(BLD_RG!H23,0),0)+IF($R$8="Yes",IFERROR(BLD_AS!H23,0),0)+IF($S$8="Yes",IFERROR(BLD_PS!H23,0),0)+IF($T$8="Yes",IFERROR(BLD_PM!H23,0),0)+IF($U$8="Yes",IFERROR(BLD_CD!H23,0),0)</f>
        <v>164893.79999999999</v>
      </c>
      <c r="I23" s="284">
        <f>IF($E$8="Yes",IFERROR(BLD_AB!I23,0),0)+IF($F$8="Yes",IFERROR(BLD_AC!I23,0),0)+IF($G$8="Yes",IFERROR(BLD_BT!I23,0),0)+IF($H$8="Yes",IFERROR(BLD_CH!I23,0),0)+IF($I$8="Yes",IFERROR(BLD_CC!I23,0),0)+IF($J$8="Yes",IFERROR(BLD_EA!I23,0),0)+IF($K$8="Yes",IFERROR(BLD_EE!I23,0),0)+IF($L$8="Yes",IFERROR(BLD_JP!I23,0),0)+IF($M$8="Yes",IFERROR(BLD_MH!I23,0),0)+IF($N$8="Yes",IFERROR(BLD_MM!I23,0),0)+IF($O$8="Yes",IFERROR(BLD_NT!I23,0),0)+IF($P$8="Yes",IFERROR(BLD_NG!I23,0),0)+IF($Q$8="Yes",IFERROR(BLD_RG!I23,0),0)+IF($R$8="Yes",IFERROR(BLD_AS!I23,0),0)+IF($S$8="Yes",IFERROR(BLD_PS!I23,0),0)+IF($T$8="Yes",IFERROR(BLD_PM!I23,0),0)+IF($U$8="Yes",IFERROR(BLD_CD!I23,0),0)</f>
        <v>164893.79999999999</v>
      </c>
      <c r="J23" s="284">
        <f>IF($E$8="Yes",IFERROR(BLD_AB!J23,0),0)+IF($F$8="Yes",IFERROR(BLD_AC!J23,0),0)+IF($G$8="Yes",IFERROR(BLD_BT!J23,0),0)+IF($H$8="Yes",IFERROR(BLD_CH!J23,0),0)+IF($I$8="Yes",IFERROR(BLD_CC!J23,0),0)+IF($J$8="Yes",IFERROR(BLD_EA!J23,0),0)+IF($K$8="Yes",IFERROR(BLD_EE!J23,0),0)+IF($L$8="Yes",IFERROR(BLD_JP!J23,0),0)+IF($M$8="Yes",IFERROR(BLD_MH!J23,0),0)+IF($N$8="Yes",IFERROR(BLD_MM!J23,0),0)+IF($O$8="Yes",IFERROR(BLD_NT!J23,0),0)+IF($P$8="Yes",IFERROR(BLD_NG!J23,0),0)+IF($Q$8="Yes",IFERROR(BLD_RG!J23,0),0)+IF($R$8="Yes",IFERROR(BLD_AS!J23,0),0)+IF($S$8="Yes",IFERROR(BLD_PS!J23,0),0)+IF($T$8="Yes",IFERROR(BLD_PM!J23,0),0)+IF($U$8="Yes",IFERROR(BLD_CD!J23,0),0)</f>
        <v>164893.79999999999</v>
      </c>
      <c r="K23" s="284">
        <f>IF($E$8="Yes",IFERROR(BLD_AB!K23,0),0)+IF($F$8="Yes",IFERROR(BLD_AC!K23,0),0)+IF($G$8="Yes",IFERROR(BLD_BT!K23,0),0)+IF($H$8="Yes",IFERROR(BLD_CH!K23,0),0)+IF($I$8="Yes",IFERROR(BLD_CC!K23,0),0)+IF($J$8="Yes",IFERROR(BLD_EA!K23,0),0)+IF($K$8="Yes",IFERROR(BLD_EE!K23,0),0)+IF($L$8="Yes",IFERROR(BLD_JP!K23,0),0)+IF($M$8="Yes",IFERROR(BLD_MH!K23,0),0)+IF($N$8="Yes",IFERROR(BLD_MM!K23,0),0)+IF($O$8="Yes",IFERROR(BLD_NT!K23,0),0)+IF($P$8="Yes",IFERROR(BLD_NG!K23,0),0)+IF($Q$8="Yes",IFERROR(BLD_RG!K23,0),0)+IF($R$8="Yes",IFERROR(BLD_AS!K23,0),0)+IF($S$8="Yes",IFERROR(BLD_PS!K23,0),0)+IF($T$8="Yes",IFERROR(BLD_PM!K23,0),0)+IF($U$8="Yes",IFERROR(BLD_CD!K23,0),0)</f>
        <v>164893.79999999999</v>
      </c>
      <c r="L23" s="284">
        <f>IF($E$8="Yes",IFERROR(BLD_AB!L23,0),0)+IF($F$8="Yes",IFERROR(BLD_AC!L23,0),0)+IF($G$8="Yes",IFERROR(BLD_BT!L23,0),0)+IF($H$8="Yes",IFERROR(BLD_CH!L23,0),0)+IF($I$8="Yes",IFERROR(BLD_CC!L23,0),0)+IF($J$8="Yes",IFERROR(BLD_EA!L23,0),0)+IF($K$8="Yes",IFERROR(BLD_EE!L23,0),0)+IF($L$8="Yes",IFERROR(BLD_JP!L23,0),0)+IF($M$8="Yes",IFERROR(BLD_MH!L23,0),0)+IF($N$8="Yes",IFERROR(BLD_MM!L23,0),0)+IF($O$8="Yes",IFERROR(BLD_NT!L23,0),0)+IF($P$8="Yes",IFERROR(BLD_NG!L23,0),0)+IF($Q$8="Yes",IFERROR(BLD_RG!L23,0),0)+IF($R$8="Yes",IFERROR(BLD_AS!L23,0),0)+IF($S$8="Yes",IFERROR(BLD_PS!L23,0),0)+IF($T$8="Yes",IFERROR(BLD_PM!L23,0),0)+IF($U$8="Yes",IFERROR(BLD_CD!L23,0),0)</f>
        <v>164893.79999999999</v>
      </c>
      <c r="M23" s="284">
        <f>IF($E$8="Yes",IFERROR(BLD_AB!M23,0),0)+IF($F$8="Yes",IFERROR(BLD_AC!M23,0),0)+IF($G$8="Yes",IFERROR(BLD_BT!M23,0),0)+IF($H$8="Yes",IFERROR(BLD_CH!M23,0),0)+IF($I$8="Yes",IFERROR(BLD_CC!M23,0),0)+IF($J$8="Yes",IFERROR(BLD_EA!M23,0),0)+IF($K$8="Yes",IFERROR(BLD_EE!M23,0),0)+IF($L$8="Yes",IFERROR(BLD_JP!M23,0),0)+IF($M$8="Yes",IFERROR(BLD_MH!M23,0),0)+IF($N$8="Yes",IFERROR(BLD_MM!M23,0),0)+IF($O$8="Yes",IFERROR(BLD_NT!M23,0),0)+IF($P$8="Yes",IFERROR(BLD_NG!M23,0),0)+IF($Q$8="Yes",IFERROR(BLD_RG!M23,0),0)+IF($R$8="Yes",IFERROR(BLD_AS!M23,0),0)+IF($S$8="Yes",IFERROR(BLD_PS!M23,0),0)+IF($T$8="Yes",IFERROR(BLD_PM!M23,0),0)+IF($U$8="Yes",IFERROR(BLD_CD!M23,0),0)</f>
        <v>164893.79999999999</v>
      </c>
      <c r="N23" s="284">
        <f>IF($E$8="Yes",IFERROR(BLD_AB!N23,0),0)+IF($F$8="Yes",IFERROR(BLD_AC!N23,0),0)+IF($G$8="Yes",IFERROR(BLD_BT!N23,0),0)+IF($H$8="Yes",IFERROR(BLD_CH!N23,0),0)+IF($I$8="Yes",IFERROR(BLD_CC!N23,0),0)+IF($J$8="Yes",IFERROR(BLD_EA!N23,0),0)+IF($K$8="Yes",IFERROR(BLD_EE!N23,0),0)+IF($L$8="Yes",IFERROR(BLD_JP!N23,0),0)+IF($M$8="Yes",IFERROR(BLD_MH!N23,0),0)+IF($N$8="Yes",IFERROR(BLD_MM!N23,0),0)+IF($O$8="Yes",IFERROR(BLD_NT!N23,0),0)+IF($P$8="Yes",IFERROR(BLD_NG!N23,0),0)+IF($Q$8="Yes",IFERROR(BLD_RG!N23,0),0)+IF($R$8="Yes",IFERROR(BLD_AS!N23,0),0)+IF($S$8="Yes",IFERROR(BLD_PS!N23,0),0)+IF($T$8="Yes",IFERROR(BLD_PM!N23,0),0)+IF($U$8="Yes",IFERROR(BLD_CD!N23,0),0)</f>
        <v>164893.79999999999</v>
      </c>
      <c r="O23" s="284">
        <f>IF($E$8="Yes",IFERROR(BLD_AB!O23,0),0)+IF($F$8="Yes",IFERROR(BLD_AC!O23,0),0)+IF($G$8="Yes",IFERROR(BLD_BT!O23,0),0)+IF($H$8="Yes",IFERROR(BLD_CH!O23,0),0)+IF($I$8="Yes",IFERROR(BLD_CC!O23,0),0)+IF($J$8="Yes",IFERROR(BLD_EA!O23,0),0)+IF($K$8="Yes",IFERROR(BLD_EE!O23,0),0)+IF($L$8="Yes",IFERROR(BLD_JP!O23,0),0)+IF($M$8="Yes",IFERROR(BLD_MH!O23,0),0)+IF($N$8="Yes",IFERROR(BLD_MM!O23,0),0)+IF($O$8="Yes",IFERROR(BLD_NT!O23,0),0)+IF($P$8="Yes",IFERROR(BLD_NG!O23,0),0)+IF($Q$8="Yes",IFERROR(BLD_RG!O23,0),0)+IF($R$8="Yes",IFERROR(BLD_AS!O23,0),0)+IF($S$8="Yes",IFERROR(BLD_PS!O23,0),0)+IF($T$8="Yes",IFERROR(BLD_PM!O23,0),0)+IF($U$8="Yes",IFERROR(BLD_CD!O23,0),0)</f>
        <v>164893.79999999999</v>
      </c>
      <c r="P23" s="284">
        <f>IF($E$8="Yes",IFERROR(BLD_AB!P23,0),0)+IF($F$8="Yes",IFERROR(BLD_AC!P23,0),0)+IF($G$8="Yes",IFERROR(BLD_BT!P23,0),0)+IF($H$8="Yes",IFERROR(BLD_CH!P23,0),0)+IF($I$8="Yes",IFERROR(BLD_CC!P23,0),0)+IF($J$8="Yes",IFERROR(BLD_EA!P23,0),0)+IF($K$8="Yes",IFERROR(BLD_EE!P23,0),0)+IF($L$8="Yes",IFERROR(BLD_JP!P23,0),0)+IF($M$8="Yes",IFERROR(BLD_MH!P23,0),0)+IF($N$8="Yes",IFERROR(BLD_MM!P23,0),0)+IF($O$8="Yes",IFERROR(BLD_NT!P23,0),0)+IF($P$8="Yes",IFERROR(BLD_NG!P23,0),0)+IF($Q$8="Yes",IFERROR(BLD_RG!P23,0),0)+IF($R$8="Yes",IFERROR(BLD_AS!P23,0),0)+IF($S$8="Yes",IFERROR(BLD_PS!P23,0),0)+IF($T$8="Yes",IFERROR(BLD_PM!P23,0),0)+IF($U$8="Yes",IFERROR(BLD_CD!P23,0),0)</f>
        <v>0</v>
      </c>
      <c r="Q23" s="284">
        <f>IF($E$8="Yes",IFERROR(BLD_AB!Q23,0),0)+IF($F$8="Yes",IFERROR(BLD_AC!Q23,0),0)+IF($G$8="Yes",IFERROR(BLD_BT!Q23,0),0)+IF($H$8="Yes",IFERROR(BLD_CH!Q23,0),0)+IF($I$8="Yes",IFERROR(BLD_CC!Q23,0),0)+IF($J$8="Yes",IFERROR(BLD_EA!Q23,0),0)+IF($K$8="Yes",IFERROR(BLD_EE!Q23,0),0)+IF($L$8="Yes",IFERROR(BLD_JP!Q23,0),0)+IF($M$8="Yes",IFERROR(BLD_MH!Q23,0),0)+IF($N$8="Yes",IFERROR(BLD_MM!Q23,0),0)+IF($O$8="Yes",IFERROR(BLD_NT!Q23,0),0)+IF($P$8="Yes",IFERROR(BLD_NG!Q23,0),0)+IF($Q$8="Yes",IFERROR(BLD_RG!Q23,0),0)+IF($R$8="Yes",IFERROR(BLD_AS!Q23,0),0)+IF($S$8="Yes",IFERROR(BLD_PS!Q23,0),0)+IF($T$8="Yes",IFERROR(BLD_PM!Q23,0),0)+IF($U$8="Yes",IFERROR(BLD_CD!Q23,0),0)</f>
        <v>0</v>
      </c>
      <c r="R23" s="284">
        <f>IF($E$8="Yes",IFERROR(BLD_AB!R23,0),0)+IF($F$8="Yes",IFERROR(BLD_AC!R23,0),0)+IF($G$8="Yes",IFERROR(BLD_BT!R23,0),0)+IF($H$8="Yes",IFERROR(BLD_CH!R23,0),0)+IF($I$8="Yes",IFERROR(BLD_CC!R23,0),0)+IF($J$8="Yes",IFERROR(BLD_EA!R23,0),0)+IF($K$8="Yes",IFERROR(BLD_EE!R23,0),0)+IF($L$8="Yes",IFERROR(BLD_JP!R23,0),0)+IF($M$8="Yes",IFERROR(BLD_MH!R23,0),0)+IF($N$8="Yes",IFERROR(BLD_MM!R23,0),0)+IF($O$8="Yes",IFERROR(BLD_NT!R23,0),0)+IF($P$8="Yes",IFERROR(BLD_NG!R23,0),0)+IF($Q$8="Yes",IFERROR(BLD_RG!R23,0),0)+IF($R$8="Yes",IFERROR(BLD_AS!R23,0),0)+IF($S$8="Yes",IFERROR(BLD_PS!R23,0),0)+IF($T$8="Yes",IFERROR(BLD_PM!R23,0),0)+IF($U$8="Yes",IFERROR(BLD_CD!R23,0),0)</f>
        <v>0</v>
      </c>
      <c r="S23" s="284">
        <f>IF($E$8="Yes",IFERROR(BLD_AB!S23,0),0)+IF($F$8="Yes",IFERROR(BLD_AC!S23,0),0)+IF($G$8="Yes",IFERROR(BLD_BT!S23,0),0)+IF($H$8="Yes",IFERROR(BLD_CH!S23,0),0)+IF($I$8="Yes",IFERROR(BLD_CC!S23,0),0)+IF($J$8="Yes",IFERROR(BLD_EA!S23,0),0)+IF($K$8="Yes",IFERROR(BLD_EE!S23,0),0)+IF($L$8="Yes",IFERROR(BLD_JP!S23,0),0)+IF($M$8="Yes",IFERROR(BLD_MH!S23,0),0)+IF($N$8="Yes",IFERROR(BLD_MM!S23,0),0)+IF($O$8="Yes",IFERROR(BLD_NT!S23,0),0)+IF($P$8="Yes",IFERROR(BLD_NG!S23,0),0)+IF($Q$8="Yes",IFERROR(BLD_RG!S23,0),0)+IF($R$8="Yes",IFERROR(BLD_AS!S23,0),0)+IF($S$8="Yes",IFERROR(BLD_PS!S23,0),0)+IF($T$8="Yes",IFERROR(BLD_PM!S23,0),0)+IF($U$8="Yes",IFERROR(BLD_CD!S23,0),0)</f>
        <v>0</v>
      </c>
      <c r="T23" s="284">
        <f>IF($E$8="Yes",IFERROR(BLD_AB!T23,0),0)+IF($F$8="Yes",IFERROR(BLD_AC!T23,0),0)+IF($G$8="Yes",IFERROR(BLD_BT!T23,0),0)+IF($H$8="Yes",IFERROR(BLD_CH!T23,0),0)+IF($I$8="Yes",IFERROR(BLD_CC!T23,0),0)+IF($J$8="Yes",IFERROR(BLD_EA!T23,0),0)+IF($K$8="Yes",IFERROR(BLD_EE!T23,0),0)+IF($L$8="Yes",IFERROR(BLD_JP!T23,0),0)+IF($M$8="Yes",IFERROR(BLD_MH!T23,0),0)+IF($N$8="Yes",IFERROR(BLD_MM!T23,0),0)+IF($O$8="Yes",IFERROR(BLD_NT!T23,0),0)+IF($P$8="Yes",IFERROR(BLD_NG!T23,0),0)+IF($Q$8="Yes",IFERROR(BLD_RG!T23,0),0)+IF($R$8="Yes",IFERROR(BLD_AS!T23,0),0)+IF($S$8="Yes",IFERROR(BLD_PS!T23,0),0)+IF($T$8="Yes",IFERROR(BLD_PM!T23,0),0)+IF($U$8="Yes",IFERROR(BLD_CD!T23,0),0)</f>
        <v>0</v>
      </c>
      <c r="U23" s="284">
        <f>IF($E$8="Yes",IFERROR(BLD_AB!U23,0),0)+IF($F$8="Yes",IFERROR(BLD_AC!U23,0),0)+IF($G$8="Yes",IFERROR(BLD_BT!U23,0),0)+IF($H$8="Yes",IFERROR(BLD_CH!U23,0),0)+IF($I$8="Yes",IFERROR(BLD_CC!U23,0),0)+IF($J$8="Yes",IFERROR(BLD_EA!U23,0),0)+IF($K$8="Yes",IFERROR(BLD_EE!U23,0),0)+IF($L$8="Yes",IFERROR(BLD_JP!U23,0),0)+IF($M$8="Yes",IFERROR(BLD_MH!U23,0),0)+IF($N$8="Yes",IFERROR(BLD_MM!U23,0),0)+IF($O$8="Yes",IFERROR(BLD_NT!U23,0),0)+IF($P$8="Yes",IFERROR(BLD_NG!U23,0),0)+IF($Q$8="Yes",IFERROR(BLD_RG!U23,0),0)+IF($R$8="Yes",IFERROR(BLD_AS!U23,0),0)+IF($S$8="Yes",IFERROR(BLD_PS!U23,0),0)+IF($T$8="Yes",IFERROR(BLD_PM!U23,0),0)+IF($U$8="Yes",IFERROR(BLD_CD!U23,0),0)</f>
        <v>0</v>
      </c>
      <c r="V23" s="284">
        <f>IF($E$8="Yes",IFERROR(BLD_AB!V23,0),0)+IF($F$8="Yes",IFERROR(BLD_AC!V23,0),0)+IF($G$8="Yes",IFERROR(BLD_BT!V23,0),0)+IF($H$8="Yes",IFERROR(BLD_CH!V23,0),0)+IF($I$8="Yes",IFERROR(BLD_CC!V23,0),0)+IF($J$8="Yes",IFERROR(BLD_EA!V23,0),0)+IF($K$8="Yes",IFERROR(BLD_EE!V23,0),0)+IF($L$8="Yes",IFERROR(BLD_JP!V23,0),0)+IF($M$8="Yes",IFERROR(BLD_MH!V23,0),0)+IF($N$8="Yes",IFERROR(BLD_MM!V23,0),0)+IF($O$8="Yes",IFERROR(BLD_NT!V23,0),0)+IF($P$8="Yes",IFERROR(BLD_NG!V23,0),0)+IF($Q$8="Yes",IFERROR(BLD_RG!V23,0),0)+IF($R$8="Yes",IFERROR(BLD_AS!V23,0),0)+IF($S$8="Yes",IFERROR(BLD_PS!V23,0),0)+IF($T$8="Yes",IFERROR(BLD_PM!V23,0),0)+IF($U$8="Yes",IFERROR(BLD_CD!V23,0),0)</f>
        <v>0</v>
      </c>
      <c r="W23" s="284">
        <f>IF($E$8="Yes",IFERROR(BLD_AB!W23,0),0)+IF($F$8="Yes",IFERROR(BLD_AC!W23,0),0)+IF($G$8="Yes",IFERROR(BLD_BT!W23,0),0)+IF($H$8="Yes",IFERROR(BLD_CH!W23,0),0)+IF($I$8="Yes",IFERROR(BLD_CC!W23,0),0)+IF($J$8="Yes",IFERROR(BLD_EA!W23,0),0)+IF($K$8="Yes",IFERROR(BLD_EE!W23,0),0)+IF($L$8="Yes",IFERROR(BLD_JP!W23,0),0)+IF($M$8="Yes",IFERROR(BLD_MH!W23,0),0)+IF($N$8="Yes",IFERROR(BLD_MM!W23,0),0)+IF($O$8="Yes",IFERROR(BLD_NT!W23,0),0)+IF($P$8="Yes",IFERROR(BLD_NG!W23,0),0)+IF($Q$8="Yes",IFERROR(BLD_RG!W23,0),0)+IF($R$8="Yes",IFERROR(BLD_AS!W23,0),0)+IF($S$8="Yes",IFERROR(BLD_PS!W23,0),0)+IF($T$8="Yes",IFERROR(BLD_PM!W23,0),0)+IF($U$8="Yes",IFERROR(BLD_CD!W23,0),0)</f>
        <v>0</v>
      </c>
      <c r="X23" s="284">
        <f>IF($E$8="Yes",IFERROR(BLD_AB!X23,0),0)+IF($F$8="Yes",IFERROR(BLD_AC!X23,0),0)+IF($G$8="Yes",IFERROR(BLD_BT!X23,0),0)+IF($H$8="Yes",IFERROR(BLD_CH!X23,0),0)+IF($I$8="Yes",IFERROR(BLD_CC!X23,0),0)+IF($J$8="Yes",IFERROR(BLD_EA!X23,0),0)+IF($K$8="Yes",IFERROR(BLD_EE!X23,0),0)+IF($L$8="Yes",IFERROR(BLD_JP!X23,0),0)+IF($M$8="Yes",IFERROR(BLD_MH!X23,0),0)+IF($N$8="Yes",IFERROR(BLD_MM!X23,0),0)+IF($O$8="Yes",IFERROR(BLD_NT!X23,0),0)+IF($P$8="Yes",IFERROR(BLD_NG!X23,0),0)+IF($Q$8="Yes",IFERROR(BLD_RG!X23,0),0)+IF($R$8="Yes",IFERROR(BLD_AS!X23,0),0)+IF($S$8="Yes",IFERROR(BLD_PS!X23,0),0)+IF($T$8="Yes",IFERROR(BLD_PM!X23,0),0)+IF($U$8="Yes",IFERROR(BLD_CD!X23,0),0)</f>
        <v>0</v>
      </c>
      <c r="Y23" s="284">
        <f>IF($E$8="Yes",IFERROR(BLD_AB!Y23,0),0)+IF($F$8="Yes",IFERROR(BLD_AC!Y23,0),0)+IF($G$8="Yes",IFERROR(BLD_BT!Y23,0),0)+IF($H$8="Yes",IFERROR(BLD_CH!Y23,0),0)+IF($I$8="Yes",IFERROR(BLD_CC!Y23,0),0)+IF($J$8="Yes",IFERROR(BLD_EA!Y23,0),0)+IF($K$8="Yes",IFERROR(BLD_EE!Y23,0),0)+IF($L$8="Yes",IFERROR(BLD_JP!Y23,0),0)+IF($M$8="Yes",IFERROR(BLD_MH!Y23,0),0)+IF($N$8="Yes",IFERROR(BLD_MM!Y23,0),0)+IF($O$8="Yes",IFERROR(BLD_NT!Y23,0),0)+IF($P$8="Yes",IFERROR(BLD_NG!Y23,0),0)+IF($Q$8="Yes",IFERROR(BLD_RG!Y23,0),0)+IF($R$8="Yes",IFERROR(BLD_AS!Y23,0),0)+IF($S$8="Yes",IFERROR(BLD_PS!Y23,0),0)+IF($T$8="Yes",IFERROR(BLD_PM!Y23,0),0)+IF($U$8="Yes",IFERROR(BLD_CD!Y23,0),0)</f>
        <v>0</v>
      </c>
    </row>
    <row r="24" spans="3:25" ht="13.5" customHeight="1">
      <c r="C24" s="14" t="s">
        <v>341</v>
      </c>
      <c r="E24" s="286">
        <f t="shared" ref="E24:Y24" si="4">IFERROR(E22+E23,0)</f>
        <v>6623633.5999999996</v>
      </c>
      <c r="F24" s="286">
        <f t="shared" si="4"/>
        <v>7008586.7590800002</v>
      </c>
      <c r="G24" s="286">
        <f t="shared" si="4"/>
        <v>12543508.241225326</v>
      </c>
      <c r="H24" s="286">
        <f t="shared" si="4"/>
        <v>16639747.709498363</v>
      </c>
      <c r="I24" s="286">
        <f t="shared" si="4"/>
        <v>19179315.005583636</v>
      </c>
      <c r="J24" s="286">
        <f t="shared" si="4"/>
        <v>19559603.429695312</v>
      </c>
      <c r="K24" s="286">
        <f t="shared" si="4"/>
        <v>19947497.622289218</v>
      </c>
      <c r="L24" s="286">
        <f t="shared" si="4"/>
        <v>20343149.698734999</v>
      </c>
      <c r="M24" s="286">
        <f t="shared" si="4"/>
        <v>20746714.816709701</v>
      </c>
      <c r="N24" s="286">
        <f t="shared" si="4"/>
        <v>21158351.237043891</v>
      </c>
      <c r="O24" s="286">
        <f t="shared" si="4"/>
        <v>21578220.385784771</v>
      </c>
      <c r="P24" s="286">
        <f t="shared" si="4"/>
        <v>21841593.117500458</v>
      </c>
      <c r="Q24" s="286">
        <f t="shared" si="4"/>
        <v>22278424.979850478</v>
      </c>
      <c r="R24" s="286">
        <f t="shared" si="4"/>
        <v>22723993.479447484</v>
      </c>
      <c r="S24" s="286">
        <f t="shared" si="4"/>
        <v>23178473.34903644</v>
      </c>
      <c r="T24" s="286">
        <f t="shared" si="4"/>
        <v>23642042.816017155</v>
      </c>
      <c r="U24" s="286">
        <f t="shared" si="4"/>
        <v>24114883.672337502</v>
      </c>
      <c r="V24" s="286">
        <f t="shared" si="4"/>
        <v>24597181.345784258</v>
      </c>
      <c r="W24" s="286">
        <f t="shared" si="4"/>
        <v>25089124.97269994</v>
      </c>
      <c r="X24" s="286">
        <f t="shared" si="4"/>
        <v>25590907.472153943</v>
      </c>
      <c r="Y24" s="286">
        <f t="shared" si="4"/>
        <v>26102725.621597018</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IF($E$8="Yes",IFERROR(BLD_AB!E27,0),0)+IF($F$8="Yes",IFERROR(BLD_AC!E27,0),0)+IF($G$8="Yes",IFERROR(BLD_BT!E27,0),0)+IF($H$8="Yes",IFERROR(BLD_CH!E27,0),0)+IF($I$8="Yes",IFERROR(BLD_CC!E27,0),0)+IF($J$8="Yes",IFERROR(BLD_EA!E27,0),0)+IF($K$8="Yes",IFERROR(BLD_EE!E27,0),0)+IF($L$8="Yes",IFERROR(BLD_JP!E27,0),0)+IF($M$8="Yes",IFERROR(BLD_MH!E27,0),0)+IF($N$8="Yes",IFERROR(BLD_MM!E27,0),0)+IF($O$8="Yes",IFERROR(BLD_NT!E27,0),0)+IF($P$8="Yes",IFERROR(BLD_NG!E27,0),0)+IF($Q$8="Yes",IFERROR(BLD_RG!E27,0),0)+IF($R$8="Yes",IFERROR(BLD_AS!E27,0),0)+IF($S$8="Yes",IFERROR(BLD_PS!E27,0),0)+IF($T$8="Yes",IFERROR(BLD_PM!E27,0),0)+IF($U$8="Yes",IFERROR(BLD_CD!E27,0),0)</f>
        <v>313881</v>
      </c>
      <c r="F27" s="283">
        <f>IF($E$8="Yes",IFERROR(BLD_AB!F27,0),0)+IF($F$8="Yes",IFERROR(BLD_AC!F27,0),0)+IF($G$8="Yes",IFERROR(BLD_BT!F27,0),0)+IF($H$8="Yes",IFERROR(BLD_CH!F27,0),0)+IF($I$8="Yes",IFERROR(BLD_CC!F27,0),0)+IF($J$8="Yes",IFERROR(BLD_EA!F27,0),0)+IF($K$8="Yes",IFERROR(BLD_EE!F27,0),0)+IF($L$8="Yes",IFERROR(BLD_JP!F27,0),0)+IF($M$8="Yes",IFERROR(BLD_MH!F27,0),0)+IF($N$8="Yes",IFERROR(BLD_MM!F27,0),0)+IF($O$8="Yes",IFERROR(BLD_NT!F27,0),0)+IF($P$8="Yes",IFERROR(BLD_NG!F27,0),0)+IF($Q$8="Yes",IFERROR(BLD_RG!F27,0),0)+IF($R$8="Yes",IFERROR(BLD_AS!F27,0),0)+IF($S$8="Yes",IFERROR(BLD_PS!F27,0),0)+IF($T$8="Yes",IFERROR(BLD_PM!F27,0),0)+IF($U$8="Yes",IFERROR(BLD_CD!F27,0),0)</f>
        <v>326436.24</v>
      </c>
      <c r="G27" s="283">
        <f>IF($E$8="Yes",IFERROR(BLD_AB!G27,0),0)+IF($F$8="Yes",IFERROR(BLD_AC!G27,0),0)+IF($G$8="Yes",IFERROR(BLD_BT!G27,0),0)+IF($H$8="Yes",IFERROR(BLD_CH!G27,0),0)+IF($I$8="Yes",IFERROR(BLD_CC!G27,0),0)+IF($J$8="Yes",IFERROR(BLD_EA!G27,0),0)+IF($K$8="Yes",IFERROR(BLD_EE!G27,0),0)+IF($L$8="Yes",IFERROR(BLD_JP!G27,0),0)+IF($M$8="Yes",IFERROR(BLD_MH!G27,0),0)+IF($N$8="Yes",IFERROR(BLD_MM!G27,0),0)+IF($O$8="Yes",IFERROR(BLD_NT!G27,0),0)+IF($P$8="Yes",IFERROR(BLD_NG!G27,0),0)+IF($Q$8="Yes",IFERROR(BLD_RG!G27,0),0)+IF($R$8="Yes",IFERROR(BLD_AS!G27,0),0)+IF($S$8="Yes",IFERROR(BLD_PS!G27,0),0)+IF($T$8="Yes",IFERROR(BLD_PM!G27,0),0)+IF($U$8="Yes",IFERROR(BLD_CD!G27,0),0)</f>
        <v>339493.68960000004</v>
      </c>
      <c r="H27" s="283">
        <f>IF($E$8="Yes",IFERROR(BLD_AB!H27,0),0)+IF($F$8="Yes",IFERROR(BLD_AC!H27,0),0)+IF($G$8="Yes",IFERROR(BLD_BT!H27,0),0)+IF($H$8="Yes",IFERROR(BLD_CH!H27,0),0)+IF($I$8="Yes",IFERROR(BLD_CC!H27,0),0)+IF($J$8="Yes",IFERROR(BLD_EA!H27,0),0)+IF($K$8="Yes",IFERROR(BLD_EE!H27,0),0)+IF($L$8="Yes",IFERROR(BLD_JP!H27,0),0)+IF($M$8="Yes",IFERROR(BLD_MH!H27,0),0)+IF($N$8="Yes",IFERROR(BLD_MM!H27,0),0)+IF($O$8="Yes",IFERROR(BLD_NT!H27,0),0)+IF($P$8="Yes",IFERROR(BLD_NG!H27,0),0)+IF($Q$8="Yes",IFERROR(BLD_RG!H27,0),0)+IF($R$8="Yes",IFERROR(BLD_AS!H27,0),0)+IF($S$8="Yes",IFERROR(BLD_PS!H27,0),0)+IF($T$8="Yes",IFERROR(BLD_PM!H27,0),0)+IF($U$8="Yes",IFERROR(BLD_CD!H27,0),0)</f>
        <v>544075.34438400005</v>
      </c>
      <c r="I27" s="283">
        <f>IF($E$8="Yes",IFERROR(BLD_AB!I27,0),0)+IF($F$8="Yes",IFERROR(BLD_AC!I27,0),0)+IF($G$8="Yes",IFERROR(BLD_BT!I27,0),0)+IF($H$8="Yes",IFERROR(BLD_CH!I27,0),0)+IF($I$8="Yes",IFERROR(BLD_CC!I27,0),0)+IF($J$8="Yes",IFERROR(BLD_EA!I27,0),0)+IF($K$8="Yes",IFERROR(BLD_EE!I27,0),0)+IF($L$8="Yes",IFERROR(BLD_JP!I27,0),0)+IF($M$8="Yes",IFERROR(BLD_MH!I27,0),0)+IF($N$8="Yes",IFERROR(BLD_MM!I27,0),0)+IF($O$8="Yes",IFERROR(BLD_NT!I27,0),0)+IF($P$8="Yes",IFERROR(BLD_NG!I27,0),0)+IF($Q$8="Yes",IFERROR(BLD_RG!I27,0),0)+IF($R$8="Yes",IFERROR(BLD_AS!I27,0),0)+IF($S$8="Yes",IFERROR(BLD_PS!I27,0),0)+IF($T$8="Yes",IFERROR(BLD_PM!I27,0),0)+IF($U$8="Yes",IFERROR(BLD_CD!I27,0),0)</f>
        <v>632930.91643392004</v>
      </c>
      <c r="J27" s="283">
        <f>IF($E$8="Yes",IFERROR(BLD_AB!J27,0),0)+IF($F$8="Yes",IFERROR(BLD_AC!J27,0),0)+IF($G$8="Yes",IFERROR(BLD_BT!J27,0),0)+IF($H$8="Yes",IFERROR(BLD_CH!J27,0),0)+IF($I$8="Yes",IFERROR(BLD_CC!J27,0),0)+IF($J$8="Yes",IFERROR(BLD_EA!J27,0),0)+IF($K$8="Yes",IFERROR(BLD_EE!J27,0),0)+IF($L$8="Yes",IFERROR(BLD_JP!J27,0),0)+IF($M$8="Yes",IFERROR(BLD_MH!J27,0),0)+IF($N$8="Yes",IFERROR(BLD_MM!J27,0),0)+IF($O$8="Yes",IFERROR(BLD_NT!J27,0),0)+IF($P$8="Yes",IFERROR(BLD_NG!J27,0),0)+IF($Q$8="Yes",IFERROR(BLD_RG!J27,0),0)+IF($R$8="Yes",IFERROR(BLD_AS!J27,0),0)+IF($S$8="Yes",IFERROR(BLD_PS!J27,0),0)+IF($T$8="Yes",IFERROR(BLD_PM!J27,0),0)+IF($U$8="Yes",IFERROR(BLD_CD!J27,0),0)</f>
        <v>658248.153091277</v>
      </c>
      <c r="K27" s="283">
        <f>IF($E$8="Yes",IFERROR(BLD_AB!K27,0),0)+IF($F$8="Yes",IFERROR(BLD_AC!K27,0),0)+IF($G$8="Yes",IFERROR(BLD_BT!K27,0),0)+IF($H$8="Yes",IFERROR(BLD_CH!K27,0),0)+IF($I$8="Yes",IFERROR(BLD_CC!K27,0),0)+IF($J$8="Yes",IFERROR(BLD_EA!K27,0),0)+IF($K$8="Yes",IFERROR(BLD_EE!K27,0),0)+IF($L$8="Yes",IFERROR(BLD_JP!K27,0),0)+IF($M$8="Yes",IFERROR(BLD_MH!K27,0),0)+IF($N$8="Yes",IFERROR(BLD_MM!K27,0),0)+IF($O$8="Yes",IFERROR(BLD_NT!K27,0),0)+IF($P$8="Yes",IFERROR(BLD_NG!K27,0),0)+IF($Q$8="Yes",IFERROR(BLD_RG!K27,0),0)+IF($R$8="Yes",IFERROR(BLD_AS!K27,0),0)+IF($S$8="Yes",IFERROR(BLD_PS!K27,0),0)+IF($T$8="Yes",IFERROR(BLD_PM!K27,0),0)+IF($U$8="Yes",IFERROR(BLD_CD!K27,0),0)</f>
        <v>684578.07921492809</v>
      </c>
      <c r="L27" s="283">
        <f>IF($E$8="Yes",IFERROR(BLD_AB!L27,0),0)+IF($F$8="Yes",IFERROR(BLD_AC!L27,0),0)+IF($G$8="Yes",IFERROR(BLD_BT!L27,0),0)+IF($H$8="Yes",IFERROR(BLD_CH!L27,0),0)+IF($I$8="Yes",IFERROR(BLD_CC!L27,0),0)+IF($J$8="Yes",IFERROR(BLD_EA!L27,0),0)+IF($K$8="Yes",IFERROR(BLD_EE!L27,0),0)+IF($L$8="Yes",IFERROR(BLD_JP!L27,0),0)+IF($M$8="Yes",IFERROR(BLD_MH!L27,0),0)+IF($N$8="Yes",IFERROR(BLD_MM!L27,0),0)+IF($O$8="Yes",IFERROR(BLD_NT!L27,0),0)+IF($P$8="Yes",IFERROR(BLD_NG!L27,0),0)+IF($Q$8="Yes",IFERROR(BLD_RG!L27,0),0)+IF($R$8="Yes",IFERROR(BLD_AS!L27,0),0)+IF($S$8="Yes",IFERROR(BLD_PS!L27,0),0)+IF($T$8="Yes",IFERROR(BLD_PM!L27,0),0)+IF($U$8="Yes",IFERROR(BLD_CD!L27,0),0)</f>
        <v>711961.20238352509</v>
      </c>
      <c r="M27" s="283">
        <f>IF($E$8="Yes",IFERROR(BLD_AB!M27,0),0)+IF($F$8="Yes",IFERROR(BLD_AC!M27,0),0)+IF($G$8="Yes",IFERROR(BLD_BT!M27,0),0)+IF($H$8="Yes",IFERROR(BLD_CH!M27,0),0)+IF($I$8="Yes",IFERROR(BLD_CC!M27,0),0)+IF($J$8="Yes",IFERROR(BLD_EA!M27,0),0)+IF($K$8="Yes",IFERROR(BLD_EE!M27,0),0)+IF($L$8="Yes",IFERROR(BLD_JP!M27,0),0)+IF($M$8="Yes",IFERROR(BLD_MH!M27,0),0)+IF($N$8="Yes",IFERROR(BLD_MM!M27,0),0)+IF($O$8="Yes",IFERROR(BLD_NT!M27,0),0)+IF($P$8="Yes",IFERROR(BLD_NG!M27,0),0)+IF($Q$8="Yes",IFERROR(BLD_RG!M27,0),0)+IF($R$8="Yes",IFERROR(BLD_AS!M27,0),0)+IF($S$8="Yes",IFERROR(BLD_PS!M27,0),0)+IF($T$8="Yes",IFERROR(BLD_PM!M27,0),0)+IF($U$8="Yes",IFERROR(BLD_CD!M27,0),0)</f>
        <v>740439.6504788663</v>
      </c>
      <c r="N27" s="283">
        <f>IF($E$8="Yes",IFERROR(BLD_AB!N27,0),0)+IF($F$8="Yes",IFERROR(BLD_AC!N27,0),0)+IF($G$8="Yes",IFERROR(BLD_BT!N27,0),0)+IF($H$8="Yes",IFERROR(BLD_CH!N27,0),0)+IF($I$8="Yes",IFERROR(BLD_CC!N27,0),0)+IF($J$8="Yes",IFERROR(BLD_EA!N27,0),0)+IF($K$8="Yes",IFERROR(BLD_EE!N27,0),0)+IF($L$8="Yes",IFERROR(BLD_JP!N27,0),0)+IF($M$8="Yes",IFERROR(BLD_MH!N27,0),0)+IF($N$8="Yes",IFERROR(BLD_MM!N27,0),0)+IF($O$8="Yes",IFERROR(BLD_NT!N27,0),0)+IF($P$8="Yes",IFERROR(BLD_NG!N27,0),0)+IF($Q$8="Yes",IFERROR(BLD_RG!N27,0),0)+IF($R$8="Yes",IFERROR(BLD_AS!N27,0),0)+IF($S$8="Yes",IFERROR(BLD_PS!N27,0),0)+IF($T$8="Yes",IFERROR(BLD_PM!N27,0),0)+IF($U$8="Yes",IFERROR(BLD_CD!N27,0),0)</f>
        <v>770057.23649802082</v>
      </c>
      <c r="O27" s="283">
        <f>IF($E$8="Yes",IFERROR(BLD_AB!O27,0),0)+IF($F$8="Yes",IFERROR(BLD_AC!O27,0),0)+IF($G$8="Yes",IFERROR(BLD_BT!O27,0),0)+IF($H$8="Yes",IFERROR(BLD_CH!O27,0),0)+IF($I$8="Yes",IFERROR(BLD_CC!O27,0),0)+IF($J$8="Yes",IFERROR(BLD_EA!O27,0),0)+IF($K$8="Yes",IFERROR(BLD_EE!O27,0),0)+IF($L$8="Yes",IFERROR(BLD_JP!O27,0),0)+IF($M$8="Yes",IFERROR(BLD_MH!O27,0),0)+IF($N$8="Yes",IFERROR(BLD_MM!O27,0),0)+IF($O$8="Yes",IFERROR(BLD_NT!O27,0),0)+IF($P$8="Yes",IFERROR(BLD_NG!O27,0),0)+IF($Q$8="Yes",IFERROR(BLD_RG!O27,0),0)+IF($R$8="Yes",IFERROR(BLD_AS!O27,0),0)+IF($S$8="Yes",IFERROR(BLD_PS!O27,0),0)+IF($T$8="Yes",IFERROR(BLD_PM!O27,0),0)+IF($U$8="Yes",IFERROR(BLD_CD!O27,0),0)</f>
        <v>789308.66741047148</v>
      </c>
      <c r="P27" s="283">
        <f>IF($E$8="Yes",IFERROR(BLD_AB!P27,0),0)+IF($F$8="Yes",IFERROR(BLD_AC!P27,0),0)+IF($G$8="Yes",IFERROR(BLD_BT!P27,0),0)+IF($H$8="Yes",IFERROR(BLD_CH!P27,0),0)+IF($I$8="Yes",IFERROR(BLD_CC!P27,0),0)+IF($J$8="Yes",IFERROR(BLD_EA!P27,0),0)+IF($K$8="Yes",IFERROR(BLD_EE!P27,0),0)+IF($L$8="Yes",IFERROR(BLD_JP!P27,0),0)+IF($M$8="Yes",IFERROR(BLD_MH!P27,0),0)+IF($N$8="Yes",IFERROR(BLD_MM!P27,0),0)+IF($O$8="Yes",IFERROR(BLD_NT!P27,0),0)+IF($P$8="Yes",IFERROR(BLD_NG!P27,0),0)+IF($Q$8="Yes",IFERROR(BLD_RG!P27,0),0)+IF($R$8="Yes",IFERROR(BLD_AS!P27,0),0)+IF($S$8="Yes",IFERROR(BLD_PS!P27,0),0)+IF($T$8="Yes",IFERROR(BLD_PM!P27,0),0)+IF($U$8="Yes",IFERROR(BLD_CD!P27,0),0)</f>
        <v>809041.38409573305</v>
      </c>
      <c r="Q27" s="283">
        <f>IF($E$8="Yes",IFERROR(BLD_AB!Q27,0),0)+IF($F$8="Yes",IFERROR(BLD_AC!Q27,0),0)+IF($G$8="Yes",IFERROR(BLD_BT!Q27,0),0)+IF($H$8="Yes",IFERROR(BLD_CH!Q27,0),0)+IF($I$8="Yes",IFERROR(BLD_CC!Q27,0),0)+IF($J$8="Yes",IFERROR(BLD_EA!Q27,0),0)+IF($K$8="Yes",IFERROR(BLD_EE!Q27,0),0)+IF($L$8="Yes",IFERROR(BLD_JP!Q27,0),0)+IF($M$8="Yes",IFERROR(BLD_MH!Q27,0),0)+IF($N$8="Yes",IFERROR(BLD_MM!Q27,0),0)+IF($O$8="Yes",IFERROR(BLD_NT!Q27,0),0)+IF($P$8="Yes",IFERROR(BLD_NG!Q27,0),0)+IF($Q$8="Yes",IFERROR(BLD_RG!Q27,0),0)+IF($R$8="Yes",IFERROR(BLD_AS!Q27,0),0)+IF($S$8="Yes",IFERROR(BLD_PS!Q27,0),0)+IF($T$8="Yes",IFERROR(BLD_PM!Q27,0),0)+IF($U$8="Yes",IFERROR(BLD_CD!Q27,0),0)</f>
        <v>829267.41869812668</v>
      </c>
      <c r="R27" s="283">
        <f>IF($E$8="Yes",IFERROR(BLD_AB!R27,0),0)+IF($F$8="Yes",IFERROR(BLD_AC!R27,0),0)+IF($G$8="Yes",IFERROR(BLD_BT!R27,0),0)+IF($H$8="Yes",IFERROR(BLD_CH!R27,0),0)+IF($I$8="Yes",IFERROR(BLD_CC!R27,0),0)+IF($J$8="Yes",IFERROR(BLD_EA!R27,0),0)+IF($K$8="Yes",IFERROR(BLD_EE!R27,0),0)+IF($L$8="Yes",IFERROR(BLD_JP!R27,0),0)+IF($M$8="Yes",IFERROR(BLD_MH!R27,0),0)+IF($N$8="Yes",IFERROR(BLD_MM!R27,0),0)+IF($O$8="Yes",IFERROR(BLD_NT!R27,0),0)+IF($P$8="Yes",IFERROR(BLD_NG!R27,0),0)+IF($Q$8="Yes",IFERROR(BLD_RG!R27,0),0)+IF($R$8="Yes",IFERROR(BLD_AS!R27,0),0)+IF($S$8="Yes",IFERROR(BLD_PS!R27,0),0)+IF($T$8="Yes",IFERROR(BLD_PM!R27,0),0)+IF($U$8="Yes",IFERROR(BLD_CD!R27,0),0)</f>
        <v>849999.10416557954</v>
      </c>
      <c r="S27" s="283">
        <f>IF($E$8="Yes",IFERROR(BLD_AB!S27,0),0)+IF($F$8="Yes",IFERROR(BLD_AC!S27,0),0)+IF($G$8="Yes",IFERROR(BLD_BT!S27,0),0)+IF($H$8="Yes",IFERROR(BLD_CH!S27,0),0)+IF($I$8="Yes",IFERROR(BLD_CC!S27,0),0)+IF($J$8="Yes",IFERROR(BLD_EA!S27,0),0)+IF($K$8="Yes",IFERROR(BLD_EE!S27,0),0)+IF($L$8="Yes",IFERROR(BLD_JP!S27,0),0)+IF($M$8="Yes",IFERROR(BLD_MH!S27,0),0)+IF($N$8="Yes",IFERROR(BLD_MM!S27,0),0)+IF($O$8="Yes",IFERROR(BLD_NT!S27,0),0)+IF($P$8="Yes",IFERROR(BLD_NG!S27,0),0)+IF($Q$8="Yes",IFERROR(BLD_RG!S27,0),0)+IF($R$8="Yes",IFERROR(BLD_AS!S27,0),0)+IF($S$8="Yes",IFERROR(BLD_PS!S27,0),0)+IF($T$8="Yes",IFERROR(BLD_PM!S27,0),0)+IF($U$8="Yes",IFERROR(BLD_CD!S27,0),0)</f>
        <v>871249.0817697189</v>
      </c>
      <c r="T27" s="283">
        <f>IF($E$8="Yes",IFERROR(BLD_AB!T27,0),0)+IF($F$8="Yes",IFERROR(BLD_AC!T27,0),0)+IF($G$8="Yes",IFERROR(BLD_BT!T27,0),0)+IF($H$8="Yes",IFERROR(BLD_CH!T27,0),0)+IF($I$8="Yes",IFERROR(BLD_CC!T27,0),0)+IF($J$8="Yes",IFERROR(BLD_EA!T27,0),0)+IF($K$8="Yes",IFERROR(BLD_EE!T27,0),0)+IF($L$8="Yes",IFERROR(BLD_JP!T27,0),0)+IF($M$8="Yes",IFERROR(BLD_MH!T27,0),0)+IF($N$8="Yes",IFERROR(BLD_MM!T27,0),0)+IF($O$8="Yes",IFERROR(BLD_NT!T27,0),0)+IF($P$8="Yes",IFERROR(BLD_NG!T27,0),0)+IF($Q$8="Yes",IFERROR(BLD_RG!T27,0),0)+IF($R$8="Yes",IFERROR(BLD_AS!T27,0),0)+IF($S$8="Yes",IFERROR(BLD_PS!T27,0),0)+IF($T$8="Yes",IFERROR(BLD_PM!T27,0),0)+IF($U$8="Yes",IFERROR(BLD_CD!T27,0),0)</f>
        <v>893030.30881396192</v>
      </c>
      <c r="U27" s="283">
        <f>IF($E$8="Yes",IFERROR(BLD_AB!U27,0),0)+IF($F$8="Yes",IFERROR(BLD_AC!U27,0),0)+IF($G$8="Yes",IFERROR(BLD_BT!U27,0),0)+IF($H$8="Yes",IFERROR(BLD_CH!U27,0),0)+IF($I$8="Yes",IFERROR(BLD_CC!U27,0),0)+IF($J$8="Yes",IFERROR(BLD_EA!U27,0),0)+IF($K$8="Yes",IFERROR(BLD_EE!U27,0),0)+IF($L$8="Yes",IFERROR(BLD_JP!U27,0),0)+IF($M$8="Yes",IFERROR(BLD_MH!U27,0),0)+IF($N$8="Yes",IFERROR(BLD_MM!U27,0),0)+IF($O$8="Yes",IFERROR(BLD_NT!U27,0),0)+IF($P$8="Yes",IFERROR(BLD_NG!U27,0),0)+IF($Q$8="Yes",IFERROR(BLD_RG!U27,0),0)+IF($R$8="Yes",IFERROR(BLD_AS!U27,0),0)+IF($S$8="Yes",IFERROR(BLD_PS!U27,0),0)+IF($T$8="Yes",IFERROR(BLD_PM!U27,0),0)+IF($U$8="Yes",IFERROR(BLD_CD!U27,0),0)</f>
        <v>915356.06653431104</v>
      </c>
      <c r="V27" s="283">
        <f>IF($E$8="Yes",IFERROR(BLD_AB!V27,0),0)+IF($F$8="Yes",IFERROR(BLD_AC!V27,0),0)+IF($G$8="Yes",IFERROR(BLD_BT!V27,0),0)+IF($H$8="Yes",IFERROR(BLD_CH!V27,0),0)+IF($I$8="Yes",IFERROR(BLD_CC!V27,0),0)+IF($J$8="Yes",IFERROR(BLD_EA!V27,0),0)+IF($K$8="Yes",IFERROR(BLD_EE!V27,0),0)+IF($L$8="Yes",IFERROR(BLD_JP!V27,0),0)+IF($M$8="Yes",IFERROR(BLD_MH!V27,0),0)+IF($N$8="Yes",IFERROR(BLD_MM!V27,0),0)+IF($O$8="Yes",IFERROR(BLD_NT!V27,0),0)+IF($P$8="Yes",IFERROR(BLD_NG!V27,0),0)+IF($Q$8="Yes",IFERROR(BLD_RG!V27,0),0)+IF($R$8="Yes",IFERROR(BLD_AS!V27,0),0)+IF($S$8="Yes",IFERROR(BLD_PS!V27,0),0)+IF($T$8="Yes",IFERROR(BLD_PM!V27,0),0)+IF($U$8="Yes",IFERROR(BLD_CD!V27,0),0)</f>
        <v>938239.96819766867</v>
      </c>
      <c r="W27" s="283">
        <f>IF($E$8="Yes",IFERROR(BLD_AB!W27,0),0)+IF($F$8="Yes",IFERROR(BLD_AC!W27,0),0)+IF($G$8="Yes",IFERROR(BLD_BT!W27,0),0)+IF($H$8="Yes",IFERROR(BLD_CH!W27,0),0)+IF($I$8="Yes",IFERROR(BLD_CC!W27,0),0)+IF($J$8="Yes",IFERROR(BLD_EA!W27,0),0)+IF($K$8="Yes",IFERROR(BLD_EE!W27,0),0)+IF($L$8="Yes",IFERROR(BLD_JP!W27,0),0)+IF($M$8="Yes",IFERROR(BLD_MH!W27,0),0)+IF($N$8="Yes",IFERROR(BLD_MM!W27,0),0)+IF($O$8="Yes",IFERROR(BLD_NT!W27,0),0)+IF($P$8="Yes",IFERROR(BLD_NG!W27,0),0)+IF($Q$8="Yes",IFERROR(BLD_RG!W27,0),0)+IF($R$8="Yes",IFERROR(BLD_AS!W27,0),0)+IF($S$8="Yes",IFERROR(BLD_PS!W27,0),0)+IF($T$8="Yes",IFERROR(BLD_PM!W27,0),0)+IF($U$8="Yes",IFERROR(BLD_CD!W27,0),0)</f>
        <v>961695.96740261023</v>
      </c>
      <c r="X27" s="283">
        <f>IF($E$8="Yes",IFERROR(BLD_AB!X27,0),0)+IF($F$8="Yes",IFERROR(BLD_AC!X27,0),0)+IF($G$8="Yes",IFERROR(BLD_BT!X27,0),0)+IF($H$8="Yes",IFERROR(BLD_CH!X27,0),0)+IF($I$8="Yes",IFERROR(BLD_CC!X27,0),0)+IF($J$8="Yes",IFERROR(BLD_EA!X27,0),0)+IF($K$8="Yes",IFERROR(BLD_EE!X27,0),0)+IF($L$8="Yes",IFERROR(BLD_JP!X27,0),0)+IF($M$8="Yes",IFERROR(BLD_MH!X27,0),0)+IF($N$8="Yes",IFERROR(BLD_MM!X27,0),0)+IF($O$8="Yes",IFERROR(BLD_NT!X27,0),0)+IF($P$8="Yes",IFERROR(BLD_NG!X27,0),0)+IF($Q$8="Yes",IFERROR(BLD_RG!X27,0),0)+IF($R$8="Yes",IFERROR(BLD_AS!X27,0),0)+IF($S$8="Yes",IFERROR(BLD_PS!X27,0),0)+IF($T$8="Yes",IFERROR(BLD_PM!X27,0),0)+IF($U$8="Yes",IFERROR(BLD_CD!X27,0),0)</f>
        <v>985738.36658767564</v>
      </c>
      <c r="Y27" s="283">
        <f>IF($E$8="Yes",IFERROR(BLD_AB!Y27,0),0)+IF($F$8="Yes",IFERROR(BLD_AC!Y27,0),0)+IF($G$8="Yes",IFERROR(BLD_BT!Y27,0),0)+IF($H$8="Yes",IFERROR(BLD_CH!Y27,0),0)+IF($I$8="Yes",IFERROR(BLD_CC!Y27,0),0)+IF($J$8="Yes",IFERROR(BLD_EA!Y27,0),0)+IF($K$8="Yes",IFERROR(BLD_EE!Y27,0),0)+IF($L$8="Yes",IFERROR(BLD_JP!Y27,0),0)+IF($M$8="Yes",IFERROR(BLD_MH!Y27,0),0)+IF($N$8="Yes",IFERROR(BLD_MM!Y27,0),0)+IF($O$8="Yes",IFERROR(BLD_NT!Y27,0),0)+IF($P$8="Yes",IFERROR(BLD_NG!Y27,0),0)+IF($Q$8="Yes",IFERROR(BLD_RG!Y27,0),0)+IF($R$8="Yes",IFERROR(BLD_AS!Y27,0),0)+IF($S$8="Yes",IFERROR(BLD_PS!Y27,0),0)+IF($T$8="Yes",IFERROR(BLD_PM!Y27,0),0)+IF($U$8="Yes",IFERROR(BLD_CD!Y27,0),0)</f>
        <v>1010381.8257523675</v>
      </c>
    </row>
    <row r="28" spans="3:25" ht="13.5" customHeight="1">
      <c r="C28" s="10" t="s">
        <v>344</v>
      </c>
      <c r="E28" s="283">
        <f>IF($E$8="Yes",IFERROR(BLD_AB!E28,0),0)+IF($F$8="Yes",IFERROR(BLD_AC!E28,0),0)+IF($G$8="Yes",IFERROR(BLD_BT!E28,0),0)+IF($H$8="Yes",IFERROR(BLD_CH!E28,0),0)+IF($I$8="Yes",IFERROR(BLD_CC!E28,0),0)+IF($J$8="Yes",IFERROR(BLD_EA!E28,0),0)+IF($K$8="Yes",IFERROR(BLD_EE!E28,0),0)+IF($L$8="Yes",IFERROR(BLD_JP!E28,0),0)+IF($M$8="Yes",IFERROR(BLD_MH!E28,0),0)+IF($N$8="Yes",IFERROR(BLD_MM!E28,0),0)+IF($O$8="Yes",IFERROR(BLD_NT!E28,0),0)+IF($P$8="Yes",IFERROR(BLD_NG!E28,0),0)+IF($Q$8="Yes",IFERROR(BLD_RG!E28,0),0)+IF($R$8="Yes",IFERROR(BLD_AS!E28,0),0)+IF($S$8="Yes",IFERROR(BLD_PS!E28,0),0)+IF($T$8="Yes",IFERROR(BLD_PM!E28,0),0)+IF($U$8="Yes",IFERROR(BLD_CD!E28,0),0)</f>
        <v>48957</v>
      </c>
      <c r="F28" s="283">
        <f>IF($E$8="Yes",IFERROR(BLD_AB!F28,0),0)+IF($F$8="Yes",IFERROR(BLD_AC!F28,0),0)+IF($G$8="Yes",IFERROR(BLD_BT!F28,0),0)+IF($H$8="Yes",IFERROR(BLD_CH!F28,0),0)+IF($I$8="Yes",IFERROR(BLD_CC!F28,0),0)+IF($J$8="Yes",IFERROR(BLD_EA!F28,0),0)+IF($K$8="Yes",IFERROR(BLD_EE!F28,0),0)+IF($L$8="Yes",IFERROR(BLD_JP!F28,0),0)+IF($M$8="Yes",IFERROR(BLD_MH!F28,0),0)+IF($N$8="Yes",IFERROR(BLD_MM!F28,0),0)+IF($O$8="Yes",IFERROR(BLD_NT!F28,0),0)+IF($P$8="Yes",IFERROR(BLD_NG!F28,0),0)+IF($Q$8="Yes",IFERROR(BLD_RG!F28,0),0)+IF($R$8="Yes",IFERROR(BLD_AS!F28,0),0)+IF($S$8="Yes",IFERROR(BLD_PS!F28,0),0)+IF($T$8="Yes",IFERROR(BLD_PM!F28,0),0)+IF($U$8="Yes",IFERROR(BLD_CD!F28,0),0)</f>
        <v>50915.28</v>
      </c>
      <c r="G28" s="283">
        <f>IF($E$8="Yes",IFERROR(BLD_AB!G28,0),0)+IF($F$8="Yes",IFERROR(BLD_AC!G28,0),0)+IF($G$8="Yes",IFERROR(BLD_BT!G28,0),0)+IF($H$8="Yes",IFERROR(BLD_CH!G28,0),0)+IF($I$8="Yes",IFERROR(BLD_CC!G28,0),0)+IF($J$8="Yes",IFERROR(BLD_EA!G28,0),0)+IF($K$8="Yes",IFERROR(BLD_EE!G28,0),0)+IF($L$8="Yes",IFERROR(BLD_JP!G28,0),0)+IF($M$8="Yes",IFERROR(BLD_MH!G28,0),0)+IF($N$8="Yes",IFERROR(BLD_MM!G28,0),0)+IF($O$8="Yes",IFERROR(BLD_NT!G28,0),0)+IF($P$8="Yes",IFERROR(BLD_NG!G28,0),0)+IF($Q$8="Yes",IFERROR(BLD_RG!G28,0),0)+IF($R$8="Yes",IFERROR(BLD_AS!G28,0),0)+IF($S$8="Yes",IFERROR(BLD_PS!G28,0),0)+IF($T$8="Yes",IFERROR(BLD_PM!G28,0),0)+IF($U$8="Yes",IFERROR(BLD_CD!G28,0),0)</f>
        <v>52951.891200000005</v>
      </c>
      <c r="H28" s="283">
        <f>IF($E$8="Yes",IFERROR(BLD_AB!H28,0),0)+IF($F$8="Yes",IFERROR(BLD_AC!H28,0),0)+IF($G$8="Yes",IFERROR(BLD_BT!H28,0),0)+IF($H$8="Yes",IFERROR(BLD_CH!H28,0),0)+IF($I$8="Yes",IFERROR(BLD_CC!H28,0),0)+IF($J$8="Yes",IFERROR(BLD_EA!H28,0),0)+IF($K$8="Yes",IFERROR(BLD_EE!H28,0),0)+IF($L$8="Yes",IFERROR(BLD_JP!H28,0),0)+IF($M$8="Yes",IFERROR(BLD_MH!H28,0),0)+IF($N$8="Yes",IFERROR(BLD_MM!H28,0),0)+IF($O$8="Yes",IFERROR(BLD_NT!H28,0),0)+IF($P$8="Yes",IFERROR(BLD_NG!H28,0),0)+IF($Q$8="Yes",IFERROR(BLD_RG!H28,0),0)+IF($R$8="Yes",IFERROR(BLD_AS!H28,0),0)+IF($S$8="Yes",IFERROR(BLD_PS!H28,0),0)+IF($T$8="Yes",IFERROR(BLD_PM!H28,0),0)+IF($U$8="Yes",IFERROR(BLD_CD!H28,0),0)</f>
        <v>82066.702848000015</v>
      </c>
      <c r="I28" s="283">
        <f>IF($E$8="Yes",IFERROR(BLD_AB!I28,0),0)+IF($F$8="Yes",IFERROR(BLD_AC!I28,0),0)+IF($G$8="Yes",IFERROR(BLD_BT!I28,0),0)+IF($H$8="Yes",IFERROR(BLD_CH!I28,0),0)+IF($I$8="Yes",IFERROR(BLD_CC!I28,0),0)+IF($J$8="Yes",IFERROR(BLD_EA!I28,0),0)+IF($K$8="Yes",IFERROR(BLD_EE!I28,0),0)+IF($L$8="Yes",IFERROR(BLD_JP!I28,0),0)+IF($M$8="Yes",IFERROR(BLD_MH!I28,0),0)+IF($N$8="Yes",IFERROR(BLD_MM!I28,0),0)+IF($O$8="Yes",IFERROR(BLD_NT!I28,0),0)+IF($P$8="Yes",IFERROR(BLD_NG!I28,0),0)+IF($Q$8="Yes",IFERROR(BLD_RG!I28,0),0)+IF($R$8="Yes",IFERROR(BLD_AS!I28,0),0)+IF($S$8="Yes",IFERROR(BLD_PS!I28,0),0)+IF($T$8="Yes",IFERROR(BLD_PM!I28,0),0)+IF($U$8="Yes",IFERROR(BLD_CD!I28,0),0)</f>
        <v>92368.522321920027</v>
      </c>
      <c r="J28" s="283">
        <f>IF($E$8="Yes",IFERROR(BLD_AB!J28,0),0)+IF($F$8="Yes",IFERROR(BLD_AC!J28,0),0)+IF($G$8="Yes",IFERROR(BLD_BT!J28,0),0)+IF($H$8="Yes",IFERROR(BLD_CH!J28,0),0)+IF($I$8="Yes",IFERROR(BLD_CC!J28,0),0)+IF($J$8="Yes",IFERROR(BLD_EA!J28,0),0)+IF($K$8="Yes",IFERROR(BLD_EE!J28,0),0)+IF($L$8="Yes",IFERROR(BLD_JP!J28,0),0)+IF($M$8="Yes",IFERROR(BLD_MH!J28,0),0)+IF($N$8="Yes",IFERROR(BLD_MM!J28,0),0)+IF($O$8="Yes",IFERROR(BLD_NT!J28,0),0)+IF($P$8="Yes",IFERROR(BLD_NG!J28,0),0)+IF($Q$8="Yes",IFERROR(BLD_RG!J28,0),0)+IF($R$8="Yes",IFERROR(BLD_AS!J28,0),0)+IF($S$8="Yes",IFERROR(BLD_PS!J28,0),0)+IF($T$8="Yes",IFERROR(BLD_PM!J28,0),0)+IF($U$8="Yes",IFERROR(BLD_CD!J28,0),0)</f>
        <v>96063.263214796811</v>
      </c>
      <c r="K28" s="283">
        <f>IF($E$8="Yes",IFERROR(BLD_AB!K28,0),0)+IF($F$8="Yes",IFERROR(BLD_AC!K28,0),0)+IF($G$8="Yes",IFERROR(BLD_BT!K28,0),0)+IF($H$8="Yes",IFERROR(BLD_CH!K28,0),0)+IF($I$8="Yes",IFERROR(BLD_CC!K28,0),0)+IF($J$8="Yes",IFERROR(BLD_EA!K28,0),0)+IF($K$8="Yes",IFERROR(BLD_EE!K28,0),0)+IF($L$8="Yes",IFERROR(BLD_JP!K28,0),0)+IF($M$8="Yes",IFERROR(BLD_MH!K28,0),0)+IF($N$8="Yes",IFERROR(BLD_MM!K28,0),0)+IF($O$8="Yes",IFERROR(BLD_NT!K28,0),0)+IF($P$8="Yes",IFERROR(BLD_NG!K28,0),0)+IF($Q$8="Yes",IFERROR(BLD_RG!K28,0),0)+IF($R$8="Yes",IFERROR(BLD_AS!K28,0),0)+IF($S$8="Yes",IFERROR(BLD_PS!K28,0),0)+IF($T$8="Yes",IFERROR(BLD_PM!K28,0),0)+IF($U$8="Yes",IFERROR(BLD_CD!K28,0),0)</f>
        <v>99905.793743388698</v>
      </c>
      <c r="L28" s="283">
        <f>IF($E$8="Yes",IFERROR(BLD_AB!L28,0),0)+IF($F$8="Yes",IFERROR(BLD_AC!L28,0),0)+IF($G$8="Yes",IFERROR(BLD_BT!L28,0),0)+IF($H$8="Yes",IFERROR(BLD_CH!L28,0),0)+IF($I$8="Yes",IFERROR(BLD_CC!L28,0),0)+IF($J$8="Yes",IFERROR(BLD_EA!L28,0),0)+IF($K$8="Yes",IFERROR(BLD_EE!L28,0),0)+IF($L$8="Yes",IFERROR(BLD_JP!L28,0),0)+IF($M$8="Yes",IFERROR(BLD_MH!L28,0),0)+IF($N$8="Yes",IFERROR(BLD_MM!L28,0),0)+IF($O$8="Yes",IFERROR(BLD_NT!L28,0),0)+IF($P$8="Yes",IFERROR(BLD_NG!L28,0),0)+IF($Q$8="Yes",IFERROR(BLD_RG!L28,0),0)+IF($R$8="Yes",IFERROR(BLD_AS!L28,0),0)+IF($S$8="Yes",IFERROR(BLD_PS!L28,0),0)+IF($T$8="Yes",IFERROR(BLD_PM!L28,0),0)+IF($U$8="Yes",IFERROR(BLD_CD!L28,0),0)</f>
        <v>103902.02549312424</v>
      </c>
      <c r="M28" s="283">
        <f>IF($E$8="Yes",IFERROR(BLD_AB!M28,0),0)+IF($F$8="Yes",IFERROR(BLD_AC!M28,0),0)+IF($G$8="Yes",IFERROR(BLD_BT!M28,0),0)+IF($H$8="Yes",IFERROR(BLD_CH!M28,0),0)+IF($I$8="Yes",IFERROR(BLD_CC!M28,0),0)+IF($J$8="Yes",IFERROR(BLD_EA!M28,0),0)+IF($K$8="Yes",IFERROR(BLD_EE!M28,0),0)+IF($L$8="Yes",IFERROR(BLD_JP!M28,0),0)+IF($M$8="Yes",IFERROR(BLD_MH!M28,0),0)+IF($N$8="Yes",IFERROR(BLD_MM!M28,0),0)+IF($O$8="Yes",IFERROR(BLD_NT!M28,0),0)+IF($P$8="Yes",IFERROR(BLD_NG!M28,0),0)+IF($Q$8="Yes",IFERROR(BLD_RG!M28,0),0)+IF($R$8="Yes",IFERROR(BLD_AS!M28,0),0)+IF($S$8="Yes",IFERROR(BLD_PS!M28,0),0)+IF($T$8="Yes",IFERROR(BLD_PM!M28,0),0)+IF($U$8="Yes",IFERROR(BLD_CD!M28,0),0)</f>
        <v>108058.10651284922</v>
      </c>
      <c r="N28" s="283">
        <f>IF($E$8="Yes",IFERROR(BLD_AB!N28,0),0)+IF($F$8="Yes",IFERROR(BLD_AC!N28,0),0)+IF($G$8="Yes",IFERROR(BLD_BT!N28,0),0)+IF($H$8="Yes",IFERROR(BLD_CH!N28,0),0)+IF($I$8="Yes",IFERROR(BLD_CC!N28,0),0)+IF($J$8="Yes",IFERROR(BLD_EA!N28,0),0)+IF($K$8="Yes",IFERROR(BLD_EE!N28,0),0)+IF($L$8="Yes",IFERROR(BLD_JP!N28,0),0)+IF($M$8="Yes",IFERROR(BLD_MH!N28,0),0)+IF($N$8="Yes",IFERROR(BLD_MM!N28,0),0)+IF($O$8="Yes",IFERROR(BLD_NT!N28,0),0)+IF($P$8="Yes",IFERROR(BLD_NG!N28,0),0)+IF($Q$8="Yes",IFERROR(BLD_RG!N28,0),0)+IF($R$8="Yes",IFERROR(BLD_AS!N28,0),0)+IF($S$8="Yes",IFERROR(BLD_PS!N28,0),0)+IF($T$8="Yes",IFERROR(BLD_PM!N28,0),0)+IF($U$8="Yes",IFERROR(BLD_CD!N28,0),0)</f>
        <v>112380.43077336322</v>
      </c>
      <c r="O28" s="283">
        <f>IF($E$8="Yes",IFERROR(BLD_AB!O28,0),0)+IF($F$8="Yes",IFERROR(BLD_AC!O28,0),0)+IF($G$8="Yes",IFERROR(BLD_BT!O28,0),0)+IF($H$8="Yes",IFERROR(BLD_CH!O28,0),0)+IF($I$8="Yes",IFERROR(BLD_CC!O28,0),0)+IF($J$8="Yes",IFERROR(BLD_EA!O28,0),0)+IF($K$8="Yes",IFERROR(BLD_EE!O28,0),0)+IF($L$8="Yes",IFERROR(BLD_JP!O28,0),0)+IF($M$8="Yes",IFERROR(BLD_MH!O28,0),0)+IF($N$8="Yes",IFERROR(BLD_MM!O28,0),0)+IF($O$8="Yes",IFERROR(BLD_NT!O28,0),0)+IF($P$8="Yes",IFERROR(BLD_NG!O28,0),0)+IF($Q$8="Yes",IFERROR(BLD_RG!O28,0),0)+IF($R$8="Yes",IFERROR(BLD_AS!O28,0),0)+IF($S$8="Yes",IFERROR(BLD_PS!O28,0),0)+IF($T$8="Yes",IFERROR(BLD_PM!O28,0),0)+IF($U$8="Yes",IFERROR(BLD_CD!O28,0),0)</f>
        <v>115189.94154269727</v>
      </c>
      <c r="P28" s="283">
        <f>IF($E$8="Yes",IFERROR(BLD_AB!P28,0),0)+IF($F$8="Yes",IFERROR(BLD_AC!P28,0),0)+IF($G$8="Yes",IFERROR(BLD_BT!P28,0),0)+IF($H$8="Yes",IFERROR(BLD_CH!P28,0),0)+IF($I$8="Yes",IFERROR(BLD_CC!P28,0),0)+IF($J$8="Yes",IFERROR(BLD_EA!P28,0),0)+IF($K$8="Yes",IFERROR(BLD_EE!P28,0),0)+IF($L$8="Yes",IFERROR(BLD_JP!P28,0),0)+IF($M$8="Yes",IFERROR(BLD_MH!P28,0),0)+IF($N$8="Yes",IFERROR(BLD_MM!P28,0),0)+IF($O$8="Yes",IFERROR(BLD_NT!P28,0),0)+IF($P$8="Yes",IFERROR(BLD_NG!P28,0),0)+IF($Q$8="Yes",IFERROR(BLD_RG!P28,0),0)+IF($R$8="Yes",IFERROR(BLD_AS!P28,0),0)+IF($S$8="Yes",IFERROR(BLD_PS!P28,0),0)+IF($T$8="Yes",IFERROR(BLD_PM!P28,0),0)+IF($U$8="Yes",IFERROR(BLD_CD!P28,0),0)</f>
        <v>118069.69008126472</v>
      </c>
      <c r="Q28" s="283">
        <f>IF($E$8="Yes",IFERROR(BLD_AB!Q28,0),0)+IF($F$8="Yes",IFERROR(BLD_AC!Q28,0),0)+IF($G$8="Yes",IFERROR(BLD_BT!Q28,0),0)+IF($H$8="Yes",IFERROR(BLD_CH!Q28,0),0)+IF($I$8="Yes",IFERROR(BLD_CC!Q28,0),0)+IF($J$8="Yes",IFERROR(BLD_EA!Q28,0),0)+IF($K$8="Yes",IFERROR(BLD_EE!Q28,0),0)+IF($L$8="Yes",IFERROR(BLD_JP!Q28,0),0)+IF($M$8="Yes",IFERROR(BLD_MH!Q28,0),0)+IF($N$8="Yes",IFERROR(BLD_MM!Q28,0),0)+IF($O$8="Yes",IFERROR(BLD_NT!Q28,0),0)+IF($P$8="Yes",IFERROR(BLD_NG!Q28,0),0)+IF($Q$8="Yes",IFERROR(BLD_RG!Q28,0),0)+IF($R$8="Yes",IFERROR(BLD_AS!Q28,0),0)+IF($S$8="Yes",IFERROR(BLD_PS!Q28,0),0)+IF($T$8="Yes",IFERROR(BLD_PM!Q28,0),0)+IF($U$8="Yes",IFERROR(BLD_CD!Q28,0),0)</f>
        <v>121021.43233329632</v>
      </c>
      <c r="R28" s="283">
        <f>IF($E$8="Yes",IFERROR(BLD_AB!R28,0),0)+IF($F$8="Yes",IFERROR(BLD_AC!R28,0),0)+IF($G$8="Yes",IFERROR(BLD_BT!R28,0),0)+IF($H$8="Yes",IFERROR(BLD_CH!R28,0),0)+IF($I$8="Yes",IFERROR(BLD_CC!R28,0),0)+IF($J$8="Yes",IFERROR(BLD_EA!R28,0),0)+IF($K$8="Yes",IFERROR(BLD_EE!R28,0),0)+IF($L$8="Yes",IFERROR(BLD_JP!R28,0),0)+IF($M$8="Yes",IFERROR(BLD_MH!R28,0),0)+IF($N$8="Yes",IFERROR(BLD_MM!R28,0),0)+IF($O$8="Yes",IFERROR(BLD_NT!R28,0),0)+IF($P$8="Yes",IFERROR(BLD_NG!R28,0),0)+IF($Q$8="Yes",IFERROR(BLD_RG!R28,0),0)+IF($R$8="Yes",IFERROR(BLD_AS!R28,0),0)+IF($S$8="Yes",IFERROR(BLD_PS!R28,0),0)+IF($T$8="Yes",IFERROR(BLD_PM!R28,0),0)+IF($U$8="Yes",IFERROR(BLD_CD!R28,0),0)</f>
        <v>124046.96814162871</v>
      </c>
      <c r="S28" s="283">
        <f>IF($E$8="Yes",IFERROR(BLD_AB!S28,0),0)+IF($F$8="Yes",IFERROR(BLD_AC!S28,0),0)+IF($G$8="Yes",IFERROR(BLD_BT!S28,0),0)+IF($H$8="Yes",IFERROR(BLD_CH!S28,0),0)+IF($I$8="Yes",IFERROR(BLD_CC!S28,0),0)+IF($J$8="Yes",IFERROR(BLD_EA!S28,0),0)+IF($K$8="Yes",IFERROR(BLD_EE!S28,0),0)+IF($L$8="Yes",IFERROR(BLD_JP!S28,0),0)+IF($M$8="Yes",IFERROR(BLD_MH!S28,0),0)+IF($N$8="Yes",IFERROR(BLD_MM!S28,0),0)+IF($O$8="Yes",IFERROR(BLD_NT!S28,0),0)+IF($P$8="Yes",IFERROR(BLD_NG!S28,0),0)+IF($Q$8="Yes",IFERROR(BLD_RG!S28,0),0)+IF($R$8="Yes",IFERROR(BLD_AS!S28,0),0)+IF($S$8="Yes",IFERROR(BLD_PS!S28,0),0)+IF($T$8="Yes",IFERROR(BLD_PM!S28,0),0)+IF($U$8="Yes",IFERROR(BLD_CD!S28,0),0)</f>
        <v>127148.14234516944</v>
      </c>
      <c r="T28" s="283">
        <f>IF($E$8="Yes",IFERROR(BLD_AB!T28,0),0)+IF($F$8="Yes",IFERROR(BLD_AC!T28,0),0)+IF($G$8="Yes",IFERROR(BLD_BT!T28,0),0)+IF($H$8="Yes",IFERROR(BLD_CH!T28,0),0)+IF($I$8="Yes",IFERROR(BLD_CC!T28,0),0)+IF($J$8="Yes",IFERROR(BLD_EA!T28,0),0)+IF($K$8="Yes",IFERROR(BLD_EE!T28,0),0)+IF($L$8="Yes",IFERROR(BLD_JP!T28,0),0)+IF($M$8="Yes",IFERROR(BLD_MH!T28,0),0)+IF($N$8="Yes",IFERROR(BLD_MM!T28,0),0)+IF($O$8="Yes",IFERROR(BLD_NT!T28,0),0)+IF($P$8="Yes",IFERROR(BLD_NG!T28,0),0)+IF($Q$8="Yes",IFERROR(BLD_RG!T28,0),0)+IF($R$8="Yes",IFERROR(BLD_AS!T28,0),0)+IF($S$8="Yes",IFERROR(BLD_PS!T28,0),0)+IF($T$8="Yes",IFERROR(BLD_PM!T28,0),0)+IF($U$8="Yes",IFERROR(BLD_CD!T28,0),0)</f>
        <v>130326.84590379865</v>
      </c>
      <c r="U28" s="283">
        <f>IF($E$8="Yes",IFERROR(BLD_AB!U28,0),0)+IF($F$8="Yes",IFERROR(BLD_AC!U28,0),0)+IF($G$8="Yes",IFERROR(BLD_BT!U28,0),0)+IF($H$8="Yes",IFERROR(BLD_CH!U28,0),0)+IF($I$8="Yes",IFERROR(BLD_CC!U28,0),0)+IF($J$8="Yes",IFERROR(BLD_EA!U28,0),0)+IF($K$8="Yes",IFERROR(BLD_EE!U28,0),0)+IF($L$8="Yes",IFERROR(BLD_JP!U28,0),0)+IF($M$8="Yes",IFERROR(BLD_MH!U28,0),0)+IF($N$8="Yes",IFERROR(BLD_MM!U28,0),0)+IF($O$8="Yes",IFERROR(BLD_NT!U28,0),0)+IF($P$8="Yes",IFERROR(BLD_NG!U28,0),0)+IF($Q$8="Yes",IFERROR(BLD_RG!U28,0),0)+IF($R$8="Yes",IFERROR(BLD_AS!U28,0),0)+IF($S$8="Yes",IFERROR(BLD_PS!U28,0),0)+IF($T$8="Yes",IFERROR(BLD_PM!U28,0),0)+IF($U$8="Yes",IFERROR(BLD_CD!U28,0),0)</f>
        <v>133585.0170513936</v>
      </c>
      <c r="V28" s="283">
        <f>IF($E$8="Yes",IFERROR(BLD_AB!V28,0),0)+IF($F$8="Yes",IFERROR(BLD_AC!V28,0),0)+IF($G$8="Yes",IFERROR(BLD_BT!V28,0),0)+IF($H$8="Yes",IFERROR(BLD_CH!V28,0),0)+IF($I$8="Yes",IFERROR(BLD_CC!V28,0),0)+IF($J$8="Yes",IFERROR(BLD_EA!V28,0),0)+IF($K$8="Yes",IFERROR(BLD_EE!V28,0),0)+IF($L$8="Yes",IFERROR(BLD_JP!V28,0),0)+IF($M$8="Yes",IFERROR(BLD_MH!V28,0),0)+IF($N$8="Yes",IFERROR(BLD_MM!V28,0),0)+IF($O$8="Yes",IFERROR(BLD_NT!V28,0),0)+IF($P$8="Yes",IFERROR(BLD_NG!V28,0),0)+IF($Q$8="Yes",IFERROR(BLD_RG!V28,0),0)+IF($R$8="Yes",IFERROR(BLD_AS!V28,0),0)+IF($S$8="Yes",IFERROR(BLD_PS!V28,0),0)+IF($T$8="Yes",IFERROR(BLD_PM!V28,0),0)+IF($U$8="Yes",IFERROR(BLD_CD!V28,0),0)</f>
        <v>136924.64247767846</v>
      </c>
      <c r="W28" s="283">
        <f>IF($E$8="Yes",IFERROR(BLD_AB!W28,0),0)+IF($F$8="Yes",IFERROR(BLD_AC!W28,0),0)+IF($G$8="Yes",IFERROR(BLD_BT!W28,0),0)+IF($H$8="Yes",IFERROR(BLD_CH!W28,0),0)+IF($I$8="Yes",IFERROR(BLD_CC!W28,0),0)+IF($J$8="Yes",IFERROR(BLD_EA!W28,0),0)+IF($K$8="Yes",IFERROR(BLD_EE!W28,0),0)+IF($L$8="Yes",IFERROR(BLD_JP!W28,0),0)+IF($M$8="Yes",IFERROR(BLD_MH!W28,0),0)+IF($N$8="Yes",IFERROR(BLD_MM!W28,0),0)+IF($O$8="Yes",IFERROR(BLD_NT!W28,0),0)+IF($P$8="Yes",IFERROR(BLD_NG!W28,0),0)+IF($Q$8="Yes",IFERROR(BLD_RG!W28,0),0)+IF($R$8="Yes",IFERROR(BLD_AS!W28,0),0)+IF($S$8="Yes",IFERROR(BLD_PS!W28,0),0)+IF($T$8="Yes",IFERROR(BLD_PM!W28,0),0)+IF($U$8="Yes",IFERROR(BLD_CD!W28,0),0)</f>
        <v>140347.75853962038</v>
      </c>
      <c r="X28" s="283">
        <f>IF($E$8="Yes",IFERROR(BLD_AB!X28,0),0)+IF($F$8="Yes",IFERROR(BLD_AC!X28,0),0)+IF($G$8="Yes",IFERROR(BLD_BT!X28,0),0)+IF($H$8="Yes",IFERROR(BLD_CH!X28,0),0)+IF($I$8="Yes",IFERROR(BLD_CC!X28,0),0)+IF($J$8="Yes",IFERROR(BLD_EA!X28,0),0)+IF($K$8="Yes",IFERROR(BLD_EE!X28,0),0)+IF($L$8="Yes",IFERROR(BLD_JP!X28,0),0)+IF($M$8="Yes",IFERROR(BLD_MH!X28,0),0)+IF($N$8="Yes",IFERROR(BLD_MM!X28,0),0)+IF($O$8="Yes",IFERROR(BLD_NT!X28,0),0)+IF($P$8="Yes",IFERROR(BLD_NG!X28,0),0)+IF($Q$8="Yes",IFERROR(BLD_RG!X28,0),0)+IF($R$8="Yes",IFERROR(BLD_AS!X28,0),0)+IF($S$8="Yes",IFERROR(BLD_PS!X28,0),0)+IF($T$8="Yes",IFERROR(BLD_PM!X28,0),0)+IF($U$8="Yes",IFERROR(BLD_CD!X28,0),0)</f>
        <v>143856.45250311092</v>
      </c>
      <c r="Y28" s="283">
        <f>IF($E$8="Yes",IFERROR(BLD_AB!Y28,0),0)+IF($F$8="Yes",IFERROR(BLD_AC!Y28,0),0)+IF($G$8="Yes",IFERROR(BLD_BT!Y28,0),0)+IF($H$8="Yes",IFERROR(BLD_CH!Y28,0),0)+IF($I$8="Yes",IFERROR(BLD_CC!Y28,0),0)+IF($J$8="Yes",IFERROR(BLD_EA!Y28,0),0)+IF($K$8="Yes",IFERROR(BLD_EE!Y28,0),0)+IF($L$8="Yes",IFERROR(BLD_JP!Y28,0),0)+IF($M$8="Yes",IFERROR(BLD_MH!Y28,0),0)+IF($N$8="Yes",IFERROR(BLD_MM!Y28,0),0)+IF($O$8="Yes",IFERROR(BLD_NT!Y28,0),0)+IF($P$8="Yes",IFERROR(BLD_NG!Y28,0),0)+IF($Q$8="Yes",IFERROR(BLD_RG!Y28,0),0)+IF($R$8="Yes",IFERROR(BLD_AS!Y28,0),0)+IF($S$8="Yes",IFERROR(BLD_PS!Y28,0),0)+IF($T$8="Yes",IFERROR(BLD_PM!Y28,0),0)+IF($U$8="Yes",IFERROR(BLD_CD!Y28,0),0)</f>
        <v>147452.86381568867</v>
      </c>
    </row>
    <row r="29" spans="3:25" ht="13.5" customHeight="1">
      <c r="C29" s="10" t="s">
        <v>345</v>
      </c>
      <c r="E29" s="283">
        <f>IF($E$8="Yes",IFERROR(BLD_AB!E29,0),0)+IF($F$8="Yes",IFERROR(BLD_AC!E29,0),0)+IF($G$8="Yes",IFERROR(BLD_BT!E29,0),0)+IF($H$8="Yes",IFERROR(BLD_CH!E29,0),0)+IF($I$8="Yes",IFERROR(BLD_CC!E29,0),0)+IF($J$8="Yes",IFERROR(BLD_EA!E29,0),0)+IF($K$8="Yes",IFERROR(BLD_EE!E29,0),0)+IF($L$8="Yes",IFERROR(BLD_JP!E29,0),0)+IF($M$8="Yes",IFERROR(BLD_MH!E29,0),0)+IF($N$8="Yes",IFERROR(BLD_MM!E29,0),0)+IF($O$8="Yes",IFERROR(BLD_NT!E29,0),0)+IF($P$8="Yes",IFERROR(BLD_NG!E29,0),0)+IF($Q$8="Yes",IFERROR(BLD_RG!E29,0),0)+IF($R$8="Yes",IFERROR(BLD_AS!E29,0),0)+IF($S$8="Yes",IFERROR(BLD_PS!E29,0),0)+IF($T$8="Yes",IFERROR(BLD_PM!E29,0),0)+IF($U$8="Yes",IFERROR(BLD_CD!E29,0),0)</f>
        <v>425924</v>
      </c>
      <c r="F29" s="283">
        <f>IF($E$8="Yes",IFERROR(BLD_AB!F29,0),0)+IF($F$8="Yes",IFERROR(BLD_AC!F29,0),0)+IF($G$8="Yes",IFERROR(BLD_BT!F29,0),0)+IF($H$8="Yes",IFERROR(BLD_CH!F29,0),0)+IF($I$8="Yes",IFERROR(BLD_CC!F29,0),0)+IF($J$8="Yes",IFERROR(BLD_EA!F29,0),0)+IF($K$8="Yes",IFERROR(BLD_EE!F29,0),0)+IF($L$8="Yes",IFERROR(BLD_JP!F29,0),0)+IF($M$8="Yes",IFERROR(BLD_MH!F29,0),0)+IF($N$8="Yes",IFERROR(BLD_MM!F29,0),0)+IF($O$8="Yes",IFERROR(BLD_NT!F29,0),0)+IF($P$8="Yes",IFERROR(BLD_NG!F29,0),0)+IF($Q$8="Yes",IFERROR(BLD_RG!F29,0),0)+IF($R$8="Yes",IFERROR(BLD_AS!F29,0),0)+IF($S$8="Yes",IFERROR(BLD_PS!F29,0),0)+IF($T$8="Yes",IFERROR(BLD_PM!F29,0),0)+IF($U$8="Yes",IFERROR(BLD_CD!F29,0),0)</f>
        <v>442960.96</v>
      </c>
      <c r="G29" s="283">
        <f>IF($E$8="Yes",IFERROR(BLD_AB!G29,0),0)+IF($F$8="Yes",IFERROR(BLD_AC!G29,0),0)+IF($G$8="Yes",IFERROR(BLD_BT!G29,0),0)+IF($H$8="Yes",IFERROR(BLD_CH!G29,0),0)+IF($I$8="Yes",IFERROR(BLD_CC!G29,0),0)+IF($J$8="Yes",IFERROR(BLD_EA!G29,0),0)+IF($K$8="Yes",IFERROR(BLD_EE!G29,0),0)+IF($L$8="Yes",IFERROR(BLD_JP!G29,0),0)+IF($M$8="Yes",IFERROR(BLD_MH!G29,0),0)+IF($N$8="Yes",IFERROR(BLD_MM!G29,0),0)+IF($O$8="Yes",IFERROR(BLD_NT!G29,0),0)+IF($P$8="Yes",IFERROR(BLD_NG!G29,0),0)+IF($Q$8="Yes",IFERROR(BLD_RG!G29,0),0)+IF($R$8="Yes",IFERROR(BLD_AS!G29,0),0)+IF($S$8="Yes",IFERROR(BLD_PS!G29,0),0)+IF($T$8="Yes",IFERROR(BLD_PM!G29,0),0)+IF($U$8="Yes",IFERROR(BLD_CD!G29,0),0)</f>
        <v>460679.39840000001</v>
      </c>
      <c r="H29" s="283">
        <f>IF($E$8="Yes",IFERROR(BLD_AB!H29,0),0)+IF($F$8="Yes",IFERROR(BLD_AC!H29,0),0)+IF($G$8="Yes",IFERROR(BLD_BT!H29,0),0)+IF($H$8="Yes",IFERROR(BLD_CH!H29,0),0)+IF($I$8="Yes",IFERROR(BLD_CC!H29,0),0)+IF($J$8="Yes",IFERROR(BLD_EA!H29,0),0)+IF($K$8="Yes",IFERROR(BLD_EE!H29,0),0)+IF($L$8="Yes",IFERROR(BLD_JP!H29,0),0)+IF($M$8="Yes",IFERROR(BLD_MH!H29,0),0)+IF($N$8="Yes",IFERROR(BLD_MM!H29,0),0)+IF($O$8="Yes",IFERROR(BLD_NT!H29,0),0)+IF($P$8="Yes",IFERROR(BLD_NG!H29,0),0)+IF($Q$8="Yes",IFERROR(BLD_RG!H29,0),0)+IF($R$8="Yes",IFERROR(BLD_AS!H29,0),0)+IF($S$8="Yes",IFERROR(BLD_PS!H29,0),0)+IF($T$8="Yes",IFERROR(BLD_PM!H29,0),0)+IF($U$8="Yes",IFERROR(BLD_CD!H29,0),0)</f>
        <v>670333.45433599991</v>
      </c>
      <c r="I29" s="283">
        <f>IF($E$8="Yes",IFERROR(BLD_AB!I29,0),0)+IF($F$8="Yes",IFERROR(BLD_AC!I29,0),0)+IF($G$8="Yes",IFERROR(BLD_BT!I29,0),0)+IF($H$8="Yes",IFERROR(BLD_CH!I29,0),0)+IF($I$8="Yes",IFERROR(BLD_CC!I29,0),0)+IF($J$8="Yes",IFERROR(BLD_EA!I29,0),0)+IF($K$8="Yes",IFERROR(BLD_EE!I29,0),0)+IF($L$8="Yes",IFERROR(BLD_JP!I29,0),0)+IF($M$8="Yes",IFERROR(BLD_MH!I29,0),0)+IF($N$8="Yes",IFERROR(BLD_MM!I29,0),0)+IF($O$8="Yes",IFERROR(BLD_NT!I29,0),0)+IF($P$8="Yes",IFERROR(BLD_NG!I29,0),0)+IF($Q$8="Yes",IFERROR(BLD_RG!I29,0),0)+IF($R$8="Yes",IFERROR(BLD_AS!I29,0),0)+IF($S$8="Yes",IFERROR(BLD_PS!I29,0),0)+IF($T$8="Yes",IFERROR(BLD_PM!I29,0),0)+IF($U$8="Yes",IFERROR(BLD_CD!I29,0),0)</f>
        <v>781522.84114944004</v>
      </c>
      <c r="J29" s="283">
        <f>IF($E$8="Yes",IFERROR(BLD_AB!J29,0),0)+IF($F$8="Yes",IFERROR(BLD_AC!J29,0),0)+IF($G$8="Yes",IFERROR(BLD_BT!J29,0),0)+IF($H$8="Yes",IFERROR(BLD_CH!J29,0),0)+IF($I$8="Yes",IFERROR(BLD_CC!J29,0),0)+IF($J$8="Yes",IFERROR(BLD_EA!J29,0),0)+IF($K$8="Yes",IFERROR(BLD_EE!J29,0),0)+IF($L$8="Yes",IFERROR(BLD_JP!J29,0),0)+IF($M$8="Yes",IFERROR(BLD_MH!J29,0),0)+IF($N$8="Yes",IFERROR(BLD_MM!J29,0),0)+IF($O$8="Yes",IFERROR(BLD_NT!J29,0),0)+IF($P$8="Yes",IFERROR(BLD_NG!J29,0),0)+IF($Q$8="Yes",IFERROR(BLD_RG!J29,0),0)+IF($R$8="Yes",IFERROR(BLD_AS!J29,0),0)+IF($S$8="Yes",IFERROR(BLD_PS!J29,0),0)+IF($T$8="Yes",IFERROR(BLD_PM!J29,0),0)+IF($U$8="Yes",IFERROR(BLD_CD!J29,0),0)</f>
        <v>812783.75479541789</v>
      </c>
      <c r="K29" s="283">
        <f>IF($E$8="Yes",IFERROR(BLD_AB!K29,0),0)+IF($F$8="Yes",IFERROR(BLD_AC!K29,0),0)+IF($G$8="Yes",IFERROR(BLD_BT!K29,0),0)+IF($H$8="Yes",IFERROR(BLD_CH!K29,0),0)+IF($I$8="Yes",IFERROR(BLD_CC!K29,0),0)+IF($J$8="Yes",IFERROR(BLD_EA!K29,0),0)+IF($K$8="Yes",IFERROR(BLD_EE!K29,0),0)+IF($L$8="Yes",IFERROR(BLD_JP!K29,0),0)+IF($M$8="Yes",IFERROR(BLD_MH!K29,0),0)+IF($N$8="Yes",IFERROR(BLD_MM!K29,0),0)+IF($O$8="Yes",IFERROR(BLD_NT!K29,0),0)+IF($P$8="Yes",IFERROR(BLD_NG!K29,0),0)+IF($Q$8="Yes",IFERROR(BLD_RG!K29,0),0)+IF($R$8="Yes",IFERROR(BLD_AS!K29,0),0)+IF($S$8="Yes",IFERROR(BLD_PS!K29,0),0)+IF($T$8="Yes",IFERROR(BLD_PM!K29,0),0)+IF($U$8="Yes",IFERROR(BLD_CD!K29,0),0)</f>
        <v>845295.10498723458</v>
      </c>
      <c r="L29" s="283">
        <f>IF($E$8="Yes",IFERROR(BLD_AB!L29,0),0)+IF($F$8="Yes",IFERROR(BLD_AC!L29,0),0)+IF($G$8="Yes",IFERROR(BLD_BT!L29,0),0)+IF($H$8="Yes",IFERROR(BLD_CH!L29,0),0)+IF($I$8="Yes",IFERROR(BLD_CC!L29,0),0)+IF($J$8="Yes",IFERROR(BLD_EA!L29,0),0)+IF($K$8="Yes",IFERROR(BLD_EE!L29,0),0)+IF($L$8="Yes",IFERROR(BLD_JP!L29,0),0)+IF($M$8="Yes",IFERROR(BLD_MH!L29,0),0)+IF($N$8="Yes",IFERROR(BLD_MM!L29,0),0)+IF($O$8="Yes",IFERROR(BLD_NT!L29,0),0)+IF($P$8="Yes",IFERROR(BLD_NG!L29,0),0)+IF($Q$8="Yes",IFERROR(BLD_RG!L29,0),0)+IF($R$8="Yes",IFERROR(BLD_AS!L29,0),0)+IF($S$8="Yes",IFERROR(BLD_PS!L29,0),0)+IF($T$8="Yes",IFERROR(BLD_PM!L29,0),0)+IF($U$8="Yes",IFERROR(BLD_CD!L29,0),0)</f>
        <v>879106.90918672364</v>
      </c>
      <c r="M29" s="283">
        <f>IF($E$8="Yes",IFERROR(BLD_AB!M29,0),0)+IF($F$8="Yes",IFERROR(BLD_AC!M29,0),0)+IF($G$8="Yes",IFERROR(BLD_BT!M29,0),0)+IF($H$8="Yes",IFERROR(BLD_CH!M29,0),0)+IF($I$8="Yes",IFERROR(BLD_CC!M29,0),0)+IF($J$8="Yes",IFERROR(BLD_EA!M29,0),0)+IF($K$8="Yes",IFERROR(BLD_EE!M29,0),0)+IF($L$8="Yes",IFERROR(BLD_JP!M29,0),0)+IF($M$8="Yes",IFERROR(BLD_MH!M29,0),0)+IF($N$8="Yes",IFERROR(BLD_MM!M29,0),0)+IF($O$8="Yes",IFERROR(BLD_NT!M29,0),0)+IF($P$8="Yes",IFERROR(BLD_NG!M29,0),0)+IF($Q$8="Yes",IFERROR(BLD_RG!M29,0),0)+IF($R$8="Yes",IFERROR(BLD_AS!M29,0),0)+IF($S$8="Yes",IFERROR(BLD_PS!M29,0),0)+IF($T$8="Yes",IFERROR(BLD_PM!M29,0),0)+IF($U$8="Yes",IFERROR(BLD_CD!M29,0),0)</f>
        <v>914271.1855541931</v>
      </c>
      <c r="N29" s="283">
        <f>IF($E$8="Yes",IFERROR(BLD_AB!N29,0),0)+IF($F$8="Yes",IFERROR(BLD_AC!N29,0),0)+IF($G$8="Yes",IFERROR(BLD_BT!N29,0),0)+IF($H$8="Yes",IFERROR(BLD_CH!N29,0),0)+IF($I$8="Yes",IFERROR(BLD_CC!N29,0),0)+IF($J$8="Yes",IFERROR(BLD_EA!N29,0),0)+IF($K$8="Yes",IFERROR(BLD_EE!N29,0),0)+IF($L$8="Yes",IFERROR(BLD_JP!N29,0),0)+IF($M$8="Yes",IFERROR(BLD_MH!N29,0),0)+IF($N$8="Yes",IFERROR(BLD_MM!N29,0),0)+IF($O$8="Yes",IFERROR(BLD_NT!N29,0),0)+IF($P$8="Yes",IFERROR(BLD_NG!N29,0),0)+IF($Q$8="Yes",IFERROR(BLD_RG!N29,0),0)+IF($R$8="Yes",IFERROR(BLD_AS!N29,0),0)+IF($S$8="Yes",IFERROR(BLD_PS!N29,0),0)+IF($T$8="Yes",IFERROR(BLD_PM!N29,0),0)+IF($U$8="Yes",IFERROR(BLD_CD!N29,0),0)</f>
        <v>950842.03297636064</v>
      </c>
      <c r="O29" s="283">
        <f>IF($E$8="Yes",IFERROR(BLD_AB!O29,0),0)+IF($F$8="Yes",IFERROR(BLD_AC!O29,0),0)+IF($G$8="Yes",IFERROR(BLD_BT!O29,0),0)+IF($H$8="Yes",IFERROR(BLD_CH!O29,0),0)+IF($I$8="Yes",IFERROR(BLD_CC!O29,0),0)+IF($J$8="Yes",IFERROR(BLD_EA!O29,0),0)+IF($K$8="Yes",IFERROR(BLD_EE!O29,0),0)+IF($L$8="Yes",IFERROR(BLD_JP!O29,0),0)+IF($M$8="Yes",IFERROR(BLD_MH!O29,0),0)+IF($N$8="Yes",IFERROR(BLD_MM!O29,0),0)+IF($O$8="Yes",IFERROR(BLD_NT!O29,0),0)+IF($P$8="Yes",IFERROR(BLD_NG!O29,0),0)+IF($Q$8="Yes",IFERROR(BLD_RG!O29,0),0)+IF($R$8="Yes",IFERROR(BLD_AS!O29,0),0)+IF($S$8="Yes",IFERROR(BLD_PS!O29,0),0)+IF($T$8="Yes",IFERROR(BLD_PM!O29,0),0)+IF($U$8="Yes",IFERROR(BLD_CD!O29,0),0)</f>
        <v>974613.08380076964</v>
      </c>
      <c r="P29" s="283">
        <f>IF($E$8="Yes",IFERROR(BLD_AB!P29,0),0)+IF($F$8="Yes",IFERROR(BLD_AC!P29,0),0)+IF($G$8="Yes",IFERROR(BLD_BT!P29,0),0)+IF($H$8="Yes",IFERROR(BLD_CH!P29,0),0)+IF($I$8="Yes",IFERROR(BLD_CC!P29,0),0)+IF($J$8="Yes",IFERROR(BLD_EA!P29,0),0)+IF($K$8="Yes",IFERROR(BLD_EE!P29,0),0)+IF($L$8="Yes",IFERROR(BLD_JP!P29,0),0)+IF($M$8="Yes",IFERROR(BLD_MH!P29,0),0)+IF($N$8="Yes",IFERROR(BLD_MM!P29,0),0)+IF($O$8="Yes",IFERROR(BLD_NT!P29,0),0)+IF($P$8="Yes",IFERROR(BLD_NG!P29,0),0)+IF($Q$8="Yes",IFERROR(BLD_RG!P29,0),0)+IF($R$8="Yes",IFERROR(BLD_AS!P29,0),0)+IF($S$8="Yes",IFERROR(BLD_PS!P29,0),0)+IF($T$8="Yes",IFERROR(BLD_PM!P29,0),0)+IF($U$8="Yes",IFERROR(BLD_CD!P29,0),0)</f>
        <v>998978.41089578881</v>
      </c>
      <c r="Q29" s="283">
        <f>IF($E$8="Yes",IFERROR(BLD_AB!Q29,0),0)+IF($F$8="Yes",IFERROR(BLD_AC!Q29,0),0)+IF($G$8="Yes",IFERROR(BLD_BT!Q29,0),0)+IF($H$8="Yes",IFERROR(BLD_CH!Q29,0),0)+IF($I$8="Yes",IFERROR(BLD_CC!Q29,0),0)+IF($J$8="Yes",IFERROR(BLD_EA!Q29,0),0)+IF($K$8="Yes",IFERROR(BLD_EE!Q29,0),0)+IF($L$8="Yes",IFERROR(BLD_JP!Q29,0),0)+IF($M$8="Yes",IFERROR(BLD_MH!Q29,0),0)+IF($N$8="Yes",IFERROR(BLD_MM!Q29,0),0)+IF($O$8="Yes",IFERROR(BLD_NT!Q29,0),0)+IF($P$8="Yes",IFERROR(BLD_NG!Q29,0),0)+IF($Q$8="Yes",IFERROR(BLD_RG!Q29,0),0)+IF($R$8="Yes",IFERROR(BLD_AS!Q29,0),0)+IF($S$8="Yes",IFERROR(BLD_PS!Q29,0),0)+IF($T$8="Yes",IFERROR(BLD_PM!Q29,0),0)+IF($U$8="Yes",IFERROR(BLD_CD!Q29,0),0)</f>
        <v>1023952.8711681837</v>
      </c>
      <c r="R29" s="283">
        <f>IF($E$8="Yes",IFERROR(BLD_AB!R29,0),0)+IF($F$8="Yes",IFERROR(BLD_AC!R29,0),0)+IF($G$8="Yes",IFERROR(BLD_BT!R29,0),0)+IF($H$8="Yes",IFERROR(BLD_CH!R29,0),0)+IF($I$8="Yes",IFERROR(BLD_CC!R29,0),0)+IF($J$8="Yes",IFERROR(BLD_EA!R29,0),0)+IF($K$8="Yes",IFERROR(BLD_EE!R29,0),0)+IF($L$8="Yes",IFERROR(BLD_JP!R29,0),0)+IF($M$8="Yes",IFERROR(BLD_MH!R29,0),0)+IF($N$8="Yes",IFERROR(BLD_MM!R29,0),0)+IF($O$8="Yes",IFERROR(BLD_NT!R29,0),0)+IF($P$8="Yes",IFERROR(BLD_NG!R29,0),0)+IF($Q$8="Yes",IFERROR(BLD_RG!R29,0),0)+IF($R$8="Yes",IFERROR(BLD_AS!R29,0),0)+IF($S$8="Yes",IFERROR(BLD_PS!R29,0),0)+IF($T$8="Yes",IFERROR(BLD_PM!R29,0),0)+IF($U$8="Yes",IFERROR(BLD_CD!R29,0),0)</f>
        <v>1049551.6929473879</v>
      </c>
      <c r="S29" s="283">
        <f>IF($E$8="Yes",IFERROR(BLD_AB!S29,0),0)+IF($F$8="Yes",IFERROR(BLD_AC!S29,0),0)+IF($G$8="Yes",IFERROR(BLD_BT!S29,0),0)+IF($H$8="Yes",IFERROR(BLD_CH!S29,0),0)+IF($I$8="Yes",IFERROR(BLD_CC!S29,0),0)+IF($J$8="Yes",IFERROR(BLD_EA!S29,0),0)+IF($K$8="Yes",IFERROR(BLD_EE!S29,0),0)+IF($L$8="Yes",IFERROR(BLD_JP!S29,0),0)+IF($M$8="Yes",IFERROR(BLD_MH!S29,0),0)+IF($N$8="Yes",IFERROR(BLD_MM!S29,0),0)+IF($O$8="Yes",IFERROR(BLD_NT!S29,0),0)+IF($P$8="Yes",IFERROR(BLD_NG!S29,0),0)+IF($Q$8="Yes",IFERROR(BLD_RG!S29,0),0)+IF($R$8="Yes",IFERROR(BLD_AS!S29,0),0)+IF($S$8="Yes",IFERROR(BLD_PS!S29,0),0)+IF($T$8="Yes",IFERROR(BLD_PM!S29,0),0)+IF($U$8="Yes",IFERROR(BLD_CD!S29,0),0)</f>
        <v>1075790.4852710727</v>
      </c>
      <c r="T29" s="283">
        <f>IF($E$8="Yes",IFERROR(BLD_AB!T29,0),0)+IF($F$8="Yes",IFERROR(BLD_AC!T29,0),0)+IF($G$8="Yes",IFERROR(BLD_BT!T29,0),0)+IF($H$8="Yes",IFERROR(BLD_CH!T29,0),0)+IF($I$8="Yes",IFERROR(BLD_CC!T29,0),0)+IF($J$8="Yes",IFERROR(BLD_EA!T29,0),0)+IF($K$8="Yes",IFERROR(BLD_EE!T29,0),0)+IF($L$8="Yes",IFERROR(BLD_JP!T29,0),0)+IF($M$8="Yes",IFERROR(BLD_MH!T29,0),0)+IF($N$8="Yes",IFERROR(BLD_MM!T29,0),0)+IF($O$8="Yes",IFERROR(BLD_NT!T29,0),0)+IF($P$8="Yes",IFERROR(BLD_NG!T29,0),0)+IF($Q$8="Yes",IFERROR(BLD_RG!T29,0),0)+IF($R$8="Yes",IFERROR(BLD_AS!T29,0),0)+IF($S$8="Yes",IFERROR(BLD_PS!T29,0),0)+IF($T$8="Yes",IFERROR(BLD_PM!T29,0),0)+IF($U$8="Yes",IFERROR(BLD_CD!T29,0),0)</f>
        <v>1102685.2474028494</v>
      </c>
      <c r="U29" s="283">
        <f>IF($E$8="Yes",IFERROR(BLD_AB!U29,0),0)+IF($F$8="Yes",IFERROR(BLD_AC!U29,0),0)+IF($G$8="Yes",IFERROR(BLD_BT!U29,0),0)+IF($H$8="Yes",IFERROR(BLD_CH!U29,0),0)+IF($I$8="Yes",IFERROR(BLD_CC!U29,0),0)+IF($J$8="Yes",IFERROR(BLD_EA!U29,0),0)+IF($K$8="Yes",IFERROR(BLD_EE!U29,0),0)+IF($L$8="Yes",IFERROR(BLD_JP!U29,0),0)+IF($M$8="Yes",IFERROR(BLD_MH!U29,0),0)+IF($N$8="Yes",IFERROR(BLD_MM!U29,0),0)+IF($O$8="Yes",IFERROR(BLD_NT!U29,0),0)+IF($P$8="Yes",IFERROR(BLD_NG!U29,0),0)+IF($Q$8="Yes",IFERROR(BLD_RG!U29,0),0)+IF($R$8="Yes",IFERROR(BLD_AS!U29,0),0)+IF($S$8="Yes",IFERROR(BLD_PS!U29,0),0)+IF($T$8="Yes",IFERROR(BLD_PM!U29,0),0)+IF($U$8="Yes",IFERROR(BLD_CD!U29,0),0)</f>
        <v>1130252.3785879207</v>
      </c>
      <c r="V29" s="283">
        <f>IF($E$8="Yes",IFERROR(BLD_AB!V29,0),0)+IF($F$8="Yes",IFERROR(BLD_AC!V29,0),0)+IF($G$8="Yes",IFERROR(BLD_BT!V29,0),0)+IF($H$8="Yes",IFERROR(BLD_CH!V29,0),0)+IF($I$8="Yes",IFERROR(BLD_CC!V29,0),0)+IF($J$8="Yes",IFERROR(BLD_EA!V29,0),0)+IF($K$8="Yes",IFERROR(BLD_EE!V29,0),0)+IF($L$8="Yes",IFERROR(BLD_JP!V29,0),0)+IF($M$8="Yes",IFERROR(BLD_MH!V29,0),0)+IF($N$8="Yes",IFERROR(BLD_MM!V29,0),0)+IF($O$8="Yes",IFERROR(BLD_NT!V29,0),0)+IF($P$8="Yes",IFERROR(BLD_NG!V29,0),0)+IF($Q$8="Yes",IFERROR(BLD_RG!V29,0),0)+IF($R$8="Yes",IFERROR(BLD_AS!V29,0),0)+IF($S$8="Yes",IFERROR(BLD_PS!V29,0),0)+IF($T$8="Yes",IFERROR(BLD_PM!V29,0),0)+IF($U$8="Yes",IFERROR(BLD_CD!V29,0),0)</f>
        <v>1158508.6880526189</v>
      </c>
      <c r="W29" s="283">
        <f>IF($E$8="Yes",IFERROR(BLD_AB!W29,0),0)+IF($F$8="Yes",IFERROR(BLD_AC!W29,0),0)+IF($G$8="Yes",IFERROR(BLD_BT!W29,0),0)+IF($H$8="Yes",IFERROR(BLD_CH!W29,0),0)+IF($I$8="Yes",IFERROR(BLD_CC!W29,0),0)+IF($J$8="Yes",IFERROR(BLD_EA!W29,0),0)+IF($K$8="Yes",IFERROR(BLD_EE!W29,0),0)+IF($L$8="Yes",IFERROR(BLD_JP!W29,0),0)+IF($M$8="Yes",IFERROR(BLD_MH!W29,0),0)+IF($N$8="Yes",IFERROR(BLD_MM!W29,0),0)+IF($O$8="Yes",IFERROR(BLD_NT!W29,0),0)+IF($P$8="Yes",IFERROR(BLD_NG!W29,0),0)+IF($Q$8="Yes",IFERROR(BLD_RG!W29,0),0)+IF($R$8="Yes",IFERROR(BLD_AS!W29,0),0)+IF($S$8="Yes",IFERROR(BLD_PS!W29,0),0)+IF($T$8="Yes",IFERROR(BLD_PM!W29,0),0)+IF($U$8="Yes",IFERROR(BLD_CD!W29,0),0)</f>
        <v>1187471.405253934</v>
      </c>
      <c r="X29" s="283">
        <f>IF($E$8="Yes",IFERROR(BLD_AB!X29,0),0)+IF($F$8="Yes",IFERROR(BLD_AC!X29,0),0)+IF($G$8="Yes",IFERROR(BLD_BT!X29,0),0)+IF($H$8="Yes",IFERROR(BLD_CH!X29,0),0)+IF($I$8="Yes",IFERROR(BLD_CC!X29,0),0)+IF($J$8="Yes",IFERROR(BLD_EA!X29,0),0)+IF($K$8="Yes",IFERROR(BLD_EE!X29,0),0)+IF($L$8="Yes",IFERROR(BLD_JP!X29,0),0)+IF($M$8="Yes",IFERROR(BLD_MH!X29,0),0)+IF($N$8="Yes",IFERROR(BLD_MM!X29,0),0)+IF($O$8="Yes",IFERROR(BLD_NT!X29,0),0)+IF($P$8="Yes",IFERROR(BLD_NG!X29,0),0)+IF($Q$8="Yes",IFERROR(BLD_RG!X29,0),0)+IF($R$8="Yes",IFERROR(BLD_AS!X29,0),0)+IF($S$8="Yes",IFERROR(BLD_PS!X29,0),0)+IF($T$8="Yes",IFERROR(BLD_PM!X29,0),0)+IF($U$8="Yes",IFERROR(BLD_CD!X29,0),0)</f>
        <v>1217158.190385282</v>
      </c>
      <c r="Y29" s="283">
        <f>IF($E$8="Yes",IFERROR(BLD_AB!Y29,0),0)+IF($F$8="Yes",IFERROR(BLD_AC!Y29,0),0)+IF($G$8="Yes",IFERROR(BLD_BT!Y29,0),0)+IF($H$8="Yes",IFERROR(BLD_CH!Y29,0),0)+IF($I$8="Yes",IFERROR(BLD_CC!Y29,0),0)+IF($J$8="Yes",IFERROR(BLD_EA!Y29,0),0)+IF($K$8="Yes",IFERROR(BLD_EE!Y29,0),0)+IF($L$8="Yes",IFERROR(BLD_JP!Y29,0),0)+IF($M$8="Yes",IFERROR(BLD_MH!Y29,0),0)+IF($N$8="Yes",IFERROR(BLD_MM!Y29,0),0)+IF($O$8="Yes",IFERROR(BLD_NT!Y29,0),0)+IF($P$8="Yes",IFERROR(BLD_NG!Y29,0),0)+IF($Q$8="Yes",IFERROR(BLD_RG!Y29,0),0)+IF($R$8="Yes",IFERROR(BLD_AS!Y29,0),0)+IF($S$8="Yes",IFERROR(BLD_PS!Y29,0),0)+IF($T$8="Yes",IFERROR(BLD_PM!Y29,0),0)+IF($U$8="Yes",IFERROR(BLD_CD!Y29,0),0)</f>
        <v>1247587.1451449145</v>
      </c>
    </row>
    <row r="30" spans="3:25" ht="13.5" customHeight="1">
      <c r="C30" s="10" t="s">
        <v>346</v>
      </c>
      <c r="E30" s="283">
        <f>IF($E$8="Yes",IFERROR(BLD_AB!E30,0),0)+IF($F$8="Yes",IFERROR(BLD_AC!E30,0),0)+IF($G$8="Yes",IFERROR(BLD_BT!E30,0),0)+IF($H$8="Yes",IFERROR(BLD_CH!E30,0),0)+IF($I$8="Yes",IFERROR(BLD_CC!E30,0),0)+IF($J$8="Yes",IFERROR(BLD_EA!E30,0),0)+IF($K$8="Yes",IFERROR(BLD_EE!E30,0),0)+IF($L$8="Yes",IFERROR(BLD_JP!E30,0),0)+IF($M$8="Yes",IFERROR(BLD_MH!E30,0),0)+IF($N$8="Yes",IFERROR(BLD_MM!E30,0),0)+IF($O$8="Yes",IFERROR(BLD_NT!E30,0),0)+IF($P$8="Yes",IFERROR(BLD_NG!E30,0),0)+IF($Q$8="Yes",IFERROR(BLD_RG!E30,0),0)+IF($R$8="Yes",IFERROR(BLD_AS!E30,0),0)+IF($S$8="Yes",IFERROR(BLD_PS!E30,0),0)+IF($T$8="Yes",IFERROR(BLD_PM!E30,0),0)+IF($U$8="Yes",IFERROR(BLD_CD!E30,0),0)</f>
        <v>196484</v>
      </c>
      <c r="F30" s="283">
        <f>IF($E$8="Yes",IFERROR(BLD_AB!F30,0),0)+IF($F$8="Yes",IFERROR(BLD_AC!F30,0),0)+IF($G$8="Yes",IFERROR(BLD_BT!F30,0),0)+IF($H$8="Yes",IFERROR(BLD_CH!F30,0),0)+IF($I$8="Yes",IFERROR(BLD_CC!F30,0),0)+IF($J$8="Yes",IFERROR(BLD_EA!F30,0),0)+IF($K$8="Yes",IFERROR(BLD_EE!F30,0),0)+IF($L$8="Yes",IFERROR(BLD_JP!F30,0),0)+IF($M$8="Yes",IFERROR(BLD_MH!F30,0),0)+IF($N$8="Yes",IFERROR(BLD_MM!F30,0),0)+IF($O$8="Yes",IFERROR(BLD_NT!F30,0),0)+IF($P$8="Yes",IFERROR(BLD_NG!F30,0),0)+IF($Q$8="Yes",IFERROR(BLD_RG!F30,0),0)+IF($R$8="Yes",IFERROR(BLD_AS!F30,0),0)+IF($S$8="Yes",IFERROR(BLD_PS!F30,0),0)+IF($T$8="Yes",IFERROR(BLD_PM!F30,0),0)+IF($U$8="Yes",IFERROR(BLD_CD!F30,0),0)</f>
        <v>204343.36000000002</v>
      </c>
      <c r="G30" s="283">
        <f>IF($E$8="Yes",IFERROR(BLD_AB!G30,0),0)+IF($F$8="Yes",IFERROR(BLD_AC!G30,0),0)+IF($G$8="Yes",IFERROR(BLD_BT!G30,0),0)+IF($H$8="Yes",IFERROR(BLD_CH!G30,0),0)+IF($I$8="Yes",IFERROR(BLD_CC!G30,0),0)+IF($J$8="Yes",IFERROR(BLD_EA!G30,0),0)+IF($K$8="Yes",IFERROR(BLD_EE!G30,0),0)+IF($L$8="Yes",IFERROR(BLD_JP!G30,0),0)+IF($M$8="Yes",IFERROR(BLD_MH!G30,0),0)+IF($N$8="Yes",IFERROR(BLD_MM!G30,0),0)+IF($O$8="Yes",IFERROR(BLD_NT!G30,0),0)+IF($P$8="Yes",IFERROR(BLD_NG!G30,0),0)+IF($Q$8="Yes",IFERROR(BLD_RG!G30,0),0)+IF($R$8="Yes",IFERROR(BLD_AS!G30,0),0)+IF($S$8="Yes",IFERROR(BLD_PS!G30,0),0)+IF($T$8="Yes",IFERROR(BLD_PM!G30,0),0)+IF($U$8="Yes",IFERROR(BLD_CD!G30,0),0)</f>
        <v>212517.0944</v>
      </c>
      <c r="H30" s="283">
        <f>IF($E$8="Yes",IFERROR(BLD_AB!H30,0),0)+IF($F$8="Yes",IFERROR(BLD_AC!H30,0),0)+IF($G$8="Yes",IFERROR(BLD_BT!H30,0),0)+IF($H$8="Yes",IFERROR(BLD_CH!H30,0),0)+IF($I$8="Yes",IFERROR(BLD_CC!H30,0),0)+IF($J$8="Yes",IFERROR(BLD_EA!H30,0),0)+IF($K$8="Yes",IFERROR(BLD_EE!H30,0),0)+IF($L$8="Yes",IFERROR(BLD_JP!H30,0),0)+IF($M$8="Yes",IFERROR(BLD_MH!H30,0),0)+IF($N$8="Yes",IFERROR(BLD_MM!H30,0),0)+IF($O$8="Yes",IFERROR(BLD_NT!H30,0),0)+IF($P$8="Yes",IFERROR(BLD_NG!H30,0),0)+IF($Q$8="Yes",IFERROR(BLD_RG!H30,0),0)+IF($R$8="Yes",IFERROR(BLD_AS!H30,0),0)+IF($S$8="Yes",IFERROR(BLD_PS!H30,0),0)+IF($T$8="Yes",IFERROR(BLD_PM!H30,0),0)+IF($U$8="Yes",IFERROR(BLD_CD!H30,0),0)</f>
        <v>355996.95872000005</v>
      </c>
      <c r="I30" s="283">
        <f>IF($E$8="Yes",IFERROR(BLD_AB!I30,0),0)+IF($F$8="Yes",IFERROR(BLD_AC!I30,0),0)+IF($G$8="Yes",IFERROR(BLD_BT!I30,0),0)+IF($H$8="Yes",IFERROR(BLD_CH!I30,0),0)+IF($I$8="Yes",IFERROR(BLD_CC!I30,0),0)+IF($J$8="Yes",IFERROR(BLD_EA!I30,0),0)+IF($K$8="Yes",IFERROR(BLD_EE!I30,0),0)+IF($L$8="Yes",IFERROR(BLD_JP!I30,0),0)+IF($M$8="Yes",IFERROR(BLD_MH!I30,0),0)+IF($N$8="Yes",IFERROR(BLD_MM!I30,0),0)+IF($O$8="Yes",IFERROR(BLD_NT!I30,0),0)+IF($P$8="Yes",IFERROR(BLD_NG!I30,0),0)+IF($Q$8="Yes",IFERROR(BLD_RG!I30,0),0)+IF($R$8="Yes",IFERROR(BLD_AS!I30,0),0)+IF($S$8="Yes",IFERROR(BLD_PS!I30,0),0)+IF($T$8="Yes",IFERROR(BLD_PM!I30,0),0)+IF($U$8="Yes",IFERROR(BLD_CD!I30,0),0)</f>
        <v>403493.57621248002</v>
      </c>
      <c r="J30" s="283">
        <f>IF($E$8="Yes",IFERROR(BLD_AB!J30,0),0)+IF($F$8="Yes",IFERROR(BLD_AC!J30,0),0)+IF($G$8="Yes",IFERROR(BLD_BT!J30,0),0)+IF($H$8="Yes",IFERROR(BLD_CH!J30,0),0)+IF($I$8="Yes",IFERROR(BLD_CC!J30,0),0)+IF($J$8="Yes",IFERROR(BLD_EA!J30,0),0)+IF($K$8="Yes",IFERROR(BLD_EE!J30,0),0)+IF($L$8="Yes",IFERROR(BLD_JP!J30,0),0)+IF($M$8="Yes",IFERROR(BLD_MH!J30,0),0)+IF($N$8="Yes",IFERROR(BLD_MM!J30,0),0)+IF($O$8="Yes",IFERROR(BLD_NT!J30,0),0)+IF($P$8="Yes",IFERROR(BLD_NG!J30,0),0)+IF($Q$8="Yes",IFERROR(BLD_RG!J30,0),0)+IF($R$8="Yes",IFERROR(BLD_AS!J30,0),0)+IF($S$8="Yes",IFERROR(BLD_PS!J30,0),0)+IF($T$8="Yes",IFERROR(BLD_PM!J30,0),0)+IF($U$8="Yes",IFERROR(BLD_CD!J30,0),0)</f>
        <v>419633.3192609793</v>
      </c>
      <c r="K30" s="283">
        <f>IF($E$8="Yes",IFERROR(BLD_AB!K30,0),0)+IF($F$8="Yes",IFERROR(BLD_AC!K30,0),0)+IF($G$8="Yes",IFERROR(BLD_BT!K30,0),0)+IF($H$8="Yes",IFERROR(BLD_CH!K30,0),0)+IF($I$8="Yes",IFERROR(BLD_CC!K30,0),0)+IF($J$8="Yes",IFERROR(BLD_EA!K30,0),0)+IF($K$8="Yes",IFERROR(BLD_EE!K30,0),0)+IF($L$8="Yes",IFERROR(BLD_JP!K30,0),0)+IF($M$8="Yes",IFERROR(BLD_MH!K30,0),0)+IF($N$8="Yes",IFERROR(BLD_MM!K30,0),0)+IF($O$8="Yes",IFERROR(BLD_NT!K30,0),0)+IF($P$8="Yes",IFERROR(BLD_NG!K30,0),0)+IF($Q$8="Yes",IFERROR(BLD_RG!K30,0),0)+IF($R$8="Yes",IFERROR(BLD_AS!K30,0),0)+IF($S$8="Yes",IFERROR(BLD_PS!K30,0),0)+IF($T$8="Yes",IFERROR(BLD_PM!K30,0),0)+IF($U$8="Yes",IFERROR(BLD_CD!K30,0),0)</f>
        <v>436418.65203141852</v>
      </c>
      <c r="L30" s="283">
        <f>IF($E$8="Yes",IFERROR(BLD_AB!L30,0),0)+IF($F$8="Yes",IFERROR(BLD_AC!L30,0),0)+IF($G$8="Yes",IFERROR(BLD_BT!L30,0),0)+IF($H$8="Yes",IFERROR(BLD_CH!L30,0),0)+IF($I$8="Yes",IFERROR(BLD_CC!L30,0),0)+IF($J$8="Yes",IFERROR(BLD_EA!L30,0),0)+IF($K$8="Yes",IFERROR(BLD_EE!L30,0),0)+IF($L$8="Yes",IFERROR(BLD_JP!L30,0),0)+IF($M$8="Yes",IFERROR(BLD_MH!L30,0),0)+IF($N$8="Yes",IFERROR(BLD_MM!L30,0),0)+IF($O$8="Yes",IFERROR(BLD_NT!L30,0),0)+IF($P$8="Yes",IFERROR(BLD_NG!L30,0),0)+IF($Q$8="Yes",IFERROR(BLD_RG!L30,0),0)+IF($R$8="Yes",IFERROR(BLD_AS!L30,0),0)+IF($S$8="Yes",IFERROR(BLD_PS!L30,0),0)+IF($T$8="Yes",IFERROR(BLD_PM!L30,0),0)+IF($U$8="Yes",IFERROR(BLD_CD!L30,0),0)</f>
        <v>453875.39811267518</v>
      </c>
      <c r="M30" s="283">
        <f>IF($E$8="Yes",IFERROR(BLD_AB!M30,0),0)+IF($F$8="Yes",IFERROR(BLD_AC!M30,0),0)+IF($G$8="Yes",IFERROR(BLD_BT!M30,0),0)+IF($H$8="Yes",IFERROR(BLD_CH!M30,0),0)+IF($I$8="Yes",IFERROR(BLD_CC!M30,0),0)+IF($J$8="Yes",IFERROR(BLD_EA!M30,0),0)+IF($K$8="Yes",IFERROR(BLD_EE!M30,0),0)+IF($L$8="Yes",IFERROR(BLD_JP!M30,0),0)+IF($M$8="Yes",IFERROR(BLD_MH!M30,0),0)+IF($N$8="Yes",IFERROR(BLD_MM!M30,0),0)+IF($O$8="Yes",IFERROR(BLD_NT!M30,0),0)+IF($P$8="Yes",IFERROR(BLD_NG!M30,0),0)+IF($Q$8="Yes",IFERROR(BLD_RG!M30,0),0)+IF($R$8="Yes",IFERROR(BLD_AS!M30,0),0)+IF($S$8="Yes",IFERROR(BLD_PS!M30,0),0)+IF($T$8="Yes",IFERROR(BLD_PM!M30,0),0)+IF($U$8="Yes",IFERROR(BLD_CD!M30,0),0)</f>
        <v>472030.41403718235</v>
      </c>
      <c r="N30" s="283">
        <f>IF($E$8="Yes",IFERROR(BLD_AB!N30,0),0)+IF($F$8="Yes",IFERROR(BLD_AC!N30,0),0)+IF($G$8="Yes",IFERROR(BLD_BT!N30,0),0)+IF($H$8="Yes",IFERROR(BLD_CH!N30,0),0)+IF($I$8="Yes",IFERROR(BLD_CC!N30,0),0)+IF($J$8="Yes",IFERROR(BLD_EA!N30,0),0)+IF($K$8="Yes",IFERROR(BLD_EE!N30,0),0)+IF($L$8="Yes",IFERROR(BLD_JP!N30,0),0)+IF($M$8="Yes",IFERROR(BLD_MH!N30,0),0)+IF($N$8="Yes",IFERROR(BLD_MM!N30,0),0)+IF($O$8="Yes",IFERROR(BLD_NT!N30,0),0)+IF($P$8="Yes",IFERROR(BLD_NG!N30,0),0)+IF($Q$8="Yes",IFERROR(BLD_RG!N30,0),0)+IF($R$8="Yes",IFERROR(BLD_AS!N30,0),0)+IF($S$8="Yes",IFERROR(BLD_PS!N30,0),0)+IF($T$8="Yes",IFERROR(BLD_PM!N30,0),0)+IF($U$8="Yes",IFERROR(BLD_CD!N30,0),0)</f>
        <v>490911.63059866964</v>
      </c>
      <c r="O30" s="283">
        <f>IF($E$8="Yes",IFERROR(BLD_AB!O30,0),0)+IF($F$8="Yes",IFERROR(BLD_AC!O30,0),0)+IF($G$8="Yes",IFERROR(BLD_BT!O30,0),0)+IF($H$8="Yes",IFERROR(BLD_CH!O30,0),0)+IF($I$8="Yes",IFERROR(BLD_CC!O30,0),0)+IF($J$8="Yes",IFERROR(BLD_EA!O30,0),0)+IF($K$8="Yes",IFERROR(BLD_EE!O30,0),0)+IF($L$8="Yes",IFERROR(BLD_JP!O30,0),0)+IF($M$8="Yes",IFERROR(BLD_MH!O30,0),0)+IF($N$8="Yes",IFERROR(BLD_MM!O30,0),0)+IF($O$8="Yes",IFERROR(BLD_NT!O30,0),0)+IF($P$8="Yes",IFERROR(BLD_NG!O30,0),0)+IF($Q$8="Yes",IFERROR(BLD_RG!O30,0),0)+IF($R$8="Yes",IFERROR(BLD_AS!O30,0),0)+IF($S$8="Yes",IFERROR(BLD_PS!O30,0),0)+IF($T$8="Yes",IFERROR(BLD_PM!O30,0),0)+IF($U$8="Yes",IFERROR(BLD_CD!O30,0),0)</f>
        <v>503184.42136363633</v>
      </c>
      <c r="P30" s="283">
        <f>IF($E$8="Yes",IFERROR(BLD_AB!P30,0),0)+IF($F$8="Yes",IFERROR(BLD_AC!P30,0),0)+IF($G$8="Yes",IFERROR(BLD_BT!P30,0),0)+IF($H$8="Yes",IFERROR(BLD_CH!P30,0),0)+IF($I$8="Yes",IFERROR(BLD_CC!P30,0),0)+IF($J$8="Yes",IFERROR(BLD_EA!P30,0),0)+IF($K$8="Yes",IFERROR(BLD_EE!P30,0),0)+IF($L$8="Yes",IFERROR(BLD_JP!P30,0),0)+IF($M$8="Yes",IFERROR(BLD_MH!P30,0),0)+IF($N$8="Yes",IFERROR(BLD_MM!P30,0),0)+IF($O$8="Yes",IFERROR(BLD_NT!P30,0),0)+IF($P$8="Yes",IFERROR(BLD_NG!P30,0),0)+IF($Q$8="Yes",IFERROR(BLD_RG!P30,0),0)+IF($R$8="Yes",IFERROR(BLD_AS!P30,0),0)+IF($S$8="Yes",IFERROR(BLD_PS!P30,0),0)+IF($T$8="Yes",IFERROR(BLD_PM!P30,0),0)+IF($U$8="Yes",IFERROR(BLD_CD!P30,0),0)</f>
        <v>515764.03189772723</v>
      </c>
      <c r="Q30" s="283">
        <f>IF($E$8="Yes",IFERROR(BLD_AB!Q30,0),0)+IF($F$8="Yes",IFERROR(BLD_AC!Q30,0),0)+IF($G$8="Yes",IFERROR(BLD_BT!Q30,0),0)+IF($H$8="Yes",IFERROR(BLD_CH!Q30,0),0)+IF($I$8="Yes",IFERROR(BLD_CC!Q30,0),0)+IF($J$8="Yes",IFERROR(BLD_EA!Q30,0),0)+IF($K$8="Yes",IFERROR(BLD_EE!Q30,0),0)+IF($L$8="Yes",IFERROR(BLD_JP!Q30,0),0)+IF($M$8="Yes",IFERROR(BLD_MH!Q30,0),0)+IF($N$8="Yes",IFERROR(BLD_MM!Q30,0),0)+IF($O$8="Yes",IFERROR(BLD_NT!Q30,0),0)+IF($P$8="Yes",IFERROR(BLD_NG!Q30,0),0)+IF($Q$8="Yes",IFERROR(BLD_RG!Q30,0),0)+IF($R$8="Yes",IFERROR(BLD_AS!Q30,0),0)+IF($S$8="Yes",IFERROR(BLD_PS!Q30,0),0)+IF($T$8="Yes",IFERROR(BLD_PM!Q30,0),0)+IF($U$8="Yes",IFERROR(BLD_CD!Q30,0),0)</f>
        <v>528658.13269517035</v>
      </c>
      <c r="R30" s="283">
        <f>IF($E$8="Yes",IFERROR(BLD_AB!R30,0),0)+IF($F$8="Yes",IFERROR(BLD_AC!R30,0),0)+IF($G$8="Yes",IFERROR(BLD_BT!R30,0),0)+IF($H$8="Yes",IFERROR(BLD_CH!R30,0),0)+IF($I$8="Yes",IFERROR(BLD_CC!R30,0),0)+IF($J$8="Yes",IFERROR(BLD_EA!R30,0),0)+IF($K$8="Yes",IFERROR(BLD_EE!R30,0),0)+IF($L$8="Yes",IFERROR(BLD_JP!R30,0),0)+IF($M$8="Yes",IFERROR(BLD_MH!R30,0),0)+IF($N$8="Yes",IFERROR(BLD_MM!R30,0),0)+IF($O$8="Yes",IFERROR(BLD_NT!R30,0),0)+IF($P$8="Yes",IFERROR(BLD_NG!R30,0),0)+IF($Q$8="Yes",IFERROR(BLD_RG!R30,0),0)+IF($R$8="Yes",IFERROR(BLD_AS!R30,0),0)+IF($S$8="Yes",IFERROR(BLD_PS!R30,0),0)+IF($T$8="Yes",IFERROR(BLD_PM!R30,0),0)+IF($U$8="Yes",IFERROR(BLD_CD!R30,0),0)</f>
        <v>541874.58601254958</v>
      </c>
      <c r="S30" s="283">
        <f>IF($E$8="Yes",IFERROR(BLD_AB!S30,0),0)+IF($F$8="Yes",IFERROR(BLD_AC!S30,0),0)+IF($G$8="Yes",IFERROR(BLD_BT!S30,0),0)+IF($H$8="Yes",IFERROR(BLD_CH!S30,0),0)+IF($I$8="Yes",IFERROR(BLD_CC!S30,0),0)+IF($J$8="Yes",IFERROR(BLD_EA!S30,0),0)+IF($K$8="Yes",IFERROR(BLD_EE!S30,0),0)+IF($L$8="Yes",IFERROR(BLD_JP!S30,0),0)+IF($M$8="Yes",IFERROR(BLD_MH!S30,0),0)+IF($N$8="Yes",IFERROR(BLD_MM!S30,0),0)+IF($O$8="Yes",IFERROR(BLD_NT!S30,0),0)+IF($P$8="Yes",IFERROR(BLD_NG!S30,0),0)+IF($Q$8="Yes",IFERROR(BLD_RG!S30,0),0)+IF($R$8="Yes",IFERROR(BLD_AS!S30,0),0)+IF($S$8="Yes",IFERROR(BLD_PS!S30,0),0)+IF($T$8="Yes",IFERROR(BLD_PM!S30,0),0)+IF($U$8="Yes",IFERROR(BLD_CD!S30,0),0)</f>
        <v>555421.45066286321</v>
      </c>
      <c r="T30" s="283">
        <f>IF($E$8="Yes",IFERROR(BLD_AB!T30,0),0)+IF($F$8="Yes",IFERROR(BLD_AC!T30,0),0)+IF($G$8="Yes",IFERROR(BLD_BT!T30,0),0)+IF($H$8="Yes",IFERROR(BLD_CH!T30,0),0)+IF($I$8="Yes",IFERROR(BLD_CC!T30,0),0)+IF($J$8="Yes",IFERROR(BLD_EA!T30,0),0)+IF($K$8="Yes",IFERROR(BLD_EE!T30,0),0)+IF($L$8="Yes",IFERROR(BLD_JP!T30,0),0)+IF($M$8="Yes",IFERROR(BLD_MH!T30,0),0)+IF($N$8="Yes",IFERROR(BLD_MM!T30,0),0)+IF($O$8="Yes",IFERROR(BLD_NT!T30,0),0)+IF($P$8="Yes",IFERROR(BLD_NG!T30,0),0)+IF($Q$8="Yes",IFERROR(BLD_RG!T30,0),0)+IF($R$8="Yes",IFERROR(BLD_AS!T30,0),0)+IF($S$8="Yes",IFERROR(BLD_PS!T30,0),0)+IF($T$8="Yes",IFERROR(BLD_PM!T30,0),0)+IF($U$8="Yes",IFERROR(BLD_CD!T30,0),0)</f>
        <v>569306.98692943482</v>
      </c>
      <c r="U30" s="283">
        <f>IF($E$8="Yes",IFERROR(BLD_AB!U30,0),0)+IF($F$8="Yes",IFERROR(BLD_AC!U30,0),0)+IF($G$8="Yes",IFERROR(BLD_BT!U30,0),0)+IF($H$8="Yes",IFERROR(BLD_CH!U30,0),0)+IF($I$8="Yes",IFERROR(BLD_CC!U30,0),0)+IF($J$8="Yes",IFERROR(BLD_EA!U30,0),0)+IF($K$8="Yes",IFERROR(BLD_EE!U30,0),0)+IF($L$8="Yes",IFERROR(BLD_JP!U30,0),0)+IF($M$8="Yes",IFERROR(BLD_MH!U30,0),0)+IF($N$8="Yes",IFERROR(BLD_MM!U30,0),0)+IF($O$8="Yes",IFERROR(BLD_NT!U30,0),0)+IF($P$8="Yes",IFERROR(BLD_NG!U30,0),0)+IF($Q$8="Yes",IFERROR(BLD_RG!U30,0),0)+IF($R$8="Yes",IFERROR(BLD_AS!U30,0),0)+IF($S$8="Yes",IFERROR(BLD_PS!U30,0),0)+IF($T$8="Yes",IFERROR(BLD_PM!U30,0),0)+IF($U$8="Yes",IFERROR(BLD_CD!U30,0),0)</f>
        <v>583539.66160267079</v>
      </c>
      <c r="V30" s="283">
        <f>IF($E$8="Yes",IFERROR(BLD_AB!V30,0),0)+IF($F$8="Yes",IFERROR(BLD_AC!V30,0),0)+IF($G$8="Yes",IFERROR(BLD_BT!V30,0),0)+IF($H$8="Yes",IFERROR(BLD_CH!V30,0),0)+IF($I$8="Yes",IFERROR(BLD_CC!V30,0),0)+IF($J$8="Yes",IFERROR(BLD_EA!V30,0),0)+IF($K$8="Yes",IFERROR(BLD_EE!V30,0),0)+IF($L$8="Yes",IFERROR(BLD_JP!V30,0),0)+IF($M$8="Yes",IFERROR(BLD_MH!V30,0),0)+IF($N$8="Yes",IFERROR(BLD_MM!V30,0),0)+IF($O$8="Yes",IFERROR(BLD_NT!V30,0),0)+IF($P$8="Yes",IFERROR(BLD_NG!V30,0),0)+IF($Q$8="Yes",IFERROR(BLD_RG!V30,0),0)+IF($R$8="Yes",IFERROR(BLD_AS!V30,0),0)+IF($S$8="Yes",IFERROR(BLD_PS!V30,0),0)+IF($T$8="Yes",IFERROR(BLD_PM!V30,0),0)+IF($U$8="Yes",IFERROR(BLD_CD!V30,0),0)</f>
        <v>598128.15314273746</v>
      </c>
      <c r="W30" s="283">
        <f>IF($E$8="Yes",IFERROR(BLD_AB!W30,0),0)+IF($F$8="Yes",IFERROR(BLD_AC!W30,0),0)+IF($G$8="Yes",IFERROR(BLD_BT!W30,0),0)+IF($H$8="Yes",IFERROR(BLD_CH!W30,0),0)+IF($I$8="Yes",IFERROR(BLD_CC!W30,0),0)+IF($J$8="Yes",IFERROR(BLD_EA!W30,0),0)+IF($K$8="Yes",IFERROR(BLD_EE!W30,0),0)+IF($L$8="Yes",IFERROR(BLD_JP!W30,0),0)+IF($M$8="Yes",IFERROR(BLD_MH!W30,0),0)+IF($N$8="Yes",IFERROR(BLD_MM!W30,0),0)+IF($O$8="Yes",IFERROR(BLD_NT!W30,0),0)+IF($P$8="Yes",IFERROR(BLD_NG!W30,0),0)+IF($Q$8="Yes",IFERROR(BLD_RG!W30,0),0)+IF($R$8="Yes",IFERROR(BLD_AS!W30,0),0)+IF($S$8="Yes",IFERROR(BLD_PS!W30,0),0)+IF($T$8="Yes",IFERROR(BLD_PM!W30,0),0)+IF($U$8="Yes",IFERROR(BLD_CD!W30,0),0)</f>
        <v>613081.35697130568</v>
      </c>
      <c r="X30" s="283">
        <f>IF($E$8="Yes",IFERROR(BLD_AB!X30,0),0)+IF($F$8="Yes",IFERROR(BLD_AC!X30,0),0)+IF($G$8="Yes",IFERROR(BLD_BT!X30,0),0)+IF($H$8="Yes",IFERROR(BLD_CH!X30,0),0)+IF($I$8="Yes",IFERROR(BLD_CC!X30,0),0)+IF($J$8="Yes",IFERROR(BLD_EA!X30,0),0)+IF($K$8="Yes",IFERROR(BLD_EE!X30,0),0)+IF($L$8="Yes",IFERROR(BLD_JP!X30,0),0)+IF($M$8="Yes",IFERROR(BLD_MH!X30,0),0)+IF($N$8="Yes",IFERROR(BLD_MM!X30,0),0)+IF($O$8="Yes",IFERROR(BLD_NT!X30,0),0)+IF($P$8="Yes",IFERROR(BLD_NG!X30,0),0)+IF($Q$8="Yes",IFERROR(BLD_RG!X30,0),0)+IF($R$8="Yes",IFERROR(BLD_AS!X30,0),0)+IF($S$8="Yes",IFERROR(BLD_PS!X30,0),0)+IF($T$8="Yes",IFERROR(BLD_PM!X30,0),0)+IF($U$8="Yes",IFERROR(BLD_CD!X30,0),0)</f>
        <v>628408.39089558844</v>
      </c>
      <c r="Y30" s="283">
        <f>IF($E$8="Yes",IFERROR(BLD_AB!Y30,0),0)+IF($F$8="Yes",IFERROR(BLD_AC!Y30,0),0)+IF($G$8="Yes",IFERROR(BLD_BT!Y30,0),0)+IF($H$8="Yes",IFERROR(BLD_CH!Y30,0),0)+IF($I$8="Yes",IFERROR(BLD_CC!Y30,0),0)+IF($J$8="Yes",IFERROR(BLD_EA!Y30,0),0)+IF($K$8="Yes",IFERROR(BLD_EE!Y30,0),0)+IF($L$8="Yes",IFERROR(BLD_JP!Y30,0),0)+IF($M$8="Yes",IFERROR(BLD_MH!Y30,0),0)+IF($N$8="Yes",IFERROR(BLD_MM!Y30,0),0)+IF($O$8="Yes",IFERROR(BLD_NT!Y30,0),0)+IF($P$8="Yes",IFERROR(BLD_NG!Y30,0),0)+IF($Q$8="Yes",IFERROR(BLD_RG!Y30,0),0)+IF($R$8="Yes",IFERROR(BLD_AS!Y30,0),0)+IF($S$8="Yes",IFERROR(BLD_PS!Y30,0),0)+IF($T$8="Yes",IFERROR(BLD_PM!Y30,0),0)+IF($U$8="Yes",IFERROR(BLD_CD!Y30,0),0)</f>
        <v>644118.60066797817</v>
      </c>
    </row>
    <row r="31" spans="3:25" ht="13.5" customHeight="1">
      <c r="C31" s="10" t="s">
        <v>347</v>
      </c>
      <c r="E31" s="283">
        <f>IF($E$8="Yes",IFERROR(BLD_AB!E31,0),0)+IF($F$8="Yes",IFERROR(BLD_AC!E31,0),0)+IF($G$8="Yes",IFERROR(BLD_BT!E31,0),0)+IF($H$8="Yes",IFERROR(BLD_CH!E31,0),0)+IF($I$8="Yes",IFERROR(BLD_CC!E31,0),0)+IF($J$8="Yes",IFERROR(BLD_EA!E31,0),0)+IF($K$8="Yes",IFERROR(BLD_EE!E31,0),0)+IF($L$8="Yes",IFERROR(BLD_JP!E31,0),0)+IF($M$8="Yes",IFERROR(BLD_MH!E31,0),0)+IF($N$8="Yes",IFERROR(BLD_MM!E31,0),0)+IF($O$8="Yes",IFERROR(BLD_NT!E31,0),0)+IF($P$8="Yes",IFERROR(BLD_NG!E31,0),0)+IF($Q$8="Yes",IFERROR(BLD_RG!E31,0),0)+IF($R$8="Yes",IFERROR(BLD_AS!E31,0),0)+IF($S$8="Yes",IFERROR(BLD_PS!E31,0),0)+IF($T$8="Yes",IFERROR(BLD_PM!E31,0),0)+IF($U$8="Yes",IFERROR(BLD_CD!E31,0),0)</f>
        <v>425005</v>
      </c>
      <c r="F31" s="283">
        <f>IF($E$8="Yes",IFERROR(BLD_AB!F31,0),0)+IF($F$8="Yes",IFERROR(BLD_AC!F31,0),0)+IF($G$8="Yes",IFERROR(BLD_BT!F31,0),0)+IF($H$8="Yes",IFERROR(BLD_CH!F31,0),0)+IF($I$8="Yes",IFERROR(BLD_CC!F31,0),0)+IF($J$8="Yes",IFERROR(BLD_EA!F31,0),0)+IF($K$8="Yes",IFERROR(BLD_EE!F31,0),0)+IF($L$8="Yes",IFERROR(BLD_JP!F31,0),0)+IF($M$8="Yes",IFERROR(BLD_MH!F31,0),0)+IF($N$8="Yes",IFERROR(BLD_MM!F31,0),0)+IF($O$8="Yes",IFERROR(BLD_NT!F31,0),0)+IF($P$8="Yes",IFERROR(BLD_NG!F31,0),0)+IF($Q$8="Yes",IFERROR(BLD_RG!F31,0),0)+IF($R$8="Yes",IFERROR(BLD_AS!F31,0),0)+IF($S$8="Yes",IFERROR(BLD_PS!F31,0),0)+IF($T$8="Yes",IFERROR(BLD_PM!F31,0),0)+IF($U$8="Yes",IFERROR(BLD_CD!F31,0),0)</f>
        <v>442005.2</v>
      </c>
      <c r="G31" s="283">
        <f>IF($E$8="Yes",IFERROR(BLD_AB!G31,0),0)+IF($F$8="Yes",IFERROR(BLD_AC!G31,0),0)+IF($G$8="Yes",IFERROR(BLD_BT!G31,0),0)+IF($H$8="Yes",IFERROR(BLD_CH!G31,0),0)+IF($I$8="Yes",IFERROR(BLD_CC!G31,0),0)+IF($J$8="Yes",IFERROR(BLD_EA!G31,0),0)+IF($K$8="Yes",IFERROR(BLD_EE!G31,0),0)+IF($L$8="Yes",IFERROR(BLD_JP!G31,0),0)+IF($M$8="Yes",IFERROR(BLD_MH!G31,0),0)+IF($N$8="Yes",IFERROR(BLD_MM!G31,0),0)+IF($O$8="Yes",IFERROR(BLD_NT!G31,0),0)+IF($P$8="Yes",IFERROR(BLD_NG!G31,0),0)+IF($Q$8="Yes",IFERROR(BLD_RG!G31,0),0)+IF($R$8="Yes",IFERROR(BLD_AS!G31,0),0)+IF($S$8="Yes",IFERROR(BLD_PS!G31,0),0)+IF($T$8="Yes",IFERROR(BLD_PM!G31,0),0)+IF($U$8="Yes",IFERROR(BLD_CD!G31,0),0)</f>
        <v>459685.408</v>
      </c>
      <c r="H31" s="283">
        <f>IF($E$8="Yes",IFERROR(BLD_AB!H31,0),0)+IF($F$8="Yes",IFERROR(BLD_AC!H31,0),0)+IF($G$8="Yes",IFERROR(BLD_BT!H31,0),0)+IF($H$8="Yes",IFERROR(BLD_CH!H31,0),0)+IF($I$8="Yes",IFERROR(BLD_CC!H31,0),0)+IF($J$8="Yes",IFERROR(BLD_EA!H31,0),0)+IF($K$8="Yes",IFERROR(BLD_EE!H31,0),0)+IF($L$8="Yes",IFERROR(BLD_JP!H31,0),0)+IF($M$8="Yes",IFERROR(BLD_MH!H31,0),0)+IF($N$8="Yes",IFERROR(BLD_MM!H31,0),0)+IF($O$8="Yes",IFERROR(BLD_NT!H31,0),0)+IF($P$8="Yes",IFERROR(BLD_NG!H31,0),0)+IF($Q$8="Yes",IFERROR(BLD_RG!H31,0),0)+IF($R$8="Yes",IFERROR(BLD_AS!H31,0),0)+IF($S$8="Yes",IFERROR(BLD_PS!H31,0),0)+IF($T$8="Yes",IFERROR(BLD_PM!H31,0),0)+IF($U$8="Yes",IFERROR(BLD_CD!H31,0),0)</f>
        <v>669295.20486399997</v>
      </c>
      <c r="I31" s="283">
        <f>IF($E$8="Yes",IFERROR(BLD_AB!I31,0),0)+IF($F$8="Yes",IFERROR(BLD_AC!I31,0),0)+IF($G$8="Yes",IFERROR(BLD_BT!I31,0),0)+IF($H$8="Yes",IFERROR(BLD_CH!I31,0),0)+IF($I$8="Yes",IFERROR(BLD_CC!I31,0),0)+IF($J$8="Yes",IFERROR(BLD_EA!I31,0),0)+IF($K$8="Yes",IFERROR(BLD_EE!I31,0),0)+IF($L$8="Yes",IFERROR(BLD_JP!I31,0),0)+IF($M$8="Yes",IFERROR(BLD_MH!I31,0),0)+IF($N$8="Yes",IFERROR(BLD_MM!I31,0),0)+IF($O$8="Yes",IFERROR(BLD_NT!I31,0),0)+IF($P$8="Yes",IFERROR(BLD_NG!I31,0),0)+IF($Q$8="Yes",IFERROR(BLD_RG!I31,0),0)+IF($R$8="Yes",IFERROR(BLD_AS!I31,0),0)+IF($S$8="Yes",IFERROR(BLD_PS!I31,0),0)+IF($T$8="Yes",IFERROR(BLD_PM!I31,0),0)+IF($U$8="Yes",IFERROR(BLD_CD!I31,0),0)</f>
        <v>834637.92934912012</v>
      </c>
      <c r="J31" s="283">
        <f>IF($E$8="Yes",IFERROR(BLD_AB!J31,0),0)+IF($F$8="Yes",IFERROR(BLD_AC!J31,0),0)+IF($G$8="Yes",IFERROR(BLD_BT!J31,0),0)+IF($H$8="Yes",IFERROR(BLD_CH!J31,0),0)+IF($I$8="Yes",IFERROR(BLD_CC!J31,0),0)+IF($J$8="Yes",IFERROR(BLD_EA!J31,0),0)+IF($K$8="Yes",IFERROR(BLD_EE!J31,0),0)+IF($L$8="Yes",IFERROR(BLD_JP!J31,0),0)+IF($M$8="Yes",IFERROR(BLD_MH!J31,0),0)+IF($N$8="Yes",IFERROR(BLD_MM!J31,0),0)+IF($O$8="Yes",IFERROR(BLD_NT!J31,0),0)+IF($P$8="Yes",IFERROR(BLD_NG!J31,0),0)+IF($Q$8="Yes",IFERROR(BLD_RG!J31,0),0)+IF($R$8="Yes",IFERROR(BLD_AS!J31,0),0)+IF($S$8="Yes",IFERROR(BLD_PS!J31,0),0)+IF($T$8="Yes",IFERROR(BLD_PM!J31,0),0)+IF($U$8="Yes",IFERROR(BLD_CD!J31,0),0)</f>
        <v>868023.44652308512</v>
      </c>
      <c r="K31" s="283">
        <f>IF($E$8="Yes",IFERROR(BLD_AB!K31,0),0)+IF($F$8="Yes",IFERROR(BLD_AC!K31,0),0)+IF($G$8="Yes",IFERROR(BLD_BT!K31,0),0)+IF($H$8="Yes",IFERROR(BLD_CH!K31,0),0)+IF($I$8="Yes",IFERROR(BLD_CC!K31,0),0)+IF($J$8="Yes",IFERROR(BLD_EA!K31,0),0)+IF($K$8="Yes",IFERROR(BLD_EE!K31,0),0)+IF($L$8="Yes",IFERROR(BLD_JP!K31,0),0)+IF($M$8="Yes",IFERROR(BLD_MH!K31,0),0)+IF($N$8="Yes",IFERROR(BLD_MM!K31,0),0)+IF($O$8="Yes",IFERROR(BLD_NT!K31,0),0)+IF($P$8="Yes",IFERROR(BLD_NG!K31,0),0)+IF($Q$8="Yes",IFERROR(BLD_RG!K31,0),0)+IF($R$8="Yes",IFERROR(BLD_AS!K31,0),0)+IF($S$8="Yes",IFERROR(BLD_PS!K31,0),0)+IF($T$8="Yes",IFERROR(BLD_PM!K31,0),0)+IF($U$8="Yes",IFERROR(BLD_CD!K31,0),0)</f>
        <v>902744.38438400836</v>
      </c>
      <c r="L31" s="283">
        <f>IF($E$8="Yes",IFERROR(BLD_AB!L31,0),0)+IF($F$8="Yes",IFERROR(BLD_AC!L31,0),0)+IF($G$8="Yes",IFERROR(BLD_BT!L31,0),0)+IF($H$8="Yes",IFERROR(BLD_CH!L31,0),0)+IF($I$8="Yes",IFERROR(BLD_CC!L31,0),0)+IF($J$8="Yes",IFERROR(BLD_EA!L31,0),0)+IF($K$8="Yes",IFERROR(BLD_EE!L31,0),0)+IF($L$8="Yes",IFERROR(BLD_JP!L31,0),0)+IF($M$8="Yes",IFERROR(BLD_MH!L31,0),0)+IF($N$8="Yes",IFERROR(BLD_MM!L31,0),0)+IF($O$8="Yes",IFERROR(BLD_NT!L31,0),0)+IF($P$8="Yes",IFERROR(BLD_NG!L31,0),0)+IF($Q$8="Yes",IFERROR(BLD_RG!L31,0),0)+IF($R$8="Yes",IFERROR(BLD_AS!L31,0),0)+IF($S$8="Yes",IFERROR(BLD_PS!L31,0),0)+IF($T$8="Yes",IFERROR(BLD_PM!L31,0),0)+IF($U$8="Yes",IFERROR(BLD_CD!L31,0),0)</f>
        <v>938854.15975936863</v>
      </c>
      <c r="M31" s="283">
        <f>IF($E$8="Yes",IFERROR(BLD_AB!M31,0),0)+IF($F$8="Yes",IFERROR(BLD_AC!M31,0),0)+IF($G$8="Yes",IFERROR(BLD_BT!M31,0),0)+IF($H$8="Yes",IFERROR(BLD_CH!M31,0),0)+IF($I$8="Yes",IFERROR(BLD_CC!M31,0),0)+IF($J$8="Yes",IFERROR(BLD_EA!M31,0),0)+IF($K$8="Yes",IFERROR(BLD_EE!M31,0),0)+IF($L$8="Yes",IFERROR(BLD_JP!M31,0),0)+IF($M$8="Yes",IFERROR(BLD_MH!M31,0),0)+IF($N$8="Yes",IFERROR(BLD_MM!M31,0),0)+IF($O$8="Yes",IFERROR(BLD_NT!M31,0),0)+IF($P$8="Yes",IFERROR(BLD_NG!M31,0),0)+IF($Q$8="Yes",IFERROR(BLD_RG!M31,0),0)+IF($R$8="Yes",IFERROR(BLD_AS!M31,0),0)+IF($S$8="Yes",IFERROR(BLD_PS!M31,0),0)+IF($T$8="Yes",IFERROR(BLD_PM!M31,0),0)+IF($U$8="Yes",IFERROR(BLD_CD!M31,0),0)</f>
        <v>976408.32614974352</v>
      </c>
      <c r="N31" s="283">
        <f>IF($E$8="Yes",IFERROR(BLD_AB!N31,0),0)+IF($F$8="Yes",IFERROR(BLD_AC!N31,0),0)+IF($G$8="Yes",IFERROR(BLD_BT!N31,0),0)+IF($H$8="Yes",IFERROR(BLD_CH!N31,0),0)+IF($I$8="Yes",IFERROR(BLD_CC!N31,0),0)+IF($J$8="Yes",IFERROR(BLD_EA!N31,0),0)+IF($K$8="Yes",IFERROR(BLD_EE!N31,0),0)+IF($L$8="Yes",IFERROR(BLD_JP!N31,0),0)+IF($M$8="Yes",IFERROR(BLD_MH!N31,0),0)+IF($N$8="Yes",IFERROR(BLD_MM!N31,0),0)+IF($O$8="Yes",IFERROR(BLD_NT!N31,0),0)+IF($P$8="Yes",IFERROR(BLD_NG!N31,0),0)+IF($Q$8="Yes",IFERROR(BLD_RG!N31,0),0)+IF($R$8="Yes",IFERROR(BLD_AS!N31,0),0)+IF($S$8="Yes",IFERROR(BLD_PS!N31,0),0)+IF($T$8="Yes",IFERROR(BLD_PM!N31,0),0)+IF($U$8="Yes",IFERROR(BLD_CD!N31,0),0)</f>
        <v>1015464.6591957335</v>
      </c>
      <c r="O31" s="283">
        <f>IF($E$8="Yes",IFERROR(BLD_AB!O31,0),0)+IF($F$8="Yes",IFERROR(BLD_AC!O31,0),0)+IF($G$8="Yes",IFERROR(BLD_BT!O31,0),0)+IF($H$8="Yes",IFERROR(BLD_CH!O31,0),0)+IF($I$8="Yes",IFERROR(BLD_CC!O31,0),0)+IF($J$8="Yes",IFERROR(BLD_EA!O31,0),0)+IF($K$8="Yes",IFERROR(BLD_EE!O31,0),0)+IF($L$8="Yes",IFERROR(BLD_JP!O31,0),0)+IF($M$8="Yes",IFERROR(BLD_MH!O31,0),0)+IF($N$8="Yes",IFERROR(BLD_MM!O31,0),0)+IF($O$8="Yes",IFERROR(BLD_NT!O31,0),0)+IF($P$8="Yes",IFERROR(BLD_NG!O31,0),0)+IF($Q$8="Yes",IFERROR(BLD_RG!O31,0),0)+IF($R$8="Yes",IFERROR(BLD_AS!O31,0),0)+IF($S$8="Yes",IFERROR(BLD_PS!O31,0),0)+IF($T$8="Yes",IFERROR(BLD_PM!O31,0),0)+IF($U$8="Yes",IFERROR(BLD_CD!O31,0),0)</f>
        <v>1040851.2756756269</v>
      </c>
      <c r="P31" s="283">
        <f>IF($E$8="Yes",IFERROR(BLD_AB!P31,0),0)+IF($F$8="Yes",IFERROR(BLD_AC!P31,0),0)+IF($G$8="Yes",IFERROR(BLD_BT!P31,0),0)+IF($H$8="Yes",IFERROR(BLD_CH!P31,0),0)+IF($I$8="Yes",IFERROR(BLD_CC!P31,0),0)+IF($J$8="Yes",IFERROR(BLD_EA!P31,0),0)+IF($K$8="Yes",IFERROR(BLD_EE!P31,0),0)+IF($L$8="Yes",IFERROR(BLD_JP!P31,0),0)+IF($M$8="Yes",IFERROR(BLD_MH!P31,0),0)+IF($N$8="Yes",IFERROR(BLD_MM!P31,0),0)+IF($O$8="Yes",IFERROR(BLD_NT!P31,0),0)+IF($P$8="Yes",IFERROR(BLD_NG!P31,0),0)+IF($Q$8="Yes",IFERROR(BLD_RG!P31,0),0)+IF($R$8="Yes",IFERROR(BLD_AS!P31,0),0)+IF($S$8="Yes",IFERROR(BLD_PS!P31,0),0)+IF($T$8="Yes",IFERROR(BLD_PM!P31,0),0)+IF($U$8="Yes",IFERROR(BLD_CD!P31,0),0)</f>
        <v>1066872.5575675173</v>
      </c>
      <c r="Q31" s="283">
        <f>IF($E$8="Yes",IFERROR(BLD_AB!Q31,0),0)+IF($F$8="Yes",IFERROR(BLD_AC!Q31,0),0)+IF($G$8="Yes",IFERROR(BLD_BT!Q31,0),0)+IF($H$8="Yes",IFERROR(BLD_CH!Q31,0),0)+IF($I$8="Yes",IFERROR(BLD_CC!Q31,0),0)+IF($J$8="Yes",IFERROR(BLD_EA!Q31,0),0)+IF($K$8="Yes",IFERROR(BLD_EE!Q31,0),0)+IF($L$8="Yes",IFERROR(BLD_JP!Q31,0),0)+IF($M$8="Yes",IFERROR(BLD_MH!Q31,0),0)+IF($N$8="Yes",IFERROR(BLD_MM!Q31,0),0)+IF($O$8="Yes",IFERROR(BLD_NT!Q31,0),0)+IF($P$8="Yes",IFERROR(BLD_NG!Q31,0),0)+IF($Q$8="Yes",IFERROR(BLD_RG!Q31,0),0)+IF($R$8="Yes",IFERROR(BLD_AS!Q31,0),0)+IF($S$8="Yes",IFERROR(BLD_PS!Q31,0),0)+IF($T$8="Yes",IFERROR(BLD_PM!Q31,0),0)+IF($U$8="Yes",IFERROR(BLD_CD!Q31,0),0)</f>
        <v>1093544.3715067054</v>
      </c>
      <c r="R31" s="283">
        <f>IF($E$8="Yes",IFERROR(BLD_AB!R31,0),0)+IF($F$8="Yes",IFERROR(BLD_AC!R31,0),0)+IF($G$8="Yes",IFERROR(BLD_BT!R31,0),0)+IF($H$8="Yes",IFERROR(BLD_CH!R31,0),0)+IF($I$8="Yes",IFERROR(BLD_CC!R31,0),0)+IF($J$8="Yes",IFERROR(BLD_EA!R31,0),0)+IF($K$8="Yes",IFERROR(BLD_EE!R31,0),0)+IF($L$8="Yes",IFERROR(BLD_JP!R31,0),0)+IF($M$8="Yes",IFERROR(BLD_MH!R31,0),0)+IF($N$8="Yes",IFERROR(BLD_MM!R31,0),0)+IF($O$8="Yes",IFERROR(BLD_NT!R31,0),0)+IF($P$8="Yes",IFERROR(BLD_NG!R31,0),0)+IF($Q$8="Yes",IFERROR(BLD_RG!R31,0),0)+IF($R$8="Yes",IFERROR(BLD_AS!R31,0),0)+IF($S$8="Yes",IFERROR(BLD_PS!R31,0),0)+IF($T$8="Yes",IFERROR(BLD_PM!R31,0),0)+IF($U$8="Yes",IFERROR(BLD_CD!R31,0),0)</f>
        <v>1120882.9807943727</v>
      </c>
      <c r="S31" s="283">
        <f>IF($E$8="Yes",IFERROR(BLD_AB!S31,0),0)+IF($F$8="Yes",IFERROR(BLD_AC!S31,0),0)+IF($G$8="Yes",IFERROR(BLD_BT!S31,0),0)+IF($H$8="Yes",IFERROR(BLD_CH!S31,0),0)+IF($I$8="Yes",IFERROR(BLD_CC!S31,0),0)+IF($J$8="Yes",IFERROR(BLD_EA!S31,0),0)+IF($K$8="Yes",IFERROR(BLD_EE!S31,0),0)+IF($L$8="Yes",IFERROR(BLD_JP!S31,0),0)+IF($M$8="Yes",IFERROR(BLD_MH!S31,0),0)+IF($N$8="Yes",IFERROR(BLD_MM!S31,0),0)+IF($O$8="Yes",IFERROR(BLD_NT!S31,0),0)+IF($P$8="Yes",IFERROR(BLD_NG!S31,0),0)+IF($Q$8="Yes",IFERROR(BLD_RG!S31,0),0)+IF($R$8="Yes",IFERROR(BLD_AS!S31,0),0)+IF($S$8="Yes",IFERROR(BLD_PS!S31,0),0)+IF($T$8="Yes",IFERROR(BLD_PM!S31,0),0)+IF($U$8="Yes",IFERROR(BLD_CD!S31,0),0)</f>
        <v>1148905.0553142319</v>
      </c>
      <c r="T31" s="283">
        <f>IF($E$8="Yes",IFERROR(BLD_AB!T31,0),0)+IF($F$8="Yes",IFERROR(BLD_AC!T31,0),0)+IF($G$8="Yes",IFERROR(BLD_BT!T31,0),0)+IF($H$8="Yes",IFERROR(BLD_CH!T31,0),0)+IF($I$8="Yes",IFERROR(BLD_CC!T31,0),0)+IF($J$8="Yes",IFERROR(BLD_EA!T31,0),0)+IF($K$8="Yes",IFERROR(BLD_EE!T31,0),0)+IF($L$8="Yes",IFERROR(BLD_JP!T31,0),0)+IF($M$8="Yes",IFERROR(BLD_MH!T31,0),0)+IF($N$8="Yes",IFERROR(BLD_MM!T31,0),0)+IF($O$8="Yes",IFERROR(BLD_NT!T31,0),0)+IF($P$8="Yes",IFERROR(BLD_NG!T31,0),0)+IF($Q$8="Yes",IFERROR(BLD_RG!T31,0),0)+IF($R$8="Yes",IFERROR(BLD_AS!T31,0),0)+IF($S$8="Yes",IFERROR(BLD_PS!T31,0),0)+IF($T$8="Yes",IFERROR(BLD_PM!T31,0),0)+IF($U$8="Yes",IFERROR(BLD_CD!T31,0),0)</f>
        <v>1177627.6816970878</v>
      </c>
      <c r="U31" s="283">
        <f>IF($E$8="Yes",IFERROR(BLD_AB!U31,0),0)+IF($F$8="Yes",IFERROR(BLD_AC!U31,0),0)+IF($G$8="Yes",IFERROR(BLD_BT!U31,0),0)+IF($H$8="Yes",IFERROR(BLD_CH!U31,0),0)+IF($I$8="Yes",IFERROR(BLD_CC!U31,0),0)+IF($J$8="Yes",IFERROR(BLD_EA!U31,0),0)+IF($K$8="Yes",IFERROR(BLD_EE!U31,0),0)+IF($L$8="Yes",IFERROR(BLD_JP!U31,0),0)+IF($M$8="Yes",IFERROR(BLD_MH!U31,0),0)+IF($N$8="Yes",IFERROR(BLD_MM!U31,0),0)+IF($O$8="Yes",IFERROR(BLD_NT!U31,0),0)+IF($P$8="Yes",IFERROR(BLD_NG!U31,0),0)+IF($Q$8="Yes",IFERROR(BLD_RG!U31,0),0)+IF($R$8="Yes",IFERROR(BLD_AS!U31,0),0)+IF($S$8="Yes",IFERROR(BLD_PS!U31,0),0)+IF($T$8="Yes",IFERROR(BLD_PM!U31,0),0)+IF($U$8="Yes",IFERROR(BLD_CD!U31,0),0)</f>
        <v>1207068.373739515</v>
      </c>
      <c r="V31" s="283">
        <f>IF($E$8="Yes",IFERROR(BLD_AB!V31,0),0)+IF($F$8="Yes",IFERROR(BLD_AC!V31,0),0)+IF($G$8="Yes",IFERROR(BLD_BT!V31,0),0)+IF($H$8="Yes",IFERROR(BLD_CH!V31,0),0)+IF($I$8="Yes",IFERROR(BLD_CC!V31,0),0)+IF($J$8="Yes",IFERROR(BLD_EA!V31,0),0)+IF($K$8="Yes",IFERROR(BLD_EE!V31,0),0)+IF($L$8="Yes",IFERROR(BLD_JP!V31,0),0)+IF($M$8="Yes",IFERROR(BLD_MH!V31,0),0)+IF($N$8="Yes",IFERROR(BLD_MM!V31,0),0)+IF($O$8="Yes",IFERROR(BLD_NT!V31,0),0)+IF($P$8="Yes",IFERROR(BLD_NG!V31,0),0)+IF($Q$8="Yes",IFERROR(BLD_RG!V31,0),0)+IF($R$8="Yes",IFERROR(BLD_AS!V31,0),0)+IF($S$8="Yes",IFERROR(BLD_PS!V31,0),0)+IF($T$8="Yes",IFERROR(BLD_PM!V31,0),0)+IF($U$8="Yes",IFERROR(BLD_CD!V31,0),0)</f>
        <v>1237245.0830830028</v>
      </c>
      <c r="W31" s="283">
        <f>IF($E$8="Yes",IFERROR(BLD_AB!W31,0),0)+IF($F$8="Yes",IFERROR(BLD_AC!W31,0),0)+IF($G$8="Yes",IFERROR(BLD_BT!W31,0),0)+IF($H$8="Yes",IFERROR(BLD_CH!W31,0),0)+IF($I$8="Yes",IFERROR(BLD_CC!W31,0),0)+IF($J$8="Yes",IFERROR(BLD_EA!W31,0),0)+IF($K$8="Yes",IFERROR(BLD_EE!W31,0),0)+IF($L$8="Yes",IFERROR(BLD_JP!W31,0),0)+IF($M$8="Yes",IFERROR(BLD_MH!W31,0),0)+IF($N$8="Yes",IFERROR(BLD_MM!W31,0),0)+IF($O$8="Yes",IFERROR(BLD_NT!W31,0),0)+IF($P$8="Yes",IFERROR(BLD_NG!W31,0),0)+IF($Q$8="Yes",IFERROR(BLD_RG!W31,0),0)+IF($R$8="Yes",IFERROR(BLD_AS!W31,0),0)+IF($S$8="Yes",IFERROR(BLD_PS!W31,0),0)+IF($T$8="Yes",IFERROR(BLD_PM!W31,0),0)+IF($U$8="Yes",IFERROR(BLD_CD!W31,0),0)</f>
        <v>1268176.2101600775</v>
      </c>
      <c r="X31" s="283">
        <f>IF($E$8="Yes",IFERROR(BLD_AB!X31,0),0)+IF($F$8="Yes",IFERROR(BLD_AC!X31,0),0)+IF($G$8="Yes",IFERROR(BLD_BT!X31,0),0)+IF($H$8="Yes",IFERROR(BLD_CH!X31,0),0)+IF($I$8="Yes",IFERROR(BLD_CC!X31,0),0)+IF($J$8="Yes",IFERROR(BLD_EA!X31,0),0)+IF($K$8="Yes",IFERROR(BLD_EE!X31,0),0)+IF($L$8="Yes",IFERROR(BLD_JP!X31,0),0)+IF($M$8="Yes",IFERROR(BLD_MH!X31,0),0)+IF($N$8="Yes",IFERROR(BLD_MM!X31,0),0)+IF($O$8="Yes",IFERROR(BLD_NT!X31,0),0)+IF($P$8="Yes",IFERROR(BLD_NG!X31,0),0)+IF($Q$8="Yes",IFERROR(BLD_RG!X31,0),0)+IF($R$8="Yes",IFERROR(BLD_AS!X31,0),0)+IF($S$8="Yes",IFERROR(BLD_PS!X31,0),0)+IF($T$8="Yes",IFERROR(BLD_PM!X31,0),0)+IF($U$8="Yes",IFERROR(BLD_CD!X31,0),0)</f>
        <v>1299880.6154140797</v>
      </c>
      <c r="Y31" s="283">
        <f>IF($E$8="Yes",IFERROR(BLD_AB!Y31,0),0)+IF($F$8="Yes",IFERROR(BLD_AC!Y31,0),0)+IF($G$8="Yes",IFERROR(BLD_BT!Y31,0),0)+IF($H$8="Yes",IFERROR(BLD_CH!Y31,0),0)+IF($I$8="Yes",IFERROR(BLD_CC!Y31,0),0)+IF($J$8="Yes",IFERROR(BLD_EA!Y31,0),0)+IF($K$8="Yes",IFERROR(BLD_EE!Y31,0),0)+IF($L$8="Yes",IFERROR(BLD_JP!Y31,0),0)+IF($M$8="Yes",IFERROR(BLD_MH!Y31,0),0)+IF($N$8="Yes",IFERROR(BLD_MM!Y31,0),0)+IF($O$8="Yes",IFERROR(BLD_NT!Y31,0),0)+IF($P$8="Yes",IFERROR(BLD_NG!Y31,0),0)+IF($Q$8="Yes",IFERROR(BLD_RG!Y31,0),0)+IF($R$8="Yes",IFERROR(BLD_AS!Y31,0),0)+IF($S$8="Yes",IFERROR(BLD_PS!Y31,0),0)+IF($T$8="Yes",IFERROR(BLD_PM!Y31,0),0)+IF($U$8="Yes",IFERROR(BLD_CD!Y31,0),0)</f>
        <v>1332377.6307994314</v>
      </c>
    </row>
    <row r="32" spans="3:25" ht="13.5" customHeight="1">
      <c r="C32" s="10" t="s">
        <v>348</v>
      </c>
      <c r="E32" s="283">
        <f>IF($E$8="Yes",IFERROR(BLD_AB!E32,0),0)+IF($F$8="Yes",IFERROR(BLD_AC!E32,0),0)+IF($G$8="Yes",IFERROR(BLD_BT!E32,0),0)+IF($H$8="Yes",IFERROR(BLD_CH!E32,0),0)+IF($I$8="Yes",IFERROR(BLD_CC!E32,0),0)+IF($J$8="Yes",IFERROR(BLD_EA!E32,0),0)+IF($K$8="Yes",IFERROR(BLD_EE!E32,0),0)+IF($L$8="Yes",IFERROR(BLD_JP!E32,0),0)+IF($M$8="Yes",IFERROR(BLD_MH!E32,0),0)+IF($N$8="Yes",IFERROR(BLD_MM!E32,0),0)+IF($O$8="Yes",IFERROR(BLD_NT!E32,0),0)+IF($P$8="Yes",IFERROR(BLD_NG!E32,0),0)+IF($Q$8="Yes",IFERROR(BLD_RG!E32,0),0)+IF($R$8="Yes",IFERROR(BLD_AS!E32,0),0)+IF($S$8="Yes",IFERROR(BLD_PS!E32,0),0)+IF($T$8="Yes",IFERROR(BLD_PM!E32,0),0)+IF($U$8="Yes",IFERROR(BLD_CD!E32,0),0)</f>
        <v>160542</v>
      </c>
      <c r="F32" s="283">
        <f>IF($E$8="Yes",IFERROR(BLD_AB!F32,0),0)+IF($F$8="Yes",IFERROR(BLD_AC!F32,0),0)+IF($G$8="Yes",IFERROR(BLD_BT!F32,0),0)+IF($H$8="Yes",IFERROR(BLD_CH!F32,0),0)+IF($I$8="Yes",IFERROR(BLD_CC!F32,0),0)+IF($J$8="Yes",IFERROR(BLD_EA!F32,0),0)+IF($K$8="Yes",IFERROR(BLD_EE!F32,0),0)+IF($L$8="Yes",IFERROR(BLD_JP!F32,0),0)+IF($M$8="Yes",IFERROR(BLD_MH!F32,0),0)+IF($N$8="Yes",IFERROR(BLD_MM!F32,0),0)+IF($O$8="Yes",IFERROR(BLD_NT!F32,0),0)+IF($P$8="Yes",IFERROR(BLD_NG!F32,0),0)+IF($Q$8="Yes",IFERROR(BLD_RG!F32,0),0)+IF($R$8="Yes",IFERROR(BLD_AS!F32,0),0)+IF($S$8="Yes",IFERROR(BLD_PS!F32,0),0)+IF($T$8="Yes",IFERROR(BLD_PM!F32,0),0)+IF($U$8="Yes",IFERROR(BLD_CD!F32,0),0)</f>
        <v>166963.68</v>
      </c>
      <c r="G32" s="283">
        <f>IF($E$8="Yes",IFERROR(BLD_AB!G32,0),0)+IF($F$8="Yes",IFERROR(BLD_AC!G32,0),0)+IF($G$8="Yes",IFERROR(BLD_BT!G32,0),0)+IF($H$8="Yes",IFERROR(BLD_CH!G32,0),0)+IF($I$8="Yes",IFERROR(BLD_CC!G32,0),0)+IF($J$8="Yes",IFERROR(BLD_EA!G32,0),0)+IF($K$8="Yes",IFERROR(BLD_EE!G32,0),0)+IF($L$8="Yes",IFERROR(BLD_JP!G32,0),0)+IF($M$8="Yes",IFERROR(BLD_MH!G32,0),0)+IF($N$8="Yes",IFERROR(BLD_MM!G32,0),0)+IF($O$8="Yes",IFERROR(BLD_NT!G32,0),0)+IF($P$8="Yes",IFERROR(BLD_NG!G32,0),0)+IF($Q$8="Yes",IFERROR(BLD_RG!G32,0),0)+IF($R$8="Yes",IFERROR(BLD_AS!G32,0),0)+IF($S$8="Yes",IFERROR(BLD_PS!G32,0),0)+IF($T$8="Yes",IFERROR(BLD_PM!G32,0),0)+IF($U$8="Yes",IFERROR(BLD_CD!G32,0),0)</f>
        <v>173642.22720000002</v>
      </c>
      <c r="H32" s="283">
        <f>IF($E$8="Yes",IFERROR(BLD_AB!H32,0),0)+IF($F$8="Yes",IFERROR(BLD_AC!H32,0),0)+IF($G$8="Yes",IFERROR(BLD_BT!H32,0),0)+IF($H$8="Yes",IFERROR(BLD_CH!H32,0),0)+IF($I$8="Yes",IFERROR(BLD_CC!H32,0),0)+IF($J$8="Yes",IFERROR(BLD_EA!H32,0),0)+IF($K$8="Yes",IFERROR(BLD_EE!H32,0),0)+IF($L$8="Yes",IFERROR(BLD_JP!H32,0),0)+IF($M$8="Yes",IFERROR(BLD_MH!H32,0),0)+IF($N$8="Yes",IFERROR(BLD_MM!H32,0),0)+IF($O$8="Yes",IFERROR(BLD_NT!H32,0),0)+IF($P$8="Yes",IFERROR(BLD_NG!H32,0),0)+IF($Q$8="Yes",IFERROR(BLD_RG!H32,0),0)+IF($R$8="Yes",IFERROR(BLD_AS!H32,0),0)+IF($S$8="Yes",IFERROR(BLD_PS!H32,0),0)+IF($T$8="Yes",IFERROR(BLD_PM!H32,0),0)+IF($U$8="Yes",IFERROR(BLD_CD!H32,0),0)</f>
        <v>428057.99628800002</v>
      </c>
      <c r="I32" s="283">
        <f>IF($E$8="Yes",IFERROR(BLD_AB!I32,0),0)+IF($F$8="Yes",IFERROR(BLD_AC!I32,0),0)+IF($G$8="Yes",IFERROR(BLD_BT!I32,0),0)+IF($H$8="Yes",IFERROR(BLD_CH!I32,0),0)+IF($I$8="Yes",IFERROR(BLD_CC!I32,0),0)+IF($J$8="Yes",IFERROR(BLD_EA!I32,0),0)+IF($K$8="Yes",IFERROR(BLD_EE!I32,0),0)+IF($L$8="Yes",IFERROR(BLD_JP!I32,0),0)+IF($M$8="Yes",IFERROR(BLD_MH!I32,0),0)+IF($N$8="Yes",IFERROR(BLD_MM!I32,0),0)+IF($O$8="Yes",IFERROR(BLD_NT!I32,0),0)+IF($P$8="Yes",IFERROR(BLD_NG!I32,0),0)+IF($Q$8="Yes",IFERROR(BLD_RG!I32,0),0)+IF($R$8="Yes",IFERROR(BLD_AS!I32,0),0)+IF($S$8="Yes",IFERROR(BLD_PS!I32,0),0)+IF($T$8="Yes",IFERROR(BLD_PM!I32,0),0)+IF($U$8="Yes",IFERROR(BLD_CD!I32,0),0)</f>
        <v>500609.38457088009</v>
      </c>
      <c r="J32" s="283">
        <f>IF($E$8="Yes",IFERROR(BLD_AB!J32,0),0)+IF($F$8="Yes",IFERROR(BLD_AC!J32,0),0)+IF($G$8="Yes",IFERROR(BLD_BT!J32,0),0)+IF($H$8="Yes",IFERROR(BLD_CH!J32,0),0)+IF($I$8="Yes",IFERROR(BLD_CC!J32,0),0)+IF($J$8="Yes",IFERROR(BLD_EA!J32,0),0)+IF($K$8="Yes",IFERROR(BLD_EE!J32,0),0)+IF($L$8="Yes",IFERROR(BLD_JP!J32,0),0)+IF($M$8="Yes",IFERROR(BLD_MH!J32,0),0)+IF($N$8="Yes",IFERROR(BLD_MM!J32,0),0)+IF($O$8="Yes",IFERROR(BLD_NT!J32,0),0)+IF($P$8="Yes",IFERROR(BLD_NG!J32,0),0)+IF($Q$8="Yes",IFERROR(BLD_RG!J32,0),0)+IF($R$8="Yes",IFERROR(BLD_AS!J32,0),0)+IF($S$8="Yes",IFERROR(BLD_PS!J32,0),0)+IF($T$8="Yes",IFERROR(BLD_PM!J32,0),0)+IF($U$8="Yes",IFERROR(BLD_CD!J32,0),0)</f>
        <v>520633.75995371537</v>
      </c>
      <c r="K32" s="283">
        <f>IF($E$8="Yes",IFERROR(BLD_AB!K32,0),0)+IF($F$8="Yes",IFERROR(BLD_AC!K32,0),0)+IF($G$8="Yes",IFERROR(BLD_BT!K32,0),0)+IF($H$8="Yes",IFERROR(BLD_CH!K32,0),0)+IF($I$8="Yes",IFERROR(BLD_CC!K32,0),0)+IF($J$8="Yes",IFERROR(BLD_EA!K32,0),0)+IF($K$8="Yes",IFERROR(BLD_EE!K32,0),0)+IF($L$8="Yes",IFERROR(BLD_JP!K32,0),0)+IF($M$8="Yes",IFERROR(BLD_MH!K32,0),0)+IF($N$8="Yes",IFERROR(BLD_MM!K32,0),0)+IF($O$8="Yes",IFERROR(BLD_NT!K32,0),0)+IF($P$8="Yes",IFERROR(BLD_NG!K32,0),0)+IF($Q$8="Yes",IFERROR(BLD_RG!K32,0),0)+IF($R$8="Yes",IFERROR(BLD_AS!K32,0),0)+IF($S$8="Yes",IFERROR(BLD_PS!K32,0),0)+IF($T$8="Yes",IFERROR(BLD_PM!K32,0),0)+IF($U$8="Yes",IFERROR(BLD_CD!K32,0),0)</f>
        <v>541459.1103518639</v>
      </c>
      <c r="L32" s="283">
        <f>IF($E$8="Yes",IFERROR(BLD_AB!L32,0),0)+IF($F$8="Yes",IFERROR(BLD_AC!L32,0),0)+IF($G$8="Yes",IFERROR(BLD_BT!L32,0),0)+IF($H$8="Yes",IFERROR(BLD_CH!L32,0),0)+IF($I$8="Yes",IFERROR(BLD_CC!L32,0),0)+IF($J$8="Yes",IFERROR(BLD_EA!L32,0),0)+IF($K$8="Yes",IFERROR(BLD_EE!L32,0),0)+IF($L$8="Yes",IFERROR(BLD_JP!L32,0),0)+IF($M$8="Yes",IFERROR(BLD_MH!L32,0),0)+IF($N$8="Yes",IFERROR(BLD_MM!L32,0),0)+IF($O$8="Yes",IFERROR(BLD_NT!L32,0),0)+IF($P$8="Yes",IFERROR(BLD_NG!L32,0),0)+IF($Q$8="Yes",IFERROR(BLD_RG!L32,0),0)+IF($R$8="Yes",IFERROR(BLD_AS!L32,0),0)+IF($S$8="Yes",IFERROR(BLD_PS!L32,0),0)+IF($T$8="Yes",IFERROR(BLD_PM!L32,0),0)+IF($U$8="Yes",IFERROR(BLD_CD!L32,0),0)</f>
        <v>563117.47476593847</v>
      </c>
      <c r="M32" s="283">
        <f>IF($E$8="Yes",IFERROR(BLD_AB!M32,0),0)+IF($F$8="Yes",IFERROR(BLD_AC!M32,0),0)+IF($G$8="Yes",IFERROR(BLD_BT!M32,0),0)+IF($H$8="Yes",IFERROR(BLD_CH!M32,0),0)+IF($I$8="Yes",IFERROR(BLD_CC!M32,0),0)+IF($J$8="Yes",IFERROR(BLD_EA!M32,0),0)+IF($K$8="Yes",IFERROR(BLD_EE!M32,0),0)+IF($L$8="Yes",IFERROR(BLD_JP!M32,0),0)+IF($M$8="Yes",IFERROR(BLD_MH!M32,0),0)+IF($N$8="Yes",IFERROR(BLD_MM!M32,0),0)+IF($O$8="Yes",IFERROR(BLD_NT!M32,0),0)+IF($P$8="Yes",IFERROR(BLD_NG!M32,0),0)+IF($Q$8="Yes",IFERROR(BLD_RG!M32,0),0)+IF($R$8="Yes",IFERROR(BLD_AS!M32,0),0)+IF($S$8="Yes",IFERROR(BLD_PS!M32,0),0)+IF($T$8="Yes",IFERROR(BLD_PM!M32,0),0)+IF($U$8="Yes",IFERROR(BLD_CD!M32,0),0)</f>
        <v>585642.17375657614</v>
      </c>
      <c r="N32" s="283">
        <f>IF($E$8="Yes",IFERROR(BLD_AB!N32,0),0)+IF($F$8="Yes",IFERROR(BLD_AC!N32,0),0)+IF($G$8="Yes",IFERROR(BLD_BT!N32,0),0)+IF($H$8="Yes",IFERROR(BLD_CH!N32,0),0)+IF($I$8="Yes",IFERROR(BLD_CC!N32,0),0)+IF($J$8="Yes",IFERROR(BLD_EA!N32,0),0)+IF($K$8="Yes",IFERROR(BLD_EE!N32,0),0)+IF($L$8="Yes",IFERROR(BLD_JP!N32,0),0)+IF($M$8="Yes",IFERROR(BLD_MH!N32,0),0)+IF($N$8="Yes",IFERROR(BLD_MM!N32,0),0)+IF($O$8="Yes",IFERROR(BLD_NT!N32,0),0)+IF($P$8="Yes",IFERROR(BLD_NG!N32,0),0)+IF($Q$8="Yes",IFERROR(BLD_RG!N32,0),0)+IF($R$8="Yes",IFERROR(BLD_AS!N32,0),0)+IF($S$8="Yes",IFERROR(BLD_PS!N32,0),0)+IF($T$8="Yes",IFERROR(BLD_PM!N32,0),0)+IF($U$8="Yes",IFERROR(BLD_CD!N32,0),0)</f>
        <v>609067.86070683924</v>
      </c>
      <c r="O32" s="283">
        <f>IF($E$8="Yes",IFERROR(BLD_AB!O32,0),0)+IF($F$8="Yes",IFERROR(BLD_AC!O32,0),0)+IF($G$8="Yes",IFERROR(BLD_BT!O32,0),0)+IF($H$8="Yes",IFERROR(BLD_CH!O32,0),0)+IF($I$8="Yes",IFERROR(BLD_CC!O32,0),0)+IF($J$8="Yes",IFERROR(BLD_EA!O32,0),0)+IF($K$8="Yes",IFERROR(BLD_EE!O32,0),0)+IF($L$8="Yes",IFERROR(BLD_JP!O32,0),0)+IF($M$8="Yes",IFERROR(BLD_MH!O32,0),0)+IF($N$8="Yes",IFERROR(BLD_MM!O32,0),0)+IF($O$8="Yes",IFERROR(BLD_NT!O32,0),0)+IF($P$8="Yes",IFERROR(BLD_NG!O32,0),0)+IF($Q$8="Yes",IFERROR(BLD_RG!O32,0),0)+IF($R$8="Yes",IFERROR(BLD_AS!O32,0),0)+IF($S$8="Yes",IFERROR(BLD_PS!O32,0),0)+IF($T$8="Yes",IFERROR(BLD_PM!O32,0),0)+IF($U$8="Yes",IFERROR(BLD_CD!O32,0),0)</f>
        <v>624294.55722451012</v>
      </c>
      <c r="P32" s="283">
        <f>IF($E$8="Yes",IFERROR(BLD_AB!P32,0),0)+IF($F$8="Yes",IFERROR(BLD_AC!P32,0),0)+IF($G$8="Yes",IFERROR(BLD_BT!P32,0),0)+IF($H$8="Yes",IFERROR(BLD_CH!P32,0),0)+IF($I$8="Yes",IFERROR(BLD_CC!P32,0),0)+IF($J$8="Yes",IFERROR(BLD_EA!P32,0),0)+IF($K$8="Yes",IFERROR(BLD_EE!P32,0),0)+IF($L$8="Yes",IFERROR(BLD_JP!P32,0),0)+IF($M$8="Yes",IFERROR(BLD_MH!P32,0),0)+IF($N$8="Yes",IFERROR(BLD_MM!P32,0),0)+IF($O$8="Yes",IFERROR(BLD_NT!P32,0),0)+IF($P$8="Yes",IFERROR(BLD_NG!P32,0),0)+IF($Q$8="Yes",IFERROR(BLD_RG!P32,0),0)+IF($R$8="Yes",IFERROR(BLD_AS!P32,0),0)+IF($S$8="Yes",IFERROR(BLD_PS!P32,0),0)+IF($T$8="Yes",IFERROR(BLD_PM!P32,0),0)+IF($U$8="Yes",IFERROR(BLD_CD!P32,0),0)</f>
        <v>639901.92115512281</v>
      </c>
      <c r="Q32" s="283">
        <f>IF($E$8="Yes",IFERROR(BLD_AB!Q32,0),0)+IF($F$8="Yes",IFERROR(BLD_AC!Q32,0),0)+IF($G$8="Yes",IFERROR(BLD_BT!Q32,0),0)+IF($H$8="Yes",IFERROR(BLD_CH!Q32,0),0)+IF($I$8="Yes",IFERROR(BLD_CC!Q32,0),0)+IF($J$8="Yes",IFERROR(BLD_EA!Q32,0),0)+IF($K$8="Yes",IFERROR(BLD_EE!Q32,0),0)+IF($L$8="Yes",IFERROR(BLD_JP!Q32,0),0)+IF($M$8="Yes",IFERROR(BLD_MH!Q32,0),0)+IF($N$8="Yes",IFERROR(BLD_MM!Q32,0),0)+IF($O$8="Yes",IFERROR(BLD_NT!Q32,0),0)+IF($P$8="Yes",IFERROR(BLD_NG!Q32,0),0)+IF($Q$8="Yes",IFERROR(BLD_RG!Q32,0),0)+IF($R$8="Yes",IFERROR(BLD_AS!Q32,0),0)+IF($S$8="Yes",IFERROR(BLD_PS!Q32,0),0)+IF($T$8="Yes",IFERROR(BLD_PM!Q32,0),0)+IF($U$8="Yes",IFERROR(BLD_CD!Q32,0),0)</f>
        <v>655899.46918400098</v>
      </c>
      <c r="R32" s="283">
        <f>IF($E$8="Yes",IFERROR(BLD_AB!R32,0),0)+IF($F$8="Yes",IFERROR(BLD_AC!R32,0),0)+IF($G$8="Yes",IFERROR(BLD_BT!R32,0),0)+IF($H$8="Yes",IFERROR(BLD_CH!R32,0),0)+IF($I$8="Yes",IFERROR(BLD_CC!R32,0),0)+IF($J$8="Yes",IFERROR(BLD_EA!R32,0),0)+IF($K$8="Yes",IFERROR(BLD_EE!R32,0),0)+IF($L$8="Yes",IFERROR(BLD_JP!R32,0),0)+IF($M$8="Yes",IFERROR(BLD_MH!R32,0),0)+IF($N$8="Yes",IFERROR(BLD_MM!R32,0),0)+IF($O$8="Yes",IFERROR(BLD_NT!R32,0),0)+IF($P$8="Yes",IFERROR(BLD_NG!R32,0),0)+IF($Q$8="Yes",IFERROR(BLD_RG!R32,0),0)+IF($R$8="Yes",IFERROR(BLD_AS!R32,0),0)+IF($S$8="Yes",IFERROR(BLD_PS!R32,0),0)+IF($T$8="Yes",IFERROR(BLD_PM!R32,0),0)+IF($U$8="Yes",IFERROR(BLD_CD!R32,0),0)</f>
        <v>672296.95591360098</v>
      </c>
      <c r="S32" s="283">
        <f>IF($E$8="Yes",IFERROR(BLD_AB!S32,0),0)+IF($F$8="Yes",IFERROR(BLD_AC!S32,0),0)+IF($G$8="Yes",IFERROR(BLD_BT!S32,0),0)+IF($H$8="Yes",IFERROR(BLD_CH!S32,0),0)+IF($I$8="Yes",IFERROR(BLD_CC!S32,0),0)+IF($J$8="Yes",IFERROR(BLD_EA!S32,0),0)+IF($K$8="Yes",IFERROR(BLD_EE!S32,0),0)+IF($L$8="Yes",IFERROR(BLD_JP!S32,0),0)+IF($M$8="Yes",IFERROR(BLD_MH!S32,0),0)+IF($N$8="Yes",IFERROR(BLD_MM!S32,0),0)+IF($O$8="Yes",IFERROR(BLD_NT!S32,0),0)+IF($P$8="Yes",IFERROR(BLD_NG!S32,0),0)+IF($Q$8="Yes",IFERROR(BLD_RG!S32,0),0)+IF($R$8="Yes",IFERROR(BLD_AS!S32,0),0)+IF($S$8="Yes",IFERROR(BLD_PS!S32,0),0)+IF($T$8="Yes",IFERROR(BLD_PM!S32,0),0)+IF($U$8="Yes",IFERROR(BLD_CD!S32,0),0)</f>
        <v>689104.37981144083</v>
      </c>
      <c r="T32" s="283">
        <f>IF($E$8="Yes",IFERROR(BLD_AB!T32,0),0)+IF($F$8="Yes",IFERROR(BLD_AC!T32,0),0)+IF($G$8="Yes",IFERROR(BLD_BT!T32,0),0)+IF($H$8="Yes",IFERROR(BLD_CH!T32,0),0)+IF($I$8="Yes",IFERROR(BLD_CC!T32,0),0)+IF($J$8="Yes",IFERROR(BLD_EA!T32,0),0)+IF($K$8="Yes",IFERROR(BLD_EE!T32,0),0)+IF($L$8="Yes",IFERROR(BLD_JP!T32,0),0)+IF($M$8="Yes",IFERROR(BLD_MH!T32,0),0)+IF($N$8="Yes",IFERROR(BLD_MM!T32,0),0)+IF($O$8="Yes",IFERROR(BLD_NT!T32,0),0)+IF($P$8="Yes",IFERROR(BLD_NG!T32,0),0)+IF($Q$8="Yes",IFERROR(BLD_RG!T32,0),0)+IF($R$8="Yes",IFERROR(BLD_AS!T32,0),0)+IF($S$8="Yes",IFERROR(BLD_PS!T32,0),0)+IF($T$8="Yes",IFERROR(BLD_PM!T32,0),0)+IF($U$8="Yes",IFERROR(BLD_CD!T32,0),0)</f>
        <v>706331.98930672696</v>
      </c>
      <c r="U32" s="283">
        <f>IF($E$8="Yes",IFERROR(BLD_AB!U32,0),0)+IF($F$8="Yes",IFERROR(BLD_AC!U32,0),0)+IF($G$8="Yes",IFERROR(BLD_BT!U32,0),0)+IF($H$8="Yes",IFERROR(BLD_CH!U32,0),0)+IF($I$8="Yes",IFERROR(BLD_CC!U32,0),0)+IF($J$8="Yes",IFERROR(BLD_EA!U32,0),0)+IF($K$8="Yes",IFERROR(BLD_EE!U32,0),0)+IF($L$8="Yes",IFERROR(BLD_JP!U32,0),0)+IF($M$8="Yes",IFERROR(BLD_MH!U32,0),0)+IF($N$8="Yes",IFERROR(BLD_MM!U32,0),0)+IF($O$8="Yes",IFERROR(BLD_NT!U32,0),0)+IF($P$8="Yes",IFERROR(BLD_NG!U32,0),0)+IF($Q$8="Yes",IFERROR(BLD_RG!U32,0),0)+IF($R$8="Yes",IFERROR(BLD_AS!U32,0),0)+IF($S$8="Yes",IFERROR(BLD_PS!U32,0),0)+IF($T$8="Yes",IFERROR(BLD_PM!U32,0),0)+IF($U$8="Yes",IFERROR(BLD_CD!U32,0),0)</f>
        <v>723990.28903939505</v>
      </c>
      <c r="V32" s="283">
        <f>IF($E$8="Yes",IFERROR(BLD_AB!V32,0),0)+IF($F$8="Yes",IFERROR(BLD_AC!V32,0),0)+IF($G$8="Yes",IFERROR(BLD_BT!V32,0),0)+IF($H$8="Yes",IFERROR(BLD_CH!V32,0),0)+IF($I$8="Yes",IFERROR(BLD_CC!V32,0),0)+IF($J$8="Yes",IFERROR(BLD_EA!V32,0),0)+IF($K$8="Yes",IFERROR(BLD_EE!V32,0),0)+IF($L$8="Yes",IFERROR(BLD_JP!V32,0),0)+IF($M$8="Yes",IFERROR(BLD_MH!V32,0),0)+IF($N$8="Yes",IFERROR(BLD_MM!V32,0),0)+IF($O$8="Yes",IFERROR(BLD_NT!V32,0),0)+IF($P$8="Yes",IFERROR(BLD_NG!V32,0),0)+IF($Q$8="Yes",IFERROR(BLD_RG!V32,0),0)+IF($R$8="Yes",IFERROR(BLD_AS!V32,0),0)+IF($S$8="Yes",IFERROR(BLD_PS!V32,0),0)+IF($T$8="Yes",IFERROR(BLD_PM!V32,0),0)+IF($U$8="Yes",IFERROR(BLD_CD!V32,0),0)</f>
        <v>742090.04626537987</v>
      </c>
      <c r="W32" s="283">
        <f>IF($E$8="Yes",IFERROR(BLD_AB!W32,0),0)+IF($F$8="Yes",IFERROR(BLD_AC!W32,0),0)+IF($G$8="Yes",IFERROR(BLD_BT!W32,0),0)+IF($H$8="Yes",IFERROR(BLD_CH!W32,0),0)+IF($I$8="Yes",IFERROR(BLD_CC!W32,0),0)+IF($J$8="Yes",IFERROR(BLD_EA!W32,0),0)+IF($K$8="Yes",IFERROR(BLD_EE!W32,0),0)+IF($L$8="Yes",IFERROR(BLD_JP!W32,0),0)+IF($M$8="Yes",IFERROR(BLD_MH!W32,0),0)+IF($N$8="Yes",IFERROR(BLD_MM!W32,0),0)+IF($O$8="Yes",IFERROR(BLD_NT!W32,0),0)+IF($P$8="Yes",IFERROR(BLD_NG!W32,0),0)+IF($Q$8="Yes",IFERROR(BLD_RG!W32,0),0)+IF($R$8="Yes",IFERROR(BLD_AS!W32,0),0)+IF($S$8="Yes",IFERROR(BLD_PS!W32,0),0)+IF($T$8="Yes",IFERROR(BLD_PM!W32,0),0)+IF($U$8="Yes",IFERROR(BLD_CD!W32,0),0)</f>
        <v>760642.29742201418</v>
      </c>
      <c r="X32" s="283">
        <f>IF($E$8="Yes",IFERROR(BLD_AB!X32,0),0)+IF($F$8="Yes",IFERROR(BLD_AC!X32,0),0)+IF($G$8="Yes",IFERROR(BLD_BT!X32,0),0)+IF($H$8="Yes",IFERROR(BLD_CH!X32,0),0)+IF($I$8="Yes",IFERROR(BLD_CC!X32,0),0)+IF($J$8="Yes",IFERROR(BLD_EA!X32,0),0)+IF($K$8="Yes",IFERROR(BLD_EE!X32,0),0)+IF($L$8="Yes",IFERROR(BLD_JP!X32,0),0)+IF($M$8="Yes",IFERROR(BLD_MH!X32,0),0)+IF($N$8="Yes",IFERROR(BLD_MM!X32,0),0)+IF($O$8="Yes",IFERROR(BLD_NT!X32,0),0)+IF($P$8="Yes",IFERROR(BLD_NG!X32,0),0)+IF($Q$8="Yes",IFERROR(BLD_RG!X32,0),0)+IF($R$8="Yes",IFERROR(BLD_AS!X32,0),0)+IF($S$8="Yes",IFERROR(BLD_PS!X32,0),0)+IF($T$8="Yes",IFERROR(BLD_PM!X32,0),0)+IF($U$8="Yes",IFERROR(BLD_CD!X32,0),0)</f>
        <v>779658.35485756455</v>
      </c>
      <c r="Y32" s="283">
        <f>IF($E$8="Yes",IFERROR(BLD_AB!Y32,0),0)+IF($F$8="Yes",IFERROR(BLD_AC!Y32,0),0)+IF($G$8="Yes",IFERROR(BLD_BT!Y32,0),0)+IF($H$8="Yes",IFERROR(BLD_CH!Y32,0),0)+IF($I$8="Yes",IFERROR(BLD_CC!Y32,0),0)+IF($J$8="Yes",IFERROR(BLD_EA!Y32,0),0)+IF($K$8="Yes",IFERROR(BLD_EE!Y32,0),0)+IF($L$8="Yes",IFERROR(BLD_JP!Y32,0),0)+IF($M$8="Yes",IFERROR(BLD_MH!Y32,0),0)+IF($N$8="Yes",IFERROR(BLD_MM!Y32,0),0)+IF($O$8="Yes",IFERROR(BLD_NT!Y32,0),0)+IF($P$8="Yes",IFERROR(BLD_NG!Y32,0),0)+IF($Q$8="Yes",IFERROR(BLD_RG!Y32,0),0)+IF($R$8="Yes",IFERROR(BLD_AS!Y32,0),0)+IF($S$8="Yes",IFERROR(BLD_PS!Y32,0),0)+IF($T$8="Yes",IFERROR(BLD_PM!Y32,0),0)+IF($U$8="Yes",IFERROR(BLD_CD!Y32,0),0)</f>
        <v>799149.81372900377</v>
      </c>
    </row>
    <row r="33" spans="3:25" ht="13.5" customHeight="1">
      <c r="C33" s="10" t="s">
        <v>349</v>
      </c>
      <c r="E33" s="283">
        <f>IF($E$8="Yes",IFERROR(BLD_AB!E33,0),0)+IF($F$8="Yes",IFERROR(BLD_AC!E33,0),0)+IF($G$8="Yes",IFERROR(BLD_BT!E33,0),0)+IF($H$8="Yes",IFERROR(BLD_CH!E33,0),0)+IF($I$8="Yes",IFERROR(BLD_CC!E33,0),0)+IF($J$8="Yes",IFERROR(BLD_EA!E33,0),0)+IF($K$8="Yes",IFERROR(BLD_EE!E33,0),0)+IF($L$8="Yes",IFERROR(BLD_JP!E33,0),0)+IF($M$8="Yes",IFERROR(BLD_MH!E33,0),0)+IF($N$8="Yes",IFERROR(BLD_MM!E33,0),0)+IF($O$8="Yes",IFERROR(BLD_NT!E33,0),0)+IF($P$8="Yes",IFERROR(BLD_NG!E33,0),0)+IF($Q$8="Yes",IFERROR(BLD_RG!E33,0),0)+IF($R$8="Yes",IFERROR(BLD_AS!E33,0),0)+IF($S$8="Yes",IFERROR(BLD_PS!E33,0),0)+IF($T$8="Yes",IFERROR(BLD_PM!E33,0),0)+IF($U$8="Yes",IFERROR(BLD_CD!E33,0),0)</f>
        <v>4428</v>
      </c>
      <c r="F33" s="283">
        <f>IF($E$8="Yes",IFERROR(BLD_AB!F33,0),0)+IF($F$8="Yes",IFERROR(BLD_AC!F33,0),0)+IF($G$8="Yes",IFERROR(BLD_BT!F33,0),0)+IF($H$8="Yes",IFERROR(BLD_CH!F33,0),0)+IF($I$8="Yes",IFERROR(BLD_CC!F33,0),0)+IF($J$8="Yes",IFERROR(BLD_EA!F33,0),0)+IF($K$8="Yes",IFERROR(BLD_EE!F33,0),0)+IF($L$8="Yes",IFERROR(BLD_JP!F33,0),0)+IF($M$8="Yes",IFERROR(BLD_MH!F33,0),0)+IF($N$8="Yes",IFERROR(BLD_MM!F33,0),0)+IF($O$8="Yes",IFERROR(BLD_NT!F33,0),0)+IF($P$8="Yes",IFERROR(BLD_NG!F33,0),0)+IF($Q$8="Yes",IFERROR(BLD_RG!F33,0),0)+IF($R$8="Yes",IFERROR(BLD_AS!F33,0),0)+IF($S$8="Yes",IFERROR(BLD_PS!F33,0),0)+IF($T$8="Yes",IFERROR(BLD_PM!F33,0),0)+IF($U$8="Yes",IFERROR(BLD_CD!F33,0),0)</f>
        <v>4605.12</v>
      </c>
      <c r="G33" s="283">
        <f>IF($E$8="Yes",IFERROR(BLD_AB!G33,0),0)+IF($F$8="Yes",IFERROR(BLD_AC!G33,0),0)+IF($G$8="Yes",IFERROR(BLD_BT!G33,0),0)+IF($H$8="Yes",IFERROR(BLD_CH!G33,0),0)+IF($I$8="Yes",IFERROR(BLD_CC!G33,0),0)+IF($J$8="Yes",IFERROR(BLD_EA!G33,0),0)+IF($K$8="Yes",IFERROR(BLD_EE!G33,0),0)+IF($L$8="Yes",IFERROR(BLD_JP!G33,0),0)+IF($M$8="Yes",IFERROR(BLD_MH!G33,0),0)+IF($N$8="Yes",IFERROR(BLD_MM!G33,0),0)+IF($O$8="Yes",IFERROR(BLD_NT!G33,0),0)+IF($P$8="Yes",IFERROR(BLD_NG!G33,0),0)+IF($Q$8="Yes",IFERROR(BLD_RG!G33,0),0)+IF($R$8="Yes",IFERROR(BLD_AS!G33,0),0)+IF($S$8="Yes",IFERROR(BLD_PS!G33,0),0)+IF($T$8="Yes",IFERROR(BLD_PM!G33,0),0)+IF($U$8="Yes",IFERROR(BLD_CD!G33,0),0)</f>
        <v>4789.3248000000003</v>
      </c>
      <c r="H33" s="283">
        <f>IF($E$8="Yes",IFERROR(BLD_AB!H33,0),0)+IF($F$8="Yes",IFERROR(BLD_AC!H33,0),0)+IF($G$8="Yes",IFERROR(BLD_BT!H33,0),0)+IF($H$8="Yes",IFERROR(BLD_CH!H33,0),0)+IF($I$8="Yes",IFERROR(BLD_CC!H33,0),0)+IF($J$8="Yes",IFERROR(BLD_EA!H33,0),0)+IF($K$8="Yes",IFERROR(BLD_EE!H33,0),0)+IF($L$8="Yes",IFERROR(BLD_JP!H33,0),0)+IF($M$8="Yes",IFERROR(BLD_MH!H33,0),0)+IF($N$8="Yes",IFERROR(BLD_MM!H33,0),0)+IF($O$8="Yes",IFERROR(BLD_NT!H33,0),0)+IF($P$8="Yes",IFERROR(BLD_NG!H33,0),0)+IF($Q$8="Yes",IFERROR(BLD_RG!H33,0),0)+IF($R$8="Yes",IFERROR(BLD_AS!H33,0),0)+IF($S$8="Yes",IFERROR(BLD_PS!H33,0),0)+IF($T$8="Yes",IFERROR(BLD_PM!H33,0),0)+IF($U$8="Yes",IFERROR(BLD_CD!H33,0),0)</f>
        <v>4980.8977920000007</v>
      </c>
      <c r="I33" s="283">
        <f>IF($E$8="Yes",IFERROR(BLD_AB!I33,0),0)+IF($F$8="Yes",IFERROR(BLD_AC!I33,0),0)+IF($G$8="Yes",IFERROR(BLD_BT!I33,0),0)+IF($H$8="Yes",IFERROR(BLD_CH!I33,0),0)+IF($I$8="Yes",IFERROR(BLD_CC!I33,0),0)+IF($J$8="Yes",IFERROR(BLD_EA!I33,0),0)+IF($K$8="Yes",IFERROR(BLD_EE!I33,0),0)+IF($L$8="Yes",IFERROR(BLD_JP!I33,0),0)+IF($M$8="Yes",IFERROR(BLD_MH!I33,0),0)+IF($N$8="Yes",IFERROR(BLD_MM!I33,0),0)+IF($O$8="Yes",IFERROR(BLD_NT!I33,0),0)+IF($P$8="Yes",IFERROR(BLD_NG!I33,0),0)+IF($Q$8="Yes",IFERROR(BLD_RG!I33,0),0)+IF($R$8="Yes",IFERROR(BLD_AS!I33,0),0)+IF($S$8="Yes",IFERROR(BLD_PS!I33,0),0)+IF($T$8="Yes",IFERROR(BLD_PM!I33,0),0)+IF($U$8="Yes",IFERROR(BLD_CD!I33,0),0)</f>
        <v>5180.1337036800014</v>
      </c>
      <c r="J33" s="283">
        <f>IF($E$8="Yes",IFERROR(BLD_AB!J33,0),0)+IF($F$8="Yes",IFERROR(BLD_AC!J33,0),0)+IF($G$8="Yes",IFERROR(BLD_BT!J33,0),0)+IF($H$8="Yes",IFERROR(BLD_CH!J33,0),0)+IF($I$8="Yes",IFERROR(BLD_CC!J33,0),0)+IF($J$8="Yes",IFERROR(BLD_EA!J33,0),0)+IF($K$8="Yes",IFERROR(BLD_EE!J33,0),0)+IF($L$8="Yes",IFERROR(BLD_JP!J33,0),0)+IF($M$8="Yes",IFERROR(BLD_MH!J33,0),0)+IF($N$8="Yes",IFERROR(BLD_MM!J33,0),0)+IF($O$8="Yes",IFERROR(BLD_NT!J33,0),0)+IF($P$8="Yes",IFERROR(BLD_NG!J33,0),0)+IF($Q$8="Yes",IFERROR(BLD_RG!J33,0),0)+IF($R$8="Yes",IFERROR(BLD_AS!J33,0),0)+IF($S$8="Yes",IFERROR(BLD_PS!J33,0),0)+IF($T$8="Yes",IFERROR(BLD_PM!J33,0),0)+IF($U$8="Yes",IFERROR(BLD_CD!J33,0),0)</f>
        <v>5387.3390518272017</v>
      </c>
      <c r="K33" s="283">
        <f>IF($E$8="Yes",IFERROR(BLD_AB!K33,0),0)+IF($F$8="Yes",IFERROR(BLD_AC!K33,0),0)+IF($G$8="Yes",IFERROR(BLD_BT!K33,0),0)+IF($H$8="Yes",IFERROR(BLD_CH!K33,0),0)+IF($I$8="Yes",IFERROR(BLD_CC!K33,0),0)+IF($J$8="Yes",IFERROR(BLD_EA!K33,0),0)+IF($K$8="Yes",IFERROR(BLD_EE!K33,0),0)+IF($L$8="Yes",IFERROR(BLD_JP!K33,0),0)+IF($M$8="Yes",IFERROR(BLD_MH!K33,0),0)+IF($N$8="Yes",IFERROR(BLD_MM!K33,0),0)+IF($O$8="Yes",IFERROR(BLD_NT!K33,0),0)+IF($P$8="Yes",IFERROR(BLD_NG!K33,0),0)+IF($Q$8="Yes",IFERROR(BLD_RG!K33,0),0)+IF($R$8="Yes",IFERROR(BLD_AS!K33,0),0)+IF($S$8="Yes",IFERROR(BLD_PS!K33,0),0)+IF($T$8="Yes",IFERROR(BLD_PM!K33,0),0)+IF($U$8="Yes",IFERROR(BLD_CD!K33,0),0)</f>
        <v>5602.8326139002893</v>
      </c>
      <c r="L33" s="283">
        <f>IF($E$8="Yes",IFERROR(BLD_AB!L33,0),0)+IF($F$8="Yes",IFERROR(BLD_AC!L33,0),0)+IF($G$8="Yes",IFERROR(BLD_BT!L33,0),0)+IF($H$8="Yes",IFERROR(BLD_CH!L33,0),0)+IF($I$8="Yes",IFERROR(BLD_CC!L33,0),0)+IF($J$8="Yes",IFERROR(BLD_EA!L33,0),0)+IF($K$8="Yes",IFERROR(BLD_EE!L33,0),0)+IF($L$8="Yes",IFERROR(BLD_JP!L33,0),0)+IF($M$8="Yes",IFERROR(BLD_MH!L33,0),0)+IF($N$8="Yes",IFERROR(BLD_MM!L33,0),0)+IF($O$8="Yes",IFERROR(BLD_NT!L33,0),0)+IF($P$8="Yes",IFERROR(BLD_NG!L33,0),0)+IF($Q$8="Yes",IFERROR(BLD_RG!L33,0),0)+IF($R$8="Yes",IFERROR(BLD_AS!L33,0),0)+IF($S$8="Yes",IFERROR(BLD_PS!L33,0),0)+IF($T$8="Yes",IFERROR(BLD_PM!L33,0),0)+IF($U$8="Yes",IFERROR(BLD_CD!L33,0),0)</f>
        <v>5826.9459184563011</v>
      </c>
      <c r="M33" s="283">
        <f>IF($E$8="Yes",IFERROR(BLD_AB!M33,0),0)+IF($F$8="Yes",IFERROR(BLD_AC!M33,0),0)+IF($G$8="Yes",IFERROR(BLD_BT!M33,0),0)+IF($H$8="Yes",IFERROR(BLD_CH!M33,0),0)+IF($I$8="Yes",IFERROR(BLD_CC!M33,0),0)+IF($J$8="Yes",IFERROR(BLD_EA!M33,0),0)+IF($K$8="Yes",IFERROR(BLD_EE!M33,0),0)+IF($L$8="Yes",IFERROR(BLD_JP!M33,0),0)+IF($M$8="Yes",IFERROR(BLD_MH!M33,0),0)+IF($N$8="Yes",IFERROR(BLD_MM!M33,0),0)+IF($O$8="Yes",IFERROR(BLD_NT!M33,0),0)+IF($P$8="Yes",IFERROR(BLD_NG!M33,0),0)+IF($Q$8="Yes",IFERROR(BLD_RG!M33,0),0)+IF($R$8="Yes",IFERROR(BLD_AS!M33,0),0)+IF($S$8="Yes",IFERROR(BLD_PS!M33,0),0)+IF($T$8="Yes",IFERROR(BLD_PM!M33,0),0)+IF($U$8="Yes",IFERROR(BLD_CD!M33,0),0)</f>
        <v>6060.0237551945538</v>
      </c>
      <c r="N33" s="283">
        <f>IF($E$8="Yes",IFERROR(BLD_AB!N33,0),0)+IF($F$8="Yes",IFERROR(BLD_AC!N33,0),0)+IF($G$8="Yes",IFERROR(BLD_BT!N33,0),0)+IF($H$8="Yes",IFERROR(BLD_CH!N33,0),0)+IF($I$8="Yes",IFERROR(BLD_CC!N33,0),0)+IF($J$8="Yes",IFERROR(BLD_EA!N33,0),0)+IF($K$8="Yes",IFERROR(BLD_EE!N33,0),0)+IF($L$8="Yes",IFERROR(BLD_JP!N33,0),0)+IF($M$8="Yes",IFERROR(BLD_MH!N33,0),0)+IF($N$8="Yes",IFERROR(BLD_MM!N33,0),0)+IF($O$8="Yes",IFERROR(BLD_NT!N33,0),0)+IF($P$8="Yes",IFERROR(BLD_NG!N33,0),0)+IF($Q$8="Yes",IFERROR(BLD_RG!N33,0),0)+IF($R$8="Yes",IFERROR(BLD_AS!N33,0),0)+IF($S$8="Yes",IFERROR(BLD_PS!N33,0),0)+IF($T$8="Yes",IFERROR(BLD_PM!N33,0),0)+IF($U$8="Yes",IFERROR(BLD_CD!N33,0),0)</f>
        <v>6302.4247054023372</v>
      </c>
      <c r="O33" s="283">
        <f>IF($E$8="Yes",IFERROR(BLD_AB!O33,0),0)+IF($F$8="Yes",IFERROR(BLD_AC!O33,0),0)+IF($G$8="Yes",IFERROR(BLD_BT!O33,0),0)+IF($H$8="Yes",IFERROR(BLD_CH!O33,0),0)+IF($I$8="Yes",IFERROR(BLD_CC!O33,0),0)+IF($J$8="Yes",IFERROR(BLD_EA!O33,0),0)+IF($K$8="Yes",IFERROR(BLD_EE!O33,0),0)+IF($L$8="Yes",IFERROR(BLD_JP!O33,0),0)+IF($M$8="Yes",IFERROR(BLD_MH!O33,0),0)+IF($N$8="Yes",IFERROR(BLD_MM!O33,0),0)+IF($O$8="Yes",IFERROR(BLD_NT!O33,0),0)+IF($P$8="Yes",IFERROR(BLD_NG!O33,0),0)+IF($Q$8="Yes",IFERROR(BLD_RG!O33,0),0)+IF($R$8="Yes",IFERROR(BLD_AS!O33,0),0)+IF($S$8="Yes",IFERROR(BLD_PS!O33,0),0)+IF($T$8="Yes",IFERROR(BLD_PM!O33,0),0)+IF($U$8="Yes",IFERROR(BLD_CD!O33,0),0)</f>
        <v>6459.9853230373947</v>
      </c>
      <c r="P33" s="283">
        <f>IF($E$8="Yes",IFERROR(BLD_AB!P33,0),0)+IF($F$8="Yes",IFERROR(BLD_AC!P33,0),0)+IF($G$8="Yes",IFERROR(BLD_BT!P33,0),0)+IF($H$8="Yes",IFERROR(BLD_CH!P33,0),0)+IF($I$8="Yes",IFERROR(BLD_CC!P33,0),0)+IF($J$8="Yes",IFERROR(BLD_EA!P33,0),0)+IF($K$8="Yes",IFERROR(BLD_EE!P33,0),0)+IF($L$8="Yes",IFERROR(BLD_JP!P33,0),0)+IF($M$8="Yes",IFERROR(BLD_MH!P33,0),0)+IF($N$8="Yes",IFERROR(BLD_MM!P33,0),0)+IF($O$8="Yes",IFERROR(BLD_NT!P33,0),0)+IF($P$8="Yes",IFERROR(BLD_NG!P33,0),0)+IF($Q$8="Yes",IFERROR(BLD_RG!P33,0),0)+IF($R$8="Yes",IFERROR(BLD_AS!P33,0),0)+IF($S$8="Yes",IFERROR(BLD_PS!P33,0),0)+IF($T$8="Yes",IFERROR(BLD_PM!P33,0),0)+IF($U$8="Yes",IFERROR(BLD_CD!P33,0),0)</f>
        <v>6621.4849561133287</v>
      </c>
      <c r="Q33" s="283">
        <f>IF($E$8="Yes",IFERROR(BLD_AB!Q33,0),0)+IF($F$8="Yes",IFERROR(BLD_AC!Q33,0),0)+IF($G$8="Yes",IFERROR(BLD_BT!Q33,0),0)+IF($H$8="Yes",IFERROR(BLD_CH!Q33,0),0)+IF($I$8="Yes",IFERROR(BLD_CC!Q33,0),0)+IF($J$8="Yes",IFERROR(BLD_EA!Q33,0),0)+IF($K$8="Yes",IFERROR(BLD_EE!Q33,0),0)+IF($L$8="Yes",IFERROR(BLD_JP!Q33,0),0)+IF($M$8="Yes",IFERROR(BLD_MH!Q33,0),0)+IF($N$8="Yes",IFERROR(BLD_MM!Q33,0),0)+IF($O$8="Yes",IFERROR(BLD_NT!Q33,0),0)+IF($P$8="Yes",IFERROR(BLD_NG!Q33,0),0)+IF($Q$8="Yes",IFERROR(BLD_RG!Q33,0),0)+IF($R$8="Yes",IFERROR(BLD_AS!Q33,0),0)+IF($S$8="Yes",IFERROR(BLD_PS!Q33,0),0)+IF($T$8="Yes",IFERROR(BLD_PM!Q33,0),0)+IF($U$8="Yes",IFERROR(BLD_CD!Q33,0),0)</f>
        <v>6787.0220800161624</v>
      </c>
      <c r="R33" s="283">
        <f>IF($E$8="Yes",IFERROR(BLD_AB!R33,0),0)+IF($F$8="Yes",IFERROR(BLD_AC!R33,0),0)+IF($G$8="Yes",IFERROR(BLD_BT!R33,0),0)+IF($H$8="Yes",IFERROR(BLD_CH!R33,0),0)+IF($I$8="Yes",IFERROR(BLD_CC!R33,0),0)+IF($J$8="Yes",IFERROR(BLD_EA!R33,0),0)+IF($K$8="Yes",IFERROR(BLD_EE!R33,0),0)+IF($L$8="Yes",IFERROR(BLD_JP!R33,0),0)+IF($M$8="Yes",IFERROR(BLD_MH!R33,0),0)+IF($N$8="Yes",IFERROR(BLD_MM!R33,0),0)+IF($O$8="Yes",IFERROR(BLD_NT!R33,0),0)+IF($P$8="Yes",IFERROR(BLD_NG!R33,0),0)+IF($Q$8="Yes",IFERROR(BLD_RG!R33,0),0)+IF($R$8="Yes",IFERROR(BLD_AS!R33,0),0)+IF($S$8="Yes",IFERROR(BLD_PS!R33,0),0)+IF($T$8="Yes",IFERROR(BLD_PM!R33,0),0)+IF($U$8="Yes",IFERROR(BLD_CD!R33,0),0)</f>
        <v>6956.697632016565</v>
      </c>
      <c r="S33" s="283">
        <f>IF($E$8="Yes",IFERROR(BLD_AB!S33,0),0)+IF($F$8="Yes",IFERROR(BLD_AC!S33,0),0)+IF($G$8="Yes",IFERROR(BLD_BT!S33,0),0)+IF($H$8="Yes",IFERROR(BLD_CH!S33,0),0)+IF($I$8="Yes",IFERROR(BLD_CC!S33,0),0)+IF($J$8="Yes",IFERROR(BLD_EA!S33,0),0)+IF($K$8="Yes",IFERROR(BLD_EE!S33,0),0)+IF($L$8="Yes",IFERROR(BLD_JP!S33,0),0)+IF($M$8="Yes",IFERROR(BLD_MH!S33,0),0)+IF($N$8="Yes",IFERROR(BLD_MM!S33,0),0)+IF($O$8="Yes",IFERROR(BLD_NT!S33,0),0)+IF($P$8="Yes",IFERROR(BLD_NG!S33,0),0)+IF($Q$8="Yes",IFERROR(BLD_RG!S33,0),0)+IF($R$8="Yes",IFERROR(BLD_AS!S33,0),0)+IF($S$8="Yes",IFERROR(BLD_PS!S33,0),0)+IF($T$8="Yes",IFERROR(BLD_PM!S33,0),0)+IF($U$8="Yes",IFERROR(BLD_CD!S33,0),0)</f>
        <v>7130.6150728169787</v>
      </c>
      <c r="T33" s="283">
        <f>IF($E$8="Yes",IFERROR(BLD_AB!T33,0),0)+IF($F$8="Yes",IFERROR(BLD_AC!T33,0),0)+IF($G$8="Yes",IFERROR(BLD_BT!T33,0),0)+IF($H$8="Yes",IFERROR(BLD_CH!T33,0),0)+IF($I$8="Yes",IFERROR(BLD_CC!T33,0),0)+IF($J$8="Yes",IFERROR(BLD_EA!T33,0),0)+IF($K$8="Yes",IFERROR(BLD_EE!T33,0),0)+IF($L$8="Yes",IFERROR(BLD_JP!T33,0),0)+IF($M$8="Yes",IFERROR(BLD_MH!T33,0),0)+IF($N$8="Yes",IFERROR(BLD_MM!T33,0),0)+IF($O$8="Yes",IFERROR(BLD_NT!T33,0),0)+IF($P$8="Yes",IFERROR(BLD_NG!T33,0),0)+IF($Q$8="Yes",IFERROR(BLD_RG!T33,0),0)+IF($R$8="Yes",IFERROR(BLD_AS!T33,0),0)+IF($S$8="Yes",IFERROR(BLD_PS!T33,0),0)+IF($T$8="Yes",IFERROR(BLD_PM!T33,0),0)+IF($U$8="Yes",IFERROR(BLD_CD!T33,0),0)</f>
        <v>7308.8804496374032</v>
      </c>
      <c r="U33" s="283">
        <f>IF($E$8="Yes",IFERROR(BLD_AB!U33,0),0)+IF($F$8="Yes",IFERROR(BLD_AC!U33,0),0)+IF($G$8="Yes",IFERROR(BLD_BT!U33,0),0)+IF($H$8="Yes",IFERROR(BLD_CH!U33,0),0)+IF($I$8="Yes",IFERROR(BLD_CC!U33,0),0)+IF($J$8="Yes",IFERROR(BLD_EA!U33,0),0)+IF($K$8="Yes",IFERROR(BLD_EE!U33,0),0)+IF($L$8="Yes",IFERROR(BLD_JP!U33,0),0)+IF($M$8="Yes",IFERROR(BLD_MH!U33,0),0)+IF($N$8="Yes",IFERROR(BLD_MM!U33,0),0)+IF($O$8="Yes",IFERROR(BLD_NT!U33,0),0)+IF($P$8="Yes",IFERROR(BLD_NG!U33,0),0)+IF($Q$8="Yes",IFERROR(BLD_RG!U33,0),0)+IF($R$8="Yes",IFERROR(BLD_AS!U33,0),0)+IF($S$8="Yes",IFERROR(BLD_PS!U33,0),0)+IF($T$8="Yes",IFERROR(BLD_PM!U33,0),0)+IF($U$8="Yes",IFERROR(BLD_CD!U33,0),0)</f>
        <v>7491.6024608783373</v>
      </c>
      <c r="V33" s="283">
        <f>IF($E$8="Yes",IFERROR(BLD_AB!V33,0),0)+IF($F$8="Yes",IFERROR(BLD_AC!V33,0),0)+IF($G$8="Yes",IFERROR(BLD_BT!V33,0),0)+IF($H$8="Yes",IFERROR(BLD_CH!V33,0),0)+IF($I$8="Yes",IFERROR(BLD_CC!V33,0),0)+IF($J$8="Yes",IFERROR(BLD_EA!V33,0),0)+IF($K$8="Yes",IFERROR(BLD_EE!V33,0),0)+IF($L$8="Yes",IFERROR(BLD_JP!V33,0),0)+IF($M$8="Yes",IFERROR(BLD_MH!V33,0),0)+IF($N$8="Yes",IFERROR(BLD_MM!V33,0),0)+IF($O$8="Yes",IFERROR(BLD_NT!V33,0),0)+IF($P$8="Yes",IFERROR(BLD_NG!V33,0),0)+IF($Q$8="Yes",IFERROR(BLD_RG!V33,0),0)+IF($R$8="Yes",IFERROR(BLD_AS!V33,0),0)+IF($S$8="Yes",IFERROR(BLD_PS!V33,0),0)+IF($T$8="Yes",IFERROR(BLD_PM!V33,0),0)+IF($U$8="Yes",IFERROR(BLD_CD!V33,0),0)</f>
        <v>7678.892522400296</v>
      </c>
      <c r="W33" s="283">
        <f>IF($E$8="Yes",IFERROR(BLD_AB!W33,0),0)+IF($F$8="Yes",IFERROR(BLD_AC!W33,0),0)+IF($G$8="Yes",IFERROR(BLD_BT!W33,0),0)+IF($H$8="Yes",IFERROR(BLD_CH!W33,0),0)+IF($I$8="Yes",IFERROR(BLD_CC!W33,0),0)+IF($J$8="Yes",IFERROR(BLD_EA!W33,0),0)+IF($K$8="Yes",IFERROR(BLD_EE!W33,0),0)+IF($L$8="Yes",IFERROR(BLD_JP!W33,0),0)+IF($M$8="Yes",IFERROR(BLD_MH!W33,0),0)+IF($N$8="Yes",IFERROR(BLD_MM!W33,0),0)+IF($O$8="Yes",IFERROR(BLD_NT!W33,0),0)+IF($P$8="Yes",IFERROR(BLD_NG!W33,0),0)+IF($Q$8="Yes",IFERROR(BLD_RG!W33,0),0)+IF($R$8="Yes",IFERROR(BLD_AS!W33,0),0)+IF($S$8="Yes",IFERROR(BLD_PS!W33,0),0)+IF($T$8="Yes",IFERROR(BLD_PM!W33,0),0)+IF($U$8="Yes",IFERROR(BLD_CD!W33,0),0)</f>
        <v>7870.8648354603029</v>
      </c>
      <c r="X33" s="283">
        <f>IF($E$8="Yes",IFERROR(BLD_AB!X33,0),0)+IF($F$8="Yes",IFERROR(BLD_AC!X33,0),0)+IF($G$8="Yes",IFERROR(BLD_BT!X33,0),0)+IF($H$8="Yes",IFERROR(BLD_CH!X33,0),0)+IF($I$8="Yes",IFERROR(BLD_CC!X33,0),0)+IF($J$8="Yes",IFERROR(BLD_EA!X33,0),0)+IF($K$8="Yes",IFERROR(BLD_EE!X33,0),0)+IF($L$8="Yes",IFERROR(BLD_JP!X33,0),0)+IF($M$8="Yes",IFERROR(BLD_MH!X33,0),0)+IF($N$8="Yes",IFERROR(BLD_MM!X33,0),0)+IF($O$8="Yes",IFERROR(BLD_NT!X33,0),0)+IF($P$8="Yes",IFERROR(BLD_NG!X33,0),0)+IF($Q$8="Yes",IFERROR(BLD_RG!X33,0),0)+IF($R$8="Yes",IFERROR(BLD_AS!X33,0),0)+IF($S$8="Yes",IFERROR(BLD_PS!X33,0),0)+IF($T$8="Yes",IFERROR(BLD_PM!X33,0),0)+IF($U$8="Yes",IFERROR(BLD_CD!X33,0),0)</f>
        <v>8067.6364563468105</v>
      </c>
      <c r="Y33" s="283">
        <f>IF($E$8="Yes",IFERROR(BLD_AB!Y33,0),0)+IF($F$8="Yes",IFERROR(BLD_AC!Y33,0),0)+IF($G$8="Yes",IFERROR(BLD_BT!Y33,0),0)+IF($H$8="Yes",IFERROR(BLD_CH!Y33,0),0)+IF($I$8="Yes",IFERROR(BLD_CC!Y33,0),0)+IF($J$8="Yes",IFERROR(BLD_EA!Y33,0),0)+IF($K$8="Yes",IFERROR(BLD_EE!Y33,0),0)+IF($L$8="Yes",IFERROR(BLD_JP!Y33,0),0)+IF($M$8="Yes",IFERROR(BLD_MH!Y33,0),0)+IF($N$8="Yes",IFERROR(BLD_MM!Y33,0),0)+IF($O$8="Yes",IFERROR(BLD_NT!Y33,0),0)+IF($P$8="Yes",IFERROR(BLD_NG!Y33,0),0)+IF($Q$8="Yes",IFERROR(BLD_RG!Y33,0),0)+IF($R$8="Yes",IFERROR(BLD_AS!Y33,0),0)+IF($S$8="Yes",IFERROR(BLD_PS!Y33,0),0)+IF($T$8="Yes",IFERROR(BLD_PM!Y33,0),0)+IF($U$8="Yes",IFERROR(BLD_CD!Y33,0),0)</f>
        <v>8269.3273677554789</v>
      </c>
    </row>
    <row r="34" spans="3:25" ht="13.5" customHeight="1">
      <c r="C34" s="10" t="s">
        <v>350</v>
      </c>
      <c r="E34" s="283">
        <f>IF($E$8="Yes",IFERROR(BLD_AB!E34,0),0)+IF($F$8="Yes",IFERROR(BLD_AC!E34,0),0)+IF($G$8="Yes",IFERROR(BLD_BT!E34,0),0)+IF($H$8="Yes",IFERROR(BLD_CH!E34,0),0)+IF($I$8="Yes",IFERROR(BLD_CC!E34,0),0)+IF($J$8="Yes",IFERROR(BLD_EA!E34,0),0)+IF($K$8="Yes",IFERROR(BLD_EE!E34,0),0)+IF($L$8="Yes",IFERROR(BLD_JP!E34,0),0)+IF($M$8="Yes",IFERROR(BLD_MH!E34,0),0)+IF($N$8="Yes",IFERROR(BLD_MM!E34,0),0)+IF($O$8="Yes",IFERROR(BLD_NT!E34,0),0)+IF($P$8="Yes",IFERROR(BLD_NG!E34,0),0)+IF($Q$8="Yes",IFERROR(BLD_RG!E34,0),0)+IF($R$8="Yes",IFERROR(BLD_AS!E34,0),0)+IF($S$8="Yes",IFERROR(BLD_PS!E34,0),0)+IF($T$8="Yes",IFERROR(BLD_PM!E34,0),0)+IF($U$8="Yes",IFERROR(BLD_CD!E34,0),0)</f>
        <v>140346</v>
      </c>
      <c r="F34" s="283">
        <f>IF($E$8="Yes",IFERROR(BLD_AB!F34,0),0)+IF($F$8="Yes",IFERROR(BLD_AC!F34,0),0)+IF($G$8="Yes",IFERROR(BLD_BT!F34,0),0)+IF($H$8="Yes",IFERROR(BLD_CH!F34,0),0)+IF($I$8="Yes",IFERROR(BLD_CC!F34,0),0)+IF($J$8="Yes",IFERROR(BLD_EA!F34,0),0)+IF($K$8="Yes",IFERROR(BLD_EE!F34,0),0)+IF($L$8="Yes",IFERROR(BLD_JP!F34,0),0)+IF($M$8="Yes",IFERROR(BLD_MH!F34,0),0)+IF($N$8="Yes",IFERROR(BLD_MM!F34,0),0)+IF($O$8="Yes",IFERROR(BLD_NT!F34,0),0)+IF($P$8="Yes",IFERROR(BLD_NG!F34,0),0)+IF($Q$8="Yes",IFERROR(BLD_RG!F34,0),0)+IF($R$8="Yes",IFERROR(BLD_AS!F34,0),0)+IF($S$8="Yes",IFERROR(BLD_PS!F34,0),0)+IF($T$8="Yes",IFERROR(BLD_PM!F34,0),0)+IF($U$8="Yes",IFERROR(BLD_CD!F34,0),0)</f>
        <v>145959.84</v>
      </c>
      <c r="G34" s="283">
        <f>IF($E$8="Yes",IFERROR(BLD_AB!G34,0),0)+IF($F$8="Yes",IFERROR(BLD_AC!G34,0),0)+IF($G$8="Yes",IFERROR(BLD_BT!G34,0),0)+IF($H$8="Yes",IFERROR(BLD_CH!G34,0),0)+IF($I$8="Yes",IFERROR(BLD_CC!G34,0),0)+IF($J$8="Yes",IFERROR(BLD_EA!G34,0),0)+IF($K$8="Yes",IFERROR(BLD_EE!G34,0),0)+IF($L$8="Yes",IFERROR(BLD_JP!G34,0),0)+IF($M$8="Yes",IFERROR(BLD_MH!G34,0),0)+IF($N$8="Yes",IFERROR(BLD_MM!G34,0),0)+IF($O$8="Yes",IFERROR(BLD_NT!G34,0),0)+IF($P$8="Yes",IFERROR(BLD_NG!G34,0),0)+IF($Q$8="Yes",IFERROR(BLD_RG!G34,0),0)+IF($R$8="Yes",IFERROR(BLD_AS!G34,0),0)+IF($S$8="Yes",IFERROR(BLD_PS!G34,0),0)+IF($T$8="Yes",IFERROR(BLD_PM!G34,0),0)+IF($U$8="Yes",IFERROR(BLD_CD!G34,0),0)</f>
        <v>151798.23360000001</v>
      </c>
      <c r="H34" s="283">
        <f>IF($E$8="Yes",IFERROR(BLD_AB!H34,0),0)+IF($F$8="Yes",IFERROR(BLD_AC!H34,0),0)+IF($G$8="Yes",IFERROR(BLD_BT!H34,0),0)+IF($H$8="Yes",IFERROR(BLD_CH!H34,0),0)+IF($I$8="Yes",IFERROR(BLD_CC!H34,0),0)+IF($J$8="Yes",IFERROR(BLD_EA!H34,0),0)+IF($K$8="Yes",IFERROR(BLD_EE!H34,0),0)+IF($L$8="Yes",IFERROR(BLD_JP!H34,0),0)+IF($M$8="Yes",IFERROR(BLD_MH!H34,0),0)+IF($N$8="Yes",IFERROR(BLD_MM!H34,0),0)+IF($O$8="Yes",IFERROR(BLD_NT!H34,0),0)+IF($P$8="Yes",IFERROR(BLD_NG!H34,0),0)+IF($Q$8="Yes",IFERROR(BLD_RG!H34,0),0)+IF($R$8="Yes",IFERROR(BLD_AS!H34,0),0)+IF($S$8="Yes",IFERROR(BLD_PS!H34,0),0)+IF($T$8="Yes",IFERROR(BLD_PM!H34,0),0)+IF($U$8="Yes",IFERROR(BLD_CD!H34,0),0)</f>
        <v>157870.16294400004</v>
      </c>
      <c r="I34" s="283">
        <f>IF($E$8="Yes",IFERROR(BLD_AB!I34,0),0)+IF($F$8="Yes",IFERROR(BLD_AC!I34,0),0)+IF($G$8="Yes",IFERROR(BLD_BT!I34,0),0)+IF($H$8="Yes",IFERROR(BLD_CH!I34,0),0)+IF($I$8="Yes",IFERROR(BLD_CC!I34,0),0)+IF($J$8="Yes",IFERROR(BLD_EA!I34,0),0)+IF($K$8="Yes",IFERROR(BLD_EE!I34,0),0)+IF($L$8="Yes",IFERROR(BLD_JP!I34,0),0)+IF($M$8="Yes",IFERROR(BLD_MH!I34,0),0)+IF($N$8="Yes",IFERROR(BLD_MM!I34,0),0)+IF($O$8="Yes",IFERROR(BLD_NT!I34,0),0)+IF($P$8="Yes",IFERROR(BLD_NG!I34,0),0)+IF($Q$8="Yes",IFERROR(BLD_RG!I34,0),0)+IF($R$8="Yes",IFERROR(BLD_AS!I34,0),0)+IF($S$8="Yes",IFERROR(BLD_PS!I34,0),0)+IF($T$8="Yes",IFERROR(BLD_PM!I34,0),0)+IF($U$8="Yes",IFERROR(BLD_CD!I34,0),0)</f>
        <v>164184.96946176005</v>
      </c>
      <c r="J34" s="283">
        <f>IF($E$8="Yes",IFERROR(BLD_AB!J34,0),0)+IF($F$8="Yes",IFERROR(BLD_AC!J34,0),0)+IF($G$8="Yes",IFERROR(BLD_BT!J34,0),0)+IF($H$8="Yes",IFERROR(BLD_CH!J34,0),0)+IF($I$8="Yes",IFERROR(BLD_CC!J34,0),0)+IF($J$8="Yes",IFERROR(BLD_EA!J34,0),0)+IF($K$8="Yes",IFERROR(BLD_EE!J34,0),0)+IF($L$8="Yes",IFERROR(BLD_JP!J34,0),0)+IF($M$8="Yes",IFERROR(BLD_MH!J34,0),0)+IF($N$8="Yes",IFERROR(BLD_MM!J34,0),0)+IF($O$8="Yes",IFERROR(BLD_NT!J34,0),0)+IF($P$8="Yes",IFERROR(BLD_NG!J34,0),0)+IF($Q$8="Yes",IFERROR(BLD_RG!J34,0),0)+IF($R$8="Yes",IFERROR(BLD_AS!J34,0),0)+IF($S$8="Yes",IFERROR(BLD_PS!J34,0),0)+IF($T$8="Yes",IFERROR(BLD_PM!J34,0),0)+IF($U$8="Yes",IFERROR(BLD_CD!J34,0),0)</f>
        <v>170752.36824023043</v>
      </c>
      <c r="K34" s="283">
        <f>IF($E$8="Yes",IFERROR(BLD_AB!K34,0),0)+IF($F$8="Yes",IFERROR(BLD_AC!K34,0),0)+IF($G$8="Yes",IFERROR(BLD_BT!K34,0),0)+IF($H$8="Yes",IFERROR(BLD_CH!K34,0),0)+IF($I$8="Yes",IFERROR(BLD_CC!K34,0),0)+IF($J$8="Yes",IFERROR(BLD_EA!K34,0),0)+IF($K$8="Yes",IFERROR(BLD_EE!K34,0),0)+IF($L$8="Yes",IFERROR(BLD_JP!K34,0),0)+IF($M$8="Yes",IFERROR(BLD_MH!K34,0),0)+IF($N$8="Yes",IFERROR(BLD_MM!K34,0),0)+IF($O$8="Yes",IFERROR(BLD_NT!K34,0),0)+IF($P$8="Yes",IFERROR(BLD_NG!K34,0),0)+IF($Q$8="Yes",IFERROR(BLD_RG!K34,0),0)+IF($R$8="Yes",IFERROR(BLD_AS!K34,0),0)+IF($S$8="Yes",IFERROR(BLD_PS!K34,0),0)+IF($T$8="Yes",IFERROR(BLD_PM!K34,0),0)+IF($U$8="Yes",IFERROR(BLD_CD!K34,0),0)</f>
        <v>177582.46296983969</v>
      </c>
      <c r="L34" s="283">
        <f>IF($E$8="Yes",IFERROR(BLD_AB!L34,0),0)+IF($F$8="Yes",IFERROR(BLD_AC!L34,0),0)+IF($G$8="Yes",IFERROR(BLD_BT!L34,0),0)+IF($H$8="Yes",IFERROR(BLD_CH!L34,0),0)+IF($I$8="Yes",IFERROR(BLD_CC!L34,0),0)+IF($J$8="Yes",IFERROR(BLD_EA!L34,0),0)+IF($K$8="Yes",IFERROR(BLD_EE!L34,0),0)+IF($L$8="Yes",IFERROR(BLD_JP!L34,0),0)+IF($M$8="Yes",IFERROR(BLD_MH!L34,0),0)+IF($N$8="Yes",IFERROR(BLD_MM!L34,0),0)+IF($O$8="Yes",IFERROR(BLD_NT!L34,0),0)+IF($P$8="Yes",IFERROR(BLD_NG!L34,0),0)+IF($Q$8="Yes",IFERROR(BLD_RG!L34,0),0)+IF($R$8="Yes",IFERROR(BLD_AS!L34,0),0)+IF($S$8="Yes",IFERROR(BLD_PS!L34,0),0)+IF($T$8="Yes",IFERROR(BLD_PM!L34,0),0)+IF($U$8="Yes",IFERROR(BLD_CD!L34,0),0)</f>
        <v>184685.76148863323</v>
      </c>
      <c r="M34" s="283">
        <f>IF($E$8="Yes",IFERROR(BLD_AB!M34,0),0)+IF($F$8="Yes",IFERROR(BLD_AC!M34,0),0)+IF($G$8="Yes",IFERROR(BLD_BT!M34,0),0)+IF($H$8="Yes",IFERROR(BLD_CH!M34,0),0)+IF($I$8="Yes",IFERROR(BLD_CC!M34,0),0)+IF($J$8="Yes",IFERROR(BLD_EA!M34,0),0)+IF($K$8="Yes",IFERROR(BLD_EE!M34,0),0)+IF($L$8="Yes",IFERROR(BLD_JP!M34,0),0)+IF($M$8="Yes",IFERROR(BLD_MH!M34,0),0)+IF($N$8="Yes",IFERROR(BLD_MM!M34,0),0)+IF($O$8="Yes",IFERROR(BLD_NT!M34,0),0)+IF($P$8="Yes",IFERROR(BLD_NG!M34,0),0)+IF($Q$8="Yes",IFERROR(BLD_RG!M34,0),0)+IF($R$8="Yes",IFERROR(BLD_AS!M34,0),0)+IF($S$8="Yes",IFERROR(BLD_PS!M34,0),0)+IF($T$8="Yes",IFERROR(BLD_PM!M34,0),0)+IF($U$8="Yes",IFERROR(BLD_CD!M34,0),0)</f>
        <v>192073.1919481786</v>
      </c>
      <c r="N34" s="283">
        <f>IF($E$8="Yes",IFERROR(BLD_AB!N34,0),0)+IF($F$8="Yes",IFERROR(BLD_AC!N34,0),0)+IF($G$8="Yes",IFERROR(BLD_BT!N34,0),0)+IF($H$8="Yes",IFERROR(BLD_CH!N34,0),0)+IF($I$8="Yes",IFERROR(BLD_CC!N34,0),0)+IF($J$8="Yes",IFERROR(BLD_EA!N34,0),0)+IF($K$8="Yes",IFERROR(BLD_EE!N34,0),0)+IF($L$8="Yes",IFERROR(BLD_JP!N34,0),0)+IF($M$8="Yes",IFERROR(BLD_MH!N34,0),0)+IF($N$8="Yes",IFERROR(BLD_MM!N34,0),0)+IF($O$8="Yes",IFERROR(BLD_NT!N34,0),0)+IF($P$8="Yes",IFERROR(BLD_NG!N34,0),0)+IF($Q$8="Yes",IFERROR(BLD_RG!N34,0),0)+IF($R$8="Yes",IFERROR(BLD_AS!N34,0),0)+IF($S$8="Yes",IFERROR(BLD_PS!N34,0),0)+IF($T$8="Yes",IFERROR(BLD_PM!N34,0),0)+IF($U$8="Yes",IFERROR(BLD_CD!N34,0),0)</f>
        <v>199756.11962610573</v>
      </c>
      <c r="O34" s="283">
        <f>IF($E$8="Yes",IFERROR(BLD_AB!O34,0),0)+IF($F$8="Yes",IFERROR(BLD_AC!O34,0),0)+IF($G$8="Yes",IFERROR(BLD_BT!O34,0),0)+IF($H$8="Yes",IFERROR(BLD_CH!O34,0),0)+IF($I$8="Yes",IFERROR(BLD_CC!O34,0),0)+IF($J$8="Yes",IFERROR(BLD_EA!O34,0),0)+IF($K$8="Yes",IFERROR(BLD_EE!O34,0),0)+IF($L$8="Yes",IFERROR(BLD_JP!O34,0),0)+IF($M$8="Yes",IFERROR(BLD_MH!O34,0),0)+IF($N$8="Yes",IFERROR(BLD_MM!O34,0),0)+IF($O$8="Yes",IFERROR(BLD_NT!O34,0),0)+IF($P$8="Yes",IFERROR(BLD_NG!O34,0),0)+IF($Q$8="Yes",IFERROR(BLD_RG!O34,0),0)+IF($R$8="Yes",IFERROR(BLD_AS!O34,0),0)+IF($S$8="Yes",IFERROR(BLD_PS!O34,0),0)+IF($T$8="Yes",IFERROR(BLD_PM!O34,0),0)+IF($U$8="Yes",IFERROR(BLD_CD!O34,0),0)</f>
        <v>204750.02261675845</v>
      </c>
      <c r="P34" s="283">
        <f>IF($E$8="Yes",IFERROR(BLD_AB!P34,0),0)+IF($F$8="Yes",IFERROR(BLD_AC!P34,0),0)+IF($G$8="Yes",IFERROR(BLD_BT!P34,0),0)+IF($H$8="Yes",IFERROR(BLD_CH!P34,0),0)+IF($I$8="Yes",IFERROR(BLD_CC!P34,0),0)+IF($J$8="Yes",IFERROR(BLD_EA!P34,0),0)+IF($K$8="Yes",IFERROR(BLD_EE!P34,0),0)+IF($L$8="Yes",IFERROR(BLD_JP!P34,0),0)+IF($M$8="Yes",IFERROR(BLD_MH!P34,0),0)+IF($N$8="Yes",IFERROR(BLD_MM!P34,0),0)+IF($O$8="Yes",IFERROR(BLD_NT!P34,0),0)+IF($P$8="Yes",IFERROR(BLD_NG!P34,0),0)+IF($Q$8="Yes",IFERROR(BLD_RG!P34,0),0)+IF($R$8="Yes",IFERROR(BLD_AS!P34,0),0)+IF($S$8="Yes",IFERROR(BLD_PS!P34,0),0)+IF($T$8="Yes",IFERROR(BLD_PM!P34,0),0)+IF($U$8="Yes",IFERROR(BLD_CD!P34,0),0)</f>
        <v>209868.77318217736</v>
      </c>
      <c r="Q34" s="283">
        <f>IF($E$8="Yes",IFERROR(BLD_AB!Q34,0),0)+IF($F$8="Yes",IFERROR(BLD_AC!Q34,0),0)+IF($G$8="Yes",IFERROR(BLD_BT!Q34,0),0)+IF($H$8="Yes",IFERROR(BLD_CH!Q34,0),0)+IF($I$8="Yes",IFERROR(BLD_CC!Q34,0),0)+IF($J$8="Yes",IFERROR(BLD_EA!Q34,0),0)+IF($K$8="Yes",IFERROR(BLD_EE!Q34,0),0)+IF($L$8="Yes",IFERROR(BLD_JP!Q34,0),0)+IF($M$8="Yes",IFERROR(BLD_MH!Q34,0),0)+IF($N$8="Yes",IFERROR(BLD_MM!Q34,0),0)+IF($O$8="Yes",IFERROR(BLD_NT!Q34,0),0)+IF($P$8="Yes",IFERROR(BLD_NG!Q34,0),0)+IF($Q$8="Yes",IFERROR(BLD_RG!Q34,0),0)+IF($R$8="Yes",IFERROR(BLD_AS!Q34,0),0)+IF($S$8="Yes",IFERROR(BLD_PS!Q34,0),0)+IF($T$8="Yes",IFERROR(BLD_PM!Q34,0),0)+IF($U$8="Yes",IFERROR(BLD_CD!Q34,0),0)</f>
        <v>215115.49251173178</v>
      </c>
      <c r="R34" s="283">
        <f>IF($E$8="Yes",IFERROR(BLD_AB!R34,0),0)+IF($F$8="Yes",IFERROR(BLD_AC!R34,0),0)+IF($G$8="Yes",IFERROR(BLD_BT!R34,0),0)+IF($H$8="Yes",IFERROR(BLD_CH!R34,0),0)+IF($I$8="Yes",IFERROR(BLD_CC!R34,0),0)+IF($J$8="Yes",IFERROR(BLD_EA!R34,0),0)+IF($K$8="Yes",IFERROR(BLD_EE!R34,0),0)+IF($L$8="Yes",IFERROR(BLD_JP!R34,0),0)+IF($M$8="Yes",IFERROR(BLD_MH!R34,0),0)+IF($N$8="Yes",IFERROR(BLD_MM!R34,0),0)+IF($O$8="Yes",IFERROR(BLD_NT!R34,0),0)+IF($P$8="Yes",IFERROR(BLD_NG!R34,0),0)+IF($Q$8="Yes",IFERROR(BLD_RG!R34,0),0)+IF($R$8="Yes",IFERROR(BLD_AS!R34,0),0)+IF($S$8="Yes",IFERROR(BLD_PS!R34,0),0)+IF($T$8="Yes",IFERROR(BLD_PM!R34,0),0)+IF($U$8="Yes",IFERROR(BLD_CD!R34,0),0)</f>
        <v>220493.37982452504</v>
      </c>
      <c r="S34" s="283">
        <f>IF($E$8="Yes",IFERROR(BLD_AB!S34,0),0)+IF($F$8="Yes",IFERROR(BLD_AC!S34,0),0)+IF($G$8="Yes",IFERROR(BLD_BT!S34,0),0)+IF($H$8="Yes",IFERROR(BLD_CH!S34,0),0)+IF($I$8="Yes",IFERROR(BLD_CC!S34,0),0)+IF($J$8="Yes",IFERROR(BLD_EA!S34,0),0)+IF($K$8="Yes",IFERROR(BLD_EE!S34,0),0)+IF($L$8="Yes",IFERROR(BLD_JP!S34,0),0)+IF($M$8="Yes",IFERROR(BLD_MH!S34,0),0)+IF($N$8="Yes",IFERROR(BLD_MM!S34,0),0)+IF($O$8="Yes",IFERROR(BLD_NT!S34,0),0)+IF($P$8="Yes",IFERROR(BLD_NG!S34,0),0)+IF($Q$8="Yes",IFERROR(BLD_RG!S34,0),0)+IF($R$8="Yes",IFERROR(BLD_AS!S34,0),0)+IF($S$8="Yes",IFERROR(BLD_PS!S34,0),0)+IF($T$8="Yes",IFERROR(BLD_PM!S34,0),0)+IF($U$8="Yes",IFERROR(BLD_CD!S34,0),0)</f>
        <v>226005.71432013816</v>
      </c>
      <c r="T34" s="283">
        <f>IF($E$8="Yes",IFERROR(BLD_AB!T34,0),0)+IF($F$8="Yes",IFERROR(BLD_AC!T34,0),0)+IF($G$8="Yes",IFERROR(BLD_BT!T34,0),0)+IF($H$8="Yes",IFERROR(BLD_CH!T34,0),0)+IF($I$8="Yes",IFERROR(BLD_CC!T34,0),0)+IF($J$8="Yes",IFERROR(BLD_EA!T34,0),0)+IF($K$8="Yes",IFERROR(BLD_EE!T34,0),0)+IF($L$8="Yes",IFERROR(BLD_JP!T34,0),0)+IF($M$8="Yes",IFERROR(BLD_MH!T34,0),0)+IF($N$8="Yes",IFERROR(BLD_MM!T34,0),0)+IF($O$8="Yes",IFERROR(BLD_NT!T34,0),0)+IF($P$8="Yes",IFERROR(BLD_NG!T34,0),0)+IF($Q$8="Yes",IFERROR(BLD_RG!T34,0),0)+IF($R$8="Yes",IFERROR(BLD_AS!T34,0),0)+IF($S$8="Yes",IFERROR(BLD_PS!T34,0),0)+IF($T$8="Yes",IFERROR(BLD_PM!T34,0),0)+IF($U$8="Yes",IFERROR(BLD_CD!T34,0),0)</f>
        <v>231655.8571781416</v>
      </c>
      <c r="U34" s="283">
        <f>IF($E$8="Yes",IFERROR(BLD_AB!U34,0),0)+IF($F$8="Yes",IFERROR(BLD_AC!U34,0),0)+IF($G$8="Yes",IFERROR(BLD_BT!U34,0),0)+IF($H$8="Yes",IFERROR(BLD_CH!U34,0),0)+IF($I$8="Yes",IFERROR(BLD_CC!U34,0),0)+IF($J$8="Yes",IFERROR(BLD_EA!U34,0),0)+IF($K$8="Yes",IFERROR(BLD_EE!U34,0),0)+IF($L$8="Yes",IFERROR(BLD_JP!U34,0),0)+IF($M$8="Yes",IFERROR(BLD_MH!U34,0),0)+IF($N$8="Yes",IFERROR(BLD_MM!U34,0),0)+IF($O$8="Yes",IFERROR(BLD_NT!U34,0),0)+IF($P$8="Yes",IFERROR(BLD_NG!U34,0),0)+IF($Q$8="Yes",IFERROR(BLD_RG!U34,0),0)+IF($R$8="Yes",IFERROR(BLD_AS!U34,0),0)+IF($S$8="Yes",IFERROR(BLD_PS!U34,0),0)+IF($T$8="Yes",IFERROR(BLD_PM!U34,0),0)+IF($U$8="Yes",IFERROR(BLD_CD!U34,0),0)</f>
        <v>237447.25360759514</v>
      </c>
      <c r="V34" s="283">
        <f>IF($E$8="Yes",IFERROR(BLD_AB!V34,0),0)+IF($F$8="Yes",IFERROR(BLD_AC!V34,0),0)+IF($G$8="Yes",IFERROR(BLD_BT!V34,0),0)+IF($H$8="Yes",IFERROR(BLD_CH!V34,0),0)+IF($I$8="Yes",IFERROR(BLD_CC!V34,0),0)+IF($J$8="Yes",IFERROR(BLD_EA!V34,0),0)+IF($K$8="Yes",IFERROR(BLD_EE!V34,0),0)+IF($L$8="Yes",IFERROR(BLD_JP!V34,0),0)+IF($M$8="Yes",IFERROR(BLD_MH!V34,0),0)+IF($N$8="Yes",IFERROR(BLD_MM!V34,0),0)+IF($O$8="Yes",IFERROR(BLD_NT!V34,0),0)+IF($P$8="Yes",IFERROR(BLD_NG!V34,0),0)+IF($Q$8="Yes",IFERROR(BLD_RG!V34,0),0)+IF($R$8="Yes",IFERROR(BLD_AS!V34,0),0)+IF($S$8="Yes",IFERROR(BLD_PS!V34,0),0)+IF($T$8="Yes",IFERROR(BLD_PM!V34,0),0)+IF($U$8="Yes",IFERROR(BLD_CD!V34,0),0)</f>
        <v>243383.43494778496</v>
      </c>
      <c r="W34" s="283">
        <f>IF($E$8="Yes",IFERROR(BLD_AB!W34,0),0)+IF($F$8="Yes",IFERROR(BLD_AC!W34,0),0)+IF($G$8="Yes",IFERROR(BLD_BT!W34,0),0)+IF($H$8="Yes",IFERROR(BLD_CH!W34,0),0)+IF($I$8="Yes",IFERROR(BLD_CC!W34,0),0)+IF($J$8="Yes",IFERROR(BLD_EA!W34,0),0)+IF($K$8="Yes",IFERROR(BLD_EE!W34,0),0)+IF($L$8="Yes",IFERROR(BLD_JP!W34,0),0)+IF($M$8="Yes",IFERROR(BLD_MH!W34,0),0)+IF($N$8="Yes",IFERROR(BLD_MM!W34,0),0)+IF($O$8="Yes",IFERROR(BLD_NT!W34,0),0)+IF($P$8="Yes",IFERROR(BLD_NG!W34,0),0)+IF($Q$8="Yes",IFERROR(BLD_RG!W34,0),0)+IF($R$8="Yes",IFERROR(BLD_AS!W34,0),0)+IF($S$8="Yes",IFERROR(BLD_PS!W34,0),0)+IF($T$8="Yes",IFERROR(BLD_PM!W34,0),0)+IF($U$8="Yes",IFERROR(BLD_CD!W34,0),0)</f>
        <v>249468.02082147959</v>
      </c>
      <c r="X34" s="283">
        <f>IF($E$8="Yes",IFERROR(BLD_AB!X34,0),0)+IF($F$8="Yes",IFERROR(BLD_AC!X34,0),0)+IF($G$8="Yes",IFERROR(BLD_BT!X34,0),0)+IF($H$8="Yes",IFERROR(BLD_CH!X34,0),0)+IF($I$8="Yes",IFERROR(BLD_CC!X34,0),0)+IF($J$8="Yes",IFERROR(BLD_EA!X34,0),0)+IF($K$8="Yes",IFERROR(BLD_EE!X34,0),0)+IF($L$8="Yes",IFERROR(BLD_JP!X34,0),0)+IF($M$8="Yes",IFERROR(BLD_MH!X34,0),0)+IF($N$8="Yes",IFERROR(BLD_MM!X34,0),0)+IF($O$8="Yes",IFERROR(BLD_NT!X34,0),0)+IF($P$8="Yes",IFERROR(BLD_NG!X34,0),0)+IF($Q$8="Yes",IFERROR(BLD_RG!X34,0),0)+IF($R$8="Yes",IFERROR(BLD_AS!X34,0),0)+IF($S$8="Yes",IFERROR(BLD_PS!X34,0),0)+IF($T$8="Yes",IFERROR(BLD_PM!X34,0),0)+IF($U$8="Yes",IFERROR(BLD_CD!X34,0),0)</f>
        <v>255704.72134201659</v>
      </c>
      <c r="Y34" s="283">
        <f>IF($E$8="Yes",IFERROR(BLD_AB!Y34,0),0)+IF($F$8="Yes",IFERROR(BLD_AC!Y34,0),0)+IF($G$8="Yes",IFERROR(BLD_BT!Y34,0),0)+IF($H$8="Yes",IFERROR(BLD_CH!Y34,0),0)+IF($I$8="Yes",IFERROR(BLD_CC!Y34,0),0)+IF($J$8="Yes",IFERROR(BLD_EA!Y34,0),0)+IF($K$8="Yes",IFERROR(BLD_EE!Y34,0),0)+IF($L$8="Yes",IFERROR(BLD_JP!Y34,0),0)+IF($M$8="Yes",IFERROR(BLD_MH!Y34,0),0)+IF($N$8="Yes",IFERROR(BLD_MM!Y34,0),0)+IF($O$8="Yes",IFERROR(BLD_NT!Y34,0),0)+IF($P$8="Yes",IFERROR(BLD_NG!Y34,0),0)+IF($Q$8="Yes",IFERROR(BLD_RG!Y34,0),0)+IF($R$8="Yes",IFERROR(BLD_AS!Y34,0),0)+IF($S$8="Yes",IFERROR(BLD_PS!Y34,0),0)+IF($T$8="Yes",IFERROR(BLD_PM!Y34,0),0)+IF($U$8="Yes",IFERROR(BLD_CD!Y34,0),0)</f>
        <v>262097.33937556698</v>
      </c>
    </row>
    <row r="35" spans="3:25" ht="13.5" customHeight="1">
      <c r="C35" s="10" t="s">
        <v>351</v>
      </c>
      <c r="E35" s="283">
        <f>IF($E$8="Yes",IFERROR(BLD_AB!E35,0),0)+IF($F$8="Yes",IFERROR(BLD_AC!E35,0),0)+IF($G$8="Yes",IFERROR(BLD_BT!E35,0),0)+IF($H$8="Yes",IFERROR(BLD_CH!E35,0),0)+IF($I$8="Yes",IFERROR(BLD_CC!E35,0),0)+IF($J$8="Yes",IFERROR(BLD_EA!E35,0),0)+IF($K$8="Yes",IFERROR(BLD_EE!E35,0),0)+IF($L$8="Yes",IFERROR(BLD_JP!E35,0),0)+IF($M$8="Yes",IFERROR(BLD_MH!E35,0),0)+IF($N$8="Yes",IFERROR(BLD_MM!E35,0),0)+IF($O$8="Yes",IFERROR(BLD_NT!E35,0),0)+IF($P$8="Yes",IFERROR(BLD_NG!E35,0),0)+IF($Q$8="Yes",IFERROR(BLD_RG!E35,0),0)+IF($R$8="Yes",IFERROR(BLD_AS!E35,0),0)+IF($S$8="Yes",IFERROR(BLD_PS!E35,0),0)+IF($T$8="Yes",IFERROR(BLD_PM!E35,0),0)+IF($U$8="Yes",IFERROR(BLD_CD!E35,0),0)</f>
        <v>103598</v>
      </c>
      <c r="F35" s="283">
        <f>IF($E$8="Yes",IFERROR(BLD_AB!F35,0),0)+IF($F$8="Yes",IFERROR(BLD_AC!F35,0),0)+IF($G$8="Yes",IFERROR(BLD_BT!F35,0),0)+IF($H$8="Yes",IFERROR(BLD_CH!F35,0),0)+IF($I$8="Yes",IFERROR(BLD_CC!F35,0),0)+IF($J$8="Yes",IFERROR(BLD_EA!F35,0),0)+IF($K$8="Yes",IFERROR(BLD_EE!F35,0),0)+IF($L$8="Yes",IFERROR(BLD_JP!F35,0),0)+IF($M$8="Yes",IFERROR(BLD_MH!F35,0),0)+IF($N$8="Yes",IFERROR(BLD_MM!F35,0),0)+IF($O$8="Yes",IFERROR(BLD_NT!F35,0),0)+IF($P$8="Yes",IFERROR(BLD_NG!F35,0),0)+IF($Q$8="Yes",IFERROR(BLD_RG!F35,0),0)+IF($R$8="Yes",IFERROR(BLD_AS!F35,0),0)+IF($S$8="Yes",IFERROR(BLD_PS!F35,0),0)+IF($T$8="Yes",IFERROR(BLD_PM!F35,0),0)+IF($U$8="Yes",IFERROR(BLD_CD!F35,0),0)</f>
        <v>107741.91999999998</v>
      </c>
      <c r="G35" s="283">
        <f>IF($E$8="Yes",IFERROR(BLD_AB!G35,0),0)+IF($F$8="Yes",IFERROR(BLD_AC!G35,0),0)+IF($G$8="Yes",IFERROR(BLD_BT!G35,0),0)+IF($H$8="Yes",IFERROR(BLD_CH!G35,0),0)+IF($I$8="Yes",IFERROR(BLD_CC!G35,0),0)+IF($J$8="Yes",IFERROR(BLD_EA!G35,0),0)+IF($K$8="Yes",IFERROR(BLD_EE!G35,0),0)+IF($L$8="Yes",IFERROR(BLD_JP!G35,0),0)+IF($M$8="Yes",IFERROR(BLD_MH!G35,0),0)+IF($N$8="Yes",IFERROR(BLD_MM!G35,0),0)+IF($O$8="Yes",IFERROR(BLD_NT!G35,0),0)+IF($P$8="Yes",IFERROR(BLD_NG!G35,0),0)+IF($Q$8="Yes",IFERROR(BLD_RG!G35,0),0)+IF($R$8="Yes",IFERROR(BLD_AS!G35,0),0)+IF($S$8="Yes",IFERROR(BLD_PS!G35,0),0)+IF($T$8="Yes",IFERROR(BLD_PM!G35,0),0)+IF($U$8="Yes",IFERROR(BLD_CD!G35,0),0)</f>
        <v>112051.5968</v>
      </c>
      <c r="H35" s="283">
        <f>IF($E$8="Yes",IFERROR(BLD_AB!H35,0),0)+IF($F$8="Yes",IFERROR(BLD_AC!H35,0),0)+IF($G$8="Yes",IFERROR(BLD_BT!H35,0),0)+IF($H$8="Yes",IFERROR(BLD_CH!H35,0),0)+IF($I$8="Yes",IFERROR(BLD_CC!H35,0),0)+IF($J$8="Yes",IFERROR(BLD_EA!H35,0),0)+IF($K$8="Yes",IFERROR(BLD_EE!H35,0),0)+IF($L$8="Yes",IFERROR(BLD_JP!H35,0),0)+IF($M$8="Yes",IFERROR(BLD_MH!H35,0),0)+IF($N$8="Yes",IFERROR(BLD_MM!H35,0),0)+IF($O$8="Yes",IFERROR(BLD_NT!H35,0),0)+IF($P$8="Yes",IFERROR(BLD_NG!H35,0),0)+IF($Q$8="Yes",IFERROR(BLD_RG!H35,0),0)+IF($R$8="Yes",IFERROR(BLD_AS!H35,0),0)+IF($S$8="Yes",IFERROR(BLD_PS!H35,0),0)+IF($T$8="Yes",IFERROR(BLD_PM!H35,0),0)+IF($U$8="Yes",IFERROR(BLD_CD!H35,0),0)</f>
        <v>184025.50067200005</v>
      </c>
      <c r="I35" s="283">
        <f>IF($E$8="Yes",IFERROR(BLD_AB!I35,0),0)+IF($F$8="Yes",IFERROR(BLD_AC!I35,0),0)+IF($G$8="Yes",IFERROR(BLD_BT!I35,0),0)+IF($H$8="Yes",IFERROR(BLD_CH!I35,0),0)+IF($I$8="Yes",IFERROR(BLD_CC!I35,0),0)+IF($J$8="Yes",IFERROR(BLD_EA!I35,0),0)+IF($K$8="Yes",IFERROR(BLD_EE!I35,0),0)+IF($L$8="Yes",IFERROR(BLD_JP!I35,0),0)+IF($M$8="Yes",IFERROR(BLD_MH!I35,0),0)+IF($N$8="Yes",IFERROR(BLD_MM!I35,0),0)+IF($O$8="Yes",IFERROR(BLD_NT!I35,0),0)+IF($P$8="Yes",IFERROR(BLD_NG!I35,0),0)+IF($Q$8="Yes",IFERROR(BLD_RG!I35,0),0)+IF($R$8="Yes",IFERROR(BLD_AS!I35,0),0)+IF($S$8="Yes",IFERROR(BLD_PS!I35,0),0)+IF($T$8="Yes",IFERROR(BLD_PM!I35,0),0)+IF($U$8="Yes",IFERROR(BLD_CD!I35,0),0)</f>
        <v>261578.03429888003</v>
      </c>
      <c r="J35" s="283">
        <f>IF($E$8="Yes",IFERROR(BLD_AB!J35,0),0)+IF($F$8="Yes",IFERROR(BLD_AC!J35,0),0)+IF($G$8="Yes",IFERROR(BLD_BT!J35,0),0)+IF($H$8="Yes",IFERROR(BLD_CH!J35,0),0)+IF($I$8="Yes",IFERROR(BLD_CC!J35,0),0)+IF($J$8="Yes",IFERROR(BLD_EA!J35,0),0)+IF($K$8="Yes",IFERROR(BLD_EE!J35,0),0)+IF($L$8="Yes",IFERROR(BLD_JP!J35,0),0)+IF($M$8="Yes",IFERROR(BLD_MH!J35,0),0)+IF($N$8="Yes",IFERROR(BLD_MM!J35,0),0)+IF($O$8="Yes",IFERROR(BLD_NT!J35,0),0)+IF($P$8="Yes",IFERROR(BLD_NG!J35,0),0)+IF($Q$8="Yes",IFERROR(BLD_RG!J35,0),0)+IF($R$8="Yes",IFERROR(BLD_AS!J35,0),0)+IF($S$8="Yes",IFERROR(BLD_PS!J35,0),0)+IF($T$8="Yes",IFERROR(BLD_PM!J35,0),0)+IF($U$8="Yes",IFERROR(BLD_CD!J35,0),0)</f>
        <v>272041.15567083529</v>
      </c>
      <c r="K35" s="283">
        <f>IF($E$8="Yes",IFERROR(BLD_AB!K35,0),0)+IF($F$8="Yes",IFERROR(BLD_AC!K35,0),0)+IF($G$8="Yes",IFERROR(BLD_BT!K35,0),0)+IF($H$8="Yes",IFERROR(BLD_CH!K35,0),0)+IF($I$8="Yes",IFERROR(BLD_CC!K35,0),0)+IF($J$8="Yes",IFERROR(BLD_EA!K35,0),0)+IF($K$8="Yes",IFERROR(BLD_EE!K35,0),0)+IF($L$8="Yes",IFERROR(BLD_JP!K35,0),0)+IF($M$8="Yes",IFERROR(BLD_MH!K35,0),0)+IF($N$8="Yes",IFERROR(BLD_MM!K35,0),0)+IF($O$8="Yes",IFERROR(BLD_NT!K35,0),0)+IF($P$8="Yes",IFERROR(BLD_NG!K35,0),0)+IF($Q$8="Yes",IFERROR(BLD_RG!K35,0),0)+IF($R$8="Yes",IFERROR(BLD_AS!K35,0),0)+IF($S$8="Yes",IFERROR(BLD_PS!K35,0),0)+IF($T$8="Yes",IFERROR(BLD_PM!K35,0),0)+IF($U$8="Yes",IFERROR(BLD_CD!K35,0),0)</f>
        <v>282922.80189766869</v>
      </c>
      <c r="L35" s="283">
        <f>IF($E$8="Yes",IFERROR(BLD_AB!L35,0),0)+IF($F$8="Yes",IFERROR(BLD_AC!L35,0),0)+IF($G$8="Yes",IFERROR(BLD_BT!L35,0),0)+IF($H$8="Yes",IFERROR(BLD_CH!L35,0),0)+IF($I$8="Yes",IFERROR(BLD_CC!L35,0),0)+IF($J$8="Yes",IFERROR(BLD_EA!L35,0),0)+IF($K$8="Yes",IFERROR(BLD_EE!L35,0),0)+IF($L$8="Yes",IFERROR(BLD_JP!L35,0),0)+IF($M$8="Yes",IFERROR(BLD_MH!L35,0),0)+IF($N$8="Yes",IFERROR(BLD_MM!L35,0),0)+IF($O$8="Yes",IFERROR(BLD_NT!L35,0),0)+IF($P$8="Yes",IFERROR(BLD_NG!L35,0),0)+IF($Q$8="Yes",IFERROR(BLD_RG!L35,0),0)+IF($R$8="Yes",IFERROR(BLD_AS!L35,0),0)+IF($S$8="Yes",IFERROR(BLD_PS!L35,0),0)+IF($T$8="Yes",IFERROR(BLD_PM!L35,0),0)+IF($U$8="Yes",IFERROR(BLD_CD!L35,0),0)</f>
        <v>294239.71397357545</v>
      </c>
      <c r="M35" s="283">
        <f>IF($E$8="Yes",IFERROR(BLD_AB!M35,0),0)+IF($F$8="Yes",IFERROR(BLD_AC!M35,0),0)+IF($G$8="Yes",IFERROR(BLD_BT!M35,0),0)+IF($H$8="Yes",IFERROR(BLD_CH!M35,0),0)+IF($I$8="Yes",IFERROR(BLD_CC!M35,0),0)+IF($J$8="Yes",IFERROR(BLD_EA!M35,0),0)+IF($K$8="Yes",IFERROR(BLD_EE!M35,0),0)+IF($L$8="Yes",IFERROR(BLD_JP!M35,0),0)+IF($M$8="Yes",IFERROR(BLD_MH!M35,0),0)+IF($N$8="Yes",IFERROR(BLD_MM!M35,0),0)+IF($O$8="Yes",IFERROR(BLD_NT!M35,0),0)+IF($P$8="Yes",IFERROR(BLD_NG!M35,0),0)+IF($Q$8="Yes",IFERROR(BLD_RG!M35,0),0)+IF($R$8="Yes",IFERROR(BLD_AS!M35,0),0)+IF($S$8="Yes",IFERROR(BLD_PS!M35,0),0)+IF($T$8="Yes",IFERROR(BLD_PM!M35,0),0)+IF($U$8="Yes",IFERROR(BLD_CD!M35,0),0)</f>
        <v>306009.30253251846</v>
      </c>
      <c r="N35" s="283">
        <f>IF($E$8="Yes",IFERROR(BLD_AB!N35,0),0)+IF($F$8="Yes",IFERROR(BLD_AC!N35,0),0)+IF($G$8="Yes",IFERROR(BLD_BT!N35,0),0)+IF($H$8="Yes",IFERROR(BLD_CH!N35,0),0)+IF($I$8="Yes",IFERROR(BLD_CC!N35,0),0)+IF($J$8="Yes",IFERROR(BLD_EA!N35,0),0)+IF($K$8="Yes",IFERROR(BLD_EE!N35,0),0)+IF($L$8="Yes",IFERROR(BLD_JP!N35,0),0)+IF($M$8="Yes",IFERROR(BLD_MH!N35,0),0)+IF($N$8="Yes",IFERROR(BLD_MM!N35,0),0)+IF($O$8="Yes",IFERROR(BLD_NT!N35,0),0)+IF($P$8="Yes",IFERROR(BLD_NG!N35,0),0)+IF($Q$8="Yes",IFERROR(BLD_RG!N35,0),0)+IF($R$8="Yes",IFERROR(BLD_AS!N35,0),0)+IF($S$8="Yes",IFERROR(BLD_PS!N35,0),0)+IF($T$8="Yes",IFERROR(BLD_PM!N35,0),0)+IF($U$8="Yes",IFERROR(BLD_CD!N35,0),0)</f>
        <v>318249.67463381926</v>
      </c>
      <c r="O35" s="283">
        <f>IF($E$8="Yes",IFERROR(BLD_AB!O35,0),0)+IF($F$8="Yes",IFERROR(BLD_AC!O35,0),0)+IF($G$8="Yes",IFERROR(BLD_BT!O35,0),0)+IF($H$8="Yes",IFERROR(BLD_CH!O35,0),0)+IF($I$8="Yes",IFERROR(BLD_CC!O35,0),0)+IF($J$8="Yes",IFERROR(BLD_EA!O35,0),0)+IF($K$8="Yes",IFERROR(BLD_EE!O35,0),0)+IF($L$8="Yes",IFERROR(BLD_JP!O35,0),0)+IF($M$8="Yes",IFERROR(BLD_MH!O35,0),0)+IF($N$8="Yes",IFERROR(BLD_MM!O35,0),0)+IF($O$8="Yes",IFERROR(BLD_NT!O35,0),0)+IF($P$8="Yes",IFERROR(BLD_NG!O35,0),0)+IF($Q$8="Yes",IFERROR(BLD_RG!O35,0),0)+IF($R$8="Yes",IFERROR(BLD_AS!O35,0),0)+IF($S$8="Yes",IFERROR(BLD_PS!O35,0),0)+IF($T$8="Yes",IFERROR(BLD_PM!O35,0),0)+IF($U$8="Yes",IFERROR(BLD_CD!O35,0),0)</f>
        <v>326205.91649966472</v>
      </c>
      <c r="P35" s="283">
        <f>IF($E$8="Yes",IFERROR(BLD_AB!P35,0),0)+IF($F$8="Yes",IFERROR(BLD_AC!P35,0),0)+IF($G$8="Yes",IFERROR(BLD_BT!P35,0),0)+IF($H$8="Yes",IFERROR(BLD_CH!P35,0),0)+IF($I$8="Yes",IFERROR(BLD_CC!P35,0),0)+IF($J$8="Yes",IFERROR(BLD_EA!P35,0),0)+IF($K$8="Yes",IFERROR(BLD_EE!P35,0),0)+IF($L$8="Yes",IFERROR(BLD_JP!P35,0),0)+IF($M$8="Yes",IFERROR(BLD_MH!P35,0),0)+IF($N$8="Yes",IFERROR(BLD_MM!P35,0),0)+IF($O$8="Yes",IFERROR(BLD_NT!P35,0),0)+IF($P$8="Yes",IFERROR(BLD_NG!P35,0),0)+IF($Q$8="Yes",IFERROR(BLD_RG!P35,0),0)+IF($R$8="Yes",IFERROR(BLD_AS!P35,0),0)+IF($S$8="Yes",IFERROR(BLD_PS!P35,0),0)+IF($T$8="Yes",IFERROR(BLD_PM!P35,0),0)+IF($U$8="Yes",IFERROR(BLD_CD!P35,0),0)</f>
        <v>334361.06441215629</v>
      </c>
      <c r="Q35" s="283">
        <f>IF($E$8="Yes",IFERROR(BLD_AB!Q35,0),0)+IF($F$8="Yes",IFERROR(BLD_AC!Q35,0),0)+IF($G$8="Yes",IFERROR(BLD_BT!Q35,0),0)+IF($H$8="Yes",IFERROR(BLD_CH!Q35,0),0)+IF($I$8="Yes",IFERROR(BLD_CC!Q35,0),0)+IF($J$8="Yes",IFERROR(BLD_EA!Q35,0),0)+IF($K$8="Yes",IFERROR(BLD_EE!Q35,0),0)+IF($L$8="Yes",IFERROR(BLD_JP!Q35,0),0)+IF($M$8="Yes",IFERROR(BLD_MH!Q35,0),0)+IF($N$8="Yes",IFERROR(BLD_MM!Q35,0),0)+IF($O$8="Yes",IFERROR(BLD_NT!Q35,0),0)+IF($P$8="Yes",IFERROR(BLD_NG!Q35,0),0)+IF($Q$8="Yes",IFERROR(BLD_RG!Q35,0),0)+IF($R$8="Yes",IFERROR(BLD_AS!Q35,0),0)+IF($S$8="Yes",IFERROR(BLD_PS!Q35,0),0)+IF($T$8="Yes",IFERROR(BLD_PM!Q35,0),0)+IF($U$8="Yes",IFERROR(BLD_CD!Q35,0),0)</f>
        <v>342720.09102246026</v>
      </c>
      <c r="R35" s="283">
        <f>IF($E$8="Yes",IFERROR(BLD_AB!R35,0),0)+IF($F$8="Yes",IFERROR(BLD_AC!R35,0),0)+IF($G$8="Yes",IFERROR(BLD_BT!R35,0),0)+IF($H$8="Yes",IFERROR(BLD_CH!R35,0),0)+IF($I$8="Yes",IFERROR(BLD_CC!R35,0),0)+IF($J$8="Yes",IFERROR(BLD_EA!R35,0),0)+IF($K$8="Yes",IFERROR(BLD_EE!R35,0),0)+IF($L$8="Yes",IFERROR(BLD_JP!R35,0),0)+IF($M$8="Yes",IFERROR(BLD_MH!R35,0),0)+IF($N$8="Yes",IFERROR(BLD_MM!R35,0),0)+IF($O$8="Yes",IFERROR(BLD_NT!R35,0),0)+IF($P$8="Yes",IFERROR(BLD_NG!R35,0),0)+IF($Q$8="Yes",IFERROR(BLD_RG!R35,0),0)+IF($R$8="Yes",IFERROR(BLD_AS!R35,0),0)+IF($S$8="Yes",IFERROR(BLD_PS!R35,0),0)+IF($T$8="Yes",IFERROR(BLD_PM!R35,0),0)+IF($U$8="Yes",IFERROR(BLD_CD!R35,0),0)</f>
        <v>351288.0932980217</v>
      </c>
      <c r="S35" s="283">
        <f>IF($E$8="Yes",IFERROR(BLD_AB!S35,0),0)+IF($F$8="Yes",IFERROR(BLD_AC!S35,0),0)+IF($G$8="Yes",IFERROR(BLD_BT!S35,0),0)+IF($H$8="Yes",IFERROR(BLD_CH!S35,0),0)+IF($I$8="Yes",IFERROR(BLD_CC!S35,0),0)+IF($J$8="Yes",IFERROR(BLD_EA!S35,0),0)+IF($K$8="Yes",IFERROR(BLD_EE!S35,0),0)+IF($L$8="Yes",IFERROR(BLD_JP!S35,0),0)+IF($M$8="Yes",IFERROR(BLD_MH!S35,0),0)+IF($N$8="Yes",IFERROR(BLD_MM!S35,0),0)+IF($O$8="Yes",IFERROR(BLD_NT!S35,0),0)+IF($P$8="Yes",IFERROR(BLD_NG!S35,0),0)+IF($Q$8="Yes",IFERROR(BLD_RG!S35,0),0)+IF($R$8="Yes",IFERROR(BLD_AS!S35,0),0)+IF($S$8="Yes",IFERROR(BLD_PS!S35,0),0)+IF($T$8="Yes",IFERROR(BLD_PM!S35,0),0)+IF($U$8="Yes",IFERROR(BLD_CD!S35,0),0)</f>
        <v>360070.29563047219</v>
      </c>
      <c r="T35" s="283">
        <f>IF($E$8="Yes",IFERROR(BLD_AB!T35,0),0)+IF($F$8="Yes",IFERROR(BLD_AC!T35,0),0)+IF($G$8="Yes",IFERROR(BLD_BT!T35,0),0)+IF($H$8="Yes",IFERROR(BLD_CH!T35,0),0)+IF($I$8="Yes",IFERROR(BLD_CC!T35,0),0)+IF($J$8="Yes",IFERROR(BLD_EA!T35,0),0)+IF($K$8="Yes",IFERROR(BLD_EE!T35,0),0)+IF($L$8="Yes",IFERROR(BLD_JP!T35,0),0)+IF($M$8="Yes",IFERROR(BLD_MH!T35,0),0)+IF($N$8="Yes",IFERROR(BLD_MM!T35,0),0)+IF($O$8="Yes",IFERROR(BLD_NT!T35,0),0)+IF($P$8="Yes",IFERROR(BLD_NG!T35,0),0)+IF($Q$8="Yes",IFERROR(BLD_RG!T35,0),0)+IF($R$8="Yes",IFERROR(BLD_AS!T35,0),0)+IF($S$8="Yes",IFERROR(BLD_PS!T35,0),0)+IF($T$8="Yes",IFERROR(BLD_PM!T35,0),0)+IF($U$8="Yes",IFERROR(BLD_CD!T35,0),0)</f>
        <v>369072.05302123399</v>
      </c>
      <c r="U35" s="283">
        <f>IF($E$8="Yes",IFERROR(BLD_AB!U35,0),0)+IF($F$8="Yes",IFERROR(BLD_AC!U35,0),0)+IF($G$8="Yes",IFERROR(BLD_BT!U35,0),0)+IF($H$8="Yes",IFERROR(BLD_CH!U35,0),0)+IF($I$8="Yes",IFERROR(BLD_CC!U35,0),0)+IF($J$8="Yes",IFERROR(BLD_EA!U35,0),0)+IF($K$8="Yes",IFERROR(BLD_EE!U35,0),0)+IF($L$8="Yes",IFERROR(BLD_JP!U35,0),0)+IF($M$8="Yes",IFERROR(BLD_MH!U35,0),0)+IF($N$8="Yes",IFERROR(BLD_MM!U35,0),0)+IF($O$8="Yes",IFERROR(BLD_NT!U35,0),0)+IF($P$8="Yes",IFERROR(BLD_NG!U35,0),0)+IF($Q$8="Yes",IFERROR(BLD_RG!U35,0),0)+IF($R$8="Yes",IFERROR(BLD_AS!U35,0),0)+IF($S$8="Yes",IFERROR(BLD_PS!U35,0),0)+IF($T$8="Yes",IFERROR(BLD_PM!U35,0),0)+IF($U$8="Yes",IFERROR(BLD_CD!U35,0),0)</f>
        <v>378298.8543467648</v>
      </c>
      <c r="V35" s="283">
        <f>IF($E$8="Yes",IFERROR(BLD_AB!V35,0),0)+IF($F$8="Yes",IFERROR(BLD_AC!V35,0),0)+IF($G$8="Yes",IFERROR(BLD_BT!V35,0),0)+IF($H$8="Yes",IFERROR(BLD_CH!V35,0),0)+IF($I$8="Yes",IFERROR(BLD_CC!V35,0),0)+IF($J$8="Yes",IFERROR(BLD_EA!V35,0),0)+IF($K$8="Yes",IFERROR(BLD_EE!V35,0),0)+IF($L$8="Yes",IFERROR(BLD_JP!V35,0),0)+IF($M$8="Yes",IFERROR(BLD_MH!V35,0),0)+IF($N$8="Yes",IFERROR(BLD_MM!V35,0),0)+IF($O$8="Yes",IFERROR(BLD_NT!V35,0),0)+IF($P$8="Yes",IFERROR(BLD_NG!V35,0),0)+IF($Q$8="Yes",IFERROR(BLD_RG!V35,0),0)+IF($R$8="Yes",IFERROR(BLD_AS!V35,0),0)+IF($S$8="Yes",IFERROR(BLD_PS!V35,0),0)+IF($T$8="Yes",IFERROR(BLD_PM!V35,0),0)+IF($U$8="Yes",IFERROR(BLD_CD!V35,0),0)</f>
        <v>387756.3257054339</v>
      </c>
      <c r="W35" s="283">
        <f>IF($E$8="Yes",IFERROR(BLD_AB!W35,0),0)+IF($F$8="Yes",IFERROR(BLD_AC!W35,0),0)+IF($G$8="Yes",IFERROR(BLD_BT!W35,0),0)+IF($H$8="Yes",IFERROR(BLD_CH!W35,0),0)+IF($I$8="Yes",IFERROR(BLD_CC!W35,0),0)+IF($J$8="Yes",IFERROR(BLD_EA!W35,0),0)+IF($K$8="Yes",IFERROR(BLD_EE!W35,0),0)+IF($L$8="Yes",IFERROR(BLD_JP!W35,0),0)+IF($M$8="Yes",IFERROR(BLD_MH!W35,0),0)+IF($N$8="Yes",IFERROR(BLD_MM!W35,0),0)+IF($O$8="Yes",IFERROR(BLD_NT!W35,0),0)+IF($P$8="Yes",IFERROR(BLD_NG!W35,0),0)+IF($Q$8="Yes",IFERROR(BLD_RG!W35,0),0)+IF($R$8="Yes",IFERROR(BLD_AS!W35,0),0)+IF($S$8="Yes",IFERROR(BLD_PS!W35,0),0)+IF($T$8="Yes",IFERROR(BLD_PM!W35,0),0)+IF($U$8="Yes",IFERROR(BLD_CD!W35,0),0)</f>
        <v>397450.23384806968</v>
      </c>
      <c r="X35" s="283">
        <f>IF($E$8="Yes",IFERROR(BLD_AB!X35,0),0)+IF($F$8="Yes",IFERROR(BLD_AC!X35,0),0)+IF($G$8="Yes",IFERROR(BLD_BT!X35,0),0)+IF($H$8="Yes",IFERROR(BLD_CH!X35,0),0)+IF($I$8="Yes",IFERROR(BLD_CC!X35,0),0)+IF($J$8="Yes",IFERROR(BLD_EA!X35,0),0)+IF($K$8="Yes",IFERROR(BLD_EE!X35,0),0)+IF($L$8="Yes",IFERROR(BLD_JP!X35,0),0)+IF($M$8="Yes",IFERROR(BLD_MH!X35,0),0)+IF($N$8="Yes",IFERROR(BLD_MM!X35,0),0)+IF($O$8="Yes",IFERROR(BLD_NT!X35,0),0)+IF($P$8="Yes",IFERROR(BLD_NG!X35,0),0)+IF($Q$8="Yes",IFERROR(BLD_RG!X35,0),0)+IF($R$8="Yes",IFERROR(BLD_AS!X35,0),0)+IF($S$8="Yes",IFERROR(BLD_PS!X35,0),0)+IF($T$8="Yes",IFERROR(BLD_PM!X35,0),0)+IF($U$8="Yes",IFERROR(BLD_CD!X35,0),0)</f>
        <v>407386.48969427147</v>
      </c>
      <c r="Y35" s="283">
        <f>IF($E$8="Yes",IFERROR(BLD_AB!Y35,0),0)+IF($F$8="Yes",IFERROR(BLD_AC!Y35,0),0)+IF($G$8="Yes",IFERROR(BLD_BT!Y35,0),0)+IF($H$8="Yes",IFERROR(BLD_CH!Y35,0),0)+IF($I$8="Yes",IFERROR(BLD_CC!Y35,0),0)+IF($J$8="Yes",IFERROR(BLD_EA!Y35,0),0)+IF($K$8="Yes",IFERROR(BLD_EE!Y35,0),0)+IF($L$8="Yes",IFERROR(BLD_JP!Y35,0),0)+IF($M$8="Yes",IFERROR(BLD_MH!Y35,0),0)+IF($N$8="Yes",IFERROR(BLD_MM!Y35,0),0)+IF($O$8="Yes",IFERROR(BLD_NT!Y35,0),0)+IF($P$8="Yes",IFERROR(BLD_NG!Y35,0),0)+IF($Q$8="Yes",IFERROR(BLD_RG!Y35,0),0)+IF($R$8="Yes",IFERROR(BLD_AS!Y35,0),0)+IF($S$8="Yes",IFERROR(BLD_PS!Y35,0),0)+IF($T$8="Yes",IFERROR(BLD_PM!Y35,0),0)+IF($U$8="Yes",IFERROR(BLD_CD!Y35,0),0)</f>
        <v>417571.15193662822</v>
      </c>
    </row>
    <row r="36" spans="3:25" ht="13.5" customHeight="1">
      <c r="C36" s="10" t="s">
        <v>352</v>
      </c>
      <c r="E36" s="283">
        <f>IF($E$8="Yes",IFERROR(BLD_AB!E36,0),0)+IF($F$8="Yes",IFERROR(BLD_AC!E36,0),0)+IF($G$8="Yes",IFERROR(BLD_BT!E36,0),0)+IF($H$8="Yes",IFERROR(BLD_CH!E36,0),0)+IF($I$8="Yes",IFERROR(BLD_CC!E36,0),0)+IF($J$8="Yes",IFERROR(BLD_EA!E36,0),0)+IF($K$8="Yes",IFERROR(BLD_EE!E36,0),0)+IF($L$8="Yes",IFERROR(BLD_JP!E36,0),0)+IF($M$8="Yes",IFERROR(BLD_MH!E36,0),0)+IF($N$8="Yes",IFERROR(BLD_MM!E36,0),0)+IF($O$8="Yes",IFERROR(BLD_NT!E36,0),0)+IF($P$8="Yes",IFERROR(BLD_NG!E36,0),0)+IF($Q$8="Yes",IFERROR(BLD_RG!E36,0),0)+IF($R$8="Yes",IFERROR(BLD_AS!E36,0),0)+IF($S$8="Yes",IFERROR(BLD_PS!E36,0),0)+IF($T$8="Yes",IFERROR(BLD_PM!E36,0),0)+IF($U$8="Yes",IFERROR(BLD_CD!E36,0),0)</f>
        <v>477187</v>
      </c>
      <c r="F36" s="283">
        <f>IF($E$8="Yes",IFERROR(BLD_AB!F36,0),0)+IF($F$8="Yes",IFERROR(BLD_AC!F36,0),0)+IF($G$8="Yes",IFERROR(BLD_BT!F36,0),0)+IF($H$8="Yes",IFERROR(BLD_CH!F36,0),0)+IF($I$8="Yes",IFERROR(BLD_CC!F36,0),0)+IF($J$8="Yes",IFERROR(BLD_EA!F36,0),0)+IF($K$8="Yes",IFERROR(BLD_EE!F36,0),0)+IF($L$8="Yes",IFERROR(BLD_JP!F36,0),0)+IF($M$8="Yes",IFERROR(BLD_MH!F36,0),0)+IF($N$8="Yes",IFERROR(BLD_MM!F36,0),0)+IF($O$8="Yes",IFERROR(BLD_NT!F36,0),0)+IF($P$8="Yes",IFERROR(BLD_NG!F36,0),0)+IF($Q$8="Yes",IFERROR(BLD_RG!F36,0),0)+IF($R$8="Yes",IFERROR(BLD_AS!F36,0),0)+IF($S$8="Yes",IFERROR(BLD_PS!F36,0),0)+IF($T$8="Yes",IFERROR(BLD_PM!F36,0),0)+IF($U$8="Yes",IFERROR(BLD_CD!F36,0),0)</f>
        <v>496274.48000000004</v>
      </c>
      <c r="G36" s="283">
        <f>IF($E$8="Yes",IFERROR(BLD_AB!G36,0),0)+IF($F$8="Yes",IFERROR(BLD_AC!G36,0),0)+IF($G$8="Yes",IFERROR(BLD_BT!G36,0),0)+IF($H$8="Yes",IFERROR(BLD_CH!G36,0),0)+IF($I$8="Yes",IFERROR(BLD_CC!G36,0),0)+IF($J$8="Yes",IFERROR(BLD_EA!G36,0),0)+IF($K$8="Yes",IFERROR(BLD_EE!G36,0),0)+IF($L$8="Yes",IFERROR(BLD_JP!G36,0),0)+IF($M$8="Yes",IFERROR(BLD_MH!G36,0),0)+IF($N$8="Yes",IFERROR(BLD_MM!G36,0),0)+IF($O$8="Yes",IFERROR(BLD_NT!G36,0),0)+IF($P$8="Yes",IFERROR(BLD_NG!G36,0),0)+IF($Q$8="Yes",IFERROR(BLD_RG!G36,0),0)+IF($R$8="Yes",IFERROR(BLD_AS!G36,0),0)+IF($S$8="Yes",IFERROR(BLD_PS!G36,0),0)+IF($T$8="Yes",IFERROR(BLD_PM!G36,0),0)+IF($U$8="Yes",IFERROR(BLD_CD!G36,0),0)</f>
        <v>516125.4592000001</v>
      </c>
      <c r="H36" s="283">
        <f>IF($E$8="Yes",IFERROR(BLD_AB!H36,0),0)+IF($F$8="Yes",IFERROR(BLD_AC!H36,0),0)+IF($G$8="Yes",IFERROR(BLD_BT!H36,0),0)+IF($H$8="Yes",IFERROR(BLD_CH!H36,0),0)+IF($I$8="Yes",IFERROR(BLD_CC!H36,0),0)+IF($J$8="Yes",IFERROR(BLD_EA!H36,0),0)+IF($K$8="Yes",IFERROR(BLD_EE!H36,0),0)+IF($L$8="Yes",IFERROR(BLD_JP!H36,0),0)+IF($M$8="Yes",IFERROR(BLD_MH!H36,0),0)+IF($N$8="Yes",IFERROR(BLD_MM!H36,0),0)+IF($O$8="Yes",IFERROR(BLD_NT!H36,0),0)+IF($P$8="Yes",IFERROR(BLD_NG!H36,0),0)+IF($Q$8="Yes",IFERROR(BLD_RG!H36,0),0)+IF($R$8="Yes",IFERROR(BLD_AS!H36,0),0)+IF($S$8="Yes",IFERROR(BLD_PS!H36,0),0)+IF($T$8="Yes",IFERROR(BLD_PM!H36,0),0)+IF($U$8="Yes",IFERROR(BLD_CD!H36,0),0)</f>
        <v>649261.37702400004</v>
      </c>
      <c r="I36" s="283">
        <f>IF($E$8="Yes",IFERROR(BLD_AB!I36,0),0)+IF($F$8="Yes",IFERROR(BLD_AC!I36,0),0)+IF($G$8="Yes",IFERROR(BLD_BT!I36,0),0)+IF($H$8="Yes",IFERROR(BLD_CH!I36,0),0)+IF($I$8="Yes",IFERROR(BLD_CC!I36,0),0)+IF($J$8="Yes",IFERROR(BLD_EA!I36,0),0)+IF($K$8="Yes",IFERROR(BLD_EE!I36,0),0)+IF($L$8="Yes",IFERROR(BLD_JP!I36,0),0)+IF($M$8="Yes",IFERROR(BLD_MH!I36,0),0)+IF($N$8="Yes",IFERROR(BLD_MM!I36,0),0)+IF($O$8="Yes",IFERROR(BLD_NT!I36,0),0)+IF($P$8="Yes",IFERROR(BLD_NG!I36,0),0)+IF($Q$8="Yes",IFERROR(BLD_RG!I36,0),0)+IF($R$8="Yes",IFERROR(BLD_AS!I36,0),0)+IF($S$8="Yes",IFERROR(BLD_PS!I36,0),0)+IF($T$8="Yes",IFERROR(BLD_PM!I36,0),0)+IF($U$8="Yes",IFERROR(BLD_CD!I36,0),0)</f>
        <v>708488.57124864007</v>
      </c>
      <c r="J36" s="283">
        <f>IF($E$8="Yes",IFERROR(BLD_AB!J36,0),0)+IF($F$8="Yes",IFERROR(BLD_AC!J36,0),0)+IF($G$8="Yes",IFERROR(BLD_BT!J36,0),0)+IF($H$8="Yes",IFERROR(BLD_CH!J36,0),0)+IF($I$8="Yes",IFERROR(BLD_CC!J36,0),0)+IF($J$8="Yes",IFERROR(BLD_EA!J36,0),0)+IF($K$8="Yes",IFERROR(BLD_EE!J36,0),0)+IF($L$8="Yes",IFERROR(BLD_JP!J36,0),0)+IF($M$8="Yes",IFERROR(BLD_MH!J36,0),0)+IF($N$8="Yes",IFERROR(BLD_MM!J36,0),0)+IF($O$8="Yes",IFERROR(BLD_NT!J36,0),0)+IF($P$8="Yes",IFERROR(BLD_NG!J36,0),0)+IF($Q$8="Yes",IFERROR(BLD_RG!J36,0),0)+IF($R$8="Yes",IFERROR(BLD_AS!J36,0),0)+IF($S$8="Yes",IFERROR(BLD_PS!J36,0),0)+IF($T$8="Yes",IFERROR(BLD_PM!J36,0),0)+IF($U$8="Yes",IFERROR(BLD_CD!J36,0),0)</f>
        <v>736828.11409858579</v>
      </c>
      <c r="K36" s="283">
        <f>IF($E$8="Yes",IFERROR(BLD_AB!K36,0),0)+IF($F$8="Yes",IFERROR(BLD_AC!K36,0),0)+IF($G$8="Yes",IFERROR(BLD_BT!K36,0),0)+IF($H$8="Yes",IFERROR(BLD_CH!K36,0),0)+IF($I$8="Yes",IFERROR(BLD_CC!K36,0),0)+IF($J$8="Yes",IFERROR(BLD_EA!K36,0),0)+IF($K$8="Yes",IFERROR(BLD_EE!K36,0),0)+IF($L$8="Yes",IFERROR(BLD_JP!K36,0),0)+IF($M$8="Yes",IFERROR(BLD_MH!K36,0),0)+IF($N$8="Yes",IFERROR(BLD_MM!K36,0),0)+IF($O$8="Yes",IFERROR(BLD_NT!K36,0),0)+IF($P$8="Yes",IFERROR(BLD_NG!K36,0),0)+IF($Q$8="Yes",IFERROR(BLD_RG!K36,0),0)+IF($R$8="Yes",IFERROR(BLD_AS!K36,0),0)+IF($S$8="Yes",IFERROR(BLD_PS!K36,0),0)+IF($T$8="Yes",IFERROR(BLD_PM!K36,0),0)+IF($U$8="Yes",IFERROR(BLD_CD!K36,0),0)</f>
        <v>766301.23866252927</v>
      </c>
      <c r="L36" s="283">
        <f>IF($E$8="Yes",IFERROR(BLD_AB!L36,0),0)+IF($F$8="Yes",IFERROR(BLD_AC!L36,0),0)+IF($G$8="Yes",IFERROR(BLD_BT!L36,0),0)+IF($H$8="Yes",IFERROR(BLD_CH!L36,0),0)+IF($I$8="Yes",IFERROR(BLD_CC!L36,0),0)+IF($J$8="Yes",IFERROR(BLD_EA!L36,0),0)+IF($K$8="Yes",IFERROR(BLD_EE!L36,0),0)+IF($L$8="Yes",IFERROR(BLD_JP!L36,0),0)+IF($M$8="Yes",IFERROR(BLD_MH!L36,0),0)+IF($N$8="Yes",IFERROR(BLD_MM!L36,0),0)+IF($O$8="Yes",IFERROR(BLD_NT!L36,0),0)+IF($P$8="Yes",IFERROR(BLD_NG!L36,0),0)+IF($Q$8="Yes",IFERROR(BLD_RG!L36,0),0)+IF($R$8="Yes",IFERROR(BLD_AS!L36,0),0)+IF($S$8="Yes",IFERROR(BLD_PS!L36,0),0)+IF($T$8="Yes",IFERROR(BLD_PM!L36,0),0)+IF($U$8="Yes",IFERROR(BLD_CD!L36,0),0)</f>
        <v>796953.28820903029</v>
      </c>
      <c r="M36" s="283">
        <f>IF($E$8="Yes",IFERROR(BLD_AB!M36,0),0)+IF($F$8="Yes",IFERROR(BLD_AC!M36,0),0)+IF($G$8="Yes",IFERROR(BLD_BT!M36,0),0)+IF($H$8="Yes",IFERROR(BLD_CH!M36,0),0)+IF($I$8="Yes",IFERROR(BLD_CC!M36,0),0)+IF($J$8="Yes",IFERROR(BLD_EA!M36,0),0)+IF($K$8="Yes",IFERROR(BLD_EE!M36,0),0)+IF($L$8="Yes",IFERROR(BLD_JP!M36,0),0)+IF($M$8="Yes",IFERROR(BLD_MH!M36,0),0)+IF($N$8="Yes",IFERROR(BLD_MM!M36,0),0)+IF($O$8="Yes",IFERROR(BLD_NT!M36,0),0)+IF($P$8="Yes",IFERROR(BLD_NG!M36,0),0)+IF($Q$8="Yes",IFERROR(BLD_RG!M36,0),0)+IF($R$8="Yes",IFERROR(BLD_AS!M36,0),0)+IF($S$8="Yes",IFERROR(BLD_PS!M36,0),0)+IF($T$8="Yes",IFERROR(BLD_PM!M36,0),0)+IF($U$8="Yes",IFERROR(BLD_CD!M36,0),0)</f>
        <v>828831.41973739176</v>
      </c>
      <c r="N36" s="283">
        <f>IF($E$8="Yes",IFERROR(BLD_AB!N36,0),0)+IF($F$8="Yes",IFERROR(BLD_AC!N36,0),0)+IF($G$8="Yes",IFERROR(BLD_BT!N36,0),0)+IF($H$8="Yes",IFERROR(BLD_CH!N36,0),0)+IF($I$8="Yes",IFERROR(BLD_CC!N36,0),0)+IF($J$8="Yes",IFERROR(BLD_EA!N36,0),0)+IF($K$8="Yes",IFERROR(BLD_EE!N36,0),0)+IF($L$8="Yes",IFERROR(BLD_JP!N36,0),0)+IF($M$8="Yes",IFERROR(BLD_MH!N36,0),0)+IF($N$8="Yes",IFERROR(BLD_MM!N36,0),0)+IF($O$8="Yes",IFERROR(BLD_NT!N36,0),0)+IF($P$8="Yes",IFERROR(BLD_NG!N36,0),0)+IF($Q$8="Yes",IFERROR(BLD_RG!N36,0),0)+IF($R$8="Yes",IFERROR(BLD_AS!N36,0),0)+IF($S$8="Yes",IFERROR(BLD_PS!N36,0),0)+IF($T$8="Yes",IFERROR(BLD_PM!N36,0),0)+IF($U$8="Yes",IFERROR(BLD_CD!N36,0),0)</f>
        <v>861984.67652688746</v>
      </c>
      <c r="O36" s="283">
        <f>IF($E$8="Yes",IFERROR(BLD_AB!O36,0),0)+IF($F$8="Yes",IFERROR(BLD_AC!O36,0),0)+IF($G$8="Yes",IFERROR(BLD_BT!O36,0),0)+IF($H$8="Yes",IFERROR(BLD_CH!O36,0),0)+IF($I$8="Yes",IFERROR(BLD_CC!O36,0),0)+IF($J$8="Yes",IFERROR(BLD_EA!O36,0),0)+IF($K$8="Yes",IFERROR(BLD_EE!O36,0),0)+IF($L$8="Yes",IFERROR(BLD_JP!O36,0),0)+IF($M$8="Yes",IFERROR(BLD_MH!O36,0),0)+IF($N$8="Yes",IFERROR(BLD_MM!O36,0),0)+IF($O$8="Yes",IFERROR(BLD_NT!O36,0),0)+IF($P$8="Yes",IFERROR(BLD_NG!O36,0),0)+IF($Q$8="Yes",IFERROR(BLD_RG!O36,0),0)+IF($R$8="Yes",IFERROR(BLD_AS!O36,0),0)+IF($S$8="Yes",IFERROR(BLD_PS!O36,0),0)+IF($T$8="Yes",IFERROR(BLD_PM!O36,0),0)+IF($U$8="Yes",IFERROR(BLD_CD!O36,0),0)</f>
        <v>883534.29344005941</v>
      </c>
      <c r="P36" s="283">
        <f>IF($E$8="Yes",IFERROR(BLD_AB!P36,0),0)+IF($F$8="Yes",IFERROR(BLD_AC!P36,0),0)+IF($G$8="Yes",IFERROR(BLD_BT!P36,0),0)+IF($H$8="Yes",IFERROR(BLD_CH!P36,0),0)+IF($I$8="Yes",IFERROR(BLD_CC!P36,0),0)+IF($J$8="Yes",IFERROR(BLD_EA!P36,0),0)+IF($K$8="Yes",IFERROR(BLD_EE!P36,0),0)+IF($L$8="Yes",IFERROR(BLD_JP!P36,0),0)+IF($M$8="Yes",IFERROR(BLD_MH!P36,0),0)+IF($N$8="Yes",IFERROR(BLD_MM!P36,0),0)+IF($O$8="Yes",IFERROR(BLD_NT!P36,0),0)+IF($P$8="Yes",IFERROR(BLD_NG!P36,0),0)+IF($Q$8="Yes",IFERROR(BLD_RG!P36,0),0)+IF($R$8="Yes",IFERROR(BLD_AS!P36,0),0)+IF($S$8="Yes",IFERROR(BLD_PS!P36,0),0)+IF($T$8="Yes",IFERROR(BLD_PM!P36,0),0)+IF($U$8="Yes",IFERROR(BLD_CD!P36,0),0)</f>
        <v>905622.65077606111</v>
      </c>
      <c r="Q36" s="283">
        <f>IF($E$8="Yes",IFERROR(BLD_AB!Q36,0),0)+IF($F$8="Yes",IFERROR(BLD_AC!Q36,0),0)+IF($G$8="Yes",IFERROR(BLD_BT!Q36,0),0)+IF($H$8="Yes",IFERROR(BLD_CH!Q36,0),0)+IF($I$8="Yes",IFERROR(BLD_CC!Q36,0),0)+IF($J$8="Yes",IFERROR(BLD_EA!Q36,0),0)+IF($K$8="Yes",IFERROR(BLD_EE!Q36,0),0)+IF($L$8="Yes",IFERROR(BLD_JP!Q36,0),0)+IF($M$8="Yes",IFERROR(BLD_MH!Q36,0),0)+IF($N$8="Yes",IFERROR(BLD_MM!Q36,0),0)+IF($O$8="Yes",IFERROR(BLD_NT!Q36,0),0)+IF($P$8="Yes",IFERROR(BLD_NG!Q36,0),0)+IF($Q$8="Yes",IFERROR(BLD_RG!Q36,0),0)+IF($R$8="Yes",IFERROR(BLD_AS!Q36,0),0)+IF($S$8="Yes",IFERROR(BLD_PS!Q36,0),0)+IF($T$8="Yes",IFERROR(BLD_PM!Q36,0),0)+IF($U$8="Yes",IFERROR(BLD_CD!Q36,0),0)</f>
        <v>928263.21704546257</v>
      </c>
      <c r="R36" s="283">
        <f>IF($E$8="Yes",IFERROR(BLD_AB!R36,0),0)+IF($F$8="Yes",IFERROR(BLD_AC!R36,0),0)+IF($G$8="Yes",IFERROR(BLD_BT!R36,0),0)+IF($H$8="Yes",IFERROR(BLD_CH!R36,0),0)+IF($I$8="Yes",IFERROR(BLD_CC!R36,0),0)+IF($J$8="Yes",IFERROR(BLD_EA!R36,0),0)+IF($K$8="Yes",IFERROR(BLD_EE!R36,0),0)+IF($L$8="Yes",IFERROR(BLD_JP!R36,0),0)+IF($M$8="Yes",IFERROR(BLD_MH!R36,0),0)+IF($N$8="Yes",IFERROR(BLD_MM!R36,0),0)+IF($O$8="Yes",IFERROR(BLD_NT!R36,0),0)+IF($P$8="Yes",IFERROR(BLD_NG!R36,0),0)+IF($Q$8="Yes",IFERROR(BLD_RG!R36,0),0)+IF($R$8="Yes",IFERROR(BLD_AS!R36,0),0)+IF($S$8="Yes",IFERROR(BLD_PS!R36,0),0)+IF($T$8="Yes",IFERROR(BLD_PM!R36,0),0)+IF($U$8="Yes",IFERROR(BLD_CD!R36,0),0)</f>
        <v>951469.79747159895</v>
      </c>
      <c r="S36" s="283">
        <f>IF($E$8="Yes",IFERROR(BLD_AB!S36,0),0)+IF($F$8="Yes",IFERROR(BLD_AC!S36,0),0)+IF($G$8="Yes",IFERROR(BLD_BT!S36,0),0)+IF($H$8="Yes",IFERROR(BLD_CH!S36,0),0)+IF($I$8="Yes",IFERROR(BLD_CC!S36,0),0)+IF($J$8="Yes",IFERROR(BLD_EA!S36,0),0)+IF($K$8="Yes",IFERROR(BLD_EE!S36,0),0)+IF($L$8="Yes",IFERROR(BLD_JP!S36,0),0)+IF($M$8="Yes",IFERROR(BLD_MH!S36,0),0)+IF($N$8="Yes",IFERROR(BLD_MM!S36,0),0)+IF($O$8="Yes",IFERROR(BLD_NT!S36,0),0)+IF($P$8="Yes",IFERROR(BLD_NG!S36,0),0)+IF($Q$8="Yes",IFERROR(BLD_RG!S36,0),0)+IF($R$8="Yes",IFERROR(BLD_AS!S36,0),0)+IF($S$8="Yes",IFERROR(BLD_PS!S36,0),0)+IF($T$8="Yes",IFERROR(BLD_PM!S36,0),0)+IF($U$8="Yes",IFERROR(BLD_CD!S36,0),0)</f>
        <v>975256.54240838881</v>
      </c>
      <c r="T36" s="283">
        <f>IF($E$8="Yes",IFERROR(BLD_AB!T36,0),0)+IF($F$8="Yes",IFERROR(BLD_AC!T36,0),0)+IF($G$8="Yes",IFERROR(BLD_BT!T36,0),0)+IF($H$8="Yes",IFERROR(BLD_CH!T36,0),0)+IF($I$8="Yes",IFERROR(BLD_CC!T36,0),0)+IF($J$8="Yes",IFERROR(BLD_EA!T36,0),0)+IF($K$8="Yes",IFERROR(BLD_EE!T36,0),0)+IF($L$8="Yes",IFERROR(BLD_JP!T36,0),0)+IF($M$8="Yes",IFERROR(BLD_MH!T36,0),0)+IF($N$8="Yes",IFERROR(BLD_MM!T36,0),0)+IF($O$8="Yes",IFERROR(BLD_NT!T36,0),0)+IF($P$8="Yes",IFERROR(BLD_NG!T36,0),0)+IF($Q$8="Yes",IFERROR(BLD_RG!T36,0),0)+IF($R$8="Yes",IFERROR(BLD_AS!T36,0),0)+IF($S$8="Yes",IFERROR(BLD_PS!T36,0),0)+IF($T$8="Yes",IFERROR(BLD_PM!T36,0),0)+IF($U$8="Yes",IFERROR(BLD_CD!T36,0),0)</f>
        <v>999637.95596859872</v>
      </c>
      <c r="U36" s="283">
        <f>IF($E$8="Yes",IFERROR(BLD_AB!U36,0),0)+IF($F$8="Yes",IFERROR(BLD_AC!U36,0),0)+IF($G$8="Yes",IFERROR(BLD_BT!U36,0),0)+IF($H$8="Yes",IFERROR(BLD_CH!U36,0),0)+IF($I$8="Yes",IFERROR(BLD_CC!U36,0),0)+IF($J$8="Yes",IFERROR(BLD_EA!U36,0),0)+IF($K$8="Yes",IFERROR(BLD_EE!U36,0),0)+IF($L$8="Yes",IFERROR(BLD_JP!U36,0),0)+IF($M$8="Yes",IFERROR(BLD_MH!U36,0),0)+IF($N$8="Yes",IFERROR(BLD_MM!U36,0),0)+IF($O$8="Yes",IFERROR(BLD_NT!U36,0),0)+IF($P$8="Yes",IFERROR(BLD_NG!U36,0),0)+IF($Q$8="Yes",IFERROR(BLD_RG!U36,0),0)+IF($R$8="Yes",IFERROR(BLD_AS!U36,0),0)+IF($S$8="Yes",IFERROR(BLD_PS!U36,0),0)+IF($T$8="Yes",IFERROR(BLD_PM!U36,0),0)+IF($U$8="Yes",IFERROR(BLD_CD!U36,0),0)</f>
        <v>1024628.9048678135</v>
      </c>
      <c r="V36" s="283">
        <f>IF($E$8="Yes",IFERROR(BLD_AB!V36,0),0)+IF($F$8="Yes",IFERROR(BLD_AC!V36,0),0)+IF($G$8="Yes",IFERROR(BLD_BT!V36,0),0)+IF($H$8="Yes",IFERROR(BLD_CH!V36,0),0)+IF($I$8="Yes",IFERROR(BLD_CC!V36,0),0)+IF($J$8="Yes",IFERROR(BLD_EA!V36,0),0)+IF($K$8="Yes",IFERROR(BLD_EE!V36,0),0)+IF($L$8="Yes",IFERROR(BLD_JP!V36,0),0)+IF($M$8="Yes",IFERROR(BLD_MH!V36,0),0)+IF($N$8="Yes",IFERROR(BLD_MM!V36,0),0)+IF($O$8="Yes",IFERROR(BLD_NT!V36,0),0)+IF($P$8="Yes",IFERROR(BLD_NG!V36,0),0)+IF($Q$8="Yes",IFERROR(BLD_RG!V36,0),0)+IF($R$8="Yes",IFERROR(BLD_AS!V36,0),0)+IF($S$8="Yes",IFERROR(BLD_PS!V36,0),0)+IF($T$8="Yes",IFERROR(BLD_PM!V36,0),0)+IF($U$8="Yes",IFERROR(BLD_CD!V36,0),0)</f>
        <v>1050244.6274895088</v>
      </c>
      <c r="W36" s="283">
        <f>IF($E$8="Yes",IFERROR(BLD_AB!W36,0),0)+IF($F$8="Yes",IFERROR(BLD_AC!W36,0),0)+IF($G$8="Yes",IFERROR(BLD_BT!W36,0),0)+IF($H$8="Yes",IFERROR(BLD_CH!W36,0),0)+IF($I$8="Yes",IFERROR(BLD_CC!W36,0),0)+IF($J$8="Yes",IFERROR(BLD_EA!W36,0),0)+IF($K$8="Yes",IFERROR(BLD_EE!W36,0),0)+IF($L$8="Yes",IFERROR(BLD_JP!W36,0),0)+IF($M$8="Yes",IFERROR(BLD_MH!W36,0),0)+IF($N$8="Yes",IFERROR(BLD_MM!W36,0),0)+IF($O$8="Yes",IFERROR(BLD_NT!W36,0),0)+IF($P$8="Yes",IFERROR(BLD_NG!W36,0),0)+IF($Q$8="Yes",IFERROR(BLD_RG!W36,0),0)+IF($R$8="Yes",IFERROR(BLD_AS!W36,0),0)+IF($S$8="Yes",IFERROR(BLD_PS!W36,0),0)+IF($T$8="Yes",IFERROR(BLD_PM!W36,0),0)+IF($U$8="Yes",IFERROR(BLD_CD!W36,0),0)</f>
        <v>1076500.7431767462</v>
      </c>
      <c r="X36" s="283">
        <f>IF($E$8="Yes",IFERROR(BLD_AB!X36,0),0)+IF($F$8="Yes",IFERROR(BLD_AC!X36,0),0)+IF($G$8="Yes",IFERROR(BLD_BT!X36,0),0)+IF($H$8="Yes",IFERROR(BLD_CH!X36,0),0)+IF($I$8="Yes",IFERROR(BLD_CC!X36,0),0)+IF($J$8="Yes",IFERROR(BLD_EA!X36,0),0)+IF($K$8="Yes",IFERROR(BLD_EE!X36,0),0)+IF($L$8="Yes",IFERROR(BLD_JP!X36,0),0)+IF($M$8="Yes",IFERROR(BLD_MH!X36,0),0)+IF($N$8="Yes",IFERROR(BLD_MM!X36,0),0)+IF($O$8="Yes",IFERROR(BLD_NT!X36,0),0)+IF($P$8="Yes",IFERROR(BLD_NG!X36,0),0)+IF($Q$8="Yes",IFERROR(BLD_RG!X36,0),0)+IF($R$8="Yes",IFERROR(BLD_AS!X36,0),0)+IF($S$8="Yes",IFERROR(BLD_PS!X36,0),0)+IF($T$8="Yes",IFERROR(BLD_PM!X36,0),0)+IF($U$8="Yes",IFERROR(BLD_CD!X36,0),0)</f>
        <v>1103413.261756165</v>
      </c>
      <c r="Y36" s="283">
        <f>IF($E$8="Yes",IFERROR(BLD_AB!Y36,0),0)+IF($F$8="Yes",IFERROR(BLD_AC!Y36,0),0)+IF($G$8="Yes",IFERROR(BLD_BT!Y36,0),0)+IF($H$8="Yes",IFERROR(BLD_CH!Y36,0),0)+IF($I$8="Yes",IFERROR(BLD_CC!Y36,0),0)+IF($J$8="Yes",IFERROR(BLD_EA!Y36,0),0)+IF($K$8="Yes",IFERROR(BLD_EE!Y36,0),0)+IF($L$8="Yes",IFERROR(BLD_JP!Y36,0),0)+IF($M$8="Yes",IFERROR(BLD_MH!Y36,0),0)+IF($N$8="Yes",IFERROR(BLD_MM!Y36,0),0)+IF($O$8="Yes",IFERROR(BLD_NT!Y36,0),0)+IF($P$8="Yes",IFERROR(BLD_NG!Y36,0),0)+IF($Q$8="Yes",IFERROR(BLD_RG!Y36,0),0)+IF($R$8="Yes",IFERROR(BLD_AS!Y36,0),0)+IF($S$8="Yes",IFERROR(BLD_PS!Y36,0),0)+IF($T$8="Yes",IFERROR(BLD_PM!Y36,0),0)+IF($U$8="Yes",IFERROR(BLD_CD!Y36,0),0)</f>
        <v>1130998.5933000692</v>
      </c>
    </row>
    <row r="37" spans="3:25" ht="13.5" customHeight="1">
      <c r="C37" s="10" t="s">
        <v>353</v>
      </c>
      <c r="E37" s="283">
        <f>IF($E$8="Yes",IFERROR(BLD_AB!E37,0),0)+IF($F$8="Yes",IFERROR(BLD_AC!E37,0),0)+IF($G$8="Yes",IFERROR(BLD_BT!E37,0),0)+IF($H$8="Yes",IFERROR(BLD_CH!E37,0),0)+IF($I$8="Yes",IFERROR(BLD_CC!E37,0),0)+IF($J$8="Yes",IFERROR(BLD_EA!E37,0),0)+IF($K$8="Yes",IFERROR(BLD_EE!E37,0),0)+IF($L$8="Yes",IFERROR(BLD_JP!E37,0),0)+IF($M$8="Yes",IFERROR(BLD_MH!E37,0),0)+IF($N$8="Yes",IFERROR(BLD_MM!E37,0),0)+IF($O$8="Yes",IFERROR(BLD_NT!E37,0),0)+IF($P$8="Yes",IFERROR(BLD_NG!E37,0),0)+IF($Q$8="Yes",IFERROR(BLD_RG!E37,0),0)+IF($R$8="Yes",IFERROR(BLD_AS!E37,0),0)+IF($S$8="Yes",IFERROR(BLD_PS!E37,0),0)+IF($T$8="Yes",IFERROR(BLD_PM!E37,0),0)+IF($U$8="Yes",IFERROR(BLD_CD!E37,0),0)</f>
        <v>606721</v>
      </c>
      <c r="F37" s="283">
        <f>IF($E$8="Yes",IFERROR(BLD_AB!F37,0),0)+IF($F$8="Yes",IFERROR(BLD_AC!F37,0),0)+IF($G$8="Yes",IFERROR(BLD_BT!F37,0),0)+IF($H$8="Yes",IFERROR(BLD_CH!F37,0),0)+IF($I$8="Yes",IFERROR(BLD_CC!F37,0),0)+IF($J$8="Yes",IFERROR(BLD_EA!F37,0),0)+IF($K$8="Yes",IFERROR(BLD_EE!F37,0),0)+IF($L$8="Yes",IFERROR(BLD_JP!F37,0),0)+IF($M$8="Yes",IFERROR(BLD_MH!F37,0),0)+IF($N$8="Yes",IFERROR(BLD_MM!F37,0),0)+IF($O$8="Yes",IFERROR(BLD_NT!F37,0),0)+IF($P$8="Yes",IFERROR(BLD_NG!F37,0),0)+IF($Q$8="Yes",IFERROR(BLD_RG!F37,0),0)+IF($R$8="Yes",IFERROR(BLD_AS!F37,0),0)+IF($S$8="Yes",IFERROR(BLD_PS!F37,0),0)+IF($T$8="Yes",IFERROR(BLD_PM!F37,0),0)+IF($U$8="Yes",IFERROR(BLD_CD!F37,0),0)</f>
        <v>630989.84</v>
      </c>
      <c r="G37" s="283">
        <f>IF($E$8="Yes",IFERROR(BLD_AB!G37,0),0)+IF($F$8="Yes",IFERROR(BLD_AC!G37,0),0)+IF($G$8="Yes",IFERROR(BLD_BT!G37,0),0)+IF($H$8="Yes",IFERROR(BLD_CH!G37,0),0)+IF($I$8="Yes",IFERROR(BLD_CC!G37,0),0)+IF($J$8="Yes",IFERROR(BLD_EA!G37,0),0)+IF($K$8="Yes",IFERROR(BLD_EE!G37,0),0)+IF($L$8="Yes",IFERROR(BLD_JP!G37,0),0)+IF($M$8="Yes",IFERROR(BLD_MH!G37,0),0)+IF($N$8="Yes",IFERROR(BLD_MM!G37,0),0)+IF($O$8="Yes",IFERROR(BLD_NT!G37,0),0)+IF($P$8="Yes",IFERROR(BLD_NG!G37,0),0)+IF($Q$8="Yes",IFERROR(BLD_RG!G37,0),0)+IF($R$8="Yes",IFERROR(BLD_AS!G37,0),0)+IF($S$8="Yes",IFERROR(BLD_PS!G37,0),0)+IF($T$8="Yes",IFERROR(BLD_PM!G37,0),0)+IF($U$8="Yes",IFERROR(BLD_CD!G37,0),0)</f>
        <v>656229.43360000011</v>
      </c>
      <c r="H37" s="283">
        <f>IF($E$8="Yes",IFERROR(BLD_AB!H37,0),0)+IF($F$8="Yes",IFERROR(BLD_AC!H37,0),0)+IF($G$8="Yes",IFERROR(BLD_BT!H37,0),0)+IF($H$8="Yes",IFERROR(BLD_CH!H37,0),0)+IF($I$8="Yes",IFERROR(BLD_CC!H37,0),0)+IF($J$8="Yes",IFERROR(BLD_EA!H37,0),0)+IF($K$8="Yes",IFERROR(BLD_EE!H37,0),0)+IF($L$8="Yes",IFERROR(BLD_JP!H37,0),0)+IF($M$8="Yes",IFERROR(BLD_MH!H37,0),0)+IF($N$8="Yes",IFERROR(BLD_MM!H37,0),0)+IF($O$8="Yes",IFERROR(BLD_NT!H37,0),0)+IF($P$8="Yes",IFERROR(BLD_NG!H37,0),0)+IF($Q$8="Yes",IFERROR(BLD_RG!H37,0),0)+IF($R$8="Yes",IFERROR(BLD_AS!H37,0),0)+IF($S$8="Yes",IFERROR(BLD_PS!H37,0),0)+IF($T$8="Yes",IFERROR(BLD_PM!H37,0),0)+IF($U$8="Yes",IFERROR(BLD_CD!H37,0),0)</f>
        <v>937597.76614399999</v>
      </c>
      <c r="I37" s="283">
        <f>IF($E$8="Yes",IFERROR(BLD_AB!I37,0),0)+IF($F$8="Yes",IFERROR(BLD_AC!I37,0),0)+IF($G$8="Yes",IFERROR(BLD_BT!I37,0),0)+IF($H$8="Yes",IFERROR(BLD_CH!I37,0),0)+IF($I$8="Yes",IFERROR(BLD_CC!I37,0),0)+IF($J$8="Yes",IFERROR(BLD_EA!I37,0),0)+IF($K$8="Yes",IFERROR(BLD_EE!I37,0),0)+IF($L$8="Yes",IFERROR(BLD_JP!I37,0),0)+IF($M$8="Yes",IFERROR(BLD_MH!I37,0),0)+IF($N$8="Yes",IFERROR(BLD_MM!I37,0),0)+IF($O$8="Yes",IFERROR(BLD_NT!I37,0),0)+IF($P$8="Yes",IFERROR(BLD_NG!I37,0),0)+IF($Q$8="Yes",IFERROR(BLD_RG!I37,0),0)+IF($R$8="Yes",IFERROR(BLD_AS!I37,0),0)+IF($S$8="Yes",IFERROR(BLD_PS!I37,0),0)+IF($T$8="Yes",IFERROR(BLD_PM!I37,0),0)+IF($U$8="Yes",IFERROR(BLD_CD!I37,0),0)</f>
        <v>1121333.9967897602</v>
      </c>
      <c r="J37" s="283">
        <f>IF($E$8="Yes",IFERROR(BLD_AB!J37,0),0)+IF($F$8="Yes",IFERROR(BLD_AC!J37,0),0)+IF($G$8="Yes",IFERROR(BLD_BT!J37,0),0)+IF($H$8="Yes",IFERROR(BLD_CH!J37,0),0)+IF($I$8="Yes",IFERROR(BLD_CC!J37,0),0)+IF($J$8="Yes",IFERROR(BLD_EA!J37,0),0)+IF($K$8="Yes",IFERROR(BLD_EE!J37,0),0)+IF($L$8="Yes",IFERROR(BLD_JP!J37,0),0)+IF($M$8="Yes",IFERROR(BLD_MH!J37,0),0)+IF($N$8="Yes",IFERROR(BLD_MM!J37,0),0)+IF($O$8="Yes",IFERROR(BLD_NT!J37,0),0)+IF($P$8="Yes",IFERROR(BLD_NG!J37,0),0)+IF($Q$8="Yes",IFERROR(BLD_RG!J37,0),0)+IF($R$8="Yes",IFERROR(BLD_AS!J37,0),0)+IF($S$8="Yes",IFERROR(BLD_PS!J37,0),0)+IF($T$8="Yes",IFERROR(BLD_PM!J37,0),0)+IF($U$8="Yes",IFERROR(BLD_CD!J37,0),0)</f>
        <v>1166187.3566613507</v>
      </c>
      <c r="K37" s="283">
        <f>IF($E$8="Yes",IFERROR(BLD_AB!K37,0),0)+IF($F$8="Yes",IFERROR(BLD_AC!K37,0),0)+IF($G$8="Yes",IFERROR(BLD_BT!K37,0),0)+IF($H$8="Yes",IFERROR(BLD_CH!K37,0),0)+IF($I$8="Yes",IFERROR(BLD_CC!K37,0),0)+IF($J$8="Yes",IFERROR(BLD_EA!K37,0),0)+IF($K$8="Yes",IFERROR(BLD_EE!K37,0),0)+IF($L$8="Yes",IFERROR(BLD_JP!K37,0),0)+IF($M$8="Yes",IFERROR(BLD_MH!K37,0),0)+IF($N$8="Yes",IFERROR(BLD_MM!K37,0),0)+IF($O$8="Yes",IFERROR(BLD_NT!K37,0),0)+IF($P$8="Yes",IFERROR(BLD_NG!K37,0),0)+IF($Q$8="Yes",IFERROR(BLD_RG!K37,0),0)+IF($R$8="Yes",IFERROR(BLD_AS!K37,0),0)+IF($S$8="Yes",IFERROR(BLD_PS!K37,0),0)+IF($T$8="Yes",IFERROR(BLD_PM!K37,0),0)+IF($U$8="Yes",IFERROR(BLD_CD!K37,0),0)</f>
        <v>1212834.8509278048</v>
      </c>
      <c r="L37" s="283">
        <f>IF($E$8="Yes",IFERROR(BLD_AB!L37,0),0)+IF($F$8="Yes",IFERROR(BLD_AC!L37,0),0)+IF($G$8="Yes",IFERROR(BLD_BT!L37,0),0)+IF($H$8="Yes",IFERROR(BLD_CH!L37,0),0)+IF($I$8="Yes",IFERROR(BLD_CC!L37,0),0)+IF($J$8="Yes",IFERROR(BLD_EA!L37,0),0)+IF($K$8="Yes",IFERROR(BLD_EE!L37,0),0)+IF($L$8="Yes",IFERROR(BLD_JP!L37,0),0)+IF($M$8="Yes",IFERROR(BLD_MH!L37,0),0)+IF($N$8="Yes",IFERROR(BLD_MM!L37,0),0)+IF($O$8="Yes",IFERROR(BLD_NT!L37,0),0)+IF($P$8="Yes",IFERROR(BLD_NG!L37,0),0)+IF($Q$8="Yes",IFERROR(BLD_RG!L37,0),0)+IF($R$8="Yes",IFERROR(BLD_AS!L37,0),0)+IF($S$8="Yes",IFERROR(BLD_PS!L37,0),0)+IF($T$8="Yes",IFERROR(BLD_PM!L37,0),0)+IF($U$8="Yes",IFERROR(BLD_CD!L37,0),0)</f>
        <v>1261348.2449649167</v>
      </c>
      <c r="M37" s="283">
        <f>IF($E$8="Yes",IFERROR(BLD_AB!M37,0),0)+IF($F$8="Yes",IFERROR(BLD_AC!M37,0),0)+IF($G$8="Yes",IFERROR(BLD_BT!M37,0),0)+IF($H$8="Yes",IFERROR(BLD_CH!M37,0),0)+IF($I$8="Yes",IFERROR(BLD_CC!M37,0),0)+IF($J$8="Yes",IFERROR(BLD_EA!M37,0),0)+IF($K$8="Yes",IFERROR(BLD_EE!M37,0),0)+IF($L$8="Yes",IFERROR(BLD_JP!M37,0),0)+IF($M$8="Yes",IFERROR(BLD_MH!M37,0),0)+IF($N$8="Yes",IFERROR(BLD_MM!M37,0),0)+IF($O$8="Yes",IFERROR(BLD_NT!M37,0),0)+IF($P$8="Yes",IFERROR(BLD_NG!M37,0),0)+IF($Q$8="Yes",IFERROR(BLD_RG!M37,0),0)+IF($R$8="Yes",IFERROR(BLD_AS!M37,0),0)+IF($S$8="Yes",IFERROR(BLD_PS!M37,0),0)+IF($T$8="Yes",IFERROR(BLD_PM!M37,0),0)+IF($U$8="Yes",IFERROR(BLD_CD!M37,0),0)</f>
        <v>1311802.1747635137</v>
      </c>
      <c r="N37" s="283">
        <f>IF($E$8="Yes",IFERROR(BLD_AB!N37,0),0)+IF($F$8="Yes",IFERROR(BLD_AC!N37,0),0)+IF($G$8="Yes",IFERROR(BLD_BT!N37,0),0)+IF($H$8="Yes",IFERROR(BLD_CH!N37,0),0)+IF($I$8="Yes",IFERROR(BLD_CC!N37,0),0)+IF($J$8="Yes",IFERROR(BLD_EA!N37,0),0)+IF($K$8="Yes",IFERROR(BLD_EE!N37,0),0)+IF($L$8="Yes",IFERROR(BLD_JP!N37,0),0)+IF($M$8="Yes",IFERROR(BLD_MH!N37,0),0)+IF($N$8="Yes",IFERROR(BLD_MM!N37,0),0)+IF($O$8="Yes",IFERROR(BLD_NT!N37,0),0)+IF($P$8="Yes",IFERROR(BLD_NG!N37,0),0)+IF($Q$8="Yes",IFERROR(BLD_RG!N37,0),0)+IF($R$8="Yes",IFERROR(BLD_AS!N37,0),0)+IF($S$8="Yes",IFERROR(BLD_PS!N37,0),0)+IF($T$8="Yes",IFERROR(BLD_PM!N37,0),0)+IF($U$8="Yes",IFERROR(BLD_CD!N37,0),0)</f>
        <v>1364274.2617540546</v>
      </c>
      <c r="O37" s="283">
        <f>IF($E$8="Yes",IFERROR(BLD_AB!O37,0),0)+IF($F$8="Yes",IFERROR(BLD_AC!O37,0),0)+IF($G$8="Yes",IFERROR(BLD_BT!O37,0),0)+IF($H$8="Yes",IFERROR(BLD_CH!O37,0),0)+IF($I$8="Yes",IFERROR(BLD_CC!O37,0),0)+IF($J$8="Yes",IFERROR(BLD_EA!O37,0),0)+IF($K$8="Yes",IFERROR(BLD_EE!O37,0),0)+IF($L$8="Yes",IFERROR(BLD_JP!O37,0),0)+IF($M$8="Yes",IFERROR(BLD_MH!O37,0),0)+IF($N$8="Yes",IFERROR(BLD_MM!O37,0),0)+IF($O$8="Yes",IFERROR(BLD_NT!O37,0),0)+IF($P$8="Yes",IFERROR(BLD_NG!O37,0),0)+IF($Q$8="Yes",IFERROR(BLD_RG!O37,0),0)+IF($R$8="Yes",IFERROR(BLD_AS!O37,0),0)+IF($S$8="Yes",IFERROR(BLD_PS!O37,0),0)+IF($T$8="Yes",IFERROR(BLD_PM!O37,0),0)+IF($U$8="Yes",IFERROR(BLD_CD!O37,0),0)</f>
        <v>1398381.1182979057</v>
      </c>
      <c r="P37" s="283">
        <f>IF($E$8="Yes",IFERROR(BLD_AB!P37,0),0)+IF($F$8="Yes",IFERROR(BLD_AC!P37,0),0)+IF($G$8="Yes",IFERROR(BLD_BT!P37,0),0)+IF($H$8="Yes",IFERROR(BLD_CH!P37,0),0)+IF($I$8="Yes",IFERROR(BLD_CC!P37,0),0)+IF($J$8="Yes",IFERROR(BLD_EA!P37,0),0)+IF($K$8="Yes",IFERROR(BLD_EE!P37,0),0)+IF($L$8="Yes",IFERROR(BLD_JP!P37,0),0)+IF($M$8="Yes",IFERROR(BLD_MH!P37,0),0)+IF($N$8="Yes",IFERROR(BLD_MM!P37,0),0)+IF($O$8="Yes",IFERROR(BLD_NT!P37,0),0)+IF($P$8="Yes",IFERROR(BLD_NG!P37,0),0)+IF($Q$8="Yes",IFERROR(BLD_RG!P37,0),0)+IF($R$8="Yes",IFERROR(BLD_AS!P37,0),0)+IF($S$8="Yes",IFERROR(BLD_PS!P37,0),0)+IF($T$8="Yes",IFERROR(BLD_PM!P37,0),0)+IF($U$8="Yes",IFERROR(BLD_CD!P37,0),0)</f>
        <v>1433340.6462553532</v>
      </c>
      <c r="Q37" s="283">
        <f>IF($E$8="Yes",IFERROR(BLD_AB!Q37,0),0)+IF($F$8="Yes",IFERROR(BLD_AC!Q37,0),0)+IF($G$8="Yes",IFERROR(BLD_BT!Q37,0),0)+IF($H$8="Yes",IFERROR(BLD_CH!Q37,0),0)+IF($I$8="Yes",IFERROR(BLD_CC!Q37,0),0)+IF($J$8="Yes",IFERROR(BLD_EA!Q37,0),0)+IF($K$8="Yes",IFERROR(BLD_EE!Q37,0),0)+IF($L$8="Yes",IFERROR(BLD_JP!Q37,0),0)+IF($M$8="Yes",IFERROR(BLD_MH!Q37,0),0)+IF($N$8="Yes",IFERROR(BLD_MM!Q37,0),0)+IF($O$8="Yes",IFERROR(BLD_NT!Q37,0),0)+IF($P$8="Yes",IFERROR(BLD_NG!Q37,0),0)+IF($Q$8="Yes",IFERROR(BLD_RG!Q37,0),0)+IF($R$8="Yes",IFERROR(BLD_AS!Q37,0),0)+IF($S$8="Yes",IFERROR(BLD_PS!Q37,0),0)+IF($T$8="Yes",IFERROR(BLD_PM!Q37,0),0)+IF($U$8="Yes",IFERROR(BLD_CD!Q37,0),0)</f>
        <v>1469174.1624117373</v>
      </c>
      <c r="R37" s="283">
        <f>IF($E$8="Yes",IFERROR(BLD_AB!R37,0),0)+IF($F$8="Yes",IFERROR(BLD_AC!R37,0),0)+IF($G$8="Yes",IFERROR(BLD_BT!R37,0),0)+IF($H$8="Yes",IFERROR(BLD_CH!R37,0),0)+IF($I$8="Yes",IFERROR(BLD_CC!R37,0),0)+IF($J$8="Yes",IFERROR(BLD_EA!R37,0),0)+IF($K$8="Yes",IFERROR(BLD_EE!R37,0),0)+IF($L$8="Yes",IFERROR(BLD_JP!R37,0),0)+IF($M$8="Yes",IFERROR(BLD_MH!R37,0),0)+IF($N$8="Yes",IFERROR(BLD_MM!R37,0),0)+IF($O$8="Yes",IFERROR(BLD_NT!R37,0),0)+IF($P$8="Yes",IFERROR(BLD_NG!R37,0),0)+IF($Q$8="Yes",IFERROR(BLD_RG!R37,0),0)+IF($R$8="Yes",IFERROR(BLD_AS!R37,0),0)+IF($S$8="Yes",IFERROR(BLD_PS!R37,0),0)+IF($T$8="Yes",IFERROR(BLD_PM!R37,0),0)+IF($U$8="Yes",IFERROR(BLD_CD!R37,0),0)</f>
        <v>1505903.5164720302</v>
      </c>
      <c r="S37" s="283">
        <f>IF($E$8="Yes",IFERROR(BLD_AB!S37,0),0)+IF($F$8="Yes",IFERROR(BLD_AC!S37,0),0)+IF($G$8="Yes",IFERROR(BLD_BT!S37,0),0)+IF($H$8="Yes",IFERROR(BLD_CH!S37,0),0)+IF($I$8="Yes",IFERROR(BLD_CC!S37,0),0)+IF($J$8="Yes",IFERROR(BLD_EA!S37,0),0)+IF($K$8="Yes",IFERROR(BLD_EE!S37,0),0)+IF($L$8="Yes",IFERROR(BLD_JP!S37,0),0)+IF($M$8="Yes",IFERROR(BLD_MH!S37,0),0)+IF($N$8="Yes",IFERROR(BLD_MM!S37,0),0)+IF($O$8="Yes",IFERROR(BLD_NT!S37,0),0)+IF($P$8="Yes",IFERROR(BLD_NG!S37,0),0)+IF($Q$8="Yes",IFERROR(BLD_RG!S37,0),0)+IF($R$8="Yes",IFERROR(BLD_AS!S37,0),0)+IF($S$8="Yes",IFERROR(BLD_PS!S37,0),0)+IF($T$8="Yes",IFERROR(BLD_PM!S37,0),0)+IF($U$8="Yes",IFERROR(BLD_CD!S37,0),0)</f>
        <v>1543551.1043838309</v>
      </c>
      <c r="T37" s="283">
        <f>IF($E$8="Yes",IFERROR(BLD_AB!T37,0),0)+IF($F$8="Yes",IFERROR(BLD_AC!T37,0),0)+IF($G$8="Yes",IFERROR(BLD_BT!T37,0),0)+IF($H$8="Yes",IFERROR(BLD_CH!T37,0),0)+IF($I$8="Yes",IFERROR(BLD_CC!T37,0),0)+IF($J$8="Yes",IFERROR(BLD_EA!T37,0),0)+IF($K$8="Yes",IFERROR(BLD_EE!T37,0),0)+IF($L$8="Yes",IFERROR(BLD_JP!T37,0),0)+IF($M$8="Yes",IFERROR(BLD_MH!T37,0),0)+IF($N$8="Yes",IFERROR(BLD_MM!T37,0),0)+IF($O$8="Yes",IFERROR(BLD_NT!T37,0),0)+IF($P$8="Yes",IFERROR(BLD_NG!T37,0),0)+IF($Q$8="Yes",IFERROR(BLD_RG!T37,0),0)+IF($R$8="Yes",IFERROR(BLD_AS!T37,0),0)+IF($S$8="Yes",IFERROR(BLD_PS!T37,0),0)+IF($T$8="Yes",IFERROR(BLD_PM!T37,0),0)+IF($U$8="Yes",IFERROR(BLD_CD!T37,0),0)</f>
        <v>1582139.8819934265</v>
      </c>
      <c r="U37" s="283">
        <f>IF($E$8="Yes",IFERROR(BLD_AB!U37,0),0)+IF($F$8="Yes",IFERROR(BLD_AC!U37,0),0)+IF($G$8="Yes",IFERROR(BLD_BT!U37,0),0)+IF($H$8="Yes",IFERROR(BLD_CH!U37,0),0)+IF($I$8="Yes",IFERROR(BLD_CC!U37,0),0)+IF($J$8="Yes",IFERROR(BLD_EA!U37,0),0)+IF($K$8="Yes",IFERROR(BLD_EE!U37,0),0)+IF($L$8="Yes",IFERROR(BLD_JP!U37,0),0)+IF($M$8="Yes",IFERROR(BLD_MH!U37,0),0)+IF($N$8="Yes",IFERROR(BLD_MM!U37,0),0)+IF($O$8="Yes",IFERROR(BLD_NT!U37,0),0)+IF($P$8="Yes",IFERROR(BLD_NG!U37,0),0)+IF($Q$8="Yes",IFERROR(BLD_RG!U37,0),0)+IF($R$8="Yes",IFERROR(BLD_AS!U37,0),0)+IF($S$8="Yes",IFERROR(BLD_PS!U37,0),0)+IF($T$8="Yes",IFERROR(BLD_PM!U37,0),0)+IF($U$8="Yes",IFERROR(BLD_CD!U37,0),0)</f>
        <v>1621693.3790432625</v>
      </c>
      <c r="V37" s="283">
        <f>IF($E$8="Yes",IFERROR(BLD_AB!V37,0),0)+IF($F$8="Yes",IFERROR(BLD_AC!V37,0),0)+IF($G$8="Yes",IFERROR(BLD_BT!V37,0),0)+IF($H$8="Yes",IFERROR(BLD_CH!V37,0),0)+IF($I$8="Yes",IFERROR(BLD_CC!V37,0),0)+IF($J$8="Yes",IFERROR(BLD_EA!V37,0),0)+IF($K$8="Yes",IFERROR(BLD_EE!V37,0),0)+IF($L$8="Yes",IFERROR(BLD_JP!V37,0),0)+IF($M$8="Yes",IFERROR(BLD_MH!V37,0),0)+IF($N$8="Yes",IFERROR(BLD_MM!V37,0),0)+IF($O$8="Yes",IFERROR(BLD_NT!V37,0),0)+IF($P$8="Yes",IFERROR(BLD_NG!V37,0),0)+IF($Q$8="Yes",IFERROR(BLD_RG!V37,0),0)+IF($R$8="Yes",IFERROR(BLD_AS!V37,0),0)+IF($S$8="Yes",IFERROR(BLD_PS!V37,0),0)+IF($T$8="Yes",IFERROR(BLD_PM!V37,0),0)+IF($U$8="Yes",IFERROR(BLD_CD!V37,0),0)</f>
        <v>1662235.7135193441</v>
      </c>
      <c r="W37" s="283">
        <f>IF($E$8="Yes",IFERROR(BLD_AB!W37,0),0)+IF($F$8="Yes",IFERROR(BLD_AC!W37,0),0)+IF($G$8="Yes",IFERROR(BLD_BT!W37,0),0)+IF($H$8="Yes",IFERROR(BLD_CH!W37,0),0)+IF($I$8="Yes",IFERROR(BLD_CC!W37,0),0)+IF($J$8="Yes",IFERROR(BLD_EA!W37,0),0)+IF($K$8="Yes",IFERROR(BLD_EE!W37,0),0)+IF($L$8="Yes",IFERROR(BLD_JP!W37,0),0)+IF($M$8="Yes",IFERROR(BLD_MH!W37,0),0)+IF($N$8="Yes",IFERROR(BLD_MM!W37,0),0)+IF($O$8="Yes",IFERROR(BLD_NT!W37,0),0)+IF($P$8="Yes",IFERROR(BLD_NG!W37,0),0)+IF($Q$8="Yes",IFERROR(BLD_RG!W37,0),0)+IF($R$8="Yes",IFERROR(BLD_AS!W37,0),0)+IF($S$8="Yes",IFERROR(BLD_PS!W37,0),0)+IF($T$8="Yes",IFERROR(BLD_PM!W37,0),0)+IF($U$8="Yes",IFERROR(BLD_CD!W37,0),0)</f>
        <v>1703791.6063573272</v>
      </c>
      <c r="X37" s="283">
        <f>IF($E$8="Yes",IFERROR(BLD_AB!X37,0),0)+IF($F$8="Yes",IFERROR(BLD_AC!X37,0),0)+IF($G$8="Yes",IFERROR(BLD_BT!X37,0),0)+IF($H$8="Yes",IFERROR(BLD_CH!X37,0),0)+IF($I$8="Yes",IFERROR(BLD_CC!X37,0),0)+IF($J$8="Yes",IFERROR(BLD_EA!X37,0),0)+IF($K$8="Yes",IFERROR(BLD_EE!X37,0),0)+IF($L$8="Yes",IFERROR(BLD_JP!X37,0),0)+IF($M$8="Yes",IFERROR(BLD_MH!X37,0),0)+IF($N$8="Yes",IFERROR(BLD_MM!X37,0),0)+IF($O$8="Yes",IFERROR(BLD_NT!X37,0),0)+IF($P$8="Yes",IFERROR(BLD_NG!X37,0),0)+IF($Q$8="Yes",IFERROR(BLD_RG!X37,0),0)+IF($R$8="Yes",IFERROR(BLD_AS!X37,0),0)+IF($S$8="Yes",IFERROR(BLD_PS!X37,0),0)+IF($T$8="Yes",IFERROR(BLD_PM!X37,0),0)+IF($U$8="Yes",IFERROR(BLD_CD!X37,0),0)</f>
        <v>1746386.39651626</v>
      </c>
      <c r="Y37" s="283">
        <f>IF($E$8="Yes",IFERROR(BLD_AB!Y37,0),0)+IF($F$8="Yes",IFERROR(BLD_AC!Y37,0),0)+IF($G$8="Yes",IFERROR(BLD_BT!Y37,0),0)+IF($H$8="Yes",IFERROR(BLD_CH!Y37,0),0)+IF($I$8="Yes",IFERROR(BLD_CC!Y37,0),0)+IF($J$8="Yes",IFERROR(BLD_EA!Y37,0),0)+IF($K$8="Yes",IFERROR(BLD_EE!Y37,0),0)+IF($L$8="Yes",IFERROR(BLD_JP!Y37,0),0)+IF($M$8="Yes",IFERROR(BLD_MH!Y37,0),0)+IF($N$8="Yes",IFERROR(BLD_MM!Y37,0),0)+IF($O$8="Yes",IFERROR(BLD_NT!Y37,0),0)+IF($P$8="Yes",IFERROR(BLD_NG!Y37,0),0)+IF($Q$8="Yes",IFERROR(BLD_RG!Y37,0),0)+IF($R$8="Yes",IFERROR(BLD_AS!Y37,0),0)+IF($S$8="Yes",IFERROR(BLD_PS!Y37,0),0)+IF($T$8="Yes",IFERROR(BLD_PM!Y37,0),0)+IF($U$8="Yes",IFERROR(BLD_CD!Y37,0),0)</f>
        <v>1790046.0564291666</v>
      </c>
    </row>
    <row r="38" spans="3:25" ht="13.5" customHeight="1">
      <c r="C38" s="11" t="s">
        <v>354</v>
      </c>
      <c r="E38" s="284">
        <f>IF($E$8="Yes",IFERROR(BLD_AB!E38,0),0)+IF($F$8="Yes",IFERROR(BLD_AC!E38,0),0)+IF($G$8="Yes",IFERROR(BLD_BT!E38,0),0)+IF($H$8="Yes",IFERROR(BLD_CH!E38,0),0)+IF($I$8="Yes",IFERROR(BLD_CC!E38,0),0)+IF($J$8="Yes",IFERROR(BLD_EA!E38,0),0)+IF($K$8="Yes",IFERROR(BLD_EE!E38,0),0)+IF($L$8="Yes",IFERROR(BLD_JP!E38,0),0)+IF($M$8="Yes",IFERROR(BLD_MH!E38,0),0)+IF($N$8="Yes",IFERROR(BLD_MM!E38,0),0)+IF($O$8="Yes",IFERROR(BLD_NT!E38,0),0)+IF($P$8="Yes",IFERROR(BLD_NG!E38,0),0)+IF($Q$8="Yes",IFERROR(BLD_RG!E38,0),0)+IF($R$8="Yes",IFERROR(BLD_AS!E38,0),0)+IF($S$8="Yes",IFERROR(BLD_PS!E38,0),0)+IF($T$8="Yes",IFERROR(BLD_PM!E38,0),0)+IF($U$8="Yes",IFERROR(BLD_CD!E38,0),0)</f>
        <v>226513</v>
      </c>
      <c r="F38" s="284">
        <f>IF($E$8="Yes",IFERROR(BLD_AB!F38,0),0)+IF($F$8="Yes",IFERROR(BLD_AC!F38,0),0)+IF($G$8="Yes",IFERROR(BLD_BT!F38,0),0)+IF($H$8="Yes",IFERROR(BLD_CH!F38,0),0)+IF($I$8="Yes",IFERROR(BLD_CC!F38,0),0)+IF($J$8="Yes",IFERROR(BLD_EA!F38,0),0)+IF($K$8="Yes",IFERROR(BLD_EE!F38,0),0)+IF($L$8="Yes",IFERROR(BLD_JP!F38,0),0)+IF($M$8="Yes",IFERROR(BLD_MH!F38,0),0)+IF($N$8="Yes",IFERROR(BLD_MM!F38,0),0)+IF($O$8="Yes",IFERROR(BLD_NT!F38,0),0)+IF($P$8="Yes",IFERROR(BLD_NG!F38,0),0)+IF($Q$8="Yes",IFERROR(BLD_RG!F38,0),0)+IF($R$8="Yes",IFERROR(BLD_AS!F38,0),0)+IF($S$8="Yes",IFERROR(BLD_PS!F38,0),0)+IF($T$8="Yes",IFERROR(BLD_PM!F38,0),0)+IF($U$8="Yes",IFERROR(BLD_CD!F38,0),0)</f>
        <v>235573.52000000002</v>
      </c>
      <c r="G38" s="284">
        <f>IF($E$8="Yes",IFERROR(BLD_AB!G38,0),0)+IF($F$8="Yes",IFERROR(BLD_AC!G38,0),0)+IF($G$8="Yes",IFERROR(BLD_BT!G38,0),0)+IF($H$8="Yes",IFERROR(BLD_CH!G38,0),0)+IF($I$8="Yes",IFERROR(BLD_CC!G38,0),0)+IF($J$8="Yes",IFERROR(BLD_EA!G38,0),0)+IF($K$8="Yes",IFERROR(BLD_EE!G38,0),0)+IF($L$8="Yes",IFERROR(BLD_JP!G38,0),0)+IF($M$8="Yes",IFERROR(BLD_MH!G38,0),0)+IF($N$8="Yes",IFERROR(BLD_MM!G38,0),0)+IF($O$8="Yes",IFERROR(BLD_NT!G38,0),0)+IF($P$8="Yes",IFERROR(BLD_NG!G38,0),0)+IF($Q$8="Yes",IFERROR(BLD_RG!G38,0),0)+IF($R$8="Yes",IFERROR(BLD_AS!G38,0),0)+IF($S$8="Yes",IFERROR(BLD_PS!G38,0),0)+IF($T$8="Yes",IFERROR(BLD_PM!G38,0),0)+IF($U$8="Yes",IFERROR(BLD_CD!G38,0),0)</f>
        <v>435790.70079999999</v>
      </c>
      <c r="H38" s="284">
        <f>IF($E$8="Yes",IFERROR(BLD_AB!H38,0),0)+IF($F$8="Yes",IFERROR(BLD_AC!H38,0),0)+IF($G$8="Yes",IFERROR(BLD_BT!H38,0),0)+IF($H$8="Yes",IFERROR(BLD_CH!H38,0),0)+IF($I$8="Yes",IFERROR(BLD_CC!H38,0),0)+IF($J$8="Yes",IFERROR(BLD_EA!H38,0),0)+IF($K$8="Yes",IFERROR(BLD_EE!H38,0),0)+IF($L$8="Yes",IFERROR(BLD_JP!H38,0),0)+IF($M$8="Yes",IFERROR(BLD_MH!H38,0),0)+IF($N$8="Yes",IFERROR(BLD_MM!H38,0),0)+IF($O$8="Yes",IFERROR(BLD_NT!H38,0),0)+IF($P$8="Yes",IFERROR(BLD_NG!H38,0),0)+IF($Q$8="Yes",IFERROR(BLD_RG!H38,0),0)+IF($R$8="Yes",IFERROR(BLD_AS!H38,0),0)+IF($S$8="Yes",IFERROR(BLD_PS!H38,0),0)+IF($T$8="Yes",IFERROR(BLD_PM!H38,0),0)+IF($U$8="Yes",IFERROR(BLD_CD!H38,0),0)</f>
        <v>629679.74451200012</v>
      </c>
      <c r="I38" s="284">
        <f>IF($E$8="Yes",IFERROR(BLD_AB!I38,0),0)+IF($F$8="Yes",IFERROR(BLD_AC!I38,0),0)+IF($G$8="Yes",IFERROR(BLD_BT!I38,0),0)+IF($H$8="Yes",IFERROR(BLD_CH!I38,0),0)+IF($I$8="Yes",IFERROR(BLD_CC!I38,0),0)+IF($J$8="Yes",IFERROR(BLD_EA!I38,0),0)+IF($K$8="Yes",IFERROR(BLD_EE!I38,0),0)+IF($L$8="Yes",IFERROR(BLD_JP!I38,0),0)+IF($M$8="Yes",IFERROR(BLD_MH!I38,0),0)+IF($N$8="Yes",IFERROR(BLD_MM!I38,0),0)+IF($O$8="Yes",IFERROR(BLD_NT!I38,0),0)+IF($P$8="Yes",IFERROR(BLD_NG!I38,0),0)+IF($Q$8="Yes",IFERROR(BLD_RG!I38,0),0)+IF($R$8="Yes",IFERROR(BLD_AS!I38,0),0)+IF($S$8="Yes",IFERROR(BLD_PS!I38,0),0)+IF($T$8="Yes",IFERROR(BLD_PM!I38,0),0)+IF($U$8="Yes",IFERROR(BLD_CD!I38,0),0)</f>
        <v>754638.3215820801</v>
      </c>
      <c r="J38" s="284">
        <f>IF($E$8="Yes",IFERROR(BLD_AB!J38,0),0)+IF($F$8="Yes",IFERROR(BLD_AC!J38,0),0)+IF($G$8="Yes",IFERROR(BLD_BT!J38,0),0)+IF($H$8="Yes",IFERROR(BLD_CH!J38,0),0)+IF($I$8="Yes",IFERROR(BLD_CC!J38,0),0)+IF($J$8="Yes",IFERROR(BLD_EA!J38,0),0)+IF($K$8="Yes",IFERROR(BLD_EE!J38,0),0)+IF($L$8="Yes",IFERROR(BLD_JP!J38,0),0)+IF($M$8="Yes",IFERROR(BLD_MH!J38,0),0)+IF($N$8="Yes",IFERROR(BLD_MM!J38,0),0)+IF($O$8="Yes",IFERROR(BLD_NT!J38,0),0)+IF($P$8="Yes",IFERROR(BLD_NG!J38,0),0)+IF($Q$8="Yes",IFERROR(BLD_RG!J38,0),0)+IF($R$8="Yes",IFERROR(BLD_AS!J38,0),0)+IF($S$8="Yes",IFERROR(BLD_PS!J38,0),0)+IF($T$8="Yes",IFERROR(BLD_PM!J38,0),0)+IF($U$8="Yes",IFERROR(BLD_CD!J38,0),0)</f>
        <v>784823.85444536339</v>
      </c>
      <c r="K38" s="284">
        <f>IF($E$8="Yes",IFERROR(BLD_AB!K38,0),0)+IF($F$8="Yes",IFERROR(BLD_AC!K38,0),0)+IF($G$8="Yes",IFERROR(BLD_BT!K38,0),0)+IF($H$8="Yes",IFERROR(BLD_CH!K38,0),0)+IF($I$8="Yes",IFERROR(BLD_CC!K38,0),0)+IF($J$8="Yes",IFERROR(BLD_EA!K38,0),0)+IF($K$8="Yes",IFERROR(BLD_EE!K38,0),0)+IF($L$8="Yes",IFERROR(BLD_JP!K38,0),0)+IF($M$8="Yes",IFERROR(BLD_MH!K38,0),0)+IF($N$8="Yes",IFERROR(BLD_MM!K38,0),0)+IF($O$8="Yes",IFERROR(BLD_NT!K38,0),0)+IF($P$8="Yes",IFERROR(BLD_NG!K38,0),0)+IF($Q$8="Yes",IFERROR(BLD_RG!K38,0),0)+IF($R$8="Yes",IFERROR(BLD_AS!K38,0),0)+IF($S$8="Yes",IFERROR(BLD_PS!K38,0),0)+IF($T$8="Yes",IFERROR(BLD_PM!K38,0),0)+IF($U$8="Yes",IFERROR(BLD_CD!K38,0),0)</f>
        <v>816216.80862317793</v>
      </c>
      <c r="L38" s="284">
        <f>IF($E$8="Yes",IFERROR(BLD_AB!L38,0),0)+IF($F$8="Yes",IFERROR(BLD_AC!L38,0),0)+IF($G$8="Yes",IFERROR(BLD_BT!L38,0),0)+IF($H$8="Yes",IFERROR(BLD_CH!L38,0),0)+IF($I$8="Yes",IFERROR(BLD_CC!L38,0),0)+IF($J$8="Yes",IFERROR(BLD_EA!L38,0),0)+IF($K$8="Yes",IFERROR(BLD_EE!L38,0),0)+IF($L$8="Yes",IFERROR(BLD_JP!L38,0),0)+IF($M$8="Yes",IFERROR(BLD_MH!L38,0),0)+IF($N$8="Yes",IFERROR(BLD_MM!L38,0),0)+IF($O$8="Yes",IFERROR(BLD_NT!L38,0),0)+IF($P$8="Yes",IFERROR(BLD_NG!L38,0),0)+IF($Q$8="Yes",IFERROR(BLD_RG!L38,0),0)+IF($R$8="Yes",IFERROR(BLD_AS!L38,0),0)+IF($S$8="Yes",IFERROR(BLD_PS!L38,0),0)+IF($T$8="Yes",IFERROR(BLD_PM!L38,0),0)+IF($U$8="Yes",IFERROR(BLD_CD!L38,0),0)</f>
        <v>848865.48096810502</v>
      </c>
      <c r="M38" s="284">
        <f>IF($E$8="Yes",IFERROR(BLD_AB!M38,0),0)+IF($F$8="Yes",IFERROR(BLD_AC!M38,0),0)+IF($G$8="Yes",IFERROR(BLD_BT!M38,0),0)+IF($H$8="Yes",IFERROR(BLD_CH!M38,0),0)+IF($I$8="Yes",IFERROR(BLD_CC!M38,0),0)+IF($J$8="Yes",IFERROR(BLD_EA!M38,0),0)+IF($K$8="Yes",IFERROR(BLD_EE!M38,0),0)+IF($L$8="Yes",IFERROR(BLD_JP!M38,0),0)+IF($M$8="Yes",IFERROR(BLD_MH!M38,0),0)+IF($N$8="Yes",IFERROR(BLD_MM!M38,0),0)+IF($O$8="Yes",IFERROR(BLD_NT!M38,0),0)+IF($P$8="Yes",IFERROR(BLD_NG!M38,0),0)+IF($Q$8="Yes",IFERROR(BLD_RG!M38,0),0)+IF($R$8="Yes",IFERROR(BLD_AS!M38,0),0)+IF($S$8="Yes",IFERROR(BLD_PS!M38,0),0)+IF($T$8="Yes",IFERROR(BLD_PM!M38,0),0)+IF($U$8="Yes",IFERROR(BLD_CD!M38,0),0)</f>
        <v>882820.10020682937</v>
      </c>
      <c r="N38" s="284">
        <f>IF($E$8="Yes",IFERROR(BLD_AB!N38,0),0)+IF($F$8="Yes",IFERROR(BLD_AC!N38,0),0)+IF($G$8="Yes",IFERROR(BLD_BT!N38,0),0)+IF($H$8="Yes",IFERROR(BLD_CH!N38,0),0)+IF($I$8="Yes",IFERROR(BLD_CC!N38,0),0)+IF($J$8="Yes",IFERROR(BLD_EA!N38,0),0)+IF($K$8="Yes",IFERROR(BLD_EE!N38,0),0)+IF($L$8="Yes",IFERROR(BLD_JP!N38,0),0)+IF($M$8="Yes",IFERROR(BLD_MH!N38,0),0)+IF($N$8="Yes",IFERROR(BLD_MM!N38,0),0)+IF($O$8="Yes",IFERROR(BLD_NT!N38,0),0)+IF($P$8="Yes",IFERROR(BLD_NG!N38,0),0)+IF($Q$8="Yes",IFERROR(BLD_RG!N38,0),0)+IF($R$8="Yes",IFERROR(BLD_AS!N38,0),0)+IF($S$8="Yes",IFERROR(BLD_PS!N38,0),0)+IF($T$8="Yes",IFERROR(BLD_PM!N38,0),0)+IF($U$8="Yes",IFERROR(BLD_CD!N38,0),0)</f>
        <v>918132.90421510267</v>
      </c>
      <c r="O38" s="284">
        <f>IF($E$8="Yes",IFERROR(BLD_AB!O38,0),0)+IF($F$8="Yes",IFERROR(BLD_AC!O38,0),0)+IF($G$8="Yes",IFERROR(BLD_BT!O38,0),0)+IF($H$8="Yes",IFERROR(BLD_CH!O38,0),0)+IF($I$8="Yes",IFERROR(BLD_CC!O38,0),0)+IF($J$8="Yes",IFERROR(BLD_EA!O38,0),0)+IF($K$8="Yes",IFERROR(BLD_EE!O38,0),0)+IF($L$8="Yes",IFERROR(BLD_JP!O38,0),0)+IF($M$8="Yes",IFERROR(BLD_MH!O38,0),0)+IF($N$8="Yes",IFERROR(BLD_MM!O38,0),0)+IF($O$8="Yes",IFERROR(BLD_NT!O38,0),0)+IF($P$8="Yes",IFERROR(BLD_NG!O38,0),0)+IF($Q$8="Yes",IFERROR(BLD_RG!O38,0),0)+IF($R$8="Yes",IFERROR(BLD_AS!O38,0),0)+IF($S$8="Yes",IFERROR(BLD_PS!O38,0),0)+IF($T$8="Yes",IFERROR(BLD_PM!O38,0),0)+IF($U$8="Yes",IFERROR(BLD_CD!O38,0),0)</f>
        <v>941086.22682048008</v>
      </c>
      <c r="P38" s="284">
        <f>IF($E$8="Yes",IFERROR(BLD_AB!P38,0),0)+IF($F$8="Yes",IFERROR(BLD_AC!P38,0),0)+IF($G$8="Yes",IFERROR(BLD_BT!P38,0),0)+IF($H$8="Yes",IFERROR(BLD_CH!P38,0),0)+IF($I$8="Yes",IFERROR(BLD_CC!P38,0),0)+IF($J$8="Yes",IFERROR(BLD_EA!P38,0),0)+IF($K$8="Yes",IFERROR(BLD_EE!P38,0),0)+IF($L$8="Yes",IFERROR(BLD_JP!P38,0),0)+IF($M$8="Yes",IFERROR(BLD_MH!P38,0),0)+IF($N$8="Yes",IFERROR(BLD_MM!P38,0),0)+IF($O$8="Yes",IFERROR(BLD_NT!P38,0),0)+IF($P$8="Yes",IFERROR(BLD_NG!P38,0),0)+IF($Q$8="Yes",IFERROR(BLD_RG!P38,0),0)+IF($R$8="Yes",IFERROR(BLD_AS!P38,0),0)+IF($S$8="Yes",IFERROR(BLD_PS!P38,0),0)+IF($T$8="Yes",IFERROR(BLD_PM!P38,0),0)+IF($U$8="Yes",IFERROR(BLD_CD!P38,0),0)</f>
        <v>964613.3824909922</v>
      </c>
      <c r="Q38" s="284">
        <f>IF($E$8="Yes",IFERROR(BLD_AB!Q38,0),0)+IF($F$8="Yes",IFERROR(BLD_AC!Q38,0),0)+IF($G$8="Yes",IFERROR(BLD_BT!Q38,0),0)+IF($H$8="Yes",IFERROR(BLD_CH!Q38,0),0)+IF($I$8="Yes",IFERROR(BLD_CC!Q38,0),0)+IF($J$8="Yes",IFERROR(BLD_EA!Q38,0),0)+IF($K$8="Yes",IFERROR(BLD_EE!Q38,0),0)+IF($L$8="Yes",IFERROR(BLD_JP!Q38,0),0)+IF($M$8="Yes",IFERROR(BLD_MH!Q38,0),0)+IF($N$8="Yes",IFERROR(BLD_MM!Q38,0),0)+IF($O$8="Yes",IFERROR(BLD_NT!Q38,0),0)+IF($P$8="Yes",IFERROR(BLD_NG!Q38,0),0)+IF($Q$8="Yes",IFERROR(BLD_RG!Q38,0),0)+IF($R$8="Yes",IFERROR(BLD_AS!Q38,0),0)+IF($S$8="Yes",IFERROR(BLD_PS!Q38,0),0)+IF($T$8="Yes",IFERROR(BLD_PM!Q38,0),0)+IF($U$8="Yes",IFERROR(BLD_CD!Q38,0),0)</f>
        <v>988728.71705326706</v>
      </c>
      <c r="R38" s="284">
        <f>IF($E$8="Yes",IFERROR(BLD_AB!R38,0),0)+IF($F$8="Yes",IFERROR(BLD_AC!R38,0),0)+IF($G$8="Yes",IFERROR(BLD_BT!R38,0),0)+IF($H$8="Yes",IFERROR(BLD_CH!R38,0),0)+IF($I$8="Yes",IFERROR(BLD_CC!R38,0),0)+IF($J$8="Yes",IFERROR(BLD_EA!R38,0),0)+IF($K$8="Yes",IFERROR(BLD_EE!R38,0),0)+IF($L$8="Yes",IFERROR(BLD_JP!R38,0),0)+IF($M$8="Yes",IFERROR(BLD_MH!R38,0),0)+IF($N$8="Yes",IFERROR(BLD_MM!R38,0),0)+IF($O$8="Yes",IFERROR(BLD_NT!R38,0),0)+IF($P$8="Yes",IFERROR(BLD_NG!R38,0),0)+IF($Q$8="Yes",IFERROR(BLD_RG!R38,0),0)+IF($R$8="Yes",IFERROR(BLD_AS!R38,0),0)+IF($S$8="Yes",IFERROR(BLD_PS!R38,0),0)+IF($T$8="Yes",IFERROR(BLD_PM!R38,0),0)+IF($U$8="Yes",IFERROR(BLD_CD!R38,0),0)</f>
        <v>1013446.9349795984</v>
      </c>
      <c r="S38" s="284">
        <f>IF($E$8="Yes",IFERROR(BLD_AB!S38,0),0)+IF($F$8="Yes",IFERROR(BLD_AC!S38,0),0)+IF($G$8="Yes",IFERROR(BLD_BT!S38,0),0)+IF($H$8="Yes",IFERROR(BLD_CH!S38,0),0)+IF($I$8="Yes",IFERROR(BLD_CC!S38,0),0)+IF($J$8="Yes",IFERROR(BLD_EA!S38,0),0)+IF($K$8="Yes",IFERROR(BLD_EE!S38,0),0)+IF($L$8="Yes",IFERROR(BLD_JP!S38,0),0)+IF($M$8="Yes",IFERROR(BLD_MH!S38,0),0)+IF($N$8="Yes",IFERROR(BLD_MM!S38,0),0)+IF($O$8="Yes",IFERROR(BLD_NT!S38,0),0)+IF($P$8="Yes",IFERROR(BLD_NG!S38,0),0)+IF($Q$8="Yes",IFERROR(BLD_RG!S38,0),0)+IF($R$8="Yes",IFERROR(BLD_AS!S38,0),0)+IF($S$8="Yes",IFERROR(BLD_PS!S38,0),0)+IF($T$8="Yes",IFERROR(BLD_PM!S38,0),0)+IF($U$8="Yes",IFERROR(BLD_CD!S38,0),0)</f>
        <v>1038783.1083540882</v>
      </c>
      <c r="T38" s="284">
        <f>IF($E$8="Yes",IFERROR(BLD_AB!T38,0),0)+IF($F$8="Yes",IFERROR(BLD_AC!T38,0),0)+IF($G$8="Yes",IFERROR(BLD_BT!T38,0),0)+IF($H$8="Yes",IFERROR(BLD_CH!T38,0),0)+IF($I$8="Yes",IFERROR(BLD_CC!T38,0),0)+IF($J$8="Yes",IFERROR(BLD_EA!T38,0),0)+IF($K$8="Yes",IFERROR(BLD_EE!T38,0),0)+IF($L$8="Yes",IFERROR(BLD_JP!T38,0),0)+IF($M$8="Yes",IFERROR(BLD_MH!T38,0),0)+IF($N$8="Yes",IFERROR(BLD_MM!T38,0),0)+IF($O$8="Yes",IFERROR(BLD_NT!T38,0),0)+IF($P$8="Yes",IFERROR(BLD_NG!T38,0),0)+IF($Q$8="Yes",IFERROR(BLD_RG!T38,0),0)+IF($R$8="Yes",IFERROR(BLD_AS!T38,0),0)+IF($S$8="Yes",IFERROR(BLD_PS!T38,0),0)+IF($T$8="Yes",IFERROR(BLD_PM!T38,0),0)+IF($U$8="Yes",IFERROR(BLD_CD!T38,0),0)</f>
        <v>1064752.6860629406</v>
      </c>
      <c r="U38" s="284">
        <f>IF($E$8="Yes",IFERROR(BLD_AB!U38,0),0)+IF($F$8="Yes",IFERROR(BLD_AC!U38,0),0)+IF($G$8="Yes",IFERROR(BLD_BT!U38,0),0)+IF($H$8="Yes",IFERROR(BLD_CH!U38,0),0)+IF($I$8="Yes",IFERROR(BLD_CC!U38,0),0)+IF($J$8="Yes",IFERROR(BLD_EA!U38,0),0)+IF($K$8="Yes",IFERROR(BLD_EE!U38,0),0)+IF($L$8="Yes",IFERROR(BLD_JP!U38,0),0)+IF($M$8="Yes",IFERROR(BLD_MH!U38,0),0)+IF($N$8="Yes",IFERROR(BLD_MM!U38,0),0)+IF($O$8="Yes",IFERROR(BLD_NT!U38,0),0)+IF($P$8="Yes",IFERROR(BLD_NG!U38,0),0)+IF($Q$8="Yes",IFERROR(BLD_RG!U38,0),0)+IF($R$8="Yes",IFERROR(BLD_AS!U38,0),0)+IF($S$8="Yes",IFERROR(BLD_PS!U38,0),0)+IF($T$8="Yes",IFERROR(BLD_PM!U38,0),0)+IF($U$8="Yes",IFERROR(BLD_CD!U38,0),0)</f>
        <v>1091371.5032145139</v>
      </c>
      <c r="V38" s="284">
        <f>IF($E$8="Yes",IFERROR(BLD_AB!V38,0),0)+IF($F$8="Yes",IFERROR(BLD_AC!V38,0),0)+IF($G$8="Yes",IFERROR(BLD_BT!V38,0),0)+IF($H$8="Yes",IFERROR(BLD_CH!V38,0),0)+IF($I$8="Yes",IFERROR(BLD_CC!V38,0),0)+IF($J$8="Yes",IFERROR(BLD_EA!V38,0),0)+IF($K$8="Yes",IFERROR(BLD_EE!V38,0),0)+IF($L$8="Yes",IFERROR(BLD_JP!V38,0),0)+IF($M$8="Yes",IFERROR(BLD_MH!V38,0),0)+IF($N$8="Yes",IFERROR(BLD_MM!V38,0),0)+IF($O$8="Yes",IFERROR(BLD_NT!V38,0),0)+IF($P$8="Yes",IFERROR(BLD_NG!V38,0),0)+IF($Q$8="Yes",IFERROR(BLD_RG!V38,0),0)+IF($R$8="Yes",IFERROR(BLD_AS!V38,0),0)+IF($S$8="Yes",IFERROR(BLD_PS!V38,0),0)+IF($T$8="Yes",IFERROR(BLD_PM!V38,0),0)+IF($U$8="Yes",IFERROR(BLD_CD!V38,0),0)</f>
        <v>1118655.7907948766</v>
      </c>
      <c r="W38" s="284">
        <f>IF($E$8="Yes",IFERROR(BLD_AB!W38,0),0)+IF($F$8="Yes",IFERROR(BLD_AC!W38,0),0)+IF($G$8="Yes",IFERROR(BLD_BT!W38,0),0)+IF($H$8="Yes",IFERROR(BLD_CH!W38,0),0)+IF($I$8="Yes",IFERROR(BLD_CC!W38,0),0)+IF($J$8="Yes",IFERROR(BLD_EA!W38,0),0)+IF($K$8="Yes",IFERROR(BLD_EE!W38,0),0)+IF($L$8="Yes",IFERROR(BLD_JP!W38,0),0)+IF($M$8="Yes",IFERROR(BLD_MH!W38,0),0)+IF($N$8="Yes",IFERROR(BLD_MM!W38,0),0)+IF($O$8="Yes",IFERROR(BLD_NT!W38,0),0)+IF($P$8="Yes",IFERROR(BLD_NG!W38,0),0)+IF($Q$8="Yes",IFERROR(BLD_RG!W38,0),0)+IF($R$8="Yes",IFERROR(BLD_AS!W38,0),0)+IF($S$8="Yes",IFERROR(BLD_PS!W38,0),0)+IF($T$8="Yes",IFERROR(BLD_PM!W38,0),0)+IF($U$8="Yes",IFERROR(BLD_CD!W38,0),0)</f>
        <v>1146622.1855647485</v>
      </c>
      <c r="X38" s="284">
        <f>IF($E$8="Yes",IFERROR(BLD_AB!X38,0),0)+IF($F$8="Yes",IFERROR(BLD_AC!X38,0),0)+IF($G$8="Yes",IFERROR(BLD_BT!X38,0),0)+IF($H$8="Yes",IFERROR(BLD_CH!X38,0),0)+IF($I$8="Yes",IFERROR(BLD_CC!X38,0),0)+IF($J$8="Yes",IFERROR(BLD_EA!X38,0),0)+IF($K$8="Yes",IFERROR(BLD_EE!X38,0),0)+IF($L$8="Yes",IFERROR(BLD_JP!X38,0),0)+IF($M$8="Yes",IFERROR(BLD_MH!X38,0),0)+IF($N$8="Yes",IFERROR(BLD_MM!X38,0),0)+IF($O$8="Yes",IFERROR(BLD_NT!X38,0),0)+IF($P$8="Yes",IFERROR(BLD_NG!X38,0),0)+IF($Q$8="Yes",IFERROR(BLD_RG!X38,0),0)+IF($R$8="Yes",IFERROR(BLD_AS!X38,0),0)+IF($S$8="Yes",IFERROR(BLD_PS!X38,0),0)+IF($T$8="Yes",IFERROR(BLD_PM!X38,0),0)+IF($U$8="Yes",IFERROR(BLD_CD!X38,0),0)</f>
        <v>1175287.7402038672</v>
      </c>
      <c r="Y38" s="284">
        <f>IF($E$8="Yes",IFERROR(BLD_AB!Y38,0),0)+IF($F$8="Yes",IFERROR(BLD_AC!Y38,0),0)+IF($G$8="Yes",IFERROR(BLD_BT!Y38,0),0)+IF($H$8="Yes",IFERROR(BLD_CH!Y38,0),0)+IF($I$8="Yes",IFERROR(BLD_CC!Y38,0),0)+IF($J$8="Yes",IFERROR(BLD_EA!Y38,0),0)+IF($K$8="Yes",IFERROR(BLD_EE!Y38,0),0)+IF($L$8="Yes",IFERROR(BLD_JP!Y38,0),0)+IF($M$8="Yes",IFERROR(BLD_MH!Y38,0),0)+IF($N$8="Yes",IFERROR(BLD_MM!Y38,0),0)+IF($O$8="Yes",IFERROR(BLD_NT!Y38,0),0)+IF($P$8="Yes",IFERROR(BLD_NG!Y38,0),0)+IF($Q$8="Yes",IFERROR(BLD_RG!Y38,0),0)+IF($R$8="Yes",IFERROR(BLD_AS!Y38,0),0)+IF($S$8="Yes",IFERROR(BLD_PS!Y38,0),0)+IF($T$8="Yes",IFERROR(BLD_PM!Y38,0),0)+IF($U$8="Yes",IFERROR(BLD_CD!Y38,0),0)</f>
        <v>1204669.9337089639</v>
      </c>
    </row>
    <row r="39" spans="3:25" ht="13.15" customHeight="1">
      <c r="C39" s="14" t="s">
        <v>355</v>
      </c>
      <c r="E39" s="286">
        <f t="shared" ref="E39:Y39" si="5">IFERROR(SUM(E27:E38),0)</f>
        <v>3129586</v>
      </c>
      <c r="F39" s="286">
        <f t="shared" si="5"/>
        <v>3254769.44</v>
      </c>
      <c r="G39" s="286">
        <f t="shared" si="5"/>
        <v>3575754.4576000003</v>
      </c>
      <c r="H39" s="286">
        <f t="shared" si="5"/>
        <v>5313241.1105280006</v>
      </c>
      <c r="I39" s="286">
        <f t="shared" si="5"/>
        <v>6260967.1971225599</v>
      </c>
      <c r="J39" s="286">
        <f t="shared" si="5"/>
        <v>6511405.8850074643</v>
      </c>
      <c r="K39" s="286">
        <f t="shared" si="5"/>
        <v>6771862.1204077629</v>
      </c>
      <c r="L39" s="286">
        <f t="shared" si="5"/>
        <v>7042736.6052240711</v>
      </c>
      <c r="M39" s="286">
        <f t="shared" si="5"/>
        <v>7324446.0694330381</v>
      </c>
      <c r="N39" s="286">
        <f t="shared" si="5"/>
        <v>7617423.9122103592</v>
      </c>
      <c r="O39" s="286">
        <f t="shared" si="5"/>
        <v>7807859.5100156181</v>
      </c>
      <c r="P39" s="286">
        <f t="shared" si="5"/>
        <v>8003055.9977660077</v>
      </c>
      <c r="Q39" s="286">
        <f t="shared" si="5"/>
        <v>8203132.3977101585</v>
      </c>
      <c r="R39" s="286">
        <f t="shared" si="5"/>
        <v>8408210.7076529097</v>
      </c>
      <c r="S39" s="286">
        <f t="shared" si="5"/>
        <v>8618415.9753442314</v>
      </c>
      <c r="T39" s="286">
        <f t="shared" si="5"/>
        <v>8833876.3747278396</v>
      </c>
      <c r="U39" s="286">
        <f t="shared" si="5"/>
        <v>9054723.2840960342</v>
      </c>
      <c r="V39" s="286">
        <f t="shared" si="5"/>
        <v>9281091.3661984354</v>
      </c>
      <c r="W39" s="286">
        <f t="shared" si="5"/>
        <v>9513118.6503533944</v>
      </c>
      <c r="X39" s="286">
        <f t="shared" si="5"/>
        <v>9750946.6166122295</v>
      </c>
      <c r="Y39" s="286">
        <f t="shared" si="5"/>
        <v>9994720.2820275333</v>
      </c>
    </row>
    <row r="40" spans="3:25" ht="7.15" customHeight="1"/>
    <row r="41" spans="3:25" ht="13.5" customHeight="1">
      <c r="C41" s="15" t="s">
        <v>356</v>
      </c>
      <c r="D41" s="8"/>
      <c r="E41" s="287">
        <f t="shared" ref="E41:Y41" si="6">IFERROR(E24-E39,0)</f>
        <v>3494047.5999999996</v>
      </c>
      <c r="F41" s="287">
        <f t="shared" si="6"/>
        <v>3753817.3190800003</v>
      </c>
      <c r="G41" s="287">
        <f t="shared" si="6"/>
        <v>8967753.7836253271</v>
      </c>
      <c r="H41" s="287">
        <f t="shared" si="6"/>
        <v>11326506.598970361</v>
      </c>
      <c r="I41" s="287">
        <f t="shared" si="6"/>
        <v>12918347.808461078</v>
      </c>
      <c r="J41" s="287">
        <f t="shared" si="6"/>
        <v>13048197.544687849</v>
      </c>
      <c r="K41" s="287">
        <f t="shared" si="6"/>
        <v>13175635.501881454</v>
      </c>
      <c r="L41" s="287">
        <f t="shared" si="6"/>
        <v>13300413.093510928</v>
      </c>
      <c r="M41" s="287">
        <f t="shared" si="6"/>
        <v>13422268.747276664</v>
      </c>
      <c r="N41" s="287">
        <f t="shared" si="6"/>
        <v>13540927.324833531</v>
      </c>
      <c r="O41" s="287">
        <f t="shared" si="6"/>
        <v>13770360.875769153</v>
      </c>
      <c r="P41" s="287">
        <f t="shared" si="6"/>
        <v>13838537.119734451</v>
      </c>
      <c r="Q41" s="287">
        <f t="shared" si="6"/>
        <v>14075292.582140319</v>
      </c>
      <c r="R41" s="287">
        <f t="shared" si="6"/>
        <v>14315782.771794574</v>
      </c>
      <c r="S41" s="287">
        <f t="shared" si="6"/>
        <v>14560057.373692209</v>
      </c>
      <c r="T41" s="287">
        <f t="shared" si="6"/>
        <v>14808166.441289315</v>
      </c>
      <c r="U41" s="287">
        <f t="shared" si="6"/>
        <v>15060160.388241468</v>
      </c>
      <c r="V41" s="287">
        <f t="shared" si="6"/>
        <v>15316089.979585823</v>
      </c>
      <c r="W41" s="287">
        <f t="shared" si="6"/>
        <v>15576006.322346546</v>
      </c>
      <c r="X41" s="287">
        <f t="shared" si="6"/>
        <v>15839960.855541714</v>
      </c>
      <c r="Y41" s="287">
        <f t="shared" si="6"/>
        <v>16108005.339569485</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18"/>
      <c r="F43" s="288" t="str">
        <f t="shared" ref="F43:Y43" si="7">IF($E$2="No Refi","",IF(F$12=$E$2,"REFI YR.",""))</f>
        <v/>
      </c>
      <c r="G43" s="289" t="str">
        <f t="shared" si="7"/>
        <v/>
      </c>
      <c r="H43" s="288" t="str">
        <f t="shared" si="7"/>
        <v/>
      </c>
      <c r="I43" s="288" t="str">
        <f t="shared" si="7"/>
        <v/>
      </c>
      <c r="J43" s="288" t="str">
        <f t="shared" si="7"/>
        <v/>
      </c>
      <c r="K43" s="288" t="str">
        <f t="shared" si="7"/>
        <v/>
      </c>
      <c r="L43" s="288" t="str">
        <f t="shared" si="7"/>
        <v/>
      </c>
      <c r="M43" s="288" t="str">
        <f t="shared" si="7"/>
        <v/>
      </c>
      <c r="N43" s="288" t="str">
        <f t="shared" si="7"/>
        <v/>
      </c>
      <c r="O43" s="288" t="str">
        <f t="shared" si="7"/>
        <v/>
      </c>
      <c r="P43" s="288" t="str">
        <f t="shared" si="7"/>
        <v/>
      </c>
      <c r="Q43" s="288" t="str">
        <f t="shared" si="7"/>
        <v/>
      </c>
      <c r="R43" s="288" t="str">
        <f t="shared" si="7"/>
        <v/>
      </c>
      <c r="S43" s="288" t="str">
        <f t="shared" si="7"/>
        <v/>
      </c>
      <c r="T43" s="288" t="str">
        <f t="shared" si="7"/>
        <v/>
      </c>
      <c r="U43" s="288" t="str">
        <f t="shared" si="7"/>
        <v/>
      </c>
      <c r="V43" s="288" t="str">
        <f t="shared" si="7"/>
        <v/>
      </c>
      <c r="W43" s="288" t="str">
        <f t="shared" si="7"/>
        <v/>
      </c>
      <c r="X43" s="288" t="str">
        <f t="shared" si="7"/>
        <v/>
      </c>
      <c r="Y43" s="288" t="str">
        <f t="shared" si="7"/>
        <v/>
      </c>
    </row>
    <row r="44" spans="3:25" ht="13.5" customHeight="1">
      <c r="C44" s="10" t="s">
        <v>358</v>
      </c>
      <c r="E44" s="283">
        <f>IF($E$8="Yes",IFERROR(BLD_AB!E44,0),0)+IF($F$8="Yes",IFERROR(BLD_AC!E44,0),0)+IF($G$8="Yes",IFERROR(BLD_BT!E44,0),0)+IF($H$8="Yes",IFERROR(BLD_CH!E44,0),0)+IF($I$8="Yes",IFERROR(BLD_CC!E44,0),0)+IF($J$8="Yes",IFERROR(BLD_EA!E44,0),0)+IF($K$8="Yes",IFERROR(BLD_EE!E44,0),0)+IF($L$8="Yes",IFERROR(BLD_JP!E44,0),0)+IF($M$8="Yes",IFERROR(BLD_MH!E44,0),0)+IF($N$8="Yes",IFERROR(BLD_MM!E44,0),0)+IF($O$8="Yes",IFERROR(BLD_NT!E44,0),0)+IF($P$8="Yes",IFERROR(BLD_NG!E44,0),0)+IF($Q$8="Yes",IFERROR(BLD_RG!E44,0),0)+IF($R$8="Yes",IFERROR(BLD_AS!E44,0),0)+IF($S$8="Yes",IFERROR(BLD_PS!E44,0),0)+IF($T$8="Yes",IFERROR(BLD_PM!E44,0),0)+IF($U$8="Yes",IFERROR(BLD_CD!E44,0),0)</f>
        <v>70050</v>
      </c>
      <c r="F44" s="283">
        <f>IF($E$8="Yes",IFERROR(BLD_AB!F44,0),0)+IF($F$8="Yes",IFERROR(BLD_AC!F44,0),0)+IF($G$8="Yes",IFERROR(BLD_BT!F44,0),0)+IF($H$8="Yes",IFERROR(BLD_CH!F44,0),0)+IF($I$8="Yes",IFERROR(BLD_CC!F44,0),0)+IF($J$8="Yes",IFERROR(BLD_EA!F44,0),0)+IF($K$8="Yes",IFERROR(BLD_EE!F44,0),0)+IF($L$8="Yes",IFERROR(BLD_JP!F44,0),0)+IF($M$8="Yes",IFERROR(BLD_MH!F44,0),0)+IF($N$8="Yes",IFERROR(BLD_MM!F44,0),0)+IF($O$8="Yes",IFERROR(BLD_NT!F44,0),0)+IF($P$8="Yes",IFERROR(BLD_NG!F44,0),0)+IF($Q$8="Yes",IFERROR(BLD_RG!F44,0),0)+IF($R$8="Yes",IFERROR(BLD_AS!F44,0),0)+IF($S$8="Yes",IFERROR(BLD_PS!F44,0),0)+IF($T$8="Yes",IFERROR(BLD_PM!F44,0),0)+IF($U$8="Yes",IFERROR(BLD_CD!F44,0),0)</f>
        <v>71451</v>
      </c>
      <c r="G44" s="283">
        <f>IF($E$8="Yes",IFERROR(BLD_AB!G44,0),0)+IF($F$8="Yes",IFERROR(BLD_AC!G44,0),0)+IF($G$8="Yes",IFERROR(BLD_BT!G44,0),0)+IF($H$8="Yes",IFERROR(BLD_CH!G44,0),0)+IF($I$8="Yes",IFERROR(BLD_CC!G44,0),0)+IF($J$8="Yes",IFERROR(BLD_EA!G44,0),0)+IF($K$8="Yes",IFERROR(BLD_EE!G44,0),0)+IF($L$8="Yes",IFERROR(BLD_JP!G44,0),0)+IF($M$8="Yes",IFERROR(BLD_MH!G44,0),0)+IF($N$8="Yes",IFERROR(BLD_MM!G44,0),0)+IF($O$8="Yes",IFERROR(BLD_NT!G44,0),0)+IF($P$8="Yes",IFERROR(BLD_NG!G44,0),0)+IF($Q$8="Yes",IFERROR(BLD_RG!G44,0),0)+IF($R$8="Yes",IFERROR(BLD_AS!G44,0),0)+IF($S$8="Yes",IFERROR(BLD_PS!G44,0),0)+IF($T$8="Yes",IFERROR(BLD_PM!G44,0),0)+IF($U$8="Yes",IFERROR(BLD_CD!G44,0),0)</f>
        <v>124067.70000000001</v>
      </c>
      <c r="H44" s="283">
        <f>IF($E$8="Yes",IFERROR(BLD_AB!H44,0),0)+IF($F$8="Yes",IFERROR(BLD_AC!H44,0),0)+IF($G$8="Yes",IFERROR(BLD_BT!H44,0),0)+IF($H$8="Yes",IFERROR(BLD_CH!H44,0),0)+IF($I$8="Yes",IFERROR(BLD_CC!H44,0),0)+IF($J$8="Yes",IFERROR(BLD_EA!H44,0),0)+IF($K$8="Yes",IFERROR(BLD_EE!H44,0),0)+IF($L$8="Yes",IFERROR(BLD_JP!H44,0),0)+IF($M$8="Yes",IFERROR(BLD_MH!H44,0),0)+IF($N$8="Yes",IFERROR(BLD_MM!H44,0),0)+IF($O$8="Yes",IFERROR(BLD_NT!H44,0),0)+IF($P$8="Yes",IFERROR(BLD_NG!H44,0),0)+IF($Q$8="Yes",IFERROR(BLD_RG!H44,0),0)+IF($R$8="Yes",IFERROR(BLD_AS!H44,0),0)+IF($S$8="Yes",IFERROR(BLD_PS!H44,0),0)+IF($T$8="Yes",IFERROR(BLD_PM!H44,0),0)+IF($U$8="Yes",IFERROR(BLD_CD!H44,0),0)</f>
        <v>156475.11959999998</v>
      </c>
      <c r="I44" s="283">
        <f>IF($E$8="Yes",IFERROR(BLD_AB!I44,0),0)+IF($F$8="Yes",IFERROR(BLD_AC!I44,0),0)+IF($G$8="Yes",IFERROR(BLD_BT!I44,0),0)+IF($H$8="Yes",IFERROR(BLD_CH!I44,0),0)+IF($I$8="Yes",IFERROR(BLD_CC!I44,0),0)+IF($J$8="Yes",IFERROR(BLD_EA!I44,0),0)+IF($K$8="Yes",IFERROR(BLD_EE!I44,0),0)+IF($L$8="Yes",IFERROR(BLD_JP!I44,0),0)+IF($M$8="Yes",IFERROR(BLD_MH!I44,0),0)+IF($N$8="Yes",IFERROR(BLD_MM!I44,0),0)+IF($O$8="Yes",IFERROR(BLD_NT!I44,0),0)+IF($P$8="Yes",IFERROR(BLD_NG!I44,0),0)+IF($Q$8="Yes",IFERROR(BLD_RG!I44,0),0)+IF($R$8="Yes",IFERROR(BLD_AS!I44,0),0)+IF($S$8="Yes",IFERROR(BLD_PS!I44,0),0)+IF($T$8="Yes",IFERROR(BLD_PM!I44,0),0)+IF($U$8="Yes",IFERROR(BLD_CD!I44,0),0)</f>
        <v>174704.550624</v>
      </c>
      <c r="J44" s="283">
        <f>IF($E$8="Yes",IFERROR(BLD_AB!J44,0),0)+IF($F$8="Yes",IFERROR(BLD_AC!J44,0),0)+IF($G$8="Yes",IFERROR(BLD_BT!J44,0),0)+IF($H$8="Yes",IFERROR(BLD_CH!J44,0),0)+IF($I$8="Yes",IFERROR(BLD_CC!J44,0),0)+IF($J$8="Yes",IFERROR(BLD_EA!J44,0),0)+IF($K$8="Yes",IFERROR(BLD_EE!J44,0),0)+IF($L$8="Yes",IFERROR(BLD_JP!J44,0),0)+IF($M$8="Yes",IFERROR(BLD_MH!J44,0),0)+IF($N$8="Yes",IFERROR(BLD_MM!J44,0),0)+IF($O$8="Yes",IFERROR(BLD_NT!J44,0),0)+IF($P$8="Yes",IFERROR(BLD_NG!J44,0),0)+IF($Q$8="Yes",IFERROR(BLD_RG!J44,0),0)+IF($R$8="Yes",IFERROR(BLD_AS!J44,0),0)+IF($S$8="Yes",IFERROR(BLD_PS!J44,0),0)+IF($T$8="Yes",IFERROR(BLD_PM!J44,0),0)+IF($U$8="Yes",IFERROR(BLD_CD!J44,0),0)</f>
        <v>178198.64163648</v>
      </c>
      <c r="K44" s="283">
        <f>IF($E$8="Yes",IFERROR(BLD_AB!K44,0),0)+IF($F$8="Yes",IFERROR(BLD_AC!K44,0),0)+IF($G$8="Yes",IFERROR(BLD_BT!K44,0),0)+IF($H$8="Yes",IFERROR(BLD_CH!K44,0),0)+IF($I$8="Yes",IFERROR(BLD_CC!K44,0),0)+IF($J$8="Yes",IFERROR(BLD_EA!K44,0),0)+IF($K$8="Yes",IFERROR(BLD_EE!K44,0),0)+IF($L$8="Yes",IFERROR(BLD_JP!K44,0),0)+IF($M$8="Yes",IFERROR(BLD_MH!K44,0),0)+IF($N$8="Yes",IFERROR(BLD_MM!K44,0),0)+IF($O$8="Yes",IFERROR(BLD_NT!K44,0),0)+IF($P$8="Yes",IFERROR(BLD_NG!K44,0),0)+IF($Q$8="Yes",IFERROR(BLD_RG!K44,0),0)+IF($R$8="Yes",IFERROR(BLD_AS!K44,0),0)+IF($S$8="Yes",IFERROR(BLD_PS!K44,0),0)+IF($T$8="Yes",IFERROR(BLD_PM!K44,0),0)+IF($U$8="Yes",IFERROR(BLD_CD!K44,0),0)</f>
        <v>181762.6144692096</v>
      </c>
      <c r="L44" s="283">
        <f>IF($E$8="Yes",IFERROR(BLD_AB!L44,0),0)+IF($F$8="Yes",IFERROR(BLD_AC!L44,0),0)+IF($G$8="Yes",IFERROR(BLD_BT!L44,0),0)+IF($H$8="Yes",IFERROR(BLD_CH!L44,0),0)+IF($I$8="Yes",IFERROR(BLD_CC!L44,0),0)+IF($J$8="Yes",IFERROR(BLD_EA!L44,0),0)+IF($K$8="Yes",IFERROR(BLD_EE!L44,0),0)+IF($L$8="Yes",IFERROR(BLD_JP!L44,0),0)+IF($M$8="Yes",IFERROR(BLD_MH!L44,0),0)+IF($N$8="Yes",IFERROR(BLD_MM!L44,0),0)+IF($O$8="Yes",IFERROR(BLD_NT!L44,0),0)+IF($P$8="Yes",IFERROR(BLD_NG!L44,0),0)+IF($Q$8="Yes",IFERROR(BLD_RG!L44,0),0)+IF($R$8="Yes",IFERROR(BLD_AS!L44,0),0)+IF($S$8="Yes",IFERROR(BLD_PS!L44,0),0)+IF($T$8="Yes",IFERROR(BLD_PM!L44,0),0)+IF($U$8="Yes",IFERROR(BLD_CD!L44,0),0)</f>
        <v>185397.86675859377</v>
      </c>
      <c r="M44" s="283">
        <f>IF($E$8="Yes",IFERROR(BLD_AB!M44,0),0)+IF($F$8="Yes",IFERROR(BLD_AC!M44,0),0)+IF($G$8="Yes",IFERROR(BLD_BT!M44,0),0)+IF($H$8="Yes",IFERROR(BLD_CH!M44,0),0)+IF($I$8="Yes",IFERROR(BLD_CC!M44,0),0)+IF($J$8="Yes",IFERROR(BLD_EA!M44,0),0)+IF($K$8="Yes",IFERROR(BLD_EE!M44,0),0)+IF($L$8="Yes",IFERROR(BLD_JP!M44,0),0)+IF($M$8="Yes",IFERROR(BLD_MH!M44,0),0)+IF($N$8="Yes",IFERROR(BLD_MM!M44,0),0)+IF($O$8="Yes",IFERROR(BLD_NT!M44,0),0)+IF($P$8="Yes",IFERROR(BLD_NG!M44,0),0)+IF($Q$8="Yes",IFERROR(BLD_RG!M44,0),0)+IF($R$8="Yes",IFERROR(BLD_AS!M44,0),0)+IF($S$8="Yes",IFERROR(BLD_PS!M44,0),0)+IF($T$8="Yes",IFERROR(BLD_PM!M44,0),0)+IF($U$8="Yes",IFERROR(BLD_CD!M44,0),0)</f>
        <v>189105.82409376567</v>
      </c>
      <c r="N44" s="283">
        <f>IF($E$8="Yes",IFERROR(BLD_AB!N44,0),0)+IF($F$8="Yes",IFERROR(BLD_AC!N44,0),0)+IF($G$8="Yes",IFERROR(BLD_BT!N44,0),0)+IF($H$8="Yes",IFERROR(BLD_CH!N44,0),0)+IF($I$8="Yes",IFERROR(BLD_CC!N44,0),0)+IF($J$8="Yes",IFERROR(BLD_EA!N44,0),0)+IF($K$8="Yes",IFERROR(BLD_EE!N44,0),0)+IF($L$8="Yes",IFERROR(BLD_JP!N44,0),0)+IF($M$8="Yes",IFERROR(BLD_MH!N44,0),0)+IF($N$8="Yes",IFERROR(BLD_MM!N44,0),0)+IF($O$8="Yes",IFERROR(BLD_NT!N44,0),0)+IF($P$8="Yes",IFERROR(BLD_NG!N44,0),0)+IF($Q$8="Yes",IFERROR(BLD_RG!N44,0),0)+IF($R$8="Yes",IFERROR(BLD_AS!N44,0),0)+IF($S$8="Yes",IFERROR(BLD_PS!N44,0),0)+IF($T$8="Yes",IFERROR(BLD_PM!N44,0),0)+IF($U$8="Yes",IFERROR(BLD_CD!N44,0),0)</f>
        <v>192887.94057564097</v>
      </c>
      <c r="O44" s="283">
        <f>IF($E$8="Yes",IFERROR(BLD_AB!O44,0),0)+IF($F$8="Yes",IFERROR(BLD_AC!O44,0),0)+IF($G$8="Yes",IFERROR(BLD_BT!O44,0),0)+IF($H$8="Yes",IFERROR(BLD_CH!O44,0),0)+IF($I$8="Yes",IFERROR(BLD_CC!O44,0),0)+IF($J$8="Yes",IFERROR(BLD_EA!O44,0),0)+IF($K$8="Yes",IFERROR(BLD_EE!O44,0),0)+IF($L$8="Yes",IFERROR(BLD_JP!O44,0),0)+IF($M$8="Yes",IFERROR(BLD_MH!O44,0),0)+IF($N$8="Yes",IFERROR(BLD_MM!O44,0),0)+IF($O$8="Yes",IFERROR(BLD_NT!O44,0),0)+IF($P$8="Yes",IFERROR(BLD_NG!O44,0),0)+IF($Q$8="Yes",IFERROR(BLD_RG!O44,0),0)+IF($R$8="Yes",IFERROR(BLD_AS!O44,0),0)+IF($S$8="Yes",IFERROR(BLD_PS!O44,0),0)+IF($T$8="Yes",IFERROR(BLD_PM!O44,0),0)+IF($U$8="Yes",IFERROR(BLD_CD!O44,0),0)</f>
        <v>196745.69938715379</v>
      </c>
      <c r="P44" s="283">
        <f>IF($E$8="Yes",IFERROR(BLD_AB!P44,0),0)+IF($F$8="Yes",IFERROR(BLD_AC!P44,0),0)+IF($G$8="Yes",IFERROR(BLD_BT!P44,0),0)+IF($H$8="Yes",IFERROR(BLD_CH!P44,0),0)+IF($I$8="Yes",IFERROR(BLD_CC!P44,0),0)+IF($J$8="Yes",IFERROR(BLD_EA!P44,0),0)+IF($K$8="Yes",IFERROR(BLD_EE!P44,0),0)+IF($L$8="Yes",IFERROR(BLD_JP!P44,0),0)+IF($M$8="Yes",IFERROR(BLD_MH!P44,0),0)+IF($N$8="Yes",IFERROR(BLD_MM!P44,0),0)+IF($O$8="Yes",IFERROR(BLD_NT!P44,0),0)+IF($P$8="Yes",IFERROR(BLD_NG!P44,0),0)+IF($Q$8="Yes",IFERROR(BLD_RG!P44,0),0)+IF($R$8="Yes",IFERROR(BLD_AS!P44,0),0)+IF($S$8="Yes",IFERROR(BLD_PS!P44,0),0)+IF($T$8="Yes",IFERROR(BLD_PM!P44,0),0)+IF($U$8="Yes",IFERROR(BLD_CD!P44,0),0)</f>
        <v>200680.61337489681</v>
      </c>
      <c r="Q44" s="283">
        <f>IF($E$8="Yes",IFERROR(BLD_AB!Q44,0),0)+IF($F$8="Yes",IFERROR(BLD_AC!Q44,0),0)+IF($G$8="Yes",IFERROR(BLD_BT!Q44,0),0)+IF($H$8="Yes",IFERROR(BLD_CH!Q44,0),0)+IF($I$8="Yes",IFERROR(BLD_CC!Q44,0),0)+IF($J$8="Yes",IFERROR(BLD_EA!Q44,0),0)+IF($K$8="Yes",IFERROR(BLD_EE!Q44,0),0)+IF($L$8="Yes",IFERROR(BLD_JP!Q44,0),0)+IF($M$8="Yes",IFERROR(BLD_MH!Q44,0),0)+IF($N$8="Yes",IFERROR(BLD_MM!Q44,0),0)+IF($O$8="Yes",IFERROR(BLD_NT!Q44,0),0)+IF($P$8="Yes",IFERROR(BLD_NG!Q44,0),0)+IF($Q$8="Yes",IFERROR(BLD_RG!Q44,0),0)+IF($R$8="Yes",IFERROR(BLD_AS!Q44,0),0)+IF($S$8="Yes",IFERROR(BLD_PS!Q44,0),0)+IF($T$8="Yes",IFERROR(BLD_PM!Q44,0),0)+IF($U$8="Yes",IFERROR(BLD_CD!Q44,0),0)</f>
        <v>204694.2256423948</v>
      </c>
      <c r="R44" s="283">
        <f>IF($E$8="Yes",IFERROR(BLD_AB!R44,0),0)+IF($F$8="Yes",IFERROR(BLD_AC!R44,0),0)+IF($G$8="Yes",IFERROR(BLD_BT!R44,0),0)+IF($H$8="Yes",IFERROR(BLD_CH!R44,0),0)+IF($I$8="Yes",IFERROR(BLD_CC!R44,0),0)+IF($J$8="Yes",IFERROR(BLD_EA!R44,0),0)+IF($K$8="Yes",IFERROR(BLD_EE!R44,0),0)+IF($L$8="Yes",IFERROR(BLD_JP!R44,0),0)+IF($M$8="Yes",IFERROR(BLD_MH!R44,0),0)+IF($N$8="Yes",IFERROR(BLD_MM!R44,0),0)+IF($O$8="Yes",IFERROR(BLD_NT!R44,0),0)+IF($P$8="Yes",IFERROR(BLD_NG!R44,0),0)+IF($Q$8="Yes",IFERROR(BLD_RG!R44,0),0)+IF($R$8="Yes",IFERROR(BLD_AS!R44,0),0)+IF($S$8="Yes",IFERROR(BLD_PS!R44,0),0)+IF($T$8="Yes",IFERROR(BLD_PM!R44,0),0)+IF($U$8="Yes",IFERROR(BLD_CD!R44,0),0)</f>
        <v>208788.1101552427</v>
      </c>
      <c r="S44" s="283">
        <f>IF($E$8="Yes",IFERROR(BLD_AB!S44,0),0)+IF($F$8="Yes",IFERROR(BLD_AC!S44,0),0)+IF($G$8="Yes",IFERROR(BLD_BT!S44,0),0)+IF($H$8="Yes",IFERROR(BLD_CH!S44,0),0)+IF($I$8="Yes",IFERROR(BLD_CC!S44,0),0)+IF($J$8="Yes",IFERROR(BLD_EA!S44,0),0)+IF($K$8="Yes",IFERROR(BLD_EE!S44,0),0)+IF($L$8="Yes",IFERROR(BLD_JP!S44,0),0)+IF($M$8="Yes",IFERROR(BLD_MH!S44,0),0)+IF($N$8="Yes",IFERROR(BLD_MM!S44,0),0)+IF($O$8="Yes",IFERROR(BLD_NT!S44,0),0)+IF($P$8="Yes",IFERROR(BLD_NG!S44,0),0)+IF($Q$8="Yes",IFERROR(BLD_RG!S44,0),0)+IF($R$8="Yes",IFERROR(BLD_AS!S44,0),0)+IF($S$8="Yes",IFERROR(BLD_PS!S44,0),0)+IF($T$8="Yes",IFERROR(BLD_PM!S44,0),0)+IF($U$8="Yes",IFERROR(BLD_CD!S44,0),0)</f>
        <v>212963.87235834755</v>
      </c>
      <c r="T44" s="283">
        <f>IF($E$8="Yes",IFERROR(BLD_AB!T44,0),0)+IF($F$8="Yes",IFERROR(BLD_AC!T44,0),0)+IF($G$8="Yes",IFERROR(BLD_BT!T44,0),0)+IF($H$8="Yes",IFERROR(BLD_CH!T44,0),0)+IF($I$8="Yes",IFERROR(BLD_CC!T44,0),0)+IF($J$8="Yes",IFERROR(BLD_EA!T44,0),0)+IF($K$8="Yes",IFERROR(BLD_EE!T44,0),0)+IF($L$8="Yes",IFERROR(BLD_JP!T44,0),0)+IF($M$8="Yes",IFERROR(BLD_MH!T44,0),0)+IF($N$8="Yes",IFERROR(BLD_MM!T44,0),0)+IF($O$8="Yes",IFERROR(BLD_NT!T44,0),0)+IF($P$8="Yes",IFERROR(BLD_NG!T44,0),0)+IF($Q$8="Yes",IFERROR(BLD_RG!T44,0),0)+IF($R$8="Yes",IFERROR(BLD_AS!T44,0),0)+IF($S$8="Yes",IFERROR(BLD_PS!T44,0),0)+IF($T$8="Yes",IFERROR(BLD_PM!T44,0),0)+IF($U$8="Yes",IFERROR(BLD_CD!T44,0),0)</f>
        <v>217223.14980551446</v>
      </c>
      <c r="U44" s="283">
        <f>IF($E$8="Yes",IFERROR(BLD_AB!U44,0),0)+IF($F$8="Yes",IFERROR(BLD_AC!U44,0),0)+IF($G$8="Yes",IFERROR(BLD_BT!U44,0),0)+IF($H$8="Yes",IFERROR(BLD_CH!U44,0),0)+IF($I$8="Yes",IFERROR(BLD_CC!U44,0),0)+IF($J$8="Yes",IFERROR(BLD_EA!U44,0),0)+IF($K$8="Yes",IFERROR(BLD_EE!U44,0),0)+IF($L$8="Yes",IFERROR(BLD_JP!U44,0),0)+IF($M$8="Yes",IFERROR(BLD_MH!U44,0),0)+IF($N$8="Yes",IFERROR(BLD_MM!U44,0),0)+IF($O$8="Yes",IFERROR(BLD_NT!U44,0),0)+IF($P$8="Yes",IFERROR(BLD_NG!U44,0),0)+IF($Q$8="Yes",IFERROR(BLD_RG!U44,0),0)+IF($R$8="Yes",IFERROR(BLD_AS!U44,0),0)+IF($S$8="Yes",IFERROR(BLD_PS!U44,0),0)+IF($T$8="Yes",IFERROR(BLD_PM!U44,0),0)+IF($U$8="Yes",IFERROR(BLD_CD!U44,0),0)</f>
        <v>221567.61280162481</v>
      </c>
      <c r="V44" s="283">
        <f>IF($E$8="Yes",IFERROR(BLD_AB!V44,0),0)+IF($F$8="Yes",IFERROR(BLD_AC!V44,0),0)+IF($G$8="Yes",IFERROR(BLD_BT!V44,0),0)+IF($H$8="Yes",IFERROR(BLD_CH!V44,0),0)+IF($I$8="Yes",IFERROR(BLD_CC!V44,0),0)+IF($J$8="Yes",IFERROR(BLD_EA!V44,0),0)+IF($K$8="Yes",IFERROR(BLD_EE!V44,0),0)+IF($L$8="Yes",IFERROR(BLD_JP!V44,0),0)+IF($M$8="Yes",IFERROR(BLD_MH!V44,0),0)+IF($N$8="Yes",IFERROR(BLD_MM!V44,0),0)+IF($O$8="Yes",IFERROR(BLD_NT!V44,0),0)+IF($P$8="Yes",IFERROR(BLD_NG!V44,0),0)+IF($Q$8="Yes",IFERROR(BLD_RG!V44,0),0)+IF($R$8="Yes",IFERROR(BLD_AS!V44,0),0)+IF($S$8="Yes",IFERROR(BLD_PS!V44,0),0)+IF($T$8="Yes",IFERROR(BLD_PM!V44,0),0)+IF($U$8="Yes",IFERROR(BLD_CD!V44,0),0)</f>
        <v>225998.9650576573</v>
      </c>
      <c r="W44" s="283">
        <f>IF($E$8="Yes",IFERROR(BLD_AB!W44,0),0)+IF($F$8="Yes",IFERROR(BLD_AC!W44,0),0)+IF($G$8="Yes",IFERROR(BLD_BT!W44,0),0)+IF($H$8="Yes",IFERROR(BLD_CH!W44,0),0)+IF($I$8="Yes",IFERROR(BLD_CC!W44,0),0)+IF($J$8="Yes",IFERROR(BLD_EA!W44,0),0)+IF($K$8="Yes",IFERROR(BLD_EE!W44,0),0)+IF($L$8="Yes",IFERROR(BLD_JP!W44,0),0)+IF($M$8="Yes",IFERROR(BLD_MH!W44,0),0)+IF($N$8="Yes",IFERROR(BLD_MM!W44,0),0)+IF($O$8="Yes",IFERROR(BLD_NT!W44,0),0)+IF($P$8="Yes",IFERROR(BLD_NG!W44,0),0)+IF($Q$8="Yes",IFERROR(BLD_RG!W44,0),0)+IF($R$8="Yes",IFERROR(BLD_AS!W44,0),0)+IF($S$8="Yes",IFERROR(BLD_PS!W44,0),0)+IF($T$8="Yes",IFERROR(BLD_PM!W44,0),0)+IF($U$8="Yes",IFERROR(BLD_CD!W44,0),0)</f>
        <v>230518.94435881046</v>
      </c>
      <c r="X44" s="283">
        <f>IF($E$8="Yes",IFERROR(BLD_AB!X44,0),0)+IF($F$8="Yes",IFERROR(BLD_AC!X44,0),0)+IF($G$8="Yes",IFERROR(BLD_BT!X44,0),0)+IF($H$8="Yes",IFERROR(BLD_CH!X44,0),0)+IF($I$8="Yes",IFERROR(BLD_CC!X44,0),0)+IF($J$8="Yes",IFERROR(BLD_EA!X44,0),0)+IF($K$8="Yes",IFERROR(BLD_EE!X44,0),0)+IF($L$8="Yes",IFERROR(BLD_JP!X44,0),0)+IF($M$8="Yes",IFERROR(BLD_MH!X44,0),0)+IF($N$8="Yes",IFERROR(BLD_MM!X44,0),0)+IF($O$8="Yes",IFERROR(BLD_NT!X44,0),0)+IF($P$8="Yes",IFERROR(BLD_NG!X44,0),0)+IF($Q$8="Yes",IFERROR(BLD_RG!X44,0),0)+IF($R$8="Yes",IFERROR(BLD_AS!X44,0),0)+IF($S$8="Yes",IFERROR(BLD_PS!X44,0),0)+IF($T$8="Yes",IFERROR(BLD_PM!X44,0),0)+IF($U$8="Yes",IFERROR(BLD_CD!X44,0),0)</f>
        <v>235129.32324598663</v>
      </c>
      <c r="Y44" s="283">
        <f>IF($E$8="Yes",IFERROR(BLD_AB!Y44,0),0)+IF($F$8="Yes",IFERROR(BLD_AC!Y44,0),0)+IF($G$8="Yes",IFERROR(BLD_BT!Y44,0),0)+IF($H$8="Yes",IFERROR(BLD_CH!Y44,0),0)+IF($I$8="Yes",IFERROR(BLD_CC!Y44,0),0)+IF($J$8="Yes",IFERROR(BLD_EA!Y44,0),0)+IF($K$8="Yes",IFERROR(BLD_EE!Y44,0),0)+IF($L$8="Yes",IFERROR(BLD_JP!Y44,0),0)+IF($M$8="Yes",IFERROR(BLD_MH!Y44,0),0)+IF($N$8="Yes",IFERROR(BLD_MM!Y44,0),0)+IF($O$8="Yes",IFERROR(BLD_NT!Y44,0),0)+IF($P$8="Yes",IFERROR(BLD_NG!Y44,0),0)+IF($Q$8="Yes",IFERROR(BLD_RG!Y44,0),0)+IF($R$8="Yes",IFERROR(BLD_AS!Y44,0),0)+IF($S$8="Yes",IFERROR(BLD_PS!Y44,0),0)+IF($T$8="Yes",IFERROR(BLD_PM!Y44,0),0)+IF($U$8="Yes",IFERROR(BLD_CD!Y44,0),0)</f>
        <v>239831.90971090642</v>
      </c>
    </row>
    <row r="45" spans="3:25" ht="13.5" customHeight="1">
      <c r="C45" s="15" t="s">
        <v>359</v>
      </c>
      <c r="D45" s="8"/>
      <c r="E45" s="287">
        <f t="shared" ref="E45:Y45" si="8">IFERROR(E41-E44,0)</f>
        <v>3423997.5999999996</v>
      </c>
      <c r="F45" s="287">
        <f t="shared" si="8"/>
        <v>3682366.3190800003</v>
      </c>
      <c r="G45" s="287">
        <f t="shared" si="8"/>
        <v>8843686.0836253278</v>
      </c>
      <c r="H45" s="287">
        <f t="shared" si="8"/>
        <v>11170031.479370361</v>
      </c>
      <c r="I45" s="287">
        <f t="shared" si="8"/>
        <v>12743643.257837078</v>
      </c>
      <c r="J45" s="287">
        <f t="shared" si="8"/>
        <v>12869998.903051369</v>
      </c>
      <c r="K45" s="287">
        <f t="shared" si="8"/>
        <v>12993872.887412244</v>
      </c>
      <c r="L45" s="287">
        <f t="shared" si="8"/>
        <v>13115015.226752333</v>
      </c>
      <c r="M45" s="287">
        <f t="shared" si="8"/>
        <v>13233162.923182897</v>
      </c>
      <c r="N45" s="287">
        <f t="shared" si="8"/>
        <v>13348039.38425789</v>
      </c>
      <c r="O45" s="287">
        <f t="shared" si="8"/>
        <v>13573615.176382</v>
      </c>
      <c r="P45" s="287">
        <f t="shared" si="8"/>
        <v>13637856.506359555</v>
      </c>
      <c r="Q45" s="287">
        <f t="shared" si="8"/>
        <v>13870598.356497925</v>
      </c>
      <c r="R45" s="287">
        <f t="shared" si="8"/>
        <v>14106994.661639331</v>
      </c>
      <c r="S45" s="287">
        <f t="shared" si="8"/>
        <v>14347093.501333861</v>
      </c>
      <c r="T45" s="287">
        <f t="shared" si="8"/>
        <v>14590943.291483801</v>
      </c>
      <c r="U45" s="287">
        <f t="shared" si="8"/>
        <v>14838592.775439844</v>
      </c>
      <c r="V45" s="287">
        <f t="shared" si="8"/>
        <v>15090091.014528165</v>
      </c>
      <c r="W45" s="287">
        <f t="shared" si="8"/>
        <v>15345487.377987735</v>
      </c>
      <c r="X45" s="287">
        <f t="shared" si="8"/>
        <v>15604831.532295726</v>
      </c>
      <c r="Y45" s="287">
        <f t="shared" si="8"/>
        <v>15868173.429858578</v>
      </c>
    </row>
    <row r="46" spans="3:25" ht="7.15" customHeight="1"/>
    <row r="47" spans="3:25" ht="13.5" customHeight="1">
      <c r="C47" s="5" t="s">
        <v>360</v>
      </c>
      <c r="E47" s="288" t="str">
        <f t="shared" ref="E47:Y47" si="9">IF($E$2="No Refi","",IF(E$12=$E$2,"REFI YR.",""))</f>
        <v/>
      </c>
      <c r="F47" s="288" t="str">
        <f t="shared" si="9"/>
        <v/>
      </c>
      <c r="G47" s="289" t="str">
        <f t="shared" si="9"/>
        <v/>
      </c>
      <c r="H47" s="288" t="str">
        <f t="shared" si="9"/>
        <v/>
      </c>
      <c r="I47" s="288" t="str">
        <f t="shared" si="9"/>
        <v/>
      </c>
      <c r="J47" s="288" t="str">
        <f t="shared" si="9"/>
        <v/>
      </c>
      <c r="K47" s="288" t="str">
        <f t="shared" si="9"/>
        <v/>
      </c>
      <c r="L47" s="288" t="str">
        <f t="shared" si="9"/>
        <v/>
      </c>
      <c r="M47" s="288" t="str">
        <f t="shared" si="9"/>
        <v/>
      </c>
      <c r="N47" s="288" t="str">
        <f t="shared" si="9"/>
        <v/>
      </c>
      <c r="O47" s="288" t="str">
        <f t="shared" si="9"/>
        <v/>
      </c>
      <c r="P47" s="288" t="str">
        <f t="shared" si="9"/>
        <v/>
      </c>
      <c r="Q47" s="288" t="str">
        <f t="shared" si="9"/>
        <v/>
      </c>
      <c r="R47" s="288" t="str">
        <f t="shared" si="9"/>
        <v/>
      </c>
      <c r="S47" s="288" t="str">
        <f t="shared" si="9"/>
        <v/>
      </c>
      <c r="T47" s="288" t="str">
        <f t="shared" si="9"/>
        <v/>
      </c>
      <c r="U47" s="288" t="str">
        <f t="shared" si="9"/>
        <v/>
      </c>
      <c r="V47" s="288" t="str">
        <f t="shared" si="9"/>
        <v/>
      </c>
      <c r="W47" s="288" t="str">
        <f t="shared" si="9"/>
        <v/>
      </c>
      <c r="X47" s="288" t="str">
        <f t="shared" si="9"/>
        <v/>
      </c>
      <c r="Y47" s="288" t="str">
        <f t="shared" si="9"/>
        <v/>
      </c>
    </row>
    <row r="48" spans="3:25" s="20" customFormat="1" ht="13.5" customHeight="1">
      <c r="C48" s="19" t="s">
        <v>361</v>
      </c>
      <c r="D48" s="19"/>
      <c r="E48" s="286">
        <f>IF($E$8="Yes",IFERROR(BLD_AB!E48,0),0)+IF($F$8="Yes",IFERROR(BLD_AC!E48,0),0)+IF($G$8="Yes",IFERROR(BLD_BT!E48,0),0)+IF($H$8="Yes",IFERROR(BLD_CH!E48,0),0)+IF($I$8="Yes",IFERROR(BLD_CC!E48,0),0)+IF($J$8="Yes",IFERROR(BLD_EA!E48,0),0)+IF($K$8="Yes",IFERROR(BLD_EE!E48,0),0)+IF($L$8="Yes",IFERROR(BLD_JP!E48,0),0)+IF($M$8="Yes",IFERROR(BLD_MH!E48,0),0)+IF($N$8="Yes",IFERROR(BLD_MM!E48,0),0)+IF($O$8="Yes",IFERROR(BLD_NT!E48,0),0)+IF($P$8="Yes",IFERROR(BLD_NG!E48,0),0)+IF($Q$8="Yes",IFERROR(BLD_RG!E48,0),0)+IF($R$8="Yes",IFERROR(BLD_AS!E48,0),0)+IF($S$8="Yes",IFERROR(BLD_PS!E48,0),0)+IF($T$8="Yes",IFERROR(BLD_PM!E48,0),0)+IF($U$8="Yes",IFERROR(BLD_CD!E48,0),0)</f>
        <v>15773997.03203162</v>
      </c>
      <c r="F48" s="286">
        <f>IF($E$8="Yes",IFERROR(BLD_AB!F48,0),0)+IF($F$8="Yes",IFERROR(BLD_AC!F48,0),0)+IF($G$8="Yes",IFERROR(BLD_BT!F48,0),0)+IF($H$8="Yes",IFERROR(BLD_CH!F48,0),0)+IF($I$8="Yes",IFERROR(BLD_CC!F48,0),0)+IF($J$8="Yes",IFERROR(BLD_EA!F48,0),0)+IF($K$8="Yes",IFERROR(BLD_EE!F48,0),0)+IF($L$8="Yes",IFERROR(BLD_JP!F48,0),0)+IF($M$8="Yes",IFERROR(BLD_MH!F48,0),0)+IF($N$8="Yes",IFERROR(BLD_MM!F48,0),0)+IF($O$8="Yes",IFERROR(BLD_NT!F48,0),0)+IF($P$8="Yes",IFERROR(BLD_NG!F48,0),0)+IF($Q$8="Yes",IFERROR(BLD_RG!F48,0),0)+IF($R$8="Yes",IFERROR(BLD_AS!F48,0),0)+IF($S$8="Yes",IFERROR(BLD_PS!F48,0),0)+IF($T$8="Yes",IFERROR(BLD_PM!F48,0),0)+IF($U$8="Yes",IFERROR(BLD_CD!F48,0),0)</f>
        <v>15395195.24808039</v>
      </c>
      <c r="G48" s="286">
        <f>IF($E$8="Yes",IFERROR(BLD_AB!G48,0),0)+IF($F$8="Yes",IFERROR(BLD_AC!G48,0),0)+IF($G$8="Yes",IFERROR(BLD_BT!G48,0),0)+IF($H$8="Yes",IFERROR(BLD_CH!G48,0),0)+IF($I$8="Yes",IFERROR(BLD_CC!G48,0),0)+IF($J$8="Yes",IFERROR(BLD_EA!G48,0),0)+IF($K$8="Yes",IFERROR(BLD_EE!G48,0),0)+IF($L$8="Yes",IFERROR(BLD_JP!G48,0),0)+IF($M$8="Yes",IFERROR(BLD_MH!G48,0),0)+IF($N$8="Yes",IFERROR(BLD_MM!G48,0),0)+IF($O$8="Yes",IFERROR(BLD_NT!G48,0),0)+IF($P$8="Yes",IFERROR(BLD_NG!G48,0),0)+IF($Q$8="Yes",IFERROR(BLD_RG!G48,0),0)+IF($R$8="Yes",IFERROR(BLD_AS!G48,0),0)+IF($S$8="Yes",IFERROR(BLD_PS!G48,0),0)+IF($T$8="Yes",IFERROR(BLD_PM!G48,0),0)+IF($U$8="Yes",IFERROR(BLD_CD!G48,0),0)</f>
        <v>14972480.078304525</v>
      </c>
      <c r="H48" s="286">
        <f>IF($E$8="Yes",IFERROR(BLD_AB!H48,0),0)+IF($F$8="Yes",IFERROR(BLD_AC!H48,0),0)+IF($G$8="Yes",IFERROR(BLD_BT!H48,0),0)+IF($H$8="Yes",IFERROR(BLD_CH!H48,0),0)+IF($I$8="Yes",IFERROR(BLD_CC!H48,0),0)+IF($J$8="Yes",IFERROR(BLD_EA!H48,0),0)+IF($K$8="Yes",IFERROR(BLD_EE!H48,0),0)+IF($L$8="Yes",IFERROR(BLD_JP!H48,0),0)+IF($M$8="Yes",IFERROR(BLD_MH!H48,0),0)+IF($N$8="Yes",IFERROR(BLD_MM!H48,0),0)+IF($O$8="Yes",IFERROR(BLD_NT!H48,0),0)+IF($P$8="Yes",IFERROR(BLD_NG!H48,0),0)+IF($Q$8="Yes",IFERROR(BLD_RG!H48,0),0)+IF($R$8="Yes",IFERROR(BLD_AS!H48,0),0)+IF($S$8="Yes",IFERROR(BLD_PS!H48,0),0)+IF($T$8="Yes",IFERROR(BLD_PM!H48,0),0)+IF($U$8="Yes",IFERROR(BLD_CD!H48,0),0)</f>
        <v>10725104.15131183</v>
      </c>
      <c r="I48" s="286">
        <f>IF($E$8="Yes",IFERROR(BLD_AB!I48,0),0)+IF($F$8="Yes",IFERROR(BLD_AC!I48,0),0)+IF($G$8="Yes",IFERROR(BLD_BT!I48,0),0)+IF($H$8="Yes",IFERROR(BLD_CH!I48,0),0)+IF($I$8="Yes",IFERROR(BLD_CC!I48,0),0)+IF($J$8="Yes",IFERROR(BLD_EA!I48,0),0)+IF($K$8="Yes",IFERROR(BLD_EE!I48,0),0)+IF($L$8="Yes",IFERROR(BLD_JP!I48,0),0)+IF($M$8="Yes",IFERROR(BLD_MH!I48,0),0)+IF($N$8="Yes",IFERROR(BLD_MM!I48,0),0)+IF($O$8="Yes",IFERROR(BLD_NT!I48,0),0)+IF($P$8="Yes",IFERROR(BLD_NG!I48,0),0)+IF($Q$8="Yes",IFERROR(BLD_RG!I48,0),0)+IF($R$8="Yes",IFERROR(BLD_AS!I48,0),0)+IF($S$8="Yes",IFERROR(BLD_PS!I48,0),0)+IF($T$8="Yes",IFERROR(BLD_PM!I48,0),0)+IF($U$8="Yes",IFERROR(BLD_CD!I48,0),0)</f>
        <v>8090648.3969786596</v>
      </c>
      <c r="J48" s="286">
        <f>IF($E$8="Yes",IFERROR(BLD_AB!J48,0),0)+IF($F$8="Yes",IFERROR(BLD_AC!J48,0),0)+IF($G$8="Yes",IFERROR(BLD_BT!J48,0),0)+IF($H$8="Yes",IFERROR(BLD_CH!J48,0),0)+IF($I$8="Yes",IFERROR(BLD_CC!J48,0),0)+IF($J$8="Yes",IFERROR(BLD_EA!J48,0),0)+IF($K$8="Yes",IFERROR(BLD_EE!J48,0),0)+IF($L$8="Yes",IFERROR(BLD_JP!J48,0),0)+IF($M$8="Yes",IFERROR(BLD_MH!J48,0),0)+IF($N$8="Yes",IFERROR(BLD_MM!J48,0),0)+IF($O$8="Yes",IFERROR(BLD_NT!J48,0),0)+IF($P$8="Yes",IFERROR(BLD_NG!J48,0),0)+IF($Q$8="Yes",IFERROR(BLD_RG!J48,0),0)+IF($R$8="Yes",IFERROR(BLD_AS!J48,0),0)+IF($S$8="Yes",IFERROR(BLD_PS!J48,0),0)+IF($T$8="Yes",IFERROR(BLD_PM!J48,0),0)+IF($U$8="Yes",IFERROR(BLD_CD!J48,0),0)</f>
        <v>7038269.5659003453</v>
      </c>
      <c r="K48" s="286">
        <f>IF($E$8="Yes",IFERROR(BLD_AB!K48,0),0)+IF($F$8="Yes",IFERROR(BLD_AC!K48,0),0)+IF($G$8="Yes",IFERROR(BLD_BT!K48,0),0)+IF($H$8="Yes",IFERROR(BLD_CH!K48,0),0)+IF($I$8="Yes",IFERROR(BLD_CC!K48,0),0)+IF($J$8="Yes",IFERROR(BLD_EA!K48,0),0)+IF($K$8="Yes",IFERROR(BLD_EE!K48,0),0)+IF($L$8="Yes",IFERROR(BLD_JP!K48,0),0)+IF($M$8="Yes",IFERROR(BLD_MH!K48,0),0)+IF($N$8="Yes",IFERROR(BLD_MM!K48,0),0)+IF($O$8="Yes",IFERROR(BLD_NT!K48,0),0)+IF($P$8="Yes",IFERROR(BLD_NG!K48,0),0)+IF($Q$8="Yes",IFERROR(BLD_RG!K48,0),0)+IF($R$8="Yes",IFERROR(BLD_AS!K48,0),0)+IF($S$8="Yes",IFERROR(BLD_PS!K48,0),0)+IF($T$8="Yes",IFERROR(BLD_PM!K48,0),0)+IF($U$8="Yes",IFERROR(BLD_CD!K48,0),0)</f>
        <v>7038269.5659003453</v>
      </c>
      <c r="L48" s="286">
        <f>IF($E$8="Yes",IFERROR(BLD_AB!L48,0),0)+IF($F$8="Yes",IFERROR(BLD_AC!L48,0),0)+IF($G$8="Yes",IFERROR(BLD_BT!L48,0),0)+IF($H$8="Yes",IFERROR(BLD_CH!L48,0),0)+IF($I$8="Yes",IFERROR(BLD_CC!L48,0),0)+IF($J$8="Yes",IFERROR(BLD_EA!L48,0),0)+IF($K$8="Yes",IFERROR(BLD_EE!L48,0),0)+IF($L$8="Yes",IFERROR(BLD_JP!L48,0),0)+IF($M$8="Yes",IFERROR(BLD_MH!L48,0),0)+IF($N$8="Yes",IFERROR(BLD_MM!L48,0),0)+IF($O$8="Yes",IFERROR(BLD_NT!L48,0),0)+IF($P$8="Yes",IFERROR(BLD_NG!L48,0),0)+IF($Q$8="Yes",IFERROR(BLD_RG!L48,0),0)+IF($R$8="Yes",IFERROR(BLD_AS!L48,0),0)+IF($S$8="Yes",IFERROR(BLD_PS!L48,0),0)+IF($T$8="Yes",IFERROR(BLD_PM!L48,0),0)+IF($U$8="Yes",IFERROR(BLD_CD!L48,0),0)</f>
        <v>6893528.242005555</v>
      </c>
      <c r="M48" s="286">
        <f>IF($E$8="Yes",IFERROR(BLD_AB!M48,0),0)+IF($F$8="Yes",IFERROR(BLD_AC!M48,0),0)+IF($G$8="Yes",IFERROR(BLD_BT!M48,0),0)+IF($H$8="Yes",IFERROR(BLD_CH!M48,0),0)+IF($I$8="Yes",IFERROR(BLD_CC!M48,0),0)+IF($J$8="Yes",IFERROR(BLD_EA!M48,0),0)+IF($K$8="Yes",IFERROR(BLD_EE!M48,0),0)+IF($L$8="Yes",IFERROR(BLD_JP!M48,0),0)+IF($M$8="Yes",IFERROR(BLD_MH!M48,0),0)+IF($N$8="Yes",IFERROR(BLD_MM!M48,0),0)+IF($O$8="Yes",IFERROR(BLD_NT!M48,0),0)+IF($P$8="Yes",IFERROR(BLD_NG!M48,0),0)+IF($Q$8="Yes",IFERROR(BLD_RG!M48,0),0)+IF($R$8="Yes",IFERROR(BLD_AS!M48,0),0)+IF($S$8="Yes",IFERROR(BLD_PS!M48,0),0)+IF($T$8="Yes",IFERROR(BLD_PM!M48,0),0)+IF($U$8="Yes",IFERROR(BLD_CD!M48,0),0)</f>
        <v>6747123.2859003451</v>
      </c>
      <c r="N48" s="286">
        <f>IF($E$8="Yes",IFERROR(BLD_AB!N48,0),0)+IF($F$8="Yes",IFERROR(BLD_AC!N48,0),0)+IF($G$8="Yes",IFERROR(BLD_BT!N48,0),0)+IF($H$8="Yes",IFERROR(BLD_CH!N48,0),0)+IF($I$8="Yes",IFERROR(BLD_CC!N48,0),0)+IF($J$8="Yes",IFERROR(BLD_EA!N48,0),0)+IF($K$8="Yes",IFERROR(BLD_EE!N48,0),0)+IF($L$8="Yes",IFERROR(BLD_JP!N48,0),0)+IF($M$8="Yes",IFERROR(BLD_MH!N48,0),0)+IF($N$8="Yes",IFERROR(BLD_MM!N48,0),0)+IF($O$8="Yes",IFERROR(BLD_NT!N48,0),0)+IF($P$8="Yes",IFERROR(BLD_NG!N48,0),0)+IF($Q$8="Yes",IFERROR(BLD_RG!N48,0),0)+IF($R$8="Yes",IFERROR(BLD_AS!N48,0),0)+IF($S$8="Yes",IFERROR(BLD_PS!N48,0),0)+IF($T$8="Yes",IFERROR(BLD_PM!N48,0),0)+IF($U$8="Yes",IFERROR(BLD_CD!N48,0),0)</f>
        <v>6622574.785645484</v>
      </c>
      <c r="O48" s="286">
        <f>IF($E$8="Yes",IFERROR(BLD_AB!O48,0),0)+IF($F$8="Yes",IFERROR(BLD_AC!O48,0),0)+IF($G$8="Yes",IFERROR(BLD_BT!O48,0),0)+IF($H$8="Yes",IFERROR(BLD_CH!O48,0),0)+IF($I$8="Yes",IFERROR(BLD_CC!O48,0),0)+IF($J$8="Yes",IFERROR(BLD_EA!O48,0),0)+IF($K$8="Yes",IFERROR(BLD_EE!O48,0),0)+IF($L$8="Yes",IFERROR(BLD_JP!O48,0),0)+IF($M$8="Yes",IFERROR(BLD_MH!O48,0),0)+IF($N$8="Yes",IFERROR(BLD_MM!O48,0),0)+IF($O$8="Yes",IFERROR(BLD_NT!O48,0),0)+IF($P$8="Yes",IFERROR(BLD_NG!O48,0),0)+IF($Q$8="Yes",IFERROR(BLD_RG!O48,0),0)+IF($R$8="Yes",IFERROR(BLD_AS!O48,0),0)+IF($S$8="Yes",IFERROR(BLD_PS!O48,0),0)+IF($T$8="Yes",IFERROR(BLD_PM!O48,0),0)+IF($U$8="Yes",IFERROR(BLD_CD!O48,0),0)</f>
        <v>6811656.6125063812</v>
      </c>
      <c r="P48" s="286">
        <f>IF($E$8="Yes",IFERROR(BLD_AB!P48,0),0)+IF($F$8="Yes",IFERROR(BLD_AC!P48,0),0)+IF($G$8="Yes",IFERROR(BLD_BT!P48,0),0)+IF($H$8="Yes",IFERROR(BLD_CH!P48,0),0)+IF($I$8="Yes",IFERROR(BLD_CC!P48,0),0)+IF($J$8="Yes",IFERROR(BLD_EA!P48,0),0)+IF($K$8="Yes",IFERROR(BLD_EE!P48,0),0)+IF($L$8="Yes",IFERROR(BLD_JP!P48,0),0)+IF($M$8="Yes",IFERROR(BLD_MH!P48,0),0)+IF($N$8="Yes",IFERROR(BLD_MM!P48,0),0)+IF($O$8="Yes",IFERROR(BLD_NT!P48,0),0)+IF($P$8="Yes",IFERROR(BLD_NG!P48,0),0)+IF($Q$8="Yes",IFERROR(BLD_RG!P48,0),0)+IF($R$8="Yes",IFERROR(BLD_AS!P48,0),0)+IF($S$8="Yes",IFERROR(BLD_PS!P48,0),0)+IF($T$8="Yes",IFERROR(BLD_PM!P48,0),0)+IF($U$8="Yes",IFERROR(BLD_CD!P48,0),0)</f>
        <v>6811656.6125063812</v>
      </c>
      <c r="Q48" s="286">
        <f>IF($E$8="Yes",IFERROR(BLD_AB!Q48,0),0)+IF($F$8="Yes",IFERROR(BLD_AC!Q48,0),0)+IF($G$8="Yes",IFERROR(BLD_BT!Q48,0),0)+IF($H$8="Yes",IFERROR(BLD_CH!Q48,0),0)+IF($I$8="Yes",IFERROR(BLD_CC!Q48,0),0)+IF($J$8="Yes",IFERROR(BLD_EA!Q48,0),0)+IF($K$8="Yes",IFERROR(BLD_EE!Q48,0),0)+IF($L$8="Yes",IFERROR(BLD_JP!Q48,0),0)+IF($M$8="Yes",IFERROR(BLD_MH!Q48,0),0)+IF($N$8="Yes",IFERROR(BLD_MM!Q48,0),0)+IF($O$8="Yes",IFERROR(BLD_NT!Q48,0),0)+IF($P$8="Yes",IFERROR(BLD_NG!Q48,0),0)+IF($Q$8="Yes",IFERROR(BLD_RG!Q48,0),0)+IF($R$8="Yes",IFERROR(BLD_AS!Q48,0),0)+IF($S$8="Yes",IFERROR(BLD_PS!Q48,0),0)+IF($T$8="Yes",IFERROR(BLD_PM!Q48,0),0)+IF($U$8="Yes",IFERROR(BLD_CD!Q48,0),0)</f>
        <v>6811656.6125063812</v>
      </c>
      <c r="R48" s="286">
        <f>IF($E$8="Yes",IFERROR(BLD_AB!R48,0),0)+IF($F$8="Yes",IFERROR(BLD_AC!R48,0),0)+IF($G$8="Yes",IFERROR(BLD_BT!R48,0),0)+IF($H$8="Yes",IFERROR(BLD_CH!R48,0),0)+IF($I$8="Yes",IFERROR(BLD_CC!R48,0),0)+IF($J$8="Yes",IFERROR(BLD_EA!R48,0),0)+IF($K$8="Yes",IFERROR(BLD_EE!R48,0),0)+IF($L$8="Yes",IFERROR(BLD_JP!R48,0),0)+IF($M$8="Yes",IFERROR(BLD_MH!R48,0),0)+IF($N$8="Yes",IFERROR(BLD_MM!R48,0),0)+IF($O$8="Yes",IFERROR(BLD_NT!R48,0),0)+IF($P$8="Yes",IFERROR(BLD_NG!R48,0),0)+IF($Q$8="Yes",IFERROR(BLD_RG!R48,0),0)+IF($R$8="Yes",IFERROR(BLD_AS!R48,0),0)+IF($S$8="Yes",IFERROR(BLD_PS!R48,0),0)+IF($T$8="Yes",IFERROR(BLD_PM!R48,0),0)+IF($U$8="Yes",IFERROR(BLD_CD!R48,0),0)</f>
        <v>6811656.6125063812</v>
      </c>
      <c r="S48" s="286">
        <f>IF($E$8="Yes",IFERROR(BLD_AB!S48,0),0)+IF($F$8="Yes",IFERROR(BLD_AC!S48,0),0)+IF($G$8="Yes",IFERROR(BLD_BT!S48,0),0)+IF($H$8="Yes",IFERROR(BLD_CH!S48,0),0)+IF($I$8="Yes",IFERROR(BLD_CC!S48,0),0)+IF($J$8="Yes",IFERROR(BLD_EA!S48,0),0)+IF($K$8="Yes",IFERROR(BLD_EE!S48,0),0)+IF($L$8="Yes",IFERROR(BLD_JP!S48,0),0)+IF($M$8="Yes",IFERROR(BLD_MH!S48,0),0)+IF($N$8="Yes",IFERROR(BLD_MM!S48,0),0)+IF($O$8="Yes",IFERROR(BLD_NT!S48,0),0)+IF($P$8="Yes",IFERROR(BLD_NG!S48,0),0)+IF($Q$8="Yes",IFERROR(BLD_RG!S48,0),0)+IF($R$8="Yes",IFERROR(BLD_AS!S48,0),0)+IF($S$8="Yes",IFERROR(BLD_PS!S48,0),0)+IF($T$8="Yes",IFERROR(BLD_PM!S48,0),0)+IF($U$8="Yes",IFERROR(BLD_CD!S48,0),0)</f>
        <v>6811656.6125063812</v>
      </c>
      <c r="T48" s="286">
        <f>IF($E$8="Yes",IFERROR(BLD_AB!T48,0),0)+IF($F$8="Yes",IFERROR(BLD_AC!T48,0),0)+IF($G$8="Yes",IFERROR(BLD_BT!T48,0),0)+IF($H$8="Yes",IFERROR(BLD_CH!T48,0),0)+IF($I$8="Yes",IFERROR(BLD_CC!T48,0),0)+IF($J$8="Yes",IFERROR(BLD_EA!T48,0),0)+IF($K$8="Yes",IFERROR(BLD_EE!T48,0),0)+IF($L$8="Yes",IFERROR(BLD_JP!T48,0),0)+IF($M$8="Yes",IFERROR(BLD_MH!T48,0),0)+IF($N$8="Yes",IFERROR(BLD_MM!T48,0),0)+IF($O$8="Yes",IFERROR(BLD_NT!T48,0),0)+IF($P$8="Yes",IFERROR(BLD_NG!T48,0),0)+IF($Q$8="Yes",IFERROR(BLD_RG!T48,0),0)+IF($R$8="Yes",IFERROR(BLD_AS!T48,0),0)+IF($S$8="Yes",IFERROR(BLD_PS!T48,0),0)+IF($T$8="Yes",IFERROR(BLD_PM!T48,0),0)+IF($U$8="Yes",IFERROR(BLD_CD!T48,0),0)</f>
        <v>6811656.6125063812</v>
      </c>
      <c r="U48" s="286">
        <f>IF($E$8="Yes",IFERROR(BLD_AB!U48,0),0)+IF($F$8="Yes",IFERROR(BLD_AC!U48,0),0)+IF($G$8="Yes",IFERROR(BLD_BT!U48,0),0)+IF($H$8="Yes",IFERROR(BLD_CH!U48,0),0)+IF($I$8="Yes",IFERROR(BLD_CC!U48,0),0)+IF($J$8="Yes",IFERROR(BLD_EA!U48,0),0)+IF($K$8="Yes",IFERROR(BLD_EE!U48,0),0)+IF($L$8="Yes",IFERROR(BLD_JP!U48,0),0)+IF($M$8="Yes",IFERROR(BLD_MH!U48,0),0)+IF($N$8="Yes",IFERROR(BLD_MM!U48,0),0)+IF($O$8="Yes",IFERROR(BLD_NT!U48,0),0)+IF($P$8="Yes",IFERROR(BLD_NG!U48,0),0)+IF($Q$8="Yes",IFERROR(BLD_RG!U48,0),0)+IF($R$8="Yes",IFERROR(BLD_AS!U48,0),0)+IF($S$8="Yes",IFERROR(BLD_PS!U48,0),0)+IF($T$8="Yes",IFERROR(BLD_PM!U48,0),0)+IF($U$8="Yes",IFERROR(BLD_CD!U48,0),0)</f>
        <v>6811656.6125063812</v>
      </c>
      <c r="V48" s="286">
        <f>IF($E$8="Yes",IFERROR(BLD_AB!V48,0),0)+IF($F$8="Yes",IFERROR(BLD_AC!V48,0),0)+IF($G$8="Yes",IFERROR(BLD_BT!V48,0),0)+IF($H$8="Yes",IFERROR(BLD_CH!V48,0),0)+IF($I$8="Yes",IFERROR(BLD_CC!V48,0),0)+IF($J$8="Yes",IFERROR(BLD_EA!V48,0),0)+IF($K$8="Yes",IFERROR(BLD_EE!V48,0),0)+IF($L$8="Yes",IFERROR(BLD_JP!V48,0),0)+IF($M$8="Yes",IFERROR(BLD_MH!V48,0),0)+IF($N$8="Yes",IFERROR(BLD_MM!V48,0),0)+IF($O$8="Yes",IFERROR(BLD_NT!V48,0),0)+IF($P$8="Yes",IFERROR(BLD_NG!V48,0),0)+IF($Q$8="Yes",IFERROR(BLD_RG!V48,0),0)+IF($R$8="Yes",IFERROR(BLD_AS!V48,0),0)+IF($S$8="Yes",IFERROR(BLD_PS!V48,0),0)+IF($T$8="Yes",IFERROR(BLD_PM!V48,0),0)+IF($U$8="Yes",IFERROR(BLD_CD!V48,0),0)</f>
        <v>6811656.6125063812</v>
      </c>
      <c r="W48" s="286">
        <f>IF($E$8="Yes",IFERROR(BLD_AB!W48,0),0)+IF($F$8="Yes",IFERROR(BLD_AC!W48,0),0)+IF($G$8="Yes",IFERROR(BLD_BT!W48,0),0)+IF($H$8="Yes",IFERROR(BLD_CH!W48,0),0)+IF($I$8="Yes",IFERROR(BLD_CC!W48,0),0)+IF($J$8="Yes",IFERROR(BLD_EA!W48,0),0)+IF($K$8="Yes",IFERROR(BLD_EE!W48,0),0)+IF($L$8="Yes",IFERROR(BLD_JP!W48,0),0)+IF($M$8="Yes",IFERROR(BLD_MH!W48,0),0)+IF($N$8="Yes",IFERROR(BLD_MM!W48,0),0)+IF($O$8="Yes",IFERROR(BLD_NT!W48,0),0)+IF($P$8="Yes",IFERROR(BLD_NG!W48,0),0)+IF($Q$8="Yes",IFERROR(BLD_RG!W48,0),0)+IF($R$8="Yes",IFERROR(BLD_AS!W48,0),0)+IF($S$8="Yes",IFERROR(BLD_PS!W48,0),0)+IF($T$8="Yes",IFERROR(BLD_PM!W48,0),0)+IF($U$8="Yes",IFERROR(BLD_CD!W48,0),0)</f>
        <v>6811656.6125063812</v>
      </c>
      <c r="X48" s="286">
        <f>IF($E$8="Yes",IFERROR(BLD_AB!X48,0),0)+IF($F$8="Yes",IFERROR(BLD_AC!X48,0),0)+IF($G$8="Yes",IFERROR(BLD_BT!X48,0),0)+IF($H$8="Yes",IFERROR(BLD_CH!X48,0),0)+IF($I$8="Yes",IFERROR(BLD_CC!X48,0),0)+IF($J$8="Yes",IFERROR(BLD_EA!X48,0),0)+IF($K$8="Yes",IFERROR(BLD_EE!X48,0),0)+IF($L$8="Yes",IFERROR(BLD_JP!X48,0),0)+IF($M$8="Yes",IFERROR(BLD_MH!X48,0),0)+IF($N$8="Yes",IFERROR(BLD_MM!X48,0),0)+IF($O$8="Yes",IFERROR(BLD_NT!X48,0),0)+IF($P$8="Yes",IFERROR(BLD_NG!X48,0),0)+IF($Q$8="Yes",IFERROR(BLD_RG!X48,0),0)+IF($R$8="Yes",IFERROR(BLD_AS!X48,0),0)+IF($S$8="Yes",IFERROR(BLD_PS!X48,0),0)+IF($T$8="Yes",IFERROR(BLD_PM!X48,0),0)+IF($U$8="Yes",IFERROR(BLD_CD!X48,0),0)</f>
        <v>6811656.6125063812</v>
      </c>
      <c r="Y48" s="286">
        <f>IF($E$8="Yes",IFERROR(BLD_AB!Y48,0),0)+IF($F$8="Yes",IFERROR(BLD_AC!Y48,0),0)+IF($G$8="Yes",IFERROR(BLD_BT!Y48,0),0)+IF($H$8="Yes",IFERROR(BLD_CH!Y48,0),0)+IF($I$8="Yes",IFERROR(BLD_CC!Y48,0),0)+IF($J$8="Yes",IFERROR(BLD_EA!Y48,0),0)+IF($K$8="Yes",IFERROR(BLD_EE!Y48,0),0)+IF($L$8="Yes",IFERROR(BLD_JP!Y48,0),0)+IF($M$8="Yes",IFERROR(BLD_MH!Y48,0),0)+IF($N$8="Yes",IFERROR(BLD_MM!Y48,0),0)+IF($O$8="Yes",IFERROR(BLD_NT!Y48,0),0)+IF($P$8="Yes",IFERROR(BLD_NG!Y48,0),0)+IF($Q$8="Yes",IFERROR(BLD_RG!Y48,0),0)+IF($R$8="Yes",IFERROR(BLD_AS!Y48,0),0)+IF($S$8="Yes",IFERROR(BLD_PS!Y48,0),0)+IF($T$8="Yes",IFERROR(BLD_PM!Y48,0),0)+IF($U$8="Yes",IFERROR(BLD_CD!Y48,0),0)</f>
        <v>6811656.6125063812</v>
      </c>
    </row>
    <row r="49" spans="1:25" s="20" customFormat="1" ht="6.95" customHeight="1">
      <c r="C49" s="21"/>
      <c r="E49" s="12"/>
      <c r="F49" s="12"/>
      <c r="G49" s="12"/>
      <c r="H49" s="12"/>
      <c r="I49" s="12"/>
      <c r="J49" s="12"/>
      <c r="K49" s="12"/>
      <c r="L49" s="12"/>
      <c r="M49" s="12"/>
      <c r="N49" s="12"/>
      <c r="O49" s="12"/>
      <c r="P49" s="12"/>
      <c r="Q49" s="12"/>
      <c r="R49" s="12"/>
      <c r="S49" s="12"/>
      <c r="T49" s="12"/>
      <c r="U49" s="12"/>
      <c r="V49" s="12"/>
      <c r="W49" s="12"/>
      <c r="X49" s="12"/>
      <c r="Y49" s="12"/>
    </row>
    <row r="50" spans="1:25" s="1" customFormat="1" ht="13.5" customHeight="1">
      <c r="C50" s="15" t="s">
        <v>213</v>
      </c>
      <c r="D50" s="20"/>
      <c r="E50" s="290">
        <f t="shared" ref="E50:Y50" si="10">IFERROR(IF(E$48=0,"",E41/E$48),"")</f>
        <v>0.22150679963390243</v>
      </c>
      <c r="F50" s="290">
        <f t="shared" si="10"/>
        <v>0.24383044570662785</v>
      </c>
      <c r="G50" s="290">
        <f t="shared" si="10"/>
        <v>0.59894912110250942</v>
      </c>
      <c r="H50" s="290">
        <f t="shared" si="10"/>
        <v>1.0560742757528347</v>
      </c>
      <c r="I50" s="290">
        <f t="shared" si="10"/>
        <v>1.5967011758025791</v>
      </c>
      <c r="J50" s="290">
        <f t="shared" si="10"/>
        <v>1.8538928386467257</v>
      </c>
      <c r="K50" s="290">
        <f t="shared" si="10"/>
        <v>1.8719992717692973</v>
      </c>
      <c r="L50" s="290">
        <f t="shared" si="10"/>
        <v>1.9294057595158844</v>
      </c>
      <c r="M50" s="290">
        <f t="shared" si="10"/>
        <v>1.9893320721329577</v>
      </c>
      <c r="N50" s="290">
        <f t="shared" si="10"/>
        <v>2.0446620480879529</v>
      </c>
      <c r="O50" s="290">
        <f t="shared" si="10"/>
        <v>2.0215876488087212</v>
      </c>
      <c r="P50" s="290">
        <f t="shared" si="10"/>
        <v>2.0315964099432922</v>
      </c>
      <c r="Q50" s="290">
        <f t="shared" si="10"/>
        <v>2.0663538083082038</v>
      </c>
      <c r="R50" s="290">
        <f t="shared" si="10"/>
        <v>2.101659491394563</v>
      </c>
      <c r="S50" s="290">
        <f t="shared" si="10"/>
        <v>2.1375207533156559</v>
      </c>
      <c r="T50" s="290">
        <f t="shared" si="10"/>
        <v>2.173944942277497</v>
      </c>
      <c r="U50" s="290">
        <f t="shared" si="10"/>
        <v>2.2109394593659664</v>
      </c>
      <c r="V50" s="290">
        <f t="shared" si="10"/>
        <v>2.2485117572522779</v>
      </c>
      <c r="W50" s="290">
        <f t="shared" si="10"/>
        <v>2.2866693388137898</v>
      </c>
      <c r="X50" s="290">
        <f t="shared" si="10"/>
        <v>2.3254197556669443</v>
      </c>
      <c r="Y50" s="290">
        <f t="shared" si="10"/>
        <v>2.3647706066090826</v>
      </c>
    </row>
    <row r="51" spans="1:25" s="20" customFormat="1"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1:25" ht="13.5" customHeight="1">
      <c r="C52" s="23" t="s">
        <v>362</v>
      </c>
      <c r="D52" s="17"/>
      <c r="E52" s="291">
        <f t="shared" ref="E52:Y52" si="11">IFERROR(E41-E$48,0)</f>
        <v>-12279949.43203162</v>
      </c>
      <c r="F52" s="291">
        <f t="shared" si="11"/>
        <v>-11641377.929000389</v>
      </c>
      <c r="G52" s="291">
        <f t="shared" si="11"/>
        <v>-6004726.2946791984</v>
      </c>
      <c r="H52" s="291">
        <f t="shared" si="11"/>
        <v>601402.44765853137</v>
      </c>
      <c r="I52" s="291">
        <f t="shared" si="11"/>
        <v>4827699.411482418</v>
      </c>
      <c r="J52" s="291">
        <f t="shared" si="11"/>
        <v>6009927.9787875032</v>
      </c>
      <c r="K52" s="291">
        <f t="shared" si="11"/>
        <v>6137365.9359811088</v>
      </c>
      <c r="L52" s="291">
        <f t="shared" si="11"/>
        <v>6406884.8515053727</v>
      </c>
      <c r="M52" s="291">
        <f t="shared" si="11"/>
        <v>6675145.4613763187</v>
      </c>
      <c r="N52" s="291">
        <f t="shared" si="11"/>
        <v>6918352.5391880469</v>
      </c>
      <c r="O52" s="291">
        <f t="shared" si="11"/>
        <v>6958704.263262772</v>
      </c>
      <c r="P52" s="291">
        <f t="shared" si="11"/>
        <v>7026880.5072280699</v>
      </c>
      <c r="Q52" s="291">
        <f t="shared" si="11"/>
        <v>7263635.9696339378</v>
      </c>
      <c r="R52" s="291">
        <f t="shared" si="11"/>
        <v>7504126.1592881931</v>
      </c>
      <c r="S52" s="291">
        <f t="shared" si="11"/>
        <v>7748400.7611858277</v>
      </c>
      <c r="T52" s="291">
        <f t="shared" si="11"/>
        <v>7996509.8287829338</v>
      </c>
      <c r="U52" s="291">
        <f t="shared" si="11"/>
        <v>8248503.7757350868</v>
      </c>
      <c r="V52" s="291">
        <f t="shared" si="11"/>
        <v>8504433.3670794405</v>
      </c>
      <c r="W52" s="291">
        <f t="shared" si="11"/>
        <v>8764349.7098401636</v>
      </c>
      <c r="X52" s="291">
        <f t="shared" si="11"/>
        <v>9028304.2430353314</v>
      </c>
      <c r="Y52" s="291">
        <f t="shared" si="11"/>
        <v>9296348.7270631045</v>
      </c>
    </row>
    <row r="53" spans="1:25" ht="7.15" customHeight="1">
      <c r="C53" s="14"/>
      <c r="D53" s="17"/>
    </row>
    <row r="54" spans="1:25" ht="13.5" customHeight="1">
      <c r="C54" s="15" t="s">
        <v>363</v>
      </c>
      <c r="D54" s="20"/>
      <c r="E54" s="292">
        <f t="shared" ref="E54:Y54" si="12">IFERROR(IF(E52&lt;0,0,E52*$E$2),0)</f>
        <v>0</v>
      </c>
      <c r="F54" s="292">
        <f t="shared" si="12"/>
        <v>0</v>
      </c>
      <c r="G54" s="292">
        <f t="shared" si="12"/>
        <v>0</v>
      </c>
      <c r="H54" s="292">
        <f t="shared" si="12"/>
        <v>360841.46859511879</v>
      </c>
      <c r="I54" s="292">
        <f t="shared" si="12"/>
        <v>2896619.6468894505</v>
      </c>
      <c r="J54" s="292">
        <f t="shared" si="12"/>
        <v>3605956.7872725017</v>
      </c>
      <c r="K54" s="292">
        <f t="shared" si="12"/>
        <v>3682419.561588665</v>
      </c>
      <c r="L54" s="292">
        <f t="shared" si="12"/>
        <v>3844130.9109032233</v>
      </c>
      <c r="M54" s="292">
        <f t="shared" si="12"/>
        <v>4005087.2768257912</v>
      </c>
      <c r="N54" s="292">
        <f t="shared" si="12"/>
        <v>4151011.5235128282</v>
      </c>
      <c r="O54" s="292">
        <f t="shared" si="12"/>
        <v>4175222.5579576632</v>
      </c>
      <c r="P54" s="292">
        <f t="shared" si="12"/>
        <v>4216128.3043368421</v>
      </c>
      <c r="Q54" s="292">
        <f t="shared" si="12"/>
        <v>4358181.5817803629</v>
      </c>
      <c r="R54" s="292">
        <f t="shared" si="12"/>
        <v>4502475.6955729155</v>
      </c>
      <c r="S54" s="292">
        <f t="shared" si="12"/>
        <v>4649040.4567114962</v>
      </c>
      <c r="T54" s="292">
        <f t="shared" si="12"/>
        <v>4797905.8972697603</v>
      </c>
      <c r="U54" s="292">
        <f t="shared" si="12"/>
        <v>4949102.2654410517</v>
      </c>
      <c r="V54" s="292">
        <f t="shared" si="12"/>
        <v>5102660.0202476643</v>
      </c>
      <c r="W54" s="292">
        <f t="shared" si="12"/>
        <v>5258609.8259040983</v>
      </c>
      <c r="X54" s="292">
        <f t="shared" si="12"/>
        <v>5416982.5458211983</v>
      </c>
      <c r="Y54" s="292">
        <f t="shared" si="12"/>
        <v>5577809.2362378621</v>
      </c>
    </row>
    <row r="55" spans="1:25" ht="6.95" customHeight="1">
      <c r="C55" s="17"/>
      <c r="D55" s="17"/>
      <c r="E55" s="6"/>
      <c r="F55" s="6"/>
      <c r="G55" s="6"/>
      <c r="H55" s="6"/>
      <c r="I55" s="6"/>
      <c r="J55" s="6"/>
      <c r="K55" s="6"/>
      <c r="L55" s="6"/>
      <c r="M55" s="6"/>
      <c r="N55" s="6"/>
      <c r="O55" s="6"/>
      <c r="P55" s="6"/>
      <c r="Q55" s="6"/>
      <c r="R55" s="6"/>
      <c r="S55" s="6"/>
      <c r="T55" s="6"/>
      <c r="U55" s="6"/>
      <c r="V55" s="6"/>
      <c r="W55" s="6"/>
      <c r="X55" s="6"/>
      <c r="Y55" s="6"/>
    </row>
    <row r="56" spans="1:25" ht="13.5" customHeight="1">
      <c r="C56" s="23" t="s">
        <v>364</v>
      </c>
      <c r="D56" s="17"/>
      <c r="E56" s="291">
        <f t="shared" ref="E56:Y56" si="13">IFERROR(E52-E54,0)</f>
        <v>-12279949.43203162</v>
      </c>
      <c r="F56" s="291">
        <f t="shared" si="13"/>
        <v>-11641377.929000389</v>
      </c>
      <c r="G56" s="291">
        <f t="shared" si="13"/>
        <v>-6004726.2946791984</v>
      </c>
      <c r="H56" s="291">
        <f t="shared" si="13"/>
        <v>240560.97906341258</v>
      </c>
      <c r="I56" s="291">
        <f t="shared" si="13"/>
        <v>1931079.7645929675</v>
      </c>
      <c r="J56" s="291">
        <f t="shared" si="13"/>
        <v>2403971.1915150015</v>
      </c>
      <c r="K56" s="291">
        <f t="shared" si="13"/>
        <v>2454946.3743924438</v>
      </c>
      <c r="L56" s="291">
        <f t="shared" si="13"/>
        <v>2562753.9406021493</v>
      </c>
      <c r="M56" s="291">
        <f t="shared" si="13"/>
        <v>2670058.1845505275</v>
      </c>
      <c r="N56" s="291">
        <f t="shared" si="13"/>
        <v>2767341.0156752188</v>
      </c>
      <c r="O56" s="291">
        <f t="shared" si="13"/>
        <v>2783481.7053051088</v>
      </c>
      <c r="P56" s="291">
        <f t="shared" si="13"/>
        <v>2810752.2028912278</v>
      </c>
      <c r="Q56" s="291">
        <f t="shared" si="13"/>
        <v>2905454.3878535749</v>
      </c>
      <c r="R56" s="291">
        <f t="shared" si="13"/>
        <v>3001650.4637152776</v>
      </c>
      <c r="S56" s="291">
        <f t="shared" si="13"/>
        <v>3099360.3044743314</v>
      </c>
      <c r="T56" s="291">
        <f t="shared" si="13"/>
        <v>3198603.9315131735</v>
      </c>
      <c r="U56" s="291">
        <f t="shared" si="13"/>
        <v>3299401.5102940351</v>
      </c>
      <c r="V56" s="291">
        <f t="shared" si="13"/>
        <v>3401773.3468317762</v>
      </c>
      <c r="W56" s="291">
        <f t="shared" si="13"/>
        <v>3505739.8839360652</v>
      </c>
      <c r="X56" s="291">
        <f t="shared" si="13"/>
        <v>3611321.6972141331</v>
      </c>
      <c r="Y56" s="291">
        <f t="shared" si="13"/>
        <v>3718539.4908252424</v>
      </c>
    </row>
    <row r="57" spans="1: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1:25" ht="6.95" customHeight="1"/>
    <row r="59" spans="1: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1:25" ht="13.5" customHeight="1">
      <c r="C60" s="5" t="s">
        <v>366</v>
      </c>
      <c r="E60" s="293" t="str">
        <f t="shared" ref="E60:Y60" si="14">IF(OR(E$61&lt;&gt;0,E$62&lt;&gt;0,E$63&lt;&gt;0),"REFI / FUNDING EVENT","")</f>
        <v/>
      </c>
      <c r="F60" s="293" t="str">
        <f t="shared" si="14"/>
        <v/>
      </c>
      <c r="G60" s="294" t="str">
        <f t="shared" si="14"/>
        <v>REFI / FUNDING EVENT</v>
      </c>
      <c r="H60" s="293" t="str">
        <f t="shared" si="14"/>
        <v>REFI / FUNDING EVENT</v>
      </c>
      <c r="I60" s="293" t="str">
        <f t="shared" si="14"/>
        <v>REFI / FUNDING EVENT</v>
      </c>
      <c r="J60" s="293" t="str">
        <f t="shared" si="14"/>
        <v/>
      </c>
      <c r="K60" s="293" t="str">
        <f t="shared" si="14"/>
        <v/>
      </c>
      <c r="L60" s="293" t="str">
        <f t="shared" si="14"/>
        <v/>
      </c>
      <c r="M60" s="293" t="str">
        <f t="shared" si="14"/>
        <v/>
      </c>
      <c r="N60" s="293" t="str">
        <f t="shared" si="14"/>
        <v>REFI / FUNDING EVENT</v>
      </c>
      <c r="O60" s="293" t="str">
        <f t="shared" si="14"/>
        <v/>
      </c>
      <c r="P60" s="293" t="str">
        <f t="shared" si="14"/>
        <v/>
      </c>
      <c r="Q60" s="293" t="str">
        <f t="shared" si="14"/>
        <v/>
      </c>
      <c r="R60" s="293" t="str">
        <f t="shared" si="14"/>
        <v/>
      </c>
      <c r="S60" s="293" t="str">
        <f t="shared" si="14"/>
        <v/>
      </c>
      <c r="T60" s="293" t="str">
        <f t="shared" si="14"/>
        <v/>
      </c>
      <c r="U60" s="293" t="str">
        <f t="shared" si="14"/>
        <v/>
      </c>
      <c r="V60" s="293" t="str">
        <f t="shared" si="14"/>
        <v/>
      </c>
      <c r="W60" s="293" t="str">
        <f t="shared" si="14"/>
        <v/>
      </c>
      <c r="X60" s="293" t="str">
        <f t="shared" si="14"/>
        <v/>
      </c>
      <c r="Y60" s="293" t="str">
        <f t="shared" si="14"/>
        <v/>
      </c>
    </row>
    <row r="61" spans="1:25" s="20" customFormat="1" ht="13.5" customHeight="1">
      <c r="A61" s="3"/>
      <c r="B61" s="3"/>
      <c r="C61" s="3" t="s">
        <v>367</v>
      </c>
      <c r="D61" s="3"/>
      <c r="E61" s="285">
        <f>IF($E$8="Yes",IFERROR(BLD_AB!E61,0),0)+IF($F$8="Yes",IFERROR(BLD_AC!E61,0),0)+IF($G$8="Yes",IFERROR(BLD_BT!E61,0),0)+IF($H$8="Yes",IFERROR(BLD_CH!E61,0),0)+IF($I$8="Yes",IFERROR(BLD_CC!E61,0),0)+IF($J$8="Yes",IFERROR(BLD_EA!E61,0),0)+IF($K$8="Yes",IFERROR(BLD_EE!E61,0),0)+IF($L$8="Yes",IFERROR(BLD_JP!E61,0),0)+IF($M$8="Yes",IFERROR(BLD_MH!E61,0),0)+IF($N$8="Yes",IFERROR(BLD_MM!E61,0),0)+IF($O$8="Yes",IFERROR(BLD_NT!E61,0),0)+IF($P$8="Yes",IFERROR(BLD_NG!E61,0),0)+IF($Q$8="Yes",IFERROR(BLD_RG!E61,0),0)+IF($R$8="Yes",IFERROR(BLD_AS!E61,0),0)+IF($S$8="Yes",IFERROR(BLD_PS!E61,0),0)+IF($T$8="Yes",IFERROR(BLD_PM!E61,0),0)+IF($U$8="Yes",IFERROR(BLD_CD!E61,0),0)</f>
        <v>0</v>
      </c>
      <c r="F61" s="285">
        <f>IF($E$8="Yes",IFERROR(BLD_AB!F61,0),0)+IF($F$8="Yes",IFERROR(BLD_AC!F61,0),0)+IF($G$8="Yes",IFERROR(BLD_BT!F61,0),0)+IF($H$8="Yes",IFERROR(BLD_CH!F61,0),0)+IF($I$8="Yes",IFERROR(BLD_CC!F61,0),0)+IF($J$8="Yes",IFERROR(BLD_EA!F61,0),0)+IF($K$8="Yes",IFERROR(BLD_EE!F61,0),0)+IF($L$8="Yes",IFERROR(BLD_JP!F61,0),0)+IF($M$8="Yes",IFERROR(BLD_MH!F61,0),0)+IF($N$8="Yes",IFERROR(BLD_MM!F61,0),0)+IF($O$8="Yes",IFERROR(BLD_NT!F61,0),0)+IF($P$8="Yes",IFERROR(BLD_NG!F61,0),0)+IF($Q$8="Yes",IFERROR(BLD_RG!F61,0),0)+IF($R$8="Yes",IFERROR(BLD_AS!F61,0),0)+IF($S$8="Yes",IFERROR(BLD_PS!F61,0),0)+IF($T$8="Yes",IFERROR(BLD_PM!F61,0),0)+IF($U$8="Yes",IFERROR(BLD_CD!F61,0),0)</f>
        <v>0</v>
      </c>
      <c r="G61" s="285">
        <f>IF($E$8="Yes",IFERROR(BLD_AB!G61,0),0)+IF($F$8="Yes",IFERROR(BLD_AC!G61,0),0)+IF($G$8="Yes",IFERROR(BLD_BT!G61,0),0)+IF($H$8="Yes",IFERROR(BLD_CH!G61,0),0)+IF($I$8="Yes",IFERROR(BLD_CC!G61,0),0)+IF($J$8="Yes",IFERROR(BLD_EA!G61,0),0)+IF($K$8="Yes",IFERROR(BLD_EE!G61,0),0)+IF($L$8="Yes",IFERROR(BLD_JP!G61,0),0)+IF($M$8="Yes",IFERROR(BLD_MH!G61,0),0)+IF($N$8="Yes",IFERROR(BLD_MM!G61,0),0)+IF($O$8="Yes",IFERROR(BLD_NT!G61,0),0)+IF($P$8="Yes",IFERROR(BLD_NG!G61,0),0)+IF($Q$8="Yes",IFERROR(BLD_RG!G61,0),0)+IF($R$8="Yes",IFERROR(BLD_AS!G61,0),0)+IF($S$8="Yes",IFERROR(BLD_PS!G61,0),0)+IF($T$8="Yes",IFERROR(BLD_PM!G61,0),0)+IF($U$8="Yes",IFERROR(BLD_CD!G61,0),0)</f>
        <v>-129111359.44755185</v>
      </c>
      <c r="H61" s="285">
        <f>IF($E$8="Yes",IFERROR(BLD_AB!H61,0),0)+IF($F$8="Yes",IFERROR(BLD_AC!H61,0),0)+IF($G$8="Yes",IFERROR(BLD_BT!H61,0),0)+IF($H$8="Yes",IFERROR(BLD_CH!H61,0),0)+IF($I$8="Yes",IFERROR(BLD_CC!H61,0),0)+IF($J$8="Yes",IFERROR(BLD_EA!H61,0),0)+IF($K$8="Yes",IFERROR(BLD_EE!H61,0),0)+IF($L$8="Yes",IFERROR(BLD_JP!H61,0),0)+IF($M$8="Yes",IFERROR(BLD_MH!H61,0),0)+IF($N$8="Yes",IFERROR(BLD_MM!H61,0),0)+IF($O$8="Yes",IFERROR(BLD_NT!H61,0),0)+IF($P$8="Yes",IFERROR(BLD_NG!H61,0),0)+IF($Q$8="Yes",IFERROR(BLD_RG!H61,0),0)+IF($R$8="Yes",IFERROR(BLD_AS!H61,0),0)+IF($S$8="Yes",IFERROR(BLD_PS!H61,0),0)+IF($T$8="Yes",IFERROR(BLD_PM!H61,0),0)+IF($U$8="Yes",IFERROR(BLD_CD!H61,0),0)</f>
        <v>-73225414.99050951</v>
      </c>
      <c r="I61" s="285">
        <f>IF($E$8="Yes",IFERROR(BLD_AB!I61,0),0)+IF($F$8="Yes",IFERROR(BLD_AC!I61,0),0)+IF($G$8="Yes",IFERROR(BLD_BT!I61,0),0)+IF($H$8="Yes",IFERROR(BLD_CH!I61,0),0)+IF($I$8="Yes",IFERROR(BLD_CC!I61,0),0)+IF($J$8="Yes",IFERROR(BLD_EA!I61,0),0)+IF($K$8="Yes",IFERROR(BLD_EE!I61,0),0)+IF($L$8="Yes",IFERROR(BLD_JP!I61,0),0)+IF($M$8="Yes",IFERROR(BLD_MH!I61,0),0)+IF($N$8="Yes",IFERROR(BLD_MM!I61,0),0)+IF($O$8="Yes",IFERROR(BLD_NT!I61,0),0)+IF($P$8="Yes",IFERROR(BLD_NG!I61,0),0)+IF($Q$8="Yes",IFERROR(BLD_RG!I61,0),0)+IF($R$8="Yes",IFERROR(BLD_AS!I61,0),0)+IF($S$8="Yes",IFERROR(BLD_PS!I61,0),0)+IF($T$8="Yes",IFERROR(BLD_PM!I61,0),0)+IF($U$8="Yes",IFERROR(BLD_CD!I61,0),0)</f>
        <v>-35821320.972091272</v>
      </c>
      <c r="J61" s="285">
        <f>IF($E$8="Yes",IFERROR(BLD_AB!J61,0),0)+IF($F$8="Yes",IFERROR(BLD_AC!J61,0),0)+IF($G$8="Yes",IFERROR(BLD_BT!J61,0),0)+IF($H$8="Yes",IFERROR(BLD_CH!J61,0),0)+IF($I$8="Yes",IFERROR(BLD_CC!J61,0),0)+IF($J$8="Yes",IFERROR(BLD_EA!J61,0),0)+IF($K$8="Yes",IFERROR(BLD_EE!J61,0),0)+IF($L$8="Yes",IFERROR(BLD_JP!J61,0),0)+IF($M$8="Yes",IFERROR(BLD_MH!J61,0),0)+IF($N$8="Yes",IFERROR(BLD_MM!J61,0),0)+IF($O$8="Yes",IFERROR(BLD_NT!J61,0),0)+IF($P$8="Yes",IFERROR(BLD_NG!J61,0),0)+IF($Q$8="Yes",IFERROR(BLD_RG!J61,0),0)+IF($R$8="Yes",IFERROR(BLD_AS!J61,0),0)+IF($S$8="Yes",IFERROR(BLD_PS!J61,0),0)+IF($T$8="Yes",IFERROR(BLD_PM!J61,0),0)+IF($U$8="Yes",IFERROR(BLD_CD!J61,0),0)</f>
        <v>0</v>
      </c>
      <c r="K61" s="285">
        <f>IF($E$8="Yes",IFERROR(BLD_AB!K61,0),0)+IF($F$8="Yes",IFERROR(BLD_AC!K61,0),0)+IF($G$8="Yes",IFERROR(BLD_BT!K61,0),0)+IF($H$8="Yes",IFERROR(BLD_CH!K61,0),0)+IF($I$8="Yes",IFERROR(BLD_CC!K61,0),0)+IF($J$8="Yes",IFERROR(BLD_EA!K61,0),0)+IF($K$8="Yes",IFERROR(BLD_EE!K61,0),0)+IF($L$8="Yes",IFERROR(BLD_JP!K61,0),0)+IF($M$8="Yes",IFERROR(BLD_MH!K61,0),0)+IF($N$8="Yes",IFERROR(BLD_MM!K61,0),0)+IF($O$8="Yes",IFERROR(BLD_NT!K61,0),0)+IF($P$8="Yes",IFERROR(BLD_NG!K61,0),0)+IF($Q$8="Yes",IFERROR(BLD_RG!K61,0),0)+IF($R$8="Yes",IFERROR(BLD_AS!K61,0),0)+IF($S$8="Yes",IFERROR(BLD_PS!K61,0),0)+IF($T$8="Yes",IFERROR(BLD_PM!K61,0),0)+IF($U$8="Yes",IFERROR(BLD_CD!K61,0),0)</f>
        <v>0</v>
      </c>
      <c r="L61" s="285">
        <f>IF($E$8="Yes",IFERROR(BLD_AB!L61,0),0)+IF($F$8="Yes",IFERROR(BLD_AC!L61,0),0)+IF($G$8="Yes",IFERROR(BLD_BT!L61,0),0)+IF($H$8="Yes",IFERROR(BLD_CH!L61,0),0)+IF($I$8="Yes",IFERROR(BLD_CC!L61,0),0)+IF($J$8="Yes",IFERROR(BLD_EA!L61,0),0)+IF($K$8="Yes",IFERROR(BLD_EE!L61,0),0)+IF($L$8="Yes",IFERROR(BLD_JP!L61,0),0)+IF($M$8="Yes",IFERROR(BLD_MH!L61,0),0)+IF($N$8="Yes",IFERROR(BLD_MM!L61,0),0)+IF($O$8="Yes",IFERROR(BLD_NT!L61,0),0)+IF($P$8="Yes",IFERROR(BLD_NG!L61,0),0)+IF($Q$8="Yes",IFERROR(BLD_RG!L61,0),0)+IF($R$8="Yes",IFERROR(BLD_AS!L61,0),0)+IF($S$8="Yes",IFERROR(BLD_PS!L61,0),0)+IF($T$8="Yes",IFERROR(BLD_PM!L61,0),0)+IF($U$8="Yes",IFERROR(BLD_CD!L61,0),0)</f>
        <v>0</v>
      </c>
      <c r="M61" s="285">
        <f>IF($E$8="Yes",IFERROR(BLD_AB!M61,0),0)+IF($F$8="Yes",IFERROR(BLD_AC!M61,0),0)+IF($G$8="Yes",IFERROR(BLD_BT!M61,0),0)+IF($H$8="Yes",IFERROR(BLD_CH!M61,0),0)+IF($I$8="Yes",IFERROR(BLD_CC!M61,0),0)+IF($J$8="Yes",IFERROR(BLD_EA!M61,0),0)+IF($K$8="Yes",IFERROR(BLD_EE!M61,0),0)+IF($L$8="Yes",IFERROR(BLD_JP!M61,0),0)+IF($M$8="Yes",IFERROR(BLD_MH!M61,0),0)+IF($N$8="Yes",IFERROR(BLD_MM!M61,0),0)+IF($O$8="Yes",IFERROR(BLD_NT!M61,0),0)+IF($P$8="Yes",IFERROR(BLD_NG!M61,0),0)+IF($Q$8="Yes",IFERROR(BLD_RG!M61,0),0)+IF($R$8="Yes",IFERROR(BLD_AS!M61,0),0)+IF($S$8="Yes",IFERROR(BLD_PS!M61,0),0)+IF($T$8="Yes",IFERROR(BLD_PM!M61,0),0)+IF($U$8="Yes",IFERROR(BLD_CD!M61,0),0)</f>
        <v>0</v>
      </c>
      <c r="N61" s="285">
        <f>IF($E$8="Yes",IFERROR(BLD_AB!N61,0),0)+IF($F$8="Yes",IFERROR(BLD_AC!N61,0),0)+IF($G$8="Yes",IFERROR(BLD_BT!N61,0),0)+IF($H$8="Yes",IFERROR(BLD_CH!N61,0),0)+IF($I$8="Yes",IFERROR(BLD_CC!N61,0),0)+IF($J$8="Yes",IFERROR(BLD_EA!N61,0),0)+IF($K$8="Yes",IFERROR(BLD_EE!N61,0),0)+IF($L$8="Yes",IFERROR(BLD_JP!N61,0),0)+IF($M$8="Yes",IFERROR(BLD_MH!N61,0),0)+IF($N$8="Yes",IFERROR(BLD_MM!N61,0),0)+IF($O$8="Yes",IFERROR(BLD_NT!N61,0),0)+IF($P$8="Yes",IFERROR(BLD_NG!N61,0),0)+IF($Q$8="Yes",IFERROR(BLD_RG!N61,0),0)+IF($R$8="Yes",IFERROR(BLD_AS!N61,0),0)+IF($S$8="Yes",IFERROR(BLD_PS!N61,0),0)+IF($T$8="Yes",IFERROR(BLD_PM!N61,0),0)+IF($U$8="Yes",IFERROR(BLD_CD!N61,0),0)</f>
        <v>-8908859.0253832936</v>
      </c>
      <c r="O61" s="285">
        <f>IF($E$8="Yes",IFERROR(BLD_AB!O61,0),0)+IF($F$8="Yes",IFERROR(BLD_AC!O61,0),0)+IF($G$8="Yes",IFERROR(BLD_BT!O61,0),0)+IF($H$8="Yes",IFERROR(BLD_CH!O61,0),0)+IF($I$8="Yes",IFERROR(BLD_CC!O61,0),0)+IF($J$8="Yes",IFERROR(BLD_EA!O61,0),0)+IF($K$8="Yes",IFERROR(BLD_EE!O61,0),0)+IF($L$8="Yes",IFERROR(BLD_JP!O61,0),0)+IF($M$8="Yes",IFERROR(BLD_MH!O61,0),0)+IF($N$8="Yes",IFERROR(BLD_MM!O61,0),0)+IF($O$8="Yes",IFERROR(BLD_NT!O61,0),0)+IF($P$8="Yes",IFERROR(BLD_NG!O61,0),0)+IF($Q$8="Yes",IFERROR(BLD_RG!O61,0),0)+IF($R$8="Yes",IFERROR(BLD_AS!O61,0),0)+IF($S$8="Yes",IFERROR(BLD_PS!O61,0),0)+IF($T$8="Yes",IFERROR(BLD_PM!O61,0),0)+IF($U$8="Yes",IFERROR(BLD_CD!O61,0),0)</f>
        <v>0</v>
      </c>
      <c r="P61" s="285">
        <f>IF($E$8="Yes",IFERROR(BLD_AB!P61,0),0)+IF($F$8="Yes",IFERROR(BLD_AC!P61,0),0)+IF($G$8="Yes",IFERROR(BLD_BT!P61,0),0)+IF($H$8="Yes",IFERROR(BLD_CH!P61,0),0)+IF($I$8="Yes",IFERROR(BLD_CC!P61,0),0)+IF($J$8="Yes",IFERROR(BLD_EA!P61,0),0)+IF($K$8="Yes",IFERROR(BLD_EE!P61,0),0)+IF($L$8="Yes",IFERROR(BLD_JP!P61,0),0)+IF($M$8="Yes",IFERROR(BLD_MH!P61,0),0)+IF($N$8="Yes",IFERROR(BLD_MM!P61,0),0)+IF($O$8="Yes",IFERROR(BLD_NT!P61,0),0)+IF($P$8="Yes",IFERROR(BLD_NG!P61,0),0)+IF($Q$8="Yes",IFERROR(BLD_RG!P61,0),0)+IF($R$8="Yes",IFERROR(BLD_AS!P61,0),0)+IF($S$8="Yes",IFERROR(BLD_PS!P61,0),0)+IF($T$8="Yes",IFERROR(BLD_PM!P61,0),0)+IF($U$8="Yes",IFERROR(BLD_CD!P61,0),0)</f>
        <v>0</v>
      </c>
      <c r="Q61" s="285">
        <f>IF($E$8="Yes",IFERROR(BLD_AB!Q61,0),0)+IF($F$8="Yes",IFERROR(BLD_AC!Q61,0),0)+IF($G$8="Yes",IFERROR(BLD_BT!Q61,0),0)+IF($H$8="Yes",IFERROR(BLD_CH!Q61,0),0)+IF($I$8="Yes",IFERROR(BLD_CC!Q61,0),0)+IF($J$8="Yes",IFERROR(BLD_EA!Q61,0),0)+IF($K$8="Yes",IFERROR(BLD_EE!Q61,0),0)+IF($L$8="Yes",IFERROR(BLD_JP!Q61,0),0)+IF($M$8="Yes",IFERROR(BLD_MH!Q61,0),0)+IF($N$8="Yes",IFERROR(BLD_MM!Q61,0),0)+IF($O$8="Yes",IFERROR(BLD_NT!Q61,0),0)+IF($P$8="Yes",IFERROR(BLD_NG!Q61,0),0)+IF($Q$8="Yes",IFERROR(BLD_RG!Q61,0),0)+IF($R$8="Yes",IFERROR(BLD_AS!Q61,0),0)+IF($S$8="Yes",IFERROR(BLD_PS!Q61,0),0)+IF($T$8="Yes",IFERROR(BLD_PM!Q61,0),0)+IF($U$8="Yes",IFERROR(BLD_CD!Q61,0),0)</f>
        <v>0</v>
      </c>
      <c r="R61" s="285">
        <f>IF($E$8="Yes",IFERROR(BLD_AB!R61,0),0)+IF($F$8="Yes",IFERROR(BLD_AC!R61,0),0)+IF($G$8="Yes",IFERROR(BLD_BT!R61,0),0)+IF($H$8="Yes",IFERROR(BLD_CH!R61,0),0)+IF($I$8="Yes",IFERROR(BLD_CC!R61,0),0)+IF($J$8="Yes",IFERROR(BLD_EA!R61,0),0)+IF($K$8="Yes",IFERROR(BLD_EE!R61,0),0)+IF($L$8="Yes",IFERROR(BLD_JP!R61,0),0)+IF($M$8="Yes",IFERROR(BLD_MH!R61,0),0)+IF($N$8="Yes",IFERROR(BLD_MM!R61,0),0)+IF($O$8="Yes",IFERROR(BLD_NT!R61,0),0)+IF($P$8="Yes",IFERROR(BLD_NG!R61,0),0)+IF($Q$8="Yes",IFERROR(BLD_RG!R61,0),0)+IF($R$8="Yes",IFERROR(BLD_AS!R61,0),0)+IF($S$8="Yes",IFERROR(BLD_PS!R61,0),0)+IF($T$8="Yes",IFERROR(BLD_PM!R61,0),0)+IF($U$8="Yes",IFERROR(BLD_CD!R61,0),0)</f>
        <v>0</v>
      </c>
      <c r="S61" s="285">
        <f>IF($E$8="Yes",IFERROR(BLD_AB!S61,0),0)+IF($F$8="Yes",IFERROR(BLD_AC!S61,0),0)+IF($G$8="Yes",IFERROR(BLD_BT!S61,0),0)+IF($H$8="Yes",IFERROR(BLD_CH!S61,0),0)+IF($I$8="Yes",IFERROR(BLD_CC!S61,0),0)+IF($J$8="Yes",IFERROR(BLD_EA!S61,0),0)+IF($K$8="Yes",IFERROR(BLD_EE!S61,0),0)+IF($L$8="Yes",IFERROR(BLD_JP!S61,0),0)+IF($M$8="Yes",IFERROR(BLD_MH!S61,0),0)+IF($N$8="Yes",IFERROR(BLD_MM!S61,0),0)+IF($O$8="Yes",IFERROR(BLD_NT!S61,0),0)+IF($P$8="Yes",IFERROR(BLD_NG!S61,0),0)+IF($Q$8="Yes",IFERROR(BLD_RG!S61,0),0)+IF($R$8="Yes",IFERROR(BLD_AS!S61,0),0)+IF($S$8="Yes",IFERROR(BLD_PS!S61,0),0)+IF($T$8="Yes",IFERROR(BLD_PM!S61,0),0)+IF($U$8="Yes",IFERROR(BLD_CD!S61,0),0)</f>
        <v>0</v>
      </c>
      <c r="T61" s="285">
        <f>IF($E$8="Yes",IFERROR(BLD_AB!T61,0),0)+IF($F$8="Yes",IFERROR(BLD_AC!T61,0),0)+IF($G$8="Yes",IFERROR(BLD_BT!T61,0),0)+IF($H$8="Yes",IFERROR(BLD_CH!T61,0),0)+IF($I$8="Yes",IFERROR(BLD_CC!T61,0),0)+IF($J$8="Yes",IFERROR(BLD_EA!T61,0),0)+IF($K$8="Yes",IFERROR(BLD_EE!T61,0),0)+IF($L$8="Yes",IFERROR(BLD_JP!T61,0),0)+IF($M$8="Yes",IFERROR(BLD_MH!T61,0),0)+IF($N$8="Yes",IFERROR(BLD_MM!T61,0),0)+IF($O$8="Yes",IFERROR(BLD_NT!T61,0),0)+IF($P$8="Yes",IFERROR(BLD_NG!T61,0),0)+IF($Q$8="Yes",IFERROR(BLD_RG!T61,0),0)+IF($R$8="Yes",IFERROR(BLD_AS!T61,0),0)+IF($S$8="Yes",IFERROR(BLD_PS!T61,0),0)+IF($T$8="Yes",IFERROR(BLD_PM!T61,0),0)+IF($U$8="Yes",IFERROR(BLD_CD!T61,0),0)</f>
        <v>0</v>
      </c>
      <c r="U61" s="285">
        <f>IF($E$8="Yes",IFERROR(BLD_AB!U61,0),0)+IF($F$8="Yes",IFERROR(BLD_AC!U61,0),0)+IF($G$8="Yes",IFERROR(BLD_BT!U61,0),0)+IF($H$8="Yes",IFERROR(BLD_CH!U61,0),0)+IF($I$8="Yes",IFERROR(BLD_CC!U61,0),0)+IF($J$8="Yes",IFERROR(BLD_EA!U61,0),0)+IF($K$8="Yes",IFERROR(BLD_EE!U61,0),0)+IF($L$8="Yes",IFERROR(BLD_JP!U61,0),0)+IF($M$8="Yes",IFERROR(BLD_MH!U61,0),0)+IF($N$8="Yes",IFERROR(BLD_MM!U61,0),0)+IF($O$8="Yes",IFERROR(BLD_NT!U61,0),0)+IF($P$8="Yes",IFERROR(BLD_NG!U61,0),0)+IF($Q$8="Yes",IFERROR(BLD_RG!U61,0),0)+IF($R$8="Yes",IFERROR(BLD_AS!U61,0),0)+IF($S$8="Yes",IFERROR(BLD_PS!U61,0),0)+IF($T$8="Yes",IFERROR(BLD_PM!U61,0),0)+IF($U$8="Yes",IFERROR(BLD_CD!U61,0),0)</f>
        <v>0</v>
      </c>
      <c r="V61" s="285">
        <f>IF($E$8="Yes",IFERROR(BLD_AB!V61,0),0)+IF($F$8="Yes",IFERROR(BLD_AC!V61,0),0)+IF($G$8="Yes",IFERROR(BLD_BT!V61,0),0)+IF($H$8="Yes",IFERROR(BLD_CH!V61,0),0)+IF($I$8="Yes",IFERROR(BLD_CC!V61,0),0)+IF($J$8="Yes",IFERROR(BLD_EA!V61,0),0)+IF($K$8="Yes",IFERROR(BLD_EE!V61,0),0)+IF($L$8="Yes",IFERROR(BLD_JP!V61,0),0)+IF($M$8="Yes",IFERROR(BLD_MH!V61,0),0)+IF($N$8="Yes",IFERROR(BLD_MM!V61,0),0)+IF($O$8="Yes",IFERROR(BLD_NT!V61,0),0)+IF($P$8="Yes",IFERROR(BLD_NG!V61,0),0)+IF($Q$8="Yes",IFERROR(BLD_RG!V61,0),0)+IF($R$8="Yes",IFERROR(BLD_AS!V61,0),0)+IF($S$8="Yes",IFERROR(BLD_PS!V61,0),0)+IF($T$8="Yes",IFERROR(BLD_PM!V61,0),0)+IF($U$8="Yes",IFERROR(BLD_CD!V61,0),0)</f>
        <v>0</v>
      </c>
      <c r="W61" s="285">
        <f>IF($E$8="Yes",IFERROR(BLD_AB!W61,0),0)+IF($F$8="Yes",IFERROR(BLD_AC!W61,0),0)+IF($G$8="Yes",IFERROR(BLD_BT!W61,0),0)+IF($H$8="Yes",IFERROR(BLD_CH!W61,0),0)+IF($I$8="Yes",IFERROR(BLD_CC!W61,0),0)+IF($J$8="Yes",IFERROR(BLD_EA!W61,0),0)+IF($K$8="Yes",IFERROR(BLD_EE!W61,0),0)+IF($L$8="Yes",IFERROR(BLD_JP!W61,0),0)+IF($M$8="Yes",IFERROR(BLD_MH!W61,0),0)+IF($N$8="Yes",IFERROR(BLD_MM!W61,0),0)+IF($O$8="Yes",IFERROR(BLD_NT!W61,0),0)+IF($P$8="Yes",IFERROR(BLD_NG!W61,0),0)+IF($Q$8="Yes",IFERROR(BLD_RG!W61,0),0)+IF($R$8="Yes",IFERROR(BLD_AS!W61,0),0)+IF($S$8="Yes",IFERROR(BLD_PS!W61,0),0)+IF($T$8="Yes",IFERROR(BLD_PM!W61,0),0)+IF($U$8="Yes",IFERROR(BLD_CD!W61,0),0)</f>
        <v>0</v>
      </c>
      <c r="X61" s="285">
        <f>IF($E$8="Yes",IFERROR(BLD_AB!X61,0),0)+IF($F$8="Yes",IFERROR(BLD_AC!X61,0),0)+IF($G$8="Yes",IFERROR(BLD_BT!X61,0),0)+IF($H$8="Yes",IFERROR(BLD_CH!X61,0),0)+IF($I$8="Yes",IFERROR(BLD_CC!X61,0),0)+IF($J$8="Yes",IFERROR(BLD_EA!X61,0),0)+IF($K$8="Yes",IFERROR(BLD_EE!X61,0),0)+IF($L$8="Yes",IFERROR(BLD_JP!X61,0),0)+IF($M$8="Yes",IFERROR(BLD_MH!X61,0),0)+IF($N$8="Yes",IFERROR(BLD_MM!X61,0),0)+IF($O$8="Yes",IFERROR(BLD_NT!X61,0),0)+IF($P$8="Yes",IFERROR(BLD_NG!X61,0),0)+IF($Q$8="Yes",IFERROR(BLD_RG!X61,0),0)+IF($R$8="Yes",IFERROR(BLD_AS!X61,0),0)+IF($S$8="Yes",IFERROR(BLD_PS!X61,0),0)+IF($T$8="Yes",IFERROR(BLD_PM!X61,0),0)+IF($U$8="Yes",IFERROR(BLD_CD!X61,0),0)</f>
        <v>0</v>
      </c>
      <c r="Y61" s="285">
        <f>IF($E$8="Yes",IFERROR(BLD_AB!Y61,0),0)+IF($F$8="Yes",IFERROR(BLD_AC!Y61,0),0)+IF($G$8="Yes",IFERROR(BLD_BT!Y61,0),0)+IF($H$8="Yes",IFERROR(BLD_CH!Y61,0),0)+IF($I$8="Yes",IFERROR(BLD_CC!Y61,0),0)+IF($J$8="Yes",IFERROR(BLD_EA!Y61,0),0)+IF($K$8="Yes",IFERROR(BLD_EE!Y61,0),0)+IF($L$8="Yes",IFERROR(BLD_JP!Y61,0),0)+IF($M$8="Yes",IFERROR(BLD_MH!Y61,0),0)+IF($N$8="Yes",IFERROR(BLD_MM!Y61,0),0)+IF($O$8="Yes",IFERROR(BLD_NT!Y61,0),0)+IF($P$8="Yes",IFERROR(BLD_NG!Y61,0),0)+IF($Q$8="Yes",IFERROR(BLD_RG!Y61,0),0)+IF($R$8="Yes",IFERROR(BLD_AS!Y61,0),0)+IF($S$8="Yes",IFERROR(BLD_PS!Y61,0),0)+IF($T$8="Yes",IFERROR(BLD_PM!Y61,0),0)+IF($U$8="Yes",IFERROR(BLD_CD!Y61,0),0)</f>
        <v>0</v>
      </c>
    </row>
    <row r="62" spans="1:25" s="20" customFormat="1" ht="13.5" customHeight="1">
      <c r="C62" s="25" t="s">
        <v>368</v>
      </c>
      <c r="D62" s="141"/>
      <c r="E62" s="295">
        <f>IF($E$8="Yes",IFERROR(BLD_AB!E62,0),0)+IF($F$8="Yes",IFERROR(BLD_AC!E62,0),0)+IF($G$8="Yes",IFERROR(BLD_BT!E62,0),0)+IF($H$8="Yes",IFERROR(BLD_CH!E62,0),0)+IF($I$8="Yes",IFERROR(BLD_CC!E62,0),0)+IF($J$8="Yes",IFERROR(BLD_EA!E62,0),0)+IF($K$8="Yes",IFERROR(BLD_EE!E62,0),0)+IF($L$8="Yes",IFERROR(BLD_JP!E62,0),0)+IF($M$8="Yes",IFERROR(BLD_MH!E62,0),0)+IF($N$8="Yes",IFERROR(BLD_MM!E62,0),0)+IF($O$8="Yes",IFERROR(BLD_NT!E62,0),0)+IF($P$8="Yes",IFERROR(BLD_NG!E62,0),0)+IF($Q$8="Yes",IFERROR(BLD_RG!E62,0),0)+IF($R$8="Yes",IFERROR(BLD_AS!E62,0),0)+IF($S$8="Yes",IFERROR(BLD_PS!E62,0),0)+IF($T$8="Yes",IFERROR(BLD_PM!E62,0),0)+IF($U$8="Yes",IFERROR(BLD_CD!E62,0),0)</f>
        <v>0</v>
      </c>
      <c r="F62" s="295">
        <f>IF($E$8="Yes",IFERROR(BLD_AB!F62,0),0)+IF($F$8="Yes",IFERROR(BLD_AC!F62,0),0)+IF($G$8="Yes",IFERROR(BLD_BT!F62,0),0)+IF($H$8="Yes",IFERROR(BLD_CH!F62,0),0)+IF($I$8="Yes",IFERROR(BLD_CC!F62,0),0)+IF($J$8="Yes",IFERROR(BLD_EA!F62,0),0)+IF($K$8="Yes",IFERROR(BLD_EE!F62,0),0)+IF($L$8="Yes",IFERROR(BLD_JP!F62,0),0)+IF($M$8="Yes",IFERROR(BLD_MH!F62,0),0)+IF($N$8="Yes",IFERROR(BLD_MM!F62,0),0)+IF($O$8="Yes",IFERROR(BLD_NT!F62,0),0)+IF($P$8="Yes",IFERROR(BLD_NG!F62,0),0)+IF($Q$8="Yes",IFERROR(BLD_RG!F62,0),0)+IF($R$8="Yes",IFERROR(BLD_AS!F62,0),0)+IF($S$8="Yes",IFERROR(BLD_PS!F62,0),0)+IF($T$8="Yes",IFERROR(BLD_PM!F62,0),0)+IF($U$8="Yes",IFERROR(BLD_CD!F62,0),0)</f>
        <v>0</v>
      </c>
      <c r="G62" s="295">
        <f>IF($E$8="Yes",IFERROR(BLD_AB!G62,0),0)+IF($F$8="Yes",IFERROR(BLD_AC!G62,0),0)+IF($G$8="Yes",IFERROR(BLD_BT!G62,0),0)+IF($H$8="Yes",IFERROR(BLD_CH!G62,0),0)+IF($I$8="Yes",IFERROR(BLD_CC!G62,0),0)+IF($J$8="Yes",IFERROR(BLD_EA!G62,0),0)+IF($K$8="Yes",IFERROR(BLD_EE!G62,0),0)+IF($L$8="Yes",IFERROR(BLD_JP!G62,0),0)+IF($M$8="Yes",IFERROR(BLD_MH!G62,0),0)+IF($N$8="Yes",IFERROR(BLD_MM!G62,0),0)+IF($O$8="Yes",IFERROR(BLD_NT!G62,0),0)+IF($P$8="Yes",IFERROR(BLD_NG!G62,0),0)+IF($Q$8="Yes",IFERROR(BLD_RG!G62,0),0)+IF($R$8="Yes",IFERROR(BLD_AS!G62,0),0)+IF($S$8="Yes",IFERROR(BLD_PS!G62,0),0)+IF($T$8="Yes",IFERROR(BLD_PM!G62,0),0)+IF($U$8="Yes",IFERROR(BLD_CD!G62,0),0)</f>
        <v>58663640.484426588</v>
      </c>
      <c r="H62" s="295">
        <f>IF($E$8="Yes",IFERROR(BLD_AB!H62,0),0)+IF($F$8="Yes",IFERROR(BLD_AC!H62,0),0)+IF($G$8="Yes",IFERROR(BLD_BT!H62,0),0)+IF($H$8="Yes",IFERROR(BLD_CH!H62,0),0)+IF($I$8="Yes",IFERROR(BLD_CC!H62,0),0)+IF($J$8="Yes",IFERROR(BLD_EA!H62,0),0)+IF($K$8="Yes",IFERROR(BLD_EE!H62,0),0)+IF($L$8="Yes",IFERROR(BLD_JP!H62,0),0)+IF($M$8="Yes",IFERROR(BLD_MH!H62,0),0)+IF($N$8="Yes",IFERROR(BLD_MM!H62,0),0)+IF($O$8="Yes",IFERROR(BLD_NT!H62,0),0)+IF($P$8="Yes",IFERROR(BLD_NG!H62,0),0)+IF($Q$8="Yes",IFERROR(BLD_RG!H62,0),0)+IF($R$8="Yes",IFERROR(BLD_AS!H62,0),0)+IF($S$8="Yes",IFERROR(BLD_PS!H62,0),0)+IF($T$8="Yes",IFERROR(BLD_PM!H62,0),0)+IF($U$8="Yes",IFERROR(BLD_CD!H62,0),0)</f>
        <v>27724970.159803599</v>
      </c>
      <c r="I62" s="295">
        <f>IF($E$8="Yes",IFERROR(BLD_AB!I62,0),0)+IF($F$8="Yes",IFERROR(BLD_AC!I62,0),0)+IF($G$8="Yes",IFERROR(BLD_BT!I62,0),0)+IF($H$8="Yes",IFERROR(BLD_CH!I62,0),0)+IF($I$8="Yes",IFERROR(BLD_CC!I62,0),0)+IF($J$8="Yes",IFERROR(BLD_EA!I62,0),0)+IF($K$8="Yes",IFERROR(BLD_EE!I62,0),0)+IF($L$8="Yes",IFERROR(BLD_JP!I62,0),0)+IF($M$8="Yes",IFERROR(BLD_MH!I62,0),0)+IF($N$8="Yes",IFERROR(BLD_MM!I62,0),0)+IF($O$8="Yes",IFERROR(BLD_NT!I62,0),0)+IF($P$8="Yes",IFERROR(BLD_NG!I62,0),0)+IF($Q$8="Yes",IFERROR(BLD_RG!I62,0),0)+IF($R$8="Yes",IFERROR(BLD_AS!I62,0),0)+IF($S$8="Yes",IFERROR(BLD_PS!I62,0),0)+IF($T$8="Yes",IFERROR(BLD_PM!I62,0),0)+IF($U$8="Yes",IFERROR(BLD_CD!I62,0),0)</f>
        <v>18435922.196523327</v>
      </c>
      <c r="J62" s="295">
        <f>IF($E$8="Yes",IFERROR(BLD_AB!J62,0),0)+IF($F$8="Yes",IFERROR(BLD_AC!J62,0),0)+IF($G$8="Yes",IFERROR(BLD_BT!J62,0),0)+IF($H$8="Yes",IFERROR(BLD_CH!J62,0),0)+IF($I$8="Yes",IFERROR(BLD_CC!J62,0),0)+IF($J$8="Yes",IFERROR(BLD_EA!J62,0),0)+IF($K$8="Yes",IFERROR(BLD_EE!J62,0),0)+IF($L$8="Yes",IFERROR(BLD_JP!J62,0),0)+IF($M$8="Yes",IFERROR(BLD_MH!J62,0),0)+IF($N$8="Yes",IFERROR(BLD_MM!J62,0),0)+IF($O$8="Yes",IFERROR(BLD_NT!J62,0),0)+IF($P$8="Yes",IFERROR(BLD_NG!J62,0),0)+IF($Q$8="Yes",IFERROR(BLD_RG!J62,0),0)+IF($R$8="Yes",IFERROR(BLD_AS!J62,0),0)+IF($S$8="Yes",IFERROR(BLD_PS!J62,0),0)+IF($T$8="Yes",IFERROR(BLD_PM!J62,0),0)+IF($U$8="Yes",IFERROR(BLD_CD!J62,0),0)</f>
        <v>0</v>
      </c>
      <c r="K62" s="295">
        <f>IF($E$8="Yes",IFERROR(BLD_AB!K62,0),0)+IF($F$8="Yes",IFERROR(BLD_AC!K62,0),0)+IF($G$8="Yes",IFERROR(BLD_BT!K62,0),0)+IF($H$8="Yes",IFERROR(BLD_CH!K62,0),0)+IF($I$8="Yes",IFERROR(BLD_CC!K62,0),0)+IF($J$8="Yes",IFERROR(BLD_EA!K62,0),0)+IF($K$8="Yes",IFERROR(BLD_EE!K62,0),0)+IF($L$8="Yes",IFERROR(BLD_JP!K62,0),0)+IF($M$8="Yes",IFERROR(BLD_MH!K62,0),0)+IF($N$8="Yes",IFERROR(BLD_MM!K62,0),0)+IF($O$8="Yes",IFERROR(BLD_NT!K62,0),0)+IF($P$8="Yes",IFERROR(BLD_NG!K62,0),0)+IF($Q$8="Yes",IFERROR(BLD_RG!K62,0),0)+IF($R$8="Yes",IFERROR(BLD_AS!K62,0),0)+IF($S$8="Yes",IFERROR(BLD_PS!K62,0),0)+IF($T$8="Yes",IFERROR(BLD_PM!K62,0),0)+IF($U$8="Yes",IFERROR(BLD_CD!K62,0),0)</f>
        <v>0</v>
      </c>
      <c r="L62" s="295">
        <f>IF($E$8="Yes",IFERROR(BLD_AB!L62,0),0)+IF($F$8="Yes",IFERROR(BLD_AC!L62,0),0)+IF($G$8="Yes",IFERROR(BLD_BT!L62,0),0)+IF($H$8="Yes",IFERROR(BLD_CH!L62,0),0)+IF($I$8="Yes",IFERROR(BLD_CC!L62,0),0)+IF($J$8="Yes",IFERROR(BLD_EA!L62,0),0)+IF($K$8="Yes",IFERROR(BLD_EE!L62,0),0)+IF($L$8="Yes",IFERROR(BLD_JP!L62,0),0)+IF($M$8="Yes",IFERROR(BLD_MH!L62,0),0)+IF($N$8="Yes",IFERROR(BLD_MM!L62,0),0)+IF($O$8="Yes",IFERROR(BLD_NT!L62,0),0)+IF($P$8="Yes",IFERROR(BLD_NG!L62,0),0)+IF($Q$8="Yes",IFERROR(BLD_RG!L62,0),0)+IF($R$8="Yes",IFERROR(BLD_AS!L62,0),0)+IF($S$8="Yes",IFERROR(BLD_PS!L62,0),0)+IF($T$8="Yes",IFERROR(BLD_PM!L62,0),0)+IF($U$8="Yes",IFERROR(BLD_CD!L62,0),0)</f>
        <v>0</v>
      </c>
      <c r="M62" s="295">
        <f>IF($E$8="Yes",IFERROR(BLD_AB!M62,0),0)+IF($F$8="Yes",IFERROR(BLD_AC!M62,0),0)+IF($G$8="Yes",IFERROR(BLD_BT!M62,0),0)+IF($H$8="Yes",IFERROR(BLD_CH!M62,0),0)+IF($I$8="Yes",IFERROR(BLD_CC!M62,0),0)+IF($J$8="Yes",IFERROR(BLD_EA!M62,0),0)+IF($K$8="Yes",IFERROR(BLD_EE!M62,0),0)+IF($L$8="Yes",IFERROR(BLD_JP!M62,0),0)+IF($M$8="Yes",IFERROR(BLD_MH!M62,0),0)+IF($N$8="Yes",IFERROR(BLD_MM!M62,0),0)+IF($O$8="Yes",IFERROR(BLD_NT!M62,0),0)+IF($P$8="Yes",IFERROR(BLD_NG!M62,0),0)+IF($Q$8="Yes",IFERROR(BLD_RG!M62,0),0)+IF($R$8="Yes",IFERROR(BLD_AS!M62,0),0)+IF($S$8="Yes",IFERROR(BLD_PS!M62,0),0)+IF($T$8="Yes",IFERROR(BLD_PM!M62,0),0)+IF($U$8="Yes",IFERROR(BLD_CD!M62,0),0)</f>
        <v>0</v>
      </c>
      <c r="N62" s="295">
        <f>IF($E$8="Yes",IFERROR(BLD_AB!N62,0),0)+IF($F$8="Yes",IFERROR(BLD_AC!N62,0),0)+IF($G$8="Yes",IFERROR(BLD_BT!N62,0),0)+IF($H$8="Yes",IFERROR(BLD_CH!N62,0),0)+IF($I$8="Yes",IFERROR(BLD_CC!N62,0),0)+IF($J$8="Yes",IFERROR(BLD_EA!N62,0),0)+IF($K$8="Yes",IFERROR(BLD_EE!N62,0),0)+IF($L$8="Yes",IFERROR(BLD_JP!N62,0),0)+IF($M$8="Yes",IFERROR(BLD_MH!N62,0),0)+IF($N$8="Yes",IFERROR(BLD_MM!N62,0),0)+IF($O$8="Yes",IFERROR(BLD_NT!N62,0),0)+IF($P$8="Yes",IFERROR(BLD_NG!N62,0),0)+IF($Q$8="Yes",IFERROR(BLD_RG!N62,0),0)+IF($R$8="Yes",IFERROR(BLD_AS!N62,0),0)+IF($S$8="Yes",IFERROR(BLD_PS!N62,0),0)+IF($T$8="Yes",IFERROR(BLD_PM!N62,0),0)+IF($U$8="Yes",IFERROR(BLD_CD!N62,0),0)</f>
        <v>20272237.528205331</v>
      </c>
      <c r="O62" s="295">
        <f>IF($E$8="Yes",IFERROR(BLD_AB!O62,0),0)+IF($F$8="Yes",IFERROR(BLD_AC!O62,0),0)+IF($G$8="Yes",IFERROR(BLD_BT!O62,0),0)+IF($H$8="Yes",IFERROR(BLD_CH!O62,0),0)+IF($I$8="Yes",IFERROR(BLD_CC!O62,0),0)+IF($J$8="Yes",IFERROR(BLD_EA!O62,0),0)+IF($K$8="Yes",IFERROR(BLD_EE!O62,0),0)+IF($L$8="Yes",IFERROR(BLD_JP!O62,0),0)+IF($M$8="Yes",IFERROR(BLD_MH!O62,0),0)+IF($N$8="Yes",IFERROR(BLD_MM!O62,0),0)+IF($O$8="Yes",IFERROR(BLD_NT!O62,0),0)+IF($P$8="Yes",IFERROR(BLD_NG!O62,0),0)+IF($Q$8="Yes",IFERROR(BLD_RG!O62,0),0)+IF($R$8="Yes",IFERROR(BLD_AS!O62,0),0)+IF($S$8="Yes",IFERROR(BLD_PS!O62,0),0)+IF($T$8="Yes",IFERROR(BLD_PM!O62,0),0)+IF($U$8="Yes",IFERROR(BLD_CD!O62,0),0)</f>
        <v>0</v>
      </c>
      <c r="P62" s="295">
        <f>IF($E$8="Yes",IFERROR(BLD_AB!P62,0),0)+IF($F$8="Yes",IFERROR(BLD_AC!P62,0),0)+IF($G$8="Yes",IFERROR(BLD_BT!P62,0),0)+IF($H$8="Yes",IFERROR(BLD_CH!P62,0),0)+IF($I$8="Yes",IFERROR(BLD_CC!P62,0),0)+IF($J$8="Yes",IFERROR(BLD_EA!P62,0),0)+IF($K$8="Yes",IFERROR(BLD_EE!P62,0),0)+IF($L$8="Yes",IFERROR(BLD_JP!P62,0),0)+IF($M$8="Yes",IFERROR(BLD_MH!P62,0),0)+IF($N$8="Yes",IFERROR(BLD_MM!P62,0),0)+IF($O$8="Yes",IFERROR(BLD_NT!P62,0),0)+IF($P$8="Yes",IFERROR(BLD_NG!P62,0),0)+IF($Q$8="Yes",IFERROR(BLD_RG!P62,0),0)+IF($R$8="Yes",IFERROR(BLD_AS!P62,0),0)+IF($S$8="Yes",IFERROR(BLD_PS!P62,0),0)+IF($T$8="Yes",IFERROR(BLD_PM!P62,0),0)+IF($U$8="Yes",IFERROR(BLD_CD!P62,0),0)</f>
        <v>0</v>
      </c>
      <c r="Q62" s="295">
        <f>IF($E$8="Yes",IFERROR(BLD_AB!Q62,0),0)+IF($F$8="Yes",IFERROR(BLD_AC!Q62,0),0)+IF($G$8="Yes",IFERROR(BLD_BT!Q62,0),0)+IF($H$8="Yes",IFERROR(BLD_CH!Q62,0),0)+IF($I$8="Yes",IFERROR(BLD_CC!Q62,0),0)+IF($J$8="Yes",IFERROR(BLD_EA!Q62,0),0)+IF($K$8="Yes",IFERROR(BLD_EE!Q62,0),0)+IF($L$8="Yes",IFERROR(BLD_JP!Q62,0),0)+IF($M$8="Yes",IFERROR(BLD_MH!Q62,0),0)+IF($N$8="Yes",IFERROR(BLD_MM!Q62,0),0)+IF($O$8="Yes",IFERROR(BLD_NT!Q62,0),0)+IF($P$8="Yes",IFERROR(BLD_NG!Q62,0),0)+IF($Q$8="Yes",IFERROR(BLD_RG!Q62,0),0)+IF($R$8="Yes",IFERROR(BLD_AS!Q62,0),0)+IF($S$8="Yes",IFERROR(BLD_PS!Q62,0),0)+IF($T$8="Yes",IFERROR(BLD_PM!Q62,0),0)+IF($U$8="Yes",IFERROR(BLD_CD!Q62,0),0)</f>
        <v>0</v>
      </c>
      <c r="R62" s="295">
        <f>IF($E$8="Yes",IFERROR(BLD_AB!R62,0),0)+IF($F$8="Yes",IFERROR(BLD_AC!R62,0),0)+IF($G$8="Yes",IFERROR(BLD_BT!R62,0),0)+IF($H$8="Yes",IFERROR(BLD_CH!R62,0),0)+IF($I$8="Yes",IFERROR(BLD_CC!R62,0),0)+IF($J$8="Yes",IFERROR(BLD_EA!R62,0),0)+IF($K$8="Yes",IFERROR(BLD_EE!R62,0),0)+IF($L$8="Yes",IFERROR(BLD_JP!R62,0),0)+IF($M$8="Yes",IFERROR(BLD_MH!R62,0),0)+IF($N$8="Yes",IFERROR(BLD_MM!R62,0),0)+IF($O$8="Yes",IFERROR(BLD_NT!R62,0),0)+IF($P$8="Yes",IFERROR(BLD_NG!R62,0),0)+IF($Q$8="Yes",IFERROR(BLD_RG!R62,0),0)+IF($R$8="Yes",IFERROR(BLD_AS!R62,0),0)+IF($S$8="Yes",IFERROR(BLD_PS!R62,0),0)+IF($T$8="Yes",IFERROR(BLD_PM!R62,0),0)+IF($U$8="Yes",IFERROR(BLD_CD!R62,0),0)</f>
        <v>0</v>
      </c>
      <c r="S62" s="295">
        <f>IF($E$8="Yes",IFERROR(BLD_AB!S62,0),0)+IF($F$8="Yes",IFERROR(BLD_AC!S62,0),0)+IF($G$8="Yes",IFERROR(BLD_BT!S62,0),0)+IF($H$8="Yes",IFERROR(BLD_CH!S62,0),0)+IF($I$8="Yes",IFERROR(BLD_CC!S62,0),0)+IF($J$8="Yes",IFERROR(BLD_EA!S62,0),0)+IF($K$8="Yes",IFERROR(BLD_EE!S62,0),0)+IF($L$8="Yes",IFERROR(BLD_JP!S62,0),0)+IF($M$8="Yes",IFERROR(BLD_MH!S62,0),0)+IF($N$8="Yes",IFERROR(BLD_MM!S62,0),0)+IF($O$8="Yes",IFERROR(BLD_NT!S62,0),0)+IF($P$8="Yes",IFERROR(BLD_NG!S62,0),0)+IF($Q$8="Yes",IFERROR(BLD_RG!S62,0),0)+IF($R$8="Yes",IFERROR(BLD_AS!S62,0),0)+IF($S$8="Yes",IFERROR(BLD_PS!S62,0),0)+IF($T$8="Yes",IFERROR(BLD_PM!S62,0),0)+IF($U$8="Yes",IFERROR(BLD_CD!S62,0),0)</f>
        <v>0</v>
      </c>
      <c r="T62" s="295">
        <f>IF($E$8="Yes",IFERROR(BLD_AB!T62,0),0)+IF($F$8="Yes",IFERROR(BLD_AC!T62,0),0)+IF($G$8="Yes",IFERROR(BLD_BT!T62,0),0)+IF($H$8="Yes",IFERROR(BLD_CH!T62,0),0)+IF($I$8="Yes",IFERROR(BLD_CC!T62,0),0)+IF($J$8="Yes",IFERROR(BLD_EA!T62,0),0)+IF($K$8="Yes",IFERROR(BLD_EE!T62,0),0)+IF($L$8="Yes",IFERROR(BLD_JP!T62,0),0)+IF($M$8="Yes",IFERROR(BLD_MH!T62,0),0)+IF($N$8="Yes",IFERROR(BLD_MM!T62,0),0)+IF($O$8="Yes",IFERROR(BLD_NT!T62,0),0)+IF($P$8="Yes",IFERROR(BLD_NG!T62,0),0)+IF($Q$8="Yes",IFERROR(BLD_RG!T62,0),0)+IF($R$8="Yes",IFERROR(BLD_AS!T62,0),0)+IF($S$8="Yes",IFERROR(BLD_PS!T62,0),0)+IF($T$8="Yes",IFERROR(BLD_PM!T62,0),0)+IF($U$8="Yes",IFERROR(BLD_CD!T62,0),0)</f>
        <v>0</v>
      </c>
      <c r="U62" s="295">
        <f>IF($E$8="Yes",IFERROR(BLD_AB!U62,0),0)+IF($F$8="Yes",IFERROR(BLD_AC!U62,0),0)+IF($G$8="Yes",IFERROR(BLD_BT!U62,0),0)+IF($H$8="Yes",IFERROR(BLD_CH!U62,0),0)+IF($I$8="Yes",IFERROR(BLD_CC!U62,0),0)+IF($J$8="Yes",IFERROR(BLD_EA!U62,0),0)+IF($K$8="Yes",IFERROR(BLD_EE!U62,0),0)+IF($L$8="Yes",IFERROR(BLD_JP!U62,0),0)+IF($M$8="Yes",IFERROR(BLD_MH!U62,0),0)+IF($N$8="Yes",IFERROR(BLD_MM!U62,0),0)+IF($O$8="Yes",IFERROR(BLD_NT!U62,0),0)+IF($P$8="Yes",IFERROR(BLD_NG!U62,0),0)+IF($Q$8="Yes",IFERROR(BLD_RG!U62,0),0)+IF($R$8="Yes",IFERROR(BLD_AS!U62,0),0)+IF($S$8="Yes",IFERROR(BLD_PS!U62,0),0)+IF($T$8="Yes",IFERROR(BLD_PM!U62,0),0)+IF($U$8="Yes",IFERROR(BLD_CD!U62,0),0)</f>
        <v>0</v>
      </c>
      <c r="V62" s="295">
        <f>IF($E$8="Yes",IFERROR(BLD_AB!V62,0),0)+IF($F$8="Yes",IFERROR(BLD_AC!V62,0),0)+IF($G$8="Yes",IFERROR(BLD_BT!V62,0),0)+IF($H$8="Yes",IFERROR(BLD_CH!V62,0),0)+IF($I$8="Yes",IFERROR(BLD_CC!V62,0),0)+IF($J$8="Yes",IFERROR(BLD_EA!V62,0),0)+IF($K$8="Yes",IFERROR(BLD_EE!V62,0),0)+IF($L$8="Yes",IFERROR(BLD_JP!V62,0),0)+IF($M$8="Yes",IFERROR(BLD_MH!V62,0),0)+IF($N$8="Yes",IFERROR(BLD_MM!V62,0),0)+IF($O$8="Yes",IFERROR(BLD_NT!V62,0),0)+IF($P$8="Yes",IFERROR(BLD_NG!V62,0),0)+IF($Q$8="Yes",IFERROR(BLD_RG!V62,0),0)+IF($R$8="Yes",IFERROR(BLD_AS!V62,0),0)+IF($S$8="Yes",IFERROR(BLD_PS!V62,0),0)+IF($T$8="Yes",IFERROR(BLD_PM!V62,0),0)+IF($U$8="Yes",IFERROR(BLD_CD!V62,0),0)</f>
        <v>0</v>
      </c>
      <c r="W62" s="295">
        <f>IF($E$8="Yes",IFERROR(BLD_AB!W62,0),0)+IF($F$8="Yes",IFERROR(BLD_AC!W62,0),0)+IF($G$8="Yes",IFERROR(BLD_BT!W62,0),0)+IF($H$8="Yes",IFERROR(BLD_CH!W62,0),0)+IF($I$8="Yes",IFERROR(BLD_CC!W62,0),0)+IF($J$8="Yes",IFERROR(BLD_EA!W62,0),0)+IF($K$8="Yes",IFERROR(BLD_EE!W62,0),0)+IF($L$8="Yes",IFERROR(BLD_JP!W62,0),0)+IF($M$8="Yes",IFERROR(BLD_MH!W62,0),0)+IF($N$8="Yes",IFERROR(BLD_MM!W62,0),0)+IF($O$8="Yes",IFERROR(BLD_NT!W62,0),0)+IF($P$8="Yes",IFERROR(BLD_NG!W62,0),0)+IF($Q$8="Yes",IFERROR(BLD_RG!W62,0),0)+IF($R$8="Yes",IFERROR(BLD_AS!W62,0),0)+IF($S$8="Yes",IFERROR(BLD_PS!W62,0),0)+IF($T$8="Yes",IFERROR(BLD_PM!W62,0),0)+IF($U$8="Yes",IFERROR(BLD_CD!W62,0),0)</f>
        <v>0</v>
      </c>
      <c r="X62" s="295">
        <f>IF($E$8="Yes",IFERROR(BLD_AB!X62,0),0)+IF($F$8="Yes",IFERROR(BLD_AC!X62,0),0)+IF($G$8="Yes",IFERROR(BLD_BT!X62,0),0)+IF($H$8="Yes",IFERROR(BLD_CH!X62,0),0)+IF($I$8="Yes",IFERROR(BLD_CC!X62,0),0)+IF($J$8="Yes",IFERROR(BLD_EA!X62,0),0)+IF($K$8="Yes",IFERROR(BLD_EE!X62,0),0)+IF($L$8="Yes",IFERROR(BLD_JP!X62,0),0)+IF($M$8="Yes",IFERROR(BLD_MH!X62,0),0)+IF($N$8="Yes",IFERROR(BLD_MM!X62,0),0)+IF($O$8="Yes",IFERROR(BLD_NT!X62,0),0)+IF($P$8="Yes",IFERROR(BLD_NG!X62,0),0)+IF($Q$8="Yes",IFERROR(BLD_RG!X62,0),0)+IF($R$8="Yes",IFERROR(BLD_AS!X62,0),0)+IF($S$8="Yes",IFERROR(BLD_PS!X62,0),0)+IF($T$8="Yes",IFERROR(BLD_PM!X62,0),0)+IF($U$8="Yes",IFERROR(BLD_CD!X62,0),0)</f>
        <v>0</v>
      </c>
      <c r="Y62" s="295">
        <f>IF($E$8="Yes",IFERROR(BLD_AB!Y62,0),0)+IF($F$8="Yes",IFERROR(BLD_AC!Y62,0),0)+IF($G$8="Yes",IFERROR(BLD_BT!Y62,0),0)+IF($H$8="Yes",IFERROR(BLD_CH!Y62,0),0)+IF($I$8="Yes",IFERROR(BLD_CC!Y62,0),0)+IF($J$8="Yes",IFERROR(BLD_EA!Y62,0),0)+IF($K$8="Yes",IFERROR(BLD_EE!Y62,0),0)+IF($L$8="Yes",IFERROR(BLD_JP!Y62,0),0)+IF($M$8="Yes",IFERROR(BLD_MH!Y62,0),0)+IF($N$8="Yes",IFERROR(BLD_MM!Y62,0),0)+IF($O$8="Yes",IFERROR(BLD_NT!Y62,0),0)+IF($P$8="Yes",IFERROR(BLD_NG!Y62,0),0)+IF($Q$8="Yes",IFERROR(BLD_RG!Y62,0),0)+IF($R$8="Yes",IFERROR(BLD_AS!Y62,0),0)+IF($S$8="Yes",IFERROR(BLD_PS!Y62,0),0)+IF($T$8="Yes",IFERROR(BLD_PM!Y62,0),0)+IF($U$8="Yes",IFERROR(BLD_CD!Y62,0),0)</f>
        <v>0</v>
      </c>
    </row>
    <row r="63" spans="1:25" s="20" customFormat="1" ht="13.5" customHeight="1">
      <c r="C63" s="200" t="s">
        <v>369</v>
      </c>
      <c r="E63" s="285">
        <f t="shared" ref="E63:Y63" si="15">IFERROR(SUM(E61:E62),0)</f>
        <v>0</v>
      </c>
      <c r="F63" s="285">
        <f t="shared" si="15"/>
        <v>0</v>
      </c>
      <c r="G63" s="285">
        <f t="shared" si="15"/>
        <v>-70447718.963125259</v>
      </c>
      <c r="H63" s="285">
        <f t="shared" si="15"/>
        <v>-45500444.830705911</v>
      </c>
      <c r="I63" s="285">
        <f t="shared" si="15"/>
        <v>-17385398.775567945</v>
      </c>
      <c r="J63" s="285">
        <f t="shared" si="15"/>
        <v>0</v>
      </c>
      <c r="K63" s="285">
        <f t="shared" si="15"/>
        <v>0</v>
      </c>
      <c r="L63" s="285">
        <f t="shared" si="15"/>
        <v>0</v>
      </c>
      <c r="M63" s="285">
        <f t="shared" si="15"/>
        <v>0</v>
      </c>
      <c r="N63" s="285">
        <f t="shared" si="15"/>
        <v>11363378.502822038</v>
      </c>
      <c r="O63" s="285">
        <f t="shared" si="15"/>
        <v>0</v>
      </c>
      <c r="P63" s="285">
        <f t="shared" si="15"/>
        <v>0</v>
      </c>
      <c r="Q63" s="285">
        <f t="shared" si="15"/>
        <v>0</v>
      </c>
      <c r="R63" s="285">
        <f t="shared" si="15"/>
        <v>0</v>
      </c>
      <c r="S63" s="285">
        <f t="shared" si="15"/>
        <v>0</v>
      </c>
      <c r="T63" s="285">
        <f t="shared" si="15"/>
        <v>0</v>
      </c>
      <c r="U63" s="285">
        <f t="shared" si="15"/>
        <v>0</v>
      </c>
      <c r="V63" s="285">
        <f t="shared" si="15"/>
        <v>0</v>
      </c>
      <c r="W63" s="285">
        <f t="shared" si="15"/>
        <v>0</v>
      </c>
      <c r="X63" s="285">
        <f t="shared" si="15"/>
        <v>0</v>
      </c>
      <c r="Y63" s="285">
        <f t="shared" si="15"/>
        <v>0</v>
      </c>
    </row>
    <row r="64" spans="1:25" s="20" customFormat="1">
      <c r="C64" s="201" t="s">
        <v>370</v>
      </c>
      <c r="E64" s="296">
        <f>IF($E$8="Yes",IFERROR(BLD_AB!E64,0),0)+IF($F$8="Yes",IFERROR(BLD_AC!E64,0),0)+IF($G$8="Yes",IFERROR(BLD_BT!E64,0),0)+IF($H$8="Yes",IFERROR(BLD_CH!E64,0),0)+IF($I$8="Yes",IFERROR(BLD_CC!E64,0),0)+IF($J$8="Yes",IFERROR(BLD_EA!E64,0),0)+IF($K$8="Yes",IFERROR(BLD_EE!E64,0),0)+IF($L$8="Yes",IFERROR(BLD_JP!E64,0),0)+IF($M$8="Yes",IFERROR(BLD_MH!E64,0),0)+IF($N$8="Yes",IFERROR(BLD_MM!E64,0),0)+IF($O$8="Yes",IFERROR(BLD_NT!E64,0),0)+IF($P$8="Yes",IFERROR(BLD_NG!E64,0),0)+IF($Q$8="Yes",IFERROR(BLD_RG!E64,0),0)+IF($R$8="Yes",IFERROR(BLD_AS!E64,0),0)+IF($S$8="Yes",IFERROR(BLD_PS!E64,0),0)+IF($T$8="Yes",IFERROR(BLD_PM!E64,0),0)+IF($U$8="Yes",IFERROR(BLD_CD!E64,0),0)</f>
        <v>262779248.83467978</v>
      </c>
      <c r="F64" s="296">
        <f>IF($E$8="Yes",IFERROR(BLD_AB!F64,0),0)+IF($F$8="Yes",IFERROR(BLD_AC!F64,0),0)+IF($G$8="Yes",IFERROR(BLD_BT!F64,0),0)+IF($H$8="Yes",IFERROR(BLD_CH!F64,0),0)+IF($I$8="Yes",IFERROR(BLD_CC!F64,0),0)+IF($J$8="Yes",IFERROR(BLD_EA!F64,0),0)+IF($K$8="Yes",IFERROR(BLD_EE!F64,0),0)+IF($L$8="Yes",IFERROR(BLD_JP!F64,0),0)+IF($M$8="Yes",IFERROR(BLD_MH!F64,0),0)+IF($N$8="Yes",IFERROR(BLD_MM!F64,0),0)+IF($O$8="Yes",IFERROR(BLD_NT!F64,0),0)+IF($P$8="Yes",IFERROR(BLD_NG!F64,0),0)+IF($Q$8="Yes",IFERROR(BLD_RG!F64,0),0)+IF($R$8="Yes",IFERROR(BLD_AS!F64,0),0)+IF($S$8="Yes",IFERROR(BLD_PS!F64,0),0)+IF($T$8="Yes",IFERROR(BLD_PM!F64,0),0)+IF($U$8="Yes",IFERROR(BLD_CD!F64,0),0)</f>
        <v>259125585.93084663</v>
      </c>
      <c r="G64" s="296">
        <f>IF($E$8="Yes",IFERROR(BLD_AB!G64,0),0)+IF($F$8="Yes",IFERROR(BLD_AC!G64,0),0)+IF($G$8="Yes",IFERROR(BLD_BT!G64,0),0)+IF($H$8="Yes",IFERROR(BLD_CH!G64,0),0)+IF($I$8="Yes",IFERROR(BLD_CC!G64,0),0)+IF($J$8="Yes",IFERROR(BLD_EA!G64,0),0)+IF($K$8="Yes",IFERROR(BLD_EE!G64,0),0)+IF($L$8="Yes",IFERROR(BLD_JP!G64,0),0)+IF($M$8="Yes",IFERROR(BLD_MH!G64,0),0)+IF($N$8="Yes",IFERROR(BLD_MM!G64,0),0)+IF($O$8="Yes",IFERROR(BLD_NT!G64,0),0)+IF($P$8="Yes",IFERROR(BLD_NG!G64,0),0)+IF($Q$8="Yes",IFERROR(BLD_RG!G64,0),0)+IF($R$8="Yes",IFERROR(BLD_AS!G64,0),0)+IF($S$8="Yes",IFERROR(BLD_PS!G64,0),0)+IF($T$8="Yes",IFERROR(BLD_PM!G64,0),0)+IF($U$8="Yes",IFERROR(BLD_CD!G64,0),0)</f>
        <v>255739739.28378168</v>
      </c>
      <c r="H64" s="296">
        <f>IF($E$8="Yes",IFERROR(BLD_AB!H64,0),0)+IF($F$8="Yes",IFERROR(BLD_AC!H64,0),0)+IF($G$8="Yes",IFERROR(BLD_BT!H64,0),0)+IF($H$8="Yes",IFERROR(BLD_CH!H64,0),0)+IF($I$8="Yes",IFERROR(BLD_CC!H64,0),0)+IF($J$8="Yes",IFERROR(BLD_EA!H64,0),0)+IF($K$8="Yes",IFERROR(BLD_EE!H64,0),0)+IF($L$8="Yes",IFERROR(BLD_JP!H64,0),0)+IF($M$8="Yes",IFERROR(BLD_MH!H64,0),0)+IF($N$8="Yes",IFERROR(BLD_MM!H64,0),0)+IF($O$8="Yes",IFERROR(BLD_NT!H64,0),0)+IF($P$8="Yes",IFERROR(BLD_NG!H64,0),0)+IF($Q$8="Yes",IFERROR(BLD_RG!H64,0),0)+IF($R$8="Yes",IFERROR(BLD_AS!H64,0),0)+IF($S$8="Yes",IFERROR(BLD_PS!H64,0),0)+IF($T$8="Yes",IFERROR(BLD_PM!H64,0),0)+IF($U$8="Yes",IFERROR(BLD_CD!H64,0),0)</f>
        <v>182545402.91674453</v>
      </c>
      <c r="I64" s="296">
        <f>IF($E$8="Yes",IFERROR(BLD_AB!I64,0),0)+IF($F$8="Yes",IFERROR(BLD_AC!I64,0),0)+IF($G$8="Yes",IFERROR(BLD_BT!I64,0),0)+IF($H$8="Yes",IFERROR(BLD_CH!I64,0),0)+IF($I$8="Yes",IFERROR(BLD_CC!I64,0),0)+IF($J$8="Yes",IFERROR(BLD_EA!I64,0),0)+IF($K$8="Yes",IFERROR(BLD_EE!I64,0),0)+IF($L$8="Yes",IFERROR(BLD_JP!I64,0),0)+IF($M$8="Yes",IFERROR(BLD_MH!I64,0),0)+IF($N$8="Yes",IFERROR(BLD_MM!I64,0),0)+IF($O$8="Yes",IFERROR(BLD_NT!I64,0),0)+IF($P$8="Yes",IFERROR(BLD_NG!I64,0),0)+IF($Q$8="Yes",IFERROR(BLD_RG!I64,0),0)+IF($R$8="Yes",IFERROR(BLD_AS!I64,0),0)+IF($S$8="Yes",IFERROR(BLD_PS!I64,0),0)+IF($T$8="Yes",IFERROR(BLD_PM!I64,0),0)+IF($U$8="Yes",IFERROR(BLD_CD!I64,0),0)</f>
        <v>134633302.50969416</v>
      </c>
      <c r="J64" s="296">
        <f>IF($E$8="Yes",IFERROR(BLD_AB!J64,0),0)+IF($F$8="Yes",IFERROR(BLD_AC!J64,0),0)+IF($G$8="Yes",IFERROR(BLD_BT!J64,0),0)+IF($H$8="Yes",IFERROR(BLD_CH!J64,0),0)+IF($I$8="Yes",IFERROR(BLD_CC!J64,0),0)+IF($J$8="Yes",IFERROR(BLD_EA!J64,0),0)+IF($K$8="Yes",IFERROR(BLD_EE!J64,0),0)+IF($L$8="Yes",IFERROR(BLD_JP!J64,0),0)+IF($M$8="Yes",IFERROR(BLD_MH!J64,0),0)+IF($N$8="Yes",IFERROR(BLD_MM!J64,0),0)+IF($O$8="Yes",IFERROR(BLD_NT!J64,0),0)+IF($P$8="Yes",IFERROR(BLD_NG!J64,0),0)+IF($Q$8="Yes",IFERROR(BLD_RG!J64,0),0)+IF($R$8="Yes",IFERROR(BLD_AS!J64,0),0)+IF($S$8="Yes",IFERROR(BLD_PS!J64,0),0)+IF($T$8="Yes",IFERROR(BLD_PM!J64,0),0)+IF($U$8="Yes",IFERROR(BLD_CD!J64,0),0)</f>
        <v>114917972.7505495</v>
      </c>
      <c r="K64" s="296">
        <f>IF($E$8="Yes",IFERROR(BLD_AB!K64,0),0)+IF($F$8="Yes",IFERROR(BLD_AC!K64,0),0)+IF($G$8="Yes",IFERROR(BLD_BT!K64,0),0)+IF($H$8="Yes",IFERROR(BLD_CH!K64,0),0)+IF($I$8="Yes",IFERROR(BLD_CC!K64,0),0)+IF($J$8="Yes",IFERROR(BLD_EA!K64,0),0)+IF($K$8="Yes",IFERROR(BLD_EE!K64,0),0)+IF($L$8="Yes",IFERROR(BLD_JP!K64,0),0)+IF($M$8="Yes",IFERROR(BLD_MH!K64,0),0)+IF($N$8="Yes",IFERROR(BLD_MM!K64,0),0)+IF($O$8="Yes",IFERROR(BLD_NT!K64,0),0)+IF($P$8="Yes",IFERROR(BLD_NG!K64,0),0)+IF($Q$8="Yes",IFERROR(BLD_RG!K64,0),0)+IF($R$8="Yes",IFERROR(BLD_AS!K64,0),0)+IF($S$8="Yes",IFERROR(BLD_PS!K64,0),0)+IF($T$8="Yes",IFERROR(BLD_PM!K64,0),0)+IF($U$8="Yes",IFERROR(BLD_CD!K64,0),0)</f>
        <v>112497205.53971568</v>
      </c>
      <c r="L64" s="296">
        <f>IF($E$8="Yes",IFERROR(BLD_AB!L64,0),0)+IF($F$8="Yes",IFERROR(BLD_AC!L64,0),0)+IF($G$8="Yes",IFERROR(BLD_BT!L64,0),0)+IF($H$8="Yes",IFERROR(BLD_CH!L64,0),0)+IF($I$8="Yes",IFERROR(BLD_CC!L64,0),0)+IF($J$8="Yes",IFERROR(BLD_EA!L64,0),0)+IF($K$8="Yes",IFERROR(BLD_EE!L64,0),0)+IF($L$8="Yes",IFERROR(BLD_JP!L64,0),0)+IF($M$8="Yes",IFERROR(BLD_MH!L64,0),0)+IF($N$8="Yes",IFERROR(BLD_MM!L64,0),0)+IF($O$8="Yes",IFERROR(BLD_NT!L64,0),0)+IF($P$8="Yes",IFERROR(BLD_NG!L64,0),0)+IF($Q$8="Yes",IFERROR(BLD_RG!L64,0),0)+IF($R$8="Yes",IFERROR(BLD_AS!L64,0),0)+IF($S$8="Yes",IFERROR(BLD_PS!L64,0),0)+IF($T$8="Yes",IFERROR(BLD_PM!L64,0),0)+IF($U$8="Yes",IFERROR(BLD_CD!L64,0),0)</f>
        <v>110126725.67261747</v>
      </c>
      <c r="M64" s="296">
        <f>IF($E$8="Yes",IFERROR(BLD_AB!M64,0),0)+IF($F$8="Yes",IFERROR(BLD_AC!M64,0),0)+IF($G$8="Yes",IFERROR(BLD_BT!M64,0),0)+IF($H$8="Yes",IFERROR(BLD_CH!M64,0),0)+IF($I$8="Yes",IFERROR(BLD_CC!M64,0),0)+IF($J$8="Yes",IFERROR(BLD_EA!M64,0),0)+IF($K$8="Yes",IFERROR(BLD_EE!M64,0),0)+IF($L$8="Yes",IFERROR(BLD_JP!M64,0),0)+IF($M$8="Yes",IFERROR(BLD_MH!M64,0),0)+IF($N$8="Yes",IFERROR(BLD_MM!M64,0),0)+IF($O$8="Yes",IFERROR(BLD_NT!M64,0),0)+IF($P$8="Yes",IFERROR(BLD_NG!M64,0),0)+IF($Q$8="Yes",IFERROR(BLD_RG!M64,0),0)+IF($R$8="Yes",IFERROR(BLD_AS!M64,0),0)+IF($S$8="Yes",IFERROR(BLD_PS!M64,0),0)+IF($T$8="Yes",IFERROR(BLD_PM!M64,0),0)+IF($U$8="Yes",IFERROR(BLD_CD!M64,0),0)</f>
        <v>107807906.67445038</v>
      </c>
      <c r="N64" s="296">
        <f>IF($E$8="Yes",IFERROR(BLD_AB!N64,0),0)+IF($F$8="Yes",IFERROR(BLD_AC!N64,0),0)+IF($G$8="Yes",IFERROR(BLD_BT!N64,0),0)+IF($H$8="Yes",IFERROR(BLD_CH!N64,0),0)+IF($I$8="Yes",IFERROR(BLD_CC!N64,0),0)+IF($J$8="Yes",IFERROR(BLD_EA!N64,0),0)+IF($K$8="Yes",IFERROR(BLD_EE!N64,0),0)+IF($L$8="Yes",IFERROR(BLD_JP!N64,0),0)+IF($M$8="Yes",IFERROR(BLD_MH!N64,0),0)+IF($N$8="Yes",IFERROR(BLD_MM!N64,0),0)+IF($O$8="Yes",IFERROR(BLD_NT!N64,0),0)+IF($P$8="Yes",IFERROR(BLD_NG!N64,0),0)+IF($Q$8="Yes",IFERROR(BLD_RG!N64,0),0)+IF($R$8="Yes",IFERROR(BLD_AS!N64,0),0)+IF($S$8="Yes",IFERROR(BLD_PS!N64,0),0)+IF($T$8="Yes",IFERROR(BLD_PM!N64,0),0)+IF($U$8="Yes",IFERROR(BLD_CD!N64,0),0)</f>
        <v>105518573.17411987</v>
      </c>
      <c r="O64" s="296">
        <f>IF($E$8="Yes",IFERROR(BLD_AB!O64,0),0)+IF($F$8="Yes",IFERROR(BLD_AC!O64,0),0)+IF($G$8="Yes",IFERROR(BLD_BT!O64,0),0)+IF($H$8="Yes",IFERROR(BLD_CH!O64,0),0)+IF($I$8="Yes",IFERROR(BLD_CC!O64,0),0)+IF($J$8="Yes",IFERROR(BLD_EA!O64,0),0)+IF($K$8="Yes",IFERROR(BLD_EE!O64,0),0)+IF($L$8="Yes",IFERROR(BLD_JP!O64,0),0)+IF($M$8="Yes",IFERROR(BLD_MH!O64,0),0)+IF($N$8="Yes",IFERROR(BLD_MM!O64,0),0)+IF($O$8="Yes",IFERROR(BLD_NT!O64,0),0)+IF($P$8="Yes",IFERROR(BLD_NG!O64,0),0)+IF($Q$8="Yes",IFERROR(BLD_RG!O64,0),0)+IF($R$8="Yes",IFERROR(BLD_AS!O64,0),0)+IF($S$8="Yes",IFERROR(BLD_PS!O64,0),0)+IF($T$8="Yes",IFERROR(BLD_PM!O64,0),0)+IF($U$8="Yes",IFERROR(BLD_CD!O64,0),0)</f>
        <v>114745956.35834688</v>
      </c>
      <c r="P64" s="296">
        <f>IF($E$8="Yes",IFERROR(BLD_AB!P64,0),0)+IF($F$8="Yes",IFERROR(BLD_AC!P64,0),0)+IF($G$8="Yes",IFERROR(BLD_BT!P64,0),0)+IF($H$8="Yes",IFERROR(BLD_CH!P64,0),0)+IF($I$8="Yes",IFERROR(BLD_CC!P64,0),0)+IF($J$8="Yes",IFERROR(BLD_EA!P64,0),0)+IF($K$8="Yes",IFERROR(BLD_EE!P64,0),0)+IF($L$8="Yes",IFERROR(BLD_JP!P64,0),0)+IF($M$8="Yes",IFERROR(BLD_MH!P64,0),0)+IF($N$8="Yes",IFERROR(BLD_MM!P64,0),0)+IF($O$8="Yes",IFERROR(BLD_NT!P64,0),0)+IF($P$8="Yes",IFERROR(BLD_NG!P64,0),0)+IF($Q$8="Yes",IFERROR(BLD_RG!P64,0),0)+IF($R$8="Yes",IFERROR(BLD_AS!P64,0),0)+IF($S$8="Yes",IFERROR(BLD_PS!P64,0),0)+IF($T$8="Yes",IFERROR(BLD_PM!P64,0),0)+IF($U$8="Yes",IFERROR(BLD_CD!P64,0),0)</f>
        <v>112524497.07354385</v>
      </c>
      <c r="Q64" s="296">
        <f>IF($E$8="Yes",IFERROR(BLD_AB!Q64,0),0)+IF($F$8="Yes",IFERROR(BLD_AC!Q64,0),0)+IF($G$8="Yes",IFERROR(BLD_BT!Q64,0),0)+IF($H$8="Yes",IFERROR(BLD_CH!Q64,0),0)+IF($I$8="Yes",IFERROR(BLD_CC!Q64,0),0)+IF($J$8="Yes",IFERROR(BLD_EA!Q64,0),0)+IF($K$8="Yes",IFERROR(BLD_EE!Q64,0),0)+IF($L$8="Yes",IFERROR(BLD_JP!Q64,0),0)+IF($M$8="Yes",IFERROR(BLD_MH!Q64,0),0)+IF($N$8="Yes",IFERROR(BLD_MM!Q64,0),0)+IF($O$8="Yes",IFERROR(BLD_NT!Q64,0),0)+IF($P$8="Yes",IFERROR(BLD_NG!Q64,0),0)+IF($Q$8="Yes",IFERROR(BLD_RG!Q64,0),0)+IF($R$8="Yes",IFERROR(BLD_AS!Q64,0),0)+IF($S$8="Yes",IFERROR(BLD_PS!Q64,0),0)+IF($T$8="Yes",IFERROR(BLD_PM!Q64,0),0)+IF($U$8="Yes",IFERROR(BLD_CD!Q64,0),0)</f>
        <v>110214154.29194908</v>
      </c>
      <c r="R64" s="296">
        <f>IF($E$8="Yes",IFERROR(BLD_AB!R64,0),0)+IF($F$8="Yes",IFERROR(BLD_AC!R64,0),0)+IF($G$8="Yes",IFERROR(BLD_BT!R64,0),0)+IF($H$8="Yes",IFERROR(BLD_CH!R64,0),0)+IF($I$8="Yes",IFERROR(BLD_CC!R64,0),0)+IF($J$8="Yes",IFERROR(BLD_EA!R64,0),0)+IF($K$8="Yes",IFERROR(BLD_EE!R64,0),0)+IF($L$8="Yes",IFERROR(BLD_JP!R64,0),0)+IF($M$8="Yes",IFERROR(BLD_MH!R64,0),0)+IF($N$8="Yes",IFERROR(BLD_MM!R64,0),0)+IF($O$8="Yes",IFERROR(BLD_NT!R64,0),0)+IF($P$8="Yes",IFERROR(BLD_NG!R64,0),0)+IF($Q$8="Yes",IFERROR(BLD_RG!R64,0),0)+IF($R$8="Yes",IFERROR(BLD_AS!R64,0),0)+IF($S$8="Yes",IFERROR(BLD_PS!R64,0),0)+IF($T$8="Yes",IFERROR(BLD_PM!R64,0),0)+IF($U$8="Yes",IFERROR(BLD_CD!R64,0),0)</f>
        <v>107811371.66264482</v>
      </c>
      <c r="S64" s="296">
        <f>IF($E$8="Yes",IFERROR(BLD_AB!S64,0),0)+IF($F$8="Yes",IFERROR(BLD_AC!S64,0),0)+IF($G$8="Yes",IFERROR(BLD_BT!S64,0),0)+IF($H$8="Yes",IFERROR(BLD_CH!S64,0),0)+IF($I$8="Yes",IFERROR(BLD_CC!S64,0),0)+IF($J$8="Yes",IFERROR(BLD_EA!S64,0),0)+IF($K$8="Yes",IFERROR(BLD_EE!S64,0),0)+IF($L$8="Yes",IFERROR(BLD_JP!S64,0),0)+IF($M$8="Yes",IFERROR(BLD_MH!S64,0),0)+IF($N$8="Yes",IFERROR(BLD_MM!S64,0),0)+IF($O$8="Yes",IFERROR(BLD_NT!S64,0),0)+IF($P$8="Yes",IFERROR(BLD_NG!S64,0),0)+IF($Q$8="Yes",IFERROR(BLD_RG!S64,0),0)+IF($R$8="Yes",IFERROR(BLD_AS!S64,0),0)+IF($S$8="Yes",IFERROR(BLD_PS!S64,0),0)+IF($T$8="Yes",IFERROR(BLD_PM!S64,0),0)+IF($U$8="Yes",IFERROR(BLD_CD!S64,0),0)</f>
        <v>105312450.53999212</v>
      </c>
      <c r="T64" s="296">
        <f>IF($E$8="Yes",IFERROR(BLD_AB!T64,0),0)+IF($F$8="Yes",IFERROR(BLD_AC!T64,0),0)+IF($G$8="Yes",IFERROR(BLD_BT!T64,0),0)+IF($H$8="Yes",IFERROR(BLD_CH!T64,0),0)+IF($I$8="Yes",IFERROR(BLD_CC!T64,0),0)+IF($J$8="Yes",IFERROR(BLD_EA!T64,0),0)+IF($K$8="Yes",IFERROR(BLD_EE!T64,0),0)+IF($L$8="Yes",IFERROR(BLD_JP!T64,0),0)+IF($M$8="Yes",IFERROR(BLD_MH!T64,0),0)+IF($N$8="Yes",IFERROR(BLD_MM!T64,0),0)+IF($O$8="Yes",IFERROR(BLD_NT!T64,0),0)+IF($P$8="Yes",IFERROR(BLD_NG!T64,0),0)+IF($Q$8="Yes",IFERROR(BLD_RG!T64,0),0)+IF($R$8="Yes",IFERROR(BLD_AS!T64,0),0)+IF($S$8="Yes",IFERROR(BLD_PS!T64,0),0)+IF($T$8="Yes",IFERROR(BLD_PM!T64,0),0)+IF($U$8="Yes",IFERROR(BLD_CD!T64,0),0)</f>
        <v>102713544.29020485</v>
      </c>
      <c r="U64" s="296">
        <f>IF($E$8="Yes",IFERROR(BLD_AB!U64,0),0)+IF($F$8="Yes",IFERROR(BLD_AC!U64,0),0)+IF($G$8="Yes",IFERROR(BLD_BT!U64,0),0)+IF($H$8="Yes",IFERROR(BLD_CH!U64,0),0)+IF($I$8="Yes",IFERROR(BLD_CC!U64,0),0)+IF($J$8="Yes",IFERROR(BLD_EA!U64,0),0)+IF($K$8="Yes",IFERROR(BLD_EE!U64,0),0)+IF($L$8="Yes",IFERROR(BLD_JP!U64,0),0)+IF($M$8="Yes",IFERROR(BLD_MH!U64,0),0)+IF($N$8="Yes",IFERROR(BLD_MM!U64,0),0)+IF($O$8="Yes",IFERROR(BLD_NT!U64,0),0)+IF($P$8="Yes",IFERROR(BLD_NG!U64,0),0)+IF($Q$8="Yes",IFERROR(BLD_RG!U64,0),0)+IF($R$8="Yes",IFERROR(BLD_AS!U64,0),0)+IF($S$8="Yes",IFERROR(BLD_PS!U64,0),0)+IF($T$8="Yes",IFERROR(BLD_PM!U64,0),0)+IF($U$8="Yes",IFERROR(BLD_CD!U64,0),0)</f>
        <v>100010652.37012072</v>
      </c>
      <c r="V64" s="296">
        <f>IF($E$8="Yes",IFERROR(BLD_AB!V64,0),0)+IF($F$8="Yes",IFERROR(BLD_AC!V64,0),0)+IF($G$8="Yes",IFERROR(BLD_BT!V64,0),0)+IF($H$8="Yes",IFERROR(BLD_CH!V64,0),0)+IF($I$8="Yes",IFERROR(BLD_CC!V64,0),0)+IF($J$8="Yes",IFERROR(BLD_EA!V64,0),0)+IF($K$8="Yes",IFERROR(BLD_EE!V64,0),0)+IF($L$8="Yes",IFERROR(BLD_JP!V64,0),0)+IF($M$8="Yes",IFERROR(BLD_MH!V64,0),0)+IF($N$8="Yes",IFERROR(BLD_MM!V64,0),0)+IF($O$8="Yes",IFERROR(BLD_NT!V64,0),0)+IF($P$8="Yes",IFERROR(BLD_NG!V64,0),0)+IF($Q$8="Yes",IFERROR(BLD_RG!V64,0),0)+IF($R$8="Yes",IFERROR(BLD_AS!V64,0),0)+IF($S$8="Yes",IFERROR(BLD_PS!V64,0),0)+IF($T$8="Yes",IFERROR(BLD_PM!V64,0),0)+IF($U$8="Yes",IFERROR(BLD_CD!V64,0),0)</f>
        <v>97199614.169054776</v>
      </c>
      <c r="W64" s="296">
        <f>IF($E$8="Yes",IFERROR(BLD_AB!W64,0),0)+IF($F$8="Yes",IFERROR(BLD_AC!W64,0),0)+IF($G$8="Yes",IFERROR(BLD_BT!W64,0),0)+IF($H$8="Yes",IFERROR(BLD_CH!W64,0),0)+IF($I$8="Yes",IFERROR(BLD_CC!W64,0),0)+IF($J$8="Yes",IFERROR(BLD_EA!W64,0),0)+IF($K$8="Yes",IFERROR(BLD_EE!W64,0),0)+IF($L$8="Yes",IFERROR(BLD_JP!W64,0),0)+IF($M$8="Yes",IFERROR(BLD_MH!W64,0),0)+IF($N$8="Yes",IFERROR(BLD_MM!W64,0),0)+IF($O$8="Yes",IFERROR(BLD_NT!W64,0),0)+IF($P$8="Yes",IFERROR(BLD_NG!W64,0),0)+IF($Q$8="Yes",IFERROR(BLD_RG!W64,0),0)+IF($R$8="Yes",IFERROR(BLD_AS!W64,0),0)+IF($S$8="Yes",IFERROR(BLD_PS!W64,0),0)+IF($T$8="Yes",IFERROR(BLD_PM!W64,0),0)+IF($U$8="Yes",IFERROR(BLD_CD!W64,0),0)</f>
        <v>94276102.604255617</v>
      </c>
      <c r="X64" s="296">
        <f>IF($E$8="Yes",IFERROR(BLD_AB!X64,0),0)+IF($F$8="Yes",IFERROR(BLD_AC!X64,0),0)+IF($G$8="Yes",IFERROR(BLD_BT!X64,0),0)+IF($H$8="Yes",IFERROR(BLD_CH!X64,0),0)+IF($I$8="Yes",IFERROR(BLD_CC!X64,0),0)+IF($J$8="Yes",IFERROR(BLD_EA!X64,0),0)+IF($K$8="Yes",IFERROR(BLD_EE!X64,0),0)+IF($L$8="Yes",IFERROR(BLD_JP!X64,0),0)+IF($M$8="Yes",IFERROR(BLD_MH!X64,0),0)+IF($N$8="Yes",IFERROR(BLD_MM!X64,0),0)+IF($O$8="Yes",IFERROR(BLD_NT!X64,0),0)+IF($P$8="Yes",IFERROR(BLD_NG!X64,0),0)+IF($Q$8="Yes",IFERROR(BLD_RG!X64,0),0)+IF($R$8="Yes",IFERROR(BLD_AS!X64,0),0)+IF($S$8="Yes",IFERROR(BLD_PS!X64,0),0)+IF($T$8="Yes",IFERROR(BLD_PM!X64,0),0)+IF($U$8="Yes",IFERROR(BLD_CD!X64,0),0)</f>
        <v>91235617.460105747</v>
      </c>
      <c r="Y64" s="296">
        <f>IF($E$8="Yes",IFERROR(BLD_AB!Y64,0),0)+IF($F$8="Yes",IFERROR(BLD_AC!Y64,0),0)+IF($G$8="Yes",IFERROR(BLD_BT!Y64,0),0)+IF($H$8="Yes",IFERROR(BLD_CH!Y64,0),0)+IF($I$8="Yes",IFERROR(BLD_CC!Y64,0),0)+IF($J$8="Yes",IFERROR(BLD_EA!Y64,0),0)+IF($K$8="Yes",IFERROR(BLD_EE!Y64,0),0)+IF($L$8="Yes",IFERROR(BLD_JP!Y64,0),0)+IF($M$8="Yes",IFERROR(BLD_MH!Y64,0),0)+IF($N$8="Yes",IFERROR(BLD_MM!Y64,0),0)+IF($O$8="Yes",IFERROR(BLD_NT!Y64,0),0)+IF($P$8="Yes",IFERROR(BLD_NG!Y64,0),0)+IF($Q$8="Yes",IFERROR(BLD_RG!Y64,0),0)+IF($R$8="Yes",IFERROR(BLD_AS!Y64,0),0)+IF($S$8="Yes",IFERROR(BLD_PS!Y64,0),0)+IF($T$8="Yes",IFERROR(BLD_PM!Y64,0),0)+IF($U$8="Yes",IFERROR(BLD_CD!Y64,0),0)</f>
        <v>88073478.460812703</v>
      </c>
    </row>
    <row r="65" spans="3:25" s="20" customFormat="1" ht="6.95" customHeight="1">
      <c r="C65" s="201"/>
      <c r="E65" s="6"/>
      <c r="F65" s="6"/>
      <c r="G65" s="6"/>
      <c r="H65" s="6"/>
      <c r="I65" s="6"/>
      <c r="J65" s="6"/>
      <c r="K65" s="6"/>
      <c r="L65" s="6"/>
      <c r="M65" s="6"/>
      <c r="N65" s="6"/>
      <c r="O65" s="6"/>
      <c r="P65" s="6"/>
      <c r="Q65" s="6"/>
      <c r="R65" s="6"/>
      <c r="S65" s="6"/>
      <c r="T65" s="6"/>
      <c r="U65" s="6"/>
      <c r="V65" s="6"/>
      <c r="W65" s="6"/>
      <c r="X65" s="6"/>
      <c r="Y65" s="6"/>
    </row>
    <row r="66" spans="3:25" s="20" customFormat="1">
      <c r="C66" s="199" t="s">
        <v>365</v>
      </c>
      <c r="D66" s="3"/>
      <c r="E66" s="288" t="str">
        <f t="shared" ref="E66:Y66" si="16">IFERROR(IF(OR(E$61&lt;&gt;0,E$62&lt;&gt;0,E$63&lt;&gt;0),"REFI / FUNDING EVENT",""),"")</f>
        <v/>
      </c>
      <c r="F66" s="288" t="str">
        <f t="shared" si="16"/>
        <v/>
      </c>
      <c r="G66" s="289" t="str">
        <f t="shared" si="16"/>
        <v>REFI / FUNDING EVENT</v>
      </c>
      <c r="H66" s="288" t="str">
        <f t="shared" si="16"/>
        <v>REFI / FUNDING EVENT</v>
      </c>
      <c r="I66" s="288" t="str">
        <f t="shared" si="16"/>
        <v>REFI / FUNDING EVENT</v>
      </c>
      <c r="J66" s="288" t="str">
        <f t="shared" si="16"/>
        <v/>
      </c>
      <c r="K66" s="288" t="str">
        <f t="shared" si="16"/>
        <v/>
      </c>
      <c r="L66" s="288" t="str">
        <f t="shared" si="16"/>
        <v/>
      </c>
      <c r="M66" s="288" t="str">
        <f t="shared" si="16"/>
        <v/>
      </c>
      <c r="N66" s="288" t="str">
        <f t="shared" si="16"/>
        <v>REFI / FUNDING EVENT</v>
      </c>
      <c r="O66" s="288" t="str">
        <f t="shared" si="16"/>
        <v/>
      </c>
      <c r="P66" s="288" t="str">
        <f t="shared" si="16"/>
        <v/>
      </c>
      <c r="Q66" s="288" t="str">
        <f t="shared" si="16"/>
        <v/>
      </c>
      <c r="R66" s="288" t="str">
        <f t="shared" si="16"/>
        <v/>
      </c>
      <c r="S66" s="288" t="str">
        <f t="shared" si="16"/>
        <v/>
      </c>
      <c r="T66" s="288" t="str">
        <f t="shared" si="16"/>
        <v/>
      </c>
      <c r="U66" s="288" t="str">
        <f t="shared" si="16"/>
        <v/>
      </c>
      <c r="V66" s="288" t="str">
        <f t="shared" si="16"/>
        <v/>
      </c>
      <c r="W66" s="288" t="str">
        <f t="shared" si="16"/>
        <v/>
      </c>
      <c r="X66" s="288" t="str">
        <f t="shared" si="16"/>
        <v/>
      </c>
      <c r="Y66" s="288" t="str">
        <f t="shared" si="16"/>
        <v/>
      </c>
    </row>
    <row r="67" spans="3:25" s="20" customFormat="1" ht="13.5" customHeight="1">
      <c r="C67" s="200" t="s">
        <v>371</v>
      </c>
      <c r="E67" s="285">
        <f t="shared" ref="E67:Y67" si="17">IFERROR(E56,0)</f>
        <v>-12279949.43203162</v>
      </c>
      <c r="F67" s="285">
        <f t="shared" si="17"/>
        <v>-11641377.929000389</v>
      </c>
      <c r="G67" s="285">
        <f t="shared" si="17"/>
        <v>-6004726.2946791984</v>
      </c>
      <c r="H67" s="285">
        <f t="shared" si="17"/>
        <v>240560.97906341258</v>
      </c>
      <c r="I67" s="285">
        <f t="shared" si="17"/>
        <v>1931079.7645929675</v>
      </c>
      <c r="J67" s="285">
        <f t="shared" si="17"/>
        <v>2403971.1915150015</v>
      </c>
      <c r="K67" s="285">
        <f t="shared" si="17"/>
        <v>2454946.3743924438</v>
      </c>
      <c r="L67" s="285">
        <f t="shared" si="17"/>
        <v>2562753.9406021493</v>
      </c>
      <c r="M67" s="285">
        <f t="shared" si="17"/>
        <v>2670058.1845505275</v>
      </c>
      <c r="N67" s="285">
        <f t="shared" si="17"/>
        <v>2767341.0156752188</v>
      </c>
      <c r="O67" s="285">
        <f t="shared" si="17"/>
        <v>2783481.7053051088</v>
      </c>
      <c r="P67" s="285">
        <f t="shared" si="17"/>
        <v>2810752.2028912278</v>
      </c>
      <c r="Q67" s="285">
        <f t="shared" si="17"/>
        <v>2905454.3878535749</v>
      </c>
      <c r="R67" s="285">
        <f t="shared" si="17"/>
        <v>3001650.4637152776</v>
      </c>
      <c r="S67" s="285">
        <f t="shared" si="17"/>
        <v>3099360.3044743314</v>
      </c>
      <c r="T67" s="285">
        <f t="shared" si="17"/>
        <v>3198603.9315131735</v>
      </c>
      <c r="U67" s="285">
        <f t="shared" si="17"/>
        <v>3299401.5102940351</v>
      </c>
      <c r="V67" s="285">
        <f t="shared" si="17"/>
        <v>3401773.3468317762</v>
      </c>
      <c r="W67" s="285">
        <f t="shared" si="17"/>
        <v>3505739.8839360652</v>
      </c>
      <c r="X67" s="285">
        <f t="shared" si="17"/>
        <v>3611321.6972141331</v>
      </c>
      <c r="Y67" s="285">
        <f t="shared" si="17"/>
        <v>3718539.4908252424</v>
      </c>
    </row>
    <row r="68" spans="3:25" s="20" customFormat="1" ht="13.5" customHeight="1">
      <c r="C68" s="200" t="s">
        <v>372</v>
      </c>
      <c r="E68" s="287">
        <f t="shared" ref="E68:Y68" si="18">IFERROR(E67+E$63,0)</f>
        <v>-12279949.43203162</v>
      </c>
      <c r="F68" s="287">
        <f t="shared" si="18"/>
        <v>-11641377.929000389</v>
      </c>
      <c r="G68" s="287">
        <f t="shared" si="18"/>
        <v>-76452445.257804453</v>
      </c>
      <c r="H68" s="287">
        <f t="shared" si="18"/>
        <v>-45259883.851642497</v>
      </c>
      <c r="I68" s="287">
        <f t="shared" si="18"/>
        <v>-15454319.010974977</v>
      </c>
      <c r="J68" s="287">
        <f t="shared" si="18"/>
        <v>2403971.1915150015</v>
      </c>
      <c r="K68" s="287">
        <f t="shared" si="18"/>
        <v>2454946.3743924438</v>
      </c>
      <c r="L68" s="287">
        <f t="shared" si="18"/>
        <v>2562753.9406021493</v>
      </c>
      <c r="M68" s="287">
        <f t="shared" si="18"/>
        <v>2670058.1845505275</v>
      </c>
      <c r="N68" s="287">
        <f t="shared" si="18"/>
        <v>14130719.518497257</v>
      </c>
      <c r="O68" s="287">
        <f t="shared" si="18"/>
        <v>2783481.7053051088</v>
      </c>
      <c r="P68" s="287">
        <f t="shared" si="18"/>
        <v>2810752.2028912278</v>
      </c>
      <c r="Q68" s="287">
        <f t="shared" si="18"/>
        <v>2905454.3878535749</v>
      </c>
      <c r="R68" s="287">
        <f t="shared" si="18"/>
        <v>3001650.4637152776</v>
      </c>
      <c r="S68" s="287">
        <f t="shared" si="18"/>
        <v>3099360.3044743314</v>
      </c>
      <c r="T68" s="287">
        <f t="shared" si="18"/>
        <v>3198603.9315131735</v>
      </c>
      <c r="U68" s="287">
        <f t="shared" si="18"/>
        <v>3299401.5102940351</v>
      </c>
      <c r="V68" s="287">
        <f t="shared" si="18"/>
        <v>3401773.3468317762</v>
      </c>
      <c r="W68" s="287">
        <f t="shared" si="18"/>
        <v>3505739.8839360652</v>
      </c>
      <c r="X68" s="287">
        <f t="shared" si="18"/>
        <v>3611321.6972141331</v>
      </c>
      <c r="Y68" s="287">
        <f t="shared" si="18"/>
        <v>3718539.4908252424</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s="21" customFormat="1" ht="13.5" customHeight="1">
      <c r="C72" s="297" t="str">
        <f>"GROSS ASSET VALUE: Cap Rate = "&amp;TEXT($E$3,"0.0%")</f>
        <v>GROSS ASSET VALUE: Cap Rate = 6.0%</v>
      </c>
      <c r="D72" s="3"/>
      <c r="E72" s="289">
        <f t="shared" ref="E72:Y72" si="19">E$12</f>
        <v>2025</v>
      </c>
      <c r="F72" s="289">
        <f t="shared" si="19"/>
        <v>2026</v>
      </c>
      <c r="G72" s="289">
        <f t="shared" si="19"/>
        <v>2027</v>
      </c>
      <c r="H72" s="289">
        <f t="shared" si="19"/>
        <v>2028</v>
      </c>
      <c r="I72" s="289">
        <f t="shared" si="19"/>
        <v>2029</v>
      </c>
      <c r="J72" s="289">
        <f t="shared" si="19"/>
        <v>2030</v>
      </c>
      <c r="K72" s="289">
        <f t="shared" si="19"/>
        <v>2031</v>
      </c>
      <c r="L72" s="289">
        <f t="shared" si="19"/>
        <v>2032</v>
      </c>
      <c r="M72" s="289">
        <f t="shared" si="19"/>
        <v>2033</v>
      </c>
      <c r="N72" s="289">
        <f t="shared" si="19"/>
        <v>2034</v>
      </c>
      <c r="O72" s="289">
        <f t="shared" si="19"/>
        <v>2035</v>
      </c>
      <c r="P72" s="289">
        <f t="shared" si="19"/>
        <v>2036</v>
      </c>
      <c r="Q72" s="289">
        <f t="shared" si="19"/>
        <v>2037</v>
      </c>
      <c r="R72" s="289">
        <f t="shared" si="19"/>
        <v>2038</v>
      </c>
      <c r="S72" s="289">
        <f t="shared" si="19"/>
        <v>2039</v>
      </c>
      <c r="T72" s="289">
        <f t="shared" si="19"/>
        <v>2040</v>
      </c>
      <c r="U72" s="289">
        <f t="shared" si="19"/>
        <v>2041</v>
      </c>
      <c r="V72" s="289">
        <f t="shared" si="19"/>
        <v>2042</v>
      </c>
      <c r="W72" s="289">
        <f t="shared" si="19"/>
        <v>2043</v>
      </c>
      <c r="X72" s="289">
        <f t="shared" si="19"/>
        <v>2044</v>
      </c>
      <c r="Y72" s="289">
        <f t="shared" si="19"/>
        <v>2045</v>
      </c>
    </row>
    <row r="73" spans="3:25" s="21" customFormat="1" ht="13.5" customHeight="1">
      <c r="C73" s="179" t="s">
        <v>374</v>
      </c>
      <c r="E73" s="285">
        <f t="shared" ref="E73:Y73" si="20">IFERROR(E41/$E$3,0)</f>
        <v>58234126.666666664</v>
      </c>
      <c r="F73" s="285">
        <f t="shared" si="20"/>
        <v>62563621.984666675</v>
      </c>
      <c r="G73" s="285">
        <f t="shared" si="20"/>
        <v>149462563.06042212</v>
      </c>
      <c r="H73" s="285">
        <f t="shared" si="20"/>
        <v>188775109.98283935</v>
      </c>
      <c r="I73" s="285">
        <f t="shared" si="20"/>
        <v>215305796.80768463</v>
      </c>
      <c r="J73" s="285">
        <f t="shared" si="20"/>
        <v>217469959.07813081</v>
      </c>
      <c r="K73" s="285">
        <f t="shared" si="20"/>
        <v>219593925.03135759</v>
      </c>
      <c r="L73" s="285">
        <f t="shared" si="20"/>
        <v>221673551.55851546</v>
      </c>
      <c r="M73" s="285">
        <f t="shared" si="20"/>
        <v>223704479.12127775</v>
      </c>
      <c r="N73" s="285">
        <f t="shared" si="20"/>
        <v>225682122.08055887</v>
      </c>
      <c r="O73" s="285">
        <f t="shared" si="20"/>
        <v>229506014.59615257</v>
      </c>
      <c r="P73" s="285">
        <f t="shared" si="20"/>
        <v>230642285.32890752</v>
      </c>
      <c r="Q73" s="285">
        <f t="shared" si="20"/>
        <v>234588209.70233867</v>
      </c>
      <c r="R73" s="285">
        <f t="shared" si="20"/>
        <v>238596379.52990958</v>
      </c>
      <c r="S73" s="285">
        <f t="shared" si="20"/>
        <v>242667622.89487016</v>
      </c>
      <c r="T73" s="285">
        <f t="shared" si="20"/>
        <v>246802774.02148861</v>
      </c>
      <c r="U73" s="285">
        <f t="shared" si="20"/>
        <v>251002673.1373578</v>
      </c>
      <c r="V73" s="285">
        <f t="shared" si="20"/>
        <v>255268166.32643038</v>
      </c>
      <c r="W73" s="285">
        <f t="shared" si="20"/>
        <v>259600105.37244242</v>
      </c>
      <c r="X73" s="285">
        <f t="shared" si="20"/>
        <v>263999347.5923619</v>
      </c>
      <c r="Y73" s="285">
        <f t="shared" si="20"/>
        <v>268466755.65949142</v>
      </c>
    </row>
    <row r="74" spans="3:25" s="21" customFormat="1" ht="6.95" customHeight="1">
      <c r="C74" s="170"/>
    </row>
    <row r="75" spans="3:25" s="21" customFormat="1" ht="13.5" customHeight="1">
      <c r="C75" s="178" t="s">
        <v>375</v>
      </c>
      <c r="E75" s="293" t="str">
        <f t="shared" ref="E75:Y75" si="21">IFERROR(IF(OR(E$61&lt;&gt;0,E$62&lt;&gt;0,E$63&lt;&gt;0),"REFI / FUNDING EVENT",""),"")</f>
        <v/>
      </c>
      <c r="F75" s="293" t="str">
        <f t="shared" si="21"/>
        <v/>
      </c>
      <c r="G75" s="294" t="str">
        <f t="shared" si="21"/>
        <v>REFI / FUNDING EVENT</v>
      </c>
      <c r="H75" s="293" t="str">
        <f t="shared" si="21"/>
        <v>REFI / FUNDING EVENT</v>
      </c>
      <c r="I75" s="293" t="str">
        <f t="shared" si="21"/>
        <v>REFI / FUNDING EVENT</v>
      </c>
      <c r="J75" s="293" t="str">
        <f t="shared" si="21"/>
        <v/>
      </c>
      <c r="K75" s="293" t="str">
        <f t="shared" si="21"/>
        <v/>
      </c>
      <c r="L75" s="293" t="str">
        <f t="shared" si="21"/>
        <v/>
      </c>
      <c r="M75" s="293" t="str">
        <f t="shared" si="21"/>
        <v/>
      </c>
      <c r="N75" s="293" t="str">
        <f t="shared" si="21"/>
        <v>REFI / FUNDING EVENT</v>
      </c>
      <c r="O75" s="293" t="str">
        <f t="shared" si="21"/>
        <v/>
      </c>
      <c r="P75" s="293" t="str">
        <f t="shared" si="21"/>
        <v/>
      </c>
      <c r="Q75" s="293" t="str">
        <f t="shared" si="21"/>
        <v/>
      </c>
      <c r="R75" s="293" t="str">
        <f t="shared" si="21"/>
        <v/>
      </c>
      <c r="S75" s="293" t="str">
        <f t="shared" si="21"/>
        <v/>
      </c>
      <c r="T75" s="293" t="str">
        <f t="shared" si="21"/>
        <v/>
      </c>
      <c r="U75" s="293" t="str">
        <f t="shared" si="21"/>
        <v/>
      </c>
      <c r="V75" s="293" t="str">
        <f t="shared" si="21"/>
        <v/>
      </c>
      <c r="W75" s="293" t="str">
        <f t="shared" si="21"/>
        <v/>
      </c>
      <c r="X75" s="293" t="str">
        <f t="shared" si="21"/>
        <v/>
      </c>
      <c r="Y75" s="293" t="str">
        <f t="shared" si="21"/>
        <v/>
      </c>
    </row>
    <row r="76" spans="3:25" s="21" customFormat="1" ht="13.5" customHeight="1">
      <c r="C76" s="179" t="s">
        <v>370</v>
      </c>
      <c r="E76" s="285">
        <f t="shared" ref="E76:Y76" si="22">IFERROR(E64,0)</f>
        <v>262779248.83467978</v>
      </c>
      <c r="F76" s="285">
        <f t="shared" si="22"/>
        <v>259125585.93084663</v>
      </c>
      <c r="G76" s="285">
        <f t="shared" si="22"/>
        <v>255739739.28378168</v>
      </c>
      <c r="H76" s="285">
        <f t="shared" si="22"/>
        <v>182545402.91674453</v>
      </c>
      <c r="I76" s="285">
        <f t="shared" si="22"/>
        <v>134633302.50969416</v>
      </c>
      <c r="J76" s="285">
        <f t="shared" si="22"/>
        <v>114917972.7505495</v>
      </c>
      <c r="K76" s="285">
        <f t="shared" si="22"/>
        <v>112497205.53971568</v>
      </c>
      <c r="L76" s="285">
        <f t="shared" si="22"/>
        <v>110126725.67261747</v>
      </c>
      <c r="M76" s="285">
        <f t="shared" si="22"/>
        <v>107807906.67445038</v>
      </c>
      <c r="N76" s="285">
        <f t="shared" si="22"/>
        <v>105518573.17411987</v>
      </c>
      <c r="O76" s="285">
        <f t="shared" si="22"/>
        <v>114745956.35834688</v>
      </c>
      <c r="P76" s="285">
        <f t="shared" si="22"/>
        <v>112524497.07354385</v>
      </c>
      <c r="Q76" s="285">
        <f t="shared" si="22"/>
        <v>110214154.29194908</v>
      </c>
      <c r="R76" s="285">
        <f t="shared" si="22"/>
        <v>107811371.66264482</v>
      </c>
      <c r="S76" s="285">
        <f t="shared" si="22"/>
        <v>105312450.53999212</v>
      </c>
      <c r="T76" s="285">
        <f t="shared" si="22"/>
        <v>102713544.29020485</v>
      </c>
      <c r="U76" s="285">
        <f t="shared" si="22"/>
        <v>100010652.37012072</v>
      </c>
      <c r="V76" s="285">
        <f t="shared" si="22"/>
        <v>97199614.169054776</v>
      </c>
      <c r="W76" s="285">
        <f t="shared" si="22"/>
        <v>94276102.604255617</v>
      </c>
      <c r="X76" s="285">
        <f t="shared" si="22"/>
        <v>91235617.460105747</v>
      </c>
      <c r="Y76" s="285">
        <f t="shared" si="22"/>
        <v>88073478.460812703</v>
      </c>
    </row>
    <row r="77" spans="3:25" s="21" customFormat="1" ht="13.5" customHeight="1">
      <c r="C77" s="180" t="s">
        <v>376</v>
      </c>
      <c r="E77" s="287">
        <f t="shared" ref="E77:Y77" si="23">IFERROR(E73-E$76,0)</f>
        <v>-204545122.16801313</v>
      </c>
      <c r="F77" s="287">
        <f t="shared" si="23"/>
        <v>-196561963.94617996</v>
      </c>
      <c r="G77" s="287">
        <f t="shared" si="23"/>
        <v>-106277176.22335956</v>
      </c>
      <c r="H77" s="287">
        <f t="shared" si="23"/>
        <v>6229707.0660948157</v>
      </c>
      <c r="I77" s="287">
        <f t="shared" si="23"/>
        <v>80672494.297990471</v>
      </c>
      <c r="J77" s="287">
        <f t="shared" si="23"/>
        <v>102551986.32758132</v>
      </c>
      <c r="K77" s="287">
        <f t="shared" si="23"/>
        <v>107096719.49164191</v>
      </c>
      <c r="L77" s="287">
        <f t="shared" si="23"/>
        <v>111546825.88589799</v>
      </c>
      <c r="M77" s="287">
        <f t="shared" si="23"/>
        <v>115896572.44682737</v>
      </c>
      <c r="N77" s="287">
        <f t="shared" si="23"/>
        <v>120163548.90643899</v>
      </c>
      <c r="O77" s="287">
        <f t="shared" si="23"/>
        <v>114760058.23780569</v>
      </c>
      <c r="P77" s="287">
        <f t="shared" si="23"/>
        <v>118117788.25536367</v>
      </c>
      <c r="Q77" s="287">
        <f t="shared" si="23"/>
        <v>124374055.41038959</v>
      </c>
      <c r="R77" s="287">
        <f t="shared" si="23"/>
        <v>130785007.86726476</v>
      </c>
      <c r="S77" s="287">
        <f t="shared" si="23"/>
        <v>137355172.35487804</v>
      </c>
      <c r="T77" s="287">
        <f t="shared" si="23"/>
        <v>144089229.73128375</v>
      </c>
      <c r="U77" s="287">
        <f t="shared" si="23"/>
        <v>150992020.76723707</v>
      </c>
      <c r="V77" s="287">
        <f t="shared" si="23"/>
        <v>158068552.1573756</v>
      </c>
      <c r="W77" s="287">
        <f t="shared" si="23"/>
        <v>165324002.76818681</v>
      </c>
      <c r="X77" s="287">
        <f t="shared" si="23"/>
        <v>172763730.13225615</v>
      </c>
      <c r="Y77" s="287">
        <f t="shared" si="23"/>
        <v>180393277.19867873</v>
      </c>
    </row>
    <row r="78" spans="3:25" s="20" customFormat="1" ht="6.95" customHeight="1">
      <c r="C78" s="181"/>
      <c r="E78" s="6"/>
      <c r="F78" s="6"/>
      <c r="G78" s="6"/>
      <c r="H78" s="6"/>
      <c r="I78" s="6"/>
      <c r="J78" s="6"/>
      <c r="K78" s="6"/>
      <c r="L78" s="6"/>
      <c r="M78" s="6"/>
      <c r="N78" s="6"/>
      <c r="O78" s="6"/>
      <c r="P78" s="6"/>
      <c r="Q78" s="6"/>
      <c r="R78" s="6"/>
      <c r="S78" s="6"/>
      <c r="T78" s="6"/>
      <c r="U78" s="6"/>
      <c r="V78" s="6"/>
      <c r="W78" s="6"/>
      <c r="X78" s="6"/>
      <c r="Y78" s="6"/>
    </row>
    <row r="79" spans="3:25" s="20" customFormat="1">
      <c r="C79" s="297" t="str">
        <f>"NOI YIELD: Stab. Yr. = "&amp;$E$4</f>
        <v>NOI YIELD: Stab. Yr. = 2035</v>
      </c>
      <c r="E79" s="289" t="str">
        <f t="shared" ref="E79:Y79" si="24">IF(E$72=$E$4,"STAB. YR.","")</f>
        <v/>
      </c>
      <c r="F79" s="289" t="str">
        <f t="shared" si="24"/>
        <v/>
      </c>
      <c r="G79" s="289" t="str">
        <f t="shared" si="24"/>
        <v/>
      </c>
      <c r="H79" s="289" t="str">
        <f t="shared" si="24"/>
        <v/>
      </c>
      <c r="I79" s="289" t="str">
        <f t="shared" si="24"/>
        <v/>
      </c>
      <c r="J79" s="289" t="str">
        <f t="shared" si="24"/>
        <v/>
      </c>
      <c r="K79" s="289" t="str">
        <f t="shared" si="24"/>
        <v/>
      </c>
      <c r="L79" s="289" t="str">
        <f t="shared" si="24"/>
        <v/>
      </c>
      <c r="M79" s="289" t="str">
        <f t="shared" si="24"/>
        <v/>
      </c>
      <c r="N79" s="289" t="str">
        <f t="shared" si="24"/>
        <v/>
      </c>
      <c r="O79" s="289" t="str">
        <f t="shared" si="24"/>
        <v>STAB. YR.</v>
      </c>
      <c r="P79" s="289" t="str">
        <f t="shared" si="24"/>
        <v/>
      </c>
      <c r="Q79" s="289" t="str">
        <f t="shared" si="24"/>
        <v/>
      </c>
      <c r="R79" s="289" t="str">
        <f t="shared" si="24"/>
        <v/>
      </c>
      <c r="S79" s="289" t="str">
        <f t="shared" si="24"/>
        <v/>
      </c>
      <c r="T79" s="289" t="str">
        <f t="shared" si="24"/>
        <v/>
      </c>
      <c r="U79" s="289" t="str">
        <f t="shared" si="24"/>
        <v/>
      </c>
      <c r="V79" s="289" t="str">
        <f t="shared" si="24"/>
        <v/>
      </c>
      <c r="W79" s="289" t="str">
        <f t="shared" si="24"/>
        <v/>
      </c>
      <c r="X79" s="289" t="str">
        <f t="shared" si="24"/>
        <v/>
      </c>
      <c r="Y79" s="289" t="str">
        <f t="shared" si="24"/>
        <v/>
      </c>
    </row>
    <row r="80" spans="3:25" ht="13.5" customHeight="1">
      <c r="C80" s="182" t="s">
        <v>377</v>
      </c>
      <c r="E80" s="9"/>
      <c r="F80" s="9"/>
      <c r="G80" s="9"/>
      <c r="H80" s="9"/>
      <c r="I80" s="9"/>
      <c r="J80" s="9"/>
      <c r="K80" s="9"/>
      <c r="L80" s="9"/>
      <c r="M80" s="9"/>
      <c r="N80" s="9"/>
      <c r="O80" s="9"/>
      <c r="P80" s="9"/>
      <c r="Q80" s="9"/>
      <c r="R80" s="9"/>
      <c r="S80" s="9"/>
      <c r="T80" s="9"/>
      <c r="U80" s="9"/>
      <c r="V80" s="9"/>
      <c r="W80" s="9"/>
      <c r="X80" s="9"/>
      <c r="Y80" s="9"/>
    </row>
    <row r="81" spans="3:25" s="20" customFormat="1">
      <c r="C81" s="181" t="s">
        <v>378</v>
      </c>
      <c r="D81" s="17"/>
      <c r="E81" s="296">
        <f t="shared" ref="E81:Y81" si="25">IFERROR(IF(E$72=$E$4,E73,0),0)</f>
        <v>0</v>
      </c>
      <c r="F81" s="296">
        <f t="shared" si="25"/>
        <v>0</v>
      </c>
      <c r="G81" s="296">
        <f t="shared" si="25"/>
        <v>0</v>
      </c>
      <c r="H81" s="296">
        <f t="shared" si="25"/>
        <v>0</v>
      </c>
      <c r="I81" s="296">
        <f t="shared" si="25"/>
        <v>0</v>
      </c>
      <c r="J81" s="296">
        <f t="shared" si="25"/>
        <v>0</v>
      </c>
      <c r="K81" s="296">
        <f t="shared" si="25"/>
        <v>0</v>
      </c>
      <c r="L81" s="296">
        <f t="shared" si="25"/>
        <v>0</v>
      </c>
      <c r="M81" s="296">
        <f t="shared" si="25"/>
        <v>0</v>
      </c>
      <c r="N81" s="296">
        <f t="shared" si="25"/>
        <v>0</v>
      </c>
      <c r="O81" s="296">
        <f t="shared" si="25"/>
        <v>229506014.59615257</v>
      </c>
      <c r="P81" s="296">
        <f t="shared" si="25"/>
        <v>0</v>
      </c>
      <c r="Q81" s="296">
        <f t="shared" si="25"/>
        <v>0</v>
      </c>
      <c r="R81" s="296">
        <f t="shared" si="25"/>
        <v>0</v>
      </c>
      <c r="S81" s="296">
        <f t="shared" si="25"/>
        <v>0</v>
      </c>
      <c r="T81" s="296">
        <f t="shared" si="25"/>
        <v>0</v>
      </c>
      <c r="U81" s="296">
        <f t="shared" si="25"/>
        <v>0</v>
      </c>
      <c r="V81" s="296">
        <f t="shared" si="25"/>
        <v>0</v>
      </c>
      <c r="W81" s="296">
        <f t="shared" si="25"/>
        <v>0</v>
      </c>
      <c r="X81" s="296">
        <f t="shared" si="25"/>
        <v>0</v>
      </c>
      <c r="Y81" s="296">
        <f t="shared" si="25"/>
        <v>0</v>
      </c>
    </row>
    <row r="82" spans="3:25" s="20" customFormat="1">
      <c r="C82" s="181" t="s">
        <v>379</v>
      </c>
      <c r="D82" s="17"/>
      <c r="E82" s="298">
        <f t="shared" ref="E82:Y82" si="26">IFERROR(E$41/SUM($E$81:$Y$81),"")</f>
        <v>1.5224209292066953E-2</v>
      </c>
      <c r="F82" s="298">
        <f t="shared" si="26"/>
        <v>1.6356073829635179E-2</v>
      </c>
      <c r="G82" s="298">
        <f t="shared" si="26"/>
        <v>3.9074155853411181E-2</v>
      </c>
      <c r="H82" s="298">
        <f t="shared" si="26"/>
        <v>4.9351676551487804E-2</v>
      </c>
      <c r="I82" s="298">
        <f t="shared" si="26"/>
        <v>5.6287622052923925E-2</v>
      </c>
      <c r="J82" s="298">
        <f t="shared" si="26"/>
        <v>5.6853401282959612E-2</v>
      </c>
      <c r="K82" s="298">
        <f t="shared" si="26"/>
        <v>5.7408671947294272E-2</v>
      </c>
      <c r="L82" s="298">
        <f t="shared" si="26"/>
        <v>5.7952350908601832E-2</v>
      </c>
      <c r="M82" s="298">
        <f t="shared" si="26"/>
        <v>5.8483298448169185E-2</v>
      </c>
      <c r="N82" s="298">
        <f t="shared" si="26"/>
        <v>5.9000315737522853E-2</v>
      </c>
      <c r="O82" s="298">
        <f t="shared" si="26"/>
        <v>0.06</v>
      </c>
      <c r="P82" s="298">
        <f t="shared" si="26"/>
        <v>6.0297056458782847E-2</v>
      </c>
      <c r="Q82" s="298">
        <f t="shared" si="26"/>
        <v>6.1328643638850745E-2</v>
      </c>
      <c r="R82" s="298">
        <f t="shared" si="26"/>
        <v>6.2376503713792275E-2</v>
      </c>
      <c r="S82" s="298">
        <f t="shared" si="26"/>
        <v>6.3440853170286776E-2</v>
      </c>
      <c r="T82" s="298">
        <f t="shared" si="26"/>
        <v>6.4521910100466526E-2</v>
      </c>
      <c r="U82" s="298">
        <f t="shared" si="26"/>
        <v>6.5619894165919332E-2</v>
      </c>
      <c r="V82" s="298">
        <f t="shared" si="26"/>
        <v>6.673502655926726E-2</v>
      </c>
      <c r="W82" s="298">
        <f t="shared" si="26"/>
        <v>6.7867529963232878E-2</v>
      </c>
      <c r="X82" s="298">
        <f t="shared" si="26"/>
        <v>6.901762850709732E-2</v>
      </c>
      <c r="Y82" s="298">
        <f t="shared" si="26"/>
        <v>7.0185547720454031E-2</v>
      </c>
    </row>
    <row r="83" spans="3:25" s="20" customFormat="1">
      <c r="C83" s="179" t="s">
        <v>380</v>
      </c>
      <c r="E83" s="285">
        <f t="shared" ref="E83:Y83" si="27">IFERROR(IF(E$72=$E$4,E77,0),0)</f>
        <v>0</v>
      </c>
      <c r="F83" s="285">
        <f t="shared" si="27"/>
        <v>0</v>
      </c>
      <c r="G83" s="285">
        <f t="shared" si="27"/>
        <v>0</v>
      </c>
      <c r="H83" s="285">
        <f t="shared" si="27"/>
        <v>0</v>
      </c>
      <c r="I83" s="285">
        <f t="shared" si="27"/>
        <v>0</v>
      </c>
      <c r="J83" s="285">
        <f t="shared" si="27"/>
        <v>0</v>
      </c>
      <c r="K83" s="285">
        <f t="shared" si="27"/>
        <v>0</v>
      </c>
      <c r="L83" s="285">
        <f t="shared" si="27"/>
        <v>0</v>
      </c>
      <c r="M83" s="285">
        <f t="shared" si="27"/>
        <v>0</v>
      </c>
      <c r="N83" s="285">
        <f t="shared" si="27"/>
        <v>0</v>
      </c>
      <c r="O83" s="285">
        <f t="shared" si="27"/>
        <v>114760058.23780569</v>
      </c>
      <c r="P83" s="285">
        <f t="shared" si="27"/>
        <v>0</v>
      </c>
      <c r="Q83" s="285">
        <f t="shared" si="27"/>
        <v>0</v>
      </c>
      <c r="R83" s="285">
        <f t="shared" si="27"/>
        <v>0</v>
      </c>
      <c r="S83" s="285">
        <f t="shared" si="27"/>
        <v>0</v>
      </c>
      <c r="T83" s="285">
        <f t="shared" si="27"/>
        <v>0</v>
      </c>
      <c r="U83" s="285">
        <f t="shared" si="27"/>
        <v>0</v>
      </c>
      <c r="V83" s="285">
        <f t="shared" si="27"/>
        <v>0</v>
      </c>
      <c r="W83" s="285">
        <f t="shared" si="27"/>
        <v>0</v>
      </c>
      <c r="X83" s="285">
        <f t="shared" si="27"/>
        <v>0</v>
      </c>
      <c r="Y83" s="285">
        <f t="shared" si="27"/>
        <v>0</v>
      </c>
    </row>
    <row r="84" spans="3:25" s="20" customFormat="1">
      <c r="C84" s="183" t="s">
        <v>381</v>
      </c>
      <c r="D84" s="19"/>
      <c r="E84" s="299">
        <f t="shared" ref="E84:Y84" si="28">IFERROR(E$41/SUM($E$83:$Y$83),"")</f>
        <v>3.0446547811605648E-2</v>
      </c>
      <c r="F84" s="299">
        <f t="shared" si="28"/>
        <v>3.2710137801615115E-2</v>
      </c>
      <c r="G84" s="299">
        <f t="shared" si="28"/>
        <v>7.8143510218880816E-2</v>
      </c>
      <c r="H84" s="299">
        <f t="shared" si="28"/>
        <v>9.8697288698647953E-2</v>
      </c>
      <c r="I84" s="299">
        <f t="shared" si="28"/>
        <v>0.1125683274026551</v>
      </c>
      <c r="J84" s="299">
        <f t="shared" si="28"/>
        <v>0.1136998163389686</v>
      </c>
      <c r="K84" s="299">
        <f t="shared" si="28"/>
        <v>0.11481028943518758</v>
      </c>
      <c r="L84" s="299">
        <f t="shared" si="28"/>
        <v>0.11589758054975732</v>
      </c>
      <c r="M84" s="299">
        <f t="shared" si="28"/>
        <v>0.11695941038530192</v>
      </c>
      <c r="N84" s="299">
        <f t="shared" si="28"/>
        <v>0.11799338143218813</v>
      </c>
      <c r="O84" s="299">
        <f t="shared" si="28"/>
        <v>0.11999262711451596</v>
      </c>
      <c r="P84" s="299">
        <f t="shared" si="28"/>
        <v>0.12058670352936077</v>
      </c>
      <c r="Q84" s="299">
        <f t="shared" si="28"/>
        <v>0.12264975112659415</v>
      </c>
      <c r="R84" s="299">
        <f t="shared" si="28"/>
        <v>0.12474534251393826</v>
      </c>
      <c r="S84" s="299">
        <f t="shared" si="28"/>
        <v>0.12687391063814965</v>
      </c>
      <c r="T84" s="299">
        <f t="shared" si="28"/>
        <v>0.12903589165669335</v>
      </c>
      <c r="U84" s="299">
        <f t="shared" si="28"/>
        <v>0.13123172486575266</v>
      </c>
      <c r="V84" s="299">
        <f t="shared" si="28"/>
        <v>0.13346185262339127</v>
      </c>
      <c r="W84" s="299">
        <f t="shared" si="28"/>
        <v>0.1357267202676907</v>
      </c>
      <c r="X84" s="299">
        <f t="shared" si="28"/>
        <v>0.13802677602967192</v>
      </c>
      <c r="Y84" s="299">
        <f t="shared" si="28"/>
        <v>0.14036247094080842</v>
      </c>
    </row>
    <row r="85" spans="3:25" s="20" customFormat="1" ht="6.95" customHeight="1">
      <c r="C85" s="181"/>
      <c r="E85" s="6"/>
      <c r="F85" s="6"/>
      <c r="G85" s="6"/>
      <c r="H85" s="6"/>
      <c r="I85" s="6"/>
      <c r="J85" s="6"/>
      <c r="K85" s="6"/>
      <c r="L85" s="6"/>
      <c r="M85" s="6"/>
      <c r="N85" s="6"/>
      <c r="O85" s="6"/>
      <c r="P85" s="6"/>
      <c r="Q85" s="6"/>
      <c r="R85" s="6"/>
      <c r="S85" s="6"/>
      <c r="T85" s="6"/>
      <c r="U85" s="6"/>
      <c r="V85" s="6"/>
      <c r="W85" s="6"/>
      <c r="X85" s="6"/>
      <c r="Y85" s="6"/>
    </row>
    <row r="86" spans="3:25" s="20" customFormat="1">
      <c r="C86" s="297" t="str">
        <f>"DISTRIBUTION YIELD: Stab. Yr. = "&amp;$E$4</f>
        <v>DISTRIBUTION YIELD: Stab. Yr. = 2035</v>
      </c>
      <c r="E86" s="289" t="str">
        <f t="shared" ref="E86:Y86" si="29">IF(E$72=$E$4,"STAB. YR.","")</f>
        <v/>
      </c>
      <c r="F86" s="289" t="str">
        <f t="shared" si="29"/>
        <v/>
      </c>
      <c r="G86" s="289" t="str">
        <f t="shared" si="29"/>
        <v/>
      </c>
      <c r="H86" s="289" t="str">
        <f t="shared" si="29"/>
        <v/>
      </c>
      <c r="I86" s="289" t="str">
        <f t="shared" si="29"/>
        <v/>
      </c>
      <c r="J86" s="289" t="str">
        <f t="shared" si="29"/>
        <v/>
      </c>
      <c r="K86" s="289" t="str">
        <f t="shared" si="29"/>
        <v/>
      </c>
      <c r="L86" s="289" t="str">
        <f t="shared" si="29"/>
        <v/>
      </c>
      <c r="M86" s="289" t="str">
        <f t="shared" si="29"/>
        <v/>
      </c>
      <c r="N86" s="289" t="str">
        <f t="shared" si="29"/>
        <v/>
      </c>
      <c r="O86" s="289" t="str">
        <f t="shared" si="29"/>
        <v>STAB. YR.</v>
      </c>
      <c r="P86" s="289" t="str">
        <f t="shared" si="29"/>
        <v/>
      </c>
      <c r="Q86" s="289" t="str">
        <f t="shared" si="29"/>
        <v/>
      </c>
      <c r="R86" s="289" t="str">
        <f t="shared" si="29"/>
        <v/>
      </c>
      <c r="S86" s="289" t="str">
        <f t="shared" si="29"/>
        <v/>
      </c>
      <c r="T86" s="289" t="str">
        <f t="shared" si="29"/>
        <v/>
      </c>
      <c r="U86" s="289" t="str">
        <f t="shared" si="29"/>
        <v/>
      </c>
      <c r="V86" s="289" t="str">
        <f t="shared" si="29"/>
        <v/>
      </c>
      <c r="W86" s="289" t="str">
        <f t="shared" si="29"/>
        <v/>
      </c>
      <c r="X86" s="289" t="str">
        <f t="shared" si="29"/>
        <v/>
      </c>
      <c r="Y86" s="289" t="str">
        <f t="shared" si="29"/>
        <v/>
      </c>
    </row>
    <row r="87" spans="3:25" s="20" customFormat="1">
      <c r="C87" s="27" t="s">
        <v>382</v>
      </c>
      <c r="D87" s="19"/>
      <c r="E87" s="299">
        <f t="shared" ref="E87:Y87" si="30">IFERROR(E$54/SUM($E$83:$Y$83),"")</f>
        <v>0</v>
      </c>
      <c r="F87" s="299">
        <f t="shared" si="30"/>
        <v>0</v>
      </c>
      <c r="G87" s="299">
        <f t="shared" si="30"/>
        <v>0</v>
      </c>
      <c r="H87" s="299">
        <f t="shared" si="30"/>
        <v>3.1443123516666695E-3</v>
      </c>
      <c r="I87" s="299">
        <f t="shared" si="30"/>
        <v>2.5240660307849251E-2</v>
      </c>
      <c r="J87" s="299">
        <f t="shared" si="30"/>
        <v>3.1421705797676065E-2</v>
      </c>
      <c r="K87" s="299">
        <f t="shared" si="30"/>
        <v>3.2087989655407448E-2</v>
      </c>
      <c r="L87" s="299">
        <f t="shared" si="30"/>
        <v>3.3497115372122056E-2</v>
      </c>
      <c r="M87" s="299">
        <f t="shared" si="30"/>
        <v>3.4899662289526318E-2</v>
      </c>
      <c r="N87" s="299">
        <f t="shared" si="30"/>
        <v>3.6171221827990936E-2</v>
      </c>
      <c r="O87" s="299">
        <f t="shared" si="30"/>
        <v>3.6382192742580963E-2</v>
      </c>
      <c r="P87" s="299">
        <f t="shared" si="30"/>
        <v>3.6738638591487856E-2</v>
      </c>
      <c r="Q87" s="299">
        <f t="shared" si="30"/>
        <v>3.7976467149827886E-2</v>
      </c>
      <c r="R87" s="299">
        <f t="shared" si="30"/>
        <v>3.9233821982234351E-2</v>
      </c>
      <c r="S87" s="299">
        <f t="shared" si="30"/>
        <v>4.051096285676118E-2</v>
      </c>
      <c r="T87" s="299">
        <f t="shared" si="30"/>
        <v>4.1808151467887404E-2</v>
      </c>
      <c r="U87" s="299">
        <f t="shared" si="30"/>
        <v>4.3125651393322979E-2</v>
      </c>
      <c r="V87" s="299">
        <f t="shared" si="30"/>
        <v>4.4463728047906152E-2</v>
      </c>
      <c r="W87" s="299">
        <f t="shared" si="30"/>
        <v>4.5822648634485805E-2</v>
      </c>
      <c r="X87" s="299">
        <f t="shared" si="30"/>
        <v>4.7202682091674539E-2</v>
      </c>
      <c r="Y87" s="299">
        <f t="shared" si="30"/>
        <v>4.8604099038356455E-2</v>
      </c>
    </row>
  </sheetData>
  <mergeCells count="7">
    <mergeCell ref="C71:Y71"/>
    <mergeCell ref="J1:O1"/>
    <mergeCell ref="M4:O4"/>
    <mergeCell ref="M3:O3"/>
    <mergeCell ref="C59:Y59"/>
    <mergeCell ref="C11:Y11"/>
    <mergeCell ref="M2:O2"/>
  </mergeCells>
  <conditionalFormatting sqref="E12:Y12">
    <cfRule type="cellIs" dxfId="17" priority="1" operator="equal">
      <formula>$E$4</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A97C0-4549-4EF7-ABF0-6C948AF06615}">
  <sheetPr>
    <tabColor rgb="FF1F2937"/>
  </sheetPr>
  <dimension ref="A1:J31"/>
  <sheetViews>
    <sheetView workbookViewId="0">
      <selection activeCell="A16" sqref="A16"/>
    </sheetView>
  </sheetViews>
  <sheetFormatPr defaultRowHeight="15"/>
  <cols>
    <col min="1" max="1" width="24" customWidth="1"/>
    <col min="2" max="2" width="17.7109375" customWidth="1"/>
    <col min="3" max="3" width="13.85546875" customWidth="1"/>
    <col min="4" max="4" width="7.28515625" customWidth="1"/>
    <col min="5" max="5" width="12.28515625" customWidth="1"/>
    <col min="6" max="6" width="13.42578125" customWidth="1"/>
    <col min="7" max="7" width="16.140625" customWidth="1"/>
    <col min="8" max="8" width="10.5703125" customWidth="1"/>
    <col min="9" max="10" width="36" customWidth="1"/>
  </cols>
  <sheetData>
    <row r="1" spans="1:10" ht="15.75">
      <c r="A1" s="452" t="s">
        <v>545</v>
      </c>
      <c r="B1" s="424"/>
      <c r="C1" s="424"/>
      <c r="D1" s="424"/>
      <c r="E1" s="424"/>
      <c r="F1" s="424"/>
      <c r="G1" s="424"/>
      <c r="H1" s="424"/>
      <c r="I1" s="424"/>
      <c r="J1" s="424"/>
    </row>
    <row r="2" spans="1:10">
      <c r="A2" s="453" t="s">
        <v>546</v>
      </c>
      <c r="B2" s="424"/>
      <c r="C2" s="424"/>
      <c r="D2" s="424"/>
      <c r="E2" s="424"/>
      <c r="F2" s="424"/>
      <c r="G2" s="424"/>
      <c r="H2" s="424"/>
      <c r="I2" s="424"/>
      <c r="J2" s="424"/>
    </row>
    <row r="4" spans="1:10" ht="30">
      <c r="A4" s="171" t="s">
        <v>79</v>
      </c>
      <c r="B4" s="171" t="s">
        <v>80</v>
      </c>
      <c r="C4" s="171" t="s">
        <v>232</v>
      </c>
      <c r="D4" s="171" t="s">
        <v>56</v>
      </c>
      <c r="E4" s="171" t="s">
        <v>547</v>
      </c>
      <c r="F4" s="171" t="s">
        <v>548</v>
      </c>
      <c r="G4" s="171" t="s">
        <v>86</v>
      </c>
      <c r="H4" s="171" t="s">
        <v>549</v>
      </c>
      <c r="I4" s="171" t="s">
        <v>550</v>
      </c>
      <c r="J4" s="171" t="s">
        <v>551</v>
      </c>
    </row>
    <row r="5" spans="1:10" ht="30">
      <c r="A5" s="346" t="s">
        <v>433</v>
      </c>
      <c r="B5" s="347" t="str">
        <f>IFERROR(INDEX('01_Property Summary'!$C$5:$C$21,MATCH($A5,'01_Property Summary'!$B$5:$B$21,0)),"")</f>
        <v>Alma Blackwell</v>
      </c>
      <c r="C5" s="347" t="str">
        <f>IFERROR(INDEX('01_Property Summary'!$E$5:$E$21,MATCH($A5,'01_Property Summary'!$B$5:$B$21,0)),"")</f>
        <v>Vancouver</v>
      </c>
      <c r="D5" s="347" t="str">
        <f>IFERROR(INDEX('01_Property Summary'!$G$5:$G$21,MATCH($A5,'01_Property Summary'!$B$5:$B$21,0)),"")</f>
        <v>Active</v>
      </c>
      <c r="E5" s="346" t="s">
        <v>523</v>
      </c>
      <c r="F5" s="347" t="str">
        <f>IFERROR(INDEX(DATA_ASSET_CLASSIFICATION!$U$8:$U$24,MATCH($A5,DATA_ASSET_CLASSIFICATION!$A$8:$A$24,0)),"Review")</f>
        <v>Excluded</v>
      </c>
      <c r="G5" s="347" t="str">
        <f>IFERROR(INDEX('00_PORTFOLIO_REGISTER'!$J$5:$J$21,MATCH($A5,'00_PORTFOLIO_REGISTER'!$B$5:$B$21,0)),"")</f>
        <v>Bucket 0 · Excluded</v>
      </c>
      <c r="H5" s="347" t="str">
        <f>IF(OR($F5="",$G5=""),"OPEN",IF($G5=IFERROR(INDEX(DATA_ASSET_CLASSIFICATION!$AB$8:$AB$13,MATCH($F5,DATA_ASSET_CLASSIFICATION!$AA$8:$AA$13,0)),"Review"),"OK","CHECK"))</f>
        <v>OK</v>
      </c>
      <c r="I5" s="347" t="str">
        <f>IFERROR(INDEX('00_PORTFOLIO_REGISTER'!$L$5:$L$21,MATCH($A5,'00_PORTFOLIO_REGISTER'!$B$5:$B$21,0)),"")</f>
        <v>Affordable rent = $0 (no data). Mkt units = 10 assumed.</v>
      </c>
      <c r="J5" s="170"/>
    </row>
    <row r="6" spans="1:10" ht="30">
      <c r="A6" s="346" t="s">
        <v>438</v>
      </c>
      <c r="B6" s="347" t="str">
        <f>IFERROR(INDEX('01_Property Summary'!$C$5:$C$21,MATCH($A6,'01_Property Summary'!$B$5:$B$21,0)),"")</f>
        <v>Antkiw Court</v>
      </c>
      <c r="C6" s="347" t="str">
        <f>IFERROR(INDEX('01_Property Summary'!$E$5:$E$21,MATCH($A6,'01_Property Summary'!$B$5:$B$21,0)),"")</f>
        <v>Vancouver</v>
      </c>
      <c r="D6" s="347" t="str">
        <f>IFERROR(INDEX('01_Property Summary'!$G$5:$G$21,MATCH($A6,'01_Property Summary'!$B$5:$B$21,0)),"")</f>
        <v>Active</v>
      </c>
      <c r="E6" s="346" t="s">
        <v>524</v>
      </c>
      <c r="F6" s="347" t="str">
        <f ca="1">IFERROR(INDEX(DATA_ASSET_CLASSIFICATION!$U$8:$U$24,MATCH($A6,DATA_ASSET_CLASSIFICATION!$A$8:$A$24,0)),"Review")</f>
        <v>Stable</v>
      </c>
      <c r="G6" s="347" t="str">
        <f ca="1">IFERROR(INDEX('00_PORTFOLIO_REGISTER'!$J$5:$J$21,MATCH($A6,'00_PORTFOLIO_REGISTER'!$B$5:$B$21,0)),"")</f>
        <v>Bucket 2 · Legacy</v>
      </c>
      <c r="H6" s="347" t="str">
        <f ca="1">IF(OR($F6="",$G6=""),"OPEN",IF($G6=IFERROR(INDEX(DATA_ASSET_CLASSIFICATION!$AB$8:$AB$13,MATCH($F6,DATA_ASSET_CLASSIFICATION!$AA$8:$AA$13,0)),"Review"),"OK","CHECK"))</f>
        <v>OK</v>
      </c>
      <c r="I6" s="347" t="str">
        <f>IFERROR(INDEX('00_PORTFOLIO_REGISTER'!$L$5:$L$21,MATCH($A6,'00_PORTFOLIO_REGISTER'!$B$5:$B$21,0)),"")</f>
        <v>NOI declining to $9K by 2045 as opex compounds.</v>
      </c>
      <c r="J6" s="170"/>
    </row>
    <row r="7" spans="1:10" ht="30">
      <c r="A7" s="346" t="s">
        <v>441</v>
      </c>
      <c r="B7" s="347" t="str">
        <f>IFERROR(INDEX('01_Property Summary'!$C$5:$C$21,MATCH($A7,'01_Property Summary'!$B$5:$B$21,0)),"")</f>
        <v>Beatrice Terrace</v>
      </c>
      <c r="C7" s="347" t="str">
        <f>IFERROR(INDEX('01_Property Summary'!$E$5:$E$21,MATCH($A7,'01_Property Summary'!$B$5:$B$21,0)),"")</f>
        <v>Vancouver</v>
      </c>
      <c r="D7" s="347" t="str">
        <f>IFERROR(INDEX('01_Property Summary'!$G$5:$G$21,MATCH($A7,'01_Property Summary'!$B$5:$B$21,0)),"")</f>
        <v>Active</v>
      </c>
      <c r="E7" s="346" t="s">
        <v>524</v>
      </c>
      <c r="F7" s="347" t="str">
        <f ca="1">IFERROR(INDEX(DATA_ASSET_CLASSIFICATION!$U$8:$U$24,MATCH($A7,DATA_ASSET_CLASSIFICATION!$A$8:$A$24,0)),"Review")</f>
        <v>Stable</v>
      </c>
      <c r="G7" s="347" t="str">
        <f ca="1">IFERROR(INDEX('00_PORTFOLIO_REGISTER'!$J$5:$J$21,MATCH($A7,'00_PORTFOLIO_REGISTER'!$B$5:$B$21,0)),"")</f>
        <v>Bucket 2 · Legacy</v>
      </c>
      <c r="H7" s="347" t="str">
        <f ca="1">IF(OR($F7="",$G7=""),"OPEN",IF($G7=IFERROR(INDEX(DATA_ASSET_CLASSIFICATION!$AB$8:$AB$13,MATCH($F7,DATA_ASSET_CLASSIFICATION!$AA$8:$AA$13,0)),"Review"),"OK","CHECK"))</f>
        <v>OK</v>
      </c>
      <c r="I7" s="347" t="str">
        <f>IFERROR(INDEX('00_PORTFOLIO_REGISTER'!$L$5:$L$21,MATCH($A7,'00_PORTFOLIO_REGISTER'!$B$5:$B$21,0)),"")</f>
        <v>NOI stable 2025-2035 then slight decline.</v>
      </c>
      <c r="J7" s="170"/>
    </row>
    <row r="8" spans="1:10" ht="60">
      <c r="A8" s="346" t="s">
        <v>443</v>
      </c>
      <c r="B8" s="347" t="str">
        <f>IFERROR(INDEX('01_Property Summary'!$C$5:$C$21,MATCH($A8,'01_Property Summary'!$B$5:$B$21,0)),"")</f>
        <v>Capilano House</v>
      </c>
      <c r="C8" s="347" t="str">
        <f>IFERROR(INDEX('01_Property Summary'!$E$5:$E$21,MATCH($A8,'01_Property Summary'!$B$5:$B$21,0)),"")</f>
        <v>DNV</v>
      </c>
      <c r="D8" s="347" t="str">
        <f>IFERROR(INDEX('01_Property Summary'!$G$5:$G$21,MATCH($A8,'01_Property Summary'!$B$5:$B$21,0)),"")</f>
        <v>Active</v>
      </c>
      <c r="E8" s="346" t="s">
        <v>524</v>
      </c>
      <c r="F8" s="347" t="str">
        <f ca="1">IFERROR(INDEX(DATA_ASSET_CLASSIFICATION!$U$8:$U$24,MATCH($A8,DATA_ASSET_CLASSIFICATION!$A$8:$A$24,0)),"Review")</f>
        <v>Stable</v>
      </c>
      <c r="G8" s="347" t="str">
        <f ca="1">IFERROR(INDEX('00_PORTFOLIO_REGISTER'!$J$5:$J$21,MATCH($A8,'00_PORTFOLIO_REGISTER'!$B$5:$B$21,0)),"")</f>
        <v>Bucket 2 · Legacy</v>
      </c>
      <c r="H8" s="347" t="str">
        <f ca="1">IF(OR($F8="",$G8=""),"OPEN",IF($G8=IFERROR(INDEX(DATA_ASSET_CLASSIFICATION!$AB$8:$AB$13,MATCH($F8,DATA_ASSET_CLASSIFICATION!$AA$8:$AA$13,0)),"Review"),"OK","CHECK"))</f>
        <v>OK</v>
      </c>
      <c r="I8" s="347" t="str">
        <f>IFERROR(INDEX('00_PORTFOLIO_REGISTER'!$L$5:$L$21,MATCH($A8,'00_PORTFOLIO_REGISTER'!$B$5:$B$21,0)),"")</f>
        <v>CRITICAL: Negative NOI every year. 63 studios at $586/unit affordable. No path to profitability under current structure.</v>
      </c>
      <c r="J8" s="170"/>
    </row>
    <row r="9" spans="1:10" ht="45">
      <c r="A9" s="346" t="s">
        <v>446</v>
      </c>
      <c r="B9" s="347" t="str">
        <f>IFERROR(INDEX('01_Property Summary'!$C$5:$C$21,MATCH($A9,'01_Property Summary'!$B$5:$B$21,0)),"")</f>
        <v>Constance Court</v>
      </c>
      <c r="C9" s="347" t="str">
        <f>IFERROR(INDEX('01_Property Summary'!$E$5:$E$21,MATCH($A9,'01_Property Summary'!$B$5:$B$21,0)),"")</f>
        <v>Vancouver</v>
      </c>
      <c r="D9" s="347" t="str">
        <f>IFERROR(INDEX('01_Property Summary'!$G$5:$G$21,MATCH($A9,'01_Property Summary'!$B$5:$B$21,0)),"")</f>
        <v>Active</v>
      </c>
      <c r="E9" s="346" t="s">
        <v>524</v>
      </c>
      <c r="F9" s="347" t="str">
        <f ca="1">IFERROR(INDEX(DATA_ASSET_CLASSIFICATION!$U$8:$U$24,MATCH($A9,DATA_ASSET_CLASSIFICATION!$A$8:$A$24,0)),"Review")</f>
        <v>Refi Watch</v>
      </c>
      <c r="G9" s="347" t="str">
        <f ca="1">IFERROR(INDEX('00_PORTFOLIO_REGISTER'!$J$5:$J$21,MATCH($A9,'00_PORTFOLIO_REGISTER'!$B$5:$B$21,0)),"")</f>
        <v>Bucket 2 · Legacy</v>
      </c>
      <c r="H9" s="347" t="str">
        <f ca="1">IF(OR($F9="",$G9=""),"OPEN",IF($G9=IFERROR(INDEX(DATA_ASSET_CLASSIFICATION!$AB$8:$AB$13,MATCH($F9,DATA_ASSET_CLASSIFICATION!$AA$8:$AA$13,0)),"Review"),"OK","CHECK"))</f>
        <v>OK</v>
      </c>
      <c r="I9" s="347" t="str">
        <f>IFERROR(INDEX('00_PORTFOLIO_REGISTER'!$L$5:$L$21,MATCH($A9,'00_PORTFOLIO_REGISTER'!$B$5:$B$21,0)),"")</f>
        <v>WARNING: NOI positive today but turns negative by 2035. OpEx growing faster than revenue.</v>
      </c>
      <c r="J9" s="170"/>
    </row>
    <row r="10" spans="1:10" ht="45">
      <c r="A10" s="346" t="s">
        <v>450</v>
      </c>
      <c r="B10" s="347" t="str">
        <f>IFERROR(INDEX('01_Property Summary'!$C$5:$C$21,MATCH($A10,'01_Property Summary'!$B$5:$B$21,0)),"")</f>
        <v>Evergreen Apartments</v>
      </c>
      <c r="C10" s="347" t="str">
        <f>IFERROR(INDEX('01_Property Summary'!$E$5:$E$21,MATCH($A10,'01_Property Summary'!$B$5:$B$21,0)),"")</f>
        <v>New Westminster</v>
      </c>
      <c r="D10" s="347" t="str">
        <f>IFERROR(INDEX('01_Property Summary'!$G$5:$G$21,MATCH($A10,'01_Property Summary'!$B$5:$B$21,0)),"")</f>
        <v>Active</v>
      </c>
      <c r="E10" s="346" t="s">
        <v>524</v>
      </c>
      <c r="F10" s="347" t="str">
        <f ca="1">IFERROR(INDEX(DATA_ASSET_CLASSIFICATION!$U$8:$U$24,MATCH($A10,DATA_ASSET_CLASSIFICATION!$A$8:$A$24,0)),"Review")</f>
        <v>Refi Watch</v>
      </c>
      <c r="G10" s="347" t="str">
        <f ca="1">IFERROR(INDEX('00_PORTFOLIO_REGISTER'!$J$5:$J$21,MATCH($A10,'00_PORTFOLIO_REGISTER'!$B$5:$B$21,0)),"")</f>
        <v>Bucket 2 · Legacy</v>
      </c>
      <c r="H10" s="347" t="str">
        <f ca="1">IF(OR($F10="",$G10=""),"OPEN",IF($G10=IFERROR(INDEX(DATA_ASSET_CLASSIFICATION!$AB$8:$AB$13,MATCH($F10,DATA_ASSET_CLASSIFICATION!$AA$8:$AA$13,0)),"Review"),"OK","CHECK"))</f>
        <v>OK</v>
      </c>
      <c r="I10" s="347" t="str">
        <f>IFERROR(INDEX('00_PORTFOLIO_REGISTER'!$L$5:$L$21,MATCH($A10,'00_PORTFOLIO_REGISTER'!$B$5:$B$21,0)),"")</f>
        <v>Unit count is populated, but unit mix / actual rent roll are still assumed. Refi remains constrained by weak NOI.</v>
      </c>
      <c r="J10" s="170"/>
    </row>
    <row r="11" spans="1:10" ht="30">
      <c r="A11" s="346" t="s">
        <v>453</v>
      </c>
      <c r="B11" s="347" t="str">
        <f>IFERROR(INDEX('01_Property Summary'!$C$5:$C$21,MATCH($A11,'01_Property Summary'!$B$5:$B$21,0)),"")</f>
        <v>Evelyn Estates</v>
      </c>
      <c r="C11" s="347" t="str">
        <f>IFERROR(INDEX('01_Property Summary'!$E$5:$E$21,MATCH($A11,'01_Property Summary'!$B$5:$B$21,0)),"")</f>
        <v>Surrey</v>
      </c>
      <c r="D11" s="347" t="str">
        <f>IFERROR(INDEX('01_Property Summary'!$G$5:$G$21,MATCH($A11,'01_Property Summary'!$B$5:$B$21,0)),"")</f>
        <v>Active</v>
      </c>
      <c r="E11" s="346" t="s">
        <v>524</v>
      </c>
      <c r="F11" s="347" t="str">
        <f ca="1">IFERROR(INDEX(DATA_ASSET_CLASSIFICATION!$U$8:$U$24,MATCH($A11,DATA_ASSET_CLASSIFICATION!$A$8:$A$24,0)),"Review")</f>
        <v>Refi Watch</v>
      </c>
      <c r="G11" s="347" t="str">
        <f ca="1">IFERROR(INDEX('00_PORTFOLIO_REGISTER'!$J$5:$J$21,MATCH($A11,'00_PORTFOLIO_REGISTER'!$B$5:$B$21,0)),"")</f>
        <v>Bucket 2 · Legacy</v>
      </c>
      <c r="H11" s="347" t="str">
        <f ca="1">IF(OR($F11="",$G11=""),"OPEN",IF($G11=IFERROR(INDEX(DATA_ASSET_CLASSIFICATION!$AB$8:$AB$13,MATCH($F11,DATA_ASSET_CLASSIFICATION!$AA$8:$AA$13,0)),"Review"),"OK","CHECK"))</f>
        <v>OK</v>
      </c>
      <c r="I11" s="347" t="str">
        <f>IFERROR(INDEX('00_PORTFOLIO_REGISTER'!$L$5:$L$21,MATCH($A11,'00_PORTFOLIO_REGISTER'!$B$5:$B$21,0)),"")</f>
        <v>NOI declining slowly. Refi 2028 shows PASS (1.30x DSCR).</v>
      </c>
      <c r="J11" s="170"/>
    </row>
    <row r="12" spans="1:10" ht="45">
      <c r="A12" s="346" t="s">
        <v>456</v>
      </c>
      <c r="B12" s="347" t="str">
        <f>IFERROR(INDEX('01_Property Summary'!$C$5:$C$21,MATCH($A12,'01_Property Summary'!$B$5:$B$21,0)),"")</f>
        <v>Jessica Place</v>
      </c>
      <c r="C12" s="347" t="str">
        <f>IFERROR(INDEX('01_Property Summary'!$E$5:$E$21,MATCH($A12,'01_Property Summary'!$B$5:$B$21,0)),"")</f>
        <v>Surrey</v>
      </c>
      <c r="D12" s="347" t="str">
        <f>IFERROR(INDEX('01_Property Summary'!$G$5:$G$21,MATCH($A12,'01_Property Summary'!$B$5:$B$21,0)),"")</f>
        <v>Active</v>
      </c>
      <c r="E12" s="346" t="s">
        <v>524</v>
      </c>
      <c r="F12" s="347" t="str">
        <f ca="1">IFERROR(INDEX(DATA_ASSET_CLASSIFICATION!$U$8:$U$24,MATCH($A12,DATA_ASSET_CLASSIFICATION!$A$8:$A$24,0)),"Review")</f>
        <v>Refi Watch</v>
      </c>
      <c r="G12" s="347" t="str">
        <f ca="1">IFERROR(INDEX('00_PORTFOLIO_REGISTER'!$J$5:$J$21,MATCH($A12,'00_PORTFOLIO_REGISTER'!$B$5:$B$21,0)),"")</f>
        <v>Bucket 2 · Legacy</v>
      </c>
      <c r="H12" s="347" t="str">
        <f ca="1">IF(OR($F12="",$G12=""),"OPEN",IF($G12=IFERROR(INDEX(DATA_ASSET_CLASSIFICATION!$AB$8:$AB$13,MATCH($F12,DATA_ASSET_CLASSIFICATION!$AA$8:$AA$13,0)),"Review"),"OK","CHECK"))</f>
        <v>OK</v>
      </c>
      <c r="I12" s="347" t="str">
        <f>IFERROR(INDEX('00_PORTFOLIO_REGISTER'!$L$5:$L$21,MATCH($A12,'00_PORTFOLIO_REGISTER'!$B$5:$B$21,0)),"")</f>
        <v>WARNING: NOI turns negative by 2033. Redevelopment candidate per 03_RENT note.</v>
      </c>
      <c r="J12" s="170"/>
    </row>
    <row r="13" spans="1:10" ht="30">
      <c r="A13" s="346" t="s">
        <v>458</v>
      </c>
      <c r="B13" s="347" t="str">
        <f>IFERROR(INDEX('01_Property Summary'!$C$5:$C$21,MATCH($A13,'01_Property Summary'!$B$5:$B$21,0)),"")</f>
        <v>Margaret Heights</v>
      </c>
      <c r="C13" s="347" t="str">
        <f>IFERROR(INDEX('01_Property Summary'!$E$5:$E$21,MATCH($A13,'01_Property Summary'!$B$5:$B$21,0)),"")</f>
        <v>CNV</v>
      </c>
      <c r="D13" s="347" t="str">
        <f>IFERROR(INDEX('01_Property Summary'!$G$5:$G$21,MATCH($A13,'01_Property Summary'!$B$5:$B$21,0)),"")</f>
        <v>Active</v>
      </c>
      <c r="E13" s="346" t="s">
        <v>524</v>
      </c>
      <c r="F13" s="347" t="str">
        <f ca="1">IFERROR(INDEX(DATA_ASSET_CLASSIFICATION!$U$8:$U$24,MATCH($A13,DATA_ASSET_CLASSIFICATION!$A$8:$A$24,0)),"Review")</f>
        <v>Refi Watch</v>
      </c>
      <c r="G13" s="347" t="str">
        <f ca="1">IFERROR(INDEX('00_PORTFOLIO_REGISTER'!$J$5:$J$21,MATCH($A13,'00_PORTFOLIO_REGISTER'!$B$5:$B$21,0)),"")</f>
        <v>Bucket 2 · Legacy</v>
      </c>
      <c r="H13" s="347" t="str">
        <f ca="1">IF(OR($F13="",$G13=""),"OPEN",IF($G13=IFERROR(INDEX(DATA_ASSET_CLASSIFICATION!$AB$8:$AB$13,MATCH($F13,DATA_ASSET_CLASSIFICATION!$AA$8:$AA$13,0)),"Review"),"OK","CHECK"))</f>
        <v>OK</v>
      </c>
      <c r="I13" s="347" t="str">
        <f>IFERROR(INDEX('00_PORTFOLIO_REGISTER'!$L$5:$L$21,MATCH($A13,'00_PORTFOLIO_REGISTER'!$B$5:$B$21,0)),"")</f>
        <v>NOI declining. Small building (19 units). Low absolute cash flow.</v>
      </c>
      <c r="J13" s="170"/>
    </row>
    <row r="14" spans="1:10" ht="45">
      <c r="A14" s="346" t="s">
        <v>461</v>
      </c>
      <c r="B14" s="347" t="str">
        <f>IFERROR(INDEX('01_Property Summary'!$C$5:$C$21,MATCH($A14,'01_Property Summary'!$B$5:$B$21,0)),"")</f>
        <v>Murray Manor</v>
      </c>
      <c r="C14" s="347" t="str">
        <f>IFERROR(INDEX('01_Property Summary'!$E$5:$E$21,MATCH($A14,'01_Property Summary'!$B$5:$B$21,0)),"")</f>
        <v>Burnaby</v>
      </c>
      <c r="D14" s="347" t="str">
        <f>IFERROR(INDEX('01_Property Summary'!$G$5:$G$21,MATCH($A14,'01_Property Summary'!$B$5:$B$21,0)),"")</f>
        <v>Active</v>
      </c>
      <c r="E14" s="346" t="s">
        <v>524</v>
      </c>
      <c r="F14" s="347" t="str">
        <f ca="1">IFERROR(INDEX(DATA_ASSET_CLASSIFICATION!$U$8:$U$24,MATCH($A14,DATA_ASSET_CLASSIFICATION!$A$8:$A$24,0)),"Review")</f>
        <v>Refi Watch</v>
      </c>
      <c r="G14" s="347" t="str">
        <f ca="1">IFERROR(INDEX('00_PORTFOLIO_REGISTER'!$J$5:$J$21,MATCH($A14,'00_PORTFOLIO_REGISTER'!$B$5:$B$21,0)),"")</f>
        <v>Bucket 2 · Legacy</v>
      </c>
      <c r="H14" s="347" t="str">
        <f ca="1">IF(OR($F14="",$G14=""),"OPEN",IF($G14=IFERROR(INDEX(DATA_ASSET_CLASSIFICATION!$AB$8:$AB$13,MATCH($F14,DATA_ASSET_CLASSIFICATION!$AA$8:$AA$13,0)),"Review"),"OK","CHECK"))</f>
        <v>OK</v>
      </c>
      <c r="I14" s="347" t="str">
        <f>IFERROR(INDEX('00_PORTFOLIO_REGISTER'!$L$5:$L$21,MATCH($A14,'00_PORTFOLIO_REGISTER'!$B$5:$B$21,0)),"")</f>
        <v>Unit count is populated, but unit mix / actual rent roll are still assumed. Refi remains constrained by weak NOI.</v>
      </c>
      <c r="J14" s="170"/>
    </row>
    <row r="15" spans="1:10" ht="45">
      <c r="A15" s="346" t="s">
        <v>464</v>
      </c>
      <c r="B15" s="347" t="str">
        <f>IFERROR(INDEX('01_Property Summary'!$C$5:$C$21,MATCH($A15,'01_Property Summary'!$B$5:$B$21,0)),"")</f>
        <v>Natalia Terrace</v>
      </c>
      <c r="C15" s="347" t="str">
        <f>IFERROR(INDEX('01_Property Summary'!$E$5:$E$21,MATCH($A15,'01_Property Summary'!$B$5:$B$21,0)),"")</f>
        <v>Vancouver</v>
      </c>
      <c r="D15" s="347" t="str">
        <f>IFERROR(INDEX('01_Property Summary'!$G$5:$G$21,MATCH($A15,'01_Property Summary'!$B$5:$B$21,0)),"")</f>
        <v>Active</v>
      </c>
      <c r="E15" s="346" t="s">
        <v>524</v>
      </c>
      <c r="F15" s="347" t="str">
        <f ca="1">IFERROR(INDEX(DATA_ASSET_CLASSIFICATION!$U$8:$U$24,MATCH($A15,DATA_ASSET_CLASSIFICATION!$A$8:$A$24,0)),"Review")</f>
        <v>Refi Watch</v>
      </c>
      <c r="G15" s="347" t="str">
        <f ca="1">IFERROR(INDEX('00_PORTFOLIO_REGISTER'!$J$5:$J$21,MATCH($A15,'00_PORTFOLIO_REGISTER'!$B$5:$B$21,0)),"")</f>
        <v>Bucket 2 · Legacy</v>
      </c>
      <c r="H15" s="347" t="str">
        <f ca="1">IF(OR($F15="",$G15=""),"OPEN",IF($G15=IFERROR(INDEX(DATA_ASSET_CLASSIFICATION!$AB$8:$AB$13,MATCH($F15,DATA_ASSET_CLASSIFICATION!$AA$8:$AA$13,0)),"Review"),"OK","CHECK"))</f>
        <v>OK</v>
      </c>
      <c r="I15" s="347" t="str">
        <f>IFERROR(INDEX('00_PORTFOLIO_REGISTER'!$L$5:$L$21,MATCH($A15,'00_PORTFOLIO_REGISTER'!$B$5:$B$21,0)),"")</f>
        <v>Note: unit count discrepancy (model=40, portfolio register=41). Minor.</v>
      </c>
      <c r="J15" s="170"/>
    </row>
    <row r="16" spans="1:10" ht="45">
      <c r="A16" s="346" t="s">
        <v>466</v>
      </c>
      <c r="B16" s="347" t="str">
        <f>IFERROR(INDEX('01_Property Summary'!$C$5:$C$21,MATCH($A16,'01_Property Summary'!$B$5:$B$21,0)),"")</f>
        <v>Newton Green</v>
      </c>
      <c r="C16" s="347" t="str">
        <f>IFERROR(INDEX('01_Property Summary'!$E$5:$E$21,MATCH($A16,'01_Property Summary'!$B$5:$B$21,0)),"")</f>
        <v>Surrey</v>
      </c>
      <c r="D16" s="347" t="str">
        <f>IFERROR(INDEX('01_Property Summary'!$G$5:$G$21,MATCH($A16,'01_Property Summary'!$B$5:$B$21,0)),"")</f>
        <v>Active</v>
      </c>
      <c r="E16" s="346" t="s">
        <v>524</v>
      </c>
      <c r="F16" s="347" t="str">
        <f ca="1">IFERROR(INDEX(DATA_ASSET_CLASSIFICATION!$U$8:$U$24,MATCH($A16,DATA_ASSET_CLASSIFICATION!$A$8:$A$24,0)),"Review")</f>
        <v>Refi Watch</v>
      </c>
      <c r="G16" s="347" t="str">
        <f ca="1">IFERROR(INDEX('00_PORTFOLIO_REGISTER'!$J$5:$J$21,MATCH($A16,'00_PORTFOLIO_REGISTER'!$B$5:$B$21,0)),"")</f>
        <v>Bucket 2 · Legacy</v>
      </c>
      <c r="H16" s="347" t="str">
        <f ca="1">IF(OR($F16="",$G16=""),"OPEN",IF($G16=IFERROR(INDEX(DATA_ASSET_CLASSIFICATION!$AB$8:$AB$13,MATCH($F16,DATA_ASSET_CLASSIFICATION!$AA$8:$AA$13,0)),"Review"),"OK","CHECK"))</f>
        <v>OK</v>
      </c>
      <c r="I16" s="347" t="str">
        <f>IFERROR(INDEX('00_PORTFOLIO_REGISTER'!$L$5:$L$21,MATCH($A16,'00_PORTFOLIO_REGISTER'!$B$5:$B$21,0)),"")</f>
        <v>Note: unit count discrepancy (model=49, portfolio=52). $3.4M balloon 2034 — part of cluster.</v>
      </c>
      <c r="J16" s="170"/>
    </row>
    <row r="17" spans="1:10" ht="45">
      <c r="A17" s="346" t="s">
        <v>470</v>
      </c>
      <c r="B17" s="347" t="str">
        <f>IFERROR(INDEX('01_Property Summary'!$C$5:$C$21,MATCH($A17,'01_Property Summary'!$B$5:$B$21,0)),"")</f>
        <v>Rosemary Green</v>
      </c>
      <c r="C17" s="347" t="str">
        <f>IFERROR(INDEX('01_Property Summary'!$E$5:$E$21,MATCH($A17,'01_Property Summary'!$B$5:$B$21,0)),"")</f>
        <v>Surrey</v>
      </c>
      <c r="D17" s="347" t="str">
        <f>IFERROR(INDEX('01_Property Summary'!$G$5:$G$21,MATCH($A17,'01_Property Summary'!$B$5:$B$21,0)),"")</f>
        <v>Active</v>
      </c>
      <c r="E17" s="346" t="s">
        <v>524</v>
      </c>
      <c r="F17" s="347" t="str">
        <f ca="1">IFERROR(INDEX(DATA_ASSET_CLASSIFICATION!$U$8:$U$24,MATCH($A17,DATA_ASSET_CLASSIFICATION!$A$8:$A$24,0)),"Review")</f>
        <v>Refi Watch</v>
      </c>
      <c r="G17" s="347" t="str">
        <f ca="1">IFERROR(INDEX('00_PORTFOLIO_REGISTER'!$J$5:$J$21,MATCH($A17,'00_PORTFOLIO_REGISTER'!$B$5:$B$21,0)),"")</f>
        <v>Bucket 2 · Legacy</v>
      </c>
      <c r="H17" s="347" t="str">
        <f ca="1">IF(OR($F17="",$G17=""),"OPEN",IF($G17=IFERROR(INDEX(DATA_ASSET_CLASSIFICATION!$AB$8:$AB$13,MATCH($F17,DATA_ASSET_CLASSIFICATION!$AA$8:$AA$13,0)),"Review"),"OK","CHECK"))</f>
        <v>OK</v>
      </c>
      <c r="I17" s="347" t="str">
        <f>IFERROR(INDEX('00_PORTFOLIO_REGISTER'!$L$5:$L$21,MATCH($A17,'00_PORTFOLIO_REGISTER'!$B$5:$B$21,0)),"")</f>
        <v>Good cash flow. $2.4% rate is below-market — refi will increase debt service.</v>
      </c>
      <c r="J17" s="170"/>
    </row>
    <row r="18" spans="1:10" ht="45">
      <c r="A18" s="346" t="s">
        <v>473</v>
      </c>
      <c r="B18" s="347" t="str">
        <f>IFERROR(INDEX('01_Property Summary'!$C$5:$C$21,MATCH($A18,'01_Property Summary'!$B$5:$B$21,0)),"")</f>
        <v>1656 Adanac Street</v>
      </c>
      <c r="C18" s="347" t="str">
        <f>IFERROR(INDEX('01_Property Summary'!$E$5:$E$21,MATCH($A18,'01_Property Summary'!$B$5:$B$21,0)),"")</f>
        <v>Vancouver</v>
      </c>
      <c r="D18" s="347" t="str">
        <f>IFERROR(INDEX('01_Property Summary'!$G$5:$G$21,MATCH($A18,'01_Property Summary'!$B$5:$B$21,0)),"")</f>
        <v>New Dev</v>
      </c>
      <c r="E18" s="346" t="s">
        <v>524</v>
      </c>
      <c r="F18" s="347" t="str">
        <f>IFERROR(INDEX(DATA_ASSET_CLASSIFICATION!$U$8:$U$24,MATCH($A18,DATA_ASSET_CLASSIFICATION!$A$8:$A$24,0)),"Review")</f>
        <v>New Build</v>
      </c>
      <c r="G18" s="347" t="str">
        <f>IFERROR(INDEX('00_PORTFOLIO_REGISTER'!$J$5:$J$21,MATCH($A18,'00_PORTFOLIO_REGISTER'!$B$5:$B$21,0)),"")</f>
        <v>Bucket 1 · New Build</v>
      </c>
      <c r="H18" s="347" t="str">
        <f>IF(OR($F18="",$G18=""),"OPEN",IF($G18=IFERROR(INDEX(DATA_ASSET_CLASSIFICATION!$AB$8:$AB$13,MATCH($F18,DATA_ASSET_CLASSIFICATION!$AA$8:$AA$13,0)),"Review"),"OK","CHECK"))</f>
        <v>OK</v>
      </c>
      <c r="I18" s="347" t="str">
        <f>IFERROR(INDEX('00_PORTFOLIO_REGISTER'!$L$5:$L$21,MATCH($A18,'00_PORTFOLIO_REGISTER'!$B$5:$B$21,0)),"")</f>
        <v>CHF subsidy covers 100% of OpEx. Opens 2028. No debt (CHF program). NOI = gross revenue from rent.</v>
      </c>
      <c r="J18" s="170"/>
    </row>
    <row r="19" spans="1:10" ht="45">
      <c r="A19" s="346" t="s">
        <v>476</v>
      </c>
      <c r="B19" s="347" t="str">
        <f>IFERROR(INDEX('01_Property Summary'!$C$5:$C$21,MATCH($A19,'01_Property Summary'!$B$5:$B$21,0)),"")</f>
        <v>450 Pacific Street</v>
      </c>
      <c r="C19" s="347" t="str">
        <f>IFERROR(INDEX('01_Property Summary'!$E$5:$E$21,MATCH($A19,'01_Property Summary'!$B$5:$B$21,0)),"")</f>
        <v>Vancouver</v>
      </c>
      <c r="D19" s="347" t="str">
        <f>IFERROR(INDEX('01_Property Summary'!$G$5:$G$21,MATCH($A19,'01_Property Summary'!$B$5:$B$21,0)),"")</f>
        <v>New Dev</v>
      </c>
      <c r="E19" s="346" t="s">
        <v>524</v>
      </c>
      <c r="F19" s="347" t="str">
        <f>IFERROR(INDEX(DATA_ASSET_CLASSIFICATION!$U$8:$U$24,MATCH($A19,DATA_ASSET_CLASSIFICATION!$A$8:$A$24,0)),"Review")</f>
        <v>New Build</v>
      </c>
      <c r="G19" s="347" t="str">
        <f>IFERROR(INDEX('00_PORTFOLIO_REGISTER'!$J$5:$J$21,MATCH($A19,'00_PORTFOLIO_REGISTER'!$B$5:$B$21,0)),"")</f>
        <v>Bucket 1 · New Build</v>
      </c>
      <c r="H19" s="347" t="str">
        <f>IF(OR($F19="",$G19=""),"OPEN",IF($G19=IFERROR(INDEX(DATA_ASSET_CLASSIFICATION!$AB$8:$AB$13,MATCH($F19,DATA_ASSET_CLASSIFICATION!$AA$8:$AA$13,0)),"Review"),"OK","CHECK"))</f>
        <v>OK</v>
      </c>
      <c r="I19" s="347" t="str">
        <f>IFERROR(INDEX('00_PORTFOLIO_REGISTER'!$L$5:$L$21,MATCH($A19,'00_PORTFOLIO_REGISTER'!$B$5:$B$21,0)),"")</f>
        <v>CHF subsidy covers 100% of OpEx. Already showing $1.37M NOI in 2025 (pre-opening revenue?). Confirm.</v>
      </c>
      <c r="J19" s="170"/>
    </row>
    <row r="20" spans="1:10" ht="45">
      <c r="A20" s="346" t="s">
        <v>477</v>
      </c>
      <c r="B20" s="347" t="str">
        <f>IFERROR(INDEX('01_Property Summary'!$C$5:$C$21,MATCH($A20,'01_Property Summary'!$B$5:$B$21,0)),"")</f>
        <v>The Creek, Port Moody</v>
      </c>
      <c r="C20" s="347" t="str">
        <f>IFERROR(INDEX('01_Property Summary'!$E$5:$E$21,MATCH($A20,'01_Property Summary'!$B$5:$B$21,0)),"")</f>
        <v>Port Moody</v>
      </c>
      <c r="D20" s="347" t="str">
        <f>IFERROR(INDEX('01_Property Summary'!$G$5:$G$21,MATCH($A20,'01_Property Summary'!$B$5:$B$21,0)),"")</f>
        <v>New Dev</v>
      </c>
      <c r="E20" s="346" t="s">
        <v>524</v>
      </c>
      <c r="F20" s="347" t="str">
        <f>IFERROR(INDEX(DATA_ASSET_CLASSIFICATION!$U$8:$U$24,MATCH($A20,DATA_ASSET_CLASSIFICATION!$A$8:$A$24,0)),"Review")</f>
        <v>New Build</v>
      </c>
      <c r="G20" s="347" t="str">
        <f>IFERROR(INDEX('00_PORTFOLIO_REGISTER'!$J$5:$J$21,MATCH($A20,'00_PORTFOLIO_REGISTER'!$B$5:$B$21,0)),"")</f>
        <v>Bucket 1 · New Build</v>
      </c>
      <c r="H20" s="347" t="str">
        <f>IF(OR($F20="",$G20=""),"OPEN",IF($G20=IFERROR(INDEX(DATA_ASSET_CLASSIFICATION!$AB$8:$AB$13,MATCH($F20,DATA_ASSET_CLASSIFICATION!$AA$8:$AA$13,0)),"Review"),"OK","CHECK"))</f>
        <v>OK</v>
      </c>
      <c r="I20" s="347" t="str">
        <f>IFERROR(INDEX('00_PORTFOLIO_REGISTER'!$L$5:$L$21,MATCH($A20,'00_PORTFOLIO_REGISTER'!$B$5:$B$21,0)),"")</f>
        <v>Largest asset in portfolio. CMHC insured. $47.3M construction debt. No OpEx in model (property taxes only).</v>
      </c>
      <c r="J20" s="170"/>
    </row>
    <row r="21" spans="1:10" ht="30">
      <c r="A21" s="346" t="s">
        <v>481</v>
      </c>
      <c r="B21" s="347" t="str">
        <f>IFERROR(INDEX('01_Property Summary'!$C$5:$C$21,MATCH($A21,'01_Property Summary'!$B$5:$B$21,0)),"")</f>
        <v>800 Commercial Drive</v>
      </c>
      <c r="C21" s="347" t="str">
        <f>IFERROR(INDEX('01_Property Summary'!$E$5:$E$21,MATCH($A21,'01_Property Summary'!$B$5:$B$21,0)),"")</f>
        <v>Vancouver</v>
      </c>
      <c r="D21" s="347" t="str">
        <f>IFERROR(INDEX('01_Property Summary'!$G$5:$G$21,MATCH($A21,'01_Property Summary'!$B$5:$B$21,0)),"")</f>
        <v>New Dev</v>
      </c>
      <c r="E21" s="346" t="s">
        <v>524</v>
      </c>
      <c r="F21" s="347" t="str">
        <f>IFERROR(INDEX(DATA_ASSET_CLASSIFICATION!$U$8:$U$24,MATCH($A21,DATA_ASSET_CLASSIFICATION!$A$8:$A$24,0)),"Review")</f>
        <v>New Build</v>
      </c>
      <c r="G21" s="347" t="str">
        <f>IFERROR(INDEX('00_PORTFOLIO_REGISTER'!$J$5:$J$21,MATCH($A21,'00_PORTFOLIO_REGISTER'!$B$5:$B$21,0)),"")</f>
        <v>Bucket 1 · New Build</v>
      </c>
      <c r="H21" s="347" t="str">
        <f>IF(OR($F21="",$G21=""),"OPEN",IF($G21=IFERROR(INDEX(DATA_ASSET_CLASSIFICATION!$AB$8:$AB$13,MATCH($F21,DATA_ASSET_CLASSIFICATION!$AA$8:$AA$13,0)),"Review"),"OK","CHECK"))</f>
        <v>OK</v>
      </c>
      <c r="I21" s="347" t="str">
        <f>IFERROR(INDEX('00_PORTFOLIO_REGISTER'!$L$5:$L$21,MATCH($A21,'00_PORTFOLIO_REGISTER'!$B$5:$B$21,0)),"")</f>
        <v>CHF subsidy covers 100% of OpEx. Opens 2029.</v>
      </c>
      <c r="J21" s="170"/>
    </row>
    <row r="23" spans="1:10" ht="30">
      <c r="A23" s="171" t="s">
        <v>17</v>
      </c>
      <c r="B23" s="171" t="s">
        <v>552</v>
      </c>
      <c r="C23" s="171"/>
      <c r="D23" s="171"/>
      <c r="E23" s="171"/>
      <c r="F23" s="171"/>
      <c r="G23" s="171"/>
      <c r="H23" s="171"/>
      <c r="I23" s="171"/>
      <c r="J23" s="171"/>
    </row>
    <row r="24" spans="1:10">
      <c r="A24" t="s">
        <v>553</v>
      </c>
      <c r="B24" s="348">
        <f>COUNTA(A5:A21)</f>
        <v>17</v>
      </c>
    </row>
    <row r="25" spans="1:10">
      <c r="A25" t="s">
        <v>554</v>
      </c>
      <c r="B25" s="348">
        <f>COUNTIF(E5:E21,"Yes")</f>
        <v>16</v>
      </c>
    </row>
    <row r="26" spans="1:10">
      <c r="A26" t="s">
        <v>555</v>
      </c>
      <c r="B26" s="348">
        <f>COUNTIF(E5:E21,"No")</f>
        <v>1</v>
      </c>
    </row>
    <row r="27" spans="1:10">
      <c r="A27" t="s">
        <v>556</v>
      </c>
      <c r="B27" s="348">
        <f ca="1">COUNTIF(H5:H21,"CHECK")+COUNTIF(H5:H21,"OPEN")</f>
        <v>0</v>
      </c>
    </row>
    <row r="28" spans="1:10">
      <c r="A28" t="s">
        <v>557</v>
      </c>
      <c r="B28" s="348">
        <f>COUNTA('01_Property Summary'!$B$5:$B$21)</f>
        <v>17</v>
      </c>
    </row>
    <row r="29" spans="1:10">
      <c r="A29" t="s">
        <v>558</v>
      </c>
      <c r="B29" s="348" t="str">
        <f>'00_PORTFOLIO ROLLUP'!$E$1</f>
        <v>17 Properties</v>
      </c>
    </row>
    <row r="30" spans="1:10">
      <c r="A30" t="s">
        <v>559</v>
      </c>
      <c r="B30" s="348">
        <f>'01_Assumptions'!$C$34</f>
        <v>2035</v>
      </c>
    </row>
    <row r="31" spans="1:10">
      <c r="A31" s="171" t="s">
        <v>560</v>
      </c>
      <c r="B31" s="349">
        <v>2026</v>
      </c>
    </row>
  </sheetData>
  <mergeCells count="2">
    <mergeCell ref="A1:J1"/>
    <mergeCell ref="A2:J2"/>
  </mergeCells>
  <dataValidations count="1">
    <dataValidation type="list" sqref="E5:E21" xr:uid="{00000000-0002-0000-1F00-000000000000}">
      <formula1>"Yes,No"</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BD0CF-2277-43E1-8FA8-B76A12693CAB}">
  <sheetPr>
    <tabColor rgb="FF808080"/>
  </sheetPr>
  <dimension ref="B1:M36"/>
  <sheetViews>
    <sheetView workbookViewId="0"/>
  </sheetViews>
  <sheetFormatPr defaultColWidth="8.7109375" defaultRowHeight="15"/>
  <cols>
    <col min="1" max="1" width="1" customWidth="1"/>
    <col min="2" max="2" width="28" customWidth="1"/>
    <col min="3" max="3" width="27.7109375" customWidth="1"/>
    <col min="4" max="4" width="20.5703125" customWidth="1"/>
    <col min="5" max="5" width="20.7109375" customWidth="1"/>
    <col min="6" max="6" width="22.140625" customWidth="1"/>
    <col min="7" max="7" width="62.42578125" customWidth="1"/>
    <col min="8" max="8" width="1.140625" customWidth="1"/>
    <col min="9" max="9" width="28" customWidth="1"/>
    <col min="10" max="10" width="16" customWidth="1"/>
    <col min="11" max="11" width="44.7109375" customWidth="1"/>
    <col min="12" max="12" width="2" customWidth="1"/>
    <col min="14" max="18" width="15.7109375" customWidth="1"/>
  </cols>
  <sheetData>
    <row r="1" spans="2:13" ht="7.5" customHeight="1">
      <c r="B1" s="226" t="s">
        <v>92</v>
      </c>
    </row>
    <row r="2" spans="2:13" ht="37.5" customHeight="1">
      <c r="B2" s="459" t="s">
        <v>93</v>
      </c>
      <c r="C2" s="424"/>
      <c r="D2" s="424"/>
      <c r="E2" s="424"/>
      <c r="F2" s="424"/>
      <c r="G2" s="424"/>
      <c r="H2" s="75"/>
      <c r="I2" s="227" t="s">
        <v>94</v>
      </c>
      <c r="J2" s="76"/>
      <c r="K2" s="76"/>
      <c r="L2" s="76"/>
    </row>
    <row r="3" spans="2:13" ht="6" customHeight="1"/>
    <row r="4" spans="2:13" ht="21.75" customHeight="1">
      <c r="B4" s="463" t="s">
        <v>95</v>
      </c>
      <c r="C4" s="424"/>
      <c r="D4" s="424"/>
      <c r="E4" s="424"/>
      <c r="F4" s="424"/>
      <c r="G4" s="424"/>
      <c r="H4" s="77"/>
      <c r="I4" s="77"/>
      <c r="J4" s="77"/>
      <c r="K4" s="77"/>
      <c r="L4" s="77"/>
    </row>
    <row r="5" spans="2:13" ht="6" customHeight="1"/>
    <row r="6" spans="2:13" ht="13.5" customHeight="1">
      <c r="B6" s="78" t="s">
        <v>96</v>
      </c>
      <c r="C6" s="79"/>
      <c r="D6" s="80"/>
      <c r="E6" s="81"/>
      <c r="F6" s="79"/>
    </row>
    <row r="7" spans="2:13" ht="18" customHeight="1">
      <c r="B7" s="82" t="s">
        <v>50</v>
      </c>
      <c r="C7" s="83" t="s">
        <v>97</v>
      </c>
      <c r="D7" s="84" t="s">
        <v>98</v>
      </c>
      <c r="E7" s="85" t="s">
        <v>99</v>
      </c>
      <c r="F7" s="83" t="s">
        <v>100</v>
      </c>
    </row>
    <row r="8" spans="2:13" ht="25.5" customHeight="1">
      <c r="B8" s="86"/>
      <c r="C8" s="87"/>
      <c r="D8" s="88"/>
      <c r="E8" s="89"/>
      <c r="F8" s="87"/>
    </row>
    <row r="9" spans="2:13" ht="15.75" customHeight="1">
      <c r="B9" s="90" t="s">
        <v>101</v>
      </c>
      <c r="C9" s="91" t="s">
        <v>101</v>
      </c>
      <c r="D9" s="92" t="s">
        <v>101</v>
      </c>
      <c r="E9" s="93" t="s">
        <v>101</v>
      </c>
      <c r="F9" s="91" t="s">
        <v>101</v>
      </c>
      <c r="M9" s="94"/>
    </row>
    <row r="10" spans="2:13" ht="9.75" customHeight="1">
      <c r="B10" s="95"/>
      <c r="C10" s="79"/>
      <c r="D10" s="80"/>
      <c r="E10" s="81"/>
      <c r="F10" s="79"/>
    </row>
    <row r="11" spans="2:13" ht="13.5" customHeight="1">
      <c r="B11" s="78" t="s">
        <v>102</v>
      </c>
      <c r="C11" s="79"/>
      <c r="D11" s="80"/>
      <c r="E11" s="81"/>
      <c r="F11" s="79"/>
    </row>
    <row r="12" spans="2:13" ht="18" customHeight="1">
      <c r="B12" s="82" t="s">
        <v>50</v>
      </c>
      <c r="C12" s="83" t="s">
        <v>97</v>
      </c>
      <c r="D12" s="84" t="s">
        <v>98</v>
      </c>
      <c r="E12" s="85" t="s">
        <v>99</v>
      </c>
      <c r="F12" s="83" t="s">
        <v>100</v>
      </c>
    </row>
    <row r="13" spans="2:13" ht="25.5" customHeight="1">
      <c r="B13" s="86"/>
      <c r="C13" s="87"/>
      <c r="D13" s="88"/>
      <c r="E13" s="89"/>
      <c r="F13" s="87"/>
    </row>
    <row r="14" spans="2:13" ht="9.75" customHeight="1">
      <c r="B14" s="90" t="s">
        <v>101</v>
      </c>
      <c r="C14" s="91" t="s">
        <v>101</v>
      </c>
      <c r="D14" s="92" t="s">
        <v>101</v>
      </c>
      <c r="E14" s="93" t="s">
        <v>101</v>
      </c>
      <c r="F14" s="91" t="s">
        <v>101</v>
      </c>
    </row>
    <row r="15" spans="2:13">
      <c r="B15" s="96" t="s">
        <v>103</v>
      </c>
      <c r="C15" s="79"/>
      <c r="D15" s="80"/>
      <c r="E15" s="81"/>
      <c r="F15" s="79"/>
    </row>
    <row r="16" spans="2:13" ht="17.25" customHeight="1">
      <c r="B16" s="228">
        <f>B13-B8</f>
        <v>0</v>
      </c>
      <c r="C16" s="229">
        <f>C13-C8</f>
        <v>0</v>
      </c>
      <c r="D16" s="230">
        <f>D13-D8</f>
        <v>0</v>
      </c>
      <c r="E16" s="231">
        <f>E13-E8</f>
        <v>0</v>
      </c>
      <c r="F16" s="229">
        <f>F13-F8</f>
        <v>0</v>
      </c>
    </row>
    <row r="17" spans="2:11" ht="6" customHeight="1"/>
    <row r="18" spans="2:11" ht="19.5" customHeight="1">
      <c r="B18" s="458" t="s">
        <v>104</v>
      </c>
      <c r="C18" s="424"/>
      <c r="D18" s="424"/>
      <c r="E18" s="424"/>
      <c r="F18" s="424"/>
      <c r="G18" s="424"/>
      <c r="I18" s="458" t="s">
        <v>105</v>
      </c>
      <c r="J18" s="424"/>
      <c r="K18" s="424"/>
    </row>
    <row r="19" spans="2:11" ht="15.75" customHeight="1">
      <c r="B19" s="97" t="s">
        <v>106</v>
      </c>
      <c r="C19" s="97" t="s">
        <v>107</v>
      </c>
      <c r="D19" s="97" t="s">
        <v>49</v>
      </c>
      <c r="E19" s="97" t="s">
        <v>50</v>
      </c>
      <c r="F19" s="97" t="s">
        <v>97</v>
      </c>
      <c r="G19" s="97" t="s">
        <v>108</v>
      </c>
      <c r="H19" s="66"/>
      <c r="I19" s="97" t="s">
        <v>109</v>
      </c>
      <c r="J19" s="97" t="s">
        <v>110</v>
      </c>
      <c r="K19" s="97" t="s">
        <v>111</v>
      </c>
    </row>
    <row r="20" spans="2:11" ht="36" customHeight="1">
      <c r="B20" s="98" t="s">
        <v>112</v>
      </c>
      <c r="C20" s="99" t="s">
        <v>113</v>
      </c>
      <c r="D20" s="100"/>
      <c r="E20" s="101"/>
      <c r="F20" s="101"/>
      <c r="G20" s="99" t="s">
        <v>114</v>
      </c>
      <c r="I20" s="102" t="s">
        <v>115</v>
      </c>
      <c r="J20" s="103" t="s">
        <v>116</v>
      </c>
      <c r="K20" s="102" t="s">
        <v>117</v>
      </c>
    </row>
    <row r="21" spans="2:11" ht="48" customHeight="1">
      <c r="B21" s="104" t="s">
        <v>118</v>
      </c>
      <c r="C21" s="105" t="s">
        <v>119</v>
      </c>
      <c r="D21" s="106"/>
      <c r="E21" s="107"/>
      <c r="F21" s="107"/>
      <c r="G21" s="105" t="s">
        <v>120</v>
      </c>
      <c r="I21" s="102" t="s">
        <v>121</v>
      </c>
      <c r="J21" s="103" t="s">
        <v>116</v>
      </c>
      <c r="K21" s="102" t="s">
        <v>122</v>
      </c>
    </row>
    <row r="22" spans="2:11" ht="37.9" customHeight="1">
      <c r="B22" s="108" t="s">
        <v>123</v>
      </c>
      <c r="C22" s="102" t="s">
        <v>124</v>
      </c>
      <c r="D22" s="109"/>
      <c r="E22" s="110"/>
      <c r="F22" s="110"/>
      <c r="G22" s="102" t="s">
        <v>125</v>
      </c>
      <c r="I22" s="111" t="s">
        <v>126</v>
      </c>
      <c r="J22" s="112" t="s">
        <v>127</v>
      </c>
      <c r="K22" s="111" t="s">
        <v>128</v>
      </c>
    </row>
    <row r="23" spans="2:11" ht="24" customHeight="1">
      <c r="I23" s="111" t="s">
        <v>129</v>
      </c>
      <c r="J23" s="112" t="s">
        <v>127</v>
      </c>
      <c r="K23" s="111" t="s">
        <v>130</v>
      </c>
    </row>
    <row r="24" spans="2:11" ht="36" customHeight="1">
      <c r="B24" s="458" t="s">
        <v>131</v>
      </c>
      <c r="C24" s="424"/>
      <c r="D24" s="424"/>
      <c r="E24" s="424"/>
      <c r="F24" s="424"/>
      <c r="G24" s="424"/>
      <c r="I24" s="111" t="s">
        <v>132</v>
      </c>
      <c r="J24" s="112" t="s">
        <v>127</v>
      </c>
      <c r="K24" s="111" t="s">
        <v>133</v>
      </c>
    </row>
    <row r="25" spans="2:11" ht="36" customHeight="1">
      <c r="B25" s="113" t="s">
        <v>134</v>
      </c>
      <c r="C25" s="460" t="s">
        <v>135</v>
      </c>
      <c r="D25" s="456"/>
      <c r="E25" s="456"/>
      <c r="F25" s="456"/>
      <c r="G25" s="457"/>
      <c r="I25" s="105" t="s">
        <v>136</v>
      </c>
      <c r="J25" s="114" t="s">
        <v>116</v>
      </c>
      <c r="K25" s="105" t="s">
        <v>137</v>
      </c>
    </row>
    <row r="26" spans="2:11" ht="27" customHeight="1">
      <c r="B26" s="115" t="s">
        <v>138</v>
      </c>
      <c r="C26" s="455" t="s">
        <v>139</v>
      </c>
      <c r="D26" s="456"/>
      <c r="E26" s="456"/>
      <c r="F26" s="456"/>
      <c r="G26" s="457"/>
    </row>
    <row r="27" spans="2:11" ht="31.5" customHeight="1">
      <c r="B27" s="116" t="s">
        <v>140</v>
      </c>
      <c r="C27" s="462" t="s">
        <v>141</v>
      </c>
      <c r="D27" s="456"/>
      <c r="E27" s="456"/>
      <c r="F27" s="456"/>
      <c r="G27" s="457"/>
      <c r="I27" s="458" t="s">
        <v>142</v>
      </c>
      <c r="J27" s="424"/>
      <c r="K27" s="424"/>
    </row>
    <row r="28" spans="2:11" ht="42.75" customHeight="1">
      <c r="B28" s="117" t="s">
        <v>143</v>
      </c>
      <c r="C28" s="461" t="s">
        <v>144</v>
      </c>
      <c r="D28" s="456"/>
      <c r="E28" s="456"/>
      <c r="F28" s="456"/>
      <c r="G28" s="457"/>
      <c r="I28" s="118" t="s">
        <v>17</v>
      </c>
      <c r="J28" s="118" t="s">
        <v>145</v>
      </c>
      <c r="K28" s="118" t="s">
        <v>146</v>
      </c>
    </row>
    <row r="29" spans="2:11" ht="18" customHeight="1">
      <c r="I29" s="119" t="s">
        <v>147</v>
      </c>
      <c r="J29" s="120"/>
      <c r="K29" s="121"/>
    </row>
    <row r="30" spans="2:11" ht="18" customHeight="1">
      <c r="I30" s="119" t="s">
        <v>148</v>
      </c>
      <c r="J30" s="120"/>
      <c r="K30" s="121"/>
    </row>
    <row r="31" spans="2:11" ht="18" customHeight="1">
      <c r="I31" s="119" t="s">
        <v>149</v>
      </c>
      <c r="J31" s="122"/>
      <c r="K31" s="123"/>
    </row>
    <row r="32" spans="2:11" ht="18" customHeight="1">
      <c r="I32" s="119" t="s">
        <v>150</v>
      </c>
      <c r="J32" s="122"/>
      <c r="K32" s="123"/>
    </row>
    <row r="33" spans="2:11" ht="18" customHeight="1">
      <c r="I33" s="119" t="s">
        <v>151</v>
      </c>
      <c r="J33" s="122"/>
      <c r="K33" s="123"/>
    </row>
    <row r="34" spans="2:11" ht="18" customHeight="1">
      <c r="I34" s="119" t="s">
        <v>152</v>
      </c>
      <c r="J34" s="124"/>
      <c r="K34" s="125"/>
    </row>
    <row r="35" spans="2:11" ht="7.5" customHeight="1"/>
    <row r="36" spans="2:11" ht="13.5" customHeight="1">
      <c r="B36" s="454" t="s">
        <v>153</v>
      </c>
      <c r="C36" s="424"/>
      <c r="D36" s="424"/>
      <c r="E36" s="424"/>
      <c r="F36" s="424"/>
      <c r="G36" s="424"/>
      <c r="H36" s="424"/>
      <c r="I36" s="424"/>
      <c r="J36" s="424"/>
      <c r="K36" s="424"/>
    </row>
  </sheetData>
  <mergeCells count="11">
    <mergeCell ref="B36:K36"/>
    <mergeCell ref="C26:G26"/>
    <mergeCell ref="B24:G24"/>
    <mergeCell ref="B2:G2"/>
    <mergeCell ref="I27:K27"/>
    <mergeCell ref="C25:G25"/>
    <mergeCell ref="C28:G28"/>
    <mergeCell ref="C27:G27"/>
    <mergeCell ref="B4:G4"/>
    <mergeCell ref="B18:G18"/>
    <mergeCell ref="I18:K1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73957-DD05-4F1D-A7EE-20CE282CAE33}">
  <sheetPr>
    <tabColor rgb="FF1F2937"/>
  </sheetPr>
  <dimension ref="B1:M24"/>
  <sheetViews>
    <sheetView workbookViewId="0"/>
  </sheetViews>
  <sheetFormatPr defaultColWidth="8.7109375" defaultRowHeight="15"/>
  <cols>
    <col min="1" max="1" width="2" customWidth="1"/>
    <col min="2" max="2" width="30" customWidth="1"/>
    <col min="3" max="3" width="18" customWidth="1"/>
    <col min="4" max="4" width="7" customWidth="1"/>
    <col min="5" max="6" width="12" customWidth="1"/>
    <col min="7" max="10" width="14" customWidth="1"/>
    <col min="11" max="12" width="18" customWidth="1"/>
    <col min="13" max="13" width="35" customWidth="1"/>
    <col min="14" max="14" width="2" customWidth="1"/>
  </cols>
  <sheetData>
    <row r="1" spans="2:13" ht="7.5" customHeight="1"/>
    <row r="2" spans="2:13" ht="33.75" customHeight="1">
      <c r="B2" s="464" t="s">
        <v>154</v>
      </c>
      <c r="C2" s="424"/>
      <c r="D2" s="424"/>
      <c r="E2" s="424"/>
      <c r="F2" s="424"/>
      <c r="G2" s="424"/>
      <c r="H2" s="424"/>
      <c r="I2" s="424"/>
      <c r="J2" s="424"/>
      <c r="K2" s="424"/>
      <c r="L2" s="424"/>
      <c r="M2" s="424"/>
    </row>
    <row r="3" spans="2:13" ht="7.5" customHeight="1">
      <c r="B3" s="66"/>
      <c r="C3" s="66"/>
      <c r="D3" s="66"/>
      <c r="E3" s="66"/>
      <c r="F3" s="66"/>
      <c r="G3" s="66"/>
      <c r="H3" s="66"/>
      <c r="I3" s="66"/>
      <c r="J3" s="66"/>
      <c r="K3" s="66"/>
      <c r="L3" s="66"/>
      <c r="M3" s="66"/>
    </row>
    <row r="4" spans="2:13" ht="39.75" customHeight="1">
      <c r="B4" s="67" t="s">
        <v>80</v>
      </c>
      <c r="C4" s="67" t="s">
        <v>155</v>
      </c>
      <c r="D4" s="67" t="s">
        <v>49</v>
      </c>
      <c r="E4" s="67" t="s">
        <v>156</v>
      </c>
      <c r="F4" s="67" t="s">
        <v>157</v>
      </c>
      <c r="G4" s="67" t="s">
        <v>158</v>
      </c>
      <c r="H4" s="67" t="s">
        <v>159</v>
      </c>
      <c r="I4" s="67" t="s">
        <v>160</v>
      </c>
      <c r="J4" s="67" t="s">
        <v>161</v>
      </c>
      <c r="K4" s="67" t="s">
        <v>162</v>
      </c>
      <c r="L4" s="67" t="s">
        <v>163</v>
      </c>
      <c r="M4" s="67" t="s">
        <v>164</v>
      </c>
    </row>
    <row r="5" spans="2:13" ht="48" customHeight="1">
      <c r="B5" s="232" t="str">
        <f>'01_Property Summary'!B5</f>
        <v>BLD_AB</v>
      </c>
      <c r="C5" s="233" t="str">
        <f>IFERROR(INDEX('01_Property Summary'!$E$5:$E$21,MATCH($B5,'01_Property Summary'!$B$5:$B$21,0)),"")</f>
        <v>Vancouver</v>
      </c>
      <c r="D5" s="234">
        <f>IFERROR(INDEX('01_Property Summary'!$S$5:$S$21,MATCH($B5,'01_Property Summary'!$B$5:$B$21,0)),"")</f>
        <v>46</v>
      </c>
      <c r="E5" s="235">
        <f t="shared" ref="E5:G21" ca="1" si="0">IFERROR(INDEX(INDIRECT("'"&amp;$B5&amp;"'!$E$41:$Y$41"),1,MATCH(VALUE(LEFT(E$4,4)),INDIRECT("'"&amp;$B5&amp;"'!$E$12:$Y$12"),0)),"")</f>
        <v>436078.4040000001</v>
      </c>
      <c r="F5" s="235">
        <f t="shared" ca="1" si="0"/>
        <v>626350.60202735476</v>
      </c>
      <c r="G5" s="235">
        <f t="shared" ca="1" si="0"/>
        <v>684075.4484884768</v>
      </c>
      <c r="H5" s="236" t="str">
        <f>IFERROR(INDEX('02_Debt Engine'!$G$19:$G$35,MATCH($B5,'01_Property Summary'!$B$5:$B$21,0)),"")</f>
        <v>N/A</v>
      </c>
      <c r="I5" s="236" t="str">
        <f>IFERROR(IF(INDEX('02_Debt Engine'!$I$19:$I$35,MATCH($B5,'01_Property Summary'!$B$5:$B$21,0))&lt;1905,"—",INDEX('02_Debt Engine'!$I$19:$I$35,MATCH($B5,'01_Property Summary'!$B$5:$B$21,0))),"")</f>
        <v>—</v>
      </c>
      <c r="J5" s="237" t="str">
        <f>IFERROR(INDEX(DATA_ASSET_CLASSIFICATION!$AB$8:$AB$13,MATCH(INDEX(DATA_ASSET_CLASSIFICATION!$U$8:$U$24,MATCH($B5,DATA_ASSET_CLASSIFICATION!$A$8:$A$24,0)),DATA_ASSET_CLASSIFICATION!$AA$8:$AA$13,0)),"Review")</f>
        <v>Bucket 0 · Excluded</v>
      </c>
      <c r="K5" s="68" t="s">
        <v>165</v>
      </c>
      <c r="L5" s="69" t="s">
        <v>166</v>
      </c>
      <c r="M5" s="70" t="s">
        <v>167</v>
      </c>
    </row>
    <row r="6" spans="2:13" ht="48" customHeight="1">
      <c r="B6" s="232" t="str">
        <f>'01_Property Summary'!B6</f>
        <v>BLD_AC</v>
      </c>
      <c r="C6" s="233" t="str">
        <f>IFERROR(INDEX('01_Property Summary'!$E$5:$E$21,MATCH($B6,'01_Property Summary'!$B$5:$B$21,0)),"")</f>
        <v>Vancouver</v>
      </c>
      <c r="D6" s="234">
        <f>IFERROR(INDEX('01_Property Summary'!$S$5:$S$21,MATCH($B6,'01_Property Summary'!$B$5:$B$21,0)),"")</f>
        <v>21</v>
      </c>
      <c r="E6" s="235">
        <f t="shared" ca="1" si="0"/>
        <v>172856.47799999994</v>
      </c>
      <c r="F6" s="235">
        <f t="shared" ca="1" si="0"/>
        <v>245931.96353918654</v>
      </c>
      <c r="G6" s="235">
        <f t="shared" ca="1" si="0"/>
        <v>248807.85485742081</v>
      </c>
      <c r="H6" s="236" t="str">
        <f>IFERROR(INDEX('02_Debt Engine'!$G$19:$G$35,MATCH($B6,'01_Property Summary'!$B$5:$B$21,0)),"")</f>
        <v>BCHMC/NPAT</v>
      </c>
      <c r="I6" s="236">
        <f>IFERROR(IF(INDEX('02_Debt Engine'!$I$19:$I$35,MATCH($B6,'01_Property Summary'!$B$5:$B$21,0))&lt;1905,"—",INDEX('02_Debt Engine'!$I$19:$I$35,MATCH($B6,'01_Property Summary'!$B$5:$B$21,0))),"")</f>
        <v>2035</v>
      </c>
      <c r="J6" s="237" t="str">
        <f ca="1">IFERROR(INDEX(DATA_ASSET_CLASSIFICATION!$AB$8:$AB$13,MATCH(INDEX(DATA_ASSET_CLASSIFICATION!$U$8:$U$24,MATCH($B6,DATA_ASSET_CLASSIFICATION!$A$8:$A$24,0)),DATA_ASSET_CLASSIFICATION!$AA$8:$AA$13,0)),"Review")</f>
        <v>Bucket 2 · Legacy</v>
      </c>
      <c r="K6" s="68" t="s">
        <v>168</v>
      </c>
      <c r="L6" s="69" t="s">
        <v>169</v>
      </c>
      <c r="M6" s="70" t="s">
        <v>170</v>
      </c>
    </row>
    <row r="7" spans="2:13" ht="48" customHeight="1">
      <c r="B7" s="232" t="str">
        <f>'01_Property Summary'!B7</f>
        <v>BLD_BT</v>
      </c>
      <c r="C7" s="233" t="str">
        <f>IFERROR(INDEX('01_Property Summary'!$E$5:$E$21,MATCH($B7,'01_Property Summary'!$B$5:$B$21,0)),"")</f>
        <v>Vancouver</v>
      </c>
      <c r="D7" s="234">
        <f>IFERROR(INDEX('01_Property Summary'!$S$5:$S$21,MATCH($B7,'01_Property Summary'!$B$5:$B$21,0)),"")</f>
        <v>18</v>
      </c>
      <c r="E7" s="235">
        <f t="shared" ca="1" si="0"/>
        <v>259166.84399999998</v>
      </c>
      <c r="F7" s="235">
        <f t="shared" ca="1" si="0"/>
        <v>322348.72935390845</v>
      </c>
      <c r="G7" s="235">
        <f t="shared" ca="1" si="0"/>
        <v>332046.68923871045</v>
      </c>
      <c r="H7" s="236" t="str">
        <f>IFERROR(INDEX('02_Debt Engine'!$G$19:$G$35,MATCH($B7,'01_Property Summary'!$B$5:$B$21,0)),"")</f>
        <v>BCHMC/NPAT</v>
      </c>
      <c r="I7" s="236">
        <f>IFERROR(IF(INDEX('02_Debt Engine'!$I$19:$I$35,MATCH($B7,'01_Property Summary'!$B$5:$B$21,0))&lt;1905,"—",INDEX('02_Debt Engine'!$I$19:$I$35,MATCH($B7,'01_Property Summary'!$B$5:$B$21,0))),"")</f>
        <v>2035</v>
      </c>
      <c r="J7" s="237" t="str">
        <f ca="1">IFERROR(INDEX(DATA_ASSET_CLASSIFICATION!$AB$8:$AB$13,MATCH(INDEX(DATA_ASSET_CLASSIFICATION!$U$8:$U$24,MATCH($B7,DATA_ASSET_CLASSIFICATION!$A$8:$A$24,0)),DATA_ASSET_CLASSIFICATION!$AA$8:$AA$13,0)),"Review")</f>
        <v>Bucket 2 · Legacy</v>
      </c>
      <c r="K7" s="68" t="s">
        <v>168</v>
      </c>
      <c r="L7" s="69" t="s">
        <v>171</v>
      </c>
      <c r="M7" s="70" t="s">
        <v>172</v>
      </c>
    </row>
    <row r="8" spans="2:13" ht="48" customHeight="1">
      <c r="B8" s="232" t="str">
        <f>'01_Property Summary'!B8</f>
        <v>BLD_CH</v>
      </c>
      <c r="C8" s="233" t="str">
        <f>IFERROR(INDEX('01_Property Summary'!$E$5:$E$21,MATCH($B8,'01_Property Summary'!$B$5:$B$21,0)),"")</f>
        <v>DNV</v>
      </c>
      <c r="D8" s="234">
        <f>IFERROR(INDEX('01_Property Summary'!$S$5:$S$21,MATCH($B8,'01_Property Summary'!$B$5:$B$21,0)),"")</f>
        <v>64</v>
      </c>
      <c r="E8" s="235">
        <f t="shared" ca="1" si="0"/>
        <v>225686.19199999992</v>
      </c>
      <c r="F8" s="235">
        <f t="shared" ca="1" si="0"/>
        <v>473425.25254714594</v>
      </c>
      <c r="G8" s="235">
        <f t="shared" ca="1" si="0"/>
        <v>464023.8890525368</v>
      </c>
      <c r="H8" s="236" t="str">
        <f>IFERROR(INDEX('02_Debt Engine'!$G$19:$G$35,MATCH($B8,'01_Property Summary'!$B$5:$B$21,0)),"")</f>
        <v>N/A</v>
      </c>
      <c r="I8" s="236" t="str">
        <f>IFERROR(IF(INDEX('02_Debt Engine'!$I$19:$I$35,MATCH($B8,'01_Property Summary'!$B$5:$B$21,0))&lt;1905,"—",INDEX('02_Debt Engine'!$I$19:$I$35,MATCH($B8,'01_Property Summary'!$B$5:$B$21,0))),"")</f>
        <v>—</v>
      </c>
      <c r="J8" s="238" t="str">
        <f ca="1">IFERROR(INDEX(DATA_ASSET_CLASSIFICATION!$AB$8:$AB$13,MATCH(INDEX(DATA_ASSET_CLASSIFICATION!$U$8:$U$24,MATCH($B8,DATA_ASSET_CLASSIFICATION!$A$8:$A$24,0)),DATA_ASSET_CLASSIFICATION!$AA$8:$AA$13,0)),"Review")</f>
        <v>Bucket 2 · Legacy</v>
      </c>
      <c r="K8" s="68" t="s">
        <v>168</v>
      </c>
      <c r="L8" s="71" t="s">
        <v>173</v>
      </c>
      <c r="M8" s="70" t="s">
        <v>174</v>
      </c>
    </row>
    <row r="9" spans="2:13" ht="48" customHeight="1">
      <c r="B9" s="232" t="str">
        <f>'01_Property Summary'!B9</f>
        <v>BLD_CC</v>
      </c>
      <c r="C9" s="233" t="str">
        <f>IFERROR(INDEX('01_Property Summary'!$E$5:$E$21,MATCH($B9,'01_Property Summary'!$B$5:$B$21,0)),"")</f>
        <v>Vancouver</v>
      </c>
      <c r="D9" s="234">
        <f>IFERROR(INDEX('01_Property Summary'!$S$5:$S$21,MATCH($B9,'01_Property Summary'!$B$5:$B$21,0)),"")</f>
        <v>34</v>
      </c>
      <c r="E9" s="235">
        <f t="shared" ca="1" si="0"/>
        <v>343316.33199999994</v>
      </c>
      <c r="F9" s="235">
        <f t="shared" ca="1" si="0"/>
        <v>291958.98938365834</v>
      </c>
      <c r="G9" s="235">
        <f t="shared" ca="1" si="0"/>
        <v>299556.37128468545</v>
      </c>
      <c r="H9" s="236" t="str">
        <f>IFERROR(INDEX('02_Debt Engine'!$G$19:$G$35,MATCH($B9,'01_Property Summary'!$B$5:$B$21,0)),"")</f>
        <v>BCHMC</v>
      </c>
      <c r="I9" s="236">
        <f>IFERROR(IF(INDEX('02_Debt Engine'!$I$19:$I$35,MATCH($B9,'01_Property Summary'!$B$5:$B$21,0))&lt;1905,"—",INDEX('02_Debt Engine'!$I$19:$I$35,MATCH($B9,'01_Property Summary'!$B$5:$B$21,0))),"")</f>
        <v>2027</v>
      </c>
      <c r="J9" s="238" t="str">
        <f ca="1">IFERROR(INDEX(DATA_ASSET_CLASSIFICATION!$AB$8:$AB$13,MATCH(INDEX(DATA_ASSET_CLASSIFICATION!$U$8:$U$24,MATCH($B9,DATA_ASSET_CLASSIFICATION!$A$8:$A$24,0)),DATA_ASSET_CLASSIFICATION!$AA$8:$AA$13,0)),"Review")</f>
        <v>Bucket 2 · Legacy</v>
      </c>
      <c r="K9" s="68" t="s">
        <v>168</v>
      </c>
      <c r="L9" s="72" t="s">
        <v>175</v>
      </c>
      <c r="M9" s="70" t="s">
        <v>176</v>
      </c>
    </row>
    <row r="10" spans="2:13" ht="48" customHeight="1">
      <c r="B10" s="232" t="str">
        <f>'01_Property Summary'!B10</f>
        <v>BLD_EA</v>
      </c>
      <c r="C10" s="233" t="str">
        <f>IFERROR(INDEX('01_Property Summary'!$E$5:$E$21,MATCH($B10,'01_Property Summary'!$B$5:$B$21,0)),"")</f>
        <v>New Westminster</v>
      </c>
      <c r="D10" s="234">
        <f>IFERROR(INDEX('01_Property Summary'!$S$5:$S$21,MATCH($B10,'01_Property Summary'!$B$5:$B$21,0)),"")</f>
        <v>61</v>
      </c>
      <c r="E10" s="235">
        <f t="shared" ca="1" si="0"/>
        <v>579873.69400000002</v>
      </c>
      <c r="F10" s="235">
        <f t="shared" ca="1" si="0"/>
        <v>591520.23365239915</v>
      </c>
      <c r="G10" s="235">
        <f t="shared" ca="1" si="0"/>
        <v>607656.15295219317</v>
      </c>
      <c r="H10" s="236" t="str">
        <f>IFERROR(INDEX('02_Debt Engine'!$G$19:$G$35,MATCH($B10,'01_Property Summary'!$B$5:$B$21,0)),"")</f>
        <v>Vancity</v>
      </c>
      <c r="I10" s="236">
        <f>IFERROR(IF(INDEX('02_Debt Engine'!$I$19:$I$35,MATCH($B10,'01_Property Summary'!$B$5:$B$21,0))&lt;1905,"—",INDEX('02_Debt Engine'!$I$19:$I$35,MATCH($B10,'01_Property Summary'!$B$5:$B$21,0))),"")</f>
        <v>2034</v>
      </c>
      <c r="J10" s="238" t="str">
        <f ca="1">IFERROR(INDEX(DATA_ASSET_CLASSIFICATION!$AB$8:$AB$13,MATCH(INDEX(DATA_ASSET_CLASSIFICATION!$U$8:$U$24,MATCH($B10,DATA_ASSET_CLASSIFICATION!$A$8:$A$24,0)),DATA_ASSET_CLASSIFICATION!$AA$8:$AA$13,0)),"Review")</f>
        <v>Bucket 2 · Legacy</v>
      </c>
      <c r="K10" s="73" t="s">
        <v>177</v>
      </c>
      <c r="L10" s="71" t="s">
        <v>178</v>
      </c>
      <c r="M10" s="70" t="s">
        <v>179</v>
      </c>
    </row>
    <row r="11" spans="2:13" ht="48" customHeight="1">
      <c r="B11" s="232" t="str">
        <f>'01_Property Summary'!B11</f>
        <v>BLD_EE</v>
      </c>
      <c r="C11" s="233" t="str">
        <f>IFERROR(INDEX('01_Property Summary'!$E$5:$E$21,MATCH($B11,'01_Property Summary'!$B$5:$B$21,0)),"")</f>
        <v>Surrey</v>
      </c>
      <c r="D11" s="234">
        <f>IFERROR(INDEX('01_Property Summary'!$S$5:$S$21,MATCH($B11,'01_Property Summary'!$B$5:$B$21,0)),"")</f>
        <v>36</v>
      </c>
      <c r="E11" s="235">
        <f t="shared" ca="1" si="0"/>
        <v>207537.00800000003</v>
      </c>
      <c r="F11" s="235">
        <f t="shared" ca="1" si="0"/>
        <v>290410.00201235455</v>
      </c>
      <c r="G11" s="235">
        <f t="shared" ca="1" si="0"/>
        <v>296358.482797348</v>
      </c>
      <c r="H11" s="236" t="str">
        <f>IFERROR(INDEX('02_Debt Engine'!$G$19:$G$35,MATCH($B11,'01_Property Summary'!$B$5:$B$21,0)),"")</f>
        <v>BCHMC</v>
      </c>
      <c r="I11" s="236">
        <f>IFERROR(IF(INDEX('02_Debt Engine'!$I$19:$I$35,MATCH($B11,'01_Property Summary'!$B$5:$B$21,0))&lt;1905,"—",INDEX('02_Debt Engine'!$I$19:$I$35,MATCH($B11,'01_Property Summary'!$B$5:$B$21,0))),"")</f>
        <v>2028</v>
      </c>
      <c r="J11" s="237" t="str">
        <f ca="1">IFERROR(INDEX(DATA_ASSET_CLASSIFICATION!$AB$8:$AB$13,MATCH(INDEX(DATA_ASSET_CLASSIFICATION!$U$8:$U$24,MATCH($B11,DATA_ASSET_CLASSIFICATION!$A$8:$A$24,0)),DATA_ASSET_CLASSIFICATION!$AA$8:$AA$13,0)),"Review")</f>
        <v>Bucket 2 · Legacy</v>
      </c>
      <c r="K11" s="68" t="s">
        <v>168</v>
      </c>
      <c r="L11" s="69" t="s">
        <v>180</v>
      </c>
      <c r="M11" s="70" t="s">
        <v>181</v>
      </c>
    </row>
    <row r="12" spans="2:13" ht="48" customHeight="1">
      <c r="B12" s="232" t="str">
        <f>'01_Property Summary'!B12</f>
        <v>BLD_JP</v>
      </c>
      <c r="C12" s="233" t="str">
        <f>IFERROR(INDEX('01_Property Summary'!$E$5:$E$21,MATCH($B12,'01_Property Summary'!$B$5:$B$21,0)),"")</f>
        <v>Surrey</v>
      </c>
      <c r="D12" s="234">
        <f>IFERROR(INDEX('01_Property Summary'!$S$5:$S$21,MATCH($B12,'01_Property Summary'!$B$5:$B$21,0)),"")</f>
        <v>40</v>
      </c>
      <c r="E12" s="235">
        <f t="shared" ca="1" si="0"/>
        <v>141364.12</v>
      </c>
      <c r="F12" s="235">
        <f t="shared" ca="1" si="0"/>
        <v>234328.97367171821</v>
      </c>
      <c r="G12" s="235">
        <f t="shared" ca="1" si="0"/>
        <v>227867.1566743998</v>
      </c>
      <c r="H12" s="236" t="str">
        <f>IFERROR(INDEX('02_Debt Engine'!$G$19:$G$35,MATCH($B12,'01_Property Summary'!$B$5:$B$21,0)),"")</f>
        <v>BCHMC</v>
      </c>
      <c r="I12" s="236">
        <f>IFERROR(IF(INDEX('02_Debt Engine'!$I$19:$I$35,MATCH($B12,'01_Property Summary'!$B$5:$B$21,0))&lt;1905,"—",INDEX('02_Debt Engine'!$I$19:$I$35,MATCH($B12,'01_Property Summary'!$B$5:$B$21,0))),"")</f>
        <v>2026</v>
      </c>
      <c r="J12" s="237" t="str">
        <f ca="1">IFERROR(INDEX(DATA_ASSET_CLASSIFICATION!$AB$8:$AB$13,MATCH(INDEX(DATA_ASSET_CLASSIFICATION!$U$8:$U$24,MATCH($B12,DATA_ASSET_CLASSIFICATION!$A$8:$A$24,0)),DATA_ASSET_CLASSIFICATION!$AA$8:$AA$13,0)),"Review")</f>
        <v>Bucket 2 · Legacy</v>
      </c>
      <c r="K12" s="68" t="s">
        <v>168</v>
      </c>
      <c r="L12" s="72" t="s">
        <v>182</v>
      </c>
      <c r="M12" s="70" t="s">
        <v>183</v>
      </c>
    </row>
    <row r="13" spans="2:13" ht="48" customHeight="1">
      <c r="B13" s="232" t="str">
        <f>'01_Property Summary'!B13</f>
        <v>BLD_MH</v>
      </c>
      <c r="C13" s="233" t="str">
        <f>IFERROR(INDEX('01_Property Summary'!$E$5:$E$21,MATCH($B13,'01_Property Summary'!$B$5:$B$21,0)),"")</f>
        <v>CNV</v>
      </c>
      <c r="D13" s="234">
        <f>IFERROR(INDEX('01_Property Summary'!$S$5:$S$21,MATCH($B13,'01_Property Summary'!$B$5:$B$21,0)),"")</f>
        <v>19</v>
      </c>
      <c r="E13" s="235">
        <f t="shared" ca="1" si="0"/>
        <v>146321.51200000005</v>
      </c>
      <c r="F13" s="235">
        <f t="shared" ca="1" si="0"/>
        <v>211694.86378909191</v>
      </c>
      <c r="G13" s="235">
        <f t="shared" ca="1" si="0"/>
        <v>212338.09090923046</v>
      </c>
      <c r="H13" s="236" t="str">
        <f>IFERROR(INDEX('02_Debt Engine'!$G$19:$G$35,MATCH($B13,'01_Property Summary'!$B$5:$B$21,0)),"")</f>
        <v>BCHMC</v>
      </c>
      <c r="I13" s="236">
        <f>IFERROR(IF(INDEX('02_Debt Engine'!$I$19:$I$35,MATCH($B13,'01_Property Summary'!$B$5:$B$21,0))&lt;1905,"—",INDEX('02_Debt Engine'!$I$19:$I$35,MATCH($B13,'01_Property Summary'!$B$5:$B$21,0))),"")</f>
        <v>2026</v>
      </c>
      <c r="J13" s="237" t="str">
        <f ca="1">IFERROR(INDEX(DATA_ASSET_CLASSIFICATION!$AB$8:$AB$13,MATCH(INDEX(DATA_ASSET_CLASSIFICATION!$U$8:$U$24,MATCH($B13,DATA_ASSET_CLASSIFICATION!$A$8:$A$24,0)),DATA_ASSET_CLASSIFICATION!$AA$8:$AA$13,0)),"Review")</f>
        <v>Bucket 2 · Legacy</v>
      </c>
      <c r="K13" s="68" t="s">
        <v>168</v>
      </c>
      <c r="L13" s="69" t="s">
        <v>184</v>
      </c>
      <c r="M13" s="70" t="s">
        <v>185</v>
      </c>
    </row>
    <row r="14" spans="2:13" ht="48" customHeight="1">
      <c r="B14" s="232" t="str">
        <f>'01_Property Summary'!B14</f>
        <v>BLD_MM</v>
      </c>
      <c r="C14" s="233" t="str">
        <f>IFERROR(INDEX('01_Property Summary'!$E$5:$E$21,MATCH($B14,'01_Property Summary'!$B$5:$B$21,0)),"")</f>
        <v>Burnaby</v>
      </c>
      <c r="D14" s="234">
        <f>IFERROR(INDEX('01_Property Summary'!$S$5:$S$21,MATCH($B14,'01_Property Summary'!$B$5:$B$21,0)),"")</f>
        <v>47</v>
      </c>
      <c r="E14" s="235">
        <f t="shared" ca="1" si="0"/>
        <v>502606.51400000008</v>
      </c>
      <c r="F14" s="235">
        <f t="shared" ca="1" si="0"/>
        <v>519698.46937749011</v>
      </c>
      <c r="G14" s="235">
        <f t="shared" ca="1" si="0"/>
        <v>545887.76315408852</v>
      </c>
      <c r="H14" s="236" t="str">
        <f>IFERROR(INDEX('02_Debt Engine'!$G$19:$G$35,MATCH($B14,'01_Property Summary'!$B$5:$B$21,0)),"")</f>
        <v>Vancity</v>
      </c>
      <c r="I14" s="236">
        <f>IFERROR(IF(INDEX('02_Debt Engine'!$I$19:$I$35,MATCH($B14,'01_Property Summary'!$B$5:$B$21,0))&lt;1905,"—",INDEX('02_Debt Engine'!$I$19:$I$35,MATCH($B14,'01_Property Summary'!$B$5:$B$21,0))),"")</f>
        <v>2034</v>
      </c>
      <c r="J14" s="238" t="str">
        <f ca="1">IFERROR(INDEX(DATA_ASSET_CLASSIFICATION!$AB$8:$AB$13,MATCH(INDEX(DATA_ASSET_CLASSIFICATION!$U$8:$U$24,MATCH($B14,DATA_ASSET_CLASSIFICATION!$A$8:$A$24,0)),DATA_ASSET_CLASSIFICATION!$AA$8:$AA$13,0)),"Review")</f>
        <v>Bucket 2 · Legacy</v>
      </c>
      <c r="K14" s="73" t="s">
        <v>177</v>
      </c>
      <c r="L14" s="71" t="s">
        <v>178</v>
      </c>
      <c r="M14" s="70" t="s">
        <v>186</v>
      </c>
    </row>
    <row r="15" spans="2:13" ht="48" customHeight="1">
      <c r="B15" s="232" t="str">
        <f>'01_Property Summary'!B15</f>
        <v>BLD_NT</v>
      </c>
      <c r="C15" s="233" t="str">
        <f>IFERROR(INDEX('01_Property Summary'!$E$5:$E$21,MATCH($B15,'01_Property Summary'!$B$5:$B$21,0)),"")</f>
        <v>Vancouver</v>
      </c>
      <c r="D15" s="234">
        <f>IFERROR(INDEX('01_Property Summary'!$S$5:$S$21,MATCH($B15,'01_Property Summary'!$B$5:$B$21,0)),"")</f>
        <v>40</v>
      </c>
      <c r="E15" s="235">
        <f t="shared" ca="1" si="0"/>
        <v>310204.71999999997</v>
      </c>
      <c r="F15" s="235">
        <f t="shared" ca="1" si="0"/>
        <v>445663.34368138242</v>
      </c>
      <c r="G15" s="235">
        <f t="shared" ca="1" si="0"/>
        <v>461021.65147604427</v>
      </c>
      <c r="H15" s="236" t="str">
        <f>IFERROR(INDEX('02_Debt Engine'!$G$19:$G$35,MATCH($B15,'01_Property Summary'!$B$5:$B$21,0)),"")</f>
        <v>BCHMC</v>
      </c>
      <c r="I15" s="236">
        <f>IFERROR(IF(INDEX('02_Debt Engine'!$I$19:$I$35,MATCH($B15,'01_Property Summary'!$B$5:$B$21,0))&lt;1905,"—",INDEX('02_Debt Engine'!$I$19:$I$35,MATCH($B15,'01_Property Summary'!$B$5:$B$21,0))),"")</f>
        <v>2027</v>
      </c>
      <c r="J15" s="237" t="str">
        <f ca="1">IFERROR(INDEX(DATA_ASSET_CLASSIFICATION!$AB$8:$AB$13,MATCH(INDEX(DATA_ASSET_CLASSIFICATION!$U$8:$U$24,MATCH($B15,DATA_ASSET_CLASSIFICATION!$A$8:$A$24,0)),DATA_ASSET_CLASSIFICATION!$AA$8:$AA$13,0)),"Review")</f>
        <v>Bucket 2 · Legacy</v>
      </c>
      <c r="K15" s="68" t="s">
        <v>168</v>
      </c>
      <c r="L15" s="69" t="s">
        <v>187</v>
      </c>
      <c r="M15" s="70" t="s">
        <v>188</v>
      </c>
    </row>
    <row r="16" spans="2:13" ht="48" customHeight="1">
      <c r="B16" s="232" t="str">
        <f>'01_Property Summary'!B16</f>
        <v>BLD_NG</v>
      </c>
      <c r="C16" s="233" t="str">
        <f>IFERROR(INDEX('01_Property Summary'!$E$5:$E$21,MATCH($B16,'01_Property Summary'!$B$5:$B$21,0)),"")</f>
        <v>Surrey</v>
      </c>
      <c r="D16" s="234">
        <f>IFERROR(INDEX('01_Property Summary'!$S$5:$S$21,MATCH($B16,'01_Property Summary'!$B$5:$B$21,0)),"")</f>
        <v>49</v>
      </c>
      <c r="E16" s="235">
        <f t="shared" ca="1" si="0"/>
        <v>371605.62199999997</v>
      </c>
      <c r="F16" s="235">
        <f t="shared" ca="1" si="0"/>
        <v>477284.27748576715</v>
      </c>
      <c r="G16" s="235">
        <f t="shared" ca="1" si="0"/>
        <v>493534.47966327332</v>
      </c>
      <c r="H16" s="236" t="str">
        <f>IFERROR(INDEX('02_Debt Engine'!$G$19:$G$35,MATCH($B16,'01_Property Summary'!$B$5:$B$21,0)),"")</f>
        <v>CMLS</v>
      </c>
      <c r="I16" s="236">
        <f>IFERROR(IF(INDEX('02_Debt Engine'!$I$19:$I$35,MATCH($B16,'01_Property Summary'!$B$5:$B$21,0))&lt;1905,"—",INDEX('02_Debt Engine'!$I$19:$I$35,MATCH($B16,'01_Property Summary'!$B$5:$B$21,0))),"")</f>
        <v>2034</v>
      </c>
      <c r="J16" s="237" t="str">
        <f ca="1">IFERROR(INDEX(DATA_ASSET_CLASSIFICATION!$AB$8:$AB$13,MATCH(INDEX(DATA_ASSET_CLASSIFICATION!$U$8:$U$24,MATCH($B16,DATA_ASSET_CLASSIFICATION!$A$8:$A$24,0)),DATA_ASSET_CLASSIFICATION!$AA$8:$AA$13,0)),"Review")</f>
        <v>Bucket 2 · Legacy</v>
      </c>
      <c r="K16" s="68" t="s">
        <v>168</v>
      </c>
      <c r="L16" s="69" t="s">
        <v>189</v>
      </c>
      <c r="M16" s="70" t="s">
        <v>190</v>
      </c>
    </row>
    <row r="17" spans="2:13" ht="48" customHeight="1">
      <c r="B17" s="232" t="str">
        <f>'01_Property Summary'!B17</f>
        <v>BLD_RG</v>
      </c>
      <c r="C17" s="233" t="str">
        <f>IFERROR(INDEX('01_Property Summary'!$E$5:$E$21,MATCH($B17,'01_Property Summary'!$B$5:$B$21,0)),"")</f>
        <v>Surrey</v>
      </c>
      <c r="D17" s="234">
        <f>IFERROR(INDEX('01_Property Summary'!$S$5:$S$21,MATCH($B17,'01_Property Summary'!$B$5:$B$21,0)),"")</f>
        <v>38</v>
      </c>
      <c r="E17" s="235">
        <f t="shared" ca="1" si="0"/>
        <v>233508.56400000007</v>
      </c>
      <c r="F17" s="235">
        <f t="shared" ca="1" si="0"/>
        <v>233909.09658581819</v>
      </c>
      <c r="G17" s="235">
        <f t="shared" ca="1" si="0"/>
        <v>232926.03486308717</v>
      </c>
      <c r="H17" s="236" t="str">
        <f>IFERROR(INDEX('02_Debt Engine'!$G$19:$G$35,MATCH($B17,'01_Property Summary'!$B$5:$B$21,0)),"")</f>
        <v>Peoples Group</v>
      </c>
      <c r="I17" s="236">
        <f>IFERROR(IF(INDEX('02_Debt Engine'!$I$19:$I$35,MATCH($B17,'01_Property Summary'!$B$5:$B$21,0))&lt;1905,"—",INDEX('02_Debt Engine'!$I$19:$I$35,MATCH($B17,'01_Property Summary'!$B$5:$B$21,0))),"")</f>
        <v>2026</v>
      </c>
      <c r="J17" s="237" t="str">
        <f ca="1">IFERROR(INDEX(DATA_ASSET_CLASSIFICATION!$AB$8:$AB$13,MATCH(INDEX(DATA_ASSET_CLASSIFICATION!$U$8:$U$24,MATCH($B17,DATA_ASSET_CLASSIFICATION!$A$8:$A$24,0)),DATA_ASSET_CLASSIFICATION!$AA$8:$AA$13,0)),"Review")</f>
        <v>Bucket 2 · Legacy</v>
      </c>
      <c r="K17" s="68" t="s">
        <v>168</v>
      </c>
      <c r="L17" s="69" t="s">
        <v>191</v>
      </c>
      <c r="M17" s="70" t="s">
        <v>192</v>
      </c>
    </row>
    <row r="18" spans="2:13" ht="48" customHeight="1">
      <c r="B18" s="232" t="str">
        <f>'01_Property Summary'!B18</f>
        <v>BLD_AS</v>
      </c>
      <c r="C18" s="233" t="str">
        <f>IFERROR(INDEX('01_Property Summary'!$E$5:$E$21,MATCH($B18,'01_Property Summary'!$B$5:$B$21,0)),"")</f>
        <v>Vancouver</v>
      </c>
      <c r="D18" s="234">
        <f>IFERROR(INDEX('01_Property Summary'!$S$5:$S$21,MATCH($B18,'01_Property Summary'!$B$5:$B$21,0)),"")</f>
        <v>97</v>
      </c>
      <c r="E18" s="235">
        <f t="shared" ca="1" si="0"/>
        <v>0</v>
      </c>
      <c r="F18" s="235">
        <f t="shared" ca="1" si="0"/>
        <v>1220832.7363856141</v>
      </c>
      <c r="G18" s="235">
        <f t="shared" ca="1" si="0"/>
        <v>1271373.6385599028</v>
      </c>
      <c r="H18" s="236" t="str">
        <f>IFERROR(INDEX('02_Debt Engine'!$G$19:$G$35,MATCH($B18,'01_Property Summary'!$B$5:$B$21,0)),"")</f>
        <v>BCH CHF</v>
      </c>
      <c r="I18" s="236">
        <f>IFERROR(IF(INDEX('02_Debt Engine'!$I$19:$I$35,MATCH($B18,'01_Property Summary'!$B$5:$B$21,0))&lt;1905,"—",INDEX('02_Debt Engine'!$I$19:$I$35,MATCH($B18,'01_Property Summary'!$B$5:$B$21,0))),"")</f>
        <v>2028</v>
      </c>
      <c r="J18" s="239" t="str">
        <f>IFERROR(INDEX(DATA_ASSET_CLASSIFICATION!$AB$8:$AB$13,MATCH(INDEX(DATA_ASSET_CLASSIFICATION!$U$8:$U$24,MATCH($B18,DATA_ASSET_CLASSIFICATION!$A$8:$A$24,0)),DATA_ASSET_CLASSIFICATION!$AA$8:$AA$13,0)),"Review")</f>
        <v>Bucket 1 · New Build</v>
      </c>
      <c r="K18" s="68" t="s">
        <v>168</v>
      </c>
      <c r="L18" s="69" t="s">
        <v>193</v>
      </c>
      <c r="M18" s="70" t="s">
        <v>194</v>
      </c>
    </row>
    <row r="19" spans="2:13" ht="48" customHeight="1">
      <c r="B19" s="232" t="str">
        <f>'01_Property Summary'!B19</f>
        <v>BLD_PS</v>
      </c>
      <c r="C19" s="233" t="str">
        <f>IFERROR(INDEX('01_Property Summary'!$E$5:$E$21,MATCH($B19,'01_Property Summary'!$B$5:$B$21,0)),"")</f>
        <v>Vancouver</v>
      </c>
      <c r="D19" s="234">
        <f>IFERROR(INDEX('01_Property Summary'!$S$5:$S$21,MATCH($B19,'01_Property Summary'!$B$5:$B$21,0)),"")</f>
        <v>91</v>
      </c>
      <c r="E19" s="235">
        <f t="shared" ca="1" si="0"/>
        <v>0</v>
      </c>
      <c r="F19" s="235">
        <f t="shared" ca="1" si="0"/>
        <v>1009635.6991618793</v>
      </c>
      <c r="G19" s="235">
        <f t="shared" ca="1" si="0"/>
        <v>1040004.2261734338</v>
      </c>
      <c r="H19" s="236" t="str">
        <f>IFERROR(INDEX('02_Debt Engine'!$G$19:$G$35,MATCH($B19,'01_Property Summary'!$B$5:$B$21,0)),"")</f>
        <v>BCH CHF</v>
      </c>
      <c r="I19" s="236">
        <f>IFERROR(IF(INDEX('02_Debt Engine'!$I$19:$I$35,MATCH($B19,'01_Property Summary'!$B$5:$B$21,0))&lt;1905,"—",INDEX('02_Debt Engine'!$I$19:$I$35,MATCH($B19,'01_Property Summary'!$B$5:$B$21,0))),"")</f>
        <v>2028</v>
      </c>
      <c r="J19" s="239" t="str">
        <f>IFERROR(INDEX(DATA_ASSET_CLASSIFICATION!$AB$8:$AB$13,MATCH(INDEX(DATA_ASSET_CLASSIFICATION!$U$8:$U$24,MATCH($B19,DATA_ASSET_CLASSIFICATION!$A$8:$A$24,0)),DATA_ASSET_CLASSIFICATION!$AA$8:$AA$13,0)),"Review")</f>
        <v>Bucket 1 · New Build</v>
      </c>
      <c r="K19" s="68" t="s">
        <v>168</v>
      </c>
      <c r="L19" s="69" t="s">
        <v>195</v>
      </c>
      <c r="M19" s="70" t="s">
        <v>196</v>
      </c>
    </row>
    <row r="20" spans="2:13" ht="48" customHeight="1">
      <c r="B20" s="232" t="str">
        <f>'01_Property Summary'!B20</f>
        <v>BLD_PM</v>
      </c>
      <c r="C20" s="233" t="str">
        <f>IFERROR(INDEX('01_Property Summary'!$E$5:$E$21,MATCH($B20,'01_Property Summary'!$B$5:$B$21,0)),"")</f>
        <v>Port Moody</v>
      </c>
      <c r="D20" s="234">
        <f>IFERROR(INDEX('01_Property Summary'!$S$5:$S$21,MATCH($B20,'01_Property Summary'!$B$5:$B$21,0)),"")</f>
        <v>328</v>
      </c>
      <c r="E20" s="235">
        <f t="shared" ca="1" si="0"/>
        <v>0</v>
      </c>
      <c r="F20" s="235">
        <f t="shared" ca="1" si="0"/>
        <v>4874831.4021117957</v>
      </c>
      <c r="G20" s="235">
        <f t="shared" ca="1" si="0"/>
        <v>5464901.2281190874</v>
      </c>
      <c r="H20" s="236" t="str">
        <f>IFERROR(INDEX('02_Debt Engine'!$G$19:$G$35,MATCH($B20,'01_Property Summary'!$B$5:$B$21,0)),"")</f>
        <v>CMHC</v>
      </c>
      <c r="I20" s="236">
        <f>IFERROR(IF(INDEX('02_Debt Engine'!$I$19:$I$35,MATCH($B20,'01_Property Summary'!$B$5:$B$21,0))&lt;1905,"—",INDEX('02_Debt Engine'!$I$19:$I$35,MATCH($B20,'01_Property Summary'!$B$5:$B$21,0))),"")</f>
        <v>2027</v>
      </c>
      <c r="J20" s="239" t="str">
        <f>IFERROR(INDEX(DATA_ASSET_CLASSIFICATION!$AB$8:$AB$13,MATCH(INDEX(DATA_ASSET_CLASSIFICATION!$U$8:$U$24,MATCH($B20,DATA_ASSET_CLASSIFICATION!$A$8:$A$24,0)),DATA_ASSET_CLASSIFICATION!$AA$8:$AA$13,0)),"Review")</f>
        <v>Bucket 1 · New Build</v>
      </c>
      <c r="K20" s="68" t="s">
        <v>168</v>
      </c>
      <c r="L20" s="69" t="s">
        <v>197</v>
      </c>
      <c r="M20" s="70" t="s">
        <v>198</v>
      </c>
    </row>
    <row r="21" spans="2:13" ht="48" customHeight="1">
      <c r="B21" s="232" t="str">
        <f>'01_Property Summary'!B21</f>
        <v>BLD_CD</v>
      </c>
      <c r="C21" s="233" t="str">
        <f>IFERROR(INDEX('01_Property Summary'!$E$5:$E$21,MATCH($B21,'01_Property Summary'!$B$5:$B$21,0)),"")</f>
        <v>Vancouver</v>
      </c>
      <c r="D21" s="234">
        <f>IFERROR(INDEX('01_Property Summary'!$S$5:$S$21,MATCH($B21,'01_Property Summary'!$B$5:$B$21,0)),"")</f>
        <v>93</v>
      </c>
      <c r="E21" s="235">
        <f t="shared" ca="1" si="0"/>
        <v>0</v>
      </c>
      <c r="F21" s="235">
        <f t="shared" ca="1" si="0"/>
        <v>1474873.7757218662</v>
      </c>
      <c r="G21" s="235">
        <f t="shared" ca="1" si="0"/>
        <v>1572057.1659937119</v>
      </c>
      <c r="H21" s="236" t="str">
        <f>IFERROR(INDEX('02_Debt Engine'!$G$19:$G$35,MATCH($B21,'01_Property Summary'!$B$5:$B$21,0)),"")</f>
        <v>BCH CHF</v>
      </c>
      <c r="I21" s="236">
        <f>IFERROR(IF(INDEX('02_Debt Engine'!$I$19:$I$35,MATCH($B21,'01_Property Summary'!$B$5:$B$21,0))&lt;1905,"—",INDEX('02_Debt Engine'!$I$19:$I$35,MATCH($B21,'01_Property Summary'!$B$5:$B$21,0))),"")</f>
        <v>2029</v>
      </c>
      <c r="J21" s="239" t="str">
        <f>IFERROR(INDEX(DATA_ASSET_CLASSIFICATION!$AB$8:$AB$13,MATCH(INDEX(DATA_ASSET_CLASSIFICATION!$U$8:$U$24,MATCH($B21,DATA_ASSET_CLASSIFICATION!$A$8:$A$24,0)),DATA_ASSET_CLASSIFICATION!$AA$8:$AA$13,0)),"Review")</f>
        <v>Bucket 1 · New Build</v>
      </c>
      <c r="K21" s="68" t="s">
        <v>168</v>
      </c>
      <c r="L21" s="69" t="s">
        <v>199</v>
      </c>
      <c r="M21" s="70" t="s">
        <v>200</v>
      </c>
    </row>
    <row r="22" spans="2:13" ht="48" customHeight="1">
      <c r="B22" s="126"/>
      <c r="C22" s="173"/>
      <c r="D22" s="174"/>
      <c r="E22" s="172"/>
      <c r="F22" s="172"/>
      <c r="G22" s="172"/>
      <c r="H22" s="175"/>
      <c r="I22" s="175"/>
      <c r="J22" s="127"/>
      <c r="K22" s="128"/>
      <c r="L22" s="129"/>
      <c r="M22" s="130"/>
    </row>
    <row r="23" spans="2:13" ht="21.75" customHeight="1">
      <c r="B23" s="74" t="s">
        <v>201</v>
      </c>
      <c r="C23" s="176"/>
      <c r="D23" s="177"/>
      <c r="E23" s="240">
        <f ca="1">SUM(E5:E21)</f>
        <v>3930126.0040000002</v>
      </c>
      <c r="F23" s="240">
        <f ca="1">SUM(F5:F21)</f>
        <v>13544698.41048843</v>
      </c>
      <c r="G23" s="240">
        <f ca="1">SUM(G5:G21)</f>
        <v>14454436.324257631</v>
      </c>
      <c r="H23" s="176"/>
      <c r="I23" s="176"/>
      <c r="J23" s="74"/>
      <c r="K23" s="74"/>
      <c r="L23" s="74"/>
      <c r="M23" s="74"/>
    </row>
    <row r="24" spans="2:13" ht="15" customHeight="1">
      <c r="B24" s="66"/>
      <c r="C24" s="66"/>
      <c r="D24" s="66"/>
      <c r="E24" s="66"/>
      <c r="F24" s="66"/>
      <c r="G24" s="66"/>
      <c r="H24" s="66"/>
      <c r="I24" s="66"/>
      <c r="J24" s="66"/>
      <c r="K24" s="66"/>
      <c r="L24" s="66"/>
      <c r="M24" s="66"/>
    </row>
  </sheetData>
  <mergeCells count="1">
    <mergeCell ref="B2:M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4039-1F82-4A52-B142-8028CCF78091}">
  <sheetPr>
    <tabColor rgb="FF70AD47"/>
  </sheetPr>
  <dimension ref="A1:K39"/>
  <sheetViews>
    <sheetView showGridLines="0" workbookViewId="0"/>
  </sheetViews>
  <sheetFormatPr defaultColWidth="8.7109375" defaultRowHeight="15"/>
  <cols>
    <col min="1" max="1" width="1.28515625" customWidth="1"/>
    <col min="2" max="2" width="10.28515625" customWidth="1"/>
    <col min="3" max="3" width="12" customWidth="1"/>
    <col min="4" max="5" width="12.7109375" customWidth="1"/>
    <col min="6" max="9" width="15.7109375" customWidth="1"/>
    <col min="10" max="11" width="6.7109375" customWidth="1"/>
    <col min="12" max="12" width="1.28515625" customWidth="1"/>
  </cols>
  <sheetData>
    <row r="1" spans="1:11" ht="7.5" customHeight="1"/>
    <row r="2" spans="1:11" ht="69.400000000000006" customHeight="1">
      <c r="B2" s="476" t="s">
        <v>202</v>
      </c>
      <c r="C2" s="424"/>
      <c r="D2" s="424"/>
      <c r="E2" s="424"/>
      <c r="F2" s="424"/>
      <c r="G2" s="424"/>
      <c r="H2" s="424"/>
      <c r="I2" s="424"/>
      <c r="J2" s="424"/>
      <c r="K2" s="424"/>
    </row>
    <row r="3" spans="1:11" ht="19.899999999999999" customHeight="1">
      <c r="B3" s="481" t="s">
        <v>203</v>
      </c>
      <c r="C3" s="482"/>
      <c r="D3" s="482"/>
      <c r="E3" s="482"/>
      <c r="F3" s="482"/>
      <c r="G3" s="482"/>
      <c r="H3" s="482"/>
      <c r="I3" s="482"/>
      <c r="J3" s="482"/>
      <c r="K3" s="482"/>
    </row>
    <row r="4" spans="1:11" ht="7.5" customHeight="1"/>
    <row r="5" spans="1:11" ht="22.15" customHeight="1">
      <c r="B5" s="217" t="s">
        <v>204</v>
      </c>
      <c r="C5" s="241">
        <f>'00_MODEL_CONTROL'!$B$31</f>
        <v>2026</v>
      </c>
      <c r="D5" s="217" t="s">
        <v>205</v>
      </c>
      <c r="E5" s="241">
        <v>2045</v>
      </c>
      <c r="F5" s="217" t="s">
        <v>206</v>
      </c>
      <c r="G5" s="242">
        <v>1</v>
      </c>
      <c r="H5" s="217" t="s">
        <v>207</v>
      </c>
      <c r="I5" s="243">
        <v>0</v>
      </c>
    </row>
    <row r="6" spans="1:11" ht="7.9" customHeight="1"/>
    <row r="7" spans="1:11" ht="33.6" customHeight="1">
      <c r="A7" s="162"/>
      <c r="B7" s="480" t="s">
        <v>208</v>
      </c>
      <c r="C7" s="456"/>
      <c r="D7" s="456"/>
      <c r="E7" s="456"/>
      <c r="F7" s="456"/>
      <c r="G7" s="456"/>
      <c r="H7" s="456"/>
      <c r="I7" s="456"/>
      <c r="J7" s="456"/>
      <c r="K7" s="457"/>
    </row>
    <row r="8" spans="1:11" ht="18" customHeight="1">
      <c r="A8" s="162"/>
      <c r="B8" s="473" t="s">
        <v>209</v>
      </c>
      <c r="C8" s="465" t="s">
        <v>106</v>
      </c>
      <c r="D8" s="477" t="s">
        <v>210</v>
      </c>
      <c r="E8" s="474"/>
      <c r="F8" s="477" t="s">
        <v>211</v>
      </c>
      <c r="G8" s="474"/>
      <c r="H8" s="477" t="s">
        <v>212</v>
      </c>
      <c r="I8" s="474"/>
      <c r="J8" s="477" t="s">
        <v>213</v>
      </c>
      <c r="K8" s="474"/>
    </row>
    <row r="9" spans="1:11" ht="18" customHeight="1">
      <c r="A9" s="162"/>
      <c r="B9" s="474"/>
      <c r="C9" s="466"/>
      <c r="D9" s="244">
        <f>$C$5</f>
        <v>2026</v>
      </c>
      <c r="E9" s="244">
        <f>$E$5</f>
        <v>2045</v>
      </c>
      <c r="F9" s="244">
        <f>$C$5</f>
        <v>2026</v>
      </c>
      <c r="G9" s="244">
        <f>$E$5</f>
        <v>2045</v>
      </c>
      <c r="H9" s="244">
        <f>$C$5</f>
        <v>2026</v>
      </c>
      <c r="I9" s="244">
        <f>$E$5</f>
        <v>2045</v>
      </c>
      <c r="J9" s="244">
        <f>$C$5</f>
        <v>2026</v>
      </c>
      <c r="K9" s="244">
        <f>$E$5</f>
        <v>2045</v>
      </c>
    </row>
    <row r="10" spans="1:11" ht="19.899999999999999" customHeight="1">
      <c r="A10" s="162"/>
      <c r="B10" s="245" t="str">
        <f>'01_Property Summary'!B5</f>
        <v>BLD_AB</v>
      </c>
      <c r="C10" s="246" t="str">
        <f>IFERROR(INDEX(DATA_ASSET_CLASSIFICATION!$U$8:$U$24,MATCH($B10,DATA_ASSET_CLASSIFICATION!$A$8:$A$24,0)),"Review")</f>
        <v>Excluded</v>
      </c>
      <c r="D10" s="247">
        <f>INDEX(BLD_AB!$E$41:$Y$41,MATCH($C$5,BLD_AB!$E$12:$Y$12,0))</f>
        <v>441788.59207999997</v>
      </c>
      <c r="E10" s="247">
        <f>INDEX(BLD_AB!$E$41:$Y$41,MATCH($E$5,BLD_AB!$E$12:$Y$12,0))</f>
        <v>820464.83505932102</v>
      </c>
      <c r="F10" s="248">
        <f>INDEX(BLD_AB!$E$77:$Y$77,MATCH($C$5,BLD_AB!$E$12:$Y$12,0))</f>
        <v>7363143.2013333328</v>
      </c>
      <c r="G10" s="248">
        <f>INDEX(BLD_AB!$E$77:$Y$77,MATCH($E$5,BLD_AB!$E$12:$Y$12,0))</f>
        <v>13674413.917655351</v>
      </c>
      <c r="H10" s="247">
        <f>INDEX(BLD_AB!$E$52:$Y$52,MATCH($C$5,BLD_AB!$E$12:$Y$12,0))</f>
        <v>441788.59207999997</v>
      </c>
      <c r="I10" s="247">
        <f>INDEX(BLD_AB!$E$52:$Y$52,MATCH($E$5,BLD_AB!$E$12:$Y$12,0))</f>
        <v>820464.83505932102</v>
      </c>
      <c r="J10" s="249" t="str">
        <f>INDEX(BLD_AB!$E$50:$Y$50,MATCH($C$5,BLD_AB!$E$12:$Y$12,0))</f>
        <v/>
      </c>
      <c r="K10" s="249" t="str">
        <f>INDEX(BLD_AB!$E$50:$Y$50,MATCH($E$5,BLD_AB!$E$12:$Y$12,0))</f>
        <v/>
      </c>
    </row>
    <row r="11" spans="1:11" ht="19.899999999999999" customHeight="1">
      <c r="A11" s="162"/>
      <c r="B11" s="245" t="str">
        <f>'01_Property Summary'!B6</f>
        <v>BLD_AC</v>
      </c>
      <c r="C11" s="246" t="str">
        <f ca="1">IFERROR(INDEX(DATA_ASSET_CLASSIFICATION!$U$8:$U$24,MATCH($B11,DATA_ASSET_CLASSIFICATION!$A$8:$A$24,0)),"Review")</f>
        <v>Stable</v>
      </c>
      <c r="D11" s="247">
        <f>INDEX(BLD_AC!$E$41:$Y$41,MATCH($C$5,BLD_AC!$E$12:$Y$12,0))</f>
        <v>172215.62515999994</v>
      </c>
      <c r="E11" s="247">
        <f>INDEX(BLD_AC!$E$41:$Y$41,MATCH($E$5,BLD_AC!$E$12:$Y$12,0))</f>
        <v>223647.95410087286</v>
      </c>
      <c r="F11" s="248">
        <f>INDEX(BLD_AC!$E$77:$Y$77,MATCH($C$5,BLD_AC!$E$12:$Y$12,0))</f>
        <v>2121113.7449239464</v>
      </c>
      <c r="G11" s="248">
        <f>INDEX(BLD_AC!$E$77:$Y$77,MATCH($E$5,BLD_AC!$E$12:$Y$12,0))</f>
        <v>3649105.0412123404</v>
      </c>
      <c r="H11" s="247">
        <f>INDEX(BLD_AC!$E$52:$Y$52,MATCH($C$5,BLD_AC!$E$12:$Y$12,0))</f>
        <v>117885.50515999994</v>
      </c>
      <c r="I11" s="247">
        <f>INDEX(BLD_AC!$E$52:$Y$52,MATCH($E$5,BLD_AC!$E$12:$Y$12,0))</f>
        <v>169317.83410087286</v>
      </c>
      <c r="J11" s="249">
        <f>INDEX(BLD_AC!$E$50:$Y$50,MATCH($C$5,BLD_AC!$E$12:$Y$12,0))</f>
        <v>3.1698001984902651</v>
      </c>
      <c r="K11" s="249">
        <f>INDEX(BLD_AC!$E$50:$Y$50,MATCH($E$5,BLD_AC!$E$12:$Y$12,0))</f>
        <v>4.1164634663216804</v>
      </c>
    </row>
    <row r="12" spans="1:11" ht="19.899999999999999" customHeight="1">
      <c r="A12" s="162"/>
      <c r="B12" s="245" t="str">
        <f>'01_Property Summary'!B7</f>
        <v>BLD_BT</v>
      </c>
      <c r="C12" s="246" t="str">
        <f ca="1">IFERROR(INDEX(DATA_ASSET_CLASSIFICATION!$U$8:$U$24,MATCH($B12,DATA_ASSET_CLASSIFICATION!$A$8:$A$24,0)),"Review")</f>
        <v>Stable</v>
      </c>
      <c r="D12" s="247">
        <f>INDEX(BLD_BT!$E$41:$Y$41,MATCH($C$5,BLD_BT!$E$12:$Y$12,0))</f>
        <v>259732.10727999997</v>
      </c>
      <c r="E12" s="247">
        <f>INDEX(BLD_BT!$E$41:$Y$41,MATCH($E$5,BLD_BT!$E$12:$Y$12,0))</f>
        <v>259261.36387368172</v>
      </c>
      <c r="F12" s="248">
        <f>INDEX(BLD_BT!$E$77:$Y$77,MATCH($C$5,BLD_BT!$E$12:$Y$12,0))</f>
        <v>2804328.0133902892</v>
      </c>
      <c r="G12" s="248">
        <f>INDEX(BLD_BT!$E$77:$Y$77,MATCH($E$5,BLD_BT!$E$12:$Y$12,0))</f>
        <v>4161553.6373723401</v>
      </c>
      <c r="H12" s="247">
        <f>INDEX(BLD_BT!$E$52:$Y$52,MATCH($C$5,BLD_BT!$E$12:$Y$12,0))</f>
        <v>149168.42727999997</v>
      </c>
      <c r="I12" s="247">
        <f>INDEX(BLD_BT!$E$52:$Y$52,MATCH($E$5,BLD_BT!$E$12:$Y$12,0))</f>
        <v>148697.68387368173</v>
      </c>
      <c r="J12" s="249">
        <f>INDEX(BLD_BT!$E$50:$Y$50,MATCH($C$5,BLD_BT!$E$12:$Y$12,0))</f>
        <v>2.3491630097695735</v>
      </c>
      <c r="K12" s="249">
        <f>INDEX(BLD_BT!$E$50:$Y$50,MATCH($E$5,BLD_BT!$E$12:$Y$12,0))</f>
        <v>2.3449053420949966</v>
      </c>
    </row>
    <row r="13" spans="1:11" ht="19.899999999999999" customHeight="1">
      <c r="A13" s="162"/>
      <c r="B13" s="245" t="str">
        <f>'01_Property Summary'!B8</f>
        <v>BLD_CH</v>
      </c>
      <c r="C13" s="246" t="str">
        <f ca="1">IFERROR(INDEX(DATA_ASSET_CLASSIFICATION!$U$8:$U$24,MATCH($B13,DATA_ASSET_CLASSIFICATION!$A$8:$A$24,0)),"Review")</f>
        <v>Stable</v>
      </c>
      <c r="D13" s="247">
        <f>INDEX(BLD_CH!$E$41:$Y$41,MATCH($C$5,BLD_CH!$E$12:$Y$12,0))</f>
        <v>220425.03584000008</v>
      </c>
      <c r="E13" s="247">
        <f>INDEX(BLD_CH!$E$41:$Y$41,MATCH($E$5,BLD_CH!$E$12:$Y$12,0))</f>
        <v>522083.68544574128</v>
      </c>
      <c r="F13" s="248">
        <f>INDEX(BLD_CH!$E$77:$Y$77,MATCH($C$5,BLD_CH!$E$12:$Y$12,0))</f>
        <v>3673750.5973333349</v>
      </c>
      <c r="G13" s="248">
        <f>INDEX(BLD_CH!$E$77:$Y$77,MATCH($E$5,BLD_CH!$E$12:$Y$12,0))</f>
        <v>8701394.7574290223</v>
      </c>
      <c r="H13" s="247">
        <f>INDEX(BLD_CH!$E$52:$Y$52,MATCH($C$5,BLD_CH!$E$12:$Y$12,0))</f>
        <v>220425.03584000008</v>
      </c>
      <c r="I13" s="247">
        <f>INDEX(BLD_CH!$E$52:$Y$52,MATCH($E$5,BLD_CH!$E$12:$Y$12,0))</f>
        <v>522083.68544574128</v>
      </c>
      <c r="J13" s="249" t="str">
        <f>INDEX(BLD_CH!$E$50:$Y$50,MATCH($C$5,BLD_CH!$E$12:$Y$12,0))</f>
        <v/>
      </c>
      <c r="K13" s="249" t="str">
        <f>INDEX(BLD_CH!$E$50:$Y$50,MATCH($E$5,BLD_CH!$E$12:$Y$12,0))</f>
        <v/>
      </c>
    </row>
    <row r="14" spans="1:11" ht="19.899999999999999" customHeight="1">
      <c r="A14" s="162"/>
      <c r="B14" s="245" t="str">
        <f>'01_Property Summary'!B9</f>
        <v>BLD_CC</v>
      </c>
      <c r="C14" s="246" t="str">
        <f ca="1">IFERROR(INDEX(DATA_ASSET_CLASSIFICATION!$U$8:$U$24,MATCH($B14,DATA_ASSET_CLASSIFICATION!$A$8:$A$24,0)),"Review")</f>
        <v>Refi Watch</v>
      </c>
      <c r="D14" s="247">
        <f>INDEX(BLD_CC!$E$41:$Y$41,MATCH($C$5,BLD_CC!$E$12:$Y$12,0))</f>
        <v>342478.44264000002</v>
      </c>
      <c r="E14" s="247">
        <f>INDEX(BLD_CC!$E$41:$Y$41,MATCH($E$5,BLD_CC!$E$12:$Y$12,0))</f>
        <v>346735.3359874232</v>
      </c>
      <c r="F14" s="248">
        <f>INDEX(BLD_CC!$E$77:$Y$77,MATCH($C$5,BLD_CC!$E$12:$Y$12,0))</f>
        <v>5707974.0440000007</v>
      </c>
      <c r="G14" s="248">
        <f>INDEX(BLD_CC!$E$77:$Y$77,MATCH($E$5,BLD_CC!$E$12:$Y$12,0))</f>
        <v>5778922.2664570538</v>
      </c>
      <c r="H14" s="247">
        <f>INDEX(BLD_CC!$E$52:$Y$52,MATCH($C$5,BLD_CC!$E$12:$Y$12,0))</f>
        <v>230826.46713023511</v>
      </c>
      <c r="I14" s="247">
        <f>INDEX(BLD_CC!$E$52:$Y$52,MATCH($E$5,BLD_CC!$E$12:$Y$12,0))</f>
        <v>346735.3359874232</v>
      </c>
      <c r="J14" s="249">
        <f>INDEX(BLD_CC!$E$50:$Y$50,MATCH($C$5,BLD_CC!$E$12:$Y$12,0))</f>
        <v>3.0673746799047672</v>
      </c>
      <c r="K14" s="249" t="str">
        <f>INDEX(BLD_CC!$E$50:$Y$50,MATCH($E$5,BLD_CC!$E$12:$Y$12,0))</f>
        <v/>
      </c>
    </row>
    <row r="15" spans="1:11" ht="19.899999999999999" customHeight="1">
      <c r="A15" s="162"/>
      <c r="B15" s="245" t="str">
        <f>'01_Property Summary'!B10</f>
        <v>BLD_EA</v>
      </c>
      <c r="C15" s="246" t="str">
        <f ca="1">IFERROR(INDEX(DATA_ASSET_CLASSIFICATION!$U$8:$U$24,MATCH($B15,DATA_ASSET_CLASSIFICATION!$A$8:$A$24,0)),"Review")</f>
        <v>Refi Watch</v>
      </c>
      <c r="D15" s="247">
        <f>INDEX(BLD_EA!$E$41:$Y$41,MATCH($C$5,BLD_EA!$E$12:$Y$12,0))</f>
        <v>583200.50788000016</v>
      </c>
      <c r="E15" s="247">
        <f>INDEX(BLD_EA!$E$41:$Y$41,MATCH($E$5,BLD_EA!$E$12:$Y$12,0))</f>
        <v>703873.72280452854</v>
      </c>
      <c r="F15" s="248">
        <f>INDEX(BLD_EA!$E$77:$Y$77,MATCH($C$5,BLD_EA!$E$12:$Y$12,0))</f>
        <v>4381636.6747763371</v>
      </c>
      <c r="G15" s="248">
        <f>INDEX(BLD_EA!$E$77:$Y$77,MATCH($E$5,BLD_EA!$E$12:$Y$12,0))</f>
        <v>5573724.8061222713</v>
      </c>
      <c r="H15" s="247">
        <f>INDEX(BLD_EA!$E$52:$Y$52,MATCH($C$5,BLD_EA!$E$12:$Y$12,0))</f>
        <v>285360.50788000016</v>
      </c>
      <c r="I15" s="247">
        <f>INDEX(BLD_EA!$E$52:$Y$52,MATCH($E$5,BLD_EA!$E$12:$Y$12,0))</f>
        <v>306288.64674109395</v>
      </c>
      <c r="J15" s="249">
        <f>INDEX(BLD_EA!$E$50:$Y$50,MATCH($C$5,BLD_EA!$E$12:$Y$12,0))</f>
        <v>1.9581000130271291</v>
      </c>
      <c r="K15" s="249">
        <f>INDEX(BLD_EA!$E$50:$Y$50,MATCH($E$5,BLD_EA!$E$12:$Y$12,0))</f>
        <v>1.770372594901489</v>
      </c>
    </row>
    <row r="16" spans="1:11" ht="19.899999999999999" customHeight="1">
      <c r="A16" s="162"/>
      <c r="B16" s="245" t="str">
        <f>'01_Property Summary'!B11</f>
        <v>BLD_EE</v>
      </c>
      <c r="C16" s="246" t="str">
        <f ca="1">IFERROR(INDEX(DATA_ASSET_CLASSIFICATION!$U$8:$U$24,MATCH($B16,DATA_ASSET_CLASSIFICATION!$A$8:$A$24,0)),"Review")</f>
        <v>Refi Watch</v>
      </c>
      <c r="D16" s="247">
        <f>INDEX(BLD_EE!$E$41:$Y$41,MATCH($C$5,BLD_EE!$E$12:$Y$12,0))</f>
        <v>207348.16816</v>
      </c>
      <c r="E16" s="247">
        <f>INDEX(BLD_EE!$E$41:$Y$41,MATCH($E$5,BLD_EE!$E$12:$Y$12,0))</f>
        <v>341921.28899919137</v>
      </c>
      <c r="F16" s="248">
        <f>INDEX(BLD_EE!$E$77:$Y$77,MATCH($C$5,BLD_EE!$E$12:$Y$12,0))</f>
        <v>3264981.4837222826</v>
      </c>
      <c r="G16" s="248">
        <f>INDEX(BLD_EE!$E$77:$Y$77,MATCH($E$5,BLD_EE!$E$12:$Y$12,0))</f>
        <v>5698688.1499865232</v>
      </c>
      <c r="H16" s="247">
        <f>INDEX(BLD_EE!$E$52:$Y$52,MATCH($C$5,BLD_EE!$E$12:$Y$12,0))</f>
        <v>-37027.871840000007</v>
      </c>
      <c r="I16" s="247">
        <f>INDEX(BLD_EE!$E$52:$Y$52,MATCH($E$5,BLD_EE!$E$12:$Y$12,0))</f>
        <v>341921.28899919137</v>
      </c>
      <c r="J16" s="249">
        <f>INDEX(BLD_EE!$E$50:$Y$50,MATCH($C$5,BLD_EE!$E$12:$Y$12,0))</f>
        <v>0.84847994165058083</v>
      </c>
      <c r="K16" s="249" t="str">
        <f>INDEX(BLD_EE!$E$50:$Y$50,MATCH($E$5,BLD_EE!$E$12:$Y$12,0))</f>
        <v/>
      </c>
    </row>
    <row r="17" spans="1:11" ht="19.899999999999999" customHeight="1">
      <c r="A17" s="162"/>
      <c r="B17" s="245" t="str">
        <f>'01_Property Summary'!B12</f>
        <v>BLD_JP</v>
      </c>
      <c r="C17" s="246" t="str">
        <f ca="1">IFERROR(INDEX(DATA_ASSET_CLASSIFICATION!$U$8:$U$24,MATCH($B17,DATA_ASSET_CLASSIFICATION!$A$8:$A$24,0)),"Review")</f>
        <v>Refi Watch</v>
      </c>
      <c r="D17" s="247">
        <f>INDEX(BLD_JP!$E$41:$Y$41,MATCH($C$5,BLD_JP!$E$12:$Y$12,0))</f>
        <v>236702.40479999996</v>
      </c>
      <c r="E17" s="247">
        <f>INDEX(BLD_JP!$E$41:$Y$41,MATCH($E$5,BLD_JP!$E$12:$Y$12,0))</f>
        <v>255069.16361439234</v>
      </c>
      <c r="F17" s="248">
        <f>INDEX(BLD_JP!$E$77:$Y$77,MATCH($C$5,BLD_JP!$E$12:$Y$12,0))</f>
        <v>3945040.0799999996</v>
      </c>
      <c r="G17" s="248">
        <f>INDEX(BLD_JP!$E$77:$Y$77,MATCH($E$5,BLD_JP!$E$12:$Y$12,0))</f>
        <v>4251152.7269065389</v>
      </c>
      <c r="H17" s="247">
        <f>INDEX(BLD_JP!$E$52:$Y$52,MATCH($C$5,BLD_JP!$E$12:$Y$12,0))</f>
        <v>234899.72156935168</v>
      </c>
      <c r="I17" s="247">
        <f>INDEX(BLD_JP!$E$52:$Y$52,MATCH($E$5,BLD_JP!$E$12:$Y$12,0))</f>
        <v>255069.16361439234</v>
      </c>
      <c r="J17" s="249">
        <f>INDEX(BLD_JP!$E$50:$Y$50,MATCH($C$5,BLD_JP!$E$12:$Y$12,0))</f>
        <v>131.30560088190069</v>
      </c>
      <c r="K17" s="249" t="str">
        <f>INDEX(BLD_JP!$E$50:$Y$50,MATCH($E$5,BLD_JP!$E$12:$Y$12,0))</f>
        <v/>
      </c>
    </row>
    <row r="18" spans="1:11" ht="19.899999999999999" customHeight="1">
      <c r="A18" s="162"/>
      <c r="B18" s="245" t="str">
        <f>'01_Property Summary'!B13</f>
        <v>BLD_MH</v>
      </c>
      <c r="C18" s="246" t="str">
        <f ca="1">IFERROR(INDEX(DATA_ASSET_CLASSIFICATION!$U$8:$U$24,MATCH($B18,DATA_ASSET_CLASSIFICATION!$A$8:$A$24,0)),"Review")</f>
        <v>Refi Watch</v>
      </c>
      <c r="D18" s="247">
        <f>INDEX(BLD_MH!$E$41:$Y$41,MATCH($C$5,BLD_MH!$E$12:$Y$12,0))</f>
        <v>210980.64448000002</v>
      </c>
      <c r="E18" s="247">
        <f>INDEX(BLD_MH!$E$41:$Y$41,MATCH($E$5,BLD_MH!$E$12:$Y$12,0))</f>
        <v>242415.52401997877</v>
      </c>
      <c r="F18" s="248">
        <f>INDEX(BLD_MH!$E$77:$Y$77,MATCH($C$5,BLD_MH!$E$12:$Y$12,0))</f>
        <v>3516344.0746666673</v>
      </c>
      <c r="G18" s="248">
        <f>INDEX(BLD_MH!$E$77:$Y$77,MATCH($E$5,BLD_MH!$E$12:$Y$12,0))</f>
        <v>4040258.7336663129</v>
      </c>
      <c r="H18" s="247">
        <f>INDEX(BLD_MH!$E$52:$Y$52,MATCH($C$5,BLD_MH!$E$12:$Y$12,0))</f>
        <v>189161.19937825482</v>
      </c>
      <c r="I18" s="247">
        <f>INDEX(BLD_MH!$E$52:$Y$52,MATCH($E$5,BLD_MH!$E$12:$Y$12,0))</f>
        <v>242415.52401997877</v>
      </c>
      <c r="J18" s="249">
        <f>INDEX(BLD_MH!$E$50:$Y$50,MATCH($C$5,BLD_MH!$E$12:$Y$12,0))</f>
        <v>9.6693863430617313</v>
      </c>
      <c r="K18" s="249" t="str">
        <f>INDEX(BLD_MH!$E$50:$Y$50,MATCH($E$5,BLD_MH!$E$12:$Y$12,0))</f>
        <v/>
      </c>
    </row>
    <row r="19" spans="1:11" ht="19.899999999999999" customHeight="1">
      <c r="A19" s="162"/>
      <c r="B19" s="245" t="str">
        <f>'01_Property Summary'!B14</f>
        <v>BLD_MM</v>
      </c>
      <c r="C19" s="246" t="str">
        <f ca="1">IFERROR(INDEX(DATA_ASSET_CLASSIFICATION!$U$8:$U$24,MATCH($B19,DATA_ASSET_CLASSIFICATION!$A$8:$A$24,0)),"Review")</f>
        <v>Refi Watch</v>
      </c>
      <c r="D19" s="247">
        <f>INDEX(BLD_MM!$E$41:$Y$41,MATCH($C$5,BLD_MM!$E$12:$Y$12,0))</f>
        <v>507090.76428000006</v>
      </c>
      <c r="E19" s="247">
        <f>INDEX(BLD_MM!$E$41:$Y$41,MATCH($E$5,BLD_MM!$E$12:$Y$12,0))</f>
        <v>640622.53567767376</v>
      </c>
      <c r="F19" s="248">
        <f>INDEX(BLD_MM!$E$77:$Y$77,MATCH($C$5,BLD_MM!$E$12:$Y$12,0))</f>
        <v>3583849.9355959417</v>
      </c>
      <c r="G19" s="248">
        <f>INDEX(BLD_MM!$E$77:$Y$77,MATCH($E$5,BLD_MM!$E$12:$Y$12,0))</f>
        <v>5152131.7110578632</v>
      </c>
      <c r="H19" s="247">
        <f>INDEX(BLD_MM!$E$52:$Y$52,MATCH($C$5,BLD_MM!$E$12:$Y$12,0))</f>
        <v>235526.92428000004</v>
      </c>
      <c r="I19" s="247">
        <f>INDEX(BLD_MM!$E$52:$Y$52,MATCH($E$5,BLD_MM!$E$12:$Y$12,0))</f>
        <v>283883.50401256385</v>
      </c>
      <c r="J19" s="249">
        <f>INDEX(BLD_MM!$E$50:$Y$50,MATCH($C$5,BLD_MM!$E$12:$Y$12,0))</f>
        <v>1.8672985485843772</v>
      </c>
      <c r="K19" s="249">
        <f>INDEX(BLD_MM!$E$50:$Y$50,MATCH($E$5,BLD_MM!$E$12:$Y$12,0))</f>
        <v>1.7957736014685954</v>
      </c>
    </row>
    <row r="20" spans="1:11" ht="19.899999999999999" customHeight="1">
      <c r="A20" s="162"/>
      <c r="B20" s="245" t="str">
        <f>'01_Property Summary'!B15</f>
        <v>BLD_NT</v>
      </c>
      <c r="C20" s="246" t="str">
        <f ca="1">IFERROR(INDEX(DATA_ASSET_CLASSIFICATION!$U$8:$U$24,MATCH($B20,DATA_ASSET_CLASSIFICATION!$A$8:$A$24,0)),"Review")</f>
        <v>Refi Watch</v>
      </c>
      <c r="D20" s="247">
        <f>INDEX(BLD_NT!$E$41:$Y$41,MATCH($C$5,BLD_NT!$E$12:$Y$12,0))</f>
        <v>310630.17440000002</v>
      </c>
      <c r="E20" s="247">
        <f>INDEX(BLD_NT!$E$41:$Y$41,MATCH($E$5,BLD_NT!$E$12:$Y$12,0))</f>
        <v>536232.02982725354</v>
      </c>
      <c r="F20" s="248">
        <f>INDEX(BLD_NT!$E$77:$Y$77,MATCH($C$5,BLD_NT!$E$12:$Y$12,0))</f>
        <v>5177169.5733333342</v>
      </c>
      <c r="G20" s="248">
        <f>INDEX(BLD_NT!$E$77:$Y$77,MATCH($E$5,BLD_NT!$E$12:$Y$12,0))</f>
        <v>8937200.4971208926</v>
      </c>
      <c r="H20" s="247">
        <f>INDEX(BLD_NT!$E$52:$Y$52,MATCH($C$5,BLD_NT!$E$12:$Y$12,0))</f>
        <v>69607.112193388806</v>
      </c>
      <c r="I20" s="247">
        <f>INDEX(BLD_NT!$E$52:$Y$52,MATCH($E$5,BLD_NT!$E$12:$Y$12,0))</f>
        <v>536232.02982725354</v>
      </c>
      <c r="J20" s="249">
        <f>INDEX(BLD_NT!$E$50:$Y$50,MATCH($C$5,BLD_NT!$E$12:$Y$12,0))</f>
        <v>1.2887985554416357</v>
      </c>
      <c r="K20" s="249" t="str">
        <f>INDEX(BLD_NT!$E$50:$Y$50,MATCH($E$5,BLD_NT!$E$12:$Y$12,0))</f>
        <v/>
      </c>
    </row>
    <row r="21" spans="1:11" ht="19.899999999999999" customHeight="1">
      <c r="A21" s="162"/>
      <c r="B21" s="245" t="str">
        <f>'01_Property Summary'!B16</f>
        <v>BLD_NG</v>
      </c>
      <c r="C21" s="246" t="str">
        <f ca="1">IFERROR(INDEX(DATA_ASSET_CLASSIFICATION!$U$8:$U$24,MATCH($B21,DATA_ASSET_CLASSIFICATION!$A$8:$A$24,0)),"Review")</f>
        <v>Refi Watch</v>
      </c>
      <c r="D21" s="247">
        <f>INDEX(BLD_NG!$E$41:$Y$41,MATCH($C$5,BLD_NG!$E$12:$Y$12,0))</f>
        <v>469146.46888000017</v>
      </c>
      <c r="E21" s="247">
        <f>INDEX(BLD_NG!$E$41:$Y$41,MATCH($E$5,BLD_NG!$E$12:$Y$12,0))</f>
        <v>573913.25833383086</v>
      </c>
      <c r="F21" s="248">
        <f>INDEX(BLD_NG!$E$77:$Y$77,MATCH($C$5,BLD_NG!$E$12:$Y$12,0))</f>
        <v>4979527.9620353999</v>
      </c>
      <c r="G21" s="248">
        <f>INDEX(BLD_NG!$E$77:$Y$77,MATCH($E$5,BLD_NG!$E$12:$Y$12,0))</f>
        <v>4565932.1571409032</v>
      </c>
      <c r="H21" s="247">
        <f>INDEX(BLD_NG!$E$52:$Y$52,MATCH($C$5,BLD_NG!$E$12:$Y$12,0))</f>
        <v>25959.468880000175</v>
      </c>
      <c r="I21" s="247">
        <f>INDEX(BLD_NG!$E$52:$Y$52,MATCH($E$5,BLD_NG!$E$12:$Y$12,0))</f>
        <v>251113.199456339</v>
      </c>
      <c r="J21" s="249">
        <f>INDEX(BLD_NG!$E$50:$Y$50,MATCH($C$5,BLD_NG!$E$12:$Y$12,0))</f>
        <v>1.0585745269604032</v>
      </c>
      <c r="K21" s="249">
        <f>INDEX(BLD_NG!$E$50:$Y$50,MATCH($E$5,BLD_NG!$E$12:$Y$12,0))</f>
        <v>1.7779217895113233</v>
      </c>
    </row>
    <row r="22" spans="1:11" ht="19.899999999999999" customHeight="1">
      <c r="A22" s="162"/>
      <c r="B22" s="245" t="str">
        <f>'01_Property Summary'!B17</f>
        <v>BLD_RG</v>
      </c>
      <c r="C22" s="246" t="str">
        <f ca="1">IFERROR(INDEX(DATA_ASSET_CLASSIFICATION!$U$8:$U$24,MATCH($B22,DATA_ASSET_CLASSIFICATION!$A$8:$A$24,0)),"Review")</f>
        <v>Refi Watch</v>
      </c>
      <c r="D22" s="247">
        <f>INDEX(BLD_RG!$E$41:$Y$41,MATCH($C$5,BLD_RG!$E$12:$Y$12,0))</f>
        <v>233866.97528000007</v>
      </c>
      <c r="E22" s="247">
        <f>INDEX(BLD_RG!$E$41:$Y$41,MATCH($E$5,BLD_RG!$E$12:$Y$12,0))</f>
        <v>264721.46047814103</v>
      </c>
      <c r="F22" s="248">
        <f>INDEX(BLD_RG!$E$77:$Y$77,MATCH($C$5,BLD_RG!$E$12:$Y$12,0))</f>
        <v>2414278.6504878951</v>
      </c>
      <c r="G22" s="248">
        <f>INDEX(BLD_RG!$E$77:$Y$77,MATCH($E$5,BLD_RG!$E$12:$Y$12,0))</f>
        <v>4412024.3413023511</v>
      </c>
      <c r="H22" s="247">
        <f>INDEX(BLD_RG!$E$52:$Y$52,MATCH($C$5,BLD_RG!$E$12:$Y$12,0))</f>
        <v>-57279.304719999956</v>
      </c>
      <c r="I22" s="247">
        <f>INDEX(BLD_RG!$E$52:$Y$52,MATCH($E$5,BLD_RG!$E$12:$Y$12,0))</f>
        <v>264721.46047814103</v>
      </c>
      <c r="J22" s="249">
        <f>INDEX(BLD_RG!$E$50:$Y$50,MATCH($C$5,BLD_RG!$E$12:$Y$12,0))</f>
        <v>0.80326279724405225</v>
      </c>
      <c r="K22" s="249" t="str">
        <f>INDEX(BLD_RG!$E$50:$Y$50,MATCH($E$5,BLD_RG!$E$12:$Y$12,0))</f>
        <v/>
      </c>
    </row>
    <row r="23" spans="1:11" ht="19.899999999999999" customHeight="1">
      <c r="A23" s="162"/>
      <c r="B23" s="245" t="str">
        <f>'01_Property Summary'!B18</f>
        <v>BLD_AS</v>
      </c>
      <c r="C23" s="246" t="str">
        <f>IFERROR(INDEX(DATA_ASSET_CLASSIFICATION!$U$8:$U$24,MATCH($B23,DATA_ASSET_CLASSIFICATION!$A$8:$A$24,0)),"Review")</f>
        <v>New Build</v>
      </c>
      <c r="D23" s="247">
        <f>INDEX(BLD_AS!$E$41:$Y$41,MATCH($C$5,BLD_AS!$E$12:$Y$12,0))</f>
        <v>0</v>
      </c>
      <c r="E23" s="247">
        <f>INDEX(BLD_AS!$E$41:$Y$41,MATCH($E$5,BLD_AS!$E$12:$Y$12,0))</f>
        <v>1484592.9663798832</v>
      </c>
      <c r="F23" s="248">
        <f>INDEX(BLD_AS!$E$77:$Y$77,MATCH($C$5,BLD_AS!$E$12:$Y$12,0))</f>
        <v>-38566174.058625944</v>
      </c>
      <c r="G23" s="248">
        <f>INDEX(BLD_AS!$E$77:$Y$77,MATCH($E$5,BLD_AS!$E$12:$Y$12,0))</f>
        <v>14299298.922211461</v>
      </c>
      <c r="H23" s="247">
        <f>INDEX(BLD_AS!$E$52:$Y$52,MATCH($C$5,BLD_AS!$E$12:$Y$12,0))</f>
        <v>-2119329.1278112764</v>
      </c>
      <c r="I23" s="247">
        <f>INDEX(BLD_AS!$E$52:$Y$52,MATCH($E$5,BLD_AS!$E$12:$Y$12,0))</f>
        <v>678943.44863431784</v>
      </c>
      <c r="J23" s="249">
        <f>INDEX(BLD_AS!$E$50:$Y$50,MATCH($C$5,BLD_AS!$E$12:$Y$12,0))</f>
        <v>0</v>
      </c>
      <c r="K23" s="249">
        <f>INDEX(BLD_AS!$E$50:$Y$50,MATCH($E$5,BLD_AS!$E$12:$Y$12,0))</f>
        <v>1.8427280519377622</v>
      </c>
    </row>
    <row r="24" spans="1:11" ht="19.899999999999999" customHeight="1">
      <c r="A24" s="162"/>
      <c r="B24" s="245" t="str">
        <f>'01_Property Summary'!B19</f>
        <v>BLD_PS</v>
      </c>
      <c r="C24" s="246" t="str">
        <f>IFERROR(INDEX(DATA_ASSET_CLASSIFICATION!$U$8:$U$24,MATCH($B24,DATA_ASSET_CLASSIFICATION!$A$8:$A$24,0)),"Review")</f>
        <v>New Build</v>
      </c>
      <c r="D24" s="247">
        <f>INDEX(BLD_PS!$E$41:$Y$41,MATCH($C$5,BLD_PS!$E$12:$Y$12,0))</f>
        <v>0</v>
      </c>
      <c r="E24" s="247">
        <f>INDEX(BLD_PS!$E$41:$Y$41,MATCH($E$5,BLD_PS!$E$12:$Y$12,0))</f>
        <v>1206633.4386267851</v>
      </c>
      <c r="F24" s="248">
        <f>INDEX(BLD_PS!$E$77:$Y$77,MATCH($C$5,BLD_PS!$E$12:$Y$12,0))</f>
        <v>-36180637.518917114</v>
      </c>
      <c r="G24" s="248">
        <f>INDEX(BLD_PS!$E$77:$Y$77,MATCH($E$5,BLD_PS!$E$12:$Y$12,0))</f>
        <v>11458033.332974356</v>
      </c>
      <c r="H24" s="247">
        <f>INDEX(BLD_PS!$E$52:$Y$52,MATCH($C$5,BLD_PS!$E$12:$Y$12,0))</f>
        <v>-1988236.6044415063</v>
      </c>
      <c r="I24" s="247">
        <f>INDEX(BLD_PS!$E$52:$Y$52,MATCH($E$5,BLD_PS!$E$12:$Y$12,0))</f>
        <v>539172.97845273884</v>
      </c>
      <c r="J24" s="249">
        <f>INDEX(BLD_PS!$E$50:$Y$50,MATCH($C$5,BLD_PS!$E$12:$Y$12,0))</f>
        <v>0</v>
      </c>
      <c r="K24" s="249">
        <f>INDEX(BLD_PS!$E$50:$Y$50,MATCH($E$5,BLD_PS!$E$12:$Y$12,0))</f>
        <v>1.8077976309070722</v>
      </c>
    </row>
    <row r="25" spans="1:11" ht="19.899999999999999" customHeight="1">
      <c r="A25" s="162"/>
      <c r="B25" s="245" t="str">
        <f>'01_Property Summary'!B20</f>
        <v>BLD_PM</v>
      </c>
      <c r="C25" s="246" t="str">
        <f>IFERROR(INDEX(DATA_ASSET_CLASSIFICATION!$U$8:$U$24,MATCH($B25,DATA_ASSET_CLASSIFICATION!$A$8:$A$24,0)),"Review")</f>
        <v>New Build</v>
      </c>
      <c r="D25" s="247">
        <f>INDEX(BLD_PM!$E$41:$Y$41,MATCH($C$5,BLD_PM!$E$12:$Y$12,0))</f>
        <v>0</v>
      </c>
      <c r="E25" s="247">
        <f>INDEX(BLD_PM!$E$41:$Y$41,MATCH($E$5,BLD_PM!$E$12:$Y$12,0))</f>
        <v>6645962.6199886706</v>
      </c>
      <c r="F25" s="248">
        <f>INDEX(BLD_PM!$E$77:$Y$77,MATCH($C$5,BLD_PM!$E$12:$Y$12,0))</f>
        <v>-130409330.83741556</v>
      </c>
      <c r="G25" s="248">
        <f>INDEX(BLD_PM!$E$77:$Y$77,MATCH($E$5,BLD_PM!$E$12:$Y$12,0))</f>
        <v>71860341.375975981</v>
      </c>
      <c r="H25" s="247">
        <f>INDEX(BLD_PM!$E$52:$Y$52,MATCH($C$5,BLD_PM!$E$12:$Y$12,0))</f>
        <v>-7166391.2775474079</v>
      </c>
      <c r="I25" s="247">
        <f>INDEX(BLD_PM!$E$52:$Y$52,MATCH($E$5,BLD_PM!$E$12:$Y$12,0))</f>
        <v>3528989.2331610527</v>
      </c>
      <c r="J25" s="249">
        <f>INDEX(BLD_PM!$E$50:$Y$50,MATCH($C$5,BLD_PM!$E$12:$Y$12,0))</f>
        <v>0</v>
      </c>
      <c r="K25" s="249">
        <f>INDEX(BLD_PM!$E$50:$Y$50,MATCH($E$5,BLD_PM!$E$12:$Y$12,0))</f>
        <v>2.132184589087164</v>
      </c>
    </row>
    <row r="26" spans="1:11" ht="19.899999999999999" customHeight="1">
      <c r="A26" s="162"/>
      <c r="B26" s="245" t="str">
        <f>'01_Property Summary'!B21</f>
        <v>BLD_CD</v>
      </c>
      <c r="C26" s="246" t="str">
        <f>IFERROR(INDEX(DATA_ASSET_CLASSIFICATION!$U$8:$U$24,MATCH($B26,DATA_ASSET_CLASSIFICATION!$A$8:$A$24,0)),"Review")</f>
        <v>New Build</v>
      </c>
      <c r="D26" s="247">
        <f>INDEX(BLD_CD!$E$41:$Y$41,MATCH($C$5,BLD_CD!$E$12:$Y$12,0))</f>
        <v>0</v>
      </c>
      <c r="E26" s="247">
        <f>INDEX(BLD_CD!$E$41:$Y$41,MATCH($E$5,BLD_CD!$E$12:$Y$12,0))</f>
        <v>1860318.991411435</v>
      </c>
      <c r="F26" s="248">
        <f>INDEX(BLD_CD!$E$77:$Y$77,MATCH($C$5,BLD_CD!$E$12:$Y$12,0))</f>
        <v>-36975816.365486726</v>
      </c>
      <c r="G26" s="248">
        <f>INDEX(BLD_CD!$E$77:$Y$77,MATCH($E$5,BLD_CD!$E$12:$Y$12,0))</f>
        <v>17853514.741742477</v>
      </c>
      <c r="H26" s="247">
        <f>INDEX(BLD_CD!$E$52:$Y$52,MATCH($C$5,BLD_CD!$E$12:$Y$12,0))</f>
        <v>-2031934.1122314297</v>
      </c>
      <c r="I26" s="247">
        <f>INDEX(BLD_CD!$E$52:$Y$52,MATCH($E$5,BLD_CD!$E$12:$Y$12,0))</f>
        <v>880763.71025831928</v>
      </c>
      <c r="J26" s="249">
        <f>INDEX(BLD_CD!$E$50:$Y$50,MATCH($C$5,BLD_CD!$E$12:$Y$12,0))</f>
        <v>0</v>
      </c>
      <c r="K26" s="249">
        <f>INDEX(BLD_CD!$E$50:$Y$50,MATCH($E$5,BLD_CD!$E$12:$Y$12,0))</f>
        <v>1.8991465078127079</v>
      </c>
    </row>
    <row r="27" spans="1:11" ht="33.6" customHeight="1">
      <c r="A27" s="162"/>
      <c r="B27" s="475" t="s">
        <v>214</v>
      </c>
      <c r="C27" s="457"/>
      <c r="D27" s="250">
        <f t="shared" ref="D27:I27" si="0">SUM(D10:D26)</f>
        <v>4195605.9111600006</v>
      </c>
      <c r="E27" s="250">
        <f t="shared" si="0"/>
        <v>16928470.174628805</v>
      </c>
      <c r="F27" s="250">
        <f t="shared" si="0"/>
        <v>-189198820.74484658</v>
      </c>
      <c r="G27" s="250">
        <f t="shared" si="0"/>
        <v>194067691.11633402</v>
      </c>
      <c r="H27" s="250">
        <f t="shared" si="0"/>
        <v>-11199589.33692039</v>
      </c>
      <c r="I27" s="250">
        <f t="shared" si="0"/>
        <v>10116813.562122423</v>
      </c>
      <c r="J27" s="168"/>
      <c r="K27" s="168"/>
    </row>
    <row r="28" spans="1:11" ht="16.149999999999999" customHeight="1">
      <c r="A28" s="162"/>
      <c r="B28" s="468" t="s">
        <v>215</v>
      </c>
      <c r="C28" s="469"/>
      <c r="D28" s="251">
        <f>E27-D27</f>
        <v>12732864.263468806</v>
      </c>
      <c r="E28" s="252">
        <f>(E27-D27)/ABS(D27)</f>
        <v>3.034809401331124</v>
      </c>
      <c r="F28" s="251">
        <f>G27-F27</f>
        <v>383266511.8611806</v>
      </c>
      <c r="G28" s="252">
        <f>(G27-F27)/ABS(F27)</f>
        <v>2.0257341475613826</v>
      </c>
      <c r="H28" s="251">
        <f>I27-H27</f>
        <v>21316402.899042815</v>
      </c>
      <c r="I28" s="252">
        <f>(I27-H27)/ABS(H27)</f>
        <v>1.9033200466352367</v>
      </c>
      <c r="J28" s="167"/>
      <c r="K28" s="167"/>
    </row>
    <row r="29" spans="1:11" ht="8.4499999999999993" customHeight="1">
      <c r="B29" s="164"/>
    </row>
    <row r="30" spans="1:11" ht="33.6" customHeight="1">
      <c r="A30" s="162"/>
      <c r="B30" s="471" t="s">
        <v>216</v>
      </c>
      <c r="C30" s="469"/>
      <c r="D30" s="469"/>
      <c r="E30" s="469"/>
      <c r="F30" s="469"/>
      <c r="G30" s="469"/>
      <c r="H30" s="469"/>
      <c r="I30" s="469"/>
      <c r="J30" s="469"/>
      <c r="K30" s="472"/>
    </row>
    <row r="31" spans="1:11" ht="42" customHeight="1">
      <c r="A31" s="162"/>
      <c r="B31" s="467" t="s">
        <v>134</v>
      </c>
      <c r="C31" s="456"/>
      <c r="D31" s="470" t="s">
        <v>217</v>
      </c>
      <c r="E31" s="456"/>
      <c r="F31" s="456"/>
      <c r="G31" s="456"/>
      <c r="H31" s="456"/>
      <c r="I31" s="456"/>
      <c r="J31" s="456"/>
      <c r="K31" s="457"/>
    </row>
    <row r="32" spans="1:11" ht="42" customHeight="1">
      <c r="A32" s="162"/>
      <c r="B32" s="467" t="s">
        <v>138</v>
      </c>
      <c r="C32" s="456"/>
      <c r="D32" s="470" t="s">
        <v>139</v>
      </c>
      <c r="E32" s="456"/>
      <c r="F32" s="456"/>
      <c r="G32" s="456"/>
      <c r="H32" s="456"/>
      <c r="I32" s="456"/>
      <c r="J32" s="456"/>
      <c r="K32" s="457"/>
    </row>
    <row r="33" spans="1:11" ht="42" customHeight="1">
      <c r="A33" s="162"/>
      <c r="B33" s="467" t="s">
        <v>140</v>
      </c>
      <c r="C33" s="456"/>
      <c r="D33" s="470" t="s">
        <v>218</v>
      </c>
      <c r="E33" s="456"/>
      <c r="F33" s="456"/>
      <c r="G33" s="456"/>
      <c r="H33" s="456"/>
      <c r="I33" s="456"/>
      <c r="J33" s="456"/>
      <c r="K33" s="457"/>
    </row>
    <row r="34" spans="1:11" ht="42" customHeight="1">
      <c r="A34" s="162"/>
      <c r="B34" s="467" t="s">
        <v>219</v>
      </c>
      <c r="C34" s="456"/>
      <c r="D34" s="470" t="s">
        <v>220</v>
      </c>
      <c r="E34" s="456"/>
      <c r="F34" s="456"/>
      <c r="G34" s="456"/>
      <c r="H34" s="456"/>
      <c r="I34" s="456"/>
      <c r="J34" s="456"/>
      <c r="K34" s="457"/>
    </row>
    <row r="35" spans="1:11" ht="21" customHeight="1">
      <c r="B35" s="163"/>
      <c r="C35" s="163"/>
    </row>
    <row r="36" spans="1:11" ht="25.15" customHeight="1">
      <c r="A36" s="162"/>
      <c r="B36" s="478" t="s">
        <v>221</v>
      </c>
      <c r="C36" s="479"/>
      <c r="D36" s="479"/>
      <c r="E36" s="479"/>
      <c r="F36" s="479"/>
      <c r="G36" s="479"/>
      <c r="H36" s="479"/>
      <c r="I36" s="479"/>
      <c r="J36" s="479"/>
      <c r="K36" s="474"/>
    </row>
    <row r="37" spans="1:11" ht="37.9" customHeight="1">
      <c r="A37" s="162"/>
      <c r="B37" s="467" t="s">
        <v>222</v>
      </c>
      <c r="C37" s="456"/>
      <c r="D37" s="470" t="s">
        <v>223</v>
      </c>
      <c r="E37" s="456"/>
      <c r="F37" s="456"/>
      <c r="G37" s="456"/>
      <c r="H37" s="456"/>
      <c r="I37" s="456"/>
      <c r="J37" s="456"/>
      <c r="K37" s="457"/>
    </row>
    <row r="38" spans="1:11" ht="37.9" customHeight="1">
      <c r="A38" s="162"/>
      <c r="B38" s="467" t="s">
        <v>224</v>
      </c>
      <c r="C38" s="456"/>
      <c r="D38" s="470" t="s">
        <v>225</v>
      </c>
      <c r="E38" s="456"/>
      <c r="F38" s="456"/>
      <c r="G38" s="456"/>
      <c r="H38" s="456"/>
      <c r="I38" s="456"/>
      <c r="J38" s="456"/>
      <c r="K38" s="457"/>
    </row>
    <row r="39" spans="1:11" ht="37.9" customHeight="1">
      <c r="A39" s="162"/>
      <c r="B39" s="467" t="s">
        <v>226</v>
      </c>
      <c r="C39" s="456"/>
      <c r="D39" s="470" t="s">
        <v>227</v>
      </c>
      <c r="E39" s="456"/>
      <c r="F39" s="456"/>
      <c r="G39" s="456"/>
      <c r="H39" s="456"/>
      <c r="I39" s="456"/>
      <c r="J39" s="456"/>
      <c r="K39" s="457"/>
    </row>
  </sheetData>
  <mergeCells count="27">
    <mergeCell ref="B2:K2"/>
    <mergeCell ref="D8:E8"/>
    <mergeCell ref="D39:K39"/>
    <mergeCell ref="B33:C33"/>
    <mergeCell ref="D33:K33"/>
    <mergeCell ref="D38:K38"/>
    <mergeCell ref="B32:C32"/>
    <mergeCell ref="H8:I8"/>
    <mergeCell ref="J8:K8"/>
    <mergeCell ref="B36:K36"/>
    <mergeCell ref="B39:C39"/>
    <mergeCell ref="B7:K7"/>
    <mergeCell ref="D32:K32"/>
    <mergeCell ref="B3:K3"/>
    <mergeCell ref="F8:G8"/>
    <mergeCell ref="B38:C38"/>
    <mergeCell ref="C8:C9"/>
    <mergeCell ref="B34:C34"/>
    <mergeCell ref="B37:C37"/>
    <mergeCell ref="B28:C28"/>
    <mergeCell ref="D37:K37"/>
    <mergeCell ref="D34:K34"/>
    <mergeCell ref="B30:K30"/>
    <mergeCell ref="B8:B9"/>
    <mergeCell ref="B31:C31"/>
    <mergeCell ref="B27:C27"/>
    <mergeCell ref="D31:K31"/>
  </mergeCells>
  <conditionalFormatting sqref="C10:C26">
    <cfRule type="containsText" dxfId="16" priority="1" operator="containsText" text="Workout">
      <formula>NOT(ISERROR(SEARCH("Workout",C10)))</formula>
    </cfRule>
    <cfRule type="containsText" dxfId="15" priority="2" operator="containsText" text="New Build">
      <formula>NOT(ISERROR(SEARCH("New Build",C10)))</formula>
    </cfRule>
    <cfRule type="containsText" dxfId="14" priority="3" operator="containsText" text="Stable">
      <formula>NOT(ISERROR(SEARCH("Stable",C10)))</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A1E5-9B09-42C8-95C5-CDBAD2F90BD1}">
  <sheetPr>
    <tabColor rgb="FF808080"/>
  </sheetPr>
  <dimension ref="B1:F53"/>
  <sheetViews>
    <sheetView showGridLines="0" workbookViewId="0"/>
  </sheetViews>
  <sheetFormatPr defaultColWidth="8.7109375" defaultRowHeight="15"/>
  <cols>
    <col min="1" max="1" width="1.28515625" customWidth="1"/>
    <col min="2" max="2" width="29" customWidth="1"/>
    <col min="3" max="3" width="22.28515625" customWidth="1"/>
    <col min="4" max="4" width="13" customWidth="1"/>
    <col min="5" max="5" width="22.28515625" customWidth="1"/>
    <col min="6" max="6" width="17.5703125" customWidth="1"/>
    <col min="7" max="7" width="1.5703125" customWidth="1"/>
  </cols>
  <sheetData>
    <row r="1" spans="2:6" ht="7.5" customHeight="1"/>
    <row r="2" spans="2:6" ht="69.400000000000006" customHeight="1">
      <c r="B2" s="483" t="s">
        <v>228</v>
      </c>
      <c r="C2" s="424"/>
      <c r="D2" s="424"/>
      <c r="E2" s="424"/>
      <c r="F2" s="424"/>
    </row>
    <row r="3" spans="2:6" ht="19.899999999999999" customHeight="1">
      <c r="B3" s="485" t="s">
        <v>229</v>
      </c>
      <c r="C3" s="482"/>
      <c r="D3" s="482"/>
      <c r="E3" s="482"/>
      <c r="F3" s="482"/>
    </row>
    <row r="4" spans="2:6" ht="4.9000000000000004" customHeight="1"/>
    <row r="5" spans="2:6" ht="25.15" customHeight="1">
      <c r="B5" s="486" t="s">
        <v>230</v>
      </c>
      <c r="C5" s="456"/>
      <c r="D5" s="456"/>
      <c r="E5" s="456"/>
      <c r="F5" s="457"/>
    </row>
    <row r="6" spans="2:6" ht="31.9" customHeight="1">
      <c r="B6" s="160" t="s">
        <v>231</v>
      </c>
      <c r="C6" s="160" t="s">
        <v>232</v>
      </c>
      <c r="D6" s="160" t="s">
        <v>233</v>
      </c>
      <c r="E6" s="160" t="s">
        <v>234</v>
      </c>
      <c r="F6" s="166" t="s">
        <v>235</v>
      </c>
    </row>
    <row r="7" spans="2:6" ht="18" customHeight="1">
      <c r="B7" s="253" t="str">
        <f>'01_Property Summary'!B5</f>
        <v>BLD_AB</v>
      </c>
      <c r="C7" s="254" t="str">
        <f>INDEX('02_Rent Engine'!$C$5:$C$21,MATCH($B7,'01_Property Summary'!$B$5:$B$21,0))</f>
        <v>Vancouver</v>
      </c>
      <c r="D7" s="255">
        <f>IF(INDEX('02_Rent Engine'!$D$5:$D$21,MATCH($B7,'01_Property Summary'!$B$5:$B$21,0))&lt;1905,"—",INDEX('02_Rent Engine'!$D$5:$D$21,MATCH($B7,'01_Property Summary'!$B$5:$B$21,0)))</f>
        <v>2025</v>
      </c>
      <c r="E7" s="256">
        <f>INDEX('02_Rent Engine'!$F$5:$F$21,MATCH($B7,'01_Property Summary'!$B$5:$B$21,0))</f>
        <v>438228</v>
      </c>
      <c r="F7" s="257">
        <f>INDEX('02_Rent Engine'!$H$5:$H$21,MATCH($B7,'01_Property Summary'!$B$5:$B$21,0))</f>
        <v>793.89130434782612</v>
      </c>
    </row>
    <row r="8" spans="2:6" ht="18" customHeight="1">
      <c r="B8" s="253" t="str">
        <f>'01_Property Summary'!B6</f>
        <v>BLD_AC</v>
      </c>
      <c r="C8" s="254" t="str">
        <f>INDEX('02_Rent Engine'!$C$5:$C$21,MATCH($B8,'01_Property Summary'!$B$5:$B$21,0))</f>
        <v>Vancouver</v>
      </c>
      <c r="D8" s="255">
        <f>IF(INDEX('02_Rent Engine'!$D$5:$D$21,MATCH($B8,'01_Property Summary'!$B$5:$B$21,0))&lt;1905,"—",INDEX('02_Rent Engine'!$D$5:$D$21,MATCH($B8,'01_Property Summary'!$B$5:$B$21,0)))</f>
        <v>2025</v>
      </c>
      <c r="E8" s="256">
        <f>INDEX('02_Rent Engine'!$F$5:$F$21,MATCH($B8,'01_Property Summary'!$B$5:$B$21,0))</f>
        <v>200000</v>
      </c>
      <c r="F8" s="257">
        <f>INDEX('02_Rent Engine'!$H$5:$H$21,MATCH($B8,'01_Property Summary'!$B$5:$B$21,0))</f>
        <v>793.65079365079362</v>
      </c>
    </row>
    <row r="9" spans="2:6" ht="18" customHeight="1">
      <c r="B9" s="253" t="str">
        <f>'01_Property Summary'!B7</f>
        <v>BLD_BT</v>
      </c>
      <c r="C9" s="254" t="str">
        <f>INDEX('02_Rent Engine'!$C$5:$C$21,MATCH($B9,'01_Property Summary'!$B$5:$B$21,0))</f>
        <v>Vancouver</v>
      </c>
      <c r="D9" s="255">
        <f>IF(INDEX('02_Rent Engine'!$D$5:$D$21,MATCH($B9,'01_Property Summary'!$B$5:$B$21,0))&lt;1905,"—",INDEX('02_Rent Engine'!$D$5:$D$21,MATCH($B9,'01_Property Summary'!$B$5:$B$21,0)))</f>
        <v>2025</v>
      </c>
      <c r="E9" s="256">
        <f>INDEX('02_Rent Engine'!$F$5:$F$21,MATCH($B9,'01_Property Summary'!$B$5:$B$21,0))</f>
        <v>210000</v>
      </c>
      <c r="F9" s="257">
        <f>INDEX('02_Rent Engine'!$H$5:$H$21,MATCH($B9,'01_Property Summary'!$B$5:$B$21,0))</f>
        <v>972.22222222222217</v>
      </c>
    </row>
    <row r="10" spans="2:6" ht="18" customHeight="1">
      <c r="B10" s="253" t="str">
        <f>'01_Property Summary'!B8</f>
        <v>BLD_CH</v>
      </c>
      <c r="C10" s="254" t="str">
        <f>INDEX('02_Rent Engine'!$C$5:$C$21,MATCH($B10,'01_Property Summary'!$B$5:$B$21,0))</f>
        <v>DNV</v>
      </c>
      <c r="D10" s="255">
        <f>IF(INDEX('02_Rent Engine'!$D$5:$D$21,MATCH($B10,'01_Property Summary'!$B$5:$B$21,0))&lt;1905,"—",INDEX('02_Rent Engine'!$D$5:$D$21,MATCH($B10,'01_Property Summary'!$B$5:$B$21,0)))</f>
        <v>2025</v>
      </c>
      <c r="E10" s="256">
        <f>INDEX('02_Rent Engine'!$F$5:$F$21,MATCH($B10,'01_Property Summary'!$B$5:$B$21,0))</f>
        <v>450000</v>
      </c>
      <c r="F10" s="257">
        <f>INDEX('02_Rent Engine'!$H$5:$H$21,MATCH($B10,'01_Property Summary'!$B$5:$B$21,0))</f>
        <v>585.9375</v>
      </c>
    </row>
    <row r="11" spans="2:6" ht="18" customHeight="1">
      <c r="B11" s="253" t="str">
        <f>'01_Property Summary'!B9</f>
        <v>BLD_CC</v>
      </c>
      <c r="C11" s="254" t="str">
        <f>INDEX('02_Rent Engine'!$C$5:$C$21,MATCH($B11,'01_Property Summary'!$B$5:$B$21,0))</f>
        <v>Vancouver</v>
      </c>
      <c r="D11" s="255">
        <f>IF(INDEX('02_Rent Engine'!$D$5:$D$21,MATCH($B11,'01_Property Summary'!$B$5:$B$21,0))&lt;1905,"—",INDEX('02_Rent Engine'!$D$5:$D$21,MATCH($B11,'01_Property Summary'!$B$5:$B$21,0)))</f>
        <v>2025</v>
      </c>
      <c r="E11" s="256">
        <f>INDEX('02_Rent Engine'!$F$5:$F$21,MATCH($B11,'01_Property Summary'!$B$5:$B$21,0))</f>
        <v>250000</v>
      </c>
      <c r="F11" s="257">
        <f>INDEX('02_Rent Engine'!$H$5:$H$21,MATCH($B11,'01_Property Summary'!$B$5:$B$21,0))</f>
        <v>612.74509803921569</v>
      </c>
    </row>
    <row r="12" spans="2:6" ht="18" customHeight="1">
      <c r="B12" s="253" t="str">
        <f>'01_Property Summary'!B10</f>
        <v>BLD_EA</v>
      </c>
      <c r="C12" s="254" t="str">
        <f>INDEX('02_Rent Engine'!$C$5:$C$21,MATCH($B12,'01_Property Summary'!$B$5:$B$21,0))</f>
        <v>New Westminster</v>
      </c>
      <c r="D12" s="255">
        <f>IF(INDEX('02_Rent Engine'!$D$5:$D$21,MATCH($B12,'01_Property Summary'!$B$5:$B$21,0))&lt;1905,"—",INDEX('02_Rent Engine'!$D$5:$D$21,MATCH($B12,'01_Property Summary'!$B$5:$B$21,0)))</f>
        <v>2025</v>
      </c>
      <c r="E12" s="256">
        <f>INDEX('02_Rent Engine'!$F$5:$F$21,MATCH($B12,'01_Property Summary'!$B$5:$B$21,0))</f>
        <v>894501</v>
      </c>
      <c r="F12" s="257">
        <f>INDEX('02_Rent Engine'!$H$5:$H$21,MATCH($B12,'01_Property Summary'!$B$5:$B$21,0))</f>
        <v>1221.9959016393443</v>
      </c>
    </row>
    <row r="13" spans="2:6" ht="18" customHeight="1">
      <c r="B13" s="253" t="str">
        <f>'01_Property Summary'!B11</f>
        <v>BLD_EE</v>
      </c>
      <c r="C13" s="254" t="str">
        <f>INDEX('02_Rent Engine'!$C$5:$C$21,MATCH($B13,'01_Property Summary'!$B$5:$B$21,0))</f>
        <v>Surrey</v>
      </c>
      <c r="D13" s="255">
        <f>IF(INDEX('02_Rent Engine'!$D$5:$D$21,MATCH($B13,'01_Property Summary'!$B$5:$B$21,0))&lt;1905,"—",INDEX('02_Rent Engine'!$D$5:$D$21,MATCH($B13,'01_Property Summary'!$B$5:$B$21,0)))</f>
        <v>2025</v>
      </c>
      <c r="E13" s="256">
        <f>INDEX('02_Rent Engine'!$F$5:$F$21,MATCH($B13,'01_Property Summary'!$B$5:$B$21,0))</f>
        <v>350000</v>
      </c>
      <c r="F13" s="257">
        <f>INDEX('02_Rent Engine'!$H$5:$H$21,MATCH($B13,'01_Property Summary'!$B$5:$B$21,0))</f>
        <v>810.18518518518522</v>
      </c>
    </row>
    <row r="14" spans="2:6" ht="18" customHeight="1">
      <c r="B14" s="253" t="str">
        <f>'01_Property Summary'!B12</f>
        <v>BLD_JP</v>
      </c>
      <c r="C14" s="254" t="str">
        <f>INDEX('02_Rent Engine'!$C$5:$C$21,MATCH($B14,'01_Property Summary'!$B$5:$B$21,0))</f>
        <v>Surrey</v>
      </c>
      <c r="D14" s="255">
        <f>IF(INDEX('02_Rent Engine'!$D$5:$D$21,MATCH($B14,'01_Property Summary'!$B$5:$B$21,0))&lt;1905,"—",INDEX('02_Rent Engine'!$D$5:$D$21,MATCH($B14,'01_Property Summary'!$B$5:$B$21,0)))</f>
        <v>2025</v>
      </c>
      <c r="E14" s="256">
        <f>INDEX('02_Rent Engine'!$F$5:$F$21,MATCH($B14,'01_Property Summary'!$B$5:$B$21,0))</f>
        <v>300000</v>
      </c>
      <c r="F14" s="257">
        <f>INDEX('02_Rent Engine'!$H$5:$H$21,MATCH($B14,'01_Property Summary'!$B$5:$B$21,0))</f>
        <v>625</v>
      </c>
    </row>
    <row r="15" spans="2:6" ht="18" customHeight="1">
      <c r="B15" s="253" t="str">
        <f>'01_Property Summary'!B13</f>
        <v>BLD_MH</v>
      </c>
      <c r="C15" s="254" t="str">
        <f>INDEX('02_Rent Engine'!$C$5:$C$21,MATCH($B15,'01_Property Summary'!$B$5:$B$21,0))</f>
        <v>CNV</v>
      </c>
      <c r="D15" s="255">
        <f>IF(INDEX('02_Rent Engine'!$D$5:$D$21,MATCH($B15,'01_Property Summary'!$B$5:$B$21,0))&lt;1905,"—",INDEX('02_Rent Engine'!$D$5:$D$21,MATCH($B15,'01_Property Summary'!$B$5:$B$21,0)))</f>
        <v>2025</v>
      </c>
      <c r="E15" s="256">
        <f>INDEX('02_Rent Engine'!$F$5:$F$21,MATCH($B15,'01_Property Summary'!$B$5:$B$21,0))</f>
        <v>240000</v>
      </c>
      <c r="F15" s="257">
        <f>INDEX('02_Rent Engine'!$H$5:$H$21,MATCH($B15,'01_Property Summary'!$B$5:$B$21,0))</f>
        <v>1052.6315789473686</v>
      </c>
    </row>
    <row r="16" spans="2:6" ht="18" customHeight="1">
      <c r="B16" s="253" t="str">
        <f>'01_Property Summary'!B14</f>
        <v>BLD_MM</v>
      </c>
      <c r="C16" s="254" t="str">
        <f>INDEX('02_Rent Engine'!$C$5:$C$21,MATCH($B16,'01_Property Summary'!$B$5:$B$21,0))</f>
        <v>Burnaby</v>
      </c>
      <c r="D16" s="255">
        <f>IF(INDEX('02_Rent Engine'!$D$5:$D$21,MATCH($B16,'01_Property Summary'!$B$5:$B$21,0))&lt;1905,"—",INDEX('02_Rent Engine'!$D$5:$D$21,MATCH($B16,'01_Property Summary'!$B$5:$B$21,0)))</f>
        <v>2025</v>
      </c>
      <c r="E16" s="256">
        <f>INDEX('02_Rent Engine'!$F$5:$F$21,MATCH($B16,'01_Property Summary'!$B$5:$B$21,0))</f>
        <v>683452</v>
      </c>
      <c r="F16" s="257">
        <f>INDEX('02_Rent Engine'!$H$5:$H$21,MATCH($B16,'01_Property Summary'!$B$5:$B$21,0))</f>
        <v>1211.7943262411347</v>
      </c>
    </row>
    <row r="17" spans="2:6" ht="18" customHeight="1">
      <c r="B17" s="253" t="str">
        <f>'01_Property Summary'!B15</f>
        <v>BLD_NT</v>
      </c>
      <c r="C17" s="254" t="str">
        <f>INDEX('02_Rent Engine'!$C$5:$C$21,MATCH($B17,'01_Property Summary'!$B$5:$B$21,0))</f>
        <v>Vancouver</v>
      </c>
      <c r="D17" s="255">
        <f>IF(INDEX('02_Rent Engine'!$D$5:$D$21,MATCH($B17,'01_Property Summary'!$B$5:$B$21,0))&lt;1905,"—",INDEX('02_Rent Engine'!$D$5:$D$21,MATCH($B17,'01_Property Summary'!$B$5:$B$21,0)))</f>
        <v>2025</v>
      </c>
      <c r="E17" s="256">
        <f>INDEX('02_Rent Engine'!$F$5:$F$21,MATCH($B17,'01_Property Summary'!$B$5:$B$21,0))</f>
        <v>480000</v>
      </c>
      <c r="F17" s="257">
        <f>INDEX('02_Rent Engine'!$H$5:$H$21,MATCH($B17,'01_Property Summary'!$B$5:$B$21,0))</f>
        <v>1000</v>
      </c>
    </row>
    <row r="18" spans="2:6" ht="18" customHeight="1">
      <c r="B18" s="253" t="str">
        <f>'01_Property Summary'!B16</f>
        <v>BLD_NG</v>
      </c>
      <c r="C18" s="254" t="str">
        <f>INDEX('02_Rent Engine'!$C$5:$C$21,MATCH($B18,'01_Property Summary'!$B$5:$B$21,0))</f>
        <v>Surrey</v>
      </c>
      <c r="D18" s="255">
        <f>IF(INDEX('02_Rent Engine'!$D$5:$D$21,MATCH($B18,'01_Property Summary'!$B$5:$B$21,0))&lt;1905,"—",INDEX('02_Rent Engine'!$D$5:$D$21,MATCH($B18,'01_Property Summary'!$B$5:$B$21,0)))</f>
        <v>2025</v>
      </c>
      <c r="E18" s="256">
        <f>INDEX('02_Rent Engine'!$F$5:$F$21,MATCH($B18,'01_Property Summary'!$B$5:$B$21,0))</f>
        <v>600000</v>
      </c>
      <c r="F18" s="257">
        <f>INDEX('02_Rent Engine'!$H$5:$H$21,MATCH($B18,'01_Property Summary'!$B$5:$B$21,0))</f>
        <v>1020.4081632653061</v>
      </c>
    </row>
    <row r="19" spans="2:6" ht="18" customHeight="1">
      <c r="B19" s="253" t="str">
        <f>'01_Property Summary'!B17</f>
        <v>BLD_RG</v>
      </c>
      <c r="C19" s="254" t="str">
        <f>INDEX('02_Rent Engine'!$C$5:$C$21,MATCH($B19,'01_Property Summary'!$B$5:$B$21,0))</f>
        <v>Surrey</v>
      </c>
      <c r="D19" s="255">
        <f>IF(INDEX('02_Rent Engine'!$D$5:$D$21,MATCH($B19,'01_Property Summary'!$B$5:$B$21,0))&lt;1905,"—",INDEX('02_Rent Engine'!$D$5:$D$21,MATCH($B19,'01_Property Summary'!$B$5:$B$21,0)))</f>
        <v>2025</v>
      </c>
      <c r="E19" s="256">
        <f>INDEX('02_Rent Engine'!$F$5:$F$21,MATCH($B19,'01_Property Summary'!$B$5:$B$21,0))</f>
        <v>370000</v>
      </c>
      <c r="F19" s="257">
        <f>INDEX('02_Rent Engine'!$H$5:$H$21,MATCH($B19,'01_Property Summary'!$B$5:$B$21,0))</f>
        <v>811.40350877192986</v>
      </c>
    </row>
    <row r="20" spans="2:6" ht="18" customHeight="1">
      <c r="B20" s="253" t="str">
        <f>'01_Property Summary'!B18</f>
        <v>BLD_AS</v>
      </c>
      <c r="C20" s="254" t="str">
        <f>INDEX('02_Rent Engine'!$C$5:$C$21,MATCH($B20,'01_Property Summary'!$B$5:$B$21,0))</f>
        <v>Vancouver</v>
      </c>
      <c r="D20" s="255">
        <f>IF(INDEX('02_Rent Engine'!$D$5:$D$21,MATCH($B20,'01_Property Summary'!$B$5:$B$21,0))&lt;1905,"—",INDEX('02_Rent Engine'!$D$5:$D$21,MATCH($B20,'01_Property Summary'!$B$5:$B$21,0)))</f>
        <v>2028</v>
      </c>
      <c r="E20" s="256">
        <f>INDEX('02_Rent Engine'!$F$5:$F$21,MATCH($B20,'01_Property Summary'!$B$5:$B$21,0))</f>
        <v>1636062</v>
      </c>
      <c r="F20" s="257">
        <f>INDEX('02_Rent Engine'!$H$5:$H$21,MATCH($B20,'01_Property Summary'!$B$5:$B$21,0))</f>
        <v>1405.5515463917527</v>
      </c>
    </row>
    <row r="21" spans="2:6" ht="18" customHeight="1">
      <c r="B21" s="253" t="str">
        <f>'01_Property Summary'!B19</f>
        <v>BLD_PS</v>
      </c>
      <c r="C21" s="254" t="str">
        <f>INDEX('02_Rent Engine'!$C$5:$C$21,MATCH($B21,'01_Property Summary'!$B$5:$B$21,0))</f>
        <v>Vancouver</v>
      </c>
      <c r="D21" s="255">
        <f>IF(INDEX('02_Rent Engine'!$D$5:$D$21,MATCH($B21,'01_Property Summary'!$B$5:$B$21,0))&lt;1905,"—",INDEX('02_Rent Engine'!$D$5:$D$21,MATCH($B21,'01_Property Summary'!$B$5:$B$21,0)))</f>
        <v>2028</v>
      </c>
      <c r="E21" s="256">
        <f>INDEX('02_Rent Engine'!$F$5:$F$21,MATCH($B21,'01_Property Summary'!$B$5:$B$21,0))</f>
        <v>1399704</v>
      </c>
      <c r="F21" s="257">
        <f>INDEX('02_Rent Engine'!$H$5:$H$21,MATCH($B21,'01_Property Summary'!$B$5:$B$21,0))</f>
        <v>1281.7802197802198</v>
      </c>
    </row>
    <row r="22" spans="2:6" ht="18" customHeight="1">
      <c r="B22" s="253" t="str">
        <f>'01_Property Summary'!B20</f>
        <v>BLD_PM</v>
      </c>
      <c r="C22" s="254" t="str">
        <f>INDEX('02_Rent Engine'!$C$5:$C$21,MATCH($B22,'01_Property Summary'!$B$5:$B$21,0))</f>
        <v>Port Moody</v>
      </c>
      <c r="D22" s="255">
        <f>IF(INDEX('02_Rent Engine'!$D$5:$D$21,MATCH($B22,'01_Property Summary'!$B$5:$B$21,0))&lt;1905,"—",INDEX('02_Rent Engine'!$D$5:$D$21,MATCH($B22,'01_Property Summary'!$B$5:$B$21,0)))</f>
        <v>2027</v>
      </c>
      <c r="E22" s="256">
        <f>INDEX('02_Rent Engine'!$F$5:$F$21,MATCH($B22,'01_Property Summary'!$B$5:$B$21,0))</f>
        <v>3800872.26</v>
      </c>
      <c r="F22" s="257">
        <f>INDEX('02_Rent Engine'!$H$5:$H$21,MATCH($B22,'01_Property Summary'!$B$5:$B$21,0))</f>
        <v>965.66876524390239</v>
      </c>
    </row>
    <row r="23" spans="2:6" ht="18" customHeight="1">
      <c r="B23" s="253" t="str">
        <f>'01_Property Summary'!B21</f>
        <v>BLD_CD</v>
      </c>
      <c r="C23" s="254" t="str">
        <f>INDEX('02_Rent Engine'!$C$5:$C$21,MATCH($B23,'01_Property Summary'!$B$5:$B$21,0))</f>
        <v>Vancouver</v>
      </c>
      <c r="D23" s="255">
        <f>IF(INDEX('02_Rent Engine'!$D$5:$D$21,MATCH($B23,'01_Property Summary'!$B$5:$B$21,0))&lt;1905,"—",INDEX('02_Rent Engine'!$D$5:$D$21,MATCH($B23,'01_Property Summary'!$B$5:$B$21,0)))</f>
        <v>2029</v>
      </c>
      <c r="E23" s="256">
        <f>INDEX('02_Rent Engine'!$F$5:$F$21,MATCH($B23,'01_Property Summary'!$B$5:$B$21,0))</f>
        <v>1812384</v>
      </c>
      <c r="F23" s="257">
        <f>INDEX('02_Rent Engine'!$H$5:$H$21,MATCH($B23,'01_Property Summary'!$B$5:$B$21,0))</f>
        <v>1624</v>
      </c>
    </row>
    <row r="24" spans="2:6" ht="19.899999999999999" customHeight="1">
      <c r="B24" s="484" t="s">
        <v>214</v>
      </c>
      <c r="C24" s="456"/>
      <c r="D24" s="457"/>
      <c r="E24" s="258">
        <f>SUM(E7:E23)</f>
        <v>14115203.26</v>
      </c>
      <c r="F24" s="165"/>
    </row>
    <row r="25" spans="2:6" ht="25.15" customHeight="1"/>
    <row r="26" spans="2:6" ht="25.15" customHeight="1"/>
    <row r="27" spans="2:6" ht="40.15" customHeight="1"/>
    <row r="28" spans="2:6" ht="40.15" customHeight="1"/>
    <row r="29" spans="2:6" ht="4.9000000000000004" customHeight="1"/>
    <row r="30" spans="2:6" ht="25.15" customHeight="1"/>
    <row r="31" spans="2:6" ht="25.15" customHeight="1"/>
    <row r="32" spans="2:6" ht="40.15" customHeight="1"/>
    <row r="33" ht="40.15" customHeight="1"/>
    <row r="34" ht="40.15" customHeight="1"/>
    <row r="35" ht="40.15" customHeight="1"/>
    <row r="36" ht="40.15" customHeight="1"/>
    <row r="37" ht="40.15" customHeight="1"/>
    <row r="38" ht="40.15" customHeight="1"/>
    <row r="39" ht="40.15" customHeight="1"/>
    <row r="40" ht="40.15" customHeight="1"/>
    <row r="41" ht="4.9000000000000004" customHeight="1"/>
    <row r="42" ht="25.15" customHeight="1"/>
    <row r="43" ht="25.15" customHeight="1"/>
    <row r="44" ht="40.15" customHeight="1"/>
    <row r="45" ht="40.15" customHeight="1"/>
    <row r="46" ht="40.15" customHeight="1"/>
    <row r="47" ht="30" customHeight="1"/>
    <row r="48" ht="51.75" customHeight="1"/>
    <row r="49" ht="51.75" customHeight="1"/>
    <row r="50" ht="51.75" customHeight="1"/>
    <row r="51" ht="51.75" customHeight="1"/>
    <row r="52" ht="51.75" customHeight="1"/>
    <row r="53" ht="51.75" customHeight="1"/>
  </sheetData>
  <mergeCells count="4">
    <mergeCell ref="B2:F2"/>
    <mergeCell ref="B24:D24"/>
    <mergeCell ref="B3:F3"/>
    <mergeCell ref="B5:F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23D2D-207C-47B1-BFE9-C06BF6D86B45}">
  <sheetPr>
    <tabColor rgb="FF808080"/>
  </sheetPr>
  <dimension ref="A1:H36"/>
  <sheetViews>
    <sheetView showGridLines="0" workbookViewId="0"/>
  </sheetViews>
  <sheetFormatPr defaultColWidth="8.7109375" defaultRowHeight="15"/>
  <cols>
    <col min="1" max="1" width="1.28515625" customWidth="1"/>
    <col min="2" max="2" width="29" customWidth="1"/>
    <col min="3" max="3" width="21.28515625" customWidth="1"/>
    <col min="4" max="4" width="13" customWidth="1"/>
    <col min="5" max="5" width="21.28515625" customWidth="1"/>
    <col min="6" max="6" width="23.140625" customWidth="1"/>
    <col min="7" max="7" width="24.140625" customWidth="1"/>
    <col min="8" max="8" width="17.5703125" customWidth="1"/>
    <col min="9" max="9" width="2" customWidth="1"/>
  </cols>
  <sheetData>
    <row r="1" spans="1:8" ht="7.5" customHeight="1"/>
    <row r="2" spans="1:8" ht="69.400000000000006" customHeight="1">
      <c r="B2" s="483" t="s">
        <v>236</v>
      </c>
      <c r="C2" s="424"/>
      <c r="D2" s="424"/>
      <c r="E2" s="424"/>
      <c r="F2" s="424"/>
      <c r="G2" s="424"/>
      <c r="H2" s="424"/>
    </row>
    <row r="3" spans="1:8" ht="19.899999999999999" customHeight="1">
      <c r="B3" s="485" t="s">
        <v>237</v>
      </c>
      <c r="C3" s="482"/>
      <c r="D3" s="482"/>
      <c r="E3" s="482"/>
      <c r="F3" s="482"/>
      <c r="G3" s="482"/>
      <c r="H3" s="482"/>
    </row>
    <row r="4" spans="1:8" ht="7.5" customHeight="1"/>
    <row r="5" spans="1:8" ht="25.15" customHeight="1">
      <c r="A5" s="162"/>
      <c r="B5" s="487" t="s">
        <v>238</v>
      </c>
      <c r="C5" s="456"/>
      <c r="D5" s="456"/>
      <c r="E5" s="456"/>
      <c r="F5" s="456"/>
      <c r="G5" s="456"/>
      <c r="H5" s="457"/>
    </row>
    <row r="6" spans="1:8" ht="31.9" customHeight="1">
      <c r="A6" s="162"/>
      <c r="B6" s="161" t="s">
        <v>231</v>
      </c>
      <c r="C6" s="160" t="s">
        <v>239</v>
      </c>
      <c r="D6" s="160" t="s">
        <v>240</v>
      </c>
      <c r="E6" s="160" t="s">
        <v>241</v>
      </c>
      <c r="F6" s="160" t="s">
        <v>242</v>
      </c>
      <c r="G6" s="160" t="s">
        <v>243</v>
      </c>
      <c r="H6" s="160" t="s">
        <v>244</v>
      </c>
    </row>
    <row r="7" spans="1:8" ht="18" customHeight="1">
      <c r="A7" s="162"/>
      <c r="B7" s="245" t="str">
        <f>'01_Property Summary'!B5</f>
        <v>BLD_AB</v>
      </c>
      <c r="C7" s="254" t="str">
        <f>INDEX('02_Debt Engine'!$G$19:$G$35,MATCH($B7,'01_Property Summary'!$B$5:$B$21,0))</f>
        <v>N/A</v>
      </c>
      <c r="D7" s="255" t="str">
        <f>IF(INDEX('02_Debt Engine'!$I$19:$I$35,MATCH($B7,'01_Property Summary'!$B$5:$B$21,0))&lt;1905,"—",INDEX('02_Debt Engine'!$I$19:$I$35,MATCH($B7,'01_Property Summary'!$B$5:$B$21,0)))</f>
        <v>—</v>
      </c>
      <c r="E7" s="256">
        <f>INDEX('02_Debt Engine'!$K$19:$K$35,MATCH($B7,'01_Property Summary'!$B$5:$B$21,0))</f>
        <v>0</v>
      </c>
      <c r="F7" s="259">
        <f>INDEX('02_Debt Engine'!$N$19:$N$35,MATCH($B7,'01_Property Summary'!$B$5:$B$21,0))</f>
        <v>0</v>
      </c>
      <c r="G7" s="256">
        <f>INDEX('02_Debt Engine'!$O$19:$O$35,MATCH($B7,'01_Property Summary'!$B$5:$B$21,0))</f>
        <v>0</v>
      </c>
      <c r="H7" s="260" t="str">
        <f>INDEX('02_Debt Engine'!$F$19:$F$35,MATCH($B7,'01_Property Summary'!$B$5:$B$21,0))</f>
        <v>No</v>
      </c>
    </row>
    <row r="8" spans="1:8" ht="18" customHeight="1">
      <c r="A8" s="162"/>
      <c r="B8" s="245" t="str">
        <f>'01_Property Summary'!B6</f>
        <v>BLD_AC</v>
      </c>
      <c r="C8" s="254" t="str">
        <f>INDEX('02_Debt Engine'!$G$19:$G$35,MATCH($B8,'01_Property Summary'!$B$5:$B$21,0))</f>
        <v>BCHMC/NPAT</v>
      </c>
      <c r="D8" s="255">
        <f>IF(INDEX('02_Debt Engine'!$I$19:$I$35,MATCH($B8,'01_Property Summary'!$B$5:$B$21,0))&lt;1905,"—",INDEX('02_Debt Engine'!$I$19:$I$35,MATCH($B8,'01_Property Summary'!$B$5:$B$21,0)))</f>
        <v>2035</v>
      </c>
      <c r="E8" s="256">
        <f>INDEX('02_Debt Engine'!$K$19:$K$35,MATCH($B8,'01_Property Summary'!$B$5:$B$21,0))</f>
        <v>54330.12</v>
      </c>
      <c r="F8" s="259">
        <f>INDEX('02_Debt Engine'!$N$19:$N$35,MATCH($B8,'01_Property Summary'!$B$5:$B$21,0))</f>
        <v>794745.17</v>
      </c>
      <c r="G8" s="256">
        <f>INDEX('02_Debt Engine'!$O$19:$O$35,MATCH($B8,'01_Property Summary'!$B$5:$B$21,0))</f>
        <v>0</v>
      </c>
      <c r="H8" s="260" t="str">
        <f>INDEX('02_Debt Engine'!$F$19:$F$35,MATCH($B8,'01_Property Summary'!$B$5:$B$21,0))</f>
        <v>No</v>
      </c>
    </row>
    <row r="9" spans="1:8" ht="18" customHeight="1">
      <c r="A9" s="162"/>
      <c r="B9" s="245" t="str">
        <f>'01_Property Summary'!B7</f>
        <v>BLD_BT</v>
      </c>
      <c r="C9" s="254" t="str">
        <f>INDEX('02_Debt Engine'!$G$19:$G$35,MATCH($B9,'01_Property Summary'!$B$5:$B$21,0))</f>
        <v>BCHMC/NPAT</v>
      </c>
      <c r="D9" s="255">
        <f>IF(INDEX('02_Debt Engine'!$I$19:$I$35,MATCH($B9,'01_Property Summary'!$B$5:$B$21,0))&lt;1905,"—",INDEX('02_Debt Engine'!$I$19:$I$35,MATCH($B9,'01_Property Summary'!$B$5:$B$21,0)))</f>
        <v>2035</v>
      </c>
      <c r="E9" s="256">
        <f>INDEX('02_Debt Engine'!$K$19:$K$35,MATCH($B9,'01_Property Summary'!$B$5:$B$21,0))</f>
        <v>110563.68</v>
      </c>
      <c r="F9" s="259">
        <f>INDEX('02_Debt Engine'!$N$19:$N$35,MATCH($B9,'01_Property Summary'!$B$5:$B$21,0))</f>
        <v>1617334.89</v>
      </c>
      <c r="G9" s="256">
        <f>INDEX('02_Debt Engine'!$O$19:$O$35,MATCH($B9,'01_Property Summary'!$B$5:$B$21,0))</f>
        <v>0</v>
      </c>
      <c r="H9" s="260" t="str">
        <f>INDEX('02_Debt Engine'!$F$19:$F$35,MATCH($B9,'01_Property Summary'!$B$5:$B$21,0))</f>
        <v>No</v>
      </c>
    </row>
    <row r="10" spans="1:8" ht="18" customHeight="1">
      <c r="A10" s="162"/>
      <c r="B10" s="245" t="str">
        <f>'01_Property Summary'!B8</f>
        <v>BLD_CH</v>
      </c>
      <c r="C10" s="254" t="str">
        <f>INDEX('02_Debt Engine'!$G$19:$G$35,MATCH($B10,'01_Property Summary'!$B$5:$B$21,0))</f>
        <v>N/A</v>
      </c>
      <c r="D10" s="255" t="str">
        <f>IF(INDEX('02_Debt Engine'!$I$19:$I$35,MATCH($B10,'01_Property Summary'!$B$5:$B$21,0))&lt;1905,"—",INDEX('02_Debt Engine'!$I$19:$I$35,MATCH($B10,'01_Property Summary'!$B$5:$B$21,0)))</f>
        <v>—</v>
      </c>
      <c r="E10" s="256">
        <f>INDEX('02_Debt Engine'!$K$19:$K$35,MATCH($B10,'01_Property Summary'!$B$5:$B$21,0))</f>
        <v>0</v>
      </c>
      <c r="F10" s="259">
        <f>INDEX('02_Debt Engine'!$N$19:$N$35,MATCH($B10,'01_Property Summary'!$B$5:$B$21,0))</f>
        <v>0</v>
      </c>
      <c r="G10" s="256">
        <f>INDEX('02_Debt Engine'!$O$19:$O$35,MATCH($B10,'01_Property Summary'!$B$5:$B$21,0))</f>
        <v>0</v>
      </c>
      <c r="H10" s="260" t="str">
        <f>INDEX('02_Debt Engine'!$F$19:$F$35,MATCH($B10,'01_Property Summary'!$B$5:$B$21,0))</f>
        <v>No</v>
      </c>
    </row>
    <row r="11" spans="1:8" ht="18" customHeight="1">
      <c r="A11" s="162"/>
      <c r="B11" s="245" t="str">
        <f>'01_Property Summary'!B9</f>
        <v>BLD_CC</v>
      </c>
      <c r="C11" s="254" t="str">
        <f>INDEX('02_Debt Engine'!$G$19:$G$35,MATCH($B11,'01_Property Summary'!$B$5:$B$21,0))</f>
        <v>BCHMC</v>
      </c>
      <c r="D11" s="255">
        <f>IF(INDEX('02_Debt Engine'!$I$19:$I$35,MATCH($B11,'01_Property Summary'!$B$5:$B$21,0))&lt;1905,"—",INDEX('02_Debt Engine'!$I$19:$I$35,MATCH($B11,'01_Property Summary'!$B$5:$B$21,0)))</f>
        <v>2027</v>
      </c>
      <c r="E11" s="256">
        <f>INDEX('02_Debt Engine'!$K$19:$K$35,MATCH($B11,'01_Property Summary'!$B$5:$B$21,0))</f>
        <v>178507.8</v>
      </c>
      <c r="F11" s="259">
        <f>INDEX('02_Debt Engine'!$N$19:$N$35,MATCH($B11,'01_Property Summary'!$B$5:$B$21,0))</f>
        <v>274036.81</v>
      </c>
      <c r="G11" s="256">
        <f>INDEX('02_Debt Engine'!$O$19:$O$35,MATCH($B11,'01_Property Summary'!$B$5:$B$21,0))</f>
        <v>0</v>
      </c>
      <c r="H11" s="260" t="str">
        <f>INDEX('02_Debt Engine'!$F$19:$F$35,MATCH($B11,'01_Property Summary'!$B$5:$B$21,0))</f>
        <v>No</v>
      </c>
    </row>
    <row r="12" spans="1:8" ht="18" customHeight="1">
      <c r="A12" s="162"/>
      <c r="B12" s="245" t="str">
        <f>'01_Property Summary'!B10</f>
        <v>BLD_EA</v>
      </c>
      <c r="C12" s="254" t="str">
        <f>INDEX('02_Debt Engine'!$G$19:$G$35,MATCH($B12,'01_Property Summary'!$B$5:$B$21,0))</f>
        <v>Vancity</v>
      </c>
      <c r="D12" s="255">
        <f>IF(INDEX('02_Debt Engine'!$I$19:$I$35,MATCH($B12,'01_Property Summary'!$B$5:$B$21,0))&lt;1905,"—",INDEX('02_Debt Engine'!$I$19:$I$35,MATCH($B12,'01_Property Summary'!$B$5:$B$21,0)))</f>
        <v>2034</v>
      </c>
      <c r="E12" s="256">
        <f>INDEX('02_Debt Engine'!$K$19:$K$35,MATCH($B12,'01_Property Summary'!$B$5:$B$21,0))</f>
        <v>297840</v>
      </c>
      <c r="F12" s="259">
        <f>INDEX('02_Debt Engine'!$N$19:$N$35,MATCH($B12,'01_Property Summary'!$B$5:$B$21,0))</f>
        <v>5475821.2999999998</v>
      </c>
      <c r="G12" s="256">
        <f>INDEX('02_Debt Engine'!$O$19:$O$35,MATCH($B12,'01_Property Summary'!$B$5:$B$21,0))</f>
        <v>0</v>
      </c>
      <c r="H12" s="260" t="str">
        <f>INDEX('02_Debt Engine'!$F$19:$F$35,MATCH($B12,'01_Property Summary'!$B$5:$B$21,0))</f>
        <v>Yes</v>
      </c>
    </row>
    <row r="13" spans="1:8" ht="18" customHeight="1">
      <c r="A13" s="162"/>
      <c r="B13" s="245" t="str">
        <f>'01_Property Summary'!B11</f>
        <v>BLD_EE</v>
      </c>
      <c r="C13" s="254" t="str">
        <f>INDEX('02_Debt Engine'!$G$19:$G$35,MATCH($B13,'01_Property Summary'!$B$5:$B$21,0))</f>
        <v>BCHMC</v>
      </c>
      <c r="D13" s="255">
        <f>IF(INDEX('02_Debt Engine'!$I$19:$I$35,MATCH($B13,'01_Property Summary'!$B$5:$B$21,0))&lt;1905,"—",INDEX('02_Debt Engine'!$I$19:$I$35,MATCH($B13,'01_Property Summary'!$B$5:$B$21,0)))</f>
        <v>2028</v>
      </c>
      <c r="E13" s="256">
        <f>INDEX('02_Debt Engine'!$K$19:$K$35,MATCH($B13,'01_Property Summary'!$B$5:$B$21,0))</f>
        <v>244376.04</v>
      </c>
      <c r="F13" s="259">
        <f>INDEX('02_Debt Engine'!$N$19:$N$35,MATCH($B13,'01_Property Summary'!$B$5:$B$21,0))</f>
        <v>639949.68999999994</v>
      </c>
      <c r="G13" s="256">
        <f>INDEX('02_Debt Engine'!$O$19:$O$35,MATCH($B13,'01_Property Summary'!$B$5:$B$21,0))</f>
        <v>0</v>
      </c>
      <c r="H13" s="260" t="str">
        <f>INDEX('02_Debt Engine'!$F$19:$F$35,MATCH($B13,'01_Property Summary'!$B$5:$B$21,0))</f>
        <v>No</v>
      </c>
    </row>
    <row r="14" spans="1:8" ht="18" customHeight="1">
      <c r="A14" s="162"/>
      <c r="B14" s="245" t="str">
        <f>'01_Property Summary'!B12</f>
        <v>BLD_JP</v>
      </c>
      <c r="C14" s="254" t="str">
        <f>INDEX('02_Debt Engine'!$G$19:$G$35,MATCH($B14,'01_Property Summary'!$B$5:$B$21,0))</f>
        <v>BCHMC</v>
      </c>
      <c r="D14" s="255">
        <f>IF(INDEX('02_Debt Engine'!$I$19:$I$35,MATCH($B14,'01_Property Summary'!$B$5:$B$21,0))&lt;1905,"—",INDEX('02_Debt Engine'!$I$19:$I$35,MATCH($B14,'01_Property Summary'!$B$5:$B$21,0)))</f>
        <v>2026</v>
      </c>
      <c r="E14" s="256">
        <f>INDEX('02_Debt Engine'!$K$19:$K$35,MATCH($B14,'01_Property Summary'!$B$5:$B$21,0))</f>
        <v>176698.83</v>
      </c>
      <c r="F14" s="259">
        <f>INDEX('02_Debt Engine'!$N$19:$N$35,MATCH($B14,'01_Property Summary'!$B$5:$B$21,0))</f>
        <v>176698.83</v>
      </c>
      <c r="G14" s="256">
        <f>INDEX('02_Debt Engine'!$O$19:$O$35,MATCH($B14,'01_Property Summary'!$B$5:$B$21,0))</f>
        <v>0</v>
      </c>
      <c r="H14" s="260" t="str">
        <f>INDEX('02_Debt Engine'!$F$19:$F$35,MATCH($B14,'01_Property Summary'!$B$5:$B$21,0))</f>
        <v>No</v>
      </c>
    </row>
    <row r="15" spans="1:8" ht="18" customHeight="1">
      <c r="A15" s="162"/>
      <c r="B15" s="245" t="str">
        <f>'01_Property Summary'!B13</f>
        <v>BLD_MH</v>
      </c>
      <c r="C15" s="254" t="str">
        <f>INDEX('02_Debt Engine'!$G$19:$G$35,MATCH($B15,'01_Property Summary'!$B$5:$B$21,0))</f>
        <v>BCHMC</v>
      </c>
      <c r="D15" s="255">
        <f>IF(INDEX('02_Debt Engine'!$I$19:$I$35,MATCH($B15,'01_Property Summary'!$B$5:$B$21,0))&lt;1905,"—",INDEX('02_Debt Engine'!$I$19:$I$35,MATCH($B15,'01_Property Summary'!$B$5:$B$21,0)))</f>
        <v>2026</v>
      </c>
      <c r="E15" s="256">
        <f>INDEX('02_Debt Engine'!$K$19:$K$35,MATCH($B15,'01_Property Summary'!$B$5:$B$21,0))</f>
        <v>125540.52</v>
      </c>
      <c r="F15" s="259">
        <f>INDEX('02_Debt Engine'!$N$19:$N$35,MATCH($B15,'01_Property Summary'!$B$5:$B$21,0))</f>
        <v>145670.51999999999</v>
      </c>
      <c r="G15" s="256">
        <f>INDEX('02_Debt Engine'!$O$19:$O$35,MATCH($B15,'01_Property Summary'!$B$5:$B$21,0))</f>
        <v>0</v>
      </c>
      <c r="H15" s="260" t="str">
        <f>INDEX('02_Debt Engine'!$F$19:$F$35,MATCH($B15,'01_Property Summary'!$B$5:$B$21,0))</f>
        <v>No</v>
      </c>
    </row>
    <row r="16" spans="1:8" ht="18" customHeight="1">
      <c r="A16" s="162"/>
      <c r="B16" s="245" t="str">
        <f>'01_Property Summary'!B14</f>
        <v>BLD_MM</v>
      </c>
      <c r="C16" s="254" t="str">
        <f>INDEX('02_Debt Engine'!$G$19:$G$35,MATCH($B16,'01_Property Summary'!$B$5:$B$21,0))</f>
        <v>Vancity</v>
      </c>
      <c r="D16" s="255">
        <f>IF(INDEX('02_Debt Engine'!$I$19:$I$35,MATCH($B16,'01_Property Summary'!$B$5:$B$21,0))&lt;1905,"—",INDEX('02_Debt Engine'!$I$19:$I$35,MATCH($B16,'01_Property Summary'!$B$5:$B$21,0)))</f>
        <v>2034</v>
      </c>
      <c r="E16" s="256">
        <f>INDEX('02_Debt Engine'!$K$19:$K$35,MATCH($B16,'01_Property Summary'!$B$5:$B$21,0))</f>
        <v>271563.84000000003</v>
      </c>
      <c r="F16" s="259">
        <f>INDEX('02_Debt Engine'!$N$19:$N$35,MATCH($B16,'01_Property Summary'!$B$5:$B$21,0))</f>
        <v>4992966</v>
      </c>
      <c r="G16" s="256">
        <f>INDEX('02_Debt Engine'!$O$19:$O$35,MATCH($B16,'01_Property Summary'!$B$5:$B$21,0))</f>
        <v>0</v>
      </c>
      <c r="H16" s="260" t="str">
        <f>INDEX('02_Debt Engine'!$F$19:$F$35,MATCH($B16,'01_Property Summary'!$B$5:$B$21,0))</f>
        <v>Yes</v>
      </c>
    </row>
    <row r="17" spans="1:8" ht="18" customHeight="1">
      <c r="A17" s="162"/>
      <c r="B17" s="245" t="str">
        <f>'01_Property Summary'!B15</f>
        <v>BLD_NT</v>
      </c>
      <c r="C17" s="254" t="str">
        <f>INDEX('02_Debt Engine'!$G$19:$G$35,MATCH($B17,'01_Property Summary'!$B$5:$B$21,0))</f>
        <v>BCHMC</v>
      </c>
      <c r="D17" s="255">
        <f>IF(INDEX('02_Debt Engine'!$I$19:$I$35,MATCH($B17,'01_Property Summary'!$B$5:$B$21,0))&lt;1905,"—",INDEX('02_Debt Engine'!$I$19:$I$35,MATCH($B17,'01_Property Summary'!$B$5:$B$21,0)))</f>
        <v>2027</v>
      </c>
      <c r="E17" s="256">
        <f>INDEX('02_Debt Engine'!$K$19:$K$35,MATCH($B17,'01_Property Summary'!$B$5:$B$21,0))</f>
        <v>274351.8</v>
      </c>
      <c r="F17" s="259">
        <f>INDEX('02_Debt Engine'!$N$19:$N$35,MATCH($B17,'01_Property Summary'!$B$5:$B$21,0))</f>
        <v>485006.87</v>
      </c>
      <c r="G17" s="256">
        <f>INDEX('02_Debt Engine'!$O$19:$O$35,MATCH($B17,'01_Property Summary'!$B$5:$B$21,0))</f>
        <v>0</v>
      </c>
      <c r="H17" s="260" t="str">
        <f>INDEX('02_Debt Engine'!$F$19:$F$35,MATCH($B17,'01_Property Summary'!$B$5:$B$21,0))</f>
        <v>No</v>
      </c>
    </row>
    <row r="18" spans="1:8" ht="18" customHeight="1">
      <c r="A18" s="162"/>
      <c r="B18" s="245" t="str">
        <f>'01_Property Summary'!B16</f>
        <v>BLD_NG</v>
      </c>
      <c r="C18" s="254" t="str">
        <f>INDEX('02_Debt Engine'!$G$19:$G$35,MATCH($B18,'01_Property Summary'!$B$5:$B$21,0))</f>
        <v>CMLS</v>
      </c>
      <c r="D18" s="255">
        <f>IF(INDEX('02_Debt Engine'!$I$19:$I$35,MATCH($B18,'01_Property Summary'!$B$5:$B$21,0))&lt;1905,"—",INDEX('02_Debt Engine'!$I$19:$I$35,MATCH($B18,'01_Property Summary'!$B$5:$B$21,0)))</f>
        <v>2034</v>
      </c>
      <c r="E18" s="256">
        <f>INDEX('02_Debt Engine'!$K$19:$K$35,MATCH($B18,'01_Property Summary'!$B$5:$B$21,0))</f>
        <v>443187</v>
      </c>
      <c r="F18" s="259">
        <f>INDEX('02_Debt Engine'!$N$19:$N$35,MATCH($B18,'01_Property Summary'!$B$5:$B$21,0))</f>
        <v>3432387.1</v>
      </c>
      <c r="G18" s="256">
        <f>INDEX('02_Debt Engine'!$O$19:$O$35,MATCH($B18,'01_Property Summary'!$B$5:$B$21,0))</f>
        <v>0</v>
      </c>
      <c r="H18" s="260" t="str">
        <f>INDEX('02_Debt Engine'!$F$19:$F$35,MATCH($B18,'01_Property Summary'!$B$5:$B$21,0))</f>
        <v>Yes</v>
      </c>
    </row>
    <row r="19" spans="1:8" ht="18" customHeight="1">
      <c r="A19" s="162"/>
      <c r="B19" s="245" t="str">
        <f>'01_Property Summary'!B17</f>
        <v>BLD_RG</v>
      </c>
      <c r="C19" s="254" t="str">
        <f>INDEX('02_Debt Engine'!$G$19:$G$35,MATCH($B19,'01_Property Summary'!$B$5:$B$21,0))</f>
        <v>Peoples Group</v>
      </c>
      <c r="D19" s="255">
        <f>IF(INDEX('02_Debt Engine'!$I$19:$I$35,MATCH($B19,'01_Property Summary'!$B$5:$B$21,0))&lt;1905,"—",INDEX('02_Debt Engine'!$I$19:$I$35,MATCH($B19,'01_Property Summary'!$B$5:$B$21,0)))</f>
        <v>2026</v>
      </c>
      <c r="E19" s="256">
        <f>INDEX('02_Debt Engine'!$K$19:$K$35,MATCH($B19,'01_Property Summary'!$B$5:$B$21,0))</f>
        <v>291146.28000000003</v>
      </c>
      <c r="F19" s="259">
        <f>INDEX('02_Debt Engine'!$N$19:$N$35,MATCH($B19,'01_Property Summary'!$B$5:$B$21,0))</f>
        <v>1976761.19</v>
      </c>
      <c r="G19" s="256">
        <f>INDEX('02_Debt Engine'!$O$19:$O$35,MATCH($B19,'01_Property Summary'!$B$5:$B$21,0))</f>
        <v>0</v>
      </c>
      <c r="H19" s="260" t="str">
        <f>INDEX('02_Debt Engine'!$F$19:$F$35,MATCH($B19,'01_Property Summary'!$B$5:$B$21,0))</f>
        <v>No</v>
      </c>
    </row>
    <row r="20" spans="1:8" ht="18" customHeight="1">
      <c r="A20" s="162"/>
      <c r="B20" s="245" t="str">
        <f>'01_Property Summary'!B18</f>
        <v>BLD_AS</v>
      </c>
      <c r="C20" s="254" t="str">
        <f>INDEX('02_Debt Engine'!$G$19:$G$35,MATCH($B20,'01_Property Summary'!$B$5:$B$21,0))</f>
        <v>BCH CHF</v>
      </c>
      <c r="D20" s="255">
        <f>IF(INDEX('02_Debt Engine'!$I$19:$I$35,MATCH($B20,'01_Property Summary'!$B$5:$B$21,0))&lt;1905,"—",INDEX('02_Debt Engine'!$I$19:$I$35,MATCH($B20,'01_Property Summary'!$B$5:$B$21,0)))</f>
        <v>2028</v>
      </c>
      <c r="E20" s="256">
        <f>INDEX('02_Debt Engine'!$K$19:$K$35,MATCH($B20,'01_Property Summary'!$B$5:$B$21,0))</f>
        <v>0</v>
      </c>
      <c r="F20" s="259">
        <f>INDEX('02_Debt Engine'!$N$19:$N$35,MATCH($B20,'01_Property Summary'!$B$5:$B$21,0))</f>
        <v>0</v>
      </c>
      <c r="G20" s="256">
        <f>INDEX('02_Debt Engine'!$O$19:$O$35,MATCH($B20,'01_Property Summary'!$B$5:$B$21,0))</f>
        <v>39285000</v>
      </c>
      <c r="H20" s="260" t="str">
        <f>INDEX('02_Debt Engine'!$F$19:$F$35,MATCH($B20,'01_Property Summary'!$B$5:$B$21,0))</f>
        <v>Yes</v>
      </c>
    </row>
    <row r="21" spans="1:8" ht="18" customHeight="1">
      <c r="A21" s="162"/>
      <c r="B21" s="245" t="str">
        <f>'01_Property Summary'!B19</f>
        <v>BLD_PS</v>
      </c>
      <c r="C21" s="254" t="str">
        <f>INDEX('02_Debt Engine'!$G$19:$G$35,MATCH($B21,'01_Property Summary'!$B$5:$B$21,0))</f>
        <v>BCH CHF</v>
      </c>
      <c r="D21" s="255">
        <f>IF(INDEX('02_Debt Engine'!$I$19:$I$35,MATCH($B21,'01_Property Summary'!$B$5:$B$21,0))&lt;1905,"—",INDEX('02_Debt Engine'!$I$19:$I$35,MATCH($B21,'01_Property Summary'!$B$5:$B$21,0)))</f>
        <v>2028</v>
      </c>
      <c r="E21" s="256">
        <f>INDEX('02_Debt Engine'!$K$19:$K$35,MATCH($B21,'01_Property Summary'!$B$5:$B$21,0))</f>
        <v>0</v>
      </c>
      <c r="F21" s="259">
        <f>INDEX('02_Debt Engine'!$N$19:$N$35,MATCH($B21,'01_Property Summary'!$B$5:$B$21,0))</f>
        <v>0</v>
      </c>
      <c r="G21" s="256">
        <f>INDEX('02_Debt Engine'!$O$19:$O$35,MATCH($B21,'01_Property Summary'!$B$5:$B$21,0))</f>
        <v>36855000</v>
      </c>
      <c r="H21" s="260" t="str">
        <f>INDEX('02_Debt Engine'!$F$19:$F$35,MATCH($B21,'01_Property Summary'!$B$5:$B$21,0))</f>
        <v>Yes</v>
      </c>
    </row>
    <row r="22" spans="1:8" ht="18" customHeight="1">
      <c r="A22" s="162"/>
      <c r="B22" s="245" t="str">
        <f>'01_Property Summary'!B20</f>
        <v>BLD_PM</v>
      </c>
      <c r="C22" s="254" t="str">
        <f>INDEX('02_Debt Engine'!$G$19:$G$35,MATCH($B22,'01_Property Summary'!$B$5:$B$21,0))</f>
        <v>CMHC</v>
      </c>
      <c r="D22" s="255">
        <f>IF(INDEX('02_Debt Engine'!$I$19:$I$35,MATCH($B22,'01_Property Summary'!$B$5:$B$21,0))&lt;1905,"—",INDEX('02_Debt Engine'!$I$19:$I$35,MATCH($B22,'01_Property Summary'!$B$5:$B$21,0)))</f>
        <v>2027</v>
      </c>
      <c r="E22" s="256">
        <f>INDEX('02_Debt Engine'!$K$19:$K$35,MATCH($B22,'01_Property Summary'!$B$5:$B$21,0))</f>
        <v>0</v>
      </c>
      <c r="F22" s="259">
        <f>INDEX('02_Debt Engine'!$N$19:$N$35,MATCH($B22,'01_Property Summary'!$B$5:$B$21,0))</f>
        <v>0</v>
      </c>
      <c r="G22" s="256">
        <f>INDEX('02_Debt Engine'!$O$19:$O$35,MATCH($B22,'01_Property Summary'!$B$5:$B$21,0))</f>
        <v>132840000</v>
      </c>
      <c r="H22" s="260" t="str">
        <f>INDEX('02_Debt Engine'!$F$19:$F$35,MATCH($B22,'01_Property Summary'!$B$5:$B$21,0))</f>
        <v>Yes</v>
      </c>
    </row>
    <row r="23" spans="1:8" ht="18" customHeight="1">
      <c r="A23" s="162"/>
      <c r="B23" s="245" t="str">
        <f>'01_Property Summary'!B21</f>
        <v>BLD_CD</v>
      </c>
      <c r="C23" s="254" t="str">
        <f>INDEX('02_Debt Engine'!$G$19:$G$35,MATCH($B23,'01_Property Summary'!$B$5:$B$21,0))</f>
        <v>BCH CHF</v>
      </c>
      <c r="D23" s="255">
        <f>IF(INDEX('02_Debt Engine'!$I$19:$I$35,MATCH($B23,'01_Property Summary'!$B$5:$B$21,0))&lt;1905,"—",INDEX('02_Debt Engine'!$I$19:$I$35,MATCH($B23,'01_Property Summary'!$B$5:$B$21,0)))</f>
        <v>2029</v>
      </c>
      <c r="E23" s="256">
        <f>INDEX('02_Debt Engine'!$K$19:$K$35,MATCH($B23,'01_Property Summary'!$B$5:$B$21,0))</f>
        <v>0</v>
      </c>
      <c r="F23" s="259">
        <f>INDEX('02_Debt Engine'!$N$19:$N$35,MATCH($B23,'01_Property Summary'!$B$5:$B$21,0))</f>
        <v>0</v>
      </c>
      <c r="G23" s="256">
        <f>INDEX('02_Debt Engine'!$O$19:$O$35,MATCH($B23,'01_Property Summary'!$B$5:$B$21,0))</f>
        <v>37665000</v>
      </c>
      <c r="H23" s="260" t="str">
        <f>INDEX('02_Debt Engine'!$F$19:$F$35,MATCH($B23,'01_Property Summary'!$B$5:$B$21,0))</f>
        <v>Yes</v>
      </c>
    </row>
    <row r="24" spans="1:8" ht="19.899999999999999" customHeight="1">
      <c r="A24" s="162"/>
      <c r="B24" s="488" t="s">
        <v>214</v>
      </c>
      <c r="C24" s="456"/>
      <c r="D24" s="457"/>
      <c r="E24" s="261">
        <f>SUM(E7:E23)</f>
        <v>2468105.91</v>
      </c>
      <c r="F24" s="261">
        <f>SUM(F7:F23)</f>
        <v>20011378.370000001</v>
      </c>
      <c r="G24" s="261">
        <f>SUM(G7:G23)</f>
        <v>246645000</v>
      </c>
      <c r="H24" s="262" t="str">
        <f>COUNTIF(H7:H23,"Yes")&amp;" Yes"</f>
        <v>7 Yes</v>
      </c>
    </row>
    <row r="25" spans="1:8" ht="19.5" customHeight="1"/>
    <row r="26" spans="1:8" ht="27.75" customHeight="1"/>
    <row r="27" spans="1:8" ht="37.5" customHeight="1"/>
    <row r="28" spans="1:8" ht="37.5" customHeight="1"/>
    <row r="29" spans="1:8" ht="37.5" customHeight="1"/>
    <row r="30" spans="1:8" ht="37.5" customHeight="1"/>
    <row r="31" spans="1:8" ht="37.5" customHeight="1"/>
    <row r="32" spans="1:8" ht="37.5" customHeight="1"/>
    <row r="33" ht="37.5" customHeight="1"/>
    <row r="34" ht="37.5" customHeight="1"/>
    <row r="35" ht="7.5" customHeight="1"/>
    <row r="36" ht="27.75" customHeight="1"/>
  </sheetData>
  <mergeCells count="4">
    <mergeCell ref="B3:H3"/>
    <mergeCell ref="B5:H5"/>
    <mergeCell ref="B2:H2"/>
    <mergeCell ref="B24:D24"/>
  </mergeCells>
  <conditionalFormatting sqref="H7:H23">
    <cfRule type="containsText" dxfId="13" priority="1" operator="containsText" text="Yes">
      <formula>NOT(ISERROR(SEARCH("Yes",H7)))</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CEFA8-56CA-4152-9409-59C08A062B04}">
  <sheetPr>
    <tabColor rgb="FF808080"/>
  </sheetPr>
  <dimension ref="A1:G43"/>
  <sheetViews>
    <sheetView topLeftCell="A18" workbookViewId="0">
      <selection activeCell="A18" sqref="A18"/>
    </sheetView>
  </sheetViews>
  <sheetFormatPr defaultColWidth="8.7109375" defaultRowHeight="15"/>
  <cols>
    <col min="1" max="1" width="1.28515625" customWidth="1"/>
    <col min="2" max="2" width="29" customWidth="1"/>
    <col min="3" max="3" width="12.7109375" customWidth="1"/>
    <col min="4" max="5" width="11.7109375" customWidth="1"/>
    <col min="6" max="6" width="31.85546875" customWidth="1"/>
    <col min="7" max="7" width="48.5703125" customWidth="1"/>
    <col min="8" max="8" width="1.28515625" customWidth="1"/>
  </cols>
  <sheetData>
    <row r="1" spans="1:7" ht="7.5" customHeight="1">
      <c r="A1" s="411" t="s">
        <v>8099</v>
      </c>
    </row>
    <row r="2" spans="1:7" ht="69.599999999999994" customHeight="1">
      <c r="B2" s="483" t="s">
        <v>245</v>
      </c>
      <c r="C2" s="424"/>
      <c r="D2" s="424"/>
      <c r="E2" s="424"/>
      <c r="F2" s="424"/>
      <c r="G2" s="424"/>
    </row>
    <row r="3" spans="1:7" ht="19.899999999999999" customHeight="1">
      <c r="B3" s="489" t="s">
        <v>246</v>
      </c>
      <c r="C3" s="490"/>
      <c r="D3" s="490"/>
      <c r="E3" s="490"/>
      <c r="F3" s="490"/>
      <c r="G3" s="490"/>
    </row>
    <row r="4" spans="1:7" ht="4.9000000000000004" customHeight="1"/>
    <row r="5" spans="1:7" ht="25.15" customHeight="1">
      <c r="B5" s="491" t="s">
        <v>247</v>
      </c>
      <c r="C5" s="456"/>
      <c r="D5" s="456"/>
      <c r="E5" s="456"/>
      <c r="F5" s="456"/>
      <c r="G5" s="457"/>
    </row>
    <row r="6" spans="1:7" ht="25.15" customHeight="1">
      <c r="B6" s="159" t="s">
        <v>248</v>
      </c>
      <c r="C6" s="159" t="s">
        <v>249</v>
      </c>
      <c r="D6" s="159" t="s">
        <v>250</v>
      </c>
      <c r="E6" s="159" t="s">
        <v>251</v>
      </c>
      <c r="F6" s="159" t="s">
        <v>88</v>
      </c>
      <c r="G6" s="159" t="s">
        <v>252</v>
      </c>
    </row>
    <row r="7" spans="1:7" ht="40.15" customHeight="1">
      <c r="B7" s="151" t="s">
        <v>253</v>
      </c>
      <c r="C7" s="263">
        <f>'01_Assumptions'!$C$5</f>
        <v>0.02</v>
      </c>
      <c r="D7" s="264">
        <f>C7-0.005</f>
        <v>1.4999999999999999E-2</v>
      </c>
      <c r="E7" s="264">
        <f>C7+0.005</f>
        <v>2.5000000000000001E-2</v>
      </c>
      <c r="F7" s="152" t="s">
        <v>254</v>
      </c>
      <c r="G7" s="153" t="s">
        <v>255</v>
      </c>
    </row>
    <row r="8" spans="1:7" ht="40.15" customHeight="1">
      <c r="B8" s="151" t="s">
        <v>256</v>
      </c>
      <c r="C8" s="263">
        <f>'01_Assumptions'!$C$6</f>
        <v>0.02</v>
      </c>
      <c r="D8" s="264">
        <f>C8-0.005</f>
        <v>1.4999999999999999E-2</v>
      </c>
      <c r="E8" s="264">
        <f>C8+0.005</f>
        <v>2.5000000000000001E-2</v>
      </c>
      <c r="F8" s="152" t="s">
        <v>257</v>
      </c>
      <c r="G8" s="153" t="s">
        <v>258</v>
      </c>
    </row>
    <row r="9" spans="1:7" ht="40.15" customHeight="1">
      <c r="B9" s="151" t="s">
        <v>259</v>
      </c>
      <c r="C9" s="263">
        <f>'01_Assumptions'!$C$7</f>
        <v>0.04</v>
      </c>
      <c r="D9" s="264">
        <f>C9-0.005</f>
        <v>3.5000000000000003E-2</v>
      </c>
      <c r="E9" s="264">
        <f>C9+0.005</f>
        <v>4.4999999999999998E-2</v>
      </c>
      <c r="F9" s="152" t="s">
        <v>260</v>
      </c>
      <c r="G9" s="156" t="s">
        <v>261</v>
      </c>
    </row>
    <row r="10" spans="1:7" ht="40.15" customHeight="1">
      <c r="B10" s="151" t="s">
        <v>262</v>
      </c>
      <c r="C10" s="263">
        <f>'01_Assumptions'!$C$8</f>
        <v>2.5000000000000001E-2</v>
      </c>
      <c r="D10" s="264">
        <f>C10-0.005</f>
        <v>0.02</v>
      </c>
      <c r="E10" s="264">
        <f>C10+0.005</f>
        <v>3.0000000000000002E-2</v>
      </c>
      <c r="F10" s="152" t="s">
        <v>263</v>
      </c>
      <c r="G10" s="157" t="s">
        <v>264</v>
      </c>
    </row>
    <row r="11" spans="1:7" ht="40.15" customHeight="1">
      <c r="B11" s="151" t="s">
        <v>265</v>
      </c>
      <c r="C11" s="263">
        <f>'01_Assumptions'!$C$9</f>
        <v>0.02</v>
      </c>
      <c r="D11" s="264">
        <f>C11-0.005</f>
        <v>1.4999999999999999E-2</v>
      </c>
      <c r="E11" s="264">
        <f>C11+0.005</f>
        <v>2.5000000000000001E-2</v>
      </c>
      <c r="F11" s="152" t="s">
        <v>266</v>
      </c>
      <c r="G11" s="157" t="s">
        <v>267</v>
      </c>
    </row>
    <row r="12" spans="1:7" ht="40.15" customHeight="1">
      <c r="B12" s="151" t="s">
        <v>268</v>
      </c>
      <c r="C12" s="265">
        <f>'01_Assumptions'!$C$10</f>
        <v>150</v>
      </c>
      <c r="D12" s="266">
        <f>C12-50</f>
        <v>100</v>
      </c>
      <c r="E12" s="266">
        <f>C12+50</f>
        <v>200</v>
      </c>
      <c r="F12" s="152"/>
      <c r="G12" s="157"/>
    </row>
    <row r="13" spans="1:7" ht="40.15" customHeight="1">
      <c r="B13" s="151" t="s">
        <v>269</v>
      </c>
      <c r="C13" s="263">
        <f>'01_Assumptions'!$C$11</f>
        <v>0.02</v>
      </c>
      <c r="D13" s="264">
        <f>C13-0.005</f>
        <v>1.4999999999999999E-2</v>
      </c>
      <c r="E13" s="264">
        <f>C13+0.005</f>
        <v>2.5000000000000001E-2</v>
      </c>
      <c r="F13" s="152"/>
      <c r="G13" s="157"/>
    </row>
    <row r="14" spans="1:7" ht="4.9000000000000004" customHeight="1"/>
    <row r="15" spans="1:7" ht="25.15" customHeight="1">
      <c r="B15" s="491" t="s">
        <v>270</v>
      </c>
      <c r="C15" s="456"/>
      <c r="D15" s="456"/>
      <c r="E15" s="456"/>
      <c r="F15" s="456"/>
      <c r="G15" s="457"/>
    </row>
    <row r="16" spans="1:7" ht="25.15" customHeight="1">
      <c r="B16" s="159" t="s">
        <v>248</v>
      </c>
      <c r="C16" s="159" t="s">
        <v>249</v>
      </c>
      <c r="D16" s="159" t="s">
        <v>250</v>
      </c>
      <c r="E16" s="159" t="s">
        <v>251</v>
      </c>
      <c r="F16" s="159" t="s">
        <v>88</v>
      </c>
      <c r="G16" s="159" t="s">
        <v>252</v>
      </c>
    </row>
    <row r="17" spans="2:7" ht="40.15" customHeight="1">
      <c r="B17" s="151" t="s">
        <v>271</v>
      </c>
      <c r="C17" s="263">
        <f>'01_Assumptions'!$C$14</f>
        <v>0.1</v>
      </c>
      <c r="D17" s="264">
        <f>C17-0.05</f>
        <v>0.05</v>
      </c>
      <c r="E17" s="264">
        <f>C17+0.05</f>
        <v>0.15000000000000002</v>
      </c>
      <c r="F17" s="152" t="s">
        <v>272</v>
      </c>
      <c r="G17" s="157" t="s">
        <v>273</v>
      </c>
    </row>
    <row r="18" spans="2:7" ht="40.15" customHeight="1">
      <c r="B18" s="151" t="s">
        <v>274</v>
      </c>
      <c r="C18" s="263">
        <f>'01_Assumptions'!$C$15</f>
        <v>0.2</v>
      </c>
      <c r="D18" s="264">
        <f>C18-0.05</f>
        <v>0.15000000000000002</v>
      </c>
      <c r="E18" s="264">
        <f>C18+0.05</f>
        <v>0.25</v>
      </c>
      <c r="F18" s="152" t="s">
        <v>272</v>
      </c>
      <c r="G18" s="157" t="s">
        <v>273</v>
      </c>
    </row>
    <row r="19" spans="2:7" ht="4.9000000000000004" customHeight="1"/>
    <row r="20" spans="2:7" ht="25.15" customHeight="1">
      <c r="B20" s="491" t="s">
        <v>275</v>
      </c>
      <c r="C20" s="456"/>
      <c r="D20" s="456"/>
      <c r="E20" s="456"/>
      <c r="F20" s="456"/>
      <c r="G20" s="457"/>
    </row>
    <row r="21" spans="2:7" ht="25.15" customHeight="1">
      <c r="B21" s="159" t="s">
        <v>248</v>
      </c>
      <c r="C21" s="159" t="s">
        <v>249</v>
      </c>
      <c r="D21" s="159" t="s">
        <v>250</v>
      </c>
      <c r="E21" s="159" t="s">
        <v>251</v>
      </c>
      <c r="F21" s="159" t="s">
        <v>88</v>
      </c>
      <c r="G21" s="159" t="s">
        <v>252</v>
      </c>
    </row>
    <row r="22" spans="2:7" ht="40.15" customHeight="1">
      <c r="B22" s="151" t="s">
        <v>276</v>
      </c>
      <c r="C22" s="263">
        <f>'01_Assumptions'!C18</f>
        <v>0.75</v>
      </c>
      <c r="D22" s="264">
        <f>C22-0.1</f>
        <v>0.65</v>
      </c>
      <c r="E22" s="264">
        <f>C22+0.1</f>
        <v>0.85</v>
      </c>
      <c r="F22" s="152" t="s">
        <v>272</v>
      </c>
      <c r="G22" s="157"/>
    </row>
    <row r="23" spans="2:7" ht="40.15" customHeight="1">
      <c r="B23" s="151" t="s">
        <v>277</v>
      </c>
      <c r="C23" s="267">
        <f>'01_Assumptions'!C19</f>
        <v>1.2</v>
      </c>
      <c r="D23" s="268">
        <f>C23-0.1</f>
        <v>1.0999999999999999</v>
      </c>
      <c r="E23" s="268">
        <f>C23+0.1</f>
        <v>1.3</v>
      </c>
      <c r="F23" s="152" t="s">
        <v>278</v>
      </c>
      <c r="G23" s="156" t="s">
        <v>279</v>
      </c>
    </row>
    <row r="24" spans="2:7" ht="40.15" customHeight="1">
      <c r="B24" s="151" t="s">
        <v>280</v>
      </c>
      <c r="C24" s="263">
        <f>'01_Assumptions'!C20</f>
        <v>0.04</v>
      </c>
      <c r="D24" s="264">
        <f>C24-0.005</f>
        <v>3.5000000000000003E-2</v>
      </c>
      <c r="E24" s="264">
        <f>C24+0.005</f>
        <v>4.4999999999999998E-2</v>
      </c>
      <c r="F24" s="152" t="s">
        <v>281</v>
      </c>
      <c r="G24" s="153" t="s">
        <v>282</v>
      </c>
    </row>
    <row r="25" spans="2:7" ht="40.15" customHeight="1">
      <c r="B25" s="151" t="s">
        <v>283</v>
      </c>
      <c r="C25" s="269">
        <f>'01_Assumptions'!C21</f>
        <v>35</v>
      </c>
      <c r="D25" s="270">
        <f>C25-0.005</f>
        <v>34.994999999999997</v>
      </c>
      <c r="E25" s="270">
        <f>C25+0.005</f>
        <v>35.005000000000003</v>
      </c>
      <c r="F25" s="152" t="s">
        <v>272</v>
      </c>
      <c r="G25" s="157"/>
    </row>
    <row r="26" spans="2:7" ht="40.15" customHeight="1">
      <c r="B26" s="151" t="s">
        <v>284</v>
      </c>
      <c r="C26" s="263">
        <f>'01_Assumptions'!C22</f>
        <v>0.06</v>
      </c>
      <c r="D26" s="271">
        <f>C26+0.005</f>
        <v>6.5000000000000002E-2</v>
      </c>
      <c r="E26" s="271">
        <f>C26-0.005</f>
        <v>5.5E-2</v>
      </c>
      <c r="F26" s="152" t="s">
        <v>285</v>
      </c>
      <c r="G26" s="153" t="s">
        <v>286</v>
      </c>
    </row>
    <row r="27" spans="2:7" ht="40.15" customHeight="1">
      <c r="B27" s="151" t="s">
        <v>287</v>
      </c>
      <c r="C27" s="263">
        <f>'01_Assumptions'!C25</f>
        <v>0.9</v>
      </c>
      <c r="D27" s="271">
        <f>C27-0.1</f>
        <v>0.8</v>
      </c>
      <c r="E27" s="271">
        <f>C27+0.1</f>
        <v>1</v>
      </c>
      <c r="F27" s="152" t="s">
        <v>272</v>
      </c>
      <c r="G27" s="157" t="s">
        <v>288</v>
      </c>
    </row>
    <row r="28" spans="2:7" ht="40.15" customHeight="1">
      <c r="B28" s="151" t="s">
        <v>289</v>
      </c>
      <c r="C28" s="265">
        <f>'01_Assumptions'!C26</f>
        <v>450000</v>
      </c>
      <c r="D28" s="272">
        <f>C28+100000</f>
        <v>550000</v>
      </c>
      <c r="E28" s="272">
        <f>C28-100000</f>
        <v>350000</v>
      </c>
      <c r="F28" s="152" t="s">
        <v>272</v>
      </c>
      <c r="G28" s="157"/>
    </row>
    <row r="29" spans="2:7" ht="40.15" customHeight="1">
      <c r="B29" s="151" t="s">
        <v>290</v>
      </c>
      <c r="C29" s="263">
        <f>'01_Assumptions'!C27</f>
        <v>4.4999999999999998E-2</v>
      </c>
      <c r="D29" s="264">
        <f>C29-0.005</f>
        <v>0.04</v>
      </c>
      <c r="E29" s="264">
        <f>C29+0.005</f>
        <v>4.9999999999999996E-2</v>
      </c>
      <c r="F29" s="152" t="s">
        <v>272</v>
      </c>
      <c r="G29" s="157"/>
    </row>
    <row r="30" spans="2:7" ht="40.15" customHeight="1">
      <c r="B30" s="151" t="s">
        <v>291</v>
      </c>
      <c r="C30" s="269">
        <f>'01_Assumptions'!C28</f>
        <v>40</v>
      </c>
      <c r="D30" s="270">
        <f>C30-0.005</f>
        <v>39.994999999999997</v>
      </c>
      <c r="E30" s="270">
        <f>C30+0.005</f>
        <v>40.005000000000003</v>
      </c>
      <c r="F30" s="152" t="s">
        <v>272</v>
      </c>
      <c r="G30" s="157"/>
    </row>
    <row r="31" spans="2:7" ht="4.9000000000000004" customHeight="1"/>
    <row r="32" spans="2:7" ht="25.15" customHeight="1">
      <c r="B32" s="491" t="s">
        <v>292</v>
      </c>
      <c r="C32" s="456"/>
      <c r="D32" s="456"/>
      <c r="E32" s="456"/>
      <c r="F32" s="456"/>
      <c r="G32" s="457"/>
    </row>
    <row r="33" spans="2:7" ht="25.15" customHeight="1">
      <c r="B33" s="159" t="s">
        <v>248</v>
      </c>
      <c r="C33" s="159" t="s">
        <v>249</v>
      </c>
      <c r="D33" s="159" t="s">
        <v>250</v>
      </c>
      <c r="E33" s="159" t="s">
        <v>251</v>
      </c>
      <c r="F33" s="159" t="s">
        <v>88</v>
      </c>
      <c r="G33" s="159" t="s">
        <v>252</v>
      </c>
    </row>
    <row r="34" spans="2:7" ht="40.15" customHeight="1">
      <c r="B34" s="151" t="s">
        <v>293</v>
      </c>
      <c r="C34" s="158" t="s">
        <v>294</v>
      </c>
      <c r="D34" s="154" t="s">
        <v>295</v>
      </c>
      <c r="E34" s="154" t="s">
        <v>296</v>
      </c>
      <c r="F34" s="152" t="s">
        <v>297</v>
      </c>
      <c r="G34" s="157" t="s">
        <v>298</v>
      </c>
    </row>
    <row r="35" spans="2:7" ht="40.15" customHeight="1">
      <c r="B35" s="151" t="s">
        <v>299</v>
      </c>
      <c r="C35" s="155" t="s">
        <v>300</v>
      </c>
      <c r="D35" s="154" t="s">
        <v>301</v>
      </c>
      <c r="E35" s="154" t="s">
        <v>302</v>
      </c>
      <c r="F35" s="152" t="s">
        <v>285</v>
      </c>
      <c r="G35" s="153" t="s">
        <v>303</v>
      </c>
    </row>
    <row r="36" spans="2:7" ht="40.15" customHeight="1">
      <c r="B36" s="151" t="s">
        <v>304</v>
      </c>
      <c r="C36" s="155">
        <v>2035</v>
      </c>
      <c r="D36" s="273">
        <f>C36+5</f>
        <v>2040</v>
      </c>
      <c r="E36" s="273">
        <f>C36-5</f>
        <v>2030</v>
      </c>
      <c r="F36" s="152" t="s">
        <v>305</v>
      </c>
      <c r="G36" s="153" t="s">
        <v>306</v>
      </c>
    </row>
    <row r="37" spans="2:7" ht="30" customHeight="1"/>
    <row r="38" spans="2:7" ht="51.75" customHeight="1"/>
    <row r="39" spans="2:7" ht="51.75" customHeight="1"/>
    <row r="40" spans="2:7" ht="51.75" customHeight="1"/>
    <row r="41" spans="2:7" ht="51.75" customHeight="1"/>
    <row r="42" spans="2:7" ht="51.75" customHeight="1"/>
    <row r="43" spans="2:7" ht="51.75" customHeight="1"/>
  </sheetData>
  <mergeCells count="6">
    <mergeCell ref="B3:G3"/>
    <mergeCell ref="B2:G2"/>
    <mergeCell ref="B20:G20"/>
    <mergeCell ref="B5:G5"/>
    <mergeCell ref="B32:G32"/>
    <mergeCell ref="B15:G1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023B9-11C7-4120-B8C1-2E4F8D5B063B}">
  <sheetPr>
    <tabColor rgb="FF808080"/>
  </sheetPr>
  <dimension ref="A1:Z41"/>
  <sheetViews>
    <sheetView showGridLines="0" workbookViewId="0"/>
  </sheetViews>
  <sheetFormatPr defaultColWidth="0" defaultRowHeight="12.75"/>
  <cols>
    <col min="1" max="1" width="1.7109375" style="3" customWidth="1"/>
    <col min="2" max="2" width="31.85546875" style="3" customWidth="1"/>
    <col min="3" max="3" width="9.42578125" style="3" customWidth="1"/>
    <col min="4" max="4" width="0.5703125" style="3" customWidth="1"/>
    <col min="5" max="5" width="14.5703125" style="3" customWidth="1"/>
    <col min="6" max="9" width="8.85546875" style="3" customWidth="1"/>
    <col min="10" max="10" width="14.28515625" style="3" customWidth="1"/>
    <col min="11" max="11" width="9" style="3" customWidth="1"/>
    <col min="12" max="26" width="8.85546875" style="3" customWidth="1"/>
    <col min="27" max="27" width="8.85546875" style="3" hidden="1" customWidth="1"/>
    <col min="28" max="16384" width="8.85546875" style="3" hidden="1"/>
  </cols>
  <sheetData>
    <row r="1" spans="2:11" ht="7.9" customHeight="1"/>
    <row r="2" spans="2:11" ht="15.75" customHeight="1">
      <c r="B2" s="432" t="s">
        <v>383</v>
      </c>
      <c r="C2" s="424"/>
      <c r="D2" s="424"/>
      <c r="E2" s="424"/>
      <c r="F2" s="424"/>
      <c r="G2" s="424"/>
      <c r="H2" s="424"/>
      <c r="I2" s="424"/>
      <c r="J2" s="424"/>
      <c r="K2" s="424"/>
    </row>
    <row r="3" spans="2:11" ht="7.9" customHeight="1"/>
    <row r="4" spans="2:11">
      <c r="B4" s="276" t="s">
        <v>384</v>
      </c>
      <c r="C4" s="300" t="s">
        <v>385</v>
      </c>
      <c r="D4" s="134"/>
      <c r="E4" s="301" t="s">
        <v>386</v>
      </c>
      <c r="F4" s="135"/>
      <c r="G4" s="135"/>
      <c r="H4" s="135"/>
      <c r="I4" s="135"/>
      <c r="J4" s="135"/>
      <c r="K4" s="135"/>
    </row>
    <row r="5" spans="2:11">
      <c r="B5" s="3" t="s">
        <v>387</v>
      </c>
      <c r="C5" s="136">
        <v>0.02</v>
      </c>
      <c r="E5" s="137" t="s">
        <v>388</v>
      </c>
      <c r="F5" s="135"/>
      <c r="G5" s="135"/>
      <c r="H5" s="135"/>
      <c r="I5" s="135"/>
      <c r="J5" s="135"/>
      <c r="K5" s="135"/>
    </row>
    <row r="6" spans="2:11">
      <c r="B6" s="3" t="s">
        <v>389</v>
      </c>
      <c r="C6" s="136">
        <v>0.02</v>
      </c>
      <c r="E6" s="137" t="s">
        <v>388</v>
      </c>
      <c r="F6" s="135"/>
      <c r="G6" s="135"/>
      <c r="H6" s="135"/>
      <c r="I6" s="135"/>
      <c r="J6" s="135"/>
      <c r="K6" s="135"/>
    </row>
    <row r="7" spans="2:11">
      <c r="B7" s="3" t="s">
        <v>390</v>
      </c>
      <c r="C7" s="136">
        <v>0.04</v>
      </c>
      <c r="E7" s="137" t="s">
        <v>388</v>
      </c>
      <c r="F7" s="135"/>
      <c r="G7" s="135"/>
      <c r="H7" s="135"/>
      <c r="I7" s="135"/>
      <c r="J7" s="135"/>
      <c r="K7" s="135"/>
    </row>
    <row r="8" spans="2:11">
      <c r="B8" s="3" t="s">
        <v>391</v>
      </c>
      <c r="C8" s="136">
        <v>2.5000000000000001E-2</v>
      </c>
      <c r="E8" s="137" t="s">
        <v>388</v>
      </c>
      <c r="F8" s="135"/>
      <c r="G8" s="135"/>
      <c r="H8" s="135"/>
      <c r="I8" s="135"/>
      <c r="J8" s="135"/>
      <c r="K8" s="135"/>
    </row>
    <row r="9" spans="2:11">
      <c r="B9" s="3" t="s">
        <v>392</v>
      </c>
      <c r="C9" s="136">
        <v>0.02</v>
      </c>
      <c r="E9" s="137" t="s">
        <v>393</v>
      </c>
      <c r="F9" s="135"/>
      <c r="G9" s="135"/>
      <c r="H9" s="135"/>
      <c r="I9" s="135"/>
      <c r="J9" s="135"/>
      <c r="K9" s="135"/>
    </row>
    <row r="10" spans="2:11">
      <c r="B10" s="3" t="s">
        <v>394</v>
      </c>
      <c r="C10" s="138">
        <v>150</v>
      </c>
      <c r="E10" s="137" t="s">
        <v>393</v>
      </c>
      <c r="F10" s="135"/>
      <c r="G10" s="135"/>
      <c r="H10" s="135"/>
      <c r="I10" s="135"/>
      <c r="J10" s="135"/>
      <c r="K10" s="135"/>
    </row>
    <row r="11" spans="2:11">
      <c r="B11" s="3" t="s">
        <v>395</v>
      </c>
      <c r="C11" s="136">
        <v>0.02</v>
      </c>
      <c r="E11" s="137" t="s">
        <v>388</v>
      </c>
      <c r="F11" s="135"/>
      <c r="G11" s="135"/>
      <c r="H11" s="135"/>
      <c r="I11" s="135"/>
      <c r="J11" s="135"/>
      <c r="K11" s="135"/>
    </row>
    <row r="12" spans="2:11">
      <c r="C12" s="132"/>
      <c r="E12" s="135"/>
      <c r="F12" s="135"/>
      <c r="G12" s="135"/>
      <c r="H12" s="135"/>
      <c r="I12" s="135"/>
      <c r="J12" s="135"/>
      <c r="K12" s="135"/>
    </row>
    <row r="13" spans="2:11">
      <c r="B13" s="133" t="s">
        <v>396</v>
      </c>
      <c r="C13" s="132"/>
      <c r="E13" s="135"/>
      <c r="F13" s="135"/>
      <c r="G13" s="135"/>
      <c r="H13" s="135"/>
      <c r="I13" s="135"/>
      <c r="J13" s="135"/>
      <c r="K13" s="135"/>
    </row>
    <row r="14" spans="2:11">
      <c r="B14" s="3" t="s">
        <v>271</v>
      </c>
      <c r="C14" s="136">
        <v>0.1</v>
      </c>
      <c r="E14" s="137" t="s">
        <v>397</v>
      </c>
      <c r="F14" s="135"/>
      <c r="G14" s="135"/>
      <c r="H14" s="135"/>
      <c r="I14" s="135"/>
      <c r="J14" s="135"/>
      <c r="K14" s="135"/>
    </row>
    <row r="15" spans="2:11">
      <c r="B15" s="3" t="s">
        <v>274</v>
      </c>
      <c r="C15" s="136">
        <v>0.2</v>
      </c>
      <c r="E15" s="137" t="s">
        <v>398</v>
      </c>
      <c r="F15" s="135"/>
      <c r="G15" s="135"/>
      <c r="H15" s="135"/>
      <c r="I15" s="135"/>
      <c r="J15" s="135"/>
      <c r="K15" s="135"/>
    </row>
    <row r="16" spans="2:11">
      <c r="C16" s="132"/>
      <c r="E16" s="135"/>
      <c r="F16" s="135"/>
      <c r="G16" s="135"/>
      <c r="H16" s="135"/>
      <c r="I16" s="135"/>
      <c r="J16" s="135"/>
      <c r="K16" s="135"/>
    </row>
    <row r="17" spans="2:11">
      <c r="B17" s="133" t="s">
        <v>399</v>
      </c>
      <c r="C17" s="132"/>
      <c r="E17" s="135"/>
      <c r="F17" s="135"/>
      <c r="G17" s="135"/>
      <c r="H17" s="135"/>
      <c r="I17" s="135"/>
      <c r="J17" s="135"/>
      <c r="K17" s="135"/>
    </row>
    <row r="18" spans="2:11">
      <c r="B18" s="3" t="s">
        <v>400</v>
      </c>
      <c r="C18" s="136">
        <v>0.75</v>
      </c>
      <c r="E18" s="139" t="s">
        <v>401</v>
      </c>
      <c r="F18" s="135"/>
      <c r="G18" s="135"/>
      <c r="H18" s="135"/>
      <c r="I18" s="135"/>
      <c r="J18" s="135"/>
      <c r="K18" s="135"/>
    </row>
    <row r="19" spans="2:11">
      <c r="B19" s="3" t="s">
        <v>402</v>
      </c>
      <c r="C19" s="34">
        <v>1.2</v>
      </c>
      <c r="E19" s="139"/>
      <c r="F19" s="135"/>
      <c r="G19" s="135"/>
      <c r="H19" s="135"/>
      <c r="I19" s="135"/>
      <c r="J19" s="135"/>
      <c r="K19" s="135"/>
    </row>
    <row r="20" spans="2:11">
      <c r="B20" s="3" t="s">
        <v>403</v>
      </c>
      <c r="C20" s="136">
        <v>0.04</v>
      </c>
      <c r="E20" s="139"/>
      <c r="F20" s="135"/>
      <c r="G20" s="135"/>
      <c r="H20" s="135"/>
      <c r="I20" s="135"/>
      <c r="J20" s="135"/>
      <c r="K20" s="135"/>
    </row>
    <row r="21" spans="2:11">
      <c r="B21" s="3" t="s">
        <v>404</v>
      </c>
      <c r="C21" s="138">
        <v>35</v>
      </c>
      <c r="E21" s="139"/>
      <c r="F21" s="135"/>
      <c r="G21" s="135"/>
      <c r="H21" s="135"/>
      <c r="I21" s="135"/>
      <c r="J21" s="135"/>
      <c r="K21" s="135"/>
    </row>
    <row r="22" spans="2:11">
      <c r="B22" s="3" t="s">
        <v>405</v>
      </c>
      <c r="C22" s="136">
        <v>0.06</v>
      </c>
      <c r="E22" s="139" t="s">
        <v>406</v>
      </c>
      <c r="F22" s="135"/>
      <c r="G22" s="135"/>
      <c r="H22" s="135"/>
      <c r="I22" s="135"/>
      <c r="J22" s="135"/>
      <c r="K22" s="135"/>
    </row>
    <row r="23" spans="2:11">
      <c r="C23" s="132"/>
      <c r="E23" s="139"/>
      <c r="F23" s="135"/>
      <c r="G23" s="135"/>
      <c r="H23" s="135"/>
      <c r="I23" s="135"/>
      <c r="J23" s="135"/>
      <c r="K23" s="135"/>
    </row>
    <row r="24" spans="2:11">
      <c r="B24" s="133" t="s">
        <v>407</v>
      </c>
      <c r="C24" s="132"/>
      <c r="E24" s="139"/>
      <c r="F24" s="135"/>
      <c r="G24" s="135"/>
      <c r="H24" s="135"/>
      <c r="I24" s="135"/>
      <c r="J24" s="135"/>
      <c r="K24" s="135"/>
    </row>
    <row r="25" spans="2:11">
      <c r="B25" s="3" t="s">
        <v>408</v>
      </c>
      <c r="C25" s="136">
        <v>0.9</v>
      </c>
      <c r="E25" s="139"/>
      <c r="F25" s="135"/>
      <c r="G25" s="135"/>
      <c r="H25" s="135"/>
      <c r="I25" s="135"/>
      <c r="J25" s="135"/>
      <c r="K25" s="135"/>
    </row>
    <row r="26" spans="2:11">
      <c r="B26" s="3" t="s">
        <v>289</v>
      </c>
      <c r="C26" s="37">
        <v>450000</v>
      </c>
      <c r="E26" s="139" t="s">
        <v>409</v>
      </c>
      <c r="F26" s="135"/>
      <c r="G26" s="135"/>
      <c r="H26" s="135"/>
      <c r="I26" s="135"/>
      <c r="J26" s="135"/>
      <c r="K26" s="135"/>
    </row>
    <row r="27" spans="2:11">
      <c r="B27" s="3" t="s">
        <v>403</v>
      </c>
      <c r="C27" s="136">
        <v>4.4999999999999998E-2</v>
      </c>
      <c r="E27" s="139"/>
      <c r="F27" s="135"/>
      <c r="G27" s="135"/>
      <c r="H27" s="135"/>
      <c r="I27" s="135"/>
      <c r="J27" s="135"/>
      <c r="K27" s="135"/>
    </row>
    <row r="28" spans="2:11">
      <c r="B28" s="3" t="s">
        <v>404</v>
      </c>
      <c r="C28" s="138">
        <v>40</v>
      </c>
      <c r="E28" s="139"/>
      <c r="F28" s="135"/>
      <c r="G28" s="135"/>
      <c r="H28" s="135"/>
      <c r="I28" s="135"/>
      <c r="J28" s="135"/>
      <c r="K28" s="135"/>
    </row>
    <row r="29" spans="2:11">
      <c r="C29" s="132"/>
      <c r="E29" s="139"/>
      <c r="F29" s="135"/>
      <c r="G29" s="135"/>
      <c r="H29" s="135"/>
      <c r="I29" s="135"/>
      <c r="J29" s="135"/>
      <c r="K29" s="135"/>
    </row>
    <row r="30" spans="2:11">
      <c r="B30" s="133" t="s">
        <v>410</v>
      </c>
      <c r="C30" s="132"/>
      <c r="E30" s="139"/>
      <c r="F30" s="135"/>
      <c r="G30" s="135"/>
      <c r="H30" s="135"/>
      <c r="I30" s="135"/>
      <c r="J30" s="135"/>
      <c r="K30" s="135"/>
    </row>
    <row r="31" spans="2:11">
      <c r="B31" s="3" t="s">
        <v>13</v>
      </c>
      <c r="C31" s="136">
        <v>0.6</v>
      </c>
      <c r="E31" s="139" t="s">
        <v>411</v>
      </c>
      <c r="F31" s="135"/>
      <c r="G31" s="135"/>
      <c r="H31" s="135"/>
      <c r="I31" s="135"/>
      <c r="J31" s="135"/>
      <c r="K31" s="135"/>
    </row>
    <row r="32" spans="2:11">
      <c r="B32" s="3" t="s">
        <v>12</v>
      </c>
      <c r="C32" s="136">
        <v>0.06</v>
      </c>
      <c r="E32" s="139" t="s">
        <v>393</v>
      </c>
      <c r="F32" s="135"/>
      <c r="G32" s="135"/>
      <c r="H32" s="135"/>
      <c r="I32" s="135"/>
      <c r="J32" s="135"/>
      <c r="K32" s="135"/>
    </row>
    <row r="33" spans="2:11">
      <c r="B33" s="3" t="s">
        <v>412</v>
      </c>
      <c r="C33" s="136">
        <v>5.5E-2</v>
      </c>
      <c r="E33" s="139"/>
      <c r="F33" s="135"/>
      <c r="G33" s="135"/>
      <c r="H33" s="135"/>
      <c r="I33" s="135"/>
      <c r="J33" s="135"/>
      <c r="K33" s="135"/>
    </row>
    <row r="34" spans="2:11">
      <c r="B34" s="3" t="s">
        <v>304</v>
      </c>
      <c r="C34" s="34">
        <v>2035</v>
      </c>
      <c r="E34" s="30"/>
    </row>
    <row r="35" spans="2:11">
      <c r="E35" s="30"/>
    </row>
    <row r="36" spans="2:11">
      <c r="E36" s="30"/>
    </row>
    <row r="37" spans="2:11">
      <c r="E37" s="30"/>
    </row>
    <row r="38" spans="2:11">
      <c r="E38" s="30"/>
    </row>
    <row r="39" spans="2:11">
      <c r="E39" s="30"/>
    </row>
    <row r="40" spans="2:11">
      <c r="E40" s="30"/>
    </row>
    <row r="41" spans="2:11">
      <c r="E41" s="30"/>
    </row>
  </sheetData>
  <mergeCells count="1">
    <mergeCell ref="B2:K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48D2A-08E0-4F23-8BA5-8C1A75E185B3}">
  <sheetPr>
    <tabColor rgb="FF808080"/>
  </sheetPr>
  <dimension ref="A1:Y86"/>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75" customHeight="1">
      <c r="C1" s="274" t="s">
        <v>310</v>
      </c>
      <c r="E1" s="275" t="str">
        <f>INDEX('01_Property Summary'!$E$5:$E$21,MATCH($C$1,'01_Property Summary'!$C$5:$C$21,0))</f>
        <v>Vancouver</v>
      </c>
      <c r="F1" s="332" t="s">
        <v>536</v>
      </c>
      <c r="G1" s="333" t="s">
        <v>102</v>
      </c>
      <c r="J1" s="450" t="s">
        <v>308</v>
      </c>
      <c r="K1" s="424"/>
      <c r="L1" s="424"/>
      <c r="M1" s="424"/>
      <c r="N1" s="424"/>
      <c r="O1" s="424"/>
      <c r="S1" s="3"/>
      <c r="T1" s="3"/>
    </row>
    <row r="2" spans="3:25" ht="14.45" customHeight="1">
      <c r="C2" s="300" t="s">
        <v>537</v>
      </c>
      <c r="E2" s="334" t="str">
        <f>_xlfn.LET(_xlpm.refi,INDEX('02_Debt Engine'!$F$19:$F$35,MATCH($C$1,'02_Debt Engine'!$B$19:$B$35,0)),
_xlpm.refiyr,INDEX('02_Debt Engine'!$I$19:$I$35,MATCH($C$1,'02_Debt Engine'!$B$19:$B$35,0)),IF(_xlpm.refi="Yes",_xlpm.refiyr,"No Refi"))</f>
        <v>No Refi</v>
      </c>
      <c r="F2" s="334">
        <f>INDEX('01_Property Summary'!$F$5:$F$21,MATCH($C$1,'01_Property Summary'!$C$5:$C$21,0))</f>
        <v>2025</v>
      </c>
      <c r="G2" s="334">
        <f>INDEX('01_Property Summary'!$K$4:$K$21,MATCH($C$1,'01_Property Summary'!$C$4:$C$21,0))</f>
        <v>2027</v>
      </c>
      <c r="J2" s="278" t="str">
        <f>"Gate 1 — NOI ≥ 0 at stabilization ("&amp;$F$2+1&amp;"):"</f>
        <v>Gate 1 — NOI ≥ 0 at stabilization (2026):</v>
      </c>
      <c r="M2" s="451" t="str">
        <f>_xlfn.LET(_xlpm.stabnoi,INDEX($41:$41,MATCH(($F$2+1),$12:$12,0)),IF(_xlpm.stabnoi&gt;=0,"PASS — NOI $"&amp;TEXT(_xlpm.stabnoi,"#,##0"),"FAIL — NOI $"&amp;TEXT(_xlpm.stabnoi,"#,##0")))</f>
        <v>PASS — NOI $441,789</v>
      </c>
      <c r="N2" s="424"/>
      <c r="O2" s="424"/>
      <c r="S2" s="6"/>
    </row>
    <row r="3" spans="3:25" ht="12.75" customHeight="1">
      <c r="C3" s="300" t="s">
        <v>538</v>
      </c>
      <c r="E3" s="334">
        <f>INDEX('01_Property Summary'!$S$5:$S$21,MATCH($C$1,'01_Property Summary'!$C$5:$C$21,0))</f>
        <v>46</v>
      </c>
      <c r="F3" s="335">
        <f>'01_Assumptions'!$C$14</f>
        <v>0.1</v>
      </c>
      <c r="G3" s="335">
        <f>'01_Assumptions'!$C$15</f>
        <v>0.2</v>
      </c>
      <c r="J3" s="278" t="str">
        <f>"Gate 2 — DSCR ≥ 1.0× at stabilization ("&amp;$F$2+1&amp;"):"</f>
        <v>Gate 2 — DSCR ≥ 1.0× at stabilization (2026):</v>
      </c>
      <c r="M3" s="451" t="str">
        <f>_xlfn.LET(_xlpm.debt,INDEX($48:$48,MATCH(($F$2+1),$12:$12,0)),_xlpm.dscr,INDEX($50:$50,MATCH(($F$2+1),$12:$12,0)),
IF(_xlpm.debt=0,"PASS — no debt svc",IF(IFERROR(_xlpm.dscr,0)&gt;=1,"PASS — DSCR "&amp;TEXT(IFERROR(_xlpm.dscr,0),"0.00")&amp;"x","FAIL — DSCR "&amp;TEXT(IFERROR(_xlpm.dscr,0),"0.00")&amp;"x")))</f>
        <v>PASS — no debt svc</v>
      </c>
      <c r="N3" s="424"/>
      <c r="O3" s="424"/>
      <c r="S3" s="6"/>
    </row>
    <row r="4" spans="3:25" ht="12.75" customHeight="1">
      <c r="C4" s="300" t="s">
        <v>539</v>
      </c>
      <c r="E4" s="336">
        <f>INDEX('02_Rent Engine'!$H$5:$H$21,MATCH($C$1,'02_Rent Engine'!$B$5:$B$21,0))</f>
        <v>793.89130434782612</v>
      </c>
      <c r="F4" s="336">
        <f>INDEX('02_Rent Engine'!$J$5:$J$21,MATCH($C$1,'02_Rent Engine'!$B$5:$B$21,0))</f>
        <v>3654.25</v>
      </c>
      <c r="G4" s="336">
        <f>($F$3*$F$4)+((1-$F$3)*$E$4)</f>
        <v>1079.9271739130436</v>
      </c>
      <c r="J4" s="280" t="s">
        <v>309</v>
      </c>
      <c r="M4" s="451" t="str">
        <f>IF(AND($J$52&gt;0,$O$52&gt;0),"PASS — AFFO $"&amp;TEXT($J$52,"#,##0")&amp;" (2030) / $"&amp;TEXT($O$52,"#,##0")&amp;" (2035)","FAIL — AFFO $"&amp;TEXT($J$52,"#,##0")&amp;" (2030) / $"&amp;TEXT($O$52,"#,##0")&amp;" (2035)")</f>
        <v>PASS — AFFO $635,355 (2030) / $684,075 (2035)</v>
      </c>
      <c r="N4" s="424"/>
      <c r="O4" s="424"/>
      <c r="S4" s="6"/>
    </row>
    <row r="5" spans="3:25">
      <c r="C5" s="337" t="str">
        <f>"Rent Growth — (pre / post Op. Agrmt. Expiry: "&amp;$G$2&amp;")"</f>
        <v>Rent Growth — (pre / post Op. Agrmt. Expiry: 2027)</v>
      </c>
      <c r="E5" s="338">
        <f>'01_Assumptions'!$C$5</f>
        <v>0.02</v>
      </c>
      <c r="F5" s="338">
        <f>'01_Assumptions'!$C$6</f>
        <v>0.02</v>
      </c>
      <c r="G5" s="32"/>
      <c r="L5" s="6"/>
      <c r="M5" s="6"/>
      <c r="R5" s="6"/>
      <c r="S5" s="6"/>
    </row>
    <row r="6" spans="3:25" ht="12.75" customHeight="1">
      <c r="C6" s="337" t="str">
        <f>"OpEx Growth — (pre / post Op. Agrmt. Expiry: "&amp;$G$2&amp;")"</f>
        <v>OpEx Growth — (pre / post Op. Agrmt. Expiry: 2027)</v>
      </c>
      <c r="E6" s="338">
        <f>'01_Assumptions'!$C$7</f>
        <v>0.04</v>
      </c>
      <c r="F6" s="338">
        <f>'01_Assumptions'!$C$8</f>
        <v>2.5000000000000001E-2</v>
      </c>
      <c r="G6" s="32"/>
    </row>
    <row r="7" spans="3:25" ht="12.75" customHeight="1">
      <c r="C7" s="4" t="s">
        <v>540</v>
      </c>
      <c r="E7" s="338">
        <f>'01_Assumptions'!$C$9</f>
        <v>0.02</v>
      </c>
      <c r="F7" s="339">
        <f>'01_Assumptions'!$C$32</f>
        <v>0.06</v>
      </c>
      <c r="G7" s="340">
        <f>'01_Assumptions'!$C$31</f>
        <v>0.6</v>
      </c>
    </row>
    <row r="8" spans="3:25" ht="12.75" customHeight="1">
      <c r="C8" s="4" t="s">
        <v>541</v>
      </c>
      <c r="E8" s="341" t="str">
        <f>INDEX('01_Property Summary'!$L$5:$L$21,MATCH($C$1,'01_Property Summary'!$C$5:$C$21,0))</f>
        <v>N/A</v>
      </c>
      <c r="F8" s="336">
        <f>INDEX('01_Property Summary'!$Q$5:$Q$21,MATCH($C$1,'01_Property Summary'!$C$5:$C$21,0))</f>
        <v>0</v>
      </c>
      <c r="G8" s="334">
        <f>INDEX('02_Debt Engine'!$I$19:$I$35,MATCH($C$1,'02_Debt Engine'!$B$19:$B$35,0))</f>
        <v>1900</v>
      </c>
    </row>
    <row r="9" spans="3:25" ht="12.75" customHeight="1">
      <c r="C9" s="4" t="s">
        <v>542</v>
      </c>
      <c r="E9" s="336">
        <f>'01_Assumptions'!$C$10</f>
        <v>150</v>
      </c>
      <c r="F9" s="338">
        <f>'01_Assumptions'!$C$11</f>
        <v>0.02</v>
      </c>
      <c r="G9" s="32"/>
    </row>
    <row r="10" spans="3:25" ht="12.75"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2.75"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596119.80000000005</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608042.196</v>
      </c>
      <c r="G13" s="283">
        <f t="shared" si="1"/>
        <v>784473.66864000005</v>
      </c>
      <c r="H13" s="283">
        <f t="shared" si="1"/>
        <v>800163.14201280009</v>
      </c>
      <c r="I13" s="283">
        <f t="shared" si="1"/>
        <v>816166.40485305595</v>
      </c>
      <c r="J13" s="283">
        <f t="shared" si="1"/>
        <v>832489.73295011721</v>
      </c>
      <c r="K13" s="283">
        <f t="shared" si="1"/>
        <v>849139.52760911966</v>
      </c>
      <c r="L13" s="283">
        <f t="shared" si="1"/>
        <v>866122.3181613019</v>
      </c>
      <c r="M13" s="283">
        <f t="shared" si="1"/>
        <v>883444.76452452794</v>
      </c>
      <c r="N13" s="283">
        <f t="shared" si="1"/>
        <v>901113.65981501853</v>
      </c>
      <c r="O13" s="283">
        <f t="shared" si="1"/>
        <v>919135.93301131879</v>
      </c>
      <c r="P13" s="283">
        <f t="shared" si="1"/>
        <v>937518.65167154511</v>
      </c>
      <c r="Q13" s="283">
        <f t="shared" si="1"/>
        <v>956269.02470497589</v>
      </c>
      <c r="R13" s="283">
        <f t="shared" si="1"/>
        <v>975394.40519907558</v>
      </c>
      <c r="S13" s="283">
        <f t="shared" si="1"/>
        <v>994902.29330305697</v>
      </c>
      <c r="T13" s="283">
        <f t="shared" si="1"/>
        <v>1014800.3391691184</v>
      </c>
      <c r="U13" s="283">
        <f t="shared" si="1"/>
        <v>1035096.3459525004</v>
      </c>
      <c r="V13" s="283">
        <f t="shared" si="1"/>
        <v>1055798.2728715506</v>
      </c>
      <c r="W13" s="283">
        <f t="shared" si="1"/>
        <v>1076914.2383289819</v>
      </c>
      <c r="X13" s="283">
        <f t="shared" si="1"/>
        <v>1098452.5230955612</v>
      </c>
      <c r="Y13" s="283">
        <f t="shared" si="1"/>
        <v>1120421.5735574723</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2500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2550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2601</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2653.02</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2706.0803999999998</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2760.2020080000002</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2815.40604816</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2871.7141691231996</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2929.148452505664</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2987.7314215557772</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3047.4860499868928</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3108.4357709866308</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3170.6044864063624</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3234.0165761344902</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3298.6969076571804</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3364.670845810324</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3431.9642627265293</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3500.6035479810603</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3570.615618940682</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3642.027931319496</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3714.8684899458849</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row>
    <row r="19" spans="3:25" ht="13.5" customHeight="1">
      <c r="C19" s="3" t="s">
        <v>336</v>
      </c>
      <c r="E19" s="285">
        <f t="shared" ref="E19:Y19" si="2">SUM(E14:E18)</f>
        <v>2500</v>
      </c>
      <c r="F19" s="285">
        <f t="shared" si="2"/>
        <v>2550</v>
      </c>
      <c r="G19" s="285">
        <f t="shared" si="2"/>
        <v>2601</v>
      </c>
      <c r="H19" s="285">
        <f t="shared" si="2"/>
        <v>2653.02</v>
      </c>
      <c r="I19" s="285">
        <f t="shared" si="2"/>
        <v>2706.0803999999998</v>
      </c>
      <c r="J19" s="285">
        <f t="shared" si="2"/>
        <v>2760.2020080000002</v>
      </c>
      <c r="K19" s="285">
        <f t="shared" si="2"/>
        <v>2815.40604816</v>
      </c>
      <c r="L19" s="285">
        <f t="shared" si="2"/>
        <v>2871.7141691231996</v>
      </c>
      <c r="M19" s="285">
        <f t="shared" si="2"/>
        <v>2929.148452505664</v>
      </c>
      <c r="N19" s="285">
        <f t="shared" si="2"/>
        <v>2987.7314215557772</v>
      </c>
      <c r="O19" s="285">
        <f t="shared" si="2"/>
        <v>3047.4860499868928</v>
      </c>
      <c r="P19" s="285">
        <f t="shared" si="2"/>
        <v>3108.4357709866308</v>
      </c>
      <c r="Q19" s="285">
        <f t="shared" si="2"/>
        <v>3170.6044864063624</v>
      </c>
      <c r="R19" s="285">
        <f t="shared" si="2"/>
        <v>3234.0165761344902</v>
      </c>
      <c r="S19" s="285">
        <f t="shared" si="2"/>
        <v>3298.6969076571804</v>
      </c>
      <c r="T19" s="285">
        <f t="shared" si="2"/>
        <v>3364.670845810324</v>
      </c>
      <c r="U19" s="285">
        <f t="shared" si="2"/>
        <v>3431.9642627265293</v>
      </c>
      <c r="V19" s="285">
        <f t="shared" si="2"/>
        <v>3500.6035479810603</v>
      </c>
      <c r="W19" s="285">
        <f t="shared" si="2"/>
        <v>3570.615618940682</v>
      </c>
      <c r="X19" s="285">
        <f t="shared" si="2"/>
        <v>3642.027931319496</v>
      </c>
      <c r="Y19" s="285">
        <f t="shared" si="2"/>
        <v>3714.8684899458849</v>
      </c>
    </row>
    <row r="20" spans="3:25" ht="13.5" customHeight="1">
      <c r="C20" s="10" t="s">
        <v>337</v>
      </c>
      <c r="E20" s="283">
        <f t="shared" ref="E20:Y20" si="3">E13+E19</f>
        <v>598619.80000000005</v>
      </c>
      <c r="F20" s="283">
        <f t="shared" si="3"/>
        <v>610592.196</v>
      </c>
      <c r="G20" s="283">
        <f t="shared" si="3"/>
        <v>787074.66864000005</v>
      </c>
      <c r="H20" s="283">
        <f t="shared" si="3"/>
        <v>802816.16201280011</v>
      </c>
      <c r="I20" s="283">
        <f t="shared" si="3"/>
        <v>818872.48525305593</v>
      </c>
      <c r="J20" s="283">
        <f t="shared" si="3"/>
        <v>835249.9349581172</v>
      </c>
      <c r="K20" s="283">
        <f t="shared" si="3"/>
        <v>851954.9336572797</v>
      </c>
      <c r="L20" s="283">
        <f t="shared" si="3"/>
        <v>868994.03233042511</v>
      </c>
      <c r="M20" s="283">
        <f t="shared" si="3"/>
        <v>886373.91297703364</v>
      </c>
      <c r="N20" s="283">
        <f t="shared" si="3"/>
        <v>904101.39123657427</v>
      </c>
      <c r="O20" s="283">
        <f t="shared" si="3"/>
        <v>922183.4190613057</v>
      </c>
      <c r="P20" s="283">
        <f t="shared" si="3"/>
        <v>940627.08744253172</v>
      </c>
      <c r="Q20" s="283">
        <f t="shared" si="3"/>
        <v>959439.62919138221</v>
      </c>
      <c r="R20" s="283">
        <f t="shared" si="3"/>
        <v>978628.42177521007</v>
      </c>
      <c r="S20" s="283">
        <f t="shared" si="3"/>
        <v>998200.99021071417</v>
      </c>
      <c r="T20" s="283">
        <f t="shared" si="3"/>
        <v>1018165.0100149288</v>
      </c>
      <c r="U20" s="283">
        <f t="shared" si="3"/>
        <v>1038528.3102152268</v>
      </c>
      <c r="V20" s="283">
        <f t="shared" si="3"/>
        <v>1059298.8764195316</v>
      </c>
      <c r="W20" s="283">
        <f t="shared" si="3"/>
        <v>1080484.8539479226</v>
      </c>
      <c r="X20" s="283">
        <f t="shared" si="3"/>
        <v>1102094.5510268807</v>
      </c>
      <c r="Y20" s="283">
        <f t="shared" si="3"/>
        <v>1124136.4420474181</v>
      </c>
    </row>
    <row r="21" spans="3:25" ht="13.5" customHeight="1">
      <c r="C21" s="11" t="s">
        <v>338</v>
      </c>
      <c r="E21" s="284">
        <f t="shared" ref="E21:Y21" si="4">-E20*$E$7</f>
        <v>-11972.396000000001</v>
      </c>
      <c r="F21" s="284">
        <f t="shared" si="4"/>
        <v>-12211.843919999999</v>
      </c>
      <c r="G21" s="284">
        <f t="shared" si="4"/>
        <v>-15741.493372800001</v>
      </c>
      <c r="H21" s="284">
        <f t="shared" si="4"/>
        <v>-16056.323240256002</v>
      </c>
      <c r="I21" s="284">
        <f t="shared" si="4"/>
        <v>-16377.449705061119</v>
      </c>
      <c r="J21" s="284">
        <f t="shared" si="4"/>
        <v>-16704.998699162345</v>
      </c>
      <c r="K21" s="284">
        <f t="shared" si="4"/>
        <v>-17039.098673145596</v>
      </c>
      <c r="L21" s="284">
        <f t="shared" si="4"/>
        <v>-17379.880646608501</v>
      </c>
      <c r="M21" s="284">
        <f t="shared" si="4"/>
        <v>-17727.478259540672</v>
      </c>
      <c r="N21" s="284">
        <f t="shared" si="4"/>
        <v>-18082.027824731485</v>
      </c>
      <c r="O21" s="284">
        <f t="shared" si="4"/>
        <v>-18443.668381226114</v>
      </c>
      <c r="P21" s="284">
        <f t="shared" si="4"/>
        <v>-18812.541748850635</v>
      </c>
      <c r="Q21" s="284">
        <f t="shared" si="4"/>
        <v>-19188.792583827646</v>
      </c>
      <c r="R21" s="284">
        <f t="shared" si="4"/>
        <v>-19572.568435504203</v>
      </c>
      <c r="S21" s="284">
        <f t="shared" si="4"/>
        <v>-19964.019804214284</v>
      </c>
      <c r="T21" s="284">
        <f t="shared" si="4"/>
        <v>-20363.300200298574</v>
      </c>
      <c r="U21" s="284">
        <f t="shared" si="4"/>
        <v>-20770.566204304538</v>
      </c>
      <c r="V21" s="284">
        <f t="shared" si="4"/>
        <v>-21185.977528390635</v>
      </c>
      <c r="W21" s="284">
        <f t="shared" si="4"/>
        <v>-21609.697078958452</v>
      </c>
      <c r="X21" s="284">
        <f t="shared" si="4"/>
        <v>-22041.891020537616</v>
      </c>
      <c r="Y21" s="284">
        <f t="shared" si="4"/>
        <v>-22482.728840948363</v>
      </c>
    </row>
    <row r="22" spans="3:25" ht="13.5" customHeight="1">
      <c r="C22" s="3" t="s">
        <v>339</v>
      </c>
      <c r="E22" s="285">
        <f t="shared" ref="E22:Y22" si="5">E20+E21</f>
        <v>586647.4040000001</v>
      </c>
      <c r="F22" s="285">
        <f t="shared" si="5"/>
        <v>598380.35207999998</v>
      </c>
      <c r="G22" s="285">
        <f t="shared" si="5"/>
        <v>771333.1752672001</v>
      </c>
      <c r="H22" s="285">
        <f t="shared" si="5"/>
        <v>786759.83877254406</v>
      </c>
      <c r="I22" s="285">
        <f t="shared" si="5"/>
        <v>802495.03554799478</v>
      </c>
      <c r="J22" s="285">
        <f t="shared" si="5"/>
        <v>818544.93625895481</v>
      </c>
      <c r="K22" s="285">
        <f t="shared" si="5"/>
        <v>834915.83498413407</v>
      </c>
      <c r="L22" s="285">
        <f t="shared" si="5"/>
        <v>851614.15168381657</v>
      </c>
      <c r="M22" s="285">
        <f t="shared" si="5"/>
        <v>868646.43471749302</v>
      </c>
      <c r="N22" s="285">
        <f t="shared" si="5"/>
        <v>886019.36341184285</v>
      </c>
      <c r="O22" s="285">
        <f t="shared" si="5"/>
        <v>903739.75068007957</v>
      </c>
      <c r="P22" s="285">
        <f t="shared" si="5"/>
        <v>921814.54569368111</v>
      </c>
      <c r="Q22" s="285">
        <f t="shared" si="5"/>
        <v>940250.83660755458</v>
      </c>
      <c r="R22" s="285">
        <f t="shared" si="5"/>
        <v>959055.85333970585</v>
      </c>
      <c r="S22" s="285">
        <f t="shared" si="5"/>
        <v>978236.97040649992</v>
      </c>
      <c r="T22" s="285">
        <f t="shared" si="5"/>
        <v>997801.70981463022</v>
      </c>
      <c r="U22" s="285">
        <f t="shared" si="5"/>
        <v>1017757.7440109223</v>
      </c>
      <c r="V22" s="285">
        <f t="shared" si="5"/>
        <v>1038112.8988911411</v>
      </c>
      <c r="W22" s="285">
        <f t="shared" si="5"/>
        <v>1058875.1568689642</v>
      </c>
      <c r="X22" s="285">
        <f t="shared" si="5"/>
        <v>1080052.6600063432</v>
      </c>
      <c r="Y22" s="285">
        <f t="shared" si="5"/>
        <v>1101653.7132064698</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586647.4040000001</v>
      </c>
      <c r="F24" s="286">
        <f t="shared" si="7"/>
        <v>598380.35207999998</v>
      </c>
      <c r="G24" s="286">
        <f t="shared" si="7"/>
        <v>771333.1752672001</v>
      </c>
      <c r="H24" s="286">
        <f t="shared" si="7"/>
        <v>786759.83877254406</v>
      </c>
      <c r="I24" s="286">
        <f t="shared" si="7"/>
        <v>802495.03554799478</v>
      </c>
      <c r="J24" s="286">
        <f t="shared" si="7"/>
        <v>818544.93625895481</v>
      </c>
      <c r="K24" s="286">
        <f t="shared" si="7"/>
        <v>834915.83498413407</v>
      </c>
      <c r="L24" s="286">
        <f t="shared" si="7"/>
        <v>851614.15168381657</v>
      </c>
      <c r="M24" s="286">
        <f t="shared" si="7"/>
        <v>868646.43471749302</v>
      </c>
      <c r="N24" s="286">
        <f t="shared" si="7"/>
        <v>886019.36341184285</v>
      </c>
      <c r="O24" s="286">
        <f t="shared" si="7"/>
        <v>903739.75068007957</v>
      </c>
      <c r="P24" s="286">
        <f t="shared" si="7"/>
        <v>921814.54569368111</v>
      </c>
      <c r="Q24" s="286">
        <f t="shared" si="7"/>
        <v>940250.83660755458</v>
      </c>
      <c r="R24" s="286">
        <f t="shared" si="7"/>
        <v>959055.85333970585</v>
      </c>
      <c r="S24" s="286">
        <f t="shared" si="7"/>
        <v>978236.97040649992</v>
      </c>
      <c r="T24" s="286">
        <f t="shared" si="7"/>
        <v>997801.70981463022</v>
      </c>
      <c r="U24" s="286">
        <f t="shared" si="7"/>
        <v>1017757.7440109223</v>
      </c>
      <c r="V24" s="286">
        <f t="shared" si="7"/>
        <v>1038112.8988911411</v>
      </c>
      <c r="W24" s="286">
        <f t="shared" si="7"/>
        <v>1058875.1568689642</v>
      </c>
      <c r="X24" s="286">
        <f t="shared" si="7"/>
        <v>1080052.6600063432</v>
      </c>
      <c r="Y24" s="286">
        <f t="shared" si="7"/>
        <v>1101653.7132064698</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21500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22360</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23254.400000000001</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24184.576000000001</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25151.959040000005</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26158.037401600006</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27204.358897664009</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28292.533253570564</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29424.234583713394</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30601.203967061931</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31366.234066238478</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32150.389917894438</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32954.149665841804</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33778.003407487842</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34622.453492675035</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35488.014829991909</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36375.215200741703</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37284.595580760244</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38216.710470279242</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39172.12823203623</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40151.431437837135</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1250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1300</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1352.0000000000002</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1406.0800000000002</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1462.3232000000003</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1520.8161280000004</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1581.6487731200004</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1644.9147240448003</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1710.7113130065927</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1779.1397655268565</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1823.6182596650276</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1869.2087161566535</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1915.9389340605699</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1963.8374074120838</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2012.9333425973855</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2063.2566761623202</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2114.8380930663784</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2167.7090453930377</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2221.9017715278628</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2277.4493158160599</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2334.3855487114611</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24445</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25422.799999999999</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26439.712000000003</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27497.300480000002</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28597.192499200006</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29741.080199168009</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30930.72340713473</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32167.952343420115</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33454.670437156929</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34792.857254643204</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35662.678686009283</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36554.245653159516</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37468.101794488502</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38404.804339350711</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39364.92444783447</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40349.047559030332</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41357.77374800609</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42391.718091706243</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43451.511043998886</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44537.798820098862</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45651.243790601337</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4810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5002.4000000000005</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5202.496000000001</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5410.5958400000009</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5627.0196736000007</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5852.1004605440021</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6086.1844789657616</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6329.6318581243913</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6582.8171324493687</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6846.1298177473436</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7017.2830631910265</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7192.7151397708021</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7372.5330182650723</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7556.8463437216978</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7745.7675023147394</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7939.4116898726088</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8137.8969821194232</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8341.3444066724078</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8549.8780168392168</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8763.6249672601971</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8982.7155914417035</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25000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26000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27040.000000000004</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28121.600000000002</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29246.464000000004</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30416.322560000008</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31632.975462400009</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32898.294480896009</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34214.226260131851</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35582.795310537127</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36472.365193300553</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37384.174323133069</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38318.778681211399</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39276.748148241677</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40258.66685194771</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41265.133523246404</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42296.761861327563</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43354.180907860748</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44438.035430557262</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45548.986316321192</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46687.710974229223</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10000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10400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10816.000000000002</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11248.640000000001</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11698.585600000002</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12166.529024000003</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12653.190184960004</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13159.317792358403</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13685.690504052742</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14233.118124214852</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14588.946077320221</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14953.669729253228</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15327.511472484559</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15710.699259296671</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16103.466740779084</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16506.053409298562</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16918.704744531027</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17341.672363144302</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17775.214172222903</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18219.594526528479</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18675.084389691689</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8610</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8954.4</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9312.5760000000009</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9685.0790400000005</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10072.482201600002</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10475.381489664003</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10894.396749250564</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11330.172619220584</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11783.37952398941</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12254.714704948987</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12561.082572572712</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12875.109636887029</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13196.987377809204</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13526.912062254432</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13865.084863810791</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14211.711985406062</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14567.004785041214</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14931.179904667242</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15304.459402283921</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15687.070887341019</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16079.247659524544</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6200</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6448</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6705.920000000001</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6974.1568000000007</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7253.1230720000012</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7543.2479948800019</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7844.9779146752026</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8158.7770312622097</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8485.1281125126989</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8824.5332370132073</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9045.1465679385383</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9271.2752321370008</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9503.057112940427</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9740.6335407639344</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9984.1493792830315</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10233.753113765109</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10489.596941609236</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10751.836865149466</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11020.6327867782</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11296.148606447656</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11578.552321608848</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15160</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15766.4</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16397.056</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17052.938239999999</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17735.055769600003</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18444.458000384006</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19182.236320399366</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19949.525773215337</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20747.506804143955</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21577.407076309715</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22116.842253217455</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22669.763309547892</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23236.507392286592</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23817.420077093753</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24412.855579021092</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25023.17696849662</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25648.756392709034</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26289.97530252676</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26947.224685089921</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27620.905302217172</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28311.427934772601</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32208</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33496.32</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34836.1728</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36229.619712</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37678.804500480008</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39185.956680499214</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40753.394947719178</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42383.530745627941</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44078.871975453068</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45842.026854471194</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46988.077525832967</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48162.779463978797</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49366.848950578264</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50601.020174342717</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51866.045678701274</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53162.696820668811</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54491.764241185527</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55854.058347215163</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57250.409805895528</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58681.670051042922</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60148.711802318991</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1386</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1441.44</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1499.0976000000001</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1559.061504</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1621.4239641600002</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1686.2809227264004</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1753.7321596354566</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1823.8814460208746</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1896.8367038617098</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1972.7101720161784</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2022.0279263165828</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2072.5786244744972</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2124.3930900863597</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2177.5029173385183</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2231.9404902719812</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2287.7390025287809</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2344.9324775919999</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2403.5557895318002</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2463.6446842700943</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2525.2358013768471</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2588.3666964112681</v>
      </c>
    </row>
    <row r="39" spans="3:25" ht="13.15" customHeight="1">
      <c r="C39" s="14" t="s">
        <v>355</v>
      </c>
      <c r="E39" s="286">
        <f t="shared" ref="E39:Y39" si="8">SUM(E27:E38)</f>
        <v>150569</v>
      </c>
      <c r="F39" s="286">
        <f t="shared" si="8"/>
        <v>156591.76</v>
      </c>
      <c r="G39" s="286">
        <f t="shared" si="8"/>
        <v>162855.43040000001</v>
      </c>
      <c r="H39" s="286">
        <f t="shared" si="8"/>
        <v>169369.647616</v>
      </c>
      <c r="I39" s="286">
        <f t="shared" si="8"/>
        <v>176144.43352064004</v>
      </c>
      <c r="J39" s="286">
        <f t="shared" si="8"/>
        <v>183190.21086146566</v>
      </c>
      <c r="K39" s="286">
        <f t="shared" si="8"/>
        <v>190517.81929592427</v>
      </c>
      <c r="L39" s="286">
        <f t="shared" si="8"/>
        <v>198138.53206776123</v>
      </c>
      <c r="M39" s="286">
        <f t="shared" si="8"/>
        <v>206064.07335047171</v>
      </c>
      <c r="N39" s="286">
        <f t="shared" si="8"/>
        <v>214306.63628449058</v>
      </c>
      <c r="O39" s="286">
        <f t="shared" si="8"/>
        <v>219664.30219160279</v>
      </c>
      <c r="P39" s="286">
        <f t="shared" si="8"/>
        <v>225155.90974639292</v>
      </c>
      <c r="Q39" s="286">
        <f t="shared" si="8"/>
        <v>230784.80749005277</v>
      </c>
      <c r="R39" s="286">
        <f t="shared" si="8"/>
        <v>236554.42767730408</v>
      </c>
      <c r="S39" s="286">
        <f t="shared" si="8"/>
        <v>242468.28836923663</v>
      </c>
      <c r="T39" s="286">
        <f t="shared" si="8"/>
        <v>248529.99557846753</v>
      </c>
      <c r="U39" s="286">
        <f t="shared" si="8"/>
        <v>254743.24546792917</v>
      </c>
      <c r="V39" s="286">
        <f t="shared" si="8"/>
        <v>261111.82660462742</v>
      </c>
      <c r="W39" s="286">
        <f t="shared" si="8"/>
        <v>267639.62226974306</v>
      </c>
      <c r="X39" s="286">
        <f t="shared" si="8"/>
        <v>274330.61282648664</v>
      </c>
      <c r="Y39" s="286">
        <f t="shared" si="8"/>
        <v>281188.87814714882</v>
      </c>
    </row>
    <row r="40" spans="3:25" ht="7.15" customHeight="1"/>
    <row r="41" spans="3:25" ht="13.5" customHeight="1">
      <c r="C41" s="15" t="s">
        <v>356</v>
      </c>
      <c r="D41" s="8"/>
      <c r="E41" s="287">
        <f t="shared" ref="E41:Y41" si="9">E24-E39</f>
        <v>436078.4040000001</v>
      </c>
      <c r="F41" s="287">
        <f t="shared" si="9"/>
        <v>441788.59207999997</v>
      </c>
      <c r="G41" s="287">
        <f t="shared" si="9"/>
        <v>608477.74486720003</v>
      </c>
      <c r="H41" s="287">
        <f t="shared" si="9"/>
        <v>617390.19115654402</v>
      </c>
      <c r="I41" s="287">
        <f t="shared" si="9"/>
        <v>626350.60202735476</v>
      </c>
      <c r="J41" s="287">
        <f t="shared" si="9"/>
        <v>635354.72539748915</v>
      </c>
      <c r="K41" s="287">
        <f t="shared" si="9"/>
        <v>644398.01568820979</v>
      </c>
      <c r="L41" s="287">
        <f t="shared" si="9"/>
        <v>653475.6196160554</v>
      </c>
      <c r="M41" s="287">
        <f t="shared" si="9"/>
        <v>662582.36136702134</v>
      </c>
      <c r="N41" s="287">
        <f t="shared" si="9"/>
        <v>671712.72712735226</v>
      </c>
      <c r="O41" s="287">
        <f t="shared" si="9"/>
        <v>684075.4484884768</v>
      </c>
      <c r="P41" s="287">
        <f t="shared" si="9"/>
        <v>696658.63594728825</v>
      </c>
      <c r="Q41" s="287">
        <f t="shared" si="9"/>
        <v>709466.02911750181</v>
      </c>
      <c r="R41" s="287">
        <f t="shared" si="9"/>
        <v>722501.42566240183</v>
      </c>
      <c r="S41" s="287">
        <f t="shared" si="9"/>
        <v>735768.68203726329</v>
      </c>
      <c r="T41" s="287">
        <f t="shared" si="9"/>
        <v>749271.71423616272</v>
      </c>
      <c r="U41" s="287">
        <f t="shared" si="9"/>
        <v>763014.4985429931</v>
      </c>
      <c r="V41" s="287">
        <f t="shared" si="9"/>
        <v>777001.07228651363</v>
      </c>
      <c r="W41" s="287">
        <f t="shared" si="9"/>
        <v>791235.53459922108</v>
      </c>
      <c r="X41" s="287">
        <f t="shared" si="9"/>
        <v>805722.04717985657</v>
      </c>
      <c r="Y41" s="287">
        <f t="shared" si="9"/>
        <v>820464.83505932102</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6900</v>
      </c>
      <c r="F44" s="283">
        <f t="shared" si="11"/>
        <v>7038</v>
      </c>
      <c r="G44" s="283">
        <f t="shared" si="11"/>
        <v>7178.76</v>
      </c>
      <c r="H44" s="283">
        <f t="shared" si="11"/>
        <v>7322.3351999999995</v>
      </c>
      <c r="I44" s="283">
        <f t="shared" si="11"/>
        <v>7468.7819039999995</v>
      </c>
      <c r="J44" s="283">
        <f t="shared" si="11"/>
        <v>7618.15754208</v>
      </c>
      <c r="K44" s="283">
        <f t="shared" si="11"/>
        <v>7770.5206929216001</v>
      </c>
      <c r="L44" s="283">
        <f t="shared" si="11"/>
        <v>7925.9311067800309</v>
      </c>
      <c r="M44" s="283">
        <f t="shared" si="11"/>
        <v>8084.4497289156325</v>
      </c>
      <c r="N44" s="283">
        <f t="shared" si="11"/>
        <v>8246.1387234939448</v>
      </c>
      <c r="O44" s="283">
        <f t="shared" si="11"/>
        <v>8411.0614979638249</v>
      </c>
      <c r="P44" s="283">
        <f t="shared" si="11"/>
        <v>8579.2827279230987</v>
      </c>
      <c r="Q44" s="283">
        <f t="shared" si="11"/>
        <v>8750.8683824815616</v>
      </c>
      <c r="R44" s="283">
        <f t="shared" si="11"/>
        <v>8925.8857501311923</v>
      </c>
      <c r="S44" s="283">
        <f t="shared" si="11"/>
        <v>9104.403465133817</v>
      </c>
      <c r="T44" s="283">
        <f t="shared" si="11"/>
        <v>9286.4915344364908</v>
      </c>
      <c r="U44" s="283">
        <f t="shared" si="11"/>
        <v>9472.2213651252223</v>
      </c>
      <c r="V44" s="283">
        <f t="shared" si="11"/>
        <v>9661.6657924277279</v>
      </c>
      <c r="W44" s="283">
        <f t="shared" si="11"/>
        <v>9854.8991082762823</v>
      </c>
      <c r="X44" s="283">
        <f t="shared" si="11"/>
        <v>10051.997090441808</v>
      </c>
      <c r="Y44" s="283">
        <f t="shared" si="11"/>
        <v>10253.037032250644</v>
      </c>
    </row>
    <row r="45" spans="3:25" ht="13.5" customHeight="1">
      <c r="C45" s="15" t="s">
        <v>359</v>
      </c>
      <c r="D45" s="8"/>
      <c r="E45" s="287">
        <f t="shared" ref="E45:Y45" si="12">E41-E44</f>
        <v>429178.4040000001</v>
      </c>
      <c r="F45" s="287">
        <f t="shared" si="12"/>
        <v>434750.59207999997</v>
      </c>
      <c r="G45" s="287">
        <f t="shared" si="12"/>
        <v>601298.98486720002</v>
      </c>
      <c r="H45" s="287">
        <f t="shared" si="12"/>
        <v>610067.85595654405</v>
      </c>
      <c r="I45" s="287">
        <f t="shared" si="12"/>
        <v>618881.82012335479</v>
      </c>
      <c r="J45" s="287">
        <f t="shared" si="12"/>
        <v>627736.56785540911</v>
      </c>
      <c r="K45" s="287">
        <f t="shared" si="12"/>
        <v>636627.4949952882</v>
      </c>
      <c r="L45" s="287">
        <f t="shared" si="12"/>
        <v>645549.68850927532</v>
      </c>
      <c r="M45" s="287">
        <f t="shared" si="12"/>
        <v>654497.91163810575</v>
      </c>
      <c r="N45" s="287">
        <f t="shared" si="12"/>
        <v>663466.58840385836</v>
      </c>
      <c r="O45" s="287">
        <f t="shared" si="12"/>
        <v>675664.38699051295</v>
      </c>
      <c r="P45" s="287">
        <f t="shared" si="12"/>
        <v>688079.35321936512</v>
      </c>
      <c r="Q45" s="287">
        <f t="shared" si="12"/>
        <v>700715.1607350203</v>
      </c>
      <c r="R45" s="287">
        <f t="shared" si="12"/>
        <v>713575.53991227061</v>
      </c>
      <c r="S45" s="287">
        <f t="shared" si="12"/>
        <v>726664.27857212943</v>
      </c>
      <c r="T45" s="287">
        <f t="shared" si="12"/>
        <v>739985.22270172625</v>
      </c>
      <c r="U45" s="287">
        <f t="shared" si="12"/>
        <v>753542.27717786783</v>
      </c>
      <c r="V45" s="287">
        <f t="shared" si="12"/>
        <v>767339.40649408591</v>
      </c>
      <c r="W45" s="287">
        <f t="shared" si="12"/>
        <v>781380.63549094484</v>
      </c>
      <c r="X45" s="287">
        <f t="shared" si="12"/>
        <v>795670.05008941481</v>
      </c>
      <c r="Y45" s="287">
        <f t="shared" si="12"/>
        <v>810211.79802707036</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s="20" customFormat="1" ht="13.5" customHeight="1">
      <c r="C48" s="19" t="s">
        <v>525</v>
      </c>
      <c r="D48" s="19"/>
      <c r="E48" s="286">
        <f>(E$12&gt;=$F$2)*IFERROR(INDEX('02_Debt Engine'!$F$46:$Z$62,MATCH($C$1,'02_Debt Engine'!$B$19:$B$35,0),MATCH(E$12,'02_Debt Engine'!$F$45:$Z$45,0)),0)</f>
        <v>0</v>
      </c>
      <c r="F48" s="286">
        <f>(F$12&gt;=$F$2)*IFERROR(INDEX('02_Debt Engine'!$F$46:$Z$62,MATCH($C$1,'02_Debt Engine'!$B$19:$B$35,0),MATCH(F$12,'02_Debt Engine'!$F$45:$Z$45,0)),0)</f>
        <v>0</v>
      </c>
      <c r="G48" s="286">
        <f>(G$12&gt;=$F$2)*IFERROR(INDEX('02_Debt Engine'!$F$46:$Z$62,MATCH($C$1,'02_Debt Engine'!$B$19:$B$35,0),MATCH(G$12,'02_Debt Engine'!$F$45:$Z$45,0)),0)</f>
        <v>0</v>
      </c>
      <c r="H48" s="286">
        <f>(H$12&gt;=$F$2)*IFERROR(INDEX('02_Debt Engine'!$F$46:$Z$62,MATCH($C$1,'02_Debt Engine'!$B$19:$B$35,0),MATCH(H$12,'02_Debt Engine'!$F$45:$Z$45,0)),0)</f>
        <v>0</v>
      </c>
      <c r="I48" s="286">
        <f>(I$12&gt;=$F$2)*IFERROR(INDEX('02_Debt Engine'!$F$46:$Z$62,MATCH($C$1,'02_Debt Engine'!$B$19:$B$35,0),MATCH(I$12,'02_Debt Engine'!$F$45:$Z$45,0)),0)</f>
        <v>0</v>
      </c>
      <c r="J48" s="286">
        <f>(J$12&gt;=$F$2)*IFERROR(INDEX('02_Debt Engine'!$F$46:$Z$62,MATCH($C$1,'02_Debt Engine'!$B$19:$B$35,0),MATCH(J$12,'02_Debt Engine'!$F$45:$Z$45,0)),0)</f>
        <v>0</v>
      </c>
      <c r="K48" s="286">
        <f>(K$12&gt;=$F$2)*IFERROR(INDEX('02_Debt Engine'!$F$46:$Z$62,MATCH($C$1,'02_Debt Engine'!$B$19:$B$35,0),MATCH(K$12,'02_Debt Engine'!$F$45:$Z$45,0)),0)</f>
        <v>0</v>
      </c>
      <c r="L48" s="286">
        <f>(L$12&gt;=$F$2)*IFERROR(INDEX('02_Debt Engine'!$F$46:$Z$62,MATCH($C$1,'02_Debt Engine'!$B$19:$B$35,0),MATCH(L$12,'02_Debt Engine'!$F$45:$Z$45,0)),0)</f>
        <v>0</v>
      </c>
      <c r="M48" s="286">
        <f>(M$12&gt;=$F$2)*IFERROR(INDEX('02_Debt Engine'!$F$46:$Z$62,MATCH($C$1,'02_Debt Engine'!$B$19:$B$35,0),MATCH(M$12,'02_Debt Engine'!$F$45:$Z$45,0)),0)</f>
        <v>0</v>
      </c>
      <c r="N48" s="286">
        <f>(N$12&gt;=$F$2)*IFERROR(INDEX('02_Debt Engine'!$F$46:$Z$62,MATCH($C$1,'02_Debt Engine'!$B$19:$B$35,0),MATCH(N$12,'02_Debt Engine'!$F$45:$Z$45,0)),0)</f>
        <v>0</v>
      </c>
      <c r="O48" s="286">
        <f>(O$12&gt;=$F$2)*IFERROR(INDEX('02_Debt Engine'!$F$46:$Z$62,MATCH($C$1,'02_Debt Engine'!$B$19:$B$35,0),MATCH(O$12,'02_Debt Engine'!$F$45:$Z$45,0)),0)</f>
        <v>0</v>
      </c>
      <c r="P48" s="286">
        <f>(P$12&gt;=$F$2)*IFERROR(INDEX('02_Debt Engine'!$F$46:$Z$62,MATCH($C$1,'02_Debt Engine'!$B$19:$B$35,0),MATCH(P$12,'02_Debt Engine'!$F$45:$Z$45,0)),0)</f>
        <v>0</v>
      </c>
      <c r="Q48" s="286">
        <f>(Q$12&gt;=$F$2)*IFERROR(INDEX('02_Debt Engine'!$F$46:$Z$62,MATCH($C$1,'02_Debt Engine'!$B$19:$B$35,0),MATCH(Q$12,'02_Debt Engine'!$F$45:$Z$45,0)),0)</f>
        <v>0</v>
      </c>
      <c r="R48" s="286">
        <f>(R$12&gt;=$F$2)*IFERROR(INDEX('02_Debt Engine'!$F$46:$Z$62,MATCH($C$1,'02_Debt Engine'!$B$19:$B$35,0),MATCH(R$12,'02_Debt Engine'!$F$45:$Z$45,0)),0)</f>
        <v>0</v>
      </c>
      <c r="S48" s="286">
        <f>(S$12&gt;=$F$2)*IFERROR(INDEX('02_Debt Engine'!$F$46:$Z$62,MATCH($C$1,'02_Debt Engine'!$B$19:$B$35,0),MATCH(S$12,'02_Debt Engine'!$F$45:$Z$45,0)),0)</f>
        <v>0</v>
      </c>
      <c r="T48" s="286">
        <f>(T$12&gt;=$F$2)*IFERROR(INDEX('02_Debt Engine'!$F$46:$Z$62,MATCH($C$1,'02_Debt Engine'!$B$19:$B$35,0),MATCH(T$12,'02_Debt Engine'!$F$45:$Z$45,0)),0)</f>
        <v>0</v>
      </c>
      <c r="U48" s="286">
        <f>(U$12&gt;=$F$2)*IFERROR(INDEX('02_Debt Engine'!$F$46:$Z$62,MATCH($C$1,'02_Debt Engine'!$B$19:$B$35,0),MATCH(U$12,'02_Debt Engine'!$F$45:$Z$45,0)),0)</f>
        <v>0</v>
      </c>
      <c r="V48" s="286">
        <f>(V$12&gt;=$F$2)*IFERROR(INDEX('02_Debt Engine'!$F$46:$Z$62,MATCH($C$1,'02_Debt Engine'!$B$19:$B$35,0),MATCH(V$12,'02_Debt Engine'!$F$45:$Z$45,0)),0)</f>
        <v>0</v>
      </c>
      <c r="W48" s="286">
        <f>(W$12&gt;=$F$2)*IFERROR(INDEX('02_Debt Engine'!$F$46:$Z$62,MATCH($C$1,'02_Debt Engine'!$B$19:$B$35,0),MATCH(W$12,'02_Debt Engine'!$F$45:$Z$45,0)),0)</f>
        <v>0</v>
      </c>
      <c r="X48" s="286">
        <f>(X$12&gt;=$F$2)*IFERROR(INDEX('02_Debt Engine'!$F$46:$Z$62,MATCH($C$1,'02_Debt Engine'!$B$19:$B$35,0),MATCH(X$12,'02_Debt Engine'!$F$45:$Z$45,0)),0)</f>
        <v>0</v>
      </c>
      <c r="Y48" s="286">
        <f>(Y$12&gt;=$F$2)*IFERROR(INDEX('02_Debt Engine'!$F$46:$Z$62,MATCH($C$1,'02_Debt Engine'!$B$19:$B$35,0),MATCH(Y$12,'02_Debt Engine'!$F$45:$Z$45,0)),0)</f>
        <v>0</v>
      </c>
    </row>
    <row r="49" spans="1:25" s="20" customFormat="1" ht="6.95" customHeight="1">
      <c r="C49" s="21"/>
      <c r="E49" s="12"/>
      <c r="F49" s="12"/>
      <c r="G49" s="12"/>
      <c r="H49" s="12"/>
      <c r="I49" s="12"/>
      <c r="J49" s="12"/>
      <c r="K49" s="12"/>
      <c r="L49" s="12"/>
      <c r="M49" s="12"/>
      <c r="N49" s="12"/>
      <c r="O49" s="12"/>
      <c r="P49" s="12"/>
      <c r="Q49" s="12"/>
      <c r="R49" s="12"/>
      <c r="S49" s="12"/>
      <c r="T49" s="12"/>
      <c r="U49" s="12"/>
      <c r="V49" s="12"/>
      <c r="W49" s="12"/>
      <c r="X49" s="12"/>
      <c r="Y49" s="12"/>
    </row>
    <row r="50" spans="1:25" s="1" customFormat="1" ht="13.5" customHeight="1">
      <c r="C50" s="15" t="s">
        <v>213</v>
      </c>
      <c r="D50" s="20"/>
      <c r="E50" s="290" t="str">
        <f t="shared" ref="E50:Y50" si="14">IFERROR(IF(E$48=0,"",E41/E$48),"")</f>
        <v/>
      </c>
      <c r="F50" s="290" t="str">
        <f t="shared" si="14"/>
        <v/>
      </c>
      <c r="G50" s="290" t="str">
        <f t="shared" si="14"/>
        <v/>
      </c>
      <c r="H50" s="290" t="str">
        <f t="shared" si="14"/>
        <v/>
      </c>
      <c r="I50" s="290" t="str">
        <f t="shared" si="14"/>
        <v/>
      </c>
      <c r="J50" s="290" t="str">
        <f t="shared" si="14"/>
        <v/>
      </c>
      <c r="K50" s="290" t="str">
        <f t="shared" si="14"/>
        <v/>
      </c>
      <c r="L50" s="290" t="str">
        <f t="shared" si="14"/>
        <v/>
      </c>
      <c r="M50" s="290" t="str">
        <f t="shared" si="14"/>
        <v/>
      </c>
      <c r="N50" s="290" t="str">
        <f t="shared" si="14"/>
        <v/>
      </c>
      <c r="O50" s="290" t="str">
        <f t="shared" si="14"/>
        <v/>
      </c>
      <c r="P50" s="290" t="str">
        <f t="shared" si="14"/>
        <v/>
      </c>
      <c r="Q50" s="290" t="str">
        <f t="shared" si="14"/>
        <v/>
      </c>
      <c r="R50" s="290" t="str">
        <f t="shared" si="14"/>
        <v/>
      </c>
      <c r="S50" s="290" t="str">
        <f t="shared" si="14"/>
        <v/>
      </c>
      <c r="T50" s="290" t="str">
        <f t="shared" si="14"/>
        <v/>
      </c>
      <c r="U50" s="290" t="str">
        <f t="shared" si="14"/>
        <v/>
      </c>
      <c r="V50" s="290" t="str">
        <f t="shared" si="14"/>
        <v/>
      </c>
      <c r="W50" s="290" t="str">
        <f t="shared" si="14"/>
        <v/>
      </c>
      <c r="X50" s="290" t="str">
        <f t="shared" si="14"/>
        <v/>
      </c>
      <c r="Y50" s="290" t="str">
        <f t="shared" si="14"/>
        <v/>
      </c>
    </row>
    <row r="51" spans="1:25" s="20" customFormat="1"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1:25" ht="13.5" customHeight="1">
      <c r="C52" s="23" t="s">
        <v>362</v>
      </c>
      <c r="D52" s="17"/>
      <c r="E52" s="291">
        <f t="shared" ref="E52:Y52" si="15">E41-E$48</f>
        <v>436078.4040000001</v>
      </c>
      <c r="F52" s="291">
        <f t="shared" si="15"/>
        <v>441788.59207999997</v>
      </c>
      <c r="G52" s="291">
        <f t="shared" si="15"/>
        <v>608477.74486720003</v>
      </c>
      <c r="H52" s="291">
        <f t="shared" si="15"/>
        <v>617390.19115654402</v>
      </c>
      <c r="I52" s="291">
        <f t="shared" si="15"/>
        <v>626350.60202735476</v>
      </c>
      <c r="J52" s="291">
        <f t="shared" si="15"/>
        <v>635354.72539748915</v>
      </c>
      <c r="K52" s="291">
        <f t="shared" si="15"/>
        <v>644398.01568820979</v>
      </c>
      <c r="L52" s="291">
        <f t="shared" si="15"/>
        <v>653475.6196160554</v>
      </c>
      <c r="M52" s="291">
        <f t="shared" si="15"/>
        <v>662582.36136702134</v>
      </c>
      <c r="N52" s="291">
        <f t="shared" si="15"/>
        <v>671712.72712735226</v>
      </c>
      <c r="O52" s="291">
        <f t="shared" si="15"/>
        <v>684075.4484884768</v>
      </c>
      <c r="P52" s="291">
        <f t="shared" si="15"/>
        <v>696658.63594728825</v>
      </c>
      <c r="Q52" s="291">
        <f t="shared" si="15"/>
        <v>709466.02911750181</v>
      </c>
      <c r="R52" s="291">
        <f t="shared" si="15"/>
        <v>722501.42566240183</v>
      </c>
      <c r="S52" s="291">
        <f t="shared" si="15"/>
        <v>735768.68203726329</v>
      </c>
      <c r="T52" s="291">
        <f t="shared" si="15"/>
        <v>749271.71423616272</v>
      </c>
      <c r="U52" s="291">
        <f t="shared" si="15"/>
        <v>763014.4985429931</v>
      </c>
      <c r="V52" s="291">
        <f t="shared" si="15"/>
        <v>777001.07228651363</v>
      </c>
      <c r="W52" s="291">
        <f t="shared" si="15"/>
        <v>791235.53459922108</v>
      </c>
      <c r="X52" s="291">
        <f t="shared" si="15"/>
        <v>805722.04717985657</v>
      </c>
      <c r="Y52" s="291">
        <f t="shared" si="15"/>
        <v>820464.83505932102</v>
      </c>
    </row>
    <row r="53" spans="1:25" ht="7.15" customHeight="1">
      <c r="C53" s="14"/>
      <c r="D53" s="17"/>
    </row>
    <row r="54" spans="1:25" ht="13.5" customHeight="1">
      <c r="C54" s="15" t="s">
        <v>363</v>
      </c>
      <c r="D54" s="20"/>
      <c r="E54" s="292">
        <f t="shared" ref="E54:Y54" si="16">IF(E52&lt;0,0,E52*$G$7)</f>
        <v>261647.04240000003</v>
      </c>
      <c r="F54" s="292">
        <f t="shared" si="16"/>
        <v>265073.155248</v>
      </c>
      <c r="G54" s="292">
        <f t="shared" si="16"/>
        <v>365086.64692032</v>
      </c>
      <c r="H54" s="292">
        <f t="shared" si="16"/>
        <v>370434.11469392641</v>
      </c>
      <c r="I54" s="292">
        <f t="shared" si="16"/>
        <v>375810.36121641286</v>
      </c>
      <c r="J54" s="292">
        <f t="shared" si="16"/>
        <v>381212.83523849346</v>
      </c>
      <c r="K54" s="292">
        <f t="shared" si="16"/>
        <v>386638.80941292585</v>
      </c>
      <c r="L54" s="292">
        <f t="shared" si="16"/>
        <v>392085.3717696332</v>
      </c>
      <c r="M54" s="292">
        <f t="shared" si="16"/>
        <v>397549.41682021279</v>
      </c>
      <c r="N54" s="292">
        <f t="shared" si="16"/>
        <v>403027.63627641136</v>
      </c>
      <c r="O54" s="292">
        <f t="shared" si="16"/>
        <v>410445.26909308607</v>
      </c>
      <c r="P54" s="292">
        <f t="shared" si="16"/>
        <v>417995.18156837294</v>
      </c>
      <c r="Q54" s="292">
        <f t="shared" si="16"/>
        <v>425679.61747050105</v>
      </c>
      <c r="R54" s="292">
        <f t="shared" si="16"/>
        <v>433500.85539744108</v>
      </c>
      <c r="S54" s="292">
        <f t="shared" si="16"/>
        <v>441461.20922235795</v>
      </c>
      <c r="T54" s="292">
        <f t="shared" si="16"/>
        <v>449563.0285416976</v>
      </c>
      <c r="U54" s="292">
        <f t="shared" si="16"/>
        <v>457808.69912579586</v>
      </c>
      <c r="V54" s="292">
        <f t="shared" si="16"/>
        <v>466200.64337190817</v>
      </c>
      <c r="W54" s="292">
        <f t="shared" si="16"/>
        <v>474741.32075953262</v>
      </c>
      <c r="X54" s="292">
        <f t="shared" si="16"/>
        <v>483433.22830791393</v>
      </c>
      <c r="Y54" s="292">
        <f t="shared" si="16"/>
        <v>492278.9010355926</v>
      </c>
    </row>
    <row r="55" spans="1:25" ht="6.95" customHeight="1">
      <c r="C55" s="17"/>
      <c r="D55" s="17"/>
      <c r="E55" s="6"/>
      <c r="F55" s="6"/>
      <c r="G55" s="6"/>
      <c r="H55" s="6"/>
      <c r="I55" s="6"/>
      <c r="J55" s="6"/>
      <c r="K55" s="6"/>
      <c r="L55" s="6"/>
      <c r="M55" s="6"/>
      <c r="N55" s="6"/>
      <c r="O55" s="6"/>
      <c r="P55" s="6"/>
      <c r="Q55" s="6"/>
      <c r="R55" s="6"/>
      <c r="S55" s="6"/>
      <c r="T55" s="6"/>
      <c r="U55" s="6"/>
      <c r="V55" s="6"/>
      <c r="W55" s="6"/>
      <c r="X55" s="6"/>
      <c r="Y55" s="6"/>
    </row>
    <row r="56" spans="1:25" ht="13.5" customHeight="1">
      <c r="C56" s="23" t="s">
        <v>364</v>
      </c>
      <c r="D56" s="17"/>
      <c r="E56" s="291">
        <f t="shared" ref="E56:Y56" si="17">E52-E54</f>
        <v>174431.36160000006</v>
      </c>
      <c r="F56" s="291">
        <f t="shared" si="17"/>
        <v>176715.43683199998</v>
      </c>
      <c r="G56" s="291">
        <f t="shared" si="17"/>
        <v>243391.09794688004</v>
      </c>
      <c r="H56" s="291">
        <f t="shared" si="17"/>
        <v>246956.07646261761</v>
      </c>
      <c r="I56" s="291">
        <f t="shared" si="17"/>
        <v>250540.2408109419</v>
      </c>
      <c r="J56" s="291">
        <f t="shared" si="17"/>
        <v>254141.89015899569</v>
      </c>
      <c r="K56" s="291">
        <f t="shared" si="17"/>
        <v>257759.20627528394</v>
      </c>
      <c r="L56" s="291">
        <f t="shared" si="17"/>
        <v>261390.24784642219</v>
      </c>
      <c r="M56" s="291">
        <f t="shared" si="17"/>
        <v>265032.94454680855</v>
      </c>
      <c r="N56" s="291">
        <f t="shared" si="17"/>
        <v>268685.09085094091</v>
      </c>
      <c r="O56" s="291">
        <f t="shared" si="17"/>
        <v>273630.17939539073</v>
      </c>
      <c r="P56" s="291">
        <f t="shared" si="17"/>
        <v>278663.45437891531</v>
      </c>
      <c r="Q56" s="291">
        <f t="shared" si="17"/>
        <v>283786.41164700076</v>
      </c>
      <c r="R56" s="291">
        <f t="shared" si="17"/>
        <v>289000.57026496076</v>
      </c>
      <c r="S56" s="291">
        <f t="shared" si="17"/>
        <v>294307.47281490534</v>
      </c>
      <c r="T56" s="291">
        <f t="shared" si="17"/>
        <v>299708.68569446512</v>
      </c>
      <c r="U56" s="291">
        <f t="shared" si="17"/>
        <v>305205.79941719724</v>
      </c>
      <c r="V56" s="291">
        <f t="shared" si="17"/>
        <v>310800.42891460547</v>
      </c>
      <c r="W56" s="291">
        <f t="shared" si="17"/>
        <v>316494.21383968845</v>
      </c>
      <c r="X56" s="291">
        <f t="shared" si="17"/>
        <v>322288.81887194264</v>
      </c>
      <c r="Y56" s="291">
        <f t="shared" si="17"/>
        <v>328185.93402372842</v>
      </c>
    </row>
    <row r="57" spans="1: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1:25" ht="6.95" customHeight="1"/>
    <row r="59" spans="1: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1:25" ht="13.5" customHeight="1">
      <c r="C60" s="5" t="s">
        <v>366</v>
      </c>
      <c r="E60" s="288" t="str">
        <f t="shared" ref="E60:Y60" si="18">IF($E$2="No Refi","",IF(E$12=$E$2,"REFI YR.",""))</f>
        <v/>
      </c>
      <c r="F60" s="288" t="str">
        <f t="shared" si="18"/>
        <v/>
      </c>
      <c r="G60" s="289" t="str">
        <f t="shared" si="18"/>
        <v/>
      </c>
      <c r="H60" s="288" t="str">
        <f t="shared" si="18"/>
        <v/>
      </c>
      <c r="I60" s="288" t="str">
        <f t="shared" si="18"/>
        <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1:25" s="20" customFormat="1" ht="13.5" customHeight="1">
      <c r="A61" s="3"/>
      <c r="B61" s="3"/>
      <c r="C61" s="3" t="s">
        <v>367</v>
      </c>
      <c r="D61" s="3"/>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1:25" s="20" customFormat="1" ht="13.5" customHeight="1">
      <c r="C62" s="140" t="s">
        <v>368</v>
      </c>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1:25" s="20" customFormat="1" ht="13.5" customHeight="1">
      <c r="C63" s="21" t="s">
        <v>543</v>
      </c>
      <c r="E63" s="285">
        <f t="shared" ref="E63:Y63" si="19">SUM(E61:E62)</f>
        <v>0</v>
      </c>
      <c r="F63" s="285">
        <f t="shared" si="19"/>
        <v>0</v>
      </c>
      <c r="G63" s="285">
        <f t="shared" si="19"/>
        <v>0</v>
      </c>
      <c r="H63" s="285">
        <f t="shared" si="19"/>
        <v>0</v>
      </c>
      <c r="I63" s="285">
        <f t="shared" si="19"/>
        <v>0</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1:25" s="20" customFormat="1" ht="12.75" customHeight="1">
      <c r="C64" s="22" t="s">
        <v>370</v>
      </c>
      <c r="E64" s="296">
        <f>INDEX('02_Debt Engine'!$F$74:$Z$90,MATCH($C$1,'02_Debt Engine'!$B$74:$B$90,0),MATCH(E$12,'02_Debt Engine'!$F$73:$Z$73,0))</f>
        <v>0</v>
      </c>
      <c r="F64" s="296">
        <f>INDEX('02_Debt Engine'!$F$74:$Z$90,MATCH($C$1,'02_Debt Engine'!$B$74:$B$90,0),MATCH(F$12,'02_Debt Engine'!$F$73:$Z$73,0))</f>
        <v>0</v>
      </c>
      <c r="G64" s="296">
        <f>INDEX('02_Debt Engine'!$F$74:$Z$90,MATCH($C$1,'02_Debt Engine'!$B$74:$B$90,0),MATCH(G$12,'02_Debt Engine'!$F$73:$Z$73,0))</f>
        <v>0</v>
      </c>
      <c r="H64" s="296">
        <f>INDEX('02_Debt Engine'!$F$74:$Z$90,MATCH($C$1,'02_Debt Engine'!$B$74:$B$90,0),MATCH(H$12,'02_Debt Engine'!$F$73:$Z$73,0))</f>
        <v>0</v>
      </c>
      <c r="I64" s="296">
        <f>INDEX('02_Debt Engine'!$F$74:$Z$90,MATCH($C$1,'02_Debt Engine'!$B$74:$B$90,0),MATCH(I$12,'02_Debt Engine'!$F$73:$Z$73,0))</f>
        <v>0</v>
      </c>
      <c r="J64" s="296">
        <f>INDEX('02_Debt Engine'!$F$74:$Z$90,MATCH($C$1,'02_Debt Engine'!$B$74:$B$90,0),MATCH(J$12,'02_Debt Engine'!$F$73:$Z$73,0))</f>
        <v>0</v>
      </c>
      <c r="K64" s="296">
        <f>INDEX('02_Debt Engine'!$F$74:$Z$90,MATCH($C$1,'02_Debt Engine'!$B$74:$B$90,0),MATCH(K$12,'02_Debt Engine'!$F$73:$Z$73,0))</f>
        <v>0</v>
      </c>
      <c r="L64" s="296">
        <f>INDEX('02_Debt Engine'!$F$74:$Z$90,MATCH($C$1,'02_Debt Engine'!$B$74:$B$90,0),MATCH(L$12,'02_Debt Engine'!$F$73:$Z$73,0))</f>
        <v>0</v>
      </c>
      <c r="M64" s="296">
        <f>INDEX('02_Debt Engine'!$F$74:$Z$90,MATCH($C$1,'02_Debt Engine'!$B$74:$B$90,0),MATCH(M$12,'02_Debt Engine'!$F$73:$Z$73,0))</f>
        <v>0</v>
      </c>
      <c r="N64" s="296">
        <f>INDEX('02_Debt Engine'!$F$74:$Z$90,MATCH($C$1,'02_Debt Engine'!$B$74:$B$90,0),MATCH(N$12,'02_Debt Engine'!$F$73:$Z$73,0))</f>
        <v>0</v>
      </c>
      <c r="O64" s="296">
        <f>INDEX('02_Debt Engine'!$F$74:$Z$90,MATCH($C$1,'02_Debt Engine'!$B$74:$B$90,0),MATCH(O$12,'02_Debt Engine'!$F$73:$Z$73,0))</f>
        <v>0</v>
      </c>
      <c r="P64" s="296">
        <f>INDEX('02_Debt Engine'!$F$74:$Z$90,MATCH($C$1,'02_Debt Engine'!$B$74:$B$90,0),MATCH(P$12,'02_Debt Engine'!$F$73:$Z$73,0))</f>
        <v>0</v>
      </c>
      <c r="Q64" s="296">
        <f>INDEX('02_Debt Engine'!$F$74:$Z$90,MATCH($C$1,'02_Debt Engine'!$B$74:$B$90,0),MATCH(Q$12,'02_Debt Engine'!$F$73:$Z$73,0))</f>
        <v>0</v>
      </c>
      <c r="R64" s="296">
        <f>INDEX('02_Debt Engine'!$F$74:$Z$90,MATCH($C$1,'02_Debt Engine'!$B$74:$B$90,0),MATCH(R$12,'02_Debt Engine'!$F$73:$Z$73,0))</f>
        <v>0</v>
      </c>
      <c r="S64" s="296">
        <f>INDEX('02_Debt Engine'!$F$74:$Z$90,MATCH($C$1,'02_Debt Engine'!$B$74:$B$90,0),MATCH(S$12,'02_Debt Engine'!$F$73:$Z$73,0))</f>
        <v>0</v>
      </c>
      <c r="T64" s="296">
        <f>INDEX('02_Debt Engine'!$F$74:$Z$90,MATCH($C$1,'02_Debt Engine'!$B$74:$B$90,0),MATCH(T$12,'02_Debt Engine'!$F$73:$Z$73,0))</f>
        <v>0</v>
      </c>
      <c r="U64" s="296">
        <f>INDEX('02_Debt Engine'!$F$74:$Z$90,MATCH($C$1,'02_Debt Engine'!$B$74:$B$90,0),MATCH(U$12,'02_Debt Engine'!$F$73:$Z$73,0))</f>
        <v>0</v>
      </c>
      <c r="V64" s="296">
        <f>INDEX('02_Debt Engine'!$F$74:$Z$90,MATCH($C$1,'02_Debt Engine'!$B$74:$B$90,0),MATCH(V$12,'02_Debt Engine'!$F$73:$Z$73,0))</f>
        <v>0</v>
      </c>
      <c r="W64" s="296">
        <f>INDEX('02_Debt Engine'!$F$74:$Z$90,MATCH($C$1,'02_Debt Engine'!$B$74:$B$90,0),MATCH(W$12,'02_Debt Engine'!$F$73:$Z$73,0))</f>
        <v>0</v>
      </c>
      <c r="X64" s="296">
        <f>INDEX('02_Debt Engine'!$F$74:$Z$90,MATCH($C$1,'02_Debt Engine'!$B$74:$B$90,0),MATCH(X$12,'02_Debt Engine'!$F$73:$Z$73,0))</f>
        <v>0</v>
      </c>
      <c r="Y64" s="296">
        <f>INDEX('02_Debt Engine'!$F$74:$Z$90,MATCH($C$1,'02_Debt Engine'!$B$74:$B$90,0),MATCH(Y$12,'02_Debt Engine'!$F$73:$Z$73,0))</f>
        <v>0</v>
      </c>
    </row>
    <row r="65" spans="3:25" s="20" customFormat="1" ht="6.95" customHeight="1">
      <c r="C65" s="22"/>
      <c r="E65" s="6"/>
      <c r="F65" s="6"/>
      <c r="G65" s="6"/>
      <c r="H65" s="6"/>
      <c r="I65" s="6"/>
      <c r="J65" s="6"/>
      <c r="K65" s="6"/>
      <c r="L65" s="6"/>
      <c r="M65" s="6"/>
      <c r="N65" s="6"/>
      <c r="O65" s="6"/>
      <c r="P65" s="6"/>
      <c r="Q65" s="6"/>
      <c r="R65" s="6"/>
      <c r="S65" s="6"/>
      <c r="T65" s="6"/>
      <c r="U65" s="6"/>
      <c r="V65" s="6"/>
      <c r="W65" s="6"/>
      <c r="X65" s="6"/>
      <c r="Y65" s="6"/>
    </row>
    <row r="66" spans="3:25" s="20" customFormat="1" ht="12.75" customHeight="1">
      <c r="C66" s="5" t="s">
        <v>365</v>
      </c>
      <c r="D66" s="3"/>
      <c r="E66" s="288" t="str">
        <f t="shared" ref="E66:Y66" si="20">IF($E$2="No Refi","",IF(E$12=$E$2,"REFI YR.",""))</f>
        <v/>
      </c>
      <c r="F66" s="288" t="str">
        <f t="shared" si="20"/>
        <v/>
      </c>
      <c r="G66" s="289" t="str">
        <f t="shared" si="20"/>
        <v/>
      </c>
      <c r="H66" s="288" t="str">
        <f t="shared" si="20"/>
        <v/>
      </c>
      <c r="I66" s="288" t="str">
        <f t="shared" si="20"/>
        <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s="20" customFormat="1" ht="13.5" customHeight="1">
      <c r="C67" s="21" t="s">
        <v>371</v>
      </c>
      <c r="E67" s="285">
        <f t="shared" ref="E67:Y67" si="21">E56</f>
        <v>174431.36160000006</v>
      </c>
      <c r="F67" s="285">
        <f t="shared" si="21"/>
        <v>176715.43683199998</v>
      </c>
      <c r="G67" s="285">
        <f t="shared" si="21"/>
        <v>243391.09794688004</v>
      </c>
      <c r="H67" s="285">
        <f t="shared" si="21"/>
        <v>246956.07646261761</v>
      </c>
      <c r="I67" s="285">
        <f t="shared" si="21"/>
        <v>250540.2408109419</v>
      </c>
      <c r="J67" s="285">
        <f t="shared" si="21"/>
        <v>254141.89015899569</v>
      </c>
      <c r="K67" s="285">
        <f t="shared" si="21"/>
        <v>257759.20627528394</v>
      </c>
      <c r="L67" s="285">
        <f t="shared" si="21"/>
        <v>261390.24784642219</v>
      </c>
      <c r="M67" s="285">
        <f t="shared" si="21"/>
        <v>265032.94454680855</v>
      </c>
      <c r="N67" s="285">
        <f t="shared" si="21"/>
        <v>268685.09085094091</v>
      </c>
      <c r="O67" s="285">
        <f t="shared" si="21"/>
        <v>273630.17939539073</v>
      </c>
      <c r="P67" s="285">
        <f t="shared" si="21"/>
        <v>278663.45437891531</v>
      </c>
      <c r="Q67" s="285">
        <f t="shared" si="21"/>
        <v>283786.41164700076</v>
      </c>
      <c r="R67" s="285">
        <f t="shared" si="21"/>
        <v>289000.57026496076</v>
      </c>
      <c r="S67" s="285">
        <f t="shared" si="21"/>
        <v>294307.47281490534</v>
      </c>
      <c r="T67" s="285">
        <f t="shared" si="21"/>
        <v>299708.68569446512</v>
      </c>
      <c r="U67" s="285">
        <f t="shared" si="21"/>
        <v>305205.79941719724</v>
      </c>
      <c r="V67" s="285">
        <f t="shared" si="21"/>
        <v>310800.42891460547</v>
      </c>
      <c r="W67" s="285">
        <f t="shared" si="21"/>
        <v>316494.21383968845</v>
      </c>
      <c r="X67" s="285">
        <f t="shared" si="21"/>
        <v>322288.81887194264</v>
      </c>
      <c r="Y67" s="285">
        <f t="shared" si="21"/>
        <v>328185.93402372842</v>
      </c>
    </row>
    <row r="68" spans="3:25" s="20" customFormat="1" ht="13.5" customHeight="1">
      <c r="C68" s="26" t="s">
        <v>544</v>
      </c>
      <c r="E68" s="287">
        <f t="shared" ref="E68:Y68" si="22">E67+E$63</f>
        <v>174431.36160000006</v>
      </c>
      <c r="F68" s="287">
        <f t="shared" si="22"/>
        <v>176715.43683199998</v>
      </c>
      <c r="G68" s="287">
        <f t="shared" si="22"/>
        <v>243391.09794688004</v>
      </c>
      <c r="H68" s="287">
        <f t="shared" si="22"/>
        <v>246956.07646261761</v>
      </c>
      <c r="I68" s="287">
        <f t="shared" si="22"/>
        <v>250540.2408109419</v>
      </c>
      <c r="J68" s="287">
        <f t="shared" si="22"/>
        <v>254141.89015899569</v>
      </c>
      <c r="K68" s="287">
        <f t="shared" si="22"/>
        <v>257759.20627528394</v>
      </c>
      <c r="L68" s="287">
        <f t="shared" si="22"/>
        <v>261390.24784642219</v>
      </c>
      <c r="M68" s="287">
        <f t="shared" si="22"/>
        <v>265032.94454680855</v>
      </c>
      <c r="N68" s="287">
        <f t="shared" si="22"/>
        <v>268685.09085094091</v>
      </c>
      <c r="O68" s="287">
        <f t="shared" si="22"/>
        <v>273630.17939539073</v>
      </c>
      <c r="P68" s="287">
        <f t="shared" si="22"/>
        <v>278663.45437891531</v>
      </c>
      <c r="Q68" s="287">
        <f t="shared" si="22"/>
        <v>283786.41164700076</v>
      </c>
      <c r="R68" s="287">
        <f t="shared" si="22"/>
        <v>289000.57026496076</v>
      </c>
      <c r="S68" s="287">
        <f t="shared" si="22"/>
        <v>294307.47281490534</v>
      </c>
      <c r="T68" s="287">
        <f t="shared" si="22"/>
        <v>299708.68569446512</v>
      </c>
      <c r="U68" s="287">
        <f t="shared" si="22"/>
        <v>305205.79941719724</v>
      </c>
      <c r="V68" s="287">
        <f t="shared" si="22"/>
        <v>310800.42891460547</v>
      </c>
      <c r="W68" s="287">
        <f t="shared" si="22"/>
        <v>316494.21383968845</v>
      </c>
      <c r="X68" s="287">
        <f t="shared" si="22"/>
        <v>322288.81887194264</v>
      </c>
      <c r="Y68" s="287">
        <f t="shared" si="22"/>
        <v>328185.93402372842</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s="21" customFormat="1" ht="13.5" customHeight="1">
      <c r="C72" s="282" t="str">
        <f>"GROSS ASSET VALUE: Cap Rate = "&amp;$F$7</f>
        <v>GROSS ASSET VALUE: Cap Rate = 0.06</v>
      </c>
      <c r="D72" s="3"/>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s="21" customFormat="1" ht="13.5" customHeight="1">
      <c r="C73" s="21" t="s">
        <v>374</v>
      </c>
      <c r="E73" s="285">
        <f t="shared" ref="E73:Y73" si="24">E41/$F$7</f>
        <v>7267973.4000000022</v>
      </c>
      <c r="F73" s="285">
        <f t="shared" si="24"/>
        <v>7363143.2013333328</v>
      </c>
      <c r="G73" s="285">
        <f t="shared" si="24"/>
        <v>10141295.747786667</v>
      </c>
      <c r="H73" s="285">
        <f t="shared" si="24"/>
        <v>10289836.519275734</v>
      </c>
      <c r="I73" s="285">
        <f t="shared" si="24"/>
        <v>10439176.700455913</v>
      </c>
      <c r="J73" s="285">
        <f t="shared" si="24"/>
        <v>10589245.423291486</v>
      </c>
      <c r="K73" s="285">
        <f t="shared" si="24"/>
        <v>10739966.928136831</v>
      </c>
      <c r="L73" s="285">
        <f t="shared" si="24"/>
        <v>10891260.326934258</v>
      </c>
      <c r="M73" s="285">
        <f t="shared" si="24"/>
        <v>11043039.356117023</v>
      </c>
      <c r="N73" s="285">
        <f t="shared" si="24"/>
        <v>11195212.118789205</v>
      </c>
      <c r="O73" s="285">
        <f t="shared" si="24"/>
        <v>11401257.474807948</v>
      </c>
      <c r="P73" s="285">
        <f t="shared" si="24"/>
        <v>11610977.265788138</v>
      </c>
      <c r="Q73" s="285">
        <f t="shared" si="24"/>
        <v>11824433.818625031</v>
      </c>
      <c r="R73" s="285">
        <f t="shared" si="24"/>
        <v>12041690.427706698</v>
      </c>
      <c r="S73" s="285">
        <f t="shared" si="24"/>
        <v>12262811.367287721</v>
      </c>
      <c r="T73" s="285">
        <f t="shared" si="24"/>
        <v>12487861.903936045</v>
      </c>
      <c r="U73" s="285">
        <f t="shared" si="24"/>
        <v>12716908.309049886</v>
      </c>
      <c r="V73" s="285">
        <f t="shared" si="24"/>
        <v>12950017.871441895</v>
      </c>
      <c r="W73" s="285">
        <f t="shared" si="24"/>
        <v>13187258.909987019</v>
      </c>
      <c r="X73" s="285">
        <f t="shared" si="24"/>
        <v>13428700.786330944</v>
      </c>
      <c r="Y73" s="285">
        <f t="shared" si="24"/>
        <v>13674413.917655351</v>
      </c>
    </row>
    <row r="74" spans="3:25" s="21" customFormat="1" ht="6.95" customHeight="1"/>
    <row r="75" spans="3:25" s="21" customFormat="1" ht="13.5" customHeight="1">
      <c r="C75" s="5" t="s">
        <v>375</v>
      </c>
      <c r="E75" s="288" t="str">
        <f t="shared" ref="E75:Y75" si="25">IF($E$2="No Refi","",IF(E$12=$E$2,"REFI YR.",""))</f>
        <v/>
      </c>
      <c r="F75" s="288" t="str">
        <f t="shared" si="25"/>
        <v/>
      </c>
      <c r="G75" s="289" t="str">
        <f t="shared" si="25"/>
        <v/>
      </c>
      <c r="H75" s="288" t="str">
        <f t="shared" si="25"/>
        <v/>
      </c>
      <c r="I75" s="288" t="str">
        <f t="shared" si="25"/>
        <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s="21" customFormat="1" ht="13.5" customHeight="1">
      <c r="C76" s="21" t="s">
        <v>370</v>
      </c>
      <c r="E76" s="285">
        <f t="shared" ref="E76:Y76" si="26">E64</f>
        <v>0</v>
      </c>
      <c r="F76" s="285">
        <f t="shared" si="26"/>
        <v>0</v>
      </c>
      <c r="G76" s="285">
        <f t="shared" si="26"/>
        <v>0</v>
      </c>
      <c r="H76" s="285">
        <f t="shared" si="26"/>
        <v>0</v>
      </c>
      <c r="I76" s="285">
        <f t="shared" si="26"/>
        <v>0</v>
      </c>
      <c r="J76" s="285">
        <f t="shared" si="26"/>
        <v>0</v>
      </c>
      <c r="K76" s="285">
        <f t="shared" si="26"/>
        <v>0</v>
      </c>
      <c r="L76" s="285">
        <f t="shared" si="26"/>
        <v>0</v>
      </c>
      <c r="M76" s="285">
        <f t="shared" si="26"/>
        <v>0</v>
      </c>
      <c r="N76" s="285">
        <f t="shared" si="26"/>
        <v>0</v>
      </c>
      <c r="O76" s="285">
        <f t="shared" si="26"/>
        <v>0</v>
      </c>
      <c r="P76" s="285">
        <f t="shared" si="26"/>
        <v>0</v>
      </c>
      <c r="Q76" s="285">
        <f t="shared" si="26"/>
        <v>0</v>
      </c>
      <c r="R76" s="285">
        <f t="shared" si="26"/>
        <v>0</v>
      </c>
      <c r="S76" s="285">
        <f t="shared" si="26"/>
        <v>0</v>
      </c>
      <c r="T76" s="285">
        <f t="shared" si="26"/>
        <v>0</v>
      </c>
      <c r="U76" s="285">
        <f t="shared" si="26"/>
        <v>0</v>
      </c>
      <c r="V76" s="285">
        <f t="shared" si="26"/>
        <v>0</v>
      </c>
      <c r="W76" s="285">
        <f t="shared" si="26"/>
        <v>0</v>
      </c>
      <c r="X76" s="285">
        <f t="shared" si="26"/>
        <v>0</v>
      </c>
      <c r="Y76" s="285">
        <f t="shared" si="26"/>
        <v>0</v>
      </c>
    </row>
    <row r="77" spans="3:25" s="21" customFormat="1" ht="13.5" customHeight="1">
      <c r="C77" s="26" t="s">
        <v>376</v>
      </c>
      <c r="E77" s="287">
        <f t="shared" ref="E77:Y77" si="27">E73-E$76</f>
        <v>7267973.4000000022</v>
      </c>
      <c r="F77" s="287">
        <f t="shared" si="27"/>
        <v>7363143.2013333328</v>
      </c>
      <c r="G77" s="287">
        <f t="shared" si="27"/>
        <v>10141295.747786667</v>
      </c>
      <c r="H77" s="287">
        <f t="shared" si="27"/>
        <v>10289836.519275734</v>
      </c>
      <c r="I77" s="287">
        <f t="shared" si="27"/>
        <v>10439176.700455913</v>
      </c>
      <c r="J77" s="287">
        <f t="shared" si="27"/>
        <v>10589245.423291486</v>
      </c>
      <c r="K77" s="287">
        <f t="shared" si="27"/>
        <v>10739966.928136831</v>
      </c>
      <c r="L77" s="287">
        <f t="shared" si="27"/>
        <v>10891260.326934258</v>
      </c>
      <c r="M77" s="287">
        <f t="shared" si="27"/>
        <v>11043039.356117023</v>
      </c>
      <c r="N77" s="287">
        <f t="shared" si="27"/>
        <v>11195212.118789205</v>
      </c>
      <c r="O77" s="287">
        <f t="shared" si="27"/>
        <v>11401257.474807948</v>
      </c>
      <c r="P77" s="287">
        <f t="shared" si="27"/>
        <v>11610977.265788138</v>
      </c>
      <c r="Q77" s="287">
        <f t="shared" si="27"/>
        <v>11824433.818625031</v>
      </c>
      <c r="R77" s="287">
        <f t="shared" si="27"/>
        <v>12041690.427706698</v>
      </c>
      <c r="S77" s="287">
        <f t="shared" si="27"/>
        <v>12262811.367287721</v>
      </c>
      <c r="T77" s="287">
        <f t="shared" si="27"/>
        <v>12487861.903936045</v>
      </c>
      <c r="U77" s="287">
        <f t="shared" si="27"/>
        <v>12716908.309049886</v>
      </c>
      <c r="V77" s="287">
        <f t="shared" si="27"/>
        <v>12950017.871441895</v>
      </c>
      <c r="W77" s="287">
        <f t="shared" si="27"/>
        <v>13187258.909987019</v>
      </c>
      <c r="X77" s="287">
        <f t="shared" si="27"/>
        <v>13428700.786330944</v>
      </c>
      <c r="Y77" s="287">
        <f t="shared" si="27"/>
        <v>13674413.917655351</v>
      </c>
    </row>
    <row r="78" spans="3:25" s="20" customFormat="1" ht="6.95" customHeight="1">
      <c r="C78" s="16"/>
      <c r="E78" s="6"/>
      <c r="F78" s="6"/>
      <c r="G78" s="6"/>
      <c r="H78" s="6"/>
      <c r="I78" s="6"/>
      <c r="J78" s="6"/>
      <c r="K78" s="6"/>
      <c r="L78" s="6"/>
      <c r="M78" s="6"/>
      <c r="N78" s="6"/>
      <c r="O78" s="6"/>
      <c r="P78" s="6"/>
      <c r="Q78" s="6"/>
      <c r="R78" s="6"/>
      <c r="S78" s="6"/>
      <c r="T78" s="6"/>
      <c r="U78" s="6"/>
      <c r="V78" s="6"/>
      <c r="W78" s="6"/>
      <c r="X78" s="6"/>
      <c r="Y78" s="6"/>
    </row>
    <row r="79" spans="3:25" s="20" customFormat="1" ht="12.75" customHeight="1">
      <c r="C79" s="282" t="str">
        <f>"NOI YIELD: Stab. Yr. = "&amp;$F$2+1</f>
        <v>NOI YIELD: Stab. Yr. = 2026</v>
      </c>
      <c r="E79" s="289" t="str">
        <f t="shared" ref="E79:Y79" si="28">IF(E$72=$F$2+1,"STAB. YR.","")</f>
        <v/>
      </c>
      <c r="F79" s="289" t="str">
        <f t="shared" si="28"/>
        <v>STAB. YR.</v>
      </c>
      <c r="G79" s="289" t="str">
        <f t="shared" si="28"/>
        <v/>
      </c>
      <c r="H79" s="289" t="str">
        <f t="shared" si="28"/>
        <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s="20" customFormat="1" ht="12.75" customHeight="1">
      <c r="C80" s="16" t="s">
        <v>378</v>
      </c>
      <c r="D80" s="17"/>
      <c r="E80" s="296">
        <f t="shared" ref="E80:Y80" si="29">IF(E$72=$F$2+1,E73,0)</f>
        <v>0</v>
      </c>
      <c r="F80" s="296">
        <f t="shared" si="29"/>
        <v>7363143.2013333328</v>
      </c>
      <c r="G80" s="296">
        <f t="shared" si="29"/>
        <v>0</v>
      </c>
      <c r="H80" s="296">
        <f t="shared" si="29"/>
        <v>0</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3:25" s="20" customFormat="1" ht="13.5" customHeight="1">
      <c r="C81" s="149" t="s">
        <v>379</v>
      </c>
      <c r="D81" s="150"/>
      <c r="E81" s="344">
        <f t="shared" ref="E81:Y81" si="30">E$41/SUM($E$80:$Y$80)</f>
        <v>5.9224490421568077E-2</v>
      </c>
      <c r="F81" s="344">
        <f t="shared" si="30"/>
        <v>0.06</v>
      </c>
      <c r="G81" s="344">
        <f t="shared" si="30"/>
        <v>8.2638314674773089E-2</v>
      </c>
      <c r="H81" s="344">
        <f t="shared" si="30"/>
        <v>8.3848727951501167E-2</v>
      </c>
      <c r="I81" s="344">
        <f t="shared" si="30"/>
        <v>8.5065655373093102E-2</v>
      </c>
      <c r="J81" s="344">
        <f t="shared" si="30"/>
        <v>8.6288519457619381E-2</v>
      </c>
      <c r="K81" s="344">
        <f t="shared" si="30"/>
        <v>8.751670286291878E-2</v>
      </c>
      <c r="L81" s="344">
        <f t="shared" si="30"/>
        <v>8.8749546456970002E-2</v>
      </c>
      <c r="M81" s="344">
        <f t="shared" si="30"/>
        <v>8.9986347304373979E-2</v>
      </c>
      <c r="N81" s="344">
        <f t="shared" si="30"/>
        <v>9.1226356565456607E-2</v>
      </c>
      <c r="O81" s="344">
        <f t="shared" si="30"/>
        <v>9.2905357098664473E-2</v>
      </c>
      <c r="P81" s="344">
        <f t="shared" si="30"/>
        <v>9.4614299477583957E-2</v>
      </c>
      <c r="Q81" s="344">
        <f t="shared" si="30"/>
        <v>9.6353691585005466E-2</v>
      </c>
      <c r="R81" s="344">
        <f t="shared" si="30"/>
        <v>9.8124049187522225E-2</v>
      </c>
      <c r="S81" s="344">
        <f t="shared" si="30"/>
        <v>9.9925896036359693E-2</v>
      </c>
      <c r="T81" s="344">
        <f t="shared" si="30"/>
        <v>0.10175976396880114</v>
      </c>
      <c r="U81" s="344">
        <f t="shared" si="30"/>
        <v>0.10362619301018414</v>
      </c>
      <c r="V81" s="344">
        <f t="shared" si="30"/>
        <v>0.1055257314764451</v>
      </c>
      <c r="W81" s="344">
        <f t="shared" si="30"/>
        <v>0.10745893607718271</v>
      </c>
      <c r="X81" s="344">
        <f t="shared" si="30"/>
        <v>0.10942637201921522</v>
      </c>
      <c r="Y81" s="344">
        <f t="shared" si="30"/>
        <v>0.11142861311060059</v>
      </c>
    </row>
    <row r="82" spans="3:25" s="20" customFormat="1" ht="13.5" customHeight="1">
      <c r="C82" s="21" t="s">
        <v>380</v>
      </c>
      <c r="E82" s="285">
        <f t="shared" ref="E82:Y82" si="31">IF(E$72=$F$2+1,E77,0)</f>
        <v>0</v>
      </c>
      <c r="F82" s="285">
        <f t="shared" si="31"/>
        <v>7363143.2013333328</v>
      </c>
      <c r="G82" s="285">
        <f t="shared" si="31"/>
        <v>0</v>
      </c>
      <c r="H82" s="285">
        <f t="shared" si="31"/>
        <v>0</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3:25" s="20" customFormat="1" ht="12.75" customHeight="1">
      <c r="C83" s="27" t="s">
        <v>381</v>
      </c>
      <c r="D83" s="19"/>
      <c r="E83" s="299">
        <f t="shared" ref="E83:Y83" si="32">E$41/SUM($E$82:$Y$82)</f>
        <v>5.9224490421568077E-2</v>
      </c>
      <c r="F83" s="299">
        <f t="shared" si="32"/>
        <v>0.06</v>
      </c>
      <c r="G83" s="299">
        <f t="shared" si="32"/>
        <v>8.2638314674773089E-2</v>
      </c>
      <c r="H83" s="299">
        <f t="shared" si="32"/>
        <v>8.3848727951501167E-2</v>
      </c>
      <c r="I83" s="299">
        <f t="shared" si="32"/>
        <v>8.5065655373093102E-2</v>
      </c>
      <c r="J83" s="299">
        <f t="shared" si="32"/>
        <v>8.6288519457619381E-2</v>
      </c>
      <c r="K83" s="299">
        <f t="shared" si="32"/>
        <v>8.751670286291878E-2</v>
      </c>
      <c r="L83" s="299">
        <f t="shared" si="32"/>
        <v>8.8749546456970002E-2</v>
      </c>
      <c r="M83" s="299">
        <f t="shared" si="32"/>
        <v>8.9986347304373979E-2</v>
      </c>
      <c r="N83" s="299">
        <f t="shared" si="32"/>
        <v>9.1226356565456607E-2</v>
      </c>
      <c r="O83" s="299">
        <f t="shared" si="32"/>
        <v>9.2905357098664473E-2</v>
      </c>
      <c r="P83" s="299">
        <f t="shared" si="32"/>
        <v>9.4614299477583957E-2</v>
      </c>
      <c r="Q83" s="299">
        <f t="shared" si="32"/>
        <v>9.6353691585005466E-2</v>
      </c>
      <c r="R83" s="299">
        <f t="shared" si="32"/>
        <v>9.8124049187522225E-2</v>
      </c>
      <c r="S83" s="299">
        <f t="shared" si="32"/>
        <v>9.9925896036359693E-2</v>
      </c>
      <c r="T83" s="299">
        <f t="shared" si="32"/>
        <v>0.10175976396880114</v>
      </c>
      <c r="U83" s="299">
        <f t="shared" si="32"/>
        <v>0.10362619301018414</v>
      </c>
      <c r="V83" s="299">
        <f t="shared" si="32"/>
        <v>0.1055257314764451</v>
      </c>
      <c r="W83" s="299">
        <f t="shared" si="32"/>
        <v>0.10745893607718271</v>
      </c>
      <c r="X83" s="299">
        <f t="shared" si="32"/>
        <v>0.10942637201921522</v>
      </c>
      <c r="Y83" s="299">
        <f t="shared" si="32"/>
        <v>0.11142861311060059</v>
      </c>
    </row>
    <row r="84" spans="3:25" s="20" customFormat="1" ht="6.95" customHeight="1">
      <c r="C84" s="16"/>
      <c r="E84" s="6"/>
      <c r="F84" s="6"/>
      <c r="G84" s="6"/>
      <c r="H84" s="6"/>
      <c r="I84" s="6"/>
      <c r="J84" s="6"/>
      <c r="K84" s="6"/>
      <c r="L84" s="6"/>
      <c r="M84" s="6"/>
      <c r="N84" s="6"/>
      <c r="O84" s="6"/>
      <c r="P84" s="6"/>
      <c r="Q84" s="6"/>
      <c r="R84" s="6"/>
      <c r="S84" s="6"/>
      <c r="T84" s="6"/>
      <c r="U84" s="6"/>
      <c r="V84" s="6"/>
      <c r="W84" s="6"/>
      <c r="X84" s="6"/>
      <c r="Y84" s="6"/>
    </row>
    <row r="85" spans="3:25" s="20" customFormat="1" ht="12.75" customHeight="1">
      <c r="C85" s="282" t="str">
        <f>"DISTRIBUTION YIELD: Stab. Yr. = "&amp;$F$2+1</f>
        <v>DISTRIBUTION YIELD: Stab. Yr. = 2026</v>
      </c>
      <c r="E85" s="289" t="str">
        <f t="shared" ref="E85:Y85" si="33">IF(E$72=$F$2+1,"STAB. YR.","")</f>
        <v/>
      </c>
      <c r="F85" s="289" t="str">
        <f t="shared" si="33"/>
        <v>STAB. YR.</v>
      </c>
      <c r="G85" s="289" t="str">
        <f t="shared" si="33"/>
        <v/>
      </c>
      <c r="H85" s="289" t="str">
        <f t="shared" si="33"/>
        <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3:25" s="20" customFormat="1" ht="12.75" customHeight="1">
      <c r="C86" s="27" t="s">
        <v>382</v>
      </c>
      <c r="D86" s="19"/>
      <c r="E86" s="299">
        <f t="shared" ref="E86:Y86" si="34">E$54/SUM($E$82:$Y$82)</f>
        <v>3.5534694252940847E-2</v>
      </c>
      <c r="F86" s="299">
        <f t="shared" si="34"/>
        <v>3.6000000000000004E-2</v>
      </c>
      <c r="G86" s="299">
        <f t="shared" si="34"/>
        <v>4.9582988804863851E-2</v>
      </c>
      <c r="H86" s="299">
        <f t="shared" si="34"/>
        <v>5.0309236770900705E-2</v>
      </c>
      <c r="I86" s="299">
        <f t="shared" si="34"/>
        <v>5.103939322385586E-2</v>
      </c>
      <c r="J86" s="299">
        <f t="shared" si="34"/>
        <v>5.1773111674571624E-2</v>
      </c>
      <c r="K86" s="299">
        <f t="shared" si="34"/>
        <v>5.2510021717751258E-2</v>
      </c>
      <c r="L86" s="299">
        <f t="shared" si="34"/>
        <v>5.3249727874181994E-2</v>
      </c>
      <c r="M86" s="299">
        <f t="shared" si="34"/>
        <v>5.3991808382624386E-2</v>
      </c>
      <c r="N86" s="299">
        <f t="shared" si="34"/>
        <v>5.4735813939273965E-2</v>
      </c>
      <c r="O86" s="299">
        <f t="shared" si="34"/>
        <v>5.5743214259198683E-2</v>
      </c>
      <c r="P86" s="299">
        <f t="shared" si="34"/>
        <v>5.6768579686550379E-2</v>
      </c>
      <c r="Q86" s="299">
        <f t="shared" si="34"/>
        <v>5.7812214951003277E-2</v>
      </c>
      <c r="R86" s="299">
        <f t="shared" si="34"/>
        <v>5.8874429512513336E-2</v>
      </c>
      <c r="S86" s="299">
        <f t="shared" si="34"/>
        <v>5.995553762181581E-2</v>
      </c>
      <c r="T86" s="299">
        <f t="shared" si="34"/>
        <v>6.1055858381280678E-2</v>
      </c>
      <c r="U86" s="299">
        <f t="shared" si="34"/>
        <v>6.2175715806110483E-2</v>
      </c>
      <c r="V86" s="299">
        <f t="shared" si="34"/>
        <v>6.3315438885867062E-2</v>
      </c>
      <c r="W86" s="299">
        <f t="shared" si="34"/>
        <v>6.4475361646309626E-2</v>
      </c>
      <c r="X86" s="299">
        <f t="shared" si="34"/>
        <v>6.565582321152913E-2</v>
      </c>
      <c r="Y86" s="299">
        <f t="shared" si="34"/>
        <v>6.6857167866360354E-2</v>
      </c>
    </row>
  </sheetData>
  <mergeCells count="7">
    <mergeCell ref="C71:Y71"/>
    <mergeCell ref="J1:O1"/>
    <mergeCell ref="M4:O4"/>
    <mergeCell ref="M3:O3"/>
    <mergeCell ref="C59:Y59"/>
    <mergeCell ref="C11:Y11"/>
    <mergeCell ref="M2:O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E1987-1946-471F-AA78-CF74F47FCC82}">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311</v>
      </c>
      <c r="E1" s="275" t="str">
        <f>INDEX('01_Property Summary'!$E$5:$E$21,MATCH($C$1,'01_Property Summary'!$C$5:$C$21,0))</f>
        <v>Vancouver</v>
      </c>
      <c r="F1" s="332" t="s">
        <v>536</v>
      </c>
      <c r="G1" s="333" t="s">
        <v>102</v>
      </c>
      <c r="J1" s="450" t="s">
        <v>308</v>
      </c>
      <c r="K1" s="424"/>
      <c r="L1" s="424"/>
      <c r="M1" s="424"/>
      <c r="N1" s="424"/>
      <c r="O1" s="424"/>
      <c r="P1" s="3"/>
      <c r="Q1" s="3"/>
      <c r="R1" s="3"/>
      <c r="S1" s="3"/>
      <c r="T1" s="3"/>
    </row>
    <row r="2" spans="3:25" ht="14.45" customHeight="1">
      <c r="C2" s="300" t="s">
        <v>537</v>
      </c>
      <c r="E2" s="334" t="str">
        <f>_xlfn.LET(_xlpm.refi,INDEX('02_Debt Engine'!$F$19:$F$35,MATCH($C$1,'02_Debt Engine'!$B$19:$B$35,0)),
_xlpm.refiyr,INDEX('02_Debt Engine'!$I$19:$I$35,MATCH($C$1,'02_Debt Engine'!$B$19:$B$35,0)),IF(_xlpm.refi="Yes",_xlpm.refiyr,"No Refi"))</f>
        <v>No Refi</v>
      </c>
      <c r="F2" s="334">
        <f>INDEX('01_Property Summary'!$F$5:$F$21,MATCH($C$1,'01_Property Summary'!$C$5:$C$21,0))</f>
        <v>2025</v>
      </c>
      <c r="G2" s="334">
        <f>INDEX('01_Property Summary'!$K$4:$K$21,MATCH($C$1,'01_Property Summary'!$C$4:$C$21,0))</f>
        <v>2028</v>
      </c>
      <c r="J2" s="278" t="str">
        <f>"Gate 1 — NOI ≥ 0 at stabilization ("&amp;$F$2+1&amp;"):"</f>
        <v>Gate 1 — NOI ≥ 0 at stabilization (2026):</v>
      </c>
      <c r="M2" s="451" t="str">
        <f>_xlfn.LET(_xlpm.stabnoi,INDEX($41:$41,MATCH(($F$2+1),$12:$12,0)),IF(_xlpm.stabnoi&gt;=0,"PASS — NOI $"&amp;TEXT(_xlpm.stabnoi,"#,##0"),"FAIL — NOI $"&amp;TEXT(_xlpm.stabnoi,"#,##0")))</f>
        <v>PASS — NOI $172,216</v>
      </c>
      <c r="N2" s="424"/>
      <c r="O2" s="424"/>
      <c r="S2" s="6"/>
    </row>
    <row r="3" spans="3:25" ht="14.45" customHeight="1">
      <c r="C3" s="300" t="s">
        <v>538</v>
      </c>
      <c r="E3" s="334">
        <f>INDEX('01_Property Summary'!$S$5:$S$21,MATCH($C$1,'01_Property Summary'!$C$5:$C$21,0))</f>
        <v>21</v>
      </c>
      <c r="F3" s="335">
        <f>'01_Assumptions'!$C$14</f>
        <v>0.1</v>
      </c>
      <c r="G3" s="335">
        <f>'01_Assumptions'!$C$15</f>
        <v>0.2</v>
      </c>
      <c r="J3" s="278" t="str">
        <f>"Gate 2 — DSCR ≥ 1.0× at stabilization ("&amp;$F$2+1&amp;"):"</f>
        <v>Gate 2 — DSCR ≥ 1.0× at stabilization (2026):</v>
      </c>
      <c r="M3" s="451" t="str">
        <f>_xlfn.LET(_xlpm.debt,INDEX($48:$48,MATCH(($F$2+1),$12:$12,0)),_xlpm.dscr,INDEX($50:$50,MATCH(($F$2+1),$12:$12,0)),
IF(_xlpm.debt=0,"PASS — no debt svc",IF(IFERROR(_xlpm.dscr,0)&gt;=1,"PASS — DSCR "&amp;TEXT(IFERROR(_xlpm.dscr,0),"0.00")&amp;"x","FAIL — DSCR "&amp;TEXT(IFERROR(_xlpm.dscr,0),"0.00")&amp;"x")))</f>
        <v>PASS — DSCR 3.17x</v>
      </c>
      <c r="N3" s="424"/>
      <c r="O3" s="424"/>
      <c r="S3" s="6"/>
    </row>
    <row r="4" spans="3:25" ht="14.45" customHeight="1">
      <c r="C4" s="300" t="s">
        <v>539</v>
      </c>
      <c r="E4" s="336">
        <f>INDEX('02_Rent Engine'!$H$5:$H$21,MATCH($C$1,'02_Rent Engine'!$B$5:$B$21,0))</f>
        <v>793.65079365079362</v>
      </c>
      <c r="F4" s="336">
        <f>INDEX('02_Rent Engine'!$J$5:$J$21,MATCH($C$1,'02_Rent Engine'!$B$5:$B$21,0))</f>
        <v>3654.25</v>
      </c>
      <c r="G4" s="336">
        <f>($F$3*$F$4)+((1-$F$3)*$E$4)</f>
        <v>1079.7107142857142</v>
      </c>
      <c r="J4" s="280" t="s">
        <v>309</v>
      </c>
      <c r="M4" s="451" t="str">
        <f>IF(AND($J$52&gt;0,$O$52&gt;0),"PASS — AFFO $"&amp;TEXT($J$52,"#,##0")&amp;" (2030) / $"&amp;TEXT($O$52,"#,##0")&amp;" (2035)","FAIL — AFFO $"&amp;TEXT($J$52,"#,##0")&amp;" (2030) / $"&amp;TEXT($O$52,"#,##0")&amp;" (2035)")</f>
        <v>PASS — AFFO $191,911 (2030) / $194,478 (2035)</v>
      </c>
      <c r="N4" s="424"/>
      <c r="O4" s="424"/>
      <c r="S4" s="6"/>
    </row>
    <row r="5" spans="3:25" ht="14.45" customHeight="1">
      <c r="C5" s="337" t="str">
        <f>"Rent Growth — (pre / post Op. Agrmt. Expiry: "&amp;$G$2&amp;")"</f>
        <v>Rent Growth — (pre / post Op. Agrmt. Expiry: 2028)</v>
      </c>
      <c r="E5" s="338">
        <f>'01_Assumptions'!$C$5</f>
        <v>0.02</v>
      </c>
      <c r="F5" s="338">
        <f>'01_Assumptions'!$C$6</f>
        <v>0.02</v>
      </c>
      <c r="G5" s="32"/>
      <c r="L5" s="6"/>
      <c r="M5" s="6"/>
      <c r="R5" s="6"/>
      <c r="S5" s="6"/>
    </row>
    <row r="6" spans="3:25" ht="13.9" customHeight="1">
      <c r="C6" s="337" t="str">
        <f>"OpEx Growth — (pre / post Op. Agrmt. Expiry: "&amp;$G$2&amp;")"</f>
        <v>OpEx Growth — (pre / post Op. Agrmt. Expiry: 2028)</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BCHMC/NPAT</v>
      </c>
      <c r="F8" s="336">
        <f>INDEX('01_Property Summary'!$Q$5:$Q$21,MATCH($C$1,'01_Property Summary'!$C$5:$C$21,0))</f>
        <v>54330.12</v>
      </c>
      <c r="G8" s="334">
        <f>INDEX('02_Debt Engine'!$I$19:$I$35,MATCH($C$1,'02_Debt Engine'!$B$19:$B$35,0))</f>
        <v>2035</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272087.09999999998</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277528.84199999995</v>
      </c>
      <c r="G13" s="283">
        <f t="shared" si="1"/>
        <v>283079.41883999994</v>
      </c>
      <c r="H13" s="283">
        <f t="shared" si="1"/>
        <v>365240.41443359997</v>
      </c>
      <c r="I13" s="283">
        <f t="shared" si="1"/>
        <v>372545.22272227204</v>
      </c>
      <c r="J13" s="283">
        <f t="shared" si="1"/>
        <v>379996.12717671751</v>
      </c>
      <c r="K13" s="283">
        <f t="shared" si="1"/>
        <v>387596.04972025182</v>
      </c>
      <c r="L13" s="283">
        <f t="shared" si="1"/>
        <v>395347.97071465687</v>
      </c>
      <c r="M13" s="283">
        <f t="shared" si="1"/>
        <v>403254.93012895004</v>
      </c>
      <c r="N13" s="283">
        <f t="shared" si="1"/>
        <v>411320.0287315289</v>
      </c>
      <c r="O13" s="283">
        <f t="shared" si="1"/>
        <v>419546.42930615961</v>
      </c>
      <c r="P13" s="283">
        <f t="shared" si="1"/>
        <v>427937.35789228283</v>
      </c>
      <c r="Q13" s="283">
        <f t="shared" si="1"/>
        <v>436496.10505012842</v>
      </c>
      <c r="R13" s="283">
        <f t="shared" si="1"/>
        <v>445226.0271511309</v>
      </c>
      <c r="S13" s="283">
        <f t="shared" si="1"/>
        <v>454130.54769415362</v>
      </c>
      <c r="T13" s="283">
        <f t="shared" si="1"/>
        <v>463213.15864803671</v>
      </c>
      <c r="U13" s="283">
        <f t="shared" si="1"/>
        <v>472477.42182099744</v>
      </c>
      <c r="V13" s="283">
        <f t="shared" si="1"/>
        <v>481926.97025741718</v>
      </c>
      <c r="W13" s="283">
        <f t="shared" si="1"/>
        <v>491565.50966256566</v>
      </c>
      <c r="X13" s="283">
        <f t="shared" si="1"/>
        <v>501396.81985581707</v>
      </c>
      <c r="Y13" s="283">
        <f t="shared" si="1"/>
        <v>511424.75625293335</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2500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2550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2601</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2653.02</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2706.0803999999998</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2760.2020080000002</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2815.40604816</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2871.7141691231996</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2929.148452505664</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2987.7314215557772</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3047.4860499868928</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3108.4357709866308</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3170.6044864063624</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3234.0165761344902</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3298.6969076571804</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3364.670845810324</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3431.9642627265293</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3500.6035479810603</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3570.615618940682</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3642.027931319496</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3714.8684899458849</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row>
    <row r="19" spans="3:25" ht="13.5" customHeight="1">
      <c r="C19" s="3" t="s">
        <v>336</v>
      </c>
      <c r="E19" s="285">
        <f t="shared" ref="E19:Y19" si="2">SUM(E14:E18)</f>
        <v>2500</v>
      </c>
      <c r="F19" s="285">
        <f t="shared" si="2"/>
        <v>2550</v>
      </c>
      <c r="G19" s="285">
        <f t="shared" si="2"/>
        <v>2601</v>
      </c>
      <c r="H19" s="285">
        <f t="shared" si="2"/>
        <v>2653.02</v>
      </c>
      <c r="I19" s="285">
        <f t="shared" si="2"/>
        <v>2706.0803999999998</v>
      </c>
      <c r="J19" s="285">
        <f t="shared" si="2"/>
        <v>2760.2020080000002</v>
      </c>
      <c r="K19" s="285">
        <f t="shared" si="2"/>
        <v>2815.40604816</v>
      </c>
      <c r="L19" s="285">
        <f t="shared" si="2"/>
        <v>2871.7141691231996</v>
      </c>
      <c r="M19" s="285">
        <f t="shared" si="2"/>
        <v>2929.148452505664</v>
      </c>
      <c r="N19" s="285">
        <f t="shared" si="2"/>
        <v>2987.7314215557772</v>
      </c>
      <c r="O19" s="285">
        <f t="shared" si="2"/>
        <v>3047.4860499868928</v>
      </c>
      <c r="P19" s="285">
        <f t="shared" si="2"/>
        <v>3108.4357709866308</v>
      </c>
      <c r="Q19" s="285">
        <f t="shared" si="2"/>
        <v>3170.6044864063624</v>
      </c>
      <c r="R19" s="285">
        <f t="shared" si="2"/>
        <v>3234.0165761344902</v>
      </c>
      <c r="S19" s="285">
        <f t="shared" si="2"/>
        <v>3298.6969076571804</v>
      </c>
      <c r="T19" s="285">
        <f t="shared" si="2"/>
        <v>3364.670845810324</v>
      </c>
      <c r="U19" s="285">
        <f t="shared" si="2"/>
        <v>3431.9642627265293</v>
      </c>
      <c r="V19" s="285">
        <f t="shared" si="2"/>
        <v>3500.6035479810603</v>
      </c>
      <c r="W19" s="285">
        <f t="shared" si="2"/>
        <v>3570.615618940682</v>
      </c>
      <c r="X19" s="285">
        <f t="shared" si="2"/>
        <v>3642.027931319496</v>
      </c>
      <c r="Y19" s="285">
        <f t="shared" si="2"/>
        <v>3714.8684899458849</v>
      </c>
    </row>
    <row r="20" spans="3:25" ht="13.5" customHeight="1">
      <c r="C20" s="10" t="s">
        <v>337</v>
      </c>
      <c r="E20" s="283">
        <f t="shared" ref="E20:Y20" si="3">E13+E19</f>
        <v>274587.09999999998</v>
      </c>
      <c r="F20" s="283">
        <f t="shared" si="3"/>
        <v>280078.84199999995</v>
      </c>
      <c r="G20" s="283">
        <f t="shared" si="3"/>
        <v>285680.41883999994</v>
      </c>
      <c r="H20" s="283">
        <f t="shared" si="3"/>
        <v>367893.43443359999</v>
      </c>
      <c r="I20" s="283">
        <f t="shared" si="3"/>
        <v>375251.30312227202</v>
      </c>
      <c r="J20" s="283">
        <f t="shared" si="3"/>
        <v>382756.3291847175</v>
      </c>
      <c r="K20" s="283">
        <f t="shared" si="3"/>
        <v>390411.4557684118</v>
      </c>
      <c r="L20" s="283">
        <f t="shared" si="3"/>
        <v>398219.68488378008</v>
      </c>
      <c r="M20" s="283">
        <f t="shared" si="3"/>
        <v>406184.07858145569</v>
      </c>
      <c r="N20" s="283">
        <f t="shared" si="3"/>
        <v>414307.7601530847</v>
      </c>
      <c r="O20" s="283">
        <f t="shared" si="3"/>
        <v>422593.91535614652</v>
      </c>
      <c r="P20" s="283">
        <f t="shared" si="3"/>
        <v>431045.79366326949</v>
      </c>
      <c r="Q20" s="283">
        <f t="shared" si="3"/>
        <v>439666.70953653479</v>
      </c>
      <c r="R20" s="283">
        <f t="shared" si="3"/>
        <v>448460.04372726538</v>
      </c>
      <c r="S20" s="283">
        <f t="shared" si="3"/>
        <v>457429.24460181082</v>
      </c>
      <c r="T20" s="283">
        <f t="shared" si="3"/>
        <v>466577.82949384704</v>
      </c>
      <c r="U20" s="283">
        <f t="shared" si="3"/>
        <v>475909.38608372398</v>
      </c>
      <c r="V20" s="283">
        <f t="shared" si="3"/>
        <v>485427.57380539825</v>
      </c>
      <c r="W20" s="283">
        <f t="shared" si="3"/>
        <v>495136.12528150633</v>
      </c>
      <c r="X20" s="283">
        <f t="shared" si="3"/>
        <v>505038.84778713656</v>
      </c>
      <c r="Y20" s="283">
        <f t="shared" si="3"/>
        <v>515139.62474287924</v>
      </c>
    </row>
    <row r="21" spans="3:25" ht="13.5" customHeight="1">
      <c r="C21" s="11" t="s">
        <v>338</v>
      </c>
      <c r="E21" s="284">
        <f t="shared" ref="E21:Y21" si="4">-E20*$E$7</f>
        <v>-5491.7419999999993</v>
      </c>
      <c r="F21" s="284">
        <f t="shared" si="4"/>
        <v>-5601.5768399999988</v>
      </c>
      <c r="G21" s="284">
        <f t="shared" si="4"/>
        <v>-5713.608376799999</v>
      </c>
      <c r="H21" s="284">
        <f t="shared" si="4"/>
        <v>-7357.8686886719997</v>
      </c>
      <c r="I21" s="284">
        <f t="shared" si="4"/>
        <v>-7505.0260624454404</v>
      </c>
      <c r="J21" s="284">
        <f t="shared" si="4"/>
        <v>-7655.1265836943503</v>
      </c>
      <c r="K21" s="284">
        <f t="shared" si="4"/>
        <v>-7808.2291153682363</v>
      </c>
      <c r="L21" s="284">
        <f t="shared" si="4"/>
        <v>-7964.3936976756022</v>
      </c>
      <c r="M21" s="284">
        <f t="shared" si="4"/>
        <v>-8123.6815716291139</v>
      </c>
      <c r="N21" s="284">
        <f t="shared" si="4"/>
        <v>-8286.1552030616949</v>
      </c>
      <c r="O21" s="284">
        <f t="shared" si="4"/>
        <v>-8451.87830712293</v>
      </c>
      <c r="P21" s="284">
        <f t="shared" si="4"/>
        <v>-8620.9158732653905</v>
      </c>
      <c r="Q21" s="284">
        <f t="shared" si="4"/>
        <v>-8793.3341907306967</v>
      </c>
      <c r="R21" s="284">
        <f t="shared" si="4"/>
        <v>-8969.2008745453077</v>
      </c>
      <c r="S21" s="284">
        <f t="shared" si="4"/>
        <v>-9148.5848920362168</v>
      </c>
      <c r="T21" s="284">
        <f t="shared" si="4"/>
        <v>-9331.5565898769401</v>
      </c>
      <c r="U21" s="284">
        <f t="shared" si="4"/>
        <v>-9518.1877216744797</v>
      </c>
      <c r="V21" s="284">
        <f t="shared" si="4"/>
        <v>-9708.5514761079648</v>
      </c>
      <c r="W21" s="284">
        <f t="shared" si="4"/>
        <v>-9902.7225056301268</v>
      </c>
      <c r="X21" s="284">
        <f t="shared" si="4"/>
        <v>-10100.776955742731</v>
      </c>
      <c r="Y21" s="284">
        <f t="shared" si="4"/>
        <v>-10302.792494857586</v>
      </c>
    </row>
    <row r="22" spans="3:25" ht="13.5" customHeight="1">
      <c r="C22" s="3" t="s">
        <v>339</v>
      </c>
      <c r="E22" s="285">
        <f t="shared" ref="E22:Y22" si="5">E20+E21</f>
        <v>269095.35799999995</v>
      </c>
      <c r="F22" s="285">
        <f t="shared" si="5"/>
        <v>274477.26515999995</v>
      </c>
      <c r="G22" s="285">
        <f t="shared" si="5"/>
        <v>279966.81046319992</v>
      </c>
      <c r="H22" s="285">
        <f t="shared" si="5"/>
        <v>360535.56574492797</v>
      </c>
      <c r="I22" s="285">
        <f t="shared" si="5"/>
        <v>367746.27705982659</v>
      </c>
      <c r="J22" s="285">
        <f t="shared" si="5"/>
        <v>375101.20260102313</v>
      </c>
      <c r="K22" s="285">
        <f t="shared" si="5"/>
        <v>382603.22665304359</v>
      </c>
      <c r="L22" s="285">
        <f t="shared" si="5"/>
        <v>390255.29118610447</v>
      </c>
      <c r="M22" s="285">
        <f t="shared" si="5"/>
        <v>398060.39700982656</v>
      </c>
      <c r="N22" s="285">
        <f t="shared" si="5"/>
        <v>406021.604950023</v>
      </c>
      <c r="O22" s="285">
        <f t="shared" si="5"/>
        <v>414142.03704902361</v>
      </c>
      <c r="P22" s="285">
        <f t="shared" si="5"/>
        <v>422424.87779000407</v>
      </c>
      <c r="Q22" s="285">
        <f t="shared" si="5"/>
        <v>430873.37534580409</v>
      </c>
      <c r="R22" s="285">
        <f t="shared" si="5"/>
        <v>439490.84285272006</v>
      </c>
      <c r="S22" s="285">
        <f t="shared" si="5"/>
        <v>448280.6597097746</v>
      </c>
      <c r="T22" s="285">
        <f t="shared" si="5"/>
        <v>457246.27290397009</v>
      </c>
      <c r="U22" s="285">
        <f t="shared" si="5"/>
        <v>466391.19836204947</v>
      </c>
      <c r="V22" s="285">
        <f t="shared" si="5"/>
        <v>475719.02232929028</v>
      </c>
      <c r="W22" s="285">
        <f t="shared" si="5"/>
        <v>485233.40277587622</v>
      </c>
      <c r="X22" s="285">
        <f t="shared" si="5"/>
        <v>494938.07083139382</v>
      </c>
      <c r="Y22" s="285">
        <f t="shared" si="5"/>
        <v>504836.83224802167</v>
      </c>
    </row>
    <row r="23" spans="3:25" ht="13.5" customHeight="1">
      <c r="C23" s="13" t="s">
        <v>340</v>
      </c>
      <c r="D23" s="13"/>
      <c r="E23" s="295">
        <f t="shared" ref="E23:Y23" si="6">(E$12&gt;=$F$2)*(E$12&lt;=$G$8)*$F$8</f>
        <v>54330.12</v>
      </c>
      <c r="F23" s="295">
        <f t="shared" si="6"/>
        <v>54330.12</v>
      </c>
      <c r="G23" s="295">
        <f t="shared" si="6"/>
        <v>54330.12</v>
      </c>
      <c r="H23" s="295">
        <f t="shared" si="6"/>
        <v>54330.12</v>
      </c>
      <c r="I23" s="295">
        <f t="shared" si="6"/>
        <v>54330.12</v>
      </c>
      <c r="J23" s="295">
        <f t="shared" si="6"/>
        <v>54330.12</v>
      </c>
      <c r="K23" s="295">
        <f t="shared" si="6"/>
        <v>54330.12</v>
      </c>
      <c r="L23" s="295">
        <f t="shared" si="6"/>
        <v>54330.12</v>
      </c>
      <c r="M23" s="295">
        <f t="shared" si="6"/>
        <v>54330.12</v>
      </c>
      <c r="N23" s="295">
        <f t="shared" si="6"/>
        <v>54330.12</v>
      </c>
      <c r="O23" s="295">
        <f t="shared" si="6"/>
        <v>54330.12</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323425.47799999994</v>
      </c>
      <c r="F24" s="286">
        <f t="shared" si="7"/>
        <v>328807.38515999995</v>
      </c>
      <c r="G24" s="286">
        <f t="shared" si="7"/>
        <v>334296.93046319991</v>
      </c>
      <c r="H24" s="286">
        <f t="shared" si="7"/>
        <v>414865.68574492796</v>
      </c>
      <c r="I24" s="286">
        <f t="shared" si="7"/>
        <v>422076.39705982659</v>
      </c>
      <c r="J24" s="286">
        <f t="shared" si="7"/>
        <v>429431.32260102313</v>
      </c>
      <c r="K24" s="286">
        <f t="shared" si="7"/>
        <v>436933.34665304358</v>
      </c>
      <c r="L24" s="286">
        <f t="shared" si="7"/>
        <v>444585.41118610447</v>
      </c>
      <c r="M24" s="286">
        <f t="shared" si="7"/>
        <v>452390.51700982655</v>
      </c>
      <c r="N24" s="286">
        <f t="shared" si="7"/>
        <v>460351.724950023</v>
      </c>
      <c r="O24" s="286">
        <f t="shared" si="7"/>
        <v>468472.1570490236</v>
      </c>
      <c r="P24" s="286">
        <f t="shared" si="7"/>
        <v>422424.87779000407</v>
      </c>
      <c r="Q24" s="286">
        <f t="shared" si="7"/>
        <v>430873.37534580409</v>
      </c>
      <c r="R24" s="286">
        <f t="shared" si="7"/>
        <v>439490.84285272006</v>
      </c>
      <c r="S24" s="286">
        <f t="shared" si="7"/>
        <v>448280.6597097746</v>
      </c>
      <c r="T24" s="286">
        <f t="shared" si="7"/>
        <v>457246.27290397009</v>
      </c>
      <c r="U24" s="286">
        <f t="shared" si="7"/>
        <v>466391.19836204947</v>
      </c>
      <c r="V24" s="286">
        <f t="shared" si="7"/>
        <v>475719.02232929028</v>
      </c>
      <c r="W24" s="286">
        <f t="shared" si="7"/>
        <v>485233.40277587622</v>
      </c>
      <c r="X24" s="286">
        <f t="shared" si="7"/>
        <v>494938.07083139382</v>
      </c>
      <c r="Y24" s="286">
        <f t="shared" si="7"/>
        <v>504836.83224802167</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21500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22360</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23254.400000000001</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24184.576000000001</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25151.959040000005</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26158.037401600006</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27204.358897664009</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28292.533253570564</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29424.234583713394</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30601.203967061931</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31366.234066238478</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32150.389917894438</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32954.149665841804</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33778.003407487842</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34622.453492675035</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35488.014829991909</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36375.215200741703</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37284.595580760244</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38216.710470279242</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39172.12823203623</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40151.431437837135</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1250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1300</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1352.0000000000002</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1406.0800000000002</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1462.3232000000003</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1520.8161280000004</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1581.6487731200004</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1644.9147240448003</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1710.7113130065927</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1779.1397655268565</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1823.6182596650276</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1869.2087161566535</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1915.9389340605699</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1963.8374074120838</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2012.9333425973855</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2063.2566761623202</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2114.8380930663784</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2167.7090453930377</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2221.9017715278628</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2277.4493158160599</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2334.3855487114611</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24445</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25422.799999999999</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26439.712000000003</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27497.300480000002</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28597.192499200006</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29741.080199168009</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30930.72340713473</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32167.952343420115</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33454.670437156929</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34792.857254643204</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35662.678686009283</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36554.245653159516</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37468.101794488502</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38404.804339350711</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39364.92444783447</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40349.047559030332</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41357.77374800609</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42391.718091706243</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43451.511043998886</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44537.798820098862</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45651.243790601337</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4810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5002.4000000000005</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5202.496000000001</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5410.5958400000009</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5627.0196736000007</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5852.1004605440021</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6086.1844789657616</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6329.6318581243913</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6582.8171324493687</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6846.1298177473436</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7017.2830631910265</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7192.7151397708021</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7372.5330182650723</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7556.8463437216978</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7745.7675023147394</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7939.4116898726088</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8137.8969821194232</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8341.3444066724078</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8549.8780168392168</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8763.6249672601971</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8982.7155914417035</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25000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26000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27040.000000000004</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28121.600000000002</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29246.464000000004</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30416.322560000008</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31632.975462400009</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32898.294480896009</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34214.226260131851</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35582.795310537127</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36472.365193300553</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37384.174323133069</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38318.778681211399</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39276.748148241677</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40258.66685194771</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41265.133523246404</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42296.761861327563</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43354.180907860748</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44438.035430557262</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45548.986316321192</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46687.710974229223</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10000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10400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10816.000000000002</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11248.640000000001</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11698.585600000002</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12166.529024000003</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12653.190184960004</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13159.317792358403</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13685.690504052742</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14233.118124214852</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14588.946077320221</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14953.669729253228</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15327.511472484559</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15710.699259296671</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16103.466740779084</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16506.053409298562</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16918.704744531027</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17341.672363144302</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17775.214172222903</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18219.594526528479</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18675.084389691689</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8610</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8954.4</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9312.5760000000009</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9685.0790400000005</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10072.482201600002</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10475.381489664003</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10894.396749250564</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11330.172619220584</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11783.37952398941</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12254.714704948987</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12561.082572572712</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12875.109636887029</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13196.987377809204</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13526.912062254432</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13865.084863810791</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14211.711985406062</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14567.004785041214</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14931.179904667242</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15304.459402283921</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15687.070887341019</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16079.247659524544</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6200</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6448</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6705.920000000001</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6974.1568000000007</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7253.1230720000012</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7543.2479948800019</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7844.9779146752026</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8158.7770312622097</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8485.1281125126989</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8824.5332370132073</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9045.1465679385383</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9271.2752321370008</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9503.057112940427</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9740.6335407639344</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9984.1493792830315</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10233.753113765109</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10489.596941609236</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10751.836865149466</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11020.6327867782</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11296.148606447656</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11578.552321608848</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15160</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15766.4</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16397.056</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17052.938239999999</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17735.055769600003</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18444.458000384006</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19182.236320399366</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19949.525773215337</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20747.506804143955</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21577.407076309715</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22116.842253217455</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22669.763309547892</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23236.507392286592</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23817.420077093753</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24412.855579021092</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25023.17696849662</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25648.756392709034</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26289.97530252676</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26947.224685089921</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27620.905302217172</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28311.427934772601</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32208</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33496.32</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34836.1728</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36229.619712</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37678.804500480008</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39185.956680499214</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40753.394947719178</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42383.530745627941</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44078.871975453068</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45842.026854471194</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46988.077525832967</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48162.779463978797</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49366.848950578264</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50601.020174342717</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51866.045678701274</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53162.696820668811</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54491.764241185527</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55854.058347215163</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57250.409805895528</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58681.670051042922</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60148.711802318991</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1386</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1441.44</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1499.0976000000001</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1559.061504</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1621.4239641600002</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1686.2809227264004</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1753.7321596354566</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1823.8814460208746</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1896.8367038617098</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1972.7101720161784</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2022.0279263165828</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2072.5786244744972</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2124.3930900863597</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2177.5029173385183</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2231.9404902719812</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2287.7390025287809</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2344.9324775919999</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2403.5557895318002</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2463.6446842700943</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2525.2358013768471</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2588.3666964112681</v>
      </c>
    </row>
    <row r="39" spans="3:25" ht="13.15" customHeight="1">
      <c r="C39" s="14" t="s">
        <v>355</v>
      </c>
      <c r="E39" s="286">
        <f t="shared" ref="E39:Y39" si="8">SUM(E27:E38)</f>
        <v>150569</v>
      </c>
      <c r="F39" s="286">
        <f t="shared" si="8"/>
        <v>156591.76</v>
      </c>
      <c r="G39" s="286">
        <f t="shared" si="8"/>
        <v>162855.43040000001</v>
      </c>
      <c r="H39" s="286">
        <f t="shared" si="8"/>
        <v>169369.647616</v>
      </c>
      <c r="I39" s="286">
        <f t="shared" si="8"/>
        <v>176144.43352064004</v>
      </c>
      <c r="J39" s="286">
        <f t="shared" si="8"/>
        <v>183190.21086146566</v>
      </c>
      <c r="K39" s="286">
        <f t="shared" si="8"/>
        <v>190517.81929592427</v>
      </c>
      <c r="L39" s="286">
        <f t="shared" si="8"/>
        <v>198138.53206776123</v>
      </c>
      <c r="M39" s="286">
        <f t="shared" si="8"/>
        <v>206064.07335047171</v>
      </c>
      <c r="N39" s="286">
        <f t="shared" si="8"/>
        <v>214306.63628449058</v>
      </c>
      <c r="O39" s="286">
        <f t="shared" si="8"/>
        <v>219664.30219160279</v>
      </c>
      <c r="P39" s="286">
        <f t="shared" si="8"/>
        <v>225155.90974639292</v>
      </c>
      <c r="Q39" s="286">
        <f t="shared" si="8"/>
        <v>230784.80749005277</v>
      </c>
      <c r="R39" s="286">
        <f t="shared" si="8"/>
        <v>236554.42767730408</v>
      </c>
      <c r="S39" s="286">
        <f t="shared" si="8"/>
        <v>242468.28836923663</v>
      </c>
      <c r="T39" s="286">
        <f t="shared" si="8"/>
        <v>248529.99557846753</v>
      </c>
      <c r="U39" s="286">
        <f t="shared" si="8"/>
        <v>254743.24546792917</v>
      </c>
      <c r="V39" s="286">
        <f t="shared" si="8"/>
        <v>261111.82660462742</v>
      </c>
      <c r="W39" s="286">
        <f t="shared" si="8"/>
        <v>267639.62226974306</v>
      </c>
      <c r="X39" s="286">
        <f t="shared" si="8"/>
        <v>274330.61282648664</v>
      </c>
      <c r="Y39" s="286">
        <f t="shared" si="8"/>
        <v>281188.87814714882</v>
      </c>
    </row>
    <row r="40" spans="3:25" ht="7.15" customHeight="1"/>
    <row r="41" spans="3:25" ht="13.5" customHeight="1">
      <c r="C41" s="15" t="s">
        <v>356</v>
      </c>
      <c r="D41" s="8"/>
      <c r="E41" s="287">
        <f t="shared" ref="E41:Y41" si="9">E24-E39</f>
        <v>172856.47799999994</v>
      </c>
      <c r="F41" s="287">
        <f t="shared" si="9"/>
        <v>172215.62515999994</v>
      </c>
      <c r="G41" s="287">
        <f t="shared" si="9"/>
        <v>171441.5000631999</v>
      </c>
      <c r="H41" s="287">
        <f t="shared" si="9"/>
        <v>245496.03812892796</v>
      </c>
      <c r="I41" s="287">
        <f t="shared" si="9"/>
        <v>245931.96353918654</v>
      </c>
      <c r="J41" s="287">
        <f t="shared" si="9"/>
        <v>246241.11173955747</v>
      </c>
      <c r="K41" s="287">
        <f t="shared" si="9"/>
        <v>246415.52735711931</v>
      </c>
      <c r="L41" s="287">
        <f t="shared" si="9"/>
        <v>246446.87911834323</v>
      </c>
      <c r="M41" s="287">
        <f t="shared" si="9"/>
        <v>246326.44365935485</v>
      </c>
      <c r="N41" s="287">
        <f t="shared" si="9"/>
        <v>246045.08866553241</v>
      </c>
      <c r="O41" s="287">
        <f t="shared" si="9"/>
        <v>248807.85485742081</v>
      </c>
      <c r="P41" s="287">
        <f t="shared" si="9"/>
        <v>197268.96804361115</v>
      </c>
      <c r="Q41" s="287">
        <f t="shared" si="9"/>
        <v>200088.56785575132</v>
      </c>
      <c r="R41" s="287">
        <f t="shared" si="9"/>
        <v>202936.41517541598</v>
      </c>
      <c r="S41" s="287">
        <f t="shared" si="9"/>
        <v>205812.37134053797</v>
      </c>
      <c r="T41" s="287">
        <f t="shared" si="9"/>
        <v>208716.27732550257</v>
      </c>
      <c r="U41" s="287">
        <f t="shared" si="9"/>
        <v>211647.9528941203</v>
      </c>
      <c r="V41" s="287">
        <f t="shared" si="9"/>
        <v>214607.19572466286</v>
      </c>
      <c r="W41" s="287">
        <f t="shared" si="9"/>
        <v>217593.78050613316</v>
      </c>
      <c r="X41" s="287">
        <f t="shared" si="9"/>
        <v>220607.45800490718</v>
      </c>
      <c r="Y41" s="287">
        <f t="shared" si="9"/>
        <v>223647.95410087286</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3150</v>
      </c>
      <c r="F44" s="283">
        <f t="shared" si="11"/>
        <v>3213</v>
      </c>
      <c r="G44" s="283">
        <f t="shared" si="11"/>
        <v>3277.2599999999998</v>
      </c>
      <c r="H44" s="283">
        <f t="shared" si="11"/>
        <v>3342.8051999999998</v>
      </c>
      <c r="I44" s="283">
        <f t="shared" si="11"/>
        <v>3409.6613039999997</v>
      </c>
      <c r="J44" s="283">
        <f t="shared" si="11"/>
        <v>3477.8545300800001</v>
      </c>
      <c r="K44" s="283">
        <f t="shared" si="11"/>
        <v>3547.4116206816002</v>
      </c>
      <c r="L44" s="283">
        <f t="shared" si="11"/>
        <v>3618.3598530952313</v>
      </c>
      <c r="M44" s="283">
        <f t="shared" si="11"/>
        <v>3690.7270501571365</v>
      </c>
      <c r="N44" s="283">
        <f t="shared" si="11"/>
        <v>3764.541591160279</v>
      </c>
      <c r="O44" s="283">
        <f t="shared" si="11"/>
        <v>3839.8324229834848</v>
      </c>
      <c r="P44" s="283">
        <f t="shared" si="11"/>
        <v>3916.6290714431539</v>
      </c>
      <c r="Q44" s="283">
        <f t="shared" si="11"/>
        <v>3994.9616528720176</v>
      </c>
      <c r="R44" s="283">
        <f t="shared" si="11"/>
        <v>4074.8608859294577</v>
      </c>
      <c r="S44" s="283">
        <f t="shared" si="11"/>
        <v>4156.3581036480473</v>
      </c>
      <c r="T44" s="283">
        <f t="shared" si="11"/>
        <v>4239.4852657210067</v>
      </c>
      <c r="U44" s="283">
        <f t="shared" si="11"/>
        <v>4324.2749710354283</v>
      </c>
      <c r="V44" s="283">
        <f t="shared" si="11"/>
        <v>4410.7604704561372</v>
      </c>
      <c r="W44" s="283">
        <f t="shared" si="11"/>
        <v>4498.9756798652588</v>
      </c>
      <c r="X44" s="283">
        <f t="shared" si="11"/>
        <v>4588.9551934625642</v>
      </c>
      <c r="Y44" s="283">
        <f t="shared" si="11"/>
        <v>4680.7342973318155</v>
      </c>
    </row>
    <row r="45" spans="3:25" ht="13.5" customHeight="1">
      <c r="C45" s="15" t="s">
        <v>359</v>
      </c>
      <c r="D45" s="8"/>
      <c r="E45" s="287">
        <f t="shared" ref="E45:Y45" si="12">E41-E44</f>
        <v>169706.47799999994</v>
      </c>
      <c r="F45" s="287">
        <f t="shared" si="12"/>
        <v>169002.62515999994</v>
      </c>
      <c r="G45" s="287">
        <f t="shared" si="12"/>
        <v>168164.24006319989</v>
      </c>
      <c r="H45" s="287">
        <f t="shared" si="12"/>
        <v>242153.23292892796</v>
      </c>
      <c r="I45" s="287">
        <f t="shared" si="12"/>
        <v>242522.30223518654</v>
      </c>
      <c r="J45" s="287">
        <f t="shared" si="12"/>
        <v>242763.25720947748</v>
      </c>
      <c r="K45" s="287">
        <f t="shared" si="12"/>
        <v>242868.1157364377</v>
      </c>
      <c r="L45" s="287">
        <f t="shared" si="12"/>
        <v>242828.519265248</v>
      </c>
      <c r="M45" s="287">
        <f t="shared" si="12"/>
        <v>242635.7166091977</v>
      </c>
      <c r="N45" s="287">
        <f t="shared" si="12"/>
        <v>242280.54707437212</v>
      </c>
      <c r="O45" s="287">
        <f t="shared" si="12"/>
        <v>244968.02243443733</v>
      </c>
      <c r="P45" s="287">
        <f t="shared" si="12"/>
        <v>193352.33897216799</v>
      </c>
      <c r="Q45" s="287">
        <f t="shared" si="12"/>
        <v>196093.60620287931</v>
      </c>
      <c r="R45" s="287">
        <f t="shared" si="12"/>
        <v>198861.55428948652</v>
      </c>
      <c r="S45" s="287">
        <f t="shared" si="12"/>
        <v>201656.01323688991</v>
      </c>
      <c r="T45" s="287">
        <f t="shared" si="12"/>
        <v>204476.79205978155</v>
      </c>
      <c r="U45" s="287">
        <f t="shared" si="12"/>
        <v>207323.67792308488</v>
      </c>
      <c r="V45" s="287">
        <f t="shared" si="12"/>
        <v>210196.43525420674</v>
      </c>
      <c r="W45" s="287">
        <f t="shared" si="12"/>
        <v>213094.80482626791</v>
      </c>
      <c r="X45" s="287">
        <f t="shared" si="12"/>
        <v>216018.5028114446</v>
      </c>
      <c r="Y45" s="287">
        <f t="shared" si="12"/>
        <v>218967.21980354103</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(E$12&gt;=$F$2)*IFERROR(INDEX('02_Debt Engine'!$F$46:$Z$62,MATCH($C$1,'02_Debt Engine'!$B$19:$B$35,0),MATCH(E$12,'02_Debt Engine'!$F$45:$Z$45,0)),0)</f>
        <v>54330.12</v>
      </c>
      <c r="F48" s="286">
        <f>(F$12&gt;=$F$2)*IFERROR(INDEX('02_Debt Engine'!$F$46:$Z$62,MATCH($C$1,'02_Debt Engine'!$B$19:$B$35,0),MATCH(F$12,'02_Debt Engine'!$F$45:$Z$45,0)),0)</f>
        <v>54330.12</v>
      </c>
      <c r="G48" s="286">
        <f>(G$12&gt;=$F$2)*IFERROR(INDEX('02_Debt Engine'!$F$46:$Z$62,MATCH($C$1,'02_Debt Engine'!$B$19:$B$35,0),MATCH(G$12,'02_Debt Engine'!$F$45:$Z$45,0)),0)</f>
        <v>54330.12</v>
      </c>
      <c r="H48" s="286">
        <f>(H$12&gt;=$F$2)*IFERROR(INDEX('02_Debt Engine'!$F$46:$Z$62,MATCH($C$1,'02_Debt Engine'!$B$19:$B$35,0),MATCH(H$12,'02_Debt Engine'!$F$45:$Z$45,0)),0)</f>
        <v>54330.12</v>
      </c>
      <c r="I48" s="286">
        <f>(I$12&gt;=$F$2)*IFERROR(INDEX('02_Debt Engine'!$F$46:$Z$62,MATCH($C$1,'02_Debt Engine'!$B$19:$B$35,0),MATCH(I$12,'02_Debt Engine'!$F$45:$Z$45,0)),0)</f>
        <v>54330.12</v>
      </c>
      <c r="J48" s="286">
        <f>(J$12&gt;=$F$2)*IFERROR(INDEX('02_Debt Engine'!$F$46:$Z$62,MATCH($C$1,'02_Debt Engine'!$B$19:$B$35,0),MATCH(J$12,'02_Debt Engine'!$F$45:$Z$45,0)),0)</f>
        <v>54330.12</v>
      </c>
      <c r="K48" s="286">
        <f>(K$12&gt;=$F$2)*IFERROR(INDEX('02_Debt Engine'!$F$46:$Z$62,MATCH($C$1,'02_Debt Engine'!$B$19:$B$35,0),MATCH(K$12,'02_Debt Engine'!$F$45:$Z$45,0)),0)</f>
        <v>54330.12</v>
      </c>
      <c r="L48" s="286">
        <f>(L$12&gt;=$F$2)*IFERROR(INDEX('02_Debt Engine'!$F$46:$Z$62,MATCH($C$1,'02_Debt Engine'!$B$19:$B$35,0),MATCH(L$12,'02_Debt Engine'!$F$45:$Z$45,0)),0)</f>
        <v>54330.12</v>
      </c>
      <c r="M48" s="286">
        <f>(M$12&gt;=$F$2)*IFERROR(INDEX('02_Debt Engine'!$F$46:$Z$62,MATCH($C$1,'02_Debt Engine'!$B$19:$B$35,0),MATCH(M$12,'02_Debt Engine'!$F$45:$Z$45,0)),0)</f>
        <v>54330.12</v>
      </c>
      <c r="N48" s="286">
        <f>(N$12&gt;=$F$2)*IFERROR(INDEX('02_Debt Engine'!$F$46:$Z$62,MATCH($C$1,'02_Debt Engine'!$B$19:$B$35,0),MATCH(N$12,'02_Debt Engine'!$F$45:$Z$45,0)),0)</f>
        <v>54330.12</v>
      </c>
      <c r="O48" s="286">
        <f>(O$12&gt;=$F$2)*IFERROR(INDEX('02_Debt Engine'!$F$46:$Z$62,MATCH($C$1,'02_Debt Engine'!$B$19:$B$35,0),MATCH(O$12,'02_Debt Engine'!$F$45:$Z$45,0)),0)</f>
        <v>54330.12</v>
      </c>
      <c r="P48" s="286">
        <f>(P$12&gt;=$F$2)*IFERROR(INDEX('02_Debt Engine'!$F$46:$Z$62,MATCH($C$1,'02_Debt Engine'!$B$19:$B$35,0),MATCH(P$12,'02_Debt Engine'!$F$45:$Z$45,0)),0)</f>
        <v>54330.12</v>
      </c>
      <c r="Q48" s="286">
        <f>(Q$12&gt;=$F$2)*IFERROR(INDEX('02_Debt Engine'!$F$46:$Z$62,MATCH($C$1,'02_Debt Engine'!$B$19:$B$35,0),MATCH(Q$12,'02_Debt Engine'!$F$45:$Z$45,0)),0)</f>
        <v>54330.119999999995</v>
      </c>
      <c r="R48" s="286">
        <f>(R$12&gt;=$F$2)*IFERROR(INDEX('02_Debt Engine'!$F$46:$Z$62,MATCH($C$1,'02_Debt Engine'!$B$19:$B$35,0),MATCH(R$12,'02_Debt Engine'!$F$45:$Z$45,0)),0)</f>
        <v>54330.12</v>
      </c>
      <c r="S48" s="286">
        <f>(S$12&gt;=$F$2)*IFERROR(INDEX('02_Debt Engine'!$F$46:$Z$62,MATCH($C$1,'02_Debt Engine'!$B$19:$B$35,0),MATCH(S$12,'02_Debt Engine'!$F$45:$Z$45,0)),0)</f>
        <v>54330.12</v>
      </c>
      <c r="T48" s="286">
        <f>(T$12&gt;=$F$2)*IFERROR(INDEX('02_Debt Engine'!$F$46:$Z$62,MATCH($C$1,'02_Debt Engine'!$B$19:$B$35,0),MATCH(T$12,'02_Debt Engine'!$F$45:$Z$45,0)),0)</f>
        <v>54330.12000000001</v>
      </c>
      <c r="U48" s="286">
        <f>(U$12&gt;=$F$2)*IFERROR(INDEX('02_Debt Engine'!$F$46:$Z$62,MATCH($C$1,'02_Debt Engine'!$B$19:$B$35,0),MATCH(U$12,'02_Debt Engine'!$F$45:$Z$45,0)),0)</f>
        <v>54330.12</v>
      </c>
      <c r="V48" s="286">
        <f>(V$12&gt;=$F$2)*IFERROR(INDEX('02_Debt Engine'!$F$46:$Z$62,MATCH($C$1,'02_Debt Engine'!$B$19:$B$35,0),MATCH(V$12,'02_Debt Engine'!$F$45:$Z$45,0)),0)</f>
        <v>54330.12</v>
      </c>
      <c r="W48" s="286">
        <f>(W$12&gt;=$F$2)*IFERROR(INDEX('02_Debt Engine'!$F$46:$Z$62,MATCH($C$1,'02_Debt Engine'!$B$19:$B$35,0),MATCH(W$12,'02_Debt Engine'!$F$45:$Z$45,0)),0)</f>
        <v>54330.12</v>
      </c>
      <c r="X48" s="286">
        <f>(X$12&gt;=$F$2)*IFERROR(INDEX('02_Debt Engine'!$F$46:$Z$62,MATCH($C$1,'02_Debt Engine'!$B$19:$B$35,0),MATCH(X$12,'02_Debt Engine'!$F$45:$Z$45,0)),0)</f>
        <v>54330.12</v>
      </c>
      <c r="Y48" s="286">
        <f>(Y$12&gt;=$F$2)*IFERROR(INDEX('02_Debt Engine'!$F$46:$Z$62,MATCH($C$1,'02_Debt Engine'!$B$19:$B$35,0),MATCH(Y$12,'02_Debt Engine'!$F$45:$Z$45,0)),0)</f>
        <v>54330.12</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3.181595733637252</v>
      </c>
      <c r="F50" s="290">
        <f t="shared" si="14"/>
        <v>3.1698001984902651</v>
      </c>
      <c r="G50" s="290">
        <f t="shared" si="14"/>
        <v>3.1555516546475491</v>
      </c>
      <c r="H50" s="290">
        <f t="shared" si="14"/>
        <v>4.5185992250510019</v>
      </c>
      <c r="I50" s="290">
        <f t="shared" si="14"/>
        <v>4.5266228666380002</v>
      </c>
      <c r="J50" s="290">
        <f t="shared" si="14"/>
        <v>4.5323130473401765</v>
      </c>
      <c r="K50" s="290">
        <f t="shared" si="14"/>
        <v>4.5355233405911726</v>
      </c>
      <c r="L50" s="290">
        <f t="shared" si="14"/>
        <v>4.5361004009993575</v>
      </c>
      <c r="M50" s="290">
        <f t="shared" si="14"/>
        <v>4.5338836663595599</v>
      </c>
      <c r="N50" s="290">
        <f t="shared" si="14"/>
        <v>4.5287050473205728</v>
      </c>
      <c r="O50" s="290">
        <f t="shared" si="14"/>
        <v>4.5795565122517825</v>
      </c>
      <c r="P50" s="290">
        <f t="shared" si="14"/>
        <v>3.630931940581231</v>
      </c>
      <c r="Q50" s="290">
        <f t="shared" si="14"/>
        <v>3.6828294849293788</v>
      </c>
      <c r="R50" s="290">
        <f t="shared" si="14"/>
        <v>3.7352469528029015</v>
      </c>
      <c r="S50" s="290">
        <f t="shared" si="14"/>
        <v>3.7881817919882739</v>
      </c>
      <c r="T50" s="290">
        <f t="shared" si="14"/>
        <v>3.8416310754605831</v>
      </c>
      <c r="U50" s="290">
        <f t="shared" si="14"/>
        <v>3.8955914857931528</v>
      </c>
      <c r="V50" s="290">
        <f t="shared" si="14"/>
        <v>3.9500592990529535</v>
      </c>
      <c r="W50" s="290">
        <f t="shared" si="14"/>
        <v>4.0050303681665556</v>
      </c>
      <c r="X50" s="290">
        <f t="shared" si="14"/>
        <v>4.0605001057407417</v>
      </c>
      <c r="Y50" s="290">
        <f t="shared" si="14"/>
        <v>4.1164634663216804</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118526.35799999995</v>
      </c>
      <c r="F52" s="291">
        <f t="shared" si="15"/>
        <v>117885.50515999994</v>
      </c>
      <c r="G52" s="291">
        <f t="shared" si="15"/>
        <v>117111.3800631999</v>
      </c>
      <c r="H52" s="291">
        <f t="shared" si="15"/>
        <v>191165.91812892797</v>
      </c>
      <c r="I52" s="291">
        <f t="shared" si="15"/>
        <v>191601.84353918655</v>
      </c>
      <c r="J52" s="291">
        <f t="shared" si="15"/>
        <v>191910.99173955747</v>
      </c>
      <c r="K52" s="291">
        <f t="shared" si="15"/>
        <v>192085.40735711931</v>
      </c>
      <c r="L52" s="291">
        <f t="shared" si="15"/>
        <v>192116.75911834324</v>
      </c>
      <c r="M52" s="291">
        <f t="shared" si="15"/>
        <v>191996.32365935485</v>
      </c>
      <c r="N52" s="291">
        <f t="shared" si="15"/>
        <v>191714.96866553242</v>
      </c>
      <c r="O52" s="291">
        <f t="shared" si="15"/>
        <v>194477.73485742082</v>
      </c>
      <c r="P52" s="291">
        <f t="shared" si="15"/>
        <v>142938.84804361116</v>
      </c>
      <c r="Q52" s="291">
        <f t="shared" si="15"/>
        <v>145758.44785575132</v>
      </c>
      <c r="R52" s="291">
        <f t="shared" si="15"/>
        <v>148606.29517541599</v>
      </c>
      <c r="S52" s="291">
        <f t="shared" si="15"/>
        <v>151482.25134053797</v>
      </c>
      <c r="T52" s="291">
        <f t="shared" si="15"/>
        <v>154386.15732550254</v>
      </c>
      <c r="U52" s="291">
        <f t="shared" si="15"/>
        <v>157317.83289412031</v>
      </c>
      <c r="V52" s="291">
        <f t="shared" si="15"/>
        <v>160277.07572466286</v>
      </c>
      <c r="W52" s="291">
        <f t="shared" si="15"/>
        <v>163263.66050613316</v>
      </c>
      <c r="X52" s="291">
        <f t="shared" si="15"/>
        <v>166277.33800490719</v>
      </c>
      <c r="Y52" s="291">
        <f t="shared" si="15"/>
        <v>169317.83410087286</v>
      </c>
    </row>
    <row r="53" spans="3:25" ht="7.15" customHeight="1">
      <c r="C53" s="14"/>
      <c r="D53" s="17"/>
    </row>
    <row r="54" spans="3:25" ht="13.5" customHeight="1">
      <c r="C54" s="15" t="s">
        <v>363</v>
      </c>
      <c r="D54" s="20"/>
      <c r="E54" s="292">
        <f t="shared" ref="E54:Y54" si="16">IF(E52&lt;0,0,E52*$G$7)</f>
        <v>71115.814799999964</v>
      </c>
      <c r="F54" s="292">
        <f t="shared" si="16"/>
        <v>70731.30309599996</v>
      </c>
      <c r="G54" s="292">
        <f t="shared" si="16"/>
        <v>70266.828037919942</v>
      </c>
      <c r="H54" s="292">
        <f t="shared" si="16"/>
        <v>114699.55087735677</v>
      </c>
      <c r="I54" s="292">
        <f t="shared" si="16"/>
        <v>114961.10612351193</v>
      </c>
      <c r="J54" s="292">
        <f t="shared" si="16"/>
        <v>115146.59504373449</v>
      </c>
      <c r="K54" s="292">
        <f t="shared" si="16"/>
        <v>115251.24441427158</v>
      </c>
      <c r="L54" s="292">
        <f t="shared" si="16"/>
        <v>115270.05547100594</v>
      </c>
      <c r="M54" s="292">
        <f t="shared" si="16"/>
        <v>115197.79419561291</v>
      </c>
      <c r="N54" s="292">
        <f t="shared" si="16"/>
        <v>115028.98119931945</v>
      </c>
      <c r="O54" s="292">
        <f t="shared" si="16"/>
        <v>116686.64091445248</v>
      </c>
      <c r="P54" s="292">
        <f t="shared" si="16"/>
        <v>85763.308826166685</v>
      </c>
      <c r="Q54" s="292">
        <f t="shared" si="16"/>
        <v>87455.06871345079</v>
      </c>
      <c r="R54" s="292">
        <f t="shared" si="16"/>
        <v>89163.777105249595</v>
      </c>
      <c r="S54" s="292">
        <f t="shared" si="16"/>
        <v>90889.350804322778</v>
      </c>
      <c r="T54" s="292">
        <f t="shared" si="16"/>
        <v>92631.694395301529</v>
      </c>
      <c r="U54" s="292">
        <f t="shared" si="16"/>
        <v>94390.699736472176</v>
      </c>
      <c r="V54" s="292">
        <f t="shared" si="16"/>
        <v>96166.245434797718</v>
      </c>
      <c r="W54" s="292">
        <f t="shared" si="16"/>
        <v>97958.196303679899</v>
      </c>
      <c r="X54" s="292">
        <f t="shared" si="16"/>
        <v>99766.402802944314</v>
      </c>
      <c r="Y54" s="292">
        <f t="shared" si="16"/>
        <v>101590.70046052372</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47410.543199999986</v>
      </c>
      <c r="F56" s="291">
        <f t="shared" si="17"/>
        <v>47154.202063999983</v>
      </c>
      <c r="G56" s="291">
        <f t="shared" si="17"/>
        <v>46844.552025279962</v>
      </c>
      <c r="H56" s="291">
        <f t="shared" si="17"/>
        <v>76466.367251571195</v>
      </c>
      <c r="I56" s="291">
        <f t="shared" si="17"/>
        <v>76640.737415674623</v>
      </c>
      <c r="J56" s="291">
        <f t="shared" si="17"/>
        <v>76764.396695822987</v>
      </c>
      <c r="K56" s="291">
        <f t="shared" si="17"/>
        <v>76834.162942847732</v>
      </c>
      <c r="L56" s="291">
        <f t="shared" si="17"/>
        <v>76846.703647337301</v>
      </c>
      <c r="M56" s="291">
        <f t="shared" si="17"/>
        <v>76798.529463741943</v>
      </c>
      <c r="N56" s="291">
        <f t="shared" si="17"/>
        <v>76685.987466212973</v>
      </c>
      <c r="O56" s="291">
        <f t="shared" si="17"/>
        <v>77791.093942968335</v>
      </c>
      <c r="P56" s="291">
        <f t="shared" si="17"/>
        <v>57175.539217444471</v>
      </c>
      <c r="Q56" s="291">
        <f t="shared" si="17"/>
        <v>58303.379142300531</v>
      </c>
      <c r="R56" s="291">
        <f t="shared" si="17"/>
        <v>59442.518070166392</v>
      </c>
      <c r="S56" s="291">
        <f t="shared" si="17"/>
        <v>60592.900536215195</v>
      </c>
      <c r="T56" s="291">
        <f t="shared" si="17"/>
        <v>61754.462930201014</v>
      </c>
      <c r="U56" s="291">
        <f t="shared" si="17"/>
        <v>62927.133157648132</v>
      </c>
      <c r="V56" s="291">
        <f t="shared" si="17"/>
        <v>64110.830289865145</v>
      </c>
      <c r="W56" s="291">
        <f t="shared" si="17"/>
        <v>65305.464202453266</v>
      </c>
      <c r="X56" s="291">
        <f t="shared" si="17"/>
        <v>66510.935201962871</v>
      </c>
      <c r="Y56" s="291">
        <f t="shared" si="17"/>
        <v>67727.133640349144</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
      </c>
      <c r="I60" s="288" t="str">
        <f t="shared" si="18"/>
        <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0</v>
      </c>
      <c r="I63" s="285">
        <f t="shared" si="19"/>
        <v>0</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772395.59564080008</v>
      </c>
      <c r="F64" s="296">
        <f>INDEX('02_Debt Engine'!$F$74:$Z$90,MATCH($C$1,'02_Debt Engine'!$B$74:$B$90,0),MATCH(F$12,'02_Debt Engine'!$F$73:$Z$73,0))</f>
        <v>749146.67440938589</v>
      </c>
      <c r="G64" s="296">
        <f>INDEX('02_Debt Engine'!$F$74:$Z$90,MATCH($C$1,'02_Debt Engine'!$B$74:$B$90,0),MATCH(G$12,'02_Debt Engine'!$F$73:$Z$73,0))</f>
        <v>724962.21658761962</v>
      </c>
      <c r="H64" s="296">
        <f>INDEX('02_Debt Engine'!$F$74:$Z$90,MATCH($C$1,'02_Debt Engine'!$B$74:$B$90,0),MATCH(H$12,'02_Debt Engine'!$F$73:$Z$73,0))</f>
        <v>699804.57618310547</v>
      </c>
      <c r="I64" s="296">
        <f>INDEX('02_Debt Engine'!$F$74:$Z$90,MATCH($C$1,'02_Debt Engine'!$B$74:$B$90,0),MATCH(I$12,'02_Debt Engine'!$F$73:$Z$73,0))</f>
        <v>673634.59232871362</v>
      </c>
      <c r="J64" s="296">
        <f>INDEX('02_Debt Engine'!$F$74:$Z$90,MATCH($C$1,'02_Debt Engine'!$B$74:$B$90,0),MATCH(J$12,'02_Debt Engine'!$F$73:$Z$73,0))</f>
        <v>646411.52832402103</v>
      </c>
      <c r="K64" s="296">
        <f>INDEX('02_Debt Engine'!$F$74:$Z$90,MATCH($C$1,'02_Debt Engine'!$B$74:$B$90,0),MATCH(K$12,'02_Debt Engine'!$F$73:$Z$73,0))</f>
        <v>618093.00822377962</v>
      </c>
      <c r="L64" s="296">
        <f>INDEX('02_Debt Engine'!$F$74:$Z$90,MATCH($C$1,'02_Debt Engine'!$B$74:$B$90,0),MATCH(L$12,'02_Debt Engine'!$F$73:$Z$73,0))</f>
        <v>588634.95087470452</v>
      </c>
      <c r="M64" s="296">
        <f>INDEX('02_Debt Engine'!$F$74:$Z$90,MATCH($C$1,'02_Debt Engine'!$B$74:$B$90,0),MATCH(M$12,'02_Debt Engine'!$F$73:$Z$73,0))</f>
        <v>557991.50129790267</v>
      </c>
      <c r="N64" s="296">
        <f>INDEX('02_Debt Engine'!$F$74:$Z$90,MATCH($C$1,'02_Debt Engine'!$B$74:$B$90,0),MATCH(N$12,'02_Debt Engine'!$F$73:$Z$73,0))</f>
        <v>526114.95931013022</v>
      </c>
      <c r="O64" s="296">
        <f>INDEX('02_Debt Engine'!$F$74:$Z$90,MATCH($C$1,'02_Debt Engine'!$B$74:$B$90,0),MATCH(O$12,'02_Debt Engine'!$F$73:$Z$73,0))</f>
        <v>492955.70527276985</v>
      </c>
      <c r="P64" s="296">
        <f>INDEX('02_Debt Engine'!$F$74:$Z$90,MATCH($C$1,'02_Debt Engine'!$B$74:$B$90,0),MATCH(P$12,'02_Debt Engine'!$F$73:$Z$73,0))</f>
        <v>458462.12285294611</v>
      </c>
      <c r="Q64" s="296">
        <f>INDEX('02_Debt Engine'!$F$74:$Z$90,MATCH($C$1,'02_Debt Engine'!$B$74:$B$90,0),MATCH(Q$12,'02_Debt Engine'!$F$73:$Z$73,0))</f>
        <v>422580.51867654867</v>
      </c>
      <c r="R64" s="296">
        <f>INDEX('02_Debt Engine'!$F$74:$Z$90,MATCH($C$1,'02_Debt Engine'!$B$74:$B$90,0),MATCH(R$12,'02_Debt Engine'!$F$73:$Z$73,0))</f>
        <v>385255.03874809301</v>
      </c>
      <c r="S64" s="296">
        <f>INDEX('02_Debt Engine'!$F$74:$Z$90,MATCH($C$1,'02_Debt Engine'!$B$74:$B$90,0),MATCH(S$12,'02_Debt Engine'!$F$73:$Z$73,0))</f>
        <v>346427.58150731627</v>
      </c>
      <c r="T64" s="296">
        <f>INDEX('02_Debt Engine'!$F$74:$Z$90,MATCH($C$1,'02_Debt Engine'!$B$74:$B$90,0),MATCH(T$12,'02_Debt Engine'!$F$73:$Z$73,0))</f>
        <v>306037.70738717064</v>
      </c>
      <c r="U64" s="296">
        <f>INDEX('02_Debt Engine'!$F$74:$Z$90,MATCH($C$1,'02_Debt Engine'!$B$74:$B$90,0),MATCH(U$12,'02_Debt Engine'!$F$73:$Z$73,0))</f>
        <v>264022.54473243037</v>
      </c>
      <c r="V64" s="296">
        <f>INDEX('02_Debt Engine'!$F$74:$Z$90,MATCH($C$1,'02_Debt Engine'!$B$74:$B$90,0),MATCH(V$12,'02_Debt Engine'!$F$73:$Z$73,0))</f>
        <v>220316.69193246338</v>
      </c>
      <c r="W64" s="296">
        <f>INDEX('02_Debt Engine'!$F$74:$Z$90,MATCH($C$1,'02_Debt Engine'!$B$74:$B$90,0),MATCH(W$12,'02_Debt Engine'!$F$73:$Z$73,0))</f>
        <v>174852.11561582569</v>
      </c>
      <c r="X64" s="296">
        <f>INDEX('02_Debt Engine'!$F$74:$Z$90,MATCH($C$1,'02_Debt Engine'!$B$74:$B$90,0),MATCH(X$12,'02_Debt Engine'!$F$73:$Z$73,0))</f>
        <v>127558.04474820651</v>
      </c>
      <c r="Y64" s="296">
        <f>INDEX('02_Debt Engine'!$F$74:$Z$90,MATCH($C$1,'02_Debt Engine'!$B$74:$B$90,0),MATCH(Y$12,'02_Debt Engine'!$F$73:$Z$73,0))</f>
        <v>78360.860468874336</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
      </c>
      <c r="I66" s="288" t="str">
        <f t="shared" si="20"/>
        <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47410.543199999986</v>
      </c>
      <c r="F67" s="285">
        <f t="shared" si="21"/>
        <v>47154.202063999983</v>
      </c>
      <c r="G67" s="285">
        <f t="shared" si="21"/>
        <v>46844.552025279962</v>
      </c>
      <c r="H67" s="285">
        <f t="shared" si="21"/>
        <v>76466.367251571195</v>
      </c>
      <c r="I67" s="285">
        <f t="shared" si="21"/>
        <v>76640.737415674623</v>
      </c>
      <c r="J67" s="285">
        <f t="shared" si="21"/>
        <v>76764.396695822987</v>
      </c>
      <c r="K67" s="285">
        <f t="shared" si="21"/>
        <v>76834.162942847732</v>
      </c>
      <c r="L67" s="285">
        <f t="shared" si="21"/>
        <v>76846.703647337301</v>
      </c>
      <c r="M67" s="285">
        <f t="shared" si="21"/>
        <v>76798.529463741943</v>
      </c>
      <c r="N67" s="285">
        <f t="shared" si="21"/>
        <v>76685.987466212973</v>
      </c>
      <c r="O67" s="285">
        <f t="shared" si="21"/>
        <v>77791.093942968335</v>
      </c>
      <c r="P67" s="285">
        <f t="shared" si="21"/>
        <v>57175.539217444471</v>
      </c>
      <c r="Q67" s="285">
        <f t="shared" si="21"/>
        <v>58303.379142300531</v>
      </c>
      <c r="R67" s="285">
        <f t="shared" si="21"/>
        <v>59442.518070166392</v>
      </c>
      <c r="S67" s="285">
        <f t="shared" si="21"/>
        <v>60592.900536215195</v>
      </c>
      <c r="T67" s="285">
        <f t="shared" si="21"/>
        <v>61754.462930201014</v>
      </c>
      <c r="U67" s="285">
        <f t="shared" si="21"/>
        <v>62927.133157648132</v>
      </c>
      <c r="V67" s="285">
        <f t="shared" si="21"/>
        <v>64110.830289865145</v>
      </c>
      <c r="W67" s="285">
        <f t="shared" si="21"/>
        <v>65305.464202453266</v>
      </c>
      <c r="X67" s="285">
        <f t="shared" si="21"/>
        <v>66510.935201962871</v>
      </c>
      <c r="Y67" s="285">
        <f t="shared" si="21"/>
        <v>67727.133640349144</v>
      </c>
    </row>
    <row r="68" spans="3:25" s="20" customFormat="1" ht="13.5" customHeight="1">
      <c r="C68" s="26" t="s">
        <v>544</v>
      </c>
      <c r="E68" s="287">
        <f t="shared" ref="E68:Y68" si="22">E67+E$63</f>
        <v>47410.543199999986</v>
      </c>
      <c r="F68" s="287">
        <f t="shared" si="22"/>
        <v>47154.202063999983</v>
      </c>
      <c r="G68" s="287">
        <f t="shared" si="22"/>
        <v>46844.552025279962</v>
      </c>
      <c r="H68" s="287">
        <f t="shared" si="22"/>
        <v>76466.367251571195</v>
      </c>
      <c r="I68" s="287">
        <f t="shared" si="22"/>
        <v>76640.737415674623</v>
      </c>
      <c r="J68" s="287">
        <f t="shared" si="22"/>
        <v>76764.396695822987</v>
      </c>
      <c r="K68" s="287">
        <f t="shared" si="22"/>
        <v>76834.162942847732</v>
      </c>
      <c r="L68" s="287">
        <f t="shared" si="22"/>
        <v>76846.703647337301</v>
      </c>
      <c r="M68" s="287">
        <f t="shared" si="22"/>
        <v>76798.529463741943</v>
      </c>
      <c r="N68" s="287">
        <f t="shared" si="22"/>
        <v>76685.987466212973</v>
      </c>
      <c r="O68" s="287">
        <f t="shared" si="22"/>
        <v>77791.093942968335</v>
      </c>
      <c r="P68" s="287">
        <f t="shared" si="22"/>
        <v>57175.539217444471</v>
      </c>
      <c r="Q68" s="287">
        <f t="shared" si="22"/>
        <v>58303.379142300531</v>
      </c>
      <c r="R68" s="287">
        <f t="shared" si="22"/>
        <v>59442.518070166392</v>
      </c>
      <c r="S68" s="287">
        <f t="shared" si="22"/>
        <v>60592.900536215195</v>
      </c>
      <c r="T68" s="287">
        <f t="shared" si="22"/>
        <v>61754.462930201014</v>
      </c>
      <c r="U68" s="287">
        <f t="shared" si="22"/>
        <v>62927.133157648132</v>
      </c>
      <c r="V68" s="287">
        <f t="shared" si="22"/>
        <v>64110.830289865145</v>
      </c>
      <c r="W68" s="287">
        <f t="shared" si="22"/>
        <v>65305.464202453266</v>
      </c>
      <c r="X68" s="287">
        <f t="shared" si="22"/>
        <v>66510.935201962871</v>
      </c>
      <c r="Y68" s="287">
        <f t="shared" si="22"/>
        <v>67727.133640349144</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2880941.2999999993</v>
      </c>
      <c r="F73" s="285">
        <f t="shared" si="24"/>
        <v>2870260.4193333322</v>
      </c>
      <c r="G73" s="285">
        <f t="shared" si="24"/>
        <v>2857358.3343866649</v>
      </c>
      <c r="H73" s="285">
        <f t="shared" si="24"/>
        <v>4091600.6354821329</v>
      </c>
      <c r="I73" s="285">
        <f t="shared" si="24"/>
        <v>4098866.0589864426</v>
      </c>
      <c r="J73" s="285">
        <f t="shared" si="24"/>
        <v>4104018.5289926245</v>
      </c>
      <c r="K73" s="285">
        <f t="shared" si="24"/>
        <v>4106925.4559519887</v>
      </c>
      <c r="L73" s="285">
        <f t="shared" si="24"/>
        <v>4107447.9853057205</v>
      </c>
      <c r="M73" s="285">
        <f t="shared" si="24"/>
        <v>4105440.7276559141</v>
      </c>
      <c r="N73" s="285">
        <f t="shared" si="24"/>
        <v>4100751.4777588737</v>
      </c>
      <c r="O73" s="285">
        <f t="shared" si="24"/>
        <v>4146797.5809570136</v>
      </c>
      <c r="P73" s="285">
        <f t="shared" si="24"/>
        <v>3287816.1340601859</v>
      </c>
      <c r="Q73" s="285">
        <f t="shared" si="24"/>
        <v>3334809.4642625223</v>
      </c>
      <c r="R73" s="285">
        <f t="shared" si="24"/>
        <v>3382273.5862569334</v>
      </c>
      <c r="S73" s="285">
        <f t="shared" si="24"/>
        <v>3430206.1890089661</v>
      </c>
      <c r="T73" s="285">
        <f t="shared" si="24"/>
        <v>3478604.6220917096</v>
      </c>
      <c r="U73" s="285">
        <f t="shared" si="24"/>
        <v>3527465.8815686717</v>
      </c>
      <c r="V73" s="285">
        <f t="shared" si="24"/>
        <v>3576786.5954110478</v>
      </c>
      <c r="W73" s="285">
        <f t="shared" si="24"/>
        <v>3626563.0084355529</v>
      </c>
      <c r="X73" s="285">
        <f t="shared" si="24"/>
        <v>3676790.9667484532</v>
      </c>
      <c r="Y73" s="285">
        <f t="shared" si="24"/>
        <v>3727465.9016812146</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
      </c>
      <c r="I75" s="288" t="str">
        <f t="shared" si="25"/>
        <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772395.59564080008</v>
      </c>
      <c r="F76" s="285">
        <f t="shared" si="26"/>
        <v>749146.67440938589</v>
      </c>
      <c r="G76" s="285">
        <f t="shared" si="26"/>
        <v>724962.21658761962</v>
      </c>
      <c r="H76" s="285">
        <f t="shared" si="26"/>
        <v>699804.57618310547</v>
      </c>
      <c r="I76" s="285">
        <f t="shared" si="26"/>
        <v>673634.59232871362</v>
      </c>
      <c r="J76" s="285">
        <f t="shared" si="26"/>
        <v>646411.52832402103</v>
      </c>
      <c r="K76" s="285">
        <f t="shared" si="26"/>
        <v>618093.00822377962</v>
      </c>
      <c r="L76" s="285">
        <f t="shared" si="26"/>
        <v>588634.95087470452</v>
      </c>
      <c r="M76" s="285">
        <f t="shared" si="26"/>
        <v>557991.50129790267</v>
      </c>
      <c r="N76" s="285">
        <f t="shared" si="26"/>
        <v>526114.95931013022</v>
      </c>
      <c r="O76" s="285">
        <f t="shared" si="26"/>
        <v>492955.70527276985</v>
      </c>
      <c r="P76" s="285">
        <f t="shared" si="26"/>
        <v>458462.12285294611</v>
      </c>
      <c r="Q76" s="285">
        <f t="shared" si="26"/>
        <v>422580.51867654867</v>
      </c>
      <c r="R76" s="285">
        <f t="shared" si="26"/>
        <v>385255.03874809301</v>
      </c>
      <c r="S76" s="285">
        <f t="shared" si="26"/>
        <v>346427.58150731627</v>
      </c>
      <c r="T76" s="285">
        <f t="shared" si="26"/>
        <v>306037.70738717064</v>
      </c>
      <c r="U76" s="285">
        <f t="shared" si="26"/>
        <v>264022.54473243037</v>
      </c>
      <c r="V76" s="285">
        <f t="shared" si="26"/>
        <v>220316.69193246338</v>
      </c>
      <c r="W76" s="285">
        <f t="shared" si="26"/>
        <v>174852.11561582569</v>
      </c>
      <c r="X76" s="285">
        <f t="shared" si="26"/>
        <v>127558.04474820651</v>
      </c>
      <c r="Y76" s="285">
        <f t="shared" si="26"/>
        <v>78360.860468874336</v>
      </c>
    </row>
    <row r="77" spans="3:25" ht="13.5" customHeight="1">
      <c r="C77" s="26" t="s">
        <v>376</v>
      </c>
      <c r="D77" s="21"/>
      <c r="E77" s="287">
        <f t="shared" ref="E77:Y77" si="27">E73-E$76</f>
        <v>2108545.7043591994</v>
      </c>
      <c r="F77" s="287">
        <f t="shared" si="27"/>
        <v>2121113.7449239464</v>
      </c>
      <c r="G77" s="287">
        <f t="shared" si="27"/>
        <v>2132396.1177990455</v>
      </c>
      <c r="H77" s="287">
        <f t="shared" si="27"/>
        <v>3391796.0592990275</v>
      </c>
      <c r="I77" s="287">
        <f t="shared" si="27"/>
        <v>3425231.4666577289</v>
      </c>
      <c r="J77" s="287">
        <f t="shared" si="27"/>
        <v>3457607.0006686035</v>
      </c>
      <c r="K77" s="287">
        <f t="shared" si="27"/>
        <v>3488832.4477282092</v>
      </c>
      <c r="L77" s="287">
        <f t="shared" si="27"/>
        <v>3518813.0344310161</v>
      </c>
      <c r="M77" s="287">
        <f t="shared" si="27"/>
        <v>3547449.2263580114</v>
      </c>
      <c r="N77" s="287">
        <f t="shared" si="27"/>
        <v>3574636.5184487435</v>
      </c>
      <c r="O77" s="287">
        <f t="shared" si="27"/>
        <v>3653841.8756842436</v>
      </c>
      <c r="P77" s="287">
        <f t="shared" si="27"/>
        <v>2829354.0112072397</v>
      </c>
      <c r="Q77" s="287">
        <f t="shared" si="27"/>
        <v>2912228.9455859736</v>
      </c>
      <c r="R77" s="287">
        <f t="shared" si="27"/>
        <v>2997018.5475088404</v>
      </c>
      <c r="S77" s="287">
        <f t="shared" si="27"/>
        <v>3083778.6075016498</v>
      </c>
      <c r="T77" s="287">
        <f t="shared" si="27"/>
        <v>3172566.9147045389</v>
      </c>
      <c r="U77" s="287">
        <f t="shared" si="27"/>
        <v>3263443.3368362412</v>
      </c>
      <c r="V77" s="287">
        <f t="shared" si="27"/>
        <v>3356469.9034785843</v>
      </c>
      <c r="W77" s="287">
        <f t="shared" si="27"/>
        <v>3451710.8928197273</v>
      </c>
      <c r="X77" s="287">
        <f t="shared" si="27"/>
        <v>3549232.9220002466</v>
      </c>
      <c r="Y77" s="287">
        <f t="shared" si="27"/>
        <v>3649105.0412123404</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2026</v>
      </c>
      <c r="D79" s="20"/>
      <c r="E79" s="289" t="str">
        <f t="shared" ref="E79:Y79" si="28">IF(E$72=$F$2+1,"STAB. YR.","")</f>
        <v/>
      </c>
      <c r="F79" s="289" t="str">
        <f t="shared" si="28"/>
        <v>STAB. YR.</v>
      </c>
      <c r="G79" s="289" t="str">
        <f t="shared" si="28"/>
        <v/>
      </c>
      <c r="H79" s="289" t="str">
        <f t="shared" si="28"/>
        <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2870260.4193333322</v>
      </c>
      <c r="G80" s="296">
        <f t="shared" si="29"/>
        <v>0</v>
      </c>
      <c r="H80" s="296">
        <f t="shared" si="29"/>
        <v>0</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6.0223273412991864E-2</v>
      </c>
      <c r="F81" s="344">
        <f t="shared" si="30"/>
        <v>6.0000000000000005E-2</v>
      </c>
      <c r="G81" s="344">
        <f t="shared" si="30"/>
        <v>5.9730294473774669E-2</v>
      </c>
      <c r="H81" s="344">
        <f t="shared" si="30"/>
        <v>8.5530928300209322E-2</v>
      </c>
      <c r="I81" s="344">
        <f t="shared" si="30"/>
        <v>8.5682804906012155E-2</v>
      </c>
      <c r="J81" s="344">
        <f t="shared" si="30"/>
        <v>8.5790512275799438E-2</v>
      </c>
      <c r="K81" s="344">
        <f t="shared" si="30"/>
        <v>8.5851278754125585E-2</v>
      </c>
      <c r="L81" s="344">
        <f t="shared" si="30"/>
        <v>8.5862201721607134E-2</v>
      </c>
      <c r="M81" s="344">
        <f t="shared" si="30"/>
        <v>8.5820241954410681E-2</v>
      </c>
      <c r="N81" s="344">
        <f t="shared" si="30"/>
        <v>8.5722217750081597E-2</v>
      </c>
      <c r="O81" s="344">
        <f t="shared" si="30"/>
        <v>8.6684766713680556E-2</v>
      </c>
      <c r="P81" s="344">
        <f t="shared" si="30"/>
        <v>6.8728595745131127E-2</v>
      </c>
      <c r="Q81" s="344">
        <f t="shared" si="30"/>
        <v>6.9710945567171001E-2</v>
      </c>
      <c r="R81" s="344">
        <f t="shared" si="30"/>
        <v>7.0703136833330085E-2</v>
      </c>
      <c r="S81" s="344">
        <f t="shared" si="30"/>
        <v>7.1705121233682848E-2</v>
      </c>
      <c r="T81" s="344">
        <f t="shared" si="30"/>
        <v>7.2716843363634764E-2</v>
      </c>
      <c r="U81" s="344">
        <f t="shared" si="30"/>
        <v>7.3738240428817672E-2</v>
      </c>
      <c r="V81" s="344">
        <f t="shared" si="30"/>
        <v>7.4769241940251918E-2</v>
      </c>
      <c r="W81" s="344">
        <f t="shared" si="30"/>
        <v>7.5809769399486443E-2</v>
      </c>
      <c r="X81" s="344">
        <f t="shared" si="30"/>
        <v>7.6859735973416346E-2</v>
      </c>
      <c r="Y81" s="344">
        <f t="shared" si="30"/>
        <v>7.791904615847331E-2</v>
      </c>
    </row>
    <row r="82" spans="1:25" s="20" customFormat="1" ht="13.9" customHeight="1">
      <c r="A82" s="3"/>
      <c r="B82" s="3"/>
      <c r="C82" s="21" t="s">
        <v>380</v>
      </c>
      <c r="E82" s="285">
        <f t="shared" ref="E82:Y82" si="31">IF(E$72=$F$2+1,E77,0)</f>
        <v>0</v>
      </c>
      <c r="F82" s="285">
        <f t="shared" si="31"/>
        <v>2121113.7449239464</v>
      </c>
      <c r="G82" s="285">
        <f t="shared" si="31"/>
        <v>0</v>
      </c>
      <c r="H82" s="285">
        <f t="shared" si="31"/>
        <v>0</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8.1493261930749405E-2</v>
      </c>
      <c r="F83" s="299">
        <f t="shared" si="32"/>
        <v>8.1191131579874232E-2</v>
      </c>
      <c r="G83" s="299">
        <f t="shared" si="32"/>
        <v>8.0826169965414571E-2</v>
      </c>
      <c r="H83" s="299">
        <f t="shared" si="32"/>
        <v>0.11573921422951806</v>
      </c>
      <c r="I83" s="299">
        <f t="shared" si="32"/>
        <v>0.11594473145427878</v>
      </c>
      <c r="J83" s="299">
        <f t="shared" si="32"/>
        <v>0.11609047950815413</v>
      </c>
      <c r="K83" s="299">
        <f t="shared" si="32"/>
        <v>0.1161727078271112</v>
      </c>
      <c r="L83" s="299">
        <f t="shared" si="32"/>
        <v>0.11618748862861181</v>
      </c>
      <c r="M83" s="299">
        <f t="shared" si="32"/>
        <v>0.11613070927895336</v>
      </c>
      <c r="N83" s="299">
        <f t="shared" si="32"/>
        <v>0.1159980643444251</v>
      </c>
      <c r="O83" s="299">
        <f t="shared" si="32"/>
        <v>0.11730057167035234</v>
      </c>
      <c r="P83" s="299">
        <f t="shared" si="32"/>
        <v>9.3002541007382103E-2</v>
      </c>
      <c r="Q83" s="299">
        <f t="shared" si="32"/>
        <v>9.4331842568360511E-2</v>
      </c>
      <c r="R83" s="299">
        <f t="shared" si="32"/>
        <v>9.5674461429079261E-2</v>
      </c>
      <c r="S83" s="299">
        <f t="shared" si="32"/>
        <v>9.7030332217246301E-2</v>
      </c>
      <c r="T83" s="299">
        <f t="shared" si="32"/>
        <v>9.8399379960166247E-2</v>
      </c>
      <c r="U83" s="299">
        <f t="shared" si="32"/>
        <v>9.9781519685408965E-2</v>
      </c>
      <c r="V83" s="299">
        <f t="shared" si="32"/>
        <v>0.10117665600830741</v>
      </c>
      <c r="W83" s="299">
        <f t="shared" si="32"/>
        <v>0.10258468270589378</v>
      </c>
      <c r="X83" s="299">
        <f t="shared" si="32"/>
        <v>0.10400548227686732</v>
      </c>
      <c r="Y83" s="299">
        <f t="shared" si="32"/>
        <v>0.10543892548718167</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2026</v>
      </c>
      <c r="E85" s="289" t="str">
        <f t="shared" ref="E85:Y85" si="33">IF(E$72=$F$2+1,"STAB. YR.","")</f>
        <v/>
      </c>
      <c r="F85" s="289" t="str">
        <f t="shared" si="33"/>
        <v>STAB. YR.</v>
      </c>
      <c r="G85" s="289" t="str">
        <f t="shared" si="33"/>
        <v/>
      </c>
      <c r="H85" s="289" t="str">
        <f t="shared" si="33"/>
        <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3.3527581898984797E-2</v>
      </c>
      <c r="F86" s="299">
        <f t="shared" si="34"/>
        <v>3.33463036884597E-2</v>
      </c>
      <c r="G86" s="299">
        <f t="shared" si="34"/>
        <v>3.3127326719783898E-2</v>
      </c>
      <c r="H86" s="299">
        <f t="shared" si="34"/>
        <v>5.407515327824599E-2</v>
      </c>
      <c r="I86" s="299">
        <f t="shared" si="34"/>
        <v>5.4198463613102425E-2</v>
      </c>
      <c r="J86" s="299">
        <f t="shared" si="34"/>
        <v>5.4285912445427638E-2</v>
      </c>
      <c r="K86" s="299">
        <f t="shared" si="34"/>
        <v>5.4335249436801875E-2</v>
      </c>
      <c r="L86" s="299">
        <f t="shared" si="34"/>
        <v>5.4344117917702238E-2</v>
      </c>
      <c r="M86" s="299">
        <f t="shared" si="34"/>
        <v>5.4310050307907171E-2</v>
      </c>
      <c r="N86" s="299">
        <f t="shared" si="34"/>
        <v>5.4230463347190214E-2</v>
      </c>
      <c r="O86" s="299">
        <f t="shared" si="34"/>
        <v>5.5011967742746554E-2</v>
      </c>
      <c r="P86" s="299">
        <f t="shared" si="34"/>
        <v>4.043314934496442E-2</v>
      </c>
      <c r="Q86" s="299">
        <f t="shared" si="34"/>
        <v>4.1230730281551463E-2</v>
      </c>
      <c r="R86" s="299">
        <f t="shared" si="34"/>
        <v>4.2036301597982717E-2</v>
      </c>
      <c r="S86" s="299">
        <f t="shared" si="34"/>
        <v>4.284982407088294E-2</v>
      </c>
      <c r="T86" s="299">
        <f t="shared" si="34"/>
        <v>4.3671252716634905E-2</v>
      </c>
      <c r="U86" s="299">
        <f t="shared" si="34"/>
        <v>4.4500536551780538E-2</v>
      </c>
      <c r="V86" s="299">
        <f t="shared" si="34"/>
        <v>4.5337618345519609E-2</v>
      </c>
      <c r="W86" s="299">
        <f t="shared" si="34"/>
        <v>4.6182434364071427E-2</v>
      </c>
      <c r="X86" s="299">
        <f t="shared" si="34"/>
        <v>4.703491410665555E-2</v>
      </c>
      <c r="Y86" s="299">
        <f t="shared" si="34"/>
        <v>4.7894980032844162E-2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63C1A-A149-4AC5-B97E-AEF571DED593}">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312</v>
      </c>
      <c r="E1" s="275" t="str">
        <f>INDEX('01_Property Summary'!$E$5:$E$21,MATCH($C$1,'01_Property Summary'!$C$5:$C$21,0))</f>
        <v>Vancouver</v>
      </c>
      <c r="F1" s="332" t="s">
        <v>536</v>
      </c>
      <c r="G1" s="333" t="s">
        <v>102</v>
      </c>
      <c r="J1" s="450" t="s">
        <v>308</v>
      </c>
      <c r="K1" s="424"/>
      <c r="L1" s="424"/>
      <c r="M1" s="424"/>
      <c r="N1" s="424"/>
      <c r="O1" s="424"/>
      <c r="P1" s="3"/>
      <c r="Q1" s="3"/>
      <c r="R1" s="3"/>
      <c r="S1" s="3"/>
      <c r="T1" s="3"/>
    </row>
    <row r="2" spans="3:25" ht="14.45" customHeight="1">
      <c r="C2" s="300" t="s">
        <v>537</v>
      </c>
      <c r="E2" s="334" t="str">
        <f>_xlfn.LET(_xlpm.refi,INDEX('02_Debt Engine'!$F$19:$F$35,MATCH($C$1,'02_Debt Engine'!$B$19:$B$35,0)),
_xlpm.refiyr,INDEX('02_Debt Engine'!$I$19:$I$35,MATCH($C$1,'02_Debt Engine'!$B$19:$B$35,0)),IF(_xlpm.refi="Yes",_xlpm.refiyr,"No Refi"))</f>
        <v>No Refi</v>
      </c>
      <c r="F2" s="334">
        <f>INDEX('01_Property Summary'!$F$5:$F$21,MATCH($C$1,'01_Property Summary'!$C$5:$C$21,0))</f>
        <v>2025</v>
      </c>
      <c r="G2" s="334">
        <f>INDEX('01_Property Summary'!$K$4:$K$21,MATCH($C$1,'01_Property Summary'!$C$4:$C$21,0))</f>
        <v>2028</v>
      </c>
      <c r="J2" s="278" t="str">
        <f>"Gate 1 — NOI ≥ 0 at stabilization ("&amp;$F$2+1&amp;"):"</f>
        <v>Gate 1 — NOI ≥ 0 at stabilization (2026):</v>
      </c>
      <c r="M2" s="451" t="str">
        <f>_xlfn.LET(_xlpm.stabnoi,INDEX($41:$41,MATCH(($F$2+1),$12:$12,0)),IF(_xlpm.stabnoi&gt;=0,"PASS — NOI $"&amp;TEXT(_xlpm.stabnoi,"#,##0"),"FAIL — NOI $"&amp;TEXT(_xlpm.stabnoi,"#,##0")))</f>
        <v>PASS — NOI $259,732</v>
      </c>
      <c r="N2" s="424"/>
      <c r="O2" s="424"/>
      <c r="S2" s="6"/>
    </row>
    <row r="3" spans="3:25" ht="14.45" customHeight="1">
      <c r="C3" s="300" t="s">
        <v>538</v>
      </c>
      <c r="E3" s="334">
        <f>INDEX('01_Property Summary'!$S$5:$S$21,MATCH($C$1,'01_Property Summary'!$C$5:$C$21,0))</f>
        <v>18</v>
      </c>
      <c r="F3" s="335">
        <f>'01_Assumptions'!$C$14</f>
        <v>0.1</v>
      </c>
      <c r="G3" s="335">
        <f>'01_Assumptions'!$C$15</f>
        <v>0.2</v>
      </c>
      <c r="J3" s="278" t="str">
        <f>"Gate 2 — DSCR ≥ 1.0× at stabilization ("&amp;$F$2+1&amp;"):"</f>
        <v>Gate 2 — DSCR ≥ 1.0× at stabilization (2026):</v>
      </c>
      <c r="M3" s="451" t="str">
        <f>_xlfn.LET(_xlpm.debt,INDEX($48:$48,MATCH(($F$2+1),$12:$12,0)),_xlpm.dscr,INDEX($50:$50,MATCH(($F$2+1),$12:$12,0)),
IF(_xlpm.debt=0,"PASS — no debt svc",IF(IFERROR(_xlpm.dscr,0)&gt;=1,"PASS — DSCR "&amp;TEXT(IFERROR(_xlpm.dscr,0),"0.00")&amp;"x","FAIL — DSCR "&amp;TEXT(IFERROR(_xlpm.dscr,0),"0.00")&amp;"x")))</f>
        <v>PASS — DSCR 2.35x</v>
      </c>
      <c r="N3" s="424"/>
      <c r="O3" s="424"/>
      <c r="S3" s="6"/>
    </row>
    <row r="4" spans="3:25" ht="14.45" customHeight="1">
      <c r="C4" s="300" t="s">
        <v>539</v>
      </c>
      <c r="E4" s="336">
        <f>INDEX('02_Rent Engine'!$H$5:$H$21,MATCH($C$1,'02_Rent Engine'!$B$5:$B$21,0))</f>
        <v>972.22222222222217</v>
      </c>
      <c r="F4" s="336">
        <f>INDEX('02_Rent Engine'!$J$5:$J$21,MATCH($C$1,'02_Rent Engine'!$B$5:$B$21,0))</f>
        <v>3654.25</v>
      </c>
      <c r="G4" s="336">
        <f>($F$3*$F$4)+((1-$F$3)*$E$4)</f>
        <v>1240.425</v>
      </c>
      <c r="J4" s="280" t="s">
        <v>309</v>
      </c>
      <c r="M4" s="451" t="str">
        <f>IF(AND($J$52&gt;0,$O$52&gt;0),"PASS — AFFO $"&amp;TEXT($J$52,"#,##0")&amp;" (2030) / $"&amp;TEXT($O$52,"#,##0")&amp;" (2035)","FAIL — AFFO $"&amp;TEXT($J$52,"#,##0")&amp;" (2030) / $"&amp;TEXT($O$52,"#,##0")&amp;" (2035)")</f>
        <v>PASS — AFFO $213,205 (2030) / $221,483 (2035)</v>
      </c>
      <c r="N4" s="424"/>
      <c r="O4" s="424"/>
      <c r="S4" s="6"/>
    </row>
    <row r="5" spans="3:25" ht="14.45" customHeight="1">
      <c r="C5" s="337" t="str">
        <f>"Rent Growth — (pre / post Op. Agrmt. Expiry: "&amp;$G$2&amp;")"</f>
        <v>Rent Growth — (pre / post Op. Agrmt. Expiry: 2028)</v>
      </c>
      <c r="E5" s="338">
        <f>'01_Assumptions'!$C$5</f>
        <v>0.02</v>
      </c>
      <c r="F5" s="338">
        <f>'01_Assumptions'!$C$6</f>
        <v>0.02</v>
      </c>
      <c r="G5" s="32"/>
      <c r="L5" s="6"/>
      <c r="M5" s="6"/>
      <c r="R5" s="6"/>
      <c r="S5" s="6"/>
    </row>
    <row r="6" spans="3:25" ht="13.9" customHeight="1">
      <c r="C6" s="337" t="str">
        <f>"OpEx Growth — (pre / post Op. Agrmt. Expiry: "&amp;$G$2&amp;")"</f>
        <v>OpEx Growth — (pre / post Op. Agrmt. Expiry: 2028)</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BCHMC/NPAT</v>
      </c>
      <c r="F8" s="336">
        <f>INDEX('01_Property Summary'!$Q$5:$Q$21,MATCH($C$1,'01_Property Summary'!$C$5:$C$21,0))</f>
        <v>110563.68</v>
      </c>
      <c r="G8" s="334">
        <f>INDEX('02_Debt Engine'!$I$19:$I$35,MATCH($C$1,'02_Debt Engine'!$B$19:$B$35,0))</f>
        <v>2035</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267931.8</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273290.43599999999</v>
      </c>
      <c r="G13" s="283">
        <f t="shared" si="1"/>
        <v>278756.24472000002</v>
      </c>
      <c r="H13" s="283">
        <f t="shared" si="1"/>
        <v>345809.0592288</v>
      </c>
      <c r="I13" s="283">
        <f t="shared" si="1"/>
        <v>352725.24041337596</v>
      </c>
      <c r="J13" s="283">
        <f t="shared" si="1"/>
        <v>359779.74522164348</v>
      </c>
      <c r="K13" s="283">
        <f t="shared" si="1"/>
        <v>366975.34012607642</v>
      </c>
      <c r="L13" s="283">
        <f t="shared" si="1"/>
        <v>374314.84692859789</v>
      </c>
      <c r="M13" s="283">
        <f t="shared" si="1"/>
        <v>381801.14386716991</v>
      </c>
      <c r="N13" s="283">
        <f t="shared" si="1"/>
        <v>389437.16674451315</v>
      </c>
      <c r="O13" s="283">
        <f t="shared" si="1"/>
        <v>397225.91007940349</v>
      </c>
      <c r="P13" s="283">
        <f t="shared" si="1"/>
        <v>405170.42828099162</v>
      </c>
      <c r="Q13" s="283">
        <f t="shared" si="1"/>
        <v>413273.83684661146</v>
      </c>
      <c r="R13" s="283">
        <f t="shared" si="1"/>
        <v>421539.31358354352</v>
      </c>
      <c r="S13" s="283">
        <f t="shared" si="1"/>
        <v>429970.09985521447</v>
      </c>
      <c r="T13" s="283">
        <f t="shared" si="1"/>
        <v>438569.50185231882</v>
      </c>
      <c r="U13" s="283">
        <f t="shared" si="1"/>
        <v>447340.89188936527</v>
      </c>
      <c r="V13" s="283">
        <f t="shared" si="1"/>
        <v>456287.70972715237</v>
      </c>
      <c r="W13" s="283">
        <f t="shared" si="1"/>
        <v>465413.46392169548</v>
      </c>
      <c r="X13" s="283">
        <f t="shared" si="1"/>
        <v>474721.73320012941</v>
      </c>
      <c r="Y13" s="283">
        <f t="shared" si="1"/>
        <v>484216.16786413203</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6500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6630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6762.6</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6897.8519999999999</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7035.8090400000001</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7176.5252208000002</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7320.0557252160006</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7466.4568397203184</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7615.7859765147259</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7768.1016960450206</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7923.4637299659216</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8081.9330045652396</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8243.5716646565434</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8408.4430979496738</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8576.6119599086687</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8748.1441991068423</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8923.1070830889767</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9101.5692247507577</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9283.6006092457719</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9469.2726214306895</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9658.6580738593002</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row>
    <row r="19" spans="3:25" ht="13.5" customHeight="1">
      <c r="C19" s="3" t="s">
        <v>336</v>
      </c>
      <c r="E19" s="285">
        <f t="shared" ref="E19:Y19" si="2">SUM(E14:E18)</f>
        <v>6500</v>
      </c>
      <c r="F19" s="285">
        <f t="shared" si="2"/>
        <v>6630</v>
      </c>
      <c r="G19" s="285">
        <f t="shared" si="2"/>
        <v>6762.6</v>
      </c>
      <c r="H19" s="285">
        <f t="shared" si="2"/>
        <v>6897.8519999999999</v>
      </c>
      <c r="I19" s="285">
        <f t="shared" si="2"/>
        <v>7035.8090400000001</v>
      </c>
      <c r="J19" s="285">
        <f t="shared" si="2"/>
        <v>7176.5252208000002</v>
      </c>
      <c r="K19" s="285">
        <f t="shared" si="2"/>
        <v>7320.0557252160006</v>
      </c>
      <c r="L19" s="285">
        <f t="shared" si="2"/>
        <v>7466.4568397203184</v>
      </c>
      <c r="M19" s="285">
        <f t="shared" si="2"/>
        <v>7615.7859765147259</v>
      </c>
      <c r="N19" s="285">
        <f t="shared" si="2"/>
        <v>7768.1016960450206</v>
      </c>
      <c r="O19" s="285">
        <f t="shared" si="2"/>
        <v>7923.4637299659216</v>
      </c>
      <c r="P19" s="285">
        <f t="shared" si="2"/>
        <v>8081.9330045652396</v>
      </c>
      <c r="Q19" s="285">
        <f t="shared" si="2"/>
        <v>8243.5716646565434</v>
      </c>
      <c r="R19" s="285">
        <f t="shared" si="2"/>
        <v>8408.4430979496738</v>
      </c>
      <c r="S19" s="285">
        <f t="shared" si="2"/>
        <v>8576.6119599086687</v>
      </c>
      <c r="T19" s="285">
        <f t="shared" si="2"/>
        <v>8748.1441991068423</v>
      </c>
      <c r="U19" s="285">
        <f t="shared" si="2"/>
        <v>8923.1070830889767</v>
      </c>
      <c r="V19" s="285">
        <f t="shared" si="2"/>
        <v>9101.5692247507577</v>
      </c>
      <c r="W19" s="285">
        <f t="shared" si="2"/>
        <v>9283.6006092457719</v>
      </c>
      <c r="X19" s="285">
        <f t="shared" si="2"/>
        <v>9469.2726214306895</v>
      </c>
      <c r="Y19" s="285">
        <f t="shared" si="2"/>
        <v>9658.6580738593002</v>
      </c>
    </row>
    <row r="20" spans="3:25" ht="13.5" customHeight="1">
      <c r="C20" s="10" t="s">
        <v>337</v>
      </c>
      <c r="E20" s="283">
        <f t="shared" ref="E20:Y20" si="3">E13+E19</f>
        <v>274431.8</v>
      </c>
      <c r="F20" s="283">
        <f t="shared" si="3"/>
        <v>279920.43599999999</v>
      </c>
      <c r="G20" s="283">
        <f t="shared" si="3"/>
        <v>285518.84471999999</v>
      </c>
      <c r="H20" s="283">
        <f t="shared" si="3"/>
        <v>352706.91122880002</v>
      </c>
      <c r="I20" s="283">
        <f t="shared" si="3"/>
        <v>359761.04945337598</v>
      </c>
      <c r="J20" s="283">
        <f t="shared" si="3"/>
        <v>366956.27044244349</v>
      </c>
      <c r="K20" s="283">
        <f t="shared" si="3"/>
        <v>374295.39585129241</v>
      </c>
      <c r="L20" s="283">
        <f t="shared" si="3"/>
        <v>381781.3037683182</v>
      </c>
      <c r="M20" s="283">
        <f t="shared" si="3"/>
        <v>389416.92984368466</v>
      </c>
      <c r="N20" s="283">
        <f t="shared" si="3"/>
        <v>397205.26844055817</v>
      </c>
      <c r="O20" s="283">
        <f t="shared" si="3"/>
        <v>405149.3738093694</v>
      </c>
      <c r="P20" s="283">
        <f t="shared" si="3"/>
        <v>413252.36128555686</v>
      </c>
      <c r="Q20" s="283">
        <f t="shared" si="3"/>
        <v>421517.40851126803</v>
      </c>
      <c r="R20" s="283">
        <f t="shared" si="3"/>
        <v>429947.75668149319</v>
      </c>
      <c r="S20" s="283">
        <f t="shared" si="3"/>
        <v>438546.71181512316</v>
      </c>
      <c r="T20" s="283">
        <f t="shared" si="3"/>
        <v>447317.64605142566</v>
      </c>
      <c r="U20" s="283">
        <f t="shared" si="3"/>
        <v>456263.99897245422</v>
      </c>
      <c r="V20" s="283">
        <f t="shared" si="3"/>
        <v>465389.27895190311</v>
      </c>
      <c r="W20" s="283">
        <f t="shared" si="3"/>
        <v>474697.06453094125</v>
      </c>
      <c r="X20" s="283">
        <f t="shared" si="3"/>
        <v>484191.0058215601</v>
      </c>
      <c r="Y20" s="283">
        <f t="shared" si="3"/>
        <v>493874.82593799132</v>
      </c>
    </row>
    <row r="21" spans="3:25" ht="13.5" customHeight="1">
      <c r="C21" s="11" t="s">
        <v>338</v>
      </c>
      <c r="E21" s="284">
        <f t="shared" ref="E21:Y21" si="4">-E20*$E$7</f>
        <v>-5488.6359999999995</v>
      </c>
      <c r="F21" s="284">
        <f t="shared" si="4"/>
        <v>-5598.4087199999994</v>
      </c>
      <c r="G21" s="284">
        <f t="shared" si="4"/>
        <v>-5710.3768944000003</v>
      </c>
      <c r="H21" s="284">
        <f t="shared" si="4"/>
        <v>-7054.1382245760005</v>
      </c>
      <c r="I21" s="284">
        <f t="shared" si="4"/>
        <v>-7195.2209890675194</v>
      </c>
      <c r="J21" s="284">
        <f t="shared" si="4"/>
        <v>-7339.1254088488704</v>
      </c>
      <c r="K21" s="284">
        <f t="shared" si="4"/>
        <v>-7485.9079170258483</v>
      </c>
      <c r="L21" s="284">
        <f t="shared" si="4"/>
        <v>-7635.6260753663646</v>
      </c>
      <c r="M21" s="284">
        <f t="shared" si="4"/>
        <v>-7788.3385968736929</v>
      </c>
      <c r="N21" s="284">
        <f t="shared" si="4"/>
        <v>-7944.1053688111633</v>
      </c>
      <c r="O21" s="284">
        <f t="shared" si="4"/>
        <v>-8102.987476187388</v>
      </c>
      <c r="P21" s="284">
        <f t="shared" si="4"/>
        <v>-8265.0472257111378</v>
      </c>
      <c r="Q21" s="284">
        <f t="shared" si="4"/>
        <v>-8430.3481702253612</v>
      </c>
      <c r="R21" s="284">
        <f t="shared" si="4"/>
        <v>-8598.9551336298646</v>
      </c>
      <c r="S21" s="284">
        <f t="shared" si="4"/>
        <v>-8770.9342363024625</v>
      </c>
      <c r="T21" s="284">
        <f t="shared" si="4"/>
        <v>-8946.3529210285142</v>
      </c>
      <c r="U21" s="284">
        <f t="shared" si="4"/>
        <v>-9125.2799794490838</v>
      </c>
      <c r="V21" s="284">
        <f t="shared" si="4"/>
        <v>-9307.7855790380618</v>
      </c>
      <c r="W21" s="284">
        <f t="shared" si="4"/>
        <v>-9493.9412906188245</v>
      </c>
      <c r="X21" s="284">
        <f t="shared" si="4"/>
        <v>-9683.8201164312031</v>
      </c>
      <c r="Y21" s="284">
        <f t="shared" si="4"/>
        <v>-9877.4965187598264</v>
      </c>
    </row>
    <row r="22" spans="3:25" ht="13.5" customHeight="1">
      <c r="C22" s="3" t="s">
        <v>339</v>
      </c>
      <c r="E22" s="285">
        <f t="shared" ref="E22:Y22" si="5">E20+E21</f>
        <v>268943.16399999999</v>
      </c>
      <c r="F22" s="285">
        <f t="shared" si="5"/>
        <v>274322.02727999998</v>
      </c>
      <c r="G22" s="285">
        <f t="shared" si="5"/>
        <v>279808.4678256</v>
      </c>
      <c r="H22" s="285">
        <f t="shared" si="5"/>
        <v>345652.773004224</v>
      </c>
      <c r="I22" s="285">
        <f t="shared" si="5"/>
        <v>352565.82846430846</v>
      </c>
      <c r="J22" s="285">
        <f t="shared" si="5"/>
        <v>359617.14503359463</v>
      </c>
      <c r="K22" s="285">
        <f t="shared" si="5"/>
        <v>366809.48793426657</v>
      </c>
      <c r="L22" s="285">
        <f t="shared" si="5"/>
        <v>374145.67769295187</v>
      </c>
      <c r="M22" s="285">
        <f t="shared" si="5"/>
        <v>381628.59124681097</v>
      </c>
      <c r="N22" s="285">
        <f t="shared" si="5"/>
        <v>389261.163071747</v>
      </c>
      <c r="O22" s="285">
        <f t="shared" si="5"/>
        <v>397046.38633318199</v>
      </c>
      <c r="P22" s="285">
        <f t="shared" si="5"/>
        <v>404987.31405984575</v>
      </c>
      <c r="Q22" s="285">
        <f t="shared" si="5"/>
        <v>413087.0603410427</v>
      </c>
      <c r="R22" s="285">
        <f t="shared" si="5"/>
        <v>421348.80154786335</v>
      </c>
      <c r="S22" s="285">
        <f t="shared" si="5"/>
        <v>429775.77757882071</v>
      </c>
      <c r="T22" s="285">
        <f t="shared" si="5"/>
        <v>438371.29313039716</v>
      </c>
      <c r="U22" s="285">
        <f t="shared" si="5"/>
        <v>447138.71899300517</v>
      </c>
      <c r="V22" s="285">
        <f t="shared" si="5"/>
        <v>456081.49337286502</v>
      </c>
      <c r="W22" s="285">
        <f t="shared" si="5"/>
        <v>465203.1232403224</v>
      </c>
      <c r="X22" s="285">
        <f t="shared" si="5"/>
        <v>474507.18570512888</v>
      </c>
      <c r="Y22" s="285">
        <f t="shared" si="5"/>
        <v>483997.32941923151</v>
      </c>
    </row>
    <row r="23" spans="3:25" ht="13.5" customHeight="1">
      <c r="C23" s="13" t="s">
        <v>340</v>
      </c>
      <c r="D23" s="13"/>
      <c r="E23" s="295">
        <f t="shared" ref="E23:Y23" si="6">(E$12&gt;=$F$2)*(E$12&lt;=$G$8)*$F$8</f>
        <v>110563.68</v>
      </c>
      <c r="F23" s="295">
        <f t="shared" si="6"/>
        <v>110563.68</v>
      </c>
      <c r="G23" s="295">
        <f t="shared" si="6"/>
        <v>110563.68</v>
      </c>
      <c r="H23" s="295">
        <f t="shared" si="6"/>
        <v>110563.68</v>
      </c>
      <c r="I23" s="295">
        <f t="shared" si="6"/>
        <v>110563.68</v>
      </c>
      <c r="J23" s="295">
        <f t="shared" si="6"/>
        <v>110563.68</v>
      </c>
      <c r="K23" s="295">
        <f t="shared" si="6"/>
        <v>110563.68</v>
      </c>
      <c r="L23" s="295">
        <f t="shared" si="6"/>
        <v>110563.68</v>
      </c>
      <c r="M23" s="295">
        <f t="shared" si="6"/>
        <v>110563.68</v>
      </c>
      <c r="N23" s="295">
        <f t="shared" si="6"/>
        <v>110563.68</v>
      </c>
      <c r="O23" s="295">
        <f t="shared" si="6"/>
        <v>110563.68</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379506.84399999998</v>
      </c>
      <c r="F24" s="286">
        <f t="shared" si="7"/>
        <v>384885.70727999997</v>
      </c>
      <c r="G24" s="286">
        <f t="shared" si="7"/>
        <v>390372.1478256</v>
      </c>
      <c r="H24" s="286">
        <f t="shared" si="7"/>
        <v>456216.45300422399</v>
      </c>
      <c r="I24" s="286">
        <f t="shared" si="7"/>
        <v>463129.50846430846</v>
      </c>
      <c r="J24" s="286">
        <f t="shared" si="7"/>
        <v>470180.82503359462</v>
      </c>
      <c r="K24" s="286">
        <f t="shared" si="7"/>
        <v>477373.16793426656</v>
      </c>
      <c r="L24" s="286">
        <f t="shared" si="7"/>
        <v>484709.35769295186</v>
      </c>
      <c r="M24" s="286">
        <f t="shared" si="7"/>
        <v>492192.27124681097</v>
      </c>
      <c r="N24" s="286">
        <f t="shared" si="7"/>
        <v>499824.84307174699</v>
      </c>
      <c r="O24" s="286">
        <f t="shared" si="7"/>
        <v>507610.06633318198</v>
      </c>
      <c r="P24" s="286">
        <f t="shared" si="7"/>
        <v>404987.31405984575</v>
      </c>
      <c r="Q24" s="286">
        <f t="shared" si="7"/>
        <v>413087.0603410427</v>
      </c>
      <c r="R24" s="286">
        <f t="shared" si="7"/>
        <v>421348.80154786335</v>
      </c>
      <c r="S24" s="286">
        <f t="shared" si="7"/>
        <v>429775.77757882071</v>
      </c>
      <c r="T24" s="286">
        <f t="shared" si="7"/>
        <v>438371.29313039716</v>
      </c>
      <c r="U24" s="286">
        <f t="shared" si="7"/>
        <v>447138.71899300517</v>
      </c>
      <c r="V24" s="286">
        <f t="shared" si="7"/>
        <v>456081.49337286502</v>
      </c>
      <c r="W24" s="286">
        <f t="shared" si="7"/>
        <v>465203.1232403224</v>
      </c>
      <c r="X24" s="286">
        <f t="shared" si="7"/>
        <v>474507.18570512888</v>
      </c>
      <c r="Y24" s="286">
        <f t="shared" si="7"/>
        <v>483997.32941923151</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13530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14071.2</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14634.048000000001</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15219.409920000002</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15828.186316800004</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16461.313769472006</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17119.766320250885</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17804.55697306092</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18516.739251983359</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19257.408822062695</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19738.844042614259</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20232.315143679618</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20738.123022271608</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21256.576097828394</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21787.9905002741</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22332.690262780954</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22891.007519350478</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23463.282707334238</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24049.864775017588</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24651.111394393029</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25267.389179252856</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1250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1300</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1352.0000000000002</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1406.0800000000002</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1462.3232000000003</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1520.8161280000004</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1581.6487731200004</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1644.9147240448003</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1710.7113130065927</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1779.1397655268565</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1823.6182596650276</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1869.2087161566535</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1915.9389340605699</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1963.8374074120838</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2012.9333425973855</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2063.2566761623202</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2114.8380930663784</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2167.7090453930377</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2221.9017715278628</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2277.4493158160599</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2334.3855487114611</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22800</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23712</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24660.480000000003</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25646.899200000003</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26672.775168000004</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27739.686174720009</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28849.27362170881</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30003.244566577159</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31203.37434924025</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32451.509323209862</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33262.797056290103</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34094.366982697356</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34946.726157264791</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35820.394311196411</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36715.904168976311</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37633.801773200721</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38574.646817530738</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39539.012987969007</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40527.488312668218</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41540.675520484932</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42579.192408497052</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6360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6614.4000000000005</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6878.9760000000006</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7154.1350400000001</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7440.3004416000012</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7737.9124592640019</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8047.4289576345627</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8369.3261159399444</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8704.0991605775434</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9052.2631270006459</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9278.5697051756615</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9510.5339478050519</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9748.2972965001791</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9992.0047289126815</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10241.804847135498</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10497.849968313885</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10760.296217521733</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11029.303622959775</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11305.036213533767</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11587.662118872111</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11877.353671843915</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19000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19760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20550.400000000001</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21372.416000000001</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22227.312640000004</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23116.405145600005</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24041.061351424007</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25002.703805480964</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26002.811957700207</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27042.924436008219</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27718.99754690842</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28411.972485581133</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29122.271797720659</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29850.328592663674</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30596.58680748026</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31361.501477667269</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32145.539014608948</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32949.177489974172</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33772.906927223521</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34617.229600404105</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35482.660340414208</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10000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10400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10816.000000000002</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11248.640000000001</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11698.585600000002</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12166.529024000003</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12653.190184960004</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13159.317792358403</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13685.690504052742</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14233.118124214852</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14588.946077320221</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14953.669729253228</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15327.511472484559</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15710.699259296671</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16103.466740779084</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16506.053409298562</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16918.704744531027</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17341.672363144302</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17775.214172222903</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18219.594526528479</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18675.084389691689</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5336</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5549.4400000000005</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5771.4176000000007</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6002.2743040000005</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6242.3652761600015</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6492.059887206402</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6751.7422826946577</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7021.811974002444</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7302.6844529625423</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7594.7918310810446</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7784.6616268580701</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7979.2781675295219</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8178.7601217177607</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8383.2291247607027</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8592.80985287972</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8807.6300992017132</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9027.8208516817558</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9253.5163729737978</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9484.8542822981417</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9721.9756393555963</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9965.025030339486</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5336</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5549.4400000000005</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5771.4176000000007</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6002.2743040000005</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6242.3652761600015</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6492.059887206402</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6751.7422826946577</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7021.811974002444</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7302.6844529625423</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7594.7918310810446</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7784.6616268580701</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7979.2781675295219</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8178.7601217177607</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8383.2291247607027</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8592.80985287972</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8807.6300992017132</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9027.8208516817558</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9253.5163729737978</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9484.8542822981417</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9721.9756393555963</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9965.025030339486</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14850</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15444</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16061.760000000002</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16704.2304</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17372.399616000002</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18067.295600640005</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18789.987424665607</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19541.58692165223</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20323.250398518321</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21136.180414459053</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21664.58492482053</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22206.199547941043</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22761.35453663957</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23330.388400055555</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23913.64811005694</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24511.489312808364</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25124.276545628574</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25752.383459269287</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26396.193045751013</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27056.097871894788</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27732.50031869216</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20605</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21429.200000000001</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22286.368000000002</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23177.82272</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24104.935628800005</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25069.133053952006</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26071.898376110086</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27114.774311154488</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28199.365283600673</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29327.339894944704</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30060.523392318319</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30812.036477126276</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31582.337389054432</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32371.895823780789</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33181.193219375302</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34010.723049859691</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34860.991126106179</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35732.515904258828</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36625.828801865297</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37541.474521911929</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38480.011384959726</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1273</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1323.92</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1376.8768000000002</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1431.9518720000001</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1489.2299468800002</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1548.7991447552004</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1610.7511105454084</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1675.1811549672248</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1742.188401165914</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1811.8759372125508</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1857.1728356428641</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1903.6021565339358</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1951.1922104472842</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1999.9720157084662</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2049.9713161011773</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2101.2205990037069</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2153.7511139787994</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2207.5948918282693</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2262.7847641239755</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2319.3543832270752</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2377.3382428077521</v>
      </c>
    </row>
    <row r="39" spans="3:25" ht="13.15" customHeight="1">
      <c r="C39" s="14" t="s">
        <v>355</v>
      </c>
      <c r="E39" s="286">
        <f t="shared" ref="E39:Y39" si="8">SUM(E27:E38)</f>
        <v>120340</v>
      </c>
      <c r="F39" s="286">
        <f t="shared" si="8"/>
        <v>125153.60000000001</v>
      </c>
      <c r="G39" s="286">
        <f t="shared" si="8"/>
        <v>130159.74400000002</v>
      </c>
      <c r="H39" s="286">
        <f t="shared" si="8"/>
        <v>135366.13376000003</v>
      </c>
      <c r="I39" s="286">
        <f t="shared" si="8"/>
        <v>140780.77911040001</v>
      </c>
      <c r="J39" s="286">
        <f t="shared" si="8"/>
        <v>146412.01027481604</v>
      </c>
      <c r="K39" s="286">
        <f t="shared" si="8"/>
        <v>152268.49068580871</v>
      </c>
      <c r="L39" s="286">
        <f t="shared" si="8"/>
        <v>158359.23031324102</v>
      </c>
      <c r="M39" s="286">
        <f t="shared" si="8"/>
        <v>164693.59952577067</v>
      </c>
      <c r="N39" s="286">
        <f t="shared" si="8"/>
        <v>171281.34350680155</v>
      </c>
      <c r="O39" s="286">
        <f t="shared" si="8"/>
        <v>175563.37709447151</v>
      </c>
      <c r="P39" s="286">
        <f t="shared" si="8"/>
        <v>179952.46152183335</v>
      </c>
      <c r="Q39" s="286">
        <f t="shared" si="8"/>
        <v>184451.27305987914</v>
      </c>
      <c r="R39" s="286">
        <f t="shared" si="8"/>
        <v>189062.55488637614</v>
      </c>
      <c r="S39" s="286">
        <f t="shared" si="8"/>
        <v>193789.11875853551</v>
      </c>
      <c r="T39" s="286">
        <f t="shared" si="8"/>
        <v>198633.84672749892</v>
      </c>
      <c r="U39" s="286">
        <f t="shared" si="8"/>
        <v>203599.6928956864</v>
      </c>
      <c r="V39" s="286">
        <f t="shared" si="8"/>
        <v>208689.68521807852</v>
      </c>
      <c r="W39" s="286">
        <f t="shared" si="8"/>
        <v>213906.92734853044</v>
      </c>
      <c r="X39" s="286">
        <f t="shared" si="8"/>
        <v>219254.60053224367</v>
      </c>
      <c r="Y39" s="286">
        <f t="shared" si="8"/>
        <v>224735.96554554979</v>
      </c>
    </row>
    <row r="40" spans="3:25" ht="7.15" customHeight="1"/>
    <row r="41" spans="3:25" ht="13.5" customHeight="1">
      <c r="C41" s="15" t="s">
        <v>356</v>
      </c>
      <c r="D41" s="8"/>
      <c r="E41" s="287">
        <f t="shared" ref="E41:Y41" si="9">E24-E39</f>
        <v>259166.84399999998</v>
      </c>
      <c r="F41" s="287">
        <f t="shared" si="9"/>
        <v>259732.10727999997</v>
      </c>
      <c r="G41" s="287">
        <f t="shared" si="9"/>
        <v>260212.40382559999</v>
      </c>
      <c r="H41" s="287">
        <f t="shared" si="9"/>
        <v>320850.319244224</v>
      </c>
      <c r="I41" s="287">
        <f t="shared" si="9"/>
        <v>322348.72935390845</v>
      </c>
      <c r="J41" s="287">
        <f t="shared" si="9"/>
        <v>323768.81475877855</v>
      </c>
      <c r="K41" s="287">
        <f t="shared" si="9"/>
        <v>325104.67724845785</v>
      </c>
      <c r="L41" s="287">
        <f t="shared" si="9"/>
        <v>326350.12737971084</v>
      </c>
      <c r="M41" s="287">
        <f t="shared" si="9"/>
        <v>327498.67172104027</v>
      </c>
      <c r="N41" s="287">
        <f t="shared" si="9"/>
        <v>328543.49956494546</v>
      </c>
      <c r="O41" s="287">
        <f t="shared" si="9"/>
        <v>332046.68923871045</v>
      </c>
      <c r="P41" s="287">
        <f t="shared" si="9"/>
        <v>225034.8525380124</v>
      </c>
      <c r="Q41" s="287">
        <f t="shared" si="9"/>
        <v>228635.78728116356</v>
      </c>
      <c r="R41" s="287">
        <f t="shared" si="9"/>
        <v>232286.24666148721</v>
      </c>
      <c r="S41" s="287">
        <f t="shared" si="9"/>
        <v>235986.6588202852</v>
      </c>
      <c r="T41" s="287">
        <f t="shared" si="9"/>
        <v>239737.44640289823</v>
      </c>
      <c r="U41" s="287">
        <f t="shared" si="9"/>
        <v>243539.02609731877</v>
      </c>
      <c r="V41" s="287">
        <f t="shared" si="9"/>
        <v>247391.8081547865</v>
      </c>
      <c r="W41" s="287">
        <f t="shared" si="9"/>
        <v>251296.19589179195</v>
      </c>
      <c r="X41" s="287">
        <f t="shared" si="9"/>
        <v>255252.58517288521</v>
      </c>
      <c r="Y41" s="287">
        <f t="shared" si="9"/>
        <v>259261.36387368172</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2700</v>
      </c>
      <c r="F44" s="283">
        <f t="shared" si="11"/>
        <v>2754</v>
      </c>
      <c r="G44" s="283">
        <f t="shared" si="11"/>
        <v>2809.08</v>
      </c>
      <c r="H44" s="283">
        <f t="shared" si="11"/>
        <v>2865.2615999999998</v>
      </c>
      <c r="I44" s="283">
        <f t="shared" si="11"/>
        <v>2922.566832</v>
      </c>
      <c r="J44" s="283">
        <f t="shared" si="11"/>
        <v>2981.0181686400001</v>
      </c>
      <c r="K44" s="283">
        <f t="shared" si="11"/>
        <v>3040.6385320128002</v>
      </c>
      <c r="L44" s="283">
        <f t="shared" si="11"/>
        <v>3101.4513026530553</v>
      </c>
      <c r="M44" s="283">
        <f t="shared" si="11"/>
        <v>3163.4803287061168</v>
      </c>
      <c r="N44" s="283">
        <f t="shared" si="11"/>
        <v>3226.7499352802392</v>
      </c>
      <c r="O44" s="283">
        <f t="shared" si="11"/>
        <v>3291.284933985844</v>
      </c>
      <c r="P44" s="283">
        <f t="shared" si="11"/>
        <v>3357.1106326655604</v>
      </c>
      <c r="Q44" s="283">
        <f t="shared" si="11"/>
        <v>3424.252845318872</v>
      </c>
      <c r="R44" s="283">
        <f t="shared" si="11"/>
        <v>3492.7379022252494</v>
      </c>
      <c r="S44" s="283">
        <f t="shared" si="11"/>
        <v>3562.592660269755</v>
      </c>
      <c r="T44" s="283">
        <f t="shared" si="11"/>
        <v>3633.8445134751487</v>
      </c>
      <c r="U44" s="283">
        <f t="shared" si="11"/>
        <v>3706.5214037446526</v>
      </c>
      <c r="V44" s="283">
        <f t="shared" si="11"/>
        <v>3780.6518318195458</v>
      </c>
      <c r="W44" s="283">
        <f t="shared" si="11"/>
        <v>3856.2648684559363</v>
      </c>
      <c r="X44" s="283">
        <f t="shared" si="11"/>
        <v>3933.3901658250547</v>
      </c>
      <c r="Y44" s="283">
        <f t="shared" si="11"/>
        <v>4012.0579691415564</v>
      </c>
    </row>
    <row r="45" spans="3:25" ht="13.5" customHeight="1">
      <c r="C45" s="15" t="s">
        <v>359</v>
      </c>
      <c r="D45" s="8"/>
      <c r="E45" s="287">
        <f t="shared" ref="E45:Y45" si="12">E41-E44</f>
        <v>256466.84399999998</v>
      </c>
      <c r="F45" s="287">
        <f t="shared" si="12"/>
        <v>256978.10727999997</v>
      </c>
      <c r="G45" s="287">
        <f t="shared" si="12"/>
        <v>257403.3238256</v>
      </c>
      <c r="H45" s="287">
        <f t="shared" si="12"/>
        <v>317985.05764422397</v>
      </c>
      <c r="I45" s="287">
        <f t="shared" si="12"/>
        <v>319426.16252190847</v>
      </c>
      <c r="J45" s="287">
        <f t="shared" si="12"/>
        <v>320787.79659013858</v>
      </c>
      <c r="K45" s="287">
        <f t="shared" si="12"/>
        <v>322064.03871644504</v>
      </c>
      <c r="L45" s="287">
        <f t="shared" si="12"/>
        <v>323248.67607705778</v>
      </c>
      <c r="M45" s="287">
        <f t="shared" si="12"/>
        <v>324335.19139233418</v>
      </c>
      <c r="N45" s="287">
        <f t="shared" si="12"/>
        <v>325316.74962966522</v>
      </c>
      <c r="O45" s="287">
        <f t="shared" si="12"/>
        <v>328755.40430472459</v>
      </c>
      <c r="P45" s="287">
        <f t="shared" si="12"/>
        <v>221677.74190534683</v>
      </c>
      <c r="Q45" s="287">
        <f t="shared" si="12"/>
        <v>225211.53443584469</v>
      </c>
      <c r="R45" s="287">
        <f t="shared" si="12"/>
        <v>228793.50875926195</v>
      </c>
      <c r="S45" s="287">
        <f t="shared" si="12"/>
        <v>232424.06616001544</v>
      </c>
      <c r="T45" s="287">
        <f t="shared" si="12"/>
        <v>236103.60188942309</v>
      </c>
      <c r="U45" s="287">
        <f t="shared" si="12"/>
        <v>239832.50469357413</v>
      </c>
      <c r="V45" s="287">
        <f t="shared" si="12"/>
        <v>243611.15632296694</v>
      </c>
      <c r="W45" s="287">
        <f t="shared" si="12"/>
        <v>247439.93102333602</v>
      </c>
      <c r="X45" s="287">
        <f t="shared" si="12"/>
        <v>251319.19500706016</v>
      </c>
      <c r="Y45" s="287">
        <f t="shared" si="12"/>
        <v>255249.30590454018</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(E$12&gt;=$F$2)*IFERROR(INDEX('02_Debt Engine'!$F$46:$Z$62,MATCH($C$1,'02_Debt Engine'!$B$19:$B$35,0),MATCH(E$12,'02_Debt Engine'!$F$45:$Z$45,0)),0)</f>
        <v>110563.68</v>
      </c>
      <c r="F48" s="286">
        <f>(F$12&gt;=$F$2)*IFERROR(INDEX('02_Debt Engine'!$F$46:$Z$62,MATCH($C$1,'02_Debt Engine'!$B$19:$B$35,0),MATCH(F$12,'02_Debt Engine'!$F$45:$Z$45,0)),0)</f>
        <v>110563.68</v>
      </c>
      <c r="G48" s="286">
        <f>(G$12&gt;=$F$2)*IFERROR(INDEX('02_Debt Engine'!$F$46:$Z$62,MATCH($C$1,'02_Debt Engine'!$B$19:$B$35,0),MATCH(G$12,'02_Debt Engine'!$F$45:$Z$45,0)),0)</f>
        <v>110563.68</v>
      </c>
      <c r="H48" s="286">
        <f>(H$12&gt;=$F$2)*IFERROR(INDEX('02_Debt Engine'!$F$46:$Z$62,MATCH($C$1,'02_Debt Engine'!$B$19:$B$35,0),MATCH(H$12,'02_Debt Engine'!$F$45:$Z$45,0)),0)</f>
        <v>110563.68</v>
      </c>
      <c r="I48" s="286">
        <f>(I$12&gt;=$F$2)*IFERROR(INDEX('02_Debt Engine'!$F$46:$Z$62,MATCH($C$1,'02_Debt Engine'!$B$19:$B$35,0),MATCH(I$12,'02_Debt Engine'!$F$45:$Z$45,0)),0)</f>
        <v>110563.68</v>
      </c>
      <c r="J48" s="286">
        <f>(J$12&gt;=$F$2)*IFERROR(INDEX('02_Debt Engine'!$F$46:$Z$62,MATCH($C$1,'02_Debt Engine'!$B$19:$B$35,0),MATCH(J$12,'02_Debt Engine'!$F$45:$Z$45,0)),0)</f>
        <v>110563.68</v>
      </c>
      <c r="K48" s="286">
        <f>(K$12&gt;=$F$2)*IFERROR(INDEX('02_Debt Engine'!$F$46:$Z$62,MATCH($C$1,'02_Debt Engine'!$B$19:$B$35,0),MATCH(K$12,'02_Debt Engine'!$F$45:$Z$45,0)),0)</f>
        <v>110563.68</v>
      </c>
      <c r="L48" s="286">
        <f>(L$12&gt;=$F$2)*IFERROR(INDEX('02_Debt Engine'!$F$46:$Z$62,MATCH($C$1,'02_Debt Engine'!$B$19:$B$35,0),MATCH(L$12,'02_Debt Engine'!$F$45:$Z$45,0)),0)</f>
        <v>110563.68</v>
      </c>
      <c r="M48" s="286">
        <f>(M$12&gt;=$F$2)*IFERROR(INDEX('02_Debt Engine'!$F$46:$Z$62,MATCH($C$1,'02_Debt Engine'!$B$19:$B$35,0),MATCH(M$12,'02_Debt Engine'!$F$45:$Z$45,0)),0)</f>
        <v>110563.68</v>
      </c>
      <c r="N48" s="286">
        <f>(N$12&gt;=$F$2)*IFERROR(INDEX('02_Debt Engine'!$F$46:$Z$62,MATCH($C$1,'02_Debt Engine'!$B$19:$B$35,0),MATCH(N$12,'02_Debt Engine'!$F$45:$Z$45,0)),0)</f>
        <v>110563.68</v>
      </c>
      <c r="O48" s="286">
        <f>(O$12&gt;=$F$2)*IFERROR(INDEX('02_Debt Engine'!$F$46:$Z$62,MATCH($C$1,'02_Debt Engine'!$B$19:$B$35,0),MATCH(O$12,'02_Debt Engine'!$F$45:$Z$45,0)),0)</f>
        <v>110563.68</v>
      </c>
      <c r="P48" s="286">
        <f>(P$12&gt;=$F$2)*IFERROR(INDEX('02_Debt Engine'!$F$46:$Z$62,MATCH($C$1,'02_Debt Engine'!$B$19:$B$35,0),MATCH(P$12,'02_Debt Engine'!$F$45:$Z$45,0)),0)</f>
        <v>110563.68</v>
      </c>
      <c r="Q48" s="286">
        <f>(Q$12&gt;=$F$2)*IFERROR(INDEX('02_Debt Engine'!$F$46:$Z$62,MATCH($C$1,'02_Debt Engine'!$B$19:$B$35,0),MATCH(Q$12,'02_Debt Engine'!$F$45:$Z$45,0)),0)</f>
        <v>110563.68</v>
      </c>
      <c r="R48" s="286">
        <f>(R$12&gt;=$F$2)*IFERROR(INDEX('02_Debt Engine'!$F$46:$Z$62,MATCH($C$1,'02_Debt Engine'!$B$19:$B$35,0),MATCH(R$12,'02_Debt Engine'!$F$45:$Z$45,0)),0)</f>
        <v>110563.68</v>
      </c>
      <c r="S48" s="286">
        <f>(S$12&gt;=$F$2)*IFERROR(INDEX('02_Debt Engine'!$F$46:$Z$62,MATCH($C$1,'02_Debt Engine'!$B$19:$B$35,0),MATCH(S$12,'02_Debt Engine'!$F$45:$Z$45,0)),0)</f>
        <v>110563.68</v>
      </c>
      <c r="T48" s="286">
        <f>(T$12&gt;=$F$2)*IFERROR(INDEX('02_Debt Engine'!$F$46:$Z$62,MATCH($C$1,'02_Debt Engine'!$B$19:$B$35,0),MATCH(T$12,'02_Debt Engine'!$F$45:$Z$45,0)),0)</f>
        <v>110563.68</v>
      </c>
      <c r="U48" s="286">
        <f>(U$12&gt;=$F$2)*IFERROR(INDEX('02_Debt Engine'!$F$46:$Z$62,MATCH($C$1,'02_Debt Engine'!$B$19:$B$35,0),MATCH(U$12,'02_Debt Engine'!$F$45:$Z$45,0)),0)</f>
        <v>110563.68</v>
      </c>
      <c r="V48" s="286">
        <f>(V$12&gt;=$F$2)*IFERROR(INDEX('02_Debt Engine'!$F$46:$Z$62,MATCH($C$1,'02_Debt Engine'!$B$19:$B$35,0),MATCH(V$12,'02_Debt Engine'!$F$45:$Z$45,0)),0)</f>
        <v>110563.68</v>
      </c>
      <c r="W48" s="286">
        <f>(W$12&gt;=$F$2)*IFERROR(INDEX('02_Debt Engine'!$F$46:$Z$62,MATCH($C$1,'02_Debt Engine'!$B$19:$B$35,0),MATCH(W$12,'02_Debt Engine'!$F$45:$Z$45,0)),0)</f>
        <v>110563.68</v>
      </c>
      <c r="X48" s="286">
        <f>(X$12&gt;=$F$2)*IFERROR(INDEX('02_Debt Engine'!$F$46:$Z$62,MATCH($C$1,'02_Debt Engine'!$B$19:$B$35,0),MATCH(X$12,'02_Debt Engine'!$F$45:$Z$45,0)),0)</f>
        <v>110563.68</v>
      </c>
      <c r="Y48" s="286">
        <f>(Y$12&gt;=$F$2)*IFERROR(INDEX('02_Debt Engine'!$F$46:$Z$62,MATCH($C$1,'02_Debt Engine'!$B$19:$B$35,0),MATCH(Y$12,'02_Debt Engine'!$F$45:$Z$45,0)),0)</f>
        <v>110563.68</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2.3440504512874392</v>
      </c>
      <c r="F50" s="290">
        <f t="shared" si="14"/>
        <v>2.3491630097695735</v>
      </c>
      <c r="G50" s="290">
        <f t="shared" si="14"/>
        <v>2.3535070813996062</v>
      </c>
      <c r="H50" s="290">
        <f t="shared" si="14"/>
        <v>2.901950434756007</v>
      </c>
      <c r="I50" s="290">
        <f t="shared" si="14"/>
        <v>2.9155028970988344</v>
      </c>
      <c r="J50" s="290">
        <f t="shared" si="14"/>
        <v>2.9283469468344268</v>
      </c>
      <c r="K50" s="290">
        <f t="shared" si="14"/>
        <v>2.9404292372364766</v>
      </c>
      <c r="L50" s="290">
        <f t="shared" si="14"/>
        <v>2.9516937875051812</v>
      </c>
      <c r="M50" s="290">
        <f t="shared" si="14"/>
        <v>2.9620818674002196</v>
      </c>
      <c r="N50" s="290">
        <f t="shared" si="14"/>
        <v>2.9715318770589536</v>
      </c>
      <c r="O50" s="290">
        <f t="shared" si="14"/>
        <v>3.0032166914009237</v>
      </c>
      <c r="P50" s="290">
        <f t="shared" si="14"/>
        <v>2.0353415564497528</v>
      </c>
      <c r="Q50" s="290">
        <f t="shared" si="14"/>
        <v>2.0679104320800787</v>
      </c>
      <c r="R50" s="290">
        <f t="shared" si="14"/>
        <v>2.1009272363355418</v>
      </c>
      <c r="S50" s="290">
        <f t="shared" si="14"/>
        <v>2.1343958415664641</v>
      </c>
      <c r="T50" s="290">
        <f t="shared" si="14"/>
        <v>2.1683200704146084</v>
      </c>
      <c r="U50" s="290">
        <f t="shared" si="14"/>
        <v>2.2027036916401368</v>
      </c>
      <c r="V50" s="290">
        <f t="shared" si="14"/>
        <v>2.2375504157856043</v>
      </c>
      <c r="W50" s="290">
        <f t="shared" si="14"/>
        <v>2.2728638906718008</v>
      </c>
      <c r="X50" s="290">
        <f t="shared" si="14"/>
        <v>2.3086476967199827</v>
      </c>
      <c r="Y50" s="290">
        <f t="shared" si="14"/>
        <v>2.3449053420949966</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148603.16399999999</v>
      </c>
      <c r="F52" s="291">
        <f t="shared" si="15"/>
        <v>149168.42727999997</v>
      </c>
      <c r="G52" s="291">
        <f t="shared" si="15"/>
        <v>149648.7238256</v>
      </c>
      <c r="H52" s="291">
        <f t="shared" si="15"/>
        <v>210286.639244224</v>
      </c>
      <c r="I52" s="291">
        <f t="shared" si="15"/>
        <v>211785.04935390846</v>
      </c>
      <c r="J52" s="291">
        <f t="shared" si="15"/>
        <v>213205.13475877856</v>
      </c>
      <c r="K52" s="291">
        <f t="shared" si="15"/>
        <v>214540.99724845786</v>
      </c>
      <c r="L52" s="291">
        <f t="shared" si="15"/>
        <v>215786.44737971085</v>
      </c>
      <c r="M52" s="291">
        <f t="shared" si="15"/>
        <v>216934.99172104028</v>
      </c>
      <c r="N52" s="291">
        <f t="shared" si="15"/>
        <v>217979.81956494547</v>
      </c>
      <c r="O52" s="291">
        <f t="shared" si="15"/>
        <v>221483.00923871045</v>
      </c>
      <c r="P52" s="291">
        <f t="shared" si="15"/>
        <v>114471.17253801241</v>
      </c>
      <c r="Q52" s="291">
        <f t="shared" si="15"/>
        <v>118072.10728116357</v>
      </c>
      <c r="R52" s="291">
        <f t="shared" si="15"/>
        <v>121722.56666148722</v>
      </c>
      <c r="S52" s="291">
        <f t="shared" si="15"/>
        <v>125422.97882028521</v>
      </c>
      <c r="T52" s="291">
        <f t="shared" si="15"/>
        <v>129173.76640289824</v>
      </c>
      <c r="U52" s="291">
        <f t="shared" si="15"/>
        <v>132975.34609731878</v>
      </c>
      <c r="V52" s="291">
        <f t="shared" si="15"/>
        <v>136828.12815478651</v>
      </c>
      <c r="W52" s="291">
        <f t="shared" si="15"/>
        <v>140732.51589179196</v>
      </c>
      <c r="X52" s="291">
        <f t="shared" si="15"/>
        <v>144688.90517288522</v>
      </c>
      <c r="Y52" s="291">
        <f t="shared" si="15"/>
        <v>148697.68387368173</v>
      </c>
    </row>
    <row r="53" spans="3:25" ht="7.15" customHeight="1">
      <c r="C53" s="14"/>
      <c r="D53" s="17"/>
    </row>
    <row r="54" spans="3:25" ht="13.5" customHeight="1">
      <c r="C54" s="15" t="s">
        <v>363</v>
      </c>
      <c r="D54" s="20"/>
      <c r="E54" s="292">
        <f t="shared" ref="E54:Y54" si="16">IF(E52&lt;0,0,E52*$G$7)</f>
        <v>89161.898399999991</v>
      </c>
      <c r="F54" s="292">
        <f t="shared" si="16"/>
        <v>89501.056367999976</v>
      </c>
      <c r="G54" s="292">
        <f t="shared" si="16"/>
        <v>89789.234295360002</v>
      </c>
      <c r="H54" s="292">
        <f t="shared" si="16"/>
        <v>126171.98354653439</v>
      </c>
      <c r="I54" s="292">
        <f t="shared" si="16"/>
        <v>127071.02961234507</v>
      </c>
      <c r="J54" s="292">
        <f t="shared" si="16"/>
        <v>127923.08085526712</v>
      </c>
      <c r="K54" s="292">
        <f t="shared" si="16"/>
        <v>128724.59834907472</v>
      </c>
      <c r="L54" s="292">
        <f t="shared" si="16"/>
        <v>129471.8684278265</v>
      </c>
      <c r="M54" s="292">
        <f t="shared" si="16"/>
        <v>130160.99503262417</v>
      </c>
      <c r="N54" s="292">
        <f t="shared" si="16"/>
        <v>130787.89173896727</v>
      </c>
      <c r="O54" s="292">
        <f t="shared" si="16"/>
        <v>132889.80554322628</v>
      </c>
      <c r="P54" s="292">
        <f t="shared" si="16"/>
        <v>68682.703522807438</v>
      </c>
      <c r="Q54" s="292">
        <f t="shared" si="16"/>
        <v>70843.264368698132</v>
      </c>
      <c r="R54" s="292">
        <f t="shared" si="16"/>
        <v>73033.53999689233</v>
      </c>
      <c r="S54" s="292">
        <f t="shared" si="16"/>
        <v>75253.787292171124</v>
      </c>
      <c r="T54" s="292">
        <f t="shared" si="16"/>
        <v>77504.259841738938</v>
      </c>
      <c r="U54" s="292">
        <f t="shared" si="16"/>
        <v>79785.207658391257</v>
      </c>
      <c r="V54" s="292">
        <f t="shared" si="16"/>
        <v>82096.876892871907</v>
      </c>
      <c r="W54" s="292">
        <f t="shared" si="16"/>
        <v>84439.50953507518</v>
      </c>
      <c r="X54" s="292">
        <f t="shared" si="16"/>
        <v>86813.343103731124</v>
      </c>
      <c r="Y54" s="292">
        <f t="shared" si="16"/>
        <v>89218.610324209032</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59441.265599999999</v>
      </c>
      <c r="F56" s="291">
        <f t="shared" si="17"/>
        <v>59667.370911999998</v>
      </c>
      <c r="G56" s="291">
        <f t="shared" si="17"/>
        <v>59859.489530239996</v>
      </c>
      <c r="H56" s="291">
        <f t="shared" si="17"/>
        <v>84114.65569768961</v>
      </c>
      <c r="I56" s="291">
        <f t="shared" si="17"/>
        <v>84714.019741563388</v>
      </c>
      <c r="J56" s="291">
        <f t="shared" si="17"/>
        <v>85282.053903511434</v>
      </c>
      <c r="K56" s="291">
        <f t="shared" si="17"/>
        <v>85816.398899383144</v>
      </c>
      <c r="L56" s="291">
        <f t="shared" si="17"/>
        <v>86314.578951884352</v>
      </c>
      <c r="M56" s="291">
        <f t="shared" si="17"/>
        <v>86773.996688416111</v>
      </c>
      <c r="N56" s="291">
        <f t="shared" si="17"/>
        <v>87191.9278259782</v>
      </c>
      <c r="O56" s="291">
        <f t="shared" si="17"/>
        <v>88593.203695484175</v>
      </c>
      <c r="P56" s="291">
        <f t="shared" si="17"/>
        <v>45788.469015204973</v>
      </c>
      <c r="Q56" s="291">
        <f t="shared" si="17"/>
        <v>47228.842912465436</v>
      </c>
      <c r="R56" s="291">
        <f t="shared" si="17"/>
        <v>48689.026664594887</v>
      </c>
      <c r="S56" s="291">
        <f t="shared" si="17"/>
        <v>50169.191528114083</v>
      </c>
      <c r="T56" s="291">
        <f t="shared" si="17"/>
        <v>51669.506561159302</v>
      </c>
      <c r="U56" s="291">
        <f t="shared" si="17"/>
        <v>53190.138438927519</v>
      </c>
      <c r="V56" s="291">
        <f t="shared" si="17"/>
        <v>54731.2512619146</v>
      </c>
      <c r="W56" s="291">
        <f t="shared" si="17"/>
        <v>56293.006356716782</v>
      </c>
      <c r="X56" s="291">
        <f t="shared" si="17"/>
        <v>57875.562069154097</v>
      </c>
      <c r="Y56" s="291">
        <f t="shared" si="17"/>
        <v>59479.073549472698</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
      </c>
      <c r="I60" s="288" t="str">
        <f t="shared" si="18"/>
        <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0</v>
      </c>
      <c r="I63" s="285">
        <f t="shared" si="19"/>
        <v>0</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1571852.7659735999</v>
      </c>
      <c r="F64" s="296">
        <f>INDEX('02_Debt Engine'!$F$74:$Z$90,MATCH($C$1,'02_Debt Engine'!$B$74:$B$90,0),MATCH(F$12,'02_Debt Engine'!$F$73:$Z$73,0))</f>
        <v>1524540.4412763775</v>
      </c>
      <c r="G64" s="296">
        <f>INDEX('02_Debt Engine'!$F$74:$Z$90,MATCH($C$1,'02_Debt Engine'!$B$74:$B$90,0),MATCH(G$12,'02_Debt Engine'!$F$73:$Z$73,0))</f>
        <v>1475324.2686333391</v>
      </c>
      <c r="H64" s="296">
        <f>INDEX('02_Debt Engine'!$F$74:$Z$90,MATCH($C$1,'02_Debt Engine'!$B$74:$B$90,0),MATCH(H$12,'02_Debt Engine'!$F$73:$Z$73,0))</f>
        <v>1424127.6372031446</v>
      </c>
      <c r="I64" s="296">
        <f>INDEX('02_Debt Engine'!$F$74:$Z$90,MATCH($C$1,'02_Debt Engine'!$B$74:$B$90,0),MATCH(I$12,'02_Debt Engine'!$F$73:$Z$73,0))</f>
        <v>1370870.8533241991</v>
      </c>
      <c r="J64" s="296">
        <f>INDEX('02_Debt Engine'!$F$74:$Z$90,MATCH($C$1,'02_Debt Engine'!$B$74:$B$90,0),MATCH(J$12,'02_Debt Engine'!$F$73:$Z$73,0))</f>
        <v>1315471.0164619649</v>
      </c>
      <c r="K64" s="296">
        <f>INDEX('02_Debt Engine'!$F$74:$Z$90,MATCH($C$1,'02_Debt Engine'!$B$74:$B$90,0),MATCH(K$12,'02_Debt Engine'!$F$73:$Z$73,0))</f>
        <v>1257841.8901643944</v>
      </c>
      <c r="L64" s="296">
        <f>INDEX('02_Debt Engine'!$F$74:$Z$90,MATCH($C$1,'02_Debt Engine'!$B$74:$B$90,0),MATCH(L$12,'02_Debt Engine'!$F$73:$Z$73,0))</f>
        <v>1197893.7678246095</v>
      </c>
      <c r="M64" s="296">
        <f>INDEX('02_Debt Engine'!$F$74:$Z$90,MATCH($C$1,'02_Debt Engine'!$B$74:$B$90,0),MATCH(M$12,'02_Debt Engine'!$F$73:$Z$73,0))</f>
        <v>1135533.3330418719</v>
      </c>
      <c r="N64" s="296">
        <f>INDEX('02_Debt Engine'!$F$74:$Z$90,MATCH($C$1,'02_Debt Engine'!$B$74:$B$90,0),MATCH(N$12,'02_Debt Engine'!$F$73:$Z$73,0))</f>
        <v>1070663.5143634768</v>
      </c>
      <c r="O64" s="296">
        <f>INDEX('02_Debt Engine'!$F$74:$Z$90,MATCH($C$1,'02_Debt Engine'!$B$74:$B$90,0),MATCH(O$12,'02_Debt Engine'!$F$73:$Z$73,0))</f>
        <v>1003183.3341814631</v>
      </c>
      <c r="P64" s="296">
        <f>INDEX('02_Debt Engine'!$F$74:$Z$90,MATCH($C$1,'02_Debt Engine'!$B$74:$B$90,0),MATCH(P$12,'02_Debt Engine'!$F$73:$Z$73,0))</f>
        <v>932987.75154892518</v>
      </c>
      <c r="Q64" s="296">
        <f>INDEX('02_Debt Engine'!$F$74:$Z$90,MATCH($C$1,'02_Debt Engine'!$B$74:$B$90,0),MATCH(Q$12,'02_Debt Engine'!$F$73:$Z$73,0))</f>
        <v>859967.49867125391</v>
      </c>
      <c r="R64" s="296">
        <f>INDEX('02_Debt Engine'!$F$74:$Z$90,MATCH($C$1,'02_Debt Engine'!$B$74:$B$90,0),MATCH(R$12,'02_Debt Engine'!$F$73:$Z$73,0))</f>
        <v>784008.91081778519</v>
      </c>
      <c r="S64" s="296">
        <f>INDEX('02_Debt Engine'!$F$74:$Z$90,MATCH($C$1,'02_Debt Engine'!$B$74:$B$90,0),MATCH(S$12,'02_Debt Engine'!$F$73:$Z$73,0))</f>
        <v>704993.7493890929</v>
      </c>
      <c r="T64" s="296">
        <f>INDEX('02_Debt Engine'!$F$74:$Z$90,MATCH($C$1,'02_Debt Engine'!$B$74:$B$90,0),MATCH(T$12,'02_Debt Engine'!$F$73:$Z$73,0))</f>
        <v>622799.01786450995</v>
      </c>
      <c r="U64" s="296">
        <f>INDEX('02_Debt Engine'!$F$74:$Z$90,MATCH($C$1,'02_Debt Engine'!$B$74:$B$90,0),MATCH(U$12,'02_Debt Engine'!$F$73:$Z$73,0))</f>
        <v>537296.77034337784</v>
      </c>
      <c r="V64" s="296">
        <f>INDEX('02_Debt Engine'!$F$74:$Z$90,MATCH($C$1,'02_Debt Engine'!$B$74:$B$90,0),MATCH(V$12,'02_Debt Engine'!$F$73:$Z$73,0))</f>
        <v>448353.91238199535</v>
      </c>
      <c r="W64" s="296">
        <f>INDEX('02_Debt Engine'!$F$74:$Z$90,MATCH($C$1,'02_Debt Engine'!$B$74:$B$90,0),MATCH(W$12,'02_Debt Engine'!$F$73:$Z$73,0))</f>
        <v>355831.99381624686</v>
      </c>
      <c r="X64" s="296">
        <f>INDEX('02_Debt Engine'!$F$74:$Z$90,MATCH($C$1,'02_Debt Engine'!$B$74:$B$90,0),MATCH(X$12,'02_Debt Engine'!$F$73:$Z$73,0))</f>
        <v>259586.99324741264</v>
      </c>
      <c r="Y64" s="296">
        <f>INDEX('02_Debt Engine'!$F$74:$Z$90,MATCH($C$1,'02_Debt Engine'!$B$74:$B$90,0),MATCH(Y$12,'02_Debt Engine'!$F$73:$Z$73,0))</f>
        <v>159469.09385568852</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
      </c>
      <c r="I66" s="288" t="str">
        <f t="shared" si="20"/>
        <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59441.265599999999</v>
      </c>
      <c r="F67" s="285">
        <f t="shared" si="21"/>
        <v>59667.370911999998</v>
      </c>
      <c r="G67" s="285">
        <f t="shared" si="21"/>
        <v>59859.489530239996</v>
      </c>
      <c r="H67" s="285">
        <f t="shared" si="21"/>
        <v>84114.65569768961</v>
      </c>
      <c r="I67" s="285">
        <f t="shared" si="21"/>
        <v>84714.019741563388</v>
      </c>
      <c r="J67" s="285">
        <f t="shared" si="21"/>
        <v>85282.053903511434</v>
      </c>
      <c r="K67" s="285">
        <f t="shared" si="21"/>
        <v>85816.398899383144</v>
      </c>
      <c r="L67" s="285">
        <f t="shared" si="21"/>
        <v>86314.578951884352</v>
      </c>
      <c r="M67" s="285">
        <f t="shared" si="21"/>
        <v>86773.996688416111</v>
      </c>
      <c r="N67" s="285">
        <f t="shared" si="21"/>
        <v>87191.9278259782</v>
      </c>
      <c r="O67" s="285">
        <f t="shared" si="21"/>
        <v>88593.203695484175</v>
      </c>
      <c r="P67" s="285">
        <f t="shared" si="21"/>
        <v>45788.469015204973</v>
      </c>
      <c r="Q67" s="285">
        <f t="shared" si="21"/>
        <v>47228.842912465436</v>
      </c>
      <c r="R67" s="285">
        <f t="shared" si="21"/>
        <v>48689.026664594887</v>
      </c>
      <c r="S67" s="285">
        <f t="shared" si="21"/>
        <v>50169.191528114083</v>
      </c>
      <c r="T67" s="285">
        <f t="shared" si="21"/>
        <v>51669.506561159302</v>
      </c>
      <c r="U67" s="285">
        <f t="shared" si="21"/>
        <v>53190.138438927519</v>
      </c>
      <c r="V67" s="285">
        <f t="shared" si="21"/>
        <v>54731.2512619146</v>
      </c>
      <c r="W67" s="285">
        <f t="shared" si="21"/>
        <v>56293.006356716782</v>
      </c>
      <c r="X67" s="285">
        <f t="shared" si="21"/>
        <v>57875.562069154097</v>
      </c>
      <c r="Y67" s="285">
        <f t="shared" si="21"/>
        <v>59479.073549472698</v>
      </c>
    </row>
    <row r="68" spans="3:25" s="20" customFormat="1" ht="13.5" customHeight="1">
      <c r="C68" s="26" t="s">
        <v>544</v>
      </c>
      <c r="E68" s="287">
        <f t="shared" ref="E68:Y68" si="22">E67+E$63</f>
        <v>59441.265599999999</v>
      </c>
      <c r="F68" s="287">
        <f t="shared" si="22"/>
        <v>59667.370911999998</v>
      </c>
      <c r="G68" s="287">
        <f t="shared" si="22"/>
        <v>59859.489530239996</v>
      </c>
      <c r="H68" s="287">
        <f t="shared" si="22"/>
        <v>84114.65569768961</v>
      </c>
      <c r="I68" s="287">
        <f t="shared" si="22"/>
        <v>84714.019741563388</v>
      </c>
      <c r="J68" s="287">
        <f t="shared" si="22"/>
        <v>85282.053903511434</v>
      </c>
      <c r="K68" s="287">
        <f t="shared" si="22"/>
        <v>85816.398899383144</v>
      </c>
      <c r="L68" s="287">
        <f t="shared" si="22"/>
        <v>86314.578951884352</v>
      </c>
      <c r="M68" s="287">
        <f t="shared" si="22"/>
        <v>86773.996688416111</v>
      </c>
      <c r="N68" s="287">
        <f t="shared" si="22"/>
        <v>87191.9278259782</v>
      </c>
      <c r="O68" s="287">
        <f t="shared" si="22"/>
        <v>88593.203695484175</v>
      </c>
      <c r="P68" s="287">
        <f t="shared" si="22"/>
        <v>45788.469015204973</v>
      </c>
      <c r="Q68" s="287">
        <f t="shared" si="22"/>
        <v>47228.842912465436</v>
      </c>
      <c r="R68" s="287">
        <f t="shared" si="22"/>
        <v>48689.026664594887</v>
      </c>
      <c r="S68" s="287">
        <f t="shared" si="22"/>
        <v>50169.191528114083</v>
      </c>
      <c r="T68" s="287">
        <f t="shared" si="22"/>
        <v>51669.506561159302</v>
      </c>
      <c r="U68" s="287">
        <f t="shared" si="22"/>
        <v>53190.138438927519</v>
      </c>
      <c r="V68" s="287">
        <f t="shared" si="22"/>
        <v>54731.2512619146</v>
      </c>
      <c r="W68" s="287">
        <f t="shared" si="22"/>
        <v>56293.006356716782</v>
      </c>
      <c r="X68" s="287">
        <f t="shared" si="22"/>
        <v>57875.562069154097</v>
      </c>
      <c r="Y68" s="287">
        <f t="shared" si="22"/>
        <v>59479.073549472698</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4319447.3999999994</v>
      </c>
      <c r="F73" s="285">
        <f t="shared" si="24"/>
        <v>4328868.4546666667</v>
      </c>
      <c r="G73" s="285">
        <f t="shared" si="24"/>
        <v>4336873.3970933333</v>
      </c>
      <c r="H73" s="285">
        <f t="shared" si="24"/>
        <v>5347505.3207370667</v>
      </c>
      <c r="I73" s="285">
        <f t="shared" si="24"/>
        <v>5372478.8225651411</v>
      </c>
      <c r="J73" s="285">
        <f t="shared" si="24"/>
        <v>5396146.9126463095</v>
      </c>
      <c r="K73" s="285">
        <f t="shared" si="24"/>
        <v>5418411.2874742979</v>
      </c>
      <c r="L73" s="285">
        <f t="shared" si="24"/>
        <v>5439168.789661848</v>
      </c>
      <c r="M73" s="285">
        <f t="shared" si="24"/>
        <v>5458311.1953506712</v>
      </c>
      <c r="N73" s="285">
        <f t="shared" si="24"/>
        <v>5475724.9927490912</v>
      </c>
      <c r="O73" s="285">
        <f t="shared" si="24"/>
        <v>5534111.487311841</v>
      </c>
      <c r="P73" s="285">
        <f t="shared" si="24"/>
        <v>3750580.8756335401</v>
      </c>
      <c r="Q73" s="285">
        <f t="shared" si="24"/>
        <v>3810596.4546860596</v>
      </c>
      <c r="R73" s="285">
        <f t="shared" si="24"/>
        <v>3871437.4443581202</v>
      </c>
      <c r="S73" s="285">
        <f t="shared" si="24"/>
        <v>3933110.9803380868</v>
      </c>
      <c r="T73" s="285">
        <f t="shared" si="24"/>
        <v>3995624.1067149709</v>
      </c>
      <c r="U73" s="285">
        <f t="shared" si="24"/>
        <v>4058983.7682886464</v>
      </c>
      <c r="V73" s="285">
        <f t="shared" si="24"/>
        <v>4123196.802579775</v>
      </c>
      <c r="W73" s="285">
        <f t="shared" si="24"/>
        <v>4188269.9315298661</v>
      </c>
      <c r="X73" s="285">
        <f t="shared" si="24"/>
        <v>4254209.7528814208</v>
      </c>
      <c r="Y73" s="285">
        <f t="shared" si="24"/>
        <v>4321022.7312280284</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
      </c>
      <c r="I75" s="288" t="str">
        <f t="shared" si="25"/>
        <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1571852.7659735999</v>
      </c>
      <c r="F76" s="285">
        <f t="shared" si="26"/>
        <v>1524540.4412763775</v>
      </c>
      <c r="G76" s="285">
        <f t="shared" si="26"/>
        <v>1475324.2686333391</v>
      </c>
      <c r="H76" s="285">
        <f t="shared" si="26"/>
        <v>1424127.6372031446</v>
      </c>
      <c r="I76" s="285">
        <f t="shared" si="26"/>
        <v>1370870.8533241991</v>
      </c>
      <c r="J76" s="285">
        <f t="shared" si="26"/>
        <v>1315471.0164619649</v>
      </c>
      <c r="K76" s="285">
        <f t="shared" si="26"/>
        <v>1257841.8901643944</v>
      </c>
      <c r="L76" s="285">
        <f t="shared" si="26"/>
        <v>1197893.7678246095</v>
      </c>
      <c r="M76" s="285">
        <f t="shared" si="26"/>
        <v>1135533.3330418719</v>
      </c>
      <c r="N76" s="285">
        <f t="shared" si="26"/>
        <v>1070663.5143634768</v>
      </c>
      <c r="O76" s="285">
        <f t="shared" si="26"/>
        <v>1003183.3341814631</v>
      </c>
      <c r="P76" s="285">
        <f t="shared" si="26"/>
        <v>932987.75154892518</v>
      </c>
      <c r="Q76" s="285">
        <f t="shared" si="26"/>
        <v>859967.49867125391</v>
      </c>
      <c r="R76" s="285">
        <f t="shared" si="26"/>
        <v>784008.91081778519</v>
      </c>
      <c r="S76" s="285">
        <f t="shared" si="26"/>
        <v>704993.7493890929</v>
      </c>
      <c r="T76" s="285">
        <f t="shared" si="26"/>
        <v>622799.01786450995</v>
      </c>
      <c r="U76" s="285">
        <f t="shared" si="26"/>
        <v>537296.77034337784</v>
      </c>
      <c r="V76" s="285">
        <f t="shared" si="26"/>
        <v>448353.91238199535</v>
      </c>
      <c r="W76" s="285">
        <f t="shared" si="26"/>
        <v>355831.99381624686</v>
      </c>
      <c r="X76" s="285">
        <f t="shared" si="26"/>
        <v>259586.99324741264</v>
      </c>
      <c r="Y76" s="285">
        <f t="shared" si="26"/>
        <v>159469.09385568852</v>
      </c>
    </row>
    <row r="77" spans="3:25" ht="13.5" customHeight="1">
      <c r="C77" s="26" t="s">
        <v>376</v>
      </c>
      <c r="D77" s="21"/>
      <c r="E77" s="287">
        <f t="shared" ref="E77:Y77" si="27">E73-E$76</f>
        <v>2747594.6340263998</v>
      </c>
      <c r="F77" s="287">
        <f t="shared" si="27"/>
        <v>2804328.0133902892</v>
      </c>
      <c r="G77" s="287">
        <f t="shared" si="27"/>
        <v>2861549.1284599942</v>
      </c>
      <c r="H77" s="287">
        <f t="shared" si="27"/>
        <v>3923377.6835339218</v>
      </c>
      <c r="I77" s="287">
        <f t="shared" si="27"/>
        <v>4001607.969240942</v>
      </c>
      <c r="J77" s="287">
        <f t="shared" si="27"/>
        <v>4080675.8961843448</v>
      </c>
      <c r="K77" s="287">
        <f t="shared" si="27"/>
        <v>4160569.3973099035</v>
      </c>
      <c r="L77" s="287">
        <f t="shared" si="27"/>
        <v>4241275.0218372382</v>
      </c>
      <c r="M77" s="287">
        <f t="shared" si="27"/>
        <v>4322777.8623087993</v>
      </c>
      <c r="N77" s="287">
        <f t="shared" si="27"/>
        <v>4405061.4783856142</v>
      </c>
      <c r="O77" s="287">
        <f t="shared" si="27"/>
        <v>4530928.1531303776</v>
      </c>
      <c r="P77" s="287">
        <f t="shared" si="27"/>
        <v>2817593.1240846151</v>
      </c>
      <c r="Q77" s="287">
        <f t="shared" si="27"/>
        <v>2950628.9560148055</v>
      </c>
      <c r="R77" s="287">
        <f t="shared" si="27"/>
        <v>3087428.533540335</v>
      </c>
      <c r="S77" s="287">
        <f t="shared" si="27"/>
        <v>3228117.2309489939</v>
      </c>
      <c r="T77" s="287">
        <f t="shared" si="27"/>
        <v>3372825.0888504609</v>
      </c>
      <c r="U77" s="287">
        <f t="shared" si="27"/>
        <v>3521686.9979452686</v>
      </c>
      <c r="V77" s="287">
        <f t="shared" si="27"/>
        <v>3674842.8901977795</v>
      </c>
      <c r="W77" s="287">
        <f t="shared" si="27"/>
        <v>3832437.9377136193</v>
      </c>
      <c r="X77" s="287">
        <f t="shared" si="27"/>
        <v>3994622.7596340082</v>
      </c>
      <c r="Y77" s="287">
        <f t="shared" si="27"/>
        <v>4161553.6373723401</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2026</v>
      </c>
      <c r="D79" s="20"/>
      <c r="E79" s="289" t="str">
        <f t="shared" ref="E79:Y79" si="28">IF(E$72=$F$2+1,"STAB. YR.","")</f>
        <v/>
      </c>
      <c r="F79" s="289" t="str">
        <f t="shared" si="28"/>
        <v>STAB. YR.</v>
      </c>
      <c r="G79" s="289" t="str">
        <f t="shared" si="28"/>
        <v/>
      </c>
      <c r="H79" s="289" t="str">
        <f t="shared" si="28"/>
        <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4328868.4546666667</v>
      </c>
      <c r="G80" s="296">
        <f t="shared" si="29"/>
        <v>0</v>
      </c>
      <c r="H80" s="296">
        <f t="shared" si="29"/>
        <v>0</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5.9869420083811825E-2</v>
      </c>
      <c r="F81" s="344">
        <f t="shared" si="30"/>
        <v>5.9999999999999991E-2</v>
      </c>
      <c r="G81" s="344">
        <f t="shared" si="30"/>
        <v>6.011095198448043E-2</v>
      </c>
      <c r="H81" s="344">
        <f t="shared" si="30"/>
        <v>7.4118750108550069E-2</v>
      </c>
      <c r="I81" s="344">
        <f t="shared" si="30"/>
        <v>7.4464893708286656E-2</v>
      </c>
      <c r="J81" s="344">
        <f t="shared" si="30"/>
        <v>7.4792943733308595E-2</v>
      </c>
      <c r="K81" s="344">
        <f t="shared" si="30"/>
        <v>7.5101537654253273E-2</v>
      </c>
      <c r="L81" s="344">
        <f t="shared" si="30"/>
        <v>7.5389245664855983E-2</v>
      </c>
      <c r="M81" s="344">
        <f t="shared" si="30"/>
        <v>7.5654567735359488E-2</v>
      </c>
      <c r="N81" s="344">
        <f t="shared" si="30"/>
        <v>7.5895930542949269E-2</v>
      </c>
      <c r="O81" s="344">
        <f t="shared" si="30"/>
        <v>7.6705192757879459E-2</v>
      </c>
      <c r="P81" s="344">
        <f t="shared" si="30"/>
        <v>5.198468257805737E-2</v>
      </c>
      <c r="Q81" s="344">
        <f t="shared" si="30"/>
        <v>5.2816524612727941E-2</v>
      </c>
      <c r="R81" s="344">
        <f t="shared" si="30"/>
        <v>5.3659807197669586E-2</v>
      </c>
      <c r="S81" s="344">
        <f t="shared" si="30"/>
        <v>5.4514629236627324E-2</v>
      </c>
      <c r="T81" s="344">
        <f t="shared" si="30"/>
        <v>5.5381088363739291E-2</v>
      </c>
      <c r="U81" s="344">
        <f t="shared" si="30"/>
        <v>5.6259280836953002E-2</v>
      </c>
      <c r="V81" s="344">
        <f t="shared" si="30"/>
        <v>5.7149301427279399E-2</v>
      </c>
      <c r="W81" s="344">
        <f t="shared" si="30"/>
        <v>5.8051243303752081E-2</v>
      </c>
      <c r="X81" s="344">
        <f t="shared" si="30"/>
        <v>5.8965197913952383E-2</v>
      </c>
      <c r="Y81" s="344">
        <f t="shared" si="30"/>
        <v>5.989125485995981E-2</v>
      </c>
    </row>
    <row r="82" spans="1:25" s="20" customFormat="1" ht="13.9" customHeight="1">
      <c r="A82" s="3"/>
      <c r="B82" s="3"/>
      <c r="C82" s="21" t="s">
        <v>380</v>
      </c>
      <c r="E82" s="285">
        <f t="shared" ref="E82:Y82" si="31">IF(E$72=$F$2+1,E77,0)</f>
        <v>0</v>
      </c>
      <c r="F82" s="285">
        <f t="shared" si="31"/>
        <v>2804328.0133902892</v>
      </c>
      <c r="G82" s="285">
        <f t="shared" si="31"/>
        <v>0</v>
      </c>
      <c r="H82" s="285">
        <f t="shared" si="31"/>
        <v>0</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9.2416736830539498E-2</v>
      </c>
      <c r="F83" s="299">
        <f t="shared" si="32"/>
        <v>9.2618305005624901E-2</v>
      </c>
      <c r="G83" s="299">
        <f t="shared" si="32"/>
        <v>9.2789574751284715E-2</v>
      </c>
      <c r="H83" s="299">
        <f t="shared" si="32"/>
        <v>0.11441255006982309</v>
      </c>
      <c r="I83" s="299">
        <f t="shared" si="32"/>
        <v>0.11494687062809222</v>
      </c>
      <c r="J83" s="299">
        <f t="shared" si="32"/>
        <v>0.11545326124933532</v>
      </c>
      <c r="K83" s="299">
        <f t="shared" si="32"/>
        <v>0.11592961868088424</v>
      </c>
      <c r="L83" s="299">
        <f t="shared" si="32"/>
        <v>0.1163737358188603</v>
      </c>
      <c r="M83" s="299">
        <f t="shared" si="32"/>
        <v>0.11678329715970391</v>
      </c>
      <c r="N83" s="299">
        <f t="shared" si="32"/>
        <v>0.11715587406187665</v>
      </c>
      <c r="O83" s="299">
        <f t="shared" si="32"/>
        <v>0.11840508230607552</v>
      </c>
      <c r="P83" s="299">
        <f t="shared" si="32"/>
        <v>8.0245553110585233E-2</v>
      </c>
      <c r="Q83" s="299">
        <f t="shared" si="32"/>
        <v>8.1529616431978869E-2</v>
      </c>
      <c r="R83" s="299">
        <f t="shared" si="32"/>
        <v>8.2831339826279812E-2</v>
      </c>
      <c r="S83" s="299">
        <f t="shared" si="32"/>
        <v>8.4150875965108451E-2</v>
      </c>
      <c r="T83" s="299">
        <f t="shared" si="32"/>
        <v>8.5488375560271182E-2</v>
      </c>
      <c r="U83" s="299">
        <f t="shared" si="32"/>
        <v>8.684398719923371E-2</v>
      </c>
      <c r="V83" s="299">
        <f t="shared" si="32"/>
        <v>8.8217857174169315E-2</v>
      </c>
      <c r="W83" s="299">
        <f t="shared" si="32"/>
        <v>8.961012930437752E-2</v>
      </c>
      <c r="X83" s="299">
        <f t="shared" si="32"/>
        <v>9.1020944751857999E-2</v>
      </c>
      <c r="Y83" s="299">
        <f t="shared" si="32"/>
        <v>9.2450441829822899E-2</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2026</v>
      </c>
      <c r="E85" s="289" t="str">
        <f t="shared" ref="E85:Y85" si="33">IF(E$72=$F$2+1,"STAB. YR.","")</f>
        <v/>
      </c>
      <c r="F85" s="289" t="str">
        <f t="shared" si="33"/>
        <v>STAB. YR.</v>
      </c>
      <c r="G85" s="289" t="str">
        <f t="shared" si="33"/>
        <v/>
      </c>
      <c r="H85" s="289" t="str">
        <f t="shared" si="33"/>
        <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3.1794389948060255E-2</v>
      </c>
      <c r="F86" s="299">
        <f t="shared" si="34"/>
        <v>3.1915330853111497E-2</v>
      </c>
      <c r="G86" s="299">
        <f t="shared" si="34"/>
        <v>3.2018092700507386E-2</v>
      </c>
      <c r="H86" s="299">
        <f t="shared" si="34"/>
        <v>4.4991877891630415E-2</v>
      </c>
      <c r="I86" s="299">
        <f t="shared" si="34"/>
        <v>4.5312470226591892E-2</v>
      </c>
      <c r="J86" s="299">
        <f t="shared" si="34"/>
        <v>4.5616304599337743E-2</v>
      </c>
      <c r="K86" s="299">
        <f t="shared" si="34"/>
        <v>4.5902119058267105E-2</v>
      </c>
      <c r="L86" s="299">
        <f t="shared" si="34"/>
        <v>4.6168589341052738E-2</v>
      </c>
      <c r="M86" s="299">
        <f t="shared" si="34"/>
        <v>4.6414326145558904E-2</v>
      </c>
      <c r="N86" s="299">
        <f t="shared" si="34"/>
        <v>4.6637872286862551E-2</v>
      </c>
      <c r="O86" s="299">
        <f t="shared" si="34"/>
        <v>4.7387397233381874E-2</v>
      </c>
      <c r="P86" s="299">
        <f t="shared" si="34"/>
        <v>2.4491679716087691E-2</v>
      </c>
      <c r="Q86" s="299">
        <f t="shared" si="34"/>
        <v>2.5262117708923875E-2</v>
      </c>
      <c r="R86" s="299">
        <f t="shared" si="34"/>
        <v>2.6043151745504447E-2</v>
      </c>
      <c r="S86" s="299">
        <f t="shared" si="34"/>
        <v>2.6834873428801628E-2</v>
      </c>
      <c r="T86" s="299">
        <f t="shared" si="34"/>
        <v>2.7637373185899268E-2</v>
      </c>
      <c r="U86" s="299">
        <f t="shared" si="34"/>
        <v>2.8450740169276782E-2</v>
      </c>
      <c r="V86" s="299">
        <f t="shared" si="34"/>
        <v>2.9275062154238148E-2</v>
      </c>
      <c r="W86" s="299">
        <f t="shared" si="34"/>
        <v>3.0110425432363076E-2</v>
      </c>
      <c r="X86" s="299">
        <f t="shared" si="34"/>
        <v>3.0956914700851358E-2</v>
      </c>
      <c r="Y86" s="299">
        <f t="shared" si="34"/>
        <v>3.1814612947630293E-2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42263-3962-4B89-9272-328F99430939}">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313</v>
      </c>
      <c r="E1" s="275" t="str">
        <f>INDEX('01_Property Summary'!$E$5:$E$21,MATCH($C$1,'01_Property Summary'!$C$5:$C$21,0))</f>
        <v>DNV</v>
      </c>
      <c r="F1" s="332" t="s">
        <v>536</v>
      </c>
      <c r="G1" s="333" t="s">
        <v>102</v>
      </c>
      <c r="J1" s="450" t="s">
        <v>308</v>
      </c>
      <c r="K1" s="424"/>
      <c r="L1" s="424"/>
      <c r="M1" s="424"/>
      <c r="N1" s="424"/>
      <c r="O1" s="424"/>
      <c r="P1" s="3"/>
      <c r="Q1" s="3"/>
      <c r="R1" s="3"/>
      <c r="S1" s="3"/>
      <c r="T1" s="3"/>
    </row>
    <row r="2" spans="3:25" ht="14.45" customHeight="1">
      <c r="C2" s="300" t="s">
        <v>537</v>
      </c>
      <c r="E2" s="334" t="str">
        <f>_xlfn.LET(_xlpm.refi,INDEX('02_Debt Engine'!$F$19:$F$35,MATCH($C$1,'02_Debt Engine'!$B$19:$B$35,0)),
_xlpm.refiyr,INDEX('02_Debt Engine'!$I$19:$I$35,MATCH($C$1,'02_Debt Engine'!$B$19:$B$35,0)),IF(_xlpm.refi="Yes",_xlpm.refiyr,"No Refi"))</f>
        <v>No Refi</v>
      </c>
      <c r="F2" s="334">
        <f>INDEX('01_Property Summary'!$F$5:$F$21,MATCH($C$1,'01_Property Summary'!$C$5:$C$21,0))</f>
        <v>2025</v>
      </c>
      <c r="G2" s="334">
        <f>INDEX('01_Property Summary'!$K$4:$K$21,MATCH($C$1,'01_Property Summary'!$C$4:$C$21,0))</f>
        <v>2027</v>
      </c>
      <c r="J2" s="278" t="str">
        <f>"Gate 1 — NOI ≥ 0 at stabilization ("&amp;$F$2+1&amp;"):"</f>
        <v>Gate 1 — NOI ≥ 0 at stabilization (2026):</v>
      </c>
      <c r="M2" s="451" t="str">
        <f>_xlfn.LET(_xlpm.stabnoi,INDEX($41:$41,MATCH(($F$2+1),$12:$12,0)),IF(_xlpm.stabnoi&gt;=0,"PASS — NOI $"&amp;TEXT(_xlpm.stabnoi,"#,##0"),"FAIL — NOI $"&amp;TEXT(_xlpm.stabnoi,"#,##0")))</f>
        <v>PASS — NOI $220,425</v>
      </c>
      <c r="N2" s="424"/>
      <c r="O2" s="424"/>
      <c r="S2" s="6"/>
    </row>
    <row r="3" spans="3:25" ht="14.45" customHeight="1">
      <c r="C3" s="300" t="s">
        <v>538</v>
      </c>
      <c r="E3" s="334">
        <f>INDEX('01_Property Summary'!$S$5:$S$21,MATCH($C$1,'01_Property Summary'!$C$5:$C$21,0))</f>
        <v>64</v>
      </c>
      <c r="F3" s="335">
        <f>'01_Assumptions'!$C$14</f>
        <v>0.1</v>
      </c>
      <c r="G3" s="335">
        <f>'01_Assumptions'!$C$15</f>
        <v>0.2</v>
      </c>
      <c r="J3" s="278" t="str">
        <f>"Gate 2 — DSCR ≥ 1.0× at stabilization ("&amp;$F$2+1&amp;"):"</f>
        <v>Gate 2 — DSCR ≥ 1.0× at stabilization (2026):</v>
      </c>
      <c r="M3" s="451" t="str">
        <f>_xlfn.LET(_xlpm.debt,INDEX($48:$48,MATCH(($F$2+1),$12:$12,0)),_xlpm.dscr,INDEX($50:$50,MATCH(($F$2+1),$12:$12,0)),
IF(_xlpm.debt=0,"PASS — no debt svc",IF(IFERROR(_xlpm.dscr,0)&gt;=1,"PASS — DSCR "&amp;TEXT(IFERROR(_xlpm.dscr,0),"0.00")&amp;"x","FAIL — DSCR "&amp;TEXT(IFERROR(_xlpm.dscr,0),"0.00")&amp;"x")))</f>
        <v>PASS — no debt svc</v>
      </c>
      <c r="N3" s="424"/>
      <c r="O3" s="424"/>
      <c r="S3" s="6"/>
    </row>
    <row r="4" spans="3:25" ht="14.45" customHeight="1">
      <c r="C4" s="300" t="s">
        <v>539</v>
      </c>
      <c r="E4" s="336">
        <f>INDEX('02_Rent Engine'!$H$5:$H$21,MATCH($C$1,'02_Rent Engine'!$B$5:$B$21,0))</f>
        <v>585.9375</v>
      </c>
      <c r="F4" s="336">
        <f>INDEX('02_Rent Engine'!$J$5:$J$21,MATCH($C$1,'02_Rent Engine'!$B$5:$B$21,0))</f>
        <v>3923</v>
      </c>
      <c r="G4" s="336">
        <f>($F$3*$F$4)+((1-$F$3)*$E$4)</f>
        <v>919.64374999999995</v>
      </c>
      <c r="J4" s="280" t="s">
        <v>309</v>
      </c>
      <c r="M4" s="451" t="str">
        <f>IF(AND($J$52&gt;0,$O$52&gt;0),"PASS — AFFO $"&amp;TEXT($J$52,"#,##0")&amp;" (2030) / $"&amp;TEXT($O$52,"#,##0")&amp;" (2035)","FAIL — AFFO $"&amp;TEXT($J$52,"#,##0")&amp;" (2030) / $"&amp;TEXT($O$52,"#,##0")&amp;" (2035)")</f>
        <v>PASS — AFFO $471,459 (2030) / $464,024 (2035)</v>
      </c>
      <c r="N4" s="424"/>
      <c r="O4" s="424"/>
      <c r="S4" s="6"/>
    </row>
    <row r="5" spans="3:25" ht="14.45" customHeight="1">
      <c r="C5" s="337" t="str">
        <f>"Rent Growth — (pre / post Op. Agrmt. Expiry: "&amp;$G$2&amp;")"</f>
        <v>Rent Growth — (pre / post Op. Agrmt. Expiry: 2027)</v>
      </c>
      <c r="E5" s="338">
        <f>'01_Assumptions'!$C$5</f>
        <v>0.02</v>
      </c>
      <c r="F5" s="338">
        <f>'01_Assumptions'!$C$6</f>
        <v>0.02</v>
      </c>
      <c r="G5" s="32"/>
      <c r="L5" s="6"/>
      <c r="M5" s="6"/>
      <c r="R5" s="6"/>
      <c r="S5" s="6"/>
    </row>
    <row r="6" spans="3:25" ht="13.9" customHeight="1">
      <c r="C6" s="337" t="str">
        <f>"OpEx Growth — (pre / post Op. Agrmt. Expiry: "&amp;$G$2&amp;")"</f>
        <v>OpEx Growth — (pre / post Op. Agrmt. Expiry: 2027)</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N/A</v>
      </c>
      <c r="F8" s="336">
        <f>INDEX('01_Property Summary'!$Q$5:$Q$21,MATCH($C$1,'01_Property Summary'!$C$5:$C$21,0))</f>
        <v>0</v>
      </c>
      <c r="G8" s="334">
        <f>INDEX('02_Debt Engine'!$I$19:$I$35,MATCH($C$1,'02_Debt Engine'!$B$19:$B$35,0))</f>
        <v>1900</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706286.39999999991</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720412.12800000003</v>
      </c>
      <c r="G13" s="283">
        <f t="shared" si="1"/>
        <v>1001460.7411199999</v>
      </c>
      <c r="H13" s="283">
        <f t="shared" si="1"/>
        <v>1021489.9559423999</v>
      </c>
      <c r="I13" s="283">
        <f t="shared" si="1"/>
        <v>1041919.7550612479</v>
      </c>
      <c r="J13" s="283">
        <f t="shared" si="1"/>
        <v>1062758.1501624729</v>
      </c>
      <c r="K13" s="283">
        <f t="shared" si="1"/>
        <v>1084013.3131657224</v>
      </c>
      <c r="L13" s="283">
        <f t="shared" si="1"/>
        <v>1105693.5794290369</v>
      </c>
      <c r="M13" s="283">
        <f t="shared" si="1"/>
        <v>1127807.4510176175</v>
      </c>
      <c r="N13" s="283">
        <f t="shared" si="1"/>
        <v>1150363.6000379699</v>
      </c>
      <c r="O13" s="283">
        <f t="shared" si="1"/>
        <v>1173370.8720387293</v>
      </c>
      <c r="P13" s="283">
        <f t="shared" si="1"/>
        <v>1196838.2894795039</v>
      </c>
      <c r="Q13" s="283">
        <f t="shared" si="1"/>
        <v>1220775.0552690937</v>
      </c>
      <c r="R13" s="283">
        <f t="shared" si="1"/>
        <v>1245190.5563744758</v>
      </c>
      <c r="S13" s="283">
        <f t="shared" si="1"/>
        <v>1270094.367501965</v>
      </c>
      <c r="T13" s="283">
        <f t="shared" si="1"/>
        <v>1295496.2548520046</v>
      </c>
      <c r="U13" s="283">
        <f t="shared" si="1"/>
        <v>1321406.1799490442</v>
      </c>
      <c r="V13" s="283">
        <f t="shared" si="1"/>
        <v>1347834.3035480257</v>
      </c>
      <c r="W13" s="283">
        <f t="shared" si="1"/>
        <v>1374790.9896189861</v>
      </c>
      <c r="X13" s="283">
        <f t="shared" si="1"/>
        <v>1402286.8094113655</v>
      </c>
      <c r="Y13" s="283">
        <f t="shared" si="1"/>
        <v>1430332.5455995928</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3000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3060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3121.2</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3183.6239999999998</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3247.29648</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3312.2424096</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3378.487257792</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3446.0570029478395</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3514.9781430067965</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3585.2777058669326</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3656.9832599842712</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3730.1229251839568</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3804.7253836876353</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3880.8198913613883</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3958.4362891886162</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4037.6050149723892</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4118.357115271835</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4200.7242575772725</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4284.7387427288186</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4370.4335175833949</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4457.8421879350617</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19724</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20118.48</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20520.849600000001</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20931.266592</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21349.891923840001</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21776.889762316801</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22212.427557563136</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22656.676108714397</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23109.809630888685</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23572.005823506461</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24043.445939976587</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24524.314858776121</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25014.801155951638</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25515.097179070675</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26025.399122652092</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26545.907105105132</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27076.825247207227</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27618.361752151373</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28170.728987194405</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28734.143566938295</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29308.826438277054</v>
      </c>
    </row>
    <row r="19" spans="3:25" ht="13.5" customHeight="1">
      <c r="C19" s="3" t="s">
        <v>336</v>
      </c>
      <c r="E19" s="285">
        <f t="shared" ref="E19:Y19" si="2">SUM(E14:E18)</f>
        <v>22724</v>
      </c>
      <c r="F19" s="285">
        <f t="shared" si="2"/>
        <v>23178.48</v>
      </c>
      <c r="G19" s="285">
        <f t="shared" si="2"/>
        <v>23642.049600000002</v>
      </c>
      <c r="H19" s="285">
        <f t="shared" si="2"/>
        <v>24114.890592</v>
      </c>
      <c r="I19" s="285">
        <f t="shared" si="2"/>
        <v>24597.188403840002</v>
      </c>
      <c r="J19" s="285">
        <f t="shared" si="2"/>
        <v>25089.132171916801</v>
      </c>
      <c r="K19" s="285">
        <f t="shared" si="2"/>
        <v>25590.914815355136</v>
      </c>
      <c r="L19" s="285">
        <f t="shared" si="2"/>
        <v>26102.733111662237</v>
      </c>
      <c r="M19" s="285">
        <f t="shared" si="2"/>
        <v>26624.787773895481</v>
      </c>
      <c r="N19" s="285">
        <f t="shared" si="2"/>
        <v>27157.283529373395</v>
      </c>
      <c r="O19" s="285">
        <f t="shared" si="2"/>
        <v>27700.429199960858</v>
      </c>
      <c r="P19" s="285">
        <f t="shared" si="2"/>
        <v>28254.437783960078</v>
      </c>
      <c r="Q19" s="285">
        <f t="shared" si="2"/>
        <v>28819.526539639272</v>
      </c>
      <c r="R19" s="285">
        <f t="shared" si="2"/>
        <v>29395.917070432064</v>
      </c>
      <c r="S19" s="285">
        <f t="shared" si="2"/>
        <v>29983.835411840708</v>
      </c>
      <c r="T19" s="285">
        <f t="shared" si="2"/>
        <v>30583.512120077521</v>
      </c>
      <c r="U19" s="285">
        <f t="shared" si="2"/>
        <v>31195.182362479063</v>
      </c>
      <c r="V19" s="285">
        <f t="shared" si="2"/>
        <v>31819.086009728646</v>
      </c>
      <c r="W19" s="285">
        <f t="shared" si="2"/>
        <v>32455.467729923224</v>
      </c>
      <c r="X19" s="285">
        <f t="shared" si="2"/>
        <v>33104.57708452169</v>
      </c>
      <c r="Y19" s="285">
        <f t="shared" si="2"/>
        <v>33766.668626212115</v>
      </c>
    </row>
    <row r="20" spans="3:25" ht="13.5" customHeight="1">
      <c r="C20" s="10" t="s">
        <v>337</v>
      </c>
      <c r="E20" s="283">
        <f t="shared" ref="E20:Y20" si="3">E13+E19</f>
        <v>729010.39999999991</v>
      </c>
      <c r="F20" s="283">
        <f t="shared" si="3"/>
        <v>743590.60800000001</v>
      </c>
      <c r="G20" s="283">
        <f t="shared" si="3"/>
        <v>1025102.7907199999</v>
      </c>
      <c r="H20" s="283">
        <f t="shared" si="3"/>
        <v>1045604.8465343999</v>
      </c>
      <c r="I20" s="283">
        <f t="shared" si="3"/>
        <v>1066516.9434650878</v>
      </c>
      <c r="J20" s="283">
        <f t="shared" si="3"/>
        <v>1087847.2823343896</v>
      </c>
      <c r="K20" s="283">
        <f t="shared" si="3"/>
        <v>1109604.2279810775</v>
      </c>
      <c r="L20" s="283">
        <f t="shared" si="3"/>
        <v>1131796.3125406993</v>
      </c>
      <c r="M20" s="283">
        <f t="shared" si="3"/>
        <v>1154432.238791513</v>
      </c>
      <c r="N20" s="283">
        <f t="shared" si="3"/>
        <v>1177520.8835673432</v>
      </c>
      <c r="O20" s="283">
        <f t="shared" si="3"/>
        <v>1201071.30123869</v>
      </c>
      <c r="P20" s="283">
        <f t="shared" si="3"/>
        <v>1225092.7272634639</v>
      </c>
      <c r="Q20" s="283">
        <f t="shared" si="3"/>
        <v>1249594.5818087331</v>
      </c>
      <c r="R20" s="283">
        <f t="shared" si="3"/>
        <v>1274586.4734449079</v>
      </c>
      <c r="S20" s="283">
        <f t="shared" si="3"/>
        <v>1300078.2029138058</v>
      </c>
      <c r="T20" s="283">
        <f t="shared" si="3"/>
        <v>1326079.7669720822</v>
      </c>
      <c r="U20" s="283">
        <f t="shared" si="3"/>
        <v>1352601.3623115234</v>
      </c>
      <c r="V20" s="283">
        <f t="shared" si="3"/>
        <v>1379653.3895577544</v>
      </c>
      <c r="W20" s="283">
        <f t="shared" si="3"/>
        <v>1407246.4573489095</v>
      </c>
      <c r="X20" s="283">
        <f t="shared" si="3"/>
        <v>1435391.3864958873</v>
      </c>
      <c r="Y20" s="283">
        <f t="shared" si="3"/>
        <v>1464099.2142258049</v>
      </c>
    </row>
    <row r="21" spans="3:25" ht="13.5" customHeight="1">
      <c r="C21" s="11" t="s">
        <v>338</v>
      </c>
      <c r="E21" s="284">
        <f t="shared" ref="E21:Y21" si="4">-E20*$E$7</f>
        <v>-14580.207999999999</v>
      </c>
      <c r="F21" s="284">
        <f t="shared" si="4"/>
        <v>-14871.812160000001</v>
      </c>
      <c r="G21" s="284">
        <f t="shared" si="4"/>
        <v>-20502.055814399999</v>
      </c>
      <c r="H21" s="284">
        <f t="shared" si="4"/>
        <v>-20912.096930688</v>
      </c>
      <c r="I21" s="284">
        <f t="shared" si="4"/>
        <v>-21330.338869301755</v>
      </c>
      <c r="J21" s="284">
        <f t="shared" si="4"/>
        <v>-21756.945646687793</v>
      </c>
      <c r="K21" s="284">
        <f t="shared" si="4"/>
        <v>-22192.084559621551</v>
      </c>
      <c r="L21" s="284">
        <f t="shared" si="4"/>
        <v>-22635.926250813987</v>
      </c>
      <c r="M21" s="284">
        <f t="shared" si="4"/>
        <v>-23088.64477583026</v>
      </c>
      <c r="N21" s="284">
        <f t="shared" si="4"/>
        <v>-23550.417671346866</v>
      </c>
      <c r="O21" s="284">
        <f t="shared" si="4"/>
        <v>-24021.426024773802</v>
      </c>
      <c r="P21" s="284">
        <f t="shared" si="4"/>
        <v>-24501.854545269278</v>
      </c>
      <c r="Q21" s="284">
        <f t="shared" si="4"/>
        <v>-24991.891636174663</v>
      </c>
      <c r="R21" s="284">
        <f t="shared" si="4"/>
        <v>-25491.72946889816</v>
      </c>
      <c r="S21" s="284">
        <f t="shared" si="4"/>
        <v>-26001.564058276119</v>
      </c>
      <c r="T21" s="284">
        <f t="shared" si="4"/>
        <v>-26521.595339441643</v>
      </c>
      <c r="U21" s="284">
        <f t="shared" si="4"/>
        <v>-27052.027246230467</v>
      </c>
      <c r="V21" s="284">
        <f t="shared" si="4"/>
        <v>-27593.067791155088</v>
      </c>
      <c r="W21" s="284">
        <f t="shared" si="4"/>
        <v>-28144.929146978189</v>
      </c>
      <c r="X21" s="284">
        <f t="shared" si="4"/>
        <v>-28707.827729917746</v>
      </c>
      <c r="Y21" s="284">
        <f t="shared" si="4"/>
        <v>-29281.9842845161</v>
      </c>
    </row>
    <row r="22" spans="3:25" ht="13.5" customHeight="1">
      <c r="C22" s="3" t="s">
        <v>339</v>
      </c>
      <c r="E22" s="285">
        <f t="shared" ref="E22:Y22" si="5">E20+E21</f>
        <v>714430.19199999992</v>
      </c>
      <c r="F22" s="285">
        <f t="shared" si="5"/>
        <v>728718.79584000004</v>
      </c>
      <c r="G22" s="285">
        <f t="shared" si="5"/>
        <v>1004600.7349056</v>
      </c>
      <c r="H22" s="285">
        <f t="shared" si="5"/>
        <v>1024692.7496037119</v>
      </c>
      <c r="I22" s="285">
        <f t="shared" si="5"/>
        <v>1045186.6045957861</v>
      </c>
      <c r="J22" s="285">
        <f t="shared" si="5"/>
        <v>1066090.3366877018</v>
      </c>
      <c r="K22" s="285">
        <f t="shared" si="5"/>
        <v>1087412.143421456</v>
      </c>
      <c r="L22" s="285">
        <f t="shared" si="5"/>
        <v>1109160.3862898853</v>
      </c>
      <c r="M22" s="285">
        <f t="shared" si="5"/>
        <v>1131343.5940156828</v>
      </c>
      <c r="N22" s="285">
        <f t="shared" si="5"/>
        <v>1153970.4658959964</v>
      </c>
      <c r="O22" s="285">
        <f t="shared" si="5"/>
        <v>1177049.8752139162</v>
      </c>
      <c r="P22" s="285">
        <f t="shared" si="5"/>
        <v>1200590.8727181945</v>
      </c>
      <c r="Q22" s="285">
        <f t="shared" si="5"/>
        <v>1224602.6901725584</v>
      </c>
      <c r="R22" s="285">
        <f t="shared" si="5"/>
        <v>1249094.7439760098</v>
      </c>
      <c r="S22" s="285">
        <f t="shared" si="5"/>
        <v>1274076.6388555297</v>
      </c>
      <c r="T22" s="285">
        <f t="shared" si="5"/>
        <v>1299558.1716326405</v>
      </c>
      <c r="U22" s="285">
        <f t="shared" si="5"/>
        <v>1325549.3350652929</v>
      </c>
      <c r="V22" s="285">
        <f t="shared" si="5"/>
        <v>1352060.3217665993</v>
      </c>
      <c r="W22" s="285">
        <f t="shared" si="5"/>
        <v>1379101.5282019312</v>
      </c>
      <c r="X22" s="285">
        <f t="shared" si="5"/>
        <v>1406683.5587659695</v>
      </c>
      <c r="Y22" s="285">
        <f t="shared" si="5"/>
        <v>1434817.2299412887</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714430.19199999992</v>
      </c>
      <c r="F24" s="286">
        <f t="shared" si="7"/>
        <v>728718.79584000004</v>
      </c>
      <c r="G24" s="286">
        <f t="shared" si="7"/>
        <v>1004600.7349056</v>
      </c>
      <c r="H24" s="286">
        <f t="shared" si="7"/>
        <v>1024692.7496037119</v>
      </c>
      <c r="I24" s="286">
        <f t="shared" si="7"/>
        <v>1045186.6045957861</v>
      </c>
      <c r="J24" s="286">
        <f t="shared" si="7"/>
        <v>1066090.3366877018</v>
      </c>
      <c r="K24" s="286">
        <f t="shared" si="7"/>
        <v>1087412.143421456</v>
      </c>
      <c r="L24" s="286">
        <f t="shared" si="7"/>
        <v>1109160.3862898853</v>
      </c>
      <c r="M24" s="286">
        <f t="shared" si="7"/>
        <v>1131343.5940156828</v>
      </c>
      <c r="N24" s="286">
        <f t="shared" si="7"/>
        <v>1153970.4658959964</v>
      </c>
      <c r="O24" s="286">
        <f t="shared" si="7"/>
        <v>1177049.8752139162</v>
      </c>
      <c r="P24" s="286">
        <f t="shared" si="7"/>
        <v>1200590.8727181945</v>
      </c>
      <c r="Q24" s="286">
        <f t="shared" si="7"/>
        <v>1224602.6901725584</v>
      </c>
      <c r="R24" s="286">
        <f t="shared" si="7"/>
        <v>1249094.7439760098</v>
      </c>
      <c r="S24" s="286">
        <f t="shared" si="7"/>
        <v>1274076.6388555297</v>
      </c>
      <c r="T24" s="286">
        <f t="shared" si="7"/>
        <v>1299558.1716326405</v>
      </c>
      <c r="U24" s="286">
        <f t="shared" si="7"/>
        <v>1325549.3350652929</v>
      </c>
      <c r="V24" s="286">
        <f t="shared" si="7"/>
        <v>1352060.3217665993</v>
      </c>
      <c r="W24" s="286">
        <f t="shared" si="7"/>
        <v>1379101.5282019312</v>
      </c>
      <c r="X24" s="286">
        <f t="shared" si="7"/>
        <v>1406683.5587659695</v>
      </c>
      <c r="Y24" s="286">
        <f t="shared" si="7"/>
        <v>1434817.2299412887</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30000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31200</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32448.000000000004</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33745.920000000006</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35095.756800000003</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36499.587072000009</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37959.570554880011</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39477.95337707521</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41057.071512158225</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42699.354372644557</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43766.838231960668</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44861.009187759679</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45982.534417453673</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47132.097777890012</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48310.400222337252</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49518.160227895685</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50756.114233593078</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52025.017089432899</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53325.642516668711</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54658.783579585433</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56025.253169075069</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32250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33540</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34881.600000000006</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36276.864000000001</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37727.93856000001</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39237.056102400013</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40806.53834649601</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42438.799880355851</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44136.351875570093</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45901.805950592898</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47049.351099357715</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48225.584876841654</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49431.224498762698</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50667.00511123176</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51933.680239012545</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53232.022244987864</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54562.822801112561</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55926.893371140366</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57325.065705418863</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58758.192348054341</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60227.147156755702</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58150</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60476</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62895.040000000008</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65410.841600000007</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68027.275264000011</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70748.366274560016</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73578.300925542426</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76521.432962564111</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79582.290281066686</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82765.581892309361</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84834.721439617089</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86955.589475607514</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89129.47921249771</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91357.716192810141</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93641.659097630371</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95982.70057507114</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98382.268089447913</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100841.82479168411</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103362.87041147619</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105946.94217176309</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108595.61572605718</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24500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25480</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26499.200000000004</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27559.168000000001</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28661.534720000007</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29807.996108800009</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31000.31595315201</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32240.328591278085</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33529.941734929213</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34871.139404326386</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35742.917889434546</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36636.490836670404</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37552.403107587168</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38491.213185276843</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39453.493514908754</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40439.830852781481</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41450.826624101013</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42487.097289703539</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43549.274721946116</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44638.006589994773</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45753.956754744642</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40000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41600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43264.000000000007</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44994.560000000005</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46794.342400000009</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48666.116096000012</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50612.760739840014</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52637.27116943361</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54742.762016210967</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56932.472496859409</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58355.784309280883</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59814.678917012912</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61310.045889938236</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62842.797037186683</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64413.866963116336</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66024.213637194247</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67674.818978124109</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69366.689452577208</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71100.85668889161</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72878.378106113916</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74700.337558766754</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25000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26000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27040.000000000004</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28121.600000000002</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29246.464000000004</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30416.322560000008</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31632.975462400009</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32898.294480896009</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34214.226260131851</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35582.795310537127</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36472.365193300553</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37384.174323133069</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38318.778681211399</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39276.748148241677</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40258.66685194771</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41265.133523246404</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42296.761861327563</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43354.180907860748</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44438.035430557262</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45548.986316321192</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46687.710974229223</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30324</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31536.960000000003</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32798.438400000006</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34110.375936000004</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35474.790973440009</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36893.78261237761</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38369.533916872715</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39904.315273547618</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41500.487884489528</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43160.507399869115</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44239.520084865842</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45345.508086987487</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46479.145789162176</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47641.124433891222</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48832.152544738492</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50052.956358356962</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51304.28026731588</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52586.887273998778</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53901.559455848736</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55249.098442244955</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56630.325903301076</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31446</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32703.84</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34011.993600000002</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35372.473344000005</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36787.372277760005</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38258.867168870413</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39789.221855625226</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41380.790729850232</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43036.022359044247</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44757.463253406022</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45876.399834741169</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47023.309830609702</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48198.892576374943</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49403.864890784309</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50638.96151305391</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51904.935550880262</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53202.558939652263</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54532.622913143568</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55895.938485972147</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57293.336948121454</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58725.67037182449</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96600</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100464</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104482.56000000001</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108661.86240000001</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113008.33689600002</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117528.67037184004</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122229.81718671364</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127119.00987418217</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132203.77026914948</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137491.92107991548</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140929.21910691334</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144452.44958458617</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148063.76082420084</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151765.35484480584</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155559.48871592595</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159448.47593382411</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163434.6878321697</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167520.55502797395</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171708.56890367327</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176001.2831262651</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180401.31520442173</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96954</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100832.16</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104865.44640000002</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109060.06425600001</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113422.46682624002</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117959.36549928963</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122677.74011926122</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127584.84972403165</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132688.24371299293</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137995.77346151267</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141445.66779805048</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144981.80949300173</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148606.3547303268</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152321.51359858492</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156129.55143854953</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160032.79022451327</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164033.60998012612</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168134.45022962926</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172337.81148536995</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176646.25677250419</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181062.4131918168</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23520</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24460.799999999999</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25439.232000000004</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26456.801280000003</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27515.073331200005</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28615.676264448008</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29760.303315025929</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30950.715447626964</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32188.744065532046</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33476.293828153335</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34313.20117385716</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35171.031203203587</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36050.306983283685</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36951.564657865769</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37875.353774312403</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38822.237618670217</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39792.793559136975</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40787.613398115398</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41807.303733068271</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42852.486326394981</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43923.798484554856</v>
      </c>
    </row>
    <row r="39" spans="3:25" ht="13.15" customHeight="1">
      <c r="C39" s="14" t="s">
        <v>355</v>
      </c>
      <c r="E39" s="286">
        <f t="shared" ref="E39:Y39" si="8">SUM(E27:E38)</f>
        <v>488744</v>
      </c>
      <c r="F39" s="286">
        <f t="shared" si="8"/>
        <v>508293.75999999995</v>
      </c>
      <c r="G39" s="286">
        <f t="shared" si="8"/>
        <v>528625.51040000003</v>
      </c>
      <c r="H39" s="286">
        <f t="shared" si="8"/>
        <v>549770.53081600007</v>
      </c>
      <c r="I39" s="286">
        <f t="shared" si="8"/>
        <v>571761.35204864014</v>
      </c>
      <c r="J39" s="286">
        <f t="shared" si="8"/>
        <v>594631.80613058573</v>
      </c>
      <c r="K39" s="286">
        <f t="shared" si="8"/>
        <v>618417.07837580913</v>
      </c>
      <c r="L39" s="286">
        <f t="shared" si="8"/>
        <v>643153.76151084155</v>
      </c>
      <c r="M39" s="286">
        <f t="shared" si="8"/>
        <v>668879.91197127523</v>
      </c>
      <c r="N39" s="286">
        <f t="shared" si="8"/>
        <v>695635.10845012625</v>
      </c>
      <c r="O39" s="286">
        <f t="shared" si="8"/>
        <v>713025.98616137938</v>
      </c>
      <c r="P39" s="286">
        <f t="shared" si="8"/>
        <v>730851.6358154139</v>
      </c>
      <c r="Q39" s="286">
        <f t="shared" si="8"/>
        <v>749122.92671079934</v>
      </c>
      <c r="R39" s="286">
        <f t="shared" si="8"/>
        <v>767850.99987856916</v>
      </c>
      <c r="S39" s="286">
        <f t="shared" si="8"/>
        <v>787047.2748755333</v>
      </c>
      <c r="T39" s="286">
        <f t="shared" si="8"/>
        <v>806723.45674742165</v>
      </c>
      <c r="U39" s="286">
        <f t="shared" si="8"/>
        <v>826891.54316610727</v>
      </c>
      <c r="V39" s="286">
        <f t="shared" si="8"/>
        <v>847563.83174525981</v>
      </c>
      <c r="W39" s="286">
        <f t="shared" si="8"/>
        <v>868752.92753889109</v>
      </c>
      <c r="X39" s="286">
        <f t="shared" si="8"/>
        <v>890471.75072736328</v>
      </c>
      <c r="Y39" s="286">
        <f t="shared" si="8"/>
        <v>912733.54449554742</v>
      </c>
    </row>
    <row r="40" spans="3:25" ht="7.15" customHeight="1"/>
    <row r="41" spans="3:25" ht="13.5" customHeight="1">
      <c r="C41" s="15" t="s">
        <v>356</v>
      </c>
      <c r="D41" s="8"/>
      <c r="E41" s="287">
        <f t="shared" ref="E41:Y41" si="9">E24-E39</f>
        <v>225686.19199999992</v>
      </c>
      <c r="F41" s="287">
        <f t="shared" si="9"/>
        <v>220425.03584000008</v>
      </c>
      <c r="G41" s="287">
        <f t="shared" si="9"/>
        <v>475975.22450559994</v>
      </c>
      <c r="H41" s="287">
        <f t="shared" si="9"/>
        <v>474922.21878771181</v>
      </c>
      <c r="I41" s="287">
        <f t="shared" si="9"/>
        <v>473425.25254714594</v>
      </c>
      <c r="J41" s="287">
        <f t="shared" si="9"/>
        <v>471458.53055711603</v>
      </c>
      <c r="K41" s="287">
        <f t="shared" si="9"/>
        <v>468995.06504564686</v>
      </c>
      <c r="L41" s="287">
        <f t="shared" si="9"/>
        <v>466006.62477904372</v>
      </c>
      <c r="M41" s="287">
        <f t="shared" si="9"/>
        <v>462463.68204440759</v>
      </c>
      <c r="N41" s="287">
        <f t="shared" si="9"/>
        <v>458335.35744587018</v>
      </c>
      <c r="O41" s="287">
        <f t="shared" si="9"/>
        <v>464023.8890525368</v>
      </c>
      <c r="P41" s="287">
        <f t="shared" si="9"/>
        <v>469739.2369027806</v>
      </c>
      <c r="Q41" s="287">
        <f t="shared" si="9"/>
        <v>475479.76346175908</v>
      </c>
      <c r="R41" s="287">
        <f t="shared" si="9"/>
        <v>481243.74409744062</v>
      </c>
      <c r="S41" s="287">
        <f t="shared" si="9"/>
        <v>487029.36397999641</v>
      </c>
      <c r="T41" s="287">
        <f t="shared" si="9"/>
        <v>492834.71488521888</v>
      </c>
      <c r="U41" s="287">
        <f t="shared" si="9"/>
        <v>498657.79189918563</v>
      </c>
      <c r="V41" s="287">
        <f t="shared" si="9"/>
        <v>504496.4900213395</v>
      </c>
      <c r="W41" s="287">
        <f t="shared" si="9"/>
        <v>510348.60066304007</v>
      </c>
      <c r="X41" s="287">
        <f t="shared" si="9"/>
        <v>516211.80803860619</v>
      </c>
      <c r="Y41" s="287">
        <f t="shared" si="9"/>
        <v>522083.68544574128</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9600</v>
      </c>
      <c r="F44" s="283">
        <f t="shared" si="11"/>
        <v>9792</v>
      </c>
      <c r="G44" s="283">
        <f t="shared" si="11"/>
        <v>9987.84</v>
      </c>
      <c r="H44" s="283">
        <f t="shared" si="11"/>
        <v>10187.596799999999</v>
      </c>
      <c r="I44" s="283">
        <f t="shared" si="11"/>
        <v>10391.348736</v>
      </c>
      <c r="J44" s="283">
        <f t="shared" si="11"/>
        <v>10599.175710720001</v>
      </c>
      <c r="K44" s="283">
        <f t="shared" si="11"/>
        <v>10811.159224934401</v>
      </c>
      <c r="L44" s="283">
        <f t="shared" si="11"/>
        <v>11027.382409433087</v>
      </c>
      <c r="M44" s="283">
        <f t="shared" si="11"/>
        <v>11247.930057621748</v>
      </c>
      <c r="N44" s="283">
        <f t="shared" si="11"/>
        <v>11472.888658774184</v>
      </c>
      <c r="O44" s="283">
        <f t="shared" si="11"/>
        <v>11702.346431949669</v>
      </c>
      <c r="P44" s="283">
        <f t="shared" si="11"/>
        <v>11936.39336058866</v>
      </c>
      <c r="Q44" s="283">
        <f t="shared" si="11"/>
        <v>12175.121227800435</v>
      </c>
      <c r="R44" s="283">
        <f t="shared" si="11"/>
        <v>12418.623652356442</v>
      </c>
      <c r="S44" s="283">
        <f t="shared" si="11"/>
        <v>12666.996125403573</v>
      </c>
      <c r="T44" s="283">
        <f t="shared" si="11"/>
        <v>12920.33604791164</v>
      </c>
      <c r="U44" s="283">
        <f t="shared" si="11"/>
        <v>13178.742768869875</v>
      </c>
      <c r="V44" s="283">
        <f t="shared" si="11"/>
        <v>13442.317624247275</v>
      </c>
      <c r="W44" s="283">
        <f t="shared" si="11"/>
        <v>13711.163976732218</v>
      </c>
      <c r="X44" s="283">
        <f t="shared" si="11"/>
        <v>13985.387256266862</v>
      </c>
      <c r="Y44" s="283">
        <f t="shared" si="11"/>
        <v>14265.095001392201</v>
      </c>
    </row>
    <row r="45" spans="3:25" ht="13.5" customHeight="1">
      <c r="C45" s="15" t="s">
        <v>359</v>
      </c>
      <c r="D45" s="8"/>
      <c r="E45" s="287">
        <f t="shared" ref="E45:Y45" si="12">E41-E44</f>
        <v>216086.19199999992</v>
      </c>
      <c r="F45" s="287">
        <f t="shared" si="12"/>
        <v>210633.03584000008</v>
      </c>
      <c r="G45" s="287">
        <f t="shared" si="12"/>
        <v>465987.38450559991</v>
      </c>
      <c r="H45" s="287">
        <f t="shared" si="12"/>
        <v>464734.62198771181</v>
      </c>
      <c r="I45" s="287">
        <f t="shared" si="12"/>
        <v>463033.90381114592</v>
      </c>
      <c r="J45" s="287">
        <f t="shared" si="12"/>
        <v>460859.35484639602</v>
      </c>
      <c r="K45" s="287">
        <f t="shared" si="12"/>
        <v>458183.90582071245</v>
      </c>
      <c r="L45" s="287">
        <f t="shared" si="12"/>
        <v>454979.24236961064</v>
      </c>
      <c r="M45" s="287">
        <f t="shared" si="12"/>
        <v>451215.75198678585</v>
      </c>
      <c r="N45" s="287">
        <f t="shared" si="12"/>
        <v>446862.46878709598</v>
      </c>
      <c r="O45" s="287">
        <f t="shared" si="12"/>
        <v>452321.54262058716</v>
      </c>
      <c r="P45" s="287">
        <f t="shared" si="12"/>
        <v>457802.84354219196</v>
      </c>
      <c r="Q45" s="287">
        <f t="shared" si="12"/>
        <v>463304.64223395864</v>
      </c>
      <c r="R45" s="287">
        <f t="shared" si="12"/>
        <v>468825.12044508418</v>
      </c>
      <c r="S45" s="287">
        <f t="shared" si="12"/>
        <v>474362.36785459286</v>
      </c>
      <c r="T45" s="287">
        <f t="shared" si="12"/>
        <v>479914.37883730722</v>
      </c>
      <c r="U45" s="287">
        <f t="shared" si="12"/>
        <v>485479.04913031578</v>
      </c>
      <c r="V45" s="287">
        <f t="shared" si="12"/>
        <v>491054.17239709222</v>
      </c>
      <c r="W45" s="287">
        <f t="shared" si="12"/>
        <v>496637.43668630783</v>
      </c>
      <c r="X45" s="287">
        <f t="shared" si="12"/>
        <v>502226.42078233935</v>
      </c>
      <c r="Y45" s="287">
        <f t="shared" si="12"/>
        <v>507818.5904443491</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(E$12&gt;=$F$2)*IFERROR(INDEX('02_Debt Engine'!$F$46:$Z$62,MATCH($C$1,'02_Debt Engine'!$B$19:$B$35,0),MATCH(E$12,'02_Debt Engine'!$F$45:$Z$45,0)),0)</f>
        <v>0</v>
      </c>
      <c r="F48" s="286">
        <f>(F$12&gt;=$F$2)*IFERROR(INDEX('02_Debt Engine'!$F$46:$Z$62,MATCH($C$1,'02_Debt Engine'!$B$19:$B$35,0),MATCH(F$12,'02_Debt Engine'!$F$45:$Z$45,0)),0)</f>
        <v>0</v>
      </c>
      <c r="G48" s="286">
        <f>(G$12&gt;=$F$2)*IFERROR(INDEX('02_Debt Engine'!$F$46:$Z$62,MATCH($C$1,'02_Debt Engine'!$B$19:$B$35,0),MATCH(G$12,'02_Debt Engine'!$F$45:$Z$45,0)),0)</f>
        <v>0</v>
      </c>
      <c r="H48" s="286">
        <f>(H$12&gt;=$F$2)*IFERROR(INDEX('02_Debt Engine'!$F$46:$Z$62,MATCH($C$1,'02_Debt Engine'!$B$19:$B$35,0),MATCH(H$12,'02_Debt Engine'!$F$45:$Z$45,0)),0)</f>
        <v>0</v>
      </c>
      <c r="I48" s="286">
        <f>(I$12&gt;=$F$2)*IFERROR(INDEX('02_Debt Engine'!$F$46:$Z$62,MATCH($C$1,'02_Debt Engine'!$B$19:$B$35,0),MATCH(I$12,'02_Debt Engine'!$F$45:$Z$45,0)),0)</f>
        <v>0</v>
      </c>
      <c r="J48" s="286">
        <f>(J$12&gt;=$F$2)*IFERROR(INDEX('02_Debt Engine'!$F$46:$Z$62,MATCH($C$1,'02_Debt Engine'!$B$19:$B$35,0),MATCH(J$12,'02_Debt Engine'!$F$45:$Z$45,0)),0)</f>
        <v>0</v>
      </c>
      <c r="K48" s="286">
        <f>(K$12&gt;=$F$2)*IFERROR(INDEX('02_Debt Engine'!$F$46:$Z$62,MATCH($C$1,'02_Debt Engine'!$B$19:$B$35,0),MATCH(K$12,'02_Debt Engine'!$F$45:$Z$45,0)),0)</f>
        <v>0</v>
      </c>
      <c r="L48" s="286">
        <f>(L$12&gt;=$F$2)*IFERROR(INDEX('02_Debt Engine'!$F$46:$Z$62,MATCH($C$1,'02_Debt Engine'!$B$19:$B$35,0),MATCH(L$12,'02_Debt Engine'!$F$45:$Z$45,0)),0)</f>
        <v>0</v>
      </c>
      <c r="M48" s="286">
        <f>(M$12&gt;=$F$2)*IFERROR(INDEX('02_Debt Engine'!$F$46:$Z$62,MATCH($C$1,'02_Debt Engine'!$B$19:$B$35,0),MATCH(M$12,'02_Debt Engine'!$F$45:$Z$45,0)),0)</f>
        <v>0</v>
      </c>
      <c r="N48" s="286">
        <f>(N$12&gt;=$F$2)*IFERROR(INDEX('02_Debt Engine'!$F$46:$Z$62,MATCH($C$1,'02_Debt Engine'!$B$19:$B$35,0),MATCH(N$12,'02_Debt Engine'!$F$45:$Z$45,0)),0)</f>
        <v>0</v>
      </c>
      <c r="O48" s="286">
        <f>(O$12&gt;=$F$2)*IFERROR(INDEX('02_Debt Engine'!$F$46:$Z$62,MATCH($C$1,'02_Debt Engine'!$B$19:$B$35,0),MATCH(O$12,'02_Debt Engine'!$F$45:$Z$45,0)),0)</f>
        <v>0</v>
      </c>
      <c r="P48" s="286">
        <f>(P$12&gt;=$F$2)*IFERROR(INDEX('02_Debt Engine'!$F$46:$Z$62,MATCH($C$1,'02_Debt Engine'!$B$19:$B$35,0),MATCH(P$12,'02_Debt Engine'!$F$45:$Z$45,0)),0)</f>
        <v>0</v>
      </c>
      <c r="Q48" s="286">
        <f>(Q$12&gt;=$F$2)*IFERROR(INDEX('02_Debt Engine'!$F$46:$Z$62,MATCH($C$1,'02_Debt Engine'!$B$19:$B$35,0),MATCH(Q$12,'02_Debt Engine'!$F$45:$Z$45,0)),0)</f>
        <v>0</v>
      </c>
      <c r="R48" s="286">
        <f>(R$12&gt;=$F$2)*IFERROR(INDEX('02_Debt Engine'!$F$46:$Z$62,MATCH($C$1,'02_Debt Engine'!$B$19:$B$35,0),MATCH(R$12,'02_Debt Engine'!$F$45:$Z$45,0)),0)</f>
        <v>0</v>
      </c>
      <c r="S48" s="286">
        <f>(S$12&gt;=$F$2)*IFERROR(INDEX('02_Debt Engine'!$F$46:$Z$62,MATCH($C$1,'02_Debt Engine'!$B$19:$B$35,0),MATCH(S$12,'02_Debt Engine'!$F$45:$Z$45,0)),0)</f>
        <v>0</v>
      </c>
      <c r="T48" s="286">
        <f>(T$12&gt;=$F$2)*IFERROR(INDEX('02_Debt Engine'!$F$46:$Z$62,MATCH($C$1,'02_Debt Engine'!$B$19:$B$35,0),MATCH(T$12,'02_Debt Engine'!$F$45:$Z$45,0)),0)</f>
        <v>0</v>
      </c>
      <c r="U48" s="286">
        <f>(U$12&gt;=$F$2)*IFERROR(INDEX('02_Debt Engine'!$F$46:$Z$62,MATCH($C$1,'02_Debt Engine'!$B$19:$B$35,0),MATCH(U$12,'02_Debt Engine'!$F$45:$Z$45,0)),0)</f>
        <v>0</v>
      </c>
      <c r="V48" s="286">
        <f>(V$12&gt;=$F$2)*IFERROR(INDEX('02_Debt Engine'!$F$46:$Z$62,MATCH($C$1,'02_Debt Engine'!$B$19:$B$35,0),MATCH(V$12,'02_Debt Engine'!$F$45:$Z$45,0)),0)</f>
        <v>0</v>
      </c>
      <c r="W48" s="286">
        <f>(W$12&gt;=$F$2)*IFERROR(INDEX('02_Debt Engine'!$F$46:$Z$62,MATCH($C$1,'02_Debt Engine'!$B$19:$B$35,0),MATCH(W$12,'02_Debt Engine'!$F$45:$Z$45,0)),0)</f>
        <v>0</v>
      </c>
      <c r="X48" s="286">
        <f>(X$12&gt;=$F$2)*IFERROR(INDEX('02_Debt Engine'!$F$46:$Z$62,MATCH($C$1,'02_Debt Engine'!$B$19:$B$35,0),MATCH(X$12,'02_Debt Engine'!$F$45:$Z$45,0)),0)</f>
        <v>0</v>
      </c>
      <c r="Y48" s="286">
        <f>(Y$12&gt;=$F$2)*IFERROR(INDEX('02_Debt Engine'!$F$46:$Z$62,MATCH($C$1,'02_Debt Engine'!$B$19:$B$35,0),MATCH(Y$12,'02_Debt Engine'!$F$45:$Z$45,0)),0)</f>
        <v>0</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t="str">
        <f t="shared" ref="E50:Y50" si="14">IFERROR(IF(E$48=0,"",E41/E$48),"")</f>
        <v/>
      </c>
      <c r="F50" s="290" t="str">
        <f t="shared" si="14"/>
        <v/>
      </c>
      <c r="G50" s="290" t="str">
        <f t="shared" si="14"/>
        <v/>
      </c>
      <c r="H50" s="290" t="str">
        <f t="shared" si="14"/>
        <v/>
      </c>
      <c r="I50" s="290" t="str">
        <f t="shared" si="14"/>
        <v/>
      </c>
      <c r="J50" s="290" t="str">
        <f t="shared" si="14"/>
        <v/>
      </c>
      <c r="K50" s="290" t="str">
        <f t="shared" si="14"/>
        <v/>
      </c>
      <c r="L50" s="290" t="str">
        <f t="shared" si="14"/>
        <v/>
      </c>
      <c r="M50" s="290" t="str">
        <f t="shared" si="14"/>
        <v/>
      </c>
      <c r="N50" s="290" t="str">
        <f t="shared" si="14"/>
        <v/>
      </c>
      <c r="O50" s="290" t="str">
        <f t="shared" si="14"/>
        <v/>
      </c>
      <c r="P50" s="290" t="str">
        <f t="shared" si="14"/>
        <v/>
      </c>
      <c r="Q50" s="290" t="str">
        <f t="shared" si="14"/>
        <v/>
      </c>
      <c r="R50" s="290" t="str">
        <f t="shared" si="14"/>
        <v/>
      </c>
      <c r="S50" s="290" t="str">
        <f t="shared" si="14"/>
        <v/>
      </c>
      <c r="T50" s="290" t="str">
        <f t="shared" si="14"/>
        <v/>
      </c>
      <c r="U50" s="290" t="str">
        <f t="shared" si="14"/>
        <v/>
      </c>
      <c r="V50" s="290" t="str">
        <f t="shared" si="14"/>
        <v/>
      </c>
      <c r="W50" s="290" t="str">
        <f t="shared" si="14"/>
        <v/>
      </c>
      <c r="X50" s="290" t="str">
        <f t="shared" si="14"/>
        <v/>
      </c>
      <c r="Y50" s="290" t="str">
        <f t="shared" si="14"/>
        <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225686.19199999992</v>
      </c>
      <c r="F52" s="291">
        <f t="shared" si="15"/>
        <v>220425.03584000008</v>
      </c>
      <c r="G52" s="291">
        <f t="shared" si="15"/>
        <v>475975.22450559994</v>
      </c>
      <c r="H52" s="291">
        <f t="shared" si="15"/>
        <v>474922.21878771181</v>
      </c>
      <c r="I52" s="291">
        <f t="shared" si="15"/>
        <v>473425.25254714594</v>
      </c>
      <c r="J52" s="291">
        <f t="shared" si="15"/>
        <v>471458.53055711603</v>
      </c>
      <c r="K52" s="291">
        <f t="shared" si="15"/>
        <v>468995.06504564686</v>
      </c>
      <c r="L52" s="291">
        <f t="shared" si="15"/>
        <v>466006.62477904372</v>
      </c>
      <c r="M52" s="291">
        <f t="shared" si="15"/>
        <v>462463.68204440759</v>
      </c>
      <c r="N52" s="291">
        <f t="shared" si="15"/>
        <v>458335.35744587018</v>
      </c>
      <c r="O52" s="291">
        <f t="shared" si="15"/>
        <v>464023.8890525368</v>
      </c>
      <c r="P52" s="291">
        <f t="shared" si="15"/>
        <v>469739.2369027806</v>
      </c>
      <c r="Q52" s="291">
        <f t="shared" si="15"/>
        <v>475479.76346175908</v>
      </c>
      <c r="R52" s="291">
        <f t="shared" si="15"/>
        <v>481243.74409744062</v>
      </c>
      <c r="S52" s="291">
        <f t="shared" si="15"/>
        <v>487029.36397999641</v>
      </c>
      <c r="T52" s="291">
        <f t="shared" si="15"/>
        <v>492834.71488521888</v>
      </c>
      <c r="U52" s="291">
        <f t="shared" si="15"/>
        <v>498657.79189918563</v>
      </c>
      <c r="V52" s="291">
        <f t="shared" si="15"/>
        <v>504496.4900213395</v>
      </c>
      <c r="W52" s="291">
        <f t="shared" si="15"/>
        <v>510348.60066304007</v>
      </c>
      <c r="X52" s="291">
        <f t="shared" si="15"/>
        <v>516211.80803860619</v>
      </c>
      <c r="Y52" s="291">
        <f t="shared" si="15"/>
        <v>522083.68544574128</v>
      </c>
    </row>
    <row r="53" spans="3:25" ht="7.15" customHeight="1">
      <c r="C53" s="14"/>
      <c r="D53" s="17"/>
    </row>
    <row r="54" spans="3:25" ht="13.5" customHeight="1">
      <c r="C54" s="15" t="s">
        <v>363</v>
      </c>
      <c r="D54" s="20"/>
      <c r="E54" s="292">
        <f t="shared" ref="E54:Y54" si="16">IF(E52&lt;0,0,E52*$G$7)</f>
        <v>135411.71519999995</v>
      </c>
      <c r="F54" s="292">
        <f t="shared" si="16"/>
        <v>132255.02150400003</v>
      </c>
      <c r="G54" s="292">
        <f t="shared" si="16"/>
        <v>285585.13470335997</v>
      </c>
      <c r="H54" s="292">
        <f t="shared" si="16"/>
        <v>284953.33127262705</v>
      </c>
      <c r="I54" s="292">
        <f t="shared" si="16"/>
        <v>284055.15152828756</v>
      </c>
      <c r="J54" s="292">
        <f t="shared" si="16"/>
        <v>282875.11833426962</v>
      </c>
      <c r="K54" s="292">
        <f t="shared" si="16"/>
        <v>281397.03902738809</v>
      </c>
      <c r="L54" s="292">
        <f t="shared" si="16"/>
        <v>279603.97486742621</v>
      </c>
      <c r="M54" s="292">
        <f t="shared" si="16"/>
        <v>277478.20922664454</v>
      </c>
      <c r="N54" s="292">
        <f t="shared" si="16"/>
        <v>275001.21446752211</v>
      </c>
      <c r="O54" s="292">
        <f t="shared" si="16"/>
        <v>278414.33343152207</v>
      </c>
      <c r="P54" s="292">
        <f t="shared" si="16"/>
        <v>281843.54214166832</v>
      </c>
      <c r="Q54" s="292">
        <f t="shared" si="16"/>
        <v>285287.85807705543</v>
      </c>
      <c r="R54" s="292">
        <f t="shared" si="16"/>
        <v>288746.24645846436</v>
      </c>
      <c r="S54" s="292">
        <f t="shared" si="16"/>
        <v>292217.61838799785</v>
      </c>
      <c r="T54" s="292">
        <f t="shared" si="16"/>
        <v>295700.82893113134</v>
      </c>
      <c r="U54" s="292">
        <f t="shared" si="16"/>
        <v>299194.67513951135</v>
      </c>
      <c r="V54" s="292">
        <f t="shared" si="16"/>
        <v>302697.89401280368</v>
      </c>
      <c r="W54" s="292">
        <f t="shared" si="16"/>
        <v>306209.16039782402</v>
      </c>
      <c r="X54" s="292">
        <f t="shared" si="16"/>
        <v>309727.08482316369</v>
      </c>
      <c r="Y54" s="292">
        <f t="shared" si="16"/>
        <v>313250.21126744477</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90274.476799999975</v>
      </c>
      <c r="F56" s="291">
        <f t="shared" si="17"/>
        <v>88170.014336000051</v>
      </c>
      <c r="G56" s="291">
        <f t="shared" si="17"/>
        <v>190390.08980223996</v>
      </c>
      <c r="H56" s="291">
        <f t="shared" si="17"/>
        <v>189968.88751508476</v>
      </c>
      <c r="I56" s="291">
        <f t="shared" si="17"/>
        <v>189370.10101885838</v>
      </c>
      <c r="J56" s="291">
        <f t="shared" si="17"/>
        <v>188583.41222284641</v>
      </c>
      <c r="K56" s="291">
        <f t="shared" si="17"/>
        <v>187598.02601825877</v>
      </c>
      <c r="L56" s="291">
        <f t="shared" si="17"/>
        <v>186402.64991161751</v>
      </c>
      <c r="M56" s="291">
        <f t="shared" si="17"/>
        <v>184985.47281776305</v>
      </c>
      <c r="N56" s="291">
        <f t="shared" si="17"/>
        <v>183334.14297834807</v>
      </c>
      <c r="O56" s="291">
        <f t="shared" si="17"/>
        <v>185609.55562101473</v>
      </c>
      <c r="P56" s="291">
        <f t="shared" si="17"/>
        <v>187895.69476111227</v>
      </c>
      <c r="Q56" s="291">
        <f t="shared" si="17"/>
        <v>190191.90538470366</v>
      </c>
      <c r="R56" s="291">
        <f t="shared" si="17"/>
        <v>192497.49763897626</v>
      </c>
      <c r="S56" s="291">
        <f t="shared" si="17"/>
        <v>194811.74559199857</v>
      </c>
      <c r="T56" s="291">
        <f t="shared" si="17"/>
        <v>197133.88595408754</v>
      </c>
      <c r="U56" s="291">
        <f t="shared" si="17"/>
        <v>199463.11675967427</v>
      </c>
      <c r="V56" s="291">
        <f t="shared" si="17"/>
        <v>201798.59600853582</v>
      </c>
      <c r="W56" s="291">
        <f t="shared" si="17"/>
        <v>204139.44026521605</v>
      </c>
      <c r="X56" s="291">
        <f t="shared" si="17"/>
        <v>206484.7232154425</v>
      </c>
      <c r="Y56" s="291">
        <f t="shared" si="17"/>
        <v>208833.47417829651</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
      </c>
      <c r="I60" s="288" t="str">
        <f t="shared" si="18"/>
        <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0</v>
      </c>
      <c r="I63" s="285">
        <f t="shared" si="19"/>
        <v>0</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0</v>
      </c>
      <c r="F64" s="296">
        <f>INDEX('02_Debt Engine'!$F$74:$Z$90,MATCH($C$1,'02_Debt Engine'!$B$74:$B$90,0),MATCH(F$12,'02_Debt Engine'!$F$73:$Z$73,0))</f>
        <v>0</v>
      </c>
      <c r="G64" s="296">
        <f>INDEX('02_Debt Engine'!$F$74:$Z$90,MATCH($C$1,'02_Debt Engine'!$B$74:$B$90,0),MATCH(G$12,'02_Debt Engine'!$F$73:$Z$73,0))</f>
        <v>0</v>
      </c>
      <c r="H64" s="296">
        <f>INDEX('02_Debt Engine'!$F$74:$Z$90,MATCH($C$1,'02_Debt Engine'!$B$74:$B$90,0),MATCH(H$12,'02_Debt Engine'!$F$73:$Z$73,0))</f>
        <v>0</v>
      </c>
      <c r="I64" s="296">
        <f>INDEX('02_Debt Engine'!$F$74:$Z$90,MATCH($C$1,'02_Debt Engine'!$B$74:$B$90,0),MATCH(I$12,'02_Debt Engine'!$F$73:$Z$73,0))</f>
        <v>0</v>
      </c>
      <c r="J64" s="296">
        <f>INDEX('02_Debt Engine'!$F$74:$Z$90,MATCH($C$1,'02_Debt Engine'!$B$74:$B$90,0),MATCH(J$12,'02_Debt Engine'!$F$73:$Z$73,0))</f>
        <v>0</v>
      </c>
      <c r="K64" s="296">
        <f>INDEX('02_Debt Engine'!$F$74:$Z$90,MATCH($C$1,'02_Debt Engine'!$B$74:$B$90,0),MATCH(K$12,'02_Debt Engine'!$F$73:$Z$73,0))</f>
        <v>0</v>
      </c>
      <c r="L64" s="296">
        <f>INDEX('02_Debt Engine'!$F$74:$Z$90,MATCH($C$1,'02_Debt Engine'!$B$74:$B$90,0),MATCH(L$12,'02_Debt Engine'!$F$73:$Z$73,0))</f>
        <v>0</v>
      </c>
      <c r="M64" s="296">
        <f>INDEX('02_Debt Engine'!$F$74:$Z$90,MATCH($C$1,'02_Debt Engine'!$B$74:$B$90,0),MATCH(M$12,'02_Debt Engine'!$F$73:$Z$73,0))</f>
        <v>0</v>
      </c>
      <c r="N64" s="296">
        <f>INDEX('02_Debt Engine'!$F$74:$Z$90,MATCH($C$1,'02_Debt Engine'!$B$74:$B$90,0),MATCH(N$12,'02_Debt Engine'!$F$73:$Z$73,0))</f>
        <v>0</v>
      </c>
      <c r="O64" s="296">
        <f>INDEX('02_Debt Engine'!$F$74:$Z$90,MATCH($C$1,'02_Debt Engine'!$B$74:$B$90,0),MATCH(O$12,'02_Debt Engine'!$F$73:$Z$73,0))</f>
        <v>0</v>
      </c>
      <c r="P64" s="296">
        <f>INDEX('02_Debt Engine'!$F$74:$Z$90,MATCH($C$1,'02_Debt Engine'!$B$74:$B$90,0),MATCH(P$12,'02_Debt Engine'!$F$73:$Z$73,0))</f>
        <v>0</v>
      </c>
      <c r="Q64" s="296">
        <f>INDEX('02_Debt Engine'!$F$74:$Z$90,MATCH($C$1,'02_Debt Engine'!$B$74:$B$90,0),MATCH(Q$12,'02_Debt Engine'!$F$73:$Z$73,0))</f>
        <v>0</v>
      </c>
      <c r="R64" s="296">
        <f>INDEX('02_Debt Engine'!$F$74:$Z$90,MATCH($C$1,'02_Debt Engine'!$B$74:$B$90,0),MATCH(R$12,'02_Debt Engine'!$F$73:$Z$73,0))</f>
        <v>0</v>
      </c>
      <c r="S64" s="296">
        <f>INDEX('02_Debt Engine'!$F$74:$Z$90,MATCH($C$1,'02_Debt Engine'!$B$74:$B$90,0),MATCH(S$12,'02_Debt Engine'!$F$73:$Z$73,0))</f>
        <v>0</v>
      </c>
      <c r="T64" s="296">
        <f>INDEX('02_Debt Engine'!$F$74:$Z$90,MATCH($C$1,'02_Debt Engine'!$B$74:$B$90,0),MATCH(T$12,'02_Debt Engine'!$F$73:$Z$73,0))</f>
        <v>0</v>
      </c>
      <c r="U64" s="296">
        <f>INDEX('02_Debt Engine'!$F$74:$Z$90,MATCH($C$1,'02_Debt Engine'!$B$74:$B$90,0),MATCH(U$12,'02_Debt Engine'!$F$73:$Z$73,0))</f>
        <v>0</v>
      </c>
      <c r="V64" s="296">
        <f>INDEX('02_Debt Engine'!$F$74:$Z$90,MATCH($C$1,'02_Debt Engine'!$B$74:$B$90,0),MATCH(V$12,'02_Debt Engine'!$F$73:$Z$73,0))</f>
        <v>0</v>
      </c>
      <c r="W64" s="296">
        <f>INDEX('02_Debt Engine'!$F$74:$Z$90,MATCH($C$1,'02_Debt Engine'!$B$74:$B$90,0),MATCH(W$12,'02_Debt Engine'!$F$73:$Z$73,0))</f>
        <v>0</v>
      </c>
      <c r="X64" s="296">
        <f>INDEX('02_Debt Engine'!$F$74:$Z$90,MATCH($C$1,'02_Debt Engine'!$B$74:$B$90,0),MATCH(X$12,'02_Debt Engine'!$F$73:$Z$73,0))</f>
        <v>0</v>
      </c>
      <c r="Y64" s="296">
        <f>INDEX('02_Debt Engine'!$F$74:$Z$90,MATCH($C$1,'02_Debt Engine'!$B$74:$B$90,0),MATCH(Y$12,'02_Debt Engine'!$F$73:$Z$73,0))</f>
        <v>0</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
      </c>
      <c r="I66" s="288" t="str">
        <f t="shared" si="20"/>
        <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90274.476799999975</v>
      </c>
      <c r="F67" s="285">
        <f t="shared" si="21"/>
        <v>88170.014336000051</v>
      </c>
      <c r="G67" s="285">
        <f t="shared" si="21"/>
        <v>190390.08980223996</v>
      </c>
      <c r="H67" s="285">
        <f t="shared" si="21"/>
        <v>189968.88751508476</v>
      </c>
      <c r="I67" s="285">
        <f t="shared" si="21"/>
        <v>189370.10101885838</v>
      </c>
      <c r="J67" s="285">
        <f t="shared" si="21"/>
        <v>188583.41222284641</v>
      </c>
      <c r="K67" s="285">
        <f t="shared" si="21"/>
        <v>187598.02601825877</v>
      </c>
      <c r="L67" s="285">
        <f t="shared" si="21"/>
        <v>186402.64991161751</v>
      </c>
      <c r="M67" s="285">
        <f t="shared" si="21"/>
        <v>184985.47281776305</v>
      </c>
      <c r="N67" s="285">
        <f t="shared" si="21"/>
        <v>183334.14297834807</v>
      </c>
      <c r="O67" s="285">
        <f t="shared" si="21"/>
        <v>185609.55562101473</v>
      </c>
      <c r="P67" s="285">
        <f t="shared" si="21"/>
        <v>187895.69476111227</v>
      </c>
      <c r="Q67" s="285">
        <f t="shared" si="21"/>
        <v>190191.90538470366</v>
      </c>
      <c r="R67" s="285">
        <f t="shared" si="21"/>
        <v>192497.49763897626</v>
      </c>
      <c r="S67" s="285">
        <f t="shared" si="21"/>
        <v>194811.74559199857</v>
      </c>
      <c r="T67" s="285">
        <f t="shared" si="21"/>
        <v>197133.88595408754</v>
      </c>
      <c r="U67" s="285">
        <f t="shared" si="21"/>
        <v>199463.11675967427</v>
      </c>
      <c r="V67" s="285">
        <f t="shared" si="21"/>
        <v>201798.59600853582</v>
      </c>
      <c r="W67" s="285">
        <f t="shared" si="21"/>
        <v>204139.44026521605</v>
      </c>
      <c r="X67" s="285">
        <f t="shared" si="21"/>
        <v>206484.7232154425</v>
      </c>
      <c r="Y67" s="285">
        <f t="shared" si="21"/>
        <v>208833.47417829651</v>
      </c>
    </row>
    <row r="68" spans="3:25" s="20" customFormat="1" ht="13.5" customHeight="1">
      <c r="C68" s="26" t="s">
        <v>544</v>
      </c>
      <c r="E68" s="287">
        <f t="shared" ref="E68:Y68" si="22">E67+E$63</f>
        <v>90274.476799999975</v>
      </c>
      <c r="F68" s="287">
        <f t="shared" si="22"/>
        <v>88170.014336000051</v>
      </c>
      <c r="G68" s="287">
        <f t="shared" si="22"/>
        <v>190390.08980223996</v>
      </c>
      <c r="H68" s="287">
        <f t="shared" si="22"/>
        <v>189968.88751508476</v>
      </c>
      <c r="I68" s="287">
        <f t="shared" si="22"/>
        <v>189370.10101885838</v>
      </c>
      <c r="J68" s="287">
        <f t="shared" si="22"/>
        <v>188583.41222284641</v>
      </c>
      <c r="K68" s="287">
        <f t="shared" si="22"/>
        <v>187598.02601825877</v>
      </c>
      <c r="L68" s="287">
        <f t="shared" si="22"/>
        <v>186402.64991161751</v>
      </c>
      <c r="M68" s="287">
        <f t="shared" si="22"/>
        <v>184985.47281776305</v>
      </c>
      <c r="N68" s="287">
        <f t="shared" si="22"/>
        <v>183334.14297834807</v>
      </c>
      <c r="O68" s="287">
        <f t="shared" si="22"/>
        <v>185609.55562101473</v>
      </c>
      <c r="P68" s="287">
        <f t="shared" si="22"/>
        <v>187895.69476111227</v>
      </c>
      <c r="Q68" s="287">
        <f t="shared" si="22"/>
        <v>190191.90538470366</v>
      </c>
      <c r="R68" s="287">
        <f t="shared" si="22"/>
        <v>192497.49763897626</v>
      </c>
      <c r="S68" s="287">
        <f t="shared" si="22"/>
        <v>194811.74559199857</v>
      </c>
      <c r="T68" s="287">
        <f t="shared" si="22"/>
        <v>197133.88595408754</v>
      </c>
      <c r="U68" s="287">
        <f t="shared" si="22"/>
        <v>199463.11675967427</v>
      </c>
      <c r="V68" s="287">
        <f t="shared" si="22"/>
        <v>201798.59600853582</v>
      </c>
      <c r="W68" s="287">
        <f t="shared" si="22"/>
        <v>204139.44026521605</v>
      </c>
      <c r="X68" s="287">
        <f t="shared" si="22"/>
        <v>206484.7232154425</v>
      </c>
      <c r="Y68" s="287">
        <f t="shared" si="22"/>
        <v>208833.47417829651</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3761436.5333333323</v>
      </c>
      <c r="F73" s="285">
        <f t="shared" si="24"/>
        <v>3673750.5973333349</v>
      </c>
      <c r="G73" s="285">
        <f t="shared" si="24"/>
        <v>7932920.4084266657</v>
      </c>
      <c r="H73" s="285">
        <f t="shared" si="24"/>
        <v>7915370.31312853</v>
      </c>
      <c r="I73" s="285">
        <f t="shared" si="24"/>
        <v>7890420.8757857662</v>
      </c>
      <c r="J73" s="285">
        <f t="shared" si="24"/>
        <v>7857642.1759519344</v>
      </c>
      <c r="K73" s="285">
        <f t="shared" si="24"/>
        <v>7816584.4174274476</v>
      </c>
      <c r="L73" s="285">
        <f t="shared" si="24"/>
        <v>7766777.079650729</v>
      </c>
      <c r="M73" s="285">
        <f t="shared" si="24"/>
        <v>7707728.0340734599</v>
      </c>
      <c r="N73" s="285">
        <f t="shared" si="24"/>
        <v>7638922.6240978362</v>
      </c>
      <c r="O73" s="285">
        <f t="shared" si="24"/>
        <v>7733731.484208947</v>
      </c>
      <c r="P73" s="285">
        <f t="shared" si="24"/>
        <v>7828987.2817130098</v>
      </c>
      <c r="Q73" s="285">
        <f t="shared" si="24"/>
        <v>7924662.7243626518</v>
      </c>
      <c r="R73" s="285">
        <f t="shared" si="24"/>
        <v>8020729.0682906769</v>
      </c>
      <c r="S73" s="285">
        <f t="shared" si="24"/>
        <v>8117156.0663332734</v>
      </c>
      <c r="T73" s="285">
        <f t="shared" si="24"/>
        <v>8213911.9147536485</v>
      </c>
      <c r="U73" s="285">
        <f t="shared" si="24"/>
        <v>8310963.1983197611</v>
      </c>
      <c r="V73" s="285">
        <f t="shared" si="24"/>
        <v>8408274.8336889911</v>
      </c>
      <c r="W73" s="285">
        <f t="shared" si="24"/>
        <v>8505810.0110506676</v>
      </c>
      <c r="X73" s="285">
        <f t="shared" si="24"/>
        <v>8603530.1339767706</v>
      </c>
      <c r="Y73" s="285">
        <f t="shared" si="24"/>
        <v>8701394.7574290223</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
      </c>
      <c r="I75" s="288" t="str">
        <f t="shared" si="25"/>
        <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0</v>
      </c>
      <c r="F76" s="285">
        <f t="shared" si="26"/>
        <v>0</v>
      </c>
      <c r="G76" s="285">
        <f t="shared" si="26"/>
        <v>0</v>
      </c>
      <c r="H76" s="285">
        <f t="shared" si="26"/>
        <v>0</v>
      </c>
      <c r="I76" s="285">
        <f t="shared" si="26"/>
        <v>0</v>
      </c>
      <c r="J76" s="285">
        <f t="shared" si="26"/>
        <v>0</v>
      </c>
      <c r="K76" s="285">
        <f t="shared" si="26"/>
        <v>0</v>
      </c>
      <c r="L76" s="285">
        <f t="shared" si="26"/>
        <v>0</v>
      </c>
      <c r="M76" s="285">
        <f t="shared" si="26"/>
        <v>0</v>
      </c>
      <c r="N76" s="285">
        <f t="shared" si="26"/>
        <v>0</v>
      </c>
      <c r="O76" s="285">
        <f t="shared" si="26"/>
        <v>0</v>
      </c>
      <c r="P76" s="285">
        <f t="shared" si="26"/>
        <v>0</v>
      </c>
      <c r="Q76" s="285">
        <f t="shared" si="26"/>
        <v>0</v>
      </c>
      <c r="R76" s="285">
        <f t="shared" si="26"/>
        <v>0</v>
      </c>
      <c r="S76" s="285">
        <f t="shared" si="26"/>
        <v>0</v>
      </c>
      <c r="T76" s="285">
        <f t="shared" si="26"/>
        <v>0</v>
      </c>
      <c r="U76" s="285">
        <f t="shared" si="26"/>
        <v>0</v>
      </c>
      <c r="V76" s="285">
        <f t="shared" si="26"/>
        <v>0</v>
      </c>
      <c r="W76" s="285">
        <f t="shared" si="26"/>
        <v>0</v>
      </c>
      <c r="X76" s="285">
        <f t="shared" si="26"/>
        <v>0</v>
      </c>
      <c r="Y76" s="285">
        <f t="shared" si="26"/>
        <v>0</v>
      </c>
    </row>
    <row r="77" spans="3:25" ht="13.5" customHeight="1">
      <c r="C77" s="26" t="s">
        <v>376</v>
      </c>
      <c r="D77" s="21"/>
      <c r="E77" s="287">
        <f t="shared" ref="E77:Y77" si="27">E73-E$76</f>
        <v>3761436.5333333323</v>
      </c>
      <c r="F77" s="287">
        <f t="shared" si="27"/>
        <v>3673750.5973333349</v>
      </c>
      <c r="G77" s="287">
        <f t="shared" si="27"/>
        <v>7932920.4084266657</v>
      </c>
      <c r="H77" s="287">
        <f t="shared" si="27"/>
        <v>7915370.31312853</v>
      </c>
      <c r="I77" s="287">
        <f t="shared" si="27"/>
        <v>7890420.8757857662</v>
      </c>
      <c r="J77" s="287">
        <f t="shared" si="27"/>
        <v>7857642.1759519344</v>
      </c>
      <c r="K77" s="287">
        <f t="shared" si="27"/>
        <v>7816584.4174274476</v>
      </c>
      <c r="L77" s="287">
        <f t="shared" si="27"/>
        <v>7766777.079650729</v>
      </c>
      <c r="M77" s="287">
        <f t="shared" si="27"/>
        <v>7707728.0340734599</v>
      </c>
      <c r="N77" s="287">
        <f t="shared" si="27"/>
        <v>7638922.6240978362</v>
      </c>
      <c r="O77" s="287">
        <f t="shared" si="27"/>
        <v>7733731.484208947</v>
      </c>
      <c r="P77" s="287">
        <f t="shared" si="27"/>
        <v>7828987.2817130098</v>
      </c>
      <c r="Q77" s="287">
        <f t="shared" si="27"/>
        <v>7924662.7243626518</v>
      </c>
      <c r="R77" s="287">
        <f t="shared" si="27"/>
        <v>8020729.0682906769</v>
      </c>
      <c r="S77" s="287">
        <f t="shared" si="27"/>
        <v>8117156.0663332734</v>
      </c>
      <c r="T77" s="287">
        <f t="shared" si="27"/>
        <v>8213911.9147536485</v>
      </c>
      <c r="U77" s="287">
        <f t="shared" si="27"/>
        <v>8310963.1983197611</v>
      </c>
      <c r="V77" s="287">
        <f t="shared" si="27"/>
        <v>8408274.8336889911</v>
      </c>
      <c r="W77" s="287">
        <f t="shared" si="27"/>
        <v>8505810.0110506676</v>
      </c>
      <c r="X77" s="287">
        <f t="shared" si="27"/>
        <v>8603530.1339767706</v>
      </c>
      <c r="Y77" s="287">
        <f t="shared" si="27"/>
        <v>8701394.7574290223</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2026</v>
      </c>
      <c r="D79" s="20"/>
      <c r="E79" s="289" t="str">
        <f t="shared" ref="E79:Y79" si="28">IF(E$72=$F$2+1,"STAB. YR.","")</f>
        <v/>
      </c>
      <c r="F79" s="289" t="str">
        <f t="shared" si="28"/>
        <v>STAB. YR.</v>
      </c>
      <c r="G79" s="289" t="str">
        <f t="shared" si="28"/>
        <v/>
      </c>
      <c r="H79" s="289" t="str">
        <f t="shared" si="28"/>
        <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3673750.5973333349</v>
      </c>
      <c r="G80" s="296">
        <f t="shared" si="29"/>
        <v>0</v>
      </c>
      <c r="H80" s="296">
        <f t="shared" si="29"/>
        <v>0</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6.1432093992395333E-2</v>
      </c>
      <c r="F81" s="344">
        <f t="shared" si="30"/>
        <v>0.06</v>
      </c>
      <c r="G81" s="344">
        <f t="shared" si="30"/>
        <v>0.12956111524040201</v>
      </c>
      <c r="H81" s="344">
        <f t="shared" si="30"/>
        <v>0.12927448562579169</v>
      </c>
      <c r="I81" s="344">
        <f t="shared" si="30"/>
        <v>0.12886700934211243</v>
      </c>
      <c r="J81" s="344">
        <f t="shared" si="30"/>
        <v>0.12833166489291178</v>
      </c>
      <c r="K81" s="344">
        <f t="shared" si="30"/>
        <v>0.1276611061692855</v>
      </c>
      <c r="L81" s="344">
        <f t="shared" si="30"/>
        <v>0.12684764859032727</v>
      </c>
      <c r="M81" s="344">
        <f t="shared" si="30"/>
        <v>0.12588325467169603</v>
      </c>
      <c r="N81" s="344">
        <f t="shared" si="30"/>
        <v>0.12475951899907468</v>
      </c>
      <c r="O81" s="344">
        <f t="shared" si="30"/>
        <v>0.12630794517988178</v>
      </c>
      <c r="P81" s="344">
        <f t="shared" si="30"/>
        <v>0.12786367077932567</v>
      </c>
      <c r="Q81" s="344">
        <f t="shared" si="30"/>
        <v>0.12942625005815461</v>
      </c>
      <c r="R81" s="344">
        <f t="shared" si="30"/>
        <v>0.13099521356914129</v>
      </c>
      <c r="S81" s="344">
        <f t="shared" si="30"/>
        <v>0.13257006731309318</v>
      </c>
      <c r="T81" s="344">
        <f t="shared" si="30"/>
        <v>0.13415029186873839</v>
      </c>
      <c r="U81" s="344">
        <f t="shared" si="30"/>
        <v>0.13573534149573091</v>
      </c>
      <c r="V81" s="344">
        <f t="shared" si="30"/>
        <v>0.13732464321000407</v>
      </c>
      <c r="W81" s="344">
        <f t="shared" si="30"/>
        <v>0.13891759583067145</v>
      </c>
      <c r="X81" s="344">
        <f t="shared" si="30"/>
        <v>0.14051356899766382</v>
      </c>
      <c r="Y81" s="344">
        <f t="shared" si="30"/>
        <v>0.14211190215925548</v>
      </c>
    </row>
    <row r="82" spans="1:25" s="20" customFormat="1" ht="13.9" customHeight="1">
      <c r="A82" s="3"/>
      <c r="B82" s="3"/>
      <c r="C82" s="21" t="s">
        <v>380</v>
      </c>
      <c r="E82" s="285">
        <f t="shared" ref="E82:Y82" si="31">IF(E$72=$F$2+1,E77,0)</f>
        <v>0</v>
      </c>
      <c r="F82" s="285">
        <f t="shared" si="31"/>
        <v>3673750.5973333349</v>
      </c>
      <c r="G82" s="285">
        <f t="shared" si="31"/>
        <v>0</v>
      </c>
      <c r="H82" s="285">
        <f t="shared" si="31"/>
        <v>0</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6.1432093992395333E-2</v>
      </c>
      <c r="F83" s="299">
        <f t="shared" si="32"/>
        <v>0.06</v>
      </c>
      <c r="G83" s="299">
        <f t="shared" si="32"/>
        <v>0.12956111524040201</v>
      </c>
      <c r="H83" s="299">
        <f t="shared" si="32"/>
        <v>0.12927448562579169</v>
      </c>
      <c r="I83" s="299">
        <f t="shared" si="32"/>
        <v>0.12886700934211243</v>
      </c>
      <c r="J83" s="299">
        <f t="shared" si="32"/>
        <v>0.12833166489291178</v>
      </c>
      <c r="K83" s="299">
        <f t="shared" si="32"/>
        <v>0.1276611061692855</v>
      </c>
      <c r="L83" s="299">
        <f t="shared" si="32"/>
        <v>0.12684764859032727</v>
      </c>
      <c r="M83" s="299">
        <f t="shared" si="32"/>
        <v>0.12588325467169603</v>
      </c>
      <c r="N83" s="299">
        <f t="shared" si="32"/>
        <v>0.12475951899907468</v>
      </c>
      <c r="O83" s="299">
        <f t="shared" si="32"/>
        <v>0.12630794517988178</v>
      </c>
      <c r="P83" s="299">
        <f t="shared" si="32"/>
        <v>0.12786367077932567</v>
      </c>
      <c r="Q83" s="299">
        <f t="shared" si="32"/>
        <v>0.12942625005815461</v>
      </c>
      <c r="R83" s="299">
        <f t="shared" si="32"/>
        <v>0.13099521356914129</v>
      </c>
      <c r="S83" s="299">
        <f t="shared" si="32"/>
        <v>0.13257006731309318</v>
      </c>
      <c r="T83" s="299">
        <f t="shared" si="32"/>
        <v>0.13415029186873839</v>
      </c>
      <c r="U83" s="299">
        <f t="shared" si="32"/>
        <v>0.13573534149573091</v>
      </c>
      <c r="V83" s="299">
        <f t="shared" si="32"/>
        <v>0.13732464321000407</v>
      </c>
      <c r="W83" s="299">
        <f t="shared" si="32"/>
        <v>0.13891759583067145</v>
      </c>
      <c r="X83" s="299">
        <f t="shared" si="32"/>
        <v>0.14051356899766382</v>
      </c>
      <c r="Y83" s="299">
        <f t="shared" si="32"/>
        <v>0.14211190215925548</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2026</v>
      </c>
      <c r="E85" s="289" t="str">
        <f t="shared" ref="E85:Y85" si="33">IF(E$72=$F$2+1,"STAB. YR.","")</f>
        <v/>
      </c>
      <c r="F85" s="289" t="str">
        <f t="shared" si="33"/>
        <v>STAB. YR.</v>
      </c>
      <c r="G85" s="289" t="str">
        <f t="shared" si="33"/>
        <v/>
      </c>
      <c r="H85" s="289" t="str">
        <f t="shared" si="33"/>
        <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3.6859256395437197E-2</v>
      </c>
      <c r="F86" s="299">
        <f t="shared" si="34"/>
        <v>3.5999999999999997E-2</v>
      </c>
      <c r="G86" s="299">
        <f t="shared" si="34"/>
        <v>7.7736669144241211E-2</v>
      </c>
      <c r="H86" s="299">
        <f t="shared" si="34"/>
        <v>7.7564691375475003E-2</v>
      </c>
      <c r="I86" s="299">
        <f t="shared" si="34"/>
        <v>7.732020560526745E-2</v>
      </c>
      <c r="J86" s="299">
        <f t="shared" si="34"/>
        <v>7.6998998935747076E-2</v>
      </c>
      <c r="K86" s="299">
        <f t="shared" si="34"/>
        <v>7.6596663701571283E-2</v>
      </c>
      <c r="L86" s="299">
        <f t="shared" si="34"/>
        <v>7.6108589154196354E-2</v>
      </c>
      <c r="M86" s="299">
        <f t="shared" si="34"/>
        <v>7.5529952803017608E-2</v>
      </c>
      <c r="N86" s="299">
        <f t="shared" si="34"/>
        <v>7.4855711399444816E-2</v>
      </c>
      <c r="O86" s="299">
        <f t="shared" si="34"/>
        <v>7.5784767107929071E-2</v>
      </c>
      <c r="P86" s="299">
        <f t="shared" si="34"/>
        <v>7.6718202467595406E-2</v>
      </c>
      <c r="Q86" s="299">
        <f t="shared" si="34"/>
        <v>7.7655750034892765E-2</v>
      </c>
      <c r="R86" s="299">
        <f t="shared" si="34"/>
        <v>7.8597128141484771E-2</v>
      </c>
      <c r="S86" s="299">
        <f t="shared" si="34"/>
        <v>7.9542040387855895E-2</v>
      </c>
      <c r="T86" s="299">
        <f t="shared" si="34"/>
        <v>8.0490175121243041E-2</v>
      </c>
      <c r="U86" s="299">
        <f t="shared" si="34"/>
        <v>8.1441204897438543E-2</v>
      </c>
      <c r="V86" s="299">
        <f t="shared" si="34"/>
        <v>8.2394785926002426E-2</v>
      </c>
      <c r="W86" s="299">
        <f t="shared" si="34"/>
        <v>8.3350557498402866E-2</v>
      </c>
      <c r="X86" s="299">
        <f t="shared" si="34"/>
        <v>8.4308141398598282E-2</v>
      </c>
      <c r="Y86" s="299">
        <f t="shared" si="34"/>
        <v>8.5267141295553295E-2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48F79-BFF1-4280-A57A-8B722BBB7BBD}">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314</v>
      </c>
      <c r="E1" s="275" t="str">
        <f>INDEX('01_Property Summary'!$E$5:$E$21,MATCH($C$1,'01_Property Summary'!$C$5:$C$21,0))</f>
        <v>Vancouver</v>
      </c>
      <c r="F1" s="332" t="s">
        <v>536</v>
      </c>
      <c r="G1" s="333" t="s">
        <v>102</v>
      </c>
      <c r="J1" s="450" t="s">
        <v>308</v>
      </c>
      <c r="K1" s="424"/>
      <c r="L1" s="424"/>
      <c r="M1" s="424"/>
      <c r="N1" s="424"/>
      <c r="O1" s="424"/>
      <c r="P1" s="3"/>
      <c r="Q1" s="3"/>
      <c r="R1" s="3"/>
      <c r="S1" s="3"/>
      <c r="T1" s="3"/>
    </row>
    <row r="2" spans="3:25" ht="14.45" customHeight="1">
      <c r="C2" s="300" t="s">
        <v>537</v>
      </c>
      <c r="E2" s="334" t="str">
        <f>_xlfn.LET(_xlpm.refi,INDEX('02_Debt Engine'!$F$19:$F$35,MATCH($C$1,'02_Debt Engine'!$B$19:$B$35,0)),
_xlpm.refiyr,INDEX('02_Debt Engine'!$I$19:$I$35,MATCH($C$1,'02_Debt Engine'!$B$19:$B$35,0)),IF(_xlpm.refi="Yes",_xlpm.refiyr,"No Refi"))</f>
        <v>No Refi</v>
      </c>
      <c r="F2" s="334">
        <f>INDEX('01_Property Summary'!$F$5:$F$21,MATCH($C$1,'01_Property Summary'!$C$5:$C$21,0))</f>
        <v>2025</v>
      </c>
      <c r="G2" s="334">
        <f>INDEX('01_Property Summary'!$K$4:$K$21,MATCH($C$1,'01_Property Summary'!$C$4:$C$21,0))</f>
        <v>2027</v>
      </c>
      <c r="J2" s="278" t="str">
        <f>"Gate 1 — NOI ≥ 0 at stabilization ("&amp;$F$2+1&amp;"):"</f>
        <v>Gate 1 — NOI ≥ 0 at stabilization (2026):</v>
      </c>
      <c r="M2" s="451" t="str">
        <f>_xlfn.LET(_xlpm.stabnoi,INDEX($41:$41,MATCH(($F$2+1),$12:$12,0)),IF(_xlpm.stabnoi&gt;=0,"PASS — NOI $"&amp;TEXT(_xlpm.stabnoi,"#,##0"),"FAIL — NOI $"&amp;TEXT(_xlpm.stabnoi,"#,##0")))</f>
        <v>PASS — NOI $342,478</v>
      </c>
      <c r="N2" s="424"/>
      <c r="O2" s="424"/>
      <c r="S2" s="6"/>
    </row>
    <row r="3" spans="3:25" ht="14.45" customHeight="1">
      <c r="C3" s="300" t="s">
        <v>538</v>
      </c>
      <c r="E3" s="334">
        <f>INDEX('01_Property Summary'!$S$5:$S$21,MATCH($C$1,'01_Property Summary'!$C$5:$C$21,0))</f>
        <v>34</v>
      </c>
      <c r="F3" s="335">
        <f>'01_Assumptions'!$C$14</f>
        <v>0.1</v>
      </c>
      <c r="G3" s="335">
        <f>'01_Assumptions'!$C$15</f>
        <v>0.2</v>
      </c>
      <c r="J3" s="278" t="str">
        <f>"Gate 2 — DSCR ≥ 1.0× at stabilization ("&amp;$F$2+1&amp;"):"</f>
        <v>Gate 2 — DSCR ≥ 1.0× at stabilization (2026):</v>
      </c>
      <c r="M3" s="451" t="str">
        <f>_xlfn.LET(_xlpm.debt,INDEX($48:$48,MATCH(($F$2+1),$12:$12,0)),_xlpm.dscr,INDEX($50:$50,MATCH(($F$2+1),$12:$12,0)),
IF(_xlpm.debt=0,"PASS — no debt svc",IF(IFERROR(_xlpm.dscr,0)&gt;=1,"PASS — DSCR "&amp;TEXT(IFERROR(_xlpm.dscr,0),"0.00")&amp;"x","FAIL — DSCR "&amp;TEXT(IFERROR(_xlpm.dscr,0),"0.00")&amp;"x")))</f>
        <v>PASS — DSCR 3.07x</v>
      </c>
      <c r="N3" s="424"/>
      <c r="O3" s="424"/>
      <c r="S3" s="6"/>
    </row>
    <row r="4" spans="3:25" ht="14.45" customHeight="1">
      <c r="C4" s="300" t="s">
        <v>539</v>
      </c>
      <c r="E4" s="336">
        <f>INDEX('02_Rent Engine'!$H$5:$H$21,MATCH($C$1,'02_Rent Engine'!$B$5:$B$21,0))</f>
        <v>612.74509803921569</v>
      </c>
      <c r="F4" s="336">
        <f>INDEX('02_Rent Engine'!$J$5:$J$21,MATCH($C$1,'02_Rent Engine'!$B$5:$B$21,0))</f>
        <v>3654.25</v>
      </c>
      <c r="G4" s="336">
        <f>($F$3*$F$4)+((1-$F$3)*$E$4)</f>
        <v>916.8955882352941</v>
      </c>
      <c r="J4" s="280" t="s">
        <v>309</v>
      </c>
      <c r="M4" s="451" t="str">
        <f>IF(AND($J$52&gt;0,$O$52&gt;0),"PASS — AFFO $"&amp;TEXT($J$52,"#,##0")&amp;" (2030) / $"&amp;TEXT($O$52,"#,##0")&amp;" (2035)","FAIL — AFFO $"&amp;TEXT($J$52,"#,##0")&amp;" (2030) / $"&amp;TEXT($O$52,"#,##0")&amp;" (2035)")</f>
        <v>PASS — AFFO $292,962 (2030) / $299,556 (2035)</v>
      </c>
      <c r="N4" s="424"/>
      <c r="O4" s="424"/>
      <c r="S4" s="6"/>
    </row>
    <row r="5" spans="3:25" ht="14.45" customHeight="1">
      <c r="C5" s="337" t="str">
        <f>"Rent Growth — (pre / post Op. Agrmt. Expiry: "&amp;$G$2&amp;")"</f>
        <v>Rent Growth — (pre / post Op. Agrmt. Expiry: 2027)</v>
      </c>
      <c r="E5" s="338">
        <f>'01_Assumptions'!$C$5</f>
        <v>0.02</v>
      </c>
      <c r="F5" s="338">
        <f>'01_Assumptions'!$C$6</f>
        <v>0.02</v>
      </c>
      <c r="G5" s="32"/>
      <c r="L5" s="6"/>
      <c r="M5" s="6"/>
      <c r="R5" s="6"/>
      <c r="S5" s="6"/>
    </row>
    <row r="6" spans="3:25" ht="13.9" customHeight="1">
      <c r="C6" s="337" t="str">
        <f>"OpEx Growth — (pre / post Op. Agrmt. Expiry: "&amp;$G$2&amp;")"</f>
        <v>OpEx Growth — (pre / post Op. Agrmt. Expiry: 2027)</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BCHMC</v>
      </c>
      <c r="F8" s="336">
        <f>INDEX('01_Property Summary'!$Q$5:$Q$21,MATCH($C$1,'01_Property Summary'!$C$5:$C$21,0))</f>
        <v>178507.8</v>
      </c>
      <c r="G8" s="334">
        <f>INDEX('02_Debt Engine'!$I$19:$I$35,MATCH($C$1,'02_Debt Engine'!$B$19:$B$35,0))</f>
        <v>2027</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374093.4</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381575.26800000004</v>
      </c>
      <c r="G13" s="283">
        <f t="shared" si="1"/>
        <v>518313.5467200001</v>
      </c>
      <c r="H13" s="283">
        <f t="shared" si="1"/>
        <v>528679.81765440013</v>
      </c>
      <c r="I13" s="283">
        <f t="shared" si="1"/>
        <v>539253.41400748817</v>
      </c>
      <c r="J13" s="283">
        <f t="shared" si="1"/>
        <v>550038.48228763789</v>
      </c>
      <c r="K13" s="283">
        <f t="shared" si="1"/>
        <v>561039.25193339074</v>
      </c>
      <c r="L13" s="283">
        <f t="shared" si="1"/>
        <v>572260.03697205847</v>
      </c>
      <c r="M13" s="283">
        <f t="shared" si="1"/>
        <v>583705.23771149956</v>
      </c>
      <c r="N13" s="283">
        <f t="shared" si="1"/>
        <v>595379.34246572945</v>
      </c>
      <c r="O13" s="283">
        <f t="shared" si="1"/>
        <v>607286.9293150442</v>
      </c>
      <c r="P13" s="283">
        <f t="shared" si="1"/>
        <v>619432.66790134495</v>
      </c>
      <c r="Q13" s="283">
        <f t="shared" si="1"/>
        <v>631821.32125937182</v>
      </c>
      <c r="R13" s="283">
        <f t="shared" si="1"/>
        <v>644457.74768455932</v>
      </c>
      <c r="S13" s="283">
        <f t="shared" si="1"/>
        <v>657346.9026382505</v>
      </c>
      <c r="T13" s="283">
        <f t="shared" si="1"/>
        <v>670493.84069101559</v>
      </c>
      <c r="U13" s="283">
        <f t="shared" si="1"/>
        <v>683903.71750483569</v>
      </c>
      <c r="V13" s="283">
        <f t="shared" si="1"/>
        <v>697581.79185493267</v>
      </c>
      <c r="W13" s="283">
        <f t="shared" si="1"/>
        <v>711533.42769203125</v>
      </c>
      <c r="X13" s="283">
        <f t="shared" si="1"/>
        <v>725764.09624587186</v>
      </c>
      <c r="Y13" s="283">
        <f t="shared" si="1"/>
        <v>740279.37817078922</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5000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5100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5202</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5306.04</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5412.1607999999997</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5520.4040160000004</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5630.8120963199999</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5743.4283382463991</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5858.2969050113279</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5975.4628431115543</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6094.9720999737856</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6216.8715419732616</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6341.2089728127248</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6468.0331522689803</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6597.3938153143608</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6729.3416916206479</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6863.9285254530587</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7001.2070959621205</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7141.231237881364</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7284.055862638992</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7429.7369798917698</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row>
    <row r="19" spans="3:25" ht="13.5" customHeight="1">
      <c r="C19" s="3" t="s">
        <v>336</v>
      </c>
      <c r="E19" s="285">
        <f t="shared" ref="E19:Y19" si="2">SUM(E14:E18)</f>
        <v>5000</v>
      </c>
      <c r="F19" s="285">
        <f t="shared" si="2"/>
        <v>5100</v>
      </c>
      <c r="G19" s="285">
        <f t="shared" si="2"/>
        <v>5202</v>
      </c>
      <c r="H19" s="285">
        <f t="shared" si="2"/>
        <v>5306.04</v>
      </c>
      <c r="I19" s="285">
        <f t="shared" si="2"/>
        <v>5412.1607999999997</v>
      </c>
      <c r="J19" s="285">
        <f t="shared" si="2"/>
        <v>5520.4040160000004</v>
      </c>
      <c r="K19" s="285">
        <f t="shared" si="2"/>
        <v>5630.8120963199999</v>
      </c>
      <c r="L19" s="285">
        <f t="shared" si="2"/>
        <v>5743.4283382463991</v>
      </c>
      <c r="M19" s="285">
        <f t="shared" si="2"/>
        <v>5858.2969050113279</v>
      </c>
      <c r="N19" s="285">
        <f t="shared" si="2"/>
        <v>5975.4628431115543</v>
      </c>
      <c r="O19" s="285">
        <f t="shared" si="2"/>
        <v>6094.9720999737856</v>
      </c>
      <c r="P19" s="285">
        <f t="shared" si="2"/>
        <v>6216.8715419732616</v>
      </c>
      <c r="Q19" s="285">
        <f t="shared" si="2"/>
        <v>6341.2089728127248</v>
      </c>
      <c r="R19" s="285">
        <f t="shared" si="2"/>
        <v>6468.0331522689803</v>
      </c>
      <c r="S19" s="285">
        <f t="shared" si="2"/>
        <v>6597.3938153143608</v>
      </c>
      <c r="T19" s="285">
        <f t="shared" si="2"/>
        <v>6729.3416916206479</v>
      </c>
      <c r="U19" s="285">
        <f t="shared" si="2"/>
        <v>6863.9285254530587</v>
      </c>
      <c r="V19" s="285">
        <f t="shared" si="2"/>
        <v>7001.2070959621205</v>
      </c>
      <c r="W19" s="285">
        <f t="shared" si="2"/>
        <v>7141.231237881364</v>
      </c>
      <c r="X19" s="285">
        <f t="shared" si="2"/>
        <v>7284.055862638992</v>
      </c>
      <c r="Y19" s="285">
        <f t="shared" si="2"/>
        <v>7429.7369798917698</v>
      </c>
    </row>
    <row r="20" spans="3:25" ht="13.5" customHeight="1">
      <c r="C20" s="10" t="s">
        <v>337</v>
      </c>
      <c r="E20" s="283">
        <f t="shared" ref="E20:Y20" si="3">E13+E19</f>
        <v>379093.4</v>
      </c>
      <c r="F20" s="283">
        <f t="shared" si="3"/>
        <v>386675.26800000004</v>
      </c>
      <c r="G20" s="283">
        <f t="shared" si="3"/>
        <v>523515.5467200001</v>
      </c>
      <c r="H20" s="283">
        <f t="shared" si="3"/>
        <v>533985.85765440017</v>
      </c>
      <c r="I20" s="283">
        <f t="shared" si="3"/>
        <v>544665.57480748813</v>
      </c>
      <c r="J20" s="283">
        <f t="shared" si="3"/>
        <v>555558.88630363788</v>
      </c>
      <c r="K20" s="283">
        <f t="shared" si="3"/>
        <v>566670.06402971072</v>
      </c>
      <c r="L20" s="283">
        <f t="shared" si="3"/>
        <v>578003.46531030489</v>
      </c>
      <c r="M20" s="283">
        <f t="shared" si="3"/>
        <v>589563.53461651085</v>
      </c>
      <c r="N20" s="283">
        <f t="shared" si="3"/>
        <v>601354.80530884105</v>
      </c>
      <c r="O20" s="283">
        <f t="shared" si="3"/>
        <v>613381.90141501802</v>
      </c>
      <c r="P20" s="283">
        <f t="shared" si="3"/>
        <v>625649.53944331827</v>
      </c>
      <c r="Q20" s="283">
        <f t="shared" si="3"/>
        <v>638162.53023218457</v>
      </c>
      <c r="R20" s="283">
        <f t="shared" si="3"/>
        <v>650925.78083682829</v>
      </c>
      <c r="S20" s="283">
        <f t="shared" si="3"/>
        <v>663944.29645356489</v>
      </c>
      <c r="T20" s="283">
        <f t="shared" si="3"/>
        <v>677223.18238263624</v>
      </c>
      <c r="U20" s="283">
        <f t="shared" si="3"/>
        <v>690767.64603028877</v>
      </c>
      <c r="V20" s="283">
        <f t="shared" si="3"/>
        <v>704582.99895089481</v>
      </c>
      <c r="W20" s="283">
        <f t="shared" si="3"/>
        <v>718674.65892991261</v>
      </c>
      <c r="X20" s="283">
        <f t="shared" si="3"/>
        <v>733048.15210851084</v>
      </c>
      <c r="Y20" s="283">
        <f t="shared" si="3"/>
        <v>747709.115150681</v>
      </c>
    </row>
    <row r="21" spans="3:25" ht="13.5" customHeight="1">
      <c r="C21" s="11" t="s">
        <v>338</v>
      </c>
      <c r="E21" s="284">
        <f t="shared" ref="E21:Y21" si="4">-E20*$E$7</f>
        <v>-7581.8680000000004</v>
      </c>
      <c r="F21" s="284">
        <f t="shared" si="4"/>
        <v>-7733.505360000001</v>
      </c>
      <c r="G21" s="284">
        <f t="shared" si="4"/>
        <v>-10470.310934400002</v>
      </c>
      <c r="H21" s="284">
        <f t="shared" si="4"/>
        <v>-10679.717153088004</v>
      </c>
      <c r="I21" s="284">
        <f t="shared" si="4"/>
        <v>-10893.311496149763</v>
      </c>
      <c r="J21" s="284">
        <f t="shared" si="4"/>
        <v>-11111.177726072758</v>
      </c>
      <c r="K21" s="284">
        <f t="shared" si="4"/>
        <v>-11333.401280594215</v>
      </c>
      <c r="L21" s="284">
        <f t="shared" si="4"/>
        <v>-11560.069306206098</v>
      </c>
      <c r="M21" s="284">
        <f t="shared" si="4"/>
        <v>-11791.270692330218</v>
      </c>
      <c r="N21" s="284">
        <f t="shared" si="4"/>
        <v>-12027.096106176821</v>
      </c>
      <c r="O21" s="284">
        <f t="shared" si="4"/>
        <v>-12267.63802830036</v>
      </c>
      <c r="P21" s="284">
        <f t="shared" si="4"/>
        <v>-12512.990788866366</v>
      </c>
      <c r="Q21" s="284">
        <f t="shared" si="4"/>
        <v>-12763.250604643692</v>
      </c>
      <c r="R21" s="284">
        <f t="shared" si="4"/>
        <v>-13018.515616736566</v>
      </c>
      <c r="S21" s="284">
        <f t="shared" si="4"/>
        <v>-13278.885929071299</v>
      </c>
      <c r="T21" s="284">
        <f t="shared" si="4"/>
        <v>-13544.463647652725</v>
      </c>
      <c r="U21" s="284">
        <f t="shared" si="4"/>
        <v>-13815.352920605776</v>
      </c>
      <c r="V21" s="284">
        <f t="shared" si="4"/>
        <v>-14091.659979017897</v>
      </c>
      <c r="W21" s="284">
        <f t="shared" si="4"/>
        <v>-14373.493178598252</v>
      </c>
      <c r="X21" s="284">
        <f t="shared" si="4"/>
        <v>-14660.963042170217</v>
      </c>
      <c r="Y21" s="284">
        <f t="shared" si="4"/>
        <v>-14954.18230301362</v>
      </c>
    </row>
    <row r="22" spans="3:25" ht="13.5" customHeight="1">
      <c r="C22" s="3" t="s">
        <v>339</v>
      </c>
      <c r="E22" s="285">
        <f t="shared" ref="E22:Y22" si="5">E20+E21</f>
        <v>371511.53200000001</v>
      </c>
      <c r="F22" s="285">
        <f t="shared" si="5"/>
        <v>378941.76264000003</v>
      </c>
      <c r="G22" s="285">
        <f t="shared" si="5"/>
        <v>513045.23578560009</v>
      </c>
      <c r="H22" s="285">
        <f t="shared" si="5"/>
        <v>523306.14050131215</v>
      </c>
      <c r="I22" s="285">
        <f t="shared" si="5"/>
        <v>533772.26331133838</v>
      </c>
      <c r="J22" s="285">
        <f t="shared" si="5"/>
        <v>544447.70857756515</v>
      </c>
      <c r="K22" s="285">
        <f t="shared" si="5"/>
        <v>555336.66274911654</v>
      </c>
      <c r="L22" s="285">
        <f t="shared" si="5"/>
        <v>566443.39600409882</v>
      </c>
      <c r="M22" s="285">
        <f t="shared" si="5"/>
        <v>577772.26392418065</v>
      </c>
      <c r="N22" s="285">
        <f t="shared" si="5"/>
        <v>589327.70920266421</v>
      </c>
      <c r="O22" s="285">
        <f t="shared" si="5"/>
        <v>601114.26338671765</v>
      </c>
      <c r="P22" s="285">
        <f t="shared" si="5"/>
        <v>613136.54865445185</v>
      </c>
      <c r="Q22" s="285">
        <f t="shared" si="5"/>
        <v>625399.27962754085</v>
      </c>
      <c r="R22" s="285">
        <f t="shared" si="5"/>
        <v>637907.26522009168</v>
      </c>
      <c r="S22" s="285">
        <f t="shared" si="5"/>
        <v>650665.41052449355</v>
      </c>
      <c r="T22" s="285">
        <f t="shared" si="5"/>
        <v>663678.71873498347</v>
      </c>
      <c r="U22" s="285">
        <f t="shared" si="5"/>
        <v>676952.29310968297</v>
      </c>
      <c r="V22" s="285">
        <f t="shared" si="5"/>
        <v>690491.33897187689</v>
      </c>
      <c r="W22" s="285">
        <f t="shared" si="5"/>
        <v>704301.16575131437</v>
      </c>
      <c r="X22" s="285">
        <f t="shared" si="5"/>
        <v>718387.18906634068</v>
      </c>
      <c r="Y22" s="285">
        <f t="shared" si="5"/>
        <v>732754.93284766737</v>
      </c>
    </row>
    <row r="23" spans="3:25" ht="13.5" customHeight="1">
      <c r="C23" s="13" t="s">
        <v>340</v>
      </c>
      <c r="D23" s="13"/>
      <c r="E23" s="295">
        <f t="shared" ref="E23:Y23" si="6">(E$12&gt;=$F$2)*(E$12&lt;=$G$8)*$F$8</f>
        <v>178507.8</v>
      </c>
      <c r="F23" s="295">
        <f t="shared" si="6"/>
        <v>178507.8</v>
      </c>
      <c r="G23" s="295">
        <f t="shared" si="6"/>
        <v>178507.8</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550019.33199999994</v>
      </c>
      <c r="F24" s="286">
        <f t="shared" si="7"/>
        <v>557449.56264000002</v>
      </c>
      <c r="G24" s="286">
        <f t="shared" si="7"/>
        <v>691553.03578560008</v>
      </c>
      <c r="H24" s="286">
        <f t="shared" si="7"/>
        <v>523306.14050131215</v>
      </c>
      <c r="I24" s="286">
        <f t="shared" si="7"/>
        <v>533772.26331133838</v>
      </c>
      <c r="J24" s="286">
        <f t="shared" si="7"/>
        <v>544447.70857756515</v>
      </c>
      <c r="K24" s="286">
        <f t="shared" si="7"/>
        <v>555336.66274911654</v>
      </c>
      <c r="L24" s="286">
        <f t="shared" si="7"/>
        <v>566443.39600409882</v>
      </c>
      <c r="M24" s="286">
        <f t="shared" si="7"/>
        <v>577772.26392418065</v>
      </c>
      <c r="N24" s="286">
        <f t="shared" si="7"/>
        <v>589327.70920266421</v>
      </c>
      <c r="O24" s="286">
        <f t="shared" si="7"/>
        <v>601114.26338671765</v>
      </c>
      <c r="P24" s="286">
        <f t="shared" si="7"/>
        <v>613136.54865445185</v>
      </c>
      <c r="Q24" s="286">
        <f t="shared" si="7"/>
        <v>625399.27962754085</v>
      </c>
      <c r="R24" s="286">
        <f t="shared" si="7"/>
        <v>637907.26522009168</v>
      </c>
      <c r="S24" s="286">
        <f t="shared" si="7"/>
        <v>650665.41052449355</v>
      </c>
      <c r="T24" s="286">
        <f t="shared" si="7"/>
        <v>663678.71873498347</v>
      </c>
      <c r="U24" s="286">
        <f t="shared" si="7"/>
        <v>676952.29310968297</v>
      </c>
      <c r="V24" s="286">
        <f t="shared" si="7"/>
        <v>690491.33897187689</v>
      </c>
      <c r="W24" s="286">
        <f t="shared" si="7"/>
        <v>704301.16575131437</v>
      </c>
      <c r="X24" s="286">
        <f t="shared" si="7"/>
        <v>718387.18906634068</v>
      </c>
      <c r="Y24" s="286">
        <f t="shared" si="7"/>
        <v>732754.93284766737</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20100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20904</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21740.160000000003</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22609.7664</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23514.157056000004</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24454.723338240008</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25432.912271769608</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26450.228762640389</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27508.237913146011</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28608.567429671853</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29323.781615413645</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30056.876155798986</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30808.298059693963</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31578.505511186308</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32367.96814896596</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33177.167352690107</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34006.596536507364</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34856.761449920043</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35728.180486168036</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36621.384998322239</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37536.919623280293</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1250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1300</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1352.0000000000002</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1406.0800000000002</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1462.3232000000003</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1520.8161280000004</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1581.6487731200004</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1644.9147240448003</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1710.7113130065927</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1779.1397655268565</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1823.6182596650276</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1869.2087161566535</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1915.9389340605699</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1963.8374074120838</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2012.9333425973855</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2063.2566761623202</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2114.8380930663784</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2167.7090453930377</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2221.9017715278628</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2277.4493158160599</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2334.3855487114611</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38650</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40196</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41803.840000000004</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43475.993600000002</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45215.03334400001</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47023.634677760012</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48904.580064870417</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50860.763267465227</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52895.193798163848</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55011.001550090405</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56386.276588842658</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57795.933503563727</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59240.831841152816</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60721.852637181626</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62239.898953111158</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63795.89642693894</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65390.793837612415</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67025.563683552726</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68701.202775641519</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70418.732845032559</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72179.201166158382</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200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208</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216.32000000000002</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224.97280000000001</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233.97171200000005</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243.33058048000007</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253.06380369920007</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263.18635584716804</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273.71381008105482</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284.66236248429703</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291.77892154640443</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299.07339458506453</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306.55022944969119</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314.21398518593338</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322.06933481558167</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330.12106818597124</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338.37409489062054</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346.83344726288601</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355.50428344445805</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364.39189053056953</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373.50168779383381</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24000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24960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25958.400000000001</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26996.736000000001</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28076.605440000007</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29199.669657600007</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30367.656443904008</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31582.362701660168</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32845.657209726582</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34159.483498115645</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35013.470585568532</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35888.807350207746</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36786.027533962937</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37705.67822231201</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38648.320177869806</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39614.52818231655</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40604.891386874464</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41620.013671546323</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42660.514013334971</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43727.026863668347</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44820.202535260054</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12000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12480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12979.2</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13498.368</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14038.302720000003</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14599.834828800003</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15183.828221952004</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15791.181350830084</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16422.828604863291</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17079.741749057823</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17506.735292784266</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17944.403675103873</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18393.013766981469</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18852.839111156005</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19324.160088934903</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19807.264091158275</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20302.445693437232</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20810.006835773162</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21330.257006667485</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21863.513431834173</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22410.101267630027</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7500</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7800</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8112.0000000000009</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8436.4800000000014</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8773.9392000000007</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9124.8967680000023</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9489.8926387200027</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9869.4883442688024</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10264.267878039556</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10674.838593161139</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10941.709557990167</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11215.25229693992</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11495.633604363418</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11783.024444472503</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12077.600055584313</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12379.540056973921</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12689.02855839827</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13006.254272358225</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13331.410629167178</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13664.695894896358</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14006.313292268767</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11000</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11440</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11897.600000000002</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12373.504000000001</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12868.444160000003</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13383.181926400004</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13918.509203456004</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14475.249571594242</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15054.259554458014</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15656.429936636338</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16047.840685052244</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16449.03670217855</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16860.262619733014</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17281.769185226338</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17713.813414856992</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18156.65875022842</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18610.57521898413</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19075.83959945873</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19552.735589445194</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20041.553979181324</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20542.592828660858</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17000</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17680</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18387.2</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19122.688000000002</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19887.595520000003</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20683.099340800007</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21510.423314432006</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22370.840247009284</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23265.673856889658</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24196.300811165249</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24801.208331444377</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25421.238539730486</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26056.76950322375</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26708.18874080434</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27375.893459324445</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28060.290795807556</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28761.798065702744</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29480.843017345309</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30217.864092778938</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30973.310695098411</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31747.643462475873</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40970</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42608.800000000003</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44313.152000000002</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46085.678080000005</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47929.105203200008</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49846.269411328016</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51840.120187781133</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53913.724995292374</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56070.273995104078</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58313.084954908249</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59770.912078780952</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61265.184880750472</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62796.814502769237</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64366.734865338454</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65975.903236971906</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67625.300817896205</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69315.933338343617</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71048.831671802196</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72825.05246359724</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74645.678775187174</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76511.820744566852</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34033</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35394.32</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36810.092800000006</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38282.496512000005</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39813.796372480007</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41406.348227379211</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43062.602156474379</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44785.106242733353</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46576.510492442692</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48439.570912140407</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49650.560184943912</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50891.824189567509</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52164.119794306695</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53468.222789164356</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54804.928358893456</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56175.051567865798</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57579.427857062437</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59018.913553489001</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60494.386392326211</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62006.746052134367</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63556.914703437724</v>
      </c>
    </row>
    <row r="39" spans="3:25" ht="13.15" customHeight="1">
      <c r="C39" s="14" t="s">
        <v>355</v>
      </c>
      <c r="E39" s="286">
        <f t="shared" ref="E39:Y39" si="8">SUM(E27:E38)</f>
        <v>206703</v>
      </c>
      <c r="F39" s="286">
        <f t="shared" si="8"/>
        <v>214971.12</v>
      </c>
      <c r="G39" s="286">
        <f t="shared" si="8"/>
        <v>223569.96480000002</v>
      </c>
      <c r="H39" s="286">
        <f t="shared" si="8"/>
        <v>232512.76339200002</v>
      </c>
      <c r="I39" s="286">
        <f t="shared" si="8"/>
        <v>241813.27392768004</v>
      </c>
      <c r="J39" s="286">
        <f t="shared" si="8"/>
        <v>251485.80488478724</v>
      </c>
      <c r="K39" s="286">
        <f t="shared" si="8"/>
        <v>261545.23708017875</v>
      </c>
      <c r="L39" s="286">
        <f t="shared" si="8"/>
        <v>272007.04656338593</v>
      </c>
      <c r="M39" s="286">
        <f t="shared" si="8"/>
        <v>282887.32842592138</v>
      </c>
      <c r="N39" s="286">
        <f t="shared" si="8"/>
        <v>294202.82156295824</v>
      </c>
      <c r="O39" s="286">
        <f t="shared" si="8"/>
        <v>301557.8921020322</v>
      </c>
      <c r="P39" s="286">
        <f t="shared" si="8"/>
        <v>309096.83940458304</v>
      </c>
      <c r="Q39" s="286">
        <f t="shared" si="8"/>
        <v>316824.26038969756</v>
      </c>
      <c r="R39" s="286">
        <f t="shared" si="8"/>
        <v>324744.86689944001</v>
      </c>
      <c r="S39" s="286">
        <f t="shared" si="8"/>
        <v>332863.48857192585</v>
      </c>
      <c r="T39" s="286">
        <f t="shared" si="8"/>
        <v>341185.0757862241</v>
      </c>
      <c r="U39" s="286">
        <f t="shared" si="8"/>
        <v>349714.70268087968</v>
      </c>
      <c r="V39" s="286">
        <f t="shared" si="8"/>
        <v>358457.57024790166</v>
      </c>
      <c r="W39" s="286">
        <f t="shared" si="8"/>
        <v>367419.00950409909</v>
      </c>
      <c r="X39" s="286">
        <f t="shared" si="8"/>
        <v>376604.48474170163</v>
      </c>
      <c r="Y39" s="286">
        <f t="shared" si="8"/>
        <v>386019.59686024417</v>
      </c>
    </row>
    <row r="40" spans="3:25" ht="7.15" customHeight="1"/>
    <row r="41" spans="3:25" ht="13.5" customHeight="1">
      <c r="C41" s="15" t="s">
        <v>356</v>
      </c>
      <c r="D41" s="8"/>
      <c r="E41" s="287">
        <f t="shared" ref="E41:Y41" si="9">E24-E39</f>
        <v>343316.33199999994</v>
      </c>
      <c r="F41" s="287">
        <f t="shared" si="9"/>
        <v>342478.44264000002</v>
      </c>
      <c r="G41" s="287">
        <f t="shared" si="9"/>
        <v>467983.07098560006</v>
      </c>
      <c r="H41" s="287">
        <f t="shared" si="9"/>
        <v>290793.3771093121</v>
      </c>
      <c r="I41" s="287">
        <f t="shared" si="9"/>
        <v>291958.98938365834</v>
      </c>
      <c r="J41" s="287">
        <f t="shared" si="9"/>
        <v>292961.90369277791</v>
      </c>
      <c r="K41" s="287">
        <f t="shared" si="9"/>
        <v>293791.42566893779</v>
      </c>
      <c r="L41" s="287">
        <f t="shared" si="9"/>
        <v>294436.34944071289</v>
      </c>
      <c r="M41" s="287">
        <f t="shared" si="9"/>
        <v>294884.93549825926</v>
      </c>
      <c r="N41" s="287">
        <f t="shared" si="9"/>
        <v>295124.88763970596</v>
      </c>
      <c r="O41" s="287">
        <f t="shared" si="9"/>
        <v>299556.37128468545</v>
      </c>
      <c r="P41" s="287">
        <f t="shared" si="9"/>
        <v>304039.70924986881</v>
      </c>
      <c r="Q41" s="287">
        <f t="shared" si="9"/>
        <v>308575.01923784328</v>
      </c>
      <c r="R41" s="287">
        <f t="shared" si="9"/>
        <v>313162.39832065167</v>
      </c>
      <c r="S41" s="287">
        <f t="shared" si="9"/>
        <v>317801.9219525677</v>
      </c>
      <c r="T41" s="287">
        <f t="shared" si="9"/>
        <v>322493.64294875937</v>
      </c>
      <c r="U41" s="287">
        <f t="shared" si="9"/>
        <v>327237.59042880329</v>
      </c>
      <c r="V41" s="287">
        <f t="shared" si="9"/>
        <v>332033.76872397523</v>
      </c>
      <c r="W41" s="287">
        <f t="shared" si="9"/>
        <v>336882.15624721529</v>
      </c>
      <c r="X41" s="287">
        <f t="shared" si="9"/>
        <v>341782.70432463905</v>
      </c>
      <c r="Y41" s="287">
        <f t="shared" si="9"/>
        <v>346735.3359874232</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5100</v>
      </c>
      <c r="F44" s="283">
        <f t="shared" si="11"/>
        <v>5202</v>
      </c>
      <c r="G44" s="283">
        <f t="shared" si="11"/>
        <v>5306.04</v>
      </c>
      <c r="H44" s="283">
        <f t="shared" si="11"/>
        <v>5412.1607999999997</v>
      </c>
      <c r="I44" s="283">
        <f t="shared" si="11"/>
        <v>5520.4040159999995</v>
      </c>
      <c r="J44" s="283">
        <f t="shared" si="11"/>
        <v>5630.8120963199999</v>
      </c>
      <c r="K44" s="283">
        <f t="shared" si="11"/>
        <v>5743.4283382464</v>
      </c>
      <c r="L44" s="283">
        <f t="shared" si="11"/>
        <v>5858.296905011327</v>
      </c>
      <c r="M44" s="283">
        <f t="shared" si="11"/>
        <v>5975.4628431115543</v>
      </c>
      <c r="N44" s="283">
        <f t="shared" si="11"/>
        <v>6094.9720999737856</v>
      </c>
      <c r="O44" s="283">
        <f t="shared" si="11"/>
        <v>6216.8715419732616</v>
      </c>
      <c r="P44" s="283">
        <f t="shared" si="11"/>
        <v>6341.2089728127257</v>
      </c>
      <c r="Q44" s="283">
        <f t="shared" si="11"/>
        <v>6468.0331522689812</v>
      </c>
      <c r="R44" s="283">
        <f t="shared" si="11"/>
        <v>6597.3938153143599</v>
      </c>
      <c r="S44" s="283">
        <f t="shared" si="11"/>
        <v>6729.3416916206479</v>
      </c>
      <c r="T44" s="283">
        <f t="shared" si="11"/>
        <v>6863.9285254530587</v>
      </c>
      <c r="U44" s="283">
        <f t="shared" si="11"/>
        <v>7001.2070959621215</v>
      </c>
      <c r="V44" s="283">
        <f t="shared" si="11"/>
        <v>7141.231237881364</v>
      </c>
      <c r="W44" s="283">
        <f t="shared" si="11"/>
        <v>7284.0558626389911</v>
      </c>
      <c r="X44" s="283">
        <f t="shared" si="11"/>
        <v>7429.7369798917707</v>
      </c>
      <c r="Y44" s="283">
        <f t="shared" si="11"/>
        <v>7578.3317194896063</v>
      </c>
    </row>
    <row r="45" spans="3:25" ht="13.5" customHeight="1">
      <c r="C45" s="15" t="s">
        <v>359</v>
      </c>
      <c r="D45" s="8"/>
      <c r="E45" s="287">
        <f t="shared" ref="E45:Y45" si="12">E41-E44</f>
        <v>338216.33199999994</v>
      </c>
      <c r="F45" s="287">
        <f t="shared" si="12"/>
        <v>337276.44264000002</v>
      </c>
      <c r="G45" s="287">
        <f t="shared" si="12"/>
        <v>462677.03098560008</v>
      </c>
      <c r="H45" s="287">
        <f t="shared" si="12"/>
        <v>285381.21630931209</v>
      </c>
      <c r="I45" s="287">
        <f t="shared" si="12"/>
        <v>286438.58536765835</v>
      </c>
      <c r="J45" s="287">
        <f t="shared" si="12"/>
        <v>287331.09159645793</v>
      </c>
      <c r="K45" s="287">
        <f t="shared" si="12"/>
        <v>288047.99733069137</v>
      </c>
      <c r="L45" s="287">
        <f t="shared" si="12"/>
        <v>288578.05253570154</v>
      </c>
      <c r="M45" s="287">
        <f t="shared" si="12"/>
        <v>288909.47265514772</v>
      </c>
      <c r="N45" s="287">
        <f t="shared" si="12"/>
        <v>289029.9155397322</v>
      </c>
      <c r="O45" s="287">
        <f t="shared" si="12"/>
        <v>293339.49974271219</v>
      </c>
      <c r="P45" s="287">
        <f t="shared" si="12"/>
        <v>297698.50027705607</v>
      </c>
      <c r="Q45" s="287">
        <f t="shared" si="12"/>
        <v>302106.98608557432</v>
      </c>
      <c r="R45" s="287">
        <f t="shared" si="12"/>
        <v>306565.00450533733</v>
      </c>
      <c r="S45" s="287">
        <f t="shared" si="12"/>
        <v>311072.58026094706</v>
      </c>
      <c r="T45" s="287">
        <f t="shared" si="12"/>
        <v>315629.71442330629</v>
      </c>
      <c r="U45" s="287">
        <f t="shared" si="12"/>
        <v>320236.38333284116</v>
      </c>
      <c r="V45" s="287">
        <f t="shared" si="12"/>
        <v>324892.53748609388</v>
      </c>
      <c r="W45" s="287">
        <f t="shared" si="12"/>
        <v>329598.1003845763</v>
      </c>
      <c r="X45" s="287">
        <f t="shared" si="12"/>
        <v>334352.96734474727</v>
      </c>
      <c r="Y45" s="287">
        <f t="shared" si="12"/>
        <v>339157.0042679336</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(E$12&gt;=$F$2)*IFERROR(INDEX('02_Debt Engine'!$F$46:$Z$62,MATCH($C$1,'02_Debt Engine'!$B$19:$B$35,0),MATCH(E$12,'02_Debt Engine'!$F$45:$Z$45,0)),0)</f>
        <v>178507.8</v>
      </c>
      <c r="F48" s="286">
        <f>(F$12&gt;=$F$2)*IFERROR(INDEX('02_Debt Engine'!$F$46:$Z$62,MATCH($C$1,'02_Debt Engine'!$B$19:$B$35,0),MATCH(F$12,'02_Debt Engine'!$F$45:$Z$45,0)),0)</f>
        <v>111651.9755097649</v>
      </c>
      <c r="G48" s="286">
        <f>(G$12&gt;=$F$2)*IFERROR(INDEX('02_Debt Engine'!$F$46:$Z$62,MATCH($C$1,'02_Debt Engine'!$B$19:$B$35,0),MATCH(G$12,'02_Debt Engine'!$F$45:$Z$45,0)),0)</f>
        <v>0</v>
      </c>
      <c r="H48" s="286">
        <f>(H$12&gt;=$F$2)*IFERROR(INDEX('02_Debt Engine'!$F$46:$Z$62,MATCH($C$1,'02_Debt Engine'!$B$19:$B$35,0),MATCH(H$12,'02_Debt Engine'!$F$45:$Z$45,0)),0)</f>
        <v>0</v>
      </c>
      <c r="I48" s="286">
        <f>(I$12&gt;=$F$2)*IFERROR(INDEX('02_Debt Engine'!$F$46:$Z$62,MATCH($C$1,'02_Debt Engine'!$B$19:$B$35,0),MATCH(I$12,'02_Debt Engine'!$F$45:$Z$45,0)),0)</f>
        <v>0</v>
      </c>
      <c r="J48" s="286">
        <f>(J$12&gt;=$F$2)*IFERROR(INDEX('02_Debt Engine'!$F$46:$Z$62,MATCH($C$1,'02_Debt Engine'!$B$19:$B$35,0),MATCH(J$12,'02_Debt Engine'!$F$45:$Z$45,0)),0)</f>
        <v>0</v>
      </c>
      <c r="K48" s="286">
        <f>(K$12&gt;=$F$2)*IFERROR(INDEX('02_Debt Engine'!$F$46:$Z$62,MATCH($C$1,'02_Debt Engine'!$B$19:$B$35,0),MATCH(K$12,'02_Debt Engine'!$F$45:$Z$45,0)),0)</f>
        <v>0</v>
      </c>
      <c r="L48" s="286">
        <f>(L$12&gt;=$F$2)*IFERROR(INDEX('02_Debt Engine'!$F$46:$Z$62,MATCH($C$1,'02_Debt Engine'!$B$19:$B$35,0),MATCH(L$12,'02_Debt Engine'!$F$45:$Z$45,0)),0)</f>
        <v>0</v>
      </c>
      <c r="M48" s="286">
        <f>(M$12&gt;=$F$2)*IFERROR(INDEX('02_Debt Engine'!$F$46:$Z$62,MATCH($C$1,'02_Debt Engine'!$B$19:$B$35,0),MATCH(M$12,'02_Debt Engine'!$F$45:$Z$45,0)),0)</f>
        <v>0</v>
      </c>
      <c r="N48" s="286">
        <f>(N$12&gt;=$F$2)*IFERROR(INDEX('02_Debt Engine'!$F$46:$Z$62,MATCH($C$1,'02_Debt Engine'!$B$19:$B$35,0),MATCH(N$12,'02_Debt Engine'!$F$45:$Z$45,0)),0)</f>
        <v>0</v>
      </c>
      <c r="O48" s="286">
        <f>(O$12&gt;=$F$2)*IFERROR(INDEX('02_Debt Engine'!$F$46:$Z$62,MATCH($C$1,'02_Debt Engine'!$B$19:$B$35,0),MATCH(O$12,'02_Debt Engine'!$F$45:$Z$45,0)),0)</f>
        <v>0</v>
      </c>
      <c r="P48" s="286">
        <f>(P$12&gt;=$F$2)*IFERROR(INDEX('02_Debt Engine'!$F$46:$Z$62,MATCH($C$1,'02_Debt Engine'!$B$19:$B$35,0),MATCH(P$12,'02_Debt Engine'!$F$45:$Z$45,0)),0)</f>
        <v>0</v>
      </c>
      <c r="Q48" s="286">
        <f>(Q$12&gt;=$F$2)*IFERROR(INDEX('02_Debt Engine'!$F$46:$Z$62,MATCH($C$1,'02_Debt Engine'!$B$19:$B$35,0),MATCH(Q$12,'02_Debt Engine'!$F$45:$Z$45,0)),0)</f>
        <v>0</v>
      </c>
      <c r="R48" s="286">
        <f>(R$12&gt;=$F$2)*IFERROR(INDEX('02_Debt Engine'!$F$46:$Z$62,MATCH($C$1,'02_Debt Engine'!$B$19:$B$35,0),MATCH(R$12,'02_Debt Engine'!$F$45:$Z$45,0)),0)</f>
        <v>0</v>
      </c>
      <c r="S48" s="286">
        <f>(S$12&gt;=$F$2)*IFERROR(INDEX('02_Debt Engine'!$F$46:$Z$62,MATCH($C$1,'02_Debt Engine'!$B$19:$B$35,0),MATCH(S$12,'02_Debt Engine'!$F$45:$Z$45,0)),0)</f>
        <v>0</v>
      </c>
      <c r="T48" s="286">
        <f>(T$12&gt;=$F$2)*IFERROR(INDEX('02_Debt Engine'!$F$46:$Z$62,MATCH($C$1,'02_Debt Engine'!$B$19:$B$35,0),MATCH(T$12,'02_Debt Engine'!$F$45:$Z$45,0)),0)</f>
        <v>0</v>
      </c>
      <c r="U48" s="286">
        <f>(U$12&gt;=$F$2)*IFERROR(INDEX('02_Debt Engine'!$F$46:$Z$62,MATCH($C$1,'02_Debt Engine'!$B$19:$B$35,0),MATCH(U$12,'02_Debt Engine'!$F$45:$Z$45,0)),0)</f>
        <v>0</v>
      </c>
      <c r="V48" s="286">
        <f>(V$12&gt;=$F$2)*IFERROR(INDEX('02_Debt Engine'!$F$46:$Z$62,MATCH($C$1,'02_Debt Engine'!$B$19:$B$35,0),MATCH(V$12,'02_Debt Engine'!$F$45:$Z$45,0)),0)</f>
        <v>0</v>
      </c>
      <c r="W48" s="286">
        <f>(W$12&gt;=$F$2)*IFERROR(INDEX('02_Debt Engine'!$F$46:$Z$62,MATCH($C$1,'02_Debt Engine'!$B$19:$B$35,0),MATCH(W$12,'02_Debt Engine'!$F$45:$Z$45,0)),0)</f>
        <v>0</v>
      </c>
      <c r="X48" s="286">
        <f>(X$12&gt;=$F$2)*IFERROR(INDEX('02_Debt Engine'!$F$46:$Z$62,MATCH($C$1,'02_Debt Engine'!$B$19:$B$35,0),MATCH(X$12,'02_Debt Engine'!$F$45:$Z$45,0)),0)</f>
        <v>0</v>
      </c>
      <c r="Y48" s="286">
        <f>(Y$12&gt;=$F$2)*IFERROR(INDEX('02_Debt Engine'!$F$46:$Z$62,MATCH($C$1,'02_Debt Engine'!$B$19:$B$35,0),MATCH(Y$12,'02_Debt Engine'!$F$45:$Z$45,0)),0)</f>
        <v>0</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1.9232567540466017</v>
      </c>
      <c r="F50" s="290">
        <f t="shared" si="14"/>
        <v>3.0673746799047672</v>
      </c>
      <c r="G50" s="290" t="str">
        <f t="shared" si="14"/>
        <v/>
      </c>
      <c r="H50" s="290" t="str">
        <f t="shared" si="14"/>
        <v/>
      </c>
      <c r="I50" s="290" t="str">
        <f t="shared" si="14"/>
        <v/>
      </c>
      <c r="J50" s="290" t="str">
        <f t="shared" si="14"/>
        <v/>
      </c>
      <c r="K50" s="290" t="str">
        <f t="shared" si="14"/>
        <v/>
      </c>
      <c r="L50" s="290" t="str">
        <f t="shared" si="14"/>
        <v/>
      </c>
      <c r="M50" s="290" t="str">
        <f t="shared" si="14"/>
        <v/>
      </c>
      <c r="N50" s="290" t="str">
        <f t="shared" si="14"/>
        <v/>
      </c>
      <c r="O50" s="290" t="str">
        <f t="shared" si="14"/>
        <v/>
      </c>
      <c r="P50" s="290" t="str">
        <f t="shared" si="14"/>
        <v/>
      </c>
      <c r="Q50" s="290" t="str">
        <f t="shared" si="14"/>
        <v/>
      </c>
      <c r="R50" s="290" t="str">
        <f t="shared" si="14"/>
        <v/>
      </c>
      <c r="S50" s="290" t="str">
        <f t="shared" si="14"/>
        <v/>
      </c>
      <c r="T50" s="290" t="str">
        <f t="shared" si="14"/>
        <v/>
      </c>
      <c r="U50" s="290" t="str">
        <f t="shared" si="14"/>
        <v/>
      </c>
      <c r="V50" s="290" t="str">
        <f t="shared" si="14"/>
        <v/>
      </c>
      <c r="W50" s="290" t="str">
        <f t="shared" si="14"/>
        <v/>
      </c>
      <c r="X50" s="290" t="str">
        <f t="shared" si="14"/>
        <v/>
      </c>
      <c r="Y50" s="290" t="str">
        <f t="shared" si="14"/>
        <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164808.53199999995</v>
      </c>
      <c r="F52" s="291">
        <f t="shared" si="15"/>
        <v>230826.46713023511</v>
      </c>
      <c r="G52" s="291">
        <f t="shared" si="15"/>
        <v>467983.07098560006</v>
      </c>
      <c r="H52" s="291">
        <f t="shared" si="15"/>
        <v>290793.3771093121</v>
      </c>
      <c r="I52" s="291">
        <f t="shared" si="15"/>
        <v>291958.98938365834</v>
      </c>
      <c r="J52" s="291">
        <f t="shared" si="15"/>
        <v>292961.90369277791</v>
      </c>
      <c r="K52" s="291">
        <f t="shared" si="15"/>
        <v>293791.42566893779</v>
      </c>
      <c r="L52" s="291">
        <f t="shared" si="15"/>
        <v>294436.34944071289</v>
      </c>
      <c r="M52" s="291">
        <f t="shared" si="15"/>
        <v>294884.93549825926</v>
      </c>
      <c r="N52" s="291">
        <f t="shared" si="15"/>
        <v>295124.88763970596</v>
      </c>
      <c r="O52" s="291">
        <f t="shared" si="15"/>
        <v>299556.37128468545</v>
      </c>
      <c r="P52" s="291">
        <f t="shared" si="15"/>
        <v>304039.70924986881</v>
      </c>
      <c r="Q52" s="291">
        <f t="shared" si="15"/>
        <v>308575.01923784328</v>
      </c>
      <c r="R52" s="291">
        <f t="shared" si="15"/>
        <v>313162.39832065167</v>
      </c>
      <c r="S52" s="291">
        <f t="shared" si="15"/>
        <v>317801.9219525677</v>
      </c>
      <c r="T52" s="291">
        <f t="shared" si="15"/>
        <v>322493.64294875937</v>
      </c>
      <c r="U52" s="291">
        <f t="shared" si="15"/>
        <v>327237.59042880329</v>
      </c>
      <c r="V52" s="291">
        <f t="shared" si="15"/>
        <v>332033.76872397523</v>
      </c>
      <c r="W52" s="291">
        <f t="shared" si="15"/>
        <v>336882.15624721529</v>
      </c>
      <c r="X52" s="291">
        <f t="shared" si="15"/>
        <v>341782.70432463905</v>
      </c>
      <c r="Y52" s="291">
        <f t="shared" si="15"/>
        <v>346735.3359874232</v>
      </c>
    </row>
    <row r="53" spans="3:25" ht="7.15" customHeight="1">
      <c r="C53" s="14"/>
      <c r="D53" s="17"/>
    </row>
    <row r="54" spans="3:25" ht="13.5" customHeight="1">
      <c r="C54" s="15" t="s">
        <v>363</v>
      </c>
      <c r="D54" s="20"/>
      <c r="E54" s="292">
        <f t="shared" ref="E54:Y54" si="16">IF(E52&lt;0,0,E52*$G$7)</f>
        <v>98885.119199999972</v>
      </c>
      <c r="F54" s="292">
        <f t="shared" si="16"/>
        <v>138495.88027814106</v>
      </c>
      <c r="G54" s="292">
        <f t="shared" si="16"/>
        <v>280789.84259136004</v>
      </c>
      <c r="H54" s="292">
        <f t="shared" si="16"/>
        <v>174476.02626558725</v>
      </c>
      <c r="I54" s="292">
        <f t="shared" si="16"/>
        <v>175175.393630195</v>
      </c>
      <c r="J54" s="292">
        <f t="shared" si="16"/>
        <v>175777.14221566674</v>
      </c>
      <c r="K54" s="292">
        <f t="shared" si="16"/>
        <v>176274.85540136267</v>
      </c>
      <c r="L54" s="292">
        <f t="shared" si="16"/>
        <v>176661.80966442774</v>
      </c>
      <c r="M54" s="292">
        <f t="shared" si="16"/>
        <v>176930.96129895555</v>
      </c>
      <c r="N54" s="292">
        <f t="shared" si="16"/>
        <v>177074.93258382357</v>
      </c>
      <c r="O54" s="292">
        <f t="shared" si="16"/>
        <v>179733.82277081127</v>
      </c>
      <c r="P54" s="292">
        <f t="shared" si="16"/>
        <v>182423.82554992128</v>
      </c>
      <c r="Q54" s="292">
        <f t="shared" si="16"/>
        <v>185145.01154270596</v>
      </c>
      <c r="R54" s="292">
        <f t="shared" si="16"/>
        <v>187897.43899239099</v>
      </c>
      <c r="S54" s="292">
        <f t="shared" si="16"/>
        <v>190681.15317154062</v>
      </c>
      <c r="T54" s="292">
        <f t="shared" si="16"/>
        <v>193496.18576925562</v>
      </c>
      <c r="U54" s="292">
        <f t="shared" si="16"/>
        <v>196342.55425728197</v>
      </c>
      <c r="V54" s="292">
        <f t="shared" si="16"/>
        <v>199220.26123438514</v>
      </c>
      <c r="W54" s="292">
        <f t="shared" si="16"/>
        <v>202129.29374832916</v>
      </c>
      <c r="X54" s="292">
        <f t="shared" si="16"/>
        <v>205069.62259478343</v>
      </c>
      <c r="Y54" s="292">
        <f t="shared" si="16"/>
        <v>208041.2015924539</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65923.412799999976</v>
      </c>
      <c r="F56" s="291">
        <f t="shared" si="17"/>
        <v>92330.586852094042</v>
      </c>
      <c r="G56" s="291">
        <f t="shared" si="17"/>
        <v>187193.22839424002</v>
      </c>
      <c r="H56" s="291">
        <f t="shared" si="17"/>
        <v>116317.35084372485</v>
      </c>
      <c r="I56" s="291">
        <f t="shared" si="17"/>
        <v>116783.59575346333</v>
      </c>
      <c r="J56" s="291">
        <f t="shared" si="17"/>
        <v>117184.76147711117</v>
      </c>
      <c r="K56" s="291">
        <f t="shared" si="17"/>
        <v>117516.57026757512</v>
      </c>
      <c r="L56" s="291">
        <f t="shared" si="17"/>
        <v>117774.53977628515</v>
      </c>
      <c r="M56" s="291">
        <f t="shared" si="17"/>
        <v>117953.97419930372</v>
      </c>
      <c r="N56" s="291">
        <f t="shared" si="17"/>
        <v>118049.9550558824</v>
      </c>
      <c r="O56" s="291">
        <f t="shared" si="17"/>
        <v>119822.54851387418</v>
      </c>
      <c r="P56" s="291">
        <f t="shared" si="17"/>
        <v>121615.88369994753</v>
      </c>
      <c r="Q56" s="291">
        <f t="shared" si="17"/>
        <v>123430.00769513732</v>
      </c>
      <c r="R56" s="291">
        <f t="shared" si="17"/>
        <v>125264.95932826068</v>
      </c>
      <c r="S56" s="291">
        <f t="shared" si="17"/>
        <v>127120.76878102709</v>
      </c>
      <c r="T56" s="291">
        <f t="shared" si="17"/>
        <v>128997.45717950375</v>
      </c>
      <c r="U56" s="291">
        <f t="shared" si="17"/>
        <v>130895.03617152132</v>
      </c>
      <c r="V56" s="291">
        <f t="shared" si="17"/>
        <v>132813.50748959009</v>
      </c>
      <c r="W56" s="291">
        <f t="shared" si="17"/>
        <v>134752.86249888613</v>
      </c>
      <c r="X56" s="291">
        <f t="shared" si="17"/>
        <v>136713.08172985562</v>
      </c>
      <c r="Y56" s="291">
        <f t="shared" si="17"/>
        <v>138694.1343949693</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
      </c>
      <c r="I60" s="288" t="str">
        <f t="shared" si="18"/>
        <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0</v>
      </c>
      <c r="I63" s="285">
        <f t="shared" si="19"/>
        <v>0</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107120.76706300001</v>
      </c>
      <c r="F64" s="296">
        <f>INDEX('02_Debt Engine'!$F$74:$Z$90,MATCH($C$1,'02_Debt Engine'!$B$74:$B$90,0),MATCH(F$12,'02_Debt Engine'!$F$73:$Z$73,0))</f>
        <v>0</v>
      </c>
      <c r="G64" s="296">
        <f>INDEX('02_Debt Engine'!$F$74:$Z$90,MATCH($C$1,'02_Debt Engine'!$B$74:$B$90,0),MATCH(G$12,'02_Debt Engine'!$F$73:$Z$73,0))</f>
        <v>0</v>
      </c>
      <c r="H64" s="296">
        <f>INDEX('02_Debt Engine'!$F$74:$Z$90,MATCH($C$1,'02_Debt Engine'!$B$74:$B$90,0),MATCH(H$12,'02_Debt Engine'!$F$73:$Z$73,0))</f>
        <v>0</v>
      </c>
      <c r="I64" s="296">
        <f>INDEX('02_Debt Engine'!$F$74:$Z$90,MATCH($C$1,'02_Debt Engine'!$B$74:$B$90,0),MATCH(I$12,'02_Debt Engine'!$F$73:$Z$73,0))</f>
        <v>0</v>
      </c>
      <c r="J64" s="296">
        <f>INDEX('02_Debt Engine'!$F$74:$Z$90,MATCH($C$1,'02_Debt Engine'!$B$74:$B$90,0),MATCH(J$12,'02_Debt Engine'!$F$73:$Z$73,0))</f>
        <v>0</v>
      </c>
      <c r="K64" s="296">
        <f>INDEX('02_Debt Engine'!$F$74:$Z$90,MATCH($C$1,'02_Debt Engine'!$B$74:$B$90,0),MATCH(K$12,'02_Debt Engine'!$F$73:$Z$73,0))</f>
        <v>0</v>
      </c>
      <c r="L64" s="296">
        <f>INDEX('02_Debt Engine'!$F$74:$Z$90,MATCH($C$1,'02_Debt Engine'!$B$74:$B$90,0),MATCH(L$12,'02_Debt Engine'!$F$73:$Z$73,0))</f>
        <v>0</v>
      </c>
      <c r="M64" s="296">
        <f>INDEX('02_Debt Engine'!$F$74:$Z$90,MATCH($C$1,'02_Debt Engine'!$B$74:$B$90,0),MATCH(M$12,'02_Debt Engine'!$F$73:$Z$73,0))</f>
        <v>0</v>
      </c>
      <c r="N64" s="296">
        <f>INDEX('02_Debt Engine'!$F$74:$Z$90,MATCH($C$1,'02_Debt Engine'!$B$74:$B$90,0),MATCH(N$12,'02_Debt Engine'!$F$73:$Z$73,0))</f>
        <v>0</v>
      </c>
      <c r="O64" s="296">
        <f>INDEX('02_Debt Engine'!$F$74:$Z$90,MATCH($C$1,'02_Debt Engine'!$B$74:$B$90,0),MATCH(O$12,'02_Debt Engine'!$F$73:$Z$73,0))</f>
        <v>0</v>
      </c>
      <c r="P64" s="296">
        <f>INDEX('02_Debt Engine'!$F$74:$Z$90,MATCH($C$1,'02_Debt Engine'!$B$74:$B$90,0),MATCH(P$12,'02_Debt Engine'!$F$73:$Z$73,0))</f>
        <v>0</v>
      </c>
      <c r="Q64" s="296">
        <f>INDEX('02_Debt Engine'!$F$74:$Z$90,MATCH($C$1,'02_Debt Engine'!$B$74:$B$90,0),MATCH(Q$12,'02_Debt Engine'!$F$73:$Z$73,0))</f>
        <v>0</v>
      </c>
      <c r="R64" s="296">
        <f>INDEX('02_Debt Engine'!$F$74:$Z$90,MATCH($C$1,'02_Debt Engine'!$B$74:$B$90,0),MATCH(R$12,'02_Debt Engine'!$F$73:$Z$73,0))</f>
        <v>0</v>
      </c>
      <c r="S64" s="296">
        <f>INDEX('02_Debt Engine'!$F$74:$Z$90,MATCH($C$1,'02_Debt Engine'!$B$74:$B$90,0),MATCH(S$12,'02_Debt Engine'!$F$73:$Z$73,0))</f>
        <v>0</v>
      </c>
      <c r="T64" s="296">
        <f>INDEX('02_Debt Engine'!$F$74:$Z$90,MATCH($C$1,'02_Debt Engine'!$B$74:$B$90,0),MATCH(T$12,'02_Debt Engine'!$F$73:$Z$73,0))</f>
        <v>0</v>
      </c>
      <c r="U64" s="296">
        <f>INDEX('02_Debt Engine'!$F$74:$Z$90,MATCH($C$1,'02_Debt Engine'!$B$74:$B$90,0),MATCH(U$12,'02_Debt Engine'!$F$73:$Z$73,0))</f>
        <v>0</v>
      </c>
      <c r="V64" s="296">
        <f>INDEX('02_Debt Engine'!$F$74:$Z$90,MATCH($C$1,'02_Debt Engine'!$B$74:$B$90,0),MATCH(V$12,'02_Debt Engine'!$F$73:$Z$73,0))</f>
        <v>0</v>
      </c>
      <c r="W64" s="296">
        <f>INDEX('02_Debt Engine'!$F$74:$Z$90,MATCH($C$1,'02_Debt Engine'!$B$74:$B$90,0),MATCH(W$12,'02_Debt Engine'!$F$73:$Z$73,0))</f>
        <v>0</v>
      </c>
      <c r="X64" s="296">
        <f>INDEX('02_Debt Engine'!$F$74:$Z$90,MATCH($C$1,'02_Debt Engine'!$B$74:$B$90,0),MATCH(X$12,'02_Debt Engine'!$F$73:$Z$73,0))</f>
        <v>0</v>
      </c>
      <c r="Y64" s="296">
        <f>INDEX('02_Debt Engine'!$F$74:$Z$90,MATCH($C$1,'02_Debt Engine'!$B$74:$B$90,0),MATCH(Y$12,'02_Debt Engine'!$F$73:$Z$73,0))</f>
        <v>0</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
      </c>
      <c r="I66" s="288" t="str">
        <f t="shared" si="20"/>
        <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65923.412799999976</v>
      </c>
      <c r="F67" s="285">
        <f t="shared" si="21"/>
        <v>92330.586852094042</v>
      </c>
      <c r="G67" s="285">
        <f t="shared" si="21"/>
        <v>187193.22839424002</v>
      </c>
      <c r="H67" s="285">
        <f t="shared" si="21"/>
        <v>116317.35084372485</v>
      </c>
      <c r="I67" s="285">
        <f t="shared" si="21"/>
        <v>116783.59575346333</v>
      </c>
      <c r="J67" s="285">
        <f t="shared" si="21"/>
        <v>117184.76147711117</v>
      </c>
      <c r="K67" s="285">
        <f t="shared" si="21"/>
        <v>117516.57026757512</v>
      </c>
      <c r="L67" s="285">
        <f t="shared" si="21"/>
        <v>117774.53977628515</v>
      </c>
      <c r="M67" s="285">
        <f t="shared" si="21"/>
        <v>117953.97419930372</v>
      </c>
      <c r="N67" s="285">
        <f t="shared" si="21"/>
        <v>118049.9550558824</v>
      </c>
      <c r="O67" s="285">
        <f t="shared" si="21"/>
        <v>119822.54851387418</v>
      </c>
      <c r="P67" s="285">
        <f t="shared" si="21"/>
        <v>121615.88369994753</v>
      </c>
      <c r="Q67" s="285">
        <f t="shared" si="21"/>
        <v>123430.00769513732</v>
      </c>
      <c r="R67" s="285">
        <f t="shared" si="21"/>
        <v>125264.95932826068</v>
      </c>
      <c r="S67" s="285">
        <f t="shared" si="21"/>
        <v>127120.76878102709</v>
      </c>
      <c r="T67" s="285">
        <f t="shared" si="21"/>
        <v>128997.45717950375</v>
      </c>
      <c r="U67" s="285">
        <f t="shared" si="21"/>
        <v>130895.03617152132</v>
      </c>
      <c r="V67" s="285">
        <f t="shared" si="21"/>
        <v>132813.50748959009</v>
      </c>
      <c r="W67" s="285">
        <f t="shared" si="21"/>
        <v>134752.86249888613</v>
      </c>
      <c r="X67" s="285">
        <f t="shared" si="21"/>
        <v>136713.08172985562</v>
      </c>
      <c r="Y67" s="285">
        <f t="shared" si="21"/>
        <v>138694.1343949693</v>
      </c>
    </row>
    <row r="68" spans="3:25" s="20" customFormat="1" ht="13.5" customHeight="1">
      <c r="C68" s="26" t="s">
        <v>544</v>
      </c>
      <c r="E68" s="287">
        <f t="shared" ref="E68:Y68" si="22">E67+E$63</f>
        <v>65923.412799999976</v>
      </c>
      <c r="F68" s="287">
        <f t="shared" si="22"/>
        <v>92330.586852094042</v>
      </c>
      <c r="G68" s="287">
        <f t="shared" si="22"/>
        <v>187193.22839424002</v>
      </c>
      <c r="H68" s="287">
        <f t="shared" si="22"/>
        <v>116317.35084372485</v>
      </c>
      <c r="I68" s="287">
        <f t="shared" si="22"/>
        <v>116783.59575346333</v>
      </c>
      <c r="J68" s="287">
        <f t="shared" si="22"/>
        <v>117184.76147711117</v>
      </c>
      <c r="K68" s="287">
        <f t="shared" si="22"/>
        <v>117516.57026757512</v>
      </c>
      <c r="L68" s="287">
        <f t="shared" si="22"/>
        <v>117774.53977628515</v>
      </c>
      <c r="M68" s="287">
        <f t="shared" si="22"/>
        <v>117953.97419930372</v>
      </c>
      <c r="N68" s="287">
        <f t="shared" si="22"/>
        <v>118049.9550558824</v>
      </c>
      <c r="O68" s="287">
        <f t="shared" si="22"/>
        <v>119822.54851387418</v>
      </c>
      <c r="P68" s="287">
        <f t="shared" si="22"/>
        <v>121615.88369994753</v>
      </c>
      <c r="Q68" s="287">
        <f t="shared" si="22"/>
        <v>123430.00769513732</v>
      </c>
      <c r="R68" s="287">
        <f t="shared" si="22"/>
        <v>125264.95932826068</v>
      </c>
      <c r="S68" s="287">
        <f t="shared" si="22"/>
        <v>127120.76878102709</v>
      </c>
      <c r="T68" s="287">
        <f t="shared" si="22"/>
        <v>128997.45717950375</v>
      </c>
      <c r="U68" s="287">
        <f t="shared" si="22"/>
        <v>130895.03617152132</v>
      </c>
      <c r="V68" s="287">
        <f t="shared" si="22"/>
        <v>132813.50748959009</v>
      </c>
      <c r="W68" s="287">
        <f t="shared" si="22"/>
        <v>134752.86249888613</v>
      </c>
      <c r="X68" s="287">
        <f t="shared" si="22"/>
        <v>136713.08172985562</v>
      </c>
      <c r="Y68" s="287">
        <f t="shared" si="22"/>
        <v>138694.1343949693</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5721938.8666666662</v>
      </c>
      <c r="F73" s="285">
        <f t="shared" si="24"/>
        <v>5707974.0440000007</v>
      </c>
      <c r="G73" s="285">
        <f t="shared" si="24"/>
        <v>7799717.8497600015</v>
      </c>
      <c r="H73" s="285">
        <f t="shared" si="24"/>
        <v>4846556.2851552023</v>
      </c>
      <c r="I73" s="285">
        <f t="shared" si="24"/>
        <v>4865983.1563943056</v>
      </c>
      <c r="J73" s="285">
        <f t="shared" si="24"/>
        <v>4882698.3948796317</v>
      </c>
      <c r="K73" s="285">
        <f t="shared" si="24"/>
        <v>4896523.7611489631</v>
      </c>
      <c r="L73" s="285">
        <f t="shared" si="24"/>
        <v>4907272.4906785479</v>
      </c>
      <c r="M73" s="285">
        <f t="shared" si="24"/>
        <v>4914748.9249709882</v>
      </c>
      <c r="N73" s="285">
        <f t="shared" si="24"/>
        <v>4918748.1273284331</v>
      </c>
      <c r="O73" s="285">
        <f t="shared" si="24"/>
        <v>4992606.1880780905</v>
      </c>
      <c r="P73" s="285">
        <f t="shared" si="24"/>
        <v>5067328.487497814</v>
      </c>
      <c r="Q73" s="285">
        <f t="shared" si="24"/>
        <v>5142916.9872973878</v>
      </c>
      <c r="R73" s="285">
        <f t="shared" si="24"/>
        <v>5219373.3053441951</v>
      </c>
      <c r="S73" s="285">
        <f t="shared" si="24"/>
        <v>5296698.6992094619</v>
      </c>
      <c r="T73" s="285">
        <f t="shared" si="24"/>
        <v>5374894.0491459901</v>
      </c>
      <c r="U73" s="285">
        <f t="shared" si="24"/>
        <v>5453959.8404800547</v>
      </c>
      <c r="V73" s="285">
        <f t="shared" si="24"/>
        <v>5533896.1453995872</v>
      </c>
      <c r="W73" s="285">
        <f t="shared" si="24"/>
        <v>5614702.6041202554</v>
      </c>
      <c r="X73" s="285">
        <f t="shared" si="24"/>
        <v>5696378.4054106511</v>
      </c>
      <c r="Y73" s="285">
        <f t="shared" si="24"/>
        <v>5778922.2664570538</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
      </c>
      <c r="I75" s="288" t="str">
        <f t="shared" si="25"/>
        <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107120.76706300001</v>
      </c>
      <c r="F76" s="285">
        <f t="shared" si="26"/>
        <v>0</v>
      </c>
      <c r="G76" s="285">
        <f t="shared" si="26"/>
        <v>0</v>
      </c>
      <c r="H76" s="285">
        <f t="shared" si="26"/>
        <v>0</v>
      </c>
      <c r="I76" s="285">
        <f t="shared" si="26"/>
        <v>0</v>
      </c>
      <c r="J76" s="285">
        <f t="shared" si="26"/>
        <v>0</v>
      </c>
      <c r="K76" s="285">
        <f t="shared" si="26"/>
        <v>0</v>
      </c>
      <c r="L76" s="285">
        <f t="shared" si="26"/>
        <v>0</v>
      </c>
      <c r="M76" s="285">
        <f t="shared" si="26"/>
        <v>0</v>
      </c>
      <c r="N76" s="285">
        <f t="shared" si="26"/>
        <v>0</v>
      </c>
      <c r="O76" s="285">
        <f t="shared" si="26"/>
        <v>0</v>
      </c>
      <c r="P76" s="285">
        <f t="shared" si="26"/>
        <v>0</v>
      </c>
      <c r="Q76" s="285">
        <f t="shared" si="26"/>
        <v>0</v>
      </c>
      <c r="R76" s="285">
        <f t="shared" si="26"/>
        <v>0</v>
      </c>
      <c r="S76" s="285">
        <f t="shared" si="26"/>
        <v>0</v>
      </c>
      <c r="T76" s="285">
        <f t="shared" si="26"/>
        <v>0</v>
      </c>
      <c r="U76" s="285">
        <f t="shared" si="26"/>
        <v>0</v>
      </c>
      <c r="V76" s="285">
        <f t="shared" si="26"/>
        <v>0</v>
      </c>
      <c r="W76" s="285">
        <f t="shared" si="26"/>
        <v>0</v>
      </c>
      <c r="X76" s="285">
        <f t="shared" si="26"/>
        <v>0</v>
      </c>
      <c r="Y76" s="285">
        <f t="shared" si="26"/>
        <v>0</v>
      </c>
    </row>
    <row r="77" spans="3:25" ht="13.5" customHeight="1">
      <c r="C77" s="26" t="s">
        <v>376</v>
      </c>
      <c r="D77" s="21"/>
      <c r="E77" s="287">
        <f t="shared" ref="E77:Y77" si="27">E73-E$76</f>
        <v>5614818.099603666</v>
      </c>
      <c r="F77" s="287">
        <f t="shared" si="27"/>
        <v>5707974.0440000007</v>
      </c>
      <c r="G77" s="287">
        <f t="shared" si="27"/>
        <v>7799717.8497600015</v>
      </c>
      <c r="H77" s="287">
        <f t="shared" si="27"/>
        <v>4846556.2851552023</v>
      </c>
      <c r="I77" s="287">
        <f t="shared" si="27"/>
        <v>4865983.1563943056</v>
      </c>
      <c r="J77" s="287">
        <f t="shared" si="27"/>
        <v>4882698.3948796317</v>
      </c>
      <c r="K77" s="287">
        <f t="shared" si="27"/>
        <v>4896523.7611489631</v>
      </c>
      <c r="L77" s="287">
        <f t="shared" si="27"/>
        <v>4907272.4906785479</v>
      </c>
      <c r="M77" s="287">
        <f t="shared" si="27"/>
        <v>4914748.9249709882</v>
      </c>
      <c r="N77" s="287">
        <f t="shared" si="27"/>
        <v>4918748.1273284331</v>
      </c>
      <c r="O77" s="287">
        <f t="shared" si="27"/>
        <v>4992606.1880780905</v>
      </c>
      <c r="P77" s="287">
        <f t="shared" si="27"/>
        <v>5067328.487497814</v>
      </c>
      <c r="Q77" s="287">
        <f t="shared" si="27"/>
        <v>5142916.9872973878</v>
      </c>
      <c r="R77" s="287">
        <f t="shared" si="27"/>
        <v>5219373.3053441951</v>
      </c>
      <c r="S77" s="287">
        <f t="shared" si="27"/>
        <v>5296698.6992094619</v>
      </c>
      <c r="T77" s="287">
        <f t="shared" si="27"/>
        <v>5374894.0491459901</v>
      </c>
      <c r="U77" s="287">
        <f t="shared" si="27"/>
        <v>5453959.8404800547</v>
      </c>
      <c r="V77" s="287">
        <f t="shared" si="27"/>
        <v>5533896.1453995872</v>
      </c>
      <c r="W77" s="287">
        <f t="shared" si="27"/>
        <v>5614702.6041202554</v>
      </c>
      <c r="X77" s="287">
        <f t="shared" si="27"/>
        <v>5696378.4054106511</v>
      </c>
      <c r="Y77" s="287">
        <f t="shared" si="27"/>
        <v>5778922.2664570538</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2026</v>
      </c>
      <c r="D79" s="20"/>
      <c r="E79" s="289" t="str">
        <f t="shared" ref="E79:Y79" si="28">IF(E$72=$F$2+1,"STAB. YR.","")</f>
        <v/>
      </c>
      <c r="F79" s="289" t="str">
        <f t="shared" si="28"/>
        <v>STAB. YR.</v>
      </c>
      <c r="G79" s="289" t="str">
        <f t="shared" si="28"/>
        <v/>
      </c>
      <c r="H79" s="289" t="str">
        <f t="shared" si="28"/>
        <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5707974.0440000007</v>
      </c>
      <c r="G80" s="296">
        <f t="shared" si="29"/>
        <v>0</v>
      </c>
      <c r="H80" s="296">
        <f t="shared" si="29"/>
        <v>0</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6.0146792776831326E-2</v>
      </c>
      <c r="F81" s="344">
        <f t="shared" si="30"/>
        <v>0.06</v>
      </c>
      <c r="G81" s="344">
        <f t="shared" si="30"/>
        <v>8.1987596190547782E-2</v>
      </c>
      <c r="H81" s="344">
        <f t="shared" si="30"/>
        <v>5.0945112025339835E-2</v>
      </c>
      <c r="I81" s="344">
        <f t="shared" si="30"/>
        <v>5.1149319729397548E-2</v>
      </c>
      <c r="J81" s="344">
        <f t="shared" si="30"/>
        <v>5.1325023806078451E-2</v>
      </c>
      <c r="K81" s="344">
        <f t="shared" si="30"/>
        <v>5.1470350671576695E-2</v>
      </c>
      <c r="L81" s="344">
        <f t="shared" si="30"/>
        <v>5.1583337129959952E-2</v>
      </c>
      <c r="M81" s="344">
        <f t="shared" si="30"/>
        <v>5.1661926495308923E-2</v>
      </c>
      <c r="N81" s="344">
        <f t="shared" si="30"/>
        <v>5.170396455287489E-2</v>
      </c>
      <c r="O81" s="344">
        <f t="shared" si="30"/>
        <v>5.2480331721123957E-2</v>
      </c>
      <c r="P81" s="344">
        <f t="shared" si="30"/>
        <v>5.3265783429667743E-2</v>
      </c>
      <c r="Q81" s="344">
        <f t="shared" si="30"/>
        <v>5.4060340299235468E-2</v>
      </c>
      <c r="R81" s="344">
        <f t="shared" si="30"/>
        <v>5.4864019336218907E-2</v>
      </c>
      <c r="S81" s="344">
        <f t="shared" si="30"/>
        <v>5.5676833759717013E-2</v>
      </c>
      <c r="T81" s="344">
        <f t="shared" si="30"/>
        <v>5.6498792822604386E-2</v>
      </c>
      <c r="U81" s="344">
        <f t="shared" si="30"/>
        <v>5.7329901626441811E-2</v>
      </c>
      <c r="V81" s="344">
        <f t="shared" si="30"/>
        <v>5.8170160930040696E-2</v>
      </c>
      <c r="W81" s="344">
        <f t="shared" si="30"/>
        <v>5.9019566951488266E-2</v>
      </c>
      <c r="X81" s="344">
        <f t="shared" si="30"/>
        <v>5.9878111163435943E-2</v>
      </c>
      <c r="Y81" s="344">
        <f t="shared" si="30"/>
        <v>6.0745780081445509E-2</v>
      </c>
    </row>
    <row r="82" spans="1:25" s="20" customFormat="1" ht="13.9" customHeight="1">
      <c r="A82" s="3"/>
      <c r="B82" s="3"/>
      <c r="C82" s="21" t="s">
        <v>380</v>
      </c>
      <c r="E82" s="285">
        <f t="shared" ref="E82:Y82" si="31">IF(E$72=$F$2+1,E77,0)</f>
        <v>0</v>
      </c>
      <c r="F82" s="285">
        <f t="shared" si="31"/>
        <v>5707974.0440000007</v>
      </c>
      <c r="G82" s="285">
        <f t="shared" si="31"/>
        <v>0</v>
      </c>
      <c r="H82" s="285">
        <f t="shared" si="31"/>
        <v>0</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6.0146792776831326E-2</v>
      </c>
      <c r="F83" s="299">
        <f t="shared" si="32"/>
        <v>0.06</v>
      </c>
      <c r="G83" s="299">
        <f t="shared" si="32"/>
        <v>8.1987596190547782E-2</v>
      </c>
      <c r="H83" s="299">
        <f t="shared" si="32"/>
        <v>5.0945112025339835E-2</v>
      </c>
      <c r="I83" s="299">
        <f t="shared" si="32"/>
        <v>5.1149319729397548E-2</v>
      </c>
      <c r="J83" s="299">
        <f t="shared" si="32"/>
        <v>5.1325023806078451E-2</v>
      </c>
      <c r="K83" s="299">
        <f t="shared" si="32"/>
        <v>5.1470350671576695E-2</v>
      </c>
      <c r="L83" s="299">
        <f t="shared" si="32"/>
        <v>5.1583337129959952E-2</v>
      </c>
      <c r="M83" s="299">
        <f t="shared" si="32"/>
        <v>5.1661926495308923E-2</v>
      </c>
      <c r="N83" s="299">
        <f t="shared" si="32"/>
        <v>5.170396455287489E-2</v>
      </c>
      <c r="O83" s="299">
        <f t="shared" si="32"/>
        <v>5.2480331721123957E-2</v>
      </c>
      <c r="P83" s="299">
        <f t="shared" si="32"/>
        <v>5.3265783429667743E-2</v>
      </c>
      <c r="Q83" s="299">
        <f t="shared" si="32"/>
        <v>5.4060340299235468E-2</v>
      </c>
      <c r="R83" s="299">
        <f t="shared" si="32"/>
        <v>5.4864019336218907E-2</v>
      </c>
      <c r="S83" s="299">
        <f t="shared" si="32"/>
        <v>5.5676833759717013E-2</v>
      </c>
      <c r="T83" s="299">
        <f t="shared" si="32"/>
        <v>5.6498792822604386E-2</v>
      </c>
      <c r="U83" s="299">
        <f t="shared" si="32"/>
        <v>5.7329901626441811E-2</v>
      </c>
      <c r="V83" s="299">
        <f t="shared" si="32"/>
        <v>5.8170160930040696E-2</v>
      </c>
      <c r="W83" s="299">
        <f t="shared" si="32"/>
        <v>5.9019566951488266E-2</v>
      </c>
      <c r="X83" s="299">
        <f t="shared" si="32"/>
        <v>5.9878111163435943E-2</v>
      </c>
      <c r="Y83" s="299">
        <f t="shared" si="32"/>
        <v>6.0745780081445509E-2</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2026</v>
      </c>
      <c r="E85" s="289" t="str">
        <f t="shared" ref="E85:Y85" si="33">IF(E$72=$F$2+1,"STAB. YR.","")</f>
        <v/>
      </c>
      <c r="F85" s="289" t="str">
        <f t="shared" si="33"/>
        <v>STAB. YR.</v>
      </c>
      <c r="G85" s="289" t="str">
        <f t="shared" si="33"/>
        <v/>
      </c>
      <c r="H85" s="289" t="str">
        <f t="shared" si="33"/>
        <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1.7324030985029468E-2</v>
      </c>
      <c r="F86" s="299">
        <f t="shared" si="34"/>
        <v>2.426357919824855E-2</v>
      </c>
      <c r="G86" s="299">
        <f t="shared" si="34"/>
        <v>4.919255771432867E-2</v>
      </c>
      <c r="H86" s="299">
        <f t="shared" si="34"/>
        <v>3.05670672152039E-2</v>
      </c>
      <c r="I86" s="299">
        <f t="shared" si="34"/>
        <v>3.0689591837638527E-2</v>
      </c>
      <c r="J86" s="299">
        <f t="shared" si="34"/>
        <v>3.0795014283647067E-2</v>
      </c>
      <c r="K86" s="299">
        <f t="shared" si="34"/>
        <v>3.0882210402946017E-2</v>
      </c>
      <c r="L86" s="299">
        <f t="shared" si="34"/>
        <v>3.0950002277975973E-2</v>
      </c>
      <c r="M86" s="299">
        <f t="shared" si="34"/>
        <v>3.0997155897185352E-2</v>
      </c>
      <c r="N86" s="299">
        <f t="shared" si="34"/>
        <v>3.102237873172493E-2</v>
      </c>
      <c r="O86" s="299">
        <f t="shared" si="34"/>
        <v>3.1488199032674379E-2</v>
      </c>
      <c r="P86" s="299">
        <f t="shared" si="34"/>
        <v>3.1959470057800643E-2</v>
      </c>
      <c r="Q86" s="299">
        <f t="shared" si="34"/>
        <v>3.2436204179541281E-2</v>
      </c>
      <c r="R86" s="299">
        <f t="shared" si="34"/>
        <v>3.291841160173134E-2</v>
      </c>
      <c r="S86" s="299">
        <f t="shared" si="34"/>
        <v>3.3406100255830212E-2</v>
      </c>
      <c r="T86" s="299">
        <f t="shared" si="34"/>
        <v>3.389927569356263E-2</v>
      </c>
      <c r="U86" s="299">
        <f t="shared" si="34"/>
        <v>3.4397940975865085E-2</v>
      </c>
      <c r="V86" s="299">
        <f t="shared" si="34"/>
        <v>3.4902096558024419E-2</v>
      </c>
      <c r="W86" s="299">
        <f t="shared" si="34"/>
        <v>3.5411740170892957E-2</v>
      </c>
      <c r="X86" s="299">
        <f t="shared" si="34"/>
        <v>3.5926866698061569E-2</v>
      </c>
      <c r="Y86" s="299">
        <f t="shared" si="34"/>
        <v>3.6447468048867303E-2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E2785-28FA-4D39-99FC-D15DADFF693B}">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315</v>
      </c>
      <c r="E1" s="275" t="str">
        <f>INDEX('01_Property Summary'!$E$5:$E$21,MATCH($C$1,'01_Property Summary'!$C$5:$C$21,0))</f>
        <v>New Westminster</v>
      </c>
      <c r="F1" s="332" t="s">
        <v>536</v>
      </c>
      <c r="G1" s="333" t="s">
        <v>102</v>
      </c>
      <c r="J1" s="450" t="s">
        <v>308</v>
      </c>
      <c r="K1" s="424"/>
      <c r="L1" s="424"/>
      <c r="M1" s="424"/>
      <c r="N1" s="424"/>
      <c r="O1" s="424"/>
      <c r="P1" s="3"/>
      <c r="Q1" s="3"/>
      <c r="R1" s="3"/>
      <c r="S1" s="3"/>
      <c r="T1" s="3"/>
    </row>
    <row r="2" spans="3:25" ht="14.45" customHeight="1">
      <c r="C2" s="300" t="s">
        <v>537</v>
      </c>
      <c r="E2" s="334">
        <f>_xlfn.LET(_xlpm.refi,INDEX('02_Debt Engine'!$F$19:$F$35,MATCH($C$1,'02_Debt Engine'!$B$19:$B$35,0)),
_xlpm.refiyr,INDEX('02_Debt Engine'!$I$19:$I$35,MATCH($C$1,'02_Debt Engine'!$B$19:$B$35,0)),IF(_xlpm.refi="Yes",_xlpm.refiyr,"No Refi"))</f>
        <v>2034</v>
      </c>
      <c r="F2" s="334">
        <f>INDEX('01_Property Summary'!$F$5:$F$21,MATCH($C$1,'01_Property Summary'!$C$5:$C$21,0))</f>
        <v>2025</v>
      </c>
      <c r="G2" s="334" t="str">
        <f>INDEX('01_Property Summary'!$K$4:$K$21,MATCH($C$1,'01_Property Summary'!$C$4:$C$21,0))</f>
        <v>N/A</v>
      </c>
      <c r="J2" s="278" t="str">
        <f>"Gate 1 — NOI ≥ 0 at stabilization ("&amp;$F$2+1&amp;"):"</f>
        <v>Gate 1 — NOI ≥ 0 at stabilization (2026):</v>
      </c>
      <c r="M2" s="451" t="str">
        <f>_xlfn.LET(_xlpm.stabnoi,INDEX($41:$41,MATCH(($F$2+1),$12:$12,0)),IF(_xlpm.stabnoi&gt;=0,"PASS — NOI $"&amp;TEXT(_xlpm.stabnoi,"#,##0"),"FAIL — NOI $"&amp;TEXT(_xlpm.stabnoi,"#,##0")))</f>
        <v>PASS — NOI $583,201</v>
      </c>
      <c r="N2" s="424"/>
      <c r="O2" s="424"/>
      <c r="S2" s="6"/>
    </row>
    <row r="3" spans="3:25" ht="14.45" customHeight="1">
      <c r="C3" s="300" t="s">
        <v>538</v>
      </c>
      <c r="E3" s="334">
        <f>INDEX('01_Property Summary'!$S$5:$S$21,MATCH($C$1,'01_Property Summary'!$C$5:$C$21,0))</f>
        <v>61</v>
      </c>
      <c r="F3" s="335">
        <f>'01_Assumptions'!$C$14</f>
        <v>0.1</v>
      </c>
      <c r="G3" s="335">
        <f>'01_Assumptions'!$C$15</f>
        <v>0.2</v>
      </c>
      <c r="J3" s="278" t="str">
        <f>"Gate 2 — DSCR ≥ 1.0× at stabilization ("&amp;$F$2+1&amp;"):"</f>
        <v>Gate 2 — DSCR ≥ 1.0× at stabilization (2026):</v>
      </c>
      <c r="M3" s="451" t="str">
        <f>_xlfn.LET(_xlpm.debt,INDEX($48:$48,MATCH(($F$2+1),$12:$12,0)),_xlpm.dscr,INDEX($50:$50,MATCH(($F$2+1),$12:$12,0)),
IF(_xlpm.debt=0,"PASS — no debt svc",IF(IFERROR(_xlpm.dscr,0)&gt;=1,"PASS — DSCR "&amp;TEXT(IFERROR(_xlpm.dscr,0),"0.00")&amp;"x","FAIL — DSCR "&amp;TEXT(IFERROR(_xlpm.dscr,0),"0.00")&amp;"x")))</f>
        <v>PASS — DSCR 1.96x</v>
      </c>
      <c r="N3" s="424"/>
      <c r="O3" s="424"/>
      <c r="S3" s="6"/>
    </row>
    <row r="4" spans="3:25" ht="14.45" customHeight="1">
      <c r="C4" s="300" t="s">
        <v>539</v>
      </c>
      <c r="E4" s="336">
        <f>INDEX('02_Rent Engine'!$H$5:$H$21,MATCH($C$1,'02_Rent Engine'!$B$5:$B$21,0))</f>
        <v>1221.9959016393443</v>
      </c>
      <c r="F4" s="336">
        <f>INDEX('02_Rent Engine'!$J$5:$J$21,MATCH($C$1,'02_Rent Engine'!$B$5:$B$21,0))</f>
        <v>2742</v>
      </c>
      <c r="G4" s="336">
        <f>($F$3*$F$4)+((1-$F$3)*$E$4)</f>
        <v>1373.99631147541</v>
      </c>
      <c r="J4" s="280" t="s">
        <v>309</v>
      </c>
      <c r="M4" s="451" t="str">
        <f>IF(AND($J$52&gt;0,$O$52&gt;0),"PASS — AFFO $"&amp;TEXT($J$52,"#,##0")&amp;" (2030) / $"&amp;TEXT($O$52,"#,##0")&amp;" (2035)","FAIL — AFFO $"&amp;TEXT($J$52,"#,##0")&amp;" (2030) / $"&amp;TEXT($O$52,"#,##0")&amp;" (2035)")</f>
        <v>PASS — AFFO $295,835 (2030) / $210,071 (2035)</v>
      </c>
      <c r="N4" s="424"/>
      <c r="O4" s="424"/>
      <c r="S4" s="6"/>
    </row>
    <row r="5" spans="3:25" ht="14.45" customHeight="1">
      <c r="C5" s="337" t="str">
        <f>"Rent Growth — (pre / post Op. Agrmt. Expiry: "&amp;$G$2&amp;")"</f>
        <v>Rent Growth — (pre / post Op. Agrmt. Expiry: N/A)</v>
      </c>
      <c r="E5" s="338">
        <f>'01_Assumptions'!$C$5</f>
        <v>0.02</v>
      </c>
      <c r="F5" s="338">
        <f>'01_Assumptions'!$C$6</f>
        <v>0.02</v>
      </c>
      <c r="G5" s="32"/>
      <c r="L5" s="6"/>
      <c r="M5" s="6"/>
      <c r="R5" s="6"/>
      <c r="S5" s="6"/>
    </row>
    <row r="6" spans="3:25" ht="13.9" customHeight="1">
      <c r="C6" s="337" t="str">
        <f>"OpEx Growth — (pre / post Op. Agrmt. Expiry: "&amp;$G$2&amp;")"</f>
        <v>OpEx Growth — (pre / post Op. Agrmt. Expiry: N/A)</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Vancity</v>
      </c>
      <c r="F8" s="336">
        <f>INDEX('01_Property Summary'!$Q$5:$Q$21,MATCH($C$1,'01_Property Summary'!$C$5:$C$21,0))</f>
        <v>0</v>
      </c>
      <c r="G8" s="334">
        <f>INDEX('02_Debt Engine'!$I$19:$I$35,MATCH($C$1,'02_Debt Engine'!$B$19:$B$35,0))</f>
        <v>2034</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1005765.3</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1025880.6060000001</v>
      </c>
      <c r="G13" s="283">
        <f t="shared" si="1"/>
        <v>1046398.2181200001</v>
      </c>
      <c r="H13" s="283">
        <f t="shared" si="1"/>
        <v>1067326.1824824</v>
      </c>
      <c r="I13" s="283">
        <f t="shared" si="1"/>
        <v>1088672.7061320483</v>
      </c>
      <c r="J13" s="283">
        <f t="shared" si="1"/>
        <v>1110446.1602546894</v>
      </c>
      <c r="K13" s="283">
        <f t="shared" si="1"/>
        <v>1132655.0834597829</v>
      </c>
      <c r="L13" s="283">
        <f t="shared" si="1"/>
        <v>1155308.1851289785</v>
      </c>
      <c r="M13" s="283">
        <f t="shared" si="1"/>
        <v>1178414.3488315581</v>
      </c>
      <c r="N13" s="283">
        <f t="shared" si="1"/>
        <v>1201982.6358081894</v>
      </c>
      <c r="O13" s="283">
        <f t="shared" si="1"/>
        <v>1226022.2885243529</v>
      </c>
      <c r="P13" s="283">
        <f t="shared" si="1"/>
        <v>1250542.7342948401</v>
      </c>
      <c r="Q13" s="283">
        <f t="shared" si="1"/>
        <v>1275553.5889807369</v>
      </c>
      <c r="R13" s="283">
        <f t="shared" si="1"/>
        <v>1301064.6607603517</v>
      </c>
      <c r="S13" s="283">
        <f t="shared" si="1"/>
        <v>1327085.9539755587</v>
      </c>
      <c r="T13" s="283">
        <f t="shared" si="1"/>
        <v>1353627.6730550695</v>
      </c>
      <c r="U13" s="283">
        <f t="shared" si="1"/>
        <v>1380700.2265161711</v>
      </c>
      <c r="V13" s="283">
        <f t="shared" si="1"/>
        <v>1408314.2310464948</v>
      </c>
      <c r="W13" s="283">
        <f t="shared" si="1"/>
        <v>1436480.5156674243</v>
      </c>
      <c r="X13" s="283">
        <f t="shared" si="1"/>
        <v>1465210.1259807728</v>
      </c>
      <c r="Y13" s="283">
        <f t="shared" si="1"/>
        <v>1494514.3285003884</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5000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5100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5202</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5306.04</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5412.1607999999997</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5520.4040160000004</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5630.8120963199999</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5743.4283382463991</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5858.2969050113279</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5975.4628431115543</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6094.9720999737856</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6216.8715419732616</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6341.2089728127248</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6468.0331522689803</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6597.3938153143608</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6729.3416916206479</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6863.9285254530587</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7001.2070959621205</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7141.231237881364</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7284.055862638992</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7429.7369798917698</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110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112.2</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114.444</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116.73287999999999</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119.06753759999999</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121.448888352</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123.87786611904001</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126.35542344142078</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128.88253191024921</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131.46018254845418</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134.08938619942327</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136.77117392341174</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139.50659740187996</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142.29672934991757</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145.14266393691594</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148.04551721565426</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151.00642755996731</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154.02655611116666</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157.10708723338999</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160.24922897805783</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163.45421355761894</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2805</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2861.1</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2918.3220000000001</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2976.6884399999999</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3036.2222087999999</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3096.9466529760002</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3158.8855860355202</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3222.06329775623</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3286.5045637113549</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3352.234654985582</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3419.2793480852938</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3487.6649350469997</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3557.4182337479388</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3628.5665984228981</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3701.1379303913563</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3775.1606889991835</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3850.6639027791662</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3927.6771808347498</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4006.230724451445</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4086.3553389404742</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4168.082445719283</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row>
    <row r="19" spans="3:25" ht="13.5" customHeight="1">
      <c r="C19" s="3" t="s">
        <v>336</v>
      </c>
      <c r="E19" s="285">
        <f t="shared" ref="E19:Y19" si="2">SUM(E14:E18)</f>
        <v>7915</v>
      </c>
      <c r="F19" s="285">
        <f t="shared" si="2"/>
        <v>8073.2999999999993</v>
      </c>
      <c r="G19" s="285">
        <f t="shared" si="2"/>
        <v>8234.7659999999996</v>
      </c>
      <c r="H19" s="285">
        <f t="shared" si="2"/>
        <v>8399.4613199999985</v>
      </c>
      <c r="I19" s="285">
        <f t="shared" si="2"/>
        <v>8567.4505463999994</v>
      </c>
      <c r="J19" s="285">
        <f t="shared" si="2"/>
        <v>8738.7995573280004</v>
      </c>
      <c r="K19" s="285">
        <f t="shared" si="2"/>
        <v>8913.5755484745605</v>
      </c>
      <c r="L19" s="285">
        <f t="shared" si="2"/>
        <v>9091.8470594440496</v>
      </c>
      <c r="M19" s="285">
        <f t="shared" si="2"/>
        <v>9273.6840006329312</v>
      </c>
      <c r="N19" s="285">
        <f t="shared" si="2"/>
        <v>9459.1576806455905</v>
      </c>
      <c r="O19" s="285">
        <f t="shared" si="2"/>
        <v>9648.3408342585026</v>
      </c>
      <c r="P19" s="285">
        <f t="shared" si="2"/>
        <v>9841.3076509436723</v>
      </c>
      <c r="Q19" s="285">
        <f t="shared" si="2"/>
        <v>10038.133803962544</v>
      </c>
      <c r="R19" s="285">
        <f t="shared" si="2"/>
        <v>10238.896480041796</v>
      </c>
      <c r="S19" s="285">
        <f t="shared" si="2"/>
        <v>10443.674409642634</v>
      </c>
      <c r="T19" s="285">
        <f t="shared" si="2"/>
        <v>10652.547897835486</v>
      </c>
      <c r="U19" s="285">
        <f t="shared" si="2"/>
        <v>10865.598855792192</v>
      </c>
      <c r="V19" s="285">
        <f t="shared" si="2"/>
        <v>11082.910832908037</v>
      </c>
      <c r="W19" s="285">
        <f t="shared" si="2"/>
        <v>11304.569049566198</v>
      </c>
      <c r="X19" s="285">
        <f t="shared" si="2"/>
        <v>11530.660430557524</v>
      </c>
      <c r="Y19" s="285">
        <f t="shared" si="2"/>
        <v>11761.273639168672</v>
      </c>
    </row>
    <row r="20" spans="3:25" ht="13.5" customHeight="1">
      <c r="C20" s="10" t="s">
        <v>337</v>
      </c>
      <c r="E20" s="283">
        <f t="shared" ref="E20:Y20" si="3">E13+E19</f>
        <v>1013680.3</v>
      </c>
      <c r="F20" s="283">
        <f t="shared" si="3"/>
        <v>1033953.9060000002</v>
      </c>
      <c r="G20" s="283">
        <f t="shared" si="3"/>
        <v>1054632.9841200002</v>
      </c>
      <c r="H20" s="283">
        <f t="shared" si="3"/>
        <v>1075725.6438024</v>
      </c>
      <c r="I20" s="283">
        <f t="shared" si="3"/>
        <v>1097240.1566784482</v>
      </c>
      <c r="J20" s="283">
        <f t="shared" si="3"/>
        <v>1119184.9598120174</v>
      </c>
      <c r="K20" s="283">
        <f t="shared" si="3"/>
        <v>1141568.6590082576</v>
      </c>
      <c r="L20" s="283">
        <f t="shared" si="3"/>
        <v>1164400.0321884225</v>
      </c>
      <c r="M20" s="283">
        <f t="shared" si="3"/>
        <v>1187688.0328321911</v>
      </c>
      <c r="N20" s="283">
        <f t="shared" si="3"/>
        <v>1211441.793488835</v>
      </c>
      <c r="O20" s="283">
        <f t="shared" si="3"/>
        <v>1235670.6293586115</v>
      </c>
      <c r="P20" s="283">
        <f t="shared" si="3"/>
        <v>1260384.0419457839</v>
      </c>
      <c r="Q20" s="283">
        <f t="shared" si="3"/>
        <v>1285591.7227846994</v>
      </c>
      <c r="R20" s="283">
        <f t="shared" si="3"/>
        <v>1311303.5572403935</v>
      </c>
      <c r="S20" s="283">
        <f t="shared" si="3"/>
        <v>1337529.6283852013</v>
      </c>
      <c r="T20" s="283">
        <f t="shared" si="3"/>
        <v>1364280.220952905</v>
      </c>
      <c r="U20" s="283">
        <f t="shared" si="3"/>
        <v>1391565.8253719632</v>
      </c>
      <c r="V20" s="283">
        <f t="shared" si="3"/>
        <v>1419397.1418794028</v>
      </c>
      <c r="W20" s="283">
        <f t="shared" si="3"/>
        <v>1447785.0847169906</v>
      </c>
      <c r="X20" s="283">
        <f t="shared" si="3"/>
        <v>1476740.7864113303</v>
      </c>
      <c r="Y20" s="283">
        <f t="shared" si="3"/>
        <v>1506275.602139557</v>
      </c>
    </row>
    <row r="21" spans="3:25" ht="13.5" customHeight="1">
      <c r="C21" s="11" t="s">
        <v>338</v>
      </c>
      <c r="E21" s="284">
        <f t="shared" ref="E21:Y21" si="4">-E20*$E$7</f>
        <v>-20273.606</v>
      </c>
      <c r="F21" s="284">
        <f t="shared" si="4"/>
        <v>-20679.078120000006</v>
      </c>
      <c r="G21" s="284">
        <f t="shared" si="4"/>
        <v>-21092.659682400004</v>
      </c>
      <c r="H21" s="284">
        <f t="shared" si="4"/>
        <v>-21514.512876048</v>
      </c>
      <c r="I21" s="284">
        <f t="shared" si="4"/>
        <v>-21944.803133568963</v>
      </c>
      <c r="J21" s="284">
        <f t="shared" si="4"/>
        <v>-22383.699196240348</v>
      </c>
      <c r="K21" s="284">
        <f t="shared" si="4"/>
        <v>-22831.373180165152</v>
      </c>
      <c r="L21" s="284">
        <f t="shared" si="4"/>
        <v>-23288.00064376845</v>
      </c>
      <c r="M21" s="284">
        <f t="shared" si="4"/>
        <v>-23753.760656643823</v>
      </c>
      <c r="N21" s="284">
        <f t="shared" si="4"/>
        <v>-24228.8358697767</v>
      </c>
      <c r="O21" s="284">
        <f t="shared" si="4"/>
        <v>-24713.412587172232</v>
      </c>
      <c r="P21" s="284">
        <f t="shared" si="4"/>
        <v>-25207.680838915679</v>
      </c>
      <c r="Q21" s="284">
        <f t="shared" si="4"/>
        <v>-25711.834455693988</v>
      </c>
      <c r="R21" s="284">
        <f t="shared" si="4"/>
        <v>-26226.071144807869</v>
      </c>
      <c r="S21" s="284">
        <f t="shared" si="4"/>
        <v>-26750.592567704029</v>
      </c>
      <c r="T21" s="284">
        <f t="shared" si="4"/>
        <v>-27285.604419058101</v>
      </c>
      <c r="U21" s="284">
        <f t="shared" si="4"/>
        <v>-27831.316507439264</v>
      </c>
      <c r="V21" s="284">
        <f t="shared" si="4"/>
        <v>-28387.942837588056</v>
      </c>
      <c r="W21" s="284">
        <f t="shared" si="4"/>
        <v>-28955.701694339812</v>
      </c>
      <c r="X21" s="284">
        <f t="shared" si="4"/>
        <v>-29534.815728226607</v>
      </c>
      <c r="Y21" s="284">
        <f t="shared" si="4"/>
        <v>-30125.512042791142</v>
      </c>
    </row>
    <row r="22" spans="3:25" ht="13.5" customHeight="1">
      <c r="C22" s="3" t="s">
        <v>339</v>
      </c>
      <c r="E22" s="285">
        <f t="shared" ref="E22:Y22" si="5">E20+E21</f>
        <v>993406.69400000002</v>
      </c>
      <c r="F22" s="285">
        <f t="shared" si="5"/>
        <v>1013274.8278800002</v>
      </c>
      <c r="G22" s="285">
        <f t="shared" si="5"/>
        <v>1033540.3244376001</v>
      </c>
      <c r="H22" s="285">
        <f t="shared" si="5"/>
        <v>1054211.130926352</v>
      </c>
      <c r="I22" s="285">
        <f t="shared" si="5"/>
        <v>1075295.3535448792</v>
      </c>
      <c r="J22" s="285">
        <f t="shared" si="5"/>
        <v>1096801.260615777</v>
      </c>
      <c r="K22" s="285">
        <f t="shared" si="5"/>
        <v>1118737.2858280924</v>
      </c>
      <c r="L22" s="285">
        <f t="shared" si="5"/>
        <v>1141112.0315446542</v>
      </c>
      <c r="M22" s="285">
        <f t="shared" si="5"/>
        <v>1163934.2721755472</v>
      </c>
      <c r="N22" s="285">
        <f t="shared" si="5"/>
        <v>1187212.9576190582</v>
      </c>
      <c r="O22" s="285">
        <f t="shared" si="5"/>
        <v>1210957.2167714394</v>
      </c>
      <c r="P22" s="285">
        <f t="shared" si="5"/>
        <v>1235176.3611068681</v>
      </c>
      <c r="Q22" s="285">
        <f t="shared" si="5"/>
        <v>1259879.8883290053</v>
      </c>
      <c r="R22" s="285">
        <f t="shared" si="5"/>
        <v>1285077.4860955856</v>
      </c>
      <c r="S22" s="285">
        <f t="shared" si="5"/>
        <v>1310779.0358174974</v>
      </c>
      <c r="T22" s="285">
        <f t="shared" si="5"/>
        <v>1336994.6165338468</v>
      </c>
      <c r="U22" s="285">
        <f t="shared" si="5"/>
        <v>1363734.5088645238</v>
      </c>
      <c r="V22" s="285">
        <f t="shared" si="5"/>
        <v>1391009.1990418148</v>
      </c>
      <c r="W22" s="285">
        <f t="shared" si="5"/>
        <v>1418829.3830226508</v>
      </c>
      <c r="X22" s="285">
        <f t="shared" si="5"/>
        <v>1447205.9706831037</v>
      </c>
      <c r="Y22" s="285">
        <f t="shared" si="5"/>
        <v>1476150.0900967659</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993406.69400000002</v>
      </c>
      <c r="F24" s="286">
        <f t="shared" si="7"/>
        <v>1013274.8278800002</v>
      </c>
      <c r="G24" s="286">
        <f t="shared" si="7"/>
        <v>1033540.3244376001</v>
      </c>
      <c r="H24" s="286">
        <f t="shared" si="7"/>
        <v>1054211.130926352</v>
      </c>
      <c r="I24" s="286">
        <f t="shared" si="7"/>
        <v>1075295.3535448792</v>
      </c>
      <c r="J24" s="286">
        <f t="shared" si="7"/>
        <v>1096801.260615777</v>
      </c>
      <c r="K24" s="286">
        <f t="shared" si="7"/>
        <v>1118737.2858280924</v>
      </c>
      <c r="L24" s="286">
        <f t="shared" si="7"/>
        <v>1141112.0315446542</v>
      </c>
      <c r="M24" s="286">
        <f t="shared" si="7"/>
        <v>1163934.2721755472</v>
      </c>
      <c r="N24" s="286">
        <f t="shared" si="7"/>
        <v>1187212.9576190582</v>
      </c>
      <c r="O24" s="286">
        <f t="shared" si="7"/>
        <v>1210957.2167714394</v>
      </c>
      <c r="P24" s="286">
        <f t="shared" si="7"/>
        <v>1235176.3611068681</v>
      </c>
      <c r="Q24" s="286">
        <f t="shared" si="7"/>
        <v>1259879.8883290053</v>
      </c>
      <c r="R24" s="286">
        <f t="shared" si="7"/>
        <v>1285077.4860955856</v>
      </c>
      <c r="S24" s="286">
        <f t="shared" si="7"/>
        <v>1310779.0358174974</v>
      </c>
      <c r="T24" s="286">
        <f t="shared" si="7"/>
        <v>1336994.6165338468</v>
      </c>
      <c r="U24" s="286">
        <f t="shared" si="7"/>
        <v>1363734.5088645238</v>
      </c>
      <c r="V24" s="286">
        <f t="shared" si="7"/>
        <v>1391009.1990418148</v>
      </c>
      <c r="W24" s="286">
        <f t="shared" si="7"/>
        <v>1418829.3830226508</v>
      </c>
      <c r="X24" s="286">
        <f t="shared" si="7"/>
        <v>1447205.9706831037</v>
      </c>
      <c r="Y24" s="286">
        <f t="shared" si="7"/>
        <v>1476150.0900967659</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39361</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40935.440000000002</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42572.857600000003</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44275.771904000001</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46046.802780160011</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47888.674891366412</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49804.221887021071</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51796.390762501906</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53868.246393001995</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56022.97624872208</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57423.550654940125</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58859.13942131363</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60330.61790684647</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61838.883354517624</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63384.855438380553</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64969.476824340069</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66593.713744948574</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68258.556588572275</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69965.020503286578</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71714.146015868741</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73506.999666265459</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1250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1300</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1352.0000000000002</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1406.0800000000002</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1462.3232000000003</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1520.8161280000004</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1581.6487731200004</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1644.9147240448003</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1710.7113130065927</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1779.1397655268565</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1823.6182596650276</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1869.2087161566535</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1915.9389340605699</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1963.8374074120838</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2012.9333425973855</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2063.2566761623202</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2114.8380930663784</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2167.7090453930377</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2221.9017715278628</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2277.4493158160599</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2334.3855487114611</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43500</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45240</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47049.600000000006</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48931.584000000003</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50888.847360000007</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52924.401254400014</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55041.377304576017</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57243.032396759052</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59532.753692629427</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61914.063840334609</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63461.915436342962</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65048.46332225154</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66674.674905307824</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68341.541777940511</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70050.080322389011</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71801.332330448742</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73596.365638709962</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75436.274779677711</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77322.181649169637</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79255.236190398879</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81236.617095158843</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15360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15974.400000000001</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16613.376</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17277.911040000003</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17969.027481600002</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18687.788580864006</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19435.300124098565</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20212.712129062507</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21021.220614225011</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21862.069438794013</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22408.621174763859</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22968.836704132958</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23543.057621736283</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24131.634062279685</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24734.924913836672</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25353.29803668259</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25987.130487599654</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26636.808749789645</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27302.728968534382</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27985.297192747741</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28684.929622566437</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74914</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77910.559999999998</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81026.982400000008</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84268.061696000004</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87638.784163840013</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91144.335530393626</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94790.108951609378</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98581.713309673738</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102524.9818420607</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106625.98111574314</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109291.63064363672</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112023.92140972763</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114824.51944497082</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117695.13243109507</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120637.51074187244</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123653.44851041924</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126744.78472317972</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129913.40434125921</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133161.23944979065</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136490.27043603544</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139902.52719693631</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9635</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10020.4</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10421.216</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10838.064640000001</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11271.587225600002</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11722.450714624003</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12191.348743208964</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12679.002692937322</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13186.162800654816</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13713.60931268101</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14056.449545498033</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14407.860784135484</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14768.057303738871</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15137.258736332342</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15515.690204740647</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15903.582459859164</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16301.172021355644</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16708.701321889534</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17126.418854936768</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17554.579326310188</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17993.443809467943</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1325</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1378</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1433.1200000000001</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1490.4448000000002</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1550.0625920000002</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1612.0650956800005</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1676.5476995072004</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1743.6096074874883</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1813.3539917869882</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1885.888151458468</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1933.0353552449294</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1981.3612391260526</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2030.895270104204</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2081.6676518568088</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2133.7093431532285</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2187.0520767320595</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2241.7283786503608</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2297.77158811662</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2355.2158778195349</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2414.0962747650233</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2474.4486816341487</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52462</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54560.480000000003</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56742.899200000007</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59012.615168000004</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61373.119774720013</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63828.04456570882</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66381.166348337167</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69036.413002270652</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71797.869522361492</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74669.784303255961</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76536.528910837354</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78449.942133608274</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80411.190686948496</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82421.470454122187</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84482.007215475227</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86594.057395862124</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88758.908830758664</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90977.881551527622</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93252.328590315796</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95583.636805073693</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97973.227725200544</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7777</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8088.08</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8411.6032000000014</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8748.067328000001</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9097.990021120002</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9461.9096219648036</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9840.3860068433951</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10234.001447117129</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10643.361505001816</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11069.09596520189</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11345.823364331936</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11629.468948440235</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11920.205672151242</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12218.21081395502</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12523.666084303894</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12836.757736411491</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13157.67667982178</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13486.618596817323</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13823.784061737753</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14169.378663281197</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14523.613129863226</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88700</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92248</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95937.920000000013</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99775.43680000001</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103766.45427200002</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107917.11244288002</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112233.79694059523</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116723.14881821904</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121392.07477094782</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126247.75776178573</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129403.95170583036</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132639.05049847614</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135955.02676093802</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139353.90242996145</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142837.74999071046</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146408.69374047825</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150068.91108399018</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153820.63386108994</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157666.14970761715</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161607.80345030761</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165647.99853656528</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42432</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44129.279999999999</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45894.451200000003</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47730.229248000003</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49639.438417920006</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51625.015954636816</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53690.016592822285</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55837.617256535174</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58071.121946796593</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60393.96682466846</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61903.815995285164</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63451.411395167292</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65037.69668004648</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66663.639097047635</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68330.230074473817</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70038.485826335658</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71789.447971994043</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73584.184171293891</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75423.78877557622</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77309.38349496563</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79242.118082339774</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36817</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38289.68</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39821.267200000002</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41414.117888000001</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43070.682603520007</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44793.509907660809</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46585.250303967245</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48448.660316125934</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50386.606728770974</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52402.070997921823</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53712.122772869858</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55054.925842191609</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56431.298988246395</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57842.081462952548</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59288.133499526353</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60770.336837014518</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62289.59525793988</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63846.835139388371</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65443.006017873064</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67079.081168319899</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68756.058197527891</v>
      </c>
    </row>
    <row r="39" spans="3:25" ht="13.15" customHeight="1">
      <c r="C39" s="14" t="s">
        <v>355</v>
      </c>
      <c r="E39" s="286">
        <f t="shared" ref="E39:Y39" si="8">SUM(E27:E38)</f>
        <v>413533</v>
      </c>
      <c r="F39" s="286">
        <f t="shared" si="8"/>
        <v>430074.32</v>
      </c>
      <c r="G39" s="286">
        <f t="shared" si="8"/>
        <v>447277.29280000005</v>
      </c>
      <c r="H39" s="286">
        <f t="shared" si="8"/>
        <v>465168.38451200002</v>
      </c>
      <c r="I39" s="286">
        <f t="shared" si="8"/>
        <v>483775.11989248008</v>
      </c>
      <c r="J39" s="286">
        <f t="shared" si="8"/>
        <v>503126.12468817935</v>
      </c>
      <c r="K39" s="286">
        <f t="shared" si="8"/>
        <v>523251.16967570665</v>
      </c>
      <c r="L39" s="286">
        <f t="shared" si="8"/>
        <v>544181.21646273474</v>
      </c>
      <c r="M39" s="286">
        <f t="shared" si="8"/>
        <v>565948.46512124431</v>
      </c>
      <c r="N39" s="286">
        <f t="shared" si="8"/>
        <v>588586.40372609417</v>
      </c>
      <c r="O39" s="286">
        <f t="shared" si="8"/>
        <v>603301.06381924625</v>
      </c>
      <c r="P39" s="286">
        <f t="shared" si="8"/>
        <v>618383.59041472746</v>
      </c>
      <c r="Q39" s="286">
        <f t="shared" si="8"/>
        <v>633843.18017509568</v>
      </c>
      <c r="R39" s="286">
        <f t="shared" si="8"/>
        <v>649689.25967947289</v>
      </c>
      <c r="S39" s="286">
        <f t="shared" si="8"/>
        <v>665931.49117145967</v>
      </c>
      <c r="T39" s="286">
        <f t="shared" si="8"/>
        <v>682579.77845074621</v>
      </c>
      <c r="U39" s="286">
        <f t="shared" si="8"/>
        <v>699644.27291201486</v>
      </c>
      <c r="V39" s="286">
        <f t="shared" si="8"/>
        <v>717135.37973481498</v>
      </c>
      <c r="W39" s="286">
        <f t="shared" si="8"/>
        <v>735063.76422818541</v>
      </c>
      <c r="X39" s="286">
        <f t="shared" si="8"/>
        <v>753440.35833389009</v>
      </c>
      <c r="Y39" s="286">
        <f t="shared" si="8"/>
        <v>772276.36729223735</v>
      </c>
    </row>
    <row r="40" spans="3:25" ht="7.15" customHeight="1"/>
    <row r="41" spans="3:25" ht="13.5" customHeight="1">
      <c r="C41" s="15" t="s">
        <v>356</v>
      </c>
      <c r="D41" s="8"/>
      <c r="E41" s="287">
        <f t="shared" ref="E41:Y41" si="9">E24-E39</f>
        <v>579873.69400000002</v>
      </c>
      <c r="F41" s="287">
        <f t="shared" si="9"/>
        <v>583200.50788000016</v>
      </c>
      <c r="G41" s="287">
        <f t="shared" si="9"/>
        <v>586263.03163760004</v>
      </c>
      <c r="H41" s="287">
        <f t="shared" si="9"/>
        <v>589042.74641435198</v>
      </c>
      <c r="I41" s="287">
        <f t="shared" si="9"/>
        <v>591520.23365239915</v>
      </c>
      <c r="J41" s="287">
        <f t="shared" si="9"/>
        <v>593675.13592759764</v>
      </c>
      <c r="K41" s="287">
        <f t="shared" si="9"/>
        <v>595486.11615238572</v>
      </c>
      <c r="L41" s="287">
        <f t="shared" si="9"/>
        <v>596930.81508191943</v>
      </c>
      <c r="M41" s="287">
        <f t="shared" si="9"/>
        <v>597985.80705430289</v>
      </c>
      <c r="N41" s="287">
        <f t="shared" si="9"/>
        <v>598626.55389296403</v>
      </c>
      <c r="O41" s="287">
        <f t="shared" si="9"/>
        <v>607656.15295219317</v>
      </c>
      <c r="P41" s="287">
        <f t="shared" si="9"/>
        <v>616792.77069214068</v>
      </c>
      <c r="Q41" s="287">
        <f t="shared" si="9"/>
        <v>626036.70815390965</v>
      </c>
      <c r="R41" s="287">
        <f t="shared" si="9"/>
        <v>635388.22641611274</v>
      </c>
      <c r="S41" s="287">
        <f t="shared" si="9"/>
        <v>644847.54464603774</v>
      </c>
      <c r="T41" s="287">
        <f t="shared" si="9"/>
        <v>654414.83808310062</v>
      </c>
      <c r="U41" s="287">
        <f t="shared" si="9"/>
        <v>664090.23595250899</v>
      </c>
      <c r="V41" s="287">
        <f t="shared" si="9"/>
        <v>673873.81930699979</v>
      </c>
      <c r="W41" s="287">
        <f t="shared" si="9"/>
        <v>683765.61879446544</v>
      </c>
      <c r="X41" s="287">
        <f t="shared" si="9"/>
        <v>693765.61234921357</v>
      </c>
      <c r="Y41" s="287">
        <f t="shared" si="9"/>
        <v>703873.72280452854</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
      </c>
      <c r="J43" s="288" t="str">
        <f t="shared" si="10"/>
        <v/>
      </c>
      <c r="K43" s="288" t="str">
        <f t="shared" si="10"/>
        <v/>
      </c>
      <c r="L43" s="288" t="str">
        <f t="shared" si="10"/>
        <v/>
      </c>
      <c r="M43" s="288" t="str">
        <f t="shared" si="10"/>
        <v/>
      </c>
      <c r="N43" s="288" t="str">
        <f t="shared" si="10"/>
        <v>REFI YR.</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9150</v>
      </c>
      <c r="F44" s="283">
        <f t="shared" si="11"/>
        <v>9333</v>
      </c>
      <c r="G44" s="283">
        <f t="shared" si="11"/>
        <v>9519.66</v>
      </c>
      <c r="H44" s="283">
        <f t="shared" si="11"/>
        <v>9710.0531999999985</v>
      </c>
      <c r="I44" s="283">
        <f t="shared" si="11"/>
        <v>9904.2542639999992</v>
      </c>
      <c r="J44" s="283">
        <f t="shared" si="11"/>
        <v>10102.339349280001</v>
      </c>
      <c r="K44" s="283">
        <f t="shared" si="11"/>
        <v>10304.386136265601</v>
      </c>
      <c r="L44" s="283">
        <f t="shared" si="11"/>
        <v>10510.47385899091</v>
      </c>
      <c r="M44" s="283">
        <f t="shared" si="11"/>
        <v>10720.68333617073</v>
      </c>
      <c r="N44" s="283">
        <f t="shared" si="11"/>
        <v>10935.097002894145</v>
      </c>
      <c r="O44" s="283">
        <f t="shared" si="11"/>
        <v>11153.798942952028</v>
      </c>
      <c r="P44" s="283">
        <f t="shared" si="11"/>
        <v>11376.874921811066</v>
      </c>
      <c r="Q44" s="283">
        <f t="shared" si="11"/>
        <v>11604.412420247289</v>
      </c>
      <c r="R44" s="283">
        <f t="shared" si="11"/>
        <v>11836.500668652234</v>
      </c>
      <c r="S44" s="283">
        <f t="shared" si="11"/>
        <v>12073.23068202528</v>
      </c>
      <c r="T44" s="283">
        <f t="shared" si="11"/>
        <v>12314.695295665782</v>
      </c>
      <c r="U44" s="283">
        <f t="shared" si="11"/>
        <v>12560.989201579101</v>
      </c>
      <c r="V44" s="283">
        <f t="shared" si="11"/>
        <v>12812.208985610683</v>
      </c>
      <c r="W44" s="283">
        <f t="shared" si="11"/>
        <v>13068.453165322895</v>
      </c>
      <c r="X44" s="283">
        <f t="shared" si="11"/>
        <v>13329.822228629353</v>
      </c>
      <c r="Y44" s="283">
        <f t="shared" si="11"/>
        <v>13596.418673201941</v>
      </c>
    </row>
    <row r="45" spans="3:25" ht="13.5" customHeight="1">
      <c r="C45" s="15" t="s">
        <v>359</v>
      </c>
      <c r="D45" s="8"/>
      <c r="E45" s="287">
        <f t="shared" ref="E45:Y45" si="12">E41-E44</f>
        <v>570723.69400000002</v>
      </c>
      <c r="F45" s="287">
        <f t="shared" si="12"/>
        <v>573867.50788000016</v>
      </c>
      <c r="G45" s="287">
        <f t="shared" si="12"/>
        <v>576743.37163760001</v>
      </c>
      <c r="H45" s="287">
        <f t="shared" si="12"/>
        <v>579332.69321435201</v>
      </c>
      <c r="I45" s="287">
        <f t="shared" si="12"/>
        <v>581615.97938839917</v>
      </c>
      <c r="J45" s="287">
        <f t="shared" si="12"/>
        <v>583572.79657831765</v>
      </c>
      <c r="K45" s="287">
        <f t="shared" si="12"/>
        <v>585181.73001612013</v>
      </c>
      <c r="L45" s="287">
        <f t="shared" si="12"/>
        <v>586420.34122292849</v>
      </c>
      <c r="M45" s="287">
        <f t="shared" si="12"/>
        <v>587265.12371813215</v>
      </c>
      <c r="N45" s="287">
        <f t="shared" si="12"/>
        <v>587691.45689006988</v>
      </c>
      <c r="O45" s="287">
        <f t="shared" si="12"/>
        <v>596502.3540092411</v>
      </c>
      <c r="P45" s="287">
        <f t="shared" si="12"/>
        <v>605415.89577032963</v>
      </c>
      <c r="Q45" s="287">
        <f t="shared" si="12"/>
        <v>614432.29573366232</v>
      </c>
      <c r="R45" s="287">
        <f t="shared" si="12"/>
        <v>623551.7257474605</v>
      </c>
      <c r="S45" s="287">
        <f t="shared" si="12"/>
        <v>632774.31396401243</v>
      </c>
      <c r="T45" s="287">
        <f t="shared" si="12"/>
        <v>642100.14278743486</v>
      </c>
      <c r="U45" s="287">
        <f t="shared" si="12"/>
        <v>651529.24675092986</v>
      </c>
      <c r="V45" s="287">
        <f t="shared" si="12"/>
        <v>661061.61032138916</v>
      </c>
      <c r="W45" s="287">
        <f t="shared" si="12"/>
        <v>670697.16562914255</v>
      </c>
      <c r="X45" s="287">
        <f t="shared" si="12"/>
        <v>680435.79012058419</v>
      </c>
      <c r="Y45" s="287">
        <f t="shared" si="12"/>
        <v>690277.30413132661</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
      </c>
      <c r="J47" s="288" t="str">
        <f t="shared" si="13"/>
        <v/>
      </c>
      <c r="K47" s="288" t="str">
        <f t="shared" si="13"/>
        <v/>
      </c>
      <c r="L47" s="288" t="str">
        <f t="shared" si="13"/>
        <v/>
      </c>
      <c r="M47" s="288" t="str">
        <f t="shared" si="13"/>
        <v/>
      </c>
      <c r="N47" s="288" t="str">
        <f t="shared" si="13"/>
        <v>REFI YR.</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(E$12&gt;=$F$2)*IFERROR(INDEX('02_Debt Engine'!$F$46:$Z$62,MATCH($C$1,'02_Debt Engine'!$B$19:$B$35,0),MATCH(E$12,'02_Debt Engine'!$F$45:$Z$45,0)),0)</f>
        <v>297840</v>
      </c>
      <c r="F48" s="286">
        <f>(F$12&gt;=$F$2)*IFERROR(INDEX('02_Debt Engine'!$F$46:$Z$62,MATCH($C$1,'02_Debt Engine'!$B$19:$B$35,0),MATCH(F$12,'02_Debt Engine'!$F$45:$Z$45,0)),0)</f>
        <v>297840</v>
      </c>
      <c r="G48" s="286">
        <f>(G$12&gt;=$F$2)*IFERROR(INDEX('02_Debt Engine'!$F$46:$Z$62,MATCH($C$1,'02_Debt Engine'!$B$19:$B$35,0),MATCH(G$12,'02_Debt Engine'!$F$45:$Z$45,0)),0)</f>
        <v>297840</v>
      </c>
      <c r="H48" s="286">
        <f>(H$12&gt;=$F$2)*IFERROR(INDEX('02_Debt Engine'!$F$46:$Z$62,MATCH($C$1,'02_Debt Engine'!$B$19:$B$35,0),MATCH(H$12,'02_Debt Engine'!$F$45:$Z$45,0)),0)</f>
        <v>297840</v>
      </c>
      <c r="I48" s="286">
        <f>(I$12&gt;=$F$2)*IFERROR(INDEX('02_Debt Engine'!$F$46:$Z$62,MATCH($C$1,'02_Debt Engine'!$B$19:$B$35,0),MATCH(I$12,'02_Debt Engine'!$F$45:$Z$45,0)),0)</f>
        <v>297840</v>
      </c>
      <c r="J48" s="286">
        <f>(J$12&gt;=$F$2)*IFERROR(INDEX('02_Debt Engine'!$F$46:$Z$62,MATCH($C$1,'02_Debt Engine'!$B$19:$B$35,0),MATCH(J$12,'02_Debt Engine'!$F$45:$Z$45,0)),0)</f>
        <v>297840</v>
      </c>
      <c r="K48" s="286">
        <f>(K$12&gt;=$F$2)*IFERROR(INDEX('02_Debt Engine'!$F$46:$Z$62,MATCH($C$1,'02_Debt Engine'!$B$19:$B$35,0),MATCH(K$12,'02_Debt Engine'!$F$45:$Z$45,0)),0)</f>
        <v>297840</v>
      </c>
      <c r="L48" s="286">
        <f>(L$12&gt;=$F$2)*IFERROR(INDEX('02_Debt Engine'!$F$46:$Z$62,MATCH($C$1,'02_Debt Engine'!$B$19:$B$35,0),MATCH(L$12,'02_Debt Engine'!$F$45:$Z$45,0)),0)</f>
        <v>297840</v>
      </c>
      <c r="M48" s="286">
        <f>(M$12&gt;=$F$2)*IFERROR(INDEX('02_Debt Engine'!$F$46:$Z$62,MATCH($C$1,'02_Debt Engine'!$B$19:$B$35,0),MATCH(M$12,'02_Debt Engine'!$F$45:$Z$45,0)),0)</f>
        <v>297840</v>
      </c>
      <c r="N48" s="286">
        <f>(N$12&gt;=$F$2)*IFERROR(INDEX('02_Debt Engine'!$F$46:$Z$62,MATCH($C$1,'02_Debt Engine'!$B$19:$B$35,0),MATCH(N$12,'02_Debt Engine'!$F$45:$Z$45,0)),0)</f>
        <v>297840</v>
      </c>
      <c r="O48" s="286">
        <f>(O$12&gt;=$F$2)*IFERROR(INDEX('02_Debt Engine'!$F$46:$Z$62,MATCH($C$1,'02_Debt Engine'!$B$19:$B$35,0),MATCH(O$12,'02_Debt Engine'!$F$45:$Z$45,0)),0)</f>
        <v>397585.07606343459</v>
      </c>
      <c r="P48" s="286">
        <f>(P$12&gt;=$F$2)*IFERROR(INDEX('02_Debt Engine'!$F$46:$Z$62,MATCH($C$1,'02_Debt Engine'!$B$19:$B$35,0),MATCH(P$12,'02_Debt Engine'!$F$45:$Z$45,0)),0)</f>
        <v>397585.07606343459</v>
      </c>
      <c r="Q48" s="286">
        <f>(Q$12&gt;=$F$2)*IFERROR(INDEX('02_Debt Engine'!$F$46:$Z$62,MATCH($C$1,'02_Debt Engine'!$B$19:$B$35,0),MATCH(Q$12,'02_Debt Engine'!$F$45:$Z$45,0)),0)</f>
        <v>397585.07606343459</v>
      </c>
      <c r="R48" s="286">
        <f>(R$12&gt;=$F$2)*IFERROR(INDEX('02_Debt Engine'!$F$46:$Z$62,MATCH($C$1,'02_Debt Engine'!$B$19:$B$35,0),MATCH(R$12,'02_Debt Engine'!$F$45:$Z$45,0)),0)</f>
        <v>397585.07606343459</v>
      </c>
      <c r="S48" s="286">
        <f>(S$12&gt;=$F$2)*IFERROR(INDEX('02_Debt Engine'!$F$46:$Z$62,MATCH($C$1,'02_Debt Engine'!$B$19:$B$35,0),MATCH(S$12,'02_Debt Engine'!$F$45:$Z$45,0)),0)</f>
        <v>397585.07606343459</v>
      </c>
      <c r="T48" s="286">
        <f>(T$12&gt;=$F$2)*IFERROR(INDEX('02_Debt Engine'!$F$46:$Z$62,MATCH($C$1,'02_Debt Engine'!$B$19:$B$35,0),MATCH(T$12,'02_Debt Engine'!$F$45:$Z$45,0)),0)</f>
        <v>397585.07606343459</v>
      </c>
      <c r="U48" s="286">
        <f>(U$12&gt;=$F$2)*IFERROR(INDEX('02_Debt Engine'!$F$46:$Z$62,MATCH($C$1,'02_Debt Engine'!$B$19:$B$35,0),MATCH(U$12,'02_Debt Engine'!$F$45:$Z$45,0)),0)</f>
        <v>397585.07606343459</v>
      </c>
      <c r="V48" s="286">
        <f>(V$12&gt;=$F$2)*IFERROR(INDEX('02_Debt Engine'!$F$46:$Z$62,MATCH($C$1,'02_Debt Engine'!$B$19:$B$35,0),MATCH(V$12,'02_Debt Engine'!$F$45:$Z$45,0)),0)</f>
        <v>397585.07606343459</v>
      </c>
      <c r="W48" s="286">
        <f>(W$12&gt;=$F$2)*IFERROR(INDEX('02_Debt Engine'!$F$46:$Z$62,MATCH($C$1,'02_Debt Engine'!$B$19:$B$35,0),MATCH(W$12,'02_Debt Engine'!$F$45:$Z$45,0)),0)</f>
        <v>397585.07606343459</v>
      </c>
      <c r="X48" s="286">
        <f>(X$12&gt;=$F$2)*IFERROR(INDEX('02_Debt Engine'!$F$46:$Z$62,MATCH($C$1,'02_Debt Engine'!$B$19:$B$35,0),MATCH(X$12,'02_Debt Engine'!$F$45:$Z$45,0)),0)</f>
        <v>397585.07606343459</v>
      </c>
      <c r="Y48" s="286">
        <f>(Y$12&gt;=$F$2)*IFERROR(INDEX('02_Debt Engine'!$F$46:$Z$62,MATCH($C$1,'02_Debt Engine'!$B$19:$B$35,0),MATCH(Y$12,'02_Debt Engine'!$F$45:$Z$45,0)),0)</f>
        <v>397585.07606343459</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1.9469302108514639</v>
      </c>
      <c r="F50" s="290">
        <f t="shared" si="14"/>
        <v>1.9581000130271291</v>
      </c>
      <c r="G50" s="290">
        <f t="shared" si="14"/>
        <v>1.9683824591646524</v>
      </c>
      <c r="H50" s="290">
        <f t="shared" si="14"/>
        <v>1.9777153720600054</v>
      </c>
      <c r="I50" s="290">
        <f t="shared" si="14"/>
        <v>1.9860335537617484</v>
      </c>
      <c r="J50" s="290">
        <f t="shared" si="14"/>
        <v>1.9932686540679481</v>
      </c>
      <c r="K50" s="290">
        <f t="shared" si="14"/>
        <v>1.9993490335495088</v>
      </c>
      <c r="L50" s="290">
        <f t="shared" si="14"/>
        <v>2.0041996208767103</v>
      </c>
      <c r="M50" s="290">
        <f t="shared" si="14"/>
        <v>2.007741764216703</v>
      </c>
      <c r="N50" s="290">
        <f t="shared" si="14"/>
        <v>2.0098930764603948</v>
      </c>
      <c r="O50" s="290">
        <f t="shared" si="14"/>
        <v>1.5283676112008837</v>
      </c>
      <c r="P50" s="290">
        <f t="shared" si="14"/>
        <v>1.5513478946421309</v>
      </c>
      <c r="Q50" s="290">
        <f t="shared" si="14"/>
        <v>1.5745981070326334</v>
      </c>
      <c r="R50" s="290">
        <f t="shared" si="14"/>
        <v>1.5981189050333888</v>
      </c>
      <c r="S50" s="290">
        <f t="shared" si="14"/>
        <v>1.6219108398906614</v>
      </c>
      <c r="T50" s="290">
        <f t="shared" si="14"/>
        <v>1.6459743523639929</v>
      </c>
      <c r="U50" s="290">
        <f t="shared" si="14"/>
        <v>1.6703097674786807</v>
      </c>
      <c r="V50" s="290">
        <f t="shared" si="14"/>
        <v>1.6949172890973487</v>
      </c>
      <c r="W50" s="290">
        <f t="shared" si="14"/>
        <v>1.7197969943051152</v>
      </c>
      <c r="X50" s="290">
        <f t="shared" si="14"/>
        <v>1.7449488276026826</v>
      </c>
      <c r="Y50" s="290">
        <f t="shared" si="14"/>
        <v>1.770372594901489</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282033.69400000002</v>
      </c>
      <c r="F52" s="291">
        <f t="shared" si="15"/>
        <v>285360.50788000016</v>
      </c>
      <c r="G52" s="291">
        <f t="shared" si="15"/>
        <v>288423.03163760004</v>
      </c>
      <c r="H52" s="291">
        <f t="shared" si="15"/>
        <v>291202.74641435198</v>
      </c>
      <c r="I52" s="291">
        <f t="shared" si="15"/>
        <v>293680.23365239915</v>
      </c>
      <c r="J52" s="291">
        <f t="shared" si="15"/>
        <v>295835.13592759764</v>
      </c>
      <c r="K52" s="291">
        <f t="shared" si="15"/>
        <v>297646.11615238572</v>
      </c>
      <c r="L52" s="291">
        <f t="shared" si="15"/>
        <v>299090.81508191943</v>
      </c>
      <c r="M52" s="291">
        <f t="shared" si="15"/>
        <v>300145.80705430289</v>
      </c>
      <c r="N52" s="291">
        <f t="shared" si="15"/>
        <v>300786.55389296403</v>
      </c>
      <c r="O52" s="291">
        <f t="shared" si="15"/>
        <v>210071.07688875857</v>
      </c>
      <c r="P52" s="291">
        <f t="shared" si="15"/>
        <v>219207.69462870609</v>
      </c>
      <c r="Q52" s="291">
        <f t="shared" si="15"/>
        <v>228451.63209047506</v>
      </c>
      <c r="R52" s="291">
        <f t="shared" si="15"/>
        <v>237803.15035267815</v>
      </c>
      <c r="S52" s="291">
        <f t="shared" si="15"/>
        <v>247262.46858260315</v>
      </c>
      <c r="T52" s="291">
        <f t="shared" si="15"/>
        <v>256829.76201966603</v>
      </c>
      <c r="U52" s="291">
        <f t="shared" si="15"/>
        <v>266505.15988907439</v>
      </c>
      <c r="V52" s="291">
        <f t="shared" si="15"/>
        <v>276288.7432435652</v>
      </c>
      <c r="W52" s="291">
        <f t="shared" si="15"/>
        <v>286180.54273103084</v>
      </c>
      <c r="X52" s="291">
        <f t="shared" si="15"/>
        <v>296180.53628577897</v>
      </c>
      <c r="Y52" s="291">
        <f t="shared" si="15"/>
        <v>306288.64674109395</v>
      </c>
    </row>
    <row r="53" spans="3:25" ht="7.15" customHeight="1">
      <c r="C53" s="14"/>
      <c r="D53" s="17"/>
    </row>
    <row r="54" spans="3:25" ht="13.5" customHeight="1">
      <c r="C54" s="15" t="s">
        <v>363</v>
      </c>
      <c r="D54" s="20"/>
      <c r="E54" s="292">
        <f t="shared" ref="E54:Y54" si="16">IF(E52&lt;0,0,E52*$G$7)</f>
        <v>169220.2164</v>
      </c>
      <c r="F54" s="292">
        <f t="shared" si="16"/>
        <v>171216.3047280001</v>
      </c>
      <c r="G54" s="292">
        <f t="shared" si="16"/>
        <v>173053.81898256001</v>
      </c>
      <c r="H54" s="292">
        <f t="shared" si="16"/>
        <v>174721.64784861117</v>
      </c>
      <c r="I54" s="292">
        <f t="shared" si="16"/>
        <v>176208.14019143948</v>
      </c>
      <c r="J54" s="292">
        <f t="shared" si="16"/>
        <v>177501.08155655858</v>
      </c>
      <c r="K54" s="292">
        <f t="shared" si="16"/>
        <v>178587.66969143142</v>
      </c>
      <c r="L54" s="292">
        <f t="shared" si="16"/>
        <v>179454.48904915166</v>
      </c>
      <c r="M54" s="292">
        <f t="shared" si="16"/>
        <v>180087.48423258172</v>
      </c>
      <c r="N54" s="292">
        <f t="shared" si="16"/>
        <v>180471.9323357784</v>
      </c>
      <c r="O54" s="292">
        <f t="shared" si="16"/>
        <v>126042.64613325514</v>
      </c>
      <c r="P54" s="292">
        <f t="shared" si="16"/>
        <v>131524.61677722365</v>
      </c>
      <c r="Q54" s="292">
        <f t="shared" si="16"/>
        <v>137070.97925428502</v>
      </c>
      <c r="R54" s="292">
        <f t="shared" si="16"/>
        <v>142681.89021160689</v>
      </c>
      <c r="S54" s="292">
        <f t="shared" si="16"/>
        <v>148357.48114956188</v>
      </c>
      <c r="T54" s="292">
        <f t="shared" si="16"/>
        <v>154097.85721179962</v>
      </c>
      <c r="U54" s="292">
        <f t="shared" si="16"/>
        <v>159903.09593344462</v>
      </c>
      <c r="V54" s="292">
        <f t="shared" si="16"/>
        <v>165773.24594613913</v>
      </c>
      <c r="W54" s="292">
        <f t="shared" si="16"/>
        <v>171708.32563861849</v>
      </c>
      <c r="X54" s="292">
        <f t="shared" si="16"/>
        <v>177708.32177146737</v>
      </c>
      <c r="Y54" s="292">
        <f t="shared" si="16"/>
        <v>183773.18804465636</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112813.47760000001</v>
      </c>
      <c r="F56" s="291">
        <f t="shared" si="17"/>
        <v>114144.20315200006</v>
      </c>
      <c r="G56" s="291">
        <f t="shared" si="17"/>
        <v>115369.21265504003</v>
      </c>
      <c r="H56" s="291">
        <f t="shared" si="17"/>
        <v>116481.0985657408</v>
      </c>
      <c r="I56" s="291">
        <f t="shared" si="17"/>
        <v>117472.09346095967</v>
      </c>
      <c r="J56" s="291">
        <f t="shared" si="17"/>
        <v>118334.05437103906</v>
      </c>
      <c r="K56" s="291">
        <f t="shared" si="17"/>
        <v>119058.44646095429</v>
      </c>
      <c r="L56" s="291">
        <f t="shared" si="17"/>
        <v>119636.32603276777</v>
      </c>
      <c r="M56" s="291">
        <f t="shared" si="17"/>
        <v>120058.32282172117</v>
      </c>
      <c r="N56" s="291">
        <f t="shared" si="17"/>
        <v>120314.62155718563</v>
      </c>
      <c r="O56" s="291">
        <f t="shared" si="17"/>
        <v>84028.430755503432</v>
      </c>
      <c r="P56" s="291">
        <f t="shared" si="17"/>
        <v>87683.077851482434</v>
      </c>
      <c r="Q56" s="291">
        <f t="shared" si="17"/>
        <v>91380.652836190042</v>
      </c>
      <c r="R56" s="291">
        <f t="shared" si="17"/>
        <v>95121.260141071252</v>
      </c>
      <c r="S56" s="291">
        <f t="shared" si="17"/>
        <v>98904.987433041271</v>
      </c>
      <c r="T56" s="291">
        <f t="shared" si="17"/>
        <v>102731.90480786641</v>
      </c>
      <c r="U56" s="291">
        <f t="shared" si="17"/>
        <v>106602.06395562977</v>
      </c>
      <c r="V56" s="291">
        <f t="shared" si="17"/>
        <v>110515.49729742607</v>
      </c>
      <c r="W56" s="291">
        <f t="shared" si="17"/>
        <v>114472.21709241235</v>
      </c>
      <c r="X56" s="291">
        <f t="shared" si="17"/>
        <v>118472.21451431161</v>
      </c>
      <c r="Y56" s="291">
        <f t="shared" si="17"/>
        <v>122515.45869643759</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
      </c>
      <c r="I60" s="288" t="str">
        <f t="shared" si="18"/>
        <v/>
      </c>
      <c r="J60" s="288" t="str">
        <f t="shared" si="18"/>
        <v/>
      </c>
      <c r="K60" s="288" t="str">
        <f t="shared" si="18"/>
        <v/>
      </c>
      <c r="L60" s="288" t="str">
        <f t="shared" si="18"/>
        <v/>
      </c>
      <c r="M60" s="288" t="str">
        <f t="shared" si="18"/>
        <v/>
      </c>
      <c r="N60" s="288" t="str">
        <f t="shared" si="18"/>
        <v>REFI YR.</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-4659801.6325927479</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7482831.9236620506</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0</v>
      </c>
      <c r="I63" s="285">
        <f t="shared" si="19"/>
        <v>0</v>
      </c>
      <c r="J63" s="285">
        <f t="shared" si="19"/>
        <v>0</v>
      </c>
      <c r="K63" s="285">
        <f t="shared" si="19"/>
        <v>0</v>
      </c>
      <c r="L63" s="285">
        <f t="shared" si="19"/>
        <v>0</v>
      </c>
      <c r="M63" s="285">
        <f t="shared" si="19"/>
        <v>0</v>
      </c>
      <c r="N63" s="285">
        <f t="shared" si="19"/>
        <v>2823030.2910693027</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5408513.3767299997</v>
      </c>
      <c r="F64" s="296">
        <f>INDEX('02_Debt Engine'!$F$74:$Z$90,MATCH($C$1,'02_Debt Engine'!$B$74:$B$90,0),MATCH(F$12,'02_Debt Engine'!$F$73:$Z$73,0))</f>
        <v>5338371.7898903331</v>
      </c>
      <c r="G64" s="296">
        <f>INDEX('02_Debt Engine'!$F$74:$Z$90,MATCH($C$1,'02_Debt Engine'!$B$74:$B$90,0),MATCH(G$12,'02_Debt Engine'!$F$73:$Z$73,0))</f>
        <v>5265277.2422447158</v>
      </c>
      <c r="H64" s="296">
        <f>INDEX('02_Debt Engine'!$F$74:$Z$90,MATCH($C$1,'02_Debt Engine'!$B$74:$B$90,0),MATCH(H$12,'02_Debt Engine'!$F$73:$Z$73,0))</f>
        <v>5189105.4141432187</v>
      </c>
      <c r="I64" s="296">
        <f>INDEX('02_Debt Engine'!$F$74:$Z$90,MATCH($C$1,'02_Debt Engine'!$B$74:$B$90,0),MATCH(I$12,'02_Debt Engine'!$F$73:$Z$73,0))</f>
        <v>5109726.7520786477</v>
      </c>
      <c r="J64" s="296">
        <f>INDEX('02_Debt Engine'!$F$74:$Z$90,MATCH($C$1,'02_Debt Engine'!$B$74:$B$90,0),MATCH(J$12,'02_Debt Engine'!$F$73:$Z$73,0))</f>
        <v>5027006.248341159</v>
      </c>
      <c r="K64" s="296">
        <f>INDEX('02_Debt Engine'!$F$74:$Z$90,MATCH($C$1,'02_Debt Engine'!$B$74:$B$90,0),MATCH(K$12,'02_Debt Engine'!$F$73:$Z$73,0))</f>
        <v>4940803.2113963217</v>
      </c>
      <c r="L64" s="296">
        <f>INDEX('02_Debt Engine'!$F$74:$Z$90,MATCH($C$1,'02_Debt Engine'!$B$74:$B$90,0),MATCH(L$12,'02_Debt Engine'!$F$73:$Z$73,0))</f>
        <v>4850971.0265961066</v>
      </c>
      <c r="M64" s="296">
        <f>INDEX('02_Debt Engine'!$F$74:$Z$90,MATCH($C$1,'02_Debt Engine'!$B$74:$B$90,0),MATCH(M$12,'02_Debt Engine'!$F$73:$Z$73,0))</f>
        <v>4757356.9068158027</v>
      </c>
      <c r="N64" s="296">
        <f>INDEX('02_Debt Engine'!$F$74:$Z$90,MATCH($C$1,'02_Debt Engine'!$B$74:$B$90,0),MATCH(N$12,'02_Debt Engine'!$F$73:$Z$73,0))</f>
        <v>4659801.6325927479</v>
      </c>
      <c r="O64" s="296">
        <f>INDEX('02_Debt Engine'!$F$74:$Z$90,MATCH($C$1,'02_Debt Engine'!$B$74:$B$90,0),MATCH(O$12,'02_Debt Engine'!$F$73:$Z$73,0))</f>
        <v>7384560.1245450983</v>
      </c>
      <c r="P64" s="296">
        <f>INDEX('02_Debt Engine'!$F$74:$Z$90,MATCH($C$1,'02_Debt Engine'!$B$74:$B$90,0),MATCH(P$12,'02_Debt Engine'!$F$73:$Z$73,0))</f>
        <v>7282357.4534634678</v>
      </c>
      <c r="Q64" s="296">
        <f>INDEX('02_Debt Engine'!$F$74:$Z$90,MATCH($C$1,'02_Debt Engine'!$B$74:$B$90,0),MATCH(Q$12,'02_Debt Engine'!$F$73:$Z$73,0))</f>
        <v>7176066.6755385716</v>
      </c>
      <c r="R64" s="296">
        <f>INDEX('02_Debt Engine'!$F$74:$Z$90,MATCH($C$1,'02_Debt Engine'!$B$74:$B$90,0),MATCH(R$12,'02_Debt Engine'!$F$73:$Z$73,0))</f>
        <v>7065524.2664966797</v>
      </c>
      <c r="S64" s="296">
        <f>INDEX('02_Debt Engine'!$F$74:$Z$90,MATCH($C$1,'02_Debt Engine'!$B$74:$B$90,0),MATCH(S$12,'02_Debt Engine'!$F$73:$Z$73,0))</f>
        <v>6950560.1610931121</v>
      </c>
      <c r="T64" s="296">
        <f>INDEX('02_Debt Engine'!$F$74:$Z$90,MATCH($C$1,'02_Debt Engine'!$B$74:$B$90,0),MATCH(T$12,'02_Debt Engine'!$F$73:$Z$73,0))</f>
        <v>6830997.4914734019</v>
      </c>
      <c r="U64" s="296">
        <f>INDEX('02_Debt Engine'!$F$74:$Z$90,MATCH($C$1,'02_Debt Engine'!$B$74:$B$90,0),MATCH(U$12,'02_Debt Engine'!$F$73:$Z$73,0))</f>
        <v>6706652.3150689034</v>
      </c>
      <c r="V64" s="296">
        <f>INDEX('02_Debt Engine'!$F$74:$Z$90,MATCH($C$1,'02_Debt Engine'!$B$74:$B$90,0),MATCH(V$12,'02_Debt Engine'!$F$73:$Z$73,0))</f>
        <v>6577333.3316082247</v>
      </c>
      <c r="W64" s="296">
        <f>INDEX('02_Debt Engine'!$F$74:$Z$90,MATCH($C$1,'02_Debt Engine'!$B$74:$B$90,0),MATCH(W$12,'02_Debt Engine'!$F$73:$Z$73,0))</f>
        <v>6442841.5888091195</v>
      </c>
      <c r="X64" s="296">
        <f>INDEX('02_Debt Engine'!$F$74:$Z$90,MATCH($C$1,'02_Debt Engine'!$B$74:$B$90,0),MATCH(X$12,'02_Debt Engine'!$F$73:$Z$73,0))</f>
        <v>6302970.1762980502</v>
      </c>
      <c r="Y64" s="296">
        <f>INDEX('02_Debt Engine'!$F$74:$Z$90,MATCH($C$1,'02_Debt Engine'!$B$74:$B$90,0),MATCH(Y$12,'02_Debt Engine'!$F$73:$Z$73,0))</f>
        <v>6157503.9072865378</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
      </c>
      <c r="I66" s="288" t="str">
        <f t="shared" si="20"/>
        <v/>
      </c>
      <c r="J66" s="288" t="str">
        <f t="shared" si="20"/>
        <v/>
      </c>
      <c r="K66" s="288" t="str">
        <f t="shared" si="20"/>
        <v/>
      </c>
      <c r="L66" s="288" t="str">
        <f t="shared" si="20"/>
        <v/>
      </c>
      <c r="M66" s="288" t="str">
        <f t="shared" si="20"/>
        <v/>
      </c>
      <c r="N66" s="288" t="str">
        <f t="shared" si="20"/>
        <v>REFI YR.</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112813.47760000001</v>
      </c>
      <c r="F67" s="285">
        <f t="shared" si="21"/>
        <v>114144.20315200006</v>
      </c>
      <c r="G67" s="285">
        <f t="shared" si="21"/>
        <v>115369.21265504003</v>
      </c>
      <c r="H67" s="285">
        <f t="shared" si="21"/>
        <v>116481.0985657408</v>
      </c>
      <c r="I67" s="285">
        <f t="shared" si="21"/>
        <v>117472.09346095967</v>
      </c>
      <c r="J67" s="285">
        <f t="shared" si="21"/>
        <v>118334.05437103906</v>
      </c>
      <c r="K67" s="285">
        <f t="shared" si="21"/>
        <v>119058.44646095429</v>
      </c>
      <c r="L67" s="285">
        <f t="shared" si="21"/>
        <v>119636.32603276777</v>
      </c>
      <c r="M67" s="285">
        <f t="shared" si="21"/>
        <v>120058.32282172117</v>
      </c>
      <c r="N67" s="285">
        <f t="shared" si="21"/>
        <v>120314.62155718563</v>
      </c>
      <c r="O67" s="285">
        <f t="shared" si="21"/>
        <v>84028.430755503432</v>
      </c>
      <c r="P67" s="285">
        <f t="shared" si="21"/>
        <v>87683.077851482434</v>
      </c>
      <c r="Q67" s="285">
        <f t="shared" si="21"/>
        <v>91380.652836190042</v>
      </c>
      <c r="R67" s="285">
        <f t="shared" si="21"/>
        <v>95121.260141071252</v>
      </c>
      <c r="S67" s="285">
        <f t="shared" si="21"/>
        <v>98904.987433041271</v>
      </c>
      <c r="T67" s="285">
        <f t="shared" si="21"/>
        <v>102731.90480786641</v>
      </c>
      <c r="U67" s="285">
        <f t="shared" si="21"/>
        <v>106602.06395562977</v>
      </c>
      <c r="V67" s="285">
        <f t="shared" si="21"/>
        <v>110515.49729742607</v>
      </c>
      <c r="W67" s="285">
        <f t="shared" si="21"/>
        <v>114472.21709241235</v>
      </c>
      <c r="X67" s="285">
        <f t="shared" si="21"/>
        <v>118472.21451431161</v>
      </c>
      <c r="Y67" s="285">
        <f t="shared" si="21"/>
        <v>122515.45869643759</v>
      </c>
    </row>
    <row r="68" spans="3:25" s="20" customFormat="1" ht="13.5" customHeight="1">
      <c r="C68" s="26" t="s">
        <v>544</v>
      </c>
      <c r="E68" s="287">
        <f t="shared" ref="E68:Y68" si="22">E67+E$63</f>
        <v>112813.47760000001</v>
      </c>
      <c r="F68" s="287">
        <f t="shared" si="22"/>
        <v>114144.20315200006</v>
      </c>
      <c r="G68" s="287">
        <f t="shared" si="22"/>
        <v>115369.21265504003</v>
      </c>
      <c r="H68" s="287">
        <f t="shared" si="22"/>
        <v>116481.0985657408</v>
      </c>
      <c r="I68" s="287">
        <f t="shared" si="22"/>
        <v>117472.09346095967</v>
      </c>
      <c r="J68" s="287">
        <f t="shared" si="22"/>
        <v>118334.05437103906</v>
      </c>
      <c r="K68" s="287">
        <f t="shared" si="22"/>
        <v>119058.44646095429</v>
      </c>
      <c r="L68" s="287">
        <f t="shared" si="22"/>
        <v>119636.32603276777</v>
      </c>
      <c r="M68" s="287">
        <f t="shared" si="22"/>
        <v>120058.32282172117</v>
      </c>
      <c r="N68" s="287">
        <f t="shared" si="22"/>
        <v>2943344.9126264881</v>
      </c>
      <c r="O68" s="287">
        <f t="shared" si="22"/>
        <v>84028.430755503432</v>
      </c>
      <c r="P68" s="287">
        <f t="shared" si="22"/>
        <v>87683.077851482434</v>
      </c>
      <c r="Q68" s="287">
        <f t="shared" si="22"/>
        <v>91380.652836190042</v>
      </c>
      <c r="R68" s="287">
        <f t="shared" si="22"/>
        <v>95121.260141071252</v>
      </c>
      <c r="S68" s="287">
        <f t="shared" si="22"/>
        <v>98904.987433041271</v>
      </c>
      <c r="T68" s="287">
        <f t="shared" si="22"/>
        <v>102731.90480786641</v>
      </c>
      <c r="U68" s="287">
        <f t="shared" si="22"/>
        <v>106602.06395562977</v>
      </c>
      <c r="V68" s="287">
        <f t="shared" si="22"/>
        <v>110515.49729742607</v>
      </c>
      <c r="W68" s="287">
        <f t="shared" si="22"/>
        <v>114472.21709241235</v>
      </c>
      <c r="X68" s="287">
        <f t="shared" si="22"/>
        <v>118472.21451431161</v>
      </c>
      <c r="Y68" s="287">
        <f t="shared" si="22"/>
        <v>122515.45869643759</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9664561.5666666664</v>
      </c>
      <c r="F73" s="285">
        <f t="shared" si="24"/>
        <v>9720008.4646666702</v>
      </c>
      <c r="G73" s="285">
        <f t="shared" si="24"/>
        <v>9771050.5272933338</v>
      </c>
      <c r="H73" s="285">
        <f t="shared" si="24"/>
        <v>9817379.1069058664</v>
      </c>
      <c r="I73" s="285">
        <f t="shared" si="24"/>
        <v>9858670.5608733203</v>
      </c>
      <c r="J73" s="285">
        <f t="shared" si="24"/>
        <v>9894585.5987932943</v>
      </c>
      <c r="K73" s="285">
        <f t="shared" si="24"/>
        <v>9924768.6025397629</v>
      </c>
      <c r="L73" s="285">
        <f t="shared" si="24"/>
        <v>9948846.9180319905</v>
      </c>
      <c r="M73" s="285">
        <f t="shared" si="24"/>
        <v>9966430.1175717153</v>
      </c>
      <c r="N73" s="285">
        <f t="shared" si="24"/>
        <v>9977109.2315494008</v>
      </c>
      <c r="O73" s="285">
        <f t="shared" si="24"/>
        <v>10127602.549203219</v>
      </c>
      <c r="P73" s="285">
        <f t="shared" si="24"/>
        <v>10279879.511535678</v>
      </c>
      <c r="Q73" s="285">
        <f t="shared" si="24"/>
        <v>10433945.135898495</v>
      </c>
      <c r="R73" s="285">
        <f t="shared" si="24"/>
        <v>10589803.77360188</v>
      </c>
      <c r="S73" s="285">
        <f t="shared" si="24"/>
        <v>10747459.077433962</v>
      </c>
      <c r="T73" s="285">
        <f t="shared" si="24"/>
        <v>10906913.968051678</v>
      </c>
      <c r="U73" s="285">
        <f t="shared" si="24"/>
        <v>11068170.599208483</v>
      </c>
      <c r="V73" s="285">
        <f t="shared" si="24"/>
        <v>11231230.32178333</v>
      </c>
      <c r="W73" s="285">
        <f t="shared" si="24"/>
        <v>11396093.646574425</v>
      </c>
      <c r="X73" s="285">
        <f t="shared" si="24"/>
        <v>11562760.205820227</v>
      </c>
      <c r="Y73" s="285">
        <f t="shared" si="24"/>
        <v>11731228.713408809</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
      </c>
      <c r="I75" s="288" t="str">
        <f t="shared" si="25"/>
        <v/>
      </c>
      <c r="J75" s="288" t="str">
        <f t="shared" si="25"/>
        <v/>
      </c>
      <c r="K75" s="288" t="str">
        <f t="shared" si="25"/>
        <v/>
      </c>
      <c r="L75" s="288" t="str">
        <f t="shared" si="25"/>
        <v/>
      </c>
      <c r="M75" s="288" t="str">
        <f t="shared" si="25"/>
        <v/>
      </c>
      <c r="N75" s="288" t="str">
        <f t="shared" si="25"/>
        <v>REFI YR.</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5408513.3767299997</v>
      </c>
      <c r="F76" s="285">
        <f t="shared" si="26"/>
        <v>5338371.7898903331</v>
      </c>
      <c r="G76" s="285">
        <f t="shared" si="26"/>
        <v>5265277.2422447158</v>
      </c>
      <c r="H76" s="285">
        <f t="shared" si="26"/>
        <v>5189105.4141432187</v>
      </c>
      <c r="I76" s="285">
        <f t="shared" si="26"/>
        <v>5109726.7520786477</v>
      </c>
      <c r="J76" s="285">
        <f t="shared" si="26"/>
        <v>5027006.248341159</v>
      </c>
      <c r="K76" s="285">
        <f t="shared" si="26"/>
        <v>4940803.2113963217</v>
      </c>
      <c r="L76" s="285">
        <f t="shared" si="26"/>
        <v>4850971.0265961066</v>
      </c>
      <c r="M76" s="285">
        <f t="shared" si="26"/>
        <v>4757356.9068158027</v>
      </c>
      <c r="N76" s="285">
        <f t="shared" si="26"/>
        <v>4659801.6325927479</v>
      </c>
      <c r="O76" s="285">
        <f t="shared" si="26"/>
        <v>7384560.1245450983</v>
      </c>
      <c r="P76" s="285">
        <f t="shared" si="26"/>
        <v>7282357.4534634678</v>
      </c>
      <c r="Q76" s="285">
        <f t="shared" si="26"/>
        <v>7176066.6755385716</v>
      </c>
      <c r="R76" s="285">
        <f t="shared" si="26"/>
        <v>7065524.2664966797</v>
      </c>
      <c r="S76" s="285">
        <f t="shared" si="26"/>
        <v>6950560.1610931121</v>
      </c>
      <c r="T76" s="285">
        <f t="shared" si="26"/>
        <v>6830997.4914734019</v>
      </c>
      <c r="U76" s="285">
        <f t="shared" si="26"/>
        <v>6706652.3150689034</v>
      </c>
      <c r="V76" s="285">
        <f t="shared" si="26"/>
        <v>6577333.3316082247</v>
      </c>
      <c r="W76" s="285">
        <f t="shared" si="26"/>
        <v>6442841.5888091195</v>
      </c>
      <c r="X76" s="285">
        <f t="shared" si="26"/>
        <v>6302970.1762980502</v>
      </c>
      <c r="Y76" s="285">
        <f t="shared" si="26"/>
        <v>6157503.9072865378</v>
      </c>
    </row>
    <row r="77" spans="3:25" ht="13.5" customHeight="1">
      <c r="C77" s="26" t="s">
        <v>376</v>
      </c>
      <c r="D77" s="21"/>
      <c r="E77" s="287">
        <f t="shared" ref="E77:Y77" si="27">E73-E$76</f>
        <v>4256048.1899366667</v>
      </c>
      <c r="F77" s="287">
        <f t="shared" si="27"/>
        <v>4381636.6747763371</v>
      </c>
      <c r="G77" s="287">
        <f t="shared" si="27"/>
        <v>4505773.285048618</v>
      </c>
      <c r="H77" s="287">
        <f t="shared" si="27"/>
        <v>4628273.6927626478</v>
      </c>
      <c r="I77" s="287">
        <f t="shared" si="27"/>
        <v>4748943.8087946726</v>
      </c>
      <c r="J77" s="287">
        <f t="shared" si="27"/>
        <v>4867579.3504521353</v>
      </c>
      <c r="K77" s="287">
        <f t="shared" si="27"/>
        <v>4983965.3911434412</v>
      </c>
      <c r="L77" s="287">
        <f t="shared" si="27"/>
        <v>5097875.8914358839</v>
      </c>
      <c r="M77" s="287">
        <f t="shared" si="27"/>
        <v>5209073.2107559126</v>
      </c>
      <c r="N77" s="287">
        <f t="shared" si="27"/>
        <v>5317307.5989566529</v>
      </c>
      <c r="O77" s="287">
        <f t="shared" si="27"/>
        <v>2743042.4246581206</v>
      </c>
      <c r="P77" s="287">
        <f t="shared" si="27"/>
        <v>2997522.0580722103</v>
      </c>
      <c r="Q77" s="287">
        <f t="shared" si="27"/>
        <v>3257878.4603599235</v>
      </c>
      <c r="R77" s="287">
        <f t="shared" si="27"/>
        <v>3524279.5071052006</v>
      </c>
      <c r="S77" s="287">
        <f t="shared" si="27"/>
        <v>3796898.9163408503</v>
      </c>
      <c r="T77" s="287">
        <f t="shared" si="27"/>
        <v>4075916.4765782757</v>
      </c>
      <c r="U77" s="287">
        <f t="shared" si="27"/>
        <v>4361518.2841395801</v>
      </c>
      <c r="V77" s="287">
        <f t="shared" si="27"/>
        <v>4653896.9901751056</v>
      </c>
      <c r="W77" s="287">
        <f t="shared" si="27"/>
        <v>4953252.057765305</v>
      </c>
      <c r="X77" s="287">
        <f t="shared" si="27"/>
        <v>5259790.0295221768</v>
      </c>
      <c r="Y77" s="287">
        <f t="shared" si="27"/>
        <v>5573724.8061222713</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2026</v>
      </c>
      <c r="D79" s="20"/>
      <c r="E79" s="289" t="str">
        <f t="shared" ref="E79:Y79" si="28">IF(E$72=$F$2+1,"STAB. YR.","")</f>
        <v/>
      </c>
      <c r="F79" s="289" t="str">
        <f t="shared" si="28"/>
        <v>STAB. YR.</v>
      </c>
      <c r="G79" s="289" t="str">
        <f t="shared" si="28"/>
        <v/>
      </c>
      <c r="H79" s="289" t="str">
        <f t="shared" si="28"/>
        <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9720008.4646666702</v>
      </c>
      <c r="G80" s="296">
        <f t="shared" si="29"/>
        <v>0</v>
      </c>
      <c r="H80" s="296">
        <f t="shared" si="29"/>
        <v>0</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5.965773549559205E-2</v>
      </c>
      <c r="F81" s="344">
        <f t="shared" si="30"/>
        <v>0.06</v>
      </c>
      <c r="G81" s="344">
        <f t="shared" si="30"/>
        <v>6.0315074186275915E-2</v>
      </c>
      <c r="H81" s="344">
        <f t="shared" si="30"/>
        <v>6.0601052823728394E-2</v>
      </c>
      <c r="I81" s="344">
        <f t="shared" si="30"/>
        <v>6.0855938120079021E-2</v>
      </c>
      <c r="J81" s="344">
        <f t="shared" si="30"/>
        <v>6.1077635691951696E-2</v>
      </c>
      <c r="K81" s="344">
        <f t="shared" si="30"/>
        <v>6.1263950367640631E-2</v>
      </c>
      <c r="L81" s="344">
        <f t="shared" si="30"/>
        <v>6.1412581815317384E-2</v>
      </c>
      <c r="M81" s="344">
        <f t="shared" si="30"/>
        <v>6.1521119989560599E-2</v>
      </c>
      <c r="N81" s="344">
        <f t="shared" si="30"/>
        <v>6.1587040388806163E-2</v>
      </c>
      <c r="O81" s="344">
        <f t="shared" si="30"/>
        <v>6.2516010676440456E-2</v>
      </c>
      <c r="P81" s="344">
        <f t="shared" si="30"/>
        <v>6.3455991106823845E-2</v>
      </c>
      <c r="Q81" s="344">
        <f t="shared" si="30"/>
        <v>6.4407012651236245E-2</v>
      </c>
      <c r="R81" s="344">
        <f t="shared" si="30"/>
        <v>6.5369102169593865E-2</v>
      </c>
      <c r="S81" s="344">
        <f t="shared" si="30"/>
        <v>6.6342282209951919E-2</v>
      </c>
      <c r="T81" s="344">
        <f t="shared" si="30"/>
        <v>6.7326570801041236E-2</v>
      </c>
      <c r="U81" s="344">
        <f t="shared" si="30"/>
        <v>6.8321981237624646E-2</v>
      </c>
      <c r="V81" s="344">
        <f t="shared" si="30"/>
        <v>6.9328521858453854E-2</v>
      </c>
      <c r="W81" s="344">
        <f t="shared" si="30"/>
        <v>7.0346195816601481E-2</v>
      </c>
      <c r="X81" s="344">
        <f t="shared" si="30"/>
        <v>7.1375000841936515E-2</v>
      </c>
      <c r="Y81" s="344">
        <f t="shared" si="30"/>
        <v>7.2414928995503364E-2</v>
      </c>
    </row>
    <row r="82" spans="1:25" s="20" customFormat="1" ht="13.9" customHeight="1">
      <c r="A82" s="3"/>
      <c r="B82" s="3"/>
      <c r="C82" s="21" t="s">
        <v>380</v>
      </c>
      <c r="E82" s="285">
        <f t="shared" ref="E82:Y82" si="31">IF(E$72=$F$2+1,E77,0)</f>
        <v>0</v>
      </c>
      <c r="F82" s="285">
        <f t="shared" si="31"/>
        <v>4381636.6747763371</v>
      </c>
      <c r="G82" s="285">
        <f t="shared" si="31"/>
        <v>0</v>
      </c>
      <c r="H82" s="285">
        <f t="shared" si="31"/>
        <v>0</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0.13234180217135416</v>
      </c>
      <c r="F83" s="299">
        <f t="shared" si="32"/>
        <v>0.13310106500552557</v>
      </c>
      <c r="G83" s="299">
        <f t="shared" si="32"/>
        <v>0.13380001016801013</v>
      </c>
      <c r="H83" s="299">
        <f t="shared" si="32"/>
        <v>0.13443441118823937</v>
      </c>
      <c r="I83" s="299">
        <f t="shared" si="32"/>
        <v>0.13499983626154799</v>
      </c>
      <c r="J83" s="299">
        <f t="shared" si="32"/>
        <v>0.13549163931030456</v>
      </c>
      <c r="K83" s="299">
        <f t="shared" si="32"/>
        <v>0.13590495067297714</v>
      </c>
      <c r="L83" s="299">
        <f t="shared" si="32"/>
        <v>0.13623466740596196</v>
      </c>
      <c r="M83" s="299">
        <f t="shared" si="32"/>
        <v>0.13647544318238741</v>
      </c>
      <c r="N83" s="299">
        <f t="shared" si="32"/>
        <v>0.13662167777147366</v>
      </c>
      <c r="O83" s="299">
        <f t="shared" si="32"/>
        <v>0.13868246001551721</v>
      </c>
      <c r="P83" s="299">
        <f t="shared" si="32"/>
        <v>0.14076766662165688</v>
      </c>
      <c r="Q83" s="299">
        <f t="shared" si="32"/>
        <v>0.14287736629506509</v>
      </c>
      <c r="R83" s="299">
        <f t="shared" si="32"/>
        <v>0.14501161862046594</v>
      </c>
      <c r="S83" s="299">
        <f t="shared" si="32"/>
        <v>0.14717047361736224</v>
      </c>
      <c r="T83" s="299">
        <f t="shared" si="32"/>
        <v>0.14935397127980848</v>
      </c>
      <c r="U83" s="299">
        <f t="shared" si="32"/>
        <v>0.15156214110025629</v>
      </c>
      <c r="V83" s="299">
        <f t="shared" si="32"/>
        <v>0.15379500157698447</v>
      </c>
      <c r="W83" s="299">
        <f t="shared" si="32"/>
        <v>0.15605255970461507</v>
      </c>
      <c r="X83" s="299">
        <f t="shared" si="32"/>
        <v>0.15833481044720057</v>
      </c>
      <c r="Y83" s="299">
        <f t="shared" si="32"/>
        <v>0.1606417361933502</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2026</v>
      </c>
      <c r="E85" s="289" t="str">
        <f t="shared" ref="E85:Y85" si="33">IF(E$72=$F$2+1,"STAB. YR.","")</f>
        <v/>
      </c>
      <c r="F85" s="289" t="str">
        <f t="shared" si="33"/>
        <v>STAB. YR.</v>
      </c>
      <c r="G85" s="289" t="str">
        <f t="shared" si="33"/>
        <v/>
      </c>
      <c r="H85" s="289" t="str">
        <f t="shared" si="33"/>
        <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3.8620321345707635E-2</v>
      </c>
      <c r="F86" s="299">
        <f t="shared" si="34"/>
        <v>3.9075879046210495E-2</v>
      </c>
      <c r="G86" s="299">
        <f t="shared" si="34"/>
        <v>3.9495246143701229E-2</v>
      </c>
      <c r="H86" s="299">
        <f t="shared" si="34"/>
        <v>3.9875886755838773E-2</v>
      </c>
      <c r="I86" s="299">
        <f t="shared" si="34"/>
        <v>4.0215141799823946E-2</v>
      </c>
      <c r="J86" s="299">
        <f t="shared" si="34"/>
        <v>4.0510223629077878E-2</v>
      </c>
      <c r="K86" s="299">
        <f t="shared" si="34"/>
        <v>4.0758210446681438E-2</v>
      </c>
      <c r="L86" s="299">
        <f t="shared" si="34"/>
        <v>4.0956040486472327E-2</v>
      </c>
      <c r="M86" s="299">
        <f t="shared" si="34"/>
        <v>4.1100505952327587E-2</v>
      </c>
      <c r="N86" s="299">
        <f t="shared" si="34"/>
        <v>4.1188246705779336E-2</v>
      </c>
      <c r="O86" s="299">
        <f t="shared" si="34"/>
        <v>2.8766110813989169E-2</v>
      </c>
      <c r="P86" s="299">
        <f t="shared" si="34"/>
        <v>3.0017234777672978E-2</v>
      </c>
      <c r="Q86" s="299">
        <f t="shared" si="34"/>
        <v>3.1283054581717887E-2</v>
      </c>
      <c r="R86" s="299">
        <f t="shared" si="34"/>
        <v>3.2563605976958405E-2</v>
      </c>
      <c r="S86" s="299">
        <f t="shared" si="34"/>
        <v>3.3858918975096186E-2</v>
      </c>
      <c r="T86" s="299">
        <f t="shared" si="34"/>
        <v>3.5169017572563938E-2</v>
      </c>
      <c r="U86" s="299">
        <f t="shared" si="34"/>
        <v>3.6493919464832617E-2</v>
      </c>
      <c r="V86" s="299">
        <f t="shared" si="34"/>
        <v>3.7833635750869531E-2</v>
      </c>
      <c r="W86" s="299">
        <f t="shared" si="34"/>
        <v>3.9188170627447887E-2</v>
      </c>
      <c r="X86" s="299">
        <f t="shared" si="34"/>
        <v>4.0557521072999182E-2</v>
      </c>
      <c r="Y86" s="299">
        <f t="shared" si="34"/>
        <v>4.1941676520688961E-2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43AA0-71ED-487A-AAD0-1B8B473C1E97}">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316</v>
      </c>
      <c r="E1" s="275" t="str">
        <f>INDEX('01_Property Summary'!$E$5:$E$21,MATCH($C$1,'01_Property Summary'!$C$5:$C$21,0))</f>
        <v>Surrey</v>
      </c>
      <c r="F1" s="332" t="s">
        <v>536</v>
      </c>
      <c r="G1" s="333" t="s">
        <v>102</v>
      </c>
      <c r="J1" s="450" t="s">
        <v>308</v>
      </c>
      <c r="K1" s="424"/>
      <c r="L1" s="424"/>
      <c r="M1" s="424"/>
      <c r="N1" s="424"/>
      <c r="O1" s="424"/>
      <c r="P1" s="3"/>
      <c r="Q1" s="3"/>
      <c r="R1" s="3"/>
      <c r="S1" s="3"/>
      <c r="T1" s="3"/>
    </row>
    <row r="2" spans="3:25" ht="14.45" customHeight="1">
      <c r="C2" s="300" t="s">
        <v>537</v>
      </c>
      <c r="E2" s="334" t="str">
        <f>_xlfn.LET(_xlpm.refi,INDEX('02_Debt Engine'!$F$19:$F$35,MATCH($C$1,'02_Debt Engine'!$B$19:$B$35,0)),
_xlpm.refiyr,INDEX('02_Debt Engine'!$I$19:$I$35,MATCH($C$1,'02_Debt Engine'!$B$19:$B$35,0)),IF(_xlpm.refi="Yes",_xlpm.refiyr,"No Refi"))</f>
        <v>No Refi</v>
      </c>
      <c r="F2" s="334">
        <f>INDEX('01_Property Summary'!$F$5:$F$21,MATCH($C$1,'01_Property Summary'!$C$5:$C$21,0))</f>
        <v>2025</v>
      </c>
      <c r="G2" s="334">
        <f>INDEX('01_Property Summary'!$K$4:$K$21,MATCH($C$1,'01_Property Summary'!$C$4:$C$21,0))</f>
        <v>2028</v>
      </c>
      <c r="J2" s="278" t="str">
        <f>"Gate 1 — NOI ≥ 0 at stabilization ("&amp;$F$2+1&amp;"):"</f>
        <v>Gate 1 — NOI ≥ 0 at stabilization (2026):</v>
      </c>
      <c r="M2" s="451" t="str">
        <f>_xlfn.LET(_xlpm.stabnoi,INDEX($41:$41,MATCH(($F$2+1),$12:$12,0)),IF(_xlpm.stabnoi&gt;=0,"PASS — NOI $"&amp;TEXT(_xlpm.stabnoi,"#,##0"),"FAIL — NOI $"&amp;TEXT(_xlpm.stabnoi,"#,##0")))</f>
        <v>PASS — NOI $207,348</v>
      </c>
      <c r="N2" s="424"/>
      <c r="O2" s="424"/>
      <c r="S2" s="6"/>
    </row>
    <row r="3" spans="3:25" ht="14.45" customHeight="1">
      <c r="C3" s="300" t="s">
        <v>538</v>
      </c>
      <c r="E3" s="334">
        <f>INDEX('01_Property Summary'!$S$5:$S$21,MATCH($C$1,'01_Property Summary'!$C$5:$C$21,0))</f>
        <v>36</v>
      </c>
      <c r="F3" s="335">
        <f>'01_Assumptions'!$C$14</f>
        <v>0.1</v>
      </c>
      <c r="G3" s="335">
        <f>'01_Assumptions'!$C$15</f>
        <v>0.2</v>
      </c>
      <c r="J3" s="278" t="str">
        <f>"Gate 2 — DSCR ≥ 1.0× at stabilization ("&amp;$F$2+1&amp;"):"</f>
        <v>Gate 2 — DSCR ≥ 1.0× at stabilization (2026):</v>
      </c>
      <c r="M3" s="451" t="str">
        <f>_xlfn.LET(_xlpm.debt,INDEX($48:$48,MATCH(($F$2+1),$12:$12,0)),_xlpm.dscr,INDEX($50:$50,MATCH(($F$2+1),$12:$12,0)),
IF(_xlpm.debt=0,"PASS — no debt svc",IF(IFERROR(_xlpm.dscr,0)&gt;=1,"PASS — DSCR "&amp;TEXT(IFERROR(_xlpm.dscr,0),"0.00")&amp;"x","FAIL — DSCR "&amp;TEXT(IFERROR(_xlpm.dscr,0),"0.00")&amp;"x")))</f>
        <v>FAIL — DSCR 0.85x</v>
      </c>
      <c r="N3" s="424"/>
      <c r="O3" s="424"/>
      <c r="S3" s="6"/>
    </row>
    <row r="4" spans="3:25" ht="14.45" customHeight="1">
      <c r="C4" s="300" t="s">
        <v>539</v>
      </c>
      <c r="E4" s="336">
        <f>INDEX('02_Rent Engine'!$H$5:$H$21,MATCH($C$1,'02_Rent Engine'!$B$5:$B$21,0))</f>
        <v>810.18518518518522</v>
      </c>
      <c r="F4" s="336">
        <f>INDEX('02_Rent Engine'!$J$5:$J$21,MATCH($C$1,'02_Rent Engine'!$B$5:$B$21,0))</f>
        <v>2659.25</v>
      </c>
      <c r="G4" s="336">
        <f>($F$3*$F$4)+((1-$F$3)*$E$4)</f>
        <v>995.0916666666667</v>
      </c>
      <c r="J4" s="280" t="s">
        <v>309</v>
      </c>
      <c r="M4" s="451" t="str">
        <f>IF(AND($J$52&gt;0,$O$52&gt;0),"PASS — AFFO $"&amp;TEXT($J$52,"#,##0")&amp;" (2030) / $"&amp;TEXT($O$52,"#,##0")&amp;" (2035)","FAIL — AFFO $"&amp;TEXT($J$52,"#,##0")&amp;" (2030) / $"&amp;TEXT($O$52,"#,##0")&amp;" (2035)")</f>
        <v>PASS — AFFO $291,142 (2030) / $296,358 (2035)</v>
      </c>
      <c r="N4" s="424"/>
      <c r="O4" s="424"/>
      <c r="S4" s="6"/>
    </row>
    <row r="5" spans="3:25" ht="14.45" customHeight="1">
      <c r="C5" s="337" t="str">
        <f>"Rent Growth — (pre / post Op. Agrmt. Expiry: "&amp;$G$2&amp;")"</f>
        <v>Rent Growth — (pre / post Op. Agrmt. Expiry: 2028)</v>
      </c>
      <c r="E5" s="338">
        <f>'01_Assumptions'!$C$5</f>
        <v>0.02</v>
      </c>
      <c r="F5" s="338">
        <f>'01_Assumptions'!$C$6</f>
        <v>0.02</v>
      </c>
      <c r="G5" s="32"/>
      <c r="L5" s="6"/>
      <c r="M5" s="6"/>
      <c r="R5" s="6"/>
      <c r="S5" s="6"/>
    </row>
    <row r="6" spans="3:25" ht="13.9" customHeight="1">
      <c r="C6" s="337" t="str">
        <f>"OpEx Growth — (pre / post Op. Agrmt. Expiry: "&amp;$G$2&amp;")"</f>
        <v>OpEx Growth — (pre / post Op. Agrmt. Expiry: 2028)</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BCHMC</v>
      </c>
      <c r="F8" s="336">
        <f>INDEX('01_Property Summary'!$Q$5:$Q$21,MATCH($C$1,'01_Property Summary'!$C$5:$C$21,0))</f>
        <v>0</v>
      </c>
      <c r="G8" s="334">
        <f>INDEX('02_Debt Engine'!$I$19:$I$35,MATCH($C$1,'02_Debt Engine'!$B$19:$B$35,0))</f>
        <v>2028</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429879.60000000003</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438477.19200000004</v>
      </c>
      <c r="G13" s="283">
        <f t="shared" si="1"/>
        <v>447246.73583999998</v>
      </c>
      <c r="H13" s="283">
        <f t="shared" si="1"/>
        <v>540960.5411135999</v>
      </c>
      <c r="I13" s="283">
        <f t="shared" si="1"/>
        <v>551779.75193587202</v>
      </c>
      <c r="J13" s="283">
        <f t="shared" si="1"/>
        <v>562815.3469745894</v>
      </c>
      <c r="K13" s="283">
        <f t="shared" si="1"/>
        <v>574071.65391408128</v>
      </c>
      <c r="L13" s="283">
        <f t="shared" si="1"/>
        <v>585553.08699236298</v>
      </c>
      <c r="M13" s="283">
        <f t="shared" si="1"/>
        <v>597264.14873221028</v>
      </c>
      <c r="N13" s="283">
        <f t="shared" si="1"/>
        <v>609209.43170685414</v>
      </c>
      <c r="O13" s="283">
        <f t="shared" si="1"/>
        <v>621393.6203409913</v>
      </c>
      <c r="P13" s="283">
        <f t="shared" si="1"/>
        <v>633821.49274781125</v>
      </c>
      <c r="Q13" s="283">
        <f t="shared" si="1"/>
        <v>646497.92260276747</v>
      </c>
      <c r="R13" s="283">
        <f t="shared" si="1"/>
        <v>659427.8810548227</v>
      </c>
      <c r="S13" s="283">
        <f t="shared" si="1"/>
        <v>672616.43867591931</v>
      </c>
      <c r="T13" s="283">
        <f t="shared" si="1"/>
        <v>686068.76744943764</v>
      </c>
      <c r="U13" s="283">
        <f t="shared" si="1"/>
        <v>699790.14279842644</v>
      </c>
      <c r="V13" s="283">
        <f t="shared" si="1"/>
        <v>713785.94565439469</v>
      </c>
      <c r="W13" s="283">
        <f t="shared" si="1"/>
        <v>728061.66456748277</v>
      </c>
      <c r="X13" s="283">
        <f t="shared" si="1"/>
        <v>742622.8978588325</v>
      </c>
      <c r="Y13" s="283">
        <f t="shared" si="1"/>
        <v>757475.35581600899</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3300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3366</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3433.32</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3501.9863999999998</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3572.026128</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3643.4666505599998</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3716.3359835712004</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3790.6627032426236</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3866.4759573074762</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3943.8054764536259</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4022.6815859826984</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4103.1352177023527</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4185.197922056399</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4268.9018804975267</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4354.2799181074779</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4441.3655164696283</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4530.1928267990188</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4620.7966833350001</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4713.2126170017</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4807.4768693417345</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4903.6264067285683</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row>
    <row r="19" spans="3:25" ht="13.5" customHeight="1">
      <c r="C19" s="3" t="s">
        <v>336</v>
      </c>
      <c r="E19" s="285">
        <f t="shared" ref="E19:Y19" si="2">SUM(E14:E18)</f>
        <v>3300</v>
      </c>
      <c r="F19" s="285">
        <f t="shared" si="2"/>
        <v>3366</v>
      </c>
      <c r="G19" s="285">
        <f t="shared" si="2"/>
        <v>3433.32</v>
      </c>
      <c r="H19" s="285">
        <f t="shared" si="2"/>
        <v>3501.9863999999998</v>
      </c>
      <c r="I19" s="285">
        <f t="shared" si="2"/>
        <v>3572.026128</v>
      </c>
      <c r="J19" s="285">
        <f t="shared" si="2"/>
        <v>3643.4666505599998</v>
      </c>
      <c r="K19" s="285">
        <f t="shared" si="2"/>
        <v>3716.3359835712004</v>
      </c>
      <c r="L19" s="285">
        <f t="shared" si="2"/>
        <v>3790.6627032426236</v>
      </c>
      <c r="M19" s="285">
        <f t="shared" si="2"/>
        <v>3866.4759573074762</v>
      </c>
      <c r="N19" s="285">
        <f t="shared" si="2"/>
        <v>3943.8054764536259</v>
      </c>
      <c r="O19" s="285">
        <f t="shared" si="2"/>
        <v>4022.6815859826984</v>
      </c>
      <c r="P19" s="285">
        <f t="shared" si="2"/>
        <v>4103.1352177023527</v>
      </c>
      <c r="Q19" s="285">
        <f t="shared" si="2"/>
        <v>4185.197922056399</v>
      </c>
      <c r="R19" s="285">
        <f t="shared" si="2"/>
        <v>4268.9018804975267</v>
      </c>
      <c r="S19" s="285">
        <f t="shared" si="2"/>
        <v>4354.2799181074779</v>
      </c>
      <c r="T19" s="285">
        <f t="shared" si="2"/>
        <v>4441.3655164696283</v>
      </c>
      <c r="U19" s="285">
        <f t="shared" si="2"/>
        <v>4530.1928267990188</v>
      </c>
      <c r="V19" s="285">
        <f t="shared" si="2"/>
        <v>4620.7966833350001</v>
      </c>
      <c r="W19" s="285">
        <f t="shared" si="2"/>
        <v>4713.2126170017</v>
      </c>
      <c r="X19" s="285">
        <f t="shared" si="2"/>
        <v>4807.4768693417345</v>
      </c>
      <c r="Y19" s="285">
        <f t="shared" si="2"/>
        <v>4903.6264067285683</v>
      </c>
    </row>
    <row r="20" spans="3:25" ht="13.5" customHeight="1">
      <c r="C20" s="10" t="s">
        <v>337</v>
      </c>
      <c r="E20" s="283">
        <f t="shared" ref="E20:Y20" si="3">E13+E19</f>
        <v>433179.60000000003</v>
      </c>
      <c r="F20" s="283">
        <f t="shared" si="3"/>
        <v>441843.19200000004</v>
      </c>
      <c r="G20" s="283">
        <f t="shared" si="3"/>
        <v>450680.05583999999</v>
      </c>
      <c r="H20" s="283">
        <f t="shared" si="3"/>
        <v>544462.52751359995</v>
      </c>
      <c r="I20" s="283">
        <f t="shared" si="3"/>
        <v>555351.77806387201</v>
      </c>
      <c r="J20" s="283">
        <f t="shared" si="3"/>
        <v>566458.81362514943</v>
      </c>
      <c r="K20" s="283">
        <f t="shared" si="3"/>
        <v>577787.98989765253</v>
      </c>
      <c r="L20" s="283">
        <f t="shared" si="3"/>
        <v>589343.7496956056</v>
      </c>
      <c r="M20" s="283">
        <f t="shared" si="3"/>
        <v>601130.62468951778</v>
      </c>
      <c r="N20" s="283">
        <f t="shared" si="3"/>
        <v>613153.23718330776</v>
      </c>
      <c r="O20" s="283">
        <f t="shared" si="3"/>
        <v>625416.30192697397</v>
      </c>
      <c r="P20" s="283">
        <f t="shared" si="3"/>
        <v>637924.62796551362</v>
      </c>
      <c r="Q20" s="283">
        <f t="shared" si="3"/>
        <v>650683.1205248239</v>
      </c>
      <c r="R20" s="283">
        <f t="shared" si="3"/>
        <v>663696.78293532028</v>
      </c>
      <c r="S20" s="283">
        <f t="shared" si="3"/>
        <v>676970.71859402675</v>
      </c>
      <c r="T20" s="283">
        <f t="shared" si="3"/>
        <v>690510.13296590722</v>
      </c>
      <c r="U20" s="283">
        <f t="shared" si="3"/>
        <v>704320.33562522545</v>
      </c>
      <c r="V20" s="283">
        <f t="shared" si="3"/>
        <v>718406.74233772967</v>
      </c>
      <c r="W20" s="283">
        <f t="shared" si="3"/>
        <v>732774.8771844845</v>
      </c>
      <c r="X20" s="283">
        <f t="shared" si="3"/>
        <v>747430.37472817418</v>
      </c>
      <c r="Y20" s="283">
        <f t="shared" si="3"/>
        <v>762378.98222273751</v>
      </c>
    </row>
    <row r="21" spans="3:25" ht="13.5" customHeight="1">
      <c r="C21" s="11" t="s">
        <v>338</v>
      </c>
      <c r="E21" s="284">
        <f t="shared" ref="E21:Y21" si="4">-E20*$E$7</f>
        <v>-8663.5920000000006</v>
      </c>
      <c r="F21" s="284">
        <f t="shared" si="4"/>
        <v>-8836.8638400000018</v>
      </c>
      <c r="G21" s="284">
        <f t="shared" si="4"/>
        <v>-9013.6011168000005</v>
      </c>
      <c r="H21" s="284">
        <f t="shared" si="4"/>
        <v>-10889.250550272</v>
      </c>
      <c r="I21" s="284">
        <f t="shared" si="4"/>
        <v>-11107.03556127744</v>
      </c>
      <c r="J21" s="284">
        <f t="shared" si="4"/>
        <v>-11329.176272502989</v>
      </c>
      <c r="K21" s="284">
        <f t="shared" si="4"/>
        <v>-11555.759797953051</v>
      </c>
      <c r="L21" s="284">
        <f t="shared" si="4"/>
        <v>-11786.874993912112</v>
      </c>
      <c r="M21" s="284">
        <f t="shared" si="4"/>
        <v>-12022.612493790355</v>
      </c>
      <c r="N21" s="284">
        <f t="shared" si="4"/>
        <v>-12263.064743666155</v>
      </c>
      <c r="O21" s="284">
        <f t="shared" si="4"/>
        <v>-12508.326038539481</v>
      </c>
      <c r="P21" s="284">
        <f t="shared" si="4"/>
        <v>-12758.492559310273</v>
      </c>
      <c r="Q21" s="284">
        <f t="shared" si="4"/>
        <v>-13013.662410496478</v>
      </c>
      <c r="R21" s="284">
        <f t="shared" si="4"/>
        <v>-13273.935658706407</v>
      </c>
      <c r="S21" s="284">
        <f t="shared" si="4"/>
        <v>-13539.414371880535</v>
      </c>
      <c r="T21" s="284">
        <f t="shared" si="4"/>
        <v>-13810.202659318145</v>
      </c>
      <c r="U21" s="284">
        <f t="shared" si="4"/>
        <v>-14086.406712504509</v>
      </c>
      <c r="V21" s="284">
        <f t="shared" si="4"/>
        <v>-14368.134846754594</v>
      </c>
      <c r="W21" s="284">
        <f t="shared" si="4"/>
        <v>-14655.497543689691</v>
      </c>
      <c r="X21" s="284">
        <f t="shared" si="4"/>
        <v>-14948.607494563485</v>
      </c>
      <c r="Y21" s="284">
        <f t="shared" si="4"/>
        <v>-15247.57964445475</v>
      </c>
    </row>
    <row r="22" spans="3:25" ht="13.5" customHeight="1">
      <c r="C22" s="3" t="s">
        <v>339</v>
      </c>
      <c r="E22" s="285">
        <f t="shared" ref="E22:Y22" si="5">E20+E21</f>
        <v>424516.00800000003</v>
      </c>
      <c r="F22" s="285">
        <f t="shared" si="5"/>
        <v>433006.32816000003</v>
      </c>
      <c r="G22" s="285">
        <f t="shared" si="5"/>
        <v>441666.4547232</v>
      </c>
      <c r="H22" s="285">
        <f t="shared" si="5"/>
        <v>533573.27696332801</v>
      </c>
      <c r="I22" s="285">
        <f t="shared" si="5"/>
        <v>544244.7425025946</v>
      </c>
      <c r="J22" s="285">
        <f t="shared" si="5"/>
        <v>555129.63735264644</v>
      </c>
      <c r="K22" s="285">
        <f t="shared" si="5"/>
        <v>566232.23009969946</v>
      </c>
      <c r="L22" s="285">
        <f t="shared" si="5"/>
        <v>577556.87470169354</v>
      </c>
      <c r="M22" s="285">
        <f t="shared" si="5"/>
        <v>589108.01219572744</v>
      </c>
      <c r="N22" s="285">
        <f t="shared" si="5"/>
        <v>600890.17243964155</v>
      </c>
      <c r="O22" s="285">
        <f t="shared" si="5"/>
        <v>612907.97588843445</v>
      </c>
      <c r="P22" s="285">
        <f t="shared" si="5"/>
        <v>625166.13540620334</v>
      </c>
      <c r="Q22" s="285">
        <f t="shared" si="5"/>
        <v>637669.4581143274</v>
      </c>
      <c r="R22" s="285">
        <f t="shared" si="5"/>
        <v>650422.84727661393</v>
      </c>
      <c r="S22" s="285">
        <f t="shared" si="5"/>
        <v>663431.30422214617</v>
      </c>
      <c r="T22" s="285">
        <f t="shared" si="5"/>
        <v>676699.93030658911</v>
      </c>
      <c r="U22" s="285">
        <f t="shared" si="5"/>
        <v>690233.92891272099</v>
      </c>
      <c r="V22" s="285">
        <f t="shared" si="5"/>
        <v>704038.60749097506</v>
      </c>
      <c r="W22" s="285">
        <f t="shared" si="5"/>
        <v>718119.37964079482</v>
      </c>
      <c r="X22" s="285">
        <f t="shared" si="5"/>
        <v>732481.76723361074</v>
      </c>
      <c r="Y22" s="285">
        <f t="shared" si="5"/>
        <v>747131.40257828275</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424516.00800000003</v>
      </c>
      <c r="F24" s="286">
        <f t="shared" si="7"/>
        <v>433006.32816000003</v>
      </c>
      <c r="G24" s="286">
        <f t="shared" si="7"/>
        <v>441666.4547232</v>
      </c>
      <c r="H24" s="286">
        <f t="shared" si="7"/>
        <v>533573.27696332801</v>
      </c>
      <c r="I24" s="286">
        <f t="shared" si="7"/>
        <v>544244.7425025946</v>
      </c>
      <c r="J24" s="286">
        <f t="shared" si="7"/>
        <v>555129.63735264644</v>
      </c>
      <c r="K24" s="286">
        <f t="shared" si="7"/>
        <v>566232.23009969946</v>
      </c>
      <c r="L24" s="286">
        <f t="shared" si="7"/>
        <v>577556.87470169354</v>
      </c>
      <c r="M24" s="286">
        <f t="shared" si="7"/>
        <v>589108.01219572744</v>
      </c>
      <c r="N24" s="286">
        <f t="shared" si="7"/>
        <v>600890.17243964155</v>
      </c>
      <c r="O24" s="286">
        <f t="shared" si="7"/>
        <v>612907.97588843445</v>
      </c>
      <c r="P24" s="286">
        <f t="shared" si="7"/>
        <v>625166.13540620334</v>
      </c>
      <c r="Q24" s="286">
        <f t="shared" si="7"/>
        <v>637669.4581143274</v>
      </c>
      <c r="R24" s="286">
        <f t="shared" si="7"/>
        <v>650422.84727661393</v>
      </c>
      <c r="S24" s="286">
        <f t="shared" si="7"/>
        <v>663431.30422214617</v>
      </c>
      <c r="T24" s="286">
        <f t="shared" si="7"/>
        <v>676699.93030658911</v>
      </c>
      <c r="U24" s="286">
        <f t="shared" si="7"/>
        <v>690233.92891272099</v>
      </c>
      <c r="V24" s="286">
        <f t="shared" si="7"/>
        <v>704038.60749097506</v>
      </c>
      <c r="W24" s="286">
        <f t="shared" si="7"/>
        <v>718119.37964079482</v>
      </c>
      <c r="X24" s="286">
        <f t="shared" si="7"/>
        <v>732481.76723361074</v>
      </c>
      <c r="Y24" s="286">
        <f t="shared" si="7"/>
        <v>747131.40257828275</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25340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26353.600000000002</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27407.744000000002</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28504.053760000003</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29644.215910400006</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30829.984546816009</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32063.18392868865</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33345.711285836194</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34679.539737269646</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36066.721326760431</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36968.389359929439</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37892.599093927674</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38839.914071275874</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39810.911923057763</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40806.184721134203</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41826.339339162558</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42871.997822641621</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43943.79776820766</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45042.392712412839</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46168.452530223163</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47322.663843478738</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1250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1300</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1352.0000000000002</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1406.0800000000002</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1462.3232000000003</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1520.8161280000004</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1581.6487731200004</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1644.9147240448003</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1710.7113130065927</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1779.1397655268565</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1823.6182596650276</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1869.2087161566535</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1915.9389340605699</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1963.8374074120838</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2012.9333425973855</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2063.2566761623202</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2114.8380930663784</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2167.7090453930377</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2221.9017715278628</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2277.4493158160599</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2334.3855487114611</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38000</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39520</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41100.800000000003</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42744.832000000002</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44454.625280000007</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46232.81029120001</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48082.122702848013</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50005.407610961927</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52005.623915400414</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54085.848872016439</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55437.99509381684</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56823.944971162266</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58244.543595441319</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59700.657185327349</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61193.17361496052</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62723.002955334538</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64291.078029217897</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65898.354979948344</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67545.813854447042</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69234.459200808211</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70965.320680828416</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14600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15184</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15791.360000000002</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16423.0144</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17079.934976000004</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17763.132375040004</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18473.657670041604</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19212.603976843267</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19981.108135917002</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20780.352461353683</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21299.861272887523</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21832.357804709711</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22378.166749827455</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22937.620918573139</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23511.061441537462</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24098.837977575902</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24701.308927015296</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25318.84165019068</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25951.812691445441</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26600.608008731579</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27265.623208949866</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33000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34320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35692.800000000003</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37120.512000000002</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38605.332480000005</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40149.545779200009</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41755.527610368015</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43425.748714782727</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45162.778663374047</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46969.289809909009</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48143.522055156733</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49347.110106535649</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50580.787859199045</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51845.307555679014</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53141.440244570978</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54469.976250685257</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55831.725656952382</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57227.518798376193</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58658.206768335585</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60124.661937543977</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61627.778485982577</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10000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10400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10816.000000000002</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11248.640000000001</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11698.585600000002</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12166.529024000003</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12653.190184960004</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13159.317792358403</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13685.690504052742</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14233.118124214852</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14588.946077320221</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14953.669729253228</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15327.511472484559</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15710.699259296671</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16103.466740779084</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16506.053409298562</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16918.704744531027</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17341.672363144302</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17775.214172222903</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18219.594526528479</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18675.084389691689</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800</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832</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865.28000000000009</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899.89120000000003</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935.88684800000021</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973.32232192000026</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1012.2552147968003</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1052.7454233886722</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1094.8552403242193</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1138.6494499371881</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1167.1156861856177</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1196.2935783402581</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1226.2009177987647</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1256.8559407437335</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1288.2773392623267</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1320.484272743885</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1353.4963795624822</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1387.333789051544</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1422.0171337778322</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1457.5675621222781</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1494.0067511753352</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4000</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4160</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4326.4000000000005</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4499.4560000000001</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4679.4342400000005</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4866.6116096000014</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5061.2760739840014</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5263.7271169433607</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5474.2762016210963</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5693.2472496859409</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5835.5784309280889</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5981.4678917012907</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6131.0045889938237</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6284.2797037186683</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6441.3866963116334</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6602.4213637194252</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6767.4818978124104</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6936.6689452577202</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7110.0856688891618</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7287.8378106113914</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7470.033755876676</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32987</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34306.480000000003</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35678.739200000004</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37105.888768000004</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38590.124318720009</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40133.729291468815</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41739.078463127567</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43408.641601652664</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45144.987265718773</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46950.78675634753</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48124.556425256218</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49327.670335887618</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50560.862094284814</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51824.883646641923</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53120.505737807965</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54448.518381253169</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55809.731340784492</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57204.974624304101</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58635.09898991169</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60100.976464659492</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61603.500876275975</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55729</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57958.16</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60276.486400000009</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62687.545856000004</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65195.047690240011</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67802.849597849621</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70514.963581763601</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73335.562125034136</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76268.984610035521</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79319.743994436954</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81302.737594297869</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83335.306034155306</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85418.688685009198</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87554.155902134415</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89743.009799687759</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91986.58504467996</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94286.249670796955</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96643.405912566872</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99059.491060381028</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101535.97833689055</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104074.37779531282</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1273</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1323.92</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1376.8768000000002</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1431.9518720000001</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1489.2299468800002</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1548.7991447552004</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1610.7511105454084</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1675.1811549672248</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1742.188401165914</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1811.8759372125508</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1857.1728356428641</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1903.6021565339358</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1951.1922104472842</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1999.9720157084662</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2049.9713161011773</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2101.2205990037069</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2153.7511139787994</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2207.5948918282693</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2262.7847641239755</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2319.3543832270752</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2377.3382428077521</v>
      </c>
    </row>
    <row r="39" spans="3:25" ht="13.15" customHeight="1">
      <c r="C39" s="14" t="s">
        <v>355</v>
      </c>
      <c r="E39" s="286">
        <f t="shared" ref="E39:Y39" si="8">SUM(E27:E38)</f>
        <v>216979</v>
      </c>
      <c r="F39" s="286">
        <f t="shared" si="8"/>
        <v>225658.16000000003</v>
      </c>
      <c r="G39" s="286">
        <f t="shared" si="8"/>
        <v>234684.48640000002</v>
      </c>
      <c r="H39" s="286">
        <f t="shared" si="8"/>
        <v>244071.86585600005</v>
      </c>
      <c r="I39" s="286">
        <f t="shared" si="8"/>
        <v>253834.74049024002</v>
      </c>
      <c r="J39" s="286">
        <f t="shared" si="8"/>
        <v>263988.13010984956</v>
      </c>
      <c r="K39" s="286">
        <f t="shared" si="8"/>
        <v>274547.65531424369</v>
      </c>
      <c r="L39" s="286">
        <f t="shared" si="8"/>
        <v>285529.56152681337</v>
      </c>
      <c r="M39" s="286">
        <f t="shared" si="8"/>
        <v>296950.743987886</v>
      </c>
      <c r="N39" s="286">
        <f t="shared" si="8"/>
        <v>308828.77374740137</v>
      </c>
      <c r="O39" s="286">
        <f t="shared" si="8"/>
        <v>316549.49309108645</v>
      </c>
      <c r="P39" s="286">
        <f t="shared" si="8"/>
        <v>324463.23041836353</v>
      </c>
      <c r="Q39" s="286">
        <f t="shared" si="8"/>
        <v>332574.81117882271</v>
      </c>
      <c r="R39" s="286">
        <f t="shared" si="8"/>
        <v>340889.18145829323</v>
      </c>
      <c r="S39" s="286">
        <f t="shared" si="8"/>
        <v>349411.41099475056</v>
      </c>
      <c r="T39" s="286">
        <f t="shared" si="8"/>
        <v>358146.69626961928</v>
      </c>
      <c r="U39" s="286">
        <f t="shared" si="8"/>
        <v>367100.36367635976</v>
      </c>
      <c r="V39" s="286">
        <f t="shared" si="8"/>
        <v>376277.87276826875</v>
      </c>
      <c r="W39" s="286">
        <f t="shared" si="8"/>
        <v>385684.81958747539</v>
      </c>
      <c r="X39" s="286">
        <f t="shared" si="8"/>
        <v>395326.94007716223</v>
      </c>
      <c r="Y39" s="286">
        <f t="shared" si="8"/>
        <v>405210.11357909138</v>
      </c>
    </row>
    <row r="40" spans="3:25" ht="7.15" customHeight="1"/>
    <row r="41" spans="3:25" ht="13.5" customHeight="1">
      <c r="C41" s="15" t="s">
        <v>356</v>
      </c>
      <c r="D41" s="8"/>
      <c r="E41" s="287">
        <f t="shared" ref="E41:Y41" si="9">E24-E39</f>
        <v>207537.00800000003</v>
      </c>
      <c r="F41" s="287">
        <f t="shared" si="9"/>
        <v>207348.16816</v>
      </c>
      <c r="G41" s="287">
        <f t="shared" si="9"/>
        <v>206981.96832319998</v>
      </c>
      <c r="H41" s="287">
        <f t="shared" si="9"/>
        <v>289501.41110732796</v>
      </c>
      <c r="I41" s="287">
        <f t="shared" si="9"/>
        <v>290410.00201235455</v>
      </c>
      <c r="J41" s="287">
        <f t="shared" si="9"/>
        <v>291141.50724279688</v>
      </c>
      <c r="K41" s="287">
        <f t="shared" si="9"/>
        <v>291684.57478545577</v>
      </c>
      <c r="L41" s="287">
        <f t="shared" si="9"/>
        <v>292027.31317488017</v>
      </c>
      <c r="M41" s="287">
        <f t="shared" si="9"/>
        <v>292157.26820784144</v>
      </c>
      <c r="N41" s="287">
        <f t="shared" si="9"/>
        <v>292061.39869224018</v>
      </c>
      <c r="O41" s="287">
        <f t="shared" si="9"/>
        <v>296358.482797348</v>
      </c>
      <c r="P41" s="287">
        <f t="shared" si="9"/>
        <v>300702.90498783981</v>
      </c>
      <c r="Q41" s="287">
        <f t="shared" si="9"/>
        <v>305094.64693550469</v>
      </c>
      <c r="R41" s="287">
        <f t="shared" si="9"/>
        <v>309533.6658183207</v>
      </c>
      <c r="S41" s="287">
        <f t="shared" si="9"/>
        <v>314019.8932273956</v>
      </c>
      <c r="T41" s="287">
        <f t="shared" si="9"/>
        <v>318553.23403696984</v>
      </c>
      <c r="U41" s="287">
        <f t="shared" si="9"/>
        <v>323133.56523636123</v>
      </c>
      <c r="V41" s="287">
        <f t="shared" si="9"/>
        <v>327760.73472270631</v>
      </c>
      <c r="W41" s="287">
        <f t="shared" si="9"/>
        <v>332434.56005331944</v>
      </c>
      <c r="X41" s="287">
        <f t="shared" si="9"/>
        <v>337154.8271564485</v>
      </c>
      <c r="Y41" s="287">
        <f t="shared" si="9"/>
        <v>341921.28899919137</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5400</v>
      </c>
      <c r="F44" s="283">
        <f t="shared" si="11"/>
        <v>5508</v>
      </c>
      <c r="G44" s="283">
        <f t="shared" si="11"/>
        <v>5618.16</v>
      </c>
      <c r="H44" s="283">
        <f t="shared" si="11"/>
        <v>5730.5231999999996</v>
      </c>
      <c r="I44" s="283">
        <f t="shared" si="11"/>
        <v>5845.133664</v>
      </c>
      <c r="J44" s="283">
        <f t="shared" si="11"/>
        <v>5962.0363372800002</v>
      </c>
      <c r="K44" s="283">
        <f t="shared" si="11"/>
        <v>6081.2770640256003</v>
      </c>
      <c r="L44" s="283">
        <f t="shared" si="11"/>
        <v>6202.9026053061107</v>
      </c>
      <c r="M44" s="283">
        <f t="shared" si="11"/>
        <v>6326.9606574122336</v>
      </c>
      <c r="N44" s="283">
        <f t="shared" si="11"/>
        <v>6453.4998705604785</v>
      </c>
      <c r="O44" s="283">
        <f t="shared" si="11"/>
        <v>6582.5698679716879</v>
      </c>
      <c r="P44" s="283">
        <f t="shared" si="11"/>
        <v>6714.2212653311208</v>
      </c>
      <c r="Q44" s="283">
        <f t="shared" si="11"/>
        <v>6848.505690637744</v>
      </c>
      <c r="R44" s="283">
        <f t="shared" si="11"/>
        <v>6985.4758044504988</v>
      </c>
      <c r="S44" s="283">
        <f t="shared" si="11"/>
        <v>7125.18532053951</v>
      </c>
      <c r="T44" s="283">
        <f t="shared" si="11"/>
        <v>7267.6890269502974</v>
      </c>
      <c r="U44" s="283">
        <f t="shared" si="11"/>
        <v>7413.0428074893052</v>
      </c>
      <c r="V44" s="283">
        <f t="shared" si="11"/>
        <v>7561.3036636390916</v>
      </c>
      <c r="W44" s="283">
        <f t="shared" si="11"/>
        <v>7712.5297369118725</v>
      </c>
      <c r="X44" s="283">
        <f t="shared" si="11"/>
        <v>7866.7803316501095</v>
      </c>
      <c r="Y44" s="283">
        <f t="shared" si="11"/>
        <v>8024.1159382831129</v>
      </c>
    </row>
    <row r="45" spans="3:25" ht="13.5" customHeight="1">
      <c r="C45" s="15" t="s">
        <v>359</v>
      </c>
      <c r="D45" s="8"/>
      <c r="E45" s="287">
        <f t="shared" ref="E45:Y45" si="12">E41-E44</f>
        <v>202137.00800000003</v>
      </c>
      <c r="F45" s="287">
        <f t="shared" si="12"/>
        <v>201840.16816</v>
      </c>
      <c r="G45" s="287">
        <f t="shared" si="12"/>
        <v>201363.80832319998</v>
      </c>
      <c r="H45" s="287">
        <f t="shared" si="12"/>
        <v>283770.88790732797</v>
      </c>
      <c r="I45" s="287">
        <f t="shared" si="12"/>
        <v>284564.86834835453</v>
      </c>
      <c r="J45" s="287">
        <f t="shared" si="12"/>
        <v>285179.47090551688</v>
      </c>
      <c r="K45" s="287">
        <f t="shared" si="12"/>
        <v>285603.29772143019</v>
      </c>
      <c r="L45" s="287">
        <f t="shared" si="12"/>
        <v>285824.41056957404</v>
      </c>
      <c r="M45" s="287">
        <f t="shared" si="12"/>
        <v>285830.30755042919</v>
      </c>
      <c r="N45" s="287">
        <f t="shared" si="12"/>
        <v>285607.8988216797</v>
      </c>
      <c r="O45" s="287">
        <f t="shared" si="12"/>
        <v>289775.9129293763</v>
      </c>
      <c r="P45" s="287">
        <f t="shared" si="12"/>
        <v>293988.68372250866</v>
      </c>
      <c r="Q45" s="287">
        <f t="shared" si="12"/>
        <v>298246.14124486694</v>
      </c>
      <c r="R45" s="287">
        <f t="shared" si="12"/>
        <v>302548.19001387019</v>
      </c>
      <c r="S45" s="287">
        <f t="shared" si="12"/>
        <v>306894.70790685609</v>
      </c>
      <c r="T45" s="287">
        <f t="shared" si="12"/>
        <v>311285.54501001956</v>
      </c>
      <c r="U45" s="287">
        <f t="shared" si="12"/>
        <v>315720.52242887195</v>
      </c>
      <c r="V45" s="287">
        <f t="shared" si="12"/>
        <v>320199.4310590672</v>
      </c>
      <c r="W45" s="287">
        <f t="shared" si="12"/>
        <v>324722.03031640756</v>
      </c>
      <c r="X45" s="287">
        <f t="shared" si="12"/>
        <v>329288.0468247984</v>
      </c>
      <c r="Y45" s="287">
        <f t="shared" si="12"/>
        <v>333897.17306090827</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(E$12&gt;=$F$2)*IFERROR(INDEX('02_Debt Engine'!$F$46:$Z$62,MATCH($C$1,'02_Debt Engine'!$B$19:$B$35,0),MATCH(E$12,'02_Debt Engine'!$F$45:$Z$45,0)),0)</f>
        <v>244376.04</v>
      </c>
      <c r="F48" s="286">
        <f>(F$12&gt;=$F$2)*IFERROR(INDEX('02_Debt Engine'!$F$46:$Z$62,MATCH($C$1,'02_Debt Engine'!$B$19:$B$35,0),MATCH(F$12,'02_Debt Engine'!$F$45:$Z$45,0)),0)</f>
        <v>244376.04</v>
      </c>
      <c r="G48" s="286">
        <f>(G$12&gt;=$F$2)*IFERROR(INDEX('02_Debt Engine'!$F$46:$Z$62,MATCH($C$1,'02_Debt Engine'!$B$19:$B$35,0),MATCH(G$12,'02_Debt Engine'!$F$45:$Z$45,0)),0)</f>
        <v>197958.03627290428</v>
      </c>
      <c r="H48" s="286">
        <f>(H$12&gt;=$F$2)*IFERROR(INDEX('02_Debt Engine'!$F$46:$Z$62,MATCH($C$1,'02_Debt Engine'!$B$19:$B$35,0),MATCH(H$12,'02_Debt Engine'!$F$45:$Z$45,0)),0)</f>
        <v>0</v>
      </c>
      <c r="I48" s="286">
        <f>(I$12&gt;=$F$2)*IFERROR(INDEX('02_Debt Engine'!$F$46:$Z$62,MATCH($C$1,'02_Debt Engine'!$B$19:$B$35,0),MATCH(I$12,'02_Debt Engine'!$F$45:$Z$45,0)),0)</f>
        <v>0</v>
      </c>
      <c r="J48" s="286">
        <f>(J$12&gt;=$F$2)*IFERROR(INDEX('02_Debt Engine'!$F$46:$Z$62,MATCH($C$1,'02_Debt Engine'!$B$19:$B$35,0),MATCH(J$12,'02_Debt Engine'!$F$45:$Z$45,0)),0)</f>
        <v>0</v>
      </c>
      <c r="K48" s="286">
        <f>(K$12&gt;=$F$2)*IFERROR(INDEX('02_Debt Engine'!$F$46:$Z$62,MATCH($C$1,'02_Debt Engine'!$B$19:$B$35,0),MATCH(K$12,'02_Debt Engine'!$F$45:$Z$45,0)),0)</f>
        <v>0</v>
      </c>
      <c r="L48" s="286">
        <f>(L$12&gt;=$F$2)*IFERROR(INDEX('02_Debt Engine'!$F$46:$Z$62,MATCH($C$1,'02_Debt Engine'!$B$19:$B$35,0),MATCH(L$12,'02_Debt Engine'!$F$45:$Z$45,0)),0)</f>
        <v>0</v>
      </c>
      <c r="M48" s="286">
        <f>(M$12&gt;=$F$2)*IFERROR(INDEX('02_Debt Engine'!$F$46:$Z$62,MATCH($C$1,'02_Debt Engine'!$B$19:$B$35,0),MATCH(M$12,'02_Debt Engine'!$F$45:$Z$45,0)),0)</f>
        <v>0</v>
      </c>
      <c r="N48" s="286">
        <f>(N$12&gt;=$F$2)*IFERROR(INDEX('02_Debt Engine'!$F$46:$Z$62,MATCH($C$1,'02_Debt Engine'!$B$19:$B$35,0),MATCH(N$12,'02_Debt Engine'!$F$45:$Z$45,0)),0)</f>
        <v>0</v>
      </c>
      <c r="O48" s="286">
        <f>(O$12&gt;=$F$2)*IFERROR(INDEX('02_Debt Engine'!$F$46:$Z$62,MATCH($C$1,'02_Debt Engine'!$B$19:$B$35,0),MATCH(O$12,'02_Debt Engine'!$F$45:$Z$45,0)),0)</f>
        <v>0</v>
      </c>
      <c r="P48" s="286">
        <f>(P$12&gt;=$F$2)*IFERROR(INDEX('02_Debt Engine'!$F$46:$Z$62,MATCH($C$1,'02_Debt Engine'!$B$19:$B$35,0),MATCH(P$12,'02_Debt Engine'!$F$45:$Z$45,0)),0)</f>
        <v>0</v>
      </c>
      <c r="Q48" s="286">
        <f>(Q$12&gt;=$F$2)*IFERROR(INDEX('02_Debt Engine'!$F$46:$Z$62,MATCH($C$1,'02_Debt Engine'!$B$19:$B$35,0),MATCH(Q$12,'02_Debt Engine'!$F$45:$Z$45,0)),0)</f>
        <v>0</v>
      </c>
      <c r="R48" s="286">
        <f>(R$12&gt;=$F$2)*IFERROR(INDEX('02_Debt Engine'!$F$46:$Z$62,MATCH($C$1,'02_Debt Engine'!$B$19:$B$35,0),MATCH(R$12,'02_Debt Engine'!$F$45:$Z$45,0)),0)</f>
        <v>0</v>
      </c>
      <c r="S48" s="286">
        <f>(S$12&gt;=$F$2)*IFERROR(INDEX('02_Debt Engine'!$F$46:$Z$62,MATCH($C$1,'02_Debt Engine'!$B$19:$B$35,0),MATCH(S$12,'02_Debt Engine'!$F$45:$Z$45,0)),0)</f>
        <v>0</v>
      </c>
      <c r="T48" s="286">
        <f>(T$12&gt;=$F$2)*IFERROR(INDEX('02_Debt Engine'!$F$46:$Z$62,MATCH($C$1,'02_Debt Engine'!$B$19:$B$35,0),MATCH(T$12,'02_Debt Engine'!$F$45:$Z$45,0)),0)</f>
        <v>0</v>
      </c>
      <c r="U48" s="286">
        <f>(U$12&gt;=$F$2)*IFERROR(INDEX('02_Debt Engine'!$F$46:$Z$62,MATCH($C$1,'02_Debt Engine'!$B$19:$B$35,0),MATCH(U$12,'02_Debt Engine'!$F$45:$Z$45,0)),0)</f>
        <v>0</v>
      </c>
      <c r="V48" s="286">
        <f>(V$12&gt;=$F$2)*IFERROR(INDEX('02_Debt Engine'!$F$46:$Z$62,MATCH($C$1,'02_Debt Engine'!$B$19:$B$35,0),MATCH(V$12,'02_Debt Engine'!$F$45:$Z$45,0)),0)</f>
        <v>0</v>
      </c>
      <c r="W48" s="286">
        <f>(W$12&gt;=$F$2)*IFERROR(INDEX('02_Debt Engine'!$F$46:$Z$62,MATCH($C$1,'02_Debt Engine'!$B$19:$B$35,0),MATCH(W$12,'02_Debt Engine'!$F$45:$Z$45,0)),0)</f>
        <v>0</v>
      </c>
      <c r="X48" s="286">
        <f>(X$12&gt;=$F$2)*IFERROR(INDEX('02_Debt Engine'!$F$46:$Z$62,MATCH($C$1,'02_Debt Engine'!$B$19:$B$35,0),MATCH(X$12,'02_Debt Engine'!$F$45:$Z$45,0)),0)</f>
        <v>0</v>
      </c>
      <c r="Y48" s="286">
        <f>(Y$12&gt;=$F$2)*IFERROR(INDEX('02_Debt Engine'!$F$46:$Z$62,MATCH($C$1,'02_Debt Engine'!$B$19:$B$35,0),MATCH(Y$12,'02_Debt Engine'!$F$45:$Z$45,0)),0)</f>
        <v>0</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0.84925268451031466</v>
      </c>
      <c r="F50" s="290">
        <f t="shared" si="14"/>
        <v>0.84847994165058083</v>
      </c>
      <c r="G50" s="290">
        <f t="shared" si="14"/>
        <v>1.0455850756058993</v>
      </c>
      <c r="H50" s="290" t="str">
        <f t="shared" si="14"/>
        <v/>
      </c>
      <c r="I50" s="290" t="str">
        <f t="shared" si="14"/>
        <v/>
      </c>
      <c r="J50" s="290" t="str">
        <f t="shared" si="14"/>
        <v/>
      </c>
      <c r="K50" s="290" t="str">
        <f t="shared" si="14"/>
        <v/>
      </c>
      <c r="L50" s="290" t="str">
        <f t="shared" si="14"/>
        <v/>
      </c>
      <c r="M50" s="290" t="str">
        <f t="shared" si="14"/>
        <v/>
      </c>
      <c r="N50" s="290" t="str">
        <f t="shared" si="14"/>
        <v/>
      </c>
      <c r="O50" s="290" t="str">
        <f t="shared" si="14"/>
        <v/>
      </c>
      <c r="P50" s="290" t="str">
        <f t="shared" si="14"/>
        <v/>
      </c>
      <c r="Q50" s="290" t="str">
        <f t="shared" si="14"/>
        <v/>
      </c>
      <c r="R50" s="290" t="str">
        <f t="shared" si="14"/>
        <v/>
      </c>
      <c r="S50" s="290" t="str">
        <f t="shared" si="14"/>
        <v/>
      </c>
      <c r="T50" s="290" t="str">
        <f t="shared" si="14"/>
        <v/>
      </c>
      <c r="U50" s="290" t="str">
        <f t="shared" si="14"/>
        <v/>
      </c>
      <c r="V50" s="290" t="str">
        <f t="shared" si="14"/>
        <v/>
      </c>
      <c r="W50" s="290" t="str">
        <f t="shared" si="14"/>
        <v/>
      </c>
      <c r="X50" s="290" t="str">
        <f t="shared" si="14"/>
        <v/>
      </c>
      <c r="Y50" s="290" t="str">
        <f t="shared" si="14"/>
        <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-36839.031999999977</v>
      </c>
      <c r="F52" s="291">
        <f t="shared" si="15"/>
        <v>-37027.871840000007</v>
      </c>
      <c r="G52" s="291">
        <f t="shared" si="15"/>
        <v>9023.932050295698</v>
      </c>
      <c r="H52" s="291">
        <f t="shared" si="15"/>
        <v>289501.41110732796</v>
      </c>
      <c r="I52" s="291">
        <f t="shared" si="15"/>
        <v>290410.00201235455</v>
      </c>
      <c r="J52" s="291">
        <f t="shared" si="15"/>
        <v>291141.50724279688</v>
      </c>
      <c r="K52" s="291">
        <f t="shared" si="15"/>
        <v>291684.57478545577</v>
      </c>
      <c r="L52" s="291">
        <f t="shared" si="15"/>
        <v>292027.31317488017</v>
      </c>
      <c r="M52" s="291">
        <f t="shared" si="15"/>
        <v>292157.26820784144</v>
      </c>
      <c r="N52" s="291">
        <f t="shared" si="15"/>
        <v>292061.39869224018</v>
      </c>
      <c r="O52" s="291">
        <f t="shared" si="15"/>
        <v>296358.482797348</v>
      </c>
      <c r="P52" s="291">
        <f t="shared" si="15"/>
        <v>300702.90498783981</v>
      </c>
      <c r="Q52" s="291">
        <f t="shared" si="15"/>
        <v>305094.64693550469</v>
      </c>
      <c r="R52" s="291">
        <f t="shared" si="15"/>
        <v>309533.6658183207</v>
      </c>
      <c r="S52" s="291">
        <f t="shared" si="15"/>
        <v>314019.8932273956</v>
      </c>
      <c r="T52" s="291">
        <f t="shared" si="15"/>
        <v>318553.23403696984</v>
      </c>
      <c r="U52" s="291">
        <f t="shared" si="15"/>
        <v>323133.56523636123</v>
      </c>
      <c r="V52" s="291">
        <f t="shared" si="15"/>
        <v>327760.73472270631</v>
      </c>
      <c r="W52" s="291">
        <f t="shared" si="15"/>
        <v>332434.56005331944</v>
      </c>
      <c r="X52" s="291">
        <f t="shared" si="15"/>
        <v>337154.8271564485</v>
      </c>
      <c r="Y52" s="291">
        <f t="shared" si="15"/>
        <v>341921.28899919137</v>
      </c>
    </row>
    <row r="53" spans="3:25" ht="7.15" customHeight="1">
      <c r="C53" s="14"/>
      <c r="D53" s="17"/>
    </row>
    <row r="54" spans="3:25" ht="13.5" customHeight="1">
      <c r="C54" s="15" t="s">
        <v>363</v>
      </c>
      <c r="D54" s="20"/>
      <c r="E54" s="292">
        <f t="shared" ref="E54:Y54" si="16">IF(E52&lt;0,0,E52*$G$7)</f>
        <v>0</v>
      </c>
      <c r="F54" s="292">
        <f t="shared" si="16"/>
        <v>0</v>
      </c>
      <c r="G54" s="292">
        <f t="shared" si="16"/>
        <v>5414.3592301774188</v>
      </c>
      <c r="H54" s="292">
        <f t="shared" si="16"/>
        <v>173700.84666439678</v>
      </c>
      <c r="I54" s="292">
        <f t="shared" si="16"/>
        <v>174246.00120741272</v>
      </c>
      <c r="J54" s="292">
        <f t="shared" si="16"/>
        <v>174684.90434567814</v>
      </c>
      <c r="K54" s="292">
        <f t="shared" si="16"/>
        <v>175010.74487127346</v>
      </c>
      <c r="L54" s="292">
        <f t="shared" si="16"/>
        <v>175216.38790492809</v>
      </c>
      <c r="M54" s="292">
        <f t="shared" si="16"/>
        <v>175294.36092470484</v>
      </c>
      <c r="N54" s="292">
        <f t="shared" si="16"/>
        <v>175236.83921534411</v>
      </c>
      <c r="O54" s="292">
        <f t="shared" si="16"/>
        <v>177815.08967840878</v>
      </c>
      <c r="P54" s="292">
        <f t="shared" si="16"/>
        <v>180421.74299270389</v>
      </c>
      <c r="Q54" s="292">
        <f t="shared" si="16"/>
        <v>183056.7881613028</v>
      </c>
      <c r="R54" s="292">
        <f t="shared" si="16"/>
        <v>185720.19949099241</v>
      </c>
      <c r="S54" s="292">
        <f t="shared" si="16"/>
        <v>188411.93593643737</v>
      </c>
      <c r="T54" s="292">
        <f t="shared" si="16"/>
        <v>191131.94042218188</v>
      </c>
      <c r="U54" s="292">
        <f t="shared" si="16"/>
        <v>193880.13914181673</v>
      </c>
      <c r="V54" s="292">
        <f t="shared" si="16"/>
        <v>196656.44083362378</v>
      </c>
      <c r="W54" s="292">
        <f t="shared" si="16"/>
        <v>199460.73603199166</v>
      </c>
      <c r="X54" s="292">
        <f t="shared" si="16"/>
        <v>202292.8962938691</v>
      </c>
      <c r="Y54" s="292">
        <f t="shared" si="16"/>
        <v>205152.77339951482</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-36839.031999999977</v>
      </c>
      <c r="F56" s="291">
        <f t="shared" si="17"/>
        <v>-37027.871840000007</v>
      </c>
      <c r="G56" s="291">
        <f t="shared" si="17"/>
        <v>3609.5728201182792</v>
      </c>
      <c r="H56" s="291">
        <f t="shared" si="17"/>
        <v>115800.56444293118</v>
      </c>
      <c r="I56" s="291">
        <f t="shared" si="17"/>
        <v>116164.00080494184</v>
      </c>
      <c r="J56" s="291">
        <f t="shared" si="17"/>
        <v>116456.60289711875</v>
      </c>
      <c r="K56" s="291">
        <f t="shared" si="17"/>
        <v>116673.82991418231</v>
      </c>
      <c r="L56" s="291">
        <f t="shared" si="17"/>
        <v>116810.92526995207</v>
      </c>
      <c r="M56" s="291">
        <f t="shared" si="17"/>
        <v>116862.90728313659</v>
      </c>
      <c r="N56" s="291">
        <f t="shared" si="17"/>
        <v>116824.55947689607</v>
      </c>
      <c r="O56" s="291">
        <f t="shared" si="17"/>
        <v>118543.39311893922</v>
      </c>
      <c r="P56" s="291">
        <f t="shared" si="17"/>
        <v>120281.16199513592</v>
      </c>
      <c r="Q56" s="291">
        <f t="shared" si="17"/>
        <v>122037.85877420189</v>
      </c>
      <c r="R56" s="291">
        <f t="shared" si="17"/>
        <v>123813.46632732829</v>
      </c>
      <c r="S56" s="291">
        <f t="shared" si="17"/>
        <v>125607.95729095823</v>
      </c>
      <c r="T56" s="291">
        <f t="shared" si="17"/>
        <v>127421.29361478795</v>
      </c>
      <c r="U56" s="291">
        <f t="shared" si="17"/>
        <v>129253.4260945445</v>
      </c>
      <c r="V56" s="291">
        <f t="shared" si="17"/>
        <v>131104.29388908253</v>
      </c>
      <c r="W56" s="291">
        <f t="shared" si="17"/>
        <v>132973.82402132777</v>
      </c>
      <c r="X56" s="291">
        <f t="shared" si="17"/>
        <v>134861.93086257941</v>
      </c>
      <c r="Y56" s="291">
        <f t="shared" si="17"/>
        <v>136768.51559967655</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
      </c>
      <c r="I60" s="288" t="str">
        <f t="shared" si="18"/>
        <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0</v>
      </c>
      <c r="I63" s="285">
        <f t="shared" si="19"/>
        <v>0</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419507.76840599993</v>
      </c>
      <c r="F64" s="296">
        <f>INDEX('02_Debt Engine'!$F$74:$Z$90,MATCH($C$1,'02_Debt Engine'!$B$74:$B$90,0),MATCH(F$12,'02_Debt Engine'!$F$73:$Z$73,0))</f>
        <v>190821.31894438431</v>
      </c>
      <c r="G64" s="296">
        <f>INDEX('02_Debt Engine'!$F$74:$Z$90,MATCH($C$1,'02_Debt Engine'!$B$74:$B$90,0),MATCH(G$12,'02_Debt Engine'!$F$73:$Z$73,0))</f>
        <v>0</v>
      </c>
      <c r="H64" s="296">
        <f>INDEX('02_Debt Engine'!$F$74:$Z$90,MATCH($C$1,'02_Debt Engine'!$B$74:$B$90,0),MATCH(H$12,'02_Debt Engine'!$F$73:$Z$73,0))</f>
        <v>0</v>
      </c>
      <c r="I64" s="296">
        <f>INDEX('02_Debt Engine'!$F$74:$Z$90,MATCH($C$1,'02_Debt Engine'!$B$74:$B$90,0),MATCH(I$12,'02_Debt Engine'!$F$73:$Z$73,0))</f>
        <v>0</v>
      </c>
      <c r="J64" s="296">
        <f>INDEX('02_Debt Engine'!$F$74:$Z$90,MATCH($C$1,'02_Debt Engine'!$B$74:$B$90,0),MATCH(J$12,'02_Debt Engine'!$F$73:$Z$73,0))</f>
        <v>0</v>
      </c>
      <c r="K64" s="296">
        <f>INDEX('02_Debt Engine'!$F$74:$Z$90,MATCH($C$1,'02_Debt Engine'!$B$74:$B$90,0),MATCH(K$12,'02_Debt Engine'!$F$73:$Z$73,0))</f>
        <v>0</v>
      </c>
      <c r="L64" s="296">
        <f>INDEX('02_Debt Engine'!$F$74:$Z$90,MATCH($C$1,'02_Debt Engine'!$B$74:$B$90,0),MATCH(L$12,'02_Debt Engine'!$F$73:$Z$73,0))</f>
        <v>0</v>
      </c>
      <c r="M64" s="296">
        <f>INDEX('02_Debt Engine'!$F$74:$Z$90,MATCH($C$1,'02_Debt Engine'!$B$74:$B$90,0),MATCH(M$12,'02_Debt Engine'!$F$73:$Z$73,0))</f>
        <v>0</v>
      </c>
      <c r="N64" s="296">
        <f>INDEX('02_Debt Engine'!$F$74:$Z$90,MATCH($C$1,'02_Debt Engine'!$B$74:$B$90,0),MATCH(N$12,'02_Debt Engine'!$F$73:$Z$73,0))</f>
        <v>0</v>
      </c>
      <c r="O64" s="296">
        <f>INDEX('02_Debt Engine'!$F$74:$Z$90,MATCH($C$1,'02_Debt Engine'!$B$74:$B$90,0),MATCH(O$12,'02_Debt Engine'!$F$73:$Z$73,0))</f>
        <v>0</v>
      </c>
      <c r="P64" s="296">
        <f>INDEX('02_Debt Engine'!$F$74:$Z$90,MATCH($C$1,'02_Debt Engine'!$B$74:$B$90,0),MATCH(P$12,'02_Debt Engine'!$F$73:$Z$73,0))</f>
        <v>0</v>
      </c>
      <c r="Q64" s="296">
        <f>INDEX('02_Debt Engine'!$F$74:$Z$90,MATCH($C$1,'02_Debt Engine'!$B$74:$B$90,0),MATCH(Q$12,'02_Debt Engine'!$F$73:$Z$73,0))</f>
        <v>0</v>
      </c>
      <c r="R64" s="296">
        <f>INDEX('02_Debt Engine'!$F$74:$Z$90,MATCH($C$1,'02_Debt Engine'!$B$74:$B$90,0),MATCH(R$12,'02_Debt Engine'!$F$73:$Z$73,0))</f>
        <v>0</v>
      </c>
      <c r="S64" s="296">
        <f>INDEX('02_Debt Engine'!$F$74:$Z$90,MATCH($C$1,'02_Debt Engine'!$B$74:$B$90,0),MATCH(S$12,'02_Debt Engine'!$F$73:$Z$73,0))</f>
        <v>0</v>
      </c>
      <c r="T64" s="296">
        <f>INDEX('02_Debt Engine'!$F$74:$Z$90,MATCH($C$1,'02_Debt Engine'!$B$74:$B$90,0),MATCH(T$12,'02_Debt Engine'!$F$73:$Z$73,0))</f>
        <v>0</v>
      </c>
      <c r="U64" s="296">
        <f>INDEX('02_Debt Engine'!$F$74:$Z$90,MATCH($C$1,'02_Debt Engine'!$B$74:$B$90,0),MATCH(U$12,'02_Debt Engine'!$F$73:$Z$73,0))</f>
        <v>0</v>
      </c>
      <c r="V64" s="296">
        <f>INDEX('02_Debt Engine'!$F$74:$Z$90,MATCH($C$1,'02_Debt Engine'!$B$74:$B$90,0),MATCH(V$12,'02_Debt Engine'!$F$73:$Z$73,0))</f>
        <v>0</v>
      </c>
      <c r="W64" s="296">
        <f>INDEX('02_Debt Engine'!$F$74:$Z$90,MATCH($C$1,'02_Debt Engine'!$B$74:$B$90,0),MATCH(W$12,'02_Debt Engine'!$F$73:$Z$73,0))</f>
        <v>0</v>
      </c>
      <c r="X64" s="296">
        <f>INDEX('02_Debt Engine'!$F$74:$Z$90,MATCH($C$1,'02_Debt Engine'!$B$74:$B$90,0),MATCH(X$12,'02_Debt Engine'!$F$73:$Z$73,0))</f>
        <v>0</v>
      </c>
      <c r="Y64" s="296">
        <f>INDEX('02_Debt Engine'!$F$74:$Z$90,MATCH($C$1,'02_Debt Engine'!$B$74:$B$90,0),MATCH(Y$12,'02_Debt Engine'!$F$73:$Z$73,0))</f>
        <v>0</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
      </c>
      <c r="I66" s="288" t="str">
        <f t="shared" si="20"/>
        <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-36839.031999999977</v>
      </c>
      <c r="F67" s="285">
        <f t="shared" si="21"/>
        <v>-37027.871840000007</v>
      </c>
      <c r="G67" s="285">
        <f t="shared" si="21"/>
        <v>3609.5728201182792</v>
      </c>
      <c r="H67" s="285">
        <f t="shared" si="21"/>
        <v>115800.56444293118</v>
      </c>
      <c r="I67" s="285">
        <f t="shared" si="21"/>
        <v>116164.00080494184</v>
      </c>
      <c r="J67" s="285">
        <f t="shared" si="21"/>
        <v>116456.60289711875</v>
      </c>
      <c r="K67" s="285">
        <f t="shared" si="21"/>
        <v>116673.82991418231</v>
      </c>
      <c r="L67" s="285">
        <f t="shared" si="21"/>
        <v>116810.92526995207</v>
      </c>
      <c r="M67" s="285">
        <f t="shared" si="21"/>
        <v>116862.90728313659</v>
      </c>
      <c r="N67" s="285">
        <f t="shared" si="21"/>
        <v>116824.55947689607</v>
      </c>
      <c r="O67" s="285">
        <f t="shared" si="21"/>
        <v>118543.39311893922</v>
      </c>
      <c r="P67" s="285">
        <f t="shared" si="21"/>
        <v>120281.16199513592</v>
      </c>
      <c r="Q67" s="285">
        <f t="shared" si="21"/>
        <v>122037.85877420189</v>
      </c>
      <c r="R67" s="285">
        <f t="shared" si="21"/>
        <v>123813.46632732829</v>
      </c>
      <c r="S67" s="285">
        <f t="shared" si="21"/>
        <v>125607.95729095823</v>
      </c>
      <c r="T67" s="285">
        <f t="shared" si="21"/>
        <v>127421.29361478795</v>
      </c>
      <c r="U67" s="285">
        <f t="shared" si="21"/>
        <v>129253.4260945445</v>
      </c>
      <c r="V67" s="285">
        <f t="shared" si="21"/>
        <v>131104.29388908253</v>
      </c>
      <c r="W67" s="285">
        <f t="shared" si="21"/>
        <v>132973.82402132777</v>
      </c>
      <c r="X67" s="285">
        <f t="shared" si="21"/>
        <v>134861.93086257941</v>
      </c>
      <c r="Y67" s="285">
        <f t="shared" si="21"/>
        <v>136768.51559967655</v>
      </c>
    </row>
    <row r="68" spans="3:25" s="20" customFormat="1" ht="13.5" customHeight="1">
      <c r="C68" s="26" t="s">
        <v>544</v>
      </c>
      <c r="E68" s="287">
        <f t="shared" ref="E68:Y68" si="22">E67+E$63</f>
        <v>-36839.031999999977</v>
      </c>
      <c r="F68" s="287">
        <f t="shared" si="22"/>
        <v>-37027.871840000007</v>
      </c>
      <c r="G68" s="287">
        <f t="shared" si="22"/>
        <v>3609.5728201182792</v>
      </c>
      <c r="H68" s="287">
        <f t="shared" si="22"/>
        <v>115800.56444293118</v>
      </c>
      <c r="I68" s="287">
        <f t="shared" si="22"/>
        <v>116164.00080494184</v>
      </c>
      <c r="J68" s="287">
        <f t="shared" si="22"/>
        <v>116456.60289711875</v>
      </c>
      <c r="K68" s="287">
        <f t="shared" si="22"/>
        <v>116673.82991418231</v>
      </c>
      <c r="L68" s="287">
        <f t="shared" si="22"/>
        <v>116810.92526995207</v>
      </c>
      <c r="M68" s="287">
        <f t="shared" si="22"/>
        <v>116862.90728313659</v>
      </c>
      <c r="N68" s="287">
        <f t="shared" si="22"/>
        <v>116824.55947689607</v>
      </c>
      <c r="O68" s="287">
        <f t="shared" si="22"/>
        <v>118543.39311893922</v>
      </c>
      <c r="P68" s="287">
        <f t="shared" si="22"/>
        <v>120281.16199513592</v>
      </c>
      <c r="Q68" s="287">
        <f t="shared" si="22"/>
        <v>122037.85877420189</v>
      </c>
      <c r="R68" s="287">
        <f t="shared" si="22"/>
        <v>123813.46632732829</v>
      </c>
      <c r="S68" s="287">
        <f t="shared" si="22"/>
        <v>125607.95729095823</v>
      </c>
      <c r="T68" s="287">
        <f t="shared" si="22"/>
        <v>127421.29361478795</v>
      </c>
      <c r="U68" s="287">
        <f t="shared" si="22"/>
        <v>129253.4260945445</v>
      </c>
      <c r="V68" s="287">
        <f t="shared" si="22"/>
        <v>131104.29388908253</v>
      </c>
      <c r="W68" s="287">
        <f t="shared" si="22"/>
        <v>132973.82402132777</v>
      </c>
      <c r="X68" s="287">
        <f t="shared" si="22"/>
        <v>134861.93086257941</v>
      </c>
      <c r="Y68" s="287">
        <f t="shared" si="22"/>
        <v>136768.51559967655</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3458950.1333333338</v>
      </c>
      <c r="F73" s="285">
        <f t="shared" si="24"/>
        <v>3455802.8026666669</v>
      </c>
      <c r="G73" s="285">
        <f t="shared" si="24"/>
        <v>3449699.4720533332</v>
      </c>
      <c r="H73" s="285">
        <f t="shared" si="24"/>
        <v>4825023.5184554663</v>
      </c>
      <c r="I73" s="285">
        <f t="shared" si="24"/>
        <v>4840166.7002059091</v>
      </c>
      <c r="J73" s="285">
        <f t="shared" si="24"/>
        <v>4852358.4540466145</v>
      </c>
      <c r="K73" s="285">
        <f t="shared" si="24"/>
        <v>4861409.5797575964</v>
      </c>
      <c r="L73" s="285">
        <f t="shared" si="24"/>
        <v>4867121.8862480028</v>
      </c>
      <c r="M73" s="285">
        <f t="shared" si="24"/>
        <v>4869287.8034640243</v>
      </c>
      <c r="N73" s="285">
        <f t="shared" si="24"/>
        <v>4867689.9782040035</v>
      </c>
      <c r="O73" s="285">
        <f t="shared" si="24"/>
        <v>4939308.0466224672</v>
      </c>
      <c r="P73" s="285">
        <f t="shared" si="24"/>
        <v>5011715.0831306633</v>
      </c>
      <c r="Q73" s="285">
        <f t="shared" si="24"/>
        <v>5084910.7822584119</v>
      </c>
      <c r="R73" s="285">
        <f t="shared" si="24"/>
        <v>5158894.430305345</v>
      </c>
      <c r="S73" s="285">
        <f t="shared" si="24"/>
        <v>5233664.8871232606</v>
      </c>
      <c r="T73" s="285">
        <f t="shared" si="24"/>
        <v>5309220.5672828304</v>
      </c>
      <c r="U73" s="285">
        <f t="shared" si="24"/>
        <v>5385559.4206060208</v>
      </c>
      <c r="V73" s="285">
        <f t="shared" si="24"/>
        <v>5462678.9120451054</v>
      </c>
      <c r="W73" s="285">
        <f t="shared" si="24"/>
        <v>5540576.0008886578</v>
      </c>
      <c r="X73" s="285">
        <f t="shared" si="24"/>
        <v>5619247.1192741422</v>
      </c>
      <c r="Y73" s="285">
        <f t="shared" si="24"/>
        <v>5698688.1499865232</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
      </c>
      <c r="I75" s="288" t="str">
        <f t="shared" si="25"/>
        <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419507.76840599993</v>
      </c>
      <c r="F76" s="285">
        <f t="shared" si="26"/>
        <v>190821.31894438431</v>
      </c>
      <c r="G76" s="285">
        <f t="shared" si="26"/>
        <v>0</v>
      </c>
      <c r="H76" s="285">
        <f t="shared" si="26"/>
        <v>0</v>
      </c>
      <c r="I76" s="285">
        <f t="shared" si="26"/>
        <v>0</v>
      </c>
      <c r="J76" s="285">
        <f t="shared" si="26"/>
        <v>0</v>
      </c>
      <c r="K76" s="285">
        <f t="shared" si="26"/>
        <v>0</v>
      </c>
      <c r="L76" s="285">
        <f t="shared" si="26"/>
        <v>0</v>
      </c>
      <c r="M76" s="285">
        <f t="shared" si="26"/>
        <v>0</v>
      </c>
      <c r="N76" s="285">
        <f t="shared" si="26"/>
        <v>0</v>
      </c>
      <c r="O76" s="285">
        <f t="shared" si="26"/>
        <v>0</v>
      </c>
      <c r="P76" s="285">
        <f t="shared" si="26"/>
        <v>0</v>
      </c>
      <c r="Q76" s="285">
        <f t="shared" si="26"/>
        <v>0</v>
      </c>
      <c r="R76" s="285">
        <f t="shared" si="26"/>
        <v>0</v>
      </c>
      <c r="S76" s="285">
        <f t="shared" si="26"/>
        <v>0</v>
      </c>
      <c r="T76" s="285">
        <f t="shared" si="26"/>
        <v>0</v>
      </c>
      <c r="U76" s="285">
        <f t="shared" si="26"/>
        <v>0</v>
      </c>
      <c r="V76" s="285">
        <f t="shared" si="26"/>
        <v>0</v>
      </c>
      <c r="W76" s="285">
        <f t="shared" si="26"/>
        <v>0</v>
      </c>
      <c r="X76" s="285">
        <f t="shared" si="26"/>
        <v>0</v>
      </c>
      <c r="Y76" s="285">
        <f t="shared" si="26"/>
        <v>0</v>
      </c>
    </row>
    <row r="77" spans="3:25" ht="13.5" customHeight="1">
      <c r="C77" s="26" t="s">
        <v>376</v>
      </c>
      <c r="D77" s="21"/>
      <c r="E77" s="287">
        <f t="shared" ref="E77:Y77" si="27">E73-E$76</f>
        <v>3039442.3649273338</v>
      </c>
      <c r="F77" s="287">
        <f t="shared" si="27"/>
        <v>3264981.4837222826</v>
      </c>
      <c r="G77" s="287">
        <f t="shared" si="27"/>
        <v>3449699.4720533332</v>
      </c>
      <c r="H77" s="287">
        <f t="shared" si="27"/>
        <v>4825023.5184554663</v>
      </c>
      <c r="I77" s="287">
        <f t="shared" si="27"/>
        <v>4840166.7002059091</v>
      </c>
      <c r="J77" s="287">
        <f t="shared" si="27"/>
        <v>4852358.4540466145</v>
      </c>
      <c r="K77" s="287">
        <f t="shared" si="27"/>
        <v>4861409.5797575964</v>
      </c>
      <c r="L77" s="287">
        <f t="shared" si="27"/>
        <v>4867121.8862480028</v>
      </c>
      <c r="M77" s="287">
        <f t="shared" si="27"/>
        <v>4869287.8034640243</v>
      </c>
      <c r="N77" s="287">
        <f t="shared" si="27"/>
        <v>4867689.9782040035</v>
      </c>
      <c r="O77" s="287">
        <f t="shared" si="27"/>
        <v>4939308.0466224672</v>
      </c>
      <c r="P77" s="287">
        <f t="shared" si="27"/>
        <v>5011715.0831306633</v>
      </c>
      <c r="Q77" s="287">
        <f t="shared" si="27"/>
        <v>5084910.7822584119</v>
      </c>
      <c r="R77" s="287">
        <f t="shared" si="27"/>
        <v>5158894.430305345</v>
      </c>
      <c r="S77" s="287">
        <f t="shared" si="27"/>
        <v>5233664.8871232606</v>
      </c>
      <c r="T77" s="287">
        <f t="shared" si="27"/>
        <v>5309220.5672828304</v>
      </c>
      <c r="U77" s="287">
        <f t="shared" si="27"/>
        <v>5385559.4206060208</v>
      </c>
      <c r="V77" s="287">
        <f t="shared" si="27"/>
        <v>5462678.9120451054</v>
      </c>
      <c r="W77" s="287">
        <f t="shared" si="27"/>
        <v>5540576.0008886578</v>
      </c>
      <c r="X77" s="287">
        <f t="shared" si="27"/>
        <v>5619247.1192741422</v>
      </c>
      <c r="Y77" s="287">
        <f t="shared" si="27"/>
        <v>5698688.1499865232</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2026</v>
      </c>
      <c r="D79" s="20"/>
      <c r="E79" s="289" t="str">
        <f t="shared" ref="E79:Y79" si="28">IF(E$72=$F$2+1,"STAB. YR.","")</f>
        <v/>
      </c>
      <c r="F79" s="289" t="str">
        <f t="shared" si="28"/>
        <v>STAB. YR.</v>
      </c>
      <c r="G79" s="289" t="str">
        <f t="shared" si="28"/>
        <v/>
      </c>
      <c r="H79" s="289" t="str">
        <f t="shared" si="28"/>
        <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3455802.8026666669</v>
      </c>
      <c r="G80" s="296">
        <f t="shared" si="29"/>
        <v>0</v>
      </c>
      <c r="H80" s="296">
        <f t="shared" si="29"/>
        <v>0</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6.0054644275377718E-2</v>
      </c>
      <c r="F81" s="344">
        <f t="shared" si="30"/>
        <v>0.06</v>
      </c>
      <c r="G81" s="344">
        <f t="shared" si="30"/>
        <v>5.9894033352679309E-2</v>
      </c>
      <c r="H81" s="344">
        <f t="shared" si="30"/>
        <v>8.3772549430174217E-2</v>
      </c>
      <c r="I81" s="344">
        <f t="shared" si="30"/>
        <v>8.4035466893035662E-2</v>
      </c>
      <c r="J81" s="344">
        <f t="shared" si="30"/>
        <v>8.4247141364124659E-2</v>
      </c>
      <c r="K81" s="344">
        <f t="shared" si="30"/>
        <v>8.440428792996453E-2</v>
      </c>
      <c r="L81" s="344">
        <f t="shared" si="30"/>
        <v>8.4503465576663564E-2</v>
      </c>
      <c r="M81" s="344">
        <f t="shared" si="30"/>
        <v>8.4541070451820508E-2</v>
      </c>
      <c r="N81" s="344">
        <f t="shared" si="30"/>
        <v>8.4513328847025435E-2</v>
      </c>
      <c r="O81" s="344">
        <f t="shared" si="30"/>
        <v>8.5756769040369801E-2</v>
      </c>
      <c r="P81" s="344">
        <f t="shared" si="30"/>
        <v>8.7013907377991209E-2</v>
      </c>
      <c r="Q81" s="344">
        <f t="shared" si="30"/>
        <v>8.8284738556285297E-2</v>
      </c>
      <c r="R81" s="344">
        <f t="shared" si="30"/>
        <v>8.9569250183913665E-2</v>
      </c>
      <c r="S81" s="344">
        <f t="shared" si="30"/>
        <v>9.0867422465507136E-2</v>
      </c>
      <c r="T81" s="344">
        <f t="shared" si="30"/>
        <v>9.2179227874680386E-2</v>
      </c>
      <c r="U81" s="344">
        <f t="shared" si="30"/>
        <v>9.350463081603369E-2</v>
      </c>
      <c r="V81" s="344">
        <f t="shared" si="30"/>
        <v>9.4843587275810437E-2</v>
      </c>
      <c r="W81" s="344">
        <f t="shared" si="30"/>
        <v>9.6196044460869309E-2</v>
      </c>
      <c r="X81" s="344">
        <f t="shared" si="30"/>
        <v>9.7561940425617832E-2</v>
      </c>
      <c r="Y81" s="344">
        <f t="shared" si="30"/>
        <v>9.8941203686549517E-2</v>
      </c>
    </row>
    <row r="82" spans="1:25" s="20" customFormat="1" ht="13.9" customHeight="1">
      <c r="A82" s="3"/>
      <c r="B82" s="3"/>
      <c r="C82" s="21" t="s">
        <v>380</v>
      </c>
      <c r="E82" s="285">
        <f t="shared" ref="E82:Y82" si="31">IF(E$72=$F$2+1,E77,0)</f>
        <v>0</v>
      </c>
      <c r="F82" s="285">
        <f t="shared" si="31"/>
        <v>3264981.4837222826</v>
      </c>
      <c r="G82" s="285">
        <f t="shared" si="31"/>
        <v>0</v>
      </c>
      <c r="H82" s="285">
        <f t="shared" si="31"/>
        <v>0</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6.3564528324183606E-2</v>
      </c>
      <c r="F83" s="299">
        <f t="shared" si="32"/>
        <v>6.3506690372899188E-2</v>
      </c>
      <c r="G83" s="299">
        <f t="shared" si="32"/>
        <v>6.3394530521878378E-2</v>
      </c>
      <c r="H83" s="299">
        <f t="shared" si="32"/>
        <v>8.8668622640174458E-2</v>
      </c>
      <c r="I83" s="299">
        <f t="shared" si="32"/>
        <v>8.8946906271967288E-2</v>
      </c>
      <c r="J83" s="299">
        <f t="shared" si="32"/>
        <v>8.9170952023555558E-2</v>
      </c>
      <c r="K83" s="299">
        <f t="shared" si="32"/>
        <v>8.9337282995221506E-2</v>
      </c>
      <c r="L83" s="299">
        <f t="shared" si="32"/>
        <v>8.9442257063568648E-2</v>
      </c>
      <c r="M83" s="299">
        <f t="shared" si="32"/>
        <v>8.9482059749620368E-2</v>
      </c>
      <c r="N83" s="299">
        <f t="shared" si="32"/>
        <v>8.9452696791184241E-2</v>
      </c>
      <c r="O83" s="299">
        <f t="shared" si="32"/>
        <v>9.0768809647116547E-2</v>
      </c>
      <c r="P83" s="299">
        <f t="shared" si="32"/>
        <v>9.2099421233170289E-2</v>
      </c>
      <c r="Q83" s="299">
        <f t="shared" si="32"/>
        <v>9.3444525935772765E-2</v>
      </c>
      <c r="R83" s="299">
        <f t="shared" si="32"/>
        <v>9.4804110639375827E-2</v>
      </c>
      <c r="S83" s="299">
        <f t="shared" si="32"/>
        <v>9.6178154391673099E-2</v>
      </c>
      <c r="T83" s="299">
        <f t="shared" si="32"/>
        <v>9.7566628057504101E-2</v>
      </c>
      <c r="U83" s="299">
        <f t="shared" si="32"/>
        <v>9.8969493961101676E-2</v>
      </c>
      <c r="V83" s="299">
        <f t="shared" si="32"/>
        <v>0.10038670551633225</v>
      </c>
      <c r="W83" s="299">
        <f t="shared" si="32"/>
        <v>0.10181820684456785</v>
      </c>
      <c r="X83" s="299">
        <f t="shared" si="32"/>
        <v>0.10326393237981582</v>
      </c>
      <c r="Y83" s="299">
        <f t="shared" si="32"/>
        <v>0.10472380646072754</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2026</v>
      </c>
      <c r="E85" s="289" t="str">
        <f t="shared" ref="E85:Y85" si="33">IF(E$72=$F$2+1,"STAB. YR.","")</f>
        <v/>
      </c>
      <c r="F85" s="289" t="str">
        <f t="shared" si="33"/>
        <v>STAB. YR.</v>
      </c>
      <c r="G85" s="289" t="str">
        <f t="shared" si="33"/>
        <v/>
      </c>
      <c r="H85" s="289" t="str">
        <f t="shared" si="33"/>
        <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0</v>
      </c>
      <c r="F86" s="299">
        <f t="shared" si="34"/>
        <v>0</v>
      </c>
      <c r="G86" s="299">
        <f t="shared" si="34"/>
        <v>1.6583123846707736E-3</v>
      </c>
      <c r="H86" s="299">
        <f t="shared" si="34"/>
        <v>5.3201173584104672E-2</v>
      </c>
      <c r="I86" s="299">
        <f t="shared" si="34"/>
        <v>5.3368143763180366E-2</v>
      </c>
      <c r="J86" s="299">
        <f t="shared" si="34"/>
        <v>5.3502571214133335E-2</v>
      </c>
      <c r="K86" s="299">
        <f t="shared" si="34"/>
        <v>5.3602369797132905E-2</v>
      </c>
      <c r="L86" s="299">
        <f t="shared" si="34"/>
        <v>5.3665354238141186E-2</v>
      </c>
      <c r="M86" s="299">
        <f t="shared" si="34"/>
        <v>5.3689235849772213E-2</v>
      </c>
      <c r="N86" s="299">
        <f t="shared" si="34"/>
        <v>5.3671618074710541E-2</v>
      </c>
      <c r="O86" s="299">
        <f t="shared" si="34"/>
        <v>5.446128578826992E-2</v>
      </c>
      <c r="P86" s="299">
        <f t="shared" si="34"/>
        <v>5.5259652739902174E-2</v>
      </c>
      <c r="Q86" s="299">
        <f t="shared" si="34"/>
        <v>5.6066715561463656E-2</v>
      </c>
      <c r="R86" s="299">
        <f t="shared" si="34"/>
        <v>5.6882466383625492E-2</v>
      </c>
      <c r="S86" s="299">
        <f t="shared" si="34"/>
        <v>5.7706892635003858E-2</v>
      </c>
      <c r="T86" s="299">
        <f t="shared" si="34"/>
        <v>5.8539976834502461E-2</v>
      </c>
      <c r="U86" s="299">
        <f t="shared" si="34"/>
        <v>5.9381696376661006E-2</v>
      </c>
      <c r="V86" s="299">
        <f t="shared" si="34"/>
        <v>6.0232023309799348E-2</v>
      </c>
      <c r="W86" s="299">
        <f t="shared" si="34"/>
        <v>6.1090924106740718E-2</v>
      </c>
      <c r="X86" s="299">
        <f t="shared" si="34"/>
        <v>6.1958359427889485E-2</v>
      </c>
      <c r="Y86" s="299">
        <f t="shared" si="34"/>
        <v>6.2834283876436525E-2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49B8D-92C4-4E6D-A568-CB5ADCD7A2ED}">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317</v>
      </c>
      <c r="E1" s="275" t="str">
        <f>INDEX('01_Property Summary'!$E$5:$E$21,MATCH($C$1,'01_Property Summary'!$C$5:$C$21,0))</f>
        <v>Surrey</v>
      </c>
      <c r="F1" s="332" t="s">
        <v>536</v>
      </c>
      <c r="G1" s="333" t="s">
        <v>102</v>
      </c>
      <c r="J1" s="450" t="s">
        <v>308</v>
      </c>
      <c r="K1" s="424"/>
      <c r="L1" s="424"/>
      <c r="M1" s="424"/>
      <c r="N1" s="424"/>
      <c r="O1" s="424"/>
      <c r="P1" s="3"/>
      <c r="Q1" s="3"/>
      <c r="R1" s="3"/>
      <c r="S1" s="3"/>
      <c r="T1" s="3"/>
    </row>
    <row r="2" spans="3:25" ht="14.45" customHeight="1">
      <c r="C2" s="300" t="s">
        <v>537</v>
      </c>
      <c r="E2" s="334" t="str">
        <f>_xlfn.LET(_xlpm.refi,INDEX('02_Debt Engine'!$F$19:$F$35,MATCH($C$1,'02_Debt Engine'!$B$19:$B$35,0)),
_xlpm.refiyr,INDEX('02_Debt Engine'!$I$19:$I$35,MATCH($C$1,'02_Debt Engine'!$B$19:$B$35,0)),IF(_xlpm.refi="Yes",_xlpm.refiyr,"No Refi"))</f>
        <v>No Refi</v>
      </c>
      <c r="F2" s="334">
        <f>INDEX('01_Property Summary'!$F$5:$F$21,MATCH($C$1,'01_Property Summary'!$C$5:$C$21,0))</f>
        <v>2025</v>
      </c>
      <c r="G2" s="334">
        <f>INDEX('01_Property Summary'!$K$4:$K$21,MATCH($C$1,'01_Property Summary'!$C$4:$C$21,0))</f>
        <v>2026</v>
      </c>
      <c r="J2" s="278" t="str">
        <f>"Gate 1 — NOI ≥ 0 at stabilization ("&amp;$F$2+1&amp;"):"</f>
        <v>Gate 1 — NOI ≥ 0 at stabilization (2026):</v>
      </c>
      <c r="M2" s="451" t="str">
        <f>_xlfn.LET(_xlpm.stabnoi,INDEX($41:$41,MATCH(($F$2+1),$12:$12,0)),IF(_xlpm.stabnoi&gt;=0,"PASS — NOI $"&amp;TEXT(_xlpm.stabnoi,"#,##0"),"FAIL — NOI $"&amp;TEXT(_xlpm.stabnoi,"#,##0")))</f>
        <v>PASS — NOI $236,702</v>
      </c>
      <c r="N2" s="424"/>
      <c r="O2" s="424"/>
      <c r="S2" s="6"/>
    </row>
    <row r="3" spans="3:25" ht="14.45" customHeight="1">
      <c r="C3" s="300" t="s">
        <v>538</v>
      </c>
      <c r="E3" s="334">
        <f>INDEX('01_Property Summary'!$S$5:$S$21,MATCH($C$1,'01_Property Summary'!$C$5:$C$21,0))</f>
        <v>40</v>
      </c>
      <c r="F3" s="335">
        <f>'01_Assumptions'!$C$14</f>
        <v>0.1</v>
      </c>
      <c r="G3" s="335">
        <f>'01_Assumptions'!$C$15</f>
        <v>0.2</v>
      </c>
      <c r="J3" s="278" t="str">
        <f>"Gate 2 — DSCR ≥ 1.0× at stabilization ("&amp;$F$2+1&amp;"):"</f>
        <v>Gate 2 — DSCR ≥ 1.0× at stabilization (2026):</v>
      </c>
      <c r="M3" s="451" t="str">
        <f>_xlfn.LET(_xlpm.debt,INDEX($48:$48,MATCH(($F$2+1),$12:$12,0)),_xlpm.dscr,INDEX($50:$50,MATCH(($F$2+1),$12:$12,0)),
IF(_xlpm.debt=0,"PASS — no debt svc",IF(IFERROR(_xlpm.dscr,0)&gt;=1,"PASS — DSCR "&amp;TEXT(IFERROR(_xlpm.dscr,0),"0.00")&amp;"x","FAIL — DSCR "&amp;TEXT(IFERROR(_xlpm.dscr,0),"0.00")&amp;"x")))</f>
        <v>PASS — DSCR 131.31x</v>
      </c>
      <c r="N3" s="424"/>
      <c r="O3" s="424"/>
      <c r="S3" s="6"/>
    </row>
    <row r="4" spans="3:25" ht="14.45" customHeight="1">
      <c r="C4" s="300" t="s">
        <v>539</v>
      </c>
      <c r="E4" s="336">
        <f>INDEX('02_Rent Engine'!$H$5:$H$21,MATCH($C$1,'02_Rent Engine'!$B$5:$B$21,0))</f>
        <v>625</v>
      </c>
      <c r="F4" s="336">
        <f>INDEX('02_Rent Engine'!$J$5:$J$21,MATCH($C$1,'02_Rent Engine'!$B$5:$B$21,0))</f>
        <v>2659.25</v>
      </c>
      <c r="G4" s="336">
        <f>($F$3*$F$4)+((1-$F$3)*$E$4)</f>
        <v>828.42499999999995</v>
      </c>
      <c r="J4" s="280" t="s">
        <v>309</v>
      </c>
      <c r="M4" s="451" t="str">
        <f>IF(AND($J$52&gt;0,$O$52&gt;0),"PASS — AFFO $"&amp;TEXT($J$52,"#,##0")&amp;" (2030) / $"&amp;TEXT($O$52,"#,##0")&amp;" (2035)","FAIL — AFFO $"&amp;TEXT($J$52,"#,##0")&amp;" (2030) / $"&amp;TEXT($O$52,"#,##0")&amp;" (2035)")</f>
        <v>PASS — AFFO $233,056 (2030) / $227,867 (2035)</v>
      </c>
      <c r="N4" s="424"/>
      <c r="O4" s="424"/>
      <c r="S4" s="6"/>
    </row>
    <row r="5" spans="3:25" ht="14.45" customHeight="1">
      <c r="C5" s="337" t="str">
        <f>"Rent Growth — (pre / post Op. Agrmt. Expiry: "&amp;$G$2&amp;")"</f>
        <v>Rent Growth — (pre / post Op. Agrmt. Expiry: 2026)</v>
      </c>
      <c r="E5" s="338">
        <f>'01_Assumptions'!$C$5</f>
        <v>0.02</v>
      </c>
      <c r="F5" s="338">
        <f>'01_Assumptions'!$C$6</f>
        <v>0.02</v>
      </c>
      <c r="G5" s="32"/>
      <c r="L5" s="6"/>
      <c r="M5" s="6"/>
      <c r="R5" s="6"/>
      <c r="S5" s="6"/>
    </row>
    <row r="6" spans="3:25" ht="13.9" customHeight="1">
      <c r="C6" s="337" t="str">
        <f>"OpEx Growth — (pre / post Op. Agrmt. Expiry: "&amp;$G$2&amp;")"</f>
        <v>OpEx Growth — (pre / post Op. Agrmt. Expiry: 2026)</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BCHMC</v>
      </c>
      <c r="F8" s="336">
        <f>INDEX('01_Property Summary'!$Q$5:$Q$21,MATCH($C$1,'01_Property Summary'!$C$5:$C$21,0))</f>
        <v>0</v>
      </c>
      <c r="G8" s="334">
        <f>INDEX('02_Debt Engine'!$I$19:$I$35,MATCH($C$1,'02_Debt Engine'!$B$19:$B$35,0))</f>
        <v>2026</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397644</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505193.75999999995</v>
      </c>
      <c r="G13" s="283">
        <f t="shared" si="1"/>
        <v>515297.63519999996</v>
      </c>
      <c r="H13" s="283">
        <f t="shared" si="1"/>
        <v>525603.58790399984</v>
      </c>
      <c r="I13" s="283">
        <f t="shared" si="1"/>
        <v>536115.65966207988</v>
      </c>
      <c r="J13" s="283">
        <f t="shared" si="1"/>
        <v>546837.97285532148</v>
      </c>
      <c r="K13" s="283">
        <f t="shared" si="1"/>
        <v>557774.73231242807</v>
      </c>
      <c r="L13" s="283">
        <f t="shared" si="1"/>
        <v>568930.22695867647</v>
      </c>
      <c r="M13" s="283">
        <f t="shared" si="1"/>
        <v>580308.83149785001</v>
      </c>
      <c r="N13" s="283">
        <f t="shared" si="1"/>
        <v>591915.00812780706</v>
      </c>
      <c r="O13" s="283">
        <f t="shared" si="1"/>
        <v>603753.30829036317</v>
      </c>
      <c r="P13" s="283">
        <f t="shared" si="1"/>
        <v>615828.37445617036</v>
      </c>
      <c r="Q13" s="283">
        <f t="shared" si="1"/>
        <v>628144.9419452938</v>
      </c>
      <c r="R13" s="283">
        <f t="shared" si="1"/>
        <v>640707.84078419977</v>
      </c>
      <c r="S13" s="283">
        <f t="shared" si="1"/>
        <v>653521.99759988382</v>
      </c>
      <c r="T13" s="283">
        <f t="shared" si="1"/>
        <v>666592.43755188119</v>
      </c>
      <c r="U13" s="283">
        <f t="shared" si="1"/>
        <v>679924.28630291903</v>
      </c>
      <c r="V13" s="283">
        <f t="shared" si="1"/>
        <v>693522.77202897752</v>
      </c>
      <c r="W13" s="283">
        <f t="shared" si="1"/>
        <v>707393.22746955696</v>
      </c>
      <c r="X13" s="283">
        <f t="shared" si="1"/>
        <v>721541.09201894805</v>
      </c>
      <c r="Y13" s="283">
        <f t="shared" si="1"/>
        <v>735971.91385932709</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5000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5100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5202</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5306.04</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5412.1607999999997</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5520.4040160000004</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5630.8120963199999</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5743.4283382463991</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5858.2969050113279</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5975.4628431115543</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6094.9720999737856</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6216.8715419732616</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6341.2089728127248</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6468.0331522689803</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6597.3938153143608</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6729.3416916206479</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6863.9285254530587</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7001.2070959621205</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7141.231237881364</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7284.055862638992</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7429.7369798917698</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1500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1530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1560.6</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1591.8119999999999</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1623.64824</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1656.1212048</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1689.243628896</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1723.0285014739197</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1757.4890715033982</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1792.6388529334663</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1828.4916299921356</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1865.0614625919784</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1902.3626918438176</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1940.4099456806941</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1979.2181445943081</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2018.8025074861946</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2059.1785576359175</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2100.3621287886363</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2142.3693713644093</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2185.2167587916974</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2228.9210939675309</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row>
    <row r="19" spans="3:25" ht="13.5" customHeight="1">
      <c r="C19" s="3" t="s">
        <v>336</v>
      </c>
      <c r="E19" s="285">
        <f t="shared" ref="E19:Y19" si="2">SUM(E14:E18)</f>
        <v>6500</v>
      </c>
      <c r="F19" s="285">
        <f t="shared" si="2"/>
        <v>6630</v>
      </c>
      <c r="G19" s="285">
        <f t="shared" si="2"/>
        <v>6762.6</v>
      </c>
      <c r="H19" s="285">
        <f t="shared" si="2"/>
        <v>6897.8519999999999</v>
      </c>
      <c r="I19" s="285">
        <f t="shared" si="2"/>
        <v>7035.8090400000001</v>
      </c>
      <c r="J19" s="285">
        <f t="shared" si="2"/>
        <v>7176.5252208000002</v>
      </c>
      <c r="K19" s="285">
        <f t="shared" si="2"/>
        <v>7320.0557252159997</v>
      </c>
      <c r="L19" s="285">
        <f t="shared" si="2"/>
        <v>7466.4568397203184</v>
      </c>
      <c r="M19" s="285">
        <f t="shared" si="2"/>
        <v>7615.7859765147259</v>
      </c>
      <c r="N19" s="285">
        <f t="shared" si="2"/>
        <v>7768.1016960450206</v>
      </c>
      <c r="O19" s="285">
        <f t="shared" si="2"/>
        <v>7923.4637299659207</v>
      </c>
      <c r="P19" s="285">
        <f t="shared" si="2"/>
        <v>8081.9330045652405</v>
      </c>
      <c r="Q19" s="285">
        <f t="shared" si="2"/>
        <v>8243.5716646565415</v>
      </c>
      <c r="R19" s="285">
        <f t="shared" si="2"/>
        <v>8408.4430979496738</v>
      </c>
      <c r="S19" s="285">
        <f t="shared" si="2"/>
        <v>8576.6119599086687</v>
      </c>
      <c r="T19" s="285">
        <f t="shared" si="2"/>
        <v>8748.1441991068423</v>
      </c>
      <c r="U19" s="285">
        <f t="shared" si="2"/>
        <v>8923.1070830889767</v>
      </c>
      <c r="V19" s="285">
        <f t="shared" si="2"/>
        <v>9101.5692247507577</v>
      </c>
      <c r="W19" s="285">
        <f t="shared" si="2"/>
        <v>9283.6006092457737</v>
      </c>
      <c r="X19" s="285">
        <f t="shared" si="2"/>
        <v>9469.2726214306895</v>
      </c>
      <c r="Y19" s="285">
        <f t="shared" si="2"/>
        <v>9658.6580738593002</v>
      </c>
    </row>
    <row r="20" spans="3:25" ht="13.5" customHeight="1">
      <c r="C20" s="10" t="s">
        <v>337</v>
      </c>
      <c r="E20" s="283">
        <f t="shared" ref="E20:Y20" si="3">E13+E19</f>
        <v>404144</v>
      </c>
      <c r="F20" s="283">
        <f t="shared" si="3"/>
        <v>511823.75999999995</v>
      </c>
      <c r="G20" s="283">
        <f t="shared" si="3"/>
        <v>522060.23519999994</v>
      </c>
      <c r="H20" s="283">
        <f t="shared" si="3"/>
        <v>532501.4399039998</v>
      </c>
      <c r="I20" s="283">
        <f t="shared" si="3"/>
        <v>543151.46870207984</v>
      </c>
      <c r="J20" s="283">
        <f t="shared" si="3"/>
        <v>554014.49807612144</v>
      </c>
      <c r="K20" s="283">
        <f t="shared" si="3"/>
        <v>565094.78803764412</v>
      </c>
      <c r="L20" s="283">
        <f t="shared" si="3"/>
        <v>576396.68379839684</v>
      </c>
      <c r="M20" s="283">
        <f t="shared" si="3"/>
        <v>587924.6174743647</v>
      </c>
      <c r="N20" s="283">
        <f t="shared" si="3"/>
        <v>599683.10982385208</v>
      </c>
      <c r="O20" s="283">
        <f t="shared" si="3"/>
        <v>611676.77202032914</v>
      </c>
      <c r="P20" s="283">
        <f t="shared" si="3"/>
        <v>623910.30746073555</v>
      </c>
      <c r="Q20" s="283">
        <f t="shared" si="3"/>
        <v>636388.51360995031</v>
      </c>
      <c r="R20" s="283">
        <f t="shared" si="3"/>
        <v>649116.2838821495</v>
      </c>
      <c r="S20" s="283">
        <f t="shared" si="3"/>
        <v>662098.60955979244</v>
      </c>
      <c r="T20" s="283">
        <f t="shared" si="3"/>
        <v>675340.58175098803</v>
      </c>
      <c r="U20" s="283">
        <f t="shared" si="3"/>
        <v>688847.39338600799</v>
      </c>
      <c r="V20" s="283">
        <f t="shared" si="3"/>
        <v>702624.34125372826</v>
      </c>
      <c r="W20" s="283">
        <f t="shared" si="3"/>
        <v>716676.82807880279</v>
      </c>
      <c r="X20" s="283">
        <f t="shared" si="3"/>
        <v>731010.36464037874</v>
      </c>
      <c r="Y20" s="283">
        <f t="shared" si="3"/>
        <v>745630.57193318638</v>
      </c>
    </row>
    <row r="21" spans="3:25" ht="13.5" customHeight="1">
      <c r="C21" s="11" t="s">
        <v>338</v>
      </c>
      <c r="E21" s="284">
        <f t="shared" ref="E21:Y21" si="4">-E20*$E$7</f>
        <v>-8082.88</v>
      </c>
      <c r="F21" s="284">
        <f t="shared" si="4"/>
        <v>-10236.475199999999</v>
      </c>
      <c r="G21" s="284">
        <f t="shared" si="4"/>
        <v>-10441.204704</v>
      </c>
      <c r="H21" s="284">
        <f t="shared" si="4"/>
        <v>-10650.028798079997</v>
      </c>
      <c r="I21" s="284">
        <f t="shared" si="4"/>
        <v>-10863.029374041596</v>
      </c>
      <c r="J21" s="284">
        <f t="shared" si="4"/>
        <v>-11080.289961522429</v>
      </c>
      <c r="K21" s="284">
        <f t="shared" si="4"/>
        <v>-11301.895760752883</v>
      </c>
      <c r="L21" s="284">
        <f t="shared" si="4"/>
        <v>-11527.933675967937</v>
      </c>
      <c r="M21" s="284">
        <f t="shared" si="4"/>
        <v>-11758.492349487295</v>
      </c>
      <c r="N21" s="284">
        <f t="shared" si="4"/>
        <v>-11993.662196477042</v>
      </c>
      <c r="O21" s="284">
        <f t="shared" si="4"/>
        <v>-12233.535440406584</v>
      </c>
      <c r="P21" s="284">
        <f t="shared" si="4"/>
        <v>-12478.206149214711</v>
      </c>
      <c r="Q21" s="284">
        <f t="shared" si="4"/>
        <v>-12727.770272199006</v>
      </c>
      <c r="R21" s="284">
        <f t="shared" si="4"/>
        <v>-12982.32567764299</v>
      </c>
      <c r="S21" s="284">
        <f t="shared" si="4"/>
        <v>-13241.97219119585</v>
      </c>
      <c r="T21" s="284">
        <f t="shared" si="4"/>
        <v>-13506.811635019762</v>
      </c>
      <c r="U21" s="284">
        <f t="shared" si="4"/>
        <v>-13776.947867720161</v>
      </c>
      <c r="V21" s="284">
        <f t="shared" si="4"/>
        <v>-14052.486825074566</v>
      </c>
      <c r="W21" s="284">
        <f t="shared" si="4"/>
        <v>-14333.536561576057</v>
      </c>
      <c r="X21" s="284">
        <f t="shared" si="4"/>
        <v>-14620.207292807576</v>
      </c>
      <c r="Y21" s="284">
        <f t="shared" si="4"/>
        <v>-14912.611438663727</v>
      </c>
    </row>
    <row r="22" spans="3:25" ht="13.5" customHeight="1">
      <c r="C22" s="3" t="s">
        <v>339</v>
      </c>
      <c r="E22" s="285">
        <f t="shared" ref="E22:Y22" si="5">E20+E21</f>
        <v>396061.12</v>
      </c>
      <c r="F22" s="285">
        <f t="shared" si="5"/>
        <v>501587.28479999996</v>
      </c>
      <c r="G22" s="285">
        <f t="shared" si="5"/>
        <v>511619.03049599996</v>
      </c>
      <c r="H22" s="285">
        <f t="shared" si="5"/>
        <v>521851.4111059198</v>
      </c>
      <c r="I22" s="285">
        <f t="shared" si="5"/>
        <v>532288.43932803825</v>
      </c>
      <c r="J22" s="285">
        <f t="shared" si="5"/>
        <v>542934.20811459899</v>
      </c>
      <c r="K22" s="285">
        <f t="shared" si="5"/>
        <v>553792.89227689127</v>
      </c>
      <c r="L22" s="285">
        <f t="shared" si="5"/>
        <v>564868.75012242887</v>
      </c>
      <c r="M22" s="285">
        <f t="shared" si="5"/>
        <v>576166.12512487744</v>
      </c>
      <c r="N22" s="285">
        <f t="shared" si="5"/>
        <v>587689.44762737502</v>
      </c>
      <c r="O22" s="285">
        <f t="shared" si="5"/>
        <v>599443.23657992261</v>
      </c>
      <c r="P22" s="285">
        <f t="shared" si="5"/>
        <v>611432.10131152079</v>
      </c>
      <c r="Q22" s="285">
        <f t="shared" si="5"/>
        <v>623660.74333775137</v>
      </c>
      <c r="R22" s="285">
        <f t="shared" si="5"/>
        <v>636133.95820450655</v>
      </c>
      <c r="S22" s="285">
        <f t="shared" si="5"/>
        <v>648856.63736859662</v>
      </c>
      <c r="T22" s="285">
        <f t="shared" si="5"/>
        <v>661833.77011596831</v>
      </c>
      <c r="U22" s="285">
        <f t="shared" si="5"/>
        <v>675070.44551828783</v>
      </c>
      <c r="V22" s="285">
        <f t="shared" si="5"/>
        <v>688571.85442865372</v>
      </c>
      <c r="W22" s="285">
        <f t="shared" si="5"/>
        <v>702343.29151722672</v>
      </c>
      <c r="X22" s="285">
        <f t="shared" si="5"/>
        <v>716390.15734757122</v>
      </c>
      <c r="Y22" s="285">
        <f t="shared" si="5"/>
        <v>730717.9604945227</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396061.12</v>
      </c>
      <c r="F24" s="286">
        <f t="shared" si="7"/>
        <v>501587.28479999996</v>
      </c>
      <c r="G24" s="286">
        <f t="shared" si="7"/>
        <v>511619.03049599996</v>
      </c>
      <c r="H24" s="286">
        <f t="shared" si="7"/>
        <v>521851.4111059198</v>
      </c>
      <c r="I24" s="286">
        <f t="shared" si="7"/>
        <v>532288.43932803825</v>
      </c>
      <c r="J24" s="286">
        <f t="shared" si="7"/>
        <v>542934.20811459899</v>
      </c>
      <c r="K24" s="286">
        <f t="shared" si="7"/>
        <v>553792.89227689127</v>
      </c>
      <c r="L24" s="286">
        <f t="shared" si="7"/>
        <v>564868.75012242887</v>
      </c>
      <c r="M24" s="286">
        <f t="shared" si="7"/>
        <v>576166.12512487744</v>
      </c>
      <c r="N24" s="286">
        <f t="shared" si="7"/>
        <v>587689.44762737502</v>
      </c>
      <c r="O24" s="286">
        <f t="shared" si="7"/>
        <v>599443.23657992261</v>
      </c>
      <c r="P24" s="286">
        <f t="shared" si="7"/>
        <v>611432.10131152079</v>
      </c>
      <c r="Q24" s="286">
        <f t="shared" si="7"/>
        <v>623660.74333775137</v>
      </c>
      <c r="R24" s="286">
        <f t="shared" si="7"/>
        <v>636133.95820450655</v>
      </c>
      <c r="S24" s="286">
        <f t="shared" si="7"/>
        <v>648856.63736859662</v>
      </c>
      <c r="T24" s="286">
        <f t="shared" si="7"/>
        <v>661833.77011596831</v>
      </c>
      <c r="U24" s="286">
        <f t="shared" si="7"/>
        <v>675070.44551828783</v>
      </c>
      <c r="V24" s="286">
        <f t="shared" si="7"/>
        <v>688571.85442865372</v>
      </c>
      <c r="W24" s="286">
        <f t="shared" si="7"/>
        <v>702343.29151722672</v>
      </c>
      <c r="X24" s="286">
        <f t="shared" si="7"/>
        <v>716390.15734757122</v>
      </c>
      <c r="Y24" s="286">
        <f t="shared" si="7"/>
        <v>730717.9604945227</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34000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35360</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36774.400000000001</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38245.376000000004</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39775.191040000005</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41366.198681600014</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43020.846628864012</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44741.680494018568</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46531.347713779316</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48392.601622330498</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49602.416662888754</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50842.477079460972</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52113.5390064475</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53416.377481608681</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54751.78691864889</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56120.581591615111</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57523.596131405488</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58961.686034690618</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60435.728185557877</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61946.621390196822</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63495.286924951746</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725</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754</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784.16000000000008</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815.52640000000008</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848.14745600000015</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882.0733542400003</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917.35628840960032</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954.05053994598416</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992.21256154382377</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1031.9010640055767</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1057.6985906057162</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1084.141055370859</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1111.2445817551304</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1139.0256962990086</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1167.5013387064837</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1196.6888721741457</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1226.6060939784993</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1257.2712463279618</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1288.7030274861606</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1320.9206031733147</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1353.9436182526474</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40100</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41704</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43372.160000000003</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45107.046400000007</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46911.328256000008</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48787.781386240014</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50739.292641689615</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52768.864347357194</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54879.618921251495</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57074.803678101554</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58501.673770054091</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59964.215614305438</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61463.321004663077</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62999.904029779645</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64574.901630524131</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66189.274171287238</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67844.006025569412</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69540.106176208647</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71278.608830613841</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73060.574051379197</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74887.088402663678</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15400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16016</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16656.640000000003</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17322.905600000002</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18015.821824000002</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18736.454696960005</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19485.912884838406</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20265.349400231938</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21075.96337624122</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21919.00191129087</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22466.976959073141</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23028.651383049972</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23604.367667626218</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24194.47685931687</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24799.33878079979</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25419.322250319787</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26054.805306577779</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26706.175439242223</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27373.829825223271</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28058.175570853855</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28759.629960125203</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33000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34320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35692.800000000003</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37120.512000000002</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38605.332480000005</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40149.545779200009</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41755.527610368015</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43425.748714782727</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45162.778663374047</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46969.289809909009</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48143.522055156733</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49347.110106535649</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50580.787859199045</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51845.307555679014</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53141.440244570978</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54469.976250685257</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55831.725656952382</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57227.518798376193</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58658.206768335585</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60124.661937543977</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61627.778485982577</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10000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10400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10816.000000000002</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11248.640000000001</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11698.585600000002</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12166.529024000003</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12653.190184960004</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13159.317792358403</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13685.690504052742</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14233.118124214852</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14588.946077320221</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14953.669729253228</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15327.511472484559</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15710.699259296671</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16103.466740779084</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16506.053409298562</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16918.704744531027</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17341.672363144302</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17775.214172222903</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18219.594526528479</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18675.084389691689</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6300</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6552</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6814.0800000000008</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7086.6432000000004</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7370.1089280000015</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7664.913285120002</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7971.5098165248028</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8290.370209185794</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8621.9850175532265</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8966.8644182553562</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9191.0360287117401</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9420.8119294295338</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9656.3322276652725</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9897.7405333569022</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10145.184046690823</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10398.813647858095</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10658.783989054546</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10925.25358878091</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11198.384928500429</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11478.34455171294</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11765.303165505764</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43797</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45548.880000000005</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47370.835200000009</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49265.668608000007</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51236.295352320012</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53285.747166412817</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55417.177053069325</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57633.864135192096</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59939.218700599791</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62336.787448623785</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63895.207134839373</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65492.587313210359</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67129.901996040615</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68808.149545941618</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70528.35328459015</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72291.56211670491</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74098.851169622532</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75951.322448863095</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77850.105510084657</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79796.358147836771</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81791.267101532692</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55651</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57877.04</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60192.121600000006</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62599.806464000008</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65103.798722560015</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67707.950671462415</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70416.268698320913</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73232.919446253742</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76162.236224103908</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79208.725673068067</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81188.943814894767</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83218.667410267139</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85299.134095523812</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87431.612447911903</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89617.402759109682</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91857.837828087431</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94154.283773789604</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96508.140868134346</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98920.844389837686</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101393.86549958363</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103928.71213707322</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15724</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16352.960000000001</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17007.078400000002</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17687.361536</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18394.855997440005</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19130.650237337606</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19895.876246831111</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20691.711296704354</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21519.37974857253</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22380.154938515432</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22939.658811978315</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23513.150282277773</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24100.979039334721</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24703.503515318083</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25321.091103201034</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25954.118380781059</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26602.971340300584</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27268.045623808099</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27949.746764403295</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28648.49043351338</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29364.702694351214</v>
      </c>
    </row>
    <row r="39" spans="3:25" ht="13.15" customHeight="1">
      <c r="C39" s="14" t="s">
        <v>355</v>
      </c>
      <c r="E39" s="286">
        <f t="shared" ref="E39:Y39" si="8">SUM(E27:E38)</f>
        <v>254697</v>
      </c>
      <c r="F39" s="286">
        <f t="shared" si="8"/>
        <v>264884.88</v>
      </c>
      <c r="G39" s="286">
        <f t="shared" si="8"/>
        <v>275480.27520000003</v>
      </c>
      <c r="H39" s="286">
        <f t="shared" si="8"/>
        <v>286499.48620799999</v>
      </c>
      <c r="I39" s="286">
        <f t="shared" si="8"/>
        <v>297959.46565632004</v>
      </c>
      <c r="J39" s="286">
        <f t="shared" si="8"/>
        <v>309877.84428257291</v>
      </c>
      <c r="K39" s="286">
        <f t="shared" si="8"/>
        <v>322272.95805387577</v>
      </c>
      <c r="L39" s="286">
        <f t="shared" si="8"/>
        <v>335163.87637603079</v>
      </c>
      <c r="M39" s="286">
        <f t="shared" si="8"/>
        <v>348570.43143107212</v>
      </c>
      <c r="N39" s="286">
        <f t="shared" si="8"/>
        <v>362513.24868831504</v>
      </c>
      <c r="O39" s="286">
        <f t="shared" si="8"/>
        <v>371576.07990552281</v>
      </c>
      <c r="P39" s="286">
        <f t="shared" si="8"/>
        <v>380865.48190316086</v>
      </c>
      <c r="Q39" s="286">
        <f t="shared" si="8"/>
        <v>390387.11895073997</v>
      </c>
      <c r="R39" s="286">
        <f t="shared" si="8"/>
        <v>400146.79692450835</v>
      </c>
      <c r="S39" s="286">
        <f t="shared" si="8"/>
        <v>410150.46684762108</v>
      </c>
      <c r="T39" s="286">
        <f t="shared" si="8"/>
        <v>420404.22851881164</v>
      </c>
      <c r="U39" s="286">
        <f t="shared" si="8"/>
        <v>430914.33423178183</v>
      </c>
      <c r="V39" s="286">
        <f t="shared" si="8"/>
        <v>441687.1925875764</v>
      </c>
      <c r="W39" s="286">
        <f t="shared" si="8"/>
        <v>452729.37240226573</v>
      </c>
      <c r="X39" s="286">
        <f t="shared" si="8"/>
        <v>464047.60671232239</v>
      </c>
      <c r="Y39" s="286">
        <f t="shared" si="8"/>
        <v>475648.79688013037</v>
      </c>
    </row>
    <row r="40" spans="3:25" ht="7.15" customHeight="1"/>
    <row r="41" spans="3:25" ht="13.5" customHeight="1">
      <c r="C41" s="15" t="s">
        <v>356</v>
      </c>
      <c r="D41" s="8"/>
      <c r="E41" s="287">
        <f t="shared" ref="E41:Y41" si="9">E24-E39</f>
        <v>141364.12</v>
      </c>
      <c r="F41" s="287">
        <f t="shared" si="9"/>
        <v>236702.40479999996</v>
      </c>
      <c r="G41" s="287">
        <f t="shared" si="9"/>
        <v>236138.75529599993</v>
      </c>
      <c r="H41" s="287">
        <f t="shared" si="9"/>
        <v>235351.92489791982</v>
      </c>
      <c r="I41" s="287">
        <f t="shared" si="9"/>
        <v>234328.97367171821</v>
      </c>
      <c r="J41" s="287">
        <f t="shared" si="9"/>
        <v>233056.36383202608</v>
      </c>
      <c r="K41" s="287">
        <f t="shared" si="9"/>
        <v>231519.9342230155</v>
      </c>
      <c r="L41" s="287">
        <f t="shared" si="9"/>
        <v>229704.87374639808</v>
      </c>
      <c r="M41" s="287">
        <f t="shared" si="9"/>
        <v>227595.69369380531</v>
      </c>
      <c r="N41" s="287">
        <f t="shared" si="9"/>
        <v>225176.19893905998</v>
      </c>
      <c r="O41" s="287">
        <f t="shared" si="9"/>
        <v>227867.1566743998</v>
      </c>
      <c r="P41" s="287">
        <f t="shared" si="9"/>
        <v>230566.61940835993</v>
      </c>
      <c r="Q41" s="287">
        <f t="shared" si="9"/>
        <v>233273.6243870114</v>
      </c>
      <c r="R41" s="287">
        <f t="shared" si="9"/>
        <v>235987.1612799982</v>
      </c>
      <c r="S41" s="287">
        <f t="shared" si="9"/>
        <v>238706.17052097555</v>
      </c>
      <c r="T41" s="287">
        <f t="shared" si="9"/>
        <v>241429.54159715667</v>
      </c>
      <c r="U41" s="287">
        <f t="shared" si="9"/>
        <v>244156.111286506</v>
      </c>
      <c r="V41" s="287">
        <f t="shared" si="9"/>
        <v>246884.66184107732</v>
      </c>
      <c r="W41" s="287">
        <f t="shared" si="9"/>
        <v>249613.919114961</v>
      </c>
      <c r="X41" s="287">
        <f t="shared" si="9"/>
        <v>252342.55063524883</v>
      </c>
      <c r="Y41" s="287">
        <f t="shared" si="9"/>
        <v>255069.16361439234</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6000</v>
      </c>
      <c r="F44" s="283">
        <f t="shared" si="11"/>
        <v>6120</v>
      </c>
      <c r="G44" s="283">
        <f t="shared" si="11"/>
        <v>6242.4</v>
      </c>
      <c r="H44" s="283">
        <f t="shared" si="11"/>
        <v>6367.2479999999996</v>
      </c>
      <c r="I44" s="283">
        <f t="shared" si="11"/>
        <v>6494.5929599999999</v>
      </c>
      <c r="J44" s="283">
        <f t="shared" si="11"/>
        <v>6624.4848191999999</v>
      </c>
      <c r="K44" s="283">
        <f t="shared" si="11"/>
        <v>6756.9745155840001</v>
      </c>
      <c r="L44" s="283">
        <f t="shared" si="11"/>
        <v>6892.1140058956789</v>
      </c>
      <c r="M44" s="283">
        <f t="shared" si="11"/>
        <v>7029.9562860135929</v>
      </c>
      <c r="N44" s="283">
        <f t="shared" si="11"/>
        <v>7170.5554117338652</v>
      </c>
      <c r="O44" s="283">
        <f t="shared" si="11"/>
        <v>7313.9665199685423</v>
      </c>
      <c r="P44" s="283">
        <f t="shared" si="11"/>
        <v>7460.2458503679118</v>
      </c>
      <c r="Q44" s="283">
        <f t="shared" si="11"/>
        <v>7609.4507673752714</v>
      </c>
      <c r="R44" s="283">
        <f t="shared" si="11"/>
        <v>7761.6397827227765</v>
      </c>
      <c r="S44" s="283">
        <f t="shared" si="11"/>
        <v>7916.8725783772325</v>
      </c>
      <c r="T44" s="283">
        <f t="shared" si="11"/>
        <v>8075.2100299447757</v>
      </c>
      <c r="U44" s="283">
        <f t="shared" si="11"/>
        <v>8236.7142305436719</v>
      </c>
      <c r="V44" s="283">
        <f t="shared" si="11"/>
        <v>8401.4485151545468</v>
      </c>
      <c r="W44" s="283">
        <f t="shared" si="11"/>
        <v>8569.4774854576372</v>
      </c>
      <c r="X44" s="283">
        <f t="shared" si="11"/>
        <v>8740.8670351667879</v>
      </c>
      <c r="Y44" s="283">
        <f t="shared" si="11"/>
        <v>8915.6843758701252</v>
      </c>
    </row>
    <row r="45" spans="3:25" ht="13.5" customHeight="1">
      <c r="C45" s="15" t="s">
        <v>359</v>
      </c>
      <c r="D45" s="8"/>
      <c r="E45" s="287">
        <f t="shared" ref="E45:Y45" si="12">E41-E44</f>
        <v>135364.12</v>
      </c>
      <c r="F45" s="287">
        <f t="shared" si="12"/>
        <v>230582.40479999996</v>
      </c>
      <c r="G45" s="287">
        <f t="shared" si="12"/>
        <v>229896.35529599994</v>
      </c>
      <c r="H45" s="287">
        <f t="shared" si="12"/>
        <v>228984.67689791982</v>
      </c>
      <c r="I45" s="287">
        <f t="shared" si="12"/>
        <v>227834.3807117182</v>
      </c>
      <c r="J45" s="287">
        <f t="shared" si="12"/>
        <v>226431.87901282607</v>
      </c>
      <c r="K45" s="287">
        <f t="shared" si="12"/>
        <v>224762.9597074315</v>
      </c>
      <c r="L45" s="287">
        <f t="shared" si="12"/>
        <v>222812.7597405024</v>
      </c>
      <c r="M45" s="287">
        <f t="shared" si="12"/>
        <v>220565.73740779172</v>
      </c>
      <c r="N45" s="287">
        <f t="shared" si="12"/>
        <v>218005.64352732612</v>
      </c>
      <c r="O45" s="287">
        <f t="shared" si="12"/>
        <v>220553.19015443124</v>
      </c>
      <c r="P45" s="287">
        <f t="shared" si="12"/>
        <v>223106.37355799202</v>
      </c>
      <c r="Q45" s="287">
        <f t="shared" si="12"/>
        <v>225664.17361963613</v>
      </c>
      <c r="R45" s="287">
        <f t="shared" si="12"/>
        <v>228225.52149727542</v>
      </c>
      <c r="S45" s="287">
        <f t="shared" si="12"/>
        <v>230789.29794259832</v>
      </c>
      <c r="T45" s="287">
        <f t="shared" si="12"/>
        <v>233354.33156721189</v>
      </c>
      <c r="U45" s="287">
        <f t="shared" si="12"/>
        <v>235919.39705596233</v>
      </c>
      <c r="V45" s="287">
        <f t="shared" si="12"/>
        <v>238483.21332592278</v>
      </c>
      <c r="W45" s="287">
        <f t="shared" si="12"/>
        <v>241044.44162950336</v>
      </c>
      <c r="X45" s="287">
        <f t="shared" si="12"/>
        <v>243601.68360008203</v>
      </c>
      <c r="Y45" s="287">
        <f t="shared" si="12"/>
        <v>246153.47923852221</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(E$12&gt;=$F$2)*IFERROR(INDEX('02_Debt Engine'!$F$46:$Z$62,MATCH($C$1,'02_Debt Engine'!$B$19:$B$35,0),MATCH(E$12,'02_Debt Engine'!$F$45:$Z$45,0)),0)</f>
        <v>176698.83</v>
      </c>
      <c r="F48" s="286">
        <f>(F$12&gt;=$F$2)*IFERROR(INDEX('02_Debt Engine'!$F$46:$Z$62,MATCH($C$1,'02_Debt Engine'!$B$19:$B$35,0),MATCH(F$12,'02_Debt Engine'!$F$45:$Z$45,0)),0)</f>
        <v>1802.6832306482922</v>
      </c>
      <c r="G48" s="286">
        <f>(G$12&gt;=$F$2)*IFERROR(INDEX('02_Debt Engine'!$F$46:$Z$62,MATCH($C$1,'02_Debt Engine'!$B$19:$B$35,0),MATCH(G$12,'02_Debt Engine'!$F$45:$Z$45,0)),0)</f>
        <v>0</v>
      </c>
      <c r="H48" s="286">
        <f>(H$12&gt;=$F$2)*IFERROR(INDEX('02_Debt Engine'!$F$46:$Z$62,MATCH($C$1,'02_Debt Engine'!$B$19:$B$35,0),MATCH(H$12,'02_Debt Engine'!$F$45:$Z$45,0)),0)</f>
        <v>0</v>
      </c>
      <c r="I48" s="286">
        <f>(I$12&gt;=$F$2)*IFERROR(INDEX('02_Debt Engine'!$F$46:$Z$62,MATCH($C$1,'02_Debt Engine'!$B$19:$B$35,0),MATCH(I$12,'02_Debt Engine'!$F$45:$Z$45,0)),0)</f>
        <v>0</v>
      </c>
      <c r="J48" s="286">
        <f>(J$12&gt;=$F$2)*IFERROR(INDEX('02_Debt Engine'!$F$46:$Z$62,MATCH($C$1,'02_Debt Engine'!$B$19:$B$35,0),MATCH(J$12,'02_Debt Engine'!$F$45:$Z$45,0)),0)</f>
        <v>0</v>
      </c>
      <c r="K48" s="286">
        <f>(K$12&gt;=$F$2)*IFERROR(INDEX('02_Debt Engine'!$F$46:$Z$62,MATCH($C$1,'02_Debt Engine'!$B$19:$B$35,0),MATCH(K$12,'02_Debt Engine'!$F$45:$Z$45,0)),0)</f>
        <v>0</v>
      </c>
      <c r="L48" s="286">
        <f>(L$12&gt;=$F$2)*IFERROR(INDEX('02_Debt Engine'!$F$46:$Z$62,MATCH($C$1,'02_Debt Engine'!$B$19:$B$35,0),MATCH(L$12,'02_Debt Engine'!$F$45:$Z$45,0)),0)</f>
        <v>0</v>
      </c>
      <c r="M48" s="286">
        <f>(M$12&gt;=$F$2)*IFERROR(INDEX('02_Debt Engine'!$F$46:$Z$62,MATCH($C$1,'02_Debt Engine'!$B$19:$B$35,0),MATCH(M$12,'02_Debt Engine'!$F$45:$Z$45,0)),0)</f>
        <v>0</v>
      </c>
      <c r="N48" s="286">
        <f>(N$12&gt;=$F$2)*IFERROR(INDEX('02_Debt Engine'!$F$46:$Z$62,MATCH($C$1,'02_Debt Engine'!$B$19:$B$35,0),MATCH(N$12,'02_Debt Engine'!$F$45:$Z$45,0)),0)</f>
        <v>0</v>
      </c>
      <c r="O48" s="286">
        <f>(O$12&gt;=$F$2)*IFERROR(INDEX('02_Debt Engine'!$F$46:$Z$62,MATCH($C$1,'02_Debt Engine'!$B$19:$B$35,0),MATCH(O$12,'02_Debt Engine'!$F$45:$Z$45,0)),0)</f>
        <v>0</v>
      </c>
      <c r="P48" s="286">
        <f>(P$12&gt;=$F$2)*IFERROR(INDEX('02_Debt Engine'!$F$46:$Z$62,MATCH($C$1,'02_Debt Engine'!$B$19:$B$35,0),MATCH(P$12,'02_Debt Engine'!$F$45:$Z$45,0)),0)</f>
        <v>0</v>
      </c>
      <c r="Q48" s="286">
        <f>(Q$12&gt;=$F$2)*IFERROR(INDEX('02_Debt Engine'!$F$46:$Z$62,MATCH($C$1,'02_Debt Engine'!$B$19:$B$35,0),MATCH(Q$12,'02_Debt Engine'!$F$45:$Z$45,0)),0)</f>
        <v>0</v>
      </c>
      <c r="R48" s="286">
        <f>(R$12&gt;=$F$2)*IFERROR(INDEX('02_Debt Engine'!$F$46:$Z$62,MATCH($C$1,'02_Debt Engine'!$B$19:$B$35,0),MATCH(R$12,'02_Debt Engine'!$F$45:$Z$45,0)),0)</f>
        <v>0</v>
      </c>
      <c r="S48" s="286">
        <f>(S$12&gt;=$F$2)*IFERROR(INDEX('02_Debt Engine'!$F$46:$Z$62,MATCH($C$1,'02_Debt Engine'!$B$19:$B$35,0),MATCH(S$12,'02_Debt Engine'!$F$45:$Z$45,0)),0)</f>
        <v>0</v>
      </c>
      <c r="T48" s="286">
        <f>(T$12&gt;=$F$2)*IFERROR(INDEX('02_Debt Engine'!$F$46:$Z$62,MATCH($C$1,'02_Debt Engine'!$B$19:$B$35,0),MATCH(T$12,'02_Debt Engine'!$F$45:$Z$45,0)),0)</f>
        <v>0</v>
      </c>
      <c r="U48" s="286">
        <f>(U$12&gt;=$F$2)*IFERROR(INDEX('02_Debt Engine'!$F$46:$Z$62,MATCH($C$1,'02_Debt Engine'!$B$19:$B$35,0),MATCH(U$12,'02_Debt Engine'!$F$45:$Z$45,0)),0)</f>
        <v>0</v>
      </c>
      <c r="V48" s="286">
        <f>(V$12&gt;=$F$2)*IFERROR(INDEX('02_Debt Engine'!$F$46:$Z$62,MATCH($C$1,'02_Debt Engine'!$B$19:$B$35,0),MATCH(V$12,'02_Debt Engine'!$F$45:$Z$45,0)),0)</f>
        <v>0</v>
      </c>
      <c r="W48" s="286">
        <f>(W$12&gt;=$F$2)*IFERROR(INDEX('02_Debt Engine'!$F$46:$Z$62,MATCH($C$1,'02_Debt Engine'!$B$19:$B$35,0),MATCH(W$12,'02_Debt Engine'!$F$45:$Z$45,0)),0)</f>
        <v>0</v>
      </c>
      <c r="X48" s="286">
        <f>(X$12&gt;=$F$2)*IFERROR(INDEX('02_Debt Engine'!$F$46:$Z$62,MATCH($C$1,'02_Debt Engine'!$B$19:$B$35,0),MATCH(X$12,'02_Debt Engine'!$F$45:$Z$45,0)),0)</f>
        <v>0</v>
      </c>
      <c r="Y48" s="286">
        <f>(Y$12&gt;=$F$2)*IFERROR(INDEX('02_Debt Engine'!$F$46:$Z$62,MATCH($C$1,'02_Debt Engine'!$B$19:$B$35,0),MATCH(Y$12,'02_Debt Engine'!$F$45:$Z$45,0)),0)</f>
        <v>0</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0.8000286136586191</v>
      </c>
      <c r="F50" s="290">
        <f t="shared" si="14"/>
        <v>131.30560088190069</v>
      </c>
      <c r="G50" s="290" t="str">
        <f t="shared" si="14"/>
        <v/>
      </c>
      <c r="H50" s="290" t="str">
        <f t="shared" si="14"/>
        <v/>
      </c>
      <c r="I50" s="290" t="str">
        <f t="shared" si="14"/>
        <v/>
      </c>
      <c r="J50" s="290" t="str">
        <f t="shared" si="14"/>
        <v/>
      </c>
      <c r="K50" s="290" t="str">
        <f t="shared" si="14"/>
        <v/>
      </c>
      <c r="L50" s="290" t="str">
        <f t="shared" si="14"/>
        <v/>
      </c>
      <c r="M50" s="290" t="str">
        <f t="shared" si="14"/>
        <v/>
      </c>
      <c r="N50" s="290" t="str">
        <f t="shared" si="14"/>
        <v/>
      </c>
      <c r="O50" s="290" t="str">
        <f t="shared" si="14"/>
        <v/>
      </c>
      <c r="P50" s="290" t="str">
        <f t="shared" si="14"/>
        <v/>
      </c>
      <c r="Q50" s="290" t="str">
        <f t="shared" si="14"/>
        <v/>
      </c>
      <c r="R50" s="290" t="str">
        <f t="shared" si="14"/>
        <v/>
      </c>
      <c r="S50" s="290" t="str">
        <f t="shared" si="14"/>
        <v/>
      </c>
      <c r="T50" s="290" t="str">
        <f t="shared" si="14"/>
        <v/>
      </c>
      <c r="U50" s="290" t="str">
        <f t="shared" si="14"/>
        <v/>
      </c>
      <c r="V50" s="290" t="str">
        <f t="shared" si="14"/>
        <v/>
      </c>
      <c r="W50" s="290" t="str">
        <f t="shared" si="14"/>
        <v/>
      </c>
      <c r="X50" s="290" t="str">
        <f t="shared" si="14"/>
        <v/>
      </c>
      <c r="Y50" s="290" t="str">
        <f t="shared" si="14"/>
        <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-35334.709999999992</v>
      </c>
      <c r="F52" s="291">
        <f t="shared" si="15"/>
        <v>234899.72156935168</v>
      </c>
      <c r="G52" s="291">
        <f t="shared" si="15"/>
        <v>236138.75529599993</v>
      </c>
      <c r="H52" s="291">
        <f t="shared" si="15"/>
        <v>235351.92489791982</v>
      </c>
      <c r="I52" s="291">
        <f t="shared" si="15"/>
        <v>234328.97367171821</v>
      </c>
      <c r="J52" s="291">
        <f t="shared" si="15"/>
        <v>233056.36383202608</v>
      </c>
      <c r="K52" s="291">
        <f t="shared" si="15"/>
        <v>231519.9342230155</v>
      </c>
      <c r="L52" s="291">
        <f t="shared" si="15"/>
        <v>229704.87374639808</v>
      </c>
      <c r="M52" s="291">
        <f t="shared" si="15"/>
        <v>227595.69369380531</v>
      </c>
      <c r="N52" s="291">
        <f t="shared" si="15"/>
        <v>225176.19893905998</v>
      </c>
      <c r="O52" s="291">
        <f t="shared" si="15"/>
        <v>227867.1566743998</v>
      </c>
      <c r="P52" s="291">
        <f t="shared" si="15"/>
        <v>230566.61940835993</v>
      </c>
      <c r="Q52" s="291">
        <f t="shared" si="15"/>
        <v>233273.6243870114</v>
      </c>
      <c r="R52" s="291">
        <f t="shared" si="15"/>
        <v>235987.1612799982</v>
      </c>
      <c r="S52" s="291">
        <f t="shared" si="15"/>
        <v>238706.17052097555</v>
      </c>
      <c r="T52" s="291">
        <f t="shared" si="15"/>
        <v>241429.54159715667</v>
      </c>
      <c r="U52" s="291">
        <f t="shared" si="15"/>
        <v>244156.111286506</v>
      </c>
      <c r="V52" s="291">
        <f t="shared" si="15"/>
        <v>246884.66184107732</v>
      </c>
      <c r="W52" s="291">
        <f t="shared" si="15"/>
        <v>249613.919114961</v>
      </c>
      <c r="X52" s="291">
        <f t="shared" si="15"/>
        <v>252342.55063524883</v>
      </c>
      <c r="Y52" s="291">
        <f t="shared" si="15"/>
        <v>255069.16361439234</v>
      </c>
    </row>
    <row r="53" spans="3:25" ht="7.15" customHeight="1">
      <c r="C53" s="14"/>
      <c r="D53" s="17"/>
    </row>
    <row r="54" spans="3:25" ht="13.5" customHeight="1">
      <c r="C54" s="15" t="s">
        <v>363</v>
      </c>
      <c r="D54" s="20"/>
      <c r="E54" s="292">
        <f t="shared" ref="E54:Y54" si="16">IF(E52&lt;0,0,E52*$G$7)</f>
        <v>0</v>
      </c>
      <c r="F54" s="292">
        <f t="shared" si="16"/>
        <v>140939.83294161101</v>
      </c>
      <c r="G54" s="292">
        <f t="shared" si="16"/>
        <v>141683.25317759995</v>
      </c>
      <c r="H54" s="292">
        <f t="shared" si="16"/>
        <v>141211.15493875189</v>
      </c>
      <c r="I54" s="292">
        <f t="shared" si="16"/>
        <v>140597.38420303093</v>
      </c>
      <c r="J54" s="292">
        <f t="shared" si="16"/>
        <v>139833.81829921564</v>
      </c>
      <c r="K54" s="292">
        <f t="shared" si="16"/>
        <v>138911.9605338093</v>
      </c>
      <c r="L54" s="292">
        <f t="shared" si="16"/>
        <v>137822.92424783885</v>
      </c>
      <c r="M54" s="292">
        <f t="shared" si="16"/>
        <v>136557.41621628319</v>
      </c>
      <c r="N54" s="292">
        <f t="shared" si="16"/>
        <v>135105.71936343599</v>
      </c>
      <c r="O54" s="292">
        <f t="shared" si="16"/>
        <v>136720.29400463987</v>
      </c>
      <c r="P54" s="292">
        <f t="shared" si="16"/>
        <v>138339.97164501596</v>
      </c>
      <c r="Q54" s="292">
        <f t="shared" si="16"/>
        <v>139964.17463220682</v>
      </c>
      <c r="R54" s="292">
        <f t="shared" si="16"/>
        <v>141592.29676799892</v>
      </c>
      <c r="S54" s="292">
        <f t="shared" si="16"/>
        <v>143223.70231258532</v>
      </c>
      <c r="T54" s="292">
        <f t="shared" si="16"/>
        <v>144857.72495829398</v>
      </c>
      <c r="U54" s="292">
        <f t="shared" si="16"/>
        <v>146493.6667719036</v>
      </c>
      <c r="V54" s="292">
        <f t="shared" si="16"/>
        <v>148130.79710464639</v>
      </c>
      <c r="W54" s="292">
        <f t="shared" si="16"/>
        <v>149768.35146897659</v>
      </c>
      <c r="X54" s="292">
        <f t="shared" si="16"/>
        <v>151405.53038114929</v>
      </c>
      <c r="Y54" s="292">
        <f t="shared" si="16"/>
        <v>153041.49816863539</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-35334.709999999992</v>
      </c>
      <c r="F56" s="291">
        <f t="shared" si="17"/>
        <v>93959.888627740671</v>
      </c>
      <c r="G56" s="291">
        <f t="shared" si="17"/>
        <v>94455.502118399978</v>
      </c>
      <c r="H56" s="291">
        <f t="shared" si="17"/>
        <v>94140.769959167927</v>
      </c>
      <c r="I56" s="291">
        <f t="shared" si="17"/>
        <v>93731.589468687278</v>
      </c>
      <c r="J56" s="291">
        <f t="shared" si="17"/>
        <v>93222.545532810444</v>
      </c>
      <c r="K56" s="291">
        <f t="shared" si="17"/>
        <v>92607.973689206206</v>
      </c>
      <c r="L56" s="291">
        <f t="shared" si="17"/>
        <v>91881.949498559232</v>
      </c>
      <c r="M56" s="291">
        <f t="shared" si="17"/>
        <v>91038.277477522119</v>
      </c>
      <c r="N56" s="291">
        <f t="shared" si="17"/>
        <v>90070.479575623991</v>
      </c>
      <c r="O56" s="291">
        <f t="shared" si="17"/>
        <v>91146.862669759925</v>
      </c>
      <c r="P56" s="291">
        <f t="shared" si="17"/>
        <v>92226.647763343964</v>
      </c>
      <c r="Q56" s="291">
        <f t="shared" si="17"/>
        <v>93309.449754804577</v>
      </c>
      <c r="R56" s="291">
        <f t="shared" si="17"/>
        <v>94394.864511999273</v>
      </c>
      <c r="S56" s="291">
        <f t="shared" si="17"/>
        <v>95482.46820839023</v>
      </c>
      <c r="T56" s="291">
        <f t="shared" si="17"/>
        <v>96571.816638862685</v>
      </c>
      <c r="U56" s="291">
        <f t="shared" si="17"/>
        <v>97662.444514602394</v>
      </c>
      <c r="V56" s="291">
        <f t="shared" si="17"/>
        <v>98753.864736430929</v>
      </c>
      <c r="W56" s="291">
        <f t="shared" si="17"/>
        <v>99845.567645984411</v>
      </c>
      <c r="X56" s="291">
        <f t="shared" si="17"/>
        <v>100937.02025409954</v>
      </c>
      <c r="Y56" s="291">
        <f t="shared" si="17"/>
        <v>102027.66544575695</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
      </c>
      <c r="I60" s="288" t="str">
        <f t="shared" si="18"/>
        <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0</v>
      </c>
      <c r="I63" s="285">
        <f t="shared" si="19"/>
        <v>0</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1784.6581829999923</v>
      </c>
      <c r="F64" s="296">
        <f>INDEX('02_Debt Engine'!$F$74:$Z$90,MATCH($C$1,'02_Debt Engine'!$B$74:$B$90,0),MATCH(F$12,'02_Debt Engine'!$F$73:$Z$73,0))</f>
        <v>0</v>
      </c>
      <c r="G64" s="296">
        <f>INDEX('02_Debt Engine'!$F$74:$Z$90,MATCH($C$1,'02_Debt Engine'!$B$74:$B$90,0),MATCH(G$12,'02_Debt Engine'!$F$73:$Z$73,0))</f>
        <v>0</v>
      </c>
      <c r="H64" s="296">
        <f>INDEX('02_Debt Engine'!$F$74:$Z$90,MATCH($C$1,'02_Debt Engine'!$B$74:$B$90,0),MATCH(H$12,'02_Debt Engine'!$F$73:$Z$73,0))</f>
        <v>0</v>
      </c>
      <c r="I64" s="296">
        <f>INDEX('02_Debt Engine'!$F$74:$Z$90,MATCH($C$1,'02_Debt Engine'!$B$74:$B$90,0),MATCH(I$12,'02_Debt Engine'!$F$73:$Z$73,0))</f>
        <v>0</v>
      </c>
      <c r="J64" s="296">
        <f>INDEX('02_Debt Engine'!$F$74:$Z$90,MATCH($C$1,'02_Debt Engine'!$B$74:$B$90,0),MATCH(J$12,'02_Debt Engine'!$F$73:$Z$73,0))</f>
        <v>0</v>
      </c>
      <c r="K64" s="296">
        <f>INDEX('02_Debt Engine'!$F$74:$Z$90,MATCH($C$1,'02_Debt Engine'!$B$74:$B$90,0),MATCH(K$12,'02_Debt Engine'!$F$73:$Z$73,0))</f>
        <v>0</v>
      </c>
      <c r="L64" s="296">
        <f>INDEX('02_Debt Engine'!$F$74:$Z$90,MATCH($C$1,'02_Debt Engine'!$B$74:$B$90,0),MATCH(L$12,'02_Debt Engine'!$F$73:$Z$73,0))</f>
        <v>0</v>
      </c>
      <c r="M64" s="296">
        <f>INDEX('02_Debt Engine'!$F$74:$Z$90,MATCH($C$1,'02_Debt Engine'!$B$74:$B$90,0),MATCH(M$12,'02_Debt Engine'!$F$73:$Z$73,0))</f>
        <v>0</v>
      </c>
      <c r="N64" s="296">
        <f>INDEX('02_Debt Engine'!$F$74:$Z$90,MATCH($C$1,'02_Debt Engine'!$B$74:$B$90,0),MATCH(N$12,'02_Debt Engine'!$F$73:$Z$73,0))</f>
        <v>0</v>
      </c>
      <c r="O64" s="296">
        <f>INDEX('02_Debt Engine'!$F$74:$Z$90,MATCH($C$1,'02_Debt Engine'!$B$74:$B$90,0),MATCH(O$12,'02_Debt Engine'!$F$73:$Z$73,0))</f>
        <v>0</v>
      </c>
      <c r="P64" s="296">
        <f>INDEX('02_Debt Engine'!$F$74:$Z$90,MATCH($C$1,'02_Debt Engine'!$B$74:$B$90,0),MATCH(P$12,'02_Debt Engine'!$F$73:$Z$73,0))</f>
        <v>0</v>
      </c>
      <c r="Q64" s="296">
        <f>INDEX('02_Debt Engine'!$F$74:$Z$90,MATCH($C$1,'02_Debt Engine'!$B$74:$B$90,0),MATCH(Q$12,'02_Debt Engine'!$F$73:$Z$73,0))</f>
        <v>0</v>
      </c>
      <c r="R64" s="296">
        <f>INDEX('02_Debt Engine'!$F$74:$Z$90,MATCH($C$1,'02_Debt Engine'!$B$74:$B$90,0),MATCH(R$12,'02_Debt Engine'!$F$73:$Z$73,0))</f>
        <v>0</v>
      </c>
      <c r="S64" s="296">
        <f>INDEX('02_Debt Engine'!$F$74:$Z$90,MATCH($C$1,'02_Debt Engine'!$B$74:$B$90,0),MATCH(S$12,'02_Debt Engine'!$F$73:$Z$73,0))</f>
        <v>0</v>
      </c>
      <c r="T64" s="296">
        <f>INDEX('02_Debt Engine'!$F$74:$Z$90,MATCH($C$1,'02_Debt Engine'!$B$74:$B$90,0),MATCH(T$12,'02_Debt Engine'!$F$73:$Z$73,0))</f>
        <v>0</v>
      </c>
      <c r="U64" s="296">
        <f>INDEX('02_Debt Engine'!$F$74:$Z$90,MATCH($C$1,'02_Debt Engine'!$B$74:$B$90,0),MATCH(U$12,'02_Debt Engine'!$F$73:$Z$73,0))</f>
        <v>0</v>
      </c>
      <c r="V64" s="296">
        <f>INDEX('02_Debt Engine'!$F$74:$Z$90,MATCH($C$1,'02_Debt Engine'!$B$74:$B$90,0),MATCH(V$12,'02_Debt Engine'!$F$73:$Z$73,0))</f>
        <v>0</v>
      </c>
      <c r="W64" s="296">
        <f>INDEX('02_Debt Engine'!$F$74:$Z$90,MATCH($C$1,'02_Debt Engine'!$B$74:$B$90,0),MATCH(W$12,'02_Debt Engine'!$F$73:$Z$73,0))</f>
        <v>0</v>
      </c>
      <c r="X64" s="296">
        <f>INDEX('02_Debt Engine'!$F$74:$Z$90,MATCH($C$1,'02_Debt Engine'!$B$74:$B$90,0),MATCH(X$12,'02_Debt Engine'!$F$73:$Z$73,0))</f>
        <v>0</v>
      </c>
      <c r="Y64" s="296">
        <f>INDEX('02_Debt Engine'!$F$74:$Z$90,MATCH($C$1,'02_Debt Engine'!$B$74:$B$90,0),MATCH(Y$12,'02_Debt Engine'!$F$73:$Z$73,0))</f>
        <v>0</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
      </c>
      <c r="I66" s="288" t="str">
        <f t="shared" si="20"/>
        <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-35334.709999999992</v>
      </c>
      <c r="F67" s="285">
        <f t="shared" si="21"/>
        <v>93959.888627740671</v>
      </c>
      <c r="G67" s="285">
        <f t="shared" si="21"/>
        <v>94455.502118399978</v>
      </c>
      <c r="H67" s="285">
        <f t="shared" si="21"/>
        <v>94140.769959167927</v>
      </c>
      <c r="I67" s="285">
        <f t="shared" si="21"/>
        <v>93731.589468687278</v>
      </c>
      <c r="J67" s="285">
        <f t="shared" si="21"/>
        <v>93222.545532810444</v>
      </c>
      <c r="K67" s="285">
        <f t="shared" si="21"/>
        <v>92607.973689206206</v>
      </c>
      <c r="L67" s="285">
        <f t="shared" si="21"/>
        <v>91881.949498559232</v>
      </c>
      <c r="M67" s="285">
        <f t="shared" si="21"/>
        <v>91038.277477522119</v>
      </c>
      <c r="N67" s="285">
        <f t="shared" si="21"/>
        <v>90070.479575623991</v>
      </c>
      <c r="O67" s="285">
        <f t="shared" si="21"/>
        <v>91146.862669759925</v>
      </c>
      <c r="P67" s="285">
        <f t="shared" si="21"/>
        <v>92226.647763343964</v>
      </c>
      <c r="Q67" s="285">
        <f t="shared" si="21"/>
        <v>93309.449754804577</v>
      </c>
      <c r="R67" s="285">
        <f t="shared" si="21"/>
        <v>94394.864511999273</v>
      </c>
      <c r="S67" s="285">
        <f t="shared" si="21"/>
        <v>95482.46820839023</v>
      </c>
      <c r="T67" s="285">
        <f t="shared" si="21"/>
        <v>96571.816638862685</v>
      </c>
      <c r="U67" s="285">
        <f t="shared" si="21"/>
        <v>97662.444514602394</v>
      </c>
      <c r="V67" s="285">
        <f t="shared" si="21"/>
        <v>98753.864736430929</v>
      </c>
      <c r="W67" s="285">
        <f t="shared" si="21"/>
        <v>99845.567645984411</v>
      </c>
      <c r="X67" s="285">
        <f t="shared" si="21"/>
        <v>100937.02025409954</v>
      </c>
      <c r="Y67" s="285">
        <f t="shared" si="21"/>
        <v>102027.66544575695</v>
      </c>
    </row>
    <row r="68" spans="3:25" s="20" customFormat="1" ht="13.5" customHeight="1">
      <c r="C68" s="26" t="s">
        <v>544</v>
      </c>
      <c r="E68" s="287">
        <f t="shared" ref="E68:Y68" si="22">E67+E$63</f>
        <v>-35334.709999999992</v>
      </c>
      <c r="F68" s="287">
        <f t="shared" si="22"/>
        <v>93959.888627740671</v>
      </c>
      <c r="G68" s="287">
        <f t="shared" si="22"/>
        <v>94455.502118399978</v>
      </c>
      <c r="H68" s="287">
        <f t="shared" si="22"/>
        <v>94140.769959167927</v>
      </c>
      <c r="I68" s="287">
        <f t="shared" si="22"/>
        <v>93731.589468687278</v>
      </c>
      <c r="J68" s="287">
        <f t="shared" si="22"/>
        <v>93222.545532810444</v>
      </c>
      <c r="K68" s="287">
        <f t="shared" si="22"/>
        <v>92607.973689206206</v>
      </c>
      <c r="L68" s="287">
        <f t="shared" si="22"/>
        <v>91881.949498559232</v>
      </c>
      <c r="M68" s="287">
        <f t="shared" si="22"/>
        <v>91038.277477522119</v>
      </c>
      <c r="N68" s="287">
        <f t="shared" si="22"/>
        <v>90070.479575623991</v>
      </c>
      <c r="O68" s="287">
        <f t="shared" si="22"/>
        <v>91146.862669759925</v>
      </c>
      <c r="P68" s="287">
        <f t="shared" si="22"/>
        <v>92226.647763343964</v>
      </c>
      <c r="Q68" s="287">
        <f t="shared" si="22"/>
        <v>93309.449754804577</v>
      </c>
      <c r="R68" s="287">
        <f t="shared" si="22"/>
        <v>94394.864511999273</v>
      </c>
      <c r="S68" s="287">
        <f t="shared" si="22"/>
        <v>95482.46820839023</v>
      </c>
      <c r="T68" s="287">
        <f t="shared" si="22"/>
        <v>96571.816638862685</v>
      </c>
      <c r="U68" s="287">
        <f t="shared" si="22"/>
        <v>97662.444514602394</v>
      </c>
      <c r="V68" s="287">
        <f t="shared" si="22"/>
        <v>98753.864736430929</v>
      </c>
      <c r="W68" s="287">
        <f t="shared" si="22"/>
        <v>99845.567645984411</v>
      </c>
      <c r="X68" s="287">
        <f t="shared" si="22"/>
        <v>100937.02025409954</v>
      </c>
      <c r="Y68" s="287">
        <f t="shared" si="22"/>
        <v>102027.66544575695</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2356068.6666666665</v>
      </c>
      <c r="F73" s="285">
        <f t="shared" si="24"/>
        <v>3945040.0799999996</v>
      </c>
      <c r="G73" s="285">
        <f t="shared" si="24"/>
        <v>3935645.9215999991</v>
      </c>
      <c r="H73" s="285">
        <f t="shared" si="24"/>
        <v>3922532.0816319971</v>
      </c>
      <c r="I73" s="285">
        <f t="shared" si="24"/>
        <v>3905482.8945286372</v>
      </c>
      <c r="J73" s="285">
        <f t="shared" si="24"/>
        <v>3884272.730533768</v>
      </c>
      <c r="K73" s="285">
        <f t="shared" si="24"/>
        <v>3858665.570383592</v>
      </c>
      <c r="L73" s="285">
        <f t="shared" si="24"/>
        <v>3828414.5624399683</v>
      </c>
      <c r="M73" s="285">
        <f t="shared" si="24"/>
        <v>3793261.561563422</v>
      </c>
      <c r="N73" s="285">
        <f t="shared" si="24"/>
        <v>3752936.648984333</v>
      </c>
      <c r="O73" s="285">
        <f t="shared" si="24"/>
        <v>3797785.9445733302</v>
      </c>
      <c r="P73" s="285">
        <f t="shared" si="24"/>
        <v>3842776.9901393321</v>
      </c>
      <c r="Q73" s="285">
        <f t="shared" si="24"/>
        <v>3887893.7397835236</v>
      </c>
      <c r="R73" s="285">
        <f t="shared" si="24"/>
        <v>3933119.3546666368</v>
      </c>
      <c r="S73" s="285">
        <f t="shared" si="24"/>
        <v>3978436.1753495927</v>
      </c>
      <c r="T73" s="285">
        <f t="shared" si="24"/>
        <v>4023825.6932859444</v>
      </c>
      <c r="U73" s="285">
        <f t="shared" si="24"/>
        <v>4069268.521441767</v>
      </c>
      <c r="V73" s="285">
        <f t="shared" si="24"/>
        <v>4114744.3640179555</v>
      </c>
      <c r="W73" s="285">
        <f t="shared" si="24"/>
        <v>4160231.9852493503</v>
      </c>
      <c r="X73" s="285">
        <f t="shared" si="24"/>
        <v>4205709.1772541469</v>
      </c>
      <c r="Y73" s="285">
        <f t="shared" si="24"/>
        <v>4251152.7269065389</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
      </c>
      <c r="I75" s="288" t="str">
        <f t="shared" si="25"/>
        <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1784.6581829999923</v>
      </c>
      <c r="F76" s="285">
        <f t="shared" si="26"/>
        <v>0</v>
      </c>
      <c r="G76" s="285">
        <f t="shared" si="26"/>
        <v>0</v>
      </c>
      <c r="H76" s="285">
        <f t="shared" si="26"/>
        <v>0</v>
      </c>
      <c r="I76" s="285">
        <f t="shared" si="26"/>
        <v>0</v>
      </c>
      <c r="J76" s="285">
        <f t="shared" si="26"/>
        <v>0</v>
      </c>
      <c r="K76" s="285">
        <f t="shared" si="26"/>
        <v>0</v>
      </c>
      <c r="L76" s="285">
        <f t="shared" si="26"/>
        <v>0</v>
      </c>
      <c r="M76" s="285">
        <f t="shared" si="26"/>
        <v>0</v>
      </c>
      <c r="N76" s="285">
        <f t="shared" si="26"/>
        <v>0</v>
      </c>
      <c r="O76" s="285">
        <f t="shared" si="26"/>
        <v>0</v>
      </c>
      <c r="P76" s="285">
        <f t="shared" si="26"/>
        <v>0</v>
      </c>
      <c r="Q76" s="285">
        <f t="shared" si="26"/>
        <v>0</v>
      </c>
      <c r="R76" s="285">
        <f t="shared" si="26"/>
        <v>0</v>
      </c>
      <c r="S76" s="285">
        <f t="shared" si="26"/>
        <v>0</v>
      </c>
      <c r="T76" s="285">
        <f t="shared" si="26"/>
        <v>0</v>
      </c>
      <c r="U76" s="285">
        <f t="shared" si="26"/>
        <v>0</v>
      </c>
      <c r="V76" s="285">
        <f t="shared" si="26"/>
        <v>0</v>
      </c>
      <c r="W76" s="285">
        <f t="shared" si="26"/>
        <v>0</v>
      </c>
      <c r="X76" s="285">
        <f t="shared" si="26"/>
        <v>0</v>
      </c>
      <c r="Y76" s="285">
        <f t="shared" si="26"/>
        <v>0</v>
      </c>
    </row>
    <row r="77" spans="3:25" ht="13.5" customHeight="1">
      <c r="C77" s="26" t="s">
        <v>376</v>
      </c>
      <c r="D77" s="21"/>
      <c r="E77" s="287">
        <f t="shared" ref="E77:Y77" si="27">E73-E$76</f>
        <v>2354284.0084836665</v>
      </c>
      <c r="F77" s="287">
        <f t="shared" si="27"/>
        <v>3945040.0799999996</v>
      </c>
      <c r="G77" s="287">
        <f t="shared" si="27"/>
        <v>3935645.9215999991</v>
      </c>
      <c r="H77" s="287">
        <f t="shared" si="27"/>
        <v>3922532.0816319971</v>
      </c>
      <c r="I77" s="287">
        <f t="shared" si="27"/>
        <v>3905482.8945286372</v>
      </c>
      <c r="J77" s="287">
        <f t="shared" si="27"/>
        <v>3884272.730533768</v>
      </c>
      <c r="K77" s="287">
        <f t="shared" si="27"/>
        <v>3858665.570383592</v>
      </c>
      <c r="L77" s="287">
        <f t="shared" si="27"/>
        <v>3828414.5624399683</v>
      </c>
      <c r="M77" s="287">
        <f t="shared" si="27"/>
        <v>3793261.561563422</v>
      </c>
      <c r="N77" s="287">
        <f t="shared" si="27"/>
        <v>3752936.648984333</v>
      </c>
      <c r="O77" s="287">
        <f t="shared" si="27"/>
        <v>3797785.9445733302</v>
      </c>
      <c r="P77" s="287">
        <f t="shared" si="27"/>
        <v>3842776.9901393321</v>
      </c>
      <c r="Q77" s="287">
        <f t="shared" si="27"/>
        <v>3887893.7397835236</v>
      </c>
      <c r="R77" s="287">
        <f t="shared" si="27"/>
        <v>3933119.3546666368</v>
      </c>
      <c r="S77" s="287">
        <f t="shared" si="27"/>
        <v>3978436.1753495927</v>
      </c>
      <c r="T77" s="287">
        <f t="shared" si="27"/>
        <v>4023825.6932859444</v>
      </c>
      <c r="U77" s="287">
        <f t="shared" si="27"/>
        <v>4069268.521441767</v>
      </c>
      <c r="V77" s="287">
        <f t="shared" si="27"/>
        <v>4114744.3640179555</v>
      </c>
      <c r="W77" s="287">
        <f t="shared" si="27"/>
        <v>4160231.9852493503</v>
      </c>
      <c r="X77" s="287">
        <f t="shared" si="27"/>
        <v>4205709.1772541469</v>
      </c>
      <c r="Y77" s="287">
        <f t="shared" si="27"/>
        <v>4251152.7269065389</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2026</v>
      </c>
      <c r="D79" s="20"/>
      <c r="E79" s="289" t="str">
        <f t="shared" ref="E79:Y79" si="28">IF(E$72=$F$2+1,"STAB. YR.","")</f>
        <v/>
      </c>
      <c r="F79" s="289" t="str">
        <f t="shared" si="28"/>
        <v>STAB. YR.</v>
      </c>
      <c r="G79" s="289" t="str">
        <f t="shared" si="28"/>
        <v/>
      </c>
      <c r="H79" s="289" t="str">
        <f t="shared" si="28"/>
        <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3945040.0799999996</v>
      </c>
      <c r="G80" s="296">
        <f t="shared" si="29"/>
        <v>0</v>
      </c>
      <c r="H80" s="296">
        <f t="shared" si="29"/>
        <v>0</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3.5833379923481033E-2</v>
      </c>
      <c r="F81" s="344">
        <f t="shared" si="30"/>
        <v>0.06</v>
      </c>
      <c r="G81" s="344">
        <f t="shared" si="30"/>
        <v>5.9857124517731126E-2</v>
      </c>
      <c r="H81" s="344">
        <f t="shared" si="30"/>
        <v>5.9657676506526099E-2</v>
      </c>
      <c r="I81" s="344">
        <f t="shared" si="30"/>
        <v>5.9398375915034614E-2</v>
      </c>
      <c r="J81" s="344">
        <f t="shared" si="30"/>
        <v>5.9075791146848397E-2</v>
      </c>
      <c r="K81" s="344">
        <f t="shared" si="30"/>
        <v>5.8686332591839099E-2</v>
      </c>
      <c r="L81" s="344">
        <f t="shared" si="30"/>
        <v>5.8226245890611608E-2</v>
      </c>
      <c r="M81" s="344">
        <f t="shared" si="30"/>
        <v>5.7691604921237032E-2</v>
      </c>
      <c r="N81" s="344">
        <f t="shared" si="30"/>
        <v>5.7078304496987517E-2</v>
      </c>
      <c r="O81" s="344">
        <f t="shared" si="30"/>
        <v>5.7760416131032014E-2</v>
      </c>
      <c r="P81" s="344">
        <f t="shared" si="30"/>
        <v>5.84446836363599E-2</v>
      </c>
      <c r="Q81" s="344">
        <f t="shared" si="30"/>
        <v>5.9130862971362108E-2</v>
      </c>
      <c r="R81" s="344">
        <f t="shared" si="30"/>
        <v>5.9818698034621288E-2</v>
      </c>
      <c r="S81" s="344">
        <f t="shared" si="30"/>
        <v>6.0507920244241363E-2</v>
      </c>
      <c r="T81" s="344">
        <f t="shared" si="30"/>
        <v>6.119824810427698E-2</v>
      </c>
      <c r="U81" s="344">
        <f t="shared" si="30"/>
        <v>6.1889386757892212E-2</v>
      </c>
      <c r="V81" s="344">
        <f t="shared" si="30"/>
        <v>6.2581027526867949E-2</v>
      </c>
      <c r="W81" s="344">
        <f t="shared" si="30"/>
        <v>6.3272847437068624E-2</v>
      </c>
      <c r="X81" s="344">
        <f t="shared" si="30"/>
        <v>6.3964508729464881E-2</v>
      </c>
      <c r="Y81" s="344">
        <f t="shared" si="30"/>
        <v>6.4655658356300494E-2</v>
      </c>
    </row>
    <row r="82" spans="1:25" s="20" customFormat="1" ht="13.9" customHeight="1">
      <c r="A82" s="3"/>
      <c r="B82" s="3"/>
      <c r="C82" s="21" t="s">
        <v>380</v>
      </c>
      <c r="E82" s="285">
        <f t="shared" ref="E82:Y82" si="31">IF(E$72=$F$2+1,E77,0)</f>
        <v>0</v>
      </c>
      <c r="F82" s="285">
        <f t="shared" si="31"/>
        <v>3945040.0799999996</v>
      </c>
      <c r="G82" s="285">
        <f t="shared" si="31"/>
        <v>0</v>
      </c>
      <c r="H82" s="285">
        <f t="shared" si="31"/>
        <v>0</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3.5833379923481033E-2</v>
      </c>
      <c r="F83" s="299">
        <f t="shared" si="32"/>
        <v>0.06</v>
      </c>
      <c r="G83" s="299">
        <f t="shared" si="32"/>
        <v>5.9857124517731126E-2</v>
      </c>
      <c r="H83" s="299">
        <f t="shared" si="32"/>
        <v>5.9657676506526099E-2</v>
      </c>
      <c r="I83" s="299">
        <f t="shared" si="32"/>
        <v>5.9398375915034614E-2</v>
      </c>
      <c r="J83" s="299">
        <f t="shared" si="32"/>
        <v>5.9075791146848397E-2</v>
      </c>
      <c r="K83" s="299">
        <f t="shared" si="32"/>
        <v>5.8686332591839099E-2</v>
      </c>
      <c r="L83" s="299">
        <f t="shared" si="32"/>
        <v>5.8226245890611608E-2</v>
      </c>
      <c r="M83" s="299">
        <f t="shared" si="32"/>
        <v>5.7691604921237032E-2</v>
      </c>
      <c r="N83" s="299">
        <f t="shared" si="32"/>
        <v>5.7078304496987517E-2</v>
      </c>
      <c r="O83" s="299">
        <f t="shared" si="32"/>
        <v>5.7760416131032014E-2</v>
      </c>
      <c r="P83" s="299">
        <f t="shared" si="32"/>
        <v>5.84446836363599E-2</v>
      </c>
      <c r="Q83" s="299">
        <f t="shared" si="32"/>
        <v>5.9130862971362108E-2</v>
      </c>
      <c r="R83" s="299">
        <f t="shared" si="32"/>
        <v>5.9818698034621288E-2</v>
      </c>
      <c r="S83" s="299">
        <f t="shared" si="32"/>
        <v>6.0507920244241363E-2</v>
      </c>
      <c r="T83" s="299">
        <f t="shared" si="32"/>
        <v>6.119824810427698E-2</v>
      </c>
      <c r="U83" s="299">
        <f t="shared" si="32"/>
        <v>6.1889386757892212E-2</v>
      </c>
      <c r="V83" s="299">
        <f t="shared" si="32"/>
        <v>6.2581027526867949E-2</v>
      </c>
      <c r="W83" s="299">
        <f t="shared" si="32"/>
        <v>6.3272847437068624E-2</v>
      </c>
      <c r="X83" s="299">
        <f t="shared" si="32"/>
        <v>6.3964508729464881E-2</v>
      </c>
      <c r="Y83" s="299">
        <f t="shared" si="32"/>
        <v>6.4655658356300494E-2</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2026</v>
      </c>
      <c r="E85" s="289" t="str">
        <f t="shared" ref="E85:Y85" si="33">IF(E$72=$F$2+1,"STAB. YR.","")</f>
        <v/>
      </c>
      <c r="F85" s="289" t="str">
        <f t="shared" si="33"/>
        <v>STAB. YR.</v>
      </c>
      <c r="G85" s="289" t="str">
        <f t="shared" si="33"/>
        <v/>
      </c>
      <c r="H85" s="289" t="str">
        <f t="shared" si="33"/>
        <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0</v>
      </c>
      <c r="F86" s="299">
        <f t="shared" si="34"/>
        <v>3.5725830431008201E-2</v>
      </c>
      <c r="G86" s="299">
        <f t="shared" si="34"/>
        <v>3.5914274710638676E-2</v>
      </c>
      <c r="H86" s="299">
        <f t="shared" si="34"/>
        <v>3.5794605903915658E-2</v>
      </c>
      <c r="I86" s="299">
        <f t="shared" si="34"/>
        <v>3.5639025549020771E-2</v>
      </c>
      <c r="J86" s="299">
        <f t="shared" si="34"/>
        <v>3.544547468810904E-2</v>
      </c>
      <c r="K86" s="299">
        <f t="shared" si="34"/>
        <v>3.5211799555103458E-2</v>
      </c>
      <c r="L86" s="299">
        <f t="shared" si="34"/>
        <v>3.4935747534366964E-2</v>
      </c>
      <c r="M86" s="299">
        <f t="shared" si="34"/>
        <v>3.4614962952742218E-2</v>
      </c>
      <c r="N86" s="299">
        <f t="shared" si="34"/>
        <v>3.4246982698192513E-2</v>
      </c>
      <c r="O86" s="299">
        <f t="shared" si="34"/>
        <v>3.4656249678619203E-2</v>
      </c>
      <c r="P86" s="299">
        <f t="shared" si="34"/>
        <v>3.5066810181815941E-2</v>
      </c>
      <c r="Q86" s="299">
        <f t="shared" si="34"/>
        <v>3.5478517782817263E-2</v>
      </c>
      <c r="R86" s="299">
        <f t="shared" si="34"/>
        <v>3.5891218820772779E-2</v>
      </c>
      <c r="S86" s="299">
        <f t="shared" si="34"/>
        <v>3.6304752146544814E-2</v>
      </c>
      <c r="T86" s="299">
        <f t="shared" si="34"/>
        <v>3.6718948862566179E-2</v>
      </c>
      <c r="U86" s="299">
        <f t="shared" si="34"/>
        <v>3.7133632054735327E-2</v>
      </c>
      <c r="V86" s="299">
        <f t="shared" si="34"/>
        <v>3.7548616516120771E-2</v>
      </c>
      <c r="W86" s="299">
        <f t="shared" si="34"/>
        <v>3.7963708462241175E-2</v>
      </c>
      <c r="X86" s="299">
        <f t="shared" si="34"/>
        <v>3.8378705237678931E-2</v>
      </c>
      <c r="Y86" s="299">
        <f t="shared" si="34"/>
        <v>3.8793395013780291E-2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9CA89-4256-4669-A5B5-F281703C832D}">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318</v>
      </c>
      <c r="E1" s="275" t="str">
        <f>INDEX('01_Property Summary'!$E$5:$E$21,MATCH($C$1,'01_Property Summary'!$C$5:$C$21,0))</f>
        <v>CNV</v>
      </c>
      <c r="F1" s="332" t="s">
        <v>536</v>
      </c>
      <c r="G1" s="333" t="s">
        <v>102</v>
      </c>
      <c r="J1" s="450" t="s">
        <v>308</v>
      </c>
      <c r="K1" s="424"/>
      <c r="L1" s="424"/>
      <c r="M1" s="424"/>
      <c r="N1" s="424"/>
      <c r="O1" s="424"/>
      <c r="P1" s="3"/>
      <c r="Q1" s="3"/>
      <c r="R1" s="3"/>
      <c r="S1" s="3"/>
      <c r="T1" s="3"/>
    </row>
    <row r="2" spans="3:25" ht="14.45" customHeight="1">
      <c r="C2" s="300" t="s">
        <v>537</v>
      </c>
      <c r="E2" s="334" t="str">
        <f>_xlfn.LET(_xlpm.refi,INDEX('02_Debt Engine'!$F$19:$F$35,MATCH($C$1,'02_Debt Engine'!$B$19:$B$35,0)),
_xlpm.refiyr,INDEX('02_Debt Engine'!$I$19:$I$35,MATCH($C$1,'02_Debt Engine'!$B$19:$B$35,0)),IF(_xlpm.refi="Yes",_xlpm.refiyr,"No Refi"))</f>
        <v>No Refi</v>
      </c>
      <c r="F2" s="334">
        <f>INDEX('01_Property Summary'!$F$5:$F$21,MATCH($C$1,'01_Property Summary'!$C$5:$C$21,0))</f>
        <v>2025</v>
      </c>
      <c r="G2" s="334">
        <f>INDEX('01_Property Summary'!$K$4:$K$21,MATCH($C$1,'01_Property Summary'!$C$4:$C$21,0))</f>
        <v>2026</v>
      </c>
      <c r="J2" s="278" t="str">
        <f>"Gate 1 — NOI ≥ 0 at stabilization ("&amp;$F$2+1&amp;"):"</f>
        <v>Gate 1 — NOI ≥ 0 at stabilization (2026):</v>
      </c>
      <c r="M2" s="451" t="str">
        <f>_xlfn.LET(_xlpm.stabnoi,INDEX($41:$41,MATCH(($F$2+1),$12:$12,0)),IF(_xlpm.stabnoi&gt;=0,"PASS — NOI $"&amp;TEXT(_xlpm.stabnoi,"#,##0"),"FAIL — NOI $"&amp;TEXT(_xlpm.stabnoi,"#,##0")))</f>
        <v>PASS — NOI $210,981</v>
      </c>
      <c r="N2" s="424"/>
      <c r="O2" s="424"/>
      <c r="S2" s="6"/>
    </row>
    <row r="3" spans="3:25" ht="14.45" customHeight="1">
      <c r="C3" s="300" t="s">
        <v>538</v>
      </c>
      <c r="E3" s="334">
        <f>INDEX('01_Property Summary'!$S$5:$S$21,MATCH($C$1,'01_Property Summary'!$C$5:$C$21,0))</f>
        <v>19</v>
      </c>
      <c r="F3" s="335">
        <f>'01_Assumptions'!$C$14</f>
        <v>0.1</v>
      </c>
      <c r="G3" s="335">
        <f>'01_Assumptions'!$C$15</f>
        <v>0.2</v>
      </c>
      <c r="J3" s="278" t="str">
        <f>"Gate 2 — DSCR ≥ 1.0× at stabilization ("&amp;$F$2+1&amp;"):"</f>
        <v>Gate 2 — DSCR ≥ 1.0× at stabilization (2026):</v>
      </c>
      <c r="M3" s="451" t="str">
        <f>_xlfn.LET(_xlpm.debt,INDEX($48:$48,MATCH(($F$2+1),$12:$12,0)),_xlpm.dscr,INDEX($50:$50,MATCH(($F$2+1),$12:$12,0)),
IF(_xlpm.debt=0,"PASS — no debt svc",IF(IFERROR(_xlpm.dscr,0)&gt;=1,"PASS — DSCR "&amp;TEXT(IFERROR(_xlpm.dscr,0),"0.00")&amp;"x","FAIL — DSCR "&amp;TEXT(IFERROR(_xlpm.dscr,0),"0.00")&amp;"x")))</f>
        <v>PASS — DSCR 9.67x</v>
      </c>
      <c r="N3" s="424"/>
      <c r="O3" s="424"/>
      <c r="S3" s="6"/>
    </row>
    <row r="4" spans="3:25" ht="14.45" customHeight="1">
      <c r="C4" s="300" t="s">
        <v>539</v>
      </c>
      <c r="E4" s="336">
        <f>INDEX('02_Rent Engine'!$H$5:$H$21,MATCH($C$1,'02_Rent Engine'!$B$5:$B$21,0))</f>
        <v>1052.6315789473686</v>
      </c>
      <c r="F4" s="336">
        <f>INDEX('02_Rent Engine'!$J$5:$J$21,MATCH($C$1,'02_Rent Engine'!$B$5:$B$21,0))</f>
        <v>3923</v>
      </c>
      <c r="G4" s="336">
        <f>($F$3*$F$4)+((1-$F$3)*$E$4)</f>
        <v>1339.6684210526316</v>
      </c>
      <c r="J4" s="280" t="s">
        <v>309</v>
      </c>
      <c r="M4" s="451" t="str">
        <f>IF(AND($J$52&gt;0,$O$52&gt;0),"PASS — AFFO $"&amp;TEXT($J$52,"#,##0")&amp;" (2030) / $"&amp;TEXT($O$52,"#,##0")&amp;" (2035)","FAIL — AFFO $"&amp;TEXT($J$52,"#,##0")&amp;" (2030) / $"&amp;TEXT($O$52,"#,##0")&amp;" (2035)")</f>
        <v>PASS — AFFO $211,617 (2030) / $212,338 (2035)</v>
      </c>
      <c r="N4" s="424"/>
      <c r="O4" s="424"/>
      <c r="S4" s="6"/>
    </row>
    <row r="5" spans="3:25" ht="14.45" customHeight="1">
      <c r="C5" s="337" t="str">
        <f>"Rent Growth — (pre / post Op. Agrmt. Expiry: "&amp;$G$2&amp;")"</f>
        <v>Rent Growth — (pre / post Op. Agrmt. Expiry: 2026)</v>
      </c>
      <c r="E5" s="338">
        <f>'01_Assumptions'!$C$5</f>
        <v>0.02</v>
      </c>
      <c r="F5" s="338">
        <f>'01_Assumptions'!$C$6</f>
        <v>0.02</v>
      </c>
      <c r="G5" s="32"/>
      <c r="L5" s="6"/>
      <c r="M5" s="6"/>
      <c r="R5" s="6"/>
      <c r="S5" s="6"/>
    </row>
    <row r="6" spans="3:25" ht="13.9" customHeight="1">
      <c r="C6" s="337" t="str">
        <f>"OpEx Growth — (pre / post Op. Agrmt. Expiry: "&amp;$G$2&amp;")"</f>
        <v>OpEx Growth — (pre / post Op. Agrmt. Expiry: 2026)</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BCHMC</v>
      </c>
      <c r="F8" s="336">
        <f>INDEX('01_Property Summary'!$Q$5:$Q$21,MATCH($C$1,'01_Property Summary'!$C$5:$C$21,0))</f>
        <v>0</v>
      </c>
      <c r="G8" s="334">
        <f>INDEX('02_Debt Engine'!$I$19:$I$35,MATCH($C$1,'02_Debt Engine'!$B$19:$B$35,0))</f>
        <v>2026</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305444.40000000002</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378306.576</v>
      </c>
      <c r="G13" s="283">
        <f t="shared" si="1"/>
        <v>385872.70752000005</v>
      </c>
      <c r="H13" s="283">
        <f t="shared" si="1"/>
        <v>393590.16167039995</v>
      </c>
      <c r="I13" s="283">
        <f t="shared" si="1"/>
        <v>401461.96490380808</v>
      </c>
      <c r="J13" s="283">
        <f t="shared" si="1"/>
        <v>409491.20420188422</v>
      </c>
      <c r="K13" s="283">
        <f t="shared" si="1"/>
        <v>417681.02828592196</v>
      </c>
      <c r="L13" s="283">
        <f t="shared" si="1"/>
        <v>426034.64885164029</v>
      </c>
      <c r="M13" s="283">
        <f t="shared" si="1"/>
        <v>434555.34182867309</v>
      </c>
      <c r="N13" s="283">
        <f t="shared" si="1"/>
        <v>443246.4486652466</v>
      </c>
      <c r="O13" s="283">
        <f t="shared" si="1"/>
        <v>452111.37763855152</v>
      </c>
      <c r="P13" s="283">
        <f t="shared" si="1"/>
        <v>461153.60519132251</v>
      </c>
      <c r="Q13" s="283">
        <f t="shared" si="1"/>
        <v>470376.67729514895</v>
      </c>
      <c r="R13" s="283">
        <f t="shared" si="1"/>
        <v>479784.210841052</v>
      </c>
      <c r="S13" s="283">
        <f t="shared" si="1"/>
        <v>489379.8950578731</v>
      </c>
      <c r="T13" s="283">
        <f t="shared" si="1"/>
        <v>499167.49295903032</v>
      </c>
      <c r="U13" s="283">
        <f t="shared" si="1"/>
        <v>509150.84281821107</v>
      </c>
      <c r="V13" s="283">
        <f t="shared" si="1"/>
        <v>519333.85967457539</v>
      </c>
      <c r="W13" s="283">
        <f t="shared" si="1"/>
        <v>529720.53686806676</v>
      </c>
      <c r="X13" s="283">
        <f t="shared" si="1"/>
        <v>540314.94760542805</v>
      </c>
      <c r="Y13" s="283">
        <f t="shared" si="1"/>
        <v>551121.24655753677</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2500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2550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2601</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2653.02</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2706.0803999999998</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2760.2020080000002</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2815.40604816</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2871.7141691231996</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2929.148452505664</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2987.7314215557772</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3047.4860499868928</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3108.4357709866308</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3170.6044864063624</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3234.0165761344902</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3298.6969076571804</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3364.670845810324</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3431.9642627265293</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3500.6035479810603</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3570.615618940682</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3642.027931319496</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3714.8684899458849</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29400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29988</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30587.759999999998</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31199.515199999998</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31823.505504000001</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32459.975614080002</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33109.175126361602</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33771.358628888825</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34446.785801466605</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35135.721517495942</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35838.435947845857</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36555.204666802776</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37286.308760138825</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38032.034935341602</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38792.675634048443</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39568.529146729416</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40359.899729663986</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41167.09772425727</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41990.439678742419</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42830.248472317275</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43686.853441763611</v>
      </c>
    </row>
    <row r="19" spans="3:25" ht="13.5" customHeight="1">
      <c r="C19" s="3" t="s">
        <v>336</v>
      </c>
      <c r="E19" s="285">
        <f t="shared" ref="E19:Y19" si="2">SUM(E14:E18)</f>
        <v>31900</v>
      </c>
      <c r="F19" s="285">
        <f t="shared" si="2"/>
        <v>32538</v>
      </c>
      <c r="G19" s="285">
        <f t="shared" si="2"/>
        <v>33188.759999999995</v>
      </c>
      <c r="H19" s="285">
        <f t="shared" si="2"/>
        <v>33852.535199999998</v>
      </c>
      <c r="I19" s="285">
        <f t="shared" si="2"/>
        <v>34529.585904</v>
      </c>
      <c r="J19" s="285">
        <f t="shared" si="2"/>
        <v>35220.177622080002</v>
      </c>
      <c r="K19" s="285">
        <f t="shared" si="2"/>
        <v>35924.581174521605</v>
      </c>
      <c r="L19" s="285">
        <f t="shared" si="2"/>
        <v>36643.072798012028</v>
      </c>
      <c r="M19" s="285">
        <f t="shared" si="2"/>
        <v>37375.934253972271</v>
      </c>
      <c r="N19" s="285">
        <f t="shared" si="2"/>
        <v>38123.45293905172</v>
      </c>
      <c r="O19" s="285">
        <f t="shared" si="2"/>
        <v>38885.921997832753</v>
      </c>
      <c r="P19" s="285">
        <f t="shared" si="2"/>
        <v>39663.640437789407</v>
      </c>
      <c r="Q19" s="285">
        <f t="shared" si="2"/>
        <v>40456.913246545184</v>
      </c>
      <c r="R19" s="285">
        <f t="shared" si="2"/>
        <v>41266.051511476093</v>
      </c>
      <c r="S19" s="285">
        <f t="shared" si="2"/>
        <v>42091.372541705627</v>
      </c>
      <c r="T19" s="285">
        <f t="shared" si="2"/>
        <v>42933.199992539739</v>
      </c>
      <c r="U19" s="285">
        <f t="shared" si="2"/>
        <v>43791.863992390514</v>
      </c>
      <c r="V19" s="285">
        <f t="shared" si="2"/>
        <v>44667.70127223833</v>
      </c>
      <c r="W19" s="285">
        <f t="shared" si="2"/>
        <v>45561.055297683102</v>
      </c>
      <c r="X19" s="285">
        <f t="shared" si="2"/>
        <v>46472.276403636773</v>
      </c>
      <c r="Y19" s="285">
        <f t="shared" si="2"/>
        <v>47401.721931709493</v>
      </c>
    </row>
    <row r="20" spans="3:25" ht="13.5" customHeight="1">
      <c r="C20" s="10" t="s">
        <v>337</v>
      </c>
      <c r="E20" s="283">
        <f t="shared" ref="E20:Y20" si="3">E13+E19</f>
        <v>337344.4</v>
      </c>
      <c r="F20" s="283">
        <f t="shared" si="3"/>
        <v>410844.576</v>
      </c>
      <c r="G20" s="283">
        <f t="shared" si="3"/>
        <v>419061.46752000006</v>
      </c>
      <c r="H20" s="283">
        <f t="shared" si="3"/>
        <v>427442.69687039993</v>
      </c>
      <c r="I20" s="283">
        <f t="shared" si="3"/>
        <v>435991.55080780806</v>
      </c>
      <c r="J20" s="283">
        <f t="shared" si="3"/>
        <v>444711.38182396424</v>
      </c>
      <c r="K20" s="283">
        <f t="shared" si="3"/>
        <v>453605.60946044355</v>
      </c>
      <c r="L20" s="283">
        <f t="shared" si="3"/>
        <v>462677.72164965235</v>
      </c>
      <c r="M20" s="283">
        <f t="shared" si="3"/>
        <v>471931.27608264535</v>
      </c>
      <c r="N20" s="283">
        <f t="shared" si="3"/>
        <v>481369.90160429833</v>
      </c>
      <c r="O20" s="283">
        <f t="shared" si="3"/>
        <v>490997.2996363843</v>
      </c>
      <c r="P20" s="283">
        <f t="shared" si="3"/>
        <v>500817.24562911189</v>
      </c>
      <c r="Q20" s="283">
        <f t="shared" si="3"/>
        <v>510833.59054169414</v>
      </c>
      <c r="R20" s="283">
        <f t="shared" si="3"/>
        <v>521050.26235252811</v>
      </c>
      <c r="S20" s="283">
        <f t="shared" si="3"/>
        <v>531471.26759957871</v>
      </c>
      <c r="T20" s="283">
        <f t="shared" si="3"/>
        <v>542100.69295157003</v>
      </c>
      <c r="U20" s="283">
        <f t="shared" si="3"/>
        <v>552942.70681060152</v>
      </c>
      <c r="V20" s="283">
        <f t="shared" si="3"/>
        <v>564001.56094681367</v>
      </c>
      <c r="W20" s="283">
        <f t="shared" si="3"/>
        <v>575281.59216574987</v>
      </c>
      <c r="X20" s="283">
        <f t="shared" si="3"/>
        <v>586787.22400906484</v>
      </c>
      <c r="Y20" s="283">
        <f t="shared" si="3"/>
        <v>598522.96848924621</v>
      </c>
    </row>
    <row r="21" spans="3:25" ht="13.5" customHeight="1">
      <c r="C21" s="11" t="s">
        <v>338</v>
      </c>
      <c r="E21" s="284">
        <f t="shared" ref="E21:Y21" si="4">-E20*$E$7</f>
        <v>-6746.8880000000008</v>
      </c>
      <c r="F21" s="284">
        <f t="shared" si="4"/>
        <v>-8216.891520000001</v>
      </c>
      <c r="G21" s="284">
        <f t="shared" si="4"/>
        <v>-8381.2293504000008</v>
      </c>
      <c r="H21" s="284">
        <f t="shared" si="4"/>
        <v>-8548.8539374079992</v>
      </c>
      <c r="I21" s="284">
        <f t="shared" si="4"/>
        <v>-8719.8310161561621</v>
      </c>
      <c r="J21" s="284">
        <f t="shared" si="4"/>
        <v>-8894.2276364792851</v>
      </c>
      <c r="K21" s="284">
        <f t="shared" si="4"/>
        <v>-9072.1121892088704</v>
      </c>
      <c r="L21" s="284">
        <f t="shared" si="4"/>
        <v>-9253.5544329930472</v>
      </c>
      <c r="M21" s="284">
        <f t="shared" si="4"/>
        <v>-9438.625521652908</v>
      </c>
      <c r="N21" s="284">
        <f t="shared" si="4"/>
        <v>-9627.3980320859664</v>
      </c>
      <c r="O21" s="284">
        <f t="shared" si="4"/>
        <v>-9819.9459927276857</v>
      </c>
      <c r="P21" s="284">
        <f t="shared" si="4"/>
        <v>-10016.344912582237</v>
      </c>
      <c r="Q21" s="284">
        <f t="shared" si="4"/>
        <v>-10216.671810833883</v>
      </c>
      <c r="R21" s="284">
        <f t="shared" si="4"/>
        <v>-10421.005247050562</v>
      </c>
      <c r="S21" s="284">
        <f t="shared" si="4"/>
        <v>-10629.425351991575</v>
      </c>
      <c r="T21" s="284">
        <f t="shared" si="4"/>
        <v>-10842.0138590314</v>
      </c>
      <c r="U21" s="284">
        <f t="shared" si="4"/>
        <v>-11058.85413621203</v>
      </c>
      <c r="V21" s="284">
        <f t="shared" si="4"/>
        <v>-11280.031218936274</v>
      </c>
      <c r="W21" s="284">
        <f t="shared" si="4"/>
        <v>-11505.631843314997</v>
      </c>
      <c r="X21" s="284">
        <f t="shared" si="4"/>
        <v>-11735.744480181296</v>
      </c>
      <c r="Y21" s="284">
        <f t="shared" si="4"/>
        <v>-11970.459369784925</v>
      </c>
    </row>
    <row r="22" spans="3:25" ht="13.5" customHeight="1">
      <c r="C22" s="3" t="s">
        <v>339</v>
      </c>
      <c r="E22" s="285">
        <f t="shared" ref="E22:Y22" si="5">E20+E21</f>
        <v>330597.51200000005</v>
      </c>
      <c r="F22" s="285">
        <f t="shared" si="5"/>
        <v>402627.68448</v>
      </c>
      <c r="G22" s="285">
        <f t="shared" si="5"/>
        <v>410680.23816960008</v>
      </c>
      <c r="H22" s="285">
        <f t="shared" si="5"/>
        <v>418893.84293299192</v>
      </c>
      <c r="I22" s="285">
        <f t="shared" si="5"/>
        <v>427271.71979165188</v>
      </c>
      <c r="J22" s="285">
        <f t="shared" si="5"/>
        <v>435817.15418748494</v>
      </c>
      <c r="K22" s="285">
        <f t="shared" si="5"/>
        <v>444533.49727123469</v>
      </c>
      <c r="L22" s="285">
        <f t="shared" si="5"/>
        <v>453424.16721665929</v>
      </c>
      <c r="M22" s="285">
        <f t="shared" si="5"/>
        <v>462492.65056099242</v>
      </c>
      <c r="N22" s="285">
        <f t="shared" si="5"/>
        <v>471742.50357221236</v>
      </c>
      <c r="O22" s="285">
        <f t="shared" si="5"/>
        <v>481177.35364365659</v>
      </c>
      <c r="P22" s="285">
        <f t="shared" si="5"/>
        <v>490800.90071652964</v>
      </c>
      <c r="Q22" s="285">
        <f t="shared" si="5"/>
        <v>500616.91873086023</v>
      </c>
      <c r="R22" s="285">
        <f t="shared" si="5"/>
        <v>510629.25710547756</v>
      </c>
      <c r="S22" s="285">
        <f t="shared" si="5"/>
        <v>520841.84224758716</v>
      </c>
      <c r="T22" s="285">
        <f t="shared" si="5"/>
        <v>531258.67909253866</v>
      </c>
      <c r="U22" s="285">
        <f t="shared" si="5"/>
        <v>541883.85267438949</v>
      </c>
      <c r="V22" s="285">
        <f t="shared" si="5"/>
        <v>552721.52972787735</v>
      </c>
      <c r="W22" s="285">
        <f t="shared" si="5"/>
        <v>563775.9603224349</v>
      </c>
      <c r="X22" s="285">
        <f t="shared" si="5"/>
        <v>575051.47952888359</v>
      </c>
      <c r="Y22" s="285">
        <f t="shared" si="5"/>
        <v>586552.50911946129</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330597.51200000005</v>
      </c>
      <c r="F24" s="286">
        <f t="shared" si="7"/>
        <v>402627.68448</v>
      </c>
      <c r="G24" s="286">
        <f t="shared" si="7"/>
        <v>410680.23816960008</v>
      </c>
      <c r="H24" s="286">
        <f t="shared" si="7"/>
        <v>418893.84293299192</v>
      </c>
      <c r="I24" s="286">
        <f t="shared" si="7"/>
        <v>427271.71979165188</v>
      </c>
      <c r="J24" s="286">
        <f t="shared" si="7"/>
        <v>435817.15418748494</v>
      </c>
      <c r="K24" s="286">
        <f t="shared" si="7"/>
        <v>444533.49727123469</v>
      </c>
      <c r="L24" s="286">
        <f t="shared" si="7"/>
        <v>453424.16721665929</v>
      </c>
      <c r="M24" s="286">
        <f t="shared" si="7"/>
        <v>462492.65056099242</v>
      </c>
      <c r="N24" s="286">
        <f t="shared" si="7"/>
        <v>471742.50357221236</v>
      </c>
      <c r="O24" s="286">
        <f t="shared" si="7"/>
        <v>481177.35364365659</v>
      </c>
      <c r="P24" s="286">
        <f t="shared" si="7"/>
        <v>490800.90071652964</v>
      </c>
      <c r="Q24" s="286">
        <f t="shared" si="7"/>
        <v>500616.91873086023</v>
      </c>
      <c r="R24" s="286">
        <f t="shared" si="7"/>
        <v>510629.25710547756</v>
      </c>
      <c r="S24" s="286">
        <f t="shared" si="7"/>
        <v>520841.84224758716</v>
      </c>
      <c r="T24" s="286">
        <f t="shared" si="7"/>
        <v>531258.67909253866</v>
      </c>
      <c r="U24" s="286">
        <f t="shared" si="7"/>
        <v>541883.85267438949</v>
      </c>
      <c r="V24" s="286">
        <f t="shared" si="7"/>
        <v>552721.52972787735</v>
      </c>
      <c r="W24" s="286">
        <f t="shared" si="7"/>
        <v>563775.9603224349</v>
      </c>
      <c r="X24" s="286">
        <f t="shared" si="7"/>
        <v>575051.47952888359</v>
      </c>
      <c r="Y24" s="286">
        <f t="shared" si="7"/>
        <v>586552.50911946129</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21000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21840</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22713.600000000002</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23622.144</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24567.029760000005</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25549.710950400007</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26571.699388416007</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27634.567363952647</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28739.950058510756</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29889.54806085119</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30636.786762372467</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31402.706431431776</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32187.774092217573</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32992.468444523009</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33817.280155636079</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34662.712159526978</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35529.279963515153</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36417.511962603028</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37327.949761668096</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38261.148505709803</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39217.677218352546</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1800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1872</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1946.88</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2024.7552000000001</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2105.7454080000002</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2189.9752243200005</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2277.5742332928007</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2368.6772026245126</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2463.4242907294934</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2561.9612623586731</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2626.01029391764</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2691.660551265581</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2758.9520650472205</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2827.9258666734004</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2898.6240133402353</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2971.089613673741</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3045.3668540155845</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3121.5010253659739</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3199.5385510001229</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3279.5270147751257</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3361.5151901445042</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35680</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37107.200000000004</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38591.488000000005</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40135.147520000006</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41740.55342080001</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43410.175557632014</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45146.582579937291</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46952.44588313478</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48830.543718460183</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50783.765467198595</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52053.359603878554</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53354.693593975513</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54688.560933824905</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56055.774957170521</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57457.169331099773</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58893.598564377273</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60365.938528486702</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61875.086991698867</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63421.964166491322</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65007.51327065361</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66632.701102419946</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28650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29796</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30987.840000000004</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32227.353600000002</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33516.447744000005</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34857.105653760009</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36251.389879910414</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37701.445475106826</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39209.503294111106</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40777.883425875552</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41797.330511522436</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42842.263774310493</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43913.320368668261</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45011.153377884963</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46136.432212332074</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47289.843017640378</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48472.089093081391</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49683.891320408424</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50925.98860341862</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52199.13831850409</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53504.11677646669</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21550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22412</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23308.480000000003</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24240.819200000002</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25210.451968000005</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26218.870046720007</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27267.624848588806</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28358.329842532359</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29492.663036233658</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30672.369557683007</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31439.178796625078</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32225.158266540704</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33030.787223204221</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33856.556903784323</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34702.970826378929</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35570.545097038404</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36459.808724464361</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37371.303942575971</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38305.586541140357</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39263.22620466887</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40244.806859785589</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12000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12480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12979.2</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13498.368</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14038.302720000003</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14599.834828800003</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15183.828221952004</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15791.181350830084</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16422.828604863291</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17079.741749057823</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17506.735292784266</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17944.403675103873</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18393.013766981469</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18852.839111156005</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19324.160088934903</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19807.264091158275</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20302.445693437232</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20810.006835773162</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21330.257006667485</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21863.513431834173</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22410.101267630027</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2835</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2948.4</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3066.3360000000002</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3188.9894400000003</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3316.5490176000008</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3449.2109783040009</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3587.1794174361612</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3730.6665941336073</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3879.893257898952</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4035.0889882149104</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4135.9662129202825</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4239.3653682432896</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4345.3495024493723</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4453.9832400106061</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4565.3328210108702</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4679.4661415361425</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4796.452795074546</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4916.3641149514087</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5039.2732178251936</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5165.255048270823</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5294.3864244775941</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2835</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2948.4</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3066.3360000000002</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3188.9894400000003</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3316.5490176000008</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3449.2109783040009</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3587.1794174361612</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3730.6665941336073</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3879.893257898952</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4035.0889882149104</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4135.9662129202825</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4239.3653682432896</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4345.3495024493723</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4453.9832400106061</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4565.3328210108702</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4679.4661415361425</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4796.452795074546</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4916.3641149514087</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5039.2732178251936</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5165.255048270823</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5294.3864244775941</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17342</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18035.68</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18757.107200000002</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19507.391488000001</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20287.687147520002</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21099.194633420808</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21943.162418757638</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22820.888915507941</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23733.724472128262</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24683.073451013395</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25300.150287288729</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25932.654044470946</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26580.970395582721</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27245.494655472285</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27926.632021859088</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28624.797822405566</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29340.417767965704</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30073.928212164847</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30825.776417468962</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31596.420827905687</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32386.331348603329</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28484</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29623.360000000001</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30808.294400000002</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32040.626176000002</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33322.251223040003</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34655.141271961613</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36041.346922840072</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37483.000799753674</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38982.320831743826</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40541.613665013581</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41555.154006638921</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42594.032856804894</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43658.883678225015</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44750.355770180635</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45869.114664435147</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47015.842531046022</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48191.238594322174</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49396.019559180226</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50630.920048159722</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51896.693049363712</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53194.110375597811</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12100</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12584</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13087.36</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13610.8544</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14155.288576000003</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14721.500119040003</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15310.360123801605</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15922.774528753667</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16559.685509903815</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17222.072930299972</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17652.624753557469</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18093.940372396406</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18546.288881706314</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19009.946103748971</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19485.194756342691</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19972.324625251262</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20471.632740882542</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20983.423559404604</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21508.009148389712</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22045.709377099458</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22596.852111526943</v>
      </c>
    </row>
    <row r="39" spans="3:25" ht="13.15" customHeight="1">
      <c r="C39" s="14" t="s">
        <v>355</v>
      </c>
      <c r="E39" s="286">
        <f t="shared" ref="E39:Y39" si="8">SUM(E27:E38)</f>
        <v>184276</v>
      </c>
      <c r="F39" s="286">
        <f t="shared" si="8"/>
        <v>191647.03999999998</v>
      </c>
      <c r="G39" s="286">
        <f t="shared" si="8"/>
        <v>199312.92160000006</v>
      </c>
      <c r="H39" s="286">
        <f t="shared" si="8"/>
        <v>207285.43846400001</v>
      </c>
      <c r="I39" s="286">
        <f t="shared" si="8"/>
        <v>215576.85600255997</v>
      </c>
      <c r="J39" s="286">
        <f t="shared" si="8"/>
        <v>224199.93024266249</v>
      </c>
      <c r="K39" s="286">
        <f t="shared" si="8"/>
        <v>233167.92745236895</v>
      </c>
      <c r="L39" s="286">
        <f t="shared" si="8"/>
        <v>242494.64455046371</v>
      </c>
      <c r="M39" s="286">
        <f t="shared" si="8"/>
        <v>252194.4303324823</v>
      </c>
      <c r="N39" s="286">
        <f t="shared" si="8"/>
        <v>262282.20754578162</v>
      </c>
      <c r="O39" s="286">
        <f t="shared" si="8"/>
        <v>268839.26273442613</v>
      </c>
      <c r="P39" s="286">
        <f t="shared" si="8"/>
        <v>275560.24430278677</v>
      </c>
      <c r="Q39" s="286">
        <f t="shared" si="8"/>
        <v>282449.25041035644</v>
      </c>
      <c r="R39" s="286">
        <f t="shared" si="8"/>
        <v>289510.48167061532</v>
      </c>
      <c r="S39" s="286">
        <f t="shared" si="8"/>
        <v>296748.24371238064</v>
      </c>
      <c r="T39" s="286">
        <f t="shared" si="8"/>
        <v>304166.9498051902</v>
      </c>
      <c r="U39" s="286">
        <f t="shared" si="8"/>
        <v>311771.12355031993</v>
      </c>
      <c r="V39" s="286">
        <f t="shared" si="8"/>
        <v>319565.40163907793</v>
      </c>
      <c r="W39" s="286">
        <f t="shared" si="8"/>
        <v>327554.53668005473</v>
      </c>
      <c r="X39" s="286">
        <f t="shared" si="8"/>
        <v>335743.40009705618</v>
      </c>
      <c r="Y39" s="286">
        <f t="shared" si="8"/>
        <v>344136.98509948252</v>
      </c>
    </row>
    <row r="40" spans="3:25" ht="7.15" customHeight="1"/>
    <row r="41" spans="3:25" ht="13.5" customHeight="1">
      <c r="C41" s="15" t="s">
        <v>356</v>
      </c>
      <c r="D41" s="8"/>
      <c r="E41" s="287">
        <f t="shared" ref="E41:Y41" si="9">E24-E39</f>
        <v>146321.51200000005</v>
      </c>
      <c r="F41" s="287">
        <f t="shared" si="9"/>
        <v>210980.64448000002</v>
      </c>
      <c r="G41" s="287">
        <f t="shared" si="9"/>
        <v>211367.31656960002</v>
      </c>
      <c r="H41" s="287">
        <f t="shared" si="9"/>
        <v>211608.40446899191</v>
      </c>
      <c r="I41" s="287">
        <f t="shared" si="9"/>
        <v>211694.86378909191</v>
      </c>
      <c r="J41" s="287">
        <f t="shared" si="9"/>
        <v>211617.22394482244</v>
      </c>
      <c r="K41" s="287">
        <f t="shared" si="9"/>
        <v>211365.56981886574</v>
      </c>
      <c r="L41" s="287">
        <f t="shared" si="9"/>
        <v>210929.52266619558</v>
      </c>
      <c r="M41" s="287">
        <f t="shared" si="9"/>
        <v>210298.22022851012</v>
      </c>
      <c r="N41" s="287">
        <f t="shared" si="9"/>
        <v>209460.29602643073</v>
      </c>
      <c r="O41" s="287">
        <f t="shared" si="9"/>
        <v>212338.09090923046</v>
      </c>
      <c r="P41" s="287">
        <f t="shared" si="9"/>
        <v>215240.65641374286</v>
      </c>
      <c r="Q41" s="287">
        <f t="shared" si="9"/>
        <v>218167.66832050378</v>
      </c>
      <c r="R41" s="287">
        <f t="shared" si="9"/>
        <v>221118.77543486224</v>
      </c>
      <c r="S41" s="287">
        <f t="shared" si="9"/>
        <v>224093.59853520652</v>
      </c>
      <c r="T41" s="287">
        <f t="shared" si="9"/>
        <v>227091.72928734845</v>
      </c>
      <c r="U41" s="287">
        <f t="shared" si="9"/>
        <v>230112.72912406956</v>
      </c>
      <c r="V41" s="287">
        <f t="shared" si="9"/>
        <v>233156.12808879942</v>
      </c>
      <c r="W41" s="287">
        <f t="shared" si="9"/>
        <v>236221.42364238016</v>
      </c>
      <c r="X41" s="287">
        <f t="shared" si="9"/>
        <v>239308.07943182741</v>
      </c>
      <c r="Y41" s="287">
        <f t="shared" si="9"/>
        <v>242415.52401997877</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2850</v>
      </c>
      <c r="F44" s="283">
        <f t="shared" si="11"/>
        <v>2907</v>
      </c>
      <c r="G44" s="283">
        <f t="shared" si="11"/>
        <v>2965.14</v>
      </c>
      <c r="H44" s="283">
        <f t="shared" si="11"/>
        <v>3024.4427999999998</v>
      </c>
      <c r="I44" s="283">
        <f t="shared" si="11"/>
        <v>3084.9316559999997</v>
      </c>
      <c r="J44" s="283">
        <f t="shared" si="11"/>
        <v>3146.6302891200003</v>
      </c>
      <c r="K44" s="283">
        <f t="shared" si="11"/>
        <v>3209.5628949024003</v>
      </c>
      <c r="L44" s="283">
        <f t="shared" si="11"/>
        <v>3273.7541528004476</v>
      </c>
      <c r="M44" s="283">
        <f t="shared" si="11"/>
        <v>3339.2292358564569</v>
      </c>
      <c r="N44" s="283">
        <f t="shared" si="11"/>
        <v>3406.0138205735857</v>
      </c>
      <c r="O44" s="283">
        <f t="shared" si="11"/>
        <v>3474.1340969850576</v>
      </c>
      <c r="P44" s="283">
        <f t="shared" si="11"/>
        <v>3543.6167789247584</v>
      </c>
      <c r="Q44" s="283">
        <f t="shared" si="11"/>
        <v>3614.4891145032539</v>
      </c>
      <c r="R44" s="283">
        <f t="shared" si="11"/>
        <v>3686.7788967933188</v>
      </c>
      <c r="S44" s="283">
        <f t="shared" si="11"/>
        <v>3760.5144747291856</v>
      </c>
      <c r="T44" s="283">
        <f t="shared" si="11"/>
        <v>3835.7247642237685</v>
      </c>
      <c r="U44" s="283">
        <f t="shared" si="11"/>
        <v>3912.4392595082445</v>
      </c>
      <c r="V44" s="283">
        <f t="shared" si="11"/>
        <v>3990.6880446984096</v>
      </c>
      <c r="W44" s="283">
        <f t="shared" si="11"/>
        <v>4070.5018055923774</v>
      </c>
      <c r="X44" s="283">
        <f t="shared" si="11"/>
        <v>4151.9118417042246</v>
      </c>
      <c r="Y44" s="283">
        <f t="shared" si="11"/>
        <v>4234.9500785383098</v>
      </c>
    </row>
    <row r="45" spans="3:25" ht="13.5" customHeight="1">
      <c r="C45" s="15" t="s">
        <v>359</v>
      </c>
      <c r="D45" s="8"/>
      <c r="E45" s="287">
        <f t="shared" ref="E45:Y45" si="12">E41-E44</f>
        <v>143471.51200000005</v>
      </c>
      <c r="F45" s="287">
        <f t="shared" si="12"/>
        <v>208073.64448000002</v>
      </c>
      <c r="G45" s="287">
        <f t="shared" si="12"/>
        <v>208402.17656960001</v>
      </c>
      <c r="H45" s="287">
        <f t="shared" si="12"/>
        <v>208583.96166899192</v>
      </c>
      <c r="I45" s="287">
        <f t="shared" si="12"/>
        <v>208609.9321330919</v>
      </c>
      <c r="J45" s="287">
        <f t="shared" si="12"/>
        <v>208470.59365570245</v>
      </c>
      <c r="K45" s="287">
        <f t="shared" si="12"/>
        <v>208156.00692396334</v>
      </c>
      <c r="L45" s="287">
        <f t="shared" si="12"/>
        <v>207655.76851339513</v>
      </c>
      <c r="M45" s="287">
        <f t="shared" si="12"/>
        <v>206958.99099265368</v>
      </c>
      <c r="N45" s="287">
        <f t="shared" si="12"/>
        <v>206054.28220585716</v>
      </c>
      <c r="O45" s="287">
        <f t="shared" si="12"/>
        <v>208863.95681224539</v>
      </c>
      <c r="P45" s="287">
        <f t="shared" si="12"/>
        <v>211697.03963481809</v>
      </c>
      <c r="Q45" s="287">
        <f t="shared" si="12"/>
        <v>214553.17920600052</v>
      </c>
      <c r="R45" s="287">
        <f t="shared" si="12"/>
        <v>217431.99653806892</v>
      </c>
      <c r="S45" s="287">
        <f t="shared" si="12"/>
        <v>220333.08406047733</v>
      </c>
      <c r="T45" s="287">
        <f t="shared" si="12"/>
        <v>223256.00452312469</v>
      </c>
      <c r="U45" s="287">
        <f t="shared" si="12"/>
        <v>226200.28986456132</v>
      </c>
      <c r="V45" s="287">
        <f t="shared" si="12"/>
        <v>229165.44004410101</v>
      </c>
      <c r="W45" s="287">
        <f t="shared" si="12"/>
        <v>232150.92183678778</v>
      </c>
      <c r="X45" s="287">
        <f t="shared" si="12"/>
        <v>235156.16759012319</v>
      </c>
      <c r="Y45" s="287">
        <f t="shared" si="12"/>
        <v>238180.57394144047</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(E$12&gt;=$F$2)*IFERROR(INDEX('02_Debt Engine'!$F$46:$Z$62,MATCH($C$1,'02_Debt Engine'!$B$19:$B$35,0),MATCH(E$12,'02_Debt Engine'!$F$45:$Z$45,0)),0)</f>
        <v>125540.52</v>
      </c>
      <c r="F48" s="286">
        <f>(F$12&gt;=$F$2)*IFERROR(INDEX('02_Debt Engine'!$F$46:$Z$62,MATCH($C$1,'02_Debt Engine'!$B$19:$B$35,0),MATCH(F$12,'02_Debt Engine'!$F$45:$Z$45,0)),0)</f>
        <v>21819.445101745179</v>
      </c>
      <c r="G48" s="286">
        <f>(G$12&gt;=$F$2)*IFERROR(INDEX('02_Debt Engine'!$F$46:$Z$62,MATCH($C$1,'02_Debt Engine'!$B$19:$B$35,0),MATCH(G$12,'02_Debt Engine'!$F$45:$Z$45,0)),0)</f>
        <v>0</v>
      </c>
      <c r="H48" s="286">
        <f>(H$12&gt;=$F$2)*IFERROR(INDEX('02_Debt Engine'!$F$46:$Z$62,MATCH($C$1,'02_Debt Engine'!$B$19:$B$35,0),MATCH(H$12,'02_Debt Engine'!$F$45:$Z$45,0)),0)</f>
        <v>0</v>
      </c>
      <c r="I48" s="286">
        <f>(I$12&gt;=$F$2)*IFERROR(INDEX('02_Debt Engine'!$F$46:$Z$62,MATCH($C$1,'02_Debt Engine'!$B$19:$B$35,0),MATCH(I$12,'02_Debt Engine'!$F$45:$Z$45,0)),0)</f>
        <v>0</v>
      </c>
      <c r="J48" s="286">
        <f>(J$12&gt;=$F$2)*IFERROR(INDEX('02_Debt Engine'!$F$46:$Z$62,MATCH($C$1,'02_Debt Engine'!$B$19:$B$35,0),MATCH(J$12,'02_Debt Engine'!$F$45:$Z$45,0)),0)</f>
        <v>0</v>
      </c>
      <c r="K48" s="286">
        <f>(K$12&gt;=$F$2)*IFERROR(INDEX('02_Debt Engine'!$F$46:$Z$62,MATCH($C$1,'02_Debt Engine'!$B$19:$B$35,0),MATCH(K$12,'02_Debt Engine'!$F$45:$Z$45,0)),0)</f>
        <v>0</v>
      </c>
      <c r="L48" s="286">
        <f>(L$12&gt;=$F$2)*IFERROR(INDEX('02_Debt Engine'!$F$46:$Z$62,MATCH($C$1,'02_Debt Engine'!$B$19:$B$35,0),MATCH(L$12,'02_Debt Engine'!$F$45:$Z$45,0)),0)</f>
        <v>0</v>
      </c>
      <c r="M48" s="286">
        <f>(M$12&gt;=$F$2)*IFERROR(INDEX('02_Debt Engine'!$F$46:$Z$62,MATCH($C$1,'02_Debt Engine'!$B$19:$B$35,0),MATCH(M$12,'02_Debt Engine'!$F$45:$Z$45,0)),0)</f>
        <v>0</v>
      </c>
      <c r="N48" s="286">
        <f>(N$12&gt;=$F$2)*IFERROR(INDEX('02_Debt Engine'!$F$46:$Z$62,MATCH($C$1,'02_Debt Engine'!$B$19:$B$35,0),MATCH(N$12,'02_Debt Engine'!$F$45:$Z$45,0)),0)</f>
        <v>0</v>
      </c>
      <c r="O48" s="286">
        <f>(O$12&gt;=$F$2)*IFERROR(INDEX('02_Debt Engine'!$F$46:$Z$62,MATCH($C$1,'02_Debt Engine'!$B$19:$B$35,0),MATCH(O$12,'02_Debt Engine'!$F$45:$Z$45,0)),0)</f>
        <v>0</v>
      </c>
      <c r="P48" s="286">
        <f>(P$12&gt;=$F$2)*IFERROR(INDEX('02_Debt Engine'!$F$46:$Z$62,MATCH($C$1,'02_Debt Engine'!$B$19:$B$35,0),MATCH(P$12,'02_Debt Engine'!$F$45:$Z$45,0)),0)</f>
        <v>0</v>
      </c>
      <c r="Q48" s="286">
        <f>(Q$12&gt;=$F$2)*IFERROR(INDEX('02_Debt Engine'!$F$46:$Z$62,MATCH($C$1,'02_Debt Engine'!$B$19:$B$35,0),MATCH(Q$12,'02_Debt Engine'!$F$45:$Z$45,0)),0)</f>
        <v>0</v>
      </c>
      <c r="R48" s="286">
        <f>(R$12&gt;=$F$2)*IFERROR(INDEX('02_Debt Engine'!$F$46:$Z$62,MATCH($C$1,'02_Debt Engine'!$B$19:$B$35,0),MATCH(R$12,'02_Debt Engine'!$F$45:$Z$45,0)),0)</f>
        <v>0</v>
      </c>
      <c r="S48" s="286">
        <f>(S$12&gt;=$F$2)*IFERROR(INDEX('02_Debt Engine'!$F$46:$Z$62,MATCH($C$1,'02_Debt Engine'!$B$19:$B$35,0),MATCH(S$12,'02_Debt Engine'!$F$45:$Z$45,0)),0)</f>
        <v>0</v>
      </c>
      <c r="T48" s="286">
        <f>(T$12&gt;=$F$2)*IFERROR(INDEX('02_Debt Engine'!$F$46:$Z$62,MATCH($C$1,'02_Debt Engine'!$B$19:$B$35,0),MATCH(T$12,'02_Debt Engine'!$F$45:$Z$45,0)),0)</f>
        <v>0</v>
      </c>
      <c r="U48" s="286">
        <f>(U$12&gt;=$F$2)*IFERROR(INDEX('02_Debt Engine'!$F$46:$Z$62,MATCH($C$1,'02_Debt Engine'!$B$19:$B$35,0),MATCH(U$12,'02_Debt Engine'!$F$45:$Z$45,0)),0)</f>
        <v>0</v>
      </c>
      <c r="V48" s="286">
        <f>(V$12&gt;=$F$2)*IFERROR(INDEX('02_Debt Engine'!$F$46:$Z$62,MATCH($C$1,'02_Debt Engine'!$B$19:$B$35,0),MATCH(V$12,'02_Debt Engine'!$F$45:$Z$45,0)),0)</f>
        <v>0</v>
      </c>
      <c r="W48" s="286">
        <f>(W$12&gt;=$F$2)*IFERROR(INDEX('02_Debt Engine'!$F$46:$Z$62,MATCH($C$1,'02_Debt Engine'!$B$19:$B$35,0),MATCH(W$12,'02_Debt Engine'!$F$45:$Z$45,0)),0)</f>
        <v>0</v>
      </c>
      <c r="X48" s="286">
        <f>(X$12&gt;=$F$2)*IFERROR(INDEX('02_Debt Engine'!$F$46:$Z$62,MATCH($C$1,'02_Debt Engine'!$B$19:$B$35,0),MATCH(X$12,'02_Debt Engine'!$F$45:$Z$45,0)),0)</f>
        <v>0</v>
      </c>
      <c r="Y48" s="286">
        <f>(Y$12&gt;=$F$2)*IFERROR(INDEX('02_Debt Engine'!$F$46:$Z$62,MATCH($C$1,'02_Debt Engine'!$B$19:$B$35,0),MATCH(Y$12,'02_Debt Engine'!$F$45:$Z$45,0)),0)</f>
        <v>0</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1.1655321485047221</v>
      </c>
      <c r="F50" s="290">
        <f t="shared" si="14"/>
        <v>9.6693863430617313</v>
      </c>
      <c r="G50" s="290" t="str">
        <f t="shared" si="14"/>
        <v/>
      </c>
      <c r="H50" s="290" t="str">
        <f t="shared" si="14"/>
        <v/>
      </c>
      <c r="I50" s="290" t="str">
        <f t="shared" si="14"/>
        <v/>
      </c>
      <c r="J50" s="290" t="str">
        <f t="shared" si="14"/>
        <v/>
      </c>
      <c r="K50" s="290" t="str">
        <f t="shared" si="14"/>
        <v/>
      </c>
      <c r="L50" s="290" t="str">
        <f t="shared" si="14"/>
        <v/>
      </c>
      <c r="M50" s="290" t="str">
        <f t="shared" si="14"/>
        <v/>
      </c>
      <c r="N50" s="290" t="str">
        <f t="shared" si="14"/>
        <v/>
      </c>
      <c r="O50" s="290" t="str">
        <f t="shared" si="14"/>
        <v/>
      </c>
      <c r="P50" s="290" t="str">
        <f t="shared" si="14"/>
        <v/>
      </c>
      <c r="Q50" s="290" t="str">
        <f t="shared" si="14"/>
        <v/>
      </c>
      <c r="R50" s="290" t="str">
        <f t="shared" si="14"/>
        <v/>
      </c>
      <c r="S50" s="290" t="str">
        <f t="shared" si="14"/>
        <v/>
      </c>
      <c r="T50" s="290" t="str">
        <f t="shared" si="14"/>
        <v/>
      </c>
      <c r="U50" s="290" t="str">
        <f t="shared" si="14"/>
        <v/>
      </c>
      <c r="V50" s="290" t="str">
        <f t="shared" si="14"/>
        <v/>
      </c>
      <c r="W50" s="290" t="str">
        <f t="shared" si="14"/>
        <v/>
      </c>
      <c r="X50" s="290" t="str">
        <f t="shared" si="14"/>
        <v/>
      </c>
      <c r="Y50" s="290" t="str">
        <f t="shared" si="14"/>
        <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20780.992000000042</v>
      </c>
      <c r="F52" s="291">
        <f t="shared" si="15"/>
        <v>189161.19937825482</v>
      </c>
      <c r="G52" s="291">
        <f t="shared" si="15"/>
        <v>211367.31656960002</v>
      </c>
      <c r="H52" s="291">
        <f t="shared" si="15"/>
        <v>211608.40446899191</v>
      </c>
      <c r="I52" s="291">
        <f t="shared" si="15"/>
        <v>211694.86378909191</v>
      </c>
      <c r="J52" s="291">
        <f t="shared" si="15"/>
        <v>211617.22394482244</v>
      </c>
      <c r="K52" s="291">
        <f t="shared" si="15"/>
        <v>211365.56981886574</v>
      </c>
      <c r="L52" s="291">
        <f t="shared" si="15"/>
        <v>210929.52266619558</v>
      </c>
      <c r="M52" s="291">
        <f t="shared" si="15"/>
        <v>210298.22022851012</v>
      </c>
      <c r="N52" s="291">
        <f t="shared" si="15"/>
        <v>209460.29602643073</v>
      </c>
      <c r="O52" s="291">
        <f t="shared" si="15"/>
        <v>212338.09090923046</v>
      </c>
      <c r="P52" s="291">
        <f t="shared" si="15"/>
        <v>215240.65641374286</v>
      </c>
      <c r="Q52" s="291">
        <f t="shared" si="15"/>
        <v>218167.66832050378</v>
      </c>
      <c r="R52" s="291">
        <f t="shared" si="15"/>
        <v>221118.77543486224</v>
      </c>
      <c r="S52" s="291">
        <f t="shared" si="15"/>
        <v>224093.59853520652</v>
      </c>
      <c r="T52" s="291">
        <f t="shared" si="15"/>
        <v>227091.72928734845</v>
      </c>
      <c r="U52" s="291">
        <f t="shared" si="15"/>
        <v>230112.72912406956</v>
      </c>
      <c r="V52" s="291">
        <f t="shared" si="15"/>
        <v>233156.12808879942</v>
      </c>
      <c r="W52" s="291">
        <f t="shared" si="15"/>
        <v>236221.42364238016</v>
      </c>
      <c r="X52" s="291">
        <f t="shared" si="15"/>
        <v>239308.07943182741</v>
      </c>
      <c r="Y52" s="291">
        <f t="shared" si="15"/>
        <v>242415.52401997877</v>
      </c>
    </row>
    <row r="53" spans="3:25" ht="7.15" customHeight="1">
      <c r="C53" s="14"/>
      <c r="D53" s="17"/>
    </row>
    <row r="54" spans="3:25" ht="13.5" customHeight="1">
      <c r="C54" s="15" t="s">
        <v>363</v>
      </c>
      <c r="D54" s="20"/>
      <c r="E54" s="292">
        <f t="shared" ref="E54:Y54" si="16">IF(E52&lt;0,0,E52*$G$7)</f>
        <v>12468.595200000025</v>
      </c>
      <c r="F54" s="292">
        <f t="shared" si="16"/>
        <v>113496.71962695289</v>
      </c>
      <c r="G54" s="292">
        <f t="shared" si="16"/>
        <v>126820.38994176</v>
      </c>
      <c r="H54" s="292">
        <f t="shared" si="16"/>
        <v>126965.04268139513</v>
      </c>
      <c r="I54" s="292">
        <f t="shared" si="16"/>
        <v>127016.91827345514</v>
      </c>
      <c r="J54" s="292">
        <f t="shared" si="16"/>
        <v>126970.33436689345</v>
      </c>
      <c r="K54" s="292">
        <f t="shared" si="16"/>
        <v>126819.34189131943</v>
      </c>
      <c r="L54" s="292">
        <f t="shared" si="16"/>
        <v>126557.71359971735</v>
      </c>
      <c r="M54" s="292">
        <f t="shared" si="16"/>
        <v>126178.93213710607</v>
      </c>
      <c r="N54" s="292">
        <f t="shared" si="16"/>
        <v>125676.17761585844</v>
      </c>
      <c r="O54" s="292">
        <f t="shared" si="16"/>
        <v>127402.85454553827</v>
      </c>
      <c r="P54" s="292">
        <f t="shared" si="16"/>
        <v>129144.39384824572</v>
      </c>
      <c r="Q54" s="292">
        <f t="shared" si="16"/>
        <v>130900.60099230226</v>
      </c>
      <c r="R54" s="292">
        <f t="shared" si="16"/>
        <v>132671.26526091734</v>
      </c>
      <c r="S54" s="292">
        <f t="shared" si="16"/>
        <v>134456.1591211239</v>
      </c>
      <c r="T54" s="292">
        <f t="shared" si="16"/>
        <v>136255.03757240906</v>
      </c>
      <c r="U54" s="292">
        <f t="shared" si="16"/>
        <v>138067.63747444173</v>
      </c>
      <c r="V54" s="292">
        <f t="shared" si="16"/>
        <v>139893.67685327964</v>
      </c>
      <c r="W54" s="292">
        <f t="shared" si="16"/>
        <v>141732.85418542809</v>
      </c>
      <c r="X54" s="292">
        <f t="shared" si="16"/>
        <v>143584.84765909644</v>
      </c>
      <c r="Y54" s="292">
        <f t="shared" si="16"/>
        <v>145449.31441198726</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8312.3968000000168</v>
      </c>
      <c r="F56" s="291">
        <f t="shared" si="17"/>
        <v>75664.479751301929</v>
      </c>
      <c r="G56" s="291">
        <f t="shared" si="17"/>
        <v>84546.926627840017</v>
      </c>
      <c r="H56" s="291">
        <f t="shared" si="17"/>
        <v>84643.361787596776</v>
      </c>
      <c r="I56" s="291">
        <f t="shared" si="17"/>
        <v>84677.945515636762</v>
      </c>
      <c r="J56" s="291">
        <f t="shared" si="17"/>
        <v>84646.889577928989</v>
      </c>
      <c r="K56" s="291">
        <f t="shared" si="17"/>
        <v>84546.227927546308</v>
      </c>
      <c r="L56" s="291">
        <f t="shared" si="17"/>
        <v>84371.809066478236</v>
      </c>
      <c r="M56" s="291">
        <f t="shared" si="17"/>
        <v>84119.288091404058</v>
      </c>
      <c r="N56" s="291">
        <f t="shared" si="17"/>
        <v>83784.118410572293</v>
      </c>
      <c r="O56" s="291">
        <f t="shared" si="17"/>
        <v>84935.236363692195</v>
      </c>
      <c r="P56" s="291">
        <f t="shared" si="17"/>
        <v>86096.262565497149</v>
      </c>
      <c r="Q56" s="291">
        <f t="shared" si="17"/>
        <v>87267.06732820152</v>
      </c>
      <c r="R56" s="291">
        <f t="shared" si="17"/>
        <v>88447.510173944902</v>
      </c>
      <c r="S56" s="291">
        <f t="shared" si="17"/>
        <v>89637.439414082619</v>
      </c>
      <c r="T56" s="291">
        <f t="shared" si="17"/>
        <v>90836.691714939399</v>
      </c>
      <c r="U56" s="291">
        <f t="shared" si="17"/>
        <v>92045.091649627837</v>
      </c>
      <c r="V56" s="291">
        <f t="shared" si="17"/>
        <v>93262.45123551978</v>
      </c>
      <c r="W56" s="291">
        <f t="shared" si="17"/>
        <v>94488.569456952071</v>
      </c>
      <c r="X56" s="291">
        <f t="shared" si="17"/>
        <v>95723.231772730971</v>
      </c>
      <c r="Y56" s="291">
        <f t="shared" si="17"/>
        <v>96966.209607991506</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
      </c>
      <c r="I60" s="288" t="str">
        <f t="shared" si="18"/>
        <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0</v>
      </c>
      <c r="I63" s="285">
        <f t="shared" si="19"/>
        <v>0</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21601.272251999981</v>
      </c>
      <c r="F64" s="296">
        <f>INDEX('02_Debt Engine'!$F$74:$Z$90,MATCH($C$1,'02_Debt Engine'!$B$74:$B$90,0),MATCH(F$12,'02_Debt Engine'!$F$73:$Z$73,0))</f>
        <v>0</v>
      </c>
      <c r="G64" s="296">
        <f>INDEX('02_Debt Engine'!$F$74:$Z$90,MATCH($C$1,'02_Debt Engine'!$B$74:$B$90,0),MATCH(G$12,'02_Debt Engine'!$F$73:$Z$73,0))</f>
        <v>0</v>
      </c>
      <c r="H64" s="296">
        <f>INDEX('02_Debt Engine'!$F$74:$Z$90,MATCH($C$1,'02_Debt Engine'!$B$74:$B$90,0),MATCH(H$12,'02_Debt Engine'!$F$73:$Z$73,0))</f>
        <v>0</v>
      </c>
      <c r="I64" s="296">
        <f>INDEX('02_Debt Engine'!$F$74:$Z$90,MATCH($C$1,'02_Debt Engine'!$B$74:$B$90,0),MATCH(I$12,'02_Debt Engine'!$F$73:$Z$73,0))</f>
        <v>0</v>
      </c>
      <c r="J64" s="296">
        <f>INDEX('02_Debt Engine'!$F$74:$Z$90,MATCH($C$1,'02_Debt Engine'!$B$74:$B$90,0),MATCH(J$12,'02_Debt Engine'!$F$73:$Z$73,0))</f>
        <v>0</v>
      </c>
      <c r="K64" s="296">
        <f>INDEX('02_Debt Engine'!$F$74:$Z$90,MATCH($C$1,'02_Debt Engine'!$B$74:$B$90,0),MATCH(K$12,'02_Debt Engine'!$F$73:$Z$73,0))</f>
        <v>0</v>
      </c>
      <c r="L64" s="296">
        <f>INDEX('02_Debt Engine'!$F$74:$Z$90,MATCH($C$1,'02_Debt Engine'!$B$74:$B$90,0),MATCH(L$12,'02_Debt Engine'!$F$73:$Z$73,0))</f>
        <v>0</v>
      </c>
      <c r="M64" s="296">
        <f>INDEX('02_Debt Engine'!$F$74:$Z$90,MATCH($C$1,'02_Debt Engine'!$B$74:$B$90,0),MATCH(M$12,'02_Debt Engine'!$F$73:$Z$73,0))</f>
        <v>0</v>
      </c>
      <c r="N64" s="296">
        <f>INDEX('02_Debt Engine'!$F$74:$Z$90,MATCH($C$1,'02_Debt Engine'!$B$74:$B$90,0),MATCH(N$12,'02_Debt Engine'!$F$73:$Z$73,0))</f>
        <v>0</v>
      </c>
      <c r="O64" s="296">
        <f>INDEX('02_Debt Engine'!$F$74:$Z$90,MATCH($C$1,'02_Debt Engine'!$B$74:$B$90,0),MATCH(O$12,'02_Debt Engine'!$F$73:$Z$73,0))</f>
        <v>0</v>
      </c>
      <c r="P64" s="296">
        <f>INDEX('02_Debt Engine'!$F$74:$Z$90,MATCH($C$1,'02_Debt Engine'!$B$74:$B$90,0),MATCH(P$12,'02_Debt Engine'!$F$73:$Z$73,0))</f>
        <v>0</v>
      </c>
      <c r="Q64" s="296">
        <f>INDEX('02_Debt Engine'!$F$74:$Z$90,MATCH($C$1,'02_Debt Engine'!$B$74:$B$90,0),MATCH(Q$12,'02_Debt Engine'!$F$73:$Z$73,0))</f>
        <v>0</v>
      </c>
      <c r="R64" s="296">
        <f>INDEX('02_Debt Engine'!$F$74:$Z$90,MATCH($C$1,'02_Debt Engine'!$B$74:$B$90,0),MATCH(R$12,'02_Debt Engine'!$F$73:$Z$73,0))</f>
        <v>0</v>
      </c>
      <c r="S64" s="296">
        <f>INDEX('02_Debt Engine'!$F$74:$Z$90,MATCH($C$1,'02_Debt Engine'!$B$74:$B$90,0),MATCH(S$12,'02_Debt Engine'!$F$73:$Z$73,0))</f>
        <v>0</v>
      </c>
      <c r="T64" s="296">
        <f>INDEX('02_Debt Engine'!$F$74:$Z$90,MATCH($C$1,'02_Debt Engine'!$B$74:$B$90,0),MATCH(T$12,'02_Debt Engine'!$F$73:$Z$73,0))</f>
        <v>0</v>
      </c>
      <c r="U64" s="296">
        <f>INDEX('02_Debt Engine'!$F$74:$Z$90,MATCH($C$1,'02_Debt Engine'!$B$74:$B$90,0),MATCH(U$12,'02_Debt Engine'!$F$73:$Z$73,0))</f>
        <v>0</v>
      </c>
      <c r="V64" s="296">
        <f>INDEX('02_Debt Engine'!$F$74:$Z$90,MATCH($C$1,'02_Debt Engine'!$B$74:$B$90,0),MATCH(V$12,'02_Debt Engine'!$F$73:$Z$73,0))</f>
        <v>0</v>
      </c>
      <c r="W64" s="296">
        <f>INDEX('02_Debt Engine'!$F$74:$Z$90,MATCH($C$1,'02_Debt Engine'!$B$74:$B$90,0),MATCH(W$12,'02_Debt Engine'!$F$73:$Z$73,0))</f>
        <v>0</v>
      </c>
      <c r="X64" s="296">
        <f>INDEX('02_Debt Engine'!$F$74:$Z$90,MATCH($C$1,'02_Debt Engine'!$B$74:$B$90,0),MATCH(X$12,'02_Debt Engine'!$F$73:$Z$73,0))</f>
        <v>0</v>
      </c>
      <c r="Y64" s="296">
        <f>INDEX('02_Debt Engine'!$F$74:$Z$90,MATCH($C$1,'02_Debt Engine'!$B$74:$B$90,0),MATCH(Y$12,'02_Debt Engine'!$F$73:$Z$73,0))</f>
        <v>0</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
      </c>
      <c r="I66" s="288" t="str">
        <f t="shared" si="20"/>
        <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8312.3968000000168</v>
      </c>
      <c r="F67" s="285">
        <f t="shared" si="21"/>
        <v>75664.479751301929</v>
      </c>
      <c r="G67" s="285">
        <f t="shared" si="21"/>
        <v>84546.926627840017</v>
      </c>
      <c r="H67" s="285">
        <f t="shared" si="21"/>
        <v>84643.361787596776</v>
      </c>
      <c r="I67" s="285">
        <f t="shared" si="21"/>
        <v>84677.945515636762</v>
      </c>
      <c r="J67" s="285">
        <f t="shared" si="21"/>
        <v>84646.889577928989</v>
      </c>
      <c r="K67" s="285">
        <f t="shared" si="21"/>
        <v>84546.227927546308</v>
      </c>
      <c r="L67" s="285">
        <f t="shared" si="21"/>
        <v>84371.809066478236</v>
      </c>
      <c r="M67" s="285">
        <f t="shared" si="21"/>
        <v>84119.288091404058</v>
      </c>
      <c r="N67" s="285">
        <f t="shared" si="21"/>
        <v>83784.118410572293</v>
      </c>
      <c r="O67" s="285">
        <f t="shared" si="21"/>
        <v>84935.236363692195</v>
      </c>
      <c r="P67" s="285">
        <f t="shared" si="21"/>
        <v>86096.262565497149</v>
      </c>
      <c r="Q67" s="285">
        <f t="shared" si="21"/>
        <v>87267.06732820152</v>
      </c>
      <c r="R67" s="285">
        <f t="shared" si="21"/>
        <v>88447.510173944902</v>
      </c>
      <c r="S67" s="285">
        <f t="shared" si="21"/>
        <v>89637.439414082619</v>
      </c>
      <c r="T67" s="285">
        <f t="shared" si="21"/>
        <v>90836.691714939399</v>
      </c>
      <c r="U67" s="285">
        <f t="shared" si="21"/>
        <v>92045.091649627837</v>
      </c>
      <c r="V67" s="285">
        <f t="shared" si="21"/>
        <v>93262.45123551978</v>
      </c>
      <c r="W67" s="285">
        <f t="shared" si="21"/>
        <v>94488.569456952071</v>
      </c>
      <c r="X67" s="285">
        <f t="shared" si="21"/>
        <v>95723.231772730971</v>
      </c>
      <c r="Y67" s="285">
        <f t="shared" si="21"/>
        <v>96966.209607991506</v>
      </c>
    </row>
    <row r="68" spans="3:25" s="20" customFormat="1" ht="13.5" customHeight="1">
      <c r="C68" s="26" t="s">
        <v>544</v>
      </c>
      <c r="E68" s="287">
        <f t="shared" ref="E68:Y68" si="22">E67+E$63</f>
        <v>8312.3968000000168</v>
      </c>
      <c r="F68" s="287">
        <f t="shared" si="22"/>
        <v>75664.479751301929</v>
      </c>
      <c r="G68" s="287">
        <f t="shared" si="22"/>
        <v>84546.926627840017</v>
      </c>
      <c r="H68" s="287">
        <f t="shared" si="22"/>
        <v>84643.361787596776</v>
      </c>
      <c r="I68" s="287">
        <f t="shared" si="22"/>
        <v>84677.945515636762</v>
      </c>
      <c r="J68" s="287">
        <f t="shared" si="22"/>
        <v>84646.889577928989</v>
      </c>
      <c r="K68" s="287">
        <f t="shared" si="22"/>
        <v>84546.227927546308</v>
      </c>
      <c r="L68" s="287">
        <f t="shared" si="22"/>
        <v>84371.809066478236</v>
      </c>
      <c r="M68" s="287">
        <f t="shared" si="22"/>
        <v>84119.288091404058</v>
      </c>
      <c r="N68" s="287">
        <f t="shared" si="22"/>
        <v>83784.118410572293</v>
      </c>
      <c r="O68" s="287">
        <f t="shared" si="22"/>
        <v>84935.236363692195</v>
      </c>
      <c r="P68" s="287">
        <f t="shared" si="22"/>
        <v>86096.262565497149</v>
      </c>
      <c r="Q68" s="287">
        <f t="shared" si="22"/>
        <v>87267.06732820152</v>
      </c>
      <c r="R68" s="287">
        <f t="shared" si="22"/>
        <v>88447.510173944902</v>
      </c>
      <c r="S68" s="287">
        <f t="shared" si="22"/>
        <v>89637.439414082619</v>
      </c>
      <c r="T68" s="287">
        <f t="shared" si="22"/>
        <v>90836.691714939399</v>
      </c>
      <c r="U68" s="287">
        <f t="shared" si="22"/>
        <v>92045.091649627837</v>
      </c>
      <c r="V68" s="287">
        <f t="shared" si="22"/>
        <v>93262.45123551978</v>
      </c>
      <c r="W68" s="287">
        <f t="shared" si="22"/>
        <v>94488.569456952071</v>
      </c>
      <c r="X68" s="287">
        <f t="shared" si="22"/>
        <v>95723.231772730971</v>
      </c>
      <c r="Y68" s="287">
        <f t="shared" si="22"/>
        <v>96966.209607991506</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2438691.8666666676</v>
      </c>
      <c r="F73" s="285">
        <f t="shared" si="24"/>
        <v>3516344.0746666673</v>
      </c>
      <c r="G73" s="285">
        <f t="shared" si="24"/>
        <v>3522788.6094933338</v>
      </c>
      <c r="H73" s="285">
        <f t="shared" si="24"/>
        <v>3526806.7411498651</v>
      </c>
      <c r="I73" s="285">
        <f t="shared" si="24"/>
        <v>3528247.7298181984</v>
      </c>
      <c r="J73" s="285">
        <f t="shared" si="24"/>
        <v>3526953.7324137073</v>
      </c>
      <c r="K73" s="285">
        <f t="shared" si="24"/>
        <v>3522759.496981096</v>
      </c>
      <c r="L73" s="285">
        <f t="shared" si="24"/>
        <v>3515492.0444365931</v>
      </c>
      <c r="M73" s="285">
        <f t="shared" si="24"/>
        <v>3504970.3371418356</v>
      </c>
      <c r="N73" s="285">
        <f t="shared" si="24"/>
        <v>3491004.9337738459</v>
      </c>
      <c r="O73" s="285">
        <f t="shared" si="24"/>
        <v>3538968.1818205081</v>
      </c>
      <c r="P73" s="285">
        <f t="shared" si="24"/>
        <v>3587344.273562381</v>
      </c>
      <c r="Q73" s="285">
        <f t="shared" si="24"/>
        <v>3636127.8053417299</v>
      </c>
      <c r="R73" s="285">
        <f t="shared" si="24"/>
        <v>3685312.9239143706</v>
      </c>
      <c r="S73" s="285">
        <f t="shared" si="24"/>
        <v>3734893.3089201087</v>
      </c>
      <c r="T73" s="285">
        <f t="shared" si="24"/>
        <v>3784862.1547891409</v>
      </c>
      <c r="U73" s="285">
        <f t="shared" si="24"/>
        <v>3835212.1520678261</v>
      </c>
      <c r="V73" s="285">
        <f t="shared" si="24"/>
        <v>3885935.4681466571</v>
      </c>
      <c r="W73" s="285">
        <f t="shared" si="24"/>
        <v>3937023.727373003</v>
      </c>
      <c r="X73" s="285">
        <f t="shared" si="24"/>
        <v>3988467.9905304569</v>
      </c>
      <c r="Y73" s="285">
        <f t="shared" si="24"/>
        <v>4040258.7336663129</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
      </c>
      <c r="I75" s="288" t="str">
        <f t="shared" si="25"/>
        <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21601.272251999981</v>
      </c>
      <c r="F76" s="285">
        <f t="shared" si="26"/>
        <v>0</v>
      </c>
      <c r="G76" s="285">
        <f t="shared" si="26"/>
        <v>0</v>
      </c>
      <c r="H76" s="285">
        <f t="shared" si="26"/>
        <v>0</v>
      </c>
      <c r="I76" s="285">
        <f t="shared" si="26"/>
        <v>0</v>
      </c>
      <c r="J76" s="285">
        <f t="shared" si="26"/>
        <v>0</v>
      </c>
      <c r="K76" s="285">
        <f t="shared" si="26"/>
        <v>0</v>
      </c>
      <c r="L76" s="285">
        <f t="shared" si="26"/>
        <v>0</v>
      </c>
      <c r="M76" s="285">
        <f t="shared" si="26"/>
        <v>0</v>
      </c>
      <c r="N76" s="285">
        <f t="shared" si="26"/>
        <v>0</v>
      </c>
      <c r="O76" s="285">
        <f t="shared" si="26"/>
        <v>0</v>
      </c>
      <c r="P76" s="285">
        <f t="shared" si="26"/>
        <v>0</v>
      </c>
      <c r="Q76" s="285">
        <f t="shared" si="26"/>
        <v>0</v>
      </c>
      <c r="R76" s="285">
        <f t="shared" si="26"/>
        <v>0</v>
      </c>
      <c r="S76" s="285">
        <f t="shared" si="26"/>
        <v>0</v>
      </c>
      <c r="T76" s="285">
        <f t="shared" si="26"/>
        <v>0</v>
      </c>
      <c r="U76" s="285">
        <f t="shared" si="26"/>
        <v>0</v>
      </c>
      <c r="V76" s="285">
        <f t="shared" si="26"/>
        <v>0</v>
      </c>
      <c r="W76" s="285">
        <f t="shared" si="26"/>
        <v>0</v>
      </c>
      <c r="X76" s="285">
        <f t="shared" si="26"/>
        <v>0</v>
      </c>
      <c r="Y76" s="285">
        <f t="shared" si="26"/>
        <v>0</v>
      </c>
    </row>
    <row r="77" spans="3:25" ht="13.5" customHeight="1">
      <c r="C77" s="26" t="s">
        <v>376</v>
      </c>
      <c r="D77" s="21"/>
      <c r="E77" s="287">
        <f t="shared" ref="E77:Y77" si="27">E73-E$76</f>
        <v>2417090.5944146677</v>
      </c>
      <c r="F77" s="287">
        <f t="shared" si="27"/>
        <v>3516344.0746666673</v>
      </c>
      <c r="G77" s="287">
        <f t="shared" si="27"/>
        <v>3522788.6094933338</v>
      </c>
      <c r="H77" s="287">
        <f t="shared" si="27"/>
        <v>3526806.7411498651</v>
      </c>
      <c r="I77" s="287">
        <f t="shared" si="27"/>
        <v>3528247.7298181984</v>
      </c>
      <c r="J77" s="287">
        <f t="shared" si="27"/>
        <v>3526953.7324137073</v>
      </c>
      <c r="K77" s="287">
        <f t="shared" si="27"/>
        <v>3522759.496981096</v>
      </c>
      <c r="L77" s="287">
        <f t="shared" si="27"/>
        <v>3515492.0444365931</v>
      </c>
      <c r="M77" s="287">
        <f t="shared" si="27"/>
        <v>3504970.3371418356</v>
      </c>
      <c r="N77" s="287">
        <f t="shared" si="27"/>
        <v>3491004.9337738459</v>
      </c>
      <c r="O77" s="287">
        <f t="shared" si="27"/>
        <v>3538968.1818205081</v>
      </c>
      <c r="P77" s="287">
        <f t="shared" si="27"/>
        <v>3587344.273562381</v>
      </c>
      <c r="Q77" s="287">
        <f t="shared" si="27"/>
        <v>3636127.8053417299</v>
      </c>
      <c r="R77" s="287">
        <f t="shared" si="27"/>
        <v>3685312.9239143706</v>
      </c>
      <c r="S77" s="287">
        <f t="shared" si="27"/>
        <v>3734893.3089201087</v>
      </c>
      <c r="T77" s="287">
        <f t="shared" si="27"/>
        <v>3784862.1547891409</v>
      </c>
      <c r="U77" s="287">
        <f t="shared" si="27"/>
        <v>3835212.1520678261</v>
      </c>
      <c r="V77" s="287">
        <f t="shared" si="27"/>
        <v>3885935.4681466571</v>
      </c>
      <c r="W77" s="287">
        <f t="shared" si="27"/>
        <v>3937023.727373003</v>
      </c>
      <c r="X77" s="287">
        <f t="shared" si="27"/>
        <v>3988467.9905304569</v>
      </c>
      <c r="Y77" s="287">
        <f t="shared" si="27"/>
        <v>4040258.7336663129</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2026</v>
      </c>
      <c r="D79" s="20"/>
      <c r="E79" s="289" t="str">
        <f t="shared" ref="E79:Y79" si="28">IF(E$72=$F$2+1,"STAB. YR.","")</f>
        <v/>
      </c>
      <c r="F79" s="289" t="str">
        <f t="shared" si="28"/>
        <v>STAB. YR.</v>
      </c>
      <c r="G79" s="289" t="str">
        <f t="shared" si="28"/>
        <v/>
      </c>
      <c r="H79" s="289" t="str">
        <f t="shared" si="28"/>
        <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3516344.0746666673</v>
      </c>
      <c r="G80" s="296">
        <f t="shared" si="29"/>
        <v>0</v>
      </c>
      <c r="H80" s="296">
        <f t="shared" si="29"/>
        <v>0</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4.1611830040799019E-2</v>
      </c>
      <c r="F81" s="344">
        <f t="shared" si="30"/>
        <v>0.06</v>
      </c>
      <c r="G81" s="344">
        <f t="shared" si="30"/>
        <v>6.010996423597615E-2</v>
      </c>
      <c r="H81" s="344">
        <f t="shared" si="30"/>
        <v>6.0178526326110843E-2</v>
      </c>
      <c r="I81" s="344">
        <f t="shared" si="30"/>
        <v>6.0203114170264915E-2</v>
      </c>
      <c r="J81" s="344">
        <f t="shared" si="30"/>
        <v>6.0181034464007264E-2</v>
      </c>
      <c r="K81" s="344">
        <f t="shared" si="30"/>
        <v>6.0109467484038004E-2</v>
      </c>
      <c r="L81" s="344">
        <f t="shared" si="30"/>
        <v>5.9985461657699322E-2</v>
      </c>
      <c r="M81" s="344">
        <f t="shared" si="30"/>
        <v>5.9805927907793092E-2</v>
      </c>
      <c r="N81" s="344">
        <f t="shared" si="30"/>
        <v>5.9567633763566379E-2</v>
      </c>
      <c r="O81" s="344">
        <f t="shared" si="30"/>
        <v>6.0386039136218234E-2</v>
      </c>
      <c r="P81" s="344">
        <f t="shared" si="30"/>
        <v>6.1211488933757614E-2</v>
      </c>
      <c r="Q81" s="344">
        <f t="shared" si="30"/>
        <v>6.2043890952618183E-2</v>
      </c>
      <c r="R81" s="344">
        <f t="shared" si="30"/>
        <v>6.2883145317860642E-2</v>
      </c>
      <c r="S81" s="344">
        <f t="shared" si="30"/>
        <v>6.3729144184062683E-2</v>
      </c>
      <c r="T81" s="344">
        <f t="shared" si="30"/>
        <v>6.4581771426584778E-2</v>
      </c>
      <c r="U81" s="344">
        <f t="shared" si="30"/>
        <v>6.5440902322928443E-2</v>
      </c>
      <c r="V81" s="344">
        <f t="shared" si="30"/>
        <v>6.6306403223894264E-2</v>
      </c>
      <c r="W81" s="344">
        <f t="shared" si="30"/>
        <v>6.7178131214242126E-2</v>
      </c>
      <c r="X81" s="344">
        <f t="shared" si="30"/>
        <v>6.8055933762543611E-2</v>
      </c>
      <c r="Y81" s="344">
        <f t="shared" si="30"/>
        <v>6.8939648359911593E-2</v>
      </c>
    </row>
    <row r="82" spans="1:25" s="20" customFormat="1" ht="13.9" customHeight="1">
      <c r="A82" s="3"/>
      <c r="B82" s="3"/>
      <c r="C82" s="21" t="s">
        <v>380</v>
      </c>
      <c r="E82" s="285">
        <f t="shared" ref="E82:Y82" si="31">IF(E$72=$F$2+1,E77,0)</f>
        <v>0</v>
      </c>
      <c r="F82" s="285">
        <f t="shared" si="31"/>
        <v>3516344.0746666673</v>
      </c>
      <c r="G82" s="285">
        <f t="shared" si="31"/>
        <v>0</v>
      </c>
      <c r="H82" s="285">
        <f t="shared" si="31"/>
        <v>0</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4.1611830040799019E-2</v>
      </c>
      <c r="F83" s="299">
        <f t="shared" si="32"/>
        <v>0.06</v>
      </c>
      <c r="G83" s="299">
        <f t="shared" si="32"/>
        <v>6.010996423597615E-2</v>
      </c>
      <c r="H83" s="299">
        <f t="shared" si="32"/>
        <v>6.0178526326110843E-2</v>
      </c>
      <c r="I83" s="299">
        <f t="shared" si="32"/>
        <v>6.0203114170264915E-2</v>
      </c>
      <c r="J83" s="299">
        <f t="shared" si="32"/>
        <v>6.0181034464007264E-2</v>
      </c>
      <c r="K83" s="299">
        <f t="shared" si="32"/>
        <v>6.0109467484038004E-2</v>
      </c>
      <c r="L83" s="299">
        <f t="shared" si="32"/>
        <v>5.9985461657699322E-2</v>
      </c>
      <c r="M83" s="299">
        <f t="shared" si="32"/>
        <v>5.9805927907793092E-2</v>
      </c>
      <c r="N83" s="299">
        <f t="shared" si="32"/>
        <v>5.9567633763566379E-2</v>
      </c>
      <c r="O83" s="299">
        <f t="shared" si="32"/>
        <v>6.0386039136218234E-2</v>
      </c>
      <c r="P83" s="299">
        <f t="shared" si="32"/>
        <v>6.1211488933757614E-2</v>
      </c>
      <c r="Q83" s="299">
        <f t="shared" si="32"/>
        <v>6.2043890952618183E-2</v>
      </c>
      <c r="R83" s="299">
        <f t="shared" si="32"/>
        <v>6.2883145317860642E-2</v>
      </c>
      <c r="S83" s="299">
        <f t="shared" si="32"/>
        <v>6.3729144184062683E-2</v>
      </c>
      <c r="T83" s="299">
        <f t="shared" si="32"/>
        <v>6.4581771426584778E-2</v>
      </c>
      <c r="U83" s="299">
        <f t="shared" si="32"/>
        <v>6.5440902322928443E-2</v>
      </c>
      <c r="V83" s="299">
        <f t="shared" si="32"/>
        <v>6.6306403223894264E-2</v>
      </c>
      <c r="W83" s="299">
        <f t="shared" si="32"/>
        <v>6.7178131214242126E-2</v>
      </c>
      <c r="X83" s="299">
        <f t="shared" si="32"/>
        <v>6.8055933762543611E-2</v>
      </c>
      <c r="Y83" s="299">
        <f t="shared" si="32"/>
        <v>6.8939648359911593E-2</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2026</v>
      </c>
      <c r="E85" s="289" t="str">
        <f t="shared" ref="E85:Y85" si="33">IF(E$72=$F$2+1,"STAB. YR.","")</f>
        <v/>
      </c>
      <c r="F85" s="289" t="str">
        <f t="shared" si="33"/>
        <v>STAB. YR.</v>
      </c>
      <c r="G85" s="289" t="str">
        <f t="shared" si="33"/>
        <v/>
      </c>
      <c r="H85" s="289" t="str">
        <f t="shared" si="33"/>
        <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3.5458973681868687E-3</v>
      </c>
      <c r="F86" s="299">
        <f t="shared" si="34"/>
        <v>3.2276909544954539E-2</v>
      </c>
      <c r="G86" s="299">
        <f t="shared" si="34"/>
        <v>3.6065978541585691E-2</v>
      </c>
      <c r="H86" s="299">
        <f t="shared" si="34"/>
        <v>3.61071157956665E-2</v>
      </c>
      <c r="I86" s="299">
        <f t="shared" si="34"/>
        <v>3.6121868502158948E-2</v>
      </c>
      <c r="J86" s="299">
        <f t="shared" si="34"/>
        <v>3.6108620678404355E-2</v>
      </c>
      <c r="K86" s="299">
        <f t="shared" si="34"/>
        <v>3.6065680490422802E-2</v>
      </c>
      <c r="L86" s="299">
        <f t="shared" si="34"/>
        <v>3.5991276994619598E-2</v>
      </c>
      <c r="M86" s="299">
        <f t="shared" si="34"/>
        <v>3.5883556744675853E-2</v>
      </c>
      <c r="N86" s="299">
        <f t="shared" si="34"/>
        <v>3.5740580258139823E-2</v>
      </c>
      <c r="O86" s="299">
        <f t="shared" si="34"/>
        <v>3.6231623481730937E-2</v>
      </c>
      <c r="P86" s="299">
        <f t="shared" si="34"/>
        <v>3.6726893360254566E-2</v>
      </c>
      <c r="Q86" s="299">
        <f t="shared" si="34"/>
        <v>3.7226334571570908E-2</v>
      </c>
      <c r="R86" s="299">
        <f t="shared" si="34"/>
        <v>3.7729887190716384E-2</v>
      </c>
      <c r="S86" s="299">
        <f t="shared" si="34"/>
        <v>3.823748651043761E-2</v>
      </c>
      <c r="T86" s="299">
        <f t="shared" si="34"/>
        <v>3.874906285595086E-2</v>
      </c>
      <c r="U86" s="299">
        <f t="shared" si="34"/>
        <v>3.9264541393757062E-2</v>
      </c>
      <c r="V86" s="299">
        <f t="shared" si="34"/>
        <v>3.978384193433656E-2</v>
      </c>
      <c r="W86" s="299">
        <f t="shared" si="34"/>
        <v>4.030687872854527E-2</v>
      </c>
      <c r="X86" s="299">
        <f t="shared" si="34"/>
        <v>4.0833560257526165E-2</v>
      </c>
      <c r="Y86" s="299">
        <f t="shared" si="34"/>
        <v>4.1363789015946957E-2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046BD-EC5A-42F6-AE9A-59773155FE8C}">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319</v>
      </c>
      <c r="E1" s="275" t="str">
        <f>INDEX('01_Property Summary'!$E$5:$E$21,MATCH($C$1,'01_Property Summary'!$C$5:$C$21,0))</f>
        <v>Burnaby</v>
      </c>
      <c r="F1" s="332" t="s">
        <v>536</v>
      </c>
      <c r="G1" s="333" t="s">
        <v>102</v>
      </c>
      <c r="J1" s="450" t="s">
        <v>308</v>
      </c>
      <c r="K1" s="424"/>
      <c r="L1" s="424"/>
      <c r="M1" s="424"/>
      <c r="N1" s="424"/>
      <c r="O1" s="424"/>
      <c r="P1" s="3"/>
      <c r="Q1" s="3"/>
      <c r="R1" s="3"/>
      <c r="S1" s="3"/>
      <c r="T1" s="3"/>
    </row>
    <row r="2" spans="3:25" ht="14.45" customHeight="1">
      <c r="C2" s="300" t="s">
        <v>537</v>
      </c>
      <c r="E2" s="334">
        <f>_xlfn.LET(_xlpm.refi,INDEX('02_Debt Engine'!$F$19:$F$35,MATCH($C$1,'02_Debt Engine'!$B$19:$B$35,0)),
_xlpm.refiyr,INDEX('02_Debt Engine'!$I$19:$I$35,MATCH($C$1,'02_Debt Engine'!$B$19:$B$35,0)),IF(_xlpm.refi="Yes",_xlpm.refiyr,"No Refi"))</f>
        <v>2034</v>
      </c>
      <c r="F2" s="334">
        <f>INDEX('01_Property Summary'!$F$5:$F$21,MATCH($C$1,'01_Property Summary'!$C$5:$C$21,0))</f>
        <v>2025</v>
      </c>
      <c r="G2" s="334" t="str">
        <f>INDEX('01_Property Summary'!$K$4:$K$21,MATCH($C$1,'01_Property Summary'!$C$4:$C$21,0))</f>
        <v>N/A</v>
      </c>
      <c r="J2" s="278" t="str">
        <f>"Gate 1 — NOI ≥ 0 at stabilization ("&amp;$F$2+1&amp;"):"</f>
        <v>Gate 1 — NOI ≥ 0 at stabilization (2026):</v>
      </c>
      <c r="M2" s="451" t="str">
        <f>_xlfn.LET(_xlpm.stabnoi,INDEX($41:$41,MATCH(($F$2+1),$12:$12,0)),IF(_xlpm.stabnoi&gt;=0,"PASS — NOI $"&amp;TEXT(_xlpm.stabnoi,"#,##0"),"FAIL — NOI $"&amp;TEXT(_xlpm.stabnoi,"#,##0")))</f>
        <v>PASS — NOI $507,091</v>
      </c>
      <c r="N2" s="424"/>
      <c r="O2" s="424"/>
      <c r="S2" s="6"/>
    </row>
    <row r="3" spans="3:25" ht="14.45" customHeight="1">
      <c r="C3" s="300" t="s">
        <v>538</v>
      </c>
      <c r="E3" s="334">
        <f>INDEX('01_Property Summary'!$S$5:$S$21,MATCH($C$1,'01_Property Summary'!$C$5:$C$21,0))</f>
        <v>47</v>
      </c>
      <c r="F3" s="335">
        <f>'01_Assumptions'!$C$14</f>
        <v>0.1</v>
      </c>
      <c r="G3" s="335">
        <f>'01_Assumptions'!$C$15</f>
        <v>0.2</v>
      </c>
      <c r="J3" s="278" t="str">
        <f>"Gate 2 — DSCR ≥ 1.0× at stabilization ("&amp;$F$2+1&amp;"):"</f>
        <v>Gate 2 — DSCR ≥ 1.0× at stabilization (2026):</v>
      </c>
      <c r="M3" s="451" t="str">
        <f>_xlfn.LET(_xlpm.debt,INDEX($48:$48,MATCH(($F$2+1),$12:$12,0)),_xlpm.dscr,INDEX($50:$50,MATCH(($F$2+1),$12:$12,0)),
IF(_xlpm.debt=0,"PASS — no debt svc",IF(IFERROR(_xlpm.dscr,0)&gt;=1,"PASS — DSCR "&amp;TEXT(IFERROR(_xlpm.dscr,0),"0.00")&amp;"x","FAIL — DSCR "&amp;TEXT(IFERROR(_xlpm.dscr,0),"0.00")&amp;"x")))</f>
        <v>PASS — DSCR 1.87x</v>
      </c>
      <c r="N3" s="424"/>
      <c r="O3" s="424"/>
      <c r="S3" s="6"/>
    </row>
    <row r="4" spans="3:25" ht="14.45" customHeight="1">
      <c r="C4" s="300" t="s">
        <v>539</v>
      </c>
      <c r="E4" s="336">
        <f>INDEX('02_Rent Engine'!$H$5:$H$21,MATCH($C$1,'02_Rent Engine'!$B$5:$B$21,0))</f>
        <v>1211.7943262411347</v>
      </c>
      <c r="F4" s="336">
        <f>INDEX('02_Rent Engine'!$J$5:$J$21,MATCH($C$1,'02_Rent Engine'!$B$5:$B$21,0))</f>
        <v>2881.25</v>
      </c>
      <c r="G4" s="336">
        <f>($F$3*$F$4)+((1-$F$3)*$E$4)</f>
        <v>1378.7398936170214</v>
      </c>
      <c r="J4" s="280" t="s">
        <v>309</v>
      </c>
      <c r="M4" s="451" t="str">
        <f>IF(AND($J$52&gt;0,$O$52&gt;0),"PASS — AFFO $"&amp;TEXT($J$52,"#,##0")&amp;" (2030) / $"&amp;TEXT($O$52,"#,##0")&amp;" (2035)","FAIL — AFFO $"&amp;TEXT($J$52,"#,##0")&amp;" (2030) / $"&amp;TEXT($O$52,"#,##0")&amp;" (2035)")</f>
        <v>PASS — AFFO $252,015 (2030) / $189,149 (2035)</v>
      </c>
      <c r="N4" s="424"/>
      <c r="O4" s="424"/>
      <c r="S4" s="6"/>
    </row>
    <row r="5" spans="3:25" ht="14.45" customHeight="1">
      <c r="C5" s="337" t="str">
        <f>"Rent Growth — (pre / post Op. Agrmt. Expiry: "&amp;$G$2&amp;")"</f>
        <v>Rent Growth — (pre / post Op. Agrmt. Expiry: N/A)</v>
      </c>
      <c r="E5" s="338">
        <f>'01_Assumptions'!$C$5</f>
        <v>0.02</v>
      </c>
      <c r="F5" s="338">
        <f>'01_Assumptions'!$C$6</f>
        <v>0.02</v>
      </c>
      <c r="G5" s="32"/>
      <c r="L5" s="6"/>
      <c r="M5" s="6"/>
      <c r="R5" s="6"/>
      <c r="S5" s="6"/>
    </row>
    <row r="6" spans="3:25" ht="13.9" customHeight="1">
      <c r="C6" s="337" t="str">
        <f>"OpEx Growth — (pre / post Op. Agrmt. Expiry: "&amp;$G$2&amp;")"</f>
        <v>OpEx Growth — (pre / post Op. Agrmt. Expiry: N/A)</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Vancity</v>
      </c>
      <c r="F8" s="336">
        <f>INDEX('01_Property Summary'!$Q$5:$Q$21,MATCH($C$1,'01_Property Summary'!$C$5:$C$21,0))</f>
        <v>0</v>
      </c>
      <c r="G8" s="334">
        <f>INDEX('02_Debt Engine'!$I$19:$I$35,MATCH($C$1,'02_Debt Engine'!$B$19:$B$35,0))</f>
        <v>2034</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777609.3</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793161.48600000003</v>
      </c>
      <c r="G13" s="283">
        <f t="shared" si="1"/>
        <v>809024.71571999998</v>
      </c>
      <c r="H13" s="283">
        <f t="shared" si="1"/>
        <v>825205.21003439999</v>
      </c>
      <c r="I13" s="283">
        <f t="shared" si="1"/>
        <v>841709.31423508795</v>
      </c>
      <c r="J13" s="283">
        <f t="shared" si="1"/>
        <v>858543.50051978976</v>
      </c>
      <c r="K13" s="283">
        <f t="shared" si="1"/>
        <v>875714.37053018576</v>
      </c>
      <c r="L13" s="283">
        <f t="shared" si="1"/>
        <v>893228.65794078913</v>
      </c>
      <c r="M13" s="283">
        <f t="shared" si="1"/>
        <v>911093.23109960498</v>
      </c>
      <c r="N13" s="283">
        <f t="shared" si="1"/>
        <v>929315.09572159708</v>
      </c>
      <c r="O13" s="283">
        <f t="shared" si="1"/>
        <v>947901.39763602905</v>
      </c>
      <c r="P13" s="283">
        <f t="shared" si="1"/>
        <v>966859.42558874958</v>
      </c>
      <c r="Q13" s="283">
        <f t="shared" si="1"/>
        <v>986196.61410052469</v>
      </c>
      <c r="R13" s="283">
        <f t="shared" si="1"/>
        <v>1005920.546382535</v>
      </c>
      <c r="S13" s="283">
        <f t="shared" si="1"/>
        <v>1026038.957310186</v>
      </c>
      <c r="T13" s="283">
        <f t="shared" si="1"/>
        <v>1046559.7364563893</v>
      </c>
      <c r="U13" s="283">
        <f t="shared" si="1"/>
        <v>1067490.9311855175</v>
      </c>
      <c r="V13" s="283">
        <f t="shared" si="1"/>
        <v>1088840.7498092279</v>
      </c>
      <c r="W13" s="283">
        <f t="shared" si="1"/>
        <v>1110617.5648054122</v>
      </c>
      <c r="X13" s="283">
        <f t="shared" si="1"/>
        <v>1132829.9161015204</v>
      </c>
      <c r="Y13" s="283">
        <f t="shared" si="1"/>
        <v>1155486.514423551</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9270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9455.4</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9644.5079999999998</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9837.3981599999988</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10034.1461232</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10234.829045664001</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10439.52562657728</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10648.316139108823</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10861.282461891002</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11078.508111128822</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11300.078273351399</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11526.079838818427</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11756.601435594792</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11991.73346430669</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12231.568133592826</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12476.199496264682</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12725.723486189972</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12980.237955913772</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13239.842715032048</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13504.63956933269</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13774.732360719341</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100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102</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104.03999999999999</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106.12079999999999</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108.243216</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110.40808032</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112.61624192640001</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114.86856676492798</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117.16593810022655</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119.50925686223108</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121.89944199947571</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124.33743083946523</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126.8241794562545</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129.3606630453796</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131.94787630628721</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134.58683383241296</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137.27857050906118</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140.02414191924242</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142.82462475762728</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145.68111725277984</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148.5947395978354</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520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530.4</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541.00800000000004</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551.82815999999991</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562.86472319999996</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574.12201766400005</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585.60445801728008</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597.31654717762547</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609.26287812117812</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621.44813568360166</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633.8770983972737</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646.55464036521914</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659.4857331725234</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672.67544783597396</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686.12895679269354</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699.85153592854738</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713.8485666471181</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728.12553798006059</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742.68804873966178</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757.5418097144551</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772.69264590874411</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9440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9628.7999999999993</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9821.3760000000002</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10017.803519999999</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10218.159590400001</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10422.522782208</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10630.97323785216</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10843.592702609201</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11060.464556661387</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11281.673847794615</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11507.307324750507</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11737.453471245517</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11972.202540670425</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12211.646591483835</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12455.879523313513</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12704.997113779784</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12959.097056055376</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13218.278997176485</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13482.644577120014</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13752.297468662417</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14027.343418035662</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row>
    <row r="19" spans="3:25" ht="13.5" customHeight="1">
      <c r="C19" s="3" t="s">
        <v>336</v>
      </c>
      <c r="E19" s="285">
        <f t="shared" ref="E19:Y19" si="2">SUM(E14:E18)</f>
        <v>19330</v>
      </c>
      <c r="F19" s="285">
        <f t="shared" si="2"/>
        <v>19716.599999999999</v>
      </c>
      <c r="G19" s="285">
        <f t="shared" si="2"/>
        <v>20110.932000000001</v>
      </c>
      <c r="H19" s="285">
        <f t="shared" si="2"/>
        <v>20513.15064</v>
      </c>
      <c r="I19" s="285">
        <f t="shared" si="2"/>
        <v>20923.413652800002</v>
      </c>
      <c r="J19" s="285">
        <f t="shared" si="2"/>
        <v>21341.881925856</v>
      </c>
      <c r="K19" s="285">
        <f t="shared" si="2"/>
        <v>21768.719564373121</v>
      </c>
      <c r="L19" s="285">
        <f t="shared" si="2"/>
        <v>22204.093955660577</v>
      </c>
      <c r="M19" s="285">
        <f t="shared" si="2"/>
        <v>22648.175834773792</v>
      </c>
      <c r="N19" s="285">
        <f t="shared" si="2"/>
        <v>23101.139351469268</v>
      </c>
      <c r="O19" s="285">
        <f t="shared" si="2"/>
        <v>23563.162138498657</v>
      </c>
      <c r="P19" s="285">
        <f t="shared" si="2"/>
        <v>24034.425381268629</v>
      </c>
      <c r="Q19" s="285">
        <f t="shared" si="2"/>
        <v>24515.113888893997</v>
      </c>
      <c r="R19" s="285">
        <f t="shared" si="2"/>
        <v>25005.416166671879</v>
      </c>
      <c r="S19" s="285">
        <f t="shared" si="2"/>
        <v>25505.524490005322</v>
      </c>
      <c r="T19" s="285">
        <f t="shared" si="2"/>
        <v>26015.634979805425</v>
      </c>
      <c r="U19" s="285">
        <f t="shared" si="2"/>
        <v>26535.947679401528</v>
      </c>
      <c r="V19" s="285">
        <f t="shared" si="2"/>
        <v>27066.66663298956</v>
      </c>
      <c r="W19" s="285">
        <f t="shared" si="2"/>
        <v>27607.999965649353</v>
      </c>
      <c r="X19" s="285">
        <f t="shared" si="2"/>
        <v>28160.159964962342</v>
      </c>
      <c r="Y19" s="285">
        <f t="shared" si="2"/>
        <v>28723.36316426158</v>
      </c>
    </row>
    <row r="20" spans="3:25" ht="13.5" customHeight="1">
      <c r="C20" s="10" t="s">
        <v>337</v>
      </c>
      <c r="E20" s="283">
        <f t="shared" ref="E20:Y20" si="3">E13+E19</f>
        <v>796939.3</v>
      </c>
      <c r="F20" s="283">
        <f t="shared" si="3"/>
        <v>812878.08600000001</v>
      </c>
      <c r="G20" s="283">
        <f t="shared" si="3"/>
        <v>829135.64772000001</v>
      </c>
      <c r="H20" s="283">
        <f t="shared" si="3"/>
        <v>845718.3606744</v>
      </c>
      <c r="I20" s="283">
        <f t="shared" si="3"/>
        <v>862632.72788788797</v>
      </c>
      <c r="J20" s="283">
        <f t="shared" si="3"/>
        <v>879885.38244564575</v>
      </c>
      <c r="K20" s="283">
        <f t="shared" si="3"/>
        <v>897483.09009455889</v>
      </c>
      <c r="L20" s="283">
        <f t="shared" si="3"/>
        <v>915432.75189644971</v>
      </c>
      <c r="M20" s="283">
        <f t="shared" si="3"/>
        <v>933741.40693437879</v>
      </c>
      <c r="N20" s="283">
        <f t="shared" si="3"/>
        <v>952416.23507306632</v>
      </c>
      <c r="O20" s="283">
        <f t="shared" si="3"/>
        <v>971464.55977452768</v>
      </c>
      <c r="P20" s="283">
        <f t="shared" si="3"/>
        <v>990893.85097001819</v>
      </c>
      <c r="Q20" s="283">
        <f t="shared" si="3"/>
        <v>1010711.7279894187</v>
      </c>
      <c r="R20" s="283">
        <f t="shared" si="3"/>
        <v>1030925.9625492069</v>
      </c>
      <c r="S20" s="283">
        <f t="shared" si="3"/>
        <v>1051544.4818001913</v>
      </c>
      <c r="T20" s="283">
        <f t="shared" si="3"/>
        <v>1072575.3714361947</v>
      </c>
      <c r="U20" s="283">
        <f t="shared" si="3"/>
        <v>1094026.8788649191</v>
      </c>
      <c r="V20" s="283">
        <f t="shared" si="3"/>
        <v>1115907.4164422175</v>
      </c>
      <c r="W20" s="283">
        <f t="shared" si="3"/>
        <v>1138225.5647710615</v>
      </c>
      <c r="X20" s="283">
        <f t="shared" si="3"/>
        <v>1160990.0760664828</v>
      </c>
      <c r="Y20" s="283">
        <f t="shared" si="3"/>
        <v>1184209.8775878127</v>
      </c>
    </row>
    <row r="21" spans="3:25" ht="13.5" customHeight="1">
      <c r="C21" s="11" t="s">
        <v>338</v>
      </c>
      <c r="E21" s="284">
        <f t="shared" ref="E21:Y21" si="4">-E20*$E$7</f>
        <v>-15938.786000000002</v>
      </c>
      <c r="F21" s="284">
        <f t="shared" si="4"/>
        <v>-16257.56172</v>
      </c>
      <c r="G21" s="284">
        <f t="shared" si="4"/>
        <v>-16582.712954400002</v>
      </c>
      <c r="H21" s="284">
        <f t="shared" si="4"/>
        <v>-16914.367213488</v>
      </c>
      <c r="I21" s="284">
        <f t="shared" si="4"/>
        <v>-17252.65455775776</v>
      </c>
      <c r="J21" s="284">
        <f t="shared" si="4"/>
        <v>-17597.707648912914</v>
      </c>
      <c r="K21" s="284">
        <f t="shared" si="4"/>
        <v>-17949.661801891179</v>
      </c>
      <c r="L21" s="284">
        <f t="shared" si="4"/>
        <v>-18308.655037928995</v>
      </c>
      <c r="M21" s="284">
        <f t="shared" si="4"/>
        <v>-18674.828138687575</v>
      </c>
      <c r="N21" s="284">
        <f t="shared" si="4"/>
        <v>-19048.324701461326</v>
      </c>
      <c r="O21" s="284">
        <f t="shared" si="4"/>
        <v>-19429.291195490554</v>
      </c>
      <c r="P21" s="284">
        <f t="shared" si="4"/>
        <v>-19817.877019400363</v>
      </c>
      <c r="Q21" s="284">
        <f t="shared" si="4"/>
        <v>-20214.234559788372</v>
      </c>
      <c r="R21" s="284">
        <f t="shared" si="4"/>
        <v>-20618.51925098414</v>
      </c>
      <c r="S21" s="284">
        <f t="shared" si="4"/>
        <v>-21030.889636003827</v>
      </c>
      <c r="T21" s="284">
        <f t="shared" si="4"/>
        <v>-21451.507428723897</v>
      </c>
      <c r="U21" s="284">
        <f t="shared" si="4"/>
        <v>-21880.537577298383</v>
      </c>
      <c r="V21" s="284">
        <f t="shared" si="4"/>
        <v>-22318.148328844352</v>
      </c>
      <c r="W21" s="284">
        <f t="shared" si="4"/>
        <v>-22764.511295421231</v>
      </c>
      <c r="X21" s="284">
        <f t="shared" si="4"/>
        <v>-23219.801521329657</v>
      </c>
      <c r="Y21" s="284">
        <f t="shared" si="4"/>
        <v>-23684.197551756253</v>
      </c>
    </row>
    <row r="22" spans="3:25" ht="13.5" customHeight="1">
      <c r="C22" s="3" t="s">
        <v>339</v>
      </c>
      <c r="E22" s="285">
        <f t="shared" ref="E22:Y22" si="5">E20+E21</f>
        <v>781000.51400000008</v>
      </c>
      <c r="F22" s="285">
        <f t="shared" si="5"/>
        <v>796620.52428000001</v>
      </c>
      <c r="G22" s="285">
        <f t="shared" si="5"/>
        <v>812552.93476560002</v>
      </c>
      <c r="H22" s="285">
        <f t="shared" si="5"/>
        <v>828803.99346091202</v>
      </c>
      <c r="I22" s="285">
        <f t="shared" si="5"/>
        <v>845380.0733301302</v>
      </c>
      <c r="J22" s="285">
        <f t="shared" si="5"/>
        <v>862287.67479673284</v>
      </c>
      <c r="K22" s="285">
        <f t="shared" si="5"/>
        <v>879533.42829266773</v>
      </c>
      <c r="L22" s="285">
        <f t="shared" si="5"/>
        <v>897124.09685852076</v>
      </c>
      <c r="M22" s="285">
        <f t="shared" si="5"/>
        <v>915066.57879569125</v>
      </c>
      <c r="N22" s="285">
        <f t="shared" si="5"/>
        <v>933367.91037160496</v>
      </c>
      <c r="O22" s="285">
        <f t="shared" si="5"/>
        <v>952035.26857903716</v>
      </c>
      <c r="P22" s="285">
        <f t="shared" si="5"/>
        <v>971075.97395061783</v>
      </c>
      <c r="Q22" s="285">
        <f t="shared" si="5"/>
        <v>990497.4934296303</v>
      </c>
      <c r="R22" s="285">
        <f t="shared" si="5"/>
        <v>1010307.4432982227</v>
      </c>
      <c r="S22" s="285">
        <f t="shared" si="5"/>
        <v>1030513.5921641875</v>
      </c>
      <c r="T22" s="285">
        <f t="shared" si="5"/>
        <v>1051123.8640074709</v>
      </c>
      <c r="U22" s="285">
        <f t="shared" si="5"/>
        <v>1072146.3412876206</v>
      </c>
      <c r="V22" s="285">
        <f t="shared" si="5"/>
        <v>1093589.2681133731</v>
      </c>
      <c r="W22" s="285">
        <f t="shared" si="5"/>
        <v>1115461.0534756402</v>
      </c>
      <c r="X22" s="285">
        <f t="shared" si="5"/>
        <v>1137770.2745451531</v>
      </c>
      <c r="Y22" s="285">
        <f t="shared" si="5"/>
        <v>1160525.6800360566</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781000.51400000008</v>
      </c>
      <c r="F24" s="286">
        <f t="shared" si="7"/>
        <v>796620.52428000001</v>
      </c>
      <c r="G24" s="286">
        <f t="shared" si="7"/>
        <v>812552.93476560002</v>
      </c>
      <c r="H24" s="286">
        <f t="shared" si="7"/>
        <v>828803.99346091202</v>
      </c>
      <c r="I24" s="286">
        <f t="shared" si="7"/>
        <v>845380.0733301302</v>
      </c>
      <c r="J24" s="286">
        <f t="shared" si="7"/>
        <v>862287.67479673284</v>
      </c>
      <c r="K24" s="286">
        <f t="shared" si="7"/>
        <v>879533.42829266773</v>
      </c>
      <c r="L24" s="286">
        <f t="shared" si="7"/>
        <v>897124.09685852076</v>
      </c>
      <c r="M24" s="286">
        <f t="shared" si="7"/>
        <v>915066.57879569125</v>
      </c>
      <c r="N24" s="286">
        <f t="shared" si="7"/>
        <v>933367.91037160496</v>
      </c>
      <c r="O24" s="286">
        <f t="shared" si="7"/>
        <v>952035.26857903716</v>
      </c>
      <c r="P24" s="286">
        <f t="shared" si="7"/>
        <v>971075.97395061783</v>
      </c>
      <c r="Q24" s="286">
        <f t="shared" si="7"/>
        <v>990497.4934296303</v>
      </c>
      <c r="R24" s="286">
        <f t="shared" si="7"/>
        <v>1010307.4432982227</v>
      </c>
      <c r="S24" s="286">
        <f t="shared" si="7"/>
        <v>1030513.5921641875</v>
      </c>
      <c r="T24" s="286">
        <f t="shared" si="7"/>
        <v>1051123.8640074709</v>
      </c>
      <c r="U24" s="286">
        <f t="shared" si="7"/>
        <v>1072146.3412876206</v>
      </c>
      <c r="V24" s="286">
        <f t="shared" si="7"/>
        <v>1093589.2681133731</v>
      </c>
      <c r="W24" s="286">
        <f t="shared" si="7"/>
        <v>1115461.0534756402</v>
      </c>
      <c r="X24" s="286">
        <f t="shared" si="7"/>
        <v>1137770.2745451531</v>
      </c>
      <c r="Y24" s="286">
        <f t="shared" si="7"/>
        <v>1160525.6800360566</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28118</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29242.720000000001</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30412.428800000002</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31628.925952000001</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32894.082990080009</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34209.846309683213</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35578.240162070535</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37001.369768553355</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38481.424559295498</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40020.68154166732</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41021.198580208998</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42046.728544714228</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43097.896758332085</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44175.344177290375</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45279.727781722628</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46411.7209762657</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47572.014000672338</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48761.314350689143</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49980.347209456362</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51229.855889692772</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52510.602286935093</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3632</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3777.28</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3928.3712000000005</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4085.5060480000002</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4248.9262899200012</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4418.883341516801</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4595.6386751774735</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4779.4642221845716</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4970.6427910719558</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5169.4685027148344</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5298.7052152827046</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5431.1728456647725</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5566.9521668063917</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5706.1259709765509</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5848.7791202509634</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5994.998598257238</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6144.8735632136686</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6298.4954022940101</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6455.957787351359</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6617.3567320351431</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6782.7906503360218</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20000</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20800</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21632.000000000004</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22497.280000000002</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23397.171200000004</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24333.058048000006</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25306.380369920007</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26318.635584716805</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27371.381008105483</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28466.236248429705</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29177.892154640442</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29907.339458506456</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30655.022944969118</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31421.398518593342</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32206.933481558168</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33012.106818597123</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33837.409489062054</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34683.344726288604</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35550.428344445805</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36439.189053056958</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37350.168779383377</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13204</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13732.16</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14281.446400000001</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14852.704256000001</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15446.812426240003</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16064.684923289604</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16707.272320221189</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17375.563213030036</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18070.58574155124</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18793.40917121329</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19263.244400493622</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19744.825510505962</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20238.446148268609</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20744.407301975323</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21263.017484524702</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21794.592921637821</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22339.457744678766</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22897.944188295733</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23470.392793003124</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24057.152612828202</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24658.581428148907</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36541</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38002.639999999999</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39522.745600000002</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41103.655424000004</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42747.80164096001</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44457.713706598413</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46236.02225486235</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48085.463145056841</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50008.881670859118</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52009.236937693488</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53309.467861135825</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54642.204557664219</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56008.259671605825</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57408.466163395962</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58843.67781748085</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60314.769762917873</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61822.639006990823</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63368.204982165589</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64952.410106719712</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66576.220359387706</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68240.625868372401</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11907</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12383.28</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12878.611200000001</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13393.755648</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13929.505873920003</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14486.686108876804</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15066.153553231876</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15668.799695361149</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16295.551683175599</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16947.373750502626</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17371.058094265187</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17805.334546621816</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18250.467910287363</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18706.729608044545</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19174.397848245655</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19653.757794451798</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20145.101739313093</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20648.729282795917</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21164.947514865813</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21694.071202737457</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22236.422982805896</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3103</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3227.12</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3356.2048000000004</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3490.4529920000004</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3630.0711116800007</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3775.2739561472013</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3926.2849143930894</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4083.3363109688125</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4246.6697634075654</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4416.536553943869</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4526.949967792465</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4640.1237169872766</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4756.1268099119588</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4875.0299801597566</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4996.9057296637502</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5121.8283729053437</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5249.8740822279769</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5381.1209342836764</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5515.6489576407675</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5653.5401815817868</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5794.8786861213312</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30479</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31698.16</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32966.0864</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34284.729856000005</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35656.119050240006</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37082.363812249612</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38565.658364739596</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40108.284699329175</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41712.616087302347</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43381.12073079445</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44465.648749064305</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45577.289967790908</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46716.722216985683</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47884.640272410317</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49081.756279220572</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50308.800186201086</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51566.520190856114</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52855.683195627513</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54177.075275518189</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55531.502157406147</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56919.789711341298</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4851</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5045.04</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5246.8416000000007</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5456.7152640000004</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5674.9838745600009</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5901.9832295424021</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6138.0625587240975</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6383.5850610730613</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6638.9284635159847</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6904.4856020566249</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7077.0977421080397</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7254.0251856607401</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7435.3758153022591</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7621.2602106848144</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7811.7917159519338</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8007.0865088507326</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8207.263671572</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8412.4452633613</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8622.7563949453306</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8838.3253048189636</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9059.2834374394388</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34566</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35948.639999999999</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37386.585600000006</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38882.049024</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40437.330984960005</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42054.82422435841</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43737.017193332751</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45486.497881066054</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47305.957796308707</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49198.196108161057</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50428.151010865076</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51688.854786136704</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52981.076155790128</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54305.603059684872</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55663.243136176985</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57054.824214581407</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58481.194819945944</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59943.224690444586</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61441.80530770569</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62977.850440398339</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64552.296701408297</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43660</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45406.400000000001</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47222.656000000003</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49111.562240000007</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51076.024729600009</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53119.065718784012</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55243.828347535375</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57453.581481436784</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59751.72474069427</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62141.793730322046</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63695.338573580091</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65287.722037919593</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66919.915088867579</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68592.912966089265</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70307.735790241481</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72065.429184997527</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73867.06491462246</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75713.741537488022</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77606.585075925192</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79546.749702823334</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81535.418445393923</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48333</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50266.32</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52276.972800000003</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54368.051712000008</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56542.773780480013</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58804.484731699216</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61156.664120967187</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63602.93068580587</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66147.047913238115</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68792.929829767643</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70512.753075511835</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72275.571902399621</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74082.461199959624</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75934.522729958597</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77832.885798207542</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79778.707943162735</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81773.175641741807</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83817.505032785353</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85912.942658604967</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88060.766225070096</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90262.285380696849</v>
      </c>
    </row>
    <row r="39" spans="3:25" ht="13.15" customHeight="1">
      <c r="C39" s="14" t="s">
        <v>355</v>
      </c>
      <c r="E39" s="286">
        <f t="shared" ref="E39:Y39" si="8">SUM(E27:E38)</f>
        <v>278394</v>
      </c>
      <c r="F39" s="286">
        <f t="shared" si="8"/>
        <v>289529.75999999995</v>
      </c>
      <c r="G39" s="286">
        <f t="shared" si="8"/>
        <v>301110.95040000003</v>
      </c>
      <c r="H39" s="286">
        <f t="shared" si="8"/>
        <v>313155.388416</v>
      </c>
      <c r="I39" s="286">
        <f t="shared" si="8"/>
        <v>325681.60395264009</v>
      </c>
      <c r="J39" s="286">
        <f t="shared" si="8"/>
        <v>338708.86811074568</v>
      </c>
      <c r="K39" s="286">
        <f t="shared" si="8"/>
        <v>352257.22283517558</v>
      </c>
      <c r="L39" s="286">
        <f t="shared" si="8"/>
        <v>366347.51174858253</v>
      </c>
      <c r="M39" s="286">
        <f t="shared" si="8"/>
        <v>381001.41221852589</v>
      </c>
      <c r="N39" s="286">
        <f t="shared" si="8"/>
        <v>396241.46870726696</v>
      </c>
      <c r="O39" s="286">
        <f t="shared" si="8"/>
        <v>406147.50542494858</v>
      </c>
      <c r="P39" s="286">
        <f t="shared" si="8"/>
        <v>416301.19306057226</v>
      </c>
      <c r="Q39" s="286">
        <f t="shared" si="8"/>
        <v>426708.72288708662</v>
      </c>
      <c r="R39" s="286">
        <f t="shared" si="8"/>
        <v>437376.44095926371</v>
      </c>
      <c r="S39" s="286">
        <f t="shared" si="8"/>
        <v>448310.85198324529</v>
      </c>
      <c r="T39" s="286">
        <f t="shared" si="8"/>
        <v>459518.62328282639</v>
      </c>
      <c r="U39" s="286">
        <f t="shared" si="8"/>
        <v>471006.58886489703</v>
      </c>
      <c r="V39" s="286">
        <f t="shared" si="8"/>
        <v>482781.75358651945</v>
      </c>
      <c r="W39" s="286">
        <f t="shared" si="8"/>
        <v>494851.29742618231</v>
      </c>
      <c r="X39" s="286">
        <f t="shared" si="8"/>
        <v>507222.57986183692</v>
      </c>
      <c r="Y39" s="286">
        <f t="shared" si="8"/>
        <v>519903.14435838279</v>
      </c>
    </row>
    <row r="40" spans="3:25" ht="7.15" customHeight="1"/>
    <row r="41" spans="3:25" ht="13.5" customHeight="1">
      <c r="C41" s="15" t="s">
        <v>356</v>
      </c>
      <c r="D41" s="8"/>
      <c r="E41" s="287">
        <f t="shared" ref="E41:Y41" si="9">E24-E39</f>
        <v>502606.51400000008</v>
      </c>
      <c r="F41" s="287">
        <f t="shared" si="9"/>
        <v>507090.76428000006</v>
      </c>
      <c r="G41" s="287">
        <f t="shared" si="9"/>
        <v>511441.98436559999</v>
      </c>
      <c r="H41" s="287">
        <f t="shared" si="9"/>
        <v>515648.60504491202</v>
      </c>
      <c r="I41" s="287">
        <f t="shared" si="9"/>
        <v>519698.46937749011</v>
      </c>
      <c r="J41" s="287">
        <f t="shared" si="9"/>
        <v>523578.80668598716</v>
      </c>
      <c r="K41" s="287">
        <f t="shared" si="9"/>
        <v>527276.20545749215</v>
      </c>
      <c r="L41" s="287">
        <f t="shared" si="9"/>
        <v>530776.58510993817</v>
      </c>
      <c r="M41" s="287">
        <f t="shared" si="9"/>
        <v>534065.16657716536</v>
      </c>
      <c r="N41" s="287">
        <f t="shared" si="9"/>
        <v>537126.441664338</v>
      </c>
      <c r="O41" s="287">
        <f t="shared" si="9"/>
        <v>545887.76315408852</v>
      </c>
      <c r="P41" s="287">
        <f t="shared" si="9"/>
        <v>554774.78089004557</v>
      </c>
      <c r="Q41" s="287">
        <f t="shared" si="9"/>
        <v>563788.77054254361</v>
      </c>
      <c r="R41" s="287">
        <f t="shared" si="9"/>
        <v>572931.00233895902</v>
      </c>
      <c r="S41" s="287">
        <f t="shared" si="9"/>
        <v>582202.74018094223</v>
      </c>
      <c r="T41" s="287">
        <f t="shared" si="9"/>
        <v>591605.24072464451</v>
      </c>
      <c r="U41" s="287">
        <f t="shared" si="9"/>
        <v>601139.75242272357</v>
      </c>
      <c r="V41" s="287">
        <f t="shared" si="9"/>
        <v>610807.51452685357</v>
      </c>
      <c r="W41" s="287">
        <f t="shared" si="9"/>
        <v>620609.75604945794</v>
      </c>
      <c r="X41" s="287">
        <f t="shared" si="9"/>
        <v>630547.69468331616</v>
      </c>
      <c r="Y41" s="287">
        <f t="shared" si="9"/>
        <v>640622.53567767376</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
      </c>
      <c r="J43" s="288" t="str">
        <f t="shared" si="10"/>
        <v/>
      </c>
      <c r="K43" s="288" t="str">
        <f t="shared" si="10"/>
        <v/>
      </c>
      <c r="L43" s="288" t="str">
        <f t="shared" si="10"/>
        <v/>
      </c>
      <c r="M43" s="288" t="str">
        <f t="shared" si="10"/>
        <v/>
      </c>
      <c r="N43" s="288" t="str">
        <f t="shared" si="10"/>
        <v>REFI YR.</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7050</v>
      </c>
      <c r="F44" s="283">
        <f t="shared" si="11"/>
        <v>7191</v>
      </c>
      <c r="G44" s="283">
        <f t="shared" si="11"/>
        <v>7334.82</v>
      </c>
      <c r="H44" s="283">
        <f t="shared" si="11"/>
        <v>7481.5163999999995</v>
      </c>
      <c r="I44" s="283">
        <f t="shared" si="11"/>
        <v>7631.1467279999997</v>
      </c>
      <c r="J44" s="283">
        <f t="shared" si="11"/>
        <v>7783.7696625600001</v>
      </c>
      <c r="K44" s="283">
        <f t="shared" si="11"/>
        <v>7939.4450558112003</v>
      </c>
      <c r="L44" s="283">
        <f t="shared" si="11"/>
        <v>8098.2339569274227</v>
      </c>
      <c r="M44" s="283">
        <f t="shared" si="11"/>
        <v>8260.1986360659721</v>
      </c>
      <c r="N44" s="283">
        <f t="shared" si="11"/>
        <v>8425.4026087872917</v>
      </c>
      <c r="O44" s="283">
        <f t="shared" si="11"/>
        <v>8593.910660963038</v>
      </c>
      <c r="P44" s="283">
        <f t="shared" si="11"/>
        <v>8765.7888741822971</v>
      </c>
      <c r="Q44" s="283">
        <f t="shared" si="11"/>
        <v>8941.1046516659444</v>
      </c>
      <c r="R44" s="283">
        <f t="shared" si="11"/>
        <v>9119.9267446992617</v>
      </c>
      <c r="S44" s="283">
        <f t="shared" si="11"/>
        <v>9302.3252795932494</v>
      </c>
      <c r="T44" s="283">
        <f t="shared" si="11"/>
        <v>9488.3717851851106</v>
      </c>
      <c r="U44" s="283">
        <f t="shared" si="11"/>
        <v>9678.1392208888155</v>
      </c>
      <c r="V44" s="283">
        <f t="shared" si="11"/>
        <v>9871.7020053065917</v>
      </c>
      <c r="W44" s="283">
        <f t="shared" si="11"/>
        <v>10069.136045412723</v>
      </c>
      <c r="X44" s="283">
        <f t="shared" si="11"/>
        <v>10270.518766320976</v>
      </c>
      <c r="Y44" s="283">
        <f t="shared" si="11"/>
        <v>10475.929141647397</v>
      </c>
    </row>
    <row r="45" spans="3:25" ht="13.5" customHeight="1">
      <c r="C45" s="15" t="s">
        <v>359</v>
      </c>
      <c r="D45" s="8"/>
      <c r="E45" s="287">
        <f t="shared" ref="E45:Y45" si="12">E41-E44</f>
        <v>495556.51400000008</v>
      </c>
      <c r="F45" s="287">
        <f t="shared" si="12"/>
        <v>499899.76428000006</v>
      </c>
      <c r="G45" s="287">
        <f t="shared" si="12"/>
        <v>504107.16436559998</v>
      </c>
      <c r="H45" s="287">
        <f t="shared" si="12"/>
        <v>508167.088644912</v>
      </c>
      <c r="I45" s="287">
        <f t="shared" si="12"/>
        <v>512067.32264949009</v>
      </c>
      <c r="J45" s="287">
        <f t="shared" si="12"/>
        <v>515795.03702342714</v>
      </c>
      <c r="K45" s="287">
        <f t="shared" si="12"/>
        <v>519336.76040168095</v>
      </c>
      <c r="L45" s="287">
        <f t="shared" si="12"/>
        <v>522678.35115301074</v>
      </c>
      <c r="M45" s="287">
        <f t="shared" si="12"/>
        <v>525804.96794109943</v>
      </c>
      <c r="N45" s="287">
        <f t="shared" si="12"/>
        <v>528701.0390555507</v>
      </c>
      <c r="O45" s="287">
        <f t="shared" si="12"/>
        <v>537293.85249312548</v>
      </c>
      <c r="P45" s="287">
        <f t="shared" si="12"/>
        <v>546008.9920158633</v>
      </c>
      <c r="Q45" s="287">
        <f t="shared" si="12"/>
        <v>554847.66589087772</v>
      </c>
      <c r="R45" s="287">
        <f t="shared" si="12"/>
        <v>563811.07559425978</v>
      </c>
      <c r="S45" s="287">
        <f t="shared" si="12"/>
        <v>572900.414901349</v>
      </c>
      <c r="T45" s="287">
        <f t="shared" si="12"/>
        <v>582116.86893945944</v>
      </c>
      <c r="U45" s="287">
        <f t="shared" si="12"/>
        <v>591461.61320183473</v>
      </c>
      <c r="V45" s="287">
        <f t="shared" si="12"/>
        <v>600935.81252154696</v>
      </c>
      <c r="W45" s="287">
        <f t="shared" si="12"/>
        <v>610540.62000404519</v>
      </c>
      <c r="X45" s="287">
        <f t="shared" si="12"/>
        <v>620277.17591699515</v>
      </c>
      <c r="Y45" s="287">
        <f t="shared" si="12"/>
        <v>630146.60653602635</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
      </c>
      <c r="J47" s="288" t="str">
        <f t="shared" si="13"/>
        <v/>
      </c>
      <c r="K47" s="288" t="str">
        <f t="shared" si="13"/>
        <v/>
      </c>
      <c r="L47" s="288" t="str">
        <f t="shared" si="13"/>
        <v/>
      </c>
      <c r="M47" s="288" t="str">
        <f t="shared" si="13"/>
        <v/>
      </c>
      <c r="N47" s="288" t="str">
        <f t="shared" si="13"/>
        <v>REFI YR.</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(E$12&gt;=$F$2)*IFERROR(INDEX('02_Debt Engine'!$F$46:$Z$62,MATCH($C$1,'02_Debt Engine'!$B$19:$B$35,0),MATCH(E$12,'02_Debt Engine'!$F$45:$Z$45,0)),0)</f>
        <v>271563.84000000003</v>
      </c>
      <c r="F48" s="286">
        <f>(F$12&gt;=$F$2)*IFERROR(INDEX('02_Debt Engine'!$F$46:$Z$62,MATCH($C$1,'02_Debt Engine'!$B$19:$B$35,0),MATCH(F$12,'02_Debt Engine'!$F$45:$Z$45,0)),0)</f>
        <v>271563.84000000003</v>
      </c>
      <c r="G48" s="286">
        <f>(G$12&gt;=$F$2)*IFERROR(INDEX('02_Debt Engine'!$F$46:$Z$62,MATCH($C$1,'02_Debt Engine'!$B$19:$B$35,0),MATCH(G$12,'02_Debt Engine'!$F$45:$Z$45,0)),0)</f>
        <v>271563.84000000003</v>
      </c>
      <c r="H48" s="286">
        <f>(H$12&gt;=$F$2)*IFERROR(INDEX('02_Debt Engine'!$F$46:$Z$62,MATCH($C$1,'02_Debt Engine'!$B$19:$B$35,0),MATCH(H$12,'02_Debt Engine'!$F$45:$Z$45,0)),0)</f>
        <v>271563.84000000003</v>
      </c>
      <c r="I48" s="286">
        <f>(I$12&gt;=$F$2)*IFERROR(INDEX('02_Debt Engine'!$F$46:$Z$62,MATCH($C$1,'02_Debt Engine'!$B$19:$B$35,0),MATCH(I$12,'02_Debt Engine'!$F$45:$Z$45,0)),0)</f>
        <v>271563.84000000003</v>
      </c>
      <c r="J48" s="286">
        <f>(J$12&gt;=$F$2)*IFERROR(INDEX('02_Debt Engine'!$F$46:$Z$62,MATCH($C$1,'02_Debt Engine'!$B$19:$B$35,0),MATCH(J$12,'02_Debt Engine'!$F$45:$Z$45,0)),0)</f>
        <v>271563.84000000003</v>
      </c>
      <c r="K48" s="286">
        <f>(K$12&gt;=$F$2)*IFERROR(INDEX('02_Debt Engine'!$F$46:$Z$62,MATCH($C$1,'02_Debt Engine'!$B$19:$B$35,0),MATCH(K$12,'02_Debt Engine'!$F$45:$Z$45,0)),0)</f>
        <v>271563.84000000003</v>
      </c>
      <c r="L48" s="286">
        <f>(L$12&gt;=$F$2)*IFERROR(INDEX('02_Debt Engine'!$F$46:$Z$62,MATCH($C$1,'02_Debt Engine'!$B$19:$B$35,0),MATCH(L$12,'02_Debt Engine'!$F$45:$Z$45,0)),0)</f>
        <v>271563.84000000003</v>
      </c>
      <c r="M48" s="286">
        <f>(M$12&gt;=$F$2)*IFERROR(INDEX('02_Debt Engine'!$F$46:$Z$62,MATCH($C$1,'02_Debt Engine'!$B$19:$B$35,0),MATCH(M$12,'02_Debt Engine'!$F$45:$Z$45,0)),0)</f>
        <v>271563.84000000003</v>
      </c>
      <c r="N48" s="286">
        <f>(N$12&gt;=$F$2)*IFERROR(INDEX('02_Debt Engine'!$F$46:$Z$62,MATCH($C$1,'02_Debt Engine'!$B$19:$B$35,0),MATCH(N$12,'02_Debt Engine'!$F$45:$Z$45,0)),0)</f>
        <v>271563.84000000003</v>
      </c>
      <c r="O48" s="286">
        <f>(O$12&gt;=$F$2)*IFERROR(INDEX('02_Debt Engine'!$F$46:$Z$62,MATCH($C$1,'02_Debt Engine'!$B$19:$B$35,0),MATCH(O$12,'02_Debt Engine'!$F$45:$Z$45,0)),0)</f>
        <v>356739.03166510991</v>
      </c>
      <c r="P48" s="286">
        <f>(P$12&gt;=$F$2)*IFERROR(INDEX('02_Debt Engine'!$F$46:$Z$62,MATCH($C$1,'02_Debt Engine'!$B$19:$B$35,0),MATCH(P$12,'02_Debt Engine'!$F$45:$Z$45,0)),0)</f>
        <v>356739.03166510991</v>
      </c>
      <c r="Q48" s="286">
        <f>(Q$12&gt;=$F$2)*IFERROR(INDEX('02_Debt Engine'!$F$46:$Z$62,MATCH($C$1,'02_Debt Engine'!$B$19:$B$35,0),MATCH(Q$12,'02_Debt Engine'!$F$45:$Z$45,0)),0)</f>
        <v>356739.03166510991</v>
      </c>
      <c r="R48" s="286">
        <f>(R$12&gt;=$F$2)*IFERROR(INDEX('02_Debt Engine'!$F$46:$Z$62,MATCH($C$1,'02_Debt Engine'!$B$19:$B$35,0),MATCH(R$12,'02_Debt Engine'!$F$45:$Z$45,0)),0)</f>
        <v>356739.03166510991</v>
      </c>
      <c r="S48" s="286">
        <f>(S$12&gt;=$F$2)*IFERROR(INDEX('02_Debt Engine'!$F$46:$Z$62,MATCH($C$1,'02_Debt Engine'!$B$19:$B$35,0),MATCH(S$12,'02_Debt Engine'!$F$45:$Z$45,0)),0)</f>
        <v>356739.03166510991</v>
      </c>
      <c r="T48" s="286">
        <f>(T$12&gt;=$F$2)*IFERROR(INDEX('02_Debt Engine'!$F$46:$Z$62,MATCH($C$1,'02_Debt Engine'!$B$19:$B$35,0),MATCH(T$12,'02_Debt Engine'!$F$45:$Z$45,0)),0)</f>
        <v>356739.03166510991</v>
      </c>
      <c r="U48" s="286">
        <f>(U$12&gt;=$F$2)*IFERROR(INDEX('02_Debt Engine'!$F$46:$Z$62,MATCH($C$1,'02_Debt Engine'!$B$19:$B$35,0),MATCH(U$12,'02_Debt Engine'!$F$45:$Z$45,0)),0)</f>
        <v>356739.03166510991</v>
      </c>
      <c r="V48" s="286">
        <f>(V$12&gt;=$F$2)*IFERROR(INDEX('02_Debt Engine'!$F$46:$Z$62,MATCH($C$1,'02_Debt Engine'!$B$19:$B$35,0),MATCH(V$12,'02_Debt Engine'!$F$45:$Z$45,0)),0)</f>
        <v>356739.03166510991</v>
      </c>
      <c r="W48" s="286">
        <f>(W$12&gt;=$F$2)*IFERROR(INDEX('02_Debt Engine'!$F$46:$Z$62,MATCH($C$1,'02_Debt Engine'!$B$19:$B$35,0),MATCH(W$12,'02_Debt Engine'!$F$45:$Z$45,0)),0)</f>
        <v>356739.03166510991</v>
      </c>
      <c r="X48" s="286">
        <f>(X$12&gt;=$F$2)*IFERROR(INDEX('02_Debt Engine'!$F$46:$Z$62,MATCH($C$1,'02_Debt Engine'!$B$19:$B$35,0),MATCH(X$12,'02_Debt Engine'!$F$45:$Z$45,0)),0)</f>
        <v>356739.03166510991</v>
      </c>
      <c r="Y48" s="286">
        <f>(Y$12&gt;=$F$2)*IFERROR(INDEX('02_Debt Engine'!$F$46:$Z$62,MATCH($C$1,'02_Debt Engine'!$B$19:$B$35,0),MATCH(Y$12,'02_Debt Engine'!$F$45:$Z$45,0)),0)</f>
        <v>356739.03166510991</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1.8507858557310135</v>
      </c>
      <c r="F50" s="290">
        <f t="shared" si="14"/>
        <v>1.8672985485843772</v>
      </c>
      <c r="G50" s="290">
        <f t="shared" si="14"/>
        <v>1.8833213743243575</v>
      </c>
      <c r="H50" s="290">
        <f t="shared" si="14"/>
        <v>1.8988117307698698</v>
      </c>
      <c r="I50" s="290">
        <f t="shared" si="14"/>
        <v>1.9137248515026524</v>
      </c>
      <c r="J50" s="290">
        <f t="shared" si="14"/>
        <v>1.9280137100947869</v>
      </c>
      <c r="K50" s="290">
        <f t="shared" si="14"/>
        <v>1.9416289203212478</v>
      </c>
      <c r="L50" s="290">
        <f t="shared" si="14"/>
        <v>1.9545186321932189</v>
      </c>
      <c r="M50" s="290">
        <f t="shared" si="14"/>
        <v>1.9666284236412526</v>
      </c>
      <c r="N50" s="290">
        <f t="shared" si="14"/>
        <v>1.9779011876704127</v>
      </c>
      <c r="O50" s="290">
        <f t="shared" si="14"/>
        <v>1.5302159693771402</v>
      </c>
      <c r="P50" s="290">
        <f t="shared" si="14"/>
        <v>1.5551277871125759</v>
      </c>
      <c r="Q50" s="290">
        <f t="shared" si="14"/>
        <v>1.5803955286614177</v>
      </c>
      <c r="R50" s="290">
        <f t="shared" si="14"/>
        <v>1.606022754686401</v>
      </c>
      <c r="S50" s="290">
        <f t="shared" si="14"/>
        <v>1.6320130081181787</v>
      </c>
      <c r="T50" s="290">
        <f t="shared" si="14"/>
        <v>1.6583698115770413</v>
      </c>
      <c r="U50" s="290">
        <f t="shared" si="14"/>
        <v>1.6850966646874956</v>
      </c>
      <c r="V50" s="290">
        <f t="shared" si="14"/>
        <v>1.7121970412821308</v>
      </c>
      <c r="W50" s="290">
        <f t="shared" si="14"/>
        <v>1.7396743864911806</v>
      </c>
      <c r="X50" s="290">
        <f t="shared" si="14"/>
        <v>1.7675321137139968</v>
      </c>
      <c r="Y50" s="290">
        <f t="shared" si="14"/>
        <v>1.7957736014685954</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231042.67400000006</v>
      </c>
      <c r="F52" s="291">
        <f t="shared" si="15"/>
        <v>235526.92428000004</v>
      </c>
      <c r="G52" s="291">
        <f t="shared" si="15"/>
        <v>239878.14436559996</v>
      </c>
      <c r="H52" s="291">
        <f t="shared" si="15"/>
        <v>244084.765044912</v>
      </c>
      <c r="I52" s="291">
        <f t="shared" si="15"/>
        <v>248134.62937749008</v>
      </c>
      <c r="J52" s="291">
        <f t="shared" si="15"/>
        <v>252014.96668598714</v>
      </c>
      <c r="K52" s="291">
        <f t="shared" si="15"/>
        <v>255712.36545749212</v>
      </c>
      <c r="L52" s="291">
        <f t="shared" si="15"/>
        <v>259212.74510993814</v>
      </c>
      <c r="M52" s="291">
        <f t="shared" si="15"/>
        <v>262501.32657716534</v>
      </c>
      <c r="N52" s="291">
        <f t="shared" si="15"/>
        <v>265562.60166433797</v>
      </c>
      <c r="O52" s="291">
        <f t="shared" si="15"/>
        <v>189148.73148897861</v>
      </c>
      <c r="P52" s="291">
        <f t="shared" si="15"/>
        <v>198035.74922493566</v>
      </c>
      <c r="Q52" s="291">
        <f t="shared" si="15"/>
        <v>207049.7388774337</v>
      </c>
      <c r="R52" s="291">
        <f t="shared" si="15"/>
        <v>216191.97067384911</v>
      </c>
      <c r="S52" s="291">
        <f t="shared" si="15"/>
        <v>225463.70851583232</v>
      </c>
      <c r="T52" s="291">
        <f t="shared" si="15"/>
        <v>234866.20905953459</v>
      </c>
      <c r="U52" s="291">
        <f t="shared" si="15"/>
        <v>244400.72075761366</v>
      </c>
      <c r="V52" s="291">
        <f t="shared" si="15"/>
        <v>254068.48286174366</v>
      </c>
      <c r="W52" s="291">
        <f t="shared" si="15"/>
        <v>263870.72438434802</v>
      </c>
      <c r="X52" s="291">
        <f t="shared" si="15"/>
        <v>273808.66301820625</v>
      </c>
      <c r="Y52" s="291">
        <f t="shared" si="15"/>
        <v>283883.50401256385</v>
      </c>
    </row>
    <row r="53" spans="3:25" ht="7.15" customHeight="1">
      <c r="C53" s="14"/>
      <c r="D53" s="17"/>
    </row>
    <row r="54" spans="3:25" ht="13.5" customHeight="1">
      <c r="C54" s="15" t="s">
        <v>363</v>
      </c>
      <c r="D54" s="20"/>
      <c r="E54" s="292">
        <f t="shared" ref="E54:Y54" si="16">IF(E52&lt;0,0,E52*$G$7)</f>
        <v>138625.60440000004</v>
      </c>
      <c r="F54" s="292">
        <f t="shared" si="16"/>
        <v>141316.15456800003</v>
      </c>
      <c r="G54" s="292">
        <f t="shared" si="16"/>
        <v>143926.88661935998</v>
      </c>
      <c r="H54" s="292">
        <f t="shared" si="16"/>
        <v>146450.8590269472</v>
      </c>
      <c r="I54" s="292">
        <f t="shared" si="16"/>
        <v>148880.77762649403</v>
      </c>
      <c r="J54" s="292">
        <f t="shared" si="16"/>
        <v>151208.98001159227</v>
      </c>
      <c r="K54" s="292">
        <f t="shared" si="16"/>
        <v>153427.41927449527</v>
      </c>
      <c r="L54" s="292">
        <f t="shared" si="16"/>
        <v>155527.64706596287</v>
      </c>
      <c r="M54" s="292">
        <f t="shared" si="16"/>
        <v>157500.79594629919</v>
      </c>
      <c r="N54" s="292">
        <f t="shared" si="16"/>
        <v>159337.56099860277</v>
      </c>
      <c r="O54" s="292">
        <f t="shared" si="16"/>
        <v>113489.23889338716</v>
      </c>
      <c r="P54" s="292">
        <f t="shared" si="16"/>
        <v>118821.44953496139</v>
      </c>
      <c r="Q54" s="292">
        <f t="shared" si="16"/>
        <v>124229.84332646022</v>
      </c>
      <c r="R54" s="292">
        <f t="shared" si="16"/>
        <v>129715.18240430945</v>
      </c>
      <c r="S54" s="292">
        <f t="shared" si="16"/>
        <v>135278.22510949938</v>
      </c>
      <c r="T54" s="292">
        <f t="shared" si="16"/>
        <v>140919.72543572076</v>
      </c>
      <c r="U54" s="292">
        <f t="shared" si="16"/>
        <v>146640.43245456819</v>
      </c>
      <c r="V54" s="292">
        <f t="shared" si="16"/>
        <v>152441.08971704618</v>
      </c>
      <c r="W54" s="292">
        <f t="shared" si="16"/>
        <v>158322.4346306088</v>
      </c>
      <c r="X54" s="292">
        <f t="shared" si="16"/>
        <v>164285.19781092374</v>
      </c>
      <c r="Y54" s="292">
        <f t="shared" si="16"/>
        <v>170330.1024075383</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92417.069600000017</v>
      </c>
      <c r="F56" s="291">
        <f t="shared" si="17"/>
        <v>94210.769712000008</v>
      </c>
      <c r="G56" s="291">
        <f t="shared" si="17"/>
        <v>95951.257746239979</v>
      </c>
      <c r="H56" s="291">
        <f t="shared" si="17"/>
        <v>97633.906017964793</v>
      </c>
      <c r="I56" s="291">
        <f t="shared" si="17"/>
        <v>99253.851750996051</v>
      </c>
      <c r="J56" s="291">
        <f t="shared" si="17"/>
        <v>100805.98667439487</v>
      </c>
      <c r="K56" s="291">
        <f t="shared" si="17"/>
        <v>102284.94618299685</v>
      </c>
      <c r="L56" s="291">
        <f t="shared" si="17"/>
        <v>103685.09804397527</v>
      </c>
      <c r="M56" s="291">
        <f t="shared" si="17"/>
        <v>105000.53063086615</v>
      </c>
      <c r="N56" s="291">
        <f t="shared" si="17"/>
        <v>106225.0406657352</v>
      </c>
      <c r="O56" s="291">
        <f t="shared" si="17"/>
        <v>75659.492595591451</v>
      </c>
      <c r="P56" s="291">
        <f t="shared" si="17"/>
        <v>79214.299689974272</v>
      </c>
      <c r="Q56" s="291">
        <f t="shared" si="17"/>
        <v>82819.895550973481</v>
      </c>
      <c r="R56" s="291">
        <f t="shared" si="17"/>
        <v>86476.788269539655</v>
      </c>
      <c r="S56" s="291">
        <f t="shared" si="17"/>
        <v>90185.483406332933</v>
      </c>
      <c r="T56" s="291">
        <f t="shared" si="17"/>
        <v>93946.483623813838</v>
      </c>
      <c r="U56" s="291">
        <f t="shared" si="17"/>
        <v>97760.288303045469</v>
      </c>
      <c r="V56" s="291">
        <f t="shared" si="17"/>
        <v>101627.39314469747</v>
      </c>
      <c r="W56" s="291">
        <f t="shared" si="17"/>
        <v>105548.28975373923</v>
      </c>
      <c r="X56" s="291">
        <f t="shared" si="17"/>
        <v>109523.46520728251</v>
      </c>
      <c r="Y56" s="291">
        <f t="shared" si="17"/>
        <v>113553.40160502554</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
      </c>
      <c r="I60" s="288" t="str">
        <f t="shared" si="18"/>
        <v/>
      </c>
      <c r="J60" s="288" t="str">
        <f t="shared" si="18"/>
        <v/>
      </c>
      <c r="K60" s="288" t="str">
        <f t="shared" si="18"/>
        <v/>
      </c>
      <c r="L60" s="288" t="str">
        <f t="shared" si="18"/>
        <v/>
      </c>
      <c r="M60" s="288" t="str">
        <f t="shared" si="18"/>
        <v/>
      </c>
      <c r="N60" s="288" t="str">
        <f t="shared" si="18"/>
        <v>REFI YR.</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-4249057.3927905457</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6714080.5208042245</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0</v>
      </c>
      <c r="I63" s="285">
        <f t="shared" si="19"/>
        <v>0</v>
      </c>
      <c r="J63" s="285">
        <f t="shared" si="19"/>
        <v>0</v>
      </c>
      <c r="K63" s="285">
        <f t="shared" si="19"/>
        <v>0</v>
      </c>
      <c r="L63" s="285">
        <f t="shared" si="19"/>
        <v>0</v>
      </c>
      <c r="M63" s="285">
        <f t="shared" si="19"/>
        <v>0</v>
      </c>
      <c r="N63" s="285">
        <f t="shared" si="19"/>
        <v>2465023.1280136788</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4931606.0285999998</v>
      </c>
      <c r="F64" s="296">
        <f>INDEX('02_Debt Engine'!$F$74:$Z$90,MATCH($C$1,'02_Debt Engine'!$B$74:$B$90,0),MATCH(F$12,'02_Debt Engine'!$F$73:$Z$73,0))</f>
        <v>4867662.80240406</v>
      </c>
      <c r="G64" s="296">
        <f>INDEX('02_Debt Engine'!$F$74:$Z$90,MATCH($C$1,'02_Debt Engine'!$B$74:$B$90,0),MATCH(G$12,'02_Debt Engine'!$F$73:$Z$73,0))</f>
        <v>4801027.566385271</v>
      </c>
      <c r="H64" s="296">
        <f>INDEX('02_Debt Engine'!$F$74:$Z$90,MATCH($C$1,'02_Debt Engine'!$B$74:$B$90,0),MATCH(H$12,'02_Debt Engine'!$F$73:$Z$73,0))</f>
        <v>4731586.9869300909</v>
      </c>
      <c r="I64" s="296">
        <f>INDEX('02_Debt Engine'!$F$74:$Z$90,MATCH($C$1,'02_Debt Engine'!$B$74:$B$90,0),MATCH(I$12,'02_Debt Engine'!$F$73:$Z$73,0))</f>
        <v>4659222.9590798477</v>
      </c>
      <c r="J64" s="296">
        <f>INDEX('02_Debt Engine'!$F$74:$Z$90,MATCH($C$1,'02_Debt Engine'!$B$74:$B$90,0),MATCH(J$12,'02_Debt Engine'!$F$73:$Z$73,0))</f>
        <v>4583812.4056571089</v>
      </c>
      <c r="K64" s="296">
        <f>INDEX('02_Debt Engine'!$F$74:$Z$90,MATCH($C$1,'02_Debt Engine'!$B$74:$B$90,0),MATCH(K$12,'02_Debt Engine'!$F$73:$Z$73,0))</f>
        <v>4505227.0679352731</v>
      </c>
      <c r="L64" s="296">
        <f>INDEX('02_Debt Engine'!$F$74:$Z$90,MATCH($C$1,'02_Debt Engine'!$B$74:$B$90,0),MATCH(L$12,'02_Debt Engine'!$F$73:$Z$73,0))</f>
        <v>4423333.2874953477</v>
      </c>
      <c r="M64" s="296">
        <f>INDEX('02_Debt Engine'!$F$74:$Z$90,MATCH($C$1,'02_Debt Engine'!$B$74:$B$90,0),MATCH(M$12,'02_Debt Engine'!$F$73:$Z$73,0))</f>
        <v>4337991.7788989022</v>
      </c>
      <c r="N64" s="296">
        <f>INDEX('02_Debt Engine'!$F$74:$Z$90,MATCH($C$1,'02_Debt Engine'!$B$74:$B$90,0),MATCH(N$12,'02_Debt Engine'!$F$73:$Z$73,0))</f>
        <v>4249057.3927905457</v>
      </c>
      <c r="O64" s="296">
        <f>INDEX('02_Debt Engine'!$F$74:$Z$90,MATCH($C$1,'02_Debt Engine'!$B$74:$B$90,0),MATCH(O$12,'02_Debt Engine'!$F$73:$Z$73,0))</f>
        <v>6625904.7099712836</v>
      </c>
      <c r="P64" s="296">
        <f>INDEX('02_Debt Engine'!$F$74:$Z$90,MATCH($C$1,'02_Debt Engine'!$B$74:$B$90,0),MATCH(P$12,'02_Debt Engine'!$F$73:$Z$73,0))</f>
        <v>6534201.8667050246</v>
      </c>
      <c r="Q64" s="296">
        <f>INDEX('02_Debt Engine'!$F$74:$Z$90,MATCH($C$1,'02_Debt Engine'!$B$74:$B$90,0),MATCH(Q$12,'02_Debt Engine'!$F$73:$Z$73,0))</f>
        <v>6438830.9097081153</v>
      </c>
      <c r="R64" s="296">
        <f>INDEX('02_Debt Engine'!$F$74:$Z$90,MATCH($C$1,'02_Debt Engine'!$B$74:$B$90,0),MATCH(R$12,'02_Debt Engine'!$F$73:$Z$73,0))</f>
        <v>6339645.11443133</v>
      </c>
      <c r="S64" s="296">
        <f>INDEX('02_Debt Engine'!$F$74:$Z$90,MATCH($C$1,'02_Debt Engine'!$B$74:$B$90,0),MATCH(S$12,'02_Debt Engine'!$F$73:$Z$73,0))</f>
        <v>6236491.8873434737</v>
      </c>
      <c r="T64" s="296">
        <f>INDEX('02_Debt Engine'!$F$74:$Z$90,MATCH($C$1,'02_Debt Engine'!$B$74:$B$90,0),MATCH(T$12,'02_Debt Engine'!$F$73:$Z$73,0))</f>
        <v>6129212.5311721023</v>
      </c>
      <c r="U64" s="296">
        <f>INDEX('02_Debt Engine'!$F$74:$Z$90,MATCH($C$1,'02_Debt Engine'!$B$74:$B$90,0),MATCH(U$12,'02_Debt Engine'!$F$73:$Z$73,0))</f>
        <v>6017642.0007538768</v>
      </c>
      <c r="V64" s="296">
        <f>INDEX('02_Debt Engine'!$F$74:$Z$90,MATCH($C$1,'02_Debt Engine'!$B$74:$B$90,0),MATCH(V$12,'02_Debt Engine'!$F$73:$Z$73,0))</f>
        <v>5901608.6491189217</v>
      </c>
      <c r="W64" s="296">
        <f>INDEX('02_Debt Engine'!$F$74:$Z$90,MATCH($C$1,'02_Debt Engine'!$B$74:$B$90,0),MATCH(W$12,'02_Debt Engine'!$F$73:$Z$73,0))</f>
        <v>5780933.9634185685</v>
      </c>
      <c r="X64" s="296">
        <f>INDEX('02_Debt Engine'!$F$74:$Z$90,MATCH($C$1,'02_Debt Engine'!$B$74:$B$90,0),MATCH(X$12,'02_Debt Engine'!$F$73:$Z$73,0))</f>
        <v>5655432.2902902011</v>
      </c>
      <c r="Y64" s="296">
        <f>INDEX('02_Debt Engine'!$F$74:$Z$90,MATCH($C$1,'02_Debt Engine'!$B$74:$B$90,0),MATCH(Y$12,'02_Debt Engine'!$F$73:$Z$73,0))</f>
        <v>5524910.5502366992</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
      </c>
      <c r="I66" s="288" t="str">
        <f t="shared" si="20"/>
        <v/>
      </c>
      <c r="J66" s="288" t="str">
        <f t="shared" si="20"/>
        <v/>
      </c>
      <c r="K66" s="288" t="str">
        <f t="shared" si="20"/>
        <v/>
      </c>
      <c r="L66" s="288" t="str">
        <f t="shared" si="20"/>
        <v/>
      </c>
      <c r="M66" s="288" t="str">
        <f t="shared" si="20"/>
        <v/>
      </c>
      <c r="N66" s="288" t="str">
        <f t="shared" si="20"/>
        <v>REFI YR.</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92417.069600000017</v>
      </c>
      <c r="F67" s="285">
        <f t="shared" si="21"/>
        <v>94210.769712000008</v>
      </c>
      <c r="G67" s="285">
        <f t="shared" si="21"/>
        <v>95951.257746239979</v>
      </c>
      <c r="H67" s="285">
        <f t="shared" si="21"/>
        <v>97633.906017964793</v>
      </c>
      <c r="I67" s="285">
        <f t="shared" si="21"/>
        <v>99253.851750996051</v>
      </c>
      <c r="J67" s="285">
        <f t="shared" si="21"/>
        <v>100805.98667439487</v>
      </c>
      <c r="K67" s="285">
        <f t="shared" si="21"/>
        <v>102284.94618299685</v>
      </c>
      <c r="L67" s="285">
        <f t="shared" si="21"/>
        <v>103685.09804397527</v>
      </c>
      <c r="M67" s="285">
        <f t="shared" si="21"/>
        <v>105000.53063086615</v>
      </c>
      <c r="N67" s="285">
        <f t="shared" si="21"/>
        <v>106225.0406657352</v>
      </c>
      <c r="O67" s="285">
        <f t="shared" si="21"/>
        <v>75659.492595591451</v>
      </c>
      <c r="P67" s="285">
        <f t="shared" si="21"/>
        <v>79214.299689974272</v>
      </c>
      <c r="Q67" s="285">
        <f t="shared" si="21"/>
        <v>82819.895550973481</v>
      </c>
      <c r="R67" s="285">
        <f t="shared" si="21"/>
        <v>86476.788269539655</v>
      </c>
      <c r="S67" s="285">
        <f t="shared" si="21"/>
        <v>90185.483406332933</v>
      </c>
      <c r="T67" s="285">
        <f t="shared" si="21"/>
        <v>93946.483623813838</v>
      </c>
      <c r="U67" s="285">
        <f t="shared" si="21"/>
        <v>97760.288303045469</v>
      </c>
      <c r="V67" s="285">
        <f t="shared" si="21"/>
        <v>101627.39314469747</v>
      </c>
      <c r="W67" s="285">
        <f t="shared" si="21"/>
        <v>105548.28975373923</v>
      </c>
      <c r="X67" s="285">
        <f t="shared" si="21"/>
        <v>109523.46520728251</v>
      </c>
      <c r="Y67" s="285">
        <f t="shared" si="21"/>
        <v>113553.40160502554</v>
      </c>
    </row>
    <row r="68" spans="3:25" s="20" customFormat="1" ht="13.5" customHeight="1">
      <c r="C68" s="26" t="s">
        <v>544</v>
      </c>
      <c r="E68" s="287">
        <f t="shared" ref="E68:Y68" si="22">E67+E$63</f>
        <v>92417.069600000017</v>
      </c>
      <c r="F68" s="287">
        <f t="shared" si="22"/>
        <v>94210.769712000008</v>
      </c>
      <c r="G68" s="287">
        <f t="shared" si="22"/>
        <v>95951.257746239979</v>
      </c>
      <c r="H68" s="287">
        <f t="shared" si="22"/>
        <v>97633.906017964793</v>
      </c>
      <c r="I68" s="287">
        <f t="shared" si="22"/>
        <v>99253.851750996051</v>
      </c>
      <c r="J68" s="287">
        <f t="shared" si="22"/>
        <v>100805.98667439487</v>
      </c>
      <c r="K68" s="287">
        <f t="shared" si="22"/>
        <v>102284.94618299685</v>
      </c>
      <c r="L68" s="287">
        <f t="shared" si="22"/>
        <v>103685.09804397527</v>
      </c>
      <c r="M68" s="287">
        <f t="shared" si="22"/>
        <v>105000.53063086615</v>
      </c>
      <c r="N68" s="287">
        <f t="shared" si="22"/>
        <v>2571248.1686794139</v>
      </c>
      <c r="O68" s="287">
        <f t="shared" si="22"/>
        <v>75659.492595591451</v>
      </c>
      <c r="P68" s="287">
        <f t="shared" si="22"/>
        <v>79214.299689974272</v>
      </c>
      <c r="Q68" s="287">
        <f t="shared" si="22"/>
        <v>82819.895550973481</v>
      </c>
      <c r="R68" s="287">
        <f t="shared" si="22"/>
        <v>86476.788269539655</v>
      </c>
      <c r="S68" s="287">
        <f t="shared" si="22"/>
        <v>90185.483406332933</v>
      </c>
      <c r="T68" s="287">
        <f t="shared" si="22"/>
        <v>93946.483623813838</v>
      </c>
      <c r="U68" s="287">
        <f t="shared" si="22"/>
        <v>97760.288303045469</v>
      </c>
      <c r="V68" s="287">
        <f t="shared" si="22"/>
        <v>101627.39314469747</v>
      </c>
      <c r="W68" s="287">
        <f t="shared" si="22"/>
        <v>105548.28975373923</v>
      </c>
      <c r="X68" s="287">
        <f t="shared" si="22"/>
        <v>109523.46520728251</v>
      </c>
      <c r="Y68" s="287">
        <f t="shared" si="22"/>
        <v>113553.40160502554</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8376775.2333333353</v>
      </c>
      <c r="F73" s="285">
        <f t="shared" si="24"/>
        <v>8451512.7380000018</v>
      </c>
      <c r="G73" s="285">
        <f t="shared" si="24"/>
        <v>8524033.0727600008</v>
      </c>
      <c r="H73" s="285">
        <f t="shared" si="24"/>
        <v>8594143.4174151998</v>
      </c>
      <c r="I73" s="285">
        <f t="shared" si="24"/>
        <v>8661641.1562915016</v>
      </c>
      <c r="J73" s="285">
        <f t="shared" si="24"/>
        <v>8726313.4447664525</v>
      </c>
      <c r="K73" s="285">
        <f t="shared" si="24"/>
        <v>8787936.7576248702</v>
      </c>
      <c r="L73" s="285">
        <f t="shared" si="24"/>
        <v>8846276.4184989706</v>
      </c>
      <c r="M73" s="285">
        <f t="shared" si="24"/>
        <v>8901086.1096194237</v>
      </c>
      <c r="N73" s="285">
        <f t="shared" si="24"/>
        <v>8952107.3610723</v>
      </c>
      <c r="O73" s="285">
        <f t="shared" si="24"/>
        <v>9098129.3859014753</v>
      </c>
      <c r="P73" s="285">
        <f t="shared" si="24"/>
        <v>9246246.3481674269</v>
      </c>
      <c r="Q73" s="285">
        <f t="shared" si="24"/>
        <v>9396479.5090423934</v>
      </c>
      <c r="R73" s="285">
        <f t="shared" si="24"/>
        <v>9548850.0389826503</v>
      </c>
      <c r="S73" s="285">
        <f t="shared" si="24"/>
        <v>9703379.0030157045</v>
      </c>
      <c r="T73" s="285">
        <f t="shared" si="24"/>
        <v>9860087.3454107419</v>
      </c>
      <c r="U73" s="285">
        <f t="shared" si="24"/>
        <v>10018995.873712059</v>
      </c>
      <c r="V73" s="285">
        <f t="shared" si="24"/>
        <v>10180125.242114227</v>
      </c>
      <c r="W73" s="285">
        <f t="shared" si="24"/>
        <v>10343495.934157632</v>
      </c>
      <c r="X73" s="285">
        <f t="shared" si="24"/>
        <v>10509128.244721936</v>
      </c>
      <c r="Y73" s="285">
        <f t="shared" si="24"/>
        <v>10677042.261294562</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
      </c>
      <c r="I75" s="288" t="str">
        <f t="shared" si="25"/>
        <v/>
      </c>
      <c r="J75" s="288" t="str">
        <f t="shared" si="25"/>
        <v/>
      </c>
      <c r="K75" s="288" t="str">
        <f t="shared" si="25"/>
        <v/>
      </c>
      <c r="L75" s="288" t="str">
        <f t="shared" si="25"/>
        <v/>
      </c>
      <c r="M75" s="288" t="str">
        <f t="shared" si="25"/>
        <v/>
      </c>
      <c r="N75" s="288" t="str">
        <f t="shared" si="25"/>
        <v>REFI YR.</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4931606.0285999998</v>
      </c>
      <c r="F76" s="285">
        <f t="shared" si="26"/>
        <v>4867662.80240406</v>
      </c>
      <c r="G76" s="285">
        <f t="shared" si="26"/>
        <v>4801027.566385271</v>
      </c>
      <c r="H76" s="285">
        <f t="shared" si="26"/>
        <v>4731586.9869300909</v>
      </c>
      <c r="I76" s="285">
        <f t="shared" si="26"/>
        <v>4659222.9590798477</v>
      </c>
      <c r="J76" s="285">
        <f t="shared" si="26"/>
        <v>4583812.4056571089</v>
      </c>
      <c r="K76" s="285">
        <f t="shared" si="26"/>
        <v>4505227.0679352731</v>
      </c>
      <c r="L76" s="285">
        <f t="shared" si="26"/>
        <v>4423333.2874953477</v>
      </c>
      <c r="M76" s="285">
        <f t="shared" si="26"/>
        <v>4337991.7788989022</v>
      </c>
      <c r="N76" s="285">
        <f t="shared" si="26"/>
        <v>4249057.3927905457</v>
      </c>
      <c r="O76" s="285">
        <f t="shared" si="26"/>
        <v>6625904.7099712836</v>
      </c>
      <c r="P76" s="285">
        <f t="shared" si="26"/>
        <v>6534201.8667050246</v>
      </c>
      <c r="Q76" s="285">
        <f t="shared" si="26"/>
        <v>6438830.9097081153</v>
      </c>
      <c r="R76" s="285">
        <f t="shared" si="26"/>
        <v>6339645.11443133</v>
      </c>
      <c r="S76" s="285">
        <f t="shared" si="26"/>
        <v>6236491.8873434737</v>
      </c>
      <c r="T76" s="285">
        <f t="shared" si="26"/>
        <v>6129212.5311721023</v>
      </c>
      <c r="U76" s="285">
        <f t="shared" si="26"/>
        <v>6017642.0007538768</v>
      </c>
      <c r="V76" s="285">
        <f t="shared" si="26"/>
        <v>5901608.6491189217</v>
      </c>
      <c r="W76" s="285">
        <f t="shared" si="26"/>
        <v>5780933.9634185685</v>
      </c>
      <c r="X76" s="285">
        <f t="shared" si="26"/>
        <v>5655432.2902902011</v>
      </c>
      <c r="Y76" s="285">
        <f t="shared" si="26"/>
        <v>5524910.5502366992</v>
      </c>
    </row>
    <row r="77" spans="3:25" ht="13.5" customHeight="1">
      <c r="C77" s="26" t="s">
        <v>376</v>
      </c>
      <c r="D77" s="21"/>
      <c r="E77" s="287">
        <f t="shared" ref="E77:Y77" si="27">E73-E$76</f>
        <v>3445169.2047333354</v>
      </c>
      <c r="F77" s="287">
        <f t="shared" si="27"/>
        <v>3583849.9355959417</v>
      </c>
      <c r="G77" s="287">
        <f t="shared" si="27"/>
        <v>3723005.5063747298</v>
      </c>
      <c r="H77" s="287">
        <f t="shared" si="27"/>
        <v>3862556.4304851089</v>
      </c>
      <c r="I77" s="287">
        <f t="shared" si="27"/>
        <v>4002418.1972116539</v>
      </c>
      <c r="J77" s="287">
        <f t="shared" si="27"/>
        <v>4142501.0391093437</v>
      </c>
      <c r="K77" s="287">
        <f t="shared" si="27"/>
        <v>4282709.6896895971</v>
      </c>
      <c r="L77" s="287">
        <f t="shared" si="27"/>
        <v>4422943.1310036229</v>
      </c>
      <c r="M77" s="287">
        <f t="shared" si="27"/>
        <v>4563094.3307205215</v>
      </c>
      <c r="N77" s="287">
        <f t="shared" si="27"/>
        <v>4703049.9682817543</v>
      </c>
      <c r="O77" s="287">
        <f t="shared" si="27"/>
        <v>2472224.6759301918</v>
      </c>
      <c r="P77" s="287">
        <f t="shared" si="27"/>
        <v>2712044.4814624023</v>
      </c>
      <c r="Q77" s="287">
        <f t="shared" si="27"/>
        <v>2957648.5993342781</v>
      </c>
      <c r="R77" s="287">
        <f t="shared" si="27"/>
        <v>3209204.9245513203</v>
      </c>
      <c r="S77" s="287">
        <f t="shared" si="27"/>
        <v>3466887.1156722307</v>
      </c>
      <c r="T77" s="287">
        <f t="shared" si="27"/>
        <v>3730874.8142386395</v>
      </c>
      <c r="U77" s="287">
        <f t="shared" si="27"/>
        <v>4001353.8729581824</v>
      </c>
      <c r="V77" s="287">
        <f t="shared" si="27"/>
        <v>4278516.5929953055</v>
      </c>
      <c r="W77" s="287">
        <f t="shared" si="27"/>
        <v>4562561.9707390638</v>
      </c>
      <c r="X77" s="287">
        <f t="shared" si="27"/>
        <v>4853695.954431735</v>
      </c>
      <c r="Y77" s="287">
        <f t="shared" si="27"/>
        <v>5152131.7110578632</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2026</v>
      </c>
      <c r="D79" s="20"/>
      <c r="E79" s="289" t="str">
        <f t="shared" ref="E79:Y79" si="28">IF(E$72=$F$2+1,"STAB. YR.","")</f>
        <v/>
      </c>
      <c r="F79" s="289" t="str">
        <f t="shared" si="28"/>
        <v>STAB. YR.</v>
      </c>
      <c r="G79" s="289" t="str">
        <f t="shared" si="28"/>
        <v/>
      </c>
      <c r="H79" s="289" t="str">
        <f t="shared" si="28"/>
        <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8451512.7380000018</v>
      </c>
      <c r="G80" s="296">
        <f t="shared" si="29"/>
        <v>0</v>
      </c>
      <c r="H80" s="296">
        <f t="shared" si="29"/>
        <v>0</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5.9469414480103927E-2</v>
      </c>
      <c r="F81" s="344">
        <f t="shared" si="30"/>
        <v>0.06</v>
      </c>
      <c r="G81" s="344">
        <f t="shared" si="30"/>
        <v>6.0514845119505736E-2</v>
      </c>
      <c r="H81" s="344">
        <f t="shared" si="30"/>
        <v>6.1012580946181838E-2</v>
      </c>
      <c r="I81" s="344">
        <f t="shared" si="30"/>
        <v>6.149176904636288E-2</v>
      </c>
      <c r="J81" s="344">
        <f t="shared" si="30"/>
        <v>6.1950898367797866E-2</v>
      </c>
      <c r="K81" s="344">
        <f t="shared" si="30"/>
        <v>6.2388382033281869E-2</v>
      </c>
      <c r="L81" s="344">
        <f t="shared" si="30"/>
        <v>6.2802554000000621E-2</v>
      </c>
      <c r="M81" s="344">
        <f t="shared" si="30"/>
        <v>6.3191665579095918E-2</v>
      </c>
      <c r="N81" s="344">
        <f t="shared" si="30"/>
        <v>6.3553881809736895E-2</v>
      </c>
      <c r="O81" s="344">
        <f t="shared" si="30"/>
        <v>6.459053900488701E-2</v>
      </c>
      <c r="P81" s="344">
        <f t="shared" si="30"/>
        <v>6.5642068832914E-2</v>
      </c>
      <c r="Q81" s="344">
        <f t="shared" si="30"/>
        <v>6.6708622233699749E-2</v>
      </c>
      <c r="R81" s="344">
        <f t="shared" si="30"/>
        <v>6.7790349503104405E-2</v>
      </c>
      <c r="S81" s="344">
        <f t="shared" si="30"/>
        <v>6.8887400188515469E-2</v>
      </c>
      <c r="T81" s="344">
        <f t="shared" si="30"/>
        <v>6.9999922980018392E-2</v>
      </c>
      <c r="U81" s="344">
        <f t="shared" si="30"/>
        <v>7.1128065597044765E-2</v>
      </c>
      <c r="V81" s="344">
        <f t="shared" si="30"/>
        <v>7.227197467034728E-2</v>
      </c>
      <c r="W81" s="344">
        <f t="shared" si="30"/>
        <v>7.3431795619149878E-2</v>
      </c>
      <c r="X81" s="344">
        <f t="shared" si="30"/>
        <v>7.4607672523313434E-2</v>
      </c>
      <c r="Y81" s="344">
        <f t="shared" si="30"/>
        <v>7.5799747990354813E-2</v>
      </c>
    </row>
    <row r="82" spans="1:25" s="20" customFormat="1" ht="13.9" customHeight="1">
      <c r="A82" s="3"/>
      <c r="B82" s="3"/>
      <c r="C82" s="21" t="s">
        <v>380</v>
      </c>
      <c r="E82" s="285">
        <f t="shared" ref="E82:Y82" si="31">IF(E$72=$F$2+1,E77,0)</f>
        <v>0</v>
      </c>
      <c r="F82" s="285">
        <f t="shared" si="31"/>
        <v>3583849.9355959417</v>
      </c>
      <c r="G82" s="285">
        <f t="shared" si="31"/>
        <v>0</v>
      </c>
      <c r="H82" s="285">
        <f t="shared" si="31"/>
        <v>0</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0.1402420645485046</v>
      </c>
      <c r="F83" s="299">
        <f t="shared" si="32"/>
        <v>0.14149330284268119</v>
      </c>
      <c r="G83" s="299">
        <f t="shared" si="32"/>
        <v>0.14270742178286958</v>
      </c>
      <c r="H83" s="299">
        <f t="shared" si="32"/>
        <v>0.14388119321719514</v>
      </c>
      <c r="I83" s="299">
        <f t="shared" si="32"/>
        <v>0.14501122500015387</v>
      </c>
      <c r="J83" s="299">
        <f t="shared" si="32"/>
        <v>0.14609395373551645</v>
      </c>
      <c r="K83" s="299">
        <f t="shared" si="32"/>
        <v>0.14712563721500069</v>
      </c>
      <c r="L83" s="299">
        <f t="shared" si="32"/>
        <v>0.14810234654026544</v>
      </c>
      <c r="M83" s="299">
        <f t="shared" si="32"/>
        <v>0.1490199579152742</v>
      </c>
      <c r="N83" s="299">
        <f t="shared" si="32"/>
        <v>0.14987414409555119</v>
      </c>
      <c r="O83" s="299">
        <f t="shared" si="32"/>
        <v>0.15231881160317484</v>
      </c>
      <c r="P83" s="299">
        <f t="shared" si="32"/>
        <v>0.15479855207659377</v>
      </c>
      <c r="Q83" s="299">
        <f t="shared" si="32"/>
        <v>0.15731372146551492</v>
      </c>
      <c r="R83" s="299">
        <f t="shared" si="32"/>
        <v>0.15986467420089925</v>
      </c>
      <c r="S83" s="299">
        <f t="shared" si="32"/>
        <v>0.16245176294864322</v>
      </c>
      <c r="T83" s="299">
        <f t="shared" si="32"/>
        <v>0.16507533835293503</v>
      </c>
      <c r="U83" s="299">
        <f t="shared" si="32"/>
        <v>0.16773574876894584</v>
      </c>
      <c r="V83" s="299">
        <f t="shared" si="32"/>
        <v>0.17043333998450055</v>
      </c>
      <c r="W83" s="299">
        <f t="shared" si="32"/>
        <v>0.17316845493037075</v>
      </c>
      <c r="X83" s="299">
        <f t="shared" si="32"/>
        <v>0.17594143337881288</v>
      </c>
      <c r="Y83" s="299">
        <f t="shared" si="32"/>
        <v>0.17875261162996983</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2026</v>
      </c>
      <c r="E85" s="289" t="str">
        <f t="shared" ref="E85:Y85" si="33">IF(E$72=$F$2+1,"STAB. YR.","")</f>
        <v/>
      </c>
      <c r="F85" s="289" t="str">
        <f t="shared" si="33"/>
        <v>STAB. YR.</v>
      </c>
      <c r="G85" s="289" t="str">
        <f t="shared" si="33"/>
        <v/>
      </c>
      <c r="H85" s="289" t="str">
        <f t="shared" si="33"/>
        <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3.8680638668245088E-2</v>
      </c>
      <c r="F86" s="299">
        <f t="shared" si="34"/>
        <v>3.9431381644751046E-2</v>
      </c>
      <c r="G86" s="299">
        <f t="shared" si="34"/>
        <v>4.0159853008864071E-2</v>
      </c>
      <c r="H86" s="299">
        <f t="shared" si="34"/>
        <v>4.0864115869459407E-2</v>
      </c>
      <c r="I86" s="299">
        <f t="shared" si="34"/>
        <v>4.1542134939234657E-2</v>
      </c>
      <c r="J86" s="299">
        <f t="shared" si="34"/>
        <v>4.2191772180452204E-2</v>
      </c>
      <c r="K86" s="299">
        <f t="shared" si="34"/>
        <v>4.281078226814275E-2</v>
      </c>
      <c r="L86" s="299">
        <f t="shared" si="34"/>
        <v>4.3396807863301592E-2</v>
      </c>
      <c r="M86" s="299">
        <f t="shared" si="34"/>
        <v>4.3947374688306839E-2</v>
      </c>
      <c r="N86" s="299">
        <f t="shared" si="34"/>
        <v>4.4459886396473032E-2</v>
      </c>
      <c r="O86" s="299">
        <f t="shared" si="34"/>
        <v>3.1666850156357215E-2</v>
      </c>
      <c r="P86" s="299">
        <f t="shared" si="34"/>
        <v>3.3154694440408569E-2</v>
      </c>
      <c r="Q86" s="299">
        <f t="shared" si="34"/>
        <v>3.4663796073761279E-2</v>
      </c>
      <c r="R86" s="299">
        <f t="shared" si="34"/>
        <v>3.6194367714991869E-2</v>
      </c>
      <c r="S86" s="299">
        <f t="shared" si="34"/>
        <v>3.7746620963638254E-2</v>
      </c>
      <c r="T86" s="299">
        <f t="shared" si="34"/>
        <v>3.9320766206213338E-2</v>
      </c>
      <c r="U86" s="299">
        <f t="shared" si="34"/>
        <v>4.0917012455819815E-2</v>
      </c>
      <c r="V86" s="299">
        <f t="shared" si="34"/>
        <v>4.2535567185152653E-2</v>
      </c>
      <c r="W86" s="299">
        <f t="shared" si="34"/>
        <v>4.417663615267476E-2</v>
      </c>
      <c r="X86" s="299">
        <f t="shared" si="34"/>
        <v>4.5840423221740034E-2</v>
      </c>
      <c r="Y86" s="299">
        <f t="shared" si="34"/>
        <v>4.7527130172434214E-2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ED049-4FB6-41D1-B8B8-7E295294706B}">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320</v>
      </c>
      <c r="E1" s="275" t="str">
        <f>INDEX('01_Property Summary'!$E$5:$E$21,MATCH($C$1,'01_Property Summary'!$C$5:$C$21,0))</f>
        <v>Vancouver</v>
      </c>
      <c r="F1" s="332" t="s">
        <v>536</v>
      </c>
      <c r="G1" s="333" t="s">
        <v>102</v>
      </c>
      <c r="J1" s="450" t="s">
        <v>308</v>
      </c>
      <c r="K1" s="424"/>
      <c r="L1" s="424"/>
      <c r="M1" s="424"/>
      <c r="N1" s="424"/>
      <c r="O1" s="424"/>
      <c r="P1" s="3"/>
      <c r="Q1" s="3"/>
      <c r="R1" s="3"/>
      <c r="S1" s="3"/>
      <c r="T1" s="3"/>
    </row>
    <row r="2" spans="3:25" ht="14.45" customHeight="1">
      <c r="C2" s="300" t="s">
        <v>537</v>
      </c>
      <c r="E2" s="334" t="str">
        <f>_xlfn.LET(_xlpm.refi,INDEX('02_Debt Engine'!$F$19:$F$35,MATCH($C$1,'02_Debt Engine'!$B$19:$B$35,0)),
_xlpm.refiyr,INDEX('02_Debt Engine'!$I$19:$I$35,MATCH($C$1,'02_Debt Engine'!$B$19:$B$35,0)),IF(_xlpm.refi="Yes",_xlpm.refiyr,"No Refi"))</f>
        <v>No Refi</v>
      </c>
      <c r="F2" s="334">
        <f>INDEX('01_Property Summary'!$F$5:$F$21,MATCH($C$1,'01_Property Summary'!$C$5:$C$21,0))</f>
        <v>2025</v>
      </c>
      <c r="G2" s="334">
        <f>INDEX('01_Property Summary'!$K$4:$K$21,MATCH($C$1,'01_Property Summary'!$C$4:$C$21,0))</f>
        <v>2027</v>
      </c>
      <c r="J2" s="278" t="str">
        <f>"Gate 1 — NOI ≥ 0 at stabilization ("&amp;$F$2+1&amp;"):"</f>
        <v>Gate 1 — NOI ≥ 0 at stabilization (2026):</v>
      </c>
      <c r="M2" s="451" t="str">
        <f>_xlfn.LET(_xlpm.stabnoi,INDEX($41:$41,MATCH(($F$2+1),$12:$12,0)),IF(_xlpm.stabnoi&gt;=0,"PASS — NOI $"&amp;TEXT(_xlpm.stabnoi,"#,##0"),"FAIL — NOI $"&amp;TEXT(_xlpm.stabnoi,"#,##0")))</f>
        <v>PASS — NOI $310,630</v>
      </c>
      <c r="N2" s="424"/>
      <c r="O2" s="424"/>
      <c r="S2" s="6"/>
    </row>
    <row r="3" spans="3:25" ht="14.45" customHeight="1">
      <c r="C3" s="300" t="s">
        <v>538</v>
      </c>
      <c r="E3" s="334">
        <f>INDEX('01_Property Summary'!$S$5:$S$21,MATCH($C$1,'01_Property Summary'!$C$5:$C$21,0))</f>
        <v>40</v>
      </c>
      <c r="F3" s="335">
        <f>'01_Assumptions'!$C$14</f>
        <v>0.1</v>
      </c>
      <c r="G3" s="335">
        <f>'01_Assumptions'!$C$15</f>
        <v>0.2</v>
      </c>
      <c r="J3" s="278" t="str">
        <f>"Gate 2 — DSCR ≥ 1.0× at stabilization ("&amp;$F$2+1&amp;"):"</f>
        <v>Gate 2 — DSCR ≥ 1.0× at stabilization (2026):</v>
      </c>
      <c r="M3" s="451" t="str">
        <f>_xlfn.LET(_xlpm.debt,INDEX($48:$48,MATCH(($F$2+1),$12:$12,0)),_xlpm.dscr,INDEX($50:$50,MATCH(($F$2+1),$12:$12,0)),
IF(_xlpm.debt=0,"PASS — no debt svc",IF(IFERROR(_xlpm.dscr,0)&gt;=1,"PASS — DSCR "&amp;TEXT(IFERROR(_xlpm.dscr,0),"0.00")&amp;"x","FAIL — DSCR "&amp;TEXT(IFERROR(_xlpm.dscr,0),"0.00")&amp;"x")))</f>
        <v>PASS — DSCR 1.29x</v>
      </c>
      <c r="N3" s="424"/>
      <c r="O3" s="424"/>
      <c r="S3" s="6"/>
    </row>
    <row r="4" spans="3:25" ht="14.45" customHeight="1">
      <c r="C4" s="300" t="s">
        <v>539</v>
      </c>
      <c r="E4" s="336">
        <f>INDEX('02_Rent Engine'!$H$5:$H$21,MATCH($C$1,'02_Rent Engine'!$B$5:$B$21,0))</f>
        <v>1000</v>
      </c>
      <c r="F4" s="336">
        <f>INDEX('02_Rent Engine'!$J$5:$J$21,MATCH($C$1,'02_Rent Engine'!$B$5:$B$21,0))</f>
        <v>3654.25</v>
      </c>
      <c r="G4" s="336">
        <f>($F$3*$F$4)+((1-$F$3)*$E$4)</f>
        <v>1265.425</v>
      </c>
      <c r="J4" s="280" t="s">
        <v>309</v>
      </c>
      <c r="M4" s="451" t="str">
        <f>IF(AND($J$52&gt;0,$O$52&gt;0),"PASS — AFFO $"&amp;TEXT($J$52,"#,##0")&amp;" (2030) / $"&amp;TEXT($O$52,"#,##0")&amp;" (2035)","FAIL — AFFO $"&amp;TEXT($J$52,"#,##0")&amp;" (2030) / $"&amp;TEXT($O$52,"#,##0")&amp;" (2035)")</f>
        <v>PASS — AFFO $447,816 (2030) / $461,022 (2035)</v>
      </c>
      <c r="N4" s="424"/>
      <c r="O4" s="424"/>
      <c r="S4" s="6"/>
    </row>
    <row r="5" spans="3:25" ht="14.45" customHeight="1">
      <c r="C5" s="337" t="str">
        <f>"Rent Growth — (pre / post Op. Agrmt. Expiry: "&amp;$G$2&amp;")"</f>
        <v>Rent Growth — (pre / post Op. Agrmt. Expiry: 2027)</v>
      </c>
      <c r="E5" s="338">
        <f>'01_Assumptions'!$C$5</f>
        <v>0.02</v>
      </c>
      <c r="F5" s="338">
        <f>'01_Assumptions'!$C$6</f>
        <v>0.02</v>
      </c>
      <c r="G5" s="32"/>
      <c r="L5" s="6"/>
      <c r="M5" s="6"/>
      <c r="R5" s="6"/>
      <c r="S5" s="6"/>
    </row>
    <row r="6" spans="3:25" ht="13.9" customHeight="1">
      <c r="C6" s="337" t="str">
        <f>"OpEx Growth — (pre / post Op. Agrmt. Expiry: "&amp;$G$2&amp;")"</f>
        <v>OpEx Growth — (pre / post Op. Agrmt. Expiry: 2027)</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BCHMC</v>
      </c>
      <c r="F8" s="336">
        <f>INDEX('01_Property Summary'!$Q$5:$Q$21,MATCH($C$1,'01_Property Summary'!$C$5:$C$21,0))</f>
        <v>0</v>
      </c>
      <c r="G8" s="334">
        <f>INDEX('02_Debt Engine'!$I$19:$I$35,MATCH($C$1,'02_Debt Engine'!$B$19:$B$35,0))</f>
        <v>2027</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607404</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619552.08000000007</v>
      </c>
      <c r="G13" s="283">
        <f t="shared" si="1"/>
        <v>764494.24320000003</v>
      </c>
      <c r="H13" s="283">
        <f t="shared" si="1"/>
        <v>779784.12806399981</v>
      </c>
      <c r="I13" s="283">
        <f t="shared" si="1"/>
        <v>795379.81062528002</v>
      </c>
      <c r="J13" s="283">
        <f t="shared" si="1"/>
        <v>811287.40683778562</v>
      </c>
      <c r="K13" s="283">
        <f t="shared" si="1"/>
        <v>827513.15497454139</v>
      </c>
      <c r="L13" s="283">
        <f t="shared" si="1"/>
        <v>844063.41807403206</v>
      </c>
      <c r="M13" s="283">
        <f t="shared" si="1"/>
        <v>860944.68643551262</v>
      </c>
      <c r="N13" s="283">
        <f t="shared" si="1"/>
        <v>878163.58016422286</v>
      </c>
      <c r="O13" s="283">
        <f t="shared" si="1"/>
        <v>895726.85176750738</v>
      </c>
      <c r="P13" s="283">
        <f t="shared" si="1"/>
        <v>913641.3888028576</v>
      </c>
      <c r="Q13" s="283">
        <f t="shared" si="1"/>
        <v>931914.21657891455</v>
      </c>
      <c r="R13" s="283">
        <f t="shared" si="1"/>
        <v>950552.50091049285</v>
      </c>
      <c r="S13" s="283">
        <f t="shared" si="1"/>
        <v>969563.55092870281</v>
      </c>
      <c r="T13" s="283">
        <f t="shared" si="1"/>
        <v>988954.82194727717</v>
      </c>
      <c r="U13" s="283">
        <f t="shared" si="1"/>
        <v>1008733.9183862221</v>
      </c>
      <c r="V13" s="283">
        <f t="shared" si="1"/>
        <v>1028908.5967539467</v>
      </c>
      <c r="W13" s="283">
        <f t="shared" si="1"/>
        <v>1049486.7686890261</v>
      </c>
      <c r="X13" s="283">
        <f t="shared" si="1"/>
        <v>1070476.504062806</v>
      </c>
      <c r="Y13" s="283">
        <f t="shared" si="1"/>
        <v>1091886.0341440621</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3000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3060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3121.2</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3183.6239999999998</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3247.29648</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3312.2424096</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3378.487257792</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3446.0570029478395</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3514.9781430067965</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3585.2777058669326</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3656.9832599842712</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3730.1229251839568</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3804.7253836876353</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3880.8198913613883</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3958.4362891886162</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4037.6050149723892</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4118.357115271835</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4200.7242575772725</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4284.7387427288186</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4370.4335175833949</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4457.8421879350617</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960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979.2</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998.78399999999999</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1018.7596799999999</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1039.1348736</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1059.9175710720001</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1081.1159224934402</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1102.7382409433087</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1124.793005762175</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1147.2888658774184</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1170.2346431949668</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1193.6393360588661</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1217.5121227800432</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1241.8623652356443</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1266.6996125403573</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1292.0336047911644</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1317.8742768869874</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1344.2317624247271</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1371.1163976732219</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1398.5387256266863</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1426.5095001392199</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row>
    <row r="19" spans="3:25" ht="13.5" customHeight="1">
      <c r="C19" s="3" t="s">
        <v>336</v>
      </c>
      <c r="E19" s="285">
        <f t="shared" ref="E19:Y19" si="2">SUM(E14:E18)</f>
        <v>3960</v>
      </c>
      <c r="F19" s="285">
        <f t="shared" si="2"/>
        <v>4039.2</v>
      </c>
      <c r="G19" s="285">
        <f t="shared" si="2"/>
        <v>4119.9839999999995</v>
      </c>
      <c r="H19" s="285">
        <f t="shared" si="2"/>
        <v>4202.3836799999999</v>
      </c>
      <c r="I19" s="285">
        <f t="shared" si="2"/>
        <v>4286.4313536</v>
      </c>
      <c r="J19" s="285">
        <f t="shared" si="2"/>
        <v>4372.1599806720005</v>
      </c>
      <c r="K19" s="285">
        <f t="shared" si="2"/>
        <v>4459.6031802854404</v>
      </c>
      <c r="L19" s="285">
        <f t="shared" si="2"/>
        <v>4548.7952438911479</v>
      </c>
      <c r="M19" s="285">
        <f t="shared" si="2"/>
        <v>4639.7711487689712</v>
      </c>
      <c r="N19" s="285">
        <f t="shared" si="2"/>
        <v>4732.5665717443508</v>
      </c>
      <c r="O19" s="285">
        <f t="shared" si="2"/>
        <v>4827.2179031792384</v>
      </c>
      <c r="P19" s="285">
        <f t="shared" si="2"/>
        <v>4923.7622612428231</v>
      </c>
      <c r="Q19" s="285">
        <f t="shared" si="2"/>
        <v>5022.237506467678</v>
      </c>
      <c r="R19" s="285">
        <f t="shared" si="2"/>
        <v>5122.6822565970324</v>
      </c>
      <c r="S19" s="285">
        <f t="shared" si="2"/>
        <v>5225.1359017289733</v>
      </c>
      <c r="T19" s="285">
        <f t="shared" si="2"/>
        <v>5329.6386197635538</v>
      </c>
      <c r="U19" s="285">
        <f t="shared" si="2"/>
        <v>5436.2313921588229</v>
      </c>
      <c r="V19" s="285">
        <f t="shared" si="2"/>
        <v>5544.9560200019996</v>
      </c>
      <c r="W19" s="285">
        <f t="shared" si="2"/>
        <v>5655.85514040204</v>
      </c>
      <c r="X19" s="285">
        <f t="shared" si="2"/>
        <v>5768.9722432100807</v>
      </c>
      <c r="Y19" s="285">
        <f t="shared" si="2"/>
        <v>5884.3516880742818</v>
      </c>
    </row>
    <row r="20" spans="3:25" ht="13.5" customHeight="1">
      <c r="C20" s="10" t="s">
        <v>337</v>
      </c>
      <c r="E20" s="283">
        <f t="shared" ref="E20:Y20" si="3">E13+E19</f>
        <v>611364</v>
      </c>
      <c r="F20" s="283">
        <f t="shared" si="3"/>
        <v>623591.28</v>
      </c>
      <c r="G20" s="283">
        <f t="shared" si="3"/>
        <v>768614.22720000008</v>
      </c>
      <c r="H20" s="283">
        <f t="shared" si="3"/>
        <v>783986.51174399978</v>
      </c>
      <c r="I20" s="283">
        <f t="shared" si="3"/>
        <v>799666.24197888002</v>
      </c>
      <c r="J20" s="283">
        <f t="shared" si="3"/>
        <v>815659.56681845756</v>
      </c>
      <c r="K20" s="283">
        <f t="shared" si="3"/>
        <v>831972.75815482682</v>
      </c>
      <c r="L20" s="283">
        <f t="shared" si="3"/>
        <v>848612.21331792325</v>
      </c>
      <c r="M20" s="283">
        <f t="shared" si="3"/>
        <v>865584.45758428157</v>
      </c>
      <c r="N20" s="283">
        <f t="shared" si="3"/>
        <v>882896.14673596725</v>
      </c>
      <c r="O20" s="283">
        <f t="shared" si="3"/>
        <v>900554.06967068661</v>
      </c>
      <c r="P20" s="283">
        <f t="shared" si="3"/>
        <v>918565.15106410044</v>
      </c>
      <c r="Q20" s="283">
        <f t="shared" si="3"/>
        <v>936936.45408538228</v>
      </c>
      <c r="R20" s="283">
        <f t="shared" si="3"/>
        <v>955675.18316708982</v>
      </c>
      <c r="S20" s="283">
        <f t="shared" si="3"/>
        <v>974788.6868304318</v>
      </c>
      <c r="T20" s="283">
        <f t="shared" si="3"/>
        <v>994284.46056704072</v>
      </c>
      <c r="U20" s="283">
        <f t="shared" si="3"/>
        <v>1014170.1497783809</v>
      </c>
      <c r="V20" s="283">
        <f t="shared" si="3"/>
        <v>1034453.5527739488</v>
      </c>
      <c r="W20" s="283">
        <f t="shared" si="3"/>
        <v>1055142.6238294281</v>
      </c>
      <c r="X20" s="283">
        <f t="shared" si="3"/>
        <v>1076245.4763060161</v>
      </c>
      <c r="Y20" s="283">
        <f t="shared" si="3"/>
        <v>1097770.3858321363</v>
      </c>
    </row>
    <row r="21" spans="3:25" ht="13.5" customHeight="1">
      <c r="C21" s="11" t="s">
        <v>338</v>
      </c>
      <c r="E21" s="284">
        <f t="shared" ref="E21:Y21" si="4">-E20*$E$7</f>
        <v>-12227.28</v>
      </c>
      <c r="F21" s="284">
        <f t="shared" si="4"/>
        <v>-12471.8256</v>
      </c>
      <c r="G21" s="284">
        <f t="shared" si="4"/>
        <v>-15372.284544000002</v>
      </c>
      <c r="H21" s="284">
        <f t="shared" si="4"/>
        <v>-15679.730234879997</v>
      </c>
      <c r="I21" s="284">
        <f t="shared" si="4"/>
        <v>-15993.324839577601</v>
      </c>
      <c r="J21" s="284">
        <f t="shared" si="4"/>
        <v>-16313.191336369151</v>
      </c>
      <c r="K21" s="284">
        <f t="shared" si="4"/>
        <v>-16639.455163096536</v>
      </c>
      <c r="L21" s="284">
        <f t="shared" si="4"/>
        <v>-16972.244266358466</v>
      </c>
      <c r="M21" s="284">
        <f t="shared" si="4"/>
        <v>-17311.68915168563</v>
      </c>
      <c r="N21" s="284">
        <f t="shared" si="4"/>
        <v>-17657.922934719347</v>
      </c>
      <c r="O21" s="284">
        <f t="shared" si="4"/>
        <v>-18011.081393413733</v>
      </c>
      <c r="P21" s="284">
        <f t="shared" si="4"/>
        <v>-18371.303021282009</v>
      </c>
      <c r="Q21" s="284">
        <f t="shared" si="4"/>
        <v>-18738.729081707646</v>
      </c>
      <c r="R21" s="284">
        <f t="shared" si="4"/>
        <v>-19113.503663341799</v>
      </c>
      <c r="S21" s="284">
        <f t="shared" si="4"/>
        <v>-19495.773736608637</v>
      </c>
      <c r="T21" s="284">
        <f t="shared" si="4"/>
        <v>-19885.689211340814</v>
      </c>
      <c r="U21" s="284">
        <f t="shared" si="4"/>
        <v>-20283.40299556762</v>
      </c>
      <c r="V21" s="284">
        <f t="shared" si="4"/>
        <v>-20689.071055478977</v>
      </c>
      <c r="W21" s="284">
        <f t="shared" si="4"/>
        <v>-21102.852476588563</v>
      </c>
      <c r="X21" s="284">
        <f t="shared" si="4"/>
        <v>-21524.909526120322</v>
      </c>
      <c r="Y21" s="284">
        <f t="shared" si="4"/>
        <v>-21955.407716642727</v>
      </c>
    </row>
    <row r="22" spans="3:25" ht="13.5" customHeight="1">
      <c r="C22" s="3" t="s">
        <v>339</v>
      </c>
      <c r="E22" s="285">
        <f t="shared" ref="E22:Y22" si="5">E20+E21</f>
        <v>599136.72</v>
      </c>
      <c r="F22" s="285">
        <f t="shared" si="5"/>
        <v>611119.45440000005</v>
      </c>
      <c r="G22" s="285">
        <f t="shared" si="5"/>
        <v>753241.94265600003</v>
      </c>
      <c r="H22" s="285">
        <f t="shared" si="5"/>
        <v>768306.78150911978</v>
      </c>
      <c r="I22" s="285">
        <f t="shared" si="5"/>
        <v>783672.91713930247</v>
      </c>
      <c r="J22" s="285">
        <f t="shared" si="5"/>
        <v>799346.37548208842</v>
      </c>
      <c r="K22" s="285">
        <f t="shared" si="5"/>
        <v>815333.30299173028</v>
      </c>
      <c r="L22" s="285">
        <f t="shared" si="5"/>
        <v>831639.96905156481</v>
      </c>
      <c r="M22" s="285">
        <f t="shared" si="5"/>
        <v>848272.76843259588</v>
      </c>
      <c r="N22" s="285">
        <f t="shared" si="5"/>
        <v>865238.22380124789</v>
      </c>
      <c r="O22" s="285">
        <f t="shared" si="5"/>
        <v>882542.9882772729</v>
      </c>
      <c r="P22" s="285">
        <f t="shared" si="5"/>
        <v>900193.84804281848</v>
      </c>
      <c r="Q22" s="285">
        <f t="shared" si="5"/>
        <v>918197.72500367463</v>
      </c>
      <c r="R22" s="285">
        <f t="shared" si="5"/>
        <v>936561.67950374808</v>
      </c>
      <c r="S22" s="285">
        <f t="shared" si="5"/>
        <v>955292.91309382312</v>
      </c>
      <c r="T22" s="285">
        <f t="shared" si="5"/>
        <v>974398.77135569986</v>
      </c>
      <c r="U22" s="285">
        <f t="shared" si="5"/>
        <v>993886.74678281322</v>
      </c>
      <c r="V22" s="285">
        <f t="shared" si="5"/>
        <v>1013764.4817184698</v>
      </c>
      <c r="W22" s="285">
        <f t="shared" si="5"/>
        <v>1034039.7713528395</v>
      </c>
      <c r="X22" s="285">
        <f t="shared" si="5"/>
        <v>1054720.5667798957</v>
      </c>
      <c r="Y22" s="285">
        <f t="shared" si="5"/>
        <v>1075814.9781154934</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599136.72</v>
      </c>
      <c r="F24" s="286">
        <f t="shared" si="7"/>
        <v>611119.45440000005</v>
      </c>
      <c r="G24" s="286">
        <f t="shared" si="7"/>
        <v>753241.94265600003</v>
      </c>
      <c r="H24" s="286">
        <f t="shared" si="7"/>
        <v>768306.78150911978</v>
      </c>
      <c r="I24" s="286">
        <f t="shared" si="7"/>
        <v>783672.91713930247</v>
      </c>
      <c r="J24" s="286">
        <f t="shared" si="7"/>
        <v>799346.37548208842</v>
      </c>
      <c r="K24" s="286">
        <f t="shared" si="7"/>
        <v>815333.30299173028</v>
      </c>
      <c r="L24" s="286">
        <f t="shared" si="7"/>
        <v>831639.96905156481</v>
      </c>
      <c r="M24" s="286">
        <f t="shared" si="7"/>
        <v>848272.76843259588</v>
      </c>
      <c r="N24" s="286">
        <f t="shared" si="7"/>
        <v>865238.22380124789</v>
      </c>
      <c r="O24" s="286">
        <f t="shared" si="7"/>
        <v>882542.9882772729</v>
      </c>
      <c r="P24" s="286">
        <f t="shared" si="7"/>
        <v>900193.84804281848</v>
      </c>
      <c r="Q24" s="286">
        <f t="shared" si="7"/>
        <v>918197.72500367463</v>
      </c>
      <c r="R24" s="286">
        <f t="shared" si="7"/>
        <v>936561.67950374808</v>
      </c>
      <c r="S24" s="286">
        <f t="shared" si="7"/>
        <v>955292.91309382312</v>
      </c>
      <c r="T24" s="286">
        <f t="shared" si="7"/>
        <v>974398.77135569986</v>
      </c>
      <c r="U24" s="286">
        <f t="shared" si="7"/>
        <v>993886.74678281322</v>
      </c>
      <c r="V24" s="286">
        <f t="shared" si="7"/>
        <v>1013764.4817184698</v>
      </c>
      <c r="W24" s="286">
        <f t="shared" si="7"/>
        <v>1034039.7713528395</v>
      </c>
      <c r="X24" s="286">
        <f t="shared" si="7"/>
        <v>1054720.5667798957</v>
      </c>
      <c r="Y24" s="286">
        <f t="shared" si="7"/>
        <v>1075814.9781154934</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26400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27456</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28554.240000000002</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29696.409600000003</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30884.265984000005</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32119.636623360009</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33404.422088294406</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34740.598971826184</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36130.222930699238</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37575.431847927211</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38514.817644125389</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39477.688085228518</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40464.630287359236</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41476.246044543208</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42513.152195656781</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43575.981000548207</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44665.380525561908</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45782.015038700956</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46926.565414668468</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48099.729550035183</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49302.222788786057</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1250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1300</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1352.0000000000002</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1406.0800000000002</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1462.3232000000003</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1520.8161280000004</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1581.6487731200004</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1644.9147240448003</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1710.7113130065927</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1779.1397655268565</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1823.6182596650276</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1869.2087161566535</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1915.9389340605699</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1963.8374074120838</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2012.9333425973855</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2063.2566761623202</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2114.8380930663784</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2167.7090453930377</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2221.9017715278628</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2277.4493158160599</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2334.3855487114611</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39200</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40768</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42398.720000000001</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44094.668800000007</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45858.455552000007</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47692.793774080012</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49600.505525043212</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51584.525746044936</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53647.906775886746</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55793.823046922218</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57188.668623095269</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58618.385338672648</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60083.844972139472</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61585.941096442948</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63125.589623854008</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64703.729364450366</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66321.322598561615</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67979.355663525654</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69678.83955511378</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71420.810543991625</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73206.330807591425</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27000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28080</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29203.200000000004</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30371.328000000001</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31586.181120000005</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32849.62836480001</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34163.613499392013</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35530.158039367685</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36951.364360942403</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38429.418935380098</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39390.154408764596</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40374.908268983716</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41384.280975708309</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42418.888000101011</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43479.360200103525</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44566.344205106121</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45680.502810233767</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46822.515380489611</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47993.078265001837</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49192.90522162689</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50422.727852167562</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45000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46800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48672.000000000007</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50618.880000000005</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52643.635200000012</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54749.380608000014</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56939.35583232002</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59216.930065612811</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61585.607268237334</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64049.031558966832</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65650.257347940991</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67291.513781639529</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68973.801626180517</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70698.146666835019</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72465.600333505878</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74277.240341843528</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76134.171350389617</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78037.525634149351</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79988.463775003067</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81988.17536937815</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84037.879753612608</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25000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26000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27040.000000000004</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28121.600000000002</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29246.464000000004</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30416.322560000008</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31632.975462400009</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32898.294480896009</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34214.226260131851</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35582.795310537127</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36472.365193300553</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37384.174323133069</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38318.778681211399</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39276.748148241677</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40258.66685194771</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41265.133523246404</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42296.761861327563</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43354.180907860748</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44438.035430557262</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45548.986316321192</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46687.710974229223</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14037</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14598.480000000001</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15182.419200000002</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15789.715968</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16421.304606720005</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17078.156790988804</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17761.283062628358</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18471.734385133488</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19210.603760538834</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19979.027910960387</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20478.503608734394</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20990.466198952756</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21515.227853926575</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22053.108550274734</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22604.436264031599</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23169.547170632391</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23748.785849898202</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24342.505496145655</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24951.068133549292</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25574.844836888024</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26214.215957810226</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29400</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30576</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31799.040000000005</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33071.001600000003</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34393.841664000007</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35769.595330560012</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37200.379143782411</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38688.394309533702</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40235.930081915059</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41845.367285191664</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42891.501467321454</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43963.789004004488</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45062.8837291046</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46189.455822332209</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47344.192217890508</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48527.797023337771</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49740.991948921219</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50984.516747644244</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52259.129666335335</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53565.607907993726</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54904.748105693565</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64215</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66783.600000000006</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69454.944000000003</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72233.141759999999</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75122.467430400007</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78127.366127616027</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81252.46077272066</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84502.559203629484</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87882.661571774675</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91397.968034645673</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93682.917235511806</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96024.990166399599</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98425.614920559587</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100886.25529357356</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103408.4116759129</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105993.62196781072</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108643.46251700599</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111359.54907993112</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114143.53780692938</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116997.12625210262</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119922.05440840518</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17430</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18127.2</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18852.288</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19606.379520000002</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20390.634700800005</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21206.260088832005</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22054.510492385285</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22936.690912080696</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23854.158548563926</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24808.324890506487</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25428.533012769145</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26064.246338088375</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26715.852496540585</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27383.748808954097</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28068.342529177946</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28770.051092407393</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29489.302369717578</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30226.534928960515</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30982.198302184523</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31756.753259739136</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32550.672091232616</v>
      </c>
    </row>
    <row r="39" spans="3:25" ht="13.15" customHeight="1">
      <c r="C39" s="14" t="s">
        <v>355</v>
      </c>
      <c r="E39" s="286">
        <f t="shared" ref="E39:Y39" si="8">SUM(E27:E38)</f>
        <v>288932</v>
      </c>
      <c r="F39" s="286">
        <f t="shared" si="8"/>
        <v>300489.28000000003</v>
      </c>
      <c r="G39" s="286">
        <f t="shared" si="8"/>
        <v>312508.85120000003</v>
      </c>
      <c r="H39" s="286">
        <f t="shared" si="8"/>
        <v>325009.20524800004</v>
      </c>
      <c r="I39" s="286">
        <f t="shared" si="8"/>
        <v>338009.57345792005</v>
      </c>
      <c r="J39" s="286">
        <f t="shared" si="8"/>
        <v>351529.9563962369</v>
      </c>
      <c r="K39" s="286">
        <f t="shared" si="8"/>
        <v>365591.15465208638</v>
      </c>
      <c r="L39" s="286">
        <f t="shared" si="8"/>
        <v>380214.80083816982</v>
      </c>
      <c r="M39" s="286">
        <f t="shared" si="8"/>
        <v>395423.39287169673</v>
      </c>
      <c r="N39" s="286">
        <f t="shared" si="8"/>
        <v>411240.32858656457</v>
      </c>
      <c r="O39" s="286">
        <f t="shared" si="8"/>
        <v>421521.33680122864</v>
      </c>
      <c r="P39" s="286">
        <f t="shared" si="8"/>
        <v>432059.37022125936</v>
      </c>
      <c r="Q39" s="286">
        <f t="shared" si="8"/>
        <v>442860.85447679088</v>
      </c>
      <c r="R39" s="286">
        <f t="shared" si="8"/>
        <v>453932.37583871046</v>
      </c>
      <c r="S39" s="286">
        <f t="shared" si="8"/>
        <v>465280.68523467833</v>
      </c>
      <c r="T39" s="286">
        <f t="shared" si="8"/>
        <v>476912.70236554521</v>
      </c>
      <c r="U39" s="286">
        <f t="shared" si="8"/>
        <v>488835.51992468379</v>
      </c>
      <c r="V39" s="286">
        <f t="shared" si="8"/>
        <v>501056.40792280086</v>
      </c>
      <c r="W39" s="286">
        <f t="shared" si="8"/>
        <v>513582.8181208708</v>
      </c>
      <c r="X39" s="286">
        <f t="shared" si="8"/>
        <v>526422.38857389253</v>
      </c>
      <c r="Y39" s="286">
        <f t="shared" si="8"/>
        <v>539582.94828823989</v>
      </c>
    </row>
    <row r="40" spans="3:25" ht="7.15" customHeight="1"/>
    <row r="41" spans="3:25" ht="13.5" customHeight="1">
      <c r="C41" s="15" t="s">
        <v>356</v>
      </c>
      <c r="D41" s="8"/>
      <c r="E41" s="287">
        <f t="shared" ref="E41:Y41" si="9">E24-E39</f>
        <v>310204.71999999997</v>
      </c>
      <c r="F41" s="287">
        <f t="shared" si="9"/>
        <v>310630.17440000002</v>
      </c>
      <c r="G41" s="287">
        <f t="shared" si="9"/>
        <v>440733.09145599999</v>
      </c>
      <c r="H41" s="287">
        <f t="shared" si="9"/>
        <v>443297.57626111974</v>
      </c>
      <c r="I41" s="287">
        <f t="shared" si="9"/>
        <v>445663.34368138242</v>
      </c>
      <c r="J41" s="287">
        <f t="shared" si="9"/>
        <v>447816.41908585152</v>
      </c>
      <c r="K41" s="287">
        <f t="shared" si="9"/>
        <v>449742.1483396439</v>
      </c>
      <c r="L41" s="287">
        <f t="shared" si="9"/>
        <v>451425.16821339499</v>
      </c>
      <c r="M41" s="287">
        <f t="shared" si="9"/>
        <v>452849.37556089915</v>
      </c>
      <c r="N41" s="287">
        <f t="shared" si="9"/>
        <v>453997.89521468332</v>
      </c>
      <c r="O41" s="287">
        <f t="shared" si="9"/>
        <v>461021.65147604427</v>
      </c>
      <c r="P41" s="287">
        <f t="shared" si="9"/>
        <v>468134.47782155912</v>
      </c>
      <c r="Q41" s="287">
        <f t="shared" si="9"/>
        <v>475336.87052688375</v>
      </c>
      <c r="R41" s="287">
        <f t="shared" si="9"/>
        <v>482629.30366503762</v>
      </c>
      <c r="S41" s="287">
        <f t="shared" si="9"/>
        <v>490012.2278591448</v>
      </c>
      <c r="T41" s="287">
        <f t="shared" si="9"/>
        <v>497486.06899015466</v>
      </c>
      <c r="U41" s="287">
        <f t="shared" si="9"/>
        <v>505051.22685812943</v>
      </c>
      <c r="V41" s="287">
        <f t="shared" si="9"/>
        <v>512708.0737956689</v>
      </c>
      <c r="W41" s="287">
        <f t="shared" si="9"/>
        <v>520456.95323196874</v>
      </c>
      <c r="X41" s="287">
        <f t="shared" si="9"/>
        <v>528298.17820600315</v>
      </c>
      <c r="Y41" s="287">
        <f t="shared" si="9"/>
        <v>536232.02982725354</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6000</v>
      </c>
      <c r="F44" s="283">
        <f t="shared" si="11"/>
        <v>6120</v>
      </c>
      <c r="G44" s="283">
        <f t="shared" si="11"/>
        <v>6242.4</v>
      </c>
      <c r="H44" s="283">
        <f t="shared" si="11"/>
        <v>6367.2479999999996</v>
      </c>
      <c r="I44" s="283">
        <f t="shared" si="11"/>
        <v>6494.5929599999999</v>
      </c>
      <c r="J44" s="283">
        <f t="shared" si="11"/>
        <v>6624.4848191999999</v>
      </c>
      <c r="K44" s="283">
        <f t="shared" si="11"/>
        <v>6756.9745155840001</v>
      </c>
      <c r="L44" s="283">
        <f t="shared" si="11"/>
        <v>6892.1140058956789</v>
      </c>
      <c r="M44" s="283">
        <f t="shared" si="11"/>
        <v>7029.9562860135929</v>
      </c>
      <c r="N44" s="283">
        <f t="shared" si="11"/>
        <v>7170.5554117338652</v>
      </c>
      <c r="O44" s="283">
        <f t="shared" si="11"/>
        <v>7313.9665199685423</v>
      </c>
      <c r="P44" s="283">
        <f t="shared" si="11"/>
        <v>7460.2458503679118</v>
      </c>
      <c r="Q44" s="283">
        <f t="shared" si="11"/>
        <v>7609.4507673752714</v>
      </c>
      <c r="R44" s="283">
        <f t="shared" si="11"/>
        <v>7761.6397827227765</v>
      </c>
      <c r="S44" s="283">
        <f t="shared" si="11"/>
        <v>7916.8725783772325</v>
      </c>
      <c r="T44" s="283">
        <f t="shared" si="11"/>
        <v>8075.2100299447757</v>
      </c>
      <c r="U44" s="283">
        <f t="shared" si="11"/>
        <v>8236.7142305436719</v>
      </c>
      <c r="V44" s="283">
        <f t="shared" si="11"/>
        <v>8401.4485151545468</v>
      </c>
      <c r="W44" s="283">
        <f t="shared" si="11"/>
        <v>8569.4774854576372</v>
      </c>
      <c r="X44" s="283">
        <f t="shared" si="11"/>
        <v>8740.8670351667879</v>
      </c>
      <c r="Y44" s="283">
        <f t="shared" si="11"/>
        <v>8915.6843758701252</v>
      </c>
    </row>
    <row r="45" spans="3:25" ht="13.5" customHeight="1">
      <c r="C45" s="15" t="s">
        <v>359</v>
      </c>
      <c r="D45" s="8"/>
      <c r="E45" s="287">
        <f t="shared" ref="E45:Y45" si="12">E41-E44</f>
        <v>304204.71999999997</v>
      </c>
      <c r="F45" s="287">
        <f t="shared" si="12"/>
        <v>304510.17440000002</v>
      </c>
      <c r="G45" s="287">
        <f t="shared" si="12"/>
        <v>434490.69145599997</v>
      </c>
      <c r="H45" s="287">
        <f t="shared" si="12"/>
        <v>436930.32826111972</v>
      </c>
      <c r="I45" s="287">
        <f t="shared" si="12"/>
        <v>439168.75072138244</v>
      </c>
      <c r="J45" s="287">
        <f t="shared" si="12"/>
        <v>441191.93426665151</v>
      </c>
      <c r="K45" s="287">
        <f t="shared" si="12"/>
        <v>442985.17382405989</v>
      </c>
      <c r="L45" s="287">
        <f t="shared" si="12"/>
        <v>444533.05420749931</v>
      </c>
      <c r="M45" s="287">
        <f t="shared" si="12"/>
        <v>445819.41927488556</v>
      </c>
      <c r="N45" s="287">
        <f t="shared" si="12"/>
        <v>446827.33980294946</v>
      </c>
      <c r="O45" s="287">
        <f t="shared" si="12"/>
        <v>453707.68495607574</v>
      </c>
      <c r="P45" s="287">
        <f t="shared" si="12"/>
        <v>460674.23197119118</v>
      </c>
      <c r="Q45" s="287">
        <f t="shared" si="12"/>
        <v>467727.41975950846</v>
      </c>
      <c r="R45" s="287">
        <f t="shared" si="12"/>
        <v>474867.66388231487</v>
      </c>
      <c r="S45" s="287">
        <f t="shared" si="12"/>
        <v>482095.35528076754</v>
      </c>
      <c r="T45" s="287">
        <f t="shared" si="12"/>
        <v>489410.85896020988</v>
      </c>
      <c r="U45" s="287">
        <f t="shared" si="12"/>
        <v>496814.51262758579</v>
      </c>
      <c r="V45" s="287">
        <f t="shared" si="12"/>
        <v>504306.62528051436</v>
      </c>
      <c r="W45" s="287">
        <f t="shared" si="12"/>
        <v>511887.47574651113</v>
      </c>
      <c r="X45" s="287">
        <f t="shared" si="12"/>
        <v>519557.31117083639</v>
      </c>
      <c r="Y45" s="287">
        <f t="shared" si="12"/>
        <v>527316.34545138339</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(E$12&gt;=$F$2)*IFERROR(INDEX('02_Debt Engine'!$F$46:$Z$62,MATCH($C$1,'02_Debt Engine'!$B$19:$B$35,0),MATCH(E$12,'02_Debt Engine'!$F$45:$Z$45,0)),0)</f>
        <v>274351.8</v>
      </c>
      <c r="F48" s="286">
        <f>(F$12&gt;=$F$2)*IFERROR(INDEX('02_Debt Engine'!$F$46:$Z$62,MATCH($C$1,'02_Debt Engine'!$B$19:$B$35,0),MATCH(F$12,'02_Debt Engine'!$F$45:$Z$45,0)),0)</f>
        <v>241023.06220661121</v>
      </c>
      <c r="G48" s="286">
        <f>(G$12&gt;=$F$2)*IFERROR(INDEX('02_Debt Engine'!$F$46:$Z$62,MATCH($C$1,'02_Debt Engine'!$B$19:$B$35,0),MATCH(G$12,'02_Debt Engine'!$F$45:$Z$45,0)),0)</f>
        <v>0</v>
      </c>
      <c r="H48" s="286">
        <f>(H$12&gt;=$F$2)*IFERROR(INDEX('02_Debt Engine'!$F$46:$Z$62,MATCH($C$1,'02_Debt Engine'!$B$19:$B$35,0),MATCH(H$12,'02_Debt Engine'!$F$45:$Z$45,0)),0)</f>
        <v>0</v>
      </c>
      <c r="I48" s="286">
        <f>(I$12&gt;=$F$2)*IFERROR(INDEX('02_Debt Engine'!$F$46:$Z$62,MATCH($C$1,'02_Debt Engine'!$B$19:$B$35,0),MATCH(I$12,'02_Debt Engine'!$F$45:$Z$45,0)),0)</f>
        <v>0</v>
      </c>
      <c r="J48" s="286">
        <f>(J$12&gt;=$F$2)*IFERROR(INDEX('02_Debt Engine'!$F$46:$Z$62,MATCH($C$1,'02_Debt Engine'!$B$19:$B$35,0),MATCH(J$12,'02_Debt Engine'!$F$45:$Z$45,0)),0)</f>
        <v>0</v>
      </c>
      <c r="K48" s="286">
        <f>(K$12&gt;=$F$2)*IFERROR(INDEX('02_Debt Engine'!$F$46:$Z$62,MATCH($C$1,'02_Debt Engine'!$B$19:$B$35,0),MATCH(K$12,'02_Debt Engine'!$F$45:$Z$45,0)),0)</f>
        <v>0</v>
      </c>
      <c r="L48" s="286">
        <f>(L$12&gt;=$F$2)*IFERROR(INDEX('02_Debt Engine'!$F$46:$Z$62,MATCH($C$1,'02_Debt Engine'!$B$19:$B$35,0),MATCH(L$12,'02_Debt Engine'!$F$45:$Z$45,0)),0)</f>
        <v>0</v>
      </c>
      <c r="M48" s="286">
        <f>(M$12&gt;=$F$2)*IFERROR(INDEX('02_Debt Engine'!$F$46:$Z$62,MATCH($C$1,'02_Debt Engine'!$B$19:$B$35,0),MATCH(M$12,'02_Debt Engine'!$F$45:$Z$45,0)),0)</f>
        <v>0</v>
      </c>
      <c r="N48" s="286">
        <f>(N$12&gt;=$F$2)*IFERROR(INDEX('02_Debt Engine'!$F$46:$Z$62,MATCH($C$1,'02_Debt Engine'!$B$19:$B$35,0),MATCH(N$12,'02_Debt Engine'!$F$45:$Z$45,0)),0)</f>
        <v>0</v>
      </c>
      <c r="O48" s="286">
        <f>(O$12&gt;=$F$2)*IFERROR(INDEX('02_Debt Engine'!$F$46:$Z$62,MATCH($C$1,'02_Debt Engine'!$B$19:$B$35,0),MATCH(O$12,'02_Debt Engine'!$F$45:$Z$45,0)),0)</f>
        <v>0</v>
      </c>
      <c r="P48" s="286">
        <f>(P$12&gt;=$F$2)*IFERROR(INDEX('02_Debt Engine'!$F$46:$Z$62,MATCH($C$1,'02_Debt Engine'!$B$19:$B$35,0),MATCH(P$12,'02_Debt Engine'!$F$45:$Z$45,0)),0)</f>
        <v>0</v>
      </c>
      <c r="Q48" s="286">
        <f>(Q$12&gt;=$F$2)*IFERROR(INDEX('02_Debt Engine'!$F$46:$Z$62,MATCH($C$1,'02_Debt Engine'!$B$19:$B$35,0),MATCH(Q$12,'02_Debt Engine'!$F$45:$Z$45,0)),0)</f>
        <v>0</v>
      </c>
      <c r="R48" s="286">
        <f>(R$12&gt;=$F$2)*IFERROR(INDEX('02_Debt Engine'!$F$46:$Z$62,MATCH($C$1,'02_Debt Engine'!$B$19:$B$35,0),MATCH(R$12,'02_Debt Engine'!$F$45:$Z$45,0)),0)</f>
        <v>0</v>
      </c>
      <c r="S48" s="286">
        <f>(S$12&gt;=$F$2)*IFERROR(INDEX('02_Debt Engine'!$F$46:$Z$62,MATCH($C$1,'02_Debt Engine'!$B$19:$B$35,0),MATCH(S$12,'02_Debt Engine'!$F$45:$Z$45,0)),0)</f>
        <v>0</v>
      </c>
      <c r="T48" s="286">
        <f>(T$12&gt;=$F$2)*IFERROR(INDEX('02_Debt Engine'!$F$46:$Z$62,MATCH($C$1,'02_Debt Engine'!$B$19:$B$35,0),MATCH(T$12,'02_Debt Engine'!$F$45:$Z$45,0)),0)</f>
        <v>0</v>
      </c>
      <c r="U48" s="286">
        <f>(U$12&gt;=$F$2)*IFERROR(INDEX('02_Debt Engine'!$F$46:$Z$62,MATCH($C$1,'02_Debt Engine'!$B$19:$B$35,0),MATCH(U$12,'02_Debt Engine'!$F$45:$Z$45,0)),0)</f>
        <v>0</v>
      </c>
      <c r="V48" s="286">
        <f>(V$12&gt;=$F$2)*IFERROR(INDEX('02_Debt Engine'!$F$46:$Z$62,MATCH($C$1,'02_Debt Engine'!$B$19:$B$35,0),MATCH(V$12,'02_Debt Engine'!$F$45:$Z$45,0)),0)</f>
        <v>0</v>
      </c>
      <c r="W48" s="286">
        <f>(W$12&gt;=$F$2)*IFERROR(INDEX('02_Debt Engine'!$F$46:$Z$62,MATCH($C$1,'02_Debt Engine'!$B$19:$B$35,0),MATCH(W$12,'02_Debt Engine'!$F$45:$Z$45,0)),0)</f>
        <v>0</v>
      </c>
      <c r="X48" s="286">
        <f>(X$12&gt;=$F$2)*IFERROR(INDEX('02_Debt Engine'!$F$46:$Z$62,MATCH($C$1,'02_Debt Engine'!$B$19:$B$35,0),MATCH(X$12,'02_Debt Engine'!$F$45:$Z$45,0)),0)</f>
        <v>0</v>
      </c>
      <c r="Y48" s="286">
        <f>(Y$12&gt;=$F$2)*IFERROR(INDEX('02_Debt Engine'!$F$46:$Z$62,MATCH($C$1,'02_Debt Engine'!$B$19:$B$35,0),MATCH(Y$12,'02_Debt Engine'!$F$45:$Z$45,0)),0)</f>
        <v>0</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1.1306822845703945</v>
      </c>
      <c r="F50" s="290">
        <f t="shared" si="14"/>
        <v>1.2887985554416357</v>
      </c>
      <c r="G50" s="290" t="str">
        <f t="shared" si="14"/>
        <v/>
      </c>
      <c r="H50" s="290" t="str">
        <f t="shared" si="14"/>
        <v/>
      </c>
      <c r="I50" s="290" t="str">
        <f t="shared" si="14"/>
        <v/>
      </c>
      <c r="J50" s="290" t="str">
        <f t="shared" si="14"/>
        <v/>
      </c>
      <c r="K50" s="290" t="str">
        <f t="shared" si="14"/>
        <v/>
      </c>
      <c r="L50" s="290" t="str">
        <f t="shared" si="14"/>
        <v/>
      </c>
      <c r="M50" s="290" t="str">
        <f t="shared" si="14"/>
        <v/>
      </c>
      <c r="N50" s="290" t="str">
        <f t="shared" si="14"/>
        <v/>
      </c>
      <c r="O50" s="290" t="str">
        <f t="shared" si="14"/>
        <v/>
      </c>
      <c r="P50" s="290" t="str">
        <f t="shared" si="14"/>
        <v/>
      </c>
      <c r="Q50" s="290" t="str">
        <f t="shared" si="14"/>
        <v/>
      </c>
      <c r="R50" s="290" t="str">
        <f t="shared" si="14"/>
        <v/>
      </c>
      <c r="S50" s="290" t="str">
        <f t="shared" si="14"/>
        <v/>
      </c>
      <c r="T50" s="290" t="str">
        <f t="shared" si="14"/>
        <v/>
      </c>
      <c r="U50" s="290" t="str">
        <f t="shared" si="14"/>
        <v/>
      </c>
      <c r="V50" s="290" t="str">
        <f t="shared" si="14"/>
        <v/>
      </c>
      <c r="W50" s="290" t="str">
        <f t="shared" si="14"/>
        <v/>
      </c>
      <c r="X50" s="290" t="str">
        <f t="shared" si="14"/>
        <v/>
      </c>
      <c r="Y50" s="290" t="str">
        <f t="shared" si="14"/>
        <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35852.919999999984</v>
      </c>
      <c r="F52" s="291">
        <f t="shared" si="15"/>
        <v>69607.112193388806</v>
      </c>
      <c r="G52" s="291">
        <f t="shared" si="15"/>
        <v>440733.09145599999</v>
      </c>
      <c r="H52" s="291">
        <f t="shared" si="15"/>
        <v>443297.57626111974</v>
      </c>
      <c r="I52" s="291">
        <f t="shared" si="15"/>
        <v>445663.34368138242</v>
      </c>
      <c r="J52" s="291">
        <f t="shared" si="15"/>
        <v>447816.41908585152</v>
      </c>
      <c r="K52" s="291">
        <f t="shared" si="15"/>
        <v>449742.1483396439</v>
      </c>
      <c r="L52" s="291">
        <f t="shared" si="15"/>
        <v>451425.16821339499</v>
      </c>
      <c r="M52" s="291">
        <f t="shared" si="15"/>
        <v>452849.37556089915</v>
      </c>
      <c r="N52" s="291">
        <f t="shared" si="15"/>
        <v>453997.89521468332</v>
      </c>
      <c r="O52" s="291">
        <f t="shared" si="15"/>
        <v>461021.65147604427</v>
      </c>
      <c r="P52" s="291">
        <f t="shared" si="15"/>
        <v>468134.47782155912</v>
      </c>
      <c r="Q52" s="291">
        <f t="shared" si="15"/>
        <v>475336.87052688375</v>
      </c>
      <c r="R52" s="291">
        <f t="shared" si="15"/>
        <v>482629.30366503762</v>
      </c>
      <c r="S52" s="291">
        <f t="shared" si="15"/>
        <v>490012.2278591448</v>
      </c>
      <c r="T52" s="291">
        <f t="shared" si="15"/>
        <v>497486.06899015466</v>
      </c>
      <c r="U52" s="291">
        <f t="shared" si="15"/>
        <v>505051.22685812943</v>
      </c>
      <c r="V52" s="291">
        <f t="shared" si="15"/>
        <v>512708.0737956689</v>
      </c>
      <c r="W52" s="291">
        <f t="shared" si="15"/>
        <v>520456.95323196874</v>
      </c>
      <c r="X52" s="291">
        <f t="shared" si="15"/>
        <v>528298.17820600315</v>
      </c>
      <c r="Y52" s="291">
        <f t="shared" si="15"/>
        <v>536232.02982725354</v>
      </c>
    </row>
    <row r="53" spans="3:25" ht="7.15" customHeight="1">
      <c r="C53" s="14"/>
      <c r="D53" s="17"/>
    </row>
    <row r="54" spans="3:25" ht="13.5" customHeight="1">
      <c r="C54" s="15" t="s">
        <v>363</v>
      </c>
      <c r="D54" s="20"/>
      <c r="E54" s="292">
        <f t="shared" ref="E54:Y54" si="16">IF(E52&lt;0,0,E52*$G$7)</f>
        <v>21511.751999999989</v>
      </c>
      <c r="F54" s="292">
        <f t="shared" si="16"/>
        <v>41764.267316033285</v>
      </c>
      <c r="G54" s="292">
        <f t="shared" si="16"/>
        <v>264439.85487360001</v>
      </c>
      <c r="H54" s="292">
        <f t="shared" si="16"/>
        <v>265978.54575667181</v>
      </c>
      <c r="I54" s="292">
        <f t="shared" si="16"/>
        <v>267398.00620882947</v>
      </c>
      <c r="J54" s="292">
        <f t="shared" si="16"/>
        <v>268689.85145151091</v>
      </c>
      <c r="K54" s="292">
        <f t="shared" si="16"/>
        <v>269845.28900378634</v>
      </c>
      <c r="L54" s="292">
        <f t="shared" si="16"/>
        <v>270855.10092803696</v>
      </c>
      <c r="M54" s="292">
        <f t="shared" si="16"/>
        <v>271709.62533653947</v>
      </c>
      <c r="N54" s="292">
        <f t="shared" si="16"/>
        <v>272398.73712880997</v>
      </c>
      <c r="O54" s="292">
        <f t="shared" si="16"/>
        <v>276612.99088562652</v>
      </c>
      <c r="P54" s="292">
        <f t="shared" si="16"/>
        <v>280880.68669293547</v>
      </c>
      <c r="Q54" s="292">
        <f t="shared" si="16"/>
        <v>285202.12231613026</v>
      </c>
      <c r="R54" s="292">
        <f t="shared" si="16"/>
        <v>289577.58219902258</v>
      </c>
      <c r="S54" s="292">
        <f t="shared" si="16"/>
        <v>294007.33671548689</v>
      </c>
      <c r="T54" s="292">
        <f t="shared" si="16"/>
        <v>298491.64139409276</v>
      </c>
      <c r="U54" s="292">
        <f t="shared" si="16"/>
        <v>303030.73611487763</v>
      </c>
      <c r="V54" s="292">
        <f t="shared" si="16"/>
        <v>307624.84427740134</v>
      </c>
      <c r="W54" s="292">
        <f t="shared" si="16"/>
        <v>312274.17193918122</v>
      </c>
      <c r="X54" s="292">
        <f t="shared" si="16"/>
        <v>316978.90692360187</v>
      </c>
      <c r="Y54" s="292">
        <f t="shared" si="16"/>
        <v>321739.21789635211</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14341.167999999994</v>
      </c>
      <c r="F56" s="291">
        <f t="shared" si="17"/>
        <v>27842.844877355521</v>
      </c>
      <c r="G56" s="291">
        <f t="shared" si="17"/>
        <v>176293.23658239999</v>
      </c>
      <c r="H56" s="291">
        <f t="shared" si="17"/>
        <v>177319.03050444793</v>
      </c>
      <c r="I56" s="291">
        <f t="shared" si="17"/>
        <v>178265.33747255296</v>
      </c>
      <c r="J56" s="291">
        <f t="shared" si="17"/>
        <v>179126.56763434061</v>
      </c>
      <c r="K56" s="291">
        <f t="shared" si="17"/>
        <v>179896.85933585756</v>
      </c>
      <c r="L56" s="291">
        <f t="shared" si="17"/>
        <v>180570.06728535803</v>
      </c>
      <c r="M56" s="291">
        <f t="shared" si="17"/>
        <v>181139.75022435968</v>
      </c>
      <c r="N56" s="291">
        <f t="shared" si="17"/>
        <v>181599.15808587335</v>
      </c>
      <c r="O56" s="291">
        <f t="shared" si="17"/>
        <v>184408.66059041774</v>
      </c>
      <c r="P56" s="291">
        <f t="shared" si="17"/>
        <v>187253.79112862365</v>
      </c>
      <c r="Q56" s="291">
        <f t="shared" si="17"/>
        <v>190134.74821075349</v>
      </c>
      <c r="R56" s="291">
        <f t="shared" si="17"/>
        <v>193051.72146601503</v>
      </c>
      <c r="S56" s="291">
        <f t="shared" si="17"/>
        <v>196004.89114365791</v>
      </c>
      <c r="T56" s="291">
        <f t="shared" si="17"/>
        <v>198994.4275960619</v>
      </c>
      <c r="U56" s="291">
        <f t="shared" si="17"/>
        <v>202020.49074325181</v>
      </c>
      <c r="V56" s="291">
        <f t="shared" si="17"/>
        <v>205083.22951826756</v>
      </c>
      <c r="W56" s="291">
        <f t="shared" si="17"/>
        <v>208182.78129278752</v>
      </c>
      <c r="X56" s="291">
        <f t="shared" si="17"/>
        <v>211319.27128240129</v>
      </c>
      <c r="Y56" s="291">
        <f t="shared" si="17"/>
        <v>214492.81193090143</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
      </c>
      <c r="I60" s="288" t="str">
        <f t="shared" si="18"/>
        <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0</v>
      </c>
      <c r="I63" s="285">
        <f t="shared" si="19"/>
        <v>0</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231219.36128800001</v>
      </c>
      <c r="F64" s="296">
        <f>INDEX('02_Debt Engine'!$F$74:$Z$90,MATCH($C$1,'02_Debt Engine'!$B$74:$B$90,0),MATCH(F$12,'02_Debt Engine'!$F$73:$Z$73,0))</f>
        <v>0</v>
      </c>
      <c r="G64" s="296">
        <f>INDEX('02_Debt Engine'!$F$74:$Z$90,MATCH($C$1,'02_Debt Engine'!$B$74:$B$90,0),MATCH(G$12,'02_Debt Engine'!$F$73:$Z$73,0))</f>
        <v>0</v>
      </c>
      <c r="H64" s="296">
        <f>INDEX('02_Debt Engine'!$F$74:$Z$90,MATCH($C$1,'02_Debt Engine'!$B$74:$B$90,0),MATCH(H$12,'02_Debt Engine'!$F$73:$Z$73,0))</f>
        <v>0</v>
      </c>
      <c r="I64" s="296">
        <f>INDEX('02_Debt Engine'!$F$74:$Z$90,MATCH($C$1,'02_Debt Engine'!$B$74:$B$90,0),MATCH(I$12,'02_Debt Engine'!$F$73:$Z$73,0))</f>
        <v>0</v>
      </c>
      <c r="J64" s="296">
        <f>INDEX('02_Debt Engine'!$F$74:$Z$90,MATCH($C$1,'02_Debt Engine'!$B$74:$B$90,0),MATCH(J$12,'02_Debt Engine'!$F$73:$Z$73,0))</f>
        <v>0</v>
      </c>
      <c r="K64" s="296">
        <f>INDEX('02_Debt Engine'!$F$74:$Z$90,MATCH($C$1,'02_Debt Engine'!$B$74:$B$90,0),MATCH(K$12,'02_Debt Engine'!$F$73:$Z$73,0))</f>
        <v>0</v>
      </c>
      <c r="L64" s="296">
        <f>INDEX('02_Debt Engine'!$F$74:$Z$90,MATCH($C$1,'02_Debt Engine'!$B$74:$B$90,0),MATCH(L$12,'02_Debt Engine'!$F$73:$Z$73,0))</f>
        <v>0</v>
      </c>
      <c r="M64" s="296">
        <f>INDEX('02_Debt Engine'!$F$74:$Z$90,MATCH($C$1,'02_Debt Engine'!$B$74:$B$90,0),MATCH(M$12,'02_Debt Engine'!$F$73:$Z$73,0))</f>
        <v>0</v>
      </c>
      <c r="N64" s="296">
        <f>INDEX('02_Debt Engine'!$F$74:$Z$90,MATCH($C$1,'02_Debt Engine'!$B$74:$B$90,0),MATCH(N$12,'02_Debt Engine'!$F$73:$Z$73,0))</f>
        <v>0</v>
      </c>
      <c r="O64" s="296">
        <f>INDEX('02_Debt Engine'!$F$74:$Z$90,MATCH($C$1,'02_Debt Engine'!$B$74:$B$90,0),MATCH(O$12,'02_Debt Engine'!$F$73:$Z$73,0))</f>
        <v>0</v>
      </c>
      <c r="P64" s="296">
        <f>INDEX('02_Debt Engine'!$F$74:$Z$90,MATCH($C$1,'02_Debt Engine'!$B$74:$B$90,0),MATCH(P$12,'02_Debt Engine'!$F$73:$Z$73,0))</f>
        <v>0</v>
      </c>
      <c r="Q64" s="296">
        <f>INDEX('02_Debt Engine'!$F$74:$Z$90,MATCH($C$1,'02_Debt Engine'!$B$74:$B$90,0),MATCH(Q$12,'02_Debt Engine'!$F$73:$Z$73,0))</f>
        <v>0</v>
      </c>
      <c r="R64" s="296">
        <f>INDEX('02_Debt Engine'!$F$74:$Z$90,MATCH($C$1,'02_Debt Engine'!$B$74:$B$90,0),MATCH(R$12,'02_Debt Engine'!$F$73:$Z$73,0))</f>
        <v>0</v>
      </c>
      <c r="S64" s="296">
        <f>INDEX('02_Debt Engine'!$F$74:$Z$90,MATCH($C$1,'02_Debt Engine'!$B$74:$B$90,0),MATCH(S$12,'02_Debt Engine'!$F$73:$Z$73,0))</f>
        <v>0</v>
      </c>
      <c r="T64" s="296">
        <f>INDEX('02_Debt Engine'!$F$74:$Z$90,MATCH($C$1,'02_Debt Engine'!$B$74:$B$90,0),MATCH(T$12,'02_Debt Engine'!$F$73:$Z$73,0))</f>
        <v>0</v>
      </c>
      <c r="U64" s="296">
        <f>INDEX('02_Debt Engine'!$F$74:$Z$90,MATCH($C$1,'02_Debt Engine'!$B$74:$B$90,0),MATCH(U$12,'02_Debt Engine'!$F$73:$Z$73,0))</f>
        <v>0</v>
      </c>
      <c r="V64" s="296">
        <f>INDEX('02_Debt Engine'!$F$74:$Z$90,MATCH($C$1,'02_Debt Engine'!$B$74:$B$90,0),MATCH(V$12,'02_Debt Engine'!$F$73:$Z$73,0))</f>
        <v>0</v>
      </c>
      <c r="W64" s="296">
        <f>INDEX('02_Debt Engine'!$F$74:$Z$90,MATCH($C$1,'02_Debt Engine'!$B$74:$B$90,0),MATCH(W$12,'02_Debt Engine'!$F$73:$Z$73,0))</f>
        <v>0</v>
      </c>
      <c r="X64" s="296">
        <f>INDEX('02_Debt Engine'!$F$74:$Z$90,MATCH($C$1,'02_Debt Engine'!$B$74:$B$90,0),MATCH(X$12,'02_Debt Engine'!$F$73:$Z$73,0))</f>
        <v>0</v>
      </c>
      <c r="Y64" s="296">
        <f>INDEX('02_Debt Engine'!$F$74:$Z$90,MATCH($C$1,'02_Debt Engine'!$B$74:$B$90,0),MATCH(Y$12,'02_Debt Engine'!$F$73:$Z$73,0))</f>
        <v>0</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
      </c>
      <c r="I66" s="288" t="str">
        <f t="shared" si="20"/>
        <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14341.167999999994</v>
      </c>
      <c r="F67" s="285">
        <f t="shared" si="21"/>
        <v>27842.844877355521</v>
      </c>
      <c r="G67" s="285">
        <f t="shared" si="21"/>
        <v>176293.23658239999</v>
      </c>
      <c r="H67" s="285">
        <f t="shared" si="21"/>
        <v>177319.03050444793</v>
      </c>
      <c r="I67" s="285">
        <f t="shared" si="21"/>
        <v>178265.33747255296</v>
      </c>
      <c r="J67" s="285">
        <f t="shared" si="21"/>
        <v>179126.56763434061</v>
      </c>
      <c r="K67" s="285">
        <f t="shared" si="21"/>
        <v>179896.85933585756</v>
      </c>
      <c r="L67" s="285">
        <f t="shared" si="21"/>
        <v>180570.06728535803</v>
      </c>
      <c r="M67" s="285">
        <f t="shared" si="21"/>
        <v>181139.75022435968</v>
      </c>
      <c r="N67" s="285">
        <f t="shared" si="21"/>
        <v>181599.15808587335</v>
      </c>
      <c r="O67" s="285">
        <f t="shared" si="21"/>
        <v>184408.66059041774</v>
      </c>
      <c r="P67" s="285">
        <f t="shared" si="21"/>
        <v>187253.79112862365</v>
      </c>
      <c r="Q67" s="285">
        <f t="shared" si="21"/>
        <v>190134.74821075349</v>
      </c>
      <c r="R67" s="285">
        <f t="shared" si="21"/>
        <v>193051.72146601503</v>
      </c>
      <c r="S67" s="285">
        <f t="shared" si="21"/>
        <v>196004.89114365791</v>
      </c>
      <c r="T67" s="285">
        <f t="shared" si="21"/>
        <v>198994.4275960619</v>
      </c>
      <c r="U67" s="285">
        <f t="shared" si="21"/>
        <v>202020.49074325181</v>
      </c>
      <c r="V67" s="285">
        <f t="shared" si="21"/>
        <v>205083.22951826756</v>
      </c>
      <c r="W67" s="285">
        <f t="shared" si="21"/>
        <v>208182.78129278752</v>
      </c>
      <c r="X67" s="285">
        <f t="shared" si="21"/>
        <v>211319.27128240129</v>
      </c>
      <c r="Y67" s="285">
        <f t="shared" si="21"/>
        <v>214492.81193090143</v>
      </c>
    </row>
    <row r="68" spans="3:25" s="20" customFormat="1" ht="13.5" customHeight="1">
      <c r="C68" s="26" t="s">
        <v>544</v>
      </c>
      <c r="E68" s="287">
        <f t="shared" ref="E68:Y68" si="22">E67+E$63</f>
        <v>14341.167999999994</v>
      </c>
      <c r="F68" s="287">
        <f t="shared" si="22"/>
        <v>27842.844877355521</v>
      </c>
      <c r="G68" s="287">
        <f t="shared" si="22"/>
        <v>176293.23658239999</v>
      </c>
      <c r="H68" s="287">
        <f t="shared" si="22"/>
        <v>177319.03050444793</v>
      </c>
      <c r="I68" s="287">
        <f t="shared" si="22"/>
        <v>178265.33747255296</v>
      </c>
      <c r="J68" s="287">
        <f t="shared" si="22"/>
        <v>179126.56763434061</v>
      </c>
      <c r="K68" s="287">
        <f t="shared" si="22"/>
        <v>179896.85933585756</v>
      </c>
      <c r="L68" s="287">
        <f t="shared" si="22"/>
        <v>180570.06728535803</v>
      </c>
      <c r="M68" s="287">
        <f t="shared" si="22"/>
        <v>181139.75022435968</v>
      </c>
      <c r="N68" s="287">
        <f t="shared" si="22"/>
        <v>181599.15808587335</v>
      </c>
      <c r="O68" s="287">
        <f t="shared" si="22"/>
        <v>184408.66059041774</v>
      </c>
      <c r="P68" s="287">
        <f t="shared" si="22"/>
        <v>187253.79112862365</v>
      </c>
      <c r="Q68" s="287">
        <f t="shared" si="22"/>
        <v>190134.74821075349</v>
      </c>
      <c r="R68" s="287">
        <f t="shared" si="22"/>
        <v>193051.72146601503</v>
      </c>
      <c r="S68" s="287">
        <f t="shared" si="22"/>
        <v>196004.89114365791</v>
      </c>
      <c r="T68" s="287">
        <f t="shared" si="22"/>
        <v>198994.4275960619</v>
      </c>
      <c r="U68" s="287">
        <f t="shared" si="22"/>
        <v>202020.49074325181</v>
      </c>
      <c r="V68" s="287">
        <f t="shared" si="22"/>
        <v>205083.22951826756</v>
      </c>
      <c r="W68" s="287">
        <f t="shared" si="22"/>
        <v>208182.78129278752</v>
      </c>
      <c r="X68" s="287">
        <f t="shared" si="22"/>
        <v>211319.27128240129</v>
      </c>
      <c r="Y68" s="287">
        <f t="shared" si="22"/>
        <v>214492.81193090143</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5170078.666666666</v>
      </c>
      <c r="F73" s="285">
        <f t="shared" si="24"/>
        <v>5177169.5733333342</v>
      </c>
      <c r="G73" s="285">
        <f t="shared" si="24"/>
        <v>7345551.5242666667</v>
      </c>
      <c r="H73" s="285">
        <f t="shared" si="24"/>
        <v>7388292.9376853295</v>
      </c>
      <c r="I73" s="285">
        <f t="shared" si="24"/>
        <v>7427722.3946897071</v>
      </c>
      <c r="J73" s="285">
        <f t="shared" si="24"/>
        <v>7463606.9847641923</v>
      </c>
      <c r="K73" s="285">
        <f t="shared" si="24"/>
        <v>7495702.4723273991</v>
      </c>
      <c r="L73" s="285">
        <f t="shared" si="24"/>
        <v>7523752.8035565838</v>
      </c>
      <c r="M73" s="285">
        <f t="shared" si="24"/>
        <v>7547489.5926816529</v>
      </c>
      <c r="N73" s="285">
        <f t="shared" si="24"/>
        <v>7566631.5869113887</v>
      </c>
      <c r="O73" s="285">
        <f t="shared" si="24"/>
        <v>7683694.1912674047</v>
      </c>
      <c r="P73" s="285">
        <f t="shared" si="24"/>
        <v>7802241.297025986</v>
      </c>
      <c r="Q73" s="285">
        <f t="shared" si="24"/>
        <v>7922281.1754480628</v>
      </c>
      <c r="R73" s="285">
        <f t="shared" si="24"/>
        <v>8043821.7277506273</v>
      </c>
      <c r="S73" s="285">
        <f t="shared" si="24"/>
        <v>8166870.4643190801</v>
      </c>
      <c r="T73" s="285">
        <f t="shared" si="24"/>
        <v>8291434.4831692446</v>
      </c>
      <c r="U73" s="285">
        <f t="shared" si="24"/>
        <v>8417520.4476354904</v>
      </c>
      <c r="V73" s="285">
        <f t="shared" si="24"/>
        <v>8545134.5632611495</v>
      </c>
      <c r="W73" s="285">
        <f t="shared" si="24"/>
        <v>8674282.5538661461</v>
      </c>
      <c r="X73" s="285">
        <f t="shared" si="24"/>
        <v>8804969.6367667187</v>
      </c>
      <c r="Y73" s="285">
        <f t="shared" si="24"/>
        <v>8937200.4971208926</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
      </c>
      <c r="I75" s="288" t="str">
        <f t="shared" si="25"/>
        <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231219.36128800001</v>
      </c>
      <c r="F76" s="285">
        <f t="shared" si="26"/>
        <v>0</v>
      </c>
      <c r="G76" s="285">
        <f t="shared" si="26"/>
        <v>0</v>
      </c>
      <c r="H76" s="285">
        <f t="shared" si="26"/>
        <v>0</v>
      </c>
      <c r="I76" s="285">
        <f t="shared" si="26"/>
        <v>0</v>
      </c>
      <c r="J76" s="285">
        <f t="shared" si="26"/>
        <v>0</v>
      </c>
      <c r="K76" s="285">
        <f t="shared" si="26"/>
        <v>0</v>
      </c>
      <c r="L76" s="285">
        <f t="shared" si="26"/>
        <v>0</v>
      </c>
      <c r="M76" s="285">
        <f t="shared" si="26"/>
        <v>0</v>
      </c>
      <c r="N76" s="285">
        <f t="shared" si="26"/>
        <v>0</v>
      </c>
      <c r="O76" s="285">
        <f t="shared" si="26"/>
        <v>0</v>
      </c>
      <c r="P76" s="285">
        <f t="shared" si="26"/>
        <v>0</v>
      </c>
      <c r="Q76" s="285">
        <f t="shared" si="26"/>
        <v>0</v>
      </c>
      <c r="R76" s="285">
        <f t="shared" si="26"/>
        <v>0</v>
      </c>
      <c r="S76" s="285">
        <f t="shared" si="26"/>
        <v>0</v>
      </c>
      <c r="T76" s="285">
        <f t="shared" si="26"/>
        <v>0</v>
      </c>
      <c r="U76" s="285">
        <f t="shared" si="26"/>
        <v>0</v>
      </c>
      <c r="V76" s="285">
        <f t="shared" si="26"/>
        <v>0</v>
      </c>
      <c r="W76" s="285">
        <f t="shared" si="26"/>
        <v>0</v>
      </c>
      <c r="X76" s="285">
        <f t="shared" si="26"/>
        <v>0</v>
      </c>
      <c r="Y76" s="285">
        <f t="shared" si="26"/>
        <v>0</v>
      </c>
    </row>
    <row r="77" spans="3:25" ht="13.5" customHeight="1">
      <c r="C77" s="26" t="s">
        <v>376</v>
      </c>
      <c r="D77" s="21"/>
      <c r="E77" s="287">
        <f t="shared" ref="E77:Y77" si="27">E73-E$76</f>
        <v>4938859.3053786661</v>
      </c>
      <c r="F77" s="287">
        <f t="shared" si="27"/>
        <v>5177169.5733333342</v>
      </c>
      <c r="G77" s="287">
        <f t="shared" si="27"/>
        <v>7345551.5242666667</v>
      </c>
      <c r="H77" s="287">
        <f t="shared" si="27"/>
        <v>7388292.9376853295</v>
      </c>
      <c r="I77" s="287">
        <f t="shared" si="27"/>
        <v>7427722.3946897071</v>
      </c>
      <c r="J77" s="287">
        <f t="shared" si="27"/>
        <v>7463606.9847641923</v>
      </c>
      <c r="K77" s="287">
        <f t="shared" si="27"/>
        <v>7495702.4723273991</v>
      </c>
      <c r="L77" s="287">
        <f t="shared" si="27"/>
        <v>7523752.8035565838</v>
      </c>
      <c r="M77" s="287">
        <f t="shared" si="27"/>
        <v>7547489.5926816529</v>
      </c>
      <c r="N77" s="287">
        <f t="shared" si="27"/>
        <v>7566631.5869113887</v>
      </c>
      <c r="O77" s="287">
        <f t="shared" si="27"/>
        <v>7683694.1912674047</v>
      </c>
      <c r="P77" s="287">
        <f t="shared" si="27"/>
        <v>7802241.297025986</v>
      </c>
      <c r="Q77" s="287">
        <f t="shared" si="27"/>
        <v>7922281.1754480628</v>
      </c>
      <c r="R77" s="287">
        <f t="shared" si="27"/>
        <v>8043821.7277506273</v>
      </c>
      <c r="S77" s="287">
        <f t="shared" si="27"/>
        <v>8166870.4643190801</v>
      </c>
      <c r="T77" s="287">
        <f t="shared" si="27"/>
        <v>8291434.4831692446</v>
      </c>
      <c r="U77" s="287">
        <f t="shared" si="27"/>
        <v>8417520.4476354904</v>
      </c>
      <c r="V77" s="287">
        <f t="shared" si="27"/>
        <v>8545134.5632611495</v>
      </c>
      <c r="W77" s="287">
        <f t="shared" si="27"/>
        <v>8674282.5538661461</v>
      </c>
      <c r="X77" s="287">
        <f t="shared" si="27"/>
        <v>8804969.6367667187</v>
      </c>
      <c r="Y77" s="287">
        <f t="shared" si="27"/>
        <v>8937200.4971208926</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2026</v>
      </c>
      <c r="D79" s="20"/>
      <c r="E79" s="289" t="str">
        <f t="shared" ref="E79:Y79" si="28">IF(E$72=$F$2+1,"STAB. YR.","")</f>
        <v/>
      </c>
      <c r="F79" s="289" t="str">
        <f t="shared" si="28"/>
        <v>STAB. YR.</v>
      </c>
      <c r="G79" s="289" t="str">
        <f t="shared" si="28"/>
        <v/>
      </c>
      <c r="H79" s="289" t="str">
        <f t="shared" si="28"/>
        <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5177169.5733333342</v>
      </c>
      <c r="G80" s="296">
        <f t="shared" si="29"/>
        <v>0</v>
      </c>
      <c r="H80" s="296">
        <f t="shared" si="29"/>
        <v>0</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5.9917821042178819E-2</v>
      </c>
      <c r="F81" s="344">
        <f t="shared" si="30"/>
        <v>5.9999999999999991E-2</v>
      </c>
      <c r="G81" s="344">
        <f t="shared" si="30"/>
        <v>8.5130124716435135E-2</v>
      </c>
      <c r="H81" s="344">
        <f t="shared" si="30"/>
        <v>8.5625469666758755E-2</v>
      </c>
      <c r="I81" s="344">
        <f t="shared" si="30"/>
        <v>8.6082431214328736E-2</v>
      </c>
      <c r="J81" s="344">
        <f t="shared" si="30"/>
        <v>8.6498310079019439E-2</v>
      </c>
      <c r="K81" s="344">
        <f t="shared" si="30"/>
        <v>8.6870275730620172E-2</v>
      </c>
      <c r="L81" s="344">
        <f t="shared" si="30"/>
        <v>8.7195360673253688E-2</v>
      </c>
      <c r="M81" s="344">
        <f t="shared" si="30"/>
        <v>8.747045449186068E-2</v>
      </c>
      <c r="N81" s="344">
        <f t="shared" si="30"/>
        <v>8.7692297651045567E-2</v>
      </c>
      <c r="O81" s="344">
        <f t="shared" si="30"/>
        <v>8.904897646209689E-2</v>
      </c>
      <c r="P81" s="344">
        <f t="shared" si="30"/>
        <v>9.0422859670820005E-2</v>
      </c>
      <c r="Q81" s="344">
        <f t="shared" si="30"/>
        <v>9.1814043135704529E-2</v>
      </c>
      <c r="R81" s="344">
        <f t="shared" si="30"/>
        <v>9.3222618426673537E-2</v>
      </c>
      <c r="S81" s="344">
        <f t="shared" si="30"/>
        <v>9.4648672584168259E-2</v>
      </c>
      <c r="T81" s="344">
        <f t="shared" si="30"/>
        <v>9.6092287869536969E-2</v>
      </c>
      <c r="U81" s="344">
        <f t="shared" si="30"/>
        <v>9.7553541506455024E-2</v>
      </c>
      <c r="V81" s="344">
        <f t="shared" si="30"/>
        <v>9.9032505413099783E-2</v>
      </c>
      <c r="W81" s="344">
        <f t="shared" si="30"/>
        <v>0.10052924592479036</v>
      </c>
      <c r="X81" s="344">
        <f t="shared" si="30"/>
        <v>0.10204382350680026</v>
      </c>
      <c r="Y81" s="344">
        <f t="shared" si="30"/>
        <v>0.10357629245703828</v>
      </c>
    </row>
    <row r="82" spans="1:25" s="20" customFormat="1" ht="13.9" customHeight="1">
      <c r="A82" s="3"/>
      <c r="B82" s="3"/>
      <c r="C82" s="21" t="s">
        <v>380</v>
      </c>
      <c r="E82" s="285">
        <f t="shared" ref="E82:Y82" si="31">IF(E$72=$F$2+1,E77,0)</f>
        <v>0</v>
      </c>
      <c r="F82" s="285">
        <f t="shared" si="31"/>
        <v>5177169.5733333342</v>
      </c>
      <c r="G82" s="285">
        <f t="shared" si="31"/>
        <v>0</v>
      </c>
      <c r="H82" s="285">
        <f t="shared" si="31"/>
        <v>0</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5.9917821042178819E-2</v>
      </c>
      <c r="F83" s="299">
        <f t="shared" si="32"/>
        <v>5.9999999999999991E-2</v>
      </c>
      <c r="G83" s="299">
        <f t="shared" si="32"/>
        <v>8.5130124716435135E-2</v>
      </c>
      <c r="H83" s="299">
        <f t="shared" si="32"/>
        <v>8.5625469666758755E-2</v>
      </c>
      <c r="I83" s="299">
        <f t="shared" si="32"/>
        <v>8.6082431214328736E-2</v>
      </c>
      <c r="J83" s="299">
        <f t="shared" si="32"/>
        <v>8.6498310079019439E-2</v>
      </c>
      <c r="K83" s="299">
        <f t="shared" si="32"/>
        <v>8.6870275730620172E-2</v>
      </c>
      <c r="L83" s="299">
        <f t="shared" si="32"/>
        <v>8.7195360673253688E-2</v>
      </c>
      <c r="M83" s="299">
        <f t="shared" si="32"/>
        <v>8.747045449186068E-2</v>
      </c>
      <c r="N83" s="299">
        <f t="shared" si="32"/>
        <v>8.7692297651045567E-2</v>
      </c>
      <c r="O83" s="299">
        <f t="shared" si="32"/>
        <v>8.904897646209689E-2</v>
      </c>
      <c r="P83" s="299">
        <f t="shared" si="32"/>
        <v>9.0422859670820005E-2</v>
      </c>
      <c r="Q83" s="299">
        <f t="shared" si="32"/>
        <v>9.1814043135704529E-2</v>
      </c>
      <c r="R83" s="299">
        <f t="shared" si="32"/>
        <v>9.3222618426673537E-2</v>
      </c>
      <c r="S83" s="299">
        <f t="shared" si="32"/>
        <v>9.4648672584168259E-2</v>
      </c>
      <c r="T83" s="299">
        <f t="shared" si="32"/>
        <v>9.6092287869536969E-2</v>
      </c>
      <c r="U83" s="299">
        <f t="shared" si="32"/>
        <v>9.7553541506455024E-2</v>
      </c>
      <c r="V83" s="299">
        <f t="shared" si="32"/>
        <v>9.9032505413099783E-2</v>
      </c>
      <c r="W83" s="299">
        <f t="shared" si="32"/>
        <v>0.10052924592479036</v>
      </c>
      <c r="X83" s="299">
        <f t="shared" si="32"/>
        <v>0.10204382350680026</v>
      </c>
      <c r="Y83" s="299">
        <f t="shared" si="32"/>
        <v>0.10357629245703828</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2026</v>
      </c>
      <c r="E85" s="289" t="str">
        <f t="shared" ref="E85:Y85" si="33">IF(E$72=$F$2+1,"STAB. YR.","")</f>
        <v/>
      </c>
      <c r="F85" s="289" t="str">
        <f t="shared" si="33"/>
        <v>STAB. YR.</v>
      </c>
      <c r="G85" s="289" t="str">
        <f t="shared" si="33"/>
        <v/>
      </c>
      <c r="H85" s="289" t="str">
        <f t="shared" si="33"/>
        <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4.1551182929767533E-3</v>
      </c>
      <c r="F86" s="299">
        <f t="shared" si="34"/>
        <v>8.0670077973017309E-3</v>
      </c>
      <c r="G86" s="299">
        <f t="shared" si="34"/>
        <v>5.1078074829861084E-2</v>
      </c>
      <c r="H86" s="299">
        <f t="shared" si="34"/>
        <v>5.1375281800055246E-2</v>
      </c>
      <c r="I86" s="299">
        <f t="shared" si="34"/>
        <v>5.1649458728597247E-2</v>
      </c>
      <c r="J86" s="299">
        <f t="shared" si="34"/>
        <v>5.1898986047411666E-2</v>
      </c>
      <c r="K86" s="299">
        <f t="shared" si="34"/>
        <v>5.2122165438372101E-2</v>
      </c>
      <c r="L86" s="299">
        <f t="shared" si="34"/>
        <v>5.2317216403952205E-2</v>
      </c>
      <c r="M86" s="299">
        <f t="shared" si="34"/>
        <v>5.2482272695116398E-2</v>
      </c>
      <c r="N86" s="299">
        <f t="shared" si="34"/>
        <v>5.2615378590627336E-2</v>
      </c>
      <c r="O86" s="299">
        <f t="shared" si="34"/>
        <v>5.3429385877258123E-2</v>
      </c>
      <c r="P86" s="299">
        <f t="shared" si="34"/>
        <v>5.4253715802491997E-2</v>
      </c>
      <c r="Q86" s="299">
        <f t="shared" si="34"/>
        <v>5.5088425881422716E-2</v>
      </c>
      <c r="R86" s="299">
        <f t="shared" si="34"/>
        <v>5.5933571056004119E-2</v>
      </c>
      <c r="S86" s="299">
        <f t="shared" si="34"/>
        <v>5.6789203550500954E-2</v>
      </c>
      <c r="T86" s="299">
        <f t="shared" si="34"/>
        <v>5.7655372721722178E-2</v>
      </c>
      <c r="U86" s="299">
        <f t="shared" si="34"/>
        <v>5.8532124903873002E-2</v>
      </c>
      <c r="V86" s="299">
        <f t="shared" si="34"/>
        <v>5.941950324785987E-2</v>
      </c>
      <c r="W86" s="299">
        <f t="shared" si="34"/>
        <v>6.0317547554874215E-2</v>
      </c>
      <c r="X86" s="299">
        <f t="shared" si="34"/>
        <v>6.1226294104080148E-2</v>
      </c>
      <c r="Y86" s="299">
        <f t="shared" si="34"/>
        <v>6.2145775474222967E-2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B004E-922F-4EE2-B971-ECD673386851}">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321</v>
      </c>
      <c r="E1" s="275" t="str">
        <f>INDEX('01_Property Summary'!$E$5:$E$21,MATCH($C$1,'01_Property Summary'!$C$5:$C$21,0))</f>
        <v>Surrey</v>
      </c>
      <c r="F1" s="332" t="s">
        <v>536</v>
      </c>
      <c r="G1" s="333" t="s">
        <v>102</v>
      </c>
      <c r="J1" s="450" t="s">
        <v>308</v>
      </c>
      <c r="K1" s="424"/>
      <c r="L1" s="424"/>
      <c r="M1" s="424"/>
      <c r="N1" s="424"/>
      <c r="O1" s="424"/>
      <c r="P1" s="3"/>
      <c r="Q1" s="3"/>
      <c r="R1" s="3"/>
      <c r="S1" s="3"/>
      <c r="T1" s="3"/>
    </row>
    <row r="2" spans="3:25" ht="14.45" customHeight="1">
      <c r="C2" s="300" t="s">
        <v>537</v>
      </c>
      <c r="E2" s="334">
        <f>_xlfn.LET(_xlpm.refi,INDEX('02_Debt Engine'!$F$19:$F$35,MATCH($C$1,'02_Debt Engine'!$B$19:$B$35,0)),
_xlpm.refiyr,INDEX('02_Debt Engine'!$I$19:$I$35,MATCH($C$1,'02_Debt Engine'!$B$19:$B$35,0)),IF(_xlpm.refi="Yes",_xlpm.refiyr,"No Refi"))</f>
        <v>2034</v>
      </c>
      <c r="F2" s="334">
        <f>INDEX('01_Property Summary'!$F$5:$F$21,MATCH($C$1,'01_Property Summary'!$C$5:$C$21,0))</f>
        <v>2025</v>
      </c>
      <c r="G2" s="334">
        <f>INDEX('01_Property Summary'!$K$4:$K$21,MATCH($C$1,'01_Property Summary'!$C$4:$C$21,0))</f>
        <v>2026</v>
      </c>
      <c r="J2" s="278" t="str">
        <f>"Gate 1 — NOI ≥ 0 at stabilization ("&amp;$F$2+1&amp;"):"</f>
        <v>Gate 1 — NOI ≥ 0 at stabilization (2026):</v>
      </c>
      <c r="M2" s="451" t="str">
        <f>_xlfn.LET(_xlpm.stabnoi,INDEX($41:$41,MATCH(($F$2+1),$12:$12,0)),IF(_xlpm.stabnoi&gt;=0,"PASS — NOI $"&amp;TEXT(_xlpm.stabnoi,"#,##0"),"FAIL — NOI $"&amp;TEXT(_xlpm.stabnoi,"#,##0")))</f>
        <v>PASS — NOI $469,146</v>
      </c>
      <c r="N2" s="424"/>
      <c r="O2" s="424"/>
      <c r="S2" s="6"/>
    </row>
    <row r="3" spans="3:25" ht="14.45" customHeight="1">
      <c r="C3" s="300" t="s">
        <v>538</v>
      </c>
      <c r="E3" s="334">
        <f>INDEX('01_Property Summary'!$S$5:$S$21,MATCH($C$1,'01_Property Summary'!$C$5:$C$21,0))</f>
        <v>49</v>
      </c>
      <c r="F3" s="335">
        <f>'01_Assumptions'!$C$14</f>
        <v>0.1</v>
      </c>
      <c r="G3" s="335">
        <f>'01_Assumptions'!$C$15</f>
        <v>0.2</v>
      </c>
      <c r="J3" s="278" t="str">
        <f>"Gate 2 — DSCR ≥ 1.0× at stabilization ("&amp;$F$2+1&amp;"):"</f>
        <v>Gate 2 — DSCR ≥ 1.0× at stabilization (2026):</v>
      </c>
      <c r="M3" s="451" t="str">
        <f>_xlfn.LET(_xlpm.debt,INDEX($48:$48,MATCH(($F$2+1),$12:$12,0)),_xlpm.dscr,INDEX($50:$50,MATCH(($F$2+1),$12:$12,0)),
IF(_xlpm.debt=0,"PASS — no debt svc",IF(IFERROR(_xlpm.dscr,0)&gt;=1,"PASS — DSCR "&amp;TEXT(IFERROR(_xlpm.dscr,0),"0.00")&amp;"x","FAIL — DSCR "&amp;TEXT(IFERROR(_xlpm.dscr,0),"0.00")&amp;"x")))</f>
        <v>PASS — DSCR 1.06x</v>
      </c>
      <c r="N3" s="424"/>
      <c r="O3" s="424"/>
      <c r="S3" s="6"/>
    </row>
    <row r="4" spans="3:25" ht="14.45" customHeight="1">
      <c r="C4" s="300" t="s">
        <v>539</v>
      </c>
      <c r="E4" s="336">
        <f>INDEX('02_Rent Engine'!$H$5:$H$21,MATCH($C$1,'02_Rent Engine'!$B$5:$B$21,0))</f>
        <v>1020.4081632653061</v>
      </c>
      <c r="F4" s="336">
        <f>INDEX('02_Rent Engine'!$J$5:$J$21,MATCH($C$1,'02_Rent Engine'!$B$5:$B$21,0))</f>
        <v>2659.25</v>
      </c>
      <c r="G4" s="336">
        <f>($F$3*$F$4)+((1-$F$3)*$E$4)</f>
        <v>1184.2923469387756</v>
      </c>
      <c r="J4" s="280" t="s">
        <v>309</v>
      </c>
      <c r="M4" s="451" t="str">
        <f>IF(AND($J$52&gt;0,$O$52&gt;0),"PASS — AFFO $"&amp;TEXT($J$52,"#,##0")&amp;" (2030) / $"&amp;TEXT($O$52,"#,##0")&amp;" (2035)","FAIL — AFFO $"&amp;TEXT($J$52,"#,##0")&amp;" (2030) / $"&amp;TEXT($O$52,"#,##0")&amp;" (2035)")</f>
        <v>PASS — AFFO $36,370 (2030) / $170,734 (2035)</v>
      </c>
      <c r="N4" s="424"/>
      <c r="O4" s="424"/>
      <c r="S4" s="6"/>
    </row>
    <row r="5" spans="3:25" ht="14.45" customHeight="1">
      <c r="C5" s="337" t="str">
        <f>"Rent Growth — (pre / post Op. Agrmt. Expiry: "&amp;$G$2&amp;")"</f>
        <v>Rent Growth — (pre / post Op. Agrmt. Expiry: 2026)</v>
      </c>
      <c r="E5" s="338">
        <f>'01_Assumptions'!$C$5</f>
        <v>0.02</v>
      </c>
      <c r="F5" s="338">
        <f>'01_Assumptions'!$C$6</f>
        <v>0.02</v>
      </c>
      <c r="G5" s="32"/>
      <c r="L5" s="6"/>
      <c r="M5" s="6"/>
      <c r="R5" s="6"/>
      <c r="S5" s="6"/>
    </row>
    <row r="6" spans="3:25" ht="13.9" customHeight="1">
      <c r="C6" s="337" t="str">
        <f>"OpEx Growth — (pre / post Op. Agrmt. Expiry: "&amp;$G$2&amp;")"</f>
        <v>OpEx Growth — (pre / post Op. Agrmt. Expiry: 2026)</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CMLS</v>
      </c>
      <c r="F8" s="336">
        <f>INDEX('01_Property Summary'!$Q$5:$Q$21,MATCH($C$1,'01_Property Summary'!$C$5:$C$21,0))</f>
        <v>0</v>
      </c>
      <c r="G8" s="334">
        <f>INDEX('02_Debt Engine'!$I$19:$I$35,MATCH($C$1,'02_Debt Engine'!$B$19:$B$35,0))</f>
        <v>2034</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696363.9</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808582.35600000015</v>
      </c>
      <c r="G13" s="283">
        <f t="shared" si="1"/>
        <v>824754.00312000001</v>
      </c>
      <c r="H13" s="283">
        <f t="shared" si="1"/>
        <v>841249.08318240009</v>
      </c>
      <c r="I13" s="283">
        <f t="shared" si="1"/>
        <v>858074.06484604813</v>
      </c>
      <c r="J13" s="283">
        <f t="shared" si="1"/>
        <v>875235.54614296905</v>
      </c>
      <c r="K13" s="283">
        <f t="shared" si="1"/>
        <v>892740.25706582842</v>
      </c>
      <c r="L13" s="283">
        <f t="shared" si="1"/>
        <v>910595.06220714469</v>
      </c>
      <c r="M13" s="283">
        <f t="shared" si="1"/>
        <v>928806.96345128771</v>
      </c>
      <c r="N13" s="283">
        <f t="shared" si="1"/>
        <v>947383.10272031359</v>
      </c>
      <c r="O13" s="283">
        <f t="shared" si="1"/>
        <v>966330.76477471995</v>
      </c>
      <c r="P13" s="283">
        <f t="shared" si="1"/>
        <v>985657.38007021404</v>
      </c>
      <c r="Q13" s="283">
        <f t="shared" si="1"/>
        <v>1005370.5276716186</v>
      </c>
      <c r="R13" s="283">
        <f t="shared" si="1"/>
        <v>1025477.9382250509</v>
      </c>
      <c r="S13" s="283">
        <f t="shared" si="1"/>
        <v>1045987.4969895518</v>
      </c>
      <c r="T13" s="283">
        <f t="shared" si="1"/>
        <v>1066907.2469293426</v>
      </c>
      <c r="U13" s="283">
        <f t="shared" si="1"/>
        <v>1088245.3918679298</v>
      </c>
      <c r="V13" s="283">
        <f t="shared" si="1"/>
        <v>1110010.2997052884</v>
      </c>
      <c r="W13" s="283">
        <f t="shared" si="1"/>
        <v>1132210.5056993943</v>
      </c>
      <c r="X13" s="283">
        <f t="shared" si="1"/>
        <v>1154854.7158133821</v>
      </c>
      <c r="Y13" s="283">
        <f t="shared" si="1"/>
        <v>1177951.8101296497</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row>
    <row r="19" spans="3:25" ht="13.5" customHeight="1">
      <c r="C19" s="3" t="s">
        <v>336</v>
      </c>
      <c r="E19" s="285">
        <f t="shared" ref="E19:Y19" si="2">SUM(E14:E18)</f>
        <v>0</v>
      </c>
      <c r="F19" s="285">
        <f t="shared" si="2"/>
        <v>0</v>
      </c>
      <c r="G19" s="285">
        <f t="shared" si="2"/>
        <v>0</v>
      </c>
      <c r="H19" s="285">
        <f t="shared" si="2"/>
        <v>0</v>
      </c>
      <c r="I19" s="285">
        <f t="shared" si="2"/>
        <v>0</v>
      </c>
      <c r="J19" s="285">
        <f t="shared" si="2"/>
        <v>0</v>
      </c>
      <c r="K19" s="285">
        <f t="shared" si="2"/>
        <v>0</v>
      </c>
      <c r="L19" s="285">
        <f t="shared" si="2"/>
        <v>0</v>
      </c>
      <c r="M19" s="285">
        <f t="shared" si="2"/>
        <v>0</v>
      </c>
      <c r="N19" s="285">
        <f t="shared" si="2"/>
        <v>0</v>
      </c>
      <c r="O19" s="285">
        <f t="shared" si="2"/>
        <v>0</v>
      </c>
      <c r="P19" s="285">
        <f t="shared" si="2"/>
        <v>0</v>
      </c>
      <c r="Q19" s="285">
        <f t="shared" si="2"/>
        <v>0</v>
      </c>
      <c r="R19" s="285">
        <f t="shared" si="2"/>
        <v>0</v>
      </c>
      <c r="S19" s="285">
        <f t="shared" si="2"/>
        <v>0</v>
      </c>
      <c r="T19" s="285">
        <f t="shared" si="2"/>
        <v>0</v>
      </c>
      <c r="U19" s="285">
        <f t="shared" si="2"/>
        <v>0</v>
      </c>
      <c r="V19" s="285">
        <f t="shared" si="2"/>
        <v>0</v>
      </c>
      <c r="W19" s="285">
        <f t="shared" si="2"/>
        <v>0</v>
      </c>
      <c r="X19" s="285">
        <f t="shared" si="2"/>
        <v>0</v>
      </c>
      <c r="Y19" s="285">
        <f t="shared" si="2"/>
        <v>0</v>
      </c>
    </row>
    <row r="20" spans="3:25" ht="13.5" customHeight="1">
      <c r="C20" s="10" t="s">
        <v>337</v>
      </c>
      <c r="E20" s="283">
        <f t="shared" ref="E20:Y20" si="3">E13+E19</f>
        <v>696363.9</v>
      </c>
      <c r="F20" s="283">
        <f t="shared" si="3"/>
        <v>808582.35600000015</v>
      </c>
      <c r="G20" s="283">
        <f t="shared" si="3"/>
        <v>824754.00312000001</v>
      </c>
      <c r="H20" s="283">
        <f t="shared" si="3"/>
        <v>841249.08318240009</v>
      </c>
      <c r="I20" s="283">
        <f t="shared" si="3"/>
        <v>858074.06484604813</v>
      </c>
      <c r="J20" s="283">
        <f t="shared" si="3"/>
        <v>875235.54614296905</v>
      </c>
      <c r="K20" s="283">
        <f t="shared" si="3"/>
        <v>892740.25706582842</v>
      </c>
      <c r="L20" s="283">
        <f t="shared" si="3"/>
        <v>910595.06220714469</v>
      </c>
      <c r="M20" s="283">
        <f t="shared" si="3"/>
        <v>928806.96345128771</v>
      </c>
      <c r="N20" s="283">
        <f t="shared" si="3"/>
        <v>947383.10272031359</v>
      </c>
      <c r="O20" s="283">
        <f t="shared" si="3"/>
        <v>966330.76477471995</v>
      </c>
      <c r="P20" s="283">
        <f t="shared" si="3"/>
        <v>985657.38007021404</v>
      </c>
      <c r="Q20" s="283">
        <f t="shared" si="3"/>
        <v>1005370.5276716186</v>
      </c>
      <c r="R20" s="283">
        <f t="shared" si="3"/>
        <v>1025477.9382250509</v>
      </c>
      <c r="S20" s="283">
        <f t="shared" si="3"/>
        <v>1045987.4969895518</v>
      </c>
      <c r="T20" s="283">
        <f t="shared" si="3"/>
        <v>1066907.2469293426</v>
      </c>
      <c r="U20" s="283">
        <f t="shared" si="3"/>
        <v>1088245.3918679298</v>
      </c>
      <c r="V20" s="283">
        <f t="shared" si="3"/>
        <v>1110010.2997052884</v>
      </c>
      <c r="W20" s="283">
        <f t="shared" si="3"/>
        <v>1132210.5056993943</v>
      </c>
      <c r="X20" s="283">
        <f t="shared" si="3"/>
        <v>1154854.7158133821</v>
      </c>
      <c r="Y20" s="283">
        <f t="shared" si="3"/>
        <v>1177951.8101296497</v>
      </c>
    </row>
    <row r="21" spans="3:25" ht="13.5" customHeight="1">
      <c r="C21" s="11" t="s">
        <v>338</v>
      </c>
      <c r="E21" s="284">
        <f t="shared" ref="E21:Y21" si="4">-E20*$E$7</f>
        <v>-13927.278</v>
      </c>
      <c r="F21" s="284">
        <f t="shared" si="4"/>
        <v>-16171.647120000003</v>
      </c>
      <c r="G21" s="284">
        <f t="shared" si="4"/>
        <v>-16495.0800624</v>
      </c>
      <c r="H21" s="284">
        <f t="shared" si="4"/>
        <v>-16824.981663648003</v>
      </c>
      <c r="I21" s="284">
        <f t="shared" si="4"/>
        <v>-17161.481296920963</v>
      </c>
      <c r="J21" s="284">
        <f t="shared" si="4"/>
        <v>-17504.71092285938</v>
      </c>
      <c r="K21" s="284">
        <f t="shared" si="4"/>
        <v>-17854.80514131657</v>
      </c>
      <c r="L21" s="284">
        <f t="shared" si="4"/>
        <v>-18211.901244142893</v>
      </c>
      <c r="M21" s="284">
        <f t="shared" si="4"/>
        <v>-18576.139269025756</v>
      </c>
      <c r="N21" s="284">
        <f t="shared" si="4"/>
        <v>-18947.662054406272</v>
      </c>
      <c r="O21" s="284">
        <f t="shared" si="4"/>
        <v>-19326.615295494401</v>
      </c>
      <c r="P21" s="284">
        <f t="shared" si="4"/>
        <v>-19713.147601404282</v>
      </c>
      <c r="Q21" s="284">
        <f t="shared" si="4"/>
        <v>-20107.410553432372</v>
      </c>
      <c r="R21" s="284">
        <f t="shared" si="4"/>
        <v>-20509.55876450102</v>
      </c>
      <c r="S21" s="284">
        <f t="shared" si="4"/>
        <v>-20919.749939791036</v>
      </c>
      <c r="T21" s="284">
        <f t="shared" si="4"/>
        <v>-21338.144938586855</v>
      </c>
      <c r="U21" s="284">
        <f t="shared" si="4"/>
        <v>-21764.907837358598</v>
      </c>
      <c r="V21" s="284">
        <f t="shared" si="4"/>
        <v>-22200.205994105767</v>
      </c>
      <c r="W21" s="284">
        <f t="shared" si="4"/>
        <v>-22644.210113987887</v>
      </c>
      <c r="X21" s="284">
        <f t="shared" si="4"/>
        <v>-23097.094316267641</v>
      </c>
      <c r="Y21" s="284">
        <f t="shared" si="4"/>
        <v>-23559.036202592994</v>
      </c>
    </row>
    <row r="22" spans="3:25" ht="13.5" customHeight="1">
      <c r="C22" s="3" t="s">
        <v>339</v>
      </c>
      <c r="E22" s="285">
        <f t="shared" ref="E22:Y22" si="5">E20+E21</f>
        <v>682436.62199999997</v>
      </c>
      <c r="F22" s="285">
        <f t="shared" si="5"/>
        <v>792410.70888000017</v>
      </c>
      <c r="G22" s="285">
        <f t="shared" si="5"/>
        <v>808258.92305760004</v>
      </c>
      <c r="H22" s="285">
        <f t="shared" si="5"/>
        <v>824424.10151875205</v>
      </c>
      <c r="I22" s="285">
        <f t="shared" si="5"/>
        <v>840912.58354912722</v>
      </c>
      <c r="J22" s="285">
        <f t="shared" si="5"/>
        <v>857730.83522010967</v>
      </c>
      <c r="K22" s="285">
        <f t="shared" si="5"/>
        <v>874885.45192451181</v>
      </c>
      <c r="L22" s="285">
        <f t="shared" si="5"/>
        <v>892383.16096300178</v>
      </c>
      <c r="M22" s="285">
        <f t="shared" si="5"/>
        <v>910230.82418226195</v>
      </c>
      <c r="N22" s="285">
        <f t="shared" si="5"/>
        <v>928435.44066590734</v>
      </c>
      <c r="O22" s="285">
        <f t="shared" si="5"/>
        <v>947004.14947922551</v>
      </c>
      <c r="P22" s="285">
        <f t="shared" si="5"/>
        <v>965944.23246880982</v>
      </c>
      <c r="Q22" s="285">
        <f t="shared" si="5"/>
        <v>985263.1171181862</v>
      </c>
      <c r="R22" s="285">
        <f t="shared" si="5"/>
        <v>1004968.3794605499</v>
      </c>
      <c r="S22" s="285">
        <f t="shared" si="5"/>
        <v>1025067.7470497608</v>
      </c>
      <c r="T22" s="285">
        <f t="shared" si="5"/>
        <v>1045569.1019907558</v>
      </c>
      <c r="U22" s="285">
        <f t="shared" si="5"/>
        <v>1066480.4840305713</v>
      </c>
      <c r="V22" s="285">
        <f t="shared" si="5"/>
        <v>1087810.0937111827</v>
      </c>
      <c r="W22" s="285">
        <f t="shared" si="5"/>
        <v>1109566.2955854065</v>
      </c>
      <c r="X22" s="285">
        <f t="shared" si="5"/>
        <v>1131757.6214971144</v>
      </c>
      <c r="Y22" s="285">
        <f t="shared" si="5"/>
        <v>1154392.7739270567</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682436.62199999997</v>
      </c>
      <c r="F24" s="286">
        <f t="shared" si="7"/>
        <v>792410.70888000017</v>
      </c>
      <c r="G24" s="286">
        <f t="shared" si="7"/>
        <v>808258.92305760004</v>
      </c>
      <c r="H24" s="286">
        <f t="shared" si="7"/>
        <v>824424.10151875205</v>
      </c>
      <c r="I24" s="286">
        <f t="shared" si="7"/>
        <v>840912.58354912722</v>
      </c>
      <c r="J24" s="286">
        <f t="shared" si="7"/>
        <v>857730.83522010967</v>
      </c>
      <c r="K24" s="286">
        <f t="shared" si="7"/>
        <v>874885.45192451181</v>
      </c>
      <c r="L24" s="286">
        <f t="shared" si="7"/>
        <v>892383.16096300178</v>
      </c>
      <c r="M24" s="286">
        <f t="shared" si="7"/>
        <v>910230.82418226195</v>
      </c>
      <c r="N24" s="286">
        <f t="shared" si="7"/>
        <v>928435.44066590734</v>
      </c>
      <c r="O24" s="286">
        <f t="shared" si="7"/>
        <v>947004.14947922551</v>
      </c>
      <c r="P24" s="286">
        <f t="shared" si="7"/>
        <v>965944.23246880982</v>
      </c>
      <c r="Q24" s="286">
        <f t="shared" si="7"/>
        <v>985263.1171181862</v>
      </c>
      <c r="R24" s="286">
        <f t="shared" si="7"/>
        <v>1004968.3794605499</v>
      </c>
      <c r="S24" s="286">
        <f t="shared" si="7"/>
        <v>1025067.7470497608</v>
      </c>
      <c r="T24" s="286">
        <f t="shared" si="7"/>
        <v>1045569.1019907558</v>
      </c>
      <c r="U24" s="286">
        <f t="shared" si="7"/>
        <v>1066480.4840305713</v>
      </c>
      <c r="V24" s="286">
        <f t="shared" si="7"/>
        <v>1087810.0937111827</v>
      </c>
      <c r="W24" s="286">
        <f t="shared" si="7"/>
        <v>1109566.2955854065</v>
      </c>
      <c r="X24" s="286">
        <f t="shared" si="7"/>
        <v>1131757.6214971144</v>
      </c>
      <c r="Y24" s="286">
        <f t="shared" si="7"/>
        <v>1154392.7739270567</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32250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33540</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34881.600000000006</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36276.864000000001</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37727.93856000001</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39237.056102400013</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40806.53834649601</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42438.799880355851</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44136.351875570093</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45901.805950592898</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47049.351099357715</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48225.584876841654</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49431.224498762698</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50667.00511123176</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51933.680239012545</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53232.022244987864</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54562.822801112561</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55926.893371140366</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57325.065705418863</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58758.192348054341</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60227.147156755702</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1800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1872</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1946.88</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2024.7552000000001</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2105.7454080000002</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2189.9752243200005</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2277.5742332928007</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2368.6772026245126</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2463.4242907294934</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2561.9612623586731</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2626.01029391764</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2691.660551265581</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2758.9520650472205</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2827.9258666734004</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2898.6240133402353</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2971.089613673741</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3045.3668540155845</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3121.5010253659739</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3199.5385510001229</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3279.5270147751257</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3361.5151901445042</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45214</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47022.560000000005</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48903.462400000004</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50859.600896000004</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52893.984931840008</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55009.744329113615</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57210.134102278163</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59498.539466369279</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61878.481045024062</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64353.620286825033</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65962.460793995648</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67611.522313845548</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69301.810371691681</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71034.355630983962</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72810.214521758549</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74630.469884802515</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76496.231631922579</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78408.63742272064</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80368.853358288645</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82378.074692245864</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84437.526559552003</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30000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31200</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32448.000000000004</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33745.920000000006</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35095.756800000003</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36499.587072000009</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37959.570554880011</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39477.95337707521</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41057.071512158225</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42699.354372644557</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43766.838231960668</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44861.009187759679</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45982.534417453673</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47132.097777890012</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48310.400222337252</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49518.160227895685</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50756.114233593078</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52025.017089432899</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53325.642516668711</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54658.783579585433</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56025.253169075069</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47000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48880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50835.200000000004</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52868.608000000007</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54983.352320000013</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57182.686412800016</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59469.99386931202</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61848.793624084494</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64322.74536904788</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66895.655183809809</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68568.046563405049</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70282.247727490161</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72039.303920677427</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73840.286518694353</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75686.2936816617</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77578.451023703237</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79517.912299295815</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81505.860106778215</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83543.50660944765</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85632.094274683841</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87772.896631550946</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15000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15600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16224.000000000002</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16872.960000000003</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17547.878400000001</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18249.793536000005</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18979.785277440005</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19738.976688537605</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20528.535756079113</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21349.677186322278</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21883.419115980334</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22430.504593879839</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22991.267208726837</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23566.048888945006</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24155.200111168626</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24759.080113947843</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25378.057116796539</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26012.508544716449</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26662.821258334356</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27329.391789792717</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28012.626584537535</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1155</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1201.2</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1249.248</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1299.21792</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1351.1866368000003</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1405.2341022720004</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1461.4434663628804</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1519.9012050173956</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1580.6972532180916</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1643.9251433468155</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1685.0232719304856</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1727.1488537287478</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1770.3275750719665</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1814.5857644487653</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1859.9504085599842</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1906.449168773984</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1954.1103979933334</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2002.9631579431666</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2053.0372368917456</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2104.3631678140391</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2156.9722470093902</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4200</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4368</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4542.72</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4724.4288000000006</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4913.405952000001</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5109.9421900800016</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5314.3398776832018</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5526.9134727905293</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5747.9900117021516</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5977.9096121702378</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6127.3573524744934</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6280.541286286355</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6437.5548184435147</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6598.4936889046012</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6763.4560311272153</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6932.5424319053964</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7105.855992703031</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7283.502392520606</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7465.5899523336193</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7652.2297011419605</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7843.5354436705093</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45150</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46956</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48834.240000000005</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50787.609600000003</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52819.113984000011</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54931.878543360013</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57129.153685094418</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59414.319832498186</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61790.892625798129</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64262.528330830057</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65869.091539100802</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67515.818827578318</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69203.714298267776</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70933.807155724469</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72707.152334617567</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74524.831142983006</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76387.951921557586</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78297.65071959651</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80255.091987586406</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82261.469287276079</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84318.006019457986</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70162</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72968.479999999996</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75887.219200000007</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78922.707968000002</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82079.616286720018</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85362.800938188826</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88777.312975716384</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92328.40549474502</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96021.541714534847</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99862.403383116238</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102358.96346769414</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104917.93755438649</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107540.88599324616</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110229.40814307729</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112985.14334665421</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115809.77193032057</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118705.01622857858</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121672.64163429305</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124714.45767515033</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127832.31911702911</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131028.12709495483</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18900</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19656</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20442.240000000002</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21259.929600000003</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22110.326784000004</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22994.739855360007</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23914.529449574406</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24871.11062755738</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25865.955052659679</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26900.59325476607</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27573.10808613522</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28262.4357882886</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28968.996682995814</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29693.221600070705</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30435.552140072468</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31196.440943574282</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31976.351967163639</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32775.760766342726</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33595.15478550129</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34435.033655138825</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35295.909496517292</v>
      </c>
    </row>
    <row r="39" spans="3:25" ht="13.15" customHeight="1">
      <c r="C39" s="14" t="s">
        <v>355</v>
      </c>
      <c r="E39" s="286">
        <f t="shared" ref="E39:Y39" si="8">SUM(E27:E38)</f>
        <v>310831</v>
      </c>
      <c r="F39" s="286">
        <f t="shared" si="8"/>
        <v>323264.24</v>
      </c>
      <c r="G39" s="286">
        <f t="shared" si="8"/>
        <v>336194.80959999998</v>
      </c>
      <c r="H39" s="286">
        <f t="shared" si="8"/>
        <v>349642.60198400007</v>
      </c>
      <c r="I39" s="286">
        <f t="shared" si="8"/>
        <v>363628.30606336007</v>
      </c>
      <c r="J39" s="286">
        <f t="shared" si="8"/>
        <v>378173.43830589449</v>
      </c>
      <c r="K39" s="286">
        <f t="shared" si="8"/>
        <v>393300.37583813031</v>
      </c>
      <c r="L39" s="286">
        <f t="shared" si="8"/>
        <v>409032.39087165549</v>
      </c>
      <c r="M39" s="286">
        <f t="shared" si="8"/>
        <v>425393.68650652177</v>
      </c>
      <c r="N39" s="286">
        <f t="shared" si="8"/>
        <v>442409.4339667827</v>
      </c>
      <c r="O39" s="286">
        <f t="shared" si="8"/>
        <v>453469.66981595219</v>
      </c>
      <c r="P39" s="286">
        <f t="shared" si="8"/>
        <v>464806.41156135104</v>
      </c>
      <c r="Q39" s="286">
        <f t="shared" si="8"/>
        <v>476426.5718503847</v>
      </c>
      <c r="R39" s="286">
        <f t="shared" si="8"/>
        <v>488337.23614664434</v>
      </c>
      <c r="S39" s="286">
        <f t="shared" si="8"/>
        <v>500545.66705031029</v>
      </c>
      <c r="T39" s="286">
        <f t="shared" si="8"/>
        <v>513059.30872656812</v>
      </c>
      <c r="U39" s="286">
        <f t="shared" si="8"/>
        <v>525885.79144473246</v>
      </c>
      <c r="V39" s="286">
        <f t="shared" si="8"/>
        <v>539032.93623085052</v>
      </c>
      <c r="W39" s="286">
        <f t="shared" si="8"/>
        <v>552508.75963662181</v>
      </c>
      <c r="X39" s="286">
        <f t="shared" si="8"/>
        <v>566321.47862753726</v>
      </c>
      <c r="Y39" s="286">
        <f t="shared" si="8"/>
        <v>580479.51559322583</v>
      </c>
    </row>
    <row r="40" spans="3:25" ht="7.15" customHeight="1"/>
    <row r="41" spans="3:25" ht="13.5" customHeight="1">
      <c r="C41" s="15" t="s">
        <v>356</v>
      </c>
      <c r="D41" s="8"/>
      <c r="E41" s="287">
        <f t="shared" ref="E41:Y41" si="9">E24-E39</f>
        <v>371605.62199999997</v>
      </c>
      <c r="F41" s="287">
        <f t="shared" si="9"/>
        <v>469146.46888000017</v>
      </c>
      <c r="G41" s="287">
        <f t="shared" si="9"/>
        <v>472064.11345760006</v>
      </c>
      <c r="H41" s="287">
        <f t="shared" si="9"/>
        <v>474781.49953475199</v>
      </c>
      <c r="I41" s="287">
        <f t="shared" si="9"/>
        <v>477284.27748576715</v>
      </c>
      <c r="J41" s="287">
        <f t="shared" si="9"/>
        <v>479557.39691421518</v>
      </c>
      <c r="K41" s="287">
        <f t="shared" si="9"/>
        <v>481585.07608638151</v>
      </c>
      <c r="L41" s="287">
        <f t="shared" si="9"/>
        <v>483350.77009134629</v>
      </c>
      <c r="M41" s="287">
        <f t="shared" si="9"/>
        <v>484837.13767574017</v>
      </c>
      <c r="N41" s="287">
        <f t="shared" si="9"/>
        <v>486026.00669912464</v>
      </c>
      <c r="O41" s="287">
        <f t="shared" si="9"/>
        <v>493534.47966327332</v>
      </c>
      <c r="P41" s="287">
        <f t="shared" si="9"/>
        <v>501137.82090745878</v>
      </c>
      <c r="Q41" s="287">
        <f t="shared" si="9"/>
        <v>508836.5452678015</v>
      </c>
      <c r="R41" s="287">
        <f t="shared" si="9"/>
        <v>516631.14331390557</v>
      </c>
      <c r="S41" s="287">
        <f t="shared" si="9"/>
        <v>524522.07999945048</v>
      </c>
      <c r="T41" s="287">
        <f t="shared" si="9"/>
        <v>532509.79326418764</v>
      </c>
      <c r="U41" s="287">
        <f t="shared" si="9"/>
        <v>540594.69258583884</v>
      </c>
      <c r="V41" s="287">
        <f t="shared" si="9"/>
        <v>548777.15748033219</v>
      </c>
      <c r="W41" s="287">
        <f t="shared" si="9"/>
        <v>557057.53594878467</v>
      </c>
      <c r="X41" s="287">
        <f t="shared" si="9"/>
        <v>565436.14286957716</v>
      </c>
      <c r="Y41" s="287">
        <f t="shared" si="9"/>
        <v>573913.25833383086</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
      </c>
      <c r="J43" s="288" t="str">
        <f t="shared" si="10"/>
        <v/>
      </c>
      <c r="K43" s="288" t="str">
        <f t="shared" si="10"/>
        <v/>
      </c>
      <c r="L43" s="288" t="str">
        <f t="shared" si="10"/>
        <v/>
      </c>
      <c r="M43" s="288" t="str">
        <f t="shared" si="10"/>
        <v/>
      </c>
      <c r="N43" s="288" t="str">
        <f t="shared" si="10"/>
        <v>REFI YR.</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7350</v>
      </c>
      <c r="F44" s="283">
        <f t="shared" si="11"/>
        <v>7497</v>
      </c>
      <c r="G44" s="283">
        <f t="shared" si="11"/>
        <v>7646.94</v>
      </c>
      <c r="H44" s="283">
        <f t="shared" si="11"/>
        <v>7799.8787999999995</v>
      </c>
      <c r="I44" s="283">
        <f t="shared" si="11"/>
        <v>7955.8763760000002</v>
      </c>
      <c r="J44" s="283">
        <f t="shared" si="11"/>
        <v>8114.9939035200005</v>
      </c>
      <c r="K44" s="283">
        <f t="shared" si="11"/>
        <v>8277.2937815904006</v>
      </c>
      <c r="L44" s="283">
        <f t="shared" si="11"/>
        <v>8442.8396572222064</v>
      </c>
      <c r="M44" s="283">
        <f t="shared" si="11"/>
        <v>8611.6964503666513</v>
      </c>
      <c r="N44" s="283">
        <f t="shared" si="11"/>
        <v>8783.9303793739855</v>
      </c>
      <c r="O44" s="283">
        <f t="shared" si="11"/>
        <v>8959.6089869614643</v>
      </c>
      <c r="P44" s="283">
        <f t="shared" si="11"/>
        <v>9138.8011667006922</v>
      </c>
      <c r="Q44" s="283">
        <f t="shared" si="11"/>
        <v>9321.5771900347081</v>
      </c>
      <c r="R44" s="283">
        <f t="shared" si="11"/>
        <v>9508.0087338354006</v>
      </c>
      <c r="S44" s="283">
        <f t="shared" si="11"/>
        <v>9698.1689085121106</v>
      </c>
      <c r="T44" s="283">
        <f t="shared" si="11"/>
        <v>9892.1322866823502</v>
      </c>
      <c r="U44" s="283">
        <f t="shared" si="11"/>
        <v>10089.974932415998</v>
      </c>
      <c r="V44" s="283">
        <f t="shared" si="11"/>
        <v>10291.774431064319</v>
      </c>
      <c r="W44" s="283">
        <f t="shared" si="11"/>
        <v>10497.609919685605</v>
      </c>
      <c r="X44" s="283">
        <f t="shared" si="11"/>
        <v>10707.562118079317</v>
      </c>
      <c r="Y44" s="283">
        <f t="shared" si="11"/>
        <v>10921.713360440903</v>
      </c>
    </row>
    <row r="45" spans="3:25" ht="13.5" customHeight="1">
      <c r="C45" s="15" t="s">
        <v>359</v>
      </c>
      <c r="D45" s="8"/>
      <c r="E45" s="287">
        <f t="shared" ref="E45:Y45" si="12">E41-E44</f>
        <v>364255.62199999997</v>
      </c>
      <c r="F45" s="287">
        <f t="shared" si="12"/>
        <v>461649.46888000017</v>
      </c>
      <c r="G45" s="287">
        <f t="shared" si="12"/>
        <v>464417.17345760006</v>
      </c>
      <c r="H45" s="287">
        <f t="shared" si="12"/>
        <v>466981.62073475198</v>
      </c>
      <c r="I45" s="287">
        <f t="shared" si="12"/>
        <v>469328.40110976715</v>
      </c>
      <c r="J45" s="287">
        <f t="shared" si="12"/>
        <v>471442.40301069518</v>
      </c>
      <c r="K45" s="287">
        <f t="shared" si="12"/>
        <v>473307.78230479109</v>
      </c>
      <c r="L45" s="287">
        <f t="shared" si="12"/>
        <v>474907.93043412408</v>
      </c>
      <c r="M45" s="287">
        <f t="shared" si="12"/>
        <v>476225.44122537354</v>
      </c>
      <c r="N45" s="287">
        <f t="shared" si="12"/>
        <v>477242.07631975063</v>
      </c>
      <c r="O45" s="287">
        <f t="shared" si="12"/>
        <v>484574.87067631184</v>
      </c>
      <c r="P45" s="287">
        <f t="shared" si="12"/>
        <v>491999.01974075811</v>
      </c>
      <c r="Q45" s="287">
        <f t="shared" si="12"/>
        <v>499514.96807776677</v>
      </c>
      <c r="R45" s="287">
        <f t="shared" si="12"/>
        <v>507123.13458007015</v>
      </c>
      <c r="S45" s="287">
        <f t="shared" si="12"/>
        <v>514823.91109093837</v>
      </c>
      <c r="T45" s="287">
        <f t="shared" si="12"/>
        <v>522617.66097750526</v>
      </c>
      <c r="U45" s="287">
        <f t="shared" si="12"/>
        <v>530504.71765342285</v>
      </c>
      <c r="V45" s="287">
        <f t="shared" si="12"/>
        <v>538485.38304926781</v>
      </c>
      <c r="W45" s="287">
        <f t="shared" si="12"/>
        <v>546559.92602909904</v>
      </c>
      <c r="X45" s="287">
        <f t="shared" si="12"/>
        <v>554728.58075149788</v>
      </c>
      <c r="Y45" s="287">
        <f t="shared" si="12"/>
        <v>562991.54497338994</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
      </c>
      <c r="J47" s="288" t="str">
        <f t="shared" si="13"/>
        <v/>
      </c>
      <c r="K47" s="288" t="str">
        <f t="shared" si="13"/>
        <v/>
      </c>
      <c r="L47" s="288" t="str">
        <f t="shared" si="13"/>
        <v/>
      </c>
      <c r="M47" s="288" t="str">
        <f t="shared" si="13"/>
        <v/>
      </c>
      <c r="N47" s="288" t="str">
        <f t="shared" si="13"/>
        <v>REFI YR.</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(E$12&gt;=$F$2)*IFERROR(INDEX('02_Debt Engine'!$F$46:$Z$62,MATCH($C$1,'02_Debt Engine'!$B$19:$B$35,0),MATCH(E$12,'02_Debt Engine'!$F$45:$Z$45,0)),0)</f>
        <v>443187</v>
      </c>
      <c r="F48" s="286">
        <f>(F$12&gt;=$F$2)*IFERROR(INDEX('02_Debt Engine'!$F$46:$Z$62,MATCH($C$1,'02_Debt Engine'!$B$19:$B$35,0),MATCH(F$12,'02_Debt Engine'!$F$45:$Z$45,0)),0)</f>
        <v>443187</v>
      </c>
      <c r="G48" s="286">
        <f>(G$12&gt;=$F$2)*IFERROR(INDEX('02_Debt Engine'!$F$46:$Z$62,MATCH($C$1,'02_Debt Engine'!$B$19:$B$35,0),MATCH(G$12,'02_Debt Engine'!$F$45:$Z$45,0)),0)</f>
        <v>443187</v>
      </c>
      <c r="H48" s="286">
        <f>(H$12&gt;=$F$2)*IFERROR(INDEX('02_Debt Engine'!$F$46:$Z$62,MATCH($C$1,'02_Debt Engine'!$B$19:$B$35,0),MATCH(H$12,'02_Debt Engine'!$F$45:$Z$45,0)),0)</f>
        <v>443187</v>
      </c>
      <c r="I48" s="286">
        <f>(I$12&gt;=$F$2)*IFERROR(INDEX('02_Debt Engine'!$F$46:$Z$62,MATCH($C$1,'02_Debt Engine'!$B$19:$B$35,0),MATCH(I$12,'02_Debt Engine'!$F$45:$Z$45,0)),0)</f>
        <v>443187</v>
      </c>
      <c r="J48" s="286">
        <f>(J$12&gt;=$F$2)*IFERROR(INDEX('02_Debt Engine'!$F$46:$Z$62,MATCH($C$1,'02_Debt Engine'!$B$19:$B$35,0),MATCH(J$12,'02_Debt Engine'!$F$45:$Z$45,0)),0)</f>
        <v>443187</v>
      </c>
      <c r="K48" s="286">
        <f>(K$12&gt;=$F$2)*IFERROR(INDEX('02_Debt Engine'!$F$46:$Z$62,MATCH($C$1,'02_Debt Engine'!$B$19:$B$35,0),MATCH(K$12,'02_Debt Engine'!$F$45:$Z$45,0)),0)</f>
        <v>443187</v>
      </c>
      <c r="L48" s="286">
        <f>(L$12&gt;=$F$2)*IFERROR(INDEX('02_Debt Engine'!$F$46:$Z$62,MATCH($C$1,'02_Debt Engine'!$B$19:$B$35,0),MATCH(L$12,'02_Debt Engine'!$F$45:$Z$45,0)),0)</f>
        <v>443187</v>
      </c>
      <c r="M48" s="286">
        <f>(M$12&gt;=$F$2)*IFERROR(INDEX('02_Debt Engine'!$F$46:$Z$62,MATCH($C$1,'02_Debt Engine'!$B$19:$B$35,0),MATCH(M$12,'02_Debt Engine'!$F$45:$Z$45,0)),0)</f>
        <v>443187</v>
      </c>
      <c r="N48" s="286">
        <f>(N$12&gt;=$F$2)*IFERROR(INDEX('02_Debt Engine'!$F$46:$Z$62,MATCH($C$1,'02_Debt Engine'!$B$19:$B$35,0),MATCH(N$12,'02_Debt Engine'!$F$45:$Z$45,0)),0)</f>
        <v>318638.49974513921</v>
      </c>
      <c r="O48" s="286">
        <f>(O$12&gt;=$F$2)*IFERROR(INDEX('02_Debt Engine'!$F$46:$Z$62,MATCH($C$1,'02_Debt Engine'!$B$19:$B$35,0),MATCH(O$12,'02_Debt Engine'!$F$45:$Z$45,0)),0)</f>
        <v>322800.05887749186</v>
      </c>
      <c r="P48" s="286">
        <f>(P$12&gt;=$F$2)*IFERROR(INDEX('02_Debt Engine'!$F$46:$Z$62,MATCH($C$1,'02_Debt Engine'!$B$19:$B$35,0),MATCH(P$12,'02_Debt Engine'!$F$45:$Z$45,0)),0)</f>
        <v>322800.05887749186</v>
      </c>
      <c r="Q48" s="286">
        <f>(Q$12&gt;=$F$2)*IFERROR(INDEX('02_Debt Engine'!$F$46:$Z$62,MATCH($C$1,'02_Debt Engine'!$B$19:$B$35,0),MATCH(Q$12,'02_Debt Engine'!$F$45:$Z$45,0)),0)</f>
        <v>322800.05887749186</v>
      </c>
      <c r="R48" s="286">
        <f>(R$12&gt;=$F$2)*IFERROR(INDEX('02_Debt Engine'!$F$46:$Z$62,MATCH($C$1,'02_Debt Engine'!$B$19:$B$35,0),MATCH(R$12,'02_Debt Engine'!$F$45:$Z$45,0)),0)</f>
        <v>322800.05887749186</v>
      </c>
      <c r="S48" s="286">
        <f>(S$12&gt;=$F$2)*IFERROR(INDEX('02_Debt Engine'!$F$46:$Z$62,MATCH($C$1,'02_Debt Engine'!$B$19:$B$35,0),MATCH(S$12,'02_Debt Engine'!$F$45:$Z$45,0)),0)</f>
        <v>322800.05887749186</v>
      </c>
      <c r="T48" s="286">
        <f>(T$12&gt;=$F$2)*IFERROR(INDEX('02_Debt Engine'!$F$46:$Z$62,MATCH($C$1,'02_Debt Engine'!$B$19:$B$35,0),MATCH(T$12,'02_Debt Engine'!$F$45:$Z$45,0)),0)</f>
        <v>322800.05887749186</v>
      </c>
      <c r="U48" s="286">
        <f>(U$12&gt;=$F$2)*IFERROR(INDEX('02_Debt Engine'!$F$46:$Z$62,MATCH($C$1,'02_Debt Engine'!$B$19:$B$35,0),MATCH(U$12,'02_Debt Engine'!$F$45:$Z$45,0)),0)</f>
        <v>322800.05887749186</v>
      </c>
      <c r="V48" s="286">
        <f>(V$12&gt;=$F$2)*IFERROR(INDEX('02_Debt Engine'!$F$46:$Z$62,MATCH($C$1,'02_Debt Engine'!$B$19:$B$35,0),MATCH(V$12,'02_Debt Engine'!$F$45:$Z$45,0)),0)</f>
        <v>322800.05887749186</v>
      </c>
      <c r="W48" s="286">
        <f>(W$12&gt;=$F$2)*IFERROR(INDEX('02_Debt Engine'!$F$46:$Z$62,MATCH($C$1,'02_Debt Engine'!$B$19:$B$35,0),MATCH(W$12,'02_Debt Engine'!$F$45:$Z$45,0)),0)</f>
        <v>322800.05887749186</v>
      </c>
      <c r="X48" s="286">
        <f>(X$12&gt;=$F$2)*IFERROR(INDEX('02_Debt Engine'!$F$46:$Z$62,MATCH($C$1,'02_Debt Engine'!$B$19:$B$35,0),MATCH(X$12,'02_Debt Engine'!$F$45:$Z$45,0)),0)</f>
        <v>322800.05887749186</v>
      </c>
      <c r="Y48" s="286">
        <f>(Y$12&gt;=$F$2)*IFERROR(INDEX('02_Debt Engine'!$F$46:$Z$62,MATCH($C$1,'02_Debt Engine'!$B$19:$B$35,0),MATCH(Y$12,'02_Debt Engine'!$F$45:$Z$45,0)),0)</f>
        <v>322800.05887749186</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0.83848493299668081</v>
      </c>
      <c r="F50" s="290">
        <f t="shared" si="14"/>
        <v>1.0585745269604032</v>
      </c>
      <c r="G50" s="290">
        <f t="shared" si="14"/>
        <v>1.0651578531355841</v>
      </c>
      <c r="H50" s="290">
        <f t="shared" si="14"/>
        <v>1.0712893192597075</v>
      </c>
      <c r="I50" s="290">
        <f t="shared" si="14"/>
        <v>1.0769365470687704</v>
      </c>
      <c r="J50" s="290">
        <f t="shared" si="14"/>
        <v>1.0820655770909688</v>
      </c>
      <c r="K50" s="290">
        <f t="shared" si="14"/>
        <v>1.0866407996768441</v>
      </c>
      <c r="L50" s="290">
        <f t="shared" si="14"/>
        <v>1.0906248831561989</v>
      </c>
      <c r="M50" s="290">
        <f t="shared" si="14"/>
        <v>1.0939786990045741</v>
      </c>
      <c r="N50" s="290">
        <f t="shared" si="14"/>
        <v>1.5253210364970622</v>
      </c>
      <c r="O50" s="290">
        <f t="shared" si="14"/>
        <v>1.5289169443757076</v>
      </c>
      <c r="P50" s="290">
        <f t="shared" si="14"/>
        <v>1.5524712809846455</v>
      </c>
      <c r="Q50" s="290">
        <f t="shared" si="14"/>
        <v>1.5763211042687997</v>
      </c>
      <c r="R50" s="290">
        <f t="shared" si="14"/>
        <v>1.6004679339602472</v>
      </c>
      <c r="S50" s="290">
        <f t="shared" si="14"/>
        <v>1.6249132104356758</v>
      </c>
      <c r="T50" s="290">
        <f t="shared" si="14"/>
        <v>1.6496582903855177</v>
      </c>
      <c r="U50" s="290">
        <f t="shared" si="14"/>
        <v>1.6747044423278863</v>
      </c>
      <c r="V50" s="290">
        <f t="shared" si="14"/>
        <v>1.7000528419624685</v>
      </c>
      <c r="W50" s="290">
        <f t="shared" si="14"/>
        <v>1.7257045673594427</v>
      </c>
      <c r="X50" s="290">
        <f t="shared" si="14"/>
        <v>1.7516605939782985</v>
      </c>
      <c r="Y50" s="290">
        <f t="shared" si="14"/>
        <v>1.7779217895113233</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-71581.378000000026</v>
      </c>
      <c r="F52" s="291">
        <f t="shared" si="15"/>
        <v>25959.468880000175</v>
      </c>
      <c r="G52" s="291">
        <f t="shared" si="15"/>
        <v>28877.113457600062</v>
      </c>
      <c r="H52" s="291">
        <f t="shared" si="15"/>
        <v>31594.499534751987</v>
      </c>
      <c r="I52" s="291">
        <f t="shared" si="15"/>
        <v>34097.277485767147</v>
      </c>
      <c r="J52" s="291">
        <f t="shared" si="15"/>
        <v>36370.396914215176</v>
      </c>
      <c r="K52" s="291">
        <f t="shared" si="15"/>
        <v>38398.076086381509</v>
      </c>
      <c r="L52" s="291">
        <f t="shared" si="15"/>
        <v>40163.77009134629</v>
      </c>
      <c r="M52" s="291">
        <f t="shared" si="15"/>
        <v>41650.137675740174</v>
      </c>
      <c r="N52" s="291">
        <f t="shared" si="15"/>
        <v>167387.50695398543</v>
      </c>
      <c r="O52" s="291">
        <f t="shared" si="15"/>
        <v>170734.42078578146</v>
      </c>
      <c r="P52" s="291">
        <f t="shared" si="15"/>
        <v>178337.76202996692</v>
      </c>
      <c r="Q52" s="291">
        <f t="shared" si="15"/>
        <v>186036.48639030964</v>
      </c>
      <c r="R52" s="291">
        <f t="shared" si="15"/>
        <v>193831.08443641372</v>
      </c>
      <c r="S52" s="291">
        <f t="shared" si="15"/>
        <v>201722.02112195862</v>
      </c>
      <c r="T52" s="291">
        <f t="shared" si="15"/>
        <v>209709.73438669578</v>
      </c>
      <c r="U52" s="291">
        <f t="shared" si="15"/>
        <v>217794.63370834698</v>
      </c>
      <c r="V52" s="291">
        <f t="shared" si="15"/>
        <v>225977.09860284033</v>
      </c>
      <c r="W52" s="291">
        <f t="shared" si="15"/>
        <v>234257.47707129281</v>
      </c>
      <c r="X52" s="291">
        <f t="shared" si="15"/>
        <v>242636.0839920853</v>
      </c>
      <c r="Y52" s="291">
        <f t="shared" si="15"/>
        <v>251113.199456339</v>
      </c>
    </row>
    <row r="53" spans="3:25" ht="7.15" customHeight="1">
      <c r="C53" s="14"/>
      <c r="D53" s="17"/>
    </row>
    <row r="54" spans="3:25" ht="13.5" customHeight="1">
      <c r="C54" s="15" t="s">
        <v>363</v>
      </c>
      <c r="D54" s="20"/>
      <c r="E54" s="292">
        <f t="shared" ref="E54:Y54" si="16">IF(E52&lt;0,0,E52*$G$7)</f>
        <v>0</v>
      </c>
      <c r="F54" s="292">
        <f t="shared" si="16"/>
        <v>15575.681328000104</v>
      </c>
      <c r="G54" s="292">
        <f t="shared" si="16"/>
        <v>17326.268074560037</v>
      </c>
      <c r="H54" s="292">
        <f t="shared" si="16"/>
        <v>18956.699720851193</v>
      </c>
      <c r="I54" s="292">
        <f t="shared" si="16"/>
        <v>20458.366491460289</v>
      </c>
      <c r="J54" s="292">
        <f t="shared" si="16"/>
        <v>21822.238148529104</v>
      </c>
      <c r="K54" s="292">
        <f t="shared" si="16"/>
        <v>23038.845651828906</v>
      </c>
      <c r="L54" s="292">
        <f t="shared" si="16"/>
        <v>24098.262054807772</v>
      </c>
      <c r="M54" s="292">
        <f t="shared" si="16"/>
        <v>24990.082605444102</v>
      </c>
      <c r="N54" s="292">
        <f t="shared" si="16"/>
        <v>100432.50417239126</v>
      </c>
      <c r="O54" s="292">
        <f t="shared" si="16"/>
        <v>102440.65247146887</v>
      </c>
      <c r="P54" s="292">
        <f t="shared" si="16"/>
        <v>107002.65721798014</v>
      </c>
      <c r="Q54" s="292">
        <f t="shared" si="16"/>
        <v>111621.89183418578</v>
      </c>
      <c r="R54" s="292">
        <f t="shared" si="16"/>
        <v>116298.65066184822</v>
      </c>
      <c r="S54" s="292">
        <f t="shared" si="16"/>
        <v>121033.21267317516</v>
      </c>
      <c r="T54" s="292">
        <f t="shared" si="16"/>
        <v>125825.84063201747</v>
      </c>
      <c r="U54" s="292">
        <f t="shared" si="16"/>
        <v>130676.78022500819</v>
      </c>
      <c r="V54" s="292">
        <f t="shared" si="16"/>
        <v>135586.25916170419</v>
      </c>
      <c r="W54" s="292">
        <f t="shared" si="16"/>
        <v>140554.48624277569</v>
      </c>
      <c r="X54" s="292">
        <f t="shared" si="16"/>
        <v>145581.65039525117</v>
      </c>
      <c r="Y54" s="292">
        <f t="shared" si="16"/>
        <v>150667.91967380341</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-71581.378000000026</v>
      </c>
      <c r="F56" s="291">
        <f t="shared" si="17"/>
        <v>10383.787552000071</v>
      </c>
      <c r="G56" s="291">
        <f t="shared" si="17"/>
        <v>11550.845383040025</v>
      </c>
      <c r="H56" s="291">
        <f t="shared" si="17"/>
        <v>12637.799813900794</v>
      </c>
      <c r="I56" s="291">
        <f t="shared" si="17"/>
        <v>13638.910994306858</v>
      </c>
      <c r="J56" s="291">
        <f t="shared" si="17"/>
        <v>14548.158765686072</v>
      </c>
      <c r="K56" s="291">
        <f t="shared" si="17"/>
        <v>15359.230434552603</v>
      </c>
      <c r="L56" s="291">
        <f t="shared" si="17"/>
        <v>16065.508036538518</v>
      </c>
      <c r="M56" s="291">
        <f t="shared" si="17"/>
        <v>16660.055070296072</v>
      </c>
      <c r="N56" s="291">
        <f t="shared" si="17"/>
        <v>66955.002781594172</v>
      </c>
      <c r="O56" s="291">
        <f t="shared" si="17"/>
        <v>68293.768314312591</v>
      </c>
      <c r="P56" s="291">
        <f t="shared" si="17"/>
        <v>71335.104811986777</v>
      </c>
      <c r="Q56" s="291">
        <f t="shared" si="17"/>
        <v>74414.594556123862</v>
      </c>
      <c r="R56" s="291">
        <f t="shared" si="17"/>
        <v>77532.433774565492</v>
      </c>
      <c r="S56" s="291">
        <f t="shared" si="17"/>
        <v>80688.808448783457</v>
      </c>
      <c r="T56" s="291">
        <f t="shared" si="17"/>
        <v>83883.893754678313</v>
      </c>
      <c r="U56" s="291">
        <f t="shared" si="17"/>
        <v>87117.853483338797</v>
      </c>
      <c r="V56" s="291">
        <f t="shared" si="17"/>
        <v>90390.839441136137</v>
      </c>
      <c r="W56" s="291">
        <f t="shared" si="17"/>
        <v>93702.990828517126</v>
      </c>
      <c r="X56" s="291">
        <f t="shared" si="17"/>
        <v>97054.433596834133</v>
      </c>
      <c r="Y56" s="291">
        <f t="shared" si="17"/>
        <v>100445.2797825356</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
      </c>
      <c r="I60" s="288" t="str">
        <f t="shared" si="18"/>
        <v/>
      </c>
      <c r="J60" s="288" t="str">
        <f t="shared" si="18"/>
        <v/>
      </c>
      <c r="K60" s="288" t="str">
        <f t="shared" si="18"/>
        <v/>
      </c>
      <c r="L60" s="288" t="str">
        <f t="shared" si="18"/>
        <v/>
      </c>
      <c r="M60" s="288" t="str">
        <f t="shared" si="18"/>
        <v/>
      </c>
      <c r="N60" s="288" t="str">
        <f t="shared" si="18"/>
        <v>REFI YR.</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6075325.0837390581</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0</v>
      </c>
      <c r="I63" s="285">
        <f t="shared" si="19"/>
        <v>0</v>
      </c>
      <c r="J63" s="285">
        <f t="shared" si="19"/>
        <v>0</v>
      </c>
      <c r="K63" s="285">
        <f t="shared" si="19"/>
        <v>0</v>
      </c>
      <c r="L63" s="285">
        <f t="shared" si="19"/>
        <v>0</v>
      </c>
      <c r="M63" s="285">
        <f t="shared" si="19"/>
        <v>0</v>
      </c>
      <c r="N63" s="285">
        <f t="shared" si="19"/>
        <v>6075325.0837390581</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3142456.1840150002</v>
      </c>
      <c r="F64" s="296">
        <f>INDEX('02_Debt Engine'!$F$74:$Z$90,MATCH($C$1,'02_Debt Engine'!$B$74:$B$90,0),MATCH(F$12,'02_Debt Engine'!$F$73:$Z$73,0))</f>
        <v>2839579.85263127</v>
      </c>
      <c r="G64" s="296">
        <f>INDEX('02_Debt Engine'!$F$74:$Z$90,MATCH($C$1,'02_Debt Engine'!$B$74:$B$90,0),MATCH(G$12,'02_Debt Engine'!$F$73:$Z$73,0))</f>
        <v>2523180.0930512561</v>
      </c>
      <c r="H64" s="296">
        <f>INDEX('02_Debt Engine'!$F$74:$Z$90,MATCH($C$1,'02_Debt Engine'!$B$74:$B$90,0),MATCH(H$12,'02_Debt Engine'!$F$73:$Z$73,0))</f>
        <v>2192653.0842059948</v>
      </c>
      <c r="I64" s="296">
        <f>INDEX('02_Debt Engine'!$F$74:$Z$90,MATCH($C$1,'02_Debt Engine'!$B$74:$B$90,0),MATCH(I$12,'02_Debt Engine'!$F$73:$Z$73,0))</f>
        <v>1847368.0444157925</v>
      </c>
      <c r="J64" s="296">
        <f>INDEX('02_Debt Engine'!$F$74:$Z$90,MATCH($C$1,'02_Debt Engine'!$B$74:$B$90,0),MATCH(J$12,'02_Debt Engine'!$F$73:$Z$73,0))</f>
        <v>1486666.0275989575</v>
      </c>
      <c r="K64" s="296">
        <f>INDEX('02_Debt Engine'!$F$74:$Z$90,MATCH($C$1,'02_Debt Engine'!$B$74:$B$90,0),MATCH(K$12,'02_Debt Engine'!$F$73:$Z$73,0))</f>
        <v>1109858.665731251</v>
      </c>
      <c r="L64" s="296">
        <f>INDEX('02_Debt Engine'!$F$74:$Z$90,MATCH($C$1,'02_Debt Engine'!$B$74:$B$90,0),MATCH(L$12,'02_Debt Engine'!$F$73:$Z$73,0))</f>
        <v>716226.85515615134</v>
      </c>
      <c r="M64" s="296">
        <f>INDEX('02_Debt Engine'!$F$74:$Z$90,MATCH($C$1,'02_Debt Engine'!$B$74:$B$90,0),MATCH(M$12,'02_Debt Engine'!$F$73:$Z$73,0))</f>
        <v>305019.38423887349</v>
      </c>
      <c r="N64" s="296">
        <f>INDEX('02_Debt Engine'!$F$74:$Z$90,MATCH($C$1,'02_Debt Engine'!$B$74:$B$90,0),MATCH(N$12,'02_Debt Engine'!$F$73:$Z$73,0))</f>
        <v>0</v>
      </c>
      <c r="O64" s="296">
        <f>INDEX('02_Debt Engine'!$F$74:$Z$90,MATCH($C$1,'02_Debt Engine'!$B$74:$B$90,0),MATCH(O$12,'02_Debt Engine'!$F$73:$Z$73,0))</f>
        <v>5995538.0282111289</v>
      </c>
      <c r="P64" s="296">
        <f>INDEX('02_Debt Engine'!$F$74:$Z$90,MATCH($C$1,'02_Debt Engine'!$B$74:$B$90,0),MATCH(P$12,'02_Debt Engine'!$F$73:$Z$73,0))</f>
        <v>5912559.4904620824</v>
      </c>
      <c r="Q64" s="296">
        <f>INDEX('02_Debt Engine'!$F$74:$Z$90,MATCH($C$1,'02_Debt Engine'!$B$74:$B$90,0),MATCH(Q$12,'02_Debt Engine'!$F$73:$Z$73,0))</f>
        <v>5826261.8112030737</v>
      </c>
      <c r="R64" s="296">
        <f>INDEX('02_Debt Engine'!$F$74:$Z$90,MATCH($C$1,'02_Debt Engine'!$B$74:$B$90,0),MATCH(R$12,'02_Debt Engine'!$F$73:$Z$73,0))</f>
        <v>5736512.224773705</v>
      </c>
      <c r="S64" s="296">
        <f>INDEX('02_Debt Engine'!$F$74:$Z$90,MATCH($C$1,'02_Debt Engine'!$B$74:$B$90,0),MATCH(S$12,'02_Debt Engine'!$F$73:$Z$73,0))</f>
        <v>5643172.6548871612</v>
      </c>
      <c r="T64" s="296">
        <f>INDEX('02_Debt Engine'!$F$74:$Z$90,MATCH($C$1,'02_Debt Engine'!$B$74:$B$90,0),MATCH(T$12,'02_Debt Engine'!$F$73:$Z$73,0))</f>
        <v>5546099.5022051558</v>
      </c>
      <c r="U64" s="296">
        <f>INDEX('02_Debt Engine'!$F$74:$Z$90,MATCH($C$1,'02_Debt Engine'!$B$74:$B$90,0),MATCH(U$12,'02_Debt Engine'!$F$73:$Z$73,0))</f>
        <v>5445143.4234158704</v>
      </c>
      <c r="V64" s="296">
        <f>INDEX('02_Debt Engine'!$F$74:$Z$90,MATCH($C$1,'02_Debt Engine'!$B$74:$B$90,0),MATCH(V$12,'02_Debt Engine'!$F$73:$Z$73,0))</f>
        <v>5340149.1014750134</v>
      </c>
      <c r="W64" s="296">
        <f>INDEX('02_Debt Engine'!$F$74:$Z$90,MATCH($C$1,'02_Debt Engine'!$B$74:$B$90,0),MATCH(W$12,'02_Debt Engine'!$F$73:$Z$73,0))</f>
        <v>5230955.0066565219</v>
      </c>
      <c r="X64" s="296">
        <f>INDEX('02_Debt Engine'!$F$74:$Z$90,MATCH($C$1,'02_Debt Engine'!$B$74:$B$90,0),MATCH(X$12,'02_Debt Engine'!$F$73:$Z$73,0))</f>
        <v>5117393.1480452912</v>
      </c>
      <c r="Y64" s="296">
        <f>INDEX('02_Debt Engine'!$F$74:$Z$90,MATCH($C$1,'02_Debt Engine'!$B$74:$B$90,0),MATCH(Y$12,'02_Debt Engine'!$F$73:$Z$73,0))</f>
        <v>4999288.8150896113</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
      </c>
      <c r="I66" s="288" t="str">
        <f t="shared" si="20"/>
        <v/>
      </c>
      <c r="J66" s="288" t="str">
        <f t="shared" si="20"/>
        <v/>
      </c>
      <c r="K66" s="288" t="str">
        <f t="shared" si="20"/>
        <v/>
      </c>
      <c r="L66" s="288" t="str">
        <f t="shared" si="20"/>
        <v/>
      </c>
      <c r="M66" s="288" t="str">
        <f t="shared" si="20"/>
        <v/>
      </c>
      <c r="N66" s="288" t="str">
        <f t="shared" si="20"/>
        <v>REFI YR.</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-71581.378000000026</v>
      </c>
      <c r="F67" s="285">
        <f t="shared" si="21"/>
        <v>10383.787552000071</v>
      </c>
      <c r="G67" s="285">
        <f t="shared" si="21"/>
        <v>11550.845383040025</v>
      </c>
      <c r="H67" s="285">
        <f t="shared" si="21"/>
        <v>12637.799813900794</v>
      </c>
      <c r="I67" s="285">
        <f t="shared" si="21"/>
        <v>13638.910994306858</v>
      </c>
      <c r="J67" s="285">
        <f t="shared" si="21"/>
        <v>14548.158765686072</v>
      </c>
      <c r="K67" s="285">
        <f t="shared" si="21"/>
        <v>15359.230434552603</v>
      </c>
      <c r="L67" s="285">
        <f t="shared" si="21"/>
        <v>16065.508036538518</v>
      </c>
      <c r="M67" s="285">
        <f t="shared" si="21"/>
        <v>16660.055070296072</v>
      </c>
      <c r="N67" s="285">
        <f t="shared" si="21"/>
        <v>66955.002781594172</v>
      </c>
      <c r="O67" s="285">
        <f t="shared" si="21"/>
        <v>68293.768314312591</v>
      </c>
      <c r="P67" s="285">
        <f t="shared" si="21"/>
        <v>71335.104811986777</v>
      </c>
      <c r="Q67" s="285">
        <f t="shared" si="21"/>
        <v>74414.594556123862</v>
      </c>
      <c r="R67" s="285">
        <f t="shared" si="21"/>
        <v>77532.433774565492</v>
      </c>
      <c r="S67" s="285">
        <f t="shared" si="21"/>
        <v>80688.808448783457</v>
      </c>
      <c r="T67" s="285">
        <f t="shared" si="21"/>
        <v>83883.893754678313</v>
      </c>
      <c r="U67" s="285">
        <f t="shared" si="21"/>
        <v>87117.853483338797</v>
      </c>
      <c r="V67" s="285">
        <f t="shared" si="21"/>
        <v>90390.839441136137</v>
      </c>
      <c r="W67" s="285">
        <f t="shared" si="21"/>
        <v>93702.990828517126</v>
      </c>
      <c r="X67" s="285">
        <f t="shared" si="21"/>
        <v>97054.433596834133</v>
      </c>
      <c r="Y67" s="285">
        <f t="shared" si="21"/>
        <v>100445.2797825356</v>
      </c>
    </row>
    <row r="68" spans="3:25" s="20" customFormat="1" ht="13.5" customHeight="1">
      <c r="C68" s="26" t="s">
        <v>544</v>
      </c>
      <c r="E68" s="287">
        <f t="shared" ref="E68:Y68" si="22">E67+E$63</f>
        <v>-71581.378000000026</v>
      </c>
      <c r="F68" s="287">
        <f t="shared" si="22"/>
        <v>10383.787552000071</v>
      </c>
      <c r="G68" s="287">
        <f t="shared" si="22"/>
        <v>11550.845383040025</v>
      </c>
      <c r="H68" s="287">
        <f t="shared" si="22"/>
        <v>12637.799813900794</v>
      </c>
      <c r="I68" s="287">
        <f t="shared" si="22"/>
        <v>13638.910994306858</v>
      </c>
      <c r="J68" s="287">
        <f t="shared" si="22"/>
        <v>14548.158765686072</v>
      </c>
      <c r="K68" s="287">
        <f t="shared" si="22"/>
        <v>15359.230434552603</v>
      </c>
      <c r="L68" s="287">
        <f t="shared" si="22"/>
        <v>16065.508036538518</v>
      </c>
      <c r="M68" s="287">
        <f t="shared" si="22"/>
        <v>16660.055070296072</v>
      </c>
      <c r="N68" s="287">
        <f t="shared" si="22"/>
        <v>6142280.0865206523</v>
      </c>
      <c r="O68" s="287">
        <f t="shared" si="22"/>
        <v>68293.768314312591</v>
      </c>
      <c r="P68" s="287">
        <f t="shared" si="22"/>
        <v>71335.104811986777</v>
      </c>
      <c r="Q68" s="287">
        <f t="shared" si="22"/>
        <v>74414.594556123862</v>
      </c>
      <c r="R68" s="287">
        <f t="shared" si="22"/>
        <v>77532.433774565492</v>
      </c>
      <c r="S68" s="287">
        <f t="shared" si="22"/>
        <v>80688.808448783457</v>
      </c>
      <c r="T68" s="287">
        <f t="shared" si="22"/>
        <v>83883.893754678313</v>
      </c>
      <c r="U68" s="287">
        <f t="shared" si="22"/>
        <v>87117.853483338797</v>
      </c>
      <c r="V68" s="287">
        <f t="shared" si="22"/>
        <v>90390.839441136137</v>
      </c>
      <c r="W68" s="287">
        <f t="shared" si="22"/>
        <v>93702.990828517126</v>
      </c>
      <c r="X68" s="287">
        <f t="shared" si="22"/>
        <v>97054.433596834133</v>
      </c>
      <c r="Y68" s="287">
        <f t="shared" si="22"/>
        <v>100445.2797825356</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6193427.0333333332</v>
      </c>
      <c r="F73" s="285">
        <f t="shared" si="24"/>
        <v>7819107.8146666698</v>
      </c>
      <c r="G73" s="285">
        <f t="shared" si="24"/>
        <v>7867735.2242933344</v>
      </c>
      <c r="H73" s="285">
        <f t="shared" si="24"/>
        <v>7913024.9922458669</v>
      </c>
      <c r="I73" s="285">
        <f t="shared" si="24"/>
        <v>7954737.9580961196</v>
      </c>
      <c r="J73" s="285">
        <f t="shared" si="24"/>
        <v>7992623.2819035864</v>
      </c>
      <c r="K73" s="285">
        <f t="shared" si="24"/>
        <v>8026417.9347730251</v>
      </c>
      <c r="L73" s="285">
        <f t="shared" si="24"/>
        <v>8055846.1681891056</v>
      </c>
      <c r="M73" s="285">
        <f t="shared" si="24"/>
        <v>8080618.9612623369</v>
      </c>
      <c r="N73" s="285">
        <f t="shared" si="24"/>
        <v>8100433.4449854111</v>
      </c>
      <c r="O73" s="285">
        <f t="shared" si="24"/>
        <v>8225574.6610545553</v>
      </c>
      <c r="P73" s="285">
        <f t="shared" si="24"/>
        <v>8352297.0151243135</v>
      </c>
      <c r="Q73" s="285">
        <f t="shared" si="24"/>
        <v>8480609.0877966918</v>
      </c>
      <c r="R73" s="285">
        <f t="shared" si="24"/>
        <v>8610519.0552317593</v>
      </c>
      <c r="S73" s="285">
        <f t="shared" si="24"/>
        <v>8742034.6666575074</v>
      </c>
      <c r="T73" s="285">
        <f t="shared" si="24"/>
        <v>8875163.2210697941</v>
      </c>
      <c r="U73" s="285">
        <f t="shared" si="24"/>
        <v>9009911.5430973135</v>
      </c>
      <c r="V73" s="285">
        <f t="shared" si="24"/>
        <v>9146285.9580055363</v>
      </c>
      <c r="W73" s="285">
        <f t="shared" si="24"/>
        <v>9284292.2658130787</v>
      </c>
      <c r="X73" s="285">
        <f t="shared" si="24"/>
        <v>9423935.7144929525</v>
      </c>
      <c r="Y73" s="285">
        <f t="shared" si="24"/>
        <v>9565220.9722305145</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
      </c>
      <c r="I75" s="288" t="str">
        <f t="shared" si="25"/>
        <v/>
      </c>
      <c r="J75" s="288" t="str">
        <f t="shared" si="25"/>
        <v/>
      </c>
      <c r="K75" s="288" t="str">
        <f t="shared" si="25"/>
        <v/>
      </c>
      <c r="L75" s="288" t="str">
        <f t="shared" si="25"/>
        <v/>
      </c>
      <c r="M75" s="288" t="str">
        <f t="shared" si="25"/>
        <v/>
      </c>
      <c r="N75" s="288" t="str">
        <f t="shared" si="25"/>
        <v>REFI YR.</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3142456.1840150002</v>
      </c>
      <c r="F76" s="285">
        <f t="shared" si="26"/>
        <v>2839579.85263127</v>
      </c>
      <c r="G76" s="285">
        <f t="shared" si="26"/>
        <v>2523180.0930512561</v>
      </c>
      <c r="H76" s="285">
        <f t="shared" si="26"/>
        <v>2192653.0842059948</v>
      </c>
      <c r="I76" s="285">
        <f t="shared" si="26"/>
        <v>1847368.0444157925</v>
      </c>
      <c r="J76" s="285">
        <f t="shared" si="26"/>
        <v>1486666.0275989575</v>
      </c>
      <c r="K76" s="285">
        <f t="shared" si="26"/>
        <v>1109858.665731251</v>
      </c>
      <c r="L76" s="285">
        <f t="shared" si="26"/>
        <v>716226.85515615134</v>
      </c>
      <c r="M76" s="285">
        <f t="shared" si="26"/>
        <v>305019.38423887349</v>
      </c>
      <c r="N76" s="285">
        <f t="shared" si="26"/>
        <v>0</v>
      </c>
      <c r="O76" s="285">
        <f t="shared" si="26"/>
        <v>5995538.0282111289</v>
      </c>
      <c r="P76" s="285">
        <f t="shared" si="26"/>
        <v>5912559.4904620824</v>
      </c>
      <c r="Q76" s="285">
        <f t="shared" si="26"/>
        <v>5826261.8112030737</v>
      </c>
      <c r="R76" s="285">
        <f t="shared" si="26"/>
        <v>5736512.224773705</v>
      </c>
      <c r="S76" s="285">
        <f t="shared" si="26"/>
        <v>5643172.6548871612</v>
      </c>
      <c r="T76" s="285">
        <f t="shared" si="26"/>
        <v>5546099.5022051558</v>
      </c>
      <c r="U76" s="285">
        <f t="shared" si="26"/>
        <v>5445143.4234158704</v>
      </c>
      <c r="V76" s="285">
        <f t="shared" si="26"/>
        <v>5340149.1014750134</v>
      </c>
      <c r="W76" s="285">
        <f t="shared" si="26"/>
        <v>5230955.0066565219</v>
      </c>
      <c r="X76" s="285">
        <f t="shared" si="26"/>
        <v>5117393.1480452912</v>
      </c>
      <c r="Y76" s="285">
        <f t="shared" si="26"/>
        <v>4999288.8150896113</v>
      </c>
    </row>
    <row r="77" spans="3:25" ht="13.5" customHeight="1">
      <c r="C77" s="26" t="s">
        <v>376</v>
      </c>
      <c r="D77" s="21"/>
      <c r="E77" s="287">
        <f t="shared" ref="E77:Y77" si="27">E73-E$76</f>
        <v>3050970.849318333</v>
      </c>
      <c r="F77" s="287">
        <f t="shared" si="27"/>
        <v>4979527.9620353999</v>
      </c>
      <c r="G77" s="287">
        <f t="shared" si="27"/>
        <v>5344555.1312420778</v>
      </c>
      <c r="H77" s="287">
        <f t="shared" si="27"/>
        <v>5720371.9080398716</v>
      </c>
      <c r="I77" s="287">
        <f t="shared" si="27"/>
        <v>6107369.9136803271</v>
      </c>
      <c r="J77" s="287">
        <f t="shared" si="27"/>
        <v>6505957.2543046288</v>
      </c>
      <c r="K77" s="287">
        <f t="shared" si="27"/>
        <v>6916559.2690417739</v>
      </c>
      <c r="L77" s="287">
        <f t="shared" si="27"/>
        <v>7339619.313032954</v>
      </c>
      <c r="M77" s="287">
        <f t="shared" si="27"/>
        <v>7775599.5770234633</v>
      </c>
      <c r="N77" s="287">
        <f t="shared" si="27"/>
        <v>8100433.4449854111</v>
      </c>
      <c r="O77" s="287">
        <f t="shared" si="27"/>
        <v>2230036.6328434264</v>
      </c>
      <c r="P77" s="287">
        <f t="shared" si="27"/>
        <v>2439737.5246622311</v>
      </c>
      <c r="Q77" s="287">
        <f t="shared" si="27"/>
        <v>2654347.2765936181</v>
      </c>
      <c r="R77" s="287">
        <f t="shared" si="27"/>
        <v>2874006.8304580543</v>
      </c>
      <c r="S77" s="287">
        <f t="shared" si="27"/>
        <v>3098862.0117703462</v>
      </c>
      <c r="T77" s="287">
        <f t="shared" si="27"/>
        <v>3329063.7188646384</v>
      </c>
      <c r="U77" s="287">
        <f t="shared" si="27"/>
        <v>3564768.1196814431</v>
      </c>
      <c r="V77" s="287">
        <f t="shared" si="27"/>
        <v>3806136.8565305229</v>
      </c>
      <c r="W77" s="287">
        <f t="shared" si="27"/>
        <v>4053337.2591565568</v>
      </c>
      <c r="X77" s="287">
        <f t="shared" si="27"/>
        <v>4306542.5664476613</v>
      </c>
      <c r="Y77" s="287">
        <f t="shared" si="27"/>
        <v>4565932.1571409032</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2026</v>
      </c>
      <c r="D79" s="20"/>
      <c r="E79" s="289" t="str">
        <f t="shared" ref="E79:Y79" si="28">IF(E$72=$F$2+1,"STAB. YR.","")</f>
        <v/>
      </c>
      <c r="F79" s="289" t="str">
        <f t="shared" si="28"/>
        <v>STAB. YR.</v>
      </c>
      <c r="G79" s="289" t="str">
        <f t="shared" si="28"/>
        <v/>
      </c>
      <c r="H79" s="289" t="str">
        <f t="shared" si="28"/>
        <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7819107.8146666698</v>
      </c>
      <c r="G80" s="296">
        <f t="shared" si="29"/>
        <v>0</v>
      </c>
      <c r="H80" s="296">
        <f t="shared" si="29"/>
        <v>0</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4.7525322684892742E-2</v>
      </c>
      <c r="F81" s="344">
        <f t="shared" si="30"/>
        <v>0.06</v>
      </c>
      <c r="G81" s="344">
        <f t="shared" si="30"/>
        <v>6.0373142901563155E-2</v>
      </c>
      <c r="H81" s="344">
        <f t="shared" si="30"/>
        <v>6.0720674377220112E-2</v>
      </c>
      <c r="I81" s="344">
        <f t="shared" si="30"/>
        <v>6.1040759227095252E-2</v>
      </c>
      <c r="J81" s="344">
        <f t="shared" si="30"/>
        <v>6.1331472628461101E-2</v>
      </c>
      <c r="K81" s="344">
        <f t="shared" si="30"/>
        <v>6.1590796226527231E-2</v>
      </c>
      <c r="L81" s="344">
        <f t="shared" si="30"/>
        <v>6.1816614062374535E-2</v>
      </c>
      <c r="M81" s="344">
        <f t="shared" si="30"/>
        <v>6.2006708331391498E-2</v>
      </c>
      <c r="N81" s="344">
        <f t="shared" si="30"/>
        <v>6.2158754965299587E-2</v>
      </c>
      <c r="O81" s="344">
        <f t="shared" si="30"/>
        <v>6.3119027306098446E-2</v>
      </c>
      <c r="P81" s="344">
        <f t="shared" si="30"/>
        <v>6.409143252475058E-2</v>
      </c>
      <c r="Q81" s="344">
        <f t="shared" si="30"/>
        <v>6.5076036464589065E-2</v>
      </c>
      <c r="R81" s="344">
        <f t="shared" si="30"/>
        <v>6.6072901865457861E-2</v>
      </c>
      <c r="S81" s="344">
        <f t="shared" si="30"/>
        <v>6.7082088191133468E-2</v>
      </c>
      <c r="T81" s="344">
        <f t="shared" si="30"/>
        <v>6.8103651450531724E-2</v>
      </c>
      <c r="U81" s="344">
        <f t="shared" si="30"/>
        <v>6.9137644012507396E-2</v>
      </c>
      <c r="V81" s="344">
        <f t="shared" si="30"/>
        <v>7.0184114414046692E-2</v>
      </c>
      <c r="W81" s="344">
        <f t="shared" si="30"/>
        <v>7.1243107161649E-2</v>
      </c>
      <c r="X81" s="344">
        <f t="shared" si="30"/>
        <v>7.2314662525686357E-2</v>
      </c>
      <c r="Y81" s="344">
        <f t="shared" si="30"/>
        <v>7.3398816327524569E-2</v>
      </c>
    </row>
    <row r="82" spans="1:25" s="20" customFormat="1" ht="13.9" customHeight="1">
      <c r="A82" s="3"/>
      <c r="B82" s="3"/>
      <c r="C82" s="21" t="s">
        <v>380</v>
      </c>
      <c r="E82" s="285">
        <f t="shared" ref="E82:Y82" si="31">IF(E$72=$F$2+1,E77,0)</f>
        <v>0</v>
      </c>
      <c r="F82" s="285">
        <f t="shared" si="31"/>
        <v>4979527.9620353999</v>
      </c>
      <c r="G82" s="285">
        <f t="shared" si="31"/>
        <v>0</v>
      </c>
      <c r="H82" s="285">
        <f t="shared" si="31"/>
        <v>0</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7.4626676430611882E-2</v>
      </c>
      <c r="F83" s="299">
        <f t="shared" si="32"/>
        <v>9.4215048586299102E-2</v>
      </c>
      <c r="G83" s="299">
        <f t="shared" si="32"/>
        <v>9.4800976529639203E-2</v>
      </c>
      <c r="H83" s="299">
        <f t="shared" si="32"/>
        <v>9.5346688110710676E-2</v>
      </c>
      <c r="I83" s="299">
        <f t="shared" si="32"/>
        <v>9.5849301605422751E-2</v>
      </c>
      <c r="J83" s="299">
        <f t="shared" si="32"/>
        <v>9.6305794559328944E-2</v>
      </c>
      <c r="K83" s="299">
        <f t="shared" si="32"/>
        <v>9.6712997649185187E-2</v>
      </c>
      <c r="L83" s="299">
        <f t="shared" si="32"/>
        <v>9.7067588288785298E-2</v>
      </c>
      <c r="M83" s="299">
        <f t="shared" si="32"/>
        <v>9.7366083968642131E-2</v>
      </c>
      <c r="N83" s="299">
        <f t="shared" si="32"/>
        <v>9.760483531865935E-2</v>
      </c>
      <c r="O83" s="299">
        <f t="shared" si="32"/>
        <v>9.9112703739400093E-2</v>
      </c>
      <c r="P83" s="299">
        <f t="shared" si="32"/>
        <v>0.10063962382141477</v>
      </c>
      <c r="Q83" s="299">
        <f t="shared" si="32"/>
        <v>0.10218569895525052</v>
      </c>
      <c r="R83" s="299">
        <f t="shared" si="32"/>
        <v>0.1037510276581981</v>
      </c>
      <c r="S83" s="299">
        <f t="shared" si="32"/>
        <v>0.10533570330330071</v>
      </c>
      <c r="T83" s="299">
        <f t="shared" si="32"/>
        <v>0.10693981383860376</v>
      </c>
      <c r="U83" s="299">
        <f t="shared" si="32"/>
        <v>0.10856344149634393</v>
      </c>
      <c r="V83" s="299">
        <f t="shared" si="32"/>
        <v>0.11020666249176309</v>
      </c>
      <c r="W83" s="299">
        <f t="shared" si="32"/>
        <v>0.11186954671122791</v>
      </c>
      <c r="X83" s="299">
        <f t="shared" si="32"/>
        <v>0.11355215738932273</v>
      </c>
      <c r="Y83" s="299">
        <f t="shared" si="32"/>
        <v>0.11525455077457618</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2026</v>
      </c>
      <c r="E85" s="289" t="str">
        <f t="shared" ref="E85:Y85" si="33">IF(E$72=$F$2+1,"STAB. YR.","")</f>
        <v/>
      </c>
      <c r="F85" s="289" t="str">
        <f t="shared" si="33"/>
        <v>STAB. YR.</v>
      </c>
      <c r="G85" s="289" t="str">
        <f t="shared" si="33"/>
        <v/>
      </c>
      <c r="H85" s="289" t="str">
        <f t="shared" si="33"/>
        <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0</v>
      </c>
      <c r="F86" s="299">
        <f t="shared" si="34"/>
        <v>3.127943340563849E-3</v>
      </c>
      <c r="G86" s="299">
        <f t="shared" si="34"/>
        <v>3.4795001065679051E-3</v>
      </c>
      <c r="H86" s="299">
        <f t="shared" si="34"/>
        <v>3.8069270552107863E-3</v>
      </c>
      <c r="I86" s="299">
        <f t="shared" si="34"/>
        <v>4.1084951520380377E-3</v>
      </c>
      <c r="J86" s="299">
        <f t="shared" si="34"/>
        <v>4.3823909243817533E-3</v>
      </c>
      <c r="K86" s="299">
        <f t="shared" si="34"/>
        <v>4.6267127782954947E-3</v>
      </c>
      <c r="L86" s="299">
        <f t="shared" si="34"/>
        <v>4.8394671620555618E-3</v>
      </c>
      <c r="M86" s="299">
        <f t="shared" si="34"/>
        <v>5.018564569969664E-3</v>
      </c>
      <c r="N86" s="299">
        <f t="shared" si="34"/>
        <v>2.0169081273988691E-2</v>
      </c>
      <c r="O86" s="299">
        <f t="shared" si="34"/>
        <v>2.0572362130003161E-2</v>
      </c>
      <c r="P86" s="299">
        <f t="shared" si="34"/>
        <v>2.1488514179211965E-2</v>
      </c>
      <c r="Q86" s="299">
        <f t="shared" si="34"/>
        <v>2.2416159259513412E-2</v>
      </c>
      <c r="R86" s="299">
        <f t="shared" si="34"/>
        <v>2.3355356481281959E-2</v>
      </c>
      <c r="S86" s="299">
        <f t="shared" si="34"/>
        <v>2.4306161868343522E-2</v>
      </c>
      <c r="T86" s="299">
        <f t="shared" si="34"/>
        <v>2.5268628189525359E-2</v>
      </c>
      <c r="U86" s="299">
        <f t="shared" si="34"/>
        <v>2.624280478416946E-2</v>
      </c>
      <c r="V86" s="299">
        <f t="shared" si="34"/>
        <v>2.7228737381420953E-2</v>
      </c>
      <c r="W86" s="299">
        <f t="shared" si="34"/>
        <v>2.8226467913099847E-2</v>
      </c>
      <c r="X86" s="299">
        <f t="shared" si="34"/>
        <v>2.9236034319956736E-2</v>
      </c>
      <c r="Y86" s="299">
        <f t="shared" si="34"/>
        <v>3.0257470351108814E-2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66DCD-7A96-4B8B-A1D7-45714046561C}">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322</v>
      </c>
      <c r="E1" s="275" t="str">
        <f>INDEX('01_Property Summary'!$E$5:$E$21,MATCH($C$1,'01_Property Summary'!$C$5:$C$21,0))</f>
        <v>Surrey</v>
      </c>
      <c r="F1" s="332" t="s">
        <v>536</v>
      </c>
      <c r="G1" s="333" t="s">
        <v>102</v>
      </c>
      <c r="J1" s="450" t="s">
        <v>308</v>
      </c>
      <c r="K1" s="424"/>
      <c r="L1" s="424"/>
      <c r="M1" s="424"/>
      <c r="N1" s="424"/>
      <c r="O1" s="424"/>
      <c r="P1" s="3"/>
      <c r="Q1" s="3"/>
      <c r="R1" s="3"/>
      <c r="S1" s="3"/>
      <c r="T1" s="3"/>
    </row>
    <row r="2" spans="3:25" ht="14.45" customHeight="1">
      <c r="C2" s="300" t="s">
        <v>537</v>
      </c>
      <c r="E2" s="334" t="str">
        <f>_xlfn.LET(_xlpm.refi,INDEX('02_Debt Engine'!$F$19:$F$35,MATCH($C$1,'02_Debt Engine'!$B$19:$B$35,0)),
_xlpm.refiyr,INDEX('02_Debt Engine'!$I$19:$I$35,MATCH($C$1,'02_Debt Engine'!$B$19:$B$35,0)),IF(_xlpm.refi="Yes",_xlpm.refiyr,"No Refi"))</f>
        <v>No Refi</v>
      </c>
      <c r="F2" s="334">
        <f>INDEX('01_Property Summary'!$F$5:$F$21,MATCH($C$1,'01_Property Summary'!$C$5:$C$21,0))</f>
        <v>2025</v>
      </c>
      <c r="G2" s="334">
        <f>INDEX('01_Property Summary'!$K$4:$K$21,MATCH($C$1,'01_Property Summary'!$C$4:$C$21,0))</f>
        <v>2054</v>
      </c>
      <c r="J2" s="278" t="str">
        <f>"Gate 1 — NOI ≥ 0 at stabilization ("&amp;$F$2+1&amp;"):"</f>
        <v>Gate 1 — NOI ≥ 0 at stabilization (2026):</v>
      </c>
      <c r="M2" s="451" t="str">
        <f>_xlfn.LET(_xlpm.stabnoi,INDEX($41:$41,MATCH(($F$2+1),$12:$12,0)),IF(_xlpm.stabnoi&gt;=0,"PASS — NOI $"&amp;TEXT(_xlpm.stabnoi,"#,##0"),"FAIL — NOI $"&amp;TEXT(_xlpm.stabnoi,"#,##0")))</f>
        <v>PASS — NOI $233,867</v>
      </c>
      <c r="N2" s="424"/>
      <c r="O2" s="424"/>
      <c r="S2" s="6"/>
    </row>
    <row r="3" spans="3:25" ht="14.45" customHeight="1">
      <c r="C3" s="300" t="s">
        <v>538</v>
      </c>
      <c r="E3" s="334">
        <f>INDEX('01_Property Summary'!$S$5:$S$21,MATCH($C$1,'01_Property Summary'!$C$5:$C$21,0))</f>
        <v>38</v>
      </c>
      <c r="F3" s="335">
        <f>'01_Assumptions'!$C$14</f>
        <v>0.1</v>
      </c>
      <c r="G3" s="335">
        <f>'01_Assumptions'!$C$15</f>
        <v>0.2</v>
      </c>
      <c r="J3" s="278" t="str">
        <f>"Gate 2 — DSCR ≥ 1.0× at stabilization ("&amp;$F$2+1&amp;"):"</f>
        <v>Gate 2 — DSCR ≥ 1.0× at stabilization (2026):</v>
      </c>
      <c r="M3" s="451" t="str">
        <f>_xlfn.LET(_xlpm.debt,INDEX($48:$48,MATCH(($F$2+1),$12:$12,0)),_xlpm.dscr,INDEX($50:$50,MATCH(($F$2+1),$12:$12,0)),
IF(_xlpm.debt=0,"PASS — no debt svc",IF(IFERROR(_xlpm.dscr,0)&gt;=1,"PASS — DSCR "&amp;TEXT(IFERROR(_xlpm.dscr,0),"0.00")&amp;"x","FAIL — DSCR "&amp;TEXT(IFERROR(_xlpm.dscr,0),"0.00")&amp;"x")))</f>
        <v>FAIL — DSCR 0.80x</v>
      </c>
      <c r="N3" s="424"/>
      <c r="O3" s="424"/>
      <c r="S3" s="6"/>
    </row>
    <row r="4" spans="3:25" ht="14.45" customHeight="1">
      <c r="C4" s="300" t="s">
        <v>539</v>
      </c>
      <c r="E4" s="336">
        <f>INDEX('02_Rent Engine'!$H$5:$H$21,MATCH($C$1,'02_Rent Engine'!$B$5:$B$21,0))</f>
        <v>811.40350877192986</v>
      </c>
      <c r="F4" s="336">
        <f>INDEX('02_Rent Engine'!$J$5:$J$21,MATCH($C$1,'02_Rent Engine'!$B$5:$B$21,0))</f>
        <v>2659.25</v>
      </c>
      <c r="G4" s="336">
        <f>($F$3*$F$4)+((1-$F$3)*$E$4)</f>
        <v>996.18815789473683</v>
      </c>
      <c r="J4" s="280" t="s">
        <v>309</v>
      </c>
      <c r="M4" s="451" t="str">
        <f>IF(AND($J$52&gt;0,$O$52&gt;0),"PASS — AFFO $"&amp;TEXT($J$52,"#,##0")&amp;" (2030) / $"&amp;TEXT($O$52,"#,##0")&amp;" (2035)","FAIL — AFFO $"&amp;TEXT($J$52,"#,##0")&amp;" (2030) / $"&amp;TEXT($O$52,"#,##0")&amp;" (2035)")</f>
        <v>FAIL — AFFO $-57,603 (2030) / $232,926 (2035)</v>
      </c>
      <c r="N4" s="424"/>
      <c r="O4" s="424"/>
      <c r="S4" s="6"/>
    </row>
    <row r="5" spans="3:25" ht="14.45" customHeight="1">
      <c r="C5" s="337" t="str">
        <f>"Rent Growth — (pre / post Op. Agrmt. Expiry: "&amp;$G$2&amp;")"</f>
        <v>Rent Growth — (pre / post Op. Agrmt. Expiry: 2054)</v>
      </c>
      <c r="E5" s="338">
        <f>'01_Assumptions'!$C$5</f>
        <v>0.02</v>
      </c>
      <c r="F5" s="338">
        <f>'01_Assumptions'!$C$6</f>
        <v>0.02</v>
      </c>
      <c r="G5" s="32"/>
      <c r="L5" s="6"/>
      <c r="M5" s="6"/>
      <c r="R5" s="6"/>
      <c r="S5" s="6"/>
    </row>
    <row r="6" spans="3:25" ht="13.9" customHeight="1">
      <c r="C6" s="337" t="str">
        <f>"OpEx Growth — (pre / post Op. Agrmt. Expiry: "&amp;$G$2&amp;")"</f>
        <v>OpEx Growth — (pre / post Op. Agrmt. Expiry: 2054)</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Peoples Group</v>
      </c>
      <c r="F8" s="336">
        <f>INDEX('01_Property Summary'!$Q$5:$Q$21,MATCH($C$1,'01_Property Summary'!$C$5:$C$21,0))</f>
        <v>0</v>
      </c>
      <c r="G8" s="334">
        <f>INDEX('02_Debt Engine'!$I$19:$I$35,MATCH($C$1,'02_Debt Engine'!$B$19:$B$35,0))</f>
        <v>2026</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454261.80000000005</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463347.03600000008</v>
      </c>
      <c r="G13" s="283">
        <f t="shared" si="1"/>
        <v>472613.97672000004</v>
      </c>
      <c r="H13" s="283">
        <f t="shared" si="1"/>
        <v>482066.25625439995</v>
      </c>
      <c r="I13" s="283">
        <f t="shared" si="1"/>
        <v>491707.58137948799</v>
      </c>
      <c r="J13" s="283">
        <f t="shared" si="1"/>
        <v>501541.73300707771</v>
      </c>
      <c r="K13" s="283">
        <f t="shared" si="1"/>
        <v>511572.56766721932</v>
      </c>
      <c r="L13" s="283">
        <f t="shared" si="1"/>
        <v>521804.01902056357</v>
      </c>
      <c r="M13" s="283">
        <f t="shared" si="1"/>
        <v>532240.09940097493</v>
      </c>
      <c r="N13" s="283">
        <f t="shared" si="1"/>
        <v>542884.90138899442</v>
      </c>
      <c r="O13" s="283">
        <f t="shared" si="1"/>
        <v>553742.59941677435</v>
      </c>
      <c r="P13" s="283">
        <f t="shared" si="1"/>
        <v>564817.45140510984</v>
      </c>
      <c r="Q13" s="283">
        <f t="shared" si="1"/>
        <v>576113.80043321196</v>
      </c>
      <c r="R13" s="283">
        <f t="shared" si="1"/>
        <v>587636.07644187624</v>
      </c>
      <c r="S13" s="283">
        <f t="shared" si="1"/>
        <v>599388.7979707137</v>
      </c>
      <c r="T13" s="283">
        <f t="shared" si="1"/>
        <v>611376.5739301279</v>
      </c>
      <c r="U13" s="283">
        <f t="shared" si="1"/>
        <v>623604.10540873057</v>
      </c>
      <c r="V13" s="283">
        <f t="shared" si="1"/>
        <v>636076.18751690525</v>
      </c>
      <c r="W13" s="283">
        <f t="shared" si="1"/>
        <v>648797.71126724337</v>
      </c>
      <c r="X13" s="283">
        <f t="shared" si="1"/>
        <v>661773.66549258807</v>
      </c>
      <c r="Y13" s="283">
        <f t="shared" si="1"/>
        <v>675009.13880243991</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4000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4080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4161.6000000000004</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4244.8319999999994</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4329.7286400000003</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4416.3232128</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4504.6496770560007</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4594.7426705971193</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4686.637524009062</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4780.3702744892435</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4875.9776799790288</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4973.4972335786088</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5072.96717825018</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5174.4265218151841</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5277.9150522514883</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5383.4733532965183</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5491.1428203624473</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5600.965676769697</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5712.9849903050908</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5827.2446901111934</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5943.7895839134162</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row>
    <row r="19" spans="3:25" ht="13.5" customHeight="1">
      <c r="C19" s="3" t="s">
        <v>336</v>
      </c>
      <c r="E19" s="285">
        <f t="shared" ref="E19:Y19" si="2">SUM(E14:E18)</f>
        <v>4000</v>
      </c>
      <c r="F19" s="285">
        <f t="shared" si="2"/>
        <v>4080</v>
      </c>
      <c r="G19" s="285">
        <f t="shared" si="2"/>
        <v>4161.6000000000004</v>
      </c>
      <c r="H19" s="285">
        <f t="shared" si="2"/>
        <v>4244.8319999999994</v>
      </c>
      <c r="I19" s="285">
        <f t="shared" si="2"/>
        <v>4329.7286400000003</v>
      </c>
      <c r="J19" s="285">
        <f t="shared" si="2"/>
        <v>4416.3232128</v>
      </c>
      <c r="K19" s="285">
        <f t="shared" si="2"/>
        <v>4504.6496770560007</v>
      </c>
      <c r="L19" s="285">
        <f t="shared" si="2"/>
        <v>4594.7426705971193</v>
      </c>
      <c r="M19" s="285">
        <f t="shared" si="2"/>
        <v>4686.637524009062</v>
      </c>
      <c r="N19" s="285">
        <f t="shared" si="2"/>
        <v>4780.3702744892435</v>
      </c>
      <c r="O19" s="285">
        <f t="shared" si="2"/>
        <v>4875.9776799790288</v>
      </c>
      <c r="P19" s="285">
        <f t="shared" si="2"/>
        <v>4973.4972335786088</v>
      </c>
      <c r="Q19" s="285">
        <f t="shared" si="2"/>
        <v>5072.96717825018</v>
      </c>
      <c r="R19" s="285">
        <f t="shared" si="2"/>
        <v>5174.4265218151841</v>
      </c>
      <c r="S19" s="285">
        <f t="shared" si="2"/>
        <v>5277.9150522514883</v>
      </c>
      <c r="T19" s="285">
        <f t="shared" si="2"/>
        <v>5383.4733532965183</v>
      </c>
      <c r="U19" s="285">
        <f t="shared" si="2"/>
        <v>5491.1428203624473</v>
      </c>
      <c r="V19" s="285">
        <f t="shared" si="2"/>
        <v>5600.965676769697</v>
      </c>
      <c r="W19" s="285">
        <f t="shared" si="2"/>
        <v>5712.9849903050908</v>
      </c>
      <c r="X19" s="285">
        <f t="shared" si="2"/>
        <v>5827.2446901111934</v>
      </c>
      <c r="Y19" s="285">
        <f t="shared" si="2"/>
        <v>5943.7895839134162</v>
      </c>
    </row>
    <row r="20" spans="3:25" ht="13.5" customHeight="1">
      <c r="C20" s="10" t="s">
        <v>337</v>
      </c>
      <c r="E20" s="283">
        <f t="shared" ref="E20:Y20" si="3">E13+E19</f>
        <v>458261.80000000005</v>
      </c>
      <c r="F20" s="283">
        <f t="shared" si="3"/>
        <v>467427.03600000008</v>
      </c>
      <c r="G20" s="283">
        <f t="shared" si="3"/>
        <v>476775.57672000001</v>
      </c>
      <c r="H20" s="283">
        <f t="shared" si="3"/>
        <v>486311.08825439995</v>
      </c>
      <c r="I20" s="283">
        <f t="shared" si="3"/>
        <v>496037.31001948798</v>
      </c>
      <c r="J20" s="283">
        <f t="shared" si="3"/>
        <v>505958.05621987773</v>
      </c>
      <c r="K20" s="283">
        <f t="shared" si="3"/>
        <v>516077.21734427533</v>
      </c>
      <c r="L20" s="283">
        <f t="shared" si="3"/>
        <v>526398.76169116073</v>
      </c>
      <c r="M20" s="283">
        <f t="shared" si="3"/>
        <v>536926.73692498403</v>
      </c>
      <c r="N20" s="283">
        <f t="shared" si="3"/>
        <v>547665.2716634837</v>
      </c>
      <c r="O20" s="283">
        <f t="shared" si="3"/>
        <v>558618.5770967534</v>
      </c>
      <c r="P20" s="283">
        <f t="shared" si="3"/>
        <v>569790.94863868842</v>
      </c>
      <c r="Q20" s="283">
        <f t="shared" si="3"/>
        <v>581186.76761146216</v>
      </c>
      <c r="R20" s="283">
        <f t="shared" si="3"/>
        <v>592810.50296369137</v>
      </c>
      <c r="S20" s="283">
        <f t="shared" si="3"/>
        <v>604666.71302296524</v>
      </c>
      <c r="T20" s="283">
        <f t="shared" si="3"/>
        <v>616760.04728342441</v>
      </c>
      <c r="U20" s="283">
        <f t="shared" si="3"/>
        <v>629095.24822909303</v>
      </c>
      <c r="V20" s="283">
        <f t="shared" si="3"/>
        <v>641677.15319367498</v>
      </c>
      <c r="W20" s="283">
        <f t="shared" si="3"/>
        <v>654510.69625754841</v>
      </c>
      <c r="X20" s="283">
        <f t="shared" si="3"/>
        <v>667600.91018269921</v>
      </c>
      <c r="Y20" s="283">
        <f t="shared" si="3"/>
        <v>680952.92838635331</v>
      </c>
    </row>
    <row r="21" spans="3:25" ht="13.5" customHeight="1">
      <c r="C21" s="11" t="s">
        <v>338</v>
      </c>
      <c r="E21" s="284">
        <f t="shared" ref="E21:Y21" si="4">-E20*$E$7</f>
        <v>-9165.2360000000008</v>
      </c>
      <c r="F21" s="284">
        <f t="shared" si="4"/>
        <v>-9348.5407200000027</v>
      </c>
      <c r="G21" s="284">
        <f t="shared" si="4"/>
        <v>-9535.5115344000005</v>
      </c>
      <c r="H21" s="284">
        <f t="shared" si="4"/>
        <v>-9726.2217650879993</v>
      </c>
      <c r="I21" s="284">
        <f t="shared" si="4"/>
        <v>-9920.7462003897599</v>
      </c>
      <c r="J21" s="284">
        <f t="shared" si="4"/>
        <v>-10119.161124397555</v>
      </c>
      <c r="K21" s="284">
        <f t="shared" si="4"/>
        <v>-10321.544346885506</v>
      </c>
      <c r="L21" s="284">
        <f t="shared" si="4"/>
        <v>-10527.975233823216</v>
      </c>
      <c r="M21" s="284">
        <f t="shared" si="4"/>
        <v>-10738.53473849968</v>
      </c>
      <c r="N21" s="284">
        <f t="shared" si="4"/>
        <v>-10953.305433269674</v>
      </c>
      <c r="O21" s="284">
        <f t="shared" si="4"/>
        <v>-11172.371541935068</v>
      </c>
      <c r="P21" s="284">
        <f t="shared" si="4"/>
        <v>-11395.818972773768</v>
      </c>
      <c r="Q21" s="284">
        <f t="shared" si="4"/>
        <v>-11623.735352229243</v>
      </c>
      <c r="R21" s="284">
        <f t="shared" si="4"/>
        <v>-11856.210059273828</v>
      </c>
      <c r="S21" s="284">
        <f t="shared" si="4"/>
        <v>-12093.334260459305</v>
      </c>
      <c r="T21" s="284">
        <f t="shared" si="4"/>
        <v>-12335.200945668488</v>
      </c>
      <c r="U21" s="284">
        <f t="shared" si="4"/>
        <v>-12581.904964581861</v>
      </c>
      <c r="V21" s="284">
        <f t="shared" si="4"/>
        <v>-12833.5430638735</v>
      </c>
      <c r="W21" s="284">
        <f t="shared" si="4"/>
        <v>-13090.213925150969</v>
      </c>
      <c r="X21" s="284">
        <f t="shared" si="4"/>
        <v>-13352.018203653985</v>
      </c>
      <c r="Y21" s="284">
        <f t="shared" si="4"/>
        <v>-13619.058567727066</v>
      </c>
    </row>
    <row r="22" spans="3:25" ht="13.5" customHeight="1">
      <c r="C22" s="3" t="s">
        <v>339</v>
      </c>
      <c r="E22" s="285">
        <f t="shared" ref="E22:Y22" si="5">E20+E21</f>
        <v>449096.56400000007</v>
      </c>
      <c r="F22" s="285">
        <f t="shared" si="5"/>
        <v>458078.49528000009</v>
      </c>
      <c r="G22" s="285">
        <f t="shared" si="5"/>
        <v>467240.06518560002</v>
      </c>
      <c r="H22" s="285">
        <f t="shared" si="5"/>
        <v>476584.86648931197</v>
      </c>
      <c r="I22" s="285">
        <f t="shared" si="5"/>
        <v>486116.56381909823</v>
      </c>
      <c r="J22" s="285">
        <f t="shared" si="5"/>
        <v>495838.8950954802</v>
      </c>
      <c r="K22" s="285">
        <f t="shared" si="5"/>
        <v>505755.6729973898</v>
      </c>
      <c r="L22" s="285">
        <f t="shared" si="5"/>
        <v>515870.7864573375</v>
      </c>
      <c r="M22" s="285">
        <f t="shared" si="5"/>
        <v>526188.20218648436</v>
      </c>
      <c r="N22" s="285">
        <f t="shared" si="5"/>
        <v>536711.96623021399</v>
      </c>
      <c r="O22" s="285">
        <f t="shared" si="5"/>
        <v>547446.20555481839</v>
      </c>
      <c r="P22" s="285">
        <f t="shared" si="5"/>
        <v>558395.12966591469</v>
      </c>
      <c r="Q22" s="285">
        <f t="shared" si="5"/>
        <v>569563.03225923295</v>
      </c>
      <c r="R22" s="285">
        <f t="shared" si="5"/>
        <v>580954.2929044175</v>
      </c>
      <c r="S22" s="285">
        <f t="shared" si="5"/>
        <v>592573.37876250595</v>
      </c>
      <c r="T22" s="285">
        <f t="shared" si="5"/>
        <v>604424.84633775591</v>
      </c>
      <c r="U22" s="285">
        <f t="shared" si="5"/>
        <v>616513.3432645112</v>
      </c>
      <c r="V22" s="285">
        <f t="shared" si="5"/>
        <v>628843.61012980144</v>
      </c>
      <c r="W22" s="285">
        <f t="shared" si="5"/>
        <v>641420.48233239749</v>
      </c>
      <c r="X22" s="285">
        <f t="shared" si="5"/>
        <v>654248.89197904523</v>
      </c>
      <c r="Y22" s="285">
        <f t="shared" si="5"/>
        <v>667333.8698186262</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449096.56400000007</v>
      </c>
      <c r="F24" s="286">
        <f t="shared" si="7"/>
        <v>458078.49528000009</v>
      </c>
      <c r="G24" s="286">
        <f t="shared" si="7"/>
        <v>467240.06518560002</v>
      </c>
      <c r="H24" s="286">
        <f t="shared" si="7"/>
        <v>476584.86648931197</v>
      </c>
      <c r="I24" s="286">
        <f t="shared" si="7"/>
        <v>486116.56381909823</v>
      </c>
      <c r="J24" s="286">
        <f t="shared" si="7"/>
        <v>495838.8950954802</v>
      </c>
      <c r="K24" s="286">
        <f t="shared" si="7"/>
        <v>505755.6729973898</v>
      </c>
      <c r="L24" s="286">
        <f t="shared" si="7"/>
        <v>515870.7864573375</v>
      </c>
      <c r="M24" s="286">
        <f t="shared" si="7"/>
        <v>526188.20218648436</v>
      </c>
      <c r="N24" s="286">
        <f t="shared" si="7"/>
        <v>536711.96623021399</v>
      </c>
      <c r="O24" s="286">
        <f t="shared" si="7"/>
        <v>547446.20555481839</v>
      </c>
      <c r="P24" s="286">
        <f t="shared" si="7"/>
        <v>558395.12966591469</v>
      </c>
      <c r="Q24" s="286">
        <f t="shared" si="7"/>
        <v>569563.03225923295</v>
      </c>
      <c r="R24" s="286">
        <f t="shared" si="7"/>
        <v>580954.2929044175</v>
      </c>
      <c r="S24" s="286">
        <f t="shared" si="7"/>
        <v>592573.37876250595</v>
      </c>
      <c r="T24" s="286">
        <f t="shared" si="7"/>
        <v>604424.84633775591</v>
      </c>
      <c r="U24" s="286">
        <f t="shared" si="7"/>
        <v>616513.3432645112</v>
      </c>
      <c r="V24" s="286">
        <f t="shared" si="7"/>
        <v>628843.61012980144</v>
      </c>
      <c r="W24" s="286">
        <f t="shared" si="7"/>
        <v>641420.48233239749</v>
      </c>
      <c r="X24" s="286">
        <f t="shared" si="7"/>
        <v>654248.89197904523</v>
      </c>
      <c r="Y24" s="286">
        <f t="shared" si="7"/>
        <v>667333.8698186262</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22282</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23173.280000000002</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24100.211200000002</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25064.219648000002</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26066.788433920006</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27109.459971276807</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28193.83837012788</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29321.591904932993</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30494.455581130318</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31714.233804375534</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32507.089649484918</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33319.766890722043</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34152.761062990096</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35006.580089564843</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35881.744591803959</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36778.788206599056</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37698.257911764034</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38640.714359558129</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39606.732218547077</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40596.900524010751</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41611.823037111026</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1250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1300</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1352.0000000000002</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1406.0800000000002</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1462.3232000000003</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1520.8161280000004</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1581.6487731200004</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1644.9147240448003</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1710.7113130065927</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1779.1397655268565</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1823.6182596650276</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1869.2087161566535</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1915.9389340605699</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1963.8374074120838</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2012.9333425973855</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2063.2566761623202</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2114.8380930663784</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2167.7090453930377</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2221.9017715278628</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2277.4493158160599</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2334.3855487114611</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20185</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20992.400000000001</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21832.096000000001</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22705.379840000001</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23613.595033600006</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24558.138834944006</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25540.464388341767</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26562.082963875437</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27624.566282430456</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28729.548933727678</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29447.787657070869</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30183.98234849764</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30938.581907210082</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31712.046454890329</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32504.847616262581</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33317.468806669145</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34150.405526835879</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35004.165665006767</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35879.269806631935</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36776.25155179773</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37695.657840592678</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16400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17056</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17738.240000000002</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18447.7696</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19185.680384000003</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19953.107599360006</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20751.231903334407</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21581.28117946778</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22444.532426646496</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23342.313723712356</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23925.871566805163</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24524.018355975291</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25137.118814874677</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25765.546785246537</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26409.685454877697</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27069.927591249641</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27746.675781030881</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28440.342675556654</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29151.351242445562</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29880.135023506704</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30627.138399094372</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26000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27040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28121.600000000002</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29246.464000000004</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30416.322560000004</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31632.975462400009</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32898.294480896009</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34214.226260131843</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35582.795310537127</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37006.107122958616</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37931.259801032575</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38879.541296058393</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39851.529828459854</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40847.818074171344</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41869.013526025621</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42915.738864176259</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43988.632335780669</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45088.348144175179</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46215.556847779553</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47370.945768974045</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48555.219413198392</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10000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10400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10816.000000000002</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11248.640000000001</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11698.585600000002</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12166.529024000003</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12653.190184960004</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13159.317792358403</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13685.690504052742</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14233.118124214852</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14588.946077320221</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14953.669729253228</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15327.511472484559</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15710.699259296671</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16103.466740779084</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16506.053409298562</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16918.704744531027</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17341.672363144302</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17775.214172222903</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18219.594526528479</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18675.084389691689</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845</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878.80000000000007</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913.95200000000011</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950.51008000000002</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988.53048320000016</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1028.0717025280003</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1069.1945706291203</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1111.962353454285</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1156.4408475924565</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1202.698481496155</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1232.7659435335588</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1263.5850921218978</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1295.1747194249451</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1327.5540874105686</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1360.7429395958327</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1394.7615130857284</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1429.6305509128717</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1465.3713146856933</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1502.0055975528353</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1539.5557374916564</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1578.0446309289478</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5616</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5840.64</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6074.2656000000006</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6317.2362240000002</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6569.9256729600011</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6832.7226998784017</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7106.0316078735377</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7390.2728721884787</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7685.883787076019</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7993.3191385590608</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8193.1521170230371</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8397.9809199486117</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8607.9304429473286</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8823.12870402101</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9043.7069216215332</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9269.7995946620722</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9501.5445845286249</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9739.0831991418399</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9982.5602791203837</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10232.124286098393</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10487.927393250853</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41635</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43300.4</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45032.416000000005</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46833.712640000005</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48707.061145600012</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50655.343591424011</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52681.557335080972</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54788.819628484212</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56980.372413623591</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59259.587310168536</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60741.076992922746</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62259.603917745815</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63816.094015689458</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65411.496366081687</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67046.783775233722</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68722.953369614566</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70441.02720385493</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72202.052883951299</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74007.104206050062</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75857.281811201319</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77753.71385648135</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55651</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57877.04</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60192.121600000006</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62599.806464000008</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65103.798722560015</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67707.950671462415</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70416.268698320913</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73232.919446253742</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76162.236224103908</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79208.725673068067</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81188.943814894767</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83218.667410267139</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85299.134095523812</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87431.612447911903</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89617.402759109682</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91857.837828087431</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94154.283773789604</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96508.140868134346</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98920.844389837686</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101393.86549958363</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103928.71213707322</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15724</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16352.960000000001</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17007.078400000002</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17687.361536</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18394.855997440005</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19130.650237337606</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19895.876246831111</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20691.711296704354</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21519.37974857253</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22380.154938515432</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22939.658811978315</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23513.150282277773</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24100.979039334721</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24703.503515318083</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25321.091103201034</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25954.118380781059</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26602.971340300584</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27268.045623808099</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27949.746764403295</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28648.49043351338</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29364.702694351214</v>
      </c>
    </row>
    <row r="39" spans="3:25" ht="13.15" customHeight="1">
      <c r="C39" s="14" t="s">
        <v>355</v>
      </c>
      <c r="E39" s="286">
        <f t="shared" ref="E39:Y39" si="8">SUM(E27:E38)</f>
        <v>215588</v>
      </c>
      <c r="F39" s="286">
        <f t="shared" si="8"/>
        <v>224211.52000000002</v>
      </c>
      <c r="G39" s="286">
        <f t="shared" si="8"/>
        <v>233179.98080000002</v>
      </c>
      <c r="H39" s="286">
        <f t="shared" si="8"/>
        <v>242507.18003200003</v>
      </c>
      <c r="I39" s="286">
        <f t="shared" si="8"/>
        <v>252207.46723328004</v>
      </c>
      <c r="J39" s="286">
        <f t="shared" si="8"/>
        <v>262295.76592261129</v>
      </c>
      <c r="K39" s="286">
        <f t="shared" si="8"/>
        <v>272787.59655951569</v>
      </c>
      <c r="L39" s="286">
        <f t="shared" si="8"/>
        <v>283699.10042189632</v>
      </c>
      <c r="M39" s="286">
        <f t="shared" si="8"/>
        <v>295047.06443877221</v>
      </c>
      <c r="N39" s="286">
        <f t="shared" si="8"/>
        <v>306848.94701632316</v>
      </c>
      <c r="O39" s="286">
        <f t="shared" si="8"/>
        <v>314520.17069173121</v>
      </c>
      <c r="P39" s="286">
        <f t="shared" si="8"/>
        <v>322383.17495902447</v>
      </c>
      <c r="Q39" s="286">
        <f t="shared" si="8"/>
        <v>330442.75433300005</v>
      </c>
      <c r="R39" s="286">
        <f t="shared" si="8"/>
        <v>338703.82319132512</v>
      </c>
      <c r="S39" s="286">
        <f t="shared" si="8"/>
        <v>347171.41877110815</v>
      </c>
      <c r="T39" s="286">
        <f t="shared" si="8"/>
        <v>355850.70424038579</v>
      </c>
      <c r="U39" s="286">
        <f t="shared" si="8"/>
        <v>364746.97184639546</v>
      </c>
      <c r="V39" s="286">
        <f t="shared" si="8"/>
        <v>373865.64614255534</v>
      </c>
      <c r="W39" s="286">
        <f t="shared" si="8"/>
        <v>383212.28729611915</v>
      </c>
      <c r="X39" s="286">
        <f t="shared" si="8"/>
        <v>392792.59447852214</v>
      </c>
      <c r="Y39" s="286">
        <f t="shared" si="8"/>
        <v>402612.40934048517</v>
      </c>
    </row>
    <row r="40" spans="3:25" ht="7.15" customHeight="1"/>
    <row r="41" spans="3:25" ht="13.5" customHeight="1">
      <c r="C41" s="15" t="s">
        <v>356</v>
      </c>
      <c r="D41" s="8"/>
      <c r="E41" s="287">
        <f t="shared" ref="E41:Y41" si="9">E24-E39</f>
        <v>233508.56400000007</v>
      </c>
      <c r="F41" s="287">
        <f t="shared" si="9"/>
        <v>233866.97528000007</v>
      </c>
      <c r="G41" s="287">
        <f t="shared" si="9"/>
        <v>234060.0843856</v>
      </c>
      <c r="H41" s="287">
        <f t="shared" si="9"/>
        <v>234077.68645731194</v>
      </c>
      <c r="I41" s="287">
        <f t="shared" si="9"/>
        <v>233909.09658581819</v>
      </c>
      <c r="J41" s="287">
        <f t="shared" si="9"/>
        <v>233543.12917286891</v>
      </c>
      <c r="K41" s="287">
        <f t="shared" si="9"/>
        <v>232968.07643787412</v>
      </c>
      <c r="L41" s="287">
        <f t="shared" si="9"/>
        <v>232171.68603544118</v>
      </c>
      <c r="M41" s="287">
        <f t="shared" si="9"/>
        <v>231141.13774771214</v>
      </c>
      <c r="N41" s="287">
        <f t="shared" si="9"/>
        <v>229863.01921389083</v>
      </c>
      <c r="O41" s="287">
        <f t="shared" si="9"/>
        <v>232926.03486308717</v>
      </c>
      <c r="P41" s="287">
        <f t="shared" si="9"/>
        <v>236011.95470689022</v>
      </c>
      <c r="Q41" s="287">
        <f t="shared" si="9"/>
        <v>239120.2779262329</v>
      </c>
      <c r="R41" s="287">
        <f t="shared" si="9"/>
        <v>242250.46971309237</v>
      </c>
      <c r="S41" s="287">
        <f t="shared" si="9"/>
        <v>245401.9599913978</v>
      </c>
      <c r="T41" s="287">
        <f t="shared" si="9"/>
        <v>248574.14209737012</v>
      </c>
      <c r="U41" s="287">
        <f t="shared" si="9"/>
        <v>251766.37141811574</v>
      </c>
      <c r="V41" s="287">
        <f t="shared" si="9"/>
        <v>254977.9639872461</v>
      </c>
      <c r="W41" s="287">
        <f t="shared" si="9"/>
        <v>258208.19503627834</v>
      </c>
      <c r="X41" s="287">
        <f t="shared" si="9"/>
        <v>261456.2975005231</v>
      </c>
      <c r="Y41" s="287">
        <f t="shared" si="9"/>
        <v>264721.46047814103</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5700</v>
      </c>
      <c r="F44" s="283">
        <f t="shared" si="11"/>
        <v>5814</v>
      </c>
      <c r="G44" s="283">
        <f t="shared" si="11"/>
        <v>5930.28</v>
      </c>
      <c r="H44" s="283">
        <f t="shared" si="11"/>
        <v>6048.8855999999996</v>
      </c>
      <c r="I44" s="283">
        <f t="shared" si="11"/>
        <v>6169.8633119999995</v>
      </c>
      <c r="J44" s="283">
        <f t="shared" si="11"/>
        <v>6293.2605782400005</v>
      </c>
      <c r="K44" s="283">
        <f t="shared" si="11"/>
        <v>6419.1257898048007</v>
      </c>
      <c r="L44" s="283">
        <f t="shared" si="11"/>
        <v>6547.5083056008953</v>
      </c>
      <c r="M44" s="283">
        <f t="shared" si="11"/>
        <v>6678.4584717129137</v>
      </c>
      <c r="N44" s="283">
        <f t="shared" si="11"/>
        <v>6812.0276411471714</v>
      </c>
      <c r="O44" s="283">
        <f t="shared" si="11"/>
        <v>6948.2681939701151</v>
      </c>
      <c r="P44" s="283">
        <f t="shared" si="11"/>
        <v>7087.2335578495167</v>
      </c>
      <c r="Q44" s="283">
        <f t="shared" si="11"/>
        <v>7228.9782290065077</v>
      </c>
      <c r="R44" s="283">
        <f t="shared" si="11"/>
        <v>7373.5577935866377</v>
      </c>
      <c r="S44" s="283">
        <f t="shared" si="11"/>
        <v>7521.0289494583712</v>
      </c>
      <c r="T44" s="283">
        <f t="shared" si="11"/>
        <v>7671.449528447537</v>
      </c>
      <c r="U44" s="283">
        <f t="shared" si="11"/>
        <v>7824.878519016489</v>
      </c>
      <c r="V44" s="283">
        <f t="shared" si="11"/>
        <v>7981.3760893968192</v>
      </c>
      <c r="W44" s="283">
        <f t="shared" si="11"/>
        <v>8141.0036111847548</v>
      </c>
      <c r="X44" s="283">
        <f t="shared" si="11"/>
        <v>8303.8236834084491</v>
      </c>
      <c r="Y44" s="283">
        <f t="shared" si="11"/>
        <v>8469.9001570766195</v>
      </c>
    </row>
    <row r="45" spans="3:25" ht="13.5" customHeight="1">
      <c r="C45" s="15" t="s">
        <v>359</v>
      </c>
      <c r="D45" s="8"/>
      <c r="E45" s="287">
        <f t="shared" ref="E45:Y45" si="12">E41-E44</f>
        <v>227808.56400000007</v>
      </c>
      <c r="F45" s="287">
        <f t="shared" si="12"/>
        <v>228052.97528000007</v>
      </c>
      <c r="G45" s="287">
        <f t="shared" si="12"/>
        <v>228129.8043856</v>
      </c>
      <c r="H45" s="287">
        <f t="shared" si="12"/>
        <v>228028.80085731193</v>
      </c>
      <c r="I45" s="287">
        <f t="shared" si="12"/>
        <v>227739.23327381819</v>
      </c>
      <c r="J45" s="287">
        <f t="shared" si="12"/>
        <v>227249.8685946289</v>
      </c>
      <c r="K45" s="287">
        <f t="shared" si="12"/>
        <v>226548.95064806932</v>
      </c>
      <c r="L45" s="287">
        <f t="shared" si="12"/>
        <v>225624.17772984027</v>
      </c>
      <c r="M45" s="287">
        <f t="shared" si="12"/>
        <v>224462.67927599922</v>
      </c>
      <c r="N45" s="287">
        <f t="shared" si="12"/>
        <v>223050.99157274366</v>
      </c>
      <c r="O45" s="287">
        <f t="shared" si="12"/>
        <v>225977.76666911706</v>
      </c>
      <c r="P45" s="287">
        <f t="shared" si="12"/>
        <v>228924.72114904071</v>
      </c>
      <c r="Q45" s="287">
        <f t="shared" si="12"/>
        <v>231891.29969722638</v>
      </c>
      <c r="R45" s="287">
        <f t="shared" si="12"/>
        <v>234876.91191950574</v>
      </c>
      <c r="S45" s="287">
        <f t="shared" si="12"/>
        <v>237880.93104193942</v>
      </c>
      <c r="T45" s="287">
        <f t="shared" si="12"/>
        <v>240902.69256892259</v>
      </c>
      <c r="U45" s="287">
        <f t="shared" si="12"/>
        <v>243941.49289909925</v>
      </c>
      <c r="V45" s="287">
        <f t="shared" si="12"/>
        <v>246996.58789784927</v>
      </c>
      <c r="W45" s="287">
        <f t="shared" si="12"/>
        <v>250067.1914250936</v>
      </c>
      <c r="X45" s="287">
        <f t="shared" si="12"/>
        <v>253152.47381711466</v>
      </c>
      <c r="Y45" s="287">
        <f t="shared" si="12"/>
        <v>256251.5603210644</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(E$12&gt;=$F$2)*IFERROR(INDEX('02_Debt Engine'!$F$46:$Z$62,MATCH($C$1,'02_Debt Engine'!$B$19:$B$35,0),MATCH(E$12,'02_Debt Engine'!$F$45:$Z$45,0)),0)</f>
        <v>291146.28000000003</v>
      </c>
      <c r="F48" s="286">
        <f>(F$12&gt;=$F$2)*IFERROR(INDEX('02_Debt Engine'!$F$46:$Z$62,MATCH($C$1,'02_Debt Engine'!$B$19:$B$35,0),MATCH(F$12,'02_Debt Engine'!$F$45:$Z$45,0)),0)</f>
        <v>291146.28000000003</v>
      </c>
      <c r="G48" s="286">
        <f>(G$12&gt;=$F$2)*IFERROR(INDEX('02_Debt Engine'!$F$46:$Z$62,MATCH($C$1,'02_Debt Engine'!$B$19:$B$35,0),MATCH(G$12,'02_Debt Engine'!$F$45:$Z$45,0)),0)</f>
        <v>291146.28000000003</v>
      </c>
      <c r="H48" s="286">
        <f>(H$12&gt;=$F$2)*IFERROR(INDEX('02_Debt Engine'!$F$46:$Z$62,MATCH($C$1,'02_Debt Engine'!$B$19:$B$35,0),MATCH(H$12,'02_Debt Engine'!$F$45:$Z$45,0)),0)</f>
        <v>291146.28000000003</v>
      </c>
      <c r="I48" s="286">
        <f>(I$12&gt;=$F$2)*IFERROR(INDEX('02_Debt Engine'!$F$46:$Z$62,MATCH($C$1,'02_Debt Engine'!$B$19:$B$35,0),MATCH(I$12,'02_Debt Engine'!$F$45:$Z$45,0)),0)</f>
        <v>291146.28000000003</v>
      </c>
      <c r="J48" s="286">
        <f>(J$12&gt;=$F$2)*IFERROR(INDEX('02_Debt Engine'!$F$46:$Z$62,MATCH($C$1,'02_Debt Engine'!$B$19:$B$35,0),MATCH(J$12,'02_Debt Engine'!$F$45:$Z$45,0)),0)</f>
        <v>291146.28000000003</v>
      </c>
      <c r="K48" s="286">
        <f>(K$12&gt;=$F$2)*IFERROR(INDEX('02_Debt Engine'!$F$46:$Z$62,MATCH($C$1,'02_Debt Engine'!$B$19:$B$35,0),MATCH(K$12,'02_Debt Engine'!$F$45:$Z$45,0)),0)</f>
        <v>291146.28000000003</v>
      </c>
      <c r="L48" s="286">
        <f>(L$12&gt;=$F$2)*IFERROR(INDEX('02_Debt Engine'!$F$46:$Z$62,MATCH($C$1,'02_Debt Engine'!$B$19:$B$35,0),MATCH(L$12,'02_Debt Engine'!$F$45:$Z$45,0)),0)</f>
        <v>146404.95610520948</v>
      </c>
      <c r="M48" s="286">
        <f>(M$12&gt;=$F$2)*IFERROR(INDEX('02_Debt Engine'!$F$46:$Z$62,MATCH($C$1,'02_Debt Engine'!$B$19:$B$35,0),MATCH(M$12,'02_Debt Engine'!$F$45:$Z$45,0)),0)</f>
        <v>0</v>
      </c>
      <c r="N48" s="286">
        <f>(N$12&gt;=$F$2)*IFERROR(INDEX('02_Debt Engine'!$F$46:$Z$62,MATCH($C$1,'02_Debt Engine'!$B$19:$B$35,0),MATCH(N$12,'02_Debt Engine'!$F$45:$Z$45,0)),0)</f>
        <v>0</v>
      </c>
      <c r="O48" s="286">
        <f>(O$12&gt;=$F$2)*IFERROR(INDEX('02_Debt Engine'!$F$46:$Z$62,MATCH($C$1,'02_Debt Engine'!$B$19:$B$35,0),MATCH(O$12,'02_Debt Engine'!$F$45:$Z$45,0)),0)</f>
        <v>0</v>
      </c>
      <c r="P48" s="286">
        <f>(P$12&gt;=$F$2)*IFERROR(INDEX('02_Debt Engine'!$F$46:$Z$62,MATCH($C$1,'02_Debt Engine'!$B$19:$B$35,0),MATCH(P$12,'02_Debt Engine'!$F$45:$Z$45,0)),0)</f>
        <v>0</v>
      </c>
      <c r="Q48" s="286">
        <f>(Q$12&gt;=$F$2)*IFERROR(INDEX('02_Debt Engine'!$F$46:$Z$62,MATCH($C$1,'02_Debt Engine'!$B$19:$B$35,0),MATCH(Q$12,'02_Debt Engine'!$F$45:$Z$45,0)),0)</f>
        <v>0</v>
      </c>
      <c r="R48" s="286">
        <f>(R$12&gt;=$F$2)*IFERROR(INDEX('02_Debt Engine'!$F$46:$Z$62,MATCH($C$1,'02_Debt Engine'!$B$19:$B$35,0),MATCH(R$12,'02_Debt Engine'!$F$45:$Z$45,0)),0)</f>
        <v>0</v>
      </c>
      <c r="S48" s="286">
        <f>(S$12&gt;=$F$2)*IFERROR(INDEX('02_Debt Engine'!$F$46:$Z$62,MATCH($C$1,'02_Debt Engine'!$B$19:$B$35,0),MATCH(S$12,'02_Debt Engine'!$F$45:$Z$45,0)),0)</f>
        <v>0</v>
      </c>
      <c r="T48" s="286">
        <f>(T$12&gt;=$F$2)*IFERROR(INDEX('02_Debt Engine'!$F$46:$Z$62,MATCH($C$1,'02_Debt Engine'!$B$19:$B$35,0),MATCH(T$12,'02_Debt Engine'!$F$45:$Z$45,0)),0)</f>
        <v>0</v>
      </c>
      <c r="U48" s="286">
        <f>(U$12&gt;=$F$2)*IFERROR(INDEX('02_Debt Engine'!$F$46:$Z$62,MATCH($C$1,'02_Debt Engine'!$B$19:$B$35,0),MATCH(U$12,'02_Debt Engine'!$F$45:$Z$45,0)),0)</f>
        <v>0</v>
      </c>
      <c r="V48" s="286">
        <f>(V$12&gt;=$F$2)*IFERROR(INDEX('02_Debt Engine'!$F$46:$Z$62,MATCH($C$1,'02_Debt Engine'!$B$19:$B$35,0),MATCH(V$12,'02_Debt Engine'!$F$45:$Z$45,0)),0)</f>
        <v>0</v>
      </c>
      <c r="W48" s="286">
        <f>(W$12&gt;=$F$2)*IFERROR(INDEX('02_Debt Engine'!$F$46:$Z$62,MATCH($C$1,'02_Debt Engine'!$B$19:$B$35,0),MATCH(W$12,'02_Debt Engine'!$F$45:$Z$45,0)),0)</f>
        <v>0</v>
      </c>
      <c r="X48" s="286">
        <f>(X$12&gt;=$F$2)*IFERROR(INDEX('02_Debt Engine'!$F$46:$Z$62,MATCH($C$1,'02_Debt Engine'!$B$19:$B$35,0),MATCH(X$12,'02_Debt Engine'!$F$45:$Z$45,0)),0)</f>
        <v>0</v>
      </c>
      <c r="Y48" s="286">
        <f>(Y$12&gt;=$F$2)*IFERROR(INDEX('02_Debt Engine'!$F$46:$Z$62,MATCH($C$1,'02_Debt Engine'!$B$19:$B$35,0),MATCH(Y$12,'02_Debt Engine'!$F$45:$Z$45,0)),0)</f>
        <v>0</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0.80203176217810523</v>
      </c>
      <c r="F50" s="290">
        <f t="shared" si="14"/>
        <v>0.80326279724405225</v>
      </c>
      <c r="G50" s="290">
        <f t="shared" si="14"/>
        <v>0.80392606900421315</v>
      </c>
      <c r="H50" s="290">
        <f t="shared" si="14"/>
        <v>0.80398652683218863</v>
      </c>
      <c r="I50" s="290">
        <f t="shared" si="14"/>
        <v>0.80340747127463952</v>
      </c>
      <c r="J50" s="290">
        <f t="shared" si="14"/>
        <v>0.80215048316217152</v>
      </c>
      <c r="K50" s="290">
        <f t="shared" si="14"/>
        <v>0.80017534978593607</v>
      </c>
      <c r="L50" s="290">
        <f t="shared" si="14"/>
        <v>1.5858184873782417</v>
      </c>
      <c r="M50" s="290" t="str">
        <f t="shared" si="14"/>
        <v/>
      </c>
      <c r="N50" s="290" t="str">
        <f t="shared" si="14"/>
        <v/>
      </c>
      <c r="O50" s="290" t="str">
        <f t="shared" si="14"/>
        <v/>
      </c>
      <c r="P50" s="290" t="str">
        <f t="shared" si="14"/>
        <v/>
      </c>
      <c r="Q50" s="290" t="str">
        <f t="shared" si="14"/>
        <v/>
      </c>
      <c r="R50" s="290" t="str">
        <f t="shared" si="14"/>
        <v/>
      </c>
      <c r="S50" s="290" t="str">
        <f t="shared" si="14"/>
        <v/>
      </c>
      <c r="T50" s="290" t="str">
        <f t="shared" si="14"/>
        <v/>
      </c>
      <c r="U50" s="290" t="str">
        <f t="shared" si="14"/>
        <v/>
      </c>
      <c r="V50" s="290" t="str">
        <f t="shared" si="14"/>
        <v/>
      </c>
      <c r="W50" s="290" t="str">
        <f t="shared" si="14"/>
        <v/>
      </c>
      <c r="X50" s="290" t="str">
        <f t="shared" si="14"/>
        <v/>
      </c>
      <c r="Y50" s="290" t="str">
        <f t="shared" si="14"/>
        <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-57637.715999999957</v>
      </c>
      <c r="F52" s="291">
        <f t="shared" si="15"/>
        <v>-57279.304719999956</v>
      </c>
      <c r="G52" s="291">
        <f t="shared" si="15"/>
        <v>-57086.195614400029</v>
      </c>
      <c r="H52" s="291">
        <f t="shared" si="15"/>
        <v>-57068.59354268809</v>
      </c>
      <c r="I52" s="291">
        <f t="shared" si="15"/>
        <v>-57237.18341418184</v>
      </c>
      <c r="J52" s="291">
        <f t="shared" si="15"/>
        <v>-57603.150827131118</v>
      </c>
      <c r="K52" s="291">
        <f t="shared" si="15"/>
        <v>-58178.203562125913</v>
      </c>
      <c r="L52" s="291">
        <f t="shared" si="15"/>
        <v>85766.729930231697</v>
      </c>
      <c r="M52" s="291">
        <f t="shared" si="15"/>
        <v>231141.13774771214</v>
      </c>
      <c r="N52" s="291">
        <f t="shared" si="15"/>
        <v>229863.01921389083</v>
      </c>
      <c r="O52" s="291">
        <f t="shared" si="15"/>
        <v>232926.03486308717</v>
      </c>
      <c r="P52" s="291">
        <f t="shared" si="15"/>
        <v>236011.95470689022</v>
      </c>
      <c r="Q52" s="291">
        <f t="shared" si="15"/>
        <v>239120.2779262329</v>
      </c>
      <c r="R52" s="291">
        <f t="shared" si="15"/>
        <v>242250.46971309237</v>
      </c>
      <c r="S52" s="291">
        <f t="shared" si="15"/>
        <v>245401.9599913978</v>
      </c>
      <c r="T52" s="291">
        <f t="shared" si="15"/>
        <v>248574.14209737012</v>
      </c>
      <c r="U52" s="291">
        <f t="shared" si="15"/>
        <v>251766.37141811574</v>
      </c>
      <c r="V52" s="291">
        <f t="shared" si="15"/>
        <v>254977.9639872461</v>
      </c>
      <c r="W52" s="291">
        <f t="shared" si="15"/>
        <v>258208.19503627834</v>
      </c>
      <c r="X52" s="291">
        <f t="shared" si="15"/>
        <v>261456.2975005231</v>
      </c>
      <c r="Y52" s="291">
        <f t="shared" si="15"/>
        <v>264721.46047814103</v>
      </c>
    </row>
    <row r="53" spans="3:25" ht="7.15" customHeight="1">
      <c r="C53" s="14"/>
      <c r="D53" s="17"/>
    </row>
    <row r="54" spans="3:25" ht="13.5" customHeight="1">
      <c r="C54" s="15" t="s">
        <v>363</v>
      </c>
      <c r="D54" s="20"/>
      <c r="E54" s="292">
        <f t="shared" ref="E54:Y54" si="16">IF(E52&lt;0,0,E52*$G$7)</f>
        <v>0</v>
      </c>
      <c r="F54" s="292">
        <f t="shared" si="16"/>
        <v>0</v>
      </c>
      <c r="G54" s="292">
        <f t="shared" si="16"/>
        <v>0</v>
      </c>
      <c r="H54" s="292">
        <f t="shared" si="16"/>
        <v>0</v>
      </c>
      <c r="I54" s="292">
        <f t="shared" si="16"/>
        <v>0</v>
      </c>
      <c r="J54" s="292">
        <f t="shared" si="16"/>
        <v>0</v>
      </c>
      <c r="K54" s="292">
        <f t="shared" si="16"/>
        <v>0</v>
      </c>
      <c r="L54" s="292">
        <f t="shared" si="16"/>
        <v>51460.037958139015</v>
      </c>
      <c r="M54" s="292">
        <f t="shared" si="16"/>
        <v>138684.68264862729</v>
      </c>
      <c r="N54" s="292">
        <f t="shared" si="16"/>
        <v>137917.81152833448</v>
      </c>
      <c r="O54" s="292">
        <f t="shared" si="16"/>
        <v>139755.6209178523</v>
      </c>
      <c r="P54" s="292">
        <f t="shared" si="16"/>
        <v>141607.17282413412</v>
      </c>
      <c r="Q54" s="292">
        <f t="shared" si="16"/>
        <v>143472.16675573974</v>
      </c>
      <c r="R54" s="292">
        <f t="shared" si="16"/>
        <v>145350.28182785542</v>
      </c>
      <c r="S54" s="292">
        <f t="shared" si="16"/>
        <v>147241.17599483868</v>
      </c>
      <c r="T54" s="292">
        <f t="shared" si="16"/>
        <v>149144.48525842206</v>
      </c>
      <c r="U54" s="292">
        <f t="shared" si="16"/>
        <v>151059.82285086944</v>
      </c>
      <c r="V54" s="292">
        <f t="shared" si="16"/>
        <v>152986.77839234765</v>
      </c>
      <c r="W54" s="292">
        <f t="shared" si="16"/>
        <v>154924.917021767</v>
      </c>
      <c r="X54" s="292">
        <f t="shared" si="16"/>
        <v>156873.77850031384</v>
      </c>
      <c r="Y54" s="292">
        <f t="shared" si="16"/>
        <v>158832.87628688462</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-57637.715999999957</v>
      </c>
      <c r="F56" s="291">
        <f t="shared" si="17"/>
        <v>-57279.304719999956</v>
      </c>
      <c r="G56" s="291">
        <f t="shared" si="17"/>
        <v>-57086.195614400029</v>
      </c>
      <c r="H56" s="291">
        <f t="shared" si="17"/>
        <v>-57068.59354268809</v>
      </c>
      <c r="I56" s="291">
        <f t="shared" si="17"/>
        <v>-57237.18341418184</v>
      </c>
      <c r="J56" s="291">
        <f t="shared" si="17"/>
        <v>-57603.150827131118</v>
      </c>
      <c r="K56" s="291">
        <f t="shared" si="17"/>
        <v>-58178.203562125913</v>
      </c>
      <c r="L56" s="291">
        <f t="shared" si="17"/>
        <v>34306.691972092682</v>
      </c>
      <c r="M56" s="291">
        <f t="shared" si="17"/>
        <v>92456.455099084851</v>
      </c>
      <c r="N56" s="291">
        <f t="shared" si="17"/>
        <v>91945.20768555635</v>
      </c>
      <c r="O56" s="291">
        <f t="shared" si="17"/>
        <v>93170.413945234875</v>
      </c>
      <c r="P56" s="291">
        <f t="shared" si="17"/>
        <v>94404.781882756099</v>
      </c>
      <c r="Q56" s="291">
        <f t="shared" si="17"/>
        <v>95648.111170493154</v>
      </c>
      <c r="R56" s="291">
        <f t="shared" si="17"/>
        <v>96900.187885236955</v>
      </c>
      <c r="S56" s="291">
        <f t="shared" si="17"/>
        <v>98160.783996559127</v>
      </c>
      <c r="T56" s="291">
        <f t="shared" si="17"/>
        <v>99429.656838948053</v>
      </c>
      <c r="U56" s="291">
        <f t="shared" si="17"/>
        <v>100706.5485672463</v>
      </c>
      <c r="V56" s="291">
        <f t="shared" si="17"/>
        <v>101991.18559489844</v>
      </c>
      <c r="W56" s="291">
        <f t="shared" si="17"/>
        <v>103283.27801451134</v>
      </c>
      <c r="X56" s="291">
        <f t="shared" si="17"/>
        <v>104582.51900020926</v>
      </c>
      <c r="Y56" s="291">
        <f t="shared" si="17"/>
        <v>105888.58419125641</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
      </c>
      <c r="I60" s="288" t="str">
        <f t="shared" si="18"/>
        <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0</v>
      </c>
      <c r="I63" s="285">
        <f t="shared" si="19"/>
        <v>0</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1733057.1785599999</v>
      </c>
      <c r="F64" s="296">
        <f>INDEX('02_Debt Engine'!$F$74:$Z$90,MATCH($C$1,'02_Debt Engine'!$B$74:$B$90,0),MATCH(F$12,'02_Debt Engine'!$F$73:$Z$73,0))</f>
        <v>1483504.2708454398</v>
      </c>
      <c r="G64" s="296">
        <f>INDEX('02_Debt Engine'!$F$74:$Z$90,MATCH($C$1,'02_Debt Engine'!$B$74:$B$90,0),MATCH(G$12,'02_Debt Engine'!$F$73:$Z$73,0))</f>
        <v>1227962.0933457303</v>
      </c>
      <c r="H64" s="296">
        <f>INDEX('02_Debt Engine'!$F$74:$Z$90,MATCH($C$1,'02_Debt Engine'!$B$74:$B$90,0),MATCH(H$12,'02_Debt Engine'!$F$73:$Z$73,0))</f>
        <v>966286.90358602779</v>
      </c>
      <c r="I64" s="296">
        <f>INDEX('02_Debt Engine'!$F$74:$Z$90,MATCH($C$1,'02_Debt Engine'!$B$74:$B$90,0),MATCH(I$12,'02_Debt Engine'!$F$73:$Z$73,0))</f>
        <v>698331.50927209249</v>
      </c>
      <c r="J64" s="296">
        <f>INDEX('02_Debt Engine'!$F$74:$Z$90,MATCH($C$1,'02_Debt Engine'!$B$74:$B$90,0),MATCH(J$12,'02_Debt Engine'!$F$73:$Z$73,0))</f>
        <v>423945.18549462268</v>
      </c>
      <c r="K64" s="296">
        <f>INDEX('02_Debt Engine'!$F$74:$Z$90,MATCH($C$1,'02_Debt Engine'!$B$74:$B$90,0),MATCH(K$12,'02_Debt Engine'!$F$73:$Z$73,0))</f>
        <v>142973.58994649362</v>
      </c>
      <c r="L64" s="296">
        <f>INDEX('02_Debt Engine'!$F$74:$Z$90,MATCH($C$1,'02_Debt Engine'!$B$74:$B$90,0),MATCH(L$12,'02_Debt Engine'!$F$73:$Z$73,0))</f>
        <v>0</v>
      </c>
      <c r="M64" s="296">
        <f>INDEX('02_Debt Engine'!$F$74:$Z$90,MATCH($C$1,'02_Debt Engine'!$B$74:$B$90,0),MATCH(M$12,'02_Debt Engine'!$F$73:$Z$73,0))</f>
        <v>0</v>
      </c>
      <c r="N64" s="296">
        <f>INDEX('02_Debt Engine'!$F$74:$Z$90,MATCH($C$1,'02_Debt Engine'!$B$74:$B$90,0),MATCH(N$12,'02_Debt Engine'!$F$73:$Z$73,0))</f>
        <v>0</v>
      </c>
      <c r="O64" s="296">
        <f>INDEX('02_Debt Engine'!$F$74:$Z$90,MATCH($C$1,'02_Debt Engine'!$B$74:$B$90,0),MATCH(O$12,'02_Debt Engine'!$F$73:$Z$73,0))</f>
        <v>0</v>
      </c>
      <c r="P64" s="296">
        <f>INDEX('02_Debt Engine'!$F$74:$Z$90,MATCH($C$1,'02_Debt Engine'!$B$74:$B$90,0),MATCH(P$12,'02_Debt Engine'!$F$73:$Z$73,0))</f>
        <v>0</v>
      </c>
      <c r="Q64" s="296">
        <f>INDEX('02_Debt Engine'!$F$74:$Z$90,MATCH($C$1,'02_Debt Engine'!$B$74:$B$90,0),MATCH(Q$12,'02_Debt Engine'!$F$73:$Z$73,0))</f>
        <v>0</v>
      </c>
      <c r="R64" s="296">
        <f>INDEX('02_Debt Engine'!$F$74:$Z$90,MATCH($C$1,'02_Debt Engine'!$B$74:$B$90,0),MATCH(R$12,'02_Debt Engine'!$F$73:$Z$73,0))</f>
        <v>0</v>
      </c>
      <c r="S64" s="296">
        <f>INDEX('02_Debt Engine'!$F$74:$Z$90,MATCH($C$1,'02_Debt Engine'!$B$74:$B$90,0),MATCH(S$12,'02_Debt Engine'!$F$73:$Z$73,0))</f>
        <v>0</v>
      </c>
      <c r="T64" s="296">
        <f>INDEX('02_Debt Engine'!$F$74:$Z$90,MATCH($C$1,'02_Debt Engine'!$B$74:$B$90,0),MATCH(T$12,'02_Debt Engine'!$F$73:$Z$73,0))</f>
        <v>0</v>
      </c>
      <c r="U64" s="296">
        <f>INDEX('02_Debt Engine'!$F$74:$Z$90,MATCH($C$1,'02_Debt Engine'!$B$74:$B$90,0),MATCH(U$12,'02_Debt Engine'!$F$73:$Z$73,0))</f>
        <v>0</v>
      </c>
      <c r="V64" s="296">
        <f>INDEX('02_Debt Engine'!$F$74:$Z$90,MATCH($C$1,'02_Debt Engine'!$B$74:$B$90,0),MATCH(V$12,'02_Debt Engine'!$F$73:$Z$73,0))</f>
        <v>0</v>
      </c>
      <c r="W64" s="296">
        <f>INDEX('02_Debt Engine'!$F$74:$Z$90,MATCH($C$1,'02_Debt Engine'!$B$74:$B$90,0),MATCH(W$12,'02_Debt Engine'!$F$73:$Z$73,0))</f>
        <v>0</v>
      </c>
      <c r="X64" s="296">
        <f>INDEX('02_Debt Engine'!$F$74:$Z$90,MATCH($C$1,'02_Debt Engine'!$B$74:$B$90,0),MATCH(X$12,'02_Debt Engine'!$F$73:$Z$73,0))</f>
        <v>0</v>
      </c>
      <c r="Y64" s="296">
        <f>INDEX('02_Debt Engine'!$F$74:$Z$90,MATCH($C$1,'02_Debt Engine'!$B$74:$B$90,0),MATCH(Y$12,'02_Debt Engine'!$F$73:$Z$73,0))</f>
        <v>0</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
      </c>
      <c r="I66" s="288" t="str">
        <f t="shared" si="20"/>
        <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-57637.715999999957</v>
      </c>
      <c r="F67" s="285">
        <f t="shared" si="21"/>
        <v>-57279.304719999956</v>
      </c>
      <c r="G67" s="285">
        <f t="shared" si="21"/>
        <v>-57086.195614400029</v>
      </c>
      <c r="H67" s="285">
        <f t="shared" si="21"/>
        <v>-57068.59354268809</v>
      </c>
      <c r="I67" s="285">
        <f t="shared" si="21"/>
        <v>-57237.18341418184</v>
      </c>
      <c r="J67" s="285">
        <f t="shared" si="21"/>
        <v>-57603.150827131118</v>
      </c>
      <c r="K67" s="285">
        <f t="shared" si="21"/>
        <v>-58178.203562125913</v>
      </c>
      <c r="L67" s="285">
        <f t="shared" si="21"/>
        <v>34306.691972092682</v>
      </c>
      <c r="M67" s="285">
        <f t="shared" si="21"/>
        <v>92456.455099084851</v>
      </c>
      <c r="N67" s="285">
        <f t="shared" si="21"/>
        <v>91945.20768555635</v>
      </c>
      <c r="O67" s="285">
        <f t="shared" si="21"/>
        <v>93170.413945234875</v>
      </c>
      <c r="P67" s="285">
        <f t="shared" si="21"/>
        <v>94404.781882756099</v>
      </c>
      <c r="Q67" s="285">
        <f t="shared" si="21"/>
        <v>95648.111170493154</v>
      </c>
      <c r="R67" s="285">
        <f t="shared" si="21"/>
        <v>96900.187885236955</v>
      </c>
      <c r="S67" s="285">
        <f t="shared" si="21"/>
        <v>98160.783996559127</v>
      </c>
      <c r="T67" s="285">
        <f t="shared" si="21"/>
        <v>99429.656838948053</v>
      </c>
      <c r="U67" s="285">
        <f t="shared" si="21"/>
        <v>100706.5485672463</v>
      </c>
      <c r="V67" s="285">
        <f t="shared" si="21"/>
        <v>101991.18559489844</v>
      </c>
      <c r="W67" s="285">
        <f t="shared" si="21"/>
        <v>103283.27801451134</v>
      </c>
      <c r="X67" s="285">
        <f t="shared" si="21"/>
        <v>104582.51900020926</v>
      </c>
      <c r="Y67" s="285">
        <f t="shared" si="21"/>
        <v>105888.58419125641</v>
      </c>
    </row>
    <row r="68" spans="3:25" s="20" customFormat="1" ht="13.5" customHeight="1">
      <c r="C68" s="26" t="s">
        <v>544</v>
      </c>
      <c r="E68" s="287">
        <f t="shared" ref="E68:Y68" si="22">E67+E$63</f>
        <v>-57637.715999999957</v>
      </c>
      <c r="F68" s="287">
        <f t="shared" si="22"/>
        <v>-57279.304719999956</v>
      </c>
      <c r="G68" s="287">
        <f t="shared" si="22"/>
        <v>-57086.195614400029</v>
      </c>
      <c r="H68" s="287">
        <f t="shared" si="22"/>
        <v>-57068.59354268809</v>
      </c>
      <c r="I68" s="287">
        <f t="shared" si="22"/>
        <v>-57237.18341418184</v>
      </c>
      <c r="J68" s="287">
        <f t="shared" si="22"/>
        <v>-57603.150827131118</v>
      </c>
      <c r="K68" s="287">
        <f t="shared" si="22"/>
        <v>-58178.203562125913</v>
      </c>
      <c r="L68" s="287">
        <f t="shared" si="22"/>
        <v>34306.691972092682</v>
      </c>
      <c r="M68" s="287">
        <f t="shared" si="22"/>
        <v>92456.455099084851</v>
      </c>
      <c r="N68" s="287">
        <f t="shared" si="22"/>
        <v>91945.20768555635</v>
      </c>
      <c r="O68" s="287">
        <f t="shared" si="22"/>
        <v>93170.413945234875</v>
      </c>
      <c r="P68" s="287">
        <f t="shared" si="22"/>
        <v>94404.781882756099</v>
      </c>
      <c r="Q68" s="287">
        <f t="shared" si="22"/>
        <v>95648.111170493154</v>
      </c>
      <c r="R68" s="287">
        <f t="shared" si="22"/>
        <v>96900.187885236955</v>
      </c>
      <c r="S68" s="287">
        <f t="shared" si="22"/>
        <v>98160.783996559127</v>
      </c>
      <c r="T68" s="287">
        <f t="shared" si="22"/>
        <v>99429.656838948053</v>
      </c>
      <c r="U68" s="287">
        <f t="shared" si="22"/>
        <v>100706.5485672463</v>
      </c>
      <c r="V68" s="287">
        <f t="shared" si="22"/>
        <v>101991.18559489844</v>
      </c>
      <c r="W68" s="287">
        <f t="shared" si="22"/>
        <v>103283.27801451134</v>
      </c>
      <c r="X68" s="287">
        <f t="shared" si="22"/>
        <v>104582.51900020926</v>
      </c>
      <c r="Y68" s="287">
        <f t="shared" si="22"/>
        <v>105888.58419125641</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3891809.4000000013</v>
      </c>
      <c r="F73" s="285">
        <f t="shared" si="24"/>
        <v>3897782.9213333349</v>
      </c>
      <c r="G73" s="285">
        <f t="shared" si="24"/>
        <v>3901001.4064266668</v>
      </c>
      <c r="H73" s="285">
        <f t="shared" si="24"/>
        <v>3901294.7742885323</v>
      </c>
      <c r="I73" s="285">
        <f t="shared" si="24"/>
        <v>3898484.9430969697</v>
      </c>
      <c r="J73" s="285">
        <f t="shared" si="24"/>
        <v>3892385.4862144818</v>
      </c>
      <c r="K73" s="285">
        <f t="shared" si="24"/>
        <v>3882801.2739645685</v>
      </c>
      <c r="L73" s="285">
        <f t="shared" si="24"/>
        <v>3869528.1005906863</v>
      </c>
      <c r="M73" s="285">
        <f t="shared" si="24"/>
        <v>3852352.2957952027</v>
      </c>
      <c r="N73" s="285">
        <f t="shared" si="24"/>
        <v>3831050.3202315141</v>
      </c>
      <c r="O73" s="285">
        <f t="shared" si="24"/>
        <v>3882100.581051453</v>
      </c>
      <c r="P73" s="285">
        <f t="shared" si="24"/>
        <v>3933532.5784481703</v>
      </c>
      <c r="Q73" s="285">
        <f t="shared" si="24"/>
        <v>3985337.9654372153</v>
      </c>
      <c r="R73" s="285">
        <f t="shared" si="24"/>
        <v>4037507.8285515397</v>
      </c>
      <c r="S73" s="285">
        <f t="shared" si="24"/>
        <v>4090032.6665232969</v>
      </c>
      <c r="T73" s="285">
        <f t="shared" si="24"/>
        <v>4142902.3682895019</v>
      </c>
      <c r="U73" s="285">
        <f t="shared" si="24"/>
        <v>4196106.1903019296</v>
      </c>
      <c r="V73" s="285">
        <f t="shared" si="24"/>
        <v>4249632.7331207683</v>
      </c>
      <c r="W73" s="285">
        <f t="shared" si="24"/>
        <v>4303469.9172713058</v>
      </c>
      <c r="X73" s="285">
        <f t="shared" si="24"/>
        <v>4357604.9583420521</v>
      </c>
      <c r="Y73" s="285">
        <f t="shared" si="24"/>
        <v>4412024.3413023511</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
      </c>
      <c r="I75" s="288" t="str">
        <f t="shared" si="25"/>
        <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1733057.1785599999</v>
      </c>
      <c r="F76" s="285">
        <f t="shared" si="26"/>
        <v>1483504.2708454398</v>
      </c>
      <c r="G76" s="285">
        <f t="shared" si="26"/>
        <v>1227962.0933457303</v>
      </c>
      <c r="H76" s="285">
        <f t="shared" si="26"/>
        <v>966286.90358602779</v>
      </c>
      <c r="I76" s="285">
        <f t="shared" si="26"/>
        <v>698331.50927209249</v>
      </c>
      <c r="J76" s="285">
        <f t="shared" si="26"/>
        <v>423945.18549462268</v>
      </c>
      <c r="K76" s="285">
        <f t="shared" si="26"/>
        <v>142973.58994649362</v>
      </c>
      <c r="L76" s="285">
        <f t="shared" si="26"/>
        <v>0</v>
      </c>
      <c r="M76" s="285">
        <f t="shared" si="26"/>
        <v>0</v>
      </c>
      <c r="N76" s="285">
        <f t="shared" si="26"/>
        <v>0</v>
      </c>
      <c r="O76" s="285">
        <f t="shared" si="26"/>
        <v>0</v>
      </c>
      <c r="P76" s="285">
        <f t="shared" si="26"/>
        <v>0</v>
      </c>
      <c r="Q76" s="285">
        <f t="shared" si="26"/>
        <v>0</v>
      </c>
      <c r="R76" s="285">
        <f t="shared" si="26"/>
        <v>0</v>
      </c>
      <c r="S76" s="285">
        <f t="shared" si="26"/>
        <v>0</v>
      </c>
      <c r="T76" s="285">
        <f t="shared" si="26"/>
        <v>0</v>
      </c>
      <c r="U76" s="285">
        <f t="shared" si="26"/>
        <v>0</v>
      </c>
      <c r="V76" s="285">
        <f t="shared" si="26"/>
        <v>0</v>
      </c>
      <c r="W76" s="285">
        <f t="shared" si="26"/>
        <v>0</v>
      </c>
      <c r="X76" s="285">
        <f t="shared" si="26"/>
        <v>0</v>
      </c>
      <c r="Y76" s="285">
        <f t="shared" si="26"/>
        <v>0</v>
      </c>
    </row>
    <row r="77" spans="3:25" ht="13.5" customHeight="1">
      <c r="C77" s="26" t="s">
        <v>376</v>
      </c>
      <c r="D77" s="21"/>
      <c r="E77" s="287">
        <f t="shared" ref="E77:Y77" si="27">E73-E$76</f>
        <v>2158752.2214400014</v>
      </c>
      <c r="F77" s="287">
        <f t="shared" si="27"/>
        <v>2414278.6504878951</v>
      </c>
      <c r="G77" s="287">
        <f t="shared" si="27"/>
        <v>2673039.3130809367</v>
      </c>
      <c r="H77" s="287">
        <f t="shared" si="27"/>
        <v>2935007.8707025046</v>
      </c>
      <c r="I77" s="287">
        <f t="shared" si="27"/>
        <v>3200153.4338248773</v>
      </c>
      <c r="J77" s="287">
        <f t="shared" si="27"/>
        <v>3468440.3007198591</v>
      </c>
      <c r="K77" s="287">
        <f t="shared" si="27"/>
        <v>3739827.684018075</v>
      </c>
      <c r="L77" s="287">
        <f t="shared" si="27"/>
        <v>3869528.1005906863</v>
      </c>
      <c r="M77" s="287">
        <f t="shared" si="27"/>
        <v>3852352.2957952027</v>
      </c>
      <c r="N77" s="287">
        <f t="shared" si="27"/>
        <v>3831050.3202315141</v>
      </c>
      <c r="O77" s="287">
        <f t="shared" si="27"/>
        <v>3882100.581051453</v>
      </c>
      <c r="P77" s="287">
        <f t="shared" si="27"/>
        <v>3933532.5784481703</v>
      </c>
      <c r="Q77" s="287">
        <f t="shared" si="27"/>
        <v>3985337.9654372153</v>
      </c>
      <c r="R77" s="287">
        <f t="shared" si="27"/>
        <v>4037507.8285515397</v>
      </c>
      <c r="S77" s="287">
        <f t="shared" si="27"/>
        <v>4090032.6665232969</v>
      </c>
      <c r="T77" s="287">
        <f t="shared" si="27"/>
        <v>4142902.3682895019</v>
      </c>
      <c r="U77" s="287">
        <f t="shared" si="27"/>
        <v>4196106.1903019296</v>
      </c>
      <c r="V77" s="287">
        <f t="shared" si="27"/>
        <v>4249632.7331207683</v>
      </c>
      <c r="W77" s="287">
        <f t="shared" si="27"/>
        <v>4303469.9172713058</v>
      </c>
      <c r="X77" s="287">
        <f t="shared" si="27"/>
        <v>4357604.9583420521</v>
      </c>
      <c r="Y77" s="287">
        <f t="shared" si="27"/>
        <v>4412024.3413023511</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2026</v>
      </c>
      <c r="D79" s="20"/>
      <c r="E79" s="289" t="str">
        <f t="shared" ref="E79:Y79" si="28">IF(E$72=$F$2+1,"STAB. YR.","")</f>
        <v/>
      </c>
      <c r="F79" s="289" t="str">
        <f t="shared" si="28"/>
        <v>STAB. YR.</v>
      </c>
      <c r="G79" s="289" t="str">
        <f t="shared" si="28"/>
        <v/>
      </c>
      <c r="H79" s="289" t="str">
        <f t="shared" si="28"/>
        <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3897782.9213333349</v>
      </c>
      <c r="G80" s="296">
        <f t="shared" si="29"/>
        <v>0</v>
      </c>
      <c r="H80" s="296">
        <f t="shared" si="29"/>
        <v>0</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5.9908047398422738E-2</v>
      </c>
      <c r="F81" s="344">
        <f t="shared" si="30"/>
        <v>0.06</v>
      </c>
      <c r="G81" s="344">
        <f t="shared" si="30"/>
        <v>6.0049543319753131E-2</v>
      </c>
      <c r="H81" s="344">
        <f t="shared" si="30"/>
        <v>6.0054059238691455E-2</v>
      </c>
      <c r="I81" s="344">
        <f t="shared" si="30"/>
        <v>6.0010806478110301E-2</v>
      </c>
      <c r="J81" s="344">
        <f t="shared" si="30"/>
        <v>5.9916915304503313E-2</v>
      </c>
      <c r="K81" s="344">
        <f t="shared" si="30"/>
        <v>5.9769382015297433E-2</v>
      </c>
      <c r="L81" s="344">
        <f t="shared" si="30"/>
        <v>5.9565063196495557E-2</v>
      </c>
      <c r="M81" s="344">
        <f t="shared" si="30"/>
        <v>5.9300669742953387E-2</v>
      </c>
      <c r="N81" s="344">
        <f t="shared" si="30"/>
        <v>5.8972760631641433E-2</v>
      </c>
      <c r="O81" s="344">
        <f t="shared" si="30"/>
        <v>5.975859599266984E-2</v>
      </c>
      <c r="P81" s="344">
        <f t="shared" si="30"/>
        <v>6.0550307564628661E-2</v>
      </c>
      <c r="Q81" s="344">
        <f t="shared" si="30"/>
        <v>6.13477668593293E-2</v>
      </c>
      <c r="R81" s="344">
        <f t="shared" si="30"/>
        <v>6.2150836668509103E-2</v>
      </c>
      <c r="S81" s="344">
        <f t="shared" si="30"/>
        <v>6.295937073567244E-2</v>
      </c>
      <c r="T81" s="344">
        <f t="shared" si="30"/>
        <v>6.3773213417523789E-2</v>
      </c>
      <c r="U81" s="344">
        <f t="shared" si="30"/>
        <v>6.4592199334690681E-2</v>
      </c>
      <c r="V81" s="344">
        <f t="shared" si="30"/>
        <v>6.5416153011421285E-2</v>
      </c>
      <c r="W81" s="344">
        <f t="shared" si="30"/>
        <v>6.6244888503937449E-2</v>
      </c>
      <c r="X81" s="344">
        <f t="shared" si="30"/>
        <v>6.7078209017111035E-2</v>
      </c>
      <c r="Y81" s="344">
        <f t="shared" si="30"/>
        <v>6.7915906509125545E-2</v>
      </c>
    </row>
    <row r="82" spans="1:25" s="20" customFormat="1" ht="13.9" customHeight="1">
      <c r="A82" s="3"/>
      <c r="B82" s="3"/>
      <c r="C82" s="21" t="s">
        <v>380</v>
      </c>
      <c r="E82" s="285">
        <f t="shared" ref="E82:Y82" si="31">IF(E$72=$F$2+1,E77,0)</f>
        <v>0</v>
      </c>
      <c r="F82" s="285">
        <f t="shared" si="31"/>
        <v>2414278.6504878951</v>
      </c>
      <c r="G82" s="285">
        <f t="shared" si="31"/>
        <v>0</v>
      </c>
      <c r="H82" s="285">
        <f t="shared" si="31"/>
        <v>0</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9.6719806536337868E-2</v>
      </c>
      <c r="F83" s="299">
        <f t="shared" si="32"/>
        <v>9.6868261347023268E-2</v>
      </c>
      <c r="G83" s="299">
        <f t="shared" si="32"/>
        <v>9.6948247601120696E-2</v>
      </c>
      <c r="H83" s="299">
        <f t="shared" si="32"/>
        <v>9.6955538421386364E-2</v>
      </c>
      <c r="I83" s="299">
        <f t="shared" si="32"/>
        <v>9.6885708092787098E-2</v>
      </c>
      <c r="J83" s="299">
        <f t="shared" si="32"/>
        <v>9.6734123513734754E-2</v>
      </c>
      <c r="K83" s="299">
        <f t="shared" si="32"/>
        <v>9.6495935293465077E-2</v>
      </c>
      <c r="L83" s="299">
        <f t="shared" si="32"/>
        <v>9.6166068481168168E-2</v>
      </c>
      <c r="M83" s="299">
        <f t="shared" si="32"/>
        <v>9.5739212911898741E-2</v>
      </c>
      <c r="N83" s="299">
        <f t="shared" si="32"/>
        <v>9.5209813153688136E-2</v>
      </c>
      <c r="O83" s="299">
        <f t="shared" si="32"/>
        <v>9.6478521572485335E-2</v>
      </c>
      <c r="P83" s="299">
        <f t="shared" si="32"/>
        <v>9.7756716963551496E-2</v>
      </c>
      <c r="Q83" s="299">
        <f t="shared" si="32"/>
        <v>9.9044191886429392E-2</v>
      </c>
      <c r="R83" s="299">
        <f t="shared" si="32"/>
        <v>0.10034072482235495</v>
      </c>
      <c r="S83" s="299">
        <f t="shared" si="32"/>
        <v>0.10164607964445412</v>
      </c>
      <c r="T83" s="299">
        <f t="shared" si="32"/>
        <v>0.10296000507113644</v>
      </c>
      <c r="U83" s="299">
        <f t="shared" si="32"/>
        <v>0.10428223410219734</v>
      </c>
      <c r="V83" s="299">
        <f t="shared" si="32"/>
        <v>0.10561248343712035</v>
      </c>
      <c r="W83" s="299">
        <f t="shared" si="32"/>
        <v>0.10695045287506383</v>
      </c>
      <c r="X83" s="299">
        <f t="shared" si="32"/>
        <v>0.10829582469599609</v>
      </c>
      <c r="Y83" s="299">
        <f t="shared" si="32"/>
        <v>0.10964826302243288</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2026</v>
      </c>
      <c r="E85" s="289" t="str">
        <f t="shared" ref="E85:Y85" si="33">IF(E$72=$F$2+1,"STAB. YR.","")</f>
        <v/>
      </c>
      <c r="F85" s="289" t="str">
        <f t="shared" si="33"/>
        <v>STAB. YR.</v>
      </c>
      <c r="G85" s="289" t="str">
        <f t="shared" si="33"/>
        <v/>
      </c>
      <c r="H85" s="289" t="str">
        <f t="shared" si="33"/>
        <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0</v>
      </c>
      <c r="F86" s="299">
        <f t="shared" si="34"/>
        <v>0</v>
      </c>
      <c r="G86" s="299">
        <f t="shared" si="34"/>
        <v>0</v>
      </c>
      <c r="H86" s="299">
        <f t="shared" si="34"/>
        <v>0</v>
      </c>
      <c r="I86" s="299">
        <f t="shared" si="34"/>
        <v>0</v>
      </c>
      <c r="J86" s="299">
        <f t="shared" si="34"/>
        <v>0</v>
      </c>
      <c r="K86" s="299">
        <f t="shared" si="34"/>
        <v>0</v>
      </c>
      <c r="L86" s="299">
        <f t="shared" si="34"/>
        <v>2.1314870985476176E-2</v>
      </c>
      <c r="M86" s="299">
        <f t="shared" si="34"/>
        <v>5.7443527747139241E-2</v>
      </c>
      <c r="N86" s="299">
        <f t="shared" si="34"/>
        <v>5.7125887892212873E-2</v>
      </c>
      <c r="O86" s="299">
        <f t="shared" si="34"/>
        <v>5.7887112943491199E-2</v>
      </c>
      <c r="P86" s="299">
        <f t="shared" si="34"/>
        <v>5.8654030178130888E-2</v>
      </c>
      <c r="Q86" s="299">
        <f t="shared" si="34"/>
        <v>5.9426515131857642E-2</v>
      </c>
      <c r="R86" s="299">
        <f t="shared" si="34"/>
        <v>6.0204434893412977E-2</v>
      </c>
      <c r="S86" s="299">
        <f t="shared" si="34"/>
        <v>6.0987647786672469E-2</v>
      </c>
      <c r="T86" s="299">
        <f t="shared" si="34"/>
        <v>6.1776003042681861E-2</v>
      </c>
      <c r="U86" s="299">
        <f t="shared" si="34"/>
        <v>6.2569340461318401E-2</v>
      </c>
      <c r="V86" s="299">
        <f t="shared" si="34"/>
        <v>6.3367490062272214E-2</v>
      </c>
      <c r="W86" s="299">
        <f t="shared" si="34"/>
        <v>6.4170271725038294E-2</v>
      </c>
      <c r="X86" s="299">
        <f t="shared" si="34"/>
        <v>6.4977494817597639E-2</v>
      </c>
      <c r="Y86" s="299">
        <f t="shared" si="34"/>
        <v>6.5788957813459725E-2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54D4-CDCB-4C30-9834-9B3B08D15CC9}">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323</v>
      </c>
      <c r="E1" s="275" t="str">
        <f>INDEX('01_Property Summary'!$E$5:$E$21,MATCH($C$1,'01_Property Summary'!$C$5:$C$21,0))</f>
        <v>Vancouver</v>
      </c>
      <c r="F1" s="332" t="s">
        <v>536</v>
      </c>
      <c r="G1" s="333" t="s">
        <v>102</v>
      </c>
      <c r="J1" s="450" t="s">
        <v>308</v>
      </c>
      <c r="K1" s="424"/>
      <c r="L1" s="424"/>
      <c r="M1" s="424"/>
      <c r="N1" s="424"/>
      <c r="O1" s="424"/>
      <c r="P1" s="3"/>
      <c r="Q1" s="3"/>
      <c r="R1" s="3"/>
      <c r="S1" s="3"/>
      <c r="T1" s="3"/>
    </row>
    <row r="2" spans="3:25" ht="14.45" customHeight="1">
      <c r="C2" s="300" t="s">
        <v>537</v>
      </c>
      <c r="E2" s="334">
        <f>_xlfn.LET(_xlpm.refi,INDEX('02_Debt Engine'!$F$19:$F$35,MATCH($C$1,'02_Debt Engine'!$B$19:$B$35,0)),
_xlpm.refiyr,INDEX('02_Debt Engine'!$I$19:$I$35,MATCH($C$1,'02_Debt Engine'!$B$19:$B$35,0)),IF(_xlpm.refi="Yes",_xlpm.refiyr,"No Refi"))</f>
        <v>2028</v>
      </c>
      <c r="F2" s="334">
        <f>INDEX('01_Property Summary'!$F$5:$F$21,MATCH($C$1,'01_Property Summary'!$C$5:$C$21,0))</f>
        <v>2028</v>
      </c>
      <c r="G2" s="334">
        <f>INDEX('01_Property Summary'!$K$4:$K$21,MATCH($C$1,'01_Property Summary'!$C$4:$C$21,0))</f>
        <v>2058</v>
      </c>
      <c r="J2" s="278" t="str">
        <f>"Gate 1 — NOI ≥ 0 at stabilization ("&amp;$F$2+1&amp;"):"</f>
        <v>Gate 1 — NOI ≥ 0 at stabilization (2029):</v>
      </c>
      <c r="M2" s="451" t="str">
        <f>_xlfn.LET(_xlpm.stabnoi,INDEX($41:$41,MATCH(($F$2+1),$12:$12,0)),IF(_xlpm.stabnoi&gt;=0,"PASS — NOI $"&amp;TEXT(_xlpm.stabnoi,"#,##0"),"FAIL — NOI $"&amp;TEXT(_xlpm.stabnoi,"#,##0")))</f>
        <v>PASS — NOI $1,220,833</v>
      </c>
      <c r="N2" s="424"/>
      <c r="O2" s="424"/>
      <c r="S2" s="6"/>
    </row>
    <row r="3" spans="3:25" ht="14.45" customHeight="1">
      <c r="C3" s="300" t="s">
        <v>538</v>
      </c>
      <c r="E3" s="334">
        <f>INDEX('01_Property Summary'!$S$5:$S$21,MATCH($C$1,'01_Property Summary'!$C$5:$C$21,0))</f>
        <v>97</v>
      </c>
      <c r="F3" s="335">
        <f>'01_Assumptions'!$C$14</f>
        <v>0.1</v>
      </c>
      <c r="G3" s="335">
        <f>'01_Assumptions'!$C$15</f>
        <v>0.2</v>
      </c>
      <c r="J3" s="278" t="str">
        <f>"Gate 2 — DSCR ≥ 1.0× at stabilization ("&amp;$F$2+1&amp;"):"</f>
        <v>Gate 2 — DSCR ≥ 1.0× at stabilization (2029):</v>
      </c>
      <c r="M3" s="451" t="str">
        <f>_xlfn.LET(_xlpm.debt,INDEX($48:$48,MATCH(($F$2+1),$12:$12,0)),_xlpm.dscr,INDEX($50:$50,MATCH(($F$2+1),$12:$12,0)),
IF(_xlpm.debt=0,"PASS — no debt svc",IF(IFERROR(_xlpm.dscr,0)&gt;=1,"PASS — DSCR "&amp;TEXT(IFERROR(_xlpm.dscr,0),"0.00")&amp;"x","FAIL — DSCR "&amp;TEXT(IFERROR(_xlpm.dscr,0),"0.00")&amp;"x")))</f>
        <v>PASS — DSCR 1.52x</v>
      </c>
      <c r="N3" s="424"/>
      <c r="O3" s="424"/>
      <c r="S3" s="6"/>
    </row>
    <row r="4" spans="3:25" ht="14.45" customHeight="1">
      <c r="C4" s="300" t="s">
        <v>539</v>
      </c>
      <c r="E4" s="336">
        <f>INDEX('02_Rent Engine'!$H$5:$H$21,MATCH($C$1,'02_Rent Engine'!$B$5:$B$21,0))</f>
        <v>1405.5515463917527</v>
      </c>
      <c r="F4" s="336">
        <f>INDEX('02_Rent Engine'!$J$5:$J$21,MATCH($C$1,'02_Rent Engine'!$B$5:$B$21,0))</f>
        <v>3654.25</v>
      </c>
      <c r="G4" s="336">
        <f>($F$3*$F$4)+((1-$F$3)*$E$4)</f>
        <v>1630.4213917525774</v>
      </c>
      <c r="J4" s="280" t="s">
        <v>309</v>
      </c>
      <c r="M4" s="451" t="str">
        <f>IF(AND($J$52&gt;0,$O$52&gt;0),"PASS — AFFO $"&amp;TEXT($J$52,"#,##0")&amp;" (2030) / $"&amp;TEXT($O$52,"#,##0")&amp;" (2035)","FAIL — AFFO $"&amp;TEXT($J$52,"#,##0")&amp;" (2030) / $"&amp;TEXT($O$52,"#,##0")&amp;" (2035)")</f>
        <v>PASS — AFFO $422,482 (2030) / $465,724 (2035)</v>
      </c>
      <c r="N4" s="424"/>
      <c r="O4" s="424"/>
      <c r="S4" s="6"/>
    </row>
    <row r="5" spans="3:25" ht="14.45" customHeight="1">
      <c r="C5" s="337" t="str">
        <f>"Rent Growth — (pre / post Op. Agrmt. Expiry: "&amp;$G$2&amp;")"</f>
        <v>Rent Growth — (pre / post Op. Agrmt. Expiry: 2058)</v>
      </c>
      <c r="E5" s="338">
        <f>'01_Assumptions'!$C$5</f>
        <v>0.02</v>
      </c>
      <c r="F5" s="338">
        <f>'01_Assumptions'!$C$6</f>
        <v>0.02</v>
      </c>
      <c r="G5" s="32"/>
      <c r="L5" s="6"/>
      <c r="M5" s="6"/>
      <c r="R5" s="6"/>
      <c r="S5" s="6"/>
    </row>
    <row r="6" spans="3:25" ht="13.9" customHeight="1">
      <c r="C6" s="337" t="str">
        <f>"OpEx Growth — (pre / post Op. Agrmt. Expiry: "&amp;$G$2&amp;")"</f>
        <v>OpEx Growth — (pre / post Op. Agrmt. Expiry: 2058)</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BCH CHF</v>
      </c>
      <c r="F8" s="336">
        <f>INDEX('01_Property Summary'!$Q$5:$Q$21,MATCH($C$1,'01_Property Summary'!$C$5:$C$21,0))</f>
        <v>0</v>
      </c>
      <c r="G8" s="334">
        <f>INDEX('02_Debt Engine'!$I$19:$I$35,MATCH($C$1,'02_Debt Engine'!$B$19:$B$35,0))</f>
        <v>2028</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0</v>
      </c>
      <c r="F13" s="283">
        <f>(F$12&gt;=$F$2)*_xlfn.LET(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0</v>
      </c>
      <c r="G13" s="283">
        <f t="shared" ref="G13:Y13" si="1">(G$12&gt;=$F$2)*_xlfn.LET(
_xlpm.yr, G$12,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0</v>
      </c>
      <c r="H13" s="283">
        <f t="shared" si="1"/>
        <v>2013971.685084</v>
      </c>
      <c r="I13" s="283">
        <f t="shared" si="1"/>
        <v>2054251.11878568</v>
      </c>
      <c r="J13" s="283">
        <f t="shared" si="1"/>
        <v>2095336.1411613938</v>
      </c>
      <c r="K13" s="283">
        <f t="shared" si="1"/>
        <v>2137242.8639846221</v>
      </c>
      <c r="L13" s="283">
        <f t="shared" si="1"/>
        <v>2179987.7212643139</v>
      </c>
      <c r="M13" s="283">
        <f t="shared" si="1"/>
        <v>2223587.4756896002</v>
      </c>
      <c r="N13" s="283">
        <f t="shared" si="1"/>
        <v>2268059.2252033921</v>
      </c>
      <c r="O13" s="283">
        <f t="shared" si="1"/>
        <v>2313420.4097074596</v>
      </c>
      <c r="P13" s="283">
        <f t="shared" si="1"/>
        <v>2359688.817901609</v>
      </c>
      <c r="Q13" s="283">
        <f t="shared" si="1"/>
        <v>2406882.5942596411</v>
      </c>
      <c r="R13" s="283">
        <f t="shared" si="1"/>
        <v>2455020.246144834</v>
      </c>
      <c r="S13" s="283">
        <f t="shared" si="1"/>
        <v>2504120.651067731</v>
      </c>
      <c r="T13" s="283">
        <f t="shared" si="1"/>
        <v>2554203.064089085</v>
      </c>
      <c r="U13" s="283">
        <f t="shared" si="1"/>
        <v>2605287.1253708676</v>
      </c>
      <c r="V13" s="283">
        <f t="shared" si="1"/>
        <v>2657392.8678782848</v>
      </c>
      <c r="W13" s="283">
        <f t="shared" si="1"/>
        <v>2710540.7252358496</v>
      </c>
      <c r="X13" s="283">
        <f t="shared" si="1"/>
        <v>2764751.5397405671</v>
      </c>
      <c r="Y13" s="283">
        <f t="shared" si="1"/>
        <v>2820046.5705353785</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20120.503679999998</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20522.913753599998</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20933.372028672002</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21352.039469245443</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21779.080258630347</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22214.661863802954</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22658.955101079013</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23112.134203100595</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23574.376887162605</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24045.864424905853</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24526.781713403972</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25017.317347672055</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25517.663694625498</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26028.016968518001</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26548.577307888361</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27079.54885404613</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27621.139831127057</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28173.56262774959</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20566.211039999998</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20977.535260799999</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21397.085966015999</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21825.027685336321</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22261.528239043044</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22706.758803823905</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23160.893979900386</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23624.111859498393</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24096.594096688361</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24578.525978622121</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25070.096498194569</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25571.498428158462</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26082.928396721632</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26604.586964656057</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27136.678703949179</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27679.412278028165</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28233.000523588733</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28797.660534060502</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22890.256559999998</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23348.0616912</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23815.022925024001</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24291.323383524483</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24777.149851194965</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25272.692848218867</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25778.146705183244</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26293.70963928691</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26819.583832072647</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27355.975508714098</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27903.095018888383</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28461.156919266152</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29030.380057651477</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29610.987658804497</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30203.207411980591</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30807.271560220204</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31423.416991424609</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32051.885331253096</v>
      </c>
    </row>
    <row r="19" spans="3:25" ht="13.5" customHeight="1">
      <c r="C19" s="3" t="s">
        <v>336</v>
      </c>
      <c r="E19" s="285">
        <f t="shared" ref="E19:Y19" si="2">SUM(E14:E18)</f>
        <v>0</v>
      </c>
      <c r="F19" s="285">
        <f t="shared" si="2"/>
        <v>0</v>
      </c>
      <c r="G19" s="285">
        <f t="shared" si="2"/>
        <v>0</v>
      </c>
      <c r="H19" s="285">
        <f t="shared" si="2"/>
        <v>63576.971279999998</v>
      </c>
      <c r="I19" s="285">
        <f t="shared" si="2"/>
        <v>64848.510705599998</v>
      </c>
      <c r="J19" s="285">
        <f t="shared" si="2"/>
        <v>66145.48091971199</v>
      </c>
      <c r="K19" s="285">
        <f t="shared" si="2"/>
        <v>67468.390538106236</v>
      </c>
      <c r="L19" s="285">
        <f t="shared" si="2"/>
        <v>68817.758348868359</v>
      </c>
      <c r="M19" s="285">
        <f t="shared" si="2"/>
        <v>70194.113515845733</v>
      </c>
      <c r="N19" s="285">
        <f t="shared" si="2"/>
        <v>71597.995786162646</v>
      </c>
      <c r="O19" s="285">
        <f t="shared" si="2"/>
        <v>73029.955701885905</v>
      </c>
      <c r="P19" s="285">
        <f t="shared" si="2"/>
        <v>74490.55481592362</v>
      </c>
      <c r="Q19" s="285">
        <f t="shared" si="2"/>
        <v>75980.365912242065</v>
      </c>
      <c r="R19" s="285">
        <f t="shared" si="2"/>
        <v>77499.973230486925</v>
      </c>
      <c r="S19" s="285">
        <f t="shared" si="2"/>
        <v>79049.972695096672</v>
      </c>
      <c r="T19" s="285">
        <f t="shared" si="2"/>
        <v>80630.972148998611</v>
      </c>
      <c r="U19" s="285">
        <f t="shared" si="2"/>
        <v>82243.591591978562</v>
      </c>
      <c r="V19" s="285">
        <f t="shared" si="2"/>
        <v>83888.463423818132</v>
      </c>
      <c r="W19" s="285">
        <f t="shared" si="2"/>
        <v>85566.232692294507</v>
      </c>
      <c r="X19" s="285">
        <f t="shared" si="2"/>
        <v>87277.557346140398</v>
      </c>
      <c r="Y19" s="285">
        <f t="shared" si="2"/>
        <v>89023.108493063191</v>
      </c>
    </row>
    <row r="20" spans="3:25" ht="13.5" customHeight="1">
      <c r="C20" s="10" t="s">
        <v>337</v>
      </c>
      <c r="E20" s="283">
        <f t="shared" ref="E20:Y20" si="3">E13+E19</f>
        <v>0</v>
      </c>
      <c r="F20" s="283">
        <f t="shared" si="3"/>
        <v>0</v>
      </c>
      <c r="G20" s="283">
        <f t="shared" si="3"/>
        <v>0</v>
      </c>
      <c r="H20" s="283">
        <f t="shared" si="3"/>
        <v>2077548.6563639999</v>
      </c>
      <c r="I20" s="283">
        <f t="shared" si="3"/>
        <v>2119099.6294912798</v>
      </c>
      <c r="J20" s="283">
        <f t="shared" si="3"/>
        <v>2161481.6220811056</v>
      </c>
      <c r="K20" s="283">
        <f t="shared" si="3"/>
        <v>2204711.2545227283</v>
      </c>
      <c r="L20" s="283">
        <f t="shared" si="3"/>
        <v>2248805.4796131821</v>
      </c>
      <c r="M20" s="283">
        <f t="shared" si="3"/>
        <v>2293781.5892054457</v>
      </c>
      <c r="N20" s="283">
        <f t="shared" si="3"/>
        <v>2339657.2209895547</v>
      </c>
      <c r="O20" s="283">
        <f t="shared" si="3"/>
        <v>2386450.3654093454</v>
      </c>
      <c r="P20" s="283">
        <f t="shared" si="3"/>
        <v>2434179.3727175328</v>
      </c>
      <c r="Q20" s="283">
        <f t="shared" si="3"/>
        <v>2482862.960171883</v>
      </c>
      <c r="R20" s="283">
        <f t="shared" si="3"/>
        <v>2532520.2193753207</v>
      </c>
      <c r="S20" s="283">
        <f t="shared" si="3"/>
        <v>2583170.6237628278</v>
      </c>
      <c r="T20" s="283">
        <f t="shared" si="3"/>
        <v>2634834.0362380836</v>
      </c>
      <c r="U20" s="283">
        <f t="shared" si="3"/>
        <v>2687530.716962846</v>
      </c>
      <c r="V20" s="283">
        <f t="shared" si="3"/>
        <v>2741281.3313021031</v>
      </c>
      <c r="W20" s="283">
        <f t="shared" si="3"/>
        <v>2796106.9579281439</v>
      </c>
      <c r="X20" s="283">
        <f t="shared" si="3"/>
        <v>2852029.0970867076</v>
      </c>
      <c r="Y20" s="283">
        <f t="shared" si="3"/>
        <v>2909069.6790284417</v>
      </c>
    </row>
    <row r="21" spans="3:25" ht="13.5" customHeight="1">
      <c r="C21" s="11" t="s">
        <v>338</v>
      </c>
      <c r="E21" s="284">
        <f t="shared" ref="E21:Y21" si="4">-E20*$E$7</f>
        <v>0</v>
      </c>
      <c r="F21" s="284">
        <f t="shared" si="4"/>
        <v>0</v>
      </c>
      <c r="G21" s="284">
        <f t="shared" si="4"/>
        <v>0</v>
      </c>
      <c r="H21" s="284">
        <f t="shared" si="4"/>
        <v>-41550.973127279998</v>
      </c>
      <c r="I21" s="284">
        <f t="shared" si="4"/>
        <v>-42381.992589825597</v>
      </c>
      <c r="J21" s="284">
        <f t="shared" si="4"/>
        <v>-43229.63244162211</v>
      </c>
      <c r="K21" s="284">
        <f t="shared" si="4"/>
        <v>-44094.225090454565</v>
      </c>
      <c r="L21" s="284">
        <f t="shared" si="4"/>
        <v>-44976.109592263645</v>
      </c>
      <c r="M21" s="284">
        <f t="shared" si="4"/>
        <v>-45875.631784108919</v>
      </c>
      <c r="N21" s="284">
        <f t="shared" si="4"/>
        <v>-46793.144419791097</v>
      </c>
      <c r="O21" s="284">
        <f t="shared" si="4"/>
        <v>-47729.007308186905</v>
      </c>
      <c r="P21" s="284">
        <f t="shared" si="4"/>
        <v>-48683.587454350658</v>
      </c>
      <c r="Q21" s="284">
        <f t="shared" si="4"/>
        <v>-49657.259203437658</v>
      </c>
      <c r="R21" s="284">
        <f t="shared" si="4"/>
        <v>-50650.404387506416</v>
      </c>
      <c r="S21" s="284">
        <f t="shared" si="4"/>
        <v>-51663.412475256555</v>
      </c>
      <c r="T21" s="284">
        <f t="shared" si="4"/>
        <v>-52696.680724761674</v>
      </c>
      <c r="U21" s="284">
        <f t="shared" si="4"/>
        <v>-53750.614339256921</v>
      </c>
      <c r="V21" s="284">
        <f t="shared" si="4"/>
        <v>-54825.626626042067</v>
      </c>
      <c r="W21" s="284">
        <f t="shared" si="4"/>
        <v>-55922.139158562881</v>
      </c>
      <c r="X21" s="284">
        <f t="shared" si="4"/>
        <v>-57040.581941734155</v>
      </c>
      <c r="Y21" s="284">
        <f t="shared" si="4"/>
        <v>-58181.393580568838</v>
      </c>
    </row>
    <row r="22" spans="3:25" ht="13.5" customHeight="1">
      <c r="C22" s="3" t="s">
        <v>339</v>
      </c>
      <c r="E22" s="285">
        <f t="shared" ref="E22:Y22" si="5">E20+E21</f>
        <v>0</v>
      </c>
      <c r="F22" s="285">
        <f t="shared" si="5"/>
        <v>0</v>
      </c>
      <c r="G22" s="285">
        <f t="shared" si="5"/>
        <v>0</v>
      </c>
      <c r="H22" s="285">
        <f t="shared" si="5"/>
        <v>2035997.68323672</v>
      </c>
      <c r="I22" s="285">
        <f t="shared" si="5"/>
        <v>2076717.6369014543</v>
      </c>
      <c r="J22" s="285">
        <f t="shared" si="5"/>
        <v>2118251.9896394834</v>
      </c>
      <c r="K22" s="285">
        <f t="shared" si="5"/>
        <v>2160617.0294322735</v>
      </c>
      <c r="L22" s="285">
        <f t="shared" si="5"/>
        <v>2203829.3700209185</v>
      </c>
      <c r="M22" s="285">
        <f t="shared" si="5"/>
        <v>2247905.9574213368</v>
      </c>
      <c r="N22" s="285">
        <f t="shared" si="5"/>
        <v>2292864.0765697635</v>
      </c>
      <c r="O22" s="285">
        <f t="shared" si="5"/>
        <v>2338721.3581011584</v>
      </c>
      <c r="P22" s="285">
        <f t="shared" si="5"/>
        <v>2385495.7852631821</v>
      </c>
      <c r="Q22" s="285">
        <f t="shared" si="5"/>
        <v>2433205.7009684453</v>
      </c>
      <c r="R22" s="285">
        <f t="shared" si="5"/>
        <v>2481869.8149878145</v>
      </c>
      <c r="S22" s="285">
        <f t="shared" si="5"/>
        <v>2531507.2112875711</v>
      </c>
      <c r="T22" s="285">
        <f t="shared" si="5"/>
        <v>2582137.3555133222</v>
      </c>
      <c r="U22" s="285">
        <f t="shared" si="5"/>
        <v>2633780.1026235889</v>
      </c>
      <c r="V22" s="285">
        <f t="shared" si="5"/>
        <v>2686455.7046760609</v>
      </c>
      <c r="W22" s="285">
        <f t="shared" si="5"/>
        <v>2740184.8187695812</v>
      </c>
      <c r="X22" s="285">
        <f t="shared" si="5"/>
        <v>2794988.5151449735</v>
      </c>
      <c r="Y22" s="285">
        <f t="shared" si="5"/>
        <v>2850888.2854478727</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0</v>
      </c>
      <c r="F24" s="286">
        <f t="shared" si="7"/>
        <v>0</v>
      </c>
      <c r="G24" s="286">
        <f t="shared" si="7"/>
        <v>0</v>
      </c>
      <c r="H24" s="286">
        <f t="shared" si="7"/>
        <v>2035997.68323672</v>
      </c>
      <c r="I24" s="286">
        <f t="shared" si="7"/>
        <v>2076717.6369014543</v>
      </c>
      <c r="J24" s="286">
        <f t="shared" si="7"/>
        <v>2118251.9896394834</v>
      </c>
      <c r="K24" s="286">
        <f t="shared" si="7"/>
        <v>2160617.0294322735</v>
      </c>
      <c r="L24" s="286">
        <f t="shared" si="7"/>
        <v>2203829.3700209185</v>
      </c>
      <c r="M24" s="286">
        <f t="shared" si="7"/>
        <v>2247905.9574213368</v>
      </c>
      <c r="N24" s="286">
        <f t="shared" si="7"/>
        <v>2292864.0765697635</v>
      </c>
      <c r="O24" s="286">
        <f t="shared" si="7"/>
        <v>2338721.3581011584</v>
      </c>
      <c r="P24" s="286">
        <f t="shared" si="7"/>
        <v>2385495.7852631821</v>
      </c>
      <c r="Q24" s="286">
        <f t="shared" si="7"/>
        <v>2433205.7009684453</v>
      </c>
      <c r="R24" s="286">
        <f t="shared" si="7"/>
        <v>2481869.8149878145</v>
      </c>
      <c r="S24" s="286">
        <f t="shared" si="7"/>
        <v>2531507.2112875711</v>
      </c>
      <c r="T24" s="286">
        <f t="shared" si="7"/>
        <v>2582137.3555133222</v>
      </c>
      <c r="U24" s="286">
        <f t="shared" si="7"/>
        <v>2633780.1026235889</v>
      </c>
      <c r="V24" s="286">
        <f t="shared" si="7"/>
        <v>2686455.7046760609</v>
      </c>
      <c r="W24" s="286">
        <f t="shared" si="7"/>
        <v>2740184.8187695812</v>
      </c>
      <c r="X24" s="286">
        <f t="shared" si="7"/>
        <v>2794988.5151449735</v>
      </c>
      <c r="Y24" s="286">
        <f t="shared" si="7"/>
        <v>2850888.2854478727</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95838.412800000006</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99671.949312000012</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103658.82728448002</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107805.18037585923</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112117.38759089359</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116602.08309452936</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121266.16641831053</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124297.8205787683</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127405.2660932375</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130590.39774556844</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133855.15768920764</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137201.5366314378</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140631.57504722374</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144147.36442340433</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147751.04853398944</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151444.82474733915</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155230.94536602264</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159111.71900017321</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13498.368</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14038.302720000003</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14599.834828800003</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15183.828221952004</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15791.181350830084</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16422.828604863291</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17079.741749057823</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17506.735292784266</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17944.403675103873</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18393.013766981469</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18852.839111156005</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19324.160088934903</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19807.264091158275</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20302.445693437232</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20810.006835773162</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21330.257006667485</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21863.513431834173</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22410.101267630027</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95613.440000000002</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99437.977600000013</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103415.49670400003</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107552.11657216003</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111854.20123504642</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116328.3692844483</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120981.50405582624</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124006.04165722188</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127106.19269865243</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130283.84751611875</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133540.94370402169</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136879.46729662223</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140301.45397903779</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143808.99032851373</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147404.21508672656</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151089.32046389469</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154866.55347549205</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158738.21731237936</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89989.12000000001</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93588.684800000017</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97332.232192000025</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101225.52147968003</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105274.54233886722</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109485.52403242193</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113864.94499371882</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116711.56861856177</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119629.35783402582</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122620.09177987647</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125685.59407437337</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128827.73392623267</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132048.42727438849</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135349.63795624822</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138733.37890515442</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142201.71337778322</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145756.75621222783</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149400.67511753351</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44994.560000000005</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46794.342400000009</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48666.116096000012</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50612.760739840014</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52637.27116943361</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54742.762016210967</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56932.472496859409</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58355.784309280883</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59814.678917012912</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61310.045889938236</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62842.797037186683</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64413.866963116336</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66024.213637194247</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67674.818978124109</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69366.689452577208</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71100.85668889161</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72878.378106113916</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74700.337558766754</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112486.40000000001</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116985.85600000001</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121665.29024000003</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126531.90184960004</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131593.17792358404</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136856.9050405274</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142331.18124214851</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145889.46077320221</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149536.69729253228</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153275.1147248456</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157106.99259296671</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161034.66740779084</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165060.53409298562</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169187.04744531025</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173416.72363144299</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177752.14172222905</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182195.94526528477</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186750.84389691689</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67491.840000000011</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70191.513600000006</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72999.174144000019</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75919.141109760021</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78955.906754150419</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82114.14302431645</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85398.708745289114</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87533.676463921336</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89722.018375519358</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91965.068834907346</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94264.195555780025</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96620.800444674504</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99036.32045579137</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101512.22846718616</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104050.0341788658</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106651.28503333742</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109317.56715917087</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112050.50633815014</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56243.200000000004</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58492.928000000007</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60832.645120000016</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63265.950924800018</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65796.588961792018</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68428.452520263701</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71165.590621074254</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72944.730386601106</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74768.348646266139</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76637.557362422798</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78553.496296483354</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80517.33370389542</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82530.267046492809</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84593.523722655125</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86708.361815721495</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88876.070861114524</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91097.972632642384</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93375.421948458446</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140652.99456000002</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146279.11434240002</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152130.27891609605</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158215.49007273989</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164544.10967564947</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171125.87406267549</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177970.90902518251</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182420.18175081204</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186980.68629458235</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191655.20345194693</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196446.58353824556</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201357.74812670168</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206391.69182986923</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211551.48412561594</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216840.27122875632</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222261.27800947518</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227817.80995971209</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233513.25520870488</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0</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0</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0</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106157.91513600001</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110404.23174144002</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114820.40101109764</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119413.21705154153</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124189.74573360319</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129157.33556294734</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134323.62898546524</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137681.71971010187</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141123.76270285441</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144651.85677042577</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148268.15318968639</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151974.85701942854</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155774.22844491425</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159668.5841560371</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163660.29875993801</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167751.80622893645</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171945.60138465985</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176244.24141927634</v>
      </c>
    </row>
    <row r="39" spans="3:25" ht="13.15" customHeight="1">
      <c r="C39" s="14" t="s">
        <v>355</v>
      </c>
      <c r="E39" s="286">
        <f t="shared" ref="E39:Y39" si="8">SUM(E27:E38)</f>
        <v>0</v>
      </c>
      <c r="F39" s="286">
        <f t="shared" si="8"/>
        <v>0</v>
      </c>
      <c r="G39" s="286">
        <f t="shared" si="8"/>
        <v>0</v>
      </c>
      <c r="H39" s="286">
        <f t="shared" si="8"/>
        <v>822966.25049600005</v>
      </c>
      <c r="I39" s="286">
        <f t="shared" si="8"/>
        <v>855884.90051584004</v>
      </c>
      <c r="J39" s="286">
        <f t="shared" si="8"/>
        <v>890120.29653647391</v>
      </c>
      <c r="K39" s="286">
        <f t="shared" si="8"/>
        <v>925725.10839793284</v>
      </c>
      <c r="L39" s="286">
        <f t="shared" si="8"/>
        <v>962754.11273385002</v>
      </c>
      <c r="M39" s="286">
        <f t="shared" si="8"/>
        <v>1001264.2772432043</v>
      </c>
      <c r="N39" s="286">
        <f t="shared" si="8"/>
        <v>1041314.8483329325</v>
      </c>
      <c r="O39" s="286">
        <f t="shared" si="8"/>
        <v>1067347.7195412556</v>
      </c>
      <c r="P39" s="286">
        <f t="shared" si="8"/>
        <v>1094031.412529787</v>
      </c>
      <c r="Q39" s="286">
        <f t="shared" si="8"/>
        <v>1121382.197843032</v>
      </c>
      <c r="R39" s="286">
        <f t="shared" si="8"/>
        <v>1149416.7527891074</v>
      </c>
      <c r="S39" s="286">
        <f t="shared" si="8"/>
        <v>1178152.171608835</v>
      </c>
      <c r="T39" s="286">
        <f t="shared" si="8"/>
        <v>1207605.9758990561</v>
      </c>
      <c r="U39" s="286">
        <f t="shared" si="8"/>
        <v>1237796.1252965322</v>
      </c>
      <c r="V39" s="286">
        <f t="shared" si="8"/>
        <v>1268741.0284289455</v>
      </c>
      <c r="W39" s="286">
        <f t="shared" si="8"/>
        <v>1300459.5541396688</v>
      </c>
      <c r="X39" s="286">
        <f t="shared" si="8"/>
        <v>1332971.0429931604</v>
      </c>
      <c r="Y39" s="286">
        <f t="shared" si="8"/>
        <v>1366295.3190679895</v>
      </c>
    </row>
    <row r="40" spans="3:25" ht="7.15" customHeight="1"/>
    <row r="41" spans="3:25" ht="13.5" customHeight="1">
      <c r="C41" s="15" t="s">
        <v>356</v>
      </c>
      <c r="D41" s="8"/>
      <c r="E41" s="287">
        <f t="shared" ref="E41:Y41" si="9">E24-E39</f>
        <v>0</v>
      </c>
      <c r="F41" s="287">
        <f t="shared" si="9"/>
        <v>0</v>
      </c>
      <c r="G41" s="287">
        <f t="shared" si="9"/>
        <v>0</v>
      </c>
      <c r="H41" s="287">
        <f t="shared" si="9"/>
        <v>1213031.43274072</v>
      </c>
      <c r="I41" s="287">
        <f t="shared" si="9"/>
        <v>1220832.7363856141</v>
      </c>
      <c r="J41" s="287">
        <f t="shared" si="9"/>
        <v>1228131.6931030094</v>
      </c>
      <c r="K41" s="287">
        <f t="shared" si="9"/>
        <v>1234891.9210343407</v>
      </c>
      <c r="L41" s="287">
        <f t="shared" si="9"/>
        <v>1241075.2572870685</v>
      </c>
      <c r="M41" s="287">
        <f t="shared" si="9"/>
        <v>1246641.6801781324</v>
      </c>
      <c r="N41" s="287">
        <f t="shared" si="9"/>
        <v>1251549.228236831</v>
      </c>
      <c r="O41" s="287">
        <f t="shared" si="9"/>
        <v>1271373.6385599028</v>
      </c>
      <c r="P41" s="287">
        <f t="shared" si="9"/>
        <v>1291464.3727333951</v>
      </c>
      <c r="Q41" s="287">
        <f t="shared" si="9"/>
        <v>1311823.5031254133</v>
      </c>
      <c r="R41" s="287">
        <f t="shared" si="9"/>
        <v>1332453.0621987071</v>
      </c>
      <c r="S41" s="287">
        <f t="shared" si="9"/>
        <v>1353355.0396787361</v>
      </c>
      <c r="T41" s="287">
        <f t="shared" si="9"/>
        <v>1374531.3796142661</v>
      </c>
      <c r="U41" s="287">
        <f t="shared" si="9"/>
        <v>1395983.9773270567</v>
      </c>
      <c r="V41" s="287">
        <f t="shared" si="9"/>
        <v>1417714.6762471155</v>
      </c>
      <c r="W41" s="287">
        <f t="shared" si="9"/>
        <v>1439725.2646299123</v>
      </c>
      <c r="X41" s="287">
        <f t="shared" si="9"/>
        <v>1462017.4721518131</v>
      </c>
      <c r="Y41" s="287">
        <f t="shared" si="9"/>
        <v>1484592.9663798832</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REFI YR.</v>
      </c>
      <c r="I43" s="288" t="str">
        <f t="shared" si="10"/>
        <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0</v>
      </c>
      <c r="F44" s="283">
        <f t="shared" si="11"/>
        <v>0</v>
      </c>
      <c r="G44" s="283">
        <f t="shared" si="11"/>
        <v>0</v>
      </c>
      <c r="H44" s="283">
        <f t="shared" si="11"/>
        <v>15440.576399999998</v>
      </c>
      <c r="I44" s="283">
        <f t="shared" si="11"/>
        <v>15749.387928</v>
      </c>
      <c r="J44" s="283">
        <f t="shared" si="11"/>
        <v>16064.375686560001</v>
      </c>
      <c r="K44" s="283">
        <f t="shared" si="11"/>
        <v>16385.663200291201</v>
      </c>
      <c r="L44" s="283">
        <f t="shared" si="11"/>
        <v>16713.37646429702</v>
      </c>
      <c r="M44" s="283">
        <f t="shared" si="11"/>
        <v>17047.643993582962</v>
      </c>
      <c r="N44" s="283">
        <f t="shared" si="11"/>
        <v>17388.596873454622</v>
      </c>
      <c r="O44" s="283">
        <f t="shared" si="11"/>
        <v>17736.368810923716</v>
      </c>
      <c r="P44" s="283">
        <f t="shared" si="11"/>
        <v>18091.096187142186</v>
      </c>
      <c r="Q44" s="283">
        <f t="shared" si="11"/>
        <v>18452.918110885035</v>
      </c>
      <c r="R44" s="283">
        <f t="shared" si="11"/>
        <v>18821.976473102732</v>
      </c>
      <c r="S44" s="283">
        <f t="shared" si="11"/>
        <v>19198.416002564791</v>
      </c>
      <c r="T44" s="283">
        <f t="shared" si="11"/>
        <v>19582.384322616079</v>
      </c>
      <c r="U44" s="283">
        <f t="shared" si="11"/>
        <v>19974.032009068404</v>
      </c>
      <c r="V44" s="283">
        <f t="shared" si="11"/>
        <v>20373.512649249777</v>
      </c>
      <c r="W44" s="283">
        <f t="shared" si="11"/>
        <v>20780.982902234769</v>
      </c>
      <c r="X44" s="283">
        <f t="shared" si="11"/>
        <v>21196.602560279462</v>
      </c>
      <c r="Y44" s="283">
        <f t="shared" si="11"/>
        <v>21620.534611485054</v>
      </c>
    </row>
    <row r="45" spans="3:25" ht="13.5" customHeight="1">
      <c r="C45" s="15" t="s">
        <v>359</v>
      </c>
      <c r="D45" s="8"/>
      <c r="E45" s="287">
        <f t="shared" ref="E45:Y45" si="12">E41-E44</f>
        <v>0</v>
      </c>
      <c r="F45" s="287">
        <f t="shared" si="12"/>
        <v>0</v>
      </c>
      <c r="G45" s="287">
        <f t="shared" si="12"/>
        <v>0</v>
      </c>
      <c r="H45" s="287">
        <f t="shared" si="12"/>
        <v>1197590.8563407201</v>
      </c>
      <c r="I45" s="287">
        <f t="shared" si="12"/>
        <v>1205083.3484576142</v>
      </c>
      <c r="J45" s="287">
        <f t="shared" si="12"/>
        <v>1212067.3174164493</v>
      </c>
      <c r="K45" s="287">
        <f t="shared" si="12"/>
        <v>1218506.2578340496</v>
      </c>
      <c r="L45" s="287">
        <f t="shared" si="12"/>
        <v>1224361.8808227715</v>
      </c>
      <c r="M45" s="287">
        <f t="shared" si="12"/>
        <v>1229594.0361845493</v>
      </c>
      <c r="N45" s="287">
        <f t="shared" si="12"/>
        <v>1234160.6313633765</v>
      </c>
      <c r="O45" s="287">
        <f t="shared" si="12"/>
        <v>1253637.269748979</v>
      </c>
      <c r="P45" s="287">
        <f t="shared" si="12"/>
        <v>1273373.2765462529</v>
      </c>
      <c r="Q45" s="287">
        <f t="shared" si="12"/>
        <v>1293370.5850145284</v>
      </c>
      <c r="R45" s="287">
        <f t="shared" si="12"/>
        <v>1313631.0857256043</v>
      </c>
      <c r="S45" s="287">
        <f t="shared" si="12"/>
        <v>1334156.6236761713</v>
      </c>
      <c r="T45" s="287">
        <f t="shared" si="12"/>
        <v>1354948.9952916501</v>
      </c>
      <c r="U45" s="287">
        <f t="shared" si="12"/>
        <v>1376009.9453179883</v>
      </c>
      <c r="V45" s="287">
        <f t="shared" si="12"/>
        <v>1397341.1635978657</v>
      </c>
      <c r="W45" s="287">
        <f t="shared" si="12"/>
        <v>1418944.2817276777</v>
      </c>
      <c r="X45" s="287">
        <f t="shared" si="12"/>
        <v>1440820.8695915337</v>
      </c>
      <c r="Y45" s="287">
        <f t="shared" si="12"/>
        <v>1462972.4317683983</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REFI YR.</v>
      </c>
      <c r="I47" s="288" t="str">
        <f t="shared" si="13"/>
        <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IFERROR(INDEX('02_Debt Engine'!$F$46:$Z$62,MATCH($C$1,'02_Debt Engine'!$B$19:$B$35,0),MATCH(E$12,'02_Debt Engine'!$F$45:$Z$45,0)),0)</f>
        <v>2119329.1278112764</v>
      </c>
      <c r="F48" s="286">
        <f>IFERROR(INDEX('02_Debt Engine'!$F$46:$Z$62,MATCH($C$1,'02_Debt Engine'!$B$19:$B$35,0),MATCH(F$12,'02_Debt Engine'!$F$45:$Z$45,0)),0)</f>
        <v>2119329.1278112764</v>
      </c>
      <c r="G48" s="286">
        <f>IFERROR(INDEX('02_Debt Engine'!$F$46:$Z$62,MATCH($C$1,'02_Debt Engine'!$B$19:$B$35,0),MATCH(G$12,'02_Debt Engine'!$F$45:$Z$45,0)),0)</f>
        <v>2119329.1278112764</v>
      </c>
      <c r="H48" s="286">
        <f>IFERROR(INDEX('02_Debt Engine'!$F$46:$Z$62,MATCH($C$1,'02_Debt Engine'!$B$19:$B$35,0),MATCH(H$12,'02_Debt Engine'!$F$45:$Z$45,0)),0)</f>
        <v>2119329.1278112764</v>
      </c>
      <c r="I48" s="286">
        <f>IFERROR(INDEX('02_Debt Engine'!$F$46:$Z$62,MATCH($C$1,'02_Debt Engine'!$B$19:$B$35,0),MATCH(I$12,'02_Debt Engine'!$F$45:$Z$45,0)),0)</f>
        <v>805649.51774556539</v>
      </c>
      <c r="J48" s="286">
        <f>IFERROR(INDEX('02_Debt Engine'!$F$46:$Z$62,MATCH($C$1,'02_Debt Engine'!$B$19:$B$35,0),MATCH(J$12,'02_Debt Engine'!$F$45:$Z$45,0)),0)</f>
        <v>805649.51774556539</v>
      </c>
      <c r="K48" s="286">
        <f>IFERROR(INDEX('02_Debt Engine'!$F$46:$Z$62,MATCH($C$1,'02_Debt Engine'!$B$19:$B$35,0),MATCH(K$12,'02_Debt Engine'!$F$45:$Z$45,0)),0)</f>
        <v>805649.51774556539</v>
      </c>
      <c r="L48" s="286">
        <f>IFERROR(INDEX('02_Debt Engine'!$F$46:$Z$62,MATCH($C$1,'02_Debt Engine'!$B$19:$B$35,0),MATCH(L$12,'02_Debt Engine'!$F$45:$Z$45,0)),0)</f>
        <v>805649.51774556539</v>
      </c>
      <c r="M48" s="286">
        <f>IFERROR(INDEX('02_Debt Engine'!$F$46:$Z$62,MATCH($C$1,'02_Debt Engine'!$B$19:$B$35,0),MATCH(M$12,'02_Debt Engine'!$F$45:$Z$45,0)),0)</f>
        <v>805649.51774556539</v>
      </c>
      <c r="N48" s="286">
        <f>IFERROR(INDEX('02_Debt Engine'!$F$46:$Z$62,MATCH($C$1,'02_Debt Engine'!$B$19:$B$35,0),MATCH(N$12,'02_Debt Engine'!$F$45:$Z$45,0)),0)</f>
        <v>805649.51774556539</v>
      </c>
      <c r="O48" s="286">
        <f>IFERROR(INDEX('02_Debt Engine'!$F$46:$Z$62,MATCH($C$1,'02_Debt Engine'!$B$19:$B$35,0),MATCH(O$12,'02_Debt Engine'!$F$45:$Z$45,0)),0)</f>
        <v>805649.51774556539</v>
      </c>
      <c r="P48" s="286">
        <f>IFERROR(INDEX('02_Debt Engine'!$F$46:$Z$62,MATCH($C$1,'02_Debt Engine'!$B$19:$B$35,0),MATCH(P$12,'02_Debt Engine'!$F$45:$Z$45,0)),0)</f>
        <v>805649.51774556539</v>
      </c>
      <c r="Q48" s="286">
        <f>IFERROR(INDEX('02_Debt Engine'!$F$46:$Z$62,MATCH($C$1,'02_Debt Engine'!$B$19:$B$35,0),MATCH(Q$12,'02_Debt Engine'!$F$45:$Z$45,0)),0)</f>
        <v>805649.51774556539</v>
      </c>
      <c r="R48" s="286">
        <f>IFERROR(INDEX('02_Debt Engine'!$F$46:$Z$62,MATCH($C$1,'02_Debt Engine'!$B$19:$B$35,0),MATCH(R$12,'02_Debt Engine'!$F$45:$Z$45,0)),0)</f>
        <v>805649.51774556539</v>
      </c>
      <c r="S48" s="286">
        <f>IFERROR(INDEX('02_Debt Engine'!$F$46:$Z$62,MATCH($C$1,'02_Debt Engine'!$B$19:$B$35,0),MATCH(S$12,'02_Debt Engine'!$F$45:$Z$45,0)),0)</f>
        <v>805649.51774556539</v>
      </c>
      <c r="T48" s="286">
        <f>IFERROR(INDEX('02_Debt Engine'!$F$46:$Z$62,MATCH($C$1,'02_Debt Engine'!$B$19:$B$35,0),MATCH(T$12,'02_Debt Engine'!$F$45:$Z$45,0)),0)</f>
        <v>805649.51774556539</v>
      </c>
      <c r="U48" s="286">
        <f>IFERROR(INDEX('02_Debt Engine'!$F$46:$Z$62,MATCH($C$1,'02_Debt Engine'!$B$19:$B$35,0),MATCH(U$12,'02_Debt Engine'!$F$45:$Z$45,0)),0)</f>
        <v>805649.51774556539</v>
      </c>
      <c r="V48" s="286">
        <f>IFERROR(INDEX('02_Debt Engine'!$F$46:$Z$62,MATCH($C$1,'02_Debt Engine'!$B$19:$B$35,0),MATCH(V$12,'02_Debt Engine'!$F$45:$Z$45,0)),0)</f>
        <v>805649.51774556539</v>
      </c>
      <c r="W48" s="286">
        <f>IFERROR(INDEX('02_Debt Engine'!$F$46:$Z$62,MATCH($C$1,'02_Debt Engine'!$B$19:$B$35,0),MATCH(W$12,'02_Debt Engine'!$F$45:$Z$45,0)),0)</f>
        <v>805649.51774556539</v>
      </c>
      <c r="X48" s="286">
        <f>IFERROR(INDEX('02_Debt Engine'!$F$46:$Z$62,MATCH($C$1,'02_Debt Engine'!$B$19:$B$35,0),MATCH(X$12,'02_Debt Engine'!$F$45:$Z$45,0)),0)</f>
        <v>805649.51774556539</v>
      </c>
      <c r="Y48" s="286">
        <f>IFERROR(INDEX('02_Debt Engine'!$F$46:$Z$62,MATCH($C$1,'02_Debt Engine'!$B$19:$B$35,0),MATCH(Y$12,'02_Debt Engine'!$F$45:$Z$45,0)),0)</f>
        <v>805649.51774556539</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0</v>
      </c>
      <c r="F50" s="290">
        <f t="shared" si="14"/>
        <v>0</v>
      </c>
      <c r="G50" s="290">
        <f t="shared" si="14"/>
        <v>0</v>
      </c>
      <c r="H50" s="290">
        <f t="shared" si="14"/>
        <v>0.57236576274184958</v>
      </c>
      <c r="I50" s="290">
        <f t="shared" si="14"/>
        <v>1.5153397469930205</v>
      </c>
      <c r="J50" s="290">
        <f t="shared" si="14"/>
        <v>1.5243994640990641</v>
      </c>
      <c r="K50" s="290">
        <f t="shared" si="14"/>
        <v>1.5327904924338771</v>
      </c>
      <c r="L50" s="290">
        <f t="shared" si="14"/>
        <v>1.5404654628974981</v>
      </c>
      <c r="M50" s="290">
        <f t="shared" si="14"/>
        <v>1.5473746991949893</v>
      </c>
      <c r="N50" s="290">
        <f t="shared" si="14"/>
        <v>1.5534661173000126</v>
      </c>
      <c r="O50" s="290">
        <f t="shared" si="14"/>
        <v>1.5780728599175047</v>
      </c>
      <c r="P50" s="290">
        <f t="shared" si="14"/>
        <v>1.6030101728941348</v>
      </c>
      <c r="Q50" s="290">
        <f t="shared" si="14"/>
        <v>1.6282806285247529</v>
      </c>
      <c r="R50" s="290">
        <f t="shared" si="14"/>
        <v>1.6538867495723037</v>
      </c>
      <c r="S50" s="290">
        <f t="shared" si="14"/>
        <v>1.6798310057527315</v>
      </c>
      <c r="T50" s="290">
        <f t="shared" si="14"/>
        <v>1.706115810086491</v>
      </c>
      <c r="U50" s="290">
        <f t="shared" si="14"/>
        <v>1.7327435151123949</v>
      </c>
      <c r="V50" s="290">
        <f t="shared" si="14"/>
        <v>1.7597164089594208</v>
      </c>
      <c r="W50" s="290">
        <f t="shared" si="14"/>
        <v>1.7870367112720054</v>
      </c>
      <c r="X50" s="290">
        <f t="shared" si="14"/>
        <v>1.8147065689841786</v>
      </c>
      <c r="Y50" s="290">
        <f t="shared" si="14"/>
        <v>1.8427280519377622</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-2119329.1278112764</v>
      </c>
      <c r="F52" s="291">
        <f t="shared" si="15"/>
        <v>-2119329.1278112764</v>
      </c>
      <c r="G52" s="291">
        <f t="shared" si="15"/>
        <v>-2119329.1278112764</v>
      </c>
      <c r="H52" s="291">
        <f t="shared" si="15"/>
        <v>-906297.69507055636</v>
      </c>
      <c r="I52" s="291">
        <f t="shared" si="15"/>
        <v>415183.21864004876</v>
      </c>
      <c r="J52" s="291">
        <f t="shared" si="15"/>
        <v>422482.17535744398</v>
      </c>
      <c r="K52" s="291">
        <f t="shared" si="15"/>
        <v>429242.40328877536</v>
      </c>
      <c r="L52" s="291">
        <f t="shared" si="15"/>
        <v>435425.73954150314</v>
      </c>
      <c r="M52" s="291">
        <f t="shared" si="15"/>
        <v>440992.16243256698</v>
      </c>
      <c r="N52" s="291">
        <f t="shared" si="15"/>
        <v>445899.71049126564</v>
      </c>
      <c r="O52" s="291">
        <f t="shared" si="15"/>
        <v>465724.1208143374</v>
      </c>
      <c r="P52" s="291">
        <f t="shared" si="15"/>
        <v>485814.85498782969</v>
      </c>
      <c r="Q52" s="291">
        <f t="shared" si="15"/>
        <v>506173.98537984793</v>
      </c>
      <c r="R52" s="291">
        <f t="shared" si="15"/>
        <v>526803.54445314175</v>
      </c>
      <c r="S52" s="291">
        <f t="shared" si="15"/>
        <v>547705.52193317073</v>
      </c>
      <c r="T52" s="291">
        <f t="shared" si="15"/>
        <v>568881.86186870071</v>
      </c>
      <c r="U52" s="291">
        <f t="shared" si="15"/>
        <v>590334.4595814913</v>
      </c>
      <c r="V52" s="291">
        <f t="shared" si="15"/>
        <v>612065.15850155009</v>
      </c>
      <c r="W52" s="291">
        <f t="shared" si="15"/>
        <v>634075.74688434694</v>
      </c>
      <c r="X52" s="291">
        <f t="shared" si="15"/>
        <v>656367.95440624771</v>
      </c>
      <c r="Y52" s="291">
        <f t="shared" si="15"/>
        <v>678943.44863431784</v>
      </c>
    </row>
    <row r="53" spans="3:25" ht="7.15" customHeight="1">
      <c r="C53" s="14"/>
      <c r="D53" s="17"/>
    </row>
    <row r="54" spans="3:25" ht="13.5" customHeight="1">
      <c r="C54" s="15" t="s">
        <v>363</v>
      </c>
      <c r="D54" s="20"/>
      <c r="E54" s="292">
        <f t="shared" ref="E54:Y54" si="16">IF(E52&lt;0,0,E52*$G$7)</f>
        <v>0</v>
      </c>
      <c r="F54" s="292">
        <f t="shared" si="16"/>
        <v>0</v>
      </c>
      <c r="G54" s="292">
        <f t="shared" si="16"/>
        <v>0</v>
      </c>
      <c r="H54" s="292">
        <f t="shared" si="16"/>
        <v>0</v>
      </c>
      <c r="I54" s="292">
        <f t="shared" si="16"/>
        <v>249109.93118402924</v>
      </c>
      <c r="J54" s="292">
        <f t="shared" si="16"/>
        <v>253489.30521446638</v>
      </c>
      <c r="K54" s="292">
        <f t="shared" si="16"/>
        <v>257545.4419732652</v>
      </c>
      <c r="L54" s="292">
        <f t="shared" si="16"/>
        <v>261255.44372490188</v>
      </c>
      <c r="M54" s="292">
        <f t="shared" si="16"/>
        <v>264595.29745954019</v>
      </c>
      <c r="N54" s="292">
        <f t="shared" si="16"/>
        <v>267539.82629475935</v>
      </c>
      <c r="O54" s="292">
        <f t="shared" si="16"/>
        <v>279434.47248860245</v>
      </c>
      <c r="P54" s="292">
        <f t="shared" si="16"/>
        <v>291488.91299269779</v>
      </c>
      <c r="Q54" s="292">
        <f t="shared" si="16"/>
        <v>303704.39122790872</v>
      </c>
      <c r="R54" s="292">
        <f t="shared" si="16"/>
        <v>316082.12667188502</v>
      </c>
      <c r="S54" s="292">
        <f t="shared" si="16"/>
        <v>328623.31315990241</v>
      </c>
      <c r="T54" s="292">
        <f t="shared" si="16"/>
        <v>341329.11712122039</v>
      </c>
      <c r="U54" s="292">
        <f t="shared" si="16"/>
        <v>354200.67574889475</v>
      </c>
      <c r="V54" s="292">
        <f t="shared" si="16"/>
        <v>367239.09510093002</v>
      </c>
      <c r="W54" s="292">
        <f t="shared" si="16"/>
        <v>380445.44813060813</v>
      </c>
      <c r="X54" s="292">
        <f t="shared" si="16"/>
        <v>393820.77264374861</v>
      </c>
      <c r="Y54" s="292">
        <f t="shared" si="16"/>
        <v>407366.06918059068</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-2119329.1278112764</v>
      </c>
      <c r="F56" s="291">
        <f t="shared" si="17"/>
        <v>-2119329.1278112764</v>
      </c>
      <c r="G56" s="291">
        <f t="shared" si="17"/>
        <v>-2119329.1278112764</v>
      </c>
      <c r="H56" s="291">
        <f t="shared" si="17"/>
        <v>-906297.69507055636</v>
      </c>
      <c r="I56" s="291">
        <f t="shared" si="17"/>
        <v>166073.28745601952</v>
      </c>
      <c r="J56" s="291">
        <f t="shared" si="17"/>
        <v>168992.8701429776</v>
      </c>
      <c r="K56" s="291">
        <f t="shared" si="17"/>
        <v>171696.96131551015</v>
      </c>
      <c r="L56" s="291">
        <f t="shared" si="17"/>
        <v>174170.29581660125</v>
      </c>
      <c r="M56" s="291">
        <f t="shared" si="17"/>
        <v>176396.86497302679</v>
      </c>
      <c r="N56" s="291">
        <f t="shared" si="17"/>
        <v>178359.88419650629</v>
      </c>
      <c r="O56" s="291">
        <f t="shared" si="17"/>
        <v>186289.64832573495</v>
      </c>
      <c r="P56" s="291">
        <f t="shared" si="17"/>
        <v>194325.9419951319</v>
      </c>
      <c r="Q56" s="291">
        <f t="shared" si="17"/>
        <v>202469.59415193921</v>
      </c>
      <c r="R56" s="291">
        <f t="shared" si="17"/>
        <v>210721.41778125672</v>
      </c>
      <c r="S56" s="291">
        <f t="shared" si="17"/>
        <v>219082.20877326833</v>
      </c>
      <c r="T56" s="291">
        <f t="shared" si="17"/>
        <v>227552.74474748032</v>
      </c>
      <c r="U56" s="291">
        <f t="shared" si="17"/>
        <v>236133.78383259656</v>
      </c>
      <c r="V56" s="291">
        <f t="shared" si="17"/>
        <v>244826.06340062007</v>
      </c>
      <c r="W56" s="291">
        <f t="shared" si="17"/>
        <v>253630.29875373881</v>
      </c>
      <c r="X56" s="291">
        <f t="shared" si="17"/>
        <v>262547.18176249909</v>
      </c>
      <c r="Y56" s="291">
        <f t="shared" si="17"/>
        <v>271577.37945372716</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REFI YR.</v>
      </c>
      <c r="I60" s="288" t="str">
        <f t="shared" si="18"/>
        <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-37781198.159996934</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15162892.909259001</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-22618305.250737935</v>
      </c>
      <c r="I63" s="285">
        <f t="shared" si="19"/>
        <v>0</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38933495.872188725</v>
      </c>
      <c r="F64" s="296">
        <f>INDEX('02_Debt Engine'!$F$74:$Z$90,MATCH($C$1,'02_Debt Engine'!$B$74:$B$90,0),MATCH(F$12,'02_Debt Engine'!$F$73:$Z$73,0))</f>
        <v>38566174.058625944</v>
      </c>
      <c r="G64" s="296">
        <f>INDEX('02_Debt Engine'!$F$74:$Z$90,MATCH($C$1,'02_Debt Engine'!$B$74:$B$90,0),MATCH(G$12,'02_Debt Engine'!$F$73:$Z$73,0))</f>
        <v>38182322.763452835</v>
      </c>
      <c r="H64" s="296">
        <f>INDEX('02_Debt Engine'!$F$74:$Z$90,MATCH($C$1,'02_Debt Engine'!$B$74:$B$90,0),MATCH(H$12,'02_Debt Engine'!$F$73:$Z$73,0))</f>
        <v>37781198.159996934</v>
      </c>
      <c r="I64" s="296">
        <f>INDEX('02_Debt Engine'!$F$74:$Z$90,MATCH($C$1,'02_Debt Engine'!$B$74:$B$90,0),MATCH(I$12,'02_Debt Engine'!$F$73:$Z$73,0))</f>
        <v>14963759.107883796</v>
      </c>
      <c r="J64" s="296">
        <f>INDEX('02_Debt Engine'!$F$74:$Z$90,MATCH($C$1,'02_Debt Engine'!$B$74:$B$90,0),MATCH(J$12,'02_Debt Engine'!$F$73:$Z$73,0))</f>
        <v>14756659.954453582</v>
      </c>
      <c r="K64" s="296">
        <f>INDEX('02_Debt Engine'!$F$74:$Z$90,MATCH($C$1,'02_Debt Engine'!$B$74:$B$90,0),MATCH(K$12,'02_Debt Engine'!$F$73:$Z$73,0))</f>
        <v>14541276.83488616</v>
      </c>
      <c r="L64" s="296">
        <f>INDEX('02_Debt Engine'!$F$74:$Z$90,MATCH($C$1,'02_Debt Engine'!$B$74:$B$90,0),MATCH(L$12,'02_Debt Engine'!$F$73:$Z$73,0))</f>
        <v>14317278.39053604</v>
      </c>
      <c r="M64" s="296">
        <f>INDEX('02_Debt Engine'!$F$74:$Z$90,MATCH($C$1,'02_Debt Engine'!$B$74:$B$90,0),MATCH(M$12,'02_Debt Engine'!$F$73:$Z$73,0))</f>
        <v>14084320.008411916</v>
      </c>
      <c r="N64" s="296">
        <f>INDEX('02_Debt Engine'!$F$74:$Z$90,MATCH($C$1,'02_Debt Engine'!$B$74:$B$90,0),MATCH(N$12,'02_Debt Engine'!$F$73:$Z$73,0))</f>
        <v>13842043.291002827</v>
      </c>
      <c r="O64" s="296">
        <f>INDEX('02_Debt Engine'!$F$74:$Z$90,MATCH($C$1,'02_Debt Engine'!$B$74:$B$90,0),MATCH(O$12,'02_Debt Engine'!$F$73:$Z$73,0))</f>
        <v>13590075.504897375</v>
      </c>
      <c r="P64" s="296">
        <f>INDEX('02_Debt Engine'!$F$74:$Z$90,MATCH($C$1,'02_Debt Engine'!$B$74:$B$90,0),MATCH(P$12,'02_Debt Engine'!$F$73:$Z$73,0))</f>
        <v>13328029.007347705</v>
      </c>
      <c r="Q64" s="296">
        <f>INDEX('02_Debt Engine'!$F$74:$Z$90,MATCH($C$1,'02_Debt Engine'!$B$74:$B$90,0),MATCH(Q$12,'02_Debt Engine'!$F$73:$Z$73,0))</f>
        <v>13055500.649896048</v>
      </c>
      <c r="R64" s="296">
        <f>INDEX('02_Debt Engine'!$F$74:$Z$90,MATCH($C$1,'02_Debt Engine'!$B$74:$B$90,0),MATCH(R$12,'02_Debt Engine'!$F$73:$Z$73,0))</f>
        <v>12772071.158146325</v>
      </c>
      <c r="S64" s="296">
        <f>INDEX('02_Debt Engine'!$F$74:$Z$90,MATCH($C$1,'02_Debt Engine'!$B$74:$B$90,0),MATCH(S$12,'02_Debt Engine'!$F$73:$Z$73,0))</f>
        <v>12477304.486726614</v>
      </c>
      <c r="T64" s="296">
        <f>INDEX('02_Debt Engine'!$F$74:$Z$90,MATCH($C$1,'02_Debt Engine'!$B$74:$B$90,0),MATCH(T$12,'02_Debt Engine'!$F$73:$Z$73,0))</f>
        <v>12170747.148450114</v>
      </c>
      <c r="U64" s="296">
        <f>INDEX('02_Debt Engine'!$F$74:$Z$90,MATCH($C$1,'02_Debt Engine'!$B$74:$B$90,0),MATCH(U$12,'02_Debt Engine'!$F$73:$Z$73,0))</f>
        <v>11851927.516642554</v>
      </c>
      <c r="V64" s="296">
        <f>INDEX('02_Debt Engine'!$F$74:$Z$90,MATCH($C$1,'02_Debt Engine'!$B$74:$B$90,0),MATCH(V$12,'02_Debt Engine'!$F$73:$Z$73,0))</f>
        <v>11520355.09956269</v>
      </c>
      <c r="W64" s="296">
        <f>INDEX('02_Debt Engine'!$F$74:$Z$90,MATCH($C$1,'02_Debt Engine'!$B$74:$B$90,0),MATCH(W$12,'02_Debt Engine'!$F$73:$Z$73,0))</f>
        <v>11175519.785799632</v>
      </c>
      <c r="X64" s="296">
        <f>INDEX('02_Debt Engine'!$F$74:$Z$90,MATCH($C$1,'02_Debt Engine'!$B$74:$B$90,0),MATCH(X$12,'02_Debt Engine'!$F$73:$Z$73,0))</f>
        <v>10816891.059486052</v>
      </c>
      <c r="Y64" s="296">
        <f>INDEX('02_Debt Engine'!$F$74:$Z$90,MATCH($C$1,'02_Debt Engine'!$B$74:$B$90,0),MATCH(Y$12,'02_Debt Engine'!$F$73:$Z$73,0))</f>
        <v>10443917.184119929</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REFI YR.</v>
      </c>
      <c r="I66" s="288" t="str">
        <f t="shared" si="20"/>
        <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-2119329.1278112764</v>
      </c>
      <c r="F67" s="285">
        <f t="shared" si="21"/>
        <v>-2119329.1278112764</v>
      </c>
      <c r="G67" s="285">
        <f t="shared" si="21"/>
        <v>-2119329.1278112764</v>
      </c>
      <c r="H67" s="285">
        <f t="shared" si="21"/>
        <v>-906297.69507055636</v>
      </c>
      <c r="I67" s="285">
        <f t="shared" si="21"/>
        <v>166073.28745601952</v>
      </c>
      <c r="J67" s="285">
        <f t="shared" si="21"/>
        <v>168992.8701429776</v>
      </c>
      <c r="K67" s="285">
        <f t="shared" si="21"/>
        <v>171696.96131551015</v>
      </c>
      <c r="L67" s="285">
        <f t="shared" si="21"/>
        <v>174170.29581660125</v>
      </c>
      <c r="M67" s="285">
        <f t="shared" si="21"/>
        <v>176396.86497302679</v>
      </c>
      <c r="N67" s="285">
        <f t="shared" si="21"/>
        <v>178359.88419650629</v>
      </c>
      <c r="O67" s="285">
        <f t="shared" si="21"/>
        <v>186289.64832573495</v>
      </c>
      <c r="P67" s="285">
        <f t="shared" si="21"/>
        <v>194325.9419951319</v>
      </c>
      <c r="Q67" s="285">
        <f t="shared" si="21"/>
        <v>202469.59415193921</v>
      </c>
      <c r="R67" s="285">
        <f t="shared" si="21"/>
        <v>210721.41778125672</v>
      </c>
      <c r="S67" s="285">
        <f t="shared" si="21"/>
        <v>219082.20877326833</v>
      </c>
      <c r="T67" s="285">
        <f t="shared" si="21"/>
        <v>227552.74474748032</v>
      </c>
      <c r="U67" s="285">
        <f t="shared" si="21"/>
        <v>236133.78383259656</v>
      </c>
      <c r="V67" s="285">
        <f t="shared" si="21"/>
        <v>244826.06340062007</v>
      </c>
      <c r="W67" s="285">
        <f t="shared" si="21"/>
        <v>253630.29875373881</v>
      </c>
      <c r="X67" s="285">
        <f t="shared" si="21"/>
        <v>262547.18176249909</v>
      </c>
      <c r="Y67" s="285">
        <f t="shared" si="21"/>
        <v>271577.37945372716</v>
      </c>
    </row>
    <row r="68" spans="3:25" s="20" customFormat="1" ht="13.5" customHeight="1">
      <c r="C68" s="26" t="s">
        <v>544</v>
      </c>
      <c r="E68" s="287">
        <f t="shared" ref="E68:Y68" si="22">E67+E$63</f>
        <v>-2119329.1278112764</v>
      </c>
      <c r="F68" s="287">
        <f t="shared" si="22"/>
        <v>-2119329.1278112764</v>
      </c>
      <c r="G68" s="287">
        <f t="shared" si="22"/>
        <v>-2119329.1278112764</v>
      </c>
      <c r="H68" s="287">
        <f t="shared" si="22"/>
        <v>-23524602.945808493</v>
      </c>
      <c r="I68" s="287">
        <f t="shared" si="22"/>
        <v>166073.28745601952</v>
      </c>
      <c r="J68" s="287">
        <f t="shared" si="22"/>
        <v>168992.8701429776</v>
      </c>
      <c r="K68" s="287">
        <f t="shared" si="22"/>
        <v>171696.96131551015</v>
      </c>
      <c r="L68" s="287">
        <f t="shared" si="22"/>
        <v>174170.29581660125</v>
      </c>
      <c r="M68" s="287">
        <f t="shared" si="22"/>
        <v>176396.86497302679</v>
      </c>
      <c r="N68" s="287">
        <f t="shared" si="22"/>
        <v>178359.88419650629</v>
      </c>
      <c r="O68" s="287">
        <f t="shared" si="22"/>
        <v>186289.64832573495</v>
      </c>
      <c r="P68" s="287">
        <f t="shared" si="22"/>
        <v>194325.9419951319</v>
      </c>
      <c r="Q68" s="287">
        <f t="shared" si="22"/>
        <v>202469.59415193921</v>
      </c>
      <c r="R68" s="287">
        <f t="shared" si="22"/>
        <v>210721.41778125672</v>
      </c>
      <c r="S68" s="287">
        <f t="shared" si="22"/>
        <v>219082.20877326833</v>
      </c>
      <c r="T68" s="287">
        <f t="shared" si="22"/>
        <v>227552.74474748032</v>
      </c>
      <c r="U68" s="287">
        <f t="shared" si="22"/>
        <v>236133.78383259656</v>
      </c>
      <c r="V68" s="287">
        <f t="shared" si="22"/>
        <v>244826.06340062007</v>
      </c>
      <c r="W68" s="287">
        <f t="shared" si="22"/>
        <v>253630.29875373881</v>
      </c>
      <c r="X68" s="287">
        <f t="shared" si="22"/>
        <v>262547.18176249909</v>
      </c>
      <c r="Y68" s="287">
        <f t="shared" si="22"/>
        <v>271577.37945372716</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0</v>
      </c>
      <c r="F73" s="285">
        <f t="shared" si="24"/>
        <v>0</v>
      </c>
      <c r="G73" s="285">
        <f t="shared" si="24"/>
        <v>0</v>
      </c>
      <c r="H73" s="285">
        <f t="shared" si="24"/>
        <v>20217190.545678668</v>
      </c>
      <c r="I73" s="285">
        <f t="shared" si="24"/>
        <v>20347212.27309357</v>
      </c>
      <c r="J73" s="285">
        <f t="shared" si="24"/>
        <v>20468861.551716823</v>
      </c>
      <c r="K73" s="285">
        <f t="shared" si="24"/>
        <v>20581532.017239012</v>
      </c>
      <c r="L73" s="285">
        <f t="shared" si="24"/>
        <v>20684587.621451143</v>
      </c>
      <c r="M73" s="285">
        <f t="shared" si="24"/>
        <v>20777361.336302206</v>
      </c>
      <c r="N73" s="285">
        <f t="shared" si="24"/>
        <v>20859153.803947184</v>
      </c>
      <c r="O73" s="285">
        <f t="shared" si="24"/>
        <v>21189560.642665047</v>
      </c>
      <c r="P73" s="285">
        <f t="shared" si="24"/>
        <v>21524406.21222325</v>
      </c>
      <c r="Q73" s="285">
        <f t="shared" si="24"/>
        <v>21863725.052090224</v>
      </c>
      <c r="R73" s="285">
        <f t="shared" si="24"/>
        <v>22207551.036645118</v>
      </c>
      <c r="S73" s="285">
        <f t="shared" si="24"/>
        <v>22555917.327978935</v>
      </c>
      <c r="T73" s="285">
        <f t="shared" si="24"/>
        <v>22908856.326904435</v>
      </c>
      <c r="U73" s="285">
        <f t="shared" si="24"/>
        <v>23266399.622117613</v>
      </c>
      <c r="V73" s="285">
        <f t="shared" si="24"/>
        <v>23628577.937451925</v>
      </c>
      <c r="W73" s="285">
        <f t="shared" si="24"/>
        <v>23995421.077165205</v>
      </c>
      <c r="X73" s="285">
        <f t="shared" si="24"/>
        <v>24366957.869196884</v>
      </c>
      <c r="Y73" s="285">
        <f t="shared" si="24"/>
        <v>24743216.106331389</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REFI YR.</v>
      </c>
      <c r="I75" s="288" t="str">
        <f t="shared" si="25"/>
        <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38933495.872188725</v>
      </c>
      <c r="F76" s="285">
        <f t="shared" si="26"/>
        <v>38566174.058625944</v>
      </c>
      <c r="G76" s="285">
        <f t="shared" si="26"/>
        <v>38182322.763452835</v>
      </c>
      <c r="H76" s="285">
        <f t="shared" si="26"/>
        <v>37781198.159996934</v>
      </c>
      <c r="I76" s="285">
        <f t="shared" si="26"/>
        <v>14963759.107883796</v>
      </c>
      <c r="J76" s="285">
        <f t="shared" si="26"/>
        <v>14756659.954453582</v>
      </c>
      <c r="K76" s="285">
        <f t="shared" si="26"/>
        <v>14541276.83488616</v>
      </c>
      <c r="L76" s="285">
        <f t="shared" si="26"/>
        <v>14317278.39053604</v>
      </c>
      <c r="M76" s="285">
        <f t="shared" si="26"/>
        <v>14084320.008411916</v>
      </c>
      <c r="N76" s="285">
        <f t="shared" si="26"/>
        <v>13842043.291002827</v>
      </c>
      <c r="O76" s="285">
        <f t="shared" si="26"/>
        <v>13590075.504897375</v>
      </c>
      <c r="P76" s="285">
        <f t="shared" si="26"/>
        <v>13328029.007347705</v>
      </c>
      <c r="Q76" s="285">
        <f t="shared" si="26"/>
        <v>13055500.649896048</v>
      </c>
      <c r="R76" s="285">
        <f t="shared" si="26"/>
        <v>12772071.158146325</v>
      </c>
      <c r="S76" s="285">
        <f t="shared" si="26"/>
        <v>12477304.486726614</v>
      </c>
      <c r="T76" s="285">
        <f t="shared" si="26"/>
        <v>12170747.148450114</v>
      </c>
      <c r="U76" s="285">
        <f t="shared" si="26"/>
        <v>11851927.516642554</v>
      </c>
      <c r="V76" s="285">
        <f t="shared" si="26"/>
        <v>11520355.09956269</v>
      </c>
      <c r="W76" s="285">
        <f t="shared" si="26"/>
        <v>11175519.785799632</v>
      </c>
      <c r="X76" s="285">
        <f t="shared" si="26"/>
        <v>10816891.059486052</v>
      </c>
      <c r="Y76" s="285">
        <f t="shared" si="26"/>
        <v>10443917.184119929</v>
      </c>
    </row>
    <row r="77" spans="3:25" ht="13.5" customHeight="1">
      <c r="C77" s="26" t="s">
        <v>376</v>
      </c>
      <c r="D77" s="21"/>
      <c r="E77" s="287">
        <f t="shared" ref="E77:Y77" si="27">E73-E$76</f>
        <v>-38933495.872188725</v>
      </c>
      <c r="F77" s="287">
        <f t="shared" si="27"/>
        <v>-38566174.058625944</v>
      </c>
      <c r="G77" s="287">
        <f t="shared" si="27"/>
        <v>-38182322.763452835</v>
      </c>
      <c r="H77" s="287">
        <f t="shared" si="27"/>
        <v>-17564007.614318267</v>
      </c>
      <c r="I77" s="287">
        <f t="shared" si="27"/>
        <v>5383453.1652097739</v>
      </c>
      <c r="J77" s="287">
        <f t="shared" si="27"/>
        <v>5712201.5972632412</v>
      </c>
      <c r="K77" s="287">
        <f t="shared" si="27"/>
        <v>6040255.1823528521</v>
      </c>
      <c r="L77" s="287">
        <f t="shared" si="27"/>
        <v>6367309.2309151031</v>
      </c>
      <c r="M77" s="287">
        <f t="shared" si="27"/>
        <v>6693041.3278902899</v>
      </c>
      <c r="N77" s="287">
        <f t="shared" si="27"/>
        <v>7017110.5129443575</v>
      </c>
      <c r="O77" s="287">
        <f t="shared" si="27"/>
        <v>7599485.1377676725</v>
      </c>
      <c r="P77" s="287">
        <f t="shared" si="27"/>
        <v>8196377.2048755456</v>
      </c>
      <c r="Q77" s="287">
        <f t="shared" si="27"/>
        <v>8808224.4021941759</v>
      </c>
      <c r="R77" s="287">
        <f t="shared" si="27"/>
        <v>9435479.8784987926</v>
      </c>
      <c r="S77" s="287">
        <f t="shared" si="27"/>
        <v>10078612.841252321</v>
      </c>
      <c r="T77" s="287">
        <f t="shared" si="27"/>
        <v>10738109.178454321</v>
      </c>
      <c r="U77" s="287">
        <f t="shared" si="27"/>
        <v>11414472.105475059</v>
      </c>
      <c r="V77" s="287">
        <f t="shared" si="27"/>
        <v>12108222.837889235</v>
      </c>
      <c r="W77" s="287">
        <f t="shared" si="27"/>
        <v>12819901.291365573</v>
      </c>
      <c r="X77" s="287">
        <f t="shared" si="27"/>
        <v>13550066.809710832</v>
      </c>
      <c r="Y77" s="287">
        <f t="shared" si="27"/>
        <v>14299298.922211461</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2029</v>
      </c>
      <c r="D79" s="20"/>
      <c r="E79" s="289" t="str">
        <f t="shared" ref="E79:Y79" si="28">IF(E$72=$F$2+1,"STAB. YR.","")</f>
        <v/>
      </c>
      <c r="F79" s="289" t="str">
        <f t="shared" si="28"/>
        <v/>
      </c>
      <c r="G79" s="289" t="str">
        <f t="shared" si="28"/>
        <v/>
      </c>
      <c r="H79" s="289" t="str">
        <f t="shared" si="28"/>
        <v/>
      </c>
      <c r="I79" s="289" t="str">
        <f t="shared" si="28"/>
        <v>STAB. YR.</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0</v>
      </c>
      <c r="G80" s="296">
        <f t="shared" si="29"/>
        <v>0</v>
      </c>
      <c r="H80" s="296">
        <f t="shared" si="29"/>
        <v>0</v>
      </c>
      <c r="I80" s="296">
        <f t="shared" si="29"/>
        <v>20347212.27309357</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0</v>
      </c>
      <c r="F81" s="344">
        <f t="shared" si="30"/>
        <v>0</v>
      </c>
      <c r="G81" s="344">
        <f t="shared" si="30"/>
        <v>0</v>
      </c>
      <c r="H81" s="344">
        <f t="shared" si="30"/>
        <v>5.961659103270818E-2</v>
      </c>
      <c r="I81" s="344">
        <f t="shared" si="30"/>
        <v>0.06</v>
      </c>
      <c r="J81" s="344">
        <f t="shared" si="30"/>
        <v>6.0358720232503153E-2</v>
      </c>
      <c r="K81" s="344">
        <f t="shared" si="30"/>
        <v>6.0690963678956544E-2</v>
      </c>
      <c r="L81" s="344">
        <f t="shared" si="30"/>
        <v>6.0994854756011088E-2</v>
      </c>
      <c r="M81" s="344">
        <f t="shared" si="30"/>
        <v>6.1268426526745731E-2</v>
      </c>
      <c r="N81" s="344">
        <f t="shared" si="30"/>
        <v>6.1509616719919676E-2</v>
      </c>
      <c r="O81" s="344">
        <f t="shared" si="30"/>
        <v>6.2483922686604201E-2</v>
      </c>
      <c r="P81" s="344">
        <f t="shared" si="30"/>
        <v>6.3471317613429612E-2</v>
      </c>
      <c r="Q81" s="344">
        <f t="shared" si="30"/>
        <v>6.4471903350618795E-2</v>
      </c>
      <c r="R81" s="344">
        <f t="shared" si="30"/>
        <v>6.5485779787174861E-2</v>
      </c>
      <c r="S81" s="344">
        <f t="shared" si="30"/>
        <v>6.6513044711700609E-2</v>
      </c>
      <c r="T81" s="344">
        <f t="shared" si="30"/>
        <v>6.7553793667936388E-2</v>
      </c>
      <c r="U81" s="344">
        <f t="shared" si="30"/>
        <v>6.860811980484699E-2</v>
      </c>
      <c r="V81" s="344">
        <f t="shared" si="30"/>
        <v>6.9676113721084579E-2</v>
      </c>
      <c r="W81" s="344">
        <f t="shared" si="30"/>
        <v>7.0757863303650387E-2</v>
      </c>
      <c r="X81" s="344">
        <f t="shared" si="30"/>
        <v>7.1853453560571198E-2</v>
      </c>
      <c r="Y81" s="344">
        <f t="shared" si="30"/>
        <v>7.296296644740155E-2</v>
      </c>
    </row>
    <row r="82" spans="1:25" s="20" customFormat="1" ht="13.9" customHeight="1">
      <c r="A82" s="3"/>
      <c r="B82" s="3"/>
      <c r="C82" s="21" t="s">
        <v>380</v>
      </c>
      <c r="E82" s="285">
        <f t="shared" ref="E82:Y82" si="31">IF(E$72=$F$2+1,E77,0)</f>
        <v>0</v>
      </c>
      <c r="F82" s="285">
        <f t="shared" si="31"/>
        <v>0</v>
      </c>
      <c r="G82" s="285">
        <f t="shared" si="31"/>
        <v>0</v>
      </c>
      <c r="H82" s="285">
        <f t="shared" si="31"/>
        <v>0</v>
      </c>
      <c r="I82" s="285">
        <f t="shared" si="31"/>
        <v>5383453.1652097739</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0</v>
      </c>
      <c r="F83" s="299">
        <f t="shared" si="32"/>
        <v>0</v>
      </c>
      <c r="G83" s="299">
        <f t="shared" si="32"/>
        <v>0</v>
      </c>
      <c r="H83" s="299">
        <f t="shared" si="32"/>
        <v>0.22532590059106652</v>
      </c>
      <c r="I83" s="299">
        <f t="shared" si="32"/>
        <v>0.22677502690562418</v>
      </c>
      <c r="J83" s="299">
        <f t="shared" si="32"/>
        <v>0.22813084007858245</v>
      </c>
      <c r="K83" s="299">
        <f t="shared" si="32"/>
        <v>0.22938658202039386</v>
      </c>
      <c r="L83" s="299">
        <f t="shared" si="32"/>
        <v>0.2305351638066509</v>
      </c>
      <c r="M83" s="299">
        <f t="shared" si="32"/>
        <v>0.23156915123446703</v>
      </c>
      <c r="N83" s="299">
        <f t="shared" si="32"/>
        <v>0.23248074977690691</v>
      </c>
      <c r="O83" s="299">
        <f t="shared" si="32"/>
        <v>0.23616322080706018</v>
      </c>
      <c r="P83" s="299">
        <f t="shared" si="32"/>
        <v>0.23989516265868199</v>
      </c>
      <c r="Q83" s="299">
        <f t="shared" si="32"/>
        <v>0.24367696028322303</v>
      </c>
      <c r="R83" s="299">
        <f t="shared" si="32"/>
        <v>0.24750899121953931</v>
      </c>
      <c r="S83" s="299">
        <f t="shared" si="32"/>
        <v>0.25139162506784818</v>
      </c>
      <c r="T83" s="299">
        <f t="shared" si="32"/>
        <v>0.25532522294372101</v>
      </c>
      <c r="U83" s="299">
        <f t="shared" si="32"/>
        <v>0.25931013691147442</v>
      </c>
      <c r="V83" s="299">
        <f t="shared" si="32"/>
        <v>0.26334670939630478</v>
      </c>
      <c r="W83" s="299">
        <f t="shared" si="32"/>
        <v>0.26743527257449662</v>
      </c>
      <c r="X83" s="299">
        <f t="shared" si="32"/>
        <v>0.27157614774100919</v>
      </c>
      <c r="Y83" s="299">
        <f t="shared" si="32"/>
        <v>0.27576964465372739</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2029</v>
      </c>
      <c r="E85" s="289" t="str">
        <f t="shared" ref="E85:Y85" si="33">IF(E$72=$F$2+1,"STAB. YR.","")</f>
        <v/>
      </c>
      <c r="F85" s="289" t="str">
        <f t="shared" si="33"/>
        <v/>
      </c>
      <c r="G85" s="289" t="str">
        <f t="shared" si="33"/>
        <v/>
      </c>
      <c r="H85" s="289" t="str">
        <f t="shared" si="33"/>
        <v/>
      </c>
      <c r="I85" s="289" t="str">
        <f t="shared" si="33"/>
        <v>STAB. YR.</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0</v>
      </c>
      <c r="F86" s="299">
        <f t="shared" si="34"/>
        <v>0</v>
      </c>
      <c r="G86" s="299">
        <f t="shared" si="34"/>
        <v>0</v>
      </c>
      <c r="H86" s="299">
        <f t="shared" si="34"/>
        <v>0</v>
      </c>
      <c r="I86" s="299">
        <f t="shared" si="34"/>
        <v>4.6273260589297302E-2</v>
      </c>
      <c r="J86" s="299">
        <f t="shared" si="34"/>
        <v>4.7086748493072254E-2</v>
      </c>
      <c r="K86" s="299">
        <f t="shared" si="34"/>
        <v>4.7840193658159107E-2</v>
      </c>
      <c r="L86" s="299">
        <f t="shared" si="34"/>
        <v>4.8529342729913334E-2</v>
      </c>
      <c r="M86" s="299">
        <f t="shared" si="34"/>
        <v>4.9149735186603011E-2</v>
      </c>
      <c r="N86" s="299">
        <f t="shared" si="34"/>
        <v>4.9696694312066941E-2</v>
      </c>
      <c r="O86" s="299">
        <f t="shared" si="34"/>
        <v>5.1906176930158893E-2</v>
      </c>
      <c r="P86" s="299">
        <f t="shared" si="34"/>
        <v>5.4145342041131979E-2</v>
      </c>
      <c r="Q86" s="299">
        <f t="shared" si="34"/>
        <v>5.6414420615856595E-2</v>
      </c>
      <c r="R86" s="299">
        <f t="shared" si="34"/>
        <v>5.8713639177646389E-2</v>
      </c>
      <c r="S86" s="299">
        <f t="shared" si="34"/>
        <v>6.1043219486631703E-2</v>
      </c>
      <c r="T86" s="299">
        <f t="shared" si="34"/>
        <v>6.3403378212155401E-2</v>
      </c>
      <c r="U86" s="299">
        <f t="shared" si="34"/>
        <v>6.5794326592807428E-2</v>
      </c>
      <c r="V86" s="299">
        <f t="shared" si="34"/>
        <v>6.8216270083705649E-2</v>
      </c>
      <c r="W86" s="299">
        <f t="shared" si="34"/>
        <v>7.0669407990620742E-2</v>
      </c>
      <c r="X86" s="299">
        <f t="shared" si="34"/>
        <v>7.3153933090528298E-2</v>
      </c>
      <c r="Y86" s="299">
        <f t="shared" si="34"/>
        <v>7.5670031238159213E-2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D857D-B3BD-4BD1-9457-F8BB1A5C4E98}">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324</v>
      </c>
      <c r="E1" s="275" t="str">
        <f>INDEX('01_Property Summary'!$E$5:$E$21,MATCH($C$1,'01_Property Summary'!$C$5:$C$21,0))</f>
        <v>Vancouver</v>
      </c>
      <c r="F1" s="332" t="s">
        <v>536</v>
      </c>
      <c r="G1" s="333" t="s">
        <v>102</v>
      </c>
      <c r="J1" s="450" t="s">
        <v>308</v>
      </c>
      <c r="K1" s="424"/>
      <c r="L1" s="424"/>
      <c r="M1" s="424"/>
      <c r="N1" s="424"/>
      <c r="O1" s="424"/>
      <c r="P1" s="3"/>
      <c r="Q1" s="3"/>
      <c r="R1" s="3"/>
      <c r="S1" s="3"/>
      <c r="T1" s="3"/>
    </row>
    <row r="2" spans="3:25" ht="14.45" customHeight="1">
      <c r="C2" s="300" t="s">
        <v>537</v>
      </c>
      <c r="E2" s="334">
        <f>_xlfn.LET(_xlpm.refi,INDEX('02_Debt Engine'!$F$19:$F$35,MATCH($C$1,'02_Debt Engine'!$B$19:$B$35,0)),
_xlpm.refiyr,INDEX('02_Debt Engine'!$I$19:$I$35,MATCH($C$1,'02_Debt Engine'!$B$19:$B$35,0)),IF(_xlpm.refi="Yes",_xlpm.refiyr,"No Refi"))</f>
        <v>2028</v>
      </c>
      <c r="F2" s="334">
        <f>INDEX('01_Property Summary'!$F$5:$F$21,MATCH($C$1,'01_Property Summary'!$C$5:$C$21,0))</f>
        <v>2028</v>
      </c>
      <c r="G2" s="334">
        <f>INDEX('01_Property Summary'!$K$4:$K$21,MATCH($C$1,'01_Property Summary'!$C$4:$C$21,0))</f>
        <v>2058</v>
      </c>
      <c r="J2" s="278" t="str">
        <f>"Gate 1 — NOI ≥ 0 at stabilization ("&amp;$F$2+1&amp;"):"</f>
        <v>Gate 1 — NOI ≥ 0 at stabilization (2029):</v>
      </c>
      <c r="M2" s="451" t="str">
        <f>_xlfn.LET(_xlpm.stabnoi,INDEX($41:$41,MATCH(($F$2+1),$12:$12,0)),IF(_xlpm.stabnoi&gt;=0,"PASS — NOI $"&amp;TEXT(_xlpm.stabnoi,"#,##0"),"FAIL — NOI $"&amp;TEXT(_xlpm.stabnoi,"#,##0")))</f>
        <v>PASS — NOI $1,009,636</v>
      </c>
      <c r="N2" s="424"/>
      <c r="O2" s="424"/>
      <c r="S2" s="6"/>
    </row>
    <row r="3" spans="3:25" ht="14.45" customHeight="1">
      <c r="C3" s="300" t="s">
        <v>538</v>
      </c>
      <c r="E3" s="334">
        <f>INDEX('01_Property Summary'!$S$5:$S$21,MATCH($C$1,'01_Property Summary'!$C$5:$C$21,0))</f>
        <v>91</v>
      </c>
      <c r="F3" s="335">
        <f>'01_Assumptions'!$C$14</f>
        <v>0.1</v>
      </c>
      <c r="G3" s="335">
        <f>'01_Assumptions'!$C$15</f>
        <v>0.2</v>
      </c>
      <c r="J3" s="278" t="str">
        <f>"Gate 2 — DSCR ≥ 1.0× at stabilization ("&amp;$F$2+1&amp;"):"</f>
        <v>Gate 2 — DSCR ≥ 1.0× at stabilization (2029):</v>
      </c>
      <c r="M3" s="451" t="str">
        <f>_xlfn.LET(_xlpm.debt,INDEX($48:$48,MATCH(($F$2+1),$12:$12,0)),_xlpm.dscr,INDEX($50:$50,MATCH(($F$2+1),$12:$12,0)),
IF(_xlpm.debt=0,"PASS — no debt svc",IF(IFERROR(_xlpm.dscr,0)&gt;=1,"PASS — DSCR "&amp;TEXT(IFERROR(_xlpm.dscr,0),"0.00")&amp;"x","FAIL — DSCR "&amp;TEXT(IFERROR(_xlpm.dscr,0),"0.00")&amp;"x")))</f>
        <v>PASS — DSCR 1.51x</v>
      </c>
      <c r="N3" s="424"/>
      <c r="O3" s="424"/>
      <c r="S3" s="6"/>
    </row>
    <row r="4" spans="3:25" ht="14.45" customHeight="1">
      <c r="C4" s="300" t="s">
        <v>539</v>
      </c>
      <c r="E4" s="336">
        <f>INDEX('02_Rent Engine'!$H$5:$H$21,MATCH($C$1,'02_Rent Engine'!$B$5:$B$21,0))</f>
        <v>1281.7802197802198</v>
      </c>
      <c r="F4" s="336">
        <f>INDEX('02_Rent Engine'!$J$5:$J$21,MATCH($C$1,'02_Rent Engine'!$B$5:$B$21,0))</f>
        <v>3654.25</v>
      </c>
      <c r="G4" s="336">
        <f>($F$3*$F$4)+((1-$F$3)*$E$4)</f>
        <v>1519.0271978021979</v>
      </c>
      <c r="J4" s="280" t="s">
        <v>309</v>
      </c>
      <c r="M4" s="451" t="str">
        <f>IF(AND($J$52&gt;0,$O$52&gt;0),"PASS — AFFO $"&amp;TEXT($J$52,"#,##0")&amp;" (2030) / $"&amp;TEXT($O$52,"#,##0")&amp;" (2035)","FAIL — AFFO $"&amp;TEXT($J$52,"#,##0")&amp;" (2030) / $"&amp;TEXT($O$52,"#,##0")&amp;" (2035)")</f>
        <v>PASS — AFFO $346,321 (2030) / $372,544 (2035)</v>
      </c>
      <c r="N4" s="424"/>
      <c r="O4" s="424"/>
      <c r="S4" s="6"/>
    </row>
    <row r="5" spans="3:25" ht="14.45" customHeight="1">
      <c r="C5" s="337" t="str">
        <f>"Rent Growth — (pre / post Op. Agrmt. Expiry: "&amp;$G$2&amp;")"</f>
        <v>Rent Growth — (pre / post Op. Agrmt. Expiry: 2058)</v>
      </c>
      <c r="E5" s="338">
        <f>'01_Assumptions'!$C$5</f>
        <v>0.02</v>
      </c>
      <c r="F5" s="338">
        <f>'01_Assumptions'!$C$6</f>
        <v>0.02</v>
      </c>
      <c r="G5" s="32"/>
      <c r="L5" s="6"/>
      <c r="M5" s="6"/>
      <c r="R5" s="6"/>
      <c r="S5" s="6"/>
    </row>
    <row r="6" spans="3:25" ht="13.9" customHeight="1">
      <c r="C6" s="337" t="str">
        <f>"OpEx Growth — (pre / post Op. Agrmt. Expiry: "&amp;$G$2&amp;")"</f>
        <v>OpEx Growth — (pre / post Op. Agrmt. Expiry: 2058)</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BCH CHF</v>
      </c>
      <c r="F8" s="336">
        <f>INDEX('01_Property Summary'!$Q$5:$Q$21,MATCH($C$1,'01_Property Summary'!$C$5:$C$21,0))</f>
        <v>0</v>
      </c>
      <c r="G8" s="334">
        <f>INDEX('02_Debt Engine'!$I$19:$I$35,MATCH($C$1,'02_Debt Engine'!$B$19:$B$35,0))</f>
        <v>2028</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0</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0</v>
      </c>
      <c r="G13" s="283">
        <f t="shared" si="1"/>
        <v>0</v>
      </c>
      <c r="H13" s="283">
        <f t="shared" si="1"/>
        <v>1760308.1654616001</v>
      </c>
      <c r="I13" s="283">
        <f t="shared" si="1"/>
        <v>1795514.3287708322</v>
      </c>
      <c r="J13" s="283">
        <f t="shared" si="1"/>
        <v>1831424.6153462487</v>
      </c>
      <c r="K13" s="283">
        <f t="shared" si="1"/>
        <v>1868053.1076531736</v>
      </c>
      <c r="L13" s="283">
        <f t="shared" si="1"/>
        <v>1905414.1698062369</v>
      </c>
      <c r="M13" s="283">
        <f t="shared" si="1"/>
        <v>1943522.4532023619</v>
      </c>
      <c r="N13" s="283">
        <f t="shared" si="1"/>
        <v>1982392.9022664088</v>
      </c>
      <c r="O13" s="283">
        <f t="shared" si="1"/>
        <v>2022040.7603117372</v>
      </c>
      <c r="P13" s="283">
        <f t="shared" si="1"/>
        <v>2062481.5755179718</v>
      </c>
      <c r="Q13" s="283">
        <f t="shared" si="1"/>
        <v>2103731.2070283312</v>
      </c>
      <c r="R13" s="283">
        <f t="shared" si="1"/>
        <v>2145805.8311688979</v>
      </c>
      <c r="S13" s="283">
        <f t="shared" si="1"/>
        <v>2188721.9477922758</v>
      </c>
      <c r="T13" s="283">
        <f t="shared" si="1"/>
        <v>2232496.3867481211</v>
      </c>
      <c r="U13" s="283">
        <f t="shared" si="1"/>
        <v>2277146.3144830838</v>
      </c>
      <c r="V13" s="283">
        <f t="shared" si="1"/>
        <v>2322689.2407727456</v>
      </c>
      <c r="W13" s="283">
        <f t="shared" si="1"/>
        <v>2369143.0255882</v>
      </c>
      <c r="X13" s="283">
        <f t="shared" si="1"/>
        <v>2416525.8860999644</v>
      </c>
      <c r="Y13" s="283">
        <f t="shared" si="1"/>
        <v>2464856.4038219638</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20120.503679999998</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20522.913753599998</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20933.372028672002</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21352.039469245443</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21779.080258630347</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22214.661863802954</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22658.955101079013</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23112.134203100595</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23574.376887162605</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24045.864424905853</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24526.781713403972</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25017.317347672055</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25517.663694625498</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26028.016968518001</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26548.577307888361</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27079.54885404613</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27621.139831127057</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28173.56262774959</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11906.75376</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12144.888835199999</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12387.786611904001</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12635.542344142081</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12888.25319102492</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13146.01825484542</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13408.938619942328</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13677.117392341175</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13950.659740187999</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14229.672934991755</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14514.266393691592</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14804.551721565425</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15100.642755996734</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15402.655611116665</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15710.708723338999</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16024.92289780578</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16345.421355761897</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16672.329782877132</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20375.193599999999</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20782.697472</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21198.351421440002</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21622.318449868802</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22054.764818866173</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22495.860115243497</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22945.777317548367</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23404.692863899338</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23872.786721177323</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24350.242455600866</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24837.247304712884</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25333.992250807147</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25840.672095823291</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26357.485537739747</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26884.635248494546</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27422.327953464435</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27970.774512533728</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28530.190002784399</v>
      </c>
    </row>
    <row r="19" spans="3:25" ht="13.5" customHeight="1">
      <c r="C19" s="3" t="s">
        <v>336</v>
      </c>
      <c r="E19" s="285">
        <f t="shared" ref="E19:Y19" si="2">SUM(E14:E18)</f>
        <v>0</v>
      </c>
      <c r="F19" s="285">
        <f t="shared" si="2"/>
        <v>0</v>
      </c>
      <c r="G19" s="285">
        <f t="shared" si="2"/>
        <v>0</v>
      </c>
      <c r="H19" s="285">
        <f t="shared" si="2"/>
        <v>52402.45104</v>
      </c>
      <c r="I19" s="285">
        <f t="shared" si="2"/>
        <v>53450.500060799997</v>
      </c>
      <c r="J19" s="285">
        <f t="shared" si="2"/>
        <v>54519.510062016008</v>
      </c>
      <c r="K19" s="285">
        <f t="shared" si="2"/>
        <v>55609.900263256321</v>
      </c>
      <c r="L19" s="285">
        <f t="shared" si="2"/>
        <v>56722.09826852144</v>
      </c>
      <c r="M19" s="285">
        <f t="shared" si="2"/>
        <v>57856.540233891865</v>
      </c>
      <c r="N19" s="285">
        <f t="shared" si="2"/>
        <v>59013.671038569708</v>
      </c>
      <c r="O19" s="285">
        <f t="shared" si="2"/>
        <v>60193.944459341103</v>
      </c>
      <c r="P19" s="285">
        <f t="shared" si="2"/>
        <v>61397.823348527934</v>
      </c>
      <c r="Q19" s="285">
        <f t="shared" si="2"/>
        <v>62625.779815498478</v>
      </c>
      <c r="R19" s="285">
        <f t="shared" si="2"/>
        <v>63878.295411808445</v>
      </c>
      <c r="S19" s="285">
        <f t="shared" si="2"/>
        <v>65155.861320044627</v>
      </c>
      <c r="T19" s="285">
        <f t="shared" si="2"/>
        <v>66458.97854644552</v>
      </c>
      <c r="U19" s="285">
        <f t="shared" si="2"/>
        <v>67788.158117374405</v>
      </c>
      <c r="V19" s="285">
        <f t="shared" si="2"/>
        <v>69143.921279721908</v>
      </c>
      <c r="W19" s="285">
        <f t="shared" si="2"/>
        <v>70526.799705316342</v>
      </c>
      <c r="X19" s="285">
        <f t="shared" si="2"/>
        <v>71937.335699422678</v>
      </c>
      <c r="Y19" s="285">
        <f t="shared" si="2"/>
        <v>73376.082413411117</v>
      </c>
    </row>
    <row r="20" spans="3:25" ht="13.5" customHeight="1">
      <c r="C20" s="10" t="s">
        <v>337</v>
      </c>
      <c r="E20" s="283">
        <f t="shared" ref="E20:Y20" si="3">E13+E19</f>
        <v>0</v>
      </c>
      <c r="F20" s="283">
        <f t="shared" si="3"/>
        <v>0</v>
      </c>
      <c r="G20" s="283">
        <f t="shared" si="3"/>
        <v>0</v>
      </c>
      <c r="H20" s="283">
        <f t="shared" si="3"/>
        <v>1812710.6165016</v>
      </c>
      <c r="I20" s="283">
        <f t="shared" si="3"/>
        <v>1848964.8288316322</v>
      </c>
      <c r="J20" s="283">
        <f t="shared" si="3"/>
        <v>1885944.1254082648</v>
      </c>
      <c r="K20" s="283">
        <f t="shared" si="3"/>
        <v>1923663.00791643</v>
      </c>
      <c r="L20" s="283">
        <f t="shared" si="3"/>
        <v>1962136.2680747584</v>
      </c>
      <c r="M20" s="283">
        <f t="shared" si="3"/>
        <v>2001378.9934362539</v>
      </c>
      <c r="N20" s="283">
        <f t="shared" si="3"/>
        <v>2041406.5733049784</v>
      </c>
      <c r="O20" s="283">
        <f t="shared" si="3"/>
        <v>2082234.7047710782</v>
      </c>
      <c r="P20" s="283">
        <f t="shared" si="3"/>
        <v>2123879.3988664998</v>
      </c>
      <c r="Q20" s="283">
        <f t="shared" si="3"/>
        <v>2166356.9868438295</v>
      </c>
      <c r="R20" s="283">
        <f t="shared" si="3"/>
        <v>2209684.1265807063</v>
      </c>
      <c r="S20" s="283">
        <f t="shared" si="3"/>
        <v>2253877.8091123207</v>
      </c>
      <c r="T20" s="283">
        <f t="shared" si="3"/>
        <v>2298955.3652945668</v>
      </c>
      <c r="U20" s="283">
        <f t="shared" si="3"/>
        <v>2344934.4726004582</v>
      </c>
      <c r="V20" s="283">
        <f t="shared" si="3"/>
        <v>2391833.1620524675</v>
      </c>
      <c r="W20" s="283">
        <f t="shared" si="3"/>
        <v>2439669.8252935163</v>
      </c>
      <c r="X20" s="283">
        <f t="shared" si="3"/>
        <v>2488463.2217993871</v>
      </c>
      <c r="Y20" s="283">
        <f t="shared" si="3"/>
        <v>2538232.4862353751</v>
      </c>
    </row>
    <row r="21" spans="3:25" ht="13.5" customHeight="1">
      <c r="C21" s="11" t="s">
        <v>338</v>
      </c>
      <c r="E21" s="284">
        <f t="shared" ref="E21:Y21" si="4">-E20*$E$7</f>
        <v>0</v>
      </c>
      <c r="F21" s="284">
        <f t="shared" si="4"/>
        <v>0</v>
      </c>
      <c r="G21" s="284">
        <f t="shared" si="4"/>
        <v>0</v>
      </c>
      <c r="H21" s="284">
        <f t="shared" si="4"/>
        <v>-36254.212330032002</v>
      </c>
      <c r="I21" s="284">
        <f t="shared" si="4"/>
        <v>-36979.296576632645</v>
      </c>
      <c r="J21" s="284">
        <f t="shared" si="4"/>
        <v>-37718.882508165298</v>
      </c>
      <c r="K21" s="284">
        <f t="shared" si="4"/>
        <v>-38473.260158328601</v>
      </c>
      <c r="L21" s="284">
        <f t="shared" si="4"/>
        <v>-39242.72536149517</v>
      </c>
      <c r="M21" s="284">
        <f t="shared" si="4"/>
        <v>-40027.579868725079</v>
      </c>
      <c r="N21" s="284">
        <f t="shared" si="4"/>
        <v>-40828.13146609957</v>
      </c>
      <c r="O21" s="284">
        <f t="shared" si="4"/>
        <v>-41644.694095421568</v>
      </c>
      <c r="P21" s="284">
        <f t="shared" si="4"/>
        <v>-42477.587977329997</v>
      </c>
      <c r="Q21" s="284">
        <f t="shared" si="4"/>
        <v>-43327.13973687659</v>
      </c>
      <c r="R21" s="284">
        <f t="shared" si="4"/>
        <v>-44193.682531614126</v>
      </c>
      <c r="S21" s="284">
        <f t="shared" si="4"/>
        <v>-45077.556182246415</v>
      </c>
      <c r="T21" s="284">
        <f t="shared" si="4"/>
        <v>-45979.107305891339</v>
      </c>
      <c r="U21" s="284">
        <f t="shared" si="4"/>
        <v>-46898.689452009166</v>
      </c>
      <c r="V21" s="284">
        <f t="shared" si="4"/>
        <v>-47836.663241049348</v>
      </c>
      <c r="W21" s="284">
        <f t="shared" si="4"/>
        <v>-48793.396505870325</v>
      </c>
      <c r="X21" s="284">
        <f t="shared" si="4"/>
        <v>-49769.264435987745</v>
      </c>
      <c r="Y21" s="284">
        <f t="shared" si="4"/>
        <v>-50764.649724707502</v>
      </c>
    </row>
    <row r="22" spans="3:25" ht="13.5" customHeight="1">
      <c r="C22" s="3" t="s">
        <v>339</v>
      </c>
      <c r="E22" s="285">
        <f t="shared" ref="E22:Y22" si="5">E20+E21</f>
        <v>0</v>
      </c>
      <c r="F22" s="285">
        <f t="shared" si="5"/>
        <v>0</v>
      </c>
      <c r="G22" s="285">
        <f t="shared" si="5"/>
        <v>0</v>
      </c>
      <c r="H22" s="285">
        <f t="shared" si="5"/>
        <v>1776456.4041715681</v>
      </c>
      <c r="I22" s="285">
        <f t="shared" si="5"/>
        <v>1811985.5322549995</v>
      </c>
      <c r="J22" s="285">
        <f t="shared" si="5"/>
        <v>1848225.2429000996</v>
      </c>
      <c r="K22" s="285">
        <f t="shared" si="5"/>
        <v>1885189.7477581014</v>
      </c>
      <c r="L22" s="285">
        <f t="shared" si="5"/>
        <v>1922893.5427132631</v>
      </c>
      <c r="M22" s="285">
        <f t="shared" si="5"/>
        <v>1961351.4135675288</v>
      </c>
      <c r="N22" s="285">
        <f t="shared" si="5"/>
        <v>2000578.4418388789</v>
      </c>
      <c r="O22" s="285">
        <f t="shared" si="5"/>
        <v>2040590.0106756566</v>
      </c>
      <c r="P22" s="285">
        <f t="shared" si="5"/>
        <v>2081401.8108891698</v>
      </c>
      <c r="Q22" s="285">
        <f t="shared" si="5"/>
        <v>2123029.8471069532</v>
      </c>
      <c r="R22" s="285">
        <f t="shared" si="5"/>
        <v>2165490.444049092</v>
      </c>
      <c r="S22" s="285">
        <f t="shared" si="5"/>
        <v>2208800.2529300745</v>
      </c>
      <c r="T22" s="285">
        <f t="shared" si="5"/>
        <v>2252976.2579886755</v>
      </c>
      <c r="U22" s="285">
        <f t="shared" si="5"/>
        <v>2298035.7831484489</v>
      </c>
      <c r="V22" s="285">
        <f t="shared" si="5"/>
        <v>2343996.4988114182</v>
      </c>
      <c r="W22" s="285">
        <f t="shared" si="5"/>
        <v>2390876.4287876459</v>
      </c>
      <c r="X22" s="285">
        <f t="shared" si="5"/>
        <v>2438693.9573633992</v>
      </c>
      <c r="Y22" s="285">
        <f t="shared" si="5"/>
        <v>2487467.8365106676</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0</v>
      </c>
      <c r="F24" s="286">
        <f t="shared" si="7"/>
        <v>0</v>
      </c>
      <c r="G24" s="286">
        <f t="shared" si="7"/>
        <v>0</v>
      </c>
      <c r="H24" s="286">
        <f t="shared" si="7"/>
        <v>1776456.4041715681</v>
      </c>
      <c r="I24" s="286">
        <f t="shared" si="7"/>
        <v>1811985.5322549995</v>
      </c>
      <c r="J24" s="286">
        <f t="shared" si="7"/>
        <v>1848225.2429000996</v>
      </c>
      <c r="K24" s="286">
        <f t="shared" si="7"/>
        <v>1885189.7477581014</v>
      </c>
      <c r="L24" s="286">
        <f t="shared" si="7"/>
        <v>1922893.5427132631</v>
      </c>
      <c r="M24" s="286">
        <f t="shared" si="7"/>
        <v>1961351.4135675288</v>
      </c>
      <c r="N24" s="286">
        <f t="shared" si="7"/>
        <v>2000578.4418388789</v>
      </c>
      <c r="O24" s="286">
        <f t="shared" si="7"/>
        <v>2040590.0106756566</v>
      </c>
      <c r="P24" s="286">
        <f t="shared" si="7"/>
        <v>2081401.8108891698</v>
      </c>
      <c r="Q24" s="286">
        <f t="shared" si="7"/>
        <v>2123029.8471069532</v>
      </c>
      <c r="R24" s="286">
        <f t="shared" si="7"/>
        <v>2165490.444049092</v>
      </c>
      <c r="S24" s="286">
        <f t="shared" si="7"/>
        <v>2208800.2529300745</v>
      </c>
      <c r="T24" s="286">
        <f t="shared" si="7"/>
        <v>2252976.2579886755</v>
      </c>
      <c r="U24" s="286">
        <f t="shared" si="7"/>
        <v>2298035.7831484489</v>
      </c>
      <c r="V24" s="286">
        <f t="shared" si="7"/>
        <v>2343996.4988114182</v>
      </c>
      <c r="W24" s="286">
        <f t="shared" si="7"/>
        <v>2390876.4287876459</v>
      </c>
      <c r="X24" s="286">
        <f t="shared" si="7"/>
        <v>2438693.9573633992</v>
      </c>
      <c r="Y24" s="286">
        <f t="shared" si="7"/>
        <v>2487467.8365106676</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95163.494400000011</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98970.034176000016</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102928.83554304003</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107045.98896476164</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111327.82852335209</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115780.94166428619</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120412.17933085765</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123422.48381412908</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126508.0459094823</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129670.74705721937</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132912.51573364984</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136235.32862699105</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139641.21184266583</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143132.24213873249</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146710.54819220077</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150378.31189700577</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154137.76969443093</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157991.2139367917</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13498.368</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14038.302720000003</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14599.834828800003</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15183.828221952004</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15791.181350830084</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16422.828604863291</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17079.741749057823</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17506.735292784266</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17944.403675103873</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18393.013766981469</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18852.839111156005</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19324.160088934903</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19807.264091158275</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20302.445693437232</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20810.006835773162</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21330.257006667485</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21863.513431834173</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22410.101267630027</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95613.440000000002</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99437.977600000013</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103415.49670400003</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107552.11657216003</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111854.20123504642</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116328.3692844483</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120981.50405582624</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124006.04165722188</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127106.19269865243</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130283.84751611875</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133540.94370402169</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136879.46729662223</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140301.45397903779</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143808.99032851373</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147404.21508672656</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151089.32046389469</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154866.55347549205</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158738.21731237936</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44990.060544</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46789.662965760006</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48661.249484390413</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50607.699463766032</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52632.007442316666</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54737.287740009342</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56926.779249609725</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58349.948730849959</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59808.69744912121</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61303.914885349237</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62836.51275748296</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64407.425576420028</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66017.611215830533</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67668.051496226297</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69359.75278363195</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71093.746603222724</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72871.090268303305</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74692.867525010879</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146227.82054400002</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152076.93336576002</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158160.01070039044</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164486.41112840606</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171065.86757354229</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177908.50227648401</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185024.8423675434</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189650.46342673196</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194391.72501240025</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199251.51813771026</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204232.80609115298</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209338.62624343179</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214572.0918995176</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219936.39419700552</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225434.80405193064</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231070.67415322887</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236847.44100705959</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242768.62703223608</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134983.68000000002</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140383.02720000001</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145998.34828800004</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151838.28221952004</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157911.81350830084</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164228.2860486329</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170797.41749057823</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175067.35292784267</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179444.03675103872</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183930.13766981469</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188528.39111156005</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193241.60088934901</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198072.64091158274</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203024.45693437231</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208100.06835773159</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213302.57006667485</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218635.13431834173</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224101.01267630028</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56247.699456000002</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58497.60743424001</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60837.511731609615</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63271.012200874</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65801.852688908955</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68433.926796465326</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71171.283868323939</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72950.56596503203</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74774.330114157841</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76643.688367011782</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78559.78057618707</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80523.775090591735</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82536.869467856537</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84600.291204552937</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86715.298484666753</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88883.18094678341</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91105.260470452995</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93382.891982214322</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114466.16064</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119044.80706560002</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123806.59934822403</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128758.863322153</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133909.21785503911</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139265.5865692407</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144836.21003201033</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148457.11528281058</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152168.54316488083</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155972.75674400287</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159872.0756626029</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163868.87755416796</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167965.59949302216</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172164.73948034772</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176468.85796735639</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180880.57941654028</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185402.59390195378</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190037.65874950265</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0</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0</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0</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70299.50054400001</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73111.480565760008</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76035.939788390417</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79077.377379926038</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82240.472475123068</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85530.091374128009</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88951.295029093133</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91175.077404820462</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93454.454339940974</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95790.815698439503</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98185.58609090047</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100640.22574317297</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103156.23138675229</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105735.1371714211</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108378.51560070663</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111087.97849072426</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113865.17795299237</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116711.80740181719</v>
      </c>
    </row>
    <row r="39" spans="3:25" ht="13.15" customHeight="1">
      <c r="C39" s="14" t="s">
        <v>355</v>
      </c>
      <c r="E39" s="286">
        <f t="shared" ref="E39:Y39" si="8">SUM(E27:E38)</f>
        <v>0</v>
      </c>
      <c r="F39" s="286">
        <f t="shared" si="8"/>
        <v>0</v>
      </c>
      <c r="G39" s="286">
        <f t="shared" si="8"/>
        <v>0</v>
      </c>
      <c r="H39" s="286">
        <f t="shared" si="8"/>
        <v>771490.22412800021</v>
      </c>
      <c r="I39" s="286">
        <f t="shared" si="8"/>
        <v>802349.83309312025</v>
      </c>
      <c r="J39" s="286">
        <f t="shared" si="8"/>
        <v>834443.82641684497</v>
      </c>
      <c r="K39" s="286">
        <f t="shared" si="8"/>
        <v>867821.57947351888</v>
      </c>
      <c r="L39" s="286">
        <f t="shared" si="8"/>
        <v>902534.44265245949</v>
      </c>
      <c r="M39" s="286">
        <f t="shared" si="8"/>
        <v>938635.82035855809</v>
      </c>
      <c r="N39" s="286">
        <f t="shared" si="8"/>
        <v>976181.25317290053</v>
      </c>
      <c r="O39" s="286">
        <f t="shared" si="8"/>
        <v>1000585.7845022228</v>
      </c>
      <c r="P39" s="286">
        <f t="shared" si="8"/>
        <v>1025600.4291147785</v>
      </c>
      <c r="Q39" s="286">
        <f t="shared" si="8"/>
        <v>1051240.4398426479</v>
      </c>
      <c r="R39" s="286">
        <f t="shared" si="8"/>
        <v>1077521.4508387139</v>
      </c>
      <c r="S39" s="286">
        <f t="shared" si="8"/>
        <v>1104459.4871096818</v>
      </c>
      <c r="T39" s="286">
        <f t="shared" si="8"/>
        <v>1132070.9742874238</v>
      </c>
      <c r="U39" s="286">
        <f t="shared" si="8"/>
        <v>1160372.7486446095</v>
      </c>
      <c r="V39" s="286">
        <f t="shared" si="8"/>
        <v>1189382.0673607246</v>
      </c>
      <c r="W39" s="286">
        <f t="shared" si="8"/>
        <v>1219116.6190447423</v>
      </c>
      <c r="X39" s="286">
        <f t="shared" si="8"/>
        <v>1249594.5345208608</v>
      </c>
      <c r="Y39" s="286">
        <f t="shared" si="8"/>
        <v>1280834.3978838825</v>
      </c>
    </row>
    <row r="40" spans="3:25" ht="7.15" customHeight="1"/>
    <row r="41" spans="3:25" ht="13.5" customHeight="1">
      <c r="C41" s="15" t="s">
        <v>356</v>
      </c>
      <c r="D41" s="8"/>
      <c r="E41" s="287">
        <f t="shared" ref="E41:Y41" si="9">E24-E39</f>
        <v>0</v>
      </c>
      <c r="F41" s="287">
        <f t="shared" si="9"/>
        <v>0</v>
      </c>
      <c r="G41" s="287">
        <f t="shared" si="9"/>
        <v>0</v>
      </c>
      <c r="H41" s="287">
        <f t="shared" si="9"/>
        <v>1004966.1800435679</v>
      </c>
      <c r="I41" s="287">
        <f t="shared" si="9"/>
        <v>1009635.6991618793</v>
      </c>
      <c r="J41" s="287">
        <f t="shared" si="9"/>
        <v>1013781.4164832546</v>
      </c>
      <c r="K41" s="287">
        <f t="shared" si="9"/>
        <v>1017368.1682845826</v>
      </c>
      <c r="L41" s="287">
        <f t="shared" si="9"/>
        <v>1020359.1000608036</v>
      </c>
      <c r="M41" s="287">
        <f t="shared" si="9"/>
        <v>1022715.5932089707</v>
      </c>
      <c r="N41" s="287">
        <f t="shared" si="9"/>
        <v>1024397.1886659784</v>
      </c>
      <c r="O41" s="287">
        <f t="shared" si="9"/>
        <v>1040004.2261734338</v>
      </c>
      <c r="P41" s="287">
        <f t="shared" si="9"/>
        <v>1055801.3817743913</v>
      </c>
      <c r="Q41" s="287">
        <f t="shared" si="9"/>
        <v>1071789.4072643053</v>
      </c>
      <c r="R41" s="287">
        <f t="shared" si="9"/>
        <v>1087968.9932103781</v>
      </c>
      <c r="S41" s="287">
        <f t="shared" si="9"/>
        <v>1104340.7658203926</v>
      </c>
      <c r="T41" s="287">
        <f t="shared" si="9"/>
        <v>1120905.2837012517</v>
      </c>
      <c r="U41" s="287">
        <f t="shared" si="9"/>
        <v>1137663.0345038394</v>
      </c>
      <c r="V41" s="287">
        <f t="shared" si="9"/>
        <v>1154614.4314506936</v>
      </c>
      <c r="W41" s="287">
        <f t="shared" si="9"/>
        <v>1171759.8097429036</v>
      </c>
      <c r="X41" s="287">
        <f t="shared" si="9"/>
        <v>1189099.4228425384</v>
      </c>
      <c r="Y41" s="287">
        <f t="shared" si="9"/>
        <v>1206633.4386267851</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REFI YR.</v>
      </c>
      <c r="I43" s="288" t="str">
        <f t="shared" si="10"/>
        <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0</v>
      </c>
      <c r="F44" s="283">
        <f t="shared" si="11"/>
        <v>0</v>
      </c>
      <c r="G44" s="283">
        <f t="shared" si="11"/>
        <v>0</v>
      </c>
      <c r="H44" s="283">
        <f t="shared" si="11"/>
        <v>14485.489199999998</v>
      </c>
      <c r="I44" s="283">
        <f t="shared" si="11"/>
        <v>14775.198984000001</v>
      </c>
      <c r="J44" s="283">
        <f t="shared" si="11"/>
        <v>15070.70296368</v>
      </c>
      <c r="K44" s="283">
        <f t="shared" si="11"/>
        <v>15372.1170229536</v>
      </c>
      <c r="L44" s="283">
        <f t="shared" si="11"/>
        <v>15679.559363412669</v>
      </c>
      <c r="M44" s="283">
        <f t="shared" si="11"/>
        <v>15993.150550680924</v>
      </c>
      <c r="N44" s="283">
        <f t="shared" si="11"/>
        <v>16313.013561694543</v>
      </c>
      <c r="O44" s="283">
        <f t="shared" si="11"/>
        <v>16639.273832928433</v>
      </c>
      <c r="P44" s="283">
        <f t="shared" si="11"/>
        <v>16972.059309586999</v>
      </c>
      <c r="Q44" s="283">
        <f t="shared" si="11"/>
        <v>17311.500495778742</v>
      </c>
      <c r="R44" s="283">
        <f t="shared" si="11"/>
        <v>17657.730505694315</v>
      </c>
      <c r="S44" s="283">
        <f t="shared" si="11"/>
        <v>18010.885115808203</v>
      </c>
      <c r="T44" s="283">
        <f t="shared" si="11"/>
        <v>18371.102818124364</v>
      </c>
      <c r="U44" s="283">
        <f t="shared" si="11"/>
        <v>18738.524874486855</v>
      </c>
      <c r="V44" s="283">
        <f t="shared" si="11"/>
        <v>19113.295371976594</v>
      </c>
      <c r="W44" s="283">
        <f t="shared" si="11"/>
        <v>19495.561279416124</v>
      </c>
      <c r="X44" s="283">
        <f t="shared" si="11"/>
        <v>19885.472505004444</v>
      </c>
      <c r="Y44" s="283">
        <f t="shared" si="11"/>
        <v>20283.181955104534</v>
      </c>
    </row>
    <row r="45" spans="3:25" ht="13.5" customHeight="1">
      <c r="C45" s="15" t="s">
        <v>359</v>
      </c>
      <c r="D45" s="8"/>
      <c r="E45" s="287">
        <f t="shared" ref="E45:Y45" si="12">E41-E44</f>
        <v>0</v>
      </c>
      <c r="F45" s="287">
        <f t="shared" si="12"/>
        <v>0</v>
      </c>
      <c r="G45" s="287">
        <f t="shared" si="12"/>
        <v>0</v>
      </c>
      <c r="H45" s="287">
        <f t="shared" si="12"/>
        <v>990480.69084356795</v>
      </c>
      <c r="I45" s="287">
        <f t="shared" si="12"/>
        <v>994860.50017787924</v>
      </c>
      <c r="J45" s="287">
        <f t="shared" si="12"/>
        <v>998710.71351957461</v>
      </c>
      <c r="K45" s="287">
        <f t="shared" si="12"/>
        <v>1001996.051261629</v>
      </c>
      <c r="L45" s="287">
        <f t="shared" si="12"/>
        <v>1004679.5406973909</v>
      </c>
      <c r="M45" s="287">
        <f t="shared" si="12"/>
        <v>1006722.4426582898</v>
      </c>
      <c r="N45" s="287">
        <f t="shared" si="12"/>
        <v>1008084.1751042838</v>
      </c>
      <c r="O45" s="287">
        <f t="shared" si="12"/>
        <v>1023364.9523405054</v>
      </c>
      <c r="P45" s="287">
        <f t="shared" si="12"/>
        <v>1038829.3224648043</v>
      </c>
      <c r="Q45" s="287">
        <f t="shared" si="12"/>
        <v>1054477.9067685266</v>
      </c>
      <c r="R45" s="287">
        <f t="shared" si="12"/>
        <v>1070311.2627046837</v>
      </c>
      <c r="S45" s="287">
        <f t="shared" si="12"/>
        <v>1086329.8807045845</v>
      </c>
      <c r="T45" s="287">
        <f t="shared" si="12"/>
        <v>1102534.1808831273</v>
      </c>
      <c r="U45" s="287">
        <f t="shared" si="12"/>
        <v>1118924.5096293525</v>
      </c>
      <c r="V45" s="287">
        <f t="shared" si="12"/>
        <v>1135501.136078717</v>
      </c>
      <c r="W45" s="287">
        <f t="shared" si="12"/>
        <v>1152264.2484634875</v>
      </c>
      <c r="X45" s="287">
        <f t="shared" si="12"/>
        <v>1169213.9503375341</v>
      </c>
      <c r="Y45" s="287">
        <f t="shared" si="12"/>
        <v>1186350.2566716806</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REFI YR.</v>
      </c>
      <c r="I47" s="288" t="str">
        <f t="shared" si="13"/>
        <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IFERROR(INDEX('02_Debt Engine'!$F$46:$Z$62,MATCH($C$1,'02_Debt Engine'!$B$19:$B$35,0),MATCH(E$12,'02_Debt Engine'!$F$45:$Z$45,0)),0)</f>
        <v>1988236.6044415063</v>
      </c>
      <c r="F48" s="286">
        <f>IFERROR(INDEX('02_Debt Engine'!$F$46:$Z$62,MATCH($C$1,'02_Debt Engine'!$B$19:$B$35,0),MATCH(F$12,'02_Debt Engine'!$F$45:$Z$45,0)),0)</f>
        <v>1988236.6044415063</v>
      </c>
      <c r="G48" s="286">
        <f>IFERROR(INDEX('02_Debt Engine'!$F$46:$Z$62,MATCH($C$1,'02_Debt Engine'!$B$19:$B$35,0),MATCH(G$12,'02_Debt Engine'!$F$45:$Z$45,0)),0)</f>
        <v>1988236.6044415063</v>
      </c>
      <c r="H48" s="286">
        <f>IFERROR(INDEX('02_Debt Engine'!$F$46:$Z$62,MATCH($C$1,'02_Debt Engine'!$B$19:$B$35,0),MATCH(H$12,'02_Debt Engine'!$F$45:$Z$45,0)),0)</f>
        <v>1988236.6044415063</v>
      </c>
      <c r="I48" s="286">
        <f>IFERROR(INDEX('02_Debt Engine'!$F$46:$Z$62,MATCH($C$1,'02_Debt Engine'!$B$19:$B$35,0),MATCH(I$12,'02_Debt Engine'!$F$45:$Z$45,0)),0)</f>
        <v>667460.46017404622</v>
      </c>
      <c r="J48" s="286">
        <f>IFERROR(INDEX('02_Debt Engine'!$F$46:$Z$62,MATCH($C$1,'02_Debt Engine'!$B$19:$B$35,0),MATCH(J$12,'02_Debt Engine'!$F$45:$Z$45,0)),0)</f>
        <v>667460.46017404622</v>
      </c>
      <c r="K48" s="286">
        <f>IFERROR(INDEX('02_Debt Engine'!$F$46:$Z$62,MATCH($C$1,'02_Debt Engine'!$B$19:$B$35,0),MATCH(K$12,'02_Debt Engine'!$F$45:$Z$45,0)),0)</f>
        <v>667460.46017404622</v>
      </c>
      <c r="L48" s="286">
        <f>IFERROR(INDEX('02_Debt Engine'!$F$46:$Z$62,MATCH($C$1,'02_Debt Engine'!$B$19:$B$35,0),MATCH(L$12,'02_Debt Engine'!$F$45:$Z$45,0)),0)</f>
        <v>667460.46017404622</v>
      </c>
      <c r="M48" s="286">
        <f>IFERROR(INDEX('02_Debt Engine'!$F$46:$Z$62,MATCH($C$1,'02_Debt Engine'!$B$19:$B$35,0),MATCH(M$12,'02_Debt Engine'!$F$45:$Z$45,0)),0)</f>
        <v>667460.46017404622</v>
      </c>
      <c r="N48" s="286">
        <f>IFERROR(INDEX('02_Debt Engine'!$F$46:$Z$62,MATCH($C$1,'02_Debt Engine'!$B$19:$B$35,0),MATCH(N$12,'02_Debt Engine'!$F$45:$Z$45,0)),0)</f>
        <v>667460.46017404622</v>
      </c>
      <c r="O48" s="286">
        <f>IFERROR(INDEX('02_Debt Engine'!$F$46:$Z$62,MATCH($C$1,'02_Debt Engine'!$B$19:$B$35,0),MATCH(O$12,'02_Debt Engine'!$F$45:$Z$45,0)),0)</f>
        <v>667460.46017404622</v>
      </c>
      <c r="P48" s="286">
        <f>IFERROR(INDEX('02_Debt Engine'!$F$46:$Z$62,MATCH($C$1,'02_Debt Engine'!$B$19:$B$35,0),MATCH(P$12,'02_Debt Engine'!$F$45:$Z$45,0)),0)</f>
        <v>667460.46017404622</v>
      </c>
      <c r="Q48" s="286">
        <f>IFERROR(INDEX('02_Debt Engine'!$F$46:$Z$62,MATCH($C$1,'02_Debt Engine'!$B$19:$B$35,0),MATCH(Q$12,'02_Debt Engine'!$F$45:$Z$45,0)),0)</f>
        <v>667460.46017404622</v>
      </c>
      <c r="R48" s="286">
        <f>IFERROR(INDEX('02_Debt Engine'!$F$46:$Z$62,MATCH($C$1,'02_Debt Engine'!$B$19:$B$35,0),MATCH(R$12,'02_Debt Engine'!$F$45:$Z$45,0)),0)</f>
        <v>667460.46017404622</v>
      </c>
      <c r="S48" s="286">
        <f>IFERROR(INDEX('02_Debt Engine'!$F$46:$Z$62,MATCH($C$1,'02_Debt Engine'!$B$19:$B$35,0),MATCH(S$12,'02_Debt Engine'!$F$45:$Z$45,0)),0)</f>
        <v>667460.46017404622</v>
      </c>
      <c r="T48" s="286">
        <f>IFERROR(INDEX('02_Debt Engine'!$F$46:$Z$62,MATCH($C$1,'02_Debt Engine'!$B$19:$B$35,0),MATCH(T$12,'02_Debt Engine'!$F$45:$Z$45,0)),0)</f>
        <v>667460.46017404622</v>
      </c>
      <c r="U48" s="286">
        <f>IFERROR(INDEX('02_Debt Engine'!$F$46:$Z$62,MATCH($C$1,'02_Debt Engine'!$B$19:$B$35,0),MATCH(U$12,'02_Debt Engine'!$F$45:$Z$45,0)),0)</f>
        <v>667460.46017404622</v>
      </c>
      <c r="V48" s="286">
        <f>IFERROR(INDEX('02_Debt Engine'!$F$46:$Z$62,MATCH($C$1,'02_Debt Engine'!$B$19:$B$35,0),MATCH(V$12,'02_Debt Engine'!$F$45:$Z$45,0)),0)</f>
        <v>667460.46017404622</v>
      </c>
      <c r="W48" s="286">
        <f>IFERROR(INDEX('02_Debt Engine'!$F$46:$Z$62,MATCH($C$1,'02_Debt Engine'!$B$19:$B$35,0),MATCH(W$12,'02_Debt Engine'!$F$45:$Z$45,0)),0)</f>
        <v>667460.46017404622</v>
      </c>
      <c r="X48" s="286">
        <f>IFERROR(INDEX('02_Debt Engine'!$F$46:$Z$62,MATCH($C$1,'02_Debt Engine'!$B$19:$B$35,0),MATCH(X$12,'02_Debt Engine'!$F$45:$Z$45,0)),0)</f>
        <v>667460.46017404622</v>
      </c>
      <c r="Y48" s="286">
        <f>IFERROR(INDEX('02_Debt Engine'!$F$46:$Z$62,MATCH($C$1,'02_Debt Engine'!$B$19:$B$35,0),MATCH(Y$12,'02_Debt Engine'!$F$45:$Z$45,0)),0)</f>
        <v>667460.46017404622</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0</v>
      </c>
      <c r="F50" s="290">
        <f t="shared" si="14"/>
        <v>0</v>
      </c>
      <c r="G50" s="290">
        <f t="shared" si="14"/>
        <v>0</v>
      </c>
      <c r="H50" s="290">
        <f t="shared" si="14"/>
        <v>0.50545602962875835</v>
      </c>
      <c r="I50" s="290">
        <f t="shared" si="14"/>
        <v>1.5126524482043593</v>
      </c>
      <c r="J50" s="290">
        <f t="shared" si="14"/>
        <v>1.5188636285944221</v>
      </c>
      <c r="K50" s="290">
        <f t="shared" si="14"/>
        <v>1.5242373578493247</v>
      </c>
      <c r="L50" s="290">
        <f t="shared" si="14"/>
        <v>1.5287184199566457</v>
      </c>
      <c r="M50" s="290">
        <f t="shared" si="14"/>
        <v>1.5322489559041275</v>
      </c>
      <c r="N50" s="290">
        <f t="shared" si="14"/>
        <v>1.5347683492724913</v>
      </c>
      <c r="O50" s="290">
        <f t="shared" si="14"/>
        <v>1.5581510639630152</v>
      </c>
      <c r="P50" s="290">
        <f t="shared" si="14"/>
        <v>1.5818186166399755</v>
      </c>
      <c r="Q50" s="290">
        <f t="shared" si="14"/>
        <v>1.6057721336554178</v>
      </c>
      <c r="R50" s="290">
        <f t="shared" si="14"/>
        <v>1.630012649628235</v>
      </c>
      <c r="S50" s="290">
        <f t="shared" si="14"/>
        <v>1.6545411027530021</v>
      </c>
      <c r="T50" s="290">
        <f t="shared" si="14"/>
        <v>1.6793583299435682</v>
      </c>
      <c r="U50" s="290">
        <f t="shared" si="14"/>
        <v>1.7044650618063335</v>
      </c>
      <c r="V50" s="290">
        <f t="shared" si="14"/>
        <v>1.7298619174379524</v>
      </c>
      <c r="W50" s="290">
        <f t="shared" si="14"/>
        <v>1.7555493990420898</v>
      </c>
      <c r="X50" s="290">
        <f t="shared" si="14"/>
        <v>1.7815278863596957</v>
      </c>
      <c r="Y50" s="290">
        <f t="shared" si="14"/>
        <v>1.8077976309070722</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-1988236.6044415063</v>
      </c>
      <c r="F52" s="291">
        <f t="shared" si="15"/>
        <v>-1988236.6044415063</v>
      </c>
      <c r="G52" s="291">
        <f t="shared" si="15"/>
        <v>-1988236.6044415063</v>
      </c>
      <c r="H52" s="291">
        <f t="shared" si="15"/>
        <v>-983270.42439793842</v>
      </c>
      <c r="I52" s="291">
        <f t="shared" si="15"/>
        <v>342175.23898783303</v>
      </c>
      <c r="J52" s="291">
        <f t="shared" si="15"/>
        <v>346320.95630920841</v>
      </c>
      <c r="K52" s="291">
        <f t="shared" si="15"/>
        <v>349907.70811053633</v>
      </c>
      <c r="L52" s="291">
        <f t="shared" si="15"/>
        <v>352898.63988675736</v>
      </c>
      <c r="M52" s="291">
        <f t="shared" si="15"/>
        <v>355255.13303492451</v>
      </c>
      <c r="N52" s="291">
        <f t="shared" si="15"/>
        <v>356936.72849193215</v>
      </c>
      <c r="O52" s="291">
        <f t="shared" si="15"/>
        <v>372543.7659993876</v>
      </c>
      <c r="P52" s="291">
        <f t="shared" si="15"/>
        <v>388340.92160034506</v>
      </c>
      <c r="Q52" s="291">
        <f t="shared" si="15"/>
        <v>404328.94709025905</v>
      </c>
      <c r="R52" s="291">
        <f t="shared" si="15"/>
        <v>420508.53303633188</v>
      </c>
      <c r="S52" s="291">
        <f t="shared" si="15"/>
        <v>436880.30564634642</v>
      </c>
      <c r="T52" s="291">
        <f t="shared" si="15"/>
        <v>453444.8235272055</v>
      </c>
      <c r="U52" s="291">
        <f t="shared" si="15"/>
        <v>470202.57432979322</v>
      </c>
      <c r="V52" s="291">
        <f t="shared" si="15"/>
        <v>487153.97127664741</v>
      </c>
      <c r="W52" s="291">
        <f t="shared" si="15"/>
        <v>504299.34956885735</v>
      </c>
      <c r="X52" s="291">
        <f t="shared" si="15"/>
        <v>521638.96266849223</v>
      </c>
      <c r="Y52" s="291">
        <f t="shared" si="15"/>
        <v>539172.97845273884</v>
      </c>
    </row>
    <row r="53" spans="3:25" ht="7.15" customHeight="1">
      <c r="C53" s="14"/>
      <c r="D53" s="17"/>
    </row>
    <row r="54" spans="3:25" ht="13.5" customHeight="1">
      <c r="C54" s="15" t="s">
        <v>363</v>
      </c>
      <c r="D54" s="20"/>
      <c r="E54" s="292">
        <f t="shared" ref="E54:Y54" si="16">IF(E52&lt;0,0,E52*$G$7)</f>
        <v>0</v>
      </c>
      <c r="F54" s="292">
        <f t="shared" si="16"/>
        <v>0</v>
      </c>
      <c r="G54" s="292">
        <f t="shared" si="16"/>
        <v>0</v>
      </c>
      <c r="H54" s="292">
        <f t="shared" si="16"/>
        <v>0</v>
      </c>
      <c r="I54" s="292">
        <f t="shared" si="16"/>
        <v>205305.1433926998</v>
      </c>
      <c r="J54" s="292">
        <f t="shared" si="16"/>
        <v>207792.57378552505</v>
      </c>
      <c r="K54" s="292">
        <f t="shared" si="16"/>
        <v>209944.6248663218</v>
      </c>
      <c r="L54" s="292">
        <f t="shared" si="16"/>
        <v>211739.18393205441</v>
      </c>
      <c r="M54" s="292">
        <f t="shared" si="16"/>
        <v>213153.07982095471</v>
      </c>
      <c r="N54" s="292">
        <f t="shared" si="16"/>
        <v>214162.03709515929</v>
      </c>
      <c r="O54" s="292">
        <f t="shared" si="16"/>
        <v>223526.25959963255</v>
      </c>
      <c r="P54" s="292">
        <f t="shared" si="16"/>
        <v>233004.55296020702</v>
      </c>
      <c r="Q54" s="292">
        <f t="shared" si="16"/>
        <v>242597.36825415542</v>
      </c>
      <c r="R54" s="292">
        <f t="shared" si="16"/>
        <v>252305.1198217991</v>
      </c>
      <c r="S54" s="292">
        <f t="shared" si="16"/>
        <v>262128.18338780783</v>
      </c>
      <c r="T54" s="292">
        <f t="shared" si="16"/>
        <v>272066.89411632327</v>
      </c>
      <c r="U54" s="292">
        <f t="shared" si="16"/>
        <v>282121.54459787591</v>
      </c>
      <c r="V54" s="292">
        <f t="shared" si="16"/>
        <v>292292.38276598841</v>
      </c>
      <c r="W54" s="292">
        <f t="shared" si="16"/>
        <v>302579.60974131437</v>
      </c>
      <c r="X54" s="292">
        <f t="shared" si="16"/>
        <v>312983.3776010953</v>
      </c>
      <c r="Y54" s="292">
        <f t="shared" si="16"/>
        <v>323503.78707164328</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-1988236.6044415063</v>
      </c>
      <c r="F56" s="291">
        <f t="shared" si="17"/>
        <v>-1988236.6044415063</v>
      </c>
      <c r="G56" s="291">
        <f t="shared" si="17"/>
        <v>-1988236.6044415063</v>
      </c>
      <c r="H56" s="291">
        <f t="shared" si="17"/>
        <v>-983270.42439793842</v>
      </c>
      <c r="I56" s="291">
        <f t="shared" si="17"/>
        <v>136870.09559513323</v>
      </c>
      <c r="J56" s="291">
        <f t="shared" si="17"/>
        <v>138528.38252368337</v>
      </c>
      <c r="K56" s="291">
        <f t="shared" si="17"/>
        <v>139963.08324421453</v>
      </c>
      <c r="L56" s="291">
        <f t="shared" si="17"/>
        <v>141159.45595470295</v>
      </c>
      <c r="M56" s="291">
        <f t="shared" si="17"/>
        <v>142102.0532139698</v>
      </c>
      <c r="N56" s="291">
        <f t="shared" si="17"/>
        <v>142774.69139677286</v>
      </c>
      <c r="O56" s="291">
        <f t="shared" si="17"/>
        <v>149017.50639975505</v>
      </c>
      <c r="P56" s="291">
        <f t="shared" si="17"/>
        <v>155336.36864013804</v>
      </c>
      <c r="Q56" s="291">
        <f t="shared" si="17"/>
        <v>161731.57883610364</v>
      </c>
      <c r="R56" s="291">
        <f t="shared" si="17"/>
        <v>168203.41321453277</v>
      </c>
      <c r="S56" s="291">
        <f t="shared" si="17"/>
        <v>174752.12225853858</v>
      </c>
      <c r="T56" s="291">
        <f t="shared" si="17"/>
        <v>181377.92941088224</v>
      </c>
      <c r="U56" s="291">
        <f t="shared" si="17"/>
        <v>188081.02973191731</v>
      </c>
      <c r="V56" s="291">
        <f t="shared" si="17"/>
        <v>194861.588510659</v>
      </c>
      <c r="W56" s="291">
        <f t="shared" si="17"/>
        <v>201719.73982754297</v>
      </c>
      <c r="X56" s="291">
        <f t="shared" si="17"/>
        <v>208655.58506739693</v>
      </c>
      <c r="Y56" s="291">
        <f t="shared" si="17"/>
        <v>215669.19138109556</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REFI YR.</v>
      </c>
      <c r="I60" s="288" t="str">
        <f t="shared" si="18"/>
        <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-35444216.830512583</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12562077.2505446</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-22882139.579967983</v>
      </c>
      <c r="I63" s="285">
        <f t="shared" si="19"/>
        <v>0</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36525238.395558491</v>
      </c>
      <c r="F64" s="296">
        <f>INDEX('02_Debt Engine'!$F$74:$Z$90,MATCH($C$1,'02_Debt Engine'!$B$74:$B$90,0),MATCH(F$12,'02_Debt Engine'!$F$73:$Z$73,0))</f>
        <v>36180637.518917114</v>
      </c>
      <c r="G64" s="296">
        <f>INDEX('02_Debt Engine'!$F$74:$Z$90,MATCH($C$1,'02_Debt Engine'!$B$74:$B$90,0),MATCH(G$12,'02_Debt Engine'!$F$73:$Z$73,0))</f>
        <v>35820529.602826878</v>
      </c>
      <c r="H64" s="296">
        <f>INDEX('02_Debt Engine'!$F$74:$Z$90,MATCH($C$1,'02_Debt Engine'!$B$74:$B$90,0),MATCH(H$12,'02_Debt Engine'!$F$73:$Z$73,0))</f>
        <v>35444216.830512583</v>
      </c>
      <c r="I64" s="296">
        <f>INDEX('02_Debt Engine'!$F$74:$Z$90,MATCH($C$1,'02_Debt Engine'!$B$74:$B$90,0),MATCH(I$12,'02_Debt Engine'!$F$73:$Z$73,0))</f>
        <v>12397099.880392337</v>
      </c>
      <c r="J64" s="296">
        <f>INDEX('02_Debt Engine'!$F$74:$Z$90,MATCH($C$1,'02_Debt Engine'!$B$74:$B$90,0),MATCH(J$12,'02_Debt Engine'!$F$73:$Z$73,0))</f>
        <v>12225523.415433984</v>
      </c>
      <c r="K64" s="296">
        <f>INDEX('02_Debt Engine'!$F$74:$Z$90,MATCH($C$1,'02_Debt Engine'!$B$74:$B$90,0),MATCH(K$12,'02_Debt Engine'!$F$73:$Z$73,0))</f>
        <v>12047083.891877297</v>
      </c>
      <c r="L64" s="296">
        <f>INDEX('02_Debt Engine'!$F$74:$Z$90,MATCH($C$1,'02_Debt Engine'!$B$74:$B$90,0),MATCH(L$12,'02_Debt Engine'!$F$73:$Z$73,0))</f>
        <v>11861506.787378343</v>
      </c>
      <c r="M64" s="296">
        <f>INDEX('02_Debt Engine'!$F$74:$Z$90,MATCH($C$1,'02_Debt Engine'!$B$74:$B$90,0),MATCH(M$12,'02_Debt Engine'!$F$73:$Z$73,0))</f>
        <v>11668506.59869943</v>
      </c>
      <c r="N64" s="296">
        <f>INDEX('02_Debt Engine'!$F$74:$Z$90,MATCH($C$1,'02_Debt Engine'!$B$74:$B$90,0),MATCH(N$12,'02_Debt Engine'!$F$73:$Z$73,0))</f>
        <v>11467786.40247336</v>
      </c>
      <c r="O64" s="296">
        <f>INDEX('02_Debt Engine'!$F$74:$Z$90,MATCH($C$1,'02_Debt Engine'!$B$74:$B$90,0),MATCH(O$12,'02_Debt Engine'!$F$73:$Z$73,0))</f>
        <v>11259037.398398248</v>
      </c>
      <c r="P64" s="296">
        <f>INDEX('02_Debt Engine'!$F$74:$Z$90,MATCH($C$1,'02_Debt Engine'!$B$74:$B$90,0),MATCH(P$12,'02_Debt Engine'!$F$73:$Z$73,0))</f>
        <v>11041938.434160132</v>
      </c>
      <c r="Q64" s="296">
        <f>INDEX('02_Debt Engine'!$F$74:$Z$90,MATCH($C$1,'02_Debt Engine'!$B$74:$B$90,0),MATCH(Q$12,'02_Debt Engine'!$F$73:$Z$73,0))</f>
        <v>10816155.511352491</v>
      </c>
      <c r="R64" s="296">
        <f>INDEX('02_Debt Engine'!$F$74:$Z$90,MATCH($C$1,'02_Debt Engine'!$B$74:$B$90,0),MATCH(R$12,'02_Debt Engine'!$F$73:$Z$73,0))</f>
        <v>10581341.271632545</v>
      </c>
      <c r="S64" s="296">
        <f>INDEX('02_Debt Engine'!$F$74:$Z$90,MATCH($C$1,'02_Debt Engine'!$B$74:$B$90,0),MATCH(S$12,'02_Debt Engine'!$F$73:$Z$73,0))</f>
        <v>10337134.4623238</v>
      </c>
      <c r="T64" s="296">
        <f>INDEX('02_Debt Engine'!$F$74:$Z$90,MATCH($C$1,'02_Debt Engine'!$B$74:$B$90,0),MATCH(T$12,'02_Debt Engine'!$F$73:$Z$73,0))</f>
        <v>10083159.380642705</v>
      </c>
      <c r="U64" s="296">
        <f>INDEX('02_Debt Engine'!$F$74:$Z$90,MATCH($C$1,'02_Debt Engine'!$B$74:$B$90,0),MATCH(U$12,'02_Debt Engine'!$F$73:$Z$73,0))</f>
        <v>9819025.2956943661</v>
      </c>
      <c r="V64" s="296">
        <f>INDEX('02_Debt Engine'!$F$74:$Z$90,MATCH($C$1,'02_Debt Engine'!$B$74:$B$90,0),MATCH(V$12,'02_Debt Engine'!$F$73:$Z$73,0))</f>
        <v>9544325.847348094</v>
      </c>
      <c r="W64" s="296">
        <f>INDEX('02_Debt Engine'!$F$74:$Z$90,MATCH($C$1,'02_Debt Engine'!$B$74:$B$90,0),MATCH(W$12,'02_Debt Engine'!$F$73:$Z$73,0))</f>
        <v>9258638.4210679717</v>
      </c>
      <c r="X64" s="296">
        <f>INDEX('02_Debt Engine'!$F$74:$Z$90,MATCH($C$1,'02_Debt Engine'!$B$74:$B$90,0),MATCH(X$12,'02_Debt Engine'!$F$73:$Z$73,0))</f>
        <v>8961523.497736644</v>
      </c>
      <c r="Y64" s="296">
        <f>INDEX('02_Debt Engine'!$F$74:$Z$90,MATCH($C$1,'02_Debt Engine'!$B$74:$B$90,0),MATCH(Y$12,'02_Debt Engine'!$F$73:$Z$73,0))</f>
        <v>8652523.9774720632</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REFI YR.</v>
      </c>
      <c r="I66" s="288" t="str">
        <f t="shared" si="20"/>
        <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-1988236.6044415063</v>
      </c>
      <c r="F67" s="285">
        <f t="shared" si="21"/>
        <v>-1988236.6044415063</v>
      </c>
      <c r="G67" s="285">
        <f t="shared" si="21"/>
        <v>-1988236.6044415063</v>
      </c>
      <c r="H67" s="285">
        <f t="shared" si="21"/>
        <v>-983270.42439793842</v>
      </c>
      <c r="I67" s="285">
        <f t="shared" si="21"/>
        <v>136870.09559513323</v>
      </c>
      <c r="J67" s="285">
        <f t="shared" si="21"/>
        <v>138528.38252368337</v>
      </c>
      <c r="K67" s="285">
        <f t="shared" si="21"/>
        <v>139963.08324421453</v>
      </c>
      <c r="L67" s="285">
        <f t="shared" si="21"/>
        <v>141159.45595470295</v>
      </c>
      <c r="M67" s="285">
        <f t="shared" si="21"/>
        <v>142102.0532139698</v>
      </c>
      <c r="N67" s="285">
        <f t="shared" si="21"/>
        <v>142774.69139677286</v>
      </c>
      <c r="O67" s="285">
        <f t="shared" si="21"/>
        <v>149017.50639975505</v>
      </c>
      <c r="P67" s="285">
        <f t="shared" si="21"/>
        <v>155336.36864013804</v>
      </c>
      <c r="Q67" s="285">
        <f t="shared" si="21"/>
        <v>161731.57883610364</v>
      </c>
      <c r="R67" s="285">
        <f t="shared" si="21"/>
        <v>168203.41321453277</v>
      </c>
      <c r="S67" s="285">
        <f t="shared" si="21"/>
        <v>174752.12225853858</v>
      </c>
      <c r="T67" s="285">
        <f t="shared" si="21"/>
        <v>181377.92941088224</v>
      </c>
      <c r="U67" s="285">
        <f t="shared" si="21"/>
        <v>188081.02973191731</v>
      </c>
      <c r="V67" s="285">
        <f t="shared" si="21"/>
        <v>194861.588510659</v>
      </c>
      <c r="W67" s="285">
        <f t="shared" si="21"/>
        <v>201719.73982754297</v>
      </c>
      <c r="X67" s="285">
        <f t="shared" si="21"/>
        <v>208655.58506739693</v>
      </c>
      <c r="Y67" s="285">
        <f t="shared" si="21"/>
        <v>215669.19138109556</v>
      </c>
    </row>
    <row r="68" spans="3:25" s="20" customFormat="1" ht="13.5" customHeight="1">
      <c r="C68" s="26" t="s">
        <v>544</v>
      </c>
      <c r="E68" s="287">
        <f t="shared" ref="E68:Y68" si="22">E67+E$63</f>
        <v>-1988236.6044415063</v>
      </c>
      <c r="F68" s="287">
        <f t="shared" si="22"/>
        <v>-1988236.6044415063</v>
      </c>
      <c r="G68" s="287">
        <f t="shared" si="22"/>
        <v>-1988236.6044415063</v>
      </c>
      <c r="H68" s="287">
        <f t="shared" si="22"/>
        <v>-23865410.004365921</v>
      </c>
      <c r="I68" s="287">
        <f t="shared" si="22"/>
        <v>136870.09559513323</v>
      </c>
      <c r="J68" s="287">
        <f t="shared" si="22"/>
        <v>138528.38252368337</v>
      </c>
      <c r="K68" s="287">
        <f t="shared" si="22"/>
        <v>139963.08324421453</v>
      </c>
      <c r="L68" s="287">
        <f t="shared" si="22"/>
        <v>141159.45595470295</v>
      </c>
      <c r="M68" s="287">
        <f t="shared" si="22"/>
        <v>142102.0532139698</v>
      </c>
      <c r="N68" s="287">
        <f t="shared" si="22"/>
        <v>142774.69139677286</v>
      </c>
      <c r="O68" s="287">
        <f t="shared" si="22"/>
        <v>149017.50639975505</v>
      </c>
      <c r="P68" s="287">
        <f t="shared" si="22"/>
        <v>155336.36864013804</v>
      </c>
      <c r="Q68" s="287">
        <f t="shared" si="22"/>
        <v>161731.57883610364</v>
      </c>
      <c r="R68" s="287">
        <f t="shared" si="22"/>
        <v>168203.41321453277</v>
      </c>
      <c r="S68" s="287">
        <f t="shared" si="22"/>
        <v>174752.12225853858</v>
      </c>
      <c r="T68" s="287">
        <f t="shared" si="22"/>
        <v>181377.92941088224</v>
      </c>
      <c r="U68" s="287">
        <f t="shared" si="22"/>
        <v>188081.02973191731</v>
      </c>
      <c r="V68" s="287">
        <f t="shared" si="22"/>
        <v>194861.588510659</v>
      </c>
      <c r="W68" s="287">
        <f t="shared" si="22"/>
        <v>201719.73982754297</v>
      </c>
      <c r="X68" s="287">
        <f t="shared" si="22"/>
        <v>208655.58506739693</v>
      </c>
      <c r="Y68" s="287">
        <f t="shared" si="22"/>
        <v>215669.19138109556</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0</v>
      </c>
      <c r="F73" s="285">
        <f t="shared" si="24"/>
        <v>0</v>
      </c>
      <c r="G73" s="285">
        <f t="shared" si="24"/>
        <v>0</v>
      </c>
      <c r="H73" s="285">
        <f t="shared" si="24"/>
        <v>16749436.334059466</v>
      </c>
      <c r="I73" s="285">
        <f t="shared" si="24"/>
        <v>16827261.652697988</v>
      </c>
      <c r="J73" s="285">
        <f t="shared" si="24"/>
        <v>16896356.941387579</v>
      </c>
      <c r="K73" s="285">
        <f t="shared" si="24"/>
        <v>16956136.138076376</v>
      </c>
      <c r="L73" s="285">
        <f t="shared" si="24"/>
        <v>17005985.001013394</v>
      </c>
      <c r="M73" s="285">
        <f t="shared" si="24"/>
        <v>17045259.886816181</v>
      </c>
      <c r="N73" s="285">
        <f t="shared" si="24"/>
        <v>17073286.477766305</v>
      </c>
      <c r="O73" s="285">
        <f t="shared" si="24"/>
        <v>17333403.76955723</v>
      </c>
      <c r="P73" s="285">
        <f t="shared" si="24"/>
        <v>17596689.696239855</v>
      </c>
      <c r="Q73" s="285">
        <f t="shared" si="24"/>
        <v>17863156.787738424</v>
      </c>
      <c r="R73" s="285">
        <f t="shared" si="24"/>
        <v>18132816.553506304</v>
      </c>
      <c r="S73" s="285">
        <f t="shared" si="24"/>
        <v>18405679.430339877</v>
      </c>
      <c r="T73" s="285">
        <f t="shared" si="24"/>
        <v>18681754.728354197</v>
      </c>
      <c r="U73" s="285">
        <f t="shared" si="24"/>
        <v>18961050.575063992</v>
      </c>
      <c r="V73" s="285">
        <f t="shared" si="24"/>
        <v>19243573.857511561</v>
      </c>
      <c r="W73" s="285">
        <f t="shared" si="24"/>
        <v>19529330.162381727</v>
      </c>
      <c r="X73" s="285">
        <f t="shared" si="24"/>
        <v>19818323.71404231</v>
      </c>
      <c r="Y73" s="285">
        <f t="shared" si="24"/>
        <v>20110557.310446419</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REFI YR.</v>
      </c>
      <c r="I75" s="288" t="str">
        <f t="shared" si="25"/>
        <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36525238.395558491</v>
      </c>
      <c r="F76" s="285">
        <f t="shared" si="26"/>
        <v>36180637.518917114</v>
      </c>
      <c r="G76" s="285">
        <f t="shared" si="26"/>
        <v>35820529.602826878</v>
      </c>
      <c r="H76" s="285">
        <f t="shared" si="26"/>
        <v>35444216.830512583</v>
      </c>
      <c r="I76" s="285">
        <f t="shared" si="26"/>
        <v>12397099.880392337</v>
      </c>
      <c r="J76" s="285">
        <f t="shared" si="26"/>
        <v>12225523.415433984</v>
      </c>
      <c r="K76" s="285">
        <f t="shared" si="26"/>
        <v>12047083.891877297</v>
      </c>
      <c r="L76" s="285">
        <f t="shared" si="26"/>
        <v>11861506.787378343</v>
      </c>
      <c r="M76" s="285">
        <f t="shared" si="26"/>
        <v>11668506.59869943</v>
      </c>
      <c r="N76" s="285">
        <f t="shared" si="26"/>
        <v>11467786.40247336</v>
      </c>
      <c r="O76" s="285">
        <f t="shared" si="26"/>
        <v>11259037.398398248</v>
      </c>
      <c r="P76" s="285">
        <f t="shared" si="26"/>
        <v>11041938.434160132</v>
      </c>
      <c r="Q76" s="285">
        <f t="shared" si="26"/>
        <v>10816155.511352491</v>
      </c>
      <c r="R76" s="285">
        <f t="shared" si="26"/>
        <v>10581341.271632545</v>
      </c>
      <c r="S76" s="285">
        <f t="shared" si="26"/>
        <v>10337134.4623238</v>
      </c>
      <c r="T76" s="285">
        <f t="shared" si="26"/>
        <v>10083159.380642705</v>
      </c>
      <c r="U76" s="285">
        <f t="shared" si="26"/>
        <v>9819025.2956943661</v>
      </c>
      <c r="V76" s="285">
        <f t="shared" si="26"/>
        <v>9544325.847348094</v>
      </c>
      <c r="W76" s="285">
        <f t="shared" si="26"/>
        <v>9258638.4210679717</v>
      </c>
      <c r="X76" s="285">
        <f t="shared" si="26"/>
        <v>8961523.497736644</v>
      </c>
      <c r="Y76" s="285">
        <f t="shared" si="26"/>
        <v>8652523.9774720632</v>
      </c>
    </row>
    <row r="77" spans="3:25" ht="13.5" customHeight="1">
      <c r="C77" s="26" t="s">
        <v>376</v>
      </c>
      <c r="D77" s="21"/>
      <c r="E77" s="287">
        <f t="shared" ref="E77:Y77" si="27">E73-E$76</f>
        <v>-36525238.395558491</v>
      </c>
      <c r="F77" s="287">
        <f t="shared" si="27"/>
        <v>-36180637.518917114</v>
      </c>
      <c r="G77" s="287">
        <f t="shared" si="27"/>
        <v>-35820529.602826878</v>
      </c>
      <c r="H77" s="287">
        <f t="shared" si="27"/>
        <v>-18694780.496453118</v>
      </c>
      <c r="I77" s="287">
        <f t="shared" si="27"/>
        <v>4430161.7723056506</v>
      </c>
      <c r="J77" s="287">
        <f t="shared" si="27"/>
        <v>4670833.5259535946</v>
      </c>
      <c r="K77" s="287">
        <f t="shared" si="27"/>
        <v>4909052.2461990789</v>
      </c>
      <c r="L77" s="287">
        <f t="shared" si="27"/>
        <v>5144478.2136350516</v>
      </c>
      <c r="M77" s="287">
        <f t="shared" si="27"/>
        <v>5376753.2881167512</v>
      </c>
      <c r="N77" s="287">
        <f t="shared" si="27"/>
        <v>5605500.0752929449</v>
      </c>
      <c r="O77" s="287">
        <f t="shared" si="27"/>
        <v>6074366.3711589817</v>
      </c>
      <c r="P77" s="287">
        <f t="shared" si="27"/>
        <v>6554751.2620797232</v>
      </c>
      <c r="Q77" s="287">
        <f t="shared" si="27"/>
        <v>7047001.2763859332</v>
      </c>
      <c r="R77" s="287">
        <f t="shared" si="27"/>
        <v>7551475.2818737589</v>
      </c>
      <c r="S77" s="287">
        <f t="shared" si="27"/>
        <v>8068544.9680160768</v>
      </c>
      <c r="T77" s="287">
        <f t="shared" si="27"/>
        <v>8598595.3477114923</v>
      </c>
      <c r="U77" s="287">
        <f t="shared" si="27"/>
        <v>9142025.2793696262</v>
      </c>
      <c r="V77" s="287">
        <f t="shared" si="27"/>
        <v>9699248.0101634674</v>
      </c>
      <c r="W77" s="287">
        <f t="shared" si="27"/>
        <v>10270691.741313756</v>
      </c>
      <c r="X77" s="287">
        <f t="shared" si="27"/>
        <v>10856800.216305666</v>
      </c>
      <c r="Y77" s="287">
        <f t="shared" si="27"/>
        <v>11458033.332974356</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2029</v>
      </c>
      <c r="D79" s="20"/>
      <c r="E79" s="289" t="str">
        <f t="shared" ref="E79:Y79" si="28">IF(E$72=$F$2+1,"STAB. YR.","")</f>
        <v/>
      </c>
      <c r="F79" s="289" t="str">
        <f t="shared" si="28"/>
        <v/>
      </c>
      <c r="G79" s="289" t="str">
        <f t="shared" si="28"/>
        <v/>
      </c>
      <c r="H79" s="289" t="str">
        <f t="shared" si="28"/>
        <v/>
      </c>
      <c r="I79" s="289" t="str">
        <f t="shared" si="28"/>
        <v>STAB. YR.</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0</v>
      </c>
      <c r="G80" s="296">
        <f t="shared" si="29"/>
        <v>0</v>
      </c>
      <c r="H80" s="296">
        <f t="shared" si="29"/>
        <v>0</v>
      </c>
      <c r="I80" s="296">
        <f t="shared" si="29"/>
        <v>16827261.652697988</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0</v>
      </c>
      <c r="F81" s="344">
        <f t="shared" si="30"/>
        <v>0</v>
      </c>
      <c r="G81" s="344">
        <f t="shared" si="30"/>
        <v>0</v>
      </c>
      <c r="H81" s="344">
        <f t="shared" si="30"/>
        <v>5.972250273308357E-2</v>
      </c>
      <c r="I81" s="344">
        <f t="shared" si="30"/>
        <v>0.06</v>
      </c>
      <c r="J81" s="344">
        <f t="shared" si="30"/>
        <v>6.0246369100744962E-2</v>
      </c>
      <c r="K81" s="344">
        <f t="shared" si="30"/>
        <v>6.0459520347534594E-2</v>
      </c>
      <c r="L81" s="344">
        <f t="shared" si="30"/>
        <v>6.0637263573851005E-2</v>
      </c>
      <c r="M81" s="344">
        <f t="shared" si="30"/>
        <v>6.0777303777468407E-2</v>
      </c>
      <c r="N81" s="344">
        <f t="shared" si="30"/>
        <v>6.0877236582443726E-2</v>
      </c>
      <c r="O81" s="344">
        <f t="shared" si="30"/>
        <v>6.1804721863743375E-2</v>
      </c>
      <c r="P81" s="344">
        <f t="shared" si="30"/>
        <v>6.2743505364410257E-2</v>
      </c>
      <c r="Q81" s="344">
        <f t="shared" si="30"/>
        <v>6.3693631761675293E-2</v>
      </c>
      <c r="R81" s="344">
        <f t="shared" si="30"/>
        <v>6.4655142094135046E-2</v>
      </c>
      <c r="S81" s="344">
        <f t="shared" si="30"/>
        <v>6.5628073575674684E-2</v>
      </c>
      <c r="T81" s="344">
        <f t="shared" si="30"/>
        <v>6.6612459402836471E-2</v>
      </c>
      <c r="U81" s="344">
        <f t="shared" si="30"/>
        <v>6.7608328555432723E-2</v>
      </c>
      <c r="V81" s="344">
        <f t="shared" si="30"/>
        <v>6.861570559019442E-2</v>
      </c>
      <c r="W81" s="344">
        <f t="shared" si="30"/>
        <v>6.9634610427242644E-2</v>
      </c>
      <c r="X81" s="344">
        <f t="shared" si="30"/>
        <v>7.0665058129162975E-2</v>
      </c>
      <c r="Y81" s="344">
        <f t="shared" si="30"/>
        <v>7.1707058672456095E-2</v>
      </c>
    </row>
    <row r="82" spans="1:25" s="20" customFormat="1" ht="13.9" customHeight="1">
      <c r="A82" s="3"/>
      <c r="B82" s="3"/>
      <c r="C82" s="21" t="s">
        <v>380</v>
      </c>
      <c r="E82" s="285">
        <f t="shared" ref="E82:Y82" si="31">IF(E$72=$F$2+1,E77,0)</f>
        <v>0</v>
      </c>
      <c r="F82" s="285">
        <f t="shared" si="31"/>
        <v>0</v>
      </c>
      <c r="G82" s="285">
        <f t="shared" si="31"/>
        <v>0</v>
      </c>
      <c r="H82" s="285">
        <f t="shared" si="31"/>
        <v>0</v>
      </c>
      <c r="I82" s="285">
        <f t="shared" si="31"/>
        <v>4430161.7723056506</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0</v>
      </c>
      <c r="F83" s="299">
        <f t="shared" si="32"/>
        <v>0</v>
      </c>
      <c r="G83" s="299">
        <f t="shared" si="32"/>
        <v>0</v>
      </c>
      <c r="H83" s="299">
        <f t="shared" si="32"/>
        <v>0.22684638432978474</v>
      </c>
      <c r="I83" s="299">
        <f t="shared" si="32"/>
        <v>0.22790041336039529</v>
      </c>
      <c r="J83" s="299">
        <f t="shared" si="32"/>
        <v>0.22883620702537874</v>
      </c>
      <c r="K83" s="299">
        <f t="shared" si="32"/>
        <v>0.22964582797957275</v>
      </c>
      <c r="L83" s="299">
        <f t="shared" si="32"/>
        <v>0.23032095722539811</v>
      </c>
      <c r="M83" s="299">
        <f t="shared" si="32"/>
        <v>0.23085287756358944</v>
      </c>
      <c r="N83" s="299">
        <f t="shared" si="32"/>
        <v>0.23123245635629172</v>
      </c>
      <c r="O83" s="299">
        <f t="shared" si="32"/>
        <v>0.23475536100618963</v>
      </c>
      <c r="P83" s="299">
        <f t="shared" si="32"/>
        <v>0.23832118013715464</v>
      </c>
      <c r="Q83" s="299">
        <f t="shared" si="32"/>
        <v>0.24193008344851005</v>
      </c>
      <c r="R83" s="299">
        <f t="shared" si="32"/>
        <v>0.24558222681880787</v>
      </c>
      <c r="S83" s="299">
        <f t="shared" si="32"/>
        <v>0.24927775159904494</v>
      </c>
      <c r="T83" s="299">
        <f t="shared" si="32"/>
        <v>0.25301678388098309</v>
      </c>
      <c r="U83" s="299">
        <f t="shared" si="32"/>
        <v>0.25679943373980896</v>
      </c>
      <c r="V83" s="299">
        <f t="shared" si="32"/>
        <v>0.26062579445034162</v>
      </c>
      <c r="W83" s="299">
        <f t="shared" si="32"/>
        <v>0.26449594167597817</v>
      </c>
      <c r="X83" s="299">
        <f t="shared" si="32"/>
        <v>0.26840993262954344</v>
      </c>
      <c r="Y83" s="299">
        <f t="shared" si="32"/>
        <v>0.27236780520518106</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2029</v>
      </c>
      <c r="E85" s="289" t="str">
        <f t="shared" ref="E85:Y85" si="33">IF(E$72=$F$2+1,"STAB. YR.","")</f>
        <v/>
      </c>
      <c r="F85" s="289" t="str">
        <f t="shared" si="33"/>
        <v/>
      </c>
      <c r="G85" s="289" t="str">
        <f t="shared" si="33"/>
        <v/>
      </c>
      <c r="H85" s="289" t="str">
        <f t="shared" si="33"/>
        <v/>
      </c>
      <c r="I85" s="289" t="str">
        <f t="shared" si="33"/>
        <v>STAB. YR.</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0</v>
      </c>
      <c r="F86" s="299">
        <f t="shared" si="34"/>
        <v>0</v>
      </c>
      <c r="G86" s="299">
        <f t="shared" si="34"/>
        <v>0</v>
      </c>
      <c r="H86" s="299">
        <f t="shared" si="34"/>
        <v>0</v>
      </c>
      <c r="I86" s="299">
        <f t="shared" si="34"/>
        <v>4.6342583847869281E-2</v>
      </c>
      <c r="J86" s="299">
        <f t="shared" si="34"/>
        <v>4.690406004685934E-2</v>
      </c>
      <c r="K86" s="299">
        <f t="shared" si="34"/>
        <v>4.7389832619375745E-2</v>
      </c>
      <c r="L86" s="299">
        <f t="shared" si="34"/>
        <v>4.7794910166870958E-2</v>
      </c>
      <c r="M86" s="299">
        <f t="shared" si="34"/>
        <v>4.8114062369785764E-2</v>
      </c>
      <c r="N86" s="299">
        <f t="shared" si="34"/>
        <v>4.8341809645407137E-2</v>
      </c>
      <c r="O86" s="299">
        <f t="shared" si="34"/>
        <v>5.0455552435345871E-2</v>
      </c>
      <c r="P86" s="299">
        <f t="shared" si="34"/>
        <v>5.2595043913924888E-2</v>
      </c>
      <c r="Q86" s="299">
        <f t="shared" si="34"/>
        <v>5.4760385900738132E-2</v>
      </c>
      <c r="R86" s="299">
        <f t="shared" si="34"/>
        <v>5.6951671922916815E-2</v>
      </c>
      <c r="S86" s="299">
        <f t="shared" si="34"/>
        <v>5.9168986791059058E-2</v>
      </c>
      <c r="T86" s="299">
        <f t="shared" si="34"/>
        <v>6.1412406160221936E-2</v>
      </c>
      <c r="U86" s="299">
        <f t="shared" si="34"/>
        <v>6.3681996075517458E-2</v>
      </c>
      <c r="V86" s="299">
        <f t="shared" si="34"/>
        <v>6.5977812501837069E-2</v>
      </c>
      <c r="W86" s="299">
        <f t="shared" si="34"/>
        <v>6.8299900837219013E-2</v>
      </c>
      <c r="X86" s="299">
        <f t="shared" si="34"/>
        <v>7.0648295409358158E-2</v>
      </c>
      <c r="Y86" s="299">
        <f t="shared" si="34"/>
        <v>7.3023018954740726E-2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0CA1A-9FF7-4C7F-A588-B047A7023C22}">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325</v>
      </c>
      <c r="E1" s="275" t="str">
        <f>INDEX('01_Property Summary'!$E$5:$E$21,MATCH($C$1,'01_Property Summary'!$C$5:$C$21,0))</f>
        <v>Port Moody</v>
      </c>
      <c r="F1" s="332" t="s">
        <v>536</v>
      </c>
      <c r="G1" s="333" t="s">
        <v>102</v>
      </c>
      <c r="J1" s="450" t="s">
        <v>308</v>
      </c>
      <c r="K1" s="424"/>
      <c r="L1" s="424"/>
      <c r="M1" s="424"/>
      <c r="N1" s="424"/>
      <c r="O1" s="424"/>
      <c r="P1" s="3"/>
      <c r="Q1" s="3"/>
      <c r="R1" s="3"/>
      <c r="S1" s="3"/>
      <c r="T1" s="3"/>
    </row>
    <row r="2" spans="3:25" ht="14.45" customHeight="1">
      <c r="C2" s="300" t="s">
        <v>537</v>
      </c>
      <c r="E2" s="334">
        <f>_xlfn.LET(_xlpm.refi,INDEX('02_Debt Engine'!$F$19:$F$35,MATCH($C$1,'02_Debt Engine'!$B$19:$B$35,0)),
_xlpm.refiyr,INDEX('02_Debt Engine'!$I$19:$I$35,MATCH($C$1,'02_Debt Engine'!$B$19:$B$35,0)),IF(_xlpm.refi="Yes",_xlpm.refiyr,"No Refi"))</f>
        <v>2027</v>
      </c>
      <c r="F2" s="334">
        <f>INDEX('01_Property Summary'!$F$5:$F$21,MATCH($C$1,'01_Property Summary'!$C$5:$C$21,0))</f>
        <v>2027</v>
      </c>
      <c r="G2" s="334">
        <f>INDEX('01_Property Summary'!$K$4:$K$21,MATCH($C$1,'01_Property Summary'!$C$4:$C$21,0))</f>
        <v>2057</v>
      </c>
      <c r="J2" s="278" t="str">
        <f>"Gate 1 — NOI ≥ 0 at stabilization ("&amp;$F$2+1&amp;"):"</f>
        <v>Gate 1 — NOI ≥ 0 at stabilization (2028):</v>
      </c>
      <c r="M2" s="451" t="str">
        <f>_xlfn.LET(_xlpm.stabnoi,INDEX($41:$41,MATCH(($F$2+1),$12:$12,0)),IF(_xlpm.stabnoi&gt;=0,"PASS — NOI $"&amp;TEXT(_xlpm.stabnoi,"#,##0"),"FAIL — NOI $"&amp;TEXT(_xlpm.stabnoi,"#,##0")))</f>
        <v>PASS — NOI $4,783,137</v>
      </c>
      <c r="N2" s="424"/>
      <c r="O2" s="424"/>
      <c r="S2" s="6"/>
    </row>
    <row r="3" spans="3:25" ht="14.45" customHeight="1">
      <c r="C3" s="300" t="s">
        <v>538</v>
      </c>
      <c r="E3" s="334">
        <f>INDEX('01_Property Summary'!$S$5:$S$21,MATCH($C$1,'01_Property Summary'!$C$5:$C$21,0))</f>
        <v>328</v>
      </c>
      <c r="F3" s="335">
        <f>'01_Assumptions'!$C$14</f>
        <v>0.1</v>
      </c>
      <c r="G3" s="335">
        <f>'01_Assumptions'!$C$15</f>
        <v>0.2</v>
      </c>
      <c r="J3" s="278" t="str">
        <f>"Gate 2 — DSCR ≥ 1.0× at stabilization ("&amp;$F$2+1&amp;"):"</f>
        <v>Gate 2 — DSCR ≥ 1.0× at stabilization (2028):</v>
      </c>
      <c r="M3" s="451" t="str">
        <f>_xlfn.LET(_xlpm.debt,INDEX($48:$48,MATCH(($F$2+1),$12:$12,0)),_xlpm.dscr,INDEX($50:$50,MATCH(($F$2+1),$12:$12,0)),
IF(_xlpm.debt=0,"PASS — no debt svc",IF(IFERROR(_xlpm.dscr,0)&gt;=1,"PASS — DSCR "&amp;TEXT(IFERROR(_xlpm.dscr,0),"0.00")&amp;"x","FAIL — DSCR "&amp;TEXT(IFERROR(_xlpm.dscr,0),"0.00")&amp;"x")))</f>
        <v>PASS — DSCR 1.53x</v>
      </c>
      <c r="N3" s="424"/>
      <c r="O3" s="424"/>
      <c r="S3" s="6"/>
    </row>
    <row r="4" spans="3:25" ht="14.45" customHeight="1">
      <c r="C4" s="300" t="s">
        <v>539</v>
      </c>
      <c r="E4" s="336">
        <f>INDEX('02_Rent Engine'!$H$5:$H$21,MATCH($C$1,'02_Rent Engine'!$B$5:$B$21,0))</f>
        <v>965.66876524390239</v>
      </c>
      <c r="F4" s="336">
        <f>INDEX('02_Rent Engine'!$J$5:$J$21,MATCH($C$1,'02_Rent Engine'!$B$5:$B$21,0))</f>
        <v>3086.25</v>
      </c>
      <c r="G4" s="336">
        <f>($F$3*$F$4)+((1-$F$3)*$E$4)</f>
        <v>1177.7268887195123</v>
      </c>
      <c r="J4" s="280" t="s">
        <v>309</v>
      </c>
      <c r="M4" s="451" t="str">
        <f>IF(AND($J$52&gt;0,$O$52&gt;0),"PASS — AFFO $"&amp;TEXT($J$52,"#,##0")&amp;" (2030) / $"&amp;TEXT($O$52,"#,##0")&amp;" (2035)","FAIL — AFFO $"&amp;TEXT($J$52,"#,##0")&amp;" (2030) / $"&amp;TEXT($O$52,"#,##0")&amp;" (2035)")</f>
        <v>PASS — AFFO $1,851,227 (2030) / $2,347,928 (2035)</v>
      </c>
      <c r="N4" s="424"/>
      <c r="O4" s="424"/>
      <c r="S4" s="6"/>
    </row>
    <row r="5" spans="3:25" ht="14.45" customHeight="1">
      <c r="C5" s="337" t="str">
        <f>"Rent Growth — (pre / post Op. Agrmt. Expiry: "&amp;$G$2&amp;")"</f>
        <v>Rent Growth — (pre / post Op. Agrmt. Expiry: 2057)</v>
      </c>
      <c r="E5" s="338">
        <f>'01_Assumptions'!$C$5</f>
        <v>0.02</v>
      </c>
      <c r="F5" s="338">
        <f>'01_Assumptions'!$C$6</f>
        <v>0.02</v>
      </c>
      <c r="G5" s="32"/>
      <c r="L5" s="6"/>
      <c r="M5" s="6"/>
      <c r="R5" s="6"/>
      <c r="S5" s="6"/>
    </row>
    <row r="6" spans="3:25" ht="13.9" customHeight="1">
      <c r="C6" s="337" t="str">
        <f>"OpEx Growth — (pre / post Op. Agrmt. Expiry: "&amp;$G$2&amp;")"</f>
        <v>OpEx Growth — (pre / post Op. Agrmt. Expiry: 2057)</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CMHC</v>
      </c>
      <c r="F8" s="336">
        <f>INDEX('01_Property Summary'!$Q$5:$Q$21,MATCH($C$1,'01_Property Summary'!$C$5:$C$21,0))</f>
        <v>0</v>
      </c>
      <c r="G8" s="334">
        <f>INDEX('02_Debt Engine'!$I$19:$I$35,MATCH($C$1,'02_Debt Engine'!$B$19:$B$35,0))</f>
        <v>2027</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0</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0</v>
      </c>
      <c r="G13" s="283">
        <f t="shared" si="1"/>
        <v>4822808.5685735997</v>
      </c>
      <c r="H13" s="283">
        <f t="shared" si="1"/>
        <v>4919264.7399450717</v>
      </c>
      <c r="I13" s="283">
        <f t="shared" si="1"/>
        <v>5017650.034743974</v>
      </c>
      <c r="J13" s="283">
        <f t="shared" si="1"/>
        <v>5118003.0354388533</v>
      </c>
      <c r="K13" s="283">
        <f t="shared" si="1"/>
        <v>5220363.0961476304</v>
      </c>
      <c r="L13" s="283">
        <f t="shared" si="1"/>
        <v>5324770.3580705822</v>
      </c>
      <c r="M13" s="283">
        <f t="shared" si="1"/>
        <v>5431265.7652319949</v>
      </c>
      <c r="N13" s="283">
        <f t="shared" si="1"/>
        <v>5539891.0805366337</v>
      </c>
      <c r="O13" s="283">
        <f t="shared" si="1"/>
        <v>5650688.9021473676</v>
      </c>
      <c r="P13" s="283">
        <f t="shared" si="1"/>
        <v>5763702.6801903136</v>
      </c>
      <c r="Q13" s="283">
        <f t="shared" si="1"/>
        <v>5878976.7337941211</v>
      </c>
      <c r="R13" s="283">
        <f t="shared" si="1"/>
        <v>5996556.2684700023</v>
      </c>
      <c r="S13" s="283">
        <f t="shared" si="1"/>
        <v>6116487.3938394031</v>
      </c>
      <c r="T13" s="283">
        <f t="shared" si="1"/>
        <v>6238817.1417161897</v>
      </c>
      <c r="U13" s="283">
        <f t="shared" si="1"/>
        <v>6363593.4845505143</v>
      </c>
      <c r="V13" s="283">
        <f t="shared" si="1"/>
        <v>6490865.3542415258</v>
      </c>
      <c r="W13" s="283">
        <f t="shared" si="1"/>
        <v>6620682.6613263562</v>
      </c>
      <c r="X13" s="283">
        <f t="shared" si="1"/>
        <v>6753096.3145528827</v>
      </c>
      <c r="Y13" s="283">
        <f t="shared" si="1"/>
        <v>6888158.2408439405</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53038.551599999999</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54099.322631999996</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55181.309084640001</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56284.935266332803</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57410.633971659459</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58558.846651092637</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59730.023584114497</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60924.624055796783</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62143.116536912719</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63385.978867650978</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64653.698445003982</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65946.772413904066</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67265.707862182157</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68611.0220194258</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69983.242459814297</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71382.907309010596</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72810.565455190808</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74266.776764294627</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75752.112299580505</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107709.4908</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109863.680616</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112060.95422832</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114302.1733128864</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116588.21677914413</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118919.98111472699</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121298.38073702154</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123724.34835176198</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126198.83531879722</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128722.81202517316</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131297.2682656766</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133923.21363099015</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136601.67790360996</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139333.71146168216</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142120.38569091578</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144962.79340473411</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147862.04927282879</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150819.29025828539</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153835.67606345104</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row>
    <row r="19" spans="3:25" ht="13.5" customHeight="1">
      <c r="C19" s="3" t="s">
        <v>336</v>
      </c>
      <c r="E19" s="285">
        <f t="shared" ref="E19:Y19" si="2">SUM(E14:E18)</f>
        <v>0</v>
      </c>
      <c r="F19" s="285">
        <f t="shared" si="2"/>
        <v>0</v>
      </c>
      <c r="G19" s="285">
        <f t="shared" si="2"/>
        <v>160748.04240000001</v>
      </c>
      <c r="H19" s="285">
        <f t="shared" si="2"/>
        <v>163963.00324799999</v>
      </c>
      <c r="I19" s="285">
        <f t="shared" si="2"/>
        <v>167242.26331295999</v>
      </c>
      <c r="J19" s="285">
        <f t="shared" si="2"/>
        <v>170587.1085792192</v>
      </c>
      <c r="K19" s="285">
        <f t="shared" si="2"/>
        <v>173998.8507508036</v>
      </c>
      <c r="L19" s="285">
        <f t="shared" si="2"/>
        <v>177478.82776581962</v>
      </c>
      <c r="M19" s="285">
        <f t="shared" si="2"/>
        <v>181028.40432113604</v>
      </c>
      <c r="N19" s="285">
        <f t="shared" si="2"/>
        <v>184648.97240755876</v>
      </c>
      <c r="O19" s="285">
        <f t="shared" si="2"/>
        <v>188341.95185570995</v>
      </c>
      <c r="P19" s="285">
        <f t="shared" si="2"/>
        <v>192108.79089282412</v>
      </c>
      <c r="Q19" s="285">
        <f t="shared" si="2"/>
        <v>195950.96671068057</v>
      </c>
      <c r="R19" s="285">
        <f t="shared" si="2"/>
        <v>199869.98604489421</v>
      </c>
      <c r="S19" s="285">
        <f t="shared" si="2"/>
        <v>203867.3857657921</v>
      </c>
      <c r="T19" s="285">
        <f t="shared" si="2"/>
        <v>207944.73348110798</v>
      </c>
      <c r="U19" s="285">
        <f t="shared" si="2"/>
        <v>212103.62815073007</v>
      </c>
      <c r="V19" s="285">
        <f t="shared" si="2"/>
        <v>216345.70071374471</v>
      </c>
      <c r="W19" s="285">
        <f t="shared" si="2"/>
        <v>220672.6147280196</v>
      </c>
      <c r="X19" s="285">
        <f t="shared" si="2"/>
        <v>225086.06702258001</v>
      </c>
      <c r="Y19" s="285">
        <f t="shared" si="2"/>
        <v>229587.78836303155</v>
      </c>
    </row>
    <row r="20" spans="3:25" ht="13.5" customHeight="1">
      <c r="C20" s="10" t="s">
        <v>337</v>
      </c>
      <c r="E20" s="283">
        <f t="shared" ref="E20:Y20" si="3">E13+E19</f>
        <v>0</v>
      </c>
      <c r="F20" s="283">
        <f t="shared" si="3"/>
        <v>0</v>
      </c>
      <c r="G20" s="283">
        <f t="shared" si="3"/>
        <v>4983556.6109735994</v>
      </c>
      <c r="H20" s="283">
        <f t="shared" si="3"/>
        <v>5083227.7431930713</v>
      </c>
      <c r="I20" s="283">
        <f t="shared" si="3"/>
        <v>5184892.298056934</v>
      </c>
      <c r="J20" s="283">
        <f t="shared" si="3"/>
        <v>5288590.1440180726</v>
      </c>
      <c r="K20" s="283">
        <f t="shared" si="3"/>
        <v>5394361.9468984343</v>
      </c>
      <c r="L20" s="283">
        <f t="shared" si="3"/>
        <v>5502249.1858364018</v>
      </c>
      <c r="M20" s="283">
        <f t="shared" si="3"/>
        <v>5612294.1695531309</v>
      </c>
      <c r="N20" s="283">
        <f t="shared" si="3"/>
        <v>5724540.0529441927</v>
      </c>
      <c r="O20" s="283">
        <f t="shared" si="3"/>
        <v>5839030.8540030774</v>
      </c>
      <c r="P20" s="283">
        <f t="shared" si="3"/>
        <v>5955811.4710831381</v>
      </c>
      <c r="Q20" s="283">
        <f t="shared" si="3"/>
        <v>6074927.7005048012</v>
      </c>
      <c r="R20" s="283">
        <f t="shared" si="3"/>
        <v>6196426.2545148963</v>
      </c>
      <c r="S20" s="283">
        <f t="shared" si="3"/>
        <v>6320354.7796051949</v>
      </c>
      <c r="T20" s="283">
        <f t="shared" si="3"/>
        <v>6446761.8751972979</v>
      </c>
      <c r="U20" s="283">
        <f t="shared" si="3"/>
        <v>6575697.1127012447</v>
      </c>
      <c r="V20" s="283">
        <f t="shared" si="3"/>
        <v>6707211.0549552701</v>
      </c>
      <c r="W20" s="283">
        <f t="shared" si="3"/>
        <v>6841355.2760543758</v>
      </c>
      <c r="X20" s="283">
        <f t="shared" si="3"/>
        <v>6978182.3815754624</v>
      </c>
      <c r="Y20" s="283">
        <f t="shared" si="3"/>
        <v>7117746.0292069716</v>
      </c>
    </row>
    <row r="21" spans="3:25" ht="13.5" customHeight="1">
      <c r="C21" s="11" t="s">
        <v>338</v>
      </c>
      <c r="E21" s="284">
        <f t="shared" ref="E21:Y21" si="4">-E20*$E$7</f>
        <v>0</v>
      </c>
      <c r="F21" s="284">
        <f t="shared" si="4"/>
        <v>0</v>
      </c>
      <c r="G21" s="284">
        <f t="shared" si="4"/>
        <v>-99671.132219471983</v>
      </c>
      <c r="H21" s="284">
        <f t="shared" si="4"/>
        <v>-101664.55486386143</v>
      </c>
      <c r="I21" s="284">
        <f t="shared" si="4"/>
        <v>-103697.84596113868</v>
      </c>
      <c r="J21" s="284">
        <f t="shared" si="4"/>
        <v>-105771.80288036146</v>
      </c>
      <c r="K21" s="284">
        <f t="shared" si="4"/>
        <v>-107887.23893796869</v>
      </c>
      <c r="L21" s="284">
        <f t="shared" si="4"/>
        <v>-110044.98371672803</v>
      </c>
      <c r="M21" s="284">
        <f t="shared" si="4"/>
        <v>-112245.88339106261</v>
      </c>
      <c r="N21" s="284">
        <f t="shared" si="4"/>
        <v>-114490.80105888385</v>
      </c>
      <c r="O21" s="284">
        <f t="shared" si="4"/>
        <v>-116780.61708006155</v>
      </c>
      <c r="P21" s="284">
        <f t="shared" si="4"/>
        <v>-119116.22942166276</v>
      </c>
      <c r="Q21" s="284">
        <f t="shared" si="4"/>
        <v>-121498.55401009602</v>
      </c>
      <c r="R21" s="284">
        <f t="shared" si="4"/>
        <v>-123928.52509029793</v>
      </c>
      <c r="S21" s="284">
        <f t="shared" si="4"/>
        <v>-126407.0955921039</v>
      </c>
      <c r="T21" s="284">
        <f t="shared" si="4"/>
        <v>-128935.23750394596</v>
      </c>
      <c r="U21" s="284">
        <f t="shared" si="4"/>
        <v>-131513.94225402491</v>
      </c>
      <c r="V21" s="284">
        <f t="shared" si="4"/>
        <v>-134144.2210991054</v>
      </c>
      <c r="W21" s="284">
        <f t="shared" si="4"/>
        <v>-136827.10552108751</v>
      </c>
      <c r="X21" s="284">
        <f t="shared" si="4"/>
        <v>-139563.64763150926</v>
      </c>
      <c r="Y21" s="284">
        <f t="shared" si="4"/>
        <v>-142354.92058413944</v>
      </c>
    </row>
    <row r="22" spans="3:25" ht="13.5" customHeight="1">
      <c r="C22" s="3" t="s">
        <v>339</v>
      </c>
      <c r="E22" s="285">
        <f t="shared" ref="E22:Y22" si="5">E20+E21</f>
        <v>0</v>
      </c>
      <c r="F22" s="285">
        <f t="shared" si="5"/>
        <v>0</v>
      </c>
      <c r="G22" s="285">
        <f t="shared" si="5"/>
        <v>4883885.4787541274</v>
      </c>
      <c r="H22" s="285">
        <f t="shared" si="5"/>
        <v>4981563.1883292096</v>
      </c>
      <c r="I22" s="285">
        <f t="shared" si="5"/>
        <v>5081194.4520957954</v>
      </c>
      <c r="J22" s="285">
        <f t="shared" si="5"/>
        <v>5182818.341137711</v>
      </c>
      <c r="K22" s="285">
        <f t="shared" si="5"/>
        <v>5286474.7079604659</v>
      </c>
      <c r="L22" s="285">
        <f t="shared" si="5"/>
        <v>5392204.2021196736</v>
      </c>
      <c r="M22" s="285">
        <f t="shared" si="5"/>
        <v>5500048.2861620681</v>
      </c>
      <c r="N22" s="285">
        <f t="shared" si="5"/>
        <v>5610049.2518853089</v>
      </c>
      <c r="O22" s="285">
        <f t="shared" si="5"/>
        <v>5722250.2369230157</v>
      </c>
      <c r="P22" s="285">
        <f t="shared" si="5"/>
        <v>5836695.241661475</v>
      </c>
      <c r="Q22" s="285">
        <f t="shared" si="5"/>
        <v>5953429.1464947052</v>
      </c>
      <c r="R22" s="285">
        <f t="shared" si="5"/>
        <v>6072497.7294245986</v>
      </c>
      <c r="S22" s="285">
        <f t="shared" si="5"/>
        <v>6193947.684013091</v>
      </c>
      <c r="T22" s="285">
        <f t="shared" si="5"/>
        <v>6317826.6376933521</v>
      </c>
      <c r="U22" s="285">
        <f t="shared" si="5"/>
        <v>6444183.1704472201</v>
      </c>
      <c r="V22" s="285">
        <f t="shared" si="5"/>
        <v>6573066.8338561645</v>
      </c>
      <c r="W22" s="285">
        <f t="shared" si="5"/>
        <v>6704528.1705332883</v>
      </c>
      <c r="X22" s="285">
        <f t="shared" si="5"/>
        <v>6838618.7339439532</v>
      </c>
      <c r="Y22" s="285">
        <f t="shared" si="5"/>
        <v>6975391.1086228322</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0</v>
      </c>
      <c r="F24" s="286">
        <f t="shared" si="7"/>
        <v>0</v>
      </c>
      <c r="G24" s="286">
        <f t="shared" si="7"/>
        <v>4883885.4787541274</v>
      </c>
      <c r="H24" s="286">
        <f t="shared" si="7"/>
        <v>4981563.1883292096</v>
      </c>
      <c r="I24" s="286">
        <f t="shared" si="7"/>
        <v>5081194.4520957954</v>
      </c>
      <c r="J24" s="286">
        <f t="shared" si="7"/>
        <v>5182818.341137711</v>
      </c>
      <c r="K24" s="286">
        <f t="shared" si="7"/>
        <v>5286474.7079604659</v>
      </c>
      <c r="L24" s="286">
        <f t="shared" si="7"/>
        <v>5392204.2021196736</v>
      </c>
      <c r="M24" s="286">
        <f t="shared" si="7"/>
        <v>5500048.2861620681</v>
      </c>
      <c r="N24" s="286">
        <f t="shared" si="7"/>
        <v>5610049.2518853089</v>
      </c>
      <c r="O24" s="286">
        <f t="shared" si="7"/>
        <v>5722250.2369230157</v>
      </c>
      <c r="P24" s="286">
        <f t="shared" si="7"/>
        <v>5836695.241661475</v>
      </c>
      <c r="Q24" s="286">
        <f t="shared" si="7"/>
        <v>5953429.1464947052</v>
      </c>
      <c r="R24" s="286">
        <f t="shared" si="7"/>
        <v>6072497.7294245986</v>
      </c>
      <c r="S24" s="286">
        <f t="shared" si="7"/>
        <v>6193947.684013091</v>
      </c>
      <c r="T24" s="286">
        <f t="shared" si="7"/>
        <v>6317826.6376933521</v>
      </c>
      <c r="U24" s="286">
        <f t="shared" si="7"/>
        <v>6444183.1704472201</v>
      </c>
      <c r="V24" s="286">
        <f t="shared" si="7"/>
        <v>6573066.8338561645</v>
      </c>
      <c r="W24" s="286">
        <f t="shared" si="7"/>
        <v>6704528.1705332883</v>
      </c>
      <c r="X24" s="286">
        <f t="shared" si="7"/>
        <v>6838618.7339439532</v>
      </c>
      <c r="Y24" s="286">
        <f t="shared" si="7"/>
        <v>6975391.1086228322</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0</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0</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190794.24000000002</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198426.00960000002</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206363.04998400004</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214617.57198336007</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223202.27486269447</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232130.36585720221</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241415.58049149034</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251072.20371114998</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257349.00880392871</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263782.73402402696</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270377.30237462762</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277136.73493399326</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284065.15330734308</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291166.78214002663</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298445.95169352728</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305907.10048586543</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313554.77799801202</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321393.64744796237</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329428.48863416142</v>
      </c>
    </row>
    <row r="39" spans="3:25" ht="13.15" customHeight="1">
      <c r="C39" s="14" t="s">
        <v>355</v>
      </c>
      <c r="E39" s="286">
        <f t="shared" ref="E39:Y39" si="8">SUM(E27:E38)</f>
        <v>0</v>
      </c>
      <c r="F39" s="286">
        <f t="shared" si="8"/>
        <v>0</v>
      </c>
      <c r="G39" s="286">
        <f t="shared" si="8"/>
        <v>190794.24000000002</v>
      </c>
      <c r="H39" s="286">
        <f t="shared" si="8"/>
        <v>198426.00960000002</v>
      </c>
      <c r="I39" s="286">
        <f t="shared" si="8"/>
        <v>206363.04998400004</v>
      </c>
      <c r="J39" s="286">
        <f t="shared" si="8"/>
        <v>214617.57198336007</v>
      </c>
      <c r="K39" s="286">
        <f t="shared" si="8"/>
        <v>223202.27486269447</v>
      </c>
      <c r="L39" s="286">
        <f t="shared" si="8"/>
        <v>232130.36585720221</v>
      </c>
      <c r="M39" s="286">
        <f t="shared" si="8"/>
        <v>241415.58049149034</v>
      </c>
      <c r="N39" s="286">
        <f t="shared" si="8"/>
        <v>251072.20371114998</v>
      </c>
      <c r="O39" s="286">
        <f t="shared" si="8"/>
        <v>257349.00880392871</v>
      </c>
      <c r="P39" s="286">
        <f t="shared" si="8"/>
        <v>263782.73402402696</v>
      </c>
      <c r="Q39" s="286">
        <f t="shared" si="8"/>
        <v>270377.30237462762</v>
      </c>
      <c r="R39" s="286">
        <f t="shared" si="8"/>
        <v>277136.73493399326</v>
      </c>
      <c r="S39" s="286">
        <f t="shared" si="8"/>
        <v>284065.15330734308</v>
      </c>
      <c r="T39" s="286">
        <f t="shared" si="8"/>
        <v>291166.78214002663</v>
      </c>
      <c r="U39" s="286">
        <f t="shared" si="8"/>
        <v>298445.95169352728</v>
      </c>
      <c r="V39" s="286">
        <f t="shared" si="8"/>
        <v>305907.10048586543</v>
      </c>
      <c r="W39" s="286">
        <f t="shared" si="8"/>
        <v>313554.77799801202</v>
      </c>
      <c r="X39" s="286">
        <f t="shared" si="8"/>
        <v>321393.64744796237</v>
      </c>
      <c r="Y39" s="286">
        <f t="shared" si="8"/>
        <v>329428.48863416142</v>
      </c>
    </row>
    <row r="40" spans="3:25" ht="7.15" customHeight="1"/>
    <row r="41" spans="3:25" ht="13.5" customHeight="1">
      <c r="C41" s="15" t="s">
        <v>356</v>
      </c>
      <c r="D41" s="8"/>
      <c r="E41" s="287">
        <f t="shared" ref="E41:Y41" si="9">E24-E39</f>
        <v>0</v>
      </c>
      <c r="F41" s="287">
        <f t="shared" si="9"/>
        <v>0</v>
      </c>
      <c r="G41" s="287">
        <f t="shared" si="9"/>
        <v>4693091.2387541272</v>
      </c>
      <c r="H41" s="287">
        <f t="shared" si="9"/>
        <v>4783137.1787292091</v>
      </c>
      <c r="I41" s="287">
        <f t="shared" si="9"/>
        <v>4874831.4021117957</v>
      </c>
      <c r="J41" s="287">
        <f t="shared" si="9"/>
        <v>4968200.7691543512</v>
      </c>
      <c r="K41" s="287">
        <f t="shared" si="9"/>
        <v>5063272.4330977714</v>
      </c>
      <c r="L41" s="287">
        <f t="shared" si="9"/>
        <v>5160073.836262471</v>
      </c>
      <c r="M41" s="287">
        <f t="shared" si="9"/>
        <v>5258632.7056705775</v>
      </c>
      <c r="N41" s="287">
        <f t="shared" si="9"/>
        <v>5358977.0481741587</v>
      </c>
      <c r="O41" s="287">
        <f t="shared" si="9"/>
        <v>5464901.2281190874</v>
      </c>
      <c r="P41" s="287">
        <f t="shared" si="9"/>
        <v>5572912.5076374477</v>
      </c>
      <c r="Q41" s="287">
        <f t="shared" si="9"/>
        <v>5683051.8441200778</v>
      </c>
      <c r="R41" s="287">
        <f t="shared" si="9"/>
        <v>5795360.9944906058</v>
      </c>
      <c r="S41" s="287">
        <f t="shared" si="9"/>
        <v>5909882.5307057481</v>
      </c>
      <c r="T41" s="287">
        <f t="shared" si="9"/>
        <v>6026659.8555533253</v>
      </c>
      <c r="U41" s="287">
        <f t="shared" si="9"/>
        <v>6145737.2187536927</v>
      </c>
      <c r="V41" s="287">
        <f t="shared" si="9"/>
        <v>6267159.7333702995</v>
      </c>
      <c r="W41" s="287">
        <f t="shared" si="9"/>
        <v>6390973.3925352767</v>
      </c>
      <c r="X41" s="287">
        <f t="shared" si="9"/>
        <v>6517225.0864959909</v>
      </c>
      <c r="Y41" s="287">
        <f t="shared" si="9"/>
        <v>6645962.6199886706</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REFI YR.</v>
      </c>
      <c r="H43" s="288" t="str">
        <f t="shared" si="10"/>
        <v/>
      </c>
      <c r="I43" s="288" t="str">
        <f t="shared" si="10"/>
        <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0</v>
      </c>
      <c r="F44" s="283">
        <f t="shared" si="11"/>
        <v>0</v>
      </c>
      <c r="G44" s="283">
        <f t="shared" si="11"/>
        <v>51187.68</v>
      </c>
      <c r="H44" s="283">
        <f t="shared" si="11"/>
        <v>52211.433599999997</v>
      </c>
      <c r="I44" s="283">
        <f t="shared" si="11"/>
        <v>53255.662272000001</v>
      </c>
      <c r="J44" s="283">
        <f t="shared" si="11"/>
        <v>54320.775517440001</v>
      </c>
      <c r="K44" s="283">
        <f t="shared" si="11"/>
        <v>55407.191027788802</v>
      </c>
      <c r="L44" s="283">
        <f t="shared" si="11"/>
        <v>56515.334848344566</v>
      </c>
      <c r="M44" s="283">
        <f t="shared" si="11"/>
        <v>57645.641545311461</v>
      </c>
      <c r="N44" s="283">
        <f t="shared" si="11"/>
        <v>58798.554376217697</v>
      </c>
      <c r="O44" s="283">
        <f t="shared" si="11"/>
        <v>59974.525463742051</v>
      </c>
      <c r="P44" s="283">
        <f t="shared" si="11"/>
        <v>61174.015973016882</v>
      </c>
      <c r="Q44" s="283">
        <f t="shared" si="11"/>
        <v>62397.496292477226</v>
      </c>
      <c r="R44" s="283">
        <f t="shared" si="11"/>
        <v>63645.446218326768</v>
      </c>
      <c r="S44" s="283">
        <f t="shared" si="11"/>
        <v>64918.355142693312</v>
      </c>
      <c r="T44" s="283">
        <f t="shared" si="11"/>
        <v>66216.722245547164</v>
      </c>
      <c r="U44" s="283">
        <f t="shared" si="11"/>
        <v>67541.056690458106</v>
      </c>
      <c r="V44" s="283">
        <f t="shared" si="11"/>
        <v>68891.877824267285</v>
      </c>
      <c r="W44" s="283">
        <f t="shared" si="11"/>
        <v>70269.715380752619</v>
      </c>
      <c r="X44" s="283">
        <f t="shared" si="11"/>
        <v>71675.109688367666</v>
      </c>
      <c r="Y44" s="283">
        <f t="shared" si="11"/>
        <v>73108.611882135025</v>
      </c>
    </row>
    <row r="45" spans="3:25" ht="13.5" customHeight="1">
      <c r="C45" s="15" t="s">
        <v>359</v>
      </c>
      <c r="D45" s="8"/>
      <c r="E45" s="287">
        <f t="shared" ref="E45:Y45" si="12">E41-E44</f>
        <v>0</v>
      </c>
      <c r="F45" s="287">
        <f t="shared" si="12"/>
        <v>0</v>
      </c>
      <c r="G45" s="287">
        <f t="shared" si="12"/>
        <v>4641903.5587541275</v>
      </c>
      <c r="H45" s="287">
        <f t="shared" si="12"/>
        <v>4730925.745129209</v>
      </c>
      <c r="I45" s="287">
        <f t="shared" si="12"/>
        <v>4821575.739839796</v>
      </c>
      <c r="J45" s="287">
        <f t="shared" si="12"/>
        <v>4913879.9936369108</v>
      </c>
      <c r="K45" s="287">
        <f t="shared" si="12"/>
        <v>5007865.2420699829</v>
      </c>
      <c r="L45" s="287">
        <f t="shared" si="12"/>
        <v>5103558.5014141267</v>
      </c>
      <c r="M45" s="287">
        <f t="shared" si="12"/>
        <v>5200987.0641252659</v>
      </c>
      <c r="N45" s="287">
        <f t="shared" si="12"/>
        <v>5300178.4937979411</v>
      </c>
      <c r="O45" s="287">
        <f t="shared" si="12"/>
        <v>5404926.7026553452</v>
      </c>
      <c r="P45" s="287">
        <f t="shared" si="12"/>
        <v>5511738.4916644311</v>
      </c>
      <c r="Q45" s="287">
        <f t="shared" si="12"/>
        <v>5620654.3478276003</v>
      </c>
      <c r="R45" s="287">
        <f t="shared" si="12"/>
        <v>5731715.5482722791</v>
      </c>
      <c r="S45" s="287">
        <f t="shared" si="12"/>
        <v>5844964.1755630551</v>
      </c>
      <c r="T45" s="287">
        <f t="shared" si="12"/>
        <v>5960443.1333077783</v>
      </c>
      <c r="U45" s="287">
        <f t="shared" si="12"/>
        <v>6078196.1620632345</v>
      </c>
      <c r="V45" s="287">
        <f t="shared" si="12"/>
        <v>6198267.8555460321</v>
      </c>
      <c r="W45" s="287">
        <f t="shared" si="12"/>
        <v>6320703.6771545243</v>
      </c>
      <c r="X45" s="287">
        <f t="shared" si="12"/>
        <v>6445549.9768076232</v>
      </c>
      <c r="Y45" s="287">
        <f t="shared" si="12"/>
        <v>6572854.0081065353</v>
      </c>
    </row>
    <row r="46" spans="3:25" ht="7.15" customHeight="1"/>
    <row r="47" spans="3:25" ht="13.5" customHeight="1">
      <c r="C47" s="5" t="s">
        <v>360</v>
      </c>
      <c r="E47" s="288" t="str">
        <f t="shared" ref="E47:Y47" si="13">IF($E$2="No Refi","",IF(E$12=$E$2,"REFI YR.",""))</f>
        <v/>
      </c>
      <c r="F47" s="288" t="str">
        <f t="shared" si="13"/>
        <v/>
      </c>
      <c r="G47" s="289" t="str">
        <f t="shared" si="13"/>
        <v>REFI YR.</v>
      </c>
      <c r="H47" s="288" t="str">
        <f t="shared" si="13"/>
        <v/>
      </c>
      <c r="I47" s="288" t="str">
        <f t="shared" si="13"/>
        <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IFERROR(INDEX('02_Debt Engine'!$F$46:$Z$62,MATCH($C$1,'02_Debt Engine'!$B$19:$B$35,0),MATCH(E$12,'02_Debt Engine'!$F$45:$Z$45,0)),0)</f>
        <v>7166391.2775474079</v>
      </c>
      <c r="F48" s="286">
        <f>IFERROR(INDEX('02_Debt Engine'!$F$46:$Z$62,MATCH($C$1,'02_Debt Engine'!$B$19:$B$35,0),MATCH(F$12,'02_Debt Engine'!$F$45:$Z$45,0)),0)</f>
        <v>7166391.2775474079</v>
      </c>
      <c r="G48" s="286">
        <f>IFERROR(INDEX('02_Debt Engine'!$F$46:$Z$62,MATCH($C$1,'02_Debt Engine'!$B$19:$B$35,0),MATCH(G$12,'02_Debt Engine'!$F$45:$Z$45,0)),0)</f>
        <v>7166391.2775474079</v>
      </c>
      <c r="H48" s="286">
        <f>IFERROR(INDEX('02_Debt Engine'!$F$46:$Z$62,MATCH($C$1,'02_Debt Engine'!$B$19:$B$35,0),MATCH(H$12,'02_Debt Engine'!$F$45:$Z$45,0)),0)</f>
        <v>3116973.3868276179</v>
      </c>
      <c r="I48" s="286">
        <f>IFERROR(INDEX('02_Debt Engine'!$F$46:$Z$62,MATCH($C$1,'02_Debt Engine'!$B$19:$B$35,0),MATCH(I$12,'02_Debt Engine'!$F$45:$Z$45,0)),0)</f>
        <v>3116973.3868276179</v>
      </c>
      <c r="J48" s="286">
        <f>IFERROR(INDEX('02_Debt Engine'!$F$46:$Z$62,MATCH($C$1,'02_Debt Engine'!$B$19:$B$35,0),MATCH(J$12,'02_Debt Engine'!$F$45:$Z$45,0)),0)</f>
        <v>3116973.3868276179</v>
      </c>
      <c r="K48" s="286">
        <f>IFERROR(INDEX('02_Debt Engine'!$F$46:$Z$62,MATCH($C$1,'02_Debt Engine'!$B$19:$B$35,0),MATCH(K$12,'02_Debt Engine'!$F$45:$Z$45,0)),0)</f>
        <v>3116973.3868276179</v>
      </c>
      <c r="L48" s="286">
        <f>IFERROR(INDEX('02_Debt Engine'!$F$46:$Z$62,MATCH($C$1,'02_Debt Engine'!$B$19:$B$35,0),MATCH(L$12,'02_Debt Engine'!$F$45:$Z$45,0)),0)</f>
        <v>3116973.3868276179</v>
      </c>
      <c r="M48" s="286">
        <f>IFERROR(INDEX('02_Debt Engine'!$F$46:$Z$62,MATCH($C$1,'02_Debt Engine'!$B$19:$B$35,0),MATCH(M$12,'02_Debt Engine'!$F$45:$Z$45,0)),0)</f>
        <v>3116973.3868276179</v>
      </c>
      <c r="N48" s="286">
        <f>IFERROR(INDEX('02_Debt Engine'!$F$46:$Z$62,MATCH($C$1,'02_Debt Engine'!$B$19:$B$35,0),MATCH(N$12,'02_Debt Engine'!$F$45:$Z$45,0)),0)</f>
        <v>3116973.3868276179</v>
      </c>
      <c r="O48" s="286">
        <f>IFERROR(INDEX('02_Debt Engine'!$F$46:$Z$62,MATCH($C$1,'02_Debt Engine'!$B$19:$B$35,0),MATCH(O$12,'02_Debt Engine'!$F$45:$Z$45,0)),0)</f>
        <v>3116973.3868276179</v>
      </c>
      <c r="P48" s="286">
        <f>IFERROR(INDEX('02_Debt Engine'!$F$46:$Z$62,MATCH($C$1,'02_Debt Engine'!$B$19:$B$35,0),MATCH(P$12,'02_Debt Engine'!$F$45:$Z$45,0)),0)</f>
        <v>3116973.3868276179</v>
      </c>
      <c r="Q48" s="286">
        <f>IFERROR(INDEX('02_Debt Engine'!$F$46:$Z$62,MATCH($C$1,'02_Debt Engine'!$B$19:$B$35,0),MATCH(Q$12,'02_Debt Engine'!$F$45:$Z$45,0)),0)</f>
        <v>3116973.3868276179</v>
      </c>
      <c r="R48" s="286">
        <f>IFERROR(INDEX('02_Debt Engine'!$F$46:$Z$62,MATCH($C$1,'02_Debt Engine'!$B$19:$B$35,0),MATCH(R$12,'02_Debt Engine'!$F$45:$Z$45,0)),0)</f>
        <v>3116973.3868276179</v>
      </c>
      <c r="S48" s="286">
        <f>IFERROR(INDEX('02_Debt Engine'!$F$46:$Z$62,MATCH($C$1,'02_Debt Engine'!$B$19:$B$35,0),MATCH(S$12,'02_Debt Engine'!$F$45:$Z$45,0)),0)</f>
        <v>3116973.3868276179</v>
      </c>
      <c r="T48" s="286">
        <f>IFERROR(INDEX('02_Debt Engine'!$F$46:$Z$62,MATCH($C$1,'02_Debt Engine'!$B$19:$B$35,0),MATCH(T$12,'02_Debt Engine'!$F$45:$Z$45,0)),0)</f>
        <v>3116973.3868276179</v>
      </c>
      <c r="U48" s="286">
        <f>IFERROR(INDEX('02_Debt Engine'!$F$46:$Z$62,MATCH($C$1,'02_Debt Engine'!$B$19:$B$35,0),MATCH(U$12,'02_Debt Engine'!$F$45:$Z$45,0)),0)</f>
        <v>3116973.3868276179</v>
      </c>
      <c r="V48" s="286">
        <f>IFERROR(INDEX('02_Debt Engine'!$F$46:$Z$62,MATCH($C$1,'02_Debt Engine'!$B$19:$B$35,0),MATCH(V$12,'02_Debt Engine'!$F$45:$Z$45,0)),0)</f>
        <v>3116973.3868276179</v>
      </c>
      <c r="W48" s="286">
        <f>IFERROR(INDEX('02_Debt Engine'!$F$46:$Z$62,MATCH($C$1,'02_Debt Engine'!$B$19:$B$35,0),MATCH(W$12,'02_Debt Engine'!$F$45:$Z$45,0)),0)</f>
        <v>3116973.3868276179</v>
      </c>
      <c r="X48" s="286">
        <f>IFERROR(INDEX('02_Debt Engine'!$F$46:$Z$62,MATCH($C$1,'02_Debt Engine'!$B$19:$B$35,0),MATCH(X$12,'02_Debt Engine'!$F$45:$Z$45,0)),0)</f>
        <v>3116973.3868276179</v>
      </c>
      <c r="Y48" s="286">
        <f>IFERROR(INDEX('02_Debt Engine'!$F$46:$Z$62,MATCH($C$1,'02_Debt Engine'!$B$19:$B$35,0),MATCH(Y$12,'02_Debt Engine'!$F$45:$Z$45,0)),0)</f>
        <v>3116973.3868276179</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0</v>
      </c>
      <c r="F50" s="290">
        <f t="shared" si="14"/>
        <v>0</v>
      </c>
      <c r="G50" s="290">
        <f t="shared" si="14"/>
        <v>0.65487510477662181</v>
      </c>
      <c r="H50" s="290">
        <f t="shared" si="14"/>
        <v>1.5345454019411355</v>
      </c>
      <c r="I50" s="290">
        <f t="shared" si="14"/>
        <v>1.5639631132921812</v>
      </c>
      <c r="J50" s="290">
        <f t="shared" si="14"/>
        <v>1.5939182510027361</v>
      </c>
      <c r="K50" s="290">
        <f t="shared" si="14"/>
        <v>1.6244195264852905</v>
      </c>
      <c r="L50" s="290">
        <f t="shared" si="14"/>
        <v>1.6554757438959955</v>
      </c>
      <c r="M50" s="290">
        <f t="shared" si="14"/>
        <v>1.6870957987301554</v>
      </c>
      <c r="N50" s="290">
        <f t="shared" si="14"/>
        <v>1.7192886762592476</v>
      </c>
      <c r="O50" s="290">
        <f t="shared" si="14"/>
        <v>1.7532716997886002</v>
      </c>
      <c r="P50" s="290">
        <f t="shared" si="14"/>
        <v>1.787924315038643</v>
      </c>
      <c r="Q50" s="290">
        <f t="shared" si="14"/>
        <v>1.8232596621250443</v>
      </c>
      <c r="R50" s="290">
        <f t="shared" si="14"/>
        <v>1.8592911376728141</v>
      </c>
      <c r="S50" s="290">
        <f t="shared" si="14"/>
        <v>1.896032399789171</v>
      </c>
      <c r="T50" s="290">
        <f t="shared" si="14"/>
        <v>1.9334973731319272</v>
      </c>
      <c r="U50" s="290">
        <f t="shared" si="14"/>
        <v>1.9717002540752133</v>
      </c>
      <c r="V50" s="290">
        <f t="shared" si="14"/>
        <v>2.0106555159743813</v>
      </c>
      <c r="W50" s="290">
        <f t="shared" si="14"/>
        <v>2.0503779145319747</v>
      </c>
      <c r="X50" s="290">
        <f t="shared" si="14"/>
        <v>2.0908824932666716</v>
      </c>
      <c r="Y50" s="290">
        <f t="shared" si="14"/>
        <v>2.132184589087164</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-7166391.2775474079</v>
      </c>
      <c r="F52" s="291">
        <f t="shared" si="15"/>
        <v>-7166391.2775474079</v>
      </c>
      <c r="G52" s="291">
        <f t="shared" si="15"/>
        <v>-2473300.0387932807</v>
      </c>
      <c r="H52" s="291">
        <f t="shared" si="15"/>
        <v>1666163.7919015912</v>
      </c>
      <c r="I52" s="291">
        <f t="shared" si="15"/>
        <v>1757858.0152841778</v>
      </c>
      <c r="J52" s="291">
        <f t="shared" si="15"/>
        <v>1851227.3823267333</v>
      </c>
      <c r="K52" s="291">
        <f t="shared" si="15"/>
        <v>1946299.0462701535</v>
      </c>
      <c r="L52" s="291">
        <f t="shared" si="15"/>
        <v>2043100.4494348532</v>
      </c>
      <c r="M52" s="291">
        <f t="shared" si="15"/>
        <v>2141659.3188429596</v>
      </c>
      <c r="N52" s="291">
        <f t="shared" si="15"/>
        <v>2242003.6613465408</v>
      </c>
      <c r="O52" s="291">
        <f t="shared" si="15"/>
        <v>2347927.8412914695</v>
      </c>
      <c r="P52" s="291">
        <f t="shared" si="15"/>
        <v>2455939.1208098298</v>
      </c>
      <c r="Q52" s="291">
        <f t="shared" si="15"/>
        <v>2566078.4572924599</v>
      </c>
      <c r="R52" s="291">
        <f t="shared" si="15"/>
        <v>2678387.6076629879</v>
      </c>
      <c r="S52" s="291">
        <f t="shared" si="15"/>
        <v>2792909.1438781302</v>
      </c>
      <c r="T52" s="291">
        <f t="shared" si="15"/>
        <v>2909686.4687257074</v>
      </c>
      <c r="U52" s="291">
        <f t="shared" si="15"/>
        <v>3028763.8319260748</v>
      </c>
      <c r="V52" s="291">
        <f t="shared" si="15"/>
        <v>3150186.3465426816</v>
      </c>
      <c r="W52" s="291">
        <f t="shared" si="15"/>
        <v>3274000.0057076588</v>
      </c>
      <c r="X52" s="291">
        <f t="shared" si="15"/>
        <v>3400251.699668373</v>
      </c>
      <c r="Y52" s="291">
        <f t="shared" si="15"/>
        <v>3528989.2331610527</v>
      </c>
    </row>
    <row r="53" spans="3:25" ht="7.15" customHeight="1">
      <c r="C53" s="14"/>
      <c r="D53" s="17"/>
    </row>
    <row r="54" spans="3:25" ht="13.5" customHeight="1">
      <c r="C54" s="15" t="s">
        <v>363</v>
      </c>
      <c r="D54" s="20"/>
      <c r="E54" s="292">
        <f t="shared" ref="E54:Y54" si="16">IF(E52&lt;0,0,E52*$G$7)</f>
        <v>0</v>
      </c>
      <c r="F54" s="292">
        <f t="shared" si="16"/>
        <v>0</v>
      </c>
      <c r="G54" s="292">
        <f t="shared" si="16"/>
        <v>0</v>
      </c>
      <c r="H54" s="292">
        <f t="shared" si="16"/>
        <v>999698.27514095465</v>
      </c>
      <c r="I54" s="292">
        <f t="shared" si="16"/>
        <v>1054714.8091705067</v>
      </c>
      <c r="J54" s="292">
        <f t="shared" si="16"/>
        <v>1110736.42939604</v>
      </c>
      <c r="K54" s="292">
        <f t="shared" si="16"/>
        <v>1167779.4277620921</v>
      </c>
      <c r="L54" s="292">
        <f t="shared" si="16"/>
        <v>1225860.2696609118</v>
      </c>
      <c r="M54" s="292">
        <f t="shared" si="16"/>
        <v>1284995.5913057758</v>
      </c>
      <c r="N54" s="292">
        <f t="shared" si="16"/>
        <v>1345202.1968079244</v>
      </c>
      <c r="O54" s="292">
        <f t="shared" si="16"/>
        <v>1408756.7047748817</v>
      </c>
      <c r="P54" s="292">
        <f t="shared" si="16"/>
        <v>1473563.4724858978</v>
      </c>
      <c r="Q54" s="292">
        <f t="shared" si="16"/>
        <v>1539647.074375476</v>
      </c>
      <c r="R54" s="292">
        <f t="shared" si="16"/>
        <v>1607032.5645977927</v>
      </c>
      <c r="S54" s="292">
        <f t="shared" si="16"/>
        <v>1675745.4863268782</v>
      </c>
      <c r="T54" s="292">
        <f t="shared" si="16"/>
        <v>1745811.8812354244</v>
      </c>
      <c r="U54" s="292">
        <f t="shared" si="16"/>
        <v>1817258.2991556448</v>
      </c>
      <c r="V54" s="292">
        <f t="shared" si="16"/>
        <v>1890111.8079256089</v>
      </c>
      <c r="W54" s="292">
        <f t="shared" si="16"/>
        <v>1964400.0034245951</v>
      </c>
      <c r="X54" s="292">
        <f t="shared" si="16"/>
        <v>2040151.0198010236</v>
      </c>
      <c r="Y54" s="292">
        <f t="shared" si="16"/>
        <v>2117393.5398966316</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-7166391.2775474079</v>
      </c>
      <c r="F56" s="291">
        <f t="shared" si="17"/>
        <v>-7166391.2775474079</v>
      </c>
      <c r="G56" s="291">
        <f t="shared" si="17"/>
        <v>-2473300.0387932807</v>
      </c>
      <c r="H56" s="291">
        <f t="shared" si="17"/>
        <v>666465.51676063659</v>
      </c>
      <c r="I56" s="291">
        <f t="shared" si="17"/>
        <v>703143.20611367119</v>
      </c>
      <c r="J56" s="291">
        <f t="shared" si="17"/>
        <v>740490.95293069328</v>
      </c>
      <c r="K56" s="291">
        <f t="shared" si="17"/>
        <v>778519.61850806139</v>
      </c>
      <c r="L56" s="291">
        <f t="shared" si="17"/>
        <v>817240.1797739414</v>
      </c>
      <c r="M56" s="291">
        <f t="shared" si="17"/>
        <v>856663.72753718379</v>
      </c>
      <c r="N56" s="291">
        <f t="shared" si="17"/>
        <v>896801.46453861636</v>
      </c>
      <c r="O56" s="291">
        <f t="shared" si="17"/>
        <v>939171.13651658781</v>
      </c>
      <c r="P56" s="291">
        <f t="shared" si="17"/>
        <v>982375.64832393196</v>
      </c>
      <c r="Q56" s="291">
        <f t="shared" si="17"/>
        <v>1026431.3829169839</v>
      </c>
      <c r="R56" s="291">
        <f t="shared" si="17"/>
        <v>1071355.0430651952</v>
      </c>
      <c r="S56" s="291">
        <f t="shared" si="17"/>
        <v>1117163.6575512521</v>
      </c>
      <c r="T56" s="291">
        <f t="shared" si="17"/>
        <v>1163874.587490283</v>
      </c>
      <c r="U56" s="291">
        <f t="shared" si="17"/>
        <v>1211505.53277043</v>
      </c>
      <c r="V56" s="291">
        <f t="shared" si="17"/>
        <v>1260074.5386170726</v>
      </c>
      <c r="W56" s="291">
        <f t="shared" si="17"/>
        <v>1309600.0022830637</v>
      </c>
      <c r="X56" s="291">
        <f t="shared" si="17"/>
        <v>1360100.6798673493</v>
      </c>
      <c r="Y56" s="291">
        <f t="shared" si="17"/>
        <v>1411595.6932644211</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REFI YR.</v>
      </c>
      <c r="H60" s="288" t="str">
        <f t="shared" si="18"/>
        <v/>
      </c>
      <c r="I60" s="288" t="str">
        <f t="shared" si="18"/>
        <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-129111359.44755185</v>
      </c>
      <c r="H61" s="285">
        <f>INDEX('02_Debt Engine'!$F$102:$Z$118,MATCH($C$1,'02_Debt Engine'!$B$102:$B$118,0),MATCH(H$12,'02_Debt Engine'!$F$101:$Z$101,0))</f>
        <v>0</v>
      </c>
      <c r="I61" s="285">
        <f>INDEX('02_Debt Engine'!$F$102:$Z$118,MATCH($C$1,'02_Debt Engine'!$B$102:$B$118,0),MATCH(I$12,'02_Debt Engine'!$F$101:$Z$101,0))</f>
        <v>0</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58663640.484426588</v>
      </c>
      <c r="H62" s="343">
        <f>INDEX('02_Debt Engine'!$F$130:$Z$146,MATCH($C$1,'02_Debt Engine'!$B$130:$B$146,0),MATCH(H$12,'02_Debt Engine'!$F$129:$Z$129,0))</f>
        <v>0</v>
      </c>
      <c r="I62" s="343">
        <f>INDEX('02_Debt Engine'!$F$130:$Z$146,MATCH($C$1,'02_Debt Engine'!$B$130:$B$146,0),MATCH(I$12,'02_Debt Engine'!$F$129:$Z$129,0))</f>
        <v>0</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-70447718.963125259</v>
      </c>
      <c r="H63" s="285">
        <f t="shared" si="19"/>
        <v>0</v>
      </c>
      <c r="I63" s="285">
        <f t="shared" si="19"/>
        <v>0</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131651408.7224526</v>
      </c>
      <c r="F64" s="296">
        <f>INDEX('02_Debt Engine'!$F$74:$Z$90,MATCH($C$1,'02_Debt Engine'!$B$74:$B$90,0),MATCH(F$12,'02_Debt Engine'!$F$73:$Z$73,0))</f>
        <v>130409330.83741556</v>
      </c>
      <c r="G64" s="296">
        <f>INDEX('02_Debt Engine'!$F$74:$Z$90,MATCH($C$1,'02_Debt Engine'!$B$74:$B$90,0),MATCH(G$12,'02_Debt Engine'!$F$73:$Z$73,0))</f>
        <v>129111359.44755185</v>
      </c>
      <c r="H64" s="296">
        <f>INDEX('02_Debt Engine'!$F$74:$Z$90,MATCH($C$1,'02_Debt Engine'!$B$74:$B$90,0),MATCH(H$12,'02_Debt Engine'!$F$73:$Z$73,0))</f>
        <v>57893212.716976032</v>
      </c>
      <c r="I64" s="296">
        <f>INDEX('02_Debt Engine'!$F$74:$Z$90,MATCH($C$1,'02_Debt Engine'!$B$74:$B$90,0),MATCH(I$12,'02_Debt Engine'!$F$73:$Z$73,0))</f>
        <v>57091967.838827454</v>
      </c>
      <c r="J64" s="296">
        <f>INDEX('02_Debt Engine'!$F$74:$Z$90,MATCH($C$1,'02_Debt Engine'!$B$74:$B$90,0),MATCH(J$12,'02_Debt Engine'!$F$73:$Z$73,0))</f>
        <v>56258673.165552936</v>
      </c>
      <c r="K64" s="296">
        <f>INDEX('02_Debt Engine'!$F$74:$Z$90,MATCH($C$1,'02_Debt Engine'!$B$74:$B$90,0),MATCH(K$12,'02_Debt Engine'!$F$73:$Z$73,0))</f>
        <v>55392046.705347434</v>
      </c>
      <c r="L64" s="296">
        <f>INDEX('02_Debt Engine'!$F$74:$Z$90,MATCH($C$1,'02_Debt Engine'!$B$74:$B$90,0),MATCH(L$12,'02_Debt Engine'!$F$73:$Z$73,0))</f>
        <v>54490755.186733715</v>
      </c>
      <c r="M64" s="296">
        <f>INDEX('02_Debt Engine'!$F$74:$Z$90,MATCH($C$1,'02_Debt Engine'!$B$74:$B$90,0),MATCH(M$12,'02_Debt Engine'!$F$73:$Z$73,0))</f>
        <v>53553412.007375449</v>
      </c>
      <c r="N64" s="296">
        <f>INDEX('02_Debt Engine'!$F$74:$Z$90,MATCH($C$1,'02_Debt Engine'!$B$74:$B$90,0),MATCH(N$12,'02_Debt Engine'!$F$73:$Z$73,0))</f>
        <v>52578575.100842848</v>
      </c>
      <c r="O64" s="296">
        <f>INDEX('02_Debt Engine'!$F$74:$Z$90,MATCH($C$1,'02_Debt Engine'!$B$74:$B$90,0),MATCH(O$12,'02_Debt Engine'!$F$73:$Z$73,0))</f>
        <v>51564744.718048945</v>
      </c>
      <c r="P64" s="296">
        <f>INDEX('02_Debt Engine'!$F$74:$Z$90,MATCH($C$1,'02_Debt Engine'!$B$74:$B$90,0),MATCH(P$12,'02_Debt Engine'!$F$73:$Z$73,0))</f>
        <v>50510361.119943283</v>
      </c>
      <c r="Q64" s="296">
        <f>INDEX('02_Debt Engine'!$F$74:$Z$90,MATCH($C$1,'02_Debt Engine'!$B$74:$B$90,0),MATCH(Q$12,'02_Debt Engine'!$F$73:$Z$73,0))</f>
        <v>49413802.177913398</v>
      </c>
      <c r="R64" s="296">
        <f>INDEX('02_Debt Engine'!$F$74:$Z$90,MATCH($C$1,'02_Debt Engine'!$B$74:$B$90,0),MATCH(R$12,'02_Debt Engine'!$F$73:$Z$73,0))</f>
        <v>48273380.878202319</v>
      </c>
      <c r="S64" s="296">
        <f>INDEX('02_Debt Engine'!$F$74:$Z$90,MATCH($C$1,'02_Debt Engine'!$B$74:$B$90,0),MATCH(S$12,'02_Debt Engine'!$F$73:$Z$73,0))</f>
        <v>47087342.726502791</v>
      </c>
      <c r="T64" s="296">
        <f>INDEX('02_Debt Engine'!$F$74:$Z$90,MATCH($C$1,'02_Debt Engine'!$B$74:$B$90,0),MATCH(T$12,'02_Debt Engine'!$F$73:$Z$73,0))</f>
        <v>45853863.048735283</v>
      </c>
      <c r="U64" s="296">
        <f>INDEX('02_Debt Engine'!$F$74:$Z$90,MATCH($C$1,'02_Debt Engine'!$B$74:$B$90,0),MATCH(U$12,'02_Debt Engine'!$F$73:$Z$73,0))</f>
        <v>44571044.183857076</v>
      </c>
      <c r="V64" s="296">
        <f>INDEX('02_Debt Engine'!$F$74:$Z$90,MATCH($C$1,'02_Debt Engine'!$B$74:$B$90,0),MATCH(V$12,'02_Debt Engine'!$F$73:$Z$73,0))</f>
        <v>43236912.564383738</v>
      </c>
      <c r="W64" s="296">
        <f>INDEX('02_Debt Engine'!$F$74:$Z$90,MATCH($C$1,'02_Debt Engine'!$B$74:$B$90,0),MATCH(W$12,'02_Debt Engine'!$F$73:$Z$73,0))</f>
        <v>41849415.680131473</v>
      </c>
      <c r="X64" s="296">
        <f>INDEX('02_Debt Engine'!$F$74:$Z$90,MATCH($C$1,'02_Debt Engine'!$B$74:$B$90,0),MATCH(X$12,'02_Debt Engine'!$F$73:$Z$73,0))</f>
        <v>40406418.920509115</v>
      </c>
      <c r="Y64" s="296">
        <f>INDEX('02_Debt Engine'!$F$74:$Z$90,MATCH($C$1,'02_Debt Engine'!$B$74:$B$90,0),MATCH(Y$12,'02_Debt Engine'!$F$73:$Z$73,0))</f>
        <v>38905702.290501863</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REFI YR.</v>
      </c>
      <c r="H66" s="288" t="str">
        <f t="shared" si="20"/>
        <v/>
      </c>
      <c r="I66" s="288" t="str">
        <f t="shared" si="20"/>
        <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-7166391.2775474079</v>
      </c>
      <c r="F67" s="285">
        <f t="shared" si="21"/>
        <v>-7166391.2775474079</v>
      </c>
      <c r="G67" s="285">
        <f t="shared" si="21"/>
        <v>-2473300.0387932807</v>
      </c>
      <c r="H67" s="285">
        <f t="shared" si="21"/>
        <v>666465.51676063659</v>
      </c>
      <c r="I67" s="285">
        <f t="shared" si="21"/>
        <v>703143.20611367119</v>
      </c>
      <c r="J67" s="285">
        <f t="shared" si="21"/>
        <v>740490.95293069328</v>
      </c>
      <c r="K67" s="285">
        <f t="shared" si="21"/>
        <v>778519.61850806139</v>
      </c>
      <c r="L67" s="285">
        <f t="shared" si="21"/>
        <v>817240.1797739414</v>
      </c>
      <c r="M67" s="285">
        <f t="shared" si="21"/>
        <v>856663.72753718379</v>
      </c>
      <c r="N67" s="285">
        <f t="shared" si="21"/>
        <v>896801.46453861636</v>
      </c>
      <c r="O67" s="285">
        <f t="shared" si="21"/>
        <v>939171.13651658781</v>
      </c>
      <c r="P67" s="285">
        <f t="shared" si="21"/>
        <v>982375.64832393196</v>
      </c>
      <c r="Q67" s="285">
        <f t="shared" si="21"/>
        <v>1026431.3829169839</v>
      </c>
      <c r="R67" s="285">
        <f t="shared" si="21"/>
        <v>1071355.0430651952</v>
      </c>
      <c r="S67" s="285">
        <f t="shared" si="21"/>
        <v>1117163.6575512521</v>
      </c>
      <c r="T67" s="285">
        <f t="shared" si="21"/>
        <v>1163874.587490283</v>
      </c>
      <c r="U67" s="285">
        <f t="shared" si="21"/>
        <v>1211505.53277043</v>
      </c>
      <c r="V67" s="285">
        <f t="shared" si="21"/>
        <v>1260074.5386170726</v>
      </c>
      <c r="W67" s="285">
        <f t="shared" si="21"/>
        <v>1309600.0022830637</v>
      </c>
      <c r="X67" s="285">
        <f t="shared" si="21"/>
        <v>1360100.6798673493</v>
      </c>
      <c r="Y67" s="285">
        <f t="shared" si="21"/>
        <v>1411595.6932644211</v>
      </c>
    </row>
    <row r="68" spans="3:25" s="20" customFormat="1" ht="13.5" customHeight="1">
      <c r="C68" s="26" t="s">
        <v>544</v>
      </c>
      <c r="E68" s="287">
        <f t="shared" ref="E68:Y68" si="22">E67+E$63</f>
        <v>-7166391.2775474079</v>
      </c>
      <c r="F68" s="287">
        <f t="shared" si="22"/>
        <v>-7166391.2775474079</v>
      </c>
      <c r="G68" s="287">
        <f t="shared" si="22"/>
        <v>-72921019.001918539</v>
      </c>
      <c r="H68" s="287">
        <f t="shared" si="22"/>
        <v>666465.51676063659</v>
      </c>
      <c r="I68" s="287">
        <f t="shared" si="22"/>
        <v>703143.20611367119</v>
      </c>
      <c r="J68" s="287">
        <f t="shared" si="22"/>
        <v>740490.95293069328</v>
      </c>
      <c r="K68" s="287">
        <f t="shared" si="22"/>
        <v>778519.61850806139</v>
      </c>
      <c r="L68" s="287">
        <f t="shared" si="22"/>
        <v>817240.1797739414</v>
      </c>
      <c r="M68" s="287">
        <f t="shared" si="22"/>
        <v>856663.72753718379</v>
      </c>
      <c r="N68" s="287">
        <f t="shared" si="22"/>
        <v>896801.46453861636</v>
      </c>
      <c r="O68" s="287">
        <f t="shared" si="22"/>
        <v>939171.13651658781</v>
      </c>
      <c r="P68" s="287">
        <f t="shared" si="22"/>
        <v>982375.64832393196</v>
      </c>
      <c r="Q68" s="287">
        <f t="shared" si="22"/>
        <v>1026431.3829169839</v>
      </c>
      <c r="R68" s="287">
        <f t="shared" si="22"/>
        <v>1071355.0430651952</v>
      </c>
      <c r="S68" s="287">
        <f t="shared" si="22"/>
        <v>1117163.6575512521</v>
      </c>
      <c r="T68" s="287">
        <f t="shared" si="22"/>
        <v>1163874.587490283</v>
      </c>
      <c r="U68" s="287">
        <f t="shared" si="22"/>
        <v>1211505.53277043</v>
      </c>
      <c r="V68" s="287">
        <f t="shared" si="22"/>
        <v>1260074.5386170726</v>
      </c>
      <c r="W68" s="287">
        <f t="shared" si="22"/>
        <v>1309600.0022830637</v>
      </c>
      <c r="X68" s="287">
        <f t="shared" si="22"/>
        <v>1360100.6798673493</v>
      </c>
      <c r="Y68" s="287">
        <f t="shared" si="22"/>
        <v>1411595.6932644211</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0</v>
      </c>
      <c r="F73" s="285">
        <f t="shared" si="24"/>
        <v>0</v>
      </c>
      <c r="G73" s="285">
        <f t="shared" si="24"/>
        <v>78218187.312568784</v>
      </c>
      <c r="H73" s="285">
        <f t="shared" si="24"/>
        <v>79718952.97882016</v>
      </c>
      <c r="I73" s="285">
        <f t="shared" si="24"/>
        <v>81247190.035196602</v>
      </c>
      <c r="J73" s="285">
        <f t="shared" si="24"/>
        <v>82803346.152572528</v>
      </c>
      <c r="K73" s="285">
        <f t="shared" si="24"/>
        <v>84387873.884962857</v>
      </c>
      <c r="L73" s="285">
        <f t="shared" si="24"/>
        <v>86001230.604374528</v>
      </c>
      <c r="M73" s="285">
        <f t="shared" si="24"/>
        <v>87643878.42784296</v>
      </c>
      <c r="N73" s="285">
        <f t="shared" si="24"/>
        <v>89316284.136235982</v>
      </c>
      <c r="O73" s="285">
        <f t="shared" si="24"/>
        <v>91081687.13531813</v>
      </c>
      <c r="P73" s="285">
        <f t="shared" si="24"/>
        <v>92881875.1272908</v>
      </c>
      <c r="Q73" s="285">
        <f t="shared" si="24"/>
        <v>94717530.735334635</v>
      </c>
      <c r="R73" s="285">
        <f t="shared" si="24"/>
        <v>96589349.908176765</v>
      </c>
      <c r="S73" s="285">
        <f t="shared" si="24"/>
        <v>98498042.178429142</v>
      </c>
      <c r="T73" s="285">
        <f t="shared" si="24"/>
        <v>100444330.92588876</v>
      </c>
      <c r="U73" s="285">
        <f t="shared" si="24"/>
        <v>102428953.64589489</v>
      </c>
      <c r="V73" s="285">
        <f t="shared" si="24"/>
        <v>104452662.22283833</v>
      </c>
      <c r="W73" s="285">
        <f t="shared" si="24"/>
        <v>106516223.20892128</v>
      </c>
      <c r="X73" s="285">
        <f t="shared" si="24"/>
        <v>108620418.10826652</v>
      </c>
      <c r="Y73" s="285">
        <f t="shared" si="24"/>
        <v>110766043.66647784</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REFI YR.</v>
      </c>
      <c r="H75" s="288" t="str">
        <f t="shared" si="25"/>
        <v/>
      </c>
      <c r="I75" s="288" t="str">
        <f t="shared" si="25"/>
        <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131651408.7224526</v>
      </c>
      <c r="F76" s="285">
        <f t="shared" si="26"/>
        <v>130409330.83741556</v>
      </c>
      <c r="G76" s="285">
        <f t="shared" si="26"/>
        <v>129111359.44755185</v>
      </c>
      <c r="H76" s="285">
        <f t="shared" si="26"/>
        <v>57893212.716976032</v>
      </c>
      <c r="I76" s="285">
        <f t="shared" si="26"/>
        <v>57091967.838827454</v>
      </c>
      <c r="J76" s="285">
        <f t="shared" si="26"/>
        <v>56258673.165552936</v>
      </c>
      <c r="K76" s="285">
        <f t="shared" si="26"/>
        <v>55392046.705347434</v>
      </c>
      <c r="L76" s="285">
        <f t="shared" si="26"/>
        <v>54490755.186733715</v>
      </c>
      <c r="M76" s="285">
        <f t="shared" si="26"/>
        <v>53553412.007375449</v>
      </c>
      <c r="N76" s="285">
        <f t="shared" si="26"/>
        <v>52578575.100842848</v>
      </c>
      <c r="O76" s="285">
        <f t="shared" si="26"/>
        <v>51564744.718048945</v>
      </c>
      <c r="P76" s="285">
        <f t="shared" si="26"/>
        <v>50510361.119943283</v>
      </c>
      <c r="Q76" s="285">
        <f t="shared" si="26"/>
        <v>49413802.177913398</v>
      </c>
      <c r="R76" s="285">
        <f t="shared" si="26"/>
        <v>48273380.878202319</v>
      </c>
      <c r="S76" s="285">
        <f t="shared" si="26"/>
        <v>47087342.726502791</v>
      </c>
      <c r="T76" s="285">
        <f t="shared" si="26"/>
        <v>45853863.048735283</v>
      </c>
      <c r="U76" s="285">
        <f t="shared" si="26"/>
        <v>44571044.183857076</v>
      </c>
      <c r="V76" s="285">
        <f t="shared" si="26"/>
        <v>43236912.564383738</v>
      </c>
      <c r="W76" s="285">
        <f t="shared" si="26"/>
        <v>41849415.680131473</v>
      </c>
      <c r="X76" s="285">
        <f t="shared" si="26"/>
        <v>40406418.920509115</v>
      </c>
      <c r="Y76" s="285">
        <f t="shared" si="26"/>
        <v>38905702.290501863</v>
      </c>
    </row>
    <row r="77" spans="3:25" ht="13.5" customHeight="1">
      <c r="C77" s="26" t="s">
        <v>376</v>
      </c>
      <c r="D77" s="21"/>
      <c r="E77" s="287">
        <f t="shared" ref="E77:Y77" si="27">E73-E$76</f>
        <v>-131651408.7224526</v>
      </c>
      <c r="F77" s="287">
        <f t="shared" si="27"/>
        <v>-130409330.83741556</v>
      </c>
      <c r="G77" s="287">
        <f t="shared" si="27"/>
        <v>-50893172.134983063</v>
      </c>
      <c r="H77" s="287">
        <f t="shared" si="27"/>
        <v>21825740.261844128</v>
      </c>
      <c r="I77" s="287">
        <f t="shared" si="27"/>
        <v>24155222.196369149</v>
      </c>
      <c r="J77" s="287">
        <f t="shared" si="27"/>
        <v>26544672.987019591</v>
      </c>
      <c r="K77" s="287">
        <f t="shared" si="27"/>
        <v>28995827.179615423</v>
      </c>
      <c r="L77" s="287">
        <f t="shared" si="27"/>
        <v>31510475.417640813</v>
      </c>
      <c r="M77" s="287">
        <f t="shared" si="27"/>
        <v>34090466.420467511</v>
      </c>
      <c r="N77" s="287">
        <f t="shared" si="27"/>
        <v>36737709.035393134</v>
      </c>
      <c r="O77" s="287">
        <f t="shared" si="27"/>
        <v>39516942.417269185</v>
      </c>
      <c r="P77" s="287">
        <f t="shared" si="27"/>
        <v>42371514.007347517</v>
      </c>
      <c r="Q77" s="287">
        <f t="shared" si="27"/>
        <v>45303728.557421237</v>
      </c>
      <c r="R77" s="287">
        <f t="shared" si="27"/>
        <v>48315969.029974446</v>
      </c>
      <c r="S77" s="287">
        <f t="shared" si="27"/>
        <v>51410699.451926351</v>
      </c>
      <c r="T77" s="287">
        <f t="shared" si="27"/>
        <v>54590467.877153479</v>
      </c>
      <c r="U77" s="287">
        <f t="shared" si="27"/>
        <v>57857909.462037809</v>
      </c>
      <c r="V77" s="287">
        <f t="shared" si="27"/>
        <v>61215749.65845459</v>
      </c>
      <c r="W77" s="287">
        <f t="shared" si="27"/>
        <v>64666807.528789811</v>
      </c>
      <c r="X77" s="287">
        <f t="shared" si="27"/>
        <v>68213999.187757403</v>
      </c>
      <c r="Y77" s="287">
        <f t="shared" si="27"/>
        <v>71860341.375975981</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2028</v>
      </c>
      <c r="D79" s="20"/>
      <c r="E79" s="289" t="str">
        <f t="shared" ref="E79:Y79" si="28">IF(E$72=$F$2+1,"STAB. YR.","")</f>
        <v/>
      </c>
      <c r="F79" s="289" t="str">
        <f t="shared" si="28"/>
        <v/>
      </c>
      <c r="G79" s="289" t="str">
        <f t="shared" si="28"/>
        <v/>
      </c>
      <c r="H79" s="289" t="str">
        <f t="shared" si="28"/>
        <v>STAB. YR.</v>
      </c>
      <c r="I79" s="289" t="str">
        <f t="shared" si="28"/>
        <v/>
      </c>
      <c r="J79" s="289" t="str">
        <f t="shared" si="28"/>
        <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0</v>
      </c>
      <c r="G80" s="296">
        <f t="shared" si="29"/>
        <v>0</v>
      </c>
      <c r="H80" s="296">
        <f t="shared" si="29"/>
        <v>79718952.97882016</v>
      </c>
      <c r="I80" s="296">
        <f t="shared" si="29"/>
        <v>0</v>
      </c>
      <c r="J80" s="296">
        <f t="shared" si="29"/>
        <v>0</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0</v>
      </c>
      <c r="F81" s="344">
        <f t="shared" si="30"/>
        <v>0</v>
      </c>
      <c r="G81" s="344">
        <f t="shared" si="30"/>
        <v>5.8870457568616009E-2</v>
      </c>
      <c r="H81" s="344">
        <f t="shared" si="30"/>
        <v>5.9999999999999991E-2</v>
      </c>
      <c r="I81" s="344">
        <f t="shared" si="30"/>
        <v>6.1150218611212163E-2</v>
      </c>
      <c r="J81" s="344">
        <f t="shared" si="30"/>
        <v>6.2321450339097022E-2</v>
      </c>
      <c r="K81" s="344">
        <f t="shared" si="30"/>
        <v>6.3514035795766019E-2</v>
      </c>
      <c r="L81" s="344">
        <f t="shared" si="30"/>
        <v>6.4728319219563846E-2</v>
      </c>
      <c r="M81" s="344">
        <f t="shared" si="30"/>
        <v>6.5964648420152955E-2</v>
      </c>
      <c r="N81" s="344">
        <f t="shared" si="30"/>
        <v>6.7223374717401752E-2</v>
      </c>
      <c r="O81" s="344">
        <f t="shared" si="30"/>
        <v>6.8552094877249697E-2</v>
      </c>
      <c r="P81" s="344">
        <f t="shared" si="30"/>
        <v>6.9906995756932058E-2</v>
      </c>
      <c r="Q81" s="344">
        <f t="shared" si="30"/>
        <v>7.1288591128761541E-2</v>
      </c>
      <c r="R81" s="344">
        <f t="shared" si="30"/>
        <v>7.2697404794444864E-2</v>
      </c>
      <c r="S81" s="344">
        <f t="shared" si="30"/>
        <v>7.4133970779519567E-2</v>
      </c>
      <c r="T81" s="344">
        <f t="shared" si="30"/>
        <v>7.5598833531525383E-2</v>
      </c>
      <c r="U81" s="344">
        <f t="shared" si="30"/>
        <v>7.7092548121981741E-2</v>
      </c>
      <c r="V81" s="344">
        <f t="shared" si="30"/>
        <v>7.8615680452242861E-2</v>
      </c>
      <c r="W81" s="344">
        <f t="shared" si="30"/>
        <v>8.0168807463304737E-2</v>
      </c>
      <c r="X81" s="344">
        <f t="shared" si="30"/>
        <v>8.1752517349638246E-2</v>
      </c>
      <c r="Y81" s="344">
        <f t="shared" si="30"/>
        <v>8.3367409777125132E-2</v>
      </c>
    </row>
    <row r="82" spans="1:25" s="20" customFormat="1" ht="13.9" customHeight="1">
      <c r="A82" s="3"/>
      <c r="B82" s="3"/>
      <c r="C82" s="21" t="s">
        <v>380</v>
      </c>
      <c r="E82" s="285">
        <f t="shared" ref="E82:Y82" si="31">IF(E$72=$F$2+1,E77,0)</f>
        <v>0</v>
      </c>
      <c r="F82" s="285">
        <f t="shared" si="31"/>
        <v>0</v>
      </c>
      <c r="G82" s="285">
        <f t="shared" si="31"/>
        <v>0</v>
      </c>
      <c r="H82" s="285">
        <f t="shared" si="31"/>
        <v>21825740.261844128</v>
      </c>
      <c r="I82" s="285">
        <f t="shared" si="31"/>
        <v>0</v>
      </c>
      <c r="J82" s="285">
        <f t="shared" si="31"/>
        <v>0</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0</v>
      </c>
      <c r="F83" s="299">
        <f t="shared" si="32"/>
        <v>0</v>
      </c>
      <c r="G83" s="299">
        <f t="shared" si="32"/>
        <v>0.21502552410369391</v>
      </c>
      <c r="H83" s="299">
        <f t="shared" si="32"/>
        <v>0.21915120043333028</v>
      </c>
      <c r="I83" s="299">
        <f t="shared" si="32"/>
        <v>0.22335239692346204</v>
      </c>
      <c r="J83" s="299">
        <f t="shared" si="32"/>
        <v>0.22763034424265488</v>
      </c>
      <c r="K83" s="299">
        <f t="shared" si="32"/>
        <v>0.23198628648346056</v>
      </c>
      <c r="L83" s="299">
        <f t="shared" si="32"/>
        <v>0.23642148098332036</v>
      </c>
      <c r="M83" s="299">
        <f t="shared" si="32"/>
        <v>0.24093719812398512</v>
      </c>
      <c r="N83" s="299">
        <f t="shared" si="32"/>
        <v>0.24553472110830302</v>
      </c>
      <c r="O83" s="299">
        <f t="shared" si="32"/>
        <v>0.25038789807614709</v>
      </c>
      <c r="P83" s="299">
        <f t="shared" si="32"/>
        <v>0.25533670064698982</v>
      </c>
      <c r="Q83" s="299">
        <f t="shared" si="32"/>
        <v>0.26038300538448256</v>
      </c>
      <c r="R83" s="299">
        <f t="shared" si="32"/>
        <v>0.26552872548483891</v>
      </c>
      <c r="S83" s="299">
        <f t="shared" si="32"/>
        <v>0.27077581148701907</v>
      </c>
      <c r="T83" s="299">
        <f t="shared" si="32"/>
        <v>0.27612625199655488</v>
      </c>
      <c r="U83" s="299">
        <f t="shared" si="32"/>
        <v>0.28158207442327637</v>
      </c>
      <c r="V83" s="299">
        <f t="shared" si="32"/>
        <v>0.287145345733202</v>
      </c>
      <c r="W83" s="299">
        <f t="shared" si="32"/>
        <v>0.2928181732148627</v>
      </c>
      <c r="X83" s="299">
        <f t="shared" si="32"/>
        <v>0.29860270526033139</v>
      </c>
      <c r="Y83" s="299">
        <f t="shared" si="32"/>
        <v>0.30450113216123886</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2028</v>
      </c>
      <c r="E85" s="289" t="str">
        <f t="shared" ref="E85:Y85" si="33">IF(E$72=$F$2+1,"STAB. YR.","")</f>
        <v/>
      </c>
      <c r="F85" s="289" t="str">
        <f t="shared" si="33"/>
        <v/>
      </c>
      <c r="G85" s="289" t="str">
        <f t="shared" si="33"/>
        <v/>
      </c>
      <c r="H85" s="289" t="str">
        <f t="shared" si="33"/>
        <v>STAB. YR.</v>
      </c>
      <c r="I85" s="289" t="str">
        <f t="shared" si="33"/>
        <v/>
      </c>
      <c r="J85" s="289" t="str">
        <f t="shared" si="33"/>
        <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0</v>
      </c>
      <c r="F86" s="299">
        <f t="shared" si="34"/>
        <v>0</v>
      </c>
      <c r="G86" s="299">
        <f t="shared" si="34"/>
        <v>0</v>
      </c>
      <c r="H86" s="299">
        <f t="shared" si="34"/>
        <v>4.5803636584488834E-2</v>
      </c>
      <c r="I86" s="299">
        <f t="shared" si="34"/>
        <v>4.832435447856788E-2</v>
      </c>
      <c r="J86" s="299">
        <f t="shared" si="34"/>
        <v>5.0891122870083592E-2</v>
      </c>
      <c r="K86" s="299">
        <f t="shared" si="34"/>
        <v>5.3504688214567005E-2</v>
      </c>
      <c r="L86" s="299">
        <f t="shared" si="34"/>
        <v>5.6165804914482878E-2</v>
      </c>
      <c r="M86" s="299">
        <f t="shared" si="34"/>
        <v>5.8875235198881742E-2</v>
      </c>
      <c r="N86" s="299">
        <f t="shared" si="34"/>
        <v>6.1633748989472485E-2</v>
      </c>
      <c r="O86" s="299">
        <f t="shared" si="34"/>
        <v>6.454565517017892E-2</v>
      </c>
      <c r="P86" s="299">
        <f t="shared" si="34"/>
        <v>6.7514936712684562E-2</v>
      </c>
      <c r="Q86" s="299">
        <f t="shared" si="34"/>
        <v>7.0542719555180211E-2</v>
      </c>
      <c r="R86" s="299">
        <f t="shared" si="34"/>
        <v>7.3630151615394018E-2</v>
      </c>
      <c r="S86" s="299">
        <f t="shared" si="34"/>
        <v>7.6778403216702124E-2</v>
      </c>
      <c r="T86" s="299">
        <f t="shared" si="34"/>
        <v>7.998866752242359E-2</v>
      </c>
      <c r="U86" s="299">
        <f t="shared" si="34"/>
        <v>8.3262160978456484E-2</v>
      </c>
      <c r="V86" s="299">
        <f t="shared" si="34"/>
        <v>8.6600123764411882E-2</v>
      </c>
      <c r="W86" s="299">
        <f t="shared" si="34"/>
        <v>9.0003820253408279E-2</v>
      </c>
      <c r="X86" s="299">
        <f t="shared" si="34"/>
        <v>9.3474539480689511E-2</v>
      </c>
      <c r="Y86" s="299">
        <f t="shared" si="34"/>
        <v>9.7013595621233975E-2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A6775-EDAF-4776-966A-E9124A5F89E2}">
  <sheetPr>
    <tabColor rgb="FF808080"/>
  </sheetPr>
  <dimension ref="A1:Y121"/>
  <sheetViews>
    <sheetView showGridLines="0" workbookViewId="0"/>
  </sheetViews>
  <sheetFormatPr defaultColWidth="8.7109375" defaultRowHeight="12.75"/>
  <cols>
    <col min="1" max="2" width="0.85546875" style="3" customWidth="1"/>
    <col min="3" max="3" width="49.28515625" style="3" customWidth="1"/>
    <col min="4" max="4" width="0.42578125" style="3" customWidth="1"/>
    <col min="5" max="25" width="12.7109375" style="3" customWidth="1"/>
    <col min="26" max="26" width="8.7109375" style="3" customWidth="1"/>
    <col min="27" max="16384" width="8.7109375" style="3"/>
  </cols>
  <sheetData>
    <row r="1" spans="3:25" s="1" customFormat="1" ht="15.6" customHeight="1">
      <c r="C1" s="274" t="s">
        <v>326</v>
      </c>
      <c r="E1" s="275" t="str">
        <f>INDEX('01_Property Summary'!$E$5:$E$21,MATCH($C$1,'01_Property Summary'!$C$5:$C$21,0))</f>
        <v>Vancouver</v>
      </c>
      <c r="F1" s="332" t="s">
        <v>536</v>
      </c>
      <c r="G1" s="333" t="s">
        <v>102</v>
      </c>
      <c r="J1" s="450" t="s">
        <v>308</v>
      </c>
      <c r="K1" s="424"/>
      <c r="L1" s="424"/>
      <c r="M1" s="424"/>
      <c r="N1" s="424"/>
      <c r="O1" s="424"/>
      <c r="P1" s="3"/>
      <c r="Q1" s="3"/>
      <c r="R1" s="3"/>
      <c r="S1" s="3"/>
      <c r="T1" s="3"/>
    </row>
    <row r="2" spans="3:25" ht="14.45" customHeight="1">
      <c r="C2" s="300" t="s">
        <v>537</v>
      </c>
      <c r="E2" s="334">
        <f>_xlfn.LET(_xlpm.refi,INDEX('02_Debt Engine'!$F$19:$F$35,MATCH($C$1,'02_Debt Engine'!$B$19:$B$35,0)),
_xlpm.refiyr,INDEX('02_Debt Engine'!$I$19:$I$35,MATCH($C$1,'02_Debt Engine'!$B$19:$B$35,0)),IF(_xlpm.refi="Yes",_xlpm.refiyr,"No Refi"))</f>
        <v>2029</v>
      </c>
      <c r="F2" s="345">
        <v>2029</v>
      </c>
      <c r="G2" s="334">
        <f>INDEX('01_Property Summary'!$K$4:$K$21,MATCH($C$1,'01_Property Summary'!$C$4:$C$21,0))</f>
        <v>2059</v>
      </c>
      <c r="J2" s="278" t="str">
        <f>"Gate 1 — NOI ≥ 0 at stabilization ("&amp;$F$2+1&amp;"):"</f>
        <v>Gate 1 — NOI ≥ 0 at stabilization (2030):</v>
      </c>
      <c r="M2" s="451" t="str">
        <f>_xlfn.LET(_xlpm.stabnoi,INDEX($41:$41,MATCH(($F$2+1),$12:$12,0)),IF(_xlpm.stabnoi&gt;=0,"PASS — NOI $"&amp;TEXT(_xlpm.stabnoi,"#,##0"),"FAIL — NOI $"&amp;TEXT(_xlpm.stabnoi,"#,##0")))</f>
        <v>PASS — NOI $1,489,667</v>
      </c>
      <c r="N2" s="424"/>
      <c r="O2" s="424"/>
      <c r="S2" s="6"/>
    </row>
    <row r="3" spans="3:25" ht="14.45" customHeight="1">
      <c r="C3" s="300" t="s">
        <v>538</v>
      </c>
      <c r="E3" s="334">
        <f>INDEX('01_Property Summary'!$S$5:$S$21,MATCH($C$1,'01_Property Summary'!$C$5:$C$21,0))</f>
        <v>93</v>
      </c>
      <c r="F3" s="335">
        <f>'01_Assumptions'!$C$14</f>
        <v>0.1</v>
      </c>
      <c r="G3" s="335">
        <f>'01_Assumptions'!$C$15</f>
        <v>0.2</v>
      </c>
      <c r="J3" s="278" t="str">
        <f>"Gate 2 — DSCR ≥ 1.0× at stabilization ("&amp;$F$2+1&amp;"):"</f>
        <v>Gate 2 — DSCR ≥ 1.0× at stabilization (2030):</v>
      </c>
      <c r="M3" s="451" t="str">
        <f>_xlfn.LET(_xlpm.debt,INDEX($48:$48,MATCH(($F$2+1),$12:$12,0)),_xlpm.dscr,INDEX($50:$50,MATCH(($F$2+1),$12:$12,0)),
IF(_xlpm.debt=0,"PASS — no debt svc",IF(IFERROR(_xlpm.dscr,0)&gt;=1,"PASS — DSCR "&amp;TEXT(IFERROR(_xlpm.dscr,0),"0.00")&amp;"x","FAIL — DSCR "&amp;TEXT(IFERROR(_xlpm.dscr,0),"0.00")&amp;"x")))</f>
        <v>PASS — DSCR 1.52x</v>
      </c>
      <c r="N3" s="424"/>
      <c r="O3" s="424"/>
      <c r="S3" s="6"/>
    </row>
    <row r="4" spans="3:25" ht="14.45" customHeight="1">
      <c r="C4" s="300" t="s">
        <v>539</v>
      </c>
      <c r="E4" s="336">
        <f>INDEX('02_Rent Engine'!$H$5:$H$21,MATCH($C$1,'02_Rent Engine'!$B$5:$B$21,0))</f>
        <v>1624</v>
      </c>
      <c r="F4" s="336">
        <f>INDEX('02_Rent Engine'!$J$5:$J$21,MATCH($C$1,'02_Rent Engine'!$B$5:$B$21,0))</f>
        <v>3654.25</v>
      </c>
      <c r="G4" s="336">
        <f>($F$3*$F$4)+((1-$F$3)*$E$4)</f>
        <v>1827.0250000000001</v>
      </c>
      <c r="J4" s="280" t="s">
        <v>309</v>
      </c>
      <c r="M4" s="451" t="str">
        <f>IF(AND($J$52&gt;0,$O$52&gt;0),"PASS — AFFO $"&amp;TEXT($J$52,"#,##0")&amp;" (2030) / $"&amp;TEXT($O$52,"#,##0")&amp;" (2035)","FAIL — AFFO $"&amp;TEXT($J$52,"#,##0")&amp;" (2030) / $"&amp;TEXT($O$52,"#,##0")&amp;" (2035)")</f>
        <v>PASS — AFFO $510,112 (2030) / $592,502 (2035)</v>
      </c>
      <c r="N4" s="424"/>
      <c r="O4" s="424"/>
      <c r="S4" s="6"/>
    </row>
    <row r="5" spans="3:25" ht="14.45" customHeight="1">
      <c r="C5" s="337" t="str">
        <f>"Rent Growth — (pre / post Op. Agrmt. Expiry: "&amp;$G$2&amp;")"</f>
        <v>Rent Growth — (pre / post Op. Agrmt. Expiry: 2059)</v>
      </c>
      <c r="E5" s="338">
        <f>'01_Assumptions'!$C$5</f>
        <v>0.02</v>
      </c>
      <c r="F5" s="338">
        <f>'01_Assumptions'!$C$6</f>
        <v>0.02</v>
      </c>
      <c r="G5" s="32"/>
      <c r="L5" s="6"/>
      <c r="M5" s="6"/>
      <c r="R5" s="6"/>
      <c r="S5" s="6"/>
    </row>
    <row r="6" spans="3:25" ht="13.9" customHeight="1">
      <c r="C6" s="337" t="str">
        <f>"OpEx Growth — (pre / post Op. Agrmt. Expiry: "&amp;$G$2&amp;")"</f>
        <v>OpEx Growth — (pre / post Op. Agrmt. Expiry: 2059)</v>
      </c>
      <c r="E6" s="338">
        <f>'01_Assumptions'!$C$7</f>
        <v>0.04</v>
      </c>
      <c r="F6" s="338">
        <f>'01_Assumptions'!$C$8</f>
        <v>2.5000000000000001E-2</v>
      </c>
      <c r="G6" s="32"/>
    </row>
    <row r="7" spans="3:25" ht="13.9" customHeight="1">
      <c r="C7" s="4" t="s">
        <v>540</v>
      </c>
      <c r="E7" s="338">
        <f>'01_Assumptions'!$C$9</f>
        <v>0.02</v>
      </c>
      <c r="F7" s="339">
        <f>'01_Assumptions'!$C$32</f>
        <v>0.06</v>
      </c>
      <c r="G7" s="340">
        <f>'01_Assumptions'!$C$31</f>
        <v>0.6</v>
      </c>
    </row>
    <row r="8" spans="3:25" ht="13.9" customHeight="1">
      <c r="C8" s="4" t="s">
        <v>541</v>
      </c>
      <c r="E8" s="341" t="str">
        <f>INDEX('01_Property Summary'!$L$5:$L$21,MATCH($C$1,'01_Property Summary'!$C$5:$C$21,0))</f>
        <v>BCH CHF</v>
      </c>
      <c r="F8" s="336">
        <f>INDEX('01_Property Summary'!$Q$5:$Q$21,MATCH($C$1,'01_Property Summary'!$C$5:$C$21,0))</f>
        <v>0</v>
      </c>
      <c r="G8" s="334">
        <f>INDEX('02_Debt Engine'!$I$19:$I$35,MATCH($C$1,'02_Debt Engine'!$B$19:$B$35,0))</f>
        <v>2029</v>
      </c>
    </row>
    <row r="9" spans="3:25" ht="13.9" customHeight="1">
      <c r="C9" s="4" t="s">
        <v>542</v>
      </c>
      <c r="E9" s="336">
        <f>'01_Assumptions'!$C$10</f>
        <v>150</v>
      </c>
      <c r="F9" s="338">
        <f>'01_Assumptions'!$C$11</f>
        <v>0.02</v>
      </c>
      <c r="G9" s="32"/>
    </row>
    <row r="10" spans="3:25" ht="13.9" customHeight="1"/>
    <row r="11" spans="3:25" ht="15" customHeight="1">
      <c r="C11" s="449" t="s">
        <v>328</v>
      </c>
      <c r="D11" s="424"/>
      <c r="E11" s="424"/>
      <c r="F11" s="424"/>
      <c r="G11" s="424"/>
      <c r="H11" s="424"/>
      <c r="I11" s="424"/>
      <c r="J11" s="424"/>
      <c r="K11" s="424"/>
      <c r="L11" s="424"/>
      <c r="M11" s="424"/>
      <c r="N11" s="424"/>
      <c r="O11" s="424"/>
      <c r="P11" s="424"/>
      <c r="Q11" s="424"/>
      <c r="R11" s="424"/>
      <c r="S11" s="424"/>
      <c r="T11" s="424"/>
      <c r="U11" s="424"/>
      <c r="V11" s="424"/>
      <c r="W11" s="424"/>
      <c r="X11" s="424"/>
      <c r="Y11" s="424"/>
    </row>
    <row r="12" spans="3:25" ht="13.9" customHeight="1">
      <c r="C12" s="5" t="s">
        <v>329</v>
      </c>
      <c r="E12" s="5">
        <v>2025</v>
      </c>
      <c r="F12" s="282">
        <f t="shared" ref="F12:Y12" si="0">E12+1</f>
        <v>2026</v>
      </c>
      <c r="G12" s="282">
        <f t="shared" si="0"/>
        <v>2027</v>
      </c>
      <c r="H12" s="282">
        <f t="shared" si="0"/>
        <v>2028</v>
      </c>
      <c r="I12" s="282">
        <f t="shared" si="0"/>
        <v>2029</v>
      </c>
      <c r="J12" s="282">
        <f t="shared" si="0"/>
        <v>2030</v>
      </c>
      <c r="K12" s="282">
        <f t="shared" si="0"/>
        <v>2031</v>
      </c>
      <c r="L12" s="282">
        <f t="shared" si="0"/>
        <v>2032</v>
      </c>
      <c r="M12" s="282">
        <f t="shared" si="0"/>
        <v>2033</v>
      </c>
      <c r="N12" s="282">
        <f t="shared" si="0"/>
        <v>2034</v>
      </c>
      <c r="O12" s="282">
        <f t="shared" si="0"/>
        <v>2035</v>
      </c>
      <c r="P12" s="282">
        <f t="shared" si="0"/>
        <v>2036</v>
      </c>
      <c r="Q12" s="282">
        <f t="shared" si="0"/>
        <v>2037</v>
      </c>
      <c r="R12" s="282">
        <f t="shared" si="0"/>
        <v>2038</v>
      </c>
      <c r="S12" s="282">
        <f t="shared" si="0"/>
        <v>2039</v>
      </c>
      <c r="T12" s="282">
        <f t="shared" si="0"/>
        <v>2040</v>
      </c>
      <c r="U12" s="282">
        <f t="shared" si="0"/>
        <v>2041</v>
      </c>
      <c r="V12" s="282">
        <f t="shared" si="0"/>
        <v>2042</v>
      </c>
      <c r="W12" s="282">
        <f t="shared" si="0"/>
        <v>2043</v>
      </c>
      <c r="X12" s="282">
        <f t="shared" si="0"/>
        <v>2044</v>
      </c>
      <c r="Y12" s="282">
        <f t="shared" si="0"/>
        <v>2045</v>
      </c>
    </row>
    <row r="13" spans="3:25" ht="13.5" customHeight="1">
      <c r="C13" s="10" t="s">
        <v>330</v>
      </c>
      <c r="E13" s="283">
        <f>(E$12&gt;=$F$2)*_xlfn.LET(
  _xlpm.yr, E$12,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
)</f>
        <v>0</v>
      </c>
      <c r="F13" s="283">
        <f t="shared" ref="F13:Y13" si="1">(F$12&gt;=$F$2)*_xlfn.LET(
_xlpm.yr, F$12,
_xlpm.base, $E$12,
_xlpm.exp, IF(ISNUMBER($G$2),$G$2,9999),
_xlpm.gPre, $E$5,
_xlpm.gPost, $F$5,
_xlpm.preYrs, MAX(0, MIN(_xlpm.yr, _xlpm.exp-1) - _xlpm.base),
_xlpm.postYrs, (_xlpm.yr - _xlpm.base) - _xlpm.preYrs,
_xlpm.grow, (1+_xlpm.gPre)^_xlpm.preYrs * (1+_xlpm.gPost)^_xlpm.postYrs,
_xlpm.pctMkt, IF($G$1="Blended", IF(_xlpm.yr&gt;=_xlpm.exp, $G$3, $F$3), 0),
_xlpm.perUnit, _xlpm.grow * (_xlpm.pctMkt*$F$4 + (1-_xlpm.pctMkt)*$E$4),
_xlpm.perUnit * $E$3 *
12)</f>
        <v>0</v>
      </c>
      <c r="G13" s="283">
        <f t="shared" si="1"/>
        <v>0</v>
      </c>
      <c r="H13" s="283">
        <f t="shared" si="1"/>
        <v>0</v>
      </c>
      <c r="I13" s="283">
        <f t="shared" si="1"/>
        <v>2207035.7687103841</v>
      </c>
      <c r="J13" s="283">
        <f t="shared" si="1"/>
        <v>2251176.4840845917</v>
      </c>
      <c r="K13" s="283">
        <f t="shared" si="1"/>
        <v>2296200.0137662836</v>
      </c>
      <c r="L13" s="283">
        <f t="shared" si="1"/>
        <v>2342124.0140416091</v>
      </c>
      <c r="M13" s="283">
        <f t="shared" si="1"/>
        <v>2388966.4943224415</v>
      </c>
      <c r="N13" s="283">
        <f t="shared" si="1"/>
        <v>2436745.8242088901</v>
      </c>
      <c r="O13" s="283">
        <f t="shared" si="1"/>
        <v>2485480.7406930681</v>
      </c>
      <c r="P13" s="283">
        <f t="shared" si="1"/>
        <v>2535190.3555069286</v>
      </c>
      <c r="Q13" s="283">
        <f t="shared" si="1"/>
        <v>2585894.1626170678</v>
      </c>
      <c r="R13" s="283">
        <f t="shared" si="1"/>
        <v>2637612.0458694096</v>
      </c>
      <c r="S13" s="283">
        <f t="shared" si="1"/>
        <v>2690364.2867867975</v>
      </c>
      <c r="T13" s="283">
        <f t="shared" si="1"/>
        <v>2744171.5725225327</v>
      </c>
      <c r="U13" s="283">
        <f t="shared" si="1"/>
        <v>2799055.0039729839</v>
      </c>
      <c r="V13" s="283">
        <f t="shared" si="1"/>
        <v>2855036.104052444</v>
      </c>
      <c r="W13" s="283">
        <f t="shared" si="1"/>
        <v>2912136.8261334924</v>
      </c>
      <c r="X13" s="283">
        <f t="shared" si="1"/>
        <v>2970379.5626561623</v>
      </c>
      <c r="Y13" s="283">
        <f t="shared" si="1"/>
        <v>3029787.153909286</v>
      </c>
    </row>
    <row r="14" spans="3:25" ht="13.5" customHeight="1">
      <c r="C14" s="10" t="s">
        <v>331</v>
      </c>
      <c r="E14" s="283">
        <f>(E$12&gt;=$F$2)*_xlfn.LET(_xlpm.yr,E$12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F14" s="283">
        <f>(F$12&gt;=$F$2)*_xlfn.LET(_xlpm.yr,F$12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G14" s="283">
        <f>(G$12&gt;=$F$2)*_xlfn.LET(_xlpm.yr,G$12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H14" s="283">
        <f>(H$12&gt;=$F$2)*_xlfn.LET(_xlpm.yr,H$12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0</v>
      </c>
      <c r="I14" s="283">
        <f>(I$12&gt;=$F$2)*_xlfn.LET(_xlpm.yr,I$12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16626.1579776</v>
      </c>
      <c r="J14" s="283">
        <f>(J$12&gt;=$F$2)*_xlfn.LET(_xlpm.yr,J$12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16958.681137152002</v>
      </c>
      <c r="K14" s="283">
        <f>(K$12&gt;=$F$2)*_xlfn.LET(_xlpm.yr,K$12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17297.854759895043</v>
      </c>
      <c r="L14" s="283">
        <f>(L$12&gt;=$F$2)*_xlfn.LET(_xlpm.yr,L$12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17643.811855092939</v>
      </c>
      <c r="M14" s="283">
        <f>(M$12&gt;=$F$2)*_xlfn.LET(_xlpm.yr,M$12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17996.6880921948</v>
      </c>
      <c r="N14" s="283">
        <f>(N$12&gt;=$F$2)*_xlfn.LET(_xlpm.yr,N$12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18356.621854038694</v>
      </c>
      <c r="O14" s="283">
        <f>(O$12&gt;=$F$2)*_xlfn.LET(_xlpm.yr,O$12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18723.754291119469</v>
      </c>
      <c r="P14" s="283">
        <f>(P$12&gt;=$F$2)*_xlfn.LET(_xlpm.yr,P$12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19098.229376941857</v>
      </c>
      <c r="Q14" s="283">
        <f>(Q$12&gt;=$F$2)*_xlfn.LET(_xlpm.yr,Q$12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19480.193964480692</v>
      </c>
      <c r="R14" s="283">
        <f>(R$12&gt;=$F$2)*_xlfn.LET(_xlpm.yr,R$12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19869.79784377031</v>
      </c>
      <c r="S14" s="283">
        <f>(S$12&gt;=$F$2)*_xlfn.LET(_xlpm.yr,S$12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20267.193800645717</v>
      </c>
      <c r="T14" s="283">
        <f>(T$12&gt;=$F$2)*_xlfn.LET(_xlpm.yr,T$12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20672.537676658631</v>
      </c>
      <c r="U14" s="283">
        <f>(U$12&gt;=$F$2)*_xlfn.LET(_xlpm.yr,U$12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21085.988430191799</v>
      </c>
      <c r="V14" s="283">
        <f>(V$12&gt;=$F$2)*_xlfn.LET(_xlpm.yr,V$12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21507.708198795634</v>
      </c>
      <c r="W14" s="283">
        <f>(W$12&gt;=$F$2)*_xlfn.LET(_xlpm.yr,W$12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21937.86236277155</v>
      </c>
      <c r="X14" s="283">
        <f>(X$12&gt;=$F$2)*_xlfn.LET(_xlpm.yr,X$12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22376.619610026981</v>
      </c>
      <c r="Y14" s="283">
        <f>(Y$12&gt;=$F$2)*_xlfn.LET(_xlpm.yr,Y$12,_xlpm.base,$E$12,_xlpm.exp,2035,_xlpm.gPre,$E$5,_xlpm.gPost,$F$5,_xlpm.preYrs,MAX(0,MIN(_xlpm.yr,_xlpm.exp-1)-_xlpm.base),_xlpm.postYrs,(_xlpm.yr-_xlpm.base)-_xlpm.preYrs,_xlpm.grow,(1+_xlpm.gPre)^_xlpm.preYrs*(1+_xlpm.gPost)^_xlpm.postYrs,(INDEX('01_Base Yr. Inputs'!$C$5:$S$23,MATCH($C14,'01_Base Yr. Inputs'!$B$5:$B$23,0),MATCH($C$1,'01_Base Yr. Inputs'!$C$3:$S$3,0)))*_xlpm.grow)</f>
        <v>22824.152002227518</v>
      </c>
    </row>
    <row r="15" spans="3:25" ht="13.5" customHeight="1">
      <c r="C15" s="10" t="s">
        <v>332</v>
      </c>
      <c r="E15" s="283">
        <f>(E$12&gt;=$F$2)*_xlfn.LET(_xlpm.yr,E$12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F15" s="283">
        <f>(F$12&gt;=$F$2)*_xlfn.LET(_xlpm.yr,F$12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G15" s="283">
        <f>(G$12&gt;=$F$2)*_xlfn.LET(_xlpm.yr,G$12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H15" s="283">
        <f>(H$12&gt;=$F$2)*_xlfn.LET(_xlpm.yr,H$12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I15" s="283">
        <f>(I$12&gt;=$F$2)*_xlfn.LET(_xlpm.yr,I$12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J15" s="283">
        <f>(J$12&gt;=$F$2)*_xlfn.LET(_xlpm.yr,J$12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K15" s="283">
        <f>(K$12&gt;=$F$2)*_xlfn.LET(_xlpm.yr,K$12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L15" s="283">
        <f>(L$12&gt;=$F$2)*_xlfn.LET(_xlpm.yr,L$12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M15" s="283">
        <f>(M$12&gt;=$F$2)*_xlfn.LET(_xlpm.yr,M$12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N15" s="283">
        <f>(N$12&gt;=$F$2)*_xlfn.LET(_xlpm.yr,N$12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O15" s="283">
        <f>(O$12&gt;=$F$2)*_xlfn.LET(_xlpm.yr,O$12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P15" s="283">
        <f>(P$12&gt;=$F$2)*_xlfn.LET(_xlpm.yr,P$12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Q15" s="283">
        <f>(Q$12&gt;=$F$2)*_xlfn.LET(_xlpm.yr,Q$12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R15" s="283">
        <f>(R$12&gt;=$F$2)*_xlfn.LET(_xlpm.yr,R$12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S15" s="283">
        <f>(S$12&gt;=$F$2)*_xlfn.LET(_xlpm.yr,S$12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T15" s="283">
        <f>(T$12&gt;=$F$2)*_xlfn.LET(_xlpm.yr,T$12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U15" s="283">
        <f>(U$12&gt;=$F$2)*_xlfn.LET(_xlpm.yr,U$12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V15" s="283">
        <f>(V$12&gt;=$F$2)*_xlfn.LET(_xlpm.yr,V$12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W15" s="283">
        <f>(W$12&gt;=$F$2)*_xlfn.LET(_xlpm.yr,W$12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X15" s="283">
        <f>(X$12&gt;=$F$2)*_xlfn.LET(_xlpm.yr,X$12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c r="Y15" s="283">
        <f>(Y$12&gt;=$F$2)*_xlfn.LET(_xlpm.yr,Y$12,_xlpm.base,$E$12,_xlpm.exp,2035,_xlpm.gPre,$E$5,_xlpm.gPost,$F$5,_xlpm.preYrs,MAX(0,MIN(_xlpm.yr,_xlpm.exp-1)-_xlpm.base),_xlpm.postYrs,(_xlpm.yr-_xlpm.base)-_xlpm.preYrs,_xlpm.grow,(1+_xlpm.gPre)^_xlpm.preYrs*(1+_xlpm.gPost)^_xlpm.postYrs,(INDEX('01_Base Yr. Inputs'!$C$5:$S$23,MATCH($C15,'01_Base Yr. Inputs'!$B$5:$B$23,0),MATCH($C$1,'01_Base Yr. Inputs'!$C$3:$S$3,0)))*_xlpm.grow)</f>
        <v>0</v>
      </c>
    </row>
    <row r="16" spans="3:25" ht="13.5" customHeight="1">
      <c r="C16" s="10" t="s">
        <v>333</v>
      </c>
      <c r="E16" s="283">
        <f>(E$12&gt;=$F$2)*_xlfn.LET(_xlpm.yr,E$12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F16" s="283">
        <f>(F$12&gt;=$F$2)*_xlfn.LET(_xlpm.yr,F$12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G16" s="283">
        <f>(G$12&gt;=$F$2)*_xlfn.LET(_xlpm.yr,G$12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H16" s="283">
        <f>(H$12&gt;=$F$2)*_xlfn.LET(_xlpm.yr,H$12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0</v>
      </c>
      <c r="I16" s="283">
        <f>(I$12&gt;=$F$2)*_xlfn.LET(_xlpm.yr,I$12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25017.172081919998</v>
      </c>
      <c r="J16" s="283">
        <f>(J$12&gt;=$F$2)*_xlfn.LET(_xlpm.yr,J$12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25517.515523558399</v>
      </c>
      <c r="K16" s="283">
        <f>(K$12&gt;=$F$2)*_xlfn.LET(_xlpm.yr,K$12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26027.86583402957</v>
      </c>
      <c r="L16" s="283">
        <f>(L$12&gt;=$F$2)*_xlfn.LET(_xlpm.yr,L$12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26548.423150710154</v>
      </c>
      <c r="M16" s="283">
        <f>(M$12&gt;=$F$2)*_xlfn.LET(_xlpm.yr,M$12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27079.391613724361</v>
      </c>
      <c r="N16" s="283">
        <f>(N$12&gt;=$F$2)*_xlfn.LET(_xlpm.yr,N$12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27620.979445998848</v>
      </c>
      <c r="O16" s="283">
        <f>(O$12&gt;=$F$2)*_xlfn.LET(_xlpm.yr,O$12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28173.399034918828</v>
      </c>
      <c r="P16" s="283">
        <f>(P$12&gt;=$F$2)*_xlfn.LET(_xlpm.yr,P$12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28736.867015617201</v>
      </c>
      <c r="Q16" s="283">
        <f>(Q$12&gt;=$F$2)*_xlfn.LET(_xlpm.yr,Q$12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29311.604355929539</v>
      </c>
      <c r="R16" s="283">
        <f>(R$12&gt;=$F$2)*_xlfn.LET(_xlpm.yr,R$12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29897.836443048134</v>
      </c>
      <c r="S16" s="283">
        <f>(S$12&gt;=$F$2)*_xlfn.LET(_xlpm.yr,S$12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30495.793171909103</v>
      </c>
      <c r="T16" s="283">
        <f>(T$12&gt;=$F$2)*_xlfn.LET(_xlpm.yr,T$12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31105.709035347285</v>
      </c>
      <c r="U16" s="283">
        <f>(U$12&gt;=$F$2)*_xlfn.LET(_xlpm.yr,U$12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31727.823216054221</v>
      </c>
      <c r="V16" s="283">
        <f>(V$12&gt;=$F$2)*_xlfn.LET(_xlpm.yr,V$12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32362.379680375307</v>
      </c>
      <c r="W16" s="283">
        <f>(W$12&gt;=$F$2)*_xlfn.LET(_xlpm.yr,W$12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33009.627273982813</v>
      </c>
      <c r="X16" s="283">
        <f>(X$12&gt;=$F$2)*_xlfn.LET(_xlpm.yr,X$12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33669.819819462478</v>
      </c>
      <c r="Y16" s="283">
        <f>(Y$12&gt;=$F$2)*_xlfn.LET(_xlpm.yr,Y$12,_xlpm.base,$E$12,_xlpm.exp,2035,_xlpm.gPre,$E$5,_xlpm.gPost,$F$5,_xlpm.preYrs,MAX(0,MIN(_xlpm.yr,_xlpm.exp-1)-_xlpm.base),_xlpm.postYrs,(_xlpm.yr-_xlpm.base)-_xlpm.preYrs,_xlpm.grow,(1+_xlpm.gPre)^_xlpm.preYrs*(1+_xlpm.gPost)^_xlpm.postYrs,(INDEX('01_Base Yr. Inputs'!$C$5:$S$23,MATCH($C16,'01_Base Yr. Inputs'!$B$5:$B$23,0),MATCH($C$1,'01_Base Yr. Inputs'!$C$3:$S$3,0)))*_xlpm.grow)</f>
        <v>34343.216215851717</v>
      </c>
    </row>
    <row r="17" spans="3:25" ht="13.5" customHeight="1">
      <c r="C17" s="10" t="s">
        <v>334</v>
      </c>
      <c r="E17" s="283">
        <f>(E$12&gt;=$F$2)*_xlfn.LET(_xlpm.yr,E$12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F17" s="283">
        <f>(F$12&gt;=$F$2)*_xlfn.LET(_xlpm.yr,F$12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G17" s="283">
        <f>(G$12&gt;=$F$2)*_xlfn.LET(_xlpm.yr,G$12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H17" s="283">
        <f>(H$12&gt;=$F$2)*_xlfn.LET(_xlpm.yr,H$12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0</v>
      </c>
      <c r="I17" s="283">
        <f>(I$12&gt;=$F$2)*_xlfn.LET(_xlpm.yr,I$12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6494.5929599999999</v>
      </c>
      <c r="J17" s="283">
        <f>(J$12&gt;=$F$2)*_xlfn.LET(_xlpm.yr,J$12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6624.4848191999999</v>
      </c>
      <c r="K17" s="283">
        <f>(K$12&gt;=$F$2)*_xlfn.LET(_xlpm.yr,K$12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6756.9745155840001</v>
      </c>
      <c r="L17" s="283">
        <f>(L$12&gt;=$F$2)*_xlfn.LET(_xlpm.yr,L$12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6892.1140058956789</v>
      </c>
      <c r="M17" s="283">
        <f>(M$12&gt;=$F$2)*_xlfn.LET(_xlpm.yr,M$12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7029.9562860135929</v>
      </c>
      <c r="N17" s="283">
        <f>(N$12&gt;=$F$2)*_xlfn.LET(_xlpm.yr,N$12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7170.5554117338652</v>
      </c>
      <c r="O17" s="283">
        <f>(O$12&gt;=$F$2)*_xlfn.LET(_xlpm.yr,O$12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7313.9665199685423</v>
      </c>
      <c r="P17" s="283">
        <f>(P$12&gt;=$F$2)*_xlfn.LET(_xlpm.yr,P$12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7460.2458503679136</v>
      </c>
      <c r="Q17" s="283">
        <f>(Q$12&gt;=$F$2)*_xlfn.LET(_xlpm.yr,Q$12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7609.4507673752705</v>
      </c>
      <c r="R17" s="283">
        <f>(R$12&gt;=$F$2)*_xlfn.LET(_xlpm.yr,R$12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7761.6397827227765</v>
      </c>
      <c r="S17" s="283">
        <f>(S$12&gt;=$F$2)*_xlfn.LET(_xlpm.yr,S$12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7916.8725783772325</v>
      </c>
      <c r="T17" s="283">
        <f>(T$12&gt;=$F$2)*_xlfn.LET(_xlpm.yr,T$12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8075.2100299447784</v>
      </c>
      <c r="U17" s="283">
        <f>(U$12&gt;=$F$2)*_xlfn.LET(_xlpm.yr,U$12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8236.7142305436701</v>
      </c>
      <c r="V17" s="283">
        <f>(V$12&gt;=$F$2)*_xlfn.LET(_xlpm.yr,V$12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8401.448515154545</v>
      </c>
      <c r="W17" s="283">
        <f>(W$12&gt;=$F$2)*_xlfn.LET(_xlpm.yr,W$12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8569.4774854576372</v>
      </c>
      <c r="X17" s="283">
        <f>(X$12&gt;=$F$2)*_xlfn.LET(_xlpm.yr,X$12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8740.8670351667897</v>
      </c>
      <c r="Y17" s="283">
        <f>(Y$12&gt;=$F$2)*_xlfn.LET(_xlpm.yr,Y$12,_xlpm.base,$E$12,_xlpm.exp,2035,_xlpm.gPre,$E$5,_xlpm.gPost,$F$5,_xlpm.preYrs,MAX(0,MIN(_xlpm.yr,_xlpm.exp-1)-_xlpm.base),_xlpm.postYrs,(_xlpm.yr-_xlpm.base)-_xlpm.preYrs,_xlpm.grow,(1+_xlpm.gPre)^_xlpm.preYrs*(1+_xlpm.gPost)^_xlpm.postYrs,(INDEX('01_Base Yr. Inputs'!$C$5:$S$23,MATCH($C17,'01_Base Yr. Inputs'!$B$5:$B$23,0),MATCH($C$1,'01_Base Yr. Inputs'!$C$3:$S$3,0)))*_xlpm.grow)</f>
        <v>8915.6843758701234</v>
      </c>
    </row>
    <row r="18" spans="3:25" ht="13.5" customHeight="1">
      <c r="C18" s="11" t="s">
        <v>335</v>
      </c>
      <c r="E18" s="284">
        <f>(E$12&gt;=$F$2)*_xlfn.LET(_xlpm.yr,E$12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F18" s="284">
        <f>(F$12&gt;=$F$2)*_xlfn.LET(_xlpm.yr,F$12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G18" s="284">
        <f>(G$12&gt;=$F$2)*_xlfn.LET(_xlpm.yr,G$12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H18" s="284">
        <f>(H$12&gt;=$F$2)*_xlfn.LET(_xlpm.yr,H$12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I18" s="284">
        <f>(I$12&gt;=$F$2)*_xlfn.LET(_xlpm.yr,I$12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J18" s="284">
        <f>(J$12&gt;=$F$2)*_xlfn.LET(_xlpm.yr,J$12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K18" s="284">
        <f>(K$12&gt;=$F$2)*_xlfn.LET(_xlpm.yr,K$12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L18" s="284">
        <f>(L$12&gt;=$F$2)*_xlfn.LET(_xlpm.yr,L$12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M18" s="284">
        <f>(M$12&gt;=$F$2)*_xlfn.LET(_xlpm.yr,M$12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N18" s="284">
        <f>(N$12&gt;=$F$2)*_xlfn.LET(_xlpm.yr,N$12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O18" s="284">
        <f>(O$12&gt;=$F$2)*_xlfn.LET(_xlpm.yr,O$12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P18" s="284">
        <f>(P$12&gt;=$F$2)*_xlfn.LET(_xlpm.yr,P$12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Q18" s="284">
        <f>(Q$12&gt;=$F$2)*_xlfn.LET(_xlpm.yr,Q$12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R18" s="284">
        <f>(R$12&gt;=$F$2)*_xlfn.LET(_xlpm.yr,R$12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S18" s="284">
        <f>(S$12&gt;=$F$2)*_xlfn.LET(_xlpm.yr,S$12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T18" s="284">
        <f>(T$12&gt;=$F$2)*_xlfn.LET(_xlpm.yr,T$12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U18" s="284">
        <f>(U$12&gt;=$F$2)*_xlfn.LET(_xlpm.yr,U$12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V18" s="284">
        <f>(V$12&gt;=$F$2)*_xlfn.LET(_xlpm.yr,V$12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W18" s="284">
        <f>(W$12&gt;=$F$2)*_xlfn.LET(_xlpm.yr,W$12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X18" s="284">
        <f>(X$12&gt;=$F$2)*_xlfn.LET(_xlpm.yr,X$12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c r="Y18" s="284">
        <f>(Y$12&gt;=$F$2)*_xlfn.LET(_xlpm.yr,Y$12,_xlpm.base,$E$12,_xlpm.exp,2035,_xlpm.gPre,$E$5,_xlpm.gPost,$F$5,_xlpm.preYrs,MAX(0,MIN(_xlpm.yr,_xlpm.exp-1)-_xlpm.base),_xlpm.postYrs,(_xlpm.yr-_xlpm.base)-_xlpm.preYrs,_xlpm.grow,(1+_xlpm.gPre)^_xlpm.preYrs*(1+_xlpm.gPost)^_xlpm.postYrs,(INDEX('01_Base Yr. Inputs'!$C$5:$S$23,MATCH($C18,'01_Base Yr. Inputs'!$B$5:$B$23,0),MATCH($C$1,'01_Base Yr. Inputs'!$C$3:$S$3,0)))*_xlpm.grow)</f>
        <v>0</v>
      </c>
    </row>
    <row r="19" spans="3:25" ht="13.5" customHeight="1">
      <c r="C19" s="3" t="s">
        <v>336</v>
      </c>
      <c r="E19" s="285">
        <f t="shared" ref="E19:Y19" si="2">SUM(E14:E18)</f>
        <v>0</v>
      </c>
      <c r="F19" s="285">
        <f t="shared" si="2"/>
        <v>0</v>
      </c>
      <c r="G19" s="285">
        <f t="shared" si="2"/>
        <v>0</v>
      </c>
      <c r="H19" s="285">
        <f t="shared" si="2"/>
        <v>0</v>
      </c>
      <c r="I19" s="285">
        <f t="shared" si="2"/>
        <v>48137.92301952</v>
      </c>
      <c r="J19" s="285">
        <f t="shared" si="2"/>
        <v>49100.681479910396</v>
      </c>
      <c r="K19" s="285">
        <f t="shared" si="2"/>
        <v>50082.695109508611</v>
      </c>
      <c r="L19" s="285">
        <f t="shared" si="2"/>
        <v>51084.349011698774</v>
      </c>
      <c r="M19" s="285">
        <f t="shared" si="2"/>
        <v>52106.035991932753</v>
      </c>
      <c r="N19" s="285">
        <f t="shared" si="2"/>
        <v>53148.1567117714</v>
      </c>
      <c r="O19" s="285">
        <f t="shared" si="2"/>
        <v>54211.119846006841</v>
      </c>
      <c r="P19" s="285">
        <f t="shared" si="2"/>
        <v>55295.342242926978</v>
      </c>
      <c r="Q19" s="285">
        <f t="shared" si="2"/>
        <v>56401.249087785502</v>
      </c>
      <c r="R19" s="285">
        <f t="shared" si="2"/>
        <v>57529.274069541221</v>
      </c>
      <c r="S19" s="285">
        <f t="shared" si="2"/>
        <v>58679.859550932051</v>
      </c>
      <c r="T19" s="285">
        <f t="shared" si="2"/>
        <v>59853.456741950693</v>
      </c>
      <c r="U19" s="285">
        <f t="shared" si="2"/>
        <v>61050.525876789688</v>
      </c>
      <c r="V19" s="285">
        <f t="shared" si="2"/>
        <v>62271.536394325485</v>
      </c>
      <c r="W19" s="285">
        <f t="shared" si="2"/>
        <v>63516.967122212001</v>
      </c>
      <c r="X19" s="285">
        <f t="shared" si="2"/>
        <v>64787.306464656249</v>
      </c>
      <c r="Y19" s="285">
        <f t="shared" si="2"/>
        <v>66083.052593949367</v>
      </c>
    </row>
    <row r="20" spans="3:25" ht="13.5" customHeight="1">
      <c r="C20" s="10" t="s">
        <v>337</v>
      </c>
      <c r="E20" s="283">
        <f t="shared" ref="E20:Y20" si="3">E13+E19</f>
        <v>0</v>
      </c>
      <c r="F20" s="283">
        <f t="shared" si="3"/>
        <v>0</v>
      </c>
      <c r="G20" s="283">
        <f t="shared" si="3"/>
        <v>0</v>
      </c>
      <c r="H20" s="283">
        <f t="shared" si="3"/>
        <v>0</v>
      </c>
      <c r="I20" s="283">
        <f t="shared" si="3"/>
        <v>2255173.6917299042</v>
      </c>
      <c r="J20" s="283">
        <f t="shared" si="3"/>
        <v>2300277.1655645021</v>
      </c>
      <c r="K20" s="283">
        <f t="shared" si="3"/>
        <v>2346282.7088757921</v>
      </c>
      <c r="L20" s="283">
        <f t="shared" si="3"/>
        <v>2393208.3630533079</v>
      </c>
      <c r="M20" s="283">
        <f t="shared" si="3"/>
        <v>2441072.5303143742</v>
      </c>
      <c r="N20" s="283">
        <f t="shared" si="3"/>
        <v>2489893.9809206617</v>
      </c>
      <c r="O20" s="283">
        <f t="shared" si="3"/>
        <v>2539691.860539075</v>
      </c>
      <c r="P20" s="283">
        <f t="shared" si="3"/>
        <v>2590485.6977498555</v>
      </c>
      <c r="Q20" s="283">
        <f t="shared" si="3"/>
        <v>2642295.4117048532</v>
      </c>
      <c r="R20" s="283">
        <f t="shared" si="3"/>
        <v>2695141.3199389507</v>
      </c>
      <c r="S20" s="283">
        <f t="shared" si="3"/>
        <v>2749044.1463377294</v>
      </c>
      <c r="T20" s="283">
        <f t="shared" si="3"/>
        <v>2804025.0292644831</v>
      </c>
      <c r="U20" s="283">
        <f t="shared" si="3"/>
        <v>2860105.5298497737</v>
      </c>
      <c r="V20" s="283">
        <f t="shared" si="3"/>
        <v>2917307.6404467695</v>
      </c>
      <c r="W20" s="283">
        <f t="shared" si="3"/>
        <v>2975653.7932557045</v>
      </c>
      <c r="X20" s="283">
        <f t="shared" si="3"/>
        <v>3035166.8691208186</v>
      </c>
      <c r="Y20" s="283">
        <f t="shared" si="3"/>
        <v>3095870.2065032353</v>
      </c>
    </row>
    <row r="21" spans="3:25" ht="13.5" customHeight="1">
      <c r="C21" s="11" t="s">
        <v>338</v>
      </c>
      <c r="E21" s="284">
        <f t="shared" ref="E21:Y21" si="4">-E20*$E$7</f>
        <v>0</v>
      </c>
      <c r="F21" s="284">
        <f t="shared" si="4"/>
        <v>0</v>
      </c>
      <c r="G21" s="284">
        <f t="shared" si="4"/>
        <v>0</v>
      </c>
      <c r="H21" s="284">
        <f t="shared" si="4"/>
        <v>0</v>
      </c>
      <c r="I21" s="284">
        <f t="shared" si="4"/>
        <v>-45103.47383459808</v>
      </c>
      <c r="J21" s="284">
        <f t="shared" si="4"/>
        <v>-46005.543311290043</v>
      </c>
      <c r="K21" s="284">
        <f t="shared" si="4"/>
        <v>-46925.65417751584</v>
      </c>
      <c r="L21" s="284">
        <f t="shared" si="4"/>
        <v>-47864.167261066155</v>
      </c>
      <c r="M21" s="284">
        <f t="shared" si="4"/>
        <v>-48821.450606287486</v>
      </c>
      <c r="N21" s="284">
        <f t="shared" si="4"/>
        <v>-49797.879618413237</v>
      </c>
      <c r="O21" s="284">
        <f t="shared" si="4"/>
        <v>-50793.837210781501</v>
      </c>
      <c r="P21" s="284">
        <f t="shared" si="4"/>
        <v>-51809.713954997111</v>
      </c>
      <c r="Q21" s="284">
        <f t="shared" si="4"/>
        <v>-52845.908234097064</v>
      </c>
      <c r="R21" s="284">
        <f t="shared" si="4"/>
        <v>-53902.826398779012</v>
      </c>
      <c r="S21" s="284">
        <f t="shared" si="4"/>
        <v>-54980.882926754588</v>
      </c>
      <c r="T21" s="284">
        <f t="shared" si="4"/>
        <v>-56080.500585289665</v>
      </c>
      <c r="U21" s="284">
        <f t="shared" si="4"/>
        <v>-57202.110596995473</v>
      </c>
      <c r="V21" s="284">
        <f t="shared" si="4"/>
        <v>-58346.152808935389</v>
      </c>
      <c r="W21" s="284">
        <f t="shared" si="4"/>
        <v>-59513.075865114093</v>
      </c>
      <c r="X21" s="284">
        <f t="shared" si="4"/>
        <v>-60703.337382416372</v>
      </c>
      <c r="Y21" s="284">
        <f t="shared" si="4"/>
        <v>-61917.404130064708</v>
      </c>
    </row>
    <row r="22" spans="3:25" ht="13.5" customHeight="1">
      <c r="C22" s="3" t="s">
        <v>339</v>
      </c>
      <c r="E22" s="285">
        <f t="shared" ref="E22:Y22" si="5">E20+E21</f>
        <v>0</v>
      </c>
      <c r="F22" s="285">
        <f t="shared" si="5"/>
        <v>0</v>
      </c>
      <c r="G22" s="285">
        <f t="shared" si="5"/>
        <v>0</v>
      </c>
      <c r="H22" s="285">
        <f t="shared" si="5"/>
        <v>0</v>
      </c>
      <c r="I22" s="285">
        <f t="shared" si="5"/>
        <v>2210070.2178953062</v>
      </c>
      <c r="J22" s="285">
        <f t="shared" si="5"/>
        <v>2254271.6222532121</v>
      </c>
      <c r="K22" s="285">
        <f t="shared" si="5"/>
        <v>2299357.0546982763</v>
      </c>
      <c r="L22" s="285">
        <f t="shared" si="5"/>
        <v>2345344.1957922415</v>
      </c>
      <c r="M22" s="285">
        <f t="shared" si="5"/>
        <v>2392251.0797080868</v>
      </c>
      <c r="N22" s="285">
        <f t="shared" si="5"/>
        <v>2440096.1013022484</v>
      </c>
      <c r="O22" s="285">
        <f t="shared" si="5"/>
        <v>2488898.0233282936</v>
      </c>
      <c r="P22" s="285">
        <f t="shared" si="5"/>
        <v>2538675.9837948582</v>
      </c>
      <c r="Q22" s="285">
        <f t="shared" si="5"/>
        <v>2589449.5034707561</v>
      </c>
      <c r="R22" s="285">
        <f t="shared" si="5"/>
        <v>2641238.4935401715</v>
      </c>
      <c r="S22" s="285">
        <f t="shared" si="5"/>
        <v>2694063.2634109748</v>
      </c>
      <c r="T22" s="285">
        <f t="shared" si="5"/>
        <v>2747944.5286791935</v>
      </c>
      <c r="U22" s="285">
        <f t="shared" si="5"/>
        <v>2802903.4192527784</v>
      </c>
      <c r="V22" s="285">
        <f t="shared" si="5"/>
        <v>2858961.4876378342</v>
      </c>
      <c r="W22" s="285">
        <f t="shared" si="5"/>
        <v>2916140.7173905903</v>
      </c>
      <c r="X22" s="285">
        <f t="shared" si="5"/>
        <v>2974463.5317384023</v>
      </c>
      <c r="Y22" s="285">
        <f t="shared" si="5"/>
        <v>3033952.8023731704</v>
      </c>
    </row>
    <row r="23" spans="3:25" ht="13.5" customHeight="1">
      <c r="C23" s="13" t="s">
        <v>340</v>
      </c>
      <c r="D23" s="13"/>
      <c r="E23" s="295">
        <f t="shared" ref="E23:Y23" si="6">(E$12&gt;=$F$2)*(E$12&lt;=$G$8)*$F$8</f>
        <v>0</v>
      </c>
      <c r="F23" s="295">
        <f t="shared" si="6"/>
        <v>0</v>
      </c>
      <c r="G23" s="295">
        <f t="shared" si="6"/>
        <v>0</v>
      </c>
      <c r="H23" s="295">
        <f t="shared" si="6"/>
        <v>0</v>
      </c>
      <c r="I23" s="295">
        <f t="shared" si="6"/>
        <v>0</v>
      </c>
      <c r="J23" s="295">
        <f t="shared" si="6"/>
        <v>0</v>
      </c>
      <c r="K23" s="295">
        <f t="shared" si="6"/>
        <v>0</v>
      </c>
      <c r="L23" s="295">
        <f t="shared" si="6"/>
        <v>0</v>
      </c>
      <c r="M23" s="295">
        <f t="shared" si="6"/>
        <v>0</v>
      </c>
      <c r="N23" s="295">
        <f t="shared" si="6"/>
        <v>0</v>
      </c>
      <c r="O23" s="295">
        <f t="shared" si="6"/>
        <v>0</v>
      </c>
      <c r="P23" s="295">
        <f t="shared" si="6"/>
        <v>0</v>
      </c>
      <c r="Q23" s="295">
        <f t="shared" si="6"/>
        <v>0</v>
      </c>
      <c r="R23" s="295">
        <f t="shared" si="6"/>
        <v>0</v>
      </c>
      <c r="S23" s="295">
        <f t="shared" si="6"/>
        <v>0</v>
      </c>
      <c r="T23" s="295">
        <f t="shared" si="6"/>
        <v>0</v>
      </c>
      <c r="U23" s="295">
        <f t="shared" si="6"/>
        <v>0</v>
      </c>
      <c r="V23" s="295">
        <f t="shared" si="6"/>
        <v>0</v>
      </c>
      <c r="W23" s="295">
        <f t="shared" si="6"/>
        <v>0</v>
      </c>
      <c r="X23" s="295">
        <f t="shared" si="6"/>
        <v>0</v>
      </c>
      <c r="Y23" s="295">
        <f t="shared" si="6"/>
        <v>0</v>
      </c>
    </row>
    <row r="24" spans="3:25" ht="13.5" customHeight="1">
      <c r="C24" s="14" t="s">
        <v>341</v>
      </c>
      <c r="E24" s="286">
        <f t="shared" ref="E24:Y24" si="7">E22+E23</f>
        <v>0</v>
      </c>
      <c r="F24" s="286">
        <f t="shared" si="7"/>
        <v>0</v>
      </c>
      <c r="G24" s="286">
        <f t="shared" si="7"/>
        <v>0</v>
      </c>
      <c r="H24" s="286">
        <f t="shared" si="7"/>
        <v>0</v>
      </c>
      <c r="I24" s="286">
        <f t="shared" si="7"/>
        <v>2210070.2178953062</v>
      </c>
      <c r="J24" s="286">
        <f t="shared" si="7"/>
        <v>2254271.6222532121</v>
      </c>
      <c r="K24" s="286">
        <f t="shared" si="7"/>
        <v>2299357.0546982763</v>
      </c>
      <c r="L24" s="286">
        <f t="shared" si="7"/>
        <v>2345344.1957922415</v>
      </c>
      <c r="M24" s="286">
        <f t="shared" si="7"/>
        <v>2392251.0797080868</v>
      </c>
      <c r="N24" s="286">
        <f t="shared" si="7"/>
        <v>2440096.1013022484</v>
      </c>
      <c r="O24" s="286">
        <f t="shared" si="7"/>
        <v>2488898.0233282936</v>
      </c>
      <c r="P24" s="286">
        <f t="shared" si="7"/>
        <v>2538675.9837948582</v>
      </c>
      <c r="Q24" s="286">
        <f t="shared" si="7"/>
        <v>2589449.5034707561</v>
      </c>
      <c r="R24" s="286">
        <f t="shared" si="7"/>
        <v>2641238.4935401715</v>
      </c>
      <c r="S24" s="286">
        <f t="shared" si="7"/>
        <v>2694063.2634109748</v>
      </c>
      <c r="T24" s="286">
        <f t="shared" si="7"/>
        <v>2747944.5286791935</v>
      </c>
      <c r="U24" s="286">
        <f t="shared" si="7"/>
        <v>2802903.4192527784</v>
      </c>
      <c r="V24" s="286">
        <f t="shared" si="7"/>
        <v>2858961.4876378342</v>
      </c>
      <c r="W24" s="286">
        <f t="shared" si="7"/>
        <v>2916140.7173905903</v>
      </c>
      <c r="X24" s="286">
        <f t="shared" si="7"/>
        <v>2974463.5317384023</v>
      </c>
      <c r="Y24" s="286">
        <f t="shared" si="7"/>
        <v>3033952.8023731704</v>
      </c>
    </row>
    <row r="25" spans="3:25" ht="7.15" customHeight="1"/>
    <row r="26" spans="3:25" ht="13.5" customHeight="1">
      <c r="C26" s="5" t="s">
        <v>342</v>
      </c>
      <c r="E26" s="5"/>
      <c r="F26" s="5"/>
      <c r="G26" s="5"/>
      <c r="H26" s="5"/>
      <c r="I26" s="5"/>
      <c r="J26" s="5"/>
      <c r="K26" s="5"/>
      <c r="L26" s="5"/>
      <c r="M26" s="5"/>
      <c r="N26" s="5"/>
      <c r="O26" s="5"/>
      <c r="P26" s="5"/>
      <c r="Q26" s="5"/>
      <c r="R26" s="5"/>
      <c r="S26" s="5"/>
      <c r="T26" s="5"/>
      <c r="U26" s="5"/>
      <c r="V26" s="5"/>
      <c r="W26" s="5"/>
      <c r="X26" s="5"/>
      <c r="Y26" s="5"/>
    </row>
    <row r="27" spans="3:25" ht="13.5" customHeight="1">
      <c r="C27" s="10" t="s">
        <v>343</v>
      </c>
      <c r="E27" s="283">
        <f>(E$12&gt;=$F$2)*_xlfn.LET(_xlpm.yr,E$12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F27" s="283">
        <f>(F$12&gt;=$F$2)*_xlfn.LET(_xlpm.yr,F$12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G27" s="283">
        <f>(G$12&gt;=$F$2)*_xlfn.LET(_xlpm.yr,G$12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H27" s="283">
        <f>(H$12&gt;=$F$2)*_xlfn.LET(_xlpm.yr,H$12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0</v>
      </c>
      <c r="I27" s="283">
        <f>(I$12&gt;=$F$2)*_xlfn.LET(_xlpm.yr,I$12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67092.558274560011</v>
      </c>
      <c r="J27" s="283">
        <f>(J$12&gt;=$F$2)*_xlfn.LET(_xlpm.yr,J$12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69776.260605542426</v>
      </c>
      <c r="K27" s="283">
        <f>(K$12&gt;=$F$2)*_xlfn.LET(_xlpm.yr,K$12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72567.311029764111</v>
      </c>
      <c r="L27" s="283">
        <f>(L$12&gt;=$F$2)*_xlfn.LET(_xlpm.yr,L$12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75470.003470954674</v>
      </c>
      <c r="M27" s="283">
        <f>(M$12&gt;=$F$2)*_xlfn.LET(_xlpm.yr,M$12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78488.803609792871</v>
      </c>
      <c r="N27" s="283">
        <f>(N$12&gt;=$F$2)*_xlfn.LET(_xlpm.yr,N$12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81628.355754184595</v>
      </c>
      <c r="O27" s="283">
        <f>(O$12&gt;=$F$2)*_xlfn.LET(_xlpm.yr,O$12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83669.064648039202</v>
      </c>
      <c r="P27" s="283">
        <f>(P$12&gt;=$F$2)*_xlfn.LET(_xlpm.yr,P$12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85760.791264240179</v>
      </c>
      <c r="Q27" s="283">
        <f>(Q$12&gt;=$F$2)*_xlfn.LET(_xlpm.yr,Q$12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87904.811045846189</v>
      </c>
      <c r="R27" s="283">
        <f>(R$12&gt;=$F$2)*_xlfn.LET(_xlpm.yr,R$12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90102.431321992335</v>
      </c>
      <c r="S27" s="283">
        <f>(S$12&gt;=$F$2)*_xlfn.LET(_xlpm.yr,S$12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92354.992105042125</v>
      </c>
      <c r="T27" s="283">
        <f>(T$12&gt;=$F$2)*_xlfn.LET(_xlpm.yr,T$12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94663.866907668184</v>
      </c>
      <c r="U27" s="283">
        <f>(U$12&gt;=$F$2)*_xlfn.LET(_xlpm.yr,U$12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97030.463580359879</v>
      </c>
      <c r="V27" s="283">
        <f>(V$12&gt;=$F$2)*_xlfn.LET(_xlpm.yr,V$12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99456.225169868878</v>
      </c>
      <c r="W27" s="283">
        <f>(W$12&gt;=$F$2)*_xlfn.LET(_xlpm.yr,W$12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101942.63079911558</v>
      </c>
      <c r="X27" s="283">
        <f>(X$12&gt;=$F$2)*_xlfn.LET(_xlpm.yr,X$12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104491.19656909347</v>
      </c>
      <c r="Y27" s="283">
        <f>(Y$12&gt;=$F$2)*_xlfn.LET(_xlpm.yr,Y$12,_xlpm.base,$E$12,_xlpm.exp,2035,_xlpm.gPre,$E$6,_xlpm.gPost,$F$6,_xlpm.preYrs,MAX(0,MIN(_xlpm.yr,_xlpm.exp-1)-_xlpm.base),_xlpm.postYrs,(_xlpm.yr-_xlpm.base)-_xlpm.preYrs,_xlpm.grow,(1+_xlpm.gPre)^_xlpm.preYrs*(1+_xlpm.gPost)^_xlpm.postYrs,(INDEX('01_Base Yr. Inputs'!$C$5:$S$23,MATCH($C27,'01_Base Yr. Inputs'!$B$5:$B$23,0),MATCH($C$1,'01_Base Yr. Inputs'!$C$3:$S$3,0)))*_xlpm.grow)</f>
        <v>107103.4764833208</v>
      </c>
    </row>
    <row r="28" spans="3:25" ht="13.5" customHeight="1">
      <c r="C28" s="10" t="s">
        <v>344</v>
      </c>
      <c r="E28" s="283">
        <f>(E$12&gt;=$F$2)*_xlfn.LET(_xlpm.yr,E$12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F28" s="283">
        <f>(F$12&gt;=$F$2)*_xlfn.LET(_xlpm.yr,F$12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G28" s="283">
        <f>(G$12&gt;=$F$2)*_xlfn.LET(_xlpm.yr,G$12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H28" s="283">
        <f>(H$12&gt;=$F$2)*_xlfn.LET(_xlpm.yr,H$12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0</v>
      </c>
      <c r="I28" s="283">
        <f>(I$12&gt;=$F$2)*_xlfn.LET(_xlpm.yr,I$12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7019.1513600000017</v>
      </c>
      <c r="J28" s="283">
        <f>(J$12&gt;=$F$2)*_xlfn.LET(_xlpm.yr,J$12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7299.9174144000017</v>
      </c>
      <c r="K28" s="283">
        <f>(K$12&gt;=$F$2)*_xlfn.LET(_xlpm.yr,K$12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7591.9141109760021</v>
      </c>
      <c r="L28" s="283">
        <f>(L$12&gt;=$F$2)*_xlfn.LET(_xlpm.yr,L$12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7895.5906754150419</v>
      </c>
      <c r="M28" s="283">
        <f>(M$12&gt;=$F$2)*_xlfn.LET(_xlpm.yr,M$12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8211.4143024316454</v>
      </c>
      <c r="N28" s="283">
        <f>(N$12&gt;=$F$2)*_xlfn.LET(_xlpm.yr,N$12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8539.8708745289114</v>
      </c>
      <c r="O28" s="283">
        <f>(O$12&gt;=$F$2)*_xlfn.LET(_xlpm.yr,O$12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8753.3676463921329</v>
      </c>
      <c r="P28" s="283">
        <f>(P$12&gt;=$F$2)*_xlfn.LET(_xlpm.yr,P$12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8972.2018375519365</v>
      </c>
      <c r="Q28" s="283">
        <f>(Q$12&gt;=$F$2)*_xlfn.LET(_xlpm.yr,Q$12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9196.5068834907343</v>
      </c>
      <c r="R28" s="283">
        <f>(R$12&gt;=$F$2)*_xlfn.LET(_xlpm.yr,R$12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9426.4195555780025</v>
      </c>
      <c r="S28" s="283">
        <f>(S$12&gt;=$F$2)*_xlfn.LET(_xlpm.yr,S$12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9662.0800444674514</v>
      </c>
      <c r="T28" s="283">
        <f>(T$12&gt;=$F$2)*_xlfn.LET(_xlpm.yr,T$12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9903.6320455791374</v>
      </c>
      <c r="U28" s="283">
        <f>(U$12&gt;=$F$2)*_xlfn.LET(_xlpm.yr,U$12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10151.222846718616</v>
      </c>
      <c r="V28" s="283">
        <f>(V$12&gt;=$F$2)*_xlfn.LET(_xlpm.yr,V$12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10405.003417886581</v>
      </c>
      <c r="W28" s="283">
        <f>(W$12&gt;=$F$2)*_xlfn.LET(_xlpm.yr,W$12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10665.128503333743</v>
      </c>
      <c r="X28" s="283">
        <f>(X$12&gt;=$F$2)*_xlfn.LET(_xlpm.yr,X$12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10931.756715917087</v>
      </c>
      <c r="Y28" s="283">
        <f>(Y$12&gt;=$F$2)*_xlfn.LET(_xlpm.yr,Y$12,_xlpm.base,$E$12,_xlpm.exp,2035,_xlpm.gPre,$E$6,_xlpm.gPost,$F$6,_xlpm.preYrs,MAX(0,MIN(_xlpm.yr,_xlpm.exp-1)-_xlpm.base),_xlpm.postYrs,(_xlpm.yr-_xlpm.base)-_xlpm.preYrs,_xlpm.grow,(1+_xlpm.gPre)^_xlpm.preYrs*(1+_xlpm.gPost)^_xlpm.postYrs,(INDEX('01_Base Yr. Inputs'!$C$5:$S$23,MATCH($C28,'01_Base Yr. Inputs'!$B$5:$B$23,0),MATCH($C$1,'01_Base Yr. Inputs'!$C$3:$S$3,0)))*_xlpm.grow)</f>
        <v>11205.050633815013</v>
      </c>
    </row>
    <row r="29" spans="3:25" ht="13.5" customHeight="1">
      <c r="C29" s="10" t="s">
        <v>345</v>
      </c>
      <c r="E29" s="283">
        <f>(E$12&gt;=$F$2)*_xlfn.LET(_xlpm.yr,E$12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F29" s="283">
        <f>(F$12&gt;=$F$2)*_xlfn.LET(_xlpm.yr,F$12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G29" s="283">
        <f>(G$12&gt;=$F$2)*_xlfn.LET(_xlpm.yr,G$12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H29" s="283">
        <f>(H$12&gt;=$F$2)*_xlfn.LET(_xlpm.yr,H$12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0</v>
      </c>
      <c r="I29" s="283">
        <f>(I$12&gt;=$F$2)*_xlfn.LET(_xlpm.yr,I$12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84376.048640000008</v>
      </c>
      <c r="J29" s="283">
        <f>(J$12&gt;=$F$2)*_xlfn.LET(_xlpm.yr,J$12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87751.090585600032</v>
      </c>
      <c r="K29" s="283">
        <f>(K$12&gt;=$F$2)*_xlfn.LET(_xlpm.yr,K$12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91261.134209024021</v>
      </c>
      <c r="L29" s="283">
        <f>(L$12&gt;=$F$2)*_xlfn.LET(_xlpm.yr,L$12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94911.579577384982</v>
      </c>
      <c r="M29" s="283">
        <f>(M$12&gt;=$F$2)*_xlfn.LET(_xlpm.yr,M$12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98708.042760480399</v>
      </c>
      <c r="N29" s="283">
        <f>(N$12&gt;=$F$2)*_xlfn.LET(_xlpm.yr,N$12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102656.36447089961</v>
      </c>
      <c r="O29" s="283">
        <f>(O$12&gt;=$F$2)*_xlfn.LET(_xlpm.yr,O$12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105222.7735826721</v>
      </c>
      <c r="P29" s="283">
        <f>(P$12&gt;=$F$2)*_xlfn.LET(_xlpm.yr,P$12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107853.34292223889</v>
      </c>
      <c r="Q29" s="283">
        <f>(Q$12&gt;=$F$2)*_xlfn.LET(_xlpm.yr,Q$12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110549.67649529487</v>
      </c>
      <c r="R29" s="283">
        <f>(R$12&gt;=$F$2)*_xlfn.LET(_xlpm.yr,R$12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113313.41840767724</v>
      </c>
      <c r="S29" s="283">
        <f>(S$12&gt;=$F$2)*_xlfn.LET(_xlpm.yr,S$12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116146.25386786915</v>
      </c>
      <c r="T29" s="283">
        <f>(T$12&gt;=$F$2)*_xlfn.LET(_xlpm.yr,T$12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119049.91021456588</v>
      </c>
      <c r="U29" s="283">
        <f>(U$12&gt;=$F$2)*_xlfn.LET(_xlpm.yr,U$12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122026.15796993002</v>
      </c>
      <c r="V29" s="283">
        <f>(V$12&gt;=$F$2)*_xlfn.LET(_xlpm.yr,V$12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125076.81191917826</v>
      </c>
      <c r="W29" s="283">
        <f>(W$12&gt;=$F$2)*_xlfn.LET(_xlpm.yr,W$12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128203.7322171577</v>
      </c>
      <c r="X29" s="283">
        <f>(X$12&gt;=$F$2)*_xlfn.LET(_xlpm.yr,X$12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131408.82552258665</v>
      </c>
      <c r="Y29" s="283">
        <f>(Y$12&gt;=$F$2)*_xlfn.LET(_xlpm.yr,Y$12,_xlpm.base,$E$12,_xlpm.exp,2035,_xlpm.gPre,$E$6,_xlpm.gPost,$F$6,_xlpm.preYrs,MAX(0,MIN(_xlpm.yr,_xlpm.exp-1)-_xlpm.base),_xlpm.postYrs,(_xlpm.yr-_xlpm.base)-_xlpm.preYrs,_xlpm.grow,(1+_xlpm.gPre)^_xlpm.preYrs*(1+_xlpm.gPost)^_xlpm.postYrs,(INDEX('01_Base Yr. Inputs'!$C$5:$S$23,MATCH($C29,'01_Base Yr. Inputs'!$B$5:$B$23,0),MATCH($C$1,'01_Base Yr. Inputs'!$C$3:$S$3,0)))*_xlpm.grow)</f>
        <v>134694.04616065131</v>
      </c>
    </row>
    <row r="30" spans="3:25" ht="13.5" customHeight="1">
      <c r="C30" s="10" t="s">
        <v>346</v>
      </c>
      <c r="E30" s="283">
        <f>(E$12&gt;=$F$2)*_xlfn.LET(_xlpm.yr,E$12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F30" s="283">
        <f>(F$12&gt;=$F$2)*_xlfn.LET(_xlpm.yr,F$12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G30" s="283">
        <f>(G$12&gt;=$F$2)*_xlfn.LET(_xlpm.yr,G$12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H30" s="283">
        <f>(H$12&gt;=$F$2)*_xlfn.LET(_xlpm.yr,H$12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0</v>
      </c>
      <c r="I30" s="283">
        <f>(I$12&gt;=$F$2)*_xlfn.LET(_xlpm.yr,I$12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33256.739143680003</v>
      </c>
      <c r="J30" s="283">
        <f>(J$12&gt;=$F$2)*_xlfn.LET(_xlpm.yr,J$12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34587.008709427209</v>
      </c>
      <c r="K30" s="283">
        <f>(K$12&gt;=$F$2)*_xlfn.LET(_xlpm.yr,K$12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35970.489057804298</v>
      </c>
      <c r="L30" s="283">
        <f>(L$12&gt;=$F$2)*_xlfn.LET(_xlpm.yr,L$12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37409.30862011647</v>
      </c>
      <c r="M30" s="283">
        <f>(M$12&gt;=$F$2)*_xlfn.LET(_xlpm.yr,M$12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38905.680964921135</v>
      </c>
      <c r="N30" s="283">
        <f>(N$12&gt;=$F$2)*_xlfn.LET(_xlpm.yr,N$12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40461.908203517982</v>
      </c>
      <c r="O30" s="283">
        <f>(O$12&gt;=$F$2)*_xlfn.LET(_xlpm.yr,O$12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41473.455908605923</v>
      </c>
      <c r="P30" s="283">
        <f>(P$12&gt;=$F$2)*_xlfn.LET(_xlpm.yr,P$12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42510.292306321076</v>
      </c>
      <c r="Q30" s="283">
        <f>(Q$12&gt;=$F$2)*_xlfn.LET(_xlpm.yr,Q$12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43573.049613979099</v>
      </c>
      <c r="R30" s="283">
        <f>(R$12&gt;=$F$2)*_xlfn.LET(_xlpm.yr,R$12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44662.375854328573</v>
      </c>
      <c r="S30" s="283">
        <f>(S$12&gt;=$F$2)*_xlfn.LET(_xlpm.yr,S$12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45778.93525068678</v>
      </c>
      <c r="T30" s="283">
        <f>(T$12&gt;=$F$2)*_xlfn.LET(_xlpm.yr,T$12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46923.408631953949</v>
      </c>
      <c r="U30" s="283">
        <f>(U$12&gt;=$F$2)*_xlfn.LET(_xlpm.yr,U$12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48096.493847752798</v>
      </c>
      <c r="V30" s="283">
        <f>(V$12&gt;=$F$2)*_xlfn.LET(_xlpm.yr,V$12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49298.906193946619</v>
      </c>
      <c r="W30" s="283">
        <f>(W$12&gt;=$F$2)*_xlfn.LET(_xlpm.yr,W$12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50531.37884879527</v>
      </c>
      <c r="X30" s="283">
        <f>(X$12&gt;=$F$2)*_xlfn.LET(_xlpm.yr,X$12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51794.663320015155</v>
      </c>
      <c r="Y30" s="283">
        <f>(Y$12&gt;=$F$2)*_xlfn.LET(_xlpm.yr,Y$12,_xlpm.base,$E$12,_xlpm.exp,2035,_xlpm.gPre,$E$6,_xlpm.gPost,$F$6,_xlpm.preYrs,MAX(0,MIN(_xlpm.yr,_xlpm.exp-1)-_xlpm.base),_xlpm.postYrs,(_xlpm.yr-_xlpm.base)-_xlpm.preYrs,_xlpm.grow,(1+_xlpm.gPre)^_xlpm.preYrs*(1+_xlpm.gPost)^_xlpm.postYrs,(INDEX('01_Base Yr. Inputs'!$C$5:$S$23,MATCH($C30,'01_Base Yr. Inputs'!$B$5:$B$23,0),MATCH($C$1,'01_Base Yr. Inputs'!$C$3:$S$3,0)))*_xlpm.grow)</f>
        <v>53089.529903015537</v>
      </c>
    </row>
    <row r="31" spans="3:25" ht="13.5" customHeight="1">
      <c r="C31" s="10" t="s">
        <v>347</v>
      </c>
      <c r="E31" s="283">
        <f>(E$12&gt;=$F$2)*_xlfn.LET(_xlpm.yr,E$12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F31" s="283">
        <f>(F$12&gt;=$F$2)*_xlfn.LET(_xlpm.yr,F$12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G31" s="283">
        <f>(G$12&gt;=$F$2)*_xlfn.LET(_xlpm.yr,G$12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H31" s="283">
        <f>(H$12&gt;=$F$2)*_xlfn.LET(_xlpm.yr,H$12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0</v>
      </c>
      <c r="I31" s="283">
        <f>(I$12&gt;=$F$2)*_xlfn.LET(_xlpm.yr,I$12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138570.91629056004</v>
      </c>
      <c r="J31" s="283">
        <f>(J$12&gt;=$F$2)*_xlfn.LET(_xlpm.yr,J$12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144113.75294218244</v>
      </c>
      <c r="K31" s="283">
        <f>(K$12&gt;=$F$2)*_xlfn.LET(_xlpm.yr,K$12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149878.30305986974</v>
      </c>
      <c r="L31" s="283">
        <f>(L$12&gt;=$F$2)*_xlfn.LET(_xlpm.yr,L$12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155873.43518226451</v>
      </c>
      <c r="M31" s="283">
        <f>(M$12&gt;=$F$2)*_xlfn.LET(_xlpm.yr,M$12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162108.37258955513</v>
      </c>
      <c r="N31" s="283">
        <f>(N$12&gt;=$F$2)*_xlfn.LET(_xlpm.yr,N$12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168592.70749313734</v>
      </c>
      <c r="O31" s="283">
        <f>(O$12&gt;=$F$2)*_xlfn.LET(_xlpm.yr,O$12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172807.52518046575</v>
      </c>
      <c r="P31" s="283">
        <f>(P$12&gt;=$F$2)*_xlfn.LET(_xlpm.yr,P$12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177127.71330997741</v>
      </c>
      <c r="Q31" s="283">
        <f>(Q$12&gt;=$F$2)*_xlfn.LET(_xlpm.yr,Q$12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181555.90614272683</v>
      </c>
      <c r="R31" s="283">
        <f>(R$12&gt;=$F$2)*_xlfn.LET(_xlpm.yr,R$12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186094.80379629499</v>
      </c>
      <c r="S31" s="283">
        <f>(S$12&gt;=$F$2)*_xlfn.LET(_xlpm.yr,S$12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190747.17389120234</v>
      </c>
      <c r="T31" s="283">
        <f>(T$12&gt;=$F$2)*_xlfn.LET(_xlpm.yr,T$12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195515.85323848241</v>
      </c>
      <c r="U31" s="283">
        <f>(U$12&gt;=$F$2)*_xlfn.LET(_xlpm.yr,U$12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200403.74956944445</v>
      </c>
      <c r="V31" s="283">
        <f>(V$12&gt;=$F$2)*_xlfn.LET(_xlpm.yr,V$12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205413.84330868055</v>
      </c>
      <c r="W31" s="283">
        <f>(W$12&gt;=$F$2)*_xlfn.LET(_xlpm.yr,W$12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210549.18939139752</v>
      </c>
      <c r="X31" s="283">
        <f>(X$12&gt;=$F$2)*_xlfn.LET(_xlpm.yr,X$12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215812.91912618247</v>
      </c>
      <c r="Y31" s="283">
        <f>(Y$12&gt;=$F$2)*_xlfn.LET(_xlpm.yr,Y$12,_xlpm.base,$E$12,_xlpm.exp,2035,_xlpm.gPre,$E$6,_xlpm.gPost,$F$6,_xlpm.preYrs,MAX(0,MIN(_xlpm.yr,_xlpm.exp-1)-_xlpm.base),_xlpm.postYrs,(_xlpm.yr-_xlpm.base)-_xlpm.preYrs,_xlpm.grow,(1+_xlpm.gPre)^_xlpm.preYrs*(1+_xlpm.gPost)^_xlpm.postYrs,(INDEX('01_Base Yr. Inputs'!$C$5:$S$23,MATCH($C31,'01_Base Yr. Inputs'!$B$5:$B$23,0),MATCH($C$1,'01_Base Yr. Inputs'!$C$3:$S$3,0)))*_xlpm.grow)</f>
        <v>221208.24210433703</v>
      </c>
    </row>
    <row r="32" spans="3:25" ht="13.5" customHeight="1">
      <c r="C32" s="10" t="s">
        <v>348</v>
      </c>
      <c r="E32" s="283">
        <f>(E$12&gt;=$F$2)*_xlfn.LET(_xlpm.yr,E$12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F32" s="283">
        <f>(F$12&gt;=$F$2)*_xlfn.LET(_xlpm.yr,F$12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G32" s="283">
        <f>(G$12&gt;=$F$2)*_xlfn.LET(_xlpm.yr,G$12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H32" s="283">
        <f>(H$12&gt;=$F$2)*_xlfn.LET(_xlpm.yr,H$12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0</v>
      </c>
      <c r="I32" s="283">
        <f>(I$12&gt;=$F$2)*_xlfn.LET(_xlpm.yr,I$12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55429.068431360007</v>
      </c>
      <c r="J32" s="283">
        <f>(J$12&gt;=$F$2)*_xlfn.LET(_xlpm.yr,J$12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57646.231168614417</v>
      </c>
      <c r="K32" s="283">
        <f>(K$12&gt;=$F$2)*_xlfn.LET(_xlpm.yr,K$12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59952.080415358992</v>
      </c>
      <c r="L32" s="283">
        <f>(L$12&gt;=$F$2)*_xlfn.LET(_xlpm.yr,L$12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62350.163631973344</v>
      </c>
      <c r="M32" s="283">
        <f>(M$12&gt;=$F$2)*_xlfn.LET(_xlpm.yr,M$12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64844.170177252294</v>
      </c>
      <c r="N32" s="283">
        <f>(N$12&gt;=$F$2)*_xlfn.LET(_xlpm.yr,N$12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67437.936984342392</v>
      </c>
      <c r="O32" s="283">
        <f>(O$12&gt;=$F$2)*_xlfn.LET(_xlpm.yr,O$12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69123.88540895094</v>
      </c>
      <c r="P32" s="283">
        <f>(P$12&gt;=$F$2)*_xlfn.LET(_xlpm.yr,P$12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70851.982544174709</v>
      </c>
      <c r="Q32" s="283">
        <f>(Q$12&gt;=$F$2)*_xlfn.LET(_xlpm.yr,Q$12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72623.282107779087</v>
      </c>
      <c r="R32" s="283">
        <f>(R$12&gt;=$F$2)*_xlfn.LET(_xlpm.yr,R$12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74438.864160473546</v>
      </c>
      <c r="S32" s="283">
        <f>(S$12&gt;=$F$2)*_xlfn.LET(_xlpm.yr,S$12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76299.835764485382</v>
      </c>
      <c r="T32" s="283">
        <f>(T$12&gt;=$F$2)*_xlfn.LET(_xlpm.yr,T$12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78207.331658597512</v>
      </c>
      <c r="U32" s="283">
        <f>(U$12&gt;=$F$2)*_xlfn.LET(_xlpm.yr,U$12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80162.514950062454</v>
      </c>
      <c r="V32" s="283">
        <f>(V$12&gt;=$F$2)*_xlfn.LET(_xlpm.yr,V$12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82166.577823814005</v>
      </c>
      <c r="W32" s="283">
        <f>(W$12&gt;=$F$2)*_xlfn.LET(_xlpm.yr,W$12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84220.74226940934</v>
      </c>
      <c r="X32" s="283">
        <f>(X$12&gt;=$F$2)*_xlfn.LET(_xlpm.yr,X$12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86326.260826144586</v>
      </c>
      <c r="Y32" s="283">
        <f>(Y$12&gt;=$F$2)*_xlfn.LET(_xlpm.yr,Y$12,_xlpm.base,$E$12,_xlpm.exp,2035,_xlpm.gPre,$E$6,_xlpm.gPost,$F$6,_xlpm.preYrs,MAX(0,MIN(_xlpm.yr,_xlpm.exp-1)-_xlpm.base),_xlpm.postYrs,(_xlpm.yr-_xlpm.base)-_xlpm.preYrs,_xlpm.grow,(1+_xlpm.gPre)^_xlpm.preYrs*(1+_xlpm.gPost)^_xlpm.postYrs,(INDEX('01_Base Yr. Inputs'!$C$5:$S$23,MATCH($C32,'01_Base Yr. Inputs'!$B$5:$B$23,0),MATCH($C$1,'01_Base Yr. Inputs'!$C$3:$S$3,0)))*_xlpm.grow)</f>
        <v>88484.417346798189</v>
      </c>
    </row>
    <row r="33" spans="3:25" ht="13.5" customHeight="1">
      <c r="C33" s="10" t="s">
        <v>349</v>
      </c>
      <c r="E33" s="283">
        <f>(E$12&gt;=$F$2)*_xlfn.LET(_xlpm.yr,E$12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F33" s="283">
        <f>(F$12&gt;=$F$2)*_xlfn.LET(_xlpm.yr,F$12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G33" s="283">
        <f>(G$12&gt;=$F$2)*_xlfn.LET(_xlpm.yr,G$12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H33" s="283">
        <f>(H$12&gt;=$F$2)*_xlfn.LET(_xlpm.yr,H$12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I33" s="283">
        <f>(I$12&gt;=$F$2)*_xlfn.LET(_xlpm.yr,I$12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J33" s="283">
        <f>(J$12&gt;=$F$2)*_xlfn.LET(_xlpm.yr,J$12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K33" s="283">
        <f>(K$12&gt;=$F$2)*_xlfn.LET(_xlpm.yr,K$12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L33" s="283">
        <f>(L$12&gt;=$F$2)*_xlfn.LET(_xlpm.yr,L$12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M33" s="283">
        <f>(M$12&gt;=$F$2)*_xlfn.LET(_xlpm.yr,M$12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N33" s="283">
        <f>(N$12&gt;=$F$2)*_xlfn.LET(_xlpm.yr,N$12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O33" s="283">
        <f>(O$12&gt;=$F$2)*_xlfn.LET(_xlpm.yr,O$12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P33" s="283">
        <f>(P$12&gt;=$F$2)*_xlfn.LET(_xlpm.yr,P$12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Q33" s="283">
        <f>(Q$12&gt;=$F$2)*_xlfn.LET(_xlpm.yr,Q$12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R33" s="283">
        <f>(R$12&gt;=$F$2)*_xlfn.LET(_xlpm.yr,R$12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S33" s="283">
        <f>(S$12&gt;=$F$2)*_xlfn.LET(_xlpm.yr,S$12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T33" s="283">
        <f>(T$12&gt;=$F$2)*_xlfn.LET(_xlpm.yr,T$12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U33" s="283">
        <f>(U$12&gt;=$F$2)*_xlfn.LET(_xlpm.yr,U$12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V33" s="283">
        <f>(V$12&gt;=$F$2)*_xlfn.LET(_xlpm.yr,V$12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W33" s="283">
        <f>(W$12&gt;=$F$2)*_xlfn.LET(_xlpm.yr,W$12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X33" s="283">
        <f>(X$12&gt;=$F$2)*_xlfn.LET(_xlpm.yr,X$12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c r="Y33" s="283">
        <f>(Y$12&gt;=$F$2)*_xlfn.LET(_xlpm.yr,Y$12,_xlpm.base,$E$12,_xlpm.exp,2035,_xlpm.gPre,$E$6,_xlpm.gPost,$F$6,_xlpm.preYrs,MAX(0,MIN(_xlpm.yr,_xlpm.exp-1)-_xlpm.base),_xlpm.postYrs,(_xlpm.yr-_xlpm.base)-_xlpm.preYrs,_xlpm.grow,(1+_xlpm.gPre)^_xlpm.preYrs*(1+_xlpm.gPost)^_xlpm.postYrs,(INDEX('01_Base Yr. Inputs'!$C$5:$S$23,MATCH($C33,'01_Base Yr. Inputs'!$B$5:$B$23,0),MATCH($C$1,'01_Base Yr. Inputs'!$C$3:$S$3,0)))*_xlpm.grow)</f>
        <v>0</v>
      </c>
    </row>
    <row r="34" spans="3:25" ht="13.5" customHeight="1">
      <c r="C34" s="10" t="s">
        <v>350</v>
      </c>
      <c r="E34" s="283">
        <f>(E$12&gt;=$F$2)*_xlfn.LET(_xlpm.yr,E$12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F34" s="283">
        <f>(F$12&gt;=$F$2)*_xlfn.LET(_xlpm.yr,F$12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G34" s="283">
        <f>(G$12&gt;=$F$2)*_xlfn.LET(_xlpm.yr,G$12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H34" s="283">
        <f>(H$12&gt;=$F$2)*_xlfn.LET(_xlpm.yr,H$12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I34" s="283">
        <f>(I$12&gt;=$F$2)*_xlfn.LET(_xlpm.yr,I$12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J34" s="283">
        <f>(J$12&gt;=$F$2)*_xlfn.LET(_xlpm.yr,J$12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K34" s="283">
        <f>(K$12&gt;=$F$2)*_xlfn.LET(_xlpm.yr,K$12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L34" s="283">
        <f>(L$12&gt;=$F$2)*_xlfn.LET(_xlpm.yr,L$12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M34" s="283">
        <f>(M$12&gt;=$F$2)*_xlfn.LET(_xlpm.yr,M$12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N34" s="283">
        <f>(N$12&gt;=$F$2)*_xlfn.LET(_xlpm.yr,N$12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O34" s="283">
        <f>(O$12&gt;=$F$2)*_xlfn.LET(_xlpm.yr,O$12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P34" s="283">
        <f>(P$12&gt;=$F$2)*_xlfn.LET(_xlpm.yr,P$12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Q34" s="283">
        <f>(Q$12&gt;=$F$2)*_xlfn.LET(_xlpm.yr,Q$12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R34" s="283">
        <f>(R$12&gt;=$F$2)*_xlfn.LET(_xlpm.yr,R$12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S34" s="283">
        <f>(S$12&gt;=$F$2)*_xlfn.LET(_xlpm.yr,S$12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T34" s="283">
        <f>(T$12&gt;=$F$2)*_xlfn.LET(_xlpm.yr,T$12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U34" s="283">
        <f>(U$12&gt;=$F$2)*_xlfn.LET(_xlpm.yr,U$12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V34" s="283">
        <f>(V$12&gt;=$F$2)*_xlfn.LET(_xlpm.yr,V$12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W34" s="283">
        <f>(W$12&gt;=$F$2)*_xlfn.LET(_xlpm.yr,W$12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X34" s="283">
        <f>(X$12&gt;=$F$2)*_xlfn.LET(_xlpm.yr,X$12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c r="Y34" s="283">
        <f>(Y$12&gt;=$F$2)*_xlfn.LET(_xlpm.yr,Y$12,_xlpm.base,$E$12,_xlpm.exp,2035,_xlpm.gPre,$E$6,_xlpm.gPost,$F$6,_xlpm.preYrs,MAX(0,MIN(_xlpm.yr,_xlpm.exp-1)-_xlpm.base),_xlpm.postYrs,(_xlpm.yr-_xlpm.base)-_xlpm.preYrs,_xlpm.grow,(1+_xlpm.gPre)^_xlpm.preYrs*(1+_xlpm.gPost)^_xlpm.postYrs,(INDEX('01_Base Yr. Inputs'!$C$5:$S$23,MATCH($C34,'01_Base Yr. Inputs'!$B$5:$B$23,0),MATCH($C$1,'01_Base Yr. Inputs'!$C$3:$S$3,0)))*_xlpm.grow)</f>
        <v>0</v>
      </c>
    </row>
    <row r="35" spans="3:25" ht="13.5" customHeight="1">
      <c r="C35" s="10" t="s">
        <v>351</v>
      </c>
      <c r="E35" s="283">
        <f>(E$12&gt;=$F$2)*_xlfn.LET(_xlpm.yr,E$12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F35" s="283">
        <f>(F$12&gt;=$F$2)*_xlfn.LET(_xlpm.yr,F$12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G35" s="283">
        <f>(G$12&gt;=$F$2)*_xlfn.LET(_xlpm.yr,G$12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H35" s="283">
        <f>(H$12&gt;=$F$2)*_xlfn.LET(_xlpm.yr,H$12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0</v>
      </c>
      <c r="I35" s="283">
        <f>(I$12&gt;=$F$2)*_xlfn.LET(_xlpm.yr,I$12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70191.513600000006</v>
      </c>
      <c r="J35" s="283">
        <f>(J$12&gt;=$F$2)*_xlfn.LET(_xlpm.yr,J$12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72999.174144000019</v>
      </c>
      <c r="K35" s="283">
        <f>(K$12&gt;=$F$2)*_xlfn.LET(_xlpm.yr,K$12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75919.141109760021</v>
      </c>
      <c r="L35" s="283">
        <f>(L$12&gt;=$F$2)*_xlfn.LET(_xlpm.yr,L$12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78955.906754150419</v>
      </c>
      <c r="M35" s="283">
        <f>(M$12&gt;=$F$2)*_xlfn.LET(_xlpm.yr,M$12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82114.14302431645</v>
      </c>
      <c r="N35" s="283">
        <f>(N$12&gt;=$F$2)*_xlfn.LET(_xlpm.yr,N$12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85398.708745289114</v>
      </c>
      <c r="O35" s="283">
        <f>(O$12&gt;=$F$2)*_xlfn.LET(_xlpm.yr,O$12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87533.676463921336</v>
      </c>
      <c r="P35" s="283">
        <f>(P$12&gt;=$F$2)*_xlfn.LET(_xlpm.yr,P$12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89722.018375519358</v>
      </c>
      <c r="Q35" s="283">
        <f>(Q$12&gt;=$F$2)*_xlfn.LET(_xlpm.yr,Q$12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91965.068834907346</v>
      </c>
      <c r="R35" s="283">
        <f>(R$12&gt;=$F$2)*_xlfn.LET(_xlpm.yr,R$12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94264.195555780025</v>
      </c>
      <c r="S35" s="283">
        <f>(S$12&gt;=$F$2)*_xlfn.LET(_xlpm.yr,S$12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96620.800444674504</v>
      </c>
      <c r="T35" s="283">
        <f>(T$12&gt;=$F$2)*_xlfn.LET(_xlpm.yr,T$12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99036.32045579137</v>
      </c>
      <c r="U35" s="283">
        <f>(U$12&gt;=$F$2)*_xlfn.LET(_xlpm.yr,U$12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101512.22846718616</v>
      </c>
      <c r="V35" s="283">
        <f>(V$12&gt;=$F$2)*_xlfn.LET(_xlpm.yr,V$12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104050.0341788658</v>
      </c>
      <c r="W35" s="283">
        <f>(W$12&gt;=$F$2)*_xlfn.LET(_xlpm.yr,W$12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106651.28503333742</v>
      </c>
      <c r="X35" s="283">
        <f>(X$12&gt;=$F$2)*_xlfn.LET(_xlpm.yr,X$12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109317.56715917087</v>
      </c>
      <c r="Y35" s="283">
        <f>(Y$12&gt;=$F$2)*_xlfn.LET(_xlpm.yr,Y$12,_xlpm.base,$E$12,_xlpm.exp,2035,_xlpm.gPre,$E$6,_xlpm.gPost,$F$6,_xlpm.preYrs,MAX(0,MIN(_xlpm.yr,_xlpm.exp-1)-_xlpm.base),_xlpm.postYrs,(_xlpm.yr-_xlpm.base)-_xlpm.preYrs,_xlpm.grow,(1+_xlpm.gPre)^_xlpm.preYrs*(1+_xlpm.gPost)^_xlpm.postYrs,(INDEX('01_Base Yr. Inputs'!$C$5:$S$23,MATCH($C35,'01_Base Yr. Inputs'!$B$5:$B$23,0),MATCH($C$1,'01_Base Yr. Inputs'!$C$3:$S$3,0)))*_xlpm.grow)</f>
        <v>112050.50633815014</v>
      </c>
    </row>
    <row r="36" spans="3:25" ht="13.5" customHeight="1">
      <c r="C36" s="10" t="s">
        <v>352</v>
      </c>
      <c r="E36" s="283">
        <f>(E$12&gt;=$F$2)*_xlfn.LET(_xlpm.yr,E$12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F36" s="283">
        <f>(F$12&gt;=$F$2)*_xlfn.LET(_xlpm.yr,F$12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G36" s="283">
        <f>(G$12&gt;=$F$2)*_xlfn.LET(_xlpm.yr,G$12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H36" s="283">
        <f>(H$12&gt;=$F$2)*_xlfn.LET(_xlpm.yr,H$12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0</v>
      </c>
      <c r="I36" s="283">
        <f>(I$12&gt;=$F$2)*_xlfn.LET(_xlpm.yr,I$12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33256.739143680003</v>
      </c>
      <c r="J36" s="283">
        <f>(J$12&gt;=$F$2)*_xlfn.LET(_xlpm.yr,J$12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34587.008709427209</v>
      </c>
      <c r="K36" s="283">
        <f>(K$12&gt;=$F$2)*_xlfn.LET(_xlpm.yr,K$12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35970.489057804298</v>
      </c>
      <c r="L36" s="283">
        <f>(L$12&gt;=$F$2)*_xlfn.LET(_xlpm.yr,L$12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37409.30862011647</v>
      </c>
      <c r="M36" s="283">
        <f>(M$12&gt;=$F$2)*_xlfn.LET(_xlpm.yr,M$12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38905.680964921135</v>
      </c>
      <c r="N36" s="283">
        <f>(N$12&gt;=$F$2)*_xlfn.LET(_xlpm.yr,N$12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40461.908203517982</v>
      </c>
      <c r="O36" s="283">
        <f>(O$12&gt;=$F$2)*_xlfn.LET(_xlpm.yr,O$12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41473.455908605923</v>
      </c>
      <c r="P36" s="283">
        <f>(P$12&gt;=$F$2)*_xlfn.LET(_xlpm.yr,P$12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42510.292306321076</v>
      </c>
      <c r="Q36" s="283">
        <f>(Q$12&gt;=$F$2)*_xlfn.LET(_xlpm.yr,Q$12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43573.049613979099</v>
      </c>
      <c r="R36" s="283">
        <f>(R$12&gt;=$F$2)*_xlfn.LET(_xlpm.yr,R$12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44662.375854328573</v>
      </c>
      <c r="S36" s="283">
        <f>(S$12&gt;=$F$2)*_xlfn.LET(_xlpm.yr,S$12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45778.93525068678</v>
      </c>
      <c r="T36" s="283">
        <f>(T$12&gt;=$F$2)*_xlfn.LET(_xlpm.yr,T$12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46923.408631953949</v>
      </c>
      <c r="U36" s="283">
        <f>(U$12&gt;=$F$2)*_xlfn.LET(_xlpm.yr,U$12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48096.493847752798</v>
      </c>
      <c r="V36" s="283">
        <f>(V$12&gt;=$F$2)*_xlfn.LET(_xlpm.yr,V$12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49298.906193946619</v>
      </c>
      <c r="W36" s="283">
        <f>(W$12&gt;=$F$2)*_xlfn.LET(_xlpm.yr,W$12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50531.37884879527</v>
      </c>
      <c r="X36" s="283">
        <f>(X$12&gt;=$F$2)*_xlfn.LET(_xlpm.yr,X$12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51794.663320015155</v>
      </c>
      <c r="Y36" s="283">
        <f>(Y$12&gt;=$F$2)*_xlfn.LET(_xlpm.yr,Y$12,_xlpm.base,$E$12,_xlpm.exp,2035,_xlpm.gPre,$E$6,_xlpm.gPost,$F$6,_xlpm.preYrs,MAX(0,MIN(_xlpm.yr,_xlpm.exp-1)-_xlpm.base),_xlpm.postYrs,(_xlpm.yr-_xlpm.base)-_xlpm.preYrs,_xlpm.grow,(1+_xlpm.gPre)^_xlpm.preYrs*(1+_xlpm.gPost)^_xlpm.postYrs,(INDEX('01_Base Yr. Inputs'!$C$5:$S$23,MATCH($C36,'01_Base Yr. Inputs'!$B$5:$B$23,0),MATCH($C$1,'01_Base Yr. Inputs'!$C$3:$S$3,0)))*_xlpm.grow)</f>
        <v>53089.529903015537</v>
      </c>
    </row>
    <row r="37" spans="3:25" ht="13.5" customHeight="1">
      <c r="C37" s="10" t="s">
        <v>353</v>
      </c>
      <c r="E37" s="283">
        <f>(E$12&gt;=$F$2)*_xlfn.LET(_xlpm.yr,E$12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F37" s="283">
        <f>(F$12&gt;=$F$2)*_xlfn.LET(_xlpm.yr,F$12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G37" s="283">
        <f>(G$12&gt;=$F$2)*_xlfn.LET(_xlpm.yr,G$12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H37" s="283">
        <f>(H$12&gt;=$F$2)*_xlfn.LET(_xlpm.yr,H$12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0</v>
      </c>
      <c r="I37" s="283">
        <f>(I$12&gt;=$F$2)*_xlfn.LET(_xlpm.yr,I$12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146232.32000000004</v>
      </c>
      <c r="J37" s="283">
        <f>(J$12&gt;=$F$2)*_xlfn.LET(_xlpm.yr,J$12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152081.61280000003</v>
      </c>
      <c r="K37" s="283">
        <f>(K$12&gt;=$F$2)*_xlfn.LET(_xlpm.yr,K$12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158164.87731200006</v>
      </c>
      <c r="L37" s="283">
        <f>(L$12&gt;=$F$2)*_xlfn.LET(_xlpm.yr,L$12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164491.47240448004</v>
      </c>
      <c r="M37" s="283">
        <f>(M$12&gt;=$F$2)*_xlfn.LET(_xlpm.yr,M$12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171071.13130065927</v>
      </c>
      <c r="N37" s="283">
        <f>(N$12&gt;=$F$2)*_xlfn.LET(_xlpm.yr,N$12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177913.97655268564</v>
      </c>
      <c r="O37" s="283">
        <f>(O$12&gt;=$F$2)*_xlfn.LET(_xlpm.yr,O$12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182361.82596650277</v>
      </c>
      <c r="P37" s="283">
        <f>(P$12&gt;=$F$2)*_xlfn.LET(_xlpm.yr,P$12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186920.87161566535</v>
      </c>
      <c r="Q37" s="283">
        <f>(Q$12&gt;=$F$2)*_xlfn.LET(_xlpm.yr,Q$12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191593.89340605697</v>
      </c>
      <c r="R37" s="283">
        <f>(R$12&gt;=$F$2)*_xlfn.LET(_xlpm.yr,R$12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196383.74074120837</v>
      </c>
      <c r="S37" s="283">
        <f>(S$12&gt;=$F$2)*_xlfn.LET(_xlpm.yr,S$12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201293.33425973856</v>
      </c>
      <c r="T37" s="283">
        <f>(T$12&gt;=$F$2)*_xlfn.LET(_xlpm.yr,T$12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206325.66761623204</v>
      </c>
      <c r="U37" s="283">
        <f>(U$12&gt;=$F$2)*_xlfn.LET(_xlpm.yr,U$12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211483.80930663782</v>
      </c>
      <c r="V37" s="283">
        <f>(V$12&gt;=$F$2)*_xlfn.LET(_xlpm.yr,V$12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216770.90453930377</v>
      </c>
      <c r="W37" s="283">
        <f>(W$12&gt;=$F$2)*_xlfn.LET(_xlpm.yr,W$12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222190.17715278629</v>
      </c>
      <c r="X37" s="283">
        <f>(X$12&gt;=$F$2)*_xlfn.LET(_xlpm.yr,X$12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227744.93158160598</v>
      </c>
      <c r="Y37" s="283">
        <f>(Y$12&gt;=$F$2)*_xlfn.LET(_xlpm.yr,Y$12,_xlpm.base,$E$12,_xlpm.exp,2035,_xlpm.gPre,$E$6,_xlpm.gPost,$F$6,_xlpm.preYrs,MAX(0,MIN(_xlpm.yr,_xlpm.exp-1)-_xlpm.base),_xlpm.postYrs,(_xlpm.yr-_xlpm.base)-_xlpm.preYrs,_xlpm.grow,(1+_xlpm.gPre)^_xlpm.preYrs*(1+_xlpm.gPost)^_xlpm.postYrs,(INDEX('01_Base Yr. Inputs'!$C$5:$S$23,MATCH($C37,'01_Base Yr. Inputs'!$B$5:$B$23,0),MATCH($C$1,'01_Base Yr. Inputs'!$C$3:$S$3,0)))*_xlpm.grow)</f>
        <v>233438.55487114613</v>
      </c>
    </row>
    <row r="38" spans="3:25" ht="13.5" customHeight="1">
      <c r="C38" s="11" t="s">
        <v>354</v>
      </c>
      <c r="E38" s="284">
        <f>(E$12&gt;=$F$2)*_xlfn.LET(_xlpm.yr,E$12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0</v>
      </c>
      <c r="F38" s="284">
        <f>(F$12&gt;=$F$2)*_xlfn.LET(_xlpm.yr,F$12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0</v>
      </c>
      <c r="G38" s="284">
        <f>(G$12&gt;=$F$2)*_xlfn.LET(_xlpm.yr,G$12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0</v>
      </c>
      <c r="H38" s="284">
        <f>(H$12&gt;=$F$2)*_xlfn.LET(_xlpm.yr,H$12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0</v>
      </c>
      <c r="I38" s="284">
        <f>(I$12&gt;=$F$2)*_xlfn.LET(_xlpm.yr,I$12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99771.387289600025</v>
      </c>
      <c r="J38" s="284">
        <f>(J$12&gt;=$F$2)*_xlfn.LET(_xlpm.yr,J$12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103762.24278118403</v>
      </c>
      <c r="K38" s="284">
        <f>(K$12&gt;=$F$2)*_xlfn.LET(_xlpm.yr,K$12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107912.73249243139</v>
      </c>
      <c r="L38" s="284">
        <f>(L$12&gt;=$F$2)*_xlfn.LET(_xlpm.yr,L$12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112229.24179212864</v>
      </c>
      <c r="M38" s="284">
        <f>(M$12&gt;=$F$2)*_xlfn.LET(_xlpm.yr,M$12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116718.4114638138</v>
      </c>
      <c r="N38" s="284">
        <f>(N$12&gt;=$F$2)*_xlfn.LET(_xlpm.yr,N$12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121387.14792236636</v>
      </c>
      <c r="O38" s="284">
        <f>(O$12&gt;=$F$2)*_xlfn.LET(_xlpm.yr,O$12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124421.82662042551</v>
      </c>
      <c r="P38" s="284">
        <f>(P$12&gt;=$F$2)*_xlfn.LET(_xlpm.yr,P$12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127532.37228593614</v>
      </c>
      <c r="Q38" s="284">
        <f>(Q$12&gt;=$F$2)*_xlfn.LET(_xlpm.yr,Q$12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130720.68159308456</v>
      </c>
      <c r="R38" s="284">
        <f>(R$12&gt;=$F$2)*_xlfn.LET(_xlpm.yr,R$12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133988.69863291166</v>
      </c>
      <c r="S38" s="284">
        <f>(S$12&gt;=$F$2)*_xlfn.LET(_xlpm.yr,S$12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137338.41609873442</v>
      </c>
      <c r="T38" s="284">
        <f>(T$12&gt;=$F$2)*_xlfn.LET(_xlpm.yr,T$12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140771.87650120279</v>
      </c>
      <c r="U38" s="284">
        <f>(U$12&gt;=$F$2)*_xlfn.LET(_xlpm.yr,U$12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144291.17341373285</v>
      </c>
      <c r="V38" s="284">
        <f>(V$12&gt;=$F$2)*_xlfn.LET(_xlpm.yr,V$12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147898.45274907615</v>
      </c>
      <c r="W38" s="284">
        <f>(W$12&gt;=$F$2)*_xlfn.LET(_xlpm.yr,W$12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151595.91406780304</v>
      </c>
      <c r="X38" s="284">
        <f>(X$12&gt;=$F$2)*_xlfn.LET(_xlpm.yr,X$12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155385.81191949811</v>
      </c>
      <c r="Y38" s="284">
        <f>(Y$12&gt;=$F$2)*_xlfn.LET(_xlpm.yr,Y$12,_xlpm.base,$E$12,_xlpm.exp,2035,_xlpm.gPre,$E$6,_xlpm.gPost,$F$6,_xlpm.preYrs,MAX(0,MIN(_xlpm.yr,_xlpm.exp-1)-_xlpm.base),_xlpm.postYrs,(_xlpm.yr-_xlpm.base)-_xlpm.preYrs,_xlpm.grow,(1+_xlpm.gPre)^_xlpm.preYrs*(1+_xlpm.gPost)^_xlpm.postYrs,(INDEX('01_Base Yr. Inputs'!$C$5:$S$23,MATCH($C38,'01_Base Yr. Inputs'!$B$5:$B$23,0),MATCH($C$1,'01_Base Yr. Inputs'!$C$3:$S$3,0)))*_xlpm.grow)</f>
        <v>159270.45721748559</v>
      </c>
    </row>
    <row r="39" spans="3:25" ht="13.15" customHeight="1">
      <c r="C39" s="14" t="s">
        <v>355</v>
      </c>
      <c r="E39" s="286">
        <f t="shared" ref="E39:Y39" si="8">SUM(E27:E38)</f>
        <v>0</v>
      </c>
      <c r="F39" s="286">
        <f t="shared" si="8"/>
        <v>0</v>
      </c>
      <c r="G39" s="286">
        <f t="shared" si="8"/>
        <v>0</v>
      </c>
      <c r="H39" s="286">
        <f t="shared" si="8"/>
        <v>0</v>
      </c>
      <c r="I39" s="286">
        <f t="shared" si="8"/>
        <v>735196.44217344013</v>
      </c>
      <c r="J39" s="286">
        <f t="shared" si="8"/>
        <v>764604.2998603778</v>
      </c>
      <c r="K39" s="286">
        <f t="shared" si="8"/>
        <v>795188.47185479291</v>
      </c>
      <c r="L39" s="286">
        <f t="shared" si="8"/>
        <v>826996.01072898461</v>
      </c>
      <c r="M39" s="286">
        <f t="shared" si="8"/>
        <v>860075.85115814395</v>
      </c>
      <c r="N39" s="286">
        <f t="shared" si="8"/>
        <v>894478.88520447002</v>
      </c>
      <c r="O39" s="286">
        <f t="shared" si="8"/>
        <v>916840.85733458167</v>
      </c>
      <c r="P39" s="286">
        <f t="shared" si="8"/>
        <v>939761.87876794615</v>
      </c>
      <c r="Q39" s="286">
        <f t="shared" si="8"/>
        <v>963255.92573714477</v>
      </c>
      <c r="R39" s="286">
        <f t="shared" si="8"/>
        <v>987337.32388057339</v>
      </c>
      <c r="S39" s="286">
        <f t="shared" si="8"/>
        <v>1012020.7569775875</v>
      </c>
      <c r="T39" s="286">
        <f t="shared" si="8"/>
        <v>1037321.2759020274</v>
      </c>
      <c r="U39" s="286">
        <f t="shared" si="8"/>
        <v>1063254.3077995779</v>
      </c>
      <c r="V39" s="286">
        <f t="shared" si="8"/>
        <v>1089835.6654945672</v>
      </c>
      <c r="W39" s="286">
        <f t="shared" si="8"/>
        <v>1117081.5571319312</v>
      </c>
      <c r="X39" s="286">
        <f t="shared" si="8"/>
        <v>1145008.5960602295</v>
      </c>
      <c r="Y39" s="286">
        <f t="shared" si="8"/>
        <v>1173633.8109617354</v>
      </c>
    </row>
    <row r="40" spans="3:25" ht="7.15" customHeight="1"/>
    <row r="41" spans="3:25" ht="13.5" customHeight="1">
      <c r="C41" s="15" t="s">
        <v>356</v>
      </c>
      <c r="D41" s="8"/>
      <c r="E41" s="287">
        <f t="shared" ref="E41:Y41" si="9">E24-E39</f>
        <v>0</v>
      </c>
      <c r="F41" s="287">
        <f t="shared" si="9"/>
        <v>0</v>
      </c>
      <c r="G41" s="287">
        <f t="shared" si="9"/>
        <v>0</v>
      </c>
      <c r="H41" s="287">
        <f t="shared" si="9"/>
        <v>0</v>
      </c>
      <c r="I41" s="287">
        <f t="shared" si="9"/>
        <v>1474873.7757218662</v>
      </c>
      <c r="J41" s="287">
        <f t="shared" si="9"/>
        <v>1489667.3223928344</v>
      </c>
      <c r="K41" s="287">
        <f t="shared" si="9"/>
        <v>1504168.5828434834</v>
      </c>
      <c r="L41" s="287">
        <f t="shared" si="9"/>
        <v>1518348.1850632569</v>
      </c>
      <c r="M41" s="287">
        <f t="shared" si="9"/>
        <v>1532175.2285499428</v>
      </c>
      <c r="N41" s="287">
        <f t="shared" si="9"/>
        <v>1545617.2160977784</v>
      </c>
      <c r="O41" s="287">
        <f t="shared" si="9"/>
        <v>1572057.1659937119</v>
      </c>
      <c r="P41" s="287">
        <f t="shared" si="9"/>
        <v>1598914.1050269119</v>
      </c>
      <c r="Q41" s="287">
        <f t="shared" si="9"/>
        <v>1626193.5777336112</v>
      </c>
      <c r="R41" s="287">
        <f t="shared" si="9"/>
        <v>1653901.1696595983</v>
      </c>
      <c r="S41" s="287">
        <f t="shared" si="9"/>
        <v>1682042.5064333873</v>
      </c>
      <c r="T41" s="287">
        <f t="shared" si="9"/>
        <v>1710623.2527771662</v>
      </c>
      <c r="U41" s="287">
        <f t="shared" si="9"/>
        <v>1739649.1114532005</v>
      </c>
      <c r="V41" s="287">
        <f t="shared" si="9"/>
        <v>1769125.8221432669</v>
      </c>
      <c r="W41" s="287">
        <f t="shared" si="9"/>
        <v>1799059.1602586592</v>
      </c>
      <c r="X41" s="287">
        <f t="shared" si="9"/>
        <v>1829454.9356781729</v>
      </c>
      <c r="Y41" s="287">
        <f t="shared" si="9"/>
        <v>1860318.991411435</v>
      </c>
    </row>
    <row r="42" spans="3:25" ht="7.15" customHeight="1">
      <c r="C42" s="16"/>
      <c r="D42" s="17"/>
      <c r="E42" s="6"/>
      <c r="F42" s="6"/>
      <c r="G42" s="6"/>
      <c r="H42" s="6"/>
      <c r="I42" s="6"/>
      <c r="J42" s="6"/>
      <c r="K42" s="6"/>
      <c r="L42" s="6"/>
      <c r="M42" s="6"/>
      <c r="N42" s="6"/>
      <c r="O42" s="6"/>
      <c r="P42" s="6"/>
      <c r="Q42" s="6"/>
      <c r="R42" s="6"/>
      <c r="S42" s="6"/>
      <c r="T42" s="6"/>
      <c r="U42" s="6"/>
      <c r="V42" s="6"/>
      <c r="W42" s="6"/>
      <c r="X42" s="6"/>
      <c r="Y42" s="6"/>
    </row>
    <row r="43" spans="3:25" ht="13.5" customHeight="1">
      <c r="C43" s="5" t="s">
        <v>357</v>
      </c>
      <c r="E43" s="342">
        <f>$E$9</f>
        <v>150</v>
      </c>
      <c r="F43" s="288" t="str">
        <f t="shared" ref="F43:Y43" si="10">IF($E$2="No Refi","",IF(F$12=$E$2,"REFI YR.",""))</f>
        <v/>
      </c>
      <c r="G43" s="289" t="str">
        <f t="shared" si="10"/>
        <v/>
      </c>
      <c r="H43" s="288" t="str">
        <f t="shared" si="10"/>
        <v/>
      </c>
      <c r="I43" s="288" t="str">
        <f t="shared" si="10"/>
        <v>REFI YR.</v>
      </c>
      <c r="J43" s="288" t="str">
        <f t="shared" si="10"/>
        <v/>
      </c>
      <c r="K43" s="288" t="str">
        <f t="shared" si="10"/>
        <v/>
      </c>
      <c r="L43" s="288" t="str">
        <f t="shared" si="10"/>
        <v/>
      </c>
      <c r="M43" s="288" t="str">
        <f t="shared" si="10"/>
        <v/>
      </c>
      <c r="N43" s="288" t="str">
        <f t="shared" si="10"/>
        <v/>
      </c>
      <c r="O43" s="288" t="str">
        <f t="shared" si="10"/>
        <v/>
      </c>
      <c r="P43" s="288" t="str">
        <f t="shared" si="10"/>
        <v/>
      </c>
      <c r="Q43" s="288" t="str">
        <f t="shared" si="10"/>
        <v/>
      </c>
      <c r="R43" s="288" t="str">
        <f t="shared" si="10"/>
        <v/>
      </c>
      <c r="S43" s="288" t="str">
        <f t="shared" si="10"/>
        <v/>
      </c>
      <c r="T43" s="288" t="str">
        <f t="shared" si="10"/>
        <v/>
      </c>
      <c r="U43" s="288" t="str">
        <f t="shared" si="10"/>
        <v/>
      </c>
      <c r="V43" s="288" t="str">
        <f t="shared" si="10"/>
        <v/>
      </c>
      <c r="W43" s="288" t="str">
        <f t="shared" si="10"/>
        <v/>
      </c>
      <c r="X43" s="288" t="str">
        <f t="shared" si="10"/>
        <v/>
      </c>
      <c r="Y43" s="288" t="str">
        <f t="shared" si="10"/>
        <v/>
      </c>
    </row>
    <row r="44" spans="3:25" ht="13.5" customHeight="1">
      <c r="C44" s="10" t="s">
        <v>358</v>
      </c>
      <c r="E44" s="283">
        <f t="shared" ref="E44:Y44" si="11">(E$12&gt;=$F$2)*($E$43*$E$3)*(1+$F$9)^(E$12-$E$12)</f>
        <v>0</v>
      </c>
      <c r="F44" s="283">
        <f t="shared" si="11"/>
        <v>0</v>
      </c>
      <c r="G44" s="283">
        <f t="shared" si="11"/>
        <v>0</v>
      </c>
      <c r="H44" s="283">
        <f t="shared" si="11"/>
        <v>0</v>
      </c>
      <c r="I44" s="283">
        <f t="shared" si="11"/>
        <v>15099.928631999999</v>
      </c>
      <c r="J44" s="283">
        <f t="shared" si="11"/>
        <v>15401.92720464</v>
      </c>
      <c r="K44" s="283">
        <f t="shared" si="11"/>
        <v>15709.9657487328</v>
      </c>
      <c r="L44" s="283">
        <f t="shared" si="11"/>
        <v>16024.165063707453</v>
      </c>
      <c r="M44" s="283">
        <f t="shared" si="11"/>
        <v>16344.648364981604</v>
      </c>
      <c r="N44" s="283">
        <f t="shared" si="11"/>
        <v>16671.541332281235</v>
      </c>
      <c r="O44" s="283">
        <f t="shared" si="11"/>
        <v>17004.972158926863</v>
      </c>
      <c r="P44" s="283">
        <f t="shared" si="11"/>
        <v>17345.071602105396</v>
      </c>
      <c r="Q44" s="283">
        <f t="shared" si="11"/>
        <v>17691.973034147508</v>
      </c>
      <c r="R44" s="283">
        <f t="shared" si="11"/>
        <v>18045.812494830454</v>
      </c>
      <c r="S44" s="283">
        <f t="shared" si="11"/>
        <v>18406.728744727068</v>
      </c>
      <c r="T44" s="283">
        <f t="shared" si="11"/>
        <v>18774.863319621603</v>
      </c>
      <c r="U44" s="283">
        <f t="shared" si="11"/>
        <v>19150.360586014038</v>
      </c>
      <c r="V44" s="283">
        <f t="shared" si="11"/>
        <v>19533.367797734321</v>
      </c>
      <c r="W44" s="283">
        <f t="shared" si="11"/>
        <v>19924.035153689005</v>
      </c>
      <c r="X44" s="283">
        <f t="shared" si="11"/>
        <v>20322.515856762784</v>
      </c>
      <c r="Y44" s="283">
        <f t="shared" si="11"/>
        <v>20728.966173898043</v>
      </c>
    </row>
    <row r="45" spans="3:25" ht="13.5" customHeight="1">
      <c r="C45" s="15" t="s">
        <v>359</v>
      </c>
      <c r="D45" s="8"/>
      <c r="E45" s="287">
        <f t="shared" ref="E45:Y45" si="12">E41-E44</f>
        <v>0</v>
      </c>
      <c r="F45" s="287">
        <f t="shared" si="12"/>
        <v>0</v>
      </c>
      <c r="G45" s="287">
        <f t="shared" si="12"/>
        <v>0</v>
      </c>
      <c r="H45" s="287">
        <f t="shared" si="12"/>
        <v>0</v>
      </c>
      <c r="I45" s="287">
        <f t="shared" si="12"/>
        <v>1459773.8470898662</v>
      </c>
      <c r="J45" s="287">
        <f t="shared" si="12"/>
        <v>1474265.3951881942</v>
      </c>
      <c r="K45" s="287">
        <f t="shared" si="12"/>
        <v>1488458.6170947505</v>
      </c>
      <c r="L45" s="287">
        <f t="shared" si="12"/>
        <v>1502324.0199995495</v>
      </c>
      <c r="M45" s="287">
        <f t="shared" si="12"/>
        <v>1515830.5801849612</v>
      </c>
      <c r="N45" s="287">
        <f t="shared" si="12"/>
        <v>1528945.6747654972</v>
      </c>
      <c r="O45" s="287">
        <f t="shared" si="12"/>
        <v>1555052.1938347851</v>
      </c>
      <c r="P45" s="287">
        <f t="shared" si="12"/>
        <v>1581569.0334248065</v>
      </c>
      <c r="Q45" s="287">
        <f t="shared" si="12"/>
        <v>1608501.6046994638</v>
      </c>
      <c r="R45" s="287">
        <f t="shared" si="12"/>
        <v>1635855.3571647678</v>
      </c>
      <c r="S45" s="287">
        <f t="shared" si="12"/>
        <v>1663635.7776886602</v>
      </c>
      <c r="T45" s="287">
        <f t="shared" si="12"/>
        <v>1691848.3894575445</v>
      </c>
      <c r="U45" s="287">
        <f t="shared" si="12"/>
        <v>1720498.7508671863</v>
      </c>
      <c r="V45" s="287">
        <f t="shared" si="12"/>
        <v>1749592.4543455327</v>
      </c>
      <c r="W45" s="287">
        <f t="shared" si="12"/>
        <v>1779135.1251049701</v>
      </c>
      <c r="X45" s="287">
        <f t="shared" si="12"/>
        <v>1809132.41982141</v>
      </c>
      <c r="Y45" s="287">
        <f t="shared" si="12"/>
        <v>1839590.025237537</v>
      </c>
    </row>
    <row r="46" spans="3:25" ht="7.15" customHeight="1"/>
    <row r="47" spans="3:25" ht="13.5" customHeight="1">
      <c r="C47" s="5" t="s">
        <v>360</v>
      </c>
      <c r="E47" s="288" t="str">
        <f t="shared" ref="E47:Y47" si="13">IF($E$2="No Refi","",IF(E$12=$E$2,"REFI YR.",""))</f>
        <v/>
      </c>
      <c r="F47" s="288" t="str">
        <f t="shared" si="13"/>
        <v/>
      </c>
      <c r="G47" s="289" t="str">
        <f t="shared" si="13"/>
        <v/>
      </c>
      <c r="H47" s="288" t="str">
        <f t="shared" si="13"/>
        <v/>
      </c>
      <c r="I47" s="288" t="str">
        <f t="shared" si="13"/>
        <v>REFI YR.</v>
      </c>
      <c r="J47" s="288" t="str">
        <f t="shared" si="13"/>
        <v/>
      </c>
      <c r="K47" s="288" t="str">
        <f t="shared" si="13"/>
        <v/>
      </c>
      <c r="L47" s="288" t="str">
        <f t="shared" si="13"/>
        <v/>
      </c>
      <c r="M47" s="288" t="str">
        <f t="shared" si="13"/>
        <v/>
      </c>
      <c r="N47" s="288" t="str">
        <f t="shared" si="13"/>
        <v/>
      </c>
      <c r="O47" s="288" t="str">
        <f t="shared" si="13"/>
        <v/>
      </c>
      <c r="P47" s="288" t="str">
        <f t="shared" si="13"/>
        <v/>
      </c>
      <c r="Q47" s="288" t="str">
        <f t="shared" si="13"/>
        <v/>
      </c>
      <c r="R47" s="288" t="str">
        <f t="shared" si="13"/>
        <v/>
      </c>
      <c r="S47" s="288" t="str">
        <f t="shared" si="13"/>
        <v/>
      </c>
      <c r="T47" s="288" t="str">
        <f t="shared" si="13"/>
        <v/>
      </c>
      <c r="U47" s="288" t="str">
        <f t="shared" si="13"/>
        <v/>
      </c>
      <c r="V47" s="288" t="str">
        <f t="shared" si="13"/>
        <v/>
      </c>
      <c r="W47" s="288" t="str">
        <f t="shared" si="13"/>
        <v/>
      </c>
      <c r="X47" s="288" t="str">
        <f t="shared" si="13"/>
        <v/>
      </c>
      <c r="Y47" s="288" t="str">
        <f t="shared" si="13"/>
        <v/>
      </c>
    </row>
    <row r="48" spans="3:25" ht="13.5" customHeight="1">
      <c r="C48" s="19" t="s">
        <v>361</v>
      </c>
      <c r="D48" s="19"/>
      <c r="E48" s="286">
        <f>IFERROR(INDEX('02_Debt Engine'!$F$46:$Z$62,MATCH($C$1,'02_Debt Engine'!$B$19:$B$35,0),MATCH(E$12,'02_Debt Engine'!$F$45:$Z$45,0)),0)</f>
        <v>2031934.1122314297</v>
      </c>
      <c r="F48" s="286">
        <f>IFERROR(INDEX('02_Debt Engine'!$F$46:$Z$62,MATCH($C$1,'02_Debt Engine'!$B$19:$B$35,0),MATCH(F$12,'02_Debt Engine'!$F$45:$Z$45,0)),0)</f>
        <v>2031934.1122314297</v>
      </c>
      <c r="G48" s="286">
        <f>IFERROR(INDEX('02_Debt Engine'!$F$46:$Z$62,MATCH($C$1,'02_Debt Engine'!$B$19:$B$35,0),MATCH(G$12,'02_Debt Engine'!$F$45:$Z$45,0)),0)</f>
        <v>2031934.1122314297</v>
      </c>
      <c r="H48" s="286">
        <f>IFERROR(INDEX('02_Debt Engine'!$F$46:$Z$62,MATCH($C$1,'02_Debt Engine'!$B$19:$B$35,0),MATCH(H$12,'02_Debt Engine'!$F$45:$Z$45,0)),0)</f>
        <v>2031934.1122314297</v>
      </c>
      <c r="I48" s="286">
        <f>IFERROR(INDEX('02_Debt Engine'!$F$46:$Z$62,MATCH($C$1,'02_Debt Engine'!$B$19:$B$35,0),MATCH(I$12,'02_Debt Engine'!$F$45:$Z$45,0)),0)</f>
        <v>2031934.1122314297</v>
      </c>
      <c r="J48" s="286">
        <f>IFERROR(INDEX('02_Debt Engine'!$F$46:$Z$62,MATCH($C$1,'02_Debt Engine'!$B$19:$B$35,0),MATCH(J$12,'02_Debt Engine'!$F$45:$Z$45,0)),0)</f>
        <v>979555.28115311568</v>
      </c>
      <c r="K48" s="286">
        <f>IFERROR(INDEX('02_Debt Engine'!$F$46:$Z$62,MATCH($C$1,'02_Debt Engine'!$B$19:$B$35,0),MATCH(K$12,'02_Debt Engine'!$F$45:$Z$45,0)),0)</f>
        <v>979555.28115311568</v>
      </c>
      <c r="L48" s="286">
        <f>IFERROR(INDEX('02_Debt Engine'!$F$46:$Z$62,MATCH($C$1,'02_Debt Engine'!$B$19:$B$35,0),MATCH(L$12,'02_Debt Engine'!$F$45:$Z$45,0)),0)</f>
        <v>979555.28115311568</v>
      </c>
      <c r="M48" s="286">
        <f>IFERROR(INDEX('02_Debt Engine'!$F$46:$Z$62,MATCH($C$1,'02_Debt Engine'!$B$19:$B$35,0),MATCH(M$12,'02_Debt Engine'!$F$45:$Z$45,0)),0)</f>
        <v>979555.28115311568</v>
      </c>
      <c r="N48" s="286">
        <f>IFERROR(INDEX('02_Debt Engine'!$F$46:$Z$62,MATCH($C$1,'02_Debt Engine'!$B$19:$B$35,0),MATCH(N$12,'02_Debt Engine'!$F$45:$Z$45,0)),0)</f>
        <v>979555.28115311568</v>
      </c>
      <c r="O48" s="286">
        <f>IFERROR(INDEX('02_Debt Engine'!$F$46:$Z$62,MATCH($C$1,'02_Debt Engine'!$B$19:$B$35,0),MATCH(O$12,'02_Debt Engine'!$F$45:$Z$45,0)),0)</f>
        <v>979555.28115311568</v>
      </c>
      <c r="P48" s="286">
        <f>IFERROR(INDEX('02_Debt Engine'!$F$46:$Z$62,MATCH($C$1,'02_Debt Engine'!$B$19:$B$35,0),MATCH(P$12,'02_Debt Engine'!$F$45:$Z$45,0)),0)</f>
        <v>979555.28115311568</v>
      </c>
      <c r="Q48" s="286">
        <f>IFERROR(INDEX('02_Debt Engine'!$F$46:$Z$62,MATCH($C$1,'02_Debt Engine'!$B$19:$B$35,0),MATCH(Q$12,'02_Debt Engine'!$F$45:$Z$45,0)),0)</f>
        <v>979555.28115311568</v>
      </c>
      <c r="R48" s="286">
        <f>IFERROR(INDEX('02_Debt Engine'!$F$46:$Z$62,MATCH($C$1,'02_Debt Engine'!$B$19:$B$35,0),MATCH(R$12,'02_Debt Engine'!$F$45:$Z$45,0)),0)</f>
        <v>979555.28115311568</v>
      </c>
      <c r="S48" s="286">
        <f>IFERROR(INDEX('02_Debt Engine'!$F$46:$Z$62,MATCH($C$1,'02_Debt Engine'!$B$19:$B$35,0),MATCH(S$12,'02_Debt Engine'!$F$45:$Z$45,0)),0)</f>
        <v>979555.28115311568</v>
      </c>
      <c r="T48" s="286">
        <f>IFERROR(INDEX('02_Debt Engine'!$F$46:$Z$62,MATCH($C$1,'02_Debt Engine'!$B$19:$B$35,0),MATCH(T$12,'02_Debt Engine'!$F$45:$Z$45,0)),0)</f>
        <v>979555.28115311568</v>
      </c>
      <c r="U48" s="286">
        <f>IFERROR(INDEX('02_Debt Engine'!$F$46:$Z$62,MATCH($C$1,'02_Debt Engine'!$B$19:$B$35,0),MATCH(U$12,'02_Debt Engine'!$F$45:$Z$45,0)),0)</f>
        <v>979555.28115311568</v>
      </c>
      <c r="V48" s="286">
        <f>IFERROR(INDEX('02_Debt Engine'!$F$46:$Z$62,MATCH($C$1,'02_Debt Engine'!$B$19:$B$35,0),MATCH(V$12,'02_Debt Engine'!$F$45:$Z$45,0)),0)</f>
        <v>979555.28115311568</v>
      </c>
      <c r="W48" s="286">
        <f>IFERROR(INDEX('02_Debt Engine'!$F$46:$Z$62,MATCH($C$1,'02_Debt Engine'!$B$19:$B$35,0),MATCH(W$12,'02_Debt Engine'!$F$45:$Z$45,0)),0)</f>
        <v>979555.28115311568</v>
      </c>
      <c r="X48" s="286">
        <f>IFERROR(INDEX('02_Debt Engine'!$F$46:$Z$62,MATCH($C$1,'02_Debt Engine'!$B$19:$B$35,0),MATCH(X$12,'02_Debt Engine'!$F$45:$Z$45,0)),0)</f>
        <v>979555.28115311568</v>
      </c>
      <c r="Y48" s="286">
        <f>IFERROR(INDEX('02_Debt Engine'!$F$46:$Z$62,MATCH($C$1,'02_Debt Engine'!$B$19:$B$35,0),MATCH(Y$12,'02_Debt Engine'!$F$45:$Z$45,0)),0)</f>
        <v>979555.28115311568</v>
      </c>
    </row>
    <row r="49" spans="3:25" ht="6.95" customHeight="1">
      <c r="C49" s="21"/>
      <c r="D49" s="20"/>
      <c r="E49" s="12"/>
      <c r="F49" s="12"/>
      <c r="G49" s="12"/>
      <c r="H49" s="12"/>
      <c r="I49" s="12"/>
      <c r="J49" s="12"/>
      <c r="K49" s="12"/>
      <c r="L49" s="12"/>
      <c r="M49" s="12"/>
      <c r="N49" s="12"/>
      <c r="O49" s="12"/>
      <c r="P49" s="12"/>
      <c r="Q49" s="12"/>
      <c r="R49" s="12"/>
      <c r="S49" s="12"/>
      <c r="T49" s="12"/>
      <c r="U49" s="12"/>
      <c r="V49" s="12"/>
      <c r="W49" s="12"/>
      <c r="X49" s="12"/>
      <c r="Y49" s="12"/>
    </row>
    <row r="50" spans="3:25" ht="13.5" customHeight="1">
      <c r="C50" s="15" t="s">
        <v>213</v>
      </c>
      <c r="D50" s="20"/>
      <c r="E50" s="290">
        <f t="shared" ref="E50:Y50" si="14">IFERROR(IF(E$48=0,"",E41/E$48),"")</f>
        <v>0</v>
      </c>
      <c r="F50" s="290">
        <f t="shared" si="14"/>
        <v>0</v>
      </c>
      <c r="G50" s="290">
        <f t="shared" si="14"/>
        <v>0</v>
      </c>
      <c r="H50" s="290">
        <f t="shared" si="14"/>
        <v>0</v>
      </c>
      <c r="I50" s="290">
        <f t="shared" si="14"/>
        <v>0.7258472441816477</v>
      </c>
      <c r="J50" s="290">
        <f t="shared" si="14"/>
        <v>1.5207588086700157</v>
      </c>
      <c r="K50" s="290">
        <f t="shared" si="14"/>
        <v>1.5355627311536741</v>
      </c>
      <c r="L50" s="290">
        <f t="shared" si="14"/>
        <v>1.5500382819394158</v>
      </c>
      <c r="M50" s="290">
        <f t="shared" si="14"/>
        <v>1.56415391558738</v>
      </c>
      <c r="N50" s="290">
        <f t="shared" si="14"/>
        <v>1.5778764566286696</v>
      </c>
      <c r="O50" s="290">
        <f t="shared" si="14"/>
        <v>1.6048682460709243</v>
      </c>
      <c r="P50" s="290">
        <f t="shared" si="14"/>
        <v>1.6322857278097644</v>
      </c>
      <c r="Q50" s="290">
        <f t="shared" si="14"/>
        <v>1.6601345621038193</v>
      </c>
      <c r="R50" s="290">
        <f t="shared" si="14"/>
        <v>1.6884204510772012</v>
      </c>
      <c r="S50" s="290">
        <f t="shared" si="14"/>
        <v>1.717149137773333</v>
      </c>
      <c r="T50" s="290">
        <f t="shared" si="14"/>
        <v>1.7463264051452512</v>
      </c>
      <c r="U50" s="290">
        <f t="shared" si="14"/>
        <v>1.7759580749800208</v>
      </c>
      <c r="V50" s="290">
        <f t="shared" si="14"/>
        <v>1.806050006754782</v>
      </c>
      <c r="W50" s="290">
        <f t="shared" si="14"/>
        <v>1.8366080964219167</v>
      </c>
      <c r="X50" s="290">
        <f t="shared" si="14"/>
        <v>1.8676382751206955</v>
      </c>
      <c r="Y50" s="290">
        <f t="shared" si="14"/>
        <v>1.8991465078127079</v>
      </c>
    </row>
    <row r="51" spans="3:25" ht="6.95" customHeight="1">
      <c r="C51" s="21"/>
      <c r="D51" s="17"/>
      <c r="E51" s="12"/>
      <c r="F51" s="12"/>
      <c r="G51" s="12"/>
      <c r="H51" s="12"/>
      <c r="I51" s="12"/>
      <c r="J51" s="12"/>
      <c r="K51" s="12"/>
      <c r="L51" s="12"/>
      <c r="M51" s="12"/>
      <c r="N51" s="12"/>
      <c r="O51" s="12"/>
      <c r="P51" s="12"/>
      <c r="Q51" s="12"/>
      <c r="R51" s="12"/>
      <c r="S51" s="12"/>
      <c r="T51" s="12"/>
      <c r="U51" s="12"/>
      <c r="V51" s="12"/>
      <c r="W51" s="12"/>
      <c r="X51" s="12"/>
      <c r="Y51" s="12"/>
    </row>
    <row r="52" spans="3:25" ht="13.5" customHeight="1">
      <c r="C52" s="23" t="s">
        <v>362</v>
      </c>
      <c r="D52" s="17"/>
      <c r="E52" s="291">
        <f t="shared" ref="E52:Y52" si="15">E41-E$48</f>
        <v>-2031934.1122314297</v>
      </c>
      <c r="F52" s="291">
        <f t="shared" si="15"/>
        <v>-2031934.1122314297</v>
      </c>
      <c r="G52" s="291">
        <f t="shared" si="15"/>
        <v>-2031934.1122314297</v>
      </c>
      <c r="H52" s="291">
        <f t="shared" si="15"/>
        <v>-2031934.1122314297</v>
      </c>
      <c r="I52" s="291">
        <f t="shared" si="15"/>
        <v>-557060.33650956349</v>
      </c>
      <c r="J52" s="291">
        <f t="shared" si="15"/>
        <v>510112.04123971867</v>
      </c>
      <c r="K52" s="291">
        <f t="shared" si="15"/>
        <v>524613.30169036775</v>
      </c>
      <c r="L52" s="291">
        <f t="shared" si="15"/>
        <v>538792.90391014121</v>
      </c>
      <c r="M52" s="291">
        <f t="shared" si="15"/>
        <v>552619.94739682716</v>
      </c>
      <c r="N52" s="291">
        <f t="shared" si="15"/>
        <v>566061.93494466273</v>
      </c>
      <c r="O52" s="291">
        <f t="shared" si="15"/>
        <v>592501.88484059623</v>
      </c>
      <c r="P52" s="291">
        <f t="shared" si="15"/>
        <v>619358.82387379627</v>
      </c>
      <c r="Q52" s="291">
        <f t="shared" si="15"/>
        <v>646638.29658049555</v>
      </c>
      <c r="R52" s="291">
        <f t="shared" si="15"/>
        <v>674345.88850648259</v>
      </c>
      <c r="S52" s="291">
        <f t="shared" si="15"/>
        <v>702487.22528027161</v>
      </c>
      <c r="T52" s="291">
        <f t="shared" si="15"/>
        <v>731067.97162405052</v>
      </c>
      <c r="U52" s="291">
        <f t="shared" si="15"/>
        <v>760093.83030008478</v>
      </c>
      <c r="V52" s="291">
        <f t="shared" si="15"/>
        <v>789570.54099015123</v>
      </c>
      <c r="W52" s="291">
        <f t="shared" si="15"/>
        <v>819503.87910554348</v>
      </c>
      <c r="X52" s="291">
        <f t="shared" si="15"/>
        <v>849899.65452505718</v>
      </c>
      <c r="Y52" s="291">
        <f t="shared" si="15"/>
        <v>880763.71025831928</v>
      </c>
    </row>
    <row r="53" spans="3:25" ht="7.15" customHeight="1">
      <c r="C53" s="14"/>
      <c r="D53" s="17"/>
    </row>
    <row r="54" spans="3:25" ht="13.5" customHeight="1">
      <c r="C54" s="15" t="s">
        <v>363</v>
      </c>
      <c r="D54" s="20"/>
      <c r="E54" s="292">
        <f t="shared" ref="E54:Y54" si="16">IF(E52&lt;0,0,E52*$G$7)</f>
        <v>0</v>
      </c>
      <c r="F54" s="292">
        <f t="shared" si="16"/>
        <v>0</v>
      </c>
      <c r="G54" s="292">
        <f t="shared" si="16"/>
        <v>0</v>
      </c>
      <c r="H54" s="292">
        <f t="shared" si="16"/>
        <v>0</v>
      </c>
      <c r="I54" s="292">
        <f t="shared" si="16"/>
        <v>0</v>
      </c>
      <c r="J54" s="292">
        <f t="shared" si="16"/>
        <v>306067.2247438312</v>
      </c>
      <c r="K54" s="292">
        <f t="shared" si="16"/>
        <v>314767.98101422063</v>
      </c>
      <c r="L54" s="292">
        <f t="shared" si="16"/>
        <v>323275.74234608473</v>
      </c>
      <c r="M54" s="292">
        <f t="shared" si="16"/>
        <v>331571.96843809629</v>
      </c>
      <c r="N54" s="292">
        <f t="shared" si="16"/>
        <v>339637.16096679762</v>
      </c>
      <c r="O54" s="292">
        <f t="shared" si="16"/>
        <v>355501.13090435771</v>
      </c>
      <c r="P54" s="292">
        <f t="shared" si="16"/>
        <v>371615.29432427773</v>
      </c>
      <c r="Q54" s="292">
        <f t="shared" si="16"/>
        <v>387982.97794829734</v>
      </c>
      <c r="R54" s="292">
        <f t="shared" si="16"/>
        <v>404607.53310388955</v>
      </c>
      <c r="S54" s="292">
        <f t="shared" si="16"/>
        <v>421492.33516816294</v>
      </c>
      <c r="T54" s="292">
        <f t="shared" si="16"/>
        <v>438640.7829744303</v>
      </c>
      <c r="U54" s="292">
        <f t="shared" si="16"/>
        <v>456056.29818005086</v>
      </c>
      <c r="V54" s="292">
        <f t="shared" si="16"/>
        <v>473742.32459409069</v>
      </c>
      <c r="W54" s="292">
        <f t="shared" si="16"/>
        <v>491702.32746332604</v>
      </c>
      <c r="X54" s="292">
        <f t="shared" si="16"/>
        <v>509939.79271503427</v>
      </c>
      <c r="Y54" s="292">
        <f t="shared" si="16"/>
        <v>528458.22615499154</v>
      </c>
    </row>
    <row r="55" spans="3:25" ht="6.95" customHeight="1">
      <c r="C55" s="17"/>
      <c r="D55" s="17"/>
      <c r="E55" s="6"/>
      <c r="F55" s="6"/>
      <c r="G55" s="6"/>
      <c r="H55" s="6"/>
      <c r="I55" s="6"/>
      <c r="J55" s="6"/>
      <c r="K55" s="6"/>
      <c r="L55" s="6"/>
      <c r="M55" s="6"/>
      <c r="N55" s="6"/>
      <c r="O55" s="6"/>
      <c r="P55" s="6"/>
      <c r="Q55" s="6"/>
      <c r="R55" s="6"/>
      <c r="S55" s="6"/>
      <c r="T55" s="6"/>
      <c r="U55" s="6"/>
      <c r="V55" s="6"/>
      <c r="W55" s="6"/>
      <c r="X55" s="6"/>
      <c r="Y55" s="6"/>
    </row>
    <row r="56" spans="3:25" ht="13.5" customHeight="1">
      <c r="C56" s="23" t="s">
        <v>364</v>
      </c>
      <c r="D56" s="17"/>
      <c r="E56" s="291">
        <f t="shared" ref="E56:Y56" si="17">E52-E54</f>
        <v>-2031934.1122314297</v>
      </c>
      <c r="F56" s="291">
        <f t="shared" si="17"/>
        <v>-2031934.1122314297</v>
      </c>
      <c r="G56" s="291">
        <f t="shared" si="17"/>
        <v>-2031934.1122314297</v>
      </c>
      <c r="H56" s="291">
        <f t="shared" si="17"/>
        <v>-2031934.1122314297</v>
      </c>
      <c r="I56" s="291">
        <f t="shared" si="17"/>
        <v>-557060.33650956349</v>
      </c>
      <c r="J56" s="291">
        <f t="shared" si="17"/>
        <v>204044.81649588747</v>
      </c>
      <c r="K56" s="291">
        <f t="shared" si="17"/>
        <v>209845.32067614712</v>
      </c>
      <c r="L56" s="291">
        <f t="shared" si="17"/>
        <v>215517.16156405647</v>
      </c>
      <c r="M56" s="291">
        <f t="shared" si="17"/>
        <v>221047.97895873088</v>
      </c>
      <c r="N56" s="291">
        <f t="shared" si="17"/>
        <v>226424.77397786512</v>
      </c>
      <c r="O56" s="291">
        <f t="shared" si="17"/>
        <v>237000.75393623853</v>
      </c>
      <c r="P56" s="291">
        <f t="shared" si="17"/>
        <v>247743.52954951854</v>
      </c>
      <c r="Q56" s="291">
        <f t="shared" si="17"/>
        <v>258655.31863219821</v>
      </c>
      <c r="R56" s="291">
        <f t="shared" si="17"/>
        <v>269738.35540259304</v>
      </c>
      <c r="S56" s="291">
        <f t="shared" si="17"/>
        <v>280994.89011210867</v>
      </c>
      <c r="T56" s="291">
        <f t="shared" si="17"/>
        <v>292427.18864962022</v>
      </c>
      <c r="U56" s="291">
        <f t="shared" si="17"/>
        <v>304037.53212003392</v>
      </c>
      <c r="V56" s="291">
        <f t="shared" si="17"/>
        <v>315828.21639606054</v>
      </c>
      <c r="W56" s="291">
        <f t="shared" si="17"/>
        <v>327801.55164221744</v>
      </c>
      <c r="X56" s="291">
        <f t="shared" si="17"/>
        <v>339959.86181002291</v>
      </c>
      <c r="Y56" s="291">
        <f t="shared" si="17"/>
        <v>352305.48410332773</v>
      </c>
    </row>
    <row r="57" spans="3:25" ht="6.95" customHeight="1">
      <c r="C57" s="24"/>
      <c r="D57" s="24"/>
      <c r="E57" s="24"/>
      <c r="F57" s="24"/>
      <c r="G57" s="24"/>
      <c r="H57" s="24"/>
      <c r="I57" s="24"/>
      <c r="J57" s="24"/>
      <c r="K57" s="24"/>
      <c r="L57" s="24"/>
      <c r="M57" s="24"/>
      <c r="N57" s="24"/>
      <c r="O57" s="24"/>
      <c r="P57" s="24"/>
      <c r="Q57" s="24"/>
      <c r="R57" s="24"/>
      <c r="S57" s="24"/>
      <c r="T57" s="24"/>
      <c r="U57" s="24"/>
      <c r="V57" s="24"/>
      <c r="W57" s="24"/>
      <c r="X57" s="24"/>
      <c r="Y57" s="24"/>
    </row>
    <row r="58" spans="3:25" ht="6.95" customHeight="1"/>
    <row r="59" spans="3:25" ht="15" customHeight="1">
      <c r="C59" s="449" t="s">
        <v>365</v>
      </c>
      <c r="D59" s="424"/>
      <c r="E59" s="424"/>
      <c r="F59" s="424"/>
      <c r="G59" s="424"/>
      <c r="H59" s="424"/>
      <c r="I59" s="424"/>
      <c r="J59" s="424"/>
      <c r="K59" s="424"/>
      <c r="L59" s="424"/>
      <c r="M59" s="424"/>
      <c r="N59" s="424"/>
      <c r="O59" s="424"/>
      <c r="P59" s="424"/>
      <c r="Q59" s="424"/>
      <c r="R59" s="424"/>
      <c r="S59" s="424"/>
      <c r="T59" s="424"/>
      <c r="U59" s="424"/>
      <c r="V59" s="424"/>
      <c r="W59" s="424"/>
      <c r="X59" s="424"/>
      <c r="Y59" s="424"/>
    </row>
    <row r="60" spans="3:25" ht="13.5" customHeight="1">
      <c r="C60" s="5" t="s">
        <v>366</v>
      </c>
      <c r="E60" s="288" t="str">
        <f t="shared" ref="E60:Y60" si="18">IF($E$2="No Refi","",IF(E$12=$E$2,"REFI YR.",""))</f>
        <v/>
      </c>
      <c r="F60" s="288" t="str">
        <f t="shared" si="18"/>
        <v/>
      </c>
      <c r="G60" s="289" t="str">
        <f t="shared" si="18"/>
        <v/>
      </c>
      <c r="H60" s="288" t="str">
        <f t="shared" si="18"/>
        <v/>
      </c>
      <c r="I60" s="288" t="str">
        <f t="shared" si="18"/>
        <v>REFI YR.</v>
      </c>
      <c r="J60" s="288" t="str">
        <f t="shared" si="18"/>
        <v/>
      </c>
      <c r="K60" s="288" t="str">
        <f t="shared" si="18"/>
        <v/>
      </c>
      <c r="L60" s="288" t="str">
        <f t="shared" si="18"/>
        <v/>
      </c>
      <c r="M60" s="288" t="str">
        <f t="shared" si="18"/>
        <v/>
      </c>
      <c r="N60" s="288" t="str">
        <f t="shared" si="18"/>
        <v/>
      </c>
      <c r="O60" s="288" t="str">
        <f t="shared" si="18"/>
        <v/>
      </c>
      <c r="P60" s="288" t="str">
        <f t="shared" si="18"/>
        <v/>
      </c>
      <c r="Q60" s="288" t="str">
        <f t="shared" si="18"/>
        <v/>
      </c>
      <c r="R60" s="288" t="str">
        <f t="shared" si="18"/>
        <v/>
      </c>
      <c r="S60" s="288" t="str">
        <f t="shared" si="18"/>
        <v/>
      </c>
      <c r="T60" s="288" t="str">
        <f t="shared" si="18"/>
        <v/>
      </c>
      <c r="U60" s="288" t="str">
        <f t="shared" si="18"/>
        <v/>
      </c>
      <c r="V60" s="288" t="str">
        <f t="shared" si="18"/>
        <v/>
      </c>
      <c r="W60" s="288" t="str">
        <f t="shared" si="18"/>
        <v/>
      </c>
      <c r="X60" s="288" t="str">
        <f t="shared" si="18"/>
        <v/>
      </c>
      <c r="Y60" s="288" t="str">
        <f t="shared" si="18"/>
        <v/>
      </c>
    </row>
    <row r="61" spans="3:25" ht="13.5" customHeight="1">
      <c r="C61" s="3" t="s">
        <v>367</v>
      </c>
      <c r="E61" s="285">
        <f>INDEX('02_Debt Engine'!$F$102:$Z$118,MATCH($C$1,'02_Debt Engine'!$B$102:$B$118,0),MATCH(E$12,'02_Debt Engine'!$F$101:$Z$101,0))</f>
        <v>0</v>
      </c>
      <c r="F61" s="285">
        <f>INDEX('02_Debt Engine'!$F$102:$Z$118,MATCH($C$1,'02_Debt Engine'!$B$102:$B$118,0),MATCH(F$12,'02_Debt Engine'!$F$101:$Z$101,0))</f>
        <v>0</v>
      </c>
      <c r="G61" s="285">
        <f>INDEX('02_Debt Engine'!$F$102:$Z$118,MATCH($C$1,'02_Debt Engine'!$B$102:$B$118,0),MATCH(G$12,'02_Debt Engine'!$F$101:$Z$101,0))</f>
        <v>0</v>
      </c>
      <c r="H61" s="285">
        <f>INDEX('02_Debt Engine'!$F$102:$Z$118,MATCH($C$1,'02_Debt Engine'!$B$102:$B$118,0),MATCH(H$12,'02_Debt Engine'!$F$101:$Z$101,0))</f>
        <v>0</v>
      </c>
      <c r="I61" s="285">
        <f>INDEX('02_Debt Engine'!$F$102:$Z$118,MATCH($C$1,'02_Debt Engine'!$B$102:$B$118,0),MATCH(I$12,'02_Debt Engine'!$F$101:$Z$101,0))</f>
        <v>-35821320.972091272</v>
      </c>
      <c r="J61" s="285">
        <f>INDEX('02_Debt Engine'!$F$102:$Z$118,MATCH($C$1,'02_Debt Engine'!$B$102:$B$118,0),MATCH(J$12,'02_Debt Engine'!$F$101:$Z$101,0))</f>
        <v>0</v>
      </c>
      <c r="K61" s="285">
        <f>INDEX('02_Debt Engine'!$F$102:$Z$118,MATCH($C$1,'02_Debt Engine'!$B$102:$B$118,0),MATCH(K$12,'02_Debt Engine'!$F$101:$Z$101,0))</f>
        <v>0</v>
      </c>
      <c r="L61" s="285">
        <f>INDEX('02_Debt Engine'!$F$102:$Z$118,MATCH($C$1,'02_Debt Engine'!$B$102:$B$118,0),MATCH(L$12,'02_Debt Engine'!$F$101:$Z$101,0))</f>
        <v>0</v>
      </c>
      <c r="M61" s="285">
        <f>INDEX('02_Debt Engine'!$F$102:$Z$118,MATCH($C$1,'02_Debt Engine'!$B$102:$B$118,0),MATCH(M$12,'02_Debt Engine'!$F$101:$Z$101,0))</f>
        <v>0</v>
      </c>
      <c r="N61" s="285">
        <f>INDEX('02_Debt Engine'!$F$102:$Z$118,MATCH($C$1,'02_Debt Engine'!$B$102:$B$118,0),MATCH(N$12,'02_Debt Engine'!$F$101:$Z$101,0))</f>
        <v>0</v>
      </c>
      <c r="O61" s="285">
        <f>INDEX('02_Debt Engine'!$F$102:$Z$118,MATCH($C$1,'02_Debt Engine'!$B$102:$B$118,0),MATCH(O$12,'02_Debt Engine'!$F$101:$Z$101,0))</f>
        <v>0</v>
      </c>
      <c r="P61" s="285">
        <f>INDEX('02_Debt Engine'!$F$102:$Z$118,MATCH($C$1,'02_Debt Engine'!$B$102:$B$118,0),MATCH(P$12,'02_Debt Engine'!$F$101:$Z$101,0))</f>
        <v>0</v>
      </c>
      <c r="Q61" s="285">
        <f>INDEX('02_Debt Engine'!$F$102:$Z$118,MATCH($C$1,'02_Debt Engine'!$B$102:$B$118,0),MATCH(Q$12,'02_Debt Engine'!$F$101:$Z$101,0))</f>
        <v>0</v>
      </c>
      <c r="R61" s="285">
        <f>INDEX('02_Debt Engine'!$F$102:$Z$118,MATCH($C$1,'02_Debt Engine'!$B$102:$B$118,0),MATCH(R$12,'02_Debt Engine'!$F$101:$Z$101,0))</f>
        <v>0</v>
      </c>
      <c r="S61" s="285">
        <f>INDEX('02_Debt Engine'!$F$102:$Z$118,MATCH($C$1,'02_Debt Engine'!$B$102:$B$118,0),MATCH(S$12,'02_Debt Engine'!$F$101:$Z$101,0))</f>
        <v>0</v>
      </c>
      <c r="T61" s="285">
        <f>INDEX('02_Debt Engine'!$F$102:$Z$118,MATCH($C$1,'02_Debt Engine'!$B$102:$B$118,0),MATCH(T$12,'02_Debt Engine'!$F$101:$Z$101,0))</f>
        <v>0</v>
      </c>
      <c r="U61" s="285">
        <f>INDEX('02_Debt Engine'!$F$102:$Z$118,MATCH($C$1,'02_Debt Engine'!$B$102:$B$118,0),MATCH(U$12,'02_Debt Engine'!$F$101:$Z$101,0))</f>
        <v>0</v>
      </c>
      <c r="V61" s="285">
        <f>INDEX('02_Debt Engine'!$F$102:$Z$118,MATCH($C$1,'02_Debt Engine'!$B$102:$B$118,0),MATCH(V$12,'02_Debt Engine'!$F$101:$Z$101,0))</f>
        <v>0</v>
      </c>
      <c r="W61" s="285">
        <f>INDEX('02_Debt Engine'!$F$102:$Z$118,MATCH($C$1,'02_Debt Engine'!$B$102:$B$118,0),MATCH(W$12,'02_Debt Engine'!$F$101:$Z$101,0))</f>
        <v>0</v>
      </c>
      <c r="X61" s="285">
        <f>INDEX('02_Debt Engine'!$F$102:$Z$118,MATCH($C$1,'02_Debt Engine'!$B$102:$B$118,0),MATCH(X$12,'02_Debt Engine'!$F$101:$Z$101,0))</f>
        <v>0</v>
      </c>
      <c r="Y61" s="285">
        <f>INDEX('02_Debt Engine'!$F$102:$Z$118,MATCH($C$1,'02_Debt Engine'!$B$102:$B$118,0),MATCH(Y$12,'02_Debt Engine'!$F$101:$Z$101,0))</f>
        <v>0</v>
      </c>
    </row>
    <row r="62" spans="3:25" ht="13.5" customHeight="1">
      <c r="C62" s="140" t="s">
        <v>368</v>
      </c>
      <c r="D62" s="20"/>
      <c r="E62" s="343">
        <f>INDEX('02_Debt Engine'!$F$130:$Z$146,MATCH($C$1,'02_Debt Engine'!$B$130:$B$146,0),MATCH(E$12,'02_Debt Engine'!$F$129:$Z$129,0))</f>
        <v>0</v>
      </c>
      <c r="F62" s="343">
        <f>INDEX('02_Debt Engine'!$F$130:$Z$146,MATCH($C$1,'02_Debt Engine'!$B$130:$B$146,0),MATCH(F$12,'02_Debt Engine'!$F$129:$Z$129,0))</f>
        <v>0</v>
      </c>
      <c r="G62" s="343">
        <f>INDEX('02_Debt Engine'!$F$130:$Z$146,MATCH($C$1,'02_Debt Engine'!$B$130:$B$146,0),MATCH(G$12,'02_Debt Engine'!$F$129:$Z$129,0))</f>
        <v>0</v>
      </c>
      <c r="H62" s="343">
        <f>INDEX('02_Debt Engine'!$F$130:$Z$146,MATCH($C$1,'02_Debt Engine'!$B$130:$B$146,0),MATCH(H$12,'02_Debt Engine'!$F$129:$Z$129,0))</f>
        <v>0</v>
      </c>
      <c r="I62" s="343">
        <f>INDEX('02_Debt Engine'!$F$130:$Z$146,MATCH($C$1,'02_Debt Engine'!$B$130:$B$146,0),MATCH(I$12,'02_Debt Engine'!$F$129:$Z$129,0))</f>
        <v>18435922.196523327</v>
      </c>
      <c r="J62" s="343">
        <f>INDEX('02_Debt Engine'!$F$130:$Z$146,MATCH($C$1,'02_Debt Engine'!$B$130:$B$146,0),MATCH(J$12,'02_Debt Engine'!$F$129:$Z$129,0))</f>
        <v>0</v>
      </c>
      <c r="K62" s="343">
        <f>INDEX('02_Debt Engine'!$F$130:$Z$146,MATCH($C$1,'02_Debt Engine'!$B$130:$B$146,0),MATCH(K$12,'02_Debt Engine'!$F$129:$Z$129,0))</f>
        <v>0</v>
      </c>
      <c r="L62" s="343">
        <f>INDEX('02_Debt Engine'!$F$130:$Z$146,MATCH($C$1,'02_Debt Engine'!$B$130:$B$146,0),MATCH(L$12,'02_Debt Engine'!$F$129:$Z$129,0))</f>
        <v>0</v>
      </c>
      <c r="M62" s="343">
        <f>INDEX('02_Debt Engine'!$F$130:$Z$146,MATCH($C$1,'02_Debt Engine'!$B$130:$B$146,0),MATCH(M$12,'02_Debt Engine'!$F$129:$Z$129,0))</f>
        <v>0</v>
      </c>
      <c r="N62" s="343">
        <f>INDEX('02_Debt Engine'!$F$130:$Z$146,MATCH($C$1,'02_Debt Engine'!$B$130:$B$146,0),MATCH(N$12,'02_Debt Engine'!$F$129:$Z$129,0))</f>
        <v>0</v>
      </c>
      <c r="O62" s="343">
        <f>INDEX('02_Debt Engine'!$F$130:$Z$146,MATCH($C$1,'02_Debt Engine'!$B$130:$B$146,0),MATCH(O$12,'02_Debt Engine'!$F$129:$Z$129,0))</f>
        <v>0</v>
      </c>
      <c r="P62" s="343">
        <f>INDEX('02_Debt Engine'!$F$130:$Z$146,MATCH($C$1,'02_Debt Engine'!$B$130:$B$146,0),MATCH(P$12,'02_Debt Engine'!$F$129:$Z$129,0))</f>
        <v>0</v>
      </c>
      <c r="Q62" s="343">
        <f>INDEX('02_Debt Engine'!$F$130:$Z$146,MATCH($C$1,'02_Debt Engine'!$B$130:$B$146,0),MATCH(Q$12,'02_Debt Engine'!$F$129:$Z$129,0))</f>
        <v>0</v>
      </c>
      <c r="R62" s="343">
        <f>INDEX('02_Debt Engine'!$F$130:$Z$146,MATCH($C$1,'02_Debt Engine'!$B$130:$B$146,0),MATCH(R$12,'02_Debt Engine'!$F$129:$Z$129,0))</f>
        <v>0</v>
      </c>
      <c r="S62" s="343">
        <f>INDEX('02_Debt Engine'!$F$130:$Z$146,MATCH($C$1,'02_Debt Engine'!$B$130:$B$146,0),MATCH(S$12,'02_Debt Engine'!$F$129:$Z$129,0))</f>
        <v>0</v>
      </c>
      <c r="T62" s="343">
        <f>INDEX('02_Debt Engine'!$F$130:$Z$146,MATCH($C$1,'02_Debt Engine'!$B$130:$B$146,0),MATCH(T$12,'02_Debt Engine'!$F$129:$Z$129,0))</f>
        <v>0</v>
      </c>
      <c r="U62" s="343">
        <f>INDEX('02_Debt Engine'!$F$130:$Z$146,MATCH($C$1,'02_Debt Engine'!$B$130:$B$146,0),MATCH(U$12,'02_Debt Engine'!$F$129:$Z$129,0))</f>
        <v>0</v>
      </c>
      <c r="V62" s="343">
        <f>INDEX('02_Debt Engine'!$F$130:$Z$146,MATCH($C$1,'02_Debt Engine'!$B$130:$B$146,0),MATCH(V$12,'02_Debt Engine'!$F$129:$Z$129,0))</f>
        <v>0</v>
      </c>
      <c r="W62" s="343">
        <f>INDEX('02_Debt Engine'!$F$130:$Z$146,MATCH($C$1,'02_Debt Engine'!$B$130:$B$146,0),MATCH(W$12,'02_Debt Engine'!$F$129:$Z$129,0))</f>
        <v>0</v>
      </c>
      <c r="X62" s="343">
        <f>INDEX('02_Debt Engine'!$F$130:$Z$146,MATCH($C$1,'02_Debt Engine'!$B$130:$B$146,0),MATCH(X$12,'02_Debt Engine'!$F$129:$Z$129,0))</f>
        <v>0</v>
      </c>
      <c r="Y62" s="343">
        <f>INDEX('02_Debt Engine'!$F$130:$Z$146,MATCH($C$1,'02_Debt Engine'!$B$130:$B$146,0),MATCH(Y$12,'02_Debt Engine'!$F$129:$Z$129,0))</f>
        <v>0</v>
      </c>
    </row>
    <row r="63" spans="3:25" s="20" customFormat="1" ht="13.5" customHeight="1">
      <c r="C63" s="21" t="s">
        <v>543</v>
      </c>
      <c r="E63" s="285">
        <f t="shared" ref="E63:Y63" si="19">SUM(E61:E62)</f>
        <v>0</v>
      </c>
      <c r="F63" s="285">
        <f t="shared" si="19"/>
        <v>0</v>
      </c>
      <c r="G63" s="285">
        <f t="shared" si="19"/>
        <v>0</v>
      </c>
      <c r="H63" s="285">
        <f t="shared" si="19"/>
        <v>0</v>
      </c>
      <c r="I63" s="285">
        <f t="shared" si="19"/>
        <v>-17385398.775567945</v>
      </c>
      <c r="J63" s="285">
        <f t="shared" si="19"/>
        <v>0</v>
      </c>
      <c r="K63" s="285">
        <f t="shared" si="19"/>
        <v>0</v>
      </c>
      <c r="L63" s="285">
        <f t="shared" si="19"/>
        <v>0</v>
      </c>
      <c r="M63" s="285">
        <f t="shared" si="19"/>
        <v>0</v>
      </c>
      <c r="N63" s="285">
        <f t="shared" si="19"/>
        <v>0</v>
      </c>
      <c r="O63" s="285">
        <f t="shared" si="19"/>
        <v>0</v>
      </c>
      <c r="P63" s="285">
        <f t="shared" si="19"/>
        <v>0</v>
      </c>
      <c r="Q63" s="285">
        <f t="shared" si="19"/>
        <v>0</v>
      </c>
      <c r="R63" s="285">
        <f t="shared" si="19"/>
        <v>0</v>
      </c>
      <c r="S63" s="285">
        <f t="shared" si="19"/>
        <v>0</v>
      </c>
      <c r="T63" s="285">
        <f t="shared" si="19"/>
        <v>0</v>
      </c>
      <c r="U63" s="285">
        <f t="shared" si="19"/>
        <v>0</v>
      </c>
      <c r="V63" s="285">
        <f t="shared" si="19"/>
        <v>0</v>
      </c>
      <c r="W63" s="285">
        <f t="shared" si="19"/>
        <v>0</v>
      </c>
      <c r="X63" s="285">
        <f t="shared" si="19"/>
        <v>0</v>
      </c>
      <c r="Y63" s="285">
        <f t="shared" si="19"/>
        <v>0</v>
      </c>
    </row>
    <row r="64" spans="3:25" s="20" customFormat="1" ht="13.9" customHeight="1">
      <c r="C64" s="22" t="s">
        <v>370</v>
      </c>
      <c r="E64" s="296">
        <f>INDEX('02_Debt Engine'!$F$74:$Z$90,MATCH($C$1,'02_Debt Engine'!$B$74:$B$90,0),MATCH(E$12,'02_Debt Engine'!$F$73:$Z$73,0))</f>
        <v>37327990.887768567</v>
      </c>
      <c r="F64" s="296">
        <f>INDEX('02_Debt Engine'!$F$74:$Z$90,MATCH($C$1,'02_Debt Engine'!$B$74:$B$90,0),MATCH(F$12,'02_Debt Engine'!$F$73:$Z$73,0))</f>
        <v>36975816.365486726</v>
      </c>
      <c r="G64" s="296">
        <f>INDEX('02_Debt Engine'!$F$74:$Z$90,MATCH($C$1,'02_Debt Engine'!$B$74:$B$90,0),MATCH(G$12,'02_Debt Engine'!$F$73:$Z$73,0))</f>
        <v>36607793.989702202</v>
      </c>
      <c r="H64" s="296">
        <f>INDEX('02_Debt Engine'!$F$74:$Z$90,MATCH($C$1,'02_Debt Engine'!$B$74:$B$90,0),MATCH(H$12,'02_Debt Engine'!$F$73:$Z$73,0))</f>
        <v>36223210.607007369</v>
      </c>
      <c r="I64" s="296">
        <f>INDEX('02_Debt Engine'!$F$74:$Z$90,MATCH($C$1,'02_Debt Engine'!$B$74:$B$90,0),MATCH(I$12,'02_Debt Engine'!$F$73:$Z$73,0))</f>
        <v>35821320.972091272</v>
      </c>
      <c r="J64" s="296">
        <f>INDEX('02_Debt Engine'!$F$74:$Z$90,MATCH($C$1,'02_Debt Engine'!$B$74:$B$90,0),MATCH(J$12,'02_Debt Engine'!$F$73:$Z$73,0))</f>
        <v>18193803.803231146</v>
      </c>
      <c r="K64" s="296">
        <f>INDEX('02_Debt Engine'!$F$74:$Z$90,MATCH($C$1,'02_Debt Engine'!$B$74:$B$90,0),MATCH(K$12,'02_Debt Engine'!$F$73:$Z$73,0))</f>
        <v>17942000.674207278</v>
      </c>
      <c r="L64" s="296">
        <f>INDEX('02_Debt Engine'!$F$74:$Z$90,MATCH($C$1,'02_Debt Engine'!$B$74:$B$90,0),MATCH(L$12,'02_Debt Engine'!$F$73:$Z$73,0))</f>
        <v>17680125.420022454</v>
      </c>
      <c r="M64" s="296">
        <f>INDEX('02_Debt Engine'!$F$74:$Z$90,MATCH($C$1,'02_Debt Engine'!$B$74:$B$90,0),MATCH(M$12,'02_Debt Engine'!$F$73:$Z$73,0))</f>
        <v>17407775.155670237</v>
      </c>
      <c r="N64" s="296">
        <f>INDEX('02_Debt Engine'!$F$74:$Z$90,MATCH($C$1,'02_Debt Engine'!$B$74:$B$90,0),MATCH(N$12,'02_Debt Engine'!$F$73:$Z$73,0))</f>
        <v>17124530.880743932</v>
      </c>
      <c r="O64" s="296">
        <f>INDEX('02_Debt Engine'!$F$74:$Z$90,MATCH($C$1,'02_Debt Engine'!$B$74:$B$90,0),MATCH(O$12,'02_Debt Engine'!$F$73:$Z$73,0))</f>
        <v>16829956.834820572</v>
      </c>
      <c r="P64" s="296">
        <f>INDEX('02_Debt Engine'!$F$74:$Z$90,MATCH($C$1,'02_Debt Engine'!$B$74:$B$90,0),MATCH(P$12,'02_Debt Engine'!$F$73:$Z$73,0))</f>
        <v>16523599.82706028</v>
      </c>
      <c r="Q64" s="296">
        <f>INDEX('02_Debt Engine'!$F$74:$Z$90,MATCH($C$1,'02_Debt Engine'!$B$74:$B$90,0),MATCH(Q$12,'02_Debt Engine'!$F$73:$Z$73,0))</f>
        <v>16204988.538989576</v>
      </c>
      <c r="R64" s="296">
        <f>INDEX('02_Debt Engine'!$F$74:$Z$90,MATCH($C$1,'02_Debt Engine'!$B$74:$B$90,0),MATCH(R$12,'02_Debt Engine'!$F$73:$Z$73,0))</f>
        <v>15873632.799396044</v>
      </c>
      <c r="S64" s="296">
        <f>INDEX('02_Debt Engine'!$F$74:$Z$90,MATCH($C$1,'02_Debt Engine'!$B$74:$B$90,0),MATCH(S$12,'02_Debt Engine'!$F$73:$Z$73,0))</f>
        <v>15529022.83021877</v>
      </c>
      <c r="T64" s="296">
        <f>INDEX('02_Debt Engine'!$F$74:$Z$90,MATCH($C$1,'02_Debt Engine'!$B$74:$B$90,0),MATCH(T$12,'02_Debt Engine'!$F$73:$Z$73,0))</f>
        <v>15170628.462274404</v>
      </c>
      <c r="U64" s="296">
        <f>INDEX('02_Debt Engine'!$F$74:$Z$90,MATCH($C$1,'02_Debt Engine'!$B$74:$B$90,0),MATCH(U$12,'02_Debt Engine'!$F$73:$Z$73,0))</f>
        <v>14797898.319612265</v>
      </c>
      <c r="V64" s="296">
        <f>INDEX('02_Debt Engine'!$F$74:$Z$90,MATCH($C$1,'02_Debt Engine'!$B$74:$B$90,0),MATCH(V$12,'02_Debt Engine'!$F$73:$Z$73,0))</f>
        <v>14410258.97124364</v>
      </c>
      <c r="W64" s="296">
        <f>INDEX('02_Debt Engine'!$F$74:$Z$90,MATCH($C$1,'02_Debt Engine'!$B$74:$B$90,0),MATCH(W$12,'02_Debt Engine'!$F$73:$Z$73,0))</f>
        <v>14007114.048940271</v>
      </c>
      <c r="X64" s="296">
        <f>INDEX('02_Debt Engine'!$F$74:$Z$90,MATCH($C$1,'02_Debt Engine'!$B$74:$B$90,0),MATCH(X$12,'02_Debt Engine'!$F$73:$Z$73,0))</f>
        <v>13587843.329744766</v>
      </c>
      <c r="Y64" s="296">
        <f>INDEX('02_Debt Engine'!$F$74:$Z$90,MATCH($C$1,'02_Debt Engine'!$B$74:$B$90,0),MATCH(Y$12,'02_Debt Engine'!$F$73:$Z$73,0))</f>
        <v>13151801.781781441</v>
      </c>
    </row>
    <row r="65" spans="3:25" s="1" customFormat="1" ht="6.95" customHeight="1">
      <c r="C65" s="22"/>
      <c r="D65" s="20"/>
      <c r="E65" s="6"/>
      <c r="F65" s="6"/>
      <c r="G65" s="6"/>
      <c r="H65" s="6"/>
      <c r="I65" s="6"/>
      <c r="J65" s="6"/>
      <c r="K65" s="6"/>
      <c r="L65" s="6"/>
      <c r="M65" s="6"/>
      <c r="N65" s="6"/>
      <c r="O65" s="6"/>
      <c r="P65" s="6"/>
      <c r="Q65" s="6"/>
      <c r="R65" s="6"/>
      <c r="S65" s="6"/>
      <c r="T65" s="6"/>
      <c r="U65" s="6"/>
      <c r="V65" s="6"/>
      <c r="W65" s="6"/>
      <c r="X65" s="6"/>
      <c r="Y65" s="6"/>
    </row>
    <row r="66" spans="3:25" ht="13.9" customHeight="1">
      <c r="C66" s="5" t="s">
        <v>365</v>
      </c>
      <c r="E66" s="288" t="str">
        <f t="shared" ref="E66:Y66" si="20">IF($E$2="No Refi","",IF(E$12=$E$2,"REFI YR.",""))</f>
        <v/>
      </c>
      <c r="F66" s="288" t="str">
        <f t="shared" si="20"/>
        <v/>
      </c>
      <c r="G66" s="289" t="str">
        <f t="shared" si="20"/>
        <v/>
      </c>
      <c r="H66" s="288" t="str">
        <f t="shared" si="20"/>
        <v/>
      </c>
      <c r="I66" s="288" t="str">
        <f t="shared" si="20"/>
        <v>REFI YR.</v>
      </c>
      <c r="J66" s="288" t="str">
        <f t="shared" si="20"/>
        <v/>
      </c>
      <c r="K66" s="288" t="str">
        <f t="shared" si="20"/>
        <v/>
      </c>
      <c r="L66" s="288" t="str">
        <f t="shared" si="20"/>
        <v/>
      </c>
      <c r="M66" s="288" t="str">
        <f t="shared" si="20"/>
        <v/>
      </c>
      <c r="N66" s="288" t="str">
        <f t="shared" si="20"/>
        <v/>
      </c>
      <c r="O66" s="288" t="str">
        <f t="shared" si="20"/>
        <v/>
      </c>
      <c r="P66" s="288" t="str">
        <f t="shared" si="20"/>
        <v/>
      </c>
      <c r="Q66" s="288" t="str">
        <f t="shared" si="20"/>
        <v/>
      </c>
      <c r="R66" s="288" t="str">
        <f t="shared" si="20"/>
        <v/>
      </c>
      <c r="S66" s="288" t="str">
        <f t="shared" si="20"/>
        <v/>
      </c>
      <c r="T66" s="288" t="str">
        <f t="shared" si="20"/>
        <v/>
      </c>
      <c r="U66" s="288" t="str">
        <f t="shared" si="20"/>
        <v/>
      </c>
      <c r="V66" s="288" t="str">
        <f t="shared" si="20"/>
        <v/>
      </c>
      <c r="W66" s="288" t="str">
        <f t="shared" si="20"/>
        <v/>
      </c>
      <c r="X66" s="288" t="str">
        <f t="shared" si="20"/>
        <v/>
      </c>
      <c r="Y66" s="288" t="str">
        <f t="shared" si="20"/>
        <v/>
      </c>
    </row>
    <row r="67" spans="3:25" ht="13.5" customHeight="1">
      <c r="C67" s="21" t="s">
        <v>371</v>
      </c>
      <c r="D67" s="20"/>
      <c r="E67" s="285">
        <f t="shared" ref="E67:Y67" si="21">E56</f>
        <v>-2031934.1122314297</v>
      </c>
      <c r="F67" s="285">
        <f t="shared" si="21"/>
        <v>-2031934.1122314297</v>
      </c>
      <c r="G67" s="285">
        <f t="shared" si="21"/>
        <v>-2031934.1122314297</v>
      </c>
      <c r="H67" s="285">
        <f t="shared" si="21"/>
        <v>-2031934.1122314297</v>
      </c>
      <c r="I67" s="285">
        <f t="shared" si="21"/>
        <v>-557060.33650956349</v>
      </c>
      <c r="J67" s="285">
        <f t="shared" si="21"/>
        <v>204044.81649588747</v>
      </c>
      <c r="K67" s="285">
        <f t="shared" si="21"/>
        <v>209845.32067614712</v>
      </c>
      <c r="L67" s="285">
        <f t="shared" si="21"/>
        <v>215517.16156405647</v>
      </c>
      <c r="M67" s="285">
        <f t="shared" si="21"/>
        <v>221047.97895873088</v>
      </c>
      <c r="N67" s="285">
        <f t="shared" si="21"/>
        <v>226424.77397786512</v>
      </c>
      <c r="O67" s="285">
        <f t="shared" si="21"/>
        <v>237000.75393623853</v>
      </c>
      <c r="P67" s="285">
        <f t="shared" si="21"/>
        <v>247743.52954951854</v>
      </c>
      <c r="Q67" s="285">
        <f t="shared" si="21"/>
        <v>258655.31863219821</v>
      </c>
      <c r="R67" s="285">
        <f t="shared" si="21"/>
        <v>269738.35540259304</v>
      </c>
      <c r="S67" s="285">
        <f t="shared" si="21"/>
        <v>280994.89011210867</v>
      </c>
      <c r="T67" s="285">
        <f t="shared" si="21"/>
        <v>292427.18864962022</v>
      </c>
      <c r="U67" s="285">
        <f t="shared" si="21"/>
        <v>304037.53212003392</v>
      </c>
      <c r="V67" s="285">
        <f t="shared" si="21"/>
        <v>315828.21639606054</v>
      </c>
      <c r="W67" s="285">
        <f t="shared" si="21"/>
        <v>327801.55164221744</v>
      </c>
      <c r="X67" s="285">
        <f t="shared" si="21"/>
        <v>339959.86181002291</v>
      </c>
      <c r="Y67" s="285">
        <f t="shared" si="21"/>
        <v>352305.48410332773</v>
      </c>
    </row>
    <row r="68" spans="3:25" s="20" customFormat="1" ht="13.5" customHeight="1">
      <c r="C68" s="26" t="s">
        <v>544</v>
      </c>
      <c r="E68" s="287">
        <f t="shared" ref="E68:Y68" si="22">E67+E$63</f>
        <v>-2031934.1122314297</v>
      </c>
      <c r="F68" s="287">
        <f t="shared" si="22"/>
        <v>-2031934.1122314297</v>
      </c>
      <c r="G68" s="287">
        <f t="shared" si="22"/>
        <v>-2031934.1122314297</v>
      </c>
      <c r="H68" s="287">
        <f t="shared" si="22"/>
        <v>-2031934.1122314297</v>
      </c>
      <c r="I68" s="287">
        <f t="shared" si="22"/>
        <v>-17942459.112077508</v>
      </c>
      <c r="J68" s="287">
        <f t="shared" si="22"/>
        <v>204044.81649588747</v>
      </c>
      <c r="K68" s="287">
        <f t="shared" si="22"/>
        <v>209845.32067614712</v>
      </c>
      <c r="L68" s="287">
        <f t="shared" si="22"/>
        <v>215517.16156405647</v>
      </c>
      <c r="M68" s="287">
        <f t="shared" si="22"/>
        <v>221047.97895873088</v>
      </c>
      <c r="N68" s="287">
        <f t="shared" si="22"/>
        <v>226424.77397786512</v>
      </c>
      <c r="O68" s="287">
        <f t="shared" si="22"/>
        <v>237000.75393623853</v>
      </c>
      <c r="P68" s="287">
        <f t="shared" si="22"/>
        <v>247743.52954951854</v>
      </c>
      <c r="Q68" s="287">
        <f t="shared" si="22"/>
        <v>258655.31863219821</v>
      </c>
      <c r="R68" s="287">
        <f t="shared" si="22"/>
        <v>269738.35540259304</v>
      </c>
      <c r="S68" s="287">
        <f t="shared" si="22"/>
        <v>280994.89011210867</v>
      </c>
      <c r="T68" s="287">
        <f t="shared" si="22"/>
        <v>292427.18864962022</v>
      </c>
      <c r="U68" s="287">
        <f t="shared" si="22"/>
        <v>304037.53212003392</v>
      </c>
      <c r="V68" s="287">
        <f t="shared" si="22"/>
        <v>315828.21639606054</v>
      </c>
      <c r="W68" s="287">
        <f t="shared" si="22"/>
        <v>327801.55164221744</v>
      </c>
      <c r="X68" s="287">
        <f t="shared" si="22"/>
        <v>339959.86181002291</v>
      </c>
      <c r="Y68" s="287">
        <f t="shared" si="22"/>
        <v>352305.48410332773</v>
      </c>
    </row>
    <row r="69" spans="3:25" ht="6.95" customHeight="1">
      <c r="C69" s="24"/>
      <c r="D69" s="24"/>
      <c r="E69" s="24"/>
      <c r="F69" s="24"/>
      <c r="G69" s="24"/>
      <c r="H69" s="24"/>
      <c r="I69" s="24"/>
      <c r="J69" s="24"/>
      <c r="K69" s="24"/>
      <c r="L69" s="24"/>
      <c r="M69" s="24"/>
      <c r="N69" s="24"/>
      <c r="O69" s="24"/>
      <c r="P69" s="24"/>
      <c r="Q69" s="24"/>
      <c r="R69" s="24"/>
      <c r="S69" s="24"/>
      <c r="T69" s="24"/>
      <c r="U69" s="24"/>
      <c r="V69" s="24"/>
      <c r="W69" s="24"/>
      <c r="X69" s="24"/>
      <c r="Y69" s="24"/>
    </row>
    <row r="70" spans="3:25" ht="6.95" customHeight="1"/>
    <row r="71" spans="3:25" ht="15" customHeight="1">
      <c r="C71" s="449" t="s">
        <v>373</v>
      </c>
      <c r="D71" s="424"/>
      <c r="E71" s="424"/>
      <c r="F71" s="424"/>
      <c r="G71" s="424"/>
      <c r="H71" s="424"/>
      <c r="I71" s="424"/>
      <c r="J71" s="424"/>
      <c r="K71" s="424"/>
      <c r="L71" s="424"/>
      <c r="M71" s="424"/>
      <c r="N71" s="424"/>
      <c r="O71" s="424"/>
      <c r="P71" s="424"/>
      <c r="Q71" s="424"/>
      <c r="R71" s="424"/>
      <c r="S71" s="424"/>
      <c r="T71" s="424"/>
      <c r="U71" s="424"/>
      <c r="V71" s="424"/>
      <c r="W71" s="424"/>
      <c r="X71" s="424"/>
      <c r="Y71" s="424"/>
    </row>
    <row r="72" spans="3:25" ht="13.5" customHeight="1">
      <c r="C72" s="282" t="str">
        <f>"GROSS ASSET VALUE: Cap Rate = "&amp;$F$7</f>
        <v>GROSS ASSET VALUE: Cap Rate = 0.06</v>
      </c>
      <c r="E72" s="289">
        <f t="shared" ref="E72:Y72" si="23">E$12</f>
        <v>2025</v>
      </c>
      <c r="F72" s="289">
        <f t="shared" si="23"/>
        <v>2026</v>
      </c>
      <c r="G72" s="289">
        <f t="shared" si="23"/>
        <v>2027</v>
      </c>
      <c r="H72" s="289">
        <f t="shared" si="23"/>
        <v>2028</v>
      </c>
      <c r="I72" s="289">
        <f t="shared" si="23"/>
        <v>2029</v>
      </c>
      <c r="J72" s="289">
        <f t="shared" si="23"/>
        <v>2030</v>
      </c>
      <c r="K72" s="289">
        <f t="shared" si="23"/>
        <v>2031</v>
      </c>
      <c r="L72" s="289">
        <f t="shared" si="23"/>
        <v>2032</v>
      </c>
      <c r="M72" s="289">
        <f t="shared" si="23"/>
        <v>2033</v>
      </c>
      <c r="N72" s="289">
        <f t="shared" si="23"/>
        <v>2034</v>
      </c>
      <c r="O72" s="289">
        <f t="shared" si="23"/>
        <v>2035</v>
      </c>
      <c r="P72" s="289">
        <f t="shared" si="23"/>
        <v>2036</v>
      </c>
      <c r="Q72" s="289">
        <f t="shared" si="23"/>
        <v>2037</v>
      </c>
      <c r="R72" s="289">
        <f t="shared" si="23"/>
        <v>2038</v>
      </c>
      <c r="S72" s="289">
        <f t="shared" si="23"/>
        <v>2039</v>
      </c>
      <c r="T72" s="289">
        <f t="shared" si="23"/>
        <v>2040</v>
      </c>
      <c r="U72" s="289">
        <f t="shared" si="23"/>
        <v>2041</v>
      </c>
      <c r="V72" s="289">
        <f t="shared" si="23"/>
        <v>2042</v>
      </c>
      <c r="W72" s="289">
        <f t="shared" si="23"/>
        <v>2043</v>
      </c>
      <c r="X72" s="289">
        <f t="shared" si="23"/>
        <v>2044</v>
      </c>
      <c r="Y72" s="289">
        <f t="shared" si="23"/>
        <v>2045</v>
      </c>
    </row>
    <row r="73" spans="3:25" ht="13.5" customHeight="1">
      <c r="C73" s="21" t="s">
        <v>374</v>
      </c>
      <c r="D73" s="21"/>
      <c r="E73" s="285">
        <f t="shared" ref="E73:Y73" si="24">E41/$F$7</f>
        <v>0</v>
      </c>
      <c r="F73" s="285">
        <f t="shared" si="24"/>
        <v>0</v>
      </c>
      <c r="G73" s="285">
        <f t="shared" si="24"/>
        <v>0</v>
      </c>
      <c r="H73" s="285">
        <f t="shared" si="24"/>
        <v>0</v>
      </c>
      <c r="I73" s="285">
        <f t="shared" si="24"/>
        <v>24581229.595364437</v>
      </c>
      <c r="J73" s="285">
        <f t="shared" si="24"/>
        <v>24827788.706547242</v>
      </c>
      <c r="K73" s="285">
        <f t="shared" si="24"/>
        <v>25069476.380724724</v>
      </c>
      <c r="L73" s="285">
        <f t="shared" si="24"/>
        <v>25305803.084387615</v>
      </c>
      <c r="M73" s="285">
        <f t="shared" si="24"/>
        <v>25536253.809165716</v>
      </c>
      <c r="N73" s="285">
        <f t="shared" si="24"/>
        <v>25760286.934962973</v>
      </c>
      <c r="O73" s="285">
        <f t="shared" si="24"/>
        <v>26200952.766561866</v>
      </c>
      <c r="P73" s="285">
        <f t="shared" si="24"/>
        <v>26648568.4171152</v>
      </c>
      <c r="Q73" s="285">
        <f t="shared" si="24"/>
        <v>27103226.295560189</v>
      </c>
      <c r="R73" s="285">
        <f t="shared" si="24"/>
        <v>27565019.49432664</v>
      </c>
      <c r="S73" s="285">
        <f t="shared" si="24"/>
        <v>28034041.773889787</v>
      </c>
      <c r="T73" s="285">
        <f t="shared" si="24"/>
        <v>28510387.546286106</v>
      </c>
      <c r="U73" s="285">
        <f t="shared" si="24"/>
        <v>28994151.85755334</v>
      </c>
      <c r="V73" s="285">
        <f t="shared" si="24"/>
        <v>29485430.369054448</v>
      </c>
      <c r="W73" s="285">
        <f t="shared" si="24"/>
        <v>29984319.33764432</v>
      </c>
      <c r="X73" s="285">
        <f t="shared" si="24"/>
        <v>30490915.594636217</v>
      </c>
      <c r="Y73" s="285">
        <f t="shared" si="24"/>
        <v>31005316.523523916</v>
      </c>
    </row>
    <row r="74" spans="3:25" ht="6.95" customHeight="1">
      <c r="C74" s="21"/>
      <c r="D74" s="21"/>
      <c r="E74" s="21"/>
      <c r="F74" s="21"/>
      <c r="G74" s="21"/>
      <c r="H74" s="21"/>
      <c r="I74" s="21"/>
      <c r="J74" s="21"/>
      <c r="K74" s="21"/>
      <c r="L74" s="21"/>
      <c r="M74" s="21"/>
      <c r="N74" s="21"/>
      <c r="O74" s="21"/>
      <c r="P74" s="21"/>
      <c r="Q74" s="21"/>
      <c r="R74" s="21"/>
      <c r="S74" s="21"/>
      <c r="T74" s="21"/>
      <c r="U74" s="21"/>
      <c r="V74" s="21"/>
      <c r="W74" s="21"/>
      <c r="X74" s="21"/>
      <c r="Y74" s="21"/>
    </row>
    <row r="75" spans="3:25" ht="13.5" customHeight="1">
      <c r="C75" s="5" t="s">
        <v>375</v>
      </c>
      <c r="D75" s="21"/>
      <c r="E75" s="288" t="str">
        <f t="shared" ref="E75:Y75" si="25">IF($E$2="No Refi","",IF(E$12=$E$2,"REFI YR.",""))</f>
        <v/>
      </c>
      <c r="F75" s="288" t="str">
        <f t="shared" si="25"/>
        <v/>
      </c>
      <c r="G75" s="289" t="str">
        <f t="shared" si="25"/>
        <v/>
      </c>
      <c r="H75" s="288" t="str">
        <f t="shared" si="25"/>
        <v/>
      </c>
      <c r="I75" s="288" t="str">
        <f t="shared" si="25"/>
        <v>REFI YR.</v>
      </c>
      <c r="J75" s="288" t="str">
        <f t="shared" si="25"/>
        <v/>
      </c>
      <c r="K75" s="288" t="str">
        <f t="shared" si="25"/>
        <v/>
      </c>
      <c r="L75" s="288" t="str">
        <f t="shared" si="25"/>
        <v/>
      </c>
      <c r="M75" s="288" t="str">
        <f t="shared" si="25"/>
        <v/>
      </c>
      <c r="N75" s="288" t="str">
        <f t="shared" si="25"/>
        <v/>
      </c>
      <c r="O75" s="288" t="str">
        <f t="shared" si="25"/>
        <v/>
      </c>
      <c r="P75" s="288" t="str">
        <f t="shared" si="25"/>
        <v/>
      </c>
      <c r="Q75" s="288" t="str">
        <f t="shared" si="25"/>
        <v/>
      </c>
      <c r="R75" s="288" t="str">
        <f t="shared" si="25"/>
        <v/>
      </c>
      <c r="S75" s="288" t="str">
        <f t="shared" si="25"/>
        <v/>
      </c>
      <c r="T75" s="288" t="str">
        <f t="shared" si="25"/>
        <v/>
      </c>
      <c r="U75" s="288" t="str">
        <f t="shared" si="25"/>
        <v/>
      </c>
      <c r="V75" s="288" t="str">
        <f t="shared" si="25"/>
        <v/>
      </c>
      <c r="W75" s="288" t="str">
        <f t="shared" si="25"/>
        <v/>
      </c>
      <c r="X75" s="288" t="str">
        <f t="shared" si="25"/>
        <v/>
      </c>
      <c r="Y75" s="288" t="str">
        <f t="shared" si="25"/>
        <v/>
      </c>
    </row>
    <row r="76" spans="3:25" ht="13.5" customHeight="1">
      <c r="C76" s="21" t="s">
        <v>370</v>
      </c>
      <c r="D76" s="21"/>
      <c r="E76" s="285">
        <f t="shared" ref="E76:Y76" si="26">E64</f>
        <v>37327990.887768567</v>
      </c>
      <c r="F76" s="285">
        <f t="shared" si="26"/>
        <v>36975816.365486726</v>
      </c>
      <c r="G76" s="285">
        <f t="shared" si="26"/>
        <v>36607793.989702202</v>
      </c>
      <c r="H76" s="285">
        <f t="shared" si="26"/>
        <v>36223210.607007369</v>
      </c>
      <c r="I76" s="285">
        <f t="shared" si="26"/>
        <v>35821320.972091272</v>
      </c>
      <c r="J76" s="285">
        <f t="shared" si="26"/>
        <v>18193803.803231146</v>
      </c>
      <c r="K76" s="285">
        <f t="shared" si="26"/>
        <v>17942000.674207278</v>
      </c>
      <c r="L76" s="285">
        <f t="shared" si="26"/>
        <v>17680125.420022454</v>
      </c>
      <c r="M76" s="285">
        <f t="shared" si="26"/>
        <v>17407775.155670237</v>
      </c>
      <c r="N76" s="285">
        <f t="shared" si="26"/>
        <v>17124530.880743932</v>
      </c>
      <c r="O76" s="285">
        <f t="shared" si="26"/>
        <v>16829956.834820572</v>
      </c>
      <c r="P76" s="285">
        <f t="shared" si="26"/>
        <v>16523599.82706028</v>
      </c>
      <c r="Q76" s="285">
        <f t="shared" si="26"/>
        <v>16204988.538989576</v>
      </c>
      <c r="R76" s="285">
        <f t="shared" si="26"/>
        <v>15873632.799396044</v>
      </c>
      <c r="S76" s="285">
        <f t="shared" si="26"/>
        <v>15529022.83021877</v>
      </c>
      <c r="T76" s="285">
        <f t="shared" si="26"/>
        <v>15170628.462274404</v>
      </c>
      <c r="U76" s="285">
        <f t="shared" si="26"/>
        <v>14797898.319612265</v>
      </c>
      <c r="V76" s="285">
        <f t="shared" si="26"/>
        <v>14410258.97124364</v>
      </c>
      <c r="W76" s="285">
        <f t="shared" si="26"/>
        <v>14007114.048940271</v>
      </c>
      <c r="X76" s="285">
        <f t="shared" si="26"/>
        <v>13587843.329744766</v>
      </c>
      <c r="Y76" s="285">
        <f t="shared" si="26"/>
        <v>13151801.781781441</v>
      </c>
    </row>
    <row r="77" spans="3:25" ht="13.5" customHeight="1">
      <c r="C77" s="26" t="s">
        <v>376</v>
      </c>
      <c r="D77" s="21"/>
      <c r="E77" s="287">
        <f t="shared" ref="E77:Y77" si="27">E73-E$76</f>
        <v>-37327990.887768567</v>
      </c>
      <c r="F77" s="287">
        <f t="shared" si="27"/>
        <v>-36975816.365486726</v>
      </c>
      <c r="G77" s="287">
        <f t="shared" si="27"/>
        <v>-36607793.989702202</v>
      </c>
      <c r="H77" s="287">
        <f t="shared" si="27"/>
        <v>-36223210.607007369</v>
      </c>
      <c r="I77" s="287">
        <f t="shared" si="27"/>
        <v>-11240091.376726836</v>
      </c>
      <c r="J77" s="287">
        <f t="shared" si="27"/>
        <v>6633984.9033160955</v>
      </c>
      <c r="K77" s="287">
        <f t="shared" si="27"/>
        <v>7127475.7065174468</v>
      </c>
      <c r="L77" s="287">
        <f t="shared" si="27"/>
        <v>7625677.6643651612</v>
      </c>
      <c r="M77" s="287">
        <f t="shared" si="27"/>
        <v>8128478.6534954794</v>
      </c>
      <c r="N77" s="287">
        <f t="shared" si="27"/>
        <v>8635756.054219041</v>
      </c>
      <c r="O77" s="287">
        <f t="shared" si="27"/>
        <v>9370995.9317412935</v>
      </c>
      <c r="P77" s="287">
        <f t="shared" si="27"/>
        <v>10124968.59005492</v>
      </c>
      <c r="Q77" s="287">
        <f t="shared" si="27"/>
        <v>10898237.756570613</v>
      </c>
      <c r="R77" s="287">
        <f t="shared" si="27"/>
        <v>11691386.694930596</v>
      </c>
      <c r="S77" s="287">
        <f t="shared" si="27"/>
        <v>12505018.943671018</v>
      </c>
      <c r="T77" s="287">
        <f t="shared" si="27"/>
        <v>13339759.084011702</v>
      </c>
      <c r="U77" s="287">
        <f t="shared" si="27"/>
        <v>14196253.537941076</v>
      </c>
      <c r="V77" s="287">
        <f t="shared" si="27"/>
        <v>15075171.397810807</v>
      </c>
      <c r="W77" s="287">
        <f t="shared" si="27"/>
        <v>15977205.288704049</v>
      </c>
      <c r="X77" s="287">
        <f t="shared" si="27"/>
        <v>16903072.264891453</v>
      </c>
      <c r="Y77" s="287">
        <f t="shared" si="27"/>
        <v>17853514.741742477</v>
      </c>
    </row>
    <row r="78" spans="3:25" ht="6.95" customHeight="1">
      <c r="C78" s="16"/>
      <c r="D78" s="20"/>
      <c r="E78" s="6"/>
      <c r="F78" s="6"/>
      <c r="G78" s="6"/>
      <c r="H78" s="6"/>
      <c r="I78" s="6"/>
      <c r="J78" s="6"/>
      <c r="K78" s="6"/>
      <c r="L78" s="6"/>
      <c r="M78" s="6"/>
      <c r="N78" s="6"/>
      <c r="O78" s="6"/>
      <c r="P78" s="6"/>
      <c r="Q78" s="6"/>
      <c r="R78" s="6"/>
      <c r="S78" s="6"/>
      <c r="T78" s="6"/>
      <c r="U78" s="6"/>
      <c r="V78" s="6"/>
      <c r="W78" s="6"/>
      <c r="X78" s="6"/>
      <c r="Y78" s="6"/>
    </row>
    <row r="79" spans="3:25" ht="13.9" customHeight="1">
      <c r="C79" s="282" t="str">
        <f>"NOI YIELD: Stab. Yr. = "&amp;$F$2+1</f>
        <v>NOI YIELD: Stab. Yr. = 2030</v>
      </c>
      <c r="D79" s="20"/>
      <c r="E79" s="289" t="str">
        <f t="shared" ref="E79:Y79" si="28">IF(E$72=$F$2+1,"STAB. YR.","")</f>
        <v/>
      </c>
      <c r="F79" s="289" t="str">
        <f t="shared" si="28"/>
        <v/>
      </c>
      <c r="G79" s="289" t="str">
        <f t="shared" si="28"/>
        <v/>
      </c>
      <c r="H79" s="289" t="str">
        <f t="shared" si="28"/>
        <v/>
      </c>
      <c r="I79" s="289" t="str">
        <f t="shared" si="28"/>
        <v/>
      </c>
      <c r="J79" s="289" t="str">
        <f t="shared" si="28"/>
        <v>STAB. YR.</v>
      </c>
      <c r="K79" s="289" t="str">
        <f t="shared" si="28"/>
        <v/>
      </c>
      <c r="L79" s="289" t="str">
        <f t="shared" si="28"/>
        <v/>
      </c>
      <c r="M79" s="289" t="str">
        <f t="shared" si="28"/>
        <v/>
      </c>
      <c r="N79" s="289" t="str">
        <f t="shared" si="28"/>
        <v/>
      </c>
      <c r="O79" s="289" t="str">
        <f t="shared" si="28"/>
        <v/>
      </c>
      <c r="P79" s="289" t="str">
        <f t="shared" si="28"/>
        <v/>
      </c>
      <c r="Q79" s="289" t="str">
        <f t="shared" si="28"/>
        <v/>
      </c>
      <c r="R79" s="289" t="str">
        <f t="shared" si="28"/>
        <v/>
      </c>
      <c r="S79" s="289" t="str">
        <f t="shared" si="28"/>
        <v/>
      </c>
      <c r="T79" s="289" t="str">
        <f t="shared" si="28"/>
        <v/>
      </c>
      <c r="U79" s="289" t="str">
        <f t="shared" si="28"/>
        <v/>
      </c>
      <c r="V79" s="289" t="str">
        <f t="shared" si="28"/>
        <v/>
      </c>
      <c r="W79" s="289" t="str">
        <f t="shared" si="28"/>
        <v/>
      </c>
      <c r="X79" s="289" t="str">
        <f t="shared" si="28"/>
        <v/>
      </c>
      <c r="Y79" s="289" t="str">
        <f t="shared" si="28"/>
        <v/>
      </c>
    </row>
    <row r="80" spans="3:25" ht="13.9" customHeight="1">
      <c r="C80" s="16" t="s">
        <v>378</v>
      </c>
      <c r="D80" s="17"/>
      <c r="E80" s="296">
        <f t="shared" ref="E80:Y80" si="29">IF(E$72=$F$2+1,E73,0)</f>
        <v>0</v>
      </c>
      <c r="F80" s="296">
        <f t="shared" si="29"/>
        <v>0</v>
      </c>
      <c r="G80" s="296">
        <f t="shared" si="29"/>
        <v>0</v>
      </c>
      <c r="H80" s="296">
        <f t="shared" si="29"/>
        <v>0</v>
      </c>
      <c r="I80" s="296">
        <f t="shared" si="29"/>
        <v>0</v>
      </c>
      <c r="J80" s="296">
        <f t="shared" si="29"/>
        <v>24827788.706547242</v>
      </c>
      <c r="K80" s="296">
        <f t="shared" si="29"/>
        <v>0</v>
      </c>
      <c r="L80" s="296">
        <f t="shared" si="29"/>
        <v>0</v>
      </c>
      <c r="M80" s="296">
        <f t="shared" si="29"/>
        <v>0</v>
      </c>
      <c r="N80" s="296">
        <f t="shared" si="29"/>
        <v>0</v>
      </c>
      <c r="O80" s="296">
        <f t="shared" si="29"/>
        <v>0</v>
      </c>
      <c r="P80" s="296">
        <f t="shared" si="29"/>
        <v>0</v>
      </c>
      <c r="Q80" s="296">
        <f t="shared" si="29"/>
        <v>0</v>
      </c>
      <c r="R80" s="296">
        <f t="shared" si="29"/>
        <v>0</v>
      </c>
      <c r="S80" s="296">
        <f t="shared" si="29"/>
        <v>0</v>
      </c>
      <c r="T80" s="296">
        <f t="shared" si="29"/>
        <v>0</v>
      </c>
      <c r="U80" s="296">
        <f t="shared" si="29"/>
        <v>0</v>
      </c>
      <c r="V80" s="296">
        <f t="shared" si="29"/>
        <v>0</v>
      </c>
      <c r="W80" s="296">
        <f t="shared" si="29"/>
        <v>0</v>
      </c>
      <c r="X80" s="296">
        <f t="shared" si="29"/>
        <v>0</v>
      </c>
      <c r="Y80" s="296">
        <f t="shared" si="29"/>
        <v>0</v>
      </c>
    </row>
    <row r="81" spans="1:25" ht="13.9" customHeight="1">
      <c r="C81" s="149" t="s">
        <v>379</v>
      </c>
      <c r="D81" s="150"/>
      <c r="E81" s="344">
        <f t="shared" ref="E81:Y81" si="30">E$41/SUM($E$80:$Y$80)</f>
        <v>0</v>
      </c>
      <c r="F81" s="344">
        <f t="shared" si="30"/>
        <v>0</v>
      </c>
      <c r="G81" s="344">
        <f t="shared" si="30"/>
        <v>0</v>
      </c>
      <c r="H81" s="344">
        <f t="shared" si="30"/>
        <v>0</v>
      </c>
      <c r="I81" s="344">
        <f t="shared" si="30"/>
        <v>5.9404153674504766E-2</v>
      </c>
      <c r="J81" s="344">
        <f t="shared" si="30"/>
        <v>5.9999999999999991E-2</v>
      </c>
      <c r="K81" s="344">
        <f t="shared" si="30"/>
        <v>6.058407378208535E-2</v>
      </c>
      <c r="L81" s="344">
        <f t="shared" si="30"/>
        <v>6.1155191991095807E-2</v>
      </c>
      <c r="M81" s="344">
        <f t="shared" si="30"/>
        <v>6.1712110033621266E-2</v>
      </c>
      <c r="N81" s="344">
        <f t="shared" si="30"/>
        <v>6.225351900510534E-2</v>
      </c>
      <c r="O81" s="344">
        <f t="shared" si="30"/>
        <v>6.3318452745618495E-2</v>
      </c>
      <c r="P81" s="344">
        <f t="shared" si="30"/>
        <v>6.4400181744952115E-2</v>
      </c>
      <c r="Q81" s="344">
        <f t="shared" si="30"/>
        <v>6.5498929322883023E-2</v>
      </c>
      <c r="R81" s="344">
        <f t="shared" si="30"/>
        <v>6.6614920450948342E-2</v>
      </c>
      <c r="S81" s="344">
        <f t="shared" si="30"/>
        <v>6.7748381715115144E-2</v>
      </c>
      <c r="T81" s="344">
        <f t="shared" si="30"/>
        <v>6.8899541275943929E-2</v>
      </c>
      <c r="U81" s="344">
        <f t="shared" si="30"/>
        <v>7.0068628826152543E-2</v>
      </c>
      <c r="V81" s="344">
        <f t="shared" si="30"/>
        <v>7.125587554548253E-2</v>
      </c>
      <c r="W81" s="344">
        <f t="shared" si="30"/>
        <v>7.2461514052769266E-2</v>
      </c>
      <c r="X81" s="344">
        <f t="shared" si="30"/>
        <v>7.3685778355111198E-2</v>
      </c>
      <c r="Y81" s="344">
        <f t="shared" si="30"/>
        <v>7.4928903794032095E-2</v>
      </c>
    </row>
    <row r="82" spans="1:25" s="20" customFormat="1" ht="13.9" customHeight="1">
      <c r="A82" s="3"/>
      <c r="B82" s="3"/>
      <c r="C82" s="21" t="s">
        <v>380</v>
      </c>
      <c r="E82" s="285">
        <f t="shared" ref="E82:Y82" si="31">IF(E$72=$F$2+1,E77,0)</f>
        <v>0</v>
      </c>
      <c r="F82" s="285">
        <f t="shared" si="31"/>
        <v>0</v>
      </c>
      <c r="G82" s="285">
        <f t="shared" si="31"/>
        <v>0</v>
      </c>
      <c r="H82" s="285">
        <f t="shared" si="31"/>
        <v>0</v>
      </c>
      <c r="I82" s="285">
        <f t="shared" si="31"/>
        <v>0</v>
      </c>
      <c r="J82" s="285">
        <f t="shared" si="31"/>
        <v>6633984.9033160955</v>
      </c>
      <c r="K82" s="285">
        <f t="shared" si="31"/>
        <v>0</v>
      </c>
      <c r="L82" s="285">
        <f t="shared" si="31"/>
        <v>0</v>
      </c>
      <c r="M82" s="285">
        <f t="shared" si="31"/>
        <v>0</v>
      </c>
      <c r="N82" s="285">
        <f t="shared" si="31"/>
        <v>0</v>
      </c>
      <c r="O82" s="285">
        <f t="shared" si="31"/>
        <v>0</v>
      </c>
      <c r="P82" s="285">
        <f t="shared" si="31"/>
        <v>0</v>
      </c>
      <c r="Q82" s="285">
        <f t="shared" si="31"/>
        <v>0</v>
      </c>
      <c r="R82" s="285">
        <f t="shared" si="31"/>
        <v>0</v>
      </c>
      <c r="S82" s="285">
        <f t="shared" si="31"/>
        <v>0</v>
      </c>
      <c r="T82" s="285">
        <f t="shared" si="31"/>
        <v>0</v>
      </c>
      <c r="U82" s="285">
        <f t="shared" si="31"/>
        <v>0</v>
      </c>
      <c r="V82" s="285">
        <f t="shared" si="31"/>
        <v>0</v>
      </c>
      <c r="W82" s="285">
        <f t="shared" si="31"/>
        <v>0</v>
      </c>
      <c r="X82" s="285">
        <f t="shared" si="31"/>
        <v>0</v>
      </c>
      <c r="Y82" s="285">
        <f t="shared" si="31"/>
        <v>0</v>
      </c>
    </row>
    <row r="83" spans="1:25" s="20" customFormat="1" ht="13.9" customHeight="1">
      <c r="C83" s="27" t="s">
        <v>381</v>
      </c>
      <c r="D83" s="19"/>
      <c r="E83" s="299">
        <f t="shared" ref="E83:Y83" si="32">E$41/SUM($E$82:$Y$82)</f>
        <v>0</v>
      </c>
      <c r="F83" s="299">
        <f t="shared" si="32"/>
        <v>0</v>
      </c>
      <c r="G83" s="299">
        <f t="shared" si="32"/>
        <v>0</v>
      </c>
      <c r="H83" s="299">
        <f t="shared" si="32"/>
        <v>0</v>
      </c>
      <c r="I83" s="299">
        <f t="shared" si="32"/>
        <v>0.22232094242249914</v>
      </c>
      <c r="J83" s="299">
        <f t="shared" si="32"/>
        <v>0.2245509062958829</v>
      </c>
      <c r="K83" s="299">
        <f t="shared" si="32"/>
        <v>0.22673681124773173</v>
      </c>
      <c r="L83" s="299">
        <f t="shared" si="32"/>
        <v>0.22887422977165475</v>
      </c>
      <c r="M83" s="299">
        <f t="shared" si="32"/>
        <v>0.23095850395801509</v>
      </c>
      <c r="N83" s="299">
        <f t="shared" si="32"/>
        <v>0.2329847352117396</v>
      </c>
      <c r="O83" s="299">
        <f t="shared" si="32"/>
        <v>0.23697026582136113</v>
      </c>
      <c r="P83" s="299">
        <f t="shared" si="32"/>
        <v>0.24101865294080954</v>
      </c>
      <c r="Q83" s="299">
        <f t="shared" si="32"/>
        <v>0.24513073234772276</v>
      </c>
      <c r="R83" s="299">
        <f t="shared" si="32"/>
        <v>0.24930734600147664</v>
      </c>
      <c r="S83" s="299">
        <f t="shared" si="32"/>
        <v>0.25354934190347544</v>
      </c>
      <c r="T83" s="299">
        <f t="shared" si="32"/>
        <v>0.25785757394806336</v>
      </c>
      <c r="U83" s="299">
        <f t="shared" si="32"/>
        <v>0.26223290176370634</v>
      </c>
      <c r="V83" s="299">
        <f t="shared" si="32"/>
        <v>0.26667619054407904</v>
      </c>
      <c r="W83" s="299">
        <f t="shared" si="32"/>
        <v>0.27118831086868661</v>
      </c>
      <c r="X83" s="299">
        <f t="shared" si="32"/>
        <v>0.27577013851262955</v>
      </c>
      <c r="Y83" s="299">
        <f t="shared" si="32"/>
        <v>0.28042255424511547</v>
      </c>
    </row>
    <row r="84" spans="1:25" s="20" customFormat="1" ht="6.95" customHeight="1">
      <c r="C84" s="16"/>
      <c r="E84" s="6"/>
      <c r="F84" s="6"/>
      <c r="G84" s="6"/>
      <c r="H84" s="6"/>
      <c r="I84" s="6"/>
      <c r="J84" s="6"/>
      <c r="K84" s="6"/>
      <c r="L84" s="6"/>
      <c r="M84" s="6"/>
      <c r="N84" s="6"/>
      <c r="O84" s="6"/>
      <c r="P84" s="6"/>
      <c r="Q84" s="6"/>
      <c r="R84" s="6"/>
      <c r="S84" s="6"/>
      <c r="T84" s="6"/>
      <c r="U84" s="6"/>
      <c r="V84" s="6"/>
      <c r="W84" s="6"/>
      <c r="X84" s="6"/>
      <c r="Y84" s="6"/>
    </row>
    <row r="85" spans="1:25" s="20" customFormat="1" ht="13.9" customHeight="1">
      <c r="C85" s="282" t="str">
        <f>"DISTRIBUTION YIELD: Stab. Yr. = "&amp;$F$2+1</f>
        <v>DISTRIBUTION YIELD: Stab. Yr. = 2030</v>
      </c>
      <c r="E85" s="289" t="str">
        <f t="shared" ref="E85:Y85" si="33">IF(E$72=$F$2+1,"STAB. YR.","")</f>
        <v/>
      </c>
      <c r="F85" s="289" t="str">
        <f t="shared" si="33"/>
        <v/>
      </c>
      <c r="G85" s="289" t="str">
        <f t="shared" si="33"/>
        <v/>
      </c>
      <c r="H85" s="289" t="str">
        <f t="shared" si="33"/>
        <v/>
      </c>
      <c r="I85" s="289" t="str">
        <f t="shared" si="33"/>
        <v/>
      </c>
      <c r="J85" s="289" t="str">
        <f t="shared" si="33"/>
        <v>STAB. YR.</v>
      </c>
      <c r="K85" s="289" t="str">
        <f t="shared" si="33"/>
        <v/>
      </c>
      <c r="L85" s="289" t="str">
        <f t="shared" si="33"/>
        <v/>
      </c>
      <c r="M85" s="289" t="str">
        <f t="shared" si="33"/>
        <v/>
      </c>
      <c r="N85" s="289" t="str">
        <f t="shared" si="33"/>
        <v/>
      </c>
      <c r="O85" s="289" t="str">
        <f t="shared" si="33"/>
        <v/>
      </c>
      <c r="P85" s="289" t="str">
        <f t="shared" si="33"/>
        <v/>
      </c>
      <c r="Q85" s="289" t="str">
        <f t="shared" si="33"/>
        <v/>
      </c>
      <c r="R85" s="289" t="str">
        <f t="shared" si="33"/>
        <v/>
      </c>
      <c r="S85" s="289" t="str">
        <f t="shared" si="33"/>
        <v/>
      </c>
      <c r="T85" s="289" t="str">
        <f t="shared" si="33"/>
        <v/>
      </c>
      <c r="U85" s="289" t="str">
        <f t="shared" si="33"/>
        <v/>
      </c>
      <c r="V85" s="289" t="str">
        <f t="shared" si="33"/>
        <v/>
      </c>
      <c r="W85" s="289" t="str">
        <f t="shared" si="33"/>
        <v/>
      </c>
      <c r="X85" s="289" t="str">
        <f t="shared" si="33"/>
        <v/>
      </c>
      <c r="Y85" s="289" t="str">
        <f t="shared" si="33"/>
        <v/>
      </c>
    </row>
    <row r="86" spans="1:25" s="20" customFormat="1" ht="13.9" customHeight="1">
      <c r="C86" s="27" t="s">
        <v>382</v>
      </c>
      <c r="D86" s="19"/>
      <c r="E86" s="299">
        <f t="shared" ref="E86:Y86" si="34">E$54/SUM($E$82:$Y$82)</f>
        <v>0</v>
      </c>
      <c r="F86" s="299">
        <f t="shared" si="34"/>
        <v>0</v>
      </c>
      <c r="G86" s="299">
        <f t="shared" si="34"/>
        <v>0</v>
      </c>
      <c r="H86" s="299">
        <f t="shared" si="34"/>
        <v>0</v>
      </c>
      <c r="I86" s="299">
        <f t="shared" si="34"/>
        <v>0</v>
      </c>
      <c r="J86" s="299">
        <f t="shared" si="34"/>
        <v>4.6136255840865566E-2</v>
      </c>
      <c r="K86" s="299">
        <f t="shared" si="34"/>
        <v>4.7447798811974869E-2</v>
      </c>
      <c r="L86" s="299">
        <f t="shared" si="34"/>
        <v>4.8730249926328677E-2</v>
      </c>
      <c r="M86" s="299">
        <f t="shared" si="34"/>
        <v>4.998081443814488E-2</v>
      </c>
      <c r="N86" s="299">
        <f t="shared" si="34"/>
        <v>5.1196553190379579E-2</v>
      </c>
      <c r="O86" s="299">
        <f t="shared" si="34"/>
        <v>5.3587871556152501E-2</v>
      </c>
      <c r="P86" s="299">
        <f t="shared" si="34"/>
        <v>5.6016903827821547E-2</v>
      </c>
      <c r="Q86" s="299">
        <f t="shared" si="34"/>
        <v>5.8484151471969482E-2</v>
      </c>
      <c r="R86" s="299">
        <f t="shared" si="34"/>
        <v>6.0990119664221798E-2</v>
      </c>
      <c r="S86" s="299">
        <f t="shared" si="34"/>
        <v>6.3535317205421105E-2</v>
      </c>
      <c r="T86" s="299">
        <f t="shared" si="34"/>
        <v>6.6120256432173855E-2</v>
      </c>
      <c r="U86" s="299">
        <f t="shared" si="34"/>
        <v>6.8745453121559622E-2</v>
      </c>
      <c r="V86" s="299">
        <f t="shared" si="34"/>
        <v>7.1411426389783247E-2</v>
      </c>
      <c r="W86" s="299">
        <f t="shared" si="34"/>
        <v>7.4118698584547782E-2</v>
      </c>
      <c r="X86" s="299">
        <f t="shared" si="34"/>
        <v>7.6867795170913536E-2</v>
      </c>
      <c r="Y86" s="299">
        <f t="shared" si="34"/>
        <v>7.9659244610405106E-2</v>
      </c>
    </row>
    <row r="87" spans="1:25" s="20" customFormat="1" ht="6.95" customHeight="1"/>
    <row r="88" spans="1:25" s="20" customFormat="1"/>
    <row r="89" spans="1:25" s="20" customFormat="1" ht="13.5" customHeight="1"/>
    <row r="90" spans="1:25" s="20" customFormat="1" ht="13.5" customHeight="1"/>
    <row r="91" spans="1:25" s="20" customFormat="1" ht="13.5" customHeight="1"/>
    <row r="92" spans="1:25" s="20" customFormat="1" ht="13.5" customHeight="1"/>
    <row r="93" spans="1:25" ht="6.95" customHeight="1"/>
    <row r="94" spans="1:25" ht="6.95" customHeight="1"/>
    <row r="95" spans="1:25" ht="15" customHeight="1"/>
    <row r="96" spans="1:25" s="21" customFormat="1" ht="13.5" customHeight="1"/>
    <row r="97" s="21" customFormat="1" ht="13.5" customHeight="1"/>
    <row r="98" s="21" customFormat="1" ht="13.5" customHeight="1"/>
    <row r="99" s="21" customFormat="1" ht="6.95" customHeight="1"/>
    <row r="100" s="21" customFormat="1" ht="13.5" customHeight="1"/>
    <row r="101" s="21" customFormat="1" ht="13.5" customHeight="1"/>
    <row r="102" s="21" customFormat="1" ht="13.5" customHeight="1"/>
    <row r="103" s="21" customFormat="1" ht="13.5" customHeight="1"/>
    <row r="104" s="20" customFormat="1"/>
    <row r="105" s="20" customFormat="1" ht="6.95" customHeight="1"/>
    <row r="106" s="20" customFormat="1"/>
    <row r="107" ht="13.5" customHeight="1"/>
    <row r="108" s="20" customFormat="1"/>
    <row r="109" s="20" customFormat="1"/>
    <row r="110" s="20" customFormat="1"/>
    <row r="111" s="20" customFormat="1"/>
    <row r="112" s="20" customFormat="1" ht="6.95" customHeight="1"/>
    <row r="113" ht="13.5" customHeight="1"/>
    <row r="114" s="20" customFormat="1"/>
    <row r="115" s="20" customFormat="1"/>
    <row r="116" s="20" customFormat="1"/>
    <row r="117" s="20" customFormat="1"/>
    <row r="118" s="20" customFormat="1" ht="6.95" customHeight="1"/>
    <row r="119" s="20" customFormat="1"/>
    <row r="120" s="20" customFormat="1"/>
    <row r="121" s="20" customFormat="1"/>
  </sheetData>
  <mergeCells count="7">
    <mergeCell ref="C71:Y71"/>
    <mergeCell ref="J1:O1"/>
    <mergeCell ref="M4:O4"/>
    <mergeCell ref="M3:O3"/>
    <mergeCell ref="C59:Y59"/>
    <mergeCell ref="C11:Y11"/>
    <mergeCell ref="M2:O2"/>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80C15-A290-4F07-83FF-0F211A4FCDAA}">
  <sheetPr>
    <tabColor rgb="FF7C3AED"/>
  </sheetPr>
  <dimension ref="A1:O21"/>
  <sheetViews>
    <sheetView workbookViewId="0">
      <selection activeCell="F5" sqref="F5"/>
    </sheetView>
  </sheetViews>
  <sheetFormatPr defaultRowHeight="15"/>
  <cols>
    <col min="1" max="1" width="16" customWidth="1"/>
    <col min="2" max="2" width="28" customWidth="1"/>
    <col min="3" max="4" width="18" customWidth="1"/>
    <col min="5" max="5" width="14" customWidth="1"/>
    <col min="6" max="7" width="24" customWidth="1"/>
    <col min="8" max="8" width="18" customWidth="1"/>
    <col min="9" max="10" width="14" customWidth="1"/>
    <col min="11" max="11" width="20" customWidth="1"/>
    <col min="12" max="12" width="24" customWidth="1"/>
    <col min="13" max="13" width="20" customWidth="1"/>
    <col min="14" max="14" width="46" customWidth="1"/>
    <col min="15" max="15" width="20" customWidth="1"/>
  </cols>
  <sheetData>
    <row r="1" spans="1:15" ht="30">
      <c r="A1" s="365" t="s">
        <v>746</v>
      </c>
    </row>
    <row r="2" spans="1:15">
      <c r="A2" t="s">
        <v>1094</v>
      </c>
      <c r="B2" t="s">
        <v>1351</v>
      </c>
    </row>
    <row r="3" spans="1:15">
      <c r="A3" t="s">
        <v>1208</v>
      </c>
      <c r="B3" t="s">
        <v>1352</v>
      </c>
    </row>
    <row r="4" spans="1:15" ht="30">
      <c r="A4" s="365" t="s">
        <v>1263</v>
      </c>
      <c r="B4" s="365" t="s">
        <v>1269</v>
      </c>
      <c r="C4" s="365" t="s">
        <v>232</v>
      </c>
      <c r="D4" s="365" t="s">
        <v>56</v>
      </c>
      <c r="E4" s="365" t="s">
        <v>87</v>
      </c>
      <c r="F4" s="365" t="s">
        <v>47</v>
      </c>
      <c r="G4" s="365" t="s">
        <v>1353</v>
      </c>
      <c r="H4" s="365" t="s">
        <v>1354</v>
      </c>
      <c r="I4" s="365" t="s">
        <v>427</v>
      </c>
      <c r="J4" s="365" t="s">
        <v>1355</v>
      </c>
      <c r="K4" s="365" t="s">
        <v>1356</v>
      </c>
      <c r="L4" s="365" t="s">
        <v>159</v>
      </c>
      <c r="M4" s="365" t="s">
        <v>1357</v>
      </c>
      <c r="N4" s="365" t="s">
        <v>1358</v>
      </c>
      <c r="O4" s="365" t="s">
        <v>1359</v>
      </c>
    </row>
    <row r="5" spans="1:15" ht="30">
      <c r="A5" s="365" t="str">
        <f>'00_MODEL_CONTROL'!A5</f>
        <v>BLD_AB</v>
      </c>
      <c r="B5" s="365" t="str">
        <f>'00_MODEL_CONTROL'!B5</f>
        <v>Alma Blackwell</v>
      </c>
      <c r="C5" s="365" t="str">
        <f>'00_MODEL_CONTROL'!C5</f>
        <v>Vancouver</v>
      </c>
      <c r="D5" s="365" t="str">
        <f>'00_MODEL_CONTROL'!D5</f>
        <v>Active</v>
      </c>
      <c r="E5" s="365" t="str">
        <f>'00_MODEL_CONTROL'!E5</f>
        <v>No</v>
      </c>
      <c r="F5" s="365" t="str">
        <f>'00_MODEL_CONTROL'!F5</f>
        <v>Excluded</v>
      </c>
      <c r="G5" s="365" t="str">
        <f>'00_MODEL_CONTROL'!G5</f>
        <v>Bucket 0 · Excluded</v>
      </c>
      <c r="H5" s="365" t="str">
        <f>'00_MODEL_CONTROL'!H5</f>
        <v>OK</v>
      </c>
      <c r="I5" s="365">
        <f>IFERROR(INDEX('01_Property Summary'!$S$5:$S$21,MATCH($A5,'01_Property Summary'!$B$5:$B$21,0)),"")</f>
        <v>46</v>
      </c>
      <c r="J5" s="365">
        <f>IFERROR(INDEX('01_Property Summary'!$F$5:$F$21,MATCH($A5,'01_Property Summary'!$B$5:$B$21,0)),"")</f>
        <v>2025</v>
      </c>
      <c r="K5" s="365">
        <f>IFERROR(INDEX('01_Property Summary'!$K$5:$K$21,MATCH($A5,'01_Property Summary'!$B$5:$B$21,0)),"")</f>
        <v>2027</v>
      </c>
      <c r="L5" s="365" t="str">
        <f>IFERROR(INDEX('01_Property Summary'!$L$5:$L$21,MATCH($A5,'01_Property Summary'!$B$5:$B$21,0)),"")</f>
        <v>N/A</v>
      </c>
      <c r="M5" s="365" t="str">
        <f t="shared" ref="M5:M21" si="0">IF($A5="","Missing",IF(COUNTA($B5:$L5)&gt;=8,"Ready","Review"))</f>
        <v>Ready</v>
      </c>
      <c r="N5" s="365" t="s">
        <v>1360</v>
      </c>
      <c r="O5" s="365" t="str">
        <f t="shared" ref="O5:O21" ca="1" si="1">IFERROR(IF(INDIRECT("'"&amp;$A5&amp;"'!$C$1")=$B5,"OK","CHECK"),"MISSING TAB")</f>
        <v>OK</v>
      </c>
    </row>
    <row r="6" spans="1:15">
      <c r="A6" s="348" t="str">
        <f>'00_MODEL_CONTROL'!A6</f>
        <v>BLD_AC</v>
      </c>
      <c r="B6" s="348" t="str">
        <f>'00_MODEL_CONTROL'!B6</f>
        <v>Antkiw Court</v>
      </c>
      <c r="C6" s="348" t="str">
        <f>'00_MODEL_CONTROL'!C6</f>
        <v>Vancouver</v>
      </c>
      <c r="D6" s="348" t="str">
        <f>'00_MODEL_CONTROL'!D6</f>
        <v>Active</v>
      </c>
      <c r="E6" s="348" t="str">
        <f>'00_MODEL_CONTROL'!E6</f>
        <v>Yes</v>
      </c>
      <c r="F6" s="348" t="str">
        <f ca="1">'00_MODEL_CONTROL'!F6</f>
        <v>Stable</v>
      </c>
      <c r="G6" s="348" t="str">
        <f ca="1">'00_MODEL_CONTROL'!G6</f>
        <v>Bucket 2 · Legacy</v>
      </c>
      <c r="H6" s="348" t="str">
        <f ca="1">'00_MODEL_CONTROL'!H6</f>
        <v>OK</v>
      </c>
      <c r="I6" s="348">
        <f>IFERROR(INDEX('01_Property Summary'!$S$5:$S$21,MATCH($A6,'01_Property Summary'!$B$5:$B$21,0)),"")</f>
        <v>21</v>
      </c>
      <c r="J6" s="348">
        <f>IFERROR(INDEX('01_Property Summary'!$F$5:$F$21,MATCH($A6,'01_Property Summary'!$B$5:$B$21,0)),"")</f>
        <v>2025</v>
      </c>
      <c r="K6" s="348">
        <f>IFERROR(INDEX('01_Property Summary'!$K$5:$K$21,MATCH($A6,'01_Property Summary'!$B$5:$B$21,0)),"")</f>
        <v>2028</v>
      </c>
      <c r="L6" s="348" t="str">
        <f>IFERROR(INDEX('01_Property Summary'!$L$5:$L$21,MATCH($A6,'01_Property Summary'!$B$5:$B$21,0)),"")</f>
        <v>BCHMC/NPAT</v>
      </c>
      <c r="M6" s="348" t="str">
        <f t="shared" ca="1" si="0"/>
        <v>Ready</v>
      </c>
      <c r="N6" s="366" t="s">
        <v>1360</v>
      </c>
      <c r="O6" s="348" t="str">
        <f t="shared" ca="1" si="1"/>
        <v>OK</v>
      </c>
    </row>
    <row r="7" spans="1:15" ht="30">
      <c r="A7" s="365" t="str">
        <f>'00_MODEL_CONTROL'!A7</f>
        <v>BLD_BT</v>
      </c>
      <c r="B7" s="365" t="str">
        <f>'00_MODEL_CONTROL'!B7</f>
        <v>Beatrice Terrace</v>
      </c>
      <c r="C7" s="365" t="str">
        <f>'00_MODEL_CONTROL'!C7</f>
        <v>Vancouver</v>
      </c>
      <c r="D7" s="365" t="str">
        <f>'00_MODEL_CONTROL'!D7</f>
        <v>Active</v>
      </c>
      <c r="E7" s="365" t="str">
        <f>'00_MODEL_CONTROL'!E7</f>
        <v>Yes</v>
      </c>
      <c r="F7" s="365" t="str">
        <f ca="1">'00_MODEL_CONTROL'!F7</f>
        <v>Stable</v>
      </c>
      <c r="G7" s="365" t="str">
        <f ca="1">'00_MODEL_CONTROL'!G7</f>
        <v>Bucket 2 · Legacy</v>
      </c>
      <c r="H7" s="365" t="str">
        <f ca="1">'00_MODEL_CONTROL'!H7</f>
        <v>OK</v>
      </c>
      <c r="I7" s="365">
        <f>IFERROR(INDEX('01_Property Summary'!$S$5:$S$21,MATCH($A7,'01_Property Summary'!$B$5:$B$21,0)),"")</f>
        <v>18</v>
      </c>
      <c r="J7" s="365">
        <f>IFERROR(INDEX('01_Property Summary'!$F$5:$F$21,MATCH($A7,'01_Property Summary'!$B$5:$B$21,0)),"")</f>
        <v>2025</v>
      </c>
      <c r="K7" s="365">
        <f>IFERROR(INDEX('01_Property Summary'!$K$5:$K$21,MATCH($A7,'01_Property Summary'!$B$5:$B$21,0)),"")</f>
        <v>2028</v>
      </c>
      <c r="L7" s="365" t="str">
        <f>IFERROR(INDEX('01_Property Summary'!$L$5:$L$21,MATCH($A7,'01_Property Summary'!$B$5:$B$21,0)),"")</f>
        <v>BCHMC/NPAT</v>
      </c>
      <c r="M7" s="365" t="str">
        <f t="shared" ca="1" si="0"/>
        <v>Ready</v>
      </c>
      <c r="N7" s="365" t="s">
        <v>1360</v>
      </c>
      <c r="O7" s="365" t="str">
        <f t="shared" ca="1" si="1"/>
        <v>OK</v>
      </c>
    </row>
    <row r="8" spans="1:15">
      <c r="A8" s="348" t="str">
        <f>'00_MODEL_CONTROL'!A8</f>
        <v>BLD_CH</v>
      </c>
      <c r="B8" s="348" t="str">
        <f>'00_MODEL_CONTROL'!B8</f>
        <v>Capilano House</v>
      </c>
      <c r="C8" s="348" t="str">
        <f>'00_MODEL_CONTROL'!C8</f>
        <v>DNV</v>
      </c>
      <c r="D8" s="348" t="str">
        <f>'00_MODEL_CONTROL'!D8</f>
        <v>Active</v>
      </c>
      <c r="E8" s="348" t="str">
        <f>'00_MODEL_CONTROL'!E8</f>
        <v>Yes</v>
      </c>
      <c r="F8" s="348" t="str">
        <f ca="1">'00_MODEL_CONTROL'!F8</f>
        <v>Stable</v>
      </c>
      <c r="G8" s="348" t="str">
        <f ca="1">'00_MODEL_CONTROL'!G8</f>
        <v>Bucket 2 · Legacy</v>
      </c>
      <c r="H8" s="348" t="str">
        <f ca="1">'00_MODEL_CONTROL'!H8</f>
        <v>OK</v>
      </c>
      <c r="I8" s="348">
        <f>IFERROR(INDEX('01_Property Summary'!$S$5:$S$21,MATCH($A8,'01_Property Summary'!$B$5:$B$21,0)),"")</f>
        <v>64</v>
      </c>
      <c r="J8" s="348">
        <f>IFERROR(INDEX('01_Property Summary'!$F$5:$F$21,MATCH($A8,'01_Property Summary'!$B$5:$B$21,0)),"")</f>
        <v>2025</v>
      </c>
      <c r="K8" s="348">
        <f>IFERROR(INDEX('01_Property Summary'!$K$5:$K$21,MATCH($A8,'01_Property Summary'!$B$5:$B$21,0)),"")</f>
        <v>2027</v>
      </c>
      <c r="L8" s="348" t="str">
        <f>IFERROR(INDEX('01_Property Summary'!$L$5:$L$21,MATCH($A8,'01_Property Summary'!$B$5:$B$21,0)),"")</f>
        <v>N/A</v>
      </c>
      <c r="M8" s="348" t="str">
        <f t="shared" ca="1" si="0"/>
        <v>Ready</v>
      </c>
      <c r="N8" s="366" t="s">
        <v>1360</v>
      </c>
      <c r="O8" s="348" t="str">
        <f t="shared" ca="1" si="1"/>
        <v>OK</v>
      </c>
    </row>
    <row r="9" spans="1:15">
      <c r="A9" s="348" t="str">
        <f>'00_MODEL_CONTROL'!A9</f>
        <v>BLD_CC</v>
      </c>
      <c r="B9" s="348" t="str">
        <f>'00_MODEL_CONTROL'!B9</f>
        <v>Constance Court</v>
      </c>
      <c r="C9" s="348" t="str">
        <f>'00_MODEL_CONTROL'!C9</f>
        <v>Vancouver</v>
      </c>
      <c r="D9" s="348" t="str">
        <f>'00_MODEL_CONTROL'!D9</f>
        <v>Active</v>
      </c>
      <c r="E9" s="348" t="str">
        <f>'00_MODEL_CONTROL'!E9</f>
        <v>Yes</v>
      </c>
      <c r="F9" s="348" t="str">
        <f ca="1">'00_MODEL_CONTROL'!F9</f>
        <v>Refi Watch</v>
      </c>
      <c r="G9" s="348" t="str">
        <f ca="1">'00_MODEL_CONTROL'!G9</f>
        <v>Bucket 2 · Legacy</v>
      </c>
      <c r="H9" s="348" t="str">
        <f ca="1">'00_MODEL_CONTROL'!H9</f>
        <v>OK</v>
      </c>
      <c r="I9" s="348">
        <f>IFERROR(INDEX('01_Property Summary'!$S$5:$S$21,MATCH($A9,'01_Property Summary'!$B$5:$B$21,0)),"")</f>
        <v>34</v>
      </c>
      <c r="J9" s="348">
        <f>IFERROR(INDEX('01_Property Summary'!$F$5:$F$21,MATCH($A9,'01_Property Summary'!$B$5:$B$21,0)),"")</f>
        <v>2025</v>
      </c>
      <c r="K9" s="348">
        <f>IFERROR(INDEX('01_Property Summary'!$K$5:$K$21,MATCH($A9,'01_Property Summary'!$B$5:$B$21,0)),"")</f>
        <v>2027</v>
      </c>
      <c r="L9" s="348" t="str">
        <f>IFERROR(INDEX('01_Property Summary'!$L$5:$L$21,MATCH($A9,'01_Property Summary'!$B$5:$B$21,0)),"")</f>
        <v>BCHMC</v>
      </c>
      <c r="M9" s="348" t="str">
        <f t="shared" ca="1" si="0"/>
        <v>Ready</v>
      </c>
      <c r="N9" s="366" t="s">
        <v>1360</v>
      </c>
      <c r="O9" s="348" t="str">
        <f t="shared" ca="1" si="1"/>
        <v>OK</v>
      </c>
    </row>
    <row r="10" spans="1:15">
      <c r="A10" s="348" t="str">
        <f>'00_MODEL_CONTROL'!A10</f>
        <v>BLD_EA</v>
      </c>
      <c r="B10" s="348" t="str">
        <f>'00_MODEL_CONTROL'!B10</f>
        <v>Evergreen Apartments</v>
      </c>
      <c r="C10" s="348" t="str">
        <f>'00_MODEL_CONTROL'!C10</f>
        <v>New Westminster</v>
      </c>
      <c r="D10" s="348" t="str">
        <f>'00_MODEL_CONTROL'!D10</f>
        <v>Active</v>
      </c>
      <c r="E10" s="348" t="str">
        <f>'00_MODEL_CONTROL'!E10</f>
        <v>Yes</v>
      </c>
      <c r="F10" s="348" t="str">
        <f ca="1">'00_MODEL_CONTROL'!F10</f>
        <v>Refi Watch</v>
      </c>
      <c r="G10" s="348" t="str">
        <f ca="1">'00_MODEL_CONTROL'!G10</f>
        <v>Bucket 2 · Legacy</v>
      </c>
      <c r="H10" s="348" t="str">
        <f ca="1">'00_MODEL_CONTROL'!H10</f>
        <v>OK</v>
      </c>
      <c r="I10" s="348">
        <f>IFERROR(INDEX('01_Property Summary'!$S$5:$S$21,MATCH($A10,'01_Property Summary'!$B$5:$B$21,0)),"")</f>
        <v>61</v>
      </c>
      <c r="J10" s="348">
        <f>IFERROR(INDEX('01_Property Summary'!$F$5:$F$21,MATCH($A10,'01_Property Summary'!$B$5:$B$21,0)),"")</f>
        <v>2025</v>
      </c>
      <c r="K10" s="348" t="str">
        <f>IFERROR(INDEX('01_Property Summary'!$K$5:$K$21,MATCH($A10,'01_Property Summary'!$B$5:$B$21,0)),"")</f>
        <v>N/A</v>
      </c>
      <c r="L10" s="348" t="str">
        <f>IFERROR(INDEX('01_Property Summary'!$L$5:$L$21,MATCH($A10,'01_Property Summary'!$B$5:$B$21,0)),"")</f>
        <v>Vancity</v>
      </c>
      <c r="M10" s="348" t="str">
        <f t="shared" ca="1" si="0"/>
        <v>Ready</v>
      </c>
      <c r="N10" s="366" t="s">
        <v>1360</v>
      </c>
      <c r="O10" s="348" t="str">
        <f t="shared" ca="1" si="1"/>
        <v>OK</v>
      </c>
    </row>
    <row r="11" spans="1:15">
      <c r="A11" s="348" t="str">
        <f>'00_MODEL_CONTROL'!A11</f>
        <v>BLD_EE</v>
      </c>
      <c r="B11" s="348" t="str">
        <f>'00_MODEL_CONTROL'!B11</f>
        <v>Evelyn Estates</v>
      </c>
      <c r="C11" s="348" t="str">
        <f>'00_MODEL_CONTROL'!C11</f>
        <v>Surrey</v>
      </c>
      <c r="D11" s="348" t="str">
        <f>'00_MODEL_CONTROL'!D11</f>
        <v>Active</v>
      </c>
      <c r="E11" s="348" t="str">
        <f>'00_MODEL_CONTROL'!E11</f>
        <v>Yes</v>
      </c>
      <c r="F11" s="348" t="str">
        <f ca="1">'00_MODEL_CONTROL'!F11</f>
        <v>Refi Watch</v>
      </c>
      <c r="G11" s="348" t="str">
        <f ca="1">'00_MODEL_CONTROL'!G11</f>
        <v>Bucket 2 · Legacy</v>
      </c>
      <c r="H11" s="348" t="str">
        <f ca="1">'00_MODEL_CONTROL'!H11</f>
        <v>OK</v>
      </c>
      <c r="I11" s="348">
        <f>IFERROR(INDEX('01_Property Summary'!$S$5:$S$21,MATCH($A11,'01_Property Summary'!$B$5:$B$21,0)),"")</f>
        <v>36</v>
      </c>
      <c r="J11" s="348">
        <f>IFERROR(INDEX('01_Property Summary'!$F$5:$F$21,MATCH($A11,'01_Property Summary'!$B$5:$B$21,0)),"")</f>
        <v>2025</v>
      </c>
      <c r="K11" s="348">
        <f>IFERROR(INDEX('01_Property Summary'!$K$5:$K$21,MATCH($A11,'01_Property Summary'!$B$5:$B$21,0)),"")</f>
        <v>2028</v>
      </c>
      <c r="L11" s="348" t="str">
        <f>IFERROR(INDEX('01_Property Summary'!$L$5:$L$21,MATCH($A11,'01_Property Summary'!$B$5:$B$21,0)),"")</f>
        <v>BCHMC</v>
      </c>
      <c r="M11" s="348" t="str">
        <f t="shared" ca="1" si="0"/>
        <v>Ready</v>
      </c>
      <c r="N11" s="366" t="s">
        <v>1360</v>
      </c>
      <c r="O11" s="348" t="str">
        <f t="shared" ca="1" si="1"/>
        <v>OK</v>
      </c>
    </row>
    <row r="12" spans="1:15">
      <c r="A12" s="348" t="str">
        <f>'00_MODEL_CONTROL'!A12</f>
        <v>BLD_JP</v>
      </c>
      <c r="B12" s="348" t="str">
        <f>'00_MODEL_CONTROL'!B12</f>
        <v>Jessica Place</v>
      </c>
      <c r="C12" s="348" t="str">
        <f>'00_MODEL_CONTROL'!C12</f>
        <v>Surrey</v>
      </c>
      <c r="D12" s="348" t="str">
        <f>'00_MODEL_CONTROL'!D12</f>
        <v>Active</v>
      </c>
      <c r="E12" s="348" t="str">
        <f>'00_MODEL_CONTROL'!E12</f>
        <v>Yes</v>
      </c>
      <c r="F12" s="348" t="str">
        <f ca="1">'00_MODEL_CONTROL'!F12</f>
        <v>Refi Watch</v>
      </c>
      <c r="G12" s="348" t="str">
        <f ca="1">'00_MODEL_CONTROL'!G12</f>
        <v>Bucket 2 · Legacy</v>
      </c>
      <c r="H12" s="348" t="str">
        <f ca="1">'00_MODEL_CONTROL'!H12</f>
        <v>OK</v>
      </c>
      <c r="I12" s="348">
        <f>IFERROR(INDEX('01_Property Summary'!$S$5:$S$21,MATCH($A12,'01_Property Summary'!$B$5:$B$21,0)),"")</f>
        <v>40</v>
      </c>
      <c r="J12" s="348">
        <f>IFERROR(INDEX('01_Property Summary'!$F$5:$F$21,MATCH($A12,'01_Property Summary'!$B$5:$B$21,0)),"")</f>
        <v>2025</v>
      </c>
      <c r="K12" s="348">
        <f>IFERROR(INDEX('01_Property Summary'!$K$5:$K$21,MATCH($A12,'01_Property Summary'!$B$5:$B$21,0)),"")</f>
        <v>2026</v>
      </c>
      <c r="L12" s="348" t="str">
        <f>IFERROR(INDEX('01_Property Summary'!$L$5:$L$21,MATCH($A12,'01_Property Summary'!$B$5:$B$21,0)),"")</f>
        <v>BCHMC</v>
      </c>
      <c r="M12" s="348" t="str">
        <f t="shared" ca="1" si="0"/>
        <v>Ready</v>
      </c>
      <c r="N12" s="366" t="s">
        <v>1360</v>
      </c>
      <c r="O12" s="348" t="str">
        <f t="shared" ca="1" si="1"/>
        <v>OK</v>
      </c>
    </row>
    <row r="13" spans="1:15">
      <c r="A13" s="348" t="str">
        <f>'00_MODEL_CONTROL'!A13</f>
        <v>BLD_MH</v>
      </c>
      <c r="B13" s="348" t="str">
        <f>'00_MODEL_CONTROL'!B13</f>
        <v>Margaret Heights</v>
      </c>
      <c r="C13" s="348" t="str">
        <f>'00_MODEL_CONTROL'!C13</f>
        <v>CNV</v>
      </c>
      <c r="D13" s="348" t="str">
        <f>'00_MODEL_CONTROL'!D13</f>
        <v>Active</v>
      </c>
      <c r="E13" s="348" t="str">
        <f>'00_MODEL_CONTROL'!E13</f>
        <v>Yes</v>
      </c>
      <c r="F13" s="348" t="str">
        <f ca="1">'00_MODEL_CONTROL'!F13</f>
        <v>Refi Watch</v>
      </c>
      <c r="G13" s="348" t="str">
        <f ca="1">'00_MODEL_CONTROL'!G13</f>
        <v>Bucket 2 · Legacy</v>
      </c>
      <c r="H13" s="348" t="str">
        <f ca="1">'00_MODEL_CONTROL'!H13</f>
        <v>OK</v>
      </c>
      <c r="I13" s="348">
        <f>IFERROR(INDEX('01_Property Summary'!$S$5:$S$21,MATCH($A13,'01_Property Summary'!$B$5:$B$21,0)),"")</f>
        <v>19</v>
      </c>
      <c r="J13" s="348">
        <f>IFERROR(INDEX('01_Property Summary'!$F$5:$F$21,MATCH($A13,'01_Property Summary'!$B$5:$B$21,0)),"")</f>
        <v>2025</v>
      </c>
      <c r="K13" s="348">
        <f>IFERROR(INDEX('01_Property Summary'!$K$5:$K$21,MATCH($A13,'01_Property Summary'!$B$5:$B$21,0)),"")</f>
        <v>2026</v>
      </c>
      <c r="L13" s="348" t="str">
        <f>IFERROR(INDEX('01_Property Summary'!$L$5:$L$21,MATCH($A13,'01_Property Summary'!$B$5:$B$21,0)),"")</f>
        <v>BCHMC</v>
      </c>
      <c r="M13" s="348" t="str">
        <f t="shared" ca="1" si="0"/>
        <v>Ready</v>
      </c>
      <c r="N13" s="366" t="s">
        <v>1360</v>
      </c>
      <c r="O13" s="348" t="str">
        <f t="shared" ca="1" si="1"/>
        <v>OK</v>
      </c>
    </row>
    <row r="14" spans="1:15">
      <c r="A14" s="348" t="str">
        <f>'00_MODEL_CONTROL'!A14</f>
        <v>BLD_MM</v>
      </c>
      <c r="B14" s="348" t="str">
        <f>'00_MODEL_CONTROL'!B14</f>
        <v>Murray Manor</v>
      </c>
      <c r="C14" s="348" t="str">
        <f>'00_MODEL_CONTROL'!C14</f>
        <v>Burnaby</v>
      </c>
      <c r="D14" s="348" t="str">
        <f>'00_MODEL_CONTROL'!D14</f>
        <v>Active</v>
      </c>
      <c r="E14" s="348" t="str">
        <f>'00_MODEL_CONTROL'!E14</f>
        <v>Yes</v>
      </c>
      <c r="F14" s="348" t="str">
        <f ca="1">'00_MODEL_CONTROL'!F14</f>
        <v>Refi Watch</v>
      </c>
      <c r="G14" s="348" t="str">
        <f ca="1">'00_MODEL_CONTROL'!G14</f>
        <v>Bucket 2 · Legacy</v>
      </c>
      <c r="H14" s="348" t="str">
        <f ca="1">'00_MODEL_CONTROL'!H14</f>
        <v>OK</v>
      </c>
      <c r="I14" s="348">
        <f>IFERROR(INDEX('01_Property Summary'!$S$5:$S$21,MATCH($A14,'01_Property Summary'!$B$5:$B$21,0)),"")</f>
        <v>47</v>
      </c>
      <c r="J14" s="348">
        <f>IFERROR(INDEX('01_Property Summary'!$F$5:$F$21,MATCH($A14,'01_Property Summary'!$B$5:$B$21,0)),"")</f>
        <v>2025</v>
      </c>
      <c r="K14" s="348" t="str">
        <f>IFERROR(INDEX('01_Property Summary'!$K$5:$K$21,MATCH($A14,'01_Property Summary'!$B$5:$B$21,0)),"")</f>
        <v>N/A</v>
      </c>
      <c r="L14" s="348" t="str">
        <f>IFERROR(INDEX('01_Property Summary'!$L$5:$L$21,MATCH($A14,'01_Property Summary'!$B$5:$B$21,0)),"")</f>
        <v>Vancity</v>
      </c>
      <c r="M14" s="348" t="str">
        <f t="shared" ca="1" si="0"/>
        <v>Ready</v>
      </c>
      <c r="N14" s="366" t="s">
        <v>1360</v>
      </c>
      <c r="O14" s="348" t="str">
        <f t="shared" ca="1" si="1"/>
        <v>OK</v>
      </c>
    </row>
    <row r="15" spans="1:15">
      <c r="A15" s="348" t="str">
        <f>'00_MODEL_CONTROL'!A15</f>
        <v>BLD_NT</v>
      </c>
      <c r="B15" s="348" t="str">
        <f>'00_MODEL_CONTROL'!B15</f>
        <v>Natalia Terrace</v>
      </c>
      <c r="C15" s="348" t="str">
        <f>'00_MODEL_CONTROL'!C15</f>
        <v>Vancouver</v>
      </c>
      <c r="D15" s="348" t="str">
        <f>'00_MODEL_CONTROL'!D15</f>
        <v>Active</v>
      </c>
      <c r="E15" s="348" t="str">
        <f>'00_MODEL_CONTROL'!E15</f>
        <v>Yes</v>
      </c>
      <c r="F15" s="348" t="str">
        <f ca="1">'00_MODEL_CONTROL'!F15</f>
        <v>Refi Watch</v>
      </c>
      <c r="G15" s="348" t="str">
        <f ca="1">'00_MODEL_CONTROL'!G15</f>
        <v>Bucket 2 · Legacy</v>
      </c>
      <c r="H15" s="348" t="str">
        <f ca="1">'00_MODEL_CONTROL'!H15</f>
        <v>OK</v>
      </c>
      <c r="I15" s="348">
        <f>IFERROR(INDEX('01_Property Summary'!$S$5:$S$21,MATCH($A15,'01_Property Summary'!$B$5:$B$21,0)),"")</f>
        <v>40</v>
      </c>
      <c r="J15" s="348">
        <f>IFERROR(INDEX('01_Property Summary'!$F$5:$F$21,MATCH($A15,'01_Property Summary'!$B$5:$B$21,0)),"")</f>
        <v>2025</v>
      </c>
      <c r="K15" s="348">
        <f>IFERROR(INDEX('01_Property Summary'!$K$5:$K$21,MATCH($A15,'01_Property Summary'!$B$5:$B$21,0)),"")</f>
        <v>2027</v>
      </c>
      <c r="L15" s="348" t="str">
        <f>IFERROR(INDEX('01_Property Summary'!$L$5:$L$21,MATCH($A15,'01_Property Summary'!$B$5:$B$21,0)),"")</f>
        <v>BCHMC</v>
      </c>
      <c r="M15" s="348" t="str">
        <f t="shared" ca="1" si="0"/>
        <v>Ready</v>
      </c>
      <c r="N15" s="366" t="s">
        <v>1360</v>
      </c>
      <c r="O15" s="348" t="str">
        <f t="shared" ca="1" si="1"/>
        <v>OK</v>
      </c>
    </row>
    <row r="16" spans="1:15">
      <c r="A16" s="348" t="str">
        <f>'00_MODEL_CONTROL'!A16</f>
        <v>BLD_NG</v>
      </c>
      <c r="B16" s="348" t="str">
        <f>'00_MODEL_CONTROL'!B16</f>
        <v>Newton Green</v>
      </c>
      <c r="C16" s="348" t="str">
        <f>'00_MODEL_CONTROL'!C16</f>
        <v>Surrey</v>
      </c>
      <c r="D16" s="348" t="str">
        <f>'00_MODEL_CONTROL'!D16</f>
        <v>Active</v>
      </c>
      <c r="E16" s="348" t="str">
        <f>'00_MODEL_CONTROL'!E16</f>
        <v>Yes</v>
      </c>
      <c r="F16" s="348" t="str">
        <f ca="1">'00_MODEL_CONTROL'!F16</f>
        <v>Refi Watch</v>
      </c>
      <c r="G16" s="348" t="str">
        <f ca="1">'00_MODEL_CONTROL'!G16</f>
        <v>Bucket 2 · Legacy</v>
      </c>
      <c r="H16" s="348" t="str">
        <f ca="1">'00_MODEL_CONTROL'!H16</f>
        <v>OK</v>
      </c>
      <c r="I16" s="348">
        <f>IFERROR(INDEX('01_Property Summary'!$S$5:$S$21,MATCH($A16,'01_Property Summary'!$B$5:$B$21,0)),"")</f>
        <v>49</v>
      </c>
      <c r="J16" s="348">
        <f>IFERROR(INDEX('01_Property Summary'!$F$5:$F$21,MATCH($A16,'01_Property Summary'!$B$5:$B$21,0)),"")</f>
        <v>2025</v>
      </c>
      <c r="K16" s="348">
        <f>IFERROR(INDEX('01_Property Summary'!$K$5:$K$21,MATCH($A16,'01_Property Summary'!$B$5:$B$21,0)),"")</f>
        <v>2026</v>
      </c>
      <c r="L16" s="348" t="str">
        <f>IFERROR(INDEX('01_Property Summary'!$L$5:$L$21,MATCH($A16,'01_Property Summary'!$B$5:$B$21,0)),"")</f>
        <v>CMLS</v>
      </c>
      <c r="M16" s="348" t="str">
        <f t="shared" ca="1" si="0"/>
        <v>Ready</v>
      </c>
      <c r="N16" s="366" t="s">
        <v>1360</v>
      </c>
      <c r="O16" s="348" t="str">
        <f t="shared" ca="1" si="1"/>
        <v>OK</v>
      </c>
    </row>
    <row r="17" spans="1:15">
      <c r="A17" s="348" t="str">
        <f>'00_MODEL_CONTROL'!A17</f>
        <v>BLD_RG</v>
      </c>
      <c r="B17" s="348" t="str">
        <f>'00_MODEL_CONTROL'!B17</f>
        <v>Rosemary Green</v>
      </c>
      <c r="C17" s="348" t="str">
        <f>'00_MODEL_CONTROL'!C17</f>
        <v>Surrey</v>
      </c>
      <c r="D17" s="348" t="str">
        <f>'00_MODEL_CONTROL'!D17</f>
        <v>Active</v>
      </c>
      <c r="E17" s="348" t="str">
        <f>'00_MODEL_CONTROL'!E17</f>
        <v>Yes</v>
      </c>
      <c r="F17" s="348" t="str">
        <f ca="1">'00_MODEL_CONTROL'!F17</f>
        <v>Refi Watch</v>
      </c>
      <c r="G17" s="348" t="str">
        <f ca="1">'00_MODEL_CONTROL'!G17</f>
        <v>Bucket 2 · Legacy</v>
      </c>
      <c r="H17" s="348" t="str">
        <f ca="1">'00_MODEL_CONTROL'!H17</f>
        <v>OK</v>
      </c>
      <c r="I17" s="348">
        <f>IFERROR(INDEX('01_Property Summary'!$S$5:$S$21,MATCH($A17,'01_Property Summary'!$B$5:$B$21,0)),"")</f>
        <v>38</v>
      </c>
      <c r="J17" s="348">
        <f>IFERROR(INDEX('01_Property Summary'!$F$5:$F$21,MATCH($A17,'01_Property Summary'!$B$5:$B$21,0)),"")</f>
        <v>2025</v>
      </c>
      <c r="K17" s="348">
        <f>IFERROR(INDEX('01_Property Summary'!$K$5:$K$21,MATCH($A17,'01_Property Summary'!$B$5:$B$21,0)),"")</f>
        <v>2054</v>
      </c>
      <c r="L17" s="348" t="str">
        <f>IFERROR(INDEX('01_Property Summary'!$L$5:$L$21,MATCH($A17,'01_Property Summary'!$B$5:$B$21,0)),"")</f>
        <v>Peoples Group</v>
      </c>
      <c r="M17" s="348" t="str">
        <f t="shared" ca="1" si="0"/>
        <v>Ready</v>
      </c>
      <c r="N17" s="366" t="s">
        <v>1360</v>
      </c>
      <c r="O17" s="348" t="str">
        <f t="shared" ca="1" si="1"/>
        <v>OK</v>
      </c>
    </row>
    <row r="18" spans="1:15">
      <c r="A18" s="348" t="str">
        <f>'00_MODEL_CONTROL'!A18</f>
        <v>BLD_AS</v>
      </c>
      <c r="B18" s="348" t="str">
        <f>'00_MODEL_CONTROL'!B18</f>
        <v>1656 Adanac Street</v>
      </c>
      <c r="C18" s="348" t="str">
        <f>'00_MODEL_CONTROL'!C18</f>
        <v>Vancouver</v>
      </c>
      <c r="D18" s="348" t="str">
        <f>'00_MODEL_CONTROL'!D18</f>
        <v>New Dev</v>
      </c>
      <c r="E18" s="348" t="str">
        <f>'00_MODEL_CONTROL'!E18</f>
        <v>Yes</v>
      </c>
      <c r="F18" s="348" t="str">
        <f>'00_MODEL_CONTROL'!F18</f>
        <v>New Build</v>
      </c>
      <c r="G18" s="348" t="str">
        <f>'00_MODEL_CONTROL'!G18</f>
        <v>Bucket 1 · New Build</v>
      </c>
      <c r="H18" s="348" t="str">
        <f>'00_MODEL_CONTROL'!H18</f>
        <v>OK</v>
      </c>
      <c r="I18" s="348">
        <f>IFERROR(INDEX('01_Property Summary'!$S$5:$S$21,MATCH($A18,'01_Property Summary'!$B$5:$B$21,0)),"")</f>
        <v>97</v>
      </c>
      <c r="J18" s="348">
        <f>IFERROR(INDEX('01_Property Summary'!$F$5:$F$21,MATCH($A18,'01_Property Summary'!$B$5:$B$21,0)),"")</f>
        <v>2028</v>
      </c>
      <c r="K18" s="348">
        <f>IFERROR(INDEX('01_Property Summary'!$K$5:$K$21,MATCH($A18,'01_Property Summary'!$B$5:$B$21,0)),"")</f>
        <v>2058</v>
      </c>
      <c r="L18" s="348" t="str">
        <f>IFERROR(INDEX('01_Property Summary'!$L$5:$L$21,MATCH($A18,'01_Property Summary'!$B$5:$B$21,0)),"")</f>
        <v>BCH CHF</v>
      </c>
      <c r="M18" s="348" t="str">
        <f t="shared" si="0"/>
        <v>Ready</v>
      </c>
      <c r="N18" s="366" t="s">
        <v>1360</v>
      </c>
      <c r="O18" s="348" t="str">
        <f t="shared" ca="1" si="1"/>
        <v>OK</v>
      </c>
    </row>
    <row r="19" spans="1:15">
      <c r="A19" s="348" t="str">
        <f>'00_MODEL_CONTROL'!A19</f>
        <v>BLD_PS</v>
      </c>
      <c r="B19" s="348" t="str">
        <f>'00_MODEL_CONTROL'!B19</f>
        <v>450 Pacific Street</v>
      </c>
      <c r="C19" s="348" t="str">
        <f>'00_MODEL_CONTROL'!C19</f>
        <v>Vancouver</v>
      </c>
      <c r="D19" s="348" t="str">
        <f>'00_MODEL_CONTROL'!D19</f>
        <v>New Dev</v>
      </c>
      <c r="E19" s="348" t="str">
        <f>'00_MODEL_CONTROL'!E19</f>
        <v>Yes</v>
      </c>
      <c r="F19" s="348" t="str">
        <f>'00_MODEL_CONTROL'!F19</f>
        <v>New Build</v>
      </c>
      <c r="G19" s="348" t="str">
        <f>'00_MODEL_CONTROL'!G19</f>
        <v>Bucket 1 · New Build</v>
      </c>
      <c r="H19" s="348" t="str">
        <f>'00_MODEL_CONTROL'!H19</f>
        <v>OK</v>
      </c>
      <c r="I19" s="348">
        <f>IFERROR(INDEX('01_Property Summary'!$S$5:$S$21,MATCH($A19,'01_Property Summary'!$B$5:$B$21,0)),"")</f>
        <v>91</v>
      </c>
      <c r="J19" s="348">
        <f>IFERROR(INDEX('01_Property Summary'!$F$5:$F$21,MATCH($A19,'01_Property Summary'!$B$5:$B$21,0)),"")</f>
        <v>2028</v>
      </c>
      <c r="K19" s="348">
        <f>IFERROR(INDEX('01_Property Summary'!$K$5:$K$21,MATCH($A19,'01_Property Summary'!$B$5:$B$21,0)),"")</f>
        <v>2058</v>
      </c>
      <c r="L19" s="348" t="str">
        <f>IFERROR(INDEX('01_Property Summary'!$L$5:$L$21,MATCH($A19,'01_Property Summary'!$B$5:$B$21,0)),"")</f>
        <v>BCH CHF</v>
      </c>
      <c r="M19" s="348" t="str">
        <f t="shared" si="0"/>
        <v>Ready</v>
      </c>
      <c r="N19" s="366" t="s">
        <v>1360</v>
      </c>
      <c r="O19" s="348" t="str">
        <f t="shared" ca="1" si="1"/>
        <v>OK</v>
      </c>
    </row>
    <row r="20" spans="1:15">
      <c r="A20" s="348" t="str">
        <f>'00_MODEL_CONTROL'!A20</f>
        <v>BLD_PM</v>
      </c>
      <c r="B20" s="348" t="str">
        <f>'00_MODEL_CONTROL'!B20</f>
        <v>The Creek, Port Moody</v>
      </c>
      <c r="C20" s="348" t="str">
        <f>'00_MODEL_CONTROL'!C20</f>
        <v>Port Moody</v>
      </c>
      <c r="D20" s="348" t="str">
        <f>'00_MODEL_CONTROL'!D20</f>
        <v>New Dev</v>
      </c>
      <c r="E20" s="348" t="str">
        <f>'00_MODEL_CONTROL'!E20</f>
        <v>Yes</v>
      </c>
      <c r="F20" s="348" t="str">
        <f>'00_MODEL_CONTROL'!F20</f>
        <v>New Build</v>
      </c>
      <c r="G20" s="348" t="str">
        <f>'00_MODEL_CONTROL'!G20</f>
        <v>Bucket 1 · New Build</v>
      </c>
      <c r="H20" s="348" t="str">
        <f>'00_MODEL_CONTROL'!H20</f>
        <v>OK</v>
      </c>
      <c r="I20" s="348">
        <f>IFERROR(INDEX('01_Property Summary'!$S$5:$S$21,MATCH($A20,'01_Property Summary'!$B$5:$B$21,0)),"")</f>
        <v>328</v>
      </c>
      <c r="J20" s="348">
        <f>IFERROR(INDEX('01_Property Summary'!$F$5:$F$21,MATCH($A20,'01_Property Summary'!$B$5:$B$21,0)),"")</f>
        <v>2027</v>
      </c>
      <c r="K20" s="348">
        <f>IFERROR(INDEX('01_Property Summary'!$K$5:$K$21,MATCH($A20,'01_Property Summary'!$B$5:$B$21,0)),"")</f>
        <v>2057</v>
      </c>
      <c r="L20" s="348" t="str">
        <f>IFERROR(INDEX('01_Property Summary'!$L$5:$L$21,MATCH($A20,'01_Property Summary'!$B$5:$B$21,0)),"")</f>
        <v>CMHC</v>
      </c>
      <c r="M20" s="348" t="str">
        <f t="shared" si="0"/>
        <v>Ready</v>
      </c>
      <c r="N20" s="366" t="s">
        <v>1360</v>
      </c>
      <c r="O20" s="348" t="str">
        <f t="shared" ca="1" si="1"/>
        <v>OK</v>
      </c>
    </row>
    <row r="21" spans="1:15">
      <c r="A21" s="348" t="str">
        <f>'00_MODEL_CONTROL'!A21</f>
        <v>BLD_CD</v>
      </c>
      <c r="B21" s="348" t="str">
        <f>'00_MODEL_CONTROL'!B21</f>
        <v>800 Commercial Drive</v>
      </c>
      <c r="C21" s="348" t="str">
        <f>'00_MODEL_CONTROL'!C21</f>
        <v>Vancouver</v>
      </c>
      <c r="D21" s="348" t="str">
        <f>'00_MODEL_CONTROL'!D21</f>
        <v>New Dev</v>
      </c>
      <c r="E21" s="348" t="str">
        <f>'00_MODEL_CONTROL'!E21</f>
        <v>Yes</v>
      </c>
      <c r="F21" s="348" t="str">
        <f>'00_MODEL_CONTROL'!F21</f>
        <v>New Build</v>
      </c>
      <c r="G21" s="348" t="str">
        <f>'00_MODEL_CONTROL'!G21</f>
        <v>Bucket 1 · New Build</v>
      </c>
      <c r="H21" s="348" t="str">
        <f>'00_MODEL_CONTROL'!H21</f>
        <v>OK</v>
      </c>
      <c r="I21" s="348">
        <f>IFERROR(INDEX('01_Property Summary'!$S$5:$S$21,MATCH($A21,'01_Property Summary'!$B$5:$B$21,0)),"")</f>
        <v>93</v>
      </c>
      <c r="J21" s="348">
        <f>IFERROR(INDEX('01_Property Summary'!$F$5:$F$21,MATCH($A21,'01_Property Summary'!$B$5:$B$21,0)),"")</f>
        <v>2029</v>
      </c>
      <c r="K21" s="348">
        <f>IFERROR(INDEX('01_Property Summary'!$K$5:$K$21,MATCH($A21,'01_Property Summary'!$B$5:$B$21,0)),"")</f>
        <v>2059</v>
      </c>
      <c r="L21" s="348" t="str">
        <f>IFERROR(INDEX('01_Property Summary'!$L$5:$L$21,MATCH($A21,'01_Property Summary'!$B$5:$B$21,0)),"")</f>
        <v>BCH CHF</v>
      </c>
      <c r="M21" s="348" t="str">
        <f t="shared" si="0"/>
        <v>Ready</v>
      </c>
      <c r="N21" s="366" t="s">
        <v>1360</v>
      </c>
      <c r="O21" s="348" t="str">
        <f t="shared" ca="1" si="1"/>
        <v>OK</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2A85B-F2B2-4129-9BF6-AEE836D462C0}">
  <sheetPr>
    <tabColor rgb="FF7C3AED"/>
  </sheetPr>
  <dimension ref="A1:M21"/>
  <sheetViews>
    <sheetView workbookViewId="0">
      <selection activeCell="D9" sqref="D9"/>
    </sheetView>
  </sheetViews>
  <sheetFormatPr defaultRowHeight="15"/>
  <cols>
    <col min="1" max="1" width="16" customWidth="1"/>
    <col min="2" max="2" width="28" customWidth="1"/>
    <col min="3" max="3" width="14" customWidth="1"/>
    <col min="4" max="4" width="24" customWidth="1"/>
    <col min="5" max="6" width="14" customWidth="1"/>
    <col min="7" max="10" width="18" customWidth="1"/>
    <col min="11" max="11" width="20" customWidth="1"/>
    <col min="12" max="12" width="18" customWidth="1"/>
    <col min="13" max="13" width="30" customWidth="1"/>
  </cols>
  <sheetData>
    <row r="1" spans="1:13" ht="30">
      <c r="A1" s="365" t="s">
        <v>751</v>
      </c>
    </row>
    <row r="2" spans="1:13">
      <c r="A2" t="s">
        <v>1094</v>
      </c>
      <c r="B2" t="s">
        <v>1395</v>
      </c>
    </row>
    <row r="3" spans="1:13">
      <c r="A3" t="s">
        <v>1208</v>
      </c>
      <c r="B3" t="s">
        <v>1396</v>
      </c>
    </row>
    <row r="4" spans="1:13">
      <c r="A4" s="365" t="s">
        <v>1263</v>
      </c>
      <c r="B4" s="365" t="s">
        <v>1269</v>
      </c>
      <c r="C4" s="365" t="s">
        <v>87</v>
      </c>
      <c r="D4" s="365" t="s">
        <v>159</v>
      </c>
      <c r="E4" s="365" t="s">
        <v>1397</v>
      </c>
      <c r="F4" s="365" t="s">
        <v>1398</v>
      </c>
      <c r="G4" s="365" t="s">
        <v>1399</v>
      </c>
      <c r="H4" s="365" t="s">
        <v>1400</v>
      </c>
      <c r="I4" s="365" t="s">
        <v>1401</v>
      </c>
      <c r="J4" s="365" t="s">
        <v>1402</v>
      </c>
      <c r="K4" s="365" t="s">
        <v>1403</v>
      </c>
      <c r="L4" s="365" t="s">
        <v>1404</v>
      </c>
      <c r="M4" s="365" t="s">
        <v>88</v>
      </c>
    </row>
    <row r="5" spans="1:13">
      <c r="A5" s="365" t="str">
        <f>DATA_PROPERTY_MASTER!A5</f>
        <v>BLD_AB</v>
      </c>
      <c r="B5" s="365" t="str">
        <f>DATA_PROPERTY_MASTER!B5</f>
        <v>Alma Blackwell</v>
      </c>
      <c r="C5" s="365" t="str">
        <f>DATA_PROPERTY_MASTER!E5</f>
        <v>No</v>
      </c>
      <c r="D5" s="365" t="str">
        <f>DATA_PROPERTY_MASTER!L5</f>
        <v>N/A</v>
      </c>
      <c r="E5" s="365" t="str">
        <f>IFERROR(INDEX('02_Debt Engine'!$F$19:$F$35,MATCH($A5,'02_Debt Engine'!$B$19:$B$35,0)),"")</f>
        <v/>
      </c>
      <c r="F5" s="365" t="str">
        <f>IFERROR(INDEX('02_Debt Engine'!$I$19:$I$35,MATCH($A5,'02_Debt Engine'!$B$19:$B$35,0)),"")</f>
        <v/>
      </c>
      <c r="G5" s="365" t="str">
        <f>IFERROR(INDEX('02_Debt Engine'!$F$46:$Z$62,MATCH($A5,'02_Debt Engine'!$B$19:$B$35,0),MATCH(2025,'02_Debt Engine'!$F$45:$Z$45,0)),"")</f>
        <v/>
      </c>
      <c r="H5" s="365" t="str">
        <f>IFERROR(INDEX('02_Debt Engine'!$F$46:$Z$62,MATCH($A5,'02_Debt Engine'!$B$19:$B$35,0),MATCH(2035,'02_Debt Engine'!$F$45:$Z$45,0)),"")</f>
        <v/>
      </c>
      <c r="I5" s="365" t="str">
        <f>IFERROR(INDEX('02_Debt Engine'!$F$74:$Z$90,MATCH($A5,'02_Debt Engine'!$B$74:$B$90,0),MATCH(2025,'02_Debt Engine'!$F$73:$Z$73,0)),"")</f>
        <v/>
      </c>
      <c r="J5" s="365" t="str">
        <f>IFERROR(INDEX('02_Debt Engine'!$F$74:$Z$90,MATCH($A5,'02_Debt Engine'!$B$74:$B$90,0),MATCH(2035,'02_Debt Engine'!$F$73:$Z$73,0)),"")</f>
        <v/>
      </c>
      <c r="K5" s="365">
        <f t="shared" ref="K5:K21" ca="1" si="0">IFERROR(INDEX(INDIRECT("'"&amp;$A5&amp;"'!$E$63:$Y$63"),1,MATCH(2035,INDIRECT("'"&amp;$A5&amp;"'!$E$12:$Y$12"),0)),"")</f>
        <v>0</v>
      </c>
      <c r="L5" s="365" t="str">
        <f t="shared" ref="L5:L21" ca="1" si="1">IF($A5="","Missing",IF(COUNTA($D5:$K5)&gt;=5,"Ready","Review"))</f>
        <v>Ready</v>
      </c>
      <c r="M5" s="365" t="s">
        <v>1405</v>
      </c>
    </row>
    <row r="6" spans="1:13">
      <c r="A6" s="348" t="str">
        <f>DATA_PROPERTY_MASTER!A6</f>
        <v>BLD_AC</v>
      </c>
      <c r="B6" s="348" t="str">
        <f>DATA_PROPERTY_MASTER!B6</f>
        <v>Antkiw Court</v>
      </c>
      <c r="C6" s="348" t="str">
        <f>DATA_PROPERTY_MASTER!E6</f>
        <v>Yes</v>
      </c>
      <c r="D6" s="348" t="str">
        <f>DATA_PROPERTY_MASTER!L6</f>
        <v>BCHMC/NPAT</v>
      </c>
      <c r="E6" s="348" t="str">
        <f>IFERROR(INDEX('02_Debt Engine'!$F$19:$F$35,MATCH($A6,'02_Debt Engine'!$B$19:$B$35,0)),"")</f>
        <v/>
      </c>
      <c r="F6" s="348" t="str">
        <f>IFERROR(INDEX('02_Debt Engine'!$I$19:$I$35,MATCH($A6,'02_Debt Engine'!$B$19:$B$35,0)),"")</f>
        <v/>
      </c>
      <c r="G6" s="348" t="str">
        <f>IFERROR(INDEX('02_Debt Engine'!$F$46:$Z$62,MATCH($A6,'02_Debt Engine'!$B$19:$B$35,0),MATCH(2025,'02_Debt Engine'!$F$45:$Z$45,0)),"")</f>
        <v/>
      </c>
      <c r="H6" s="348" t="str">
        <f>IFERROR(INDEX('02_Debt Engine'!$F$46:$Z$62,MATCH($A6,'02_Debt Engine'!$B$19:$B$35,0),MATCH(2035,'02_Debt Engine'!$F$45:$Z$45,0)),"")</f>
        <v/>
      </c>
      <c r="I6" s="348" t="str">
        <f>IFERROR(INDEX('02_Debt Engine'!$F$74:$Z$90,MATCH($A6,'02_Debt Engine'!$B$74:$B$90,0),MATCH(2025,'02_Debt Engine'!$F$73:$Z$73,0)),"")</f>
        <v/>
      </c>
      <c r="J6" s="348" t="str">
        <f>IFERROR(INDEX('02_Debt Engine'!$F$74:$Z$90,MATCH($A6,'02_Debt Engine'!$B$74:$B$90,0),MATCH(2035,'02_Debt Engine'!$F$73:$Z$73,0)),"")</f>
        <v/>
      </c>
      <c r="K6" s="348">
        <f t="shared" ca="1" si="0"/>
        <v>0</v>
      </c>
      <c r="L6" s="348" t="str">
        <f t="shared" ca="1" si="1"/>
        <v>Ready</v>
      </c>
      <c r="M6" t="s">
        <v>1405</v>
      </c>
    </row>
    <row r="7" spans="1:13">
      <c r="A7" s="365" t="str">
        <f>DATA_PROPERTY_MASTER!A7</f>
        <v>BLD_BT</v>
      </c>
      <c r="B7" s="365" t="str">
        <f>DATA_PROPERTY_MASTER!B7</f>
        <v>Beatrice Terrace</v>
      </c>
      <c r="C7" s="365" t="str">
        <f>DATA_PROPERTY_MASTER!E7</f>
        <v>Yes</v>
      </c>
      <c r="D7" s="365" t="str">
        <f>DATA_PROPERTY_MASTER!L7</f>
        <v>BCHMC/NPAT</v>
      </c>
      <c r="E7" s="365" t="str">
        <f>IFERROR(INDEX('02_Debt Engine'!$F$19:$F$35,MATCH($A7,'02_Debt Engine'!$B$19:$B$35,0)),"")</f>
        <v/>
      </c>
      <c r="F7" s="365" t="str">
        <f>IFERROR(INDEX('02_Debt Engine'!$I$19:$I$35,MATCH($A7,'02_Debt Engine'!$B$19:$B$35,0)),"")</f>
        <v/>
      </c>
      <c r="G7" s="365" t="str">
        <f>IFERROR(INDEX('02_Debt Engine'!$F$46:$Z$62,MATCH($A7,'02_Debt Engine'!$B$19:$B$35,0),MATCH(2025,'02_Debt Engine'!$F$45:$Z$45,0)),"")</f>
        <v/>
      </c>
      <c r="H7" s="365" t="str">
        <f>IFERROR(INDEX('02_Debt Engine'!$F$46:$Z$62,MATCH($A7,'02_Debt Engine'!$B$19:$B$35,0),MATCH(2035,'02_Debt Engine'!$F$45:$Z$45,0)),"")</f>
        <v/>
      </c>
      <c r="I7" s="365" t="str">
        <f>IFERROR(INDEX('02_Debt Engine'!$F$74:$Z$90,MATCH($A7,'02_Debt Engine'!$B$74:$B$90,0),MATCH(2025,'02_Debt Engine'!$F$73:$Z$73,0)),"")</f>
        <v/>
      </c>
      <c r="J7" s="365" t="str">
        <f>IFERROR(INDEX('02_Debt Engine'!$F$74:$Z$90,MATCH($A7,'02_Debt Engine'!$B$74:$B$90,0),MATCH(2035,'02_Debt Engine'!$F$73:$Z$73,0)),"")</f>
        <v/>
      </c>
      <c r="K7" s="365">
        <f t="shared" ca="1" si="0"/>
        <v>0</v>
      </c>
      <c r="L7" s="365" t="str">
        <f t="shared" ca="1" si="1"/>
        <v>Ready</v>
      </c>
      <c r="M7" s="365" t="s">
        <v>1405</v>
      </c>
    </row>
    <row r="8" spans="1:13">
      <c r="A8" s="348" t="str">
        <f>DATA_PROPERTY_MASTER!A8</f>
        <v>BLD_CH</v>
      </c>
      <c r="B8" s="348" t="str">
        <f>DATA_PROPERTY_MASTER!B8</f>
        <v>Capilano House</v>
      </c>
      <c r="C8" s="348" t="str">
        <f>DATA_PROPERTY_MASTER!E8</f>
        <v>Yes</v>
      </c>
      <c r="D8" s="348" t="str">
        <f>DATA_PROPERTY_MASTER!L8</f>
        <v>N/A</v>
      </c>
      <c r="E8" s="348" t="str">
        <f>IFERROR(INDEX('02_Debt Engine'!$F$19:$F$35,MATCH($A8,'02_Debt Engine'!$B$19:$B$35,0)),"")</f>
        <v/>
      </c>
      <c r="F8" s="348" t="str">
        <f>IFERROR(INDEX('02_Debt Engine'!$I$19:$I$35,MATCH($A8,'02_Debt Engine'!$B$19:$B$35,0)),"")</f>
        <v/>
      </c>
      <c r="G8" s="348" t="str">
        <f>IFERROR(INDEX('02_Debt Engine'!$F$46:$Z$62,MATCH($A8,'02_Debt Engine'!$B$19:$B$35,0),MATCH(2025,'02_Debt Engine'!$F$45:$Z$45,0)),"")</f>
        <v/>
      </c>
      <c r="H8" s="348" t="str">
        <f>IFERROR(INDEX('02_Debt Engine'!$F$46:$Z$62,MATCH($A8,'02_Debt Engine'!$B$19:$B$35,0),MATCH(2035,'02_Debt Engine'!$F$45:$Z$45,0)),"")</f>
        <v/>
      </c>
      <c r="I8" s="348" t="str">
        <f>IFERROR(INDEX('02_Debt Engine'!$F$74:$Z$90,MATCH($A8,'02_Debt Engine'!$B$74:$B$90,0),MATCH(2025,'02_Debt Engine'!$F$73:$Z$73,0)),"")</f>
        <v/>
      </c>
      <c r="J8" s="348" t="str">
        <f>IFERROR(INDEX('02_Debt Engine'!$F$74:$Z$90,MATCH($A8,'02_Debt Engine'!$B$74:$B$90,0),MATCH(2035,'02_Debt Engine'!$F$73:$Z$73,0)),"")</f>
        <v/>
      </c>
      <c r="K8" s="348">
        <f t="shared" ca="1" si="0"/>
        <v>0</v>
      </c>
      <c r="L8" s="348" t="str">
        <f t="shared" ca="1" si="1"/>
        <v>Ready</v>
      </c>
      <c r="M8" t="s">
        <v>1405</v>
      </c>
    </row>
    <row r="9" spans="1:13">
      <c r="A9" s="348" t="str">
        <f>DATA_PROPERTY_MASTER!A9</f>
        <v>BLD_CC</v>
      </c>
      <c r="B9" s="348" t="str">
        <f>DATA_PROPERTY_MASTER!B9</f>
        <v>Constance Court</v>
      </c>
      <c r="C9" s="348" t="str">
        <f>DATA_PROPERTY_MASTER!E9</f>
        <v>Yes</v>
      </c>
      <c r="D9" s="348" t="str">
        <f>DATA_PROPERTY_MASTER!L9</f>
        <v>BCHMC</v>
      </c>
      <c r="E9" s="348" t="str">
        <f>IFERROR(INDEX('02_Debt Engine'!$F$19:$F$35,MATCH($A9,'02_Debt Engine'!$B$19:$B$35,0)),"")</f>
        <v/>
      </c>
      <c r="F9" s="348" t="str">
        <f>IFERROR(INDEX('02_Debt Engine'!$I$19:$I$35,MATCH($A9,'02_Debt Engine'!$B$19:$B$35,0)),"")</f>
        <v/>
      </c>
      <c r="G9" s="348" t="str">
        <f>IFERROR(INDEX('02_Debt Engine'!$F$46:$Z$62,MATCH($A9,'02_Debt Engine'!$B$19:$B$35,0),MATCH(2025,'02_Debt Engine'!$F$45:$Z$45,0)),"")</f>
        <v/>
      </c>
      <c r="H9" s="348" t="str">
        <f>IFERROR(INDEX('02_Debt Engine'!$F$46:$Z$62,MATCH($A9,'02_Debt Engine'!$B$19:$B$35,0),MATCH(2035,'02_Debt Engine'!$F$45:$Z$45,0)),"")</f>
        <v/>
      </c>
      <c r="I9" s="348" t="str">
        <f>IFERROR(INDEX('02_Debt Engine'!$F$74:$Z$90,MATCH($A9,'02_Debt Engine'!$B$74:$B$90,0),MATCH(2025,'02_Debt Engine'!$F$73:$Z$73,0)),"")</f>
        <v/>
      </c>
      <c r="J9" s="348" t="str">
        <f>IFERROR(INDEX('02_Debt Engine'!$F$74:$Z$90,MATCH($A9,'02_Debt Engine'!$B$74:$B$90,0),MATCH(2035,'02_Debt Engine'!$F$73:$Z$73,0)),"")</f>
        <v/>
      </c>
      <c r="K9" s="348">
        <f t="shared" ca="1" si="0"/>
        <v>0</v>
      </c>
      <c r="L9" s="348" t="str">
        <f t="shared" ca="1" si="1"/>
        <v>Ready</v>
      </c>
      <c r="M9" t="s">
        <v>1405</v>
      </c>
    </row>
    <row r="10" spans="1:13">
      <c r="A10" s="348" t="str">
        <f>DATA_PROPERTY_MASTER!A10</f>
        <v>BLD_EA</v>
      </c>
      <c r="B10" s="348" t="str">
        <f>DATA_PROPERTY_MASTER!B10</f>
        <v>Evergreen Apartments</v>
      </c>
      <c r="C10" s="348" t="str">
        <f>DATA_PROPERTY_MASTER!E10</f>
        <v>Yes</v>
      </c>
      <c r="D10" s="348" t="str">
        <f>DATA_PROPERTY_MASTER!L10</f>
        <v>Vancity</v>
      </c>
      <c r="E10" s="348" t="str">
        <f>IFERROR(INDEX('02_Debt Engine'!$F$19:$F$35,MATCH($A10,'02_Debt Engine'!$B$19:$B$35,0)),"")</f>
        <v/>
      </c>
      <c r="F10" s="348" t="str">
        <f>IFERROR(INDEX('02_Debt Engine'!$I$19:$I$35,MATCH($A10,'02_Debt Engine'!$B$19:$B$35,0)),"")</f>
        <v/>
      </c>
      <c r="G10" s="348" t="str">
        <f>IFERROR(INDEX('02_Debt Engine'!$F$46:$Z$62,MATCH($A10,'02_Debt Engine'!$B$19:$B$35,0),MATCH(2025,'02_Debt Engine'!$F$45:$Z$45,0)),"")</f>
        <v/>
      </c>
      <c r="H10" s="348" t="str">
        <f>IFERROR(INDEX('02_Debt Engine'!$F$46:$Z$62,MATCH($A10,'02_Debt Engine'!$B$19:$B$35,0),MATCH(2035,'02_Debt Engine'!$F$45:$Z$45,0)),"")</f>
        <v/>
      </c>
      <c r="I10" s="348" t="str">
        <f>IFERROR(INDEX('02_Debt Engine'!$F$74:$Z$90,MATCH($A10,'02_Debt Engine'!$B$74:$B$90,0),MATCH(2025,'02_Debt Engine'!$F$73:$Z$73,0)),"")</f>
        <v/>
      </c>
      <c r="J10" s="348" t="str">
        <f>IFERROR(INDEX('02_Debt Engine'!$F$74:$Z$90,MATCH($A10,'02_Debt Engine'!$B$74:$B$90,0),MATCH(2035,'02_Debt Engine'!$F$73:$Z$73,0)),"")</f>
        <v/>
      </c>
      <c r="K10" s="348">
        <f t="shared" ca="1" si="0"/>
        <v>0</v>
      </c>
      <c r="L10" s="348" t="str">
        <f t="shared" ca="1" si="1"/>
        <v>Ready</v>
      </c>
      <c r="M10" t="s">
        <v>1405</v>
      </c>
    </row>
    <row r="11" spans="1:13">
      <c r="A11" s="348" t="str">
        <f>DATA_PROPERTY_MASTER!A11</f>
        <v>BLD_EE</v>
      </c>
      <c r="B11" s="348" t="str">
        <f>DATA_PROPERTY_MASTER!B11</f>
        <v>Evelyn Estates</v>
      </c>
      <c r="C11" s="348" t="str">
        <f>DATA_PROPERTY_MASTER!E11</f>
        <v>Yes</v>
      </c>
      <c r="D11" s="348" t="str">
        <f>DATA_PROPERTY_MASTER!L11</f>
        <v>BCHMC</v>
      </c>
      <c r="E11" s="348" t="str">
        <f>IFERROR(INDEX('02_Debt Engine'!$F$19:$F$35,MATCH($A11,'02_Debt Engine'!$B$19:$B$35,0)),"")</f>
        <v/>
      </c>
      <c r="F11" s="348" t="str">
        <f>IFERROR(INDEX('02_Debt Engine'!$I$19:$I$35,MATCH($A11,'02_Debt Engine'!$B$19:$B$35,0)),"")</f>
        <v/>
      </c>
      <c r="G11" s="348" t="str">
        <f>IFERROR(INDEX('02_Debt Engine'!$F$46:$Z$62,MATCH($A11,'02_Debt Engine'!$B$19:$B$35,0),MATCH(2025,'02_Debt Engine'!$F$45:$Z$45,0)),"")</f>
        <v/>
      </c>
      <c r="H11" s="348" t="str">
        <f>IFERROR(INDEX('02_Debt Engine'!$F$46:$Z$62,MATCH($A11,'02_Debt Engine'!$B$19:$B$35,0),MATCH(2035,'02_Debt Engine'!$F$45:$Z$45,0)),"")</f>
        <v/>
      </c>
      <c r="I11" s="348" t="str">
        <f>IFERROR(INDEX('02_Debt Engine'!$F$74:$Z$90,MATCH($A11,'02_Debt Engine'!$B$74:$B$90,0),MATCH(2025,'02_Debt Engine'!$F$73:$Z$73,0)),"")</f>
        <v/>
      </c>
      <c r="J11" s="348" t="str">
        <f>IFERROR(INDEX('02_Debt Engine'!$F$74:$Z$90,MATCH($A11,'02_Debt Engine'!$B$74:$B$90,0),MATCH(2035,'02_Debt Engine'!$F$73:$Z$73,0)),"")</f>
        <v/>
      </c>
      <c r="K11" s="348">
        <f t="shared" ca="1" si="0"/>
        <v>0</v>
      </c>
      <c r="L11" s="348" t="str">
        <f t="shared" ca="1" si="1"/>
        <v>Ready</v>
      </c>
      <c r="M11" t="s">
        <v>1405</v>
      </c>
    </row>
    <row r="12" spans="1:13">
      <c r="A12" s="348" t="str">
        <f>DATA_PROPERTY_MASTER!A12</f>
        <v>BLD_JP</v>
      </c>
      <c r="B12" s="348" t="str">
        <f>DATA_PROPERTY_MASTER!B12</f>
        <v>Jessica Place</v>
      </c>
      <c r="C12" s="348" t="str">
        <f>DATA_PROPERTY_MASTER!E12</f>
        <v>Yes</v>
      </c>
      <c r="D12" s="348" t="str">
        <f>DATA_PROPERTY_MASTER!L12</f>
        <v>BCHMC</v>
      </c>
      <c r="E12" s="348" t="str">
        <f>IFERROR(INDEX('02_Debt Engine'!$F$19:$F$35,MATCH($A12,'02_Debt Engine'!$B$19:$B$35,0)),"")</f>
        <v/>
      </c>
      <c r="F12" s="348" t="str">
        <f>IFERROR(INDEX('02_Debt Engine'!$I$19:$I$35,MATCH($A12,'02_Debt Engine'!$B$19:$B$35,0)),"")</f>
        <v/>
      </c>
      <c r="G12" s="348" t="str">
        <f>IFERROR(INDEX('02_Debt Engine'!$F$46:$Z$62,MATCH($A12,'02_Debt Engine'!$B$19:$B$35,0),MATCH(2025,'02_Debt Engine'!$F$45:$Z$45,0)),"")</f>
        <v/>
      </c>
      <c r="H12" s="348" t="str">
        <f>IFERROR(INDEX('02_Debt Engine'!$F$46:$Z$62,MATCH($A12,'02_Debt Engine'!$B$19:$B$35,0),MATCH(2035,'02_Debt Engine'!$F$45:$Z$45,0)),"")</f>
        <v/>
      </c>
      <c r="I12" s="348" t="str">
        <f>IFERROR(INDEX('02_Debt Engine'!$F$74:$Z$90,MATCH($A12,'02_Debt Engine'!$B$74:$B$90,0),MATCH(2025,'02_Debt Engine'!$F$73:$Z$73,0)),"")</f>
        <v/>
      </c>
      <c r="J12" s="348" t="str">
        <f>IFERROR(INDEX('02_Debt Engine'!$F$74:$Z$90,MATCH($A12,'02_Debt Engine'!$B$74:$B$90,0),MATCH(2035,'02_Debt Engine'!$F$73:$Z$73,0)),"")</f>
        <v/>
      </c>
      <c r="K12" s="348">
        <f t="shared" ca="1" si="0"/>
        <v>0</v>
      </c>
      <c r="L12" s="348" t="str">
        <f t="shared" ca="1" si="1"/>
        <v>Ready</v>
      </c>
      <c r="M12" t="s">
        <v>1405</v>
      </c>
    </row>
    <row r="13" spans="1:13">
      <c r="A13" s="348" t="str">
        <f>DATA_PROPERTY_MASTER!A13</f>
        <v>BLD_MH</v>
      </c>
      <c r="B13" s="348" t="str">
        <f>DATA_PROPERTY_MASTER!B13</f>
        <v>Margaret Heights</v>
      </c>
      <c r="C13" s="348" t="str">
        <f>DATA_PROPERTY_MASTER!E13</f>
        <v>Yes</v>
      </c>
      <c r="D13" s="348" t="str">
        <f>DATA_PROPERTY_MASTER!L13</f>
        <v>BCHMC</v>
      </c>
      <c r="E13" s="348" t="str">
        <f>IFERROR(INDEX('02_Debt Engine'!$F$19:$F$35,MATCH($A13,'02_Debt Engine'!$B$19:$B$35,0)),"")</f>
        <v/>
      </c>
      <c r="F13" s="348" t="str">
        <f>IFERROR(INDEX('02_Debt Engine'!$I$19:$I$35,MATCH($A13,'02_Debt Engine'!$B$19:$B$35,0)),"")</f>
        <v/>
      </c>
      <c r="G13" s="348" t="str">
        <f>IFERROR(INDEX('02_Debt Engine'!$F$46:$Z$62,MATCH($A13,'02_Debt Engine'!$B$19:$B$35,0),MATCH(2025,'02_Debt Engine'!$F$45:$Z$45,0)),"")</f>
        <v/>
      </c>
      <c r="H13" s="348" t="str">
        <f>IFERROR(INDEX('02_Debt Engine'!$F$46:$Z$62,MATCH($A13,'02_Debt Engine'!$B$19:$B$35,0),MATCH(2035,'02_Debt Engine'!$F$45:$Z$45,0)),"")</f>
        <v/>
      </c>
      <c r="I13" s="348" t="str">
        <f>IFERROR(INDEX('02_Debt Engine'!$F$74:$Z$90,MATCH($A13,'02_Debt Engine'!$B$74:$B$90,0),MATCH(2025,'02_Debt Engine'!$F$73:$Z$73,0)),"")</f>
        <v/>
      </c>
      <c r="J13" s="348" t="str">
        <f>IFERROR(INDEX('02_Debt Engine'!$F$74:$Z$90,MATCH($A13,'02_Debt Engine'!$B$74:$B$90,0),MATCH(2035,'02_Debt Engine'!$F$73:$Z$73,0)),"")</f>
        <v/>
      </c>
      <c r="K13" s="348">
        <f t="shared" ca="1" si="0"/>
        <v>0</v>
      </c>
      <c r="L13" s="348" t="str">
        <f t="shared" ca="1" si="1"/>
        <v>Ready</v>
      </c>
      <c r="M13" t="s">
        <v>1405</v>
      </c>
    </row>
    <row r="14" spans="1:13">
      <c r="A14" s="348" t="str">
        <f>DATA_PROPERTY_MASTER!A14</f>
        <v>BLD_MM</v>
      </c>
      <c r="B14" s="348" t="str">
        <f>DATA_PROPERTY_MASTER!B14</f>
        <v>Murray Manor</v>
      </c>
      <c r="C14" s="348" t="str">
        <f>DATA_PROPERTY_MASTER!E14</f>
        <v>Yes</v>
      </c>
      <c r="D14" s="348" t="str">
        <f>DATA_PROPERTY_MASTER!L14</f>
        <v>Vancity</v>
      </c>
      <c r="E14" s="348" t="str">
        <f>IFERROR(INDEX('02_Debt Engine'!$F$19:$F$35,MATCH($A14,'02_Debt Engine'!$B$19:$B$35,0)),"")</f>
        <v/>
      </c>
      <c r="F14" s="348" t="str">
        <f>IFERROR(INDEX('02_Debt Engine'!$I$19:$I$35,MATCH($A14,'02_Debt Engine'!$B$19:$B$35,0)),"")</f>
        <v/>
      </c>
      <c r="G14" s="348" t="str">
        <f>IFERROR(INDEX('02_Debt Engine'!$F$46:$Z$62,MATCH($A14,'02_Debt Engine'!$B$19:$B$35,0),MATCH(2025,'02_Debt Engine'!$F$45:$Z$45,0)),"")</f>
        <v/>
      </c>
      <c r="H14" s="348" t="str">
        <f>IFERROR(INDEX('02_Debt Engine'!$F$46:$Z$62,MATCH($A14,'02_Debt Engine'!$B$19:$B$35,0),MATCH(2035,'02_Debt Engine'!$F$45:$Z$45,0)),"")</f>
        <v/>
      </c>
      <c r="I14" s="348" t="str">
        <f>IFERROR(INDEX('02_Debt Engine'!$F$74:$Z$90,MATCH($A14,'02_Debt Engine'!$B$74:$B$90,0),MATCH(2025,'02_Debt Engine'!$F$73:$Z$73,0)),"")</f>
        <v/>
      </c>
      <c r="J14" s="348" t="str">
        <f>IFERROR(INDEX('02_Debt Engine'!$F$74:$Z$90,MATCH($A14,'02_Debt Engine'!$B$74:$B$90,0),MATCH(2035,'02_Debt Engine'!$F$73:$Z$73,0)),"")</f>
        <v/>
      </c>
      <c r="K14" s="348">
        <f t="shared" ca="1" si="0"/>
        <v>0</v>
      </c>
      <c r="L14" s="348" t="str">
        <f t="shared" ca="1" si="1"/>
        <v>Ready</v>
      </c>
      <c r="M14" t="s">
        <v>1405</v>
      </c>
    </row>
    <row r="15" spans="1:13">
      <c r="A15" s="348" t="str">
        <f>DATA_PROPERTY_MASTER!A15</f>
        <v>BLD_NT</v>
      </c>
      <c r="B15" s="348" t="str">
        <f>DATA_PROPERTY_MASTER!B15</f>
        <v>Natalia Terrace</v>
      </c>
      <c r="C15" s="348" t="str">
        <f>DATA_PROPERTY_MASTER!E15</f>
        <v>Yes</v>
      </c>
      <c r="D15" s="348" t="str">
        <f>DATA_PROPERTY_MASTER!L15</f>
        <v>BCHMC</v>
      </c>
      <c r="E15" s="348" t="str">
        <f>IFERROR(INDEX('02_Debt Engine'!$F$19:$F$35,MATCH($A15,'02_Debt Engine'!$B$19:$B$35,0)),"")</f>
        <v/>
      </c>
      <c r="F15" s="348" t="str">
        <f>IFERROR(INDEX('02_Debt Engine'!$I$19:$I$35,MATCH($A15,'02_Debt Engine'!$B$19:$B$35,0)),"")</f>
        <v/>
      </c>
      <c r="G15" s="348" t="str">
        <f>IFERROR(INDEX('02_Debt Engine'!$F$46:$Z$62,MATCH($A15,'02_Debt Engine'!$B$19:$B$35,0),MATCH(2025,'02_Debt Engine'!$F$45:$Z$45,0)),"")</f>
        <v/>
      </c>
      <c r="H15" s="348" t="str">
        <f>IFERROR(INDEX('02_Debt Engine'!$F$46:$Z$62,MATCH($A15,'02_Debt Engine'!$B$19:$B$35,0),MATCH(2035,'02_Debt Engine'!$F$45:$Z$45,0)),"")</f>
        <v/>
      </c>
      <c r="I15" s="348" t="str">
        <f>IFERROR(INDEX('02_Debt Engine'!$F$74:$Z$90,MATCH($A15,'02_Debt Engine'!$B$74:$B$90,0),MATCH(2025,'02_Debt Engine'!$F$73:$Z$73,0)),"")</f>
        <v/>
      </c>
      <c r="J15" s="348" t="str">
        <f>IFERROR(INDEX('02_Debt Engine'!$F$74:$Z$90,MATCH($A15,'02_Debt Engine'!$B$74:$B$90,0),MATCH(2035,'02_Debt Engine'!$F$73:$Z$73,0)),"")</f>
        <v/>
      </c>
      <c r="K15" s="348">
        <f t="shared" ca="1" si="0"/>
        <v>0</v>
      </c>
      <c r="L15" s="348" t="str">
        <f t="shared" ca="1" si="1"/>
        <v>Ready</v>
      </c>
      <c r="M15" t="s">
        <v>1405</v>
      </c>
    </row>
    <row r="16" spans="1:13">
      <c r="A16" s="348" t="str">
        <f>DATA_PROPERTY_MASTER!A16</f>
        <v>BLD_NG</v>
      </c>
      <c r="B16" s="348" t="str">
        <f>DATA_PROPERTY_MASTER!B16</f>
        <v>Newton Green</v>
      </c>
      <c r="C16" s="348" t="str">
        <f>DATA_PROPERTY_MASTER!E16</f>
        <v>Yes</v>
      </c>
      <c r="D16" s="348" t="str">
        <f>DATA_PROPERTY_MASTER!L16</f>
        <v>CMLS</v>
      </c>
      <c r="E16" s="348" t="str">
        <f>IFERROR(INDEX('02_Debt Engine'!$F$19:$F$35,MATCH($A16,'02_Debt Engine'!$B$19:$B$35,0)),"")</f>
        <v/>
      </c>
      <c r="F16" s="348" t="str">
        <f>IFERROR(INDEX('02_Debt Engine'!$I$19:$I$35,MATCH($A16,'02_Debt Engine'!$B$19:$B$35,0)),"")</f>
        <v/>
      </c>
      <c r="G16" s="348" t="str">
        <f>IFERROR(INDEX('02_Debt Engine'!$F$46:$Z$62,MATCH($A16,'02_Debt Engine'!$B$19:$B$35,0),MATCH(2025,'02_Debt Engine'!$F$45:$Z$45,0)),"")</f>
        <v/>
      </c>
      <c r="H16" s="348" t="str">
        <f>IFERROR(INDEX('02_Debt Engine'!$F$46:$Z$62,MATCH($A16,'02_Debt Engine'!$B$19:$B$35,0),MATCH(2035,'02_Debt Engine'!$F$45:$Z$45,0)),"")</f>
        <v/>
      </c>
      <c r="I16" s="348" t="str">
        <f>IFERROR(INDEX('02_Debt Engine'!$F$74:$Z$90,MATCH($A16,'02_Debt Engine'!$B$74:$B$90,0),MATCH(2025,'02_Debt Engine'!$F$73:$Z$73,0)),"")</f>
        <v/>
      </c>
      <c r="J16" s="348" t="str">
        <f>IFERROR(INDEX('02_Debt Engine'!$F$74:$Z$90,MATCH($A16,'02_Debt Engine'!$B$74:$B$90,0),MATCH(2035,'02_Debt Engine'!$F$73:$Z$73,0)),"")</f>
        <v/>
      </c>
      <c r="K16" s="348">
        <f t="shared" ca="1" si="0"/>
        <v>0</v>
      </c>
      <c r="L16" s="348" t="str">
        <f t="shared" ca="1" si="1"/>
        <v>Ready</v>
      </c>
      <c r="M16" t="s">
        <v>1405</v>
      </c>
    </row>
    <row r="17" spans="1:13">
      <c r="A17" s="348" t="str">
        <f>DATA_PROPERTY_MASTER!A17</f>
        <v>BLD_RG</v>
      </c>
      <c r="B17" s="348" t="str">
        <f>DATA_PROPERTY_MASTER!B17</f>
        <v>Rosemary Green</v>
      </c>
      <c r="C17" s="348" t="str">
        <f>DATA_PROPERTY_MASTER!E17</f>
        <v>Yes</v>
      </c>
      <c r="D17" s="348" t="str">
        <f>DATA_PROPERTY_MASTER!L17</f>
        <v>Peoples Group</v>
      </c>
      <c r="E17" s="348" t="str">
        <f>IFERROR(INDEX('02_Debt Engine'!$F$19:$F$35,MATCH($A17,'02_Debt Engine'!$B$19:$B$35,0)),"")</f>
        <v/>
      </c>
      <c r="F17" s="348" t="str">
        <f>IFERROR(INDEX('02_Debt Engine'!$I$19:$I$35,MATCH($A17,'02_Debt Engine'!$B$19:$B$35,0)),"")</f>
        <v/>
      </c>
      <c r="G17" s="348" t="str">
        <f>IFERROR(INDEX('02_Debt Engine'!$F$46:$Z$62,MATCH($A17,'02_Debt Engine'!$B$19:$B$35,0),MATCH(2025,'02_Debt Engine'!$F$45:$Z$45,0)),"")</f>
        <v/>
      </c>
      <c r="H17" s="348" t="str">
        <f>IFERROR(INDEX('02_Debt Engine'!$F$46:$Z$62,MATCH($A17,'02_Debt Engine'!$B$19:$B$35,0),MATCH(2035,'02_Debt Engine'!$F$45:$Z$45,0)),"")</f>
        <v/>
      </c>
      <c r="I17" s="348" t="str">
        <f>IFERROR(INDEX('02_Debt Engine'!$F$74:$Z$90,MATCH($A17,'02_Debt Engine'!$B$74:$B$90,0),MATCH(2025,'02_Debt Engine'!$F$73:$Z$73,0)),"")</f>
        <v/>
      </c>
      <c r="J17" s="348" t="str">
        <f>IFERROR(INDEX('02_Debt Engine'!$F$74:$Z$90,MATCH($A17,'02_Debt Engine'!$B$74:$B$90,0),MATCH(2035,'02_Debt Engine'!$F$73:$Z$73,0)),"")</f>
        <v/>
      </c>
      <c r="K17" s="348">
        <f t="shared" ca="1" si="0"/>
        <v>0</v>
      </c>
      <c r="L17" s="348" t="str">
        <f t="shared" ca="1" si="1"/>
        <v>Ready</v>
      </c>
      <c r="M17" t="s">
        <v>1405</v>
      </c>
    </row>
    <row r="18" spans="1:13">
      <c r="A18" s="348" t="str">
        <f>DATA_PROPERTY_MASTER!A18</f>
        <v>BLD_AS</v>
      </c>
      <c r="B18" s="348" t="str">
        <f>DATA_PROPERTY_MASTER!B18</f>
        <v>1656 Adanac Street</v>
      </c>
      <c r="C18" s="348" t="str">
        <f>DATA_PROPERTY_MASTER!E18</f>
        <v>Yes</v>
      </c>
      <c r="D18" s="348" t="str">
        <f>DATA_PROPERTY_MASTER!L18</f>
        <v>BCH CHF</v>
      </c>
      <c r="E18" s="348" t="str">
        <f>IFERROR(INDEX('02_Debt Engine'!$F$19:$F$35,MATCH($A18,'02_Debt Engine'!$B$19:$B$35,0)),"")</f>
        <v/>
      </c>
      <c r="F18" s="348" t="str">
        <f>IFERROR(INDEX('02_Debt Engine'!$I$19:$I$35,MATCH($A18,'02_Debt Engine'!$B$19:$B$35,0)),"")</f>
        <v/>
      </c>
      <c r="G18" s="348" t="str">
        <f>IFERROR(INDEX('02_Debt Engine'!$F$46:$Z$62,MATCH($A18,'02_Debt Engine'!$B$19:$B$35,0),MATCH(2025,'02_Debt Engine'!$F$45:$Z$45,0)),"")</f>
        <v/>
      </c>
      <c r="H18" s="348" t="str">
        <f>IFERROR(INDEX('02_Debt Engine'!$F$46:$Z$62,MATCH($A18,'02_Debt Engine'!$B$19:$B$35,0),MATCH(2035,'02_Debt Engine'!$F$45:$Z$45,0)),"")</f>
        <v/>
      </c>
      <c r="I18" s="348" t="str">
        <f>IFERROR(INDEX('02_Debt Engine'!$F$74:$Z$90,MATCH($A18,'02_Debt Engine'!$B$74:$B$90,0),MATCH(2025,'02_Debt Engine'!$F$73:$Z$73,0)),"")</f>
        <v/>
      </c>
      <c r="J18" s="348" t="str">
        <f>IFERROR(INDEX('02_Debt Engine'!$F$74:$Z$90,MATCH($A18,'02_Debt Engine'!$B$74:$B$90,0),MATCH(2035,'02_Debt Engine'!$F$73:$Z$73,0)),"")</f>
        <v/>
      </c>
      <c r="K18" s="348">
        <f t="shared" ca="1" si="0"/>
        <v>0</v>
      </c>
      <c r="L18" s="348" t="str">
        <f t="shared" ca="1" si="1"/>
        <v>Ready</v>
      </c>
      <c r="M18" t="s">
        <v>1405</v>
      </c>
    </row>
    <row r="19" spans="1:13">
      <c r="A19" s="348" t="str">
        <f>DATA_PROPERTY_MASTER!A19</f>
        <v>BLD_PS</v>
      </c>
      <c r="B19" s="348" t="str">
        <f>DATA_PROPERTY_MASTER!B19</f>
        <v>450 Pacific Street</v>
      </c>
      <c r="C19" s="348" t="str">
        <f>DATA_PROPERTY_MASTER!E19</f>
        <v>Yes</v>
      </c>
      <c r="D19" s="348" t="str">
        <f>DATA_PROPERTY_MASTER!L19</f>
        <v>BCH CHF</v>
      </c>
      <c r="E19" s="348" t="str">
        <f>IFERROR(INDEX('02_Debt Engine'!$F$19:$F$35,MATCH($A19,'02_Debt Engine'!$B$19:$B$35,0)),"")</f>
        <v/>
      </c>
      <c r="F19" s="348" t="str">
        <f>IFERROR(INDEX('02_Debt Engine'!$I$19:$I$35,MATCH($A19,'02_Debt Engine'!$B$19:$B$35,0)),"")</f>
        <v/>
      </c>
      <c r="G19" s="348" t="str">
        <f>IFERROR(INDEX('02_Debt Engine'!$F$46:$Z$62,MATCH($A19,'02_Debt Engine'!$B$19:$B$35,0),MATCH(2025,'02_Debt Engine'!$F$45:$Z$45,0)),"")</f>
        <v/>
      </c>
      <c r="H19" s="348" t="str">
        <f>IFERROR(INDEX('02_Debt Engine'!$F$46:$Z$62,MATCH($A19,'02_Debt Engine'!$B$19:$B$35,0),MATCH(2035,'02_Debt Engine'!$F$45:$Z$45,0)),"")</f>
        <v/>
      </c>
      <c r="I19" s="348" t="str">
        <f>IFERROR(INDEX('02_Debt Engine'!$F$74:$Z$90,MATCH($A19,'02_Debt Engine'!$B$74:$B$90,0),MATCH(2025,'02_Debt Engine'!$F$73:$Z$73,0)),"")</f>
        <v/>
      </c>
      <c r="J19" s="348" t="str">
        <f>IFERROR(INDEX('02_Debt Engine'!$F$74:$Z$90,MATCH($A19,'02_Debt Engine'!$B$74:$B$90,0),MATCH(2035,'02_Debt Engine'!$F$73:$Z$73,0)),"")</f>
        <v/>
      </c>
      <c r="K19" s="348">
        <f t="shared" ca="1" si="0"/>
        <v>0</v>
      </c>
      <c r="L19" s="348" t="str">
        <f t="shared" ca="1" si="1"/>
        <v>Ready</v>
      </c>
      <c r="M19" t="s">
        <v>1405</v>
      </c>
    </row>
    <row r="20" spans="1:13">
      <c r="A20" s="348" t="str">
        <f>DATA_PROPERTY_MASTER!A20</f>
        <v>BLD_PM</v>
      </c>
      <c r="B20" s="348" t="str">
        <f>DATA_PROPERTY_MASTER!B20</f>
        <v>The Creek, Port Moody</v>
      </c>
      <c r="C20" s="348" t="str">
        <f>DATA_PROPERTY_MASTER!E20</f>
        <v>Yes</v>
      </c>
      <c r="D20" s="348" t="str">
        <f>DATA_PROPERTY_MASTER!L20</f>
        <v>CMHC</v>
      </c>
      <c r="E20" s="348" t="str">
        <f>IFERROR(INDEX('02_Debt Engine'!$F$19:$F$35,MATCH($A20,'02_Debt Engine'!$B$19:$B$35,0)),"")</f>
        <v/>
      </c>
      <c r="F20" s="348" t="str">
        <f>IFERROR(INDEX('02_Debt Engine'!$I$19:$I$35,MATCH($A20,'02_Debt Engine'!$B$19:$B$35,0)),"")</f>
        <v/>
      </c>
      <c r="G20" s="348" t="str">
        <f>IFERROR(INDEX('02_Debt Engine'!$F$46:$Z$62,MATCH($A20,'02_Debt Engine'!$B$19:$B$35,0),MATCH(2025,'02_Debt Engine'!$F$45:$Z$45,0)),"")</f>
        <v/>
      </c>
      <c r="H20" s="348" t="str">
        <f>IFERROR(INDEX('02_Debt Engine'!$F$46:$Z$62,MATCH($A20,'02_Debt Engine'!$B$19:$B$35,0),MATCH(2035,'02_Debt Engine'!$F$45:$Z$45,0)),"")</f>
        <v/>
      </c>
      <c r="I20" s="348" t="str">
        <f>IFERROR(INDEX('02_Debt Engine'!$F$74:$Z$90,MATCH($A20,'02_Debt Engine'!$B$74:$B$90,0),MATCH(2025,'02_Debt Engine'!$F$73:$Z$73,0)),"")</f>
        <v/>
      </c>
      <c r="J20" s="348" t="str">
        <f>IFERROR(INDEX('02_Debt Engine'!$F$74:$Z$90,MATCH($A20,'02_Debt Engine'!$B$74:$B$90,0),MATCH(2035,'02_Debt Engine'!$F$73:$Z$73,0)),"")</f>
        <v/>
      </c>
      <c r="K20" s="348">
        <f t="shared" ca="1" si="0"/>
        <v>0</v>
      </c>
      <c r="L20" s="348" t="str">
        <f t="shared" ca="1" si="1"/>
        <v>Ready</v>
      </c>
      <c r="M20" t="s">
        <v>1405</v>
      </c>
    </row>
    <row r="21" spans="1:13">
      <c r="A21" s="348" t="str">
        <f>DATA_PROPERTY_MASTER!A21</f>
        <v>BLD_CD</v>
      </c>
      <c r="B21" s="348" t="str">
        <f>DATA_PROPERTY_MASTER!B21</f>
        <v>800 Commercial Drive</v>
      </c>
      <c r="C21" s="348" t="str">
        <f>DATA_PROPERTY_MASTER!E21</f>
        <v>Yes</v>
      </c>
      <c r="D21" s="348" t="str">
        <f>DATA_PROPERTY_MASTER!L21</f>
        <v>BCH CHF</v>
      </c>
      <c r="E21" s="348" t="str">
        <f>IFERROR(INDEX('02_Debt Engine'!$F$19:$F$35,MATCH($A21,'02_Debt Engine'!$B$19:$B$35,0)),"")</f>
        <v/>
      </c>
      <c r="F21" s="348" t="str">
        <f>IFERROR(INDEX('02_Debt Engine'!$I$19:$I$35,MATCH($A21,'02_Debt Engine'!$B$19:$B$35,0)),"")</f>
        <v/>
      </c>
      <c r="G21" s="348" t="str">
        <f>IFERROR(INDEX('02_Debt Engine'!$F$46:$Z$62,MATCH($A21,'02_Debt Engine'!$B$19:$B$35,0),MATCH(2025,'02_Debt Engine'!$F$45:$Z$45,0)),"")</f>
        <v/>
      </c>
      <c r="H21" s="348" t="str">
        <f>IFERROR(INDEX('02_Debt Engine'!$F$46:$Z$62,MATCH($A21,'02_Debt Engine'!$B$19:$B$35,0),MATCH(2035,'02_Debt Engine'!$F$45:$Z$45,0)),"")</f>
        <v/>
      </c>
      <c r="I21" s="348" t="str">
        <f>IFERROR(INDEX('02_Debt Engine'!$F$74:$Z$90,MATCH($A21,'02_Debt Engine'!$B$74:$B$90,0),MATCH(2025,'02_Debt Engine'!$F$73:$Z$73,0)),"")</f>
        <v/>
      </c>
      <c r="J21" s="348" t="str">
        <f>IFERROR(INDEX('02_Debt Engine'!$F$74:$Z$90,MATCH($A21,'02_Debt Engine'!$B$74:$B$90,0),MATCH(2035,'02_Debt Engine'!$F$73:$Z$73,0)),"")</f>
        <v/>
      </c>
      <c r="K21" s="348">
        <f t="shared" ca="1" si="0"/>
        <v>0</v>
      </c>
      <c r="L21" s="348" t="str">
        <f t="shared" ca="1" si="1"/>
        <v>Ready</v>
      </c>
      <c r="M21" t="s">
        <v>1405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0ED90-071D-4F4B-BF08-A3B3C5F28930}">
  <sheetPr>
    <tabColor rgb="FF7C3AED"/>
  </sheetPr>
  <dimension ref="A1:AB100"/>
  <sheetViews>
    <sheetView workbookViewId="0">
      <pane ySplit="4" topLeftCell="A5" activePane="bottomLeft" state="frozen"/>
      <selection pane="bottomLeft" activeCell="W26" sqref="W26"/>
    </sheetView>
  </sheetViews>
  <sheetFormatPr defaultRowHeight="15"/>
  <cols>
    <col min="1" max="1" width="29.42578125" customWidth="1"/>
    <col min="23" max="23" width="12" customWidth="1"/>
    <col min="27" max="27" width="22" customWidth="1"/>
    <col min="28" max="28" width="28" customWidth="1"/>
  </cols>
  <sheetData>
    <row r="1" spans="1:28" ht="60.75" customHeight="1">
      <c r="A1" s="365" t="s">
        <v>1361</v>
      </c>
      <c r="B1" s="186"/>
      <c r="C1" s="186"/>
      <c r="D1" s="186"/>
      <c r="E1" s="186"/>
      <c r="F1" s="186"/>
      <c r="G1" s="186"/>
      <c r="H1" s="186"/>
      <c r="I1" s="186"/>
      <c r="J1" s="186"/>
      <c r="K1" s="186"/>
      <c r="L1" s="186"/>
      <c r="M1" s="186"/>
      <c r="N1" s="186"/>
      <c r="O1" s="186"/>
      <c r="P1" s="186"/>
      <c r="Q1" s="186"/>
      <c r="R1" s="186"/>
      <c r="S1" s="186"/>
      <c r="T1" s="186"/>
      <c r="U1" s="186"/>
      <c r="V1" s="186"/>
      <c r="W1" s="186"/>
      <c r="X1" s="186"/>
      <c r="Y1" s="186"/>
      <c r="Z1" s="186"/>
    </row>
    <row r="2" spans="1:28" ht="60" customHeight="1">
      <c r="A2" s="187" t="s">
        <v>1362</v>
      </c>
      <c r="B2" s="188"/>
      <c r="C2" s="188"/>
      <c r="D2" s="188"/>
      <c r="E2" s="188"/>
      <c r="F2" s="188"/>
      <c r="G2" s="188"/>
      <c r="H2" s="188"/>
      <c r="I2" s="188"/>
      <c r="J2" s="188"/>
      <c r="K2" s="188"/>
      <c r="L2" s="188"/>
      <c r="M2" s="188"/>
      <c r="N2" s="188"/>
      <c r="O2" s="188"/>
      <c r="P2" s="188"/>
      <c r="Q2" s="188"/>
      <c r="R2" s="188"/>
      <c r="S2" s="188"/>
      <c r="T2" s="188"/>
      <c r="U2" s="188"/>
      <c r="V2" s="188"/>
      <c r="W2" s="188"/>
      <c r="X2" s="188"/>
      <c r="Y2" s="188"/>
      <c r="Z2" s="188"/>
    </row>
    <row r="3" spans="1:28" ht="73.5" customHeight="1">
      <c r="A3" s="187" t="s">
        <v>1363</v>
      </c>
      <c r="B3" s="188"/>
      <c r="C3" s="188"/>
      <c r="D3" s="188"/>
      <c r="E3" s="188"/>
      <c r="F3" s="188"/>
      <c r="G3" s="188"/>
      <c r="H3" s="188"/>
      <c r="I3" s="188"/>
      <c r="J3" s="188"/>
      <c r="K3" s="188"/>
      <c r="L3" s="188"/>
      <c r="M3" s="188"/>
      <c r="N3" s="188"/>
      <c r="O3" s="188"/>
      <c r="P3" s="188"/>
      <c r="Q3" s="188"/>
      <c r="R3" s="188"/>
      <c r="S3" s="188"/>
      <c r="T3" s="188"/>
      <c r="U3" s="188"/>
      <c r="V3" s="188"/>
      <c r="W3" s="188"/>
      <c r="X3" s="188"/>
      <c r="Y3" s="188"/>
      <c r="Z3" s="188"/>
    </row>
    <row r="4" spans="1:28" ht="60">
      <c r="A4" s="365" t="s">
        <v>10</v>
      </c>
      <c r="B4" s="365" t="s">
        <v>9</v>
      </c>
      <c r="C4" s="365" t="s">
        <v>1364</v>
      </c>
      <c r="D4" s="365" t="s">
        <v>1365</v>
      </c>
      <c r="E4" s="365" t="s">
        <v>1366</v>
      </c>
      <c r="F4" s="365" t="s">
        <v>1367</v>
      </c>
      <c r="G4" s="189"/>
      <c r="H4" s="189"/>
      <c r="I4" s="189"/>
      <c r="J4" s="189"/>
      <c r="K4" s="189"/>
      <c r="L4" s="189"/>
      <c r="M4" s="189"/>
      <c r="N4" s="189"/>
      <c r="O4" s="189"/>
      <c r="P4" s="189"/>
      <c r="Q4" s="189"/>
      <c r="R4" s="189"/>
      <c r="S4" s="189"/>
      <c r="T4" s="189"/>
      <c r="U4" s="189"/>
      <c r="V4" s="189"/>
      <c r="W4" s="189"/>
      <c r="X4" s="189"/>
      <c r="Y4" s="189"/>
      <c r="Z4" s="189"/>
    </row>
    <row r="5" spans="1:28" ht="105">
      <c r="A5" s="365">
        <f>'00_PORTFOLIO ROLLUP'!$E$4</f>
        <v>2035</v>
      </c>
      <c r="B5" s="365">
        <f>'00_MODEL_CONTROL'!$B$31</f>
        <v>2026</v>
      </c>
      <c r="C5" s="367">
        <f>'00_PORTFOLIO SUMMARY'!$I$5</f>
        <v>0</v>
      </c>
      <c r="D5" s="368">
        <f>'00_PORTFOLIO SUMMARY'!$G$5</f>
        <v>1</v>
      </c>
      <c r="E5" s="365">
        <v>2</v>
      </c>
      <c r="F5" s="365" t="s">
        <v>1368</v>
      </c>
      <c r="G5" s="189"/>
      <c r="H5" s="189"/>
      <c r="I5" s="189"/>
      <c r="J5" s="189"/>
      <c r="K5" s="189"/>
      <c r="L5" s="189"/>
      <c r="M5" s="189"/>
      <c r="N5" s="189"/>
      <c r="O5" s="189"/>
      <c r="P5" s="189"/>
      <c r="Q5" s="189"/>
      <c r="R5" s="189"/>
      <c r="S5" s="189"/>
      <c r="T5" s="189"/>
      <c r="U5" s="189"/>
      <c r="V5" s="189"/>
      <c r="W5" s="189"/>
      <c r="X5" s="189"/>
      <c r="Y5" s="189"/>
      <c r="Z5" s="189"/>
    </row>
    <row r="6" spans="1:28">
      <c r="A6" s="189"/>
      <c r="B6" s="189"/>
      <c r="C6" s="189"/>
      <c r="D6" s="189"/>
      <c r="E6" s="189"/>
      <c r="F6" s="189"/>
      <c r="G6" s="189"/>
      <c r="H6" s="189"/>
      <c r="I6" s="189"/>
      <c r="J6" s="189"/>
      <c r="K6" s="189"/>
      <c r="L6" s="189"/>
      <c r="M6" s="189"/>
      <c r="N6" s="189"/>
      <c r="O6" s="189"/>
      <c r="P6" s="189"/>
      <c r="Q6" s="189"/>
      <c r="R6" s="189"/>
      <c r="S6" s="189"/>
      <c r="T6" s="189"/>
      <c r="U6" s="189"/>
      <c r="V6" s="189"/>
      <c r="W6" s="189"/>
      <c r="X6" s="189"/>
      <c r="Y6" s="189"/>
      <c r="Z6" s="189"/>
    </row>
    <row r="7" spans="1:28" ht="60">
      <c r="A7" s="365" t="s">
        <v>1263</v>
      </c>
      <c r="B7" s="365" t="s">
        <v>1269</v>
      </c>
      <c r="C7" s="365" t="s">
        <v>87</v>
      </c>
      <c r="D7" s="365" t="s">
        <v>1369</v>
      </c>
      <c r="E7" s="365" t="s">
        <v>49</v>
      </c>
      <c r="F7" s="365" t="s">
        <v>1370</v>
      </c>
      <c r="G7" s="365" t="s">
        <v>1371</v>
      </c>
      <c r="H7" s="365" t="s">
        <v>1372</v>
      </c>
      <c r="I7" s="365" t="s">
        <v>1373</v>
      </c>
      <c r="J7" s="365" t="s">
        <v>1374</v>
      </c>
      <c r="K7" s="365" t="s">
        <v>1375</v>
      </c>
      <c r="L7" s="365" t="s">
        <v>1376</v>
      </c>
      <c r="M7" s="365" t="s">
        <v>1377</v>
      </c>
      <c r="N7" s="365" t="s">
        <v>1378</v>
      </c>
      <c r="O7" s="365" t="s">
        <v>1379</v>
      </c>
      <c r="P7" s="365" t="s">
        <v>1380</v>
      </c>
      <c r="Q7" s="365" t="s">
        <v>1381</v>
      </c>
      <c r="R7" s="365" t="s">
        <v>1382</v>
      </c>
      <c r="S7" s="365" t="s">
        <v>1383</v>
      </c>
      <c r="T7" s="365" t="s">
        <v>1384</v>
      </c>
      <c r="U7" s="365" t="s">
        <v>47</v>
      </c>
      <c r="V7" s="365" t="s">
        <v>1385</v>
      </c>
      <c r="W7" s="365" t="s">
        <v>1386</v>
      </c>
      <c r="X7" s="365" t="s">
        <v>1387</v>
      </c>
      <c r="Y7" s="365" t="s">
        <v>1388</v>
      </c>
      <c r="Z7" s="365" t="s">
        <v>1389</v>
      </c>
      <c r="AA7" s="365" t="s">
        <v>47</v>
      </c>
      <c r="AB7" s="365" t="s">
        <v>1353</v>
      </c>
    </row>
    <row r="8" spans="1:28" ht="150">
      <c r="A8" s="369" t="str">
        <f>'01_Property Summary'!$B$5</f>
        <v>BLD_AB</v>
      </c>
      <c r="B8" s="369" t="str">
        <f>'01_Property Summary'!$C$5</f>
        <v>Alma Blackwell</v>
      </c>
      <c r="C8" s="370" t="str">
        <f>IFERROR(INDEX('00_MODEL_CONTROL'!$E$5:$E$21,MATCH($A8,'00_MODEL_CONTROL'!$A$5:$A$21,0)),"Review")</f>
        <v>No</v>
      </c>
      <c r="D8" s="369" t="str">
        <f>IFERROR(INDEX('01_Property Summary'!$G$5:$G$21,MATCH($A8,'01_Property Summary'!$B$5:$B$21,0)),"")</f>
        <v>Active</v>
      </c>
      <c r="E8" s="369">
        <f>IFERROR(INDEX('01_Property Summary'!$S$5:$S$21,MATCH($A8,'01_Property Summary'!$B$5:$B$21,0)),"")</f>
        <v>46</v>
      </c>
      <c r="F8" s="369">
        <f>IFERROR(INDEX('01_Property Summary'!$F$5:$F$21,MATCH($A8,'01_Property Summary'!$B$5:$B$21,0)),"")</f>
        <v>2025</v>
      </c>
      <c r="G8" s="369">
        <f>IFERROR(INDEX('01_Property Summary'!$K$5:$K$21,MATCH($A8,'01_Property Summary'!$B$5:$B$21,0)),"")</f>
        <v>2027</v>
      </c>
      <c r="H8" s="369">
        <f>IFERROR(INDEX('02_Debt Engine'!$I$19:$I$35,MATCH($B8,'02_Debt Engine'!$B$19:$B$35,0)),"")</f>
        <v>1900</v>
      </c>
      <c r="I8" s="369" t="str">
        <f>IFERROR(INDEX('02_Debt Engine'!$F$19:$F$35,MATCH($B8,'02_Debt Engine'!$B$19:$B$35,0)),"")</f>
        <v>No</v>
      </c>
      <c r="J8" s="369">
        <f t="shared" ref="J8:J24" si="0">$A$5</f>
        <v>2035</v>
      </c>
      <c r="K8" s="371">
        <f t="shared" ref="K8:K24" ca="1" si="1">IFERROR(INDEX(INDIRECT("'"&amp;$A8&amp;"'!$E$41:$Y$41"),1,MATCH($J8,INDIRECT("'"&amp;$A8&amp;"'!$E$12:$Y$12"),0)),"")</f>
        <v>684075.4484884768</v>
      </c>
      <c r="L8" s="371">
        <f t="shared" ref="L8:L24" ca="1" si="2">IFERROR(INDEX(INDIRECT("'"&amp;$A8&amp;"'!$E$52:$Y$52"),1,MATCH($J8,INDIRECT("'"&amp;$A8&amp;"'!$E$12:$Y$12"),0)),"")</f>
        <v>684075.4484884768</v>
      </c>
      <c r="M8" s="372" t="str">
        <f t="shared" ref="M8:M24" ca="1" si="3">IFERROR(INDEX(INDIRECT("'"&amp;$A8&amp;"'!$E$50:$Y$50"),1,MATCH($J8,INDIRECT("'"&amp;$A8&amp;"'!$E$12:$Y$12"),0)),"")</f>
        <v/>
      </c>
      <c r="N8" s="371">
        <f t="shared" ref="N8:N24" ca="1" si="4">IFERROR(INDEX(INDIRECT("'"&amp;$A8&amp;"'!$E$48:$Y$48"),1,MATCH($J8,INDIRECT("'"&amp;$A8&amp;"'!$E$12:$Y$12"),0)),"")</f>
        <v>0</v>
      </c>
      <c r="O8" s="370" t="str">
        <f t="shared" ref="O8:O24" ca="1" si="5">IF($K8="","Missing NOI",IF($K8&lt;0,"NOI &lt; 0","OK"))</f>
        <v>OK</v>
      </c>
      <c r="P8" s="370" t="str">
        <f t="shared" ref="P8:P24" ca="1" si="6">IF($L8="","Missing AFFO",IF($L8&lt;$C$5,"AFFO &lt; threshold","OK"))</f>
        <v>OK</v>
      </c>
      <c r="Q8" s="369" t="str">
        <f t="shared" ref="Q8:Q24" ca="1" si="7">IF(OR($M8="",$N8=0),"No/limited debt service",IF($M8&lt;$D$5,"DSCR &lt; threshold","OK"))</f>
        <v>No/limited debt service</v>
      </c>
      <c r="R8" s="369" t="str">
        <f t="shared" ref="R8:R24" si="8">IF(OR($I8="Yes",AND(ISNUMBER($H8),$H8&gt;=$B$5,$H8&lt;=($B$5+$E$5))),"Refi/Maturity Watch","OK")</f>
        <v>OK</v>
      </c>
      <c r="S8" s="369" t="str">
        <f t="shared" ref="S8:S24" si="9">IF($C8="No","Excluded",IF($D8="New Dev","New Build",IF(OR($O8&lt;&gt;"OK",$P8&lt;&gt;"OK",$Q8="DSCR &lt; threshold"),"Workout",IF($R8&lt;&gt;"OK","Refi Watch","Stable"))))</f>
        <v>Excluded</v>
      </c>
      <c r="T8" s="346"/>
      <c r="U8" s="369" t="str">
        <f t="shared" ref="U8:U24" si="10">IF($T8&lt;&gt;"",$T8,$S8)</f>
        <v>Excluded</v>
      </c>
      <c r="V8" s="369" t="str">
        <f>IF($U8="Excluded","Excluded from rollup scope",IF($U8="New Build","Development / future stabilized asset",IF($U8="Workout",_xludf.TEXTJOIN("; ",TRUE,IF($O8&lt;&gt;"OK",$O8,""),IF($P8&lt;&gt;"OK",$P8,""),IF($Q8="DSCR &lt; threshold",$Q8,"")),IF($U8="Refi Watch",$R8,"Meets classification rules at test year"))))</f>
        <v>Excluded from rollup scope</v>
      </c>
      <c r="W8" s="370" t="str">
        <f t="shared" ref="W8:W17" si="11">_xlfn.SWITCH($U8,"Excluded","Keep out of investor-facing portfolio outputs unless scope changes.","New Build","Track construction debt, takeout debt, opening NOI, and residual capital gap separately.","Workout","Prepare separate intervention plan: subsidy, redevelopment, restructure, or disposition analysis.","Refi Watch","Review maturity/refinance pathway before capital-readiness conclusion.","Stable","Use as operating support asset in portfolio thesis.","Review classification.")</f>
        <v>Keep out of investor-facing portfolio outputs unless scope changes.</v>
      </c>
      <c r="X8" s="370" t="str">
        <f t="shared" ref="X8:X24" ca="1" si="12">IF(AND($T8&lt;&gt;"",$Y8=""),"Missing override reason",IF(OR($A8="",$B8="",$C8="Review",$K8="",$L8=""),"Review","OK"))</f>
        <v>OK</v>
      </c>
      <c r="Y8" s="346"/>
      <c r="Z8" s="370" t="str">
        <f t="shared" ref="Z8:Z24" si="13">IF(AND($T8&lt;&gt;"",$Y8=""),"Manual override missing reason",IF($T8&lt;&gt;"","Manual override; see Override Reason","Formula-linked to Property Summary, Debt Engine, BLD_* tabs, and Model Control"))</f>
        <v>Formula-linked to Property Summary, Debt Engine, BLD_* tabs, and Model Control</v>
      </c>
      <c r="AA8" s="190" t="s">
        <v>58</v>
      </c>
      <c r="AB8" s="190" t="s">
        <v>1390</v>
      </c>
    </row>
    <row r="9" spans="1:28" ht="150">
      <c r="A9" s="369" t="str">
        <f>'01_Property Summary'!$B$6</f>
        <v>BLD_AC</v>
      </c>
      <c r="B9" s="369" t="str">
        <f>'01_Property Summary'!$C$6</f>
        <v>Antkiw Court</v>
      </c>
      <c r="C9" s="370" t="str">
        <f>IFERROR(INDEX('00_MODEL_CONTROL'!$E$5:$E$21,MATCH($A9,'00_MODEL_CONTROL'!$A$5:$A$21,0)),"Review")</f>
        <v>Yes</v>
      </c>
      <c r="D9" s="369" t="str">
        <f>IFERROR(INDEX('01_Property Summary'!$G$5:$G$21,MATCH($A9,'01_Property Summary'!$B$5:$B$21,0)),"")</f>
        <v>Active</v>
      </c>
      <c r="E9" s="369">
        <f>IFERROR(INDEX('01_Property Summary'!$S$5:$S$21,MATCH($A9,'01_Property Summary'!$B$5:$B$21,0)),"")</f>
        <v>21</v>
      </c>
      <c r="F9" s="369">
        <f>IFERROR(INDEX('01_Property Summary'!$F$5:$F$21,MATCH($A9,'01_Property Summary'!$B$5:$B$21,0)),"")</f>
        <v>2025</v>
      </c>
      <c r="G9" s="369">
        <f>IFERROR(INDEX('01_Property Summary'!$K$5:$K$21,MATCH($A9,'01_Property Summary'!$B$5:$B$21,0)),"")</f>
        <v>2028</v>
      </c>
      <c r="H9" s="369">
        <f>IFERROR(INDEX('02_Debt Engine'!$I$19:$I$35,MATCH($B9,'02_Debt Engine'!$B$19:$B$35,0)),"")</f>
        <v>2035</v>
      </c>
      <c r="I9" s="369" t="str">
        <f>IFERROR(INDEX('02_Debt Engine'!$F$19:$F$35,MATCH($B9,'02_Debt Engine'!$B$19:$B$35,0)),"")</f>
        <v>No</v>
      </c>
      <c r="J9" s="369">
        <f t="shared" si="0"/>
        <v>2035</v>
      </c>
      <c r="K9" s="371">
        <f t="shared" ca="1" si="1"/>
        <v>248807.85485742081</v>
      </c>
      <c r="L9" s="371">
        <f t="shared" ca="1" si="2"/>
        <v>194477.73485742082</v>
      </c>
      <c r="M9" s="372">
        <f t="shared" ca="1" si="3"/>
        <v>4.5795565122517825</v>
      </c>
      <c r="N9" s="371">
        <f t="shared" ca="1" si="4"/>
        <v>54330.12</v>
      </c>
      <c r="O9" s="370" t="str">
        <f t="shared" ca="1" si="5"/>
        <v>OK</v>
      </c>
      <c r="P9" s="370" t="str">
        <f t="shared" ca="1" si="6"/>
        <v>OK</v>
      </c>
      <c r="Q9" s="369" t="str">
        <f t="shared" ca="1" si="7"/>
        <v>OK</v>
      </c>
      <c r="R9" s="369" t="str">
        <f t="shared" si="8"/>
        <v>OK</v>
      </c>
      <c r="S9" s="369" t="str">
        <f t="shared" ca="1" si="9"/>
        <v>Stable</v>
      </c>
      <c r="T9" s="346"/>
      <c r="U9" s="369" t="str">
        <f t="shared" ca="1" si="10"/>
        <v>Stable</v>
      </c>
      <c r="V9" s="369" t="str">
        <f ca="1">IF($U9="Excluded","Excluded from rollup scope",IF($U9="New Build","Development / future stabilized asset",IF($U9="Workout",_xludf.TEXTJOIN("; ",TRUE,IF($O9&lt;&gt;"OK",$O9,""),IF($P9&lt;&gt;"OK",$P9,""),IF($Q9="DSCR &lt; threshold",$Q9,"")),IF($U9="Refi Watch",$R9,"Meets classification rules at test year"))))</f>
        <v>Meets classification rules at test year</v>
      </c>
      <c r="W9" s="370" t="str">
        <f t="shared" ca="1" si="11"/>
        <v>Use as operating support asset in portfolio thesis.</v>
      </c>
      <c r="X9" s="370" t="str">
        <f t="shared" ca="1" si="12"/>
        <v>OK</v>
      </c>
      <c r="Y9" s="346"/>
      <c r="Z9" s="370" t="str">
        <f t="shared" si="13"/>
        <v>Formula-linked to Property Summary, Debt Engine, BLD_* tabs, and Model Control</v>
      </c>
      <c r="AA9" s="190" t="s">
        <v>62</v>
      </c>
      <c r="AB9" s="190" t="s">
        <v>1391</v>
      </c>
    </row>
    <row r="10" spans="1:28" ht="150">
      <c r="A10" s="369" t="str">
        <f>'01_Property Summary'!$B$7</f>
        <v>BLD_BT</v>
      </c>
      <c r="B10" s="369" t="str">
        <f>'01_Property Summary'!$C$7</f>
        <v>Beatrice Terrace</v>
      </c>
      <c r="C10" s="370" t="str">
        <f>IFERROR(INDEX('00_MODEL_CONTROL'!$E$5:$E$21,MATCH($A10,'00_MODEL_CONTROL'!$A$5:$A$21,0)),"Review")</f>
        <v>Yes</v>
      </c>
      <c r="D10" s="369" t="str">
        <f>IFERROR(INDEX('01_Property Summary'!$G$5:$G$21,MATCH($A10,'01_Property Summary'!$B$5:$B$21,0)),"")</f>
        <v>Active</v>
      </c>
      <c r="E10" s="369">
        <f>IFERROR(INDEX('01_Property Summary'!$S$5:$S$21,MATCH($A10,'01_Property Summary'!$B$5:$B$21,0)),"")</f>
        <v>18</v>
      </c>
      <c r="F10" s="369">
        <f>IFERROR(INDEX('01_Property Summary'!$F$5:$F$21,MATCH($A10,'01_Property Summary'!$B$5:$B$21,0)),"")</f>
        <v>2025</v>
      </c>
      <c r="G10" s="369">
        <f>IFERROR(INDEX('01_Property Summary'!$K$5:$K$21,MATCH($A10,'01_Property Summary'!$B$5:$B$21,0)),"")</f>
        <v>2028</v>
      </c>
      <c r="H10" s="369">
        <f>IFERROR(INDEX('02_Debt Engine'!$I$19:$I$35,MATCH($B10,'02_Debt Engine'!$B$19:$B$35,0)),"")</f>
        <v>2035</v>
      </c>
      <c r="I10" s="369" t="str">
        <f>IFERROR(INDEX('02_Debt Engine'!$F$19:$F$35,MATCH($B10,'02_Debt Engine'!$B$19:$B$35,0)),"")</f>
        <v>No</v>
      </c>
      <c r="J10" s="369">
        <f t="shared" si="0"/>
        <v>2035</v>
      </c>
      <c r="K10" s="371">
        <f t="shared" ca="1" si="1"/>
        <v>332046.68923871045</v>
      </c>
      <c r="L10" s="371">
        <f t="shared" ca="1" si="2"/>
        <v>221483.00923871045</v>
      </c>
      <c r="M10" s="372">
        <f t="shared" ca="1" si="3"/>
        <v>3.0032166914009237</v>
      </c>
      <c r="N10" s="371">
        <f t="shared" ca="1" si="4"/>
        <v>110563.68</v>
      </c>
      <c r="O10" s="370" t="str">
        <f t="shared" ca="1" si="5"/>
        <v>OK</v>
      </c>
      <c r="P10" s="370" t="str">
        <f t="shared" ca="1" si="6"/>
        <v>OK</v>
      </c>
      <c r="Q10" s="369" t="str">
        <f t="shared" ca="1" si="7"/>
        <v>OK</v>
      </c>
      <c r="R10" s="369" t="str">
        <f t="shared" si="8"/>
        <v>OK</v>
      </c>
      <c r="S10" s="369" t="str">
        <f t="shared" ca="1" si="9"/>
        <v>Stable</v>
      </c>
      <c r="T10" s="346"/>
      <c r="U10" s="369" t="str">
        <f t="shared" ca="1" si="10"/>
        <v>Stable</v>
      </c>
      <c r="V10" s="369" t="str">
        <f ca="1">IF($U10="Excluded","Excluded from rollup scope",IF($U10="New Build","Development / future stabilized asset",IF($U10="Workout",_xludf.TEXTJOIN("; ",TRUE,IF($O10&lt;&gt;"OK",$O10,""),IF($P10&lt;&gt;"OK",$P10,""),IF($Q10="DSCR &lt; threshold",$Q10,"")),IF($U10="Refi Watch",$R10,"Meets classification rules at test year"))))</f>
        <v>Meets classification rules at test year</v>
      </c>
      <c r="W10" s="370" t="str">
        <f t="shared" ca="1" si="11"/>
        <v>Use as operating support asset in portfolio thesis.</v>
      </c>
      <c r="X10" s="370" t="str">
        <f t="shared" ca="1" si="12"/>
        <v>OK</v>
      </c>
      <c r="Y10" s="346"/>
      <c r="Z10" s="370" t="str">
        <f t="shared" si="13"/>
        <v>Formula-linked to Property Summary, Debt Engine, BLD_* tabs, and Model Control</v>
      </c>
      <c r="AA10" s="190" t="s">
        <v>66</v>
      </c>
      <c r="AB10" s="190" t="s">
        <v>1392</v>
      </c>
    </row>
    <row r="11" spans="1:28" ht="150">
      <c r="A11" s="369" t="str">
        <f>'01_Property Summary'!$B$8</f>
        <v>BLD_CH</v>
      </c>
      <c r="B11" s="369" t="str">
        <f>'01_Property Summary'!$C$8</f>
        <v>Capilano House</v>
      </c>
      <c r="C11" s="370" t="str">
        <f>IFERROR(INDEX('00_MODEL_CONTROL'!$E$5:$E$21,MATCH($A11,'00_MODEL_CONTROL'!$A$5:$A$21,0)),"Review")</f>
        <v>Yes</v>
      </c>
      <c r="D11" s="369" t="str">
        <f>IFERROR(INDEX('01_Property Summary'!$G$5:$G$21,MATCH($A11,'01_Property Summary'!$B$5:$B$21,0)),"")</f>
        <v>Active</v>
      </c>
      <c r="E11" s="369">
        <f>IFERROR(INDEX('01_Property Summary'!$S$5:$S$21,MATCH($A11,'01_Property Summary'!$B$5:$B$21,0)),"")</f>
        <v>64</v>
      </c>
      <c r="F11" s="369">
        <f>IFERROR(INDEX('01_Property Summary'!$F$5:$F$21,MATCH($A11,'01_Property Summary'!$B$5:$B$21,0)),"")</f>
        <v>2025</v>
      </c>
      <c r="G11" s="369">
        <f>IFERROR(INDEX('01_Property Summary'!$K$5:$K$21,MATCH($A11,'01_Property Summary'!$B$5:$B$21,0)),"")</f>
        <v>2027</v>
      </c>
      <c r="H11" s="369">
        <f>IFERROR(INDEX('02_Debt Engine'!$I$19:$I$35,MATCH($B11,'02_Debt Engine'!$B$19:$B$35,0)),"")</f>
        <v>1900</v>
      </c>
      <c r="I11" s="369" t="str">
        <f>IFERROR(INDEX('02_Debt Engine'!$F$19:$F$35,MATCH($B11,'02_Debt Engine'!$B$19:$B$35,0)),"")</f>
        <v>No</v>
      </c>
      <c r="J11" s="369">
        <f t="shared" si="0"/>
        <v>2035</v>
      </c>
      <c r="K11" s="371">
        <f t="shared" ca="1" si="1"/>
        <v>464023.8890525368</v>
      </c>
      <c r="L11" s="371">
        <f t="shared" ca="1" si="2"/>
        <v>464023.8890525368</v>
      </c>
      <c r="M11" s="372" t="str">
        <f t="shared" ca="1" si="3"/>
        <v/>
      </c>
      <c r="N11" s="371">
        <f t="shared" ca="1" si="4"/>
        <v>0</v>
      </c>
      <c r="O11" s="370" t="str">
        <f t="shared" ca="1" si="5"/>
        <v>OK</v>
      </c>
      <c r="P11" s="370" t="str">
        <f t="shared" ca="1" si="6"/>
        <v>OK</v>
      </c>
      <c r="Q11" s="369" t="str">
        <f t="shared" ca="1" si="7"/>
        <v>No/limited debt service</v>
      </c>
      <c r="R11" s="369" t="str">
        <f t="shared" si="8"/>
        <v>OK</v>
      </c>
      <c r="S11" s="369" t="str">
        <f t="shared" ca="1" si="9"/>
        <v>Stable</v>
      </c>
      <c r="T11" s="346"/>
      <c r="U11" s="369" t="str">
        <f t="shared" ca="1" si="10"/>
        <v>Stable</v>
      </c>
      <c r="V11" s="369" t="str">
        <f ca="1">IF($U11="Excluded","Excluded from rollup scope",IF($U11="New Build","Development / future stabilized asset",IF($U11="Workout",_xludf.TEXTJOIN("; ",TRUE,IF($O11&lt;&gt;"OK",$O11,""),IF($P11&lt;&gt;"OK",$P11,""),IF($Q11="DSCR &lt; threshold",$Q11,"")),IF($U11="Refi Watch",$R11,"Meets classification rules at test year"))))</f>
        <v>Meets classification rules at test year</v>
      </c>
      <c r="W11" s="370" t="str">
        <f t="shared" ca="1" si="11"/>
        <v>Use as operating support asset in portfolio thesis.</v>
      </c>
      <c r="X11" s="370" t="str">
        <f t="shared" ca="1" si="12"/>
        <v>OK</v>
      </c>
      <c r="Y11" s="346"/>
      <c r="Z11" s="370" t="str">
        <f t="shared" si="13"/>
        <v>Formula-linked to Property Summary, Debt Engine, BLD_* tabs, and Model Control</v>
      </c>
      <c r="AA11" s="190" t="s">
        <v>70</v>
      </c>
      <c r="AB11" s="190" t="s">
        <v>1392</v>
      </c>
    </row>
    <row r="12" spans="1:28" ht="150">
      <c r="A12" s="369" t="str">
        <f>'01_Property Summary'!$B$9</f>
        <v>BLD_CC</v>
      </c>
      <c r="B12" s="369" t="str">
        <f>'01_Property Summary'!$C$9</f>
        <v>Constance Court</v>
      </c>
      <c r="C12" s="370" t="str">
        <f>IFERROR(INDEX('00_MODEL_CONTROL'!$E$5:$E$21,MATCH($A12,'00_MODEL_CONTROL'!$A$5:$A$21,0)),"Review")</f>
        <v>Yes</v>
      </c>
      <c r="D12" s="369" t="str">
        <f>IFERROR(INDEX('01_Property Summary'!$G$5:$G$21,MATCH($A12,'01_Property Summary'!$B$5:$B$21,0)),"")</f>
        <v>Active</v>
      </c>
      <c r="E12" s="369">
        <f>IFERROR(INDEX('01_Property Summary'!$S$5:$S$21,MATCH($A12,'01_Property Summary'!$B$5:$B$21,0)),"")</f>
        <v>34</v>
      </c>
      <c r="F12" s="369">
        <f>IFERROR(INDEX('01_Property Summary'!$F$5:$F$21,MATCH($A12,'01_Property Summary'!$B$5:$B$21,0)),"")</f>
        <v>2025</v>
      </c>
      <c r="G12" s="369">
        <f>IFERROR(INDEX('01_Property Summary'!$K$5:$K$21,MATCH($A12,'01_Property Summary'!$B$5:$B$21,0)),"")</f>
        <v>2027</v>
      </c>
      <c r="H12" s="369">
        <f>IFERROR(INDEX('02_Debt Engine'!$I$19:$I$35,MATCH($B12,'02_Debt Engine'!$B$19:$B$35,0)),"")</f>
        <v>2027</v>
      </c>
      <c r="I12" s="369" t="str">
        <f>IFERROR(INDEX('02_Debt Engine'!$F$19:$F$35,MATCH($B12,'02_Debt Engine'!$B$19:$B$35,0)),"")</f>
        <v>No</v>
      </c>
      <c r="J12" s="369">
        <f t="shared" si="0"/>
        <v>2035</v>
      </c>
      <c r="K12" s="371">
        <f t="shared" ca="1" si="1"/>
        <v>299556.37128468545</v>
      </c>
      <c r="L12" s="371">
        <f t="shared" ca="1" si="2"/>
        <v>299556.37128468545</v>
      </c>
      <c r="M12" s="372" t="str">
        <f t="shared" ca="1" si="3"/>
        <v/>
      </c>
      <c r="N12" s="371">
        <f t="shared" ca="1" si="4"/>
        <v>0</v>
      </c>
      <c r="O12" s="370" t="str">
        <f t="shared" ca="1" si="5"/>
        <v>OK</v>
      </c>
      <c r="P12" s="370" t="str">
        <f t="shared" ca="1" si="6"/>
        <v>OK</v>
      </c>
      <c r="Q12" s="369" t="str">
        <f t="shared" ca="1" si="7"/>
        <v>No/limited debt service</v>
      </c>
      <c r="R12" s="369" t="str">
        <f t="shared" si="8"/>
        <v>Refi/Maturity Watch</v>
      </c>
      <c r="S12" s="369" t="str">
        <f t="shared" ca="1" si="9"/>
        <v>Refi Watch</v>
      </c>
      <c r="T12" s="346"/>
      <c r="U12" s="369" t="str">
        <f t="shared" ca="1" si="10"/>
        <v>Refi Watch</v>
      </c>
      <c r="V12" s="369" t="str">
        <f ca="1">IF($U12="Excluded","Excluded from rollup scope",IF($U12="New Build","Development / future stabilized asset",IF($U12="Workout",_xludf.TEXTJOIN("; ",TRUE,IF($O12&lt;&gt;"OK",$O12,""),IF($P12&lt;&gt;"OK",$P12,""),IF($Q12="DSCR &lt; threshold",$Q12,"")),IF($U12="Refi Watch",$R12,"Meets classification rules at test year"))))</f>
        <v>Refi/Maturity Watch</v>
      </c>
      <c r="W12" s="370" t="str">
        <f t="shared" ca="1" si="11"/>
        <v>Review maturity/refinance pathway before capital-readiness conclusion.</v>
      </c>
      <c r="X12" s="370" t="str">
        <f t="shared" ca="1" si="12"/>
        <v>OK</v>
      </c>
      <c r="Y12" s="346"/>
      <c r="Z12" s="370" t="str">
        <f t="shared" si="13"/>
        <v>Formula-linked to Property Summary, Debt Engine, BLD_* tabs, and Model Control</v>
      </c>
      <c r="AA12" s="190" t="s">
        <v>74</v>
      </c>
      <c r="AB12" s="190" t="s">
        <v>1393</v>
      </c>
    </row>
    <row r="13" spans="1:28" ht="150">
      <c r="A13" s="369" t="str">
        <f>'01_Property Summary'!$B$10</f>
        <v>BLD_EA</v>
      </c>
      <c r="B13" s="369" t="str">
        <f>'01_Property Summary'!$C$10</f>
        <v>Evergreen Apartments</v>
      </c>
      <c r="C13" s="370" t="str">
        <f>IFERROR(INDEX('00_MODEL_CONTROL'!$E$5:$E$21,MATCH($A13,'00_MODEL_CONTROL'!$A$5:$A$21,0)),"Review")</f>
        <v>Yes</v>
      </c>
      <c r="D13" s="369" t="str">
        <f>IFERROR(INDEX('01_Property Summary'!$G$5:$G$21,MATCH($A13,'01_Property Summary'!$B$5:$B$21,0)),"")</f>
        <v>Active</v>
      </c>
      <c r="E13" s="369">
        <f>IFERROR(INDEX('01_Property Summary'!$S$5:$S$21,MATCH($A13,'01_Property Summary'!$B$5:$B$21,0)),"")</f>
        <v>61</v>
      </c>
      <c r="F13" s="369">
        <f>IFERROR(INDEX('01_Property Summary'!$F$5:$F$21,MATCH($A13,'01_Property Summary'!$B$5:$B$21,0)),"")</f>
        <v>2025</v>
      </c>
      <c r="G13" s="369" t="str">
        <f>IFERROR(INDEX('01_Property Summary'!$K$5:$K$21,MATCH($A13,'01_Property Summary'!$B$5:$B$21,0)),"")</f>
        <v>N/A</v>
      </c>
      <c r="H13" s="369">
        <f>IFERROR(INDEX('02_Debt Engine'!$I$19:$I$35,MATCH($B13,'02_Debt Engine'!$B$19:$B$35,0)),"")</f>
        <v>2034</v>
      </c>
      <c r="I13" s="369" t="str">
        <f>IFERROR(INDEX('02_Debt Engine'!$F$19:$F$35,MATCH($B13,'02_Debt Engine'!$B$19:$B$35,0)),"")</f>
        <v>Yes</v>
      </c>
      <c r="J13" s="369">
        <f t="shared" si="0"/>
        <v>2035</v>
      </c>
      <c r="K13" s="371">
        <f t="shared" ca="1" si="1"/>
        <v>607656.15295219317</v>
      </c>
      <c r="L13" s="371">
        <f t="shared" ca="1" si="2"/>
        <v>210071.07688875857</v>
      </c>
      <c r="M13" s="372">
        <f t="shared" ca="1" si="3"/>
        <v>1.5283676112008837</v>
      </c>
      <c r="N13" s="371">
        <f t="shared" ca="1" si="4"/>
        <v>397585.07606343459</v>
      </c>
      <c r="O13" s="370" t="str">
        <f t="shared" ca="1" si="5"/>
        <v>OK</v>
      </c>
      <c r="P13" s="370" t="str">
        <f t="shared" ca="1" si="6"/>
        <v>OK</v>
      </c>
      <c r="Q13" s="369" t="str">
        <f t="shared" ca="1" si="7"/>
        <v>OK</v>
      </c>
      <c r="R13" s="369" t="str">
        <f t="shared" si="8"/>
        <v>Refi/Maturity Watch</v>
      </c>
      <c r="S13" s="369" t="str">
        <f t="shared" ca="1" si="9"/>
        <v>Refi Watch</v>
      </c>
      <c r="T13" s="346"/>
      <c r="U13" s="369" t="str">
        <f t="shared" ca="1" si="10"/>
        <v>Refi Watch</v>
      </c>
      <c r="V13" s="369" t="str">
        <f ca="1">IF($U13="Excluded","Excluded from rollup scope",IF($U13="New Build","Development / future stabilized asset",IF($U13="Workout",_xludf.TEXTJOIN("; ",TRUE,IF($O13&lt;&gt;"OK",$O13,""),IF($P13&lt;&gt;"OK",$P13,""),IF($Q13="DSCR &lt; threshold",$Q13,"")),IF($U13="Refi Watch",$R13,"Meets classification rules at test year"))))</f>
        <v>Refi/Maturity Watch</v>
      </c>
      <c r="W13" s="370" t="str">
        <f t="shared" ca="1" si="11"/>
        <v>Review maturity/refinance pathway before capital-readiness conclusion.</v>
      </c>
      <c r="X13" s="370" t="str">
        <f t="shared" ca="1" si="12"/>
        <v>OK</v>
      </c>
      <c r="Y13" s="346"/>
      <c r="Z13" s="370" t="str">
        <f t="shared" si="13"/>
        <v>Formula-linked to Property Summary, Debt Engine, BLD_* tabs, and Model Control</v>
      </c>
      <c r="AA13" s="373" t="s">
        <v>1394</v>
      </c>
      <c r="AB13" s="373" t="s">
        <v>1394</v>
      </c>
    </row>
    <row r="14" spans="1:28" ht="150">
      <c r="A14" s="369" t="str">
        <f>'01_Property Summary'!$B$11</f>
        <v>BLD_EE</v>
      </c>
      <c r="B14" s="369" t="str">
        <f>'01_Property Summary'!$C$11</f>
        <v>Evelyn Estates</v>
      </c>
      <c r="C14" s="370" t="str">
        <f>IFERROR(INDEX('00_MODEL_CONTROL'!$E$5:$E$21,MATCH($A14,'00_MODEL_CONTROL'!$A$5:$A$21,0)),"Review")</f>
        <v>Yes</v>
      </c>
      <c r="D14" s="369" t="str">
        <f>IFERROR(INDEX('01_Property Summary'!$G$5:$G$21,MATCH($A14,'01_Property Summary'!$B$5:$B$21,0)),"")</f>
        <v>Active</v>
      </c>
      <c r="E14" s="369">
        <f>IFERROR(INDEX('01_Property Summary'!$S$5:$S$21,MATCH($A14,'01_Property Summary'!$B$5:$B$21,0)),"")</f>
        <v>36</v>
      </c>
      <c r="F14" s="369">
        <f>IFERROR(INDEX('01_Property Summary'!$F$5:$F$21,MATCH($A14,'01_Property Summary'!$B$5:$B$21,0)),"")</f>
        <v>2025</v>
      </c>
      <c r="G14" s="369">
        <f>IFERROR(INDEX('01_Property Summary'!$K$5:$K$21,MATCH($A14,'01_Property Summary'!$B$5:$B$21,0)),"")</f>
        <v>2028</v>
      </c>
      <c r="H14" s="369">
        <f>IFERROR(INDEX('02_Debt Engine'!$I$19:$I$35,MATCH($B14,'02_Debt Engine'!$B$19:$B$35,0)),"")</f>
        <v>2028</v>
      </c>
      <c r="I14" s="369" t="str">
        <f>IFERROR(INDEX('02_Debt Engine'!$F$19:$F$35,MATCH($B14,'02_Debt Engine'!$B$19:$B$35,0)),"")</f>
        <v>No</v>
      </c>
      <c r="J14" s="369">
        <f t="shared" si="0"/>
        <v>2035</v>
      </c>
      <c r="K14" s="371">
        <f t="shared" ca="1" si="1"/>
        <v>296358.482797348</v>
      </c>
      <c r="L14" s="371">
        <f t="shared" ca="1" si="2"/>
        <v>296358.482797348</v>
      </c>
      <c r="M14" s="372" t="str">
        <f t="shared" ca="1" si="3"/>
        <v/>
      </c>
      <c r="N14" s="371">
        <f t="shared" ca="1" si="4"/>
        <v>0</v>
      </c>
      <c r="O14" s="370" t="str">
        <f t="shared" ca="1" si="5"/>
        <v>OK</v>
      </c>
      <c r="P14" s="370" t="str">
        <f t="shared" ca="1" si="6"/>
        <v>OK</v>
      </c>
      <c r="Q14" s="369" t="str">
        <f t="shared" ca="1" si="7"/>
        <v>No/limited debt service</v>
      </c>
      <c r="R14" s="369" t="str">
        <f t="shared" si="8"/>
        <v>Refi/Maturity Watch</v>
      </c>
      <c r="S14" s="369" t="str">
        <f t="shared" ca="1" si="9"/>
        <v>Refi Watch</v>
      </c>
      <c r="T14" s="346"/>
      <c r="U14" s="369" t="str">
        <f t="shared" ca="1" si="10"/>
        <v>Refi Watch</v>
      </c>
      <c r="V14" s="369" t="str">
        <f ca="1">IF($U14="Excluded","Excluded from rollup scope",IF($U14="New Build","Development / future stabilized asset",IF($U14="Workout",_xludf.TEXTJOIN("; ",TRUE,IF($O14&lt;&gt;"OK",$O14,""),IF($P14&lt;&gt;"OK",$P14,""),IF($Q14="DSCR &lt; threshold",$Q14,"")),IF($U14="Refi Watch",$R14,"Meets classification rules at test year"))))</f>
        <v>Refi/Maturity Watch</v>
      </c>
      <c r="W14" s="370" t="str">
        <f t="shared" ca="1" si="11"/>
        <v>Review maturity/refinance pathway before capital-readiness conclusion.</v>
      </c>
      <c r="X14" s="370" t="str">
        <f t="shared" ca="1" si="12"/>
        <v>OK</v>
      </c>
      <c r="Y14" s="346"/>
      <c r="Z14" s="370" t="str">
        <f t="shared" si="13"/>
        <v>Formula-linked to Property Summary, Debt Engine, BLD_* tabs, and Model Control</v>
      </c>
    </row>
    <row r="15" spans="1:28" ht="150">
      <c r="A15" s="369" t="str">
        <f>'01_Property Summary'!$B$12</f>
        <v>BLD_JP</v>
      </c>
      <c r="B15" s="369" t="str">
        <f>'01_Property Summary'!$C$12</f>
        <v>Jessica Place</v>
      </c>
      <c r="C15" s="370" t="str">
        <f>IFERROR(INDEX('00_MODEL_CONTROL'!$E$5:$E$21,MATCH($A15,'00_MODEL_CONTROL'!$A$5:$A$21,0)),"Review")</f>
        <v>Yes</v>
      </c>
      <c r="D15" s="369" t="str">
        <f>IFERROR(INDEX('01_Property Summary'!$G$5:$G$21,MATCH($A15,'01_Property Summary'!$B$5:$B$21,0)),"")</f>
        <v>Active</v>
      </c>
      <c r="E15" s="369">
        <f>IFERROR(INDEX('01_Property Summary'!$S$5:$S$21,MATCH($A15,'01_Property Summary'!$B$5:$B$21,0)),"")</f>
        <v>40</v>
      </c>
      <c r="F15" s="369">
        <f>IFERROR(INDEX('01_Property Summary'!$F$5:$F$21,MATCH($A15,'01_Property Summary'!$B$5:$B$21,0)),"")</f>
        <v>2025</v>
      </c>
      <c r="G15" s="369">
        <f>IFERROR(INDEX('01_Property Summary'!$K$5:$K$21,MATCH($A15,'01_Property Summary'!$B$5:$B$21,0)),"")</f>
        <v>2026</v>
      </c>
      <c r="H15" s="369">
        <f>IFERROR(INDEX('02_Debt Engine'!$I$19:$I$35,MATCH($B15,'02_Debt Engine'!$B$19:$B$35,0)),"")</f>
        <v>2026</v>
      </c>
      <c r="I15" s="369" t="str">
        <f>IFERROR(INDEX('02_Debt Engine'!$F$19:$F$35,MATCH($B15,'02_Debt Engine'!$B$19:$B$35,0)),"")</f>
        <v>No</v>
      </c>
      <c r="J15" s="369">
        <f t="shared" si="0"/>
        <v>2035</v>
      </c>
      <c r="K15" s="371">
        <f t="shared" ca="1" si="1"/>
        <v>227867.1566743998</v>
      </c>
      <c r="L15" s="371">
        <f t="shared" ca="1" si="2"/>
        <v>227867.1566743998</v>
      </c>
      <c r="M15" s="372" t="str">
        <f t="shared" ca="1" si="3"/>
        <v/>
      </c>
      <c r="N15" s="371">
        <f t="shared" ca="1" si="4"/>
        <v>0</v>
      </c>
      <c r="O15" s="370" t="str">
        <f t="shared" ca="1" si="5"/>
        <v>OK</v>
      </c>
      <c r="P15" s="370" t="str">
        <f t="shared" ca="1" si="6"/>
        <v>OK</v>
      </c>
      <c r="Q15" s="369" t="str">
        <f t="shared" ca="1" si="7"/>
        <v>No/limited debt service</v>
      </c>
      <c r="R15" s="369" t="str">
        <f t="shared" si="8"/>
        <v>Refi/Maturity Watch</v>
      </c>
      <c r="S15" s="369" t="str">
        <f t="shared" ca="1" si="9"/>
        <v>Refi Watch</v>
      </c>
      <c r="T15" s="346"/>
      <c r="U15" s="369" t="str">
        <f t="shared" ca="1" si="10"/>
        <v>Refi Watch</v>
      </c>
      <c r="V15" s="369" t="str">
        <f ca="1">IF($U15="Excluded","Excluded from rollup scope",IF($U15="New Build","Development / future stabilized asset",IF($U15="Workout",_xludf.TEXTJOIN("; ",TRUE,IF($O15&lt;&gt;"OK",$O15,""),IF($P15&lt;&gt;"OK",$P15,""),IF($Q15="DSCR &lt; threshold",$Q15,"")),IF($U15="Refi Watch",$R15,"Meets classification rules at test year"))))</f>
        <v>Refi/Maturity Watch</v>
      </c>
      <c r="W15" s="370" t="str">
        <f t="shared" ca="1" si="11"/>
        <v>Review maturity/refinance pathway before capital-readiness conclusion.</v>
      </c>
      <c r="X15" s="370" t="str">
        <f t="shared" ca="1" si="12"/>
        <v>OK</v>
      </c>
      <c r="Y15" s="346"/>
      <c r="Z15" s="370" t="str">
        <f t="shared" si="13"/>
        <v>Formula-linked to Property Summary, Debt Engine, BLD_* tabs, and Model Control</v>
      </c>
    </row>
    <row r="16" spans="1:28" ht="150">
      <c r="A16" s="369" t="str">
        <f>'01_Property Summary'!$B$13</f>
        <v>BLD_MH</v>
      </c>
      <c r="B16" s="369" t="str">
        <f>'01_Property Summary'!$C$13</f>
        <v>Margaret Heights</v>
      </c>
      <c r="C16" s="370" t="str">
        <f>IFERROR(INDEX('00_MODEL_CONTROL'!$E$5:$E$21,MATCH($A16,'00_MODEL_CONTROL'!$A$5:$A$21,0)),"Review")</f>
        <v>Yes</v>
      </c>
      <c r="D16" s="369" t="str">
        <f>IFERROR(INDEX('01_Property Summary'!$G$5:$G$21,MATCH($A16,'01_Property Summary'!$B$5:$B$21,0)),"")</f>
        <v>Active</v>
      </c>
      <c r="E16" s="369">
        <f>IFERROR(INDEX('01_Property Summary'!$S$5:$S$21,MATCH($A16,'01_Property Summary'!$B$5:$B$21,0)),"")</f>
        <v>19</v>
      </c>
      <c r="F16" s="369">
        <f>IFERROR(INDEX('01_Property Summary'!$F$5:$F$21,MATCH($A16,'01_Property Summary'!$B$5:$B$21,0)),"")</f>
        <v>2025</v>
      </c>
      <c r="G16" s="369">
        <f>IFERROR(INDEX('01_Property Summary'!$K$5:$K$21,MATCH($A16,'01_Property Summary'!$B$5:$B$21,0)),"")</f>
        <v>2026</v>
      </c>
      <c r="H16" s="369">
        <f>IFERROR(INDEX('02_Debt Engine'!$I$19:$I$35,MATCH($B16,'02_Debt Engine'!$B$19:$B$35,0)),"")</f>
        <v>2026</v>
      </c>
      <c r="I16" s="369" t="str">
        <f>IFERROR(INDEX('02_Debt Engine'!$F$19:$F$35,MATCH($B16,'02_Debt Engine'!$B$19:$B$35,0)),"")</f>
        <v>No</v>
      </c>
      <c r="J16" s="369">
        <f t="shared" si="0"/>
        <v>2035</v>
      </c>
      <c r="K16" s="371">
        <f t="shared" ca="1" si="1"/>
        <v>212338.09090923046</v>
      </c>
      <c r="L16" s="371">
        <f t="shared" ca="1" si="2"/>
        <v>212338.09090923046</v>
      </c>
      <c r="M16" s="372" t="str">
        <f t="shared" ca="1" si="3"/>
        <v/>
      </c>
      <c r="N16" s="371">
        <f t="shared" ca="1" si="4"/>
        <v>0</v>
      </c>
      <c r="O16" s="370" t="str">
        <f t="shared" ca="1" si="5"/>
        <v>OK</v>
      </c>
      <c r="P16" s="370" t="str">
        <f t="shared" ca="1" si="6"/>
        <v>OK</v>
      </c>
      <c r="Q16" s="369" t="str">
        <f t="shared" ca="1" si="7"/>
        <v>No/limited debt service</v>
      </c>
      <c r="R16" s="369" t="str">
        <f t="shared" si="8"/>
        <v>Refi/Maturity Watch</v>
      </c>
      <c r="S16" s="369" t="str">
        <f t="shared" ca="1" si="9"/>
        <v>Refi Watch</v>
      </c>
      <c r="T16" s="346"/>
      <c r="U16" s="369" t="str">
        <f t="shared" ca="1" si="10"/>
        <v>Refi Watch</v>
      </c>
      <c r="V16" s="369" t="str">
        <f ca="1">IF($U16="Excluded","Excluded from rollup scope",IF($U16="New Build","Development / future stabilized asset",IF($U16="Workout",_xludf.TEXTJOIN("; ",TRUE,IF($O16&lt;&gt;"OK",$O16,""),IF($P16&lt;&gt;"OK",$P16,""),IF($Q16="DSCR &lt; threshold",$Q16,"")),IF($U16="Refi Watch",$R16,"Meets classification rules at test year"))))</f>
        <v>Refi/Maturity Watch</v>
      </c>
      <c r="W16" s="370" t="str">
        <f t="shared" ca="1" si="11"/>
        <v>Review maturity/refinance pathway before capital-readiness conclusion.</v>
      </c>
      <c r="X16" s="370" t="str">
        <f t="shared" ca="1" si="12"/>
        <v>OK</v>
      </c>
      <c r="Y16" s="346"/>
      <c r="Z16" s="370" t="str">
        <f t="shared" si="13"/>
        <v>Formula-linked to Property Summary, Debt Engine, BLD_* tabs, and Model Control</v>
      </c>
    </row>
    <row r="17" spans="1:26" ht="150">
      <c r="A17" s="369" t="str">
        <f>'01_Property Summary'!$B$14</f>
        <v>BLD_MM</v>
      </c>
      <c r="B17" s="369" t="str">
        <f>'01_Property Summary'!$C$14</f>
        <v>Murray Manor</v>
      </c>
      <c r="C17" s="370" t="str">
        <f>IFERROR(INDEX('00_MODEL_CONTROL'!$E$5:$E$21,MATCH($A17,'00_MODEL_CONTROL'!$A$5:$A$21,0)),"Review")</f>
        <v>Yes</v>
      </c>
      <c r="D17" s="369" t="str">
        <f>IFERROR(INDEX('01_Property Summary'!$G$5:$G$21,MATCH($A17,'01_Property Summary'!$B$5:$B$21,0)),"")</f>
        <v>Active</v>
      </c>
      <c r="E17" s="369">
        <f>IFERROR(INDEX('01_Property Summary'!$S$5:$S$21,MATCH($A17,'01_Property Summary'!$B$5:$B$21,0)),"")</f>
        <v>47</v>
      </c>
      <c r="F17" s="369">
        <f>IFERROR(INDEX('01_Property Summary'!$F$5:$F$21,MATCH($A17,'01_Property Summary'!$B$5:$B$21,0)),"")</f>
        <v>2025</v>
      </c>
      <c r="G17" s="369" t="str">
        <f>IFERROR(INDEX('01_Property Summary'!$K$5:$K$21,MATCH($A17,'01_Property Summary'!$B$5:$B$21,0)),"")</f>
        <v>N/A</v>
      </c>
      <c r="H17" s="369">
        <f>IFERROR(INDEX('02_Debt Engine'!$I$19:$I$35,MATCH($B17,'02_Debt Engine'!$B$19:$B$35,0)),"")</f>
        <v>2034</v>
      </c>
      <c r="I17" s="369" t="str">
        <f>IFERROR(INDEX('02_Debt Engine'!$F$19:$F$35,MATCH($B17,'02_Debt Engine'!$B$19:$B$35,0)),"")</f>
        <v>Yes</v>
      </c>
      <c r="J17" s="369">
        <f t="shared" si="0"/>
        <v>2035</v>
      </c>
      <c r="K17" s="371">
        <f t="shared" ca="1" si="1"/>
        <v>545887.76315408852</v>
      </c>
      <c r="L17" s="371">
        <f t="shared" ca="1" si="2"/>
        <v>189148.73148897861</v>
      </c>
      <c r="M17" s="372">
        <f t="shared" ca="1" si="3"/>
        <v>1.5302159693771402</v>
      </c>
      <c r="N17" s="371">
        <f t="shared" ca="1" si="4"/>
        <v>356739.03166510991</v>
      </c>
      <c r="O17" s="370" t="str">
        <f t="shared" ca="1" si="5"/>
        <v>OK</v>
      </c>
      <c r="P17" s="370" t="str">
        <f t="shared" ca="1" si="6"/>
        <v>OK</v>
      </c>
      <c r="Q17" s="369" t="str">
        <f t="shared" ca="1" si="7"/>
        <v>OK</v>
      </c>
      <c r="R17" s="369" t="str">
        <f t="shared" si="8"/>
        <v>Refi/Maturity Watch</v>
      </c>
      <c r="S17" s="369" t="str">
        <f t="shared" ca="1" si="9"/>
        <v>Refi Watch</v>
      </c>
      <c r="T17" s="346"/>
      <c r="U17" s="369" t="str">
        <f t="shared" ca="1" si="10"/>
        <v>Refi Watch</v>
      </c>
      <c r="V17" s="369" t="str">
        <f ca="1">IF($U17="Excluded","Excluded from rollup scope",IF($U17="New Build","Development / future stabilized asset",IF($U17="Workout",_xludf.TEXTJOIN("; ",TRUE,IF($O17&lt;&gt;"OK",$O17,""),IF($P17&lt;&gt;"OK",$P17,""),IF($Q17="DSCR &lt; threshold",$Q17,"")),IF($U17="Refi Watch",$R17,"Meets classification rules at test year"))))</f>
        <v>Refi/Maturity Watch</v>
      </c>
      <c r="W17" s="370" t="str">
        <f t="shared" ca="1" si="11"/>
        <v>Review maturity/refinance pathway before capital-readiness conclusion.</v>
      </c>
      <c r="X17" s="370" t="str">
        <f t="shared" ca="1" si="12"/>
        <v>OK</v>
      </c>
      <c r="Y17" s="346"/>
      <c r="Z17" s="370" t="str">
        <f t="shared" si="13"/>
        <v>Formula-linked to Property Summary, Debt Engine, BLD_* tabs, and Model Control</v>
      </c>
    </row>
    <row r="18" spans="1:26" ht="150">
      <c r="A18" s="369" t="str">
        <f>'01_Property Summary'!$B$15</f>
        <v>BLD_NT</v>
      </c>
      <c r="B18" s="369" t="str">
        <f>'01_Property Summary'!$C$15</f>
        <v>Natalia Terrace</v>
      </c>
      <c r="C18" s="370" t="str">
        <f>IFERROR(INDEX('00_MODEL_CONTROL'!$E$5:$E$21,MATCH($A18,'00_MODEL_CONTROL'!$A$5:$A$21,0)),"Review")</f>
        <v>Yes</v>
      </c>
      <c r="D18" s="369" t="str">
        <f>IFERROR(INDEX('01_Property Summary'!$G$5:$G$21,MATCH($A18,'01_Property Summary'!$B$5:$B$21,0)),"")</f>
        <v>Active</v>
      </c>
      <c r="E18" s="369">
        <f>IFERROR(INDEX('01_Property Summary'!$S$5:$S$21,MATCH($A18,'01_Property Summary'!$B$5:$B$21,0)),"")</f>
        <v>40</v>
      </c>
      <c r="F18" s="369">
        <f>IFERROR(INDEX('01_Property Summary'!$F$5:$F$21,MATCH($A18,'01_Property Summary'!$B$5:$B$21,0)),"")</f>
        <v>2025</v>
      </c>
      <c r="G18" s="369">
        <f>IFERROR(INDEX('01_Property Summary'!$K$5:$K$21,MATCH($A18,'01_Property Summary'!$B$5:$B$21,0)),"")</f>
        <v>2027</v>
      </c>
      <c r="H18" s="369">
        <f>IFERROR(INDEX('02_Debt Engine'!$I$19:$I$35,MATCH($B18,'02_Debt Engine'!$B$19:$B$35,0)),"")</f>
        <v>2027</v>
      </c>
      <c r="I18" s="369" t="str">
        <f>IFERROR(INDEX('02_Debt Engine'!$F$19:$F$35,MATCH($B18,'02_Debt Engine'!$B$19:$B$35,0)),"")</f>
        <v>No</v>
      </c>
      <c r="J18" s="369">
        <f t="shared" si="0"/>
        <v>2035</v>
      </c>
      <c r="K18" s="371">
        <f t="shared" ca="1" si="1"/>
        <v>461021.65147604427</v>
      </c>
      <c r="L18" s="371">
        <f t="shared" ca="1" si="2"/>
        <v>461021.65147604427</v>
      </c>
      <c r="M18" s="372" t="str">
        <f t="shared" ca="1" si="3"/>
        <v/>
      </c>
      <c r="N18" s="371">
        <f t="shared" ca="1" si="4"/>
        <v>0</v>
      </c>
      <c r="O18" s="370" t="str">
        <f t="shared" ca="1" si="5"/>
        <v>OK</v>
      </c>
      <c r="P18" s="370" t="str">
        <f t="shared" ca="1" si="6"/>
        <v>OK</v>
      </c>
      <c r="Q18" s="369" t="str">
        <f t="shared" ca="1" si="7"/>
        <v>No/limited debt service</v>
      </c>
      <c r="R18" s="369" t="str">
        <f t="shared" si="8"/>
        <v>Refi/Maturity Watch</v>
      </c>
      <c r="S18" s="369" t="str">
        <f t="shared" ca="1" si="9"/>
        <v>Refi Watch</v>
      </c>
      <c r="T18" s="346"/>
      <c r="U18" s="369" t="str">
        <f t="shared" ca="1" si="10"/>
        <v>Refi Watch</v>
      </c>
      <c r="V18" s="369" t="str">
        <f ca="1">IF($U18="Excluded","Excluded from rollup scope",IF($U18="New Build","Development / future stabilized asset",IF($U18="Workout",_xludf.TEXTJOIN("; ",TRUE,IF($O18&lt;&gt;"OK",$O18,""),IF($P18&lt;&gt;"OK",$P18,""),IF($Q18="DSCR &lt; threshold",$Q18,"")),IF($U18="Refi Watch",$R18,"Meets classification rules at test year"))))</f>
        <v>Refi/Maturity Watch</v>
      </c>
      <c r="W18" s="370" t="e">
        <f t="shared" ref="W18" ca="1" si="14">_xludf.SWITCH($U18,"Excluded","Keep out of investor-facing portfolio outputs unless scope changes.","New Build","Track construction debt, takeout debt, opening NOI, and residual capital gap separately.","Workout","Prepare separate intervention plan: subsidy, redevelopment, restructure, or disposition analysis.","Refi Watch","Review maturity/refinance pathway before capital-readiness conclusion.","Stable","Use as operating support asset in portfolio thesis.","Review classification.")</f>
        <v>#NAME?</v>
      </c>
      <c r="X18" s="370" t="str">
        <f t="shared" ca="1" si="12"/>
        <v>OK</v>
      </c>
      <c r="Y18" s="346"/>
      <c r="Z18" s="370" t="str">
        <f t="shared" si="13"/>
        <v>Formula-linked to Property Summary, Debt Engine, BLD_* tabs, and Model Control</v>
      </c>
    </row>
    <row r="19" spans="1:26" ht="150">
      <c r="A19" s="369" t="str">
        <f>'01_Property Summary'!$B$16</f>
        <v>BLD_NG</v>
      </c>
      <c r="B19" s="369" t="str">
        <f>'01_Property Summary'!$C$16</f>
        <v>Newton Green</v>
      </c>
      <c r="C19" s="370" t="str">
        <f>IFERROR(INDEX('00_MODEL_CONTROL'!$E$5:$E$21,MATCH($A19,'00_MODEL_CONTROL'!$A$5:$A$21,0)),"Review")</f>
        <v>Yes</v>
      </c>
      <c r="D19" s="369" t="str">
        <f>IFERROR(INDEX('01_Property Summary'!$G$5:$G$21,MATCH($A19,'01_Property Summary'!$B$5:$B$21,0)),"")</f>
        <v>Active</v>
      </c>
      <c r="E19" s="369">
        <f>IFERROR(INDEX('01_Property Summary'!$S$5:$S$21,MATCH($A19,'01_Property Summary'!$B$5:$B$21,0)),"")</f>
        <v>49</v>
      </c>
      <c r="F19" s="369">
        <f>IFERROR(INDEX('01_Property Summary'!$F$5:$F$21,MATCH($A19,'01_Property Summary'!$B$5:$B$21,0)),"")</f>
        <v>2025</v>
      </c>
      <c r="G19" s="369">
        <f>IFERROR(INDEX('01_Property Summary'!$K$5:$K$21,MATCH($A19,'01_Property Summary'!$B$5:$B$21,0)),"")</f>
        <v>2026</v>
      </c>
      <c r="H19" s="369">
        <f>IFERROR(INDEX('02_Debt Engine'!$I$19:$I$35,MATCH($B19,'02_Debt Engine'!$B$19:$B$35,0)),"")</f>
        <v>2034</v>
      </c>
      <c r="I19" s="369" t="str">
        <f>IFERROR(INDEX('02_Debt Engine'!$F$19:$F$35,MATCH($B19,'02_Debt Engine'!$B$19:$B$35,0)),"")</f>
        <v>Yes</v>
      </c>
      <c r="J19" s="369">
        <f t="shared" si="0"/>
        <v>2035</v>
      </c>
      <c r="K19" s="371">
        <f t="shared" ca="1" si="1"/>
        <v>493534.47966327332</v>
      </c>
      <c r="L19" s="371">
        <f t="shared" ca="1" si="2"/>
        <v>170734.42078578146</v>
      </c>
      <c r="M19" s="372">
        <f t="shared" ca="1" si="3"/>
        <v>1.5289169443757076</v>
      </c>
      <c r="N19" s="371">
        <f t="shared" ca="1" si="4"/>
        <v>322800.05887749186</v>
      </c>
      <c r="O19" s="370" t="str">
        <f t="shared" ca="1" si="5"/>
        <v>OK</v>
      </c>
      <c r="P19" s="370" t="str">
        <f t="shared" ca="1" si="6"/>
        <v>OK</v>
      </c>
      <c r="Q19" s="369" t="str">
        <f t="shared" ca="1" si="7"/>
        <v>OK</v>
      </c>
      <c r="R19" s="369" t="str">
        <f t="shared" si="8"/>
        <v>Refi/Maturity Watch</v>
      </c>
      <c r="S19" s="369" t="str">
        <f t="shared" ca="1" si="9"/>
        <v>Refi Watch</v>
      </c>
      <c r="T19" s="346"/>
      <c r="U19" s="369" t="str">
        <f t="shared" ca="1" si="10"/>
        <v>Refi Watch</v>
      </c>
      <c r="V19" s="369" t="str">
        <f ca="1">IF($U19="Excluded","Excluded from rollup scope",IF($U19="New Build","Development / future stabilized asset",IF($U19="Workout",_xludf.TEXTJOIN("; ",TRUE,IF($O19&lt;&gt;"OK",$O19,""),IF($P19&lt;&gt;"OK",$P19,""),IF($Q19="DSCR &lt; threshold",$Q19,"")),IF($U19="Refi Watch",$R19,"Meets classification rules at test year"))))</f>
        <v>Refi/Maturity Watch</v>
      </c>
      <c r="W19" s="370" t="str">
        <f t="shared" ref="W19:W24" ca="1" si="15">_xlfn.SWITCH($U19,"Excluded","Keep out of investor-facing portfolio outputs unless scope changes.","New Build","Track construction debt, takeout debt, opening NOI, and residual capital gap separately.","Workout","Prepare separate intervention plan: subsidy, redevelopment, restructure, or disposition analysis.","Refi Watch","Review maturity/refinance pathway before capital-readiness conclusion.","Stable","Use as operating support asset in portfolio thesis.","Review classification.")</f>
        <v>Review maturity/refinance pathway before capital-readiness conclusion.</v>
      </c>
      <c r="X19" s="370" t="str">
        <f t="shared" ca="1" si="12"/>
        <v>OK</v>
      </c>
      <c r="Y19" s="346"/>
      <c r="Z19" s="370" t="str">
        <f t="shared" si="13"/>
        <v>Formula-linked to Property Summary, Debt Engine, BLD_* tabs, and Model Control</v>
      </c>
    </row>
    <row r="20" spans="1:26" ht="150">
      <c r="A20" s="369" t="str">
        <f>'01_Property Summary'!$B$17</f>
        <v>BLD_RG</v>
      </c>
      <c r="B20" s="369" t="str">
        <f>'01_Property Summary'!$C$17</f>
        <v>Rosemary Green</v>
      </c>
      <c r="C20" s="370" t="str">
        <f>IFERROR(INDEX('00_MODEL_CONTROL'!$E$5:$E$21,MATCH($A20,'00_MODEL_CONTROL'!$A$5:$A$21,0)),"Review")</f>
        <v>Yes</v>
      </c>
      <c r="D20" s="369" t="str">
        <f>IFERROR(INDEX('01_Property Summary'!$G$5:$G$21,MATCH($A20,'01_Property Summary'!$B$5:$B$21,0)),"")</f>
        <v>Active</v>
      </c>
      <c r="E20" s="369">
        <f>IFERROR(INDEX('01_Property Summary'!$S$5:$S$21,MATCH($A20,'01_Property Summary'!$B$5:$B$21,0)),"")</f>
        <v>38</v>
      </c>
      <c r="F20" s="369">
        <f>IFERROR(INDEX('01_Property Summary'!$F$5:$F$21,MATCH($A20,'01_Property Summary'!$B$5:$B$21,0)),"")</f>
        <v>2025</v>
      </c>
      <c r="G20" s="369">
        <f>IFERROR(INDEX('01_Property Summary'!$K$5:$K$21,MATCH($A20,'01_Property Summary'!$B$5:$B$21,0)),"")</f>
        <v>2054</v>
      </c>
      <c r="H20" s="369">
        <f>IFERROR(INDEX('02_Debt Engine'!$I$19:$I$35,MATCH($B20,'02_Debt Engine'!$B$19:$B$35,0)),"")</f>
        <v>2026</v>
      </c>
      <c r="I20" s="369" t="str">
        <f>IFERROR(INDEX('02_Debt Engine'!$F$19:$F$35,MATCH($B20,'02_Debt Engine'!$B$19:$B$35,0)),"")</f>
        <v>No</v>
      </c>
      <c r="J20" s="369">
        <f t="shared" si="0"/>
        <v>2035</v>
      </c>
      <c r="K20" s="371">
        <f t="shared" ca="1" si="1"/>
        <v>232926.03486308717</v>
      </c>
      <c r="L20" s="371">
        <f t="shared" ca="1" si="2"/>
        <v>232926.03486308717</v>
      </c>
      <c r="M20" s="372" t="str">
        <f t="shared" ca="1" si="3"/>
        <v/>
      </c>
      <c r="N20" s="371">
        <f t="shared" ca="1" si="4"/>
        <v>0</v>
      </c>
      <c r="O20" s="370" t="str">
        <f t="shared" ca="1" si="5"/>
        <v>OK</v>
      </c>
      <c r="P20" s="370" t="str">
        <f t="shared" ca="1" si="6"/>
        <v>OK</v>
      </c>
      <c r="Q20" s="369" t="str">
        <f t="shared" ca="1" si="7"/>
        <v>No/limited debt service</v>
      </c>
      <c r="R20" s="369" t="str">
        <f t="shared" si="8"/>
        <v>Refi/Maturity Watch</v>
      </c>
      <c r="S20" s="369" t="str">
        <f t="shared" ca="1" si="9"/>
        <v>Refi Watch</v>
      </c>
      <c r="T20" s="346"/>
      <c r="U20" s="369" t="str">
        <f t="shared" ca="1" si="10"/>
        <v>Refi Watch</v>
      </c>
      <c r="V20" s="369" t="str">
        <f ca="1">IF($U20="Excluded","Excluded from rollup scope",IF($U20="New Build","Development / future stabilized asset",IF($U20="Workout",_xludf.TEXTJOIN("; ",TRUE,IF($O20&lt;&gt;"OK",$O20,""),IF($P20&lt;&gt;"OK",$P20,""),IF($Q20="DSCR &lt; threshold",$Q20,"")),IF($U20="Refi Watch",$R20,"Meets classification rules at test year"))))</f>
        <v>Refi/Maturity Watch</v>
      </c>
      <c r="W20" s="370" t="str">
        <f t="shared" ca="1" si="15"/>
        <v>Review maturity/refinance pathway before capital-readiness conclusion.</v>
      </c>
      <c r="X20" s="370" t="str">
        <f t="shared" ca="1" si="12"/>
        <v>OK</v>
      </c>
      <c r="Y20" s="346"/>
      <c r="Z20" s="370" t="str">
        <f t="shared" si="13"/>
        <v>Formula-linked to Property Summary, Debt Engine, BLD_* tabs, and Model Control</v>
      </c>
    </row>
    <row r="21" spans="1:26" ht="150">
      <c r="A21" s="369" t="str">
        <f>'01_Property Summary'!$B$18</f>
        <v>BLD_AS</v>
      </c>
      <c r="B21" s="369" t="str">
        <f>'01_Property Summary'!$C$18</f>
        <v>1656 Adanac Street</v>
      </c>
      <c r="C21" s="370" t="str">
        <f>IFERROR(INDEX('00_MODEL_CONTROL'!$E$5:$E$21,MATCH($A21,'00_MODEL_CONTROL'!$A$5:$A$21,0)),"Review")</f>
        <v>Yes</v>
      </c>
      <c r="D21" s="369" t="str">
        <f>IFERROR(INDEX('01_Property Summary'!$G$5:$G$21,MATCH($A21,'01_Property Summary'!$B$5:$B$21,0)),"")</f>
        <v>New Dev</v>
      </c>
      <c r="E21" s="369">
        <f>IFERROR(INDEX('01_Property Summary'!$S$5:$S$21,MATCH($A21,'01_Property Summary'!$B$5:$B$21,0)),"")</f>
        <v>97</v>
      </c>
      <c r="F21" s="369">
        <f>IFERROR(INDEX('01_Property Summary'!$F$5:$F$21,MATCH($A21,'01_Property Summary'!$B$5:$B$21,0)),"")</f>
        <v>2028</v>
      </c>
      <c r="G21" s="369">
        <f>IFERROR(INDEX('01_Property Summary'!$K$5:$K$21,MATCH($A21,'01_Property Summary'!$B$5:$B$21,0)),"")</f>
        <v>2058</v>
      </c>
      <c r="H21" s="369">
        <f>IFERROR(INDEX('02_Debt Engine'!$I$19:$I$35,MATCH($B21,'02_Debt Engine'!$B$19:$B$35,0)),"")</f>
        <v>2028</v>
      </c>
      <c r="I21" s="369" t="str">
        <f>IFERROR(INDEX('02_Debt Engine'!$F$19:$F$35,MATCH($B21,'02_Debt Engine'!$B$19:$B$35,0)),"")</f>
        <v>Yes</v>
      </c>
      <c r="J21" s="369">
        <f t="shared" si="0"/>
        <v>2035</v>
      </c>
      <c r="K21" s="371">
        <f t="shared" ca="1" si="1"/>
        <v>1271373.6385599028</v>
      </c>
      <c r="L21" s="371">
        <f t="shared" ca="1" si="2"/>
        <v>465724.1208143374</v>
      </c>
      <c r="M21" s="372">
        <f t="shared" ca="1" si="3"/>
        <v>1.5780728599175047</v>
      </c>
      <c r="N21" s="371">
        <f t="shared" ca="1" si="4"/>
        <v>805649.51774556539</v>
      </c>
      <c r="O21" s="370" t="str">
        <f t="shared" ca="1" si="5"/>
        <v>OK</v>
      </c>
      <c r="P21" s="370" t="str">
        <f t="shared" ca="1" si="6"/>
        <v>OK</v>
      </c>
      <c r="Q21" s="369" t="str">
        <f t="shared" ca="1" si="7"/>
        <v>OK</v>
      </c>
      <c r="R21" s="369" t="str">
        <f t="shared" si="8"/>
        <v>Refi/Maturity Watch</v>
      </c>
      <c r="S21" s="369" t="str">
        <f t="shared" si="9"/>
        <v>New Build</v>
      </c>
      <c r="T21" s="346"/>
      <c r="U21" s="369" t="str">
        <f t="shared" si="10"/>
        <v>New Build</v>
      </c>
      <c r="V21" s="369" t="str">
        <f>IF($U21="Excluded","Excluded from rollup scope",IF($U21="New Build","Development / future stabilized asset",IF($U21="Workout",_xludf.TEXTJOIN("; ",TRUE,IF($O21&lt;&gt;"OK",$O21,""),IF($P21&lt;&gt;"OK",$P21,""),IF($Q21="DSCR &lt; threshold",$Q21,"")),IF($U21="Refi Watch",$R21,"Meets classification rules at test year"))))</f>
        <v>Development / future stabilized asset</v>
      </c>
      <c r="W21" s="370" t="str">
        <f t="shared" si="15"/>
        <v>Track construction debt, takeout debt, opening NOI, and residual capital gap separately.</v>
      </c>
      <c r="X21" s="370" t="str">
        <f t="shared" ca="1" si="12"/>
        <v>OK</v>
      </c>
      <c r="Y21" s="346"/>
      <c r="Z21" s="370" t="str">
        <f t="shared" si="13"/>
        <v>Formula-linked to Property Summary, Debt Engine, BLD_* tabs, and Model Control</v>
      </c>
    </row>
    <row r="22" spans="1:26" ht="150">
      <c r="A22" s="369" t="str">
        <f>'01_Property Summary'!$B$19</f>
        <v>BLD_PS</v>
      </c>
      <c r="B22" s="369" t="str">
        <f>'01_Property Summary'!$C$19</f>
        <v>450 Pacific Street</v>
      </c>
      <c r="C22" s="370" t="str">
        <f>IFERROR(INDEX('00_MODEL_CONTROL'!$E$5:$E$21,MATCH($A22,'00_MODEL_CONTROL'!$A$5:$A$21,0)),"Review")</f>
        <v>Yes</v>
      </c>
      <c r="D22" s="369" t="str">
        <f>IFERROR(INDEX('01_Property Summary'!$G$5:$G$21,MATCH($A22,'01_Property Summary'!$B$5:$B$21,0)),"")</f>
        <v>New Dev</v>
      </c>
      <c r="E22" s="369">
        <f>IFERROR(INDEX('01_Property Summary'!$S$5:$S$21,MATCH($A22,'01_Property Summary'!$B$5:$B$21,0)),"")</f>
        <v>91</v>
      </c>
      <c r="F22" s="369">
        <f>IFERROR(INDEX('01_Property Summary'!$F$5:$F$21,MATCH($A22,'01_Property Summary'!$B$5:$B$21,0)),"")</f>
        <v>2028</v>
      </c>
      <c r="G22" s="369">
        <f>IFERROR(INDEX('01_Property Summary'!$K$5:$K$21,MATCH($A22,'01_Property Summary'!$B$5:$B$21,0)),"")</f>
        <v>2058</v>
      </c>
      <c r="H22" s="369">
        <f>IFERROR(INDEX('02_Debt Engine'!$I$19:$I$35,MATCH($B22,'02_Debt Engine'!$B$19:$B$35,0)),"")</f>
        <v>2028</v>
      </c>
      <c r="I22" s="369" t="str">
        <f>IFERROR(INDEX('02_Debt Engine'!$F$19:$F$35,MATCH($B22,'02_Debt Engine'!$B$19:$B$35,0)),"")</f>
        <v>Yes</v>
      </c>
      <c r="J22" s="369">
        <f t="shared" si="0"/>
        <v>2035</v>
      </c>
      <c r="K22" s="371">
        <f t="shared" ca="1" si="1"/>
        <v>1040004.2261734338</v>
      </c>
      <c r="L22" s="371">
        <f t="shared" ca="1" si="2"/>
        <v>372543.7659993876</v>
      </c>
      <c r="M22" s="372">
        <f t="shared" ca="1" si="3"/>
        <v>1.5581510639630152</v>
      </c>
      <c r="N22" s="371">
        <f t="shared" ca="1" si="4"/>
        <v>667460.46017404622</v>
      </c>
      <c r="O22" s="370" t="str">
        <f t="shared" ca="1" si="5"/>
        <v>OK</v>
      </c>
      <c r="P22" s="370" t="str">
        <f t="shared" ca="1" si="6"/>
        <v>OK</v>
      </c>
      <c r="Q22" s="369" t="str">
        <f t="shared" ca="1" si="7"/>
        <v>OK</v>
      </c>
      <c r="R22" s="369" t="str">
        <f t="shared" si="8"/>
        <v>Refi/Maturity Watch</v>
      </c>
      <c r="S22" s="369" t="str">
        <f t="shared" si="9"/>
        <v>New Build</v>
      </c>
      <c r="T22" s="346"/>
      <c r="U22" s="369" t="str">
        <f t="shared" si="10"/>
        <v>New Build</v>
      </c>
      <c r="V22" s="369" t="str">
        <f>IF($U22="Excluded","Excluded from rollup scope",IF($U22="New Build","Development / future stabilized asset",IF($U22="Workout",_xludf.TEXTJOIN("; ",TRUE,IF($O22&lt;&gt;"OK",$O22,""),IF($P22&lt;&gt;"OK",$P22,""),IF($Q22="DSCR &lt; threshold",$Q22,"")),IF($U22="Refi Watch",$R22,"Meets classification rules at test year"))))</f>
        <v>Development / future stabilized asset</v>
      </c>
      <c r="W22" s="370" t="str">
        <f t="shared" si="15"/>
        <v>Track construction debt, takeout debt, opening NOI, and residual capital gap separately.</v>
      </c>
      <c r="X22" s="370" t="str">
        <f t="shared" ca="1" si="12"/>
        <v>OK</v>
      </c>
      <c r="Y22" s="346"/>
      <c r="Z22" s="370" t="str">
        <f t="shared" si="13"/>
        <v>Formula-linked to Property Summary, Debt Engine, BLD_* tabs, and Model Control</v>
      </c>
    </row>
    <row r="23" spans="1:26" ht="150">
      <c r="A23" s="369" t="str">
        <f>'01_Property Summary'!$B$20</f>
        <v>BLD_PM</v>
      </c>
      <c r="B23" s="369" t="str">
        <f>'01_Property Summary'!$C$20</f>
        <v>The Creek, Port Moody</v>
      </c>
      <c r="C23" s="370" t="str">
        <f>IFERROR(INDEX('00_MODEL_CONTROL'!$E$5:$E$21,MATCH($A23,'00_MODEL_CONTROL'!$A$5:$A$21,0)),"Review")</f>
        <v>Yes</v>
      </c>
      <c r="D23" s="369" t="str">
        <f>IFERROR(INDEX('01_Property Summary'!$G$5:$G$21,MATCH($A23,'01_Property Summary'!$B$5:$B$21,0)),"")</f>
        <v>New Dev</v>
      </c>
      <c r="E23" s="369">
        <f>IFERROR(INDEX('01_Property Summary'!$S$5:$S$21,MATCH($A23,'01_Property Summary'!$B$5:$B$21,0)),"")</f>
        <v>328</v>
      </c>
      <c r="F23" s="369">
        <f>IFERROR(INDEX('01_Property Summary'!$F$5:$F$21,MATCH($A23,'01_Property Summary'!$B$5:$B$21,0)),"")</f>
        <v>2027</v>
      </c>
      <c r="G23" s="369">
        <f>IFERROR(INDEX('01_Property Summary'!$K$5:$K$21,MATCH($A23,'01_Property Summary'!$B$5:$B$21,0)),"")</f>
        <v>2057</v>
      </c>
      <c r="H23" s="369">
        <f>IFERROR(INDEX('02_Debt Engine'!$I$19:$I$35,MATCH($B23,'02_Debt Engine'!$B$19:$B$35,0)),"")</f>
        <v>2027</v>
      </c>
      <c r="I23" s="369" t="str">
        <f>IFERROR(INDEX('02_Debt Engine'!$F$19:$F$35,MATCH($B23,'02_Debt Engine'!$B$19:$B$35,0)),"")</f>
        <v>Yes</v>
      </c>
      <c r="J23" s="369">
        <f t="shared" si="0"/>
        <v>2035</v>
      </c>
      <c r="K23" s="371">
        <f t="shared" ca="1" si="1"/>
        <v>5464901.2281190874</v>
      </c>
      <c r="L23" s="371">
        <f t="shared" ca="1" si="2"/>
        <v>2347927.8412914695</v>
      </c>
      <c r="M23" s="372">
        <f t="shared" ca="1" si="3"/>
        <v>1.7532716997886002</v>
      </c>
      <c r="N23" s="371">
        <f t="shared" ca="1" si="4"/>
        <v>3116973.3868276179</v>
      </c>
      <c r="O23" s="370" t="str">
        <f t="shared" ca="1" si="5"/>
        <v>OK</v>
      </c>
      <c r="P23" s="370" t="str">
        <f t="shared" ca="1" si="6"/>
        <v>OK</v>
      </c>
      <c r="Q23" s="369" t="str">
        <f t="shared" ca="1" si="7"/>
        <v>OK</v>
      </c>
      <c r="R23" s="369" t="str">
        <f t="shared" si="8"/>
        <v>Refi/Maturity Watch</v>
      </c>
      <c r="S23" s="369" t="str">
        <f t="shared" si="9"/>
        <v>New Build</v>
      </c>
      <c r="T23" s="346"/>
      <c r="U23" s="369" t="str">
        <f t="shared" si="10"/>
        <v>New Build</v>
      </c>
      <c r="V23" s="369" t="str">
        <f>IF($U23="Excluded","Excluded from rollup scope",IF($U23="New Build","Development / future stabilized asset",IF($U23="Workout",_xludf.TEXTJOIN("; ",TRUE,IF($O23&lt;&gt;"OK",$O23,""),IF($P23&lt;&gt;"OK",$P23,""),IF($Q23="DSCR &lt; threshold",$Q23,"")),IF($U23="Refi Watch",$R23,"Meets classification rules at test year"))))</f>
        <v>Development / future stabilized asset</v>
      </c>
      <c r="W23" s="370" t="str">
        <f t="shared" si="15"/>
        <v>Track construction debt, takeout debt, opening NOI, and residual capital gap separately.</v>
      </c>
      <c r="X23" s="370" t="str">
        <f t="shared" ca="1" si="12"/>
        <v>OK</v>
      </c>
      <c r="Y23" s="346"/>
      <c r="Z23" s="370" t="str">
        <f t="shared" si="13"/>
        <v>Formula-linked to Property Summary, Debt Engine, BLD_* tabs, and Model Control</v>
      </c>
    </row>
    <row r="24" spans="1:26" ht="150">
      <c r="A24" s="369" t="str">
        <f>'01_Property Summary'!$B$21</f>
        <v>BLD_CD</v>
      </c>
      <c r="B24" s="369" t="str">
        <f>'01_Property Summary'!$C$21</f>
        <v>800 Commercial Drive</v>
      </c>
      <c r="C24" s="370" t="str">
        <f>IFERROR(INDEX('00_MODEL_CONTROL'!$E$5:$E$21,MATCH($A24,'00_MODEL_CONTROL'!$A$5:$A$21,0)),"Review")</f>
        <v>Yes</v>
      </c>
      <c r="D24" s="369" t="str">
        <f>IFERROR(INDEX('01_Property Summary'!$G$5:$G$21,MATCH($A24,'01_Property Summary'!$B$5:$B$21,0)),"")</f>
        <v>New Dev</v>
      </c>
      <c r="E24" s="369">
        <f>IFERROR(INDEX('01_Property Summary'!$S$5:$S$21,MATCH($A24,'01_Property Summary'!$B$5:$B$21,0)),"")</f>
        <v>93</v>
      </c>
      <c r="F24" s="369">
        <f>IFERROR(INDEX('01_Property Summary'!$F$5:$F$21,MATCH($A24,'01_Property Summary'!$B$5:$B$21,0)),"")</f>
        <v>2029</v>
      </c>
      <c r="G24" s="369">
        <f>IFERROR(INDEX('01_Property Summary'!$K$5:$K$21,MATCH($A24,'01_Property Summary'!$B$5:$B$21,0)),"")</f>
        <v>2059</v>
      </c>
      <c r="H24" s="369">
        <f>IFERROR(INDEX('02_Debt Engine'!$I$19:$I$35,MATCH($B24,'02_Debt Engine'!$B$19:$B$35,0)),"")</f>
        <v>2029</v>
      </c>
      <c r="I24" s="369" t="str">
        <f>IFERROR(INDEX('02_Debt Engine'!$F$19:$F$35,MATCH($B24,'02_Debt Engine'!$B$19:$B$35,0)),"")</f>
        <v>Yes</v>
      </c>
      <c r="J24" s="369">
        <f t="shared" si="0"/>
        <v>2035</v>
      </c>
      <c r="K24" s="371">
        <f t="shared" ca="1" si="1"/>
        <v>1572057.1659937119</v>
      </c>
      <c r="L24" s="371">
        <f t="shared" ca="1" si="2"/>
        <v>592501.88484059623</v>
      </c>
      <c r="M24" s="372">
        <f t="shared" ca="1" si="3"/>
        <v>1.6048682460709243</v>
      </c>
      <c r="N24" s="371">
        <f t="shared" ca="1" si="4"/>
        <v>979555.28115311568</v>
      </c>
      <c r="O24" s="370" t="str">
        <f t="shared" ca="1" si="5"/>
        <v>OK</v>
      </c>
      <c r="P24" s="370" t="str">
        <f t="shared" ca="1" si="6"/>
        <v>OK</v>
      </c>
      <c r="Q24" s="369" t="str">
        <f t="shared" ca="1" si="7"/>
        <v>OK</v>
      </c>
      <c r="R24" s="369" t="str">
        <f t="shared" si="8"/>
        <v>Refi/Maturity Watch</v>
      </c>
      <c r="S24" s="369" t="str">
        <f t="shared" si="9"/>
        <v>New Build</v>
      </c>
      <c r="T24" s="346"/>
      <c r="U24" s="369" t="str">
        <f t="shared" si="10"/>
        <v>New Build</v>
      </c>
      <c r="V24" s="369" t="str">
        <f>IF($U24="Excluded","Excluded from rollup scope",IF($U24="New Build","Development / future stabilized asset",IF($U24="Workout",_xludf.TEXTJOIN("; ",TRUE,IF($O24&lt;&gt;"OK",$O24,""),IF($P24&lt;&gt;"OK",$P24,""),IF($Q24="DSCR &lt; threshold",$Q24,"")),IF($U24="Refi Watch",$R24,"Meets classification rules at test year"))))</f>
        <v>Development / future stabilized asset</v>
      </c>
      <c r="W24" s="370" t="str">
        <f t="shared" si="15"/>
        <v>Track construction debt, takeout debt, opening NOI, and residual capital gap separately.</v>
      </c>
      <c r="X24" s="370" t="str">
        <f t="shared" ca="1" si="12"/>
        <v>OK</v>
      </c>
      <c r="Y24" s="346"/>
      <c r="Z24" s="370" t="str">
        <f t="shared" si="13"/>
        <v>Formula-linked to Property Summary, Debt Engine, BLD_* tabs, and Model Control</v>
      </c>
    </row>
    <row r="25" spans="1:26">
      <c r="T25" s="346"/>
      <c r="Y25" s="346"/>
    </row>
    <row r="26" spans="1:26">
      <c r="T26" s="346"/>
      <c r="Y26" s="346"/>
    </row>
    <row r="27" spans="1:26">
      <c r="T27" s="346"/>
      <c r="Y27" s="346"/>
    </row>
    <row r="28" spans="1:26">
      <c r="T28" s="346"/>
      <c r="Y28" s="346"/>
    </row>
    <row r="29" spans="1:26">
      <c r="T29" s="346"/>
      <c r="Y29" s="346"/>
    </row>
    <row r="30" spans="1:26">
      <c r="T30" s="346"/>
      <c r="Y30" s="346"/>
    </row>
    <row r="31" spans="1:26">
      <c r="T31" s="346"/>
      <c r="Y31" s="346"/>
    </row>
    <row r="32" spans="1:26">
      <c r="T32" s="346"/>
      <c r="Y32" s="346"/>
    </row>
    <row r="33" spans="20:25">
      <c r="T33" s="346"/>
      <c r="Y33" s="346"/>
    </row>
    <row r="34" spans="20:25">
      <c r="T34" s="346"/>
      <c r="Y34" s="346"/>
    </row>
    <row r="35" spans="20:25">
      <c r="T35" s="346"/>
      <c r="Y35" s="346"/>
    </row>
    <row r="36" spans="20:25">
      <c r="T36" s="346"/>
      <c r="Y36" s="346"/>
    </row>
    <row r="37" spans="20:25">
      <c r="T37" s="346"/>
      <c r="Y37" s="346"/>
    </row>
    <row r="38" spans="20:25">
      <c r="T38" s="346"/>
      <c r="Y38" s="346"/>
    </row>
    <row r="39" spans="20:25">
      <c r="T39" s="346"/>
      <c r="Y39" s="346"/>
    </row>
    <row r="40" spans="20:25">
      <c r="T40" s="346"/>
      <c r="Y40" s="346"/>
    </row>
    <row r="41" spans="20:25">
      <c r="T41" s="346"/>
      <c r="Y41" s="346"/>
    </row>
    <row r="42" spans="20:25">
      <c r="T42" s="346"/>
      <c r="Y42" s="346"/>
    </row>
    <row r="43" spans="20:25">
      <c r="T43" s="346"/>
      <c r="Y43" s="346"/>
    </row>
    <row r="44" spans="20:25">
      <c r="T44" s="346"/>
      <c r="Y44" s="346"/>
    </row>
    <row r="45" spans="20:25">
      <c r="T45" s="346"/>
      <c r="Y45" s="346"/>
    </row>
    <row r="46" spans="20:25">
      <c r="T46" s="346"/>
      <c r="Y46" s="346"/>
    </row>
    <row r="47" spans="20:25">
      <c r="T47" s="346"/>
      <c r="Y47" s="346"/>
    </row>
    <row r="48" spans="20:25">
      <c r="T48" s="346"/>
      <c r="Y48" s="346"/>
    </row>
    <row r="49" spans="20:25">
      <c r="T49" s="346"/>
      <c r="Y49" s="346"/>
    </row>
    <row r="50" spans="20:25">
      <c r="T50" s="346"/>
      <c r="Y50" s="346"/>
    </row>
    <row r="51" spans="20:25">
      <c r="T51" s="346"/>
      <c r="Y51" s="346"/>
    </row>
    <row r="52" spans="20:25">
      <c r="T52" s="346"/>
      <c r="Y52" s="346"/>
    </row>
    <row r="53" spans="20:25">
      <c r="T53" s="346"/>
      <c r="Y53" s="346"/>
    </row>
    <row r="54" spans="20:25">
      <c r="T54" s="346"/>
      <c r="Y54" s="346"/>
    </row>
    <row r="55" spans="20:25">
      <c r="T55" s="346"/>
      <c r="Y55" s="346"/>
    </row>
    <row r="56" spans="20:25">
      <c r="T56" s="346"/>
      <c r="Y56" s="346"/>
    </row>
    <row r="57" spans="20:25">
      <c r="T57" s="346"/>
      <c r="Y57" s="346"/>
    </row>
    <row r="58" spans="20:25">
      <c r="T58" s="346"/>
      <c r="Y58" s="346"/>
    </row>
    <row r="59" spans="20:25">
      <c r="T59" s="346"/>
      <c r="Y59" s="346"/>
    </row>
    <row r="60" spans="20:25">
      <c r="T60" s="346"/>
      <c r="Y60" s="346"/>
    </row>
    <row r="61" spans="20:25">
      <c r="T61" s="346"/>
      <c r="Y61" s="346"/>
    </row>
    <row r="62" spans="20:25">
      <c r="T62" s="346"/>
      <c r="Y62" s="346"/>
    </row>
    <row r="63" spans="20:25">
      <c r="T63" s="346"/>
      <c r="Y63" s="346"/>
    </row>
    <row r="64" spans="20:25">
      <c r="T64" s="346"/>
      <c r="Y64" s="346"/>
    </row>
    <row r="65" spans="20:25">
      <c r="T65" s="346"/>
      <c r="Y65" s="346"/>
    </row>
    <row r="66" spans="20:25">
      <c r="T66" s="346"/>
      <c r="Y66" s="346"/>
    </row>
    <row r="67" spans="20:25">
      <c r="T67" s="346"/>
      <c r="Y67" s="346"/>
    </row>
    <row r="68" spans="20:25">
      <c r="T68" s="346"/>
      <c r="Y68" s="346"/>
    </row>
    <row r="69" spans="20:25">
      <c r="T69" s="346"/>
      <c r="Y69" s="346"/>
    </row>
    <row r="70" spans="20:25">
      <c r="T70" s="346"/>
      <c r="Y70" s="346"/>
    </row>
    <row r="71" spans="20:25">
      <c r="T71" s="346"/>
      <c r="Y71" s="346"/>
    </row>
    <row r="72" spans="20:25">
      <c r="T72" s="346"/>
      <c r="Y72" s="346"/>
    </row>
    <row r="73" spans="20:25">
      <c r="T73" s="346"/>
      <c r="Y73" s="346"/>
    </row>
    <row r="74" spans="20:25">
      <c r="T74" s="346"/>
      <c r="Y74" s="346"/>
    </row>
    <row r="75" spans="20:25">
      <c r="T75" s="346"/>
      <c r="Y75" s="346"/>
    </row>
    <row r="76" spans="20:25">
      <c r="T76" s="346"/>
      <c r="Y76" s="346"/>
    </row>
    <row r="77" spans="20:25">
      <c r="T77" s="346"/>
      <c r="Y77" s="346"/>
    </row>
    <row r="78" spans="20:25">
      <c r="T78" s="346"/>
      <c r="Y78" s="346"/>
    </row>
    <row r="79" spans="20:25">
      <c r="T79" s="346"/>
      <c r="Y79" s="346"/>
    </row>
    <row r="80" spans="20:25">
      <c r="T80" s="346"/>
      <c r="Y80" s="346"/>
    </row>
    <row r="81" spans="20:25">
      <c r="T81" s="346"/>
      <c r="Y81" s="346"/>
    </row>
    <row r="82" spans="20:25">
      <c r="T82" s="346"/>
      <c r="Y82" s="346"/>
    </row>
    <row r="83" spans="20:25">
      <c r="T83" s="346"/>
      <c r="Y83" s="346"/>
    </row>
    <row r="84" spans="20:25">
      <c r="T84" s="346"/>
      <c r="Y84" s="346"/>
    </row>
    <row r="85" spans="20:25">
      <c r="T85" s="346"/>
      <c r="Y85" s="346"/>
    </row>
    <row r="86" spans="20:25">
      <c r="T86" s="346"/>
      <c r="Y86" s="346"/>
    </row>
    <row r="87" spans="20:25">
      <c r="T87" s="346"/>
      <c r="Y87" s="346"/>
    </row>
    <row r="88" spans="20:25">
      <c r="T88" s="346"/>
      <c r="Y88" s="346"/>
    </row>
    <row r="89" spans="20:25">
      <c r="T89" s="346"/>
      <c r="Y89" s="346"/>
    </row>
    <row r="90" spans="20:25">
      <c r="T90" s="346"/>
      <c r="Y90" s="346"/>
    </row>
    <row r="91" spans="20:25">
      <c r="T91" s="346"/>
      <c r="Y91" s="346"/>
    </row>
    <row r="92" spans="20:25">
      <c r="T92" s="346"/>
      <c r="Y92" s="346"/>
    </row>
    <row r="93" spans="20:25">
      <c r="T93" s="346"/>
      <c r="Y93" s="346"/>
    </row>
    <row r="94" spans="20:25">
      <c r="T94" s="346"/>
      <c r="Y94" s="346"/>
    </row>
    <row r="95" spans="20:25">
      <c r="T95" s="346"/>
      <c r="Y95" s="346"/>
    </row>
    <row r="96" spans="20:25">
      <c r="T96" s="346"/>
      <c r="Y96" s="346"/>
    </row>
    <row r="97" spans="20:25">
      <c r="T97" s="346"/>
      <c r="Y97" s="346"/>
    </row>
    <row r="98" spans="20:25">
      <c r="T98" s="346"/>
      <c r="Y98" s="346"/>
    </row>
    <row r="99" spans="20:25">
      <c r="T99" s="346"/>
      <c r="Y99" s="346"/>
    </row>
    <row r="100" spans="20:25">
      <c r="T100" s="346"/>
      <c r="Y100" s="346"/>
    </row>
  </sheetData>
  <conditionalFormatting sqref="X8:X100">
    <cfRule type="expression" dxfId="12" priority="1">
      <formula>OR(ISNUMBER(SEARCH("FAIL",X8)),ISNUMBER(SEARCH("Review",X8)),ISNUMBER(SEARCH("Missing",X8)),ISNUMBER(SEARCH("OPEN",X8)),ISNUMBER(SEARCH("Suppressed",X8)))</formula>
    </cfRule>
  </conditionalFormatting>
  <dataValidations count="3">
    <dataValidation type="list" sqref="T8:T24" xr:uid="{00000000-0002-0000-2600-000000000000}">
      <formula1>",Stable,Refi Watch,Workout,New Build,Excluded"</formula1>
    </dataValidation>
    <dataValidation type="list" allowBlank="1" errorTitle="Invalid override value" error="Use one of the controlled classification values, or leave blank." promptTitle="Human Override" prompt="Optional. If used, Override Reason is required." sqref="T8:T24" xr:uid="{00000000-0002-0000-2600-000001000000}">
      <formula1>"Stable,Refi Watch,Workout,New Build,Excluded"</formula1>
    </dataValidation>
    <dataValidation type="custom" allowBlank="1" errorTitle="Missing override reason" error="Override Reason is required when Human Override is filled." promptTitle="Override Reason" prompt="Required only when Human Override is used." sqref="Y8:Y24" xr:uid="{00000000-0002-0000-2600-000002000000}">
      <formula1>OR($T8="",$Y8&lt;&gt;"")</formula1>
    </dataValidation>
  </dataValidation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A5C56-6EDE-424D-8521-DDFA6CC6B85F}">
  <sheetPr>
    <tabColor rgb="FF7C3AED"/>
  </sheetPr>
  <dimension ref="A1:J820"/>
  <sheetViews>
    <sheetView workbookViewId="0">
      <selection activeCell="H22" sqref="H22"/>
    </sheetView>
  </sheetViews>
  <sheetFormatPr defaultRowHeight="15"/>
  <cols>
    <col min="1" max="1" width="16" customWidth="1"/>
    <col min="2" max="2" width="10" customWidth="1"/>
    <col min="3" max="3" width="28" customWidth="1"/>
    <col min="4" max="4" width="12" customWidth="1"/>
    <col min="5" max="5" width="18" customWidth="1"/>
    <col min="6" max="6" width="16" customWidth="1"/>
    <col min="7" max="7" width="14" customWidth="1"/>
    <col min="8" max="8" width="24" customWidth="1"/>
    <col min="9" max="9" width="20" customWidth="1"/>
    <col min="10" max="10" width="24" customWidth="1"/>
  </cols>
  <sheetData>
    <row r="1" spans="1:10" ht="30">
      <c r="A1" s="365" t="s">
        <v>756</v>
      </c>
    </row>
    <row r="2" spans="1:10">
      <c r="A2" t="s">
        <v>1094</v>
      </c>
      <c r="B2" t="s">
        <v>1488</v>
      </c>
    </row>
    <row r="3" spans="1:10">
      <c r="A3" t="s">
        <v>1208</v>
      </c>
      <c r="B3" t="s">
        <v>1489</v>
      </c>
    </row>
    <row r="4" spans="1:10" ht="30">
      <c r="A4" s="365" t="s">
        <v>1263</v>
      </c>
      <c r="B4" s="365" t="s">
        <v>1490</v>
      </c>
      <c r="C4" s="365" t="s">
        <v>17</v>
      </c>
      <c r="D4" s="365" t="s">
        <v>1491</v>
      </c>
      <c r="E4" s="365" t="s">
        <v>1451</v>
      </c>
      <c r="F4" s="365" t="s">
        <v>1492</v>
      </c>
      <c r="G4" s="365" t="s">
        <v>87</v>
      </c>
      <c r="H4" s="365" t="s">
        <v>106</v>
      </c>
      <c r="I4" s="365" t="s">
        <v>1493</v>
      </c>
      <c r="J4" s="365" t="s">
        <v>1494</v>
      </c>
    </row>
    <row r="5" spans="1:10">
      <c r="A5" s="365" t="s">
        <v>433</v>
      </c>
      <c r="B5" s="365">
        <v>2025</v>
      </c>
      <c r="C5" s="365" t="s">
        <v>341</v>
      </c>
      <c r="D5" s="365">
        <v>24</v>
      </c>
      <c r="E5" s="365">
        <f t="shared" ref="E5:E68" ca="1" si="0">IFERROR(INDEX(INDIRECT("'"&amp;$A5&amp;"'!$E$"&amp;$D5&amp;":$Y$"&amp;$D5),1,MATCH($B5,INDIRECT("'"&amp;$A5&amp;"'!$E$12:$Y$12"),0)),"")</f>
        <v>586647.4040000001</v>
      </c>
      <c r="F5" s="365" t="str">
        <f t="shared" ref="F5:F68" si="1">$A5</f>
        <v>BLD_AB</v>
      </c>
      <c r="G5" s="365" t="str">
        <f>IFERROR(INDEX(DATA_PROPERTY_MASTER!$E$5:$E$21,MATCH($A5,DATA_PROPERTY_MASTER!$A$5:$A$21,0)),"")</f>
        <v>No</v>
      </c>
      <c r="H5" s="365" t="str">
        <f>IFERROR(INDEX(DATA_PROPERTY_MASTER!$F$5:$F$21,MATCH($A5,DATA_PROPERTY_MASTER!$A$5:$A$21,0)),"")</f>
        <v>Excluded</v>
      </c>
      <c r="I5" s="365" t="s">
        <v>1495</v>
      </c>
      <c r="J5" s="365" t="str">
        <f t="shared" ref="J5:J68" ca="1" si="2">IF($E5="","Review","Formula-linked")</f>
        <v>Formula-linked</v>
      </c>
    </row>
    <row r="6" spans="1:10">
      <c r="A6" s="366" t="s">
        <v>433</v>
      </c>
      <c r="B6" s="366">
        <v>2025</v>
      </c>
      <c r="C6" s="366" t="s">
        <v>355</v>
      </c>
      <c r="D6" s="366">
        <v>39</v>
      </c>
      <c r="E6" s="348">
        <f t="shared" ca="1" si="0"/>
        <v>150569</v>
      </c>
      <c r="F6" s="348" t="str">
        <f t="shared" si="1"/>
        <v>BLD_AB</v>
      </c>
      <c r="G6" s="348" t="str">
        <f>IFERROR(INDEX(DATA_PROPERTY_MASTER!$E$5:$E$21,MATCH($A6,DATA_PROPERTY_MASTER!$A$5:$A$21,0)),"")</f>
        <v>No</v>
      </c>
      <c r="H6" s="348" t="str">
        <f>IFERROR(INDEX(DATA_PROPERTY_MASTER!$F$5:$F$21,MATCH($A6,DATA_PROPERTY_MASTER!$A$5:$A$21,0)),"")</f>
        <v>Excluded</v>
      </c>
      <c r="I6" t="s">
        <v>1496</v>
      </c>
      <c r="J6" s="348" t="str">
        <f t="shared" ca="1" si="2"/>
        <v>Formula-linked</v>
      </c>
    </row>
    <row r="7" spans="1:10">
      <c r="A7" s="365" t="s">
        <v>433</v>
      </c>
      <c r="B7" s="365">
        <v>2025</v>
      </c>
      <c r="C7" s="365" t="s">
        <v>1497</v>
      </c>
      <c r="D7" s="365">
        <v>41</v>
      </c>
      <c r="E7" s="365">
        <f t="shared" ca="1" si="0"/>
        <v>436078.4040000001</v>
      </c>
      <c r="F7" s="365" t="str">
        <f t="shared" si="1"/>
        <v>BLD_AB</v>
      </c>
      <c r="G7" s="365" t="str">
        <f>IFERROR(INDEX(DATA_PROPERTY_MASTER!$E$5:$E$21,MATCH($A7,DATA_PROPERTY_MASTER!$A$5:$A$21,0)),"")</f>
        <v>No</v>
      </c>
      <c r="H7" s="365" t="str">
        <f>IFERROR(INDEX(DATA_PROPERTY_MASTER!$F$5:$F$21,MATCH($A7,DATA_PROPERTY_MASTER!$A$5:$A$21,0)),"")</f>
        <v>Excluded</v>
      </c>
      <c r="I7" s="365" t="s">
        <v>1497</v>
      </c>
      <c r="J7" s="365" t="str">
        <f t="shared" ca="1" si="2"/>
        <v>Formula-linked</v>
      </c>
    </row>
    <row r="8" spans="1:10">
      <c r="A8" s="366" t="s">
        <v>433</v>
      </c>
      <c r="B8" s="366">
        <v>2025</v>
      </c>
      <c r="C8" s="366" t="s">
        <v>21</v>
      </c>
      <c r="D8" s="366">
        <v>45</v>
      </c>
      <c r="E8" s="348">
        <f t="shared" ca="1" si="0"/>
        <v>429178.4040000001</v>
      </c>
      <c r="F8" s="348" t="str">
        <f t="shared" si="1"/>
        <v>BLD_AB</v>
      </c>
      <c r="G8" s="348" t="str">
        <f>IFERROR(INDEX(DATA_PROPERTY_MASTER!$E$5:$E$21,MATCH($A8,DATA_PROPERTY_MASTER!$A$5:$A$21,0)),"")</f>
        <v>No</v>
      </c>
      <c r="H8" s="348" t="str">
        <f>IFERROR(INDEX(DATA_PROPERTY_MASTER!$F$5:$F$21,MATCH($A8,DATA_PROPERTY_MASTER!$A$5:$A$21,0)),"")</f>
        <v>Excluded</v>
      </c>
      <c r="I8" t="s">
        <v>1497</v>
      </c>
      <c r="J8" s="348" t="str">
        <f t="shared" ca="1" si="2"/>
        <v>Formula-linked</v>
      </c>
    </row>
    <row r="9" spans="1:10">
      <c r="A9" s="366" t="s">
        <v>433</v>
      </c>
      <c r="B9" s="366">
        <v>2025</v>
      </c>
      <c r="C9" s="366" t="s">
        <v>23</v>
      </c>
      <c r="D9" s="366">
        <v>48</v>
      </c>
      <c r="E9" s="348">
        <f t="shared" ca="1" si="0"/>
        <v>0</v>
      </c>
      <c r="F9" s="348" t="str">
        <f t="shared" si="1"/>
        <v>BLD_AB</v>
      </c>
      <c r="G9" s="348" t="str">
        <f>IFERROR(INDEX(DATA_PROPERTY_MASTER!$E$5:$E$21,MATCH($A9,DATA_PROPERTY_MASTER!$A$5:$A$21,0)),"")</f>
        <v>No</v>
      </c>
      <c r="H9" s="348" t="str">
        <f>IFERROR(INDEX(DATA_PROPERTY_MASTER!$F$5:$F$21,MATCH($A9,DATA_PROPERTY_MASTER!$A$5:$A$21,0)),"")</f>
        <v>Excluded</v>
      </c>
      <c r="I9" t="s">
        <v>1498</v>
      </c>
      <c r="J9" s="348" t="str">
        <f t="shared" ca="1" si="2"/>
        <v>Formula-linked</v>
      </c>
    </row>
    <row r="10" spans="1:10">
      <c r="A10" s="366" t="s">
        <v>433</v>
      </c>
      <c r="B10" s="366">
        <v>2025</v>
      </c>
      <c r="C10" s="366" t="s">
        <v>213</v>
      </c>
      <c r="D10" s="366">
        <v>50</v>
      </c>
      <c r="E10" s="348" t="str">
        <f t="shared" ca="1" si="0"/>
        <v/>
      </c>
      <c r="F10" s="348" t="str">
        <f t="shared" si="1"/>
        <v>BLD_AB</v>
      </c>
      <c r="G10" s="348" t="str">
        <f>IFERROR(INDEX(DATA_PROPERTY_MASTER!$E$5:$E$21,MATCH($A10,DATA_PROPERTY_MASTER!$A$5:$A$21,0)),"")</f>
        <v>No</v>
      </c>
      <c r="H10" s="348" t="str">
        <f>IFERROR(INDEX(DATA_PROPERTY_MASTER!$F$5:$F$21,MATCH($A10,DATA_PROPERTY_MASTER!$A$5:$A$21,0)),"")</f>
        <v>Excluded</v>
      </c>
      <c r="I10" t="s">
        <v>1499</v>
      </c>
      <c r="J10" s="348" t="str">
        <f t="shared" ca="1" si="2"/>
        <v>Review</v>
      </c>
    </row>
    <row r="11" spans="1:10">
      <c r="A11" s="366" t="s">
        <v>433</v>
      </c>
      <c r="B11" s="366">
        <v>2025</v>
      </c>
      <c r="C11" s="366" t="s">
        <v>1500</v>
      </c>
      <c r="D11" s="366">
        <v>52</v>
      </c>
      <c r="E11" s="348">
        <f t="shared" ca="1" si="0"/>
        <v>436078.4040000001</v>
      </c>
      <c r="F11" s="348" t="str">
        <f t="shared" si="1"/>
        <v>BLD_AB</v>
      </c>
      <c r="G11" s="348" t="str">
        <f>IFERROR(INDEX(DATA_PROPERTY_MASTER!$E$5:$E$21,MATCH($A11,DATA_PROPERTY_MASTER!$A$5:$A$21,0)),"")</f>
        <v>No</v>
      </c>
      <c r="H11" s="348" t="str">
        <f>IFERROR(INDEX(DATA_PROPERTY_MASTER!$F$5:$F$21,MATCH($A11,DATA_PROPERTY_MASTER!$A$5:$A$21,0)),"")</f>
        <v>Excluded</v>
      </c>
      <c r="I11" t="s">
        <v>1501</v>
      </c>
      <c r="J11" s="348" t="str">
        <f t="shared" ca="1" si="2"/>
        <v>Formula-linked</v>
      </c>
    </row>
    <row r="12" spans="1:10">
      <c r="A12" s="366" t="s">
        <v>433</v>
      </c>
      <c r="B12" s="366">
        <v>2025</v>
      </c>
      <c r="C12" s="366" t="s">
        <v>27</v>
      </c>
      <c r="D12" s="366">
        <v>54</v>
      </c>
      <c r="E12" s="348">
        <f t="shared" ca="1" si="0"/>
        <v>261647.04240000003</v>
      </c>
      <c r="F12" s="348" t="str">
        <f t="shared" si="1"/>
        <v>BLD_AB</v>
      </c>
      <c r="G12" s="348" t="str">
        <f>IFERROR(INDEX(DATA_PROPERTY_MASTER!$E$5:$E$21,MATCH($A12,DATA_PROPERTY_MASTER!$A$5:$A$21,0)),"")</f>
        <v>No</v>
      </c>
      <c r="H12" s="348" t="str">
        <f>IFERROR(INDEX(DATA_PROPERTY_MASTER!$F$5:$F$21,MATCH($A12,DATA_PROPERTY_MASTER!$A$5:$A$21,0)),"")</f>
        <v>Excluded</v>
      </c>
      <c r="I12" t="s">
        <v>1501</v>
      </c>
      <c r="J12" s="348" t="str">
        <f t="shared" ca="1" si="2"/>
        <v>Formula-linked</v>
      </c>
    </row>
    <row r="13" spans="1:10">
      <c r="A13" s="366" t="s">
        <v>433</v>
      </c>
      <c r="B13" s="366">
        <v>2025</v>
      </c>
      <c r="C13" s="366" t="s">
        <v>1502</v>
      </c>
      <c r="D13" s="366">
        <v>56</v>
      </c>
      <c r="E13" s="348">
        <f t="shared" ca="1" si="0"/>
        <v>174431.36160000006</v>
      </c>
      <c r="F13" s="348" t="str">
        <f t="shared" si="1"/>
        <v>BLD_AB</v>
      </c>
      <c r="G13" s="348" t="str">
        <f>IFERROR(INDEX(DATA_PROPERTY_MASTER!$E$5:$E$21,MATCH($A13,DATA_PROPERTY_MASTER!$A$5:$A$21,0)),"")</f>
        <v>No</v>
      </c>
      <c r="H13" s="348" t="str">
        <f>IFERROR(INDEX(DATA_PROPERTY_MASTER!$F$5:$F$21,MATCH($A13,DATA_PROPERTY_MASTER!$A$5:$A$21,0)),"")</f>
        <v>Excluded</v>
      </c>
      <c r="I13" t="s">
        <v>1501</v>
      </c>
      <c r="J13" s="348" t="str">
        <f t="shared" ca="1" si="2"/>
        <v>Formula-linked</v>
      </c>
    </row>
    <row r="14" spans="1:10">
      <c r="A14" s="366" t="s">
        <v>433</v>
      </c>
      <c r="B14" s="366">
        <v>2025</v>
      </c>
      <c r="C14" s="366" t="s">
        <v>367</v>
      </c>
      <c r="D14" s="366">
        <v>61</v>
      </c>
      <c r="E14" s="348">
        <f t="shared" ca="1" si="0"/>
        <v>0</v>
      </c>
      <c r="F14" s="348" t="str">
        <f t="shared" si="1"/>
        <v>BLD_AB</v>
      </c>
      <c r="G14" s="348" t="str">
        <f>IFERROR(INDEX(DATA_PROPERTY_MASTER!$E$5:$E$21,MATCH($A14,DATA_PROPERTY_MASTER!$A$5:$A$21,0)),"")</f>
        <v>No</v>
      </c>
      <c r="H14" s="348" t="str">
        <f>IFERROR(INDEX(DATA_PROPERTY_MASTER!$F$5:$F$21,MATCH($A14,DATA_PROPERTY_MASTER!$A$5:$A$21,0)),"")</f>
        <v>Excluded</v>
      </c>
      <c r="I14" t="s">
        <v>1503</v>
      </c>
      <c r="J14" s="348" t="str">
        <f t="shared" ca="1" si="2"/>
        <v>Formula-linked</v>
      </c>
    </row>
    <row r="15" spans="1:10">
      <c r="A15" s="366" t="s">
        <v>433</v>
      </c>
      <c r="B15" s="366">
        <v>2025</v>
      </c>
      <c r="C15" s="366" t="s">
        <v>368</v>
      </c>
      <c r="D15" s="366">
        <v>62</v>
      </c>
      <c r="E15" s="348">
        <f t="shared" ca="1" si="0"/>
        <v>0</v>
      </c>
      <c r="F15" s="348" t="str">
        <f t="shared" si="1"/>
        <v>BLD_AB</v>
      </c>
      <c r="G15" s="348" t="str">
        <f>IFERROR(INDEX(DATA_PROPERTY_MASTER!$E$5:$E$21,MATCH($A15,DATA_PROPERTY_MASTER!$A$5:$A$21,0)),"")</f>
        <v>No</v>
      </c>
      <c r="H15" s="348" t="str">
        <f>IFERROR(INDEX(DATA_PROPERTY_MASTER!$F$5:$F$21,MATCH($A15,DATA_PROPERTY_MASTER!$A$5:$A$21,0)),"")</f>
        <v>Excluded</v>
      </c>
      <c r="I15" t="s">
        <v>1503</v>
      </c>
      <c r="J15" s="348" t="str">
        <f t="shared" ca="1" si="2"/>
        <v>Formula-linked</v>
      </c>
    </row>
    <row r="16" spans="1:10">
      <c r="A16" s="366" t="s">
        <v>433</v>
      </c>
      <c r="B16" s="366">
        <v>2025</v>
      </c>
      <c r="C16" s="366" t="s">
        <v>1504</v>
      </c>
      <c r="D16" s="366">
        <v>63</v>
      </c>
      <c r="E16" s="348">
        <f t="shared" ca="1" si="0"/>
        <v>0</v>
      </c>
      <c r="F16" s="348" t="str">
        <f t="shared" si="1"/>
        <v>BLD_AB</v>
      </c>
      <c r="G16" s="348" t="str">
        <f>IFERROR(INDEX(DATA_PROPERTY_MASTER!$E$5:$E$21,MATCH($A16,DATA_PROPERTY_MASTER!$A$5:$A$21,0)),"")</f>
        <v>No</v>
      </c>
      <c r="H16" s="348" t="str">
        <f>IFERROR(INDEX(DATA_PROPERTY_MASTER!$F$5:$F$21,MATCH($A16,DATA_PROPERTY_MASTER!$A$5:$A$21,0)),"")</f>
        <v>Excluded</v>
      </c>
      <c r="I16" t="s">
        <v>1503</v>
      </c>
      <c r="J16" s="348" t="str">
        <f t="shared" ca="1" si="2"/>
        <v>Formula-linked</v>
      </c>
    </row>
    <row r="17" spans="1:10">
      <c r="A17" s="366" t="s">
        <v>433</v>
      </c>
      <c r="B17" s="366">
        <v>2025</v>
      </c>
      <c r="C17" s="366" t="s">
        <v>370</v>
      </c>
      <c r="D17" s="366">
        <v>64</v>
      </c>
      <c r="E17" s="348">
        <f t="shared" ca="1" si="0"/>
        <v>0</v>
      </c>
      <c r="F17" s="348" t="str">
        <f t="shared" si="1"/>
        <v>BLD_AB</v>
      </c>
      <c r="G17" s="348" t="str">
        <f>IFERROR(INDEX(DATA_PROPERTY_MASTER!$E$5:$E$21,MATCH($A17,DATA_PROPERTY_MASTER!$A$5:$A$21,0)),"")</f>
        <v>No</v>
      </c>
      <c r="H17" s="348" t="str">
        <f>IFERROR(INDEX(DATA_PROPERTY_MASTER!$F$5:$F$21,MATCH($A17,DATA_PROPERTY_MASTER!$A$5:$A$21,0)),"")</f>
        <v>Excluded</v>
      </c>
      <c r="I17" t="s">
        <v>1498</v>
      </c>
      <c r="J17" s="348" t="str">
        <f t="shared" ca="1" si="2"/>
        <v>Formula-linked</v>
      </c>
    </row>
    <row r="18" spans="1:10">
      <c r="A18" s="366" t="s">
        <v>433</v>
      </c>
      <c r="B18" s="366">
        <v>2025</v>
      </c>
      <c r="C18" s="366" t="s">
        <v>544</v>
      </c>
      <c r="D18" s="366">
        <v>68</v>
      </c>
      <c r="E18" s="348">
        <f t="shared" ca="1" si="0"/>
        <v>174431.36160000006</v>
      </c>
      <c r="F18" s="348" t="str">
        <f t="shared" si="1"/>
        <v>BLD_AB</v>
      </c>
      <c r="G18" s="348" t="str">
        <f>IFERROR(INDEX(DATA_PROPERTY_MASTER!$E$5:$E$21,MATCH($A18,DATA_PROPERTY_MASTER!$A$5:$A$21,0)),"")</f>
        <v>No</v>
      </c>
      <c r="H18" s="348" t="str">
        <f>IFERROR(INDEX(DATA_PROPERTY_MASTER!$F$5:$F$21,MATCH($A18,DATA_PROPERTY_MASTER!$A$5:$A$21,0)),"")</f>
        <v>Excluded</v>
      </c>
      <c r="I18" t="s">
        <v>1501</v>
      </c>
      <c r="J18" s="348" t="str">
        <f t="shared" ca="1" si="2"/>
        <v>Formula-linked</v>
      </c>
    </row>
    <row r="19" spans="1:10">
      <c r="A19" s="366" t="s">
        <v>433</v>
      </c>
      <c r="B19" s="366">
        <v>2025</v>
      </c>
      <c r="C19" s="366" t="s">
        <v>378</v>
      </c>
      <c r="D19" s="366">
        <v>73</v>
      </c>
      <c r="E19" s="348">
        <f t="shared" ca="1" si="0"/>
        <v>7267973.4000000022</v>
      </c>
      <c r="F19" s="348" t="str">
        <f t="shared" si="1"/>
        <v>BLD_AB</v>
      </c>
      <c r="G19" s="348" t="str">
        <f>IFERROR(INDEX(DATA_PROPERTY_MASTER!$E$5:$E$21,MATCH($A19,DATA_PROPERTY_MASTER!$A$5:$A$21,0)),"")</f>
        <v>No</v>
      </c>
      <c r="H19" s="348" t="str">
        <f>IFERROR(INDEX(DATA_PROPERTY_MASTER!$F$5:$F$21,MATCH($A19,DATA_PROPERTY_MASTER!$A$5:$A$21,0)),"")</f>
        <v>Excluded</v>
      </c>
      <c r="I19" t="s">
        <v>1505</v>
      </c>
      <c r="J19" s="348" t="str">
        <f t="shared" ca="1" si="2"/>
        <v>Formula-linked</v>
      </c>
    </row>
    <row r="20" spans="1:10">
      <c r="A20" s="366" t="s">
        <v>433</v>
      </c>
      <c r="B20" s="366">
        <v>2025</v>
      </c>
      <c r="C20" s="366" t="s">
        <v>1506</v>
      </c>
      <c r="D20" s="366">
        <v>77</v>
      </c>
      <c r="E20" s="348">
        <f t="shared" ca="1" si="0"/>
        <v>7267973.4000000022</v>
      </c>
      <c r="F20" s="348" t="str">
        <f t="shared" si="1"/>
        <v>BLD_AB</v>
      </c>
      <c r="G20" s="348" t="str">
        <f>IFERROR(INDEX(DATA_PROPERTY_MASTER!$E$5:$E$21,MATCH($A20,DATA_PROPERTY_MASTER!$A$5:$A$21,0)),"")</f>
        <v>No</v>
      </c>
      <c r="H20" s="348" t="str">
        <f>IFERROR(INDEX(DATA_PROPERTY_MASTER!$F$5:$F$21,MATCH($A20,DATA_PROPERTY_MASTER!$A$5:$A$21,0)),"")</f>
        <v>Excluded</v>
      </c>
      <c r="I20" t="s">
        <v>1505</v>
      </c>
      <c r="J20" s="348" t="str">
        <f t="shared" ca="1" si="2"/>
        <v>Formula-linked</v>
      </c>
    </row>
    <row r="21" spans="1:10">
      <c r="A21" s="366" t="s">
        <v>433</v>
      </c>
      <c r="B21" s="366">
        <v>2029</v>
      </c>
      <c r="C21" s="366" t="s">
        <v>341</v>
      </c>
      <c r="D21" s="366">
        <v>24</v>
      </c>
      <c r="E21" s="348">
        <f t="shared" ca="1" si="0"/>
        <v>802495.03554799478</v>
      </c>
      <c r="F21" s="348" t="str">
        <f t="shared" si="1"/>
        <v>BLD_AB</v>
      </c>
      <c r="G21" s="348" t="str">
        <f>IFERROR(INDEX(DATA_PROPERTY_MASTER!$E$5:$E$21,MATCH($A21,DATA_PROPERTY_MASTER!$A$5:$A$21,0)),"")</f>
        <v>No</v>
      </c>
      <c r="H21" s="348" t="str">
        <f>IFERROR(INDEX(DATA_PROPERTY_MASTER!$F$5:$F$21,MATCH($A21,DATA_PROPERTY_MASTER!$A$5:$A$21,0)),"")</f>
        <v>Excluded</v>
      </c>
      <c r="I21" t="s">
        <v>1495</v>
      </c>
      <c r="J21" s="348" t="str">
        <f t="shared" ca="1" si="2"/>
        <v>Formula-linked</v>
      </c>
    </row>
    <row r="22" spans="1:10">
      <c r="A22" s="366" t="s">
        <v>433</v>
      </c>
      <c r="B22" s="366">
        <v>2029</v>
      </c>
      <c r="C22" s="366" t="s">
        <v>355</v>
      </c>
      <c r="D22" s="366">
        <v>39</v>
      </c>
      <c r="E22" s="348">
        <f t="shared" ca="1" si="0"/>
        <v>176144.43352064004</v>
      </c>
      <c r="F22" s="348" t="str">
        <f t="shared" si="1"/>
        <v>BLD_AB</v>
      </c>
      <c r="G22" s="348" t="str">
        <f>IFERROR(INDEX(DATA_PROPERTY_MASTER!$E$5:$E$21,MATCH($A22,DATA_PROPERTY_MASTER!$A$5:$A$21,0)),"")</f>
        <v>No</v>
      </c>
      <c r="H22" s="348" t="str">
        <f>IFERROR(INDEX(DATA_PROPERTY_MASTER!$F$5:$F$21,MATCH($A22,DATA_PROPERTY_MASTER!$A$5:$A$21,0)),"")</f>
        <v>Excluded</v>
      </c>
      <c r="I22" t="s">
        <v>1496</v>
      </c>
      <c r="J22" s="348" t="str">
        <f t="shared" ca="1" si="2"/>
        <v>Formula-linked</v>
      </c>
    </row>
    <row r="23" spans="1:10">
      <c r="A23" s="366" t="s">
        <v>433</v>
      </c>
      <c r="B23" s="366">
        <v>2029</v>
      </c>
      <c r="C23" s="366" t="s">
        <v>1497</v>
      </c>
      <c r="D23" s="366">
        <v>41</v>
      </c>
      <c r="E23" s="348">
        <f t="shared" ca="1" si="0"/>
        <v>626350.60202735476</v>
      </c>
      <c r="F23" s="348" t="str">
        <f t="shared" si="1"/>
        <v>BLD_AB</v>
      </c>
      <c r="G23" s="348" t="str">
        <f>IFERROR(INDEX(DATA_PROPERTY_MASTER!$E$5:$E$21,MATCH($A23,DATA_PROPERTY_MASTER!$A$5:$A$21,0)),"")</f>
        <v>No</v>
      </c>
      <c r="H23" s="348" t="str">
        <f>IFERROR(INDEX(DATA_PROPERTY_MASTER!$F$5:$F$21,MATCH($A23,DATA_PROPERTY_MASTER!$A$5:$A$21,0)),"")</f>
        <v>Excluded</v>
      </c>
      <c r="I23" t="s">
        <v>1497</v>
      </c>
      <c r="J23" s="348" t="str">
        <f t="shared" ca="1" si="2"/>
        <v>Formula-linked</v>
      </c>
    </row>
    <row r="24" spans="1:10">
      <c r="A24" s="366" t="s">
        <v>433</v>
      </c>
      <c r="B24" s="366">
        <v>2029</v>
      </c>
      <c r="C24" s="366" t="s">
        <v>21</v>
      </c>
      <c r="D24" s="366">
        <v>45</v>
      </c>
      <c r="E24" s="348">
        <f t="shared" ca="1" si="0"/>
        <v>618881.82012335479</v>
      </c>
      <c r="F24" s="348" t="str">
        <f t="shared" si="1"/>
        <v>BLD_AB</v>
      </c>
      <c r="G24" s="348" t="str">
        <f>IFERROR(INDEX(DATA_PROPERTY_MASTER!$E$5:$E$21,MATCH($A24,DATA_PROPERTY_MASTER!$A$5:$A$21,0)),"")</f>
        <v>No</v>
      </c>
      <c r="H24" s="348" t="str">
        <f>IFERROR(INDEX(DATA_PROPERTY_MASTER!$F$5:$F$21,MATCH($A24,DATA_PROPERTY_MASTER!$A$5:$A$21,0)),"")</f>
        <v>Excluded</v>
      </c>
      <c r="I24" t="s">
        <v>1497</v>
      </c>
      <c r="J24" s="348" t="str">
        <f t="shared" ca="1" si="2"/>
        <v>Formula-linked</v>
      </c>
    </row>
    <row r="25" spans="1:10">
      <c r="A25" s="366" t="s">
        <v>433</v>
      </c>
      <c r="B25" s="366">
        <v>2029</v>
      </c>
      <c r="C25" s="366" t="s">
        <v>23</v>
      </c>
      <c r="D25" s="366">
        <v>48</v>
      </c>
      <c r="E25" s="348">
        <f t="shared" ca="1" si="0"/>
        <v>0</v>
      </c>
      <c r="F25" s="348" t="str">
        <f t="shared" si="1"/>
        <v>BLD_AB</v>
      </c>
      <c r="G25" s="348" t="str">
        <f>IFERROR(INDEX(DATA_PROPERTY_MASTER!$E$5:$E$21,MATCH($A25,DATA_PROPERTY_MASTER!$A$5:$A$21,0)),"")</f>
        <v>No</v>
      </c>
      <c r="H25" s="348" t="str">
        <f>IFERROR(INDEX(DATA_PROPERTY_MASTER!$F$5:$F$21,MATCH($A25,DATA_PROPERTY_MASTER!$A$5:$A$21,0)),"")</f>
        <v>Excluded</v>
      </c>
      <c r="I25" t="s">
        <v>1498</v>
      </c>
      <c r="J25" s="348" t="str">
        <f t="shared" ca="1" si="2"/>
        <v>Formula-linked</v>
      </c>
    </row>
    <row r="26" spans="1:10">
      <c r="A26" s="366" t="s">
        <v>433</v>
      </c>
      <c r="B26" s="366">
        <v>2029</v>
      </c>
      <c r="C26" s="366" t="s">
        <v>213</v>
      </c>
      <c r="D26" s="366">
        <v>50</v>
      </c>
      <c r="E26" s="348" t="str">
        <f t="shared" ca="1" si="0"/>
        <v/>
      </c>
      <c r="F26" s="348" t="str">
        <f t="shared" si="1"/>
        <v>BLD_AB</v>
      </c>
      <c r="G26" s="348" t="str">
        <f>IFERROR(INDEX(DATA_PROPERTY_MASTER!$E$5:$E$21,MATCH($A26,DATA_PROPERTY_MASTER!$A$5:$A$21,0)),"")</f>
        <v>No</v>
      </c>
      <c r="H26" s="348" t="str">
        <f>IFERROR(INDEX(DATA_PROPERTY_MASTER!$F$5:$F$21,MATCH($A26,DATA_PROPERTY_MASTER!$A$5:$A$21,0)),"")</f>
        <v>Excluded</v>
      </c>
      <c r="I26" t="s">
        <v>1499</v>
      </c>
      <c r="J26" s="348" t="str">
        <f t="shared" ca="1" si="2"/>
        <v>Review</v>
      </c>
    </row>
    <row r="27" spans="1:10">
      <c r="A27" s="366" t="s">
        <v>433</v>
      </c>
      <c r="B27" s="366">
        <v>2029</v>
      </c>
      <c r="C27" s="366" t="s">
        <v>1500</v>
      </c>
      <c r="D27" s="366">
        <v>52</v>
      </c>
      <c r="E27" s="348">
        <f t="shared" ca="1" si="0"/>
        <v>626350.60202735476</v>
      </c>
      <c r="F27" s="348" t="str">
        <f t="shared" si="1"/>
        <v>BLD_AB</v>
      </c>
      <c r="G27" s="348" t="str">
        <f>IFERROR(INDEX(DATA_PROPERTY_MASTER!$E$5:$E$21,MATCH($A27,DATA_PROPERTY_MASTER!$A$5:$A$21,0)),"")</f>
        <v>No</v>
      </c>
      <c r="H27" s="348" t="str">
        <f>IFERROR(INDEX(DATA_PROPERTY_MASTER!$F$5:$F$21,MATCH($A27,DATA_PROPERTY_MASTER!$A$5:$A$21,0)),"")</f>
        <v>Excluded</v>
      </c>
      <c r="I27" t="s">
        <v>1501</v>
      </c>
      <c r="J27" s="348" t="str">
        <f t="shared" ca="1" si="2"/>
        <v>Formula-linked</v>
      </c>
    </row>
    <row r="28" spans="1:10">
      <c r="A28" s="366" t="s">
        <v>433</v>
      </c>
      <c r="B28" s="366">
        <v>2029</v>
      </c>
      <c r="C28" s="366" t="s">
        <v>27</v>
      </c>
      <c r="D28" s="366">
        <v>54</v>
      </c>
      <c r="E28" s="348">
        <f t="shared" ca="1" si="0"/>
        <v>375810.36121641286</v>
      </c>
      <c r="F28" s="348" t="str">
        <f t="shared" si="1"/>
        <v>BLD_AB</v>
      </c>
      <c r="G28" s="348" t="str">
        <f>IFERROR(INDEX(DATA_PROPERTY_MASTER!$E$5:$E$21,MATCH($A28,DATA_PROPERTY_MASTER!$A$5:$A$21,0)),"")</f>
        <v>No</v>
      </c>
      <c r="H28" s="348" t="str">
        <f>IFERROR(INDEX(DATA_PROPERTY_MASTER!$F$5:$F$21,MATCH($A28,DATA_PROPERTY_MASTER!$A$5:$A$21,0)),"")</f>
        <v>Excluded</v>
      </c>
      <c r="I28" t="s">
        <v>1501</v>
      </c>
      <c r="J28" s="348" t="str">
        <f t="shared" ca="1" si="2"/>
        <v>Formula-linked</v>
      </c>
    </row>
    <row r="29" spans="1:10">
      <c r="A29" s="366" t="s">
        <v>433</v>
      </c>
      <c r="B29" s="366">
        <v>2029</v>
      </c>
      <c r="C29" s="366" t="s">
        <v>1502</v>
      </c>
      <c r="D29" s="366">
        <v>56</v>
      </c>
      <c r="E29" s="348">
        <f t="shared" ca="1" si="0"/>
        <v>250540.2408109419</v>
      </c>
      <c r="F29" s="348" t="str">
        <f t="shared" si="1"/>
        <v>BLD_AB</v>
      </c>
      <c r="G29" s="348" t="str">
        <f>IFERROR(INDEX(DATA_PROPERTY_MASTER!$E$5:$E$21,MATCH($A29,DATA_PROPERTY_MASTER!$A$5:$A$21,0)),"")</f>
        <v>No</v>
      </c>
      <c r="H29" s="348" t="str">
        <f>IFERROR(INDEX(DATA_PROPERTY_MASTER!$F$5:$F$21,MATCH($A29,DATA_PROPERTY_MASTER!$A$5:$A$21,0)),"")</f>
        <v>Excluded</v>
      </c>
      <c r="I29" t="s">
        <v>1501</v>
      </c>
      <c r="J29" s="348" t="str">
        <f t="shared" ca="1" si="2"/>
        <v>Formula-linked</v>
      </c>
    </row>
    <row r="30" spans="1:10">
      <c r="A30" s="366" t="s">
        <v>433</v>
      </c>
      <c r="B30" s="366">
        <v>2029</v>
      </c>
      <c r="C30" s="366" t="s">
        <v>367</v>
      </c>
      <c r="D30" s="366">
        <v>61</v>
      </c>
      <c r="E30" s="348">
        <f t="shared" ca="1" si="0"/>
        <v>0</v>
      </c>
      <c r="F30" s="348" t="str">
        <f t="shared" si="1"/>
        <v>BLD_AB</v>
      </c>
      <c r="G30" s="348" t="str">
        <f>IFERROR(INDEX(DATA_PROPERTY_MASTER!$E$5:$E$21,MATCH($A30,DATA_PROPERTY_MASTER!$A$5:$A$21,0)),"")</f>
        <v>No</v>
      </c>
      <c r="H30" s="348" t="str">
        <f>IFERROR(INDEX(DATA_PROPERTY_MASTER!$F$5:$F$21,MATCH($A30,DATA_PROPERTY_MASTER!$A$5:$A$21,0)),"")</f>
        <v>Excluded</v>
      </c>
      <c r="I30" t="s">
        <v>1503</v>
      </c>
      <c r="J30" s="348" t="str">
        <f t="shared" ca="1" si="2"/>
        <v>Formula-linked</v>
      </c>
    </row>
    <row r="31" spans="1:10">
      <c r="A31" s="366" t="s">
        <v>433</v>
      </c>
      <c r="B31" s="366">
        <v>2029</v>
      </c>
      <c r="C31" s="366" t="s">
        <v>368</v>
      </c>
      <c r="D31" s="366">
        <v>62</v>
      </c>
      <c r="E31" s="348">
        <f t="shared" ca="1" si="0"/>
        <v>0</v>
      </c>
      <c r="F31" s="348" t="str">
        <f t="shared" si="1"/>
        <v>BLD_AB</v>
      </c>
      <c r="G31" s="348" t="str">
        <f>IFERROR(INDEX(DATA_PROPERTY_MASTER!$E$5:$E$21,MATCH($A31,DATA_PROPERTY_MASTER!$A$5:$A$21,0)),"")</f>
        <v>No</v>
      </c>
      <c r="H31" s="348" t="str">
        <f>IFERROR(INDEX(DATA_PROPERTY_MASTER!$F$5:$F$21,MATCH($A31,DATA_PROPERTY_MASTER!$A$5:$A$21,0)),"")</f>
        <v>Excluded</v>
      </c>
      <c r="I31" t="s">
        <v>1503</v>
      </c>
      <c r="J31" s="348" t="str">
        <f t="shared" ca="1" si="2"/>
        <v>Formula-linked</v>
      </c>
    </row>
    <row r="32" spans="1:10">
      <c r="A32" s="366" t="s">
        <v>433</v>
      </c>
      <c r="B32" s="366">
        <v>2029</v>
      </c>
      <c r="C32" s="366" t="s">
        <v>1504</v>
      </c>
      <c r="D32" s="366">
        <v>63</v>
      </c>
      <c r="E32" s="348">
        <f t="shared" ca="1" si="0"/>
        <v>0</v>
      </c>
      <c r="F32" s="348" t="str">
        <f t="shared" si="1"/>
        <v>BLD_AB</v>
      </c>
      <c r="G32" s="348" t="str">
        <f>IFERROR(INDEX(DATA_PROPERTY_MASTER!$E$5:$E$21,MATCH($A32,DATA_PROPERTY_MASTER!$A$5:$A$21,0)),"")</f>
        <v>No</v>
      </c>
      <c r="H32" s="348" t="str">
        <f>IFERROR(INDEX(DATA_PROPERTY_MASTER!$F$5:$F$21,MATCH($A32,DATA_PROPERTY_MASTER!$A$5:$A$21,0)),"")</f>
        <v>Excluded</v>
      </c>
      <c r="I32" t="s">
        <v>1503</v>
      </c>
      <c r="J32" s="348" t="str">
        <f t="shared" ca="1" si="2"/>
        <v>Formula-linked</v>
      </c>
    </row>
    <row r="33" spans="1:10">
      <c r="A33" s="366" t="s">
        <v>433</v>
      </c>
      <c r="B33" s="366">
        <v>2029</v>
      </c>
      <c r="C33" s="366" t="s">
        <v>370</v>
      </c>
      <c r="D33" s="366">
        <v>64</v>
      </c>
      <c r="E33" s="348">
        <f t="shared" ca="1" si="0"/>
        <v>0</v>
      </c>
      <c r="F33" s="348" t="str">
        <f t="shared" si="1"/>
        <v>BLD_AB</v>
      </c>
      <c r="G33" s="348" t="str">
        <f>IFERROR(INDEX(DATA_PROPERTY_MASTER!$E$5:$E$21,MATCH($A33,DATA_PROPERTY_MASTER!$A$5:$A$21,0)),"")</f>
        <v>No</v>
      </c>
      <c r="H33" s="348" t="str">
        <f>IFERROR(INDEX(DATA_PROPERTY_MASTER!$F$5:$F$21,MATCH($A33,DATA_PROPERTY_MASTER!$A$5:$A$21,0)),"")</f>
        <v>Excluded</v>
      </c>
      <c r="I33" t="s">
        <v>1498</v>
      </c>
      <c r="J33" s="348" t="str">
        <f t="shared" ca="1" si="2"/>
        <v>Formula-linked</v>
      </c>
    </row>
    <row r="34" spans="1:10">
      <c r="A34" s="366" t="s">
        <v>433</v>
      </c>
      <c r="B34" s="366">
        <v>2029</v>
      </c>
      <c r="C34" s="366" t="s">
        <v>544</v>
      </c>
      <c r="D34" s="366">
        <v>68</v>
      </c>
      <c r="E34" s="348">
        <f t="shared" ca="1" si="0"/>
        <v>250540.2408109419</v>
      </c>
      <c r="F34" s="348" t="str">
        <f t="shared" si="1"/>
        <v>BLD_AB</v>
      </c>
      <c r="G34" s="348" t="str">
        <f>IFERROR(INDEX(DATA_PROPERTY_MASTER!$E$5:$E$21,MATCH($A34,DATA_PROPERTY_MASTER!$A$5:$A$21,0)),"")</f>
        <v>No</v>
      </c>
      <c r="H34" s="348" t="str">
        <f>IFERROR(INDEX(DATA_PROPERTY_MASTER!$F$5:$F$21,MATCH($A34,DATA_PROPERTY_MASTER!$A$5:$A$21,0)),"")</f>
        <v>Excluded</v>
      </c>
      <c r="I34" t="s">
        <v>1501</v>
      </c>
      <c r="J34" s="348" t="str">
        <f t="shared" ca="1" si="2"/>
        <v>Formula-linked</v>
      </c>
    </row>
    <row r="35" spans="1:10">
      <c r="A35" s="366" t="s">
        <v>433</v>
      </c>
      <c r="B35" s="366">
        <v>2029</v>
      </c>
      <c r="C35" s="366" t="s">
        <v>378</v>
      </c>
      <c r="D35" s="366">
        <v>73</v>
      </c>
      <c r="E35" s="348">
        <f t="shared" ca="1" si="0"/>
        <v>10439176.700455913</v>
      </c>
      <c r="F35" s="348" t="str">
        <f t="shared" si="1"/>
        <v>BLD_AB</v>
      </c>
      <c r="G35" s="348" t="str">
        <f>IFERROR(INDEX(DATA_PROPERTY_MASTER!$E$5:$E$21,MATCH($A35,DATA_PROPERTY_MASTER!$A$5:$A$21,0)),"")</f>
        <v>No</v>
      </c>
      <c r="H35" s="348" t="str">
        <f>IFERROR(INDEX(DATA_PROPERTY_MASTER!$F$5:$F$21,MATCH($A35,DATA_PROPERTY_MASTER!$A$5:$A$21,0)),"")</f>
        <v>Excluded</v>
      </c>
      <c r="I35" t="s">
        <v>1505</v>
      </c>
      <c r="J35" s="348" t="str">
        <f t="shared" ca="1" si="2"/>
        <v>Formula-linked</v>
      </c>
    </row>
    <row r="36" spans="1:10">
      <c r="A36" s="366" t="s">
        <v>433</v>
      </c>
      <c r="B36" s="366">
        <v>2029</v>
      </c>
      <c r="C36" s="366" t="s">
        <v>1506</v>
      </c>
      <c r="D36" s="366">
        <v>77</v>
      </c>
      <c r="E36" s="348">
        <f t="shared" ca="1" si="0"/>
        <v>10439176.700455913</v>
      </c>
      <c r="F36" s="348" t="str">
        <f t="shared" si="1"/>
        <v>BLD_AB</v>
      </c>
      <c r="G36" s="348" t="str">
        <f>IFERROR(INDEX(DATA_PROPERTY_MASTER!$E$5:$E$21,MATCH($A36,DATA_PROPERTY_MASTER!$A$5:$A$21,0)),"")</f>
        <v>No</v>
      </c>
      <c r="H36" s="348" t="str">
        <f>IFERROR(INDEX(DATA_PROPERTY_MASTER!$F$5:$F$21,MATCH($A36,DATA_PROPERTY_MASTER!$A$5:$A$21,0)),"")</f>
        <v>Excluded</v>
      </c>
      <c r="I36" t="s">
        <v>1505</v>
      </c>
      <c r="J36" s="348" t="str">
        <f t="shared" ca="1" si="2"/>
        <v>Formula-linked</v>
      </c>
    </row>
    <row r="37" spans="1:10">
      <c r="A37" s="366" t="s">
        <v>433</v>
      </c>
      <c r="B37" s="366">
        <v>2035</v>
      </c>
      <c r="C37" s="366" t="s">
        <v>341</v>
      </c>
      <c r="D37" s="366">
        <v>24</v>
      </c>
      <c r="E37" s="348">
        <f t="shared" ca="1" si="0"/>
        <v>903739.75068007957</v>
      </c>
      <c r="F37" s="348" t="str">
        <f t="shared" si="1"/>
        <v>BLD_AB</v>
      </c>
      <c r="G37" s="348" t="str">
        <f>IFERROR(INDEX(DATA_PROPERTY_MASTER!$E$5:$E$21,MATCH($A37,DATA_PROPERTY_MASTER!$A$5:$A$21,0)),"")</f>
        <v>No</v>
      </c>
      <c r="H37" s="348" t="str">
        <f>IFERROR(INDEX(DATA_PROPERTY_MASTER!$F$5:$F$21,MATCH($A37,DATA_PROPERTY_MASTER!$A$5:$A$21,0)),"")</f>
        <v>Excluded</v>
      </c>
      <c r="I37" t="s">
        <v>1495</v>
      </c>
      <c r="J37" s="348" t="str">
        <f t="shared" ca="1" si="2"/>
        <v>Formula-linked</v>
      </c>
    </row>
    <row r="38" spans="1:10">
      <c r="A38" s="366" t="s">
        <v>433</v>
      </c>
      <c r="B38" s="366">
        <v>2035</v>
      </c>
      <c r="C38" s="366" t="s">
        <v>355</v>
      </c>
      <c r="D38" s="366">
        <v>39</v>
      </c>
      <c r="E38" s="348">
        <f t="shared" ca="1" si="0"/>
        <v>219664.30219160279</v>
      </c>
      <c r="F38" s="348" t="str">
        <f t="shared" si="1"/>
        <v>BLD_AB</v>
      </c>
      <c r="G38" s="348" t="str">
        <f>IFERROR(INDEX(DATA_PROPERTY_MASTER!$E$5:$E$21,MATCH($A38,DATA_PROPERTY_MASTER!$A$5:$A$21,0)),"")</f>
        <v>No</v>
      </c>
      <c r="H38" s="348" t="str">
        <f>IFERROR(INDEX(DATA_PROPERTY_MASTER!$F$5:$F$21,MATCH($A38,DATA_PROPERTY_MASTER!$A$5:$A$21,0)),"")</f>
        <v>Excluded</v>
      </c>
      <c r="I38" t="s">
        <v>1496</v>
      </c>
      <c r="J38" s="348" t="str">
        <f t="shared" ca="1" si="2"/>
        <v>Formula-linked</v>
      </c>
    </row>
    <row r="39" spans="1:10">
      <c r="A39" s="366" t="s">
        <v>433</v>
      </c>
      <c r="B39" s="366">
        <v>2035</v>
      </c>
      <c r="C39" s="366" t="s">
        <v>1497</v>
      </c>
      <c r="D39" s="366">
        <v>41</v>
      </c>
      <c r="E39" s="348">
        <f t="shared" ca="1" si="0"/>
        <v>684075.4484884768</v>
      </c>
      <c r="F39" s="348" t="str">
        <f t="shared" si="1"/>
        <v>BLD_AB</v>
      </c>
      <c r="G39" s="348" t="str">
        <f>IFERROR(INDEX(DATA_PROPERTY_MASTER!$E$5:$E$21,MATCH($A39,DATA_PROPERTY_MASTER!$A$5:$A$21,0)),"")</f>
        <v>No</v>
      </c>
      <c r="H39" s="348" t="str">
        <f>IFERROR(INDEX(DATA_PROPERTY_MASTER!$F$5:$F$21,MATCH($A39,DATA_PROPERTY_MASTER!$A$5:$A$21,0)),"")</f>
        <v>Excluded</v>
      </c>
      <c r="I39" t="s">
        <v>1497</v>
      </c>
      <c r="J39" s="348" t="str">
        <f t="shared" ca="1" si="2"/>
        <v>Formula-linked</v>
      </c>
    </row>
    <row r="40" spans="1:10">
      <c r="A40" s="366" t="s">
        <v>433</v>
      </c>
      <c r="B40" s="366">
        <v>2035</v>
      </c>
      <c r="C40" s="366" t="s">
        <v>21</v>
      </c>
      <c r="D40" s="366">
        <v>45</v>
      </c>
      <c r="E40" s="348">
        <f t="shared" ca="1" si="0"/>
        <v>675664.38699051295</v>
      </c>
      <c r="F40" s="348" t="str">
        <f t="shared" si="1"/>
        <v>BLD_AB</v>
      </c>
      <c r="G40" s="348" t="str">
        <f>IFERROR(INDEX(DATA_PROPERTY_MASTER!$E$5:$E$21,MATCH($A40,DATA_PROPERTY_MASTER!$A$5:$A$21,0)),"")</f>
        <v>No</v>
      </c>
      <c r="H40" s="348" t="str">
        <f>IFERROR(INDEX(DATA_PROPERTY_MASTER!$F$5:$F$21,MATCH($A40,DATA_PROPERTY_MASTER!$A$5:$A$21,0)),"")</f>
        <v>Excluded</v>
      </c>
      <c r="I40" t="s">
        <v>1497</v>
      </c>
      <c r="J40" s="348" t="str">
        <f t="shared" ca="1" si="2"/>
        <v>Formula-linked</v>
      </c>
    </row>
    <row r="41" spans="1:10">
      <c r="A41" s="366" t="s">
        <v>433</v>
      </c>
      <c r="B41" s="366">
        <v>2035</v>
      </c>
      <c r="C41" s="366" t="s">
        <v>23</v>
      </c>
      <c r="D41" s="366">
        <v>48</v>
      </c>
      <c r="E41" s="348">
        <f t="shared" ca="1" si="0"/>
        <v>0</v>
      </c>
      <c r="F41" s="348" t="str">
        <f t="shared" si="1"/>
        <v>BLD_AB</v>
      </c>
      <c r="G41" s="348" t="str">
        <f>IFERROR(INDEX(DATA_PROPERTY_MASTER!$E$5:$E$21,MATCH($A41,DATA_PROPERTY_MASTER!$A$5:$A$21,0)),"")</f>
        <v>No</v>
      </c>
      <c r="H41" s="348" t="str">
        <f>IFERROR(INDEX(DATA_PROPERTY_MASTER!$F$5:$F$21,MATCH($A41,DATA_PROPERTY_MASTER!$A$5:$A$21,0)),"")</f>
        <v>Excluded</v>
      </c>
      <c r="I41" t="s">
        <v>1498</v>
      </c>
      <c r="J41" s="348" t="str">
        <f t="shared" ca="1" si="2"/>
        <v>Formula-linked</v>
      </c>
    </row>
    <row r="42" spans="1:10">
      <c r="A42" s="366" t="s">
        <v>433</v>
      </c>
      <c r="B42" s="366">
        <v>2035</v>
      </c>
      <c r="C42" s="366" t="s">
        <v>213</v>
      </c>
      <c r="D42" s="366">
        <v>50</v>
      </c>
      <c r="E42" s="348" t="str">
        <f t="shared" ca="1" si="0"/>
        <v/>
      </c>
      <c r="F42" s="348" t="str">
        <f t="shared" si="1"/>
        <v>BLD_AB</v>
      </c>
      <c r="G42" s="348" t="str">
        <f>IFERROR(INDEX(DATA_PROPERTY_MASTER!$E$5:$E$21,MATCH($A42,DATA_PROPERTY_MASTER!$A$5:$A$21,0)),"")</f>
        <v>No</v>
      </c>
      <c r="H42" s="348" t="str">
        <f>IFERROR(INDEX(DATA_PROPERTY_MASTER!$F$5:$F$21,MATCH($A42,DATA_PROPERTY_MASTER!$A$5:$A$21,0)),"")</f>
        <v>Excluded</v>
      </c>
      <c r="I42" t="s">
        <v>1499</v>
      </c>
      <c r="J42" s="348" t="str">
        <f t="shared" ca="1" si="2"/>
        <v>Review</v>
      </c>
    </row>
    <row r="43" spans="1:10">
      <c r="A43" s="366" t="s">
        <v>433</v>
      </c>
      <c r="B43" s="366">
        <v>2035</v>
      </c>
      <c r="C43" s="366" t="s">
        <v>1500</v>
      </c>
      <c r="D43" s="366">
        <v>52</v>
      </c>
      <c r="E43" s="348">
        <f t="shared" ca="1" si="0"/>
        <v>684075.4484884768</v>
      </c>
      <c r="F43" s="348" t="str">
        <f t="shared" si="1"/>
        <v>BLD_AB</v>
      </c>
      <c r="G43" s="348" t="str">
        <f>IFERROR(INDEX(DATA_PROPERTY_MASTER!$E$5:$E$21,MATCH($A43,DATA_PROPERTY_MASTER!$A$5:$A$21,0)),"")</f>
        <v>No</v>
      </c>
      <c r="H43" s="348" t="str">
        <f>IFERROR(INDEX(DATA_PROPERTY_MASTER!$F$5:$F$21,MATCH($A43,DATA_PROPERTY_MASTER!$A$5:$A$21,0)),"")</f>
        <v>Excluded</v>
      </c>
      <c r="I43" t="s">
        <v>1501</v>
      </c>
      <c r="J43" s="348" t="str">
        <f t="shared" ca="1" si="2"/>
        <v>Formula-linked</v>
      </c>
    </row>
    <row r="44" spans="1:10">
      <c r="A44" s="366" t="s">
        <v>433</v>
      </c>
      <c r="B44" s="366">
        <v>2035</v>
      </c>
      <c r="C44" s="366" t="s">
        <v>27</v>
      </c>
      <c r="D44" s="366">
        <v>54</v>
      </c>
      <c r="E44" s="348">
        <f t="shared" ca="1" si="0"/>
        <v>410445.26909308607</v>
      </c>
      <c r="F44" s="348" t="str">
        <f t="shared" si="1"/>
        <v>BLD_AB</v>
      </c>
      <c r="G44" s="348" t="str">
        <f>IFERROR(INDEX(DATA_PROPERTY_MASTER!$E$5:$E$21,MATCH($A44,DATA_PROPERTY_MASTER!$A$5:$A$21,0)),"")</f>
        <v>No</v>
      </c>
      <c r="H44" s="348" t="str">
        <f>IFERROR(INDEX(DATA_PROPERTY_MASTER!$F$5:$F$21,MATCH($A44,DATA_PROPERTY_MASTER!$A$5:$A$21,0)),"")</f>
        <v>Excluded</v>
      </c>
      <c r="I44" t="s">
        <v>1501</v>
      </c>
      <c r="J44" s="348" t="str">
        <f t="shared" ca="1" si="2"/>
        <v>Formula-linked</v>
      </c>
    </row>
    <row r="45" spans="1:10">
      <c r="A45" s="366" t="s">
        <v>433</v>
      </c>
      <c r="B45" s="366">
        <v>2035</v>
      </c>
      <c r="C45" s="366" t="s">
        <v>1502</v>
      </c>
      <c r="D45" s="366">
        <v>56</v>
      </c>
      <c r="E45" s="348">
        <f t="shared" ca="1" si="0"/>
        <v>273630.17939539073</v>
      </c>
      <c r="F45" s="348" t="str">
        <f t="shared" si="1"/>
        <v>BLD_AB</v>
      </c>
      <c r="G45" s="348" t="str">
        <f>IFERROR(INDEX(DATA_PROPERTY_MASTER!$E$5:$E$21,MATCH($A45,DATA_PROPERTY_MASTER!$A$5:$A$21,0)),"")</f>
        <v>No</v>
      </c>
      <c r="H45" s="348" t="str">
        <f>IFERROR(INDEX(DATA_PROPERTY_MASTER!$F$5:$F$21,MATCH($A45,DATA_PROPERTY_MASTER!$A$5:$A$21,0)),"")</f>
        <v>Excluded</v>
      </c>
      <c r="I45" t="s">
        <v>1501</v>
      </c>
      <c r="J45" s="348" t="str">
        <f t="shared" ca="1" si="2"/>
        <v>Formula-linked</v>
      </c>
    </row>
    <row r="46" spans="1:10">
      <c r="A46" s="366" t="s">
        <v>433</v>
      </c>
      <c r="B46" s="366">
        <v>2035</v>
      </c>
      <c r="C46" s="366" t="s">
        <v>367</v>
      </c>
      <c r="D46" s="366">
        <v>61</v>
      </c>
      <c r="E46" s="348">
        <f t="shared" ca="1" si="0"/>
        <v>0</v>
      </c>
      <c r="F46" s="348" t="str">
        <f t="shared" si="1"/>
        <v>BLD_AB</v>
      </c>
      <c r="G46" s="348" t="str">
        <f>IFERROR(INDEX(DATA_PROPERTY_MASTER!$E$5:$E$21,MATCH($A46,DATA_PROPERTY_MASTER!$A$5:$A$21,0)),"")</f>
        <v>No</v>
      </c>
      <c r="H46" s="348" t="str">
        <f>IFERROR(INDEX(DATA_PROPERTY_MASTER!$F$5:$F$21,MATCH($A46,DATA_PROPERTY_MASTER!$A$5:$A$21,0)),"")</f>
        <v>Excluded</v>
      </c>
      <c r="I46" t="s">
        <v>1503</v>
      </c>
      <c r="J46" s="348" t="str">
        <f t="shared" ca="1" si="2"/>
        <v>Formula-linked</v>
      </c>
    </row>
    <row r="47" spans="1:10">
      <c r="A47" s="366" t="s">
        <v>433</v>
      </c>
      <c r="B47" s="366">
        <v>2035</v>
      </c>
      <c r="C47" s="366" t="s">
        <v>368</v>
      </c>
      <c r="D47" s="366">
        <v>62</v>
      </c>
      <c r="E47" s="348">
        <f t="shared" ca="1" si="0"/>
        <v>0</v>
      </c>
      <c r="F47" s="348" t="str">
        <f t="shared" si="1"/>
        <v>BLD_AB</v>
      </c>
      <c r="G47" s="348" t="str">
        <f>IFERROR(INDEX(DATA_PROPERTY_MASTER!$E$5:$E$21,MATCH($A47,DATA_PROPERTY_MASTER!$A$5:$A$21,0)),"")</f>
        <v>No</v>
      </c>
      <c r="H47" s="348" t="str">
        <f>IFERROR(INDEX(DATA_PROPERTY_MASTER!$F$5:$F$21,MATCH($A47,DATA_PROPERTY_MASTER!$A$5:$A$21,0)),"")</f>
        <v>Excluded</v>
      </c>
      <c r="I47" t="s">
        <v>1503</v>
      </c>
      <c r="J47" s="348" t="str">
        <f t="shared" ca="1" si="2"/>
        <v>Formula-linked</v>
      </c>
    </row>
    <row r="48" spans="1:10">
      <c r="A48" s="366" t="s">
        <v>433</v>
      </c>
      <c r="B48" s="366">
        <v>2035</v>
      </c>
      <c r="C48" s="366" t="s">
        <v>1504</v>
      </c>
      <c r="D48" s="366">
        <v>63</v>
      </c>
      <c r="E48" s="348">
        <f t="shared" ca="1" si="0"/>
        <v>0</v>
      </c>
      <c r="F48" s="348" t="str">
        <f t="shared" si="1"/>
        <v>BLD_AB</v>
      </c>
      <c r="G48" s="348" t="str">
        <f>IFERROR(INDEX(DATA_PROPERTY_MASTER!$E$5:$E$21,MATCH($A48,DATA_PROPERTY_MASTER!$A$5:$A$21,0)),"")</f>
        <v>No</v>
      </c>
      <c r="H48" s="348" t="str">
        <f>IFERROR(INDEX(DATA_PROPERTY_MASTER!$F$5:$F$21,MATCH($A48,DATA_PROPERTY_MASTER!$A$5:$A$21,0)),"")</f>
        <v>Excluded</v>
      </c>
      <c r="I48" t="s">
        <v>1503</v>
      </c>
      <c r="J48" s="348" t="str">
        <f t="shared" ca="1" si="2"/>
        <v>Formula-linked</v>
      </c>
    </row>
    <row r="49" spans="1:10">
      <c r="A49" s="366" t="s">
        <v>433</v>
      </c>
      <c r="B49" s="366">
        <v>2035</v>
      </c>
      <c r="C49" s="366" t="s">
        <v>370</v>
      </c>
      <c r="D49" s="366">
        <v>64</v>
      </c>
      <c r="E49" s="348">
        <f t="shared" ca="1" si="0"/>
        <v>0</v>
      </c>
      <c r="F49" s="348" t="str">
        <f t="shared" si="1"/>
        <v>BLD_AB</v>
      </c>
      <c r="G49" s="348" t="str">
        <f>IFERROR(INDEX(DATA_PROPERTY_MASTER!$E$5:$E$21,MATCH($A49,DATA_PROPERTY_MASTER!$A$5:$A$21,0)),"")</f>
        <v>No</v>
      </c>
      <c r="H49" s="348" t="str">
        <f>IFERROR(INDEX(DATA_PROPERTY_MASTER!$F$5:$F$21,MATCH($A49,DATA_PROPERTY_MASTER!$A$5:$A$21,0)),"")</f>
        <v>Excluded</v>
      </c>
      <c r="I49" t="s">
        <v>1498</v>
      </c>
      <c r="J49" s="348" t="str">
        <f t="shared" ca="1" si="2"/>
        <v>Formula-linked</v>
      </c>
    </row>
    <row r="50" spans="1:10">
      <c r="A50" s="366" t="s">
        <v>433</v>
      </c>
      <c r="B50" s="366">
        <v>2035</v>
      </c>
      <c r="C50" s="366" t="s">
        <v>544</v>
      </c>
      <c r="D50" s="366">
        <v>68</v>
      </c>
      <c r="E50" s="348">
        <f t="shared" ca="1" si="0"/>
        <v>273630.17939539073</v>
      </c>
      <c r="F50" s="348" t="str">
        <f t="shared" si="1"/>
        <v>BLD_AB</v>
      </c>
      <c r="G50" s="348" t="str">
        <f>IFERROR(INDEX(DATA_PROPERTY_MASTER!$E$5:$E$21,MATCH($A50,DATA_PROPERTY_MASTER!$A$5:$A$21,0)),"")</f>
        <v>No</v>
      </c>
      <c r="H50" s="348" t="str">
        <f>IFERROR(INDEX(DATA_PROPERTY_MASTER!$F$5:$F$21,MATCH($A50,DATA_PROPERTY_MASTER!$A$5:$A$21,0)),"")</f>
        <v>Excluded</v>
      </c>
      <c r="I50" t="s">
        <v>1501</v>
      </c>
      <c r="J50" s="348" t="str">
        <f t="shared" ca="1" si="2"/>
        <v>Formula-linked</v>
      </c>
    </row>
    <row r="51" spans="1:10">
      <c r="A51" s="366" t="s">
        <v>433</v>
      </c>
      <c r="B51" s="366">
        <v>2035</v>
      </c>
      <c r="C51" s="366" t="s">
        <v>378</v>
      </c>
      <c r="D51" s="366">
        <v>73</v>
      </c>
      <c r="E51" s="348">
        <f t="shared" ca="1" si="0"/>
        <v>11401257.474807948</v>
      </c>
      <c r="F51" s="348" t="str">
        <f t="shared" si="1"/>
        <v>BLD_AB</v>
      </c>
      <c r="G51" s="348" t="str">
        <f>IFERROR(INDEX(DATA_PROPERTY_MASTER!$E$5:$E$21,MATCH($A51,DATA_PROPERTY_MASTER!$A$5:$A$21,0)),"")</f>
        <v>No</v>
      </c>
      <c r="H51" s="348" t="str">
        <f>IFERROR(INDEX(DATA_PROPERTY_MASTER!$F$5:$F$21,MATCH($A51,DATA_PROPERTY_MASTER!$A$5:$A$21,0)),"")</f>
        <v>Excluded</v>
      </c>
      <c r="I51" t="s">
        <v>1505</v>
      </c>
      <c r="J51" s="348" t="str">
        <f t="shared" ca="1" si="2"/>
        <v>Formula-linked</v>
      </c>
    </row>
    <row r="52" spans="1:10">
      <c r="A52" s="366" t="s">
        <v>433</v>
      </c>
      <c r="B52" s="366">
        <v>2035</v>
      </c>
      <c r="C52" s="366" t="s">
        <v>1506</v>
      </c>
      <c r="D52" s="366">
        <v>77</v>
      </c>
      <c r="E52" s="348">
        <f t="shared" ca="1" si="0"/>
        <v>11401257.474807948</v>
      </c>
      <c r="F52" s="348" t="str">
        <f t="shared" si="1"/>
        <v>BLD_AB</v>
      </c>
      <c r="G52" s="348" t="str">
        <f>IFERROR(INDEX(DATA_PROPERTY_MASTER!$E$5:$E$21,MATCH($A52,DATA_PROPERTY_MASTER!$A$5:$A$21,0)),"")</f>
        <v>No</v>
      </c>
      <c r="H52" s="348" t="str">
        <f>IFERROR(INDEX(DATA_PROPERTY_MASTER!$F$5:$F$21,MATCH($A52,DATA_PROPERTY_MASTER!$A$5:$A$21,0)),"")</f>
        <v>Excluded</v>
      </c>
      <c r="I52" t="s">
        <v>1505</v>
      </c>
      <c r="J52" s="348" t="str">
        <f t="shared" ca="1" si="2"/>
        <v>Formula-linked</v>
      </c>
    </row>
    <row r="53" spans="1:10">
      <c r="A53" s="366" t="s">
        <v>438</v>
      </c>
      <c r="B53" s="366">
        <v>2025</v>
      </c>
      <c r="C53" s="366" t="s">
        <v>341</v>
      </c>
      <c r="D53" s="366">
        <v>24</v>
      </c>
      <c r="E53" s="348">
        <f t="shared" ca="1" si="0"/>
        <v>323425.47799999994</v>
      </c>
      <c r="F53" s="348" t="str">
        <f t="shared" si="1"/>
        <v>BLD_AC</v>
      </c>
      <c r="G53" s="348" t="str">
        <f>IFERROR(INDEX(DATA_PROPERTY_MASTER!$E$5:$E$21,MATCH($A53,DATA_PROPERTY_MASTER!$A$5:$A$21,0)),"")</f>
        <v>Yes</v>
      </c>
      <c r="H53" s="348" t="str">
        <f ca="1">IFERROR(INDEX(DATA_PROPERTY_MASTER!$F$5:$F$21,MATCH($A53,DATA_PROPERTY_MASTER!$A$5:$A$21,0)),"")</f>
        <v>Stable</v>
      </c>
      <c r="I53" t="s">
        <v>1495</v>
      </c>
      <c r="J53" s="348" t="str">
        <f t="shared" ca="1" si="2"/>
        <v>Formula-linked</v>
      </c>
    </row>
    <row r="54" spans="1:10">
      <c r="A54" s="366" t="s">
        <v>438</v>
      </c>
      <c r="B54" s="366">
        <v>2025</v>
      </c>
      <c r="C54" s="366" t="s">
        <v>355</v>
      </c>
      <c r="D54" s="366">
        <v>39</v>
      </c>
      <c r="E54" s="348">
        <f t="shared" ca="1" si="0"/>
        <v>150569</v>
      </c>
      <c r="F54" s="348" t="str">
        <f t="shared" si="1"/>
        <v>BLD_AC</v>
      </c>
      <c r="G54" s="348" t="str">
        <f>IFERROR(INDEX(DATA_PROPERTY_MASTER!$E$5:$E$21,MATCH($A54,DATA_PROPERTY_MASTER!$A$5:$A$21,0)),"")</f>
        <v>Yes</v>
      </c>
      <c r="H54" s="348" t="str">
        <f ca="1">IFERROR(INDEX(DATA_PROPERTY_MASTER!$F$5:$F$21,MATCH($A54,DATA_PROPERTY_MASTER!$A$5:$A$21,0)),"")</f>
        <v>Stable</v>
      </c>
      <c r="I54" t="s">
        <v>1496</v>
      </c>
      <c r="J54" s="348" t="str">
        <f t="shared" ca="1" si="2"/>
        <v>Formula-linked</v>
      </c>
    </row>
    <row r="55" spans="1:10">
      <c r="A55" s="366" t="s">
        <v>438</v>
      </c>
      <c r="B55" s="366">
        <v>2025</v>
      </c>
      <c r="C55" s="366" t="s">
        <v>1497</v>
      </c>
      <c r="D55" s="366">
        <v>41</v>
      </c>
      <c r="E55" s="348">
        <f t="shared" ca="1" si="0"/>
        <v>172856.47799999994</v>
      </c>
      <c r="F55" s="348" t="str">
        <f t="shared" si="1"/>
        <v>BLD_AC</v>
      </c>
      <c r="G55" s="348" t="str">
        <f>IFERROR(INDEX(DATA_PROPERTY_MASTER!$E$5:$E$21,MATCH($A55,DATA_PROPERTY_MASTER!$A$5:$A$21,0)),"")</f>
        <v>Yes</v>
      </c>
      <c r="H55" s="348" t="str">
        <f ca="1">IFERROR(INDEX(DATA_PROPERTY_MASTER!$F$5:$F$21,MATCH($A55,DATA_PROPERTY_MASTER!$A$5:$A$21,0)),"")</f>
        <v>Stable</v>
      </c>
      <c r="I55" t="s">
        <v>1497</v>
      </c>
      <c r="J55" s="348" t="str">
        <f t="shared" ca="1" si="2"/>
        <v>Formula-linked</v>
      </c>
    </row>
    <row r="56" spans="1:10">
      <c r="A56" s="366" t="s">
        <v>438</v>
      </c>
      <c r="B56" s="366">
        <v>2025</v>
      </c>
      <c r="C56" s="366" t="s">
        <v>21</v>
      </c>
      <c r="D56" s="366">
        <v>45</v>
      </c>
      <c r="E56" s="348">
        <f t="shared" ca="1" si="0"/>
        <v>169706.47799999994</v>
      </c>
      <c r="F56" s="348" t="str">
        <f t="shared" si="1"/>
        <v>BLD_AC</v>
      </c>
      <c r="G56" s="348" t="str">
        <f>IFERROR(INDEX(DATA_PROPERTY_MASTER!$E$5:$E$21,MATCH($A56,DATA_PROPERTY_MASTER!$A$5:$A$21,0)),"")</f>
        <v>Yes</v>
      </c>
      <c r="H56" s="348" t="str">
        <f ca="1">IFERROR(INDEX(DATA_PROPERTY_MASTER!$F$5:$F$21,MATCH($A56,DATA_PROPERTY_MASTER!$A$5:$A$21,0)),"")</f>
        <v>Stable</v>
      </c>
      <c r="I56" t="s">
        <v>1497</v>
      </c>
      <c r="J56" s="348" t="str">
        <f t="shared" ca="1" si="2"/>
        <v>Formula-linked</v>
      </c>
    </row>
    <row r="57" spans="1:10">
      <c r="A57" s="366" t="s">
        <v>438</v>
      </c>
      <c r="B57" s="366">
        <v>2025</v>
      </c>
      <c r="C57" s="366" t="s">
        <v>23</v>
      </c>
      <c r="D57" s="366">
        <v>48</v>
      </c>
      <c r="E57" s="348">
        <f t="shared" ca="1" si="0"/>
        <v>54330.12</v>
      </c>
      <c r="F57" s="348" t="str">
        <f t="shared" si="1"/>
        <v>BLD_AC</v>
      </c>
      <c r="G57" s="348" t="str">
        <f>IFERROR(INDEX(DATA_PROPERTY_MASTER!$E$5:$E$21,MATCH($A57,DATA_PROPERTY_MASTER!$A$5:$A$21,0)),"")</f>
        <v>Yes</v>
      </c>
      <c r="H57" s="348" t="str">
        <f ca="1">IFERROR(INDEX(DATA_PROPERTY_MASTER!$F$5:$F$21,MATCH($A57,DATA_PROPERTY_MASTER!$A$5:$A$21,0)),"")</f>
        <v>Stable</v>
      </c>
      <c r="I57" t="s">
        <v>1498</v>
      </c>
      <c r="J57" s="348" t="str">
        <f t="shared" ca="1" si="2"/>
        <v>Formula-linked</v>
      </c>
    </row>
    <row r="58" spans="1:10">
      <c r="A58" s="366" t="s">
        <v>438</v>
      </c>
      <c r="B58" s="366">
        <v>2025</v>
      </c>
      <c r="C58" s="366" t="s">
        <v>213</v>
      </c>
      <c r="D58" s="366">
        <v>50</v>
      </c>
      <c r="E58" s="348">
        <f t="shared" ca="1" si="0"/>
        <v>3.181595733637252</v>
      </c>
      <c r="F58" s="348" t="str">
        <f t="shared" si="1"/>
        <v>BLD_AC</v>
      </c>
      <c r="G58" s="348" t="str">
        <f>IFERROR(INDEX(DATA_PROPERTY_MASTER!$E$5:$E$21,MATCH($A58,DATA_PROPERTY_MASTER!$A$5:$A$21,0)),"")</f>
        <v>Yes</v>
      </c>
      <c r="H58" s="348" t="str">
        <f ca="1">IFERROR(INDEX(DATA_PROPERTY_MASTER!$F$5:$F$21,MATCH($A58,DATA_PROPERTY_MASTER!$A$5:$A$21,0)),"")</f>
        <v>Stable</v>
      </c>
      <c r="I58" t="s">
        <v>1499</v>
      </c>
      <c r="J58" s="348" t="str">
        <f t="shared" ca="1" si="2"/>
        <v>Formula-linked</v>
      </c>
    </row>
    <row r="59" spans="1:10">
      <c r="A59" s="366" t="s">
        <v>438</v>
      </c>
      <c r="B59" s="366">
        <v>2025</v>
      </c>
      <c r="C59" s="366" t="s">
        <v>1500</v>
      </c>
      <c r="D59" s="366">
        <v>52</v>
      </c>
      <c r="E59" s="348">
        <f t="shared" ca="1" si="0"/>
        <v>118526.35799999995</v>
      </c>
      <c r="F59" s="348" t="str">
        <f t="shared" si="1"/>
        <v>BLD_AC</v>
      </c>
      <c r="G59" s="348" t="str">
        <f>IFERROR(INDEX(DATA_PROPERTY_MASTER!$E$5:$E$21,MATCH($A59,DATA_PROPERTY_MASTER!$A$5:$A$21,0)),"")</f>
        <v>Yes</v>
      </c>
      <c r="H59" s="348" t="str">
        <f ca="1">IFERROR(INDEX(DATA_PROPERTY_MASTER!$F$5:$F$21,MATCH($A59,DATA_PROPERTY_MASTER!$A$5:$A$21,0)),"")</f>
        <v>Stable</v>
      </c>
      <c r="I59" t="s">
        <v>1501</v>
      </c>
      <c r="J59" s="348" t="str">
        <f t="shared" ca="1" si="2"/>
        <v>Formula-linked</v>
      </c>
    </row>
    <row r="60" spans="1:10">
      <c r="A60" s="366" t="s">
        <v>438</v>
      </c>
      <c r="B60" s="366">
        <v>2025</v>
      </c>
      <c r="C60" s="366" t="s">
        <v>27</v>
      </c>
      <c r="D60" s="366">
        <v>54</v>
      </c>
      <c r="E60" s="348">
        <f t="shared" ca="1" si="0"/>
        <v>71115.814799999964</v>
      </c>
      <c r="F60" s="348" t="str">
        <f t="shared" si="1"/>
        <v>BLD_AC</v>
      </c>
      <c r="G60" s="348" t="str">
        <f>IFERROR(INDEX(DATA_PROPERTY_MASTER!$E$5:$E$21,MATCH($A60,DATA_PROPERTY_MASTER!$A$5:$A$21,0)),"")</f>
        <v>Yes</v>
      </c>
      <c r="H60" s="348" t="str">
        <f ca="1">IFERROR(INDEX(DATA_PROPERTY_MASTER!$F$5:$F$21,MATCH($A60,DATA_PROPERTY_MASTER!$A$5:$A$21,0)),"")</f>
        <v>Stable</v>
      </c>
      <c r="I60" t="s">
        <v>1501</v>
      </c>
      <c r="J60" s="348" t="str">
        <f t="shared" ca="1" si="2"/>
        <v>Formula-linked</v>
      </c>
    </row>
    <row r="61" spans="1:10">
      <c r="A61" s="366" t="s">
        <v>438</v>
      </c>
      <c r="B61" s="366">
        <v>2025</v>
      </c>
      <c r="C61" s="366" t="s">
        <v>1502</v>
      </c>
      <c r="D61" s="366">
        <v>56</v>
      </c>
      <c r="E61" s="348">
        <f t="shared" ca="1" si="0"/>
        <v>47410.543199999986</v>
      </c>
      <c r="F61" s="348" t="str">
        <f t="shared" si="1"/>
        <v>BLD_AC</v>
      </c>
      <c r="G61" s="348" t="str">
        <f>IFERROR(INDEX(DATA_PROPERTY_MASTER!$E$5:$E$21,MATCH($A61,DATA_PROPERTY_MASTER!$A$5:$A$21,0)),"")</f>
        <v>Yes</v>
      </c>
      <c r="H61" s="348" t="str">
        <f ca="1">IFERROR(INDEX(DATA_PROPERTY_MASTER!$F$5:$F$21,MATCH($A61,DATA_PROPERTY_MASTER!$A$5:$A$21,0)),"")</f>
        <v>Stable</v>
      </c>
      <c r="I61" t="s">
        <v>1501</v>
      </c>
      <c r="J61" s="348" t="str">
        <f t="shared" ca="1" si="2"/>
        <v>Formula-linked</v>
      </c>
    </row>
    <row r="62" spans="1:10">
      <c r="A62" s="366" t="s">
        <v>438</v>
      </c>
      <c r="B62" s="366">
        <v>2025</v>
      </c>
      <c r="C62" s="366" t="s">
        <v>367</v>
      </c>
      <c r="D62" s="366">
        <v>61</v>
      </c>
      <c r="E62" s="348">
        <f t="shared" ca="1" si="0"/>
        <v>0</v>
      </c>
      <c r="F62" s="348" t="str">
        <f t="shared" si="1"/>
        <v>BLD_AC</v>
      </c>
      <c r="G62" s="348" t="str">
        <f>IFERROR(INDEX(DATA_PROPERTY_MASTER!$E$5:$E$21,MATCH($A62,DATA_PROPERTY_MASTER!$A$5:$A$21,0)),"")</f>
        <v>Yes</v>
      </c>
      <c r="H62" s="348" t="str">
        <f ca="1">IFERROR(INDEX(DATA_PROPERTY_MASTER!$F$5:$F$21,MATCH($A62,DATA_PROPERTY_MASTER!$A$5:$A$21,0)),"")</f>
        <v>Stable</v>
      </c>
      <c r="I62" t="s">
        <v>1503</v>
      </c>
      <c r="J62" s="348" t="str">
        <f t="shared" ca="1" si="2"/>
        <v>Formula-linked</v>
      </c>
    </row>
    <row r="63" spans="1:10">
      <c r="A63" s="366" t="s">
        <v>438</v>
      </c>
      <c r="B63" s="366">
        <v>2025</v>
      </c>
      <c r="C63" s="366" t="s">
        <v>368</v>
      </c>
      <c r="D63" s="366">
        <v>62</v>
      </c>
      <c r="E63" s="348">
        <f t="shared" ca="1" si="0"/>
        <v>0</v>
      </c>
      <c r="F63" s="348" t="str">
        <f t="shared" si="1"/>
        <v>BLD_AC</v>
      </c>
      <c r="G63" s="348" t="str">
        <f>IFERROR(INDEX(DATA_PROPERTY_MASTER!$E$5:$E$21,MATCH($A63,DATA_PROPERTY_MASTER!$A$5:$A$21,0)),"")</f>
        <v>Yes</v>
      </c>
      <c r="H63" s="348" t="str">
        <f ca="1">IFERROR(INDEX(DATA_PROPERTY_MASTER!$F$5:$F$21,MATCH($A63,DATA_PROPERTY_MASTER!$A$5:$A$21,0)),"")</f>
        <v>Stable</v>
      </c>
      <c r="I63" t="s">
        <v>1503</v>
      </c>
      <c r="J63" s="348" t="str">
        <f t="shared" ca="1" si="2"/>
        <v>Formula-linked</v>
      </c>
    </row>
    <row r="64" spans="1:10">
      <c r="A64" s="366" t="s">
        <v>438</v>
      </c>
      <c r="B64" s="366">
        <v>2025</v>
      </c>
      <c r="C64" s="366" t="s">
        <v>1504</v>
      </c>
      <c r="D64" s="366">
        <v>63</v>
      </c>
      <c r="E64" s="348">
        <f t="shared" ca="1" si="0"/>
        <v>0</v>
      </c>
      <c r="F64" s="348" t="str">
        <f t="shared" si="1"/>
        <v>BLD_AC</v>
      </c>
      <c r="G64" s="348" t="str">
        <f>IFERROR(INDEX(DATA_PROPERTY_MASTER!$E$5:$E$21,MATCH($A64,DATA_PROPERTY_MASTER!$A$5:$A$21,0)),"")</f>
        <v>Yes</v>
      </c>
      <c r="H64" s="348" t="str">
        <f ca="1">IFERROR(INDEX(DATA_PROPERTY_MASTER!$F$5:$F$21,MATCH($A64,DATA_PROPERTY_MASTER!$A$5:$A$21,0)),"")</f>
        <v>Stable</v>
      </c>
      <c r="I64" t="s">
        <v>1503</v>
      </c>
      <c r="J64" s="348" t="str">
        <f t="shared" ca="1" si="2"/>
        <v>Formula-linked</v>
      </c>
    </row>
    <row r="65" spans="1:10">
      <c r="A65" s="366" t="s">
        <v>438</v>
      </c>
      <c r="B65" s="366">
        <v>2025</v>
      </c>
      <c r="C65" s="366" t="s">
        <v>370</v>
      </c>
      <c r="D65" s="366">
        <v>64</v>
      </c>
      <c r="E65" s="348">
        <f t="shared" ca="1" si="0"/>
        <v>772395.59564080008</v>
      </c>
      <c r="F65" s="348" t="str">
        <f t="shared" si="1"/>
        <v>BLD_AC</v>
      </c>
      <c r="G65" s="348" t="str">
        <f>IFERROR(INDEX(DATA_PROPERTY_MASTER!$E$5:$E$21,MATCH($A65,DATA_PROPERTY_MASTER!$A$5:$A$21,0)),"")</f>
        <v>Yes</v>
      </c>
      <c r="H65" s="348" t="str">
        <f ca="1">IFERROR(INDEX(DATA_PROPERTY_MASTER!$F$5:$F$21,MATCH($A65,DATA_PROPERTY_MASTER!$A$5:$A$21,0)),"")</f>
        <v>Stable</v>
      </c>
      <c r="I65" t="s">
        <v>1498</v>
      </c>
      <c r="J65" s="348" t="str">
        <f t="shared" ca="1" si="2"/>
        <v>Formula-linked</v>
      </c>
    </row>
    <row r="66" spans="1:10">
      <c r="A66" s="366" t="s">
        <v>438</v>
      </c>
      <c r="B66" s="366">
        <v>2025</v>
      </c>
      <c r="C66" s="366" t="s">
        <v>544</v>
      </c>
      <c r="D66" s="366">
        <v>68</v>
      </c>
      <c r="E66" s="348">
        <f t="shared" ca="1" si="0"/>
        <v>47410.543199999986</v>
      </c>
      <c r="F66" s="348" t="str">
        <f t="shared" si="1"/>
        <v>BLD_AC</v>
      </c>
      <c r="G66" s="348" t="str">
        <f>IFERROR(INDEX(DATA_PROPERTY_MASTER!$E$5:$E$21,MATCH($A66,DATA_PROPERTY_MASTER!$A$5:$A$21,0)),"")</f>
        <v>Yes</v>
      </c>
      <c r="H66" s="348" t="str">
        <f ca="1">IFERROR(INDEX(DATA_PROPERTY_MASTER!$F$5:$F$21,MATCH($A66,DATA_PROPERTY_MASTER!$A$5:$A$21,0)),"")</f>
        <v>Stable</v>
      </c>
      <c r="I66" t="s">
        <v>1501</v>
      </c>
      <c r="J66" s="348" t="str">
        <f t="shared" ca="1" si="2"/>
        <v>Formula-linked</v>
      </c>
    </row>
    <row r="67" spans="1:10">
      <c r="A67" s="366" t="s">
        <v>438</v>
      </c>
      <c r="B67" s="366">
        <v>2025</v>
      </c>
      <c r="C67" s="366" t="s">
        <v>378</v>
      </c>
      <c r="D67" s="366">
        <v>73</v>
      </c>
      <c r="E67" s="348">
        <f t="shared" ca="1" si="0"/>
        <v>2880941.2999999993</v>
      </c>
      <c r="F67" s="348" t="str">
        <f t="shared" si="1"/>
        <v>BLD_AC</v>
      </c>
      <c r="G67" s="348" t="str">
        <f>IFERROR(INDEX(DATA_PROPERTY_MASTER!$E$5:$E$21,MATCH($A67,DATA_PROPERTY_MASTER!$A$5:$A$21,0)),"")</f>
        <v>Yes</v>
      </c>
      <c r="H67" s="348" t="str">
        <f ca="1">IFERROR(INDEX(DATA_PROPERTY_MASTER!$F$5:$F$21,MATCH($A67,DATA_PROPERTY_MASTER!$A$5:$A$21,0)),"")</f>
        <v>Stable</v>
      </c>
      <c r="I67" t="s">
        <v>1505</v>
      </c>
      <c r="J67" s="348" t="str">
        <f t="shared" ca="1" si="2"/>
        <v>Formula-linked</v>
      </c>
    </row>
    <row r="68" spans="1:10">
      <c r="A68" s="366" t="s">
        <v>438</v>
      </c>
      <c r="B68" s="366">
        <v>2025</v>
      </c>
      <c r="C68" s="366" t="s">
        <v>1506</v>
      </c>
      <c r="D68" s="366">
        <v>77</v>
      </c>
      <c r="E68" s="348">
        <f t="shared" ca="1" si="0"/>
        <v>2108545.7043591994</v>
      </c>
      <c r="F68" s="348" t="str">
        <f t="shared" si="1"/>
        <v>BLD_AC</v>
      </c>
      <c r="G68" s="348" t="str">
        <f>IFERROR(INDEX(DATA_PROPERTY_MASTER!$E$5:$E$21,MATCH($A68,DATA_PROPERTY_MASTER!$A$5:$A$21,0)),"")</f>
        <v>Yes</v>
      </c>
      <c r="H68" s="348" t="str">
        <f ca="1">IFERROR(INDEX(DATA_PROPERTY_MASTER!$F$5:$F$21,MATCH($A68,DATA_PROPERTY_MASTER!$A$5:$A$21,0)),"")</f>
        <v>Stable</v>
      </c>
      <c r="I68" t="s">
        <v>1505</v>
      </c>
      <c r="J68" s="348" t="str">
        <f t="shared" ca="1" si="2"/>
        <v>Formula-linked</v>
      </c>
    </row>
    <row r="69" spans="1:10">
      <c r="A69" s="366" t="s">
        <v>438</v>
      </c>
      <c r="B69" s="366">
        <v>2029</v>
      </c>
      <c r="C69" s="366" t="s">
        <v>341</v>
      </c>
      <c r="D69" s="366">
        <v>24</v>
      </c>
      <c r="E69" s="348">
        <f t="shared" ref="E69:E132" ca="1" si="3">IFERROR(INDEX(INDIRECT("'"&amp;$A69&amp;"'!$E$"&amp;$D69&amp;":$Y$"&amp;$D69),1,MATCH($B69,INDIRECT("'"&amp;$A69&amp;"'!$E$12:$Y$12"),0)),"")</f>
        <v>422076.39705982659</v>
      </c>
      <c r="F69" s="348" t="str">
        <f t="shared" ref="F69:F132" si="4">$A69</f>
        <v>BLD_AC</v>
      </c>
      <c r="G69" s="348" t="str">
        <f>IFERROR(INDEX(DATA_PROPERTY_MASTER!$E$5:$E$21,MATCH($A69,DATA_PROPERTY_MASTER!$A$5:$A$21,0)),"")</f>
        <v>Yes</v>
      </c>
      <c r="H69" s="348" t="str">
        <f ca="1">IFERROR(INDEX(DATA_PROPERTY_MASTER!$F$5:$F$21,MATCH($A69,DATA_PROPERTY_MASTER!$A$5:$A$21,0)),"")</f>
        <v>Stable</v>
      </c>
      <c r="I69" t="s">
        <v>1495</v>
      </c>
      <c r="J69" s="348" t="str">
        <f t="shared" ref="J69:J132" ca="1" si="5">IF($E69="","Review","Formula-linked")</f>
        <v>Formula-linked</v>
      </c>
    </row>
    <row r="70" spans="1:10">
      <c r="A70" s="366" t="s">
        <v>438</v>
      </c>
      <c r="B70" s="366">
        <v>2029</v>
      </c>
      <c r="C70" s="366" t="s">
        <v>355</v>
      </c>
      <c r="D70" s="366">
        <v>39</v>
      </c>
      <c r="E70" s="348">
        <f t="shared" ca="1" si="3"/>
        <v>176144.43352064004</v>
      </c>
      <c r="F70" s="348" t="str">
        <f t="shared" si="4"/>
        <v>BLD_AC</v>
      </c>
      <c r="G70" s="348" t="str">
        <f>IFERROR(INDEX(DATA_PROPERTY_MASTER!$E$5:$E$21,MATCH($A70,DATA_PROPERTY_MASTER!$A$5:$A$21,0)),"")</f>
        <v>Yes</v>
      </c>
      <c r="H70" s="348" t="str">
        <f ca="1">IFERROR(INDEX(DATA_PROPERTY_MASTER!$F$5:$F$21,MATCH($A70,DATA_PROPERTY_MASTER!$A$5:$A$21,0)),"")</f>
        <v>Stable</v>
      </c>
      <c r="I70" t="s">
        <v>1496</v>
      </c>
      <c r="J70" s="348" t="str">
        <f t="shared" ca="1" si="5"/>
        <v>Formula-linked</v>
      </c>
    </row>
    <row r="71" spans="1:10">
      <c r="A71" s="366" t="s">
        <v>438</v>
      </c>
      <c r="B71" s="366">
        <v>2029</v>
      </c>
      <c r="C71" s="366" t="s">
        <v>1497</v>
      </c>
      <c r="D71" s="366">
        <v>41</v>
      </c>
      <c r="E71" s="348">
        <f t="shared" ca="1" si="3"/>
        <v>245931.96353918654</v>
      </c>
      <c r="F71" s="348" t="str">
        <f t="shared" si="4"/>
        <v>BLD_AC</v>
      </c>
      <c r="G71" s="348" t="str">
        <f>IFERROR(INDEX(DATA_PROPERTY_MASTER!$E$5:$E$21,MATCH($A71,DATA_PROPERTY_MASTER!$A$5:$A$21,0)),"")</f>
        <v>Yes</v>
      </c>
      <c r="H71" s="348" t="str">
        <f ca="1">IFERROR(INDEX(DATA_PROPERTY_MASTER!$F$5:$F$21,MATCH($A71,DATA_PROPERTY_MASTER!$A$5:$A$21,0)),"")</f>
        <v>Stable</v>
      </c>
      <c r="I71" t="s">
        <v>1497</v>
      </c>
      <c r="J71" s="348" t="str">
        <f t="shared" ca="1" si="5"/>
        <v>Formula-linked</v>
      </c>
    </row>
    <row r="72" spans="1:10">
      <c r="A72" s="366" t="s">
        <v>438</v>
      </c>
      <c r="B72" s="366">
        <v>2029</v>
      </c>
      <c r="C72" s="366" t="s">
        <v>21</v>
      </c>
      <c r="D72" s="366">
        <v>45</v>
      </c>
      <c r="E72" s="348">
        <f t="shared" ca="1" si="3"/>
        <v>242522.30223518654</v>
      </c>
      <c r="F72" s="348" t="str">
        <f t="shared" si="4"/>
        <v>BLD_AC</v>
      </c>
      <c r="G72" s="348" t="str">
        <f>IFERROR(INDEX(DATA_PROPERTY_MASTER!$E$5:$E$21,MATCH($A72,DATA_PROPERTY_MASTER!$A$5:$A$21,0)),"")</f>
        <v>Yes</v>
      </c>
      <c r="H72" s="348" t="str">
        <f ca="1">IFERROR(INDEX(DATA_PROPERTY_MASTER!$F$5:$F$21,MATCH($A72,DATA_PROPERTY_MASTER!$A$5:$A$21,0)),"")</f>
        <v>Stable</v>
      </c>
      <c r="I72" t="s">
        <v>1497</v>
      </c>
      <c r="J72" s="348" t="str">
        <f t="shared" ca="1" si="5"/>
        <v>Formula-linked</v>
      </c>
    </row>
    <row r="73" spans="1:10">
      <c r="A73" s="366" t="s">
        <v>438</v>
      </c>
      <c r="B73" s="366">
        <v>2029</v>
      </c>
      <c r="C73" s="366" t="s">
        <v>23</v>
      </c>
      <c r="D73" s="366">
        <v>48</v>
      </c>
      <c r="E73" s="348">
        <f t="shared" ca="1" si="3"/>
        <v>54330.12</v>
      </c>
      <c r="F73" s="348" t="str">
        <f t="shared" si="4"/>
        <v>BLD_AC</v>
      </c>
      <c r="G73" s="348" t="str">
        <f>IFERROR(INDEX(DATA_PROPERTY_MASTER!$E$5:$E$21,MATCH($A73,DATA_PROPERTY_MASTER!$A$5:$A$21,0)),"")</f>
        <v>Yes</v>
      </c>
      <c r="H73" s="348" t="str">
        <f ca="1">IFERROR(INDEX(DATA_PROPERTY_MASTER!$F$5:$F$21,MATCH($A73,DATA_PROPERTY_MASTER!$A$5:$A$21,0)),"")</f>
        <v>Stable</v>
      </c>
      <c r="I73" t="s">
        <v>1498</v>
      </c>
      <c r="J73" s="348" t="str">
        <f t="shared" ca="1" si="5"/>
        <v>Formula-linked</v>
      </c>
    </row>
    <row r="74" spans="1:10">
      <c r="A74" s="366" t="s">
        <v>438</v>
      </c>
      <c r="B74" s="366">
        <v>2029</v>
      </c>
      <c r="C74" s="366" t="s">
        <v>213</v>
      </c>
      <c r="D74" s="366">
        <v>50</v>
      </c>
      <c r="E74" s="348">
        <f t="shared" ca="1" si="3"/>
        <v>4.5266228666380002</v>
      </c>
      <c r="F74" s="348" t="str">
        <f t="shared" si="4"/>
        <v>BLD_AC</v>
      </c>
      <c r="G74" s="348" t="str">
        <f>IFERROR(INDEX(DATA_PROPERTY_MASTER!$E$5:$E$21,MATCH($A74,DATA_PROPERTY_MASTER!$A$5:$A$21,0)),"")</f>
        <v>Yes</v>
      </c>
      <c r="H74" s="348" t="str">
        <f ca="1">IFERROR(INDEX(DATA_PROPERTY_MASTER!$F$5:$F$21,MATCH($A74,DATA_PROPERTY_MASTER!$A$5:$A$21,0)),"")</f>
        <v>Stable</v>
      </c>
      <c r="I74" t="s">
        <v>1499</v>
      </c>
      <c r="J74" s="348" t="str">
        <f t="shared" ca="1" si="5"/>
        <v>Formula-linked</v>
      </c>
    </row>
    <row r="75" spans="1:10">
      <c r="A75" s="366" t="s">
        <v>438</v>
      </c>
      <c r="B75" s="366">
        <v>2029</v>
      </c>
      <c r="C75" s="366" t="s">
        <v>1500</v>
      </c>
      <c r="D75" s="366">
        <v>52</v>
      </c>
      <c r="E75" s="348">
        <f t="shared" ca="1" si="3"/>
        <v>191601.84353918655</v>
      </c>
      <c r="F75" s="348" t="str">
        <f t="shared" si="4"/>
        <v>BLD_AC</v>
      </c>
      <c r="G75" s="348" t="str">
        <f>IFERROR(INDEX(DATA_PROPERTY_MASTER!$E$5:$E$21,MATCH($A75,DATA_PROPERTY_MASTER!$A$5:$A$21,0)),"")</f>
        <v>Yes</v>
      </c>
      <c r="H75" s="348" t="str">
        <f ca="1">IFERROR(INDEX(DATA_PROPERTY_MASTER!$F$5:$F$21,MATCH($A75,DATA_PROPERTY_MASTER!$A$5:$A$21,0)),"")</f>
        <v>Stable</v>
      </c>
      <c r="I75" t="s">
        <v>1501</v>
      </c>
      <c r="J75" s="348" t="str">
        <f t="shared" ca="1" si="5"/>
        <v>Formula-linked</v>
      </c>
    </row>
    <row r="76" spans="1:10">
      <c r="A76" s="366" t="s">
        <v>438</v>
      </c>
      <c r="B76" s="366">
        <v>2029</v>
      </c>
      <c r="C76" s="366" t="s">
        <v>27</v>
      </c>
      <c r="D76" s="366">
        <v>54</v>
      </c>
      <c r="E76" s="348">
        <f t="shared" ca="1" si="3"/>
        <v>114961.10612351193</v>
      </c>
      <c r="F76" s="348" t="str">
        <f t="shared" si="4"/>
        <v>BLD_AC</v>
      </c>
      <c r="G76" s="348" t="str">
        <f>IFERROR(INDEX(DATA_PROPERTY_MASTER!$E$5:$E$21,MATCH($A76,DATA_PROPERTY_MASTER!$A$5:$A$21,0)),"")</f>
        <v>Yes</v>
      </c>
      <c r="H76" s="348" t="str">
        <f ca="1">IFERROR(INDEX(DATA_PROPERTY_MASTER!$F$5:$F$21,MATCH($A76,DATA_PROPERTY_MASTER!$A$5:$A$21,0)),"")</f>
        <v>Stable</v>
      </c>
      <c r="I76" t="s">
        <v>1501</v>
      </c>
      <c r="J76" s="348" t="str">
        <f t="shared" ca="1" si="5"/>
        <v>Formula-linked</v>
      </c>
    </row>
    <row r="77" spans="1:10">
      <c r="A77" s="366" t="s">
        <v>438</v>
      </c>
      <c r="B77" s="366">
        <v>2029</v>
      </c>
      <c r="C77" s="366" t="s">
        <v>1502</v>
      </c>
      <c r="D77" s="366">
        <v>56</v>
      </c>
      <c r="E77" s="348">
        <f t="shared" ca="1" si="3"/>
        <v>76640.737415674623</v>
      </c>
      <c r="F77" s="348" t="str">
        <f t="shared" si="4"/>
        <v>BLD_AC</v>
      </c>
      <c r="G77" s="348" t="str">
        <f>IFERROR(INDEX(DATA_PROPERTY_MASTER!$E$5:$E$21,MATCH($A77,DATA_PROPERTY_MASTER!$A$5:$A$21,0)),"")</f>
        <v>Yes</v>
      </c>
      <c r="H77" s="348" t="str">
        <f ca="1">IFERROR(INDEX(DATA_PROPERTY_MASTER!$F$5:$F$21,MATCH($A77,DATA_PROPERTY_MASTER!$A$5:$A$21,0)),"")</f>
        <v>Stable</v>
      </c>
      <c r="I77" t="s">
        <v>1501</v>
      </c>
      <c r="J77" s="348" t="str">
        <f t="shared" ca="1" si="5"/>
        <v>Formula-linked</v>
      </c>
    </row>
    <row r="78" spans="1:10">
      <c r="A78" s="366" t="s">
        <v>438</v>
      </c>
      <c r="B78" s="366">
        <v>2029</v>
      </c>
      <c r="C78" s="366" t="s">
        <v>367</v>
      </c>
      <c r="D78" s="366">
        <v>61</v>
      </c>
      <c r="E78" s="348">
        <f t="shared" ca="1" si="3"/>
        <v>0</v>
      </c>
      <c r="F78" s="348" t="str">
        <f t="shared" si="4"/>
        <v>BLD_AC</v>
      </c>
      <c r="G78" s="348" t="str">
        <f>IFERROR(INDEX(DATA_PROPERTY_MASTER!$E$5:$E$21,MATCH($A78,DATA_PROPERTY_MASTER!$A$5:$A$21,0)),"")</f>
        <v>Yes</v>
      </c>
      <c r="H78" s="348" t="str">
        <f ca="1">IFERROR(INDEX(DATA_PROPERTY_MASTER!$F$5:$F$21,MATCH($A78,DATA_PROPERTY_MASTER!$A$5:$A$21,0)),"")</f>
        <v>Stable</v>
      </c>
      <c r="I78" t="s">
        <v>1503</v>
      </c>
      <c r="J78" s="348" t="str">
        <f t="shared" ca="1" si="5"/>
        <v>Formula-linked</v>
      </c>
    </row>
    <row r="79" spans="1:10">
      <c r="A79" s="366" t="s">
        <v>438</v>
      </c>
      <c r="B79" s="366">
        <v>2029</v>
      </c>
      <c r="C79" s="366" t="s">
        <v>368</v>
      </c>
      <c r="D79" s="366">
        <v>62</v>
      </c>
      <c r="E79" s="348">
        <f t="shared" ca="1" si="3"/>
        <v>0</v>
      </c>
      <c r="F79" s="348" t="str">
        <f t="shared" si="4"/>
        <v>BLD_AC</v>
      </c>
      <c r="G79" s="348" t="str">
        <f>IFERROR(INDEX(DATA_PROPERTY_MASTER!$E$5:$E$21,MATCH($A79,DATA_PROPERTY_MASTER!$A$5:$A$21,0)),"")</f>
        <v>Yes</v>
      </c>
      <c r="H79" s="348" t="str">
        <f ca="1">IFERROR(INDEX(DATA_PROPERTY_MASTER!$F$5:$F$21,MATCH($A79,DATA_PROPERTY_MASTER!$A$5:$A$21,0)),"")</f>
        <v>Stable</v>
      </c>
      <c r="I79" t="s">
        <v>1503</v>
      </c>
      <c r="J79" s="348" t="str">
        <f t="shared" ca="1" si="5"/>
        <v>Formula-linked</v>
      </c>
    </row>
    <row r="80" spans="1:10">
      <c r="A80" s="366" t="s">
        <v>438</v>
      </c>
      <c r="B80" s="366">
        <v>2029</v>
      </c>
      <c r="C80" s="366" t="s">
        <v>1504</v>
      </c>
      <c r="D80" s="366">
        <v>63</v>
      </c>
      <c r="E80" s="348">
        <f t="shared" ca="1" si="3"/>
        <v>0</v>
      </c>
      <c r="F80" s="348" t="str">
        <f t="shared" si="4"/>
        <v>BLD_AC</v>
      </c>
      <c r="G80" s="348" t="str">
        <f>IFERROR(INDEX(DATA_PROPERTY_MASTER!$E$5:$E$21,MATCH($A80,DATA_PROPERTY_MASTER!$A$5:$A$21,0)),"")</f>
        <v>Yes</v>
      </c>
      <c r="H80" s="348" t="str">
        <f ca="1">IFERROR(INDEX(DATA_PROPERTY_MASTER!$F$5:$F$21,MATCH($A80,DATA_PROPERTY_MASTER!$A$5:$A$21,0)),"")</f>
        <v>Stable</v>
      </c>
      <c r="I80" t="s">
        <v>1503</v>
      </c>
      <c r="J80" s="348" t="str">
        <f t="shared" ca="1" si="5"/>
        <v>Formula-linked</v>
      </c>
    </row>
    <row r="81" spans="1:10">
      <c r="A81" s="366" t="s">
        <v>438</v>
      </c>
      <c r="B81" s="366">
        <v>2029</v>
      </c>
      <c r="C81" s="366" t="s">
        <v>370</v>
      </c>
      <c r="D81" s="366">
        <v>64</v>
      </c>
      <c r="E81" s="348">
        <f t="shared" ca="1" si="3"/>
        <v>673634.59232871362</v>
      </c>
      <c r="F81" s="348" t="str">
        <f t="shared" si="4"/>
        <v>BLD_AC</v>
      </c>
      <c r="G81" s="348" t="str">
        <f>IFERROR(INDEX(DATA_PROPERTY_MASTER!$E$5:$E$21,MATCH($A81,DATA_PROPERTY_MASTER!$A$5:$A$21,0)),"")</f>
        <v>Yes</v>
      </c>
      <c r="H81" s="348" t="str">
        <f ca="1">IFERROR(INDEX(DATA_PROPERTY_MASTER!$F$5:$F$21,MATCH($A81,DATA_PROPERTY_MASTER!$A$5:$A$21,0)),"")</f>
        <v>Stable</v>
      </c>
      <c r="I81" t="s">
        <v>1498</v>
      </c>
      <c r="J81" s="348" t="str">
        <f t="shared" ca="1" si="5"/>
        <v>Formula-linked</v>
      </c>
    </row>
    <row r="82" spans="1:10">
      <c r="A82" s="366" t="s">
        <v>438</v>
      </c>
      <c r="B82" s="366">
        <v>2029</v>
      </c>
      <c r="C82" s="366" t="s">
        <v>544</v>
      </c>
      <c r="D82" s="366">
        <v>68</v>
      </c>
      <c r="E82" s="348">
        <f t="shared" ca="1" si="3"/>
        <v>76640.737415674623</v>
      </c>
      <c r="F82" s="348" t="str">
        <f t="shared" si="4"/>
        <v>BLD_AC</v>
      </c>
      <c r="G82" s="348" t="str">
        <f>IFERROR(INDEX(DATA_PROPERTY_MASTER!$E$5:$E$21,MATCH($A82,DATA_PROPERTY_MASTER!$A$5:$A$21,0)),"")</f>
        <v>Yes</v>
      </c>
      <c r="H82" s="348" t="str">
        <f ca="1">IFERROR(INDEX(DATA_PROPERTY_MASTER!$F$5:$F$21,MATCH($A82,DATA_PROPERTY_MASTER!$A$5:$A$21,0)),"")</f>
        <v>Stable</v>
      </c>
      <c r="I82" t="s">
        <v>1501</v>
      </c>
      <c r="J82" s="348" t="str">
        <f t="shared" ca="1" si="5"/>
        <v>Formula-linked</v>
      </c>
    </row>
    <row r="83" spans="1:10">
      <c r="A83" s="366" t="s">
        <v>438</v>
      </c>
      <c r="B83" s="366">
        <v>2029</v>
      </c>
      <c r="C83" s="366" t="s">
        <v>378</v>
      </c>
      <c r="D83" s="366">
        <v>73</v>
      </c>
      <c r="E83" s="348">
        <f t="shared" ca="1" si="3"/>
        <v>4098866.0589864426</v>
      </c>
      <c r="F83" s="348" t="str">
        <f t="shared" si="4"/>
        <v>BLD_AC</v>
      </c>
      <c r="G83" s="348" t="str">
        <f>IFERROR(INDEX(DATA_PROPERTY_MASTER!$E$5:$E$21,MATCH($A83,DATA_PROPERTY_MASTER!$A$5:$A$21,0)),"")</f>
        <v>Yes</v>
      </c>
      <c r="H83" s="348" t="str">
        <f ca="1">IFERROR(INDEX(DATA_PROPERTY_MASTER!$F$5:$F$21,MATCH($A83,DATA_PROPERTY_MASTER!$A$5:$A$21,0)),"")</f>
        <v>Stable</v>
      </c>
      <c r="I83" t="s">
        <v>1505</v>
      </c>
      <c r="J83" s="348" t="str">
        <f t="shared" ca="1" si="5"/>
        <v>Formula-linked</v>
      </c>
    </row>
    <row r="84" spans="1:10">
      <c r="A84" s="366" t="s">
        <v>438</v>
      </c>
      <c r="B84" s="366">
        <v>2029</v>
      </c>
      <c r="C84" s="366" t="s">
        <v>1506</v>
      </c>
      <c r="D84" s="366">
        <v>77</v>
      </c>
      <c r="E84" s="348">
        <f t="shared" ca="1" si="3"/>
        <v>3425231.4666577289</v>
      </c>
      <c r="F84" s="348" t="str">
        <f t="shared" si="4"/>
        <v>BLD_AC</v>
      </c>
      <c r="G84" s="348" t="str">
        <f>IFERROR(INDEX(DATA_PROPERTY_MASTER!$E$5:$E$21,MATCH($A84,DATA_PROPERTY_MASTER!$A$5:$A$21,0)),"")</f>
        <v>Yes</v>
      </c>
      <c r="H84" s="348" t="str">
        <f ca="1">IFERROR(INDEX(DATA_PROPERTY_MASTER!$F$5:$F$21,MATCH($A84,DATA_PROPERTY_MASTER!$A$5:$A$21,0)),"")</f>
        <v>Stable</v>
      </c>
      <c r="I84" t="s">
        <v>1505</v>
      </c>
      <c r="J84" s="348" t="str">
        <f t="shared" ca="1" si="5"/>
        <v>Formula-linked</v>
      </c>
    </row>
    <row r="85" spans="1:10">
      <c r="A85" s="366" t="s">
        <v>438</v>
      </c>
      <c r="B85" s="366">
        <v>2035</v>
      </c>
      <c r="C85" s="366" t="s">
        <v>341</v>
      </c>
      <c r="D85" s="366">
        <v>24</v>
      </c>
      <c r="E85" s="348">
        <f t="shared" ca="1" si="3"/>
        <v>468472.1570490236</v>
      </c>
      <c r="F85" s="348" t="str">
        <f t="shared" si="4"/>
        <v>BLD_AC</v>
      </c>
      <c r="G85" s="348" t="str">
        <f>IFERROR(INDEX(DATA_PROPERTY_MASTER!$E$5:$E$21,MATCH($A85,DATA_PROPERTY_MASTER!$A$5:$A$21,0)),"")</f>
        <v>Yes</v>
      </c>
      <c r="H85" s="348" t="str">
        <f ca="1">IFERROR(INDEX(DATA_PROPERTY_MASTER!$F$5:$F$21,MATCH($A85,DATA_PROPERTY_MASTER!$A$5:$A$21,0)),"")</f>
        <v>Stable</v>
      </c>
      <c r="I85" t="s">
        <v>1495</v>
      </c>
      <c r="J85" s="348" t="str">
        <f t="shared" ca="1" si="5"/>
        <v>Formula-linked</v>
      </c>
    </row>
    <row r="86" spans="1:10">
      <c r="A86" s="366" t="s">
        <v>438</v>
      </c>
      <c r="B86" s="366">
        <v>2035</v>
      </c>
      <c r="C86" s="366" t="s">
        <v>355</v>
      </c>
      <c r="D86" s="366">
        <v>39</v>
      </c>
      <c r="E86" s="348">
        <f t="shared" ca="1" si="3"/>
        <v>219664.30219160279</v>
      </c>
      <c r="F86" s="348" t="str">
        <f t="shared" si="4"/>
        <v>BLD_AC</v>
      </c>
      <c r="G86" s="348" t="str">
        <f>IFERROR(INDEX(DATA_PROPERTY_MASTER!$E$5:$E$21,MATCH($A86,DATA_PROPERTY_MASTER!$A$5:$A$21,0)),"")</f>
        <v>Yes</v>
      </c>
      <c r="H86" s="348" t="str">
        <f ca="1">IFERROR(INDEX(DATA_PROPERTY_MASTER!$F$5:$F$21,MATCH($A86,DATA_PROPERTY_MASTER!$A$5:$A$21,0)),"")</f>
        <v>Stable</v>
      </c>
      <c r="I86" t="s">
        <v>1496</v>
      </c>
      <c r="J86" s="348" t="str">
        <f t="shared" ca="1" si="5"/>
        <v>Formula-linked</v>
      </c>
    </row>
    <row r="87" spans="1:10">
      <c r="A87" s="366" t="s">
        <v>438</v>
      </c>
      <c r="B87" s="366">
        <v>2035</v>
      </c>
      <c r="C87" s="366" t="s">
        <v>1497</v>
      </c>
      <c r="D87" s="366">
        <v>41</v>
      </c>
      <c r="E87" s="348">
        <f t="shared" ca="1" si="3"/>
        <v>248807.85485742081</v>
      </c>
      <c r="F87" s="348" t="str">
        <f t="shared" si="4"/>
        <v>BLD_AC</v>
      </c>
      <c r="G87" s="348" t="str">
        <f>IFERROR(INDEX(DATA_PROPERTY_MASTER!$E$5:$E$21,MATCH($A87,DATA_PROPERTY_MASTER!$A$5:$A$21,0)),"")</f>
        <v>Yes</v>
      </c>
      <c r="H87" s="348" t="str">
        <f ca="1">IFERROR(INDEX(DATA_PROPERTY_MASTER!$F$5:$F$21,MATCH($A87,DATA_PROPERTY_MASTER!$A$5:$A$21,0)),"")</f>
        <v>Stable</v>
      </c>
      <c r="I87" t="s">
        <v>1497</v>
      </c>
      <c r="J87" s="348" t="str">
        <f t="shared" ca="1" si="5"/>
        <v>Formula-linked</v>
      </c>
    </row>
    <row r="88" spans="1:10">
      <c r="A88" s="366" t="s">
        <v>438</v>
      </c>
      <c r="B88" s="366">
        <v>2035</v>
      </c>
      <c r="C88" s="366" t="s">
        <v>21</v>
      </c>
      <c r="D88" s="366">
        <v>45</v>
      </c>
      <c r="E88" s="348">
        <f t="shared" ca="1" si="3"/>
        <v>244968.02243443733</v>
      </c>
      <c r="F88" s="348" t="str">
        <f t="shared" si="4"/>
        <v>BLD_AC</v>
      </c>
      <c r="G88" s="348" t="str">
        <f>IFERROR(INDEX(DATA_PROPERTY_MASTER!$E$5:$E$21,MATCH($A88,DATA_PROPERTY_MASTER!$A$5:$A$21,0)),"")</f>
        <v>Yes</v>
      </c>
      <c r="H88" s="348" t="str">
        <f ca="1">IFERROR(INDEX(DATA_PROPERTY_MASTER!$F$5:$F$21,MATCH($A88,DATA_PROPERTY_MASTER!$A$5:$A$21,0)),"")</f>
        <v>Stable</v>
      </c>
      <c r="I88" t="s">
        <v>1497</v>
      </c>
      <c r="J88" s="348" t="str">
        <f t="shared" ca="1" si="5"/>
        <v>Formula-linked</v>
      </c>
    </row>
    <row r="89" spans="1:10">
      <c r="A89" s="366" t="s">
        <v>438</v>
      </c>
      <c r="B89" s="366">
        <v>2035</v>
      </c>
      <c r="C89" s="366" t="s">
        <v>23</v>
      </c>
      <c r="D89" s="366">
        <v>48</v>
      </c>
      <c r="E89" s="348">
        <f t="shared" ca="1" si="3"/>
        <v>54330.12</v>
      </c>
      <c r="F89" s="348" t="str">
        <f t="shared" si="4"/>
        <v>BLD_AC</v>
      </c>
      <c r="G89" s="348" t="str">
        <f>IFERROR(INDEX(DATA_PROPERTY_MASTER!$E$5:$E$21,MATCH($A89,DATA_PROPERTY_MASTER!$A$5:$A$21,0)),"")</f>
        <v>Yes</v>
      </c>
      <c r="H89" s="348" t="str">
        <f ca="1">IFERROR(INDEX(DATA_PROPERTY_MASTER!$F$5:$F$21,MATCH($A89,DATA_PROPERTY_MASTER!$A$5:$A$21,0)),"")</f>
        <v>Stable</v>
      </c>
      <c r="I89" t="s">
        <v>1498</v>
      </c>
      <c r="J89" s="348" t="str">
        <f t="shared" ca="1" si="5"/>
        <v>Formula-linked</v>
      </c>
    </row>
    <row r="90" spans="1:10">
      <c r="A90" s="366" t="s">
        <v>438</v>
      </c>
      <c r="B90" s="366">
        <v>2035</v>
      </c>
      <c r="C90" s="366" t="s">
        <v>213</v>
      </c>
      <c r="D90" s="366">
        <v>50</v>
      </c>
      <c r="E90" s="348">
        <f t="shared" ca="1" si="3"/>
        <v>4.5795565122517825</v>
      </c>
      <c r="F90" s="348" t="str">
        <f t="shared" si="4"/>
        <v>BLD_AC</v>
      </c>
      <c r="G90" s="348" t="str">
        <f>IFERROR(INDEX(DATA_PROPERTY_MASTER!$E$5:$E$21,MATCH($A90,DATA_PROPERTY_MASTER!$A$5:$A$21,0)),"")</f>
        <v>Yes</v>
      </c>
      <c r="H90" s="348" t="str">
        <f ca="1">IFERROR(INDEX(DATA_PROPERTY_MASTER!$F$5:$F$21,MATCH($A90,DATA_PROPERTY_MASTER!$A$5:$A$21,0)),"")</f>
        <v>Stable</v>
      </c>
      <c r="I90" t="s">
        <v>1499</v>
      </c>
      <c r="J90" s="348" t="str">
        <f t="shared" ca="1" si="5"/>
        <v>Formula-linked</v>
      </c>
    </row>
    <row r="91" spans="1:10">
      <c r="A91" s="366" t="s">
        <v>438</v>
      </c>
      <c r="B91" s="366">
        <v>2035</v>
      </c>
      <c r="C91" s="366" t="s">
        <v>1500</v>
      </c>
      <c r="D91" s="366">
        <v>52</v>
      </c>
      <c r="E91" s="348">
        <f t="shared" ca="1" si="3"/>
        <v>194477.73485742082</v>
      </c>
      <c r="F91" s="348" t="str">
        <f t="shared" si="4"/>
        <v>BLD_AC</v>
      </c>
      <c r="G91" s="348" t="str">
        <f>IFERROR(INDEX(DATA_PROPERTY_MASTER!$E$5:$E$21,MATCH($A91,DATA_PROPERTY_MASTER!$A$5:$A$21,0)),"")</f>
        <v>Yes</v>
      </c>
      <c r="H91" s="348" t="str">
        <f ca="1">IFERROR(INDEX(DATA_PROPERTY_MASTER!$F$5:$F$21,MATCH($A91,DATA_PROPERTY_MASTER!$A$5:$A$21,0)),"")</f>
        <v>Stable</v>
      </c>
      <c r="I91" t="s">
        <v>1501</v>
      </c>
      <c r="J91" s="348" t="str">
        <f t="shared" ca="1" si="5"/>
        <v>Formula-linked</v>
      </c>
    </row>
    <row r="92" spans="1:10">
      <c r="A92" s="366" t="s">
        <v>438</v>
      </c>
      <c r="B92" s="366">
        <v>2035</v>
      </c>
      <c r="C92" s="366" t="s">
        <v>27</v>
      </c>
      <c r="D92" s="366">
        <v>54</v>
      </c>
      <c r="E92" s="348">
        <f t="shared" ca="1" si="3"/>
        <v>116686.64091445248</v>
      </c>
      <c r="F92" s="348" t="str">
        <f t="shared" si="4"/>
        <v>BLD_AC</v>
      </c>
      <c r="G92" s="348" t="str">
        <f>IFERROR(INDEX(DATA_PROPERTY_MASTER!$E$5:$E$21,MATCH($A92,DATA_PROPERTY_MASTER!$A$5:$A$21,0)),"")</f>
        <v>Yes</v>
      </c>
      <c r="H92" s="348" t="str">
        <f ca="1">IFERROR(INDEX(DATA_PROPERTY_MASTER!$F$5:$F$21,MATCH($A92,DATA_PROPERTY_MASTER!$A$5:$A$21,0)),"")</f>
        <v>Stable</v>
      </c>
      <c r="I92" t="s">
        <v>1501</v>
      </c>
      <c r="J92" s="348" t="str">
        <f t="shared" ca="1" si="5"/>
        <v>Formula-linked</v>
      </c>
    </row>
    <row r="93" spans="1:10">
      <c r="A93" s="366" t="s">
        <v>438</v>
      </c>
      <c r="B93" s="366">
        <v>2035</v>
      </c>
      <c r="C93" s="366" t="s">
        <v>1502</v>
      </c>
      <c r="D93" s="366">
        <v>56</v>
      </c>
      <c r="E93" s="348">
        <f t="shared" ca="1" si="3"/>
        <v>77791.093942968335</v>
      </c>
      <c r="F93" s="348" t="str">
        <f t="shared" si="4"/>
        <v>BLD_AC</v>
      </c>
      <c r="G93" s="348" t="str">
        <f>IFERROR(INDEX(DATA_PROPERTY_MASTER!$E$5:$E$21,MATCH($A93,DATA_PROPERTY_MASTER!$A$5:$A$21,0)),"")</f>
        <v>Yes</v>
      </c>
      <c r="H93" s="348" t="str">
        <f ca="1">IFERROR(INDEX(DATA_PROPERTY_MASTER!$F$5:$F$21,MATCH($A93,DATA_PROPERTY_MASTER!$A$5:$A$21,0)),"")</f>
        <v>Stable</v>
      </c>
      <c r="I93" t="s">
        <v>1501</v>
      </c>
      <c r="J93" s="348" t="str">
        <f t="shared" ca="1" si="5"/>
        <v>Formula-linked</v>
      </c>
    </row>
    <row r="94" spans="1:10">
      <c r="A94" s="366" t="s">
        <v>438</v>
      </c>
      <c r="B94" s="366">
        <v>2035</v>
      </c>
      <c r="C94" s="366" t="s">
        <v>367</v>
      </c>
      <c r="D94" s="366">
        <v>61</v>
      </c>
      <c r="E94" s="348">
        <f t="shared" ca="1" si="3"/>
        <v>0</v>
      </c>
      <c r="F94" s="348" t="str">
        <f t="shared" si="4"/>
        <v>BLD_AC</v>
      </c>
      <c r="G94" s="348" t="str">
        <f>IFERROR(INDEX(DATA_PROPERTY_MASTER!$E$5:$E$21,MATCH($A94,DATA_PROPERTY_MASTER!$A$5:$A$21,0)),"")</f>
        <v>Yes</v>
      </c>
      <c r="H94" s="348" t="str">
        <f ca="1">IFERROR(INDEX(DATA_PROPERTY_MASTER!$F$5:$F$21,MATCH($A94,DATA_PROPERTY_MASTER!$A$5:$A$21,0)),"")</f>
        <v>Stable</v>
      </c>
      <c r="I94" t="s">
        <v>1503</v>
      </c>
      <c r="J94" s="348" t="str">
        <f t="shared" ca="1" si="5"/>
        <v>Formula-linked</v>
      </c>
    </row>
    <row r="95" spans="1:10">
      <c r="A95" s="366" t="s">
        <v>438</v>
      </c>
      <c r="B95" s="366">
        <v>2035</v>
      </c>
      <c r="C95" s="366" t="s">
        <v>368</v>
      </c>
      <c r="D95" s="366">
        <v>62</v>
      </c>
      <c r="E95" s="348">
        <f t="shared" ca="1" si="3"/>
        <v>0</v>
      </c>
      <c r="F95" s="348" t="str">
        <f t="shared" si="4"/>
        <v>BLD_AC</v>
      </c>
      <c r="G95" s="348" t="str">
        <f>IFERROR(INDEX(DATA_PROPERTY_MASTER!$E$5:$E$21,MATCH($A95,DATA_PROPERTY_MASTER!$A$5:$A$21,0)),"")</f>
        <v>Yes</v>
      </c>
      <c r="H95" s="348" t="str">
        <f ca="1">IFERROR(INDEX(DATA_PROPERTY_MASTER!$F$5:$F$21,MATCH($A95,DATA_PROPERTY_MASTER!$A$5:$A$21,0)),"")</f>
        <v>Stable</v>
      </c>
      <c r="I95" t="s">
        <v>1503</v>
      </c>
      <c r="J95" s="348" t="str">
        <f t="shared" ca="1" si="5"/>
        <v>Formula-linked</v>
      </c>
    </row>
    <row r="96" spans="1:10">
      <c r="A96" s="366" t="s">
        <v>438</v>
      </c>
      <c r="B96" s="366">
        <v>2035</v>
      </c>
      <c r="C96" s="366" t="s">
        <v>1504</v>
      </c>
      <c r="D96" s="366">
        <v>63</v>
      </c>
      <c r="E96" s="348">
        <f t="shared" ca="1" si="3"/>
        <v>0</v>
      </c>
      <c r="F96" s="348" t="str">
        <f t="shared" si="4"/>
        <v>BLD_AC</v>
      </c>
      <c r="G96" s="348" t="str">
        <f>IFERROR(INDEX(DATA_PROPERTY_MASTER!$E$5:$E$21,MATCH($A96,DATA_PROPERTY_MASTER!$A$5:$A$21,0)),"")</f>
        <v>Yes</v>
      </c>
      <c r="H96" s="348" t="str">
        <f ca="1">IFERROR(INDEX(DATA_PROPERTY_MASTER!$F$5:$F$21,MATCH($A96,DATA_PROPERTY_MASTER!$A$5:$A$21,0)),"")</f>
        <v>Stable</v>
      </c>
      <c r="I96" t="s">
        <v>1503</v>
      </c>
      <c r="J96" s="348" t="str">
        <f t="shared" ca="1" si="5"/>
        <v>Formula-linked</v>
      </c>
    </row>
    <row r="97" spans="1:10">
      <c r="A97" s="366" t="s">
        <v>438</v>
      </c>
      <c r="B97" s="366">
        <v>2035</v>
      </c>
      <c r="C97" s="366" t="s">
        <v>370</v>
      </c>
      <c r="D97" s="366">
        <v>64</v>
      </c>
      <c r="E97" s="348">
        <f t="shared" ca="1" si="3"/>
        <v>492955.70527276985</v>
      </c>
      <c r="F97" s="348" t="str">
        <f t="shared" si="4"/>
        <v>BLD_AC</v>
      </c>
      <c r="G97" s="348" t="str">
        <f>IFERROR(INDEX(DATA_PROPERTY_MASTER!$E$5:$E$21,MATCH($A97,DATA_PROPERTY_MASTER!$A$5:$A$21,0)),"")</f>
        <v>Yes</v>
      </c>
      <c r="H97" s="348" t="str">
        <f ca="1">IFERROR(INDEX(DATA_PROPERTY_MASTER!$F$5:$F$21,MATCH($A97,DATA_PROPERTY_MASTER!$A$5:$A$21,0)),"")</f>
        <v>Stable</v>
      </c>
      <c r="I97" t="s">
        <v>1498</v>
      </c>
      <c r="J97" s="348" t="str">
        <f t="shared" ca="1" si="5"/>
        <v>Formula-linked</v>
      </c>
    </row>
    <row r="98" spans="1:10">
      <c r="A98" s="366" t="s">
        <v>438</v>
      </c>
      <c r="B98" s="366">
        <v>2035</v>
      </c>
      <c r="C98" s="366" t="s">
        <v>544</v>
      </c>
      <c r="D98" s="366">
        <v>68</v>
      </c>
      <c r="E98" s="348">
        <f t="shared" ca="1" si="3"/>
        <v>77791.093942968335</v>
      </c>
      <c r="F98" s="348" t="str">
        <f t="shared" si="4"/>
        <v>BLD_AC</v>
      </c>
      <c r="G98" s="348" t="str">
        <f>IFERROR(INDEX(DATA_PROPERTY_MASTER!$E$5:$E$21,MATCH($A98,DATA_PROPERTY_MASTER!$A$5:$A$21,0)),"")</f>
        <v>Yes</v>
      </c>
      <c r="H98" s="348" t="str">
        <f ca="1">IFERROR(INDEX(DATA_PROPERTY_MASTER!$F$5:$F$21,MATCH($A98,DATA_PROPERTY_MASTER!$A$5:$A$21,0)),"")</f>
        <v>Stable</v>
      </c>
      <c r="I98" t="s">
        <v>1501</v>
      </c>
      <c r="J98" s="348" t="str">
        <f t="shared" ca="1" si="5"/>
        <v>Formula-linked</v>
      </c>
    </row>
    <row r="99" spans="1:10">
      <c r="A99" s="366" t="s">
        <v>438</v>
      </c>
      <c r="B99" s="366">
        <v>2035</v>
      </c>
      <c r="C99" s="366" t="s">
        <v>378</v>
      </c>
      <c r="D99" s="366">
        <v>73</v>
      </c>
      <c r="E99" s="348">
        <f t="shared" ca="1" si="3"/>
        <v>4146797.5809570136</v>
      </c>
      <c r="F99" s="348" t="str">
        <f t="shared" si="4"/>
        <v>BLD_AC</v>
      </c>
      <c r="G99" s="348" t="str">
        <f>IFERROR(INDEX(DATA_PROPERTY_MASTER!$E$5:$E$21,MATCH($A99,DATA_PROPERTY_MASTER!$A$5:$A$21,0)),"")</f>
        <v>Yes</v>
      </c>
      <c r="H99" s="348" t="str">
        <f ca="1">IFERROR(INDEX(DATA_PROPERTY_MASTER!$F$5:$F$21,MATCH($A99,DATA_PROPERTY_MASTER!$A$5:$A$21,0)),"")</f>
        <v>Stable</v>
      </c>
      <c r="I99" t="s">
        <v>1505</v>
      </c>
      <c r="J99" s="348" t="str">
        <f t="shared" ca="1" si="5"/>
        <v>Formula-linked</v>
      </c>
    </row>
    <row r="100" spans="1:10">
      <c r="A100" s="366" t="s">
        <v>438</v>
      </c>
      <c r="B100" s="366">
        <v>2035</v>
      </c>
      <c r="C100" s="366" t="s">
        <v>1506</v>
      </c>
      <c r="D100" s="366">
        <v>77</v>
      </c>
      <c r="E100" s="348">
        <f t="shared" ca="1" si="3"/>
        <v>3653841.8756842436</v>
      </c>
      <c r="F100" s="348" t="str">
        <f t="shared" si="4"/>
        <v>BLD_AC</v>
      </c>
      <c r="G100" s="348" t="str">
        <f>IFERROR(INDEX(DATA_PROPERTY_MASTER!$E$5:$E$21,MATCH($A100,DATA_PROPERTY_MASTER!$A$5:$A$21,0)),"")</f>
        <v>Yes</v>
      </c>
      <c r="H100" s="348" t="str">
        <f ca="1">IFERROR(INDEX(DATA_PROPERTY_MASTER!$F$5:$F$21,MATCH($A100,DATA_PROPERTY_MASTER!$A$5:$A$21,0)),"")</f>
        <v>Stable</v>
      </c>
      <c r="I100" t="s">
        <v>1505</v>
      </c>
      <c r="J100" s="348" t="str">
        <f t="shared" ca="1" si="5"/>
        <v>Formula-linked</v>
      </c>
    </row>
    <row r="101" spans="1:10">
      <c r="A101" s="366" t="s">
        <v>441</v>
      </c>
      <c r="B101" s="366">
        <v>2025</v>
      </c>
      <c r="C101" s="366" t="s">
        <v>341</v>
      </c>
      <c r="D101" s="366">
        <v>24</v>
      </c>
      <c r="E101" s="348">
        <f t="shared" ca="1" si="3"/>
        <v>379506.84399999998</v>
      </c>
      <c r="F101" s="348" t="str">
        <f t="shared" si="4"/>
        <v>BLD_BT</v>
      </c>
      <c r="G101" s="348" t="str">
        <f>IFERROR(INDEX(DATA_PROPERTY_MASTER!$E$5:$E$21,MATCH($A101,DATA_PROPERTY_MASTER!$A$5:$A$21,0)),"")</f>
        <v>Yes</v>
      </c>
      <c r="H101" s="348" t="str">
        <f ca="1">IFERROR(INDEX(DATA_PROPERTY_MASTER!$F$5:$F$21,MATCH($A101,DATA_PROPERTY_MASTER!$A$5:$A$21,0)),"")</f>
        <v>Stable</v>
      </c>
      <c r="I101" t="s">
        <v>1495</v>
      </c>
      <c r="J101" s="348" t="str">
        <f t="shared" ca="1" si="5"/>
        <v>Formula-linked</v>
      </c>
    </row>
    <row r="102" spans="1:10">
      <c r="A102" s="366" t="s">
        <v>441</v>
      </c>
      <c r="B102" s="366">
        <v>2025</v>
      </c>
      <c r="C102" s="366" t="s">
        <v>355</v>
      </c>
      <c r="D102" s="366">
        <v>39</v>
      </c>
      <c r="E102" s="348">
        <f t="shared" ca="1" si="3"/>
        <v>120340</v>
      </c>
      <c r="F102" s="348" t="str">
        <f t="shared" si="4"/>
        <v>BLD_BT</v>
      </c>
      <c r="G102" s="348" t="str">
        <f>IFERROR(INDEX(DATA_PROPERTY_MASTER!$E$5:$E$21,MATCH($A102,DATA_PROPERTY_MASTER!$A$5:$A$21,0)),"")</f>
        <v>Yes</v>
      </c>
      <c r="H102" s="348" t="str">
        <f ca="1">IFERROR(INDEX(DATA_PROPERTY_MASTER!$F$5:$F$21,MATCH($A102,DATA_PROPERTY_MASTER!$A$5:$A$21,0)),"")</f>
        <v>Stable</v>
      </c>
      <c r="I102" t="s">
        <v>1496</v>
      </c>
      <c r="J102" s="348" t="str">
        <f t="shared" ca="1" si="5"/>
        <v>Formula-linked</v>
      </c>
    </row>
    <row r="103" spans="1:10">
      <c r="A103" s="366" t="s">
        <v>441</v>
      </c>
      <c r="B103" s="366">
        <v>2025</v>
      </c>
      <c r="C103" s="366" t="s">
        <v>1497</v>
      </c>
      <c r="D103" s="366">
        <v>41</v>
      </c>
      <c r="E103" s="348">
        <f t="shared" ca="1" si="3"/>
        <v>259166.84399999998</v>
      </c>
      <c r="F103" s="348" t="str">
        <f t="shared" si="4"/>
        <v>BLD_BT</v>
      </c>
      <c r="G103" s="348" t="str">
        <f>IFERROR(INDEX(DATA_PROPERTY_MASTER!$E$5:$E$21,MATCH($A103,DATA_PROPERTY_MASTER!$A$5:$A$21,0)),"")</f>
        <v>Yes</v>
      </c>
      <c r="H103" s="348" t="str">
        <f ca="1">IFERROR(INDEX(DATA_PROPERTY_MASTER!$F$5:$F$21,MATCH($A103,DATA_PROPERTY_MASTER!$A$5:$A$21,0)),"")</f>
        <v>Stable</v>
      </c>
      <c r="I103" t="s">
        <v>1497</v>
      </c>
      <c r="J103" s="348" t="str">
        <f t="shared" ca="1" si="5"/>
        <v>Formula-linked</v>
      </c>
    </row>
    <row r="104" spans="1:10">
      <c r="A104" s="366" t="s">
        <v>441</v>
      </c>
      <c r="B104" s="366">
        <v>2025</v>
      </c>
      <c r="C104" s="366" t="s">
        <v>21</v>
      </c>
      <c r="D104" s="366">
        <v>45</v>
      </c>
      <c r="E104" s="348">
        <f t="shared" ca="1" si="3"/>
        <v>256466.84399999998</v>
      </c>
      <c r="F104" s="348" t="str">
        <f t="shared" si="4"/>
        <v>BLD_BT</v>
      </c>
      <c r="G104" s="348" t="str">
        <f>IFERROR(INDEX(DATA_PROPERTY_MASTER!$E$5:$E$21,MATCH($A104,DATA_PROPERTY_MASTER!$A$5:$A$21,0)),"")</f>
        <v>Yes</v>
      </c>
      <c r="H104" s="348" t="str">
        <f ca="1">IFERROR(INDEX(DATA_PROPERTY_MASTER!$F$5:$F$21,MATCH($A104,DATA_PROPERTY_MASTER!$A$5:$A$21,0)),"")</f>
        <v>Stable</v>
      </c>
      <c r="I104" t="s">
        <v>1497</v>
      </c>
      <c r="J104" s="348" t="str">
        <f t="shared" ca="1" si="5"/>
        <v>Formula-linked</v>
      </c>
    </row>
    <row r="105" spans="1:10">
      <c r="A105" s="366" t="s">
        <v>441</v>
      </c>
      <c r="B105" s="366">
        <v>2025</v>
      </c>
      <c r="C105" s="366" t="s">
        <v>23</v>
      </c>
      <c r="D105" s="366">
        <v>48</v>
      </c>
      <c r="E105" s="348">
        <f t="shared" ca="1" si="3"/>
        <v>110563.68</v>
      </c>
      <c r="F105" s="348" t="str">
        <f t="shared" si="4"/>
        <v>BLD_BT</v>
      </c>
      <c r="G105" s="348" t="str">
        <f>IFERROR(INDEX(DATA_PROPERTY_MASTER!$E$5:$E$21,MATCH($A105,DATA_PROPERTY_MASTER!$A$5:$A$21,0)),"")</f>
        <v>Yes</v>
      </c>
      <c r="H105" s="348" t="str">
        <f ca="1">IFERROR(INDEX(DATA_PROPERTY_MASTER!$F$5:$F$21,MATCH($A105,DATA_PROPERTY_MASTER!$A$5:$A$21,0)),"")</f>
        <v>Stable</v>
      </c>
      <c r="I105" t="s">
        <v>1498</v>
      </c>
      <c r="J105" s="348" t="str">
        <f t="shared" ca="1" si="5"/>
        <v>Formula-linked</v>
      </c>
    </row>
    <row r="106" spans="1:10">
      <c r="A106" s="366" t="s">
        <v>441</v>
      </c>
      <c r="B106" s="366">
        <v>2025</v>
      </c>
      <c r="C106" s="366" t="s">
        <v>213</v>
      </c>
      <c r="D106" s="366">
        <v>50</v>
      </c>
      <c r="E106" s="348">
        <f t="shared" ca="1" si="3"/>
        <v>2.3440504512874392</v>
      </c>
      <c r="F106" s="348" t="str">
        <f t="shared" si="4"/>
        <v>BLD_BT</v>
      </c>
      <c r="G106" s="348" t="str">
        <f>IFERROR(INDEX(DATA_PROPERTY_MASTER!$E$5:$E$21,MATCH($A106,DATA_PROPERTY_MASTER!$A$5:$A$21,0)),"")</f>
        <v>Yes</v>
      </c>
      <c r="H106" s="348" t="str">
        <f ca="1">IFERROR(INDEX(DATA_PROPERTY_MASTER!$F$5:$F$21,MATCH($A106,DATA_PROPERTY_MASTER!$A$5:$A$21,0)),"")</f>
        <v>Stable</v>
      </c>
      <c r="I106" t="s">
        <v>1499</v>
      </c>
      <c r="J106" s="348" t="str">
        <f t="shared" ca="1" si="5"/>
        <v>Formula-linked</v>
      </c>
    </row>
    <row r="107" spans="1:10">
      <c r="A107" s="366" t="s">
        <v>441</v>
      </c>
      <c r="B107" s="366">
        <v>2025</v>
      </c>
      <c r="C107" s="366" t="s">
        <v>1500</v>
      </c>
      <c r="D107" s="366">
        <v>52</v>
      </c>
      <c r="E107" s="348">
        <f t="shared" ca="1" si="3"/>
        <v>148603.16399999999</v>
      </c>
      <c r="F107" s="348" t="str">
        <f t="shared" si="4"/>
        <v>BLD_BT</v>
      </c>
      <c r="G107" s="348" t="str">
        <f>IFERROR(INDEX(DATA_PROPERTY_MASTER!$E$5:$E$21,MATCH($A107,DATA_PROPERTY_MASTER!$A$5:$A$21,0)),"")</f>
        <v>Yes</v>
      </c>
      <c r="H107" s="348" t="str">
        <f ca="1">IFERROR(INDEX(DATA_PROPERTY_MASTER!$F$5:$F$21,MATCH($A107,DATA_PROPERTY_MASTER!$A$5:$A$21,0)),"")</f>
        <v>Stable</v>
      </c>
      <c r="I107" t="s">
        <v>1501</v>
      </c>
      <c r="J107" s="348" t="str">
        <f t="shared" ca="1" si="5"/>
        <v>Formula-linked</v>
      </c>
    </row>
    <row r="108" spans="1:10">
      <c r="A108" s="366" t="s">
        <v>441</v>
      </c>
      <c r="B108" s="366">
        <v>2025</v>
      </c>
      <c r="C108" s="366" t="s">
        <v>27</v>
      </c>
      <c r="D108" s="366">
        <v>54</v>
      </c>
      <c r="E108" s="348">
        <f t="shared" ca="1" si="3"/>
        <v>89161.898399999991</v>
      </c>
      <c r="F108" s="348" t="str">
        <f t="shared" si="4"/>
        <v>BLD_BT</v>
      </c>
      <c r="G108" s="348" t="str">
        <f>IFERROR(INDEX(DATA_PROPERTY_MASTER!$E$5:$E$21,MATCH($A108,DATA_PROPERTY_MASTER!$A$5:$A$21,0)),"")</f>
        <v>Yes</v>
      </c>
      <c r="H108" s="348" t="str">
        <f ca="1">IFERROR(INDEX(DATA_PROPERTY_MASTER!$F$5:$F$21,MATCH($A108,DATA_PROPERTY_MASTER!$A$5:$A$21,0)),"")</f>
        <v>Stable</v>
      </c>
      <c r="I108" t="s">
        <v>1501</v>
      </c>
      <c r="J108" s="348" t="str">
        <f t="shared" ca="1" si="5"/>
        <v>Formula-linked</v>
      </c>
    </row>
    <row r="109" spans="1:10">
      <c r="A109" s="366" t="s">
        <v>441</v>
      </c>
      <c r="B109" s="366">
        <v>2025</v>
      </c>
      <c r="C109" s="366" t="s">
        <v>1502</v>
      </c>
      <c r="D109" s="366">
        <v>56</v>
      </c>
      <c r="E109" s="348">
        <f t="shared" ca="1" si="3"/>
        <v>59441.265599999999</v>
      </c>
      <c r="F109" s="348" t="str">
        <f t="shared" si="4"/>
        <v>BLD_BT</v>
      </c>
      <c r="G109" s="348" t="str">
        <f>IFERROR(INDEX(DATA_PROPERTY_MASTER!$E$5:$E$21,MATCH($A109,DATA_PROPERTY_MASTER!$A$5:$A$21,0)),"")</f>
        <v>Yes</v>
      </c>
      <c r="H109" s="348" t="str">
        <f ca="1">IFERROR(INDEX(DATA_PROPERTY_MASTER!$F$5:$F$21,MATCH($A109,DATA_PROPERTY_MASTER!$A$5:$A$21,0)),"")</f>
        <v>Stable</v>
      </c>
      <c r="I109" t="s">
        <v>1501</v>
      </c>
      <c r="J109" s="348" t="str">
        <f t="shared" ca="1" si="5"/>
        <v>Formula-linked</v>
      </c>
    </row>
    <row r="110" spans="1:10">
      <c r="A110" s="366" t="s">
        <v>441</v>
      </c>
      <c r="B110" s="366">
        <v>2025</v>
      </c>
      <c r="C110" s="366" t="s">
        <v>367</v>
      </c>
      <c r="D110" s="366">
        <v>61</v>
      </c>
      <c r="E110" s="348">
        <f t="shared" ca="1" si="3"/>
        <v>0</v>
      </c>
      <c r="F110" s="348" t="str">
        <f t="shared" si="4"/>
        <v>BLD_BT</v>
      </c>
      <c r="G110" s="348" t="str">
        <f>IFERROR(INDEX(DATA_PROPERTY_MASTER!$E$5:$E$21,MATCH($A110,DATA_PROPERTY_MASTER!$A$5:$A$21,0)),"")</f>
        <v>Yes</v>
      </c>
      <c r="H110" s="348" t="str">
        <f ca="1">IFERROR(INDEX(DATA_PROPERTY_MASTER!$F$5:$F$21,MATCH($A110,DATA_PROPERTY_MASTER!$A$5:$A$21,0)),"")</f>
        <v>Stable</v>
      </c>
      <c r="I110" t="s">
        <v>1503</v>
      </c>
      <c r="J110" s="348" t="str">
        <f t="shared" ca="1" si="5"/>
        <v>Formula-linked</v>
      </c>
    </row>
    <row r="111" spans="1:10">
      <c r="A111" s="366" t="s">
        <v>441</v>
      </c>
      <c r="B111" s="366">
        <v>2025</v>
      </c>
      <c r="C111" s="366" t="s">
        <v>368</v>
      </c>
      <c r="D111" s="366">
        <v>62</v>
      </c>
      <c r="E111" s="348">
        <f t="shared" ca="1" si="3"/>
        <v>0</v>
      </c>
      <c r="F111" s="348" t="str">
        <f t="shared" si="4"/>
        <v>BLD_BT</v>
      </c>
      <c r="G111" s="348" t="str">
        <f>IFERROR(INDEX(DATA_PROPERTY_MASTER!$E$5:$E$21,MATCH($A111,DATA_PROPERTY_MASTER!$A$5:$A$21,0)),"")</f>
        <v>Yes</v>
      </c>
      <c r="H111" s="348" t="str">
        <f ca="1">IFERROR(INDEX(DATA_PROPERTY_MASTER!$F$5:$F$21,MATCH($A111,DATA_PROPERTY_MASTER!$A$5:$A$21,0)),"")</f>
        <v>Stable</v>
      </c>
      <c r="I111" t="s">
        <v>1503</v>
      </c>
      <c r="J111" s="348" t="str">
        <f t="shared" ca="1" si="5"/>
        <v>Formula-linked</v>
      </c>
    </row>
    <row r="112" spans="1:10">
      <c r="A112" s="366" t="s">
        <v>441</v>
      </c>
      <c r="B112" s="366">
        <v>2025</v>
      </c>
      <c r="C112" s="366" t="s">
        <v>1504</v>
      </c>
      <c r="D112" s="366">
        <v>63</v>
      </c>
      <c r="E112" s="348">
        <f t="shared" ca="1" si="3"/>
        <v>0</v>
      </c>
      <c r="F112" s="348" t="str">
        <f t="shared" si="4"/>
        <v>BLD_BT</v>
      </c>
      <c r="G112" s="348" t="str">
        <f>IFERROR(INDEX(DATA_PROPERTY_MASTER!$E$5:$E$21,MATCH($A112,DATA_PROPERTY_MASTER!$A$5:$A$21,0)),"")</f>
        <v>Yes</v>
      </c>
      <c r="H112" s="348" t="str">
        <f ca="1">IFERROR(INDEX(DATA_PROPERTY_MASTER!$F$5:$F$21,MATCH($A112,DATA_PROPERTY_MASTER!$A$5:$A$21,0)),"")</f>
        <v>Stable</v>
      </c>
      <c r="I112" t="s">
        <v>1503</v>
      </c>
      <c r="J112" s="348" t="str">
        <f t="shared" ca="1" si="5"/>
        <v>Formula-linked</v>
      </c>
    </row>
    <row r="113" spans="1:10">
      <c r="A113" s="366" t="s">
        <v>441</v>
      </c>
      <c r="B113" s="366">
        <v>2025</v>
      </c>
      <c r="C113" s="366" t="s">
        <v>370</v>
      </c>
      <c r="D113" s="366">
        <v>64</v>
      </c>
      <c r="E113" s="348">
        <f t="shared" ca="1" si="3"/>
        <v>1571852.7659735999</v>
      </c>
      <c r="F113" s="348" t="str">
        <f t="shared" si="4"/>
        <v>BLD_BT</v>
      </c>
      <c r="G113" s="348" t="str">
        <f>IFERROR(INDEX(DATA_PROPERTY_MASTER!$E$5:$E$21,MATCH($A113,DATA_PROPERTY_MASTER!$A$5:$A$21,0)),"")</f>
        <v>Yes</v>
      </c>
      <c r="H113" s="348" t="str">
        <f ca="1">IFERROR(INDEX(DATA_PROPERTY_MASTER!$F$5:$F$21,MATCH($A113,DATA_PROPERTY_MASTER!$A$5:$A$21,0)),"")</f>
        <v>Stable</v>
      </c>
      <c r="I113" t="s">
        <v>1498</v>
      </c>
      <c r="J113" s="348" t="str">
        <f t="shared" ca="1" si="5"/>
        <v>Formula-linked</v>
      </c>
    </row>
    <row r="114" spans="1:10">
      <c r="A114" s="366" t="s">
        <v>441</v>
      </c>
      <c r="B114" s="366">
        <v>2025</v>
      </c>
      <c r="C114" s="366" t="s">
        <v>544</v>
      </c>
      <c r="D114" s="366">
        <v>68</v>
      </c>
      <c r="E114" s="348">
        <f t="shared" ca="1" si="3"/>
        <v>59441.265599999999</v>
      </c>
      <c r="F114" s="348" t="str">
        <f t="shared" si="4"/>
        <v>BLD_BT</v>
      </c>
      <c r="G114" s="348" t="str">
        <f>IFERROR(INDEX(DATA_PROPERTY_MASTER!$E$5:$E$21,MATCH($A114,DATA_PROPERTY_MASTER!$A$5:$A$21,0)),"")</f>
        <v>Yes</v>
      </c>
      <c r="H114" s="348" t="str">
        <f ca="1">IFERROR(INDEX(DATA_PROPERTY_MASTER!$F$5:$F$21,MATCH($A114,DATA_PROPERTY_MASTER!$A$5:$A$21,0)),"")</f>
        <v>Stable</v>
      </c>
      <c r="I114" t="s">
        <v>1501</v>
      </c>
      <c r="J114" s="348" t="str">
        <f t="shared" ca="1" si="5"/>
        <v>Formula-linked</v>
      </c>
    </row>
    <row r="115" spans="1:10">
      <c r="A115" s="366" t="s">
        <v>441</v>
      </c>
      <c r="B115" s="366">
        <v>2025</v>
      </c>
      <c r="C115" s="366" t="s">
        <v>378</v>
      </c>
      <c r="D115" s="366">
        <v>73</v>
      </c>
      <c r="E115" s="348">
        <f t="shared" ca="1" si="3"/>
        <v>4319447.3999999994</v>
      </c>
      <c r="F115" s="348" t="str">
        <f t="shared" si="4"/>
        <v>BLD_BT</v>
      </c>
      <c r="G115" s="348" t="str">
        <f>IFERROR(INDEX(DATA_PROPERTY_MASTER!$E$5:$E$21,MATCH($A115,DATA_PROPERTY_MASTER!$A$5:$A$21,0)),"")</f>
        <v>Yes</v>
      </c>
      <c r="H115" s="348" t="str">
        <f ca="1">IFERROR(INDEX(DATA_PROPERTY_MASTER!$F$5:$F$21,MATCH($A115,DATA_PROPERTY_MASTER!$A$5:$A$21,0)),"")</f>
        <v>Stable</v>
      </c>
      <c r="I115" t="s">
        <v>1505</v>
      </c>
      <c r="J115" s="348" t="str">
        <f t="shared" ca="1" si="5"/>
        <v>Formula-linked</v>
      </c>
    </row>
    <row r="116" spans="1:10">
      <c r="A116" s="366" t="s">
        <v>441</v>
      </c>
      <c r="B116" s="366">
        <v>2025</v>
      </c>
      <c r="C116" s="366" t="s">
        <v>1506</v>
      </c>
      <c r="D116" s="366">
        <v>77</v>
      </c>
      <c r="E116" s="348">
        <f t="shared" ca="1" si="3"/>
        <v>2747594.6340263998</v>
      </c>
      <c r="F116" s="348" t="str">
        <f t="shared" si="4"/>
        <v>BLD_BT</v>
      </c>
      <c r="G116" s="348" t="str">
        <f>IFERROR(INDEX(DATA_PROPERTY_MASTER!$E$5:$E$21,MATCH($A116,DATA_PROPERTY_MASTER!$A$5:$A$21,0)),"")</f>
        <v>Yes</v>
      </c>
      <c r="H116" s="348" t="str">
        <f ca="1">IFERROR(INDEX(DATA_PROPERTY_MASTER!$F$5:$F$21,MATCH($A116,DATA_PROPERTY_MASTER!$A$5:$A$21,0)),"")</f>
        <v>Stable</v>
      </c>
      <c r="I116" t="s">
        <v>1505</v>
      </c>
      <c r="J116" s="348" t="str">
        <f t="shared" ca="1" si="5"/>
        <v>Formula-linked</v>
      </c>
    </row>
    <row r="117" spans="1:10">
      <c r="A117" s="366" t="s">
        <v>441</v>
      </c>
      <c r="B117" s="366">
        <v>2029</v>
      </c>
      <c r="C117" s="366" t="s">
        <v>341</v>
      </c>
      <c r="D117" s="366">
        <v>24</v>
      </c>
      <c r="E117" s="348">
        <f t="shared" ca="1" si="3"/>
        <v>463129.50846430846</v>
      </c>
      <c r="F117" s="348" t="str">
        <f t="shared" si="4"/>
        <v>BLD_BT</v>
      </c>
      <c r="G117" s="348" t="str">
        <f>IFERROR(INDEX(DATA_PROPERTY_MASTER!$E$5:$E$21,MATCH($A117,DATA_PROPERTY_MASTER!$A$5:$A$21,0)),"")</f>
        <v>Yes</v>
      </c>
      <c r="H117" s="348" t="str">
        <f ca="1">IFERROR(INDEX(DATA_PROPERTY_MASTER!$F$5:$F$21,MATCH($A117,DATA_PROPERTY_MASTER!$A$5:$A$21,0)),"")</f>
        <v>Stable</v>
      </c>
      <c r="I117" t="s">
        <v>1495</v>
      </c>
      <c r="J117" s="348" t="str">
        <f t="shared" ca="1" si="5"/>
        <v>Formula-linked</v>
      </c>
    </row>
    <row r="118" spans="1:10">
      <c r="A118" s="366" t="s">
        <v>441</v>
      </c>
      <c r="B118" s="366">
        <v>2029</v>
      </c>
      <c r="C118" s="366" t="s">
        <v>355</v>
      </c>
      <c r="D118" s="366">
        <v>39</v>
      </c>
      <c r="E118" s="348">
        <f t="shared" ca="1" si="3"/>
        <v>140780.77911040001</v>
      </c>
      <c r="F118" s="348" t="str">
        <f t="shared" si="4"/>
        <v>BLD_BT</v>
      </c>
      <c r="G118" s="348" t="str">
        <f>IFERROR(INDEX(DATA_PROPERTY_MASTER!$E$5:$E$21,MATCH($A118,DATA_PROPERTY_MASTER!$A$5:$A$21,0)),"")</f>
        <v>Yes</v>
      </c>
      <c r="H118" s="348" t="str">
        <f ca="1">IFERROR(INDEX(DATA_PROPERTY_MASTER!$F$5:$F$21,MATCH($A118,DATA_PROPERTY_MASTER!$A$5:$A$21,0)),"")</f>
        <v>Stable</v>
      </c>
      <c r="I118" t="s">
        <v>1496</v>
      </c>
      <c r="J118" s="348" t="str">
        <f t="shared" ca="1" si="5"/>
        <v>Formula-linked</v>
      </c>
    </row>
    <row r="119" spans="1:10">
      <c r="A119" s="366" t="s">
        <v>441</v>
      </c>
      <c r="B119" s="366">
        <v>2029</v>
      </c>
      <c r="C119" s="366" t="s">
        <v>1497</v>
      </c>
      <c r="D119" s="366">
        <v>41</v>
      </c>
      <c r="E119" s="348">
        <f t="shared" ca="1" si="3"/>
        <v>322348.72935390845</v>
      </c>
      <c r="F119" s="348" t="str">
        <f t="shared" si="4"/>
        <v>BLD_BT</v>
      </c>
      <c r="G119" s="348" t="str">
        <f>IFERROR(INDEX(DATA_PROPERTY_MASTER!$E$5:$E$21,MATCH($A119,DATA_PROPERTY_MASTER!$A$5:$A$21,0)),"")</f>
        <v>Yes</v>
      </c>
      <c r="H119" s="348" t="str">
        <f ca="1">IFERROR(INDEX(DATA_PROPERTY_MASTER!$F$5:$F$21,MATCH($A119,DATA_PROPERTY_MASTER!$A$5:$A$21,0)),"")</f>
        <v>Stable</v>
      </c>
      <c r="I119" t="s">
        <v>1497</v>
      </c>
      <c r="J119" s="348" t="str">
        <f t="shared" ca="1" si="5"/>
        <v>Formula-linked</v>
      </c>
    </row>
    <row r="120" spans="1:10">
      <c r="A120" s="366" t="s">
        <v>441</v>
      </c>
      <c r="B120" s="366">
        <v>2029</v>
      </c>
      <c r="C120" s="366" t="s">
        <v>21</v>
      </c>
      <c r="D120" s="366">
        <v>45</v>
      </c>
      <c r="E120" s="348">
        <f t="shared" ca="1" si="3"/>
        <v>319426.16252190847</v>
      </c>
      <c r="F120" s="348" t="str">
        <f t="shared" si="4"/>
        <v>BLD_BT</v>
      </c>
      <c r="G120" s="348" t="str">
        <f>IFERROR(INDEX(DATA_PROPERTY_MASTER!$E$5:$E$21,MATCH($A120,DATA_PROPERTY_MASTER!$A$5:$A$21,0)),"")</f>
        <v>Yes</v>
      </c>
      <c r="H120" s="348" t="str">
        <f ca="1">IFERROR(INDEX(DATA_PROPERTY_MASTER!$F$5:$F$21,MATCH($A120,DATA_PROPERTY_MASTER!$A$5:$A$21,0)),"")</f>
        <v>Stable</v>
      </c>
      <c r="I120" t="s">
        <v>1497</v>
      </c>
      <c r="J120" s="348" t="str">
        <f t="shared" ca="1" si="5"/>
        <v>Formula-linked</v>
      </c>
    </row>
    <row r="121" spans="1:10">
      <c r="A121" s="366" t="s">
        <v>441</v>
      </c>
      <c r="B121" s="366">
        <v>2029</v>
      </c>
      <c r="C121" s="366" t="s">
        <v>23</v>
      </c>
      <c r="D121" s="366">
        <v>48</v>
      </c>
      <c r="E121" s="348">
        <f t="shared" ca="1" si="3"/>
        <v>110563.68</v>
      </c>
      <c r="F121" s="348" t="str">
        <f t="shared" si="4"/>
        <v>BLD_BT</v>
      </c>
      <c r="G121" s="348" t="str">
        <f>IFERROR(INDEX(DATA_PROPERTY_MASTER!$E$5:$E$21,MATCH($A121,DATA_PROPERTY_MASTER!$A$5:$A$21,0)),"")</f>
        <v>Yes</v>
      </c>
      <c r="H121" s="348" t="str">
        <f ca="1">IFERROR(INDEX(DATA_PROPERTY_MASTER!$F$5:$F$21,MATCH($A121,DATA_PROPERTY_MASTER!$A$5:$A$21,0)),"")</f>
        <v>Stable</v>
      </c>
      <c r="I121" t="s">
        <v>1498</v>
      </c>
      <c r="J121" s="348" t="str">
        <f t="shared" ca="1" si="5"/>
        <v>Formula-linked</v>
      </c>
    </row>
    <row r="122" spans="1:10">
      <c r="A122" s="366" t="s">
        <v>441</v>
      </c>
      <c r="B122" s="366">
        <v>2029</v>
      </c>
      <c r="C122" s="366" t="s">
        <v>213</v>
      </c>
      <c r="D122" s="366">
        <v>50</v>
      </c>
      <c r="E122" s="348">
        <f t="shared" ca="1" si="3"/>
        <v>2.9155028970988344</v>
      </c>
      <c r="F122" s="348" t="str">
        <f t="shared" si="4"/>
        <v>BLD_BT</v>
      </c>
      <c r="G122" s="348" t="str">
        <f>IFERROR(INDEX(DATA_PROPERTY_MASTER!$E$5:$E$21,MATCH($A122,DATA_PROPERTY_MASTER!$A$5:$A$21,0)),"")</f>
        <v>Yes</v>
      </c>
      <c r="H122" s="348" t="str">
        <f ca="1">IFERROR(INDEX(DATA_PROPERTY_MASTER!$F$5:$F$21,MATCH($A122,DATA_PROPERTY_MASTER!$A$5:$A$21,0)),"")</f>
        <v>Stable</v>
      </c>
      <c r="I122" t="s">
        <v>1499</v>
      </c>
      <c r="J122" s="348" t="str">
        <f t="shared" ca="1" si="5"/>
        <v>Formula-linked</v>
      </c>
    </row>
    <row r="123" spans="1:10">
      <c r="A123" s="366" t="s">
        <v>441</v>
      </c>
      <c r="B123" s="366">
        <v>2029</v>
      </c>
      <c r="C123" s="366" t="s">
        <v>1500</v>
      </c>
      <c r="D123" s="366">
        <v>52</v>
      </c>
      <c r="E123" s="348">
        <f t="shared" ca="1" si="3"/>
        <v>211785.04935390846</v>
      </c>
      <c r="F123" s="348" t="str">
        <f t="shared" si="4"/>
        <v>BLD_BT</v>
      </c>
      <c r="G123" s="348" t="str">
        <f>IFERROR(INDEX(DATA_PROPERTY_MASTER!$E$5:$E$21,MATCH($A123,DATA_PROPERTY_MASTER!$A$5:$A$21,0)),"")</f>
        <v>Yes</v>
      </c>
      <c r="H123" s="348" t="str">
        <f ca="1">IFERROR(INDEX(DATA_PROPERTY_MASTER!$F$5:$F$21,MATCH($A123,DATA_PROPERTY_MASTER!$A$5:$A$21,0)),"")</f>
        <v>Stable</v>
      </c>
      <c r="I123" t="s">
        <v>1501</v>
      </c>
      <c r="J123" s="348" t="str">
        <f t="shared" ca="1" si="5"/>
        <v>Formula-linked</v>
      </c>
    </row>
    <row r="124" spans="1:10">
      <c r="A124" s="366" t="s">
        <v>441</v>
      </c>
      <c r="B124" s="366">
        <v>2029</v>
      </c>
      <c r="C124" s="366" t="s">
        <v>27</v>
      </c>
      <c r="D124" s="366">
        <v>54</v>
      </c>
      <c r="E124" s="348">
        <f t="shared" ca="1" si="3"/>
        <v>127071.02961234507</v>
      </c>
      <c r="F124" s="348" t="str">
        <f t="shared" si="4"/>
        <v>BLD_BT</v>
      </c>
      <c r="G124" s="348" t="str">
        <f>IFERROR(INDEX(DATA_PROPERTY_MASTER!$E$5:$E$21,MATCH($A124,DATA_PROPERTY_MASTER!$A$5:$A$21,0)),"")</f>
        <v>Yes</v>
      </c>
      <c r="H124" s="348" t="str">
        <f ca="1">IFERROR(INDEX(DATA_PROPERTY_MASTER!$F$5:$F$21,MATCH($A124,DATA_PROPERTY_MASTER!$A$5:$A$21,0)),"")</f>
        <v>Stable</v>
      </c>
      <c r="I124" t="s">
        <v>1501</v>
      </c>
      <c r="J124" s="348" t="str">
        <f t="shared" ca="1" si="5"/>
        <v>Formula-linked</v>
      </c>
    </row>
    <row r="125" spans="1:10">
      <c r="A125" s="366" t="s">
        <v>441</v>
      </c>
      <c r="B125" s="366">
        <v>2029</v>
      </c>
      <c r="C125" s="366" t="s">
        <v>1502</v>
      </c>
      <c r="D125" s="366">
        <v>56</v>
      </c>
      <c r="E125" s="348">
        <f t="shared" ca="1" si="3"/>
        <v>84714.019741563388</v>
      </c>
      <c r="F125" s="348" t="str">
        <f t="shared" si="4"/>
        <v>BLD_BT</v>
      </c>
      <c r="G125" s="348" t="str">
        <f>IFERROR(INDEX(DATA_PROPERTY_MASTER!$E$5:$E$21,MATCH($A125,DATA_PROPERTY_MASTER!$A$5:$A$21,0)),"")</f>
        <v>Yes</v>
      </c>
      <c r="H125" s="348" t="str">
        <f ca="1">IFERROR(INDEX(DATA_PROPERTY_MASTER!$F$5:$F$21,MATCH($A125,DATA_PROPERTY_MASTER!$A$5:$A$21,0)),"")</f>
        <v>Stable</v>
      </c>
      <c r="I125" t="s">
        <v>1501</v>
      </c>
      <c r="J125" s="348" t="str">
        <f t="shared" ca="1" si="5"/>
        <v>Formula-linked</v>
      </c>
    </row>
    <row r="126" spans="1:10">
      <c r="A126" s="366" t="s">
        <v>441</v>
      </c>
      <c r="B126" s="366">
        <v>2029</v>
      </c>
      <c r="C126" s="366" t="s">
        <v>367</v>
      </c>
      <c r="D126" s="366">
        <v>61</v>
      </c>
      <c r="E126" s="348">
        <f t="shared" ca="1" si="3"/>
        <v>0</v>
      </c>
      <c r="F126" s="348" t="str">
        <f t="shared" si="4"/>
        <v>BLD_BT</v>
      </c>
      <c r="G126" s="348" t="str">
        <f>IFERROR(INDEX(DATA_PROPERTY_MASTER!$E$5:$E$21,MATCH($A126,DATA_PROPERTY_MASTER!$A$5:$A$21,0)),"")</f>
        <v>Yes</v>
      </c>
      <c r="H126" s="348" t="str">
        <f ca="1">IFERROR(INDEX(DATA_PROPERTY_MASTER!$F$5:$F$21,MATCH($A126,DATA_PROPERTY_MASTER!$A$5:$A$21,0)),"")</f>
        <v>Stable</v>
      </c>
      <c r="I126" t="s">
        <v>1503</v>
      </c>
      <c r="J126" s="348" t="str">
        <f t="shared" ca="1" si="5"/>
        <v>Formula-linked</v>
      </c>
    </row>
    <row r="127" spans="1:10">
      <c r="A127" s="366" t="s">
        <v>441</v>
      </c>
      <c r="B127" s="366">
        <v>2029</v>
      </c>
      <c r="C127" s="366" t="s">
        <v>368</v>
      </c>
      <c r="D127" s="366">
        <v>62</v>
      </c>
      <c r="E127" s="348">
        <f t="shared" ca="1" si="3"/>
        <v>0</v>
      </c>
      <c r="F127" s="348" t="str">
        <f t="shared" si="4"/>
        <v>BLD_BT</v>
      </c>
      <c r="G127" s="348" t="str">
        <f>IFERROR(INDEX(DATA_PROPERTY_MASTER!$E$5:$E$21,MATCH($A127,DATA_PROPERTY_MASTER!$A$5:$A$21,0)),"")</f>
        <v>Yes</v>
      </c>
      <c r="H127" s="348" t="str">
        <f ca="1">IFERROR(INDEX(DATA_PROPERTY_MASTER!$F$5:$F$21,MATCH($A127,DATA_PROPERTY_MASTER!$A$5:$A$21,0)),"")</f>
        <v>Stable</v>
      </c>
      <c r="I127" t="s">
        <v>1503</v>
      </c>
      <c r="J127" s="348" t="str">
        <f t="shared" ca="1" si="5"/>
        <v>Formula-linked</v>
      </c>
    </row>
    <row r="128" spans="1:10">
      <c r="A128" s="366" t="s">
        <v>441</v>
      </c>
      <c r="B128" s="366">
        <v>2029</v>
      </c>
      <c r="C128" s="366" t="s">
        <v>1504</v>
      </c>
      <c r="D128" s="366">
        <v>63</v>
      </c>
      <c r="E128" s="348">
        <f t="shared" ca="1" si="3"/>
        <v>0</v>
      </c>
      <c r="F128" s="348" t="str">
        <f t="shared" si="4"/>
        <v>BLD_BT</v>
      </c>
      <c r="G128" s="348" t="str">
        <f>IFERROR(INDEX(DATA_PROPERTY_MASTER!$E$5:$E$21,MATCH($A128,DATA_PROPERTY_MASTER!$A$5:$A$21,0)),"")</f>
        <v>Yes</v>
      </c>
      <c r="H128" s="348" t="str">
        <f ca="1">IFERROR(INDEX(DATA_PROPERTY_MASTER!$F$5:$F$21,MATCH($A128,DATA_PROPERTY_MASTER!$A$5:$A$21,0)),"")</f>
        <v>Stable</v>
      </c>
      <c r="I128" t="s">
        <v>1503</v>
      </c>
      <c r="J128" s="348" t="str">
        <f t="shared" ca="1" si="5"/>
        <v>Formula-linked</v>
      </c>
    </row>
    <row r="129" spans="1:10">
      <c r="A129" s="366" t="s">
        <v>441</v>
      </c>
      <c r="B129" s="366">
        <v>2029</v>
      </c>
      <c r="C129" s="366" t="s">
        <v>370</v>
      </c>
      <c r="D129" s="366">
        <v>64</v>
      </c>
      <c r="E129" s="348">
        <f t="shared" ca="1" si="3"/>
        <v>1370870.8533241991</v>
      </c>
      <c r="F129" s="348" t="str">
        <f t="shared" si="4"/>
        <v>BLD_BT</v>
      </c>
      <c r="G129" s="348" t="str">
        <f>IFERROR(INDEX(DATA_PROPERTY_MASTER!$E$5:$E$21,MATCH($A129,DATA_PROPERTY_MASTER!$A$5:$A$21,0)),"")</f>
        <v>Yes</v>
      </c>
      <c r="H129" s="348" t="str">
        <f ca="1">IFERROR(INDEX(DATA_PROPERTY_MASTER!$F$5:$F$21,MATCH($A129,DATA_PROPERTY_MASTER!$A$5:$A$21,0)),"")</f>
        <v>Stable</v>
      </c>
      <c r="I129" t="s">
        <v>1498</v>
      </c>
      <c r="J129" s="348" t="str">
        <f t="shared" ca="1" si="5"/>
        <v>Formula-linked</v>
      </c>
    </row>
    <row r="130" spans="1:10">
      <c r="A130" s="366" t="s">
        <v>441</v>
      </c>
      <c r="B130" s="366">
        <v>2029</v>
      </c>
      <c r="C130" s="366" t="s">
        <v>544</v>
      </c>
      <c r="D130" s="366">
        <v>68</v>
      </c>
      <c r="E130" s="348">
        <f t="shared" ca="1" si="3"/>
        <v>84714.019741563388</v>
      </c>
      <c r="F130" s="348" t="str">
        <f t="shared" si="4"/>
        <v>BLD_BT</v>
      </c>
      <c r="G130" s="348" t="str">
        <f>IFERROR(INDEX(DATA_PROPERTY_MASTER!$E$5:$E$21,MATCH($A130,DATA_PROPERTY_MASTER!$A$5:$A$21,0)),"")</f>
        <v>Yes</v>
      </c>
      <c r="H130" s="348" t="str">
        <f ca="1">IFERROR(INDEX(DATA_PROPERTY_MASTER!$F$5:$F$21,MATCH($A130,DATA_PROPERTY_MASTER!$A$5:$A$21,0)),"")</f>
        <v>Stable</v>
      </c>
      <c r="I130" t="s">
        <v>1501</v>
      </c>
      <c r="J130" s="348" t="str">
        <f t="shared" ca="1" si="5"/>
        <v>Formula-linked</v>
      </c>
    </row>
    <row r="131" spans="1:10">
      <c r="A131" s="366" t="s">
        <v>441</v>
      </c>
      <c r="B131" s="366">
        <v>2029</v>
      </c>
      <c r="C131" s="366" t="s">
        <v>378</v>
      </c>
      <c r="D131" s="366">
        <v>73</v>
      </c>
      <c r="E131" s="348">
        <f t="shared" ca="1" si="3"/>
        <v>5372478.8225651411</v>
      </c>
      <c r="F131" s="348" t="str">
        <f t="shared" si="4"/>
        <v>BLD_BT</v>
      </c>
      <c r="G131" s="348" t="str">
        <f>IFERROR(INDEX(DATA_PROPERTY_MASTER!$E$5:$E$21,MATCH($A131,DATA_PROPERTY_MASTER!$A$5:$A$21,0)),"")</f>
        <v>Yes</v>
      </c>
      <c r="H131" s="348" t="str">
        <f ca="1">IFERROR(INDEX(DATA_PROPERTY_MASTER!$F$5:$F$21,MATCH($A131,DATA_PROPERTY_MASTER!$A$5:$A$21,0)),"")</f>
        <v>Stable</v>
      </c>
      <c r="I131" t="s">
        <v>1505</v>
      </c>
      <c r="J131" s="348" t="str">
        <f t="shared" ca="1" si="5"/>
        <v>Formula-linked</v>
      </c>
    </row>
    <row r="132" spans="1:10">
      <c r="A132" s="366" t="s">
        <v>441</v>
      </c>
      <c r="B132" s="366">
        <v>2029</v>
      </c>
      <c r="C132" s="366" t="s">
        <v>1506</v>
      </c>
      <c r="D132" s="366">
        <v>77</v>
      </c>
      <c r="E132" s="348">
        <f t="shared" ca="1" si="3"/>
        <v>4001607.969240942</v>
      </c>
      <c r="F132" s="348" t="str">
        <f t="shared" si="4"/>
        <v>BLD_BT</v>
      </c>
      <c r="G132" s="348" t="str">
        <f>IFERROR(INDEX(DATA_PROPERTY_MASTER!$E$5:$E$21,MATCH($A132,DATA_PROPERTY_MASTER!$A$5:$A$21,0)),"")</f>
        <v>Yes</v>
      </c>
      <c r="H132" s="348" t="str">
        <f ca="1">IFERROR(INDEX(DATA_PROPERTY_MASTER!$F$5:$F$21,MATCH($A132,DATA_PROPERTY_MASTER!$A$5:$A$21,0)),"")</f>
        <v>Stable</v>
      </c>
      <c r="I132" t="s">
        <v>1505</v>
      </c>
      <c r="J132" s="348" t="str">
        <f t="shared" ca="1" si="5"/>
        <v>Formula-linked</v>
      </c>
    </row>
    <row r="133" spans="1:10">
      <c r="A133" s="366" t="s">
        <v>441</v>
      </c>
      <c r="B133" s="366">
        <v>2035</v>
      </c>
      <c r="C133" s="366" t="s">
        <v>341</v>
      </c>
      <c r="D133" s="366">
        <v>24</v>
      </c>
      <c r="E133" s="348">
        <f t="shared" ref="E133:E196" ca="1" si="6">IFERROR(INDEX(INDIRECT("'"&amp;$A133&amp;"'!$E$"&amp;$D133&amp;":$Y$"&amp;$D133),1,MATCH($B133,INDIRECT("'"&amp;$A133&amp;"'!$E$12:$Y$12"),0)),"")</f>
        <v>507610.06633318198</v>
      </c>
      <c r="F133" s="348" t="str">
        <f t="shared" ref="F133:F196" si="7">$A133</f>
        <v>BLD_BT</v>
      </c>
      <c r="G133" s="348" t="str">
        <f>IFERROR(INDEX(DATA_PROPERTY_MASTER!$E$5:$E$21,MATCH($A133,DATA_PROPERTY_MASTER!$A$5:$A$21,0)),"")</f>
        <v>Yes</v>
      </c>
      <c r="H133" s="348" t="str">
        <f ca="1">IFERROR(INDEX(DATA_PROPERTY_MASTER!$F$5:$F$21,MATCH($A133,DATA_PROPERTY_MASTER!$A$5:$A$21,0)),"")</f>
        <v>Stable</v>
      </c>
      <c r="I133" t="s">
        <v>1495</v>
      </c>
      <c r="J133" s="348" t="str">
        <f t="shared" ref="J133:J196" ca="1" si="8">IF($E133="","Review","Formula-linked")</f>
        <v>Formula-linked</v>
      </c>
    </row>
    <row r="134" spans="1:10">
      <c r="A134" s="366" t="s">
        <v>441</v>
      </c>
      <c r="B134" s="366">
        <v>2035</v>
      </c>
      <c r="C134" s="366" t="s">
        <v>355</v>
      </c>
      <c r="D134" s="366">
        <v>39</v>
      </c>
      <c r="E134" s="348">
        <f t="shared" ca="1" si="6"/>
        <v>175563.37709447151</v>
      </c>
      <c r="F134" s="348" t="str">
        <f t="shared" si="7"/>
        <v>BLD_BT</v>
      </c>
      <c r="G134" s="348" t="str">
        <f>IFERROR(INDEX(DATA_PROPERTY_MASTER!$E$5:$E$21,MATCH($A134,DATA_PROPERTY_MASTER!$A$5:$A$21,0)),"")</f>
        <v>Yes</v>
      </c>
      <c r="H134" s="348" t="str">
        <f ca="1">IFERROR(INDEX(DATA_PROPERTY_MASTER!$F$5:$F$21,MATCH($A134,DATA_PROPERTY_MASTER!$A$5:$A$21,0)),"")</f>
        <v>Stable</v>
      </c>
      <c r="I134" t="s">
        <v>1496</v>
      </c>
      <c r="J134" s="348" t="str">
        <f t="shared" ca="1" si="8"/>
        <v>Formula-linked</v>
      </c>
    </row>
    <row r="135" spans="1:10">
      <c r="A135" s="366" t="s">
        <v>441</v>
      </c>
      <c r="B135" s="366">
        <v>2035</v>
      </c>
      <c r="C135" s="366" t="s">
        <v>1497</v>
      </c>
      <c r="D135" s="366">
        <v>41</v>
      </c>
      <c r="E135" s="348">
        <f t="shared" ca="1" si="6"/>
        <v>332046.68923871045</v>
      </c>
      <c r="F135" s="348" t="str">
        <f t="shared" si="7"/>
        <v>BLD_BT</v>
      </c>
      <c r="G135" s="348" t="str">
        <f>IFERROR(INDEX(DATA_PROPERTY_MASTER!$E$5:$E$21,MATCH($A135,DATA_PROPERTY_MASTER!$A$5:$A$21,0)),"")</f>
        <v>Yes</v>
      </c>
      <c r="H135" s="348" t="str">
        <f ca="1">IFERROR(INDEX(DATA_PROPERTY_MASTER!$F$5:$F$21,MATCH($A135,DATA_PROPERTY_MASTER!$A$5:$A$21,0)),"")</f>
        <v>Stable</v>
      </c>
      <c r="I135" t="s">
        <v>1497</v>
      </c>
      <c r="J135" s="348" t="str">
        <f t="shared" ca="1" si="8"/>
        <v>Formula-linked</v>
      </c>
    </row>
    <row r="136" spans="1:10">
      <c r="A136" s="366" t="s">
        <v>441</v>
      </c>
      <c r="B136" s="366">
        <v>2035</v>
      </c>
      <c r="C136" s="366" t="s">
        <v>21</v>
      </c>
      <c r="D136" s="366">
        <v>45</v>
      </c>
      <c r="E136" s="348">
        <f t="shared" ca="1" si="6"/>
        <v>328755.40430472459</v>
      </c>
      <c r="F136" s="348" t="str">
        <f t="shared" si="7"/>
        <v>BLD_BT</v>
      </c>
      <c r="G136" s="348" t="str">
        <f>IFERROR(INDEX(DATA_PROPERTY_MASTER!$E$5:$E$21,MATCH($A136,DATA_PROPERTY_MASTER!$A$5:$A$21,0)),"")</f>
        <v>Yes</v>
      </c>
      <c r="H136" s="348" t="str">
        <f ca="1">IFERROR(INDEX(DATA_PROPERTY_MASTER!$F$5:$F$21,MATCH($A136,DATA_PROPERTY_MASTER!$A$5:$A$21,0)),"")</f>
        <v>Stable</v>
      </c>
      <c r="I136" t="s">
        <v>1497</v>
      </c>
      <c r="J136" s="348" t="str">
        <f t="shared" ca="1" si="8"/>
        <v>Formula-linked</v>
      </c>
    </row>
    <row r="137" spans="1:10">
      <c r="A137" s="366" t="s">
        <v>441</v>
      </c>
      <c r="B137" s="366">
        <v>2035</v>
      </c>
      <c r="C137" s="366" t="s">
        <v>23</v>
      </c>
      <c r="D137" s="366">
        <v>48</v>
      </c>
      <c r="E137" s="348">
        <f t="shared" ca="1" si="6"/>
        <v>110563.68</v>
      </c>
      <c r="F137" s="348" t="str">
        <f t="shared" si="7"/>
        <v>BLD_BT</v>
      </c>
      <c r="G137" s="348" t="str">
        <f>IFERROR(INDEX(DATA_PROPERTY_MASTER!$E$5:$E$21,MATCH($A137,DATA_PROPERTY_MASTER!$A$5:$A$21,0)),"")</f>
        <v>Yes</v>
      </c>
      <c r="H137" s="348" t="str">
        <f ca="1">IFERROR(INDEX(DATA_PROPERTY_MASTER!$F$5:$F$21,MATCH($A137,DATA_PROPERTY_MASTER!$A$5:$A$21,0)),"")</f>
        <v>Stable</v>
      </c>
      <c r="I137" t="s">
        <v>1498</v>
      </c>
      <c r="J137" s="348" t="str">
        <f t="shared" ca="1" si="8"/>
        <v>Formula-linked</v>
      </c>
    </row>
    <row r="138" spans="1:10">
      <c r="A138" s="366" t="s">
        <v>441</v>
      </c>
      <c r="B138" s="366">
        <v>2035</v>
      </c>
      <c r="C138" s="366" t="s">
        <v>213</v>
      </c>
      <c r="D138" s="366">
        <v>50</v>
      </c>
      <c r="E138" s="348">
        <f t="shared" ca="1" si="6"/>
        <v>3.0032166914009237</v>
      </c>
      <c r="F138" s="348" t="str">
        <f t="shared" si="7"/>
        <v>BLD_BT</v>
      </c>
      <c r="G138" s="348" t="str">
        <f>IFERROR(INDEX(DATA_PROPERTY_MASTER!$E$5:$E$21,MATCH($A138,DATA_PROPERTY_MASTER!$A$5:$A$21,0)),"")</f>
        <v>Yes</v>
      </c>
      <c r="H138" s="348" t="str">
        <f ca="1">IFERROR(INDEX(DATA_PROPERTY_MASTER!$F$5:$F$21,MATCH($A138,DATA_PROPERTY_MASTER!$A$5:$A$21,0)),"")</f>
        <v>Stable</v>
      </c>
      <c r="I138" t="s">
        <v>1499</v>
      </c>
      <c r="J138" s="348" t="str">
        <f t="shared" ca="1" si="8"/>
        <v>Formula-linked</v>
      </c>
    </row>
    <row r="139" spans="1:10">
      <c r="A139" s="366" t="s">
        <v>441</v>
      </c>
      <c r="B139" s="366">
        <v>2035</v>
      </c>
      <c r="C139" s="366" t="s">
        <v>1500</v>
      </c>
      <c r="D139" s="366">
        <v>52</v>
      </c>
      <c r="E139" s="348">
        <f t="shared" ca="1" si="6"/>
        <v>221483.00923871045</v>
      </c>
      <c r="F139" s="348" t="str">
        <f t="shared" si="7"/>
        <v>BLD_BT</v>
      </c>
      <c r="G139" s="348" t="str">
        <f>IFERROR(INDEX(DATA_PROPERTY_MASTER!$E$5:$E$21,MATCH($A139,DATA_PROPERTY_MASTER!$A$5:$A$21,0)),"")</f>
        <v>Yes</v>
      </c>
      <c r="H139" s="348" t="str">
        <f ca="1">IFERROR(INDEX(DATA_PROPERTY_MASTER!$F$5:$F$21,MATCH($A139,DATA_PROPERTY_MASTER!$A$5:$A$21,0)),"")</f>
        <v>Stable</v>
      </c>
      <c r="I139" t="s">
        <v>1501</v>
      </c>
      <c r="J139" s="348" t="str">
        <f t="shared" ca="1" si="8"/>
        <v>Formula-linked</v>
      </c>
    </row>
    <row r="140" spans="1:10">
      <c r="A140" s="366" t="s">
        <v>441</v>
      </c>
      <c r="B140" s="366">
        <v>2035</v>
      </c>
      <c r="C140" s="366" t="s">
        <v>27</v>
      </c>
      <c r="D140" s="366">
        <v>54</v>
      </c>
      <c r="E140" s="348">
        <f t="shared" ca="1" si="6"/>
        <v>132889.80554322628</v>
      </c>
      <c r="F140" s="348" t="str">
        <f t="shared" si="7"/>
        <v>BLD_BT</v>
      </c>
      <c r="G140" s="348" t="str">
        <f>IFERROR(INDEX(DATA_PROPERTY_MASTER!$E$5:$E$21,MATCH($A140,DATA_PROPERTY_MASTER!$A$5:$A$21,0)),"")</f>
        <v>Yes</v>
      </c>
      <c r="H140" s="348" t="str">
        <f ca="1">IFERROR(INDEX(DATA_PROPERTY_MASTER!$F$5:$F$21,MATCH($A140,DATA_PROPERTY_MASTER!$A$5:$A$21,0)),"")</f>
        <v>Stable</v>
      </c>
      <c r="I140" t="s">
        <v>1501</v>
      </c>
      <c r="J140" s="348" t="str">
        <f t="shared" ca="1" si="8"/>
        <v>Formula-linked</v>
      </c>
    </row>
    <row r="141" spans="1:10">
      <c r="A141" s="366" t="s">
        <v>441</v>
      </c>
      <c r="B141" s="366">
        <v>2035</v>
      </c>
      <c r="C141" s="366" t="s">
        <v>1502</v>
      </c>
      <c r="D141" s="366">
        <v>56</v>
      </c>
      <c r="E141" s="348">
        <f t="shared" ca="1" si="6"/>
        <v>88593.203695484175</v>
      </c>
      <c r="F141" s="348" t="str">
        <f t="shared" si="7"/>
        <v>BLD_BT</v>
      </c>
      <c r="G141" s="348" t="str">
        <f>IFERROR(INDEX(DATA_PROPERTY_MASTER!$E$5:$E$21,MATCH($A141,DATA_PROPERTY_MASTER!$A$5:$A$21,0)),"")</f>
        <v>Yes</v>
      </c>
      <c r="H141" s="348" t="str">
        <f ca="1">IFERROR(INDEX(DATA_PROPERTY_MASTER!$F$5:$F$21,MATCH($A141,DATA_PROPERTY_MASTER!$A$5:$A$21,0)),"")</f>
        <v>Stable</v>
      </c>
      <c r="I141" t="s">
        <v>1501</v>
      </c>
      <c r="J141" s="348" t="str">
        <f t="shared" ca="1" si="8"/>
        <v>Formula-linked</v>
      </c>
    </row>
    <row r="142" spans="1:10">
      <c r="A142" s="366" t="s">
        <v>441</v>
      </c>
      <c r="B142" s="366">
        <v>2035</v>
      </c>
      <c r="C142" s="366" t="s">
        <v>367</v>
      </c>
      <c r="D142" s="366">
        <v>61</v>
      </c>
      <c r="E142" s="348">
        <f t="shared" ca="1" si="6"/>
        <v>0</v>
      </c>
      <c r="F142" s="348" t="str">
        <f t="shared" si="7"/>
        <v>BLD_BT</v>
      </c>
      <c r="G142" s="348" t="str">
        <f>IFERROR(INDEX(DATA_PROPERTY_MASTER!$E$5:$E$21,MATCH($A142,DATA_PROPERTY_MASTER!$A$5:$A$21,0)),"")</f>
        <v>Yes</v>
      </c>
      <c r="H142" s="348" t="str">
        <f ca="1">IFERROR(INDEX(DATA_PROPERTY_MASTER!$F$5:$F$21,MATCH($A142,DATA_PROPERTY_MASTER!$A$5:$A$21,0)),"")</f>
        <v>Stable</v>
      </c>
      <c r="I142" t="s">
        <v>1503</v>
      </c>
      <c r="J142" s="348" t="str">
        <f t="shared" ca="1" si="8"/>
        <v>Formula-linked</v>
      </c>
    </row>
    <row r="143" spans="1:10">
      <c r="A143" s="366" t="s">
        <v>441</v>
      </c>
      <c r="B143" s="366">
        <v>2035</v>
      </c>
      <c r="C143" s="366" t="s">
        <v>368</v>
      </c>
      <c r="D143" s="366">
        <v>62</v>
      </c>
      <c r="E143" s="348">
        <f t="shared" ca="1" si="6"/>
        <v>0</v>
      </c>
      <c r="F143" s="348" t="str">
        <f t="shared" si="7"/>
        <v>BLD_BT</v>
      </c>
      <c r="G143" s="348" t="str">
        <f>IFERROR(INDEX(DATA_PROPERTY_MASTER!$E$5:$E$21,MATCH($A143,DATA_PROPERTY_MASTER!$A$5:$A$21,0)),"")</f>
        <v>Yes</v>
      </c>
      <c r="H143" s="348" t="str">
        <f ca="1">IFERROR(INDEX(DATA_PROPERTY_MASTER!$F$5:$F$21,MATCH($A143,DATA_PROPERTY_MASTER!$A$5:$A$21,0)),"")</f>
        <v>Stable</v>
      </c>
      <c r="I143" t="s">
        <v>1503</v>
      </c>
      <c r="J143" s="348" t="str">
        <f t="shared" ca="1" si="8"/>
        <v>Formula-linked</v>
      </c>
    </row>
    <row r="144" spans="1:10">
      <c r="A144" s="366" t="s">
        <v>441</v>
      </c>
      <c r="B144" s="366">
        <v>2035</v>
      </c>
      <c r="C144" s="366" t="s">
        <v>1504</v>
      </c>
      <c r="D144" s="366">
        <v>63</v>
      </c>
      <c r="E144" s="348">
        <f t="shared" ca="1" si="6"/>
        <v>0</v>
      </c>
      <c r="F144" s="348" t="str">
        <f t="shared" si="7"/>
        <v>BLD_BT</v>
      </c>
      <c r="G144" s="348" t="str">
        <f>IFERROR(INDEX(DATA_PROPERTY_MASTER!$E$5:$E$21,MATCH($A144,DATA_PROPERTY_MASTER!$A$5:$A$21,0)),"")</f>
        <v>Yes</v>
      </c>
      <c r="H144" s="348" t="str">
        <f ca="1">IFERROR(INDEX(DATA_PROPERTY_MASTER!$F$5:$F$21,MATCH($A144,DATA_PROPERTY_MASTER!$A$5:$A$21,0)),"")</f>
        <v>Stable</v>
      </c>
      <c r="I144" t="s">
        <v>1503</v>
      </c>
      <c r="J144" s="348" t="str">
        <f t="shared" ca="1" si="8"/>
        <v>Formula-linked</v>
      </c>
    </row>
    <row r="145" spans="1:10">
      <c r="A145" s="366" t="s">
        <v>441</v>
      </c>
      <c r="B145" s="366">
        <v>2035</v>
      </c>
      <c r="C145" s="366" t="s">
        <v>370</v>
      </c>
      <c r="D145" s="366">
        <v>64</v>
      </c>
      <c r="E145" s="348">
        <f t="shared" ca="1" si="6"/>
        <v>1003183.3341814631</v>
      </c>
      <c r="F145" s="348" t="str">
        <f t="shared" si="7"/>
        <v>BLD_BT</v>
      </c>
      <c r="G145" s="348" t="str">
        <f>IFERROR(INDEX(DATA_PROPERTY_MASTER!$E$5:$E$21,MATCH($A145,DATA_PROPERTY_MASTER!$A$5:$A$21,0)),"")</f>
        <v>Yes</v>
      </c>
      <c r="H145" s="348" t="str">
        <f ca="1">IFERROR(INDEX(DATA_PROPERTY_MASTER!$F$5:$F$21,MATCH($A145,DATA_PROPERTY_MASTER!$A$5:$A$21,0)),"")</f>
        <v>Stable</v>
      </c>
      <c r="I145" t="s">
        <v>1498</v>
      </c>
      <c r="J145" s="348" t="str">
        <f t="shared" ca="1" si="8"/>
        <v>Formula-linked</v>
      </c>
    </row>
    <row r="146" spans="1:10">
      <c r="A146" s="366" t="s">
        <v>441</v>
      </c>
      <c r="B146" s="366">
        <v>2035</v>
      </c>
      <c r="C146" s="366" t="s">
        <v>544</v>
      </c>
      <c r="D146" s="366">
        <v>68</v>
      </c>
      <c r="E146" s="348">
        <f t="shared" ca="1" si="6"/>
        <v>88593.203695484175</v>
      </c>
      <c r="F146" s="348" t="str">
        <f t="shared" si="7"/>
        <v>BLD_BT</v>
      </c>
      <c r="G146" s="348" t="str">
        <f>IFERROR(INDEX(DATA_PROPERTY_MASTER!$E$5:$E$21,MATCH($A146,DATA_PROPERTY_MASTER!$A$5:$A$21,0)),"")</f>
        <v>Yes</v>
      </c>
      <c r="H146" s="348" t="str">
        <f ca="1">IFERROR(INDEX(DATA_PROPERTY_MASTER!$F$5:$F$21,MATCH($A146,DATA_PROPERTY_MASTER!$A$5:$A$21,0)),"")</f>
        <v>Stable</v>
      </c>
      <c r="I146" t="s">
        <v>1501</v>
      </c>
      <c r="J146" s="348" t="str">
        <f t="shared" ca="1" si="8"/>
        <v>Formula-linked</v>
      </c>
    </row>
    <row r="147" spans="1:10">
      <c r="A147" s="366" t="s">
        <v>441</v>
      </c>
      <c r="B147" s="366">
        <v>2035</v>
      </c>
      <c r="C147" s="366" t="s">
        <v>378</v>
      </c>
      <c r="D147" s="366">
        <v>73</v>
      </c>
      <c r="E147" s="348">
        <f t="shared" ca="1" si="6"/>
        <v>5534111.487311841</v>
      </c>
      <c r="F147" s="348" t="str">
        <f t="shared" si="7"/>
        <v>BLD_BT</v>
      </c>
      <c r="G147" s="348" t="str">
        <f>IFERROR(INDEX(DATA_PROPERTY_MASTER!$E$5:$E$21,MATCH($A147,DATA_PROPERTY_MASTER!$A$5:$A$21,0)),"")</f>
        <v>Yes</v>
      </c>
      <c r="H147" s="348" t="str">
        <f ca="1">IFERROR(INDEX(DATA_PROPERTY_MASTER!$F$5:$F$21,MATCH($A147,DATA_PROPERTY_MASTER!$A$5:$A$21,0)),"")</f>
        <v>Stable</v>
      </c>
      <c r="I147" t="s">
        <v>1505</v>
      </c>
      <c r="J147" s="348" t="str">
        <f t="shared" ca="1" si="8"/>
        <v>Formula-linked</v>
      </c>
    </row>
    <row r="148" spans="1:10">
      <c r="A148" s="366" t="s">
        <v>441</v>
      </c>
      <c r="B148" s="366">
        <v>2035</v>
      </c>
      <c r="C148" s="366" t="s">
        <v>1506</v>
      </c>
      <c r="D148" s="366">
        <v>77</v>
      </c>
      <c r="E148" s="348">
        <f t="shared" ca="1" si="6"/>
        <v>4530928.1531303776</v>
      </c>
      <c r="F148" s="348" t="str">
        <f t="shared" si="7"/>
        <v>BLD_BT</v>
      </c>
      <c r="G148" s="348" t="str">
        <f>IFERROR(INDEX(DATA_PROPERTY_MASTER!$E$5:$E$21,MATCH($A148,DATA_PROPERTY_MASTER!$A$5:$A$21,0)),"")</f>
        <v>Yes</v>
      </c>
      <c r="H148" s="348" t="str">
        <f ca="1">IFERROR(INDEX(DATA_PROPERTY_MASTER!$F$5:$F$21,MATCH($A148,DATA_PROPERTY_MASTER!$A$5:$A$21,0)),"")</f>
        <v>Stable</v>
      </c>
      <c r="I148" t="s">
        <v>1505</v>
      </c>
      <c r="J148" s="348" t="str">
        <f t="shared" ca="1" si="8"/>
        <v>Formula-linked</v>
      </c>
    </row>
    <row r="149" spans="1:10">
      <c r="A149" s="366" t="s">
        <v>443</v>
      </c>
      <c r="B149" s="366">
        <v>2025</v>
      </c>
      <c r="C149" s="366" t="s">
        <v>341</v>
      </c>
      <c r="D149" s="366">
        <v>24</v>
      </c>
      <c r="E149" s="348">
        <f t="shared" ca="1" si="6"/>
        <v>714430.19199999992</v>
      </c>
      <c r="F149" s="348" t="str">
        <f t="shared" si="7"/>
        <v>BLD_CH</v>
      </c>
      <c r="G149" s="348" t="str">
        <f>IFERROR(INDEX(DATA_PROPERTY_MASTER!$E$5:$E$21,MATCH($A149,DATA_PROPERTY_MASTER!$A$5:$A$21,0)),"")</f>
        <v>Yes</v>
      </c>
      <c r="H149" s="348" t="str">
        <f ca="1">IFERROR(INDEX(DATA_PROPERTY_MASTER!$F$5:$F$21,MATCH($A149,DATA_PROPERTY_MASTER!$A$5:$A$21,0)),"")</f>
        <v>Stable</v>
      </c>
      <c r="I149" t="s">
        <v>1495</v>
      </c>
      <c r="J149" s="348" t="str">
        <f t="shared" ca="1" si="8"/>
        <v>Formula-linked</v>
      </c>
    </row>
    <row r="150" spans="1:10">
      <c r="A150" s="366" t="s">
        <v>443</v>
      </c>
      <c r="B150" s="366">
        <v>2025</v>
      </c>
      <c r="C150" s="366" t="s">
        <v>355</v>
      </c>
      <c r="D150" s="366">
        <v>39</v>
      </c>
      <c r="E150" s="348">
        <f t="shared" ca="1" si="6"/>
        <v>488744</v>
      </c>
      <c r="F150" s="348" t="str">
        <f t="shared" si="7"/>
        <v>BLD_CH</v>
      </c>
      <c r="G150" s="348" t="str">
        <f>IFERROR(INDEX(DATA_PROPERTY_MASTER!$E$5:$E$21,MATCH($A150,DATA_PROPERTY_MASTER!$A$5:$A$21,0)),"")</f>
        <v>Yes</v>
      </c>
      <c r="H150" s="348" t="str">
        <f ca="1">IFERROR(INDEX(DATA_PROPERTY_MASTER!$F$5:$F$21,MATCH($A150,DATA_PROPERTY_MASTER!$A$5:$A$21,0)),"")</f>
        <v>Stable</v>
      </c>
      <c r="I150" t="s">
        <v>1496</v>
      </c>
      <c r="J150" s="348" t="str">
        <f t="shared" ca="1" si="8"/>
        <v>Formula-linked</v>
      </c>
    </row>
    <row r="151" spans="1:10">
      <c r="A151" s="366" t="s">
        <v>443</v>
      </c>
      <c r="B151" s="366">
        <v>2025</v>
      </c>
      <c r="C151" s="366" t="s">
        <v>1497</v>
      </c>
      <c r="D151" s="366">
        <v>41</v>
      </c>
      <c r="E151" s="348">
        <f t="shared" ca="1" si="6"/>
        <v>225686.19199999992</v>
      </c>
      <c r="F151" s="348" t="str">
        <f t="shared" si="7"/>
        <v>BLD_CH</v>
      </c>
      <c r="G151" s="348" t="str">
        <f>IFERROR(INDEX(DATA_PROPERTY_MASTER!$E$5:$E$21,MATCH($A151,DATA_PROPERTY_MASTER!$A$5:$A$21,0)),"")</f>
        <v>Yes</v>
      </c>
      <c r="H151" s="348" t="str">
        <f ca="1">IFERROR(INDEX(DATA_PROPERTY_MASTER!$F$5:$F$21,MATCH($A151,DATA_PROPERTY_MASTER!$A$5:$A$21,0)),"")</f>
        <v>Stable</v>
      </c>
      <c r="I151" t="s">
        <v>1497</v>
      </c>
      <c r="J151" s="348" t="str">
        <f t="shared" ca="1" si="8"/>
        <v>Formula-linked</v>
      </c>
    </row>
    <row r="152" spans="1:10">
      <c r="A152" s="366" t="s">
        <v>443</v>
      </c>
      <c r="B152" s="366">
        <v>2025</v>
      </c>
      <c r="C152" s="366" t="s">
        <v>21</v>
      </c>
      <c r="D152" s="366">
        <v>45</v>
      </c>
      <c r="E152" s="348">
        <f t="shared" ca="1" si="6"/>
        <v>216086.19199999992</v>
      </c>
      <c r="F152" s="348" t="str">
        <f t="shared" si="7"/>
        <v>BLD_CH</v>
      </c>
      <c r="G152" s="348" t="str">
        <f>IFERROR(INDEX(DATA_PROPERTY_MASTER!$E$5:$E$21,MATCH($A152,DATA_PROPERTY_MASTER!$A$5:$A$21,0)),"")</f>
        <v>Yes</v>
      </c>
      <c r="H152" s="348" t="str">
        <f ca="1">IFERROR(INDEX(DATA_PROPERTY_MASTER!$F$5:$F$21,MATCH($A152,DATA_PROPERTY_MASTER!$A$5:$A$21,0)),"")</f>
        <v>Stable</v>
      </c>
      <c r="I152" t="s">
        <v>1497</v>
      </c>
      <c r="J152" s="348" t="str">
        <f t="shared" ca="1" si="8"/>
        <v>Formula-linked</v>
      </c>
    </row>
    <row r="153" spans="1:10">
      <c r="A153" s="366" t="s">
        <v>443</v>
      </c>
      <c r="B153" s="366">
        <v>2025</v>
      </c>
      <c r="C153" s="366" t="s">
        <v>23</v>
      </c>
      <c r="D153" s="366">
        <v>48</v>
      </c>
      <c r="E153" s="348">
        <f t="shared" ca="1" si="6"/>
        <v>0</v>
      </c>
      <c r="F153" s="348" t="str">
        <f t="shared" si="7"/>
        <v>BLD_CH</v>
      </c>
      <c r="G153" s="348" t="str">
        <f>IFERROR(INDEX(DATA_PROPERTY_MASTER!$E$5:$E$21,MATCH($A153,DATA_PROPERTY_MASTER!$A$5:$A$21,0)),"")</f>
        <v>Yes</v>
      </c>
      <c r="H153" s="348" t="str">
        <f ca="1">IFERROR(INDEX(DATA_PROPERTY_MASTER!$F$5:$F$21,MATCH($A153,DATA_PROPERTY_MASTER!$A$5:$A$21,0)),"")</f>
        <v>Stable</v>
      </c>
      <c r="I153" t="s">
        <v>1498</v>
      </c>
      <c r="J153" s="348" t="str">
        <f t="shared" ca="1" si="8"/>
        <v>Formula-linked</v>
      </c>
    </row>
    <row r="154" spans="1:10">
      <c r="A154" s="366" t="s">
        <v>443</v>
      </c>
      <c r="B154" s="366">
        <v>2025</v>
      </c>
      <c r="C154" s="366" t="s">
        <v>213</v>
      </c>
      <c r="D154" s="366">
        <v>50</v>
      </c>
      <c r="E154" s="348" t="str">
        <f t="shared" ca="1" si="6"/>
        <v/>
      </c>
      <c r="F154" s="348" t="str">
        <f t="shared" si="7"/>
        <v>BLD_CH</v>
      </c>
      <c r="G154" s="348" t="str">
        <f>IFERROR(INDEX(DATA_PROPERTY_MASTER!$E$5:$E$21,MATCH($A154,DATA_PROPERTY_MASTER!$A$5:$A$21,0)),"")</f>
        <v>Yes</v>
      </c>
      <c r="H154" s="348" t="str">
        <f ca="1">IFERROR(INDEX(DATA_PROPERTY_MASTER!$F$5:$F$21,MATCH($A154,DATA_PROPERTY_MASTER!$A$5:$A$21,0)),"")</f>
        <v>Stable</v>
      </c>
      <c r="I154" t="s">
        <v>1499</v>
      </c>
      <c r="J154" s="348" t="str">
        <f t="shared" ca="1" si="8"/>
        <v>Review</v>
      </c>
    </row>
    <row r="155" spans="1:10">
      <c r="A155" s="366" t="s">
        <v>443</v>
      </c>
      <c r="B155" s="366">
        <v>2025</v>
      </c>
      <c r="C155" s="366" t="s">
        <v>1500</v>
      </c>
      <c r="D155" s="366">
        <v>52</v>
      </c>
      <c r="E155" s="348">
        <f t="shared" ca="1" si="6"/>
        <v>225686.19199999992</v>
      </c>
      <c r="F155" s="348" t="str">
        <f t="shared" si="7"/>
        <v>BLD_CH</v>
      </c>
      <c r="G155" s="348" t="str">
        <f>IFERROR(INDEX(DATA_PROPERTY_MASTER!$E$5:$E$21,MATCH($A155,DATA_PROPERTY_MASTER!$A$5:$A$21,0)),"")</f>
        <v>Yes</v>
      </c>
      <c r="H155" s="348" t="str">
        <f ca="1">IFERROR(INDEX(DATA_PROPERTY_MASTER!$F$5:$F$21,MATCH($A155,DATA_PROPERTY_MASTER!$A$5:$A$21,0)),"")</f>
        <v>Stable</v>
      </c>
      <c r="I155" t="s">
        <v>1501</v>
      </c>
      <c r="J155" s="348" t="str">
        <f t="shared" ca="1" si="8"/>
        <v>Formula-linked</v>
      </c>
    </row>
    <row r="156" spans="1:10">
      <c r="A156" s="366" t="s">
        <v>443</v>
      </c>
      <c r="B156" s="366">
        <v>2025</v>
      </c>
      <c r="C156" s="366" t="s">
        <v>27</v>
      </c>
      <c r="D156" s="366">
        <v>54</v>
      </c>
      <c r="E156" s="348">
        <f t="shared" ca="1" si="6"/>
        <v>135411.71519999995</v>
      </c>
      <c r="F156" s="348" t="str">
        <f t="shared" si="7"/>
        <v>BLD_CH</v>
      </c>
      <c r="G156" s="348" t="str">
        <f>IFERROR(INDEX(DATA_PROPERTY_MASTER!$E$5:$E$21,MATCH($A156,DATA_PROPERTY_MASTER!$A$5:$A$21,0)),"")</f>
        <v>Yes</v>
      </c>
      <c r="H156" s="348" t="str">
        <f ca="1">IFERROR(INDEX(DATA_PROPERTY_MASTER!$F$5:$F$21,MATCH($A156,DATA_PROPERTY_MASTER!$A$5:$A$21,0)),"")</f>
        <v>Stable</v>
      </c>
      <c r="I156" t="s">
        <v>1501</v>
      </c>
      <c r="J156" s="348" t="str">
        <f t="shared" ca="1" si="8"/>
        <v>Formula-linked</v>
      </c>
    </row>
    <row r="157" spans="1:10">
      <c r="A157" s="366" t="s">
        <v>443</v>
      </c>
      <c r="B157" s="366">
        <v>2025</v>
      </c>
      <c r="C157" s="366" t="s">
        <v>1502</v>
      </c>
      <c r="D157" s="366">
        <v>56</v>
      </c>
      <c r="E157" s="348">
        <f t="shared" ca="1" si="6"/>
        <v>90274.476799999975</v>
      </c>
      <c r="F157" s="348" t="str">
        <f t="shared" si="7"/>
        <v>BLD_CH</v>
      </c>
      <c r="G157" s="348" t="str">
        <f>IFERROR(INDEX(DATA_PROPERTY_MASTER!$E$5:$E$21,MATCH($A157,DATA_PROPERTY_MASTER!$A$5:$A$21,0)),"")</f>
        <v>Yes</v>
      </c>
      <c r="H157" s="348" t="str">
        <f ca="1">IFERROR(INDEX(DATA_PROPERTY_MASTER!$F$5:$F$21,MATCH($A157,DATA_PROPERTY_MASTER!$A$5:$A$21,0)),"")</f>
        <v>Stable</v>
      </c>
      <c r="I157" t="s">
        <v>1501</v>
      </c>
      <c r="J157" s="348" t="str">
        <f t="shared" ca="1" si="8"/>
        <v>Formula-linked</v>
      </c>
    </row>
    <row r="158" spans="1:10">
      <c r="A158" s="366" t="s">
        <v>443</v>
      </c>
      <c r="B158" s="366">
        <v>2025</v>
      </c>
      <c r="C158" s="366" t="s">
        <v>367</v>
      </c>
      <c r="D158" s="366">
        <v>61</v>
      </c>
      <c r="E158" s="348">
        <f t="shared" ca="1" si="6"/>
        <v>0</v>
      </c>
      <c r="F158" s="348" t="str">
        <f t="shared" si="7"/>
        <v>BLD_CH</v>
      </c>
      <c r="G158" s="348" t="str">
        <f>IFERROR(INDEX(DATA_PROPERTY_MASTER!$E$5:$E$21,MATCH($A158,DATA_PROPERTY_MASTER!$A$5:$A$21,0)),"")</f>
        <v>Yes</v>
      </c>
      <c r="H158" s="348" t="str">
        <f ca="1">IFERROR(INDEX(DATA_PROPERTY_MASTER!$F$5:$F$21,MATCH($A158,DATA_PROPERTY_MASTER!$A$5:$A$21,0)),"")</f>
        <v>Stable</v>
      </c>
      <c r="I158" t="s">
        <v>1503</v>
      </c>
      <c r="J158" s="348" t="str">
        <f t="shared" ca="1" si="8"/>
        <v>Formula-linked</v>
      </c>
    </row>
    <row r="159" spans="1:10">
      <c r="A159" s="366" t="s">
        <v>443</v>
      </c>
      <c r="B159" s="366">
        <v>2025</v>
      </c>
      <c r="C159" s="366" t="s">
        <v>368</v>
      </c>
      <c r="D159" s="366">
        <v>62</v>
      </c>
      <c r="E159" s="348">
        <f t="shared" ca="1" si="6"/>
        <v>0</v>
      </c>
      <c r="F159" s="348" t="str">
        <f t="shared" si="7"/>
        <v>BLD_CH</v>
      </c>
      <c r="G159" s="348" t="str">
        <f>IFERROR(INDEX(DATA_PROPERTY_MASTER!$E$5:$E$21,MATCH($A159,DATA_PROPERTY_MASTER!$A$5:$A$21,0)),"")</f>
        <v>Yes</v>
      </c>
      <c r="H159" s="348" t="str">
        <f ca="1">IFERROR(INDEX(DATA_PROPERTY_MASTER!$F$5:$F$21,MATCH($A159,DATA_PROPERTY_MASTER!$A$5:$A$21,0)),"")</f>
        <v>Stable</v>
      </c>
      <c r="I159" t="s">
        <v>1503</v>
      </c>
      <c r="J159" s="348" t="str">
        <f t="shared" ca="1" si="8"/>
        <v>Formula-linked</v>
      </c>
    </row>
    <row r="160" spans="1:10">
      <c r="A160" s="366" t="s">
        <v>443</v>
      </c>
      <c r="B160" s="366">
        <v>2025</v>
      </c>
      <c r="C160" s="366" t="s">
        <v>1504</v>
      </c>
      <c r="D160" s="366">
        <v>63</v>
      </c>
      <c r="E160" s="348">
        <f t="shared" ca="1" si="6"/>
        <v>0</v>
      </c>
      <c r="F160" s="348" t="str">
        <f t="shared" si="7"/>
        <v>BLD_CH</v>
      </c>
      <c r="G160" s="348" t="str">
        <f>IFERROR(INDEX(DATA_PROPERTY_MASTER!$E$5:$E$21,MATCH($A160,DATA_PROPERTY_MASTER!$A$5:$A$21,0)),"")</f>
        <v>Yes</v>
      </c>
      <c r="H160" s="348" t="str">
        <f ca="1">IFERROR(INDEX(DATA_PROPERTY_MASTER!$F$5:$F$21,MATCH($A160,DATA_PROPERTY_MASTER!$A$5:$A$21,0)),"")</f>
        <v>Stable</v>
      </c>
      <c r="I160" t="s">
        <v>1503</v>
      </c>
      <c r="J160" s="348" t="str">
        <f t="shared" ca="1" si="8"/>
        <v>Formula-linked</v>
      </c>
    </row>
    <row r="161" spans="1:10">
      <c r="A161" s="366" t="s">
        <v>443</v>
      </c>
      <c r="B161" s="366">
        <v>2025</v>
      </c>
      <c r="C161" s="366" t="s">
        <v>370</v>
      </c>
      <c r="D161" s="366">
        <v>64</v>
      </c>
      <c r="E161" s="348">
        <f t="shared" ca="1" si="6"/>
        <v>0</v>
      </c>
      <c r="F161" s="348" t="str">
        <f t="shared" si="7"/>
        <v>BLD_CH</v>
      </c>
      <c r="G161" s="348" t="str">
        <f>IFERROR(INDEX(DATA_PROPERTY_MASTER!$E$5:$E$21,MATCH($A161,DATA_PROPERTY_MASTER!$A$5:$A$21,0)),"")</f>
        <v>Yes</v>
      </c>
      <c r="H161" s="348" t="str">
        <f ca="1">IFERROR(INDEX(DATA_PROPERTY_MASTER!$F$5:$F$21,MATCH($A161,DATA_PROPERTY_MASTER!$A$5:$A$21,0)),"")</f>
        <v>Stable</v>
      </c>
      <c r="I161" t="s">
        <v>1498</v>
      </c>
      <c r="J161" s="348" t="str">
        <f t="shared" ca="1" si="8"/>
        <v>Formula-linked</v>
      </c>
    </row>
    <row r="162" spans="1:10">
      <c r="A162" s="366" t="s">
        <v>443</v>
      </c>
      <c r="B162" s="366">
        <v>2025</v>
      </c>
      <c r="C162" s="366" t="s">
        <v>544</v>
      </c>
      <c r="D162" s="366">
        <v>68</v>
      </c>
      <c r="E162" s="348">
        <f t="shared" ca="1" si="6"/>
        <v>90274.476799999975</v>
      </c>
      <c r="F162" s="348" t="str">
        <f t="shared" si="7"/>
        <v>BLD_CH</v>
      </c>
      <c r="G162" s="348" t="str">
        <f>IFERROR(INDEX(DATA_PROPERTY_MASTER!$E$5:$E$21,MATCH($A162,DATA_PROPERTY_MASTER!$A$5:$A$21,0)),"")</f>
        <v>Yes</v>
      </c>
      <c r="H162" s="348" t="str">
        <f ca="1">IFERROR(INDEX(DATA_PROPERTY_MASTER!$F$5:$F$21,MATCH($A162,DATA_PROPERTY_MASTER!$A$5:$A$21,0)),"")</f>
        <v>Stable</v>
      </c>
      <c r="I162" t="s">
        <v>1501</v>
      </c>
      <c r="J162" s="348" t="str">
        <f t="shared" ca="1" si="8"/>
        <v>Formula-linked</v>
      </c>
    </row>
    <row r="163" spans="1:10">
      <c r="A163" s="366" t="s">
        <v>443</v>
      </c>
      <c r="B163" s="366">
        <v>2025</v>
      </c>
      <c r="C163" s="366" t="s">
        <v>378</v>
      </c>
      <c r="D163" s="366">
        <v>73</v>
      </c>
      <c r="E163" s="348">
        <f t="shared" ca="1" si="6"/>
        <v>3761436.5333333323</v>
      </c>
      <c r="F163" s="348" t="str">
        <f t="shared" si="7"/>
        <v>BLD_CH</v>
      </c>
      <c r="G163" s="348" t="str">
        <f>IFERROR(INDEX(DATA_PROPERTY_MASTER!$E$5:$E$21,MATCH($A163,DATA_PROPERTY_MASTER!$A$5:$A$21,0)),"")</f>
        <v>Yes</v>
      </c>
      <c r="H163" s="348" t="str">
        <f ca="1">IFERROR(INDEX(DATA_PROPERTY_MASTER!$F$5:$F$21,MATCH($A163,DATA_PROPERTY_MASTER!$A$5:$A$21,0)),"")</f>
        <v>Stable</v>
      </c>
      <c r="I163" t="s">
        <v>1505</v>
      </c>
      <c r="J163" s="348" t="str">
        <f t="shared" ca="1" si="8"/>
        <v>Formula-linked</v>
      </c>
    </row>
    <row r="164" spans="1:10">
      <c r="A164" s="366" t="s">
        <v>443</v>
      </c>
      <c r="B164" s="366">
        <v>2025</v>
      </c>
      <c r="C164" s="366" t="s">
        <v>1506</v>
      </c>
      <c r="D164" s="366">
        <v>77</v>
      </c>
      <c r="E164" s="348">
        <f t="shared" ca="1" si="6"/>
        <v>3761436.5333333323</v>
      </c>
      <c r="F164" s="348" t="str">
        <f t="shared" si="7"/>
        <v>BLD_CH</v>
      </c>
      <c r="G164" s="348" t="str">
        <f>IFERROR(INDEX(DATA_PROPERTY_MASTER!$E$5:$E$21,MATCH($A164,DATA_PROPERTY_MASTER!$A$5:$A$21,0)),"")</f>
        <v>Yes</v>
      </c>
      <c r="H164" s="348" t="str">
        <f ca="1">IFERROR(INDEX(DATA_PROPERTY_MASTER!$F$5:$F$21,MATCH($A164,DATA_PROPERTY_MASTER!$A$5:$A$21,0)),"")</f>
        <v>Stable</v>
      </c>
      <c r="I164" t="s">
        <v>1505</v>
      </c>
      <c r="J164" s="348" t="str">
        <f t="shared" ca="1" si="8"/>
        <v>Formula-linked</v>
      </c>
    </row>
    <row r="165" spans="1:10">
      <c r="A165" s="366" t="s">
        <v>443</v>
      </c>
      <c r="B165" s="366">
        <v>2029</v>
      </c>
      <c r="C165" s="366" t="s">
        <v>341</v>
      </c>
      <c r="D165" s="366">
        <v>24</v>
      </c>
      <c r="E165" s="348">
        <f t="shared" ca="1" si="6"/>
        <v>1045186.6045957861</v>
      </c>
      <c r="F165" s="348" t="str">
        <f t="shared" si="7"/>
        <v>BLD_CH</v>
      </c>
      <c r="G165" s="348" t="str">
        <f>IFERROR(INDEX(DATA_PROPERTY_MASTER!$E$5:$E$21,MATCH($A165,DATA_PROPERTY_MASTER!$A$5:$A$21,0)),"")</f>
        <v>Yes</v>
      </c>
      <c r="H165" s="348" t="str">
        <f ca="1">IFERROR(INDEX(DATA_PROPERTY_MASTER!$F$5:$F$21,MATCH($A165,DATA_PROPERTY_MASTER!$A$5:$A$21,0)),"")</f>
        <v>Stable</v>
      </c>
      <c r="I165" t="s">
        <v>1495</v>
      </c>
      <c r="J165" s="348" t="str">
        <f t="shared" ca="1" si="8"/>
        <v>Formula-linked</v>
      </c>
    </row>
    <row r="166" spans="1:10">
      <c r="A166" s="366" t="s">
        <v>443</v>
      </c>
      <c r="B166" s="366">
        <v>2029</v>
      </c>
      <c r="C166" s="366" t="s">
        <v>355</v>
      </c>
      <c r="D166" s="366">
        <v>39</v>
      </c>
      <c r="E166" s="348">
        <f t="shared" ca="1" si="6"/>
        <v>571761.35204864014</v>
      </c>
      <c r="F166" s="348" t="str">
        <f t="shared" si="7"/>
        <v>BLD_CH</v>
      </c>
      <c r="G166" s="348" t="str">
        <f>IFERROR(INDEX(DATA_PROPERTY_MASTER!$E$5:$E$21,MATCH($A166,DATA_PROPERTY_MASTER!$A$5:$A$21,0)),"")</f>
        <v>Yes</v>
      </c>
      <c r="H166" s="348" t="str">
        <f ca="1">IFERROR(INDEX(DATA_PROPERTY_MASTER!$F$5:$F$21,MATCH($A166,DATA_PROPERTY_MASTER!$A$5:$A$21,0)),"")</f>
        <v>Stable</v>
      </c>
      <c r="I166" t="s">
        <v>1496</v>
      </c>
      <c r="J166" s="348" t="str">
        <f t="shared" ca="1" si="8"/>
        <v>Formula-linked</v>
      </c>
    </row>
    <row r="167" spans="1:10">
      <c r="A167" s="366" t="s">
        <v>443</v>
      </c>
      <c r="B167" s="366">
        <v>2029</v>
      </c>
      <c r="C167" s="366" t="s">
        <v>1497</v>
      </c>
      <c r="D167" s="366">
        <v>41</v>
      </c>
      <c r="E167" s="348">
        <f t="shared" ca="1" si="6"/>
        <v>473425.25254714594</v>
      </c>
      <c r="F167" s="348" t="str">
        <f t="shared" si="7"/>
        <v>BLD_CH</v>
      </c>
      <c r="G167" s="348" t="str">
        <f>IFERROR(INDEX(DATA_PROPERTY_MASTER!$E$5:$E$21,MATCH($A167,DATA_PROPERTY_MASTER!$A$5:$A$21,0)),"")</f>
        <v>Yes</v>
      </c>
      <c r="H167" s="348" t="str">
        <f ca="1">IFERROR(INDEX(DATA_PROPERTY_MASTER!$F$5:$F$21,MATCH($A167,DATA_PROPERTY_MASTER!$A$5:$A$21,0)),"")</f>
        <v>Stable</v>
      </c>
      <c r="I167" t="s">
        <v>1497</v>
      </c>
      <c r="J167" s="348" t="str">
        <f t="shared" ca="1" si="8"/>
        <v>Formula-linked</v>
      </c>
    </row>
    <row r="168" spans="1:10">
      <c r="A168" s="366" t="s">
        <v>443</v>
      </c>
      <c r="B168" s="366">
        <v>2029</v>
      </c>
      <c r="C168" s="366" t="s">
        <v>21</v>
      </c>
      <c r="D168" s="366">
        <v>45</v>
      </c>
      <c r="E168" s="348">
        <f t="shared" ca="1" si="6"/>
        <v>463033.90381114592</v>
      </c>
      <c r="F168" s="348" t="str">
        <f t="shared" si="7"/>
        <v>BLD_CH</v>
      </c>
      <c r="G168" s="348" t="str">
        <f>IFERROR(INDEX(DATA_PROPERTY_MASTER!$E$5:$E$21,MATCH($A168,DATA_PROPERTY_MASTER!$A$5:$A$21,0)),"")</f>
        <v>Yes</v>
      </c>
      <c r="H168" s="348" t="str">
        <f ca="1">IFERROR(INDEX(DATA_PROPERTY_MASTER!$F$5:$F$21,MATCH($A168,DATA_PROPERTY_MASTER!$A$5:$A$21,0)),"")</f>
        <v>Stable</v>
      </c>
      <c r="I168" t="s">
        <v>1497</v>
      </c>
      <c r="J168" s="348" t="str">
        <f t="shared" ca="1" si="8"/>
        <v>Formula-linked</v>
      </c>
    </row>
    <row r="169" spans="1:10">
      <c r="A169" s="366" t="s">
        <v>443</v>
      </c>
      <c r="B169" s="366">
        <v>2029</v>
      </c>
      <c r="C169" s="366" t="s">
        <v>23</v>
      </c>
      <c r="D169" s="366">
        <v>48</v>
      </c>
      <c r="E169" s="348">
        <f t="shared" ca="1" si="6"/>
        <v>0</v>
      </c>
      <c r="F169" s="348" t="str">
        <f t="shared" si="7"/>
        <v>BLD_CH</v>
      </c>
      <c r="G169" s="348" t="str">
        <f>IFERROR(INDEX(DATA_PROPERTY_MASTER!$E$5:$E$21,MATCH($A169,DATA_PROPERTY_MASTER!$A$5:$A$21,0)),"")</f>
        <v>Yes</v>
      </c>
      <c r="H169" s="348" t="str">
        <f ca="1">IFERROR(INDEX(DATA_PROPERTY_MASTER!$F$5:$F$21,MATCH($A169,DATA_PROPERTY_MASTER!$A$5:$A$21,0)),"")</f>
        <v>Stable</v>
      </c>
      <c r="I169" t="s">
        <v>1498</v>
      </c>
      <c r="J169" s="348" t="str">
        <f t="shared" ca="1" si="8"/>
        <v>Formula-linked</v>
      </c>
    </row>
    <row r="170" spans="1:10">
      <c r="A170" s="366" t="s">
        <v>443</v>
      </c>
      <c r="B170" s="366">
        <v>2029</v>
      </c>
      <c r="C170" s="366" t="s">
        <v>213</v>
      </c>
      <c r="D170" s="366">
        <v>50</v>
      </c>
      <c r="E170" s="348" t="str">
        <f t="shared" ca="1" si="6"/>
        <v/>
      </c>
      <c r="F170" s="348" t="str">
        <f t="shared" si="7"/>
        <v>BLD_CH</v>
      </c>
      <c r="G170" s="348" t="str">
        <f>IFERROR(INDEX(DATA_PROPERTY_MASTER!$E$5:$E$21,MATCH($A170,DATA_PROPERTY_MASTER!$A$5:$A$21,0)),"")</f>
        <v>Yes</v>
      </c>
      <c r="H170" s="348" t="str">
        <f ca="1">IFERROR(INDEX(DATA_PROPERTY_MASTER!$F$5:$F$21,MATCH($A170,DATA_PROPERTY_MASTER!$A$5:$A$21,0)),"")</f>
        <v>Stable</v>
      </c>
      <c r="I170" t="s">
        <v>1499</v>
      </c>
      <c r="J170" s="348" t="str">
        <f t="shared" ca="1" si="8"/>
        <v>Review</v>
      </c>
    </row>
    <row r="171" spans="1:10">
      <c r="A171" s="366" t="s">
        <v>443</v>
      </c>
      <c r="B171" s="366">
        <v>2029</v>
      </c>
      <c r="C171" s="366" t="s">
        <v>1500</v>
      </c>
      <c r="D171" s="366">
        <v>52</v>
      </c>
      <c r="E171" s="348">
        <f t="shared" ca="1" si="6"/>
        <v>473425.25254714594</v>
      </c>
      <c r="F171" s="348" t="str">
        <f t="shared" si="7"/>
        <v>BLD_CH</v>
      </c>
      <c r="G171" s="348" t="str">
        <f>IFERROR(INDEX(DATA_PROPERTY_MASTER!$E$5:$E$21,MATCH($A171,DATA_PROPERTY_MASTER!$A$5:$A$21,0)),"")</f>
        <v>Yes</v>
      </c>
      <c r="H171" s="348" t="str">
        <f ca="1">IFERROR(INDEX(DATA_PROPERTY_MASTER!$F$5:$F$21,MATCH($A171,DATA_PROPERTY_MASTER!$A$5:$A$21,0)),"")</f>
        <v>Stable</v>
      </c>
      <c r="I171" t="s">
        <v>1501</v>
      </c>
      <c r="J171" s="348" t="str">
        <f t="shared" ca="1" si="8"/>
        <v>Formula-linked</v>
      </c>
    </row>
    <row r="172" spans="1:10">
      <c r="A172" s="366" t="s">
        <v>443</v>
      </c>
      <c r="B172" s="366">
        <v>2029</v>
      </c>
      <c r="C172" s="366" t="s">
        <v>27</v>
      </c>
      <c r="D172" s="366">
        <v>54</v>
      </c>
      <c r="E172" s="348">
        <f t="shared" ca="1" si="6"/>
        <v>284055.15152828756</v>
      </c>
      <c r="F172" s="348" t="str">
        <f t="shared" si="7"/>
        <v>BLD_CH</v>
      </c>
      <c r="G172" s="348" t="str">
        <f>IFERROR(INDEX(DATA_PROPERTY_MASTER!$E$5:$E$21,MATCH($A172,DATA_PROPERTY_MASTER!$A$5:$A$21,0)),"")</f>
        <v>Yes</v>
      </c>
      <c r="H172" s="348" t="str">
        <f ca="1">IFERROR(INDEX(DATA_PROPERTY_MASTER!$F$5:$F$21,MATCH($A172,DATA_PROPERTY_MASTER!$A$5:$A$21,0)),"")</f>
        <v>Stable</v>
      </c>
      <c r="I172" t="s">
        <v>1501</v>
      </c>
      <c r="J172" s="348" t="str">
        <f t="shared" ca="1" si="8"/>
        <v>Formula-linked</v>
      </c>
    </row>
    <row r="173" spans="1:10">
      <c r="A173" s="366" t="s">
        <v>443</v>
      </c>
      <c r="B173" s="366">
        <v>2029</v>
      </c>
      <c r="C173" s="366" t="s">
        <v>1502</v>
      </c>
      <c r="D173" s="366">
        <v>56</v>
      </c>
      <c r="E173" s="348">
        <f t="shared" ca="1" si="6"/>
        <v>189370.10101885838</v>
      </c>
      <c r="F173" s="348" t="str">
        <f t="shared" si="7"/>
        <v>BLD_CH</v>
      </c>
      <c r="G173" s="348" t="str">
        <f>IFERROR(INDEX(DATA_PROPERTY_MASTER!$E$5:$E$21,MATCH($A173,DATA_PROPERTY_MASTER!$A$5:$A$21,0)),"")</f>
        <v>Yes</v>
      </c>
      <c r="H173" s="348" t="str">
        <f ca="1">IFERROR(INDEX(DATA_PROPERTY_MASTER!$F$5:$F$21,MATCH($A173,DATA_PROPERTY_MASTER!$A$5:$A$21,0)),"")</f>
        <v>Stable</v>
      </c>
      <c r="I173" t="s">
        <v>1501</v>
      </c>
      <c r="J173" s="348" t="str">
        <f t="shared" ca="1" si="8"/>
        <v>Formula-linked</v>
      </c>
    </row>
    <row r="174" spans="1:10">
      <c r="A174" s="366" t="s">
        <v>443</v>
      </c>
      <c r="B174" s="366">
        <v>2029</v>
      </c>
      <c r="C174" s="366" t="s">
        <v>367</v>
      </c>
      <c r="D174" s="366">
        <v>61</v>
      </c>
      <c r="E174" s="348">
        <f t="shared" ca="1" si="6"/>
        <v>0</v>
      </c>
      <c r="F174" s="348" t="str">
        <f t="shared" si="7"/>
        <v>BLD_CH</v>
      </c>
      <c r="G174" s="348" t="str">
        <f>IFERROR(INDEX(DATA_PROPERTY_MASTER!$E$5:$E$21,MATCH($A174,DATA_PROPERTY_MASTER!$A$5:$A$21,0)),"")</f>
        <v>Yes</v>
      </c>
      <c r="H174" s="348" t="str">
        <f ca="1">IFERROR(INDEX(DATA_PROPERTY_MASTER!$F$5:$F$21,MATCH($A174,DATA_PROPERTY_MASTER!$A$5:$A$21,0)),"")</f>
        <v>Stable</v>
      </c>
      <c r="I174" t="s">
        <v>1503</v>
      </c>
      <c r="J174" s="348" t="str">
        <f t="shared" ca="1" si="8"/>
        <v>Formula-linked</v>
      </c>
    </row>
    <row r="175" spans="1:10">
      <c r="A175" s="366" t="s">
        <v>443</v>
      </c>
      <c r="B175" s="366">
        <v>2029</v>
      </c>
      <c r="C175" s="366" t="s">
        <v>368</v>
      </c>
      <c r="D175" s="366">
        <v>62</v>
      </c>
      <c r="E175" s="348">
        <f t="shared" ca="1" si="6"/>
        <v>0</v>
      </c>
      <c r="F175" s="348" t="str">
        <f t="shared" si="7"/>
        <v>BLD_CH</v>
      </c>
      <c r="G175" s="348" t="str">
        <f>IFERROR(INDEX(DATA_PROPERTY_MASTER!$E$5:$E$21,MATCH($A175,DATA_PROPERTY_MASTER!$A$5:$A$21,0)),"")</f>
        <v>Yes</v>
      </c>
      <c r="H175" s="348" t="str">
        <f ca="1">IFERROR(INDEX(DATA_PROPERTY_MASTER!$F$5:$F$21,MATCH($A175,DATA_PROPERTY_MASTER!$A$5:$A$21,0)),"")</f>
        <v>Stable</v>
      </c>
      <c r="I175" t="s">
        <v>1503</v>
      </c>
      <c r="J175" s="348" t="str">
        <f t="shared" ca="1" si="8"/>
        <v>Formula-linked</v>
      </c>
    </row>
    <row r="176" spans="1:10">
      <c r="A176" s="366" t="s">
        <v>443</v>
      </c>
      <c r="B176" s="366">
        <v>2029</v>
      </c>
      <c r="C176" s="366" t="s">
        <v>1504</v>
      </c>
      <c r="D176" s="366">
        <v>63</v>
      </c>
      <c r="E176" s="348">
        <f t="shared" ca="1" si="6"/>
        <v>0</v>
      </c>
      <c r="F176" s="348" t="str">
        <f t="shared" si="7"/>
        <v>BLD_CH</v>
      </c>
      <c r="G176" s="348" t="str">
        <f>IFERROR(INDEX(DATA_PROPERTY_MASTER!$E$5:$E$21,MATCH($A176,DATA_PROPERTY_MASTER!$A$5:$A$21,0)),"")</f>
        <v>Yes</v>
      </c>
      <c r="H176" s="348" t="str">
        <f ca="1">IFERROR(INDEX(DATA_PROPERTY_MASTER!$F$5:$F$21,MATCH($A176,DATA_PROPERTY_MASTER!$A$5:$A$21,0)),"")</f>
        <v>Stable</v>
      </c>
      <c r="I176" t="s">
        <v>1503</v>
      </c>
      <c r="J176" s="348" t="str">
        <f t="shared" ca="1" si="8"/>
        <v>Formula-linked</v>
      </c>
    </row>
    <row r="177" spans="1:10">
      <c r="A177" s="366" t="s">
        <v>443</v>
      </c>
      <c r="B177" s="366">
        <v>2029</v>
      </c>
      <c r="C177" s="366" t="s">
        <v>370</v>
      </c>
      <c r="D177" s="366">
        <v>64</v>
      </c>
      <c r="E177" s="348">
        <f t="shared" ca="1" si="6"/>
        <v>0</v>
      </c>
      <c r="F177" s="348" t="str">
        <f t="shared" si="7"/>
        <v>BLD_CH</v>
      </c>
      <c r="G177" s="348" t="str">
        <f>IFERROR(INDEX(DATA_PROPERTY_MASTER!$E$5:$E$21,MATCH($A177,DATA_PROPERTY_MASTER!$A$5:$A$21,0)),"")</f>
        <v>Yes</v>
      </c>
      <c r="H177" s="348" t="str">
        <f ca="1">IFERROR(INDEX(DATA_PROPERTY_MASTER!$F$5:$F$21,MATCH($A177,DATA_PROPERTY_MASTER!$A$5:$A$21,0)),"")</f>
        <v>Stable</v>
      </c>
      <c r="I177" t="s">
        <v>1498</v>
      </c>
      <c r="J177" s="348" t="str">
        <f t="shared" ca="1" si="8"/>
        <v>Formula-linked</v>
      </c>
    </row>
    <row r="178" spans="1:10">
      <c r="A178" s="366" t="s">
        <v>443</v>
      </c>
      <c r="B178" s="366">
        <v>2029</v>
      </c>
      <c r="C178" s="366" t="s">
        <v>544</v>
      </c>
      <c r="D178" s="366">
        <v>68</v>
      </c>
      <c r="E178" s="348">
        <f t="shared" ca="1" si="6"/>
        <v>189370.10101885838</v>
      </c>
      <c r="F178" s="348" t="str">
        <f t="shared" si="7"/>
        <v>BLD_CH</v>
      </c>
      <c r="G178" s="348" t="str">
        <f>IFERROR(INDEX(DATA_PROPERTY_MASTER!$E$5:$E$21,MATCH($A178,DATA_PROPERTY_MASTER!$A$5:$A$21,0)),"")</f>
        <v>Yes</v>
      </c>
      <c r="H178" s="348" t="str">
        <f ca="1">IFERROR(INDEX(DATA_PROPERTY_MASTER!$F$5:$F$21,MATCH($A178,DATA_PROPERTY_MASTER!$A$5:$A$21,0)),"")</f>
        <v>Stable</v>
      </c>
      <c r="I178" t="s">
        <v>1501</v>
      </c>
      <c r="J178" s="348" t="str">
        <f t="shared" ca="1" si="8"/>
        <v>Formula-linked</v>
      </c>
    </row>
    <row r="179" spans="1:10">
      <c r="A179" s="366" t="s">
        <v>443</v>
      </c>
      <c r="B179" s="366">
        <v>2029</v>
      </c>
      <c r="C179" s="366" t="s">
        <v>378</v>
      </c>
      <c r="D179" s="366">
        <v>73</v>
      </c>
      <c r="E179" s="348">
        <f t="shared" ca="1" si="6"/>
        <v>7890420.8757857662</v>
      </c>
      <c r="F179" s="348" t="str">
        <f t="shared" si="7"/>
        <v>BLD_CH</v>
      </c>
      <c r="G179" s="348" t="str">
        <f>IFERROR(INDEX(DATA_PROPERTY_MASTER!$E$5:$E$21,MATCH($A179,DATA_PROPERTY_MASTER!$A$5:$A$21,0)),"")</f>
        <v>Yes</v>
      </c>
      <c r="H179" s="348" t="str">
        <f ca="1">IFERROR(INDEX(DATA_PROPERTY_MASTER!$F$5:$F$21,MATCH($A179,DATA_PROPERTY_MASTER!$A$5:$A$21,0)),"")</f>
        <v>Stable</v>
      </c>
      <c r="I179" t="s">
        <v>1505</v>
      </c>
      <c r="J179" s="348" t="str">
        <f t="shared" ca="1" si="8"/>
        <v>Formula-linked</v>
      </c>
    </row>
    <row r="180" spans="1:10">
      <c r="A180" s="366" t="s">
        <v>443</v>
      </c>
      <c r="B180" s="366">
        <v>2029</v>
      </c>
      <c r="C180" s="366" t="s">
        <v>1506</v>
      </c>
      <c r="D180" s="366">
        <v>77</v>
      </c>
      <c r="E180" s="348">
        <f t="shared" ca="1" si="6"/>
        <v>7890420.8757857662</v>
      </c>
      <c r="F180" s="348" t="str">
        <f t="shared" si="7"/>
        <v>BLD_CH</v>
      </c>
      <c r="G180" s="348" t="str">
        <f>IFERROR(INDEX(DATA_PROPERTY_MASTER!$E$5:$E$21,MATCH($A180,DATA_PROPERTY_MASTER!$A$5:$A$21,0)),"")</f>
        <v>Yes</v>
      </c>
      <c r="H180" s="348" t="str">
        <f ca="1">IFERROR(INDEX(DATA_PROPERTY_MASTER!$F$5:$F$21,MATCH($A180,DATA_PROPERTY_MASTER!$A$5:$A$21,0)),"")</f>
        <v>Stable</v>
      </c>
      <c r="I180" t="s">
        <v>1505</v>
      </c>
      <c r="J180" s="348" t="str">
        <f t="shared" ca="1" si="8"/>
        <v>Formula-linked</v>
      </c>
    </row>
    <row r="181" spans="1:10">
      <c r="A181" s="366" t="s">
        <v>443</v>
      </c>
      <c r="B181" s="366">
        <v>2035</v>
      </c>
      <c r="C181" s="366" t="s">
        <v>341</v>
      </c>
      <c r="D181" s="366">
        <v>24</v>
      </c>
      <c r="E181" s="348">
        <f t="shared" ca="1" si="6"/>
        <v>1177049.8752139162</v>
      </c>
      <c r="F181" s="348" t="str">
        <f t="shared" si="7"/>
        <v>BLD_CH</v>
      </c>
      <c r="G181" s="348" t="str">
        <f>IFERROR(INDEX(DATA_PROPERTY_MASTER!$E$5:$E$21,MATCH($A181,DATA_PROPERTY_MASTER!$A$5:$A$21,0)),"")</f>
        <v>Yes</v>
      </c>
      <c r="H181" s="348" t="str">
        <f ca="1">IFERROR(INDEX(DATA_PROPERTY_MASTER!$F$5:$F$21,MATCH($A181,DATA_PROPERTY_MASTER!$A$5:$A$21,0)),"")</f>
        <v>Stable</v>
      </c>
      <c r="I181" t="s">
        <v>1495</v>
      </c>
      <c r="J181" s="348" t="str">
        <f t="shared" ca="1" si="8"/>
        <v>Formula-linked</v>
      </c>
    </row>
    <row r="182" spans="1:10">
      <c r="A182" s="366" t="s">
        <v>443</v>
      </c>
      <c r="B182" s="366">
        <v>2035</v>
      </c>
      <c r="C182" s="366" t="s">
        <v>355</v>
      </c>
      <c r="D182" s="366">
        <v>39</v>
      </c>
      <c r="E182" s="348">
        <f t="shared" ca="1" si="6"/>
        <v>713025.98616137938</v>
      </c>
      <c r="F182" s="348" t="str">
        <f t="shared" si="7"/>
        <v>BLD_CH</v>
      </c>
      <c r="G182" s="348" t="str">
        <f>IFERROR(INDEX(DATA_PROPERTY_MASTER!$E$5:$E$21,MATCH($A182,DATA_PROPERTY_MASTER!$A$5:$A$21,0)),"")</f>
        <v>Yes</v>
      </c>
      <c r="H182" s="348" t="str">
        <f ca="1">IFERROR(INDEX(DATA_PROPERTY_MASTER!$F$5:$F$21,MATCH($A182,DATA_PROPERTY_MASTER!$A$5:$A$21,0)),"")</f>
        <v>Stable</v>
      </c>
      <c r="I182" t="s">
        <v>1496</v>
      </c>
      <c r="J182" s="348" t="str">
        <f t="shared" ca="1" si="8"/>
        <v>Formula-linked</v>
      </c>
    </row>
    <row r="183" spans="1:10">
      <c r="A183" s="366" t="s">
        <v>443</v>
      </c>
      <c r="B183" s="366">
        <v>2035</v>
      </c>
      <c r="C183" s="366" t="s">
        <v>1497</v>
      </c>
      <c r="D183" s="366">
        <v>41</v>
      </c>
      <c r="E183" s="348">
        <f t="shared" ca="1" si="6"/>
        <v>464023.8890525368</v>
      </c>
      <c r="F183" s="348" t="str">
        <f t="shared" si="7"/>
        <v>BLD_CH</v>
      </c>
      <c r="G183" s="348" t="str">
        <f>IFERROR(INDEX(DATA_PROPERTY_MASTER!$E$5:$E$21,MATCH($A183,DATA_PROPERTY_MASTER!$A$5:$A$21,0)),"")</f>
        <v>Yes</v>
      </c>
      <c r="H183" s="348" t="str">
        <f ca="1">IFERROR(INDEX(DATA_PROPERTY_MASTER!$F$5:$F$21,MATCH($A183,DATA_PROPERTY_MASTER!$A$5:$A$21,0)),"")</f>
        <v>Stable</v>
      </c>
      <c r="I183" t="s">
        <v>1497</v>
      </c>
      <c r="J183" s="348" t="str">
        <f t="shared" ca="1" si="8"/>
        <v>Formula-linked</v>
      </c>
    </row>
    <row r="184" spans="1:10">
      <c r="A184" s="366" t="s">
        <v>443</v>
      </c>
      <c r="B184" s="366">
        <v>2035</v>
      </c>
      <c r="C184" s="366" t="s">
        <v>21</v>
      </c>
      <c r="D184" s="366">
        <v>45</v>
      </c>
      <c r="E184" s="348">
        <f t="shared" ca="1" si="6"/>
        <v>452321.54262058716</v>
      </c>
      <c r="F184" s="348" t="str">
        <f t="shared" si="7"/>
        <v>BLD_CH</v>
      </c>
      <c r="G184" s="348" t="str">
        <f>IFERROR(INDEX(DATA_PROPERTY_MASTER!$E$5:$E$21,MATCH($A184,DATA_PROPERTY_MASTER!$A$5:$A$21,0)),"")</f>
        <v>Yes</v>
      </c>
      <c r="H184" s="348" t="str">
        <f ca="1">IFERROR(INDEX(DATA_PROPERTY_MASTER!$F$5:$F$21,MATCH($A184,DATA_PROPERTY_MASTER!$A$5:$A$21,0)),"")</f>
        <v>Stable</v>
      </c>
      <c r="I184" t="s">
        <v>1497</v>
      </c>
      <c r="J184" s="348" t="str">
        <f t="shared" ca="1" si="8"/>
        <v>Formula-linked</v>
      </c>
    </row>
    <row r="185" spans="1:10">
      <c r="A185" s="366" t="s">
        <v>443</v>
      </c>
      <c r="B185" s="366">
        <v>2035</v>
      </c>
      <c r="C185" s="366" t="s">
        <v>23</v>
      </c>
      <c r="D185" s="366">
        <v>48</v>
      </c>
      <c r="E185" s="348">
        <f t="shared" ca="1" si="6"/>
        <v>0</v>
      </c>
      <c r="F185" s="348" t="str">
        <f t="shared" si="7"/>
        <v>BLD_CH</v>
      </c>
      <c r="G185" s="348" t="str">
        <f>IFERROR(INDEX(DATA_PROPERTY_MASTER!$E$5:$E$21,MATCH($A185,DATA_PROPERTY_MASTER!$A$5:$A$21,0)),"")</f>
        <v>Yes</v>
      </c>
      <c r="H185" s="348" t="str">
        <f ca="1">IFERROR(INDEX(DATA_PROPERTY_MASTER!$F$5:$F$21,MATCH($A185,DATA_PROPERTY_MASTER!$A$5:$A$21,0)),"")</f>
        <v>Stable</v>
      </c>
      <c r="I185" t="s">
        <v>1498</v>
      </c>
      <c r="J185" s="348" t="str">
        <f t="shared" ca="1" si="8"/>
        <v>Formula-linked</v>
      </c>
    </row>
    <row r="186" spans="1:10">
      <c r="A186" s="366" t="s">
        <v>443</v>
      </c>
      <c r="B186" s="366">
        <v>2035</v>
      </c>
      <c r="C186" s="366" t="s">
        <v>213</v>
      </c>
      <c r="D186" s="366">
        <v>50</v>
      </c>
      <c r="E186" s="348" t="str">
        <f t="shared" ca="1" si="6"/>
        <v/>
      </c>
      <c r="F186" s="348" t="str">
        <f t="shared" si="7"/>
        <v>BLD_CH</v>
      </c>
      <c r="G186" s="348" t="str">
        <f>IFERROR(INDEX(DATA_PROPERTY_MASTER!$E$5:$E$21,MATCH($A186,DATA_PROPERTY_MASTER!$A$5:$A$21,0)),"")</f>
        <v>Yes</v>
      </c>
      <c r="H186" s="348" t="str">
        <f ca="1">IFERROR(INDEX(DATA_PROPERTY_MASTER!$F$5:$F$21,MATCH($A186,DATA_PROPERTY_MASTER!$A$5:$A$21,0)),"")</f>
        <v>Stable</v>
      </c>
      <c r="I186" t="s">
        <v>1499</v>
      </c>
      <c r="J186" s="348" t="str">
        <f t="shared" ca="1" si="8"/>
        <v>Review</v>
      </c>
    </row>
    <row r="187" spans="1:10">
      <c r="A187" s="366" t="s">
        <v>443</v>
      </c>
      <c r="B187" s="366">
        <v>2035</v>
      </c>
      <c r="C187" s="366" t="s">
        <v>1500</v>
      </c>
      <c r="D187" s="366">
        <v>52</v>
      </c>
      <c r="E187" s="348">
        <f t="shared" ca="1" si="6"/>
        <v>464023.8890525368</v>
      </c>
      <c r="F187" s="348" t="str">
        <f t="shared" si="7"/>
        <v>BLD_CH</v>
      </c>
      <c r="G187" s="348" t="str">
        <f>IFERROR(INDEX(DATA_PROPERTY_MASTER!$E$5:$E$21,MATCH($A187,DATA_PROPERTY_MASTER!$A$5:$A$21,0)),"")</f>
        <v>Yes</v>
      </c>
      <c r="H187" s="348" t="str">
        <f ca="1">IFERROR(INDEX(DATA_PROPERTY_MASTER!$F$5:$F$21,MATCH($A187,DATA_PROPERTY_MASTER!$A$5:$A$21,0)),"")</f>
        <v>Stable</v>
      </c>
      <c r="I187" t="s">
        <v>1501</v>
      </c>
      <c r="J187" s="348" t="str">
        <f t="shared" ca="1" si="8"/>
        <v>Formula-linked</v>
      </c>
    </row>
    <row r="188" spans="1:10">
      <c r="A188" s="366" t="s">
        <v>443</v>
      </c>
      <c r="B188" s="366">
        <v>2035</v>
      </c>
      <c r="C188" s="366" t="s">
        <v>27</v>
      </c>
      <c r="D188" s="366">
        <v>54</v>
      </c>
      <c r="E188" s="348">
        <f t="shared" ca="1" si="6"/>
        <v>278414.33343152207</v>
      </c>
      <c r="F188" s="348" t="str">
        <f t="shared" si="7"/>
        <v>BLD_CH</v>
      </c>
      <c r="G188" s="348" t="str">
        <f>IFERROR(INDEX(DATA_PROPERTY_MASTER!$E$5:$E$21,MATCH($A188,DATA_PROPERTY_MASTER!$A$5:$A$21,0)),"")</f>
        <v>Yes</v>
      </c>
      <c r="H188" s="348" t="str">
        <f ca="1">IFERROR(INDEX(DATA_PROPERTY_MASTER!$F$5:$F$21,MATCH($A188,DATA_PROPERTY_MASTER!$A$5:$A$21,0)),"")</f>
        <v>Stable</v>
      </c>
      <c r="I188" t="s">
        <v>1501</v>
      </c>
      <c r="J188" s="348" t="str">
        <f t="shared" ca="1" si="8"/>
        <v>Formula-linked</v>
      </c>
    </row>
    <row r="189" spans="1:10">
      <c r="A189" s="366" t="s">
        <v>443</v>
      </c>
      <c r="B189" s="366">
        <v>2035</v>
      </c>
      <c r="C189" s="366" t="s">
        <v>1502</v>
      </c>
      <c r="D189" s="366">
        <v>56</v>
      </c>
      <c r="E189" s="348">
        <f t="shared" ca="1" si="6"/>
        <v>185609.55562101473</v>
      </c>
      <c r="F189" s="348" t="str">
        <f t="shared" si="7"/>
        <v>BLD_CH</v>
      </c>
      <c r="G189" s="348" t="str">
        <f>IFERROR(INDEX(DATA_PROPERTY_MASTER!$E$5:$E$21,MATCH($A189,DATA_PROPERTY_MASTER!$A$5:$A$21,0)),"")</f>
        <v>Yes</v>
      </c>
      <c r="H189" s="348" t="str">
        <f ca="1">IFERROR(INDEX(DATA_PROPERTY_MASTER!$F$5:$F$21,MATCH($A189,DATA_PROPERTY_MASTER!$A$5:$A$21,0)),"")</f>
        <v>Stable</v>
      </c>
      <c r="I189" t="s">
        <v>1501</v>
      </c>
      <c r="J189" s="348" t="str">
        <f t="shared" ca="1" si="8"/>
        <v>Formula-linked</v>
      </c>
    </row>
    <row r="190" spans="1:10">
      <c r="A190" s="366" t="s">
        <v>443</v>
      </c>
      <c r="B190" s="366">
        <v>2035</v>
      </c>
      <c r="C190" s="366" t="s">
        <v>367</v>
      </c>
      <c r="D190" s="366">
        <v>61</v>
      </c>
      <c r="E190" s="348">
        <f t="shared" ca="1" si="6"/>
        <v>0</v>
      </c>
      <c r="F190" s="348" t="str">
        <f t="shared" si="7"/>
        <v>BLD_CH</v>
      </c>
      <c r="G190" s="348" t="str">
        <f>IFERROR(INDEX(DATA_PROPERTY_MASTER!$E$5:$E$21,MATCH($A190,DATA_PROPERTY_MASTER!$A$5:$A$21,0)),"")</f>
        <v>Yes</v>
      </c>
      <c r="H190" s="348" t="str">
        <f ca="1">IFERROR(INDEX(DATA_PROPERTY_MASTER!$F$5:$F$21,MATCH($A190,DATA_PROPERTY_MASTER!$A$5:$A$21,0)),"")</f>
        <v>Stable</v>
      </c>
      <c r="I190" t="s">
        <v>1503</v>
      </c>
      <c r="J190" s="348" t="str">
        <f t="shared" ca="1" si="8"/>
        <v>Formula-linked</v>
      </c>
    </row>
    <row r="191" spans="1:10">
      <c r="A191" s="366" t="s">
        <v>443</v>
      </c>
      <c r="B191" s="366">
        <v>2035</v>
      </c>
      <c r="C191" s="366" t="s">
        <v>368</v>
      </c>
      <c r="D191" s="366">
        <v>62</v>
      </c>
      <c r="E191" s="348">
        <f t="shared" ca="1" si="6"/>
        <v>0</v>
      </c>
      <c r="F191" s="348" t="str">
        <f t="shared" si="7"/>
        <v>BLD_CH</v>
      </c>
      <c r="G191" s="348" t="str">
        <f>IFERROR(INDEX(DATA_PROPERTY_MASTER!$E$5:$E$21,MATCH($A191,DATA_PROPERTY_MASTER!$A$5:$A$21,0)),"")</f>
        <v>Yes</v>
      </c>
      <c r="H191" s="348" t="str">
        <f ca="1">IFERROR(INDEX(DATA_PROPERTY_MASTER!$F$5:$F$21,MATCH($A191,DATA_PROPERTY_MASTER!$A$5:$A$21,0)),"")</f>
        <v>Stable</v>
      </c>
      <c r="I191" t="s">
        <v>1503</v>
      </c>
      <c r="J191" s="348" t="str">
        <f t="shared" ca="1" si="8"/>
        <v>Formula-linked</v>
      </c>
    </row>
    <row r="192" spans="1:10">
      <c r="A192" s="366" t="s">
        <v>443</v>
      </c>
      <c r="B192" s="366">
        <v>2035</v>
      </c>
      <c r="C192" s="366" t="s">
        <v>1504</v>
      </c>
      <c r="D192" s="366">
        <v>63</v>
      </c>
      <c r="E192" s="348">
        <f t="shared" ca="1" si="6"/>
        <v>0</v>
      </c>
      <c r="F192" s="348" t="str">
        <f t="shared" si="7"/>
        <v>BLD_CH</v>
      </c>
      <c r="G192" s="348" t="str">
        <f>IFERROR(INDEX(DATA_PROPERTY_MASTER!$E$5:$E$21,MATCH($A192,DATA_PROPERTY_MASTER!$A$5:$A$21,0)),"")</f>
        <v>Yes</v>
      </c>
      <c r="H192" s="348" t="str">
        <f ca="1">IFERROR(INDEX(DATA_PROPERTY_MASTER!$F$5:$F$21,MATCH($A192,DATA_PROPERTY_MASTER!$A$5:$A$21,0)),"")</f>
        <v>Stable</v>
      </c>
      <c r="I192" t="s">
        <v>1503</v>
      </c>
      <c r="J192" s="348" t="str">
        <f t="shared" ca="1" si="8"/>
        <v>Formula-linked</v>
      </c>
    </row>
    <row r="193" spans="1:10">
      <c r="A193" s="366" t="s">
        <v>443</v>
      </c>
      <c r="B193" s="366">
        <v>2035</v>
      </c>
      <c r="C193" s="366" t="s">
        <v>370</v>
      </c>
      <c r="D193" s="366">
        <v>64</v>
      </c>
      <c r="E193" s="348">
        <f t="shared" ca="1" si="6"/>
        <v>0</v>
      </c>
      <c r="F193" s="348" t="str">
        <f t="shared" si="7"/>
        <v>BLD_CH</v>
      </c>
      <c r="G193" s="348" t="str">
        <f>IFERROR(INDEX(DATA_PROPERTY_MASTER!$E$5:$E$21,MATCH($A193,DATA_PROPERTY_MASTER!$A$5:$A$21,0)),"")</f>
        <v>Yes</v>
      </c>
      <c r="H193" s="348" t="str">
        <f ca="1">IFERROR(INDEX(DATA_PROPERTY_MASTER!$F$5:$F$21,MATCH($A193,DATA_PROPERTY_MASTER!$A$5:$A$21,0)),"")</f>
        <v>Stable</v>
      </c>
      <c r="I193" t="s">
        <v>1498</v>
      </c>
      <c r="J193" s="348" t="str">
        <f t="shared" ca="1" si="8"/>
        <v>Formula-linked</v>
      </c>
    </row>
    <row r="194" spans="1:10">
      <c r="A194" s="366" t="s">
        <v>443</v>
      </c>
      <c r="B194" s="366">
        <v>2035</v>
      </c>
      <c r="C194" s="366" t="s">
        <v>544</v>
      </c>
      <c r="D194" s="366">
        <v>68</v>
      </c>
      <c r="E194" s="348">
        <f t="shared" ca="1" si="6"/>
        <v>185609.55562101473</v>
      </c>
      <c r="F194" s="348" t="str">
        <f t="shared" si="7"/>
        <v>BLD_CH</v>
      </c>
      <c r="G194" s="348" t="str">
        <f>IFERROR(INDEX(DATA_PROPERTY_MASTER!$E$5:$E$21,MATCH($A194,DATA_PROPERTY_MASTER!$A$5:$A$21,0)),"")</f>
        <v>Yes</v>
      </c>
      <c r="H194" s="348" t="str">
        <f ca="1">IFERROR(INDEX(DATA_PROPERTY_MASTER!$F$5:$F$21,MATCH($A194,DATA_PROPERTY_MASTER!$A$5:$A$21,0)),"")</f>
        <v>Stable</v>
      </c>
      <c r="I194" t="s">
        <v>1501</v>
      </c>
      <c r="J194" s="348" t="str">
        <f t="shared" ca="1" si="8"/>
        <v>Formula-linked</v>
      </c>
    </row>
    <row r="195" spans="1:10">
      <c r="A195" s="366" t="s">
        <v>443</v>
      </c>
      <c r="B195" s="366">
        <v>2035</v>
      </c>
      <c r="C195" s="366" t="s">
        <v>378</v>
      </c>
      <c r="D195" s="366">
        <v>73</v>
      </c>
      <c r="E195" s="348">
        <f t="shared" ca="1" si="6"/>
        <v>7733731.484208947</v>
      </c>
      <c r="F195" s="348" t="str">
        <f t="shared" si="7"/>
        <v>BLD_CH</v>
      </c>
      <c r="G195" s="348" t="str">
        <f>IFERROR(INDEX(DATA_PROPERTY_MASTER!$E$5:$E$21,MATCH($A195,DATA_PROPERTY_MASTER!$A$5:$A$21,0)),"")</f>
        <v>Yes</v>
      </c>
      <c r="H195" s="348" t="str">
        <f ca="1">IFERROR(INDEX(DATA_PROPERTY_MASTER!$F$5:$F$21,MATCH($A195,DATA_PROPERTY_MASTER!$A$5:$A$21,0)),"")</f>
        <v>Stable</v>
      </c>
      <c r="I195" t="s">
        <v>1505</v>
      </c>
      <c r="J195" s="348" t="str">
        <f t="shared" ca="1" si="8"/>
        <v>Formula-linked</v>
      </c>
    </row>
    <row r="196" spans="1:10">
      <c r="A196" s="366" t="s">
        <v>443</v>
      </c>
      <c r="B196" s="366">
        <v>2035</v>
      </c>
      <c r="C196" s="366" t="s">
        <v>1506</v>
      </c>
      <c r="D196" s="366">
        <v>77</v>
      </c>
      <c r="E196" s="348">
        <f t="shared" ca="1" si="6"/>
        <v>7733731.484208947</v>
      </c>
      <c r="F196" s="348" t="str">
        <f t="shared" si="7"/>
        <v>BLD_CH</v>
      </c>
      <c r="G196" s="348" t="str">
        <f>IFERROR(INDEX(DATA_PROPERTY_MASTER!$E$5:$E$21,MATCH($A196,DATA_PROPERTY_MASTER!$A$5:$A$21,0)),"")</f>
        <v>Yes</v>
      </c>
      <c r="H196" s="348" t="str">
        <f ca="1">IFERROR(INDEX(DATA_PROPERTY_MASTER!$F$5:$F$21,MATCH($A196,DATA_PROPERTY_MASTER!$A$5:$A$21,0)),"")</f>
        <v>Stable</v>
      </c>
      <c r="I196" t="s">
        <v>1505</v>
      </c>
      <c r="J196" s="348" t="str">
        <f t="shared" ca="1" si="8"/>
        <v>Formula-linked</v>
      </c>
    </row>
    <row r="197" spans="1:10">
      <c r="A197" s="366" t="s">
        <v>446</v>
      </c>
      <c r="B197" s="366">
        <v>2025</v>
      </c>
      <c r="C197" s="366" t="s">
        <v>341</v>
      </c>
      <c r="D197" s="366">
        <v>24</v>
      </c>
      <c r="E197" s="348">
        <f t="shared" ref="E197:E260" ca="1" si="9">IFERROR(INDEX(INDIRECT("'"&amp;$A197&amp;"'!$E$"&amp;$D197&amp;":$Y$"&amp;$D197),1,MATCH($B197,INDIRECT("'"&amp;$A197&amp;"'!$E$12:$Y$12"),0)),"")</f>
        <v>550019.33199999994</v>
      </c>
      <c r="F197" s="348" t="str">
        <f t="shared" ref="F197:F260" si="10">$A197</f>
        <v>BLD_CC</v>
      </c>
      <c r="G197" s="348" t="str">
        <f>IFERROR(INDEX(DATA_PROPERTY_MASTER!$E$5:$E$21,MATCH($A197,DATA_PROPERTY_MASTER!$A$5:$A$21,0)),"")</f>
        <v>Yes</v>
      </c>
      <c r="H197" s="348" t="str">
        <f ca="1">IFERROR(INDEX(DATA_PROPERTY_MASTER!$F$5:$F$21,MATCH($A197,DATA_PROPERTY_MASTER!$A$5:$A$21,0)),"")</f>
        <v>Refi Watch</v>
      </c>
      <c r="I197" t="s">
        <v>1495</v>
      </c>
      <c r="J197" s="348" t="str">
        <f t="shared" ref="J197:J260" ca="1" si="11">IF($E197="","Review","Formula-linked")</f>
        <v>Formula-linked</v>
      </c>
    </row>
    <row r="198" spans="1:10">
      <c r="A198" s="366" t="s">
        <v>446</v>
      </c>
      <c r="B198" s="366">
        <v>2025</v>
      </c>
      <c r="C198" s="366" t="s">
        <v>355</v>
      </c>
      <c r="D198" s="366">
        <v>39</v>
      </c>
      <c r="E198" s="348">
        <f t="shared" ca="1" si="9"/>
        <v>206703</v>
      </c>
      <c r="F198" s="348" t="str">
        <f t="shared" si="10"/>
        <v>BLD_CC</v>
      </c>
      <c r="G198" s="348" t="str">
        <f>IFERROR(INDEX(DATA_PROPERTY_MASTER!$E$5:$E$21,MATCH($A198,DATA_PROPERTY_MASTER!$A$5:$A$21,0)),"")</f>
        <v>Yes</v>
      </c>
      <c r="H198" s="348" t="str">
        <f ca="1">IFERROR(INDEX(DATA_PROPERTY_MASTER!$F$5:$F$21,MATCH($A198,DATA_PROPERTY_MASTER!$A$5:$A$21,0)),"")</f>
        <v>Refi Watch</v>
      </c>
      <c r="I198" t="s">
        <v>1496</v>
      </c>
      <c r="J198" s="348" t="str">
        <f t="shared" ca="1" si="11"/>
        <v>Formula-linked</v>
      </c>
    </row>
    <row r="199" spans="1:10">
      <c r="A199" s="366" t="s">
        <v>446</v>
      </c>
      <c r="B199" s="366">
        <v>2025</v>
      </c>
      <c r="C199" s="366" t="s">
        <v>1497</v>
      </c>
      <c r="D199" s="366">
        <v>41</v>
      </c>
      <c r="E199" s="348">
        <f t="shared" ca="1" si="9"/>
        <v>343316.33199999994</v>
      </c>
      <c r="F199" s="348" t="str">
        <f t="shared" si="10"/>
        <v>BLD_CC</v>
      </c>
      <c r="G199" s="348" t="str">
        <f>IFERROR(INDEX(DATA_PROPERTY_MASTER!$E$5:$E$21,MATCH($A199,DATA_PROPERTY_MASTER!$A$5:$A$21,0)),"")</f>
        <v>Yes</v>
      </c>
      <c r="H199" s="348" t="str">
        <f ca="1">IFERROR(INDEX(DATA_PROPERTY_MASTER!$F$5:$F$21,MATCH($A199,DATA_PROPERTY_MASTER!$A$5:$A$21,0)),"")</f>
        <v>Refi Watch</v>
      </c>
      <c r="I199" t="s">
        <v>1497</v>
      </c>
      <c r="J199" s="348" t="str">
        <f t="shared" ca="1" si="11"/>
        <v>Formula-linked</v>
      </c>
    </row>
    <row r="200" spans="1:10">
      <c r="A200" s="366" t="s">
        <v>446</v>
      </c>
      <c r="B200" s="366">
        <v>2025</v>
      </c>
      <c r="C200" s="366" t="s">
        <v>21</v>
      </c>
      <c r="D200" s="366">
        <v>45</v>
      </c>
      <c r="E200" s="348">
        <f t="shared" ca="1" si="9"/>
        <v>338216.33199999994</v>
      </c>
      <c r="F200" s="348" t="str">
        <f t="shared" si="10"/>
        <v>BLD_CC</v>
      </c>
      <c r="G200" s="348" t="str">
        <f>IFERROR(INDEX(DATA_PROPERTY_MASTER!$E$5:$E$21,MATCH($A200,DATA_PROPERTY_MASTER!$A$5:$A$21,0)),"")</f>
        <v>Yes</v>
      </c>
      <c r="H200" s="348" t="str">
        <f ca="1">IFERROR(INDEX(DATA_PROPERTY_MASTER!$F$5:$F$21,MATCH($A200,DATA_PROPERTY_MASTER!$A$5:$A$21,0)),"")</f>
        <v>Refi Watch</v>
      </c>
      <c r="I200" t="s">
        <v>1497</v>
      </c>
      <c r="J200" s="348" t="str">
        <f t="shared" ca="1" si="11"/>
        <v>Formula-linked</v>
      </c>
    </row>
    <row r="201" spans="1:10">
      <c r="A201" s="366" t="s">
        <v>446</v>
      </c>
      <c r="B201" s="366">
        <v>2025</v>
      </c>
      <c r="C201" s="366" t="s">
        <v>23</v>
      </c>
      <c r="D201" s="366">
        <v>48</v>
      </c>
      <c r="E201" s="348">
        <f t="shared" ca="1" si="9"/>
        <v>178507.8</v>
      </c>
      <c r="F201" s="348" t="str">
        <f t="shared" si="10"/>
        <v>BLD_CC</v>
      </c>
      <c r="G201" s="348" t="str">
        <f>IFERROR(INDEX(DATA_PROPERTY_MASTER!$E$5:$E$21,MATCH($A201,DATA_PROPERTY_MASTER!$A$5:$A$21,0)),"")</f>
        <v>Yes</v>
      </c>
      <c r="H201" s="348" t="str">
        <f ca="1">IFERROR(INDEX(DATA_PROPERTY_MASTER!$F$5:$F$21,MATCH($A201,DATA_PROPERTY_MASTER!$A$5:$A$21,0)),"")</f>
        <v>Refi Watch</v>
      </c>
      <c r="I201" t="s">
        <v>1498</v>
      </c>
      <c r="J201" s="348" t="str">
        <f t="shared" ca="1" si="11"/>
        <v>Formula-linked</v>
      </c>
    </row>
    <row r="202" spans="1:10">
      <c r="A202" s="366" t="s">
        <v>446</v>
      </c>
      <c r="B202" s="366">
        <v>2025</v>
      </c>
      <c r="C202" s="366" t="s">
        <v>213</v>
      </c>
      <c r="D202" s="366">
        <v>50</v>
      </c>
      <c r="E202" s="348">
        <f t="shared" ca="1" si="9"/>
        <v>1.9232567540466017</v>
      </c>
      <c r="F202" s="348" t="str">
        <f t="shared" si="10"/>
        <v>BLD_CC</v>
      </c>
      <c r="G202" s="348" t="str">
        <f>IFERROR(INDEX(DATA_PROPERTY_MASTER!$E$5:$E$21,MATCH($A202,DATA_PROPERTY_MASTER!$A$5:$A$21,0)),"")</f>
        <v>Yes</v>
      </c>
      <c r="H202" s="348" t="str">
        <f ca="1">IFERROR(INDEX(DATA_PROPERTY_MASTER!$F$5:$F$21,MATCH($A202,DATA_PROPERTY_MASTER!$A$5:$A$21,0)),"")</f>
        <v>Refi Watch</v>
      </c>
      <c r="I202" t="s">
        <v>1499</v>
      </c>
      <c r="J202" s="348" t="str">
        <f t="shared" ca="1" si="11"/>
        <v>Formula-linked</v>
      </c>
    </row>
    <row r="203" spans="1:10">
      <c r="A203" s="366" t="s">
        <v>446</v>
      </c>
      <c r="B203" s="366">
        <v>2025</v>
      </c>
      <c r="C203" s="366" t="s">
        <v>1500</v>
      </c>
      <c r="D203" s="366">
        <v>52</v>
      </c>
      <c r="E203" s="348">
        <f t="shared" ca="1" si="9"/>
        <v>164808.53199999995</v>
      </c>
      <c r="F203" s="348" t="str">
        <f t="shared" si="10"/>
        <v>BLD_CC</v>
      </c>
      <c r="G203" s="348" t="str">
        <f>IFERROR(INDEX(DATA_PROPERTY_MASTER!$E$5:$E$21,MATCH($A203,DATA_PROPERTY_MASTER!$A$5:$A$21,0)),"")</f>
        <v>Yes</v>
      </c>
      <c r="H203" s="348" t="str">
        <f ca="1">IFERROR(INDEX(DATA_PROPERTY_MASTER!$F$5:$F$21,MATCH($A203,DATA_PROPERTY_MASTER!$A$5:$A$21,0)),"")</f>
        <v>Refi Watch</v>
      </c>
      <c r="I203" t="s">
        <v>1501</v>
      </c>
      <c r="J203" s="348" t="str">
        <f t="shared" ca="1" si="11"/>
        <v>Formula-linked</v>
      </c>
    </row>
    <row r="204" spans="1:10">
      <c r="A204" s="366" t="s">
        <v>446</v>
      </c>
      <c r="B204" s="366">
        <v>2025</v>
      </c>
      <c r="C204" s="366" t="s">
        <v>27</v>
      </c>
      <c r="D204" s="366">
        <v>54</v>
      </c>
      <c r="E204" s="348">
        <f t="shared" ca="1" si="9"/>
        <v>98885.119199999972</v>
      </c>
      <c r="F204" s="348" t="str">
        <f t="shared" si="10"/>
        <v>BLD_CC</v>
      </c>
      <c r="G204" s="348" t="str">
        <f>IFERROR(INDEX(DATA_PROPERTY_MASTER!$E$5:$E$21,MATCH($A204,DATA_PROPERTY_MASTER!$A$5:$A$21,0)),"")</f>
        <v>Yes</v>
      </c>
      <c r="H204" s="348" t="str">
        <f ca="1">IFERROR(INDEX(DATA_PROPERTY_MASTER!$F$5:$F$21,MATCH($A204,DATA_PROPERTY_MASTER!$A$5:$A$21,0)),"")</f>
        <v>Refi Watch</v>
      </c>
      <c r="I204" t="s">
        <v>1501</v>
      </c>
      <c r="J204" s="348" t="str">
        <f t="shared" ca="1" si="11"/>
        <v>Formula-linked</v>
      </c>
    </row>
    <row r="205" spans="1:10">
      <c r="A205" s="366" t="s">
        <v>446</v>
      </c>
      <c r="B205" s="366">
        <v>2025</v>
      </c>
      <c r="C205" s="366" t="s">
        <v>1502</v>
      </c>
      <c r="D205" s="366">
        <v>56</v>
      </c>
      <c r="E205" s="348">
        <f t="shared" ca="1" si="9"/>
        <v>65923.412799999976</v>
      </c>
      <c r="F205" s="348" t="str">
        <f t="shared" si="10"/>
        <v>BLD_CC</v>
      </c>
      <c r="G205" s="348" t="str">
        <f>IFERROR(INDEX(DATA_PROPERTY_MASTER!$E$5:$E$21,MATCH($A205,DATA_PROPERTY_MASTER!$A$5:$A$21,0)),"")</f>
        <v>Yes</v>
      </c>
      <c r="H205" s="348" t="str">
        <f ca="1">IFERROR(INDEX(DATA_PROPERTY_MASTER!$F$5:$F$21,MATCH($A205,DATA_PROPERTY_MASTER!$A$5:$A$21,0)),"")</f>
        <v>Refi Watch</v>
      </c>
      <c r="I205" t="s">
        <v>1501</v>
      </c>
      <c r="J205" s="348" t="str">
        <f t="shared" ca="1" si="11"/>
        <v>Formula-linked</v>
      </c>
    </row>
    <row r="206" spans="1:10">
      <c r="A206" s="366" t="s">
        <v>446</v>
      </c>
      <c r="B206" s="366">
        <v>2025</v>
      </c>
      <c r="C206" s="366" t="s">
        <v>367</v>
      </c>
      <c r="D206" s="366">
        <v>61</v>
      </c>
      <c r="E206" s="348">
        <f t="shared" ca="1" si="9"/>
        <v>0</v>
      </c>
      <c r="F206" s="348" t="str">
        <f t="shared" si="10"/>
        <v>BLD_CC</v>
      </c>
      <c r="G206" s="348" t="str">
        <f>IFERROR(INDEX(DATA_PROPERTY_MASTER!$E$5:$E$21,MATCH($A206,DATA_PROPERTY_MASTER!$A$5:$A$21,0)),"")</f>
        <v>Yes</v>
      </c>
      <c r="H206" s="348" t="str">
        <f ca="1">IFERROR(INDEX(DATA_PROPERTY_MASTER!$F$5:$F$21,MATCH($A206,DATA_PROPERTY_MASTER!$A$5:$A$21,0)),"")</f>
        <v>Refi Watch</v>
      </c>
      <c r="I206" t="s">
        <v>1503</v>
      </c>
      <c r="J206" s="348" t="str">
        <f t="shared" ca="1" si="11"/>
        <v>Formula-linked</v>
      </c>
    </row>
    <row r="207" spans="1:10">
      <c r="A207" s="366" t="s">
        <v>446</v>
      </c>
      <c r="B207" s="366">
        <v>2025</v>
      </c>
      <c r="C207" s="366" t="s">
        <v>368</v>
      </c>
      <c r="D207" s="366">
        <v>62</v>
      </c>
      <c r="E207" s="348">
        <f t="shared" ca="1" si="9"/>
        <v>0</v>
      </c>
      <c r="F207" s="348" t="str">
        <f t="shared" si="10"/>
        <v>BLD_CC</v>
      </c>
      <c r="G207" s="348" t="str">
        <f>IFERROR(INDEX(DATA_PROPERTY_MASTER!$E$5:$E$21,MATCH($A207,DATA_PROPERTY_MASTER!$A$5:$A$21,0)),"")</f>
        <v>Yes</v>
      </c>
      <c r="H207" s="348" t="str">
        <f ca="1">IFERROR(INDEX(DATA_PROPERTY_MASTER!$F$5:$F$21,MATCH($A207,DATA_PROPERTY_MASTER!$A$5:$A$21,0)),"")</f>
        <v>Refi Watch</v>
      </c>
      <c r="I207" t="s">
        <v>1503</v>
      </c>
      <c r="J207" s="348" t="str">
        <f t="shared" ca="1" si="11"/>
        <v>Formula-linked</v>
      </c>
    </row>
    <row r="208" spans="1:10">
      <c r="A208" s="366" t="s">
        <v>446</v>
      </c>
      <c r="B208" s="366">
        <v>2025</v>
      </c>
      <c r="C208" s="366" t="s">
        <v>1504</v>
      </c>
      <c r="D208" s="366">
        <v>63</v>
      </c>
      <c r="E208" s="348">
        <f t="shared" ca="1" si="9"/>
        <v>0</v>
      </c>
      <c r="F208" s="348" t="str">
        <f t="shared" si="10"/>
        <v>BLD_CC</v>
      </c>
      <c r="G208" s="348" t="str">
        <f>IFERROR(INDEX(DATA_PROPERTY_MASTER!$E$5:$E$21,MATCH($A208,DATA_PROPERTY_MASTER!$A$5:$A$21,0)),"")</f>
        <v>Yes</v>
      </c>
      <c r="H208" s="348" t="str">
        <f ca="1">IFERROR(INDEX(DATA_PROPERTY_MASTER!$F$5:$F$21,MATCH($A208,DATA_PROPERTY_MASTER!$A$5:$A$21,0)),"")</f>
        <v>Refi Watch</v>
      </c>
      <c r="I208" t="s">
        <v>1503</v>
      </c>
      <c r="J208" s="348" t="str">
        <f t="shared" ca="1" si="11"/>
        <v>Formula-linked</v>
      </c>
    </row>
    <row r="209" spans="1:10">
      <c r="A209" s="366" t="s">
        <v>446</v>
      </c>
      <c r="B209" s="366">
        <v>2025</v>
      </c>
      <c r="C209" s="366" t="s">
        <v>370</v>
      </c>
      <c r="D209" s="366">
        <v>64</v>
      </c>
      <c r="E209" s="348">
        <f t="shared" ca="1" si="9"/>
        <v>107120.76706300001</v>
      </c>
      <c r="F209" s="348" t="str">
        <f t="shared" si="10"/>
        <v>BLD_CC</v>
      </c>
      <c r="G209" s="348" t="str">
        <f>IFERROR(INDEX(DATA_PROPERTY_MASTER!$E$5:$E$21,MATCH($A209,DATA_PROPERTY_MASTER!$A$5:$A$21,0)),"")</f>
        <v>Yes</v>
      </c>
      <c r="H209" s="348" t="str">
        <f ca="1">IFERROR(INDEX(DATA_PROPERTY_MASTER!$F$5:$F$21,MATCH($A209,DATA_PROPERTY_MASTER!$A$5:$A$21,0)),"")</f>
        <v>Refi Watch</v>
      </c>
      <c r="I209" t="s">
        <v>1498</v>
      </c>
      <c r="J209" s="348" t="str">
        <f t="shared" ca="1" si="11"/>
        <v>Formula-linked</v>
      </c>
    </row>
    <row r="210" spans="1:10">
      <c r="A210" s="366" t="s">
        <v>446</v>
      </c>
      <c r="B210" s="366">
        <v>2025</v>
      </c>
      <c r="C210" s="366" t="s">
        <v>544</v>
      </c>
      <c r="D210" s="366">
        <v>68</v>
      </c>
      <c r="E210" s="348">
        <f t="shared" ca="1" si="9"/>
        <v>65923.412799999976</v>
      </c>
      <c r="F210" s="348" t="str">
        <f t="shared" si="10"/>
        <v>BLD_CC</v>
      </c>
      <c r="G210" s="348" t="str">
        <f>IFERROR(INDEX(DATA_PROPERTY_MASTER!$E$5:$E$21,MATCH($A210,DATA_PROPERTY_MASTER!$A$5:$A$21,0)),"")</f>
        <v>Yes</v>
      </c>
      <c r="H210" s="348" t="str">
        <f ca="1">IFERROR(INDEX(DATA_PROPERTY_MASTER!$F$5:$F$21,MATCH($A210,DATA_PROPERTY_MASTER!$A$5:$A$21,0)),"")</f>
        <v>Refi Watch</v>
      </c>
      <c r="I210" t="s">
        <v>1501</v>
      </c>
      <c r="J210" s="348" t="str">
        <f t="shared" ca="1" si="11"/>
        <v>Formula-linked</v>
      </c>
    </row>
    <row r="211" spans="1:10">
      <c r="A211" s="366" t="s">
        <v>446</v>
      </c>
      <c r="B211" s="366">
        <v>2025</v>
      </c>
      <c r="C211" s="366" t="s">
        <v>378</v>
      </c>
      <c r="D211" s="366">
        <v>73</v>
      </c>
      <c r="E211" s="348">
        <f t="shared" ca="1" si="9"/>
        <v>5721938.8666666662</v>
      </c>
      <c r="F211" s="348" t="str">
        <f t="shared" si="10"/>
        <v>BLD_CC</v>
      </c>
      <c r="G211" s="348" t="str">
        <f>IFERROR(INDEX(DATA_PROPERTY_MASTER!$E$5:$E$21,MATCH($A211,DATA_PROPERTY_MASTER!$A$5:$A$21,0)),"")</f>
        <v>Yes</v>
      </c>
      <c r="H211" s="348" t="str">
        <f ca="1">IFERROR(INDEX(DATA_PROPERTY_MASTER!$F$5:$F$21,MATCH($A211,DATA_PROPERTY_MASTER!$A$5:$A$21,0)),"")</f>
        <v>Refi Watch</v>
      </c>
      <c r="I211" t="s">
        <v>1505</v>
      </c>
      <c r="J211" s="348" t="str">
        <f t="shared" ca="1" si="11"/>
        <v>Formula-linked</v>
      </c>
    </row>
    <row r="212" spans="1:10">
      <c r="A212" s="366" t="s">
        <v>446</v>
      </c>
      <c r="B212" s="366">
        <v>2025</v>
      </c>
      <c r="C212" s="366" t="s">
        <v>1506</v>
      </c>
      <c r="D212" s="366">
        <v>77</v>
      </c>
      <c r="E212" s="348">
        <f t="shared" ca="1" si="9"/>
        <v>5614818.099603666</v>
      </c>
      <c r="F212" s="348" t="str">
        <f t="shared" si="10"/>
        <v>BLD_CC</v>
      </c>
      <c r="G212" s="348" t="str">
        <f>IFERROR(INDEX(DATA_PROPERTY_MASTER!$E$5:$E$21,MATCH($A212,DATA_PROPERTY_MASTER!$A$5:$A$21,0)),"")</f>
        <v>Yes</v>
      </c>
      <c r="H212" s="348" t="str">
        <f ca="1">IFERROR(INDEX(DATA_PROPERTY_MASTER!$F$5:$F$21,MATCH($A212,DATA_PROPERTY_MASTER!$A$5:$A$21,0)),"")</f>
        <v>Refi Watch</v>
      </c>
      <c r="I212" t="s">
        <v>1505</v>
      </c>
      <c r="J212" s="348" t="str">
        <f t="shared" ca="1" si="11"/>
        <v>Formula-linked</v>
      </c>
    </row>
    <row r="213" spans="1:10">
      <c r="A213" s="366" t="s">
        <v>446</v>
      </c>
      <c r="B213" s="366">
        <v>2029</v>
      </c>
      <c r="C213" s="366" t="s">
        <v>341</v>
      </c>
      <c r="D213" s="366">
        <v>24</v>
      </c>
      <c r="E213" s="348">
        <f t="shared" ca="1" si="9"/>
        <v>533772.26331133838</v>
      </c>
      <c r="F213" s="348" t="str">
        <f t="shared" si="10"/>
        <v>BLD_CC</v>
      </c>
      <c r="G213" s="348" t="str">
        <f>IFERROR(INDEX(DATA_PROPERTY_MASTER!$E$5:$E$21,MATCH($A213,DATA_PROPERTY_MASTER!$A$5:$A$21,0)),"")</f>
        <v>Yes</v>
      </c>
      <c r="H213" s="348" t="str">
        <f ca="1">IFERROR(INDEX(DATA_PROPERTY_MASTER!$F$5:$F$21,MATCH($A213,DATA_PROPERTY_MASTER!$A$5:$A$21,0)),"")</f>
        <v>Refi Watch</v>
      </c>
      <c r="I213" t="s">
        <v>1495</v>
      </c>
      <c r="J213" s="348" t="str">
        <f t="shared" ca="1" si="11"/>
        <v>Formula-linked</v>
      </c>
    </row>
    <row r="214" spans="1:10">
      <c r="A214" s="366" t="s">
        <v>446</v>
      </c>
      <c r="B214" s="366">
        <v>2029</v>
      </c>
      <c r="C214" s="366" t="s">
        <v>355</v>
      </c>
      <c r="D214" s="366">
        <v>39</v>
      </c>
      <c r="E214" s="348">
        <f t="shared" ca="1" si="9"/>
        <v>241813.27392768004</v>
      </c>
      <c r="F214" s="348" t="str">
        <f t="shared" si="10"/>
        <v>BLD_CC</v>
      </c>
      <c r="G214" s="348" t="str">
        <f>IFERROR(INDEX(DATA_PROPERTY_MASTER!$E$5:$E$21,MATCH($A214,DATA_PROPERTY_MASTER!$A$5:$A$21,0)),"")</f>
        <v>Yes</v>
      </c>
      <c r="H214" s="348" t="str">
        <f ca="1">IFERROR(INDEX(DATA_PROPERTY_MASTER!$F$5:$F$21,MATCH($A214,DATA_PROPERTY_MASTER!$A$5:$A$21,0)),"")</f>
        <v>Refi Watch</v>
      </c>
      <c r="I214" t="s">
        <v>1496</v>
      </c>
      <c r="J214" s="348" t="str">
        <f t="shared" ca="1" si="11"/>
        <v>Formula-linked</v>
      </c>
    </row>
    <row r="215" spans="1:10">
      <c r="A215" s="366" t="s">
        <v>446</v>
      </c>
      <c r="B215" s="366">
        <v>2029</v>
      </c>
      <c r="C215" s="366" t="s">
        <v>1497</v>
      </c>
      <c r="D215" s="366">
        <v>41</v>
      </c>
      <c r="E215" s="348">
        <f t="shared" ca="1" si="9"/>
        <v>291958.98938365834</v>
      </c>
      <c r="F215" s="348" t="str">
        <f t="shared" si="10"/>
        <v>BLD_CC</v>
      </c>
      <c r="G215" s="348" t="str">
        <f>IFERROR(INDEX(DATA_PROPERTY_MASTER!$E$5:$E$21,MATCH($A215,DATA_PROPERTY_MASTER!$A$5:$A$21,0)),"")</f>
        <v>Yes</v>
      </c>
      <c r="H215" s="348" t="str">
        <f ca="1">IFERROR(INDEX(DATA_PROPERTY_MASTER!$F$5:$F$21,MATCH($A215,DATA_PROPERTY_MASTER!$A$5:$A$21,0)),"")</f>
        <v>Refi Watch</v>
      </c>
      <c r="I215" t="s">
        <v>1497</v>
      </c>
      <c r="J215" s="348" t="str">
        <f t="shared" ca="1" si="11"/>
        <v>Formula-linked</v>
      </c>
    </row>
    <row r="216" spans="1:10">
      <c r="A216" s="366" t="s">
        <v>446</v>
      </c>
      <c r="B216" s="366">
        <v>2029</v>
      </c>
      <c r="C216" s="366" t="s">
        <v>21</v>
      </c>
      <c r="D216" s="366">
        <v>45</v>
      </c>
      <c r="E216" s="348">
        <f t="shared" ca="1" si="9"/>
        <v>286438.58536765835</v>
      </c>
      <c r="F216" s="348" t="str">
        <f t="shared" si="10"/>
        <v>BLD_CC</v>
      </c>
      <c r="G216" s="348" t="str">
        <f>IFERROR(INDEX(DATA_PROPERTY_MASTER!$E$5:$E$21,MATCH($A216,DATA_PROPERTY_MASTER!$A$5:$A$21,0)),"")</f>
        <v>Yes</v>
      </c>
      <c r="H216" s="348" t="str">
        <f ca="1">IFERROR(INDEX(DATA_PROPERTY_MASTER!$F$5:$F$21,MATCH($A216,DATA_PROPERTY_MASTER!$A$5:$A$21,0)),"")</f>
        <v>Refi Watch</v>
      </c>
      <c r="I216" t="s">
        <v>1497</v>
      </c>
      <c r="J216" s="348" t="str">
        <f t="shared" ca="1" si="11"/>
        <v>Formula-linked</v>
      </c>
    </row>
    <row r="217" spans="1:10">
      <c r="A217" s="366" t="s">
        <v>446</v>
      </c>
      <c r="B217" s="366">
        <v>2029</v>
      </c>
      <c r="C217" s="366" t="s">
        <v>23</v>
      </c>
      <c r="D217" s="366">
        <v>48</v>
      </c>
      <c r="E217" s="348">
        <f t="shared" ca="1" si="9"/>
        <v>0</v>
      </c>
      <c r="F217" s="348" t="str">
        <f t="shared" si="10"/>
        <v>BLD_CC</v>
      </c>
      <c r="G217" s="348" t="str">
        <f>IFERROR(INDEX(DATA_PROPERTY_MASTER!$E$5:$E$21,MATCH($A217,DATA_PROPERTY_MASTER!$A$5:$A$21,0)),"")</f>
        <v>Yes</v>
      </c>
      <c r="H217" s="348" t="str">
        <f ca="1">IFERROR(INDEX(DATA_PROPERTY_MASTER!$F$5:$F$21,MATCH($A217,DATA_PROPERTY_MASTER!$A$5:$A$21,0)),"")</f>
        <v>Refi Watch</v>
      </c>
      <c r="I217" t="s">
        <v>1498</v>
      </c>
      <c r="J217" s="348" t="str">
        <f t="shared" ca="1" si="11"/>
        <v>Formula-linked</v>
      </c>
    </row>
    <row r="218" spans="1:10">
      <c r="A218" s="366" t="s">
        <v>446</v>
      </c>
      <c r="B218" s="366">
        <v>2029</v>
      </c>
      <c r="C218" s="366" t="s">
        <v>213</v>
      </c>
      <c r="D218" s="366">
        <v>50</v>
      </c>
      <c r="E218" s="348" t="str">
        <f t="shared" ca="1" si="9"/>
        <v/>
      </c>
      <c r="F218" s="348" t="str">
        <f t="shared" si="10"/>
        <v>BLD_CC</v>
      </c>
      <c r="G218" s="348" t="str">
        <f>IFERROR(INDEX(DATA_PROPERTY_MASTER!$E$5:$E$21,MATCH($A218,DATA_PROPERTY_MASTER!$A$5:$A$21,0)),"")</f>
        <v>Yes</v>
      </c>
      <c r="H218" s="348" t="str">
        <f ca="1">IFERROR(INDEX(DATA_PROPERTY_MASTER!$F$5:$F$21,MATCH($A218,DATA_PROPERTY_MASTER!$A$5:$A$21,0)),"")</f>
        <v>Refi Watch</v>
      </c>
      <c r="I218" t="s">
        <v>1499</v>
      </c>
      <c r="J218" s="348" t="str">
        <f t="shared" ca="1" si="11"/>
        <v>Review</v>
      </c>
    </row>
    <row r="219" spans="1:10">
      <c r="A219" s="366" t="s">
        <v>446</v>
      </c>
      <c r="B219" s="366">
        <v>2029</v>
      </c>
      <c r="C219" s="366" t="s">
        <v>1500</v>
      </c>
      <c r="D219" s="366">
        <v>52</v>
      </c>
      <c r="E219" s="348">
        <f t="shared" ca="1" si="9"/>
        <v>291958.98938365834</v>
      </c>
      <c r="F219" s="348" t="str">
        <f t="shared" si="10"/>
        <v>BLD_CC</v>
      </c>
      <c r="G219" s="348" t="str">
        <f>IFERROR(INDEX(DATA_PROPERTY_MASTER!$E$5:$E$21,MATCH($A219,DATA_PROPERTY_MASTER!$A$5:$A$21,0)),"")</f>
        <v>Yes</v>
      </c>
      <c r="H219" s="348" t="str">
        <f ca="1">IFERROR(INDEX(DATA_PROPERTY_MASTER!$F$5:$F$21,MATCH($A219,DATA_PROPERTY_MASTER!$A$5:$A$21,0)),"")</f>
        <v>Refi Watch</v>
      </c>
      <c r="I219" t="s">
        <v>1501</v>
      </c>
      <c r="J219" s="348" t="str">
        <f t="shared" ca="1" si="11"/>
        <v>Formula-linked</v>
      </c>
    </row>
    <row r="220" spans="1:10">
      <c r="A220" s="366" t="s">
        <v>446</v>
      </c>
      <c r="B220" s="366">
        <v>2029</v>
      </c>
      <c r="C220" s="366" t="s">
        <v>27</v>
      </c>
      <c r="D220" s="366">
        <v>54</v>
      </c>
      <c r="E220" s="348">
        <f t="shared" ca="1" si="9"/>
        <v>175175.393630195</v>
      </c>
      <c r="F220" s="348" t="str">
        <f t="shared" si="10"/>
        <v>BLD_CC</v>
      </c>
      <c r="G220" s="348" t="str">
        <f>IFERROR(INDEX(DATA_PROPERTY_MASTER!$E$5:$E$21,MATCH($A220,DATA_PROPERTY_MASTER!$A$5:$A$21,0)),"")</f>
        <v>Yes</v>
      </c>
      <c r="H220" s="348" t="str">
        <f ca="1">IFERROR(INDEX(DATA_PROPERTY_MASTER!$F$5:$F$21,MATCH($A220,DATA_PROPERTY_MASTER!$A$5:$A$21,0)),"")</f>
        <v>Refi Watch</v>
      </c>
      <c r="I220" t="s">
        <v>1501</v>
      </c>
      <c r="J220" s="348" t="str">
        <f t="shared" ca="1" si="11"/>
        <v>Formula-linked</v>
      </c>
    </row>
    <row r="221" spans="1:10">
      <c r="A221" s="366" t="s">
        <v>446</v>
      </c>
      <c r="B221" s="366">
        <v>2029</v>
      </c>
      <c r="C221" s="366" t="s">
        <v>1502</v>
      </c>
      <c r="D221" s="366">
        <v>56</v>
      </c>
      <c r="E221" s="348">
        <f t="shared" ca="1" si="9"/>
        <v>116783.59575346333</v>
      </c>
      <c r="F221" s="348" t="str">
        <f t="shared" si="10"/>
        <v>BLD_CC</v>
      </c>
      <c r="G221" s="348" t="str">
        <f>IFERROR(INDEX(DATA_PROPERTY_MASTER!$E$5:$E$21,MATCH($A221,DATA_PROPERTY_MASTER!$A$5:$A$21,0)),"")</f>
        <v>Yes</v>
      </c>
      <c r="H221" s="348" t="str">
        <f ca="1">IFERROR(INDEX(DATA_PROPERTY_MASTER!$F$5:$F$21,MATCH($A221,DATA_PROPERTY_MASTER!$A$5:$A$21,0)),"")</f>
        <v>Refi Watch</v>
      </c>
      <c r="I221" t="s">
        <v>1501</v>
      </c>
      <c r="J221" s="348" t="str">
        <f t="shared" ca="1" si="11"/>
        <v>Formula-linked</v>
      </c>
    </row>
    <row r="222" spans="1:10">
      <c r="A222" s="366" t="s">
        <v>446</v>
      </c>
      <c r="B222" s="366">
        <v>2029</v>
      </c>
      <c r="C222" s="366" t="s">
        <v>367</v>
      </c>
      <c r="D222" s="366">
        <v>61</v>
      </c>
      <c r="E222" s="348">
        <f t="shared" ca="1" si="9"/>
        <v>0</v>
      </c>
      <c r="F222" s="348" t="str">
        <f t="shared" si="10"/>
        <v>BLD_CC</v>
      </c>
      <c r="G222" s="348" t="str">
        <f>IFERROR(INDEX(DATA_PROPERTY_MASTER!$E$5:$E$21,MATCH($A222,DATA_PROPERTY_MASTER!$A$5:$A$21,0)),"")</f>
        <v>Yes</v>
      </c>
      <c r="H222" s="348" t="str">
        <f ca="1">IFERROR(INDEX(DATA_PROPERTY_MASTER!$F$5:$F$21,MATCH($A222,DATA_PROPERTY_MASTER!$A$5:$A$21,0)),"")</f>
        <v>Refi Watch</v>
      </c>
      <c r="I222" t="s">
        <v>1503</v>
      </c>
      <c r="J222" s="348" t="str">
        <f t="shared" ca="1" si="11"/>
        <v>Formula-linked</v>
      </c>
    </row>
    <row r="223" spans="1:10">
      <c r="A223" s="366" t="s">
        <v>446</v>
      </c>
      <c r="B223" s="366">
        <v>2029</v>
      </c>
      <c r="C223" s="366" t="s">
        <v>368</v>
      </c>
      <c r="D223" s="366">
        <v>62</v>
      </c>
      <c r="E223" s="348">
        <f t="shared" ca="1" si="9"/>
        <v>0</v>
      </c>
      <c r="F223" s="348" t="str">
        <f t="shared" si="10"/>
        <v>BLD_CC</v>
      </c>
      <c r="G223" s="348" t="str">
        <f>IFERROR(INDEX(DATA_PROPERTY_MASTER!$E$5:$E$21,MATCH($A223,DATA_PROPERTY_MASTER!$A$5:$A$21,0)),"")</f>
        <v>Yes</v>
      </c>
      <c r="H223" s="348" t="str">
        <f ca="1">IFERROR(INDEX(DATA_PROPERTY_MASTER!$F$5:$F$21,MATCH($A223,DATA_PROPERTY_MASTER!$A$5:$A$21,0)),"")</f>
        <v>Refi Watch</v>
      </c>
      <c r="I223" t="s">
        <v>1503</v>
      </c>
      <c r="J223" s="348" t="str">
        <f t="shared" ca="1" si="11"/>
        <v>Formula-linked</v>
      </c>
    </row>
    <row r="224" spans="1:10">
      <c r="A224" s="366" t="s">
        <v>446</v>
      </c>
      <c r="B224" s="366">
        <v>2029</v>
      </c>
      <c r="C224" s="366" t="s">
        <v>1504</v>
      </c>
      <c r="D224" s="366">
        <v>63</v>
      </c>
      <c r="E224" s="348">
        <f t="shared" ca="1" si="9"/>
        <v>0</v>
      </c>
      <c r="F224" s="348" t="str">
        <f t="shared" si="10"/>
        <v>BLD_CC</v>
      </c>
      <c r="G224" s="348" t="str">
        <f>IFERROR(INDEX(DATA_PROPERTY_MASTER!$E$5:$E$21,MATCH($A224,DATA_PROPERTY_MASTER!$A$5:$A$21,0)),"")</f>
        <v>Yes</v>
      </c>
      <c r="H224" s="348" t="str">
        <f ca="1">IFERROR(INDEX(DATA_PROPERTY_MASTER!$F$5:$F$21,MATCH($A224,DATA_PROPERTY_MASTER!$A$5:$A$21,0)),"")</f>
        <v>Refi Watch</v>
      </c>
      <c r="I224" t="s">
        <v>1503</v>
      </c>
      <c r="J224" s="348" t="str">
        <f t="shared" ca="1" si="11"/>
        <v>Formula-linked</v>
      </c>
    </row>
    <row r="225" spans="1:10">
      <c r="A225" s="366" t="s">
        <v>446</v>
      </c>
      <c r="B225" s="366">
        <v>2029</v>
      </c>
      <c r="C225" s="366" t="s">
        <v>370</v>
      </c>
      <c r="D225" s="366">
        <v>64</v>
      </c>
      <c r="E225" s="348">
        <f t="shared" ca="1" si="9"/>
        <v>0</v>
      </c>
      <c r="F225" s="348" t="str">
        <f t="shared" si="10"/>
        <v>BLD_CC</v>
      </c>
      <c r="G225" s="348" t="str">
        <f>IFERROR(INDEX(DATA_PROPERTY_MASTER!$E$5:$E$21,MATCH($A225,DATA_PROPERTY_MASTER!$A$5:$A$21,0)),"")</f>
        <v>Yes</v>
      </c>
      <c r="H225" s="348" t="str">
        <f ca="1">IFERROR(INDEX(DATA_PROPERTY_MASTER!$F$5:$F$21,MATCH($A225,DATA_PROPERTY_MASTER!$A$5:$A$21,0)),"")</f>
        <v>Refi Watch</v>
      </c>
      <c r="I225" t="s">
        <v>1498</v>
      </c>
      <c r="J225" s="348" t="str">
        <f t="shared" ca="1" si="11"/>
        <v>Formula-linked</v>
      </c>
    </row>
    <row r="226" spans="1:10">
      <c r="A226" s="366" t="s">
        <v>446</v>
      </c>
      <c r="B226" s="366">
        <v>2029</v>
      </c>
      <c r="C226" s="366" t="s">
        <v>544</v>
      </c>
      <c r="D226" s="366">
        <v>68</v>
      </c>
      <c r="E226" s="348">
        <f t="shared" ca="1" si="9"/>
        <v>116783.59575346333</v>
      </c>
      <c r="F226" s="348" t="str">
        <f t="shared" si="10"/>
        <v>BLD_CC</v>
      </c>
      <c r="G226" s="348" t="str">
        <f>IFERROR(INDEX(DATA_PROPERTY_MASTER!$E$5:$E$21,MATCH($A226,DATA_PROPERTY_MASTER!$A$5:$A$21,0)),"")</f>
        <v>Yes</v>
      </c>
      <c r="H226" s="348" t="str">
        <f ca="1">IFERROR(INDEX(DATA_PROPERTY_MASTER!$F$5:$F$21,MATCH($A226,DATA_PROPERTY_MASTER!$A$5:$A$21,0)),"")</f>
        <v>Refi Watch</v>
      </c>
      <c r="I226" t="s">
        <v>1501</v>
      </c>
      <c r="J226" s="348" t="str">
        <f t="shared" ca="1" si="11"/>
        <v>Formula-linked</v>
      </c>
    </row>
    <row r="227" spans="1:10">
      <c r="A227" s="366" t="s">
        <v>446</v>
      </c>
      <c r="B227" s="366">
        <v>2029</v>
      </c>
      <c r="C227" s="366" t="s">
        <v>378</v>
      </c>
      <c r="D227" s="366">
        <v>73</v>
      </c>
      <c r="E227" s="348">
        <f t="shared" ca="1" si="9"/>
        <v>4865983.1563943056</v>
      </c>
      <c r="F227" s="348" t="str">
        <f t="shared" si="10"/>
        <v>BLD_CC</v>
      </c>
      <c r="G227" s="348" t="str">
        <f>IFERROR(INDEX(DATA_PROPERTY_MASTER!$E$5:$E$21,MATCH($A227,DATA_PROPERTY_MASTER!$A$5:$A$21,0)),"")</f>
        <v>Yes</v>
      </c>
      <c r="H227" s="348" t="str">
        <f ca="1">IFERROR(INDEX(DATA_PROPERTY_MASTER!$F$5:$F$21,MATCH($A227,DATA_PROPERTY_MASTER!$A$5:$A$21,0)),"")</f>
        <v>Refi Watch</v>
      </c>
      <c r="I227" t="s">
        <v>1505</v>
      </c>
      <c r="J227" s="348" t="str">
        <f t="shared" ca="1" si="11"/>
        <v>Formula-linked</v>
      </c>
    </row>
    <row r="228" spans="1:10">
      <c r="A228" s="366" t="s">
        <v>446</v>
      </c>
      <c r="B228" s="366">
        <v>2029</v>
      </c>
      <c r="C228" s="366" t="s">
        <v>1506</v>
      </c>
      <c r="D228" s="366">
        <v>77</v>
      </c>
      <c r="E228" s="348">
        <f t="shared" ca="1" si="9"/>
        <v>4865983.1563943056</v>
      </c>
      <c r="F228" s="348" t="str">
        <f t="shared" si="10"/>
        <v>BLD_CC</v>
      </c>
      <c r="G228" s="348" t="str">
        <f>IFERROR(INDEX(DATA_PROPERTY_MASTER!$E$5:$E$21,MATCH($A228,DATA_PROPERTY_MASTER!$A$5:$A$21,0)),"")</f>
        <v>Yes</v>
      </c>
      <c r="H228" s="348" t="str">
        <f ca="1">IFERROR(INDEX(DATA_PROPERTY_MASTER!$F$5:$F$21,MATCH($A228,DATA_PROPERTY_MASTER!$A$5:$A$21,0)),"")</f>
        <v>Refi Watch</v>
      </c>
      <c r="I228" t="s">
        <v>1505</v>
      </c>
      <c r="J228" s="348" t="str">
        <f t="shared" ca="1" si="11"/>
        <v>Formula-linked</v>
      </c>
    </row>
    <row r="229" spans="1:10">
      <c r="A229" s="366" t="s">
        <v>446</v>
      </c>
      <c r="B229" s="366">
        <v>2035</v>
      </c>
      <c r="C229" s="366" t="s">
        <v>341</v>
      </c>
      <c r="D229" s="366">
        <v>24</v>
      </c>
      <c r="E229" s="348">
        <f t="shared" ca="1" si="9"/>
        <v>601114.26338671765</v>
      </c>
      <c r="F229" s="348" t="str">
        <f t="shared" si="10"/>
        <v>BLD_CC</v>
      </c>
      <c r="G229" s="348" t="str">
        <f>IFERROR(INDEX(DATA_PROPERTY_MASTER!$E$5:$E$21,MATCH($A229,DATA_PROPERTY_MASTER!$A$5:$A$21,0)),"")</f>
        <v>Yes</v>
      </c>
      <c r="H229" s="348" t="str">
        <f ca="1">IFERROR(INDEX(DATA_PROPERTY_MASTER!$F$5:$F$21,MATCH($A229,DATA_PROPERTY_MASTER!$A$5:$A$21,0)),"")</f>
        <v>Refi Watch</v>
      </c>
      <c r="I229" t="s">
        <v>1495</v>
      </c>
      <c r="J229" s="348" t="str">
        <f t="shared" ca="1" si="11"/>
        <v>Formula-linked</v>
      </c>
    </row>
    <row r="230" spans="1:10">
      <c r="A230" s="366" t="s">
        <v>446</v>
      </c>
      <c r="B230" s="366">
        <v>2035</v>
      </c>
      <c r="C230" s="366" t="s">
        <v>355</v>
      </c>
      <c r="D230" s="366">
        <v>39</v>
      </c>
      <c r="E230" s="348">
        <f t="shared" ca="1" si="9"/>
        <v>301557.8921020322</v>
      </c>
      <c r="F230" s="348" t="str">
        <f t="shared" si="10"/>
        <v>BLD_CC</v>
      </c>
      <c r="G230" s="348" t="str">
        <f>IFERROR(INDEX(DATA_PROPERTY_MASTER!$E$5:$E$21,MATCH($A230,DATA_PROPERTY_MASTER!$A$5:$A$21,0)),"")</f>
        <v>Yes</v>
      </c>
      <c r="H230" s="348" t="str">
        <f ca="1">IFERROR(INDEX(DATA_PROPERTY_MASTER!$F$5:$F$21,MATCH($A230,DATA_PROPERTY_MASTER!$A$5:$A$21,0)),"")</f>
        <v>Refi Watch</v>
      </c>
      <c r="I230" t="s">
        <v>1496</v>
      </c>
      <c r="J230" s="348" t="str">
        <f t="shared" ca="1" si="11"/>
        <v>Formula-linked</v>
      </c>
    </row>
    <row r="231" spans="1:10">
      <c r="A231" s="366" t="s">
        <v>446</v>
      </c>
      <c r="B231" s="366">
        <v>2035</v>
      </c>
      <c r="C231" s="366" t="s">
        <v>1497</v>
      </c>
      <c r="D231" s="366">
        <v>41</v>
      </c>
      <c r="E231" s="348">
        <f t="shared" ca="1" si="9"/>
        <v>299556.37128468545</v>
      </c>
      <c r="F231" s="348" t="str">
        <f t="shared" si="10"/>
        <v>BLD_CC</v>
      </c>
      <c r="G231" s="348" t="str">
        <f>IFERROR(INDEX(DATA_PROPERTY_MASTER!$E$5:$E$21,MATCH($A231,DATA_PROPERTY_MASTER!$A$5:$A$21,0)),"")</f>
        <v>Yes</v>
      </c>
      <c r="H231" s="348" t="str">
        <f ca="1">IFERROR(INDEX(DATA_PROPERTY_MASTER!$F$5:$F$21,MATCH($A231,DATA_PROPERTY_MASTER!$A$5:$A$21,0)),"")</f>
        <v>Refi Watch</v>
      </c>
      <c r="I231" t="s">
        <v>1497</v>
      </c>
      <c r="J231" s="348" t="str">
        <f t="shared" ca="1" si="11"/>
        <v>Formula-linked</v>
      </c>
    </row>
    <row r="232" spans="1:10">
      <c r="A232" s="366" t="s">
        <v>446</v>
      </c>
      <c r="B232" s="366">
        <v>2035</v>
      </c>
      <c r="C232" s="366" t="s">
        <v>21</v>
      </c>
      <c r="D232" s="366">
        <v>45</v>
      </c>
      <c r="E232" s="348">
        <f t="shared" ca="1" si="9"/>
        <v>293339.49974271219</v>
      </c>
      <c r="F232" s="348" t="str">
        <f t="shared" si="10"/>
        <v>BLD_CC</v>
      </c>
      <c r="G232" s="348" t="str">
        <f>IFERROR(INDEX(DATA_PROPERTY_MASTER!$E$5:$E$21,MATCH($A232,DATA_PROPERTY_MASTER!$A$5:$A$21,0)),"")</f>
        <v>Yes</v>
      </c>
      <c r="H232" s="348" t="str">
        <f ca="1">IFERROR(INDEX(DATA_PROPERTY_MASTER!$F$5:$F$21,MATCH($A232,DATA_PROPERTY_MASTER!$A$5:$A$21,0)),"")</f>
        <v>Refi Watch</v>
      </c>
      <c r="I232" t="s">
        <v>1497</v>
      </c>
      <c r="J232" s="348" t="str">
        <f t="shared" ca="1" si="11"/>
        <v>Formula-linked</v>
      </c>
    </row>
    <row r="233" spans="1:10">
      <c r="A233" s="366" t="s">
        <v>446</v>
      </c>
      <c r="B233" s="366">
        <v>2035</v>
      </c>
      <c r="C233" s="366" t="s">
        <v>23</v>
      </c>
      <c r="D233" s="366">
        <v>48</v>
      </c>
      <c r="E233" s="348">
        <f t="shared" ca="1" si="9"/>
        <v>0</v>
      </c>
      <c r="F233" s="348" t="str">
        <f t="shared" si="10"/>
        <v>BLD_CC</v>
      </c>
      <c r="G233" s="348" t="str">
        <f>IFERROR(INDEX(DATA_PROPERTY_MASTER!$E$5:$E$21,MATCH($A233,DATA_PROPERTY_MASTER!$A$5:$A$21,0)),"")</f>
        <v>Yes</v>
      </c>
      <c r="H233" s="348" t="str">
        <f ca="1">IFERROR(INDEX(DATA_PROPERTY_MASTER!$F$5:$F$21,MATCH($A233,DATA_PROPERTY_MASTER!$A$5:$A$21,0)),"")</f>
        <v>Refi Watch</v>
      </c>
      <c r="I233" t="s">
        <v>1498</v>
      </c>
      <c r="J233" s="348" t="str">
        <f t="shared" ca="1" si="11"/>
        <v>Formula-linked</v>
      </c>
    </row>
    <row r="234" spans="1:10">
      <c r="A234" s="366" t="s">
        <v>446</v>
      </c>
      <c r="B234" s="366">
        <v>2035</v>
      </c>
      <c r="C234" s="366" t="s">
        <v>213</v>
      </c>
      <c r="D234" s="366">
        <v>50</v>
      </c>
      <c r="E234" s="348" t="str">
        <f t="shared" ca="1" si="9"/>
        <v/>
      </c>
      <c r="F234" s="348" t="str">
        <f t="shared" si="10"/>
        <v>BLD_CC</v>
      </c>
      <c r="G234" s="348" t="str">
        <f>IFERROR(INDEX(DATA_PROPERTY_MASTER!$E$5:$E$21,MATCH($A234,DATA_PROPERTY_MASTER!$A$5:$A$21,0)),"")</f>
        <v>Yes</v>
      </c>
      <c r="H234" s="348" t="str">
        <f ca="1">IFERROR(INDEX(DATA_PROPERTY_MASTER!$F$5:$F$21,MATCH($A234,DATA_PROPERTY_MASTER!$A$5:$A$21,0)),"")</f>
        <v>Refi Watch</v>
      </c>
      <c r="I234" t="s">
        <v>1499</v>
      </c>
      <c r="J234" s="348" t="str">
        <f t="shared" ca="1" si="11"/>
        <v>Review</v>
      </c>
    </row>
    <row r="235" spans="1:10">
      <c r="A235" s="366" t="s">
        <v>446</v>
      </c>
      <c r="B235" s="366">
        <v>2035</v>
      </c>
      <c r="C235" s="366" t="s">
        <v>1500</v>
      </c>
      <c r="D235" s="366">
        <v>52</v>
      </c>
      <c r="E235" s="348">
        <f t="shared" ca="1" si="9"/>
        <v>299556.37128468545</v>
      </c>
      <c r="F235" s="348" t="str">
        <f t="shared" si="10"/>
        <v>BLD_CC</v>
      </c>
      <c r="G235" s="348" t="str">
        <f>IFERROR(INDEX(DATA_PROPERTY_MASTER!$E$5:$E$21,MATCH($A235,DATA_PROPERTY_MASTER!$A$5:$A$21,0)),"")</f>
        <v>Yes</v>
      </c>
      <c r="H235" s="348" t="str">
        <f ca="1">IFERROR(INDEX(DATA_PROPERTY_MASTER!$F$5:$F$21,MATCH($A235,DATA_PROPERTY_MASTER!$A$5:$A$21,0)),"")</f>
        <v>Refi Watch</v>
      </c>
      <c r="I235" t="s">
        <v>1501</v>
      </c>
      <c r="J235" s="348" t="str">
        <f t="shared" ca="1" si="11"/>
        <v>Formula-linked</v>
      </c>
    </row>
    <row r="236" spans="1:10">
      <c r="A236" s="366" t="s">
        <v>446</v>
      </c>
      <c r="B236" s="366">
        <v>2035</v>
      </c>
      <c r="C236" s="366" t="s">
        <v>27</v>
      </c>
      <c r="D236" s="366">
        <v>54</v>
      </c>
      <c r="E236" s="348">
        <f t="shared" ca="1" si="9"/>
        <v>179733.82277081127</v>
      </c>
      <c r="F236" s="348" t="str">
        <f t="shared" si="10"/>
        <v>BLD_CC</v>
      </c>
      <c r="G236" s="348" t="str">
        <f>IFERROR(INDEX(DATA_PROPERTY_MASTER!$E$5:$E$21,MATCH($A236,DATA_PROPERTY_MASTER!$A$5:$A$21,0)),"")</f>
        <v>Yes</v>
      </c>
      <c r="H236" s="348" t="str">
        <f ca="1">IFERROR(INDEX(DATA_PROPERTY_MASTER!$F$5:$F$21,MATCH($A236,DATA_PROPERTY_MASTER!$A$5:$A$21,0)),"")</f>
        <v>Refi Watch</v>
      </c>
      <c r="I236" t="s">
        <v>1501</v>
      </c>
      <c r="J236" s="348" t="str">
        <f t="shared" ca="1" si="11"/>
        <v>Formula-linked</v>
      </c>
    </row>
    <row r="237" spans="1:10">
      <c r="A237" s="366" t="s">
        <v>446</v>
      </c>
      <c r="B237" s="366">
        <v>2035</v>
      </c>
      <c r="C237" s="366" t="s">
        <v>1502</v>
      </c>
      <c r="D237" s="366">
        <v>56</v>
      </c>
      <c r="E237" s="348">
        <f t="shared" ca="1" si="9"/>
        <v>119822.54851387418</v>
      </c>
      <c r="F237" s="348" t="str">
        <f t="shared" si="10"/>
        <v>BLD_CC</v>
      </c>
      <c r="G237" s="348" t="str">
        <f>IFERROR(INDEX(DATA_PROPERTY_MASTER!$E$5:$E$21,MATCH($A237,DATA_PROPERTY_MASTER!$A$5:$A$21,0)),"")</f>
        <v>Yes</v>
      </c>
      <c r="H237" s="348" t="str">
        <f ca="1">IFERROR(INDEX(DATA_PROPERTY_MASTER!$F$5:$F$21,MATCH($A237,DATA_PROPERTY_MASTER!$A$5:$A$21,0)),"")</f>
        <v>Refi Watch</v>
      </c>
      <c r="I237" t="s">
        <v>1501</v>
      </c>
      <c r="J237" s="348" t="str">
        <f t="shared" ca="1" si="11"/>
        <v>Formula-linked</v>
      </c>
    </row>
    <row r="238" spans="1:10">
      <c r="A238" s="366" t="s">
        <v>446</v>
      </c>
      <c r="B238" s="366">
        <v>2035</v>
      </c>
      <c r="C238" s="366" t="s">
        <v>367</v>
      </c>
      <c r="D238" s="366">
        <v>61</v>
      </c>
      <c r="E238" s="348">
        <f t="shared" ca="1" si="9"/>
        <v>0</v>
      </c>
      <c r="F238" s="348" t="str">
        <f t="shared" si="10"/>
        <v>BLD_CC</v>
      </c>
      <c r="G238" s="348" t="str">
        <f>IFERROR(INDEX(DATA_PROPERTY_MASTER!$E$5:$E$21,MATCH($A238,DATA_PROPERTY_MASTER!$A$5:$A$21,0)),"")</f>
        <v>Yes</v>
      </c>
      <c r="H238" s="348" t="str">
        <f ca="1">IFERROR(INDEX(DATA_PROPERTY_MASTER!$F$5:$F$21,MATCH($A238,DATA_PROPERTY_MASTER!$A$5:$A$21,0)),"")</f>
        <v>Refi Watch</v>
      </c>
      <c r="I238" t="s">
        <v>1503</v>
      </c>
      <c r="J238" s="348" t="str">
        <f t="shared" ca="1" si="11"/>
        <v>Formula-linked</v>
      </c>
    </row>
    <row r="239" spans="1:10">
      <c r="A239" s="366" t="s">
        <v>446</v>
      </c>
      <c r="B239" s="366">
        <v>2035</v>
      </c>
      <c r="C239" s="366" t="s">
        <v>368</v>
      </c>
      <c r="D239" s="366">
        <v>62</v>
      </c>
      <c r="E239" s="348">
        <f t="shared" ca="1" si="9"/>
        <v>0</v>
      </c>
      <c r="F239" s="348" t="str">
        <f t="shared" si="10"/>
        <v>BLD_CC</v>
      </c>
      <c r="G239" s="348" t="str">
        <f>IFERROR(INDEX(DATA_PROPERTY_MASTER!$E$5:$E$21,MATCH($A239,DATA_PROPERTY_MASTER!$A$5:$A$21,0)),"")</f>
        <v>Yes</v>
      </c>
      <c r="H239" s="348" t="str">
        <f ca="1">IFERROR(INDEX(DATA_PROPERTY_MASTER!$F$5:$F$21,MATCH($A239,DATA_PROPERTY_MASTER!$A$5:$A$21,0)),"")</f>
        <v>Refi Watch</v>
      </c>
      <c r="I239" t="s">
        <v>1503</v>
      </c>
      <c r="J239" s="348" t="str">
        <f t="shared" ca="1" si="11"/>
        <v>Formula-linked</v>
      </c>
    </row>
    <row r="240" spans="1:10">
      <c r="A240" s="366" t="s">
        <v>446</v>
      </c>
      <c r="B240" s="366">
        <v>2035</v>
      </c>
      <c r="C240" s="366" t="s">
        <v>1504</v>
      </c>
      <c r="D240" s="366">
        <v>63</v>
      </c>
      <c r="E240" s="348">
        <f t="shared" ca="1" si="9"/>
        <v>0</v>
      </c>
      <c r="F240" s="348" t="str">
        <f t="shared" si="10"/>
        <v>BLD_CC</v>
      </c>
      <c r="G240" s="348" t="str">
        <f>IFERROR(INDEX(DATA_PROPERTY_MASTER!$E$5:$E$21,MATCH($A240,DATA_PROPERTY_MASTER!$A$5:$A$21,0)),"")</f>
        <v>Yes</v>
      </c>
      <c r="H240" s="348" t="str">
        <f ca="1">IFERROR(INDEX(DATA_PROPERTY_MASTER!$F$5:$F$21,MATCH($A240,DATA_PROPERTY_MASTER!$A$5:$A$21,0)),"")</f>
        <v>Refi Watch</v>
      </c>
      <c r="I240" t="s">
        <v>1503</v>
      </c>
      <c r="J240" s="348" t="str">
        <f t="shared" ca="1" si="11"/>
        <v>Formula-linked</v>
      </c>
    </row>
    <row r="241" spans="1:10">
      <c r="A241" s="366" t="s">
        <v>446</v>
      </c>
      <c r="B241" s="366">
        <v>2035</v>
      </c>
      <c r="C241" s="366" t="s">
        <v>370</v>
      </c>
      <c r="D241" s="366">
        <v>64</v>
      </c>
      <c r="E241" s="348">
        <f t="shared" ca="1" si="9"/>
        <v>0</v>
      </c>
      <c r="F241" s="348" t="str">
        <f t="shared" si="10"/>
        <v>BLD_CC</v>
      </c>
      <c r="G241" s="348" t="str">
        <f>IFERROR(INDEX(DATA_PROPERTY_MASTER!$E$5:$E$21,MATCH($A241,DATA_PROPERTY_MASTER!$A$5:$A$21,0)),"")</f>
        <v>Yes</v>
      </c>
      <c r="H241" s="348" t="str">
        <f ca="1">IFERROR(INDEX(DATA_PROPERTY_MASTER!$F$5:$F$21,MATCH($A241,DATA_PROPERTY_MASTER!$A$5:$A$21,0)),"")</f>
        <v>Refi Watch</v>
      </c>
      <c r="I241" t="s">
        <v>1498</v>
      </c>
      <c r="J241" s="348" t="str">
        <f t="shared" ca="1" si="11"/>
        <v>Formula-linked</v>
      </c>
    </row>
    <row r="242" spans="1:10">
      <c r="A242" s="366" t="s">
        <v>446</v>
      </c>
      <c r="B242" s="366">
        <v>2035</v>
      </c>
      <c r="C242" s="366" t="s">
        <v>544</v>
      </c>
      <c r="D242" s="366">
        <v>68</v>
      </c>
      <c r="E242" s="348">
        <f t="shared" ca="1" si="9"/>
        <v>119822.54851387418</v>
      </c>
      <c r="F242" s="348" t="str">
        <f t="shared" si="10"/>
        <v>BLD_CC</v>
      </c>
      <c r="G242" s="348" t="str">
        <f>IFERROR(INDEX(DATA_PROPERTY_MASTER!$E$5:$E$21,MATCH($A242,DATA_PROPERTY_MASTER!$A$5:$A$21,0)),"")</f>
        <v>Yes</v>
      </c>
      <c r="H242" s="348" t="str">
        <f ca="1">IFERROR(INDEX(DATA_PROPERTY_MASTER!$F$5:$F$21,MATCH($A242,DATA_PROPERTY_MASTER!$A$5:$A$21,0)),"")</f>
        <v>Refi Watch</v>
      </c>
      <c r="I242" t="s">
        <v>1501</v>
      </c>
      <c r="J242" s="348" t="str">
        <f t="shared" ca="1" si="11"/>
        <v>Formula-linked</v>
      </c>
    </row>
    <row r="243" spans="1:10">
      <c r="A243" s="366" t="s">
        <v>446</v>
      </c>
      <c r="B243" s="366">
        <v>2035</v>
      </c>
      <c r="C243" s="366" t="s">
        <v>378</v>
      </c>
      <c r="D243" s="366">
        <v>73</v>
      </c>
      <c r="E243" s="348">
        <f t="shared" ca="1" si="9"/>
        <v>4992606.1880780905</v>
      </c>
      <c r="F243" s="348" t="str">
        <f t="shared" si="10"/>
        <v>BLD_CC</v>
      </c>
      <c r="G243" s="348" t="str">
        <f>IFERROR(INDEX(DATA_PROPERTY_MASTER!$E$5:$E$21,MATCH($A243,DATA_PROPERTY_MASTER!$A$5:$A$21,0)),"")</f>
        <v>Yes</v>
      </c>
      <c r="H243" s="348" t="str">
        <f ca="1">IFERROR(INDEX(DATA_PROPERTY_MASTER!$F$5:$F$21,MATCH($A243,DATA_PROPERTY_MASTER!$A$5:$A$21,0)),"")</f>
        <v>Refi Watch</v>
      </c>
      <c r="I243" t="s">
        <v>1505</v>
      </c>
      <c r="J243" s="348" t="str">
        <f t="shared" ca="1" si="11"/>
        <v>Formula-linked</v>
      </c>
    </row>
    <row r="244" spans="1:10">
      <c r="A244" s="366" t="s">
        <v>446</v>
      </c>
      <c r="B244" s="366">
        <v>2035</v>
      </c>
      <c r="C244" s="366" t="s">
        <v>1506</v>
      </c>
      <c r="D244" s="366">
        <v>77</v>
      </c>
      <c r="E244" s="348">
        <f t="shared" ca="1" si="9"/>
        <v>4992606.1880780905</v>
      </c>
      <c r="F244" s="348" t="str">
        <f t="shared" si="10"/>
        <v>BLD_CC</v>
      </c>
      <c r="G244" s="348" t="str">
        <f>IFERROR(INDEX(DATA_PROPERTY_MASTER!$E$5:$E$21,MATCH($A244,DATA_PROPERTY_MASTER!$A$5:$A$21,0)),"")</f>
        <v>Yes</v>
      </c>
      <c r="H244" s="348" t="str">
        <f ca="1">IFERROR(INDEX(DATA_PROPERTY_MASTER!$F$5:$F$21,MATCH($A244,DATA_PROPERTY_MASTER!$A$5:$A$21,0)),"")</f>
        <v>Refi Watch</v>
      </c>
      <c r="I244" t="s">
        <v>1505</v>
      </c>
      <c r="J244" s="348" t="str">
        <f t="shared" ca="1" si="11"/>
        <v>Formula-linked</v>
      </c>
    </row>
    <row r="245" spans="1:10">
      <c r="A245" s="366" t="s">
        <v>450</v>
      </c>
      <c r="B245" s="366">
        <v>2025</v>
      </c>
      <c r="C245" s="366" t="s">
        <v>341</v>
      </c>
      <c r="D245" s="366">
        <v>24</v>
      </c>
      <c r="E245" s="348">
        <f t="shared" ca="1" si="9"/>
        <v>993406.69400000002</v>
      </c>
      <c r="F245" s="348" t="str">
        <f t="shared" si="10"/>
        <v>BLD_EA</v>
      </c>
      <c r="G245" s="348" t="str">
        <f>IFERROR(INDEX(DATA_PROPERTY_MASTER!$E$5:$E$21,MATCH($A245,DATA_PROPERTY_MASTER!$A$5:$A$21,0)),"")</f>
        <v>Yes</v>
      </c>
      <c r="H245" s="348" t="str">
        <f ca="1">IFERROR(INDEX(DATA_PROPERTY_MASTER!$F$5:$F$21,MATCH($A245,DATA_PROPERTY_MASTER!$A$5:$A$21,0)),"")</f>
        <v>Refi Watch</v>
      </c>
      <c r="I245" t="s">
        <v>1495</v>
      </c>
      <c r="J245" s="348" t="str">
        <f t="shared" ca="1" si="11"/>
        <v>Formula-linked</v>
      </c>
    </row>
    <row r="246" spans="1:10">
      <c r="A246" s="366" t="s">
        <v>450</v>
      </c>
      <c r="B246" s="366">
        <v>2025</v>
      </c>
      <c r="C246" s="366" t="s">
        <v>355</v>
      </c>
      <c r="D246" s="366">
        <v>39</v>
      </c>
      <c r="E246" s="348">
        <f t="shared" ca="1" si="9"/>
        <v>413533</v>
      </c>
      <c r="F246" s="348" t="str">
        <f t="shared" si="10"/>
        <v>BLD_EA</v>
      </c>
      <c r="G246" s="348" t="str">
        <f>IFERROR(INDEX(DATA_PROPERTY_MASTER!$E$5:$E$21,MATCH($A246,DATA_PROPERTY_MASTER!$A$5:$A$21,0)),"")</f>
        <v>Yes</v>
      </c>
      <c r="H246" s="348" t="str">
        <f ca="1">IFERROR(INDEX(DATA_PROPERTY_MASTER!$F$5:$F$21,MATCH($A246,DATA_PROPERTY_MASTER!$A$5:$A$21,0)),"")</f>
        <v>Refi Watch</v>
      </c>
      <c r="I246" t="s">
        <v>1496</v>
      </c>
      <c r="J246" s="348" t="str">
        <f t="shared" ca="1" si="11"/>
        <v>Formula-linked</v>
      </c>
    </row>
    <row r="247" spans="1:10">
      <c r="A247" s="366" t="s">
        <v>450</v>
      </c>
      <c r="B247" s="366">
        <v>2025</v>
      </c>
      <c r="C247" s="366" t="s">
        <v>1497</v>
      </c>
      <c r="D247" s="366">
        <v>41</v>
      </c>
      <c r="E247" s="348">
        <f t="shared" ca="1" si="9"/>
        <v>579873.69400000002</v>
      </c>
      <c r="F247" s="348" t="str">
        <f t="shared" si="10"/>
        <v>BLD_EA</v>
      </c>
      <c r="G247" s="348" t="str">
        <f>IFERROR(INDEX(DATA_PROPERTY_MASTER!$E$5:$E$21,MATCH($A247,DATA_PROPERTY_MASTER!$A$5:$A$21,0)),"")</f>
        <v>Yes</v>
      </c>
      <c r="H247" s="348" t="str">
        <f ca="1">IFERROR(INDEX(DATA_PROPERTY_MASTER!$F$5:$F$21,MATCH($A247,DATA_PROPERTY_MASTER!$A$5:$A$21,0)),"")</f>
        <v>Refi Watch</v>
      </c>
      <c r="I247" t="s">
        <v>1497</v>
      </c>
      <c r="J247" s="348" t="str">
        <f t="shared" ca="1" si="11"/>
        <v>Formula-linked</v>
      </c>
    </row>
    <row r="248" spans="1:10">
      <c r="A248" s="366" t="s">
        <v>450</v>
      </c>
      <c r="B248" s="366">
        <v>2025</v>
      </c>
      <c r="C248" s="366" t="s">
        <v>21</v>
      </c>
      <c r="D248" s="366">
        <v>45</v>
      </c>
      <c r="E248" s="348">
        <f t="shared" ca="1" si="9"/>
        <v>570723.69400000002</v>
      </c>
      <c r="F248" s="348" t="str">
        <f t="shared" si="10"/>
        <v>BLD_EA</v>
      </c>
      <c r="G248" s="348" t="str">
        <f>IFERROR(INDEX(DATA_PROPERTY_MASTER!$E$5:$E$21,MATCH($A248,DATA_PROPERTY_MASTER!$A$5:$A$21,0)),"")</f>
        <v>Yes</v>
      </c>
      <c r="H248" s="348" t="str">
        <f ca="1">IFERROR(INDEX(DATA_PROPERTY_MASTER!$F$5:$F$21,MATCH($A248,DATA_PROPERTY_MASTER!$A$5:$A$21,0)),"")</f>
        <v>Refi Watch</v>
      </c>
      <c r="I248" t="s">
        <v>1497</v>
      </c>
      <c r="J248" s="348" t="str">
        <f t="shared" ca="1" si="11"/>
        <v>Formula-linked</v>
      </c>
    </row>
    <row r="249" spans="1:10">
      <c r="A249" s="366" t="s">
        <v>450</v>
      </c>
      <c r="B249" s="366">
        <v>2025</v>
      </c>
      <c r="C249" s="366" t="s">
        <v>23</v>
      </c>
      <c r="D249" s="366">
        <v>48</v>
      </c>
      <c r="E249" s="348">
        <f t="shared" ca="1" si="9"/>
        <v>297840</v>
      </c>
      <c r="F249" s="348" t="str">
        <f t="shared" si="10"/>
        <v>BLD_EA</v>
      </c>
      <c r="G249" s="348" t="str">
        <f>IFERROR(INDEX(DATA_PROPERTY_MASTER!$E$5:$E$21,MATCH($A249,DATA_PROPERTY_MASTER!$A$5:$A$21,0)),"")</f>
        <v>Yes</v>
      </c>
      <c r="H249" s="348" t="str">
        <f ca="1">IFERROR(INDEX(DATA_PROPERTY_MASTER!$F$5:$F$21,MATCH($A249,DATA_PROPERTY_MASTER!$A$5:$A$21,0)),"")</f>
        <v>Refi Watch</v>
      </c>
      <c r="I249" t="s">
        <v>1498</v>
      </c>
      <c r="J249" s="348" t="str">
        <f t="shared" ca="1" si="11"/>
        <v>Formula-linked</v>
      </c>
    </row>
    <row r="250" spans="1:10">
      <c r="A250" s="366" t="s">
        <v>450</v>
      </c>
      <c r="B250" s="366">
        <v>2025</v>
      </c>
      <c r="C250" s="366" t="s">
        <v>213</v>
      </c>
      <c r="D250" s="366">
        <v>50</v>
      </c>
      <c r="E250" s="348">
        <f t="shared" ca="1" si="9"/>
        <v>1.9469302108514639</v>
      </c>
      <c r="F250" s="348" t="str">
        <f t="shared" si="10"/>
        <v>BLD_EA</v>
      </c>
      <c r="G250" s="348" t="str">
        <f>IFERROR(INDEX(DATA_PROPERTY_MASTER!$E$5:$E$21,MATCH($A250,DATA_PROPERTY_MASTER!$A$5:$A$21,0)),"")</f>
        <v>Yes</v>
      </c>
      <c r="H250" s="348" t="str">
        <f ca="1">IFERROR(INDEX(DATA_PROPERTY_MASTER!$F$5:$F$21,MATCH($A250,DATA_PROPERTY_MASTER!$A$5:$A$21,0)),"")</f>
        <v>Refi Watch</v>
      </c>
      <c r="I250" t="s">
        <v>1499</v>
      </c>
      <c r="J250" s="348" t="str">
        <f t="shared" ca="1" si="11"/>
        <v>Formula-linked</v>
      </c>
    </row>
    <row r="251" spans="1:10">
      <c r="A251" s="366" t="s">
        <v>450</v>
      </c>
      <c r="B251" s="366">
        <v>2025</v>
      </c>
      <c r="C251" s="366" t="s">
        <v>1500</v>
      </c>
      <c r="D251" s="366">
        <v>52</v>
      </c>
      <c r="E251" s="348">
        <f t="shared" ca="1" si="9"/>
        <v>282033.69400000002</v>
      </c>
      <c r="F251" s="348" t="str">
        <f t="shared" si="10"/>
        <v>BLD_EA</v>
      </c>
      <c r="G251" s="348" t="str">
        <f>IFERROR(INDEX(DATA_PROPERTY_MASTER!$E$5:$E$21,MATCH($A251,DATA_PROPERTY_MASTER!$A$5:$A$21,0)),"")</f>
        <v>Yes</v>
      </c>
      <c r="H251" s="348" t="str">
        <f ca="1">IFERROR(INDEX(DATA_PROPERTY_MASTER!$F$5:$F$21,MATCH($A251,DATA_PROPERTY_MASTER!$A$5:$A$21,0)),"")</f>
        <v>Refi Watch</v>
      </c>
      <c r="I251" t="s">
        <v>1501</v>
      </c>
      <c r="J251" s="348" t="str">
        <f t="shared" ca="1" si="11"/>
        <v>Formula-linked</v>
      </c>
    </row>
    <row r="252" spans="1:10">
      <c r="A252" s="366" t="s">
        <v>450</v>
      </c>
      <c r="B252" s="366">
        <v>2025</v>
      </c>
      <c r="C252" s="366" t="s">
        <v>27</v>
      </c>
      <c r="D252" s="366">
        <v>54</v>
      </c>
      <c r="E252" s="348">
        <f t="shared" ca="1" si="9"/>
        <v>169220.2164</v>
      </c>
      <c r="F252" s="348" t="str">
        <f t="shared" si="10"/>
        <v>BLD_EA</v>
      </c>
      <c r="G252" s="348" t="str">
        <f>IFERROR(INDEX(DATA_PROPERTY_MASTER!$E$5:$E$21,MATCH($A252,DATA_PROPERTY_MASTER!$A$5:$A$21,0)),"")</f>
        <v>Yes</v>
      </c>
      <c r="H252" s="348" t="str">
        <f ca="1">IFERROR(INDEX(DATA_PROPERTY_MASTER!$F$5:$F$21,MATCH($A252,DATA_PROPERTY_MASTER!$A$5:$A$21,0)),"")</f>
        <v>Refi Watch</v>
      </c>
      <c r="I252" t="s">
        <v>1501</v>
      </c>
      <c r="J252" s="348" t="str">
        <f t="shared" ca="1" si="11"/>
        <v>Formula-linked</v>
      </c>
    </row>
    <row r="253" spans="1:10">
      <c r="A253" s="366" t="s">
        <v>450</v>
      </c>
      <c r="B253" s="366">
        <v>2025</v>
      </c>
      <c r="C253" s="366" t="s">
        <v>1502</v>
      </c>
      <c r="D253" s="366">
        <v>56</v>
      </c>
      <c r="E253" s="348">
        <f t="shared" ca="1" si="9"/>
        <v>112813.47760000001</v>
      </c>
      <c r="F253" s="348" t="str">
        <f t="shared" si="10"/>
        <v>BLD_EA</v>
      </c>
      <c r="G253" s="348" t="str">
        <f>IFERROR(INDEX(DATA_PROPERTY_MASTER!$E$5:$E$21,MATCH($A253,DATA_PROPERTY_MASTER!$A$5:$A$21,0)),"")</f>
        <v>Yes</v>
      </c>
      <c r="H253" s="348" t="str">
        <f ca="1">IFERROR(INDEX(DATA_PROPERTY_MASTER!$F$5:$F$21,MATCH($A253,DATA_PROPERTY_MASTER!$A$5:$A$21,0)),"")</f>
        <v>Refi Watch</v>
      </c>
      <c r="I253" t="s">
        <v>1501</v>
      </c>
      <c r="J253" s="348" t="str">
        <f t="shared" ca="1" si="11"/>
        <v>Formula-linked</v>
      </c>
    </row>
    <row r="254" spans="1:10">
      <c r="A254" s="366" t="s">
        <v>450</v>
      </c>
      <c r="B254" s="366">
        <v>2025</v>
      </c>
      <c r="C254" s="366" t="s">
        <v>367</v>
      </c>
      <c r="D254" s="366">
        <v>61</v>
      </c>
      <c r="E254" s="348">
        <f t="shared" ca="1" si="9"/>
        <v>0</v>
      </c>
      <c r="F254" s="348" t="str">
        <f t="shared" si="10"/>
        <v>BLD_EA</v>
      </c>
      <c r="G254" s="348" t="str">
        <f>IFERROR(INDEX(DATA_PROPERTY_MASTER!$E$5:$E$21,MATCH($A254,DATA_PROPERTY_MASTER!$A$5:$A$21,0)),"")</f>
        <v>Yes</v>
      </c>
      <c r="H254" s="348" t="str">
        <f ca="1">IFERROR(INDEX(DATA_PROPERTY_MASTER!$F$5:$F$21,MATCH($A254,DATA_PROPERTY_MASTER!$A$5:$A$21,0)),"")</f>
        <v>Refi Watch</v>
      </c>
      <c r="I254" t="s">
        <v>1503</v>
      </c>
      <c r="J254" s="348" t="str">
        <f t="shared" ca="1" si="11"/>
        <v>Formula-linked</v>
      </c>
    </row>
    <row r="255" spans="1:10">
      <c r="A255" s="366" t="s">
        <v>450</v>
      </c>
      <c r="B255" s="366">
        <v>2025</v>
      </c>
      <c r="C255" s="366" t="s">
        <v>368</v>
      </c>
      <c r="D255" s="366">
        <v>62</v>
      </c>
      <c r="E255" s="348">
        <f t="shared" ca="1" si="9"/>
        <v>0</v>
      </c>
      <c r="F255" s="348" t="str">
        <f t="shared" si="10"/>
        <v>BLD_EA</v>
      </c>
      <c r="G255" s="348" t="str">
        <f>IFERROR(INDEX(DATA_PROPERTY_MASTER!$E$5:$E$21,MATCH($A255,DATA_PROPERTY_MASTER!$A$5:$A$21,0)),"")</f>
        <v>Yes</v>
      </c>
      <c r="H255" s="348" t="str">
        <f ca="1">IFERROR(INDEX(DATA_PROPERTY_MASTER!$F$5:$F$21,MATCH($A255,DATA_PROPERTY_MASTER!$A$5:$A$21,0)),"")</f>
        <v>Refi Watch</v>
      </c>
      <c r="I255" t="s">
        <v>1503</v>
      </c>
      <c r="J255" s="348" t="str">
        <f t="shared" ca="1" si="11"/>
        <v>Formula-linked</v>
      </c>
    </row>
    <row r="256" spans="1:10">
      <c r="A256" s="366" t="s">
        <v>450</v>
      </c>
      <c r="B256" s="366">
        <v>2025</v>
      </c>
      <c r="C256" s="366" t="s">
        <v>1504</v>
      </c>
      <c r="D256" s="366">
        <v>63</v>
      </c>
      <c r="E256" s="348">
        <f t="shared" ca="1" si="9"/>
        <v>0</v>
      </c>
      <c r="F256" s="348" t="str">
        <f t="shared" si="10"/>
        <v>BLD_EA</v>
      </c>
      <c r="G256" s="348" t="str">
        <f>IFERROR(INDEX(DATA_PROPERTY_MASTER!$E$5:$E$21,MATCH($A256,DATA_PROPERTY_MASTER!$A$5:$A$21,0)),"")</f>
        <v>Yes</v>
      </c>
      <c r="H256" s="348" t="str">
        <f ca="1">IFERROR(INDEX(DATA_PROPERTY_MASTER!$F$5:$F$21,MATCH($A256,DATA_PROPERTY_MASTER!$A$5:$A$21,0)),"")</f>
        <v>Refi Watch</v>
      </c>
      <c r="I256" t="s">
        <v>1503</v>
      </c>
      <c r="J256" s="348" t="str">
        <f t="shared" ca="1" si="11"/>
        <v>Formula-linked</v>
      </c>
    </row>
    <row r="257" spans="1:10">
      <c r="A257" s="366" t="s">
        <v>450</v>
      </c>
      <c r="B257" s="366">
        <v>2025</v>
      </c>
      <c r="C257" s="366" t="s">
        <v>370</v>
      </c>
      <c r="D257" s="366">
        <v>64</v>
      </c>
      <c r="E257" s="348">
        <f t="shared" ca="1" si="9"/>
        <v>5408513.3767299997</v>
      </c>
      <c r="F257" s="348" t="str">
        <f t="shared" si="10"/>
        <v>BLD_EA</v>
      </c>
      <c r="G257" s="348" t="str">
        <f>IFERROR(INDEX(DATA_PROPERTY_MASTER!$E$5:$E$21,MATCH($A257,DATA_PROPERTY_MASTER!$A$5:$A$21,0)),"")</f>
        <v>Yes</v>
      </c>
      <c r="H257" s="348" t="str">
        <f ca="1">IFERROR(INDEX(DATA_PROPERTY_MASTER!$F$5:$F$21,MATCH($A257,DATA_PROPERTY_MASTER!$A$5:$A$21,0)),"")</f>
        <v>Refi Watch</v>
      </c>
      <c r="I257" t="s">
        <v>1498</v>
      </c>
      <c r="J257" s="348" t="str">
        <f t="shared" ca="1" si="11"/>
        <v>Formula-linked</v>
      </c>
    </row>
    <row r="258" spans="1:10">
      <c r="A258" s="366" t="s">
        <v>450</v>
      </c>
      <c r="B258" s="366">
        <v>2025</v>
      </c>
      <c r="C258" s="366" t="s">
        <v>544</v>
      </c>
      <c r="D258" s="366">
        <v>68</v>
      </c>
      <c r="E258" s="348">
        <f t="shared" ca="1" si="9"/>
        <v>112813.47760000001</v>
      </c>
      <c r="F258" s="348" t="str">
        <f t="shared" si="10"/>
        <v>BLD_EA</v>
      </c>
      <c r="G258" s="348" t="str">
        <f>IFERROR(INDEX(DATA_PROPERTY_MASTER!$E$5:$E$21,MATCH($A258,DATA_PROPERTY_MASTER!$A$5:$A$21,0)),"")</f>
        <v>Yes</v>
      </c>
      <c r="H258" s="348" t="str">
        <f ca="1">IFERROR(INDEX(DATA_PROPERTY_MASTER!$F$5:$F$21,MATCH($A258,DATA_PROPERTY_MASTER!$A$5:$A$21,0)),"")</f>
        <v>Refi Watch</v>
      </c>
      <c r="I258" t="s">
        <v>1501</v>
      </c>
      <c r="J258" s="348" t="str">
        <f t="shared" ca="1" si="11"/>
        <v>Formula-linked</v>
      </c>
    </row>
    <row r="259" spans="1:10">
      <c r="A259" s="366" t="s">
        <v>450</v>
      </c>
      <c r="B259" s="366">
        <v>2025</v>
      </c>
      <c r="C259" s="366" t="s">
        <v>378</v>
      </c>
      <c r="D259" s="366">
        <v>73</v>
      </c>
      <c r="E259" s="348">
        <f t="shared" ca="1" si="9"/>
        <v>9664561.5666666664</v>
      </c>
      <c r="F259" s="348" t="str">
        <f t="shared" si="10"/>
        <v>BLD_EA</v>
      </c>
      <c r="G259" s="348" t="str">
        <f>IFERROR(INDEX(DATA_PROPERTY_MASTER!$E$5:$E$21,MATCH($A259,DATA_PROPERTY_MASTER!$A$5:$A$21,0)),"")</f>
        <v>Yes</v>
      </c>
      <c r="H259" s="348" t="str">
        <f ca="1">IFERROR(INDEX(DATA_PROPERTY_MASTER!$F$5:$F$21,MATCH($A259,DATA_PROPERTY_MASTER!$A$5:$A$21,0)),"")</f>
        <v>Refi Watch</v>
      </c>
      <c r="I259" t="s">
        <v>1505</v>
      </c>
      <c r="J259" s="348" t="str">
        <f t="shared" ca="1" si="11"/>
        <v>Formula-linked</v>
      </c>
    </row>
    <row r="260" spans="1:10">
      <c r="A260" s="366" t="s">
        <v>450</v>
      </c>
      <c r="B260" s="366">
        <v>2025</v>
      </c>
      <c r="C260" s="366" t="s">
        <v>1506</v>
      </c>
      <c r="D260" s="366">
        <v>77</v>
      </c>
      <c r="E260" s="348">
        <f t="shared" ca="1" si="9"/>
        <v>4256048.1899366667</v>
      </c>
      <c r="F260" s="348" t="str">
        <f t="shared" si="10"/>
        <v>BLD_EA</v>
      </c>
      <c r="G260" s="348" t="str">
        <f>IFERROR(INDEX(DATA_PROPERTY_MASTER!$E$5:$E$21,MATCH($A260,DATA_PROPERTY_MASTER!$A$5:$A$21,0)),"")</f>
        <v>Yes</v>
      </c>
      <c r="H260" s="348" t="str">
        <f ca="1">IFERROR(INDEX(DATA_PROPERTY_MASTER!$F$5:$F$21,MATCH($A260,DATA_PROPERTY_MASTER!$A$5:$A$21,0)),"")</f>
        <v>Refi Watch</v>
      </c>
      <c r="I260" t="s">
        <v>1505</v>
      </c>
      <c r="J260" s="348" t="str">
        <f t="shared" ca="1" si="11"/>
        <v>Formula-linked</v>
      </c>
    </row>
    <row r="261" spans="1:10">
      <c r="A261" s="366" t="s">
        <v>450</v>
      </c>
      <c r="B261" s="366">
        <v>2029</v>
      </c>
      <c r="C261" s="366" t="s">
        <v>341</v>
      </c>
      <c r="D261" s="366">
        <v>24</v>
      </c>
      <c r="E261" s="348">
        <f t="shared" ref="E261:E324" ca="1" si="12">IFERROR(INDEX(INDIRECT("'"&amp;$A261&amp;"'!$E$"&amp;$D261&amp;":$Y$"&amp;$D261),1,MATCH($B261,INDIRECT("'"&amp;$A261&amp;"'!$E$12:$Y$12"),0)),"")</f>
        <v>1075295.3535448792</v>
      </c>
      <c r="F261" s="348" t="str">
        <f t="shared" ref="F261:F324" si="13">$A261</f>
        <v>BLD_EA</v>
      </c>
      <c r="G261" s="348" t="str">
        <f>IFERROR(INDEX(DATA_PROPERTY_MASTER!$E$5:$E$21,MATCH($A261,DATA_PROPERTY_MASTER!$A$5:$A$21,0)),"")</f>
        <v>Yes</v>
      </c>
      <c r="H261" s="348" t="str">
        <f ca="1">IFERROR(INDEX(DATA_PROPERTY_MASTER!$F$5:$F$21,MATCH($A261,DATA_PROPERTY_MASTER!$A$5:$A$21,0)),"")</f>
        <v>Refi Watch</v>
      </c>
      <c r="I261" t="s">
        <v>1495</v>
      </c>
      <c r="J261" s="348" t="str">
        <f t="shared" ref="J261:J324" ca="1" si="14">IF($E261="","Review","Formula-linked")</f>
        <v>Formula-linked</v>
      </c>
    </row>
    <row r="262" spans="1:10">
      <c r="A262" s="366" t="s">
        <v>450</v>
      </c>
      <c r="B262" s="366">
        <v>2029</v>
      </c>
      <c r="C262" s="366" t="s">
        <v>355</v>
      </c>
      <c r="D262" s="366">
        <v>39</v>
      </c>
      <c r="E262" s="348">
        <f t="shared" ca="1" si="12"/>
        <v>483775.11989248008</v>
      </c>
      <c r="F262" s="348" t="str">
        <f t="shared" si="13"/>
        <v>BLD_EA</v>
      </c>
      <c r="G262" s="348" t="str">
        <f>IFERROR(INDEX(DATA_PROPERTY_MASTER!$E$5:$E$21,MATCH($A262,DATA_PROPERTY_MASTER!$A$5:$A$21,0)),"")</f>
        <v>Yes</v>
      </c>
      <c r="H262" s="348" t="str">
        <f ca="1">IFERROR(INDEX(DATA_PROPERTY_MASTER!$F$5:$F$21,MATCH($A262,DATA_PROPERTY_MASTER!$A$5:$A$21,0)),"")</f>
        <v>Refi Watch</v>
      </c>
      <c r="I262" t="s">
        <v>1496</v>
      </c>
      <c r="J262" s="348" t="str">
        <f t="shared" ca="1" si="14"/>
        <v>Formula-linked</v>
      </c>
    </row>
    <row r="263" spans="1:10">
      <c r="A263" s="366" t="s">
        <v>450</v>
      </c>
      <c r="B263" s="366">
        <v>2029</v>
      </c>
      <c r="C263" s="366" t="s">
        <v>1497</v>
      </c>
      <c r="D263" s="366">
        <v>41</v>
      </c>
      <c r="E263" s="348">
        <f t="shared" ca="1" si="12"/>
        <v>591520.23365239915</v>
      </c>
      <c r="F263" s="348" t="str">
        <f t="shared" si="13"/>
        <v>BLD_EA</v>
      </c>
      <c r="G263" s="348" t="str">
        <f>IFERROR(INDEX(DATA_PROPERTY_MASTER!$E$5:$E$21,MATCH($A263,DATA_PROPERTY_MASTER!$A$5:$A$21,0)),"")</f>
        <v>Yes</v>
      </c>
      <c r="H263" s="348" t="str">
        <f ca="1">IFERROR(INDEX(DATA_PROPERTY_MASTER!$F$5:$F$21,MATCH($A263,DATA_PROPERTY_MASTER!$A$5:$A$21,0)),"")</f>
        <v>Refi Watch</v>
      </c>
      <c r="I263" t="s">
        <v>1497</v>
      </c>
      <c r="J263" s="348" t="str">
        <f t="shared" ca="1" si="14"/>
        <v>Formula-linked</v>
      </c>
    </row>
    <row r="264" spans="1:10">
      <c r="A264" s="366" t="s">
        <v>450</v>
      </c>
      <c r="B264" s="366">
        <v>2029</v>
      </c>
      <c r="C264" s="366" t="s">
        <v>21</v>
      </c>
      <c r="D264" s="366">
        <v>45</v>
      </c>
      <c r="E264" s="348">
        <f t="shared" ca="1" si="12"/>
        <v>581615.97938839917</v>
      </c>
      <c r="F264" s="348" t="str">
        <f t="shared" si="13"/>
        <v>BLD_EA</v>
      </c>
      <c r="G264" s="348" t="str">
        <f>IFERROR(INDEX(DATA_PROPERTY_MASTER!$E$5:$E$21,MATCH($A264,DATA_PROPERTY_MASTER!$A$5:$A$21,0)),"")</f>
        <v>Yes</v>
      </c>
      <c r="H264" s="348" t="str">
        <f ca="1">IFERROR(INDEX(DATA_PROPERTY_MASTER!$F$5:$F$21,MATCH($A264,DATA_PROPERTY_MASTER!$A$5:$A$21,0)),"")</f>
        <v>Refi Watch</v>
      </c>
      <c r="I264" t="s">
        <v>1497</v>
      </c>
      <c r="J264" s="348" t="str">
        <f t="shared" ca="1" si="14"/>
        <v>Formula-linked</v>
      </c>
    </row>
    <row r="265" spans="1:10">
      <c r="A265" s="366" t="s">
        <v>450</v>
      </c>
      <c r="B265" s="366">
        <v>2029</v>
      </c>
      <c r="C265" s="366" t="s">
        <v>23</v>
      </c>
      <c r="D265" s="366">
        <v>48</v>
      </c>
      <c r="E265" s="348">
        <f t="shared" ca="1" si="12"/>
        <v>297840</v>
      </c>
      <c r="F265" s="348" t="str">
        <f t="shared" si="13"/>
        <v>BLD_EA</v>
      </c>
      <c r="G265" s="348" t="str">
        <f>IFERROR(INDEX(DATA_PROPERTY_MASTER!$E$5:$E$21,MATCH($A265,DATA_PROPERTY_MASTER!$A$5:$A$21,0)),"")</f>
        <v>Yes</v>
      </c>
      <c r="H265" s="348" t="str">
        <f ca="1">IFERROR(INDEX(DATA_PROPERTY_MASTER!$F$5:$F$21,MATCH($A265,DATA_PROPERTY_MASTER!$A$5:$A$21,0)),"")</f>
        <v>Refi Watch</v>
      </c>
      <c r="I265" t="s">
        <v>1498</v>
      </c>
      <c r="J265" s="348" t="str">
        <f t="shared" ca="1" si="14"/>
        <v>Formula-linked</v>
      </c>
    </row>
    <row r="266" spans="1:10">
      <c r="A266" s="366" t="s">
        <v>450</v>
      </c>
      <c r="B266" s="366">
        <v>2029</v>
      </c>
      <c r="C266" s="366" t="s">
        <v>213</v>
      </c>
      <c r="D266" s="366">
        <v>50</v>
      </c>
      <c r="E266" s="348">
        <f t="shared" ca="1" si="12"/>
        <v>1.9860335537617484</v>
      </c>
      <c r="F266" s="348" t="str">
        <f t="shared" si="13"/>
        <v>BLD_EA</v>
      </c>
      <c r="G266" s="348" t="str">
        <f>IFERROR(INDEX(DATA_PROPERTY_MASTER!$E$5:$E$21,MATCH($A266,DATA_PROPERTY_MASTER!$A$5:$A$21,0)),"")</f>
        <v>Yes</v>
      </c>
      <c r="H266" s="348" t="str">
        <f ca="1">IFERROR(INDEX(DATA_PROPERTY_MASTER!$F$5:$F$21,MATCH($A266,DATA_PROPERTY_MASTER!$A$5:$A$21,0)),"")</f>
        <v>Refi Watch</v>
      </c>
      <c r="I266" t="s">
        <v>1499</v>
      </c>
      <c r="J266" s="348" t="str">
        <f t="shared" ca="1" si="14"/>
        <v>Formula-linked</v>
      </c>
    </row>
    <row r="267" spans="1:10">
      <c r="A267" s="366" t="s">
        <v>450</v>
      </c>
      <c r="B267" s="366">
        <v>2029</v>
      </c>
      <c r="C267" s="366" t="s">
        <v>1500</v>
      </c>
      <c r="D267" s="366">
        <v>52</v>
      </c>
      <c r="E267" s="348">
        <f t="shared" ca="1" si="12"/>
        <v>293680.23365239915</v>
      </c>
      <c r="F267" s="348" t="str">
        <f t="shared" si="13"/>
        <v>BLD_EA</v>
      </c>
      <c r="G267" s="348" t="str">
        <f>IFERROR(INDEX(DATA_PROPERTY_MASTER!$E$5:$E$21,MATCH($A267,DATA_PROPERTY_MASTER!$A$5:$A$21,0)),"")</f>
        <v>Yes</v>
      </c>
      <c r="H267" s="348" t="str">
        <f ca="1">IFERROR(INDEX(DATA_PROPERTY_MASTER!$F$5:$F$21,MATCH($A267,DATA_PROPERTY_MASTER!$A$5:$A$21,0)),"")</f>
        <v>Refi Watch</v>
      </c>
      <c r="I267" t="s">
        <v>1501</v>
      </c>
      <c r="J267" s="348" t="str">
        <f t="shared" ca="1" si="14"/>
        <v>Formula-linked</v>
      </c>
    </row>
    <row r="268" spans="1:10">
      <c r="A268" s="366" t="s">
        <v>450</v>
      </c>
      <c r="B268" s="366">
        <v>2029</v>
      </c>
      <c r="C268" s="366" t="s">
        <v>27</v>
      </c>
      <c r="D268" s="366">
        <v>54</v>
      </c>
      <c r="E268" s="348">
        <f t="shared" ca="1" si="12"/>
        <v>176208.14019143948</v>
      </c>
      <c r="F268" s="348" t="str">
        <f t="shared" si="13"/>
        <v>BLD_EA</v>
      </c>
      <c r="G268" s="348" t="str">
        <f>IFERROR(INDEX(DATA_PROPERTY_MASTER!$E$5:$E$21,MATCH($A268,DATA_PROPERTY_MASTER!$A$5:$A$21,0)),"")</f>
        <v>Yes</v>
      </c>
      <c r="H268" s="348" t="str">
        <f ca="1">IFERROR(INDEX(DATA_PROPERTY_MASTER!$F$5:$F$21,MATCH($A268,DATA_PROPERTY_MASTER!$A$5:$A$21,0)),"")</f>
        <v>Refi Watch</v>
      </c>
      <c r="I268" t="s">
        <v>1501</v>
      </c>
      <c r="J268" s="348" t="str">
        <f t="shared" ca="1" si="14"/>
        <v>Formula-linked</v>
      </c>
    </row>
    <row r="269" spans="1:10">
      <c r="A269" s="366" t="s">
        <v>450</v>
      </c>
      <c r="B269" s="366">
        <v>2029</v>
      </c>
      <c r="C269" s="366" t="s">
        <v>1502</v>
      </c>
      <c r="D269" s="366">
        <v>56</v>
      </c>
      <c r="E269" s="348">
        <f t="shared" ca="1" si="12"/>
        <v>117472.09346095967</v>
      </c>
      <c r="F269" s="348" t="str">
        <f t="shared" si="13"/>
        <v>BLD_EA</v>
      </c>
      <c r="G269" s="348" t="str">
        <f>IFERROR(INDEX(DATA_PROPERTY_MASTER!$E$5:$E$21,MATCH($A269,DATA_PROPERTY_MASTER!$A$5:$A$21,0)),"")</f>
        <v>Yes</v>
      </c>
      <c r="H269" s="348" t="str">
        <f ca="1">IFERROR(INDEX(DATA_PROPERTY_MASTER!$F$5:$F$21,MATCH($A269,DATA_PROPERTY_MASTER!$A$5:$A$21,0)),"")</f>
        <v>Refi Watch</v>
      </c>
      <c r="I269" t="s">
        <v>1501</v>
      </c>
      <c r="J269" s="348" t="str">
        <f t="shared" ca="1" si="14"/>
        <v>Formula-linked</v>
      </c>
    </row>
    <row r="270" spans="1:10">
      <c r="A270" s="366" t="s">
        <v>450</v>
      </c>
      <c r="B270" s="366">
        <v>2029</v>
      </c>
      <c r="C270" s="366" t="s">
        <v>367</v>
      </c>
      <c r="D270" s="366">
        <v>61</v>
      </c>
      <c r="E270" s="348">
        <f t="shared" ca="1" si="12"/>
        <v>0</v>
      </c>
      <c r="F270" s="348" t="str">
        <f t="shared" si="13"/>
        <v>BLD_EA</v>
      </c>
      <c r="G270" s="348" t="str">
        <f>IFERROR(INDEX(DATA_PROPERTY_MASTER!$E$5:$E$21,MATCH($A270,DATA_PROPERTY_MASTER!$A$5:$A$21,0)),"")</f>
        <v>Yes</v>
      </c>
      <c r="H270" s="348" t="str">
        <f ca="1">IFERROR(INDEX(DATA_PROPERTY_MASTER!$F$5:$F$21,MATCH($A270,DATA_PROPERTY_MASTER!$A$5:$A$21,0)),"")</f>
        <v>Refi Watch</v>
      </c>
      <c r="I270" t="s">
        <v>1503</v>
      </c>
      <c r="J270" s="348" t="str">
        <f t="shared" ca="1" si="14"/>
        <v>Formula-linked</v>
      </c>
    </row>
    <row r="271" spans="1:10">
      <c r="A271" s="366" t="s">
        <v>450</v>
      </c>
      <c r="B271" s="366">
        <v>2029</v>
      </c>
      <c r="C271" s="366" t="s">
        <v>368</v>
      </c>
      <c r="D271" s="366">
        <v>62</v>
      </c>
      <c r="E271" s="348">
        <f t="shared" ca="1" si="12"/>
        <v>0</v>
      </c>
      <c r="F271" s="348" t="str">
        <f t="shared" si="13"/>
        <v>BLD_EA</v>
      </c>
      <c r="G271" s="348" t="str">
        <f>IFERROR(INDEX(DATA_PROPERTY_MASTER!$E$5:$E$21,MATCH($A271,DATA_PROPERTY_MASTER!$A$5:$A$21,0)),"")</f>
        <v>Yes</v>
      </c>
      <c r="H271" s="348" t="str">
        <f ca="1">IFERROR(INDEX(DATA_PROPERTY_MASTER!$F$5:$F$21,MATCH($A271,DATA_PROPERTY_MASTER!$A$5:$A$21,0)),"")</f>
        <v>Refi Watch</v>
      </c>
      <c r="I271" t="s">
        <v>1503</v>
      </c>
      <c r="J271" s="348" t="str">
        <f t="shared" ca="1" si="14"/>
        <v>Formula-linked</v>
      </c>
    </row>
    <row r="272" spans="1:10">
      <c r="A272" s="366" t="s">
        <v>450</v>
      </c>
      <c r="B272" s="366">
        <v>2029</v>
      </c>
      <c r="C272" s="366" t="s">
        <v>1504</v>
      </c>
      <c r="D272" s="366">
        <v>63</v>
      </c>
      <c r="E272" s="348">
        <f t="shared" ca="1" si="12"/>
        <v>0</v>
      </c>
      <c r="F272" s="348" t="str">
        <f t="shared" si="13"/>
        <v>BLD_EA</v>
      </c>
      <c r="G272" s="348" t="str">
        <f>IFERROR(INDEX(DATA_PROPERTY_MASTER!$E$5:$E$21,MATCH($A272,DATA_PROPERTY_MASTER!$A$5:$A$21,0)),"")</f>
        <v>Yes</v>
      </c>
      <c r="H272" s="348" t="str">
        <f ca="1">IFERROR(INDEX(DATA_PROPERTY_MASTER!$F$5:$F$21,MATCH($A272,DATA_PROPERTY_MASTER!$A$5:$A$21,0)),"")</f>
        <v>Refi Watch</v>
      </c>
      <c r="I272" t="s">
        <v>1503</v>
      </c>
      <c r="J272" s="348" t="str">
        <f t="shared" ca="1" si="14"/>
        <v>Formula-linked</v>
      </c>
    </row>
    <row r="273" spans="1:10">
      <c r="A273" s="366" t="s">
        <v>450</v>
      </c>
      <c r="B273" s="366">
        <v>2029</v>
      </c>
      <c r="C273" s="366" t="s">
        <v>370</v>
      </c>
      <c r="D273" s="366">
        <v>64</v>
      </c>
      <c r="E273" s="348">
        <f t="shared" ca="1" si="12"/>
        <v>5109726.7520786477</v>
      </c>
      <c r="F273" s="348" t="str">
        <f t="shared" si="13"/>
        <v>BLD_EA</v>
      </c>
      <c r="G273" s="348" t="str">
        <f>IFERROR(INDEX(DATA_PROPERTY_MASTER!$E$5:$E$21,MATCH($A273,DATA_PROPERTY_MASTER!$A$5:$A$21,0)),"")</f>
        <v>Yes</v>
      </c>
      <c r="H273" s="348" t="str">
        <f ca="1">IFERROR(INDEX(DATA_PROPERTY_MASTER!$F$5:$F$21,MATCH($A273,DATA_PROPERTY_MASTER!$A$5:$A$21,0)),"")</f>
        <v>Refi Watch</v>
      </c>
      <c r="I273" t="s">
        <v>1498</v>
      </c>
      <c r="J273" s="348" t="str">
        <f t="shared" ca="1" si="14"/>
        <v>Formula-linked</v>
      </c>
    </row>
    <row r="274" spans="1:10">
      <c r="A274" s="366" t="s">
        <v>450</v>
      </c>
      <c r="B274" s="366">
        <v>2029</v>
      </c>
      <c r="C274" s="366" t="s">
        <v>544</v>
      </c>
      <c r="D274" s="366">
        <v>68</v>
      </c>
      <c r="E274" s="348">
        <f t="shared" ca="1" si="12"/>
        <v>117472.09346095967</v>
      </c>
      <c r="F274" s="348" t="str">
        <f t="shared" si="13"/>
        <v>BLD_EA</v>
      </c>
      <c r="G274" s="348" t="str">
        <f>IFERROR(INDEX(DATA_PROPERTY_MASTER!$E$5:$E$21,MATCH($A274,DATA_PROPERTY_MASTER!$A$5:$A$21,0)),"")</f>
        <v>Yes</v>
      </c>
      <c r="H274" s="348" t="str">
        <f ca="1">IFERROR(INDEX(DATA_PROPERTY_MASTER!$F$5:$F$21,MATCH($A274,DATA_PROPERTY_MASTER!$A$5:$A$21,0)),"")</f>
        <v>Refi Watch</v>
      </c>
      <c r="I274" t="s">
        <v>1501</v>
      </c>
      <c r="J274" s="348" t="str">
        <f t="shared" ca="1" si="14"/>
        <v>Formula-linked</v>
      </c>
    </row>
    <row r="275" spans="1:10">
      <c r="A275" s="366" t="s">
        <v>450</v>
      </c>
      <c r="B275" s="366">
        <v>2029</v>
      </c>
      <c r="C275" s="366" t="s">
        <v>378</v>
      </c>
      <c r="D275" s="366">
        <v>73</v>
      </c>
      <c r="E275" s="348">
        <f t="shared" ca="1" si="12"/>
        <v>9858670.5608733203</v>
      </c>
      <c r="F275" s="348" t="str">
        <f t="shared" si="13"/>
        <v>BLD_EA</v>
      </c>
      <c r="G275" s="348" t="str">
        <f>IFERROR(INDEX(DATA_PROPERTY_MASTER!$E$5:$E$21,MATCH($A275,DATA_PROPERTY_MASTER!$A$5:$A$21,0)),"")</f>
        <v>Yes</v>
      </c>
      <c r="H275" s="348" t="str">
        <f ca="1">IFERROR(INDEX(DATA_PROPERTY_MASTER!$F$5:$F$21,MATCH($A275,DATA_PROPERTY_MASTER!$A$5:$A$21,0)),"")</f>
        <v>Refi Watch</v>
      </c>
      <c r="I275" t="s">
        <v>1505</v>
      </c>
      <c r="J275" s="348" t="str">
        <f t="shared" ca="1" si="14"/>
        <v>Formula-linked</v>
      </c>
    </row>
    <row r="276" spans="1:10">
      <c r="A276" s="366" t="s">
        <v>450</v>
      </c>
      <c r="B276" s="366">
        <v>2029</v>
      </c>
      <c r="C276" s="366" t="s">
        <v>1506</v>
      </c>
      <c r="D276" s="366">
        <v>77</v>
      </c>
      <c r="E276" s="348">
        <f t="shared" ca="1" si="12"/>
        <v>4748943.8087946726</v>
      </c>
      <c r="F276" s="348" t="str">
        <f t="shared" si="13"/>
        <v>BLD_EA</v>
      </c>
      <c r="G276" s="348" t="str">
        <f>IFERROR(INDEX(DATA_PROPERTY_MASTER!$E$5:$E$21,MATCH($A276,DATA_PROPERTY_MASTER!$A$5:$A$21,0)),"")</f>
        <v>Yes</v>
      </c>
      <c r="H276" s="348" t="str">
        <f ca="1">IFERROR(INDEX(DATA_PROPERTY_MASTER!$F$5:$F$21,MATCH($A276,DATA_PROPERTY_MASTER!$A$5:$A$21,0)),"")</f>
        <v>Refi Watch</v>
      </c>
      <c r="I276" t="s">
        <v>1505</v>
      </c>
      <c r="J276" s="348" t="str">
        <f t="shared" ca="1" si="14"/>
        <v>Formula-linked</v>
      </c>
    </row>
    <row r="277" spans="1:10">
      <c r="A277" s="366" t="s">
        <v>450</v>
      </c>
      <c r="B277" s="366">
        <v>2035</v>
      </c>
      <c r="C277" s="366" t="s">
        <v>341</v>
      </c>
      <c r="D277" s="366">
        <v>24</v>
      </c>
      <c r="E277" s="348">
        <f t="shared" ca="1" si="12"/>
        <v>1210957.2167714394</v>
      </c>
      <c r="F277" s="348" t="str">
        <f t="shared" si="13"/>
        <v>BLD_EA</v>
      </c>
      <c r="G277" s="348" t="str">
        <f>IFERROR(INDEX(DATA_PROPERTY_MASTER!$E$5:$E$21,MATCH($A277,DATA_PROPERTY_MASTER!$A$5:$A$21,0)),"")</f>
        <v>Yes</v>
      </c>
      <c r="H277" s="348" t="str">
        <f ca="1">IFERROR(INDEX(DATA_PROPERTY_MASTER!$F$5:$F$21,MATCH($A277,DATA_PROPERTY_MASTER!$A$5:$A$21,0)),"")</f>
        <v>Refi Watch</v>
      </c>
      <c r="I277" t="s">
        <v>1495</v>
      </c>
      <c r="J277" s="348" t="str">
        <f t="shared" ca="1" si="14"/>
        <v>Formula-linked</v>
      </c>
    </row>
    <row r="278" spans="1:10">
      <c r="A278" s="366" t="s">
        <v>450</v>
      </c>
      <c r="B278" s="366">
        <v>2035</v>
      </c>
      <c r="C278" s="366" t="s">
        <v>355</v>
      </c>
      <c r="D278" s="366">
        <v>39</v>
      </c>
      <c r="E278" s="348">
        <f t="shared" ca="1" si="12"/>
        <v>603301.06381924625</v>
      </c>
      <c r="F278" s="348" t="str">
        <f t="shared" si="13"/>
        <v>BLD_EA</v>
      </c>
      <c r="G278" s="348" t="str">
        <f>IFERROR(INDEX(DATA_PROPERTY_MASTER!$E$5:$E$21,MATCH($A278,DATA_PROPERTY_MASTER!$A$5:$A$21,0)),"")</f>
        <v>Yes</v>
      </c>
      <c r="H278" s="348" t="str">
        <f ca="1">IFERROR(INDEX(DATA_PROPERTY_MASTER!$F$5:$F$21,MATCH($A278,DATA_PROPERTY_MASTER!$A$5:$A$21,0)),"")</f>
        <v>Refi Watch</v>
      </c>
      <c r="I278" t="s">
        <v>1496</v>
      </c>
      <c r="J278" s="348" t="str">
        <f t="shared" ca="1" si="14"/>
        <v>Formula-linked</v>
      </c>
    </row>
    <row r="279" spans="1:10">
      <c r="A279" s="366" t="s">
        <v>450</v>
      </c>
      <c r="B279" s="366">
        <v>2035</v>
      </c>
      <c r="C279" s="366" t="s">
        <v>1497</v>
      </c>
      <c r="D279" s="366">
        <v>41</v>
      </c>
      <c r="E279" s="348">
        <f t="shared" ca="1" si="12"/>
        <v>607656.15295219317</v>
      </c>
      <c r="F279" s="348" t="str">
        <f t="shared" si="13"/>
        <v>BLD_EA</v>
      </c>
      <c r="G279" s="348" t="str">
        <f>IFERROR(INDEX(DATA_PROPERTY_MASTER!$E$5:$E$21,MATCH($A279,DATA_PROPERTY_MASTER!$A$5:$A$21,0)),"")</f>
        <v>Yes</v>
      </c>
      <c r="H279" s="348" t="str">
        <f ca="1">IFERROR(INDEX(DATA_PROPERTY_MASTER!$F$5:$F$21,MATCH($A279,DATA_PROPERTY_MASTER!$A$5:$A$21,0)),"")</f>
        <v>Refi Watch</v>
      </c>
      <c r="I279" t="s">
        <v>1497</v>
      </c>
      <c r="J279" s="348" t="str">
        <f t="shared" ca="1" si="14"/>
        <v>Formula-linked</v>
      </c>
    </row>
    <row r="280" spans="1:10">
      <c r="A280" s="366" t="s">
        <v>450</v>
      </c>
      <c r="B280" s="366">
        <v>2035</v>
      </c>
      <c r="C280" s="366" t="s">
        <v>21</v>
      </c>
      <c r="D280" s="366">
        <v>45</v>
      </c>
      <c r="E280" s="348">
        <f t="shared" ca="1" si="12"/>
        <v>596502.3540092411</v>
      </c>
      <c r="F280" s="348" t="str">
        <f t="shared" si="13"/>
        <v>BLD_EA</v>
      </c>
      <c r="G280" s="348" t="str">
        <f>IFERROR(INDEX(DATA_PROPERTY_MASTER!$E$5:$E$21,MATCH($A280,DATA_PROPERTY_MASTER!$A$5:$A$21,0)),"")</f>
        <v>Yes</v>
      </c>
      <c r="H280" s="348" t="str">
        <f ca="1">IFERROR(INDEX(DATA_PROPERTY_MASTER!$F$5:$F$21,MATCH($A280,DATA_PROPERTY_MASTER!$A$5:$A$21,0)),"")</f>
        <v>Refi Watch</v>
      </c>
      <c r="I280" t="s">
        <v>1497</v>
      </c>
      <c r="J280" s="348" t="str">
        <f t="shared" ca="1" si="14"/>
        <v>Formula-linked</v>
      </c>
    </row>
    <row r="281" spans="1:10">
      <c r="A281" s="366" t="s">
        <v>450</v>
      </c>
      <c r="B281" s="366">
        <v>2035</v>
      </c>
      <c r="C281" s="366" t="s">
        <v>23</v>
      </c>
      <c r="D281" s="366">
        <v>48</v>
      </c>
      <c r="E281" s="348">
        <f t="shared" ca="1" si="12"/>
        <v>397585.07606343459</v>
      </c>
      <c r="F281" s="348" t="str">
        <f t="shared" si="13"/>
        <v>BLD_EA</v>
      </c>
      <c r="G281" s="348" t="str">
        <f>IFERROR(INDEX(DATA_PROPERTY_MASTER!$E$5:$E$21,MATCH($A281,DATA_PROPERTY_MASTER!$A$5:$A$21,0)),"")</f>
        <v>Yes</v>
      </c>
      <c r="H281" s="348" t="str">
        <f ca="1">IFERROR(INDEX(DATA_PROPERTY_MASTER!$F$5:$F$21,MATCH($A281,DATA_PROPERTY_MASTER!$A$5:$A$21,0)),"")</f>
        <v>Refi Watch</v>
      </c>
      <c r="I281" t="s">
        <v>1498</v>
      </c>
      <c r="J281" s="348" t="str">
        <f t="shared" ca="1" si="14"/>
        <v>Formula-linked</v>
      </c>
    </row>
    <row r="282" spans="1:10">
      <c r="A282" s="366" t="s">
        <v>450</v>
      </c>
      <c r="B282" s="366">
        <v>2035</v>
      </c>
      <c r="C282" s="366" t="s">
        <v>213</v>
      </c>
      <c r="D282" s="366">
        <v>50</v>
      </c>
      <c r="E282" s="348">
        <f t="shared" ca="1" si="12"/>
        <v>1.5283676112008837</v>
      </c>
      <c r="F282" s="348" t="str">
        <f t="shared" si="13"/>
        <v>BLD_EA</v>
      </c>
      <c r="G282" s="348" t="str">
        <f>IFERROR(INDEX(DATA_PROPERTY_MASTER!$E$5:$E$21,MATCH($A282,DATA_PROPERTY_MASTER!$A$5:$A$21,0)),"")</f>
        <v>Yes</v>
      </c>
      <c r="H282" s="348" t="str">
        <f ca="1">IFERROR(INDEX(DATA_PROPERTY_MASTER!$F$5:$F$21,MATCH($A282,DATA_PROPERTY_MASTER!$A$5:$A$21,0)),"")</f>
        <v>Refi Watch</v>
      </c>
      <c r="I282" t="s">
        <v>1499</v>
      </c>
      <c r="J282" s="348" t="str">
        <f t="shared" ca="1" si="14"/>
        <v>Formula-linked</v>
      </c>
    </row>
    <row r="283" spans="1:10">
      <c r="A283" s="366" t="s">
        <v>450</v>
      </c>
      <c r="B283" s="366">
        <v>2035</v>
      </c>
      <c r="C283" s="366" t="s">
        <v>1500</v>
      </c>
      <c r="D283" s="366">
        <v>52</v>
      </c>
      <c r="E283" s="348">
        <f t="shared" ca="1" si="12"/>
        <v>210071.07688875857</v>
      </c>
      <c r="F283" s="348" t="str">
        <f t="shared" si="13"/>
        <v>BLD_EA</v>
      </c>
      <c r="G283" s="348" t="str">
        <f>IFERROR(INDEX(DATA_PROPERTY_MASTER!$E$5:$E$21,MATCH($A283,DATA_PROPERTY_MASTER!$A$5:$A$21,0)),"")</f>
        <v>Yes</v>
      </c>
      <c r="H283" s="348" t="str">
        <f ca="1">IFERROR(INDEX(DATA_PROPERTY_MASTER!$F$5:$F$21,MATCH($A283,DATA_PROPERTY_MASTER!$A$5:$A$21,0)),"")</f>
        <v>Refi Watch</v>
      </c>
      <c r="I283" t="s">
        <v>1501</v>
      </c>
      <c r="J283" s="348" t="str">
        <f t="shared" ca="1" si="14"/>
        <v>Formula-linked</v>
      </c>
    </row>
    <row r="284" spans="1:10">
      <c r="A284" s="366" t="s">
        <v>450</v>
      </c>
      <c r="B284" s="366">
        <v>2035</v>
      </c>
      <c r="C284" s="366" t="s">
        <v>27</v>
      </c>
      <c r="D284" s="366">
        <v>54</v>
      </c>
      <c r="E284" s="348">
        <f t="shared" ca="1" si="12"/>
        <v>126042.64613325514</v>
      </c>
      <c r="F284" s="348" t="str">
        <f t="shared" si="13"/>
        <v>BLD_EA</v>
      </c>
      <c r="G284" s="348" t="str">
        <f>IFERROR(INDEX(DATA_PROPERTY_MASTER!$E$5:$E$21,MATCH($A284,DATA_PROPERTY_MASTER!$A$5:$A$21,0)),"")</f>
        <v>Yes</v>
      </c>
      <c r="H284" s="348" t="str">
        <f ca="1">IFERROR(INDEX(DATA_PROPERTY_MASTER!$F$5:$F$21,MATCH($A284,DATA_PROPERTY_MASTER!$A$5:$A$21,0)),"")</f>
        <v>Refi Watch</v>
      </c>
      <c r="I284" t="s">
        <v>1501</v>
      </c>
      <c r="J284" s="348" t="str">
        <f t="shared" ca="1" si="14"/>
        <v>Formula-linked</v>
      </c>
    </row>
    <row r="285" spans="1:10">
      <c r="A285" s="366" t="s">
        <v>450</v>
      </c>
      <c r="B285" s="366">
        <v>2035</v>
      </c>
      <c r="C285" s="366" t="s">
        <v>1502</v>
      </c>
      <c r="D285" s="366">
        <v>56</v>
      </c>
      <c r="E285" s="348">
        <f t="shared" ca="1" si="12"/>
        <v>84028.430755503432</v>
      </c>
      <c r="F285" s="348" t="str">
        <f t="shared" si="13"/>
        <v>BLD_EA</v>
      </c>
      <c r="G285" s="348" t="str">
        <f>IFERROR(INDEX(DATA_PROPERTY_MASTER!$E$5:$E$21,MATCH($A285,DATA_PROPERTY_MASTER!$A$5:$A$21,0)),"")</f>
        <v>Yes</v>
      </c>
      <c r="H285" s="348" t="str">
        <f ca="1">IFERROR(INDEX(DATA_PROPERTY_MASTER!$F$5:$F$21,MATCH($A285,DATA_PROPERTY_MASTER!$A$5:$A$21,0)),"")</f>
        <v>Refi Watch</v>
      </c>
      <c r="I285" t="s">
        <v>1501</v>
      </c>
      <c r="J285" s="348" t="str">
        <f t="shared" ca="1" si="14"/>
        <v>Formula-linked</v>
      </c>
    </row>
    <row r="286" spans="1:10">
      <c r="A286" s="366" t="s">
        <v>450</v>
      </c>
      <c r="B286" s="366">
        <v>2035</v>
      </c>
      <c r="C286" s="366" t="s">
        <v>367</v>
      </c>
      <c r="D286" s="366">
        <v>61</v>
      </c>
      <c r="E286" s="348">
        <f t="shared" ca="1" si="12"/>
        <v>0</v>
      </c>
      <c r="F286" s="348" t="str">
        <f t="shared" si="13"/>
        <v>BLD_EA</v>
      </c>
      <c r="G286" s="348" t="str">
        <f>IFERROR(INDEX(DATA_PROPERTY_MASTER!$E$5:$E$21,MATCH($A286,DATA_PROPERTY_MASTER!$A$5:$A$21,0)),"")</f>
        <v>Yes</v>
      </c>
      <c r="H286" s="348" t="str">
        <f ca="1">IFERROR(INDEX(DATA_PROPERTY_MASTER!$F$5:$F$21,MATCH($A286,DATA_PROPERTY_MASTER!$A$5:$A$21,0)),"")</f>
        <v>Refi Watch</v>
      </c>
      <c r="I286" t="s">
        <v>1503</v>
      </c>
      <c r="J286" s="348" t="str">
        <f t="shared" ca="1" si="14"/>
        <v>Formula-linked</v>
      </c>
    </row>
    <row r="287" spans="1:10">
      <c r="A287" s="366" t="s">
        <v>450</v>
      </c>
      <c r="B287" s="366">
        <v>2035</v>
      </c>
      <c r="C287" s="366" t="s">
        <v>368</v>
      </c>
      <c r="D287" s="366">
        <v>62</v>
      </c>
      <c r="E287" s="348">
        <f t="shared" ca="1" si="12"/>
        <v>0</v>
      </c>
      <c r="F287" s="348" t="str">
        <f t="shared" si="13"/>
        <v>BLD_EA</v>
      </c>
      <c r="G287" s="348" t="str">
        <f>IFERROR(INDEX(DATA_PROPERTY_MASTER!$E$5:$E$21,MATCH($A287,DATA_PROPERTY_MASTER!$A$5:$A$21,0)),"")</f>
        <v>Yes</v>
      </c>
      <c r="H287" s="348" t="str">
        <f ca="1">IFERROR(INDEX(DATA_PROPERTY_MASTER!$F$5:$F$21,MATCH($A287,DATA_PROPERTY_MASTER!$A$5:$A$21,0)),"")</f>
        <v>Refi Watch</v>
      </c>
      <c r="I287" t="s">
        <v>1503</v>
      </c>
      <c r="J287" s="348" t="str">
        <f t="shared" ca="1" si="14"/>
        <v>Formula-linked</v>
      </c>
    </row>
    <row r="288" spans="1:10">
      <c r="A288" s="366" t="s">
        <v>450</v>
      </c>
      <c r="B288" s="366">
        <v>2035</v>
      </c>
      <c r="C288" s="366" t="s">
        <v>1504</v>
      </c>
      <c r="D288" s="366">
        <v>63</v>
      </c>
      <c r="E288" s="348">
        <f t="shared" ca="1" si="12"/>
        <v>0</v>
      </c>
      <c r="F288" s="348" t="str">
        <f t="shared" si="13"/>
        <v>BLD_EA</v>
      </c>
      <c r="G288" s="348" t="str">
        <f>IFERROR(INDEX(DATA_PROPERTY_MASTER!$E$5:$E$21,MATCH($A288,DATA_PROPERTY_MASTER!$A$5:$A$21,0)),"")</f>
        <v>Yes</v>
      </c>
      <c r="H288" s="348" t="str">
        <f ca="1">IFERROR(INDEX(DATA_PROPERTY_MASTER!$F$5:$F$21,MATCH($A288,DATA_PROPERTY_MASTER!$A$5:$A$21,0)),"")</f>
        <v>Refi Watch</v>
      </c>
      <c r="I288" t="s">
        <v>1503</v>
      </c>
      <c r="J288" s="348" t="str">
        <f t="shared" ca="1" si="14"/>
        <v>Formula-linked</v>
      </c>
    </row>
    <row r="289" spans="1:10">
      <c r="A289" s="366" t="s">
        <v>450</v>
      </c>
      <c r="B289" s="366">
        <v>2035</v>
      </c>
      <c r="C289" s="366" t="s">
        <v>370</v>
      </c>
      <c r="D289" s="366">
        <v>64</v>
      </c>
      <c r="E289" s="348">
        <f t="shared" ca="1" si="12"/>
        <v>7384560.1245450983</v>
      </c>
      <c r="F289" s="348" t="str">
        <f t="shared" si="13"/>
        <v>BLD_EA</v>
      </c>
      <c r="G289" s="348" t="str">
        <f>IFERROR(INDEX(DATA_PROPERTY_MASTER!$E$5:$E$21,MATCH($A289,DATA_PROPERTY_MASTER!$A$5:$A$21,0)),"")</f>
        <v>Yes</v>
      </c>
      <c r="H289" s="348" t="str">
        <f ca="1">IFERROR(INDEX(DATA_PROPERTY_MASTER!$F$5:$F$21,MATCH($A289,DATA_PROPERTY_MASTER!$A$5:$A$21,0)),"")</f>
        <v>Refi Watch</v>
      </c>
      <c r="I289" t="s">
        <v>1498</v>
      </c>
      <c r="J289" s="348" t="str">
        <f t="shared" ca="1" si="14"/>
        <v>Formula-linked</v>
      </c>
    </row>
    <row r="290" spans="1:10">
      <c r="A290" s="366" t="s">
        <v>450</v>
      </c>
      <c r="B290" s="366">
        <v>2035</v>
      </c>
      <c r="C290" s="366" t="s">
        <v>544</v>
      </c>
      <c r="D290" s="366">
        <v>68</v>
      </c>
      <c r="E290" s="348">
        <f t="shared" ca="1" si="12"/>
        <v>84028.430755503432</v>
      </c>
      <c r="F290" s="348" t="str">
        <f t="shared" si="13"/>
        <v>BLD_EA</v>
      </c>
      <c r="G290" s="348" t="str">
        <f>IFERROR(INDEX(DATA_PROPERTY_MASTER!$E$5:$E$21,MATCH($A290,DATA_PROPERTY_MASTER!$A$5:$A$21,0)),"")</f>
        <v>Yes</v>
      </c>
      <c r="H290" s="348" t="str">
        <f ca="1">IFERROR(INDEX(DATA_PROPERTY_MASTER!$F$5:$F$21,MATCH($A290,DATA_PROPERTY_MASTER!$A$5:$A$21,0)),"")</f>
        <v>Refi Watch</v>
      </c>
      <c r="I290" t="s">
        <v>1501</v>
      </c>
      <c r="J290" s="348" t="str">
        <f t="shared" ca="1" si="14"/>
        <v>Formula-linked</v>
      </c>
    </row>
    <row r="291" spans="1:10">
      <c r="A291" s="366" t="s">
        <v>450</v>
      </c>
      <c r="B291" s="366">
        <v>2035</v>
      </c>
      <c r="C291" s="366" t="s">
        <v>378</v>
      </c>
      <c r="D291" s="366">
        <v>73</v>
      </c>
      <c r="E291" s="348">
        <f t="shared" ca="1" si="12"/>
        <v>10127602.549203219</v>
      </c>
      <c r="F291" s="348" t="str">
        <f t="shared" si="13"/>
        <v>BLD_EA</v>
      </c>
      <c r="G291" s="348" t="str">
        <f>IFERROR(INDEX(DATA_PROPERTY_MASTER!$E$5:$E$21,MATCH($A291,DATA_PROPERTY_MASTER!$A$5:$A$21,0)),"")</f>
        <v>Yes</v>
      </c>
      <c r="H291" s="348" t="str">
        <f ca="1">IFERROR(INDEX(DATA_PROPERTY_MASTER!$F$5:$F$21,MATCH($A291,DATA_PROPERTY_MASTER!$A$5:$A$21,0)),"")</f>
        <v>Refi Watch</v>
      </c>
      <c r="I291" t="s">
        <v>1505</v>
      </c>
      <c r="J291" s="348" t="str">
        <f t="shared" ca="1" si="14"/>
        <v>Formula-linked</v>
      </c>
    </row>
    <row r="292" spans="1:10">
      <c r="A292" s="366" t="s">
        <v>450</v>
      </c>
      <c r="B292" s="366">
        <v>2035</v>
      </c>
      <c r="C292" s="366" t="s">
        <v>1506</v>
      </c>
      <c r="D292" s="366">
        <v>77</v>
      </c>
      <c r="E292" s="348">
        <f t="shared" ca="1" si="12"/>
        <v>2743042.4246581206</v>
      </c>
      <c r="F292" s="348" t="str">
        <f t="shared" si="13"/>
        <v>BLD_EA</v>
      </c>
      <c r="G292" s="348" t="str">
        <f>IFERROR(INDEX(DATA_PROPERTY_MASTER!$E$5:$E$21,MATCH($A292,DATA_PROPERTY_MASTER!$A$5:$A$21,0)),"")</f>
        <v>Yes</v>
      </c>
      <c r="H292" s="348" t="str">
        <f ca="1">IFERROR(INDEX(DATA_PROPERTY_MASTER!$F$5:$F$21,MATCH($A292,DATA_PROPERTY_MASTER!$A$5:$A$21,0)),"")</f>
        <v>Refi Watch</v>
      </c>
      <c r="I292" t="s">
        <v>1505</v>
      </c>
      <c r="J292" s="348" t="str">
        <f t="shared" ca="1" si="14"/>
        <v>Formula-linked</v>
      </c>
    </row>
    <row r="293" spans="1:10">
      <c r="A293" s="366" t="s">
        <v>453</v>
      </c>
      <c r="B293" s="366">
        <v>2025</v>
      </c>
      <c r="C293" s="366" t="s">
        <v>341</v>
      </c>
      <c r="D293" s="366">
        <v>24</v>
      </c>
      <c r="E293" s="348">
        <f t="shared" ca="1" si="12"/>
        <v>424516.00800000003</v>
      </c>
      <c r="F293" s="348" t="str">
        <f t="shared" si="13"/>
        <v>BLD_EE</v>
      </c>
      <c r="G293" s="348" t="str">
        <f>IFERROR(INDEX(DATA_PROPERTY_MASTER!$E$5:$E$21,MATCH($A293,DATA_PROPERTY_MASTER!$A$5:$A$21,0)),"")</f>
        <v>Yes</v>
      </c>
      <c r="H293" s="348" t="str">
        <f ca="1">IFERROR(INDEX(DATA_PROPERTY_MASTER!$F$5:$F$21,MATCH($A293,DATA_PROPERTY_MASTER!$A$5:$A$21,0)),"")</f>
        <v>Refi Watch</v>
      </c>
      <c r="I293" t="s">
        <v>1495</v>
      </c>
      <c r="J293" s="348" t="str">
        <f t="shared" ca="1" si="14"/>
        <v>Formula-linked</v>
      </c>
    </row>
    <row r="294" spans="1:10">
      <c r="A294" s="366" t="s">
        <v>453</v>
      </c>
      <c r="B294" s="366">
        <v>2025</v>
      </c>
      <c r="C294" s="366" t="s">
        <v>355</v>
      </c>
      <c r="D294" s="366">
        <v>39</v>
      </c>
      <c r="E294" s="348">
        <f t="shared" ca="1" si="12"/>
        <v>216979</v>
      </c>
      <c r="F294" s="348" t="str">
        <f t="shared" si="13"/>
        <v>BLD_EE</v>
      </c>
      <c r="G294" s="348" t="str">
        <f>IFERROR(INDEX(DATA_PROPERTY_MASTER!$E$5:$E$21,MATCH($A294,DATA_PROPERTY_MASTER!$A$5:$A$21,0)),"")</f>
        <v>Yes</v>
      </c>
      <c r="H294" s="348" t="str">
        <f ca="1">IFERROR(INDEX(DATA_PROPERTY_MASTER!$F$5:$F$21,MATCH($A294,DATA_PROPERTY_MASTER!$A$5:$A$21,0)),"")</f>
        <v>Refi Watch</v>
      </c>
      <c r="I294" t="s">
        <v>1496</v>
      </c>
      <c r="J294" s="348" t="str">
        <f t="shared" ca="1" si="14"/>
        <v>Formula-linked</v>
      </c>
    </row>
    <row r="295" spans="1:10">
      <c r="A295" s="366" t="s">
        <v>453</v>
      </c>
      <c r="B295" s="366">
        <v>2025</v>
      </c>
      <c r="C295" s="366" t="s">
        <v>1497</v>
      </c>
      <c r="D295" s="366">
        <v>41</v>
      </c>
      <c r="E295" s="348">
        <f t="shared" ca="1" si="12"/>
        <v>207537.00800000003</v>
      </c>
      <c r="F295" s="348" t="str">
        <f t="shared" si="13"/>
        <v>BLD_EE</v>
      </c>
      <c r="G295" s="348" t="str">
        <f>IFERROR(INDEX(DATA_PROPERTY_MASTER!$E$5:$E$21,MATCH($A295,DATA_PROPERTY_MASTER!$A$5:$A$21,0)),"")</f>
        <v>Yes</v>
      </c>
      <c r="H295" s="348" t="str">
        <f ca="1">IFERROR(INDEX(DATA_PROPERTY_MASTER!$F$5:$F$21,MATCH($A295,DATA_PROPERTY_MASTER!$A$5:$A$21,0)),"")</f>
        <v>Refi Watch</v>
      </c>
      <c r="I295" t="s">
        <v>1497</v>
      </c>
      <c r="J295" s="348" t="str">
        <f t="shared" ca="1" si="14"/>
        <v>Formula-linked</v>
      </c>
    </row>
    <row r="296" spans="1:10">
      <c r="A296" s="366" t="s">
        <v>453</v>
      </c>
      <c r="B296" s="366">
        <v>2025</v>
      </c>
      <c r="C296" s="366" t="s">
        <v>21</v>
      </c>
      <c r="D296" s="366">
        <v>45</v>
      </c>
      <c r="E296" s="348">
        <f t="shared" ca="1" si="12"/>
        <v>202137.00800000003</v>
      </c>
      <c r="F296" s="348" t="str">
        <f t="shared" si="13"/>
        <v>BLD_EE</v>
      </c>
      <c r="G296" s="348" t="str">
        <f>IFERROR(INDEX(DATA_PROPERTY_MASTER!$E$5:$E$21,MATCH($A296,DATA_PROPERTY_MASTER!$A$5:$A$21,0)),"")</f>
        <v>Yes</v>
      </c>
      <c r="H296" s="348" t="str">
        <f ca="1">IFERROR(INDEX(DATA_PROPERTY_MASTER!$F$5:$F$21,MATCH($A296,DATA_PROPERTY_MASTER!$A$5:$A$21,0)),"")</f>
        <v>Refi Watch</v>
      </c>
      <c r="I296" t="s">
        <v>1497</v>
      </c>
      <c r="J296" s="348" t="str">
        <f t="shared" ca="1" si="14"/>
        <v>Formula-linked</v>
      </c>
    </row>
    <row r="297" spans="1:10">
      <c r="A297" s="366" t="s">
        <v>453</v>
      </c>
      <c r="B297" s="366">
        <v>2025</v>
      </c>
      <c r="C297" s="366" t="s">
        <v>23</v>
      </c>
      <c r="D297" s="366">
        <v>48</v>
      </c>
      <c r="E297" s="348">
        <f t="shared" ca="1" si="12"/>
        <v>244376.04</v>
      </c>
      <c r="F297" s="348" t="str">
        <f t="shared" si="13"/>
        <v>BLD_EE</v>
      </c>
      <c r="G297" s="348" t="str">
        <f>IFERROR(INDEX(DATA_PROPERTY_MASTER!$E$5:$E$21,MATCH($A297,DATA_PROPERTY_MASTER!$A$5:$A$21,0)),"")</f>
        <v>Yes</v>
      </c>
      <c r="H297" s="348" t="str">
        <f ca="1">IFERROR(INDEX(DATA_PROPERTY_MASTER!$F$5:$F$21,MATCH($A297,DATA_PROPERTY_MASTER!$A$5:$A$21,0)),"")</f>
        <v>Refi Watch</v>
      </c>
      <c r="I297" t="s">
        <v>1498</v>
      </c>
      <c r="J297" s="348" t="str">
        <f t="shared" ca="1" si="14"/>
        <v>Formula-linked</v>
      </c>
    </row>
    <row r="298" spans="1:10">
      <c r="A298" s="366" t="s">
        <v>453</v>
      </c>
      <c r="B298" s="366">
        <v>2025</v>
      </c>
      <c r="C298" s="366" t="s">
        <v>213</v>
      </c>
      <c r="D298" s="366">
        <v>50</v>
      </c>
      <c r="E298" s="348">
        <f t="shared" ca="1" si="12"/>
        <v>0.84925268451031466</v>
      </c>
      <c r="F298" s="348" t="str">
        <f t="shared" si="13"/>
        <v>BLD_EE</v>
      </c>
      <c r="G298" s="348" t="str">
        <f>IFERROR(INDEX(DATA_PROPERTY_MASTER!$E$5:$E$21,MATCH($A298,DATA_PROPERTY_MASTER!$A$5:$A$21,0)),"")</f>
        <v>Yes</v>
      </c>
      <c r="H298" s="348" t="str">
        <f ca="1">IFERROR(INDEX(DATA_PROPERTY_MASTER!$F$5:$F$21,MATCH($A298,DATA_PROPERTY_MASTER!$A$5:$A$21,0)),"")</f>
        <v>Refi Watch</v>
      </c>
      <c r="I298" t="s">
        <v>1499</v>
      </c>
      <c r="J298" s="348" t="str">
        <f t="shared" ca="1" si="14"/>
        <v>Formula-linked</v>
      </c>
    </row>
    <row r="299" spans="1:10">
      <c r="A299" s="366" t="s">
        <v>453</v>
      </c>
      <c r="B299" s="366">
        <v>2025</v>
      </c>
      <c r="C299" s="366" t="s">
        <v>1500</v>
      </c>
      <c r="D299" s="366">
        <v>52</v>
      </c>
      <c r="E299" s="348">
        <f t="shared" ca="1" si="12"/>
        <v>-36839.031999999977</v>
      </c>
      <c r="F299" s="348" t="str">
        <f t="shared" si="13"/>
        <v>BLD_EE</v>
      </c>
      <c r="G299" s="348" t="str">
        <f>IFERROR(INDEX(DATA_PROPERTY_MASTER!$E$5:$E$21,MATCH($A299,DATA_PROPERTY_MASTER!$A$5:$A$21,0)),"")</f>
        <v>Yes</v>
      </c>
      <c r="H299" s="348" t="str">
        <f ca="1">IFERROR(INDEX(DATA_PROPERTY_MASTER!$F$5:$F$21,MATCH($A299,DATA_PROPERTY_MASTER!$A$5:$A$21,0)),"")</f>
        <v>Refi Watch</v>
      </c>
      <c r="I299" t="s">
        <v>1501</v>
      </c>
      <c r="J299" s="348" t="str">
        <f t="shared" ca="1" si="14"/>
        <v>Formula-linked</v>
      </c>
    </row>
    <row r="300" spans="1:10">
      <c r="A300" s="366" t="s">
        <v>453</v>
      </c>
      <c r="B300" s="366">
        <v>2025</v>
      </c>
      <c r="C300" s="366" t="s">
        <v>27</v>
      </c>
      <c r="D300" s="366">
        <v>54</v>
      </c>
      <c r="E300" s="348">
        <f t="shared" ca="1" si="12"/>
        <v>0</v>
      </c>
      <c r="F300" s="348" t="str">
        <f t="shared" si="13"/>
        <v>BLD_EE</v>
      </c>
      <c r="G300" s="348" t="str">
        <f>IFERROR(INDEX(DATA_PROPERTY_MASTER!$E$5:$E$21,MATCH($A300,DATA_PROPERTY_MASTER!$A$5:$A$21,0)),"")</f>
        <v>Yes</v>
      </c>
      <c r="H300" s="348" t="str">
        <f ca="1">IFERROR(INDEX(DATA_PROPERTY_MASTER!$F$5:$F$21,MATCH($A300,DATA_PROPERTY_MASTER!$A$5:$A$21,0)),"")</f>
        <v>Refi Watch</v>
      </c>
      <c r="I300" t="s">
        <v>1501</v>
      </c>
      <c r="J300" s="348" t="str">
        <f t="shared" ca="1" si="14"/>
        <v>Formula-linked</v>
      </c>
    </row>
    <row r="301" spans="1:10">
      <c r="A301" s="366" t="s">
        <v>453</v>
      </c>
      <c r="B301" s="366">
        <v>2025</v>
      </c>
      <c r="C301" s="366" t="s">
        <v>1502</v>
      </c>
      <c r="D301" s="366">
        <v>56</v>
      </c>
      <c r="E301" s="348">
        <f t="shared" ca="1" si="12"/>
        <v>-36839.031999999977</v>
      </c>
      <c r="F301" s="348" t="str">
        <f t="shared" si="13"/>
        <v>BLD_EE</v>
      </c>
      <c r="G301" s="348" t="str">
        <f>IFERROR(INDEX(DATA_PROPERTY_MASTER!$E$5:$E$21,MATCH($A301,DATA_PROPERTY_MASTER!$A$5:$A$21,0)),"")</f>
        <v>Yes</v>
      </c>
      <c r="H301" s="348" t="str">
        <f ca="1">IFERROR(INDEX(DATA_PROPERTY_MASTER!$F$5:$F$21,MATCH($A301,DATA_PROPERTY_MASTER!$A$5:$A$21,0)),"")</f>
        <v>Refi Watch</v>
      </c>
      <c r="I301" t="s">
        <v>1501</v>
      </c>
      <c r="J301" s="348" t="str">
        <f t="shared" ca="1" si="14"/>
        <v>Formula-linked</v>
      </c>
    </row>
    <row r="302" spans="1:10">
      <c r="A302" s="366" t="s">
        <v>453</v>
      </c>
      <c r="B302" s="366">
        <v>2025</v>
      </c>
      <c r="C302" s="366" t="s">
        <v>367</v>
      </c>
      <c r="D302" s="366">
        <v>61</v>
      </c>
      <c r="E302" s="348">
        <f t="shared" ca="1" si="12"/>
        <v>0</v>
      </c>
      <c r="F302" s="348" t="str">
        <f t="shared" si="13"/>
        <v>BLD_EE</v>
      </c>
      <c r="G302" s="348" t="str">
        <f>IFERROR(INDEX(DATA_PROPERTY_MASTER!$E$5:$E$21,MATCH($A302,DATA_PROPERTY_MASTER!$A$5:$A$21,0)),"")</f>
        <v>Yes</v>
      </c>
      <c r="H302" s="348" t="str">
        <f ca="1">IFERROR(INDEX(DATA_PROPERTY_MASTER!$F$5:$F$21,MATCH($A302,DATA_PROPERTY_MASTER!$A$5:$A$21,0)),"")</f>
        <v>Refi Watch</v>
      </c>
      <c r="I302" t="s">
        <v>1503</v>
      </c>
      <c r="J302" s="348" t="str">
        <f t="shared" ca="1" si="14"/>
        <v>Formula-linked</v>
      </c>
    </row>
    <row r="303" spans="1:10">
      <c r="A303" s="366" t="s">
        <v>453</v>
      </c>
      <c r="B303" s="366">
        <v>2025</v>
      </c>
      <c r="C303" s="366" t="s">
        <v>368</v>
      </c>
      <c r="D303" s="366">
        <v>62</v>
      </c>
      <c r="E303" s="348">
        <f t="shared" ca="1" si="12"/>
        <v>0</v>
      </c>
      <c r="F303" s="348" t="str">
        <f t="shared" si="13"/>
        <v>BLD_EE</v>
      </c>
      <c r="G303" s="348" t="str">
        <f>IFERROR(INDEX(DATA_PROPERTY_MASTER!$E$5:$E$21,MATCH($A303,DATA_PROPERTY_MASTER!$A$5:$A$21,0)),"")</f>
        <v>Yes</v>
      </c>
      <c r="H303" s="348" t="str">
        <f ca="1">IFERROR(INDEX(DATA_PROPERTY_MASTER!$F$5:$F$21,MATCH($A303,DATA_PROPERTY_MASTER!$A$5:$A$21,0)),"")</f>
        <v>Refi Watch</v>
      </c>
      <c r="I303" t="s">
        <v>1503</v>
      </c>
      <c r="J303" s="348" t="str">
        <f t="shared" ca="1" si="14"/>
        <v>Formula-linked</v>
      </c>
    </row>
    <row r="304" spans="1:10">
      <c r="A304" s="366" t="s">
        <v>453</v>
      </c>
      <c r="B304" s="366">
        <v>2025</v>
      </c>
      <c r="C304" s="366" t="s">
        <v>1504</v>
      </c>
      <c r="D304" s="366">
        <v>63</v>
      </c>
      <c r="E304" s="348">
        <f t="shared" ca="1" si="12"/>
        <v>0</v>
      </c>
      <c r="F304" s="348" t="str">
        <f t="shared" si="13"/>
        <v>BLD_EE</v>
      </c>
      <c r="G304" s="348" t="str">
        <f>IFERROR(INDEX(DATA_PROPERTY_MASTER!$E$5:$E$21,MATCH($A304,DATA_PROPERTY_MASTER!$A$5:$A$21,0)),"")</f>
        <v>Yes</v>
      </c>
      <c r="H304" s="348" t="str">
        <f ca="1">IFERROR(INDEX(DATA_PROPERTY_MASTER!$F$5:$F$21,MATCH($A304,DATA_PROPERTY_MASTER!$A$5:$A$21,0)),"")</f>
        <v>Refi Watch</v>
      </c>
      <c r="I304" t="s">
        <v>1503</v>
      </c>
      <c r="J304" s="348" t="str">
        <f t="shared" ca="1" si="14"/>
        <v>Formula-linked</v>
      </c>
    </row>
    <row r="305" spans="1:10">
      <c r="A305" s="366" t="s">
        <v>453</v>
      </c>
      <c r="B305" s="366">
        <v>2025</v>
      </c>
      <c r="C305" s="366" t="s">
        <v>370</v>
      </c>
      <c r="D305" s="366">
        <v>64</v>
      </c>
      <c r="E305" s="348">
        <f t="shared" ca="1" si="12"/>
        <v>419507.76840599993</v>
      </c>
      <c r="F305" s="348" t="str">
        <f t="shared" si="13"/>
        <v>BLD_EE</v>
      </c>
      <c r="G305" s="348" t="str">
        <f>IFERROR(INDEX(DATA_PROPERTY_MASTER!$E$5:$E$21,MATCH($A305,DATA_PROPERTY_MASTER!$A$5:$A$21,0)),"")</f>
        <v>Yes</v>
      </c>
      <c r="H305" s="348" t="str">
        <f ca="1">IFERROR(INDEX(DATA_PROPERTY_MASTER!$F$5:$F$21,MATCH($A305,DATA_PROPERTY_MASTER!$A$5:$A$21,0)),"")</f>
        <v>Refi Watch</v>
      </c>
      <c r="I305" t="s">
        <v>1498</v>
      </c>
      <c r="J305" s="348" t="str">
        <f t="shared" ca="1" si="14"/>
        <v>Formula-linked</v>
      </c>
    </row>
    <row r="306" spans="1:10">
      <c r="A306" s="366" t="s">
        <v>453</v>
      </c>
      <c r="B306" s="366">
        <v>2025</v>
      </c>
      <c r="C306" s="366" t="s">
        <v>544</v>
      </c>
      <c r="D306" s="366">
        <v>68</v>
      </c>
      <c r="E306" s="348">
        <f t="shared" ca="1" si="12"/>
        <v>-36839.031999999977</v>
      </c>
      <c r="F306" s="348" t="str">
        <f t="shared" si="13"/>
        <v>BLD_EE</v>
      </c>
      <c r="G306" s="348" t="str">
        <f>IFERROR(INDEX(DATA_PROPERTY_MASTER!$E$5:$E$21,MATCH($A306,DATA_PROPERTY_MASTER!$A$5:$A$21,0)),"")</f>
        <v>Yes</v>
      </c>
      <c r="H306" s="348" t="str">
        <f ca="1">IFERROR(INDEX(DATA_PROPERTY_MASTER!$F$5:$F$21,MATCH($A306,DATA_PROPERTY_MASTER!$A$5:$A$21,0)),"")</f>
        <v>Refi Watch</v>
      </c>
      <c r="I306" t="s">
        <v>1501</v>
      </c>
      <c r="J306" s="348" t="str">
        <f t="shared" ca="1" si="14"/>
        <v>Formula-linked</v>
      </c>
    </row>
    <row r="307" spans="1:10">
      <c r="A307" s="366" t="s">
        <v>453</v>
      </c>
      <c r="B307" s="366">
        <v>2025</v>
      </c>
      <c r="C307" s="366" t="s">
        <v>378</v>
      </c>
      <c r="D307" s="366">
        <v>73</v>
      </c>
      <c r="E307" s="348">
        <f t="shared" ca="1" si="12"/>
        <v>3458950.1333333338</v>
      </c>
      <c r="F307" s="348" t="str">
        <f t="shared" si="13"/>
        <v>BLD_EE</v>
      </c>
      <c r="G307" s="348" t="str">
        <f>IFERROR(INDEX(DATA_PROPERTY_MASTER!$E$5:$E$21,MATCH($A307,DATA_PROPERTY_MASTER!$A$5:$A$21,0)),"")</f>
        <v>Yes</v>
      </c>
      <c r="H307" s="348" t="str">
        <f ca="1">IFERROR(INDEX(DATA_PROPERTY_MASTER!$F$5:$F$21,MATCH($A307,DATA_PROPERTY_MASTER!$A$5:$A$21,0)),"")</f>
        <v>Refi Watch</v>
      </c>
      <c r="I307" t="s">
        <v>1505</v>
      </c>
      <c r="J307" s="348" t="str">
        <f t="shared" ca="1" si="14"/>
        <v>Formula-linked</v>
      </c>
    </row>
    <row r="308" spans="1:10">
      <c r="A308" s="366" t="s">
        <v>453</v>
      </c>
      <c r="B308" s="366">
        <v>2025</v>
      </c>
      <c r="C308" s="366" t="s">
        <v>1506</v>
      </c>
      <c r="D308" s="366">
        <v>77</v>
      </c>
      <c r="E308" s="348">
        <f t="shared" ca="1" si="12"/>
        <v>3039442.3649273338</v>
      </c>
      <c r="F308" s="348" t="str">
        <f t="shared" si="13"/>
        <v>BLD_EE</v>
      </c>
      <c r="G308" s="348" t="str">
        <f>IFERROR(INDEX(DATA_PROPERTY_MASTER!$E$5:$E$21,MATCH($A308,DATA_PROPERTY_MASTER!$A$5:$A$21,0)),"")</f>
        <v>Yes</v>
      </c>
      <c r="H308" s="348" t="str">
        <f ca="1">IFERROR(INDEX(DATA_PROPERTY_MASTER!$F$5:$F$21,MATCH($A308,DATA_PROPERTY_MASTER!$A$5:$A$21,0)),"")</f>
        <v>Refi Watch</v>
      </c>
      <c r="I308" t="s">
        <v>1505</v>
      </c>
      <c r="J308" s="348" t="str">
        <f t="shared" ca="1" si="14"/>
        <v>Formula-linked</v>
      </c>
    </row>
    <row r="309" spans="1:10">
      <c r="A309" s="366" t="s">
        <v>453</v>
      </c>
      <c r="B309" s="366">
        <v>2029</v>
      </c>
      <c r="C309" s="366" t="s">
        <v>341</v>
      </c>
      <c r="D309" s="366">
        <v>24</v>
      </c>
      <c r="E309" s="348">
        <f t="shared" ca="1" si="12"/>
        <v>544244.7425025946</v>
      </c>
      <c r="F309" s="348" t="str">
        <f t="shared" si="13"/>
        <v>BLD_EE</v>
      </c>
      <c r="G309" s="348" t="str">
        <f>IFERROR(INDEX(DATA_PROPERTY_MASTER!$E$5:$E$21,MATCH($A309,DATA_PROPERTY_MASTER!$A$5:$A$21,0)),"")</f>
        <v>Yes</v>
      </c>
      <c r="H309" s="348" t="str">
        <f ca="1">IFERROR(INDEX(DATA_PROPERTY_MASTER!$F$5:$F$21,MATCH($A309,DATA_PROPERTY_MASTER!$A$5:$A$21,0)),"")</f>
        <v>Refi Watch</v>
      </c>
      <c r="I309" t="s">
        <v>1495</v>
      </c>
      <c r="J309" s="348" t="str">
        <f t="shared" ca="1" si="14"/>
        <v>Formula-linked</v>
      </c>
    </row>
    <row r="310" spans="1:10">
      <c r="A310" s="366" t="s">
        <v>453</v>
      </c>
      <c r="B310" s="366">
        <v>2029</v>
      </c>
      <c r="C310" s="366" t="s">
        <v>355</v>
      </c>
      <c r="D310" s="366">
        <v>39</v>
      </c>
      <c r="E310" s="348">
        <f t="shared" ca="1" si="12"/>
        <v>253834.74049024002</v>
      </c>
      <c r="F310" s="348" t="str">
        <f t="shared" si="13"/>
        <v>BLD_EE</v>
      </c>
      <c r="G310" s="348" t="str">
        <f>IFERROR(INDEX(DATA_PROPERTY_MASTER!$E$5:$E$21,MATCH($A310,DATA_PROPERTY_MASTER!$A$5:$A$21,0)),"")</f>
        <v>Yes</v>
      </c>
      <c r="H310" s="348" t="str">
        <f ca="1">IFERROR(INDEX(DATA_PROPERTY_MASTER!$F$5:$F$21,MATCH($A310,DATA_PROPERTY_MASTER!$A$5:$A$21,0)),"")</f>
        <v>Refi Watch</v>
      </c>
      <c r="I310" t="s">
        <v>1496</v>
      </c>
      <c r="J310" s="348" t="str">
        <f t="shared" ca="1" si="14"/>
        <v>Formula-linked</v>
      </c>
    </row>
    <row r="311" spans="1:10">
      <c r="A311" s="366" t="s">
        <v>453</v>
      </c>
      <c r="B311" s="366">
        <v>2029</v>
      </c>
      <c r="C311" s="366" t="s">
        <v>1497</v>
      </c>
      <c r="D311" s="366">
        <v>41</v>
      </c>
      <c r="E311" s="348">
        <f t="shared" ca="1" si="12"/>
        <v>290410.00201235455</v>
      </c>
      <c r="F311" s="348" t="str">
        <f t="shared" si="13"/>
        <v>BLD_EE</v>
      </c>
      <c r="G311" s="348" t="str">
        <f>IFERROR(INDEX(DATA_PROPERTY_MASTER!$E$5:$E$21,MATCH($A311,DATA_PROPERTY_MASTER!$A$5:$A$21,0)),"")</f>
        <v>Yes</v>
      </c>
      <c r="H311" s="348" t="str">
        <f ca="1">IFERROR(INDEX(DATA_PROPERTY_MASTER!$F$5:$F$21,MATCH($A311,DATA_PROPERTY_MASTER!$A$5:$A$21,0)),"")</f>
        <v>Refi Watch</v>
      </c>
      <c r="I311" t="s">
        <v>1497</v>
      </c>
      <c r="J311" s="348" t="str">
        <f t="shared" ca="1" si="14"/>
        <v>Formula-linked</v>
      </c>
    </row>
    <row r="312" spans="1:10">
      <c r="A312" s="366" t="s">
        <v>453</v>
      </c>
      <c r="B312" s="366">
        <v>2029</v>
      </c>
      <c r="C312" s="366" t="s">
        <v>21</v>
      </c>
      <c r="D312" s="366">
        <v>45</v>
      </c>
      <c r="E312" s="348">
        <f t="shared" ca="1" si="12"/>
        <v>284564.86834835453</v>
      </c>
      <c r="F312" s="348" t="str">
        <f t="shared" si="13"/>
        <v>BLD_EE</v>
      </c>
      <c r="G312" s="348" t="str">
        <f>IFERROR(INDEX(DATA_PROPERTY_MASTER!$E$5:$E$21,MATCH($A312,DATA_PROPERTY_MASTER!$A$5:$A$21,0)),"")</f>
        <v>Yes</v>
      </c>
      <c r="H312" s="348" t="str">
        <f ca="1">IFERROR(INDEX(DATA_PROPERTY_MASTER!$F$5:$F$21,MATCH($A312,DATA_PROPERTY_MASTER!$A$5:$A$21,0)),"")</f>
        <v>Refi Watch</v>
      </c>
      <c r="I312" t="s">
        <v>1497</v>
      </c>
      <c r="J312" s="348" t="str">
        <f t="shared" ca="1" si="14"/>
        <v>Formula-linked</v>
      </c>
    </row>
    <row r="313" spans="1:10">
      <c r="A313" s="366" t="s">
        <v>453</v>
      </c>
      <c r="B313" s="366">
        <v>2029</v>
      </c>
      <c r="C313" s="366" t="s">
        <v>23</v>
      </c>
      <c r="D313" s="366">
        <v>48</v>
      </c>
      <c r="E313" s="348">
        <f t="shared" ca="1" si="12"/>
        <v>0</v>
      </c>
      <c r="F313" s="348" t="str">
        <f t="shared" si="13"/>
        <v>BLD_EE</v>
      </c>
      <c r="G313" s="348" t="str">
        <f>IFERROR(INDEX(DATA_PROPERTY_MASTER!$E$5:$E$21,MATCH($A313,DATA_PROPERTY_MASTER!$A$5:$A$21,0)),"")</f>
        <v>Yes</v>
      </c>
      <c r="H313" s="348" t="str">
        <f ca="1">IFERROR(INDEX(DATA_PROPERTY_MASTER!$F$5:$F$21,MATCH($A313,DATA_PROPERTY_MASTER!$A$5:$A$21,0)),"")</f>
        <v>Refi Watch</v>
      </c>
      <c r="I313" t="s">
        <v>1498</v>
      </c>
      <c r="J313" s="348" t="str">
        <f t="shared" ca="1" si="14"/>
        <v>Formula-linked</v>
      </c>
    </row>
    <row r="314" spans="1:10">
      <c r="A314" s="366" t="s">
        <v>453</v>
      </c>
      <c r="B314" s="366">
        <v>2029</v>
      </c>
      <c r="C314" s="366" t="s">
        <v>213</v>
      </c>
      <c r="D314" s="366">
        <v>50</v>
      </c>
      <c r="E314" s="348" t="str">
        <f t="shared" ca="1" si="12"/>
        <v/>
      </c>
      <c r="F314" s="348" t="str">
        <f t="shared" si="13"/>
        <v>BLD_EE</v>
      </c>
      <c r="G314" s="348" t="str">
        <f>IFERROR(INDEX(DATA_PROPERTY_MASTER!$E$5:$E$21,MATCH($A314,DATA_PROPERTY_MASTER!$A$5:$A$21,0)),"")</f>
        <v>Yes</v>
      </c>
      <c r="H314" s="348" t="str">
        <f ca="1">IFERROR(INDEX(DATA_PROPERTY_MASTER!$F$5:$F$21,MATCH($A314,DATA_PROPERTY_MASTER!$A$5:$A$21,0)),"")</f>
        <v>Refi Watch</v>
      </c>
      <c r="I314" t="s">
        <v>1499</v>
      </c>
      <c r="J314" s="348" t="str">
        <f t="shared" ca="1" si="14"/>
        <v>Review</v>
      </c>
    </row>
    <row r="315" spans="1:10">
      <c r="A315" s="366" t="s">
        <v>453</v>
      </c>
      <c r="B315" s="366">
        <v>2029</v>
      </c>
      <c r="C315" s="366" t="s">
        <v>1500</v>
      </c>
      <c r="D315" s="366">
        <v>52</v>
      </c>
      <c r="E315" s="348">
        <f t="shared" ca="1" si="12"/>
        <v>290410.00201235455</v>
      </c>
      <c r="F315" s="348" t="str">
        <f t="shared" si="13"/>
        <v>BLD_EE</v>
      </c>
      <c r="G315" s="348" t="str">
        <f>IFERROR(INDEX(DATA_PROPERTY_MASTER!$E$5:$E$21,MATCH($A315,DATA_PROPERTY_MASTER!$A$5:$A$21,0)),"")</f>
        <v>Yes</v>
      </c>
      <c r="H315" s="348" t="str">
        <f ca="1">IFERROR(INDEX(DATA_PROPERTY_MASTER!$F$5:$F$21,MATCH($A315,DATA_PROPERTY_MASTER!$A$5:$A$21,0)),"")</f>
        <v>Refi Watch</v>
      </c>
      <c r="I315" t="s">
        <v>1501</v>
      </c>
      <c r="J315" s="348" t="str">
        <f t="shared" ca="1" si="14"/>
        <v>Formula-linked</v>
      </c>
    </row>
    <row r="316" spans="1:10">
      <c r="A316" s="366" t="s">
        <v>453</v>
      </c>
      <c r="B316" s="366">
        <v>2029</v>
      </c>
      <c r="C316" s="366" t="s">
        <v>27</v>
      </c>
      <c r="D316" s="366">
        <v>54</v>
      </c>
      <c r="E316" s="348">
        <f t="shared" ca="1" si="12"/>
        <v>174246.00120741272</v>
      </c>
      <c r="F316" s="348" t="str">
        <f t="shared" si="13"/>
        <v>BLD_EE</v>
      </c>
      <c r="G316" s="348" t="str">
        <f>IFERROR(INDEX(DATA_PROPERTY_MASTER!$E$5:$E$21,MATCH($A316,DATA_PROPERTY_MASTER!$A$5:$A$21,0)),"")</f>
        <v>Yes</v>
      </c>
      <c r="H316" s="348" t="str">
        <f ca="1">IFERROR(INDEX(DATA_PROPERTY_MASTER!$F$5:$F$21,MATCH($A316,DATA_PROPERTY_MASTER!$A$5:$A$21,0)),"")</f>
        <v>Refi Watch</v>
      </c>
      <c r="I316" t="s">
        <v>1501</v>
      </c>
      <c r="J316" s="348" t="str">
        <f t="shared" ca="1" si="14"/>
        <v>Formula-linked</v>
      </c>
    </row>
    <row r="317" spans="1:10">
      <c r="A317" s="366" t="s">
        <v>453</v>
      </c>
      <c r="B317" s="366">
        <v>2029</v>
      </c>
      <c r="C317" s="366" t="s">
        <v>1502</v>
      </c>
      <c r="D317" s="366">
        <v>56</v>
      </c>
      <c r="E317" s="348">
        <f t="shared" ca="1" si="12"/>
        <v>116164.00080494184</v>
      </c>
      <c r="F317" s="348" t="str">
        <f t="shared" si="13"/>
        <v>BLD_EE</v>
      </c>
      <c r="G317" s="348" t="str">
        <f>IFERROR(INDEX(DATA_PROPERTY_MASTER!$E$5:$E$21,MATCH($A317,DATA_PROPERTY_MASTER!$A$5:$A$21,0)),"")</f>
        <v>Yes</v>
      </c>
      <c r="H317" s="348" t="str">
        <f ca="1">IFERROR(INDEX(DATA_PROPERTY_MASTER!$F$5:$F$21,MATCH($A317,DATA_PROPERTY_MASTER!$A$5:$A$21,0)),"")</f>
        <v>Refi Watch</v>
      </c>
      <c r="I317" t="s">
        <v>1501</v>
      </c>
      <c r="J317" s="348" t="str">
        <f t="shared" ca="1" si="14"/>
        <v>Formula-linked</v>
      </c>
    </row>
    <row r="318" spans="1:10">
      <c r="A318" s="366" t="s">
        <v>453</v>
      </c>
      <c r="B318" s="366">
        <v>2029</v>
      </c>
      <c r="C318" s="366" t="s">
        <v>367</v>
      </c>
      <c r="D318" s="366">
        <v>61</v>
      </c>
      <c r="E318" s="348">
        <f t="shared" ca="1" si="12"/>
        <v>0</v>
      </c>
      <c r="F318" s="348" t="str">
        <f t="shared" si="13"/>
        <v>BLD_EE</v>
      </c>
      <c r="G318" s="348" t="str">
        <f>IFERROR(INDEX(DATA_PROPERTY_MASTER!$E$5:$E$21,MATCH($A318,DATA_PROPERTY_MASTER!$A$5:$A$21,0)),"")</f>
        <v>Yes</v>
      </c>
      <c r="H318" s="348" t="str">
        <f ca="1">IFERROR(INDEX(DATA_PROPERTY_MASTER!$F$5:$F$21,MATCH($A318,DATA_PROPERTY_MASTER!$A$5:$A$21,0)),"")</f>
        <v>Refi Watch</v>
      </c>
      <c r="I318" t="s">
        <v>1503</v>
      </c>
      <c r="J318" s="348" t="str">
        <f t="shared" ca="1" si="14"/>
        <v>Formula-linked</v>
      </c>
    </row>
    <row r="319" spans="1:10">
      <c r="A319" s="366" t="s">
        <v>453</v>
      </c>
      <c r="B319" s="366">
        <v>2029</v>
      </c>
      <c r="C319" s="366" t="s">
        <v>368</v>
      </c>
      <c r="D319" s="366">
        <v>62</v>
      </c>
      <c r="E319" s="348">
        <f t="shared" ca="1" si="12"/>
        <v>0</v>
      </c>
      <c r="F319" s="348" t="str">
        <f t="shared" si="13"/>
        <v>BLD_EE</v>
      </c>
      <c r="G319" s="348" t="str">
        <f>IFERROR(INDEX(DATA_PROPERTY_MASTER!$E$5:$E$21,MATCH($A319,DATA_PROPERTY_MASTER!$A$5:$A$21,0)),"")</f>
        <v>Yes</v>
      </c>
      <c r="H319" s="348" t="str">
        <f ca="1">IFERROR(INDEX(DATA_PROPERTY_MASTER!$F$5:$F$21,MATCH($A319,DATA_PROPERTY_MASTER!$A$5:$A$21,0)),"")</f>
        <v>Refi Watch</v>
      </c>
      <c r="I319" t="s">
        <v>1503</v>
      </c>
      <c r="J319" s="348" t="str">
        <f t="shared" ca="1" si="14"/>
        <v>Formula-linked</v>
      </c>
    </row>
    <row r="320" spans="1:10">
      <c r="A320" s="366" t="s">
        <v>453</v>
      </c>
      <c r="B320" s="366">
        <v>2029</v>
      </c>
      <c r="C320" s="366" t="s">
        <v>1504</v>
      </c>
      <c r="D320" s="366">
        <v>63</v>
      </c>
      <c r="E320" s="348">
        <f t="shared" ca="1" si="12"/>
        <v>0</v>
      </c>
      <c r="F320" s="348" t="str">
        <f t="shared" si="13"/>
        <v>BLD_EE</v>
      </c>
      <c r="G320" s="348" t="str">
        <f>IFERROR(INDEX(DATA_PROPERTY_MASTER!$E$5:$E$21,MATCH($A320,DATA_PROPERTY_MASTER!$A$5:$A$21,0)),"")</f>
        <v>Yes</v>
      </c>
      <c r="H320" s="348" t="str">
        <f ca="1">IFERROR(INDEX(DATA_PROPERTY_MASTER!$F$5:$F$21,MATCH($A320,DATA_PROPERTY_MASTER!$A$5:$A$21,0)),"")</f>
        <v>Refi Watch</v>
      </c>
      <c r="I320" t="s">
        <v>1503</v>
      </c>
      <c r="J320" s="348" t="str">
        <f t="shared" ca="1" si="14"/>
        <v>Formula-linked</v>
      </c>
    </row>
    <row r="321" spans="1:10">
      <c r="A321" s="366" t="s">
        <v>453</v>
      </c>
      <c r="B321" s="366">
        <v>2029</v>
      </c>
      <c r="C321" s="366" t="s">
        <v>370</v>
      </c>
      <c r="D321" s="366">
        <v>64</v>
      </c>
      <c r="E321" s="348">
        <f t="shared" ca="1" si="12"/>
        <v>0</v>
      </c>
      <c r="F321" s="348" t="str">
        <f t="shared" si="13"/>
        <v>BLD_EE</v>
      </c>
      <c r="G321" s="348" t="str">
        <f>IFERROR(INDEX(DATA_PROPERTY_MASTER!$E$5:$E$21,MATCH($A321,DATA_PROPERTY_MASTER!$A$5:$A$21,0)),"")</f>
        <v>Yes</v>
      </c>
      <c r="H321" s="348" t="str">
        <f ca="1">IFERROR(INDEX(DATA_PROPERTY_MASTER!$F$5:$F$21,MATCH($A321,DATA_PROPERTY_MASTER!$A$5:$A$21,0)),"")</f>
        <v>Refi Watch</v>
      </c>
      <c r="I321" t="s">
        <v>1498</v>
      </c>
      <c r="J321" s="348" t="str">
        <f t="shared" ca="1" si="14"/>
        <v>Formula-linked</v>
      </c>
    </row>
    <row r="322" spans="1:10">
      <c r="A322" s="366" t="s">
        <v>453</v>
      </c>
      <c r="B322" s="366">
        <v>2029</v>
      </c>
      <c r="C322" s="366" t="s">
        <v>544</v>
      </c>
      <c r="D322" s="366">
        <v>68</v>
      </c>
      <c r="E322" s="348">
        <f t="shared" ca="1" si="12"/>
        <v>116164.00080494184</v>
      </c>
      <c r="F322" s="348" t="str">
        <f t="shared" si="13"/>
        <v>BLD_EE</v>
      </c>
      <c r="G322" s="348" t="str">
        <f>IFERROR(INDEX(DATA_PROPERTY_MASTER!$E$5:$E$21,MATCH($A322,DATA_PROPERTY_MASTER!$A$5:$A$21,0)),"")</f>
        <v>Yes</v>
      </c>
      <c r="H322" s="348" t="str">
        <f ca="1">IFERROR(INDEX(DATA_PROPERTY_MASTER!$F$5:$F$21,MATCH($A322,DATA_PROPERTY_MASTER!$A$5:$A$21,0)),"")</f>
        <v>Refi Watch</v>
      </c>
      <c r="I322" t="s">
        <v>1501</v>
      </c>
      <c r="J322" s="348" t="str">
        <f t="shared" ca="1" si="14"/>
        <v>Formula-linked</v>
      </c>
    </row>
    <row r="323" spans="1:10">
      <c r="A323" s="366" t="s">
        <v>453</v>
      </c>
      <c r="B323" s="366">
        <v>2029</v>
      </c>
      <c r="C323" s="366" t="s">
        <v>378</v>
      </c>
      <c r="D323" s="366">
        <v>73</v>
      </c>
      <c r="E323" s="348">
        <f t="shared" ca="1" si="12"/>
        <v>4840166.7002059091</v>
      </c>
      <c r="F323" s="348" t="str">
        <f t="shared" si="13"/>
        <v>BLD_EE</v>
      </c>
      <c r="G323" s="348" t="str">
        <f>IFERROR(INDEX(DATA_PROPERTY_MASTER!$E$5:$E$21,MATCH($A323,DATA_PROPERTY_MASTER!$A$5:$A$21,0)),"")</f>
        <v>Yes</v>
      </c>
      <c r="H323" s="348" t="str">
        <f ca="1">IFERROR(INDEX(DATA_PROPERTY_MASTER!$F$5:$F$21,MATCH($A323,DATA_PROPERTY_MASTER!$A$5:$A$21,0)),"")</f>
        <v>Refi Watch</v>
      </c>
      <c r="I323" t="s">
        <v>1505</v>
      </c>
      <c r="J323" s="348" t="str">
        <f t="shared" ca="1" si="14"/>
        <v>Formula-linked</v>
      </c>
    </row>
    <row r="324" spans="1:10">
      <c r="A324" s="366" t="s">
        <v>453</v>
      </c>
      <c r="B324" s="366">
        <v>2029</v>
      </c>
      <c r="C324" s="366" t="s">
        <v>1506</v>
      </c>
      <c r="D324" s="366">
        <v>77</v>
      </c>
      <c r="E324" s="348">
        <f t="shared" ca="1" si="12"/>
        <v>4840166.7002059091</v>
      </c>
      <c r="F324" s="348" t="str">
        <f t="shared" si="13"/>
        <v>BLD_EE</v>
      </c>
      <c r="G324" s="348" t="str">
        <f>IFERROR(INDEX(DATA_PROPERTY_MASTER!$E$5:$E$21,MATCH($A324,DATA_PROPERTY_MASTER!$A$5:$A$21,0)),"")</f>
        <v>Yes</v>
      </c>
      <c r="H324" s="348" t="str">
        <f ca="1">IFERROR(INDEX(DATA_PROPERTY_MASTER!$F$5:$F$21,MATCH($A324,DATA_PROPERTY_MASTER!$A$5:$A$21,0)),"")</f>
        <v>Refi Watch</v>
      </c>
      <c r="I324" t="s">
        <v>1505</v>
      </c>
      <c r="J324" s="348" t="str">
        <f t="shared" ca="1" si="14"/>
        <v>Formula-linked</v>
      </c>
    </row>
    <row r="325" spans="1:10">
      <c r="A325" s="366" t="s">
        <v>453</v>
      </c>
      <c r="B325" s="366">
        <v>2035</v>
      </c>
      <c r="C325" s="366" t="s">
        <v>341</v>
      </c>
      <c r="D325" s="366">
        <v>24</v>
      </c>
      <c r="E325" s="348">
        <f t="shared" ref="E325:E388" ca="1" si="15">IFERROR(INDEX(INDIRECT("'"&amp;$A325&amp;"'!$E$"&amp;$D325&amp;":$Y$"&amp;$D325),1,MATCH($B325,INDIRECT("'"&amp;$A325&amp;"'!$E$12:$Y$12"),0)),"")</f>
        <v>612907.97588843445</v>
      </c>
      <c r="F325" s="348" t="str">
        <f t="shared" ref="F325:F388" si="16">$A325</f>
        <v>BLD_EE</v>
      </c>
      <c r="G325" s="348" t="str">
        <f>IFERROR(INDEX(DATA_PROPERTY_MASTER!$E$5:$E$21,MATCH($A325,DATA_PROPERTY_MASTER!$A$5:$A$21,0)),"")</f>
        <v>Yes</v>
      </c>
      <c r="H325" s="348" t="str">
        <f ca="1">IFERROR(INDEX(DATA_PROPERTY_MASTER!$F$5:$F$21,MATCH($A325,DATA_PROPERTY_MASTER!$A$5:$A$21,0)),"")</f>
        <v>Refi Watch</v>
      </c>
      <c r="I325" t="s">
        <v>1495</v>
      </c>
      <c r="J325" s="348" t="str">
        <f t="shared" ref="J325:J388" ca="1" si="17">IF($E325="","Review","Formula-linked")</f>
        <v>Formula-linked</v>
      </c>
    </row>
    <row r="326" spans="1:10">
      <c r="A326" s="366" t="s">
        <v>453</v>
      </c>
      <c r="B326" s="366">
        <v>2035</v>
      </c>
      <c r="C326" s="366" t="s">
        <v>355</v>
      </c>
      <c r="D326" s="366">
        <v>39</v>
      </c>
      <c r="E326" s="348">
        <f t="shared" ca="1" si="15"/>
        <v>316549.49309108645</v>
      </c>
      <c r="F326" s="348" t="str">
        <f t="shared" si="16"/>
        <v>BLD_EE</v>
      </c>
      <c r="G326" s="348" t="str">
        <f>IFERROR(INDEX(DATA_PROPERTY_MASTER!$E$5:$E$21,MATCH($A326,DATA_PROPERTY_MASTER!$A$5:$A$21,0)),"")</f>
        <v>Yes</v>
      </c>
      <c r="H326" s="348" t="str">
        <f ca="1">IFERROR(INDEX(DATA_PROPERTY_MASTER!$F$5:$F$21,MATCH($A326,DATA_PROPERTY_MASTER!$A$5:$A$21,0)),"")</f>
        <v>Refi Watch</v>
      </c>
      <c r="I326" t="s">
        <v>1496</v>
      </c>
      <c r="J326" s="348" t="str">
        <f t="shared" ca="1" si="17"/>
        <v>Formula-linked</v>
      </c>
    </row>
    <row r="327" spans="1:10">
      <c r="A327" s="366" t="s">
        <v>453</v>
      </c>
      <c r="B327" s="366">
        <v>2035</v>
      </c>
      <c r="C327" s="366" t="s">
        <v>1497</v>
      </c>
      <c r="D327" s="366">
        <v>41</v>
      </c>
      <c r="E327" s="348">
        <f t="shared" ca="1" si="15"/>
        <v>296358.482797348</v>
      </c>
      <c r="F327" s="348" t="str">
        <f t="shared" si="16"/>
        <v>BLD_EE</v>
      </c>
      <c r="G327" s="348" t="str">
        <f>IFERROR(INDEX(DATA_PROPERTY_MASTER!$E$5:$E$21,MATCH($A327,DATA_PROPERTY_MASTER!$A$5:$A$21,0)),"")</f>
        <v>Yes</v>
      </c>
      <c r="H327" s="348" t="str">
        <f ca="1">IFERROR(INDEX(DATA_PROPERTY_MASTER!$F$5:$F$21,MATCH($A327,DATA_PROPERTY_MASTER!$A$5:$A$21,0)),"")</f>
        <v>Refi Watch</v>
      </c>
      <c r="I327" t="s">
        <v>1497</v>
      </c>
      <c r="J327" s="348" t="str">
        <f t="shared" ca="1" si="17"/>
        <v>Formula-linked</v>
      </c>
    </row>
    <row r="328" spans="1:10">
      <c r="A328" s="366" t="s">
        <v>453</v>
      </c>
      <c r="B328" s="366">
        <v>2035</v>
      </c>
      <c r="C328" s="366" t="s">
        <v>21</v>
      </c>
      <c r="D328" s="366">
        <v>45</v>
      </c>
      <c r="E328" s="348">
        <f t="shared" ca="1" si="15"/>
        <v>289775.9129293763</v>
      </c>
      <c r="F328" s="348" t="str">
        <f t="shared" si="16"/>
        <v>BLD_EE</v>
      </c>
      <c r="G328" s="348" t="str">
        <f>IFERROR(INDEX(DATA_PROPERTY_MASTER!$E$5:$E$21,MATCH($A328,DATA_PROPERTY_MASTER!$A$5:$A$21,0)),"")</f>
        <v>Yes</v>
      </c>
      <c r="H328" s="348" t="str">
        <f ca="1">IFERROR(INDEX(DATA_PROPERTY_MASTER!$F$5:$F$21,MATCH($A328,DATA_PROPERTY_MASTER!$A$5:$A$21,0)),"")</f>
        <v>Refi Watch</v>
      </c>
      <c r="I328" t="s">
        <v>1497</v>
      </c>
      <c r="J328" s="348" t="str">
        <f t="shared" ca="1" si="17"/>
        <v>Formula-linked</v>
      </c>
    </row>
    <row r="329" spans="1:10">
      <c r="A329" s="366" t="s">
        <v>453</v>
      </c>
      <c r="B329" s="366">
        <v>2035</v>
      </c>
      <c r="C329" s="366" t="s">
        <v>23</v>
      </c>
      <c r="D329" s="366">
        <v>48</v>
      </c>
      <c r="E329" s="348">
        <f t="shared" ca="1" si="15"/>
        <v>0</v>
      </c>
      <c r="F329" s="348" t="str">
        <f t="shared" si="16"/>
        <v>BLD_EE</v>
      </c>
      <c r="G329" s="348" t="str">
        <f>IFERROR(INDEX(DATA_PROPERTY_MASTER!$E$5:$E$21,MATCH($A329,DATA_PROPERTY_MASTER!$A$5:$A$21,0)),"")</f>
        <v>Yes</v>
      </c>
      <c r="H329" s="348" t="str">
        <f ca="1">IFERROR(INDEX(DATA_PROPERTY_MASTER!$F$5:$F$21,MATCH($A329,DATA_PROPERTY_MASTER!$A$5:$A$21,0)),"")</f>
        <v>Refi Watch</v>
      </c>
      <c r="I329" t="s">
        <v>1498</v>
      </c>
      <c r="J329" s="348" t="str">
        <f t="shared" ca="1" si="17"/>
        <v>Formula-linked</v>
      </c>
    </row>
    <row r="330" spans="1:10">
      <c r="A330" s="366" t="s">
        <v>453</v>
      </c>
      <c r="B330" s="366">
        <v>2035</v>
      </c>
      <c r="C330" s="366" t="s">
        <v>213</v>
      </c>
      <c r="D330" s="366">
        <v>50</v>
      </c>
      <c r="E330" s="348" t="str">
        <f t="shared" ca="1" si="15"/>
        <v/>
      </c>
      <c r="F330" s="348" t="str">
        <f t="shared" si="16"/>
        <v>BLD_EE</v>
      </c>
      <c r="G330" s="348" t="str">
        <f>IFERROR(INDEX(DATA_PROPERTY_MASTER!$E$5:$E$21,MATCH($A330,DATA_PROPERTY_MASTER!$A$5:$A$21,0)),"")</f>
        <v>Yes</v>
      </c>
      <c r="H330" s="348" t="str">
        <f ca="1">IFERROR(INDEX(DATA_PROPERTY_MASTER!$F$5:$F$21,MATCH($A330,DATA_PROPERTY_MASTER!$A$5:$A$21,0)),"")</f>
        <v>Refi Watch</v>
      </c>
      <c r="I330" t="s">
        <v>1499</v>
      </c>
      <c r="J330" s="348" t="str">
        <f t="shared" ca="1" si="17"/>
        <v>Review</v>
      </c>
    </row>
    <row r="331" spans="1:10">
      <c r="A331" s="366" t="s">
        <v>453</v>
      </c>
      <c r="B331" s="366">
        <v>2035</v>
      </c>
      <c r="C331" s="366" t="s">
        <v>1500</v>
      </c>
      <c r="D331" s="366">
        <v>52</v>
      </c>
      <c r="E331" s="348">
        <f t="shared" ca="1" si="15"/>
        <v>296358.482797348</v>
      </c>
      <c r="F331" s="348" t="str">
        <f t="shared" si="16"/>
        <v>BLD_EE</v>
      </c>
      <c r="G331" s="348" t="str">
        <f>IFERROR(INDEX(DATA_PROPERTY_MASTER!$E$5:$E$21,MATCH($A331,DATA_PROPERTY_MASTER!$A$5:$A$21,0)),"")</f>
        <v>Yes</v>
      </c>
      <c r="H331" s="348" t="str">
        <f ca="1">IFERROR(INDEX(DATA_PROPERTY_MASTER!$F$5:$F$21,MATCH($A331,DATA_PROPERTY_MASTER!$A$5:$A$21,0)),"")</f>
        <v>Refi Watch</v>
      </c>
      <c r="I331" t="s">
        <v>1501</v>
      </c>
      <c r="J331" s="348" t="str">
        <f t="shared" ca="1" si="17"/>
        <v>Formula-linked</v>
      </c>
    </row>
    <row r="332" spans="1:10">
      <c r="A332" s="366" t="s">
        <v>453</v>
      </c>
      <c r="B332" s="366">
        <v>2035</v>
      </c>
      <c r="C332" s="366" t="s">
        <v>27</v>
      </c>
      <c r="D332" s="366">
        <v>54</v>
      </c>
      <c r="E332" s="348">
        <f t="shared" ca="1" si="15"/>
        <v>177815.08967840878</v>
      </c>
      <c r="F332" s="348" t="str">
        <f t="shared" si="16"/>
        <v>BLD_EE</v>
      </c>
      <c r="G332" s="348" t="str">
        <f>IFERROR(INDEX(DATA_PROPERTY_MASTER!$E$5:$E$21,MATCH($A332,DATA_PROPERTY_MASTER!$A$5:$A$21,0)),"")</f>
        <v>Yes</v>
      </c>
      <c r="H332" s="348" t="str">
        <f ca="1">IFERROR(INDEX(DATA_PROPERTY_MASTER!$F$5:$F$21,MATCH($A332,DATA_PROPERTY_MASTER!$A$5:$A$21,0)),"")</f>
        <v>Refi Watch</v>
      </c>
      <c r="I332" t="s">
        <v>1501</v>
      </c>
      <c r="J332" s="348" t="str">
        <f t="shared" ca="1" si="17"/>
        <v>Formula-linked</v>
      </c>
    </row>
    <row r="333" spans="1:10">
      <c r="A333" s="366" t="s">
        <v>453</v>
      </c>
      <c r="B333" s="366">
        <v>2035</v>
      </c>
      <c r="C333" s="366" t="s">
        <v>1502</v>
      </c>
      <c r="D333" s="366">
        <v>56</v>
      </c>
      <c r="E333" s="348">
        <f t="shared" ca="1" si="15"/>
        <v>118543.39311893922</v>
      </c>
      <c r="F333" s="348" t="str">
        <f t="shared" si="16"/>
        <v>BLD_EE</v>
      </c>
      <c r="G333" s="348" t="str">
        <f>IFERROR(INDEX(DATA_PROPERTY_MASTER!$E$5:$E$21,MATCH($A333,DATA_PROPERTY_MASTER!$A$5:$A$21,0)),"")</f>
        <v>Yes</v>
      </c>
      <c r="H333" s="348" t="str">
        <f ca="1">IFERROR(INDEX(DATA_PROPERTY_MASTER!$F$5:$F$21,MATCH($A333,DATA_PROPERTY_MASTER!$A$5:$A$21,0)),"")</f>
        <v>Refi Watch</v>
      </c>
      <c r="I333" t="s">
        <v>1501</v>
      </c>
      <c r="J333" s="348" t="str">
        <f t="shared" ca="1" si="17"/>
        <v>Formula-linked</v>
      </c>
    </row>
    <row r="334" spans="1:10">
      <c r="A334" s="366" t="s">
        <v>453</v>
      </c>
      <c r="B334" s="366">
        <v>2035</v>
      </c>
      <c r="C334" s="366" t="s">
        <v>367</v>
      </c>
      <c r="D334" s="366">
        <v>61</v>
      </c>
      <c r="E334" s="348">
        <f t="shared" ca="1" si="15"/>
        <v>0</v>
      </c>
      <c r="F334" s="348" t="str">
        <f t="shared" si="16"/>
        <v>BLD_EE</v>
      </c>
      <c r="G334" s="348" t="str">
        <f>IFERROR(INDEX(DATA_PROPERTY_MASTER!$E$5:$E$21,MATCH($A334,DATA_PROPERTY_MASTER!$A$5:$A$21,0)),"")</f>
        <v>Yes</v>
      </c>
      <c r="H334" s="348" t="str">
        <f ca="1">IFERROR(INDEX(DATA_PROPERTY_MASTER!$F$5:$F$21,MATCH($A334,DATA_PROPERTY_MASTER!$A$5:$A$21,0)),"")</f>
        <v>Refi Watch</v>
      </c>
      <c r="I334" t="s">
        <v>1503</v>
      </c>
      <c r="J334" s="348" t="str">
        <f t="shared" ca="1" si="17"/>
        <v>Formula-linked</v>
      </c>
    </row>
    <row r="335" spans="1:10">
      <c r="A335" s="366" t="s">
        <v>453</v>
      </c>
      <c r="B335" s="366">
        <v>2035</v>
      </c>
      <c r="C335" s="366" t="s">
        <v>368</v>
      </c>
      <c r="D335" s="366">
        <v>62</v>
      </c>
      <c r="E335" s="348">
        <f t="shared" ca="1" si="15"/>
        <v>0</v>
      </c>
      <c r="F335" s="348" t="str">
        <f t="shared" si="16"/>
        <v>BLD_EE</v>
      </c>
      <c r="G335" s="348" t="str">
        <f>IFERROR(INDEX(DATA_PROPERTY_MASTER!$E$5:$E$21,MATCH($A335,DATA_PROPERTY_MASTER!$A$5:$A$21,0)),"")</f>
        <v>Yes</v>
      </c>
      <c r="H335" s="348" t="str">
        <f ca="1">IFERROR(INDEX(DATA_PROPERTY_MASTER!$F$5:$F$21,MATCH($A335,DATA_PROPERTY_MASTER!$A$5:$A$21,0)),"")</f>
        <v>Refi Watch</v>
      </c>
      <c r="I335" t="s">
        <v>1503</v>
      </c>
      <c r="J335" s="348" t="str">
        <f t="shared" ca="1" si="17"/>
        <v>Formula-linked</v>
      </c>
    </row>
    <row r="336" spans="1:10">
      <c r="A336" s="366" t="s">
        <v>453</v>
      </c>
      <c r="B336" s="366">
        <v>2035</v>
      </c>
      <c r="C336" s="366" t="s">
        <v>1504</v>
      </c>
      <c r="D336" s="366">
        <v>63</v>
      </c>
      <c r="E336" s="348">
        <f t="shared" ca="1" si="15"/>
        <v>0</v>
      </c>
      <c r="F336" s="348" t="str">
        <f t="shared" si="16"/>
        <v>BLD_EE</v>
      </c>
      <c r="G336" s="348" t="str">
        <f>IFERROR(INDEX(DATA_PROPERTY_MASTER!$E$5:$E$21,MATCH($A336,DATA_PROPERTY_MASTER!$A$5:$A$21,0)),"")</f>
        <v>Yes</v>
      </c>
      <c r="H336" s="348" t="str">
        <f ca="1">IFERROR(INDEX(DATA_PROPERTY_MASTER!$F$5:$F$21,MATCH($A336,DATA_PROPERTY_MASTER!$A$5:$A$21,0)),"")</f>
        <v>Refi Watch</v>
      </c>
      <c r="I336" t="s">
        <v>1503</v>
      </c>
      <c r="J336" s="348" t="str">
        <f t="shared" ca="1" si="17"/>
        <v>Formula-linked</v>
      </c>
    </row>
    <row r="337" spans="1:10">
      <c r="A337" s="366" t="s">
        <v>453</v>
      </c>
      <c r="B337" s="366">
        <v>2035</v>
      </c>
      <c r="C337" s="366" t="s">
        <v>370</v>
      </c>
      <c r="D337" s="366">
        <v>64</v>
      </c>
      <c r="E337" s="348">
        <f t="shared" ca="1" si="15"/>
        <v>0</v>
      </c>
      <c r="F337" s="348" t="str">
        <f t="shared" si="16"/>
        <v>BLD_EE</v>
      </c>
      <c r="G337" s="348" t="str">
        <f>IFERROR(INDEX(DATA_PROPERTY_MASTER!$E$5:$E$21,MATCH($A337,DATA_PROPERTY_MASTER!$A$5:$A$21,0)),"")</f>
        <v>Yes</v>
      </c>
      <c r="H337" s="348" t="str">
        <f ca="1">IFERROR(INDEX(DATA_PROPERTY_MASTER!$F$5:$F$21,MATCH($A337,DATA_PROPERTY_MASTER!$A$5:$A$21,0)),"")</f>
        <v>Refi Watch</v>
      </c>
      <c r="I337" t="s">
        <v>1498</v>
      </c>
      <c r="J337" s="348" t="str">
        <f t="shared" ca="1" si="17"/>
        <v>Formula-linked</v>
      </c>
    </row>
    <row r="338" spans="1:10">
      <c r="A338" s="366" t="s">
        <v>453</v>
      </c>
      <c r="B338" s="366">
        <v>2035</v>
      </c>
      <c r="C338" s="366" t="s">
        <v>544</v>
      </c>
      <c r="D338" s="366">
        <v>68</v>
      </c>
      <c r="E338" s="348">
        <f t="shared" ca="1" si="15"/>
        <v>118543.39311893922</v>
      </c>
      <c r="F338" s="348" t="str">
        <f t="shared" si="16"/>
        <v>BLD_EE</v>
      </c>
      <c r="G338" s="348" t="str">
        <f>IFERROR(INDEX(DATA_PROPERTY_MASTER!$E$5:$E$21,MATCH($A338,DATA_PROPERTY_MASTER!$A$5:$A$21,0)),"")</f>
        <v>Yes</v>
      </c>
      <c r="H338" s="348" t="str">
        <f ca="1">IFERROR(INDEX(DATA_PROPERTY_MASTER!$F$5:$F$21,MATCH($A338,DATA_PROPERTY_MASTER!$A$5:$A$21,0)),"")</f>
        <v>Refi Watch</v>
      </c>
      <c r="I338" t="s">
        <v>1501</v>
      </c>
      <c r="J338" s="348" t="str">
        <f t="shared" ca="1" si="17"/>
        <v>Formula-linked</v>
      </c>
    </row>
    <row r="339" spans="1:10">
      <c r="A339" s="366" t="s">
        <v>453</v>
      </c>
      <c r="B339" s="366">
        <v>2035</v>
      </c>
      <c r="C339" s="366" t="s">
        <v>378</v>
      </c>
      <c r="D339" s="366">
        <v>73</v>
      </c>
      <c r="E339" s="348">
        <f t="shared" ca="1" si="15"/>
        <v>4939308.0466224672</v>
      </c>
      <c r="F339" s="348" t="str">
        <f t="shared" si="16"/>
        <v>BLD_EE</v>
      </c>
      <c r="G339" s="348" t="str">
        <f>IFERROR(INDEX(DATA_PROPERTY_MASTER!$E$5:$E$21,MATCH($A339,DATA_PROPERTY_MASTER!$A$5:$A$21,0)),"")</f>
        <v>Yes</v>
      </c>
      <c r="H339" s="348" t="str">
        <f ca="1">IFERROR(INDEX(DATA_PROPERTY_MASTER!$F$5:$F$21,MATCH($A339,DATA_PROPERTY_MASTER!$A$5:$A$21,0)),"")</f>
        <v>Refi Watch</v>
      </c>
      <c r="I339" t="s">
        <v>1505</v>
      </c>
      <c r="J339" s="348" t="str">
        <f t="shared" ca="1" si="17"/>
        <v>Formula-linked</v>
      </c>
    </row>
    <row r="340" spans="1:10">
      <c r="A340" s="366" t="s">
        <v>453</v>
      </c>
      <c r="B340" s="366">
        <v>2035</v>
      </c>
      <c r="C340" s="366" t="s">
        <v>1506</v>
      </c>
      <c r="D340" s="366">
        <v>77</v>
      </c>
      <c r="E340" s="348">
        <f t="shared" ca="1" si="15"/>
        <v>4939308.0466224672</v>
      </c>
      <c r="F340" s="348" t="str">
        <f t="shared" si="16"/>
        <v>BLD_EE</v>
      </c>
      <c r="G340" s="348" t="str">
        <f>IFERROR(INDEX(DATA_PROPERTY_MASTER!$E$5:$E$21,MATCH($A340,DATA_PROPERTY_MASTER!$A$5:$A$21,0)),"")</f>
        <v>Yes</v>
      </c>
      <c r="H340" s="348" t="str">
        <f ca="1">IFERROR(INDEX(DATA_PROPERTY_MASTER!$F$5:$F$21,MATCH($A340,DATA_PROPERTY_MASTER!$A$5:$A$21,0)),"")</f>
        <v>Refi Watch</v>
      </c>
      <c r="I340" t="s">
        <v>1505</v>
      </c>
      <c r="J340" s="348" t="str">
        <f t="shared" ca="1" si="17"/>
        <v>Formula-linked</v>
      </c>
    </row>
    <row r="341" spans="1:10">
      <c r="A341" s="366" t="s">
        <v>456</v>
      </c>
      <c r="B341" s="366">
        <v>2025</v>
      </c>
      <c r="C341" s="366" t="s">
        <v>341</v>
      </c>
      <c r="D341" s="366">
        <v>24</v>
      </c>
      <c r="E341" s="348">
        <f t="shared" ca="1" si="15"/>
        <v>396061.12</v>
      </c>
      <c r="F341" s="348" t="str">
        <f t="shared" si="16"/>
        <v>BLD_JP</v>
      </c>
      <c r="G341" s="348" t="str">
        <f>IFERROR(INDEX(DATA_PROPERTY_MASTER!$E$5:$E$21,MATCH($A341,DATA_PROPERTY_MASTER!$A$5:$A$21,0)),"")</f>
        <v>Yes</v>
      </c>
      <c r="H341" s="348" t="str">
        <f ca="1">IFERROR(INDEX(DATA_PROPERTY_MASTER!$F$5:$F$21,MATCH($A341,DATA_PROPERTY_MASTER!$A$5:$A$21,0)),"")</f>
        <v>Refi Watch</v>
      </c>
      <c r="I341" t="s">
        <v>1495</v>
      </c>
      <c r="J341" s="348" t="str">
        <f t="shared" ca="1" si="17"/>
        <v>Formula-linked</v>
      </c>
    </row>
    <row r="342" spans="1:10">
      <c r="A342" s="366" t="s">
        <v>456</v>
      </c>
      <c r="B342" s="366">
        <v>2025</v>
      </c>
      <c r="C342" s="366" t="s">
        <v>355</v>
      </c>
      <c r="D342" s="366">
        <v>39</v>
      </c>
      <c r="E342" s="348">
        <f t="shared" ca="1" si="15"/>
        <v>254697</v>
      </c>
      <c r="F342" s="348" t="str">
        <f t="shared" si="16"/>
        <v>BLD_JP</v>
      </c>
      <c r="G342" s="348" t="str">
        <f>IFERROR(INDEX(DATA_PROPERTY_MASTER!$E$5:$E$21,MATCH($A342,DATA_PROPERTY_MASTER!$A$5:$A$21,0)),"")</f>
        <v>Yes</v>
      </c>
      <c r="H342" s="348" t="str">
        <f ca="1">IFERROR(INDEX(DATA_PROPERTY_MASTER!$F$5:$F$21,MATCH($A342,DATA_PROPERTY_MASTER!$A$5:$A$21,0)),"")</f>
        <v>Refi Watch</v>
      </c>
      <c r="I342" t="s">
        <v>1496</v>
      </c>
      <c r="J342" s="348" t="str">
        <f t="shared" ca="1" si="17"/>
        <v>Formula-linked</v>
      </c>
    </row>
    <row r="343" spans="1:10">
      <c r="A343" s="366" t="s">
        <v>456</v>
      </c>
      <c r="B343" s="366">
        <v>2025</v>
      </c>
      <c r="C343" s="366" t="s">
        <v>1497</v>
      </c>
      <c r="D343" s="366">
        <v>41</v>
      </c>
      <c r="E343" s="348">
        <f t="shared" ca="1" si="15"/>
        <v>141364.12</v>
      </c>
      <c r="F343" s="348" t="str">
        <f t="shared" si="16"/>
        <v>BLD_JP</v>
      </c>
      <c r="G343" s="348" t="str">
        <f>IFERROR(INDEX(DATA_PROPERTY_MASTER!$E$5:$E$21,MATCH($A343,DATA_PROPERTY_MASTER!$A$5:$A$21,0)),"")</f>
        <v>Yes</v>
      </c>
      <c r="H343" s="348" t="str">
        <f ca="1">IFERROR(INDEX(DATA_PROPERTY_MASTER!$F$5:$F$21,MATCH($A343,DATA_PROPERTY_MASTER!$A$5:$A$21,0)),"")</f>
        <v>Refi Watch</v>
      </c>
      <c r="I343" t="s">
        <v>1497</v>
      </c>
      <c r="J343" s="348" t="str">
        <f t="shared" ca="1" si="17"/>
        <v>Formula-linked</v>
      </c>
    </row>
    <row r="344" spans="1:10">
      <c r="A344" s="366" t="s">
        <v>456</v>
      </c>
      <c r="B344" s="366">
        <v>2025</v>
      </c>
      <c r="C344" s="366" t="s">
        <v>21</v>
      </c>
      <c r="D344" s="366">
        <v>45</v>
      </c>
      <c r="E344" s="348">
        <f t="shared" ca="1" si="15"/>
        <v>135364.12</v>
      </c>
      <c r="F344" s="348" t="str">
        <f t="shared" si="16"/>
        <v>BLD_JP</v>
      </c>
      <c r="G344" s="348" t="str">
        <f>IFERROR(INDEX(DATA_PROPERTY_MASTER!$E$5:$E$21,MATCH($A344,DATA_PROPERTY_MASTER!$A$5:$A$21,0)),"")</f>
        <v>Yes</v>
      </c>
      <c r="H344" s="348" t="str">
        <f ca="1">IFERROR(INDEX(DATA_PROPERTY_MASTER!$F$5:$F$21,MATCH($A344,DATA_PROPERTY_MASTER!$A$5:$A$21,0)),"")</f>
        <v>Refi Watch</v>
      </c>
      <c r="I344" t="s">
        <v>1497</v>
      </c>
      <c r="J344" s="348" t="str">
        <f t="shared" ca="1" si="17"/>
        <v>Formula-linked</v>
      </c>
    </row>
    <row r="345" spans="1:10">
      <c r="A345" s="366" t="s">
        <v>456</v>
      </c>
      <c r="B345" s="366">
        <v>2025</v>
      </c>
      <c r="C345" s="366" t="s">
        <v>23</v>
      </c>
      <c r="D345" s="366">
        <v>48</v>
      </c>
      <c r="E345" s="348">
        <f t="shared" ca="1" si="15"/>
        <v>176698.83</v>
      </c>
      <c r="F345" s="348" t="str">
        <f t="shared" si="16"/>
        <v>BLD_JP</v>
      </c>
      <c r="G345" s="348" t="str">
        <f>IFERROR(INDEX(DATA_PROPERTY_MASTER!$E$5:$E$21,MATCH($A345,DATA_PROPERTY_MASTER!$A$5:$A$21,0)),"")</f>
        <v>Yes</v>
      </c>
      <c r="H345" s="348" t="str">
        <f ca="1">IFERROR(INDEX(DATA_PROPERTY_MASTER!$F$5:$F$21,MATCH($A345,DATA_PROPERTY_MASTER!$A$5:$A$21,0)),"")</f>
        <v>Refi Watch</v>
      </c>
      <c r="I345" t="s">
        <v>1498</v>
      </c>
      <c r="J345" s="348" t="str">
        <f t="shared" ca="1" si="17"/>
        <v>Formula-linked</v>
      </c>
    </row>
    <row r="346" spans="1:10">
      <c r="A346" s="366" t="s">
        <v>456</v>
      </c>
      <c r="B346" s="366">
        <v>2025</v>
      </c>
      <c r="C346" s="366" t="s">
        <v>213</v>
      </c>
      <c r="D346" s="366">
        <v>50</v>
      </c>
      <c r="E346" s="348">
        <f t="shared" ca="1" si="15"/>
        <v>0.8000286136586191</v>
      </c>
      <c r="F346" s="348" t="str">
        <f t="shared" si="16"/>
        <v>BLD_JP</v>
      </c>
      <c r="G346" s="348" t="str">
        <f>IFERROR(INDEX(DATA_PROPERTY_MASTER!$E$5:$E$21,MATCH($A346,DATA_PROPERTY_MASTER!$A$5:$A$21,0)),"")</f>
        <v>Yes</v>
      </c>
      <c r="H346" s="348" t="str">
        <f ca="1">IFERROR(INDEX(DATA_PROPERTY_MASTER!$F$5:$F$21,MATCH($A346,DATA_PROPERTY_MASTER!$A$5:$A$21,0)),"")</f>
        <v>Refi Watch</v>
      </c>
      <c r="I346" t="s">
        <v>1499</v>
      </c>
      <c r="J346" s="348" t="str">
        <f t="shared" ca="1" si="17"/>
        <v>Formula-linked</v>
      </c>
    </row>
    <row r="347" spans="1:10">
      <c r="A347" s="366" t="s">
        <v>456</v>
      </c>
      <c r="B347" s="366">
        <v>2025</v>
      </c>
      <c r="C347" s="366" t="s">
        <v>1500</v>
      </c>
      <c r="D347" s="366">
        <v>52</v>
      </c>
      <c r="E347" s="348">
        <f t="shared" ca="1" si="15"/>
        <v>-35334.709999999992</v>
      </c>
      <c r="F347" s="348" t="str">
        <f t="shared" si="16"/>
        <v>BLD_JP</v>
      </c>
      <c r="G347" s="348" t="str">
        <f>IFERROR(INDEX(DATA_PROPERTY_MASTER!$E$5:$E$21,MATCH($A347,DATA_PROPERTY_MASTER!$A$5:$A$21,0)),"")</f>
        <v>Yes</v>
      </c>
      <c r="H347" s="348" t="str">
        <f ca="1">IFERROR(INDEX(DATA_PROPERTY_MASTER!$F$5:$F$21,MATCH($A347,DATA_PROPERTY_MASTER!$A$5:$A$21,0)),"")</f>
        <v>Refi Watch</v>
      </c>
      <c r="I347" t="s">
        <v>1501</v>
      </c>
      <c r="J347" s="348" t="str">
        <f t="shared" ca="1" si="17"/>
        <v>Formula-linked</v>
      </c>
    </row>
    <row r="348" spans="1:10">
      <c r="A348" s="366" t="s">
        <v>456</v>
      </c>
      <c r="B348" s="366">
        <v>2025</v>
      </c>
      <c r="C348" s="366" t="s">
        <v>27</v>
      </c>
      <c r="D348" s="366">
        <v>54</v>
      </c>
      <c r="E348" s="348">
        <f t="shared" ca="1" si="15"/>
        <v>0</v>
      </c>
      <c r="F348" s="348" t="str">
        <f t="shared" si="16"/>
        <v>BLD_JP</v>
      </c>
      <c r="G348" s="348" t="str">
        <f>IFERROR(INDEX(DATA_PROPERTY_MASTER!$E$5:$E$21,MATCH($A348,DATA_PROPERTY_MASTER!$A$5:$A$21,0)),"")</f>
        <v>Yes</v>
      </c>
      <c r="H348" s="348" t="str">
        <f ca="1">IFERROR(INDEX(DATA_PROPERTY_MASTER!$F$5:$F$21,MATCH($A348,DATA_PROPERTY_MASTER!$A$5:$A$21,0)),"")</f>
        <v>Refi Watch</v>
      </c>
      <c r="I348" t="s">
        <v>1501</v>
      </c>
      <c r="J348" s="348" t="str">
        <f t="shared" ca="1" si="17"/>
        <v>Formula-linked</v>
      </c>
    </row>
    <row r="349" spans="1:10">
      <c r="A349" s="366" t="s">
        <v>456</v>
      </c>
      <c r="B349" s="366">
        <v>2025</v>
      </c>
      <c r="C349" s="366" t="s">
        <v>1502</v>
      </c>
      <c r="D349" s="366">
        <v>56</v>
      </c>
      <c r="E349" s="348">
        <f t="shared" ca="1" si="15"/>
        <v>-35334.709999999992</v>
      </c>
      <c r="F349" s="348" t="str">
        <f t="shared" si="16"/>
        <v>BLD_JP</v>
      </c>
      <c r="G349" s="348" t="str">
        <f>IFERROR(INDEX(DATA_PROPERTY_MASTER!$E$5:$E$21,MATCH($A349,DATA_PROPERTY_MASTER!$A$5:$A$21,0)),"")</f>
        <v>Yes</v>
      </c>
      <c r="H349" s="348" t="str">
        <f ca="1">IFERROR(INDEX(DATA_PROPERTY_MASTER!$F$5:$F$21,MATCH($A349,DATA_PROPERTY_MASTER!$A$5:$A$21,0)),"")</f>
        <v>Refi Watch</v>
      </c>
      <c r="I349" t="s">
        <v>1501</v>
      </c>
      <c r="J349" s="348" t="str">
        <f t="shared" ca="1" si="17"/>
        <v>Formula-linked</v>
      </c>
    </row>
    <row r="350" spans="1:10">
      <c r="A350" s="366" t="s">
        <v>456</v>
      </c>
      <c r="B350" s="366">
        <v>2025</v>
      </c>
      <c r="C350" s="366" t="s">
        <v>367</v>
      </c>
      <c r="D350" s="366">
        <v>61</v>
      </c>
      <c r="E350" s="348">
        <f t="shared" ca="1" si="15"/>
        <v>0</v>
      </c>
      <c r="F350" s="348" t="str">
        <f t="shared" si="16"/>
        <v>BLD_JP</v>
      </c>
      <c r="G350" s="348" t="str">
        <f>IFERROR(INDEX(DATA_PROPERTY_MASTER!$E$5:$E$21,MATCH($A350,DATA_PROPERTY_MASTER!$A$5:$A$21,0)),"")</f>
        <v>Yes</v>
      </c>
      <c r="H350" s="348" t="str">
        <f ca="1">IFERROR(INDEX(DATA_PROPERTY_MASTER!$F$5:$F$21,MATCH($A350,DATA_PROPERTY_MASTER!$A$5:$A$21,0)),"")</f>
        <v>Refi Watch</v>
      </c>
      <c r="I350" t="s">
        <v>1503</v>
      </c>
      <c r="J350" s="348" t="str">
        <f t="shared" ca="1" si="17"/>
        <v>Formula-linked</v>
      </c>
    </row>
    <row r="351" spans="1:10">
      <c r="A351" s="366" t="s">
        <v>456</v>
      </c>
      <c r="B351" s="366">
        <v>2025</v>
      </c>
      <c r="C351" s="366" t="s">
        <v>368</v>
      </c>
      <c r="D351" s="366">
        <v>62</v>
      </c>
      <c r="E351" s="348">
        <f t="shared" ca="1" si="15"/>
        <v>0</v>
      </c>
      <c r="F351" s="348" t="str">
        <f t="shared" si="16"/>
        <v>BLD_JP</v>
      </c>
      <c r="G351" s="348" t="str">
        <f>IFERROR(INDEX(DATA_PROPERTY_MASTER!$E$5:$E$21,MATCH($A351,DATA_PROPERTY_MASTER!$A$5:$A$21,0)),"")</f>
        <v>Yes</v>
      </c>
      <c r="H351" s="348" t="str">
        <f ca="1">IFERROR(INDEX(DATA_PROPERTY_MASTER!$F$5:$F$21,MATCH($A351,DATA_PROPERTY_MASTER!$A$5:$A$21,0)),"")</f>
        <v>Refi Watch</v>
      </c>
      <c r="I351" t="s">
        <v>1503</v>
      </c>
      <c r="J351" s="348" t="str">
        <f t="shared" ca="1" si="17"/>
        <v>Formula-linked</v>
      </c>
    </row>
    <row r="352" spans="1:10">
      <c r="A352" s="366" t="s">
        <v>456</v>
      </c>
      <c r="B352" s="366">
        <v>2025</v>
      </c>
      <c r="C352" s="366" t="s">
        <v>1504</v>
      </c>
      <c r="D352" s="366">
        <v>63</v>
      </c>
      <c r="E352" s="348">
        <f t="shared" ca="1" si="15"/>
        <v>0</v>
      </c>
      <c r="F352" s="348" t="str">
        <f t="shared" si="16"/>
        <v>BLD_JP</v>
      </c>
      <c r="G352" s="348" t="str">
        <f>IFERROR(INDEX(DATA_PROPERTY_MASTER!$E$5:$E$21,MATCH($A352,DATA_PROPERTY_MASTER!$A$5:$A$21,0)),"")</f>
        <v>Yes</v>
      </c>
      <c r="H352" s="348" t="str">
        <f ca="1">IFERROR(INDEX(DATA_PROPERTY_MASTER!$F$5:$F$21,MATCH($A352,DATA_PROPERTY_MASTER!$A$5:$A$21,0)),"")</f>
        <v>Refi Watch</v>
      </c>
      <c r="I352" t="s">
        <v>1503</v>
      </c>
      <c r="J352" s="348" t="str">
        <f t="shared" ca="1" si="17"/>
        <v>Formula-linked</v>
      </c>
    </row>
    <row r="353" spans="1:10">
      <c r="A353" s="366" t="s">
        <v>456</v>
      </c>
      <c r="B353" s="366">
        <v>2025</v>
      </c>
      <c r="C353" s="366" t="s">
        <v>370</v>
      </c>
      <c r="D353" s="366">
        <v>64</v>
      </c>
      <c r="E353" s="348">
        <f t="shared" ca="1" si="15"/>
        <v>1784.6581829999923</v>
      </c>
      <c r="F353" s="348" t="str">
        <f t="shared" si="16"/>
        <v>BLD_JP</v>
      </c>
      <c r="G353" s="348" t="str">
        <f>IFERROR(INDEX(DATA_PROPERTY_MASTER!$E$5:$E$21,MATCH($A353,DATA_PROPERTY_MASTER!$A$5:$A$21,0)),"")</f>
        <v>Yes</v>
      </c>
      <c r="H353" s="348" t="str">
        <f ca="1">IFERROR(INDEX(DATA_PROPERTY_MASTER!$F$5:$F$21,MATCH($A353,DATA_PROPERTY_MASTER!$A$5:$A$21,0)),"")</f>
        <v>Refi Watch</v>
      </c>
      <c r="I353" t="s">
        <v>1498</v>
      </c>
      <c r="J353" s="348" t="str">
        <f t="shared" ca="1" si="17"/>
        <v>Formula-linked</v>
      </c>
    </row>
    <row r="354" spans="1:10">
      <c r="A354" s="366" t="s">
        <v>456</v>
      </c>
      <c r="B354" s="366">
        <v>2025</v>
      </c>
      <c r="C354" s="366" t="s">
        <v>544</v>
      </c>
      <c r="D354" s="366">
        <v>68</v>
      </c>
      <c r="E354" s="348">
        <f t="shared" ca="1" si="15"/>
        <v>-35334.709999999992</v>
      </c>
      <c r="F354" s="348" t="str">
        <f t="shared" si="16"/>
        <v>BLD_JP</v>
      </c>
      <c r="G354" s="348" t="str">
        <f>IFERROR(INDEX(DATA_PROPERTY_MASTER!$E$5:$E$21,MATCH($A354,DATA_PROPERTY_MASTER!$A$5:$A$21,0)),"")</f>
        <v>Yes</v>
      </c>
      <c r="H354" s="348" t="str">
        <f ca="1">IFERROR(INDEX(DATA_PROPERTY_MASTER!$F$5:$F$21,MATCH($A354,DATA_PROPERTY_MASTER!$A$5:$A$21,0)),"")</f>
        <v>Refi Watch</v>
      </c>
      <c r="I354" t="s">
        <v>1501</v>
      </c>
      <c r="J354" s="348" t="str">
        <f t="shared" ca="1" si="17"/>
        <v>Formula-linked</v>
      </c>
    </row>
    <row r="355" spans="1:10">
      <c r="A355" s="366" t="s">
        <v>456</v>
      </c>
      <c r="B355" s="366">
        <v>2025</v>
      </c>
      <c r="C355" s="366" t="s">
        <v>378</v>
      </c>
      <c r="D355" s="366">
        <v>73</v>
      </c>
      <c r="E355" s="348">
        <f t="shared" ca="1" si="15"/>
        <v>2356068.6666666665</v>
      </c>
      <c r="F355" s="348" t="str">
        <f t="shared" si="16"/>
        <v>BLD_JP</v>
      </c>
      <c r="G355" s="348" t="str">
        <f>IFERROR(INDEX(DATA_PROPERTY_MASTER!$E$5:$E$21,MATCH($A355,DATA_PROPERTY_MASTER!$A$5:$A$21,0)),"")</f>
        <v>Yes</v>
      </c>
      <c r="H355" s="348" t="str">
        <f ca="1">IFERROR(INDEX(DATA_PROPERTY_MASTER!$F$5:$F$21,MATCH($A355,DATA_PROPERTY_MASTER!$A$5:$A$21,0)),"")</f>
        <v>Refi Watch</v>
      </c>
      <c r="I355" t="s">
        <v>1505</v>
      </c>
      <c r="J355" s="348" t="str">
        <f t="shared" ca="1" si="17"/>
        <v>Formula-linked</v>
      </c>
    </row>
    <row r="356" spans="1:10">
      <c r="A356" s="366" t="s">
        <v>456</v>
      </c>
      <c r="B356" s="366">
        <v>2025</v>
      </c>
      <c r="C356" s="366" t="s">
        <v>1506</v>
      </c>
      <c r="D356" s="366">
        <v>77</v>
      </c>
      <c r="E356" s="348">
        <f t="shared" ca="1" si="15"/>
        <v>2354284.0084836665</v>
      </c>
      <c r="F356" s="348" t="str">
        <f t="shared" si="16"/>
        <v>BLD_JP</v>
      </c>
      <c r="G356" s="348" t="str">
        <f>IFERROR(INDEX(DATA_PROPERTY_MASTER!$E$5:$E$21,MATCH($A356,DATA_PROPERTY_MASTER!$A$5:$A$21,0)),"")</f>
        <v>Yes</v>
      </c>
      <c r="H356" s="348" t="str">
        <f ca="1">IFERROR(INDEX(DATA_PROPERTY_MASTER!$F$5:$F$21,MATCH($A356,DATA_PROPERTY_MASTER!$A$5:$A$21,0)),"")</f>
        <v>Refi Watch</v>
      </c>
      <c r="I356" t="s">
        <v>1505</v>
      </c>
      <c r="J356" s="348" t="str">
        <f t="shared" ca="1" si="17"/>
        <v>Formula-linked</v>
      </c>
    </row>
    <row r="357" spans="1:10">
      <c r="A357" s="366" t="s">
        <v>456</v>
      </c>
      <c r="B357" s="366">
        <v>2029</v>
      </c>
      <c r="C357" s="366" t="s">
        <v>341</v>
      </c>
      <c r="D357" s="366">
        <v>24</v>
      </c>
      <c r="E357" s="348">
        <f t="shared" ca="1" si="15"/>
        <v>532288.43932803825</v>
      </c>
      <c r="F357" s="348" t="str">
        <f t="shared" si="16"/>
        <v>BLD_JP</v>
      </c>
      <c r="G357" s="348" t="str">
        <f>IFERROR(INDEX(DATA_PROPERTY_MASTER!$E$5:$E$21,MATCH($A357,DATA_PROPERTY_MASTER!$A$5:$A$21,0)),"")</f>
        <v>Yes</v>
      </c>
      <c r="H357" s="348" t="str">
        <f ca="1">IFERROR(INDEX(DATA_PROPERTY_MASTER!$F$5:$F$21,MATCH($A357,DATA_PROPERTY_MASTER!$A$5:$A$21,0)),"")</f>
        <v>Refi Watch</v>
      </c>
      <c r="I357" t="s">
        <v>1495</v>
      </c>
      <c r="J357" s="348" t="str">
        <f t="shared" ca="1" si="17"/>
        <v>Formula-linked</v>
      </c>
    </row>
    <row r="358" spans="1:10">
      <c r="A358" s="366" t="s">
        <v>456</v>
      </c>
      <c r="B358" s="366">
        <v>2029</v>
      </c>
      <c r="C358" s="366" t="s">
        <v>355</v>
      </c>
      <c r="D358" s="366">
        <v>39</v>
      </c>
      <c r="E358" s="348">
        <f t="shared" ca="1" si="15"/>
        <v>297959.46565632004</v>
      </c>
      <c r="F358" s="348" t="str">
        <f t="shared" si="16"/>
        <v>BLD_JP</v>
      </c>
      <c r="G358" s="348" t="str">
        <f>IFERROR(INDEX(DATA_PROPERTY_MASTER!$E$5:$E$21,MATCH($A358,DATA_PROPERTY_MASTER!$A$5:$A$21,0)),"")</f>
        <v>Yes</v>
      </c>
      <c r="H358" s="348" t="str">
        <f ca="1">IFERROR(INDEX(DATA_PROPERTY_MASTER!$F$5:$F$21,MATCH($A358,DATA_PROPERTY_MASTER!$A$5:$A$21,0)),"")</f>
        <v>Refi Watch</v>
      </c>
      <c r="I358" t="s">
        <v>1496</v>
      </c>
      <c r="J358" s="348" t="str">
        <f t="shared" ca="1" si="17"/>
        <v>Formula-linked</v>
      </c>
    </row>
    <row r="359" spans="1:10">
      <c r="A359" s="366" t="s">
        <v>456</v>
      </c>
      <c r="B359" s="366">
        <v>2029</v>
      </c>
      <c r="C359" s="366" t="s">
        <v>1497</v>
      </c>
      <c r="D359" s="366">
        <v>41</v>
      </c>
      <c r="E359" s="348">
        <f t="shared" ca="1" si="15"/>
        <v>234328.97367171821</v>
      </c>
      <c r="F359" s="348" t="str">
        <f t="shared" si="16"/>
        <v>BLD_JP</v>
      </c>
      <c r="G359" s="348" t="str">
        <f>IFERROR(INDEX(DATA_PROPERTY_MASTER!$E$5:$E$21,MATCH($A359,DATA_PROPERTY_MASTER!$A$5:$A$21,0)),"")</f>
        <v>Yes</v>
      </c>
      <c r="H359" s="348" t="str">
        <f ca="1">IFERROR(INDEX(DATA_PROPERTY_MASTER!$F$5:$F$21,MATCH($A359,DATA_PROPERTY_MASTER!$A$5:$A$21,0)),"")</f>
        <v>Refi Watch</v>
      </c>
      <c r="I359" t="s">
        <v>1497</v>
      </c>
      <c r="J359" s="348" t="str">
        <f t="shared" ca="1" si="17"/>
        <v>Formula-linked</v>
      </c>
    </row>
    <row r="360" spans="1:10">
      <c r="A360" s="366" t="s">
        <v>456</v>
      </c>
      <c r="B360" s="366">
        <v>2029</v>
      </c>
      <c r="C360" s="366" t="s">
        <v>21</v>
      </c>
      <c r="D360" s="366">
        <v>45</v>
      </c>
      <c r="E360" s="348">
        <f t="shared" ca="1" si="15"/>
        <v>227834.3807117182</v>
      </c>
      <c r="F360" s="348" t="str">
        <f t="shared" si="16"/>
        <v>BLD_JP</v>
      </c>
      <c r="G360" s="348" t="str">
        <f>IFERROR(INDEX(DATA_PROPERTY_MASTER!$E$5:$E$21,MATCH($A360,DATA_PROPERTY_MASTER!$A$5:$A$21,0)),"")</f>
        <v>Yes</v>
      </c>
      <c r="H360" s="348" t="str">
        <f ca="1">IFERROR(INDEX(DATA_PROPERTY_MASTER!$F$5:$F$21,MATCH($A360,DATA_PROPERTY_MASTER!$A$5:$A$21,0)),"")</f>
        <v>Refi Watch</v>
      </c>
      <c r="I360" t="s">
        <v>1497</v>
      </c>
      <c r="J360" s="348" t="str">
        <f t="shared" ca="1" si="17"/>
        <v>Formula-linked</v>
      </c>
    </row>
    <row r="361" spans="1:10">
      <c r="A361" s="366" t="s">
        <v>456</v>
      </c>
      <c r="B361" s="366">
        <v>2029</v>
      </c>
      <c r="C361" s="366" t="s">
        <v>23</v>
      </c>
      <c r="D361" s="366">
        <v>48</v>
      </c>
      <c r="E361" s="348">
        <f t="shared" ca="1" si="15"/>
        <v>0</v>
      </c>
      <c r="F361" s="348" t="str">
        <f t="shared" si="16"/>
        <v>BLD_JP</v>
      </c>
      <c r="G361" s="348" t="str">
        <f>IFERROR(INDEX(DATA_PROPERTY_MASTER!$E$5:$E$21,MATCH($A361,DATA_PROPERTY_MASTER!$A$5:$A$21,0)),"")</f>
        <v>Yes</v>
      </c>
      <c r="H361" s="348" t="str">
        <f ca="1">IFERROR(INDEX(DATA_PROPERTY_MASTER!$F$5:$F$21,MATCH($A361,DATA_PROPERTY_MASTER!$A$5:$A$21,0)),"")</f>
        <v>Refi Watch</v>
      </c>
      <c r="I361" t="s">
        <v>1498</v>
      </c>
      <c r="J361" s="348" t="str">
        <f t="shared" ca="1" si="17"/>
        <v>Formula-linked</v>
      </c>
    </row>
    <row r="362" spans="1:10">
      <c r="A362" s="366" t="s">
        <v>456</v>
      </c>
      <c r="B362" s="366">
        <v>2029</v>
      </c>
      <c r="C362" s="366" t="s">
        <v>213</v>
      </c>
      <c r="D362" s="366">
        <v>50</v>
      </c>
      <c r="E362" s="348" t="str">
        <f t="shared" ca="1" si="15"/>
        <v/>
      </c>
      <c r="F362" s="348" t="str">
        <f t="shared" si="16"/>
        <v>BLD_JP</v>
      </c>
      <c r="G362" s="348" t="str">
        <f>IFERROR(INDEX(DATA_PROPERTY_MASTER!$E$5:$E$21,MATCH($A362,DATA_PROPERTY_MASTER!$A$5:$A$21,0)),"")</f>
        <v>Yes</v>
      </c>
      <c r="H362" s="348" t="str">
        <f ca="1">IFERROR(INDEX(DATA_PROPERTY_MASTER!$F$5:$F$21,MATCH($A362,DATA_PROPERTY_MASTER!$A$5:$A$21,0)),"")</f>
        <v>Refi Watch</v>
      </c>
      <c r="I362" t="s">
        <v>1499</v>
      </c>
      <c r="J362" s="348" t="str">
        <f t="shared" ca="1" si="17"/>
        <v>Review</v>
      </c>
    </row>
    <row r="363" spans="1:10">
      <c r="A363" s="366" t="s">
        <v>456</v>
      </c>
      <c r="B363" s="366">
        <v>2029</v>
      </c>
      <c r="C363" s="366" t="s">
        <v>1500</v>
      </c>
      <c r="D363" s="366">
        <v>52</v>
      </c>
      <c r="E363" s="348">
        <f t="shared" ca="1" si="15"/>
        <v>234328.97367171821</v>
      </c>
      <c r="F363" s="348" t="str">
        <f t="shared" si="16"/>
        <v>BLD_JP</v>
      </c>
      <c r="G363" s="348" t="str">
        <f>IFERROR(INDEX(DATA_PROPERTY_MASTER!$E$5:$E$21,MATCH($A363,DATA_PROPERTY_MASTER!$A$5:$A$21,0)),"")</f>
        <v>Yes</v>
      </c>
      <c r="H363" s="348" t="str">
        <f ca="1">IFERROR(INDEX(DATA_PROPERTY_MASTER!$F$5:$F$21,MATCH($A363,DATA_PROPERTY_MASTER!$A$5:$A$21,0)),"")</f>
        <v>Refi Watch</v>
      </c>
      <c r="I363" t="s">
        <v>1501</v>
      </c>
      <c r="J363" s="348" t="str">
        <f t="shared" ca="1" si="17"/>
        <v>Formula-linked</v>
      </c>
    </row>
    <row r="364" spans="1:10">
      <c r="A364" s="366" t="s">
        <v>456</v>
      </c>
      <c r="B364" s="366">
        <v>2029</v>
      </c>
      <c r="C364" s="366" t="s">
        <v>27</v>
      </c>
      <c r="D364" s="366">
        <v>54</v>
      </c>
      <c r="E364" s="348">
        <f t="shared" ca="1" si="15"/>
        <v>140597.38420303093</v>
      </c>
      <c r="F364" s="348" t="str">
        <f t="shared" si="16"/>
        <v>BLD_JP</v>
      </c>
      <c r="G364" s="348" t="str">
        <f>IFERROR(INDEX(DATA_PROPERTY_MASTER!$E$5:$E$21,MATCH($A364,DATA_PROPERTY_MASTER!$A$5:$A$21,0)),"")</f>
        <v>Yes</v>
      </c>
      <c r="H364" s="348" t="str">
        <f ca="1">IFERROR(INDEX(DATA_PROPERTY_MASTER!$F$5:$F$21,MATCH($A364,DATA_PROPERTY_MASTER!$A$5:$A$21,0)),"")</f>
        <v>Refi Watch</v>
      </c>
      <c r="I364" t="s">
        <v>1501</v>
      </c>
      <c r="J364" s="348" t="str">
        <f t="shared" ca="1" si="17"/>
        <v>Formula-linked</v>
      </c>
    </row>
    <row r="365" spans="1:10">
      <c r="A365" s="366" t="s">
        <v>456</v>
      </c>
      <c r="B365" s="366">
        <v>2029</v>
      </c>
      <c r="C365" s="366" t="s">
        <v>1502</v>
      </c>
      <c r="D365" s="366">
        <v>56</v>
      </c>
      <c r="E365" s="348">
        <f t="shared" ca="1" si="15"/>
        <v>93731.589468687278</v>
      </c>
      <c r="F365" s="348" t="str">
        <f t="shared" si="16"/>
        <v>BLD_JP</v>
      </c>
      <c r="G365" s="348" t="str">
        <f>IFERROR(INDEX(DATA_PROPERTY_MASTER!$E$5:$E$21,MATCH($A365,DATA_PROPERTY_MASTER!$A$5:$A$21,0)),"")</f>
        <v>Yes</v>
      </c>
      <c r="H365" s="348" t="str">
        <f ca="1">IFERROR(INDEX(DATA_PROPERTY_MASTER!$F$5:$F$21,MATCH($A365,DATA_PROPERTY_MASTER!$A$5:$A$21,0)),"")</f>
        <v>Refi Watch</v>
      </c>
      <c r="I365" t="s">
        <v>1501</v>
      </c>
      <c r="J365" s="348" t="str">
        <f t="shared" ca="1" si="17"/>
        <v>Formula-linked</v>
      </c>
    </row>
    <row r="366" spans="1:10">
      <c r="A366" s="366" t="s">
        <v>456</v>
      </c>
      <c r="B366" s="366">
        <v>2029</v>
      </c>
      <c r="C366" s="366" t="s">
        <v>367</v>
      </c>
      <c r="D366" s="366">
        <v>61</v>
      </c>
      <c r="E366" s="348">
        <f t="shared" ca="1" si="15"/>
        <v>0</v>
      </c>
      <c r="F366" s="348" t="str">
        <f t="shared" si="16"/>
        <v>BLD_JP</v>
      </c>
      <c r="G366" s="348" t="str">
        <f>IFERROR(INDEX(DATA_PROPERTY_MASTER!$E$5:$E$21,MATCH($A366,DATA_PROPERTY_MASTER!$A$5:$A$21,0)),"")</f>
        <v>Yes</v>
      </c>
      <c r="H366" s="348" t="str">
        <f ca="1">IFERROR(INDEX(DATA_PROPERTY_MASTER!$F$5:$F$21,MATCH($A366,DATA_PROPERTY_MASTER!$A$5:$A$21,0)),"")</f>
        <v>Refi Watch</v>
      </c>
      <c r="I366" t="s">
        <v>1503</v>
      </c>
      <c r="J366" s="348" t="str">
        <f t="shared" ca="1" si="17"/>
        <v>Formula-linked</v>
      </c>
    </row>
    <row r="367" spans="1:10">
      <c r="A367" s="366" t="s">
        <v>456</v>
      </c>
      <c r="B367" s="366">
        <v>2029</v>
      </c>
      <c r="C367" s="366" t="s">
        <v>368</v>
      </c>
      <c r="D367" s="366">
        <v>62</v>
      </c>
      <c r="E367" s="348">
        <f t="shared" ca="1" si="15"/>
        <v>0</v>
      </c>
      <c r="F367" s="348" t="str">
        <f t="shared" si="16"/>
        <v>BLD_JP</v>
      </c>
      <c r="G367" s="348" t="str">
        <f>IFERROR(INDEX(DATA_PROPERTY_MASTER!$E$5:$E$21,MATCH($A367,DATA_PROPERTY_MASTER!$A$5:$A$21,0)),"")</f>
        <v>Yes</v>
      </c>
      <c r="H367" s="348" t="str">
        <f ca="1">IFERROR(INDEX(DATA_PROPERTY_MASTER!$F$5:$F$21,MATCH($A367,DATA_PROPERTY_MASTER!$A$5:$A$21,0)),"")</f>
        <v>Refi Watch</v>
      </c>
      <c r="I367" t="s">
        <v>1503</v>
      </c>
      <c r="J367" s="348" t="str">
        <f t="shared" ca="1" si="17"/>
        <v>Formula-linked</v>
      </c>
    </row>
    <row r="368" spans="1:10">
      <c r="A368" s="366" t="s">
        <v>456</v>
      </c>
      <c r="B368" s="366">
        <v>2029</v>
      </c>
      <c r="C368" s="366" t="s">
        <v>1504</v>
      </c>
      <c r="D368" s="366">
        <v>63</v>
      </c>
      <c r="E368" s="348">
        <f t="shared" ca="1" si="15"/>
        <v>0</v>
      </c>
      <c r="F368" s="348" t="str">
        <f t="shared" si="16"/>
        <v>BLD_JP</v>
      </c>
      <c r="G368" s="348" t="str">
        <f>IFERROR(INDEX(DATA_PROPERTY_MASTER!$E$5:$E$21,MATCH($A368,DATA_PROPERTY_MASTER!$A$5:$A$21,0)),"")</f>
        <v>Yes</v>
      </c>
      <c r="H368" s="348" t="str">
        <f ca="1">IFERROR(INDEX(DATA_PROPERTY_MASTER!$F$5:$F$21,MATCH($A368,DATA_PROPERTY_MASTER!$A$5:$A$21,0)),"")</f>
        <v>Refi Watch</v>
      </c>
      <c r="I368" t="s">
        <v>1503</v>
      </c>
      <c r="J368" s="348" t="str">
        <f t="shared" ca="1" si="17"/>
        <v>Formula-linked</v>
      </c>
    </row>
    <row r="369" spans="1:10">
      <c r="A369" s="366" t="s">
        <v>456</v>
      </c>
      <c r="B369" s="366">
        <v>2029</v>
      </c>
      <c r="C369" s="366" t="s">
        <v>370</v>
      </c>
      <c r="D369" s="366">
        <v>64</v>
      </c>
      <c r="E369" s="348">
        <f t="shared" ca="1" si="15"/>
        <v>0</v>
      </c>
      <c r="F369" s="348" t="str">
        <f t="shared" si="16"/>
        <v>BLD_JP</v>
      </c>
      <c r="G369" s="348" t="str">
        <f>IFERROR(INDEX(DATA_PROPERTY_MASTER!$E$5:$E$21,MATCH($A369,DATA_PROPERTY_MASTER!$A$5:$A$21,0)),"")</f>
        <v>Yes</v>
      </c>
      <c r="H369" s="348" t="str">
        <f ca="1">IFERROR(INDEX(DATA_PROPERTY_MASTER!$F$5:$F$21,MATCH($A369,DATA_PROPERTY_MASTER!$A$5:$A$21,0)),"")</f>
        <v>Refi Watch</v>
      </c>
      <c r="I369" t="s">
        <v>1498</v>
      </c>
      <c r="J369" s="348" t="str">
        <f t="shared" ca="1" si="17"/>
        <v>Formula-linked</v>
      </c>
    </row>
    <row r="370" spans="1:10">
      <c r="A370" s="366" t="s">
        <v>456</v>
      </c>
      <c r="B370" s="366">
        <v>2029</v>
      </c>
      <c r="C370" s="366" t="s">
        <v>544</v>
      </c>
      <c r="D370" s="366">
        <v>68</v>
      </c>
      <c r="E370" s="348">
        <f t="shared" ca="1" si="15"/>
        <v>93731.589468687278</v>
      </c>
      <c r="F370" s="348" t="str">
        <f t="shared" si="16"/>
        <v>BLD_JP</v>
      </c>
      <c r="G370" s="348" t="str">
        <f>IFERROR(INDEX(DATA_PROPERTY_MASTER!$E$5:$E$21,MATCH($A370,DATA_PROPERTY_MASTER!$A$5:$A$21,0)),"")</f>
        <v>Yes</v>
      </c>
      <c r="H370" s="348" t="str">
        <f ca="1">IFERROR(INDEX(DATA_PROPERTY_MASTER!$F$5:$F$21,MATCH($A370,DATA_PROPERTY_MASTER!$A$5:$A$21,0)),"")</f>
        <v>Refi Watch</v>
      </c>
      <c r="I370" t="s">
        <v>1501</v>
      </c>
      <c r="J370" s="348" t="str">
        <f t="shared" ca="1" si="17"/>
        <v>Formula-linked</v>
      </c>
    </row>
    <row r="371" spans="1:10">
      <c r="A371" s="366" t="s">
        <v>456</v>
      </c>
      <c r="B371" s="366">
        <v>2029</v>
      </c>
      <c r="C371" s="366" t="s">
        <v>378</v>
      </c>
      <c r="D371" s="366">
        <v>73</v>
      </c>
      <c r="E371" s="348">
        <f t="shared" ca="1" si="15"/>
        <v>3905482.8945286372</v>
      </c>
      <c r="F371" s="348" t="str">
        <f t="shared" si="16"/>
        <v>BLD_JP</v>
      </c>
      <c r="G371" s="348" t="str">
        <f>IFERROR(INDEX(DATA_PROPERTY_MASTER!$E$5:$E$21,MATCH($A371,DATA_PROPERTY_MASTER!$A$5:$A$21,0)),"")</f>
        <v>Yes</v>
      </c>
      <c r="H371" s="348" t="str">
        <f ca="1">IFERROR(INDEX(DATA_PROPERTY_MASTER!$F$5:$F$21,MATCH($A371,DATA_PROPERTY_MASTER!$A$5:$A$21,0)),"")</f>
        <v>Refi Watch</v>
      </c>
      <c r="I371" t="s">
        <v>1505</v>
      </c>
      <c r="J371" s="348" t="str">
        <f t="shared" ca="1" si="17"/>
        <v>Formula-linked</v>
      </c>
    </row>
    <row r="372" spans="1:10">
      <c r="A372" s="366" t="s">
        <v>456</v>
      </c>
      <c r="B372" s="366">
        <v>2029</v>
      </c>
      <c r="C372" s="366" t="s">
        <v>1506</v>
      </c>
      <c r="D372" s="366">
        <v>77</v>
      </c>
      <c r="E372" s="348">
        <f t="shared" ca="1" si="15"/>
        <v>3905482.8945286372</v>
      </c>
      <c r="F372" s="348" t="str">
        <f t="shared" si="16"/>
        <v>BLD_JP</v>
      </c>
      <c r="G372" s="348" t="str">
        <f>IFERROR(INDEX(DATA_PROPERTY_MASTER!$E$5:$E$21,MATCH($A372,DATA_PROPERTY_MASTER!$A$5:$A$21,0)),"")</f>
        <v>Yes</v>
      </c>
      <c r="H372" s="348" t="str">
        <f ca="1">IFERROR(INDEX(DATA_PROPERTY_MASTER!$F$5:$F$21,MATCH($A372,DATA_PROPERTY_MASTER!$A$5:$A$21,0)),"")</f>
        <v>Refi Watch</v>
      </c>
      <c r="I372" t="s">
        <v>1505</v>
      </c>
      <c r="J372" s="348" t="str">
        <f t="shared" ca="1" si="17"/>
        <v>Formula-linked</v>
      </c>
    </row>
    <row r="373" spans="1:10">
      <c r="A373" s="366" t="s">
        <v>456</v>
      </c>
      <c r="B373" s="366">
        <v>2035</v>
      </c>
      <c r="C373" s="366" t="s">
        <v>341</v>
      </c>
      <c r="D373" s="366">
        <v>24</v>
      </c>
      <c r="E373" s="348">
        <f t="shared" ca="1" si="15"/>
        <v>599443.23657992261</v>
      </c>
      <c r="F373" s="348" t="str">
        <f t="shared" si="16"/>
        <v>BLD_JP</v>
      </c>
      <c r="G373" s="348" t="str">
        <f>IFERROR(INDEX(DATA_PROPERTY_MASTER!$E$5:$E$21,MATCH($A373,DATA_PROPERTY_MASTER!$A$5:$A$21,0)),"")</f>
        <v>Yes</v>
      </c>
      <c r="H373" s="348" t="str">
        <f ca="1">IFERROR(INDEX(DATA_PROPERTY_MASTER!$F$5:$F$21,MATCH($A373,DATA_PROPERTY_MASTER!$A$5:$A$21,0)),"")</f>
        <v>Refi Watch</v>
      </c>
      <c r="I373" t="s">
        <v>1495</v>
      </c>
      <c r="J373" s="348" t="str">
        <f t="shared" ca="1" si="17"/>
        <v>Formula-linked</v>
      </c>
    </row>
    <row r="374" spans="1:10">
      <c r="A374" s="366" t="s">
        <v>456</v>
      </c>
      <c r="B374" s="366">
        <v>2035</v>
      </c>
      <c r="C374" s="366" t="s">
        <v>355</v>
      </c>
      <c r="D374" s="366">
        <v>39</v>
      </c>
      <c r="E374" s="348">
        <f t="shared" ca="1" si="15"/>
        <v>371576.07990552281</v>
      </c>
      <c r="F374" s="348" t="str">
        <f t="shared" si="16"/>
        <v>BLD_JP</v>
      </c>
      <c r="G374" s="348" t="str">
        <f>IFERROR(INDEX(DATA_PROPERTY_MASTER!$E$5:$E$21,MATCH($A374,DATA_PROPERTY_MASTER!$A$5:$A$21,0)),"")</f>
        <v>Yes</v>
      </c>
      <c r="H374" s="348" t="str">
        <f ca="1">IFERROR(INDEX(DATA_PROPERTY_MASTER!$F$5:$F$21,MATCH($A374,DATA_PROPERTY_MASTER!$A$5:$A$21,0)),"")</f>
        <v>Refi Watch</v>
      </c>
      <c r="I374" t="s">
        <v>1496</v>
      </c>
      <c r="J374" s="348" t="str">
        <f t="shared" ca="1" si="17"/>
        <v>Formula-linked</v>
      </c>
    </row>
    <row r="375" spans="1:10">
      <c r="A375" s="366" t="s">
        <v>456</v>
      </c>
      <c r="B375" s="366">
        <v>2035</v>
      </c>
      <c r="C375" s="366" t="s">
        <v>1497</v>
      </c>
      <c r="D375" s="366">
        <v>41</v>
      </c>
      <c r="E375" s="348">
        <f t="shared" ca="1" si="15"/>
        <v>227867.1566743998</v>
      </c>
      <c r="F375" s="348" t="str">
        <f t="shared" si="16"/>
        <v>BLD_JP</v>
      </c>
      <c r="G375" s="348" t="str">
        <f>IFERROR(INDEX(DATA_PROPERTY_MASTER!$E$5:$E$21,MATCH($A375,DATA_PROPERTY_MASTER!$A$5:$A$21,0)),"")</f>
        <v>Yes</v>
      </c>
      <c r="H375" s="348" t="str">
        <f ca="1">IFERROR(INDEX(DATA_PROPERTY_MASTER!$F$5:$F$21,MATCH($A375,DATA_PROPERTY_MASTER!$A$5:$A$21,0)),"")</f>
        <v>Refi Watch</v>
      </c>
      <c r="I375" t="s">
        <v>1497</v>
      </c>
      <c r="J375" s="348" t="str">
        <f t="shared" ca="1" si="17"/>
        <v>Formula-linked</v>
      </c>
    </row>
    <row r="376" spans="1:10">
      <c r="A376" s="366" t="s">
        <v>456</v>
      </c>
      <c r="B376" s="366">
        <v>2035</v>
      </c>
      <c r="C376" s="366" t="s">
        <v>21</v>
      </c>
      <c r="D376" s="366">
        <v>45</v>
      </c>
      <c r="E376" s="348">
        <f t="shared" ca="1" si="15"/>
        <v>220553.19015443124</v>
      </c>
      <c r="F376" s="348" t="str">
        <f t="shared" si="16"/>
        <v>BLD_JP</v>
      </c>
      <c r="G376" s="348" t="str">
        <f>IFERROR(INDEX(DATA_PROPERTY_MASTER!$E$5:$E$21,MATCH($A376,DATA_PROPERTY_MASTER!$A$5:$A$21,0)),"")</f>
        <v>Yes</v>
      </c>
      <c r="H376" s="348" t="str">
        <f ca="1">IFERROR(INDEX(DATA_PROPERTY_MASTER!$F$5:$F$21,MATCH($A376,DATA_PROPERTY_MASTER!$A$5:$A$21,0)),"")</f>
        <v>Refi Watch</v>
      </c>
      <c r="I376" t="s">
        <v>1497</v>
      </c>
      <c r="J376" s="348" t="str">
        <f t="shared" ca="1" si="17"/>
        <v>Formula-linked</v>
      </c>
    </row>
    <row r="377" spans="1:10">
      <c r="A377" s="366" t="s">
        <v>456</v>
      </c>
      <c r="B377" s="366">
        <v>2035</v>
      </c>
      <c r="C377" s="366" t="s">
        <v>23</v>
      </c>
      <c r="D377" s="366">
        <v>48</v>
      </c>
      <c r="E377" s="348">
        <f t="shared" ca="1" si="15"/>
        <v>0</v>
      </c>
      <c r="F377" s="348" t="str">
        <f t="shared" si="16"/>
        <v>BLD_JP</v>
      </c>
      <c r="G377" s="348" t="str">
        <f>IFERROR(INDEX(DATA_PROPERTY_MASTER!$E$5:$E$21,MATCH($A377,DATA_PROPERTY_MASTER!$A$5:$A$21,0)),"")</f>
        <v>Yes</v>
      </c>
      <c r="H377" s="348" t="str">
        <f ca="1">IFERROR(INDEX(DATA_PROPERTY_MASTER!$F$5:$F$21,MATCH($A377,DATA_PROPERTY_MASTER!$A$5:$A$21,0)),"")</f>
        <v>Refi Watch</v>
      </c>
      <c r="I377" t="s">
        <v>1498</v>
      </c>
      <c r="J377" s="348" t="str">
        <f t="shared" ca="1" si="17"/>
        <v>Formula-linked</v>
      </c>
    </row>
    <row r="378" spans="1:10">
      <c r="A378" s="366" t="s">
        <v>456</v>
      </c>
      <c r="B378" s="366">
        <v>2035</v>
      </c>
      <c r="C378" s="366" t="s">
        <v>213</v>
      </c>
      <c r="D378" s="366">
        <v>50</v>
      </c>
      <c r="E378" s="348" t="str">
        <f t="shared" ca="1" si="15"/>
        <v/>
      </c>
      <c r="F378" s="348" t="str">
        <f t="shared" si="16"/>
        <v>BLD_JP</v>
      </c>
      <c r="G378" s="348" t="str">
        <f>IFERROR(INDEX(DATA_PROPERTY_MASTER!$E$5:$E$21,MATCH($A378,DATA_PROPERTY_MASTER!$A$5:$A$21,0)),"")</f>
        <v>Yes</v>
      </c>
      <c r="H378" s="348" t="str">
        <f ca="1">IFERROR(INDEX(DATA_PROPERTY_MASTER!$F$5:$F$21,MATCH($A378,DATA_PROPERTY_MASTER!$A$5:$A$21,0)),"")</f>
        <v>Refi Watch</v>
      </c>
      <c r="I378" t="s">
        <v>1499</v>
      </c>
      <c r="J378" s="348" t="str">
        <f t="shared" ca="1" si="17"/>
        <v>Review</v>
      </c>
    </row>
    <row r="379" spans="1:10">
      <c r="A379" s="366" t="s">
        <v>456</v>
      </c>
      <c r="B379" s="366">
        <v>2035</v>
      </c>
      <c r="C379" s="366" t="s">
        <v>1500</v>
      </c>
      <c r="D379" s="366">
        <v>52</v>
      </c>
      <c r="E379" s="348">
        <f t="shared" ca="1" si="15"/>
        <v>227867.1566743998</v>
      </c>
      <c r="F379" s="348" t="str">
        <f t="shared" si="16"/>
        <v>BLD_JP</v>
      </c>
      <c r="G379" s="348" t="str">
        <f>IFERROR(INDEX(DATA_PROPERTY_MASTER!$E$5:$E$21,MATCH($A379,DATA_PROPERTY_MASTER!$A$5:$A$21,0)),"")</f>
        <v>Yes</v>
      </c>
      <c r="H379" s="348" t="str">
        <f ca="1">IFERROR(INDEX(DATA_PROPERTY_MASTER!$F$5:$F$21,MATCH($A379,DATA_PROPERTY_MASTER!$A$5:$A$21,0)),"")</f>
        <v>Refi Watch</v>
      </c>
      <c r="I379" t="s">
        <v>1501</v>
      </c>
      <c r="J379" s="348" t="str">
        <f t="shared" ca="1" si="17"/>
        <v>Formula-linked</v>
      </c>
    </row>
    <row r="380" spans="1:10">
      <c r="A380" s="366" t="s">
        <v>456</v>
      </c>
      <c r="B380" s="366">
        <v>2035</v>
      </c>
      <c r="C380" s="366" t="s">
        <v>27</v>
      </c>
      <c r="D380" s="366">
        <v>54</v>
      </c>
      <c r="E380" s="348">
        <f t="shared" ca="1" si="15"/>
        <v>136720.29400463987</v>
      </c>
      <c r="F380" s="348" t="str">
        <f t="shared" si="16"/>
        <v>BLD_JP</v>
      </c>
      <c r="G380" s="348" t="str">
        <f>IFERROR(INDEX(DATA_PROPERTY_MASTER!$E$5:$E$21,MATCH($A380,DATA_PROPERTY_MASTER!$A$5:$A$21,0)),"")</f>
        <v>Yes</v>
      </c>
      <c r="H380" s="348" t="str">
        <f ca="1">IFERROR(INDEX(DATA_PROPERTY_MASTER!$F$5:$F$21,MATCH($A380,DATA_PROPERTY_MASTER!$A$5:$A$21,0)),"")</f>
        <v>Refi Watch</v>
      </c>
      <c r="I380" t="s">
        <v>1501</v>
      </c>
      <c r="J380" s="348" t="str">
        <f t="shared" ca="1" si="17"/>
        <v>Formula-linked</v>
      </c>
    </row>
    <row r="381" spans="1:10">
      <c r="A381" s="366" t="s">
        <v>456</v>
      </c>
      <c r="B381" s="366">
        <v>2035</v>
      </c>
      <c r="C381" s="366" t="s">
        <v>1502</v>
      </c>
      <c r="D381" s="366">
        <v>56</v>
      </c>
      <c r="E381" s="348">
        <f t="shared" ca="1" si="15"/>
        <v>91146.862669759925</v>
      </c>
      <c r="F381" s="348" t="str">
        <f t="shared" si="16"/>
        <v>BLD_JP</v>
      </c>
      <c r="G381" s="348" t="str">
        <f>IFERROR(INDEX(DATA_PROPERTY_MASTER!$E$5:$E$21,MATCH($A381,DATA_PROPERTY_MASTER!$A$5:$A$21,0)),"")</f>
        <v>Yes</v>
      </c>
      <c r="H381" s="348" t="str">
        <f ca="1">IFERROR(INDEX(DATA_PROPERTY_MASTER!$F$5:$F$21,MATCH($A381,DATA_PROPERTY_MASTER!$A$5:$A$21,0)),"")</f>
        <v>Refi Watch</v>
      </c>
      <c r="I381" t="s">
        <v>1501</v>
      </c>
      <c r="J381" s="348" t="str">
        <f t="shared" ca="1" si="17"/>
        <v>Formula-linked</v>
      </c>
    </row>
    <row r="382" spans="1:10">
      <c r="A382" s="366" t="s">
        <v>456</v>
      </c>
      <c r="B382" s="366">
        <v>2035</v>
      </c>
      <c r="C382" s="366" t="s">
        <v>367</v>
      </c>
      <c r="D382" s="366">
        <v>61</v>
      </c>
      <c r="E382" s="348">
        <f t="shared" ca="1" si="15"/>
        <v>0</v>
      </c>
      <c r="F382" s="348" t="str">
        <f t="shared" si="16"/>
        <v>BLD_JP</v>
      </c>
      <c r="G382" s="348" t="str">
        <f>IFERROR(INDEX(DATA_PROPERTY_MASTER!$E$5:$E$21,MATCH($A382,DATA_PROPERTY_MASTER!$A$5:$A$21,0)),"")</f>
        <v>Yes</v>
      </c>
      <c r="H382" s="348" t="str">
        <f ca="1">IFERROR(INDEX(DATA_PROPERTY_MASTER!$F$5:$F$21,MATCH($A382,DATA_PROPERTY_MASTER!$A$5:$A$21,0)),"")</f>
        <v>Refi Watch</v>
      </c>
      <c r="I382" t="s">
        <v>1503</v>
      </c>
      <c r="J382" s="348" t="str">
        <f t="shared" ca="1" si="17"/>
        <v>Formula-linked</v>
      </c>
    </row>
    <row r="383" spans="1:10">
      <c r="A383" s="366" t="s">
        <v>456</v>
      </c>
      <c r="B383" s="366">
        <v>2035</v>
      </c>
      <c r="C383" s="366" t="s">
        <v>368</v>
      </c>
      <c r="D383" s="366">
        <v>62</v>
      </c>
      <c r="E383" s="348">
        <f t="shared" ca="1" si="15"/>
        <v>0</v>
      </c>
      <c r="F383" s="348" t="str">
        <f t="shared" si="16"/>
        <v>BLD_JP</v>
      </c>
      <c r="G383" s="348" t="str">
        <f>IFERROR(INDEX(DATA_PROPERTY_MASTER!$E$5:$E$21,MATCH($A383,DATA_PROPERTY_MASTER!$A$5:$A$21,0)),"")</f>
        <v>Yes</v>
      </c>
      <c r="H383" s="348" t="str">
        <f ca="1">IFERROR(INDEX(DATA_PROPERTY_MASTER!$F$5:$F$21,MATCH($A383,DATA_PROPERTY_MASTER!$A$5:$A$21,0)),"")</f>
        <v>Refi Watch</v>
      </c>
      <c r="I383" t="s">
        <v>1503</v>
      </c>
      <c r="J383" s="348" t="str">
        <f t="shared" ca="1" si="17"/>
        <v>Formula-linked</v>
      </c>
    </row>
    <row r="384" spans="1:10">
      <c r="A384" s="366" t="s">
        <v>456</v>
      </c>
      <c r="B384" s="366">
        <v>2035</v>
      </c>
      <c r="C384" s="366" t="s">
        <v>1504</v>
      </c>
      <c r="D384" s="366">
        <v>63</v>
      </c>
      <c r="E384" s="348">
        <f t="shared" ca="1" si="15"/>
        <v>0</v>
      </c>
      <c r="F384" s="348" t="str">
        <f t="shared" si="16"/>
        <v>BLD_JP</v>
      </c>
      <c r="G384" s="348" t="str">
        <f>IFERROR(INDEX(DATA_PROPERTY_MASTER!$E$5:$E$21,MATCH($A384,DATA_PROPERTY_MASTER!$A$5:$A$21,0)),"")</f>
        <v>Yes</v>
      </c>
      <c r="H384" s="348" t="str">
        <f ca="1">IFERROR(INDEX(DATA_PROPERTY_MASTER!$F$5:$F$21,MATCH($A384,DATA_PROPERTY_MASTER!$A$5:$A$21,0)),"")</f>
        <v>Refi Watch</v>
      </c>
      <c r="I384" t="s">
        <v>1503</v>
      </c>
      <c r="J384" s="348" t="str">
        <f t="shared" ca="1" si="17"/>
        <v>Formula-linked</v>
      </c>
    </row>
    <row r="385" spans="1:10">
      <c r="A385" s="366" t="s">
        <v>456</v>
      </c>
      <c r="B385" s="366">
        <v>2035</v>
      </c>
      <c r="C385" s="366" t="s">
        <v>370</v>
      </c>
      <c r="D385" s="366">
        <v>64</v>
      </c>
      <c r="E385" s="348">
        <f t="shared" ca="1" si="15"/>
        <v>0</v>
      </c>
      <c r="F385" s="348" t="str">
        <f t="shared" si="16"/>
        <v>BLD_JP</v>
      </c>
      <c r="G385" s="348" t="str">
        <f>IFERROR(INDEX(DATA_PROPERTY_MASTER!$E$5:$E$21,MATCH($A385,DATA_PROPERTY_MASTER!$A$5:$A$21,0)),"")</f>
        <v>Yes</v>
      </c>
      <c r="H385" s="348" t="str">
        <f ca="1">IFERROR(INDEX(DATA_PROPERTY_MASTER!$F$5:$F$21,MATCH($A385,DATA_PROPERTY_MASTER!$A$5:$A$21,0)),"")</f>
        <v>Refi Watch</v>
      </c>
      <c r="I385" t="s">
        <v>1498</v>
      </c>
      <c r="J385" s="348" t="str">
        <f t="shared" ca="1" si="17"/>
        <v>Formula-linked</v>
      </c>
    </row>
    <row r="386" spans="1:10">
      <c r="A386" s="366" t="s">
        <v>456</v>
      </c>
      <c r="B386" s="366">
        <v>2035</v>
      </c>
      <c r="C386" s="366" t="s">
        <v>544</v>
      </c>
      <c r="D386" s="366">
        <v>68</v>
      </c>
      <c r="E386" s="348">
        <f t="shared" ca="1" si="15"/>
        <v>91146.862669759925</v>
      </c>
      <c r="F386" s="348" t="str">
        <f t="shared" si="16"/>
        <v>BLD_JP</v>
      </c>
      <c r="G386" s="348" t="str">
        <f>IFERROR(INDEX(DATA_PROPERTY_MASTER!$E$5:$E$21,MATCH($A386,DATA_PROPERTY_MASTER!$A$5:$A$21,0)),"")</f>
        <v>Yes</v>
      </c>
      <c r="H386" s="348" t="str">
        <f ca="1">IFERROR(INDEX(DATA_PROPERTY_MASTER!$F$5:$F$21,MATCH($A386,DATA_PROPERTY_MASTER!$A$5:$A$21,0)),"")</f>
        <v>Refi Watch</v>
      </c>
      <c r="I386" t="s">
        <v>1501</v>
      </c>
      <c r="J386" s="348" t="str">
        <f t="shared" ca="1" si="17"/>
        <v>Formula-linked</v>
      </c>
    </row>
    <row r="387" spans="1:10">
      <c r="A387" s="366" t="s">
        <v>456</v>
      </c>
      <c r="B387" s="366">
        <v>2035</v>
      </c>
      <c r="C387" s="366" t="s">
        <v>378</v>
      </c>
      <c r="D387" s="366">
        <v>73</v>
      </c>
      <c r="E387" s="348">
        <f t="shared" ca="1" si="15"/>
        <v>3797785.9445733302</v>
      </c>
      <c r="F387" s="348" t="str">
        <f t="shared" si="16"/>
        <v>BLD_JP</v>
      </c>
      <c r="G387" s="348" t="str">
        <f>IFERROR(INDEX(DATA_PROPERTY_MASTER!$E$5:$E$21,MATCH($A387,DATA_PROPERTY_MASTER!$A$5:$A$21,0)),"")</f>
        <v>Yes</v>
      </c>
      <c r="H387" s="348" t="str">
        <f ca="1">IFERROR(INDEX(DATA_PROPERTY_MASTER!$F$5:$F$21,MATCH($A387,DATA_PROPERTY_MASTER!$A$5:$A$21,0)),"")</f>
        <v>Refi Watch</v>
      </c>
      <c r="I387" t="s">
        <v>1505</v>
      </c>
      <c r="J387" s="348" t="str">
        <f t="shared" ca="1" si="17"/>
        <v>Formula-linked</v>
      </c>
    </row>
    <row r="388" spans="1:10">
      <c r="A388" s="366" t="s">
        <v>456</v>
      </c>
      <c r="B388" s="366">
        <v>2035</v>
      </c>
      <c r="C388" s="366" t="s">
        <v>1506</v>
      </c>
      <c r="D388" s="366">
        <v>77</v>
      </c>
      <c r="E388" s="348">
        <f t="shared" ca="1" si="15"/>
        <v>3797785.9445733302</v>
      </c>
      <c r="F388" s="348" t="str">
        <f t="shared" si="16"/>
        <v>BLD_JP</v>
      </c>
      <c r="G388" s="348" t="str">
        <f>IFERROR(INDEX(DATA_PROPERTY_MASTER!$E$5:$E$21,MATCH($A388,DATA_PROPERTY_MASTER!$A$5:$A$21,0)),"")</f>
        <v>Yes</v>
      </c>
      <c r="H388" s="348" t="str">
        <f ca="1">IFERROR(INDEX(DATA_PROPERTY_MASTER!$F$5:$F$21,MATCH($A388,DATA_PROPERTY_MASTER!$A$5:$A$21,0)),"")</f>
        <v>Refi Watch</v>
      </c>
      <c r="I388" t="s">
        <v>1505</v>
      </c>
      <c r="J388" s="348" t="str">
        <f t="shared" ca="1" si="17"/>
        <v>Formula-linked</v>
      </c>
    </row>
    <row r="389" spans="1:10">
      <c r="A389" s="366" t="s">
        <v>458</v>
      </c>
      <c r="B389" s="366">
        <v>2025</v>
      </c>
      <c r="C389" s="366" t="s">
        <v>341</v>
      </c>
      <c r="D389" s="366">
        <v>24</v>
      </c>
      <c r="E389" s="348">
        <f t="shared" ref="E389:E452" ca="1" si="18">IFERROR(INDEX(INDIRECT("'"&amp;$A389&amp;"'!$E$"&amp;$D389&amp;":$Y$"&amp;$D389),1,MATCH($B389,INDIRECT("'"&amp;$A389&amp;"'!$E$12:$Y$12"),0)),"")</f>
        <v>330597.51200000005</v>
      </c>
      <c r="F389" s="348" t="str">
        <f t="shared" ref="F389:F452" si="19">$A389</f>
        <v>BLD_MH</v>
      </c>
      <c r="G389" s="348" t="str">
        <f>IFERROR(INDEX(DATA_PROPERTY_MASTER!$E$5:$E$21,MATCH($A389,DATA_PROPERTY_MASTER!$A$5:$A$21,0)),"")</f>
        <v>Yes</v>
      </c>
      <c r="H389" s="348" t="str">
        <f ca="1">IFERROR(INDEX(DATA_PROPERTY_MASTER!$F$5:$F$21,MATCH($A389,DATA_PROPERTY_MASTER!$A$5:$A$21,0)),"")</f>
        <v>Refi Watch</v>
      </c>
      <c r="I389" t="s">
        <v>1495</v>
      </c>
      <c r="J389" s="348" t="str">
        <f t="shared" ref="J389:J452" ca="1" si="20">IF($E389="","Review","Formula-linked")</f>
        <v>Formula-linked</v>
      </c>
    </row>
    <row r="390" spans="1:10">
      <c r="A390" s="366" t="s">
        <v>458</v>
      </c>
      <c r="B390" s="366">
        <v>2025</v>
      </c>
      <c r="C390" s="366" t="s">
        <v>355</v>
      </c>
      <c r="D390" s="366">
        <v>39</v>
      </c>
      <c r="E390" s="348">
        <f t="shared" ca="1" si="18"/>
        <v>184276</v>
      </c>
      <c r="F390" s="348" t="str">
        <f t="shared" si="19"/>
        <v>BLD_MH</v>
      </c>
      <c r="G390" s="348" t="str">
        <f>IFERROR(INDEX(DATA_PROPERTY_MASTER!$E$5:$E$21,MATCH($A390,DATA_PROPERTY_MASTER!$A$5:$A$21,0)),"")</f>
        <v>Yes</v>
      </c>
      <c r="H390" s="348" t="str">
        <f ca="1">IFERROR(INDEX(DATA_PROPERTY_MASTER!$F$5:$F$21,MATCH($A390,DATA_PROPERTY_MASTER!$A$5:$A$21,0)),"")</f>
        <v>Refi Watch</v>
      </c>
      <c r="I390" t="s">
        <v>1496</v>
      </c>
      <c r="J390" s="348" t="str">
        <f t="shared" ca="1" si="20"/>
        <v>Formula-linked</v>
      </c>
    </row>
    <row r="391" spans="1:10">
      <c r="A391" s="366" t="s">
        <v>458</v>
      </c>
      <c r="B391" s="366">
        <v>2025</v>
      </c>
      <c r="C391" s="366" t="s">
        <v>1497</v>
      </c>
      <c r="D391" s="366">
        <v>41</v>
      </c>
      <c r="E391" s="348">
        <f t="shared" ca="1" si="18"/>
        <v>146321.51200000005</v>
      </c>
      <c r="F391" s="348" t="str">
        <f t="shared" si="19"/>
        <v>BLD_MH</v>
      </c>
      <c r="G391" s="348" t="str">
        <f>IFERROR(INDEX(DATA_PROPERTY_MASTER!$E$5:$E$21,MATCH($A391,DATA_PROPERTY_MASTER!$A$5:$A$21,0)),"")</f>
        <v>Yes</v>
      </c>
      <c r="H391" s="348" t="str">
        <f ca="1">IFERROR(INDEX(DATA_PROPERTY_MASTER!$F$5:$F$21,MATCH($A391,DATA_PROPERTY_MASTER!$A$5:$A$21,0)),"")</f>
        <v>Refi Watch</v>
      </c>
      <c r="I391" t="s">
        <v>1497</v>
      </c>
      <c r="J391" s="348" t="str">
        <f t="shared" ca="1" si="20"/>
        <v>Formula-linked</v>
      </c>
    </row>
    <row r="392" spans="1:10">
      <c r="A392" s="366" t="s">
        <v>458</v>
      </c>
      <c r="B392" s="366">
        <v>2025</v>
      </c>
      <c r="C392" s="366" t="s">
        <v>21</v>
      </c>
      <c r="D392" s="366">
        <v>45</v>
      </c>
      <c r="E392" s="348">
        <f t="shared" ca="1" si="18"/>
        <v>143471.51200000005</v>
      </c>
      <c r="F392" s="348" t="str">
        <f t="shared" si="19"/>
        <v>BLD_MH</v>
      </c>
      <c r="G392" s="348" t="str">
        <f>IFERROR(INDEX(DATA_PROPERTY_MASTER!$E$5:$E$21,MATCH($A392,DATA_PROPERTY_MASTER!$A$5:$A$21,0)),"")</f>
        <v>Yes</v>
      </c>
      <c r="H392" s="348" t="str">
        <f ca="1">IFERROR(INDEX(DATA_PROPERTY_MASTER!$F$5:$F$21,MATCH($A392,DATA_PROPERTY_MASTER!$A$5:$A$21,0)),"")</f>
        <v>Refi Watch</v>
      </c>
      <c r="I392" t="s">
        <v>1497</v>
      </c>
      <c r="J392" s="348" t="str">
        <f t="shared" ca="1" si="20"/>
        <v>Formula-linked</v>
      </c>
    </row>
    <row r="393" spans="1:10">
      <c r="A393" s="366" t="s">
        <v>458</v>
      </c>
      <c r="B393" s="366">
        <v>2025</v>
      </c>
      <c r="C393" s="366" t="s">
        <v>23</v>
      </c>
      <c r="D393" s="366">
        <v>48</v>
      </c>
      <c r="E393" s="348">
        <f t="shared" ca="1" si="18"/>
        <v>125540.52</v>
      </c>
      <c r="F393" s="348" t="str">
        <f t="shared" si="19"/>
        <v>BLD_MH</v>
      </c>
      <c r="G393" s="348" t="str">
        <f>IFERROR(INDEX(DATA_PROPERTY_MASTER!$E$5:$E$21,MATCH($A393,DATA_PROPERTY_MASTER!$A$5:$A$21,0)),"")</f>
        <v>Yes</v>
      </c>
      <c r="H393" s="348" t="str">
        <f ca="1">IFERROR(INDEX(DATA_PROPERTY_MASTER!$F$5:$F$21,MATCH($A393,DATA_PROPERTY_MASTER!$A$5:$A$21,0)),"")</f>
        <v>Refi Watch</v>
      </c>
      <c r="I393" t="s">
        <v>1498</v>
      </c>
      <c r="J393" s="348" t="str">
        <f t="shared" ca="1" si="20"/>
        <v>Formula-linked</v>
      </c>
    </row>
    <row r="394" spans="1:10">
      <c r="A394" s="366" t="s">
        <v>458</v>
      </c>
      <c r="B394" s="366">
        <v>2025</v>
      </c>
      <c r="C394" s="366" t="s">
        <v>213</v>
      </c>
      <c r="D394" s="366">
        <v>50</v>
      </c>
      <c r="E394" s="348">
        <f t="shared" ca="1" si="18"/>
        <v>1.1655321485047221</v>
      </c>
      <c r="F394" s="348" t="str">
        <f t="shared" si="19"/>
        <v>BLD_MH</v>
      </c>
      <c r="G394" s="348" t="str">
        <f>IFERROR(INDEX(DATA_PROPERTY_MASTER!$E$5:$E$21,MATCH($A394,DATA_PROPERTY_MASTER!$A$5:$A$21,0)),"")</f>
        <v>Yes</v>
      </c>
      <c r="H394" s="348" t="str">
        <f ca="1">IFERROR(INDEX(DATA_PROPERTY_MASTER!$F$5:$F$21,MATCH($A394,DATA_PROPERTY_MASTER!$A$5:$A$21,0)),"")</f>
        <v>Refi Watch</v>
      </c>
      <c r="I394" t="s">
        <v>1499</v>
      </c>
      <c r="J394" s="348" t="str">
        <f t="shared" ca="1" si="20"/>
        <v>Formula-linked</v>
      </c>
    </row>
    <row r="395" spans="1:10">
      <c r="A395" s="366" t="s">
        <v>458</v>
      </c>
      <c r="B395" s="366">
        <v>2025</v>
      </c>
      <c r="C395" s="366" t="s">
        <v>1500</v>
      </c>
      <c r="D395" s="366">
        <v>52</v>
      </c>
      <c r="E395" s="348">
        <f t="shared" ca="1" si="18"/>
        <v>20780.992000000042</v>
      </c>
      <c r="F395" s="348" t="str">
        <f t="shared" si="19"/>
        <v>BLD_MH</v>
      </c>
      <c r="G395" s="348" t="str">
        <f>IFERROR(INDEX(DATA_PROPERTY_MASTER!$E$5:$E$21,MATCH($A395,DATA_PROPERTY_MASTER!$A$5:$A$21,0)),"")</f>
        <v>Yes</v>
      </c>
      <c r="H395" s="348" t="str">
        <f ca="1">IFERROR(INDEX(DATA_PROPERTY_MASTER!$F$5:$F$21,MATCH($A395,DATA_PROPERTY_MASTER!$A$5:$A$21,0)),"")</f>
        <v>Refi Watch</v>
      </c>
      <c r="I395" t="s">
        <v>1501</v>
      </c>
      <c r="J395" s="348" t="str">
        <f t="shared" ca="1" si="20"/>
        <v>Formula-linked</v>
      </c>
    </row>
    <row r="396" spans="1:10">
      <c r="A396" s="366" t="s">
        <v>458</v>
      </c>
      <c r="B396" s="366">
        <v>2025</v>
      </c>
      <c r="C396" s="366" t="s">
        <v>27</v>
      </c>
      <c r="D396" s="366">
        <v>54</v>
      </c>
      <c r="E396" s="348">
        <f t="shared" ca="1" si="18"/>
        <v>12468.595200000025</v>
      </c>
      <c r="F396" s="348" t="str">
        <f t="shared" si="19"/>
        <v>BLD_MH</v>
      </c>
      <c r="G396" s="348" t="str">
        <f>IFERROR(INDEX(DATA_PROPERTY_MASTER!$E$5:$E$21,MATCH($A396,DATA_PROPERTY_MASTER!$A$5:$A$21,0)),"")</f>
        <v>Yes</v>
      </c>
      <c r="H396" s="348" t="str">
        <f ca="1">IFERROR(INDEX(DATA_PROPERTY_MASTER!$F$5:$F$21,MATCH($A396,DATA_PROPERTY_MASTER!$A$5:$A$21,0)),"")</f>
        <v>Refi Watch</v>
      </c>
      <c r="I396" t="s">
        <v>1501</v>
      </c>
      <c r="J396" s="348" t="str">
        <f t="shared" ca="1" si="20"/>
        <v>Formula-linked</v>
      </c>
    </row>
    <row r="397" spans="1:10">
      <c r="A397" s="366" t="s">
        <v>458</v>
      </c>
      <c r="B397" s="366">
        <v>2025</v>
      </c>
      <c r="C397" s="366" t="s">
        <v>1502</v>
      </c>
      <c r="D397" s="366">
        <v>56</v>
      </c>
      <c r="E397" s="348">
        <f t="shared" ca="1" si="18"/>
        <v>8312.3968000000168</v>
      </c>
      <c r="F397" s="348" t="str">
        <f t="shared" si="19"/>
        <v>BLD_MH</v>
      </c>
      <c r="G397" s="348" t="str">
        <f>IFERROR(INDEX(DATA_PROPERTY_MASTER!$E$5:$E$21,MATCH($A397,DATA_PROPERTY_MASTER!$A$5:$A$21,0)),"")</f>
        <v>Yes</v>
      </c>
      <c r="H397" s="348" t="str">
        <f ca="1">IFERROR(INDEX(DATA_PROPERTY_MASTER!$F$5:$F$21,MATCH($A397,DATA_PROPERTY_MASTER!$A$5:$A$21,0)),"")</f>
        <v>Refi Watch</v>
      </c>
      <c r="I397" t="s">
        <v>1501</v>
      </c>
      <c r="J397" s="348" t="str">
        <f t="shared" ca="1" si="20"/>
        <v>Formula-linked</v>
      </c>
    </row>
    <row r="398" spans="1:10">
      <c r="A398" s="366" t="s">
        <v>458</v>
      </c>
      <c r="B398" s="366">
        <v>2025</v>
      </c>
      <c r="C398" s="366" t="s">
        <v>367</v>
      </c>
      <c r="D398" s="366">
        <v>61</v>
      </c>
      <c r="E398" s="348">
        <f t="shared" ca="1" si="18"/>
        <v>0</v>
      </c>
      <c r="F398" s="348" t="str">
        <f t="shared" si="19"/>
        <v>BLD_MH</v>
      </c>
      <c r="G398" s="348" t="str">
        <f>IFERROR(INDEX(DATA_PROPERTY_MASTER!$E$5:$E$21,MATCH($A398,DATA_PROPERTY_MASTER!$A$5:$A$21,0)),"")</f>
        <v>Yes</v>
      </c>
      <c r="H398" s="348" t="str">
        <f ca="1">IFERROR(INDEX(DATA_PROPERTY_MASTER!$F$5:$F$21,MATCH($A398,DATA_PROPERTY_MASTER!$A$5:$A$21,0)),"")</f>
        <v>Refi Watch</v>
      </c>
      <c r="I398" t="s">
        <v>1503</v>
      </c>
      <c r="J398" s="348" t="str">
        <f t="shared" ca="1" si="20"/>
        <v>Formula-linked</v>
      </c>
    </row>
    <row r="399" spans="1:10">
      <c r="A399" s="366" t="s">
        <v>458</v>
      </c>
      <c r="B399" s="366">
        <v>2025</v>
      </c>
      <c r="C399" s="366" t="s">
        <v>368</v>
      </c>
      <c r="D399" s="366">
        <v>62</v>
      </c>
      <c r="E399" s="348">
        <f t="shared" ca="1" si="18"/>
        <v>0</v>
      </c>
      <c r="F399" s="348" t="str">
        <f t="shared" si="19"/>
        <v>BLD_MH</v>
      </c>
      <c r="G399" s="348" t="str">
        <f>IFERROR(INDEX(DATA_PROPERTY_MASTER!$E$5:$E$21,MATCH($A399,DATA_PROPERTY_MASTER!$A$5:$A$21,0)),"")</f>
        <v>Yes</v>
      </c>
      <c r="H399" s="348" t="str">
        <f ca="1">IFERROR(INDEX(DATA_PROPERTY_MASTER!$F$5:$F$21,MATCH($A399,DATA_PROPERTY_MASTER!$A$5:$A$21,0)),"")</f>
        <v>Refi Watch</v>
      </c>
      <c r="I399" t="s">
        <v>1503</v>
      </c>
      <c r="J399" s="348" t="str">
        <f t="shared" ca="1" si="20"/>
        <v>Formula-linked</v>
      </c>
    </row>
    <row r="400" spans="1:10">
      <c r="A400" s="366" t="s">
        <v>458</v>
      </c>
      <c r="B400" s="366">
        <v>2025</v>
      </c>
      <c r="C400" s="366" t="s">
        <v>1504</v>
      </c>
      <c r="D400" s="366">
        <v>63</v>
      </c>
      <c r="E400" s="348">
        <f t="shared" ca="1" si="18"/>
        <v>0</v>
      </c>
      <c r="F400" s="348" t="str">
        <f t="shared" si="19"/>
        <v>BLD_MH</v>
      </c>
      <c r="G400" s="348" t="str">
        <f>IFERROR(INDEX(DATA_PROPERTY_MASTER!$E$5:$E$21,MATCH($A400,DATA_PROPERTY_MASTER!$A$5:$A$21,0)),"")</f>
        <v>Yes</v>
      </c>
      <c r="H400" s="348" t="str">
        <f ca="1">IFERROR(INDEX(DATA_PROPERTY_MASTER!$F$5:$F$21,MATCH($A400,DATA_PROPERTY_MASTER!$A$5:$A$21,0)),"")</f>
        <v>Refi Watch</v>
      </c>
      <c r="I400" t="s">
        <v>1503</v>
      </c>
      <c r="J400" s="348" t="str">
        <f t="shared" ca="1" si="20"/>
        <v>Formula-linked</v>
      </c>
    </row>
    <row r="401" spans="1:10">
      <c r="A401" s="366" t="s">
        <v>458</v>
      </c>
      <c r="B401" s="366">
        <v>2025</v>
      </c>
      <c r="C401" s="366" t="s">
        <v>370</v>
      </c>
      <c r="D401" s="366">
        <v>64</v>
      </c>
      <c r="E401" s="348">
        <f t="shared" ca="1" si="18"/>
        <v>21601.272251999981</v>
      </c>
      <c r="F401" s="348" t="str">
        <f t="shared" si="19"/>
        <v>BLD_MH</v>
      </c>
      <c r="G401" s="348" t="str">
        <f>IFERROR(INDEX(DATA_PROPERTY_MASTER!$E$5:$E$21,MATCH($A401,DATA_PROPERTY_MASTER!$A$5:$A$21,0)),"")</f>
        <v>Yes</v>
      </c>
      <c r="H401" s="348" t="str">
        <f ca="1">IFERROR(INDEX(DATA_PROPERTY_MASTER!$F$5:$F$21,MATCH($A401,DATA_PROPERTY_MASTER!$A$5:$A$21,0)),"")</f>
        <v>Refi Watch</v>
      </c>
      <c r="I401" t="s">
        <v>1498</v>
      </c>
      <c r="J401" s="348" t="str">
        <f t="shared" ca="1" si="20"/>
        <v>Formula-linked</v>
      </c>
    </row>
    <row r="402" spans="1:10">
      <c r="A402" s="366" t="s">
        <v>458</v>
      </c>
      <c r="B402" s="366">
        <v>2025</v>
      </c>
      <c r="C402" s="366" t="s">
        <v>544</v>
      </c>
      <c r="D402" s="366">
        <v>68</v>
      </c>
      <c r="E402" s="348">
        <f t="shared" ca="1" si="18"/>
        <v>8312.3968000000168</v>
      </c>
      <c r="F402" s="348" t="str">
        <f t="shared" si="19"/>
        <v>BLD_MH</v>
      </c>
      <c r="G402" s="348" t="str">
        <f>IFERROR(INDEX(DATA_PROPERTY_MASTER!$E$5:$E$21,MATCH($A402,DATA_PROPERTY_MASTER!$A$5:$A$21,0)),"")</f>
        <v>Yes</v>
      </c>
      <c r="H402" s="348" t="str">
        <f ca="1">IFERROR(INDEX(DATA_PROPERTY_MASTER!$F$5:$F$21,MATCH($A402,DATA_PROPERTY_MASTER!$A$5:$A$21,0)),"")</f>
        <v>Refi Watch</v>
      </c>
      <c r="I402" t="s">
        <v>1501</v>
      </c>
      <c r="J402" s="348" t="str">
        <f t="shared" ca="1" si="20"/>
        <v>Formula-linked</v>
      </c>
    </row>
    <row r="403" spans="1:10">
      <c r="A403" s="366" t="s">
        <v>458</v>
      </c>
      <c r="B403" s="366">
        <v>2025</v>
      </c>
      <c r="C403" s="366" t="s">
        <v>378</v>
      </c>
      <c r="D403" s="366">
        <v>73</v>
      </c>
      <c r="E403" s="348">
        <f t="shared" ca="1" si="18"/>
        <v>2438691.8666666676</v>
      </c>
      <c r="F403" s="348" t="str">
        <f t="shared" si="19"/>
        <v>BLD_MH</v>
      </c>
      <c r="G403" s="348" t="str">
        <f>IFERROR(INDEX(DATA_PROPERTY_MASTER!$E$5:$E$21,MATCH($A403,DATA_PROPERTY_MASTER!$A$5:$A$21,0)),"")</f>
        <v>Yes</v>
      </c>
      <c r="H403" s="348" t="str">
        <f ca="1">IFERROR(INDEX(DATA_PROPERTY_MASTER!$F$5:$F$21,MATCH($A403,DATA_PROPERTY_MASTER!$A$5:$A$21,0)),"")</f>
        <v>Refi Watch</v>
      </c>
      <c r="I403" t="s">
        <v>1505</v>
      </c>
      <c r="J403" s="348" t="str">
        <f t="shared" ca="1" si="20"/>
        <v>Formula-linked</v>
      </c>
    </row>
    <row r="404" spans="1:10">
      <c r="A404" s="366" t="s">
        <v>458</v>
      </c>
      <c r="B404" s="366">
        <v>2025</v>
      </c>
      <c r="C404" s="366" t="s">
        <v>1506</v>
      </c>
      <c r="D404" s="366">
        <v>77</v>
      </c>
      <c r="E404" s="348">
        <f t="shared" ca="1" si="18"/>
        <v>2417090.5944146677</v>
      </c>
      <c r="F404" s="348" t="str">
        <f t="shared" si="19"/>
        <v>BLD_MH</v>
      </c>
      <c r="G404" s="348" t="str">
        <f>IFERROR(INDEX(DATA_PROPERTY_MASTER!$E$5:$E$21,MATCH($A404,DATA_PROPERTY_MASTER!$A$5:$A$21,0)),"")</f>
        <v>Yes</v>
      </c>
      <c r="H404" s="348" t="str">
        <f ca="1">IFERROR(INDEX(DATA_PROPERTY_MASTER!$F$5:$F$21,MATCH($A404,DATA_PROPERTY_MASTER!$A$5:$A$21,0)),"")</f>
        <v>Refi Watch</v>
      </c>
      <c r="I404" t="s">
        <v>1505</v>
      </c>
      <c r="J404" s="348" t="str">
        <f t="shared" ca="1" si="20"/>
        <v>Formula-linked</v>
      </c>
    </row>
    <row r="405" spans="1:10">
      <c r="A405" s="366" t="s">
        <v>458</v>
      </c>
      <c r="B405" s="366">
        <v>2029</v>
      </c>
      <c r="C405" s="366" t="s">
        <v>341</v>
      </c>
      <c r="D405" s="366">
        <v>24</v>
      </c>
      <c r="E405" s="348">
        <f t="shared" ca="1" si="18"/>
        <v>427271.71979165188</v>
      </c>
      <c r="F405" s="348" t="str">
        <f t="shared" si="19"/>
        <v>BLD_MH</v>
      </c>
      <c r="G405" s="348" t="str">
        <f>IFERROR(INDEX(DATA_PROPERTY_MASTER!$E$5:$E$21,MATCH($A405,DATA_PROPERTY_MASTER!$A$5:$A$21,0)),"")</f>
        <v>Yes</v>
      </c>
      <c r="H405" s="348" t="str">
        <f ca="1">IFERROR(INDEX(DATA_PROPERTY_MASTER!$F$5:$F$21,MATCH($A405,DATA_PROPERTY_MASTER!$A$5:$A$21,0)),"")</f>
        <v>Refi Watch</v>
      </c>
      <c r="I405" t="s">
        <v>1495</v>
      </c>
      <c r="J405" s="348" t="str">
        <f t="shared" ca="1" si="20"/>
        <v>Formula-linked</v>
      </c>
    </row>
    <row r="406" spans="1:10">
      <c r="A406" s="366" t="s">
        <v>458</v>
      </c>
      <c r="B406" s="366">
        <v>2029</v>
      </c>
      <c r="C406" s="366" t="s">
        <v>355</v>
      </c>
      <c r="D406" s="366">
        <v>39</v>
      </c>
      <c r="E406" s="348">
        <f t="shared" ca="1" si="18"/>
        <v>215576.85600255997</v>
      </c>
      <c r="F406" s="348" t="str">
        <f t="shared" si="19"/>
        <v>BLD_MH</v>
      </c>
      <c r="G406" s="348" t="str">
        <f>IFERROR(INDEX(DATA_PROPERTY_MASTER!$E$5:$E$21,MATCH($A406,DATA_PROPERTY_MASTER!$A$5:$A$21,0)),"")</f>
        <v>Yes</v>
      </c>
      <c r="H406" s="348" t="str">
        <f ca="1">IFERROR(INDEX(DATA_PROPERTY_MASTER!$F$5:$F$21,MATCH($A406,DATA_PROPERTY_MASTER!$A$5:$A$21,0)),"")</f>
        <v>Refi Watch</v>
      </c>
      <c r="I406" t="s">
        <v>1496</v>
      </c>
      <c r="J406" s="348" t="str">
        <f t="shared" ca="1" si="20"/>
        <v>Formula-linked</v>
      </c>
    </row>
    <row r="407" spans="1:10">
      <c r="A407" s="366" t="s">
        <v>458</v>
      </c>
      <c r="B407" s="366">
        <v>2029</v>
      </c>
      <c r="C407" s="366" t="s">
        <v>1497</v>
      </c>
      <c r="D407" s="366">
        <v>41</v>
      </c>
      <c r="E407" s="348">
        <f t="shared" ca="1" si="18"/>
        <v>211694.86378909191</v>
      </c>
      <c r="F407" s="348" t="str">
        <f t="shared" si="19"/>
        <v>BLD_MH</v>
      </c>
      <c r="G407" s="348" t="str">
        <f>IFERROR(INDEX(DATA_PROPERTY_MASTER!$E$5:$E$21,MATCH($A407,DATA_PROPERTY_MASTER!$A$5:$A$21,0)),"")</f>
        <v>Yes</v>
      </c>
      <c r="H407" s="348" t="str">
        <f ca="1">IFERROR(INDEX(DATA_PROPERTY_MASTER!$F$5:$F$21,MATCH($A407,DATA_PROPERTY_MASTER!$A$5:$A$21,0)),"")</f>
        <v>Refi Watch</v>
      </c>
      <c r="I407" t="s">
        <v>1497</v>
      </c>
      <c r="J407" s="348" t="str">
        <f t="shared" ca="1" si="20"/>
        <v>Formula-linked</v>
      </c>
    </row>
    <row r="408" spans="1:10">
      <c r="A408" s="366" t="s">
        <v>458</v>
      </c>
      <c r="B408" s="366">
        <v>2029</v>
      </c>
      <c r="C408" s="366" t="s">
        <v>21</v>
      </c>
      <c r="D408" s="366">
        <v>45</v>
      </c>
      <c r="E408" s="348">
        <f t="shared" ca="1" si="18"/>
        <v>208609.9321330919</v>
      </c>
      <c r="F408" s="348" t="str">
        <f t="shared" si="19"/>
        <v>BLD_MH</v>
      </c>
      <c r="G408" s="348" t="str">
        <f>IFERROR(INDEX(DATA_PROPERTY_MASTER!$E$5:$E$21,MATCH($A408,DATA_PROPERTY_MASTER!$A$5:$A$21,0)),"")</f>
        <v>Yes</v>
      </c>
      <c r="H408" s="348" t="str">
        <f ca="1">IFERROR(INDEX(DATA_PROPERTY_MASTER!$F$5:$F$21,MATCH($A408,DATA_PROPERTY_MASTER!$A$5:$A$21,0)),"")</f>
        <v>Refi Watch</v>
      </c>
      <c r="I408" t="s">
        <v>1497</v>
      </c>
      <c r="J408" s="348" t="str">
        <f t="shared" ca="1" si="20"/>
        <v>Formula-linked</v>
      </c>
    </row>
    <row r="409" spans="1:10">
      <c r="A409" s="366" t="s">
        <v>458</v>
      </c>
      <c r="B409" s="366">
        <v>2029</v>
      </c>
      <c r="C409" s="366" t="s">
        <v>23</v>
      </c>
      <c r="D409" s="366">
        <v>48</v>
      </c>
      <c r="E409" s="348">
        <f t="shared" ca="1" si="18"/>
        <v>0</v>
      </c>
      <c r="F409" s="348" t="str">
        <f t="shared" si="19"/>
        <v>BLD_MH</v>
      </c>
      <c r="G409" s="348" t="str">
        <f>IFERROR(INDEX(DATA_PROPERTY_MASTER!$E$5:$E$21,MATCH($A409,DATA_PROPERTY_MASTER!$A$5:$A$21,0)),"")</f>
        <v>Yes</v>
      </c>
      <c r="H409" s="348" t="str">
        <f ca="1">IFERROR(INDEX(DATA_PROPERTY_MASTER!$F$5:$F$21,MATCH($A409,DATA_PROPERTY_MASTER!$A$5:$A$21,0)),"")</f>
        <v>Refi Watch</v>
      </c>
      <c r="I409" t="s">
        <v>1498</v>
      </c>
      <c r="J409" s="348" t="str">
        <f t="shared" ca="1" si="20"/>
        <v>Formula-linked</v>
      </c>
    </row>
    <row r="410" spans="1:10">
      <c r="A410" s="366" t="s">
        <v>458</v>
      </c>
      <c r="B410" s="366">
        <v>2029</v>
      </c>
      <c r="C410" s="366" t="s">
        <v>213</v>
      </c>
      <c r="D410" s="366">
        <v>50</v>
      </c>
      <c r="E410" s="348" t="str">
        <f t="shared" ca="1" si="18"/>
        <v/>
      </c>
      <c r="F410" s="348" t="str">
        <f t="shared" si="19"/>
        <v>BLD_MH</v>
      </c>
      <c r="G410" s="348" t="str">
        <f>IFERROR(INDEX(DATA_PROPERTY_MASTER!$E$5:$E$21,MATCH($A410,DATA_PROPERTY_MASTER!$A$5:$A$21,0)),"")</f>
        <v>Yes</v>
      </c>
      <c r="H410" s="348" t="str">
        <f ca="1">IFERROR(INDEX(DATA_PROPERTY_MASTER!$F$5:$F$21,MATCH($A410,DATA_PROPERTY_MASTER!$A$5:$A$21,0)),"")</f>
        <v>Refi Watch</v>
      </c>
      <c r="I410" t="s">
        <v>1499</v>
      </c>
      <c r="J410" s="348" t="str">
        <f t="shared" ca="1" si="20"/>
        <v>Review</v>
      </c>
    </row>
    <row r="411" spans="1:10">
      <c r="A411" s="366" t="s">
        <v>458</v>
      </c>
      <c r="B411" s="366">
        <v>2029</v>
      </c>
      <c r="C411" s="366" t="s">
        <v>1500</v>
      </c>
      <c r="D411" s="366">
        <v>52</v>
      </c>
      <c r="E411" s="348">
        <f t="shared" ca="1" si="18"/>
        <v>211694.86378909191</v>
      </c>
      <c r="F411" s="348" t="str">
        <f t="shared" si="19"/>
        <v>BLD_MH</v>
      </c>
      <c r="G411" s="348" t="str">
        <f>IFERROR(INDEX(DATA_PROPERTY_MASTER!$E$5:$E$21,MATCH($A411,DATA_PROPERTY_MASTER!$A$5:$A$21,0)),"")</f>
        <v>Yes</v>
      </c>
      <c r="H411" s="348" t="str">
        <f ca="1">IFERROR(INDEX(DATA_PROPERTY_MASTER!$F$5:$F$21,MATCH($A411,DATA_PROPERTY_MASTER!$A$5:$A$21,0)),"")</f>
        <v>Refi Watch</v>
      </c>
      <c r="I411" t="s">
        <v>1501</v>
      </c>
      <c r="J411" s="348" t="str">
        <f t="shared" ca="1" si="20"/>
        <v>Formula-linked</v>
      </c>
    </row>
    <row r="412" spans="1:10">
      <c r="A412" s="366" t="s">
        <v>458</v>
      </c>
      <c r="B412" s="366">
        <v>2029</v>
      </c>
      <c r="C412" s="366" t="s">
        <v>27</v>
      </c>
      <c r="D412" s="366">
        <v>54</v>
      </c>
      <c r="E412" s="348">
        <f t="shared" ca="1" si="18"/>
        <v>127016.91827345514</v>
      </c>
      <c r="F412" s="348" t="str">
        <f t="shared" si="19"/>
        <v>BLD_MH</v>
      </c>
      <c r="G412" s="348" t="str">
        <f>IFERROR(INDEX(DATA_PROPERTY_MASTER!$E$5:$E$21,MATCH($A412,DATA_PROPERTY_MASTER!$A$5:$A$21,0)),"")</f>
        <v>Yes</v>
      </c>
      <c r="H412" s="348" t="str">
        <f ca="1">IFERROR(INDEX(DATA_PROPERTY_MASTER!$F$5:$F$21,MATCH($A412,DATA_PROPERTY_MASTER!$A$5:$A$21,0)),"")</f>
        <v>Refi Watch</v>
      </c>
      <c r="I412" t="s">
        <v>1501</v>
      </c>
      <c r="J412" s="348" t="str">
        <f t="shared" ca="1" si="20"/>
        <v>Formula-linked</v>
      </c>
    </row>
    <row r="413" spans="1:10">
      <c r="A413" s="366" t="s">
        <v>458</v>
      </c>
      <c r="B413" s="366">
        <v>2029</v>
      </c>
      <c r="C413" s="366" t="s">
        <v>1502</v>
      </c>
      <c r="D413" s="366">
        <v>56</v>
      </c>
      <c r="E413" s="348">
        <f t="shared" ca="1" si="18"/>
        <v>84677.945515636762</v>
      </c>
      <c r="F413" s="348" t="str">
        <f t="shared" si="19"/>
        <v>BLD_MH</v>
      </c>
      <c r="G413" s="348" t="str">
        <f>IFERROR(INDEX(DATA_PROPERTY_MASTER!$E$5:$E$21,MATCH($A413,DATA_PROPERTY_MASTER!$A$5:$A$21,0)),"")</f>
        <v>Yes</v>
      </c>
      <c r="H413" s="348" t="str">
        <f ca="1">IFERROR(INDEX(DATA_PROPERTY_MASTER!$F$5:$F$21,MATCH($A413,DATA_PROPERTY_MASTER!$A$5:$A$21,0)),"")</f>
        <v>Refi Watch</v>
      </c>
      <c r="I413" t="s">
        <v>1501</v>
      </c>
      <c r="J413" s="348" t="str">
        <f t="shared" ca="1" si="20"/>
        <v>Formula-linked</v>
      </c>
    </row>
    <row r="414" spans="1:10">
      <c r="A414" s="366" t="s">
        <v>458</v>
      </c>
      <c r="B414" s="366">
        <v>2029</v>
      </c>
      <c r="C414" s="366" t="s">
        <v>367</v>
      </c>
      <c r="D414" s="366">
        <v>61</v>
      </c>
      <c r="E414" s="348">
        <f t="shared" ca="1" si="18"/>
        <v>0</v>
      </c>
      <c r="F414" s="348" t="str">
        <f t="shared" si="19"/>
        <v>BLD_MH</v>
      </c>
      <c r="G414" s="348" t="str">
        <f>IFERROR(INDEX(DATA_PROPERTY_MASTER!$E$5:$E$21,MATCH($A414,DATA_PROPERTY_MASTER!$A$5:$A$21,0)),"")</f>
        <v>Yes</v>
      </c>
      <c r="H414" s="348" t="str">
        <f ca="1">IFERROR(INDEX(DATA_PROPERTY_MASTER!$F$5:$F$21,MATCH($A414,DATA_PROPERTY_MASTER!$A$5:$A$21,0)),"")</f>
        <v>Refi Watch</v>
      </c>
      <c r="I414" t="s">
        <v>1503</v>
      </c>
      <c r="J414" s="348" t="str">
        <f t="shared" ca="1" si="20"/>
        <v>Formula-linked</v>
      </c>
    </row>
    <row r="415" spans="1:10">
      <c r="A415" s="366" t="s">
        <v>458</v>
      </c>
      <c r="B415" s="366">
        <v>2029</v>
      </c>
      <c r="C415" s="366" t="s">
        <v>368</v>
      </c>
      <c r="D415" s="366">
        <v>62</v>
      </c>
      <c r="E415" s="348">
        <f t="shared" ca="1" si="18"/>
        <v>0</v>
      </c>
      <c r="F415" s="348" t="str">
        <f t="shared" si="19"/>
        <v>BLD_MH</v>
      </c>
      <c r="G415" s="348" t="str">
        <f>IFERROR(INDEX(DATA_PROPERTY_MASTER!$E$5:$E$21,MATCH($A415,DATA_PROPERTY_MASTER!$A$5:$A$21,0)),"")</f>
        <v>Yes</v>
      </c>
      <c r="H415" s="348" t="str">
        <f ca="1">IFERROR(INDEX(DATA_PROPERTY_MASTER!$F$5:$F$21,MATCH($A415,DATA_PROPERTY_MASTER!$A$5:$A$21,0)),"")</f>
        <v>Refi Watch</v>
      </c>
      <c r="I415" t="s">
        <v>1503</v>
      </c>
      <c r="J415" s="348" t="str">
        <f t="shared" ca="1" si="20"/>
        <v>Formula-linked</v>
      </c>
    </row>
    <row r="416" spans="1:10">
      <c r="A416" s="366" t="s">
        <v>458</v>
      </c>
      <c r="B416" s="366">
        <v>2029</v>
      </c>
      <c r="C416" s="366" t="s">
        <v>1504</v>
      </c>
      <c r="D416" s="366">
        <v>63</v>
      </c>
      <c r="E416" s="348">
        <f t="shared" ca="1" si="18"/>
        <v>0</v>
      </c>
      <c r="F416" s="348" t="str">
        <f t="shared" si="19"/>
        <v>BLD_MH</v>
      </c>
      <c r="G416" s="348" t="str">
        <f>IFERROR(INDEX(DATA_PROPERTY_MASTER!$E$5:$E$21,MATCH($A416,DATA_PROPERTY_MASTER!$A$5:$A$21,0)),"")</f>
        <v>Yes</v>
      </c>
      <c r="H416" s="348" t="str">
        <f ca="1">IFERROR(INDEX(DATA_PROPERTY_MASTER!$F$5:$F$21,MATCH($A416,DATA_PROPERTY_MASTER!$A$5:$A$21,0)),"")</f>
        <v>Refi Watch</v>
      </c>
      <c r="I416" t="s">
        <v>1503</v>
      </c>
      <c r="J416" s="348" t="str">
        <f t="shared" ca="1" si="20"/>
        <v>Formula-linked</v>
      </c>
    </row>
    <row r="417" spans="1:10">
      <c r="A417" s="366" t="s">
        <v>458</v>
      </c>
      <c r="B417" s="366">
        <v>2029</v>
      </c>
      <c r="C417" s="366" t="s">
        <v>370</v>
      </c>
      <c r="D417" s="366">
        <v>64</v>
      </c>
      <c r="E417" s="348">
        <f t="shared" ca="1" si="18"/>
        <v>0</v>
      </c>
      <c r="F417" s="348" t="str">
        <f t="shared" si="19"/>
        <v>BLD_MH</v>
      </c>
      <c r="G417" s="348" t="str">
        <f>IFERROR(INDEX(DATA_PROPERTY_MASTER!$E$5:$E$21,MATCH($A417,DATA_PROPERTY_MASTER!$A$5:$A$21,0)),"")</f>
        <v>Yes</v>
      </c>
      <c r="H417" s="348" t="str">
        <f ca="1">IFERROR(INDEX(DATA_PROPERTY_MASTER!$F$5:$F$21,MATCH($A417,DATA_PROPERTY_MASTER!$A$5:$A$21,0)),"")</f>
        <v>Refi Watch</v>
      </c>
      <c r="I417" t="s">
        <v>1498</v>
      </c>
      <c r="J417" s="348" t="str">
        <f t="shared" ca="1" si="20"/>
        <v>Formula-linked</v>
      </c>
    </row>
    <row r="418" spans="1:10">
      <c r="A418" s="366" t="s">
        <v>458</v>
      </c>
      <c r="B418" s="366">
        <v>2029</v>
      </c>
      <c r="C418" s="366" t="s">
        <v>544</v>
      </c>
      <c r="D418" s="366">
        <v>68</v>
      </c>
      <c r="E418" s="348">
        <f t="shared" ca="1" si="18"/>
        <v>84677.945515636762</v>
      </c>
      <c r="F418" s="348" t="str">
        <f t="shared" si="19"/>
        <v>BLD_MH</v>
      </c>
      <c r="G418" s="348" t="str">
        <f>IFERROR(INDEX(DATA_PROPERTY_MASTER!$E$5:$E$21,MATCH($A418,DATA_PROPERTY_MASTER!$A$5:$A$21,0)),"")</f>
        <v>Yes</v>
      </c>
      <c r="H418" s="348" t="str">
        <f ca="1">IFERROR(INDEX(DATA_PROPERTY_MASTER!$F$5:$F$21,MATCH($A418,DATA_PROPERTY_MASTER!$A$5:$A$21,0)),"")</f>
        <v>Refi Watch</v>
      </c>
      <c r="I418" t="s">
        <v>1501</v>
      </c>
      <c r="J418" s="348" t="str">
        <f t="shared" ca="1" si="20"/>
        <v>Formula-linked</v>
      </c>
    </row>
    <row r="419" spans="1:10">
      <c r="A419" s="366" t="s">
        <v>458</v>
      </c>
      <c r="B419" s="366">
        <v>2029</v>
      </c>
      <c r="C419" s="366" t="s">
        <v>378</v>
      </c>
      <c r="D419" s="366">
        <v>73</v>
      </c>
      <c r="E419" s="348">
        <f t="shared" ca="1" si="18"/>
        <v>3528247.7298181984</v>
      </c>
      <c r="F419" s="348" t="str">
        <f t="shared" si="19"/>
        <v>BLD_MH</v>
      </c>
      <c r="G419" s="348" t="str">
        <f>IFERROR(INDEX(DATA_PROPERTY_MASTER!$E$5:$E$21,MATCH($A419,DATA_PROPERTY_MASTER!$A$5:$A$21,0)),"")</f>
        <v>Yes</v>
      </c>
      <c r="H419" s="348" t="str">
        <f ca="1">IFERROR(INDEX(DATA_PROPERTY_MASTER!$F$5:$F$21,MATCH($A419,DATA_PROPERTY_MASTER!$A$5:$A$21,0)),"")</f>
        <v>Refi Watch</v>
      </c>
      <c r="I419" t="s">
        <v>1505</v>
      </c>
      <c r="J419" s="348" t="str">
        <f t="shared" ca="1" si="20"/>
        <v>Formula-linked</v>
      </c>
    </row>
    <row r="420" spans="1:10">
      <c r="A420" s="366" t="s">
        <v>458</v>
      </c>
      <c r="B420" s="366">
        <v>2029</v>
      </c>
      <c r="C420" s="366" t="s">
        <v>1506</v>
      </c>
      <c r="D420" s="366">
        <v>77</v>
      </c>
      <c r="E420" s="348">
        <f t="shared" ca="1" si="18"/>
        <v>3528247.7298181984</v>
      </c>
      <c r="F420" s="348" t="str">
        <f t="shared" si="19"/>
        <v>BLD_MH</v>
      </c>
      <c r="G420" s="348" t="str">
        <f>IFERROR(INDEX(DATA_PROPERTY_MASTER!$E$5:$E$21,MATCH($A420,DATA_PROPERTY_MASTER!$A$5:$A$21,0)),"")</f>
        <v>Yes</v>
      </c>
      <c r="H420" s="348" t="str">
        <f ca="1">IFERROR(INDEX(DATA_PROPERTY_MASTER!$F$5:$F$21,MATCH($A420,DATA_PROPERTY_MASTER!$A$5:$A$21,0)),"")</f>
        <v>Refi Watch</v>
      </c>
      <c r="I420" t="s">
        <v>1505</v>
      </c>
      <c r="J420" s="348" t="str">
        <f t="shared" ca="1" si="20"/>
        <v>Formula-linked</v>
      </c>
    </row>
    <row r="421" spans="1:10">
      <c r="A421" s="366" t="s">
        <v>458</v>
      </c>
      <c r="B421" s="366">
        <v>2035</v>
      </c>
      <c r="C421" s="366" t="s">
        <v>341</v>
      </c>
      <c r="D421" s="366">
        <v>24</v>
      </c>
      <c r="E421" s="348">
        <f t="shared" ca="1" si="18"/>
        <v>481177.35364365659</v>
      </c>
      <c r="F421" s="348" t="str">
        <f t="shared" si="19"/>
        <v>BLD_MH</v>
      </c>
      <c r="G421" s="348" t="str">
        <f>IFERROR(INDEX(DATA_PROPERTY_MASTER!$E$5:$E$21,MATCH($A421,DATA_PROPERTY_MASTER!$A$5:$A$21,0)),"")</f>
        <v>Yes</v>
      </c>
      <c r="H421" s="348" t="str">
        <f ca="1">IFERROR(INDEX(DATA_PROPERTY_MASTER!$F$5:$F$21,MATCH($A421,DATA_PROPERTY_MASTER!$A$5:$A$21,0)),"")</f>
        <v>Refi Watch</v>
      </c>
      <c r="I421" t="s">
        <v>1495</v>
      </c>
      <c r="J421" s="348" t="str">
        <f t="shared" ca="1" si="20"/>
        <v>Formula-linked</v>
      </c>
    </row>
    <row r="422" spans="1:10">
      <c r="A422" s="366" t="s">
        <v>458</v>
      </c>
      <c r="B422" s="366">
        <v>2035</v>
      </c>
      <c r="C422" s="366" t="s">
        <v>355</v>
      </c>
      <c r="D422" s="366">
        <v>39</v>
      </c>
      <c r="E422" s="348">
        <f t="shared" ca="1" si="18"/>
        <v>268839.26273442613</v>
      </c>
      <c r="F422" s="348" t="str">
        <f t="shared" si="19"/>
        <v>BLD_MH</v>
      </c>
      <c r="G422" s="348" t="str">
        <f>IFERROR(INDEX(DATA_PROPERTY_MASTER!$E$5:$E$21,MATCH($A422,DATA_PROPERTY_MASTER!$A$5:$A$21,0)),"")</f>
        <v>Yes</v>
      </c>
      <c r="H422" s="348" t="str">
        <f ca="1">IFERROR(INDEX(DATA_PROPERTY_MASTER!$F$5:$F$21,MATCH($A422,DATA_PROPERTY_MASTER!$A$5:$A$21,0)),"")</f>
        <v>Refi Watch</v>
      </c>
      <c r="I422" t="s">
        <v>1496</v>
      </c>
      <c r="J422" s="348" t="str">
        <f t="shared" ca="1" si="20"/>
        <v>Formula-linked</v>
      </c>
    </row>
    <row r="423" spans="1:10">
      <c r="A423" s="366" t="s">
        <v>458</v>
      </c>
      <c r="B423" s="366">
        <v>2035</v>
      </c>
      <c r="C423" s="366" t="s">
        <v>1497</v>
      </c>
      <c r="D423" s="366">
        <v>41</v>
      </c>
      <c r="E423" s="348">
        <f t="shared" ca="1" si="18"/>
        <v>212338.09090923046</v>
      </c>
      <c r="F423" s="348" t="str">
        <f t="shared" si="19"/>
        <v>BLD_MH</v>
      </c>
      <c r="G423" s="348" t="str">
        <f>IFERROR(INDEX(DATA_PROPERTY_MASTER!$E$5:$E$21,MATCH($A423,DATA_PROPERTY_MASTER!$A$5:$A$21,0)),"")</f>
        <v>Yes</v>
      </c>
      <c r="H423" s="348" t="str">
        <f ca="1">IFERROR(INDEX(DATA_PROPERTY_MASTER!$F$5:$F$21,MATCH($A423,DATA_PROPERTY_MASTER!$A$5:$A$21,0)),"")</f>
        <v>Refi Watch</v>
      </c>
      <c r="I423" t="s">
        <v>1497</v>
      </c>
      <c r="J423" s="348" t="str">
        <f t="shared" ca="1" si="20"/>
        <v>Formula-linked</v>
      </c>
    </row>
    <row r="424" spans="1:10">
      <c r="A424" s="366" t="s">
        <v>458</v>
      </c>
      <c r="B424" s="366">
        <v>2035</v>
      </c>
      <c r="C424" s="366" t="s">
        <v>21</v>
      </c>
      <c r="D424" s="366">
        <v>45</v>
      </c>
      <c r="E424" s="348">
        <f t="shared" ca="1" si="18"/>
        <v>208863.95681224539</v>
      </c>
      <c r="F424" s="348" t="str">
        <f t="shared" si="19"/>
        <v>BLD_MH</v>
      </c>
      <c r="G424" s="348" t="str">
        <f>IFERROR(INDEX(DATA_PROPERTY_MASTER!$E$5:$E$21,MATCH($A424,DATA_PROPERTY_MASTER!$A$5:$A$21,0)),"")</f>
        <v>Yes</v>
      </c>
      <c r="H424" s="348" t="str">
        <f ca="1">IFERROR(INDEX(DATA_PROPERTY_MASTER!$F$5:$F$21,MATCH($A424,DATA_PROPERTY_MASTER!$A$5:$A$21,0)),"")</f>
        <v>Refi Watch</v>
      </c>
      <c r="I424" t="s">
        <v>1497</v>
      </c>
      <c r="J424" s="348" t="str">
        <f t="shared" ca="1" si="20"/>
        <v>Formula-linked</v>
      </c>
    </row>
    <row r="425" spans="1:10">
      <c r="A425" s="366" t="s">
        <v>458</v>
      </c>
      <c r="B425" s="366">
        <v>2035</v>
      </c>
      <c r="C425" s="366" t="s">
        <v>23</v>
      </c>
      <c r="D425" s="366">
        <v>48</v>
      </c>
      <c r="E425" s="348">
        <f t="shared" ca="1" si="18"/>
        <v>0</v>
      </c>
      <c r="F425" s="348" t="str">
        <f t="shared" si="19"/>
        <v>BLD_MH</v>
      </c>
      <c r="G425" s="348" t="str">
        <f>IFERROR(INDEX(DATA_PROPERTY_MASTER!$E$5:$E$21,MATCH($A425,DATA_PROPERTY_MASTER!$A$5:$A$21,0)),"")</f>
        <v>Yes</v>
      </c>
      <c r="H425" s="348" t="str">
        <f ca="1">IFERROR(INDEX(DATA_PROPERTY_MASTER!$F$5:$F$21,MATCH($A425,DATA_PROPERTY_MASTER!$A$5:$A$21,0)),"")</f>
        <v>Refi Watch</v>
      </c>
      <c r="I425" t="s">
        <v>1498</v>
      </c>
      <c r="J425" s="348" t="str">
        <f t="shared" ca="1" si="20"/>
        <v>Formula-linked</v>
      </c>
    </row>
    <row r="426" spans="1:10">
      <c r="A426" s="366" t="s">
        <v>458</v>
      </c>
      <c r="B426" s="366">
        <v>2035</v>
      </c>
      <c r="C426" s="366" t="s">
        <v>213</v>
      </c>
      <c r="D426" s="366">
        <v>50</v>
      </c>
      <c r="E426" s="348" t="str">
        <f t="shared" ca="1" si="18"/>
        <v/>
      </c>
      <c r="F426" s="348" t="str">
        <f t="shared" si="19"/>
        <v>BLD_MH</v>
      </c>
      <c r="G426" s="348" t="str">
        <f>IFERROR(INDEX(DATA_PROPERTY_MASTER!$E$5:$E$21,MATCH($A426,DATA_PROPERTY_MASTER!$A$5:$A$21,0)),"")</f>
        <v>Yes</v>
      </c>
      <c r="H426" s="348" t="str">
        <f ca="1">IFERROR(INDEX(DATA_PROPERTY_MASTER!$F$5:$F$21,MATCH($A426,DATA_PROPERTY_MASTER!$A$5:$A$21,0)),"")</f>
        <v>Refi Watch</v>
      </c>
      <c r="I426" t="s">
        <v>1499</v>
      </c>
      <c r="J426" s="348" t="str">
        <f t="shared" ca="1" si="20"/>
        <v>Review</v>
      </c>
    </row>
    <row r="427" spans="1:10">
      <c r="A427" s="366" t="s">
        <v>458</v>
      </c>
      <c r="B427" s="366">
        <v>2035</v>
      </c>
      <c r="C427" s="366" t="s">
        <v>1500</v>
      </c>
      <c r="D427" s="366">
        <v>52</v>
      </c>
      <c r="E427" s="348">
        <f t="shared" ca="1" si="18"/>
        <v>212338.09090923046</v>
      </c>
      <c r="F427" s="348" t="str">
        <f t="shared" si="19"/>
        <v>BLD_MH</v>
      </c>
      <c r="G427" s="348" t="str">
        <f>IFERROR(INDEX(DATA_PROPERTY_MASTER!$E$5:$E$21,MATCH($A427,DATA_PROPERTY_MASTER!$A$5:$A$21,0)),"")</f>
        <v>Yes</v>
      </c>
      <c r="H427" s="348" t="str">
        <f ca="1">IFERROR(INDEX(DATA_PROPERTY_MASTER!$F$5:$F$21,MATCH($A427,DATA_PROPERTY_MASTER!$A$5:$A$21,0)),"")</f>
        <v>Refi Watch</v>
      </c>
      <c r="I427" t="s">
        <v>1501</v>
      </c>
      <c r="J427" s="348" t="str">
        <f t="shared" ca="1" si="20"/>
        <v>Formula-linked</v>
      </c>
    </row>
    <row r="428" spans="1:10">
      <c r="A428" s="366" t="s">
        <v>458</v>
      </c>
      <c r="B428" s="366">
        <v>2035</v>
      </c>
      <c r="C428" s="366" t="s">
        <v>27</v>
      </c>
      <c r="D428" s="366">
        <v>54</v>
      </c>
      <c r="E428" s="348">
        <f t="shared" ca="1" si="18"/>
        <v>127402.85454553827</v>
      </c>
      <c r="F428" s="348" t="str">
        <f t="shared" si="19"/>
        <v>BLD_MH</v>
      </c>
      <c r="G428" s="348" t="str">
        <f>IFERROR(INDEX(DATA_PROPERTY_MASTER!$E$5:$E$21,MATCH($A428,DATA_PROPERTY_MASTER!$A$5:$A$21,0)),"")</f>
        <v>Yes</v>
      </c>
      <c r="H428" s="348" t="str">
        <f ca="1">IFERROR(INDEX(DATA_PROPERTY_MASTER!$F$5:$F$21,MATCH($A428,DATA_PROPERTY_MASTER!$A$5:$A$21,0)),"")</f>
        <v>Refi Watch</v>
      </c>
      <c r="I428" t="s">
        <v>1501</v>
      </c>
      <c r="J428" s="348" t="str">
        <f t="shared" ca="1" si="20"/>
        <v>Formula-linked</v>
      </c>
    </row>
    <row r="429" spans="1:10">
      <c r="A429" s="366" t="s">
        <v>458</v>
      </c>
      <c r="B429" s="366">
        <v>2035</v>
      </c>
      <c r="C429" s="366" t="s">
        <v>1502</v>
      </c>
      <c r="D429" s="366">
        <v>56</v>
      </c>
      <c r="E429" s="348">
        <f t="shared" ca="1" si="18"/>
        <v>84935.236363692195</v>
      </c>
      <c r="F429" s="348" t="str">
        <f t="shared" si="19"/>
        <v>BLD_MH</v>
      </c>
      <c r="G429" s="348" t="str">
        <f>IFERROR(INDEX(DATA_PROPERTY_MASTER!$E$5:$E$21,MATCH($A429,DATA_PROPERTY_MASTER!$A$5:$A$21,0)),"")</f>
        <v>Yes</v>
      </c>
      <c r="H429" s="348" t="str">
        <f ca="1">IFERROR(INDEX(DATA_PROPERTY_MASTER!$F$5:$F$21,MATCH($A429,DATA_PROPERTY_MASTER!$A$5:$A$21,0)),"")</f>
        <v>Refi Watch</v>
      </c>
      <c r="I429" t="s">
        <v>1501</v>
      </c>
      <c r="J429" s="348" t="str">
        <f t="shared" ca="1" si="20"/>
        <v>Formula-linked</v>
      </c>
    </row>
    <row r="430" spans="1:10">
      <c r="A430" s="366" t="s">
        <v>458</v>
      </c>
      <c r="B430" s="366">
        <v>2035</v>
      </c>
      <c r="C430" s="366" t="s">
        <v>367</v>
      </c>
      <c r="D430" s="366">
        <v>61</v>
      </c>
      <c r="E430" s="348">
        <f t="shared" ca="1" si="18"/>
        <v>0</v>
      </c>
      <c r="F430" s="348" t="str">
        <f t="shared" si="19"/>
        <v>BLD_MH</v>
      </c>
      <c r="G430" s="348" t="str">
        <f>IFERROR(INDEX(DATA_PROPERTY_MASTER!$E$5:$E$21,MATCH($A430,DATA_PROPERTY_MASTER!$A$5:$A$21,0)),"")</f>
        <v>Yes</v>
      </c>
      <c r="H430" s="348" t="str">
        <f ca="1">IFERROR(INDEX(DATA_PROPERTY_MASTER!$F$5:$F$21,MATCH($A430,DATA_PROPERTY_MASTER!$A$5:$A$21,0)),"")</f>
        <v>Refi Watch</v>
      </c>
      <c r="I430" t="s">
        <v>1503</v>
      </c>
      <c r="J430" s="348" t="str">
        <f t="shared" ca="1" si="20"/>
        <v>Formula-linked</v>
      </c>
    </row>
    <row r="431" spans="1:10">
      <c r="A431" s="366" t="s">
        <v>458</v>
      </c>
      <c r="B431" s="366">
        <v>2035</v>
      </c>
      <c r="C431" s="366" t="s">
        <v>368</v>
      </c>
      <c r="D431" s="366">
        <v>62</v>
      </c>
      <c r="E431" s="348">
        <f t="shared" ca="1" si="18"/>
        <v>0</v>
      </c>
      <c r="F431" s="348" t="str">
        <f t="shared" si="19"/>
        <v>BLD_MH</v>
      </c>
      <c r="G431" s="348" t="str">
        <f>IFERROR(INDEX(DATA_PROPERTY_MASTER!$E$5:$E$21,MATCH($A431,DATA_PROPERTY_MASTER!$A$5:$A$21,0)),"")</f>
        <v>Yes</v>
      </c>
      <c r="H431" s="348" t="str">
        <f ca="1">IFERROR(INDEX(DATA_PROPERTY_MASTER!$F$5:$F$21,MATCH($A431,DATA_PROPERTY_MASTER!$A$5:$A$21,0)),"")</f>
        <v>Refi Watch</v>
      </c>
      <c r="I431" t="s">
        <v>1503</v>
      </c>
      <c r="J431" s="348" t="str">
        <f t="shared" ca="1" si="20"/>
        <v>Formula-linked</v>
      </c>
    </row>
    <row r="432" spans="1:10">
      <c r="A432" s="366" t="s">
        <v>458</v>
      </c>
      <c r="B432" s="366">
        <v>2035</v>
      </c>
      <c r="C432" s="366" t="s">
        <v>1504</v>
      </c>
      <c r="D432" s="366">
        <v>63</v>
      </c>
      <c r="E432" s="348">
        <f t="shared" ca="1" si="18"/>
        <v>0</v>
      </c>
      <c r="F432" s="348" t="str">
        <f t="shared" si="19"/>
        <v>BLD_MH</v>
      </c>
      <c r="G432" s="348" t="str">
        <f>IFERROR(INDEX(DATA_PROPERTY_MASTER!$E$5:$E$21,MATCH($A432,DATA_PROPERTY_MASTER!$A$5:$A$21,0)),"")</f>
        <v>Yes</v>
      </c>
      <c r="H432" s="348" t="str">
        <f ca="1">IFERROR(INDEX(DATA_PROPERTY_MASTER!$F$5:$F$21,MATCH($A432,DATA_PROPERTY_MASTER!$A$5:$A$21,0)),"")</f>
        <v>Refi Watch</v>
      </c>
      <c r="I432" t="s">
        <v>1503</v>
      </c>
      <c r="J432" s="348" t="str">
        <f t="shared" ca="1" si="20"/>
        <v>Formula-linked</v>
      </c>
    </row>
    <row r="433" spans="1:10">
      <c r="A433" s="366" t="s">
        <v>458</v>
      </c>
      <c r="B433" s="366">
        <v>2035</v>
      </c>
      <c r="C433" s="366" t="s">
        <v>370</v>
      </c>
      <c r="D433" s="366">
        <v>64</v>
      </c>
      <c r="E433" s="348">
        <f t="shared" ca="1" si="18"/>
        <v>0</v>
      </c>
      <c r="F433" s="348" t="str">
        <f t="shared" si="19"/>
        <v>BLD_MH</v>
      </c>
      <c r="G433" s="348" t="str">
        <f>IFERROR(INDEX(DATA_PROPERTY_MASTER!$E$5:$E$21,MATCH($A433,DATA_PROPERTY_MASTER!$A$5:$A$21,0)),"")</f>
        <v>Yes</v>
      </c>
      <c r="H433" s="348" t="str">
        <f ca="1">IFERROR(INDEX(DATA_PROPERTY_MASTER!$F$5:$F$21,MATCH($A433,DATA_PROPERTY_MASTER!$A$5:$A$21,0)),"")</f>
        <v>Refi Watch</v>
      </c>
      <c r="I433" t="s">
        <v>1498</v>
      </c>
      <c r="J433" s="348" t="str">
        <f t="shared" ca="1" si="20"/>
        <v>Formula-linked</v>
      </c>
    </row>
    <row r="434" spans="1:10">
      <c r="A434" s="366" t="s">
        <v>458</v>
      </c>
      <c r="B434" s="366">
        <v>2035</v>
      </c>
      <c r="C434" s="366" t="s">
        <v>544</v>
      </c>
      <c r="D434" s="366">
        <v>68</v>
      </c>
      <c r="E434" s="348">
        <f t="shared" ca="1" si="18"/>
        <v>84935.236363692195</v>
      </c>
      <c r="F434" s="348" t="str">
        <f t="shared" si="19"/>
        <v>BLD_MH</v>
      </c>
      <c r="G434" s="348" t="str">
        <f>IFERROR(INDEX(DATA_PROPERTY_MASTER!$E$5:$E$21,MATCH($A434,DATA_PROPERTY_MASTER!$A$5:$A$21,0)),"")</f>
        <v>Yes</v>
      </c>
      <c r="H434" s="348" t="str">
        <f ca="1">IFERROR(INDEX(DATA_PROPERTY_MASTER!$F$5:$F$21,MATCH($A434,DATA_PROPERTY_MASTER!$A$5:$A$21,0)),"")</f>
        <v>Refi Watch</v>
      </c>
      <c r="I434" t="s">
        <v>1501</v>
      </c>
      <c r="J434" s="348" t="str">
        <f t="shared" ca="1" si="20"/>
        <v>Formula-linked</v>
      </c>
    </row>
    <row r="435" spans="1:10">
      <c r="A435" s="366" t="s">
        <v>458</v>
      </c>
      <c r="B435" s="366">
        <v>2035</v>
      </c>
      <c r="C435" s="366" t="s">
        <v>378</v>
      </c>
      <c r="D435" s="366">
        <v>73</v>
      </c>
      <c r="E435" s="348">
        <f t="shared" ca="1" si="18"/>
        <v>3538968.1818205081</v>
      </c>
      <c r="F435" s="348" t="str">
        <f t="shared" si="19"/>
        <v>BLD_MH</v>
      </c>
      <c r="G435" s="348" t="str">
        <f>IFERROR(INDEX(DATA_PROPERTY_MASTER!$E$5:$E$21,MATCH($A435,DATA_PROPERTY_MASTER!$A$5:$A$21,0)),"")</f>
        <v>Yes</v>
      </c>
      <c r="H435" s="348" t="str">
        <f ca="1">IFERROR(INDEX(DATA_PROPERTY_MASTER!$F$5:$F$21,MATCH($A435,DATA_PROPERTY_MASTER!$A$5:$A$21,0)),"")</f>
        <v>Refi Watch</v>
      </c>
      <c r="I435" t="s">
        <v>1505</v>
      </c>
      <c r="J435" s="348" t="str">
        <f t="shared" ca="1" si="20"/>
        <v>Formula-linked</v>
      </c>
    </row>
    <row r="436" spans="1:10">
      <c r="A436" s="366" t="s">
        <v>458</v>
      </c>
      <c r="B436" s="366">
        <v>2035</v>
      </c>
      <c r="C436" s="366" t="s">
        <v>1506</v>
      </c>
      <c r="D436" s="366">
        <v>77</v>
      </c>
      <c r="E436" s="348">
        <f t="shared" ca="1" si="18"/>
        <v>3538968.1818205081</v>
      </c>
      <c r="F436" s="348" t="str">
        <f t="shared" si="19"/>
        <v>BLD_MH</v>
      </c>
      <c r="G436" s="348" t="str">
        <f>IFERROR(INDEX(DATA_PROPERTY_MASTER!$E$5:$E$21,MATCH($A436,DATA_PROPERTY_MASTER!$A$5:$A$21,0)),"")</f>
        <v>Yes</v>
      </c>
      <c r="H436" s="348" t="str">
        <f ca="1">IFERROR(INDEX(DATA_PROPERTY_MASTER!$F$5:$F$21,MATCH($A436,DATA_PROPERTY_MASTER!$A$5:$A$21,0)),"")</f>
        <v>Refi Watch</v>
      </c>
      <c r="I436" t="s">
        <v>1505</v>
      </c>
      <c r="J436" s="348" t="str">
        <f t="shared" ca="1" si="20"/>
        <v>Formula-linked</v>
      </c>
    </row>
    <row r="437" spans="1:10">
      <c r="A437" s="366" t="s">
        <v>461</v>
      </c>
      <c r="B437" s="366">
        <v>2025</v>
      </c>
      <c r="C437" s="366" t="s">
        <v>341</v>
      </c>
      <c r="D437" s="366">
        <v>24</v>
      </c>
      <c r="E437" s="348">
        <f t="shared" ca="1" si="18"/>
        <v>781000.51400000008</v>
      </c>
      <c r="F437" s="348" t="str">
        <f t="shared" si="19"/>
        <v>BLD_MM</v>
      </c>
      <c r="G437" s="348" t="str">
        <f>IFERROR(INDEX(DATA_PROPERTY_MASTER!$E$5:$E$21,MATCH($A437,DATA_PROPERTY_MASTER!$A$5:$A$21,0)),"")</f>
        <v>Yes</v>
      </c>
      <c r="H437" s="348" t="str">
        <f ca="1">IFERROR(INDEX(DATA_PROPERTY_MASTER!$F$5:$F$21,MATCH($A437,DATA_PROPERTY_MASTER!$A$5:$A$21,0)),"")</f>
        <v>Refi Watch</v>
      </c>
      <c r="I437" t="s">
        <v>1495</v>
      </c>
      <c r="J437" s="348" t="str">
        <f t="shared" ca="1" si="20"/>
        <v>Formula-linked</v>
      </c>
    </row>
    <row r="438" spans="1:10">
      <c r="A438" s="366" t="s">
        <v>461</v>
      </c>
      <c r="B438" s="366">
        <v>2025</v>
      </c>
      <c r="C438" s="366" t="s">
        <v>355</v>
      </c>
      <c r="D438" s="366">
        <v>39</v>
      </c>
      <c r="E438" s="348">
        <f t="shared" ca="1" si="18"/>
        <v>278394</v>
      </c>
      <c r="F438" s="348" t="str">
        <f t="shared" si="19"/>
        <v>BLD_MM</v>
      </c>
      <c r="G438" s="348" t="str">
        <f>IFERROR(INDEX(DATA_PROPERTY_MASTER!$E$5:$E$21,MATCH($A438,DATA_PROPERTY_MASTER!$A$5:$A$21,0)),"")</f>
        <v>Yes</v>
      </c>
      <c r="H438" s="348" t="str">
        <f ca="1">IFERROR(INDEX(DATA_PROPERTY_MASTER!$F$5:$F$21,MATCH($A438,DATA_PROPERTY_MASTER!$A$5:$A$21,0)),"")</f>
        <v>Refi Watch</v>
      </c>
      <c r="I438" t="s">
        <v>1496</v>
      </c>
      <c r="J438" s="348" t="str">
        <f t="shared" ca="1" si="20"/>
        <v>Formula-linked</v>
      </c>
    </row>
    <row r="439" spans="1:10">
      <c r="A439" s="366" t="s">
        <v>461</v>
      </c>
      <c r="B439" s="366">
        <v>2025</v>
      </c>
      <c r="C439" s="366" t="s">
        <v>1497</v>
      </c>
      <c r="D439" s="366">
        <v>41</v>
      </c>
      <c r="E439" s="348">
        <f t="shared" ca="1" si="18"/>
        <v>502606.51400000008</v>
      </c>
      <c r="F439" s="348" t="str">
        <f t="shared" si="19"/>
        <v>BLD_MM</v>
      </c>
      <c r="G439" s="348" t="str">
        <f>IFERROR(INDEX(DATA_PROPERTY_MASTER!$E$5:$E$21,MATCH($A439,DATA_PROPERTY_MASTER!$A$5:$A$21,0)),"")</f>
        <v>Yes</v>
      </c>
      <c r="H439" s="348" t="str">
        <f ca="1">IFERROR(INDEX(DATA_PROPERTY_MASTER!$F$5:$F$21,MATCH($A439,DATA_PROPERTY_MASTER!$A$5:$A$21,0)),"")</f>
        <v>Refi Watch</v>
      </c>
      <c r="I439" t="s">
        <v>1497</v>
      </c>
      <c r="J439" s="348" t="str">
        <f t="shared" ca="1" si="20"/>
        <v>Formula-linked</v>
      </c>
    </row>
    <row r="440" spans="1:10">
      <c r="A440" s="366" t="s">
        <v>461</v>
      </c>
      <c r="B440" s="366">
        <v>2025</v>
      </c>
      <c r="C440" s="366" t="s">
        <v>21</v>
      </c>
      <c r="D440" s="366">
        <v>45</v>
      </c>
      <c r="E440" s="348">
        <f t="shared" ca="1" si="18"/>
        <v>495556.51400000008</v>
      </c>
      <c r="F440" s="348" t="str">
        <f t="shared" si="19"/>
        <v>BLD_MM</v>
      </c>
      <c r="G440" s="348" t="str">
        <f>IFERROR(INDEX(DATA_PROPERTY_MASTER!$E$5:$E$21,MATCH($A440,DATA_PROPERTY_MASTER!$A$5:$A$21,0)),"")</f>
        <v>Yes</v>
      </c>
      <c r="H440" s="348" t="str">
        <f ca="1">IFERROR(INDEX(DATA_PROPERTY_MASTER!$F$5:$F$21,MATCH($A440,DATA_PROPERTY_MASTER!$A$5:$A$21,0)),"")</f>
        <v>Refi Watch</v>
      </c>
      <c r="I440" t="s">
        <v>1497</v>
      </c>
      <c r="J440" s="348" t="str">
        <f t="shared" ca="1" si="20"/>
        <v>Formula-linked</v>
      </c>
    </row>
    <row r="441" spans="1:10">
      <c r="A441" s="366" t="s">
        <v>461</v>
      </c>
      <c r="B441" s="366">
        <v>2025</v>
      </c>
      <c r="C441" s="366" t="s">
        <v>23</v>
      </c>
      <c r="D441" s="366">
        <v>48</v>
      </c>
      <c r="E441" s="348">
        <f t="shared" ca="1" si="18"/>
        <v>271563.84000000003</v>
      </c>
      <c r="F441" s="348" t="str">
        <f t="shared" si="19"/>
        <v>BLD_MM</v>
      </c>
      <c r="G441" s="348" t="str">
        <f>IFERROR(INDEX(DATA_PROPERTY_MASTER!$E$5:$E$21,MATCH($A441,DATA_PROPERTY_MASTER!$A$5:$A$21,0)),"")</f>
        <v>Yes</v>
      </c>
      <c r="H441" s="348" t="str">
        <f ca="1">IFERROR(INDEX(DATA_PROPERTY_MASTER!$F$5:$F$21,MATCH($A441,DATA_PROPERTY_MASTER!$A$5:$A$21,0)),"")</f>
        <v>Refi Watch</v>
      </c>
      <c r="I441" t="s">
        <v>1498</v>
      </c>
      <c r="J441" s="348" t="str">
        <f t="shared" ca="1" si="20"/>
        <v>Formula-linked</v>
      </c>
    </row>
    <row r="442" spans="1:10">
      <c r="A442" s="366" t="s">
        <v>461</v>
      </c>
      <c r="B442" s="366">
        <v>2025</v>
      </c>
      <c r="C442" s="366" t="s">
        <v>213</v>
      </c>
      <c r="D442" s="366">
        <v>50</v>
      </c>
      <c r="E442" s="348">
        <f t="shared" ca="1" si="18"/>
        <v>1.8507858557310135</v>
      </c>
      <c r="F442" s="348" t="str">
        <f t="shared" si="19"/>
        <v>BLD_MM</v>
      </c>
      <c r="G442" s="348" t="str">
        <f>IFERROR(INDEX(DATA_PROPERTY_MASTER!$E$5:$E$21,MATCH($A442,DATA_PROPERTY_MASTER!$A$5:$A$21,0)),"")</f>
        <v>Yes</v>
      </c>
      <c r="H442" s="348" t="str">
        <f ca="1">IFERROR(INDEX(DATA_PROPERTY_MASTER!$F$5:$F$21,MATCH($A442,DATA_PROPERTY_MASTER!$A$5:$A$21,0)),"")</f>
        <v>Refi Watch</v>
      </c>
      <c r="I442" t="s">
        <v>1499</v>
      </c>
      <c r="J442" s="348" t="str">
        <f t="shared" ca="1" si="20"/>
        <v>Formula-linked</v>
      </c>
    </row>
    <row r="443" spans="1:10">
      <c r="A443" s="366" t="s">
        <v>461</v>
      </c>
      <c r="B443" s="366">
        <v>2025</v>
      </c>
      <c r="C443" s="366" t="s">
        <v>1500</v>
      </c>
      <c r="D443" s="366">
        <v>52</v>
      </c>
      <c r="E443" s="348">
        <f t="shared" ca="1" si="18"/>
        <v>231042.67400000006</v>
      </c>
      <c r="F443" s="348" t="str">
        <f t="shared" si="19"/>
        <v>BLD_MM</v>
      </c>
      <c r="G443" s="348" t="str">
        <f>IFERROR(INDEX(DATA_PROPERTY_MASTER!$E$5:$E$21,MATCH($A443,DATA_PROPERTY_MASTER!$A$5:$A$21,0)),"")</f>
        <v>Yes</v>
      </c>
      <c r="H443" s="348" t="str">
        <f ca="1">IFERROR(INDEX(DATA_PROPERTY_MASTER!$F$5:$F$21,MATCH($A443,DATA_PROPERTY_MASTER!$A$5:$A$21,0)),"")</f>
        <v>Refi Watch</v>
      </c>
      <c r="I443" t="s">
        <v>1501</v>
      </c>
      <c r="J443" s="348" t="str">
        <f t="shared" ca="1" si="20"/>
        <v>Formula-linked</v>
      </c>
    </row>
    <row r="444" spans="1:10">
      <c r="A444" s="366" t="s">
        <v>461</v>
      </c>
      <c r="B444" s="366">
        <v>2025</v>
      </c>
      <c r="C444" s="366" t="s">
        <v>27</v>
      </c>
      <c r="D444" s="366">
        <v>54</v>
      </c>
      <c r="E444" s="348">
        <f t="shared" ca="1" si="18"/>
        <v>138625.60440000004</v>
      </c>
      <c r="F444" s="348" t="str">
        <f t="shared" si="19"/>
        <v>BLD_MM</v>
      </c>
      <c r="G444" s="348" t="str">
        <f>IFERROR(INDEX(DATA_PROPERTY_MASTER!$E$5:$E$21,MATCH($A444,DATA_PROPERTY_MASTER!$A$5:$A$21,0)),"")</f>
        <v>Yes</v>
      </c>
      <c r="H444" s="348" t="str">
        <f ca="1">IFERROR(INDEX(DATA_PROPERTY_MASTER!$F$5:$F$21,MATCH($A444,DATA_PROPERTY_MASTER!$A$5:$A$21,0)),"")</f>
        <v>Refi Watch</v>
      </c>
      <c r="I444" t="s">
        <v>1501</v>
      </c>
      <c r="J444" s="348" t="str">
        <f t="shared" ca="1" si="20"/>
        <v>Formula-linked</v>
      </c>
    </row>
    <row r="445" spans="1:10">
      <c r="A445" s="366" t="s">
        <v>461</v>
      </c>
      <c r="B445" s="366">
        <v>2025</v>
      </c>
      <c r="C445" s="366" t="s">
        <v>1502</v>
      </c>
      <c r="D445" s="366">
        <v>56</v>
      </c>
      <c r="E445" s="348">
        <f t="shared" ca="1" si="18"/>
        <v>92417.069600000017</v>
      </c>
      <c r="F445" s="348" t="str">
        <f t="shared" si="19"/>
        <v>BLD_MM</v>
      </c>
      <c r="G445" s="348" t="str">
        <f>IFERROR(INDEX(DATA_PROPERTY_MASTER!$E$5:$E$21,MATCH($A445,DATA_PROPERTY_MASTER!$A$5:$A$21,0)),"")</f>
        <v>Yes</v>
      </c>
      <c r="H445" s="348" t="str">
        <f ca="1">IFERROR(INDEX(DATA_PROPERTY_MASTER!$F$5:$F$21,MATCH($A445,DATA_PROPERTY_MASTER!$A$5:$A$21,0)),"")</f>
        <v>Refi Watch</v>
      </c>
      <c r="I445" t="s">
        <v>1501</v>
      </c>
      <c r="J445" s="348" t="str">
        <f t="shared" ca="1" si="20"/>
        <v>Formula-linked</v>
      </c>
    </row>
    <row r="446" spans="1:10">
      <c r="A446" s="366" t="s">
        <v>461</v>
      </c>
      <c r="B446" s="366">
        <v>2025</v>
      </c>
      <c r="C446" s="366" t="s">
        <v>367</v>
      </c>
      <c r="D446" s="366">
        <v>61</v>
      </c>
      <c r="E446" s="348">
        <f t="shared" ca="1" si="18"/>
        <v>0</v>
      </c>
      <c r="F446" s="348" t="str">
        <f t="shared" si="19"/>
        <v>BLD_MM</v>
      </c>
      <c r="G446" s="348" t="str">
        <f>IFERROR(INDEX(DATA_PROPERTY_MASTER!$E$5:$E$21,MATCH($A446,DATA_PROPERTY_MASTER!$A$5:$A$21,0)),"")</f>
        <v>Yes</v>
      </c>
      <c r="H446" s="348" t="str">
        <f ca="1">IFERROR(INDEX(DATA_PROPERTY_MASTER!$F$5:$F$21,MATCH($A446,DATA_PROPERTY_MASTER!$A$5:$A$21,0)),"")</f>
        <v>Refi Watch</v>
      </c>
      <c r="I446" t="s">
        <v>1503</v>
      </c>
      <c r="J446" s="348" t="str">
        <f t="shared" ca="1" si="20"/>
        <v>Formula-linked</v>
      </c>
    </row>
    <row r="447" spans="1:10">
      <c r="A447" s="366" t="s">
        <v>461</v>
      </c>
      <c r="B447" s="366">
        <v>2025</v>
      </c>
      <c r="C447" s="366" t="s">
        <v>368</v>
      </c>
      <c r="D447" s="366">
        <v>62</v>
      </c>
      <c r="E447" s="348">
        <f t="shared" ca="1" si="18"/>
        <v>0</v>
      </c>
      <c r="F447" s="348" t="str">
        <f t="shared" si="19"/>
        <v>BLD_MM</v>
      </c>
      <c r="G447" s="348" t="str">
        <f>IFERROR(INDEX(DATA_PROPERTY_MASTER!$E$5:$E$21,MATCH($A447,DATA_PROPERTY_MASTER!$A$5:$A$21,0)),"")</f>
        <v>Yes</v>
      </c>
      <c r="H447" s="348" t="str">
        <f ca="1">IFERROR(INDEX(DATA_PROPERTY_MASTER!$F$5:$F$21,MATCH($A447,DATA_PROPERTY_MASTER!$A$5:$A$21,0)),"")</f>
        <v>Refi Watch</v>
      </c>
      <c r="I447" t="s">
        <v>1503</v>
      </c>
      <c r="J447" s="348" t="str">
        <f t="shared" ca="1" si="20"/>
        <v>Formula-linked</v>
      </c>
    </row>
    <row r="448" spans="1:10">
      <c r="A448" s="366" t="s">
        <v>461</v>
      </c>
      <c r="B448" s="366">
        <v>2025</v>
      </c>
      <c r="C448" s="366" t="s">
        <v>1504</v>
      </c>
      <c r="D448" s="366">
        <v>63</v>
      </c>
      <c r="E448" s="348">
        <f t="shared" ca="1" si="18"/>
        <v>0</v>
      </c>
      <c r="F448" s="348" t="str">
        <f t="shared" si="19"/>
        <v>BLD_MM</v>
      </c>
      <c r="G448" s="348" t="str">
        <f>IFERROR(INDEX(DATA_PROPERTY_MASTER!$E$5:$E$21,MATCH($A448,DATA_PROPERTY_MASTER!$A$5:$A$21,0)),"")</f>
        <v>Yes</v>
      </c>
      <c r="H448" s="348" t="str">
        <f ca="1">IFERROR(INDEX(DATA_PROPERTY_MASTER!$F$5:$F$21,MATCH($A448,DATA_PROPERTY_MASTER!$A$5:$A$21,0)),"")</f>
        <v>Refi Watch</v>
      </c>
      <c r="I448" t="s">
        <v>1503</v>
      </c>
      <c r="J448" s="348" t="str">
        <f t="shared" ca="1" si="20"/>
        <v>Formula-linked</v>
      </c>
    </row>
    <row r="449" spans="1:10">
      <c r="A449" s="366" t="s">
        <v>461</v>
      </c>
      <c r="B449" s="366">
        <v>2025</v>
      </c>
      <c r="C449" s="366" t="s">
        <v>370</v>
      </c>
      <c r="D449" s="366">
        <v>64</v>
      </c>
      <c r="E449" s="348">
        <f t="shared" ca="1" si="18"/>
        <v>4931606.0285999998</v>
      </c>
      <c r="F449" s="348" t="str">
        <f t="shared" si="19"/>
        <v>BLD_MM</v>
      </c>
      <c r="G449" s="348" t="str">
        <f>IFERROR(INDEX(DATA_PROPERTY_MASTER!$E$5:$E$21,MATCH($A449,DATA_PROPERTY_MASTER!$A$5:$A$21,0)),"")</f>
        <v>Yes</v>
      </c>
      <c r="H449" s="348" t="str">
        <f ca="1">IFERROR(INDEX(DATA_PROPERTY_MASTER!$F$5:$F$21,MATCH($A449,DATA_PROPERTY_MASTER!$A$5:$A$21,0)),"")</f>
        <v>Refi Watch</v>
      </c>
      <c r="I449" t="s">
        <v>1498</v>
      </c>
      <c r="J449" s="348" t="str">
        <f t="shared" ca="1" si="20"/>
        <v>Formula-linked</v>
      </c>
    </row>
    <row r="450" spans="1:10">
      <c r="A450" s="366" t="s">
        <v>461</v>
      </c>
      <c r="B450" s="366">
        <v>2025</v>
      </c>
      <c r="C450" s="366" t="s">
        <v>544</v>
      </c>
      <c r="D450" s="366">
        <v>68</v>
      </c>
      <c r="E450" s="348">
        <f t="shared" ca="1" si="18"/>
        <v>92417.069600000017</v>
      </c>
      <c r="F450" s="348" t="str">
        <f t="shared" si="19"/>
        <v>BLD_MM</v>
      </c>
      <c r="G450" s="348" t="str">
        <f>IFERROR(INDEX(DATA_PROPERTY_MASTER!$E$5:$E$21,MATCH($A450,DATA_PROPERTY_MASTER!$A$5:$A$21,0)),"")</f>
        <v>Yes</v>
      </c>
      <c r="H450" s="348" t="str">
        <f ca="1">IFERROR(INDEX(DATA_PROPERTY_MASTER!$F$5:$F$21,MATCH($A450,DATA_PROPERTY_MASTER!$A$5:$A$21,0)),"")</f>
        <v>Refi Watch</v>
      </c>
      <c r="I450" t="s">
        <v>1501</v>
      </c>
      <c r="J450" s="348" t="str">
        <f t="shared" ca="1" si="20"/>
        <v>Formula-linked</v>
      </c>
    </row>
    <row r="451" spans="1:10">
      <c r="A451" s="366" t="s">
        <v>461</v>
      </c>
      <c r="B451" s="366">
        <v>2025</v>
      </c>
      <c r="C451" s="366" t="s">
        <v>378</v>
      </c>
      <c r="D451" s="366">
        <v>73</v>
      </c>
      <c r="E451" s="348">
        <f t="shared" ca="1" si="18"/>
        <v>8376775.2333333353</v>
      </c>
      <c r="F451" s="348" t="str">
        <f t="shared" si="19"/>
        <v>BLD_MM</v>
      </c>
      <c r="G451" s="348" t="str">
        <f>IFERROR(INDEX(DATA_PROPERTY_MASTER!$E$5:$E$21,MATCH($A451,DATA_PROPERTY_MASTER!$A$5:$A$21,0)),"")</f>
        <v>Yes</v>
      </c>
      <c r="H451" s="348" t="str">
        <f ca="1">IFERROR(INDEX(DATA_PROPERTY_MASTER!$F$5:$F$21,MATCH($A451,DATA_PROPERTY_MASTER!$A$5:$A$21,0)),"")</f>
        <v>Refi Watch</v>
      </c>
      <c r="I451" t="s">
        <v>1505</v>
      </c>
      <c r="J451" s="348" t="str">
        <f t="shared" ca="1" si="20"/>
        <v>Formula-linked</v>
      </c>
    </row>
    <row r="452" spans="1:10">
      <c r="A452" s="366" t="s">
        <v>461</v>
      </c>
      <c r="B452" s="366">
        <v>2025</v>
      </c>
      <c r="C452" s="366" t="s">
        <v>1506</v>
      </c>
      <c r="D452" s="366">
        <v>77</v>
      </c>
      <c r="E452" s="348">
        <f t="shared" ca="1" si="18"/>
        <v>3445169.2047333354</v>
      </c>
      <c r="F452" s="348" t="str">
        <f t="shared" si="19"/>
        <v>BLD_MM</v>
      </c>
      <c r="G452" s="348" t="str">
        <f>IFERROR(INDEX(DATA_PROPERTY_MASTER!$E$5:$E$21,MATCH($A452,DATA_PROPERTY_MASTER!$A$5:$A$21,0)),"")</f>
        <v>Yes</v>
      </c>
      <c r="H452" s="348" t="str">
        <f ca="1">IFERROR(INDEX(DATA_PROPERTY_MASTER!$F$5:$F$21,MATCH($A452,DATA_PROPERTY_MASTER!$A$5:$A$21,0)),"")</f>
        <v>Refi Watch</v>
      </c>
      <c r="I452" t="s">
        <v>1505</v>
      </c>
      <c r="J452" s="348" t="str">
        <f t="shared" ca="1" si="20"/>
        <v>Formula-linked</v>
      </c>
    </row>
    <row r="453" spans="1:10">
      <c r="A453" s="366" t="s">
        <v>461</v>
      </c>
      <c r="B453" s="366">
        <v>2029</v>
      </c>
      <c r="C453" s="366" t="s">
        <v>341</v>
      </c>
      <c r="D453" s="366">
        <v>24</v>
      </c>
      <c r="E453" s="348">
        <f t="shared" ref="E453:E516" ca="1" si="21">IFERROR(INDEX(INDIRECT("'"&amp;$A453&amp;"'!$E$"&amp;$D453&amp;":$Y$"&amp;$D453),1,MATCH($B453,INDIRECT("'"&amp;$A453&amp;"'!$E$12:$Y$12"),0)),"")</f>
        <v>845380.0733301302</v>
      </c>
      <c r="F453" s="348" t="str">
        <f t="shared" ref="F453:F516" si="22">$A453</f>
        <v>BLD_MM</v>
      </c>
      <c r="G453" s="348" t="str">
        <f>IFERROR(INDEX(DATA_PROPERTY_MASTER!$E$5:$E$21,MATCH($A453,DATA_PROPERTY_MASTER!$A$5:$A$21,0)),"")</f>
        <v>Yes</v>
      </c>
      <c r="H453" s="348" t="str">
        <f ca="1">IFERROR(INDEX(DATA_PROPERTY_MASTER!$F$5:$F$21,MATCH($A453,DATA_PROPERTY_MASTER!$A$5:$A$21,0)),"")</f>
        <v>Refi Watch</v>
      </c>
      <c r="I453" t="s">
        <v>1495</v>
      </c>
      <c r="J453" s="348" t="str">
        <f t="shared" ref="J453:J516" ca="1" si="23">IF($E453="","Review","Formula-linked")</f>
        <v>Formula-linked</v>
      </c>
    </row>
    <row r="454" spans="1:10">
      <c r="A454" s="366" t="s">
        <v>461</v>
      </c>
      <c r="B454" s="366">
        <v>2029</v>
      </c>
      <c r="C454" s="366" t="s">
        <v>355</v>
      </c>
      <c r="D454" s="366">
        <v>39</v>
      </c>
      <c r="E454" s="348">
        <f t="shared" ca="1" si="21"/>
        <v>325681.60395264009</v>
      </c>
      <c r="F454" s="348" t="str">
        <f t="shared" si="22"/>
        <v>BLD_MM</v>
      </c>
      <c r="G454" s="348" t="str">
        <f>IFERROR(INDEX(DATA_PROPERTY_MASTER!$E$5:$E$21,MATCH($A454,DATA_PROPERTY_MASTER!$A$5:$A$21,0)),"")</f>
        <v>Yes</v>
      </c>
      <c r="H454" s="348" t="str">
        <f ca="1">IFERROR(INDEX(DATA_PROPERTY_MASTER!$F$5:$F$21,MATCH($A454,DATA_PROPERTY_MASTER!$A$5:$A$21,0)),"")</f>
        <v>Refi Watch</v>
      </c>
      <c r="I454" t="s">
        <v>1496</v>
      </c>
      <c r="J454" s="348" t="str">
        <f t="shared" ca="1" si="23"/>
        <v>Formula-linked</v>
      </c>
    </row>
    <row r="455" spans="1:10">
      <c r="A455" s="366" t="s">
        <v>461</v>
      </c>
      <c r="B455" s="366">
        <v>2029</v>
      </c>
      <c r="C455" s="366" t="s">
        <v>1497</v>
      </c>
      <c r="D455" s="366">
        <v>41</v>
      </c>
      <c r="E455" s="348">
        <f t="shared" ca="1" si="21"/>
        <v>519698.46937749011</v>
      </c>
      <c r="F455" s="348" t="str">
        <f t="shared" si="22"/>
        <v>BLD_MM</v>
      </c>
      <c r="G455" s="348" t="str">
        <f>IFERROR(INDEX(DATA_PROPERTY_MASTER!$E$5:$E$21,MATCH($A455,DATA_PROPERTY_MASTER!$A$5:$A$21,0)),"")</f>
        <v>Yes</v>
      </c>
      <c r="H455" s="348" t="str">
        <f ca="1">IFERROR(INDEX(DATA_PROPERTY_MASTER!$F$5:$F$21,MATCH($A455,DATA_PROPERTY_MASTER!$A$5:$A$21,0)),"")</f>
        <v>Refi Watch</v>
      </c>
      <c r="I455" t="s">
        <v>1497</v>
      </c>
      <c r="J455" s="348" t="str">
        <f t="shared" ca="1" si="23"/>
        <v>Formula-linked</v>
      </c>
    </row>
    <row r="456" spans="1:10">
      <c r="A456" s="366" t="s">
        <v>461</v>
      </c>
      <c r="B456" s="366">
        <v>2029</v>
      </c>
      <c r="C456" s="366" t="s">
        <v>21</v>
      </c>
      <c r="D456" s="366">
        <v>45</v>
      </c>
      <c r="E456" s="348">
        <f t="shared" ca="1" si="21"/>
        <v>512067.32264949009</v>
      </c>
      <c r="F456" s="348" t="str">
        <f t="shared" si="22"/>
        <v>BLD_MM</v>
      </c>
      <c r="G456" s="348" t="str">
        <f>IFERROR(INDEX(DATA_PROPERTY_MASTER!$E$5:$E$21,MATCH($A456,DATA_PROPERTY_MASTER!$A$5:$A$21,0)),"")</f>
        <v>Yes</v>
      </c>
      <c r="H456" s="348" t="str">
        <f ca="1">IFERROR(INDEX(DATA_PROPERTY_MASTER!$F$5:$F$21,MATCH($A456,DATA_PROPERTY_MASTER!$A$5:$A$21,0)),"")</f>
        <v>Refi Watch</v>
      </c>
      <c r="I456" t="s">
        <v>1497</v>
      </c>
      <c r="J456" s="348" t="str">
        <f t="shared" ca="1" si="23"/>
        <v>Formula-linked</v>
      </c>
    </row>
    <row r="457" spans="1:10">
      <c r="A457" s="366" t="s">
        <v>461</v>
      </c>
      <c r="B457" s="366">
        <v>2029</v>
      </c>
      <c r="C457" s="366" t="s">
        <v>23</v>
      </c>
      <c r="D457" s="366">
        <v>48</v>
      </c>
      <c r="E457" s="348">
        <f t="shared" ca="1" si="21"/>
        <v>271563.84000000003</v>
      </c>
      <c r="F457" s="348" t="str">
        <f t="shared" si="22"/>
        <v>BLD_MM</v>
      </c>
      <c r="G457" s="348" t="str">
        <f>IFERROR(INDEX(DATA_PROPERTY_MASTER!$E$5:$E$21,MATCH($A457,DATA_PROPERTY_MASTER!$A$5:$A$21,0)),"")</f>
        <v>Yes</v>
      </c>
      <c r="H457" s="348" t="str">
        <f ca="1">IFERROR(INDEX(DATA_PROPERTY_MASTER!$F$5:$F$21,MATCH($A457,DATA_PROPERTY_MASTER!$A$5:$A$21,0)),"")</f>
        <v>Refi Watch</v>
      </c>
      <c r="I457" t="s">
        <v>1498</v>
      </c>
      <c r="J457" s="348" t="str">
        <f t="shared" ca="1" si="23"/>
        <v>Formula-linked</v>
      </c>
    </row>
    <row r="458" spans="1:10">
      <c r="A458" s="366" t="s">
        <v>461</v>
      </c>
      <c r="B458" s="366">
        <v>2029</v>
      </c>
      <c r="C458" s="366" t="s">
        <v>213</v>
      </c>
      <c r="D458" s="366">
        <v>50</v>
      </c>
      <c r="E458" s="348">
        <f t="shared" ca="1" si="21"/>
        <v>1.9137248515026524</v>
      </c>
      <c r="F458" s="348" t="str">
        <f t="shared" si="22"/>
        <v>BLD_MM</v>
      </c>
      <c r="G458" s="348" t="str">
        <f>IFERROR(INDEX(DATA_PROPERTY_MASTER!$E$5:$E$21,MATCH($A458,DATA_PROPERTY_MASTER!$A$5:$A$21,0)),"")</f>
        <v>Yes</v>
      </c>
      <c r="H458" s="348" t="str">
        <f ca="1">IFERROR(INDEX(DATA_PROPERTY_MASTER!$F$5:$F$21,MATCH($A458,DATA_PROPERTY_MASTER!$A$5:$A$21,0)),"")</f>
        <v>Refi Watch</v>
      </c>
      <c r="I458" t="s">
        <v>1499</v>
      </c>
      <c r="J458" s="348" t="str">
        <f t="shared" ca="1" si="23"/>
        <v>Formula-linked</v>
      </c>
    </row>
    <row r="459" spans="1:10">
      <c r="A459" s="366" t="s">
        <v>461</v>
      </c>
      <c r="B459" s="366">
        <v>2029</v>
      </c>
      <c r="C459" s="366" t="s">
        <v>1500</v>
      </c>
      <c r="D459" s="366">
        <v>52</v>
      </c>
      <c r="E459" s="348">
        <f t="shared" ca="1" si="21"/>
        <v>248134.62937749008</v>
      </c>
      <c r="F459" s="348" t="str">
        <f t="shared" si="22"/>
        <v>BLD_MM</v>
      </c>
      <c r="G459" s="348" t="str">
        <f>IFERROR(INDEX(DATA_PROPERTY_MASTER!$E$5:$E$21,MATCH($A459,DATA_PROPERTY_MASTER!$A$5:$A$21,0)),"")</f>
        <v>Yes</v>
      </c>
      <c r="H459" s="348" t="str">
        <f ca="1">IFERROR(INDEX(DATA_PROPERTY_MASTER!$F$5:$F$21,MATCH($A459,DATA_PROPERTY_MASTER!$A$5:$A$21,0)),"")</f>
        <v>Refi Watch</v>
      </c>
      <c r="I459" t="s">
        <v>1501</v>
      </c>
      <c r="J459" s="348" t="str">
        <f t="shared" ca="1" si="23"/>
        <v>Formula-linked</v>
      </c>
    </row>
    <row r="460" spans="1:10">
      <c r="A460" s="366" t="s">
        <v>461</v>
      </c>
      <c r="B460" s="366">
        <v>2029</v>
      </c>
      <c r="C460" s="366" t="s">
        <v>27</v>
      </c>
      <c r="D460" s="366">
        <v>54</v>
      </c>
      <c r="E460" s="348">
        <f t="shared" ca="1" si="21"/>
        <v>148880.77762649403</v>
      </c>
      <c r="F460" s="348" t="str">
        <f t="shared" si="22"/>
        <v>BLD_MM</v>
      </c>
      <c r="G460" s="348" t="str">
        <f>IFERROR(INDEX(DATA_PROPERTY_MASTER!$E$5:$E$21,MATCH($A460,DATA_PROPERTY_MASTER!$A$5:$A$21,0)),"")</f>
        <v>Yes</v>
      </c>
      <c r="H460" s="348" t="str">
        <f ca="1">IFERROR(INDEX(DATA_PROPERTY_MASTER!$F$5:$F$21,MATCH($A460,DATA_PROPERTY_MASTER!$A$5:$A$21,0)),"")</f>
        <v>Refi Watch</v>
      </c>
      <c r="I460" t="s">
        <v>1501</v>
      </c>
      <c r="J460" s="348" t="str">
        <f t="shared" ca="1" si="23"/>
        <v>Formula-linked</v>
      </c>
    </row>
    <row r="461" spans="1:10">
      <c r="A461" s="366" t="s">
        <v>461</v>
      </c>
      <c r="B461" s="366">
        <v>2029</v>
      </c>
      <c r="C461" s="366" t="s">
        <v>1502</v>
      </c>
      <c r="D461" s="366">
        <v>56</v>
      </c>
      <c r="E461" s="348">
        <f t="shared" ca="1" si="21"/>
        <v>99253.851750996051</v>
      </c>
      <c r="F461" s="348" t="str">
        <f t="shared" si="22"/>
        <v>BLD_MM</v>
      </c>
      <c r="G461" s="348" t="str">
        <f>IFERROR(INDEX(DATA_PROPERTY_MASTER!$E$5:$E$21,MATCH($A461,DATA_PROPERTY_MASTER!$A$5:$A$21,0)),"")</f>
        <v>Yes</v>
      </c>
      <c r="H461" s="348" t="str">
        <f ca="1">IFERROR(INDEX(DATA_PROPERTY_MASTER!$F$5:$F$21,MATCH($A461,DATA_PROPERTY_MASTER!$A$5:$A$21,0)),"")</f>
        <v>Refi Watch</v>
      </c>
      <c r="I461" t="s">
        <v>1501</v>
      </c>
      <c r="J461" s="348" t="str">
        <f t="shared" ca="1" si="23"/>
        <v>Formula-linked</v>
      </c>
    </row>
    <row r="462" spans="1:10">
      <c r="A462" s="366" t="s">
        <v>461</v>
      </c>
      <c r="B462" s="366">
        <v>2029</v>
      </c>
      <c r="C462" s="366" t="s">
        <v>367</v>
      </c>
      <c r="D462" s="366">
        <v>61</v>
      </c>
      <c r="E462" s="348">
        <f t="shared" ca="1" si="21"/>
        <v>0</v>
      </c>
      <c r="F462" s="348" t="str">
        <f t="shared" si="22"/>
        <v>BLD_MM</v>
      </c>
      <c r="G462" s="348" t="str">
        <f>IFERROR(INDEX(DATA_PROPERTY_MASTER!$E$5:$E$21,MATCH($A462,DATA_PROPERTY_MASTER!$A$5:$A$21,0)),"")</f>
        <v>Yes</v>
      </c>
      <c r="H462" s="348" t="str">
        <f ca="1">IFERROR(INDEX(DATA_PROPERTY_MASTER!$F$5:$F$21,MATCH($A462,DATA_PROPERTY_MASTER!$A$5:$A$21,0)),"")</f>
        <v>Refi Watch</v>
      </c>
      <c r="I462" t="s">
        <v>1503</v>
      </c>
      <c r="J462" s="348" t="str">
        <f t="shared" ca="1" si="23"/>
        <v>Formula-linked</v>
      </c>
    </row>
    <row r="463" spans="1:10">
      <c r="A463" s="366" t="s">
        <v>461</v>
      </c>
      <c r="B463" s="366">
        <v>2029</v>
      </c>
      <c r="C463" s="366" t="s">
        <v>368</v>
      </c>
      <c r="D463" s="366">
        <v>62</v>
      </c>
      <c r="E463" s="348">
        <f t="shared" ca="1" si="21"/>
        <v>0</v>
      </c>
      <c r="F463" s="348" t="str">
        <f t="shared" si="22"/>
        <v>BLD_MM</v>
      </c>
      <c r="G463" s="348" t="str">
        <f>IFERROR(INDEX(DATA_PROPERTY_MASTER!$E$5:$E$21,MATCH($A463,DATA_PROPERTY_MASTER!$A$5:$A$21,0)),"")</f>
        <v>Yes</v>
      </c>
      <c r="H463" s="348" t="str">
        <f ca="1">IFERROR(INDEX(DATA_PROPERTY_MASTER!$F$5:$F$21,MATCH($A463,DATA_PROPERTY_MASTER!$A$5:$A$21,0)),"")</f>
        <v>Refi Watch</v>
      </c>
      <c r="I463" t="s">
        <v>1503</v>
      </c>
      <c r="J463" s="348" t="str">
        <f t="shared" ca="1" si="23"/>
        <v>Formula-linked</v>
      </c>
    </row>
    <row r="464" spans="1:10">
      <c r="A464" s="366" t="s">
        <v>461</v>
      </c>
      <c r="B464" s="366">
        <v>2029</v>
      </c>
      <c r="C464" s="366" t="s">
        <v>1504</v>
      </c>
      <c r="D464" s="366">
        <v>63</v>
      </c>
      <c r="E464" s="348">
        <f t="shared" ca="1" si="21"/>
        <v>0</v>
      </c>
      <c r="F464" s="348" t="str">
        <f t="shared" si="22"/>
        <v>BLD_MM</v>
      </c>
      <c r="G464" s="348" t="str">
        <f>IFERROR(INDEX(DATA_PROPERTY_MASTER!$E$5:$E$21,MATCH($A464,DATA_PROPERTY_MASTER!$A$5:$A$21,0)),"")</f>
        <v>Yes</v>
      </c>
      <c r="H464" s="348" t="str">
        <f ca="1">IFERROR(INDEX(DATA_PROPERTY_MASTER!$F$5:$F$21,MATCH($A464,DATA_PROPERTY_MASTER!$A$5:$A$21,0)),"")</f>
        <v>Refi Watch</v>
      </c>
      <c r="I464" t="s">
        <v>1503</v>
      </c>
      <c r="J464" s="348" t="str">
        <f t="shared" ca="1" si="23"/>
        <v>Formula-linked</v>
      </c>
    </row>
    <row r="465" spans="1:10">
      <c r="A465" s="366" t="s">
        <v>461</v>
      </c>
      <c r="B465" s="366">
        <v>2029</v>
      </c>
      <c r="C465" s="366" t="s">
        <v>370</v>
      </c>
      <c r="D465" s="366">
        <v>64</v>
      </c>
      <c r="E465" s="348">
        <f t="shared" ca="1" si="21"/>
        <v>4659222.9590798477</v>
      </c>
      <c r="F465" s="348" t="str">
        <f t="shared" si="22"/>
        <v>BLD_MM</v>
      </c>
      <c r="G465" s="348" t="str">
        <f>IFERROR(INDEX(DATA_PROPERTY_MASTER!$E$5:$E$21,MATCH($A465,DATA_PROPERTY_MASTER!$A$5:$A$21,0)),"")</f>
        <v>Yes</v>
      </c>
      <c r="H465" s="348" t="str">
        <f ca="1">IFERROR(INDEX(DATA_PROPERTY_MASTER!$F$5:$F$21,MATCH($A465,DATA_PROPERTY_MASTER!$A$5:$A$21,0)),"")</f>
        <v>Refi Watch</v>
      </c>
      <c r="I465" t="s">
        <v>1498</v>
      </c>
      <c r="J465" s="348" t="str">
        <f t="shared" ca="1" si="23"/>
        <v>Formula-linked</v>
      </c>
    </row>
    <row r="466" spans="1:10">
      <c r="A466" s="366" t="s">
        <v>461</v>
      </c>
      <c r="B466" s="366">
        <v>2029</v>
      </c>
      <c r="C466" s="366" t="s">
        <v>544</v>
      </c>
      <c r="D466" s="366">
        <v>68</v>
      </c>
      <c r="E466" s="348">
        <f t="shared" ca="1" si="21"/>
        <v>99253.851750996051</v>
      </c>
      <c r="F466" s="348" t="str">
        <f t="shared" si="22"/>
        <v>BLD_MM</v>
      </c>
      <c r="G466" s="348" t="str">
        <f>IFERROR(INDEX(DATA_PROPERTY_MASTER!$E$5:$E$21,MATCH($A466,DATA_PROPERTY_MASTER!$A$5:$A$21,0)),"")</f>
        <v>Yes</v>
      </c>
      <c r="H466" s="348" t="str">
        <f ca="1">IFERROR(INDEX(DATA_PROPERTY_MASTER!$F$5:$F$21,MATCH($A466,DATA_PROPERTY_MASTER!$A$5:$A$21,0)),"")</f>
        <v>Refi Watch</v>
      </c>
      <c r="I466" t="s">
        <v>1501</v>
      </c>
      <c r="J466" s="348" t="str">
        <f t="shared" ca="1" si="23"/>
        <v>Formula-linked</v>
      </c>
    </row>
    <row r="467" spans="1:10">
      <c r="A467" s="366" t="s">
        <v>461</v>
      </c>
      <c r="B467" s="366">
        <v>2029</v>
      </c>
      <c r="C467" s="366" t="s">
        <v>378</v>
      </c>
      <c r="D467" s="366">
        <v>73</v>
      </c>
      <c r="E467" s="348">
        <f t="shared" ca="1" si="21"/>
        <v>8661641.1562915016</v>
      </c>
      <c r="F467" s="348" t="str">
        <f t="shared" si="22"/>
        <v>BLD_MM</v>
      </c>
      <c r="G467" s="348" t="str">
        <f>IFERROR(INDEX(DATA_PROPERTY_MASTER!$E$5:$E$21,MATCH($A467,DATA_PROPERTY_MASTER!$A$5:$A$21,0)),"")</f>
        <v>Yes</v>
      </c>
      <c r="H467" s="348" t="str">
        <f ca="1">IFERROR(INDEX(DATA_PROPERTY_MASTER!$F$5:$F$21,MATCH($A467,DATA_PROPERTY_MASTER!$A$5:$A$21,0)),"")</f>
        <v>Refi Watch</v>
      </c>
      <c r="I467" t="s">
        <v>1505</v>
      </c>
      <c r="J467" s="348" t="str">
        <f t="shared" ca="1" si="23"/>
        <v>Formula-linked</v>
      </c>
    </row>
    <row r="468" spans="1:10">
      <c r="A468" s="366" t="s">
        <v>461</v>
      </c>
      <c r="B468" s="366">
        <v>2029</v>
      </c>
      <c r="C468" s="366" t="s">
        <v>1506</v>
      </c>
      <c r="D468" s="366">
        <v>77</v>
      </c>
      <c r="E468" s="348">
        <f t="shared" ca="1" si="21"/>
        <v>4002418.1972116539</v>
      </c>
      <c r="F468" s="348" t="str">
        <f t="shared" si="22"/>
        <v>BLD_MM</v>
      </c>
      <c r="G468" s="348" t="str">
        <f>IFERROR(INDEX(DATA_PROPERTY_MASTER!$E$5:$E$21,MATCH($A468,DATA_PROPERTY_MASTER!$A$5:$A$21,0)),"")</f>
        <v>Yes</v>
      </c>
      <c r="H468" s="348" t="str">
        <f ca="1">IFERROR(INDEX(DATA_PROPERTY_MASTER!$F$5:$F$21,MATCH($A468,DATA_PROPERTY_MASTER!$A$5:$A$21,0)),"")</f>
        <v>Refi Watch</v>
      </c>
      <c r="I468" t="s">
        <v>1505</v>
      </c>
      <c r="J468" s="348" t="str">
        <f t="shared" ca="1" si="23"/>
        <v>Formula-linked</v>
      </c>
    </row>
    <row r="469" spans="1:10">
      <c r="A469" s="366" t="s">
        <v>461</v>
      </c>
      <c r="B469" s="366">
        <v>2035</v>
      </c>
      <c r="C469" s="366" t="s">
        <v>341</v>
      </c>
      <c r="D469" s="366">
        <v>24</v>
      </c>
      <c r="E469" s="348">
        <f t="shared" ca="1" si="21"/>
        <v>952035.26857903716</v>
      </c>
      <c r="F469" s="348" t="str">
        <f t="shared" si="22"/>
        <v>BLD_MM</v>
      </c>
      <c r="G469" s="348" t="str">
        <f>IFERROR(INDEX(DATA_PROPERTY_MASTER!$E$5:$E$21,MATCH($A469,DATA_PROPERTY_MASTER!$A$5:$A$21,0)),"")</f>
        <v>Yes</v>
      </c>
      <c r="H469" s="348" t="str">
        <f ca="1">IFERROR(INDEX(DATA_PROPERTY_MASTER!$F$5:$F$21,MATCH($A469,DATA_PROPERTY_MASTER!$A$5:$A$21,0)),"")</f>
        <v>Refi Watch</v>
      </c>
      <c r="I469" t="s">
        <v>1495</v>
      </c>
      <c r="J469" s="348" t="str">
        <f t="shared" ca="1" si="23"/>
        <v>Formula-linked</v>
      </c>
    </row>
    <row r="470" spans="1:10">
      <c r="A470" s="366" t="s">
        <v>461</v>
      </c>
      <c r="B470" s="366">
        <v>2035</v>
      </c>
      <c r="C470" s="366" t="s">
        <v>355</v>
      </c>
      <c r="D470" s="366">
        <v>39</v>
      </c>
      <c r="E470" s="348">
        <f t="shared" ca="1" si="21"/>
        <v>406147.50542494858</v>
      </c>
      <c r="F470" s="348" t="str">
        <f t="shared" si="22"/>
        <v>BLD_MM</v>
      </c>
      <c r="G470" s="348" t="str">
        <f>IFERROR(INDEX(DATA_PROPERTY_MASTER!$E$5:$E$21,MATCH($A470,DATA_PROPERTY_MASTER!$A$5:$A$21,0)),"")</f>
        <v>Yes</v>
      </c>
      <c r="H470" s="348" t="str">
        <f ca="1">IFERROR(INDEX(DATA_PROPERTY_MASTER!$F$5:$F$21,MATCH($A470,DATA_PROPERTY_MASTER!$A$5:$A$21,0)),"")</f>
        <v>Refi Watch</v>
      </c>
      <c r="I470" t="s">
        <v>1496</v>
      </c>
      <c r="J470" s="348" t="str">
        <f t="shared" ca="1" si="23"/>
        <v>Formula-linked</v>
      </c>
    </row>
    <row r="471" spans="1:10">
      <c r="A471" s="366" t="s">
        <v>461</v>
      </c>
      <c r="B471" s="366">
        <v>2035</v>
      </c>
      <c r="C471" s="366" t="s">
        <v>1497</v>
      </c>
      <c r="D471" s="366">
        <v>41</v>
      </c>
      <c r="E471" s="348">
        <f t="shared" ca="1" si="21"/>
        <v>545887.76315408852</v>
      </c>
      <c r="F471" s="348" t="str">
        <f t="shared" si="22"/>
        <v>BLD_MM</v>
      </c>
      <c r="G471" s="348" t="str">
        <f>IFERROR(INDEX(DATA_PROPERTY_MASTER!$E$5:$E$21,MATCH($A471,DATA_PROPERTY_MASTER!$A$5:$A$21,0)),"")</f>
        <v>Yes</v>
      </c>
      <c r="H471" s="348" t="str">
        <f ca="1">IFERROR(INDEX(DATA_PROPERTY_MASTER!$F$5:$F$21,MATCH($A471,DATA_PROPERTY_MASTER!$A$5:$A$21,0)),"")</f>
        <v>Refi Watch</v>
      </c>
      <c r="I471" t="s">
        <v>1497</v>
      </c>
      <c r="J471" s="348" t="str">
        <f t="shared" ca="1" si="23"/>
        <v>Formula-linked</v>
      </c>
    </row>
    <row r="472" spans="1:10">
      <c r="A472" s="366" t="s">
        <v>461</v>
      </c>
      <c r="B472" s="366">
        <v>2035</v>
      </c>
      <c r="C472" s="366" t="s">
        <v>21</v>
      </c>
      <c r="D472" s="366">
        <v>45</v>
      </c>
      <c r="E472" s="348">
        <f t="shared" ca="1" si="21"/>
        <v>537293.85249312548</v>
      </c>
      <c r="F472" s="348" t="str">
        <f t="shared" si="22"/>
        <v>BLD_MM</v>
      </c>
      <c r="G472" s="348" t="str">
        <f>IFERROR(INDEX(DATA_PROPERTY_MASTER!$E$5:$E$21,MATCH($A472,DATA_PROPERTY_MASTER!$A$5:$A$21,0)),"")</f>
        <v>Yes</v>
      </c>
      <c r="H472" s="348" t="str">
        <f ca="1">IFERROR(INDEX(DATA_PROPERTY_MASTER!$F$5:$F$21,MATCH($A472,DATA_PROPERTY_MASTER!$A$5:$A$21,0)),"")</f>
        <v>Refi Watch</v>
      </c>
      <c r="I472" t="s">
        <v>1497</v>
      </c>
      <c r="J472" s="348" t="str">
        <f t="shared" ca="1" si="23"/>
        <v>Formula-linked</v>
      </c>
    </row>
    <row r="473" spans="1:10">
      <c r="A473" s="366" t="s">
        <v>461</v>
      </c>
      <c r="B473" s="366">
        <v>2035</v>
      </c>
      <c r="C473" s="366" t="s">
        <v>23</v>
      </c>
      <c r="D473" s="366">
        <v>48</v>
      </c>
      <c r="E473" s="348">
        <f t="shared" ca="1" si="21"/>
        <v>356739.03166510991</v>
      </c>
      <c r="F473" s="348" t="str">
        <f t="shared" si="22"/>
        <v>BLD_MM</v>
      </c>
      <c r="G473" s="348" t="str">
        <f>IFERROR(INDEX(DATA_PROPERTY_MASTER!$E$5:$E$21,MATCH($A473,DATA_PROPERTY_MASTER!$A$5:$A$21,0)),"")</f>
        <v>Yes</v>
      </c>
      <c r="H473" s="348" t="str">
        <f ca="1">IFERROR(INDEX(DATA_PROPERTY_MASTER!$F$5:$F$21,MATCH($A473,DATA_PROPERTY_MASTER!$A$5:$A$21,0)),"")</f>
        <v>Refi Watch</v>
      </c>
      <c r="I473" t="s">
        <v>1498</v>
      </c>
      <c r="J473" s="348" t="str">
        <f t="shared" ca="1" si="23"/>
        <v>Formula-linked</v>
      </c>
    </row>
    <row r="474" spans="1:10">
      <c r="A474" s="366" t="s">
        <v>461</v>
      </c>
      <c r="B474" s="366">
        <v>2035</v>
      </c>
      <c r="C474" s="366" t="s">
        <v>213</v>
      </c>
      <c r="D474" s="366">
        <v>50</v>
      </c>
      <c r="E474" s="348">
        <f t="shared" ca="1" si="21"/>
        <v>1.5302159693771402</v>
      </c>
      <c r="F474" s="348" t="str">
        <f t="shared" si="22"/>
        <v>BLD_MM</v>
      </c>
      <c r="G474" s="348" t="str">
        <f>IFERROR(INDEX(DATA_PROPERTY_MASTER!$E$5:$E$21,MATCH($A474,DATA_PROPERTY_MASTER!$A$5:$A$21,0)),"")</f>
        <v>Yes</v>
      </c>
      <c r="H474" s="348" t="str">
        <f ca="1">IFERROR(INDEX(DATA_PROPERTY_MASTER!$F$5:$F$21,MATCH($A474,DATA_PROPERTY_MASTER!$A$5:$A$21,0)),"")</f>
        <v>Refi Watch</v>
      </c>
      <c r="I474" t="s">
        <v>1499</v>
      </c>
      <c r="J474" s="348" t="str">
        <f t="shared" ca="1" si="23"/>
        <v>Formula-linked</v>
      </c>
    </row>
    <row r="475" spans="1:10">
      <c r="A475" s="366" t="s">
        <v>461</v>
      </c>
      <c r="B475" s="366">
        <v>2035</v>
      </c>
      <c r="C475" s="366" t="s">
        <v>1500</v>
      </c>
      <c r="D475" s="366">
        <v>52</v>
      </c>
      <c r="E475" s="348">
        <f t="shared" ca="1" si="21"/>
        <v>189148.73148897861</v>
      </c>
      <c r="F475" s="348" t="str">
        <f t="shared" si="22"/>
        <v>BLD_MM</v>
      </c>
      <c r="G475" s="348" t="str">
        <f>IFERROR(INDEX(DATA_PROPERTY_MASTER!$E$5:$E$21,MATCH($A475,DATA_PROPERTY_MASTER!$A$5:$A$21,0)),"")</f>
        <v>Yes</v>
      </c>
      <c r="H475" s="348" t="str">
        <f ca="1">IFERROR(INDEX(DATA_PROPERTY_MASTER!$F$5:$F$21,MATCH($A475,DATA_PROPERTY_MASTER!$A$5:$A$21,0)),"")</f>
        <v>Refi Watch</v>
      </c>
      <c r="I475" t="s">
        <v>1501</v>
      </c>
      <c r="J475" s="348" t="str">
        <f t="shared" ca="1" si="23"/>
        <v>Formula-linked</v>
      </c>
    </row>
    <row r="476" spans="1:10">
      <c r="A476" s="366" t="s">
        <v>461</v>
      </c>
      <c r="B476" s="366">
        <v>2035</v>
      </c>
      <c r="C476" s="366" t="s">
        <v>27</v>
      </c>
      <c r="D476" s="366">
        <v>54</v>
      </c>
      <c r="E476" s="348">
        <f t="shared" ca="1" si="21"/>
        <v>113489.23889338716</v>
      </c>
      <c r="F476" s="348" t="str">
        <f t="shared" si="22"/>
        <v>BLD_MM</v>
      </c>
      <c r="G476" s="348" t="str">
        <f>IFERROR(INDEX(DATA_PROPERTY_MASTER!$E$5:$E$21,MATCH($A476,DATA_PROPERTY_MASTER!$A$5:$A$21,0)),"")</f>
        <v>Yes</v>
      </c>
      <c r="H476" s="348" t="str">
        <f ca="1">IFERROR(INDEX(DATA_PROPERTY_MASTER!$F$5:$F$21,MATCH($A476,DATA_PROPERTY_MASTER!$A$5:$A$21,0)),"")</f>
        <v>Refi Watch</v>
      </c>
      <c r="I476" t="s">
        <v>1501</v>
      </c>
      <c r="J476" s="348" t="str">
        <f t="shared" ca="1" si="23"/>
        <v>Formula-linked</v>
      </c>
    </row>
    <row r="477" spans="1:10">
      <c r="A477" s="366" t="s">
        <v>461</v>
      </c>
      <c r="B477" s="366">
        <v>2035</v>
      </c>
      <c r="C477" s="366" t="s">
        <v>1502</v>
      </c>
      <c r="D477" s="366">
        <v>56</v>
      </c>
      <c r="E477" s="348">
        <f t="shared" ca="1" si="21"/>
        <v>75659.492595591451</v>
      </c>
      <c r="F477" s="348" t="str">
        <f t="shared" si="22"/>
        <v>BLD_MM</v>
      </c>
      <c r="G477" s="348" t="str">
        <f>IFERROR(INDEX(DATA_PROPERTY_MASTER!$E$5:$E$21,MATCH($A477,DATA_PROPERTY_MASTER!$A$5:$A$21,0)),"")</f>
        <v>Yes</v>
      </c>
      <c r="H477" s="348" t="str">
        <f ca="1">IFERROR(INDEX(DATA_PROPERTY_MASTER!$F$5:$F$21,MATCH($A477,DATA_PROPERTY_MASTER!$A$5:$A$21,0)),"")</f>
        <v>Refi Watch</v>
      </c>
      <c r="I477" t="s">
        <v>1501</v>
      </c>
      <c r="J477" s="348" t="str">
        <f t="shared" ca="1" si="23"/>
        <v>Formula-linked</v>
      </c>
    </row>
    <row r="478" spans="1:10">
      <c r="A478" s="366" t="s">
        <v>461</v>
      </c>
      <c r="B478" s="366">
        <v>2035</v>
      </c>
      <c r="C478" s="366" t="s">
        <v>367</v>
      </c>
      <c r="D478" s="366">
        <v>61</v>
      </c>
      <c r="E478" s="348">
        <f t="shared" ca="1" si="21"/>
        <v>0</v>
      </c>
      <c r="F478" s="348" t="str">
        <f t="shared" si="22"/>
        <v>BLD_MM</v>
      </c>
      <c r="G478" s="348" t="str">
        <f>IFERROR(INDEX(DATA_PROPERTY_MASTER!$E$5:$E$21,MATCH($A478,DATA_PROPERTY_MASTER!$A$5:$A$21,0)),"")</f>
        <v>Yes</v>
      </c>
      <c r="H478" s="348" t="str">
        <f ca="1">IFERROR(INDEX(DATA_PROPERTY_MASTER!$F$5:$F$21,MATCH($A478,DATA_PROPERTY_MASTER!$A$5:$A$21,0)),"")</f>
        <v>Refi Watch</v>
      </c>
      <c r="I478" t="s">
        <v>1503</v>
      </c>
      <c r="J478" s="348" t="str">
        <f t="shared" ca="1" si="23"/>
        <v>Formula-linked</v>
      </c>
    </row>
    <row r="479" spans="1:10">
      <c r="A479" s="366" t="s">
        <v>461</v>
      </c>
      <c r="B479" s="366">
        <v>2035</v>
      </c>
      <c r="C479" s="366" t="s">
        <v>368</v>
      </c>
      <c r="D479" s="366">
        <v>62</v>
      </c>
      <c r="E479" s="348">
        <f t="shared" ca="1" si="21"/>
        <v>0</v>
      </c>
      <c r="F479" s="348" t="str">
        <f t="shared" si="22"/>
        <v>BLD_MM</v>
      </c>
      <c r="G479" s="348" t="str">
        <f>IFERROR(INDEX(DATA_PROPERTY_MASTER!$E$5:$E$21,MATCH($A479,DATA_PROPERTY_MASTER!$A$5:$A$21,0)),"")</f>
        <v>Yes</v>
      </c>
      <c r="H479" s="348" t="str">
        <f ca="1">IFERROR(INDEX(DATA_PROPERTY_MASTER!$F$5:$F$21,MATCH($A479,DATA_PROPERTY_MASTER!$A$5:$A$21,0)),"")</f>
        <v>Refi Watch</v>
      </c>
      <c r="I479" t="s">
        <v>1503</v>
      </c>
      <c r="J479" s="348" t="str">
        <f t="shared" ca="1" si="23"/>
        <v>Formula-linked</v>
      </c>
    </row>
    <row r="480" spans="1:10">
      <c r="A480" s="366" t="s">
        <v>461</v>
      </c>
      <c r="B480" s="366">
        <v>2035</v>
      </c>
      <c r="C480" s="366" t="s">
        <v>1504</v>
      </c>
      <c r="D480" s="366">
        <v>63</v>
      </c>
      <c r="E480" s="348">
        <f t="shared" ca="1" si="21"/>
        <v>0</v>
      </c>
      <c r="F480" s="348" t="str">
        <f t="shared" si="22"/>
        <v>BLD_MM</v>
      </c>
      <c r="G480" s="348" t="str">
        <f>IFERROR(INDEX(DATA_PROPERTY_MASTER!$E$5:$E$21,MATCH($A480,DATA_PROPERTY_MASTER!$A$5:$A$21,0)),"")</f>
        <v>Yes</v>
      </c>
      <c r="H480" s="348" t="str">
        <f ca="1">IFERROR(INDEX(DATA_PROPERTY_MASTER!$F$5:$F$21,MATCH($A480,DATA_PROPERTY_MASTER!$A$5:$A$21,0)),"")</f>
        <v>Refi Watch</v>
      </c>
      <c r="I480" t="s">
        <v>1503</v>
      </c>
      <c r="J480" s="348" t="str">
        <f t="shared" ca="1" si="23"/>
        <v>Formula-linked</v>
      </c>
    </row>
    <row r="481" spans="1:10">
      <c r="A481" s="366" t="s">
        <v>461</v>
      </c>
      <c r="B481" s="366">
        <v>2035</v>
      </c>
      <c r="C481" s="366" t="s">
        <v>370</v>
      </c>
      <c r="D481" s="366">
        <v>64</v>
      </c>
      <c r="E481" s="348">
        <f t="shared" ca="1" si="21"/>
        <v>6625904.7099712836</v>
      </c>
      <c r="F481" s="348" t="str">
        <f t="shared" si="22"/>
        <v>BLD_MM</v>
      </c>
      <c r="G481" s="348" t="str">
        <f>IFERROR(INDEX(DATA_PROPERTY_MASTER!$E$5:$E$21,MATCH($A481,DATA_PROPERTY_MASTER!$A$5:$A$21,0)),"")</f>
        <v>Yes</v>
      </c>
      <c r="H481" s="348" t="str">
        <f ca="1">IFERROR(INDEX(DATA_PROPERTY_MASTER!$F$5:$F$21,MATCH($A481,DATA_PROPERTY_MASTER!$A$5:$A$21,0)),"")</f>
        <v>Refi Watch</v>
      </c>
      <c r="I481" t="s">
        <v>1498</v>
      </c>
      <c r="J481" s="348" t="str">
        <f t="shared" ca="1" si="23"/>
        <v>Formula-linked</v>
      </c>
    </row>
    <row r="482" spans="1:10">
      <c r="A482" s="366" t="s">
        <v>461</v>
      </c>
      <c r="B482" s="366">
        <v>2035</v>
      </c>
      <c r="C482" s="366" t="s">
        <v>544</v>
      </c>
      <c r="D482" s="366">
        <v>68</v>
      </c>
      <c r="E482" s="348">
        <f t="shared" ca="1" si="21"/>
        <v>75659.492595591451</v>
      </c>
      <c r="F482" s="348" t="str">
        <f t="shared" si="22"/>
        <v>BLD_MM</v>
      </c>
      <c r="G482" s="348" t="str">
        <f>IFERROR(INDEX(DATA_PROPERTY_MASTER!$E$5:$E$21,MATCH($A482,DATA_PROPERTY_MASTER!$A$5:$A$21,0)),"")</f>
        <v>Yes</v>
      </c>
      <c r="H482" s="348" t="str">
        <f ca="1">IFERROR(INDEX(DATA_PROPERTY_MASTER!$F$5:$F$21,MATCH($A482,DATA_PROPERTY_MASTER!$A$5:$A$21,0)),"")</f>
        <v>Refi Watch</v>
      </c>
      <c r="I482" t="s">
        <v>1501</v>
      </c>
      <c r="J482" s="348" t="str">
        <f t="shared" ca="1" si="23"/>
        <v>Formula-linked</v>
      </c>
    </row>
    <row r="483" spans="1:10">
      <c r="A483" s="366" t="s">
        <v>461</v>
      </c>
      <c r="B483" s="366">
        <v>2035</v>
      </c>
      <c r="C483" s="366" t="s">
        <v>378</v>
      </c>
      <c r="D483" s="366">
        <v>73</v>
      </c>
      <c r="E483" s="348">
        <f t="shared" ca="1" si="21"/>
        <v>9098129.3859014753</v>
      </c>
      <c r="F483" s="348" t="str">
        <f t="shared" si="22"/>
        <v>BLD_MM</v>
      </c>
      <c r="G483" s="348" t="str">
        <f>IFERROR(INDEX(DATA_PROPERTY_MASTER!$E$5:$E$21,MATCH($A483,DATA_PROPERTY_MASTER!$A$5:$A$21,0)),"")</f>
        <v>Yes</v>
      </c>
      <c r="H483" s="348" t="str">
        <f ca="1">IFERROR(INDEX(DATA_PROPERTY_MASTER!$F$5:$F$21,MATCH($A483,DATA_PROPERTY_MASTER!$A$5:$A$21,0)),"")</f>
        <v>Refi Watch</v>
      </c>
      <c r="I483" t="s">
        <v>1505</v>
      </c>
      <c r="J483" s="348" t="str">
        <f t="shared" ca="1" si="23"/>
        <v>Formula-linked</v>
      </c>
    </row>
    <row r="484" spans="1:10">
      <c r="A484" s="366" t="s">
        <v>461</v>
      </c>
      <c r="B484" s="366">
        <v>2035</v>
      </c>
      <c r="C484" s="366" t="s">
        <v>1506</v>
      </c>
      <c r="D484" s="366">
        <v>77</v>
      </c>
      <c r="E484" s="348">
        <f t="shared" ca="1" si="21"/>
        <v>2472224.6759301918</v>
      </c>
      <c r="F484" s="348" t="str">
        <f t="shared" si="22"/>
        <v>BLD_MM</v>
      </c>
      <c r="G484" s="348" t="str">
        <f>IFERROR(INDEX(DATA_PROPERTY_MASTER!$E$5:$E$21,MATCH($A484,DATA_PROPERTY_MASTER!$A$5:$A$21,0)),"")</f>
        <v>Yes</v>
      </c>
      <c r="H484" s="348" t="str">
        <f ca="1">IFERROR(INDEX(DATA_PROPERTY_MASTER!$F$5:$F$21,MATCH($A484,DATA_PROPERTY_MASTER!$A$5:$A$21,0)),"")</f>
        <v>Refi Watch</v>
      </c>
      <c r="I484" t="s">
        <v>1505</v>
      </c>
      <c r="J484" s="348" t="str">
        <f t="shared" ca="1" si="23"/>
        <v>Formula-linked</v>
      </c>
    </row>
    <row r="485" spans="1:10">
      <c r="A485" s="366" t="s">
        <v>464</v>
      </c>
      <c r="B485" s="366">
        <v>2025</v>
      </c>
      <c r="C485" s="366" t="s">
        <v>341</v>
      </c>
      <c r="D485" s="366">
        <v>24</v>
      </c>
      <c r="E485" s="348">
        <f t="shared" ca="1" si="21"/>
        <v>599136.72</v>
      </c>
      <c r="F485" s="348" t="str">
        <f t="shared" si="22"/>
        <v>BLD_NT</v>
      </c>
      <c r="G485" s="348" t="str">
        <f>IFERROR(INDEX(DATA_PROPERTY_MASTER!$E$5:$E$21,MATCH($A485,DATA_PROPERTY_MASTER!$A$5:$A$21,0)),"")</f>
        <v>Yes</v>
      </c>
      <c r="H485" s="348" t="str">
        <f ca="1">IFERROR(INDEX(DATA_PROPERTY_MASTER!$F$5:$F$21,MATCH($A485,DATA_PROPERTY_MASTER!$A$5:$A$21,0)),"")</f>
        <v>Refi Watch</v>
      </c>
      <c r="I485" t="s">
        <v>1495</v>
      </c>
      <c r="J485" s="348" t="str">
        <f t="shared" ca="1" si="23"/>
        <v>Formula-linked</v>
      </c>
    </row>
    <row r="486" spans="1:10">
      <c r="A486" s="366" t="s">
        <v>464</v>
      </c>
      <c r="B486" s="366">
        <v>2025</v>
      </c>
      <c r="C486" s="366" t="s">
        <v>355</v>
      </c>
      <c r="D486" s="366">
        <v>39</v>
      </c>
      <c r="E486" s="348">
        <f t="shared" ca="1" si="21"/>
        <v>288932</v>
      </c>
      <c r="F486" s="348" t="str">
        <f t="shared" si="22"/>
        <v>BLD_NT</v>
      </c>
      <c r="G486" s="348" t="str">
        <f>IFERROR(INDEX(DATA_PROPERTY_MASTER!$E$5:$E$21,MATCH($A486,DATA_PROPERTY_MASTER!$A$5:$A$21,0)),"")</f>
        <v>Yes</v>
      </c>
      <c r="H486" s="348" t="str">
        <f ca="1">IFERROR(INDEX(DATA_PROPERTY_MASTER!$F$5:$F$21,MATCH($A486,DATA_PROPERTY_MASTER!$A$5:$A$21,0)),"")</f>
        <v>Refi Watch</v>
      </c>
      <c r="I486" t="s">
        <v>1496</v>
      </c>
      <c r="J486" s="348" t="str">
        <f t="shared" ca="1" si="23"/>
        <v>Formula-linked</v>
      </c>
    </row>
    <row r="487" spans="1:10">
      <c r="A487" s="366" t="s">
        <v>464</v>
      </c>
      <c r="B487" s="366">
        <v>2025</v>
      </c>
      <c r="C487" s="366" t="s">
        <v>1497</v>
      </c>
      <c r="D487" s="366">
        <v>41</v>
      </c>
      <c r="E487" s="348">
        <f t="shared" ca="1" si="21"/>
        <v>310204.71999999997</v>
      </c>
      <c r="F487" s="348" t="str">
        <f t="shared" si="22"/>
        <v>BLD_NT</v>
      </c>
      <c r="G487" s="348" t="str">
        <f>IFERROR(INDEX(DATA_PROPERTY_MASTER!$E$5:$E$21,MATCH($A487,DATA_PROPERTY_MASTER!$A$5:$A$21,0)),"")</f>
        <v>Yes</v>
      </c>
      <c r="H487" s="348" t="str">
        <f ca="1">IFERROR(INDEX(DATA_PROPERTY_MASTER!$F$5:$F$21,MATCH($A487,DATA_PROPERTY_MASTER!$A$5:$A$21,0)),"")</f>
        <v>Refi Watch</v>
      </c>
      <c r="I487" t="s">
        <v>1497</v>
      </c>
      <c r="J487" s="348" t="str">
        <f t="shared" ca="1" si="23"/>
        <v>Formula-linked</v>
      </c>
    </row>
    <row r="488" spans="1:10">
      <c r="A488" s="366" t="s">
        <v>464</v>
      </c>
      <c r="B488" s="366">
        <v>2025</v>
      </c>
      <c r="C488" s="366" t="s">
        <v>21</v>
      </c>
      <c r="D488" s="366">
        <v>45</v>
      </c>
      <c r="E488" s="348">
        <f t="shared" ca="1" si="21"/>
        <v>304204.71999999997</v>
      </c>
      <c r="F488" s="348" t="str">
        <f t="shared" si="22"/>
        <v>BLD_NT</v>
      </c>
      <c r="G488" s="348" t="str">
        <f>IFERROR(INDEX(DATA_PROPERTY_MASTER!$E$5:$E$21,MATCH($A488,DATA_PROPERTY_MASTER!$A$5:$A$21,0)),"")</f>
        <v>Yes</v>
      </c>
      <c r="H488" s="348" t="str">
        <f ca="1">IFERROR(INDEX(DATA_PROPERTY_MASTER!$F$5:$F$21,MATCH($A488,DATA_PROPERTY_MASTER!$A$5:$A$21,0)),"")</f>
        <v>Refi Watch</v>
      </c>
      <c r="I488" t="s">
        <v>1497</v>
      </c>
      <c r="J488" s="348" t="str">
        <f t="shared" ca="1" si="23"/>
        <v>Formula-linked</v>
      </c>
    </row>
    <row r="489" spans="1:10">
      <c r="A489" s="366" t="s">
        <v>464</v>
      </c>
      <c r="B489" s="366">
        <v>2025</v>
      </c>
      <c r="C489" s="366" t="s">
        <v>23</v>
      </c>
      <c r="D489" s="366">
        <v>48</v>
      </c>
      <c r="E489" s="348">
        <f t="shared" ca="1" si="21"/>
        <v>274351.8</v>
      </c>
      <c r="F489" s="348" t="str">
        <f t="shared" si="22"/>
        <v>BLD_NT</v>
      </c>
      <c r="G489" s="348" t="str">
        <f>IFERROR(INDEX(DATA_PROPERTY_MASTER!$E$5:$E$21,MATCH($A489,DATA_PROPERTY_MASTER!$A$5:$A$21,0)),"")</f>
        <v>Yes</v>
      </c>
      <c r="H489" s="348" t="str">
        <f ca="1">IFERROR(INDEX(DATA_PROPERTY_MASTER!$F$5:$F$21,MATCH($A489,DATA_PROPERTY_MASTER!$A$5:$A$21,0)),"")</f>
        <v>Refi Watch</v>
      </c>
      <c r="I489" t="s">
        <v>1498</v>
      </c>
      <c r="J489" s="348" t="str">
        <f t="shared" ca="1" si="23"/>
        <v>Formula-linked</v>
      </c>
    </row>
    <row r="490" spans="1:10">
      <c r="A490" s="366" t="s">
        <v>464</v>
      </c>
      <c r="B490" s="366">
        <v>2025</v>
      </c>
      <c r="C490" s="366" t="s">
        <v>213</v>
      </c>
      <c r="D490" s="366">
        <v>50</v>
      </c>
      <c r="E490" s="348">
        <f t="shared" ca="1" si="21"/>
        <v>1.1306822845703945</v>
      </c>
      <c r="F490" s="348" t="str">
        <f t="shared" si="22"/>
        <v>BLD_NT</v>
      </c>
      <c r="G490" s="348" t="str">
        <f>IFERROR(INDEX(DATA_PROPERTY_MASTER!$E$5:$E$21,MATCH($A490,DATA_PROPERTY_MASTER!$A$5:$A$21,0)),"")</f>
        <v>Yes</v>
      </c>
      <c r="H490" s="348" t="str">
        <f ca="1">IFERROR(INDEX(DATA_PROPERTY_MASTER!$F$5:$F$21,MATCH($A490,DATA_PROPERTY_MASTER!$A$5:$A$21,0)),"")</f>
        <v>Refi Watch</v>
      </c>
      <c r="I490" t="s">
        <v>1499</v>
      </c>
      <c r="J490" s="348" t="str">
        <f t="shared" ca="1" si="23"/>
        <v>Formula-linked</v>
      </c>
    </row>
    <row r="491" spans="1:10">
      <c r="A491" s="366" t="s">
        <v>464</v>
      </c>
      <c r="B491" s="366">
        <v>2025</v>
      </c>
      <c r="C491" s="366" t="s">
        <v>1500</v>
      </c>
      <c r="D491" s="366">
        <v>52</v>
      </c>
      <c r="E491" s="348">
        <f t="shared" ca="1" si="21"/>
        <v>35852.919999999984</v>
      </c>
      <c r="F491" s="348" t="str">
        <f t="shared" si="22"/>
        <v>BLD_NT</v>
      </c>
      <c r="G491" s="348" t="str">
        <f>IFERROR(INDEX(DATA_PROPERTY_MASTER!$E$5:$E$21,MATCH($A491,DATA_PROPERTY_MASTER!$A$5:$A$21,0)),"")</f>
        <v>Yes</v>
      </c>
      <c r="H491" s="348" t="str">
        <f ca="1">IFERROR(INDEX(DATA_PROPERTY_MASTER!$F$5:$F$21,MATCH($A491,DATA_PROPERTY_MASTER!$A$5:$A$21,0)),"")</f>
        <v>Refi Watch</v>
      </c>
      <c r="I491" t="s">
        <v>1501</v>
      </c>
      <c r="J491" s="348" t="str">
        <f t="shared" ca="1" si="23"/>
        <v>Formula-linked</v>
      </c>
    </row>
    <row r="492" spans="1:10">
      <c r="A492" s="366" t="s">
        <v>464</v>
      </c>
      <c r="B492" s="366">
        <v>2025</v>
      </c>
      <c r="C492" s="366" t="s">
        <v>27</v>
      </c>
      <c r="D492" s="366">
        <v>54</v>
      </c>
      <c r="E492" s="348">
        <f t="shared" ca="1" si="21"/>
        <v>21511.751999999989</v>
      </c>
      <c r="F492" s="348" t="str">
        <f t="shared" si="22"/>
        <v>BLD_NT</v>
      </c>
      <c r="G492" s="348" t="str">
        <f>IFERROR(INDEX(DATA_PROPERTY_MASTER!$E$5:$E$21,MATCH($A492,DATA_PROPERTY_MASTER!$A$5:$A$21,0)),"")</f>
        <v>Yes</v>
      </c>
      <c r="H492" s="348" t="str">
        <f ca="1">IFERROR(INDEX(DATA_PROPERTY_MASTER!$F$5:$F$21,MATCH($A492,DATA_PROPERTY_MASTER!$A$5:$A$21,0)),"")</f>
        <v>Refi Watch</v>
      </c>
      <c r="I492" t="s">
        <v>1501</v>
      </c>
      <c r="J492" s="348" t="str">
        <f t="shared" ca="1" si="23"/>
        <v>Formula-linked</v>
      </c>
    </row>
    <row r="493" spans="1:10">
      <c r="A493" s="366" t="s">
        <v>464</v>
      </c>
      <c r="B493" s="366">
        <v>2025</v>
      </c>
      <c r="C493" s="366" t="s">
        <v>1502</v>
      </c>
      <c r="D493" s="366">
        <v>56</v>
      </c>
      <c r="E493" s="348">
        <f t="shared" ca="1" si="21"/>
        <v>14341.167999999994</v>
      </c>
      <c r="F493" s="348" t="str">
        <f t="shared" si="22"/>
        <v>BLD_NT</v>
      </c>
      <c r="G493" s="348" t="str">
        <f>IFERROR(INDEX(DATA_PROPERTY_MASTER!$E$5:$E$21,MATCH($A493,DATA_PROPERTY_MASTER!$A$5:$A$21,0)),"")</f>
        <v>Yes</v>
      </c>
      <c r="H493" s="348" t="str">
        <f ca="1">IFERROR(INDEX(DATA_PROPERTY_MASTER!$F$5:$F$21,MATCH($A493,DATA_PROPERTY_MASTER!$A$5:$A$21,0)),"")</f>
        <v>Refi Watch</v>
      </c>
      <c r="I493" t="s">
        <v>1501</v>
      </c>
      <c r="J493" s="348" t="str">
        <f t="shared" ca="1" si="23"/>
        <v>Formula-linked</v>
      </c>
    </row>
    <row r="494" spans="1:10">
      <c r="A494" s="366" t="s">
        <v>464</v>
      </c>
      <c r="B494" s="366">
        <v>2025</v>
      </c>
      <c r="C494" s="366" t="s">
        <v>367</v>
      </c>
      <c r="D494" s="366">
        <v>61</v>
      </c>
      <c r="E494" s="348">
        <f t="shared" ca="1" si="21"/>
        <v>0</v>
      </c>
      <c r="F494" s="348" t="str">
        <f t="shared" si="22"/>
        <v>BLD_NT</v>
      </c>
      <c r="G494" s="348" t="str">
        <f>IFERROR(INDEX(DATA_PROPERTY_MASTER!$E$5:$E$21,MATCH($A494,DATA_PROPERTY_MASTER!$A$5:$A$21,0)),"")</f>
        <v>Yes</v>
      </c>
      <c r="H494" s="348" t="str">
        <f ca="1">IFERROR(INDEX(DATA_PROPERTY_MASTER!$F$5:$F$21,MATCH($A494,DATA_PROPERTY_MASTER!$A$5:$A$21,0)),"")</f>
        <v>Refi Watch</v>
      </c>
      <c r="I494" t="s">
        <v>1503</v>
      </c>
      <c r="J494" s="348" t="str">
        <f t="shared" ca="1" si="23"/>
        <v>Formula-linked</v>
      </c>
    </row>
    <row r="495" spans="1:10">
      <c r="A495" s="366" t="s">
        <v>464</v>
      </c>
      <c r="B495" s="366">
        <v>2025</v>
      </c>
      <c r="C495" s="366" t="s">
        <v>368</v>
      </c>
      <c r="D495" s="366">
        <v>62</v>
      </c>
      <c r="E495" s="348">
        <f t="shared" ca="1" si="21"/>
        <v>0</v>
      </c>
      <c r="F495" s="348" t="str">
        <f t="shared" si="22"/>
        <v>BLD_NT</v>
      </c>
      <c r="G495" s="348" t="str">
        <f>IFERROR(INDEX(DATA_PROPERTY_MASTER!$E$5:$E$21,MATCH($A495,DATA_PROPERTY_MASTER!$A$5:$A$21,0)),"")</f>
        <v>Yes</v>
      </c>
      <c r="H495" s="348" t="str">
        <f ca="1">IFERROR(INDEX(DATA_PROPERTY_MASTER!$F$5:$F$21,MATCH($A495,DATA_PROPERTY_MASTER!$A$5:$A$21,0)),"")</f>
        <v>Refi Watch</v>
      </c>
      <c r="I495" t="s">
        <v>1503</v>
      </c>
      <c r="J495" s="348" t="str">
        <f t="shared" ca="1" si="23"/>
        <v>Formula-linked</v>
      </c>
    </row>
    <row r="496" spans="1:10">
      <c r="A496" s="366" t="s">
        <v>464</v>
      </c>
      <c r="B496" s="366">
        <v>2025</v>
      </c>
      <c r="C496" s="366" t="s">
        <v>1504</v>
      </c>
      <c r="D496" s="366">
        <v>63</v>
      </c>
      <c r="E496" s="348">
        <f t="shared" ca="1" si="21"/>
        <v>0</v>
      </c>
      <c r="F496" s="348" t="str">
        <f t="shared" si="22"/>
        <v>BLD_NT</v>
      </c>
      <c r="G496" s="348" t="str">
        <f>IFERROR(INDEX(DATA_PROPERTY_MASTER!$E$5:$E$21,MATCH($A496,DATA_PROPERTY_MASTER!$A$5:$A$21,0)),"")</f>
        <v>Yes</v>
      </c>
      <c r="H496" s="348" t="str">
        <f ca="1">IFERROR(INDEX(DATA_PROPERTY_MASTER!$F$5:$F$21,MATCH($A496,DATA_PROPERTY_MASTER!$A$5:$A$21,0)),"")</f>
        <v>Refi Watch</v>
      </c>
      <c r="I496" t="s">
        <v>1503</v>
      </c>
      <c r="J496" s="348" t="str">
        <f t="shared" ca="1" si="23"/>
        <v>Formula-linked</v>
      </c>
    </row>
    <row r="497" spans="1:10">
      <c r="A497" s="366" t="s">
        <v>464</v>
      </c>
      <c r="B497" s="366">
        <v>2025</v>
      </c>
      <c r="C497" s="366" t="s">
        <v>370</v>
      </c>
      <c r="D497" s="366">
        <v>64</v>
      </c>
      <c r="E497" s="348">
        <f t="shared" ca="1" si="21"/>
        <v>231219.36128800001</v>
      </c>
      <c r="F497" s="348" t="str">
        <f t="shared" si="22"/>
        <v>BLD_NT</v>
      </c>
      <c r="G497" s="348" t="str">
        <f>IFERROR(INDEX(DATA_PROPERTY_MASTER!$E$5:$E$21,MATCH($A497,DATA_PROPERTY_MASTER!$A$5:$A$21,0)),"")</f>
        <v>Yes</v>
      </c>
      <c r="H497" s="348" t="str">
        <f ca="1">IFERROR(INDEX(DATA_PROPERTY_MASTER!$F$5:$F$21,MATCH($A497,DATA_PROPERTY_MASTER!$A$5:$A$21,0)),"")</f>
        <v>Refi Watch</v>
      </c>
      <c r="I497" t="s">
        <v>1498</v>
      </c>
      <c r="J497" s="348" t="str">
        <f t="shared" ca="1" si="23"/>
        <v>Formula-linked</v>
      </c>
    </row>
    <row r="498" spans="1:10">
      <c r="A498" s="366" t="s">
        <v>464</v>
      </c>
      <c r="B498" s="366">
        <v>2025</v>
      </c>
      <c r="C498" s="366" t="s">
        <v>544</v>
      </c>
      <c r="D498" s="366">
        <v>68</v>
      </c>
      <c r="E498" s="348">
        <f t="shared" ca="1" si="21"/>
        <v>14341.167999999994</v>
      </c>
      <c r="F498" s="348" t="str">
        <f t="shared" si="22"/>
        <v>BLD_NT</v>
      </c>
      <c r="G498" s="348" t="str">
        <f>IFERROR(INDEX(DATA_PROPERTY_MASTER!$E$5:$E$21,MATCH($A498,DATA_PROPERTY_MASTER!$A$5:$A$21,0)),"")</f>
        <v>Yes</v>
      </c>
      <c r="H498" s="348" t="str">
        <f ca="1">IFERROR(INDEX(DATA_PROPERTY_MASTER!$F$5:$F$21,MATCH($A498,DATA_PROPERTY_MASTER!$A$5:$A$21,0)),"")</f>
        <v>Refi Watch</v>
      </c>
      <c r="I498" t="s">
        <v>1501</v>
      </c>
      <c r="J498" s="348" t="str">
        <f t="shared" ca="1" si="23"/>
        <v>Formula-linked</v>
      </c>
    </row>
    <row r="499" spans="1:10">
      <c r="A499" s="366" t="s">
        <v>464</v>
      </c>
      <c r="B499" s="366">
        <v>2025</v>
      </c>
      <c r="C499" s="366" t="s">
        <v>378</v>
      </c>
      <c r="D499" s="366">
        <v>73</v>
      </c>
      <c r="E499" s="348">
        <f t="shared" ca="1" si="21"/>
        <v>5170078.666666666</v>
      </c>
      <c r="F499" s="348" t="str">
        <f t="shared" si="22"/>
        <v>BLD_NT</v>
      </c>
      <c r="G499" s="348" t="str">
        <f>IFERROR(INDEX(DATA_PROPERTY_MASTER!$E$5:$E$21,MATCH($A499,DATA_PROPERTY_MASTER!$A$5:$A$21,0)),"")</f>
        <v>Yes</v>
      </c>
      <c r="H499" s="348" t="str">
        <f ca="1">IFERROR(INDEX(DATA_PROPERTY_MASTER!$F$5:$F$21,MATCH($A499,DATA_PROPERTY_MASTER!$A$5:$A$21,0)),"")</f>
        <v>Refi Watch</v>
      </c>
      <c r="I499" t="s">
        <v>1505</v>
      </c>
      <c r="J499" s="348" t="str">
        <f t="shared" ca="1" si="23"/>
        <v>Formula-linked</v>
      </c>
    </row>
    <row r="500" spans="1:10">
      <c r="A500" s="366" t="s">
        <v>464</v>
      </c>
      <c r="B500" s="366">
        <v>2025</v>
      </c>
      <c r="C500" s="366" t="s">
        <v>1506</v>
      </c>
      <c r="D500" s="366">
        <v>77</v>
      </c>
      <c r="E500" s="348">
        <f t="shared" ca="1" si="21"/>
        <v>4938859.3053786661</v>
      </c>
      <c r="F500" s="348" t="str">
        <f t="shared" si="22"/>
        <v>BLD_NT</v>
      </c>
      <c r="G500" s="348" t="str">
        <f>IFERROR(INDEX(DATA_PROPERTY_MASTER!$E$5:$E$21,MATCH($A500,DATA_PROPERTY_MASTER!$A$5:$A$21,0)),"")</f>
        <v>Yes</v>
      </c>
      <c r="H500" s="348" t="str">
        <f ca="1">IFERROR(INDEX(DATA_PROPERTY_MASTER!$F$5:$F$21,MATCH($A500,DATA_PROPERTY_MASTER!$A$5:$A$21,0)),"")</f>
        <v>Refi Watch</v>
      </c>
      <c r="I500" t="s">
        <v>1505</v>
      </c>
      <c r="J500" s="348" t="str">
        <f t="shared" ca="1" si="23"/>
        <v>Formula-linked</v>
      </c>
    </row>
    <row r="501" spans="1:10">
      <c r="A501" s="366" t="s">
        <v>464</v>
      </c>
      <c r="B501" s="366">
        <v>2029</v>
      </c>
      <c r="C501" s="366" t="s">
        <v>341</v>
      </c>
      <c r="D501" s="366">
        <v>24</v>
      </c>
      <c r="E501" s="348">
        <f t="shared" ca="1" si="21"/>
        <v>783672.91713930247</v>
      </c>
      <c r="F501" s="348" t="str">
        <f t="shared" si="22"/>
        <v>BLD_NT</v>
      </c>
      <c r="G501" s="348" t="str">
        <f>IFERROR(INDEX(DATA_PROPERTY_MASTER!$E$5:$E$21,MATCH($A501,DATA_PROPERTY_MASTER!$A$5:$A$21,0)),"")</f>
        <v>Yes</v>
      </c>
      <c r="H501" s="348" t="str">
        <f ca="1">IFERROR(INDEX(DATA_PROPERTY_MASTER!$F$5:$F$21,MATCH($A501,DATA_PROPERTY_MASTER!$A$5:$A$21,0)),"")</f>
        <v>Refi Watch</v>
      </c>
      <c r="I501" t="s">
        <v>1495</v>
      </c>
      <c r="J501" s="348" t="str">
        <f t="shared" ca="1" si="23"/>
        <v>Formula-linked</v>
      </c>
    </row>
    <row r="502" spans="1:10">
      <c r="A502" s="366" t="s">
        <v>464</v>
      </c>
      <c r="B502" s="366">
        <v>2029</v>
      </c>
      <c r="C502" s="366" t="s">
        <v>355</v>
      </c>
      <c r="D502" s="366">
        <v>39</v>
      </c>
      <c r="E502" s="348">
        <f t="shared" ca="1" si="21"/>
        <v>338009.57345792005</v>
      </c>
      <c r="F502" s="348" t="str">
        <f t="shared" si="22"/>
        <v>BLD_NT</v>
      </c>
      <c r="G502" s="348" t="str">
        <f>IFERROR(INDEX(DATA_PROPERTY_MASTER!$E$5:$E$21,MATCH($A502,DATA_PROPERTY_MASTER!$A$5:$A$21,0)),"")</f>
        <v>Yes</v>
      </c>
      <c r="H502" s="348" t="str">
        <f ca="1">IFERROR(INDEX(DATA_PROPERTY_MASTER!$F$5:$F$21,MATCH($A502,DATA_PROPERTY_MASTER!$A$5:$A$21,0)),"")</f>
        <v>Refi Watch</v>
      </c>
      <c r="I502" t="s">
        <v>1496</v>
      </c>
      <c r="J502" s="348" t="str">
        <f t="shared" ca="1" si="23"/>
        <v>Formula-linked</v>
      </c>
    </row>
    <row r="503" spans="1:10">
      <c r="A503" s="366" t="s">
        <v>464</v>
      </c>
      <c r="B503" s="366">
        <v>2029</v>
      </c>
      <c r="C503" s="366" t="s">
        <v>1497</v>
      </c>
      <c r="D503" s="366">
        <v>41</v>
      </c>
      <c r="E503" s="348">
        <f t="shared" ca="1" si="21"/>
        <v>445663.34368138242</v>
      </c>
      <c r="F503" s="348" t="str">
        <f t="shared" si="22"/>
        <v>BLD_NT</v>
      </c>
      <c r="G503" s="348" t="str">
        <f>IFERROR(INDEX(DATA_PROPERTY_MASTER!$E$5:$E$21,MATCH($A503,DATA_PROPERTY_MASTER!$A$5:$A$21,0)),"")</f>
        <v>Yes</v>
      </c>
      <c r="H503" s="348" t="str">
        <f ca="1">IFERROR(INDEX(DATA_PROPERTY_MASTER!$F$5:$F$21,MATCH($A503,DATA_PROPERTY_MASTER!$A$5:$A$21,0)),"")</f>
        <v>Refi Watch</v>
      </c>
      <c r="I503" t="s">
        <v>1497</v>
      </c>
      <c r="J503" s="348" t="str">
        <f t="shared" ca="1" si="23"/>
        <v>Formula-linked</v>
      </c>
    </row>
    <row r="504" spans="1:10">
      <c r="A504" s="366" t="s">
        <v>464</v>
      </c>
      <c r="B504" s="366">
        <v>2029</v>
      </c>
      <c r="C504" s="366" t="s">
        <v>21</v>
      </c>
      <c r="D504" s="366">
        <v>45</v>
      </c>
      <c r="E504" s="348">
        <f t="shared" ca="1" si="21"/>
        <v>439168.75072138244</v>
      </c>
      <c r="F504" s="348" t="str">
        <f t="shared" si="22"/>
        <v>BLD_NT</v>
      </c>
      <c r="G504" s="348" t="str">
        <f>IFERROR(INDEX(DATA_PROPERTY_MASTER!$E$5:$E$21,MATCH($A504,DATA_PROPERTY_MASTER!$A$5:$A$21,0)),"")</f>
        <v>Yes</v>
      </c>
      <c r="H504" s="348" t="str">
        <f ca="1">IFERROR(INDEX(DATA_PROPERTY_MASTER!$F$5:$F$21,MATCH($A504,DATA_PROPERTY_MASTER!$A$5:$A$21,0)),"")</f>
        <v>Refi Watch</v>
      </c>
      <c r="I504" t="s">
        <v>1497</v>
      </c>
      <c r="J504" s="348" t="str">
        <f t="shared" ca="1" si="23"/>
        <v>Formula-linked</v>
      </c>
    </row>
    <row r="505" spans="1:10">
      <c r="A505" s="366" t="s">
        <v>464</v>
      </c>
      <c r="B505" s="366">
        <v>2029</v>
      </c>
      <c r="C505" s="366" t="s">
        <v>23</v>
      </c>
      <c r="D505" s="366">
        <v>48</v>
      </c>
      <c r="E505" s="348">
        <f t="shared" ca="1" si="21"/>
        <v>0</v>
      </c>
      <c r="F505" s="348" t="str">
        <f t="shared" si="22"/>
        <v>BLD_NT</v>
      </c>
      <c r="G505" s="348" t="str">
        <f>IFERROR(INDEX(DATA_PROPERTY_MASTER!$E$5:$E$21,MATCH($A505,DATA_PROPERTY_MASTER!$A$5:$A$21,0)),"")</f>
        <v>Yes</v>
      </c>
      <c r="H505" s="348" t="str">
        <f ca="1">IFERROR(INDEX(DATA_PROPERTY_MASTER!$F$5:$F$21,MATCH($A505,DATA_PROPERTY_MASTER!$A$5:$A$21,0)),"")</f>
        <v>Refi Watch</v>
      </c>
      <c r="I505" t="s">
        <v>1498</v>
      </c>
      <c r="J505" s="348" t="str">
        <f t="shared" ca="1" si="23"/>
        <v>Formula-linked</v>
      </c>
    </row>
    <row r="506" spans="1:10">
      <c r="A506" s="366" t="s">
        <v>464</v>
      </c>
      <c r="B506" s="366">
        <v>2029</v>
      </c>
      <c r="C506" s="366" t="s">
        <v>213</v>
      </c>
      <c r="D506" s="366">
        <v>50</v>
      </c>
      <c r="E506" s="348" t="str">
        <f t="shared" ca="1" si="21"/>
        <v/>
      </c>
      <c r="F506" s="348" t="str">
        <f t="shared" si="22"/>
        <v>BLD_NT</v>
      </c>
      <c r="G506" s="348" t="str">
        <f>IFERROR(INDEX(DATA_PROPERTY_MASTER!$E$5:$E$21,MATCH($A506,DATA_PROPERTY_MASTER!$A$5:$A$21,0)),"")</f>
        <v>Yes</v>
      </c>
      <c r="H506" s="348" t="str">
        <f ca="1">IFERROR(INDEX(DATA_PROPERTY_MASTER!$F$5:$F$21,MATCH($A506,DATA_PROPERTY_MASTER!$A$5:$A$21,0)),"")</f>
        <v>Refi Watch</v>
      </c>
      <c r="I506" t="s">
        <v>1499</v>
      </c>
      <c r="J506" s="348" t="str">
        <f t="shared" ca="1" si="23"/>
        <v>Review</v>
      </c>
    </row>
    <row r="507" spans="1:10">
      <c r="A507" s="366" t="s">
        <v>464</v>
      </c>
      <c r="B507" s="366">
        <v>2029</v>
      </c>
      <c r="C507" s="366" t="s">
        <v>1500</v>
      </c>
      <c r="D507" s="366">
        <v>52</v>
      </c>
      <c r="E507" s="348">
        <f t="shared" ca="1" si="21"/>
        <v>445663.34368138242</v>
      </c>
      <c r="F507" s="348" t="str">
        <f t="shared" si="22"/>
        <v>BLD_NT</v>
      </c>
      <c r="G507" s="348" t="str">
        <f>IFERROR(INDEX(DATA_PROPERTY_MASTER!$E$5:$E$21,MATCH($A507,DATA_PROPERTY_MASTER!$A$5:$A$21,0)),"")</f>
        <v>Yes</v>
      </c>
      <c r="H507" s="348" t="str">
        <f ca="1">IFERROR(INDEX(DATA_PROPERTY_MASTER!$F$5:$F$21,MATCH($A507,DATA_PROPERTY_MASTER!$A$5:$A$21,0)),"")</f>
        <v>Refi Watch</v>
      </c>
      <c r="I507" t="s">
        <v>1501</v>
      </c>
      <c r="J507" s="348" t="str">
        <f t="shared" ca="1" si="23"/>
        <v>Formula-linked</v>
      </c>
    </row>
    <row r="508" spans="1:10">
      <c r="A508" s="366" t="s">
        <v>464</v>
      </c>
      <c r="B508" s="366">
        <v>2029</v>
      </c>
      <c r="C508" s="366" t="s">
        <v>27</v>
      </c>
      <c r="D508" s="366">
        <v>54</v>
      </c>
      <c r="E508" s="348">
        <f t="shared" ca="1" si="21"/>
        <v>267398.00620882947</v>
      </c>
      <c r="F508" s="348" t="str">
        <f t="shared" si="22"/>
        <v>BLD_NT</v>
      </c>
      <c r="G508" s="348" t="str">
        <f>IFERROR(INDEX(DATA_PROPERTY_MASTER!$E$5:$E$21,MATCH($A508,DATA_PROPERTY_MASTER!$A$5:$A$21,0)),"")</f>
        <v>Yes</v>
      </c>
      <c r="H508" s="348" t="str">
        <f ca="1">IFERROR(INDEX(DATA_PROPERTY_MASTER!$F$5:$F$21,MATCH($A508,DATA_PROPERTY_MASTER!$A$5:$A$21,0)),"")</f>
        <v>Refi Watch</v>
      </c>
      <c r="I508" t="s">
        <v>1501</v>
      </c>
      <c r="J508" s="348" t="str">
        <f t="shared" ca="1" si="23"/>
        <v>Formula-linked</v>
      </c>
    </row>
    <row r="509" spans="1:10">
      <c r="A509" s="366" t="s">
        <v>464</v>
      </c>
      <c r="B509" s="366">
        <v>2029</v>
      </c>
      <c r="C509" s="366" t="s">
        <v>1502</v>
      </c>
      <c r="D509" s="366">
        <v>56</v>
      </c>
      <c r="E509" s="348">
        <f t="shared" ca="1" si="21"/>
        <v>178265.33747255296</v>
      </c>
      <c r="F509" s="348" t="str">
        <f t="shared" si="22"/>
        <v>BLD_NT</v>
      </c>
      <c r="G509" s="348" t="str">
        <f>IFERROR(INDEX(DATA_PROPERTY_MASTER!$E$5:$E$21,MATCH($A509,DATA_PROPERTY_MASTER!$A$5:$A$21,0)),"")</f>
        <v>Yes</v>
      </c>
      <c r="H509" s="348" t="str">
        <f ca="1">IFERROR(INDEX(DATA_PROPERTY_MASTER!$F$5:$F$21,MATCH($A509,DATA_PROPERTY_MASTER!$A$5:$A$21,0)),"")</f>
        <v>Refi Watch</v>
      </c>
      <c r="I509" t="s">
        <v>1501</v>
      </c>
      <c r="J509" s="348" t="str">
        <f t="shared" ca="1" si="23"/>
        <v>Formula-linked</v>
      </c>
    </row>
    <row r="510" spans="1:10">
      <c r="A510" s="366" t="s">
        <v>464</v>
      </c>
      <c r="B510" s="366">
        <v>2029</v>
      </c>
      <c r="C510" s="366" t="s">
        <v>367</v>
      </c>
      <c r="D510" s="366">
        <v>61</v>
      </c>
      <c r="E510" s="348">
        <f t="shared" ca="1" si="21"/>
        <v>0</v>
      </c>
      <c r="F510" s="348" t="str">
        <f t="shared" si="22"/>
        <v>BLD_NT</v>
      </c>
      <c r="G510" s="348" t="str">
        <f>IFERROR(INDEX(DATA_PROPERTY_MASTER!$E$5:$E$21,MATCH($A510,DATA_PROPERTY_MASTER!$A$5:$A$21,0)),"")</f>
        <v>Yes</v>
      </c>
      <c r="H510" s="348" t="str">
        <f ca="1">IFERROR(INDEX(DATA_PROPERTY_MASTER!$F$5:$F$21,MATCH($A510,DATA_PROPERTY_MASTER!$A$5:$A$21,0)),"")</f>
        <v>Refi Watch</v>
      </c>
      <c r="I510" t="s">
        <v>1503</v>
      </c>
      <c r="J510" s="348" t="str">
        <f t="shared" ca="1" si="23"/>
        <v>Formula-linked</v>
      </c>
    </row>
    <row r="511" spans="1:10">
      <c r="A511" s="366" t="s">
        <v>464</v>
      </c>
      <c r="B511" s="366">
        <v>2029</v>
      </c>
      <c r="C511" s="366" t="s">
        <v>368</v>
      </c>
      <c r="D511" s="366">
        <v>62</v>
      </c>
      <c r="E511" s="348">
        <f t="shared" ca="1" si="21"/>
        <v>0</v>
      </c>
      <c r="F511" s="348" t="str">
        <f t="shared" si="22"/>
        <v>BLD_NT</v>
      </c>
      <c r="G511" s="348" t="str">
        <f>IFERROR(INDEX(DATA_PROPERTY_MASTER!$E$5:$E$21,MATCH($A511,DATA_PROPERTY_MASTER!$A$5:$A$21,0)),"")</f>
        <v>Yes</v>
      </c>
      <c r="H511" s="348" t="str">
        <f ca="1">IFERROR(INDEX(DATA_PROPERTY_MASTER!$F$5:$F$21,MATCH($A511,DATA_PROPERTY_MASTER!$A$5:$A$21,0)),"")</f>
        <v>Refi Watch</v>
      </c>
      <c r="I511" t="s">
        <v>1503</v>
      </c>
      <c r="J511" s="348" t="str">
        <f t="shared" ca="1" si="23"/>
        <v>Formula-linked</v>
      </c>
    </row>
    <row r="512" spans="1:10">
      <c r="A512" s="366" t="s">
        <v>464</v>
      </c>
      <c r="B512" s="366">
        <v>2029</v>
      </c>
      <c r="C512" s="366" t="s">
        <v>1504</v>
      </c>
      <c r="D512" s="366">
        <v>63</v>
      </c>
      <c r="E512" s="348">
        <f t="shared" ca="1" si="21"/>
        <v>0</v>
      </c>
      <c r="F512" s="348" t="str">
        <f t="shared" si="22"/>
        <v>BLD_NT</v>
      </c>
      <c r="G512" s="348" t="str">
        <f>IFERROR(INDEX(DATA_PROPERTY_MASTER!$E$5:$E$21,MATCH($A512,DATA_PROPERTY_MASTER!$A$5:$A$21,0)),"")</f>
        <v>Yes</v>
      </c>
      <c r="H512" s="348" t="str">
        <f ca="1">IFERROR(INDEX(DATA_PROPERTY_MASTER!$F$5:$F$21,MATCH($A512,DATA_PROPERTY_MASTER!$A$5:$A$21,0)),"")</f>
        <v>Refi Watch</v>
      </c>
      <c r="I512" t="s">
        <v>1503</v>
      </c>
      <c r="J512" s="348" t="str">
        <f t="shared" ca="1" si="23"/>
        <v>Formula-linked</v>
      </c>
    </row>
    <row r="513" spans="1:10">
      <c r="A513" s="366" t="s">
        <v>464</v>
      </c>
      <c r="B513" s="366">
        <v>2029</v>
      </c>
      <c r="C513" s="366" t="s">
        <v>370</v>
      </c>
      <c r="D513" s="366">
        <v>64</v>
      </c>
      <c r="E513" s="348">
        <f t="shared" ca="1" si="21"/>
        <v>0</v>
      </c>
      <c r="F513" s="348" t="str">
        <f t="shared" si="22"/>
        <v>BLD_NT</v>
      </c>
      <c r="G513" s="348" t="str">
        <f>IFERROR(INDEX(DATA_PROPERTY_MASTER!$E$5:$E$21,MATCH($A513,DATA_PROPERTY_MASTER!$A$5:$A$21,0)),"")</f>
        <v>Yes</v>
      </c>
      <c r="H513" s="348" t="str">
        <f ca="1">IFERROR(INDEX(DATA_PROPERTY_MASTER!$F$5:$F$21,MATCH($A513,DATA_PROPERTY_MASTER!$A$5:$A$21,0)),"")</f>
        <v>Refi Watch</v>
      </c>
      <c r="I513" t="s">
        <v>1498</v>
      </c>
      <c r="J513" s="348" t="str">
        <f t="shared" ca="1" si="23"/>
        <v>Formula-linked</v>
      </c>
    </row>
    <row r="514" spans="1:10">
      <c r="A514" s="366" t="s">
        <v>464</v>
      </c>
      <c r="B514" s="366">
        <v>2029</v>
      </c>
      <c r="C514" s="366" t="s">
        <v>544</v>
      </c>
      <c r="D514" s="366">
        <v>68</v>
      </c>
      <c r="E514" s="348">
        <f t="shared" ca="1" si="21"/>
        <v>178265.33747255296</v>
      </c>
      <c r="F514" s="348" t="str">
        <f t="shared" si="22"/>
        <v>BLD_NT</v>
      </c>
      <c r="G514" s="348" t="str">
        <f>IFERROR(INDEX(DATA_PROPERTY_MASTER!$E$5:$E$21,MATCH($A514,DATA_PROPERTY_MASTER!$A$5:$A$21,0)),"")</f>
        <v>Yes</v>
      </c>
      <c r="H514" s="348" t="str">
        <f ca="1">IFERROR(INDEX(DATA_PROPERTY_MASTER!$F$5:$F$21,MATCH($A514,DATA_PROPERTY_MASTER!$A$5:$A$21,0)),"")</f>
        <v>Refi Watch</v>
      </c>
      <c r="I514" t="s">
        <v>1501</v>
      </c>
      <c r="J514" s="348" t="str">
        <f t="shared" ca="1" si="23"/>
        <v>Formula-linked</v>
      </c>
    </row>
    <row r="515" spans="1:10">
      <c r="A515" s="366" t="s">
        <v>464</v>
      </c>
      <c r="B515" s="366">
        <v>2029</v>
      </c>
      <c r="C515" s="366" t="s">
        <v>378</v>
      </c>
      <c r="D515" s="366">
        <v>73</v>
      </c>
      <c r="E515" s="348">
        <f t="shared" ca="1" si="21"/>
        <v>7427722.3946897071</v>
      </c>
      <c r="F515" s="348" t="str">
        <f t="shared" si="22"/>
        <v>BLD_NT</v>
      </c>
      <c r="G515" s="348" t="str">
        <f>IFERROR(INDEX(DATA_PROPERTY_MASTER!$E$5:$E$21,MATCH($A515,DATA_PROPERTY_MASTER!$A$5:$A$21,0)),"")</f>
        <v>Yes</v>
      </c>
      <c r="H515" s="348" t="str">
        <f ca="1">IFERROR(INDEX(DATA_PROPERTY_MASTER!$F$5:$F$21,MATCH($A515,DATA_PROPERTY_MASTER!$A$5:$A$21,0)),"")</f>
        <v>Refi Watch</v>
      </c>
      <c r="I515" t="s">
        <v>1505</v>
      </c>
      <c r="J515" s="348" t="str">
        <f t="shared" ca="1" si="23"/>
        <v>Formula-linked</v>
      </c>
    </row>
    <row r="516" spans="1:10">
      <c r="A516" s="366" t="s">
        <v>464</v>
      </c>
      <c r="B516" s="366">
        <v>2029</v>
      </c>
      <c r="C516" s="366" t="s">
        <v>1506</v>
      </c>
      <c r="D516" s="366">
        <v>77</v>
      </c>
      <c r="E516" s="348">
        <f t="shared" ca="1" si="21"/>
        <v>7427722.3946897071</v>
      </c>
      <c r="F516" s="348" t="str">
        <f t="shared" si="22"/>
        <v>BLD_NT</v>
      </c>
      <c r="G516" s="348" t="str">
        <f>IFERROR(INDEX(DATA_PROPERTY_MASTER!$E$5:$E$21,MATCH($A516,DATA_PROPERTY_MASTER!$A$5:$A$21,0)),"")</f>
        <v>Yes</v>
      </c>
      <c r="H516" s="348" t="str">
        <f ca="1">IFERROR(INDEX(DATA_PROPERTY_MASTER!$F$5:$F$21,MATCH($A516,DATA_PROPERTY_MASTER!$A$5:$A$21,0)),"")</f>
        <v>Refi Watch</v>
      </c>
      <c r="I516" t="s">
        <v>1505</v>
      </c>
      <c r="J516" s="348" t="str">
        <f t="shared" ca="1" si="23"/>
        <v>Formula-linked</v>
      </c>
    </row>
    <row r="517" spans="1:10">
      <c r="A517" s="366" t="s">
        <v>464</v>
      </c>
      <c r="B517" s="366">
        <v>2035</v>
      </c>
      <c r="C517" s="366" t="s">
        <v>341</v>
      </c>
      <c r="D517" s="366">
        <v>24</v>
      </c>
      <c r="E517" s="348">
        <f t="shared" ref="E517:E580" ca="1" si="24">IFERROR(INDEX(INDIRECT("'"&amp;$A517&amp;"'!$E$"&amp;$D517&amp;":$Y$"&amp;$D517),1,MATCH($B517,INDIRECT("'"&amp;$A517&amp;"'!$E$12:$Y$12"),0)),"")</f>
        <v>882542.9882772729</v>
      </c>
      <c r="F517" s="348" t="str">
        <f t="shared" ref="F517:F580" si="25">$A517</f>
        <v>BLD_NT</v>
      </c>
      <c r="G517" s="348" t="str">
        <f>IFERROR(INDEX(DATA_PROPERTY_MASTER!$E$5:$E$21,MATCH($A517,DATA_PROPERTY_MASTER!$A$5:$A$21,0)),"")</f>
        <v>Yes</v>
      </c>
      <c r="H517" s="348" t="str">
        <f ca="1">IFERROR(INDEX(DATA_PROPERTY_MASTER!$F$5:$F$21,MATCH($A517,DATA_PROPERTY_MASTER!$A$5:$A$21,0)),"")</f>
        <v>Refi Watch</v>
      </c>
      <c r="I517" t="s">
        <v>1495</v>
      </c>
      <c r="J517" s="348" t="str">
        <f t="shared" ref="J517:J580" ca="1" si="26">IF($E517="","Review","Formula-linked")</f>
        <v>Formula-linked</v>
      </c>
    </row>
    <row r="518" spans="1:10">
      <c r="A518" s="366" t="s">
        <v>464</v>
      </c>
      <c r="B518" s="366">
        <v>2035</v>
      </c>
      <c r="C518" s="366" t="s">
        <v>355</v>
      </c>
      <c r="D518" s="366">
        <v>39</v>
      </c>
      <c r="E518" s="348">
        <f t="shared" ca="1" si="24"/>
        <v>421521.33680122864</v>
      </c>
      <c r="F518" s="348" t="str">
        <f t="shared" si="25"/>
        <v>BLD_NT</v>
      </c>
      <c r="G518" s="348" t="str">
        <f>IFERROR(INDEX(DATA_PROPERTY_MASTER!$E$5:$E$21,MATCH($A518,DATA_PROPERTY_MASTER!$A$5:$A$21,0)),"")</f>
        <v>Yes</v>
      </c>
      <c r="H518" s="348" t="str">
        <f ca="1">IFERROR(INDEX(DATA_PROPERTY_MASTER!$F$5:$F$21,MATCH($A518,DATA_PROPERTY_MASTER!$A$5:$A$21,0)),"")</f>
        <v>Refi Watch</v>
      </c>
      <c r="I518" t="s">
        <v>1496</v>
      </c>
      <c r="J518" s="348" t="str">
        <f t="shared" ca="1" si="26"/>
        <v>Formula-linked</v>
      </c>
    </row>
    <row r="519" spans="1:10">
      <c r="A519" s="366" t="s">
        <v>464</v>
      </c>
      <c r="B519" s="366">
        <v>2035</v>
      </c>
      <c r="C519" s="366" t="s">
        <v>1497</v>
      </c>
      <c r="D519" s="366">
        <v>41</v>
      </c>
      <c r="E519" s="348">
        <f t="shared" ca="1" si="24"/>
        <v>461021.65147604427</v>
      </c>
      <c r="F519" s="348" t="str">
        <f t="shared" si="25"/>
        <v>BLD_NT</v>
      </c>
      <c r="G519" s="348" t="str">
        <f>IFERROR(INDEX(DATA_PROPERTY_MASTER!$E$5:$E$21,MATCH($A519,DATA_PROPERTY_MASTER!$A$5:$A$21,0)),"")</f>
        <v>Yes</v>
      </c>
      <c r="H519" s="348" t="str">
        <f ca="1">IFERROR(INDEX(DATA_PROPERTY_MASTER!$F$5:$F$21,MATCH($A519,DATA_PROPERTY_MASTER!$A$5:$A$21,0)),"")</f>
        <v>Refi Watch</v>
      </c>
      <c r="I519" t="s">
        <v>1497</v>
      </c>
      <c r="J519" s="348" t="str">
        <f t="shared" ca="1" si="26"/>
        <v>Formula-linked</v>
      </c>
    </row>
    <row r="520" spans="1:10">
      <c r="A520" s="366" t="s">
        <v>464</v>
      </c>
      <c r="B520" s="366">
        <v>2035</v>
      </c>
      <c r="C520" s="366" t="s">
        <v>21</v>
      </c>
      <c r="D520" s="366">
        <v>45</v>
      </c>
      <c r="E520" s="348">
        <f t="shared" ca="1" si="24"/>
        <v>453707.68495607574</v>
      </c>
      <c r="F520" s="348" t="str">
        <f t="shared" si="25"/>
        <v>BLD_NT</v>
      </c>
      <c r="G520" s="348" t="str">
        <f>IFERROR(INDEX(DATA_PROPERTY_MASTER!$E$5:$E$21,MATCH($A520,DATA_PROPERTY_MASTER!$A$5:$A$21,0)),"")</f>
        <v>Yes</v>
      </c>
      <c r="H520" s="348" t="str">
        <f ca="1">IFERROR(INDEX(DATA_PROPERTY_MASTER!$F$5:$F$21,MATCH($A520,DATA_PROPERTY_MASTER!$A$5:$A$21,0)),"")</f>
        <v>Refi Watch</v>
      </c>
      <c r="I520" t="s">
        <v>1497</v>
      </c>
      <c r="J520" s="348" t="str">
        <f t="shared" ca="1" si="26"/>
        <v>Formula-linked</v>
      </c>
    </row>
    <row r="521" spans="1:10">
      <c r="A521" s="366" t="s">
        <v>464</v>
      </c>
      <c r="B521" s="366">
        <v>2035</v>
      </c>
      <c r="C521" s="366" t="s">
        <v>23</v>
      </c>
      <c r="D521" s="366">
        <v>48</v>
      </c>
      <c r="E521" s="348">
        <f t="shared" ca="1" si="24"/>
        <v>0</v>
      </c>
      <c r="F521" s="348" t="str">
        <f t="shared" si="25"/>
        <v>BLD_NT</v>
      </c>
      <c r="G521" s="348" t="str">
        <f>IFERROR(INDEX(DATA_PROPERTY_MASTER!$E$5:$E$21,MATCH($A521,DATA_PROPERTY_MASTER!$A$5:$A$21,0)),"")</f>
        <v>Yes</v>
      </c>
      <c r="H521" s="348" t="str">
        <f ca="1">IFERROR(INDEX(DATA_PROPERTY_MASTER!$F$5:$F$21,MATCH($A521,DATA_PROPERTY_MASTER!$A$5:$A$21,0)),"")</f>
        <v>Refi Watch</v>
      </c>
      <c r="I521" t="s">
        <v>1498</v>
      </c>
      <c r="J521" s="348" t="str">
        <f t="shared" ca="1" si="26"/>
        <v>Formula-linked</v>
      </c>
    </row>
    <row r="522" spans="1:10">
      <c r="A522" s="366" t="s">
        <v>464</v>
      </c>
      <c r="B522" s="366">
        <v>2035</v>
      </c>
      <c r="C522" s="366" t="s">
        <v>213</v>
      </c>
      <c r="D522" s="366">
        <v>50</v>
      </c>
      <c r="E522" s="348" t="str">
        <f t="shared" ca="1" si="24"/>
        <v/>
      </c>
      <c r="F522" s="348" t="str">
        <f t="shared" si="25"/>
        <v>BLD_NT</v>
      </c>
      <c r="G522" s="348" t="str">
        <f>IFERROR(INDEX(DATA_PROPERTY_MASTER!$E$5:$E$21,MATCH($A522,DATA_PROPERTY_MASTER!$A$5:$A$21,0)),"")</f>
        <v>Yes</v>
      </c>
      <c r="H522" s="348" t="str">
        <f ca="1">IFERROR(INDEX(DATA_PROPERTY_MASTER!$F$5:$F$21,MATCH($A522,DATA_PROPERTY_MASTER!$A$5:$A$21,0)),"")</f>
        <v>Refi Watch</v>
      </c>
      <c r="I522" t="s">
        <v>1499</v>
      </c>
      <c r="J522" s="348" t="str">
        <f t="shared" ca="1" si="26"/>
        <v>Review</v>
      </c>
    </row>
    <row r="523" spans="1:10">
      <c r="A523" s="366" t="s">
        <v>464</v>
      </c>
      <c r="B523" s="366">
        <v>2035</v>
      </c>
      <c r="C523" s="366" t="s">
        <v>1500</v>
      </c>
      <c r="D523" s="366">
        <v>52</v>
      </c>
      <c r="E523" s="348">
        <f t="shared" ca="1" si="24"/>
        <v>461021.65147604427</v>
      </c>
      <c r="F523" s="348" t="str">
        <f t="shared" si="25"/>
        <v>BLD_NT</v>
      </c>
      <c r="G523" s="348" t="str">
        <f>IFERROR(INDEX(DATA_PROPERTY_MASTER!$E$5:$E$21,MATCH($A523,DATA_PROPERTY_MASTER!$A$5:$A$21,0)),"")</f>
        <v>Yes</v>
      </c>
      <c r="H523" s="348" t="str">
        <f ca="1">IFERROR(INDEX(DATA_PROPERTY_MASTER!$F$5:$F$21,MATCH($A523,DATA_PROPERTY_MASTER!$A$5:$A$21,0)),"")</f>
        <v>Refi Watch</v>
      </c>
      <c r="I523" t="s">
        <v>1501</v>
      </c>
      <c r="J523" s="348" t="str">
        <f t="shared" ca="1" si="26"/>
        <v>Formula-linked</v>
      </c>
    </row>
    <row r="524" spans="1:10">
      <c r="A524" s="366" t="s">
        <v>464</v>
      </c>
      <c r="B524" s="366">
        <v>2035</v>
      </c>
      <c r="C524" s="366" t="s">
        <v>27</v>
      </c>
      <c r="D524" s="366">
        <v>54</v>
      </c>
      <c r="E524" s="348">
        <f t="shared" ca="1" si="24"/>
        <v>276612.99088562652</v>
      </c>
      <c r="F524" s="348" t="str">
        <f t="shared" si="25"/>
        <v>BLD_NT</v>
      </c>
      <c r="G524" s="348" t="str">
        <f>IFERROR(INDEX(DATA_PROPERTY_MASTER!$E$5:$E$21,MATCH($A524,DATA_PROPERTY_MASTER!$A$5:$A$21,0)),"")</f>
        <v>Yes</v>
      </c>
      <c r="H524" s="348" t="str">
        <f ca="1">IFERROR(INDEX(DATA_PROPERTY_MASTER!$F$5:$F$21,MATCH($A524,DATA_PROPERTY_MASTER!$A$5:$A$21,0)),"")</f>
        <v>Refi Watch</v>
      </c>
      <c r="I524" t="s">
        <v>1501</v>
      </c>
      <c r="J524" s="348" t="str">
        <f t="shared" ca="1" si="26"/>
        <v>Formula-linked</v>
      </c>
    </row>
    <row r="525" spans="1:10">
      <c r="A525" s="366" t="s">
        <v>464</v>
      </c>
      <c r="B525" s="366">
        <v>2035</v>
      </c>
      <c r="C525" s="366" t="s">
        <v>1502</v>
      </c>
      <c r="D525" s="366">
        <v>56</v>
      </c>
      <c r="E525" s="348">
        <f t="shared" ca="1" si="24"/>
        <v>184408.66059041774</v>
      </c>
      <c r="F525" s="348" t="str">
        <f t="shared" si="25"/>
        <v>BLD_NT</v>
      </c>
      <c r="G525" s="348" t="str">
        <f>IFERROR(INDEX(DATA_PROPERTY_MASTER!$E$5:$E$21,MATCH($A525,DATA_PROPERTY_MASTER!$A$5:$A$21,0)),"")</f>
        <v>Yes</v>
      </c>
      <c r="H525" s="348" t="str">
        <f ca="1">IFERROR(INDEX(DATA_PROPERTY_MASTER!$F$5:$F$21,MATCH($A525,DATA_PROPERTY_MASTER!$A$5:$A$21,0)),"")</f>
        <v>Refi Watch</v>
      </c>
      <c r="I525" t="s">
        <v>1501</v>
      </c>
      <c r="J525" s="348" t="str">
        <f t="shared" ca="1" si="26"/>
        <v>Formula-linked</v>
      </c>
    </row>
    <row r="526" spans="1:10">
      <c r="A526" s="366" t="s">
        <v>464</v>
      </c>
      <c r="B526" s="366">
        <v>2035</v>
      </c>
      <c r="C526" s="366" t="s">
        <v>367</v>
      </c>
      <c r="D526" s="366">
        <v>61</v>
      </c>
      <c r="E526" s="348">
        <f t="shared" ca="1" si="24"/>
        <v>0</v>
      </c>
      <c r="F526" s="348" t="str">
        <f t="shared" si="25"/>
        <v>BLD_NT</v>
      </c>
      <c r="G526" s="348" t="str">
        <f>IFERROR(INDEX(DATA_PROPERTY_MASTER!$E$5:$E$21,MATCH($A526,DATA_PROPERTY_MASTER!$A$5:$A$21,0)),"")</f>
        <v>Yes</v>
      </c>
      <c r="H526" s="348" t="str">
        <f ca="1">IFERROR(INDEX(DATA_PROPERTY_MASTER!$F$5:$F$21,MATCH($A526,DATA_PROPERTY_MASTER!$A$5:$A$21,0)),"")</f>
        <v>Refi Watch</v>
      </c>
      <c r="I526" t="s">
        <v>1503</v>
      </c>
      <c r="J526" s="348" t="str">
        <f t="shared" ca="1" si="26"/>
        <v>Formula-linked</v>
      </c>
    </row>
    <row r="527" spans="1:10">
      <c r="A527" s="366" t="s">
        <v>464</v>
      </c>
      <c r="B527" s="366">
        <v>2035</v>
      </c>
      <c r="C527" s="366" t="s">
        <v>368</v>
      </c>
      <c r="D527" s="366">
        <v>62</v>
      </c>
      <c r="E527" s="348">
        <f t="shared" ca="1" si="24"/>
        <v>0</v>
      </c>
      <c r="F527" s="348" t="str">
        <f t="shared" si="25"/>
        <v>BLD_NT</v>
      </c>
      <c r="G527" s="348" t="str">
        <f>IFERROR(INDEX(DATA_PROPERTY_MASTER!$E$5:$E$21,MATCH($A527,DATA_PROPERTY_MASTER!$A$5:$A$21,0)),"")</f>
        <v>Yes</v>
      </c>
      <c r="H527" s="348" t="str">
        <f ca="1">IFERROR(INDEX(DATA_PROPERTY_MASTER!$F$5:$F$21,MATCH($A527,DATA_PROPERTY_MASTER!$A$5:$A$21,0)),"")</f>
        <v>Refi Watch</v>
      </c>
      <c r="I527" t="s">
        <v>1503</v>
      </c>
      <c r="J527" s="348" t="str">
        <f t="shared" ca="1" si="26"/>
        <v>Formula-linked</v>
      </c>
    </row>
    <row r="528" spans="1:10">
      <c r="A528" s="366" t="s">
        <v>464</v>
      </c>
      <c r="B528" s="366">
        <v>2035</v>
      </c>
      <c r="C528" s="366" t="s">
        <v>1504</v>
      </c>
      <c r="D528" s="366">
        <v>63</v>
      </c>
      <c r="E528" s="348">
        <f t="shared" ca="1" si="24"/>
        <v>0</v>
      </c>
      <c r="F528" s="348" t="str">
        <f t="shared" si="25"/>
        <v>BLD_NT</v>
      </c>
      <c r="G528" s="348" t="str">
        <f>IFERROR(INDEX(DATA_PROPERTY_MASTER!$E$5:$E$21,MATCH($A528,DATA_PROPERTY_MASTER!$A$5:$A$21,0)),"")</f>
        <v>Yes</v>
      </c>
      <c r="H528" s="348" t="str">
        <f ca="1">IFERROR(INDEX(DATA_PROPERTY_MASTER!$F$5:$F$21,MATCH($A528,DATA_PROPERTY_MASTER!$A$5:$A$21,0)),"")</f>
        <v>Refi Watch</v>
      </c>
      <c r="I528" t="s">
        <v>1503</v>
      </c>
      <c r="J528" s="348" t="str">
        <f t="shared" ca="1" si="26"/>
        <v>Formula-linked</v>
      </c>
    </row>
    <row r="529" spans="1:10">
      <c r="A529" s="366" t="s">
        <v>464</v>
      </c>
      <c r="B529" s="366">
        <v>2035</v>
      </c>
      <c r="C529" s="366" t="s">
        <v>370</v>
      </c>
      <c r="D529" s="366">
        <v>64</v>
      </c>
      <c r="E529" s="348">
        <f t="shared" ca="1" si="24"/>
        <v>0</v>
      </c>
      <c r="F529" s="348" t="str">
        <f t="shared" si="25"/>
        <v>BLD_NT</v>
      </c>
      <c r="G529" s="348" t="str">
        <f>IFERROR(INDEX(DATA_PROPERTY_MASTER!$E$5:$E$21,MATCH($A529,DATA_PROPERTY_MASTER!$A$5:$A$21,0)),"")</f>
        <v>Yes</v>
      </c>
      <c r="H529" s="348" t="str">
        <f ca="1">IFERROR(INDEX(DATA_PROPERTY_MASTER!$F$5:$F$21,MATCH($A529,DATA_PROPERTY_MASTER!$A$5:$A$21,0)),"")</f>
        <v>Refi Watch</v>
      </c>
      <c r="I529" t="s">
        <v>1498</v>
      </c>
      <c r="J529" s="348" t="str">
        <f t="shared" ca="1" si="26"/>
        <v>Formula-linked</v>
      </c>
    </row>
    <row r="530" spans="1:10">
      <c r="A530" s="366" t="s">
        <v>464</v>
      </c>
      <c r="B530" s="366">
        <v>2035</v>
      </c>
      <c r="C530" s="366" t="s">
        <v>544</v>
      </c>
      <c r="D530" s="366">
        <v>68</v>
      </c>
      <c r="E530" s="348">
        <f t="shared" ca="1" si="24"/>
        <v>184408.66059041774</v>
      </c>
      <c r="F530" s="348" t="str">
        <f t="shared" si="25"/>
        <v>BLD_NT</v>
      </c>
      <c r="G530" s="348" t="str">
        <f>IFERROR(INDEX(DATA_PROPERTY_MASTER!$E$5:$E$21,MATCH($A530,DATA_PROPERTY_MASTER!$A$5:$A$21,0)),"")</f>
        <v>Yes</v>
      </c>
      <c r="H530" s="348" t="str">
        <f ca="1">IFERROR(INDEX(DATA_PROPERTY_MASTER!$F$5:$F$21,MATCH($A530,DATA_PROPERTY_MASTER!$A$5:$A$21,0)),"")</f>
        <v>Refi Watch</v>
      </c>
      <c r="I530" t="s">
        <v>1501</v>
      </c>
      <c r="J530" s="348" t="str">
        <f t="shared" ca="1" si="26"/>
        <v>Formula-linked</v>
      </c>
    </row>
    <row r="531" spans="1:10">
      <c r="A531" s="366" t="s">
        <v>464</v>
      </c>
      <c r="B531" s="366">
        <v>2035</v>
      </c>
      <c r="C531" s="366" t="s">
        <v>378</v>
      </c>
      <c r="D531" s="366">
        <v>73</v>
      </c>
      <c r="E531" s="348">
        <f t="shared" ca="1" si="24"/>
        <v>7683694.1912674047</v>
      </c>
      <c r="F531" s="348" t="str">
        <f t="shared" si="25"/>
        <v>BLD_NT</v>
      </c>
      <c r="G531" s="348" t="str">
        <f>IFERROR(INDEX(DATA_PROPERTY_MASTER!$E$5:$E$21,MATCH($A531,DATA_PROPERTY_MASTER!$A$5:$A$21,0)),"")</f>
        <v>Yes</v>
      </c>
      <c r="H531" s="348" t="str">
        <f ca="1">IFERROR(INDEX(DATA_PROPERTY_MASTER!$F$5:$F$21,MATCH($A531,DATA_PROPERTY_MASTER!$A$5:$A$21,0)),"")</f>
        <v>Refi Watch</v>
      </c>
      <c r="I531" t="s">
        <v>1505</v>
      </c>
      <c r="J531" s="348" t="str">
        <f t="shared" ca="1" si="26"/>
        <v>Formula-linked</v>
      </c>
    </row>
    <row r="532" spans="1:10">
      <c r="A532" s="366" t="s">
        <v>464</v>
      </c>
      <c r="B532" s="366">
        <v>2035</v>
      </c>
      <c r="C532" s="366" t="s">
        <v>1506</v>
      </c>
      <c r="D532" s="366">
        <v>77</v>
      </c>
      <c r="E532" s="348">
        <f t="shared" ca="1" si="24"/>
        <v>7683694.1912674047</v>
      </c>
      <c r="F532" s="348" t="str">
        <f t="shared" si="25"/>
        <v>BLD_NT</v>
      </c>
      <c r="G532" s="348" t="str">
        <f>IFERROR(INDEX(DATA_PROPERTY_MASTER!$E$5:$E$21,MATCH($A532,DATA_PROPERTY_MASTER!$A$5:$A$21,0)),"")</f>
        <v>Yes</v>
      </c>
      <c r="H532" s="348" t="str">
        <f ca="1">IFERROR(INDEX(DATA_PROPERTY_MASTER!$F$5:$F$21,MATCH($A532,DATA_PROPERTY_MASTER!$A$5:$A$21,0)),"")</f>
        <v>Refi Watch</v>
      </c>
      <c r="I532" t="s">
        <v>1505</v>
      </c>
      <c r="J532" s="348" t="str">
        <f t="shared" ca="1" si="26"/>
        <v>Formula-linked</v>
      </c>
    </row>
    <row r="533" spans="1:10">
      <c r="A533" s="366" t="s">
        <v>466</v>
      </c>
      <c r="B533" s="366">
        <v>2025</v>
      </c>
      <c r="C533" s="366" t="s">
        <v>341</v>
      </c>
      <c r="D533" s="366">
        <v>24</v>
      </c>
      <c r="E533" s="348">
        <f t="shared" ca="1" si="24"/>
        <v>682436.62199999997</v>
      </c>
      <c r="F533" s="348" t="str">
        <f t="shared" si="25"/>
        <v>BLD_NG</v>
      </c>
      <c r="G533" s="348" t="str">
        <f>IFERROR(INDEX(DATA_PROPERTY_MASTER!$E$5:$E$21,MATCH($A533,DATA_PROPERTY_MASTER!$A$5:$A$21,0)),"")</f>
        <v>Yes</v>
      </c>
      <c r="H533" s="348" t="str">
        <f ca="1">IFERROR(INDEX(DATA_PROPERTY_MASTER!$F$5:$F$21,MATCH($A533,DATA_PROPERTY_MASTER!$A$5:$A$21,0)),"")</f>
        <v>Refi Watch</v>
      </c>
      <c r="I533" t="s">
        <v>1495</v>
      </c>
      <c r="J533" s="348" t="str">
        <f t="shared" ca="1" si="26"/>
        <v>Formula-linked</v>
      </c>
    </row>
    <row r="534" spans="1:10">
      <c r="A534" s="366" t="s">
        <v>466</v>
      </c>
      <c r="B534" s="366">
        <v>2025</v>
      </c>
      <c r="C534" s="366" t="s">
        <v>355</v>
      </c>
      <c r="D534" s="366">
        <v>39</v>
      </c>
      <c r="E534" s="348">
        <f t="shared" ca="1" si="24"/>
        <v>310831</v>
      </c>
      <c r="F534" s="348" t="str">
        <f t="shared" si="25"/>
        <v>BLD_NG</v>
      </c>
      <c r="G534" s="348" t="str">
        <f>IFERROR(INDEX(DATA_PROPERTY_MASTER!$E$5:$E$21,MATCH($A534,DATA_PROPERTY_MASTER!$A$5:$A$21,0)),"")</f>
        <v>Yes</v>
      </c>
      <c r="H534" s="348" t="str">
        <f ca="1">IFERROR(INDEX(DATA_PROPERTY_MASTER!$F$5:$F$21,MATCH($A534,DATA_PROPERTY_MASTER!$A$5:$A$21,0)),"")</f>
        <v>Refi Watch</v>
      </c>
      <c r="I534" t="s">
        <v>1496</v>
      </c>
      <c r="J534" s="348" t="str">
        <f t="shared" ca="1" si="26"/>
        <v>Formula-linked</v>
      </c>
    </row>
    <row r="535" spans="1:10">
      <c r="A535" s="366" t="s">
        <v>466</v>
      </c>
      <c r="B535" s="366">
        <v>2025</v>
      </c>
      <c r="C535" s="366" t="s">
        <v>1497</v>
      </c>
      <c r="D535" s="366">
        <v>41</v>
      </c>
      <c r="E535" s="348">
        <f t="shared" ca="1" si="24"/>
        <v>371605.62199999997</v>
      </c>
      <c r="F535" s="348" t="str">
        <f t="shared" si="25"/>
        <v>BLD_NG</v>
      </c>
      <c r="G535" s="348" t="str">
        <f>IFERROR(INDEX(DATA_PROPERTY_MASTER!$E$5:$E$21,MATCH($A535,DATA_PROPERTY_MASTER!$A$5:$A$21,0)),"")</f>
        <v>Yes</v>
      </c>
      <c r="H535" s="348" t="str">
        <f ca="1">IFERROR(INDEX(DATA_PROPERTY_MASTER!$F$5:$F$21,MATCH($A535,DATA_PROPERTY_MASTER!$A$5:$A$21,0)),"")</f>
        <v>Refi Watch</v>
      </c>
      <c r="I535" t="s">
        <v>1497</v>
      </c>
      <c r="J535" s="348" t="str">
        <f t="shared" ca="1" si="26"/>
        <v>Formula-linked</v>
      </c>
    </row>
    <row r="536" spans="1:10">
      <c r="A536" s="366" t="s">
        <v>466</v>
      </c>
      <c r="B536" s="366">
        <v>2025</v>
      </c>
      <c r="C536" s="366" t="s">
        <v>21</v>
      </c>
      <c r="D536" s="366">
        <v>45</v>
      </c>
      <c r="E536" s="348">
        <f t="shared" ca="1" si="24"/>
        <v>364255.62199999997</v>
      </c>
      <c r="F536" s="348" t="str">
        <f t="shared" si="25"/>
        <v>BLD_NG</v>
      </c>
      <c r="G536" s="348" t="str">
        <f>IFERROR(INDEX(DATA_PROPERTY_MASTER!$E$5:$E$21,MATCH($A536,DATA_PROPERTY_MASTER!$A$5:$A$21,0)),"")</f>
        <v>Yes</v>
      </c>
      <c r="H536" s="348" t="str">
        <f ca="1">IFERROR(INDEX(DATA_PROPERTY_MASTER!$F$5:$F$21,MATCH($A536,DATA_PROPERTY_MASTER!$A$5:$A$21,0)),"")</f>
        <v>Refi Watch</v>
      </c>
      <c r="I536" t="s">
        <v>1497</v>
      </c>
      <c r="J536" s="348" t="str">
        <f t="shared" ca="1" si="26"/>
        <v>Formula-linked</v>
      </c>
    </row>
    <row r="537" spans="1:10">
      <c r="A537" s="366" t="s">
        <v>466</v>
      </c>
      <c r="B537" s="366">
        <v>2025</v>
      </c>
      <c r="C537" s="366" t="s">
        <v>23</v>
      </c>
      <c r="D537" s="366">
        <v>48</v>
      </c>
      <c r="E537" s="348">
        <f t="shared" ca="1" si="24"/>
        <v>443187</v>
      </c>
      <c r="F537" s="348" t="str">
        <f t="shared" si="25"/>
        <v>BLD_NG</v>
      </c>
      <c r="G537" s="348" t="str">
        <f>IFERROR(INDEX(DATA_PROPERTY_MASTER!$E$5:$E$21,MATCH($A537,DATA_PROPERTY_MASTER!$A$5:$A$21,0)),"")</f>
        <v>Yes</v>
      </c>
      <c r="H537" s="348" t="str">
        <f ca="1">IFERROR(INDEX(DATA_PROPERTY_MASTER!$F$5:$F$21,MATCH($A537,DATA_PROPERTY_MASTER!$A$5:$A$21,0)),"")</f>
        <v>Refi Watch</v>
      </c>
      <c r="I537" t="s">
        <v>1498</v>
      </c>
      <c r="J537" s="348" t="str">
        <f t="shared" ca="1" si="26"/>
        <v>Formula-linked</v>
      </c>
    </row>
    <row r="538" spans="1:10">
      <c r="A538" s="366" t="s">
        <v>466</v>
      </c>
      <c r="B538" s="366">
        <v>2025</v>
      </c>
      <c r="C538" s="366" t="s">
        <v>213</v>
      </c>
      <c r="D538" s="366">
        <v>50</v>
      </c>
      <c r="E538" s="348">
        <f t="shared" ca="1" si="24"/>
        <v>0.83848493299668081</v>
      </c>
      <c r="F538" s="348" t="str">
        <f t="shared" si="25"/>
        <v>BLD_NG</v>
      </c>
      <c r="G538" s="348" t="str">
        <f>IFERROR(INDEX(DATA_PROPERTY_MASTER!$E$5:$E$21,MATCH($A538,DATA_PROPERTY_MASTER!$A$5:$A$21,0)),"")</f>
        <v>Yes</v>
      </c>
      <c r="H538" s="348" t="str">
        <f ca="1">IFERROR(INDEX(DATA_PROPERTY_MASTER!$F$5:$F$21,MATCH($A538,DATA_PROPERTY_MASTER!$A$5:$A$21,0)),"")</f>
        <v>Refi Watch</v>
      </c>
      <c r="I538" t="s">
        <v>1499</v>
      </c>
      <c r="J538" s="348" t="str">
        <f t="shared" ca="1" si="26"/>
        <v>Formula-linked</v>
      </c>
    </row>
    <row r="539" spans="1:10">
      <c r="A539" s="366" t="s">
        <v>466</v>
      </c>
      <c r="B539" s="366">
        <v>2025</v>
      </c>
      <c r="C539" s="366" t="s">
        <v>1500</v>
      </c>
      <c r="D539" s="366">
        <v>52</v>
      </c>
      <c r="E539" s="348">
        <f t="shared" ca="1" si="24"/>
        <v>-71581.378000000026</v>
      </c>
      <c r="F539" s="348" t="str">
        <f t="shared" si="25"/>
        <v>BLD_NG</v>
      </c>
      <c r="G539" s="348" t="str">
        <f>IFERROR(INDEX(DATA_PROPERTY_MASTER!$E$5:$E$21,MATCH($A539,DATA_PROPERTY_MASTER!$A$5:$A$21,0)),"")</f>
        <v>Yes</v>
      </c>
      <c r="H539" s="348" t="str">
        <f ca="1">IFERROR(INDEX(DATA_PROPERTY_MASTER!$F$5:$F$21,MATCH($A539,DATA_PROPERTY_MASTER!$A$5:$A$21,0)),"")</f>
        <v>Refi Watch</v>
      </c>
      <c r="I539" t="s">
        <v>1501</v>
      </c>
      <c r="J539" s="348" t="str">
        <f t="shared" ca="1" si="26"/>
        <v>Formula-linked</v>
      </c>
    </row>
    <row r="540" spans="1:10">
      <c r="A540" s="366" t="s">
        <v>466</v>
      </c>
      <c r="B540" s="366">
        <v>2025</v>
      </c>
      <c r="C540" s="366" t="s">
        <v>27</v>
      </c>
      <c r="D540" s="366">
        <v>54</v>
      </c>
      <c r="E540" s="348">
        <f t="shared" ca="1" si="24"/>
        <v>0</v>
      </c>
      <c r="F540" s="348" t="str">
        <f t="shared" si="25"/>
        <v>BLD_NG</v>
      </c>
      <c r="G540" s="348" t="str">
        <f>IFERROR(INDEX(DATA_PROPERTY_MASTER!$E$5:$E$21,MATCH($A540,DATA_PROPERTY_MASTER!$A$5:$A$21,0)),"")</f>
        <v>Yes</v>
      </c>
      <c r="H540" s="348" t="str">
        <f ca="1">IFERROR(INDEX(DATA_PROPERTY_MASTER!$F$5:$F$21,MATCH($A540,DATA_PROPERTY_MASTER!$A$5:$A$21,0)),"")</f>
        <v>Refi Watch</v>
      </c>
      <c r="I540" t="s">
        <v>1501</v>
      </c>
      <c r="J540" s="348" t="str">
        <f t="shared" ca="1" si="26"/>
        <v>Formula-linked</v>
      </c>
    </row>
    <row r="541" spans="1:10">
      <c r="A541" s="366" t="s">
        <v>466</v>
      </c>
      <c r="B541" s="366">
        <v>2025</v>
      </c>
      <c r="C541" s="366" t="s">
        <v>1502</v>
      </c>
      <c r="D541" s="366">
        <v>56</v>
      </c>
      <c r="E541" s="348">
        <f t="shared" ca="1" si="24"/>
        <v>-71581.378000000026</v>
      </c>
      <c r="F541" s="348" t="str">
        <f t="shared" si="25"/>
        <v>BLD_NG</v>
      </c>
      <c r="G541" s="348" t="str">
        <f>IFERROR(INDEX(DATA_PROPERTY_MASTER!$E$5:$E$21,MATCH($A541,DATA_PROPERTY_MASTER!$A$5:$A$21,0)),"")</f>
        <v>Yes</v>
      </c>
      <c r="H541" s="348" t="str">
        <f ca="1">IFERROR(INDEX(DATA_PROPERTY_MASTER!$F$5:$F$21,MATCH($A541,DATA_PROPERTY_MASTER!$A$5:$A$21,0)),"")</f>
        <v>Refi Watch</v>
      </c>
      <c r="I541" t="s">
        <v>1501</v>
      </c>
      <c r="J541" s="348" t="str">
        <f t="shared" ca="1" si="26"/>
        <v>Formula-linked</v>
      </c>
    </row>
    <row r="542" spans="1:10">
      <c r="A542" s="366" t="s">
        <v>466</v>
      </c>
      <c r="B542" s="366">
        <v>2025</v>
      </c>
      <c r="C542" s="366" t="s">
        <v>367</v>
      </c>
      <c r="D542" s="366">
        <v>61</v>
      </c>
      <c r="E542" s="348">
        <f t="shared" ca="1" si="24"/>
        <v>0</v>
      </c>
      <c r="F542" s="348" t="str">
        <f t="shared" si="25"/>
        <v>BLD_NG</v>
      </c>
      <c r="G542" s="348" t="str">
        <f>IFERROR(INDEX(DATA_PROPERTY_MASTER!$E$5:$E$21,MATCH($A542,DATA_PROPERTY_MASTER!$A$5:$A$21,0)),"")</f>
        <v>Yes</v>
      </c>
      <c r="H542" s="348" t="str">
        <f ca="1">IFERROR(INDEX(DATA_PROPERTY_MASTER!$F$5:$F$21,MATCH($A542,DATA_PROPERTY_MASTER!$A$5:$A$21,0)),"")</f>
        <v>Refi Watch</v>
      </c>
      <c r="I542" t="s">
        <v>1503</v>
      </c>
      <c r="J542" s="348" t="str">
        <f t="shared" ca="1" si="26"/>
        <v>Formula-linked</v>
      </c>
    </row>
    <row r="543" spans="1:10">
      <c r="A543" s="366" t="s">
        <v>466</v>
      </c>
      <c r="B543" s="366">
        <v>2025</v>
      </c>
      <c r="C543" s="366" t="s">
        <v>368</v>
      </c>
      <c r="D543" s="366">
        <v>62</v>
      </c>
      <c r="E543" s="348">
        <f t="shared" ca="1" si="24"/>
        <v>0</v>
      </c>
      <c r="F543" s="348" t="str">
        <f t="shared" si="25"/>
        <v>BLD_NG</v>
      </c>
      <c r="G543" s="348" t="str">
        <f>IFERROR(INDEX(DATA_PROPERTY_MASTER!$E$5:$E$21,MATCH($A543,DATA_PROPERTY_MASTER!$A$5:$A$21,0)),"")</f>
        <v>Yes</v>
      </c>
      <c r="H543" s="348" t="str">
        <f ca="1">IFERROR(INDEX(DATA_PROPERTY_MASTER!$F$5:$F$21,MATCH($A543,DATA_PROPERTY_MASTER!$A$5:$A$21,0)),"")</f>
        <v>Refi Watch</v>
      </c>
      <c r="I543" t="s">
        <v>1503</v>
      </c>
      <c r="J543" s="348" t="str">
        <f t="shared" ca="1" si="26"/>
        <v>Formula-linked</v>
      </c>
    </row>
    <row r="544" spans="1:10">
      <c r="A544" s="366" t="s">
        <v>466</v>
      </c>
      <c r="B544" s="366">
        <v>2025</v>
      </c>
      <c r="C544" s="366" t="s">
        <v>1504</v>
      </c>
      <c r="D544" s="366">
        <v>63</v>
      </c>
      <c r="E544" s="348">
        <f t="shared" ca="1" si="24"/>
        <v>0</v>
      </c>
      <c r="F544" s="348" t="str">
        <f t="shared" si="25"/>
        <v>BLD_NG</v>
      </c>
      <c r="G544" s="348" t="str">
        <f>IFERROR(INDEX(DATA_PROPERTY_MASTER!$E$5:$E$21,MATCH($A544,DATA_PROPERTY_MASTER!$A$5:$A$21,0)),"")</f>
        <v>Yes</v>
      </c>
      <c r="H544" s="348" t="str">
        <f ca="1">IFERROR(INDEX(DATA_PROPERTY_MASTER!$F$5:$F$21,MATCH($A544,DATA_PROPERTY_MASTER!$A$5:$A$21,0)),"")</f>
        <v>Refi Watch</v>
      </c>
      <c r="I544" t="s">
        <v>1503</v>
      </c>
      <c r="J544" s="348" t="str">
        <f t="shared" ca="1" si="26"/>
        <v>Formula-linked</v>
      </c>
    </row>
    <row r="545" spans="1:10">
      <c r="A545" s="366" t="s">
        <v>466</v>
      </c>
      <c r="B545" s="366">
        <v>2025</v>
      </c>
      <c r="C545" s="366" t="s">
        <v>370</v>
      </c>
      <c r="D545" s="366">
        <v>64</v>
      </c>
      <c r="E545" s="348">
        <f t="shared" ca="1" si="24"/>
        <v>3142456.1840150002</v>
      </c>
      <c r="F545" s="348" t="str">
        <f t="shared" si="25"/>
        <v>BLD_NG</v>
      </c>
      <c r="G545" s="348" t="str">
        <f>IFERROR(INDEX(DATA_PROPERTY_MASTER!$E$5:$E$21,MATCH($A545,DATA_PROPERTY_MASTER!$A$5:$A$21,0)),"")</f>
        <v>Yes</v>
      </c>
      <c r="H545" s="348" t="str">
        <f ca="1">IFERROR(INDEX(DATA_PROPERTY_MASTER!$F$5:$F$21,MATCH($A545,DATA_PROPERTY_MASTER!$A$5:$A$21,0)),"")</f>
        <v>Refi Watch</v>
      </c>
      <c r="I545" t="s">
        <v>1498</v>
      </c>
      <c r="J545" s="348" t="str">
        <f t="shared" ca="1" si="26"/>
        <v>Formula-linked</v>
      </c>
    </row>
    <row r="546" spans="1:10">
      <c r="A546" s="366" t="s">
        <v>466</v>
      </c>
      <c r="B546" s="366">
        <v>2025</v>
      </c>
      <c r="C546" s="366" t="s">
        <v>544</v>
      </c>
      <c r="D546" s="366">
        <v>68</v>
      </c>
      <c r="E546" s="348">
        <f t="shared" ca="1" si="24"/>
        <v>-71581.378000000026</v>
      </c>
      <c r="F546" s="348" t="str">
        <f t="shared" si="25"/>
        <v>BLD_NG</v>
      </c>
      <c r="G546" s="348" t="str">
        <f>IFERROR(INDEX(DATA_PROPERTY_MASTER!$E$5:$E$21,MATCH($A546,DATA_PROPERTY_MASTER!$A$5:$A$21,0)),"")</f>
        <v>Yes</v>
      </c>
      <c r="H546" s="348" t="str">
        <f ca="1">IFERROR(INDEX(DATA_PROPERTY_MASTER!$F$5:$F$21,MATCH($A546,DATA_PROPERTY_MASTER!$A$5:$A$21,0)),"")</f>
        <v>Refi Watch</v>
      </c>
      <c r="I546" t="s">
        <v>1501</v>
      </c>
      <c r="J546" s="348" t="str">
        <f t="shared" ca="1" si="26"/>
        <v>Formula-linked</v>
      </c>
    </row>
    <row r="547" spans="1:10">
      <c r="A547" s="366" t="s">
        <v>466</v>
      </c>
      <c r="B547" s="366">
        <v>2025</v>
      </c>
      <c r="C547" s="366" t="s">
        <v>378</v>
      </c>
      <c r="D547" s="366">
        <v>73</v>
      </c>
      <c r="E547" s="348">
        <f t="shared" ca="1" si="24"/>
        <v>6193427.0333333332</v>
      </c>
      <c r="F547" s="348" t="str">
        <f t="shared" si="25"/>
        <v>BLD_NG</v>
      </c>
      <c r="G547" s="348" t="str">
        <f>IFERROR(INDEX(DATA_PROPERTY_MASTER!$E$5:$E$21,MATCH($A547,DATA_PROPERTY_MASTER!$A$5:$A$21,0)),"")</f>
        <v>Yes</v>
      </c>
      <c r="H547" s="348" t="str">
        <f ca="1">IFERROR(INDEX(DATA_PROPERTY_MASTER!$F$5:$F$21,MATCH($A547,DATA_PROPERTY_MASTER!$A$5:$A$21,0)),"")</f>
        <v>Refi Watch</v>
      </c>
      <c r="I547" t="s">
        <v>1505</v>
      </c>
      <c r="J547" s="348" t="str">
        <f t="shared" ca="1" si="26"/>
        <v>Formula-linked</v>
      </c>
    </row>
    <row r="548" spans="1:10">
      <c r="A548" s="366" t="s">
        <v>466</v>
      </c>
      <c r="B548" s="366">
        <v>2025</v>
      </c>
      <c r="C548" s="366" t="s">
        <v>1506</v>
      </c>
      <c r="D548" s="366">
        <v>77</v>
      </c>
      <c r="E548" s="348">
        <f t="shared" ca="1" si="24"/>
        <v>3050970.849318333</v>
      </c>
      <c r="F548" s="348" t="str">
        <f t="shared" si="25"/>
        <v>BLD_NG</v>
      </c>
      <c r="G548" s="348" t="str">
        <f>IFERROR(INDEX(DATA_PROPERTY_MASTER!$E$5:$E$21,MATCH($A548,DATA_PROPERTY_MASTER!$A$5:$A$21,0)),"")</f>
        <v>Yes</v>
      </c>
      <c r="H548" s="348" t="str">
        <f ca="1">IFERROR(INDEX(DATA_PROPERTY_MASTER!$F$5:$F$21,MATCH($A548,DATA_PROPERTY_MASTER!$A$5:$A$21,0)),"")</f>
        <v>Refi Watch</v>
      </c>
      <c r="I548" t="s">
        <v>1505</v>
      </c>
      <c r="J548" s="348" t="str">
        <f t="shared" ca="1" si="26"/>
        <v>Formula-linked</v>
      </c>
    </row>
    <row r="549" spans="1:10">
      <c r="A549" s="366" t="s">
        <v>466</v>
      </c>
      <c r="B549" s="366">
        <v>2029</v>
      </c>
      <c r="C549" s="366" t="s">
        <v>341</v>
      </c>
      <c r="D549" s="366">
        <v>24</v>
      </c>
      <c r="E549" s="348">
        <f t="shared" ca="1" si="24"/>
        <v>840912.58354912722</v>
      </c>
      <c r="F549" s="348" t="str">
        <f t="shared" si="25"/>
        <v>BLD_NG</v>
      </c>
      <c r="G549" s="348" t="str">
        <f>IFERROR(INDEX(DATA_PROPERTY_MASTER!$E$5:$E$21,MATCH($A549,DATA_PROPERTY_MASTER!$A$5:$A$21,0)),"")</f>
        <v>Yes</v>
      </c>
      <c r="H549" s="348" t="str">
        <f ca="1">IFERROR(INDEX(DATA_PROPERTY_MASTER!$F$5:$F$21,MATCH($A549,DATA_PROPERTY_MASTER!$A$5:$A$21,0)),"")</f>
        <v>Refi Watch</v>
      </c>
      <c r="I549" t="s">
        <v>1495</v>
      </c>
      <c r="J549" s="348" t="str">
        <f t="shared" ca="1" si="26"/>
        <v>Formula-linked</v>
      </c>
    </row>
    <row r="550" spans="1:10">
      <c r="A550" s="366" t="s">
        <v>466</v>
      </c>
      <c r="B550" s="366">
        <v>2029</v>
      </c>
      <c r="C550" s="366" t="s">
        <v>355</v>
      </c>
      <c r="D550" s="366">
        <v>39</v>
      </c>
      <c r="E550" s="348">
        <f t="shared" ca="1" si="24"/>
        <v>363628.30606336007</v>
      </c>
      <c r="F550" s="348" t="str">
        <f t="shared" si="25"/>
        <v>BLD_NG</v>
      </c>
      <c r="G550" s="348" t="str">
        <f>IFERROR(INDEX(DATA_PROPERTY_MASTER!$E$5:$E$21,MATCH($A550,DATA_PROPERTY_MASTER!$A$5:$A$21,0)),"")</f>
        <v>Yes</v>
      </c>
      <c r="H550" s="348" t="str">
        <f ca="1">IFERROR(INDEX(DATA_PROPERTY_MASTER!$F$5:$F$21,MATCH($A550,DATA_PROPERTY_MASTER!$A$5:$A$21,0)),"")</f>
        <v>Refi Watch</v>
      </c>
      <c r="I550" t="s">
        <v>1496</v>
      </c>
      <c r="J550" s="348" t="str">
        <f t="shared" ca="1" si="26"/>
        <v>Formula-linked</v>
      </c>
    </row>
    <row r="551" spans="1:10">
      <c r="A551" s="366" t="s">
        <v>466</v>
      </c>
      <c r="B551" s="366">
        <v>2029</v>
      </c>
      <c r="C551" s="366" t="s">
        <v>1497</v>
      </c>
      <c r="D551" s="366">
        <v>41</v>
      </c>
      <c r="E551" s="348">
        <f t="shared" ca="1" si="24"/>
        <v>477284.27748576715</v>
      </c>
      <c r="F551" s="348" t="str">
        <f t="shared" si="25"/>
        <v>BLD_NG</v>
      </c>
      <c r="G551" s="348" t="str">
        <f>IFERROR(INDEX(DATA_PROPERTY_MASTER!$E$5:$E$21,MATCH($A551,DATA_PROPERTY_MASTER!$A$5:$A$21,0)),"")</f>
        <v>Yes</v>
      </c>
      <c r="H551" s="348" t="str">
        <f ca="1">IFERROR(INDEX(DATA_PROPERTY_MASTER!$F$5:$F$21,MATCH($A551,DATA_PROPERTY_MASTER!$A$5:$A$21,0)),"")</f>
        <v>Refi Watch</v>
      </c>
      <c r="I551" t="s">
        <v>1497</v>
      </c>
      <c r="J551" s="348" t="str">
        <f t="shared" ca="1" si="26"/>
        <v>Formula-linked</v>
      </c>
    </row>
    <row r="552" spans="1:10">
      <c r="A552" s="366" t="s">
        <v>466</v>
      </c>
      <c r="B552" s="366">
        <v>2029</v>
      </c>
      <c r="C552" s="366" t="s">
        <v>21</v>
      </c>
      <c r="D552" s="366">
        <v>45</v>
      </c>
      <c r="E552" s="348">
        <f t="shared" ca="1" si="24"/>
        <v>469328.40110976715</v>
      </c>
      <c r="F552" s="348" t="str">
        <f t="shared" si="25"/>
        <v>BLD_NG</v>
      </c>
      <c r="G552" s="348" t="str">
        <f>IFERROR(INDEX(DATA_PROPERTY_MASTER!$E$5:$E$21,MATCH($A552,DATA_PROPERTY_MASTER!$A$5:$A$21,0)),"")</f>
        <v>Yes</v>
      </c>
      <c r="H552" s="348" t="str">
        <f ca="1">IFERROR(INDEX(DATA_PROPERTY_MASTER!$F$5:$F$21,MATCH($A552,DATA_PROPERTY_MASTER!$A$5:$A$21,0)),"")</f>
        <v>Refi Watch</v>
      </c>
      <c r="I552" t="s">
        <v>1497</v>
      </c>
      <c r="J552" s="348" t="str">
        <f t="shared" ca="1" si="26"/>
        <v>Formula-linked</v>
      </c>
    </row>
    <row r="553" spans="1:10">
      <c r="A553" s="366" t="s">
        <v>466</v>
      </c>
      <c r="B553" s="366">
        <v>2029</v>
      </c>
      <c r="C553" s="366" t="s">
        <v>23</v>
      </c>
      <c r="D553" s="366">
        <v>48</v>
      </c>
      <c r="E553" s="348">
        <f t="shared" ca="1" si="24"/>
        <v>443187</v>
      </c>
      <c r="F553" s="348" t="str">
        <f t="shared" si="25"/>
        <v>BLD_NG</v>
      </c>
      <c r="G553" s="348" t="str">
        <f>IFERROR(INDEX(DATA_PROPERTY_MASTER!$E$5:$E$21,MATCH($A553,DATA_PROPERTY_MASTER!$A$5:$A$21,0)),"")</f>
        <v>Yes</v>
      </c>
      <c r="H553" s="348" t="str">
        <f ca="1">IFERROR(INDEX(DATA_PROPERTY_MASTER!$F$5:$F$21,MATCH($A553,DATA_PROPERTY_MASTER!$A$5:$A$21,0)),"")</f>
        <v>Refi Watch</v>
      </c>
      <c r="I553" t="s">
        <v>1498</v>
      </c>
      <c r="J553" s="348" t="str">
        <f t="shared" ca="1" si="26"/>
        <v>Formula-linked</v>
      </c>
    </row>
    <row r="554" spans="1:10">
      <c r="A554" s="366" t="s">
        <v>466</v>
      </c>
      <c r="B554" s="366">
        <v>2029</v>
      </c>
      <c r="C554" s="366" t="s">
        <v>213</v>
      </c>
      <c r="D554" s="366">
        <v>50</v>
      </c>
      <c r="E554" s="348">
        <f t="shared" ca="1" si="24"/>
        <v>1.0769365470687704</v>
      </c>
      <c r="F554" s="348" t="str">
        <f t="shared" si="25"/>
        <v>BLD_NG</v>
      </c>
      <c r="G554" s="348" t="str">
        <f>IFERROR(INDEX(DATA_PROPERTY_MASTER!$E$5:$E$21,MATCH($A554,DATA_PROPERTY_MASTER!$A$5:$A$21,0)),"")</f>
        <v>Yes</v>
      </c>
      <c r="H554" s="348" t="str">
        <f ca="1">IFERROR(INDEX(DATA_PROPERTY_MASTER!$F$5:$F$21,MATCH($A554,DATA_PROPERTY_MASTER!$A$5:$A$21,0)),"")</f>
        <v>Refi Watch</v>
      </c>
      <c r="I554" t="s">
        <v>1499</v>
      </c>
      <c r="J554" s="348" t="str">
        <f t="shared" ca="1" si="26"/>
        <v>Formula-linked</v>
      </c>
    </row>
    <row r="555" spans="1:10">
      <c r="A555" s="366" t="s">
        <v>466</v>
      </c>
      <c r="B555" s="366">
        <v>2029</v>
      </c>
      <c r="C555" s="366" t="s">
        <v>1500</v>
      </c>
      <c r="D555" s="366">
        <v>52</v>
      </c>
      <c r="E555" s="348">
        <f t="shared" ca="1" si="24"/>
        <v>34097.277485767147</v>
      </c>
      <c r="F555" s="348" t="str">
        <f t="shared" si="25"/>
        <v>BLD_NG</v>
      </c>
      <c r="G555" s="348" t="str">
        <f>IFERROR(INDEX(DATA_PROPERTY_MASTER!$E$5:$E$21,MATCH($A555,DATA_PROPERTY_MASTER!$A$5:$A$21,0)),"")</f>
        <v>Yes</v>
      </c>
      <c r="H555" s="348" t="str">
        <f ca="1">IFERROR(INDEX(DATA_PROPERTY_MASTER!$F$5:$F$21,MATCH($A555,DATA_PROPERTY_MASTER!$A$5:$A$21,0)),"")</f>
        <v>Refi Watch</v>
      </c>
      <c r="I555" t="s">
        <v>1501</v>
      </c>
      <c r="J555" s="348" t="str">
        <f t="shared" ca="1" si="26"/>
        <v>Formula-linked</v>
      </c>
    </row>
    <row r="556" spans="1:10">
      <c r="A556" s="366" t="s">
        <v>466</v>
      </c>
      <c r="B556" s="366">
        <v>2029</v>
      </c>
      <c r="C556" s="366" t="s">
        <v>27</v>
      </c>
      <c r="D556" s="366">
        <v>54</v>
      </c>
      <c r="E556" s="348">
        <f t="shared" ca="1" si="24"/>
        <v>20458.366491460289</v>
      </c>
      <c r="F556" s="348" t="str">
        <f t="shared" si="25"/>
        <v>BLD_NG</v>
      </c>
      <c r="G556" s="348" t="str">
        <f>IFERROR(INDEX(DATA_PROPERTY_MASTER!$E$5:$E$21,MATCH($A556,DATA_PROPERTY_MASTER!$A$5:$A$21,0)),"")</f>
        <v>Yes</v>
      </c>
      <c r="H556" s="348" t="str">
        <f ca="1">IFERROR(INDEX(DATA_PROPERTY_MASTER!$F$5:$F$21,MATCH($A556,DATA_PROPERTY_MASTER!$A$5:$A$21,0)),"")</f>
        <v>Refi Watch</v>
      </c>
      <c r="I556" t="s">
        <v>1501</v>
      </c>
      <c r="J556" s="348" t="str">
        <f t="shared" ca="1" si="26"/>
        <v>Formula-linked</v>
      </c>
    </row>
    <row r="557" spans="1:10">
      <c r="A557" s="366" t="s">
        <v>466</v>
      </c>
      <c r="B557" s="366">
        <v>2029</v>
      </c>
      <c r="C557" s="366" t="s">
        <v>1502</v>
      </c>
      <c r="D557" s="366">
        <v>56</v>
      </c>
      <c r="E557" s="348">
        <f t="shared" ca="1" si="24"/>
        <v>13638.910994306858</v>
      </c>
      <c r="F557" s="348" t="str">
        <f t="shared" si="25"/>
        <v>BLD_NG</v>
      </c>
      <c r="G557" s="348" t="str">
        <f>IFERROR(INDEX(DATA_PROPERTY_MASTER!$E$5:$E$21,MATCH($A557,DATA_PROPERTY_MASTER!$A$5:$A$21,0)),"")</f>
        <v>Yes</v>
      </c>
      <c r="H557" s="348" t="str">
        <f ca="1">IFERROR(INDEX(DATA_PROPERTY_MASTER!$F$5:$F$21,MATCH($A557,DATA_PROPERTY_MASTER!$A$5:$A$21,0)),"")</f>
        <v>Refi Watch</v>
      </c>
      <c r="I557" t="s">
        <v>1501</v>
      </c>
      <c r="J557" s="348" t="str">
        <f t="shared" ca="1" si="26"/>
        <v>Formula-linked</v>
      </c>
    </row>
    <row r="558" spans="1:10">
      <c r="A558" s="366" t="s">
        <v>466</v>
      </c>
      <c r="B558" s="366">
        <v>2029</v>
      </c>
      <c r="C558" s="366" t="s">
        <v>367</v>
      </c>
      <c r="D558" s="366">
        <v>61</v>
      </c>
      <c r="E558" s="348">
        <f t="shared" ca="1" si="24"/>
        <v>0</v>
      </c>
      <c r="F558" s="348" t="str">
        <f t="shared" si="25"/>
        <v>BLD_NG</v>
      </c>
      <c r="G558" s="348" t="str">
        <f>IFERROR(INDEX(DATA_PROPERTY_MASTER!$E$5:$E$21,MATCH($A558,DATA_PROPERTY_MASTER!$A$5:$A$21,0)),"")</f>
        <v>Yes</v>
      </c>
      <c r="H558" s="348" t="str">
        <f ca="1">IFERROR(INDEX(DATA_PROPERTY_MASTER!$F$5:$F$21,MATCH($A558,DATA_PROPERTY_MASTER!$A$5:$A$21,0)),"")</f>
        <v>Refi Watch</v>
      </c>
      <c r="I558" t="s">
        <v>1503</v>
      </c>
      <c r="J558" s="348" t="str">
        <f t="shared" ca="1" si="26"/>
        <v>Formula-linked</v>
      </c>
    </row>
    <row r="559" spans="1:10">
      <c r="A559" s="366" t="s">
        <v>466</v>
      </c>
      <c r="B559" s="366">
        <v>2029</v>
      </c>
      <c r="C559" s="366" t="s">
        <v>368</v>
      </c>
      <c r="D559" s="366">
        <v>62</v>
      </c>
      <c r="E559" s="348">
        <f t="shared" ca="1" si="24"/>
        <v>0</v>
      </c>
      <c r="F559" s="348" t="str">
        <f t="shared" si="25"/>
        <v>BLD_NG</v>
      </c>
      <c r="G559" s="348" t="str">
        <f>IFERROR(INDEX(DATA_PROPERTY_MASTER!$E$5:$E$21,MATCH($A559,DATA_PROPERTY_MASTER!$A$5:$A$21,0)),"")</f>
        <v>Yes</v>
      </c>
      <c r="H559" s="348" t="str">
        <f ca="1">IFERROR(INDEX(DATA_PROPERTY_MASTER!$F$5:$F$21,MATCH($A559,DATA_PROPERTY_MASTER!$A$5:$A$21,0)),"")</f>
        <v>Refi Watch</v>
      </c>
      <c r="I559" t="s">
        <v>1503</v>
      </c>
      <c r="J559" s="348" t="str">
        <f t="shared" ca="1" si="26"/>
        <v>Formula-linked</v>
      </c>
    </row>
    <row r="560" spans="1:10">
      <c r="A560" s="366" t="s">
        <v>466</v>
      </c>
      <c r="B560" s="366">
        <v>2029</v>
      </c>
      <c r="C560" s="366" t="s">
        <v>1504</v>
      </c>
      <c r="D560" s="366">
        <v>63</v>
      </c>
      <c r="E560" s="348">
        <f t="shared" ca="1" si="24"/>
        <v>0</v>
      </c>
      <c r="F560" s="348" t="str">
        <f t="shared" si="25"/>
        <v>BLD_NG</v>
      </c>
      <c r="G560" s="348" t="str">
        <f>IFERROR(INDEX(DATA_PROPERTY_MASTER!$E$5:$E$21,MATCH($A560,DATA_PROPERTY_MASTER!$A$5:$A$21,0)),"")</f>
        <v>Yes</v>
      </c>
      <c r="H560" s="348" t="str">
        <f ca="1">IFERROR(INDEX(DATA_PROPERTY_MASTER!$F$5:$F$21,MATCH($A560,DATA_PROPERTY_MASTER!$A$5:$A$21,0)),"")</f>
        <v>Refi Watch</v>
      </c>
      <c r="I560" t="s">
        <v>1503</v>
      </c>
      <c r="J560" s="348" t="str">
        <f t="shared" ca="1" si="26"/>
        <v>Formula-linked</v>
      </c>
    </row>
    <row r="561" spans="1:10">
      <c r="A561" s="366" t="s">
        <v>466</v>
      </c>
      <c r="B561" s="366">
        <v>2029</v>
      </c>
      <c r="C561" s="366" t="s">
        <v>370</v>
      </c>
      <c r="D561" s="366">
        <v>64</v>
      </c>
      <c r="E561" s="348">
        <f t="shared" ca="1" si="24"/>
        <v>1847368.0444157925</v>
      </c>
      <c r="F561" s="348" t="str">
        <f t="shared" si="25"/>
        <v>BLD_NG</v>
      </c>
      <c r="G561" s="348" t="str">
        <f>IFERROR(INDEX(DATA_PROPERTY_MASTER!$E$5:$E$21,MATCH($A561,DATA_PROPERTY_MASTER!$A$5:$A$21,0)),"")</f>
        <v>Yes</v>
      </c>
      <c r="H561" s="348" t="str">
        <f ca="1">IFERROR(INDEX(DATA_PROPERTY_MASTER!$F$5:$F$21,MATCH($A561,DATA_PROPERTY_MASTER!$A$5:$A$21,0)),"")</f>
        <v>Refi Watch</v>
      </c>
      <c r="I561" t="s">
        <v>1498</v>
      </c>
      <c r="J561" s="348" t="str">
        <f t="shared" ca="1" si="26"/>
        <v>Formula-linked</v>
      </c>
    </row>
    <row r="562" spans="1:10">
      <c r="A562" s="366" t="s">
        <v>466</v>
      </c>
      <c r="B562" s="366">
        <v>2029</v>
      </c>
      <c r="C562" s="366" t="s">
        <v>544</v>
      </c>
      <c r="D562" s="366">
        <v>68</v>
      </c>
      <c r="E562" s="348">
        <f t="shared" ca="1" si="24"/>
        <v>13638.910994306858</v>
      </c>
      <c r="F562" s="348" t="str">
        <f t="shared" si="25"/>
        <v>BLD_NG</v>
      </c>
      <c r="G562" s="348" t="str">
        <f>IFERROR(INDEX(DATA_PROPERTY_MASTER!$E$5:$E$21,MATCH($A562,DATA_PROPERTY_MASTER!$A$5:$A$21,0)),"")</f>
        <v>Yes</v>
      </c>
      <c r="H562" s="348" t="str">
        <f ca="1">IFERROR(INDEX(DATA_PROPERTY_MASTER!$F$5:$F$21,MATCH($A562,DATA_PROPERTY_MASTER!$A$5:$A$21,0)),"")</f>
        <v>Refi Watch</v>
      </c>
      <c r="I562" t="s">
        <v>1501</v>
      </c>
      <c r="J562" s="348" t="str">
        <f t="shared" ca="1" si="26"/>
        <v>Formula-linked</v>
      </c>
    </row>
    <row r="563" spans="1:10">
      <c r="A563" s="366" t="s">
        <v>466</v>
      </c>
      <c r="B563" s="366">
        <v>2029</v>
      </c>
      <c r="C563" s="366" t="s">
        <v>378</v>
      </c>
      <c r="D563" s="366">
        <v>73</v>
      </c>
      <c r="E563" s="348">
        <f t="shared" ca="1" si="24"/>
        <v>7954737.9580961196</v>
      </c>
      <c r="F563" s="348" t="str">
        <f t="shared" si="25"/>
        <v>BLD_NG</v>
      </c>
      <c r="G563" s="348" t="str">
        <f>IFERROR(INDEX(DATA_PROPERTY_MASTER!$E$5:$E$21,MATCH($A563,DATA_PROPERTY_MASTER!$A$5:$A$21,0)),"")</f>
        <v>Yes</v>
      </c>
      <c r="H563" s="348" t="str">
        <f ca="1">IFERROR(INDEX(DATA_PROPERTY_MASTER!$F$5:$F$21,MATCH($A563,DATA_PROPERTY_MASTER!$A$5:$A$21,0)),"")</f>
        <v>Refi Watch</v>
      </c>
      <c r="I563" t="s">
        <v>1505</v>
      </c>
      <c r="J563" s="348" t="str">
        <f t="shared" ca="1" si="26"/>
        <v>Formula-linked</v>
      </c>
    </row>
    <row r="564" spans="1:10">
      <c r="A564" s="366" t="s">
        <v>466</v>
      </c>
      <c r="B564" s="366">
        <v>2029</v>
      </c>
      <c r="C564" s="366" t="s">
        <v>1506</v>
      </c>
      <c r="D564" s="366">
        <v>77</v>
      </c>
      <c r="E564" s="348">
        <f t="shared" ca="1" si="24"/>
        <v>6107369.9136803271</v>
      </c>
      <c r="F564" s="348" t="str">
        <f t="shared" si="25"/>
        <v>BLD_NG</v>
      </c>
      <c r="G564" s="348" t="str">
        <f>IFERROR(INDEX(DATA_PROPERTY_MASTER!$E$5:$E$21,MATCH($A564,DATA_PROPERTY_MASTER!$A$5:$A$21,0)),"")</f>
        <v>Yes</v>
      </c>
      <c r="H564" s="348" t="str">
        <f ca="1">IFERROR(INDEX(DATA_PROPERTY_MASTER!$F$5:$F$21,MATCH($A564,DATA_PROPERTY_MASTER!$A$5:$A$21,0)),"")</f>
        <v>Refi Watch</v>
      </c>
      <c r="I564" t="s">
        <v>1505</v>
      </c>
      <c r="J564" s="348" t="str">
        <f t="shared" ca="1" si="26"/>
        <v>Formula-linked</v>
      </c>
    </row>
    <row r="565" spans="1:10">
      <c r="A565" s="366" t="s">
        <v>466</v>
      </c>
      <c r="B565" s="366">
        <v>2035</v>
      </c>
      <c r="C565" s="366" t="s">
        <v>341</v>
      </c>
      <c r="D565" s="366">
        <v>24</v>
      </c>
      <c r="E565" s="348">
        <f t="shared" ca="1" si="24"/>
        <v>947004.14947922551</v>
      </c>
      <c r="F565" s="348" t="str">
        <f t="shared" si="25"/>
        <v>BLD_NG</v>
      </c>
      <c r="G565" s="348" t="str">
        <f>IFERROR(INDEX(DATA_PROPERTY_MASTER!$E$5:$E$21,MATCH($A565,DATA_PROPERTY_MASTER!$A$5:$A$21,0)),"")</f>
        <v>Yes</v>
      </c>
      <c r="H565" s="348" t="str">
        <f ca="1">IFERROR(INDEX(DATA_PROPERTY_MASTER!$F$5:$F$21,MATCH($A565,DATA_PROPERTY_MASTER!$A$5:$A$21,0)),"")</f>
        <v>Refi Watch</v>
      </c>
      <c r="I565" t="s">
        <v>1495</v>
      </c>
      <c r="J565" s="348" t="str">
        <f t="shared" ca="1" si="26"/>
        <v>Formula-linked</v>
      </c>
    </row>
    <row r="566" spans="1:10">
      <c r="A566" s="366" t="s">
        <v>466</v>
      </c>
      <c r="B566" s="366">
        <v>2035</v>
      </c>
      <c r="C566" s="366" t="s">
        <v>355</v>
      </c>
      <c r="D566" s="366">
        <v>39</v>
      </c>
      <c r="E566" s="348">
        <f t="shared" ca="1" si="24"/>
        <v>453469.66981595219</v>
      </c>
      <c r="F566" s="348" t="str">
        <f t="shared" si="25"/>
        <v>BLD_NG</v>
      </c>
      <c r="G566" s="348" t="str">
        <f>IFERROR(INDEX(DATA_PROPERTY_MASTER!$E$5:$E$21,MATCH($A566,DATA_PROPERTY_MASTER!$A$5:$A$21,0)),"")</f>
        <v>Yes</v>
      </c>
      <c r="H566" s="348" t="str">
        <f ca="1">IFERROR(INDEX(DATA_PROPERTY_MASTER!$F$5:$F$21,MATCH($A566,DATA_PROPERTY_MASTER!$A$5:$A$21,0)),"")</f>
        <v>Refi Watch</v>
      </c>
      <c r="I566" t="s">
        <v>1496</v>
      </c>
      <c r="J566" s="348" t="str">
        <f t="shared" ca="1" si="26"/>
        <v>Formula-linked</v>
      </c>
    </row>
    <row r="567" spans="1:10">
      <c r="A567" s="366" t="s">
        <v>466</v>
      </c>
      <c r="B567" s="366">
        <v>2035</v>
      </c>
      <c r="C567" s="366" t="s">
        <v>1497</v>
      </c>
      <c r="D567" s="366">
        <v>41</v>
      </c>
      <c r="E567" s="348">
        <f t="shared" ca="1" si="24"/>
        <v>493534.47966327332</v>
      </c>
      <c r="F567" s="348" t="str">
        <f t="shared" si="25"/>
        <v>BLD_NG</v>
      </c>
      <c r="G567" s="348" t="str">
        <f>IFERROR(INDEX(DATA_PROPERTY_MASTER!$E$5:$E$21,MATCH($A567,DATA_PROPERTY_MASTER!$A$5:$A$21,0)),"")</f>
        <v>Yes</v>
      </c>
      <c r="H567" s="348" t="str">
        <f ca="1">IFERROR(INDEX(DATA_PROPERTY_MASTER!$F$5:$F$21,MATCH($A567,DATA_PROPERTY_MASTER!$A$5:$A$21,0)),"")</f>
        <v>Refi Watch</v>
      </c>
      <c r="I567" t="s">
        <v>1497</v>
      </c>
      <c r="J567" s="348" t="str">
        <f t="shared" ca="1" si="26"/>
        <v>Formula-linked</v>
      </c>
    </row>
    <row r="568" spans="1:10">
      <c r="A568" s="366" t="s">
        <v>466</v>
      </c>
      <c r="B568" s="366">
        <v>2035</v>
      </c>
      <c r="C568" s="366" t="s">
        <v>21</v>
      </c>
      <c r="D568" s="366">
        <v>45</v>
      </c>
      <c r="E568" s="348">
        <f t="shared" ca="1" si="24"/>
        <v>484574.87067631184</v>
      </c>
      <c r="F568" s="348" t="str">
        <f t="shared" si="25"/>
        <v>BLD_NG</v>
      </c>
      <c r="G568" s="348" t="str">
        <f>IFERROR(INDEX(DATA_PROPERTY_MASTER!$E$5:$E$21,MATCH($A568,DATA_PROPERTY_MASTER!$A$5:$A$21,0)),"")</f>
        <v>Yes</v>
      </c>
      <c r="H568" s="348" t="str">
        <f ca="1">IFERROR(INDEX(DATA_PROPERTY_MASTER!$F$5:$F$21,MATCH($A568,DATA_PROPERTY_MASTER!$A$5:$A$21,0)),"")</f>
        <v>Refi Watch</v>
      </c>
      <c r="I568" t="s">
        <v>1497</v>
      </c>
      <c r="J568" s="348" t="str">
        <f t="shared" ca="1" si="26"/>
        <v>Formula-linked</v>
      </c>
    </row>
    <row r="569" spans="1:10">
      <c r="A569" s="366" t="s">
        <v>466</v>
      </c>
      <c r="B569" s="366">
        <v>2035</v>
      </c>
      <c r="C569" s="366" t="s">
        <v>23</v>
      </c>
      <c r="D569" s="366">
        <v>48</v>
      </c>
      <c r="E569" s="348">
        <f t="shared" ca="1" si="24"/>
        <v>322800.05887749186</v>
      </c>
      <c r="F569" s="348" t="str">
        <f t="shared" si="25"/>
        <v>BLD_NG</v>
      </c>
      <c r="G569" s="348" t="str">
        <f>IFERROR(INDEX(DATA_PROPERTY_MASTER!$E$5:$E$21,MATCH($A569,DATA_PROPERTY_MASTER!$A$5:$A$21,0)),"")</f>
        <v>Yes</v>
      </c>
      <c r="H569" s="348" t="str">
        <f ca="1">IFERROR(INDEX(DATA_PROPERTY_MASTER!$F$5:$F$21,MATCH($A569,DATA_PROPERTY_MASTER!$A$5:$A$21,0)),"")</f>
        <v>Refi Watch</v>
      </c>
      <c r="I569" t="s">
        <v>1498</v>
      </c>
      <c r="J569" s="348" t="str">
        <f t="shared" ca="1" si="26"/>
        <v>Formula-linked</v>
      </c>
    </row>
    <row r="570" spans="1:10">
      <c r="A570" s="366" t="s">
        <v>466</v>
      </c>
      <c r="B570" s="366">
        <v>2035</v>
      </c>
      <c r="C570" s="366" t="s">
        <v>213</v>
      </c>
      <c r="D570" s="366">
        <v>50</v>
      </c>
      <c r="E570" s="348">
        <f t="shared" ca="1" si="24"/>
        <v>1.5289169443757076</v>
      </c>
      <c r="F570" s="348" t="str">
        <f t="shared" si="25"/>
        <v>BLD_NG</v>
      </c>
      <c r="G570" s="348" t="str">
        <f>IFERROR(INDEX(DATA_PROPERTY_MASTER!$E$5:$E$21,MATCH($A570,DATA_PROPERTY_MASTER!$A$5:$A$21,0)),"")</f>
        <v>Yes</v>
      </c>
      <c r="H570" s="348" t="str">
        <f ca="1">IFERROR(INDEX(DATA_PROPERTY_MASTER!$F$5:$F$21,MATCH($A570,DATA_PROPERTY_MASTER!$A$5:$A$21,0)),"")</f>
        <v>Refi Watch</v>
      </c>
      <c r="I570" t="s">
        <v>1499</v>
      </c>
      <c r="J570" s="348" t="str">
        <f t="shared" ca="1" si="26"/>
        <v>Formula-linked</v>
      </c>
    </row>
    <row r="571" spans="1:10">
      <c r="A571" s="366" t="s">
        <v>466</v>
      </c>
      <c r="B571" s="366">
        <v>2035</v>
      </c>
      <c r="C571" s="366" t="s">
        <v>1500</v>
      </c>
      <c r="D571" s="366">
        <v>52</v>
      </c>
      <c r="E571" s="348">
        <f t="shared" ca="1" si="24"/>
        <v>170734.42078578146</v>
      </c>
      <c r="F571" s="348" t="str">
        <f t="shared" si="25"/>
        <v>BLD_NG</v>
      </c>
      <c r="G571" s="348" t="str">
        <f>IFERROR(INDEX(DATA_PROPERTY_MASTER!$E$5:$E$21,MATCH($A571,DATA_PROPERTY_MASTER!$A$5:$A$21,0)),"")</f>
        <v>Yes</v>
      </c>
      <c r="H571" s="348" t="str">
        <f ca="1">IFERROR(INDEX(DATA_PROPERTY_MASTER!$F$5:$F$21,MATCH($A571,DATA_PROPERTY_MASTER!$A$5:$A$21,0)),"")</f>
        <v>Refi Watch</v>
      </c>
      <c r="I571" t="s">
        <v>1501</v>
      </c>
      <c r="J571" s="348" t="str">
        <f t="shared" ca="1" si="26"/>
        <v>Formula-linked</v>
      </c>
    </row>
    <row r="572" spans="1:10">
      <c r="A572" s="366" t="s">
        <v>466</v>
      </c>
      <c r="B572" s="366">
        <v>2035</v>
      </c>
      <c r="C572" s="366" t="s">
        <v>27</v>
      </c>
      <c r="D572" s="366">
        <v>54</v>
      </c>
      <c r="E572" s="348">
        <f t="shared" ca="1" si="24"/>
        <v>102440.65247146887</v>
      </c>
      <c r="F572" s="348" t="str">
        <f t="shared" si="25"/>
        <v>BLD_NG</v>
      </c>
      <c r="G572" s="348" t="str">
        <f>IFERROR(INDEX(DATA_PROPERTY_MASTER!$E$5:$E$21,MATCH($A572,DATA_PROPERTY_MASTER!$A$5:$A$21,0)),"")</f>
        <v>Yes</v>
      </c>
      <c r="H572" s="348" t="str">
        <f ca="1">IFERROR(INDEX(DATA_PROPERTY_MASTER!$F$5:$F$21,MATCH($A572,DATA_PROPERTY_MASTER!$A$5:$A$21,0)),"")</f>
        <v>Refi Watch</v>
      </c>
      <c r="I572" t="s">
        <v>1501</v>
      </c>
      <c r="J572" s="348" t="str">
        <f t="shared" ca="1" si="26"/>
        <v>Formula-linked</v>
      </c>
    </row>
    <row r="573" spans="1:10">
      <c r="A573" s="366" t="s">
        <v>466</v>
      </c>
      <c r="B573" s="366">
        <v>2035</v>
      </c>
      <c r="C573" s="366" t="s">
        <v>1502</v>
      </c>
      <c r="D573" s="366">
        <v>56</v>
      </c>
      <c r="E573" s="348">
        <f t="shared" ca="1" si="24"/>
        <v>68293.768314312591</v>
      </c>
      <c r="F573" s="348" t="str">
        <f t="shared" si="25"/>
        <v>BLD_NG</v>
      </c>
      <c r="G573" s="348" t="str">
        <f>IFERROR(INDEX(DATA_PROPERTY_MASTER!$E$5:$E$21,MATCH($A573,DATA_PROPERTY_MASTER!$A$5:$A$21,0)),"")</f>
        <v>Yes</v>
      </c>
      <c r="H573" s="348" t="str">
        <f ca="1">IFERROR(INDEX(DATA_PROPERTY_MASTER!$F$5:$F$21,MATCH($A573,DATA_PROPERTY_MASTER!$A$5:$A$21,0)),"")</f>
        <v>Refi Watch</v>
      </c>
      <c r="I573" t="s">
        <v>1501</v>
      </c>
      <c r="J573" s="348" t="str">
        <f t="shared" ca="1" si="26"/>
        <v>Formula-linked</v>
      </c>
    </row>
    <row r="574" spans="1:10">
      <c r="A574" s="366" t="s">
        <v>466</v>
      </c>
      <c r="B574" s="366">
        <v>2035</v>
      </c>
      <c r="C574" s="366" t="s">
        <v>367</v>
      </c>
      <c r="D574" s="366">
        <v>61</v>
      </c>
      <c r="E574" s="348">
        <f t="shared" ca="1" si="24"/>
        <v>0</v>
      </c>
      <c r="F574" s="348" t="str">
        <f t="shared" si="25"/>
        <v>BLD_NG</v>
      </c>
      <c r="G574" s="348" t="str">
        <f>IFERROR(INDEX(DATA_PROPERTY_MASTER!$E$5:$E$21,MATCH($A574,DATA_PROPERTY_MASTER!$A$5:$A$21,0)),"")</f>
        <v>Yes</v>
      </c>
      <c r="H574" s="348" t="str">
        <f ca="1">IFERROR(INDEX(DATA_PROPERTY_MASTER!$F$5:$F$21,MATCH($A574,DATA_PROPERTY_MASTER!$A$5:$A$21,0)),"")</f>
        <v>Refi Watch</v>
      </c>
      <c r="I574" t="s">
        <v>1503</v>
      </c>
      <c r="J574" s="348" t="str">
        <f t="shared" ca="1" si="26"/>
        <v>Formula-linked</v>
      </c>
    </row>
    <row r="575" spans="1:10">
      <c r="A575" s="366" t="s">
        <v>466</v>
      </c>
      <c r="B575" s="366">
        <v>2035</v>
      </c>
      <c r="C575" s="366" t="s">
        <v>368</v>
      </c>
      <c r="D575" s="366">
        <v>62</v>
      </c>
      <c r="E575" s="348">
        <f t="shared" ca="1" si="24"/>
        <v>0</v>
      </c>
      <c r="F575" s="348" t="str">
        <f t="shared" si="25"/>
        <v>BLD_NG</v>
      </c>
      <c r="G575" s="348" t="str">
        <f>IFERROR(INDEX(DATA_PROPERTY_MASTER!$E$5:$E$21,MATCH($A575,DATA_PROPERTY_MASTER!$A$5:$A$21,0)),"")</f>
        <v>Yes</v>
      </c>
      <c r="H575" s="348" t="str">
        <f ca="1">IFERROR(INDEX(DATA_PROPERTY_MASTER!$F$5:$F$21,MATCH($A575,DATA_PROPERTY_MASTER!$A$5:$A$21,0)),"")</f>
        <v>Refi Watch</v>
      </c>
      <c r="I575" t="s">
        <v>1503</v>
      </c>
      <c r="J575" s="348" t="str">
        <f t="shared" ca="1" si="26"/>
        <v>Formula-linked</v>
      </c>
    </row>
    <row r="576" spans="1:10">
      <c r="A576" s="366" t="s">
        <v>466</v>
      </c>
      <c r="B576" s="366">
        <v>2035</v>
      </c>
      <c r="C576" s="366" t="s">
        <v>1504</v>
      </c>
      <c r="D576" s="366">
        <v>63</v>
      </c>
      <c r="E576" s="348">
        <f t="shared" ca="1" si="24"/>
        <v>0</v>
      </c>
      <c r="F576" s="348" t="str">
        <f t="shared" si="25"/>
        <v>BLD_NG</v>
      </c>
      <c r="G576" s="348" t="str">
        <f>IFERROR(INDEX(DATA_PROPERTY_MASTER!$E$5:$E$21,MATCH($A576,DATA_PROPERTY_MASTER!$A$5:$A$21,0)),"")</f>
        <v>Yes</v>
      </c>
      <c r="H576" s="348" t="str">
        <f ca="1">IFERROR(INDEX(DATA_PROPERTY_MASTER!$F$5:$F$21,MATCH($A576,DATA_PROPERTY_MASTER!$A$5:$A$21,0)),"")</f>
        <v>Refi Watch</v>
      </c>
      <c r="I576" t="s">
        <v>1503</v>
      </c>
      <c r="J576" s="348" t="str">
        <f t="shared" ca="1" si="26"/>
        <v>Formula-linked</v>
      </c>
    </row>
    <row r="577" spans="1:10">
      <c r="A577" s="366" t="s">
        <v>466</v>
      </c>
      <c r="B577" s="366">
        <v>2035</v>
      </c>
      <c r="C577" s="366" t="s">
        <v>370</v>
      </c>
      <c r="D577" s="366">
        <v>64</v>
      </c>
      <c r="E577" s="348">
        <f t="shared" ca="1" si="24"/>
        <v>5995538.0282111289</v>
      </c>
      <c r="F577" s="348" t="str">
        <f t="shared" si="25"/>
        <v>BLD_NG</v>
      </c>
      <c r="G577" s="348" t="str">
        <f>IFERROR(INDEX(DATA_PROPERTY_MASTER!$E$5:$E$21,MATCH($A577,DATA_PROPERTY_MASTER!$A$5:$A$21,0)),"")</f>
        <v>Yes</v>
      </c>
      <c r="H577" s="348" t="str">
        <f ca="1">IFERROR(INDEX(DATA_PROPERTY_MASTER!$F$5:$F$21,MATCH($A577,DATA_PROPERTY_MASTER!$A$5:$A$21,0)),"")</f>
        <v>Refi Watch</v>
      </c>
      <c r="I577" t="s">
        <v>1498</v>
      </c>
      <c r="J577" s="348" t="str">
        <f t="shared" ca="1" si="26"/>
        <v>Formula-linked</v>
      </c>
    </row>
    <row r="578" spans="1:10">
      <c r="A578" s="366" t="s">
        <v>466</v>
      </c>
      <c r="B578" s="366">
        <v>2035</v>
      </c>
      <c r="C578" s="366" t="s">
        <v>544</v>
      </c>
      <c r="D578" s="366">
        <v>68</v>
      </c>
      <c r="E578" s="348">
        <f t="shared" ca="1" si="24"/>
        <v>68293.768314312591</v>
      </c>
      <c r="F578" s="348" t="str">
        <f t="shared" si="25"/>
        <v>BLD_NG</v>
      </c>
      <c r="G578" s="348" t="str">
        <f>IFERROR(INDEX(DATA_PROPERTY_MASTER!$E$5:$E$21,MATCH($A578,DATA_PROPERTY_MASTER!$A$5:$A$21,0)),"")</f>
        <v>Yes</v>
      </c>
      <c r="H578" s="348" t="str">
        <f ca="1">IFERROR(INDEX(DATA_PROPERTY_MASTER!$F$5:$F$21,MATCH($A578,DATA_PROPERTY_MASTER!$A$5:$A$21,0)),"")</f>
        <v>Refi Watch</v>
      </c>
      <c r="I578" t="s">
        <v>1501</v>
      </c>
      <c r="J578" s="348" t="str">
        <f t="shared" ca="1" si="26"/>
        <v>Formula-linked</v>
      </c>
    </row>
    <row r="579" spans="1:10">
      <c r="A579" s="366" t="s">
        <v>466</v>
      </c>
      <c r="B579" s="366">
        <v>2035</v>
      </c>
      <c r="C579" s="366" t="s">
        <v>378</v>
      </c>
      <c r="D579" s="366">
        <v>73</v>
      </c>
      <c r="E579" s="348">
        <f t="shared" ca="1" si="24"/>
        <v>8225574.6610545553</v>
      </c>
      <c r="F579" s="348" t="str">
        <f t="shared" si="25"/>
        <v>BLD_NG</v>
      </c>
      <c r="G579" s="348" t="str">
        <f>IFERROR(INDEX(DATA_PROPERTY_MASTER!$E$5:$E$21,MATCH($A579,DATA_PROPERTY_MASTER!$A$5:$A$21,0)),"")</f>
        <v>Yes</v>
      </c>
      <c r="H579" s="348" t="str">
        <f ca="1">IFERROR(INDEX(DATA_PROPERTY_MASTER!$F$5:$F$21,MATCH($A579,DATA_PROPERTY_MASTER!$A$5:$A$21,0)),"")</f>
        <v>Refi Watch</v>
      </c>
      <c r="I579" t="s">
        <v>1505</v>
      </c>
      <c r="J579" s="348" t="str">
        <f t="shared" ca="1" si="26"/>
        <v>Formula-linked</v>
      </c>
    </row>
    <row r="580" spans="1:10">
      <c r="A580" s="366" t="s">
        <v>466</v>
      </c>
      <c r="B580" s="366">
        <v>2035</v>
      </c>
      <c r="C580" s="366" t="s">
        <v>1506</v>
      </c>
      <c r="D580" s="366">
        <v>77</v>
      </c>
      <c r="E580" s="348">
        <f t="shared" ca="1" si="24"/>
        <v>2230036.6328434264</v>
      </c>
      <c r="F580" s="348" t="str">
        <f t="shared" si="25"/>
        <v>BLD_NG</v>
      </c>
      <c r="G580" s="348" t="str">
        <f>IFERROR(INDEX(DATA_PROPERTY_MASTER!$E$5:$E$21,MATCH($A580,DATA_PROPERTY_MASTER!$A$5:$A$21,0)),"")</f>
        <v>Yes</v>
      </c>
      <c r="H580" s="348" t="str">
        <f ca="1">IFERROR(INDEX(DATA_PROPERTY_MASTER!$F$5:$F$21,MATCH($A580,DATA_PROPERTY_MASTER!$A$5:$A$21,0)),"")</f>
        <v>Refi Watch</v>
      </c>
      <c r="I580" t="s">
        <v>1505</v>
      </c>
      <c r="J580" s="348" t="str">
        <f t="shared" ca="1" si="26"/>
        <v>Formula-linked</v>
      </c>
    </row>
    <row r="581" spans="1:10">
      <c r="A581" s="366" t="s">
        <v>470</v>
      </c>
      <c r="B581" s="366">
        <v>2025</v>
      </c>
      <c r="C581" s="366" t="s">
        <v>341</v>
      </c>
      <c r="D581" s="366">
        <v>24</v>
      </c>
      <c r="E581" s="348">
        <f t="shared" ref="E581:E644" ca="1" si="27">IFERROR(INDEX(INDIRECT("'"&amp;$A581&amp;"'!$E$"&amp;$D581&amp;":$Y$"&amp;$D581),1,MATCH($B581,INDIRECT("'"&amp;$A581&amp;"'!$E$12:$Y$12"),0)),"")</f>
        <v>449096.56400000007</v>
      </c>
      <c r="F581" s="348" t="str">
        <f t="shared" ref="F581:F644" si="28">$A581</f>
        <v>BLD_RG</v>
      </c>
      <c r="G581" s="348" t="str">
        <f>IFERROR(INDEX(DATA_PROPERTY_MASTER!$E$5:$E$21,MATCH($A581,DATA_PROPERTY_MASTER!$A$5:$A$21,0)),"")</f>
        <v>Yes</v>
      </c>
      <c r="H581" s="348" t="str">
        <f ca="1">IFERROR(INDEX(DATA_PROPERTY_MASTER!$F$5:$F$21,MATCH($A581,DATA_PROPERTY_MASTER!$A$5:$A$21,0)),"")</f>
        <v>Refi Watch</v>
      </c>
      <c r="I581" t="s">
        <v>1495</v>
      </c>
      <c r="J581" s="348" t="str">
        <f t="shared" ref="J581:J644" ca="1" si="29">IF($E581="","Review","Formula-linked")</f>
        <v>Formula-linked</v>
      </c>
    </row>
    <row r="582" spans="1:10">
      <c r="A582" s="366" t="s">
        <v>470</v>
      </c>
      <c r="B582" s="366">
        <v>2025</v>
      </c>
      <c r="C582" s="366" t="s">
        <v>355</v>
      </c>
      <c r="D582" s="366">
        <v>39</v>
      </c>
      <c r="E582" s="348">
        <f t="shared" ca="1" si="27"/>
        <v>215588</v>
      </c>
      <c r="F582" s="348" t="str">
        <f t="shared" si="28"/>
        <v>BLD_RG</v>
      </c>
      <c r="G582" s="348" t="str">
        <f>IFERROR(INDEX(DATA_PROPERTY_MASTER!$E$5:$E$21,MATCH($A582,DATA_PROPERTY_MASTER!$A$5:$A$21,0)),"")</f>
        <v>Yes</v>
      </c>
      <c r="H582" s="348" t="str">
        <f ca="1">IFERROR(INDEX(DATA_PROPERTY_MASTER!$F$5:$F$21,MATCH($A582,DATA_PROPERTY_MASTER!$A$5:$A$21,0)),"")</f>
        <v>Refi Watch</v>
      </c>
      <c r="I582" t="s">
        <v>1496</v>
      </c>
      <c r="J582" s="348" t="str">
        <f t="shared" ca="1" si="29"/>
        <v>Formula-linked</v>
      </c>
    </row>
    <row r="583" spans="1:10">
      <c r="A583" s="366" t="s">
        <v>470</v>
      </c>
      <c r="B583" s="366">
        <v>2025</v>
      </c>
      <c r="C583" s="366" t="s">
        <v>1497</v>
      </c>
      <c r="D583" s="366">
        <v>41</v>
      </c>
      <c r="E583" s="348">
        <f t="shared" ca="1" si="27"/>
        <v>233508.56400000007</v>
      </c>
      <c r="F583" s="348" t="str">
        <f t="shared" si="28"/>
        <v>BLD_RG</v>
      </c>
      <c r="G583" s="348" t="str">
        <f>IFERROR(INDEX(DATA_PROPERTY_MASTER!$E$5:$E$21,MATCH($A583,DATA_PROPERTY_MASTER!$A$5:$A$21,0)),"")</f>
        <v>Yes</v>
      </c>
      <c r="H583" s="348" t="str">
        <f ca="1">IFERROR(INDEX(DATA_PROPERTY_MASTER!$F$5:$F$21,MATCH($A583,DATA_PROPERTY_MASTER!$A$5:$A$21,0)),"")</f>
        <v>Refi Watch</v>
      </c>
      <c r="I583" t="s">
        <v>1497</v>
      </c>
      <c r="J583" s="348" t="str">
        <f t="shared" ca="1" si="29"/>
        <v>Formula-linked</v>
      </c>
    </row>
    <row r="584" spans="1:10">
      <c r="A584" s="366" t="s">
        <v>470</v>
      </c>
      <c r="B584" s="366">
        <v>2025</v>
      </c>
      <c r="C584" s="366" t="s">
        <v>21</v>
      </c>
      <c r="D584" s="366">
        <v>45</v>
      </c>
      <c r="E584" s="348">
        <f t="shared" ca="1" si="27"/>
        <v>227808.56400000007</v>
      </c>
      <c r="F584" s="348" t="str">
        <f t="shared" si="28"/>
        <v>BLD_RG</v>
      </c>
      <c r="G584" s="348" t="str">
        <f>IFERROR(INDEX(DATA_PROPERTY_MASTER!$E$5:$E$21,MATCH($A584,DATA_PROPERTY_MASTER!$A$5:$A$21,0)),"")</f>
        <v>Yes</v>
      </c>
      <c r="H584" s="348" t="str">
        <f ca="1">IFERROR(INDEX(DATA_PROPERTY_MASTER!$F$5:$F$21,MATCH($A584,DATA_PROPERTY_MASTER!$A$5:$A$21,0)),"")</f>
        <v>Refi Watch</v>
      </c>
      <c r="I584" t="s">
        <v>1497</v>
      </c>
      <c r="J584" s="348" t="str">
        <f t="shared" ca="1" si="29"/>
        <v>Formula-linked</v>
      </c>
    </row>
    <row r="585" spans="1:10">
      <c r="A585" s="366" t="s">
        <v>470</v>
      </c>
      <c r="B585" s="366">
        <v>2025</v>
      </c>
      <c r="C585" s="366" t="s">
        <v>23</v>
      </c>
      <c r="D585" s="366">
        <v>48</v>
      </c>
      <c r="E585" s="348">
        <f t="shared" ca="1" si="27"/>
        <v>291146.28000000003</v>
      </c>
      <c r="F585" s="348" t="str">
        <f t="shared" si="28"/>
        <v>BLD_RG</v>
      </c>
      <c r="G585" s="348" t="str">
        <f>IFERROR(INDEX(DATA_PROPERTY_MASTER!$E$5:$E$21,MATCH($A585,DATA_PROPERTY_MASTER!$A$5:$A$21,0)),"")</f>
        <v>Yes</v>
      </c>
      <c r="H585" s="348" t="str">
        <f ca="1">IFERROR(INDEX(DATA_PROPERTY_MASTER!$F$5:$F$21,MATCH($A585,DATA_PROPERTY_MASTER!$A$5:$A$21,0)),"")</f>
        <v>Refi Watch</v>
      </c>
      <c r="I585" t="s">
        <v>1498</v>
      </c>
      <c r="J585" s="348" t="str">
        <f t="shared" ca="1" si="29"/>
        <v>Formula-linked</v>
      </c>
    </row>
    <row r="586" spans="1:10">
      <c r="A586" s="366" t="s">
        <v>470</v>
      </c>
      <c r="B586" s="366">
        <v>2025</v>
      </c>
      <c r="C586" s="366" t="s">
        <v>213</v>
      </c>
      <c r="D586" s="366">
        <v>50</v>
      </c>
      <c r="E586" s="348">
        <f t="shared" ca="1" si="27"/>
        <v>0.80203176217810523</v>
      </c>
      <c r="F586" s="348" t="str">
        <f t="shared" si="28"/>
        <v>BLD_RG</v>
      </c>
      <c r="G586" s="348" t="str">
        <f>IFERROR(INDEX(DATA_PROPERTY_MASTER!$E$5:$E$21,MATCH($A586,DATA_PROPERTY_MASTER!$A$5:$A$21,0)),"")</f>
        <v>Yes</v>
      </c>
      <c r="H586" s="348" t="str">
        <f ca="1">IFERROR(INDEX(DATA_PROPERTY_MASTER!$F$5:$F$21,MATCH($A586,DATA_PROPERTY_MASTER!$A$5:$A$21,0)),"")</f>
        <v>Refi Watch</v>
      </c>
      <c r="I586" t="s">
        <v>1499</v>
      </c>
      <c r="J586" s="348" t="str">
        <f t="shared" ca="1" si="29"/>
        <v>Formula-linked</v>
      </c>
    </row>
    <row r="587" spans="1:10">
      <c r="A587" s="366" t="s">
        <v>470</v>
      </c>
      <c r="B587" s="366">
        <v>2025</v>
      </c>
      <c r="C587" s="366" t="s">
        <v>1500</v>
      </c>
      <c r="D587" s="366">
        <v>52</v>
      </c>
      <c r="E587" s="348">
        <f t="shared" ca="1" si="27"/>
        <v>-57637.715999999957</v>
      </c>
      <c r="F587" s="348" t="str">
        <f t="shared" si="28"/>
        <v>BLD_RG</v>
      </c>
      <c r="G587" s="348" t="str">
        <f>IFERROR(INDEX(DATA_PROPERTY_MASTER!$E$5:$E$21,MATCH($A587,DATA_PROPERTY_MASTER!$A$5:$A$21,0)),"")</f>
        <v>Yes</v>
      </c>
      <c r="H587" s="348" t="str">
        <f ca="1">IFERROR(INDEX(DATA_PROPERTY_MASTER!$F$5:$F$21,MATCH($A587,DATA_PROPERTY_MASTER!$A$5:$A$21,0)),"")</f>
        <v>Refi Watch</v>
      </c>
      <c r="I587" t="s">
        <v>1501</v>
      </c>
      <c r="J587" s="348" t="str">
        <f t="shared" ca="1" si="29"/>
        <v>Formula-linked</v>
      </c>
    </row>
    <row r="588" spans="1:10">
      <c r="A588" s="366" t="s">
        <v>470</v>
      </c>
      <c r="B588" s="366">
        <v>2025</v>
      </c>
      <c r="C588" s="366" t="s">
        <v>27</v>
      </c>
      <c r="D588" s="366">
        <v>54</v>
      </c>
      <c r="E588" s="348">
        <f t="shared" ca="1" si="27"/>
        <v>0</v>
      </c>
      <c r="F588" s="348" t="str">
        <f t="shared" si="28"/>
        <v>BLD_RG</v>
      </c>
      <c r="G588" s="348" t="str">
        <f>IFERROR(INDEX(DATA_PROPERTY_MASTER!$E$5:$E$21,MATCH($A588,DATA_PROPERTY_MASTER!$A$5:$A$21,0)),"")</f>
        <v>Yes</v>
      </c>
      <c r="H588" s="348" t="str">
        <f ca="1">IFERROR(INDEX(DATA_PROPERTY_MASTER!$F$5:$F$21,MATCH($A588,DATA_PROPERTY_MASTER!$A$5:$A$21,0)),"")</f>
        <v>Refi Watch</v>
      </c>
      <c r="I588" t="s">
        <v>1501</v>
      </c>
      <c r="J588" s="348" t="str">
        <f t="shared" ca="1" si="29"/>
        <v>Formula-linked</v>
      </c>
    </row>
    <row r="589" spans="1:10">
      <c r="A589" s="366" t="s">
        <v>470</v>
      </c>
      <c r="B589" s="366">
        <v>2025</v>
      </c>
      <c r="C589" s="366" t="s">
        <v>1502</v>
      </c>
      <c r="D589" s="366">
        <v>56</v>
      </c>
      <c r="E589" s="348">
        <f t="shared" ca="1" si="27"/>
        <v>-57637.715999999957</v>
      </c>
      <c r="F589" s="348" t="str">
        <f t="shared" si="28"/>
        <v>BLD_RG</v>
      </c>
      <c r="G589" s="348" t="str">
        <f>IFERROR(INDEX(DATA_PROPERTY_MASTER!$E$5:$E$21,MATCH($A589,DATA_PROPERTY_MASTER!$A$5:$A$21,0)),"")</f>
        <v>Yes</v>
      </c>
      <c r="H589" s="348" t="str">
        <f ca="1">IFERROR(INDEX(DATA_PROPERTY_MASTER!$F$5:$F$21,MATCH($A589,DATA_PROPERTY_MASTER!$A$5:$A$21,0)),"")</f>
        <v>Refi Watch</v>
      </c>
      <c r="I589" t="s">
        <v>1501</v>
      </c>
      <c r="J589" s="348" t="str">
        <f t="shared" ca="1" si="29"/>
        <v>Formula-linked</v>
      </c>
    </row>
    <row r="590" spans="1:10">
      <c r="A590" s="366" t="s">
        <v>470</v>
      </c>
      <c r="B590" s="366">
        <v>2025</v>
      </c>
      <c r="C590" s="366" t="s">
        <v>367</v>
      </c>
      <c r="D590" s="366">
        <v>61</v>
      </c>
      <c r="E590" s="348">
        <f t="shared" ca="1" si="27"/>
        <v>0</v>
      </c>
      <c r="F590" s="348" t="str">
        <f t="shared" si="28"/>
        <v>BLD_RG</v>
      </c>
      <c r="G590" s="348" t="str">
        <f>IFERROR(INDEX(DATA_PROPERTY_MASTER!$E$5:$E$21,MATCH($A590,DATA_PROPERTY_MASTER!$A$5:$A$21,0)),"")</f>
        <v>Yes</v>
      </c>
      <c r="H590" s="348" t="str">
        <f ca="1">IFERROR(INDEX(DATA_PROPERTY_MASTER!$F$5:$F$21,MATCH($A590,DATA_PROPERTY_MASTER!$A$5:$A$21,0)),"")</f>
        <v>Refi Watch</v>
      </c>
      <c r="I590" t="s">
        <v>1503</v>
      </c>
      <c r="J590" s="348" t="str">
        <f t="shared" ca="1" si="29"/>
        <v>Formula-linked</v>
      </c>
    </row>
    <row r="591" spans="1:10">
      <c r="A591" s="366" t="s">
        <v>470</v>
      </c>
      <c r="B591" s="366">
        <v>2025</v>
      </c>
      <c r="C591" s="366" t="s">
        <v>368</v>
      </c>
      <c r="D591" s="366">
        <v>62</v>
      </c>
      <c r="E591" s="348">
        <f t="shared" ca="1" si="27"/>
        <v>0</v>
      </c>
      <c r="F591" s="348" t="str">
        <f t="shared" si="28"/>
        <v>BLD_RG</v>
      </c>
      <c r="G591" s="348" t="str">
        <f>IFERROR(INDEX(DATA_PROPERTY_MASTER!$E$5:$E$21,MATCH($A591,DATA_PROPERTY_MASTER!$A$5:$A$21,0)),"")</f>
        <v>Yes</v>
      </c>
      <c r="H591" s="348" t="str">
        <f ca="1">IFERROR(INDEX(DATA_PROPERTY_MASTER!$F$5:$F$21,MATCH($A591,DATA_PROPERTY_MASTER!$A$5:$A$21,0)),"")</f>
        <v>Refi Watch</v>
      </c>
      <c r="I591" t="s">
        <v>1503</v>
      </c>
      <c r="J591" s="348" t="str">
        <f t="shared" ca="1" si="29"/>
        <v>Formula-linked</v>
      </c>
    </row>
    <row r="592" spans="1:10">
      <c r="A592" s="366" t="s">
        <v>470</v>
      </c>
      <c r="B592" s="366">
        <v>2025</v>
      </c>
      <c r="C592" s="366" t="s">
        <v>1504</v>
      </c>
      <c r="D592" s="366">
        <v>63</v>
      </c>
      <c r="E592" s="348">
        <f t="shared" ca="1" si="27"/>
        <v>0</v>
      </c>
      <c r="F592" s="348" t="str">
        <f t="shared" si="28"/>
        <v>BLD_RG</v>
      </c>
      <c r="G592" s="348" t="str">
        <f>IFERROR(INDEX(DATA_PROPERTY_MASTER!$E$5:$E$21,MATCH($A592,DATA_PROPERTY_MASTER!$A$5:$A$21,0)),"")</f>
        <v>Yes</v>
      </c>
      <c r="H592" s="348" t="str">
        <f ca="1">IFERROR(INDEX(DATA_PROPERTY_MASTER!$F$5:$F$21,MATCH($A592,DATA_PROPERTY_MASTER!$A$5:$A$21,0)),"")</f>
        <v>Refi Watch</v>
      </c>
      <c r="I592" t="s">
        <v>1503</v>
      </c>
      <c r="J592" s="348" t="str">
        <f t="shared" ca="1" si="29"/>
        <v>Formula-linked</v>
      </c>
    </row>
    <row r="593" spans="1:10">
      <c r="A593" s="366" t="s">
        <v>470</v>
      </c>
      <c r="B593" s="366">
        <v>2025</v>
      </c>
      <c r="C593" s="366" t="s">
        <v>370</v>
      </c>
      <c r="D593" s="366">
        <v>64</v>
      </c>
      <c r="E593" s="348">
        <f t="shared" ca="1" si="27"/>
        <v>1733057.1785599999</v>
      </c>
      <c r="F593" s="348" t="str">
        <f t="shared" si="28"/>
        <v>BLD_RG</v>
      </c>
      <c r="G593" s="348" t="str">
        <f>IFERROR(INDEX(DATA_PROPERTY_MASTER!$E$5:$E$21,MATCH($A593,DATA_PROPERTY_MASTER!$A$5:$A$21,0)),"")</f>
        <v>Yes</v>
      </c>
      <c r="H593" s="348" t="str">
        <f ca="1">IFERROR(INDEX(DATA_PROPERTY_MASTER!$F$5:$F$21,MATCH($A593,DATA_PROPERTY_MASTER!$A$5:$A$21,0)),"")</f>
        <v>Refi Watch</v>
      </c>
      <c r="I593" t="s">
        <v>1498</v>
      </c>
      <c r="J593" s="348" t="str">
        <f t="shared" ca="1" si="29"/>
        <v>Formula-linked</v>
      </c>
    </row>
    <row r="594" spans="1:10">
      <c r="A594" s="366" t="s">
        <v>470</v>
      </c>
      <c r="B594" s="366">
        <v>2025</v>
      </c>
      <c r="C594" s="366" t="s">
        <v>544</v>
      </c>
      <c r="D594" s="366">
        <v>68</v>
      </c>
      <c r="E594" s="348">
        <f t="shared" ca="1" si="27"/>
        <v>-57637.715999999957</v>
      </c>
      <c r="F594" s="348" t="str">
        <f t="shared" si="28"/>
        <v>BLD_RG</v>
      </c>
      <c r="G594" s="348" t="str">
        <f>IFERROR(INDEX(DATA_PROPERTY_MASTER!$E$5:$E$21,MATCH($A594,DATA_PROPERTY_MASTER!$A$5:$A$21,0)),"")</f>
        <v>Yes</v>
      </c>
      <c r="H594" s="348" t="str">
        <f ca="1">IFERROR(INDEX(DATA_PROPERTY_MASTER!$F$5:$F$21,MATCH($A594,DATA_PROPERTY_MASTER!$A$5:$A$21,0)),"")</f>
        <v>Refi Watch</v>
      </c>
      <c r="I594" t="s">
        <v>1501</v>
      </c>
      <c r="J594" s="348" t="str">
        <f t="shared" ca="1" si="29"/>
        <v>Formula-linked</v>
      </c>
    </row>
    <row r="595" spans="1:10">
      <c r="A595" s="366" t="s">
        <v>470</v>
      </c>
      <c r="B595" s="366">
        <v>2025</v>
      </c>
      <c r="C595" s="366" t="s">
        <v>378</v>
      </c>
      <c r="D595" s="366">
        <v>73</v>
      </c>
      <c r="E595" s="348">
        <f t="shared" ca="1" si="27"/>
        <v>3891809.4000000013</v>
      </c>
      <c r="F595" s="348" t="str">
        <f t="shared" si="28"/>
        <v>BLD_RG</v>
      </c>
      <c r="G595" s="348" t="str">
        <f>IFERROR(INDEX(DATA_PROPERTY_MASTER!$E$5:$E$21,MATCH($A595,DATA_PROPERTY_MASTER!$A$5:$A$21,0)),"")</f>
        <v>Yes</v>
      </c>
      <c r="H595" s="348" t="str">
        <f ca="1">IFERROR(INDEX(DATA_PROPERTY_MASTER!$F$5:$F$21,MATCH($A595,DATA_PROPERTY_MASTER!$A$5:$A$21,0)),"")</f>
        <v>Refi Watch</v>
      </c>
      <c r="I595" t="s">
        <v>1505</v>
      </c>
      <c r="J595" s="348" t="str">
        <f t="shared" ca="1" si="29"/>
        <v>Formula-linked</v>
      </c>
    </row>
    <row r="596" spans="1:10">
      <c r="A596" s="366" t="s">
        <v>470</v>
      </c>
      <c r="B596" s="366">
        <v>2025</v>
      </c>
      <c r="C596" s="366" t="s">
        <v>1506</v>
      </c>
      <c r="D596" s="366">
        <v>77</v>
      </c>
      <c r="E596" s="348">
        <f t="shared" ca="1" si="27"/>
        <v>2158752.2214400014</v>
      </c>
      <c r="F596" s="348" t="str">
        <f t="shared" si="28"/>
        <v>BLD_RG</v>
      </c>
      <c r="G596" s="348" t="str">
        <f>IFERROR(INDEX(DATA_PROPERTY_MASTER!$E$5:$E$21,MATCH($A596,DATA_PROPERTY_MASTER!$A$5:$A$21,0)),"")</f>
        <v>Yes</v>
      </c>
      <c r="H596" s="348" t="str">
        <f ca="1">IFERROR(INDEX(DATA_PROPERTY_MASTER!$F$5:$F$21,MATCH($A596,DATA_PROPERTY_MASTER!$A$5:$A$21,0)),"")</f>
        <v>Refi Watch</v>
      </c>
      <c r="I596" t="s">
        <v>1505</v>
      </c>
      <c r="J596" s="348" t="str">
        <f t="shared" ca="1" si="29"/>
        <v>Formula-linked</v>
      </c>
    </row>
    <row r="597" spans="1:10">
      <c r="A597" s="366" t="s">
        <v>470</v>
      </c>
      <c r="B597" s="366">
        <v>2029</v>
      </c>
      <c r="C597" s="366" t="s">
        <v>341</v>
      </c>
      <c r="D597" s="366">
        <v>24</v>
      </c>
      <c r="E597" s="348">
        <f t="shared" ca="1" si="27"/>
        <v>486116.56381909823</v>
      </c>
      <c r="F597" s="348" t="str">
        <f t="shared" si="28"/>
        <v>BLD_RG</v>
      </c>
      <c r="G597" s="348" t="str">
        <f>IFERROR(INDEX(DATA_PROPERTY_MASTER!$E$5:$E$21,MATCH($A597,DATA_PROPERTY_MASTER!$A$5:$A$21,0)),"")</f>
        <v>Yes</v>
      </c>
      <c r="H597" s="348" t="str">
        <f ca="1">IFERROR(INDEX(DATA_PROPERTY_MASTER!$F$5:$F$21,MATCH($A597,DATA_PROPERTY_MASTER!$A$5:$A$21,0)),"")</f>
        <v>Refi Watch</v>
      </c>
      <c r="I597" t="s">
        <v>1495</v>
      </c>
      <c r="J597" s="348" t="str">
        <f t="shared" ca="1" si="29"/>
        <v>Formula-linked</v>
      </c>
    </row>
    <row r="598" spans="1:10">
      <c r="A598" s="366" t="s">
        <v>470</v>
      </c>
      <c r="B598" s="366">
        <v>2029</v>
      </c>
      <c r="C598" s="366" t="s">
        <v>355</v>
      </c>
      <c r="D598" s="366">
        <v>39</v>
      </c>
      <c r="E598" s="348">
        <f t="shared" ca="1" si="27"/>
        <v>252207.46723328004</v>
      </c>
      <c r="F598" s="348" t="str">
        <f t="shared" si="28"/>
        <v>BLD_RG</v>
      </c>
      <c r="G598" s="348" t="str">
        <f>IFERROR(INDEX(DATA_PROPERTY_MASTER!$E$5:$E$21,MATCH($A598,DATA_PROPERTY_MASTER!$A$5:$A$21,0)),"")</f>
        <v>Yes</v>
      </c>
      <c r="H598" s="348" t="str">
        <f ca="1">IFERROR(INDEX(DATA_PROPERTY_MASTER!$F$5:$F$21,MATCH($A598,DATA_PROPERTY_MASTER!$A$5:$A$21,0)),"")</f>
        <v>Refi Watch</v>
      </c>
      <c r="I598" t="s">
        <v>1496</v>
      </c>
      <c r="J598" s="348" t="str">
        <f t="shared" ca="1" si="29"/>
        <v>Formula-linked</v>
      </c>
    </row>
    <row r="599" spans="1:10">
      <c r="A599" s="366" t="s">
        <v>470</v>
      </c>
      <c r="B599" s="366">
        <v>2029</v>
      </c>
      <c r="C599" s="366" t="s">
        <v>1497</v>
      </c>
      <c r="D599" s="366">
        <v>41</v>
      </c>
      <c r="E599" s="348">
        <f t="shared" ca="1" si="27"/>
        <v>233909.09658581819</v>
      </c>
      <c r="F599" s="348" t="str">
        <f t="shared" si="28"/>
        <v>BLD_RG</v>
      </c>
      <c r="G599" s="348" t="str">
        <f>IFERROR(INDEX(DATA_PROPERTY_MASTER!$E$5:$E$21,MATCH($A599,DATA_PROPERTY_MASTER!$A$5:$A$21,0)),"")</f>
        <v>Yes</v>
      </c>
      <c r="H599" s="348" t="str">
        <f ca="1">IFERROR(INDEX(DATA_PROPERTY_MASTER!$F$5:$F$21,MATCH($A599,DATA_PROPERTY_MASTER!$A$5:$A$21,0)),"")</f>
        <v>Refi Watch</v>
      </c>
      <c r="I599" t="s">
        <v>1497</v>
      </c>
      <c r="J599" s="348" t="str">
        <f t="shared" ca="1" si="29"/>
        <v>Formula-linked</v>
      </c>
    </row>
    <row r="600" spans="1:10">
      <c r="A600" s="366" t="s">
        <v>470</v>
      </c>
      <c r="B600" s="366">
        <v>2029</v>
      </c>
      <c r="C600" s="366" t="s">
        <v>21</v>
      </c>
      <c r="D600" s="366">
        <v>45</v>
      </c>
      <c r="E600" s="348">
        <f t="shared" ca="1" si="27"/>
        <v>227739.23327381819</v>
      </c>
      <c r="F600" s="348" t="str">
        <f t="shared" si="28"/>
        <v>BLD_RG</v>
      </c>
      <c r="G600" s="348" t="str">
        <f>IFERROR(INDEX(DATA_PROPERTY_MASTER!$E$5:$E$21,MATCH($A600,DATA_PROPERTY_MASTER!$A$5:$A$21,0)),"")</f>
        <v>Yes</v>
      </c>
      <c r="H600" s="348" t="str">
        <f ca="1">IFERROR(INDEX(DATA_PROPERTY_MASTER!$F$5:$F$21,MATCH($A600,DATA_PROPERTY_MASTER!$A$5:$A$21,0)),"")</f>
        <v>Refi Watch</v>
      </c>
      <c r="I600" t="s">
        <v>1497</v>
      </c>
      <c r="J600" s="348" t="str">
        <f t="shared" ca="1" si="29"/>
        <v>Formula-linked</v>
      </c>
    </row>
    <row r="601" spans="1:10">
      <c r="A601" s="366" t="s">
        <v>470</v>
      </c>
      <c r="B601" s="366">
        <v>2029</v>
      </c>
      <c r="C601" s="366" t="s">
        <v>23</v>
      </c>
      <c r="D601" s="366">
        <v>48</v>
      </c>
      <c r="E601" s="348">
        <f t="shared" ca="1" si="27"/>
        <v>291146.28000000003</v>
      </c>
      <c r="F601" s="348" t="str">
        <f t="shared" si="28"/>
        <v>BLD_RG</v>
      </c>
      <c r="G601" s="348" t="str">
        <f>IFERROR(INDEX(DATA_PROPERTY_MASTER!$E$5:$E$21,MATCH($A601,DATA_PROPERTY_MASTER!$A$5:$A$21,0)),"")</f>
        <v>Yes</v>
      </c>
      <c r="H601" s="348" t="str">
        <f ca="1">IFERROR(INDEX(DATA_PROPERTY_MASTER!$F$5:$F$21,MATCH($A601,DATA_PROPERTY_MASTER!$A$5:$A$21,0)),"")</f>
        <v>Refi Watch</v>
      </c>
      <c r="I601" t="s">
        <v>1498</v>
      </c>
      <c r="J601" s="348" t="str">
        <f t="shared" ca="1" si="29"/>
        <v>Formula-linked</v>
      </c>
    </row>
    <row r="602" spans="1:10">
      <c r="A602" s="366" t="s">
        <v>470</v>
      </c>
      <c r="B602" s="366">
        <v>2029</v>
      </c>
      <c r="C602" s="366" t="s">
        <v>213</v>
      </c>
      <c r="D602" s="366">
        <v>50</v>
      </c>
      <c r="E602" s="348">
        <f t="shared" ca="1" si="27"/>
        <v>0.80340747127463952</v>
      </c>
      <c r="F602" s="348" t="str">
        <f t="shared" si="28"/>
        <v>BLD_RG</v>
      </c>
      <c r="G602" s="348" t="str">
        <f>IFERROR(INDEX(DATA_PROPERTY_MASTER!$E$5:$E$21,MATCH($A602,DATA_PROPERTY_MASTER!$A$5:$A$21,0)),"")</f>
        <v>Yes</v>
      </c>
      <c r="H602" s="348" t="str">
        <f ca="1">IFERROR(INDEX(DATA_PROPERTY_MASTER!$F$5:$F$21,MATCH($A602,DATA_PROPERTY_MASTER!$A$5:$A$21,0)),"")</f>
        <v>Refi Watch</v>
      </c>
      <c r="I602" t="s">
        <v>1499</v>
      </c>
      <c r="J602" s="348" t="str">
        <f t="shared" ca="1" si="29"/>
        <v>Formula-linked</v>
      </c>
    </row>
    <row r="603" spans="1:10">
      <c r="A603" s="366" t="s">
        <v>470</v>
      </c>
      <c r="B603" s="366">
        <v>2029</v>
      </c>
      <c r="C603" s="366" t="s">
        <v>1500</v>
      </c>
      <c r="D603" s="366">
        <v>52</v>
      </c>
      <c r="E603" s="348">
        <f t="shared" ca="1" si="27"/>
        <v>-57237.18341418184</v>
      </c>
      <c r="F603" s="348" t="str">
        <f t="shared" si="28"/>
        <v>BLD_RG</v>
      </c>
      <c r="G603" s="348" t="str">
        <f>IFERROR(INDEX(DATA_PROPERTY_MASTER!$E$5:$E$21,MATCH($A603,DATA_PROPERTY_MASTER!$A$5:$A$21,0)),"")</f>
        <v>Yes</v>
      </c>
      <c r="H603" s="348" t="str">
        <f ca="1">IFERROR(INDEX(DATA_PROPERTY_MASTER!$F$5:$F$21,MATCH($A603,DATA_PROPERTY_MASTER!$A$5:$A$21,0)),"")</f>
        <v>Refi Watch</v>
      </c>
      <c r="I603" t="s">
        <v>1501</v>
      </c>
      <c r="J603" s="348" t="str">
        <f t="shared" ca="1" si="29"/>
        <v>Formula-linked</v>
      </c>
    </row>
    <row r="604" spans="1:10">
      <c r="A604" s="366" t="s">
        <v>470</v>
      </c>
      <c r="B604" s="366">
        <v>2029</v>
      </c>
      <c r="C604" s="366" t="s">
        <v>27</v>
      </c>
      <c r="D604" s="366">
        <v>54</v>
      </c>
      <c r="E604" s="348">
        <f t="shared" ca="1" si="27"/>
        <v>0</v>
      </c>
      <c r="F604" s="348" t="str">
        <f t="shared" si="28"/>
        <v>BLD_RG</v>
      </c>
      <c r="G604" s="348" t="str">
        <f>IFERROR(INDEX(DATA_PROPERTY_MASTER!$E$5:$E$21,MATCH($A604,DATA_PROPERTY_MASTER!$A$5:$A$21,0)),"")</f>
        <v>Yes</v>
      </c>
      <c r="H604" s="348" t="str">
        <f ca="1">IFERROR(INDEX(DATA_PROPERTY_MASTER!$F$5:$F$21,MATCH($A604,DATA_PROPERTY_MASTER!$A$5:$A$21,0)),"")</f>
        <v>Refi Watch</v>
      </c>
      <c r="I604" t="s">
        <v>1501</v>
      </c>
      <c r="J604" s="348" t="str">
        <f t="shared" ca="1" si="29"/>
        <v>Formula-linked</v>
      </c>
    </row>
    <row r="605" spans="1:10">
      <c r="A605" s="366" t="s">
        <v>470</v>
      </c>
      <c r="B605" s="366">
        <v>2029</v>
      </c>
      <c r="C605" s="366" t="s">
        <v>1502</v>
      </c>
      <c r="D605" s="366">
        <v>56</v>
      </c>
      <c r="E605" s="348">
        <f t="shared" ca="1" si="27"/>
        <v>-57237.18341418184</v>
      </c>
      <c r="F605" s="348" t="str">
        <f t="shared" si="28"/>
        <v>BLD_RG</v>
      </c>
      <c r="G605" s="348" t="str">
        <f>IFERROR(INDEX(DATA_PROPERTY_MASTER!$E$5:$E$21,MATCH($A605,DATA_PROPERTY_MASTER!$A$5:$A$21,0)),"")</f>
        <v>Yes</v>
      </c>
      <c r="H605" s="348" t="str">
        <f ca="1">IFERROR(INDEX(DATA_PROPERTY_MASTER!$F$5:$F$21,MATCH($A605,DATA_PROPERTY_MASTER!$A$5:$A$21,0)),"")</f>
        <v>Refi Watch</v>
      </c>
      <c r="I605" t="s">
        <v>1501</v>
      </c>
      <c r="J605" s="348" t="str">
        <f t="shared" ca="1" si="29"/>
        <v>Formula-linked</v>
      </c>
    </row>
    <row r="606" spans="1:10">
      <c r="A606" s="366" t="s">
        <v>470</v>
      </c>
      <c r="B606" s="366">
        <v>2029</v>
      </c>
      <c r="C606" s="366" t="s">
        <v>367</v>
      </c>
      <c r="D606" s="366">
        <v>61</v>
      </c>
      <c r="E606" s="348">
        <f t="shared" ca="1" si="27"/>
        <v>0</v>
      </c>
      <c r="F606" s="348" t="str">
        <f t="shared" si="28"/>
        <v>BLD_RG</v>
      </c>
      <c r="G606" s="348" t="str">
        <f>IFERROR(INDEX(DATA_PROPERTY_MASTER!$E$5:$E$21,MATCH($A606,DATA_PROPERTY_MASTER!$A$5:$A$21,0)),"")</f>
        <v>Yes</v>
      </c>
      <c r="H606" s="348" t="str">
        <f ca="1">IFERROR(INDEX(DATA_PROPERTY_MASTER!$F$5:$F$21,MATCH($A606,DATA_PROPERTY_MASTER!$A$5:$A$21,0)),"")</f>
        <v>Refi Watch</v>
      </c>
      <c r="I606" t="s">
        <v>1503</v>
      </c>
      <c r="J606" s="348" t="str">
        <f t="shared" ca="1" si="29"/>
        <v>Formula-linked</v>
      </c>
    </row>
    <row r="607" spans="1:10">
      <c r="A607" s="366" t="s">
        <v>470</v>
      </c>
      <c r="B607" s="366">
        <v>2029</v>
      </c>
      <c r="C607" s="366" t="s">
        <v>368</v>
      </c>
      <c r="D607" s="366">
        <v>62</v>
      </c>
      <c r="E607" s="348">
        <f t="shared" ca="1" si="27"/>
        <v>0</v>
      </c>
      <c r="F607" s="348" t="str">
        <f t="shared" si="28"/>
        <v>BLD_RG</v>
      </c>
      <c r="G607" s="348" t="str">
        <f>IFERROR(INDEX(DATA_PROPERTY_MASTER!$E$5:$E$21,MATCH($A607,DATA_PROPERTY_MASTER!$A$5:$A$21,0)),"")</f>
        <v>Yes</v>
      </c>
      <c r="H607" s="348" t="str">
        <f ca="1">IFERROR(INDEX(DATA_PROPERTY_MASTER!$F$5:$F$21,MATCH($A607,DATA_PROPERTY_MASTER!$A$5:$A$21,0)),"")</f>
        <v>Refi Watch</v>
      </c>
      <c r="I607" t="s">
        <v>1503</v>
      </c>
      <c r="J607" s="348" t="str">
        <f t="shared" ca="1" si="29"/>
        <v>Formula-linked</v>
      </c>
    </row>
    <row r="608" spans="1:10">
      <c r="A608" s="366" t="s">
        <v>470</v>
      </c>
      <c r="B608" s="366">
        <v>2029</v>
      </c>
      <c r="C608" s="366" t="s">
        <v>1504</v>
      </c>
      <c r="D608" s="366">
        <v>63</v>
      </c>
      <c r="E608" s="348">
        <f t="shared" ca="1" si="27"/>
        <v>0</v>
      </c>
      <c r="F608" s="348" t="str">
        <f t="shared" si="28"/>
        <v>BLD_RG</v>
      </c>
      <c r="G608" s="348" t="str">
        <f>IFERROR(INDEX(DATA_PROPERTY_MASTER!$E$5:$E$21,MATCH($A608,DATA_PROPERTY_MASTER!$A$5:$A$21,0)),"")</f>
        <v>Yes</v>
      </c>
      <c r="H608" s="348" t="str">
        <f ca="1">IFERROR(INDEX(DATA_PROPERTY_MASTER!$F$5:$F$21,MATCH($A608,DATA_PROPERTY_MASTER!$A$5:$A$21,0)),"")</f>
        <v>Refi Watch</v>
      </c>
      <c r="I608" t="s">
        <v>1503</v>
      </c>
      <c r="J608" s="348" t="str">
        <f t="shared" ca="1" si="29"/>
        <v>Formula-linked</v>
      </c>
    </row>
    <row r="609" spans="1:10">
      <c r="A609" s="366" t="s">
        <v>470</v>
      </c>
      <c r="B609" s="366">
        <v>2029</v>
      </c>
      <c r="C609" s="366" t="s">
        <v>370</v>
      </c>
      <c r="D609" s="366">
        <v>64</v>
      </c>
      <c r="E609" s="348">
        <f t="shared" ca="1" si="27"/>
        <v>698331.50927209249</v>
      </c>
      <c r="F609" s="348" t="str">
        <f t="shared" si="28"/>
        <v>BLD_RG</v>
      </c>
      <c r="G609" s="348" t="str">
        <f>IFERROR(INDEX(DATA_PROPERTY_MASTER!$E$5:$E$21,MATCH($A609,DATA_PROPERTY_MASTER!$A$5:$A$21,0)),"")</f>
        <v>Yes</v>
      </c>
      <c r="H609" s="348" t="str">
        <f ca="1">IFERROR(INDEX(DATA_PROPERTY_MASTER!$F$5:$F$21,MATCH($A609,DATA_PROPERTY_MASTER!$A$5:$A$21,0)),"")</f>
        <v>Refi Watch</v>
      </c>
      <c r="I609" t="s">
        <v>1498</v>
      </c>
      <c r="J609" s="348" t="str">
        <f t="shared" ca="1" si="29"/>
        <v>Formula-linked</v>
      </c>
    </row>
    <row r="610" spans="1:10">
      <c r="A610" s="366" t="s">
        <v>470</v>
      </c>
      <c r="B610" s="366">
        <v>2029</v>
      </c>
      <c r="C610" s="366" t="s">
        <v>544</v>
      </c>
      <c r="D610" s="366">
        <v>68</v>
      </c>
      <c r="E610" s="348">
        <f t="shared" ca="1" si="27"/>
        <v>-57237.18341418184</v>
      </c>
      <c r="F610" s="348" t="str">
        <f t="shared" si="28"/>
        <v>BLD_RG</v>
      </c>
      <c r="G610" s="348" t="str">
        <f>IFERROR(INDEX(DATA_PROPERTY_MASTER!$E$5:$E$21,MATCH($A610,DATA_PROPERTY_MASTER!$A$5:$A$21,0)),"")</f>
        <v>Yes</v>
      </c>
      <c r="H610" s="348" t="str">
        <f ca="1">IFERROR(INDEX(DATA_PROPERTY_MASTER!$F$5:$F$21,MATCH($A610,DATA_PROPERTY_MASTER!$A$5:$A$21,0)),"")</f>
        <v>Refi Watch</v>
      </c>
      <c r="I610" t="s">
        <v>1501</v>
      </c>
      <c r="J610" s="348" t="str">
        <f t="shared" ca="1" si="29"/>
        <v>Formula-linked</v>
      </c>
    </row>
    <row r="611" spans="1:10">
      <c r="A611" s="366" t="s">
        <v>470</v>
      </c>
      <c r="B611" s="366">
        <v>2029</v>
      </c>
      <c r="C611" s="366" t="s">
        <v>378</v>
      </c>
      <c r="D611" s="366">
        <v>73</v>
      </c>
      <c r="E611" s="348">
        <f t="shared" ca="1" si="27"/>
        <v>3898484.9430969697</v>
      </c>
      <c r="F611" s="348" t="str">
        <f t="shared" si="28"/>
        <v>BLD_RG</v>
      </c>
      <c r="G611" s="348" t="str">
        <f>IFERROR(INDEX(DATA_PROPERTY_MASTER!$E$5:$E$21,MATCH($A611,DATA_PROPERTY_MASTER!$A$5:$A$21,0)),"")</f>
        <v>Yes</v>
      </c>
      <c r="H611" s="348" t="str">
        <f ca="1">IFERROR(INDEX(DATA_PROPERTY_MASTER!$F$5:$F$21,MATCH($A611,DATA_PROPERTY_MASTER!$A$5:$A$21,0)),"")</f>
        <v>Refi Watch</v>
      </c>
      <c r="I611" t="s">
        <v>1505</v>
      </c>
      <c r="J611" s="348" t="str">
        <f t="shared" ca="1" si="29"/>
        <v>Formula-linked</v>
      </c>
    </row>
    <row r="612" spans="1:10">
      <c r="A612" s="366" t="s">
        <v>470</v>
      </c>
      <c r="B612" s="366">
        <v>2029</v>
      </c>
      <c r="C612" s="366" t="s">
        <v>1506</v>
      </c>
      <c r="D612" s="366">
        <v>77</v>
      </c>
      <c r="E612" s="348">
        <f t="shared" ca="1" si="27"/>
        <v>3200153.4338248773</v>
      </c>
      <c r="F612" s="348" t="str">
        <f t="shared" si="28"/>
        <v>BLD_RG</v>
      </c>
      <c r="G612" s="348" t="str">
        <f>IFERROR(INDEX(DATA_PROPERTY_MASTER!$E$5:$E$21,MATCH($A612,DATA_PROPERTY_MASTER!$A$5:$A$21,0)),"")</f>
        <v>Yes</v>
      </c>
      <c r="H612" s="348" t="str">
        <f ca="1">IFERROR(INDEX(DATA_PROPERTY_MASTER!$F$5:$F$21,MATCH($A612,DATA_PROPERTY_MASTER!$A$5:$A$21,0)),"")</f>
        <v>Refi Watch</v>
      </c>
      <c r="I612" t="s">
        <v>1505</v>
      </c>
      <c r="J612" s="348" t="str">
        <f t="shared" ca="1" si="29"/>
        <v>Formula-linked</v>
      </c>
    </row>
    <row r="613" spans="1:10">
      <c r="A613" s="366" t="s">
        <v>470</v>
      </c>
      <c r="B613" s="366">
        <v>2035</v>
      </c>
      <c r="C613" s="366" t="s">
        <v>341</v>
      </c>
      <c r="D613" s="366">
        <v>24</v>
      </c>
      <c r="E613" s="348">
        <f t="shared" ca="1" si="27"/>
        <v>547446.20555481839</v>
      </c>
      <c r="F613" s="348" t="str">
        <f t="shared" si="28"/>
        <v>BLD_RG</v>
      </c>
      <c r="G613" s="348" t="str">
        <f>IFERROR(INDEX(DATA_PROPERTY_MASTER!$E$5:$E$21,MATCH($A613,DATA_PROPERTY_MASTER!$A$5:$A$21,0)),"")</f>
        <v>Yes</v>
      </c>
      <c r="H613" s="348" t="str">
        <f ca="1">IFERROR(INDEX(DATA_PROPERTY_MASTER!$F$5:$F$21,MATCH($A613,DATA_PROPERTY_MASTER!$A$5:$A$21,0)),"")</f>
        <v>Refi Watch</v>
      </c>
      <c r="I613" t="s">
        <v>1495</v>
      </c>
      <c r="J613" s="348" t="str">
        <f t="shared" ca="1" si="29"/>
        <v>Formula-linked</v>
      </c>
    </row>
    <row r="614" spans="1:10">
      <c r="A614" s="366" t="s">
        <v>470</v>
      </c>
      <c r="B614" s="366">
        <v>2035</v>
      </c>
      <c r="C614" s="366" t="s">
        <v>355</v>
      </c>
      <c r="D614" s="366">
        <v>39</v>
      </c>
      <c r="E614" s="348">
        <f t="shared" ca="1" si="27"/>
        <v>314520.17069173121</v>
      </c>
      <c r="F614" s="348" t="str">
        <f t="shared" si="28"/>
        <v>BLD_RG</v>
      </c>
      <c r="G614" s="348" t="str">
        <f>IFERROR(INDEX(DATA_PROPERTY_MASTER!$E$5:$E$21,MATCH($A614,DATA_PROPERTY_MASTER!$A$5:$A$21,0)),"")</f>
        <v>Yes</v>
      </c>
      <c r="H614" s="348" t="str">
        <f ca="1">IFERROR(INDEX(DATA_PROPERTY_MASTER!$F$5:$F$21,MATCH($A614,DATA_PROPERTY_MASTER!$A$5:$A$21,0)),"")</f>
        <v>Refi Watch</v>
      </c>
      <c r="I614" t="s">
        <v>1496</v>
      </c>
      <c r="J614" s="348" t="str">
        <f t="shared" ca="1" si="29"/>
        <v>Formula-linked</v>
      </c>
    </row>
    <row r="615" spans="1:10">
      <c r="A615" s="366" t="s">
        <v>470</v>
      </c>
      <c r="B615" s="366">
        <v>2035</v>
      </c>
      <c r="C615" s="366" t="s">
        <v>1497</v>
      </c>
      <c r="D615" s="366">
        <v>41</v>
      </c>
      <c r="E615" s="348">
        <f t="shared" ca="1" si="27"/>
        <v>232926.03486308717</v>
      </c>
      <c r="F615" s="348" t="str">
        <f t="shared" si="28"/>
        <v>BLD_RG</v>
      </c>
      <c r="G615" s="348" t="str">
        <f>IFERROR(INDEX(DATA_PROPERTY_MASTER!$E$5:$E$21,MATCH($A615,DATA_PROPERTY_MASTER!$A$5:$A$21,0)),"")</f>
        <v>Yes</v>
      </c>
      <c r="H615" s="348" t="str">
        <f ca="1">IFERROR(INDEX(DATA_PROPERTY_MASTER!$F$5:$F$21,MATCH($A615,DATA_PROPERTY_MASTER!$A$5:$A$21,0)),"")</f>
        <v>Refi Watch</v>
      </c>
      <c r="I615" t="s">
        <v>1497</v>
      </c>
      <c r="J615" s="348" t="str">
        <f t="shared" ca="1" si="29"/>
        <v>Formula-linked</v>
      </c>
    </row>
    <row r="616" spans="1:10">
      <c r="A616" s="366" t="s">
        <v>470</v>
      </c>
      <c r="B616" s="366">
        <v>2035</v>
      </c>
      <c r="C616" s="366" t="s">
        <v>21</v>
      </c>
      <c r="D616" s="366">
        <v>45</v>
      </c>
      <c r="E616" s="348">
        <f t="shared" ca="1" si="27"/>
        <v>225977.76666911706</v>
      </c>
      <c r="F616" s="348" t="str">
        <f t="shared" si="28"/>
        <v>BLD_RG</v>
      </c>
      <c r="G616" s="348" t="str">
        <f>IFERROR(INDEX(DATA_PROPERTY_MASTER!$E$5:$E$21,MATCH($A616,DATA_PROPERTY_MASTER!$A$5:$A$21,0)),"")</f>
        <v>Yes</v>
      </c>
      <c r="H616" s="348" t="str">
        <f ca="1">IFERROR(INDEX(DATA_PROPERTY_MASTER!$F$5:$F$21,MATCH($A616,DATA_PROPERTY_MASTER!$A$5:$A$21,0)),"")</f>
        <v>Refi Watch</v>
      </c>
      <c r="I616" t="s">
        <v>1497</v>
      </c>
      <c r="J616" s="348" t="str">
        <f t="shared" ca="1" si="29"/>
        <v>Formula-linked</v>
      </c>
    </row>
    <row r="617" spans="1:10">
      <c r="A617" s="366" t="s">
        <v>470</v>
      </c>
      <c r="B617" s="366">
        <v>2035</v>
      </c>
      <c r="C617" s="366" t="s">
        <v>23</v>
      </c>
      <c r="D617" s="366">
        <v>48</v>
      </c>
      <c r="E617" s="348">
        <f t="shared" ca="1" si="27"/>
        <v>0</v>
      </c>
      <c r="F617" s="348" t="str">
        <f t="shared" si="28"/>
        <v>BLD_RG</v>
      </c>
      <c r="G617" s="348" t="str">
        <f>IFERROR(INDEX(DATA_PROPERTY_MASTER!$E$5:$E$21,MATCH($A617,DATA_PROPERTY_MASTER!$A$5:$A$21,0)),"")</f>
        <v>Yes</v>
      </c>
      <c r="H617" s="348" t="str">
        <f ca="1">IFERROR(INDEX(DATA_PROPERTY_MASTER!$F$5:$F$21,MATCH($A617,DATA_PROPERTY_MASTER!$A$5:$A$21,0)),"")</f>
        <v>Refi Watch</v>
      </c>
      <c r="I617" t="s">
        <v>1498</v>
      </c>
      <c r="J617" s="348" t="str">
        <f t="shared" ca="1" si="29"/>
        <v>Formula-linked</v>
      </c>
    </row>
    <row r="618" spans="1:10">
      <c r="A618" s="366" t="s">
        <v>470</v>
      </c>
      <c r="B618" s="366">
        <v>2035</v>
      </c>
      <c r="C618" s="366" t="s">
        <v>213</v>
      </c>
      <c r="D618" s="366">
        <v>50</v>
      </c>
      <c r="E618" s="348" t="str">
        <f t="shared" ca="1" si="27"/>
        <v/>
      </c>
      <c r="F618" s="348" t="str">
        <f t="shared" si="28"/>
        <v>BLD_RG</v>
      </c>
      <c r="G618" s="348" t="str">
        <f>IFERROR(INDEX(DATA_PROPERTY_MASTER!$E$5:$E$21,MATCH($A618,DATA_PROPERTY_MASTER!$A$5:$A$21,0)),"")</f>
        <v>Yes</v>
      </c>
      <c r="H618" s="348" t="str">
        <f ca="1">IFERROR(INDEX(DATA_PROPERTY_MASTER!$F$5:$F$21,MATCH($A618,DATA_PROPERTY_MASTER!$A$5:$A$21,0)),"")</f>
        <v>Refi Watch</v>
      </c>
      <c r="I618" t="s">
        <v>1499</v>
      </c>
      <c r="J618" s="348" t="str">
        <f t="shared" ca="1" si="29"/>
        <v>Review</v>
      </c>
    </row>
    <row r="619" spans="1:10">
      <c r="A619" s="366" t="s">
        <v>470</v>
      </c>
      <c r="B619" s="366">
        <v>2035</v>
      </c>
      <c r="C619" s="366" t="s">
        <v>1500</v>
      </c>
      <c r="D619" s="366">
        <v>52</v>
      </c>
      <c r="E619" s="348">
        <f t="shared" ca="1" si="27"/>
        <v>232926.03486308717</v>
      </c>
      <c r="F619" s="348" t="str">
        <f t="shared" si="28"/>
        <v>BLD_RG</v>
      </c>
      <c r="G619" s="348" t="str">
        <f>IFERROR(INDEX(DATA_PROPERTY_MASTER!$E$5:$E$21,MATCH($A619,DATA_PROPERTY_MASTER!$A$5:$A$21,0)),"")</f>
        <v>Yes</v>
      </c>
      <c r="H619" s="348" t="str">
        <f ca="1">IFERROR(INDEX(DATA_PROPERTY_MASTER!$F$5:$F$21,MATCH($A619,DATA_PROPERTY_MASTER!$A$5:$A$21,0)),"")</f>
        <v>Refi Watch</v>
      </c>
      <c r="I619" t="s">
        <v>1501</v>
      </c>
      <c r="J619" s="348" t="str">
        <f t="shared" ca="1" si="29"/>
        <v>Formula-linked</v>
      </c>
    </row>
    <row r="620" spans="1:10">
      <c r="A620" s="366" t="s">
        <v>470</v>
      </c>
      <c r="B620" s="366">
        <v>2035</v>
      </c>
      <c r="C620" s="366" t="s">
        <v>27</v>
      </c>
      <c r="D620" s="366">
        <v>54</v>
      </c>
      <c r="E620" s="348">
        <f t="shared" ca="1" si="27"/>
        <v>139755.6209178523</v>
      </c>
      <c r="F620" s="348" t="str">
        <f t="shared" si="28"/>
        <v>BLD_RG</v>
      </c>
      <c r="G620" s="348" t="str">
        <f>IFERROR(INDEX(DATA_PROPERTY_MASTER!$E$5:$E$21,MATCH($A620,DATA_PROPERTY_MASTER!$A$5:$A$21,0)),"")</f>
        <v>Yes</v>
      </c>
      <c r="H620" s="348" t="str">
        <f ca="1">IFERROR(INDEX(DATA_PROPERTY_MASTER!$F$5:$F$21,MATCH($A620,DATA_PROPERTY_MASTER!$A$5:$A$21,0)),"")</f>
        <v>Refi Watch</v>
      </c>
      <c r="I620" t="s">
        <v>1501</v>
      </c>
      <c r="J620" s="348" t="str">
        <f t="shared" ca="1" si="29"/>
        <v>Formula-linked</v>
      </c>
    </row>
    <row r="621" spans="1:10">
      <c r="A621" s="366" t="s">
        <v>470</v>
      </c>
      <c r="B621" s="366">
        <v>2035</v>
      </c>
      <c r="C621" s="366" t="s">
        <v>1502</v>
      </c>
      <c r="D621" s="366">
        <v>56</v>
      </c>
      <c r="E621" s="348">
        <f t="shared" ca="1" si="27"/>
        <v>93170.413945234875</v>
      </c>
      <c r="F621" s="348" t="str">
        <f t="shared" si="28"/>
        <v>BLD_RG</v>
      </c>
      <c r="G621" s="348" t="str">
        <f>IFERROR(INDEX(DATA_PROPERTY_MASTER!$E$5:$E$21,MATCH($A621,DATA_PROPERTY_MASTER!$A$5:$A$21,0)),"")</f>
        <v>Yes</v>
      </c>
      <c r="H621" s="348" t="str">
        <f ca="1">IFERROR(INDEX(DATA_PROPERTY_MASTER!$F$5:$F$21,MATCH($A621,DATA_PROPERTY_MASTER!$A$5:$A$21,0)),"")</f>
        <v>Refi Watch</v>
      </c>
      <c r="I621" t="s">
        <v>1501</v>
      </c>
      <c r="J621" s="348" t="str">
        <f t="shared" ca="1" si="29"/>
        <v>Formula-linked</v>
      </c>
    </row>
    <row r="622" spans="1:10">
      <c r="A622" s="366" t="s">
        <v>470</v>
      </c>
      <c r="B622" s="366">
        <v>2035</v>
      </c>
      <c r="C622" s="366" t="s">
        <v>367</v>
      </c>
      <c r="D622" s="366">
        <v>61</v>
      </c>
      <c r="E622" s="348">
        <f t="shared" ca="1" si="27"/>
        <v>0</v>
      </c>
      <c r="F622" s="348" t="str">
        <f t="shared" si="28"/>
        <v>BLD_RG</v>
      </c>
      <c r="G622" s="348" t="str">
        <f>IFERROR(INDEX(DATA_PROPERTY_MASTER!$E$5:$E$21,MATCH($A622,DATA_PROPERTY_MASTER!$A$5:$A$21,0)),"")</f>
        <v>Yes</v>
      </c>
      <c r="H622" s="348" t="str">
        <f ca="1">IFERROR(INDEX(DATA_PROPERTY_MASTER!$F$5:$F$21,MATCH($A622,DATA_PROPERTY_MASTER!$A$5:$A$21,0)),"")</f>
        <v>Refi Watch</v>
      </c>
      <c r="I622" t="s">
        <v>1503</v>
      </c>
      <c r="J622" s="348" t="str">
        <f t="shared" ca="1" si="29"/>
        <v>Formula-linked</v>
      </c>
    </row>
    <row r="623" spans="1:10">
      <c r="A623" s="366" t="s">
        <v>470</v>
      </c>
      <c r="B623" s="366">
        <v>2035</v>
      </c>
      <c r="C623" s="366" t="s">
        <v>368</v>
      </c>
      <c r="D623" s="366">
        <v>62</v>
      </c>
      <c r="E623" s="348">
        <f t="shared" ca="1" si="27"/>
        <v>0</v>
      </c>
      <c r="F623" s="348" t="str">
        <f t="shared" si="28"/>
        <v>BLD_RG</v>
      </c>
      <c r="G623" s="348" t="str">
        <f>IFERROR(INDEX(DATA_PROPERTY_MASTER!$E$5:$E$21,MATCH($A623,DATA_PROPERTY_MASTER!$A$5:$A$21,0)),"")</f>
        <v>Yes</v>
      </c>
      <c r="H623" s="348" t="str">
        <f ca="1">IFERROR(INDEX(DATA_PROPERTY_MASTER!$F$5:$F$21,MATCH($A623,DATA_PROPERTY_MASTER!$A$5:$A$21,0)),"")</f>
        <v>Refi Watch</v>
      </c>
      <c r="I623" t="s">
        <v>1503</v>
      </c>
      <c r="J623" s="348" t="str">
        <f t="shared" ca="1" si="29"/>
        <v>Formula-linked</v>
      </c>
    </row>
    <row r="624" spans="1:10">
      <c r="A624" s="366" t="s">
        <v>470</v>
      </c>
      <c r="B624" s="366">
        <v>2035</v>
      </c>
      <c r="C624" s="366" t="s">
        <v>1504</v>
      </c>
      <c r="D624" s="366">
        <v>63</v>
      </c>
      <c r="E624" s="348">
        <f t="shared" ca="1" si="27"/>
        <v>0</v>
      </c>
      <c r="F624" s="348" t="str">
        <f t="shared" si="28"/>
        <v>BLD_RG</v>
      </c>
      <c r="G624" s="348" t="str">
        <f>IFERROR(INDEX(DATA_PROPERTY_MASTER!$E$5:$E$21,MATCH($A624,DATA_PROPERTY_MASTER!$A$5:$A$21,0)),"")</f>
        <v>Yes</v>
      </c>
      <c r="H624" s="348" t="str">
        <f ca="1">IFERROR(INDEX(DATA_PROPERTY_MASTER!$F$5:$F$21,MATCH($A624,DATA_PROPERTY_MASTER!$A$5:$A$21,0)),"")</f>
        <v>Refi Watch</v>
      </c>
      <c r="I624" t="s">
        <v>1503</v>
      </c>
      <c r="J624" s="348" t="str">
        <f t="shared" ca="1" si="29"/>
        <v>Formula-linked</v>
      </c>
    </row>
    <row r="625" spans="1:10">
      <c r="A625" s="366" t="s">
        <v>470</v>
      </c>
      <c r="B625" s="366">
        <v>2035</v>
      </c>
      <c r="C625" s="366" t="s">
        <v>370</v>
      </c>
      <c r="D625" s="366">
        <v>64</v>
      </c>
      <c r="E625" s="348">
        <f t="shared" ca="1" si="27"/>
        <v>0</v>
      </c>
      <c r="F625" s="348" t="str">
        <f t="shared" si="28"/>
        <v>BLD_RG</v>
      </c>
      <c r="G625" s="348" t="str">
        <f>IFERROR(INDEX(DATA_PROPERTY_MASTER!$E$5:$E$21,MATCH($A625,DATA_PROPERTY_MASTER!$A$5:$A$21,0)),"")</f>
        <v>Yes</v>
      </c>
      <c r="H625" s="348" t="str">
        <f ca="1">IFERROR(INDEX(DATA_PROPERTY_MASTER!$F$5:$F$21,MATCH($A625,DATA_PROPERTY_MASTER!$A$5:$A$21,0)),"")</f>
        <v>Refi Watch</v>
      </c>
      <c r="I625" t="s">
        <v>1498</v>
      </c>
      <c r="J625" s="348" t="str">
        <f t="shared" ca="1" si="29"/>
        <v>Formula-linked</v>
      </c>
    </row>
    <row r="626" spans="1:10">
      <c r="A626" s="366" t="s">
        <v>470</v>
      </c>
      <c r="B626" s="366">
        <v>2035</v>
      </c>
      <c r="C626" s="366" t="s">
        <v>544</v>
      </c>
      <c r="D626" s="366">
        <v>68</v>
      </c>
      <c r="E626" s="348">
        <f t="shared" ca="1" si="27"/>
        <v>93170.413945234875</v>
      </c>
      <c r="F626" s="348" t="str">
        <f t="shared" si="28"/>
        <v>BLD_RG</v>
      </c>
      <c r="G626" s="348" t="str">
        <f>IFERROR(INDEX(DATA_PROPERTY_MASTER!$E$5:$E$21,MATCH($A626,DATA_PROPERTY_MASTER!$A$5:$A$21,0)),"")</f>
        <v>Yes</v>
      </c>
      <c r="H626" s="348" t="str">
        <f ca="1">IFERROR(INDEX(DATA_PROPERTY_MASTER!$F$5:$F$21,MATCH($A626,DATA_PROPERTY_MASTER!$A$5:$A$21,0)),"")</f>
        <v>Refi Watch</v>
      </c>
      <c r="I626" t="s">
        <v>1501</v>
      </c>
      <c r="J626" s="348" t="str">
        <f t="shared" ca="1" si="29"/>
        <v>Formula-linked</v>
      </c>
    </row>
    <row r="627" spans="1:10">
      <c r="A627" s="366" t="s">
        <v>470</v>
      </c>
      <c r="B627" s="366">
        <v>2035</v>
      </c>
      <c r="C627" s="366" t="s">
        <v>378</v>
      </c>
      <c r="D627" s="366">
        <v>73</v>
      </c>
      <c r="E627" s="348">
        <f t="shared" ca="1" si="27"/>
        <v>3882100.581051453</v>
      </c>
      <c r="F627" s="348" t="str">
        <f t="shared" si="28"/>
        <v>BLD_RG</v>
      </c>
      <c r="G627" s="348" t="str">
        <f>IFERROR(INDEX(DATA_PROPERTY_MASTER!$E$5:$E$21,MATCH($A627,DATA_PROPERTY_MASTER!$A$5:$A$21,0)),"")</f>
        <v>Yes</v>
      </c>
      <c r="H627" s="348" t="str">
        <f ca="1">IFERROR(INDEX(DATA_PROPERTY_MASTER!$F$5:$F$21,MATCH($A627,DATA_PROPERTY_MASTER!$A$5:$A$21,0)),"")</f>
        <v>Refi Watch</v>
      </c>
      <c r="I627" t="s">
        <v>1505</v>
      </c>
      <c r="J627" s="348" t="str">
        <f t="shared" ca="1" si="29"/>
        <v>Formula-linked</v>
      </c>
    </row>
    <row r="628" spans="1:10">
      <c r="A628" s="366" t="s">
        <v>470</v>
      </c>
      <c r="B628" s="366">
        <v>2035</v>
      </c>
      <c r="C628" s="366" t="s">
        <v>1506</v>
      </c>
      <c r="D628" s="366">
        <v>77</v>
      </c>
      <c r="E628" s="348">
        <f t="shared" ca="1" si="27"/>
        <v>3882100.581051453</v>
      </c>
      <c r="F628" s="348" t="str">
        <f t="shared" si="28"/>
        <v>BLD_RG</v>
      </c>
      <c r="G628" s="348" t="str">
        <f>IFERROR(INDEX(DATA_PROPERTY_MASTER!$E$5:$E$21,MATCH($A628,DATA_PROPERTY_MASTER!$A$5:$A$21,0)),"")</f>
        <v>Yes</v>
      </c>
      <c r="H628" s="348" t="str">
        <f ca="1">IFERROR(INDEX(DATA_PROPERTY_MASTER!$F$5:$F$21,MATCH($A628,DATA_PROPERTY_MASTER!$A$5:$A$21,0)),"")</f>
        <v>Refi Watch</v>
      </c>
      <c r="I628" t="s">
        <v>1505</v>
      </c>
      <c r="J628" s="348" t="str">
        <f t="shared" ca="1" si="29"/>
        <v>Formula-linked</v>
      </c>
    </row>
    <row r="629" spans="1:10">
      <c r="A629" s="366" t="s">
        <v>473</v>
      </c>
      <c r="B629" s="366">
        <v>2025</v>
      </c>
      <c r="C629" s="366" t="s">
        <v>341</v>
      </c>
      <c r="D629" s="366">
        <v>24</v>
      </c>
      <c r="E629" s="348">
        <f t="shared" ca="1" si="27"/>
        <v>0</v>
      </c>
      <c r="F629" s="348" t="str">
        <f t="shared" si="28"/>
        <v>BLD_AS</v>
      </c>
      <c r="G629" s="348" t="str">
        <f>IFERROR(INDEX(DATA_PROPERTY_MASTER!$E$5:$E$21,MATCH($A629,DATA_PROPERTY_MASTER!$A$5:$A$21,0)),"")</f>
        <v>Yes</v>
      </c>
      <c r="H629" s="348" t="str">
        <f>IFERROR(INDEX(DATA_PROPERTY_MASTER!$F$5:$F$21,MATCH($A629,DATA_PROPERTY_MASTER!$A$5:$A$21,0)),"")</f>
        <v>New Build</v>
      </c>
      <c r="I629" t="s">
        <v>1495</v>
      </c>
      <c r="J629" s="348" t="str">
        <f t="shared" ca="1" si="29"/>
        <v>Formula-linked</v>
      </c>
    </row>
    <row r="630" spans="1:10">
      <c r="A630" s="366" t="s">
        <v>473</v>
      </c>
      <c r="B630" s="366">
        <v>2025</v>
      </c>
      <c r="C630" s="366" t="s">
        <v>355</v>
      </c>
      <c r="D630" s="366">
        <v>39</v>
      </c>
      <c r="E630" s="348">
        <f t="shared" ca="1" si="27"/>
        <v>0</v>
      </c>
      <c r="F630" s="348" t="str">
        <f t="shared" si="28"/>
        <v>BLD_AS</v>
      </c>
      <c r="G630" s="348" t="str">
        <f>IFERROR(INDEX(DATA_PROPERTY_MASTER!$E$5:$E$21,MATCH($A630,DATA_PROPERTY_MASTER!$A$5:$A$21,0)),"")</f>
        <v>Yes</v>
      </c>
      <c r="H630" s="348" t="str">
        <f>IFERROR(INDEX(DATA_PROPERTY_MASTER!$F$5:$F$21,MATCH($A630,DATA_PROPERTY_MASTER!$A$5:$A$21,0)),"")</f>
        <v>New Build</v>
      </c>
      <c r="I630" t="s">
        <v>1496</v>
      </c>
      <c r="J630" s="348" t="str">
        <f t="shared" ca="1" si="29"/>
        <v>Formula-linked</v>
      </c>
    </row>
    <row r="631" spans="1:10">
      <c r="A631" s="366" t="s">
        <v>473</v>
      </c>
      <c r="B631" s="366">
        <v>2025</v>
      </c>
      <c r="C631" s="366" t="s">
        <v>1497</v>
      </c>
      <c r="D631" s="366">
        <v>41</v>
      </c>
      <c r="E631" s="348">
        <f t="shared" ca="1" si="27"/>
        <v>0</v>
      </c>
      <c r="F631" s="348" t="str">
        <f t="shared" si="28"/>
        <v>BLD_AS</v>
      </c>
      <c r="G631" s="348" t="str">
        <f>IFERROR(INDEX(DATA_PROPERTY_MASTER!$E$5:$E$21,MATCH($A631,DATA_PROPERTY_MASTER!$A$5:$A$21,0)),"")</f>
        <v>Yes</v>
      </c>
      <c r="H631" s="348" t="str">
        <f>IFERROR(INDEX(DATA_PROPERTY_MASTER!$F$5:$F$21,MATCH($A631,DATA_PROPERTY_MASTER!$A$5:$A$21,0)),"")</f>
        <v>New Build</v>
      </c>
      <c r="I631" t="s">
        <v>1497</v>
      </c>
      <c r="J631" s="348" t="str">
        <f t="shared" ca="1" si="29"/>
        <v>Formula-linked</v>
      </c>
    </row>
    <row r="632" spans="1:10">
      <c r="A632" s="366" t="s">
        <v>473</v>
      </c>
      <c r="B632" s="366">
        <v>2025</v>
      </c>
      <c r="C632" s="366" t="s">
        <v>21</v>
      </c>
      <c r="D632" s="366">
        <v>45</v>
      </c>
      <c r="E632" s="348">
        <f t="shared" ca="1" si="27"/>
        <v>0</v>
      </c>
      <c r="F632" s="348" t="str">
        <f t="shared" si="28"/>
        <v>BLD_AS</v>
      </c>
      <c r="G632" s="348" t="str">
        <f>IFERROR(INDEX(DATA_PROPERTY_MASTER!$E$5:$E$21,MATCH($A632,DATA_PROPERTY_MASTER!$A$5:$A$21,0)),"")</f>
        <v>Yes</v>
      </c>
      <c r="H632" s="348" t="str">
        <f>IFERROR(INDEX(DATA_PROPERTY_MASTER!$F$5:$F$21,MATCH($A632,DATA_PROPERTY_MASTER!$A$5:$A$21,0)),"")</f>
        <v>New Build</v>
      </c>
      <c r="I632" t="s">
        <v>1497</v>
      </c>
      <c r="J632" s="348" t="str">
        <f t="shared" ca="1" si="29"/>
        <v>Formula-linked</v>
      </c>
    </row>
    <row r="633" spans="1:10">
      <c r="A633" s="366" t="s">
        <v>473</v>
      </c>
      <c r="B633" s="366">
        <v>2025</v>
      </c>
      <c r="C633" s="366" t="s">
        <v>23</v>
      </c>
      <c r="D633" s="366">
        <v>48</v>
      </c>
      <c r="E633" s="348">
        <f t="shared" ca="1" si="27"/>
        <v>2119329.1278112764</v>
      </c>
      <c r="F633" s="348" t="str">
        <f t="shared" si="28"/>
        <v>BLD_AS</v>
      </c>
      <c r="G633" s="348" t="str">
        <f>IFERROR(INDEX(DATA_PROPERTY_MASTER!$E$5:$E$21,MATCH($A633,DATA_PROPERTY_MASTER!$A$5:$A$21,0)),"")</f>
        <v>Yes</v>
      </c>
      <c r="H633" s="348" t="str">
        <f>IFERROR(INDEX(DATA_PROPERTY_MASTER!$F$5:$F$21,MATCH($A633,DATA_PROPERTY_MASTER!$A$5:$A$21,0)),"")</f>
        <v>New Build</v>
      </c>
      <c r="I633" t="s">
        <v>1498</v>
      </c>
      <c r="J633" s="348" t="str">
        <f t="shared" ca="1" si="29"/>
        <v>Formula-linked</v>
      </c>
    </row>
    <row r="634" spans="1:10">
      <c r="A634" s="366" t="s">
        <v>473</v>
      </c>
      <c r="B634" s="366">
        <v>2025</v>
      </c>
      <c r="C634" s="366" t="s">
        <v>213</v>
      </c>
      <c r="D634" s="366">
        <v>50</v>
      </c>
      <c r="E634" s="348">
        <f t="shared" ca="1" si="27"/>
        <v>0</v>
      </c>
      <c r="F634" s="348" t="str">
        <f t="shared" si="28"/>
        <v>BLD_AS</v>
      </c>
      <c r="G634" s="348" t="str">
        <f>IFERROR(INDEX(DATA_PROPERTY_MASTER!$E$5:$E$21,MATCH($A634,DATA_PROPERTY_MASTER!$A$5:$A$21,0)),"")</f>
        <v>Yes</v>
      </c>
      <c r="H634" s="348" t="str">
        <f>IFERROR(INDEX(DATA_PROPERTY_MASTER!$F$5:$F$21,MATCH($A634,DATA_PROPERTY_MASTER!$A$5:$A$21,0)),"")</f>
        <v>New Build</v>
      </c>
      <c r="I634" t="s">
        <v>1499</v>
      </c>
      <c r="J634" s="348" t="str">
        <f t="shared" ca="1" si="29"/>
        <v>Formula-linked</v>
      </c>
    </row>
    <row r="635" spans="1:10">
      <c r="A635" s="366" t="s">
        <v>473</v>
      </c>
      <c r="B635" s="366">
        <v>2025</v>
      </c>
      <c r="C635" s="366" t="s">
        <v>1500</v>
      </c>
      <c r="D635" s="366">
        <v>52</v>
      </c>
      <c r="E635" s="348">
        <f t="shared" ca="1" si="27"/>
        <v>-2119329.1278112764</v>
      </c>
      <c r="F635" s="348" t="str">
        <f t="shared" si="28"/>
        <v>BLD_AS</v>
      </c>
      <c r="G635" s="348" t="str">
        <f>IFERROR(INDEX(DATA_PROPERTY_MASTER!$E$5:$E$21,MATCH($A635,DATA_PROPERTY_MASTER!$A$5:$A$21,0)),"")</f>
        <v>Yes</v>
      </c>
      <c r="H635" s="348" t="str">
        <f>IFERROR(INDEX(DATA_PROPERTY_MASTER!$F$5:$F$21,MATCH($A635,DATA_PROPERTY_MASTER!$A$5:$A$21,0)),"")</f>
        <v>New Build</v>
      </c>
      <c r="I635" t="s">
        <v>1501</v>
      </c>
      <c r="J635" s="348" t="str">
        <f t="shared" ca="1" si="29"/>
        <v>Formula-linked</v>
      </c>
    </row>
    <row r="636" spans="1:10">
      <c r="A636" s="366" t="s">
        <v>473</v>
      </c>
      <c r="B636" s="366">
        <v>2025</v>
      </c>
      <c r="C636" s="366" t="s">
        <v>27</v>
      </c>
      <c r="D636" s="366">
        <v>54</v>
      </c>
      <c r="E636" s="348">
        <f t="shared" ca="1" si="27"/>
        <v>0</v>
      </c>
      <c r="F636" s="348" t="str">
        <f t="shared" si="28"/>
        <v>BLD_AS</v>
      </c>
      <c r="G636" s="348" t="str">
        <f>IFERROR(INDEX(DATA_PROPERTY_MASTER!$E$5:$E$21,MATCH($A636,DATA_PROPERTY_MASTER!$A$5:$A$21,0)),"")</f>
        <v>Yes</v>
      </c>
      <c r="H636" s="348" t="str">
        <f>IFERROR(INDEX(DATA_PROPERTY_MASTER!$F$5:$F$21,MATCH($A636,DATA_PROPERTY_MASTER!$A$5:$A$21,0)),"")</f>
        <v>New Build</v>
      </c>
      <c r="I636" t="s">
        <v>1501</v>
      </c>
      <c r="J636" s="348" t="str">
        <f t="shared" ca="1" si="29"/>
        <v>Formula-linked</v>
      </c>
    </row>
    <row r="637" spans="1:10">
      <c r="A637" s="366" t="s">
        <v>473</v>
      </c>
      <c r="B637" s="366">
        <v>2025</v>
      </c>
      <c r="C637" s="366" t="s">
        <v>1502</v>
      </c>
      <c r="D637" s="366">
        <v>56</v>
      </c>
      <c r="E637" s="348">
        <f t="shared" ca="1" si="27"/>
        <v>-2119329.1278112764</v>
      </c>
      <c r="F637" s="348" t="str">
        <f t="shared" si="28"/>
        <v>BLD_AS</v>
      </c>
      <c r="G637" s="348" t="str">
        <f>IFERROR(INDEX(DATA_PROPERTY_MASTER!$E$5:$E$21,MATCH($A637,DATA_PROPERTY_MASTER!$A$5:$A$21,0)),"")</f>
        <v>Yes</v>
      </c>
      <c r="H637" s="348" t="str">
        <f>IFERROR(INDEX(DATA_PROPERTY_MASTER!$F$5:$F$21,MATCH($A637,DATA_PROPERTY_MASTER!$A$5:$A$21,0)),"")</f>
        <v>New Build</v>
      </c>
      <c r="I637" t="s">
        <v>1501</v>
      </c>
      <c r="J637" s="348" t="str">
        <f t="shared" ca="1" si="29"/>
        <v>Formula-linked</v>
      </c>
    </row>
    <row r="638" spans="1:10">
      <c r="A638" s="366" t="s">
        <v>473</v>
      </c>
      <c r="B638" s="366">
        <v>2025</v>
      </c>
      <c r="C638" s="366" t="s">
        <v>367</v>
      </c>
      <c r="D638" s="366">
        <v>61</v>
      </c>
      <c r="E638" s="348">
        <f t="shared" ca="1" si="27"/>
        <v>0</v>
      </c>
      <c r="F638" s="348" t="str">
        <f t="shared" si="28"/>
        <v>BLD_AS</v>
      </c>
      <c r="G638" s="348" t="str">
        <f>IFERROR(INDEX(DATA_PROPERTY_MASTER!$E$5:$E$21,MATCH($A638,DATA_PROPERTY_MASTER!$A$5:$A$21,0)),"")</f>
        <v>Yes</v>
      </c>
      <c r="H638" s="348" t="str">
        <f>IFERROR(INDEX(DATA_PROPERTY_MASTER!$F$5:$F$21,MATCH($A638,DATA_PROPERTY_MASTER!$A$5:$A$21,0)),"")</f>
        <v>New Build</v>
      </c>
      <c r="I638" t="s">
        <v>1503</v>
      </c>
      <c r="J638" s="348" t="str">
        <f t="shared" ca="1" si="29"/>
        <v>Formula-linked</v>
      </c>
    </row>
    <row r="639" spans="1:10">
      <c r="A639" s="366" t="s">
        <v>473</v>
      </c>
      <c r="B639" s="366">
        <v>2025</v>
      </c>
      <c r="C639" s="366" t="s">
        <v>368</v>
      </c>
      <c r="D639" s="366">
        <v>62</v>
      </c>
      <c r="E639" s="348">
        <f t="shared" ca="1" si="27"/>
        <v>0</v>
      </c>
      <c r="F639" s="348" t="str">
        <f t="shared" si="28"/>
        <v>BLD_AS</v>
      </c>
      <c r="G639" s="348" t="str">
        <f>IFERROR(INDEX(DATA_PROPERTY_MASTER!$E$5:$E$21,MATCH($A639,DATA_PROPERTY_MASTER!$A$5:$A$21,0)),"")</f>
        <v>Yes</v>
      </c>
      <c r="H639" s="348" t="str">
        <f>IFERROR(INDEX(DATA_PROPERTY_MASTER!$F$5:$F$21,MATCH($A639,DATA_PROPERTY_MASTER!$A$5:$A$21,0)),"")</f>
        <v>New Build</v>
      </c>
      <c r="I639" t="s">
        <v>1503</v>
      </c>
      <c r="J639" s="348" t="str">
        <f t="shared" ca="1" si="29"/>
        <v>Formula-linked</v>
      </c>
    </row>
    <row r="640" spans="1:10">
      <c r="A640" s="366" t="s">
        <v>473</v>
      </c>
      <c r="B640" s="366">
        <v>2025</v>
      </c>
      <c r="C640" s="366" t="s">
        <v>1504</v>
      </c>
      <c r="D640" s="366">
        <v>63</v>
      </c>
      <c r="E640" s="348">
        <f t="shared" ca="1" si="27"/>
        <v>0</v>
      </c>
      <c r="F640" s="348" t="str">
        <f t="shared" si="28"/>
        <v>BLD_AS</v>
      </c>
      <c r="G640" s="348" t="str">
        <f>IFERROR(INDEX(DATA_PROPERTY_MASTER!$E$5:$E$21,MATCH($A640,DATA_PROPERTY_MASTER!$A$5:$A$21,0)),"")</f>
        <v>Yes</v>
      </c>
      <c r="H640" s="348" t="str">
        <f>IFERROR(INDEX(DATA_PROPERTY_MASTER!$F$5:$F$21,MATCH($A640,DATA_PROPERTY_MASTER!$A$5:$A$21,0)),"")</f>
        <v>New Build</v>
      </c>
      <c r="I640" t="s">
        <v>1503</v>
      </c>
      <c r="J640" s="348" t="str">
        <f t="shared" ca="1" si="29"/>
        <v>Formula-linked</v>
      </c>
    </row>
    <row r="641" spans="1:10">
      <c r="A641" s="366" t="s">
        <v>473</v>
      </c>
      <c r="B641" s="366">
        <v>2025</v>
      </c>
      <c r="C641" s="366" t="s">
        <v>370</v>
      </c>
      <c r="D641" s="366">
        <v>64</v>
      </c>
      <c r="E641" s="348">
        <f t="shared" ca="1" si="27"/>
        <v>38933495.872188725</v>
      </c>
      <c r="F641" s="348" t="str">
        <f t="shared" si="28"/>
        <v>BLD_AS</v>
      </c>
      <c r="G641" s="348" t="str">
        <f>IFERROR(INDEX(DATA_PROPERTY_MASTER!$E$5:$E$21,MATCH($A641,DATA_PROPERTY_MASTER!$A$5:$A$21,0)),"")</f>
        <v>Yes</v>
      </c>
      <c r="H641" s="348" t="str">
        <f>IFERROR(INDEX(DATA_PROPERTY_MASTER!$F$5:$F$21,MATCH($A641,DATA_PROPERTY_MASTER!$A$5:$A$21,0)),"")</f>
        <v>New Build</v>
      </c>
      <c r="I641" t="s">
        <v>1498</v>
      </c>
      <c r="J641" s="348" t="str">
        <f t="shared" ca="1" si="29"/>
        <v>Formula-linked</v>
      </c>
    </row>
    <row r="642" spans="1:10">
      <c r="A642" s="366" t="s">
        <v>473</v>
      </c>
      <c r="B642" s="366">
        <v>2025</v>
      </c>
      <c r="C642" s="366" t="s">
        <v>544</v>
      </c>
      <c r="D642" s="366">
        <v>68</v>
      </c>
      <c r="E642" s="348">
        <f t="shared" ca="1" si="27"/>
        <v>-2119329.1278112764</v>
      </c>
      <c r="F642" s="348" t="str">
        <f t="shared" si="28"/>
        <v>BLD_AS</v>
      </c>
      <c r="G642" s="348" t="str">
        <f>IFERROR(INDEX(DATA_PROPERTY_MASTER!$E$5:$E$21,MATCH($A642,DATA_PROPERTY_MASTER!$A$5:$A$21,0)),"")</f>
        <v>Yes</v>
      </c>
      <c r="H642" s="348" t="str">
        <f>IFERROR(INDEX(DATA_PROPERTY_MASTER!$F$5:$F$21,MATCH($A642,DATA_PROPERTY_MASTER!$A$5:$A$21,0)),"")</f>
        <v>New Build</v>
      </c>
      <c r="I642" t="s">
        <v>1501</v>
      </c>
      <c r="J642" s="348" t="str">
        <f t="shared" ca="1" si="29"/>
        <v>Formula-linked</v>
      </c>
    </row>
    <row r="643" spans="1:10">
      <c r="A643" s="366" t="s">
        <v>473</v>
      </c>
      <c r="B643" s="366">
        <v>2025</v>
      </c>
      <c r="C643" s="366" t="s">
        <v>378</v>
      </c>
      <c r="D643" s="366">
        <v>73</v>
      </c>
      <c r="E643" s="348">
        <f t="shared" ca="1" si="27"/>
        <v>0</v>
      </c>
      <c r="F643" s="348" t="str">
        <f t="shared" si="28"/>
        <v>BLD_AS</v>
      </c>
      <c r="G643" s="348" t="str">
        <f>IFERROR(INDEX(DATA_PROPERTY_MASTER!$E$5:$E$21,MATCH($A643,DATA_PROPERTY_MASTER!$A$5:$A$21,0)),"")</f>
        <v>Yes</v>
      </c>
      <c r="H643" s="348" t="str">
        <f>IFERROR(INDEX(DATA_PROPERTY_MASTER!$F$5:$F$21,MATCH($A643,DATA_PROPERTY_MASTER!$A$5:$A$21,0)),"")</f>
        <v>New Build</v>
      </c>
      <c r="I643" t="s">
        <v>1505</v>
      </c>
      <c r="J643" s="348" t="str">
        <f t="shared" ca="1" si="29"/>
        <v>Formula-linked</v>
      </c>
    </row>
    <row r="644" spans="1:10">
      <c r="A644" s="366" t="s">
        <v>473</v>
      </c>
      <c r="B644" s="366">
        <v>2025</v>
      </c>
      <c r="C644" s="366" t="s">
        <v>1506</v>
      </c>
      <c r="D644" s="366">
        <v>77</v>
      </c>
      <c r="E644" s="348">
        <f t="shared" ca="1" si="27"/>
        <v>-38933495.872188725</v>
      </c>
      <c r="F644" s="348" t="str">
        <f t="shared" si="28"/>
        <v>BLD_AS</v>
      </c>
      <c r="G644" s="348" t="str">
        <f>IFERROR(INDEX(DATA_PROPERTY_MASTER!$E$5:$E$21,MATCH($A644,DATA_PROPERTY_MASTER!$A$5:$A$21,0)),"")</f>
        <v>Yes</v>
      </c>
      <c r="H644" s="348" t="str">
        <f>IFERROR(INDEX(DATA_PROPERTY_MASTER!$F$5:$F$21,MATCH($A644,DATA_PROPERTY_MASTER!$A$5:$A$21,0)),"")</f>
        <v>New Build</v>
      </c>
      <c r="I644" t="s">
        <v>1505</v>
      </c>
      <c r="J644" s="348" t="str">
        <f t="shared" ca="1" si="29"/>
        <v>Formula-linked</v>
      </c>
    </row>
    <row r="645" spans="1:10">
      <c r="A645" s="366" t="s">
        <v>473</v>
      </c>
      <c r="B645" s="366">
        <v>2029</v>
      </c>
      <c r="C645" s="366" t="s">
        <v>341</v>
      </c>
      <c r="D645" s="366">
        <v>24</v>
      </c>
      <c r="E645" s="348">
        <f t="shared" ref="E645:E708" ca="1" si="30">IFERROR(INDEX(INDIRECT("'"&amp;$A645&amp;"'!$E$"&amp;$D645&amp;":$Y$"&amp;$D645),1,MATCH($B645,INDIRECT("'"&amp;$A645&amp;"'!$E$12:$Y$12"),0)),"")</f>
        <v>2076717.6369014543</v>
      </c>
      <c r="F645" s="348" t="str">
        <f t="shared" ref="F645:F708" si="31">$A645</f>
        <v>BLD_AS</v>
      </c>
      <c r="G645" s="348" t="str">
        <f>IFERROR(INDEX(DATA_PROPERTY_MASTER!$E$5:$E$21,MATCH($A645,DATA_PROPERTY_MASTER!$A$5:$A$21,0)),"")</f>
        <v>Yes</v>
      </c>
      <c r="H645" s="348" t="str">
        <f>IFERROR(INDEX(DATA_PROPERTY_MASTER!$F$5:$F$21,MATCH($A645,DATA_PROPERTY_MASTER!$A$5:$A$21,0)),"")</f>
        <v>New Build</v>
      </c>
      <c r="I645" t="s">
        <v>1495</v>
      </c>
      <c r="J645" s="348" t="str">
        <f t="shared" ref="J645:J708" ca="1" si="32">IF($E645="","Review","Formula-linked")</f>
        <v>Formula-linked</v>
      </c>
    </row>
    <row r="646" spans="1:10">
      <c r="A646" s="366" t="s">
        <v>473</v>
      </c>
      <c r="B646" s="366">
        <v>2029</v>
      </c>
      <c r="C646" s="366" t="s">
        <v>355</v>
      </c>
      <c r="D646" s="366">
        <v>39</v>
      </c>
      <c r="E646" s="348">
        <f t="shared" ca="1" si="30"/>
        <v>855884.90051584004</v>
      </c>
      <c r="F646" s="348" t="str">
        <f t="shared" si="31"/>
        <v>BLD_AS</v>
      </c>
      <c r="G646" s="348" t="str">
        <f>IFERROR(INDEX(DATA_PROPERTY_MASTER!$E$5:$E$21,MATCH($A646,DATA_PROPERTY_MASTER!$A$5:$A$21,0)),"")</f>
        <v>Yes</v>
      </c>
      <c r="H646" s="348" t="str">
        <f>IFERROR(INDEX(DATA_PROPERTY_MASTER!$F$5:$F$21,MATCH($A646,DATA_PROPERTY_MASTER!$A$5:$A$21,0)),"")</f>
        <v>New Build</v>
      </c>
      <c r="I646" t="s">
        <v>1496</v>
      </c>
      <c r="J646" s="348" t="str">
        <f t="shared" ca="1" si="32"/>
        <v>Formula-linked</v>
      </c>
    </row>
    <row r="647" spans="1:10">
      <c r="A647" s="366" t="s">
        <v>473</v>
      </c>
      <c r="B647" s="366">
        <v>2029</v>
      </c>
      <c r="C647" s="366" t="s">
        <v>1497</v>
      </c>
      <c r="D647" s="366">
        <v>41</v>
      </c>
      <c r="E647" s="348">
        <f t="shared" ca="1" si="30"/>
        <v>1220832.7363856141</v>
      </c>
      <c r="F647" s="348" t="str">
        <f t="shared" si="31"/>
        <v>BLD_AS</v>
      </c>
      <c r="G647" s="348" t="str">
        <f>IFERROR(INDEX(DATA_PROPERTY_MASTER!$E$5:$E$21,MATCH($A647,DATA_PROPERTY_MASTER!$A$5:$A$21,0)),"")</f>
        <v>Yes</v>
      </c>
      <c r="H647" s="348" t="str">
        <f>IFERROR(INDEX(DATA_PROPERTY_MASTER!$F$5:$F$21,MATCH($A647,DATA_PROPERTY_MASTER!$A$5:$A$21,0)),"")</f>
        <v>New Build</v>
      </c>
      <c r="I647" t="s">
        <v>1497</v>
      </c>
      <c r="J647" s="348" t="str">
        <f t="shared" ca="1" si="32"/>
        <v>Formula-linked</v>
      </c>
    </row>
    <row r="648" spans="1:10">
      <c r="A648" s="366" t="s">
        <v>473</v>
      </c>
      <c r="B648" s="366">
        <v>2029</v>
      </c>
      <c r="C648" s="366" t="s">
        <v>21</v>
      </c>
      <c r="D648" s="366">
        <v>45</v>
      </c>
      <c r="E648" s="348">
        <f t="shared" ca="1" si="30"/>
        <v>1205083.3484576142</v>
      </c>
      <c r="F648" s="348" t="str">
        <f t="shared" si="31"/>
        <v>BLD_AS</v>
      </c>
      <c r="G648" s="348" t="str">
        <f>IFERROR(INDEX(DATA_PROPERTY_MASTER!$E$5:$E$21,MATCH($A648,DATA_PROPERTY_MASTER!$A$5:$A$21,0)),"")</f>
        <v>Yes</v>
      </c>
      <c r="H648" s="348" t="str">
        <f>IFERROR(INDEX(DATA_PROPERTY_MASTER!$F$5:$F$21,MATCH($A648,DATA_PROPERTY_MASTER!$A$5:$A$21,0)),"")</f>
        <v>New Build</v>
      </c>
      <c r="I648" t="s">
        <v>1497</v>
      </c>
      <c r="J648" s="348" t="str">
        <f t="shared" ca="1" si="32"/>
        <v>Formula-linked</v>
      </c>
    </row>
    <row r="649" spans="1:10">
      <c r="A649" s="366" t="s">
        <v>473</v>
      </c>
      <c r="B649" s="366">
        <v>2029</v>
      </c>
      <c r="C649" s="366" t="s">
        <v>23</v>
      </c>
      <c r="D649" s="366">
        <v>48</v>
      </c>
      <c r="E649" s="348">
        <f t="shared" ca="1" si="30"/>
        <v>805649.51774556539</v>
      </c>
      <c r="F649" s="348" t="str">
        <f t="shared" si="31"/>
        <v>BLD_AS</v>
      </c>
      <c r="G649" s="348" t="str">
        <f>IFERROR(INDEX(DATA_PROPERTY_MASTER!$E$5:$E$21,MATCH($A649,DATA_PROPERTY_MASTER!$A$5:$A$21,0)),"")</f>
        <v>Yes</v>
      </c>
      <c r="H649" s="348" t="str">
        <f>IFERROR(INDEX(DATA_PROPERTY_MASTER!$F$5:$F$21,MATCH($A649,DATA_PROPERTY_MASTER!$A$5:$A$21,0)),"")</f>
        <v>New Build</v>
      </c>
      <c r="I649" t="s">
        <v>1498</v>
      </c>
      <c r="J649" s="348" t="str">
        <f t="shared" ca="1" si="32"/>
        <v>Formula-linked</v>
      </c>
    </row>
    <row r="650" spans="1:10">
      <c r="A650" s="366" t="s">
        <v>473</v>
      </c>
      <c r="B650" s="366">
        <v>2029</v>
      </c>
      <c r="C650" s="366" t="s">
        <v>213</v>
      </c>
      <c r="D650" s="366">
        <v>50</v>
      </c>
      <c r="E650" s="348">
        <f t="shared" ca="1" si="30"/>
        <v>1.5153397469930205</v>
      </c>
      <c r="F650" s="348" t="str">
        <f t="shared" si="31"/>
        <v>BLD_AS</v>
      </c>
      <c r="G650" s="348" t="str">
        <f>IFERROR(INDEX(DATA_PROPERTY_MASTER!$E$5:$E$21,MATCH($A650,DATA_PROPERTY_MASTER!$A$5:$A$21,0)),"")</f>
        <v>Yes</v>
      </c>
      <c r="H650" s="348" t="str">
        <f>IFERROR(INDEX(DATA_PROPERTY_MASTER!$F$5:$F$21,MATCH($A650,DATA_PROPERTY_MASTER!$A$5:$A$21,0)),"")</f>
        <v>New Build</v>
      </c>
      <c r="I650" t="s">
        <v>1499</v>
      </c>
      <c r="J650" s="348" t="str">
        <f t="shared" ca="1" si="32"/>
        <v>Formula-linked</v>
      </c>
    </row>
    <row r="651" spans="1:10">
      <c r="A651" s="366" t="s">
        <v>473</v>
      </c>
      <c r="B651" s="366">
        <v>2029</v>
      </c>
      <c r="C651" s="366" t="s">
        <v>1500</v>
      </c>
      <c r="D651" s="366">
        <v>52</v>
      </c>
      <c r="E651" s="348">
        <f t="shared" ca="1" si="30"/>
        <v>415183.21864004876</v>
      </c>
      <c r="F651" s="348" t="str">
        <f t="shared" si="31"/>
        <v>BLD_AS</v>
      </c>
      <c r="G651" s="348" t="str">
        <f>IFERROR(INDEX(DATA_PROPERTY_MASTER!$E$5:$E$21,MATCH($A651,DATA_PROPERTY_MASTER!$A$5:$A$21,0)),"")</f>
        <v>Yes</v>
      </c>
      <c r="H651" s="348" t="str">
        <f>IFERROR(INDEX(DATA_PROPERTY_MASTER!$F$5:$F$21,MATCH($A651,DATA_PROPERTY_MASTER!$A$5:$A$21,0)),"")</f>
        <v>New Build</v>
      </c>
      <c r="I651" t="s">
        <v>1501</v>
      </c>
      <c r="J651" s="348" t="str">
        <f t="shared" ca="1" si="32"/>
        <v>Formula-linked</v>
      </c>
    </row>
    <row r="652" spans="1:10">
      <c r="A652" s="366" t="s">
        <v>473</v>
      </c>
      <c r="B652" s="366">
        <v>2029</v>
      </c>
      <c r="C652" s="366" t="s">
        <v>27</v>
      </c>
      <c r="D652" s="366">
        <v>54</v>
      </c>
      <c r="E652" s="348">
        <f t="shared" ca="1" si="30"/>
        <v>249109.93118402924</v>
      </c>
      <c r="F652" s="348" t="str">
        <f t="shared" si="31"/>
        <v>BLD_AS</v>
      </c>
      <c r="G652" s="348" t="str">
        <f>IFERROR(INDEX(DATA_PROPERTY_MASTER!$E$5:$E$21,MATCH($A652,DATA_PROPERTY_MASTER!$A$5:$A$21,0)),"")</f>
        <v>Yes</v>
      </c>
      <c r="H652" s="348" t="str">
        <f>IFERROR(INDEX(DATA_PROPERTY_MASTER!$F$5:$F$21,MATCH($A652,DATA_PROPERTY_MASTER!$A$5:$A$21,0)),"")</f>
        <v>New Build</v>
      </c>
      <c r="I652" t="s">
        <v>1501</v>
      </c>
      <c r="J652" s="348" t="str">
        <f t="shared" ca="1" si="32"/>
        <v>Formula-linked</v>
      </c>
    </row>
    <row r="653" spans="1:10">
      <c r="A653" s="366" t="s">
        <v>473</v>
      </c>
      <c r="B653" s="366">
        <v>2029</v>
      </c>
      <c r="C653" s="366" t="s">
        <v>1502</v>
      </c>
      <c r="D653" s="366">
        <v>56</v>
      </c>
      <c r="E653" s="348">
        <f t="shared" ca="1" si="30"/>
        <v>166073.28745601952</v>
      </c>
      <c r="F653" s="348" t="str">
        <f t="shared" si="31"/>
        <v>BLD_AS</v>
      </c>
      <c r="G653" s="348" t="str">
        <f>IFERROR(INDEX(DATA_PROPERTY_MASTER!$E$5:$E$21,MATCH($A653,DATA_PROPERTY_MASTER!$A$5:$A$21,0)),"")</f>
        <v>Yes</v>
      </c>
      <c r="H653" s="348" t="str">
        <f>IFERROR(INDEX(DATA_PROPERTY_MASTER!$F$5:$F$21,MATCH($A653,DATA_PROPERTY_MASTER!$A$5:$A$21,0)),"")</f>
        <v>New Build</v>
      </c>
      <c r="I653" t="s">
        <v>1501</v>
      </c>
      <c r="J653" s="348" t="str">
        <f t="shared" ca="1" si="32"/>
        <v>Formula-linked</v>
      </c>
    </row>
    <row r="654" spans="1:10">
      <c r="A654" s="366" t="s">
        <v>473</v>
      </c>
      <c r="B654" s="366">
        <v>2029</v>
      </c>
      <c r="C654" s="366" t="s">
        <v>367</v>
      </c>
      <c r="D654" s="366">
        <v>61</v>
      </c>
      <c r="E654" s="348">
        <f t="shared" ca="1" si="30"/>
        <v>0</v>
      </c>
      <c r="F654" s="348" t="str">
        <f t="shared" si="31"/>
        <v>BLD_AS</v>
      </c>
      <c r="G654" s="348" t="str">
        <f>IFERROR(INDEX(DATA_PROPERTY_MASTER!$E$5:$E$21,MATCH($A654,DATA_PROPERTY_MASTER!$A$5:$A$21,0)),"")</f>
        <v>Yes</v>
      </c>
      <c r="H654" s="348" t="str">
        <f>IFERROR(INDEX(DATA_PROPERTY_MASTER!$F$5:$F$21,MATCH($A654,DATA_PROPERTY_MASTER!$A$5:$A$21,0)),"")</f>
        <v>New Build</v>
      </c>
      <c r="I654" t="s">
        <v>1503</v>
      </c>
      <c r="J654" s="348" t="str">
        <f t="shared" ca="1" si="32"/>
        <v>Formula-linked</v>
      </c>
    </row>
    <row r="655" spans="1:10">
      <c r="A655" s="366" t="s">
        <v>473</v>
      </c>
      <c r="B655" s="366">
        <v>2029</v>
      </c>
      <c r="C655" s="366" t="s">
        <v>368</v>
      </c>
      <c r="D655" s="366">
        <v>62</v>
      </c>
      <c r="E655" s="348">
        <f t="shared" ca="1" si="30"/>
        <v>0</v>
      </c>
      <c r="F655" s="348" t="str">
        <f t="shared" si="31"/>
        <v>BLD_AS</v>
      </c>
      <c r="G655" s="348" t="str">
        <f>IFERROR(INDEX(DATA_PROPERTY_MASTER!$E$5:$E$21,MATCH($A655,DATA_PROPERTY_MASTER!$A$5:$A$21,0)),"")</f>
        <v>Yes</v>
      </c>
      <c r="H655" s="348" t="str">
        <f>IFERROR(INDEX(DATA_PROPERTY_MASTER!$F$5:$F$21,MATCH($A655,DATA_PROPERTY_MASTER!$A$5:$A$21,0)),"")</f>
        <v>New Build</v>
      </c>
      <c r="I655" t="s">
        <v>1503</v>
      </c>
      <c r="J655" s="348" t="str">
        <f t="shared" ca="1" si="32"/>
        <v>Formula-linked</v>
      </c>
    </row>
    <row r="656" spans="1:10">
      <c r="A656" s="366" t="s">
        <v>473</v>
      </c>
      <c r="B656" s="366">
        <v>2029</v>
      </c>
      <c r="C656" s="366" t="s">
        <v>1504</v>
      </c>
      <c r="D656" s="366">
        <v>63</v>
      </c>
      <c r="E656" s="348">
        <f t="shared" ca="1" si="30"/>
        <v>0</v>
      </c>
      <c r="F656" s="348" t="str">
        <f t="shared" si="31"/>
        <v>BLD_AS</v>
      </c>
      <c r="G656" s="348" t="str">
        <f>IFERROR(INDEX(DATA_PROPERTY_MASTER!$E$5:$E$21,MATCH($A656,DATA_PROPERTY_MASTER!$A$5:$A$21,0)),"")</f>
        <v>Yes</v>
      </c>
      <c r="H656" s="348" t="str">
        <f>IFERROR(INDEX(DATA_PROPERTY_MASTER!$F$5:$F$21,MATCH($A656,DATA_PROPERTY_MASTER!$A$5:$A$21,0)),"")</f>
        <v>New Build</v>
      </c>
      <c r="I656" t="s">
        <v>1503</v>
      </c>
      <c r="J656" s="348" t="str">
        <f t="shared" ca="1" si="32"/>
        <v>Formula-linked</v>
      </c>
    </row>
    <row r="657" spans="1:10">
      <c r="A657" s="366" t="s">
        <v>473</v>
      </c>
      <c r="B657" s="366">
        <v>2029</v>
      </c>
      <c r="C657" s="366" t="s">
        <v>370</v>
      </c>
      <c r="D657" s="366">
        <v>64</v>
      </c>
      <c r="E657" s="348">
        <f t="shared" ca="1" si="30"/>
        <v>14963759.107883796</v>
      </c>
      <c r="F657" s="348" t="str">
        <f t="shared" si="31"/>
        <v>BLD_AS</v>
      </c>
      <c r="G657" s="348" t="str">
        <f>IFERROR(INDEX(DATA_PROPERTY_MASTER!$E$5:$E$21,MATCH($A657,DATA_PROPERTY_MASTER!$A$5:$A$21,0)),"")</f>
        <v>Yes</v>
      </c>
      <c r="H657" s="348" t="str">
        <f>IFERROR(INDEX(DATA_PROPERTY_MASTER!$F$5:$F$21,MATCH($A657,DATA_PROPERTY_MASTER!$A$5:$A$21,0)),"")</f>
        <v>New Build</v>
      </c>
      <c r="I657" t="s">
        <v>1498</v>
      </c>
      <c r="J657" s="348" t="str">
        <f t="shared" ca="1" si="32"/>
        <v>Formula-linked</v>
      </c>
    </row>
    <row r="658" spans="1:10">
      <c r="A658" s="366" t="s">
        <v>473</v>
      </c>
      <c r="B658" s="366">
        <v>2029</v>
      </c>
      <c r="C658" s="366" t="s">
        <v>544</v>
      </c>
      <c r="D658" s="366">
        <v>68</v>
      </c>
      <c r="E658" s="348">
        <f t="shared" ca="1" si="30"/>
        <v>166073.28745601952</v>
      </c>
      <c r="F658" s="348" t="str">
        <f t="shared" si="31"/>
        <v>BLD_AS</v>
      </c>
      <c r="G658" s="348" t="str">
        <f>IFERROR(INDEX(DATA_PROPERTY_MASTER!$E$5:$E$21,MATCH($A658,DATA_PROPERTY_MASTER!$A$5:$A$21,0)),"")</f>
        <v>Yes</v>
      </c>
      <c r="H658" s="348" t="str">
        <f>IFERROR(INDEX(DATA_PROPERTY_MASTER!$F$5:$F$21,MATCH($A658,DATA_PROPERTY_MASTER!$A$5:$A$21,0)),"")</f>
        <v>New Build</v>
      </c>
      <c r="I658" t="s">
        <v>1501</v>
      </c>
      <c r="J658" s="348" t="str">
        <f t="shared" ca="1" si="32"/>
        <v>Formula-linked</v>
      </c>
    </row>
    <row r="659" spans="1:10">
      <c r="A659" s="366" t="s">
        <v>473</v>
      </c>
      <c r="B659" s="366">
        <v>2029</v>
      </c>
      <c r="C659" s="366" t="s">
        <v>378</v>
      </c>
      <c r="D659" s="366">
        <v>73</v>
      </c>
      <c r="E659" s="348">
        <f t="shared" ca="1" si="30"/>
        <v>20347212.27309357</v>
      </c>
      <c r="F659" s="348" t="str">
        <f t="shared" si="31"/>
        <v>BLD_AS</v>
      </c>
      <c r="G659" s="348" t="str">
        <f>IFERROR(INDEX(DATA_PROPERTY_MASTER!$E$5:$E$21,MATCH($A659,DATA_PROPERTY_MASTER!$A$5:$A$21,0)),"")</f>
        <v>Yes</v>
      </c>
      <c r="H659" s="348" t="str">
        <f>IFERROR(INDEX(DATA_PROPERTY_MASTER!$F$5:$F$21,MATCH($A659,DATA_PROPERTY_MASTER!$A$5:$A$21,0)),"")</f>
        <v>New Build</v>
      </c>
      <c r="I659" t="s">
        <v>1505</v>
      </c>
      <c r="J659" s="348" t="str">
        <f t="shared" ca="1" si="32"/>
        <v>Formula-linked</v>
      </c>
    </row>
    <row r="660" spans="1:10">
      <c r="A660" s="366" t="s">
        <v>473</v>
      </c>
      <c r="B660" s="366">
        <v>2029</v>
      </c>
      <c r="C660" s="366" t="s">
        <v>1506</v>
      </c>
      <c r="D660" s="366">
        <v>77</v>
      </c>
      <c r="E660" s="348">
        <f t="shared" ca="1" si="30"/>
        <v>5383453.1652097739</v>
      </c>
      <c r="F660" s="348" t="str">
        <f t="shared" si="31"/>
        <v>BLD_AS</v>
      </c>
      <c r="G660" s="348" t="str">
        <f>IFERROR(INDEX(DATA_PROPERTY_MASTER!$E$5:$E$21,MATCH($A660,DATA_PROPERTY_MASTER!$A$5:$A$21,0)),"")</f>
        <v>Yes</v>
      </c>
      <c r="H660" s="348" t="str">
        <f>IFERROR(INDEX(DATA_PROPERTY_MASTER!$F$5:$F$21,MATCH($A660,DATA_PROPERTY_MASTER!$A$5:$A$21,0)),"")</f>
        <v>New Build</v>
      </c>
      <c r="I660" t="s">
        <v>1505</v>
      </c>
      <c r="J660" s="348" t="str">
        <f t="shared" ca="1" si="32"/>
        <v>Formula-linked</v>
      </c>
    </row>
    <row r="661" spans="1:10">
      <c r="A661" s="366" t="s">
        <v>473</v>
      </c>
      <c r="B661" s="366">
        <v>2035</v>
      </c>
      <c r="C661" s="366" t="s">
        <v>341</v>
      </c>
      <c r="D661" s="366">
        <v>24</v>
      </c>
      <c r="E661" s="348">
        <f t="shared" ca="1" si="30"/>
        <v>2338721.3581011584</v>
      </c>
      <c r="F661" s="348" t="str">
        <f t="shared" si="31"/>
        <v>BLD_AS</v>
      </c>
      <c r="G661" s="348" t="str">
        <f>IFERROR(INDEX(DATA_PROPERTY_MASTER!$E$5:$E$21,MATCH($A661,DATA_PROPERTY_MASTER!$A$5:$A$21,0)),"")</f>
        <v>Yes</v>
      </c>
      <c r="H661" s="348" t="str">
        <f>IFERROR(INDEX(DATA_PROPERTY_MASTER!$F$5:$F$21,MATCH($A661,DATA_PROPERTY_MASTER!$A$5:$A$21,0)),"")</f>
        <v>New Build</v>
      </c>
      <c r="I661" t="s">
        <v>1495</v>
      </c>
      <c r="J661" s="348" t="str">
        <f t="shared" ca="1" si="32"/>
        <v>Formula-linked</v>
      </c>
    </row>
    <row r="662" spans="1:10">
      <c r="A662" s="366" t="s">
        <v>473</v>
      </c>
      <c r="B662" s="366">
        <v>2035</v>
      </c>
      <c r="C662" s="366" t="s">
        <v>355</v>
      </c>
      <c r="D662" s="366">
        <v>39</v>
      </c>
      <c r="E662" s="348">
        <f t="shared" ca="1" si="30"/>
        <v>1067347.7195412556</v>
      </c>
      <c r="F662" s="348" t="str">
        <f t="shared" si="31"/>
        <v>BLD_AS</v>
      </c>
      <c r="G662" s="348" t="str">
        <f>IFERROR(INDEX(DATA_PROPERTY_MASTER!$E$5:$E$21,MATCH($A662,DATA_PROPERTY_MASTER!$A$5:$A$21,0)),"")</f>
        <v>Yes</v>
      </c>
      <c r="H662" s="348" t="str">
        <f>IFERROR(INDEX(DATA_PROPERTY_MASTER!$F$5:$F$21,MATCH($A662,DATA_PROPERTY_MASTER!$A$5:$A$21,0)),"")</f>
        <v>New Build</v>
      </c>
      <c r="I662" t="s">
        <v>1496</v>
      </c>
      <c r="J662" s="348" t="str">
        <f t="shared" ca="1" si="32"/>
        <v>Formula-linked</v>
      </c>
    </row>
    <row r="663" spans="1:10">
      <c r="A663" s="366" t="s">
        <v>473</v>
      </c>
      <c r="B663" s="366">
        <v>2035</v>
      </c>
      <c r="C663" s="366" t="s">
        <v>1497</v>
      </c>
      <c r="D663" s="366">
        <v>41</v>
      </c>
      <c r="E663" s="348">
        <f t="shared" ca="1" si="30"/>
        <v>1271373.6385599028</v>
      </c>
      <c r="F663" s="348" t="str">
        <f t="shared" si="31"/>
        <v>BLD_AS</v>
      </c>
      <c r="G663" s="348" t="str">
        <f>IFERROR(INDEX(DATA_PROPERTY_MASTER!$E$5:$E$21,MATCH($A663,DATA_PROPERTY_MASTER!$A$5:$A$21,0)),"")</f>
        <v>Yes</v>
      </c>
      <c r="H663" s="348" t="str">
        <f>IFERROR(INDEX(DATA_PROPERTY_MASTER!$F$5:$F$21,MATCH($A663,DATA_PROPERTY_MASTER!$A$5:$A$21,0)),"")</f>
        <v>New Build</v>
      </c>
      <c r="I663" t="s">
        <v>1497</v>
      </c>
      <c r="J663" s="348" t="str">
        <f t="shared" ca="1" si="32"/>
        <v>Formula-linked</v>
      </c>
    </row>
    <row r="664" spans="1:10">
      <c r="A664" s="366" t="s">
        <v>473</v>
      </c>
      <c r="B664" s="366">
        <v>2035</v>
      </c>
      <c r="C664" s="366" t="s">
        <v>21</v>
      </c>
      <c r="D664" s="366">
        <v>45</v>
      </c>
      <c r="E664" s="348">
        <f t="shared" ca="1" si="30"/>
        <v>1253637.269748979</v>
      </c>
      <c r="F664" s="348" t="str">
        <f t="shared" si="31"/>
        <v>BLD_AS</v>
      </c>
      <c r="G664" s="348" t="str">
        <f>IFERROR(INDEX(DATA_PROPERTY_MASTER!$E$5:$E$21,MATCH($A664,DATA_PROPERTY_MASTER!$A$5:$A$21,0)),"")</f>
        <v>Yes</v>
      </c>
      <c r="H664" s="348" t="str">
        <f>IFERROR(INDEX(DATA_PROPERTY_MASTER!$F$5:$F$21,MATCH($A664,DATA_PROPERTY_MASTER!$A$5:$A$21,0)),"")</f>
        <v>New Build</v>
      </c>
      <c r="I664" t="s">
        <v>1497</v>
      </c>
      <c r="J664" s="348" t="str">
        <f t="shared" ca="1" si="32"/>
        <v>Formula-linked</v>
      </c>
    </row>
    <row r="665" spans="1:10">
      <c r="A665" s="366" t="s">
        <v>473</v>
      </c>
      <c r="B665" s="366">
        <v>2035</v>
      </c>
      <c r="C665" s="366" t="s">
        <v>23</v>
      </c>
      <c r="D665" s="366">
        <v>48</v>
      </c>
      <c r="E665" s="348">
        <f t="shared" ca="1" si="30"/>
        <v>805649.51774556539</v>
      </c>
      <c r="F665" s="348" t="str">
        <f t="shared" si="31"/>
        <v>BLD_AS</v>
      </c>
      <c r="G665" s="348" t="str">
        <f>IFERROR(INDEX(DATA_PROPERTY_MASTER!$E$5:$E$21,MATCH($A665,DATA_PROPERTY_MASTER!$A$5:$A$21,0)),"")</f>
        <v>Yes</v>
      </c>
      <c r="H665" s="348" t="str">
        <f>IFERROR(INDEX(DATA_PROPERTY_MASTER!$F$5:$F$21,MATCH($A665,DATA_PROPERTY_MASTER!$A$5:$A$21,0)),"")</f>
        <v>New Build</v>
      </c>
      <c r="I665" t="s">
        <v>1498</v>
      </c>
      <c r="J665" s="348" t="str">
        <f t="shared" ca="1" si="32"/>
        <v>Formula-linked</v>
      </c>
    </row>
    <row r="666" spans="1:10">
      <c r="A666" s="366" t="s">
        <v>473</v>
      </c>
      <c r="B666" s="366">
        <v>2035</v>
      </c>
      <c r="C666" s="366" t="s">
        <v>213</v>
      </c>
      <c r="D666" s="366">
        <v>50</v>
      </c>
      <c r="E666" s="348">
        <f t="shared" ca="1" si="30"/>
        <v>1.5780728599175047</v>
      </c>
      <c r="F666" s="348" t="str">
        <f t="shared" si="31"/>
        <v>BLD_AS</v>
      </c>
      <c r="G666" s="348" t="str">
        <f>IFERROR(INDEX(DATA_PROPERTY_MASTER!$E$5:$E$21,MATCH($A666,DATA_PROPERTY_MASTER!$A$5:$A$21,0)),"")</f>
        <v>Yes</v>
      </c>
      <c r="H666" s="348" t="str">
        <f>IFERROR(INDEX(DATA_PROPERTY_MASTER!$F$5:$F$21,MATCH($A666,DATA_PROPERTY_MASTER!$A$5:$A$21,0)),"")</f>
        <v>New Build</v>
      </c>
      <c r="I666" t="s">
        <v>1499</v>
      </c>
      <c r="J666" s="348" t="str">
        <f t="shared" ca="1" si="32"/>
        <v>Formula-linked</v>
      </c>
    </row>
    <row r="667" spans="1:10">
      <c r="A667" s="366" t="s">
        <v>473</v>
      </c>
      <c r="B667" s="366">
        <v>2035</v>
      </c>
      <c r="C667" s="366" t="s">
        <v>1500</v>
      </c>
      <c r="D667" s="366">
        <v>52</v>
      </c>
      <c r="E667" s="348">
        <f t="shared" ca="1" si="30"/>
        <v>465724.1208143374</v>
      </c>
      <c r="F667" s="348" t="str">
        <f t="shared" si="31"/>
        <v>BLD_AS</v>
      </c>
      <c r="G667" s="348" t="str">
        <f>IFERROR(INDEX(DATA_PROPERTY_MASTER!$E$5:$E$21,MATCH($A667,DATA_PROPERTY_MASTER!$A$5:$A$21,0)),"")</f>
        <v>Yes</v>
      </c>
      <c r="H667" s="348" t="str">
        <f>IFERROR(INDEX(DATA_PROPERTY_MASTER!$F$5:$F$21,MATCH($A667,DATA_PROPERTY_MASTER!$A$5:$A$21,0)),"")</f>
        <v>New Build</v>
      </c>
      <c r="I667" t="s">
        <v>1501</v>
      </c>
      <c r="J667" s="348" t="str">
        <f t="shared" ca="1" si="32"/>
        <v>Formula-linked</v>
      </c>
    </row>
    <row r="668" spans="1:10">
      <c r="A668" s="366" t="s">
        <v>473</v>
      </c>
      <c r="B668" s="366">
        <v>2035</v>
      </c>
      <c r="C668" s="366" t="s">
        <v>27</v>
      </c>
      <c r="D668" s="366">
        <v>54</v>
      </c>
      <c r="E668" s="348">
        <f t="shared" ca="1" si="30"/>
        <v>279434.47248860245</v>
      </c>
      <c r="F668" s="348" t="str">
        <f t="shared" si="31"/>
        <v>BLD_AS</v>
      </c>
      <c r="G668" s="348" t="str">
        <f>IFERROR(INDEX(DATA_PROPERTY_MASTER!$E$5:$E$21,MATCH($A668,DATA_PROPERTY_MASTER!$A$5:$A$21,0)),"")</f>
        <v>Yes</v>
      </c>
      <c r="H668" s="348" t="str">
        <f>IFERROR(INDEX(DATA_PROPERTY_MASTER!$F$5:$F$21,MATCH($A668,DATA_PROPERTY_MASTER!$A$5:$A$21,0)),"")</f>
        <v>New Build</v>
      </c>
      <c r="I668" t="s">
        <v>1501</v>
      </c>
      <c r="J668" s="348" t="str">
        <f t="shared" ca="1" si="32"/>
        <v>Formula-linked</v>
      </c>
    </row>
    <row r="669" spans="1:10">
      <c r="A669" s="366" t="s">
        <v>473</v>
      </c>
      <c r="B669" s="366">
        <v>2035</v>
      </c>
      <c r="C669" s="366" t="s">
        <v>1502</v>
      </c>
      <c r="D669" s="366">
        <v>56</v>
      </c>
      <c r="E669" s="348">
        <f t="shared" ca="1" si="30"/>
        <v>186289.64832573495</v>
      </c>
      <c r="F669" s="348" t="str">
        <f t="shared" si="31"/>
        <v>BLD_AS</v>
      </c>
      <c r="G669" s="348" t="str">
        <f>IFERROR(INDEX(DATA_PROPERTY_MASTER!$E$5:$E$21,MATCH($A669,DATA_PROPERTY_MASTER!$A$5:$A$21,0)),"")</f>
        <v>Yes</v>
      </c>
      <c r="H669" s="348" t="str">
        <f>IFERROR(INDEX(DATA_PROPERTY_MASTER!$F$5:$F$21,MATCH($A669,DATA_PROPERTY_MASTER!$A$5:$A$21,0)),"")</f>
        <v>New Build</v>
      </c>
      <c r="I669" t="s">
        <v>1501</v>
      </c>
      <c r="J669" s="348" t="str">
        <f t="shared" ca="1" si="32"/>
        <v>Formula-linked</v>
      </c>
    </row>
    <row r="670" spans="1:10">
      <c r="A670" s="366" t="s">
        <v>473</v>
      </c>
      <c r="B670" s="366">
        <v>2035</v>
      </c>
      <c r="C670" s="366" t="s">
        <v>367</v>
      </c>
      <c r="D670" s="366">
        <v>61</v>
      </c>
      <c r="E670" s="348">
        <f t="shared" ca="1" si="30"/>
        <v>0</v>
      </c>
      <c r="F670" s="348" t="str">
        <f t="shared" si="31"/>
        <v>BLD_AS</v>
      </c>
      <c r="G670" s="348" t="str">
        <f>IFERROR(INDEX(DATA_PROPERTY_MASTER!$E$5:$E$21,MATCH($A670,DATA_PROPERTY_MASTER!$A$5:$A$21,0)),"")</f>
        <v>Yes</v>
      </c>
      <c r="H670" s="348" t="str">
        <f>IFERROR(INDEX(DATA_PROPERTY_MASTER!$F$5:$F$21,MATCH($A670,DATA_PROPERTY_MASTER!$A$5:$A$21,0)),"")</f>
        <v>New Build</v>
      </c>
      <c r="I670" t="s">
        <v>1503</v>
      </c>
      <c r="J670" s="348" t="str">
        <f t="shared" ca="1" si="32"/>
        <v>Formula-linked</v>
      </c>
    </row>
    <row r="671" spans="1:10">
      <c r="A671" s="366" t="s">
        <v>473</v>
      </c>
      <c r="B671" s="366">
        <v>2035</v>
      </c>
      <c r="C671" s="366" t="s">
        <v>368</v>
      </c>
      <c r="D671" s="366">
        <v>62</v>
      </c>
      <c r="E671" s="348">
        <f t="shared" ca="1" si="30"/>
        <v>0</v>
      </c>
      <c r="F671" s="348" t="str">
        <f t="shared" si="31"/>
        <v>BLD_AS</v>
      </c>
      <c r="G671" s="348" t="str">
        <f>IFERROR(INDEX(DATA_PROPERTY_MASTER!$E$5:$E$21,MATCH($A671,DATA_PROPERTY_MASTER!$A$5:$A$21,0)),"")</f>
        <v>Yes</v>
      </c>
      <c r="H671" s="348" t="str">
        <f>IFERROR(INDEX(DATA_PROPERTY_MASTER!$F$5:$F$21,MATCH($A671,DATA_PROPERTY_MASTER!$A$5:$A$21,0)),"")</f>
        <v>New Build</v>
      </c>
      <c r="I671" t="s">
        <v>1503</v>
      </c>
      <c r="J671" s="348" t="str">
        <f t="shared" ca="1" si="32"/>
        <v>Formula-linked</v>
      </c>
    </row>
    <row r="672" spans="1:10">
      <c r="A672" s="366" t="s">
        <v>473</v>
      </c>
      <c r="B672" s="366">
        <v>2035</v>
      </c>
      <c r="C672" s="366" t="s">
        <v>1504</v>
      </c>
      <c r="D672" s="366">
        <v>63</v>
      </c>
      <c r="E672" s="348">
        <f t="shared" ca="1" si="30"/>
        <v>0</v>
      </c>
      <c r="F672" s="348" t="str">
        <f t="shared" si="31"/>
        <v>BLD_AS</v>
      </c>
      <c r="G672" s="348" t="str">
        <f>IFERROR(INDEX(DATA_PROPERTY_MASTER!$E$5:$E$21,MATCH($A672,DATA_PROPERTY_MASTER!$A$5:$A$21,0)),"")</f>
        <v>Yes</v>
      </c>
      <c r="H672" s="348" t="str">
        <f>IFERROR(INDEX(DATA_PROPERTY_MASTER!$F$5:$F$21,MATCH($A672,DATA_PROPERTY_MASTER!$A$5:$A$21,0)),"")</f>
        <v>New Build</v>
      </c>
      <c r="I672" t="s">
        <v>1503</v>
      </c>
      <c r="J672" s="348" t="str">
        <f t="shared" ca="1" si="32"/>
        <v>Formula-linked</v>
      </c>
    </row>
    <row r="673" spans="1:10">
      <c r="A673" s="366" t="s">
        <v>473</v>
      </c>
      <c r="B673" s="366">
        <v>2035</v>
      </c>
      <c r="C673" s="366" t="s">
        <v>370</v>
      </c>
      <c r="D673" s="366">
        <v>64</v>
      </c>
      <c r="E673" s="348">
        <f t="shared" ca="1" si="30"/>
        <v>13590075.504897375</v>
      </c>
      <c r="F673" s="348" t="str">
        <f t="shared" si="31"/>
        <v>BLD_AS</v>
      </c>
      <c r="G673" s="348" t="str">
        <f>IFERROR(INDEX(DATA_PROPERTY_MASTER!$E$5:$E$21,MATCH($A673,DATA_PROPERTY_MASTER!$A$5:$A$21,0)),"")</f>
        <v>Yes</v>
      </c>
      <c r="H673" s="348" t="str">
        <f>IFERROR(INDEX(DATA_PROPERTY_MASTER!$F$5:$F$21,MATCH($A673,DATA_PROPERTY_MASTER!$A$5:$A$21,0)),"")</f>
        <v>New Build</v>
      </c>
      <c r="I673" t="s">
        <v>1498</v>
      </c>
      <c r="J673" s="348" t="str">
        <f t="shared" ca="1" si="32"/>
        <v>Formula-linked</v>
      </c>
    </row>
    <row r="674" spans="1:10">
      <c r="A674" s="366" t="s">
        <v>473</v>
      </c>
      <c r="B674" s="366">
        <v>2035</v>
      </c>
      <c r="C674" s="366" t="s">
        <v>544</v>
      </c>
      <c r="D674" s="366">
        <v>68</v>
      </c>
      <c r="E674" s="348">
        <f t="shared" ca="1" si="30"/>
        <v>186289.64832573495</v>
      </c>
      <c r="F674" s="348" t="str">
        <f t="shared" si="31"/>
        <v>BLD_AS</v>
      </c>
      <c r="G674" s="348" t="str">
        <f>IFERROR(INDEX(DATA_PROPERTY_MASTER!$E$5:$E$21,MATCH($A674,DATA_PROPERTY_MASTER!$A$5:$A$21,0)),"")</f>
        <v>Yes</v>
      </c>
      <c r="H674" s="348" t="str">
        <f>IFERROR(INDEX(DATA_PROPERTY_MASTER!$F$5:$F$21,MATCH($A674,DATA_PROPERTY_MASTER!$A$5:$A$21,0)),"")</f>
        <v>New Build</v>
      </c>
      <c r="I674" t="s">
        <v>1501</v>
      </c>
      <c r="J674" s="348" t="str">
        <f t="shared" ca="1" si="32"/>
        <v>Formula-linked</v>
      </c>
    </row>
    <row r="675" spans="1:10">
      <c r="A675" s="366" t="s">
        <v>473</v>
      </c>
      <c r="B675" s="366">
        <v>2035</v>
      </c>
      <c r="C675" s="366" t="s">
        <v>378</v>
      </c>
      <c r="D675" s="366">
        <v>73</v>
      </c>
      <c r="E675" s="348">
        <f t="shared" ca="1" si="30"/>
        <v>21189560.642665047</v>
      </c>
      <c r="F675" s="348" t="str">
        <f t="shared" si="31"/>
        <v>BLD_AS</v>
      </c>
      <c r="G675" s="348" t="str">
        <f>IFERROR(INDEX(DATA_PROPERTY_MASTER!$E$5:$E$21,MATCH($A675,DATA_PROPERTY_MASTER!$A$5:$A$21,0)),"")</f>
        <v>Yes</v>
      </c>
      <c r="H675" s="348" t="str">
        <f>IFERROR(INDEX(DATA_PROPERTY_MASTER!$F$5:$F$21,MATCH($A675,DATA_PROPERTY_MASTER!$A$5:$A$21,0)),"")</f>
        <v>New Build</v>
      </c>
      <c r="I675" t="s">
        <v>1505</v>
      </c>
      <c r="J675" s="348" t="str">
        <f t="shared" ca="1" si="32"/>
        <v>Formula-linked</v>
      </c>
    </row>
    <row r="676" spans="1:10">
      <c r="A676" s="366" t="s">
        <v>473</v>
      </c>
      <c r="B676" s="366">
        <v>2035</v>
      </c>
      <c r="C676" s="366" t="s">
        <v>1506</v>
      </c>
      <c r="D676" s="366">
        <v>77</v>
      </c>
      <c r="E676" s="348">
        <f t="shared" ca="1" si="30"/>
        <v>7599485.1377676725</v>
      </c>
      <c r="F676" s="348" t="str">
        <f t="shared" si="31"/>
        <v>BLD_AS</v>
      </c>
      <c r="G676" s="348" t="str">
        <f>IFERROR(INDEX(DATA_PROPERTY_MASTER!$E$5:$E$21,MATCH($A676,DATA_PROPERTY_MASTER!$A$5:$A$21,0)),"")</f>
        <v>Yes</v>
      </c>
      <c r="H676" s="348" t="str">
        <f>IFERROR(INDEX(DATA_PROPERTY_MASTER!$F$5:$F$21,MATCH($A676,DATA_PROPERTY_MASTER!$A$5:$A$21,0)),"")</f>
        <v>New Build</v>
      </c>
      <c r="I676" t="s">
        <v>1505</v>
      </c>
      <c r="J676" s="348" t="str">
        <f t="shared" ca="1" si="32"/>
        <v>Formula-linked</v>
      </c>
    </row>
    <row r="677" spans="1:10">
      <c r="A677" s="366" t="s">
        <v>476</v>
      </c>
      <c r="B677" s="366">
        <v>2025</v>
      </c>
      <c r="C677" s="366" t="s">
        <v>341</v>
      </c>
      <c r="D677" s="366">
        <v>24</v>
      </c>
      <c r="E677" s="348">
        <f t="shared" ca="1" si="30"/>
        <v>0</v>
      </c>
      <c r="F677" s="348" t="str">
        <f t="shared" si="31"/>
        <v>BLD_PS</v>
      </c>
      <c r="G677" s="348" t="str">
        <f>IFERROR(INDEX(DATA_PROPERTY_MASTER!$E$5:$E$21,MATCH($A677,DATA_PROPERTY_MASTER!$A$5:$A$21,0)),"")</f>
        <v>Yes</v>
      </c>
      <c r="H677" s="348" t="str">
        <f>IFERROR(INDEX(DATA_PROPERTY_MASTER!$F$5:$F$21,MATCH($A677,DATA_PROPERTY_MASTER!$A$5:$A$21,0)),"")</f>
        <v>New Build</v>
      </c>
      <c r="I677" t="s">
        <v>1495</v>
      </c>
      <c r="J677" s="348" t="str">
        <f t="shared" ca="1" si="32"/>
        <v>Formula-linked</v>
      </c>
    </row>
    <row r="678" spans="1:10">
      <c r="A678" s="366" t="s">
        <v>476</v>
      </c>
      <c r="B678" s="366">
        <v>2025</v>
      </c>
      <c r="C678" s="366" t="s">
        <v>355</v>
      </c>
      <c r="D678" s="366">
        <v>39</v>
      </c>
      <c r="E678" s="348">
        <f t="shared" ca="1" si="30"/>
        <v>0</v>
      </c>
      <c r="F678" s="348" t="str">
        <f t="shared" si="31"/>
        <v>BLD_PS</v>
      </c>
      <c r="G678" s="348" t="str">
        <f>IFERROR(INDEX(DATA_PROPERTY_MASTER!$E$5:$E$21,MATCH($A678,DATA_PROPERTY_MASTER!$A$5:$A$21,0)),"")</f>
        <v>Yes</v>
      </c>
      <c r="H678" s="348" t="str">
        <f>IFERROR(INDEX(DATA_PROPERTY_MASTER!$F$5:$F$21,MATCH($A678,DATA_PROPERTY_MASTER!$A$5:$A$21,0)),"")</f>
        <v>New Build</v>
      </c>
      <c r="I678" t="s">
        <v>1496</v>
      </c>
      <c r="J678" s="348" t="str">
        <f t="shared" ca="1" si="32"/>
        <v>Formula-linked</v>
      </c>
    </row>
    <row r="679" spans="1:10">
      <c r="A679" s="366" t="s">
        <v>476</v>
      </c>
      <c r="B679" s="366">
        <v>2025</v>
      </c>
      <c r="C679" s="366" t="s">
        <v>1497</v>
      </c>
      <c r="D679" s="366">
        <v>41</v>
      </c>
      <c r="E679" s="348">
        <f t="shared" ca="1" si="30"/>
        <v>0</v>
      </c>
      <c r="F679" s="348" t="str">
        <f t="shared" si="31"/>
        <v>BLD_PS</v>
      </c>
      <c r="G679" s="348" t="str">
        <f>IFERROR(INDEX(DATA_PROPERTY_MASTER!$E$5:$E$21,MATCH($A679,DATA_PROPERTY_MASTER!$A$5:$A$21,0)),"")</f>
        <v>Yes</v>
      </c>
      <c r="H679" s="348" t="str">
        <f>IFERROR(INDEX(DATA_PROPERTY_MASTER!$F$5:$F$21,MATCH($A679,DATA_PROPERTY_MASTER!$A$5:$A$21,0)),"")</f>
        <v>New Build</v>
      </c>
      <c r="I679" t="s">
        <v>1497</v>
      </c>
      <c r="J679" s="348" t="str">
        <f t="shared" ca="1" si="32"/>
        <v>Formula-linked</v>
      </c>
    </row>
    <row r="680" spans="1:10">
      <c r="A680" s="366" t="s">
        <v>476</v>
      </c>
      <c r="B680" s="366">
        <v>2025</v>
      </c>
      <c r="C680" s="366" t="s">
        <v>21</v>
      </c>
      <c r="D680" s="366">
        <v>45</v>
      </c>
      <c r="E680" s="348">
        <f t="shared" ca="1" si="30"/>
        <v>0</v>
      </c>
      <c r="F680" s="348" t="str">
        <f t="shared" si="31"/>
        <v>BLD_PS</v>
      </c>
      <c r="G680" s="348" t="str">
        <f>IFERROR(INDEX(DATA_PROPERTY_MASTER!$E$5:$E$21,MATCH($A680,DATA_PROPERTY_MASTER!$A$5:$A$21,0)),"")</f>
        <v>Yes</v>
      </c>
      <c r="H680" s="348" t="str">
        <f>IFERROR(INDEX(DATA_PROPERTY_MASTER!$F$5:$F$21,MATCH($A680,DATA_PROPERTY_MASTER!$A$5:$A$21,0)),"")</f>
        <v>New Build</v>
      </c>
      <c r="I680" t="s">
        <v>1497</v>
      </c>
      <c r="J680" s="348" t="str">
        <f t="shared" ca="1" si="32"/>
        <v>Formula-linked</v>
      </c>
    </row>
    <row r="681" spans="1:10">
      <c r="A681" s="366" t="s">
        <v>476</v>
      </c>
      <c r="B681" s="366">
        <v>2025</v>
      </c>
      <c r="C681" s="366" t="s">
        <v>23</v>
      </c>
      <c r="D681" s="366">
        <v>48</v>
      </c>
      <c r="E681" s="348">
        <f t="shared" ca="1" si="30"/>
        <v>1988236.6044415063</v>
      </c>
      <c r="F681" s="348" t="str">
        <f t="shared" si="31"/>
        <v>BLD_PS</v>
      </c>
      <c r="G681" s="348" t="str">
        <f>IFERROR(INDEX(DATA_PROPERTY_MASTER!$E$5:$E$21,MATCH($A681,DATA_PROPERTY_MASTER!$A$5:$A$21,0)),"")</f>
        <v>Yes</v>
      </c>
      <c r="H681" s="348" t="str">
        <f>IFERROR(INDEX(DATA_PROPERTY_MASTER!$F$5:$F$21,MATCH($A681,DATA_PROPERTY_MASTER!$A$5:$A$21,0)),"")</f>
        <v>New Build</v>
      </c>
      <c r="I681" t="s">
        <v>1498</v>
      </c>
      <c r="J681" s="348" t="str">
        <f t="shared" ca="1" si="32"/>
        <v>Formula-linked</v>
      </c>
    </row>
    <row r="682" spans="1:10">
      <c r="A682" s="366" t="s">
        <v>476</v>
      </c>
      <c r="B682" s="366">
        <v>2025</v>
      </c>
      <c r="C682" s="366" t="s">
        <v>213</v>
      </c>
      <c r="D682" s="366">
        <v>50</v>
      </c>
      <c r="E682" s="348">
        <f t="shared" ca="1" si="30"/>
        <v>0</v>
      </c>
      <c r="F682" s="348" t="str">
        <f t="shared" si="31"/>
        <v>BLD_PS</v>
      </c>
      <c r="G682" s="348" t="str">
        <f>IFERROR(INDEX(DATA_PROPERTY_MASTER!$E$5:$E$21,MATCH($A682,DATA_PROPERTY_MASTER!$A$5:$A$21,0)),"")</f>
        <v>Yes</v>
      </c>
      <c r="H682" s="348" t="str">
        <f>IFERROR(INDEX(DATA_PROPERTY_MASTER!$F$5:$F$21,MATCH($A682,DATA_PROPERTY_MASTER!$A$5:$A$21,0)),"")</f>
        <v>New Build</v>
      </c>
      <c r="I682" t="s">
        <v>1499</v>
      </c>
      <c r="J682" s="348" t="str">
        <f t="shared" ca="1" si="32"/>
        <v>Formula-linked</v>
      </c>
    </row>
    <row r="683" spans="1:10">
      <c r="A683" s="366" t="s">
        <v>476</v>
      </c>
      <c r="B683" s="366">
        <v>2025</v>
      </c>
      <c r="C683" s="366" t="s">
        <v>1500</v>
      </c>
      <c r="D683" s="366">
        <v>52</v>
      </c>
      <c r="E683" s="348">
        <f t="shared" ca="1" si="30"/>
        <v>-1988236.6044415063</v>
      </c>
      <c r="F683" s="348" t="str">
        <f t="shared" si="31"/>
        <v>BLD_PS</v>
      </c>
      <c r="G683" s="348" t="str">
        <f>IFERROR(INDEX(DATA_PROPERTY_MASTER!$E$5:$E$21,MATCH($A683,DATA_PROPERTY_MASTER!$A$5:$A$21,0)),"")</f>
        <v>Yes</v>
      </c>
      <c r="H683" s="348" t="str">
        <f>IFERROR(INDEX(DATA_PROPERTY_MASTER!$F$5:$F$21,MATCH($A683,DATA_PROPERTY_MASTER!$A$5:$A$21,0)),"")</f>
        <v>New Build</v>
      </c>
      <c r="I683" t="s">
        <v>1501</v>
      </c>
      <c r="J683" s="348" t="str">
        <f t="shared" ca="1" si="32"/>
        <v>Formula-linked</v>
      </c>
    </row>
    <row r="684" spans="1:10">
      <c r="A684" s="366" t="s">
        <v>476</v>
      </c>
      <c r="B684" s="366">
        <v>2025</v>
      </c>
      <c r="C684" s="366" t="s">
        <v>27</v>
      </c>
      <c r="D684" s="366">
        <v>54</v>
      </c>
      <c r="E684" s="348">
        <f t="shared" ca="1" si="30"/>
        <v>0</v>
      </c>
      <c r="F684" s="348" t="str">
        <f t="shared" si="31"/>
        <v>BLD_PS</v>
      </c>
      <c r="G684" s="348" t="str">
        <f>IFERROR(INDEX(DATA_PROPERTY_MASTER!$E$5:$E$21,MATCH($A684,DATA_PROPERTY_MASTER!$A$5:$A$21,0)),"")</f>
        <v>Yes</v>
      </c>
      <c r="H684" s="348" t="str">
        <f>IFERROR(INDEX(DATA_PROPERTY_MASTER!$F$5:$F$21,MATCH($A684,DATA_PROPERTY_MASTER!$A$5:$A$21,0)),"")</f>
        <v>New Build</v>
      </c>
      <c r="I684" t="s">
        <v>1501</v>
      </c>
      <c r="J684" s="348" t="str">
        <f t="shared" ca="1" si="32"/>
        <v>Formula-linked</v>
      </c>
    </row>
    <row r="685" spans="1:10">
      <c r="A685" s="366" t="s">
        <v>476</v>
      </c>
      <c r="B685" s="366">
        <v>2025</v>
      </c>
      <c r="C685" s="366" t="s">
        <v>1502</v>
      </c>
      <c r="D685" s="366">
        <v>56</v>
      </c>
      <c r="E685" s="348">
        <f t="shared" ca="1" si="30"/>
        <v>-1988236.6044415063</v>
      </c>
      <c r="F685" s="348" t="str">
        <f t="shared" si="31"/>
        <v>BLD_PS</v>
      </c>
      <c r="G685" s="348" t="str">
        <f>IFERROR(INDEX(DATA_PROPERTY_MASTER!$E$5:$E$21,MATCH($A685,DATA_PROPERTY_MASTER!$A$5:$A$21,0)),"")</f>
        <v>Yes</v>
      </c>
      <c r="H685" s="348" t="str">
        <f>IFERROR(INDEX(DATA_PROPERTY_MASTER!$F$5:$F$21,MATCH($A685,DATA_PROPERTY_MASTER!$A$5:$A$21,0)),"")</f>
        <v>New Build</v>
      </c>
      <c r="I685" t="s">
        <v>1501</v>
      </c>
      <c r="J685" s="348" t="str">
        <f t="shared" ca="1" si="32"/>
        <v>Formula-linked</v>
      </c>
    </row>
    <row r="686" spans="1:10">
      <c r="A686" s="366" t="s">
        <v>476</v>
      </c>
      <c r="B686" s="366">
        <v>2025</v>
      </c>
      <c r="C686" s="366" t="s">
        <v>367</v>
      </c>
      <c r="D686" s="366">
        <v>61</v>
      </c>
      <c r="E686" s="348">
        <f t="shared" ca="1" si="30"/>
        <v>0</v>
      </c>
      <c r="F686" s="348" t="str">
        <f t="shared" si="31"/>
        <v>BLD_PS</v>
      </c>
      <c r="G686" s="348" t="str">
        <f>IFERROR(INDEX(DATA_PROPERTY_MASTER!$E$5:$E$21,MATCH($A686,DATA_PROPERTY_MASTER!$A$5:$A$21,0)),"")</f>
        <v>Yes</v>
      </c>
      <c r="H686" s="348" t="str">
        <f>IFERROR(INDEX(DATA_PROPERTY_MASTER!$F$5:$F$21,MATCH($A686,DATA_PROPERTY_MASTER!$A$5:$A$21,0)),"")</f>
        <v>New Build</v>
      </c>
      <c r="I686" t="s">
        <v>1503</v>
      </c>
      <c r="J686" s="348" t="str">
        <f t="shared" ca="1" si="32"/>
        <v>Formula-linked</v>
      </c>
    </row>
    <row r="687" spans="1:10">
      <c r="A687" s="366" t="s">
        <v>476</v>
      </c>
      <c r="B687" s="366">
        <v>2025</v>
      </c>
      <c r="C687" s="366" t="s">
        <v>368</v>
      </c>
      <c r="D687" s="366">
        <v>62</v>
      </c>
      <c r="E687" s="348">
        <f t="shared" ca="1" si="30"/>
        <v>0</v>
      </c>
      <c r="F687" s="348" t="str">
        <f t="shared" si="31"/>
        <v>BLD_PS</v>
      </c>
      <c r="G687" s="348" t="str">
        <f>IFERROR(INDEX(DATA_PROPERTY_MASTER!$E$5:$E$21,MATCH($A687,DATA_PROPERTY_MASTER!$A$5:$A$21,0)),"")</f>
        <v>Yes</v>
      </c>
      <c r="H687" s="348" t="str">
        <f>IFERROR(INDEX(DATA_PROPERTY_MASTER!$F$5:$F$21,MATCH($A687,DATA_PROPERTY_MASTER!$A$5:$A$21,0)),"")</f>
        <v>New Build</v>
      </c>
      <c r="I687" t="s">
        <v>1503</v>
      </c>
      <c r="J687" s="348" t="str">
        <f t="shared" ca="1" si="32"/>
        <v>Formula-linked</v>
      </c>
    </row>
    <row r="688" spans="1:10">
      <c r="A688" s="366" t="s">
        <v>476</v>
      </c>
      <c r="B688" s="366">
        <v>2025</v>
      </c>
      <c r="C688" s="366" t="s">
        <v>1504</v>
      </c>
      <c r="D688" s="366">
        <v>63</v>
      </c>
      <c r="E688" s="348">
        <f t="shared" ca="1" si="30"/>
        <v>0</v>
      </c>
      <c r="F688" s="348" t="str">
        <f t="shared" si="31"/>
        <v>BLD_PS</v>
      </c>
      <c r="G688" s="348" t="str">
        <f>IFERROR(INDEX(DATA_PROPERTY_MASTER!$E$5:$E$21,MATCH($A688,DATA_PROPERTY_MASTER!$A$5:$A$21,0)),"")</f>
        <v>Yes</v>
      </c>
      <c r="H688" s="348" t="str">
        <f>IFERROR(INDEX(DATA_PROPERTY_MASTER!$F$5:$F$21,MATCH($A688,DATA_PROPERTY_MASTER!$A$5:$A$21,0)),"")</f>
        <v>New Build</v>
      </c>
      <c r="I688" t="s">
        <v>1503</v>
      </c>
      <c r="J688" s="348" t="str">
        <f t="shared" ca="1" si="32"/>
        <v>Formula-linked</v>
      </c>
    </row>
    <row r="689" spans="1:10">
      <c r="A689" s="366" t="s">
        <v>476</v>
      </c>
      <c r="B689" s="366">
        <v>2025</v>
      </c>
      <c r="C689" s="366" t="s">
        <v>370</v>
      </c>
      <c r="D689" s="366">
        <v>64</v>
      </c>
      <c r="E689" s="348">
        <f t="shared" ca="1" si="30"/>
        <v>36525238.395558491</v>
      </c>
      <c r="F689" s="348" t="str">
        <f t="shared" si="31"/>
        <v>BLD_PS</v>
      </c>
      <c r="G689" s="348" t="str">
        <f>IFERROR(INDEX(DATA_PROPERTY_MASTER!$E$5:$E$21,MATCH($A689,DATA_PROPERTY_MASTER!$A$5:$A$21,0)),"")</f>
        <v>Yes</v>
      </c>
      <c r="H689" s="348" t="str">
        <f>IFERROR(INDEX(DATA_PROPERTY_MASTER!$F$5:$F$21,MATCH($A689,DATA_PROPERTY_MASTER!$A$5:$A$21,0)),"")</f>
        <v>New Build</v>
      </c>
      <c r="I689" t="s">
        <v>1498</v>
      </c>
      <c r="J689" s="348" t="str">
        <f t="shared" ca="1" si="32"/>
        <v>Formula-linked</v>
      </c>
    </row>
    <row r="690" spans="1:10">
      <c r="A690" s="366" t="s">
        <v>476</v>
      </c>
      <c r="B690" s="366">
        <v>2025</v>
      </c>
      <c r="C690" s="366" t="s">
        <v>544</v>
      </c>
      <c r="D690" s="366">
        <v>68</v>
      </c>
      <c r="E690" s="348">
        <f t="shared" ca="1" si="30"/>
        <v>-1988236.6044415063</v>
      </c>
      <c r="F690" s="348" t="str">
        <f t="shared" si="31"/>
        <v>BLD_PS</v>
      </c>
      <c r="G690" s="348" t="str">
        <f>IFERROR(INDEX(DATA_PROPERTY_MASTER!$E$5:$E$21,MATCH($A690,DATA_PROPERTY_MASTER!$A$5:$A$21,0)),"")</f>
        <v>Yes</v>
      </c>
      <c r="H690" s="348" t="str">
        <f>IFERROR(INDEX(DATA_PROPERTY_MASTER!$F$5:$F$21,MATCH($A690,DATA_PROPERTY_MASTER!$A$5:$A$21,0)),"")</f>
        <v>New Build</v>
      </c>
      <c r="I690" t="s">
        <v>1501</v>
      </c>
      <c r="J690" s="348" t="str">
        <f t="shared" ca="1" si="32"/>
        <v>Formula-linked</v>
      </c>
    </row>
    <row r="691" spans="1:10">
      <c r="A691" s="366" t="s">
        <v>476</v>
      </c>
      <c r="B691" s="366">
        <v>2025</v>
      </c>
      <c r="C691" s="366" t="s">
        <v>378</v>
      </c>
      <c r="D691" s="366">
        <v>73</v>
      </c>
      <c r="E691" s="348">
        <f t="shared" ca="1" si="30"/>
        <v>0</v>
      </c>
      <c r="F691" s="348" t="str">
        <f t="shared" si="31"/>
        <v>BLD_PS</v>
      </c>
      <c r="G691" s="348" t="str">
        <f>IFERROR(INDEX(DATA_PROPERTY_MASTER!$E$5:$E$21,MATCH($A691,DATA_PROPERTY_MASTER!$A$5:$A$21,0)),"")</f>
        <v>Yes</v>
      </c>
      <c r="H691" s="348" t="str">
        <f>IFERROR(INDEX(DATA_PROPERTY_MASTER!$F$5:$F$21,MATCH($A691,DATA_PROPERTY_MASTER!$A$5:$A$21,0)),"")</f>
        <v>New Build</v>
      </c>
      <c r="I691" t="s">
        <v>1505</v>
      </c>
      <c r="J691" s="348" t="str">
        <f t="shared" ca="1" si="32"/>
        <v>Formula-linked</v>
      </c>
    </row>
    <row r="692" spans="1:10">
      <c r="A692" s="366" t="s">
        <v>476</v>
      </c>
      <c r="B692" s="366">
        <v>2025</v>
      </c>
      <c r="C692" s="366" t="s">
        <v>1506</v>
      </c>
      <c r="D692" s="366">
        <v>77</v>
      </c>
      <c r="E692" s="348">
        <f t="shared" ca="1" si="30"/>
        <v>-36525238.395558491</v>
      </c>
      <c r="F692" s="348" t="str">
        <f t="shared" si="31"/>
        <v>BLD_PS</v>
      </c>
      <c r="G692" s="348" t="str">
        <f>IFERROR(INDEX(DATA_PROPERTY_MASTER!$E$5:$E$21,MATCH($A692,DATA_PROPERTY_MASTER!$A$5:$A$21,0)),"")</f>
        <v>Yes</v>
      </c>
      <c r="H692" s="348" t="str">
        <f>IFERROR(INDEX(DATA_PROPERTY_MASTER!$F$5:$F$21,MATCH($A692,DATA_PROPERTY_MASTER!$A$5:$A$21,0)),"")</f>
        <v>New Build</v>
      </c>
      <c r="I692" t="s">
        <v>1505</v>
      </c>
      <c r="J692" s="348" t="str">
        <f t="shared" ca="1" si="32"/>
        <v>Formula-linked</v>
      </c>
    </row>
    <row r="693" spans="1:10">
      <c r="A693" s="366" t="s">
        <v>476</v>
      </c>
      <c r="B693" s="366">
        <v>2029</v>
      </c>
      <c r="C693" s="366" t="s">
        <v>341</v>
      </c>
      <c r="D693" s="366">
        <v>24</v>
      </c>
      <c r="E693" s="348">
        <f t="shared" ca="1" si="30"/>
        <v>1811985.5322549995</v>
      </c>
      <c r="F693" s="348" t="str">
        <f t="shared" si="31"/>
        <v>BLD_PS</v>
      </c>
      <c r="G693" s="348" t="str">
        <f>IFERROR(INDEX(DATA_PROPERTY_MASTER!$E$5:$E$21,MATCH($A693,DATA_PROPERTY_MASTER!$A$5:$A$21,0)),"")</f>
        <v>Yes</v>
      </c>
      <c r="H693" s="348" t="str">
        <f>IFERROR(INDEX(DATA_PROPERTY_MASTER!$F$5:$F$21,MATCH($A693,DATA_PROPERTY_MASTER!$A$5:$A$21,0)),"")</f>
        <v>New Build</v>
      </c>
      <c r="I693" t="s">
        <v>1495</v>
      </c>
      <c r="J693" s="348" t="str">
        <f t="shared" ca="1" si="32"/>
        <v>Formula-linked</v>
      </c>
    </row>
    <row r="694" spans="1:10">
      <c r="A694" s="366" t="s">
        <v>476</v>
      </c>
      <c r="B694" s="366">
        <v>2029</v>
      </c>
      <c r="C694" s="366" t="s">
        <v>355</v>
      </c>
      <c r="D694" s="366">
        <v>39</v>
      </c>
      <c r="E694" s="348">
        <f t="shared" ca="1" si="30"/>
        <v>802349.83309312025</v>
      </c>
      <c r="F694" s="348" t="str">
        <f t="shared" si="31"/>
        <v>BLD_PS</v>
      </c>
      <c r="G694" s="348" t="str">
        <f>IFERROR(INDEX(DATA_PROPERTY_MASTER!$E$5:$E$21,MATCH($A694,DATA_PROPERTY_MASTER!$A$5:$A$21,0)),"")</f>
        <v>Yes</v>
      </c>
      <c r="H694" s="348" t="str">
        <f>IFERROR(INDEX(DATA_PROPERTY_MASTER!$F$5:$F$21,MATCH($A694,DATA_PROPERTY_MASTER!$A$5:$A$21,0)),"")</f>
        <v>New Build</v>
      </c>
      <c r="I694" t="s">
        <v>1496</v>
      </c>
      <c r="J694" s="348" t="str">
        <f t="shared" ca="1" si="32"/>
        <v>Formula-linked</v>
      </c>
    </row>
    <row r="695" spans="1:10">
      <c r="A695" s="366" t="s">
        <v>476</v>
      </c>
      <c r="B695" s="366">
        <v>2029</v>
      </c>
      <c r="C695" s="366" t="s">
        <v>1497</v>
      </c>
      <c r="D695" s="366">
        <v>41</v>
      </c>
      <c r="E695" s="348">
        <f t="shared" ca="1" si="30"/>
        <v>1009635.6991618793</v>
      </c>
      <c r="F695" s="348" t="str">
        <f t="shared" si="31"/>
        <v>BLD_PS</v>
      </c>
      <c r="G695" s="348" t="str">
        <f>IFERROR(INDEX(DATA_PROPERTY_MASTER!$E$5:$E$21,MATCH($A695,DATA_PROPERTY_MASTER!$A$5:$A$21,0)),"")</f>
        <v>Yes</v>
      </c>
      <c r="H695" s="348" t="str">
        <f>IFERROR(INDEX(DATA_PROPERTY_MASTER!$F$5:$F$21,MATCH($A695,DATA_PROPERTY_MASTER!$A$5:$A$21,0)),"")</f>
        <v>New Build</v>
      </c>
      <c r="I695" t="s">
        <v>1497</v>
      </c>
      <c r="J695" s="348" t="str">
        <f t="shared" ca="1" si="32"/>
        <v>Formula-linked</v>
      </c>
    </row>
    <row r="696" spans="1:10">
      <c r="A696" s="366" t="s">
        <v>476</v>
      </c>
      <c r="B696" s="366">
        <v>2029</v>
      </c>
      <c r="C696" s="366" t="s">
        <v>21</v>
      </c>
      <c r="D696" s="366">
        <v>45</v>
      </c>
      <c r="E696" s="348">
        <f t="shared" ca="1" si="30"/>
        <v>994860.50017787924</v>
      </c>
      <c r="F696" s="348" t="str">
        <f t="shared" si="31"/>
        <v>BLD_PS</v>
      </c>
      <c r="G696" s="348" t="str">
        <f>IFERROR(INDEX(DATA_PROPERTY_MASTER!$E$5:$E$21,MATCH($A696,DATA_PROPERTY_MASTER!$A$5:$A$21,0)),"")</f>
        <v>Yes</v>
      </c>
      <c r="H696" s="348" t="str">
        <f>IFERROR(INDEX(DATA_PROPERTY_MASTER!$F$5:$F$21,MATCH($A696,DATA_PROPERTY_MASTER!$A$5:$A$21,0)),"")</f>
        <v>New Build</v>
      </c>
      <c r="I696" t="s">
        <v>1497</v>
      </c>
      <c r="J696" s="348" t="str">
        <f t="shared" ca="1" si="32"/>
        <v>Formula-linked</v>
      </c>
    </row>
    <row r="697" spans="1:10">
      <c r="A697" s="366" t="s">
        <v>476</v>
      </c>
      <c r="B697" s="366">
        <v>2029</v>
      </c>
      <c r="C697" s="366" t="s">
        <v>23</v>
      </c>
      <c r="D697" s="366">
        <v>48</v>
      </c>
      <c r="E697" s="348">
        <f t="shared" ca="1" si="30"/>
        <v>667460.46017404622</v>
      </c>
      <c r="F697" s="348" t="str">
        <f t="shared" si="31"/>
        <v>BLD_PS</v>
      </c>
      <c r="G697" s="348" t="str">
        <f>IFERROR(INDEX(DATA_PROPERTY_MASTER!$E$5:$E$21,MATCH($A697,DATA_PROPERTY_MASTER!$A$5:$A$21,0)),"")</f>
        <v>Yes</v>
      </c>
      <c r="H697" s="348" t="str">
        <f>IFERROR(INDEX(DATA_PROPERTY_MASTER!$F$5:$F$21,MATCH($A697,DATA_PROPERTY_MASTER!$A$5:$A$21,0)),"")</f>
        <v>New Build</v>
      </c>
      <c r="I697" t="s">
        <v>1498</v>
      </c>
      <c r="J697" s="348" t="str">
        <f t="shared" ca="1" si="32"/>
        <v>Formula-linked</v>
      </c>
    </row>
    <row r="698" spans="1:10">
      <c r="A698" s="366" t="s">
        <v>476</v>
      </c>
      <c r="B698" s="366">
        <v>2029</v>
      </c>
      <c r="C698" s="366" t="s">
        <v>213</v>
      </c>
      <c r="D698" s="366">
        <v>50</v>
      </c>
      <c r="E698" s="348">
        <f t="shared" ca="1" si="30"/>
        <v>1.5126524482043593</v>
      </c>
      <c r="F698" s="348" t="str">
        <f t="shared" si="31"/>
        <v>BLD_PS</v>
      </c>
      <c r="G698" s="348" t="str">
        <f>IFERROR(INDEX(DATA_PROPERTY_MASTER!$E$5:$E$21,MATCH($A698,DATA_PROPERTY_MASTER!$A$5:$A$21,0)),"")</f>
        <v>Yes</v>
      </c>
      <c r="H698" s="348" t="str">
        <f>IFERROR(INDEX(DATA_PROPERTY_MASTER!$F$5:$F$21,MATCH($A698,DATA_PROPERTY_MASTER!$A$5:$A$21,0)),"")</f>
        <v>New Build</v>
      </c>
      <c r="I698" t="s">
        <v>1499</v>
      </c>
      <c r="J698" s="348" t="str">
        <f t="shared" ca="1" si="32"/>
        <v>Formula-linked</v>
      </c>
    </row>
    <row r="699" spans="1:10">
      <c r="A699" s="366" t="s">
        <v>476</v>
      </c>
      <c r="B699" s="366">
        <v>2029</v>
      </c>
      <c r="C699" s="366" t="s">
        <v>1500</v>
      </c>
      <c r="D699" s="366">
        <v>52</v>
      </c>
      <c r="E699" s="348">
        <f t="shared" ca="1" si="30"/>
        <v>342175.23898783303</v>
      </c>
      <c r="F699" s="348" t="str">
        <f t="shared" si="31"/>
        <v>BLD_PS</v>
      </c>
      <c r="G699" s="348" t="str">
        <f>IFERROR(INDEX(DATA_PROPERTY_MASTER!$E$5:$E$21,MATCH($A699,DATA_PROPERTY_MASTER!$A$5:$A$21,0)),"")</f>
        <v>Yes</v>
      </c>
      <c r="H699" s="348" t="str">
        <f>IFERROR(INDEX(DATA_PROPERTY_MASTER!$F$5:$F$21,MATCH($A699,DATA_PROPERTY_MASTER!$A$5:$A$21,0)),"")</f>
        <v>New Build</v>
      </c>
      <c r="I699" t="s">
        <v>1501</v>
      </c>
      <c r="J699" s="348" t="str">
        <f t="shared" ca="1" si="32"/>
        <v>Formula-linked</v>
      </c>
    </row>
    <row r="700" spans="1:10">
      <c r="A700" s="366" t="s">
        <v>476</v>
      </c>
      <c r="B700" s="366">
        <v>2029</v>
      </c>
      <c r="C700" s="366" t="s">
        <v>27</v>
      </c>
      <c r="D700" s="366">
        <v>54</v>
      </c>
      <c r="E700" s="348">
        <f t="shared" ca="1" si="30"/>
        <v>205305.1433926998</v>
      </c>
      <c r="F700" s="348" t="str">
        <f t="shared" si="31"/>
        <v>BLD_PS</v>
      </c>
      <c r="G700" s="348" t="str">
        <f>IFERROR(INDEX(DATA_PROPERTY_MASTER!$E$5:$E$21,MATCH($A700,DATA_PROPERTY_MASTER!$A$5:$A$21,0)),"")</f>
        <v>Yes</v>
      </c>
      <c r="H700" s="348" t="str">
        <f>IFERROR(INDEX(DATA_PROPERTY_MASTER!$F$5:$F$21,MATCH($A700,DATA_PROPERTY_MASTER!$A$5:$A$21,0)),"")</f>
        <v>New Build</v>
      </c>
      <c r="I700" t="s">
        <v>1501</v>
      </c>
      <c r="J700" s="348" t="str">
        <f t="shared" ca="1" si="32"/>
        <v>Formula-linked</v>
      </c>
    </row>
    <row r="701" spans="1:10">
      <c r="A701" s="366" t="s">
        <v>476</v>
      </c>
      <c r="B701" s="366">
        <v>2029</v>
      </c>
      <c r="C701" s="366" t="s">
        <v>1502</v>
      </c>
      <c r="D701" s="366">
        <v>56</v>
      </c>
      <c r="E701" s="348">
        <f t="shared" ca="1" si="30"/>
        <v>136870.09559513323</v>
      </c>
      <c r="F701" s="348" t="str">
        <f t="shared" si="31"/>
        <v>BLD_PS</v>
      </c>
      <c r="G701" s="348" t="str">
        <f>IFERROR(INDEX(DATA_PROPERTY_MASTER!$E$5:$E$21,MATCH($A701,DATA_PROPERTY_MASTER!$A$5:$A$21,0)),"")</f>
        <v>Yes</v>
      </c>
      <c r="H701" s="348" t="str">
        <f>IFERROR(INDEX(DATA_PROPERTY_MASTER!$F$5:$F$21,MATCH($A701,DATA_PROPERTY_MASTER!$A$5:$A$21,0)),"")</f>
        <v>New Build</v>
      </c>
      <c r="I701" t="s">
        <v>1501</v>
      </c>
      <c r="J701" s="348" t="str">
        <f t="shared" ca="1" si="32"/>
        <v>Formula-linked</v>
      </c>
    </row>
    <row r="702" spans="1:10">
      <c r="A702" s="366" t="s">
        <v>476</v>
      </c>
      <c r="B702" s="366">
        <v>2029</v>
      </c>
      <c r="C702" s="366" t="s">
        <v>367</v>
      </c>
      <c r="D702" s="366">
        <v>61</v>
      </c>
      <c r="E702" s="348">
        <f t="shared" ca="1" si="30"/>
        <v>0</v>
      </c>
      <c r="F702" s="348" t="str">
        <f t="shared" si="31"/>
        <v>BLD_PS</v>
      </c>
      <c r="G702" s="348" t="str">
        <f>IFERROR(INDEX(DATA_PROPERTY_MASTER!$E$5:$E$21,MATCH($A702,DATA_PROPERTY_MASTER!$A$5:$A$21,0)),"")</f>
        <v>Yes</v>
      </c>
      <c r="H702" s="348" t="str">
        <f>IFERROR(INDEX(DATA_PROPERTY_MASTER!$F$5:$F$21,MATCH($A702,DATA_PROPERTY_MASTER!$A$5:$A$21,0)),"")</f>
        <v>New Build</v>
      </c>
      <c r="I702" t="s">
        <v>1503</v>
      </c>
      <c r="J702" s="348" t="str">
        <f t="shared" ca="1" si="32"/>
        <v>Formula-linked</v>
      </c>
    </row>
    <row r="703" spans="1:10">
      <c r="A703" s="366" t="s">
        <v>476</v>
      </c>
      <c r="B703" s="366">
        <v>2029</v>
      </c>
      <c r="C703" s="366" t="s">
        <v>368</v>
      </c>
      <c r="D703" s="366">
        <v>62</v>
      </c>
      <c r="E703" s="348">
        <f t="shared" ca="1" si="30"/>
        <v>0</v>
      </c>
      <c r="F703" s="348" t="str">
        <f t="shared" si="31"/>
        <v>BLD_PS</v>
      </c>
      <c r="G703" s="348" t="str">
        <f>IFERROR(INDEX(DATA_PROPERTY_MASTER!$E$5:$E$21,MATCH($A703,DATA_PROPERTY_MASTER!$A$5:$A$21,0)),"")</f>
        <v>Yes</v>
      </c>
      <c r="H703" s="348" t="str">
        <f>IFERROR(INDEX(DATA_PROPERTY_MASTER!$F$5:$F$21,MATCH($A703,DATA_PROPERTY_MASTER!$A$5:$A$21,0)),"")</f>
        <v>New Build</v>
      </c>
      <c r="I703" t="s">
        <v>1503</v>
      </c>
      <c r="J703" s="348" t="str">
        <f t="shared" ca="1" si="32"/>
        <v>Formula-linked</v>
      </c>
    </row>
    <row r="704" spans="1:10">
      <c r="A704" s="366" t="s">
        <v>476</v>
      </c>
      <c r="B704" s="366">
        <v>2029</v>
      </c>
      <c r="C704" s="366" t="s">
        <v>1504</v>
      </c>
      <c r="D704" s="366">
        <v>63</v>
      </c>
      <c r="E704" s="348">
        <f t="shared" ca="1" si="30"/>
        <v>0</v>
      </c>
      <c r="F704" s="348" t="str">
        <f t="shared" si="31"/>
        <v>BLD_PS</v>
      </c>
      <c r="G704" s="348" t="str">
        <f>IFERROR(INDEX(DATA_PROPERTY_MASTER!$E$5:$E$21,MATCH($A704,DATA_PROPERTY_MASTER!$A$5:$A$21,0)),"")</f>
        <v>Yes</v>
      </c>
      <c r="H704" s="348" t="str">
        <f>IFERROR(INDEX(DATA_PROPERTY_MASTER!$F$5:$F$21,MATCH($A704,DATA_PROPERTY_MASTER!$A$5:$A$21,0)),"")</f>
        <v>New Build</v>
      </c>
      <c r="I704" t="s">
        <v>1503</v>
      </c>
      <c r="J704" s="348" t="str">
        <f t="shared" ca="1" si="32"/>
        <v>Formula-linked</v>
      </c>
    </row>
    <row r="705" spans="1:10">
      <c r="A705" s="366" t="s">
        <v>476</v>
      </c>
      <c r="B705" s="366">
        <v>2029</v>
      </c>
      <c r="C705" s="366" t="s">
        <v>370</v>
      </c>
      <c r="D705" s="366">
        <v>64</v>
      </c>
      <c r="E705" s="348">
        <f t="shared" ca="1" si="30"/>
        <v>12397099.880392337</v>
      </c>
      <c r="F705" s="348" t="str">
        <f t="shared" si="31"/>
        <v>BLD_PS</v>
      </c>
      <c r="G705" s="348" t="str">
        <f>IFERROR(INDEX(DATA_PROPERTY_MASTER!$E$5:$E$21,MATCH($A705,DATA_PROPERTY_MASTER!$A$5:$A$21,0)),"")</f>
        <v>Yes</v>
      </c>
      <c r="H705" s="348" t="str">
        <f>IFERROR(INDEX(DATA_PROPERTY_MASTER!$F$5:$F$21,MATCH($A705,DATA_PROPERTY_MASTER!$A$5:$A$21,0)),"")</f>
        <v>New Build</v>
      </c>
      <c r="I705" t="s">
        <v>1498</v>
      </c>
      <c r="J705" s="348" t="str">
        <f t="shared" ca="1" si="32"/>
        <v>Formula-linked</v>
      </c>
    </row>
    <row r="706" spans="1:10">
      <c r="A706" s="366" t="s">
        <v>476</v>
      </c>
      <c r="B706" s="366">
        <v>2029</v>
      </c>
      <c r="C706" s="366" t="s">
        <v>544</v>
      </c>
      <c r="D706" s="366">
        <v>68</v>
      </c>
      <c r="E706" s="348">
        <f t="shared" ca="1" si="30"/>
        <v>136870.09559513323</v>
      </c>
      <c r="F706" s="348" t="str">
        <f t="shared" si="31"/>
        <v>BLD_PS</v>
      </c>
      <c r="G706" s="348" t="str">
        <f>IFERROR(INDEX(DATA_PROPERTY_MASTER!$E$5:$E$21,MATCH($A706,DATA_PROPERTY_MASTER!$A$5:$A$21,0)),"")</f>
        <v>Yes</v>
      </c>
      <c r="H706" s="348" t="str">
        <f>IFERROR(INDEX(DATA_PROPERTY_MASTER!$F$5:$F$21,MATCH($A706,DATA_PROPERTY_MASTER!$A$5:$A$21,0)),"")</f>
        <v>New Build</v>
      </c>
      <c r="I706" t="s">
        <v>1501</v>
      </c>
      <c r="J706" s="348" t="str">
        <f t="shared" ca="1" si="32"/>
        <v>Formula-linked</v>
      </c>
    </row>
    <row r="707" spans="1:10">
      <c r="A707" s="366" t="s">
        <v>476</v>
      </c>
      <c r="B707" s="366">
        <v>2029</v>
      </c>
      <c r="C707" s="366" t="s">
        <v>378</v>
      </c>
      <c r="D707" s="366">
        <v>73</v>
      </c>
      <c r="E707" s="348">
        <f t="shared" ca="1" si="30"/>
        <v>16827261.652697988</v>
      </c>
      <c r="F707" s="348" t="str">
        <f t="shared" si="31"/>
        <v>BLD_PS</v>
      </c>
      <c r="G707" s="348" t="str">
        <f>IFERROR(INDEX(DATA_PROPERTY_MASTER!$E$5:$E$21,MATCH($A707,DATA_PROPERTY_MASTER!$A$5:$A$21,0)),"")</f>
        <v>Yes</v>
      </c>
      <c r="H707" s="348" t="str">
        <f>IFERROR(INDEX(DATA_PROPERTY_MASTER!$F$5:$F$21,MATCH($A707,DATA_PROPERTY_MASTER!$A$5:$A$21,0)),"")</f>
        <v>New Build</v>
      </c>
      <c r="I707" t="s">
        <v>1505</v>
      </c>
      <c r="J707" s="348" t="str">
        <f t="shared" ca="1" si="32"/>
        <v>Formula-linked</v>
      </c>
    </row>
    <row r="708" spans="1:10">
      <c r="A708" s="366" t="s">
        <v>476</v>
      </c>
      <c r="B708" s="366">
        <v>2029</v>
      </c>
      <c r="C708" s="366" t="s">
        <v>1506</v>
      </c>
      <c r="D708" s="366">
        <v>77</v>
      </c>
      <c r="E708" s="348">
        <f t="shared" ca="1" si="30"/>
        <v>4430161.7723056506</v>
      </c>
      <c r="F708" s="348" t="str">
        <f t="shared" si="31"/>
        <v>BLD_PS</v>
      </c>
      <c r="G708" s="348" t="str">
        <f>IFERROR(INDEX(DATA_PROPERTY_MASTER!$E$5:$E$21,MATCH($A708,DATA_PROPERTY_MASTER!$A$5:$A$21,0)),"")</f>
        <v>Yes</v>
      </c>
      <c r="H708" s="348" t="str">
        <f>IFERROR(INDEX(DATA_PROPERTY_MASTER!$F$5:$F$21,MATCH($A708,DATA_PROPERTY_MASTER!$A$5:$A$21,0)),"")</f>
        <v>New Build</v>
      </c>
      <c r="I708" t="s">
        <v>1505</v>
      </c>
      <c r="J708" s="348" t="str">
        <f t="shared" ca="1" si="32"/>
        <v>Formula-linked</v>
      </c>
    </row>
    <row r="709" spans="1:10">
      <c r="A709" s="366" t="s">
        <v>476</v>
      </c>
      <c r="B709" s="366">
        <v>2035</v>
      </c>
      <c r="C709" s="366" t="s">
        <v>341</v>
      </c>
      <c r="D709" s="366">
        <v>24</v>
      </c>
      <c r="E709" s="348">
        <f t="shared" ref="E709:E772" ca="1" si="33">IFERROR(INDEX(INDIRECT("'"&amp;$A709&amp;"'!$E$"&amp;$D709&amp;":$Y$"&amp;$D709),1,MATCH($B709,INDIRECT("'"&amp;$A709&amp;"'!$E$12:$Y$12"),0)),"")</f>
        <v>2040590.0106756566</v>
      </c>
      <c r="F709" s="348" t="str">
        <f t="shared" ref="F709:F772" si="34">$A709</f>
        <v>BLD_PS</v>
      </c>
      <c r="G709" s="348" t="str">
        <f>IFERROR(INDEX(DATA_PROPERTY_MASTER!$E$5:$E$21,MATCH($A709,DATA_PROPERTY_MASTER!$A$5:$A$21,0)),"")</f>
        <v>Yes</v>
      </c>
      <c r="H709" s="348" t="str">
        <f>IFERROR(INDEX(DATA_PROPERTY_MASTER!$F$5:$F$21,MATCH($A709,DATA_PROPERTY_MASTER!$A$5:$A$21,0)),"")</f>
        <v>New Build</v>
      </c>
      <c r="I709" t="s">
        <v>1495</v>
      </c>
      <c r="J709" s="348" t="str">
        <f t="shared" ref="J709:J772" ca="1" si="35">IF($E709="","Review","Formula-linked")</f>
        <v>Formula-linked</v>
      </c>
    </row>
    <row r="710" spans="1:10">
      <c r="A710" s="366" t="s">
        <v>476</v>
      </c>
      <c r="B710" s="366">
        <v>2035</v>
      </c>
      <c r="C710" s="366" t="s">
        <v>355</v>
      </c>
      <c r="D710" s="366">
        <v>39</v>
      </c>
      <c r="E710" s="348">
        <f t="shared" ca="1" si="33"/>
        <v>1000585.7845022228</v>
      </c>
      <c r="F710" s="348" t="str">
        <f t="shared" si="34"/>
        <v>BLD_PS</v>
      </c>
      <c r="G710" s="348" t="str">
        <f>IFERROR(INDEX(DATA_PROPERTY_MASTER!$E$5:$E$21,MATCH($A710,DATA_PROPERTY_MASTER!$A$5:$A$21,0)),"")</f>
        <v>Yes</v>
      </c>
      <c r="H710" s="348" t="str">
        <f>IFERROR(INDEX(DATA_PROPERTY_MASTER!$F$5:$F$21,MATCH($A710,DATA_PROPERTY_MASTER!$A$5:$A$21,0)),"")</f>
        <v>New Build</v>
      </c>
      <c r="I710" t="s">
        <v>1496</v>
      </c>
      <c r="J710" s="348" t="str">
        <f t="shared" ca="1" si="35"/>
        <v>Formula-linked</v>
      </c>
    </row>
    <row r="711" spans="1:10">
      <c r="A711" s="366" t="s">
        <v>476</v>
      </c>
      <c r="B711" s="366">
        <v>2035</v>
      </c>
      <c r="C711" s="366" t="s">
        <v>1497</v>
      </c>
      <c r="D711" s="366">
        <v>41</v>
      </c>
      <c r="E711" s="348">
        <f t="shared" ca="1" si="33"/>
        <v>1040004.2261734338</v>
      </c>
      <c r="F711" s="348" t="str">
        <f t="shared" si="34"/>
        <v>BLD_PS</v>
      </c>
      <c r="G711" s="348" t="str">
        <f>IFERROR(INDEX(DATA_PROPERTY_MASTER!$E$5:$E$21,MATCH($A711,DATA_PROPERTY_MASTER!$A$5:$A$21,0)),"")</f>
        <v>Yes</v>
      </c>
      <c r="H711" s="348" t="str">
        <f>IFERROR(INDEX(DATA_PROPERTY_MASTER!$F$5:$F$21,MATCH($A711,DATA_PROPERTY_MASTER!$A$5:$A$21,0)),"")</f>
        <v>New Build</v>
      </c>
      <c r="I711" t="s">
        <v>1497</v>
      </c>
      <c r="J711" s="348" t="str">
        <f t="shared" ca="1" si="35"/>
        <v>Formula-linked</v>
      </c>
    </row>
    <row r="712" spans="1:10">
      <c r="A712" s="366" t="s">
        <v>476</v>
      </c>
      <c r="B712" s="366">
        <v>2035</v>
      </c>
      <c r="C712" s="366" t="s">
        <v>21</v>
      </c>
      <c r="D712" s="366">
        <v>45</v>
      </c>
      <c r="E712" s="348">
        <f t="shared" ca="1" si="33"/>
        <v>1023364.9523405054</v>
      </c>
      <c r="F712" s="348" t="str">
        <f t="shared" si="34"/>
        <v>BLD_PS</v>
      </c>
      <c r="G712" s="348" t="str">
        <f>IFERROR(INDEX(DATA_PROPERTY_MASTER!$E$5:$E$21,MATCH($A712,DATA_PROPERTY_MASTER!$A$5:$A$21,0)),"")</f>
        <v>Yes</v>
      </c>
      <c r="H712" s="348" t="str">
        <f>IFERROR(INDEX(DATA_PROPERTY_MASTER!$F$5:$F$21,MATCH($A712,DATA_PROPERTY_MASTER!$A$5:$A$21,0)),"")</f>
        <v>New Build</v>
      </c>
      <c r="I712" t="s">
        <v>1497</v>
      </c>
      <c r="J712" s="348" t="str">
        <f t="shared" ca="1" si="35"/>
        <v>Formula-linked</v>
      </c>
    </row>
    <row r="713" spans="1:10">
      <c r="A713" s="366" t="s">
        <v>476</v>
      </c>
      <c r="B713" s="366">
        <v>2035</v>
      </c>
      <c r="C713" s="366" t="s">
        <v>23</v>
      </c>
      <c r="D713" s="366">
        <v>48</v>
      </c>
      <c r="E713" s="348">
        <f t="shared" ca="1" si="33"/>
        <v>667460.46017404622</v>
      </c>
      <c r="F713" s="348" t="str">
        <f t="shared" si="34"/>
        <v>BLD_PS</v>
      </c>
      <c r="G713" s="348" t="str">
        <f>IFERROR(INDEX(DATA_PROPERTY_MASTER!$E$5:$E$21,MATCH($A713,DATA_PROPERTY_MASTER!$A$5:$A$21,0)),"")</f>
        <v>Yes</v>
      </c>
      <c r="H713" s="348" t="str">
        <f>IFERROR(INDEX(DATA_PROPERTY_MASTER!$F$5:$F$21,MATCH($A713,DATA_PROPERTY_MASTER!$A$5:$A$21,0)),"")</f>
        <v>New Build</v>
      </c>
      <c r="I713" t="s">
        <v>1498</v>
      </c>
      <c r="J713" s="348" t="str">
        <f t="shared" ca="1" si="35"/>
        <v>Formula-linked</v>
      </c>
    </row>
    <row r="714" spans="1:10">
      <c r="A714" s="366" t="s">
        <v>476</v>
      </c>
      <c r="B714" s="366">
        <v>2035</v>
      </c>
      <c r="C714" s="366" t="s">
        <v>213</v>
      </c>
      <c r="D714" s="366">
        <v>50</v>
      </c>
      <c r="E714" s="348">
        <f t="shared" ca="1" si="33"/>
        <v>1.5581510639630152</v>
      </c>
      <c r="F714" s="348" t="str">
        <f t="shared" si="34"/>
        <v>BLD_PS</v>
      </c>
      <c r="G714" s="348" t="str">
        <f>IFERROR(INDEX(DATA_PROPERTY_MASTER!$E$5:$E$21,MATCH($A714,DATA_PROPERTY_MASTER!$A$5:$A$21,0)),"")</f>
        <v>Yes</v>
      </c>
      <c r="H714" s="348" t="str">
        <f>IFERROR(INDEX(DATA_PROPERTY_MASTER!$F$5:$F$21,MATCH($A714,DATA_PROPERTY_MASTER!$A$5:$A$21,0)),"")</f>
        <v>New Build</v>
      </c>
      <c r="I714" t="s">
        <v>1499</v>
      </c>
      <c r="J714" s="348" t="str">
        <f t="shared" ca="1" si="35"/>
        <v>Formula-linked</v>
      </c>
    </row>
    <row r="715" spans="1:10">
      <c r="A715" s="366" t="s">
        <v>476</v>
      </c>
      <c r="B715" s="366">
        <v>2035</v>
      </c>
      <c r="C715" s="366" t="s">
        <v>1500</v>
      </c>
      <c r="D715" s="366">
        <v>52</v>
      </c>
      <c r="E715" s="348">
        <f t="shared" ca="1" si="33"/>
        <v>372543.7659993876</v>
      </c>
      <c r="F715" s="348" t="str">
        <f t="shared" si="34"/>
        <v>BLD_PS</v>
      </c>
      <c r="G715" s="348" t="str">
        <f>IFERROR(INDEX(DATA_PROPERTY_MASTER!$E$5:$E$21,MATCH($A715,DATA_PROPERTY_MASTER!$A$5:$A$21,0)),"")</f>
        <v>Yes</v>
      </c>
      <c r="H715" s="348" t="str">
        <f>IFERROR(INDEX(DATA_PROPERTY_MASTER!$F$5:$F$21,MATCH($A715,DATA_PROPERTY_MASTER!$A$5:$A$21,0)),"")</f>
        <v>New Build</v>
      </c>
      <c r="I715" t="s">
        <v>1501</v>
      </c>
      <c r="J715" s="348" t="str">
        <f t="shared" ca="1" si="35"/>
        <v>Formula-linked</v>
      </c>
    </row>
    <row r="716" spans="1:10">
      <c r="A716" s="366" t="s">
        <v>476</v>
      </c>
      <c r="B716" s="366">
        <v>2035</v>
      </c>
      <c r="C716" s="366" t="s">
        <v>27</v>
      </c>
      <c r="D716" s="366">
        <v>54</v>
      </c>
      <c r="E716" s="348">
        <f t="shared" ca="1" si="33"/>
        <v>223526.25959963255</v>
      </c>
      <c r="F716" s="348" t="str">
        <f t="shared" si="34"/>
        <v>BLD_PS</v>
      </c>
      <c r="G716" s="348" t="str">
        <f>IFERROR(INDEX(DATA_PROPERTY_MASTER!$E$5:$E$21,MATCH($A716,DATA_PROPERTY_MASTER!$A$5:$A$21,0)),"")</f>
        <v>Yes</v>
      </c>
      <c r="H716" s="348" t="str">
        <f>IFERROR(INDEX(DATA_PROPERTY_MASTER!$F$5:$F$21,MATCH($A716,DATA_PROPERTY_MASTER!$A$5:$A$21,0)),"")</f>
        <v>New Build</v>
      </c>
      <c r="I716" t="s">
        <v>1501</v>
      </c>
      <c r="J716" s="348" t="str">
        <f t="shared" ca="1" si="35"/>
        <v>Formula-linked</v>
      </c>
    </row>
    <row r="717" spans="1:10">
      <c r="A717" s="366" t="s">
        <v>476</v>
      </c>
      <c r="B717" s="366">
        <v>2035</v>
      </c>
      <c r="C717" s="366" t="s">
        <v>1502</v>
      </c>
      <c r="D717" s="366">
        <v>56</v>
      </c>
      <c r="E717" s="348">
        <f t="shared" ca="1" si="33"/>
        <v>149017.50639975505</v>
      </c>
      <c r="F717" s="348" t="str">
        <f t="shared" si="34"/>
        <v>BLD_PS</v>
      </c>
      <c r="G717" s="348" t="str">
        <f>IFERROR(INDEX(DATA_PROPERTY_MASTER!$E$5:$E$21,MATCH($A717,DATA_PROPERTY_MASTER!$A$5:$A$21,0)),"")</f>
        <v>Yes</v>
      </c>
      <c r="H717" s="348" t="str">
        <f>IFERROR(INDEX(DATA_PROPERTY_MASTER!$F$5:$F$21,MATCH($A717,DATA_PROPERTY_MASTER!$A$5:$A$21,0)),"")</f>
        <v>New Build</v>
      </c>
      <c r="I717" t="s">
        <v>1501</v>
      </c>
      <c r="J717" s="348" t="str">
        <f t="shared" ca="1" si="35"/>
        <v>Formula-linked</v>
      </c>
    </row>
    <row r="718" spans="1:10">
      <c r="A718" s="366" t="s">
        <v>476</v>
      </c>
      <c r="B718" s="366">
        <v>2035</v>
      </c>
      <c r="C718" s="366" t="s">
        <v>367</v>
      </c>
      <c r="D718" s="366">
        <v>61</v>
      </c>
      <c r="E718" s="348">
        <f t="shared" ca="1" si="33"/>
        <v>0</v>
      </c>
      <c r="F718" s="348" t="str">
        <f t="shared" si="34"/>
        <v>BLD_PS</v>
      </c>
      <c r="G718" s="348" t="str">
        <f>IFERROR(INDEX(DATA_PROPERTY_MASTER!$E$5:$E$21,MATCH($A718,DATA_PROPERTY_MASTER!$A$5:$A$21,0)),"")</f>
        <v>Yes</v>
      </c>
      <c r="H718" s="348" t="str">
        <f>IFERROR(INDEX(DATA_PROPERTY_MASTER!$F$5:$F$21,MATCH($A718,DATA_PROPERTY_MASTER!$A$5:$A$21,0)),"")</f>
        <v>New Build</v>
      </c>
      <c r="I718" t="s">
        <v>1503</v>
      </c>
      <c r="J718" s="348" t="str">
        <f t="shared" ca="1" si="35"/>
        <v>Formula-linked</v>
      </c>
    </row>
    <row r="719" spans="1:10">
      <c r="A719" s="366" t="s">
        <v>476</v>
      </c>
      <c r="B719" s="366">
        <v>2035</v>
      </c>
      <c r="C719" s="366" t="s">
        <v>368</v>
      </c>
      <c r="D719" s="366">
        <v>62</v>
      </c>
      <c r="E719" s="348">
        <f t="shared" ca="1" si="33"/>
        <v>0</v>
      </c>
      <c r="F719" s="348" t="str">
        <f t="shared" si="34"/>
        <v>BLD_PS</v>
      </c>
      <c r="G719" s="348" t="str">
        <f>IFERROR(INDEX(DATA_PROPERTY_MASTER!$E$5:$E$21,MATCH($A719,DATA_PROPERTY_MASTER!$A$5:$A$21,0)),"")</f>
        <v>Yes</v>
      </c>
      <c r="H719" s="348" t="str">
        <f>IFERROR(INDEX(DATA_PROPERTY_MASTER!$F$5:$F$21,MATCH($A719,DATA_PROPERTY_MASTER!$A$5:$A$21,0)),"")</f>
        <v>New Build</v>
      </c>
      <c r="I719" t="s">
        <v>1503</v>
      </c>
      <c r="J719" s="348" t="str">
        <f t="shared" ca="1" si="35"/>
        <v>Formula-linked</v>
      </c>
    </row>
    <row r="720" spans="1:10">
      <c r="A720" s="366" t="s">
        <v>476</v>
      </c>
      <c r="B720" s="366">
        <v>2035</v>
      </c>
      <c r="C720" s="366" t="s">
        <v>1504</v>
      </c>
      <c r="D720" s="366">
        <v>63</v>
      </c>
      <c r="E720" s="348">
        <f t="shared" ca="1" si="33"/>
        <v>0</v>
      </c>
      <c r="F720" s="348" t="str">
        <f t="shared" si="34"/>
        <v>BLD_PS</v>
      </c>
      <c r="G720" s="348" t="str">
        <f>IFERROR(INDEX(DATA_PROPERTY_MASTER!$E$5:$E$21,MATCH($A720,DATA_PROPERTY_MASTER!$A$5:$A$21,0)),"")</f>
        <v>Yes</v>
      </c>
      <c r="H720" s="348" t="str">
        <f>IFERROR(INDEX(DATA_PROPERTY_MASTER!$F$5:$F$21,MATCH($A720,DATA_PROPERTY_MASTER!$A$5:$A$21,0)),"")</f>
        <v>New Build</v>
      </c>
      <c r="I720" t="s">
        <v>1503</v>
      </c>
      <c r="J720" s="348" t="str">
        <f t="shared" ca="1" si="35"/>
        <v>Formula-linked</v>
      </c>
    </row>
    <row r="721" spans="1:10">
      <c r="A721" s="366" t="s">
        <v>476</v>
      </c>
      <c r="B721" s="366">
        <v>2035</v>
      </c>
      <c r="C721" s="366" t="s">
        <v>370</v>
      </c>
      <c r="D721" s="366">
        <v>64</v>
      </c>
      <c r="E721" s="348">
        <f t="shared" ca="1" si="33"/>
        <v>11259037.398398248</v>
      </c>
      <c r="F721" s="348" t="str">
        <f t="shared" si="34"/>
        <v>BLD_PS</v>
      </c>
      <c r="G721" s="348" t="str">
        <f>IFERROR(INDEX(DATA_PROPERTY_MASTER!$E$5:$E$21,MATCH($A721,DATA_PROPERTY_MASTER!$A$5:$A$21,0)),"")</f>
        <v>Yes</v>
      </c>
      <c r="H721" s="348" t="str">
        <f>IFERROR(INDEX(DATA_PROPERTY_MASTER!$F$5:$F$21,MATCH($A721,DATA_PROPERTY_MASTER!$A$5:$A$21,0)),"")</f>
        <v>New Build</v>
      </c>
      <c r="I721" t="s">
        <v>1498</v>
      </c>
      <c r="J721" s="348" t="str">
        <f t="shared" ca="1" si="35"/>
        <v>Formula-linked</v>
      </c>
    </row>
    <row r="722" spans="1:10">
      <c r="A722" s="366" t="s">
        <v>476</v>
      </c>
      <c r="B722" s="366">
        <v>2035</v>
      </c>
      <c r="C722" s="366" t="s">
        <v>544</v>
      </c>
      <c r="D722" s="366">
        <v>68</v>
      </c>
      <c r="E722" s="348">
        <f t="shared" ca="1" si="33"/>
        <v>149017.50639975505</v>
      </c>
      <c r="F722" s="348" t="str">
        <f t="shared" si="34"/>
        <v>BLD_PS</v>
      </c>
      <c r="G722" s="348" t="str">
        <f>IFERROR(INDEX(DATA_PROPERTY_MASTER!$E$5:$E$21,MATCH($A722,DATA_PROPERTY_MASTER!$A$5:$A$21,0)),"")</f>
        <v>Yes</v>
      </c>
      <c r="H722" s="348" t="str">
        <f>IFERROR(INDEX(DATA_PROPERTY_MASTER!$F$5:$F$21,MATCH($A722,DATA_PROPERTY_MASTER!$A$5:$A$21,0)),"")</f>
        <v>New Build</v>
      </c>
      <c r="I722" t="s">
        <v>1501</v>
      </c>
      <c r="J722" s="348" t="str">
        <f t="shared" ca="1" si="35"/>
        <v>Formula-linked</v>
      </c>
    </row>
    <row r="723" spans="1:10">
      <c r="A723" s="366" t="s">
        <v>476</v>
      </c>
      <c r="B723" s="366">
        <v>2035</v>
      </c>
      <c r="C723" s="366" t="s">
        <v>378</v>
      </c>
      <c r="D723" s="366">
        <v>73</v>
      </c>
      <c r="E723" s="348">
        <f t="shared" ca="1" si="33"/>
        <v>17333403.76955723</v>
      </c>
      <c r="F723" s="348" t="str">
        <f t="shared" si="34"/>
        <v>BLD_PS</v>
      </c>
      <c r="G723" s="348" t="str">
        <f>IFERROR(INDEX(DATA_PROPERTY_MASTER!$E$5:$E$21,MATCH($A723,DATA_PROPERTY_MASTER!$A$5:$A$21,0)),"")</f>
        <v>Yes</v>
      </c>
      <c r="H723" s="348" t="str">
        <f>IFERROR(INDEX(DATA_PROPERTY_MASTER!$F$5:$F$21,MATCH($A723,DATA_PROPERTY_MASTER!$A$5:$A$21,0)),"")</f>
        <v>New Build</v>
      </c>
      <c r="I723" t="s">
        <v>1505</v>
      </c>
      <c r="J723" s="348" t="str">
        <f t="shared" ca="1" si="35"/>
        <v>Formula-linked</v>
      </c>
    </row>
    <row r="724" spans="1:10">
      <c r="A724" s="366" t="s">
        <v>476</v>
      </c>
      <c r="B724" s="366">
        <v>2035</v>
      </c>
      <c r="C724" s="366" t="s">
        <v>1506</v>
      </c>
      <c r="D724" s="366">
        <v>77</v>
      </c>
      <c r="E724" s="348">
        <f t="shared" ca="1" si="33"/>
        <v>6074366.3711589817</v>
      </c>
      <c r="F724" s="348" t="str">
        <f t="shared" si="34"/>
        <v>BLD_PS</v>
      </c>
      <c r="G724" s="348" t="str">
        <f>IFERROR(INDEX(DATA_PROPERTY_MASTER!$E$5:$E$21,MATCH($A724,DATA_PROPERTY_MASTER!$A$5:$A$21,0)),"")</f>
        <v>Yes</v>
      </c>
      <c r="H724" s="348" t="str">
        <f>IFERROR(INDEX(DATA_PROPERTY_MASTER!$F$5:$F$21,MATCH($A724,DATA_PROPERTY_MASTER!$A$5:$A$21,0)),"")</f>
        <v>New Build</v>
      </c>
      <c r="I724" t="s">
        <v>1505</v>
      </c>
      <c r="J724" s="348" t="str">
        <f t="shared" ca="1" si="35"/>
        <v>Formula-linked</v>
      </c>
    </row>
    <row r="725" spans="1:10">
      <c r="A725" s="366" t="s">
        <v>477</v>
      </c>
      <c r="B725" s="366">
        <v>2025</v>
      </c>
      <c r="C725" s="366" t="s">
        <v>341</v>
      </c>
      <c r="D725" s="366">
        <v>24</v>
      </c>
      <c r="E725" s="348">
        <f t="shared" ca="1" si="33"/>
        <v>0</v>
      </c>
      <c r="F725" s="348" t="str">
        <f t="shared" si="34"/>
        <v>BLD_PM</v>
      </c>
      <c r="G725" s="348" t="str">
        <f>IFERROR(INDEX(DATA_PROPERTY_MASTER!$E$5:$E$21,MATCH($A725,DATA_PROPERTY_MASTER!$A$5:$A$21,0)),"")</f>
        <v>Yes</v>
      </c>
      <c r="H725" s="348" t="str">
        <f>IFERROR(INDEX(DATA_PROPERTY_MASTER!$F$5:$F$21,MATCH($A725,DATA_PROPERTY_MASTER!$A$5:$A$21,0)),"")</f>
        <v>New Build</v>
      </c>
      <c r="I725" t="s">
        <v>1495</v>
      </c>
      <c r="J725" s="348" t="str">
        <f t="shared" ca="1" si="35"/>
        <v>Formula-linked</v>
      </c>
    </row>
    <row r="726" spans="1:10">
      <c r="A726" s="366" t="s">
        <v>477</v>
      </c>
      <c r="B726" s="366">
        <v>2025</v>
      </c>
      <c r="C726" s="366" t="s">
        <v>355</v>
      </c>
      <c r="D726" s="366">
        <v>39</v>
      </c>
      <c r="E726" s="348">
        <f t="shared" ca="1" si="33"/>
        <v>0</v>
      </c>
      <c r="F726" s="348" t="str">
        <f t="shared" si="34"/>
        <v>BLD_PM</v>
      </c>
      <c r="G726" s="348" t="str">
        <f>IFERROR(INDEX(DATA_PROPERTY_MASTER!$E$5:$E$21,MATCH($A726,DATA_PROPERTY_MASTER!$A$5:$A$21,0)),"")</f>
        <v>Yes</v>
      </c>
      <c r="H726" s="348" t="str">
        <f>IFERROR(INDEX(DATA_PROPERTY_MASTER!$F$5:$F$21,MATCH($A726,DATA_PROPERTY_MASTER!$A$5:$A$21,0)),"")</f>
        <v>New Build</v>
      </c>
      <c r="I726" t="s">
        <v>1496</v>
      </c>
      <c r="J726" s="348" t="str">
        <f t="shared" ca="1" si="35"/>
        <v>Formula-linked</v>
      </c>
    </row>
    <row r="727" spans="1:10">
      <c r="A727" s="366" t="s">
        <v>477</v>
      </c>
      <c r="B727" s="366">
        <v>2025</v>
      </c>
      <c r="C727" s="366" t="s">
        <v>1497</v>
      </c>
      <c r="D727" s="366">
        <v>41</v>
      </c>
      <c r="E727" s="348">
        <f t="shared" ca="1" si="33"/>
        <v>0</v>
      </c>
      <c r="F727" s="348" t="str">
        <f t="shared" si="34"/>
        <v>BLD_PM</v>
      </c>
      <c r="G727" s="348" t="str">
        <f>IFERROR(INDEX(DATA_PROPERTY_MASTER!$E$5:$E$21,MATCH($A727,DATA_PROPERTY_MASTER!$A$5:$A$21,0)),"")</f>
        <v>Yes</v>
      </c>
      <c r="H727" s="348" t="str">
        <f>IFERROR(INDEX(DATA_PROPERTY_MASTER!$F$5:$F$21,MATCH($A727,DATA_PROPERTY_MASTER!$A$5:$A$21,0)),"")</f>
        <v>New Build</v>
      </c>
      <c r="I727" t="s">
        <v>1497</v>
      </c>
      <c r="J727" s="348" t="str">
        <f t="shared" ca="1" si="35"/>
        <v>Formula-linked</v>
      </c>
    </row>
    <row r="728" spans="1:10">
      <c r="A728" s="366" t="s">
        <v>477</v>
      </c>
      <c r="B728" s="366">
        <v>2025</v>
      </c>
      <c r="C728" s="366" t="s">
        <v>21</v>
      </c>
      <c r="D728" s="366">
        <v>45</v>
      </c>
      <c r="E728" s="348">
        <f t="shared" ca="1" si="33"/>
        <v>0</v>
      </c>
      <c r="F728" s="348" t="str">
        <f t="shared" si="34"/>
        <v>BLD_PM</v>
      </c>
      <c r="G728" s="348" t="str">
        <f>IFERROR(INDEX(DATA_PROPERTY_MASTER!$E$5:$E$21,MATCH($A728,DATA_PROPERTY_MASTER!$A$5:$A$21,0)),"")</f>
        <v>Yes</v>
      </c>
      <c r="H728" s="348" t="str">
        <f>IFERROR(INDEX(DATA_PROPERTY_MASTER!$F$5:$F$21,MATCH($A728,DATA_PROPERTY_MASTER!$A$5:$A$21,0)),"")</f>
        <v>New Build</v>
      </c>
      <c r="I728" t="s">
        <v>1497</v>
      </c>
      <c r="J728" s="348" t="str">
        <f t="shared" ca="1" si="35"/>
        <v>Formula-linked</v>
      </c>
    </row>
    <row r="729" spans="1:10">
      <c r="A729" s="366" t="s">
        <v>477</v>
      </c>
      <c r="B729" s="366">
        <v>2025</v>
      </c>
      <c r="C729" s="366" t="s">
        <v>23</v>
      </c>
      <c r="D729" s="366">
        <v>48</v>
      </c>
      <c r="E729" s="348">
        <f t="shared" ca="1" si="33"/>
        <v>7166391.2775474079</v>
      </c>
      <c r="F729" s="348" t="str">
        <f t="shared" si="34"/>
        <v>BLD_PM</v>
      </c>
      <c r="G729" s="348" t="str">
        <f>IFERROR(INDEX(DATA_PROPERTY_MASTER!$E$5:$E$21,MATCH($A729,DATA_PROPERTY_MASTER!$A$5:$A$21,0)),"")</f>
        <v>Yes</v>
      </c>
      <c r="H729" s="348" t="str">
        <f>IFERROR(INDEX(DATA_PROPERTY_MASTER!$F$5:$F$21,MATCH($A729,DATA_PROPERTY_MASTER!$A$5:$A$21,0)),"")</f>
        <v>New Build</v>
      </c>
      <c r="I729" t="s">
        <v>1498</v>
      </c>
      <c r="J729" s="348" t="str">
        <f t="shared" ca="1" si="35"/>
        <v>Formula-linked</v>
      </c>
    </row>
    <row r="730" spans="1:10">
      <c r="A730" s="366" t="s">
        <v>477</v>
      </c>
      <c r="B730" s="366">
        <v>2025</v>
      </c>
      <c r="C730" s="366" t="s">
        <v>213</v>
      </c>
      <c r="D730" s="366">
        <v>50</v>
      </c>
      <c r="E730" s="348">
        <f t="shared" ca="1" si="33"/>
        <v>0</v>
      </c>
      <c r="F730" s="348" t="str">
        <f t="shared" si="34"/>
        <v>BLD_PM</v>
      </c>
      <c r="G730" s="348" t="str">
        <f>IFERROR(INDEX(DATA_PROPERTY_MASTER!$E$5:$E$21,MATCH($A730,DATA_PROPERTY_MASTER!$A$5:$A$21,0)),"")</f>
        <v>Yes</v>
      </c>
      <c r="H730" s="348" t="str">
        <f>IFERROR(INDEX(DATA_PROPERTY_MASTER!$F$5:$F$21,MATCH($A730,DATA_PROPERTY_MASTER!$A$5:$A$21,0)),"")</f>
        <v>New Build</v>
      </c>
      <c r="I730" t="s">
        <v>1499</v>
      </c>
      <c r="J730" s="348" t="str">
        <f t="shared" ca="1" si="35"/>
        <v>Formula-linked</v>
      </c>
    </row>
    <row r="731" spans="1:10">
      <c r="A731" s="366" t="s">
        <v>477</v>
      </c>
      <c r="B731" s="366">
        <v>2025</v>
      </c>
      <c r="C731" s="366" t="s">
        <v>1500</v>
      </c>
      <c r="D731" s="366">
        <v>52</v>
      </c>
      <c r="E731" s="348">
        <f t="shared" ca="1" si="33"/>
        <v>-7166391.2775474079</v>
      </c>
      <c r="F731" s="348" t="str">
        <f t="shared" si="34"/>
        <v>BLD_PM</v>
      </c>
      <c r="G731" s="348" t="str">
        <f>IFERROR(INDEX(DATA_PROPERTY_MASTER!$E$5:$E$21,MATCH($A731,DATA_PROPERTY_MASTER!$A$5:$A$21,0)),"")</f>
        <v>Yes</v>
      </c>
      <c r="H731" s="348" t="str">
        <f>IFERROR(INDEX(DATA_PROPERTY_MASTER!$F$5:$F$21,MATCH($A731,DATA_PROPERTY_MASTER!$A$5:$A$21,0)),"")</f>
        <v>New Build</v>
      </c>
      <c r="I731" t="s">
        <v>1501</v>
      </c>
      <c r="J731" s="348" t="str">
        <f t="shared" ca="1" si="35"/>
        <v>Formula-linked</v>
      </c>
    </row>
    <row r="732" spans="1:10">
      <c r="A732" s="366" t="s">
        <v>477</v>
      </c>
      <c r="B732" s="366">
        <v>2025</v>
      </c>
      <c r="C732" s="366" t="s">
        <v>27</v>
      </c>
      <c r="D732" s="366">
        <v>54</v>
      </c>
      <c r="E732" s="348">
        <f t="shared" ca="1" si="33"/>
        <v>0</v>
      </c>
      <c r="F732" s="348" t="str">
        <f t="shared" si="34"/>
        <v>BLD_PM</v>
      </c>
      <c r="G732" s="348" t="str">
        <f>IFERROR(INDEX(DATA_PROPERTY_MASTER!$E$5:$E$21,MATCH($A732,DATA_PROPERTY_MASTER!$A$5:$A$21,0)),"")</f>
        <v>Yes</v>
      </c>
      <c r="H732" s="348" t="str">
        <f>IFERROR(INDEX(DATA_PROPERTY_MASTER!$F$5:$F$21,MATCH($A732,DATA_PROPERTY_MASTER!$A$5:$A$21,0)),"")</f>
        <v>New Build</v>
      </c>
      <c r="I732" t="s">
        <v>1501</v>
      </c>
      <c r="J732" s="348" t="str">
        <f t="shared" ca="1" si="35"/>
        <v>Formula-linked</v>
      </c>
    </row>
    <row r="733" spans="1:10">
      <c r="A733" s="366" t="s">
        <v>477</v>
      </c>
      <c r="B733" s="366">
        <v>2025</v>
      </c>
      <c r="C733" s="366" t="s">
        <v>1502</v>
      </c>
      <c r="D733" s="366">
        <v>56</v>
      </c>
      <c r="E733" s="348">
        <f t="shared" ca="1" si="33"/>
        <v>-7166391.2775474079</v>
      </c>
      <c r="F733" s="348" t="str">
        <f t="shared" si="34"/>
        <v>BLD_PM</v>
      </c>
      <c r="G733" s="348" t="str">
        <f>IFERROR(INDEX(DATA_PROPERTY_MASTER!$E$5:$E$21,MATCH($A733,DATA_PROPERTY_MASTER!$A$5:$A$21,0)),"")</f>
        <v>Yes</v>
      </c>
      <c r="H733" s="348" t="str">
        <f>IFERROR(INDEX(DATA_PROPERTY_MASTER!$F$5:$F$21,MATCH($A733,DATA_PROPERTY_MASTER!$A$5:$A$21,0)),"")</f>
        <v>New Build</v>
      </c>
      <c r="I733" t="s">
        <v>1501</v>
      </c>
      <c r="J733" s="348" t="str">
        <f t="shared" ca="1" si="35"/>
        <v>Formula-linked</v>
      </c>
    </row>
    <row r="734" spans="1:10">
      <c r="A734" s="366" t="s">
        <v>477</v>
      </c>
      <c r="B734" s="366">
        <v>2025</v>
      </c>
      <c r="C734" s="366" t="s">
        <v>367</v>
      </c>
      <c r="D734" s="366">
        <v>61</v>
      </c>
      <c r="E734" s="348">
        <f t="shared" ca="1" si="33"/>
        <v>0</v>
      </c>
      <c r="F734" s="348" t="str">
        <f t="shared" si="34"/>
        <v>BLD_PM</v>
      </c>
      <c r="G734" s="348" t="str">
        <f>IFERROR(INDEX(DATA_PROPERTY_MASTER!$E$5:$E$21,MATCH($A734,DATA_PROPERTY_MASTER!$A$5:$A$21,0)),"")</f>
        <v>Yes</v>
      </c>
      <c r="H734" s="348" t="str">
        <f>IFERROR(INDEX(DATA_PROPERTY_MASTER!$F$5:$F$21,MATCH($A734,DATA_PROPERTY_MASTER!$A$5:$A$21,0)),"")</f>
        <v>New Build</v>
      </c>
      <c r="I734" t="s">
        <v>1503</v>
      </c>
      <c r="J734" s="348" t="str">
        <f t="shared" ca="1" si="35"/>
        <v>Formula-linked</v>
      </c>
    </row>
    <row r="735" spans="1:10">
      <c r="A735" s="366" t="s">
        <v>477</v>
      </c>
      <c r="B735" s="366">
        <v>2025</v>
      </c>
      <c r="C735" s="366" t="s">
        <v>368</v>
      </c>
      <c r="D735" s="366">
        <v>62</v>
      </c>
      <c r="E735" s="348">
        <f t="shared" ca="1" si="33"/>
        <v>0</v>
      </c>
      <c r="F735" s="348" t="str">
        <f t="shared" si="34"/>
        <v>BLD_PM</v>
      </c>
      <c r="G735" s="348" t="str">
        <f>IFERROR(INDEX(DATA_PROPERTY_MASTER!$E$5:$E$21,MATCH($A735,DATA_PROPERTY_MASTER!$A$5:$A$21,0)),"")</f>
        <v>Yes</v>
      </c>
      <c r="H735" s="348" t="str">
        <f>IFERROR(INDEX(DATA_PROPERTY_MASTER!$F$5:$F$21,MATCH($A735,DATA_PROPERTY_MASTER!$A$5:$A$21,0)),"")</f>
        <v>New Build</v>
      </c>
      <c r="I735" t="s">
        <v>1503</v>
      </c>
      <c r="J735" s="348" t="str">
        <f t="shared" ca="1" si="35"/>
        <v>Formula-linked</v>
      </c>
    </row>
    <row r="736" spans="1:10">
      <c r="A736" s="366" t="s">
        <v>477</v>
      </c>
      <c r="B736" s="366">
        <v>2025</v>
      </c>
      <c r="C736" s="366" t="s">
        <v>1504</v>
      </c>
      <c r="D736" s="366">
        <v>63</v>
      </c>
      <c r="E736" s="348">
        <f t="shared" ca="1" si="33"/>
        <v>0</v>
      </c>
      <c r="F736" s="348" t="str">
        <f t="shared" si="34"/>
        <v>BLD_PM</v>
      </c>
      <c r="G736" s="348" t="str">
        <f>IFERROR(INDEX(DATA_PROPERTY_MASTER!$E$5:$E$21,MATCH($A736,DATA_PROPERTY_MASTER!$A$5:$A$21,0)),"")</f>
        <v>Yes</v>
      </c>
      <c r="H736" s="348" t="str">
        <f>IFERROR(INDEX(DATA_PROPERTY_MASTER!$F$5:$F$21,MATCH($A736,DATA_PROPERTY_MASTER!$A$5:$A$21,0)),"")</f>
        <v>New Build</v>
      </c>
      <c r="I736" t="s">
        <v>1503</v>
      </c>
      <c r="J736" s="348" t="str">
        <f t="shared" ca="1" si="35"/>
        <v>Formula-linked</v>
      </c>
    </row>
    <row r="737" spans="1:10">
      <c r="A737" s="366" t="s">
        <v>477</v>
      </c>
      <c r="B737" s="366">
        <v>2025</v>
      </c>
      <c r="C737" s="366" t="s">
        <v>370</v>
      </c>
      <c r="D737" s="366">
        <v>64</v>
      </c>
      <c r="E737" s="348">
        <f t="shared" ca="1" si="33"/>
        <v>131651408.7224526</v>
      </c>
      <c r="F737" s="348" t="str">
        <f t="shared" si="34"/>
        <v>BLD_PM</v>
      </c>
      <c r="G737" s="348" t="str">
        <f>IFERROR(INDEX(DATA_PROPERTY_MASTER!$E$5:$E$21,MATCH($A737,DATA_PROPERTY_MASTER!$A$5:$A$21,0)),"")</f>
        <v>Yes</v>
      </c>
      <c r="H737" s="348" t="str">
        <f>IFERROR(INDEX(DATA_PROPERTY_MASTER!$F$5:$F$21,MATCH($A737,DATA_PROPERTY_MASTER!$A$5:$A$21,0)),"")</f>
        <v>New Build</v>
      </c>
      <c r="I737" t="s">
        <v>1498</v>
      </c>
      <c r="J737" s="348" t="str">
        <f t="shared" ca="1" si="35"/>
        <v>Formula-linked</v>
      </c>
    </row>
    <row r="738" spans="1:10">
      <c r="A738" s="366" t="s">
        <v>477</v>
      </c>
      <c r="B738" s="366">
        <v>2025</v>
      </c>
      <c r="C738" s="366" t="s">
        <v>544</v>
      </c>
      <c r="D738" s="366">
        <v>68</v>
      </c>
      <c r="E738" s="348">
        <f t="shared" ca="1" si="33"/>
        <v>-7166391.2775474079</v>
      </c>
      <c r="F738" s="348" t="str">
        <f t="shared" si="34"/>
        <v>BLD_PM</v>
      </c>
      <c r="G738" s="348" t="str">
        <f>IFERROR(INDEX(DATA_PROPERTY_MASTER!$E$5:$E$21,MATCH($A738,DATA_PROPERTY_MASTER!$A$5:$A$21,0)),"")</f>
        <v>Yes</v>
      </c>
      <c r="H738" s="348" t="str">
        <f>IFERROR(INDEX(DATA_PROPERTY_MASTER!$F$5:$F$21,MATCH($A738,DATA_PROPERTY_MASTER!$A$5:$A$21,0)),"")</f>
        <v>New Build</v>
      </c>
      <c r="I738" t="s">
        <v>1501</v>
      </c>
      <c r="J738" s="348" t="str">
        <f t="shared" ca="1" si="35"/>
        <v>Formula-linked</v>
      </c>
    </row>
    <row r="739" spans="1:10">
      <c r="A739" s="366" t="s">
        <v>477</v>
      </c>
      <c r="B739" s="366">
        <v>2025</v>
      </c>
      <c r="C739" s="366" t="s">
        <v>378</v>
      </c>
      <c r="D739" s="366">
        <v>73</v>
      </c>
      <c r="E739" s="348">
        <f t="shared" ca="1" si="33"/>
        <v>0</v>
      </c>
      <c r="F739" s="348" t="str">
        <f t="shared" si="34"/>
        <v>BLD_PM</v>
      </c>
      <c r="G739" s="348" t="str">
        <f>IFERROR(INDEX(DATA_PROPERTY_MASTER!$E$5:$E$21,MATCH($A739,DATA_PROPERTY_MASTER!$A$5:$A$21,0)),"")</f>
        <v>Yes</v>
      </c>
      <c r="H739" s="348" t="str">
        <f>IFERROR(INDEX(DATA_PROPERTY_MASTER!$F$5:$F$21,MATCH($A739,DATA_PROPERTY_MASTER!$A$5:$A$21,0)),"")</f>
        <v>New Build</v>
      </c>
      <c r="I739" t="s">
        <v>1505</v>
      </c>
      <c r="J739" s="348" t="str">
        <f t="shared" ca="1" si="35"/>
        <v>Formula-linked</v>
      </c>
    </row>
    <row r="740" spans="1:10">
      <c r="A740" s="366" t="s">
        <v>477</v>
      </c>
      <c r="B740" s="366">
        <v>2025</v>
      </c>
      <c r="C740" s="366" t="s">
        <v>1506</v>
      </c>
      <c r="D740" s="366">
        <v>77</v>
      </c>
      <c r="E740" s="348">
        <f t="shared" ca="1" si="33"/>
        <v>-131651408.7224526</v>
      </c>
      <c r="F740" s="348" t="str">
        <f t="shared" si="34"/>
        <v>BLD_PM</v>
      </c>
      <c r="G740" s="348" t="str">
        <f>IFERROR(INDEX(DATA_PROPERTY_MASTER!$E$5:$E$21,MATCH($A740,DATA_PROPERTY_MASTER!$A$5:$A$21,0)),"")</f>
        <v>Yes</v>
      </c>
      <c r="H740" s="348" t="str">
        <f>IFERROR(INDEX(DATA_PROPERTY_MASTER!$F$5:$F$21,MATCH($A740,DATA_PROPERTY_MASTER!$A$5:$A$21,0)),"")</f>
        <v>New Build</v>
      </c>
      <c r="I740" t="s">
        <v>1505</v>
      </c>
      <c r="J740" s="348" t="str">
        <f t="shared" ca="1" si="35"/>
        <v>Formula-linked</v>
      </c>
    </row>
    <row r="741" spans="1:10">
      <c r="A741" s="366" t="s">
        <v>477</v>
      </c>
      <c r="B741" s="366">
        <v>2029</v>
      </c>
      <c r="C741" s="366" t="s">
        <v>341</v>
      </c>
      <c r="D741" s="366">
        <v>24</v>
      </c>
      <c r="E741" s="348">
        <f t="shared" ca="1" si="33"/>
        <v>5081194.4520957954</v>
      </c>
      <c r="F741" s="348" t="str">
        <f t="shared" si="34"/>
        <v>BLD_PM</v>
      </c>
      <c r="G741" s="348" t="str">
        <f>IFERROR(INDEX(DATA_PROPERTY_MASTER!$E$5:$E$21,MATCH($A741,DATA_PROPERTY_MASTER!$A$5:$A$21,0)),"")</f>
        <v>Yes</v>
      </c>
      <c r="H741" s="348" t="str">
        <f>IFERROR(INDEX(DATA_PROPERTY_MASTER!$F$5:$F$21,MATCH($A741,DATA_PROPERTY_MASTER!$A$5:$A$21,0)),"")</f>
        <v>New Build</v>
      </c>
      <c r="I741" t="s">
        <v>1495</v>
      </c>
      <c r="J741" s="348" t="str">
        <f t="shared" ca="1" si="35"/>
        <v>Formula-linked</v>
      </c>
    </row>
    <row r="742" spans="1:10">
      <c r="A742" s="366" t="s">
        <v>477</v>
      </c>
      <c r="B742" s="366">
        <v>2029</v>
      </c>
      <c r="C742" s="366" t="s">
        <v>355</v>
      </c>
      <c r="D742" s="366">
        <v>39</v>
      </c>
      <c r="E742" s="348">
        <f t="shared" ca="1" si="33"/>
        <v>206363.04998400004</v>
      </c>
      <c r="F742" s="348" t="str">
        <f t="shared" si="34"/>
        <v>BLD_PM</v>
      </c>
      <c r="G742" s="348" t="str">
        <f>IFERROR(INDEX(DATA_PROPERTY_MASTER!$E$5:$E$21,MATCH($A742,DATA_PROPERTY_MASTER!$A$5:$A$21,0)),"")</f>
        <v>Yes</v>
      </c>
      <c r="H742" s="348" t="str">
        <f>IFERROR(INDEX(DATA_PROPERTY_MASTER!$F$5:$F$21,MATCH($A742,DATA_PROPERTY_MASTER!$A$5:$A$21,0)),"")</f>
        <v>New Build</v>
      </c>
      <c r="I742" t="s">
        <v>1496</v>
      </c>
      <c r="J742" s="348" t="str">
        <f t="shared" ca="1" si="35"/>
        <v>Formula-linked</v>
      </c>
    </row>
    <row r="743" spans="1:10">
      <c r="A743" s="366" t="s">
        <v>477</v>
      </c>
      <c r="B743" s="366">
        <v>2029</v>
      </c>
      <c r="C743" s="366" t="s">
        <v>1497</v>
      </c>
      <c r="D743" s="366">
        <v>41</v>
      </c>
      <c r="E743" s="348">
        <f t="shared" ca="1" si="33"/>
        <v>4874831.4021117957</v>
      </c>
      <c r="F743" s="348" t="str">
        <f t="shared" si="34"/>
        <v>BLD_PM</v>
      </c>
      <c r="G743" s="348" t="str">
        <f>IFERROR(INDEX(DATA_PROPERTY_MASTER!$E$5:$E$21,MATCH($A743,DATA_PROPERTY_MASTER!$A$5:$A$21,0)),"")</f>
        <v>Yes</v>
      </c>
      <c r="H743" s="348" t="str">
        <f>IFERROR(INDEX(DATA_PROPERTY_MASTER!$F$5:$F$21,MATCH($A743,DATA_PROPERTY_MASTER!$A$5:$A$21,0)),"")</f>
        <v>New Build</v>
      </c>
      <c r="I743" t="s">
        <v>1497</v>
      </c>
      <c r="J743" s="348" t="str">
        <f t="shared" ca="1" si="35"/>
        <v>Formula-linked</v>
      </c>
    </row>
    <row r="744" spans="1:10">
      <c r="A744" s="366" t="s">
        <v>477</v>
      </c>
      <c r="B744" s="366">
        <v>2029</v>
      </c>
      <c r="C744" s="366" t="s">
        <v>21</v>
      </c>
      <c r="D744" s="366">
        <v>45</v>
      </c>
      <c r="E744" s="348">
        <f t="shared" ca="1" si="33"/>
        <v>4821575.739839796</v>
      </c>
      <c r="F744" s="348" t="str">
        <f t="shared" si="34"/>
        <v>BLD_PM</v>
      </c>
      <c r="G744" s="348" t="str">
        <f>IFERROR(INDEX(DATA_PROPERTY_MASTER!$E$5:$E$21,MATCH($A744,DATA_PROPERTY_MASTER!$A$5:$A$21,0)),"")</f>
        <v>Yes</v>
      </c>
      <c r="H744" s="348" t="str">
        <f>IFERROR(INDEX(DATA_PROPERTY_MASTER!$F$5:$F$21,MATCH($A744,DATA_PROPERTY_MASTER!$A$5:$A$21,0)),"")</f>
        <v>New Build</v>
      </c>
      <c r="I744" t="s">
        <v>1497</v>
      </c>
      <c r="J744" s="348" t="str">
        <f t="shared" ca="1" si="35"/>
        <v>Formula-linked</v>
      </c>
    </row>
    <row r="745" spans="1:10">
      <c r="A745" s="366" t="s">
        <v>477</v>
      </c>
      <c r="B745" s="366">
        <v>2029</v>
      </c>
      <c r="C745" s="366" t="s">
        <v>23</v>
      </c>
      <c r="D745" s="366">
        <v>48</v>
      </c>
      <c r="E745" s="348">
        <f t="shared" ca="1" si="33"/>
        <v>3116973.3868276179</v>
      </c>
      <c r="F745" s="348" t="str">
        <f t="shared" si="34"/>
        <v>BLD_PM</v>
      </c>
      <c r="G745" s="348" t="str">
        <f>IFERROR(INDEX(DATA_PROPERTY_MASTER!$E$5:$E$21,MATCH($A745,DATA_PROPERTY_MASTER!$A$5:$A$21,0)),"")</f>
        <v>Yes</v>
      </c>
      <c r="H745" s="348" t="str">
        <f>IFERROR(INDEX(DATA_PROPERTY_MASTER!$F$5:$F$21,MATCH($A745,DATA_PROPERTY_MASTER!$A$5:$A$21,0)),"")</f>
        <v>New Build</v>
      </c>
      <c r="I745" t="s">
        <v>1498</v>
      </c>
      <c r="J745" s="348" t="str">
        <f t="shared" ca="1" si="35"/>
        <v>Formula-linked</v>
      </c>
    </row>
    <row r="746" spans="1:10">
      <c r="A746" s="366" t="s">
        <v>477</v>
      </c>
      <c r="B746" s="366">
        <v>2029</v>
      </c>
      <c r="C746" s="366" t="s">
        <v>213</v>
      </c>
      <c r="D746" s="366">
        <v>50</v>
      </c>
      <c r="E746" s="348">
        <f t="shared" ca="1" si="33"/>
        <v>1.5639631132921812</v>
      </c>
      <c r="F746" s="348" t="str">
        <f t="shared" si="34"/>
        <v>BLD_PM</v>
      </c>
      <c r="G746" s="348" t="str">
        <f>IFERROR(INDEX(DATA_PROPERTY_MASTER!$E$5:$E$21,MATCH($A746,DATA_PROPERTY_MASTER!$A$5:$A$21,0)),"")</f>
        <v>Yes</v>
      </c>
      <c r="H746" s="348" t="str">
        <f>IFERROR(INDEX(DATA_PROPERTY_MASTER!$F$5:$F$21,MATCH($A746,DATA_PROPERTY_MASTER!$A$5:$A$21,0)),"")</f>
        <v>New Build</v>
      </c>
      <c r="I746" t="s">
        <v>1499</v>
      </c>
      <c r="J746" s="348" t="str">
        <f t="shared" ca="1" si="35"/>
        <v>Formula-linked</v>
      </c>
    </row>
    <row r="747" spans="1:10">
      <c r="A747" s="366" t="s">
        <v>477</v>
      </c>
      <c r="B747" s="366">
        <v>2029</v>
      </c>
      <c r="C747" s="366" t="s">
        <v>1500</v>
      </c>
      <c r="D747" s="366">
        <v>52</v>
      </c>
      <c r="E747" s="348">
        <f t="shared" ca="1" si="33"/>
        <v>1757858.0152841778</v>
      </c>
      <c r="F747" s="348" t="str">
        <f t="shared" si="34"/>
        <v>BLD_PM</v>
      </c>
      <c r="G747" s="348" t="str">
        <f>IFERROR(INDEX(DATA_PROPERTY_MASTER!$E$5:$E$21,MATCH($A747,DATA_PROPERTY_MASTER!$A$5:$A$21,0)),"")</f>
        <v>Yes</v>
      </c>
      <c r="H747" s="348" t="str">
        <f>IFERROR(INDEX(DATA_PROPERTY_MASTER!$F$5:$F$21,MATCH($A747,DATA_PROPERTY_MASTER!$A$5:$A$21,0)),"")</f>
        <v>New Build</v>
      </c>
      <c r="I747" t="s">
        <v>1501</v>
      </c>
      <c r="J747" s="348" t="str">
        <f t="shared" ca="1" si="35"/>
        <v>Formula-linked</v>
      </c>
    </row>
    <row r="748" spans="1:10">
      <c r="A748" s="366" t="s">
        <v>477</v>
      </c>
      <c r="B748" s="366">
        <v>2029</v>
      </c>
      <c r="C748" s="366" t="s">
        <v>27</v>
      </c>
      <c r="D748" s="366">
        <v>54</v>
      </c>
      <c r="E748" s="348">
        <f t="shared" ca="1" si="33"/>
        <v>1054714.8091705067</v>
      </c>
      <c r="F748" s="348" t="str">
        <f t="shared" si="34"/>
        <v>BLD_PM</v>
      </c>
      <c r="G748" s="348" t="str">
        <f>IFERROR(INDEX(DATA_PROPERTY_MASTER!$E$5:$E$21,MATCH($A748,DATA_PROPERTY_MASTER!$A$5:$A$21,0)),"")</f>
        <v>Yes</v>
      </c>
      <c r="H748" s="348" t="str">
        <f>IFERROR(INDEX(DATA_PROPERTY_MASTER!$F$5:$F$21,MATCH($A748,DATA_PROPERTY_MASTER!$A$5:$A$21,0)),"")</f>
        <v>New Build</v>
      </c>
      <c r="I748" t="s">
        <v>1501</v>
      </c>
      <c r="J748" s="348" t="str">
        <f t="shared" ca="1" si="35"/>
        <v>Formula-linked</v>
      </c>
    </row>
    <row r="749" spans="1:10">
      <c r="A749" s="366" t="s">
        <v>477</v>
      </c>
      <c r="B749" s="366">
        <v>2029</v>
      </c>
      <c r="C749" s="366" t="s">
        <v>1502</v>
      </c>
      <c r="D749" s="366">
        <v>56</v>
      </c>
      <c r="E749" s="348">
        <f t="shared" ca="1" si="33"/>
        <v>703143.20611367119</v>
      </c>
      <c r="F749" s="348" t="str">
        <f t="shared" si="34"/>
        <v>BLD_PM</v>
      </c>
      <c r="G749" s="348" t="str">
        <f>IFERROR(INDEX(DATA_PROPERTY_MASTER!$E$5:$E$21,MATCH($A749,DATA_PROPERTY_MASTER!$A$5:$A$21,0)),"")</f>
        <v>Yes</v>
      </c>
      <c r="H749" s="348" t="str">
        <f>IFERROR(INDEX(DATA_PROPERTY_MASTER!$F$5:$F$21,MATCH($A749,DATA_PROPERTY_MASTER!$A$5:$A$21,0)),"")</f>
        <v>New Build</v>
      </c>
      <c r="I749" t="s">
        <v>1501</v>
      </c>
      <c r="J749" s="348" t="str">
        <f t="shared" ca="1" si="35"/>
        <v>Formula-linked</v>
      </c>
    </row>
    <row r="750" spans="1:10">
      <c r="A750" s="366" t="s">
        <v>477</v>
      </c>
      <c r="B750" s="366">
        <v>2029</v>
      </c>
      <c r="C750" s="366" t="s">
        <v>367</v>
      </c>
      <c r="D750" s="366">
        <v>61</v>
      </c>
      <c r="E750" s="348">
        <f t="shared" ca="1" si="33"/>
        <v>0</v>
      </c>
      <c r="F750" s="348" t="str">
        <f t="shared" si="34"/>
        <v>BLD_PM</v>
      </c>
      <c r="G750" s="348" t="str">
        <f>IFERROR(INDEX(DATA_PROPERTY_MASTER!$E$5:$E$21,MATCH($A750,DATA_PROPERTY_MASTER!$A$5:$A$21,0)),"")</f>
        <v>Yes</v>
      </c>
      <c r="H750" s="348" t="str">
        <f>IFERROR(INDEX(DATA_PROPERTY_MASTER!$F$5:$F$21,MATCH($A750,DATA_PROPERTY_MASTER!$A$5:$A$21,0)),"")</f>
        <v>New Build</v>
      </c>
      <c r="I750" t="s">
        <v>1503</v>
      </c>
      <c r="J750" s="348" t="str">
        <f t="shared" ca="1" si="35"/>
        <v>Formula-linked</v>
      </c>
    </row>
    <row r="751" spans="1:10">
      <c r="A751" s="366" t="s">
        <v>477</v>
      </c>
      <c r="B751" s="366">
        <v>2029</v>
      </c>
      <c r="C751" s="366" t="s">
        <v>368</v>
      </c>
      <c r="D751" s="366">
        <v>62</v>
      </c>
      <c r="E751" s="348">
        <f t="shared" ca="1" si="33"/>
        <v>0</v>
      </c>
      <c r="F751" s="348" t="str">
        <f t="shared" si="34"/>
        <v>BLD_PM</v>
      </c>
      <c r="G751" s="348" t="str">
        <f>IFERROR(INDEX(DATA_PROPERTY_MASTER!$E$5:$E$21,MATCH($A751,DATA_PROPERTY_MASTER!$A$5:$A$21,0)),"")</f>
        <v>Yes</v>
      </c>
      <c r="H751" s="348" t="str">
        <f>IFERROR(INDEX(DATA_PROPERTY_MASTER!$F$5:$F$21,MATCH($A751,DATA_PROPERTY_MASTER!$A$5:$A$21,0)),"")</f>
        <v>New Build</v>
      </c>
      <c r="I751" t="s">
        <v>1503</v>
      </c>
      <c r="J751" s="348" t="str">
        <f t="shared" ca="1" si="35"/>
        <v>Formula-linked</v>
      </c>
    </row>
    <row r="752" spans="1:10">
      <c r="A752" s="366" t="s">
        <v>477</v>
      </c>
      <c r="B752" s="366">
        <v>2029</v>
      </c>
      <c r="C752" s="366" t="s">
        <v>1504</v>
      </c>
      <c r="D752" s="366">
        <v>63</v>
      </c>
      <c r="E752" s="348">
        <f t="shared" ca="1" si="33"/>
        <v>0</v>
      </c>
      <c r="F752" s="348" t="str">
        <f t="shared" si="34"/>
        <v>BLD_PM</v>
      </c>
      <c r="G752" s="348" t="str">
        <f>IFERROR(INDEX(DATA_PROPERTY_MASTER!$E$5:$E$21,MATCH($A752,DATA_PROPERTY_MASTER!$A$5:$A$21,0)),"")</f>
        <v>Yes</v>
      </c>
      <c r="H752" s="348" t="str">
        <f>IFERROR(INDEX(DATA_PROPERTY_MASTER!$F$5:$F$21,MATCH($A752,DATA_PROPERTY_MASTER!$A$5:$A$21,0)),"")</f>
        <v>New Build</v>
      </c>
      <c r="I752" t="s">
        <v>1503</v>
      </c>
      <c r="J752" s="348" t="str">
        <f t="shared" ca="1" si="35"/>
        <v>Formula-linked</v>
      </c>
    </row>
    <row r="753" spans="1:10">
      <c r="A753" s="366" t="s">
        <v>477</v>
      </c>
      <c r="B753" s="366">
        <v>2029</v>
      </c>
      <c r="C753" s="366" t="s">
        <v>370</v>
      </c>
      <c r="D753" s="366">
        <v>64</v>
      </c>
      <c r="E753" s="348">
        <f t="shared" ca="1" si="33"/>
        <v>57091967.838827454</v>
      </c>
      <c r="F753" s="348" t="str">
        <f t="shared" si="34"/>
        <v>BLD_PM</v>
      </c>
      <c r="G753" s="348" t="str">
        <f>IFERROR(INDEX(DATA_PROPERTY_MASTER!$E$5:$E$21,MATCH($A753,DATA_PROPERTY_MASTER!$A$5:$A$21,0)),"")</f>
        <v>Yes</v>
      </c>
      <c r="H753" s="348" t="str">
        <f>IFERROR(INDEX(DATA_PROPERTY_MASTER!$F$5:$F$21,MATCH($A753,DATA_PROPERTY_MASTER!$A$5:$A$21,0)),"")</f>
        <v>New Build</v>
      </c>
      <c r="I753" t="s">
        <v>1498</v>
      </c>
      <c r="J753" s="348" t="str">
        <f t="shared" ca="1" si="35"/>
        <v>Formula-linked</v>
      </c>
    </row>
    <row r="754" spans="1:10">
      <c r="A754" s="366" t="s">
        <v>477</v>
      </c>
      <c r="B754" s="366">
        <v>2029</v>
      </c>
      <c r="C754" s="366" t="s">
        <v>544</v>
      </c>
      <c r="D754" s="366">
        <v>68</v>
      </c>
      <c r="E754" s="348">
        <f t="shared" ca="1" si="33"/>
        <v>703143.20611367119</v>
      </c>
      <c r="F754" s="348" t="str">
        <f t="shared" si="34"/>
        <v>BLD_PM</v>
      </c>
      <c r="G754" s="348" t="str">
        <f>IFERROR(INDEX(DATA_PROPERTY_MASTER!$E$5:$E$21,MATCH($A754,DATA_PROPERTY_MASTER!$A$5:$A$21,0)),"")</f>
        <v>Yes</v>
      </c>
      <c r="H754" s="348" t="str">
        <f>IFERROR(INDEX(DATA_PROPERTY_MASTER!$F$5:$F$21,MATCH($A754,DATA_PROPERTY_MASTER!$A$5:$A$21,0)),"")</f>
        <v>New Build</v>
      </c>
      <c r="I754" t="s">
        <v>1501</v>
      </c>
      <c r="J754" s="348" t="str">
        <f t="shared" ca="1" si="35"/>
        <v>Formula-linked</v>
      </c>
    </row>
    <row r="755" spans="1:10">
      <c r="A755" s="366" t="s">
        <v>477</v>
      </c>
      <c r="B755" s="366">
        <v>2029</v>
      </c>
      <c r="C755" s="366" t="s">
        <v>378</v>
      </c>
      <c r="D755" s="366">
        <v>73</v>
      </c>
      <c r="E755" s="348">
        <f t="shared" ca="1" si="33"/>
        <v>81247190.035196602</v>
      </c>
      <c r="F755" s="348" t="str">
        <f t="shared" si="34"/>
        <v>BLD_PM</v>
      </c>
      <c r="G755" s="348" t="str">
        <f>IFERROR(INDEX(DATA_PROPERTY_MASTER!$E$5:$E$21,MATCH($A755,DATA_PROPERTY_MASTER!$A$5:$A$21,0)),"")</f>
        <v>Yes</v>
      </c>
      <c r="H755" s="348" t="str">
        <f>IFERROR(INDEX(DATA_PROPERTY_MASTER!$F$5:$F$21,MATCH($A755,DATA_PROPERTY_MASTER!$A$5:$A$21,0)),"")</f>
        <v>New Build</v>
      </c>
      <c r="I755" t="s">
        <v>1505</v>
      </c>
      <c r="J755" s="348" t="str">
        <f t="shared" ca="1" si="35"/>
        <v>Formula-linked</v>
      </c>
    </row>
    <row r="756" spans="1:10">
      <c r="A756" s="366" t="s">
        <v>477</v>
      </c>
      <c r="B756" s="366">
        <v>2029</v>
      </c>
      <c r="C756" s="366" t="s">
        <v>1506</v>
      </c>
      <c r="D756" s="366">
        <v>77</v>
      </c>
      <c r="E756" s="348">
        <f t="shared" ca="1" si="33"/>
        <v>24155222.196369149</v>
      </c>
      <c r="F756" s="348" t="str">
        <f t="shared" si="34"/>
        <v>BLD_PM</v>
      </c>
      <c r="G756" s="348" t="str">
        <f>IFERROR(INDEX(DATA_PROPERTY_MASTER!$E$5:$E$21,MATCH($A756,DATA_PROPERTY_MASTER!$A$5:$A$21,0)),"")</f>
        <v>Yes</v>
      </c>
      <c r="H756" s="348" t="str">
        <f>IFERROR(INDEX(DATA_PROPERTY_MASTER!$F$5:$F$21,MATCH($A756,DATA_PROPERTY_MASTER!$A$5:$A$21,0)),"")</f>
        <v>New Build</v>
      </c>
      <c r="I756" t="s">
        <v>1505</v>
      </c>
      <c r="J756" s="348" t="str">
        <f t="shared" ca="1" si="35"/>
        <v>Formula-linked</v>
      </c>
    </row>
    <row r="757" spans="1:10">
      <c r="A757" s="366" t="s">
        <v>477</v>
      </c>
      <c r="B757" s="366">
        <v>2035</v>
      </c>
      <c r="C757" s="366" t="s">
        <v>341</v>
      </c>
      <c r="D757" s="366">
        <v>24</v>
      </c>
      <c r="E757" s="348">
        <f t="shared" ca="1" si="33"/>
        <v>5722250.2369230157</v>
      </c>
      <c r="F757" s="348" t="str">
        <f t="shared" si="34"/>
        <v>BLD_PM</v>
      </c>
      <c r="G757" s="348" t="str">
        <f>IFERROR(INDEX(DATA_PROPERTY_MASTER!$E$5:$E$21,MATCH($A757,DATA_PROPERTY_MASTER!$A$5:$A$21,0)),"")</f>
        <v>Yes</v>
      </c>
      <c r="H757" s="348" t="str">
        <f>IFERROR(INDEX(DATA_PROPERTY_MASTER!$F$5:$F$21,MATCH($A757,DATA_PROPERTY_MASTER!$A$5:$A$21,0)),"")</f>
        <v>New Build</v>
      </c>
      <c r="I757" t="s">
        <v>1495</v>
      </c>
      <c r="J757" s="348" t="str">
        <f t="shared" ca="1" si="35"/>
        <v>Formula-linked</v>
      </c>
    </row>
    <row r="758" spans="1:10">
      <c r="A758" s="366" t="s">
        <v>477</v>
      </c>
      <c r="B758" s="366">
        <v>2035</v>
      </c>
      <c r="C758" s="366" t="s">
        <v>355</v>
      </c>
      <c r="D758" s="366">
        <v>39</v>
      </c>
      <c r="E758" s="348">
        <f t="shared" ca="1" si="33"/>
        <v>257349.00880392871</v>
      </c>
      <c r="F758" s="348" t="str">
        <f t="shared" si="34"/>
        <v>BLD_PM</v>
      </c>
      <c r="G758" s="348" t="str">
        <f>IFERROR(INDEX(DATA_PROPERTY_MASTER!$E$5:$E$21,MATCH($A758,DATA_PROPERTY_MASTER!$A$5:$A$21,0)),"")</f>
        <v>Yes</v>
      </c>
      <c r="H758" s="348" t="str">
        <f>IFERROR(INDEX(DATA_PROPERTY_MASTER!$F$5:$F$21,MATCH($A758,DATA_PROPERTY_MASTER!$A$5:$A$21,0)),"")</f>
        <v>New Build</v>
      </c>
      <c r="I758" t="s">
        <v>1496</v>
      </c>
      <c r="J758" s="348" t="str">
        <f t="shared" ca="1" si="35"/>
        <v>Formula-linked</v>
      </c>
    </row>
    <row r="759" spans="1:10">
      <c r="A759" s="366" t="s">
        <v>477</v>
      </c>
      <c r="B759" s="366">
        <v>2035</v>
      </c>
      <c r="C759" s="366" t="s">
        <v>1497</v>
      </c>
      <c r="D759" s="366">
        <v>41</v>
      </c>
      <c r="E759" s="348">
        <f t="shared" ca="1" si="33"/>
        <v>5464901.2281190874</v>
      </c>
      <c r="F759" s="348" t="str">
        <f t="shared" si="34"/>
        <v>BLD_PM</v>
      </c>
      <c r="G759" s="348" t="str">
        <f>IFERROR(INDEX(DATA_PROPERTY_MASTER!$E$5:$E$21,MATCH($A759,DATA_PROPERTY_MASTER!$A$5:$A$21,0)),"")</f>
        <v>Yes</v>
      </c>
      <c r="H759" s="348" t="str">
        <f>IFERROR(INDEX(DATA_PROPERTY_MASTER!$F$5:$F$21,MATCH($A759,DATA_PROPERTY_MASTER!$A$5:$A$21,0)),"")</f>
        <v>New Build</v>
      </c>
      <c r="I759" t="s">
        <v>1497</v>
      </c>
      <c r="J759" s="348" t="str">
        <f t="shared" ca="1" si="35"/>
        <v>Formula-linked</v>
      </c>
    </row>
    <row r="760" spans="1:10">
      <c r="A760" s="366" t="s">
        <v>477</v>
      </c>
      <c r="B760" s="366">
        <v>2035</v>
      </c>
      <c r="C760" s="366" t="s">
        <v>21</v>
      </c>
      <c r="D760" s="366">
        <v>45</v>
      </c>
      <c r="E760" s="348">
        <f t="shared" ca="1" si="33"/>
        <v>5404926.7026553452</v>
      </c>
      <c r="F760" s="348" t="str">
        <f t="shared" si="34"/>
        <v>BLD_PM</v>
      </c>
      <c r="G760" s="348" t="str">
        <f>IFERROR(INDEX(DATA_PROPERTY_MASTER!$E$5:$E$21,MATCH($A760,DATA_PROPERTY_MASTER!$A$5:$A$21,0)),"")</f>
        <v>Yes</v>
      </c>
      <c r="H760" s="348" t="str">
        <f>IFERROR(INDEX(DATA_PROPERTY_MASTER!$F$5:$F$21,MATCH($A760,DATA_PROPERTY_MASTER!$A$5:$A$21,0)),"")</f>
        <v>New Build</v>
      </c>
      <c r="I760" t="s">
        <v>1497</v>
      </c>
      <c r="J760" s="348" t="str">
        <f t="shared" ca="1" si="35"/>
        <v>Formula-linked</v>
      </c>
    </row>
    <row r="761" spans="1:10">
      <c r="A761" s="366" t="s">
        <v>477</v>
      </c>
      <c r="B761" s="366">
        <v>2035</v>
      </c>
      <c r="C761" s="366" t="s">
        <v>23</v>
      </c>
      <c r="D761" s="366">
        <v>48</v>
      </c>
      <c r="E761" s="348">
        <f t="shared" ca="1" si="33"/>
        <v>3116973.3868276179</v>
      </c>
      <c r="F761" s="348" t="str">
        <f t="shared" si="34"/>
        <v>BLD_PM</v>
      </c>
      <c r="G761" s="348" t="str">
        <f>IFERROR(INDEX(DATA_PROPERTY_MASTER!$E$5:$E$21,MATCH($A761,DATA_PROPERTY_MASTER!$A$5:$A$21,0)),"")</f>
        <v>Yes</v>
      </c>
      <c r="H761" s="348" t="str">
        <f>IFERROR(INDEX(DATA_PROPERTY_MASTER!$F$5:$F$21,MATCH($A761,DATA_PROPERTY_MASTER!$A$5:$A$21,0)),"")</f>
        <v>New Build</v>
      </c>
      <c r="I761" t="s">
        <v>1498</v>
      </c>
      <c r="J761" s="348" t="str">
        <f t="shared" ca="1" si="35"/>
        <v>Formula-linked</v>
      </c>
    </row>
    <row r="762" spans="1:10">
      <c r="A762" s="366" t="s">
        <v>477</v>
      </c>
      <c r="B762" s="366">
        <v>2035</v>
      </c>
      <c r="C762" s="366" t="s">
        <v>213</v>
      </c>
      <c r="D762" s="366">
        <v>50</v>
      </c>
      <c r="E762" s="348">
        <f t="shared" ca="1" si="33"/>
        <v>1.7532716997886002</v>
      </c>
      <c r="F762" s="348" t="str">
        <f t="shared" si="34"/>
        <v>BLD_PM</v>
      </c>
      <c r="G762" s="348" t="str">
        <f>IFERROR(INDEX(DATA_PROPERTY_MASTER!$E$5:$E$21,MATCH($A762,DATA_PROPERTY_MASTER!$A$5:$A$21,0)),"")</f>
        <v>Yes</v>
      </c>
      <c r="H762" s="348" t="str">
        <f>IFERROR(INDEX(DATA_PROPERTY_MASTER!$F$5:$F$21,MATCH($A762,DATA_PROPERTY_MASTER!$A$5:$A$21,0)),"")</f>
        <v>New Build</v>
      </c>
      <c r="I762" t="s">
        <v>1499</v>
      </c>
      <c r="J762" s="348" t="str">
        <f t="shared" ca="1" si="35"/>
        <v>Formula-linked</v>
      </c>
    </row>
    <row r="763" spans="1:10">
      <c r="A763" s="366" t="s">
        <v>477</v>
      </c>
      <c r="B763" s="366">
        <v>2035</v>
      </c>
      <c r="C763" s="366" t="s">
        <v>1500</v>
      </c>
      <c r="D763" s="366">
        <v>52</v>
      </c>
      <c r="E763" s="348">
        <f t="shared" ca="1" si="33"/>
        <v>2347927.8412914695</v>
      </c>
      <c r="F763" s="348" t="str">
        <f t="shared" si="34"/>
        <v>BLD_PM</v>
      </c>
      <c r="G763" s="348" t="str">
        <f>IFERROR(INDEX(DATA_PROPERTY_MASTER!$E$5:$E$21,MATCH($A763,DATA_PROPERTY_MASTER!$A$5:$A$21,0)),"")</f>
        <v>Yes</v>
      </c>
      <c r="H763" s="348" t="str">
        <f>IFERROR(INDEX(DATA_PROPERTY_MASTER!$F$5:$F$21,MATCH($A763,DATA_PROPERTY_MASTER!$A$5:$A$21,0)),"")</f>
        <v>New Build</v>
      </c>
      <c r="I763" t="s">
        <v>1501</v>
      </c>
      <c r="J763" s="348" t="str">
        <f t="shared" ca="1" si="35"/>
        <v>Formula-linked</v>
      </c>
    </row>
    <row r="764" spans="1:10">
      <c r="A764" s="366" t="s">
        <v>477</v>
      </c>
      <c r="B764" s="366">
        <v>2035</v>
      </c>
      <c r="C764" s="366" t="s">
        <v>27</v>
      </c>
      <c r="D764" s="366">
        <v>54</v>
      </c>
      <c r="E764" s="348">
        <f t="shared" ca="1" si="33"/>
        <v>1408756.7047748817</v>
      </c>
      <c r="F764" s="348" t="str">
        <f t="shared" si="34"/>
        <v>BLD_PM</v>
      </c>
      <c r="G764" s="348" t="str">
        <f>IFERROR(INDEX(DATA_PROPERTY_MASTER!$E$5:$E$21,MATCH($A764,DATA_PROPERTY_MASTER!$A$5:$A$21,0)),"")</f>
        <v>Yes</v>
      </c>
      <c r="H764" s="348" t="str">
        <f>IFERROR(INDEX(DATA_PROPERTY_MASTER!$F$5:$F$21,MATCH($A764,DATA_PROPERTY_MASTER!$A$5:$A$21,0)),"")</f>
        <v>New Build</v>
      </c>
      <c r="I764" t="s">
        <v>1501</v>
      </c>
      <c r="J764" s="348" t="str">
        <f t="shared" ca="1" si="35"/>
        <v>Formula-linked</v>
      </c>
    </row>
    <row r="765" spans="1:10">
      <c r="A765" s="366" t="s">
        <v>477</v>
      </c>
      <c r="B765" s="366">
        <v>2035</v>
      </c>
      <c r="C765" s="366" t="s">
        <v>1502</v>
      </c>
      <c r="D765" s="366">
        <v>56</v>
      </c>
      <c r="E765" s="348">
        <f t="shared" ca="1" si="33"/>
        <v>939171.13651658781</v>
      </c>
      <c r="F765" s="348" t="str">
        <f t="shared" si="34"/>
        <v>BLD_PM</v>
      </c>
      <c r="G765" s="348" t="str">
        <f>IFERROR(INDEX(DATA_PROPERTY_MASTER!$E$5:$E$21,MATCH($A765,DATA_PROPERTY_MASTER!$A$5:$A$21,0)),"")</f>
        <v>Yes</v>
      </c>
      <c r="H765" s="348" t="str">
        <f>IFERROR(INDEX(DATA_PROPERTY_MASTER!$F$5:$F$21,MATCH($A765,DATA_PROPERTY_MASTER!$A$5:$A$21,0)),"")</f>
        <v>New Build</v>
      </c>
      <c r="I765" t="s">
        <v>1501</v>
      </c>
      <c r="J765" s="348" t="str">
        <f t="shared" ca="1" si="35"/>
        <v>Formula-linked</v>
      </c>
    </row>
    <row r="766" spans="1:10">
      <c r="A766" s="366" t="s">
        <v>477</v>
      </c>
      <c r="B766" s="366">
        <v>2035</v>
      </c>
      <c r="C766" s="366" t="s">
        <v>367</v>
      </c>
      <c r="D766" s="366">
        <v>61</v>
      </c>
      <c r="E766" s="348">
        <f t="shared" ca="1" si="33"/>
        <v>0</v>
      </c>
      <c r="F766" s="348" t="str">
        <f t="shared" si="34"/>
        <v>BLD_PM</v>
      </c>
      <c r="G766" s="348" t="str">
        <f>IFERROR(INDEX(DATA_PROPERTY_MASTER!$E$5:$E$21,MATCH($A766,DATA_PROPERTY_MASTER!$A$5:$A$21,0)),"")</f>
        <v>Yes</v>
      </c>
      <c r="H766" s="348" t="str">
        <f>IFERROR(INDEX(DATA_PROPERTY_MASTER!$F$5:$F$21,MATCH($A766,DATA_PROPERTY_MASTER!$A$5:$A$21,0)),"")</f>
        <v>New Build</v>
      </c>
      <c r="I766" t="s">
        <v>1503</v>
      </c>
      <c r="J766" s="348" t="str">
        <f t="shared" ca="1" si="35"/>
        <v>Formula-linked</v>
      </c>
    </row>
    <row r="767" spans="1:10">
      <c r="A767" s="366" t="s">
        <v>477</v>
      </c>
      <c r="B767" s="366">
        <v>2035</v>
      </c>
      <c r="C767" s="366" t="s">
        <v>368</v>
      </c>
      <c r="D767" s="366">
        <v>62</v>
      </c>
      <c r="E767" s="348">
        <f t="shared" ca="1" si="33"/>
        <v>0</v>
      </c>
      <c r="F767" s="348" t="str">
        <f t="shared" si="34"/>
        <v>BLD_PM</v>
      </c>
      <c r="G767" s="348" t="str">
        <f>IFERROR(INDEX(DATA_PROPERTY_MASTER!$E$5:$E$21,MATCH($A767,DATA_PROPERTY_MASTER!$A$5:$A$21,0)),"")</f>
        <v>Yes</v>
      </c>
      <c r="H767" s="348" t="str">
        <f>IFERROR(INDEX(DATA_PROPERTY_MASTER!$F$5:$F$21,MATCH($A767,DATA_PROPERTY_MASTER!$A$5:$A$21,0)),"")</f>
        <v>New Build</v>
      </c>
      <c r="I767" t="s">
        <v>1503</v>
      </c>
      <c r="J767" s="348" t="str">
        <f t="shared" ca="1" si="35"/>
        <v>Formula-linked</v>
      </c>
    </row>
    <row r="768" spans="1:10">
      <c r="A768" s="366" t="s">
        <v>477</v>
      </c>
      <c r="B768" s="366">
        <v>2035</v>
      </c>
      <c r="C768" s="366" t="s">
        <v>1504</v>
      </c>
      <c r="D768" s="366">
        <v>63</v>
      </c>
      <c r="E768" s="348">
        <f t="shared" ca="1" si="33"/>
        <v>0</v>
      </c>
      <c r="F768" s="348" t="str">
        <f t="shared" si="34"/>
        <v>BLD_PM</v>
      </c>
      <c r="G768" s="348" t="str">
        <f>IFERROR(INDEX(DATA_PROPERTY_MASTER!$E$5:$E$21,MATCH($A768,DATA_PROPERTY_MASTER!$A$5:$A$21,0)),"")</f>
        <v>Yes</v>
      </c>
      <c r="H768" s="348" t="str">
        <f>IFERROR(INDEX(DATA_PROPERTY_MASTER!$F$5:$F$21,MATCH($A768,DATA_PROPERTY_MASTER!$A$5:$A$21,0)),"")</f>
        <v>New Build</v>
      </c>
      <c r="I768" t="s">
        <v>1503</v>
      </c>
      <c r="J768" s="348" t="str">
        <f t="shared" ca="1" si="35"/>
        <v>Formula-linked</v>
      </c>
    </row>
    <row r="769" spans="1:10">
      <c r="A769" s="366" t="s">
        <v>477</v>
      </c>
      <c r="B769" s="366">
        <v>2035</v>
      </c>
      <c r="C769" s="366" t="s">
        <v>370</v>
      </c>
      <c r="D769" s="366">
        <v>64</v>
      </c>
      <c r="E769" s="348">
        <f t="shared" ca="1" si="33"/>
        <v>51564744.718048945</v>
      </c>
      <c r="F769" s="348" t="str">
        <f t="shared" si="34"/>
        <v>BLD_PM</v>
      </c>
      <c r="G769" s="348" t="str">
        <f>IFERROR(INDEX(DATA_PROPERTY_MASTER!$E$5:$E$21,MATCH($A769,DATA_PROPERTY_MASTER!$A$5:$A$21,0)),"")</f>
        <v>Yes</v>
      </c>
      <c r="H769" s="348" t="str">
        <f>IFERROR(INDEX(DATA_PROPERTY_MASTER!$F$5:$F$21,MATCH($A769,DATA_PROPERTY_MASTER!$A$5:$A$21,0)),"")</f>
        <v>New Build</v>
      </c>
      <c r="I769" t="s">
        <v>1498</v>
      </c>
      <c r="J769" s="348" t="str">
        <f t="shared" ca="1" si="35"/>
        <v>Formula-linked</v>
      </c>
    </row>
    <row r="770" spans="1:10">
      <c r="A770" s="366" t="s">
        <v>477</v>
      </c>
      <c r="B770" s="366">
        <v>2035</v>
      </c>
      <c r="C770" s="366" t="s">
        <v>544</v>
      </c>
      <c r="D770" s="366">
        <v>68</v>
      </c>
      <c r="E770" s="348">
        <f t="shared" ca="1" si="33"/>
        <v>939171.13651658781</v>
      </c>
      <c r="F770" s="348" t="str">
        <f t="shared" si="34"/>
        <v>BLD_PM</v>
      </c>
      <c r="G770" s="348" t="str">
        <f>IFERROR(INDEX(DATA_PROPERTY_MASTER!$E$5:$E$21,MATCH($A770,DATA_PROPERTY_MASTER!$A$5:$A$21,0)),"")</f>
        <v>Yes</v>
      </c>
      <c r="H770" s="348" t="str">
        <f>IFERROR(INDEX(DATA_PROPERTY_MASTER!$F$5:$F$21,MATCH($A770,DATA_PROPERTY_MASTER!$A$5:$A$21,0)),"")</f>
        <v>New Build</v>
      </c>
      <c r="I770" t="s">
        <v>1501</v>
      </c>
      <c r="J770" s="348" t="str">
        <f t="shared" ca="1" si="35"/>
        <v>Formula-linked</v>
      </c>
    </row>
    <row r="771" spans="1:10">
      <c r="A771" s="366" t="s">
        <v>477</v>
      </c>
      <c r="B771" s="366">
        <v>2035</v>
      </c>
      <c r="C771" s="366" t="s">
        <v>378</v>
      </c>
      <c r="D771" s="366">
        <v>73</v>
      </c>
      <c r="E771" s="348">
        <f t="shared" ca="1" si="33"/>
        <v>91081687.13531813</v>
      </c>
      <c r="F771" s="348" t="str">
        <f t="shared" si="34"/>
        <v>BLD_PM</v>
      </c>
      <c r="G771" s="348" t="str">
        <f>IFERROR(INDEX(DATA_PROPERTY_MASTER!$E$5:$E$21,MATCH($A771,DATA_PROPERTY_MASTER!$A$5:$A$21,0)),"")</f>
        <v>Yes</v>
      </c>
      <c r="H771" s="348" t="str">
        <f>IFERROR(INDEX(DATA_PROPERTY_MASTER!$F$5:$F$21,MATCH($A771,DATA_PROPERTY_MASTER!$A$5:$A$21,0)),"")</f>
        <v>New Build</v>
      </c>
      <c r="I771" t="s">
        <v>1505</v>
      </c>
      <c r="J771" s="348" t="str">
        <f t="shared" ca="1" si="35"/>
        <v>Formula-linked</v>
      </c>
    </row>
    <row r="772" spans="1:10">
      <c r="A772" s="366" t="s">
        <v>477</v>
      </c>
      <c r="B772" s="366">
        <v>2035</v>
      </c>
      <c r="C772" s="366" t="s">
        <v>1506</v>
      </c>
      <c r="D772" s="366">
        <v>77</v>
      </c>
      <c r="E772" s="348">
        <f t="shared" ca="1" si="33"/>
        <v>39516942.417269185</v>
      </c>
      <c r="F772" s="348" t="str">
        <f t="shared" si="34"/>
        <v>BLD_PM</v>
      </c>
      <c r="G772" s="348" t="str">
        <f>IFERROR(INDEX(DATA_PROPERTY_MASTER!$E$5:$E$21,MATCH($A772,DATA_PROPERTY_MASTER!$A$5:$A$21,0)),"")</f>
        <v>Yes</v>
      </c>
      <c r="H772" s="348" t="str">
        <f>IFERROR(INDEX(DATA_PROPERTY_MASTER!$F$5:$F$21,MATCH($A772,DATA_PROPERTY_MASTER!$A$5:$A$21,0)),"")</f>
        <v>New Build</v>
      </c>
      <c r="I772" t="s">
        <v>1505</v>
      </c>
      <c r="J772" s="348" t="str">
        <f t="shared" ca="1" si="35"/>
        <v>Formula-linked</v>
      </c>
    </row>
    <row r="773" spans="1:10">
      <c r="A773" s="366" t="s">
        <v>481</v>
      </c>
      <c r="B773" s="366">
        <v>2025</v>
      </c>
      <c r="C773" s="366" t="s">
        <v>341</v>
      </c>
      <c r="D773" s="366">
        <v>24</v>
      </c>
      <c r="E773" s="348">
        <f t="shared" ref="E773:E820" ca="1" si="36">IFERROR(INDEX(INDIRECT("'"&amp;$A773&amp;"'!$E$"&amp;$D773&amp;":$Y$"&amp;$D773),1,MATCH($B773,INDIRECT("'"&amp;$A773&amp;"'!$E$12:$Y$12"),0)),"")</f>
        <v>0</v>
      </c>
      <c r="F773" s="348" t="str">
        <f t="shared" ref="F773:F820" si="37">$A773</f>
        <v>BLD_CD</v>
      </c>
      <c r="G773" s="348" t="str">
        <f>IFERROR(INDEX(DATA_PROPERTY_MASTER!$E$5:$E$21,MATCH($A773,DATA_PROPERTY_MASTER!$A$5:$A$21,0)),"")</f>
        <v>Yes</v>
      </c>
      <c r="H773" s="348" t="str">
        <f>IFERROR(INDEX(DATA_PROPERTY_MASTER!$F$5:$F$21,MATCH($A773,DATA_PROPERTY_MASTER!$A$5:$A$21,0)),"")</f>
        <v>New Build</v>
      </c>
      <c r="I773" t="s">
        <v>1495</v>
      </c>
      <c r="J773" s="348" t="str">
        <f t="shared" ref="J773:J820" ca="1" si="38">IF($E773="","Review","Formula-linked")</f>
        <v>Formula-linked</v>
      </c>
    </row>
    <row r="774" spans="1:10">
      <c r="A774" s="366" t="s">
        <v>481</v>
      </c>
      <c r="B774" s="366">
        <v>2025</v>
      </c>
      <c r="C774" s="366" t="s">
        <v>355</v>
      </c>
      <c r="D774" s="366">
        <v>39</v>
      </c>
      <c r="E774" s="348">
        <f t="shared" ca="1" si="36"/>
        <v>0</v>
      </c>
      <c r="F774" s="348" t="str">
        <f t="shared" si="37"/>
        <v>BLD_CD</v>
      </c>
      <c r="G774" s="348" t="str">
        <f>IFERROR(INDEX(DATA_PROPERTY_MASTER!$E$5:$E$21,MATCH($A774,DATA_PROPERTY_MASTER!$A$5:$A$21,0)),"")</f>
        <v>Yes</v>
      </c>
      <c r="H774" s="348" t="str">
        <f>IFERROR(INDEX(DATA_PROPERTY_MASTER!$F$5:$F$21,MATCH($A774,DATA_PROPERTY_MASTER!$A$5:$A$21,0)),"")</f>
        <v>New Build</v>
      </c>
      <c r="I774" t="s">
        <v>1496</v>
      </c>
      <c r="J774" s="348" t="str">
        <f t="shared" ca="1" si="38"/>
        <v>Formula-linked</v>
      </c>
    </row>
    <row r="775" spans="1:10">
      <c r="A775" s="366" t="s">
        <v>481</v>
      </c>
      <c r="B775" s="366">
        <v>2025</v>
      </c>
      <c r="C775" s="366" t="s">
        <v>1497</v>
      </c>
      <c r="D775" s="366">
        <v>41</v>
      </c>
      <c r="E775" s="348">
        <f t="shared" ca="1" si="36"/>
        <v>0</v>
      </c>
      <c r="F775" s="348" t="str">
        <f t="shared" si="37"/>
        <v>BLD_CD</v>
      </c>
      <c r="G775" s="348" t="str">
        <f>IFERROR(INDEX(DATA_PROPERTY_MASTER!$E$5:$E$21,MATCH($A775,DATA_PROPERTY_MASTER!$A$5:$A$21,0)),"")</f>
        <v>Yes</v>
      </c>
      <c r="H775" s="348" t="str">
        <f>IFERROR(INDEX(DATA_PROPERTY_MASTER!$F$5:$F$21,MATCH($A775,DATA_PROPERTY_MASTER!$A$5:$A$21,0)),"")</f>
        <v>New Build</v>
      </c>
      <c r="I775" t="s">
        <v>1497</v>
      </c>
      <c r="J775" s="348" t="str">
        <f t="shared" ca="1" si="38"/>
        <v>Formula-linked</v>
      </c>
    </row>
    <row r="776" spans="1:10">
      <c r="A776" s="366" t="s">
        <v>481</v>
      </c>
      <c r="B776" s="366">
        <v>2025</v>
      </c>
      <c r="C776" s="366" t="s">
        <v>21</v>
      </c>
      <c r="D776" s="366">
        <v>45</v>
      </c>
      <c r="E776" s="348">
        <f t="shared" ca="1" si="36"/>
        <v>0</v>
      </c>
      <c r="F776" s="348" t="str">
        <f t="shared" si="37"/>
        <v>BLD_CD</v>
      </c>
      <c r="G776" s="348" t="str">
        <f>IFERROR(INDEX(DATA_PROPERTY_MASTER!$E$5:$E$21,MATCH($A776,DATA_PROPERTY_MASTER!$A$5:$A$21,0)),"")</f>
        <v>Yes</v>
      </c>
      <c r="H776" s="348" t="str">
        <f>IFERROR(INDEX(DATA_PROPERTY_MASTER!$F$5:$F$21,MATCH($A776,DATA_PROPERTY_MASTER!$A$5:$A$21,0)),"")</f>
        <v>New Build</v>
      </c>
      <c r="I776" t="s">
        <v>1497</v>
      </c>
      <c r="J776" s="348" t="str">
        <f t="shared" ca="1" si="38"/>
        <v>Formula-linked</v>
      </c>
    </row>
    <row r="777" spans="1:10">
      <c r="A777" s="366" t="s">
        <v>481</v>
      </c>
      <c r="B777" s="366">
        <v>2025</v>
      </c>
      <c r="C777" s="366" t="s">
        <v>23</v>
      </c>
      <c r="D777" s="366">
        <v>48</v>
      </c>
      <c r="E777" s="348">
        <f t="shared" ca="1" si="36"/>
        <v>2031934.1122314297</v>
      </c>
      <c r="F777" s="348" t="str">
        <f t="shared" si="37"/>
        <v>BLD_CD</v>
      </c>
      <c r="G777" s="348" t="str">
        <f>IFERROR(INDEX(DATA_PROPERTY_MASTER!$E$5:$E$21,MATCH($A777,DATA_PROPERTY_MASTER!$A$5:$A$21,0)),"")</f>
        <v>Yes</v>
      </c>
      <c r="H777" s="348" t="str">
        <f>IFERROR(INDEX(DATA_PROPERTY_MASTER!$F$5:$F$21,MATCH($A777,DATA_PROPERTY_MASTER!$A$5:$A$21,0)),"")</f>
        <v>New Build</v>
      </c>
      <c r="I777" t="s">
        <v>1498</v>
      </c>
      <c r="J777" s="348" t="str">
        <f t="shared" ca="1" si="38"/>
        <v>Formula-linked</v>
      </c>
    </row>
    <row r="778" spans="1:10">
      <c r="A778" s="366" t="s">
        <v>481</v>
      </c>
      <c r="B778" s="366">
        <v>2025</v>
      </c>
      <c r="C778" s="366" t="s">
        <v>213</v>
      </c>
      <c r="D778" s="366">
        <v>50</v>
      </c>
      <c r="E778" s="348">
        <f t="shared" ca="1" si="36"/>
        <v>0</v>
      </c>
      <c r="F778" s="348" t="str">
        <f t="shared" si="37"/>
        <v>BLD_CD</v>
      </c>
      <c r="G778" s="348" t="str">
        <f>IFERROR(INDEX(DATA_PROPERTY_MASTER!$E$5:$E$21,MATCH($A778,DATA_PROPERTY_MASTER!$A$5:$A$21,0)),"")</f>
        <v>Yes</v>
      </c>
      <c r="H778" s="348" t="str">
        <f>IFERROR(INDEX(DATA_PROPERTY_MASTER!$F$5:$F$21,MATCH($A778,DATA_PROPERTY_MASTER!$A$5:$A$21,0)),"")</f>
        <v>New Build</v>
      </c>
      <c r="I778" t="s">
        <v>1499</v>
      </c>
      <c r="J778" s="348" t="str">
        <f t="shared" ca="1" si="38"/>
        <v>Formula-linked</v>
      </c>
    </row>
    <row r="779" spans="1:10">
      <c r="A779" s="366" t="s">
        <v>481</v>
      </c>
      <c r="B779" s="366">
        <v>2025</v>
      </c>
      <c r="C779" s="366" t="s">
        <v>1500</v>
      </c>
      <c r="D779" s="366">
        <v>52</v>
      </c>
      <c r="E779" s="348">
        <f t="shared" ca="1" si="36"/>
        <v>-2031934.1122314297</v>
      </c>
      <c r="F779" s="348" t="str">
        <f t="shared" si="37"/>
        <v>BLD_CD</v>
      </c>
      <c r="G779" s="348" t="str">
        <f>IFERROR(INDEX(DATA_PROPERTY_MASTER!$E$5:$E$21,MATCH($A779,DATA_PROPERTY_MASTER!$A$5:$A$21,0)),"")</f>
        <v>Yes</v>
      </c>
      <c r="H779" s="348" t="str">
        <f>IFERROR(INDEX(DATA_PROPERTY_MASTER!$F$5:$F$21,MATCH($A779,DATA_PROPERTY_MASTER!$A$5:$A$21,0)),"")</f>
        <v>New Build</v>
      </c>
      <c r="I779" t="s">
        <v>1501</v>
      </c>
      <c r="J779" s="348" t="str">
        <f t="shared" ca="1" si="38"/>
        <v>Formula-linked</v>
      </c>
    </row>
    <row r="780" spans="1:10">
      <c r="A780" s="366" t="s">
        <v>481</v>
      </c>
      <c r="B780" s="366">
        <v>2025</v>
      </c>
      <c r="C780" s="366" t="s">
        <v>27</v>
      </c>
      <c r="D780" s="366">
        <v>54</v>
      </c>
      <c r="E780" s="348">
        <f t="shared" ca="1" si="36"/>
        <v>0</v>
      </c>
      <c r="F780" s="348" t="str">
        <f t="shared" si="37"/>
        <v>BLD_CD</v>
      </c>
      <c r="G780" s="348" t="str">
        <f>IFERROR(INDEX(DATA_PROPERTY_MASTER!$E$5:$E$21,MATCH($A780,DATA_PROPERTY_MASTER!$A$5:$A$21,0)),"")</f>
        <v>Yes</v>
      </c>
      <c r="H780" s="348" t="str">
        <f>IFERROR(INDEX(DATA_PROPERTY_MASTER!$F$5:$F$21,MATCH($A780,DATA_PROPERTY_MASTER!$A$5:$A$21,0)),"")</f>
        <v>New Build</v>
      </c>
      <c r="I780" t="s">
        <v>1501</v>
      </c>
      <c r="J780" s="348" t="str">
        <f t="shared" ca="1" si="38"/>
        <v>Formula-linked</v>
      </c>
    </row>
    <row r="781" spans="1:10">
      <c r="A781" s="366" t="s">
        <v>481</v>
      </c>
      <c r="B781" s="366">
        <v>2025</v>
      </c>
      <c r="C781" s="366" t="s">
        <v>1502</v>
      </c>
      <c r="D781" s="366">
        <v>56</v>
      </c>
      <c r="E781" s="348">
        <f t="shared" ca="1" si="36"/>
        <v>-2031934.1122314297</v>
      </c>
      <c r="F781" s="348" t="str">
        <f t="shared" si="37"/>
        <v>BLD_CD</v>
      </c>
      <c r="G781" s="348" t="str">
        <f>IFERROR(INDEX(DATA_PROPERTY_MASTER!$E$5:$E$21,MATCH($A781,DATA_PROPERTY_MASTER!$A$5:$A$21,0)),"")</f>
        <v>Yes</v>
      </c>
      <c r="H781" s="348" t="str">
        <f>IFERROR(INDEX(DATA_PROPERTY_MASTER!$F$5:$F$21,MATCH($A781,DATA_PROPERTY_MASTER!$A$5:$A$21,0)),"")</f>
        <v>New Build</v>
      </c>
      <c r="I781" t="s">
        <v>1501</v>
      </c>
      <c r="J781" s="348" t="str">
        <f t="shared" ca="1" si="38"/>
        <v>Formula-linked</v>
      </c>
    </row>
    <row r="782" spans="1:10">
      <c r="A782" s="366" t="s">
        <v>481</v>
      </c>
      <c r="B782" s="366">
        <v>2025</v>
      </c>
      <c r="C782" s="366" t="s">
        <v>367</v>
      </c>
      <c r="D782" s="366">
        <v>61</v>
      </c>
      <c r="E782" s="348">
        <f t="shared" ca="1" si="36"/>
        <v>0</v>
      </c>
      <c r="F782" s="348" t="str">
        <f t="shared" si="37"/>
        <v>BLD_CD</v>
      </c>
      <c r="G782" s="348" t="str">
        <f>IFERROR(INDEX(DATA_PROPERTY_MASTER!$E$5:$E$21,MATCH($A782,DATA_PROPERTY_MASTER!$A$5:$A$21,0)),"")</f>
        <v>Yes</v>
      </c>
      <c r="H782" s="348" t="str">
        <f>IFERROR(INDEX(DATA_PROPERTY_MASTER!$F$5:$F$21,MATCH($A782,DATA_PROPERTY_MASTER!$A$5:$A$21,0)),"")</f>
        <v>New Build</v>
      </c>
      <c r="I782" t="s">
        <v>1503</v>
      </c>
      <c r="J782" s="348" t="str">
        <f t="shared" ca="1" si="38"/>
        <v>Formula-linked</v>
      </c>
    </row>
    <row r="783" spans="1:10">
      <c r="A783" s="366" t="s">
        <v>481</v>
      </c>
      <c r="B783" s="366">
        <v>2025</v>
      </c>
      <c r="C783" s="366" t="s">
        <v>368</v>
      </c>
      <c r="D783" s="366">
        <v>62</v>
      </c>
      <c r="E783" s="348">
        <f t="shared" ca="1" si="36"/>
        <v>0</v>
      </c>
      <c r="F783" s="348" t="str">
        <f t="shared" si="37"/>
        <v>BLD_CD</v>
      </c>
      <c r="G783" s="348" t="str">
        <f>IFERROR(INDEX(DATA_PROPERTY_MASTER!$E$5:$E$21,MATCH($A783,DATA_PROPERTY_MASTER!$A$5:$A$21,0)),"")</f>
        <v>Yes</v>
      </c>
      <c r="H783" s="348" t="str">
        <f>IFERROR(INDEX(DATA_PROPERTY_MASTER!$F$5:$F$21,MATCH($A783,DATA_PROPERTY_MASTER!$A$5:$A$21,0)),"")</f>
        <v>New Build</v>
      </c>
      <c r="I783" t="s">
        <v>1503</v>
      </c>
      <c r="J783" s="348" t="str">
        <f t="shared" ca="1" si="38"/>
        <v>Formula-linked</v>
      </c>
    </row>
    <row r="784" spans="1:10">
      <c r="A784" s="366" t="s">
        <v>481</v>
      </c>
      <c r="B784" s="366">
        <v>2025</v>
      </c>
      <c r="C784" s="366" t="s">
        <v>1504</v>
      </c>
      <c r="D784" s="366">
        <v>63</v>
      </c>
      <c r="E784" s="348">
        <f t="shared" ca="1" si="36"/>
        <v>0</v>
      </c>
      <c r="F784" s="348" t="str">
        <f t="shared" si="37"/>
        <v>BLD_CD</v>
      </c>
      <c r="G784" s="348" t="str">
        <f>IFERROR(INDEX(DATA_PROPERTY_MASTER!$E$5:$E$21,MATCH($A784,DATA_PROPERTY_MASTER!$A$5:$A$21,0)),"")</f>
        <v>Yes</v>
      </c>
      <c r="H784" s="348" t="str">
        <f>IFERROR(INDEX(DATA_PROPERTY_MASTER!$F$5:$F$21,MATCH($A784,DATA_PROPERTY_MASTER!$A$5:$A$21,0)),"")</f>
        <v>New Build</v>
      </c>
      <c r="I784" t="s">
        <v>1503</v>
      </c>
      <c r="J784" s="348" t="str">
        <f t="shared" ca="1" si="38"/>
        <v>Formula-linked</v>
      </c>
    </row>
    <row r="785" spans="1:10">
      <c r="A785" s="366" t="s">
        <v>481</v>
      </c>
      <c r="B785" s="366">
        <v>2025</v>
      </c>
      <c r="C785" s="366" t="s">
        <v>370</v>
      </c>
      <c r="D785" s="366">
        <v>64</v>
      </c>
      <c r="E785" s="348">
        <f t="shared" ca="1" si="36"/>
        <v>37327990.887768567</v>
      </c>
      <c r="F785" s="348" t="str">
        <f t="shared" si="37"/>
        <v>BLD_CD</v>
      </c>
      <c r="G785" s="348" t="str">
        <f>IFERROR(INDEX(DATA_PROPERTY_MASTER!$E$5:$E$21,MATCH($A785,DATA_PROPERTY_MASTER!$A$5:$A$21,0)),"")</f>
        <v>Yes</v>
      </c>
      <c r="H785" s="348" t="str">
        <f>IFERROR(INDEX(DATA_PROPERTY_MASTER!$F$5:$F$21,MATCH($A785,DATA_PROPERTY_MASTER!$A$5:$A$21,0)),"")</f>
        <v>New Build</v>
      </c>
      <c r="I785" t="s">
        <v>1498</v>
      </c>
      <c r="J785" s="348" t="str">
        <f t="shared" ca="1" si="38"/>
        <v>Formula-linked</v>
      </c>
    </row>
    <row r="786" spans="1:10">
      <c r="A786" s="366" t="s">
        <v>481</v>
      </c>
      <c r="B786" s="366">
        <v>2025</v>
      </c>
      <c r="C786" s="366" t="s">
        <v>544</v>
      </c>
      <c r="D786" s="366">
        <v>68</v>
      </c>
      <c r="E786" s="348">
        <f t="shared" ca="1" si="36"/>
        <v>-2031934.1122314297</v>
      </c>
      <c r="F786" s="348" t="str">
        <f t="shared" si="37"/>
        <v>BLD_CD</v>
      </c>
      <c r="G786" s="348" t="str">
        <f>IFERROR(INDEX(DATA_PROPERTY_MASTER!$E$5:$E$21,MATCH($A786,DATA_PROPERTY_MASTER!$A$5:$A$21,0)),"")</f>
        <v>Yes</v>
      </c>
      <c r="H786" s="348" t="str">
        <f>IFERROR(INDEX(DATA_PROPERTY_MASTER!$F$5:$F$21,MATCH($A786,DATA_PROPERTY_MASTER!$A$5:$A$21,0)),"")</f>
        <v>New Build</v>
      </c>
      <c r="I786" t="s">
        <v>1501</v>
      </c>
      <c r="J786" s="348" t="str">
        <f t="shared" ca="1" si="38"/>
        <v>Formula-linked</v>
      </c>
    </row>
    <row r="787" spans="1:10">
      <c r="A787" s="366" t="s">
        <v>481</v>
      </c>
      <c r="B787" s="366">
        <v>2025</v>
      </c>
      <c r="C787" s="366" t="s">
        <v>378</v>
      </c>
      <c r="D787" s="366">
        <v>73</v>
      </c>
      <c r="E787" s="348">
        <f t="shared" ca="1" si="36"/>
        <v>0</v>
      </c>
      <c r="F787" s="348" t="str">
        <f t="shared" si="37"/>
        <v>BLD_CD</v>
      </c>
      <c r="G787" s="348" t="str">
        <f>IFERROR(INDEX(DATA_PROPERTY_MASTER!$E$5:$E$21,MATCH($A787,DATA_PROPERTY_MASTER!$A$5:$A$21,0)),"")</f>
        <v>Yes</v>
      </c>
      <c r="H787" s="348" t="str">
        <f>IFERROR(INDEX(DATA_PROPERTY_MASTER!$F$5:$F$21,MATCH($A787,DATA_PROPERTY_MASTER!$A$5:$A$21,0)),"")</f>
        <v>New Build</v>
      </c>
      <c r="I787" t="s">
        <v>1505</v>
      </c>
      <c r="J787" s="348" t="str">
        <f t="shared" ca="1" si="38"/>
        <v>Formula-linked</v>
      </c>
    </row>
    <row r="788" spans="1:10">
      <c r="A788" s="366" t="s">
        <v>481</v>
      </c>
      <c r="B788" s="366">
        <v>2025</v>
      </c>
      <c r="C788" s="366" t="s">
        <v>1506</v>
      </c>
      <c r="D788" s="366">
        <v>77</v>
      </c>
      <c r="E788" s="348">
        <f t="shared" ca="1" si="36"/>
        <v>-37327990.887768567</v>
      </c>
      <c r="F788" s="348" t="str">
        <f t="shared" si="37"/>
        <v>BLD_CD</v>
      </c>
      <c r="G788" s="348" t="str">
        <f>IFERROR(INDEX(DATA_PROPERTY_MASTER!$E$5:$E$21,MATCH($A788,DATA_PROPERTY_MASTER!$A$5:$A$21,0)),"")</f>
        <v>Yes</v>
      </c>
      <c r="H788" s="348" t="str">
        <f>IFERROR(INDEX(DATA_PROPERTY_MASTER!$F$5:$F$21,MATCH($A788,DATA_PROPERTY_MASTER!$A$5:$A$21,0)),"")</f>
        <v>New Build</v>
      </c>
      <c r="I788" t="s">
        <v>1505</v>
      </c>
      <c r="J788" s="348" t="str">
        <f t="shared" ca="1" si="38"/>
        <v>Formula-linked</v>
      </c>
    </row>
    <row r="789" spans="1:10">
      <c r="A789" s="366" t="s">
        <v>481</v>
      </c>
      <c r="B789" s="366">
        <v>2029</v>
      </c>
      <c r="C789" s="366" t="s">
        <v>341</v>
      </c>
      <c r="D789" s="366">
        <v>24</v>
      </c>
      <c r="E789" s="348">
        <f t="shared" ca="1" si="36"/>
        <v>2210070.2178953062</v>
      </c>
      <c r="F789" s="348" t="str">
        <f t="shared" si="37"/>
        <v>BLD_CD</v>
      </c>
      <c r="G789" s="348" t="str">
        <f>IFERROR(INDEX(DATA_PROPERTY_MASTER!$E$5:$E$21,MATCH($A789,DATA_PROPERTY_MASTER!$A$5:$A$21,0)),"")</f>
        <v>Yes</v>
      </c>
      <c r="H789" s="348" t="str">
        <f>IFERROR(INDEX(DATA_PROPERTY_MASTER!$F$5:$F$21,MATCH($A789,DATA_PROPERTY_MASTER!$A$5:$A$21,0)),"")</f>
        <v>New Build</v>
      </c>
      <c r="I789" t="s">
        <v>1495</v>
      </c>
      <c r="J789" s="348" t="str">
        <f t="shared" ca="1" si="38"/>
        <v>Formula-linked</v>
      </c>
    </row>
    <row r="790" spans="1:10">
      <c r="A790" s="366" t="s">
        <v>481</v>
      </c>
      <c r="B790" s="366">
        <v>2029</v>
      </c>
      <c r="C790" s="366" t="s">
        <v>355</v>
      </c>
      <c r="D790" s="366">
        <v>39</v>
      </c>
      <c r="E790" s="348">
        <f t="shared" ca="1" si="36"/>
        <v>735196.44217344013</v>
      </c>
      <c r="F790" s="348" t="str">
        <f t="shared" si="37"/>
        <v>BLD_CD</v>
      </c>
      <c r="G790" s="348" t="str">
        <f>IFERROR(INDEX(DATA_PROPERTY_MASTER!$E$5:$E$21,MATCH($A790,DATA_PROPERTY_MASTER!$A$5:$A$21,0)),"")</f>
        <v>Yes</v>
      </c>
      <c r="H790" s="348" t="str">
        <f>IFERROR(INDEX(DATA_PROPERTY_MASTER!$F$5:$F$21,MATCH($A790,DATA_PROPERTY_MASTER!$A$5:$A$21,0)),"")</f>
        <v>New Build</v>
      </c>
      <c r="I790" t="s">
        <v>1496</v>
      </c>
      <c r="J790" s="348" t="str">
        <f t="shared" ca="1" si="38"/>
        <v>Formula-linked</v>
      </c>
    </row>
    <row r="791" spans="1:10">
      <c r="A791" s="366" t="s">
        <v>481</v>
      </c>
      <c r="B791" s="366">
        <v>2029</v>
      </c>
      <c r="C791" s="366" t="s">
        <v>1497</v>
      </c>
      <c r="D791" s="366">
        <v>41</v>
      </c>
      <c r="E791" s="348">
        <f t="shared" ca="1" si="36"/>
        <v>1474873.7757218662</v>
      </c>
      <c r="F791" s="348" t="str">
        <f t="shared" si="37"/>
        <v>BLD_CD</v>
      </c>
      <c r="G791" s="348" t="str">
        <f>IFERROR(INDEX(DATA_PROPERTY_MASTER!$E$5:$E$21,MATCH($A791,DATA_PROPERTY_MASTER!$A$5:$A$21,0)),"")</f>
        <v>Yes</v>
      </c>
      <c r="H791" s="348" t="str">
        <f>IFERROR(INDEX(DATA_PROPERTY_MASTER!$F$5:$F$21,MATCH($A791,DATA_PROPERTY_MASTER!$A$5:$A$21,0)),"")</f>
        <v>New Build</v>
      </c>
      <c r="I791" t="s">
        <v>1497</v>
      </c>
      <c r="J791" s="348" t="str">
        <f t="shared" ca="1" si="38"/>
        <v>Formula-linked</v>
      </c>
    </row>
    <row r="792" spans="1:10">
      <c r="A792" s="366" t="s">
        <v>481</v>
      </c>
      <c r="B792" s="366">
        <v>2029</v>
      </c>
      <c r="C792" s="366" t="s">
        <v>21</v>
      </c>
      <c r="D792" s="366">
        <v>45</v>
      </c>
      <c r="E792" s="348">
        <f t="shared" ca="1" si="36"/>
        <v>1459773.8470898662</v>
      </c>
      <c r="F792" s="348" t="str">
        <f t="shared" si="37"/>
        <v>BLD_CD</v>
      </c>
      <c r="G792" s="348" t="str">
        <f>IFERROR(INDEX(DATA_PROPERTY_MASTER!$E$5:$E$21,MATCH($A792,DATA_PROPERTY_MASTER!$A$5:$A$21,0)),"")</f>
        <v>Yes</v>
      </c>
      <c r="H792" s="348" t="str">
        <f>IFERROR(INDEX(DATA_PROPERTY_MASTER!$F$5:$F$21,MATCH($A792,DATA_PROPERTY_MASTER!$A$5:$A$21,0)),"")</f>
        <v>New Build</v>
      </c>
      <c r="I792" t="s">
        <v>1497</v>
      </c>
      <c r="J792" s="348" t="str">
        <f t="shared" ca="1" si="38"/>
        <v>Formula-linked</v>
      </c>
    </row>
    <row r="793" spans="1:10">
      <c r="A793" s="366" t="s">
        <v>481</v>
      </c>
      <c r="B793" s="366">
        <v>2029</v>
      </c>
      <c r="C793" s="366" t="s">
        <v>23</v>
      </c>
      <c r="D793" s="366">
        <v>48</v>
      </c>
      <c r="E793" s="348">
        <f t="shared" ca="1" si="36"/>
        <v>2031934.1122314297</v>
      </c>
      <c r="F793" s="348" t="str">
        <f t="shared" si="37"/>
        <v>BLD_CD</v>
      </c>
      <c r="G793" s="348" t="str">
        <f>IFERROR(INDEX(DATA_PROPERTY_MASTER!$E$5:$E$21,MATCH($A793,DATA_PROPERTY_MASTER!$A$5:$A$21,0)),"")</f>
        <v>Yes</v>
      </c>
      <c r="H793" s="348" t="str">
        <f>IFERROR(INDEX(DATA_PROPERTY_MASTER!$F$5:$F$21,MATCH($A793,DATA_PROPERTY_MASTER!$A$5:$A$21,0)),"")</f>
        <v>New Build</v>
      </c>
      <c r="I793" t="s">
        <v>1498</v>
      </c>
      <c r="J793" s="348" t="str">
        <f t="shared" ca="1" si="38"/>
        <v>Formula-linked</v>
      </c>
    </row>
    <row r="794" spans="1:10">
      <c r="A794" s="366" t="s">
        <v>481</v>
      </c>
      <c r="B794" s="366">
        <v>2029</v>
      </c>
      <c r="C794" s="366" t="s">
        <v>213</v>
      </c>
      <c r="D794" s="366">
        <v>50</v>
      </c>
      <c r="E794" s="348">
        <f t="shared" ca="1" si="36"/>
        <v>0.7258472441816477</v>
      </c>
      <c r="F794" s="348" t="str">
        <f t="shared" si="37"/>
        <v>BLD_CD</v>
      </c>
      <c r="G794" s="348" t="str">
        <f>IFERROR(INDEX(DATA_PROPERTY_MASTER!$E$5:$E$21,MATCH($A794,DATA_PROPERTY_MASTER!$A$5:$A$21,0)),"")</f>
        <v>Yes</v>
      </c>
      <c r="H794" s="348" t="str">
        <f>IFERROR(INDEX(DATA_PROPERTY_MASTER!$F$5:$F$21,MATCH($A794,DATA_PROPERTY_MASTER!$A$5:$A$21,0)),"")</f>
        <v>New Build</v>
      </c>
      <c r="I794" t="s">
        <v>1499</v>
      </c>
      <c r="J794" s="348" t="str">
        <f t="shared" ca="1" si="38"/>
        <v>Formula-linked</v>
      </c>
    </row>
    <row r="795" spans="1:10">
      <c r="A795" s="366" t="s">
        <v>481</v>
      </c>
      <c r="B795" s="366">
        <v>2029</v>
      </c>
      <c r="C795" s="366" t="s">
        <v>1500</v>
      </c>
      <c r="D795" s="366">
        <v>52</v>
      </c>
      <c r="E795" s="348">
        <f t="shared" ca="1" si="36"/>
        <v>-557060.33650956349</v>
      </c>
      <c r="F795" s="348" t="str">
        <f t="shared" si="37"/>
        <v>BLD_CD</v>
      </c>
      <c r="G795" s="348" t="str">
        <f>IFERROR(INDEX(DATA_PROPERTY_MASTER!$E$5:$E$21,MATCH($A795,DATA_PROPERTY_MASTER!$A$5:$A$21,0)),"")</f>
        <v>Yes</v>
      </c>
      <c r="H795" s="348" t="str">
        <f>IFERROR(INDEX(DATA_PROPERTY_MASTER!$F$5:$F$21,MATCH($A795,DATA_PROPERTY_MASTER!$A$5:$A$21,0)),"")</f>
        <v>New Build</v>
      </c>
      <c r="I795" t="s">
        <v>1501</v>
      </c>
      <c r="J795" s="348" t="str">
        <f t="shared" ca="1" si="38"/>
        <v>Formula-linked</v>
      </c>
    </row>
    <row r="796" spans="1:10">
      <c r="A796" s="366" t="s">
        <v>481</v>
      </c>
      <c r="B796" s="366">
        <v>2029</v>
      </c>
      <c r="C796" s="366" t="s">
        <v>27</v>
      </c>
      <c r="D796" s="366">
        <v>54</v>
      </c>
      <c r="E796" s="348">
        <f t="shared" ca="1" si="36"/>
        <v>0</v>
      </c>
      <c r="F796" s="348" t="str">
        <f t="shared" si="37"/>
        <v>BLD_CD</v>
      </c>
      <c r="G796" s="348" t="str">
        <f>IFERROR(INDEX(DATA_PROPERTY_MASTER!$E$5:$E$21,MATCH($A796,DATA_PROPERTY_MASTER!$A$5:$A$21,0)),"")</f>
        <v>Yes</v>
      </c>
      <c r="H796" s="348" t="str">
        <f>IFERROR(INDEX(DATA_PROPERTY_MASTER!$F$5:$F$21,MATCH($A796,DATA_PROPERTY_MASTER!$A$5:$A$21,0)),"")</f>
        <v>New Build</v>
      </c>
      <c r="I796" t="s">
        <v>1501</v>
      </c>
      <c r="J796" s="348" t="str">
        <f t="shared" ca="1" si="38"/>
        <v>Formula-linked</v>
      </c>
    </row>
    <row r="797" spans="1:10">
      <c r="A797" s="366" t="s">
        <v>481</v>
      </c>
      <c r="B797" s="366">
        <v>2029</v>
      </c>
      <c r="C797" s="366" t="s">
        <v>1502</v>
      </c>
      <c r="D797" s="366">
        <v>56</v>
      </c>
      <c r="E797" s="348">
        <f t="shared" ca="1" si="36"/>
        <v>-557060.33650956349</v>
      </c>
      <c r="F797" s="348" t="str">
        <f t="shared" si="37"/>
        <v>BLD_CD</v>
      </c>
      <c r="G797" s="348" t="str">
        <f>IFERROR(INDEX(DATA_PROPERTY_MASTER!$E$5:$E$21,MATCH($A797,DATA_PROPERTY_MASTER!$A$5:$A$21,0)),"")</f>
        <v>Yes</v>
      </c>
      <c r="H797" s="348" t="str">
        <f>IFERROR(INDEX(DATA_PROPERTY_MASTER!$F$5:$F$21,MATCH($A797,DATA_PROPERTY_MASTER!$A$5:$A$21,0)),"")</f>
        <v>New Build</v>
      </c>
      <c r="I797" t="s">
        <v>1501</v>
      </c>
      <c r="J797" s="348" t="str">
        <f t="shared" ca="1" si="38"/>
        <v>Formula-linked</v>
      </c>
    </row>
    <row r="798" spans="1:10">
      <c r="A798" s="366" t="s">
        <v>481</v>
      </c>
      <c r="B798" s="366">
        <v>2029</v>
      </c>
      <c r="C798" s="366" t="s">
        <v>367</v>
      </c>
      <c r="D798" s="366">
        <v>61</v>
      </c>
      <c r="E798" s="348">
        <f t="shared" ca="1" si="36"/>
        <v>-35821320.972091272</v>
      </c>
      <c r="F798" s="348" t="str">
        <f t="shared" si="37"/>
        <v>BLD_CD</v>
      </c>
      <c r="G798" s="348" t="str">
        <f>IFERROR(INDEX(DATA_PROPERTY_MASTER!$E$5:$E$21,MATCH($A798,DATA_PROPERTY_MASTER!$A$5:$A$21,0)),"")</f>
        <v>Yes</v>
      </c>
      <c r="H798" s="348" t="str">
        <f>IFERROR(INDEX(DATA_PROPERTY_MASTER!$F$5:$F$21,MATCH($A798,DATA_PROPERTY_MASTER!$A$5:$A$21,0)),"")</f>
        <v>New Build</v>
      </c>
      <c r="I798" t="s">
        <v>1503</v>
      </c>
      <c r="J798" s="348" t="str">
        <f t="shared" ca="1" si="38"/>
        <v>Formula-linked</v>
      </c>
    </row>
    <row r="799" spans="1:10">
      <c r="A799" s="366" t="s">
        <v>481</v>
      </c>
      <c r="B799" s="366">
        <v>2029</v>
      </c>
      <c r="C799" s="366" t="s">
        <v>368</v>
      </c>
      <c r="D799" s="366">
        <v>62</v>
      </c>
      <c r="E799" s="348">
        <f t="shared" ca="1" si="36"/>
        <v>18435922.196523327</v>
      </c>
      <c r="F799" s="348" t="str">
        <f t="shared" si="37"/>
        <v>BLD_CD</v>
      </c>
      <c r="G799" s="348" t="str">
        <f>IFERROR(INDEX(DATA_PROPERTY_MASTER!$E$5:$E$21,MATCH($A799,DATA_PROPERTY_MASTER!$A$5:$A$21,0)),"")</f>
        <v>Yes</v>
      </c>
      <c r="H799" s="348" t="str">
        <f>IFERROR(INDEX(DATA_PROPERTY_MASTER!$F$5:$F$21,MATCH($A799,DATA_PROPERTY_MASTER!$A$5:$A$21,0)),"")</f>
        <v>New Build</v>
      </c>
      <c r="I799" t="s">
        <v>1503</v>
      </c>
      <c r="J799" s="348" t="str">
        <f t="shared" ca="1" si="38"/>
        <v>Formula-linked</v>
      </c>
    </row>
    <row r="800" spans="1:10">
      <c r="A800" s="366" t="s">
        <v>481</v>
      </c>
      <c r="B800" s="366">
        <v>2029</v>
      </c>
      <c r="C800" s="366" t="s">
        <v>1504</v>
      </c>
      <c r="D800" s="366">
        <v>63</v>
      </c>
      <c r="E800" s="348">
        <f t="shared" ca="1" si="36"/>
        <v>-17385398.775567945</v>
      </c>
      <c r="F800" s="348" t="str">
        <f t="shared" si="37"/>
        <v>BLD_CD</v>
      </c>
      <c r="G800" s="348" t="str">
        <f>IFERROR(INDEX(DATA_PROPERTY_MASTER!$E$5:$E$21,MATCH($A800,DATA_PROPERTY_MASTER!$A$5:$A$21,0)),"")</f>
        <v>Yes</v>
      </c>
      <c r="H800" s="348" t="str">
        <f>IFERROR(INDEX(DATA_PROPERTY_MASTER!$F$5:$F$21,MATCH($A800,DATA_PROPERTY_MASTER!$A$5:$A$21,0)),"")</f>
        <v>New Build</v>
      </c>
      <c r="I800" t="s">
        <v>1503</v>
      </c>
      <c r="J800" s="348" t="str">
        <f t="shared" ca="1" si="38"/>
        <v>Formula-linked</v>
      </c>
    </row>
    <row r="801" spans="1:10">
      <c r="A801" s="366" t="s">
        <v>481</v>
      </c>
      <c r="B801" s="366">
        <v>2029</v>
      </c>
      <c r="C801" s="366" t="s">
        <v>370</v>
      </c>
      <c r="D801" s="366">
        <v>64</v>
      </c>
      <c r="E801" s="348">
        <f t="shared" ca="1" si="36"/>
        <v>35821320.972091272</v>
      </c>
      <c r="F801" s="348" t="str">
        <f t="shared" si="37"/>
        <v>BLD_CD</v>
      </c>
      <c r="G801" s="348" t="str">
        <f>IFERROR(INDEX(DATA_PROPERTY_MASTER!$E$5:$E$21,MATCH($A801,DATA_PROPERTY_MASTER!$A$5:$A$21,0)),"")</f>
        <v>Yes</v>
      </c>
      <c r="H801" s="348" t="str">
        <f>IFERROR(INDEX(DATA_PROPERTY_MASTER!$F$5:$F$21,MATCH($A801,DATA_PROPERTY_MASTER!$A$5:$A$21,0)),"")</f>
        <v>New Build</v>
      </c>
      <c r="I801" t="s">
        <v>1498</v>
      </c>
      <c r="J801" s="348" t="str">
        <f t="shared" ca="1" si="38"/>
        <v>Formula-linked</v>
      </c>
    </row>
    <row r="802" spans="1:10">
      <c r="A802" s="366" t="s">
        <v>481</v>
      </c>
      <c r="B802" s="366">
        <v>2029</v>
      </c>
      <c r="C802" s="366" t="s">
        <v>544</v>
      </c>
      <c r="D802" s="366">
        <v>68</v>
      </c>
      <c r="E802" s="348">
        <f t="shared" ca="1" si="36"/>
        <v>-17942459.112077508</v>
      </c>
      <c r="F802" s="348" t="str">
        <f t="shared" si="37"/>
        <v>BLD_CD</v>
      </c>
      <c r="G802" s="348" t="str">
        <f>IFERROR(INDEX(DATA_PROPERTY_MASTER!$E$5:$E$21,MATCH($A802,DATA_PROPERTY_MASTER!$A$5:$A$21,0)),"")</f>
        <v>Yes</v>
      </c>
      <c r="H802" s="348" t="str">
        <f>IFERROR(INDEX(DATA_PROPERTY_MASTER!$F$5:$F$21,MATCH($A802,DATA_PROPERTY_MASTER!$A$5:$A$21,0)),"")</f>
        <v>New Build</v>
      </c>
      <c r="I802" t="s">
        <v>1501</v>
      </c>
      <c r="J802" s="348" t="str">
        <f t="shared" ca="1" si="38"/>
        <v>Formula-linked</v>
      </c>
    </row>
    <row r="803" spans="1:10">
      <c r="A803" s="366" t="s">
        <v>481</v>
      </c>
      <c r="B803" s="366">
        <v>2029</v>
      </c>
      <c r="C803" s="366" t="s">
        <v>378</v>
      </c>
      <c r="D803" s="366">
        <v>73</v>
      </c>
      <c r="E803" s="348">
        <f t="shared" ca="1" si="36"/>
        <v>24581229.595364437</v>
      </c>
      <c r="F803" s="348" t="str">
        <f t="shared" si="37"/>
        <v>BLD_CD</v>
      </c>
      <c r="G803" s="348" t="str">
        <f>IFERROR(INDEX(DATA_PROPERTY_MASTER!$E$5:$E$21,MATCH($A803,DATA_PROPERTY_MASTER!$A$5:$A$21,0)),"")</f>
        <v>Yes</v>
      </c>
      <c r="H803" s="348" t="str">
        <f>IFERROR(INDEX(DATA_PROPERTY_MASTER!$F$5:$F$21,MATCH($A803,DATA_PROPERTY_MASTER!$A$5:$A$21,0)),"")</f>
        <v>New Build</v>
      </c>
      <c r="I803" t="s">
        <v>1505</v>
      </c>
      <c r="J803" s="348" t="str">
        <f t="shared" ca="1" si="38"/>
        <v>Formula-linked</v>
      </c>
    </row>
    <row r="804" spans="1:10">
      <c r="A804" s="366" t="s">
        <v>481</v>
      </c>
      <c r="B804" s="366">
        <v>2029</v>
      </c>
      <c r="C804" s="366" t="s">
        <v>1506</v>
      </c>
      <c r="D804" s="366">
        <v>77</v>
      </c>
      <c r="E804" s="348">
        <f t="shared" ca="1" si="36"/>
        <v>-11240091.376726836</v>
      </c>
      <c r="F804" s="348" t="str">
        <f t="shared" si="37"/>
        <v>BLD_CD</v>
      </c>
      <c r="G804" s="348" t="str">
        <f>IFERROR(INDEX(DATA_PROPERTY_MASTER!$E$5:$E$21,MATCH($A804,DATA_PROPERTY_MASTER!$A$5:$A$21,0)),"")</f>
        <v>Yes</v>
      </c>
      <c r="H804" s="348" t="str">
        <f>IFERROR(INDEX(DATA_PROPERTY_MASTER!$F$5:$F$21,MATCH($A804,DATA_PROPERTY_MASTER!$A$5:$A$21,0)),"")</f>
        <v>New Build</v>
      </c>
      <c r="I804" t="s">
        <v>1505</v>
      </c>
      <c r="J804" s="348" t="str">
        <f t="shared" ca="1" si="38"/>
        <v>Formula-linked</v>
      </c>
    </row>
    <row r="805" spans="1:10">
      <c r="A805" s="366" t="s">
        <v>481</v>
      </c>
      <c r="B805" s="366">
        <v>2035</v>
      </c>
      <c r="C805" s="366" t="s">
        <v>341</v>
      </c>
      <c r="D805" s="366">
        <v>24</v>
      </c>
      <c r="E805" s="348">
        <f t="shared" ca="1" si="36"/>
        <v>2488898.0233282936</v>
      </c>
      <c r="F805" s="348" t="str">
        <f t="shared" si="37"/>
        <v>BLD_CD</v>
      </c>
      <c r="G805" s="348" t="str">
        <f>IFERROR(INDEX(DATA_PROPERTY_MASTER!$E$5:$E$21,MATCH($A805,DATA_PROPERTY_MASTER!$A$5:$A$21,0)),"")</f>
        <v>Yes</v>
      </c>
      <c r="H805" s="348" t="str">
        <f>IFERROR(INDEX(DATA_PROPERTY_MASTER!$F$5:$F$21,MATCH($A805,DATA_PROPERTY_MASTER!$A$5:$A$21,0)),"")</f>
        <v>New Build</v>
      </c>
      <c r="I805" t="s">
        <v>1495</v>
      </c>
      <c r="J805" s="348" t="str">
        <f t="shared" ca="1" si="38"/>
        <v>Formula-linked</v>
      </c>
    </row>
    <row r="806" spans="1:10">
      <c r="A806" s="366" t="s">
        <v>481</v>
      </c>
      <c r="B806" s="366">
        <v>2035</v>
      </c>
      <c r="C806" s="366" t="s">
        <v>355</v>
      </c>
      <c r="D806" s="366">
        <v>39</v>
      </c>
      <c r="E806" s="348">
        <f t="shared" ca="1" si="36"/>
        <v>916840.85733458167</v>
      </c>
      <c r="F806" s="348" t="str">
        <f t="shared" si="37"/>
        <v>BLD_CD</v>
      </c>
      <c r="G806" s="348" t="str">
        <f>IFERROR(INDEX(DATA_PROPERTY_MASTER!$E$5:$E$21,MATCH($A806,DATA_PROPERTY_MASTER!$A$5:$A$21,0)),"")</f>
        <v>Yes</v>
      </c>
      <c r="H806" s="348" t="str">
        <f>IFERROR(INDEX(DATA_PROPERTY_MASTER!$F$5:$F$21,MATCH($A806,DATA_PROPERTY_MASTER!$A$5:$A$21,0)),"")</f>
        <v>New Build</v>
      </c>
      <c r="I806" t="s">
        <v>1496</v>
      </c>
      <c r="J806" s="348" t="str">
        <f t="shared" ca="1" si="38"/>
        <v>Formula-linked</v>
      </c>
    </row>
    <row r="807" spans="1:10">
      <c r="A807" s="366" t="s">
        <v>481</v>
      </c>
      <c r="B807" s="366">
        <v>2035</v>
      </c>
      <c r="C807" s="366" t="s">
        <v>1497</v>
      </c>
      <c r="D807" s="366">
        <v>41</v>
      </c>
      <c r="E807" s="348">
        <f t="shared" ca="1" si="36"/>
        <v>1572057.1659937119</v>
      </c>
      <c r="F807" s="348" t="str">
        <f t="shared" si="37"/>
        <v>BLD_CD</v>
      </c>
      <c r="G807" s="348" t="str">
        <f>IFERROR(INDEX(DATA_PROPERTY_MASTER!$E$5:$E$21,MATCH($A807,DATA_PROPERTY_MASTER!$A$5:$A$21,0)),"")</f>
        <v>Yes</v>
      </c>
      <c r="H807" s="348" t="str">
        <f>IFERROR(INDEX(DATA_PROPERTY_MASTER!$F$5:$F$21,MATCH($A807,DATA_PROPERTY_MASTER!$A$5:$A$21,0)),"")</f>
        <v>New Build</v>
      </c>
      <c r="I807" t="s">
        <v>1497</v>
      </c>
      <c r="J807" s="348" t="str">
        <f t="shared" ca="1" si="38"/>
        <v>Formula-linked</v>
      </c>
    </row>
    <row r="808" spans="1:10">
      <c r="A808" s="366" t="s">
        <v>481</v>
      </c>
      <c r="B808" s="366">
        <v>2035</v>
      </c>
      <c r="C808" s="366" t="s">
        <v>21</v>
      </c>
      <c r="D808" s="366">
        <v>45</v>
      </c>
      <c r="E808" s="348">
        <f t="shared" ca="1" si="36"/>
        <v>1555052.1938347851</v>
      </c>
      <c r="F808" s="348" t="str">
        <f t="shared" si="37"/>
        <v>BLD_CD</v>
      </c>
      <c r="G808" s="348" t="str">
        <f>IFERROR(INDEX(DATA_PROPERTY_MASTER!$E$5:$E$21,MATCH($A808,DATA_PROPERTY_MASTER!$A$5:$A$21,0)),"")</f>
        <v>Yes</v>
      </c>
      <c r="H808" s="348" t="str">
        <f>IFERROR(INDEX(DATA_PROPERTY_MASTER!$F$5:$F$21,MATCH($A808,DATA_PROPERTY_MASTER!$A$5:$A$21,0)),"")</f>
        <v>New Build</v>
      </c>
      <c r="I808" t="s">
        <v>1497</v>
      </c>
      <c r="J808" s="348" t="str">
        <f t="shared" ca="1" si="38"/>
        <v>Formula-linked</v>
      </c>
    </row>
    <row r="809" spans="1:10">
      <c r="A809" s="366" t="s">
        <v>481</v>
      </c>
      <c r="B809" s="366">
        <v>2035</v>
      </c>
      <c r="C809" s="366" t="s">
        <v>23</v>
      </c>
      <c r="D809" s="366">
        <v>48</v>
      </c>
      <c r="E809" s="348">
        <f t="shared" ca="1" si="36"/>
        <v>979555.28115311568</v>
      </c>
      <c r="F809" s="348" t="str">
        <f t="shared" si="37"/>
        <v>BLD_CD</v>
      </c>
      <c r="G809" s="348" t="str">
        <f>IFERROR(INDEX(DATA_PROPERTY_MASTER!$E$5:$E$21,MATCH($A809,DATA_PROPERTY_MASTER!$A$5:$A$21,0)),"")</f>
        <v>Yes</v>
      </c>
      <c r="H809" s="348" t="str">
        <f>IFERROR(INDEX(DATA_PROPERTY_MASTER!$F$5:$F$21,MATCH($A809,DATA_PROPERTY_MASTER!$A$5:$A$21,0)),"")</f>
        <v>New Build</v>
      </c>
      <c r="I809" t="s">
        <v>1498</v>
      </c>
      <c r="J809" s="348" t="str">
        <f t="shared" ca="1" si="38"/>
        <v>Formula-linked</v>
      </c>
    </row>
    <row r="810" spans="1:10">
      <c r="A810" s="366" t="s">
        <v>481</v>
      </c>
      <c r="B810" s="366">
        <v>2035</v>
      </c>
      <c r="C810" s="366" t="s">
        <v>213</v>
      </c>
      <c r="D810" s="366">
        <v>50</v>
      </c>
      <c r="E810" s="348">
        <f t="shared" ca="1" si="36"/>
        <v>1.6048682460709243</v>
      </c>
      <c r="F810" s="348" t="str">
        <f t="shared" si="37"/>
        <v>BLD_CD</v>
      </c>
      <c r="G810" s="348" t="str">
        <f>IFERROR(INDEX(DATA_PROPERTY_MASTER!$E$5:$E$21,MATCH($A810,DATA_PROPERTY_MASTER!$A$5:$A$21,0)),"")</f>
        <v>Yes</v>
      </c>
      <c r="H810" s="348" t="str">
        <f>IFERROR(INDEX(DATA_PROPERTY_MASTER!$F$5:$F$21,MATCH($A810,DATA_PROPERTY_MASTER!$A$5:$A$21,0)),"")</f>
        <v>New Build</v>
      </c>
      <c r="I810" t="s">
        <v>1499</v>
      </c>
      <c r="J810" s="348" t="str">
        <f t="shared" ca="1" si="38"/>
        <v>Formula-linked</v>
      </c>
    </row>
    <row r="811" spans="1:10">
      <c r="A811" s="366" t="s">
        <v>481</v>
      </c>
      <c r="B811" s="366">
        <v>2035</v>
      </c>
      <c r="C811" s="366" t="s">
        <v>1500</v>
      </c>
      <c r="D811" s="366">
        <v>52</v>
      </c>
      <c r="E811" s="348">
        <f t="shared" ca="1" si="36"/>
        <v>592501.88484059623</v>
      </c>
      <c r="F811" s="348" t="str">
        <f t="shared" si="37"/>
        <v>BLD_CD</v>
      </c>
      <c r="G811" s="348" t="str">
        <f>IFERROR(INDEX(DATA_PROPERTY_MASTER!$E$5:$E$21,MATCH($A811,DATA_PROPERTY_MASTER!$A$5:$A$21,0)),"")</f>
        <v>Yes</v>
      </c>
      <c r="H811" s="348" t="str">
        <f>IFERROR(INDEX(DATA_PROPERTY_MASTER!$F$5:$F$21,MATCH($A811,DATA_PROPERTY_MASTER!$A$5:$A$21,0)),"")</f>
        <v>New Build</v>
      </c>
      <c r="I811" t="s">
        <v>1501</v>
      </c>
      <c r="J811" s="348" t="str">
        <f t="shared" ca="1" si="38"/>
        <v>Formula-linked</v>
      </c>
    </row>
    <row r="812" spans="1:10">
      <c r="A812" s="366" t="s">
        <v>481</v>
      </c>
      <c r="B812" s="366">
        <v>2035</v>
      </c>
      <c r="C812" s="366" t="s">
        <v>27</v>
      </c>
      <c r="D812" s="366">
        <v>54</v>
      </c>
      <c r="E812" s="348">
        <f t="shared" ca="1" si="36"/>
        <v>355501.13090435771</v>
      </c>
      <c r="F812" s="348" t="str">
        <f t="shared" si="37"/>
        <v>BLD_CD</v>
      </c>
      <c r="G812" s="348" t="str">
        <f>IFERROR(INDEX(DATA_PROPERTY_MASTER!$E$5:$E$21,MATCH($A812,DATA_PROPERTY_MASTER!$A$5:$A$21,0)),"")</f>
        <v>Yes</v>
      </c>
      <c r="H812" s="348" t="str">
        <f>IFERROR(INDEX(DATA_PROPERTY_MASTER!$F$5:$F$21,MATCH($A812,DATA_PROPERTY_MASTER!$A$5:$A$21,0)),"")</f>
        <v>New Build</v>
      </c>
      <c r="I812" t="s">
        <v>1501</v>
      </c>
      <c r="J812" s="348" t="str">
        <f t="shared" ca="1" si="38"/>
        <v>Formula-linked</v>
      </c>
    </row>
    <row r="813" spans="1:10">
      <c r="A813" s="366" t="s">
        <v>481</v>
      </c>
      <c r="B813" s="366">
        <v>2035</v>
      </c>
      <c r="C813" s="366" t="s">
        <v>1502</v>
      </c>
      <c r="D813" s="366">
        <v>56</v>
      </c>
      <c r="E813" s="348">
        <f t="shared" ca="1" si="36"/>
        <v>237000.75393623853</v>
      </c>
      <c r="F813" s="348" t="str">
        <f t="shared" si="37"/>
        <v>BLD_CD</v>
      </c>
      <c r="G813" s="348" t="str">
        <f>IFERROR(INDEX(DATA_PROPERTY_MASTER!$E$5:$E$21,MATCH($A813,DATA_PROPERTY_MASTER!$A$5:$A$21,0)),"")</f>
        <v>Yes</v>
      </c>
      <c r="H813" s="348" t="str">
        <f>IFERROR(INDEX(DATA_PROPERTY_MASTER!$F$5:$F$21,MATCH($A813,DATA_PROPERTY_MASTER!$A$5:$A$21,0)),"")</f>
        <v>New Build</v>
      </c>
      <c r="I813" t="s">
        <v>1501</v>
      </c>
      <c r="J813" s="348" t="str">
        <f t="shared" ca="1" si="38"/>
        <v>Formula-linked</v>
      </c>
    </row>
    <row r="814" spans="1:10">
      <c r="A814" s="366" t="s">
        <v>481</v>
      </c>
      <c r="B814" s="366">
        <v>2035</v>
      </c>
      <c r="C814" s="366" t="s">
        <v>367</v>
      </c>
      <c r="D814" s="366">
        <v>61</v>
      </c>
      <c r="E814" s="348">
        <f t="shared" ca="1" si="36"/>
        <v>0</v>
      </c>
      <c r="F814" s="348" t="str">
        <f t="shared" si="37"/>
        <v>BLD_CD</v>
      </c>
      <c r="G814" s="348" t="str">
        <f>IFERROR(INDEX(DATA_PROPERTY_MASTER!$E$5:$E$21,MATCH($A814,DATA_PROPERTY_MASTER!$A$5:$A$21,0)),"")</f>
        <v>Yes</v>
      </c>
      <c r="H814" s="348" t="str">
        <f>IFERROR(INDEX(DATA_PROPERTY_MASTER!$F$5:$F$21,MATCH($A814,DATA_PROPERTY_MASTER!$A$5:$A$21,0)),"")</f>
        <v>New Build</v>
      </c>
      <c r="I814" t="s">
        <v>1503</v>
      </c>
      <c r="J814" s="348" t="str">
        <f t="shared" ca="1" si="38"/>
        <v>Formula-linked</v>
      </c>
    </row>
    <row r="815" spans="1:10">
      <c r="A815" s="366" t="s">
        <v>481</v>
      </c>
      <c r="B815" s="366">
        <v>2035</v>
      </c>
      <c r="C815" s="366" t="s">
        <v>368</v>
      </c>
      <c r="D815" s="366">
        <v>62</v>
      </c>
      <c r="E815" s="348">
        <f t="shared" ca="1" si="36"/>
        <v>0</v>
      </c>
      <c r="F815" s="348" t="str">
        <f t="shared" si="37"/>
        <v>BLD_CD</v>
      </c>
      <c r="G815" s="348" t="str">
        <f>IFERROR(INDEX(DATA_PROPERTY_MASTER!$E$5:$E$21,MATCH($A815,DATA_PROPERTY_MASTER!$A$5:$A$21,0)),"")</f>
        <v>Yes</v>
      </c>
      <c r="H815" s="348" t="str">
        <f>IFERROR(INDEX(DATA_PROPERTY_MASTER!$F$5:$F$21,MATCH($A815,DATA_PROPERTY_MASTER!$A$5:$A$21,0)),"")</f>
        <v>New Build</v>
      </c>
      <c r="I815" t="s">
        <v>1503</v>
      </c>
      <c r="J815" s="348" t="str">
        <f t="shared" ca="1" si="38"/>
        <v>Formula-linked</v>
      </c>
    </row>
    <row r="816" spans="1:10">
      <c r="A816" s="366" t="s">
        <v>481</v>
      </c>
      <c r="B816" s="366">
        <v>2035</v>
      </c>
      <c r="C816" s="366" t="s">
        <v>1504</v>
      </c>
      <c r="D816" s="366">
        <v>63</v>
      </c>
      <c r="E816" s="348">
        <f t="shared" ca="1" si="36"/>
        <v>0</v>
      </c>
      <c r="F816" s="348" t="str">
        <f t="shared" si="37"/>
        <v>BLD_CD</v>
      </c>
      <c r="G816" s="348" t="str">
        <f>IFERROR(INDEX(DATA_PROPERTY_MASTER!$E$5:$E$21,MATCH($A816,DATA_PROPERTY_MASTER!$A$5:$A$21,0)),"")</f>
        <v>Yes</v>
      </c>
      <c r="H816" s="348" t="str">
        <f>IFERROR(INDEX(DATA_PROPERTY_MASTER!$F$5:$F$21,MATCH($A816,DATA_PROPERTY_MASTER!$A$5:$A$21,0)),"")</f>
        <v>New Build</v>
      </c>
      <c r="I816" t="s">
        <v>1503</v>
      </c>
      <c r="J816" s="348" t="str">
        <f t="shared" ca="1" si="38"/>
        <v>Formula-linked</v>
      </c>
    </row>
    <row r="817" spans="1:10">
      <c r="A817" s="366" t="s">
        <v>481</v>
      </c>
      <c r="B817" s="366">
        <v>2035</v>
      </c>
      <c r="C817" s="366" t="s">
        <v>370</v>
      </c>
      <c r="D817" s="366">
        <v>64</v>
      </c>
      <c r="E817" s="348">
        <f t="shared" ca="1" si="36"/>
        <v>16829956.834820572</v>
      </c>
      <c r="F817" s="348" t="str">
        <f t="shared" si="37"/>
        <v>BLD_CD</v>
      </c>
      <c r="G817" s="348" t="str">
        <f>IFERROR(INDEX(DATA_PROPERTY_MASTER!$E$5:$E$21,MATCH($A817,DATA_PROPERTY_MASTER!$A$5:$A$21,0)),"")</f>
        <v>Yes</v>
      </c>
      <c r="H817" s="348" t="str">
        <f>IFERROR(INDEX(DATA_PROPERTY_MASTER!$F$5:$F$21,MATCH($A817,DATA_PROPERTY_MASTER!$A$5:$A$21,0)),"")</f>
        <v>New Build</v>
      </c>
      <c r="I817" t="s">
        <v>1498</v>
      </c>
      <c r="J817" s="348" t="str">
        <f t="shared" ca="1" si="38"/>
        <v>Formula-linked</v>
      </c>
    </row>
    <row r="818" spans="1:10">
      <c r="A818" s="366" t="s">
        <v>481</v>
      </c>
      <c r="B818" s="366">
        <v>2035</v>
      </c>
      <c r="C818" s="366" t="s">
        <v>544</v>
      </c>
      <c r="D818" s="366">
        <v>68</v>
      </c>
      <c r="E818" s="348">
        <f t="shared" ca="1" si="36"/>
        <v>237000.75393623853</v>
      </c>
      <c r="F818" s="348" t="str">
        <f t="shared" si="37"/>
        <v>BLD_CD</v>
      </c>
      <c r="G818" s="348" t="str">
        <f>IFERROR(INDEX(DATA_PROPERTY_MASTER!$E$5:$E$21,MATCH($A818,DATA_PROPERTY_MASTER!$A$5:$A$21,0)),"")</f>
        <v>Yes</v>
      </c>
      <c r="H818" s="348" t="str">
        <f>IFERROR(INDEX(DATA_PROPERTY_MASTER!$F$5:$F$21,MATCH($A818,DATA_PROPERTY_MASTER!$A$5:$A$21,0)),"")</f>
        <v>New Build</v>
      </c>
      <c r="I818" t="s">
        <v>1501</v>
      </c>
      <c r="J818" s="348" t="str">
        <f t="shared" ca="1" si="38"/>
        <v>Formula-linked</v>
      </c>
    </row>
    <row r="819" spans="1:10">
      <c r="A819" s="366" t="s">
        <v>481</v>
      </c>
      <c r="B819" s="366">
        <v>2035</v>
      </c>
      <c r="C819" s="366" t="s">
        <v>378</v>
      </c>
      <c r="D819" s="366">
        <v>73</v>
      </c>
      <c r="E819" s="348">
        <f t="shared" ca="1" si="36"/>
        <v>26200952.766561866</v>
      </c>
      <c r="F819" s="348" t="str">
        <f t="shared" si="37"/>
        <v>BLD_CD</v>
      </c>
      <c r="G819" s="348" t="str">
        <f>IFERROR(INDEX(DATA_PROPERTY_MASTER!$E$5:$E$21,MATCH($A819,DATA_PROPERTY_MASTER!$A$5:$A$21,0)),"")</f>
        <v>Yes</v>
      </c>
      <c r="H819" s="348" t="str">
        <f>IFERROR(INDEX(DATA_PROPERTY_MASTER!$F$5:$F$21,MATCH($A819,DATA_PROPERTY_MASTER!$A$5:$A$21,0)),"")</f>
        <v>New Build</v>
      </c>
      <c r="I819" t="s">
        <v>1505</v>
      </c>
      <c r="J819" s="348" t="str">
        <f t="shared" ca="1" si="38"/>
        <v>Formula-linked</v>
      </c>
    </row>
    <row r="820" spans="1:10">
      <c r="A820" s="366" t="s">
        <v>481</v>
      </c>
      <c r="B820" s="366">
        <v>2035</v>
      </c>
      <c r="C820" s="366" t="s">
        <v>1506</v>
      </c>
      <c r="D820" s="366">
        <v>77</v>
      </c>
      <c r="E820" s="348">
        <f t="shared" ca="1" si="36"/>
        <v>9370995.9317412935</v>
      </c>
      <c r="F820" s="348" t="str">
        <f t="shared" si="37"/>
        <v>BLD_CD</v>
      </c>
      <c r="G820" s="348" t="str">
        <f>IFERROR(INDEX(DATA_PROPERTY_MASTER!$E$5:$E$21,MATCH($A820,DATA_PROPERTY_MASTER!$A$5:$A$21,0)),"")</f>
        <v>Yes</v>
      </c>
      <c r="H820" s="348" t="str">
        <f>IFERROR(INDEX(DATA_PROPERTY_MASTER!$F$5:$F$21,MATCH($A820,DATA_PROPERTY_MASTER!$A$5:$A$21,0)),"")</f>
        <v>New Build</v>
      </c>
      <c r="I820" t="s">
        <v>1505</v>
      </c>
      <c r="J820" s="348" t="str">
        <f t="shared" ca="1" si="38"/>
        <v>Formula-linked</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AC1B-AE76-4A93-8264-AEBA47F2FA6A}">
  <sheetPr>
    <tabColor rgb="FF7C3AED"/>
  </sheetPr>
  <dimension ref="A1:Z5206"/>
  <sheetViews>
    <sheetView workbookViewId="0">
      <pane ySplit="4" topLeftCell="A5" activePane="bottomLeft" state="frozen"/>
      <selection pane="bottomLeft"/>
    </sheetView>
  </sheetViews>
  <sheetFormatPr defaultRowHeight="15"/>
  <cols>
    <col min="1" max="1" width="18" customWidth="1"/>
    <col min="2" max="3" width="12" customWidth="1"/>
    <col min="4" max="4" width="10" customWidth="1"/>
    <col min="5" max="5" width="20" customWidth="1"/>
    <col min="6" max="6" width="32" customWidth="1"/>
    <col min="7" max="7" width="28" customWidth="1"/>
    <col min="8" max="8" width="16" customWidth="1"/>
    <col min="9" max="9" width="12" customWidth="1"/>
    <col min="10" max="10" width="24" customWidth="1"/>
    <col min="11" max="11" width="36" customWidth="1"/>
    <col min="12" max="12" width="54" customWidth="1"/>
    <col min="13" max="17" width="20" customWidth="1"/>
  </cols>
  <sheetData>
    <row r="1" spans="1:26" ht="60">
      <c r="A1" s="365" t="s">
        <v>1669</v>
      </c>
      <c r="B1" s="204"/>
      <c r="C1" s="204"/>
      <c r="D1" s="204"/>
      <c r="E1" s="204"/>
      <c r="F1" s="204"/>
      <c r="G1" s="204"/>
      <c r="H1" s="204"/>
      <c r="I1" s="204"/>
      <c r="J1" s="204"/>
      <c r="K1" s="204"/>
      <c r="L1" s="204"/>
      <c r="M1" s="170"/>
      <c r="N1" s="170"/>
      <c r="O1" s="170"/>
      <c r="P1" s="170"/>
      <c r="Q1" s="170"/>
      <c r="R1" s="170"/>
      <c r="S1" s="170"/>
      <c r="T1" s="170"/>
      <c r="U1" s="170"/>
      <c r="V1" s="170"/>
      <c r="W1" s="170"/>
      <c r="X1" s="170"/>
      <c r="Y1" s="170"/>
      <c r="Z1" s="170"/>
    </row>
    <row r="2" spans="1:26" ht="195">
      <c r="A2" s="194" t="s">
        <v>1670</v>
      </c>
      <c r="B2" s="194"/>
      <c r="C2" s="194"/>
      <c r="D2" s="194"/>
      <c r="E2" s="194"/>
      <c r="F2" s="194"/>
      <c r="G2" s="194"/>
      <c r="H2" s="194"/>
      <c r="I2" s="194"/>
      <c r="J2" s="194"/>
      <c r="K2" s="194"/>
      <c r="L2" s="194"/>
    </row>
    <row r="4" spans="1:26">
      <c r="A4" s="365" t="s">
        <v>1671</v>
      </c>
      <c r="B4" s="365" t="s">
        <v>1672</v>
      </c>
      <c r="C4" s="365" t="s">
        <v>1263</v>
      </c>
      <c r="D4" s="365" t="s">
        <v>1490</v>
      </c>
      <c r="E4" s="365" t="s">
        <v>1673</v>
      </c>
      <c r="F4" s="365" t="s">
        <v>17</v>
      </c>
      <c r="G4" s="365" t="s">
        <v>1674</v>
      </c>
      <c r="H4" s="365" t="s">
        <v>1451</v>
      </c>
      <c r="I4" s="365" t="s">
        <v>1675</v>
      </c>
      <c r="J4" s="365" t="s">
        <v>1676</v>
      </c>
      <c r="K4" s="365" t="s">
        <v>1677</v>
      </c>
      <c r="L4" s="365" t="s">
        <v>1678</v>
      </c>
      <c r="M4" s="365" t="s">
        <v>80</v>
      </c>
      <c r="N4" s="365" t="s">
        <v>47</v>
      </c>
      <c r="O4" s="365" t="s">
        <v>86</v>
      </c>
      <c r="P4" s="365" t="s">
        <v>87</v>
      </c>
      <c r="Q4" s="365" t="s">
        <v>1679</v>
      </c>
    </row>
    <row r="5" spans="1:26">
      <c r="A5" s="365" t="s">
        <v>1680</v>
      </c>
      <c r="B5" s="365" t="s">
        <v>1681</v>
      </c>
      <c r="C5" s="365" t="s">
        <v>1682</v>
      </c>
      <c r="D5" s="379">
        <f>'00_PORTFOLIO ROLLUP'!E$12</f>
        <v>2025</v>
      </c>
      <c r="E5" s="365" t="s">
        <v>1683</v>
      </c>
      <c r="F5" s="365" t="s">
        <v>341</v>
      </c>
      <c r="G5" s="365" t="s">
        <v>1684</v>
      </c>
      <c r="H5" s="367">
        <f>'00_PORTFOLIO ROLLUP'!E$24</f>
        <v>6623633.5999999996</v>
      </c>
      <c r="I5" s="365" t="s">
        <v>1685</v>
      </c>
      <c r="J5" s="365" t="str">
        <f t="shared" ref="J5:J68" si="0">IF($F5="Residual Funding Gap",IF($H5&gt;0,"Funding Gap","OK"),IF(AND($F5="Net Refinance Position",$H5&lt;0),"Negative net refi position","OK"))</f>
        <v>OK</v>
      </c>
      <c r="K5" s="365" t="s">
        <v>1686</v>
      </c>
      <c r="L5" s="365" t="s">
        <v>1687</v>
      </c>
      <c r="M5" s="365" t="str">
        <f>IF($B5="Portfolio","Portfolio",IFERROR(INDEX(DATA_ASSET_CLASSIFICATION!$B$8:$B$24,MATCH($C5,DATA_ASSET_CLASSIFICATION!$A$8:$A$24,0)),"Review"))</f>
        <v>Portfolio</v>
      </c>
      <c r="N5" s="365" t="str">
        <f>IF($B5="Portfolio","Portfolio",IFERROR(INDEX(DATA_ASSET_CLASSIFICATION!$U$8:$U$24,MATCH($C5,DATA_ASSET_CLASSIFICATION!$A$8:$A$24,0)),"Review"))</f>
        <v>Portfolio</v>
      </c>
      <c r="O5" s="365" t="str">
        <f>IF($B5="Portfolio","Portfolio",IFERROR(INDEX(DATA_ASSET_CLASSIFICATION!$AB$8:$AB$13,MATCH($N5,DATA_ASSET_CLASSIFICATION!$AA$8:$AA$13,0)),"Review"))</f>
        <v>Portfolio</v>
      </c>
      <c r="P5" s="365" t="str">
        <f>IF($B5="Portfolio","Portfolio",IFERROR(INDEX(DATA_ASSET_CLASSIFICATION!$C$8:$C$24,MATCH($C5,DATA_ASSET_CLASSIFICATION!$A$8:$A$24,0)),"Review"))</f>
        <v>Portfolio</v>
      </c>
      <c r="Q5" s="365" t="str">
        <f t="shared" ref="Q5:Q68" si="1">IF(AND($B5="Property",$F5="Residual Funding Gap",$H5&gt;0),"Property Funding Gap",IF($J5&lt;&gt;"OK",$J5,"OK"))</f>
        <v>OK</v>
      </c>
    </row>
    <row r="6" spans="1:26">
      <c r="A6" s="366" t="s">
        <v>1688</v>
      </c>
      <c r="B6" s="366" t="s">
        <v>1681</v>
      </c>
      <c r="C6" s="366" t="s">
        <v>1682</v>
      </c>
      <c r="D6" s="380">
        <f>'00_PORTFOLIO ROLLUP'!E$12</f>
        <v>2025</v>
      </c>
      <c r="E6" s="366" t="s">
        <v>1683</v>
      </c>
      <c r="F6" s="366" t="s">
        <v>355</v>
      </c>
      <c r="G6" s="366" t="s">
        <v>1689</v>
      </c>
      <c r="H6" s="381">
        <f>'00_PORTFOLIO ROLLUP'!E$39</f>
        <v>3129586</v>
      </c>
      <c r="I6" s="366" t="s">
        <v>1690</v>
      </c>
      <c r="J6" s="348" t="str">
        <f t="shared" si="0"/>
        <v>OK</v>
      </c>
      <c r="K6" s="366" t="s">
        <v>1686</v>
      </c>
      <c r="L6" s="366" t="s">
        <v>1691</v>
      </c>
      <c r="M6" s="350" t="str">
        <f>IF($B6="Portfolio","Portfolio",IFERROR(INDEX(DATA_ASSET_CLASSIFICATION!$B$8:$B$24,MATCH($C6,DATA_ASSET_CLASSIFICATION!$A$8:$A$24,0)),"Review"))</f>
        <v>Portfolio</v>
      </c>
      <c r="N6" s="350" t="str">
        <f>IF($B6="Portfolio","Portfolio",IFERROR(INDEX(DATA_ASSET_CLASSIFICATION!$U$8:$U$24,MATCH($C6,DATA_ASSET_CLASSIFICATION!$A$8:$A$24,0)),"Review"))</f>
        <v>Portfolio</v>
      </c>
      <c r="O6" s="350" t="str">
        <f>IF($B6="Portfolio","Portfolio",IFERROR(INDEX(DATA_ASSET_CLASSIFICATION!$AB$8:$AB$13,MATCH($N6,DATA_ASSET_CLASSIFICATION!$AA$8:$AA$13,0)),"Review"))</f>
        <v>Portfolio</v>
      </c>
      <c r="P6" s="350" t="str">
        <f>IF($B6="Portfolio","Portfolio",IFERROR(INDEX(DATA_ASSET_CLASSIFICATION!$C$8:$C$24,MATCH($C6,DATA_ASSET_CLASSIFICATION!$A$8:$A$24,0)),"Review"))</f>
        <v>Portfolio</v>
      </c>
      <c r="Q6" s="350" t="str">
        <f t="shared" si="1"/>
        <v>OK</v>
      </c>
    </row>
    <row r="7" spans="1:26">
      <c r="A7" s="365" t="s">
        <v>1692</v>
      </c>
      <c r="B7" s="365" t="s">
        <v>1681</v>
      </c>
      <c r="C7" s="365" t="s">
        <v>1682</v>
      </c>
      <c r="D7" s="379">
        <f>'00_PORTFOLIO ROLLUP'!E$12</f>
        <v>2025</v>
      </c>
      <c r="E7" s="365" t="s">
        <v>1683</v>
      </c>
      <c r="F7" s="365" t="s">
        <v>19</v>
      </c>
      <c r="G7" s="365" t="s">
        <v>1693</v>
      </c>
      <c r="H7" s="367">
        <f>'00_PORTFOLIO ROLLUP'!E$41</f>
        <v>3494047.5999999996</v>
      </c>
      <c r="I7" s="365" t="s">
        <v>1685</v>
      </c>
      <c r="J7" s="365" t="str">
        <f t="shared" si="0"/>
        <v>OK</v>
      </c>
      <c r="K7" s="365" t="s">
        <v>1694</v>
      </c>
      <c r="L7" s="365" t="s">
        <v>1695</v>
      </c>
      <c r="M7" s="365" t="str">
        <f>IF($B7="Portfolio","Portfolio",IFERROR(INDEX(DATA_ASSET_CLASSIFICATION!$B$8:$B$24,MATCH($C7,DATA_ASSET_CLASSIFICATION!$A$8:$A$24,0)),"Review"))</f>
        <v>Portfolio</v>
      </c>
      <c r="N7" s="365" t="str">
        <f>IF($B7="Portfolio","Portfolio",IFERROR(INDEX(DATA_ASSET_CLASSIFICATION!$U$8:$U$24,MATCH($C7,DATA_ASSET_CLASSIFICATION!$A$8:$A$24,0)),"Review"))</f>
        <v>Portfolio</v>
      </c>
      <c r="O7" s="365" t="str">
        <f>IF($B7="Portfolio","Portfolio",IFERROR(INDEX(DATA_ASSET_CLASSIFICATION!$AB$8:$AB$13,MATCH($N7,DATA_ASSET_CLASSIFICATION!$AA$8:$AA$13,0)),"Review"))</f>
        <v>Portfolio</v>
      </c>
      <c r="P7" s="365" t="str">
        <f>IF($B7="Portfolio","Portfolio",IFERROR(INDEX(DATA_ASSET_CLASSIFICATION!$C$8:$C$24,MATCH($C7,DATA_ASSET_CLASSIFICATION!$A$8:$A$24,0)),"Review"))</f>
        <v>Portfolio</v>
      </c>
      <c r="Q7" s="365" t="str">
        <f t="shared" si="1"/>
        <v>OK</v>
      </c>
    </row>
    <row r="8" spans="1:26">
      <c r="A8" s="366" t="s">
        <v>1696</v>
      </c>
      <c r="B8" s="366" t="s">
        <v>1681</v>
      </c>
      <c r="C8" s="366" t="s">
        <v>1682</v>
      </c>
      <c r="D8" s="380">
        <f>'00_PORTFOLIO ROLLUP'!E$12</f>
        <v>2025</v>
      </c>
      <c r="E8" s="366" t="s">
        <v>1683</v>
      </c>
      <c r="F8" s="366" t="s">
        <v>1697</v>
      </c>
      <c r="G8" s="366" t="s">
        <v>1698</v>
      </c>
      <c r="H8" s="381">
        <f>'00_PORTFOLIO ROLLUP'!E$44</f>
        <v>70050</v>
      </c>
      <c r="I8" s="366" t="s">
        <v>1690</v>
      </c>
      <c r="J8" s="348" t="str">
        <f t="shared" si="0"/>
        <v>OK</v>
      </c>
      <c r="K8" s="366" t="s">
        <v>1699</v>
      </c>
      <c r="L8" s="366" t="s">
        <v>1700</v>
      </c>
      <c r="M8" s="350" t="str">
        <f>IF($B8="Portfolio","Portfolio",IFERROR(INDEX(DATA_ASSET_CLASSIFICATION!$B$8:$B$24,MATCH($C8,DATA_ASSET_CLASSIFICATION!$A$8:$A$24,0)),"Review"))</f>
        <v>Portfolio</v>
      </c>
      <c r="N8" s="350" t="str">
        <f>IF($B8="Portfolio","Portfolio",IFERROR(INDEX(DATA_ASSET_CLASSIFICATION!$U$8:$U$24,MATCH($C8,DATA_ASSET_CLASSIFICATION!$A$8:$A$24,0)),"Review"))</f>
        <v>Portfolio</v>
      </c>
      <c r="O8" s="350" t="str">
        <f>IF($B8="Portfolio","Portfolio",IFERROR(INDEX(DATA_ASSET_CLASSIFICATION!$AB$8:$AB$13,MATCH($N8,DATA_ASSET_CLASSIFICATION!$AA$8:$AA$13,0)),"Review"))</f>
        <v>Portfolio</v>
      </c>
      <c r="P8" s="350" t="str">
        <f>IF($B8="Portfolio","Portfolio",IFERROR(INDEX(DATA_ASSET_CLASSIFICATION!$C$8:$C$24,MATCH($C8,DATA_ASSET_CLASSIFICATION!$A$8:$A$24,0)),"Review"))</f>
        <v>Portfolio</v>
      </c>
      <c r="Q8" s="350" t="str">
        <f t="shared" si="1"/>
        <v>OK</v>
      </c>
    </row>
    <row r="9" spans="1:26">
      <c r="A9" s="366" t="s">
        <v>1701</v>
      </c>
      <c r="B9" s="366" t="s">
        <v>1681</v>
      </c>
      <c r="C9" s="366" t="s">
        <v>1682</v>
      </c>
      <c r="D9" s="380">
        <f>'00_PORTFOLIO ROLLUP'!E$12</f>
        <v>2025</v>
      </c>
      <c r="E9" s="366" t="s">
        <v>1683</v>
      </c>
      <c r="F9" s="366" t="s">
        <v>21</v>
      </c>
      <c r="G9" s="366" t="s">
        <v>1702</v>
      </c>
      <c r="H9" s="381">
        <f>'00_PORTFOLIO ROLLUP'!E$45</f>
        <v>3423997.5999999996</v>
      </c>
      <c r="I9" s="366" t="s">
        <v>1685</v>
      </c>
      <c r="J9" s="348" t="str">
        <f t="shared" si="0"/>
        <v>OK</v>
      </c>
      <c r="K9" s="366" t="s">
        <v>1694</v>
      </c>
      <c r="L9" s="366" t="s">
        <v>1703</v>
      </c>
      <c r="M9" s="350" t="str">
        <f>IF($B9="Portfolio","Portfolio",IFERROR(INDEX(DATA_ASSET_CLASSIFICATION!$B$8:$B$24,MATCH($C9,DATA_ASSET_CLASSIFICATION!$A$8:$A$24,0)),"Review"))</f>
        <v>Portfolio</v>
      </c>
      <c r="N9" s="350" t="str">
        <f>IF($B9="Portfolio","Portfolio",IFERROR(INDEX(DATA_ASSET_CLASSIFICATION!$U$8:$U$24,MATCH($C9,DATA_ASSET_CLASSIFICATION!$A$8:$A$24,0)),"Review"))</f>
        <v>Portfolio</v>
      </c>
      <c r="O9" s="350" t="str">
        <f>IF($B9="Portfolio","Portfolio",IFERROR(INDEX(DATA_ASSET_CLASSIFICATION!$AB$8:$AB$13,MATCH($N9,DATA_ASSET_CLASSIFICATION!$AA$8:$AA$13,0)),"Review"))</f>
        <v>Portfolio</v>
      </c>
      <c r="P9" s="350" t="str">
        <f>IF($B9="Portfolio","Portfolio",IFERROR(INDEX(DATA_ASSET_CLASSIFICATION!$C$8:$C$24,MATCH($C9,DATA_ASSET_CLASSIFICATION!$A$8:$A$24,0)),"Review"))</f>
        <v>Portfolio</v>
      </c>
      <c r="Q9" s="350" t="str">
        <f t="shared" si="1"/>
        <v>OK</v>
      </c>
    </row>
    <row r="10" spans="1:26">
      <c r="A10" s="366" t="s">
        <v>1704</v>
      </c>
      <c r="B10" s="366" t="s">
        <v>1681</v>
      </c>
      <c r="C10" s="366" t="s">
        <v>1682</v>
      </c>
      <c r="D10" s="380">
        <f>'00_PORTFOLIO ROLLUP'!E$12</f>
        <v>2025</v>
      </c>
      <c r="E10" s="366" t="s">
        <v>23</v>
      </c>
      <c r="F10" s="366" t="s">
        <v>23</v>
      </c>
      <c r="G10" s="366" t="s">
        <v>1705</v>
      </c>
      <c r="H10" s="381">
        <f>'00_PORTFOLIO ROLLUP'!E$48</f>
        <v>15773997.03203162</v>
      </c>
      <c r="I10" s="366" t="s">
        <v>1690</v>
      </c>
      <c r="J10" s="348" t="str">
        <f t="shared" si="0"/>
        <v>OK</v>
      </c>
      <c r="K10" s="366" t="s">
        <v>1706</v>
      </c>
      <c r="L10" s="366" t="s">
        <v>1707</v>
      </c>
      <c r="M10" s="350" t="str">
        <f>IF($B10="Portfolio","Portfolio",IFERROR(INDEX(DATA_ASSET_CLASSIFICATION!$B$8:$B$24,MATCH($C10,DATA_ASSET_CLASSIFICATION!$A$8:$A$24,0)),"Review"))</f>
        <v>Portfolio</v>
      </c>
      <c r="N10" s="350" t="str">
        <f>IF($B10="Portfolio","Portfolio",IFERROR(INDEX(DATA_ASSET_CLASSIFICATION!$U$8:$U$24,MATCH($C10,DATA_ASSET_CLASSIFICATION!$A$8:$A$24,0)),"Review"))</f>
        <v>Portfolio</v>
      </c>
      <c r="O10" s="350" t="str">
        <f>IF($B10="Portfolio","Portfolio",IFERROR(INDEX(DATA_ASSET_CLASSIFICATION!$AB$8:$AB$13,MATCH($N10,DATA_ASSET_CLASSIFICATION!$AA$8:$AA$13,0)),"Review"))</f>
        <v>Portfolio</v>
      </c>
      <c r="P10" s="350" t="str">
        <f>IF($B10="Portfolio","Portfolio",IFERROR(INDEX(DATA_ASSET_CLASSIFICATION!$C$8:$C$24,MATCH($C10,DATA_ASSET_CLASSIFICATION!$A$8:$A$24,0)),"Review"))</f>
        <v>Portfolio</v>
      </c>
      <c r="Q10" s="350" t="str">
        <f t="shared" si="1"/>
        <v>OK</v>
      </c>
    </row>
    <row r="11" spans="1:26">
      <c r="A11" s="366" t="s">
        <v>1708</v>
      </c>
      <c r="B11" s="366" t="s">
        <v>1681</v>
      </c>
      <c r="C11" s="366" t="s">
        <v>1682</v>
      </c>
      <c r="D11" s="380">
        <f>'00_PORTFOLIO ROLLUP'!E$12</f>
        <v>2025</v>
      </c>
      <c r="E11" s="366" t="s">
        <v>1683</v>
      </c>
      <c r="F11" s="366" t="s">
        <v>25</v>
      </c>
      <c r="G11" s="366" t="s">
        <v>1709</v>
      </c>
      <c r="H11" s="381">
        <f>'00_PORTFOLIO ROLLUP'!E$52</f>
        <v>-12279949.43203162</v>
      </c>
      <c r="I11" s="366" t="s">
        <v>1685</v>
      </c>
      <c r="J11" s="348" t="str">
        <f t="shared" si="0"/>
        <v>OK</v>
      </c>
      <c r="K11" s="366" t="s">
        <v>1710</v>
      </c>
      <c r="L11" s="366" t="s">
        <v>1711</v>
      </c>
      <c r="M11" s="350" t="str">
        <f>IF($B11="Portfolio","Portfolio",IFERROR(INDEX(DATA_ASSET_CLASSIFICATION!$B$8:$B$24,MATCH($C11,DATA_ASSET_CLASSIFICATION!$A$8:$A$24,0)),"Review"))</f>
        <v>Portfolio</v>
      </c>
      <c r="N11" s="350" t="str">
        <f>IF($B11="Portfolio","Portfolio",IFERROR(INDEX(DATA_ASSET_CLASSIFICATION!$U$8:$U$24,MATCH($C11,DATA_ASSET_CLASSIFICATION!$A$8:$A$24,0)),"Review"))</f>
        <v>Portfolio</v>
      </c>
      <c r="O11" s="350" t="str">
        <f>IF($B11="Portfolio","Portfolio",IFERROR(INDEX(DATA_ASSET_CLASSIFICATION!$AB$8:$AB$13,MATCH($N11,DATA_ASSET_CLASSIFICATION!$AA$8:$AA$13,0)),"Review"))</f>
        <v>Portfolio</v>
      </c>
      <c r="P11" s="350" t="str">
        <f>IF($B11="Portfolio","Portfolio",IFERROR(INDEX(DATA_ASSET_CLASSIFICATION!$C$8:$C$24,MATCH($C11,DATA_ASSET_CLASSIFICATION!$A$8:$A$24,0)),"Review"))</f>
        <v>Portfolio</v>
      </c>
      <c r="Q11" s="350" t="str">
        <f t="shared" si="1"/>
        <v>OK</v>
      </c>
    </row>
    <row r="12" spans="1:26">
      <c r="A12" s="366" t="s">
        <v>1712</v>
      </c>
      <c r="B12" s="366" t="s">
        <v>1681</v>
      </c>
      <c r="C12" s="366" t="s">
        <v>1682</v>
      </c>
      <c r="D12" s="380">
        <f>'00_PORTFOLIO ROLLUP'!E$12</f>
        <v>2025</v>
      </c>
      <c r="E12" s="366" t="s">
        <v>1683</v>
      </c>
      <c r="F12" s="366" t="s">
        <v>27</v>
      </c>
      <c r="G12" s="366" t="s">
        <v>1713</v>
      </c>
      <c r="H12" s="381">
        <f>'00_PORTFOLIO ROLLUP'!E$54</f>
        <v>0</v>
      </c>
      <c r="I12" s="366" t="s">
        <v>1690</v>
      </c>
      <c r="J12" s="348" t="str">
        <f t="shared" si="0"/>
        <v>OK</v>
      </c>
      <c r="K12" s="366" t="s">
        <v>1714</v>
      </c>
      <c r="L12" s="366" t="s">
        <v>1715</v>
      </c>
      <c r="M12" s="350" t="str">
        <f>IF($B12="Portfolio","Portfolio",IFERROR(INDEX(DATA_ASSET_CLASSIFICATION!$B$8:$B$24,MATCH($C12,DATA_ASSET_CLASSIFICATION!$A$8:$A$24,0)),"Review"))</f>
        <v>Portfolio</v>
      </c>
      <c r="N12" s="350" t="str">
        <f>IF($B12="Portfolio","Portfolio",IFERROR(INDEX(DATA_ASSET_CLASSIFICATION!$U$8:$U$24,MATCH($C12,DATA_ASSET_CLASSIFICATION!$A$8:$A$24,0)),"Review"))</f>
        <v>Portfolio</v>
      </c>
      <c r="O12" s="350" t="str">
        <f>IF($B12="Portfolio","Portfolio",IFERROR(INDEX(DATA_ASSET_CLASSIFICATION!$AB$8:$AB$13,MATCH($N12,DATA_ASSET_CLASSIFICATION!$AA$8:$AA$13,0)),"Review"))</f>
        <v>Portfolio</v>
      </c>
      <c r="P12" s="350" t="str">
        <f>IF($B12="Portfolio","Portfolio",IFERROR(INDEX(DATA_ASSET_CLASSIFICATION!$C$8:$C$24,MATCH($C12,DATA_ASSET_CLASSIFICATION!$A$8:$A$24,0)),"Review"))</f>
        <v>Portfolio</v>
      </c>
      <c r="Q12" s="350" t="str">
        <f t="shared" si="1"/>
        <v>OK</v>
      </c>
    </row>
    <row r="13" spans="1:26">
      <c r="A13" s="366" t="s">
        <v>1716</v>
      </c>
      <c r="B13" s="366" t="s">
        <v>1681</v>
      </c>
      <c r="C13" s="366" t="s">
        <v>1682</v>
      </c>
      <c r="D13" s="380">
        <f>'00_PORTFOLIO ROLLUP'!E$12</f>
        <v>2025</v>
      </c>
      <c r="E13" s="366" t="s">
        <v>1683</v>
      </c>
      <c r="F13" s="366" t="s">
        <v>29</v>
      </c>
      <c r="G13" s="366" t="s">
        <v>1717</v>
      </c>
      <c r="H13" s="381">
        <f>'00_PORTFOLIO ROLLUP'!E$56</f>
        <v>-12279949.43203162</v>
      </c>
      <c r="I13" s="366" t="s">
        <v>1685</v>
      </c>
      <c r="J13" s="348" t="str">
        <f t="shared" si="0"/>
        <v>OK</v>
      </c>
      <c r="K13" s="366" t="s">
        <v>1718</v>
      </c>
      <c r="L13" s="366" t="s">
        <v>1719</v>
      </c>
      <c r="M13" s="350" t="str">
        <f>IF($B13="Portfolio","Portfolio",IFERROR(INDEX(DATA_ASSET_CLASSIFICATION!$B$8:$B$24,MATCH($C13,DATA_ASSET_CLASSIFICATION!$A$8:$A$24,0)),"Review"))</f>
        <v>Portfolio</v>
      </c>
      <c r="N13" s="350" t="str">
        <f>IF($B13="Portfolio","Portfolio",IFERROR(INDEX(DATA_ASSET_CLASSIFICATION!$U$8:$U$24,MATCH($C13,DATA_ASSET_CLASSIFICATION!$A$8:$A$24,0)),"Review"))</f>
        <v>Portfolio</v>
      </c>
      <c r="O13" s="350" t="str">
        <f>IF($B13="Portfolio","Portfolio",IFERROR(INDEX(DATA_ASSET_CLASSIFICATION!$AB$8:$AB$13,MATCH($N13,DATA_ASSET_CLASSIFICATION!$AA$8:$AA$13,0)),"Review"))</f>
        <v>Portfolio</v>
      </c>
      <c r="P13" s="350" t="str">
        <f>IF($B13="Portfolio","Portfolio",IFERROR(INDEX(DATA_ASSET_CLASSIFICATION!$C$8:$C$24,MATCH($C13,DATA_ASSET_CLASSIFICATION!$A$8:$A$24,0)),"Review"))</f>
        <v>Portfolio</v>
      </c>
      <c r="Q13" s="350" t="str">
        <f t="shared" si="1"/>
        <v>OK</v>
      </c>
    </row>
    <row r="14" spans="1:26">
      <c r="A14" s="366" t="s">
        <v>1720</v>
      </c>
      <c r="B14" s="366" t="s">
        <v>1681</v>
      </c>
      <c r="C14" s="366" t="s">
        <v>1682</v>
      </c>
      <c r="D14" s="380">
        <f>'00_PORTFOLIO ROLLUP'!E$12</f>
        <v>2025</v>
      </c>
      <c r="E14" s="366" t="s">
        <v>1721</v>
      </c>
      <c r="F14" s="366" t="s">
        <v>31</v>
      </c>
      <c r="G14" s="366" t="s">
        <v>1722</v>
      </c>
      <c r="H14" s="381">
        <f>'00_PORTFOLIO ROLLUP'!E$61</f>
        <v>0</v>
      </c>
      <c r="I14" s="366" t="s">
        <v>1690</v>
      </c>
      <c r="J14" s="348" t="str">
        <f t="shared" si="0"/>
        <v>OK</v>
      </c>
      <c r="K14" s="366" t="s">
        <v>1723</v>
      </c>
      <c r="L14" s="366" t="s">
        <v>1724</v>
      </c>
      <c r="M14" s="350" t="str">
        <f>IF($B14="Portfolio","Portfolio",IFERROR(INDEX(DATA_ASSET_CLASSIFICATION!$B$8:$B$24,MATCH($C14,DATA_ASSET_CLASSIFICATION!$A$8:$A$24,0)),"Review"))</f>
        <v>Portfolio</v>
      </c>
      <c r="N14" s="350" t="str">
        <f>IF($B14="Portfolio","Portfolio",IFERROR(INDEX(DATA_ASSET_CLASSIFICATION!$U$8:$U$24,MATCH($C14,DATA_ASSET_CLASSIFICATION!$A$8:$A$24,0)),"Review"))</f>
        <v>Portfolio</v>
      </c>
      <c r="O14" s="350" t="str">
        <f>IF($B14="Portfolio","Portfolio",IFERROR(INDEX(DATA_ASSET_CLASSIFICATION!$AB$8:$AB$13,MATCH($N14,DATA_ASSET_CLASSIFICATION!$AA$8:$AA$13,0)),"Review"))</f>
        <v>Portfolio</v>
      </c>
      <c r="P14" s="350" t="str">
        <f>IF($B14="Portfolio","Portfolio",IFERROR(INDEX(DATA_ASSET_CLASSIFICATION!$C$8:$C$24,MATCH($C14,DATA_ASSET_CLASSIFICATION!$A$8:$A$24,0)),"Review"))</f>
        <v>Portfolio</v>
      </c>
      <c r="Q14" s="350" t="str">
        <f t="shared" si="1"/>
        <v>OK</v>
      </c>
    </row>
    <row r="15" spans="1:26">
      <c r="A15" s="366" t="s">
        <v>1725</v>
      </c>
      <c r="B15" s="366" t="s">
        <v>1681</v>
      </c>
      <c r="C15" s="366" t="s">
        <v>1682</v>
      </c>
      <c r="D15" s="380">
        <f>'00_PORTFOLIO ROLLUP'!E$12</f>
        <v>2025</v>
      </c>
      <c r="E15" s="366" t="s">
        <v>1721</v>
      </c>
      <c r="F15" s="366" t="s">
        <v>33</v>
      </c>
      <c r="G15" s="366" t="s">
        <v>1726</v>
      </c>
      <c r="H15" s="381">
        <f>'00_PORTFOLIO ROLLUP'!E$62</f>
        <v>0</v>
      </c>
      <c r="I15" s="366" t="s">
        <v>1685</v>
      </c>
      <c r="J15" s="348" t="str">
        <f t="shared" si="0"/>
        <v>OK</v>
      </c>
      <c r="K15" s="366" t="s">
        <v>1727</v>
      </c>
      <c r="L15" s="366" t="s">
        <v>1728</v>
      </c>
      <c r="M15" s="350" t="str">
        <f>IF($B15="Portfolio","Portfolio",IFERROR(INDEX(DATA_ASSET_CLASSIFICATION!$B$8:$B$24,MATCH($C15,DATA_ASSET_CLASSIFICATION!$A$8:$A$24,0)),"Review"))</f>
        <v>Portfolio</v>
      </c>
      <c r="N15" s="350" t="str">
        <f>IF($B15="Portfolio","Portfolio",IFERROR(INDEX(DATA_ASSET_CLASSIFICATION!$U$8:$U$24,MATCH($C15,DATA_ASSET_CLASSIFICATION!$A$8:$A$24,0)),"Review"))</f>
        <v>Portfolio</v>
      </c>
      <c r="O15" s="350" t="str">
        <f>IF($B15="Portfolio","Portfolio",IFERROR(INDEX(DATA_ASSET_CLASSIFICATION!$AB$8:$AB$13,MATCH($N15,DATA_ASSET_CLASSIFICATION!$AA$8:$AA$13,0)),"Review"))</f>
        <v>Portfolio</v>
      </c>
      <c r="P15" s="350" t="str">
        <f>IF($B15="Portfolio","Portfolio",IFERROR(INDEX(DATA_ASSET_CLASSIFICATION!$C$8:$C$24,MATCH($C15,DATA_ASSET_CLASSIFICATION!$A$8:$A$24,0)),"Review"))</f>
        <v>Portfolio</v>
      </c>
      <c r="Q15" s="350" t="str">
        <f t="shared" si="1"/>
        <v>OK</v>
      </c>
    </row>
    <row r="16" spans="1:26">
      <c r="A16" s="366" t="s">
        <v>1729</v>
      </c>
      <c r="B16" s="366" t="s">
        <v>1681</v>
      </c>
      <c r="C16" s="366" t="s">
        <v>1682</v>
      </c>
      <c r="D16" s="380">
        <f>'00_PORTFOLIO ROLLUP'!E$12</f>
        <v>2025</v>
      </c>
      <c r="E16" s="366" t="s">
        <v>1721</v>
      </c>
      <c r="F16" s="366" t="s">
        <v>35</v>
      </c>
      <c r="G16" s="366" t="s">
        <v>1730</v>
      </c>
      <c r="H16" s="381">
        <f>'00_PORTFOLIO ROLLUP'!E$63</f>
        <v>0</v>
      </c>
      <c r="I16" s="366" t="s">
        <v>1731</v>
      </c>
      <c r="J16" s="348" t="str">
        <f t="shared" si="0"/>
        <v>OK</v>
      </c>
      <c r="K16" s="366" t="s">
        <v>1732</v>
      </c>
      <c r="L16" s="366" t="s">
        <v>1733</v>
      </c>
      <c r="M16" s="350" t="str">
        <f>IF($B16="Portfolio","Portfolio",IFERROR(INDEX(DATA_ASSET_CLASSIFICATION!$B$8:$B$24,MATCH($C16,DATA_ASSET_CLASSIFICATION!$A$8:$A$24,0)),"Review"))</f>
        <v>Portfolio</v>
      </c>
      <c r="N16" s="350" t="str">
        <f>IF($B16="Portfolio","Portfolio",IFERROR(INDEX(DATA_ASSET_CLASSIFICATION!$U$8:$U$24,MATCH($C16,DATA_ASSET_CLASSIFICATION!$A$8:$A$24,0)),"Review"))</f>
        <v>Portfolio</v>
      </c>
      <c r="O16" s="350" t="str">
        <f>IF($B16="Portfolio","Portfolio",IFERROR(INDEX(DATA_ASSET_CLASSIFICATION!$AB$8:$AB$13,MATCH($N16,DATA_ASSET_CLASSIFICATION!$AA$8:$AA$13,0)),"Review"))</f>
        <v>Portfolio</v>
      </c>
      <c r="P16" s="350" t="str">
        <f>IF($B16="Portfolio","Portfolio",IFERROR(INDEX(DATA_ASSET_CLASSIFICATION!$C$8:$C$24,MATCH($C16,DATA_ASSET_CLASSIFICATION!$A$8:$A$24,0)),"Review"))</f>
        <v>Portfolio</v>
      </c>
      <c r="Q16" s="350" t="str">
        <f t="shared" si="1"/>
        <v>OK</v>
      </c>
    </row>
    <row r="17" spans="1:17">
      <c r="A17" s="366" t="s">
        <v>1734</v>
      </c>
      <c r="B17" s="366" t="s">
        <v>1681</v>
      </c>
      <c r="C17" s="366" t="s">
        <v>1682</v>
      </c>
      <c r="D17" s="380">
        <f>'00_PORTFOLIO ROLLUP'!E$12</f>
        <v>2025</v>
      </c>
      <c r="E17" s="366" t="s">
        <v>1721</v>
      </c>
      <c r="F17" s="366" t="s">
        <v>37</v>
      </c>
      <c r="G17" s="366" t="s">
        <v>1730</v>
      </c>
      <c r="H17" s="381">
        <f>MAX('00_PORTFOLIO ROLLUP'!E$63,0)</f>
        <v>0</v>
      </c>
      <c r="I17" s="366" t="s">
        <v>1685</v>
      </c>
      <c r="J17" s="348" t="str">
        <f t="shared" si="0"/>
        <v>OK</v>
      </c>
      <c r="K17" s="366" t="s">
        <v>1735</v>
      </c>
      <c r="L17" s="366" t="s">
        <v>1736</v>
      </c>
      <c r="M17" s="350" t="str">
        <f>IF($B17="Portfolio","Portfolio",IFERROR(INDEX(DATA_ASSET_CLASSIFICATION!$B$8:$B$24,MATCH($C17,DATA_ASSET_CLASSIFICATION!$A$8:$A$24,0)),"Review"))</f>
        <v>Portfolio</v>
      </c>
      <c r="N17" s="350" t="str">
        <f>IF($B17="Portfolio","Portfolio",IFERROR(INDEX(DATA_ASSET_CLASSIFICATION!$U$8:$U$24,MATCH($C17,DATA_ASSET_CLASSIFICATION!$A$8:$A$24,0)),"Review"))</f>
        <v>Portfolio</v>
      </c>
      <c r="O17" s="350" t="str">
        <f>IF($B17="Portfolio","Portfolio",IFERROR(INDEX(DATA_ASSET_CLASSIFICATION!$AB$8:$AB$13,MATCH($N17,DATA_ASSET_CLASSIFICATION!$AA$8:$AA$13,0)),"Review"))</f>
        <v>Portfolio</v>
      </c>
      <c r="P17" s="350" t="str">
        <f>IF($B17="Portfolio","Portfolio",IFERROR(INDEX(DATA_ASSET_CLASSIFICATION!$C$8:$C$24,MATCH($C17,DATA_ASSET_CLASSIFICATION!$A$8:$A$24,0)),"Review"))</f>
        <v>Portfolio</v>
      </c>
      <c r="Q17" s="350" t="str">
        <f t="shared" si="1"/>
        <v>OK</v>
      </c>
    </row>
    <row r="18" spans="1:17">
      <c r="A18" s="366" t="s">
        <v>1737</v>
      </c>
      <c r="B18" s="366" t="s">
        <v>1681</v>
      </c>
      <c r="C18" s="366" t="s">
        <v>1682</v>
      </c>
      <c r="D18" s="380">
        <f>'00_PORTFOLIO ROLLUP'!E$12</f>
        <v>2025</v>
      </c>
      <c r="E18" s="366" t="s">
        <v>1721</v>
      </c>
      <c r="F18" s="366" t="s">
        <v>39</v>
      </c>
      <c r="G18" s="366" t="s">
        <v>1730</v>
      </c>
      <c r="H18" s="381">
        <f>MAX(-'00_PORTFOLIO ROLLUP'!E$63,0)</f>
        <v>0</v>
      </c>
      <c r="I18" s="366" t="s">
        <v>1690</v>
      </c>
      <c r="J18" s="348" t="str">
        <f t="shared" si="0"/>
        <v>OK</v>
      </c>
      <c r="K18" s="366" t="s">
        <v>1738</v>
      </c>
      <c r="L18" s="366" t="s">
        <v>1739</v>
      </c>
      <c r="M18" s="350" t="str">
        <f>IF($B18="Portfolio","Portfolio",IFERROR(INDEX(DATA_ASSET_CLASSIFICATION!$B$8:$B$24,MATCH($C18,DATA_ASSET_CLASSIFICATION!$A$8:$A$24,0)),"Review"))</f>
        <v>Portfolio</v>
      </c>
      <c r="N18" s="350" t="str">
        <f>IF($B18="Portfolio","Portfolio",IFERROR(INDEX(DATA_ASSET_CLASSIFICATION!$U$8:$U$24,MATCH($C18,DATA_ASSET_CLASSIFICATION!$A$8:$A$24,0)),"Review"))</f>
        <v>Portfolio</v>
      </c>
      <c r="O18" s="350" t="str">
        <f>IF($B18="Portfolio","Portfolio",IFERROR(INDEX(DATA_ASSET_CLASSIFICATION!$AB$8:$AB$13,MATCH($N18,DATA_ASSET_CLASSIFICATION!$AA$8:$AA$13,0)),"Review"))</f>
        <v>Portfolio</v>
      </c>
      <c r="P18" s="350" t="str">
        <f>IF($B18="Portfolio","Portfolio",IFERROR(INDEX(DATA_ASSET_CLASSIFICATION!$C$8:$C$24,MATCH($C18,DATA_ASSET_CLASSIFICATION!$A$8:$A$24,0)),"Review"))</f>
        <v>Portfolio</v>
      </c>
      <c r="Q18" s="350" t="str">
        <f t="shared" si="1"/>
        <v>OK</v>
      </c>
    </row>
    <row r="19" spans="1:17">
      <c r="A19" s="366" t="s">
        <v>1740</v>
      </c>
      <c r="B19" s="366" t="s">
        <v>1681</v>
      </c>
      <c r="C19" s="366" t="s">
        <v>1682</v>
      </c>
      <c r="D19" s="380">
        <f>'00_PORTFOLIO ROLLUP'!E$12</f>
        <v>2025</v>
      </c>
      <c r="E19" s="366" t="s">
        <v>1741</v>
      </c>
      <c r="F19" s="366" t="s">
        <v>41</v>
      </c>
      <c r="H19" s="381">
        <f>'00_PORTFOLIO ROLLUP'!E$56+MAX('00_PORTFOLIO ROLLUP'!E$63,0)</f>
        <v>-12279949.43203162</v>
      </c>
      <c r="I19" s="366" t="s">
        <v>1685</v>
      </c>
      <c r="J19" s="348" t="str">
        <f t="shared" si="0"/>
        <v>OK</v>
      </c>
      <c r="K19" s="366" t="s">
        <v>1742</v>
      </c>
      <c r="L19" s="366" t="s">
        <v>1743</v>
      </c>
      <c r="M19" s="350" t="str">
        <f>IF($B19="Portfolio","Portfolio",IFERROR(INDEX(DATA_ASSET_CLASSIFICATION!$B$8:$B$24,MATCH($C19,DATA_ASSET_CLASSIFICATION!$A$8:$A$24,0)),"Review"))</f>
        <v>Portfolio</v>
      </c>
      <c r="N19" s="350" t="str">
        <f>IF($B19="Portfolio","Portfolio",IFERROR(INDEX(DATA_ASSET_CLASSIFICATION!$U$8:$U$24,MATCH($C19,DATA_ASSET_CLASSIFICATION!$A$8:$A$24,0)),"Review"))</f>
        <v>Portfolio</v>
      </c>
      <c r="O19" s="350" t="str">
        <f>IF($B19="Portfolio","Portfolio",IFERROR(INDEX(DATA_ASSET_CLASSIFICATION!$AB$8:$AB$13,MATCH($N19,DATA_ASSET_CLASSIFICATION!$AA$8:$AA$13,0)),"Review"))</f>
        <v>Portfolio</v>
      </c>
      <c r="P19" s="350" t="str">
        <f>IF($B19="Portfolio","Portfolio",IFERROR(INDEX(DATA_ASSET_CLASSIFICATION!$C$8:$C$24,MATCH($C19,DATA_ASSET_CLASSIFICATION!$A$8:$A$24,0)),"Review"))</f>
        <v>Portfolio</v>
      </c>
      <c r="Q19" s="350" t="str">
        <f t="shared" si="1"/>
        <v>OK</v>
      </c>
    </row>
    <row r="20" spans="1:17">
      <c r="A20" s="366" t="s">
        <v>1744</v>
      </c>
      <c r="B20" s="366" t="s">
        <v>1681</v>
      </c>
      <c r="C20" s="366" t="s">
        <v>1682</v>
      </c>
      <c r="D20" s="380">
        <f>'00_PORTFOLIO ROLLUP'!E$12</f>
        <v>2025</v>
      </c>
      <c r="E20" s="366" t="s">
        <v>1741</v>
      </c>
      <c r="F20" s="366" t="s">
        <v>43</v>
      </c>
      <c r="G20" s="366" t="s">
        <v>1745</v>
      </c>
      <c r="H20" s="381">
        <f>'00_PORTFOLIO ROLLUP'!E$68</f>
        <v>-12279949.43203162</v>
      </c>
      <c r="I20" s="366" t="s">
        <v>1731</v>
      </c>
      <c r="J20" s="348" t="str">
        <f t="shared" si="0"/>
        <v>OK</v>
      </c>
      <c r="K20" s="366" t="s">
        <v>1746</v>
      </c>
      <c r="L20" s="366" t="s">
        <v>1747</v>
      </c>
      <c r="M20" s="350" t="str">
        <f>IF($B20="Portfolio","Portfolio",IFERROR(INDEX(DATA_ASSET_CLASSIFICATION!$B$8:$B$24,MATCH($C20,DATA_ASSET_CLASSIFICATION!$A$8:$A$24,0)),"Review"))</f>
        <v>Portfolio</v>
      </c>
      <c r="N20" s="350" t="str">
        <f>IF($B20="Portfolio","Portfolio",IFERROR(INDEX(DATA_ASSET_CLASSIFICATION!$U$8:$U$24,MATCH($C20,DATA_ASSET_CLASSIFICATION!$A$8:$A$24,0)),"Review"))</f>
        <v>Portfolio</v>
      </c>
      <c r="O20" s="350" t="str">
        <f>IF($B20="Portfolio","Portfolio",IFERROR(INDEX(DATA_ASSET_CLASSIFICATION!$AB$8:$AB$13,MATCH($N20,DATA_ASSET_CLASSIFICATION!$AA$8:$AA$13,0)),"Review"))</f>
        <v>Portfolio</v>
      </c>
      <c r="P20" s="350" t="str">
        <f>IF($B20="Portfolio","Portfolio",IFERROR(INDEX(DATA_ASSET_CLASSIFICATION!$C$8:$C$24,MATCH($C20,DATA_ASSET_CLASSIFICATION!$A$8:$A$24,0)),"Review"))</f>
        <v>Portfolio</v>
      </c>
      <c r="Q20" s="350" t="str">
        <f t="shared" si="1"/>
        <v>OK</v>
      </c>
    </row>
    <row r="21" spans="1:17">
      <c r="A21" s="366" t="s">
        <v>1748</v>
      </c>
      <c r="B21" s="366" t="s">
        <v>1681</v>
      </c>
      <c r="C21" s="366" t="s">
        <v>1682</v>
      </c>
      <c r="D21" s="380">
        <f>'00_PORTFOLIO ROLLUP'!E$12</f>
        <v>2025</v>
      </c>
      <c r="E21" s="366" t="s">
        <v>1741</v>
      </c>
      <c r="F21" s="366" t="s">
        <v>1749</v>
      </c>
      <c r="H21" s="381">
        <f>('00_PORTFOLIO ROLLUP'!E$56+MAX('00_PORTFOLIO ROLLUP'!E$63,0))-'00_PORTFOLIO ROLLUP'!E$68</f>
        <v>0</v>
      </c>
      <c r="I21" s="366" t="s">
        <v>1750</v>
      </c>
      <c r="J21" s="348" t="str">
        <f t="shared" si="0"/>
        <v>OK</v>
      </c>
      <c r="K21" s="366" t="s">
        <v>1751</v>
      </c>
      <c r="L21" s="366" t="s">
        <v>1752</v>
      </c>
      <c r="M21" s="350" t="str">
        <f>IF($B21="Portfolio","Portfolio",IFERROR(INDEX(DATA_ASSET_CLASSIFICATION!$B$8:$B$24,MATCH($C21,DATA_ASSET_CLASSIFICATION!$A$8:$A$24,0)),"Review"))</f>
        <v>Portfolio</v>
      </c>
      <c r="N21" s="350" t="str">
        <f>IF($B21="Portfolio","Portfolio",IFERROR(INDEX(DATA_ASSET_CLASSIFICATION!$U$8:$U$24,MATCH($C21,DATA_ASSET_CLASSIFICATION!$A$8:$A$24,0)),"Review"))</f>
        <v>Portfolio</v>
      </c>
      <c r="O21" s="350" t="str">
        <f>IF($B21="Portfolio","Portfolio",IFERROR(INDEX(DATA_ASSET_CLASSIFICATION!$AB$8:$AB$13,MATCH($N21,DATA_ASSET_CLASSIFICATION!$AA$8:$AA$13,0)),"Review"))</f>
        <v>Portfolio</v>
      </c>
      <c r="P21" s="350" t="str">
        <f>IF($B21="Portfolio","Portfolio",IFERROR(INDEX(DATA_ASSET_CLASSIFICATION!$C$8:$C$24,MATCH($C21,DATA_ASSET_CLASSIFICATION!$A$8:$A$24,0)),"Review"))</f>
        <v>Portfolio</v>
      </c>
      <c r="Q21" s="350" t="str">
        <f t="shared" si="1"/>
        <v>OK</v>
      </c>
    </row>
    <row r="22" spans="1:17">
      <c r="A22" s="366" t="s">
        <v>1753</v>
      </c>
      <c r="B22" s="366" t="s">
        <v>1681</v>
      </c>
      <c r="C22" s="366" t="s">
        <v>1682</v>
      </c>
      <c r="D22" s="380">
        <f>'00_PORTFOLIO ROLLUP'!F$12</f>
        <v>2026</v>
      </c>
      <c r="E22" s="366" t="s">
        <v>1683</v>
      </c>
      <c r="F22" s="366" t="s">
        <v>341</v>
      </c>
      <c r="G22" s="366" t="s">
        <v>1754</v>
      </c>
      <c r="H22" s="381">
        <f>'00_PORTFOLIO ROLLUP'!F$24</f>
        <v>7008586.7590800002</v>
      </c>
      <c r="I22" s="366" t="s">
        <v>1685</v>
      </c>
      <c r="J22" s="348" t="str">
        <f t="shared" si="0"/>
        <v>OK</v>
      </c>
      <c r="K22" s="366" t="s">
        <v>1686</v>
      </c>
      <c r="L22" s="366" t="s">
        <v>1687</v>
      </c>
      <c r="M22" s="350" t="str">
        <f>IF($B22="Portfolio","Portfolio",IFERROR(INDEX(DATA_ASSET_CLASSIFICATION!$B$8:$B$24,MATCH($C22,DATA_ASSET_CLASSIFICATION!$A$8:$A$24,0)),"Review"))</f>
        <v>Portfolio</v>
      </c>
      <c r="N22" s="350" t="str">
        <f>IF($B22="Portfolio","Portfolio",IFERROR(INDEX(DATA_ASSET_CLASSIFICATION!$U$8:$U$24,MATCH($C22,DATA_ASSET_CLASSIFICATION!$A$8:$A$24,0)),"Review"))</f>
        <v>Portfolio</v>
      </c>
      <c r="O22" s="350" t="str">
        <f>IF($B22="Portfolio","Portfolio",IFERROR(INDEX(DATA_ASSET_CLASSIFICATION!$AB$8:$AB$13,MATCH($N22,DATA_ASSET_CLASSIFICATION!$AA$8:$AA$13,0)),"Review"))</f>
        <v>Portfolio</v>
      </c>
      <c r="P22" s="350" t="str">
        <f>IF($B22="Portfolio","Portfolio",IFERROR(INDEX(DATA_ASSET_CLASSIFICATION!$C$8:$C$24,MATCH($C22,DATA_ASSET_CLASSIFICATION!$A$8:$A$24,0)),"Review"))</f>
        <v>Portfolio</v>
      </c>
      <c r="Q22" s="350" t="str">
        <f t="shared" si="1"/>
        <v>OK</v>
      </c>
    </row>
    <row r="23" spans="1:17">
      <c r="A23" s="366" t="s">
        <v>1755</v>
      </c>
      <c r="B23" s="366" t="s">
        <v>1681</v>
      </c>
      <c r="C23" s="366" t="s">
        <v>1682</v>
      </c>
      <c r="D23" s="380">
        <f>'00_PORTFOLIO ROLLUP'!F$12</f>
        <v>2026</v>
      </c>
      <c r="E23" s="366" t="s">
        <v>1683</v>
      </c>
      <c r="F23" s="366" t="s">
        <v>355</v>
      </c>
      <c r="G23" s="366" t="s">
        <v>1756</v>
      </c>
      <c r="H23" s="381">
        <f>'00_PORTFOLIO ROLLUP'!F$39</f>
        <v>3254769.44</v>
      </c>
      <c r="I23" s="366" t="s">
        <v>1690</v>
      </c>
      <c r="J23" s="348" t="str">
        <f t="shared" si="0"/>
        <v>OK</v>
      </c>
      <c r="K23" s="366" t="s">
        <v>1686</v>
      </c>
      <c r="L23" s="366" t="s">
        <v>1691</v>
      </c>
      <c r="M23" s="350" t="str">
        <f>IF($B23="Portfolio","Portfolio",IFERROR(INDEX(DATA_ASSET_CLASSIFICATION!$B$8:$B$24,MATCH($C23,DATA_ASSET_CLASSIFICATION!$A$8:$A$24,0)),"Review"))</f>
        <v>Portfolio</v>
      </c>
      <c r="N23" s="350" t="str">
        <f>IF($B23="Portfolio","Portfolio",IFERROR(INDEX(DATA_ASSET_CLASSIFICATION!$U$8:$U$24,MATCH($C23,DATA_ASSET_CLASSIFICATION!$A$8:$A$24,0)),"Review"))</f>
        <v>Portfolio</v>
      </c>
      <c r="O23" s="350" t="str">
        <f>IF($B23="Portfolio","Portfolio",IFERROR(INDEX(DATA_ASSET_CLASSIFICATION!$AB$8:$AB$13,MATCH($N23,DATA_ASSET_CLASSIFICATION!$AA$8:$AA$13,0)),"Review"))</f>
        <v>Portfolio</v>
      </c>
      <c r="P23" s="350" t="str">
        <f>IF($B23="Portfolio","Portfolio",IFERROR(INDEX(DATA_ASSET_CLASSIFICATION!$C$8:$C$24,MATCH($C23,DATA_ASSET_CLASSIFICATION!$A$8:$A$24,0)),"Review"))</f>
        <v>Portfolio</v>
      </c>
      <c r="Q23" s="350" t="str">
        <f t="shared" si="1"/>
        <v>OK</v>
      </c>
    </row>
    <row r="24" spans="1:17">
      <c r="A24" s="366" t="s">
        <v>1757</v>
      </c>
      <c r="B24" s="366" t="s">
        <v>1681</v>
      </c>
      <c r="C24" s="366" t="s">
        <v>1682</v>
      </c>
      <c r="D24" s="380">
        <f>'00_PORTFOLIO ROLLUP'!F$12</f>
        <v>2026</v>
      </c>
      <c r="E24" s="366" t="s">
        <v>1683</v>
      </c>
      <c r="F24" s="366" t="s">
        <v>19</v>
      </c>
      <c r="G24" s="366" t="s">
        <v>1758</v>
      </c>
      <c r="H24" s="381">
        <f>'00_PORTFOLIO ROLLUP'!F$41</f>
        <v>3753817.3190800003</v>
      </c>
      <c r="I24" s="366" t="s">
        <v>1685</v>
      </c>
      <c r="J24" s="348" t="str">
        <f t="shared" si="0"/>
        <v>OK</v>
      </c>
      <c r="K24" s="366" t="s">
        <v>1694</v>
      </c>
      <c r="L24" s="366" t="s">
        <v>1695</v>
      </c>
      <c r="M24" s="350" t="str">
        <f>IF($B24="Portfolio","Portfolio",IFERROR(INDEX(DATA_ASSET_CLASSIFICATION!$B$8:$B$24,MATCH($C24,DATA_ASSET_CLASSIFICATION!$A$8:$A$24,0)),"Review"))</f>
        <v>Portfolio</v>
      </c>
      <c r="N24" s="350" t="str">
        <f>IF($B24="Portfolio","Portfolio",IFERROR(INDEX(DATA_ASSET_CLASSIFICATION!$U$8:$U$24,MATCH($C24,DATA_ASSET_CLASSIFICATION!$A$8:$A$24,0)),"Review"))</f>
        <v>Portfolio</v>
      </c>
      <c r="O24" s="350" t="str">
        <f>IF($B24="Portfolio","Portfolio",IFERROR(INDEX(DATA_ASSET_CLASSIFICATION!$AB$8:$AB$13,MATCH($N24,DATA_ASSET_CLASSIFICATION!$AA$8:$AA$13,0)),"Review"))</f>
        <v>Portfolio</v>
      </c>
      <c r="P24" s="350" t="str">
        <f>IF($B24="Portfolio","Portfolio",IFERROR(INDEX(DATA_ASSET_CLASSIFICATION!$C$8:$C$24,MATCH($C24,DATA_ASSET_CLASSIFICATION!$A$8:$A$24,0)),"Review"))</f>
        <v>Portfolio</v>
      </c>
      <c r="Q24" s="350" t="str">
        <f t="shared" si="1"/>
        <v>OK</v>
      </c>
    </row>
    <row r="25" spans="1:17">
      <c r="A25" s="366" t="s">
        <v>1759</v>
      </c>
      <c r="B25" s="366" t="s">
        <v>1681</v>
      </c>
      <c r="C25" s="366" t="s">
        <v>1682</v>
      </c>
      <c r="D25" s="380">
        <f>'00_PORTFOLIO ROLLUP'!F$12</f>
        <v>2026</v>
      </c>
      <c r="E25" s="366" t="s">
        <v>1683</v>
      </c>
      <c r="F25" s="366" t="s">
        <v>1697</v>
      </c>
      <c r="G25" s="366" t="s">
        <v>1760</v>
      </c>
      <c r="H25" s="381">
        <f>'00_PORTFOLIO ROLLUP'!F$44</f>
        <v>71451</v>
      </c>
      <c r="I25" s="366" t="s">
        <v>1690</v>
      </c>
      <c r="J25" s="348" t="str">
        <f t="shared" si="0"/>
        <v>OK</v>
      </c>
      <c r="K25" s="366" t="s">
        <v>1699</v>
      </c>
      <c r="L25" s="366" t="s">
        <v>1700</v>
      </c>
      <c r="M25" s="350" t="str">
        <f>IF($B25="Portfolio","Portfolio",IFERROR(INDEX(DATA_ASSET_CLASSIFICATION!$B$8:$B$24,MATCH($C25,DATA_ASSET_CLASSIFICATION!$A$8:$A$24,0)),"Review"))</f>
        <v>Portfolio</v>
      </c>
      <c r="N25" s="350" t="str">
        <f>IF($B25="Portfolio","Portfolio",IFERROR(INDEX(DATA_ASSET_CLASSIFICATION!$U$8:$U$24,MATCH($C25,DATA_ASSET_CLASSIFICATION!$A$8:$A$24,0)),"Review"))</f>
        <v>Portfolio</v>
      </c>
      <c r="O25" s="350" t="str">
        <f>IF($B25="Portfolio","Portfolio",IFERROR(INDEX(DATA_ASSET_CLASSIFICATION!$AB$8:$AB$13,MATCH($N25,DATA_ASSET_CLASSIFICATION!$AA$8:$AA$13,0)),"Review"))</f>
        <v>Portfolio</v>
      </c>
      <c r="P25" s="350" t="str">
        <f>IF($B25="Portfolio","Portfolio",IFERROR(INDEX(DATA_ASSET_CLASSIFICATION!$C$8:$C$24,MATCH($C25,DATA_ASSET_CLASSIFICATION!$A$8:$A$24,0)),"Review"))</f>
        <v>Portfolio</v>
      </c>
      <c r="Q25" s="350" t="str">
        <f t="shared" si="1"/>
        <v>OK</v>
      </c>
    </row>
    <row r="26" spans="1:17">
      <c r="A26" s="366" t="s">
        <v>1761</v>
      </c>
      <c r="B26" s="366" t="s">
        <v>1681</v>
      </c>
      <c r="C26" s="366" t="s">
        <v>1682</v>
      </c>
      <c r="D26" s="380">
        <f>'00_PORTFOLIO ROLLUP'!F$12</f>
        <v>2026</v>
      </c>
      <c r="E26" s="366" t="s">
        <v>1683</v>
      </c>
      <c r="F26" s="366" t="s">
        <v>21</v>
      </c>
      <c r="G26" s="366" t="s">
        <v>1762</v>
      </c>
      <c r="H26" s="381">
        <f>'00_PORTFOLIO ROLLUP'!F$45</f>
        <v>3682366.3190800003</v>
      </c>
      <c r="I26" s="366" t="s">
        <v>1685</v>
      </c>
      <c r="J26" s="348" t="str">
        <f t="shared" si="0"/>
        <v>OK</v>
      </c>
      <c r="K26" s="366" t="s">
        <v>1694</v>
      </c>
      <c r="L26" s="366" t="s">
        <v>1703</v>
      </c>
      <c r="M26" s="350" t="str">
        <f>IF($B26="Portfolio","Portfolio",IFERROR(INDEX(DATA_ASSET_CLASSIFICATION!$B$8:$B$24,MATCH($C26,DATA_ASSET_CLASSIFICATION!$A$8:$A$24,0)),"Review"))</f>
        <v>Portfolio</v>
      </c>
      <c r="N26" s="350" t="str">
        <f>IF($B26="Portfolio","Portfolio",IFERROR(INDEX(DATA_ASSET_CLASSIFICATION!$U$8:$U$24,MATCH($C26,DATA_ASSET_CLASSIFICATION!$A$8:$A$24,0)),"Review"))</f>
        <v>Portfolio</v>
      </c>
      <c r="O26" s="350" t="str">
        <f>IF($B26="Portfolio","Portfolio",IFERROR(INDEX(DATA_ASSET_CLASSIFICATION!$AB$8:$AB$13,MATCH($N26,DATA_ASSET_CLASSIFICATION!$AA$8:$AA$13,0)),"Review"))</f>
        <v>Portfolio</v>
      </c>
      <c r="P26" s="350" t="str">
        <f>IF($B26="Portfolio","Portfolio",IFERROR(INDEX(DATA_ASSET_CLASSIFICATION!$C$8:$C$24,MATCH($C26,DATA_ASSET_CLASSIFICATION!$A$8:$A$24,0)),"Review"))</f>
        <v>Portfolio</v>
      </c>
      <c r="Q26" s="350" t="str">
        <f t="shared" si="1"/>
        <v>OK</v>
      </c>
    </row>
    <row r="27" spans="1:17">
      <c r="A27" s="366" t="s">
        <v>1763</v>
      </c>
      <c r="B27" s="366" t="s">
        <v>1681</v>
      </c>
      <c r="C27" s="366" t="s">
        <v>1682</v>
      </c>
      <c r="D27" s="380">
        <f>'00_PORTFOLIO ROLLUP'!F$12</f>
        <v>2026</v>
      </c>
      <c r="E27" s="366" t="s">
        <v>23</v>
      </c>
      <c r="F27" s="366" t="s">
        <v>23</v>
      </c>
      <c r="G27" s="366" t="s">
        <v>1764</v>
      </c>
      <c r="H27" s="381">
        <f>'00_PORTFOLIO ROLLUP'!F$48</f>
        <v>15395195.24808039</v>
      </c>
      <c r="I27" s="366" t="s">
        <v>1690</v>
      </c>
      <c r="J27" s="348" t="str">
        <f t="shared" si="0"/>
        <v>OK</v>
      </c>
      <c r="K27" s="366" t="s">
        <v>1706</v>
      </c>
      <c r="L27" s="366" t="s">
        <v>1707</v>
      </c>
      <c r="M27" s="350" t="str">
        <f>IF($B27="Portfolio","Portfolio",IFERROR(INDEX(DATA_ASSET_CLASSIFICATION!$B$8:$B$24,MATCH($C27,DATA_ASSET_CLASSIFICATION!$A$8:$A$24,0)),"Review"))</f>
        <v>Portfolio</v>
      </c>
      <c r="N27" s="350" t="str">
        <f>IF($B27="Portfolio","Portfolio",IFERROR(INDEX(DATA_ASSET_CLASSIFICATION!$U$8:$U$24,MATCH($C27,DATA_ASSET_CLASSIFICATION!$A$8:$A$24,0)),"Review"))</f>
        <v>Portfolio</v>
      </c>
      <c r="O27" s="350" t="str">
        <f>IF($B27="Portfolio","Portfolio",IFERROR(INDEX(DATA_ASSET_CLASSIFICATION!$AB$8:$AB$13,MATCH($N27,DATA_ASSET_CLASSIFICATION!$AA$8:$AA$13,0)),"Review"))</f>
        <v>Portfolio</v>
      </c>
      <c r="P27" s="350" t="str">
        <f>IF($B27="Portfolio","Portfolio",IFERROR(INDEX(DATA_ASSET_CLASSIFICATION!$C$8:$C$24,MATCH($C27,DATA_ASSET_CLASSIFICATION!$A$8:$A$24,0)),"Review"))</f>
        <v>Portfolio</v>
      </c>
      <c r="Q27" s="350" t="str">
        <f t="shared" si="1"/>
        <v>OK</v>
      </c>
    </row>
    <row r="28" spans="1:17">
      <c r="A28" s="366" t="s">
        <v>1765</v>
      </c>
      <c r="B28" s="366" t="s">
        <v>1681</v>
      </c>
      <c r="C28" s="366" t="s">
        <v>1682</v>
      </c>
      <c r="D28" s="380">
        <f>'00_PORTFOLIO ROLLUP'!F$12</f>
        <v>2026</v>
      </c>
      <c r="E28" s="366" t="s">
        <v>1683</v>
      </c>
      <c r="F28" s="366" t="s">
        <v>25</v>
      </c>
      <c r="G28" s="366" t="s">
        <v>1766</v>
      </c>
      <c r="H28" s="381">
        <f>'00_PORTFOLIO ROLLUP'!F$52</f>
        <v>-11641377.929000389</v>
      </c>
      <c r="I28" s="366" t="s">
        <v>1685</v>
      </c>
      <c r="J28" s="348" t="str">
        <f t="shared" si="0"/>
        <v>OK</v>
      </c>
      <c r="K28" s="366" t="s">
        <v>1710</v>
      </c>
      <c r="L28" s="366" t="s">
        <v>1711</v>
      </c>
      <c r="M28" s="350" t="str">
        <f>IF($B28="Portfolio","Portfolio",IFERROR(INDEX(DATA_ASSET_CLASSIFICATION!$B$8:$B$24,MATCH($C28,DATA_ASSET_CLASSIFICATION!$A$8:$A$24,0)),"Review"))</f>
        <v>Portfolio</v>
      </c>
      <c r="N28" s="350" t="str">
        <f>IF($B28="Portfolio","Portfolio",IFERROR(INDEX(DATA_ASSET_CLASSIFICATION!$U$8:$U$24,MATCH($C28,DATA_ASSET_CLASSIFICATION!$A$8:$A$24,0)),"Review"))</f>
        <v>Portfolio</v>
      </c>
      <c r="O28" s="350" t="str">
        <f>IF($B28="Portfolio","Portfolio",IFERROR(INDEX(DATA_ASSET_CLASSIFICATION!$AB$8:$AB$13,MATCH($N28,DATA_ASSET_CLASSIFICATION!$AA$8:$AA$13,0)),"Review"))</f>
        <v>Portfolio</v>
      </c>
      <c r="P28" s="350" t="str">
        <f>IF($B28="Portfolio","Portfolio",IFERROR(INDEX(DATA_ASSET_CLASSIFICATION!$C$8:$C$24,MATCH($C28,DATA_ASSET_CLASSIFICATION!$A$8:$A$24,0)),"Review"))</f>
        <v>Portfolio</v>
      </c>
      <c r="Q28" s="350" t="str">
        <f t="shared" si="1"/>
        <v>OK</v>
      </c>
    </row>
    <row r="29" spans="1:17">
      <c r="A29" s="366" t="s">
        <v>1767</v>
      </c>
      <c r="B29" s="366" t="s">
        <v>1681</v>
      </c>
      <c r="C29" s="366" t="s">
        <v>1682</v>
      </c>
      <c r="D29" s="380">
        <f>'00_PORTFOLIO ROLLUP'!F$12</f>
        <v>2026</v>
      </c>
      <c r="E29" s="366" t="s">
        <v>1683</v>
      </c>
      <c r="F29" s="366" t="s">
        <v>27</v>
      </c>
      <c r="G29" s="366" t="s">
        <v>1768</v>
      </c>
      <c r="H29" s="381">
        <f>'00_PORTFOLIO ROLLUP'!F$54</f>
        <v>0</v>
      </c>
      <c r="I29" s="366" t="s">
        <v>1690</v>
      </c>
      <c r="J29" s="348" t="str">
        <f t="shared" si="0"/>
        <v>OK</v>
      </c>
      <c r="K29" s="366" t="s">
        <v>1714</v>
      </c>
      <c r="L29" s="366" t="s">
        <v>1715</v>
      </c>
      <c r="M29" s="350" t="str">
        <f>IF($B29="Portfolio","Portfolio",IFERROR(INDEX(DATA_ASSET_CLASSIFICATION!$B$8:$B$24,MATCH($C29,DATA_ASSET_CLASSIFICATION!$A$8:$A$24,0)),"Review"))</f>
        <v>Portfolio</v>
      </c>
      <c r="N29" s="350" t="str">
        <f>IF($B29="Portfolio","Portfolio",IFERROR(INDEX(DATA_ASSET_CLASSIFICATION!$U$8:$U$24,MATCH($C29,DATA_ASSET_CLASSIFICATION!$A$8:$A$24,0)),"Review"))</f>
        <v>Portfolio</v>
      </c>
      <c r="O29" s="350" t="str">
        <f>IF($B29="Portfolio","Portfolio",IFERROR(INDEX(DATA_ASSET_CLASSIFICATION!$AB$8:$AB$13,MATCH($N29,DATA_ASSET_CLASSIFICATION!$AA$8:$AA$13,0)),"Review"))</f>
        <v>Portfolio</v>
      </c>
      <c r="P29" s="350" t="str">
        <f>IF($B29="Portfolio","Portfolio",IFERROR(INDEX(DATA_ASSET_CLASSIFICATION!$C$8:$C$24,MATCH($C29,DATA_ASSET_CLASSIFICATION!$A$8:$A$24,0)),"Review"))</f>
        <v>Portfolio</v>
      </c>
      <c r="Q29" s="350" t="str">
        <f t="shared" si="1"/>
        <v>OK</v>
      </c>
    </row>
    <row r="30" spans="1:17">
      <c r="A30" s="366" t="s">
        <v>1769</v>
      </c>
      <c r="B30" s="366" t="s">
        <v>1681</v>
      </c>
      <c r="C30" s="366" t="s">
        <v>1682</v>
      </c>
      <c r="D30" s="380">
        <f>'00_PORTFOLIO ROLLUP'!F$12</f>
        <v>2026</v>
      </c>
      <c r="E30" s="366" t="s">
        <v>1683</v>
      </c>
      <c r="F30" s="366" t="s">
        <v>29</v>
      </c>
      <c r="G30" s="366" t="s">
        <v>1770</v>
      </c>
      <c r="H30" s="381">
        <f>'00_PORTFOLIO ROLLUP'!F$56</f>
        <v>-11641377.929000389</v>
      </c>
      <c r="I30" s="366" t="s">
        <v>1685</v>
      </c>
      <c r="J30" s="348" t="str">
        <f t="shared" si="0"/>
        <v>OK</v>
      </c>
      <c r="K30" s="366" t="s">
        <v>1718</v>
      </c>
      <c r="L30" s="366" t="s">
        <v>1719</v>
      </c>
      <c r="M30" s="350" t="str">
        <f>IF($B30="Portfolio","Portfolio",IFERROR(INDEX(DATA_ASSET_CLASSIFICATION!$B$8:$B$24,MATCH($C30,DATA_ASSET_CLASSIFICATION!$A$8:$A$24,0)),"Review"))</f>
        <v>Portfolio</v>
      </c>
      <c r="N30" s="350" t="str">
        <f>IF($B30="Portfolio","Portfolio",IFERROR(INDEX(DATA_ASSET_CLASSIFICATION!$U$8:$U$24,MATCH($C30,DATA_ASSET_CLASSIFICATION!$A$8:$A$24,0)),"Review"))</f>
        <v>Portfolio</v>
      </c>
      <c r="O30" s="350" t="str">
        <f>IF($B30="Portfolio","Portfolio",IFERROR(INDEX(DATA_ASSET_CLASSIFICATION!$AB$8:$AB$13,MATCH($N30,DATA_ASSET_CLASSIFICATION!$AA$8:$AA$13,0)),"Review"))</f>
        <v>Portfolio</v>
      </c>
      <c r="P30" s="350" t="str">
        <f>IF($B30="Portfolio","Portfolio",IFERROR(INDEX(DATA_ASSET_CLASSIFICATION!$C$8:$C$24,MATCH($C30,DATA_ASSET_CLASSIFICATION!$A$8:$A$24,0)),"Review"))</f>
        <v>Portfolio</v>
      </c>
      <c r="Q30" s="350" t="str">
        <f t="shared" si="1"/>
        <v>OK</v>
      </c>
    </row>
    <row r="31" spans="1:17">
      <c r="A31" s="366" t="s">
        <v>1771</v>
      </c>
      <c r="B31" s="366" t="s">
        <v>1681</v>
      </c>
      <c r="C31" s="366" t="s">
        <v>1682</v>
      </c>
      <c r="D31" s="380">
        <f>'00_PORTFOLIO ROLLUP'!F$12</f>
        <v>2026</v>
      </c>
      <c r="E31" s="366" t="s">
        <v>1721</v>
      </c>
      <c r="F31" s="366" t="s">
        <v>31</v>
      </c>
      <c r="G31" s="366" t="s">
        <v>1772</v>
      </c>
      <c r="H31" s="381">
        <f>'00_PORTFOLIO ROLLUP'!F$61</f>
        <v>0</v>
      </c>
      <c r="I31" s="366" t="s">
        <v>1690</v>
      </c>
      <c r="J31" s="348" t="str">
        <f t="shared" si="0"/>
        <v>OK</v>
      </c>
      <c r="K31" s="366" t="s">
        <v>1723</v>
      </c>
      <c r="L31" s="366" t="s">
        <v>1724</v>
      </c>
      <c r="M31" s="350" t="str">
        <f>IF($B31="Portfolio","Portfolio",IFERROR(INDEX(DATA_ASSET_CLASSIFICATION!$B$8:$B$24,MATCH($C31,DATA_ASSET_CLASSIFICATION!$A$8:$A$24,0)),"Review"))</f>
        <v>Portfolio</v>
      </c>
      <c r="N31" s="350" t="str">
        <f>IF($B31="Portfolio","Portfolio",IFERROR(INDEX(DATA_ASSET_CLASSIFICATION!$U$8:$U$24,MATCH($C31,DATA_ASSET_CLASSIFICATION!$A$8:$A$24,0)),"Review"))</f>
        <v>Portfolio</v>
      </c>
      <c r="O31" s="350" t="str">
        <f>IF($B31="Portfolio","Portfolio",IFERROR(INDEX(DATA_ASSET_CLASSIFICATION!$AB$8:$AB$13,MATCH($N31,DATA_ASSET_CLASSIFICATION!$AA$8:$AA$13,0)),"Review"))</f>
        <v>Portfolio</v>
      </c>
      <c r="P31" s="350" t="str">
        <f>IF($B31="Portfolio","Portfolio",IFERROR(INDEX(DATA_ASSET_CLASSIFICATION!$C$8:$C$24,MATCH($C31,DATA_ASSET_CLASSIFICATION!$A$8:$A$24,0)),"Review"))</f>
        <v>Portfolio</v>
      </c>
      <c r="Q31" s="350" t="str">
        <f t="shared" si="1"/>
        <v>OK</v>
      </c>
    </row>
    <row r="32" spans="1:17">
      <c r="A32" s="366" t="s">
        <v>1773</v>
      </c>
      <c r="B32" s="366" t="s">
        <v>1681</v>
      </c>
      <c r="C32" s="366" t="s">
        <v>1682</v>
      </c>
      <c r="D32" s="380">
        <f>'00_PORTFOLIO ROLLUP'!F$12</f>
        <v>2026</v>
      </c>
      <c r="E32" s="366" t="s">
        <v>1721</v>
      </c>
      <c r="F32" s="366" t="s">
        <v>33</v>
      </c>
      <c r="G32" s="366" t="s">
        <v>1774</v>
      </c>
      <c r="H32" s="381">
        <f>'00_PORTFOLIO ROLLUP'!F$62</f>
        <v>0</v>
      </c>
      <c r="I32" s="366" t="s">
        <v>1685</v>
      </c>
      <c r="J32" s="348" t="str">
        <f t="shared" si="0"/>
        <v>OK</v>
      </c>
      <c r="K32" s="366" t="s">
        <v>1727</v>
      </c>
      <c r="L32" s="366" t="s">
        <v>1728</v>
      </c>
      <c r="M32" s="350" t="str">
        <f>IF($B32="Portfolio","Portfolio",IFERROR(INDEX(DATA_ASSET_CLASSIFICATION!$B$8:$B$24,MATCH($C32,DATA_ASSET_CLASSIFICATION!$A$8:$A$24,0)),"Review"))</f>
        <v>Portfolio</v>
      </c>
      <c r="N32" s="350" t="str">
        <f>IF($B32="Portfolio","Portfolio",IFERROR(INDEX(DATA_ASSET_CLASSIFICATION!$U$8:$U$24,MATCH($C32,DATA_ASSET_CLASSIFICATION!$A$8:$A$24,0)),"Review"))</f>
        <v>Portfolio</v>
      </c>
      <c r="O32" s="350" t="str">
        <f>IF($B32="Portfolio","Portfolio",IFERROR(INDEX(DATA_ASSET_CLASSIFICATION!$AB$8:$AB$13,MATCH($N32,DATA_ASSET_CLASSIFICATION!$AA$8:$AA$13,0)),"Review"))</f>
        <v>Portfolio</v>
      </c>
      <c r="P32" s="350" t="str">
        <f>IF($B32="Portfolio","Portfolio",IFERROR(INDEX(DATA_ASSET_CLASSIFICATION!$C$8:$C$24,MATCH($C32,DATA_ASSET_CLASSIFICATION!$A$8:$A$24,0)),"Review"))</f>
        <v>Portfolio</v>
      </c>
      <c r="Q32" s="350" t="str">
        <f t="shared" si="1"/>
        <v>OK</v>
      </c>
    </row>
    <row r="33" spans="1:17">
      <c r="A33" s="366" t="s">
        <v>1775</v>
      </c>
      <c r="B33" s="366" t="s">
        <v>1681</v>
      </c>
      <c r="C33" s="366" t="s">
        <v>1682</v>
      </c>
      <c r="D33" s="380">
        <f>'00_PORTFOLIO ROLLUP'!F$12</f>
        <v>2026</v>
      </c>
      <c r="E33" s="366" t="s">
        <v>1721</v>
      </c>
      <c r="F33" s="366" t="s">
        <v>35</v>
      </c>
      <c r="G33" s="366" t="s">
        <v>1776</v>
      </c>
      <c r="H33" s="381">
        <f>'00_PORTFOLIO ROLLUP'!F$63</f>
        <v>0</v>
      </c>
      <c r="I33" s="366" t="s">
        <v>1731</v>
      </c>
      <c r="J33" s="348" t="str">
        <f t="shared" si="0"/>
        <v>OK</v>
      </c>
      <c r="K33" s="366" t="s">
        <v>1732</v>
      </c>
      <c r="L33" s="366" t="s">
        <v>1733</v>
      </c>
      <c r="M33" s="350" t="str">
        <f>IF($B33="Portfolio","Portfolio",IFERROR(INDEX(DATA_ASSET_CLASSIFICATION!$B$8:$B$24,MATCH($C33,DATA_ASSET_CLASSIFICATION!$A$8:$A$24,0)),"Review"))</f>
        <v>Portfolio</v>
      </c>
      <c r="N33" s="350" t="str">
        <f>IF($B33="Portfolio","Portfolio",IFERROR(INDEX(DATA_ASSET_CLASSIFICATION!$U$8:$U$24,MATCH($C33,DATA_ASSET_CLASSIFICATION!$A$8:$A$24,0)),"Review"))</f>
        <v>Portfolio</v>
      </c>
      <c r="O33" s="350" t="str">
        <f>IF($B33="Portfolio","Portfolio",IFERROR(INDEX(DATA_ASSET_CLASSIFICATION!$AB$8:$AB$13,MATCH($N33,DATA_ASSET_CLASSIFICATION!$AA$8:$AA$13,0)),"Review"))</f>
        <v>Portfolio</v>
      </c>
      <c r="P33" s="350" t="str">
        <f>IF($B33="Portfolio","Portfolio",IFERROR(INDEX(DATA_ASSET_CLASSIFICATION!$C$8:$C$24,MATCH($C33,DATA_ASSET_CLASSIFICATION!$A$8:$A$24,0)),"Review"))</f>
        <v>Portfolio</v>
      </c>
      <c r="Q33" s="350" t="str">
        <f t="shared" si="1"/>
        <v>OK</v>
      </c>
    </row>
    <row r="34" spans="1:17">
      <c r="A34" s="366" t="s">
        <v>1777</v>
      </c>
      <c r="B34" s="366" t="s">
        <v>1681</v>
      </c>
      <c r="C34" s="366" t="s">
        <v>1682</v>
      </c>
      <c r="D34" s="380">
        <f>'00_PORTFOLIO ROLLUP'!F$12</f>
        <v>2026</v>
      </c>
      <c r="E34" s="366" t="s">
        <v>1721</v>
      </c>
      <c r="F34" s="366" t="s">
        <v>37</v>
      </c>
      <c r="G34" s="366" t="s">
        <v>1776</v>
      </c>
      <c r="H34" s="381">
        <f>MAX('00_PORTFOLIO ROLLUP'!F$63,0)</f>
        <v>0</v>
      </c>
      <c r="I34" s="366" t="s">
        <v>1685</v>
      </c>
      <c r="J34" s="348" t="str">
        <f t="shared" si="0"/>
        <v>OK</v>
      </c>
      <c r="K34" s="366" t="s">
        <v>1735</v>
      </c>
      <c r="L34" s="366" t="s">
        <v>1736</v>
      </c>
      <c r="M34" s="350" t="str">
        <f>IF($B34="Portfolio","Portfolio",IFERROR(INDEX(DATA_ASSET_CLASSIFICATION!$B$8:$B$24,MATCH($C34,DATA_ASSET_CLASSIFICATION!$A$8:$A$24,0)),"Review"))</f>
        <v>Portfolio</v>
      </c>
      <c r="N34" s="350" t="str">
        <f>IF($B34="Portfolio","Portfolio",IFERROR(INDEX(DATA_ASSET_CLASSIFICATION!$U$8:$U$24,MATCH($C34,DATA_ASSET_CLASSIFICATION!$A$8:$A$24,0)),"Review"))</f>
        <v>Portfolio</v>
      </c>
      <c r="O34" s="350" t="str">
        <f>IF($B34="Portfolio","Portfolio",IFERROR(INDEX(DATA_ASSET_CLASSIFICATION!$AB$8:$AB$13,MATCH($N34,DATA_ASSET_CLASSIFICATION!$AA$8:$AA$13,0)),"Review"))</f>
        <v>Portfolio</v>
      </c>
      <c r="P34" s="350" t="str">
        <f>IF($B34="Portfolio","Portfolio",IFERROR(INDEX(DATA_ASSET_CLASSIFICATION!$C$8:$C$24,MATCH($C34,DATA_ASSET_CLASSIFICATION!$A$8:$A$24,0)),"Review"))</f>
        <v>Portfolio</v>
      </c>
      <c r="Q34" s="350" t="str">
        <f t="shared" si="1"/>
        <v>OK</v>
      </c>
    </row>
    <row r="35" spans="1:17">
      <c r="A35" s="366" t="s">
        <v>1778</v>
      </c>
      <c r="B35" s="366" t="s">
        <v>1681</v>
      </c>
      <c r="C35" s="366" t="s">
        <v>1682</v>
      </c>
      <c r="D35" s="380">
        <f>'00_PORTFOLIO ROLLUP'!F$12</f>
        <v>2026</v>
      </c>
      <c r="E35" s="366" t="s">
        <v>1721</v>
      </c>
      <c r="F35" s="366" t="s">
        <v>39</v>
      </c>
      <c r="G35" s="366" t="s">
        <v>1776</v>
      </c>
      <c r="H35" s="381">
        <f>MAX(-'00_PORTFOLIO ROLLUP'!F$63,0)</f>
        <v>0</v>
      </c>
      <c r="I35" s="366" t="s">
        <v>1690</v>
      </c>
      <c r="J35" s="348" t="str">
        <f t="shared" si="0"/>
        <v>OK</v>
      </c>
      <c r="K35" s="366" t="s">
        <v>1738</v>
      </c>
      <c r="L35" s="366" t="s">
        <v>1739</v>
      </c>
      <c r="M35" s="350" t="str">
        <f>IF($B35="Portfolio","Portfolio",IFERROR(INDEX(DATA_ASSET_CLASSIFICATION!$B$8:$B$24,MATCH($C35,DATA_ASSET_CLASSIFICATION!$A$8:$A$24,0)),"Review"))</f>
        <v>Portfolio</v>
      </c>
      <c r="N35" s="350" t="str">
        <f>IF($B35="Portfolio","Portfolio",IFERROR(INDEX(DATA_ASSET_CLASSIFICATION!$U$8:$U$24,MATCH($C35,DATA_ASSET_CLASSIFICATION!$A$8:$A$24,0)),"Review"))</f>
        <v>Portfolio</v>
      </c>
      <c r="O35" s="350" t="str">
        <f>IF($B35="Portfolio","Portfolio",IFERROR(INDEX(DATA_ASSET_CLASSIFICATION!$AB$8:$AB$13,MATCH($N35,DATA_ASSET_CLASSIFICATION!$AA$8:$AA$13,0)),"Review"))</f>
        <v>Portfolio</v>
      </c>
      <c r="P35" s="350" t="str">
        <f>IF($B35="Portfolio","Portfolio",IFERROR(INDEX(DATA_ASSET_CLASSIFICATION!$C$8:$C$24,MATCH($C35,DATA_ASSET_CLASSIFICATION!$A$8:$A$24,0)),"Review"))</f>
        <v>Portfolio</v>
      </c>
      <c r="Q35" s="350" t="str">
        <f t="shared" si="1"/>
        <v>OK</v>
      </c>
    </row>
    <row r="36" spans="1:17">
      <c r="A36" s="366" t="s">
        <v>1779</v>
      </c>
      <c r="B36" s="366" t="s">
        <v>1681</v>
      </c>
      <c r="C36" s="366" t="s">
        <v>1682</v>
      </c>
      <c r="D36" s="380">
        <f>'00_PORTFOLIO ROLLUP'!F$12</f>
        <v>2026</v>
      </c>
      <c r="E36" s="366" t="s">
        <v>1741</v>
      </c>
      <c r="F36" s="366" t="s">
        <v>41</v>
      </c>
      <c r="H36" s="381">
        <f>'00_PORTFOLIO ROLLUP'!F$56+MAX('00_PORTFOLIO ROLLUP'!F$63,0)</f>
        <v>-11641377.929000389</v>
      </c>
      <c r="I36" s="366" t="s">
        <v>1685</v>
      </c>
      <c r="J36" s="348" t="str">
        <f t="shared" si="0"/>
        <v>OK</v>
      </c>
      <c r="K36" s="366" t="s">
        <v>1742</v>
      </c>
      <c r="L36" s="366" t="s">
        <v>1743</v>
      </c>
      <c r="M36" s="350" t="str">
        <f>IF($B36="Portfolio","Portfolio",IFERROR(INDEX(DATA_ASSET_CLASSIFICATION!$B$8:$B$24,MATCH($C36,DATA_ASSET_CLASSIFICATION!$A$8:$A$24,0)),"Review"))</f>
        <v>Portfolio</v>
      </c>
      <c r="N36" s="350" t="str">
        <f>IF($B36="Portfolio","Portfolio",IFERROR(INDEX(DATA_ASSET_CLASSIFICATION!$U$8:$U$24,MATCH($C36,DATA_ASSET_CLASSIFICATION!$A$8:$A$24,0)),"Review"))</f>
        <v>Portfolio</v>
      </c>
      <c r="O36" s="350" t="str">
        <f>IF($B36="Portfolio","Portfolio",IFERROR(INDEX(DATA_ASSET_CLASSIFICATION!$AB$8:$AB$13,MATCH($N36,DATA_ASSET_CLASSIFICATION!$AA$8:$AA$13,0)),"Review"))</f>
        <v>Portfolio</v>
      </c>
      <c r="P36" s="350" t="str">
        <f>IF($B36="Portfolio","Portfolio",IFERROR(INDEX(DATA_ASSET_CLASSIFICATION!$C$8:$C$24,MATCH($C36,DATA_ASSET_CLASSIFICATION!$A$8:$A$24,0)),"Review"))</f>
        <v>Portfolio</v>
      </c>
      <c r="Q36" s="350" t="str">
        <f t="shared" si="1"/>
        <v>OK</v>
      </c>
    </row>
    <row r="37" spans="1:17">
      <c r="A37" s="366" t="s">
        <v>1780</v>
      </c>
      <c r="B37" s="366" t="s">
        <v>1681</v>
      </c>
      <c r="C37" s="366" t="s">
        <v>1682</v>
      </c>
      <c r="D37" s="380">
        <f>'00_PORTFOLIO ROLLUP'!F$12</f>
        <v>2026</v>
      </c>
      <c r="E37" s="366" t="s">
        <v>1741</v>
      </c>
      <c r="F37" s="366" t="s">
        <v>43</v>
      </c>
      <c r="G37" s="366" t="s">
        <v>1781</v>
      </c>
      <c r="H37" s="381">
        <f>'00_PORTFOLIO ROLLUP'!F$68</f>
        <v>-11641377.929000389</v>
      </c>
      <c r="I37" s="366" t="s">
        <v>1731</v>
      </c>
      <c r="J37" s="348" t="str">
        <f t="shared" si="0"/>
        <v>OK</v>
      </c>
      <c r="K37" s="366" t="s">
        <v>1746</v>
      </c>
      <c r="L37" s="366" t="s">
        <v>1747</v>
      </c>
      <c r="M37" s="350" t="str">
        <f>IF($B37="Portfolio","Portfolio",IFERROR(INDEX(DATA_ASSET_CLASSIFICATION!$B$8:$B$24,MATCH($C37,DATA_ASSET_CLASSIFICATION!$A$8:$A$24,0)),"Review"))</f>
        <v>Portfolio</v>
      </c>
      <c r="N37" s="350" t="str">
        <f>IF($B37="Portfolio","Portfolio",IFERROR(INDEX(DATA_ASSET_CLASSIFICATION!$U$8:$U$24,MATCH($C37,DATA_ASSET_CLASSIFICATION!$A$8:$A$24,0)),"Review"))</f>
        <v>Portfolio</v>
      </c>
      <c r="O37" s="350" t="str">
        <f>IF($B37="Portfolio","Portfolio",IFERROR(INDEX(DATA_ASSET_CLASSIFICATION!$AB$8:$AB$13,MATCH($N37,DATA_ASSET_CLASSIFICATION!$AA$8:$AA$13,0)),"Review"))</f>
        <v>Portfolio</v>
      </c>
      <c r="P37" s="350" t="str">
        <f>IF($B37="Portfolio","Portfolio",IFERROR(INDEX(DATA_ASSET_CLASSIFICATION!$C$8:$C$24,MATCH($C37,DATA_ASSET_CLASSIFICATION!$A$8:$A$24,0)),"Review"))</f>
        <v>Portfolio</v>
      </c>
      <c r="Q37" s="350" t="str">
        <f t="shared" si="1"/>
        <v>OK</v>
      </c>
    </row>
    <row r="38" spans="1:17">
      <c r="A38" s="366" t="s">
        <v>1782</v>
      </c>
      <c r="B38" s="366" t="s">
        <v>1681</v>
      </c>
      <c r="C38" s="366" t="s">
        <v>1682</v>
      </c>
      <c r="D38" s="380">
        <f>'00_PORTFOLIO ROLLUP'!F$12</f>
        <v>2026</v>
      </c>
      <c r="E38" s="366" t="s">
        <v>1741</v>
      </c>
      <c r="F38" s="366" t="s">
        <v>1749</v>
      </c>
      <c r="H38" s="381">
        <f>('00_PORTFOLIO ROLLUP'!F$56+MAX('00_PORTFOLIO ROLLUP'!F$63,0))-'00_PORTFOLIO ROLLUP'!F$68</f>
        <v>0</v>
      </c>
      <c r="I38" s="366" t="s">
        <v>1750</v>
      </c>
      <c r="J38" s="348" t="str">
        <f t="shared" si="0"/>
        <v>OK</v>
      </c>
      <c r="K38" s="366" t="s">
        <v>1751</v>
      </c>
      <c r="L38" s="366" t="s">
        <v>1752</v>
      </c>
      <c r="M38" s="350" t="str">
        <f>IF($B38="Portfolio","Portfolio",IFERROR(INDEX(DATA_ASSET_CLASSIFICATION!$B$8:$B$24,MATCH($C38,DATA_ASSET_CLASSIFICATION!$A$8:$A$24,0)),"Review"))</f>
        <v>Portfolio</v>
      </c>
      <c r="N38" s="350" t="str">
        <f>IF($B38="Portfolio","Portfolio",IFERROR(INDEX(DATA_ASSET_CLASSIFICATION!$U$8:$U$24,MATCH($C38,DATA_ASSET_CLASSIFICATION!$A$8:$A$24,0)),"Review"))</f>
        <v>Portfolio</v>
      </c>
      <c r="O38" s="350" t="str">
        <f>IF($B38="Portfolio","Portfolio",IFERROR(INDEX(DATA_ASSET_CLASSIFICATION!$AB$8:$AB$13,MATCH($N38,DATA_ASSET_CLASSIFICATION!$AA$8:$AA$13,0)),"Review"))</f>
        <v>Portfolio</v>
      </c>
      <c r="P38" s="350" t="str">
        <f>IF($B38="Portfolio","Portfolio",IFERROR(INDEX(DATA_ASSET_CLASSIFICATION!$C$8:$C$24,MATCH($C38,DATA_ASSET_CLASSIFICATION!$A$8:$A$24,0)),"Review"))</f>
        <v>Portfolio</v>
      </c>
      <c r="Q38" s="350" t="str">
        <f t="shared" si="1"/>
        <v>OK</v>
      </c>
    </row>
    <row r="39" spans="1:17">
      <c r="A39" s="366" t="s">
        <v>1783</v>
      </c>
      <c r="B39" s="366" t="s">
        <v>1681</v>
      </c>
      <c r="C39" s="366" t="s">
        <v>1682</v>
      </c>
      <c r="D39" s="380">
        <f>'00_PORTFOLIO ROLLUP'!G$12</f>
        <v>2027</v>
      </c>
      <c r="E39" s="366" t="s">
        <v>1683</v>
      </c>
      <c r="F39" s="366" t="s">
        <v>341</v>
      </c>
      <c r="G39" s="366" t="s">
        <v>1784</v>
      </c>
      <c r="H39" s="381">
        <f>'00_PORTFOLIO ROLLUP'!G$24</f>
        <v>12543508.241225326</v>
      </c>
      <c r="I39" s="366" t="s">
        <v>1685</v>
      </c>
      <c r="J39" s="348" t="str">
        <f t="shared" si="0"/>
        <v>OK</v>
      </c>
      <c r="K39" s="366" t="s">
        <v>1686</v>
      </c>
      <c r="L39" s="366" t="s">
        <v>1687</v>
      </c>
      <c r="M39" s="350" t="str">
        <f>IF($B39="Portfolio","Portfolio",IFERROR(INDEX(DATA_ASSET_CLASSIFICATION!$B$8:$B$24,MATCH($C39,DATA_ASSET_CLASSIFICATION!$A$8:$A$24,0)),"Review"))</f>
        <v>Portfolio</v>
      </c>
      <c r="N39" s="350" t="str">
        <f>IF($B39="Portfolio","Portfolio",IFERROR(INDEX(DATA_ASSET_CLASSIFICATION!$U$8:$U$24,MATCH($C39,DATA_ASSET_CLASSIFICATION!$A$8:$A$24,0)),"Review"))</f>
        <v>Portfolio</v>
      </c>
      <c r="O39" s="350" t="str">
        <f>IF($B39="Portfolio","Portfolio",IFERROR(INDEX(DATA_ASSET_CLASSIFICATION!$AB$8:$AB$13,MATCH($N39,DATA_ASSET_CLASSIFICATION!$AA$8:$AA$13,0)),"Review"))</f>
        <v>Portfolio</v>
      </c>
      <c r="P39" s="350" t="str">
        <f>IF($B39="Portfolio","Portfolio",IFERROR(INDEX(DATA_ASSET_CLASSIFICATION!$C$8:$C$24,MATCH($C39,DATA_ASSET_CLASSIFICATION!$A$8:$A$24,0)),"Review"))</f>
        <v>Portfolio</v>
      </c>
      <c r="Q39" s="350" t="str">
        <f t="shared" si="1"/>
        <v>OK</v>
      </c>
    </row>
    <row r="40" spans="1:17">
      <c r="A40" s="366" t="s">
        <v>1785</v>
      </c>
      <c r="B40" s="366" t="s">
        <v>1681</v>
      </c>
      <c r="C40" s="366" t="s">
        <v>1682</v>
      </c>
      <c r="D40" s="380">
        <f>'00_PORTFOLIO ROLLUP'!G$12</f>
        <v>2027</v>
      </c>
      <c r="E40" s="366" t="s">
        <v>1683</v>
      </c>
      <c r="F40" s="366" t="s">
        <v>355</v>
      </c>
      <c r="G40" s="366" t="s">
        <v>1786</v>
      </c>
      <c r="H40" s="381">
        <f>'00_PORTFOLIO ROLLUP'!G$39</f>
        <v>3575754.4576000003</v>
      </c>
      <c r="I40" s="366" t="s">
        <v>1690</v>
      </c>
      <c r="J40" s="348" t="str">
        <f t="shared" si="0"/>
        <v>OK</v>
      </c>
      <c r="K40" s="366" t="s">
        <v>1686</v>
      </c>
      <c r="L40" s="366" t="s">
        <v>1691</v>
      </c>
      <c r="M40" s="350" t="str">
        <f>IF($B40="Portfolio","Portfolio",IFERROR(INDEX(DATA_ASSET_CLASSIFICATION!$B$8:$B$24,MATCH($C40,DATA_ASSET_CLASSIFICATION!$A$8:$A$24,0)),"Review"))</f>
        <v>Portfolio</v>
      </c>
      <c r="N40" s="350" t="str">
        <f>IF($B40="Portfolio","Portfolio",IFERROR(INDEX(DATA_ASSET_CLASSIFICATION!$U$8:$U$24,MATCH($C40,DATA_ASSET_CLASSIFICATION!$A$8:$A$24,0)),"Review"))</f>
        <v>Portfolio</v>
      </c>
      <c r="O40" s="350" t="str">
        <f>IF($B40="Portfolio","Portfolio",IFERROR(INDEX(DATA_ASSET_CLASSIFICATION!$AB$8:$AB$13,MATCH($N40,DATA_ASSET_CLASSIFICATION!$AA$8:$AA$13,0)),"Review"))</f>
        <v>Portfolio</v>
      </c>
      <c r="P40" s="350" t="str">
        <f>IF($B40="Portfolio","Portfolio",IFERROR(INDEX(DATA_ASSET_CLASSIFICATION!$C$8:$C$24,MATCH($C40,DATA_ASSET_CLASSIFICATION!$A$8:$A$24,0)),"Review"))</f>
        <v>Portfolio</v>
      </c>
      <c r="Q40" s="350" t="str">
        <f t="shared" si="1"/>
        <v>OK</v>
      </c>
    </row>
    <row r="41" spans="1:17">
      <c r="A41" s="366" t="s">
        <v>1787</v>
      </c>
      <c r="B41" s="366" t="s">
        <v>1681</v>
      </c>
      <c r="C41" s="366" t="s">
        <v>1682</v>
      </c>
      <c r="D41" s="380">
        <f>'00_PORTFOLIO ROLLUP'!G$12</f>
        <v>2027</v>
      </c>
      <c r="E41" s="366" t="s">
        <v>1683</v>
      </c>
      <c r="F41" s="366" t="s">
        <v>19</v>
      </c>
      <c r="G41" s="366" t="s">
        <v>1788</v>
      </c>
      <c r="H41" s="381">
        <f>'00_PORTFOLIO ROLLUP'!G$41</f>
        <v>8967753.7836253271</v>
      </c>
      <c r="I41" s="366" t="s">
        <v>1685</v>
      </c>
      <c r="J41" s="348" t="str">
        <f t="shared" si="0"/>
        <v>OK</v>
      </c>
      <c r="K41" s="366" t="s">
        <v>1694</v>
      </c>
      <c r="L41" s="366" t="s">
        <v>1695</v>
      </c>
      <c r="M41" s="350" t="str">
        <f>IF($B41="Portfolio","Portfolio",IFERROR(INDEX(DATA_ASSET_CLASSIFICATION!$B$8:$B$24,MATCH($C41,DATA_ASSET_CLASSIFICATION!$A$8:$A$24,0)),"Review"))</f>
        <v>Portfolio</v>
      </c>
      <c r="N41" s="350" t="str">
        <f>IF($B41="Portfolio","Portfolio",IFERROR(INDEX(DATA_ASSET_CLASSIFICATION!$U$8:$U$24,MATCH($C41,DATA_ASSET_CLASSIFICATION!$A$8:$A$24,0)),"Review"))</f>
        <v>Portfolio</v>
      </c>
      <c r="O41" s="350" t="str">
        <f>IF($B41="Portfolio","Portfolio",IFERROR(INDEX(DATA_ASSET_CLASSIFICATION!$AB$8:$AB$13,MATCH($N41,DATA_ASSET_CLASSIFICATION!$AA$8:$AA$13,0)),"Review"))</f>
        <v>Portfolio</v>
      </c>
      <c r="P41" s="350" t="str">
        <f>IF($B41="Portfolio","Portfolio",IFERROR(INDEX(DATA_ASSET_CLASSIFICATION!$C$8:$C$24,MATCH($C41,DATA_ASSET_CLASSIFICATION!$A$8:$A$24,0)),"Review"))</f>
        <v>Portfolio</v>
      </c>
      <c r="Q41" s="350" t="str">
        <f t="shared" si="1"/>
        <v>OK</v>
      </c>
    </row>
    <row r="42" spans="1:17">
      <c r="A42" s="366" t="s">
        <v>1789</v>
      </c>
      <c r="B42" s="366" t="s">
        <v>1681</v>
      </c>
      <c r="C42" s="366" t="s">
        <v>1682</v>
      </c>
      <c r="D42" s="380">
        <f>'00_PORTFOLIO ROLLUP'!G$12</f>
        <v>2027</v>
      </c>
      <c r="E42" s="366" t="s">
        <v>1683</v>
      </c>
      <c r="F42" s="366" t="s">
        <v>1697</v>
      </c>
      <c r="G42" s="366" t="s">
        <v>1790</v>
      </c>
      <c r="H42" s="381">
        <f>'00_PORTFOLIO ROLLUP'!G$44</f>
        <v>124067.70000000001</v>
      </c>
      <c r="I42" s="366" t="s">
        <v>1690</v>
      </c>
      <c r="J42" s="348" t="str">
        <f t="shared" si="0"/>
        <v>OK</v>
      </c>
      <c r="K42" s="366" t="s">
        <v>1699</v>
      </c>
      <c r="L42" s="366" t="s">
        <v>1700</v>
      </c>
      <c r="M42" s="350" t="str">
        <f>IF($B42="Portfolio","Portfolio",IFERROR(INDEX(DATA_ASSET_CLASSIFICATION!$B$8:$B$24,MATCH($C42,DATA_ASSET_CLASSIFICATION!$A$8:$A$24,0)),"Review"))</f>
        <v>Portfolio</v>
      </c>
      <c r="N42" s="350" t="str">
        <f>IF($B42="Portfolio","Portfolio",IFERROR(INDEX(DATA_ASSET_CLASSIFICATION!$U$8:$U$24,MATCH($C42,DATA_ASSET_CLASSIFICATION!$A$8:$A$24,0)),"Review"))</f>
        <v>Portfolio</v>
      </c>
      <c r="O42" s="350" t="str">
        <f>IF($B42="Portfolio","Portfolio",IFERROR(INDEX(DATA_ASSET_CLASSIFICATION!$AB$8:$AB$13,MATCH($N42,DATA_ASSET_CLASSIFICATION!$AA$8:$AA$13,0)),"Review"))</f>
        <v>Portfolio</v>
      </c>
      <c r="P42" s="350" t="str">
        <f>IF($B42="Portfolio","Portfolio",IFERROR(INDEX(DATA_ASSET_CLASSIFICATION!$C$8:$C$24,MATCH($C42,DATA_ASSET_CLASSIFICATION!$A$8:$A$24,0)),"Review"))</f>
        <v>Portfolio</v>
      </c>
      <c r="Q42" s="350" t="str">
        <f t="shared" si="1"/>
        <v>OK</v>
      </c>
    </row>
    <row r="43" spans="1:17">
      <c r="A43" s="366" t="s">
        <v>1791</v>
      </c>
      <c r="B43" s="366" t="s">
        <v>1681</v>
      </c>
      <c r="C43" s="366" t="s">
        <v>1682</v>
      </c>
      <c r="D43" s="380">
        <f>'00_PORTFOLIO ROLLUP'!G$12</f>
        <v>2027</v>
      </c>
      <c r="E43" s="366" t="s">
        <v>1683</v>
      </c>
      <c r="F43" s="366" t="s">
        <v>21</v>
      </c>
      <c r="G43" s="366" t="s">
        <v>1792</v>
      </c>
      <c r="H43" s="381">
        <f>'00_PORTFOLIO ROLLUP'!G$45</f>
        <v>8843686.0836253278</v>
      </c>
      <c r="I43" s="366" t="s">
        <v>1685</v>
      </c>
      <c r="J43" s="348" t="str">
        <f t="shared" si="0"/>
        <v>OK</v>
      </c>
      <c r="K43" s="366" t="s">
        <v>1694</v>
      </c>
      <c r="L43" s="366" t="s">
        <v>1703</v>
      </c>
      <c r="M43" s="350" t="str">
        <f>IF($B43="Portfolio","Portfolio",IFERROR(INDEX(DATA_ASSET_CLASSIFICATION!$B$8:$B$24,MATCH($C43,DATA_ASSET_CLASSIFICATION!$A$8:$A$24,0)),"Review"))</f>
        <v>Portfolio</v>
      </c>
      <c r="N43" s="350" t="str">
        <f>IF($B43="Portfolio","Portfolio",IFERROR(INDEX(DATA_ASSET_CLASSIFICATION!$U$8:$U$24,MATCH($C43,DATA_ASSET_CLASSIFICATION!$A$8:$A$24,0)),"Review"))</f>
        <v>Portfolio</v>
      </c>
      <c r="O43" s="350" t="str">
        <f>IF($B43="Portfolio","Portfolio",IFERROR(INDEX(DATA_ASSET_CLASSIFICATION!$AB$8:$AB$13,MATCH($N43,DATA_ASSET_CLASSIFICATION!$AA$8:$AA$13,0)),"Review"))</f>
        <v>Portfolio</v>
      </c>
      <c r="P43" s="350" t="str">
        <f>IF($B43="Portfolio","Portfolio",IFERROR(INDEX(DATA_ASSET_CLASSIFICATION!$C$8:$C$24,MATCH($C43,DATA_ASSET_CLASSIFICATION!$A$8:$A$24,0)),"Review"))</f>
        <v>Portfolio</v>
      </c>
      <c r="Q43" s="350" t="str">
        <f t="shared" si="1"/>
        <v>OK</v>
      </c>
    </row>
    <row r="44" spans="1:17">
      <c r="A44" s="366" t="s">
        <v>1793</v>
      </c>
      <c r="B44" s="366" t="s">
        <v>1681</v>
      </c>
      <c r="C44" s="366" t="s">
        <v>1682</v>
      </c>
      <c r="D44" s="380">
        <f>'00_PORTFOLIO ROLLUP'!G$12</f>
        <v>2027</v>
      </c>
      <c r="E44" s="366" t="s">
        <v>23</v>
      </c>
      <c r="F44" s="366" t="s">
        <v>23</v>
      </c>
      <c r="G44" s="366" t="s">
        <v>1794</v>
      </c>
      <c r="H44" s="381">
        <f>'00_PORTFOLIO ROLLUP'!G$48</f>
        <v>14972480.078304525</v>
      </c>
      <c r="I44" s="366" t="s">
        <v>1690</v>
      </c>
      <c r="J44" s="348" t="str">
        <f t="shared" si="0"/>
        <v>OK</v>
      </c>
      <c r="K44" s="366" t="s">
        <v>1706</v>
      </c>
      <c r="L44" s="366" t="s">
        <v>1707</v>
      </c>
      <c r="M44" s="350" t="str">
        <f>IF($B44="Portfolio","Portfolio",IFERROR(INDEX(DATA_ASSET_CLASSIFICATION!$B$8:$B$24,MATCH($C44,DATA_ASSET_CLASSIFICATION!$A$8:$A$24,0)),"Review"))</f>
        <v>Portfolio</v>
      </c>
      <c r="N44" s="350" t="str">
        <f>IF($B44="Portfolio","Portfolio",IFERROR(INDEX(DATA_ASSET_CLASSIFICATION!$U$8:$U$24,MATCH($C44,DATA_ASSET_CLASSIFICATION!$A$8:$A$24,0)),"Review"))</f>
        <v>Portfolio</v>
      </c>
      <c r="O44" s="350" t="str">
        <f>IF($B44="Portfolio","Portfolio",IFERROR(INDEX(DATA_ASSET_CLASSIFICATION!$AB$8:$AB$13,MATCH($N44,DATA_ASSET_CLASSIFICATION!$AA$8:$AA$13,0)),"Review"))</f>
        <v>Portfolio</v>
      </c>
      <c r="P44" s="350" t="str">
        <f>IF($B44="Portfolio","Portfolio",IFERROR(INDEX(DATA_ASSET_CLASSIFICATION!$C$8:$C$24,MATCH($C44,DATA_ASSET_CLASSIFICATION!$A$8:$A$24,0)),"Review"))</f>
        <v>Portfolio</v>
      </c>
      <c r="Q44" s="350" t="str">
        <f t="shared" si="1"/>
        <v>OK</v>
      </c>
    </row>
    <row r="45" spans="1:17">
      <c r="A45" s="366" t="s">
        <v>1795</v>
      </c>
      <c r="B45" s="366" t="s">
        <v>1681</v>
      </c>
      <c r="C45" s="366" t="s">
        <v>1682</v>
      </c>
      <c r="D45" s="380">
        <f>'00_PORTFOLIO ROLLUP'!G$12</f>
        <v>2027</v>
      </c>
      <c r="E45" s="366" t="s">
        <v>1683</v>
      </c>
      <c r="F45" s="366" t="s">
        <v>25</v>
      </c>
      <c r="G45" s="366" t="s">
        <v>1796</v>
      </c>
      <c r="H45" s="381">
        <f>'00_PORTFOLIO ROLLUP'!G$52</f>
        <v>-6004726.2946791984</v>
      </c>
      <c r="I45" s="366" t="s">
        <v>1685</v>
      </c>
      <c r="J45" s="348" t="str">
        <f t="shared" si="0"/>
        <v>OK</v>
      </c>
      <c r="K45" s="366" t="s">
        <v>1710</v>
      </c>
      <c r="L45" s="366" t="s">
        <v>1711</v>
      </c>
      <c r="M45" s="350" t="str">
        <f>IF($B45="Portfolio","Portfolio",IFERROR(INDEX(DATA_ASSET_CLASSIFICATION!$B$8:$B$24,MATCH($C45,DATA_ASSET_CLASSIFICATION!$A$8:$A$24,0)),"Review"))</f>
        <v>Portfolio</v>
      </c>
      <c r="N45" s="350" t="str">
        <f>IF($B45="Portfolio","Portfolio",IFERROR(INDEX(DATA_ASSET_CLASSIFICATION!$U$8:$U$24,MATCH($C45,DATA_ASSET_CLASSIFICATION!$A$8:$A$24,0)),"Review"))</f>
        <v>Portfolio</v>
      </c>
      <c r="O45" s="350" t="str">
        <f>IF($B45="Portfolio","Portfolio",IFERROR(INDEX(DATA_ASSET_CLASSIFICATION!$AB$8:$AB$13,MATCH($N45,DATA_ASSET_CLASSIFICATION!$AA$8:$AA$13,0)),"Review"))</f>
        <v>Portfolio</v>
      </c>
      <c r="P45" s="350" t="str">
        <f>IF($B45="Portfolio","Portfolio",IFERROR(INDEX(DATA_ASSET_CLASSIFICATION!$C$8:$C$24,MATCH($C45,DATA_ASSET_CLASSIFICATION!$A$8:$A$24,0)),"Review"))</f>
        <v>Portfolio</v>
      </c>
      <c r="Q45" s="350" t="str">
        <f t="shared" si="1"/>
        <v>OK</v>
      </c>
    </row>
    <row r="46" spans="1:17">
      <c r="A46" s="366" t="s">
        <v>1797</v>
      </c>
      <c r="B46" s="366" t="s">
        <v>1681</v>
      </c>
      <c r="C46" s="366" t="s">
        <v>1682</v>
      </c>
      <c r="D46" s="380">
        <f>'00_PORTFOLIO ROLLUP'!G$12</f>
        <v>2027</v>
      </c>
      <c r="E46" s="366" t="s">
        <v>1683</v>
      </c>
      <c r="F46" s="366" t="s">
        <v>27</v>
      </c>
      <c r="G46" s="366" t="s">
        <v>1798</v>
      </c>
      <c r="H46" s="381">
        <f>'00_PORTFOLIO ROLLUP'!G$54</f>
        <v>0</v>
      </c>
      <c r="I46" s="366" t="s">
        <v>1690</v>
      </c>
      <c r="J46" s="348" t="str">
        <f t="shared" si="0"/>
        <v>OK</v>
      </c>
      <c r="K46" s="366" t="s">
        <v>1714</v>
      </c>
      <c r="L46" s="366" t="s">
        <v>1715</v>
      </c>
      <c r="M46" s="350" t="str">
        <f>IF($B46="Portfolio","Portfolio",IFERROR(INDEX(DATA_ASSET_CLASSIFICATION!$B$8:$B$24,MATCH($C46,DATA_ASSET_CLASSIFICATION!$A$8:$A$24,0)),"Review"))</f>
        <v>Portfolio</v>
      </c>
      <c r="N46" s="350" t="str">
        <f>IF($B46="Portfolio","Portfolio",IFERROR(INDEX(DATA_ASSET_CLASSIFICATION!$U$8:$U$24,MATCH($C46,DATA_ASSET_CLASSIFICATION!$A$8:$A$24,0)),"Review"))</f>
        <v>Portfolio</v>
      </c>
      <c r="O46" s="350" t="str">
        <f>IF($B46="Portfolio","Portfolio",IFERROR(INDEX(DATA_ASSET_CLASSIFICATION!$AB$8:$AB$13,MATCH($N46,DATA_ASSET_CLASSIFICATION!$AA$8:$AA$13,0)),"Review"))</f>
        <v>Portfolio</v>
      </c>
      <c r="P46" s="350" t="str">
        <f>IF($B46="Portfolio","Portfolio",IFERROR(INDEX(DATA_ASSET_CLASSIFICATION!$C$8:$C$24,MATCH($C46,DATA_ASSET_CLASSIFICATION!$A$8:$A$24,0)),"Review"))</f>
        <v>Portfolio</v>
      </c>
      <c r="Q46" s="350" t="str">
        <f t="shared" si="1"/>
        <v>OK</v>
      </c>
    </row>
    <row r="47" spans="1:17">
      <c r="A47" s="366" t="s">
        <v>1799</v>
      </c>
      <c r="B47" s="366" t="s">
        <v>1681</v>
      </c>
      <c r="C47" s="366" t="s">
        <v>1682</v>
      </c>
      <c r="D47" s="380">
        <f>'00_PORTFOLIO ROLLUP'!G$12</f>
        <v>2027</v>
      </c>
      <c r="E47" s="366" t="s">
        <v>1683</v>
      </c>
      <c r="F47" s="366" t="s">
        <v>29</v>
      </c>
      <c r="G47" s="366" t="s">
        <v>1800</v>
      </c>
      <c r="H47" s="381">
        <f>'00_PORTFOLIO ROLLUP'!G$56</f>
        <v>-6004726.2946791984</v>
      </c>
      <c r="I47" s="366" t="s">
        <v>1685</v>
      </c>
      <c r="J47" s="348" t="str">
        <f t="shared" si="0"/>
        <v>OK</v>
      </c>
      <c r="K47" s="366" t="s">
        <v>1718</v>
      </c>
      <c r="L47" s="366" t="s">
        <v>1719</v>
      </c>
      <c r="M47" s="350" t="str">
        <f>IF($B47="Portfolio","Portfolio",IFERROR(INDEX(DATA_ASSET_CLASSIFICATION!$B$8:$B$24,MATCH($C47,DATA_ASSET_CLASSIFICATION!$A$8:$A$24,0)),"Review"))</f>
        <v>Portfolio</v>
      </c>
      <c r="N47" s="350" t="str">
        <f>IF($B47="Portfolio","Portfolio",IFERROR(INDEX(DATA_ASSET_CLASSIFICATION!$U$8:$U$24,MATCH($C47,DATA_ASSET_CLASSIFICATION!$A$8:$A$24,0)),"Review"))</f>
        <v>Portfolio</v>
      </c>
      <c r="O47" s="350" t="str">
        <f>IF($B47="Portfolio","Portfolio",IFERROR(INDEX(DATA_ASSET_CLASSIFICATION!$AB$8:$AB$13,MATCH($N47,DATA_ASSET_CLASSIFICATION!$AA$8:$AA$13,0)),"Review"))</f>
        <v>Portfolio</v>
      </c>
      <c r="P47" s="350" t="str">
        <f>IF($B47="Portfolio","Portfolio",IFERROR(INDEX(DATA_ASSET_CLASSIFICATION!$C$8:$C$24,MATCH($C47,DATA_ASSET_CLASSIFICATION!$A$8:$A$24,0)),"Review"))</f>
        <v>Portfolio</v>
      </c>
      <c r="Q47" s="350" t="str">
        <f t="shared" si="1"/>
        <v>OK</v>
      </c>
    </row>
    <row r="48" spans="1:17">
      <c r="A48" s="366" t="s">
        <v>1801</v>
      </c>
      <c r="B48" s="366" t="s">
        <v>1681</v>
      </c>
      <c r="C48" s="366" t="s">
        <v>1682</v>
      </c>
      <c r="D48" s="380">
        <f>'00_PORTFOLIO ROLLUP'!G$12</f>
        <v>2027</v>
      </c>
      <c r="E48" s="366" t="s">
        <v>1721</v>
      </c>
      <c r="F48" s="366" t="s">
        <v>31</v>
      </c>
      <c r="G48" s="366" t="s">
        <v>1802</v>
      </c>
      <c r="H48" s="381">
        <f>'00_PORTFOLIO ROLLUP'!G$61</f>
        <v>-129111359.44755185</v>
      </c>
      <c r="I48" s="366" t="s">
        <v>1690</v>
      </c>
      <c r="J48" s="348" t="str">
        <f t="shared" si="0"/>
        <v>OK</v>
      </c>
      <c r="K48" s="366" t="s">
        <v>1723</v>
      </c>
      <c r="L48" s="366" t="s">
        <v>1724</v>
      </c>
      <c r="M48" s="350" t="str">
        <f>IF($B48="Portfolio","Portfolio",IFERROR(INDEX(DATA_ASSET_CLASSIFICATION!$B$8:$B$24,MATCH($C48,DATA_ASSET_CLASSIFICATION!$A$8:$A$24,0)),"Review"))</f>
        <v>Portfolio</v>
      </c>
      <c r="N48" s="350" t="str">
        <f>IF($B48="Portfolio","Portfolio",IFERROR(INDEX(DATA_ASSET_CLASSIFICATION!$U$8:$U$24,MATCH($C48,DATA_ASSET_CLASSIFICATION!$A$8:$A$24,0)),"Review"))</f>
        <v>Portfolio</v>
      </c>
      <c r="O48" s="350" t="str">
        <f>IF($B48="Portfolio","Portfolio",IFERROR(INDEX(DATA_ASSET_CLASSIFICATION!$AB$8:$AB$13,MATCH($N48,DATA_ASSET_CLASSIFICATION!$AA$8:$AA$13,0)),"Review"))</f>
        <v>Portfolio</v>
      </c>
      <c r="P48" s="350" t="str">
        <f>IF($B48="Portfolio","Portfolio",IFERROR(INDEX(DATA_ASSET_CLASSIFICATION!$C$8:$C$24,MATCH($C48,DATA_ASSET_CLASSIFICATION!$A$8:$A$24,0)),"Review"))</f>
        <v>Portfolio</v>
      </c>
      <c r="Q48" s="350" t="str">
        <f t="shared" si="1"/>
        <v>OK</v>
      </c>
    </row>
    <row r="49" spans="1:17">
      <c r="A49" s="366" t="s">
        <v>1803</v>
      </c>
      <c r="B49" s="366" t="s">
        <v>1681</v>
      </c>
      <c r="C49" s="366" t="s">
        <v>1682</v>
      </c>
      <c r="D49" s="380">
        <f>'00_PORTFOLIO ROLLUP'!G$12</f>
        <v>2027</v>
      </c>
      <c r="E49" s="366" t="s">
        <v>1721</v>
      </c>
      <c r="F49" s="366" t="s">
        <v>33</v>
      </c>
      <c r="G49" s="366" t="s">
        <v>1804</v>
      </c>
      <c r="H49" s="381">
        <f>'00_PORTFOLIO ROLLUP'!G$62</f>
        <v>58663640.484426588</v>
      </c>
      <c r="I49" s="366" t="s">
        <v>1685</v>
      </c>
      <c r="J49" s="348" t="str">
        <f t="shared" si="0"/>
        <v>OK</v>
      </c>
      <c r="K49" s="366" t="s">
        <v>1727</v>
      </c>
      <c r="L49" s="366" t="s">
        <v>1728</v>
      </c>
      <c r="M49" s="350" t="str">
        <f>IF($B49="Portfolio","Portfolio",IFERROR(INDEX(DATA_ASSET_CLASSIFICATION!$B$8:$B$24,MATCH($C49,DATA_ASSET_CLASSIFICATION!$A$8:$A$24,0)),"Review"))</f>
        <v>Portfolio</v>
      </c>
      <c r="N49" s="350" t="str">
        <f>IF($B49="Portfolio","Portfolio",IFERROR(INDEX(DATA_ASSET_CLASSIFICATION!$U$8:$U$24,MATCH($C49,DATA_ASSET_CLASSIFICATION!$A$8:$A$24,0)),"Review"))</f>
        <v>Portfolio</v>
      </c>
      <c r="O49" s="350" t="str">
        <f>IF($B49="Portfolio","Portfolio",IFERROR(INDEX(DATA_ASSET_CLASSIFICATION!$AB$8:$AB$13,MATCH($N49,DATA_ASSET_CLASSIFICATION!$AA$8:$AA$13,0)),"Review"))</f>
        <v>Portfolio</v>
      </c>
      <c r="P49" s="350" t="str">
        <f>IF($B49="Portfolio","Portfolio",IFERROR(INDEX(DATA_ASSET_CLASSIFICATION!$C$8:$C$24,MATCH($C49,DATA_ASSET_CLASSIFICATION!$A$8:$A$24,0)),"Review"))</f>
        <v>Portfolio</v>
      </c>
      <c r="Q49" s="350" t="str">
        <f t="shared" si="1"/>
        <v>OK</v>
      </c>
    </row>
    <row r="50" spans="1:17" ht="30">
      <c r="A50" s="366" t="s">
        <v>1805</v>
      </c>
      <c r="B50" s="366" t="s">
        <v>1681</v>
      </c>
      <c r="C50" s="366" t="s">
        <v>1682</v>
      </c>
      <c r="D50" s="380">
        <f>'00_PORTFOLIO ROLLUP'!G$12</f>
        <v>2027</v>
      </c>
      <c r="E50" s="366" t="s">
        <v>1721</v>
      </c>
      <c r="F50" s="366" t="s">
        <v>35</v>
      </c>
      <c r="G50" s="366" t="s">
        <v>1806</v>
      </c>
      <c r="H50" s="381">
        <f>'00_PORTFOLIO ROLLUP'!G$63</f>
        <v>-70447718.963125259</v>
      </c>
      <c r="I50" s="366" t="s">
        <v>1731</v>
      </c>
      <c r="J50" s="348" t="str">
        <f t="shared" si="0"/>
        <v>Negative net refi position</v>
      </c>
      <c r="K50" s="366" t="s">
        <v>1732</v>
      </c>
      <c r="L50" s="366" t="s">
        <v>1733</v>
      </c>
      <c r="M50" s="350" t="str">
        <f>IF($B50="Portfolio","Portfolio",IFERROR(INDEX(DATA_ASSET_CLASSIFICATION!$B$8:$B$24,MATCH($C50,DATA_ASSET_CLASSIFICATION!$A$8:$A$24,0)),"Review"))</f>
        <v>Portfolio</v>
      </c>
      <c r="N50" s="350" t="str">
        <f>IF($B50="Portfolio","Portfolio",IFERROR(INDEX(DATA_ASSET_CLASSIFICATION!$U$8:$U$24,MATCH($C50,DATA_ASSET_CLASSIFICATION!$A$8:$A$24,0)),"Review"))</f>
        <v>Portfolio</v>
      </c>
      <c r="O50" s="350" t="str">
        <f>IF($B50="Portfolio","Portfolio",IFERROR(INDEX(DATA_ASSET_CLASSIFICATION!$AB$8:$AB$13,MATCH($N50,DATA_ASSET_CLASSIFICATION!$AA$8:$AA$13,0)),"Review"))</f>
        <v>Portfolio</v>
      </c>
      <c r="P50" s="350" t="str">
        <f>IF($B50="Portfolio","Portfolio",IFERROR(INDEX(DATA_ASSET_CLASSIFICATION!$C$8:$C$24,MATCH($C50,DATA_ASSET_CLASSIFICATION!$A$8:$A$24,0)),"Review"))</f>
        <v>Portfolio</v>
      </c>
      <c r="Q50" s="350" t="str">
        <f t="shared" si="1"/>
        <v>Negative net refi position</v>
      </c>
    </row>
    <row r="51" spans="1:17">
      <c r="A51" s="366" t="s">
        <v>1807</v>
      </c>
      <c r="B51" s="366" t="s">
        <v>1681</v>
      </c>
      <c r="C51" s="366" t="s">
        <v>1682</v>
      </c>
      <c r="D51" s="380">
        <f>'00_PORTFOLIO ROLLUP'!G$12</f>
        <v>2027</v>
      </c>
      <c r="E51" s="366" t="s">
        <v>1721</v>
      </c>
      <c r="F51" s="366" t="s">
        <v>37</v>
      </c>
      <c r="G51" s="366" t="s">
        <v>1806</v>
      </c>
      <c r="H51" s="381">
        <f>MAX('00_PORTFOLIO ROLLUP'!G$63,0)</f>
        <v>0</v>
      </c>
      <c r="I51" s="366" t="s">
        <v>1685</v>
      </c>
      <c r="J51" s="348" t="str">
        <f t="shared" si="0"/>
        <v>OK</v>
      </c>
      <c r="K51" s="366" t="s">
        <v>1735</v>
      </c>
      <c r="L51" s="366" t="s">
        <v>1736</v>
      </c>
      <c r="M51" s="350" t="str">
        <f>IF($B51="Portfolio","Portfolio",IFERROR(INDEX(DATA_ASSET_CLASSIFICATION!$B$8:$B$24,MATCH($C51,DATA_ASSET_CLASSIFICATION!$A$8:$A$24,0)),"Review"))</f>
        <v>Portfolio</v>
      </c>
      <c r="N51" s="350" t="str">
        <f>IF($B51="Portfolio","Portfolio",IFERROR(INDEX(DATA_ASSET_CLASSIFICATION!$U$8:$U$24,MATCH($C51,DATA_ASSET_CLASSIFICATION!$A$8:$A$24,0)),"Review"))</f>
        <v>Portfolio</v>
      </c>
      <c r="O51" s="350" t="str">
        <f>IF($B51="Portfolio","Portfolio",IFERROR(INDEX(DATA_ASSET_CLASSIFICATION!$AB$8:$AB$13,MATCH($N51,DATA_ASSET_CLASSIFICATION!$AA$8:$AA$13,0)),"Review"))</f>
        <v>Portfolio</v>
      </c>
      <c r="P51" s="350" t="str">
        <f>IF($B51="Portfolio","Portfolio",IFERROR(INDEX(DATA_ASSET_CLASSIFICATION!$C$8:$C$24,MATCH($C51,DATA_ASSET_CLASSIFICATION!$A$8:$A$24,0)),"Review"))</f>
        <v>Portfolio</v>
      </c>
      <c r="Q51" s="350" t="str">
        <f t="shared" si="1"/>
        <v>OK</v>
      </c>
    </row>
    <row r="52" spans="1:17">
      <c r="A52" s="366" t="s">
        <v>1808</v>
      </c>
      <c r="B52" s="366" t="s">
        <v>1681</v>
      </c>
      <c r="C52" s="366" t="s">
        <v>1682</v>
      </c>
      <c r="D52" s="380">
        <f>'00_PORTFOLIO ROLLUP'!G$12</f>
        <v>2027</v>
      </c>
      <c r="E52" s="366" t="s">
        <v>1721</v>
      </c>
      <c r="F52" s="366" t="s">
        <v>39</v>
      </c>
      <c r="G52" s="366" t="s">
        <v>1806</v>
      </c>
      <c r="H52" s="381">
        <f>MAX(-'00_PORTFOLIO ROLLUP'!G$63,0)</f>
        <v>70447718.963125259</v>
      </c>
      <c r="I52" s="366" t="s">
        <v>1690</v>
      </c>
      <c r="J52" s="348" t="str">
        <f t="shared" si="0"/>
        <v>Funding Gap</v>
      </c>
      <c r="K52" s="366" t="s">
        <v>1738</v>
      </c>
      <c r="L52" s="366" t="s">
        <v>1739</v>
      </c>
      <c r="M52" s="350" t="str">
        <f>IF($B52="Portfolio","Portfolio",IFERROR(INDEX(DATA_ASSET_CLASSIFICATION!$B$8:$B$24,MATCH($C52,DATA_ASSET_CLASSIFICATION!$A$8:$A$24,0)),"Review"))</f>
        <v>Portfolio</v>
      </c>
      <c r="N52" s="350" t="str">
        <f>IF($B52="Portfolio","Portfolio",IFERROR(INDEX(DATA_ASSET_CLASSIFICATION!$U$8:$U$24,MATCH($C52,DATA_ASSET_CLASSIFICATION!$A$8:$A$24,0)),"Review"))</f>
        <v>Portfolio</v>
      </c>
      <c r="O52" s="350" t="str">
        <f>IF($B52="Portfolio","Portfolio",IFERROR(INDEX(DATA_ASSET_CLASSIFICATION!$AB$8:$AB$13,MATCH($N52,DATA_ASSET_CLASSIFICATION!$AA$8:$AA$13,0)),"Review"))</f>
        <v>Portfolio</v>
      </c>
      <c r="P52" s="350" t="str">
        <f>IF($B52="Portfolio","Portfolio",IFERROR(INDEX(DATA_ASSET_CLASSIFICATION!$C$8:$C$24,MATCH($C52,DATA_ASSET_CLASSIFICATION!$A$8:$A$24,0)),"Review"))</f>
        <v>Portfolio</v>
      </c>
      <c r="Q52" s="350" t="str">
        <f t="shared" si="1"/>
        <v>Funding Gap</v>
      </c>
    </row>
    <row r="53" spans="1:17">
      <c r="A53" s="366" t="s">
        <v>1809</v>
      </c>
      <c r="B53" s="366" t="s">
        <v>1681</v>
      </c>
      <c r="C53" s="366" t="s">
        <v>1682</v>
      </c>
      <c r="D53" s="380">
        <f>'00_PORTFOLIO ROLLUP'!G$12</f>
        <v>2027</v>
      </c>
      <c r="E53" s="366" t="s">
        <v>1741</v>
      </c>
      <c r="F53" s="366" t="s">
        <v>41</v>
      </c>
      <c r="H53" s="381">
        <f>'00_PORTFOLIO ROLLUP'!G$56+MAX('00_PORTFOLIO ROLLUP'!G$63,0)</f>
        <v>-6004726.2946791984</v>
      </c>
      <c r="I53" s="366" t="s">
        <v>1685</v>
      </c>
      <c r="J53" s="348" t="str">
        <f t="shared" si="0"/>
        <v>OK</v>
      </c>
      <c r="K53" s="366" t="s">
        <v>1742</v>
      </c>
      <c r="L53" s="366" t="s">
        <v>1743</v>
      </c>
      <c r="M53" s="350" t="str">
        <f>IF($B53="Portfolio","Portfolio",IFERROR(INDEX(DATA_ASSET_CLASSIFICATION!$B$8:$B$24,MATCH($C53,DATA_ASSET_CLASSIFICATION!$A$8:$A$24,0)),"Review"))</f>
        <v>Portfolio</v>
      </c>
      <c r="N53" s="350" t="str">
        <f>IF($B53="Portfolio","Portfolio",IFERROR(INDEX(DATA_ASSET_CLASSIFICATION!$U$8:$U$24,MATCH($C53,DATA_ASSET_CLASSIFICATION!$A$8:$A$24,0)),"Review"))</f>
        <v>Portfolio</v>
      </c>
      <c r="O53" s="350" t="str">
        <f>IF($B53="Portfolio","Portfolio",IFERROR(INDEX(DATA_ASSET_CLASSIFICATION!$AB$8:$AB$13,MATCH($N53,DATA_ASSET_CLASSIFICATION!$AA$8:$AA$13,0)),"Review"))</f>
        <v>Portfolio</v>
      </c>
      <c r="P53" s="350" t="str">
        <f>IF($B53="Portfolio","Portfolio",IFERROR(INDEX(DATA_ASSET_CLASSIFICATION!$C$8:$C$24,MATCH($C53,DATA_ASSET_CLASSIFICATION!$A$8:$A$24,0)),"Review"))</f>
        <v>Portfolio</v>
      </c>
      <c r="Q53" s="350" t="str">
        <f t="shared" si="1"/>
        <v>OK</v>
      </c>
    </row>
    <row r="54" spans="1:17">
      <c r="A54" s="366" t="s">
        <v>1810</v>
      </c>
      <c r="B54" s="366" t="s">
        <v>1681</v>
      </c>
      <c r="C54" s="366" t="s">
        <v>1682</v>
      </c>
      <c r="D54" s="380">
        <f>'00_PORTFOLIO ROLLUP'!G$12</f>
        <v>2027</v>
      </c>
      <c r="E54" s="366" t="s">
        <v>1741</v>
      </c>
      <c r="F54" s="366" t="s">
        <v>43</v>
      </c>
      <c r="G54" s="366" t="s">
        <v>1811</v>
      </c>
      <c r="H54" s="381">
        <f>'00_PORTFOLIO ROLLUP'!G$68</f>
        <v>-76452445.257804453</v>
      </c>
      <c r="I54" s="366" t="s">
        <v>1731</v>
      </c>
      <c r="J54" s="348" t="str">
        <f t="shared" si="0"/>
        <v>OK</v>
      </c>
      <c r="K54" s="366" t="s">
        <v>1746</v>
      </c>
      <c r="L54" s="366" t="s">
        <v>1747</v>
      </c>
      <c r="M54" s="350" t="str">
        <f>IF($B54="Portfolio","Portfolio",IFERROR(INDEX(DATA_ASSET_CLASSIFICATION!$B$8:$B$24,MATCH($C54,DATA_ASSET_CLASSIFICATION!$A$8:$A$24,0)),"Review"))</f>
        <v>Portfolio</v>
      </c>
      <c r="N54" s="350" t="str">
        <f>IF($B54="Portfolio","Portfolio",IFERROR(INDEX(DATA_ASSET_CLASSIFICATION!$U$8:$U$24,MATCH($C54,DATA_ASSET_CLASSIFICATION!$A$8:$A$24,0)),"Review"))</f>
        <v>Portfolio</v>
      </c>
      <c r="O54" s="350" t="str">
        <f>IF($B54="Portfolio","Portfolio",IFERROR(INDEX(DATA_ASSET_CLASSIFICATION!$AB$8:$AB$13,MATCH($N54,DATA_ASSET_CLASSIFICATION!$AA$8:$AA$13,0)),"Review"))</f>
        <v>Portfolio</v>
      </c>
      <c r="P54" s="350" t="str">
        <f>IF($B54="Portfolio","Portfolio",IFERROR(INDEX(DATA_ASSET_CLASSIFICATION!$C$8:$C$24,MATCH($C54,DATA_ASSET_CLASSIFICATION!$A$8:$A$24,0)),"Review"))</f>
        <v>Portfolio</v>
      </c>
      <c r="Q54" s="350" t="str">
        <f t="shared" si="1"/>
        <v>OK</v>
      </c>
    </row>
    <row r="55" spans="1:17">
      <c r="A55" s="366" t="s">
        <v>1812</v>
      </c>
      <c r="B55" s="366" t="s">
        <v>1681</v>
      </c>
      <c r="C55" s="366" t="s">
        <v>1682</v>
      </c>
      <c r="D55" s="380">
        <f>'00_PORTFOLIO ROLLUP'!G$12</f>
        <v>2027</v>
      </c>
      <c r="E55" s="366" t="s">
        <v>1741</v>
      </c>
      <c r="F55" s="366" t="s">
        <v>1749</v>
      </c>
      <c r="H55" s="381">
        <f>('00_PORTFOLIO ROLLUP'!G$56+MAX('00_PORTFOLIO ROLLUP'!G$63,0))-'00_PORTFOLIO ROLLUP'!G$68</f>
        <v>70447718.963125259</v>
      </c>
      <c r="I55" s="366" t="s">
        <v>1750</v>
      </c>
      <c r="J55" s="348" t="str">
        <f t="shared" si="0"/>
        <v>OK</v>
      </c>
      <c r="K55" s="366" t="s">
        <v>1751</v>
      </c>
      <c r="L55" s="366" t="s">
        <v>1752</v>
      </c>
      <c r="M55" s="350" t="str">
        <f>IF($B55="Portfolio","Portfolio",IFERROR(INDEX(DATA_ASSET_CLASSIFICATION!$B$8:$B$24,MATCH($C55,DATA_ASSET_CLASSIFICATION!$A$8:$A$24,0)),"Review"))</f>
        <v>Portfolio</v>
      </c>
      <c r="N55" s="350" t="str">
        <f>IF($B55="Portfolio","Portfolio",IFERROR(INDEX(DATA_ASSET_CLASSIFICATION!$U$8:$U$24,MATCH($C55,DATA_ASSET_CLASSIFICATION!$A$8:$A$24,0)),"Review"))</f>
        <v>Portfolio</v>
      </c>
      <c r="O55" s="350" t="str">
        <f>IF($B55="Portfolio","Portfolio",IFERROR(INDEX(DATA_ASSET_CLASSIFICATION!$AB$8:$AB$13,MATCH($N55,DATA_ASSET_CLASSIFICATION!$AA$8:$AA$13,0)),"Review"))</f>
        <v>Portfolio</v>
      </c>
      <c r="P55" s="350" t="str">
        <f>IF($B55="Portfolio","Portfolio",IFERROR(INDEX(DATA_ASSET_CLASSIFICATION!$C$8:$C$24,MATCH($C55,DATA_ASSET_CLASSIFICATION!$A$8:$A$24,0)),"Review"))</f>
        <v>Portfolio</v>
      </c>
      <c r="Q55" s="350" t="str">
        <f t="shared" si="1"/>
        <v>OK</v>
      </c>
    </row>
    <row r="56" spans="1:17">
      <c r="A56" s="366" t="s">
        <v>1813</v>
      </c>
      <c r="B56" s="366" t="s">
        <v>1681</v>
      </c>
      <c r="C56" s="366" t="s">
        <v>1682</v>
      </c>
      <c r="D56" s="380">
        <f>'00_PORTFOLIO ROLLUP'!H$12</f>
        <v>2028</v>
      </c>
      <c r="E56" s="366" t="s">
        <v>1683</v>
      </c>
      <c r="F56" s="366" t="s">
        <v>341</v>
      </c>
      <c r="G56" s="366" t="s">
        <v>1814</v>
      </c>
      <c r="H56" s="381">
        <f>'00_PORTFOLIO ROLLUP'!H$24</f>
        <v>16639747.709498363</v>
      </c>
      <c r="I56" s="366" t="s">
        <v>1685</v>
      </c>
      <c r="J56" s="348" t="str">
        <f t="shared" si="0"/>
        <v>OK</v>
      </c>
      <c r="K56" s="366" t="s">
        <v>1686</v>
      </c>
      <c r="L56" s="366" t="s">
        <v>1687</v>
      </c>
      <c r="M56" s="350" t="str">
        <f>IF($B56="Portfolio","Portfolio",IFERROR(INDEX(DATA_ASSET_CLASSIFICATION!$B$8:$B$24,MATCH($C56,DATA_ASSET_CLASSIFICATION!$A$8:$A$24,0)),"Review"))</f>
        <v>Portfolio</v>
      </c>
      <c r="N56" s="350" t="str">
        <f>IF($B56="Portfolio","Portfolio",IFERROR(INDEX(DATA_ASSET_CLASSIFICATION!$U$8:$U$24,MATCH($C56,DATA_ASSET_CLASSIFICATION!$A$8:$A$24,0)),"Review"))</f>
        <v>Portfolio</v>
      </c>
      <c r="O56" s="350" t="str">
        <f>IF($B56="Portfolio","Portfolio",IFERROR(INDEX(DATA_ASSET_CLASSIFICATION!$AB$8:$AB$13,MATCH($N56,DATA_ASSET_CLASSIFICATION!$AA$8:$AA$13,0)),"Review"))</f>
        <v>Portfolio</v>
      </c>
      <c r="P56" s="350" t="str">
        <f>IF($B56="Portfolio","Portfolio",IFERROR(INDEX(DATA_ASSET_CLASSIFICATION!$C$8:$C$24,MATCH($C56,DATA_ASSET_CLASSIFICATION!$A$8:$A$24,0)),"Review"))</f>
        <v>Portfolio</v>
      </c>
      <c r="Q56" s="350" t="str">
        <f t="shared" si="1"/>
        <v>OK</v>
      </c>
    </row>
    <row r="57" spans="1:17">
      <c r="A57" s="366" t="s">
        <v>1815</v>
      </c>
      <c r="B57" s="366" t="s">
        <v>1681</v>
      </c>
      <c r="C57" s="366" t="s">
        <v>1682</v>
      </c>
      <c r="D57" s="380">
        <f>'00_PORTFOLIO ROLLUP'!H$12</f>
        <v>2028</v>
      </c>
      <c r="E57" s="366" t="s">
        <v>1683</v>
      </c>
      <c r="F57" s="366" t="s">
        <v>355</v>
      </c>
      <c r="G57" s="366" t="s">
        <v>1816</v>
      </c>
      <c r="H57" s="381">
        <f>'00_PORTFOLIO ROLLUP'!H$39</f>
        <v>5313241.1105280006</v>
      </c>
      <c r="I57" s="366" t="s">
        <v>1690</v>
      </c>
      <c r="J57" s="348" t="str">
        <f t="shared" si="0"/>
        <v>OK</v>
      </c>
      <c r="K57" s="366" t="s">
        <v>1686</v>
      </c>
      <c r="L57" s="366" t="s">
        <v>1691</v>
      </c>
      <c r="M57" s="350" t="str">
        <f>IF($B57="Portfolio","Portfolio",IFERROR(INDEX(DATA_ASSET_CLASSIFICATION!$B$8:$B$24,MATCH($C57,DATA_ASSET_CLASSIFICATION!$A$8:$A$24,0)),"Review"))</f>
        <v>Portfolio</v>
      </c>
      <c r="N57" s="350" t="str">
        <f>IF($B57="Portfolio","Portfolio",IFERROR(INDEX(DATA_ASSET_CLASSIFICATION!$U$8:$U$24,MATCH($C57,DATA_ASSET_CLASSIFICATION!$A$8:$A$24,0)),"Review"))</f>
        <v>Portfolio</v>
      </c>
      <c r="O57" s="350" t="str">
        <f>IF($B57="Portfolio","Portfolio",IFERROR(INDEX(DATA_ASSET_CLASSIFICATION!$AB$8:$AB$13,MATCH($N57,DATA_ASSET_CLASSIFICATION!$AA$8:$AA$13,0)),"Review"))</f>
        <v>Portfolio</v>
      </c>
      <c r="P57" s="350" t="str">
        <f>IF($B57="Portfolio","Portfolio",IFERROR(INDEX(DATA_ASSET_CLASSIFICATION!$C$8:$C$24,MATCH($C57,DATA_ASSET_CLASSIFICATION!$A$8:$A$24,0)),"Review"))</f>
        <v>Portfolio</v>
      </c>
      <c r="Q57" s="350" t="str">
        <f t="shared" si="1"/>
        <v>OK</v>
      </c>
    </row>
    <row r="58" spans="1:17">
      <c r="A58" s="366" t="s">
        <v>1817</v>
      </c>
      <c r="B58" s="366" t="s">
        <v>1681</v>
      </c>
      <c r="C58" s="366" t="s">
        <v>1682</v>
      </c>
      <c r="D58" s="380">
        <f>'00_PORTFOLIO ROLLUP'!H$12</f>
        <v>2028</v>
      </c>
      <c r="E58" s="366" t="s">
        <v>1683</v>
      </c>
      <c r="F58" s="366" t="s">
        <v>19</v>
      </c>
      <c r="G58" s="366" t="s">
        <v>1818</v>
      </c>
      <c r="H58" s="381">
        <f>'00_PORTFOLIO ROLLUP'!H$41</f>
        <v>11326506.598970361</v>
      </c>
      <c r="I58" s="366" t="s">
        <v>1685</v>
      </c>
      <c r="J58" s="348" t="str">
        <f t="shared" si="0"/>
        <v>OK</v>
      </c>
      <c r="K58" s="366" t="s">
        <v>1694</v>
      </c>
      <c r="L58" s="366" t="s">
        <v>1695</v>
      </c>
      <c r="M58" s="350" t="str">
        <f>IF($B58="Portfolio","Portfolio",IFERROR(INDEX(DATA_ASSET_CLASSIFICATION!$B$8:$B$24,MATCH($C58,DATA_ASSET_CLASSIFICATION!$A$8:$A$24,0)),"Review"))</f>
        <v>Portfolio</v>
      </c>
      <c r="N58" s="350" t="str">
        <f>IF($B58="Portfolio","Portfolio",IFERROR(INDEX(DATA_ASSET_CLASSIFICATION!$U$8:$U$24,MATCH($C58,DATA_ASSET_CLASSIFICATION!$A$8:$A$24,0)),"Review"))</f>
        <v>Portfolio</v>
      </c>
      <c r="O58" s="350" t="str">
        <f>IF($B58="Portfolio","Portfolio",IFERROR(INDEX(DATA_ASSET_CLASSIFICATION!$AB$8:$AB$13,MATCH($N58,DATA_ASSET_CLASSIFICATION!$AA$8:$AA$13,0)),"Review"))</f>
        <v>Portfolio</v>
      </c>
      <c r="P58" s="350" t="str">
        <f>IF($B58="Portfolio","Portfolio",IFERROR(INDEX(DATA_ASSET_CLASSIFICATION!$C$8:$C$24,MATCH($C58,DATA_ASSET_CLASSIFICATION!$A$8:$A$24,0)),"Review"))</f>
        <v>Portfolio</v>
      </c>
      <c r="Q58" s="350" t="str">
        <f t="shared" si="1"/>
        <v>OK</v>
      </c>
    </row>
    <row r="59" spans="1:17">
      <c r="A59" s="366" t="s">
        <v>1819</v>
      </c>
      <c r="B59" s="366" t="s">
        <v>1681</v>
      </c>
      <c r="C59" s="366" t="s">
        <v>1682</v>
      </c>
      <c r="D59" s="380">
        <f>'00_PORTFOLIO ROLLUP'!H$12</f>
        <v>2028</v>
      </c>
      <c r="E59" s="366" t="s">
        <v>1683</v>
      </c>
      <c r="F59" s="366" t="s">
        <v>1697</v>
      </c>
      <c r="G59" s="366" t="s">
        <v>1820</v>
      </c>
      <c r="H59" s="381">
        <f>'00_PORTFOLIO ROLLUP'!H$44</f>
        <v>156475.11959999998</v>
      </c>
      <c r="I59" s="366" t="s">
        <v>1690</v>
      </c>
      <c r="J59" s="348" t="str">
        <f t="shared" si="0"/>
        <v>OK</v>
      </c>
      <c r="K59" s="366" t="s">
        <v>1699</v>
      </c>
      <c r="L59" s="366" t="s">
        <v>1700</v>
      </c>
      <c r="M59" s="350" t="str">
        <f>IF($B59="Portfolio","Portfolio",IFERROR(INDEX(DATA_ASSET_CLASSIFICATION!$B$8:$B$24,MATCH($C59,DATA_ASSET_CLASSIFICATION!$A$8:$A$24,0)),"Review"))</f>
        <v>Portfolio</v>
      </c>
      <c r="N59" s="350" t="str">
        <f>IF($B59="Portfolio","Portfolio",IFERROR(INDEX(DATA_ASSET_CLASSIFICATION!$U$8:$U$24,MATCH($C59,DATA_ASSET_CLASSIFICATION!$A$8:$A$24,0)),"Review"))</f>
        <v>Portfolio</v>
      </c>
      <c r="O59" s="350" t="str">
        <f>IF($B59="Portfolio","Portfolio",IFERROR(INDEX(DATA_ASSET_CLASSIFICATION!$AB$8:$AB$13,MATCH($N59,DATA_ASSET_CLASSIFICATION!$AA$8:$AA$13,0)),"Review"))</f>
        <v>Portfolio</v>
      </c>
      <c r="P59" s="350" t="str">
        <f>IF($B59="Portfolio","Portfolio",IFERROR(INDEX(DATA_ASSET_CLASSIFICATION!$C$8:$C$24,MATCH($C59,DATA_ASSET_CLASSIFICATION!$A$8:$A$24,0)),"Review"))</f>
        <v>Portfolio</v>
      </c>
      <c r="Q59" s="350" t="str">
        <f t="shared" si="1"/>
        <v>OK</v>
      </c>
    </row>
    <row r="60" spans="1:17">
      <c r="A60" s="366" t="s">
        <v>1821</v>
      </c>
      <c r="B60" s="366" t="s">
        <v>1681</v>
      </c>
      <c r="C60" s="366" t="s">
        <v>1682</v>
      </c>
      <c r="D60" s="380">
        <f>'00_PORTFOLIO ROLLUP'!H$12</f>
        <v>2028</v>
      </c>
      <c r="E60" s="366" t="s">
        <v>1683</v>
      </c>
      <c r="F60" s="366" t="s">
        <v>21</v>
      </c>
      <c r="G60" s="366" t="s">
        <v>1822</v>
      </c>
      <c r="H60" s="381">
        <f>'00_PORTFOLIO ROLLUP'!H$45</f>
        <v>11170031.479370361</v>
      </c>
      <c r="I60" s="366" t="s">
        <v>1685</v>
      </c>
      <c r="J60" s="348" t="str">
        <f t="shared" si="0"/>
        <v>OK</v>
      </c>
      <c r="K60" s="366" t="s">
        <v>1694</v>
      </c>
      <c r="L60" s="366" t="s">
        <v>1703</v>
      </c>
      <c r="M60" s="350" t="str">
        <f>IF($B60="Portfolio","Portfolio",IFERROR(INDEX(DATA_ASSET_CLASSIFICATION!$B$8:$B$24,MATCH($C60,DATA_ASSET_CLASSIFICATION!$A$8:$A$24,0)),"Review"))</f>
        <v>Portfolio</v>
      </c>
      <c r="N60" s="350" t="str">
        <f>IF($B60="Portfolio","Portfolio",IFERROR(INDEX(DATA_ASSET_CLASSIFICATION!$U$8:$U$24,MATCH($C60,DATA_ASSET_CLASSIFICATION!$A$8:$A$24,0)),"Review"))</f>
        <v>Portfolio</v>
      </c>
      <c r="O60" s="350" t="str">
        <f>IF($B60="Portfolio","Portfolio",IFERROR(INDEX(DATA_ASSET_CLASSIFICATION!$AB$8:$AB$13,MATCH($N60,DATA_ASSET_CLASSIFICATION!$AA$8:$AA$13,0)),"Review"))</f>
        <v>Portfolio</v>
      </c>
      <c r="P60" s="350" t="str">
        <f>IF($B60="Portfolio","Portfolio",IFERROR(INDEX(DATA_ASSET_CLASSIFICATION!$C$8:$C$24,MATCH($C60,DATA_ASSET_CLASSIFICATION!$A$8:$A$24,0)),"Review"))</f>
        <v>Portfolio</v>
      </c>
      <c r="Q60" s="350" t="str">
        <f t="shared" si="1"/>
        <v>OK</v>
      </c>
    </row>
    <row r="61" spans="1:17">
      <c r="A61" s="366" t="s">
        <v>1823</v>
      </c>
      <c r="B61" s="366" t="s">
        <v>1681</v>
      </c>
      <c r="C61" s="366" t="s">
        <v>1682</v>
      </c>
      <c r="D61" s="380">
        <f>'00_PORTFOLIO ROLLUP'!H$12</f>
        <v>2028</v>
      </c>
      <c r="E61" s="366" t="s">
        <v>23</v>
      </c>
      <c r="F61" s="366" t="s">
        <v>23</v>
      </c>
      <c r="G61" s="366" t="s">
        <v>1824</v>
      </c>
      <c r="H61" s="381">
        <f>'00_PORTFOLIO ROLLUP'!H$48</f>
        <v>10725104.15131183</v>
      </c>
      <c r="I61" s="366" t="s">
        <v>1690</v>
      </c>
      <c r="J61" s="348" t="str">
        <f t="shared" si="0"/>
        <v>OK</v>
      </c>
      <c r="K61" s="366" t="s">
        <v>1706</v>
      </c>
      <c r="L61" s="366" t="s">
        <v>1707</v>
      </c>
      <c r="M61" s="350" t="str">
        <f>IF($B61="Portfolio","Portfolio",IFERROR(INDEX(DATA_ASSET_CLASSIFICATION!$B$8:$B$24,MATCH($C61,DATA_ASSET_CLASSIFICATION!$A$8:$A$24,0)),"Review"))</f>
        <v>Portfolio</v>
      </c>
      <c r="N61" s="350" t="str">
        <f>IF($B61="Portfolio","Portfolio",IFERROR(INDEX(DATA_ASSET_CLASSIFICATION!$U$8:$U$24,MATCH($C61,DATA_ASSET_CLASSIFICATION!$A$8:$A$24,0)),"Review"))</f>
        <v>Portfolio</v>
      </c>
      <c r="O61" s="350" t="str">
        <f>IF($B61="Portfolio","Portfolio",IFERROR(INDEX(DATA_ASSET_CLASSIFICATION!$AB$8:$AB$13,MATCH($N61,DATA_ASSET_CLASSIFICATION!$AA$8:$AA$13,0)),"Review"))</f>
        <v>Portfolio</v>
      </c>
      <c r="P61" s="350" t="str">
        <f>IF($B61="Portfolio","Portfolio",IFERROR(INDEX(DATA_ASSET_CLASSIFICATION!$C$8:$C$24,MATCH($C61,DATA_ASSET_CLASSIFICATION!$A$8:$A$24,0)),"Review"))</f>
        <v>Portfolio</v>
      </c>
      <c r="Q61" s="350" t="str">
        <f t="shared" si="1"/>
        <v>OK</v>
      </c>
    </row>
    <row r="62" spans="1:17">
      <c r="A62" s="366" t="s">
        <v>1825</v>
      </c>
      <c r="B62" s="366" t="s">
        <v>1681</v>
      </c>
      <c r="C62" s="366" t="s">
        <v>1682</v>
      </c>
      <c r="D62" s="380">
        <f>'00_PORTFOLIO ROLLUP'!H$12</f>
        <v>2028</v>
      </c>
      <c r="E62" s="366" t="s">
        <v>1683</v>
      </c>
      <c r="F62" s="366" t="s">
        <v>25</v>
      </c>
      <c r="G62" s="366" t="s">
        <v>1826</v>
      </c>
      <c r="H62" s="381">
        <f>'00_PORTFOLIO ROLLUP'!H$52</f>
        <v>601402.44765853137</v>
      </c>
      <c r="I62" s="366" t="s">
        <v>1685</v>
      </c>
      <c r="J62" s="348" t="str">
        <f t="shared" si="0"/>
        <v>OK</v>
      </c>
      <c r="K62" s="366" t="s">
        <v>1710</v>
      </c>
      <c r="L62" s="366" t="s">
        <v>1711</v>
      </c>
      <c r="M62" s="350" t="str">
        <f>IF($B62="Portfolio","Portfolio",IFERROR(INDEX(DATA_ASSET_CLASSIFICATION!$B$8:$B$24,MATCH($C62,DATA_ASSET_CLASSIFICATION!$A$8:$A$24,0)),"Review"))</f>
        <v>Portfolio</v>
      </c>
      <c r="N62" s="350" t="str">
        <f>IF($B62="Portfolio","Portfolio",IFERROR(INDEX(DATA_ASSET_CLASSIFICATION!$U$8:$U$24,MATCH($C62,DATA_ASSET_CLASSIFICATION!$A$8:$A$24,0)),"Review"))</f>
        <v>Portfolio</v>
      </c>
      <c r="O62" s="350" t="str">
        <f>IF($B62="Portfolio","Portfolio",IFERROR(INDEX(DATA_ASSET_CLASSIFICATION!$AB$8:$AB$13,MATCH($N62,DATA_ASSET_CLASSIFICATION!$AA$8:$AA$13,0)),"Review"))</f>
        <v>Portfolio</v>
      </c>
      <c r="P62" s="350" t="str">
        <f>IF($B62="Portfolio","Portfolio",IFERROR(INDEX(DATA_ASSET_CLASSIFICATION!$C$8:$C$24,MATCH($C62,DATA_ASSET_CLASSIFICATION!$A$8:$A$24,0)),"Review"))</f>
        <v>Portfolio</v>
      </c>
      <c r="Q62" s="350" t="str">
        <f t="shared" si="1"/>
        <v>OK</v>
      </c>
    </row>
    <row r="63" spans="1:17">
      <c r="A63" s="366" t="s">
        <v>1827</v>
      </c>
      <c r="B63" s="366" t="s">
        <v>1681</v>
      </c>
      <c r="C63" s="366" t="s">
        <v>1682</v>
      </c>
      <c r="D63" s="380">
        <f>'00_PORTFOLIO ROLLUP'!H$12</f>
        <v>2028</v>
      </c>
      <c r="E63" s="366" t="s">
        <v>1683</v>
      </c>
      <c r="F63" s="366" t="s">
        <v>27</v>
      </c>
      <c r="G63" s="366" t="s">
        <v>1828</v>
      </c>
      <c r="H63" s="381">
        <f>'00_PORTFOLIO ROLLUP'!H$54</f>
        <v>360841.46859511879</v>
      </c>
      <c r="I63" s="366" t="s">
        <v>1690</v>
      </c>
      <c r="J63" s="348" t="str">
        <f t="shared" si="0"/>
        <v>OK</v>
      </c>
      <c r="K63" s="366" t="s">
        <v>1714</v>
      </c>
      <c r="L63" s="366" t="s">
        <v>1715</v>
      </c>
      <c r="M63" s="350" t="str">
        <f>IF($B63="Portfolio","Portfolio",IFERROR(INDEX(DATA_ASSET_CLASSIFICATION!$B$8:$B$24,MATCH($C63,DATA_ASSET_CLASSIFICATION!$A$8:$A$24,0)),"Review"))</f>
        <v>Portfolio</v>
      </c>
      <c r="N63" s="350" t="str">
        <f>IF($B63="Portfolio","Portfolio",IFERROR(INDEX(DATA_ASSET_CLASSIFICATION!$U$8:$U$24,MATCH($C63,DATA_ASSET_CLASSIFICATION!$A$8:$A$24,0)),"Review"))</f>
        <v>Portfolio</v>
      </c>
      <c r="O63" s="350" t="str">
        <f>IF($B63="Portfolio","Portfolio",IFERROR(INDEX(DATA_ASSET_CLASSIFICATION!$AB$8:$AB$13,MATCH($N63,DATA_ASSET_CLASSIFICATION!$AA$8:$AA$13,0)),"Review"))</f>
        <v>Portfolio</v>
      </c>
      <c r="P63" s="350" t="str">
        <f>IF($B63="Portfolio","Portfolio",IFERROR(INDEX(DATA_ASSET_CLASSIFICATION!$C$8:$C$24,MATCH($C63,DATA_ASSET_CLASSIFICATION!$A$8:$A$24,0)),"Review"))</f>
        <v>Portfolio</v>
      </c>
      <c r="Q63" s="350" t="str">
        <f t="shared" si="1"/>
        <v>OK</v>
      </c>
    </row>
    <row r="64" spans="1:17">
      <c r="A64" s="366" t="s">
        <v>1829</v>
      </c>
      <c r="B64" s="366" t="s">
        <v>1681</v>
      </c>
      <c r="C64" s="366" t="s">
        <v>1682</v>
      </c>
      <c r="D64" s="380">
        <f>'00_PORTFOLIO ROLLUP'!H$12</f>
        <v>2028</v>
      </c>
      <c r="E64" s="366" t="s">
        <v>1683</v>
      </c>
      <c r="F64" s="366" t="s">
        <v>29</v>
      </c>
      <c r="G64" s="366" t="s">
        <v>1830</v>
      </c>
      <c r="H64" s="381">
        <f>'00_PORTFOLIO ROLLUP'!H$56</f>
        <v>240560.97906341258</v>
      </c>
      <c r="I64" s="366" t="s">
        <v>1685</v>
      </c>
      <c r="J64" s="348" t="str">
        <f t="shared" si="0"/>
        <v>OK</v>
      </c>
      <c r="K64" s="366" t="s">
        <v>1718</v>
      </c>
      <c r="L64" s="366" t="s">
        <v>1719</v>
      </c>
      <c r="M64" s="350" t="str">
        <f>IF($B64="Portfolio","Portfolio",IFERROR(INDEX(DATA_ASSET_CLASSIFICATION!$B$8:$B$24,MATCH($C64,DATA_ASSET_CLASSIFICATION!$A$8:$A$24,0)),"Review"))</f>
        <v>Portfolio</v>
      </c>
      <c r="N64" s="350" t="str">
        <f>IF($B64="Portfolio","Portfolio",IFERROR(INDEX(DATA_ASSET_CLASSIFICATION!$U$8:$U$24,MATCH($C64,DATA_ASSET_CLASSIFICATION!$A$8:$A$24,0)),"Review"))</f>
        <v>Portfolio</v>
      </c>
      <c r="O64" s="350" t="str">
        <f>IF($B64="Portfolio","Portfolio",IFERROR(INDEX(DATA_ASSET_CLASSIFICATION!$AB$8:$AB$13,MATCH($N64,DATA_ASSET_CLASSIFICATION!$AA$8:$AA$13,0)),"Review"))</f>
        <v>Portfolio</v>
      </c>
      <c r="P64" s="350" t="str">
        <f>IF($B64="Portfolio","Portfolio",IFERROR(INDEX(DATA_ASSET_CLASSIFICATION!$C$8:$C$24,MATCH($C64,DATA_ASSET_CLASSIFICATION!$A$8:$A$24,0)),"Review"))</f>
        <v>Portfolio</v>
      </c>
      <c r="Q64" s="350" t="str">
        <f t="shared" si="1"/>
        <v>OK</v>
      </c>
    </row>
    <row r="65" spans="1:17">
      <c r="A65" s="366" t="s">
        <v>1831</v>
      </c>
      <c r="B65" s="366" t="s">
        <v>1681</v>
      </c>
      <c r="C65" s="366" t="s">
        <v>1682</v>
      </c>
      <c r="D65" s="380">
        <f>'00_PORTFOLIO ROLLUP'!H$12</f>
        <v>2028</v>
      </c>
      <c r="E65" s="366" t="s">
        <v>1721</v>
      </c>
      <c r="F65" s="366" t="s">
        <v>31</v>
      </c>
      <c r="G65" s="366" t="s">
        <v>1832</v>
      </c>
      <c r="H65" s="381">
        <f>'00_PORTFOLIO ROLLUP'!H$61</f>
        <v>-73225414.99050951</v>
      </c>
      <c r="I65" s="366" t="s">
        <v>1690</v>
      </c>
      <c r="J65" s="348" t="str">
        <f t="shared" si="0"/>
        <v>OK</v>
      </c>
      <c r="K65" s="366" t="s">
        <v>1723</v>
      </c>
      <c r="L65" s="366" t="s">
        <v>1724</v>
      </c>
      <c r="M65" s="350" t="str">
        <f>IF($B65="Portfolio","Portfolio",IFERROR(INDEX(DATA_ASSET_CLASSIFICATION!$B$8:$B$24,MATCH($C65,DATA_ASSET_CLASSIFICATION!$A$8:$A$24,0)),"Review"))</f>
        <v>Portfolio</v>
      </c>
      <c r="N65" s="350" t="str">
        <f>IF($B65="Portfolio","Portfolio",IFERROR(INDEX(DATA_ASSET_CLASSIFICATION!$U$8:$U$24,MATCH($C65,DATA_ASSET_CLASSIFICATION!$A$8:$A$24,0)),"Review"))</f>
        <v>Portfolio</v>
      </c>
      <c r="O65" s="350" t="str">
        <f>IF($B65="Portfolio","Portfolio",IFERROR(INDEX(DATA_ASSET_CLASSIFICATION!$AB$8:$AB$13,MATCH($N65,DATA_ASSET_CLASSIFICATION!$AA$8:$AA$13,0)),"Review"))</f>
        <v>Portfolio</v>
      </c>
      <c r="P65" s="350" t="str">
        <f>IF($B65="Portfolio","Portfolio",IFERROR(INDEX(DATA_ASSET_CLASSIFICATION!$C$8:$C$24,MATCH($C65,DATA_ASSET_CLASSIFICATION!$A$8:$A$24,0)),"Review"))</f>
        <v>Portfolio</v>
      </c>
      <c r="Q65" s="350" t="str">
        <f t="shared" si="1"/>
        <v>OK</v>
      </c>
    </row>
    <row r="66" spans="1:17">
      <c r="A66" s="366" t="s">
        <v>1833</v>
      </c>
      <c r="B66" s="366" t="s">
        <v>1681</v>
      </c>
      <c r="C66" s="366" t="s">
        <v>1682</v>
      </c>
      <c r="D66" s="380">
        <f>'00_PORTFOLIO ROLLUP'!H$12</f>
        <v>2028</v>
      </c>
      <c r="E66" s="366" t="s">
        <v>1721</v>
      </c>
      <c r="F66" s="366" t="s">
        <v>33</v>
      </c>
      <c r="G66" s="366" t="s">
        <v>1834</v>
      </c>
      <c r="H66" s="381">
        <f>'00_PORTFOLIO ROLLUP'!H$62</f>
        <v>27724970.159803599</v>
      </c>
      <c r="I66" s="366" t="s">
        <v>1685</v>
      </c>
      <c r="J66" s="348" t="str">
        <f t="shared" si="0"/>
        <v>OK</v>
      </c>
      <c r="K66" s="366" t="s">
        <v>1727</v>
      </c>
      <c r="L66" s="366" t="s">
        <v>1728</v>
      </c>
      <c r="M66" s="350" t="str">
        <f>IF($B66="Portfolio","Portfolio",IFERROR(INDEX(DATA_ASSET_CLASSIFICATION!$B$8:$B$24,MATCH($C66,DATA_ASSET_CLASSIFICATION!$A$8:$A$24,0)),"Review"))</f>
        <v>Portfolio</v>
      </c>
      <c r="N66" s="350" t="str">
        <f>IF($B66="Portfolio","Portfolio",IFERROR(INDEX(DATA_ASSET_CLASSIFICATION!$U$8:$U$24,MATCH($C66,DATA_ASSET_CLASSIFICATION!$A$8:$A$24,0)),"Review"))</f>
        <v>Portfolio</v>
      </c>
      <c r="O66" s="350" t="str">
        <f>IF($B66="Portfolio","Portfolio",IFERROR(INDEX(DATA_ASSET_CLASSIFICATION!$AB$8:$AB$13,MATCH($N66,DATA_ASSET_CLASSIFICATION!$AA$8:$AA$13,0)),"Review"))</f>
        <v>Portfolio</v>
      </c>
      <c r="P66" s="350" t="str">
        <f>IF($B66="Portfolio","Portfolio",IFERROR(INDEX(DATA_ASSET_CLASSIFICATION!$C$8:$C$24,MATCH($C66,DATA_ASSET_CLASSIFICATION!$A$8:$A$24,0)),"Review"))</f>
        <v>Portfolio</v>
      </c>
      <c r="Q66" s="350" t="str">
        <f t="shared" si="1"/>
        <v>OK</v>
      </c>
    </row>
    <row r="67" spans="1:17" ht="30">
      <c r="A67" s="366" t="s">
        <v>1835</v>
      </c>
      <c r="B67" s="366" t="s">
        <v>1681</v>
      </c>
      <c r="C67" s="366" t="s">
        <v>1682</v>
      </c>
      <c r="D67" s="380">
        <f>'00_PORTFOLIO ROLLUP'!H$12</f>
        <v>2028</v>
      </c>
      <c r="E67" s="366" t="s">
        <v>1721</v>
      </c>
      <c r="F67" s="366" t="s">
        <v>35</v>
      </c>
      <c r="G67" s="366" t="s">
        <v>1836</v>
      </c>
      <c r="H67" s="381">
        <f>'00_PORTFOLIO ROLLUP'!H$63</f>
        <v>-45500444.830705911</v>
      </c>
      <c r="I67" s="366" t="s">
        <v>1731</v>
      </c>
      <c r="J67" s="348" t="str">
        <f t="shared" si="0"/>
        <v>Negative net refi position</v>
      </c>
      <c r="K67" s="366" t="s">
        <v>1732</v>
      </c>
      <c r="L67" s="366" t="s">
        <v>1733</v>
      </c>
      <c r="M67" s="350" t="str">
        <f>IF($B67="Portfolio","Portfolio",IFERROR(INDEX(DATA_ASSET_CLASSIFICATION!$B$8:$B$24,MATCH($C67,DATA_ASSET_CLASSIFICATION!$A$8:$A$24,0)),"Review"))</f>
        <v>Portfolio</v>
      </c>
      <c r="N67" s="350" t="str">
        <f>IF($B67="Portfolio","Portfolio",IFERROR(INDEX(DATA_ASSET_CLASSIFICATION!$U$8:$U$24,MATCH($C67,DATA_ASSET_CLASSIFICATION!$A$8:$A$24,0)),"Review"))</f>
        <v>Portfolio</v>
      </c>
      <c r="O67" s="350" t="str">
        <f>IF($B67="Portfolio","Portfolio",IFERROR(INDEX(DATA_ASSET_CLASSIFICATION!$AB$8:$AB$13,MATCH($N67,DATA_ASSET_CLASSIFICATION!$AA$8:$AA$13,0)),"Review"))</f>
        <v>Portfolio</v>
      </c>
      <c r="P67" s="350" t="str">
        <f>IF($B67="Portfolio","Portfolio",IFERROR(INDEX(DATA_ASSET_CLASSIFICATION!$C$8:$C$24,MATCH($C67,DATA_ASSET_CLASSIFICATION!$A$8:$A$24,0)),"Review"))</f>
        <v>Portfolio</v>
      </c>
      <c r="Q67" s="350" t="str">
        <f t="shared" si="1"/>
        <v>Negative net refi position</v>
      </c>
    </row>
    <row r="68" spans="1:17">
      <c r="A68" s="366" t="s">
        <v>1837</v>
      </c>
      <c r="B68" s="366" t="s">
        <v>1681</v>
      </c>
      <c r="C68" s="366" t="s">
        <v>1682</v>
      </c>
      <c r="D68" s="380">
        <f>'00_PORTFOLIO ROLLUP'!H$12</f>
        <v>2028</v>
      </c>
      <c r="E68" s="366" t="s">
        <v>1721</v>
      </c>
      <c r="F68" s="366" t="s">
        <v>37</v>
      </c>
      <c r="G68" s="366" t="s">
        <v>1836</v>
      </c>
      <c r="H68" s="381">
        <f>MAX('00_PORTFOLIO ROLLUP'!H$63,0)</f>
        <v>0</v>
      </c>
      <c r="I68" s="366" t="s">
        <v>1685</v>
      </c>
      <c r="J68" s="348" t="str">
        <f t="shared" si="0"/>
        <v>OK</v>
      </c>
      <c r="K68" s="366" t="s">
        <v>1735</v>
      </c>
      <c r="L68" s="366" t="s">
        <v>1736</v>
      </c>
      <c r="M68" s="350" t="str">
        <f>IF($B68="Portfolio","Portfolio",IFERROR(INDEX(DATA_ASSET_CLASSIFICATION!$B$8:$B$24,MATCH($C68,DATA_ASSET_CLASSIFICATION!$A$8:$A$24,0)),"Review"))</f>
        <v>Portfolio</v>
      </c>
      <c r="N68" s="350" t="str">
        <f>IF($B68="Portfolio","Portfolio",IFERROR(INDEX(DATA_ASSET_CLASSIFICATION!$U$8:$U$24,MATCH($C68,DATA_ASSET_CLASSIFICATION!$A$8:$A$24,0)),"Review"))</f>
        <v>Portfolio</v>
      </c>
      <c r="O68" s="350" t="str">
        <f>IF($B68="Portfolio","Portfolio",IFERROR(INDEX(DATA_ASSET_CLASSIFICATION!$AB$8:$AB$13,MATCH($N68,DATA_ASSET_CLASSIFICATION!$AA$8:$AA$13,0)),"Review"))</f>
        <v>Portfolio</v>
      </c>
      <c r="P68" s="350" t="str">
        <f>IF($B68="Portfolio","Portfolio",IFERROR(INDEX(DATA_ASSET_CLASSIFICATION!$C$8:$C$24,MATCH($C68,DATA_ASSET_CLASSIFICATION!$A$8:$A$24,0)),"Review"))</f>
        <v>Portfolio</v>
      </c>
      <c r="Q68" s="350" t="str">
        <f t="shared" si="1"/>
        <v>OK</v>
      </c>
    </row>
    <row r="69" spans="1:17">
      <c r="A69" s="366" t="s">
        <v>1838</v>
      </c>
      <c r="B69" s="366" t="s">
        <v>1681</v>
      </c>
      <c r="C69" s="366" t="s">
        <v>1682</v>
      </c>
      <c r="D69" s="380">
        <f>'00_PORTFOLIO ROLLUP'!H$12</f>
        <v>2028</v>
      </c>
      <c r="E69" s="366" t="s">
        <v>1721</v>
      </c>
      <c r="F69" s="366" t="s">
        <v>39</v>
      </c>
      <c r="G69" s="366" t="s">
        <v>1836</v>
      </c>
      <c r="H69" s="381">
        <f>MAX(-'00_PORTFOLIO ROLLUP'!H$63,0)</f>
        <v>45500444.830705911</v>
      </c>
      <c r="I69" s="366" t="s">
        <v>1690</v>
      </c>
      <c r="J69" s="348" t="str">
        <f t="shared" ref="J69:J132" si="2">IF($F69="Residual Funding Gap",IF($H69&gt;0,"Funding Gap","OK"),IF(AND($F69="Net Refinance Position",$H69&lt;0),"Negative net refi position","OK"))</f>
        <v>Funding Gap</v>
      </c>
      <c r="K69" s="366" t="s">
        <v>1738</v>
      </c>
      <c r="L69" s="366" t="s">
        <v>1739</v>
      </c>
      <c r="M69" s="350" t="str">
        <f>IF($B69="Portfolio","Portfolio",IFERROR(INDEX(DATA_ASSET_CLASSIFICATION!$B$8:$B$24,MATCH($C69,DATA_ASSET_CLASSIFICATION!$A$8:$A$24,0)),"Review"))</f>
        <v>Portfolio</v>
      </c>
      <c r="N69" s="350" t="str">
        <f>IF($B69="Portfolio","Portfolio",IFERROR(INDEX(DATA_ASSET_CLASSIFICATION!$U$8:$U$24,MATCH($C69,DATA_ASSET_CLASSIFICATION!$A$8:$A$24,0)),"Review"))</f>
        <v>Portfolio</v>
      </c>
      <c r="O69" s="350" t="str">
        <f>IF($B69="Portfolio","Portfolio",IFERROR(INDEX(DATA_ASSET_CLASSIFICATION!$AB$8:$AB$13,MATCH($N69,DATA_ASSET_CLASSIFICATION!$AA$8:$AA$13,0)),"Review"))</f>
        <v>Portfolio</v>
      </c>
      <c r="P69" s="350" t="str">
        <f>IF($B69="Portfolio","Portfolio",IFERROR(INDEX(DATA_ASSET_CLASSIFICATION!$C$8:$C$24,MATCH($C69,DATA_ASSET_CLASSIFICATION!$A$8:$A$24,0)),"Review"))</f>
        <v>Portfolio</v>
      </c>
      <c r="Q69" s="350" t="str">
        <f t="shared" ref="Q69:Q132" si="3">IF(AND($B69="Property",$F69="Residual Funding Gap",$H69&gt;0),"Property Funding Gap",IF($J69&lt;&gt;"OK",$J69,"OK"))</f>
        <v>Funding Gap</v>
      </c>
    </row>
    <row r="70" spans="1:17">
      <c r="A70" s="366" t="s">
        <v>1839</v>
      </c>
      <c r="B70" s="366" t="s">
        <v>1681</v>
      </c>
      <c r="C70" s="366" t="s">
        <v>1682</v>
      </c>
      <c r="D70" s="380">
        <f>'00_PORTFOLIO ROLLUP'!H$12</f>
        <v>2028</v>
      </c>
      <c r="E70" s="366" t="s">
        <v>1741</v>
      </c>
      <c r="F70" s="366" t="s">
        <v>41</v>
      </c>
      <c r="H70" s="381">
        <f>'00_PORTFOLIO ROLLUP'!H$56+MAX('00_PORTFOLIO ROLLUP'!H$63,0)</f>
        <v>240560.97906341258</v>
      </c>
      <c r="I70" s="366" t="s">
        <v>1685</v>
      </c>
      <c r="J70" s="348" t="str">
        <f t="shared" si="2"/>
        <v>OK</v>
      </c>
      <c r="K70" s="366" t="s">
        <v>1742</v>
      </c>
      <c r="L70" s="366" t="s">
        <v>1743</v>
      </c>
      <c r="M70" s="350" t="str">
        <f>IF($B70="Portfolio","Portfolio",IFERROR(INDEX(DATA_ASSET_CLASSIFICATION!$B$8:$B$24,MATCH($C70,DATA_ASSET_CLASSIFICATION!$A$8:$A$24,0)),"Review"))</f>
        <v>Portfolio</v>
      </c>
      <c r="N70" s="350" t="str">
        <f>IF($B70="Portfolio","Portfolio",IFERROR(INDEX(DATA_ASSET_CLASSIFICATION!$U$8:$U$24,MATCH($C70,DATA_ASSET_CLASSIFICATION!$A$8:$A$24,0)),"Review"))</f>
        <v>Portfolio</v>
      </c>
      <c r="O70" s="350" t="str">
        <f>IF($B70="Portfolio","Portfolio",IFERROR(INDEX(DATA_ASSET_CLASSIFICATION!$AB$8:$AB$13,MATCH($N70,DATA_ASSET_CLASSIFICATION!$AA$8:$AA$13,0)),"Review"))</f>
        <v>Portfolio</v>
      </c>
      <c r="P70" s="350" t="str">
        <f>IF($B70="Portfolio","Portfolio",IFERROR(INDEX(DATA_ASSET_CLASSIFICATION!$C$8:$C$24,MATCH($C70,DATA_ASSET_CLASSIFICATION!$A$8:$A$24,0)),"Review"))</f>
        <v>Portfolio</v>
      </c>
      <c r="Q70" s="350" t="str">
        <f t="shared" si="3"/>
        <v>OK</v>
      </c>
    </row>
    <row r="71" spans="1:17">
      <c r="A71" s="366" t="s">
        <v>1840</v>
      </c>
      <c r="B71" s="366" t="s">
        <v>1681</v>
      </c>
      <c r="C71" s="366" t="s">
        <v>1682</v>
      </c>
      <c r="D71" s="380">
        <f>'00_PORTFOLIO ROLLUP'!H$12</f>
        <v>2028</v>
      </c>
      <c r="E71" s="366" t="s">
        <v>1741</v>
      </c>
      <c r="F71" s="366" t="s">
        <v>43</v>
      </c>
      <c r="G71" s="366" t="s">
        <v>1841</v>
      </c>
      <c r="H71" s="381">
        <f>'00_PORTFOLIO ROLLUP'!H$68</f>
        <v>-45259883.851642497</v>
      </c>
      <c r="I71" s="366" t="s">
        <v>1731</v>
      </c>
      <c r="J71" s="348" t="str">
        <f t="shared" si="2"/>
        <v>OK</v>
      </c>
      <c r="K71" s="366" t="s">
        <v>1746</v>
      </c>
      <c r="L71" s="366" t="s">
        <v>1747</v>
      </c>
      <c r="M71" s="350" t="str">
        <f>IF($B71="Portfolio","Portfolio",IFERROR(INDEX(DATA_ASSET_CLASSIFICATION!$B$8:$B$24,MATCH($C71,DATA_ASSET_CLASSIFICATION!$A$8:$A$24,0)),"Review"))</f>
        <v>Portfolio</v>
      </c>
      <c r="N71" s="350" t="str">
        <f>IF($B71="Portfolio","Portfolio",IFERROR(INDEX(DATA_ASSET_CLASSIFICATION!$U$8:$U$24,MATCH($C71,DATA_ASSET_CLASSIFICATION!$A$8:$A$24,0)),"Review"))</f>
        <v>Portfolio</v>
      </c>
      <c r="O71" s="350" t="str">
        <f>IF($B71="Portfolio","Portfolio",IFERROR(INDEX(DATA_ASSET_CLASSIFICATION!$AB$8:$AB$13,MATCH($N71,DATA_ASSET_CLASSIFICATION!$AA$8:$AA$13,0)),"Review"))</f>
        <v>Portfolio</v>
      </c>
      <c r="P71" s="350" t="str">
        <f>IF($B71="Portfolio","Portfolio",IFERROR(INDEX(DATA_ASSET_CLASSIFICATION!$C$8:$C$24,MATCH($C71,DATA_ASSET_CLASSIFICATION!$A$8:$A$24,0)),"Review"))</f>
        <v>Portfolio</v>
      </c>
      <c r="Q71" s="350" t="str">
        <f t="shared" si="3"/>
        <v>OK</v>
      </c>
    </row>
    <row r="72" spans="1:17">
      <c r="A72" s="366" t="s">
        <v>1842</v>
      </c>
      <c r="B72" s="366" t="s">
        <v>1681</v>
      </c>
      <c r="C72" s="366" t="s">
        <v>1682</v>
      </c>
      <c r="D72" s="380">
        <f>'00_PORTFOLIO ROLLUP'!H$12</f>
        <v>2028</v>
      </c>
      <c r="E72" s="366" t="s">
        <v>1741</v>
      </c>
      <c r="F72" s="366" t="s">
        <v>1749</v>
      </c>
      <c r="H72" s="381">
        <f>('00_PORTFOLIO ROLLUP'!H$56+MAX('00_PORTFOLIO ROLLUP'!H$63,0))-'00_PORTFOLIO ROLLUP'!H$68</f>
        <v>45500444.830705911</v>
      </c>
      <c r="I72" s="366" t="s">
        <v>1750</v>
      </c>
      <c r="J72" s="348" t="str">
        <f t="shared" si="2"/>
        <v>OK</v>
      </c>
      <c r="K72" s="366" t="s">
        <v>1751</v>
      </c>
      <c r="L72" s="366" t="s">
        <v>1752</v>
      </c>
      <c r="M72" s="350" t="str">
        <f>IF($B72="Portfolio","Portfolio",IFERROR(INDEX(DATA_ASSET_CLASSIFICATION!$B$8:$B$24,MATCH($C72,DATA_ASSET_CLASSIFICATION!$A$8:$A$24,0)),"Review"))</f>
        <v>Portfolio</v>
      </c>
      <c r="N72" s="350" t="str">
        <f>IF($B72="Portfolio","Portfolio",IFERROR(INDEX(DATA_ASSET_CLASSIFICATION!$U$8:$U$24,MATCH($C72,DATA_ASSET_CLASSIFICATION!$A$8:$A$24,0)),"Review"))</f>
        <v>Portfolio</v>
      </c>
      <c r="O72" s="350" t="str">
        <f>IF($B72="Portfolio","Portfolio",IFERROR(INDEX(DATA_ASSET_CLASSIFICATION!$AB$8:$AB$13,MATCH($N72,DATA_ASSET_CLASSIFICATION!$AA$8:$AA$13,0)),"Review"))</f>
        <v>Portfolio</v>
      </c>
      <c r="P72" s="350" t="str">
        <f>IF($B72="Portfolio","Portfolio",IFERROR(INDEX(DATA_ASSET_CLASSIFICATION!$C$8:$C$24,MATCH($C72,DATA_ASSET_CLASSIFICATION!$A$8:$A$24,0)),"Review"))</f>
        <v>Portfolio</v>
      </c>
      <c r="Q72" s="350" t="str">
        <f t="shared" si="3"/>
        <v>OK</v>
      </c>
    </row>
    <row r="73" spans="1:17">
      <c r="A73" s="366" t="s">
        <v>1843</v>
      </c>
      <c r="B73" s="366" t="s">
        <v>1681</v>
      </c>
      <c r="C73" s="366" t="s">
        <v>1682</v>
      </c>
      <c r="D73" s="380">
        <f>'00_PORTFOLIO ROLLUP'!I$12</f>
        <v>2029</v>
      </c>
      <c r="E73" s="366" t="s">
        <v>1683</v>
      </c>
      <c r="F73" s="366" t="s">
        <v>341</v>
      </c>
      <c r="G73" s="366" t="s">
        <v>1844</v>
      </c>
      <c r="H73" s="381">
        <f>'00_PORTFOLIO ROLLUP'!I$24</f>
        <v>19179315.005583636</v>
      </c>
      <c r="I73" s="366" t="s">
        <v>1685</v>
      </c>
      <c r="J73" s="348" t="str">
        <f t="shared" si="2"/>
        <v>OK</v>
      </c>
      <c r="K73" s="366" t="s">
        <v>1686</v>
      </c>
      <c r="L73" s="366" t="s">
        <v>1687</v>
      </c>
      <c r="M73" s="350" t="str">
        <f>IF($B73="Portfolio","Portfolio",IFERROR(INDEX(DATA_ASSET_CLASSIFICATION!$B$8:$B$24,MATCH($C73,DATA_ASSET_CLASSIFICATION!$A$8:$A$24,0)),"Review"))</f>
        <v>Portfolio</v>
      </c>
      <c r="N73" s="350" t="str">
        <f>IF($B73="Portfolio","Portfolio",IFERROR(INDEX(DATA_ASSET_CLASSIFICATION!$U$8:$U$24,MATCH($C73,DATA_ASSET_CLASSIFICATION!$A$8:$A$24,0)),"Review"))</f>
        <v>Portfolio</v>
      </c>
      <c r="O73" s="350" t="str">
        <f>IF($B73="Portfolio","Portfolio",IFERROR(INDEX(DATA_ASSET_CLASSIFICATION!$AB$8:$AB$13,MATCH($N73,DATA_ASSET_CLASSIFICATION!$AA$8:$AA$13,0)),"Review"))</f>
        <v>Portfolio</v>
      </c>
      <c r="P73" s="350" t="str">
        <f>IF($B73="Portfolio","Portfolio",IFERROR(INDEX(DATA_ASSET_CLASSIFICATION!$C$8:$C$24,MATCH($C73,DATA_ASSET_CLASSIFICATION!$A$8:$A$24,0)),"Review"))</f>
        <v>Portfolio</v>
      </c>
      <c r="Q73" s="350" t="str">
        <f t="shared" si="3"/>
        <v>OK</v>
      </c>
    </row>
    <row r="74" spans="1:17">
      <c r="A74" s="366" t="s">
        <v>1845</v>
      </c>
      <c r="B74" s="366" t="s">
        <v>1681</v>
      </c>
      <c r="C74" s="366" t="s">
        <v>1682</v>
      </c>
      <c r="D74" s="380">
        <f>'00_PORTFOLIO ROLLUP'!I$12</f>
        <v>2029</v>
      </c>
      <c r="E74" s="366" t="s">
        <v>1683</v>
      </c>
      <c r="F74" s="366" t="s">
        <v>355</v>
      </c>
      <c r="G74" s="366" t="s">
        <v>1846</v>
      </c>
      <c r="H74" s="381">
        <f>'00_PORTFOLIO ROLLUP'!I$39</f>
        <v>6260967.1971225599</v>
      </c>
      <c r="I74" s="366" t="s">
        <v>1690</v>
      </c>
      <c r="J74" s="348" t="str">
        <f t="shared" si="2"/>
        <v>OK</v>
      </c>
      <c r="K74" s="366" t="s">
        <v>1686</v>
      </c>
      <c r="L74" s="366" t="s">
        <v>1691</v>
      </c>
      <c r="M74" s="350" t="str">
        <f>IF($B74="Portfolio","Portfolio",IFERROR(INDEX(DATA_ASSET_CLASSIFICATION!$B$8:$B$24,MATCH($C74,DATA_ASSET_CLASSIFICATION!$A$8:$A$24,0)),"Review"))</f>
        <v>Portfolio</v>
      </c>
      <c r="N74" s="350" t="str">
        <f>IF($B74="Portfolio","Portfolio",IFERROR(INDEX(DATA_ASSET_CLASSIFICATION!$U$8:$U$24,MATCH($C74,DATA_ASSET_CLASSIFICATION!$A$8:$A$24,0)),"Review"))</f>
        <v>Portfolio</v>
      </c>
      <c r="O74" s="350" t="str">
        <f>IF($B74="Portfolio","Portfolio",IFERROR(INDEX(DATA_ASSET_CLASSIFICATION!$AB$8:$AB$13,MATCH($N74,DATA_ASSET_CLASSIFICATION!$AA$8:$AA$13,0)),"Review"))</f>
        <v>Portfolio</v>
      </c>
      <c r="P74" s="350" t="str">
        <f>IF($B74="Portfolio","Portfolio",IFERROR(INDEX(DATA_ASSET_CLASSIFICATION!$C$8:$C$24,MATCH($C74,DATA_ASSET_CLASSIFICATION!$A$8:$A$24,0)),"Review"))</f>
        <v>Portfolio</v>
      </c>
      <c r="Q74" s="350" t="str">
        <f t="shared" si="3"/>
        <v>OK</v>
      </c>
    </row>
    <row r="75" spans="1:17">
      <c r="A75" s="366" t="s">
        <v>1847</v>
      </c>
      <c r="B75" s="366" t="s">
        <v>1681</v>
      </c>
      <c r="C75" s="366" t="s">
        <v>1682</v>
      </c>
      <c r="D75" s="380">
        <f>'00_PORTFOLIO ROLLUP'!I$12</f>
        <v>2029</v>
      </c>
      <c r="E75" s="366" t="s">
        <v>1683</v>
      </c>
      <c r="F75" s="366" t="s">
        <v>19</v>
      </c>
      <c r="G75" s="366" t="s">
        <v>1848</v>
      </c>
      <c r="H75" s="381">
        <f>'00_PORTFOLIO ROLLUP'!I$41</f>
        <v>12918347.808461078</v>
      </c>
      <c r="I75" s="366" t="s">
        <v>1685</v>
      </c>
      <c r="J75" s="348" t="str">
        <f t="shared" si="2"/>
        <v>OK</v>
      </c>
      <c r="K75" s="366" t="s">
        <v>1694</v>
      </c>
      <c r="L75" s="366" t="s">
        <v>1695</v>
      </c>
      <c r="M75" s="350" t="str">
        <f>IF($B75="Portfolio","Portfolio",IFERROR(INDEX(DATA_ASSET_CLASSIFICATION!$B$8:$B$24,MATCH($C75,DATA_ASSET_CLASSIFICATION!$A$8:$A$24,0)),"Review"))</f>
        <v>Portfolio</v>
      </c>
      <c r="N75" s="350" t="str">
        <f>IF($B75="Portfolio","Portfolio",IFERROR(INDEX(DATA_ASSET_CLASSIFICATION!$U$8:$U$24,MATCH($C75,DATA_ASSET_CLASSIFICATION!$A$8:$A$24,0)),"Review"))</f>
        <v>Portfolio</v>
      </c>
      <c r="O75" s="350" t="str">
        <f>IF($B75="Portfolio","Portfolio",IFERROR(INDEX(DATA_ASSET_CLASSIFICATION!$AB$8:$AB$13,MATCH($N75,DATA_ASSET_CLASSIFICATION!$AA$8:$AA$13,0)),"Review"))</f>
        <v>Portfolio</v>
      </c>
      <c r="P75" s="350" t="str">
        <f>IF($B75="Portfolio","Portfolio",IFERROR(INDEX(DATA_ASSET_CLASSIFICATION!$C$8:$C$24,MATCH($C75,DATA_ASSET_CLASSIFICATION!$A$8:$A$24,0)),"Review"))</f>
        <v>Portfolio</v>
      </c>
      <c r="Q75" s="350" t="str">
        <f t="shared" si="3"/>
        <v>OK</v>
      </c>
    </row>
    <row r="76" spans="1:17">
      <c r="A76" s="366" t="s">
        <v>1849</v>
      </c>
      <c r="B76" s="366" t="s">
        <v>1681</v>
      </c>
      <c r="C76" s="366" t="s">
        <v>1682</v>
      </c>
      <c r="D76" s="380">
        <f>'00_PORTFOLIO ROLLUP'!I$12</f>
        <v>2029</v>
      </c>
      <c r="E76" s="366" t="s">
        <v>1683</v>
      </c>
      <c r="F76" s="366" t="s">
        <v>1697</v>
      </c>
      <c r="G76" s="366" t="s">
        <v>1850</v>
      </c>
      <c r="H76" s="381">
        <f>'00_PORTFOLIO ROLLUP'!I$44</f>
        <v>174704.550624</v>
      </c>
      <c r="I76" s="366" t="s">
        <v>1690</v>
      </c>
      <c r="J76" s="348" t="str">
        <f t="shared" si="2"/>
        <v>OK</v>
      </c>
      <c r="K76" s="366" t="s">
        <v>1699</v>
      </c>
      <c r="L76" s="366" t="s">
        <v>1700</v>
      </c>
      <c r="M76" s="350" t="str">
        <f>IF($B76="Portfolio","Portfolio",IFERROR(INDEX(DATA_ASSET_CLASSIFICATION!$B$8:$B$24,MATCH($C76,DATA_ASSET_CLASSIFICATION!$A$8:$A$24,0)),"Review"))</f>
        <v>Portfolio</v>
      </c>
      <c r="N76" s="350" t="str">
        <f>IF($B76="Portfolio","Portfolio",IFERROR(INDEX(DATA_ASSET_CLASSIFICATION!$U$8:$U$24,MATCH($C76,DATA_ASSET_CLASSIFICATION!$A$8:$A$24,0)),"Review"))</f>
        <v>Portfolio</v>
      </c>
      <c r="O76" s="350" t="str">
        <f>IF($B76="Portfolio","Portfolio",IFERROR(INDEX(DATA_ASSET_CLASSIFICATION!$AB$8:$AB$13,MATCH($N76,DATA_ASSET_CLASSIFICATION!$AA$8:$AA$13,0)),"Review"))</f>
        <v>Portfolio</v>
      </c>
      <c r="P76" s="350" t="str">
        <f>IF($B76="Portfolio","Portfolio",IFERROR(INDEX(DATA_ASSET_CLASSIFICATION!$C$8:$C$24,MATCH($C76,DATA_ASSET_CLASSIFICATION!$A$8:$A$24,0)),"Review"))</f>
        <v>Portfolio</v>
      </c>
      <c r="Q76" s="350" t="str">
        <f t="shared" si="3"/>
        <v>OK</v>
      </c>
    </row>
    <row r="77" spans="1:17">
      <c r="A77" s="366" t="s">
        <v>1851</v>
      </c>
      <c r="B77" s="366" t="s">
        <v>1681</v>
      </c>
      <c r="C77" s="366" t="s">
        <v>1682</v>
      </c>
      <c r="D77" s="380">
        <f>'00_PORTFOLIO ROLLUP'!I$12</f>
        <v>2029</v>
      </c>
      <c r="E77" s="366" t="s">
        <v>1683</v>
      </c>
      <c r="F77" s="366" t="s">
        <v>21</v>
      </c>
      <c r="G77" s="366" t="s">
        <v>1852</v>
      </c>
      <c r="H77" s="381">
        <f>'00_PORTFOLIO ROLLUP'!I$45</f>
        <v>12743643.257837078</v>
      </c>
      <c r="I77" s="366" t="s">
        <v>1685</v>
      </c>
      <c r="J77" s="348" t="str">
        <f t="shared" si="2"/>
        <v>OK</v>
      </c>
      <c r="K77" s="366" t="s">
        <v>1694</v>
      </c>
      <c r="L77" s="366" t="s">
        <v>1703</v>
      </c>
      <c r="M77" s="350" t="str">
        <f>IF($B77="Portfolio","Portfolio",IFERROR(INDEX(DATA_ASSET_CLASSIFICATION!$B$8:$B$24,MATCH($C77,DATA_ASSET_CLASSIFICATION!$A$8:$A$24,0)),"Review"))</f>
        <v>Portfolio</v>
      </c>
      <c r="N77" s="350" t="str">
        <f>IF($B77="Portfolio","Portfolio",IFERROR(INDEX(DATA_ASSET_CLASSIFICATION!$U$8:$U$24,MATCH($C77,DATA_ASSET_CLASSIFICATION!$A$8:$A$24,0)),"Review"))</f>
        <v>Portfolio</v>
      </c>
      <c r="O77" s="350" t="str">
        <f>IF($B77="Portfolio","Portfolio",IFERROR(INDEX(DATA_ASSET_CLASSIFICATION!$AB$8:$AB$13,MATCH($N77,DATA_ASSET_CLASSIFICATION!$AA$8:$AA$13,0)),"Review"))</f>
        <v>Portfolio</v>
      </c>
      <c r="P77" s="350" t="str">
        <f>IF($B77="Portfolio","Portfolio",IFERROR(INDEX(DATA_ASSET_CLASSIFICATION!$C$8:$C$24,MATCH($C77,DATA_ASSET_CLASSIFICATION!$A$8:$A$24,0)),"Review"))</f>
        <v>Portfolio</v>
      </c>
      <c r="Q77" s="350" t="str">
        <f t="shared" si="3"/>
        <v>OK</v>
      </c>
    </row>
    <row r="78" spans="1:17">
      <c r="A78" s="366" t="s">
        <v>1853</v>
      </c>
      <c r="B78" s="366" t="s">
        <v>1681</v>
      </c>
      <c r="C78" s="366" t="s">
        <v>1682</v>
      </c>
      <c r="D78" s="380">
        <f>'00_PORTFOLIO ROLLUP'!I$12</f>
        <v>2029</v>
      </c>
      <c r="E78" s="366" t="s">
        <v>23</v>
      </c>
      <c r="F78" s="366" t="s">
        <v>23</v>
      </c>
      <c r="G78" s="366" t="s">
        <v>1854</v>
      </c>
      <c r="H78" s="381">
        <f>'00_PORTFOLIO ROLLUP'!I$48</f>
        <v>8090648.3969786596</v>
      </c>
      <c r="I78" s="366" t="s">
        <v>1690</v>
      </c>
      <c r="J78" s="348" t="str">
        <f t="shared" si="2"/>
        <v>OK</v>
      </c>
      <c r="K78" s="366" t="s">
        <v>1706</v>
      </c>
      <c r="L78" s="366" t="s">
        <v>1707</v>
      </c>
      <c r="M78" s="350" t="str">
        <f>IF($B78="Portfolio","Portfolio",IFERROR(INDEX(DATA_ASSET_CLASSIFICATION!$B$8:$B$24,MATCH($C78,DATA_ASSET_CLASSIFICATION!$A$8:$A$24,0)),"Review"))</f>
        <v>Portfolio</v>
      </c>
      <c r="N78" s="350" t="str">
        <f>IF($B78="Portfolio","Portfolio",IFERROR(INDEX(DATA_ASSET_CLASSIFICATION!$U$8:$U$24,MATCH($C78,DATA_ASSET_CLASSIFICATION!$A$8:$A$24,0)),"Review"))</f>
        <v>Portfolio</v>
      </c>
      <c r="O78" s="350" t="str">
        <f>IF($B78="Portfolio","Portfolio",IFERROR(INDEX(DATA_ASSET_CLASSIFICATION!$AB$8:$AB$13,MATCH($N78,DATA_ASSET_CLASSIFICATION!$AA$8:$AA$13,0)),"Review"))</f>
        <v>Portfolio</v>
      </c>
      <c r="P78" s="350" t="str">
        <f>IF($B78="Portfolio","Portfolio",IFERROR(INDEX(DATA_ASSET_CLASSIFICATION!$C$8:$C$24,MATCH($C78,DATA_ASSET_CLASSIFICATION!$A$8:$A$24,0)),"Review"))</f>
        <v>Portfolio</v>
      </c>
      <c r="Q78" s="350" t="str">
        <f t="shared" si="3"/>
        <v>OK</v>
      </c>
    </row>
    <row r="79" spans="1:17">
      <c r="A79" s="366" t="s">
        <v>1855</v>
      </c>
      <c r="B79" s="366" t="s">
        <v>1681</v>
      </c>
      <c r="C79" s="366" t="s">
        <v>1682</v>
      </c>
      <c r="D79" s="380">
        <f>'00_PORTFOLIO ROLLUP'!I$12</f>
        <v>2029</v>
      </c>
      <c r="E79" s="366" t="s">
        <v>1683</v>
      </c>
      <c r="F79" s="366" t="s">
        <v>25</v>
      </c>
      <c r="G79" s="366" t="s">
        <v>1856</v>
      </c>
      <c r="H79" s="381">
        <f>'00_PORTFOLIO ROLLUP'!I$52</f>
        <v>4827699.411482418</v>
      </c>
      <c r="I79" s="366" t="s">
        <v>1685</v>
      </c>
      <c r="J79" s="348" t="str">
        <f t="shared" si="2"/>
        <v>OK</v>
      </c>
      <c r="K79" s="366" t="s">
        <v>1710</v>
      </c>
      <c r="L79" s="366" t="s">
        <v>1711</v>
      </c>
      <c r="M79" s="350" t="str">
        <f>IF($B79="Portfolio","Portfolio",IFERROR(INDEX(DATA_ASSET_CLASSIFICATION!$B$8:$B$24,MATCH($C79,DATA_ASSET_CLASSIFICATION!$A$8:$A$24,0)),"Review"))</f>
        <v>Portfolio</v>
      </c>
      <c r="N79" s="350" t="str">
        <f>IF($B79="Portfolio","Portfolio",IFERROR(INDEX(DATA_ASSET_CLASSIFICATION!$U$8:$U$24,MATCH($C79,DATA_ASSET_CLASSIFICATION!$A$8:$A$24,0)),"Review"))</f>
        <v>Portfolio</v>
      </c>
      <c r="O79" s="350" t="str">
        <f>IF($B79="Portfolio","Portfolio",IFERROR(INDEX(DATA_ASSET_CLASSIFICATION!$AB$8:$AB$13,MATCH($N79,DATA_ASSET_CLASSIFICATION!$AA$8:$AA$13,0)),"Review"))</f>
        <v>Portfolio</v>
      </c>
      <c r="P79" s="350" t="str">
        <f>IF($B79="Portfolio","Portfolio",IFERROR(INDEX(DATA_ASSET_CLASSIFICATION!$C$8:$C$24,MATCH($C79,DATA_ASSET_CLASSIFICATION!$A$8:$A$24,0)),"Review"))</f>
        <v>Portfolio</v>
      </c>
      <c r="Q79" s="350" t="str">
        <f t="shared" si="3"/>
        <v>OK</v>
      </c>
    </row>
    <row r="80" spans="1:17">
      <c r="A80" s="366" t="s">
        <v>1857</v>
      </c>
      <c r="B80" s="366" t="s">
        <v>1681</v>
      </c>
      <c r="C80" s="366" t="s">
        <v>1682</v>
      </c>
      <c r="D80" s="380">
        <f>'00_PORTFOLIO ROLLUP'!I$12</f>
        <v>2029</v>
      </c>
      <c r="E80" s="366" t="s">
        <v>1683</v>
      </c>
      <c r="F80" s="366" t="s">
        <v>27</v>
      </c>
      <c r="G80" s="366" t="s">
        <v>1858</v>
      </c>
      <c r="H80" s="381">
        <f>'00_PORTFOLIO ROLLUP'!I$54</f>
        <v>2896619.6468894505</v>
      </c>
      <c r="I80" s="366" t="s">
        <v>1690</v>
      </c>
      <c r="J80" s="348" t="str">
        <f t="shared" si="2"/>
        <v>OK</v>
      </c>
      <c r="K80" s="366" t="s">
        <v>1714</v>
      </c>
      <c r="L80" s="366" t="s">
        <v>1715</v>
      </c>
      <c r="M80" s="350" t="str">
        <f>IF($B80="Portfolio","Portfolio",IFERROR(INDEX(DATA_ASSET_CLASSIFICATION!$B$8:$B$24,MATCH($C80,DATA_ASSET_CLASSIFICATION!$A$8:$A$24,0)),"Review"))</f>
        <v>Portfolio</v>
      </c>
      <c r="N80" s="350" t="str">
        <f>IF($B80="Portfolio","Portfolio",IFERROR(INDEX(DATA_ASSET_CLASSIFICATION!$U$8:$U$24,MATCH($C80,DATA_ASSET_CLASSIFICATION!$A$8:$A$24,0)),"Review"))</f>
        <v>Portfolio</v>
      </c>
      <c r="O80" s="350" t="str">
        <f>IF($B80="Portfolio","Portfolio",IFERROR(INDEX(DATA_ASSET_CLASSIFICATION!$AB$8:$AB$13,MATCH($N80,DATA_ASSET_CLASSIFICATION!$AA$8:$AA$13,0)),"Review"))</f>
        <v>Portfolio</v>
      </c>
      <c r="P80" s="350" t="str">
        <f>IF($B80="Portfolio","Portfolio",IFERROR(INDEX(DATA_ASSET_CLASSIFICATION!$C$8:$C$24,MATCH($C80,DATA_ASSET_CLASSIFICATION!$A$8:$A$24,0)),"Review"))</f>
        <v>Portfolio</v>
      </c>
      <c r="Q80" s="350" t="str">
        <f t="shared" si="3"/>
        <v>OK</v>
      </c>
    </row>
    <row r="81" spans="1:17">
      <c r="A81" s="366" t="s">
        <v>1859</v>
      </c>
      <c r="B81" s="366" t="s">
        <v>1681</v>
      </c>
      <c r="C81" s="366" t="s">
        <v>1682</v>
      </c>
      <c r="D81" s="380">
        <f>'00_PORTFOLIO ROLLUP'!I$12</f>
        <v>2029</v>
      </c>
      <c r="E81" s="366" t="s">
        <v>1683</v>
      </c>
      <c r="F81" s="366" t="s">
        <v>29</v>
      </c>
      <c r="G81" s="366" t="s">
        <v>1860</v>
      </c>
      <c r="H81" s="381">
        <f>'00_PORTFOLIO ROLLUP'!I$56</f>
        <v>1931079.7645929675</v>
      </c>
      <c r="I81" s="366" t="s">
        <v>1685</v>
      </c>
      <c r="J81" s="348" t="str">
        <f t="shared" si="2"/>
        <v>OK</v>
      </c>
      <c r="K81" s="366" t="s">
        <v>1718</v>
      </c>
      <c r="L81" s="366" t="s">
        <v>1719</v>
      </c>
      <c r="M81" s="350" t="str">
        <f>IF($B81="Portfolio","Portfolio",IFERROR(INDEX(DATA_ASSET_CLASSIFICATION!$B$8:$B$24,MATCH($C81,DATA_ASSET_CLASSIFICATION!$A$8:$A$24,0)),"Review"))</f>
        <v>Portfolio</v>
      </c>
      <c r="N81" s="350" t="str">
        <f>IF($B81="Portfolio","Portfolio",IFERROR(INDEX(DATA_ASSET_CLASSIFICATION!$U$8:$U$24,MATCH($C81,DATA_ASSET_CLASSIFICATION!$A$8:$A$24,0)),"Review"))</f>
        <v>Portfolio</v>
      </c>
      <c r="O81" s="350" t="str">
        <f>IF($B81="Portfolio","Portfolio",IFERROR(INDEX(DATA_ASSET_CLASSIFICATION!$AB$8:$AB$13,MATCH($N81,DATA_ASSET_CLASSIFICATION!$AA$8:$AA$13,0)),"Review"))</f>
        <v>Portfolio</v>
      </c>
      <c r="P81" s="350" t="str">
        <f>IF($B81="Portfolio","Portfolio",IFERROR(INDEX(DATA_ASSET_CLASSIFICATION!$C$8:$C$24,MATCH($C81,DATA_ASSET_CLASSIFICATION!$A$8:$A$24,0)),"Review"))</f>
        <v>Portfolio</v>
      </c>
      <c r="Q81" s="350" t="str">
        <f t="shared" si="3"/>
        <v>OK</v>
      </c>
    </row>
    <row r="82" spans="1:17">
      <c r="A82" s="366" t="s">
        <v>1861</v>
      </c>
      <c r="B82" s="366" t="s">
        <v>1681</v>
      </c>
      <c r="C82" s="366" t="s">
        <v>1682</v>
      </c>
      <c r="D82" s="380">
        <f>'00_PORTFOLIO ROLLUP'!I$12</f>
        <v>2029</v>
      </c>
      <c r="E82" s="366" t="s">
        <v>1721</v>
      </c>
      <c r="F82" s="366" t="s">
        <v>31</v>
      </c>
      <c r="G82" s="366" t="s">
        <v>1862</v>
      </c>
      <c r="H82" s="381">
        <f>'00_PORTFOLIO ROLLUP'!I$61</f>
        <v>-35821320.972091272</v>
      </c>
      <c r="I82" s="366" t="s">
        <v>1690</v>
      </c>
      <c r="J82" s="348" t="str">
        <f t="shared" si="2"/>
        <v>OK</v>
      </c>
      <c r="K82" s="366" t="s">
        <v>1723</v>
      </c>
      <c r="L82" s="366" t="s">
        <v>1724</v>
      </c>
      <c r="M82" s="350" t="str">
        <f>IF($B82="Portfolio","Portfolio",IFERROR(INDEX(DATA_ASSET_CLASSIFICATION!$B$8:$B$24,MATCH($C82,DATA_ASSET_CLASSIFICATION!$A$8:$A$24,0)),"Review"))</f>
        <v>Portfolio</v>
      </c>
      <c r="N82" s="350" t="str">
        <f>IF($B82="Portfolio","Portfolio",IFERROR(INDEX(DATA_ASSET_CLASSIFICATION!$U$8:$U$24,MATCH($C82,DATA_ASSET_CLASSIFICATION!$A$8:$A$24,0)),"Review"))</f>
        <v>Portfolio</v>
      </c>
      <c r="O82" s="350" t="str">
        <f>IF($B82="Portfolio","Portfolio",IFERROR(INDEX(DATA_ASSET_CLASSIFICATION!$AB$8:$AB$13,MATCH($N82,DATA_ASSET_CLASSIFICATION!$AA$8:$AA$13,0)),"Review"))</f>
        <v>Portfolio</v>
      </c>
      <c r="P82" s="350" t="str">
        <f>IF($B82="Portfolio","Portfolio",IFERROR(INDEX(DATA_ASSET_CLASSIFICATION!$C$8:$C$24,MATCH($C82,DATA_ASSET_CLASSIFICATION!$A$8:$A$24,0)),"Review"))</f>
        <v>Portfolio</v>
      </c>
      <c r="Q82" s="350" t="str">
        <f t="shared" si="3"/>
        <v>OK</v>
      </c>
    </row>
    <row r="83" spans="1:17">
      <c r="A83" s="366" t="s">
        <v>1863</v>
      </c>
      <c r="B83" s="366" t="s">
        <v>1681</v>
      </c>
      <c r="C83" s="366" t="s">
        <v>1682</v>
      </c>
      <c r="D83" s="380">
        <f>'00_PORTFOLIO ROLLUP'!I$12</f>
        <v>2029</v>
      </c>
      <c r="E83" s="366" t="s">
        <v>1721</v>
      </c>
      <c r="F83" s="366" t="s">
        <v>33</v>
      </c>
      <c r="G83" s="366" t="s">
        <v>1864</v>
      </c>
      <c r="H83" s="381">
        <f>'00_PORTFOLIO ROLLUP'!I$62</f>
        <v>18435922.196523327</v>
      </c>
      <c r="I83" s="366" t="s">
        <v>1685</v>
      </c>
      <c r="J83" s="348" t="str">
        <f t="shared" si="2"/>
        <v>OK</v>
      </c>
      <c r="K83" s="366" t="s">
        <v>1727</v>
      </c>
      <c r="L83" s="366" t="s">
        <v>1728</v>
      </c>
      <c r="M83" s="350" t="str">
        <f>IF($B83="Portfolio","Portfolio",IFERROR(INDEX(DATA_ASSET_CLASSIFICATION!$B$8:$B$24,MATCH($C83,DATA_ASSET_CLASSIFICATION!$A$8:$A$24,0)),"Review"))</f>
        <v>Portfolio</v>
      </c>
      <c r="N83" s="350" t="str">
        <f>IF($B83="Portfolio","Portfolio",IFERROR(INDEX(DATA_ASSET_CLASSIFICATION!$U$8:$U$24,MATCH($C83,DATA_ASSET_CLASSIFICATION!$A$8:$A$24,0)),"Review"))</f>
        <v>Portfolio</v>
      </c>
      <c r="O83" s="350" t="str">
        <f>IF($B83="Portfolio","Portfolio",IFERROR(INDEX(DATA_ASSET_CLASSIFICATION!$AB$8:$AB$13,MATCH($N83,DATA_ASSET_CLASSIFICATION!$AA$8:$AA$13,0)),"Review"))</f>
        <v>Portfolio</v>
      </c>
      <c r="P83" s="350" t="str">
        <f>IF($B83="Portfolio","Portfolio",IFERROR(INDEX(DATA_ASSET_CLASSIFICATION!$C$8:$C$24,MATCH($C83,DATA_ASSET_CLASSIFICATION!$A$8:$A$24,0)),"Review"))</f>
        <v>Portfolio</v>
      </c>
      <c r="Q83" s="350" t="str">
        <f t="shared" si="3"/>
        <v>OK</v>
      </c>
    </row>
    <row r="84" spans="1:17" ht="30">
      <c r="A84" s="366" t="s">
        <v>1865</v>
      </c>
      <c r="B84" s="366" t="s">
        <v>1681</v>
      </c>
      <c r="C84" s="366" t="s">
        <v>1682</v>
      </c>
      <c r="D84" s="380">
        <f>'00_PORTFOLIO ROLLUP'!I$12</f>
        <v>2029</v>
      </c>
      <c r="E84" s="366" t="s">
        <v>1721</v>
      </c>
      <c r="F84" s="366" t="s">
        <v>35</v>
      </c>
      <c r="G84" s="366" t="s">
        <v>1866</v>
      </c>
      <c r="H84" s="381">
        <f>'00_PORTFOLIO ROLLUP'!I$63</f>
        <v>-17385398.775567945</v>
      </c>
      <c r="I84" s="366" t="s">
        <v>1731</v>
      </c>
      <c r="J84" s="348" t="str">
        <f t="shared" si="2"/>
        <v>Negative net refi position</v>
      </c>
      <c r="K84" s="366" t="s">
        <v>1732</v>
      </c>
      <c r="L84" s="366" t="s">
        <v>1733</v>
      </c>
      <c r="M84" s="350" t="str">
        <f>IF($B84="Portfolio","Portfolio",IFERROR(INDEX(DATA_ASSET_CLASSIFICATION!$B$8:$B$24,MATCH($C84,DATA_ASSET_CLASSIFICATION!$A$8:$A$24,0)),"Review"))</f>
        <v>Portfolio</v>
      </c>
      <c r="N84" s="350" t="str">
        <f>IF($B84="Portfolio","Portfolio",IFERROR(INDEX(DATA_ASSET_CLASSIFICATION!$U$8:$U$24,MATCH($C84,DATA_ASSET_CLASSIFICATION!$A$8:$A$24,0)),"Review"))</f>
        <v>Portfolio</v>
      </c>
      <c r="O84" s="350" t="str">
        <f>IF($B84="Portfolio","Portfolio",IFERROR(INDEX(DATA_ASSET_CLASSIFICATION!$AB$8:$AB$13,MATCH($N84,DATA_ASSET_CLASSIFICATION!$AA$8:$AA$13,0)),"Review"))</f>
        <v>Portfolio</v>
      </c>
      <c r="P84" s="350" t="str">
        <f>IF($B84="Portfolio","Portfolio",IFERROR(INDEX(DATA_ASSET_CLASSIFICATION!$C$8:$C$24,MATCH($C84,DATA_ASSET_CLASSIFICATION!$A$8:$A$24,0)),"Review"))</f>
        <v>Portfolio</v>
      </c>
      <c r="Q84" s="350" t="str">
        <f t="shared" si="3"/>
        <v>Negative net refi position</v>
      </c>
    </row>
    <row r="85" spans="1:17">
      <c r="A85" s="366" t="s">
        <v>1867</v>
      </c>
      <c r="B85" s="366" t="s">
        <v>1681</v>
      </c>
      <c r="C85" s="366" t="s">
        <v>1682</v>
      </c>
      <c r="D85" s="380">
        <f>'00_PORTFOLIO ROLLUP'!I$12</f>
        <v>2029</v>
      </c>
      <c r="E85" s="366" t="s">
        <v>1721</v>
      </c>
      <c r="F85" s="366" t="s">
        <v>37</v>
      </c>
      <c r="G85" s="366" t="s">
        <v>1866</v>
      </c>
      <c r="H85" s="381">
        <f>MAX('00_PORTFOLIO ROLLUP'!I$63,0)</f>
        <v>0</v>
      </c>
      <c r="I85" s="366" t="s">
        <v>1685</v>
      </c>
      <c r="J85" s="348" t="str">
        <f t="shared" si="2"/>
        <v>OK</v>
      </c>
      <c r="K85" s="366" t="s">
        <v>1735</v>
      </c>
      <c r="L85" s="366" t="s">
        <v>1736</v>
      </c>
      <c r="M85" s="350" t="str">
        <f>IF($B85="Portfolio","Portfolio",IFERROR(INDEX(DATA_ASSET_CLASSIFICATION!$B$8:$B$24,MATCH($C85,DATA_ASSET_CLASSIFICATION!$A$8:$A$24,0)),"Review"))</f>
        <v>Portfolio</v>
      </c>
      <c r="N85" s="350" t="str">
        <f>IF($B85="Portfolio","Portfolio",IFERROR(INDEX(DATA_ASSET_CLASSIFICATION!$U$8:$U$24,MATCH($C85,DATA_ASSET_CLASSIFICATION!$A$8:$A$24,0)),"Review"))</f>
        <v>Portfolio</v>
      </c>
      <c r="O85" s="350" t="str">
        <f>IF($B85="Portfolio","Portfolio",IFERROR(INDEX(DATA_ASSET_CLASSIFICATION!$AB$8:$AB$13,MATCH($N85,DATA_ASSET_CLASSIFICATION!$AA$8:$AA$13,0)),"Review"))</f>
        <v>Portfolio</v>
      </c>
      <c r="P85" s="350" t="str">
        <f>IF($B85="Portfolio","Portfolio",IFERROR(INDEX(DATA_ASSET_CLASSIFICATION!$C$8:$C$24,MATCH($C85,DATA_ASSET_CLASSIFICATION!$A$8:$A$24,0)),"Review"))</f>
        <v>Portfolio</v>
      </c>
      <c r="Q85" s="350" t="str">
        <f t="shared" si="3"/>
        <v>OK</v>
      </c>
    </row>
    <row r="86" spans="1:17">
      <c r="A86" s="366" t="s">
        <v>1868</v>
      </c>
      <c r="B86" s="366" t="s">
        <v>1681</v>
      </c>
      <c r="C86" s="366" t="s">
        <v>1682</v>
      </c>
      <c r="D86" s="380">
        <f>'00_PORTFOLIO ROLLUP'!I$12</f>
        <v>2029</v>
      </c>
      <c r="E86" s="366" t="s">
        <v>1721</v>
      </c>
      <c r="F86" s="366" t="s">
        <v>39</v>
      </c>
      <c r="G86" s="366" t="s">
        <v>1866</v>
      </c>
      <c r="H86" s="381">
        <f>MAX(-'00_PORTFOLIO ROLLUP'!I$63,0)</f>
        <v>17385398.775567945</v>
      </c>
      <c r="I86" s="366" t="s">
        <v>1690</v>
      </c>
      <c r="J86" s="348" t="str">
        <f t="shared" si="2"/>
        <v>Funding Gap</v>
      </c>
      <c r="K86" s="366" t="s">
        <v>1738</v>
      </c>
      <c r="L86" s="366" t="s">
        <v>1739</v>
      </c>
      <c r="M86" s="350" t="str">
        <f>IF($B86="Portfolio","Portfolio",IFERROR(INDEX(DATA_ASSET_CLASSIFICATION!$B$8:$B$24,MATCH($C86,DATA_ASSET_CLASSIFICATION!$A$8:$A$24,0)),"Review"))</f>
        <v>Portfolio</v>
      </c>
      <c r="N86" s="350" t="str">
        <f>IF($B86="Portfolio","Portfolio",IFERROR(INDEX(DATA_ASSET_CLASSIFICATION!$U$8:$U$24,MATCH($C86,DATA_ASSET_CLASSIFICATION!$A$8:$A$24,0)),"Review"))</f>
        <v>Portfolio</v>
      </c>
      <c r="O86" s="350" t="str">
        <f>IF($B86="Portfolio","Portfolio",IFERROR(INDEX(DATA_ASSET_CLASSIFICATION!$AB$8:$AB$13,MATCH($N86,DATA_ASSET_CLASSIFICATION!$AA$8:$AA$13,0)),"Review"))</f>
        <v>Portfolio</v>
      </c>
      <c r="P86" s="350" t="str">
        <f>IF($B86="Portfolio","Portfolio",IFERROR(INDEX(DATA_ASSET_CLASSIFICATION!$C$8:$C$24,MATCH($C86,DATA_ASSET_CLASSIFICATION!$A$8:$A$24,0)),"Review"))</f>
        <v>Portfolio</v>
      </c>
      <c r="Q86" s="350" t="str">
        <f t="shared" si="3"/>
        <v>Funding Gap</v>
      </c>
    </row>
    <row r="87" spans="1:17">
      <c r="A87" s="366" t="s">
        <v>1869</v>
      </c>
      <c r="B87" s="366" t="s">
        <v>1681</v>
      </c>
      <c r="C87" s="366" t="s">
        <v>1682</v>
      </c>
      <c r="D87" s="380">
        <f>'00_PORTFOLIO ROLLUP'!I$12</f>
        <v>2029</v>
      </c>
      <c r="E87" s="366" t="s">
        <v>1741</v>
      </c>
      <c r="F87" s="366" t="s">
        <v>41</v>
      </c>
      <c r="H87" s="381">
        <f>'00_PORTFOLIO ROLLUP'!I$56+MAX('00_PORTFOLIO ROLLUP'!I$63,0)</f>
        <v>1931079.7645929675</v>
      </c>
      <c r="I87" s="366" t="s">
        <v>1685</v>
      </c>
      <c r="J87" s="348" t="str">
        <f t="shared" si="2"/>
        <v>OK</v>
      </c>
      <c r="K87" s="366" t="s">
        <v>1742</v>
      </c>
      <c r="L87" s="366" t="s">
        <v>1743</v>
      </c>
      <c r="M87" s="350" t="str">
        <f>IF($B87="Portfolio","Portfolio",IFERROR(INDEX(DATA_ASSET_CLASSIFICATION!$B$8:$B$24,MATCH($C87,DATA_ASSET_CLASSIFICATION!$A$8:$A$24,0)),"Review"))</f>
        <v>Portfolio</v>
      </c>
      <c r="N87" s="350" t="str">
        <f>IF($B87="Portfolio","Portfolio",IFERROR(INDEX(DATA_ASSET_CLASSIFICATION!$U$8:$U$24,MATCH($C87,DATA_ASSET_CLASSIFICATION!$A$8:$A$24,0)),"Review"))</f>
        <v>Portfolio</v>
      </c>
      <c r="O87" s="350" t="str">
        <f>IF($B87="Portfolio","Portfolio",IFERROR(INDEX(DATA_ASSET_CLASSIFICATION!$AB$8:$AB$13,MATCH($N87,DATA_ASSET_CLASSIFICATION!$AA$8:$AA$13,0)),"Review"))</f>
        <v>Portfolio</v>
      </c>
      <c r="P87" s="350" t="str">
        <f>IF($B87="Portfolio","Portfolio",IFERROR(INDEX(DATA_ASSET_CLASSIFICATION!$C$8:$C$24,MATCH($C87,DATA_ASSET_CLASSIFICATION!$A$8:$A$24,0)),"Review"))</f>
        <v>Portfolio</v>
      </c>
      <c r="Q87" s="350" t="str">
        <f t="shared" si="3"/>
        <v>OK</v>
      </c>
    </row>
    <row r="88" spans="1:17">
      <c r="A88" s="366" t="s">
        <v>1870</v>
      </c>
      <c r="B88" s="366" t="s">
        <v>1681</v>
      </c>
      <c r="C88" s="366" t="s">
        <v>1682</v>
      </c>
      <c r="D88" s="380">
        <f>'00_PORTFOLIO ROLLUP'!I$12</f>
        <v>2029</v>
      </c>
      <c r="E88" s="366" t="s">
        <v>1741</v>
      </c>
      <c r="F88" s="366" t="s">
        <v>43</v>
      </c>
      <c r="G88" s="366" t="s">
        <v>1871</v>
      </c>
      <c r="H88" s="381">
        <f>'00_PORTFOLIO ROLLUP'!I$68</f>
        <v>-15454319.010974977</v>
      </c>
      <c r="I88" s="366" t="s">
        <v>1731</v>
      </c>
      <c r="J88" s="348" t="str">
        <f t="shared" si="2"/>
        <v>OK</v>
      </c>
      <c r="K88" s="366" t="s">
        <v>1746</v>
      </c>
      <c r="L88" s="366" t="s">
        <v>1747</v>
      </c>
      <c r="M88" s="350" t="str">
        <f>IF($B88="Portfolio","Portfolio",IFERROR(INDEX(DATA_ASSET_CLASSIFICATION!$B$8:$B$24,MATCH($C88,DATA_ASSET_CLASSIFICATION!$A$8:$A$24,0)),"Review"))</f>
        <v>Portfolio</v>
      </c>
      <c r="N88" s="350" t="str">
        <f>IF($B88="Portfolio","Portfolio",IFERROR(INDEX(DATA_ASSET_CLASSIFICATION!$U$8:$U$24,MATCH($C88,DATA_ASSET_CLASSIFICATION!$A$8:$A$24,0)),"Review"))</f>
        <v>Portfolio</v>
      </c>
      <c r="O88" s="350" t="str">
        <f>IF($B88="Portfolio","Portfolio",IFERROR(INDEX(DATA_ASSET_CLASSIFICATION!$AB$8:$AB$13,MATCH($N88,DATA_ASSET_CLASSIFICATION!$AA$8:$AA$13,0)),"Review"))</f>
        <v>Portfolio</v>
      </c>
      <c r="P88" s="350" t="str">
        <f>IF($B88="Portfolio","Portfolio",IFERROR(INDEX(DATA_ASSET_CLASSIFICATION!$C$8:$C$24,MATCH($C88,DATA_ASSET_CLASSIFICATION!$A$8:$A$24,0)),"Review"))</f>
        <v>Portfolio</v>
      </c>
      <c r="Q88" s="350" t="str">
        <f t="shared" si="3"/>
        <v>OK</v>
      </c>
    </row>
    <row r="89" spans="1:17">
      <c r="A89" s="366" t="s">
        <v>1872</v>
      </c>
      <c r="B89" s="366" t="s">
        <v>1681</v>
      </c>
      <c r="C89" s="366" t="s">
        <v>1682</v>
      </c>
      <c r="D89" s="380">
        <f>'00_PORTFOLIO ROLLUP'!I$12</f>
        <v>2029</v>
      </c>
      <c r="E89" s="366" t="s">
        <v>1741</v>
      </c>
      <c r="F89" s="366" t="s">
        <v>1749</v>
      </c>
      <c r="H89" s="381">
        <f>('00_PORTFOLIO ROLLUP'!I$56+MAX('00_PORTFOLIO ROLLUP'!I$63,0))-'00_PORTFOLIO ROLLUP'!I$68</f>
        <v>17385398.775567945</v>
      </c>
      <c r="I89" s="366" t="s">
        <v>1750</v>
      </c>
      <c r="J89" s="348" t="str">
        <f t="shared" si="2"/>
        <v>OK</v>
      </c>
      <c r="K89" s="366" t="s">
        <v>1751</v>
      </c>
      <c r="L89" s="366" t="s">
        <v>1752</v>
      </c>
      <c r="M89" s="350" t="str">
        <f>IF($B89="Portfolio","Portfolio",IFERROR(INDEX(DATA_ASSET_CLASSIFICATION!$B$8:$B$24,MATCH($C89,DATA_ASSET_CLASSIFICATION!$A$8:$A$24,0)),"Review"))</f>
        <v>Portfolio</v>
      </c>
      <c r="N89" s="350" t="str">
        <f>IF($B89="Portfolio","Portfolio",IFERROR(INDEX(DATA_ASSET_CLASSIFICATION!$U$8:$U$24,MATCH($C89,DATA_ASSET_CLASSIFICATION!$A$8:$A$24,0)),"Review"))</f>
        <v>Portfolio</v>
      </c>
      <c r="O89" s="350" t="str">
        <f>IF($B89="Portfolio","Portfolio",IFERROR(INDEX(DATA_ASSET_CLASSIFICATION!$AB$8:$AB$13,MATCH($N89,DATA_ASSET_CLASSIFICATION!$AA$8:$AA$13,0)),"Review"))</f>
        <v>Portfolio</v>
      </c>
      <c r="P89" s="350" t="str">
        <f>IF($B89="Portfolio","Portfolio",IFERROR(INDEX(DATA_ASSET_CLASSIFICATION!$C$8:$C$24,MATCH($C89,DATA_ASSET_CLASSIFICATION!$A$8:$A$24,0)),"Review"))</f>
        <v>Portfolio</v>
      </c>
      <c r="Q89" s="350" t="str">
        <f t="shared" si="3"/>
        <v>OK</v>
      </c>
    </row>
    <row r="90" spans="1:17">
      <c r="A90" s="366" t="s">
        <v>1873</v>
      </c>
      <c r="B90" s="366" t="s">
        <v>1681</v>
      </c>
      <c r="C90" s="366" t="s">
        <v>1682</v>
      </c>
      <c r="D90" s="380">
        <f>'00_PORTFOLIO ROLLUP'!J$12</f>
        <v>2030</v>
      </c>
      <c r="E90" s="366" t="s">
        <v>1683</v>
      </c>
      <c r="F90" s="366" t="s">
        <v>341</v>
      </c>
      <c r="G90" s="366" t="s">
        <v>1874</v>
      </c>
      <c r="H90" s="381">
        <f>'00_PORTFOLIO ROLLUP'!J$24</f>
        <v>19559603.429695312</v>
      </c>
      <c r="I90" s="366" t="s">
        <v>1685</v>
      </c>
      <c r="J90" s="348" t="str">
        <f t="shared" si="2"/>
        <v>OK</v>
      </c>
      <c r="K90" s="366" t="s">
        <v>1686</v>
      </c>
      <c r="L90" s="366" t="s">
        <v>1687</v>
      </c>
      <c r="M90" s="350" t="str">
        <f>IF($B90="Portfolio","Portfolio",IFERROR(INDEX(DATA_ASSET_CLASSIFICATION!$B$8:$B$24,MATCH($C90,DATA_ASSET_CLASSIFICATION!$A$8:$A$24,0)),"Review"))</f>
        <v>Portfolio</v>
      </c>
      <c r="N90" s="350" t="str">
        <f>IF($B90="Portfolio","Portfolio",IFERROR(INDEX(DATA_ASSET_CLASSIFICATION!$U$8:$U$24,MATCH($C90,DATA_ASSET_CLASSIFICATION!$A$8:$A$24,0)),"Review"))</f>
        <v>Portfolio</v>
      </c>
      <c r="O90" s="350" t="str">
        <f>IF($B90="Portfolio","Portfolio",IFERROR(INDEX(DATA_ASSET_CLASSIFICATION!$AB$8:$AB$13,MATCH($N90,DATA_ASSET_CLASSIFICATION!$AA$8:$AA$13,0)),"Review"))</f>
        <v>Portfolio</v>
      </c>
      <c r="P90" s="350" t="str">
        <f>IF($B90="Portfolio","Portfolio",IFERROR(INDEX(DATA_ASSET_CLASSIFICATION!$C$8:$C$24,MATCH($C90,DATA_ASSET_CLASSIFICATION!$A$8:$A$24,0)),"Review"))</f>
        <v>Portfolio</v>
      </c>
      <c r="Q90" s="350" t="str">
        <f t="shared" si="3"/>
        <v>OK</v>
      </c>
    </row>
    <row r="91" spans="1:17">
      <c r="A91" s="366" t="s">
        <v>1875</v>
      </c>
      <c r="B91" s="366" t="s">
        <v>1681</v>
      </c>
      <c r="C91" s="366" t="s">
        <v>1682</v>
      </c>
      <c r="D91" s="380">
        <f>'00_PORTFOLIO ROLLUP'!J$12</f>
        <v>2030</v>
      </c>
      <c r="E91" s="366" t="s">
        <v>1683</v>
      </c>
      <c r="F91" s="366" t="s">
        <v>355</v>
      </c>
      <c r="G91" s="366" t="s">
        <v>1876</v>
      </c>
      <c r="H91" s="381">
        <f>'00_PORTFOLIO ROLLUP'!J$39</f>
        <v>6511405.8850074643</v>
      </c>
      <c r="I91" s="366" t="s">
        <v>1690</v>
      </c>
      <c r="J91" s="348" t="str">
        <f t="shared" si="2"/>
        <v>OK</v>
      </c>
      <c r="K91" s="366" t="s">
        <v>1686</v>
      </c>
      <c r="L91" s="366" t="s">
        <v>1691</v>
      </c>
      <c r="M91" s="350" t="str">
        <f>IF($B91="Portfolio","Portfolio",IFERROR(INDEX(DATA_ASSET_CLASSIFICATION!$B$8:$B$24,MATCH($C91,DATA_ASSET_CLASSIFICATION!$A$8:$A$24,0)),"Review"))</f>
        <v>Portfolio</v>
      </c>
      <c r="N91" s="350" t="str">
        <f>IF($B91="Portfolio","Portfolio",IFERROR(INDEX(DATA_ASSET_CLASSIFICATION!$U$8:$U$24,MATCH($C91,DATA_ASSET_CLASSIFICATION!$A$8:$A$24,0)),"Review"))</f>
        <v>Portfolio</v>
      </c>
      <c r="O91" s="350" t="str">
        <f>IF($B91="Portfolio","Portfolio",IFERROR(INDEX(DATA_ASSET_CLASSIFICATION!$AB$8:$AB$13,MATCH($N91,DATA_ASSET_CLASSIFICATION!$AA$8:$AA$13,0)),"Review"))</f>
        <v>Portfolio</v>
      </c>
      <c r="P91" s="350" t="str">
        <f>IF($B91="Portfolio","Portfolio",IFERROR(INDEX(DATA_ASSET_CLASSIFICATION!$C$8:$C$24,MATCH($C91,DATA_ASSET_CLASSIFICATION!$A$8:$A$24,0)),"Review"))</f>
        <v>Portfolio</v>
      </c>
      <c r="Q91" s="350" t="str">
        <f t="shared" si="3"/>
        <v>OK</v>
      </c>
    </row>
    <row r="92" spans="1:17">
      <c r="A92" s="366" t="s">
        <v>1877</v>
      </c>
      <c r="B92" s="366" t="s">
        <v>1681</v>
      </c>
      <c r="C92" s="366" t="s">
        <v>1682</v>
      </c>
      <c r="D92" s="380">
        <f>'00_PORTFOLIO ROLLUP'!J$12</f>
        <v>2030</v>
      </c>
      <c r="E92" s="366" t="s">
        <v>1683</v>
      </c>
      <c r="F92" s="366" t="s">
        <v>19</v>
      </c>
      <c r="G92" s="366" t="s">
        <v>1878</v>
      </c>
      <c r="H92" s="381">
        <f>'00_PORTFOLIO ROLLUP'!J$41</f>
        <v>13048197.544687849</v>
      </c>
      <c r="I92" s="366" t="s">
        <v>1685</v>
      </c>
      <c r="J92" s="348" t="str">
        <f t="shared" si="2"/>
        <v>OK</v>
      </c>
      <c r="K92" s="366" t="s">
        <v>1694</v>
      </c>
      <c r="L92" s="366" t="s">
        <v>1695</v>
      </c>
      <c r="M92" s="350" t="str">
        <f>IF($B92="Portfolio","Portfolio",IFERROR(INDEX(DATA_ASSET_CLASSIFICATION!$B$8:$B$24,MATCH($C92,DATA_ASSET_CLASSIFICATION!$A$8:$A$24,0)),"Review"))</f>
        <v>Portfolio</v>
      </c>
      <c r="N92" s="350" t="str">
        <f>IF($B92="Portfolio","Portfolio",IFERROR(INDEX(DATA_ASSET_CLASSIFICATION!$U$8:$U$24,MATCH($C92,DATA_ASSET_CLASSIFICATION!$A$8:$A$24,0)),"Review"))</f>
        <v>Portfolio</v>
      </c>
      <c r="O92" s="350" t="str">
        <f>IF($B92="Portfolio","Portfolio",IFERROR(INDEX(DATA_ASSET_CLASSIFICATION!$AB$8:$AB$13,MATCH($N92,DATA_ASSET_CLASSIFICATION!$AA$8:$AA$13,0)),"Review"))</f>
        <v>Portfolio</v>
      </c>
      <c r="P92" s="350" t="str">
        <f>IF($B92="Portfolio","Portfolio",IFERROR(INDEX(DATA_ASSET_CLASSIFICATION!$C$8:$C$24,MATCH($C92,DATA_ASSET_CLASSIFICATION!$A$8:$A$24,0)),"Review"))</f>
        <v>Portfolio</v>
      </c>
      <c r="Q92" s="350" t="str">
        <f t="shared" si="3"/>
        <v>OK</v>
      </c>
    </row>
    <row r="93" spans="1:17">
      <c r="A93" s="366" t="s">
        <v>1879</v>
      </c>
      <c r="B93" s="366" t="s">
        <v>1681</v>
      </c>
      <c r="C93" s="366" t="s">
        <v>1682</v>
      </c>
      <c r="D93" s="380">
        <f>'00_PORTFOLIO ROLLUP'!J$12</f>
        <v>2030</v>
      </c>
      <c r="E93" s="366" t="s">
        <v>1683</v>
      </c>
      <c r="F93" s="366" t="s">
        <v>1697</v>
      </c>
      <c r="G93" s="366" t="s">
        <v>1880</v>
      </c>
      <c r="H93" s="381">
        <f>'00_PORTFOLIO ROLLUP'!J$44</f>
        <v>178198.64163648</v>
      </c>
      <c r="I93" s="366" t="s">
        <v>1690</v>
      </c>
      <c r="J93" s="348" t="str">
        <f t="shared" si="2"/>
        <v>OK</v>
      </c>
      <c r="K93" s="366" t="s">
        <v>1699</v>
      </c>
      <c r="L93" s="366" t="s">
        <v>1700</v>
      </c>
      <c r="M93" s="350" t="str">
        <f>IF($B93="Portfolio","Portfolio",IFERROR(INDEX(DATA_ASSET_CLASSIFICATION!$B$8:$B$24,MATCH($C93,DATA_ASSET_CLASSIFICATION!$A$8:$A$24,0)),"Review"))</f>
        <v>Portfolio</v>
      </c>
      <c r="N93" s="350" t="str">
        <f>IF($B93="Portfolio","Portfolio",IFERROR(INDEX(DATA_ASSET_CLASSIFICATION!$U$8:$U$24,MATCH($C93,DATA_ASSET_CLASSIFICATION!$A$8:$A$24,0)),"Review"))</f>
        <v>Portfolio</v>
      </c>
      <c r="O93" s="350" t="str">
        <f>IF($B93="Portfolio","Portfolio",IFERROR(INDEX(DATA_ASSET_CLASSIFICATION!$AB$8:$AB$13,MATCH($N93,DATA_ASSET_CLASSIFICATION!$AA$8:$AA$13,0)),"Review"))</f>
        <v>Portfolio</v>
      </c>
      <c r="P93" s="350" t="str">
        <f>IF($B93="Portfolio","Portfolio",IFERROR(INDEX(DATA_ASSET_CLASSIFICATION!$C$8:$C$24,MATCH($C93,DATA_ASSET_CLASSIFICATION!$A$8:$A$24,0)),"Review"))</f>
        <v>Portfolio</v>
      </c>
      <c r="Q93" s="350" t="str">
        <f t="shared" si="3"/>
        <v>OK</v>
      </c>
    </row>
    <row r="94" spans="1:17">
      <c r="A94" s="366" t="s">
        <v>1881</v>
      </c>
      <c r="B94" s="366" t="s">
        <v>1681</v>
      </c>
      <c r="C94" s="366" t="s">
        <v>1682</v>
      </c>
      <c r="D94" s="380">
        <f>'00_PORTFOLIO ROLLUP'!J$12</f>
        <v>2030</v>
      </c>
      <c r="E94" s="366" t="s">
        <v>1683</v>
      </c>
      <c r="F94" s="366" t="s">
        <v>21</v>
      </c>
      <c r="G94" s="366" t="s">
        <v>1882</v>
      </c>
      <c r="H94" s="381">
        <f>'00_PORTFOLIO ROLLUP'!J$45</f>
        <v>12869998.903051369</v>
      </c>
      <c r="I94" s="366" t="s">
        <v>1685</v>
      </c>
      <c r="J94" s="348" t="str">
        <f t="shared" si="2"/>
        <v>OK</v>
      </c>
      <c r="K94" s="366" t="s">
        <v>1694</v>
      </c>
      <c r="L94" s="366" t="s">
        <v>1703</v>
      </c>
      <c r="M94" s="350" t="str">
        <f>IF($B94="Portfolio","Portfolio",IFERROR(INDEX(DATA_ASSET_CLASSIFICATION!$B$8:$B$24,MATCH($C94,DATA_ASSET_CLASSIFICATION!$A$8:$A$24,0)),"Review"))</f>
        <v>Portfolio</v>
      </c>
      <c r="N94" s="350" t="str">
        <f>IF($B94="Portfolio","Portfolio",IFERROR(INDEX(DATA_ASSET_CLASSIFICATION!$U$8:$U$24,MATCH($C94,DATA_ASSET_CLASSIFICATION!$A$8:$A$24,0)),"Review"))</f>
        <v>Portfolio</v>
      </c>
      <c r="O94" s="350" t="str">
        <f>IF($B94="Portfolio","Portfolio",IFERROR(INDEX(DATA_ASSET_CLASSIFICATION!$AB$8:$AB$13,MATCH($N94,DATA_ASSET_CLASSIFICATION!$AA$8:$AA$13,0)),"Review"))</f>
        <v>Portfolio</v>
      </c>
      <c r="P94" s="350" t="str">
        <f>IF($B94="Portfolio","Portfolio",IFERROR(INDEX(DATA_ASSET_CLASSIFICATION!$C$8:$C$24,MATCH($C94,DATA_ASSET_CLASSIFICATION!$A$8:$A$24,0)),"Review"))</f>
        <v>Portfolio</v>
      </c>
      <c r="Q94" s="350" t="str">
        <f t="shared" si="3"/>
        <v>OK</v>
      </c>
    </row>
    <row r="95" spans="1:17">
      <c r="A95" s="366" t="s">
        <v>1883</v>
      </c>
      <c r="B95" s="366" t="s">
        <v>1681</v>
      </c>
      <c r="C95" s="366" t="s">
        <v>1682</v>
      </c>
      <c r="D95" s="380">
        <f>'00_PORTFOLIO ROLLUP'!J$12</f>
        <v>2030</v>
      </c>
      <c r="E95" s="366" t="s">
        <v>23</v>
      </c>
      <c r="F95" s="366" t="s">
        <v>23</v>
      </c>
      <c r="G95" s="366" t="s">
        <v>1884</v>
      </c>
      <c r="H95" s="381">
        <f>'00_PORTFOLIO ROLLUP'!J$48</f>
        <v>7038269.5659003453</v>
      </c>
      <c r="I95" s="366" t="s">
        <v>1690</v>
      </c>
      <c r="J95" s="348" t="str">
        <f t="shared" si="2"/>
        <v>OK</v>
      </c>
      <c r="K95" s="366" t="s">
        <v>1706</v>
      </c>
      <c r="L95" s="366" t="s">
        <v>1707</v>
      </c>
      <c r="M95" s="350" t="str">
        <f>IF($B95="Portfolio","Portfolio",IFERROR(INDEX(DATA_ASSET_CLASSIFICATION!$B$8:$B$24,MATCH($C95,DATA_ASSET_CLASSIFICATION!$A$8:$A$24,0)),"Review"))</f>
        <v>Portfolio</v>
      </c>
      <c r="N95" s="350" t="str">
        <f>IF($B95="Portfolio","Portfolio",IFERROR(INDEX(DATA_ASSET_CLASSIFICATION!$U$8:$U$24,MATCH($C95,DATA_ASSET_CLASSIFICATION!$A$8:$A$24,0)),"Review"))</f>
        <v>Portfolio</v>
      </c>
      <c r="O95" s="350" t="str">
        <f>IF($B95="Portfolio","Portfolio",IFERROR(INDEX(DATA_ASSET_CLASSIFICATION!$AB$8:$AB$13,MATCH($N95,DATA_ASSET_CLASSIFICATION!$AA$8:$AA$13,0)),"Review"))</f>
        <v>Portfolio</v>
      </c>
      <c r="P95" s="350" t="str">
        <f>IF($B95="Portfolio","Portfolio",IFERROR(INDEX(DATA_ASSET_CLASSIFICATION!$C$8:$C$24,MATCH($C95,DATA_ASSET_CLASSIFICATION!$A$8:$A$24,0)),"Review"))</f>
        <v>Portfolio</v>
      </c>
      <c r="Q95" s="350" t="str">
        <f t="shared" si="3"/>
        <v>OK</v>
      </c>
    </row>
    <row r="96" spans="1:17">
      <c r="A96" s="366" t="s">
        <v>1885</v>
      </c>
      <c r="B96" s="366" t="s">
        <v>1681</v>
      </c>
      <c r="C96" s="366" t="s">
        <v>1682</v>
      </c>
      <c r="D96" s="380">
        <f>'00_PORTFOLIO ROLLUP'!J$12</f>
        <v>2030</v>
      </c>
      <c r="E96" s="366" t="s">
        <v>1683</v>
      </c>
      <c r="F96" s="366" t="s">
        <v>25</v>
      </c>
      <c r="G96" s="366" t="s">
        <v>1886</v>
      </c>
      <c r="H96" s="381">
        <f>'00_PORTFOLIO ROLLUP'!J$52</f>
        <v>6009927.9787875032</v>
      </c>
      <c r="I96" s="366" t="s">
        <v>1685</v>
      </c>
      <c r="J96" s="348" t="str">
        <f t="shared" si="2"/>
        <v>OK</v>
      </c>
      <c r="K96" s="366" t="s">
        <v>1710</v>
      </c>
      <c r="L96" s="366" t="s">
        <v>1711</v>
      </c>
      <c r="M96" s="350" t="str">
        <f>IF($B96="Portfolio","Portfolio",IFERROR(INDEX(DATA_ASSET_CLASSIFICATION!$B$8:$B$24,MATCH($C96,DATA_ASSET_CLASSIFICATION!$A$8:$A$24,0)),"Review"))</f>
        <v>Portfolio</v>
      </c>
      <c r="N96" s="350" t="str">
        <f>IF($B96="Portfolio","Portfolio",IFERROR(INDEX(DATA_ASSET_CLASSIFICATION!$U$8:$U$24,MATCH($C96,DATA_ASSET_CLASSIFICATION!$A$8:$A$24,0)),"Review"))</f>
        <v>Portfolio</v>
      </c>
      <c r="O96" s="350" t="str">
        <f>IF($B96="Portfolio","Portfolio",IFERROR(INDEX(DATA_ASSET_CLASSIFICATION!$AB$8:$AB$13,MATCH($N96,DATA_ASSET_CLASSIFICATION!$AA$8:$AA$13,0)),"Review"))</f>
        <v>Portfolio</v>
      </c>
      <c r="P96" s="350" t="str">
        <f>IF($B96="Portfolio","Portfolio",IFERROR(INDEX(DATA_ASSET_CLASSIFICATION!$C$8:$C$24,MATCH($C96,DATA_ASSET_CLASSIFICATION!$A$8:$A$24,0)),"Review"))</f>
        <v>Portfolio</v>
      </c>
      <c r="Q96" s="350" t="str">
        <f t="shared" si="3"/>
        <v>OK</v>
      </c>
    </row>
    <row r="97" spans="1:17">
      <c r="A97" s="366" t="s">
        <v>1887</v>
      </c>
      <c r="B97" s="366" t="s">
        <v>1681</v>
      </c>
      <c r="C97" s="366" t="s">
        <v>1682</v>
      </c>
      <c r="D97" s="380">
        <f>'00_PORTFOLIO ROLLUP'!J$12</f>
        <v>2030</v>
      </c>
      <c r="E97" s="366" t="s">
        <v>1683</v>
      </c>
      <c r="F97" s="366" t="s">
        <v>27</v>
      </c>
      <c r="G97" s="366" t="s">
        <v>1888</v>
      </c>
      <c r="H97" s="381">
        <f>'00_PORTFOLIO ROLLUP'!J$54</f>
        <v>3605956.7872725017</v>
      </c>
      <c r="I97" s="366" t="s">
        <v>1690</v>
      </c>
      <c r="J97" s="348" t="str">
        <f t="shared" si="2"/>
        <v>OK</v>
      </c>
      <c r="K97" s="366" t="s">
        <v>1714</v>
      </c>
      <c r="L97" s="366" t="s">
        <v>1715</v>
      </c>
      <c r="M97" s="350" t="str">
        <f>IF($B97="Portfolio","Portfolio",IFERROR(INDEX(DATA_ASSET_CLASSIFICATION!$B$8:$B$24,MATCH($C97,DATA_ASSET_CLASSIFICATION!$A$8:$A$24,0)),"Review"))</f>
        <v>Portfolio</v>
      </c>
      <c r="N97" s="350" t="str">
        <f>IF($B97="Portfolio","Portfolio",IFERROR(INDEX(DATA_ASSET_CLASSIFICATION!$U$8:$U$24,MATCH($C97,DATA_ASSET_CLASSIFICATION!$A$8:$A$24,0)),"Review"))</f>
        <v>Portfolio</v>
      </c>
      <c r="O97" s="350" t="str">
        <f>IF($B97="Portfolio","Portfolio",IFERROR(INDEX(DATA_ASSET_CLASSIFICATION!$AB$8:$AB$13,MATCH($N97,DATA_ASSET_CLASSIFICATION!$AA$8:$AA$13,0)),"Review"))</f>
        <v>Portfolio</v>
      </c>
      <c r="P97" s="350" t="str">
        <f>IF($B97="Portfolio","Portfolio",IFERROR(INDEX(DATA_ASSET_CLASSIFICATION!$C$8:$C$24,MATCH($C97,DATA_ASSET_CLASSIFICATION!$A$8:$A$24,0)),"Review"))</f>
        <v>Portfolio</v>
      </c>
      <c r="Q97" s="350" t="str">
        <f t="shared" si="3"/>
        <v>OK</v>
      </c>
    </row>
    <row r="98" spans="1:17">
      <c r="A98" s="366" t="s">
        <v>1889</v>
      </c>
      <c r="B98" s="366" t="s">
        <v>1681</v>
      </c>
      <c r="C98" s="366" t="s">
        <v>1682</v>
      </c>
      <c r="D98" s="380">
        <f>'00_PORTFOLIO ROLLUP'!J$12</f>
        <v>2030</v>
      </c>
      <c r="E98" s="366" t="s">
        <v>1683</v>
      </c>
      <c r="F98" s="366" t="s">
        <v>29</v>
      </c>
      <c r="G98" s="366" t="s">
        <v>1890</v>
      </c>
      <c r="H98" s="381">
        <f>'00_PORTFOLIO ROLLUP'!J$56</f>
        <v>2403971.1915150015</v>
      </c>
      <c r="I98" s="366" t="s">
        <v>1685</v>
      </c>
      <c r="J98" s="348" t="str">
        <f t="shared" si="2"/>
        <v>OK</v>
      </c>
      <c r="K98" s="366" t="s">
        <v>1718</v>
      </c>
      <c r="L98" s="366" t="s">
        <v>1719</v>
      </c>
      <c r="M98" s="350" t="str">
        <f>IF($B98="Portfolio","Portfolio",IFERROR(INDEX(DATA_ASSET_CLASSIFICATION!$B$8:$B$24,MATCH($C98,DATA_ASSET_CLASSIFICATION!$A$8:$A$24,0)),"Review"))</f>
        <v>Portfolio</v>
      </c>
      <c r="N98" s="350" t="str">
        <f>IF($B98="Portfolio","Portfolio",IFERROR(INDEX(DATA_ASSET_CLASSIFICATION!$U$8:$U$24,MATCH($C98,DATA_ASSET_CLASSIFICATION!$A$8:$A$24,0)),"Review"))</f>
        <v>Portfolio</v>
      </c>
      <c r="O98" s="350" t="str">
        <f>IF($B98="Portfolio","Portfolio",IFERROR(INDEX(DATA_ASSET_CLASSIFICATION!$AB$8:$AB$13,MATCH($N98,DATA_ASSET_CLASSIFICATION!$AA$8:$AA$13,0)),"Review"))</f>
        <v>Portfolio</v>
      </c>
      <c r="P98" s="350" t="str">
        <f>IF($B98="Portfolio","Portfolio",IFERROR(INDEX(DATA_ASSET_CLASSIFICATION!$C$8:$C$24,MATCH($C98,DATA_ASSET_CLASSIFICATION!$A$8:$A$24,0)),"Review"))</f>
        <v>Portfolio</v>
      </c>
      <c r="Q98" s="350" t="str">
        <f t="shared" si="3"/>
        <v>OK</v>
      </c>
    </row>
    <row r="99" spans="1:17">
      <c r="A99" s="366" t="s">
        <v>1891</v>
      </c>
      <c r="B99" s="366" t="s">
        <v>1681</v>
      </c>
      <c r="C99" s="366" t="s">
        <v>1682</v>
      </c>
      <c r="D99" s="380">
        <f>'00_PORTFOLIO ROLLUP'!J$12</f>
        <v>2030</v>
      </c>
      <c r="E99" s="366" t="s">
        <v>1721</v>
      </c>
      <c r="F99" s="366" t="s">
        <v>31</v>
      </c>
      <c r="G99" s="366" t="s">
        <v>1892</v>
      </c>
      <c r="H99" s="381">
        <f>'00_PORTFOLIO ROLLUP'!J$61</f>
        <v>0</v>
      </c>
      <c r="I99" s="366" t="s">
        <v>1690</v>
      </c>
      <c r="J99" s="348" t="str">
        <f t="shared" si="2"/>
        <v>OK</v>
      </c>
      <c r="K99" s="366" t="s">
        <v>1723</v>
      </c>
      <c r="L99" s="366" t="s">
        <v>1724</v>
      </c>
      <c r="M99" s="350" t="str">
        <f>IF($B99="Portfolio","Portfolio",IFERROR(INDEX(DATA_ASSET_CLASSIFICATION!$B$8:$B$24,MATCH($C99,DATA_ASSET_CLASSIFICATION!$A$8:$A$24,0)),"Review"))</f>
        <v>Portfolio</v>
      </c>
      <c r="N99" s="350" t="str">
        <f>IF($B99="Portfolio","Portfolio",IFERROR(INDEX(DATA_ASSET_CLASSIFICATION!$U$8:$U$24,MATCH($C99,DATA_ASSET_CLASSIFICATION!$A$8:$A$24,0)),"Review"))</f>
        <v>Portfolio</v>
      </c>
      <c r="O99" s="350" t="str">
        <f>IF($B99="Portfolio","Portfolio",IFERROR(INDEX(DATA_ASSET_CLASSIFICATION!$AB$8:$AB$13,MATCH($N99,DATA_ASSET_CLASSIFICATION!$AA$8:$AA$13,0)),"Review"))</f>
        <v>Portfolio</v>
      </c>
      <c r="P99" s="350" t="str">
        <f>IF($B99="Portfolio","Portfolio",IFERROR(INDEX(DATA_ASSET_CLASSIFICATION!$C$8:$C$24,MATCH($C99,DATA_ASSET_CLASSIFICATION!$A$8:$A$24,0)),"Review"))</f>
        <v>Portfolio</v>
      </c>
      <c r="Q99" s="350" t="str">
        <f t="shared" si="3"/>
        <v>OK</v>
      </c>
    </row>
    <row r="100" spans="1:17">
      <c r="A100" s="366" t="s">
        <v>1893</v>
      </c>
      <c r="B100" s="366" t="s">
        <v>1681</v>
      </c>
      <c r="C100" s="366" t="s">
        <v>1682</v>
      </c>
      <c r="D100" s="380">
        <f>'00_PORTFOLIO ROLLUP'!J$12</f>
        <v>2030</v>
      </c>
      <c r="E100" s="366" t="s">
        <v>1721</v>
      </c>
      <c r="F100" s="366" t="s">
        <v>33</v>
      </c>
      <c r="G100" s="366" t="s">
        <v>1894</v>
      </c>
      <c r="H100" s="381">
        <f>'00_PORTFOLIO ROLLUP'!J$62</f>
        <v>0</v>
      </c>
      <c r="I100" s="366" t="s">
        <v>1685</v>
      </c>
      <c r="J100" s="348" t="str">
        <f t="shared" si="2"/>
        <v>OK</v>
      </c>
      <c r="K100" s="366" t="s">
        <v>1727</v>
      </c>
      <c r="L100" s="366" t="s">
        <v>1728</v>
      </c>
      <c r="M100" s="350" t="str">
        <f>IF($B100="Portfolio","Portfolio",IFERROR(INDEX(DATA_ASSET_CLASSIFICATION!$B$8:$B$24,MATCH($C100,DATA_ASSET_CLASSIFICATION!$A$8:$A$24,0)),"Review"))</f>
        <v>Portfolio</v>
      </c>
      <c r="N100" s="350" t="str">
        <f>IF($B100="Portfolio","Portfolio",IFERROR(INDEX(DATA_ASSET_CLASSIFICATION!$U$8:$U$24,MATCH($C100,DATA_ASSET_CLASSIFICATION!$A$8:$A$24,0)),"Review"))</f>
        <v>Portfolio</v>
      </c>
      <c r="O100" s="350" t="str">
        <f>IF($B100="Portfolio","Portfolio",IFERROR(INDEX(DATA_ASSET_CLASSIFICATION!$AB$8:$AB$13,MATCH($N100,DATA_ASSET_CLASSIFICATION!$AA$8:$AA$13,0)),"Review"))</f>
        <v>Portfolio</v>
      </c>
      <c r="P100" s="350" t="str">
        <f>IF($B100="Portfolio","Portfolio",IFERROR(INDEX(DATA_ASSET_CLASSIFICATION!$C$8:$C$24,MATCH($C100,DATA_ASSET_CLASSIFICATION!$A$8:$A$24,0)),"Review"))</f>
        <v>Portfolio</v>
      </c>
      <c r="Q100" s="350" t="str">
        <f t="shared" si="3"/>
        <v>OK</v>
      </c>
    </row>
    <row r="101" spans="1:17">
      <c r="A101" s="366" t="s">
        <v>1895</v>
      </c>
      <c r="B101" s="366" t="s">
        <v>1681</v>
      </c>
      <c r="C101" s="366" t="s">
        <v>1682</v>
      </c>
      <c r="D101" s="380">
        <f>'00_PORTFOLIO ROLLUP'!J$12</f>
        <v>2030</v>
      </c>
      <c r="E101" s="366" t="s">
        <v>1721</v>
      </c>
      <c r="F101" s="366" t="s">
        <v>35</v>
      </c>
      <c r="G101" s="366" t="s">
        <v>1896</v>
      </c>
      <c r="H101" s="381">
        <f>'00_PORTFOLIO ROLLUP'!J$63</f>
        <v>0</v>
      </c>
      <c r="I101" s="366" t="s">
        <v>1731</v>
      </c>
      <c r="J101" s="348" t="str">
        <f t="shared" si="2"/>
        <v>OK</v>
      </c>
      <c r="K101" s="366" t="s">
        <v>1732</v>
      </c>
      <c r="L101" s="366" t="s">
        <v>1733</v>
      </c>
      <c r="M101" s="350" t="str">
        <f>IF($B101="Portfolio","Portfolio",IFERROR(INDEX(DATA_ASSET_CLASSIFICATION!$B$8:$B$24,MATCH($C101,DATA_ASSET_CLASSIFICATION!$A$8:$A$24,0)),"Review"))</f>
        <v>Portfolio</v>
      </c>
      <c r="N101" s="350" t="str">
        <f>IF($B101="Portfolio","Portfolio",IFERROR(INDEX(DATA_ASSET_CLASSIFICATION!$U$8:$U$24,MATCH($C101,DATA_ASSET_CLASSIFICATION!$A$8:$A$24,0)),"Review"))</f>
        <v>Portfolio</v>
      </c>
      <c r="O101" s="350" t="str">
        <f>IF($B101="Portfolio","Portfolio",IFERROR(INDEX(DATA_ASSET_CLASSIFICATION!$AB$8:$AB$13,MATCH($N101,DATA_ASSET_CLASSIFICATION!$AA$8:$AA$13,0)),"Review"))</f>
        <v>Portfolio</v>
      </c>
      <c r="P101" s="350" t="str">
        <f>IF($B101="Portfolio","Portfolio",IFERROR(INDEX(DATA_ASSET_CLASSIFICATION!$C$8:$C$24,MATCH($C101,DATA_ASSET_CLASSIFICATION!$A$8:$A$24,0)),"Review"))</f>
        <v>Portfolio</v>
      </c>
      <c r="Q101" s="350" t="str">
        <f t="shared" si="3"/>
        <v>OK</v>
      </c>
    </row>
    <row r="102" spans="1:17">
      <c r="A102" s="366" t="s">
        <v>1897</v>
      </c>
      <c r="B102" s="366" t="s">
        <v>1681</v>
      </c>
      <c r="C102" s="366" t="s">
        <v>1682</v>
      </c>
      <c r="D102" s="380">
        <f>'00_PORTFOLIO ROLLUP'!J$12</f>
        <v>2030</v>
      </c>
      <c r="E102" s="366" t="s">
        <v>1721</v>
      </c>
      <c r="F102" s="366" t="s">
        <v>37</v>
      </c>
      <c r="G102" s="366" t="s">
        <v>1896</v>
      </c>
      <c r="H102" s="381">
        <f>MAX('00_PORTFOLIO ROLLUP'!J$63,0)</f>
        <v>0</v>
      </c>
      <c r="I102" s="366" t="s">
        <v>1685</v>
      </c>
      <c r="J102" s="348" t="str">
        <f t="shared" si="2"/>
        <v>OK</v>
      </c>
      <c r="K102" s="366" t="s">
        <v>1735</v>
      </c>
      <c r="L102" s="366" t="s">
        <v>1736</v>
      </c>
      <c r="M102" s="350" t="str">
        <f>IF($B102="Portfolio","Portfolio",IFERROR(INDEX(DATA_ASSET_CLASSIFICATION!$B$8:$B$24,MATCH($C102,DATA_ASSET_CLASSIFICATION!$A$8:$A$24,0)),"Review"))</f>
        <v>Portfolio</v>
      </c>
      <c r="N102" s="350" t="str">
        <f>IF($B102="Portfolio","Portfolio",IFERROR(INDEX(DATA_ASSET_CLASSIFICATION!$U$8:$U$24,MATCH($C102,DATA_ASSET_CLASSIFICATION!$A$8:$A$24,0)),"Review"))</f>
        <v>Portfolio</v>
      </c>
      <c r="O102" s="350" t="str">
        <f>IF($B102="Portfolio","Portfolio",IFERROR(INDEX(DATA_ASSET_CLASSIFICATION!$AB$8:$AB$13,MATCH($N102,DATA_ASSET_CLASSIFICATION!$AA$8:$AA$13,0)),"Review"))</f>
        <v>Portfolio</v>
      </c>
      <c r="P102" s="350" t="str">
        <f>IF($B102="Portfolio","Portfolio",IFERROR(INDEX(DATA_ASSET_CLASSIFICATION!$C$8:$C$24,MATCH($C102,DATA_ASSET_CLASSIFICATION!$A$8:$A$24,0)),"Review"))</f>
        <v>Portfolio</v>
      </c>
      <c r="Q102" s="350" t="str">
        <f t="shared" si="3"/>
        <v>OK</v>
      </c>
    </row>
    <row r="103" spans="1:17">
      <c r="A103" s="366" t="s">
        <v>1898</v>
      </c>
      <c r="B103" s="366" t="s">
        <v>1681</v>
      </c>
      <c r="C103" s="366" t="s">
        <v>1682</v>
      </c>
      <c r="D103" s="380">
        <f>'00_PORTFOLIO ROLLUP'!J$12</f>
        <v>2030</v>
      </c>
      <c r="E103" s="366" t="s">
        <v>1721</v>
      </c>
      <c r="F103" s="366" t="s">
        <v>39</v>
      </c>
      <c r="G103" s="366" t="s">
        <v>1896</v>
      </c>
      <c r="H103" s="381">
        <f>MAX(-'00_PORTFOLIO ROLLUP'!J$63,0)</f>
        <v>0</v>
      </c>
      <c r="I103" s="366" t="s">
        <v>1690</v>
      </c>
      <c r="J103" s="348" t="str">
        <f t="shared" si="2"/>
        <v>OK</v>
      </c>
      <c r="K103" s="366" t="s">
        <v>1738</v>
      </c>
      <c r="L103" s="366" t="s">
        <v>1739</v>
      </c>
      <c r="M103" s="350" t="str">
        <f>IF($B103="Portfolio","Portfolio",IFERROR(INDEX(DATA_ASSET_CLASSIFICATION!$B$8:$B$24,MATCH($C103,DATA_ASSET_CLASSIFICATION!$A$8:$A$24,0)),"Review"))</f>
        <v>Portfolio</v>
      </c>
      <c r="N103" s="350" t="str">
        <f>IF($B103="Portfolio","Portfolio",IFERROR(INDEX(DATA_ASSET_CLASSIFICATION!$U$8:$U$24,MATCH($C103,DATA_ASSET_CLASSIFICATION!$A$8:$A$24,0)),"Review"))</f>
        <v>Portfolio</v>
      </c>
      <c r="O103" s="350" t="str">
        <f>IF($B103="Portfolio","Portfolio",IFERROR(INDEX(DATA_ASSET_CLASSIFICATION!$AB$8:$AB$13,MATCH($N103,DATA_ASSET_CLASSIFICATION!$AA$8:$AA$13,0)),"Review"))</f>
        <v>Portfolio</v>
      </c>
      <c r="P103" s="350" t="str">
        <f>IF($B103="Portfolio","Portfolio",IFERROR(INDEX(DATA_ASSET_CLASSIFICATION!$C$8:$C$24,MATCH($C103,DATA_ASSET_CLASSIFICATION!$A$8:$A$24,0)),"Review"))</f>
        <v>Portfolio</v>
      </c>
      <c r="Q103" s="350" t="str">
        <f t="shared" si="3"/>
        <v>OK</v>
      </c>
    </row>
    <row r="104" spans="1:17">
      <c r="A104" s="366" t="s">
        <v>1899</v>
      </c>
      <c r="B104" s="366" t="s">
        <v>1681</v>
      </c>
      <c r="C104" s="366" t="s">
        <v>1682</v>
      </c>
      <c r="D104" s="380">
        <f>'00_PORTFOLIO ROLLUP'!J$12</f>
        <v>2030</v>
      </c>
      <c r="E104" s="366" t="s">
        <v>1741</v>
      </c>
      <c r="F104" s="366" t="s">
        <v>41</v>
      </c>
      <c r="H104" s="381">
        <f>'00_PORTFOLIO ROLLUP'!J$56+MAX('00_PORTFOLIO ROLLUP'!J$63,0)</f>
        <v>2403971.1915150015</v>
      </c>
      <c r="I104" s="366" t="s">
        <v>1685</v>
      </c>
      <c r="J104" s="348" t="str">
        <f t="shared" si="2"/>
        <v>OK</v>
      </c>
      <c r="K104" s="366" t="s">
        <v>1742</v>
      </c>
      <c r="L104" s="366" t="s">
        <v>1743</v>
      </c>
      <c r="M104" s="350" t="str">
        <f>IF($B104="Portfolio","Portfolio",IFERROR(INDEX(DATA_ASSET_CLASSIFICATION!$B$8:$B$24,MATCH($C104,DATA_ASSET_CLASSIFICATION!$A$8:$A$24,0)),"Review"))</f>
        <v>Portfolio</v>
      </c>
      <c r="N104" s="350" t="str">
        <f>IF($B104="Portfolio","Portfolio",IFERROR(INDEX(DATA_ASSET_CLASSIFICATION!$U$8:$U$24,MATCH($C104,DATA_ASSET_CLASSIFICATION!$A$8:$A$24,0)),"Review"))</f>
        <v>Portfolio</v>
      </c>
      <c r="O104" s="350" t="str">
        <f>IF($B104="Portfolio","Portfolio",IFERROR(INDEX(DATA_ASSET_CLASSIFICATION!$AB$8:$AB$13,MATCH($N104,DATA_ASSET_CLASSIFICATION!$AA$8:$AA$13,0)),"Review"))</f>
        <v>Portfolio</v>
      </c>
      <c r="P104" s="350" t="str">
        <f>IF($B104="Portfolio","Portfolio",IFERROR(INDEX(DATA_ASSET_CLASSIFICATION!$C$8:$C$24,MATCH($C104,DATA_ASSET_CLASSIFICATION!$A$8:$A$24,0)),"Review"))</f>
        <v>Portfolio</v>
      </c>
      <c r="Q104" s="350" t="str">
        <f t="shared" si="3"/>
        <v>OK</v>
      </c>
    </row>
    <row r="105" spans="1:17">
      <c r="A105" s="366" t="s">
        <v>1900</v>
      </c>
      <c r="B105" s="366" t="s">
        <v>1681</v>
      </c>
      <c r="C105" s="366" t="s">
        <v>1682</v>
      </c>
      <c r="D105" s="380">
        <f>'00_PORTFOLIO ROLLUP'!J$12</f>
        <v>2030</v>
      </c>
      <c r="E105" s="366" t="s">
        <v>1741</v>
      </c>
      <c r="F105" s="366" t="s">
        <v>43</v>
      </c>
      <c r="G105" s="366" t="s">
        <v>1901</v>
      </c>
      <c r="H105" s="381">
        <f>'00_PORTFOLIO ROLLUP'!J$68</f>
        <v>2403971.1915150015</v>
      </c>
      <c r="I105" s="366" t="s">
        <v>1731</v>
      </c>
      <c r="J105" s="348" t="str">
        <f t="shared" si="2"/>
        <v>OK</v>
      </c>
      <c r="K105" s="366" t="s">
        <v>1746</v>
      </c>
      <c r="L105" s="366" t="s">
        <v>1747</v>
      </c>
      <c r="M105" s="350" t="str">
        <f>IF($B105="Portfolio","Portfolio",IFERROR(INDEX(DATA_ASSET_CLASSIFICATION!$B$8:$B$24,MATCH($C105,DATA_ASSET_CLASSIFICATION!$A$8:$A$24,0)),"Review"))</f>
        <v>Portfolio</v>
      </c>
      <c r="N105" s="350" t="str">
        <f>IF($B105="Portfolio","Portfolio",IFERROR(INDEX(DATA_ASSET_CLASSIFICATION!$U$8:$U$24,MATCH($C105,DATA_ASSET_CLASSIFICATION!$A$8:$A$24,0)),"Review"))</f>
        <v>Portfolio</v>
      </c>
      <c r="O105" s="350" t="str">
        <f>IF($B105="Portfolio","Portfolio",IFERROR(INDEX(DATA_ASSET_CLASSIFICATION!$AB$8:$AB$13,MATCH($N105,DATA_ASSET_CLASSIFICATION!$AA$8:$AA$13,0)),"Review"))</f>
        <v>Portfolio</v>
      </c>
      <c r="P105" s="350" t="str">
        <f>IF($B105="Portfolio","Portfolio",IFERROR(INDEX(DATA_ASSET_CLASSIFICATION!$C$8:$C$24,MATCH($C105,DATA_ASSET_CLASSIFICATION!$A$8:$A$24,0)),"Review"))</f>
        <v>Portfolio</v>
      </c>
      <c r="Q105" s="350" t="str">
        <f t="shared" si="3"/>
        <v>OK</v>
      </c>
    </row>
    <row r="106" spans="1:17">
      <c r="A106" s="366" t="s">
        <v>1902</v>
      </c>
      <c r="B106" s="366" t="s">
        <v>1681</v>
      </c>
      <c r="C106" s="366" t="s">
        <v>1682</v>
      </c>
      <c r="D106" s="380">
        <f>'00_PORTFOLIO ROLLUP'!J$12</f>
        <v>2030</v>
      </c>
      <c r="E106" s="366" t="s">
        <v>1741</v>
      </c>
      <c r="F106" s="366" t="s">
        <v>1749</v>
      </c>
      <c r="H106" s="381">
        <f>('00_PORTFOLIO ROLLUP'!J$56+MAX('00_PORTFOLIO ROLLUP'!J$63,0))-'00_PORTFOLIO ROLLUP'!J$68</f>
        <v>0</v>
      </c>
      <c r="I106" s="366" t="s">
        <v>1750</v>
      </c>
      <c r="J106" s="348" t="str">
        <f t="shared" si="2"/>
        <v>OK</v>
      </c>
      <c r="K106" s="366" t="s">
        <v>1751</v>
      </c>
      <c r="L106" s="366" t="s">
        <v>1752</v>
      </c>
      <c r="M106" s="350" t="str">
        <f>IF($B106="Portfolio","Portfolio",IFERROR(INDEX(DATA_ASSET_CLASSIFICATION!$B$8:$B$24,MATCH($C106,DATA_ASSET_CLASSIFICATION!$A$8:$A$24,0)),"Review"))</f>
        <v>Portfolio</v>
      </c>
      <c r="N106" s="350" t="str">
        <f>IF($B106="Portfolio","Portfolio",IFERROR(INDEX(DATA_ASSET_CLASSIFICATION!$U$8:$U$24,MATCH($C106,DATA_ASSET_CLASSIFICATION!$A$8:$A$24,0)),"Review"))</f>
        <v>Portfolio</v>
      </c>
      <c r="O106" s="350" t="str">
        <f>IF($B106="Portfolio","Portfolio",IFERROR(INDEX(DATA_ASSET_CLASSIFICATION!$AB$8:$AB$13,MATCH($N106,DATA_ASSET_CLASSIFICATION!$AA$8:$AA$13,0)),"Review"))</f>
        <v>Portfolio</v>
      </c>
      <c r="P106" s="350" t="str">
        <f>IF($B106="Portfolio","Portfolio",IFERROR(INDEX(DATA_ASSET_CLASSIFICATION!$C$8:$C$24,MATCH($C106,DATA_ASSET_CLASSIFICATION!$A$8:$A$24,0)),"Review"))</f>
        <v>Portfolio</v>
      </c>
      <c r="Q106" s="350" t="str">
        <f t="shared" si="3"/>
        <v>OK</v>
      </c>
    </row>
    <row r="107" spans="1:17">
      <c r="A107" s="366" t="s">
        <v>1903</v>
      </c>
      <c r="B107" s="366" t="s">
        <v>1681</v>
      </c>
      <c r="C107" s="366" t="s">
        <v>1682</v>
      </c>
      <c r="D107" s="380">
        <f>'00_PORTFOLIO ROLLUP'!K$12</f>
        <v>2031</v>
      </c>
      <c r="E107" s="366" t="s">
        <v>1683</v>
      </c>
      <c r="F107" s="366" t="s">
        <v>341</v>
      </c>
      <c r="G107" s="366" t="s">
        <v>1904</v>
      </c>
      <c r="H107" s="381">
        <f>'00_PORTFOLIO ROLLUP'!K$24</f>
        <v>19947497.622289218</v>
      </c>
      <c r="I107" s="366" t="s">
        <v>1685</v>
      </c>
      <c r="J107" s="348" t="str">
        <f t="shared" si="2"/>
        <v>OK</v>
      </c>
      <c r="K107" s="366" t="s">
        <v>1686</v>
      </c>
      <c r="L107" s="366" t="s">
        <v>1687</v>
      </c>
      <c r="M107" s="350" t="str">
        <f>IF($B107="Portfolio","Portfolio",IFERROR(INDEX(DATA_ASSET_CLASSIFICATION!$B$8:$B$24,MATCH($C107,DATA_ASSET_CLASSIFICATION!$A$8:$A$24,0)),"Review"))</f>
        <v>Portfolio</v>
      </c>
      <c r="N107" s="350" t="str">
        <f>IF($B107="Portfolio","Portfolio",IFERROR(INDEX(DATA_ASSET_CLASSIFICATION!$U$8:$U$24,MATCH($C107,DATA_ASSET_CLASSIFICATION!$A$8:$A$24,0)),"Review"))</f>
        <v>Portfolio</v>
      </c>
      <c r="O107" s="350" t="str">
        <f>IF($B107="Portfolio","Portfolio",IFERROR(INDEX(DATA_ASSET_CLASSIFICATION!$AB$8:$AB$13,MATCH($N107,DATA_ASSET_CLASSIFICATION!$AA$8:$AA$13,0)),"Review"))</f>
        <v>Portfolio</v>
      </c>
      <c r="P107" s="350" t="str">
        <f>IF($B107="Portfolio","Portfolio",IFERROR(INDEX(DATA_ASSET_CLASSIFICATION!$C$8:$C$24,MATCH($C107,DATA_ASSET_CLASSIFICATION!$A$8:$A$24,0)),"Review"))</f>
        <v>Portfolio</v>
      </c>
      <c r="Q107" s="350" t="str">
        <f t="shared" si="3"/>
        <v>OK</v>
      </c>
    </row>
    <row r="108" spans="1:17">
      <c r="A108" s="366" t="s">
        <v>1905</v>
      </c>
      <c r="B108" s="366" t="s">
        <v>1681</v>
      </c>
      <c r="C108" s="366" t="s">
        <v>1682</v>
      </c>
      <c r="D108" s="380">
        <f>'00_PORTFOLIO ROLLUP'!K$12</f>
        <v>2031</v>
      </c>
      <c r="E108" s="366" t="s">
        <v>1683</v>
      </c>
      <c r="F108" s="366" t="s">
        <v>355</v>
      </c>
      <c r="G108" s="366" t="s">
        <v>1906</v>
      </c>
      <c r="H108" s="381">
        <f>'00_PORTFOLIO ROLLUP'!K$39</f>
        <v>6771862.1204077629</v>
      </c>
      <c r="I108" s="366" t="s">
        <v>1690</v>
      </c>
      <c r="J108" s="348" t="str">
        <f t="shared" si="2"/>
        <v>OK</v>
      </c>
      <c r="K108" s="366" t="s">
        <v>1686</v>
      </c>
      <c r="L108" s="366" t="s">
        <v>1691</v>
      </c>
      <c r="M108" s="350" t="str">
        <f>IF($B108="Portfolio","Portfolio",IFERROR(INDEX(DATA_ASSET_CLASSIFICATION!$B$8:$B$24,MATCH($C108,DATA_ASSET_CLASSIFICATION!$A$8:$A$24,0)),"Review"))</f>
        <v>Portfolio</v>
      </c>
      <c r="N108" s="350" t="str">
        <f>IF($B108="Portfolio","Portfolio",IFERROR(INDEX(DATA_ASSET_CLASSIFICATION!$U$8:$U$24,MATCH($C108,DATA_ASSET_CLASSIFICATION!$A$8:$A$24,0)),"Review"))</f>
        <v>Portfolio</v>
      </c>
      <c r="O108" s="350" t="str">
        <f>IF($B108="Portfolio","Portfolio",IFERROR(INDEX(DATA_ASSET_CLASSIFICATION!$AB$8:$AB$13,MATCH($N108,DATA_ASSET_CLASSIFICATION!$AA$8:$AA$13,0)),"Review"))</f>
        <v>Portfolio</v>
      </c>
      <c r="P108" s="350" t="str">
        <f>IF($B108="Portfolio","Portfolio",IFERROR(INDEX(DATA_ASSET_CLASSIFICATION!$C$8:$C$24,MATCH($C108,DATA_ASSET_CLASSIFICATION!$A$8:$A$24,0)),"Review"))</f>
        <v>Portfolio</v>
      </c>
      <c r="Q108" s="350" t="str">
        <f t="shared" si="3"/>
        <v>OK</v>
      </c>
    </row>
    <row r="109" spans="1:17">
      <c r="A109" s="366" t="s">
        <v>1907</v>
      </c>
      <c r="B109" s="366" t="s">
        <v>1681</v>
      </c>
      <c r="C109" s="366" t="s">
        <v>1682</v>
      </c>
      <c r="D109" s="380">
        <f>'00_PORTFOLIO ROLLUP'!K$12</f>
        <v>2031</v>
      </c>
      <c r="E109" s="366" t="s">
        <v>1683</v>
      </c>
      <c r="F109" s="366" t="s">
        <v>19</v>
      </c>
      <c r="G109" s="366" t="s">
        <v>1908</v>
      </c>
      <c r="H109" s="381">
        <f>'00_PORTFOLIO ROLLUP'!K$41</f>
        <v>13175635.501881454</v>
      </c>
      <c r="I109" s="366" t="s">
        <v>1685</v>
      </c>
      <c r="J109" s="348" t="str">
        <f t="shared" si="2"/>
        <v>OK</v>
      </c>
      <c r="K109" s="366" t="s">
        <v>1694</v>
      </c>
      <c r="L109" s="366" t="s">
        <v>1695</v>
      </c>
      <c r="M109" s="350" t="str">
        <f>IF($B109="Portfolio","Portfolio",IFERROR(INDEX(DATA_ASSET_CLASSIFICATION!$B$8:$B$24,MATCH($C109,DATA_ASSET_CLASSIFICATION!$A$8:$A$24,0)),"Review"))</f>
        <v>Portfolio</v>
      </c>
      <c r="N109" s="350" t="str">
        <f>IF($B109="Portfolio","Portfolio",IFERROR(INDEX(DATA_ASSET_CLASSIFICATION!$U$8:$U$24,MATCH($C109,DATA_ASSET_CLASSIFICATION!$A$8:$A$24,0)),"Review"))</f>
        <v>Portfolio</v>
      </c>
      <c r="O109" s="350" t="str">
        <f>IF($B109="Portfolio","Portfolio",IFERROR(INDEX(DATA_ASSET_CLASSIFICATION!$AB$8:$AB$13,MATCH($N109,DATA_ASSET_CLASSIFICATION!$AA$8:$AA$13,0)),"Review"))</f>
        <v>Portfolio</v>
      </c>
      <c r="P109" s="350" t="str">
        <f>IF($B109="Portfolio","Portfolio",IFERROR(INDEX(DATA_ASSET_CLASSIFICATION!$C$8:$C$24,MATCH($C109,DATA_ASSET_CLASSIFICATION!$A$8:$A$24,0)),"Review"))</f>
        <v>Portfolio</v>
      </c>
      <c r="Q109" s="350" t="str">
        <f t="shared" si="3"/>
        <v>OK</v>
      </c>
    </row>
    <row r="110" spans="1:17">
      <c r="A110" s="366" t="s">
        <v>1909</v>
      </c>
      <c r="B110" s="366" t="s">
        <v>1681</v>
      </c>
      <c r="C110" s="366" t="s">
        <v>1682</v>
      </c>
      <c r="D110" s="380">
        <f>'00_PORTFOLIO ROLLUP'!K$12</f>
        <v>2031</v>
      </c>
      <c r="E110" s="366" t="s">
        <v>1683</v>
      </c>
      <c r="F110" s="366" t="s">
        <v>1697</v>
      </c>
      <c r="G110" s="366" t="s">
        <v>1910</v>
      </c>
      <c r="H110" s="381">
        <f>'00_PORTFOLIO ROLLUP'!K$44</f>
        <v>181762.6144692096</v>
      </c>
      <c r="I110" s="366" t="s">
        <v>1690</v>
      </c>
      <c r="J110" s="348" t="str">
        <f t="shared" si="2"/>
        <v>OK</v>
      </c>
      <c r="K110" s="366" t="s">
        <v>1699</v>
      </c>
      <c r="L110" s="366" t="s">
        <v>1700</v>
      </c>
      <c r="M110" s="350" t="str">
        <f>IF($B110="Portfolio","Portfolio",IFERROR(INDEX(DATA_ASSET_CLASSIFICATION!$B$8:$B$24,MATCH($C110,DATA_ASSET_CLASSIFICATION!$A$8:$A$24,0)),"Review"))</f>
        <v>Portfolio</v>
      </c>
      <c r="N110" s="350" t="str">
        <f>IF($B110="Portfolio","Portfolio",IFERROR(INDEX(DATA_ASSET_CLASSIFICATION!$U$8:$U$24,MATCH($C110,DATA_ASSET_CLASSIFICATION!$A$8:$A$24,0)),"Review"))</f>
        <v>Portfolio</v>
      </c>
      <c r="O110" s="350" t="str">
        <f>IF($B110="Portfolio","Portfolio",IFERROR(INDEX(DATA_ASSET_CLASSIFICATION!$AB$8:$AB$13,MATCH($N110,DATA_ASSET_CLASSIFICATION!$AA$8:$AA$13,0)),"Review"))</f>
        <v>Portfolio</v>
      </c>
      <c r="P110" s="350" t="str">
        <f>IF($B110="Portfolio","Portfolio",IFERROR(INDEX(DATA_ASSET_CLASSIFICATION!$C$8:$C$24,MATCH($C110,DATA_ASSET_CLASSIFICATION!$A$8:$A$24,0)),"Review"))</f>
        <v>Portfolio</v>
      </c>
      <c r="Q110" s="350" t="str">
        <f t="shared" si="3"/>
        <v>OK</v>
      </c>
    </row>
    <row r="111" spans="1:17">
      <c r="A111" s="366" t="s">
        <v>1911</v>
      </c>
      <c r="B111" s="366" t="s">
        <v>1681</v>
      </c>
      <c r="C111" s="366" t="s">
        <v>1682</v>
      </c>
      <c r="D111" s="380">
        <f>'00_PORTFOLIO ROLLUP'!K$12</f>
        <v>2031</v>
      </c>
      <c r="E111" s="366" t="s">
        <v>1683</v>
      </c>
      <c r="F111" s="366" t="s">
        <v>21</v>
      </c>
      <c r="G111" s="366" t="s">
        <v>1912</v>
      </c>
      <c r="H111" s="381">
        <f>'00_PORTFOLIO ROLLUP'!K$45</f>
        <v>12993872.887412244</v>
      </c>
      <c r="I111" s="366" t="s">
        <v>1685</v>
      </c>
      <c r="J111" s="348" t="str">
        <f t="shared" si="2"/>
        <v>OK</v>
      </c>
      <c r="K111" s="366" t="s">
        <v>1694</v>
      </c>
      <c r="L111" s="366" t="s">
        <v>1703</v>
      </c>
      <c r="M111" s="350" t="str">
        <f>IF($B111="Portfolio","Portfolio",IFERROR(INDEX(DATA_ASSET_CLASSIFICATION!$B$8:$B$24,MATCH($C111,DATA_ASSET_CLASSIFICATION!$A$8:$A$24,0)),"Review"))</f>
        <v>Portfolio</v>
      </c>
      <c r="N111" s="350" t="str">
        <f>IF($B111="Portfolio","Portfolio",IFERROR(INDEX(DATA_ASSET_CLASSIFICATION!$U$8:$U$24,MATCH($C111,DATA_ASSET_CLASSIFICATION!$A$8:$A$24,0)),"Review"))</f>
        <v>Portfolio</v>
      </c>
      <c r="O111" s="350" t="str">
        <f>IF($B111="Portfolio","Portfolio",IFERROR(INDEX(DATA_ASSET_CLASSIFICATION!$AB$8:$AB$13,MATCH($N111,DATA_ASSET_CLASSIFICATION!$AA$8:$AA$13,0)),"Review"))</f>
        <v>Portfolio</v>
      </c>
      <c r="P111" s="350" t="str">
        <f>IF($B111="Portfolio","Portfolio",IFERROR(INDEX(DATA_ASSET_CLASSIFICATION!$C$8:$C$24,MATCH($C111,DATA_ASSET_CLASSIFICATION!$A$8:$A$24,0)),"Review"))</f>
        <v>Portfolio</v>
      </c>
      <c r="Q111" s="350" t="str">
        <f t="shared" si="3"/>
        <v>OK</v>
      </c>
    </row>
    <row r="112" spans="1:17">
      <c r="A112" s="366" t="s">
        <v>1913</v>
      </c>
      <c r="B112" s="366" t="s">
        <v>1681</v>
      </c>
      <c r="C112" s="366" t="s">
        <v>1682</v>
      </c>
      <c r="D112" s="380">
        <f>'00_PORTFOLIO ROLLUP'!K$12</f>
        <v>2031</v>
      </c>
      <c r="E112" s="366" t="s">
        <v>23</v>
      </c>
      <c r="F112" s="366" t="s">
        <v>23</v>
      </c>
      <c r="G112" s="366" t="s">
        <v>1914</v>
      </c>
      <c r="H112" s="381">
        <f>'00_PORTFOLIO ROLLUP'!K$48</f>
        <v>7038269.5659003453</v>
      </c>
      <c r="I112" s="366" t="s">
        <v>1690</v>
      </c>
      <c r="J112" s="348" t="str">
        <f t="shared" si="2"/>
        <v>OK</v>
      </c>
      <c r="K112" s="366" t="s">
        <v>1706</v>
      </c>
      <c r="L112" s="366" t="s">
        <v>1707</v>
      </c>
      <c r="M112" s="350" t="str">
        <f>IF($B112="Portfolio","Portfolio",IFERROR(INDEX(DATA_ASSET_CLASSIFICATION!$B$8:$B$24,MATCH($C112,DATA_ASSET_CLASSIFICATION!$A$8:$A$24,0)),"Review"))</f>
        <v>Portfolio</v>
      </c>
      <c r="N112" s="350" t="str">
        <f>IF($B112="Portfolio","Portfolio",IFERROR(INDEX(DATA_ASSET_CLASSIFICATION!$U$8:$U$24,MATCH($C112,DATA_ASSET_CLASSIFICATION!$A$8:$A$24,0)),"Review"))</f>
        <v>Portfolio</v>
      </c>
      <c r="O112" s="350" t="str">
        <f>IF($B112="Portfolio","Portfolio",IFERROR(INDEX(DATA_ASSET_CLASSIFICATION!$AB$8:$AB$13,MATCH($N112,DATA_ASSET_CLASSIFICATION!$AA$8:$AA$13,0)),"Review"))</f>
        <v>Portfolio</v>
      </c>
      <c r="P112" s="350" t="str">
        <f>IF($B112="Portfolio","Portfolio",IFERROR(INDEX(DATA_ASSET_CLASSIFICATION!$C$8:$C$24,MATCH($C112,DATA_ASSET_CLASSIFICATION!$A$8:$A$24,0)),"Review"))</f>
        <v>Portfolio</v>
      </c>
      <c r="Q112" s="350" t="str">
        <f t="shared" si="3"/>
        <v>OK</v>
      </c>
    </row>
    <row r="113" spans="1:17">
      <c r="A113" s="366" t="s">
        <v>1915</v>
      </c>
      <c r="B113" s="366" t="s">
        <v>1681</v>
      </c>
      <c r="C113" s="366" t="s">
        <v>1682</v>
      </c>
      <c r="D113" s="380">
        <f>'00_PORTFOLIO ROLLUP'!K$12</f>
        <v>2031</v>
      </c>
      <c r="E113" s="366" t="s">
        <v>1683</v>
      </c>
      <c r="F113" s="366" t="s">
        <v>25</v>
      </c>
      <c r="G113" s="366" t="s">
        <v>1916</v>
      </c>
      <c r="H113" s="381">
        <f>'00_PORTFOLIO ROLLUP'!K$52</f>
        <v>6137365.9359811088</v>
      </c>
      <c r="I113" s="366" t="s">
        <v>1685</v>
      </c>
      <c r="J113" s="348" t="str">
        <f t="shared" si="2"/>
        <v>OK</v>
      </c>
      <c r="K113" s="366" t="s">
        <v>1710</v>
      </c>
      <c r="L113" s="366" t="s">
        <v>1711</v>
      </c>
      <c r="M113" s="350" t="str">
        <f>IF($B113="Portfolio","Portfolio",IFERROR(INDEX(DATA_ASSET_CLASSIFICATION!$B$8:$B$24,MATCH($C113,DATA_ASSET_CLASSIFICATION!$A$8:$A$24,0)),"Review"))</f>
        <v>Portfolio</v>
      </c>
      <c r="N113" s="350" t="str">
        <f>IF($B113="Portfolio","Portfolio",IFERROR(INDEX(DATA_ASSET_CLASSIFICATION!$U$8:$U$24,MATCH($C113,DATA_ASSET_CLASSIFICATION!$A$8:$A$24,0)),"Review"))</f>
        <v>Portfolio</v>
      </c>
      <c r="O113" s="350" t="str">
        <f>IF($B113="Portfolio","Portfolio",IFERROR(INDEX(DATA_ASSET_CLASSIFICATION!$AB$8:$AB$13,MATCH($N113,DATA_ASSET_CLASSIFICATION!$AA$8:$AA$13,0)),"Review"))</f>
        <v>Portfolio</v>
      </c>
      <c r="P113" s="350" t="str">
        <f>IF($B113="Portfolio","Portfolio",IFERROR(INDEX(DATA_ASSET_CLASSIFICATION!$C$8:$C$24,MATCH($C113,DATA_ASSET_CLASSIFICATION!$A$8:$A$24,0)),"Review"))</f>
        <v>Portfolio</v>
      </c>
      <c r="Q113" s="350" t="str">
        <f t="shared" si="3"/>
        <v>OK</v>
      </c>
    </row>
    <row r="114" spans="1:17">
      <c r="A114" s="366" t="s">
        <v>1917</v>
      </c>
      <c r="B114" s="366" t="s">
        <v>1681</v>
      </c>
      <c r="C114" s="366" t="s">
        <v>1682</v>
      </c>
      <c r="D114" s="380">
        <f>'00_PORTFOLIO ROLLUP'!K$12</f>
        <v>2031</v>
      </c>
      <c r="E114" s="366" t="s">
        <v>1683</v>
      </c>
      <c r="F114" s="366" t="s">
        <v>27</v>
      </c>
      <c r="G114" s="366" t="s">
        <v>1918</v>
      </c>
      <c r="H114" s="381">
        <f>'00_PORTFOLIO ROLLUP'!K$54</f>
        <v>3682419.561588665</v>
      </c>
      <c r="I114" s="366" t="s">
        <v>1690</v>
      </c>
      <c r="J114" s="348" t="str">
        <f t="shared" si="2"/>
        <v>OK</v>
      </c>
      <c r="K114" s="366" t="s">
        <v>1714</v>
      </c>
      <c r="L114" s="366" t="s">
        <v>1715</v>
      </c>
      <c r="M114" s="350" t="str">
        <f>IF($B114="Portfolio","Portfolio",IFERROR(INDEX(DATA_ASSET_CLASSIFICATION!$B$8:$B$24,MATCH($C114,DATA_ASSET_CLASSIFICATION!$A$8:$A$24,0)),"Review"))</f>
        <v>Portfolio</v>
      </c>
      <c r="N114" s="350" t="str">
        <f>IF($B114="Portfolio","Portfolio",IFERROR(INDEX(DATA_ASSET_CLASSIFICATION!$U$8:$U$24,MATCH($C114,DATA_ASSET_CLASSIFICATION!$A$8:$A$24,0)),"Review"))</f>
        <v>Portfolio</v>
      </c>
      <c r="O114" s="350" t="str">
        <f>IF($B114="Portfolio","Portfolio",IFERROR(INDEX(DATA_ASSET_CLASSIFICATION!$AB$8:$AB$13,MATCH($N114,DATA_ASSET_CLASSIFICATION!$AA$8:$AA$13,0)),"Review"))</f>
        <v>Portfolio</v>
      </c>
      <c r="P114" s="350" t="str">
        <f>IF($B114="Portfolio","Portfolio",IFERROR(INDEX(DATA_ASSET_CLASSIFICATION!$C$8:$C$24,MATCH($C114,DATA_ASSET_CLASSIFICATION!$A$8:$A$24,0)),"Review"))</f>
        <v>Portfolio</v>
      </c>
      <c r="Q114" s="350" t="str">
        <f t="shared" si="3"/>
        <v>OK</v>
      </c>
    </row>
    <row r="115" spans="1:17">
      <c r="A115" s="366" t="s">
        <v>1919</v>
      </c>
      <c r="B115" s="366" t="s">
        <v>1681</v>
      </c>
      <c r="C115" s="366" t="s">
        <v>1682</v>
      </c>
      <c r="D115" s="380">
        <f>'00_PORTFOLIO ROLLUP'!K$12</f>
        <v>2031</v>
      </c>
      <c r="E115" s="366" t="s">
        <v>1683</v>
      </c>
      <c r="F115" s="366" t="s">
        <v>29</v>
      </c>
      <c r="G115" s="366" t="s">
        <v>1920</v>
      </c>
      <c r="H115" s="381">
        <f>'00_PORTFOLIO ROLLUP'!K$56</f>
        <v>2454946.3743924438</v>
      </c>
      <c r="I115" s="366" t="s">
        <v>1685</v>
      </c>
      <c r="J115" s="348" t="str">
        <f t="shared" si="2"/>
        <v>OK</v>
      </c>
      <c r="K115" s="366" t="s">
        <v>1718</v>
      </c>
      <c r="L115" s="366" t="s">
        <v>1719</v>
      </c>
      <c r="M115" s="350" t="str">
        <f>IF($B115="Portfolio","Portfolio",IFERROR(INDEX(DATA_ASSET_CLASSIFICATION!$B$8:$B$24,MATCH($C115,DATA_ASSET_CLASSIFICATION!$A$8:$A$24,0)),"Review"))</f>
        <v>Portfolio</v>
      </c>
      <c r="N115" s="350" t="str">
        <f>IF($B115="Portfolio","Portfolio",IFERROR(INDEX(DATA_ASSET_CLASSIFICATION!$U$8:$U$24,MATCH($C115,DATA_ASSET_CLASSIFICATION!$A$8:$A$24,0)),"Review"))</f>
        <v>Portfolio</v>
      </c>
      <c r="O115" s="350" t="str">
        <f>IF($B115="Portfolio","Portfolio",IFERROR(INDEX(DATA_ASSET_CLASSIFICATION!$AB$8:$AB$13,MATCH($N115,DATA_ASSET_CLASSIFICATION!$AA$8:$AA$13,0)),"Review"))</f>
        <v>Portfolio</v>
      </c>
      <c r="P115" s="350" t="str">
        <f>IF($B115="Portfolio","Portfolio",IFERROR(INDEX(DATA_ASSET_CLASSIFICATION!$C$8:$C$24,MATCH($C115,DATA_ASSET_CLASSIFICATION!$A$8:$A$24,0)),"Review"))</f>
        <v>Portfolio</v>
      </c>
      <c r="Q115" s="350" t="str">
        <f t="shared" si="3"/>
        <v>OK</v>
      </c>
    </row>
    <row r="116" spans="1:17">
      <c r="A116" s="366" t="s">
        <v>1921</v>
      </c>
      <c r="B116" s="366" t="s">
        <v>1681</v>
      </c>
      <c r="C116" s="366" t="s">
        <v>1682</v>
      </c>
      <c r="D116" s="380">
        <f>'00_PORTFOLIO ROLLUP'!K$12</f>
        <v>2031</v>
      </c>
      <c r="E116" s="366" t="s">
        <v>1721</v>
      </c>
      <c r="F116" s="366" t="s">
        <v>31</v>
      </c>
      <c r="G116" s="366" t="s">
        <v>1922</v>
      </c>
      <c r="H116" s="381">
        <f>'00_PORTFOLIO ROLLUP'!K$61</f>
        <v>0</v>
      </c>
      <c r="I116" s="366" t="s">
        <v>1690</v>
      </c>
      <c r="J116" s="348" t="str">
        <f t="shared" si="2"/>
        <v>OK</v>
      </c>
      <c r="K116" s="366" t="s">
        <v>1723</v>
      </c>
      <c r="L116" s="366" t="s">
        <v>1724</v>
      </c>
      <c r="M116" s="350" t="str">
        <f>IF($B116="Portfolio","Portfolio",IFERROR(INDEX(DATA_ASSET_CLASSIFICATION!$B$8:$B$24,MATCH($C116,DATA_ASSET_CLASSIFICATION!$A$8:$A$24,0)),"Review"))</f>
        <v>Portfolio</v>
      </c>
      <c r="N116" s="350" t="str">
        <f>IF($B116="Portfolio","Portfolio",IFERROR(INDEX(DATA_ASSET_CLASSIFICATION!$U$8:$U$24,MATCH($C116,DATA_ASSET_CLASSIFICATION!$A$8:$A$24,0)),"Review"))</f>
        <v>Portfolio</v>
      </c>
      <c r="O116" s="350" t="str">
        <f>IF($B116="Portfolio","Portfolio",IFERROR(INDEX(DATA_ASSET_CLASSIFICATION!$AB$8:$AB$13,MATCH($N116,DATA_ASSET_CLASSIFICATION!$AA$8:$AA$13,0)),"Review"))</f>
        <v>Portfolio</v>
      </c>
      <c r="P116" s="350" t="str">
        <f>IF($B116="Portfolio","Portfolio",IFERROR(INDEX(DATA_ASSET_CLASSIFICATION!$C$8:$C$24,MATCH($C116,DATA_ASSET_CLASSIFICATION!$A$8:$A$24,0)),"Review"))</f>
        <v>Portfolio</v>
      </c>
      <c r="Q116" s="350" t="str">
        <f t="shared" si="3"/>
        <v>OK</v>
      </c>
    </row>
    <row r="117" spans="1:17">
      <c r="A117" s="366" t="s">
        <v>1923</v>
      </c>
      <c r="B117" s="366" t="s">
        <v>1681</v>
      </c>
      <c r="C117" s="366" t="s">
        <v>1682</v>
      </c>
      <c r="D117" s="380">
        <f>'00_PORTFOLIO ROLLUP'!K$12</f>
        <v>2031</v>
      </c>
      <c r="E117" s="366" t="s">
        <v>1721</v>
      </c>
      <c r="F117" s="366" t="s">
        <v>33</v>
      </c>
      <c r="G117" s="366" t="s">
        <v>1924</v>
      </c>
      <c r="H117" s="381">
        <f>'00_PORTFOLIO ROLLUP'!K$62</f>
        <v>0</v>
      </c>
      <c r="I117" s="366" t="s">
        <v>1685</v>
      </c>
      <c r="J117" s="348" t="str">
        <f t="shared" si="2"/>
        <v>OK</v>
      </c>
      <c r="K117" s="366" t="s">
        <v>1727</v>
      </c>
      <c r="L117" s="366" t="s">
        <v>1728</v>
      </c>
      <c r="M117" s="350" t="str">
        <f>IF($B117="Portfolio","Portfolio",IFERROR(INDEX(DATA_ASSET_CLASSIFICATION!$B$8:$B$24,MATCH($C117,DATA_ASSET_CLASSIFICATION!$A$8:$A$24,0)),"Review"))</f>
        <v>Portfolio</v>
      </c>
      <c r="N117" s="350" t="str">
        <f>IF($B117="Portfolio","Portfolio",IFERROR(INDEX(DATA_ASSET_CLASSIFICATION!$U$8:$U$24,MATCH($C117,DATA_ASSET_CLASSIFICATION!$A$8:$A$24,0)),"Review"))</f>
        <v>Portfolio</v>
      </c>
      <c r="O117" s="350" t="str">
        <f>IF($B117="Portfolio","Portfolio",IFERROR(INDEX(DATA_ASSET_CLASSIFICATION!$AB$8:$AB$13,MATCH($N117,DATA_ASSET_CLASSIFICATION!$AA$8:$AA$13,0)),"Review"))</f>
        <v>Portfolio</v>
      </c>
      <c r="P117" s="350" t="str">
        <f>IF($B117="Portfolio","Portfolio",IFERROR(INDEX(DATA_ASSET_CLASSIFICATION!$C$8:$C$24,MATCH($C117,DATA_ASSET_CLASSIFICATION!$A$8:$A$24,0)),"Review"))</f>
        <v>Portfolio</v>
      </c>
      <c r="Q117" s="350" t="str">
        <f t="shared" si="3"/>
        <v>OK</v>
      </c>
    </row>
    <row r="118" spans="1:17">
      <c r="A118" s="366" t="s">
        <v>1925</v>
      </c>
      <c r="B118" s="366" t="s">
        <v>1681</v>
      </c>
      <c r="C118" s="366" t="s">
        <v>1682</v>
      </c>
      <c r="D118" s="380">
        <f>'00_PORTFOLIO ROLLUP'!K$12</f>
        <v>2031</v>
      </c>
      <c r="E118" s="366" t="s">
        <v>1721</v>
      </c>
      <c r="F118" s="366" t="s">
        <v>35</v>
      </c>
      <c r="G118" s="366" t="s">
        <v>1926</v>
      </c>
      <c r="H118" s="381">
        <f>'00_PORTFOLIO ROLLUP'!K$63</f>
        <v>0</v>
      </c>
      <c r="I118" s="366" t="s">
        <v>1731</v>
      </c>
      <c r="J118" s="348" t="str">
        <f t="shared" si="2"/>
        <v>OK</v>
      </c>
      <c r="K118" s="366" t="s">
        <v>1732</v>
      </c>
      <c r="L118" s="366" t="s">
        <v>1733</v>
      </c>
      <c r="M118" s="350" t="str">
        <f>IF($B118="Portfolio","Portfolio",IFERROR(INDEX(DATA_ASSET_CLASSIFICATION!$B$8:$B$24,MATCH($C118,DATA_ASSET_CLASSIFICATION!$A$8:$A$24,0)),"Review"))</f>
        <v>Portfolio</v>
      </c>
      <c r="N118" s="350" t="str">
        <f>IF($B118="Portfolio","Portfolio",IFERROR(INDEX(DATA_ASSET_CLASSIFICATION!$U$8:$U$24,MATCH($C118,DATA_ASSET_CLASSIFICATION!$A$8:$A$24,0)),"Review"))</f>
        <v>Portfolio</v>
      </c>
      <c r="O118" s="350" t="str">
        <f>IF($B118="Portfolio","Portfolio",IFERROR(INDEX(DATA_ASSET_CLASSIFICATION!$AB$8:$AB$13,MATCH($N118,DATA_ASSET_CLASSIFICATION!$AA$8:$AA$13,0)),"Review"))</f>
        <v>Portfolio</v>
      </c>
      <c r="P118" s="350" t="str">
        <f>IF($B118="Portfolio","Portfolio",IFERROR(INDEX(DATA_ASSET_CLASSIFICATION!$C$8:$C$24,MATCH($C118,DATA_ASSET_CLASSIFICATION!$A$8:$A$24,0)),"Review"))</f>
        <v>Portfolio</v>
      </c>
      <c r="Q118" s="350" t="str">
        <f t="shared" si="3"/>
        <v>OK</v>
      </c>
    </row>
    <row r="119" spans="1:17">
      <c r="A119" s="366" t="s">
        <v>1927</v>
      </c>
      <c r="B119" s="366" t="s">
        <v>1681</v>
      </c>
      <c r="C119" s="366" t="s">
        <v>1682</v>
      </c>
      <c r="D119" s="380">
        <f>'00_PORTFOLIO ROLLUP'!K$12</f>
        <v>2031</v>
      </c>
      <c r="E119" s="366" t="s">
        <v>1721</v>
      </c>
      <c r="F119" s="366" t="s">
        <v>37</v>
      </c>
      <c r="G119" s="366" t="s">
        <v>1926</v>
      </c>
      <c r="H119" s="381">
        <f>MAX('00_PORTFOLIO ROLLUP'!K$63,0)</f>
        <v>0</v>
      </c>
      <c r="I119" s="366" t="s">
        <v>1685</v>
      </c>
      <c r="J119" s="348" t="str">
        <f t="shared" si="2"/>
        <v>OK</v>
      </c>
      <c r="K119" s="366" t="s">
        <v>1735</v>
      </c>
      <c r="L119" s="366" t="s">
        <v>1736</v>
      </c>
      <c r="M119" s="350" t="str">
        <f>IF($B119="Portfolio","Portfolio",IFERROR(INDEX(DATA_ASSET_CLASSIFICATION!$B$8:$B$24,MATCH($C119,DATA_ASSET_CLASSIFICATION!$A$8:$A$24,0)),"Review"))</f>
        <v>Portfolio</v>
      </c>
      <c r="N119" s="350" t="str">
        <f>IF($B119="Portfolio","Portfolio",IFERROR(INDEX(DATA_ASSET_CLASSIFICATION!$U$8:$U$24,MATCH($C119,DATA_ASSET_CLASSIFICATION!$A$8:$A$24,0)),"Review"))</f>
        <v>Portfolio</v>
      </c>
      <c r="O119" s="350" t="str">
        <f>IF($B119="Portfolio","Portfolio",IFERROR(INDEX(DATA_ASSET_CLASSIFICATION!$AB$8:$AB$13,MATCH($N119,DATA_ASSET_CLASSIFICATION!$AA$8:$AA$13,0)),"Review"))</f>
        <v>Portfolio</v>
      </c>
      <c r="P119" s="350" t="str">
        <f>IF($B119="Portfolio","Portfolio",IFERROR(INDEX(DATA_ASSET_CLASSIFICATION!$C$8:$C$24,MATCH($C119,DATA_ASSET_CLASSIFICATION!$A$8:$A$24,0)),"Review"))</f>
        <v>Portfolio</v>
      </c>
      <c r="Q119" s="350" t="str">
        <f t="shared" si="3"/>
        <v>OK</v>
      </c>
    </row>
    <row r="120" spans="1:17">
      <c r="A120" s="366" t="s">
        <v>1928</v>
      </c>
      <c r="B120" s="366" t="s">
        <v>1681</v>
      </c>
      <c r="C120" s="366" t="s">
        <v>1682</v>
      </c>
      <c r="D120" s="380">
        <f>'00_PORTFOLIO ROLLUP'!K$12</f>
        <v>2031</v>
      </c>
      <c r="E120" s="366" t="s">
        <v>1721</v>
      </c>
      <c r="F120" s="366" t="s">
        <v>39</v>
      </c>
      <c r="G120" s="366" t="s">
        <v>1926</v>
      </c>
      <c r="H120" s="381">
        <f>MAX(-'00_PORTFOLIO ROLLUP'!K$63,0)</f>
        <v>0</v>
      </c>
      <c r="I120" s="366" t="s">
        <v>1690</v>
      </c>
      <c r="J120" s="348" t="str">
        <f t="shared" si="2"/>
        <v>OK</v>
      </c>
      <c r="K120" s="366" t="s">
        <v>1738</v>
      </c>
      <c r="L120" s="366" t="s">
        <v>1739</v>
      </c>
      <c r="M120" s="350" t="str">
        <f>IF($B120="Portfolio","Portfolio",IFERROR(INDEX(DATA_ASSET_CLASSIFICATION!$B$8:$B$24,MATCH($C120,DATA_ASSET_CLASSIFICATION!$A$8:$A$24,0)),"Review"))</f>
        <v>Portfolio</v>
      </c>
      <c r="N120" s="350" t="str">
        <f>IF($B120="Portfolio","Portfolio",IFERROR(INDEX(DATA_ASSET_CLASSIFICATION!$U$8:$U$24,MATCH($C120,DATA_ASSET_CLASSIFICATION!$A$8:$A$24,0)),"Review"))</f>
        <v>Portfolio</v>
      </c>
      <c r="O120" s="350" t="str">
        <f>IF($B120="Portfolio","Portfolio",IFERROR(INDEX(DATA_ASSET_CLASSIFICATION!$AB$8:$AB$13,MATCH($N120,DATA_ASSET_CLASSIFICATION!$AA$8:$AA$13,0)),"Review"))</f>
        <v>Portfolio</v>
      </c>
      <c r="P120" s="350" t="str">
        <f>IF($B120="Portfolio","Portfolio",IFERROR(INDEX(DATA_ASSET_CLASSIFICATION!$C$8:$C$24,MATCH($C120,DATA_ASSET_CLASSIFICATION!$A$8:$A$24,0)),"Review"))</f>
        <v>Portfolio</v>
      </c>
      <c r="Q120" s="350" t="str">
        <f t="shared" si="3"/>
        <v>OK</v>
      </c>
    </row>
    <row r="121" spans="1:17">
      <c r="A121" s="366" t="s">
        <v>1929</v>
      </c>
      <c r="B121" s="366" t="s">
        <v>1681</v>
      </c>
      <c r="C121" s="366" t="s">
        <v>1682</v>
      </c>
      <c r="D121" s="380">
        <f>'00_PORTFOLIO ROLLUP'!K$12</f>
        <v>2031</v>
      </c>
      <c r="E121" s="366" t="s">
        <v>1741</v>
      </c>
      <c r="F121" s="366" t="s">
        <v>41</v>
      </c>
      <c r="H121" s="381">
        <f>'00_PORTFOLIO ROLLUP'!K$56+MAX('00_PORTFOLIO ROLLUP'!K$63,0)</f>
        <v>2454946.3743924438</v>
      </c>
      <c r="I121" s="366" t="s">
        <v>1685</v>
      </c>
      <c r="J121" s="348" t="str">
        <f t="shared" si="2"/>
        <v>OK</v>
      </c>
      <c r="K121" s="366" t="s">
        <v>1742</v>
      </c>
      <c r="L121" s="366" t="s">
        <v>1743</v>
      </c>
      <c r="M121" s="350" t="str">
        <f>IF($B121="Portfolio","Portfolio",IFERROR(INDEX(DATA_ASSET_CLASSIFICATION!$B$8:$B$24,MATCH($C121,DATA_ASSET_CLASSIFICATION!$A$8:$A$24,0)),"Review"))</f>
        <v>Portfolio</v>
      </c>
      <c r="N121" s="350" t="str">
        <f>IF($B121="Portfolio","Portfolio",IFERROR(INDEX(DATA_ASSET_CLASSIFICATION!$U$8:$U$24,MATCH($C121,DATA_ASSET_CLASSIFICATION!$A$8:$A$24,0)),"Review"))</f>
        <v>Portfolio</v>
      </c>
      <c r="O121" s="350" t="str">
        <f>IF($B121="Portfolio","Portfolio",IFERROR(INDEX(DATA_ASSET_CLASSIFICATION!$AB$8:$AB$13,MATCH($N121,DATA_ASSET_CLASSIFICATION!$AA$8:$AA$13,0)),"Review"))</f>
        <v>Portfolio</v>
      </c>
      <c r="P121" s="350" t="str">
        <f>IF($B121="Portfolio","Portfolio",IFERROR(INDEX(DATA_ASSET_CLASSIFICATION!$C$8:$C$24,MATCH($C121,DATA_ASSET_CLASSIFICATION!$A$8:$A$24,0)),"Review"))</f>
        <v>Portfolio</v>
      </c>
      <c r="Q121" s="350" t="str">
        <f t="shared" si="3"/>
        <v>OK</v>
      </c>
    </row>
    <row r="122" spans="1:17">
      <c r="A122" s="366" t="s">
        <v>1930</v>
      </c>
      <c r="B122" s="366" t="s">
        <v>1681</v>
      </c>
      <c r="C122" s="366" t="s">
        <v>1682</v>
      </c>
      <c r="D122" s="380">
        <f>'00_PORTFOLIO ROLLUP'!K$12</f>
        <v>2031</v>
      </c>
      <c r="E122" s="366" t="s">
        <v>1741</v>
      </c>
      <c r="F122" s="366" t="s">
        <v>43</v>
      </c>
      <c r="G122" s="366" t="s">
        <v>1931</v>
      </c>
      <c r="H122" s="381">
        <f>'00_PORTFOLIO ROLLUP'!K$68</f>
        <v>2454946.3743924438</v>
      </c>
      <c r="I122" s="366" t="s">
        <v>1731</v>
      </c>
      <c r="J122" s="348" t="str">
        <f t="shared" si="2"/>
        <v>OK</v>
      </c>
      <c r="K122" s="366" t="s">
        <v>1746</v>
      </c>
      <c r="L122" s="366" t="s">
        <v>1747</v>
      </c>
      <c r="M122" s="350" t="str">
        <f>IF($B122="Portfolio","Portfolio",IFERROR(INDEX(DATA_ASSET_CLASSIFICATION!$B$8:$B$24,MATCH($C122,DATA_ASSET_CLASSIFICATION!$A$8:$A$24,0)),"Review"))</f>
        <v>Portfolio</v>
      </c>
      <c r="N122" s="350" t="str">
        <f>IF($B122="Portfolio","Portfolio",IFERROR(INDEX(DATA_ASSET_CLASSIFICATION!$U$8:$U$24,MATCH($C122,DATA_ASSET_CLASSIFICATION!$A$8:$A$24,0)),"Review"))</f>
        <v>Portfolio</v>
      </c>
      <c r="O122" s="350" t="str">
        <f>IF($B122="Portfolio","Portfolio",IFERROR(INDEX(DATA_ASSET_CLASSIFICATION!$AB$8:$AB$13,MATCH($N122,DATA_ASSET_CLASSIFICATION!$AA$8:$AA$13,0)),"Review"))</f>
        <v>Portfolio</v>
      </c>
      <c r="P122" s="350" t="str">
        <f>IF($B122="Portfolio","Portfolio",IFERROR(INDEX(DATA_ASSET_CLASSIFICATION!$C$8:$C$24,MATCH($C122,DATA_ASSET_CLASSIFICATION!$A$8:$A$24,0)),"Review"))</f>
        <v>Portfolio</v>
      </c>
      <c r="Q122" s="350" t="str">
        <f t="shared" si="3"/>
        <v>OK</v>
      </c>
    </row>
    <row r="123" spans="1:17">
      <c r="A123" s="366" t="s">
        <v>1932</v>
      </c>
      <c r="B123" s="366" t="s">
        <v>1681</v>
      </c>
      <c r="C123" s="366" t="s">
        <v>1682</v>
      </c>
      <c r="D123" s="380">
        <f>'00_PORTFOLIO ROLLUP'!K$12</f>
        <v>2031</v>
      </c>
      <c r="E123" s="366" t="s">
        <v>1741</v>
      </c>
      <c r="F123" s="366" t="s">
        <v>1749</v>
      </c>
      <c r="H123" s="381">
        <f>('00_PORTFOLIO ROLLUP'!K$56+MAX('00_PORTFOLIO ROLLUP'!K$63,0))-'00_PORTFOLIO ROLLUP'!K$68</f>
        <v>0</v>
      </c>
      <c r="I123" s="366" t="s">
        <v>1750</v>
      </c>
      <c r="J123" s="348" t="str">
        <f t="shared" si="2"/>
        <v>OK</v>
      </c>
      <c r="K123" s="366" t="s">
        <v>1751</v>
      </c>
      <c r="L123" s="366" t="s">
        <v>1752</v>
      </c>
      <c r="M123" s="350" t="str">
        <f>IF($B123="Portfolio","Portfolio",IFERROR(INDEX(DATA_ASSET_CLASSIFICATION!$B$8:$B$24,MATCH($C123,DATA_ASSET_CLASSIFICATION!$A$8:$A$24,0)),"Review"))</f>
        <v>Portfolio</v>
      </c>
      <c r="N123" s="350" t="str">
        <f>IF($B123="Portfolio","Portfolio",IFERROR(INDEX(DATA_ASSET_CLASSIFICATION!$U$8:$U$24,MATCH($C123,DATA_ASSET_CLASSIFICATION!$A$8:$A$24,0)),"Review"))</f>
        <v>Portfolio</v>
      </c>
      <c r="O123" s="350" t="str">
        <f>IF($B123="Portfolio","Portfolio",IFERROR(INDEX(DATA_ASSET_CLASSIFICATION!$AB$8:$AB$13,MATCH($N123,DATA_ASSET_CLASSIFICATION!$AA$8:$AA$13,0)),"Review"))</f>
        <v>Portfolio</v>
      </c>
      <c r="P123" s="350" t="str">
        <f>IF($B123="Portfolio","Portfolio",IFERROR(INDEX(DATA_ASSET_CLASSIFICATION!$C$8:$C$24,MATCH($C123,DATA_ASSET_CLASSIFICATION!$A$8:$A$24,0)),"Review"))</f>
        <v>Portfolio</v>
      </c>
      <c r="Q123" s="350" t="str">
        <f t="shared" si="3"/>
        <v>OK</v>
      </c>
    </row>
    <row r="124" spans="1:17">
      <c r="A124" s="366" t="s">
        <v>1933</v>
      </c>
      <c r="B124" s="366" t="s">
        <v>1681</v>
      </c>
      <c r="C124" s="366" t="s">
        <v>1682</v>
      </c>
      <c r="D124" s="380">
        <f>'00_PORTFOLIO ROLLUP'!L$12</f>
        <v>2032</v>
      </c>
      <c r="E124" s="366" t="s">
        <v>1683</v>
      </c>
      <c r="F124" s="366" t="s">
        <v>341</v>
      </c>
      <c r="G124" s="366" t="s">
        <v>1934</v>
      </c>
      <c r="H124" s="381">
        <f>'00_PORTFOLIO ROLLUP'!L$24</f>
        <v>20343149.698734999</v>
      </c>
      <c r="I124" s="366" t="s">
        <v>1685</v>
      </c>
      <c r="J124" s="348" t="str">
        <f t="shared" si="2"/>
        <v>OK</v>
      </c>
      <c r="K124" s="366" t="s">
        <v>1686</v>
      </c>
      <c r="L124" s="366" t="s">
        <v>1687</v>
      </c>
      <c r="M124" s="350" t="str">
        <f>IF($B124="Portfolio","Portfolio",IFERROR(INDEX(DATA_ASSET_CLASSIFICATION!$B$8:$B$24,MATCH($C124,DATA_ASSET_CLASSIFICATION!$A$8:$A$24,0)),"Review"))</f>
        <v>Portfolio</v>
      </c>
      <c r="N124" s="350" t="str">
        <f>IF($B124="Portfolio","Portfolio",IFERROR(INDEX(DATA_ASSET_CLASSIFICATION!$U$8:$U$24,MATCH($C124,DATA_ASSET_CLASSIFICATION!$A$8:$A$24,0)),"Review"))</f>
        <v>Portfolio</v>
      </c>
      <c r="O124" s="350" t="str">
        <f>IF($B124="Portfolio","Portfolio",IFERROR(INDEX(DATA_ASSET_CLASSIFICATION!$AB$8:$AB$13,MATCH($N124,DATA_ASSET_CLASSIFICATION!$AA$8:$AA$13,0)),"Review"))</f>
        <v>Portfolio</v>
      </c>
      <c r="P124" s="350" t="str">
        <f>IF($B124="Portfolio","Portfolio",IFERROR(INDEX(DATA_ASSET_CLASSIFICATION!$C$8:$C$24,MATCH($C124,DATA_ASSET_CLASSIFICATION!$A$8:$A$24,0)),"Review"))</f>
        <v>Portfolio</v>
      </c>
      <c r="Q124" s="350" t="str">
        <f t="shared" si="3"/>
        <v>OK</v>
      </c>
    </row>
    <row r="125" spans="1:17">
      <c r="A125" s="366" t="s">
        <v>1935</v>
      </c>
      <c r="B125" s="366" t="s">
        <v>1681</v>
      </c>
      <c r="C125" s="366" t="s">
        <v>1682</v>
      </c>
      <c r="D125" s="380">
        <f>'00_PORTFOLIO ROLLUP'!L$12</f>
        <v>2032</v>
      </c>
      <c r="E125" s="366" t="s">
        <v>1683</v>
      </c>
      <c r="F125" s="366" t="s">
        <v>355</v>
      </c>
      <c r="G125" s="366" t="s">
        <v>1936</v>
      </c>
      <c r="H125" s="381">
        <f>'00_PORTFOLIO ROLLUP'!L$39</f>
        <v>7042736.6052240711</v>
      </c>
      <c r="I125" s="366" t="s">
        <v>1690</v>
      </c>
      <c r="J125" s="348" t="str">
        <f t="shared" si="2"/>
        <v>OK</v>
      </c>
      <c r="K125" s="366" t="s">
        <v>1686</v>
      </c>
      <c r="L125" s="366" t="s">
        <v>1691</v>
      </c>
      <c r="M125" s="350" t="str">
        <f>IF($B125="Portfolio","Portfolio",IFERROR(INDEX(DATA_ASSET_CLASSIFICATION!$B$8:$B$24,MATCH($C125,DATA_ASSET_CLASSIFICATION!$A$8:$A$24,0)),"Review"))</f>
        <v>Portfolio</v>
      </c>
      <c r="N125" s="350" t="str">
        <f>IF($B125="Portfolio","Portfolio",IFERROR(INDEX(DATA_ASSET_CLASSIFICATION!$U$8:$U$24,MATCH($C125,DATA_ASSET_CLASSIFICATION!$A$8:$A$24,0)),"Review"))</f>
        <v>Portfolio</v>
      </c>
      <c r="O125" s="350" t="str">
        <f>IF($B125="Portfolio","Portfolio",IFERROR(INDEX(DATA_ASSET_CLASSIFICATION!$AB$8:$AB$13,MATCH($N125,DATA_ASSET_CLASSIFICATION!$AA$8:$AA$13,0)),"Review"))</f>
        <v>Portfolio</v>
      </c>
      <c r="P125" s="350" t="str">
        <f>IF($B125="Portfolio","Portfolio",IFERROR(INDEX(DATA_ASSET_CLASSIFICATION!$C$8:$C$24,MATCH($C125,DATA_ASSET_CLASSIFICATION!$A$8:$A$24,0)),"Review"))</f>
        <v>Portfolio</v>
      </c>
      <c r="Q125" s="350" t="str">
        <f t="shared" si="3"/>
        <v>OK</v>
      </c>
    </row>
    <row r="126" spans="1:17">
      <c r="A126" s="366" t="s">
        <v>1937</v>
      </c>
      <c r="B126" s="366" t="s">
        <v>1681</v>
      </c>
      <c r="C126" s="366" t="s">
        <v>1682</v>
      </c>
      <c r="D126" s="380">
        <f>'00_PORTFOLIO ROLLUP'!L$12</f>
        <v>2032</v>
      </c>
      <c r="E126" s="366" t="s">
        <v>1683</v>
      </c>
      <c r="F126" s="366" t="s">
        <v>19</v>
      </c>
      <c r="G126" s="366" t="s">
        <v>1938</v>
      </c>
      <c r="H126" s="381">
        <f>'00_PORTFOLIO ROLLUP'!L$41</f>
        <v>13300413.093510928</v>
      </c>
      <c r="I126" s="366" t="s">
        <v>1685</v>
      </c>
      <c r="J126" s="348" t="str">
        <f t="shared" si="2"/>
        <v>OK</v>
      </c>
      <c r="K126" s="366" t="s">
        <v>1694</v>
      </c>
      <c r="L126" s="366" t="s">
        <v>1695</v>
      </c>
      <c r="M126" s="350" t="str">
        <f>IF($B126="Portfolio","Portfolio",IFERROR(INDEX(DATA_ASSET_CLASSIFICATION!$B$8:$B$24,MATCH($C126,DATA_ASSET_CLASSIFICATION!$A$8:$A$24,0)),"Review"))</f>
        <v>Portfolio</v>
      </c>
      <c r="N126" s="350" t="str">
        <f>IF($B126="Portfolio","Portfolio",IFERROR(INDEX(DATA_ASSET_CLASSIFICATION!$U$8:$U$24,MATCH($C126,DATA_ASSET_CLASSIFICATION!$A$8:$A$24,0)),"Review"))</f>
        <v>Portfolio</v>
      </c>
      <c r="O126" s="350" t="str">
        <f>IF($B126="Portfolio","Portfolio",IFERROR(INDEX(DATA_ASSET_CLASSIFICATION!$AB$8:$AB$13,MATCH($N126,DATA_ASSET_CLASSIFICATION!$AA$8:$AA$13,0)),"Review"))</f>
        <v>Portfolio</v>
      </c>
      <c r="P126" s="350" t="str">
        <f>IF($B126="Portfolio","Portfolio",IFERROR(INDEX(DATA_ASSET_CLASSIFICATION!$C$8:$C$24,MATCH($C126,DATA_ASSET_CLASSIFICATION!$A$8:$A$24,0)),"Review"))</f>
        <v>Portfolio</v>
      </c>
      <c r="Q126" s="350" t="str">
        <f t="shared" si="3"/>
        <v>OK</v>
      </c>
    </row>
    <row r="127" spans="1:17">
      <c r="A127" s="366" t="s">
        <v>1939</v>
      </c>
      <c r="B127" s="366" t="s">
        <v>1681</v>
      </c>
      <c r="C127" s="366" t="s">
        <v>1682</v>
      </c>
      <c r="D127" s="380">
        <f>'00_PORTFOLIO ROLLUP'!L$12</f>
        <v>2032</v>
      </c>
      <c r="E127" s="366" t="s">
        <v>1683</v>
      </c>
      <c r="F127" s="366" t="s">
        <v>1697</v>
      </c>
      <c r="G127" s="366" t="s">
        <v>1940</v>
      </c>
      <c r="H127" s="381">
        <f>'00_PORTFOLIO ROLLUP'!L$44</f>
        <v>185397.86675859377</v>
      </c>
      <c r="I127" s="366" t="s">
        <v>1690</v>
      </c>
      <c r="J127" s="348" t="str">
        <f t="shared" si="2"/>
        <v>OK</v>
      </c>
      <c r="K127" s="366" t="s">
        <v>1699</v>
      </c>
      <c r="L127" s="366" t="s">
        <v>1700</v>
      </c>
      <c r="M127" s="350" t="str">
        <f>IF($B127="Portfolio","Portfolio",IFERROR(INDEX(DATA_ASSET_CLASSIFICATION!$B$8:$B$24,MATCH($C127,DATA_ASSET_CLASSIFICATION!$A$8:$A$24,0)),"Review"))</f>
        <v>Portfolio</v>
      </c>
      <c r="N127" s="350" t="str">
        <f>IF($B127="Portfolio","Portfolio",IFERROR(INDEX(DATA_ASSET_CLASSIFICATION!$U$8:$U$24,MATCH($C127,DATA_ASSET_CLASSIFICATION!$A$8:$A$24,0)),"Review"))</f>
        <v>Portfolio</v>
      </c>
      <c r="O127" s="350" t="str">
        <f>IF($B127="Portfolio","Portfolio",IFERROR(INDEX(DATA_ASSET_CLASSIFICATION!$AB$8:$AB$13,MATCH($N127,DATA_ASSET_CLASSIFICATION!$AA$8:$AA$13,0)),"Review"))</f>
        <v>Portfolio</v>
      </c>
      <c r="P127" s="350" t="str">
        <f>IF($B127="Portfolio","Portfolio",IFERROR(INDEX(DATA_ASSET_CLASSIFICATION!$C$8:$C$24,MATCH($C127,DATA_ASSET_CLASSIFICATION!$A$8:$A$24,0)),"Review"))</f>
        <v>Portfolio</v>
      </c>
      <c r="Q127" s="350" t="str">
        <f t="shared" si="3"/>
        <v>OK</v>
      </c>
    </row>
    <row r="128" spans="1:17">
      <c r="A128" s="366" t="s">
        <v>1941</v>
      </c>
      <c r="B128" s="366" t="s">
        <v>1681</v>
      </c>
      <c r="C128" s="366" t="s">
        <v>1682</v>
      </c>
      <c r="D128" s="380">
        <f>'00_PORTFOLIO ROLLUP'!L$12</f>
        <v>2032</v>
      </c>
      <c r="E128" s="366" t="s">
        <v>1683</v>
      </c>
      <c r="F128" s="366" t="s">
        <v>21</v>
      </c>
      <c r="G128" s="366" t="s">
        <v>1942</v>
      </c>
      <c r="H128" s="381">
        <f>'00_PORTFOLIO ROLLUP'!L$45</f>
        <v>13115015.226752333</v>
      </c>
      <c r="I128" s="366" t="s">
        <v>1685</v>
      </c>
      <c r="J128" s="348" t="str">
        <f t="shared" si="2"/>
        <v>OK</v>
      </c>
      <c r="K128" s="366" t="s">
        <v>1694</v>
      </c>
      <c r="L128" s="366" t="s">
        <v>1703</v>
      </c>
      <c r="M128" s="350" t="str">
        <f>IF($B128="Portfolio","Portfolio",IFERROR(INDEX(DATA_ASSET_CLASSIFICATION!$B$8:$B$24,MATCH($C128,DATA_ASSET_CLASSIFICATION!$A$8:$A$24,0)),"Review"))</f>
        <v>Portfolio</v>
      </c>
      <c r="N128" s="350" t="str">
        <f>IF($B128="Portfolio","Portfolio",IFERROR(INDEX(DATA_ASSET_CLASSIFICATION!$U$8:$U$24,MATCH($C128,DATA_ASSET_CLASSIFICATION!$A$8:$A$24,0)),"Review"))</f>
        <v>Portfolio</v>
      </c>
      <c r="O128" s="350" t="str">
        <f>IF($B128="Portfolio","Portfolio",IFERROR(INDEX(DATA_ASSET_CLASSIFICATION!$AB$8:$AB$13,MATCH($N128,DATA_ASSET_CLASSIFICATION!$AA$8:$AA$13,0)),"Review"))</f>
        <v>Portfolio</v>
      </c>
      <c r="P128" s="350" t="str">
        <f>IF($B128="Portfolio","Portfolio",IFERROR(INDEX(DATA_ASSET_CLASSIFICATION!$C$8:$C$24,MATCH($C128,DATA_ASSET_CLASSIFICATION!$A$8:$A$24,0)),"Review"))</f>
        <v>Portfolio</v>
      </c>
      <c r="Q128" s="350" t="str">
        <f t="shared" si="3"/>
        <v>OK</v>
      </c>
    </row>
    <row r="129" spans="1:17">
      <c r="A129" s="366" t="s">
        <v>1943</v>
      </c>
      <c r="B129" s="366" t="s">
        <v>1681</v>
      </c>
      <c r="C129" s="366" t="s">
        <v>1682</v>
      </c>
      <c r="D129" s="380">
        <f>'00_PORTFOLIO ROLLUP'!L$12</f>
        <v>2032</v>
      </c>
      <c r="E129" s="366" t="s">
        <v>23</v>
      </c>
      <c r="F129" s="366" t="s">
        <v>23</v>
      </c>
      <c r="G129" s="366" t="s">
        <v>1944</v>
      </c>
      <c r="H129" s="381">
        <f>'00_PORTFOLIO ROLLUP'!L$48</f>
        <v>6893528.242005555</v>
      </c>
      <c r="I129" s="366" t="s">
        <v>1690</v>
      </c>
      <c r="J129" s="348" t="str">
        <f t="shared" si="2"/>
        <v>OK</v>
      </c>
      <c r="K129" s="366" t="s">
        <v>1706</v>
      </c>
      <c r="L129" s="366" t="s">
        <v>1707</v>
      </c>
      <c r="M129" s="350" t="str">
        <f>IF($B129="Portfolio","Portfolio",IFERROR(INDEX(DATA_ASSET_CLASSIFICATION!$B$8:$B$24,MATCH($C129,DATA_ASSET_CLASSIFICATION!$A$8:$A$24,0)),"Review"))</f>
        <v>Portfolio</v>
      </c>
      <c r="N129" s="350" t="str">
        <f>IF($B129="Portfolio","Portfolio",IFERROR(INDEX(DATA_ASSET_CLASSIFICATION!$U$8:$U$24,MATCH($C129,DATA_ASSET_CLASSIFICATION!$A$8:$A$24,0)),"Review"))</f>
        <v>Portfolio</v>
      </c>
      <c r="O129" s="350" t="str">
        <f>IF($B129="Portfolio","Portfolio",IFERROR(INDEX(DATA_ASSET_CLASSIFICATION!$AB$8:$AB$13,MATCH($N129,DATA_ASSET_CLASSIFICATION!$AA$8:$AA$13,0)),"Review"))</f>
        <v>Portfolio</v>
      </c>
      <c r="P129" s="350" t="str">
        <f>IF($B129="Portfolio","Portfolio",IFERROR(INDEX(DATA_ASSET_CLASSIFICATION!$C$8:$C$24,MATCH($C129,DATA_ASSET_CLASSIFICATION!$A$8:$A$24,0)),"Review"))</f>
        <v>Portfolio</v>
      </c>
      <c r="Q129" s="350" t="str">
        <f t="shared" si="3"/>
        <v>OK</v>
      </c>
    </row>
    <row r="130" spans="1:17">
      <c r="A130" s="366" t="s">
        <v>1945</v>
      </c>
      <c r="B130" s="366" t="s">
        <v>1681</v>
      </c>
      <c r="C130" s="366" t="s">
        <v>1682</v>
      </c>
      <c r="D130" s="380">
        <f>'00_PORTFOLIO ROLLUP'!L$12</f>
        <v>2032</v>
      </c>
      <c r="E130" s="366" t="s">
        <v>1683</v>
      </c>
      <c r="F130" s="366" t="s">
        <v>25</v>
      </c>
      <c r="G130" s="366" t="s">
        <v>1946</v>
      </c>
      <c r="H130" s="381">
        <f>'00_PORTFOLIO ROLLUP'!L$52</f>
        <v>6406884.8515053727</v>
      </c>
      <c r="I130" s="366" t="s">
        <v>1685</v>
      </c>
      <c r="J130" s="348" t="str">
        <f t="shared" si="2"/>
        <v>OK</v>
      </c>
      <c r="K130" s="366" t="s">
        <v>1710</v>
      </c>
      <c r="L130" s="366" t="s">
        <v>1711</v>
      </c>
      <c r="M130" s="350" t="str">
        <f>IF($B130="Portfolio","Portfolio",IFERROR(INDEX(DATA_ASSET_CLASSIFICATION!$B$8:$B$24,MATCH($C130,DATA_ASSET_CLASSIFICATION!$A$8:$A$24,0)),"Review"))</f>
        <v>Portfolio</v>
      </c>
      <c r="N130" s="350" t="str">
        <f>IF($B130="Portfolio","Portfolio",IFERROR(INDEX(DATA_ASSET_CLASSIFICATION!$U$8:$U$24,MATCH($C130,DATA_ASSET_CLASSIFICATION!$A$8:$A$24,0)),"Review"))</f>
        <v>Portfolio</v>
      </c>
      <c r="O130" s="350" t="str">
        <f>IF($B130="Portfolio","Portfolio",IFERROR(INDEX(DATA_ASSET_CLASSIFICATION!$AB$8:$AB$13,MATCH($N130,DATA_ASSET_CLASSIFICATION!$AA$8:$AA$13,0)),"Review"))</f>
        <v>Portfolio</v>
      </c>
      <c r="P130" s="350" t="str">
        <f>IF($B130="Portfolio","Portfolio",IFERROR(INDEX(DATA_ASSET_CLASSIFICATION!$C$8:$C$24,MATCH($C130,DATA_ASSET_CLASSIFICATION!$A$8:$A$24,0)),"Review"))</f>
        <v>Portfolio</v>
      </c>
      <c r="Q130" s="350" t="str">
        <f t="shared" si="3"/>
        <v>OK</v>
      </c>
    </row>
    <row r="131" spans="1:17">
      <c r="A131" s="366" t="s">
        <v>1947</v>
      </c>
      <c r="B131" s="366" t="s">
        <v>1681</v>
      </c>
      <c r="C131" s="366" t="s">
        <v>1682</v>
      </c>
      <c r="D131" s="380">
        <f>'00_PORTFOLIO ROLLUP'!L$12</f>
        <v>2032</v>
      </c>
      <c r="E131" s="366" t="s">
        <v>1683</v>
      </c>
      <c r="F131" s="366" t="s">
        <v>27</v>
      </c>
      <c r="G131" s="366" t="s">
        <v>1948</v>
      </c>
      <c r="H131" s="381">
        <f>'00_PORTFOLIO ROLLUP'!L$54</f>
        <v>3844130.9109032233</v>
      </c>
      <c r="I131" s="366" t="s">
        <v>1690</v>
      </c>
      <c r="J131" s="348" t="str">
        <f t="shared" si="2"/>
        <v>OK</v>
      </c>
      <c r="K131" s="366" t="s">
        <v>1714</v>
      </c>
      <c r="L131" s="366" t="s">
        <v>1715</v>
      </c>
      <c r="M131" s="350" t="str">
        <f>IF($B131="Portfolio","Portfolio",IFERROR(INDEX(DATA_ASSET_CLASSIFICATION!$B$8:$B$24,MATCH($C131,DATA_ASSET_CLASSIFICATION!$A$8:$A$24,0)),"Review"))</f>
        <v>Portfolio</v>
      </c>
      <c r="N131" s="350" t="str">
        <f>IF($B131="Portfolio","Portfolio",IFERROR(INDEX(DATA_ASSET_CLASSIFICATION!$U$8:$U$24,MATCH($C131,DATA_ASSET_CLASSIFICATION!$A$8:$A$24,0)),"Review"))</f>
        <v>Portfolio</v>
      </c>
      <c r="O131" s="350" t="str">
        <f>IF($B131="Portfolio","Portfolio",IFERROR(INDEX(DATA_ASSET_CLASSIFICATION!$AB$8:$AB$13,MATCH($N131,DATA_ASSET_CLASSIFICATION!$AA$8:$AA$13,0)),"Review"))</f>
        <v>Portfolio</v>
      </c>
      <c r="P131" s="350" t="str">
        <f>IF($B131="Portfolio","Portfolio",IFERROR(INDEX(DATA_ASSET_CLASSIFICATION!$C$8:$C$24,MATCH($C131,DATA_ASSET_CLASSIFICATION!$A$8:$A$24,0)),"Review"))</f>
        <v>Portfolio</v>
      </c>
      <c r="Q131" s="350" t="str">
        <f t="shared" si="3"/>
        <v>OK</v>
      </c>
    </row>
    <row r="132" spans="1:17">
      <c r="A132" s="366" t="s">
        <v>1949</v>
      </c>
      <c r="B132" s="366" t="s">
        <v>1681</v>
      </c>
      <c r="C132" s="366" t="s">
        <v>1682</v>
      </c>
      <c r="D132" s="380">
        <f>'00_PORTFOLIO ROLLUP'!L$12</f>
        <v>2032</v>
      </c>
      <c r="E132" s="366" t="s">
        <v>1683</v>
      </c>
      <c r="F132" s="366" t="s">
        <v>29</v>
      </c>
      <c r="G132" s="366" t="s">
        <v>1950</v>
      </c>
      <c r="H132" s="381">
        <f>'00_PORTFOLIO ROLLUP'!L$56</f>
        <v>2562753.9406021493</v>
      </c>
      <c r="I132" s="366" t="s">
        <v>1685</v>
      </c>
      <c r="J132" s="348" t="str">
        <f t="shared" si="2"/>
        <v>OK</v>
      </c>
      <c r="K132" s="366" t="s">
        <v>1718</v>
      </c>
      <c r="L132" s="366" t="s">
        <v>1719</v>
      </c>
      <c r="M132" s="350" t="str">
        <f>IF($B132="Portfolio","Portfolio",IFERROR(INDEX(DATA_ASSET_CLASSIFICATION!$B$8:$B$24,MATCH($C132,DATA_ASSET_CLASSIFICATION!$A$8:$A$24,0)),"Review"))</f>
        <v>Portfolio</v>
      </c>
      <c r="N132" s="350" t="str">
        <f>IF($B132="Portfolio","Portfolio",IFERROR(INDEX(DATA_ASSET_CLASSIFICATION!$U$8:$U$24,MATCH($C132,DATA_ASSET_CLASSIFICATION!$A$8:$A$24,0)),"Review"))</f>
        <v>Portfolio</v>
      </c>
      <c r="O132" s="350" t="str">
        <f>IF($B132="Portfolio","Portfolio",IFERROR(INDEX(DATA_ASSET_CLASSIFICATION!$AB$8:$AB$13,MATCH($N132,DATA_ASSET_CLASSIFICATION!$AA$8:$AA$13,0)),"Review"))</f>
        <v>Portfolio</v>
      </c>
      <c r="P132" s="350" t="str">
        <f>IF($B132="Portfolio","Portfolio",IFERROR(INDEX(DATA_ASSET_CLASSIFICATION!$C$8:$C$24,MATCH($C132,DATA_ASSET_CLASSIFICATION!$A$8:$A$24,0)),"Review"))</f>
        <v>Portfolio</v>
      </c>
      <c r="Q132" s="350" t="str">
        <f t="shared" si="3"/>
        <v>OK</v>
      </c>
    </row>
    <row r="133" spans="1:17">
      <c r="A133" s="366" t="s">
        <v>1951</v>
      </c>
      <c r="B133" s="366" t="s">
        <v>1681</v>
      </c>
      <c r="C133" s="366" t="s">
        <v>1682</v>
      </c>
      <c r="D133" s="380">
        <f>'00_PORTFOLIO ROLLUP'!L$12</f>
        <v>2032</v>
      </c>
      <c r="E133" s="366" t="s">
        <v>1721</v>
      </c>
      <c r="F133" s="366" t="s">
        <v>31</v>
      </c>
      <c r="G133" s="366" t="s">
        <v>1952</v>
      </c>
      <c r="H133" s="381">
        <f>'00_PORTFOLIO ROLLUP'!L$61</f>
        <v>0</v>
      </c>
      <c r="I133" s="366" t="s">
        <v>1690</v>
      </c>
      <c r="J133" s="348" t="str">
        <f t="shared" ref="J133:J196" si="4">IF($F133="Residual Funding Gap",IF($H133&gt;0,"Funding Gap","OK"),IF(AND($F133="Net Refinance Position",$H133&lt;0),"Negative net refi position","OK"))</f>
        <v>OK</v>
      </c>
      <c r="K133" s="366" t="s">
        <v>1723</v>
      </c>
      <c r="L133" s="366" t="s">
        <v>1724</v>
      </c>
      <c r="M133" s="350" t="str">
        <f>IF($B133="Portfolio","Portfolio",IFERROR(INDEX(DATA_ASSET_CLASSIFICATION!$B$8:$B$24,MATCH($C133,DATA_ASSET_CLASSIFICATION!$A$8:$A$24,0)),"Review"))</f>
        <v>Portfolio</v>
      </c>
      <c r="N133" s="350" t="str">
        <f>IF($B133="Portfolio","Portfolio",IFERROR(INDEX(DATA_ASSET_CLASSIFICATION!$U$8:$U$24,MATCH($C133,DATA_ASSET_CLASSIFICATION!$A$8:$A$24,0)),"Review"))</f>
        <v>Portfolio</v>
      </c>
      <c r="O133" s="350" t="str">
        <f>IF($B133="Portfolio","Portfolio",IFERROR(INDEX(DATA_ASSET_CLASSIFICATION!$AB$8:$AB$13,MATCH($N133,DATA_ASSET_CLASSIFICATION!$AA$8:$AA$13,0)),"Review"))</f>
        <v>Portfolio</v>
      </c>
      <c r="P133" s="350" t="str">
        <f>IF($B133="Portfolio","Portfolio",IFERROR(INDEX(DATA_ASSET_CLASSIFICATION!$C$8:$C$24,MATCH($C133,DATA_ASSET_CLASSIFICATION!$A$8:$A$24,0)),"Review"))</f>
        <v>Portfolio</v>
      </c>
      <c r="Q133" s="350" t="str">
        <f t="shared" ref="Q133:Q196" si="5">IF(AND($B133="Property",$F133="Residual Funding Gap",$H133&gt;0),"Property Funding Gap",IF($J133&lt;&gt;"OK",$J133,"OK"))</f>
        <v>OK</v>
      </c>
    </row>
    <row r="134" spans="1:17">
      <c r="A134" s="366" t="s">
        <v>1953</v>
      </c>
      <c r="B134" s="366" t="s">
        <v>1681</v>
      </c>
      <c r="C134" s="366" t="s">
        <v>1682</v>
      </c>
      <c r="D134" s="380">
        <f>'00_PORTFOLIO ROLLUP'!L$12</f>
        <v>2032</v>
      </c>
      <c r="E134" s="366" t="s">
        <v>1721</v>
      </c>
      <c r="F134" s="366" t="s">
        <v>33</v>
      </c>
      <c r="G134" s="366" t="s">
        <v>1954</v>
      </c>
      <c r="H134" s="381">
        <f>'00_PORTFOLIO ROLLUP'!L$62</f>
        <v>0</v>
      </c>
      <c r="I134" s="366" t="s">
        <v>1685</v>
      </c>
      <c r="J134" s="348" t="str">
        <f t="shared" si="4"/>
        <v>OK</v>
      </c>
      <c r="K134" s="366" t="s">
        <v>1727</v>
      </c>
      <c r="L134" s="366" t="s">
        <v>1728</v>
      </c>
      <c r="M134" s="350" t="str">
        <f>IF($B134="Portfolio","Portfolio",IFERROR(INDEX(DATA_ASSET_CLASSIFICATION!$B$8:$B$24,MATCH($C134,DATA_ASSET_CLASSIFICATION!$A$8:$A$24,0)),"Review"))</f>
        <v>Portfolio</v>
      </c>
      <c r="N134" s="350" t="str">
        <f>IF($B134="Portfolio","Portfolio",IFERROR(INDEX(DATA_ASSET_CLASSIFICATION!$U$8:$U$24,MATCH($C134,DATA_ASSET_CLASSIFICATION!$A$8:$A$24,0)),"Review"))</f>
        <v>Portfolio</v>
      </c>
      <c r="O134" s="350" t="str">
        <f>IF($B134="Portfolio","Portfolio",IFERROR(INDEX(DATA_ASSET_CLASSIFICATION!$AB$8:$AB$13,MATCH($N134,DATA_ASSET_CLASSIFICATION!$AA$8:$AA$13,0)),"Review"))</f>
        <v>Portfolio</v>
      </c>
      <c r="P134" s="350" t="str">
        <f>IF($B134="Portfolio","Portfolio",IFERROR(INDEX(DATA_ASSET_CLASSIFICATION!$C$8:$C$24,MATCH($C134,DATA_ASSET_CLASSIFICATION!$A$8:$A$24,0)),"Review"))</f>
        <v>Portfolio</v>
      </c>
      <c r="Q134" s="350" t="str">
        <f t="shared" si="5"/>
        <v>OK</v>
      </c>
    </row>
    <row r="135" spans="1:17">
      <c r="A135" s="366" t="s">
        <v>1955</v>
      </c>
      <c r="B135" s="366" t="s">
        <v>1681</v>
      </c>
      <c r="C135" s="366" t="s">
        <v>1682</v>
      </c>
      <c r="D135" s="380">
        <f>'00_PORTFOLIO ROLLUP'!L$12</f>
        <v>2032</v>
      </c>
      <c r="E135" s="366" t="s">
        <v>1721</v>
      </c>
      <c r="F135" s="366" t="s">
        <v>35</v>
      </c>
      <c r="G135" s="366" t="s">
        <v>1956</v>
      </c>
      <c r="H135" s="381">
        <f>'00_PORTFOLIO ROLLUP'!L$63</f>
        <v>0</v>
      </c>
      <c r="I135" s="366" t="s">
        <v>1731</v>
      </c>
      <c r="J135" s="348" t="str">
        <f t="shared" si="4"/>
        <v>OK</v>
      </c>
      <c r="K135" s="366" t="s">
        <v>1732</v>
      </c>
      <c r="L135" s="366" t="s">
        <v>1733</v>
      </c>
      <c r="M135" s="350" t="str">
        <f>IF($B135="Portfolio","Portfolio",IFERROR(INDEX(DATA_ASSET_CLASSIFICATION!$B$8:$B$24,MATCH($C135,DATA_ASSET_CLASSIFICATION!$A$8:$A$24,0)),"Review"))</f>
        <v>Portfolio</v>
      </c>
      <c r="N135" s="350" t="str">
        <f>IF($B135="Portfolio","Portfolio",IFERROR(INDEX(DATA_ASSET_CLASSIFICATION!$U$8:$U$24,MATCH($C135,DATA_ASSET_CLASSIFICATION!$A$8:$A$24,0)),"Review"))</f>
        <v>Portfolio</v>
      </c>
      <c r="O135" s="350" t="str">
        <f>IF($B135="Portfolio","Portfolio",IFERROR(INDEX(DATA_ASSET_CLASSIFICATION!$AB$8:$AB$13,MATCH($N135,DATA_ASSET_CLASSIFICATION!$AA$8:$AA$13,0)),"Review"))</f>
        <v>Portfolio</v>
      </c>
      <c r="P135" s="350" t="str">
        <f>IF($B135="Portfolio","Portfolio",IFERROR(INDEX(DATA_ASSET_CLASSIFICATION!$C$8:$C$24,MATCH($C135,DATA_ASSET_CLASSIFICATION!$A$8:$A$24,0)),"Review"))</f>
        <v>Portfolio</v>
      </c>
      <c r="Q135" s="350" t="str">
        <f t="shared" si="5"/>
        <v>OK</v>
      </c>
    </row>
    <row r="136" spans="1:17">
      <c r="A136" s="366" t="s">
        <v>1957</v>
      </c>
      <c r="B136" s="366" t="s">
        <v>1681</v>
      </c>
      <c r="C136" s="366" t="s">
        <v>1682</v>
      </c>
      <c r="D136" s="380">
        <f>'00_PORTFOLIO ROLLUP'!L$12</f>
        <v>2032</v>
      </c>
      <c r="E136" s="366" t="s">
        <v>1721</v>
      </c>
      <c r="F136" s="366" t="s">
        <v>37</v>
      </c>
      <c r="G136" s="366" t="s">
        <v>1956</v>
      </c>
      <c r="H136" s="381">
        <f>MAX('00_PORTFOLIO ROLLUP'!L$63,0)</f>
        <v>0</v>
      </c>
      <c r="I136" s="366" t="s">
        <v>1685</v>
      </c>
      <c r="J136" s="348" t="str">
        <f t="shared" si="4"/>
        <v>OK</v>
      </c>
      <c r="K136" s="366" t="s">
        <v>1735</v>
      </c>
      <c r="L136" s="366" t="s">
        <v>1736</v>
      </c>
      <c r="M136" s="350" t="str">
        <f>IF($B136="Portfolio","Portfolio",IFERROR(INDEX(DATA_ASSET_CLASSIFICATION!$B$8:$B$24,MATCH($C136,DATA_ASSET_CLASSIFICATION!$A$8:$A$24,0)),"Review"))</f>
        <v>Portfolio</v>
      </c>
      <c r="N136" s="350" t="str">
        <f>IF($B136="Portfolio","Portfolio",IFERROR(INDEX(DATA_ASSET_CLASSIFICATION!$U$8:$U$24,MATCH($C136,DATA_ASSET_CLASSIFICATION!$A$8:$A$24,0)),"Review"))</f>
        <v>Portfolio</v>
      </c>
      <c r="O136" s="350" t="str">
        <f>IF($B136="Portfolio","Portfolio",IFERROR(INDEX(DATA_ASSET_CLASSIFICATION!$AB$8:$AB$13,MATCH($N136,DATA_ASSET_CLASSIFICATION!$AA$8:$AA$13,0)),"Review"))</f>
        <v>Portfolio</v>
      </c>
      <c r="P136" s="350" t="str">
        <f>IF($B136="Portfolio","Portfolio",IFERROR(INDEX(DATA_ASSET_CLASSIFICATION!$C$8:$C$24,MATCH($C136,DATA_ASSET_CLASSIFICATION!$A$8:$A$24,0)),"Review"))</f>
        <v>Portfolio</v>
      </c>
      <c r="Q136" s="350" t="str">
        <f t="shared" si="5"/>
        <v>OK</v>
      </c>
    </row>
    <row r="137" spans="1:17">
      <c r="A137" s="366" t="s">
        <v>1958</v>
      </c>
      <c r="B137" s="366" t="s">
        <v>1681</v>
      </c>
      <c r="C137" s="366" t="s">
        <v>1682</v>
      </c>
      <c r="D137" s="380">
        <f>'00_PORTFOLIO ROLLUP'!L$12</f>
        <v>2032</v>
      </c>
      <c r="E137" s="366" t="s">
        <v>1721</v>
      </c>
      <c r="F137" s="366" t="s">
        <v>39</v>
      </c>
      <c r="G137" s="366" t="s">
        <v>1956</v>
      </c>
      <c r="H137" s="381">
        <f>MAX(-'00_PORTFOLIO ROLLUP'!L$63,0)</f>
        <v>0</v>
      </c>
      <c r="I137" s="366" t="s">
        <v>1690</v>
      </c>
      <c r="J137" s="348" t="str">
        <f t="shared" si="4"/>
        <v>OK</v>
      </c>
      <c r="K137" s="366" t="s">
        <v>1738</v>
      </c>
      <c r="L137" s="366" t="s">
        <v>1739</v>
      </c>
      <c r="M137" s="350" t="str">
        <f>IF($B137="Portfolio","Portfolio",IFERROR(INDEX(DATA_ASSET_CLASSIFICATION!$B$8:$B$24,MATCH($C137,DATA_ASSET_CLASSIFICATION!$A$8:$A$24,0)),"Review"))</f>
        <v>Portfolio</v>
      </c>
      <c r="N137" s="350" t="str">
        <f>IF($B137="Portfolio","Portfolio",IFERROR(INDEX(DATA_ASSET_CLASSIFICATION!$U$8:$U$24,MATCH($C137,DATA_ASSET_CLASSIFICATION!$A$8:$A$24,0)),"Review"))</f>
        <v>Portfolio</v>
      </c>
      <c r="O137" s="350" t="str">
        <f>IF($B137="Portfolio","Portfolio",IFERROR(INDEX(DATA_ASSET_CLASSIFICATION!$AB$8:$AB$13,MATCH($N137,DATA_ASSET_CLASSIFICATION!$AA$8:$AA$13,0)),"Review"))</f>
        <v>Portfolio</v>
      </c>
      <c r="P137" s="350" t="str">
        <f>IF($B137="Portfolio","Portfolio",IFERROR(INDEX(DATA_ASSET_CLASSIFICATION!$C$8:$C$24,MATCH($C137,DATA_ASSET_CLASSIFICATION!$A$8:$A$24,0)),"Review"))</f>
        <v>Portfolio</v>
      </c>
      <c r="Q137" s="350" t="str">
        <f t="shared" si="5"/>
        <v>OK</v>
      </c>
    </row>
    <row r="138" spans="1:17">
      <c r="A138" s="366" t="s">
        <v>1959</v>
      </c>
      <c r="B138" s="366" t="s">
        <v>1681</v>
      </c>
      <c r="C138" s="366" t="s">
        <v>1682</v>
      </c>
      <c r="D138" s="380">
        <f>'00_PORTFOLIO ROLLUP'!L$12</f>
        <v>2032</v>
      </c>
      <c r="E138" s="366" t="s">
        <v>1741</v>
      </c>
      <c r="F138" s="366" t="s">
        <v>41</v>
      </c>
      <c r="H138" s="381">
        <f>'00_PORTFOLIO ROLLUP'!L$56+MAX('00_PORTFOLIO ROLLUP'!L$63,0)</f>
        <v>2562753.9406021493</v>
      </c>
      <c r="I138" s="366" t="s">
        <v>1685</v>
      </c>
      <c r="J138" s="348" t="str">
        <f t="shared" si="4"/>
        <v>OK</v>
      </c>
      <c r="K138" s="366" t="s">
        <v>1742</v>
      </c>
      <c r="L138" s="366" t="s">
        <v>1743</v>
      </c>
      <c r="M138" s="350" t="str">
        <f>IF($B138="Portfolio","Portfolio",IFERROR(INDEX(DATA_ASSET_CLASSIFICATION!$B$8:$B$24,MATCH($C138,DATA_ASSET_CLASSIFICATION!$A$8:$A$24,0)),"Review"))</f>
        <v>Portfolio</v>
      </c>
      <c r="N138" s="350" t="str">
        <f>IF($B138="Portfolio","Portfolio",IFERROR(INDEX(DATA_ASSET_CLASSIFICATION!$U$8:$U$24,MATCH($C138,DATA_ASSET_CLASSIFICATION!$A$8:$A$24,0)),"Review"))</f>
        <v>Portfolio</v>
      </c>
      <c r="O138" s="350" t="str">
        <f>IF($B138="Portfolio","Portfolio",IFERROR(INDEX(DATA_ASSET_CLASSIFICATION!$AB$8:$AB$13,MATCH($N138,DATA_ASSET_CLASSIFICATION!$AA$8:$AA$13,0)),"Review"))</f>
        <v>Portfolio</v>
      </c>
      <c r="P138" s="350" t="str">
        <f>IF($B138="Portfolio","Portfolio",IFERROR(INDEX(DATA_ASSET_CLASSIFICATION!$C$8:$C$24,MATCH($C138,DATA_ASSET_CLASSIFICATION!$A$8:$A$24,0)),"Review"))</f>
        <v>Portfolio</v>
      </c>
      <c r="Q138" s="350" t="str">
        <f t="shared" si="5"/>
        <v>OK</v>
      </c>
    </row>
    <row r="139" spans="1:17">
      <c r="A139" s="366" t="s">
        <v>1960</v>
      </c>
      <c r="B139" s="366" t="s">
        <v>1681</v>
      </c>
      <c r="C139" s="366" t="s">
        <v>1682</v>
      </c>
      <c r="D139" s="380">
        <f>'00_PORTFOLIO ROLLUP'!L$12</f>
        <v>2032</v>
      </c>
      <c r="E139" s="366" t="s">
        <v>1741</v>
      </c>
      <c r="F139" s="366" t="s">
        <v>43</v>
      </c>
      <c r="G139" s="366" t="s">
        <v>1961</v>
      </c>
      <c r="H139" s="381">
        <f>'00_PORTFOLIO ROLLUP'!L$68</f>
        <v>2562753.9406021493</v>
      </c>
      <c r="I139" s="366" t="s">
        <v>1731</v>
      </c>
      <c r="J139" s="348" t="str">
        <f t="shared" si="4"/>
        <v>OK</v>
      </c>
      <c r="K139" s="366" t="s">
        <v>1746</v>
      </c>
      <c r="L139" s="366" t="s">
        <v>1747</v>
      </c>
      <c r="M139" s="350" t="str">
        <f>IF($B139="Portfolio","Portfolio",IFERROR(INDEX(DATA_ASSET_CLASSIFICATION!$B$8:$B$24,MATCH($C139,DATA_ASSET_CLASSIFICATION!$A$8:$A$24,0)),"Review"))</f>
        <v>Portfolio</v>
      </c>
      <c r="N139" s="350" t="str">
        <f>IF($B139="Portfolio","Portfolio",IFERROR(INDEX(DATA_ASSET_CLASSIFICATION!$U$8:$U$24,MATCH($C139,DATA_ASSET_CLASSIFICATION!$A$8:$A$24,0)),"Review"))</f>
        <v>Portfolio</v>
      </c>
      <c r="O139" s="350" t="str">
        <f>IF($B139="Portfolio","Portfolio",IFERROR(INDEX(DATA_ASSET_CLASSIFICATION!$AB$8:$AB$13,MATCH($N139,DATA_ASSET_CLASSIFICATION!$AA$8:$AA$13,0)),"Review"))</f>
        <v>Portfolio</v>
      </c>
      <c r="P139" s="350" t="str">
        <f>IF($B139="Portfolio","Portfolio",IFERROR(INDEX(DATA_ASSET_CLASSIFICATION!$C$8:$C$24,MATCH($C139,DATA_ASSET_CLASSIFICATION!$A$8:$A$24,0)),"Review"))</f>
        <v>Portfolio</v>
      </c>
      <c r="Q139" s="350" t="str">
        <f t="shared" si="5"/>
        <v>OK</v>
      </c>
    </row>
    <row r="140" spans="1:17">
      <c r="A140" s="366" t="s">
        <v>1962</v>
      </c>
      <c r="B140" s="366" t="s">
        <v>1681</v>
      </c>
      <c r="C140" s="366" t="s">
        <v>1682</v>
      </c>
      <c r="D140" s="380">
        <f>'00_PORTFOLIO ROLLUP'!L$12</f>
        <v>2032</v>
      </c>
      <c r="E140" s="366" t="s">
        <v>1741</v>
      </c>
      <c r="F140" s="366" t="s">
        <v>1749</v>
      </c>
      <c r="H140" s="381">
        <f>('00_PORTFOLIO ROLLUP'!L$56+MAX('00_PORTFOLIO ROLLUP'!L$63,0))-'00_PORTFOLIO ROLLUP'!L$68</f>
        <v>0</v>
      </c>
      <c r="I140" s="366" t="s">
        <v>1750</v>
      </c>
      <c r="J140" s="348" t="str">
        <f t="shared" si="4"/>
        <v>OK</v>
      </c>
      <c r="K140" s="366" t="s">
        <v>1751</v>
      </c>
      <c r="L140" s="366" t="s">
        <v>1752</v>
      </c>
      <c r="M140" s="350" t="str">
        <f>IF($B140="Portfolio","Portfolio",IFERROR(INDEX(DATA_ASSET_CLASSIFICATION!$B$8:$B$24,MATCH($C140,DATA_ASSET_CLASSIFICATION!$A$8:$A$24,0)),"Review"))</f>
        <v>Portfolio</v>
      </c>
      <c r="N140" s="350" t="str">
        <f>IF($B140="Portfolio","Portfolio",IFERROR(INDEX(DATA_ASSET_CLASSIFICATION!$U$8:$U$24,MATCH($C140,DATA_ASSET_CLASSIFICATION!$A$8:$A$24,0)),"Review"))</f>
        <v>Portfolio</v>
      </c>
      <c r="O140" s="350" t="str">
        <f>IF($B140="Portfolio","Portfolio",IFERROR(INDEX(DATA_ASSET_CLASSIFICATION!$AB$8:$AB$13,MATCH($N140,DATA_ASSET_CLASSIFICATION!$AA$8:$AA$13,0)),"Review"))</f>
        <v>Portfolio</v>
      </c>
      <c r="P140" s="350" t="str">
        <f>IF($B140="Portfolio","Portfolio",IFERROR(INDEX(DATA_ASSET_CLASSIFICATION!$C$8:$C$24,MATCH($C140,DATA_ASSET_CLASSIFICATION!$A$8:$A$24,0)),"Review"))</f>
        <v>Portfolio</v>
      </c>
      <c r="Q140" s="350" t="str">
        <f t="shared" si="5"/>
        <v>OK</v>
      </c>
    </row>
    <row r="141" spans="1:17">
      <c r="A141" s="366" t="s">
        <v>1963</v>
      </c>
      <c r="B141" s="366" t="s">
        <v>1681</v>
      </c>
      <c r="C141" s="366" t="s">
        <v>1682</v>
      </c>
      <c r="D141" s="380">
        <f>'00_PORTFOLIO ROLLUP'!M$12</f>
        <v>2033</v>
      </c>
      <c r="E141" s="366" t="s">
        <v>1683</v>
      </c>
      <c r="F141" s="366" t="s">
        <v>341</v>
      </c>
      <c r="G141" s="366" t="s">
        <v>1964</v>
      </c>
      <c r="H141" s="381">
        <f>'00_PORTFOLIO ROLLUP'!M$24</f>
        <v>20746714.816709701</v>
      </c>
      <c r="I141" s="366" t="s">
        <v>1685</v>
      </c>
      <c r="J141" s="348" t="str">
        <f t="shared" si="4"/>
        <v>OK</v>
      </c>
      <c r="K141" s="366" t="s">
        <v>1686</v>
      </c>
      <c r="L141" s="366" t="s">
        <v>1687</v>
      </c>
      <c r="M141" s="350" t="str">
        <f>IF($B141="Portfolio","Portfolio",IFERROR(INDEX(DATA_ASSET_CLASSIFICATION!$B$8:$B$24,MATCH($C141,DATA_ASSET_CLASSIFICATION!$A$8:$A$24,0)),"Review"))</f>
        <v>Portfolio</v>
      </c>
      <c r="N141" s="350" t="str">
        <f>IF($B141="Portfolio","Portfolio",IFERROR(INDEX(DATA_ASSET_CLASSIFICATION!$U$8:$U$24,MATCH($C141,DATA_ASSET_CLASSIFICATION!$A$8:$A$24,0)),"Review"))</f>
        <v>Portfolio</v>
      </c>
      <c r="O141" s="350" t="str">
        <f>IF($B141="Portfolio","Portfolio",IFERROR(INDEX(DATA_ASSET_CLASSIFICATION!$AB$8:$AB$13,MATCH($N141,DATA_ASSET_CLASSIFICATION!$AA$8:$AA$13,0)),"Review"))</f>
        <v>Portfolio</v>
      </c>
      <c r="P141" s="350" t="str">
        <f>IF($B141="Portfolio","Portfolio",IFERROR(INDEX(DATA_ASSET_CLASSIFICATION!$C$8:$C$24,MATCH($C141,DATA_ASSET_CLASSIFICATION!$A$8:$A$24,0)),"Review"))</f>
        <v>Portfolio</v>
      </c>
      <c r="Q141" s="350" t="str">
        <f t="shared" si="5"/>
        <v>OK</v>
      </c>
    </row>
    <row r="142" spans="1:17">
      <c r="A142" s="366" t="s">
        <v>1965</v>
      </c>
      <c r="B142" s="366" t="s">
        <v>1681</v>
      </c>
      <c r="C142" s="366" t="s">
        <v>1682</v>
      </c>
      <c r="D142" s="380">
        <f>'00_PORTFOLIO ROLLUP'!M$12</f>
        <v>2033</v>
      </c>
      <c r="E142" s="366" t="s">
        <v>1683</v>
      </c>
      <c r="F142" s="366" t="s">
        <v>355</v>
      </c>
      <c r="G142" s="366" t="s">
        <v>1966</v>
      </c>
      <c r="H142" s="381">
        <f>'00_PORTFOLIO ROLLUP'!M$39</f>
        <v>7324446.0694330381</v>
      </c>
      <c r="I142" s="366" t="s">
        <v>1690</v>
      </c>
      <c r="J142" s="348" t="str">
        <f t="shared" si="4"/>
        <v>OK</v>
      </c>
      <c r="K142" s="366" t="s">
        <v>1686</v>
      </c>
      <c r="L142" s="366" t="s">
        <v>1691</v>
      </c>
      <c r="M142" s="350" t="str">
        <f>IF($B142="Portfolio","Portfolio",IFERROR(INDEX(DATA_ASSET_CLASSIFICATION!$B$8:$B$24,MATCH($C142,DATA_ASSET_CLASSIFICATION!$A$8:$A$24,0)),"Review"))</f>
        <v>Portfolio</v>
      </c>
      <c r="N142" s="350" t="str">
        <f>IF($B142="Portfolio","Portfolio",IFERROR(INDEX(DATA_ASSET_CLASSIFICATION!$U$8:$U$24,MATCH($C142,DATA_ASSET_CLASSIFICATION!$A$8:$A$24,0)),"Review"))</f>
        <v>Portfolio</v>
      </c>
      <c r="O142" s="350" t="str">
        <f>IF($B142="Portfolio","Portfolio",IFERROR(INDEX(DATA_ASSET_CLASSIFICATION!$AB$8:$AB$13,MATCH($N142,DATA_ASSET_CLASSIFICATION!$AA$8:$AA$13,0)),"Review"))</f>
        <v>Portfolio</v>
      </c>
      <c r="P142" s="350" t="str">
        <f>IF($B142="Portfolio","Portfolio",IFERROR(INDEX(DATA_ASSET_CLASSIFICATION!$C$8:$C$24,MATCH($C142,DATA_ASSET_CLASSIFICATION!$A$8:$A$24,0)),"Review"))</f>
        <v>Portfolio</v>
      </c>
      <c r="Q142" s="350" t="str">
        <f t="shared" si="5"/>
        <v>OK</v>
      </c>
    </row>
    <row r="143" spans="1:17">
      <c r="A143" s="366" t="s">
        <v>1967</v>
      </c>
      <c r="B143" s="366" t="s">
        <v>1681</v>
      </c>
      <c r="C143" s="366" t="s">
        <v>1682</v>
      </c>
      <c r="D143" s="380">
        <f>'00_PORTFOLIO ROLLUP'!M$12</f>
        <v>2033</v>
      </c>
      <c r="E143" s="366" t="s">
        <v>1683</v>
      </c>
      <c r="F143" s="366" t="s">
        <v>19</v>
      </c>
      <c r="G143" s="366" t="s">
        <v>1968</v>
      </c>
      <c r="H143" s="381">
        <f>'00_PORTFOLIO ROLLUP'!M$41</f>
        <v>13422268.747276664</v>
      </c>
      <c r="I143" s="366" t="s">
        <v>1685</v>
      </c>
      <c r="J143" s="348" t="str">
        <f t="shared" si="4"/>
        <v>OK</v>
      </c>
      <c r="K143" s="366" t="s">
        <v>1694</v>
      </c>
      <c r="L143" s="366" t="s">
        <v>1695</v>
      </c>
      <c r="M143" s="350" t="str">
        <f>IF($B143="Portfolio","Portfolio",IFERROR(INDEX(DATA_ASSET_CLASSIFICATION!$B$8:$B$24,MATCH($C143,DATA_ASSET_CLASSIFICATION!$A$8:$A$24,0)),"Review"))</f>
        <v>Portfolio</v>
      </c>
      <c r="N143" s="350" t="str">
        <f>IF($B143="Portfolio","Portfolio",IFERROR(INDEX(DATA_ASSET_CLASSIFICATION!$U$8:$U$24,MATCH($C143,DATA_ASSET_CLASSIFICATION!$A$8:$A$24,0)),"Review"))</f>
        <v>Portfolio</v>
      </c>
      <c r="O143" s="350" t="str">
        <f>IF($B143="Portfolio","Portfolio",IFERROR(INDEX(DATA_ASSET_CLASSIFICATION!$AB$8:$AB$13,MATCH($N143,DATA_ASSET_CLASSIFICATION!$AA$8:$AA$13,0)),"Review"))</f>
        <v>Portfolio</v>
      </c>
      <c r="P143" s="350" t="str">
        <f>IF($B143="Portfolio","Portfolio",IFERROR(INDEX(DATA_ASSET_CLASSIFICATION!$C$8:$C$24,MATCH($C143,DATA_ASSET_CLASSIFICATION!$A$8:$A$24,0)),"Review"))</f>
        <v>Portfolio</v>
      </c>
      <c r="Q143" s="350" t="str">
        <f t="shared" si="5"/>
        <v>OK</v>
      </c>
    </row>
    <row r="144" spans="1:17">
      <c r="A144" s="366" t="s">
        <v>1969</v>
      </c>
      <c r="B144" s="366" t="s">
        <v>1681</v>
      </c>
      <c r="C144" s="366" t="s">
        <v>1682</v>
      </c>
      <c r="D144" s="380">
        <f>'00_PORTFOLIO ROLLUP'!M$12</f>
        <v>2033</v>
      </c>
      <c r="E144" s="366" t="s">
        <v>1683</v>
      </c>
      <c r="F144" s="366" t="s">
        <v>1697</v>
      </c>
      <c r="G144" s="366" t="s">
        <v>1970</v>
      </c>
      <c r="H144" s="381">
        <f>'00_PORTFOLIO ROLLUP'!M$44</f>
        <v>189105.82409376567</v>
      </c>
      <c r="I144" s="366" t="s">
        <v>1690</v>
      </c>
      <c r="J144" s="348" t="str">
        <f t="shared" si="4"/>
        <v>OK</v>
      </c>
      <c r="K144" s="366" t="s">
        <v>1699</v>
      </c>
      <c r="L144" s="366" t="s">
        <v>1700</v>
      </c>
      <c r="M144" s="350" t="str">
        <f>IF($B144="Portfolio","Portfolio",IFERROR(INDEX(DATA_ASSET_CLASSIFICATION!$B$8:$B$24,MATCH($C144,DATA_ASSET_CLASSIFICATION!$A$8:$A$24,0)),"Review"))</f>
        <v>Portfolio</v>
      </c>
      <c r="N144" s="350" t="str">
        <f>IF($B144="Portfolio","Portfolio",IFERROR(INDEX(DATA_ASSET_CLASSIFICATION!$U$8:$U$24,MATCH($C144,DATA_ASSET_CLASSIFICATION!$A$8:$A$24,0)),"Review"))</f>
        <v>Portfolio</v>
      </c>
      <c r="O144" s="350" t="str">
        <f>IF($B144="Portfolio","Portfolio",IFERROR(INDEX(DATA_ASSET_CLASSIFICATION!$AB$8:$AB$13,MATCH($N144,DATA_ASSET_CLASSIFICATION!$AA$8:$AA$13,0)),"Review"))</f>
        <v>Portfolio</v>
      </c>
      <c r="P144" s="350" t="str">
        <f>IF($B144="Portfolio","Portfolio",IFERROR(INDEX(DATA_ASSET_CLASSIFICATION!$C$8:$C$24,MATCH($C144,DATA_ASSET_CLASSIFICATION!$A$8:$A$24,0)),"Review"))</f>
        <v>Portfolio</v>
      </c>
      <c r="Q144" s="350" t="str">
        <f t="shared" si="5"/>
        <v>OK</v>
      </c>
    </row>
    <row r="145" spans="1:17">
      <c r="A145" s="366" t="s">
        <v>1971</v>
      </c>
      <c r="B145" s="366" t="s">
        <v>1681</v>
      </c>
      <c r="C145" s="366" t="s">
        <v>1682</v>
      </c>
      <c r="D145" s="380">
        <f>'00_PORTFOLIO ROLLUP'!M$12</f>
        <v>2033</v>
      </c>
      <c r="E145" s="366" t="s">
        <v>1683</v>
      </c>
      <c r="F145" s="366" t="s">
        <v>21</v>
      </c>
      <c r="G145" s="366" t="s">
        <v>1972</v>
      </c>
      <c r="H145" s="381">
        <f>'00_PORTFOLIO ROLLUP'!M$45</f>
        <v>13233162.923182897</v>
      </c>
      <c r="I145" s="366" t="s">
        <v>1685</v>
      </c>
      <c r="J145" s="348" t="str">
        <f t="shared" si="4"/>
        <v>OK</v>
      </c>
      <c r="K145" s="366" t="s">
        <v>1694</v>
      </c>
      <c r="L145" s="366" t="s">
        <v>1703</v>
      </c>
      <c r="M145" s="350" t="str">
        <f>IF($B145="Portfolio","Portfolio",IFERROR(INDEX(DATA_ASSET_CLASSIFICATION!$B$8:$B$24,MATCH($C145,DATA_ASSET_CLASSIFICATION!$A$8:$A$24,0)),"Review"))</f>
        <v>Portfolio</v>
      </c>
      <c r="N145" s="350" t="str">
        <f>IF($B145="Portfolio","Portfolio",IFERROR(INDEX(DATA_ASSET_CLASSIFICATION!$U$8:$U$24,MATCH($C145,DATA_ASSET_CLASSIFICATION!$A$8:$A$24,0)),"Review"))</f>
        <v>Portfolio</v>
      </c>
      <c r="O145" s="350" t="str">
        <f>IF($B145="Portfolio","Portfolio",IFERROR(INDEX(DATA_ASSET_CLASSIFICATION!$AB$8:$AB$13,MATCH($N145,DATA_ASSET_CLASSIFICATION!$AA$8:$AA$13,0)),"Review"))</f>
        <v>Portfolio</v>
      </c>
      <c r="P145" s="350" t="str">
        <f>IF($B145="Portfolio","Portfolio",IFERROR(INDEX(DATA_ASSET_CLASSIFICATION!$C$8:$C$24,MATCH($C145,DATA_ASSET_CLASSIFICATION!$A$8:$A$24,0)),"Review"))</f>
        <v>Portfolio</v>
      </c>
      <c r="Q145" s="350" t="str">
        <f t="shared" si="5"/>
        <v>OK</v>
      </c>
    </row>
    <row r="146" spans="1:17">
      <c r="A146" s="366" t="s">
        <v>1973</v>
      </c>
      <c r="B146" s="366" t="s">
        <v>1681</v>
      </c>
      <c r="C146" s="366" t="s">
        <v>1682</v>
      </c>
      <c r="D146" s="380">
        <f>'00_PORTFOLIO ROLLUP'!M$12</f>
        <v>2033</v>
      </c>
      <c r="E146" s="366" t="s">
        <v>23</v>
      </c>
      <c r="F146" s="366" t="s">
        <v>23</v>
      </c>
      <c r="G146" s="366" t="s">
        <v>1974</v>
      </c>
      <c r="H146" s="381">
        <f>'00_PORTFOLIO ROLLUP'!M$48</f>
        <v>6747123.2859003451</v>
      </c>
      <c r="I146" s="366" t="s">
        <v>1690</v>
      </c>
      <c r="J146" s="348" t="str">
        <f t="shared" si="4"/>
        <v>OK</v>
      </c>
      <c r="K146" s="366" t="s">
        <v>1706</v>
      </c>
      <c r="L146" s="366" t="s">
        <v>1707</v>
      </c>
      <c r="M146" s="350" t="str">
        <f>IF($B146="Portfolio","Portfolio",IFERROR(INDEX(DATA_ASSET_CLASSIFICATION!$B$8:$B$24,MATCH($C146,DATA_ASSET_CLASSIFICATION!$A$8:$A$24,0)),"Review"))</f>
        <v>Portfolio</v>
      </c>
      <c r="N146" s="350" t="str">
        <f>IF($B146="Portfolio","Portfolio",IFERROR(INDEX(DATA_ASSET_CLASSIFICATION!$U$8:$U$24,MATCH($C146,DATA_ASSET_CLASSIFICATION!$A$8:$A$24,0)),"Review"))</f>
        <v>Portfolio</v>
      </c>
      <c r="O146" s="350" t="str">
        <f>IF($B146="Portfolio","Portfolio",IFERROR(INDEX(DATA_ASSET_CLASSIFICATION!$AB$8:$AB$13,MATCH($N146,DATA_ASSET_CLASSIFICATION!$AA$8:$AA$13,0)),"Review"))</f>
        <v>Portfolio</v>
      </c>
      <c r="P146" s="350" t="str">
        <f>IF($B146="Portfolio","Portfolio",IFERROR(INDEX(DATA_ASSET_CLASSIFICATION!$C$8:$C$24,MATCH($C146,DATA_ASSET_CLASSIFICATION!$A$8:$A$24,0)),"Review"))</f>
        <v>Portfolio</v>
      </c>
      <c r="Q146" s="350" t="str">
        <f t="shared" si="5"/>
        <v>OK</v>
      </c>
    </row>
    <row r="147" spans="1:17">
      <c r="A147" s="366" t="s">
        <v>1975</v>
      </c>
      <c r="B147" s="366" t="s">
        <v>1681</v>
      </c>
      <c r="C147" s="366" t="s">
        <v>1682</v>
      </c>
      <c r="D147" s="380">
        <f>'00_PORTFOLIO ROLLUP'!M$12</f>
        <v>2033</v>
      </c>
      <c r="E147" s="366" t="s">
        <v>1683</v>
      </c>
      <c r="F147" s="366" t="s">
        <v>25</v>
      </c>
      <c r="G147" s="366" t="s">
        <v>1976</v>
      </c>
      <c r="H147" s="381">
        <f>'00_PORTFOLIO ROLLUP'!M$52</f>
        <v>6675145.4613763187</v>
      </c>
      <c r="I147" s="366" t="s">
        <v>1685</v>
      </c>
      <c r="J147" s="348" t="str">
        <f t="shared" si="4"/>
        <v>OK</v>
      </c>
      <c r="K147" s="366" t="s">
        <v>1710</v>
      </c>
      <c r="L147" s="366" t="s">
        <v>1711</v>
      </c>
      <c r="M147" s="350" t="str">
        <f>IF($B147="Portfolio","Portfolio",IFERROR(INDEX(DATA_ASSET_CLASSIFICATION!$B$8:$B$24,MATCH($C147,DATA_ASSET_CLASSIFICATION!$A$8:$A$24,0)),"Review"))</f>
        <v>Portfolio</v>
      </c>
      <c r="N147" s="350" t="str">
        <f>IF($B147="Portfolio","Portfolio",IFERROR(INDEX(DATA_ASSET_CLASSIFICATION!$U$8:$U$24,MATCH($C147,DATA_ASSET_CLASSIFICATION!$A$8:$A$24,0)),"Review"))</f>
        <v>Portfolio</v>
      </c>
      <c r="O147" s="350" t="str">
        <f>IF($B147="Portfolio","Portfolio",IFERROR(INDEX(DATA_ASSET_CLASSIFICATION!$AB$8:$AB$13,MATCH($N147,DATA_ASSET_CLASSIFICATION!$AA$8:$AA$13,0)),"Review"))</f>
        <v>Portfolio</v>
      </c>
      <c r="P147" s="350" t="str">
        <f>IF($B147="Portfolio","Portfolio",IFERROR(INDEX(DATA_ASSET_CLASSIFICATION!$C$8:$C$24,MATCH($C147,DATA_ASSET_CLASSIFICATION!$A$8:$A$24,0)),"Review"))</f>
        <v>Portfolio</v>
      </c>
      <c r="Q147" s="350" t="str">
        <f t="shared" si="5"/>
        <v>OK</v>
      </c>
    </row>
    <row r="148" spans="1:17">
      <c r="A148" s="366" t="s">
        <v>1977</v>
      </c>
      <c r="B148" s="366" t="s">
        <v>1681</v>
      </c>
      <c r="C148" s="366" t="s">
        <v>1682</v>
      </c>
      <c r="D148" s="380">
        <f>'00_PORTFOLIO ROLLUP'!M$12</f>
        <v>2033</v>
      </c>
      <c r="E148" s="366" t="s">
        <v>1683</v>
      </c>
      <c r="F148" s="366" t="s">
        <v>27</v>
      </c>
      <c r="G148" s="366" t="s">
        <v>1978</v>
      </c>
      <c r="H148" s="381">
        <f>'00_PORTFOLIO ROLLUP'!M$54</f>
        <v>4005087.2768257912</v>
      </c>
      <c r="I148" s="366" t="s">
        <v>1690</v>
      </c>
      <c r="J148" s="348" t="str">
        <f t="shared" si="4"/>
        <v>OK</v>
      </c>
      <c r="K148" s="366" t="s">
        <v>1714</v>
      </c>
      <c r="L148" s="366" t="s">
        <v>1715</v>
      </c>
      <c r="M148" s="350" t="str">
        <f>IF($B148="Portfolio","Portfolio",IFERROR(INDEX(DATA_ASSET_CLASSIFICATION!$B$8:$B$24,MATCH($C148,DATA_ASSET_CLASSIFICATION!$A$8:$A$24,0)),"Review"))</f>
        <v>Portfolio</v>
      </c>
      <c r="N148" s="350" t="str">
        <f>IF($B148="Portfolio","Portfolio",IFERROR(INDEX(DATA_ASSET_CLASSIFICATION!$U$8:$U$24,MATCH($C148,DATA_ASSET_CLASSIFICATION!$A$8:$A$24,0)),"Review"))</f>
        <v>Portfolio</v>
      </c>
      <c r="O148" s="350" t="str">
        <f>IF($B148="Portfolio","Portfolio",IFERROR(INDEX(DATA_ASSET_CLASSIFICATION!$AB$8:$AB$13,MATCH($N148,DATA_ASSET_CLASSIFICATION!$AA$8:$AA$13,0)),"Review"))</f>
        <v>Portfolio</v>
      </c>
      <c r="P148" s="350" t="str">
        <f>IF($B148="Portfolio","Portfolio",IFERROR(INDEX(DATA_ASSET_CLASSIFICATION!$C$8:$C$24,MATCH($C148,DATA_ASSET_CLASSIFICATION!$A$8:$A$24,0)),"Review"))</f>
        <v>Portfolio</v>
      </c>
      <c r="Q148" s="350" t="str">
        <f t="shared" si="5"/>
        <v>OK</v>
      </c>
    </row>
    <row r="149" spans="1:17">
      <c r="A149" s="366" t="s">
        <v>1979</v>
      </c>
      <c r="B149" s="366" t="s">
        <v>1681</v>
      </c>
      <c r="C149" s="366" t="s">
        <v>1682</v>
      </c>
      <c r="D149" s="380">
        <f>'00_PORTFOLIO ROLLUP'!M$12</f>
        <v>2033</v>
      </c>
      <c r="E149" s="366" t="s">
        <v>1683</v>
      </c>
      <c r="F149" s="366" t="s">
        <v>29</v>
      </c>
      <c r="G149" s="366" t="s">
        <v>1980</v>
      </c>
      <c r="H149" s="381">
        <f>'00_PORTFOLIO ROLLUP'!M$56</f>
        <v>2670058.1845505275</v>
      </c>
      <c r="I149" s="366" t="s">
        <v>1685</v>
      </c>
      <c r="J149" s="348" t="str">
        <f t="shared" si="4"/>
        <v>OK</v>
      </c>
      <c r="K149" s="366" t="s">
        <v>1718</v>
      </c>
      <c r="L149" s="366" t="s">
        <v>1719</v>
      </c>
      <c r="M149" s="350" t="str">
        <f>IF($B149="Portfolio","Portfolio",IFERROR(INDEX(DATA_ASSET_CLASSIFICATION!$B$8:$B$24,MATCH($C149,DATA_ASSET_CLASSIFICATION!$A$8:$A$24,0)),"Review"))</f>
        <v>Portfolio</v>
      </c>
      <c r="N149" s="350" t="str">
        <f>IF($B149="Portfolio","Portfolio",IFERROR(INDEX(DATA_ASSET_CLASSIFICATION!$U$8:$U$24,MATCH($C149,DATA_ASSET_CLASSIFICATION!$A$8:$A$24,0)),"Review"))</f>
        <v>Portfolio</v>
      </c>
      <c r="O149" s="350" t="str">
        <f>IF($B149="Portfolio","Portfolio",IFERROR(INDEX(DATA_ASSET_CLASSIFICATION!$AB$8:$AB$13,MATCH($N149,DATA_ASSET_CLASSIFICATION!$AA$8:$AA$13,0)),"Review"))</f>
        <v>Portfolio</v>
      </c>
      <c r="P149" s="350" t="str">
        <f>IF($B149="Portfolio","Portfolio",IFERROR(INDEX(DATA_ASSET_CLASSIFICATION!$C$8:$C$24,MATCH($C149,DATA_ASSET_CLASSIFICATION!$A$8:$A$24,0)),"Review"))</f>
        <v>Portfolio</v>
      </c>
      <c r="Q149" s="350" t="str">
        <f t="shared" si="5"/>
        <v>OK</v>
      </c>
    </row>
    <row r="150" spans="1:17">
      <c r="A150" s="366" t="s">
        <v>1981</v>
      </c>
      <c r="B150" s="366" t="s">
        <v>1681</v>
      </c>
      <c r="C150" s="366" t="s">
        <v>1682</v>
      </c>
      <c r="D150" s="380">
        <f>'00_PORTFOLIO ROLLUP'!M$12</f>
        <v>2033</v>
      </c>
      <c r="E150" s="366" t="s">
        <v>1721</v>
      </c>
      <c r="F150" s="366" t="s">
        <v>31</v>
      </c>
      <c r="G150" s="366" t="s">
        <v>1982</v>
      </c>
      <c r="H150" s="381">
        <f>'00_PORTFOLIO ROLLUP'!M$61</f>
        <v>0</v>
      </c>
      <c r="I150" s="366" t="s">
        <v>1690</v>
      </c>
      <c r="J150" s="348" t="str">
        <f t="shared" si="4"/>
        <v>OK</v>
      </c>
      <c r="K150" s="366" t="s">
        <v>1723</v>
      </c>
      <c r="L150" s="366" t="s">
        <v>1724</v>
      </c>
      <c r="M150" s="350" t="str">
        <f>IF($B150="Portfolio","Portfolio",IFERROR(INDEX(DATA_ASSET_CLASSIFICATION!$B$8:$B$24,MATCH($C150,DATA_ASSET_CLASSIFICATION!$A$8:$A$24,0)),"Review"))</f>
        <v>Portfolio</v>
      </c>
      <c r="N150" s="350" t="str">
        <f>IF($B150="Portfolio","Portfolio",IFERROR(INDEX(DATA_ASSET_CLASSIFICATION!$U$8:$U$24,MATCH($C150,DATA_ASSET_CLASSIFICATION!$A$8:$A$24,0)),"Review"))</f>
        <v>Portfolio</v>
      </c>
      <c r="O150" s="350" t="str">
        <f>IF($B150="Portfolio","Portfolio",IFERROR(INDEX(DATA_ASSET_CLASSIFICATION!$AB$8:$AB$13,MATCH($N150,DATA_ASSET_CLASSIFICATION!$AA$8:$AA$13,0)),"Review"))</f>
        <v>Portfolio</v>
      </c>
      <c r="P150" s="350" t="str">
        <f>IF($B150="Portfolio","Portfolio",IFERROR(INDEX(DATA_ASSET_CLASSIFICATION!$C$8:$C$24,MATCH($C150,DATA_ASSET_CLASSIFICATION!$A$8:$A$24,0)),"Review"))</f>
        <v>Portfolio</v>
      </c>
      <c r="Q150" s="350" t="str">
        <f t="shared" si="5"/>
        <v>OK</v>
      </c>
    </row>
    <row r="151" spans="1:17">
      <c r="A151" s="366" t="s">
        <v>1983</v>
      </c>
      <c r="B151" s="366" t="s">
        <v>1681</v>
      </c>
      <c r="C151" s="366" t="s">
        <v>1682</v>
      </c>
      <c r="D151" s="380">
        <f>'00_PORTFOLIO ROLLUP'!M$12</f>
        <v>2033</v>
      </c>
      <c r="E151" s="366" t="s">
        <v>1721</v>
      </c>
      <c r="F151" s="366" t="s">
        <v>33</v>
      </c>
      <c r="G151" s="366" t="s">
        <v>1984</v>
      </c>
      <c r="H151" s="381">
        <f>'00_PORTFOLIO ROLLUP'!M$62</f>
        <v>0</v>
      </c>
      <c r="I151" s="366" t="s">
        <v>1685</v>
      </c>
      <c r="J151" s="348" t="str">
        <f t="shared" si="4"/>
        <v>OK</v>
      </c>
      <c r="K151" s="366" t="s">
        <v>1727</v>
      </c>
      <c r="L151" s="366" t="s">
        <v>1728</v>
      </c>
      <c r="M151" s="350" t="str">
        <f>IF($B151="Portfolio","Portfolio",IFERROR(INDEX(DATA_ASSET_CLASSIFICATION!$B$8:$B$24,MATCH($C151,DATA_ASSET_CLASSIFICATION!$A$8:$A$24,0)),"Review"))</f>
        <v>Portfolio</v>
      </c>
      <c r="N151" s="350" t="str">
        <f>IF($B151="Portfolio","Portfolio",IFERROR(INDEX(DATA_ASSET_CLASSIFICATION!$U$8:$U$24,MATCH($C151,DATA_ASSET_CLASSIFICATION!$A$8:$A$24,0)),"Review"))</f>
        <v>Portfolio</v>
      </c>
      <c r="O151" s="350" t="str">
        <f>IF($B151="Portfolio","Portfolio",IFERROR(INDEX(DATA_ASSET_CLASSIFICATION!$AB$8:$AB$13,MATCH($N151,DATA_ASSET_CLASSIFICATION!$AA$8:$AA$13,0)),"Review"))</f>
        <v>Portfolio</v>
      </c>
      <c r="P151" s="350" t="str">
        <f>IF($B151="Portfolio","Portfolio",IFERROR(INDEX(DATA_ASSET_CLASSIFICATION!$C$8:$C$24,MATCH($C151,DATA_ASSET_CLASSIFICATION!$A$8:$A$24,0)),"Review"))</f>
        <v>Portfolio</v>
      </c>
      <c r="Q151" s="350" t="str">
        <f t="shared" si="5"/>
        <v>OK</v>
      </c>
    </row>
    <row r="152" spans="1:17">
      <c r="A152" s="366" t="s">
        <v>1985</v>
      </c>
      <c r="B152" s="366" t="s">
        <v>1681</v>
      </c>
      <c r="C152" s="366" t="s">
        <v>1682</v>
      </c>
      <c r="D152" s="380">
        <f>'00_PORTFOLIO ROLLUP'!M$12</f>
        <v>2033</v>
      </c>
      <c r="E152" s="366" t="s">
        <v>1721</v>
      </c>
      <c r="F152" s="366" t="s">
        <v>35</v>
      </c>
      <c r="G152" s="366" t="s">
        <v>1986</v>
      </c>
      <c r="H152" s="381">
        <f>'00_PORTFOLIO ROLLUP'!M$63</f>
        <v>0</v>
      </c>
      <c r="I152" s="366" t="s">
        <v>1731</v>
      </c>
      <c r="J152" s="348" t="str">
        <f t="shared" si="4"/>
        <v>OK</v>
      </c>
      <c r="K152" s="366" t="s">
        <v>1732</v>
      </c>
      <c r="L152" s="366" t="s">
        <v>1733</v>
      </c>
      <c r="M152" s="350" t="str">
        <f>IF($B152="Portfolio","Portfolio",IFERROR(INDEX(DATA_ASSET_CLASSIFICATION!$B$8:$B$24,MATCH($C152,DATA_ASSET_CLASSIFICATION!$A$8:$A$24,0)),"Review"))</f>
        <v>Portfolio</v>
      </c>
      <c r="N152" s="350" t="str">
        <f>IF($B152="Portfolio","Portfolio",IFERROR(INDEX(DATA_ASSET_CLASSIFICATION!$U$8:$U$24,MATCH($C152,DATA_ASSET_CLASSIFICATION!$A$8:$A$24,0)),"Review"))</f>
        <v>Portfolio</v>
      </c>
      <c r="O152" s="350" t="str">
        <f>IF($B152="Portfolio","Portfolio",IFERROR(INDEX(DATA_ASSET_CLASSIFICATION!$AB$8:$AB$13,MATCH($N152,DATA_ASSET_CLASSIFICATION!$AA$8:$AA$13,0)),"Review"))</f>
        <v>Portfolio</v>
      </c>
      <c r="P152" s="350" t="str">
        <f>IF($B152="Portfolio","Portfolio",IFERROR(INDEX(DATA_ASSET_CLASSIFICATION!$C$8:$C$24,MATCH($C152,DATA_ASSET_CLASSIFICATION!$A$8:$A$24,0)),"Review"))</f>
        <v>Portfolio</v>
      </c>
      <c r="Q152" s="350" t="str">
        <f t="shared" si="5"/>
        <v>OK</v>
      </c>
    </row>
    <row r="153" spans="1:17">
      <c r="A153" s="366" t="s">
        <v>1987</v>
      </c>
      <c r="B153" s="366" t="s">
        <v>1681</v>
      </c>
      <c r="C153" s="366" t="s">
        <v>1682</v>
      </c>
      <c r="D153" s="380">
        <f>'00_PORTFOLIO ROLLUP'!M$12</f>
        <v>2033</v>
      </c>
      <c r="E153" s="366" t="s">
        <v>1721</v>
      </c>
      <c r="F153" s="366" t="s">
        <v>37</v>
      </c>
      <c r="G153" s="366" t="s">
        <v>1986</v>
      </c>
      <c r="H153" s="381">
        <f>MAX('00_PORTFOLIO ROLLUP'!M$63,0)</f>
        <v>0</v>
      </c>
      <c r="I153" s="366" t="s">
        <v>1685</v>
      </c>
      <c r="J153" s="348" t="str">
        <f t="shared" si="4"/>
        <v>OK</v>
      </c>
      <c r="K153" s="366" t="s">
        <v>1735</v>
      </c>
      <c r="L153" s="366" t="s">
        <v>1736</v>
      </c>
      <c r="M153" s="350" t="str">
        <f>IF($B153="Portfolio","Portfolio",IFERROR(INDEX(DATA_ASSET_CLASSIFICATION!$B$8:$B$24,MATCH($C153,DATA_ASSET_CLASSIFICATION!$A$8:$A$24,0)),"Review"))</f>
        <v>Portfolio</v>
      </c>
      <c r="N153" s="350" t="str">
        <f>IF($B153="Portfolio","Portfolio",IFERROR(INDEX(DATA_ASSET_CLASSIFICATION!$U$8:$U$24,MATCH($C153,DATA_ASSET_CLASSIFICATION!$A$8:$A$24,0)),"Review"))</f>
        <v>Portfolio</v>
      </c>
      <c r="O153" s="350" t="str">
        <f>IF($B153="Portfolio","Portfolio",IFERROR(INDEX(DATA_ASSET_CLASSIFICATION!$AB$8:$AB$13,MATCH($N153,DATA_ASSET_CLASSIFICATION!$AA$8:$AA$13,0)),"Review"))</f>
        <v>Portfolio</v>
      </c>
      <c r="P153" s="350" t="str">
        <f>IF($B153="Portfolio","Portfolio",IFERROR(INDEX(DATA_ASSET_CLASSIFICATION!$C$8:$C$24,MATCH($C153,DATA_ASSET_CLASSIFICATION!$A$8:$A$24,0)),"Review"))</f>
        <v>Portfolio</v>
      </c>
      <c r="Q153" s="350" t="str">
        <f t="shared" si="5"/>
        <v>OK</v>
      </c>
    </row>
    <row r="154" spans="1:17">
      <c r="A154" s="366" t="s">
        <v>1988</v>
      </c>
      <c r="B154" s="366" t="s">
        <v>1681</v>
      </c>
      <c r="C154" s="366" t="s">
        <v>1682</v>
      </c>
      <c r="D154" s="380">
        <f>'00_PORTFOLIO ROLLUP'!M$12</f>
        <v>2033</v>
      </c>
      <c r="E154" s="366" t="s">
        <v>1721</v>
      </c>
      <c r="F154" s="366" t="s">
        <v>39</v>
      </c>
      <c r="G154" s="366" t="s">
        <v>1986</v>
      </c>
      <c r="H154" s="381">
        <f>MAX(-'00_PORTFOLIO ROLLUP'!M$63,0)</f>
        <v>0</v>
      </c>
      <c r="I154" s="366" t="s">
        <v>1690</v>
      </c>
      <c r="J154" s="348" t="str">
        <f t="shared" si="4"/>
        <v>OK</v>
      </c>
      <c r="K154" s="366" t="s">
        <v>1738</v>
      </c>
      <c r="L154" s="366" t="s">
        <v>1739</v>
      </c>
      <c r="M154" s="350" t="str">
        <f>IF($B154="Portfolio","Portfolio",IFERROR(INDEX(DATA_ASSET_CLASSIFICATION!$B$8:$B$24,MATCH($C154,DATA_ASSET_CLASSIFICATION!$A$8:$A$24,0)),"Review"))</f>
        <v>Portfolio</v>
      </c>
      <c r="N154" s="350" t="str">
        <f>IF($B154="Portfolio","Portfolio",IFERROR(INDEX(DATA_ASSET_CLASSIFICATION!$U$8:$U$24,MATCH($C154,DATA_ASSET_CLASSIFICATION!$A$8:$A$24,0)),"Review"))</f>
        <v>Portfolio</v>
      </c>
      <c r="O154" s="350" t="str">
        <f>IF($B154="Portfolio","Portfolio",IFERROR(INDEX(DATA_ASSET_CLASSIFICATION!$AB$8:$AB$13,MATCH($N154,DATA_ASSET_CLASSIFICATION!$AA$8:$AA$13,0)),"Review"))</f>
        <v>Portfolio</v>
      </c>
      <c r="P154" s="350" t="str">
        <f>IF($B154="Portfolio","Portfolio",IFERROR(INDEX(DATA_ASSET_CLASSIFICATION!$C$8:$C$24,MATCH($C154,DATA_ASSET_CLASSIFICATION!$A$8:$A$24,0)),"Review"))</f>
        <v>Portfolio</v>
      </c>
      <c r="Q154" s="350" t="str">
        <f t="shared" si="5"/>
        <v>OK</v>
      </c>
    </row>
    <row r="155" spans="1:17">
      <c r="A155" s="366" t="s">
        <v>1989</v>
      </c>
      <c r="B155" s="366" t="s">
        <v>1681</v>
      </c>
      <c r="C155" s="366" t="s">
        <v>1682</v>
      </c>
      <c r="D155" s="380">
        <f>'00_PORTFOLIO ROLLUP'!M$12</f>
        <v>2033</v>
      </c>
      <c r="E155" s="366" t="s">
        <v>1741</v>
      </c>
      <c r="F155" s="366" t="s">
        <v>41</v>
      </c>
      <c r="H155" s="381">
        <f>'00_PORTFOLIO ROLLUP'!M$56+MAX('00_PORTFOLIO ROLLUP'!M$63,0)</f>
        <v>2670058.1845505275</v>
      </c>
      <c r="I155" s="366" t="s">
        <v>1685</v>
      </c>
      <c r="J155" s="348" t="str">
        <f t="shared" si="4"/>
        <v>OK</v>
      </c>
      <c r="K155" s="366" t="s">
        <v>1742</v>
      </c>
      <c r="L155" s="366" t="s">
        <v>1743</v>
      </c>
      <c r="M155" s="350" t="str">
        <f>IF($B155="Portfolio","Portfolio",IFERROR(INDEX(DATA_ASSET_CLASSIFICATION!$B$8:$B$24,MATCH($C155,DATA_ASSET_CLASSIFICATION!$A$8:$A$24,0)),"Review"))</f>
        <v>Portfolio</v>
      </c>
      <c r="N155" s="350" t="str">
        <f>IF($B155="Portfolio","Portfolio",IFERROR(INDEX(DATA_ASSET_CLASSIFICATION!$U$8:$U$24,MATCH($C155,DATA_ASSET_CLASSIFICATION!$A$8:$A$24,0)),"Review"))</f>
        <v>Portfolio</v>
      </c>
      <c r="O155" s="350" t="str">
        <f>IF($B155="Portfolio","Portfolio",IFERROR(INDEX(DATA_ASSET_CLASSIFICATION!$AB$8:$AB$13,MATCH($N155,DATA_ASSET_CLASSIFICATION!$AA$8:$AA$13,0)),"Review"))</f>
        <v>Portfolio</v>
      </c>
      <c r="P155" s="350" t="str">
        <f>IF($B155="Portfolio","Portfolio",IFERROR(INDEX(DATA_ASSET_CLASSIFICATION!$C$8:$C$24,MATCH($C155,DATA_ASSET_CLASSIFICATION!$A$8:$A$24,0)),"Review"))</f>
        <v>Portfolio</v>
      </c>
      <c r="Q155" s="350" t="str">
        <f t="shared" si="5"/>
        <v>OK</v>
      </c>
    </row>
    <row r="156" spans="1:17">
      <c r="A156" s="366" t="s">
        <v>1990</v>
      </c>
      <c r="B156" s="366" t="s">
        <v>1681</v>
      </c>
      <c r="C156" s="366" t="s">
        <v>1682</v>
      </c>
      <c r="D156" s="380">
        <f>'00_PORTFOLIO ROLLUP'!M$12</f>
        <v>2033</v>
      </c>
      <c r="E156" s="366" t="s">
        <v>1741</v>
      </c>
      <c r="F156" s="366" t="s">
        <v>43</v>
      </c>
      <c r="G156" s="366" t="s">
        <v>1991</v>
      </c>
      <c r="H156" s="381">
        <f>'00_PORTFOLIO ROLLUP'!M$68</f>
        <v>2670058.1845505275</v>
      </c>
      <c r="I156" s="366" t="s">
        <v>1731</v>
      </c>
      <c r="J156" s="348" t="str">
        <f t="shared" si="4"/>
        <v>OK</v>
      </c>
      <c r="K156" s="366" t="s">
        <v>1746</v>
      </c>
      <c r="L156" s="366" t="s">
        <v>1747</v>
      </c>
      <c r="M156" s="350" t="str">
        <f>IF($B156="Portfolio","Portfolio",IFERROR(INDEX(DATA_ASSET_CLASSIFICATION!$B$8:$B$24,MATCH($C156,DATA_ASSET_CLASSIFICATION!$A$8:$A$24,0)),"Review"))</f>
        <v>Portfolio</v>
      </c>
      <c r="N156" s="350" t="str">
        <f>IF($B156="Portfolio","Portfolio",IFERROR(INDEX(DATA_ASSET_CLASSIFICATION!$U$8:$U$24,MATCH($C156,DATA_ASSET_CLASSIFICATION!$A$8:$A$24,0)),"Review"))</f>
        <v>Portfolio</v>
      </c>
      <c r="O156" s="350" t="str">
        <f>IF($B156="Portfolio","Portfolio",IFERROR(INDEX(DATA_ASSET_CLASSIFICATION!$AB$8:$AB$13,MATCH($N156,DATA_ASSET_CLASSIFICATION!$AA$8:$AA$13,0)),"Review"))</f>
        <v>Portfolio</v>
      </c>
      <c r="P156" s="350" t="str">
        <f>IF($B156="Portfolio","Portfolio",IFERROR(INDEX(DATA_ASSET_CLASSIFICATION!$C$8:$C$24,MATCH($C156,DATA_ASSET_CLASSIFICATION!$A$8:$A$24,0)),"Review"))</f>
        <v>Portfolio</v>
      </c>
      <c r="Q156" s="350" t="str">
        <f t="shared" si="5"/>
        <v>OK</v>
      </c>
    </row>
    <row r="157" spans="1:17">
      <c r="A157" s="366" t="s">
        <v>1992</v>
      </c>
      <c r="B157" s="366" t="s">
        <v>1681</v>
      </c>
      <c r="C157" s="366" t="s">
        <v>1682</v>
      </c>
      <c r="D157" s="380">
        <f>'00_PORTFOLIO ROLLUP'!M$12</f>
        <v>2033</v>
      </c>
      <c r="E157" s="366" t="s">
        <v>1741</v>
      </c>
      <c r="F157" s="366" t="s">
        <v>1749</v>
      </c>
      <c r="H157" s="381">
        <f>('00_PORTFOLIO ROLLUP'!M$56+MAX('00_PORTFOLIO ROLLUP'!M$63,0))-'00_PORTFOLIO ROLLUP'!M$68</f>
        <v>0</v>
      </c>
      <c r="I157" s="366" t="s">
        <v>1750</v>
      </c>
      <c r="J157" s="348" t="str">
        <f t="shared" si="4"/>
        <v>OK</v>
      </c>
      <c r="K157" s="366" t="s">
        <v>1751</v>
      </c>
      <c r="L157" s="366" t="s">
        <v>1752</v>
      </c>
      <c r="M157" s="350" t="str">
        <f>IF($B157="Portfolio","Portfolio",IFERROR(INDEX(DATA_ASSET_CLASSIFICATION!$B$8:$B$24,MATCH($C157,DATA_ASSET_CLASSIFICATION!$A$8:$A$24,0)),"Review"))</f>
        <v>Portfolio</v>
      </c>
      <c r="N157" s="350" t="str">
        <f>IF($B157="Portfolio","Portfolio",IFERROR(INDEX(DATA_ASSET_CLASSIFICATION!$U$8:$U$24,MATCH($C157,DATA_ASSET_CLASSIFICATION!$A$8:$A$24,0)),"Review"))</f>
        <v>Portfolio</v>
      </c>
      <c r="O157" s="350" t="str">
        <f>IF($B157="Portfolio","Portfolio",IFERROR(INDEX(DATA_ASSET_CLASSIFICATION!$AB$8:$AB$13,MATCH($N157,DATA_ASSET_CLASSIFICATION!$AA$8:$AA$13,0)),"Review"))</f>
        <v>Portfolio</v>
      </c>
      <c r="P157" s="350" t="str">
        <f>IF($B157="Portfolio","Portfolio",IFERROR(INDEX(DATA_ASSET_CLASSIFICATION!$C$8:$C$24,MATCH($C157,DATA_ASSET_CLASSIFICATION!$A$8:$A$24,0)),"Review"))</f>
        <v>Portfolio</v>
      </c>
      <c r="Q157" s="350" t="str">
        <f t="shared" si="5"/>
        <v>OK</v>
      </c>
    </row>
    <row r="158" spans="1:17">
      <c r="A158" s="366" t="s">
        <v>1993</v>
      </c>
      <c r="B158" s="366" t="s">
        <v>1681</v>
      </c>
      <c r="C158" s="366" t="s">
        <v>1682</v>
      </c>
      <c r="D158" s="380">
        <f>'00_PORTFOLIO ROLLUP'!N$12</f>
        <v>2034</v>
      </c>
      <c r="E158" s="366" t="s">
        <v>1683</v>
      </c>
      <c r="F158" s="366" t="s">
        <v>341</v>
      </c>
      <c r="G158" s="366" t="s">
        <v>1994</v>
      </c>
      <c r="H158" s="381">
        <f>'00_PORTFOLIO ROLLUP'!N$24</f>
        <v>21158351.237043891</v>
      </c>
      <c r="I158" s="366" t="s">
        <v>1685</v>
      </c>
      <c r="J158" s="348" t="str">
        <f t="shared" si="4"/>
        <v>OK</v>
      </c>
      <c r="K158" s="366" t="s">
        <v>1686</v>
      </c>
      <c r="L158" s="366" t="s">
        <v>1687</v>
      </c>
      <c r="M158" s="350" t="str">
        <f>IF($B158="Portfolio","Portfolio",IFERROR(INDEX(DATA_ASSET_CLASSIFICATION!$B$8:$B$24,MATCH($C158,DATA_ASSET_CLASSIFICATION!$A$8:$A$24,0)),"Review"))</f>
        <v>Portfolio</v>
      </c>
      <c r="N158" s="350" t="str">
        <f>IF($B158="Portfolio","Portfolio",IFERROR(INDEX(DATA_ASSET_CLASSIFICATION!$U$8:$U$24,MATCH($C158,DATA_ASSET_CLASSIFICATION!$A$8:$A$24,0)),"Review"))</f>
        <v>Portfolio</v>
      </c>
      <c r="O158" s="350" t="str">
        <f>IF($B158="Portfolio","Portfolio",IFERROR(INDEX(DATA_ASSET_CLASSIFICATION!$AB$8:$AB$13,MATCH($N158,DATA_ASSET_CLASSIFICATION!$AA$8:$AA$13,0)),"Review"))</f>
        <v>Portfolio</v>
      </c>
      <c r="P158" s="350" t="str">
        <f>IF($B158="Portfolio","Portfolio",IFERROR(INDEX(DATA_ASSET_CLASSIFICATION!$C$8:$C$24,MATCH($C158,DATA_ASSET_CLASSIFICATION!$A$8:$A$24,0)),"Review"))</f>
        <v>Portfolio</v>
      </c>
      <c r="Q158" s="350" t="str">
        <f t="shared" si="5"/>
        <v>OK</v>
      </c>
    </row>
    <row r="159" spans="1:17">
      <c r="A159" s="366" t="s">
        <v>1995</v>
      </c>
      <c r="B159" s="366" t="s">
        <v>1681</v>
      </c>
      <c r="C159" s="366" t="s">
        <v>1682</v>
      </c>
      <c r="D159" s="380">
        <f>'00_PORTFOLIO ROLLUP'!N$12</f>
        <v>2034</v>
      </c>
      <c r="E159" s="366" t="s">
        <v>1683</v>
      </c>
      <c r="F159" s="366" t="s">
        <v>355</v>
      </c>
      <c r="G159" s="366" t="s">
        <v>1996</v>
      </c>
      <c r="H159" s="381">
        <f>'00_PORTFOLIO ROLLUP'!N$39</f>
        <v>7617423.9122103592</v>
      </c>
      <c r="I159" s="366" t="s">
        <v>1690</v>
      </c>
      <c r="J159" s="348" t="str">
        <f t="shared" si="4"/>
        <v>OK</v>
      </c>
      <c r="K159" s="366" t="s">
        <v>1686</v>
      </c>
      <c r="L159" s="366" t="s">
        <v>1691</v>
      </c>
      <c r="M159" s="350" t="str">
        <f>IF($B159="Portfolio","Portfolio",IFERROR(INDEX(DATA_ASSET_CLASSIFICATION!$B$8:$B$24,MATCH($C159,DATA_ASSET_CLASSIFICATION!$A$8:$A$24,0)),"Review"))</f>
        <v>Portfolio</v>
      </c>
      <c r="N159" s="350" t="str">
        <f>IF($B159="Portfolio","Portfolio",IFERROR(INDEX(DATA_ASSET_CLASSIFICATION!$U$8:$U$24,MATCH($C159,DATA_ASSET_CLASSIFICATION!$A$8:$A$24,0)),"Review"))</f>
        <v>Portfolio</v>
      </c>
      <c r="O159" s="350" t="str">
        <f>IF($B159="Portfolio","Portfolio",IFERROR(INDEX(DATA_ASSET_CLASSIFICATION!$AB$8:$AB$13,MATCH($N159,DATA_ASSET_CLASSIFICATION!$AA$8:$AA$13,0)),"Review"))</f>
        <v>Portfolio</v>
      </c>
      <c r="P159" s="350" t="str">
        <f>IF($B159="Portfolio","Portfolio",IFERROR(INDEX(DATA_ASSET_CLASSIFICATION!$C$8:$C$24,MATCH($C159,DATA_ASSET_CLASSIFICATION!$A$8:$A$24,0)),"Review"))</f>
        <v>Portfolio</v>
      </c>
      <c r="Q159" s="350" t="str">
        <f t="shared" si="5"/>
        <v>OK</v>
      </c>
    </row>
    <row r="160" spans="1:17">
      <c r="A160" s="366" t="s">
        <v>1997</v>
      </c>
      <c r="B160" s="366" t="s">
        <v>1681</v>
      </c>
      <c r="C160" s="366" t="s">
        <v>1682</v>
      </c>
      <c r="D160" s="380">
        <f>'00_PORTFOLIO ROLLUP'!N$12</f>
        <v>2034</v>
      </c>
      <c r="E160" s="366" t="s">
        <v>1683</v>
      </c>
      <c r="F160" s="366" t="s">
        <v>19</v>
      </c>
      <c r="G160" s="366" t="s">
        <v>1998</v>
      </c>
      <c r="H160" s="381">
        <f>'00_PORTFOLIO ROLLUP'!N$41</f>
        <v>13540927.324833531</v>
      </c>
      <c r="I160" s="366" t="s">
        <v>1685</v>
      </c>
      <c r="J160" s="348" t="str">
        <f t="shared" si="4"/>
        <v>OK</v>
      </c>
      <c r="K160" s="366" t="s">
        <v>1694</v>
      </c>
      <c r="L160" s="366" t="s">
        <v>1695</v>
      </c>
      <c r="M160" s="350" t="str">
        <f>IF($B160="Portfolio","Portfolio",IFERROR(INDEX(DATA_ASSET_CLASSIFICATION!$B$8:$B$24,MATCH($C160,DATA_ASSET_CLASSIFICATION!$A$8:$A$24,0)),"Review"))</f>
        <v>Portfolio</v>
      </c>
      <c r="N160" s="350" t="str">
        <f>IF($B160="Portfolio","Portfolio",IFERROR(INDEX(DATA_ASSET_CLASSIFICATION!$U$8:$U$24,MATCH($C160,DATA_ASSET_CLASSIFICATION!$A$8:$A$24,0)),"Review"))</f>
        <v>Portfolio</v>
      </c>
      <c r="O160" s="350" t="str">
        <f>IF($B160="Portfolio","Portfolio",IFERROR(INDEX(DATA_ASSET_CLASSIFICATION!$AB$8:$AB$13,MATCH($N160,DATA_ASSET_CLASSIFICATION!$AA$8:$AA$13,0)),"Review"))</f>
        <v>Portfolio</v>
      </c>
      <c r="P160" s="350" t="str">
        <f>IF($B160="Portfolio","Portfolio",IFERROR(INDEX(DATA_ASSET_CLASSIFICATION!$C$8:$C$24,MATCH($C160,DATA_ASSET_CLASSIFICATION!$A$8:$A$24,0)),"Review"))</f>
        <v>Portfolio</v>
      </c>
      <c r="Q160" s="350" t="str">
        <f t="shared" si="5"/>
        <v>OK</v>
      </c>
    </row>
    <row r="161" spans="1:17">
      <c r="A161" s="366" t="s">
        <v>1999</v>
      </c>
      <c r="B161" s="366" t="s">
        <v>1681</v>
      </c>
      <c r="C161" s="366" t="s">
        <v>1682</v>
      </c>
      <c r="D161" s="380">
        <f>'00_PORTFOLIO ROLLUP'!N$12</f>
        <v>2034</v>
      </c>
      <c r="E161" s="366" t="s">
        <v>1683</v>
      </c>
      <c r="F161" s="366" t="s">
        <v>1697</v>
      </c>
      <c r="G161" s="366" t="s">
        <v>2000</v>
      </c>
      <c r="H161" s="381">
        <f>'00_PORTFOLIO ROLLUP'!N$44</f>
        <v>192887.94057564097</v>
      </c>
      <c r="I161" s="366" t="s">
        <v>1690</v>
      </c>
      <c r="J161" s="348" t="str">
        <f t="shared" si="4"/>
        <v>OK</v>
      </c>
      <c r="K161" s="366" t="s">
        <v>1699</v>
      </c>
      <c r="L161" s="366" t="s">
        <v>1700</v>
      </c>
      <c r="M161" s="350" t="str">
        <f>IF($B161="Portfolio","Portfolio",IFERROR(INDEX(DATA_ASSET_CLASSIFICATION!$B$8:$B$24,MATCH($C161,DATA_ASSET_CLASSIFICATION!$A$8:$A$24,0)),"Review"))</f>
        <v>Portfolio</v>
      </c>
      <c r="N161" s="350" t="str">
        <f>IF($B161="Portfolio","Portfolio",IFERROR(INDEX(DATA_ASSET_CLASSIFICATION!$U$8:$U$24,MATCH($C161,DATA_ASSET_CLASSIFICATION!$A$8:$A$24,0)),"Review"))</f>
        <v>Portfolio</v>
      </c>
      <c r="O161" s="350" t="str">
        <f>IF($B161="Portfolio","Portfolio",IFERROR(INDEX(DATA_ASSET_CLASSIFICATION!$AB$8:$AB$13,MATCH($N161,DATA_ASSET_CLASSIFICATION!$AA$8:$AA$13,0)),"Review"))</f>
        <v>Portfolio</v>
      </c>
      <c r="P161" s="350" t="str">
        <f>IF($B161="Portfolio","Portfolio",IFERROR(INDEX(DATA_ASSET_CLASSIFICATION!$C$8:$C$24,MATCH($C161,DATA_ASSET_CLASSIFICATION!$A$8:$A$24,0)),"Review"))</f>
        <v>Portfolio</v>
      </c>
      <c r="Q161" s="350" t="str">
        <f t="shared" si="5"/>
        <v>OK</v>
      </c>
    </row>
    <row r="162" spans="1:17">
      <c r="A162" s="366" t="s">
        <v>2001</v>
      </c>
      <c r="B162" s="366" t="s">
        <v>1681</v>
      </c>
      <c r="C162" s="366" t="s">
        <v>1682</v>
      </c>
      <c r="D162" s="380">
        <f>'00_PORTFOLIO ROLLUP'!N$12</f>
        <v>2034</v>
      </c>
      <c r="E162" s="366" t="s">
        <v>1683</v>
      </c>
      <c r="F162" s="366" t="s">
        <v>21</v>
      </c>
      <c r="G162" s="366" t="s">
        <v>2002</v>
      </c>
      <c r="H162" s="381">
        <f>'00_PORTFOLIO ROLLUP'!N$45</f>
        <v>13348039.38425789</v>
      </c>
      <c r="I162" s="366" t="s">
        <v>1685</v>
      </c>
      <c r="J162" s="348" t="str">
        <f t="shared" si="4"/>
        <v>OK</v>
      </c>
      <c r="K162" s="366" t="s">
        <v>1694</v>
      </c>
      <c r="L162" s="366" t="s">
        <v>1703</v>
      </c>
      <c r="M162" s="350" t="str">
        <f>IF($B162="Portfolio","Portfolio",IFERROR(INDEX(DATA_ASSET_CLASSIFICATION!$B$8:$B$24,MATCH($C162,DATA_ASSET_CLASSIFICATION!$A$8:$A$24,0)),"Review"))</f>
        <v>Portfolio</v>
      </c>
      <c r="N162" s="350" t="str">
        <f>IF($B162="Portfolio","Portfolio",IFERROR(INDEX(DATA_ASSET_CLASSIFICATION!$U$8:$U$24,MATCH($C162,DATA_ASSET_CLASSIFICATION!$A$8:$A$24,0)),"Review"))</f>
        <v>Portfolio</v>
      </c>
      <c r="O162" s="350" t="str">
        <f>IF($B162="Portfolio","Portfolio",IFERROR(INDEX(DATA_ASSET_CLASSIFICATION!$AB$8:$AB$13,MATCH($N162,DATA_ASSET_CLASSIFICATION!$AA$8:$AA$13,0)),"Review"))</f>
        <v>Portfolio</v>
      </c>
      <c r="P162" s="350" t="str">
        <f>IF($B162="Portfolio","Portfolio",IFERROR(INDEX(DATA_ASSET_CLASSIFICATION!$C$8:$C$24,MATCH($C162,DATA_ASSET_CLASSIFICATION!$A$8:$A$24,0)),"Review"))</f>
        <v>Portfolio</v>
      </c>
      <c r="Q162" s="350" t="str">
        <f t="shared" si="5"/>
        <v>OK</v>
      </c>
    </row>
    <row r="163" spans="1:17">
      <c r="A163" s="366" t="s">
        <v>2003</v>
      </c>
      <c r="B163" s="366" t="s">
        <v>1681</v>
      </c>
      <c r="C163" s="366" t="s">
        <v>1682</v>
      </c>
      <c r="D163" s="380">
        <f>'00_PORTFOLIO ROLLUP'!N$12</f>
        <v>2034</v>
      </c>
      <c r="E163" s="366" t="s">
        <v>23</v>
      </c>
      <c r="F163" s="366" t="s">
        <v>23</v>
      </c>
      <c r="G163" s="366" t="s">
        <v>2004</v>
      </c>
      <c r="H163" s="381">
        <f>'00_PORTFOLIO ROLLUP'!N$48</f>
        <v>6622574.785645484</v>
      </c>
      <c r="I163" s="366" t="s">
        <v>1690</v>
      </c>
      <c r="J163" s="348" t="str">
        <f t="shared" si="4"/>
        <v>OK</v>
      </c>
      <c r="K163" s="366" t="s">
        <v>1706</v>
      </c>
      <c r="L163" s="366" t="s">
        <v>1707</v>
      </c>
      <c r="M163" s="350" t="str">
        <f>IF($B163="Portfolio","Portfolio",IFERROR(INDEX(DATA_ASSET_CLASSIFICATION!$B$8:$B$24,MATCH($C163,DATA_ASSET_CLASSIFICATION!$A$8:$A$24,0)),"Review"))</f>
        <v>Portfolio</v>
      </c>
      <c r="N163" s="350" t="str">
        <f>IF($B163="Portfolio","Portfolio",IFERROR(INDEX(DATA_ASSET_CLASSIFICATION!$U$8:$U$24,MATCH($C163,DATA_ASSET_CLASSIFICATION!$A$8:$A$24,0)),"Review"))</f>
        <v>Portfolio</v>
      </c>
      <c r="O163" s="350" t="str">
        <f>IF($B163="Portfolio","Portfolio",IFERROR(INDEX(DATA_ASSET_CLASSIFICATION!$AB$8:$AB$13,MATCH($N163,DATA_ASSET_CLASSIFICATION!$AA$8:$AA$13,0)),"Review"))</f>
        <v>Portfolio</v>
      </c>
      <c r="P163" s="350" t="str">
        <f>IF($B163="Portfolio","Portfolio",IFERROR(INDEX(DATA_ASSET_CLASSIFICATION!$C$8:$C$24,MATCH($C163,DATA_ASSET_CLASSIFICATION!$A$8:$A$24,0)),"Review"))</f>
        <v>Portfolio</v>
      </c>
      <c r="Q163" s="350" t="str">
        <f t="shared" si="5"/>
        <v>OK</v>
      </c>
    </row>
    <row r="164" spans="1:17">
      <c r="A164" s="366" t="s">
        <v>2005</v>
      </c>
      <c r="B164" s="366" t="s">
        <v>1681</v>
      </c>
      <c r="C164" s="366" t="s">
        <v>1682</v>
      </c>
      <c r="D164" s="380">
        <f>'00_PORTFOLIO ROLLUP'!N$12</f>
        <v>2034</v>
      </c>
      <c r="E164" s="366" t="s">
        <v>1683</v>
      </c>
      <c r="F164" s="366" t="s">
        <v>25</v>
      </c>
      <c r="G164" s="366" t="s">
        <v>2006</v>
      </c>
      <c r="H164" s="381">
        <f>'00_PORTFOLIO ROLLUP'!N$52</f>
        <v>6918352.5391880469</v>
      </c>
      <c r="I164" s="366" t="s">
        <v>1685</v>
      </c>
      <c r="J164" s="348" t="str">
        <f t="shared" si="4"/>
        <v>OK</v>
      </c>
      <c r="K164" s="366" t="s">
        <v>1710</v>
      </c>
      <c r="L164" s="366" t="s">
        <v>1711</v>
      </c>
      <c r="M164" s="350" t="str">
        <f>IF($B164="Portfolio","Portfolio",IFERROR(INDEX(DATA_ASSET_CLASSIFICATION!$B$8:$B$24,MATCH($C164,DATA_ASSET_CLASSIFICATION!$A$8:$A$24,0)),"Review"))</f>
        <v>Portfolio</v>
      </c>
      <c r="N164" s="350" t="str">
        <f>IF($B164="Portfolio","Portfolio",IFERROR(INDEX(DATA_ASSET_CLASSIFICATION!$U$8:$U$24,MATCH($C164,DATA_ASSET_CLASSIFICATION!$A$8:$A$24,0)),"Review"))</f>
        <v>Portfolio</v>
      </c>
      <c r="O164" s="350" t="str">
        <f>IF($B164="Portfolio","Portfolio",IFERROR(INDEX(DATA_ASSET_CLASSIFICATION!$AB$8:$AB$13,MATCH($N164,DATA_ASSET_CLASSIFICATION!$AA$8:$AA$13,0)),"Review"))</f>
        <v>Portfolio</v>
      </c>
      <c r="P164" s="350" t="str">
        <f>IF($B164="Portfolio","Portfolio",IFERROR(INDEX(DATA_ASSET_CLASSIFICATION!$C$8:$C$24,MATCH($C164,DATA_ASSET_CLASSIFICATION!$A$8:$A$24,0)),"Review"))</f>
        <v>Portfolio</v>
      </c>
      <c r="Q164" s="350" t="str">
        <f t="shared" si="5"/>
        <v>OK</v>
      </c>
    </row>
    <row r="165" spans="1:17">
      <c r="A165" s="366" t="s">
        <v>2007</v>
      </c>
      <c r="B165" s="366" t="s">
        <v>1681</v>
      </c>
      <c r="C165" s="366" t="s">
        <v>1682</v>
      </c>
      <c r="D165" s="380">
        <f>'00_PORTFOLIO ROLLUP'!N$12</f>
        <v>2034</v>
      </c>
      <c r="E165" s="366" t="s">
        <v>1683</v>
      </c>
      <c r="F165" s="366" t="s">
        <v>27</v>
      </c>
      <c r="G165" s="366" t="s">
        <v>2008</v>
      </c>
      <c r="H165" s="381">
        <f>'00_PORTFOLIO ROLLUP'!N$54</f>
        <v>4151011.5235128282</v>
      </c>
      <c r="I165" s="366" t="s">
        <v>1690</v>
      </c>
      <c r="J165" s="348" t="str">
        <f t="shared" si="4"/>
        <v>OK</v>
      </c>
      <c r="K165" s="366" t="s">
        <v>1714</v>
      </c>
      <c r="L165" s="366" t="s">
        <v>1715</v>
      </c>
      <c r="M165" s="350" t="str">
        <f>IF($B165="Portfolio","Portfolio",IFERROR(INDEX(DATA_ASSET_CLASSIFICATION!$B$8:$B$24,MATCH($C165,DATA_ASSET_CLASSIFICATION!$A$8:$A$24,0)),"Review"))</f>
        <v>Portfolio</v>
      </c>
      <c r="N165" s="350" t="str">
        <f>IF($B165="Portfolio","Portfolio",IFERROR(INDEX(DATA_ASSET_CLASSIFICATION!$U$8:$U$24,MATCH($C165,DATA_ASSET_CLASSIFICATION!$A$8:$A$24,0)),"Review"))</f>
        <v>Portfolio</v>
      </c>
      <c r="O165" s="350" t="str">
        <f>IF($B165="Portfolio","Portfolio",IFERROR(INDEX(DATA_ASSET_CLASSIFICATION!$AB$8:$AB$13,MATCH($N165,DATA_ASSET_CLASSIFICATION!$AA$8:$AA$13,0)),"Review"))</f>
        <v>Portfolio</v>
      </c>
      <c r="P165" s="350" t="str">
        <f>IF($B165="Portfolio","Portfolio",IFERROR(INDEX(DATA_ASSET_CLASSIFICATION!$C$8:$C$24,MATCH($C165,DATA_ASSET_CLASSIFICATION!$A$8:$A$24,0)),"Review"))</f>
        <v>Portfolio</v>
      </c>
      <c r="Q165" s="350" t="str">
        <f t="shared" si="5"/>
        <v>OK</v>
      </c>
    </row>
    <row r="166" spans="1:17">
      <c r="A166" s="366" t="s">
        <v>2009</v>
      </c>
      <c r="B166" s="366" t="s">
        <v>1681</v>
      </c>
      <c r="C166" s="366" t="s">
        <v>1682</v>
      </c>
      <c r="D166" s="380">
        <f>'00_PORTFOLIO ROLLUP'!N$12</f>
        <v>2034</v>
      </c>
      <c r="E166" s="366" t="s">
        <v>1683</v>
      </c>
      <c r="F166" s="366" t="s">
        <v>29</v>
      </c>
      <c r="G166" s="366" t="s">
        <v>2010</v>
      </c>
      <c r="H166" s="381">
        <f>'00_PORTFOLIO ROLLUP'!N$56</f>
        <v>2767341.0156752188</v>
      </c>
      <c r="I166" s="366" t="s">
        <v>1685</v>
      </c>
      <c r="J166" s="348" t="str">
        <f t="shared" si="4"/>
        <v>OK</v>
      </c>
      <c r="K166" s="366" t="s">
        <v>1718</v>
      </c>
      <c r="L166" s="366" t="s">
        <v>1719</v>
      </c>
      <c r="M166" s="350" t="str">
        <f>IF($B166="Portfolio","Portfolio",IFERROR(INDEX(DATA_ASSET_CLASSIFICATION!$B$8:$B$24,MATCH($C166,DATA_ASSET_CLASSIFICATION!$A$8:$A$24,0)),"Review"))</f>
        <v>Portfolio</v>
      </c>
      <c r="N166" s="350" t="str">
        <f>IF($B166="Portfolio","Portfolio",IFERROR(INDEX(DATA_ASSET_CLASSIFICATION!$U$8:$U$24,MATCH($C166,DATA_ASSET_CLASSIFICATION!$A$8:$A$24,0)),"Review"))</f>
        <v>Portfolio</v>
      </c>
      <c r="O166" s="350" t="str">
        <f>IF($B166="Portfolio","Portfolio",IFERROR(INDEX(DATA_ASSET_CLASSIFICATION!$AB$8:$AB$13,MATCH($N166,DATA_ASSET_CLASSIFICATION!$AA$8:$AA$13,0)),"Review"))</f>
        <v>Portfolio</v>
      </c>
      <c r="P166" s="350" t="str">
        <f>IF($B166="Portfolio","Portfolio",IFERROR(INDEX(DATA_ASSET_CLASSIFICATION!$C$8:$C$24,MATCH($C166,DATA_ASSET_CLASSIFICATION!$A$8:$A$24,0)),"Review"))</f>
        <v>Portfolio</v>
      </c>
      <c r="Q166" s="350" t="str">
        <f t="shared" si="5"/>
        <v>OK</v>
      </c>
    </row>
    <row r="167" spans="1:17">
      <c r="A167" s="366" t="s">
        <v>2011</v>
      </c>
      <c r="B167" s="366" t="s">
        <v>1681</v>
      </c>
      <c r="C167" s="366" t="s">
        <v>1682</v>
      </c>
      <c r="D167" s="380">
        <f>'00_PORTFOLIO ROLLUP'!N$12</f>
        <v>2034</v>
      </c>
      <c r="E167" s="366" t="s">
        <v>1721</v>
      </c>
      <c r="F167" s="366" t="s">
        <v>31</v>
      </c>
      <c r="G167" s="366" t="s">
        <v>2012</v>
      </c>
      <c r="H167" s="381">
        <f>'00_PORTFOLIO ROLLUP'!N$61</f>
        <v>-8908859.0253832936</v>
      </c>
      <c r="I167" s="366" t="s">
        <v>1690</v>
      </c>
      <c r="J167" s="348" t="str">
        <f t="shared" si="4"/>
        <v>OK</v>
      </c>
      <c r="K167" s="366" t="s">
        <v>1723</v>
      </c>
      <c r="L167" s="366" t="s">
        <v>1724</v>
      </c>
      <c r="M167" s="350" t="str">
        <f>IF($B167="Portfolio","Portfolio",IFERROR(INDEX(DATA_ASSET_CLASSIFICATION!$B$8:$B$24,MATCH($C167,DATA_ASSET_CLASSIFICATION!$A$8:$A$24,0)),"Review"))</f>
        <v>Portfolio</v>
      </c>
      <c r="N167" s="350" t="str">
        <f>IF($B167="Portfolio","Portfolio",IFERROR(INDEX(DATA_ASSET_CLASSIFICATION!$U$8:$U$24,MATCH($C167,DATA_ASSET_CLASSIFICATION!$A$8:$A$24,0)),"Review"))</f>
        <v>Portfolio</v>
      </c>
      <c r="O167" s="350" t="str">
        <f>IF($B167="Portfolio","Portfolio",IFERROR(INDEX(DATA_ASSET_CLASSIFICATION!$AB$8:$AB$13,MATCH($N167,DATA_ASSET_CLASSIFICATION!$AA$8:$AA$13,0)),"Review"))</f>
        <v>Portfolio</v>
      </c>
      <c r="P167" s="350" t="str">
        <f>IF($B167="Portfolio","Portfolio",IFERROR(INDEX(DATA_ASSET_CLASSIFICATION!$C$8:$C$24,MATCH($C167,DATA_ASSET_CLASSIFICATION!$A$8:$A$24,0)),"Review"))</f>
        <v>Portfolio</v>
      </c>
      <c r="Q167" s="350" t="str">
        <f t="shared" si="5"/>
        <v>OK</v>
      </c>
    </row>
    <row r="168" spans="1:17">
      <c r="A168" s="366" t="s">
        <v>2013</v>
      </c>
      <c r="B168" s="366" t="s">
        <v>1681</v>
      </c>
      <c r="C168" s="366" t="s">
        <v>1682</v>
      </c>
      <c r="D168" s="380">
        <f>'00_PORTFOLIO ROLLUP'!N$12</f>
        <v>2034</v>
      </c>
      <c r="E168" s="366" t="s">
        <v>1721</v>
      </c>
      <c r="F168" s="366" t="s">
        <v>33</v>
      </c>
      <c r="G168" s="366" t="s">
        <v>2014</v>
      </c>
      <c r="H168" s="381">
        <f>'00_PORTFOLIO ROLLUP'!N$62</f>
        <v>20272237.528205331</v>
      </c>
      <c r="I168" s="366" t="s">
        <v>1685</v>
      </c>
      <c r="J168" s="348" t="str">
        <f t="shared" si="4"/>
        <v>OK</v>
      </c>
      <c r="K168" s="366" t="s">
        <v>1727</v>
      </c>
      <c r="L168" s="366" t="s">
        <v>1728</v>
      </c>
      <c r="M168" s="350" t="str">
        <f>IF($B168="Portfolio","Portfolio",IFERROR(INDEX(DATA_ASSET_CLASSIFICATION!$B$8:$B$24,MATCH($C168,DATA_ASSET_CLASSIFICATION!$A$8:$A$24,0)),"Review"))</f>
        <v>Portfolio</v>
      </c>
      <c r="N168" s="350" t="str">
        <f>IF($B168="Portfolio","Portfolio",IFERROR(INDEX(DATA_ASSET_CLASSIFICATION!$U$8:$U$24,MATCH($C168,DATA_ASSET_CLASSIFICATION!$A$8:$A$24,0)),"Review"))</f>
        <v>Portfolio</v>
      </c>
      <c r="O168" s="350" t="str">
        <f>IF($B168="Portfolio","Portfolio",IFERROR(INDEX(DATA_ASSET_CLASSIFICATION!$AB$8:$AB$13,MATCH($N168,DATA_ASSET_CLASSIFICATION!$AA$8:$AA$13,0)),"Review"))</f>
        <v>Portfolio</v>
      </c>
      <c r="P168" s="350" t="str">
        <f>IF($B168="Portfolio","Portfolio",IFERROR(INDEX(DATA_ASSET_CLASSIFICATION!$C$8:$C$24,MATCH($C168,DATA_ASSET_CLASSIFICATION!$A$8:$A$24,0)),"Review"))</f>
        <v>Portfolio</v>
      </c>
      <c r="Q168" s="350" t="str">
        <f t="shared" si="5"/>
        <v>OK</v>
      </c>
    </row>
    <row r="169" spans="1:17">
      <c r="A169" s="366" t="s">
        <v>2015</v>
      </c>
      <c r="B169" s="366" t="s">
        <v>1681</v>
      </c>
      <c r="C169" s="366" t="s">
        <v>1682</v>
      </c>
      <c r="D169" s="380">
        <f>'00_PORTFOLIO ROLLUP'!N$12</f>
        <v>2034</v>
      </c>
      <c r="E169" s="366" t="s">
        <v>1721</v>
      </c>
      <c r="F169" s="366" t="s">
        <v>35</v>
      </c>
      <c r="G169" s="366" t="s">
        <v>2016</v>
      </c>
      <c r="H169" s="381">
        <f>'00_PORTFOLIO ROLLUP'!N$63</f>
        <v>11363378.502822038</v>
      </c>
      <c r="I169" s="366" t="s">
        <v>1731</v>
      </c>
      <c r="J169" s="348" t="str">
        <f t="shared" si="4"/>
        <v>OK</v>
      </c>
      <c r="K169" s="366" t="s">
        <v>1732</v>
      </c>
      <c r="L169" s="366" t="s">
        <v>1733</v>
      </c>
      <c r="M169" s="350" t="str">
        <f>IF($B169="Portfolio","Portfolio",IFERROR(INDEX(DATA_ASSET_CLASSIFICATION!$B$8:$B$24,MATCH($C169,DATA_ASSET_CLASSIFICATION!$A$8:$A$24,0)),"Review"))</f>
        <v>Portfolio</v>
      </c>
      <c r="N169" s="350" t="str">
        <f>IF($B169="Portfolio","Portfolio",IFERROR(INDEX(DATA_ASSET_CLASSIFICATION!$U$8:$U$24,MATCH($C169,DATA_ASSET_CLASSIFICATION!$A$8:$A$24,0)),"Review"))</f>
        <v>Portfolio</v>
      </c>
      <c r="O169" s="350" t="str">
        <f>IF($B169="Portfolio","Portfolio",IFERROR(INDEX(DATA_ASSET_CLASSIFICATION!$AB$8:$AB$13,MATCH($N169,DATA_ASSET_CLASSIFICATION!$AA$8:$AA$13,0)),"Review"))</f>
        <v>Portfolio</v>
      </c>
      <c r="P169" s="350" t="str">
        <f>IF($B169="Portfolio","Portfolio",IFERROR(INDEX(DATA_ASSET_CLASSIFICATION!$C$8:$C$24,MATCH($C169,DATA_ASSET_CLASSIFICATION!$A$8:$A$24,0)),"Review"))</f>
        <v>Portfolio</v>
      </c>
      <c r="Q169" s="350" t="str">
        <f t="shared" si="5"/>
        <v>OK</v>
      </c>
    </row>
    <row r="170" spans="1:17">
      <c r="A170" s="366" t="s">
        <v>2017</v>
      </c>
      <c r="B170" s="366" t="s">
        <v>1681</v>
      </c>
      <c r="C170" s="366" t="s">
        <v>1682</v>
      </c>
      <c r="D170" s="380">
        <f>'00_PORTFOLIO ROLLUP'!N$12</f>
        <v>2034</v>
      </c>
      <c r="E170" s="366" t="s">
        <v>1721</v>
      </c>
      <c r="F170" s="366" t="s">
        <v>37</v>
      </c>
      <c r="G170" s="366" t="s">
        <v>2016</v>
      </c>
      <c r="H170" s="381">
        <f>MAX('00_PORTFOLIO ROLLUP'!N$63,0)</f>
        <v>11363378.502822038</v>
      </c>
      <c r="I170" s="366" t="s">
        <v>1685</v>
      </c>
      <c r="J170" s="348" t="str">
        <f t="shared" si="4"/>
        <v>OK</v>
      </c>
      <c r="K170" s="366" t="s">
        <v>1735</v>
      </c>
      <c r="L170" s="366" t="s">
        <v>1736</v>
      </c>
      <c r="M170" s="350" t="str">
        <f>IF($B170="Portfolio","Portfolio",IFERROR(INDEX(DATA_ASSET_CLASSIFICATION!$B$8:$B$24,MATCH($C170,DATA_ASSET_CLASSIFICATION!$A$8:$A$24,0)),"Review"))</f>
        <v>Portfolio</v>
      </c>
      <c r="N170" s="350" t="str">
        <f>IF($B170="Portfolio","Portfolio",IFERROR(INDEX(DATA_ASSET_CLASSIFICATION!$U$8:$U$24,MATCH($C170,DATA_ASSET_CLASSIFICATION!$A$8:$A$24,0)),"Review"))</f>
        <v>Portfolio</v>
      </c>
      <c r="O170" s="350" t="str">
        <f>IF($B170="Portfolio","Portfolio",IFERROR(INDEX(DATA_ASSET_CLASSIFICATION!$AB$8:$AB$13,MATCH($N170,DATA_ASSET_CLASSIFICATION!$AA$8:$AA$13,0)),"Review"))</f>
        <v>Portfolio</v>
      </c>
      <c r="P170" s="350" t="str">
        <f>IF($B170="Portfolio","Portfolio",IFERROR(INDEX(DATA_ASSET_CLASSIFICATION!$C$8:$C$24,MATCH($C170,DATA_ASSET_CLASSIFICATION!$A$8:$A$24,0)),"Review"))</f>
        <v>Portfolio</v>
      </c>
      <c r="Q170" s="350" t="str">
        <f t="shared" si="5"/>
        <v>OK</v>
      </c>
    </row>
    <row r="171" spans="1:17">
      <c r="A171" s="366" t="s">
        <v>2018</v>
      </c>
      <c r="B171" s="366" t="s">
        <v>1681</v>
      </c>
      <c r="C171" s="366" t="s">
        <v>1682</v>
      </c>
      <c r="D171" s="380">
        <f>'00_PORTFOLIO ROLLUP'!N$12</f>
        <v>2034</v>
      </c>
      <c r="E171" s="366" t="s">
        <v>1721</v>
      </c>
      <c r="F171" s="366" t="s">
        <v>39</v>
      </c>
      <c r="G171" s="366" t="s">
        <v>2016</v>
      </c>
      <c r="H171" s="381">
        <f>MAX(-'00_PORTFOLIO ROLLUP'!N$63,0)</f>
        <v>0</v>
      </c>
      <c r="I171" s="366" t="s">
        <v>1690</v>
      </c>
      <c r="J171" s="348" t="str">
        <f t="shared" si="4"/>
        <v>OK</v>
      </c>
      <c r="K171" s="366" t="s">
        <v>1738</v>
      </c>
      <c r="L171" s="366" t="s">
        <v>1739</v>
      </c>
      <c r="M171" s="350" t="str">
        <f>IF($B171="Portfolio","Portfolio",IFERROR(INDEX(DATA_ASSET_CLASSIFICATION!$B$8:$B$24,MATCH($C171,DATA_ASSET_CLASSIFICATION!$A$8:$A$24,0)),"Review"))</f>
        <v>Portfolio</v>
      </c>
      <c r="N171" s="350" t="str">
        <f>IF($B171="Portfolio","Portfolio",IFERROR(INDEX(DATA_ASSET_CLASSIFICATION!$U$8:$U$24,MATCH($C171,DATA_ASSET_CLASSIFICATION!$A$8:$A$24,0)),"Review"))</f>
        <v>Portfolio</v>
      </c>
      <c r="O171" s="350" t="str">
        <f>IF($B171="Portfolio","Portfolio",IFERROR(INDEX(DATA_ASSET_CLASSIFICATION!$AB$8:$AB$13,MATCH($N171,DATA_ASSET_CLASSIFICATION!$AA$8:$AA$13,0)),"Review"))</f>
        <v>Portfolio</v>
      </c>
      <c r="P171" s="350" t="str">
        <f>IF($B171="Portfolio","Portfolio",IFERROR(INDEX(DATA_ASSET_CLASSIFICATION!$C$8:$C$24,MATCH($C171,DATA_ASSET_CLASSIFICATION!$A$8:$A$24,0)),"Review"))</f>
        <v>Portfolio</v>
      </c>
      <c r="Q171" s="350" t="str">
        <f t="shared" si="5"/>
        <v>OK</v>
      </c>
    </row>
    <row r="172" spans="1:17">
      <c r="A172" s="366" t="s">
        <v>2019</v>
      </c>
      <c r="B172" s="366" t="s">
        <v>1681</v>
      </c>
      <c r="C172" s="366" t="s">
        <v>1682</v>
      </c>
      <c r="D172" s="380">
        <f>'00_PORTFOLIO ROLLUP'!N$12</f>
        <v>2034</v>
      </c>
      <c r="E172" s="366" t="s">
        <v>1741</v>
      </c>
      <c r="F172" s="366" t="s">
        <v>41</v>
      </c>
      <c r="H172" s="381">
        <f>'00_PORTFOLIO ROLLUP'!N$56+MAX('00_PORTFOLIO ROLLUP'!N$63,0)</f>
        <v>14130719.518497257</v>
      </c>
      <c r="I172" s="366" t="s">
        <v>1685</v>
      </c>
      <c r="J172" s="348" t="str">
        <f t="shared" si="4"/>
        <v>OK</v>
      </c>
      <c r="K172" s="366" t="s">
        <v>1742</v>
      </c>
      <c r="L172" s="366" t="s">
        <v>1743</v>
      </c>
      <c r="M172" s="350" t="str">
        <f>IF($B172="Portfolio","Portfolio",IFERROR(INDEX(DATA_ASSET_CLASSIFICATION!$B$8:$B$24,MATCH($C172,DATA_ASSET_CLASSIFICATION!$A$8:$A$24,0)),"Review"))</f>
        <v>Portfolio</v>
      </c>
      <c r="N172" s="350" t="str">
        <f>IF($B172="Portfolio","Portfolio",IFERROR(INDEX(DATA_ASSET_CLASSIFICATION!$U$8:$U$24,MATCH($C172,DATA_ASSET_CLASSIFICATION!$A$8:$A$24,0)),"Review"))</f>
        <v>Portfolio</v>
      </c>
      <c r="O172" s="350" t="str">
        <f>IF($B172="Portfolio","Portfolio",IFERROR(INDEX(DATA_ASSET_CLASSIFICATION!$AB$8:$AB$13,MATCH($N172,DATA_ASSET_CLASSIFICATION!$AA$8:$AA$13,0)),"Review"))</f>
        <v>Portfolio</v>
      </c>
      <c r="P172" s="350" t="str">
        <f>IF($B172="Portfolio","Portfolio",IFERROR(INDEX(DATA_ASSET_CLASSIFICATION!$C$8:$C$24,MATCH($C172,DATA_ASSET_CLASSIFICATION!$A$8:$A$24,0)),"Review"))</f>
        <v>Portfolio</v>
      </c>
      <c r="Q172" s="350" t="str">
        <f t="shared" si="5"/>
        <v>OK</v>
      </c>
    </row>
    <row r="173" spans="1:17">
      <c r="A173" s="366" t="s">
        <v>2020</v>
      </c>
      <c r="B173" s="366" t="s">
        <v>1681</v>
      </c>
      <c r="C173" s="366" t="s">
        <v>1682</v>
      </c>
      <c r="D173" s="380">
        <f>'00_PORTFOLIO ROLLUP'!N$12</f>
        <v>2034</v>
      </c>
      <c r="E173" s="366" t="s">
        <v>1741</v>
      </c>
      <c r="F173" s="366" t="s">
        <v>43</v>
      </c>
      <c r="G173" s="366" t="s">
        <v>2021</v>
      </c>
      <c r="H173" s="381">
        <f>'00_PORTFOLIO ROLLUP'!N$68</f>
        <v>14130719.518497257</v>
      </c>
      <c r="I173" s="366" t="s">
        <v>1731</v>
      </c>
      <c r="J173" s="348" t="str">
        <f t="shared" si="4"/>
        <v>OK</v>
      </c>
      <c r="K173" s="366" t="s">
        <v>1746</v>
      </c>
      <c r="L173" s="366" t="s">
        <v>1747</v>
      </c>
      <c r="M173" s="350" t="str">
        <f>IF($B173="Portfolio","Portfolio",IFERROR(INDEX(DATA_ASSET_CLASSIFICATION!$B$8:$B$24,MATCH($C173,DATA_ASSET_CLASSIFICATION!$A$8:$A$24,0)),"Review"))</f>
        <v>Portfolio</v>
      </c>
      <c r="N173" s="350" t="str">
        <f>IF($B173="Portfolio","Portfolio",IFERROR(INDEX(DATA_ASSET_CLASSIFICATION!$U$8:$U$24,MATCH($C173,DATA_ASSET_CLASSIFICATION!$A$8:$A$24,0)),"Review"))</f>
        <v>Portfolio</v>
      </c>
      <c r="O173" s="350" t="str">
        <f>IF($B173="Portfolio","Portfolio",IFERROR(INDEX(DATA_ASSET_CLASSIFICATION!$AB$8:$AB$13,MATCH($N173,DATA_ASSET_CLASSIFICATION!$AA$8:$AA$13,0)),"Review"))</f>
        <v>Portfolio</v>
      </c>
      <c r="P173" s="350" t="str">
        <f>IF($B173="Portfolio","Portfolio",IFERROR(INDEX(DATA_ASSET_CLASSIFICATION!$C$8:$C$24,MATCH($C173,DATA_ASSET_CLASSIFICATION!$A$8:$A$24,0)),"Review"))</f>
        <v>Portfolio</v>
      </c>
      <c r="Q173" s="350" t="str">
        <f t="shared" si="5"/>
        <v>OK</v>
      </c>
    </row>
    <row r="174" spans="1:17">
      <c r="A174" s="366" t="s">
        <v>2022</v>
      </c>
      <c r="B174" s="366" t="s">
        <v>1681</v>
      </c>
      <c r="C174" s="366" t="s">
        <v>1682</v>
      </c>
      <c r="D174" s="380">
        <f>'00_PORTFOLIO ROLLUP'!N$12</f>
        <v>2034</v>
      </c>
      <c r="E174" s="366" t="s">
        <v>1741</v>
      </c>
      <c r="F174" s="366" t="s">
        <v>1749</v>
      </c>
      <c r="H174" s="381">
        <f>('00_PORTFOLIO ROLLUP'!N$56+MAX('00_PORTFOLIO ROLLUP'!N$63,0))-'00_PORTFOLIO ROLLUP'!N$68</f>
        <v>0</v>
      </c>
      <c r="I174" s="366" t="s">
        <v>1750</v>
      </c>
      <c r="J174" s="348" t="str">
        <f t="shared" si="4"/>
        <v>OK</v>
      </c>
      <c r="K174" s="366" t="s">
        <v>1751</v>
      </c>
      <c r="L174" s="366" t="s">
        <v>1752</v>
      </c>
      <c r="M174" s="350" t="str">
        <f>IF($B174="Portfolio","Portfolio",IFERROR(INDEX(DATA_ASSET_CLASSIFICATION!$B$8:$B$24,MATCH($C174,DATA_ASSET_CLASSIFICATION!$A$8:$A$24,0)),"Review"))</f>
        <v>Portfolio</v>
      </c>
      <c r="N174" s="350" t="str">
        <f>IF($B174="Portfolio","Portfolio",IFERROR(INDEX(DATA_ASSET_CLASSIFICATION!$U$8:$U$24,MATCH($C174,DATA_ASSET_CLASSIFICATION!$A$8:$A$24,0)),"Review"))</f>
        <v>Portfolio</v>
      </c>
      <c r="O174" s="350" t="str">
        <f>IF($B174="Portfolio","Portfolio",IFERROR(INDEX(DATA_ASSET_CLASSIFICATION!$AB$8:$AB$13,MATCH($N174,DATA_ASSET_CLASSIFICATION!$AA$8:$AA$13,0)),"Review"))</f>
        <v>Portfolio</v>
      </c>
      <c r="P174" s="350" t="str">
        <f>IF($B174="Portfolio","Portfolio",IFERROR(INDEX(DATA_ASSET_CLASSIFICATION!$C$8:$C$24,MATCH($C174,DATA_ASSET_CLASSIFICATION!$A$8:$A$24,0)),"Review"))</f>
        <v>Portfolio</v>
      </c>
      <c r="Q174" s="350" t="str">
        <f t="shared" si="5"/>
        <v>OK</v>
      </c>
    </row>
    <row r="175" spans="1:17">
      <c r="A175" s="366" t="s">
        <v>2023</v>
      </c>
      <c r="B175" s="366" t="s">
        <v>1681</v>
      </c>
      <c r="C175" s="366" t="s">
        <v>1682</v>
      </c>
      <c r="D175" s="380">
        <f>'00_PORTFOLIO ROLLUP'!O$12</f>
        <v>2035</v>
      </c>
      <c r="E175" s="366" t="s">
        <v>1683</v>
      </c>
      <c r="F175" s="366" t="s">
        <v>341</v>
      </c>
      <c r="G175" s="366" t="s">
        <v>2024</v>
      </c>
      <c r="H175" s="381">
        <f>'00_PORTFOLIO ROLLUP'!O$24</f>
        <v>21578220.385784771</v>
      </c>
      <c r="I175" s="366" t="s">
        <v>1685</v>
      </c>
      <c r="J175" s="348" t="str">
        <f t="shared" si="4"/>
        <v>OK</v>
      </c>
      <c r="K175" s="366" t="s">
        <v>1686</v>
      </c>
      <c r="L175" s="366" t="s">
        <v>1687</v>
      </c>
      <c r="M175" s="350" t="str">
        <f>IF($B175="Portfolio","Portfolio",IFERROR(INDEX(DATA_ASSET_CLASSIFICATION!$B$8:$B$24,MATCH($C175,DATA_ASSET_CLASSIFICATION!$A$8:$A$24,0)),"Review"))</f>
        <v>Portfolio</v>
      </c>
      <c r="N175" s="350" t="str">
        <f>IF($B175="Portfolio","Portfolio",IFERROR(INDEX(DATA_ASSET_CLASSIFICATION!$U$8:$U$24,MATCH($C175,DATA_ASSET_CLASSIFICATION!$A$8:$A$24,0)),"Review"))</f>
        <v>Portfolio</v>
      </c>
      <c r="O175" s="350" t="str">
        <f>IF($B175="Portfolio","Portfolio",IFERROR(INDEX(DATA_ASSET_CLASSIFICATION!$AB$8:$AB$13,MATCH($N175,DATA_ASSET_CLASSIFICATION!$AA$8:$AA$13,0)),"Review"))</f>
        <v>Portfolio</v>
      </c>
      <c r="P175" s="350" t="str">
        <f>IF($B175="Portfolio","Portfolio",IFERROR(INDEX(DATA_ASSET_CLASSIFICATION!$C$8:$C$24,MATCH($C175,DATA_ASSET_CLASSIFICATION!$A$8:$A$24,0)),"Review"))</f>
        <v>Portfolio</v>
      </c>
      <c r="Q175" s="350" t="str">
        <f t="shared" si="5"/>
        <v>OK</v>
      </c>
    </row>
    <row r="176" spans="1:17">
      <c r="A176" s="366" t="s">
        <v>2025</v>
      </c>
      <c r="B176" s="366" t="s">
        <v>1681</v>
      </c>
      <c r="C176" s="366" t="s">
        <v>1682</v>
      </c>
      <c r="D176" s="380">
        <f>'00_PORTFOLIO ROLLUP'!O$12</f>
        <v>2035</v>
      </c>
      <c r="E176" s="366" t="s">
        <v>1683</v>
      </c>
      <c r="F176" s="366" t="s">
        <v>355</v>
      </c>
      <c r="G176" s="366" t="s">
        <v>2026</v>
      </c>
      <c r="H176" s="381">
        <f>'00_PORTFOLIO ROLLUP'!O$39</f>
        <v>7807859.5100156181</v>
      </c>
      <c r="I176" s="366" t="s">
        <v>1690</v>
      </c>
      <c r="J176" s="348" t="str">
        <f t="shared" si="4"/>
        <v>OK</v>
      </c>
      <c r="K176" s="366" t="s">
        <v>1686</v>
      </c>
      <c r="L176" s="366" t="s">
        <v>1691</v>
      </c>
      <c r="M176" s="350" t="str">
        <f>IF($B176="Portfolio","Portfolio",IFERROR(INDEX(DATA_ASSET_CLASSIFICATION!$B$8:$B$24,MATCH($C176,DATA_ASSET_CLASSIFICATION!$A$8:$A$24,0)),"Review"))</f>
        <v>Portfolio</v>
      </c>
      <c r="N176" s="350" t="str">
        <f>IF($B176="Portfolio","Portfolio",IFERROR(INDEX(DATA_ASSET_CLASSIFICATION!$U$8:$U$24,MATCH($C176,DATA_ASSET_CLASSIFICATION!$A$8:$A$24,0)),"Review"))</f>
        <v>Portfolio</v>
      </c>
      <c r="O176" s="350" t="str">
        <f>IF($B176="Portfolio","Portfolio",IFERROR(INDEX(DATA_ASSET_CLASSIFICATION!$AB$8:$AB$13,MATCH($N176,DATA_ASSET_CLASSIFICATION!$AA$8:$AA$13,0)),"Review"))</f>
        <v>Portfolio</v>
      </c>
      <c r="P176" s="350" t="str">
        <f>IF($B176="Portfolio","Portfolio",IFERROR(INDEX(DATA_ASSET_CLASSIFICATION!$C$8:$C$24,MATCH($C176,DATA_ASSET_CLASSIFICATION!$A$8:$A$24,0)),"Review"))</f>
        <v>Portfolio</v>
      </c>
      <c r="Q176" s="350" t="str">
        <f t="shared" si="5"/>
        <v>OK</v>
      </c>
    </row>
    <row r="177" spans="1:17">
      <c r="A177" s="366" t="s">
        <v>2027</v>
      </c>
      <c r="B177" s="366" t="s">
        <v>1681</v>
      </c>
      <c r="C177" s="366" t="s">
        <v>1682</v>
      </c>
      <c r="D177" s="380">
        <f>'00_PORTFOLIO ROLLUP'!O$12</f>
        <v>2035</v>
      </c>
      <c r="E177" s="366" t="s">
        <v>1683</v>
      </c>
      <c r="F177" s="366" t="s">
        <v>19</v>
      </c>
      <c r="G177" s="366" t="s">
        <v>2028</v>
      </c>
      <c r="H177" s="381">
        <f>'00_PORTFOLIO ROLLUP'!O$41</f>
        <v>13770360.875769153</v>
      </c>
      <c r="I177" s="366" t="s">
        <v>1685</v>
      </c>
      <c r="J177" s="348" t="str">
        <f t="shared" si="4"/>
        <v>OK</v>
      </c>
      <c r="K177" s="366" t="s">
        <v>1694</v>
      </c>
      <c r="L177" s="366" t="s">
        <v>1695</v>
      </c>
      <c r="M177" s="350" t="str">
        <f>IF($B177="Portfolio","Portfolio",IFERROR(INDEX(DATA_ASSET_CLASSIFICATION!$B$8:$B$24,MATCH($C177,DATA_ASSET_CLASSIFICATION!$A$8:$A$24,0)),"Review"))</f>
        <v>Portfolio</v>
      </c>
      <c r="N177" s="350" t="str">
        <f>IF($B177="Portfolio","Portfolio",IFERROR(INDEX(DATA_ASSET_CLASSIFICATION!$U$8:$U$24,MATCH($C177,DATA_ASSET_CLASSIFICATION!$A$8:$A$24,0)),"Review"))</f>
        <v>Portfolio</v>
      </c>
      <c r="O177" s="350" t="str">
        <f>IF($B177="Portfolio","Portfolio",IFERROR(INDEX(DATA_ASSET_CLASSIFICATION!$AB$8:$AB$13,MATCH($N177,DATA_ASSET_CLASSIFICATION!$AA$8:$AA$13,0)),"Review"))</f>
        <v>Portfolio</v>
      </c>
      <c r="P177" s="350" t="str">
        <f>IF($B177="Portfolio","Portfolio",IFERROR(INDEX(DATA_ASSET_CLASSIFICATION!$C$8:$C$24,MATCH($C177,DATA_ASSET_CLASSIFICATION!$A$8:$A$24,0)),"Review"))</f>
        <v>Portfolio</v>
      </c>
      <c r="Q177" s="350" t="str">
        <f t="shared" si="5"/>
        <v>OK</v>
      </c>
    </row>
    <row r="178" spans="1:17">
      <c r="A178" s="366" t="s">
        <v>2029</v>
      </c>
      <c r="B178" s="366" t="s">
        <v>1681</v>
      </c>
      <c r="C178" s="366" t="s">
        <v>1682</v>
      </c>
      <c r="D178" s="380">
        <f>'00_PORTFOLIO ROLLUP'!O$12</f>
        <v>2035</v>
      </c>
      <c r="E178" s="366" t="s">
        <v>1683</v>
      </c>
      <c r="F178" s="366" t="s">
        <v>1697</v>
      </c>
      <c r="G178" s="366" t="s">
        <v>2030</v>
      </c>
      <c r="H178" s="381">
        <f>'00_PORTFOLIO ROLLUP'!O$44</f>
        <v>196745.69938715379</v>
      </c>
      <c r="I178" s="366" t="s">
        <v>1690</v>
      </c>
      <c r="J178" s="348" t="str">
        <f t="shared" si="4"/>
        <v>OK</v>
      </c>
      <c r="K178" s="366" t="s">
        <v>1699</v>
      </c>
      <c r="L178" s="366" t="s">
        <v>1700</v>
      </c>
      <c r="M178" s="350" t="str">
        <f>IF($B178="Portfolio","Portfolio",IFERROR(INDEX(DATA_ASSET_CLASSIFICATION!$B$8:$B$24,MATCH($C178,DATA_ASSET_CLASSIFICATION!$A$8:$A$24,0)),"Review"))</f>
        <v>Portfolio</v>
      </c>
      <c r="N178" s="350" t="str">
        <f>IF($B178="Portfolio","Portfolio",IFERROR(INDEX(DATA_ASSET_CLASSIFICATION!$U$8:$U$24,MATCH($C178,DATA_ASSET_CLASSIFICATION!$A$8:$A$24,0)),"Review"))</f>
        <v>Portfolio</v>
      </c>
      <c r="O178" s="350" t="str">
        <f>IF($B178="Portfolio","Portfolio",IFERROR(INDEX(DATA_ASSET_CLASSIFICATION!$AB$8:$AB$13,MATCH($N178,DATA_ASSET_CLASSIFICATION!$AA$8:$AA$13,0)),"Review"))</f>
        <v>Portfolio</v>
      </c>
      <c r="P178" s="350" t="str">
        <f>IF($B178="Portfolio","Portfolio",IFERROR(INDEX(DATA_ASSET_CLASSIFICATION!$C$8:$C$24,MATCH($C178,DATA_ASSET_CLASSIFICATION!$A$8:$A$24,0)),"Review"))</f>
        <v>Portfolio</v>
      </c>
      <c r="Q178" s="350" t="str">
        <f t="shared" si="5"/>
        <v>OK</v>
      </c>
    </row>
    <row r="179" spans="1:17">
      <c r="A179" s="366" t="s">
        <v>2031</v>
      </c>
      <c r="B179" s="366" t="s">
        <v>1681</v>
      </c>
      <c r="C179" s="366" t="s">
        <v>1682</v>
      </c>
      <c r="D179" s="380">
        <f>'00_PORTFOLIO ROLLUP'!O$12</f>
        <v>2035</v>
      </c>
      <c r="E179" s="366" t="s">
        <v>1683</v>
      </c>
      <c r="F179" s="366" t="s">
        <v>21</v>
      </c>
      <c r="G179" s="366" t="s">
        <v>2032</v>
      </c>
      <c r="H179" s="381">
        <f>'00_PORTFOLIO ROLLUP'!O$45</f>
        <v>13573615.176382</v>
      </c>
      <c r="I179" s="366" t="s">
        <v>1685</v>
      </c>
      <c r="J179" s="348" t="str">
        <f t="shared" si="4"/>
        <v>OK</v>
      </c>
      <c r="K179" s="366" t="s">
        <v>1694</v>
      </c>
      <c r="L179" s="366" t="s">
        <v>1703</v>
      </c>
      <c r="M179" s="350" t="str">
        <f>IF($B179="Portfolio","Portfolio",IFERROR(INDEX(DATA_ASSET_CLASSIFICATION!$B$8:$B$24,MATCH($C179,DATA_ASSET_CLASSIFICATION!$A$8:$A$24,0)),"Review"))</f>
        <v>Portfolio</v>
      </c>
      <c r="N179" s="350" t="str">
        <f>IF($B179="Portfolio","Portfolio",IFERROR(INDEX(DATA_ASSET_CLASSIFICATION!$U$8:$U$24,MATCH($C179,DATA_ASSET_CLASSIFICATION!$A$8:$A$24,0)),"Review"))</f>
        <v>Portfolio</v>
      </c>
      <c r="O179" s="350" t="str">
        <f>IF($B179="Portfolio","Portfolio",IFERROR(INDEX(DATA_ASSET_CLASSIFICATION!$AB$8:$AB$13,MATCH($N179,DATA_ASSET_CLASSIFICATION!$AA$8:$AA$13,0)),"Review"))</f>
        <v>Portfolio</v>
      </c>
      <c r="P179" s="350" t="str">
        <f>IF($B179="Portfolio","Portfolio",IFERROR(INDEX(DATA_ASSET_CLASSIFICATION!$C$8:$C$24,MATCH($C179,DATA_ASSET_CLASSIFICATION!$A$8:$A$24,0)),"Review"))</f>
        <v>Portfolio</v>
      </c>
      <c r="Q179" s="350" t="str">
        <f t="shared" si="5"/>
        <v>OK</v>
      </c>
    </row>
    <row r="180" spans="1:17">
      <c r="A180" s="366" t="s">
        <v>2033</v>
      </c>
      <c r="B180" s="366" t="s">
        <v>1681</v>
      </c>
      <c r="C180" s="366" t="s">
        <v>1682</v>
      </c>
      <c r="D180" s="380">
        <f>'00_PORTFOLIO ROLLUP'!O$12</f>
        <v>2035</v>
      </c>
      <c r="E180" s="366" t="s">
        <v>23</v>
      </c>
      <c r="F180" s="366" t="s">
        <v>23</v>
      </c>
      <c r="G180" s="366" t="s">
        <v>2034</v>
      </c>
      <c r="H180" s="381">
        <f>'00_PORTFOLIO ROLLUP'!O$48</f>
        <v>6811656.6125063812</v>
      </c>
      <c r="I180" s="366" t="s">
        <v>1690</v>
      </c>
      <c r="J180" s="348" t="str">
        <f t="shared" si="4"/>
        <v>OK</v>
      </c>
      <c r="K180" s="366" t="s">
        <v>1706</v>
      </c>
      <c r="L180" s="366" t="s">
        <v>1707</v>
      </c>
      <c r="M180" s="350" t="str">
        <f>IF($B180="Portfolio","Portfolio",IFERROR(INDEX(DATA_ASSET_CLASSIFICATION!$B$8:$B$24,MATCH($C180,DATA_ASSET_CLASSIFICATION!$A$8:$A$24,0)),"Review"))</f>
        <v>Portfolio</v>
      </c>
      <c r="N180" s="350" t="str">
        <f>IF($B180="Portfolio","Portfolio",IFERROR(INDEX(DATA_ASSET_CLASSIFICATION!$U$8:$U$24,MATCH($C180,DATA_ASSET_CLASSIFICATION!$A$8:$A$24,0)),"Review"))</f>
        <v>Portfolio</v>
      </c>
      <c r="O180" s="350" t="str">
        <f>IF($B180="Portfolio","Portfolio",IFERROR(INDEX(DATA_ASSET_CLASSIFICATION!$AB$8:$AB$13,MATCH($N180,DATA_ASSET_CLASSIFICATION!$AA$8:$AA$13,0)),"Review"))</f>
        <v>Portfolio</v>
      </c>
      <c r="P180" s="350" t="str">
        <f>IF($B180="Portfolio","Portfolio",IFERROR(INDEX(DATA_ASSET_CLASSIFICATION!$C$8:$C$24,MATCH($C180,DATA_ASSET_CLASSIFICATION!$A$8:$A$24,0)),"Review"))</f>
        <v>Portfolio</v>
      </c>
      <c r="Q180" s="350" t="str">
        <f t="shared" si="5"/>
        <v>OK</v>
      </c>
    </row>
    <row r="181" spans="1:17">
      <c r="A181" s="366" t="s">
        <v>2035</v>
      </c>
      <c r="B181" s="366" t="s">
        <v>1681</v>
      </c>
      <c r="C181" s="366" t="s">
        <v>1682</v>
      </c>
      <c r="D181" s="380">
        <f>'00_PORTFOLIO ROLLUP'!O$12</f>
        <v>2035</v>
      </c>
      <c r="E181" s="366" t="s">
        <v>1683</v>
      </c>
      <c r="F181" s="366" t="s">
        <v>25</v>
      </c>
      <c r="G181" s="366" t="s">
        <v>2036</v>
      </c>
      <c r="H181" s="381">
        <f>'00_PORTFOLIO ROLLUP'!O$52</f>
        <v>6958704.263262772</v>
      </c>
      <c r="I181" s="366" t="s">
        <v>1685</v>
      </c>
      <c r="J181" s="348" t="str">
        <f t="shared" si="4"/>
        <v>OK</v>
      </c>
      <c r="K181" s="366" t="s">
        <v>1710</v>
      </c>
      <c r="L181" s="366" t="s">
        <v>1711</v>
      </c>
      <c r="M181" s="350" t="str">
        <f>IF($B181="Portfolio","Portfolio",IFERROR(INDEX(DATA_ASSET_CLASSIFICATION!$B$8:$B$24,MATCH($C181,DATA_ASSET_CLASSIFICATION!$A$8:$A$24,0)),"Review"))</f>
        <v>Portfolio</v>
      </c>
      <c r="N181" s="350" t="str">
        <f>IF($B181="Portfolio","Portfolio",IFERROR(INDEX(DATA_ASSET_CLASSIFICATION!$U$8:$U$24,MATCH($C181,DATA_ASSET_CLASSIFICATION!$A$8:$A$24,0)),"Review"))</f>
        <v>Portfolio</v>
      </c>
      <c r="O181" s="350" t="str">
        <f>IF($B181="Portfolio","Portfolio",IFERROR(INDEX(DATA_ASSET_CLASSIFICATION!$AB$8:$AB$13,MATCH($N181,DATA_ASSET_CLASSIFICATION!$AA$8:$AA$13,0)),"Review"))</f>
        <v>Portfolio</v>
      </c>
      <c r="P181" s="350" t="str">
        <f>IF($B181="Portfolio","Portfolio",IFERROR(INDEX(DATA_ASSET_CLASSIFICATION!$C$8:$C$24,MATCH($C181,DATA_ASSET_CLASSIFICATION!$A$8:$A$24,0)),"Review"))</f>
        <v>Portfolio</v>
      </c>
      <c r="Q181" s="350" t="str">
        <f t="shared" si="5"/>
        <v>OK</v>
      </c>
    </row>
    <row r="182" spans="1:17">
      <c r="A182" s="366" t="s">
        <v>2037</v>
      </c>
      <c r="B182" s="366" t="s">
        <v>1681</v>
      </c>
      <c r="C182" s="366" t="s">
        <v>1682</v>
      </c>
      <c r="D182" s="380">
        <f>'00_PORTFOLIO ROLLUP'!O$12</f>
        <v>2035</v>
      </c>
      <c r="E182" s="366" t="s">
        <v>1683</v>
      </c>
      <c r="F182" s="366" t="s">
        <v>27</v>
      </c>
      <c r="G182" s="366" t="s">
        <v>2038</v>
      </c>
      <c r="H182" s="381">
        <f>'00_PORTFOLIO ROLLUP'!O$54</f>
        <v>4175222.5579576632</v>
      </c>
      <c r="I182" s="366" t="s">
        <v>1690</v>
      </c>
      <c r="J182" s="348" t="str">
        <f t="shared" si="4"/>
        <v>OK</v>
      </c>
      <c r="K182" s="366" t="s">
        <v>1714</v>
      </c>
      <c r="L182" s="366" t="s">
        <v>1715</v>
      </c>
      <c r="M182" s="350" t="str">
        <f>IF($B182="Portfolio","Portfolio",IFERROR(INDEX(DATA_ASSET_CLASSIFICATION!$B$8:$B$24,MATCH($C182,DATA_ASSET_CLASSIFICATION!$A$8:$A$24,0)),"Review"))</f>
        <v>Portfolio</v>
      </c>
      <c r="N182" s="350" t="str">
        <f>IF($B182="Portfolio","Portfolio",IFERROR(INDEX(DATA_ASSET_CLASSIFICATION!$U$8:$U$24,MATCH($C182,DATA_ASSET_CLASSIFICATION!$A$8:$A$24,0)),"Review"))</f>
        <v>Portfolio</v>
      </c>
      <c r="O182" s="350" t="str">
        <f>IF($B182="Portfolio","Portfolio",IFERROR(INDEX(DATA_ASSET_CLASSIFICATION!$AB$8:$AB$13,MATCH($N182,DATA_ASSET_CLASSIFICATION!$AA$8:$AA$13,0)),"Review"))</f>
        <v>Portfolio</v>
      </c>
      <c r="P182" s="350" t="str">
        <f>IF($B182="Portfolio","Portfolio",IFERROR(INDEX(DATA_ASSET_CLASSIFICATION!$C$8:$C$24,MATCH($C182,DATA_ASSET_CLASSIFICATION!$A$8:$A$24,0)),"Review"))</f>
        <v>Portfolio</v>
      </c>
      <c r="Q182" s="350" t="str">
        <f t="shared" si="5"/>
        <v>OK</v>
      </c>
    </row>
    <row r="183" spans="1:17">
      <c r="A183" s="366" t="s">
        <v>2039</v>
      </c>
      <c r="B183" s="366" t="s">
        <v>1681</v>
      </c>
      <c r="C183" s="366" t="s">
        <v>1682</v>
      </c>
      <c r="D183" s="380">
        <f>'00_PORTFOLIO ROLLUP'!O$12</f>
        <v>2035</v>
      </c>
      <c r="E183" s="366" t="s">
        <v>1683</v>
      </c>
      <c r="F183" s="366" t="s">
        <v>29</v>
      </c>
      <c r="G183" s="366" t="s">
        <v>2040</v>
      </c>
      <c r="H183" s="381">
        <f>'00_PORTFOLIO ROLLUP'!O$56</f>
        <v>2783481.7053051088</v>
      </c>
      <c r="I183" s="366" t="s">
        <v>1685</v>
      </c>
      <c r="J183" s="348" t="str">
        <f t="shared" si="4"/>
        <v>OK</v>
      </c>
      <c r="K183" s="366" t="s">
        <v>1718</v>
      </c>
      <c r="L183" s="366" t="s">
        <v>1719</v>
      </c>
      <c r="M183" s="350" t="str">
        <f>IF($B183="Portfolio","Portfolio",IFERROR(INDEX(DATA_ASSET_CLASSIFICATION!$B$8:$B$24,MATCH($C183,DATA_ASSET_CLASSIFICATION!$A$8:$A$24,0)),"Review"))</f>
        <v>Portfolio</v>
      </c>
      <c r="N183" s="350" t="str">
        <f>IF($B183="Portfolio","Portfolio",IFERROR(INDEX(DATA_ASSET_CLASSIFICATION!$U$8:$U$24,MATCH($C183,DATA_ASSET_CLASSIFICATION!$A$8:$A$24,0)),"Review"))</f>
        <v>Portfolio</v>
      </c>
      <c r="O183" s="350" t="str">
        <f>IF($B183="Portfolio","Portfolio",IFERROR(INDEX(DATA_ASSET_CLASSIFICATION!$AB$8:$AB$13,MATCH($N183,DATA_ASSET_CLASSIFICATION!$AA$8:$AA$13,0)),"Review"))</f>
        <v>Portfolio</v>
      </c>
      <c r="P183" s="350" t="str">
        <f>IF($B183="Portfolio","Portfolio",IFERROR(INDEX(DATA_ASSET_CLASSIFICATION!$C$8:$C$24,MATCH($C183,DATA_ASSET_CLASSIFICATION!$A$8:$A$24,0)),"Review"))</f>
        <v>Portfolio</v>
      </c>
      <c r="Q183" s="350" t="str">
        <f t="shared" si="5"/>
        <v>OK</v>
      </c>
    </row>
    <row r="184" spans="1:17">
      <c r="A184" s="366" t="s">
        <v>2041</v>
      </c>
      <c r="B184" s="366" t="s">
        <v>1681</v>
      </c>
      <c r="C184" s="366" t="s">
        <v>1682</v>
      </c>
      <c r="D184" s="380">
        <f>'00_PORTFOLIO ROLLUP'!O$12</f>
        <v>2035</v>
      </c>
      <c r="E184" s="366" t="s">
        <v>1721</v>
      </c>
      <c r="F184" s="366" t="s">
        <v>31</v>
      </c>
      <c r="G184" s="366" t="s">
        <v>2042</v>
      </c>
      <c r="H184" s="381">
        <f>'00_PORTFOLIO ROLLUP'!O$61</f>
        <v>0</v>
      </c>
      <c r="I184" s="366" t="s">
        <v>1690</v>
      </c>
      <c r="J184" s="348" t="str">
        <f t="shared" si="4"/>
        <v>OK</v>
      </c>
      <c r="K184" s="366" t="s">
        <v>1723</v>
      </c>
      <c r="L184" s="366" t="s">
        <v>1724</v>
      </c>
      <c r="M184" s="350" t="str">
        <f>IF($B184="Portfolio","Portfolio",IFERROR(INDEX(DATA_ASSET_CLASSIFICATION!$B$8:$B$24,MATCH($C184,DATA_ASSET_CLASSIFICATION!$A$8:$A$24,0)),"Review"))</f>
        <v>Portfolio</v>
      </c>
      <c r="N184" s="350" t="str">
        <f>IF($B184="Portfolio","Portfolio",IFERROR(INDEX(DATA_ASSET_CLASSIFICATION!$U$8:$U$24,MATCH($C184,DATA_ASSET_CLASSIFICATION!$A$8:$A$24,0)),"Review"))</f>
        <v>Portfolio</v>
      </c>
      <c r="O184" s="350" t="str">
        <f>IF($B184="Portfolio","Portfolio",IFERROR(INDEX(DATA_ASSET_CLASSIFICATION!$AB$8:$AB$13,MATCH($N184,DATA_ASSET_CLASSIFICATION!$AA$8:$AA$13,0)),"Review"))</f>
        <v>Portfolio</v>
      </c>
      <c r="P184" s="350" t="str">
        <f>IF($B184="Portfolio","Portfolio",IFERROR(INDEX(DATA_ASSET_CLASSIFICATION!$C$8:$C$24,MATCH($C184,DATA_ASSET_CLASSIFICATION!$A$8:$A$24,0)),"Review"))</f>
        <v>Portfolio</v>
      </c>
      <c r="Q184" s="350" t="str">
        <f t="shared" si="5"/>
        <v>OK</v>
      </c>
    </row>
    <row r="185" spans="1:17">
      <c r="A185" s="366" t="s">
        <v>2043</v>
      </c>
      <c r="B185" s="366" t="s">
        <v>1681</v>
      </c>
      <c r="C185" s="366" t="s">
        <v>1682</v>
      </c>
      <c r="D185" s="380">
        <f>'00_PORTFOLIO ROLLUP'!O$12</f>
        <v>2035</v>
      </c>
      <c r="E185" s="366" t="s">
        <v>1721</v>
      </c>
      <c r="F185" s="366" t="s">
        <v>33</v>
      </c>
      <c r="G185" s="366" t="s">
        <v>2044</v>
      </c>
      <c r="H185" s="381">
        <f>'00_PORTFOLIO ROLLUP'!O$62</f>
        <v>0</v>
      </c>
      <c r="I185" s="366" t="s">
        <v>1685</v>
      </c>
      <c r="J185" s="348" t="str">
        <f t="shared" si="4"/>
        <v>OK</v>
      </c>
      <c r="K185" s="366" t="s">
        <v>1727</v>
      </c>
      <c r="L185" s="366" t="s">
        <v>1728</v>
      </c>
      <c r="M185" s="350" t="str">
        <f>IF($B185="Portfolio","Portfolio",IFERROR(INDEX(DATA_ASSET_CLASSIFICATION!$B$8:$B$24,MATCH($C185,DATA_ASSET_CLASSIFICATION!$A$8:$A$24,0)),"Review"))</f>
        <v>Portfolio</v>
      </c>
      <c r="N185" s="350" t="str">
        <f>IF($B185="Portfolio","Portfolio",IFERROR(INDEX(DATA_ASSET_CLASSIFICATION!$U$8:$U$24,MATCH($C185,DATA_ASSET_CLASSIFICATION!$A$8:$A$24,0)),"Review"))</f>
        <v>Portfolio</v>
      </c>
      <c r="O185" s="350" t="str">
        <f>IF($B185="Portfolio","Portfolio",IFERROR(INDEX(DATA_ASSET_CLASSIFICATION!$AB$8:$AB$13,MATCH($N185,DATA_ASSET_CLASSIFICATION!$AA$8:$AA$13,0)),"Review"))</f>
        <v>Portfolio</v>
      </c>
      <c r="P185" s="350" t="str">
        <f>IF($B185="Portfolio","Portfolio",IFERROR(INDEX(DATA_ASSET_CLASSIFICATION!$C$8:$C$24,MATCH($C185,DATA_ASSET_CLASSIFICATION!$A$8:$A$24,0)),"Review"))</f>
        <v>Portfolio</v>
      </c>
      <c r="Q185" s="350" t="str">
        <f t="shared" si="5"/>
        <v>OK</v>
      </c>
    </row>
    <row r="186" spans="1:17">
      <c r="A186" s="366" t="s">
        <v>2045</v>
      </c>
      <c r="B186" s="366" t="s">
        <v>1681</v>
      </c>
      <c r="C186" s="366" t="s">
        <v>1682</v>
      </c>
      <c r="D186" s="380">
        <f>'00_PORTFOLIO ROLLUP'!O$12</f>
        <v>2035</v>
      </c>
      <c r="E186" s="366" t="s">
        <v>1721</v>
      </c>
      <c r="F186" s="366" t="s">
        <v>35</v>
      </c>
      <c r="G186" s="366" t="s">
        <v>2046</v>
      </c>
      <c r="H186" s="381">
        <f>'00_PORTFOLIO ROLLUP'!O$63</f>
        <v>0</v>
      </c>
      <c r="I186" s="366" t="s">
        <v>1731</v>
      </c>
      <c r="J186" s="348" t="str">
        <f t="shared" si="4"/>
        <v>OK</v>
      </c>
      <c r="K186" s="366" t="s">
        <v>1732</v>
      </c>
      <c r="L186" s="366" t="s">
        <v>1733</v>
      </c>
      <c r="M186" s="350" t="str">
        <f>IF($B186="Portfolio","Portfolio",IFERROR(INDEX(DATA_ASSET_CLASSIFICATION!$B$8:$B$24,MATCH($C186,DATA_ASSET_CLASSIFICATION!$A$8:$A$24,0)),"Review"))</f>
        <v>Portfolio</v>
      </c>
      <c r="N186" s="350" t="str">
        <f>IF($B186="Portfolio","Portfolio",IFERROR(INDEX(DATA_ASSET_CLASSIFICATION!$U$8:$U$24,MATCH($C186,DATA_ASSET_CLASSIFICATION!$A$8:$A$24,0)),"Review"))</f>
        <v>Portfolio</v>
      </c>
      <c r="O186" s="350" t="str">
        <f>IF($B186="Portfolio","Portfolio",IFERROR(INDEX(DATA_ASSET_CLASSIFICATION!$AB$8:$AB$13,MATCH($N186,DATA_ASSET_CLASSIFICATION!$AA$8:$AA$13,0)),"Review"))</f>
        <v>Portfolio</v>
      </c>
      <c r="P186" s="350" t="str">
        <f>IF($B186="Portfolio","Portfolio",IFERROR(INDEX(DATA_ASSET_CLASSIFICATION!$C$8:$C$24,MATCH($C186,DATA_ASSET_CLASSIFICATION!$A$8:$A$24,0)),"Review"))</f>
        <v>Portfolio</v>
      </c>
      <c r="Q186" s="350" t="str">
        <f t="shared" si="5"/>
        <v>OK</v>
      </c>
    </row>
    <row r="187" spans="1:17">
      <c r="A187" s="366" t="s">
        <v>2047</v>
      </c>
      <c r="B187" s="366" t="s">
        <v>1681</v>
      </c>
      <c r="C187" s="366" t="s">
        <v>1682</v>
      </c>
      <c r="D187" s="380">
        <f>'00_PORTFOLIO ROLLUP'!O$12</f>
        <v>2035</v>
      </c>
      <c r="E187" s="366" t="s">
        <v>1721</v>
      </c>
      <c r="F187" s="366" t="s">
        <v>37</v>
      </c>
      <c r="G187" s="366" t="s">
        <v>2046</v>
      </c>
      <c r="H187" s="381">
        <f>MAX('00_PORTFOLIO ROLLUP'!O$63,0)</f>
        <v>0</v>
      </c>
      <c r="I187" s="366" t="s">
        <v>1685</v>
      </c>
      <c r="J187" s="348" t="str">
        <f t="shared" si="4"/>
        <v>OK</v>
      </c>
      <c r="K187" s="366" t="s">
        <v>1735</v>
      </c>
      <c r="L187" s="366" t="s">
        <v>1736</v>
      </c>
      <c r="M187" s="350" t="str">
        <f>IF($B187="Portfolio","Portfolio",IFERROR(INDEX(DATA_ASSET_CLASSIFICATION!$B$8:$B$24,MATCH($C187,DATA_ASSET_CLASSIFICATION!$A$8:$A$24,0)),"Review"))</f>
        <v>Portfolio</v>
      </c>
      <c r="N187" s="350" t="str">
        <f>IF($B187="Portfolio","Portfolio",IFERROR(INDEX(DATA_ASSET_CLASSIFICATION!$U$8:$U$24,MATCH($C187,DATA_ASSET_CLASSIFICATION!$A$8:$A$24,0)),"Review"))</f>
        <v>Portfolio</v>
      </c>
      <c r="O187" s="350" t="str">
        <f>IF($B187="Portfolio","Portfolio",IFERROR(INDEX(DATA_ASSET_CLASSIFICATION!$AB$8:$AB$13,MATCH($N187,DATA_ASSET_CLASSIFICATION!$AA$8:$AA$13,0)),"Review"))</f>
        <v>Portfolio</v>
      </c>
      <c r="P187" s="350" t="str">
        <f>IF($B187="Portfolio","Portfolio",IFERROR(INDEX(DATA_ASSET_CLASSIFICATION!$C$8:$C$24,MATCH($C187,DATA_ASSET_CLASSIFICATION!$A$8:$A$24,0)),"Review"))</f>
        <v>Portfolio</v>
      </c>
      <c r="Q187" s="350" t="str">
        <f t="shared" si="5"/>
        <v>OK</v>
      </c>
    </row>
    <row r="188" spans="1:17">
      <c r="A188" s="366" t="s">
        <v>2048</v>
      </c>
      <c r="B188" s="366" t="s">
        <v>1681</v>
      </c>
      <c r="C188" s="366" t="s">
        <v>1682</v>
      </c>
      <c r="D188" s="380">
        <f>'00_PORTFOLIO ROLLUP'!O$12</f>
        <v>2035</v>
      </c>
      <c r="E188" s="366" t="s">
        <v>1721</v>
      </c>
      <c r="F188" s="366" t="s">
        <v>39</v>
      </c>
      <c r="G188" s="366" t="s">
        <v>2046</v>
      </c>
      <c r="H188" s="381">
        <f>MAX(-'00_PORTFOLIO ROLLUP'!O$63,0)</f>
        <v>0</v>
      </c>
      <c r="I188" s="366" t="s">
        <v>1690</v>
      </c>
      <c r="J188" s="348" t="str">
        <f t="shared" si="4"/>
        <v>OK</v>
      </c>
      <c r="K188" s="366" t="s">
        <v>1738</v>
      </c>
      <c r="L188" s="366" t="s">
        <v>1739</v>
      </c>
      <c r="M188" s="350" t="str">
        <f>IF($B188="Portfolio","Portfolio",IFERROR(INDEX(DATA_ASSET_CLASSIFICATION!$B$8:$B$24,MATCH($C188,DATA_ASSET_CLASSIFICATION!$A$8:$A$24,0)),"Review"))</f>
        <v>Portfolio</v>
      </c>
      <c r="N188" s="350" t="str">
        <f>IF($B188="Portfolio","Portfolio",IFERROR(INDEX(DATA_ASSET_CLASSIFICATION!$U$8:$U$24,MATCH($C188,DATA_ASSET_CLASSIFICATION!$A$8:$A$24,0)),"Review"))</f>
        <v>Portfolio</v>
      </c>
      <c r="O188" s="350" t="str">
        <f>IF($B188="Portfolio","Portfolio",IFERROR(INDEX(DATA_ASSET_CLASSIFICATION!$AB$8:$AB$13,MATCH($N188,DATA_ASSET_CLASSIFICATION!$AA$8:$AA$13,0)),"Review"))</f>
        <v>Portfolio</v>
      </c>
      <c r="P188" s="350" t="str">
        <f>IF($B188="Portfolio","Portfolio",IFERROR(INDEX(DATA_ASSET_CLASSIFICATION!$C$8:$C$24,MATCH($C188,DATA_ASSET_CLASSIFICATION!$A$8:$A$24,0)),"Review"))</f>
        <v>Portfolio</v>
      </c>
      <c r="Q188" s="350" t="str">
        <f t="shared" si="5"/>
        <v>OK</v>
      </c>
    </row>
    <row r="189" spans="1:17">
      <c r="A189" s="366" t="s">
        <v>2049</v>
      </c>
      <c r="B189" s="366" t="s">
        <v>1681</v>
      </c>
      <c r="C189" s="366" t="s">
        <v>1682</v>
      </c>
      <c r="D189" s="380">
        <f>'00_PORTFOLIO ROLLUP'!O$12</f>
        <v>2035</v>
      </c>
      <c r="E189" s="366" t="s">
        <v>1741</v>
      </c>
      <c r="F189" s="366" t="s">
        <v>41</v>
      </c>
      <c r="H189" s="381">
        <f>'00_PORTFOLIO ROLLUP'!O$56+MAX('00_PORTFOLIO ROLLUP'!O$63,0)</f>
        <v>2783481.7053051088</v>
      </c>
      <c r="I189" s="366" t="s">
        <v>1685</v>
      </c>
      <c r="J189" s="348" t="str">
        <f t="shared" si="4"/>
        <v>OK</v>
      </c>
      <c r="K189" s="366" t="s">
        <v>1742</v>
      </c>
      <c r="L189" s="366" t="s">
        <v>1743</v>
      </c>
      <c r="M189" s="350" t="str">
        <f>IF($B189="Portfolio","Portfolio",IFERROR(INDEX(DATA_ASSET_CLASSIFICATION!$B$8:$B$24,MATCH($C189,DATA_ASSET_CLASSIFICATION!$A$8:$A$24,0)),"Review"))</f>
        <v>Portfolio</v>
      </c>
      <c r="N189" s="350" t="str">
        <f>IF($B189="Portfolio","Portfolio",IFERROR(INDEX(DATA_ASSET_CLASSIFICATION!$U$8:$U$24,MATCH($C189,DATA_ASSET_CLASSIFICATION!$A$8:$A$24,0)),"Review"))</f>
        <v>Portfolio</v>
      </c>
      <c r="O189" s="350" t="str">
        <f>IF($B189="Portfolio","Portfolio",IFERROR(INDEX(DATA_ASSET_CLASSIFICATION!$AB$8:$AB$13,MATCH($N189,DATA_ASSET_CLASSIFICATION!$AA$8:$AA$13,0)),"Review"))</f>
        <v>Portfolio</v>
      </c>
      <c r="P189" s="350" t="str">
        <f>IF($B189="Portfolio","Portfolio",IFERROR(INDEX(DATA_ASSET_CLASSIFICATION!$C$8:$C$24,MATCH($C189,DATA_ASSET_CLASSIFICATION!$A$8:$A$24,0)),"Review"))</f>
        <v>Portfolio</v>
      </c>
      <c r="Q189" s="350" t="str">
        <f t="shared" si="5"/>
        <v>OK</v>
      </c>
    </row>
    <row r="190" spans="1:17">
      <c r="A190" s="366" t="s">
        <v>2050</v>
      </c>
      <c r="B190" s="366" t="s">
        <v>1681</v>
      </c>
      <c r="C190" s="366" t="s">
        <v>1682</v>
      </c>
      <c r="D190" s="380">
        <f>'00_PORTFOLIO ROLLUP'!O$12</f>
        <v>2035</v>
      </c>
      <c r="E190" s="366" t="s">
        <v>1741</v>
      </c>
      <c r="F190" s="366" t="s">
        <v>43</v>
      </c>
      <c r="G190" s="366" t="s">
        <v>2051</v>
      </c>
      <c r="H190" s="381">
        <f>'00_PORTFOLIO ROLLUP'!O$68</f>
        <v>2783481.7053051088</v>
      </c>
      <c r="I190" s="366" t="s">
        <v>1731</v>
      </c>
      <c r="J190" s="348" t="str">
        <f t="shared" si="4"/>
        <v>OK</v>
      </c>
      <c r="K190" s="366" t="s">
        <v>1746</v>
      </c>
      <c r="L190" s="366" t="s">
        <v>1747</v>
      </c>
      <c r="M190" s="350" t="str">
        <f>IF($B190="Portfolio","Portfolio",IFERROR(INDEX(DATA_ASSET_CLASSIFICATION!$B$8:$B$24,MATCH($C190,DATA_ASSET_CLASSIFICATION!$A$8:$A$24,0)),"Review"))</f>
        <v>Portfolio</v>
      </c>
      <c r="N190" s="350" t="str">
        <f>IF($B190="Portfolio","Portfolio",IFERROR(INDEX(DATA_ASSET_CLASSIFICATION!$U$8:$U$24,MATCH($C190,DATA_ASSET_CLASSIFICATION!$A$8:$A$24,0)),"Review"))</f>
        <v>Portfolio</v>
      </c>
      <c r="O190" s="350" t="str">
        <f>IF($B190="Portfolio","Portfolio",IFERROR(INDEX(DATA_ASSET_CLASSIFICATION!$AB$8:$AB$13,MATCH($N190,DATA_ASSET_CLASSIFICATION!$AA$8:$AA$13,0)),"Review"))</f>
        <v>Portfolio</v>
      </c>
      <c r="P190" s="350" t="str">
        <f>IF($B190="Portfolio","Portfolio",IFERROR(INDEX(DATA_ASSET_CLASSIFICATION!$C$8:$C$24,MATCH($C190,DATA_ASSET_CLASSIFICATION!$A$8:$A$24,0)),"Review"))</f>
        <v>Portfolio</v>
      </c>
      <c r="Q190" s="350" t="str">
        <f t="shared" si="5"/>
        <v>OK</v>
      </c>
    </row>
    <row r="191" spans="1:17">
      <c r="A191" s="366" t="s">
        <v>2052</v>
      </c>
      <c r="B191" s="366" t="s">
        <v>1681</v>
      </c>
      <c r="C191" s="366" t="s">
        <v>1682</v>
      </c>
      <c r="D191" s="380">
        <f>'00_PORTFOLIO ROLLUP'!O$12</f>
        <v>2035</v>
      </c>
      <c r="E191" s="366" t="s">
        <v>1741</v>
      </c>
      <c r="F191" s="366" t="s">
        <v>1749</v>
      </c>
      <c r="H191" s="381">
        <f>('00_PORTFOLIO ROLLUP'!O$56+MAX('00_PORTFOLIO ROLLUP'!O$63,0))-'00_PORTFOLIO ROLLUP'!O$68</f>
        <v>0</v>
      </c>
      <c r="I191" s="366" t="s">
        <v>1750</v>
      </c>
      <c r="J191" s="348" t="str">
        <f t="shared" si="4"/>
        <v>OK</v>
      </c>
      <c r="K191" s="366" t="s">
        <v>1751</v>
      </c>
      <c r="L191" s="366" t="s">
        <v>1752</v>
      </c>
      <c r="M191" s="350" t="str">
        <f>IF($B191="Portfolio","Portfolio",IFERROR(INDEX(DATA_ASSET_CLASSIFICATION!$B$8:$B$24,MATCH($C191,DATA_ASSET_CLASSIFICATION!$A$8:$A$24,0)),"Review"))</f>
        <v>Portfolio</v>
      </c>
      <c r="N191" s="350" t="str">
        <f>IF($B191="Portfolio","Portfolio",IFERROR(INDEX(DATA_ASSET_CLASSIFICATION!$U$8:$U$24,MATCH($C191,DATA_ASSET_CLASSIFICATION!$A$8:$A$24,0)),"Review"))</f>
        <v>Portfolio</v>
      </c>
      <c r="O191" s="350" t="str">
        <f>IF($B191="Portfolio","Portfolio",IFERROR(INDEX(DATA_ASSET_CLASSIFICATION!$AB$8:$AB$13,MATCH($N191,DATA_ASSET_CLASSIFICATION!$AA$8:$AA$13,0)),"Review"))</f>
        <v>Portfolio</v>
      </c>
      <c r="P191" s="350" t="str">
        <f>IF($B191="Portfolio","Portfolio",IFERROR(INDEX(DATA_ASSET_CLASSIFICATION!$C$8:$C$24,MATCH($C191,DATA_ASSET_CLASSIFICATION!$A$8:$A$24,0)),"Review"))</f>
        <v>Portfolio</v>
      </c>
      <c r="Q191" s="350" t="str">
        <f t="shared" si="5"/>
        <v>OK</v>
      </c>
    </row>
    <row r="192" spans="1:17">
      <c r="A192" s="366" t="s">
        <v>2053</v>
      </c>
      <c r="B192" s="366" t="s">
        <v>1681</v>
      </c>
      <c r="C192" s="366" t="s">
        <v>1682</v>
      </c>
      <c r="D192" s="380">
        <f>'00_PORTFOLIO ROLLUP'!P$12</f>
        <v>2036</v>
      </c>
      <c r="E192" s="366" t="s">
        <v>1683</v>
      </c>
      <c r="F192" s="366" t="s">
        <v>341</v>
      </c>
      <c r="G192" s="366" t="s">
        <v>2054</v>
      </c>
      <c r="H192" s="381">
        <f>'00_PORTFOLIO ROLLUP'!P$24</f>
        <v>21841593.117500458</v>
      </c>
      <c r="I192" s="366" t="s">
        <v>1685</v>
      </c>
      <c r="J192" s="348" t="str">
        <f t="shared" si="4"/>
        <v>OK</v>
      </c>
      <c r="K192" s="366" t="s">
        <v>1686</v>
      </c>
      <c r="L192" s="366" t="s">
        <v>1687</v>
      </c>
      <c r="M192" s="350" t="str">
        <f>IF($B192="Portfolio","Portfolio",IFERROR(INDEX(DATA_ASSET_CLASSIFICATION!$B$8:$B$24,MATCH($C192,DATA_ASSET_CLASSIFICATION!$A$8:$A$24,0)),"Review"))</f>
        <v>Portfolio</v>
      </c>
      <c r="N192" s="350" t="str">
        <f>IF($B192="Portfolio","Portfolio",IFERROR(INDEX(DATA_ASSET_CLASSIFICATION!$U$8:$U$24,MATCH($C192,DATA_ASSET_CLASSIFICATION!$A$8:$A$24,0)),"Review"))</f>
        <v>Portfolio</v>
      </c>
      <c r="O192" s="350" t="str">
        <f>IF($B192="Portfolio","Portfolio",IFERROR(INDEX(DATA_ASSET_CLASSIFICATION!$AB$8:$AB$13,MATCH($N192,DATA_ASSET_CLASSIFICATION!$AA$8:$AA$13,0)),"Review"))</f>
        <v>Portfolio</v>
      </c>
      <c r="P192" s="350" t="str">
        <f>IF($B192="Portfolio","Portfolio",IFERROR(INDEX(DATA_ASSET_CLASSIFICATION!$C$8:$C$24,MATCH($C192,DATA_ASSET_CLASSIFICATION!$A$8:$A$24,0)),"Review"))</f>
        <v>Portfolio</v>
      </c>
      <c r="Q192" s="350" t="str">
        <f t="shared" si="5"/>
        <v>OK</v>
      </c>
    </row>
    <row r="193" spans="1:17">
      <c r="A193" s="366" t="s">
        <v>2055</v>
      </c>
      <c r="B193" s="366" t="s">
        <v>1681</v>
      </c>
      <c r="C193" s="366" t="s">
        <v>1682</v>
      </c>
      <c r="D193" s="380">
        <f>'00_PORTFOLIO ROLLUP'!P$12</f>
        <v>2036</v>
      </c>
      <c r="E193" s="366" t="s">
        <v>1683</v>
      </c>
      <c r="F193" s="366" t="s">
        <v>355</v>
      </c>
      <c r="G193" s="366" t="s">
        <v>2056</v>
      </c>
      <c r="H193" s="381">
        <f>'00_PORTFOLIO ROLLUP'!P$39</f>
        <v>8003055.9977660077</v>
      </c>
      <c r="I193" s="366" t="s">
        <v>1690</v>
      </c>
      <c r="J193" s="348" t="str">
        <f t="shared" si="4"/>
        <v>OK</v>
      </c>
      <c r="K193" s="366" t="s">
        <v>1686</v>
      </c>
      <c r="L193" s="366" t="s">
        <v>1691</v>
      </c>
      <c r="M193" s="350" t="str">
        <f>IF($B193="Portfolio","Portfolio",IFERROR(INDEX(DATA_ASSET_CLASSIFICATION!$B$8:$B$24,MATCH($C193,DATA_ASSET_CLASSIFICATION!$A$8:$A$24,0)),"Review"))</f>
        <v>Portfolio</v>
      </c>
      <c r="N193" s="350" t="str">
        <f>IF($B193="Portfolio","Portfolio",IFERROR(INDEX(DATA_ASSET_CLASSIFICATION!$U$8:$U$24,MATCH($C193,DATA_ASSET_CLASSIFICATION!$A$8:$A$24,0)),"Review"))</f>
        <v>Portfolio</v>
      </c>
      <c r="O193" s="350" t="str">
        <f>IF($B193="Portfolio","Portfolio",IFERROR(INDEX(DATA_ASSET_CLASSIFICATION!$AB$8:$AB$13,MATCH($N193,DATA_ASSET_CLASSIFICATION!$AA$8:$AA$13,0)),"Review"))</f>
        <v>Portfolio</v>
      </c>
      <c r="P193" s="350" t="str">
        <f>IF($B193="Portfolio","Portfolio",IFERROR(INDEX(DATA_ASSET_CLASSIFICATION!$C$8:$C$24,MATCH($C193,DATA_ASSET_CLASSIFICATION!$A$8:$A$24,0)),"Review"))</f>
        <v>Portfolio</v>
      </c>
      <c r="Q193" s="350" t="str">
        <f t="shared" si="5"/>
        <v>OK</v>
      </c>
    </row>
    <row r="194" spans="1:17">
      <c r="A194" s="366" t="s">
        <v>2057</v>
      </c>
      <c r="B194" s="366" t="s">
        <v>1681</v>
      </c>
      <c r="C194" s="366" t="s">
        <v>1682</v>
      </c>
      <c r="D194" s="380">
        <f>'00_PORTFOLIO ROLLUP'!P$12</f>
        <v>2036</v>
      </c>
      <c r="E194" s="366" t="s">
        <v>1683</v>
      </c>
      <c r="F194" s="366" t="s">
        <v>19</v>
      </c>
      <c r="G194" s="366" t="s">
        <v>2058</v>
      </c>
      <c r="H194" s="381">
        <f>'00_PORTFOLIO ROLLUP'!P$41</f>
        <v>13838537.119734451</v>
      </c>
      <c r="I194" s="366" t="s">
        <v>1685</v>
      </c>
      <c r="J194" s="348" t="str">
        <f t="shared" si="4"/>
        <v>OK</v>
      </c>
      <c r="K194" s="366" t="s">
        <v>1694</v>
      </c>
      <c r="L194" s="366" t="s">
        <v>1695</v>
      </c>
      <c r="M194" s="350" t="str">
        <f>IF($B194="Portfolio","Portfolio",IFERROR(INDEX(DATA_ASSET_CLASSIFICATION!$B$8:$B$24,MATCH($C194,DATA_ASSET_CLASSIFICATION!$A$8:$A$24,0)),"Review"))</f>
        <v>Portfolio</v>
      </c>
      <c r="N194" s="350" t="str">
        <f>IF($B194="Portfolio","Portfolio",IFERROR(INDEX(DATA_ASSET_CLASSIFICATION!$U$8:$U$24,MATCH($C194,DATA_ASSET_CLASSIFICATION!$A$8:$A$24,0)),"Review"))</f>
        <v>Portfolio</v>
      </c>
      <c r="O194" s="350" t="str">
        <f>IF($B194="Portfolio","Portfolio",IFERROR(INDEX(DATA_ASSET_CLASSIFICATION!$AB$8:$AB$13,MATCH($N194,DATA_ASSET_CLASSIFICATION!$AA$8:$AA$13,0)),"Review"))</f>
        <v>Portfolio</v>
      </c>
      <c r="P194" s="350" t="str">
        <f>IF($B194="Portfolio","Portfolio",IFERROR(INDEX(DATA_ASSET_CLASSIFICATION!$C$8:$C$24,MATCH($C194,DATA_ASSET_CLASSIFICATION!$A$8:$A$24,0)),"Review"))</f>
        <v>Portfolio</v>
      </c>
      <c r="Q194" s="350" t="str">
        <f t="shared" si="5"/>
        <v>OK</v>
      </c>
    </row>
    <row r="195" spans="1:17">
      <c r="A195" s="366" t="s">
        <v>2059</v>
      </c>
      <c r="B195" s="366" t="s">
        <v>1681</v>
      </c>
      <c r="C195" s="366" t="s">
        <v>1682</v>
      </c>
      <c r="D195" s="380">
        <f>'00_PORTFOLIO ROLLUP'!P$12</f>
        <v>2036</v>
      </c>
      <c r="E195" s="366" t="s">
        <v>1683</v>
      </c>
      <c r="F195" s="366" t="s">
        <v>1697</v>
      </c>
      <c r="G195" s="366" t="s">
        <v>2060</v>
      </c>
      <c r="H195" s="381">
        <f>'00_PORTFOLIO ROLLUP'!P$44</f>
        <v>200680.61337489681</v>
      </c>
      <c r="I195" s="366" t="s">
        <v>1690</v>
      </c>
      <c r="J195" s="348" t="str">
        <f t="shared" si="4"/>
        <v>OK</v>
      </c>
      <c r="K195" s="366" t="s">
        <v>1699</v>
      </c>
      <c r="L195" s="366" t="s">
        <v>1700</v>
      </c>
      <c r="M195" s="350" t="str">
        <f>IF($B195="Portfolio","Portfolio",IFERROR(INDEX(DATA_ASSET_CLASSIFICATION!$B$8:$B$24,MATCH($C195,DATA_ASSET_CLASSIFICATION!$A$8:$A$24,0)),"Review"))</f>
        <v>Portfolio</v>
      </c>
      <c r="N195" s="350" t="str">
        <f>IF($B195="Portfolio","Portfolio",IFERROR(INDEX(DATA_ASSET_CLASSIFICATION!$U$8:$U$24,MATCH($C195,DATA_ASSET_CLASSIFICATION!$A$8:$A$24,0)),"Review"))</f>
        <v>Portfolio</v>
      </c>
      <c r="O195" s="350" t="str">
        <f>IF($B195="Portfolio","Portfolio",IFERROR(INDEX(DATA_ASSET_CLASSIFICATION!$AB$8:$AB$13,MATCH($N195,DATA_ASSET_CLASSIFICATION!$AA$8:$AA$13,0)),"Review"))</f>
        <v>Portfolio</v>
      </c>
      <c r="P195" s="350" t="str">
        <f>IF($B195="Portfolio","Portfolio",IFERROR(INDEX(DATA_ASSET_CLASSIFICATION!$C$8:$C$24,MATCH($C195,DATA_ASSET_CLASSIFICATION!$A$8:$A$24,0)),"Review"))</f>
        <v>Portfolio</v>
      </c>
      <c r="Q195" s="350" t="str">
        <f t="shared" si="5"/>
        <v>OK</v>
      </c>
    </row>
    <row r="196" spans="1:17">
      <c r="A196" s="366" t="s">
        <v>2061</v>
      </c>
      <c r="B196" s="366" t="s">
        <v>1681</v>
      </c>
      <c r="C196" s="366" t="s">
        <v>1682</v>
      </c>
      <c r="D196" s="380">
        <f>'00_PORTFOLIO ROLLUP'!P$12</f>
        <v>2036</v>
      </c>
      <c r="E196" s="366" t="s">
        <v>1683</v>
      </c>
      <c r="F196" s="366" t="s">
        <v>21</v>
      </c>
      <c r="G196" s="366" t="s">
        <v>2062</v>
      </c>
      <c r="H196" s="381">
        <f>'00_PORTFOLIO ROLLUP'!P$45</f>
        <v>13637856.506359555</v>
      </c>
      <c r="I196" s="366" t="s">
        <v>1685</v>
      </c>
      <c r="J196" s="348" t="str">
        <f t="shared" si="4"/>
        <v>OK</v>
      </c>
      <c r="K196" s="366" t="s">
        <v>1694</v>
      </c>
      <c r="L196" s="366" t="s">
        <v>1703</v>
      </c>
      <c r="M196" s="350" t="str">
        <f>IF($B196="Portfolio","Portfolio",IFERROR(INDEX(DATA_ASSET_CLASSIFICATION!$B$8:$B$24,MATCH($C196,DATA_ASSET_CLASSIFICATION!$A$8:$A$24,0)),"Review"))</f>
        <v>Portfolio</v>
      </c>
      <c r="N196" s="350" t="str">
        <f>IF($B196="Portfolio","Portfolio",IFERROR(INDEX(DATA_ASSET_CLASSIFICATION!$U$8:$U$24,MATCH($C196,DATA_ASSET_CLASSIFICATION!$A$8:$A$24,0)),"Review"))</f>
        <v>Portfolio</v>
      </c>
      <c r="O196" s="350" t="str">
        <f>IF($B196="Portfolio","Portfolio",IFERROR(INDEX(DATA_ASSET_CLASSIFICATION!$AB$8:$AB$13,MATCH($N196,DATA_ASSET_CLASSIFICATION!$AA$8:$AA$13,0)),"Review"))</f>
        <v>Portfolio</v>
      </c>
      <c r="P196" s="350" t="str">
        <f>IF($B196="Portfolio","Portfolio",IFERROR(INDEX(DATA_ASSET_CLASSIFICATION!$C$8:$C$24,MATCH($C196,DATA_ASSET_CLASSIFICATION!$A$8:$A$24,0)),"Review"))</f>
        <v>Portfolio</v>
      </c>
      <c r="Q196" s="350" t="str">
        <f t="shared" si="5"/>
        <v>OK</v>
      </c>
    </row>
    <row r="197" spans="1:17">
      <c r="A197" s="366" t="s">
        <v>2063</v>
      </c>
      <c r="B197" s="366" t="s">
        <v>1681</v>
      </c>
      <c r="C197" s="366" t="s">
        <v>1682</v>
      </c>
      <c r="D197" s="380">
        <f>'00_PORTFOLIO ROLLUP'!P$12</f>
        <v>2036</v>
      </c>
      <c r="E197" s="366" t="s">
        <v>23</v>
      </c>
      <c r="F197" s="366" t="s">
        <v>23</v>
      </c>
      <c r="G197" s="366" t="s">
        <v>2064</v>
      </c>
      <c r="H197" s="381">
        <f>'00_PORTFOLIO ROLLUP'!P$48</f>
        <v>6811656.6125063812</v>
      </c>
      <c r="I197" s="366" t="s">
        <v>1690</v>
      </c>
      <c r="J197" s="348" t="str">
        <f t="shared" ref="J197:J260" si="6">IF($F197="Residual Funding Gap",IF($H197&gt;0,"Funding Gap","OK"),IF(AND($F197="Net Refinance Position",$H197&lt;0),"Negative net refi position","OK"))</f>
        <v>OK</v>
      </c>
      <c r="K197" s="366" t="s">
        <v>1706</v>
      </c>
      <c r="L197" s="366" t="s">
        <v>1707</v>
      </c>
      <c r="M197" s="350" t="str">
        <f>IF($B197="Portfolio","Portfolio",IFERROR(INDEX(DATA_ASSET_CLASSIFICATION!$B$8:$B$24,MATCH($C197,DATA_ASSET_CLASSIFICATION!$A$8:$A$24,0)),"Review"))</f>
        <v>Portfolio</v>
      </c>
      <c r="N197" s="350" t="str">
        <f>IF($B197="Portfolio","Portfolio",IFERROR(INDEX(DATA_ASSET_CLASSIFICATION!$U$8:$U$24,MATCH($C197,DATA_ASSET_CLASSIFICATION!$A$8:$A$24,0)),"Review"))</f>
        <v>Portfolio</v>
      </c>
      <c r="O197" s="350" t="str">
        <f>IF($B197="Portfolio","Portfolio",IFERROR(INDEX(DATA_ASSET_CLASSIFICATION!$AB$8:$AB$13,MATCH($N197,DATA_ASSET_CLASSIFICATION!$AA$8:$AA$13,0)),"Review"))</f>
        <v>Portfolio</v>
      </c>
      <c r="P197" s="350" t="str">
        <f>IF($B197="Portfolio","Portfolio",IFERROR(INDEX(DATA_ASSET_CLASSIFICATION!$C$8:$C$24,MATCH($C197,DATA_ASSET_CLASSIFICATION!$A$8:$A$24,0)),"Review"))</f>
        <v>Portfolio</v>
      </c>
      <c r="Q197" s="350" t="str">
        <f t="shared" ref="Q197:Q260" si="7">IF(AND($B197="Property",$F197="Residual Funding Gap",$H197&gt;0),"Property Funding Gap",IF($J197&lt;&gt;"OK",$J197,"OK"))</f>
        <v>OK</v>
      </c>
    </row>
    <row r="198" spans="1:17">
      <c r="A198" s="366" t="s">
        <v>2065</v>
      </c>
      <c r="B198" s="366" t="s">
        <v>1681</v>
      </c>
      <c r="C198" s="366" t="s">
        <v>1682</v>
      </c>
      <c r="D198" s="380">
        <f>'00_PORTFOLIO ROLLUP'!P$12</f>
        <v>2036</v>
      </c>
      <c r="E198" s="366" t="s">
        <v>1683</v>
      </c>
      <c r="F198" s="366" t="s">
        <v>25</v>
      </c>
      <c r="G198" s="366" t="s">
        <v>2066</v>
      </c>
      <c r="H198" s="381">
        <f>'00_PORTFOLIO ROLLUP'!P$52</f>
        <v>7026880.5072280699</v>
      </c>
      <c r="I198" s="366" t="s">
        <v>1685</v>
      </c>
      <c r="J198" s="348" t="str">
        <f t="shared" si="6"/>
        <v>OK</v>
      </c>
      <c r="K198" s="366" t="s">
        <v>1710</v>
      </c>
      <c r="L198" s="366" t="s">
        <v>1711</v>
      </c>
      <c r="M198" s="350" t="str">
        <f>IF($B198="Portfolio","Portfolio",IFERROR(INDEX(DATA_ASSET_CLASSIFICATION!$B$8:$B$24,MATCH($C198,DATA_ASSET_CLASSIFICATION!$A$8:$A$24,0)),"Review"))</f>
        <v>Portfolio</v>
      </c>
      <c r="N198" s="350" t="str">
        <f>IF($B198="Portfolio","Portfolio",IFERROR(INDEX(DATA_ASSET_CLASSIFICATION!$U$8:$U$24,MATCH($C198,DATA_ASSET_CLASSIFICATION!$A$8:$A$24,0)),"Review"))</f>
        <v>Portfolio</v>
      </c>
      <c r="O198" s="350" t="str">
        <f>IF($B198="Portfolio","Portfolio",IFERROR(INDEX(DATA_ASSET_CLASSIFICATION!$AB$8:$AB$13,MATCH($N198,DATA_ASSET_CLASSIFICATION!$AA$8:$AA$13,0)),"Review"))</f>
        <v>Portfolio</v>
      </c>
      <c r="P198" s="350" t="str">
        <f>IF($B198="Portfolio","Portfolio",IFERROR(INDEX(DATA_ASSET_CLASSIFICATION!$C$8:$C$24,MATCH($C198,DATA_ASSET_CLASSIFICATION!$A$8:$A$24,0)),"Review"))</f>
        <v>Portfolio</v>
      </c>
      <c r="Q198" s="350" t="str">
        <f t="shared" si="7"/>
        <v>OK</v>
      </c>
    </row>
    <row r="199" spans="1:17">
      <c r="A199" s="366" t="s">
        <v>2067</v>
      </c>
      <c r="B199" s="366" t="s">
        <v>1681</v>
      </c>
      <c r="C199" s="366" t="s">
        <v>1682</v>
      </c>
      <c r="D199" s="380">
        <f>'00_PORTFOLIO ROLLUP'!P$12</f>
        <v>2036</v>
      </c>
      <c r="E199" s="366" t="s">
        <v>1683</v>
      </c>
      <c r="F199" s="366" t="s">
        <v>27</v>
      </c>
      <c r="G199" s="366" t="s">
        <v>2068</v>
      </c>
      <c r="H199" s="381">
        <f>'00_PORTFOLIO ROLLUP'!P$54</f>
        <v>4216128.3043368421</v>
      </c>
      <c r="I199" s="366" t="s">
        <v>1690</v>
      </c>
      <c r="J199" s="348" t="str">
        <f t="shared" si="6"/>
        <v>OK</v>
      </c>
      <c r="K199" s="366" t="s">
        <v>1714</v>
      </c>
      <c r="L199" s="366" t="s">
        <v>1715</v>
      </c>
      <c r="M199" s="350" t="str">
        <f>IF($B199="Portfolio","Portfolio",IFERROR(INDEX(DATA_ASSET_CLASSIFICATION!$B$8:$B$24,MATCH($C199,DATA_ASSET_CLASSIFICATION!$A$8:$A$24,0)),"Review"))</f>
        <v>Portfolio</v>
      </c>
      <c r="N199" s="350" t="str">
        <f>IF($B199="Portfolio","Portfolio",IFERROR(INDEX(DATA_ASSET_CLASSIFICATION!$U$8:$U$24,MATCH($C199,DATA_ASSET_CLASSIFICATION!$A$8:$A$24,0)),"Review"))</f>
        <v>Portfolio</v>
      </c>
      <c r="O199" s="350" t="str">
        <f>IF($B199="Portfolio","Portfolio",IFERROR(INDEX(DATA_ASSET_CLASSIFICATION!$AB$8:$AB$13,MATCH($N199,DATA_ASSET_CLASSIFICATION!$AA$8:$AA$13,0)),"Review"))</f>
        <v>Portfolio</v>
      </c>
      <c r="P199" s="350" t="str">
        <f>IF($B199="Portfolio","Portfolio",IFERROR(INDEX(DATA_ASSET_CLASSIFICATION!$C$8:$C$24,MATCH($C199,DATA_ASSET_CLASSIFICATION!$A$8:$A$24,0)),"Review"))</f>
        <v>Portfolio</v>
      </c>
      <c r="Q199" s="350" t="str">
        <f t="shared" si="7"/>
        <v>OK</v>
      </c>
    </row>
    <row r="200" spans="1:17">
      <c r="A200" s="366" t="s">
        <v>2069</v>
      </c>
      <c r="B200" s="366" t="s">
        <v>1681</v>
      </c>
      <c r="C200" s="366" t="s">
        <v>1682</v>
      </c>
      <c r="D200" s="380">
        <f>'00_PORTFOLIO ROLLUP'!P$12</f>
        <v>2036</v>
      </c>
      <c r="E200" s="366" t="s">
        <v>1683</v>
      </c>
      <c r="F200" s="366" t="s">
        <v>29</v>
      </c>
      <c r="G200" s="366" t="s">
        <v>2070</v>
      </c>
      <c r="H200" s="381">
        <f>'00_PORTFOLIO ROLLUP'!P$56</f>
        <v>2810752.2028912278</v>
      </c>
      <c r="I200" s="366" t="s">
        <v>1685</v>
      </c>
      <c r="J200" s="348" t="str">
        <f t="shared" si="6"/>
        <v>OK</v>
      </c>
      <c r="K200" s="366" t="s">
        <v>1718</v>
      </c>
      <c r="L200" s="366" t="s">
        <v>1719</v>
      </c>
      <c r="M200" s="350" t="str">
        <f>IF($B200="Portfolio","Portfolio",IFERROR(INDEX(DATA_ASSET_CLASSIFICATION!$B$8:$B$24,MATCH($C200,DATA_ASSET_CLASSIFICATION!$A$8:$A$24,0)),"Review"))</f>
        <v>Portfolio</v>
      </c>
      <c r="N200" s="350" t="str">
        <f>IF($B200="Portfolio","Portfolio",IFERROR(INDEX(DATA_ASSET_CLASSIFICATION!$U$8:$U$24,MATCH($C200,DATA_ASSET_CLASSIFICATION!$A$8:$A$24,0)),"Review"))</f>
        <v>Portfolio</v>
      </c>
      <c r="O200" s="350" t="str">
        <f>IF($B200="Portfolio","Portfolio",IFERROR(INDEX(DATA_ASSET_CLASSIFICATION!$AB$8:$AB$13,MATCH($N200,DATA_ASSET_CLASSIFICATION!$AA$8:$AA$13,0)),"Review"))</f>
        <v>Portfolio</v>
      </c>
      <c r="P200" s="350" t="str">
        <f>IF($B200="Portfolio","Portfolio",IFERROR(INDEX(DATA_ASSET_CLASSIFICATION!$C$8:$C$24,MATCH($C200,DATA_ASSET_CLASSIFICATION!$A$8:$A$24,0)),"Review"))</f>
        <v>Portfolio</v>
      </c>
      <c r="Q200" s="350" t="str">
        <f t="shared" si="7"/>
        <v>OK</v>
      </c>
    </row>
    <row r="201" spans="1:17">
      <c r="A201" s="366" t="s">
        <v>2071</v>
      </c>
      <c r="B201" s="366" t="s">
        <v>1681</v>
      </c>
      <c r="C201" s="366" t="s">
        <v>1682</v>
      </c>
      <c r="D201" s="380">
        <f>'00_PORTFOLIO ROLLUP'!P$12</f>
        <v>2036</v>
      </c>
      <c r="E201" s="366" t="s">
        <v>1721</v>
      </c>
      <c r="F201" s="366" t="s">
        <v>31</v>
      </c>
      <c r="G201" s="366" t="s">
        <v>2072</v>
      </c>
      <c r="H201" s="381">
        <f>'00_PORTFOLIO ROLLUP'!P$61</f>
        <v>0</v>
      </c>
      <c r="I201" s="366" t="s">
        <v>1690</v>
      </c>
      <c r="J201" s="348" t="str">
        <f t="shared" si="6"/>
        <v>OK</v>
      </c>
      <c r="K201" s="366" t="s">
        <v>1723</v>
      </c>
      <c r="L201" s="366" t="s">
        <v>1724</v>
      </c>
      <c r="M201" s="350" t="str">
        <f>IF($B201="Portfolio","Portfolio",IFERROR(INDEX(DATA_ASSET_CLASSIFICATION!$B$8:$B$24,MATCH($C201,DATA_ASSET_CLASSIFICATION!$A$8:$A$24,0)),"Review"))</f>
        <v>Portfolio</v>
      </c>
      <c r="N201" s="350" t="str">
        <f>IF($B201="Portfolio","Portfolio",IFERROR(INDEX(DATA_ASSET_CLASSIFICATION!$U$8:$U$24,MATCH($C201,DATA_ASSET_CLASSIFICATION!$A$8:$A$24,0)),"Review"))</f>
        <v>Portfolio</v>
      </c>
      <c r="O201" s="350" t="str">
        <f>IF($B201="Portfolio","Portfolio",IFERROR(INDEX(DATA_ASSET_CLASSIFICATION!$AB$8:$AB$13,MATCH($N201,DATA_ASSET_CLASSIFICATION!$AA$8:$AA$13,0)),"Review"))</f>
        <v>Portfolio</v>
      </c>
      <c r="P201" s="350" t="str">
        <f>IF($B201="Portfolio","Portfolio",IFERROR(INDEX(DATA_ASSET_CLASSIFICATION!$C$8:$C$24,MATCH($C201,DATA_ASSET_CLASSIFICATION!$A$8:$A$24,0)),"Review"))</f>
        <v>Portfolio</v>
      </c>
      <c r="Q201" s="350" t="str">
        <f t="shared" si="7"/>
        <v>OK</v>
      </c>
    </row>
    <row r="202" spans="1:17">
      <c r="A202" s="366" t="s">
        <v>2073</v>
      </c>
      <c r="B202" s="366" t="s">
        <v>1681</v>
      </c>
      <c r="C202" s="366" t="s">
        <v>1682</v>
      </c>
      <c r="D202" s="380">
        <f>'00_PORTFOLIO ROLLUP'!P$12</f>
        <v>2036</v>
      </c>
      <c r="E202" s="366" t="s">
        <v>1721</v>
      </c>
      <c r="F202" s="366" t="s">
        <v>33</v>
      </c>
      <c r="G202" s="366" t="s">
        <v>2074</v>
      </c>
      <c r="H202" s="381">
        <f>'00_PORTFOLIO ROLLUP'!P$62</f>
        <v>0</v>
      </c>
      <c r="I202" s="366" t="s">
        <v>1685</v>
      </c>
      <c r="J202" s="348" t="str">
        <f t="shared" si="6"/>
        <v>OK</v>
      </c>
      <c r="K202" s="366" t="s">
        <v>1727</v>
      </c>
      <c r="L202" s="366" t="s">
        <v>1728</v>
      </c>
      <c r="M202" s="350" t="str">
        <f>IF($B202="Portfolio","Portfolio",IFERROR(INDEX(DATA_ASSET_CLASSIFICATION!$B$8:$B$24,MATCH($C202,DATA_ASSET_CLASSIFICATION!$A$8:$A$24,0)),"Review"))</f>
        <v>Portfolio</v>
      </c>
      <c r="N202" s="350" t="str">
        <f>IF($B202="Portfolio","Portfolio",IFERROR(INDEX(DATA_ASSET_CLASSIFICATION!$U$8:$U$24,MATCH($C202,DATA_ASSET_CLASSIFICATION!$A$8:$A$24,0)),"Review"))</f>
        <v>Portfolio</v>
      </c>
      <c r="O202" s="350" t="str">
        <f>IF($B202="Portfolio","Portfolio",IFERROR(INDEX(DATA_ASSET_CLASSIFICATION!$AB$8:$AB$13,MATCH($N202,DATA_ASSET_CLASSIFICATION!$AA$8:$AA$13,0)),"Review"))</f>
        <v>Portfolio</v>
      </c>
      <c r="P202" s="350" t="str">
        <f>IF($B202="Portfolio","Portfolio",IFERROR(INDEX(DATA_ASSET_CLASSIFICATION!$C$8:$C$24,MATCH($C202,DATA_ASSET_CLASSIFICATION!$A$8:$A$24,0)),"Review"))</f>
        <v>Portfolio</v>
      </c>
      <c r="Q202" s="350" t="str">
        <f t="shared" si="7"/>
        <v>OK</v>
      </c>
    </row>
    <row r="203" spans="1:17">
      <c r="A203" s="366" t="s">
        <v>2075</v>
      </c>
      <c r="B203" s="366" t="s">
        <v>1681</v>
      </c>
      <c r="C203" s="366" t="s">
        <v>1682</v>
      </c>
      <c r="D203" s="380">
        <f>'00_PORTFOLIO ROLLUP'!P$12</f>
        <v>2036</v>
      </c>
      <c r="E203" s="366" t="s">
        <v>1721</v>
      </c>
      <c r="F203" s="366" t="s">
        <v>35</v>
      </c>
      <c r="G203" s="366" t="s">
        <v>2076</v>
      </c>
      <c r="H203" s="381">
        <f>'00_PORTFOLIO ROLLUP'!P$63</f>
        <v>0</v>
      </c>
      <c r="I203" s="366" t="s">
        <v>1731</v>
      </c>
      <c r="J203" s="348" t="str">
        <f t="shared" si="6"/>
        <v>OK</v>
      </c>
      <c r="K203" s="366" t="s">
        <v>1732</v>
      </c>
      <c r="L203" s="366" t="s">
        <v>1733</v>
      </c>
      <c r="M203" s="350" t="str">
        <f>IF($B203="Portfolio","Portfolio",IFERROR(INDEX(DATA_ASSET_CLASSIFICATION!$B$8:$B$24,MATCH($C203,DATA_ASSET_CLASSIFICATION!$A$8:$A$24,0)),"Review"))</f>
        <v>Portfolio</v>
      </c>
      <c r="N203" s="350" t="str">
        <f>IF($B203="Portfolio","Portfolio",IFERROR(INDEX(DATA_ASSET_CLASSIFICATION!$U$8:$U$24,MATCH($C203,DATA_ASSET_CLASSIFICATION!$A$8:$A$24,0)),"Review"))</f>
        <v>Portfolio</v>
      </c>
      <c r="O203" s="350" t="str">
        <f>IF($B203="Portfolio","Portfolio",IFERROR(INDEX(DATA_ASSET_CLASSIFICATION!$AB$8:$AB$13,MATCH($N203,DATA_ASSET_CLASSIFICATION!$AA$8:$AA$13,0)),"Review"))</f>
        <v>Portfolio</v>
      </c>
      <c r="P203" s="350" t="str">
        <f>IF($B203="Portfolio","Portfolio",IFERROR(INDEX(DATA_ASSET_CLASSIFICATION!$C$8:$C$24,MATCH($C203,DATA_ASSET_CLASSIFICATION!$A$8:$A$24,0)),"Review"))</f>
        <v>Portfolio</v>
      </c>
      <c r="Q203" s="350" t="str">
        <f t="shared" si="7"/>
        <v>OK</v>
      </c>
    </row>
    <row r="204" spans="1:17">
      <c r="A204" s="366" t="s">
        <v>2077</v>
      </c>
      <c r="B204" s="366" t="s">
        <v>1681</v>
      </c>
      <c r="C204" s="366" t="s">
        <v>1682</v>
      </c>
      <c r="D204" s="380">
        <f>'00_PORTFOLIO ROLLUP'!P$12</f>
        <v>2036</v>
      </c>
      <c r="E204" s="366" t="s">
        <v>1721</v>
      </c>
      <c r="F204" s="366" t="s">
        <v>37</v>
      </c>
      <c r="G204" s="366" t="s">
        <v>2076</v>
      </c>
      <c r="H204" s="381">
        <f>MAX('00_PORTFOLIO ROLLUP'!P$63,0)</f>
        <v>0</v>
      </c>
      <c r="I204" s="366" t="s">
        <v>1685</v>
      </c>
      <c r="J204" s="348" t="str">
        <f t="shared" si="6"/>
        <v>OK</v>
      </c>
      <c r="K204" s="366" t="s">
        <v>1735</v>
      </c>
      <c r="L204" s="366" t="s">
        <v>1736</v>
      </c>
      <c r="M204" s="350" t="str">
        <f>IF($B204="Portfolio","Portfolio",IFERROR(INDEX(DATA_ASSET_CLASSIFICATION!$B$8:$B$24,MATCH($C204,DATA_ASSET_CLASSIFICATION!$A$8:$A$24,0)),"Review"))</f>
        <v>Portfolio</v>
      </c>
      <c r="N204" s="350" t="str">
        <f>IF($B204="Portfolio","Portfolio",IFERROR(INDEX(DATA_ASSET_CLASSIFICATION!$U$8:$U$24,MATCH($C204,DATA_ASSET_CLASSIFICATION!$A$8:$A$24,0)),"Review"))</f>
        <v>Portfolio</v>
      </c>
      <c r="O204" s="350" t="str">
        <f>IF($B204="Portfolio","Portfolio",IFERROR(INDEX(DATA_ASSET_CLASSIFICATION!$AB$8:$AB$13,MATCH($N204,DATA_ASSET_CLASSIFICATION!$AA$8:$AA$13,0)),"Review"))</f>
        <v>Portfolio</v>
      </c>
      <c r="P204" s="350" t="str">
        <f>IF($B204="Portfolio","Portfolio",IFERROR(INDEX(DATA_ASSET_CLASSIFICATION!$C$8:$C$24,MATCH($C204,DATA_ASSET_CLASSIFICATION!$A$8:$A$24,0)),"Review"))</f>
        <v>Portfolio</v>
      </c>
      <c r="Q204" s="350" t="str">
        <f t="shared" si="7"/>
        <v>OK</v>
      </c>
    </row>
    <row r="205" spans="1:17">
      <c r="A205" s="366" t="s">
        <v>2078</v>
      </c>
      <c r="B205" s="366" t="s">
        <v>1681</v>
      </c>
      <c r="C205" s="366" t="s">
        <v>1682</v>
      </c>
      <c r="D205" s="380">
        <f>'00_PORTFOLIO ROLLUP'!P$12</f>
        <v>2036</v>
      </c>
      <c r="E205" s="366" t="s">
        <v>1721</v>
      </c>
      <c r="F205" s="366" t="s">
        <v>39</v>
      </c>
      <c r="G205" s="366" t="s">
        <v>2076</v>
      </c>
      <c r="H205" s="381">
        <f>MAX(-'00_PORTFOLIO ROLLUP'!P$63,0)</f>
        <v>0</v>
      </c>
      <c r="I205" s="366" t="s">
        <v>1690</v>
      </c>
      <c r="J205" s="348" t="str">
        <f t="shared" si="6"/>
        <v>OK</v>
      </c>
      <c r="K205" s="366" t="s">
        <v>1738</v>
      </c>
      <c r="L205" s="366" t="s">
        <v>1739</v>
      </c>
      <c r="M205" s="350" t="str">
        <f>IF($B205="Portfolio","Portfolio",IFERROR(INDEX(DATA_ASSET_CLASSIFICATION!$B$8:$B$24,MATCH($C205,DATA_ASSET_CLASSIFICATION!$A$8:$A$24,0)),"Review"))</f>
        <v>Portfolio</v>
      </c>
      <c r="N205" s="350" t="str">
        <f>IF($B205="Portfolio","Portfolio",IFERROR(INDEX(DATA_ASSET_CLASSIFICATION!$U$8:$U$24,MATCH($C205,DATA_ASSET_CLASSIFICATION!$A$8:$A$24,0)),"Review"))</f>
        <v>Portfolio</v>
      </c>
      <c r="O205" s="350" t="str">
        <f>IF($B205="Portfolio","Portfolio",IFERROR(INDEX(DATA_ASSET_CLASSIFICATION!$AB$8:$AB$13,MATCH($N205,DATA_ASSET_CLASSIFICATION!$AA$8:$AA$13,0)),"Review"))</f>
        <v>Portfolio</v>
      </c>
      <c r="P205" s="350" t="str">
        <f>IF($B205="Portfolio","Portfolio",IFERROR(INDEX(DATA_ASSET_CLASSIFICATION!$C$8:$C$24,MATCH($C205,DATA_ASSET_CLASSIFICATION!$A$8:$A$24,0)),"Review"))</f>
        <v>Portfolio</v>
      </c>
      <c r="Q205" s="350" t="str">
        <f t="shared" si="7"/>
        <v>OK</v>
      </c>
    </row>
    <row r="206" spans="1:17">
      <c r="A206" s="366" t="s">
        <v>2079</v>
      </c>
      <c r="B206" s="366" t="s">
        <v>1681</v>
      </c>
      <c r="C206" s="366" t="s">
        <v>1682</v>
      </c>
      <c r="D206" s="380">
        <f>'00_PORTFOLIO ROLLUP'!P$12</f>
        <v>2036</v>
      </c>
      <c r="E206" s="366" t="s">
        <v>1741</v>
      </c>
      <c r="F206" s="366" t="s">
        <v>41</v>
      </c>
      <c r="H206" s="381">
        <f>'00_PORTFOLIO ROLLUP'!P$56+MAX('00_PORTFOLIO ROLLUP'!P$63,0)</f>
        <v>2810752.2028912278</v>
      </c>
      <c r="I206" s="366" t="s">
        <v>1685</v>
      </c>
      <c r="J206" s="348" t="str">
        <f t="shared" si="6"/>
        <v>OK</v>
      </c>
      <c r="K206" s="366" t="s">
        <v>1742</v>
      </c>
      <c r="L206" s="366" t="s">
        <v>1743</v>
      </c>
      <c r="M206" s="350" t="str">
        <f>IF($B206="Portfolio","Portfolio",IFERROR(INDEX(DATA_ASSET_CLASSIFICATION!$B$8:$B$24,MATCH($C206,DATA_ASSET_CLASSIFICATION!$A$8:$A$24,0)),"Review"))</f>
        <v>Portfolio</v>
      </c>
      <c r="N206" s="350" t="str">
        <f>IF($B206="Portfolio","Portfolio",IFERROR(INDEX(DATA_ASSET_CLASSIFICATION!$U$8:$U$24,MATCH($C206,DATA_ASSET_CLASSIFICATION!$A$8:$A$24,0)),"Review"))</f>
        <v>Portfolio</v>
      </c>
      <c r="O206" s="350" t="str">
        <f>IF($B206="Portfolio","Portfolio",IFERROR(INDEX(DATA_ASSET_CLASSIFICATION!$AB$8:$AB$13,MATCH($N206,DATA_ASSET_CLASSIFICATION!$AA$8:$AA$13,0)),"Review"))</f>
        <v>Portfolio</v>
      </c>
      <c r="P206" s="350" t="str">
        <f>IF($B206="Portfolio","Portfolio",IFERROR(INDEX(DATA_ASSET_CLASSIFICATION!$C$8:$C$24,MATCH($C206,DATA_ASSET_CLASSIFICATION!$A$8:$A$24,0)),"Review"))</f>
        <v>Portfolio</v>
      </c>
      <c r="Q206" s="350" t="str">
        <f t="shared" si="7"/>
        <v>OK</v>
      </c>
    </row>
    <row r="207" spans="1:17">
      <c r="A207" s="366" t="s">
        <v>2080</v>
      </c>
      <c r="B207" s="366" t="s">
        <v>1681</v>
      </c>
      <c r="C207" s="366" t="s">
        <v>1682</v>
      </c>
      <c r="D207" s="380">
        <f>'00_PORTFOLIO ROLLUP'!P$12</f>
        <v>2036</v>
      </c>
      <c r="E207" s="366" t="s">
        <v>1741</v>
      </c>
      <c r="F207" s="366" t="s">
        <v>43</v>
      </c>
      <c r="G207" s="366" t="s">
        <v>2081</v>
      </c>
      <c r="H207" s="381">
        <f>'00_PORTFOLIO ROLLUP'!P$68</f>
        <v>2810752.2028912278</v>
      </c>
      <c r="I207" s="366" t="s">
        <v>1731</v>
      </c>
      <c r="J207" s="348" t="str">
        <f t="shared" si="6"/>
        <v>OK</v>
      </c>
      <c r="K207" s="366" t="s">
        <v>1746</v>
      </c>
      <c r="L207" s="366" t="s">
        <v>1747</v>
      </c>
      <c r="M207" s="350" t="str">
        <f>IF($B207="Portfolio","Portfolio",IFERROR(INDEX(DATA_ASSET_CLASSIFICATION!$B$8:$B$24,MATCH($C207,DATA_ASSET_CLASSIFICATION!$A$8:$A$24,0)),"Review"))</f>
        <v>Portfolio</v>
      </c>
      <c r="N207" s="350" t="str">
        <f>IF($B207="Portfolio","Portfolio",IFERROR(INDEX(DATA_ASSET_CLASSIFICATION!$U$8:$U$24,MATCH($C207,DATA_ASSET_CLASSIFICATION!$A$8:$A$24,0)),"Review"))</f>
        <v>Portfolio</v>
      </c>
      <c r="O207" s="350" t="str">
        <f>IF($B207="Portfolio","Portfolio",IFERROR(INDEX(DATA_ASSET_CLASSIFICATION!$AB$8:$AB$13,MATCH($N207,DATA_ASSET_CLASSIFICATION!$AA$8:$AA$13,0)),"Review"))</f>
        <v>Portfolio</v>
      </c>
      <c r="P207" s="350" t="str">
        <f>IF($B207="Portfolio","Portfolio",IFERROR(INDEX(DATA_ASSET_CLASSIFICATION!$C$8:$C$24,MATCH($C207,DATA_ASSET_CLASSIFICATION!$A$8:$A$24,0)),"Review"))</f>
        <v>Portfolio</v>
      </c>
      <c r="Q207" s="350" t="str">
        <f t="shared" si="7"/>
        <v>OK</v>
      </c>
    </row>
    <row r="208" spans="1:17">
      <c r="A208" s="366" t="s">
        <v>2082</v>
      </c>
      <c r="B208" s="366" t="s">
        <v>1681</v>
      </c>
      <c r="C208" s="366" t="s">
        <v>1682</v>
      </c>
      <c r="D208" s="380">
        <f>'00_PORTFOLIO ROLLUP'!P$12</f>
        <v>2036</v>
      </c>
      <c r="E208" s="366" t="s">
        <v>1741</v>
      </c>
      <c r="F208" s="366" t="s">
        <v>1749</v>
      </c>
      <c r="H208" s="381">
        <f>('00_PORTFOLIO ROLLUP'!P$56+MAX('00_PORTFOLIO ROLLUP'!P$63,0))-'00_PORTFOLIO ROLLUP'!P$68</f>
        <v>0</v>
      </c>
      <c r="I208" s="366" t="s">
        <v>1750</v>
      </c>
      <c r="J208" s="348" t="str">
        <f t="shared" si="6"/>
        <v>OK</v>
      </c>
      <c r="K208" s="366" t="s">
        <v>1751</v>
      </c>
      <c r="L208" s="366" t="s">
        <v>1752</v>
      </c>
      <c r="M208" s="350" t="str">
        <f>IF($B208="Portfolio","Portfolio",IFERROR(INDEX(DATA_ASSET_CLASSIFICATION!$B$8:$B$24,MATCH($C208,DATA_ASSET_CLASSIFICATION!$A$8:$A$24,0)),"Review"))</f>
        <v>Portfolio</v>
      </c>
      <c r="N208" s="350" t="str">
        <f>IF($B208="Portfolio","Portfolio",IFERROR(INDEX(DATA_ASSET_CLASSIFICATION!$U$8:$U$24,MATCH($C208,DATA_ASSET_CLASSIFICATION!$A$8:$A$24,0)),"Review"))</f>
        <v>Portfolio</v>
      </c>
      <c r="O208" s="350" t="str">
        <f>IF($B208="Portfolio","Portfolio",IFERROR(INDEX(DATA_ASSET_CLASSIFICATION!$AB$8:$AB$13,MATCH($N208,DATA_ASSET_CLASSIFICATION!$AA$8:$AA$13,0)),"Review"))</f>
        <v>Portfolio</v>
      </c>
      <c r="P208" s="350" t="str">
        <f>IF($B208="Portfolio","Portfolio",IFERROR(INDEX(DATA_ASSET_CLASSIFICATION!$C$8:$C$24,MATCH($C208,DATA_ASSET_CLASSIFICATION!$A$8:$A$24,0)),"Review"))</f>
        <v>Portfolio</v>
      </c>
      <c r="Q208" s="350" t="str">
        <f t="shared" si="7"/>
        <v>OK</v>
      </c>
    </row>
    <row r="209" spans="1:17">
      <c r="A209" s="366" t="s">
        <v>2083</v>
      </c>
      <c r="B209" s="366" t="s">
        <v>1681</v>
      </c>
      <c r="C209" s="366" t="s">
        <v>1682</v>
      </c>
      <c r="D209" s="380">
        <f>'00_PORTFOLIO ROLLUP'!Q$12</f>
        <v>2037</v>
      </c>
      <c r="E209" s="366" t="s">
        <v>1683</v>
      </c>
      <c r="F209" s="366" t="s">
        <v>341</v>
      </c>
      <c r="G209" s="366" t="s">
        <v>2084</v>
      </c>
      <c r="H209" s="381">
        <f>'00_PORTFOLIO ROLLUP'!Q$24</f>
        <v>22278424.979850478</v>
      </c>
      <c r="I209" s="366" t="s">
        <v>1685</v>
      </c>
      <c r="J209" s="348" t="str">
        <f t="shared" si="6"/>
        <v>OK</v>
      </c>
      <c r="K209" s="366" t="s">
        <v>1686</v>
      </c>
      <c r="L209" s="366" t="s">
        <v>1687</v>
      </c>
      <c r="M209" s="350" t="str">
        <f>IF($B209="Portfolio","Portfolio",IFERROR(INDEX(DATA_ASSET_CLASSIFICATION!$B$8:$B$24,MATCH($C209,DATA_ASSET_CLASSIFICATION!$A$8:$A$24,0)),"Review"))</f>
        <v>Portfolio</v>
      </c>
      <c r="N209" s="350" t="str">
        <f>IF($B209="Portfolio","Portfolio",IFERROR(INDEX(DATA_ASSET_CLASSIFICATION!$U$8:$U$24,MATCH($C209,DATA_ASSET_CLASSIFICATION!$A$8:$A$24,0)),"Review"))</f>
        <v>Portfolio</v>
      </c>
      <c r="O209" s="350" t="str">
        <f>IF($B209="Portfolio","Portfolio",IFERROR(INDEX(DATA_ASSET_CLASSIFICATION!$AB$8:$AB$13,MATCH($N209,DATA_ASSET_CLASSIFICATION!$AA$8:$AA$13,0)),"Review"))</f>
        <v>Portfolio</v>
      </c>
      <c r="P209" s="350" t="str">
        <f>IF($B209="Portfolio","Portfolio",IFERROR(INDEX(DATA_ASSET_CLASSIFICATION!$C$8:$C$24,MATCH($C209,DATA_ASSET_CLASSIFICATION!$A$8:$A$24,0)),"Review"))</f>
        <v>Portfolio</v>
      </c>
      <c r="Q209" s="350" t="str">
        <f t="shared" si="7"/>
        <v>OK</v>
      </c>
    </row>
    <row r="210" spans="1:17">
      <c r="A210" s="366" t="s">
        <v>2085</v>
      </c>
      <c r="B210" s="366" t="s">
        <v>1681</v>
      </c>
      <c r="C210" s="366" t="s">
        <v>1682</v>
      </c>
      <c r="D210" s="380">
        <f>'00_PORTFOLIO ROLLUP'!Q$12</f>
        <v>2037</v>
      </c>
      <c r="E210" s="366" t="s">
        <v>1683</v>
      </c>
      <c r="F210" s="366" t="s">
        <v>355</v>
      </c>
      <c r="G210" s="366" t="s">
        <v>2086</v>
      </c>
      <c r="H210" s="381">
        <f>'00_PORTFOLIO ROLLUP'!Q$39</f>
        <v>8203132.3977101585</v>
      </c>
      <c r="I210" s="366" t="s">
        <v>1690</v>
      </c>
      <c r="J210" s="348" t="str">
        <f t="shared" si="6"/>
        <v>OK</v>
      </c>
      <c r="K210" s="366" t="s">
        <v>1686</v>
      </c>
      <c r="L210" s="366" t="s">
        <v>1691</v>
      </c>
      <c r="M210" s="350" t="str">
        <f>IF($B210="Portfolio","Portfolio",IFERROR(INDEX(DATA_ASSET_CLASSIFICATION!$B$8:$B$24,MATCH($C210,DATA_ASSET_CLASSIFICATION!$A$8:$A$24,0)),"Review"))</f>
        <v>Portfolio</v>
      </c>
      <c r="N210" s="350" t="str">
        <f>IF($B210="Portfolio","Portfolio",IFERROR(INDEX(DATA_ASSET_CLASSIFICATION!$U$8:$U$24,MATCH($C210,DATA_ASSET_CLASSIFICATION!$A$8:$A$24,0)),"Review"))</f>
        <v>Portfolio</v>
      </c>
      <c r="O210" s="350" t="str">
        <f>IF($B210="Portfolio","Portfolio",IFERROR(INDEX(DATA_ASSET_CLASSIFICATION!$AB$8:$AB$13,MATCH($N210,DATA_ASSET_CLASSIFICATION!$AA$8:$AA$13,0)),"Review"))</f>
        <v>Portfolio</v>
      </c>
      <c r="P210" s="350" t="str">
        <f>IF($B210="Portfolio","Portfolio",IFERROR(INDEX(DATA_ASSET_CLASSIFICATION!$C$8:$C$24,MATCH($C210,DATA_ASSET_CLASSIFICATION!$A$8:$A$24,0)),"Review"))</f>
        <v>Portfolio</v>
      </c>
      <c r="Q210" s="350" t="str">
        <f t="shared" si="7"/>
        <v>OK</v>
      </c>
    </row>
    <row r="211" spans="1:17">
      <c r="A211" s="366" t="s">
        <v>2087</v>
      </c>
      <c r="B211" s="366" t="s">
        <v>1681</v>
      </c>
      <c r="C211" s="366" t="s">
        <v>1682</v>
      </c>
      <c r="D211" s="380">
        <f>'00_PORTFOLIO ROLLUP'!Q$12</f>
        <v>2037</v>
      </c>
      <c r="E211" s="366" t="s">
        <v>1683</v>
      </c>
      <c r="F211" s="366" t="s">
        <v>19</v>
      </c>
      <c r="G211" s="366" t="s">
        <v>2088</v>
      </c>
      <c r="H211" s="381">
        <f>'00_PORTFOLIO ROLLUP'!Q$41</f>
        <v>14075292.582140319</v>
      </c>
      <c r="I211" s="366" t="s">
        <v>1685</v>
      </c>
      <c r="J211" s="348" t="str">
        <f t="shared" si="6"/>
        <v>OK</v>
      </c>
      <c r="K211" s="366" t="s">
        <v>1694</v>
      </c>
      <c r="L211" s="366" t="s">
        <v>1695</v>
      </c>
      <c r="M211" s="350" t="str">
        <f>IF($B211="Portfolio","Portfolio",IFERROR(INDEX(DATA_ASSET_CLASSIFICATION!$B$8:$B$24,MATCH($C211,DATA_ASSET_CLASSIFICATION!$A$8:$A$24,0)),"Review"))</f>
        <v>Portfolio</v>
      </c>
      <c r="N211" s="350" t="str">
        <f>IF($B211="Portfolio","Portfolio",IFERROR(INDEX(DATA_ASSET_CLASSIFICATION!$U$8:$U$24,MATCH($C211,DATA_ASSET_CLASSIFICATION!$A$8:$A$24,0)),"Review"))</f>
        <v>Portfolio</v>
      </c>
      <c r="O211" s="350" t="str">
        <f>IF($B211="Portfolio","Portfolio",IFERROR(INDEX(DATA_ASSET_CLASSIFICATION!$AB$8:$AB$13,MATCH($N211,DATA_ASSET_CLASSIFICATION!$AA$8:$AA$13,0)),"Review"))</f>
        <v>Portfolio</v>
      </c>
      <c r="P211" s="350" t="str">
        <f>IF($B211="Portfolio","Portfolio",IFERROR(INDEX(DATA_ASSET_CLASSIFICATION!$C$8:$C$24,MATCH($C211,DATA_ASSET_CLASSIFICATION!$A$8:$A$24,0)),"Review"))</f>
        <v>Portfolio</v>
      </c>
      <c r="Q211" s="350" t="str">
        <f t="shared" si="7"/>
        <v>OK</v>
      </c>
    </row>
    <row r="212" spans="1:17">
      <c r="A212" s="366" t="s">
        <v>2089</v>
      </c>
      <c r="B212" s="366" t="s">
        <v>1681</v>
      </c>
      <c r="C212" s="366" t="s">
        <v>1682</v>
      </c>
      <c r="D212" s="380">
        <f>'00_PORTFOLIO ROLLUP'!Q$12</f>
        <v>2037</v>
      </c>
      <c r="E212" s="366" t="s">
        <v>1683</v>
      </c>
      <c r="F212" s="366" t="s">
        <v>1697</v>
      </c>
      <c r="G212" s="366" t="s">
        <v>2090</v>
      </c>
      <c r="H212" s="381">
        <f>'00_PORTFOLIO ROLLUP'!Q$44</f>
        <v>204694.2256423948</v>
      </c>
      <c r="I212" s="366" t="s">
        <v>1690</v>
      </c>
      <c r="J212" s="348" t="str">
        <f t="shared" si="6"/>
        <v>OK</v>
      </c>
      <c r="K212" s="366" t="s">
        <v>1699</v>
      </c>
      <c r="L212" s="366" t="s">
        <v>1700</v>
      </c>
      <c r="M212" s="350" t="str">
        <f>IF($B212="Portfolio","Portfolio",IFERROR(INDEX(DATA_ASSET_CLASSIFICATION!$B$8:$B$24,MATCH($C212,DATA_ASSET_CLASSIFICATION!$A$8:$A$24,0)),"Review"))</f>
        <v>Portfolio</v>
      </c>
      <c r="N212" s="350" t="str">
        <f>IF($B212="Portfolio","Portfolio",IFERROR(INDEX(DATA_ASSET_CLASSIFICATION!$U$8:$U$24,MATCH($C212,DATA_ASSET_CLASSIFICATION!$A$8:$A$24,0)),"Review"))</f>
        <v>Portfolio</v>
      </c>
      <c r="O212" s="350" t="str">
        <f>IF($B212="Portfolio","Portfolio",IFERROR(INDEX(DATA_ASSET_CLASSIFICATION!$AB$8:$AB$13,MATCH($N212,DATA_ASSET_CLASSIFICATION!$AA$8:$AA$13,0)),"Review"))</f>
        <v>Portfolio</v>
      </c>
      <c r="P212" s="350" t="str">
        <f>IF($B212="Portfolio","Portfolio",IFERROR(INDEX(DATA_ASSET_CLASSIFICATION!$C$8:$C$24,MATCH($C212,DATA_ASSET_CLASSIFICATION!$A$8:$A$24,0)),"Review"))</f>
        <v>Portfolio</v>
      </c>
      <c r="Q212" s="350" t="str">
        <f t="shared" si="7"/>
        <v>OK</v>
      </c>
    </row>
    <row r="213" spans="1:17">
      <c r="A213" s="366" t="s">
        <v>2091</v>
      </c>
      <c r="B213" s="366" t="s">
        <v>1681</v>
      </c>
      <c r="C213" s="366" t="s">
        <v>1682</v>
      </c>
      <c r="D213" s="380">
        <f>'00_PORTFOLIO ROLLUP'!Q$12</f>
        <v>2037</v>
      </c>
      <c r="E213" s="366" t="s">
        <v>1683</v>
      </c>
      <c r="F213" s="366" t="s">
        <v>21</v>
      </c>
      <c r="G213" s="366" t="s">
        <v>2092</v>
      </c>
      <c r="H213" s="381">
        <f>'00_PORTFOLIO ROLLUP'!Q$45</f>
        <v>13870598.356497925</v>
      </c>
      <c r="I213" s="366" t="s">
        <v>1685</v>
      </c>
      <c r="J213" s="348" t="str">
        <f t="shared" si="6"/>
        <v>OK</v>
      </c>
      <c r="K213" s="366" t="s">
        <v>1694</v>
      </c>
      <c r="L213" s="366" t="s">
        <v>1703</v>
      </c>
      <c r="M213" s="350" t="str">
        <f>IF($B213="Portfolio","Portfolio",IFERROR(INDEX(DATA_ASSET_CLASSIFICATION!$B$8:$B$24,MATCH($C213,DATA_ASSET_CLASSIFICATION!$A$8:$A$24,0)),"Review"))</f>
        <v>Portfolio</v>
      </c>
      <c r="N213" s="350" t="str">
        <f>IF($B213="Portfolio","Portfolio",IFERROR(INDEX(DATA_ASSET_CLASSIFICATION!$U$8:$U$24,MATCH($C213,DATA_ASSET_CLASSIFICATION!$A$8:$A$24,0)),"Review"))</f>
        <v>Portfolio</v>
      </c>
      <c r="O213" s="350" t="str">
        <f>IF($B213="Portfolio","Portfolio",IFERROR(INDEX(DATA_ASSET_CLASSIFICATION!$AB$8:$AB$13,MATCH($N213,DATA_ASSET_CLASSIFICATION!$AA$8:$AA$13,0)),"Review"))</f>
        <v>Portfolio</v>
      </c>
      <c r="P213" s="350" t="str">
        <f>IF($B213="Portfolio","Portfolio",IFERROR(INDEX(DATA_ASSET_CLASSIFICATION!$C$8:$C$24,MATCH($C213,DATA_ASSET_CLASSIFICATION!$A$8:$A$24,0)),"Review"))</f>
        <v>Portfolio</v>
      </c>
      <c r="Q213" s="350" t="str">
        <f t="shared" si="7"/>
        <v>OK</v>
      </c>
    </row>
    <row r="214" spans="1:17">
      <c r="A214" s="366" t="s">
        <v>2093</v>
      </c>
      <c r="B214" s="366" t="s">
        <v>1681</v>
      </c>
      <c r="C214" s="366" t="s">
        <v>1682</v>
      </c>
      <c r="D214" s="380">
        <f>'00_PORTFOLIO ROLLUP'!Q$12</f>
        <v>2037</v>
      </c>
      <c r="E214" s="366" t="s">
        <v>23</v>
      </c>
      <c r="F214" s="366" t="s">
        <v>23</v>
      </c>
      <c r="G214" s="366" t="s">
        <v>2094</v>
      </c>
      <c r="H214" s="381">
        <f>'00_PORTFOLIO ROLLUP'!Q$48</f>
        <v>6811656.6125063812</v>
      </c>
      <c r="I214" s="366" t="s">
        <v>1690</v>
      </c>
      <c r="J214" s="348" t="str">
        <f t="shared" si="6"/>
        <v>OK</v>
      </c>
      <c r="K214" s="366" t="s">
        <v>1706</v>
      </c>
      <c r="L214" s="366" t="s">
        <v>1707</v>
      </c>
      <c r="M214" s="350" t="str">
        <f>IF($B214="Portfolio","Portfolio",IFERROR(INDEX(DATA_ASSET_CLASSIFICATION!$B$8:$B$24,MATCH($C214,DATA_ASSET_CLASSIFICATION!$A$8:$A$24,0)),"Review"))</f>
        <v>Portfolio</v>
      </c>
      <c r="N214" s="350" t="str">
        <f>IF($B214="Portfolio","Portfolio",IFERROR(INDEX(DATA_ASSET_CLASSIFICATION!$U$8:$U$24,MATCH($C214,DATA_ASSET_CLASSIFICATION!$A$8:$A$24,0)),"Review"))</f>
        <v>Portfolio</v>
      </c>
      <c r="O214" s="350" t="str">
        <f>IF($B214="Portfolio","Portfolio",IFERROR(INDEX(DATA_ASSET_CLASSIFICATION!$AB$8:$AB$13,MATCH($N214,DATA_ASSET_CLASSIFICATION!$AA$8:$AA$13,0)),"Review"))</f>
        <v>Portfolio</v>
      </c>
      <c r="P214" s="350" t="str">
        <f>IF($B214="Portfolio","Portfolio",IFERROR(INDEX(DATA_ASSET_CLASSIFICATION!$C$8:$C$24,MATCH($C214,DATA_ASSET_CLASSIFICATION!$A$8:$A$24,0)),"Review"))</f>
        <v>Portfolio</v>
      </c>
      <c r="Q214" s="350" t="str">
        <f t="shared" si="7"/>
        <v>OK</v>
      </c>
    </row>
    <row r="215" spans="1:17">
      <c r="A215" s="366" t="s">
        <v>2095</v>
      </c>
      <c r="B215" s="366" t="s">
        <v>1681</v>
      </c>
      <c r="C215" s="366" t="s">
        <v>1682</v>
      </c>
      <c r="D215" s="380">
        <f>'00_PORTFOLIO ROLLUP'!Q$12</f>
        <v>2037</v>
      </c>
      <c r="E215" s="366" t="s">
        <v>1683</v>
      </c>
      <c r="F215" s="366" t="s">
        <v>25</v>
      </c>
      <c r="G215" s="366" t="s">
        <v>2096</v>
      </c>
      <c r="H215" s="381">
        <f>'00_PORTFOLIO ROLLUP'!Q$52</f>
        <v>7263635.9696339378</v>
      </c>
      <c r="I215" s="366" t="s">
        <v>1685</v>
      </c>
      <c r="J215" s="348" t="str">
        <f t="shared" si="6"/>
        <v>OK</v>
      </c>
      <c r="K215" s="366" t="s">
        <v>1710</v>
      </c>
      <c r="L215" s="366" t="s">
        <v>1711</v>
      </c>
      <c r="M215" s="350" t="str">
        <f>IF($B215="Portfolio","Portfolio",IFERROR(INDEX(DATA_ASSET_CLASSIFICATION!$B$8:$B$24,MATCH($C215,DATA_ASSET_CLASSIFICATION!$A$8:$A$24,0)),"Review"))</f>
        <v>Portfolio</v>
      </c>
      <c r="N215" s="350" t="str">
        <f>IF($B215="Portfolio","Portfolio",IFERROR(INDEX(DATA_ASSET_CLASSIFICATION!$U$8:$U$24,MATCH($C215,DATA_ASSET_CLASSIFICATION!$A$8:$A$24,0)),"Review"))</f>
        <v>Portfolio</v>
      </c>
      <c r="O215" s="350" t="str">
        <f>IF($B215="Portfolio","Portfolio",IFERROR(INDEX(DATA_ASSET_CLASSIFICATION!$AB$8:$AB$13,MATCH($N215,DATA_ASSET_CLASSIFICATION!$AA$8:$AA$13,0)),"Review"))</f>
        <v>Portfolio</v>
      </c>
      <c r="P215" s="350" t="str">
        <f>IF($B215="Portfolio","Portfolio",IFERROR(INDEX(DATA_ASSET_CLASSIFICATION!$C$8:$C$24,MATCH($C215,DATA_ASSET_CLASSIFICATION!$A$8:$A$24,0)),"Review"))</f>
        <v>Portfolio</v>
      </c>
      <c r="Q215" s="350" t="str">
        <f t="shared" si="7"/>
        <v>OK</v>
      </c>
    </row>
    <row r="216" spans="1:17">
      <c r="A216" s="366" t="s">
        <v>2097</v>
      </c>
      <c r="B216" s="366" t="s">
        <v>1681</v>
      </c>
      <c r="C216" s="366" t="s">
        <v>1682</v>
      </c>
      <c r="D216" s="380">
        <f>'00_PORTFOLIO ROLLUP'!Q$12</f>
        <v>2037</v>
      </c>
      <c r="E216" s="366" t="s">
        <v>1683</v>
      </c>
      <c r="F216" s="366" t="s">
        <v>27</v>
      </c>
      <c r="G216" s="366" t="s">
        <v>2098</v>
      </c>
      <c r="H216" s="381">
        <f>'00_PORTFOLIO ROLLUP'!Q$54</f>
        <v>4358181.5817803629</v>
      </c>
      <c r="I216" s="366" t="s">
        <v>1690</v>
      </c>
      <c r="J216" s="348" t="str">
        <f t="shared" si="6"/>
        <v>OK</v>
      </c>
      <c r="K216" s="366" t="s">
        <v>1714</v>
      </c>
      <c r="L216" s="366" t="s">
        <v>1715</v>
      </c>
      <c r="M216" s="350" t="str">
        <f>IF($B216="Portfolio","Portfolio",IFERROR(INDEX(DATA_ASSET_CLASSIFICATION!$B$8:$B$24,MATCH($C216,DATA_ASSET_CLASSIFICATION!$A$8:$A$24,0)),"Review"))</f>
        <v>Portfolio</v>
      </c>
      <c r="N216" s="350" t="str">
        <f>IF($B216="Portfolio","Portfolio",IFERROR(INDEX(DATA_ASSET_CLASSIFICATION!$U$8:$U$24,MATCH($C216,DATA_ASSET_CLASSIFICATION!$A$8:$A$24,0)),"Review"))</f>
        <v>Portfolio</v>
      </c>
      <c r="O216" s="350" t="str">
        <f>IF($B216="Portfolio","Portfolio",IFERROR(INDEX(DATA_ASSET_CLASSIFICATION!$AB$8:$AB$13,MATCH($N216,DATA_ASSET_CLASSIFICATION!$AA$8:$AA$13,0)),"Review"))</f>
        <v>Portfolio</v>
      </c>
      <c r="P216" s="350" t="str">
        <f>IF($B216="Portfolio","Portfolio",IFERROR(INDEX(DATA_ASSET_CLASSIFICATION!$C$8:$C$24,MATCH($C216,DATA_ASSET_CLASSIFICATION!$A$8:$A$24,0)),"Review"))</f>
        <v>Portfolio</v>
      </c>
      <c r="Q216" s="350" t="str">
        <f t="shared" si="7"/>
        <v>OK</v>
      </c>
    </row>
    <row r="217" spans="1:17">
      <c r="A217" s="366" t="s">
        <v>2099</v>
      </c>
      <c r="B217" s="366" t="s">
        <v>1681</v>
      </c>
      <c r="C217" s="366" t="s">
        <v>1682</v>
      </c>
      <c r="D217" s="380">
        <f>'00_PORTFOLIO ROLLUP'!Q$12</f>
        <v>2037</v>
      </c>
      <c r="E217" s="366" t="s">
        <v>1683</v>
      </c>
      <c r="F217" s="366" t="s">
        <v>29</v>
      </c>
      <c r="G217" s="366" t="s">
        <v>2100</v>
      </c>
      <c r="H217" s="381">
        <f>'00_PORTFOLIO ROLLUP'!Q$56</f>
        <v>2905454.3878535749</v>
      </c>
      <c r="I217" s="366" t="s">
        <v>1685</v>
      </c>
      <c r="J217" s="348" t="str">
        <f t="shared" si="6"/>
        <v>OK</v>
      </c>
      <c r="K217" s="366" t="s">
        <v>1718</v>
      </c>
      <c r="L217" s="366" t="s">
        <v>1719</v>
      </c>
      <c r="M217" s="350" t="str">
        <f>IF($B217="Portfolio","Portfolio",IFERROR(INDEX(DATA_ASSET_CLASSIFICATION!$B$8:$B$24,MATCH($C217,DATA_ASSET_CLASSIFICATION!$A$8:$A$24,0)),"Review"))</f>
        <v>Portfolio</v>
      </c>
      <c r="N217" s="350" t="str">
        <f>IF($B217="Portfolio","Portfolio",IFERROR(INDEX(DATA_ASSET_CLASSIFICATION!$U$8:$U$24,MATCH($C217,DATA_ASSET_CLASSIFICATION!$A$8:$A$24,0)),"Review"))</f>
        <v>Portfolio</v>
      </c>
      <c r="O217" s="350" t="str">
        <f>IF($B217="Portfolio","Portfolio",IFERROR(INDEX(DATA_ASSET_CLASSIFICATION!$AB$8:$AB$13,MATCH($N217,DATA_ASSET_CLASSIFICATION!$AA$8:$AA$13,0)),"Review"))</f>
        <v>Portfolio</v>
      </c>
      <c r="P217" s="350" t="str">
        <f>IF($B217="Portfolio","Portfolio",IFERROR(INDEX(DATA_ASSET_CLASSIFICATION!$C$8:$C$24,MATCH($C217,DATA_ASSET_CLASSIFICATION!$A$8:$A$24,0)),"Review"))</f>
        <v>Portfolio</v>
      </c>
      <c r="Q217" s="350" t="str">
        <f t="shared" si="7"/>
        <v>OK</v>
      </c>
    </row>
    <row r="218" spans="1:17">
      <c r="A218" s="366" t="s">
        <v>2101</v>
      </c>
      <c r="B218" s="366" t="s">
        <v>1681</v>
      </c>
      <c r="C218" s="366" t="s">
        <v>1682</v>
      </c>
      <c r="D218" s="380">
        <f>'00_PORTFOLIO ROLLUP'!Q$12</f>
        <v>2037</v>
      </c>
      <c r="E218" s="366" t="s">
        <v>1721</v>
      </c>
      <c r="F218" s="366" t="s">
        <v>31</v>
      </c>
      <c r="G218" s="366" t="s">
        <v>2102</v>
      </c>
      <c r="H218" s="381">
        <f>'00_PORTFOLIO ROLLUP'!Q$61</f>
        <v>0</v>
      </c>
      <c r="I218" s="366" t="s">
        <v>1690</v>
      </c>
      <c r="J218" s="348" t="str">
        <f t="shared" si="6"/>
        <v>OK</v>
      </c>
      <c r="K218" s="366" t="s">
        <v>1723</v>
      </c>
      <c r="L218" s="366" t="s">
        <v>1724</v>
      </c>
      <c r="M218" s="350" t="str">
        <f>IF($B218="Portfolio","Portfolio",IFERROR(INDEX(DATA_ASSET_CLASSIFICATION!$B$8:$B$24,MATCH($C218,DATA_ASSET_CLASSIFICATION!$A$8:$A$24,0)),"Review"))</f>
        <v>Portfolio</v>
      </c>
      <c r="N218" s="350" t="str">
        <f>IF($B218="Portfolio","Portfolio",IFERROR(INDEX(DATA_ASSET_CLASSIFICATION!$U$8:$U$24,MATCH($C218,DATA_ASSET_CLASSIFICATION!$A$8:$A$24,0)),"Review"))</f>
        <v>Portfolio</v>
      </c>
      <c r="O218" s="350" t="str">
        <f>IF($B218="Portfolio","Portfolio",IFERROR(INDEX(DATA_ASSET_CLASSIFICATION!$AB$8:$AB$13,MATCH($N218,DATA_ASSET_CLASSIFICATION!$AA$8:$AA$13,0)),"Review"))</f>
        <v>Portfolio</v>
      </c>
      <c r="P218" s="350" t="str">
        <f>IF($B218="Portfolio","Portfolio",IFERROR(INDEX(DATA_ASSET_CLASSIFICATION!$C$8:$C$24,MATCH($C218,DATA_ASSET_CLASSIFICATION!$A$8:$A$24,0)),"Review"))</f>
        <v>Portfolio</v>
      </c>
      <c r="Q218" s="350" t="str">
        <f t="shared" si="7"/>
        <v>OK</v>
      </c>
    </row>
    <row r="219" spans="1:17">
      <c r="A219" s="366" t="s">
        <v>2103</v>
      </c>
      <c r="B219" s="366" t="s">
        <v>1681</v>
      </c>
      <c r="C219" s="366" t="s">
        <v>1682</v>
      </c>
      <c r="D219" s="380">
        <f>'00_PORTFOLIO ROLLUP'!Q$12</f>
        <v>2037</v>
      </c>
      <c r="E219" s="366" t="s">
        <v>1721</v>
      </c>
      <c r="F219" s="366" t="s">
        <v>33</v>
      </c>
      <c r="G219" s="366" t="s">
        <v>2104</v>
      </c>
      <c r="H219" s="381">
        <f>'00_PORTFOLIO ROLLUP'!Q$62</f>
        <v>0</v>
      </c>
      <c r="I219" s="366" t="s">
        <v>1685</v>
      </c>
      <c r="J219" s="348" t="str">
        <f t="shared" si="6"/>
        <v>OK</v>
      </c>
      <c r="K219" s="366" t="s">
        <v>1727</v>
      </c>
      <c r="L219" s="366" t="s">
        <v>1728</v>
      </c>
      <c r="M219" s="350" t="str">
        <f>IF($B219="Portfolio","Portfolio",IFERROR(INDEX(DATA_ASSET_CLASSIFICATION!$B$8:$B$24,MATCH($C219,DATA_ASSET_CLASSIFICATION!$A$8:$A$24,0)),"Review"))</f>
        <v>Portfolio</v>
      </c>
      <c r="N219" s="350" t="str">
        <f>IF($B219="Portfolio","Portfolio",IFERROR(INDEX(DATA_ASSET_CLASSIFICATION!$U$8:$U$24,MATCH($C219,DATA_ASSET_CLASSIFICATION!$A$8:$A$24,0)),"Review"))</f>
        <v>Portfolio</v>
      </c>
      <c r="O219" s="350" t="str">
        <f>IF($B219="Portfolio","Portfolio",IFERROR(INDEX(DATA_ASSET_CLASSIFICATION!$AB$8:$AB$13,MATCH($N219,DATA_ASSET_CLASSIFICATION!$AA$8:$AA$13,0)),"Review"))</f>
        <v>Portfolio</v>
      </c>
      <c r="P219" s="350" t="str">
        <f>IF($B219="Portfolio","Portfolio",IFERROR(INDEX(DATA_ASSET_CLASSIFICATION!$C$8:$C$24,MATCH($C219,DATA_ASSET_CLASSIFICATION!$A$8:$A$24,0)),"Review"))</f>
        <v>Portfolio</v>
      </c>
      <c r="Q219" s="350" t="str">
        <f t="shared" si="7"/>
        <v>OK</v>
      </c>
    </row>
    <row r="220" spans="1:17">
      <c r="A220" s="366" t="s">
        <v>2105</v>
      </c>
      <c r="B220" s="366" t="s">
        <v>1681</v>
      </c>
      <c r="C220" s="366" t="s">
        <v>1682</v>
      </c>
      <c r="D220" s="380">
        <f>'00_PORTFOLIO ROLLUP'!Q$12</f>
        <v>2037</v>
      </c>
      <c r="E220" s="366" t="s">
        <v>1721</v>
      </c>
      <c r="F220" s="366" t="s">
        <v>35</v>
      </c>
      <c r="G220" s="366" t="s">
        <v>2106</v>
      </c>
      <c r="H220" s="381">
        <f>'00_PORTFOLIO ROLLUP'!Q$63</f>
        <v>0</v>
      </c>
      <c r="I220" s="366" t="s">
        <v>1731</v>
      </c>
      <c r="J220" s="348" t="str">
        <f t="shared" si="6"/>
        <v>OK</v>
      </c>
      <c r="K220" s="366" t="s">
        <v>1732</v>
      </c>
      <c r="L220" s="366" t="s">
        <v>1733</v>
      </c>
      <c r="M220" s="350" t="str">
        <f>IF($B220="Portfolio","Portfolio",IFERROR(INDEX(DATA_ASSET_CLASSIFICATION!$B$8:$B$24,MATCH($C220,DATA_ASSET_CLASSIFICATION!$A$8:$A$24,0)),"Review"))</f>
        <v>Portfolio</v>
      </c>
      <c r="N220" s="350" t="str">
        <f>IF($B220="Portfolio","Portfolio",IFERROR(INDEX(DATA_ASSET_CLASSIFICATION!$U$8:$U$24,MATCH($C220,DATA_ASSET_CLASSIFICATION!$A$8:$A$24,0)),"Review"))</f>
        <v>Portfolio</v>
      </c>
      <c r="O220" s="350" t="str">
        <f>IF($B220="Portfolio","Portfolio",IFERROR(INDEX(DATA_ASSET_CLASSIFICATION!$AB$8:$AB$13,MATCH($N220,DATA_ASSET_CLASSIFICATION!$AA$8:$AA$13,0)),"Review"))</f>
        <v>Portfolio</v>
      </c>
      <c r="P220" s="350" t="str">
        <f>IF($B220="Portfolio","Portfolio",IFERROR(INDEX(DATA_ASSET_CLASSIFICATION!$C$8:$C$24,MATCH($C220,DATA_ASSET_CLASSIFICATION!$A$8:$A$24,0)),"Review"))</f>
        <v>Portfolio</v>
      </c>
      <c r="Q220" s="350" t="str">
        <f t="shared" si="7"/>
        <v>OK</v>
      </c>
    </row>
    <row r="221" spans="1:17">
      <c r="A221" s="366" t="s">
        <v>2107</v>
      </c>
      <c r="B221" s="366" t="s">
        <v>1681</v>
      </c>
      <c r="C221" s="366" t="s">
        <v>1682</v>
      </c>
      <c r="D221" s="380">
        <f>'00_PORTFOLIO ROLLUP'!Q$12</f>
        <v>2037</v>
      </c>
      <c r="E221" s="366" t="s">
        <v>1721</v>
      </c>
      <c r="F221" s="366" t="s">
        <v>37</v>
      </c>
      <c r="G221" s="366" t="s">
        <v>2106</v>
      </c>
      <c r="H221" s="381">
        <f>MAX('00_PORTFOLIO ROLLUP'!Q$63,0)</f>
        <v>0</v>
      </c>
      <c r="I221" s="366" t="s">
        <v>1685</v>
      </c>
      <c r="J221" s="348" t="str">
        <f t="shared" si="6"/>
        <v>OK</v>
      </c>
      <c r="K221" s="366" t="s">
        <v>1735</v>
      </c>
      <c r="L221" s="366" t="s">
        <v>1736</v>
      </c>
      <c r="M221" s="350" t="str">
        <f>IF($B221="Portfolio","Portfolio",IFERROR(INDEX(DATA_ASSET_CLASSIFICATION!$B$8:$B$24,MATCH($C221,DATA_ASSET_CLASSIFICATION!$A$8:$A$24,0)),"Review"))</f>
        <v>Portfolio</v>
      </c>
      <c r="N221" s="350" t="str">
        <f>IF($B221="Portfolio","Portfolio",IFERROR(INDEX(DATA_ASSET_CLASSIFICATION!$U$8:$U$24,MATCH($C221,DATA_ASSET_CLASSIFICATION!$A$8:$A$24,0)),"Review"))</f>
        <v>Portfolio</v>
      </c>
      <c r="O221" s="350" t="str">
        <f>IF($B221="Portfolio","Portfolio",IFERROR(INDEX(DATA_ASSET_CLASSIFICATION!$AB$8:$AB$13,MATCH($N221,DATA_ASSET_CLASSIFICATION!$AA$8:$AA$13,0)),"Review"))</f>
        <v>Portfolio</v>
      </c>
      <c r="P221" s="350" t="str">
        <f>IF($B221="Portfolio","Portfolio",IFERROR(INDEX(DATA_ASSET_CLASSIFICATION!$C$8:$C$24,MATCH($C221,DATA_ASSET_CLASSIFICATION!$A$8:$A$24,0)),"Review"))</f>
        <v>Portfolio</v>
      </c>
      <c r="Q221" s="350" t="str">
        <f t="shared" si="7"/>
        <v>OK</v>
      </c>
    </row>
    <row r="222" spans="1:17">
      <c r="A222" s="366" t="s">
        <v>2108</v>
      </c>
      <c r="B222" s="366" t="s">
        <v>1681</v>
      </c>
      <c r="C222" s="366" t="s">
        <v>1682</v>
      </c>
      <c r="D222" s="380">
        <f>'00_PORTFOLIO ROLLUP'!Q$12</f>
        <v>2037</v>
      </c>
      <c r="E222" s="366" t="s">
        <v>1721</v>
      </c>
      <c r="F222" s="366" t="s">
        <v>39</v>
      </c>
      <c r="G222" s="366" t="s">
        <v>2106</v>
      </c>
      <c r="H222" s="381">
        <f>MAX(-'00_PORTFOLIO ROLLUP'!Q$63,0)</f>
        <v>0</v>
      </c>
      <c r="I222" s="366" t="s">
        <v>1690</v>
      </c>
      <c r="J222" s="348" t="str">
        <f t="shared" si="6"/>
        <v>OK</v>
      </c>
      <c r="K222" s="366" t="s">
        <v>1738</v>
      </c>
      <c r="L222" s="366" t="s">
        <v>1739</v>
      </c>
      <c r="M222" s="350" t="str">
        <f>IF($B222="Portfolio","Portfolio",IFERROR(INDEX(DATA_ASSET_CLASSIFICATION!$B$8:$B$24,MATCH($C222,DATA_ASSET_CLASSIFICATION!$A$8:$A$24,0)),"Review"))</f>
        <v>Portfolio</v>
      </c>
      <c r="N222" s="350" t="str">
        <f>IF($B222="Portfolio","Portfolio",IFERROR(INDEX(DATA_ASSET_CLASSIFICATION!$U$8:$U$24,MATCH($C222,DATA_ASSET_CLASSIFICATION!$A$8:$A$24,0)),"Review"))</f>
        <v>Portfolio</v>
      </c>
      <c r="O222" s="350" t="str">
        <f>IF($B222="Portfolio","Portfolio",IFERROR(INDEX(DATA_ASSET_CLASSIFICATION!$AB$8:$AB$13,MATCH($N222,DATA_ASSET_CLASSIFICATION!$AA$8:$AA$13,0)),"Review"))</f>
        <v>Portfolio</v>
      </c>
      <c r="P222" s="350" t="str">
        <f>IF($B222="Portfolio","Portfolio",IFERROR(INDEX(DATA_ASSET_CLASSIFICATION!$C$8:$C$24,MATCH($C222,DATA_ASSET_CLASSIFICATION!$A$8:$A$24,0)),"Review"))</f>
        <v>Portfolio</v>
      </c>
      <c r="Q222" s="350" t="str">
        <f t="shared" si="7"/>
        <v>OK</v>
      </c>
    </row>
    <row r="223" spans="1:17">
      <c r="A223" s="366" t="s">
        <v>2109</v>
      </c>
      <c r="B223" s="366" t="s">
        <v>1681</v>
      </c>
      <c r="C223" s="366" t="s">
        <v>1682</v>
      </c>
      <c r="D223" s="380">
        <f>'00_PORTFOLIO ROLLUP'!Q$12</f>
        <v>2037</v>
      </c>
      <c r="E223" s="366" t="s">
        <v>1741</v>
      </c>
      <c r="F223" s="366" t="s">
        <v>41</v>
      </c>
      <c r="H223" s="381">
        <f>'00_PORTFOLIO ROLLUP'!Q$56+MAX('00_PORTFOLIO ROLLUP'!Q$63,0)</f>
        <v>2905454.3878535749</v>
      </c>
      <c r="I223" s="366" t="s">
        <v>1685</v>
      </c>
      <c r="J223" s="348" t="str">
        <f t="shared" si="6"/>
        <v>OK</v>
      </c>
      <c r="K223" s="366" t="s">
        <v>1742</v>
      </c>
      <c r="L223" s="366" t="s">
        <v>1743</v>
      </c>
      <c r="M223" s="350" t="str">
        <f>IF($B223="Portfolio","Portfolio",IFERROR(INDEX(DATA_ASSET_CLASSIFICATION!$B$8:$B$24,MATCH($C223,DATA_ASSET_CLASSIFICATION!$A$8:$A$24,0)),"Review"))</f>
        <v>Portfolio</v>
      </c>
      <c r="N223" s="350" t="str">
        <f>IF($B223="Portfolio","Portfolio",IFERROR(INDEX(DATA_ASSET_CLASSIFICATION!$U$8:$U$24,MATCH($C223,DATA_ASSET_CLASSIFICATION!$A$8:$A$24,0)),"Review"))</f>
        <v>Portfolio</v>
      </c>
      <c r="O223" s="350" t="str">
        <f>IF($B223="Portfolio","Portfolio",IFERROR(INDEX(DATA_ASSET_CLASSIFICATION!$AB$8:$AB$13,MATCH($N223,DATA_ASSET_CLASSIFICATION!$AA$8:$AA$13,0)),"Review"))</f>
        <v>Portfolio</v>
      </c>
      <c r="P223" s="350" t="str">
        <f>IF($B223="Portfolio","Portfolio",IFERROR(INDEX(DATA_ASSET_CLASSIFICATION!$C$8:$C$24,MATCH($C223,DATA_ASSET_CLASSIFICATION!$A$8:$A$24,0)),"Review"))</f>
        <v>Portfolio</v>
      </c>
      <c r="Q223" s="350" t="str">
        <f t="shared" si="7"/>
        <v>OK</v>
      </c>
    </row>
    <row r="224" spans="1:17">
      <c r="A224" s="366" t="s">
        <v>2110</v>
      </c>
      <c r="B224" s="366" t="s">
        <v>1681</v>
      </c>
      <c r="C224" s="366" t="s">
        <v>1682</v>
      </c>
      <c r="D224" s="380">
        <f>'00_PORTFOLIO ROLLUP'!Q$12</f>
        <v>2037</v>
      </c>
      <c r="E224" s="366" t="s">
        <v>1741</v>
      </c>
      <c r="F224" s="366" t="s">
        <v>43</v>
      </c>
      <c r="G224" s="366" t="s">
        <v>2111</v>
      </c>
      <c r="H224" s="381">
        <f>'00_PORTFOLIO ROLLUP'!Q$68</f>
        <v>2905454.3878535749</v>
      </c>
      <c r="I224" s="366" t="s">
        <v>1731</v>
      </c>
      <c r="J224" s="348" t="str">
        <f t="shared" si="6"/>
        <v>OK</v>
      </c>
      <c r="K224" s="366" t="s">
        <v>1746</v>
      </c>
      <c r="L224" s="366" t="s">
        <v>1747</v>
      </c>
      <c r="M224" s="350" t="str">
        <f>IF($B224="Portfolio","Portfolio",IFERROR(INDEX(DATA_ASSET_CLASSIFICATION!$B$8:$B$24,MATCH($C224,DATA_ASSET_CLASSIFICATION!$A$8:$A$24,0)),"Review"))</f>
        <v>Portfolio</v>
      </c>
      <c r="N224" s="350" t="str">
        <f>IF($B224="Portfolio","Portfolio",IFERROR(INDEX(DATA_ASSET_CLASSIFICATION!$U$8:$U$24,MATCH($C224,DATA_ASSET_CLASSIFICATION!$A$8:$A$24,0)),"Review"))</f>
        <v>Portfolio</v>
      </c>
      <c r="O224" s="350" t="str">
        <f>IF($B224="Portfolio","Portfolio",IFERROR(INDEX(DATA_ASSET_CLASSIFICATION!$AB$8:$AB$13,MATCH($N224,DATA_ASSET_CLASSIFICATION!$AA$8:$AA$13,0)),"Review"))</f>
        <v>Portfolio</v>
      </c>
      <c r="P224" s="350" t="str">
        <f>IF($B224="Portfolio","Portfolio",IFERROR(INDEX(DATA_ASSET_CLASSIFICATION!$C$8:$C$24,MATCH($C224,DATA_ASSET_CLASSIFICATION!$A$8:$A$24,0)),"Review"))</f>
        <v>Portfolio</v>
      </c>
      <c r="Q224" s="350" t="str">
        <f t="shared" si="7"/>
        <v>OK</v>
      </c>
    </row>
    <row r="225" spans="1:17">
      <c r="A225" s="366" t="s">
        <v>2112</v>
      </c>
      <c r="B225" s="366" t="s">
        <v>1681</v>
      </c>
      <c r="C225" s="366" t="s">
        <v>1682</v>
      </c>
      <c r="D225" s="380">
        <f>'00_PORTFOLIO ROLLUP'!Q$12</f>
        <v>2037</v>
      </c>
      <c r="E225" s="366" t="s">
        <v>1741</v>
      </c>
      <c r="F225" s="366" t="s">
        <v>1749</v>
      </c>
      <c r="H225" s="381">
        <f>('00_PORTFOLIO ROLLUP'!Q$56+MAX('00_PORTFOLIO ROLLUP'!Q$63,0))-'00_PORTFOLIO ROLLUP'!Q$68</f>
        <v>0</v>
      </c>
      <c r="I225" s="366" t="s">
        <v>1750</v>
      </c>
      <c r="J225" s="348" t="str">
        <f t="shared" si="6"/>
        <v>OK</v>
      </c>
      <c r="K225" s="366" t="s">
        <v>1751</v>
      </c>
      <c r="L225" s="366" t="s">
        <v>1752</v>
      </c>
      <c r="M225" s="350" t="str">
        <f>IF($B225="Portfolio","Portfolio",IFERROR(INDEX(DATA_ASSET_CLASSIFICATION!$B$8:$B$24,MATCH($C225,DATA_ASSET_CLASSIFICATION!$A$8:$A$24,0)),"Review"))</f>
        <v>Portfolio</v>
      </c>
      <c r="N225" s="350" t="str">
        <f>IF($B225="Portfolio","Portfolio",IFERROR(INDEX(DATA_ASSET_CLASSIFICATION!$U$8:$U$24,MATCH($C225,DATA_ASSET_CLASSIFICATION!$A$8:$A$24,0)),"Review"))</f>
        <v>Portfolio</v>
      </c>
      <c r="O225" s="350" t="str">
        <f>IF($B225="Portfolio","Portfolio",IFERROR(INDEX(DATA_ASSET_CLASSIFICATION!$AB$8:$AB$13,MATCH($N225,DATA_ASSET_CLASSIFICATION!$AA$8:$AA$13,0)),"Review"))</f>
        <v>Portfolio</v>
      </c>
      <c r="P225" s="350" t="str">
        <f>IF($B225="Portfolio","Portfolio",IFERROR(INDEX(DATA_ASSET_CLASSIFICATION!$C$8:$C$24,MATCH($C225,DATA_ASSET_CLASSIFICATION!$A$8:$A$24,0)),"Review"))</f>
        <v>Portfolio</v>
      </c>
      <c r="Q225" s="350" t="str">
        <f t="shared" si="7"/>
        <v>OK</v>
      </c>
    </row>
    <row r="226" spans="1:17">
      <c r="A226" s="366" t="s">
        <v>2113</v>
      </c>
      <c r="B226" s="366" t="s">
        <v>1681</v>
      </c>
      <c r="C226" s="366" t="s">
        <v>1682</v>
      </c>
      <c r="D226" s="380">
        <f>'00_PORTFOLIO ROLLUP'!R$12</f>
        <v>2038</v>
      </c>
      <c r="E226" s="366" t="s">
        <v>1683</v>
      </c>
      <c r="F226" s="366" t="s">
        <v>341</v>
      </c>
      <c r="G226" s="366" t="s">
        <v>2114</v>
      </c>
      <c r="H226" s="381">
        <f>'00_PORTFOLIO ROLLUP'!R$24</f>
        <v>22723993.479447484</v>
      </c>
      <c r="I226" s="366" t="s">
        <v>1685</v>
      </c>
      <c r="J226" s="348" t="str">
        <f t="shared" si="6"/>
        <v>OK</v>
      </c>
      <c r="K226" s="366" t="s">
        <v>1686</v>
      </c>
      <c r="L226" s="366" t="s">
        <v>1687</v>
      </c>
      <c r="M226" s="350" t="str">
        <f>IF($B226="Portfolio","Portfolio",IFERROR(INDEX(DATA_ASSET_CLASSIFICATION!$B$8:$B$24,MATCH($C226,DATA_ASSET_CLASSIFICATION!$A$8:$A$24,0)),"Review"))</f>
        <v>Portfolio</v>
      </c>
      <c r="N226" s="350" t="str">
        <f>IF($B226="Portfolio","Portfolio",IFERROR(INDEX(DATA_ASSET_CLASSIFICATION!$U$8:$U$24,MATCH($C226,DATA_ASSET_CLASSIFICATION!$A$8:$A$24,0)),"Review"))</f>
        <v>Portfolio</v>
      </c>
      <c r="O226" s="350" t="str">
        <f>IF($B226="Portfolio","Portfolio",IFERROR(INDEX(DATA_ASSET_CLASSIFICATION!$AB$8:$AB$13,MATCH($N226,DATA_ASSET_CLASSIFICATION!$AA$8:$AA$13,0)),"Review"))</f>
        <v>Portfolio</v>
      </c>
      <c r="P226" s="350" t="str">
        <f>IF($B226="Portfolio","Portfolio",IFERROR(INDEX(DATA_ASSET_CLASSIFICATION!$C$8:$C$24,MATCH($C226,DATA_ASSET_CLASSIFICATION!$A$8:$A$24,0)),"Review"))</f>
        <v>Portfolio</v>
      </c>
      <c r="Q226" s="350" t="str">
        <f t="shared" si="7"/>
        <v>OK</v>
      </c>
    </row>
    <row r="227" spans="1:17">
      <c r="A227" s="366" t="s">
        <v>2115</v>
      </c>
      <c r="B227" s="366" t="s">
        <v>1681</v>
      </c>
      <c r="C227" s="366" t="s">
        <v>1682</v>
      </c>
      <c r="D227" s="380">
        <f>'00_PORTFOLIO ROLLUP'!R$12</f>
        <v>2038</v>
      </c>
      <c r="E227" s="366" t="s">
        <v>1683</v>
      </c>
      <c r="F227" s="366" t="s">
        <v>355</v>
      </c>
      <c r="G227" s="366" t="s">
        <v>2116</v>
      </c>
      <c r="H227" s="381">
        <f>'00_PORTFOLIO ROLLUP'!R$39</f>
        <v>8408210.7076529097</v>
      </c>
      <c r="I227" s="366" t="s">
        <v>1690</v>
      </c>
      <c r="J227" s="348" t="str">
        <f t="shared" si="6"/>
        <v>OK</v>
      </c>
      <c r="K227" s="366" t="s">
        <v>1686</v>
      </c>
      <c r="L227" s="366" t="s">
        <v>1691</v>
      </c>
      <c r="M227" s="350" t="str">
        <f>IF($B227="Portfolio","Portfolio",IFERROR(INDEX(DATA_ASSET_CLASSIFICATION!$B$8:$B$24,MATCH($C227,DATA_ASSET_CLASSIFICATION!$A$8:$A$24,0)),"Review"))</f>
        <v>Portfolio</v>
      </c>
      <c r="N227" s="350" t="str">
        <f>IF($B227="Portfolio","Portfolio",IFERROR(INDEX(DATA_ASSET_CLASSIFICATION!$U$8:$U$24,MATCH($C227,DATA_ASSET_CLASSIFICATION!$A$8:$A$24,0)),"Review"))</f>
        <v>Portfolio</v>
      </c>
      <c r="O227" s="350" t="str">
        <f>IF($B227="Portfolio","Portfolio",IFERROR(INDEX(DATA_ASSET_CLASSIFICATION!$AB$8:$AB$13,MATCH($N227,DATA_ASSET_CLASSIFICATION!$AA$8:$AA$13,0)),"Review"))</f>
        <v>Portfolio</v>
      </c>
      <c r="P227" s="350" t="str">
        <f>IF($B227="Portfolio","Portfolio",IFERROR(INDEX(DATA_ASSET_CLASSIFICATION!$C$8:$C$24,MATCH($C227,DATA_ASSET_CLASSIFICATION!$A$8:$A$24,0)),"Review"))</f>
        <v>Portfolio</v>
      </c>
      <c r="Q227" s="350" t="str">
        <f t="shared" si="7"/>
        <v>OK</v>
      </c>
    </row>
    <row r="228" spans="1:17">
      <c r="A228" s="366" t="s">
        <v>2117</v>
      </c>
      <c r="B228" s="366" t="s">
        <v>1681</v>
      </c>
      <c r="C228" s="366" t="s">
        <v>1682</v>
      </c>
      <c r="D228" s="380">
        <f>'00_PORTFOLIO ROLLUP'!R$12</f>
        <v>2038</v>
      </c>
      <c r="E228" s="366" t="s">
        <v>1683</v>
      </c>
      <c r="F228" s="366" t="s">
        <v>19</v>
      </c>
      <c r="G228" s="366" t="s">
        <v>2118</v>
      </c>
      <c r="H228" s="381">
        <f>'00_PORTFOLIO ROLLUP'!R$41</f>
        <v>14315782.771794574</v>
      </c>
      <c r="I228" s="366" t="s">
        <v>1685</v>
      </c>
      <c r="J228" s="348" t="str">
        <f t="shared" si="6"/>
        <v>OK</v>
      </c>
      <c r="K228" s="366" t="s">
        <v>1694</v>
      </c>
      <c r="L228" s="366" t="s">
        <v>1695</v>
      </c>
      <c r="M228" s="350" t="str">
        <f>IF($B228="Portfolio","Portfolio",IFERROR(INDEX(DATA_ASSET_CLASSIFICATION!$B$8:$B$24,MATCH($C228,DATA_ASSET_CLASSIFICATION!$A$8:$A$24,0)),"Review"))</f>
        <v>Portfolio</v>
      </c>
      <c r="N228" s="350" t="str">
        <f>IF($B228="Portfolio","Portfolio",IFERROR(INDEX(DATA_ASSET_CLASSIFICATION!$U$8:$U$24,MATCH($C228,DATA_ASSET_CLASSIFICATION!$A$8:$A$24,0)),"Review"))</f>
        <v>Portfolio</v>
      </c>
      <c r="O228" s="350" t="str">
        <f>IF($B228="Portfolio","Portfolio",IFERROR(INDEX(DATA_ASSET_CLASSIFICATION!$AB$8:$AB$13,MATCH($N228,DATA_ASSET_CLASSIFICATION!$AA$8:$AA$13,0)),"Review"))</f>
        <v>Portfolio</v>
      </c>
      <c r="P228" s="350" t="str">
        <f>IF($B228="Portfolio","Portfolio",IFERROR(INDEX(DATA_ASSET_CLASSIFICATION!$C$8:$C$24,MATCH($C228,DATA_ASSET_CLASSIFICATION!$A$8:$A$24,0)),"Review"))</f>
        <v>Portfolio</v>
      </c>
      <c r="Q228" s="350" t="str">
        <f t="shared" si="7"/>
        <v>OK</v>
      </c>
    </row>
    <row r="229" spans="1:17">
      <c r="A229" s="366" t="s">
        <v>2119</v>
      </c>
      <c r="B229" s="366" t="s">
        <v>1681</v>
      </c>
      <c r="C229" s="366" t="s">
        <v>1682</v>
      </c>
      <c r="D229" s="380">
        <f>'00_PORTFOLIO ROLLUP'!R$12</f>
        <v>2038</v>
      </c>
      <c r="E229" s="366" t="s">
        <v>1683</v>
      </c>
      <c r="F229" s="366" t="s">
        <v>1697</v>
      </c>
      <c r="G229" s="366" t="s">
        <v>2120</v>
      </c>
      <c r="H229" s="381">
        <f>'00_PORTFOLIO ROLLUP'!R$44</f>
        <v>208788.1101552427</v>
      </c>
      <c r="I229" s="366" t="s">
        <v>1690</v>
      </c>
      <c r="J229" s="348" t="str">
        <f t="shared" si="6"/>
        <v>OK</v>
      </c>
      <c r="K229" s="366" t="s">
        <v>1699</v>
      </c>
      <c r="L229" s="366" t="s">
        <v>1700</v>
      </c>
      <c r="M229" s="350" t="str">
        <f>IF($B229="Portfolio","Portfolio",IFERROR(INDEX(DATA_ASSET_CLASSIFICATION!$B$8:$B$24,MATCH($C229,DATA_ASSET_CLASSIFICATION!$A$8:$A$24,0)),"Review"))</f>
        <v>Portfolio</v>
      </c>
      <c r="N229" s="350" t="str">
        <f>IF($B229="Portfolio","Portfolio",IFERROR(INDEX(DATA_ASSET_CLASSIFICATION!$U$8:$U$24,MATCH($C229,DATA_ASSET_CLASSIFICATION!$A$8:$A$24,0)),"Review"))</f>
        <v>Portfolio</v>
      </c>
      <c r="O229" s="350" t="str">
        <f>IF($B229="Portfolio","Portfolio",IFERROR(INDEX(DATA_ASSET_CLASSIFICATION!$AB$8:$AB$13,MATCH($N229,DATA_ASSET_CLASSIFICATION!$AA$8:$AA$13,0)),"Review"))</f>
        <v>Portfolio</v>
      </c>
      <c r="P229" s="350" t="str">
        <f>IF($B229="Portfolio","Portfolio",IFERROR(INDEX(DATA_ASSET_CLASSIFICATION!$C$8:$C$24,MATCH($C229,DATA_ASSET_CLASSIFICATION!$A$8:$A$24,0)),"Review"))</f>
        <v>Portfolio</v>
      </c>
      <c r="Q229" s="350" t="str">
        <f t="shared" si="7"/>
        <v>OK</v>
      </c>
    </row>
    <row r="230" spans="1:17">
      <c r="A230" s="366" t="s">
        <v>2121</v>
      </c>
      <c r="B230" s="366" t="s">
        <v>1681</v>
      </c>
      <c r="C230" s="366" t="s">
        <v>1682</v>
      </c>
      <c r="D230" s="380">
        <f>'00_PORTFOLIO ROLLUP'!R$12</f>
        <v>2038</v>
      </c>
      <c r="E230" s="366" t="s">
        <v>1683</v>
      </c>
      <c r="F230" s="366" t="s">
        <v>21</v>
      </c>
      <c r="G230" s="366" t="s">
        <v>2122</v>
      </c>
      <c r="H230" s="381">
        <f>'00_PORTFOLIO ROLLUP'!R$45</f>
        <v>14106994.661639331</v>
      </c>
      <c r="I230" s="366" t="s">
        <v>1685</v>
      </c>
      <c r="J230" s="348" t="str">
        <f t="shared" si="6"/>
        <v>OK</v>
      </c>
      <c r="K230" s="366" t="s">
        <v>1694</v>
      </c>
      <c r="L230" s="366" t="s">
        <v>1703</v>
      </c>
      <c r="M230" s="350" t="str">
        <f>IF($B230="Portfolio","Portfolio",IFERROR(INDEX(DATA_ASSET_CLASSIFICATION!$B$8:$B$24,MATCH($C230,DATA_ASSET_CLASSIFICATION!$A$8:$A$24,0)),"Review"))</f>
        <v>Portfolio</v>
      </c>
      <c r="N230" s="350" t="str">
        <f>IF($B230="Portfolio","Portfolio",IFERROR(INDEX(DATA_ASSET_CLASSIFICATION!$U$8:$U$24,MATCH($C230,DATA_ASSET_CLASSIFICATION!$A$8:$A$24,0)),"Review"))</f>
        <v>Portfolio</v>
      </c>
      <c r="O230" s="350" t="str">
        <f>IF($B230="Portfolio","Portfolio",IFERROR(INDEX(DATA_ASSET_CLASSIFICATION!$AB$8:$AB$13,MATCH($N230,DATA_ASSET_CLASSIFICATION!$AA$8:$AA$13,0)),"Review"))</f>
        <v>Portfolio</v>
      </c>
      <c r="P230" s="350" t="str">
        <f>IF($B230="Portfolio","Portfolio",IFERROR(INDEX(DATA_ASSET_CLASSIFICATION!$C$8:$C$24,MATCH($C230,DATA_ASSET_CLASSIFICATION!$A$8:$A$24,0)),"Review"))</f>
        <v>Portfolio</v>
      </c>
      <c r="Q230" s="350" t="str">
        <f t="shared" si="7"/>
        <v>OK</v>
      </c>
    </row>
    <row r="231" spans="1:17">
      <c r="A231" s="366" t="s">
        <v>2123</v>
      </c>
      <c r="B231" s="366" t="s">
        <v>1681</v>
      </c>
      <c r="C231" s="366" t="s">
        <v>1682</v>
      </c>
      <c r="D231" s="380">
        <f>'00_PORTFOLIO ROLLUP'!R$12</f>
        <v>2038</v>
      </c>
      <c r="E231" s="366" t="s">
        <v>23</v>
      </c>
      <c r="F231" s="366" t="s">
        <v>23</v>
      </c>
      <c r="G231" s="366" t="s">
        <v>2124</v>
      </c>
      <c r="H231" s="381">
        <f>'00_PORTFOLIO ROLLUP'!R$48</f>
        <v>6811656.6125063812</v>
      </c>
      <c r="I231" s="366" t="s">
        <v>1690</v>
      </c>
      <c r="J231" s="348" t="str">
        <f t="shared" si="6"/>
        <v>OK</v>
      </c>
      <c r="K231" s="366" t="s">
        <v>1706</v>
      </c>
      <c r="L231" s="366" t="s">
        <v>1707</v>
      </c>
      <c r="M231" s="350" t="str">
        <f>IF($B231="Portfolio","Portfolio",IFERROR(INDEX(DATA_ASSET_CLASSIFICATION!$B$8:$B$24,MATCH($C231,DATA_ASSET_CLASSIFICATION!$A$8:$A$24,0)),"Review"))</f>
        <v>Portfolio</v>
      </c>
      <c r="N231" s="350" t="str">
        <f>IF($B231="Portfolio","Portfolio",IFERROR(INDEX(DATA_ASSET_CLASSIFICATION!$U$8:$U$24,MATCH($C231,DATA_ASSET_CLASSIFICATION!$A$8:$A$24,0)),"Review"))</f>
        <v>Portfolio</v>
      </c>
      <c r="O231" s="350" t="str">
        <f>IF($B231="Portfolio","Portfolio",IFERROR(INDEX(DATA_ASSET_CLASSIFICATION!$AB$8:$AB$13,MATCH($N231,DATA_ASSET_CLASSIFICATION!$AA$8:$AA$13,0)),"Review"))</f>
        <v>Portfolio</v>
      </c>
      <c r="P231" s="350" t="str">
        <f>IF($B231="Portfolio","Portfolio",IFERROR(INDEX(DATA_ASSET_CLASSIFICATION!$C$8:$C$24,MATCH($C231,DATA_ASSET_CLASSIFICATION!$A$8:$A$24,0)),"Review"))</f>
        <v>Portfolio</v>
      </c>
      <c r="Q231" s="350" t="str">
        <f t="shared" si="7"/>
        <v>OK</v>
      </c>
    </row>
    <row r="232" spans="1:17">
      <c r="A232" s="366" t="s">
        <v>2125</v>
      </c>
      <c r="B232" s="366" t="s">
        <v>1681</v>
      </c>
      <c r="C232" s="366" t="s">
        <v>1682</v>
      </c>
      <c r="D232" s="380">
        <f>'00_PORTFOLIO ROLLUP'!R$12</f>
        <v>2038</v>
      </c>
      <c r="E232" s="366" t="s">
        <v>1683</v>
      </c>
      <c r="F232" s="366" t="s">
        <v>25</v>
      </c>
      <c r="G232" s="366" t="s">
        <v>2126</v>
      </c>
      <c r="H232" s="381">
        <f>'00_PORTFOLIO ROLLUP'!R$52</f>
        <v>7504126.1592881931</v>
      </c>
      <c r="I232" s="366" t="s">
        <v>1685</v>
      </c>
      <c r="J232" s="348" t="str">
        <f t="shared" si="6"/>
        <v>OK</v>
      </c>
      <c r="K232" s="366" t="s">
        <v>1710</v>
      </c>
      <c r="L232" s="366" t="s">
        <v>1711</v>
      </c>
      <c r="M232" s="350" t="str">
        <f>IF($B232="Portfolio","Portfolio",IFERROR(INDEX(DATA_ASSET_CLASSIFICATION!$B$8:$B$24,MATCH($C232,DATA_ASSET_CLASSIFICATION!$A$8:$A$24,0)),"Review"))</f>
        <v>Portfolio</v>
      </c>
      <c r="N232" s="350" t="str">
        <f>IF($B232="Portfolio","Portfolio",IFERROR(INDEX(DATA_ASSET_CLASSIFICATION!$U$8:$U$24,MATCH($C232,DATA_ASSET_CLASSIFICATION!$A$8:$A$24,0)),"Review"))</f>
        <v>Portfolio</v>
      </c>
      <c r="O232" s="350" t="str">
        <f>IF($B232="Portfolio","Portfolio",IFERROR(INDEX(DATA_ASSET_CLASSIFICATION!$AB$8:$AB$13,MATCH($N232,DATA_ASSET_CLASSIFICATION!$AA$8:$AA$13,0)),"Review"))</f>
        <v>Portfolio</v>
      </c>
      <c r="P232" s="350" t="str">
        <f>IF($B232="Portfolio","Portfolio",IFERROR(INDEX(DATA_ASSET_CLASSIFICATION!$C$8:$C$24,MATCH($C232,DATA_ASSET_CLASSIFICATION!$A$8:$A$24,0)),"Review"))</f>
        <v>Portfolio</v>
      </c>
      <c r="Q232" s="350" t="str">
        <f t="shared" si="7"/>
        <v>OK</v>
      </c>
    </row>
    <row r="233" spans="1:17">
      <c r="A233" s="366" t="s">
        <v>2127</v>
      </c>
      <c r="B233" s="366" t="s">
        <v>1681</v>
      </c>
      <c r="C233" s="366" t="s">
        <v>1682</v>
      </c>
      <c r="D233" s="380">
        <f>'00_PORTFOLIO ROLLUP'!R$12</f>
        <v>2038</v>
      </c>
      <c r="E233" s="366" t="s">
        <v>1683</v>
      </c>
      <c r="F233" s="366" t="s">
        <v>27</v>
      </c>
      <c r="G233" s="366" t="s">
        <v>2128</v>
      </c>
      <c r="H233" s="381">
        <f>'00_PORTFOLIO ROLLUP'!R$54</f>
        <v>4502475.6955729155</v>
      </c>
      <c r="I233" s="366" t="s">
        <v>1690</v>
      </c>
      <c r="J233" s="348" t="str">
        <f t="shared" si="6"/>
        <v>OK</v>
      </c>
      <c r="K233" s="366" t="s">
        <v>1714</v>
      </c>
      <c r="L233" s="366" t="s">
        <v>1715</v>
      </c>
      <c r="M233" s="350" t="str">
        <f>IF($B233="Portfolio","Portfolio",IFERROR(INDEX(DATA_ASSET_CLASSIFICATION!$B$8:$B$24,MATCH($C233,DATA_ASSET_CLASSIFICATION!$A$8:$A$24,0)),"Review"))</f>
        <v>Portfolio</v>
      </c>
      <c r="N233" s="350" t="str">
        <f>IF($B233="Portfolio","Portfolio",IFERROR(INDEX(DATA_ASSET_CLASSIFICATION!$U$8:$U$24,MATCH($C233,DATA_ASSET_CLASSIFICATION!$A$8:$A$24,0)),"Review"))</f>
        <v>Portfolio</v>
      </c>
      <c r="O233" s="350" t="str">
        <f>IF($B233="Portfolio","Portfolio",IFERROR(INDEX(DATA_ASSET_CLASSIFICATION!$AB$8:$AB$13,MATCH($N233,DATA_ASSET_CLASSIFICATION!$AA$8:$AA$13,0)),"Review"))</f>
        <v>Portfolio</v>
      </c>
      <c r="P233" s="350" t="str">
        <f>IF($B233="Portfolio","Portfolio",IFERROR(INDEX(DATA_ASSET_CLASSIFICATION!$C$8:$C$24,MATCH($C233,DATA_ASSET_CLASSIFICATION!$A$8:$A$24,0)),"Review"))</f>
        <v>Portfolio</v>
      </c>
      <c r="Q233" s="350" t="str">
        <f t="shared" si="7"/>
        <v>OK</v>
      </c>
    </row>
    <row r="234" spans="1:17">
      <c r="A234" s="366" t="s">
        <v>2129</v>
      </c>
      <c r="B234" s="366" t="s">
        <v>1681</v>
      </c>
      <c r="C234" s="366" t="s">
        <v>1682</v>
      </c>
      <c r="D234" s="380">
        <f>'00_PORTFOLIO ROLLUP'!R$12</f>
        <v>2038</v>
      </c>
      <c r="E234" s="366" t="s">
        <v>1683</v>
      </c>
      <c r="F234" s="366" t="s">
        <v>29</v>
      </c>
      <c r="G234" s="366" t="s">
        <v>2130</v>
      </c>
      <c r="H234" s="381">
        <f>'00_PORTFOLIO ROLLUP'!R$56</f>
        <v>3001650.4637152776</v>
      </c>
      <c r="I234" s="366" t="s">
        <v>1685</v>
      </c>
      <c r="J234" s="348" t="str">
        <f t="shared" si="6"/>
        <v>OK</v>
      </c>
      <c r="K234" s="366" t="s">
        <v>1718</v>
      </c>
      <c r="L234" s="366" t="s">
        <v>1719</v>
      </c>
      <c r="M234" s="350" t="str">
        <f>IF($B234="Portfolio","Portfolio",IFERROR(INDEX(DATA_ASSET_CLASSIFICATION!$B$8:$B$24,MATCH($C234,DATA_ASSET_CLASSIFICATION!$A$8:$A$24,0)),"Review"))</f>
        <v>Portfolio</v>
      </c>
      <c r="N234" s="350" t="str">
        <f>IF($B234="Portfolio","Portfolio",IFERROR(INDEX(DATA_ASSET_CLASSIFICATION!$U$8:$U$24,MATCH($C234,DATA_ASSET_CLASSIFICATION!$A$8:$A$24,0)),"Review"))</f>
        <v>Portfolio</v>
      </c>
      <c r="O234" s="350" t="str">
        <f>IF($B234="Portfolio","Portfolio",IFERROR(INDEX(DATA_ASSET_CLASSIFICATION!$AB$8:$AB$13,MATCH($N234,DATA_ASSET_CLASSIFICATION!$AA$8:$AA$13,0)),"Review"))</f>
        <v>Portfolio</v>
      </c>
      <c r="P234" s="350" t="str">
        <f>IF($B234="Portfolio","Portfolio",IFERROR(INDEX(DATA_ASSET_CLASSIFICATION!$C$8:$C$24,MATCH($C234,DATA_ASSET_CLASSIFICATION!$A$8:$A$24,0)),"Review"))</f>
        <v>Portfolio</v>
      </c>
      <c r="Q234" s="350" t="str">
        <f t="shared" si="7"/>
        <v>OK</v>
      </c>
    </row>
    <row r="235" spans="1:17">
      <c r="A235" s="366" t="s">
        <v>2131</v>
      </c>
      <c r="B235" s="366" t="s">
        <v>1681</v>
      </c>
      <c r="C235" s="366" t="s">
        <v>1682</v>
      </c>
      <c r="D235" s="380">
        <f>'00_PORTFOLIO ROLLUP'!R$12</f>
        <v>2038</v>
      </c>
      <c r="E235" s="366" t="s">
        <v>1721</v>
      </c>
      <c r="F235" s="366" t="s">
        <v>31</v>
      </c>
      <c r="G235" s="366" t="s">
        <v>2132</v>
      </c>
      <c r="H235" s="381">
        <f>'00_PORTFOLIO ROLLUP'!R$61</f>
        <v>0</v>
      </c>
      <c r="I235" s="366" t="s">
        <v>1690</v>
      </c>
      <c r="J235" s="348" t="str">
        <f t="shared" si="6"/>
        <v>OK</v>
      </c>
      <c r="K235" s="366" t="s">
        <v>1723</v>
      </c>
      <c r="L235" s="366" t="s">
        <v>1724</v>
      </c>
      <c r="M235" s="350" t="str">
        <f>IF($B235="Portfolio","Portfolio",IFERROR(INDEX(DATA_ASSET_CLASSIFICATION!$B$8:$B$24,MATCH($C235,DATA_ASSET_CLASSIFICATION!$A$8:$A$24,0)),"Review"))</f>
        <v>Portfolio</v>
      </c>
      <c r="N235" s="350" t="str">
        <f>IF($B235="Portfolio","Portfolio",IFERROR(INDEX(DATA_ASSET_CLASSIFICATION!$U$8:$U$24,MATCH($C235,DATA_ASSET_CLASSIFICATION!$A$8:$A$24,0)),"Review"))</f>
        <v>Portfolio</v>
      </c>
      <c r="O235" s="350" t="str">
        <f>IF($B235="Portfolio","Portfolio",IFERROR(INDEX(DATA_ASSET_CLASSIFICATION!$AB$8:$AB$13,MATCH($N235,DATA_ASSET_CLASSIFICATION!$AA$8:$AA$13,0)),"Review"))</f>
        <v>Portfolio</v>
      </c>
      <c r="P235" s="350" t="str">
        <f>IF($B235="Portfolio","Portfolio",IFERROR(INDEX(DATA_ASSET_CLASSIFICATION!$C$8:$C$24,MATCH($C235,DATA_ASSET_CLASSIFICATION!$A$8:$A$24,0)),"Review"))</f>
        <v>Portfolio</v>
      </c>
      <c r="Q235" s="350" t="str">
        <f t="shared" si="7"/>
        <v>OK</v>
      </c>
    </row>
    <row r="236" spans="1:17">
      <c r="A236" s="366" t="s">
        <v>2133</v>
      </c>
      <c r="B236" s="366" t="s">
        <v>1681</v>
      </c>
      <c r="C236" s="366" t="s">
        <v>1682</v>
      </c>
      <c r="D236" s="380">
        <f>'00_PORTFOLIO ROLLUP'!R$12</f>
        <v>2038</v>
      </c>
      <c r="E236" s="366" t="s">
        <v>1721</v>
      </c>
      <c r="F236" s="366" t="s">
        <v>33</v>
      </c>
      <c r="G236" s="366" t="s">
        <v>2134</v>
      </c>
      <c r="H236" s="381">
        <f>'00_PORTFOLIO ROLLUP'!R$62</f>
        <v>0</v>
      </c>
      <c r="I236" s="366" t="s">
        <v>1685</v>
      </c>
      <c r="J236" s="348" t="str">
        <f t="shared" si="6"/>
        <v>OK</v>
      </c>
      <c r="K236" s="366" t="s">
        <v>1727</v>
      </c>
      <c r="L236" s="366" t="s">
        <v>1728</v>
      </c>
      <c r="M236" s="350" t="str">
        <f>IF($B236="Portfolio","Portfolio",IFERROR(INDEX(DATA_ASSET_CLASSIFICATION!$B$8:$B$24,MATCH($C236,DATA_ASSET_CLASSIFICATION!$A$8:$A$24,0)),"Review"))</f>
        <v>Portfolio</v>
      </c>
      <c r="N236" s="350" t="str">
        <f>IF($B236="Portfolio","Portfolio",IFERROR(INDEX(DATA_ASSET_CLASSIFICATION!$U$8:$U$24,MATCH($C236,DATA_ASSET_CLASSIFICATION!$A$8:$A$24,0)),"Review"))</f>
        <v>Portfolio</v>
      </c>
      <c r="O236" s="350" t="str">
        <f>IF($B236="Portfolio","Portfolio",IFERROR(INDEX(DATA_ASSET_CLASSIFICATION!$AB$8:$AB$13,MATCH($N236,DATA_ASSET_CLASSIFICATION!$AA$8:$AA$13,0)),"Review"))</f>
        <v>Portfolio</v>
      </c>
      <c r="P236" s="350" t="str">
        <f>IF($B236="Portfolio","Portfolio",IFERROR(INDEX(DATA_ASSET_CLASSIFICATION!$C$8:$C$24,MATCH($C236,DATA_ASSET_CLASSIFICATION!$A$8:$A$24,0)),"Review"))</f>
        <v>Portfolio</v>
      </c>
      <c r="Q236" s="350" t="str">
        <f t="shared" si="7"/>
        <v>OK</v>
      </c>
    </row>
    <row r="237" spans="1:17">
      <c r="A237" s="366" t="s">
        <v>2135</v>
      </c>
      <c r="B237" s="366" t="s">
        <v>1681</v>
      </c>
      <c r="C237" s="366" t="s">
        <v>1682</v>
      </c>
      <c r="D237" s="380">
        <f>'00_PORTFOLIO ROLLUP'!R$12</f>
        <v>2038</v>
      </c>
      <c r="E237" s="366" t="s">
        <v>1721</v>
      </c>
      <c r="F237" s="366" t="s">
        <v>35</v>
      </c>
      <c r="G237" s="366" t="s">
        <v>2136</v>
      </c>
      <c r="H237" s="381">
        <f>'00_PORTFOLIO ROLLUP'!R$63</f>
        <v>0</v>
      </c>
      <c r="I237" s="366" t="s">
        <v>1731</v>
      </c>
      <c r="J237" s="348" t="str">
        <f t="shared" si="6"/>
        <v>OK</v>
      </c>
      <c r="K237" s="366" t="s">
        <v>1732</v>
      </c>
      <c r="L237" s="366" t="s">
        <v>1733</v>
      </c>
      <c r="M237" s="350" t="str">
        <f>IF($B237="Portfolio","Portfolio",IFERROR(INDEX(DATA_ASSET_CLASSIFICATION!$B$8:$B$24,MATCH($C237,DATA_ASSET_CLASSIFICATION!$A$8:$A$24,0)),"Review"))</f>
        <v>Portfolio</v>
      </c>
      <c r="N237" s="350" t="str">
        <f>IF($B237="Portfolio","Portfolio",IFERROR(INDEX(DATA_ASSET_CLASSIFICATION!$U$8:$U$24,MATCH($C237,DATA_ASSET_CLASSIFICATION!$A$8:$A$24,0)),"Review"))</f>
        <v>Portfolio</v>
      </c>
      <c r="O237" s="350" t="str">
        <f>IF($B237="Portfolio","Portfolio",IFERROR(INDEX(DATA_ASSET_CLASSIFICATION!$AB$8:$AB$13,MATCH($N237,DATA_ASSET_CLASSIFICATION!$AA$8:$AA$13,0)),"Review"))</f>
        <v>Portfolio</v>
      </c>
      <c r="P237" s="350" t="str">
        <f>IF($B237="Portfolio","Portfolio",IFERROR(INDEX(DATA_ASSET_CLASSIFICATION!$C$8:$C$24,MATCH($C237,DATA_ASSET_CLASSIFICATION!$A$8:$A$24,0)),"Review"))</f>
        <v>Portfolio</v>
      </c>
      <c r="Q237" s="350" t="str">
        <f t="shared" si="7"/>
        <v>OK</v>
      </c>
    </row>
    <row r="238" spans="1:17">
      <c r="A238" s="366" t="s">
        <v>2137</v>
      </c>
      <c r="B238" s="366" t="s">
        <v>1681</v>
      </c>
      <c r="C238" s="366" t="s">
        <v>1682</v>
      </c>
      <c r="D238" s="380">
        <f>'00_PORTFOLIO ROLLUP'!R$12</f>
        <v>2038</v>
      </c>
      <c r="E238" s="366" t="s">
        <v>1721</v>
      </c>
      <c r="F238" s="366" t="s">
        <v>37</v>
      </c>
      <c r="G238" s="366" t="s">
        <v>2136</v>
      </c>
      <c r="H238" s="381">
        <f>MAX('00_PORTFOLIO ROLLUP'!R$63,0)</f>
        <v>0</v>
      </c>
      <c r="I238" s="366" t="s">
        <v>1685</v>
      </c>
      <c r="J238" s="348" t="str">
        <f t="shared" si="6"/>
        <v>OK</v>
      </c>
      <c r="K238" s="366" t="s">
        <v>1735</v>
      </c>
      <c r="L238" s="366" t="s">
        <v>1736</v>
      </c>
      <c r="M238" s="350" t="str">
        <f>IF($B238="Portfolio","Portfolio",IFERROR(INDEX(DATA_ASSET_CLASSIFICATION!$B$8:$B$24,MATCH($C238,DATA_ASSET_CLASSIFICATION!$A$8:$A$24,0)),"Review"))</f>
        <v>Portfolio</v>
      </c>
      <c r="N238" s="350" t="str">
        <f>IF($B238="Portfolio","Portfolio",IFERROR(INDEX(DATA_ASSET_CLASSIFICATION!$U$8:$U$24,MATCH($C238,DATA_ASSET_CLASSIFICATION!$A$8:$A$24,0)),"Review"))</f>
        <v>Portfolio</v>
      </c>
      <c r="O238" s="350" t="str">
        <f>IF($B238="Portfolio","Portfolio",IFERROR(INDEX(DATA_ASSET_CLASSIFICATION!$AB$8:$AB$13,MATCH($N238,DATA_ASSET_CLASSIFICATION!$AA$8:$AA$13,0)),"Review"))</f>
        <v>Portfolio</v>
      </c>
      <c r="P238" s="350" t="str">
        <f>IF($B238="Portfolio","Portfolio",IFERROR(INDEX(DATA_ASSET_CLASSIFICATION!$C$8:$C$24,MATCH($C238,DATA_ASSET_CLASSIFICATION!$A$8:$A$24,0)),"Review"))</f>
        <v>Portfolio</v>
      </c>
      <c r="Q238" s="350" t="str">
        <f t="shared" si="7"/>
        <v>OK</v>
      </c>
    </row>
    <row r="239" spans="1:17">
      <c r="A239" s="366" t="s">
        <v>2138</v>
      </c>
      <c r="B239" s="366" t="s">
        <v>1681</v>
      </c>
      <c r="C239" s="366" t="s">
        <v>1682</v>
      </c>
      <c r="D239" s="380">
        <f>'00_PORTFOLIO ROLLUP'!R$12</f>
        <v>2038</v>
      </c>
      <c r="E239" s="366" t="s">
        <v>1721</v>
      </c>
      <c r="F239" s="366" t="s">
        <v>39</v>
      </c>
      <c r="G239" s="366" t="s">
        <v>2136</v>
      </c>
      <c r="H239" s="381">
        <f>MAX(-'00_PORTFOLIO ROLLUP'!R$63,0)</f>
        <v>0</v>
      </c>
      <c r="I239" s="366" t="s">
        <v>1690</v>
      </c>
      <c r="J239" s="348" t="str">
        <f t="shared" si="6"/>
        <v>OK</v>
      </c>
      <c r="K239" s="366" t="s">
        <v>1738</v>
      </c>
      <c r="L239" s="366" t="s">
        <v>1739</v>
      </c>
      <c r="M239" s="350" t="str">
        <f>IF($B239="Portfolio","Portfolio",IFERROR(INDEX(DATA_ASSET_CLASSIFICATION!$B$8:$B$24,MATCH($C239,DATA_ASSET_CLASSIFICATION!$A$8:$A$24,0)),"Review"))</f>
        <v>Portfolio</v>
      </c>
      <c r="N239" s="350" t="str">
        <f>IF($B239="Portfolio","Portfolio",IFERROR(INDEX(DATA_ASSET_CLASSIFICATION!$U$8:$U$24,MATCH($C239,DATA_ASSET_CLASSIFICATION!$A$8:$A$24,0)),"Review"))</f>
        <v>Portfolio</v>
      </c>
      <c r="O239" s="350" t="str">
        <f>IF($B239="Portfolio","Portfolio",IFERROR(INDEX(DATA_ASSET_CLASSIFICATION!$AB$8:$AB$13,MATCH($N239,DATA_ASSET_CLASSIFICATION!$AA$8:$AA$13,0)),"Review"))</f>
        <v>Portfolio</v>
      </c>
      <c r="P239" s="350" t="str">
        <f>IF($B239="Portfolio","Portfolio",IFERROR(INDEX(DATA_ASSET_CLASSIFICATION!$C$8:$C$24,MATCH($C239,DATA_ASSET_CLASSIFICATION!$A$8:$A$24,0)),"Review"))</f>
        <v>Portfolio</v>
      </c>
      <c r="Q239" s="350" t="str">
        <f t="shared" si="7"/>
        <v>OK</v>
      </c>
    </row>
    <row r="240" spans="1:17">
      <c r="A240" s="366" t="s">
        <v>2139</v>
      </c>
      <c r="B240" s="366" t="s">
        <v>1681</v>
      </c>
      <c r="C240" s="366" t="s">
        <v>1682</v>
      </c>
      <c r="D240" s="380">
        <f>'00_PORTFOLIO ROLLUP'!R$12</f>
        <v>2038</v>
      </c>
      <c r="E240" s="366" t="s">
        <v>1741</v>
      </c>
      <c r="F240" s="366" t="s">
        <v>41</v>
      </c>
      <c r="H240" s="381">
        <f>'00_PORTFOLIO ROLLUP'!R$56+MAX('00_PORTFOLIO ROLLUP'!R$63,0)</f>
        <v>3001650.4637152776</v>
      </c>
      <c r="I240" s="366" t="s">
        <v>1685</v>
      </c>
      <c r="J240" s="348" t="str">
        <f t="shared" si="6"/>
        <v>OK</v>
      </c>
      <c r="K240" s="366" t="s">
        <v>1742</v>
      </c>
      <c r="L240" s="366" t="s">
        <v>1743</v>
      </c>
      <c r="M240" s="350" t="str">
        <f>IF($B240="Portfolio","Portfolio",IFERROR(INDEX(DATA_ASSET_CLASSIFICATION!$B$8:$B$24,MATCH($C240,DATA_ASSET_CLASSIFICATION!$A$8:$A$24,0)),"Review"))</f>
        <v>Portfolio</v>
      </c>
      <c r="N240" s="350" t="str">
        <f>IF($B240="Portfolio","Portfolio",IFERROR(INDEX(DATA_ASSET_CLASSIFICATION!$U$8:$U$24,MATCH($C240,DATA_ASSET_CLASSIFICATION!$A$8:$A$24,0)),"Review"))</f>
        <v>Portfolio</v>
      </c>
      <c r="O240" s="350" t="str">
        <f>IF($B240="Portfolio","Portfolio",IFERROR(INDEX(DATA_ASSET_CLASSIFICATION!$AB$8:$AB$13,MATCH($N240,DATA_ASSET_CLASSIFICATION!$AA$8:$AA$13,0)),"Review"))</f>
        <v>Portfolio</v>
      </c>
      <c r="P240" s="350" t="str">
        <f>IF($B240="Portfolio","Portfolio",IFERROR(INDEX(DATA_ASSET_CLASSIFICATION!$C$8:$C$24,MATCH($C240,DATA_ASSET_CLASSIFICATION!$A$8:$A$24,0)),"Review"))</f>
        <v>Portfolio</v>
      </c>
      <c r="Q240" s="350" t="str">
        <f t="shared" si="7"/>
        <v>OK</v>
      </c>
    </row>
    <row r="241" spans="1:17">
      <c r="A241" s="366" t="s">
        <v>2140</v>
      </c>
      <c r="B241" s="366" t="s">
        <v>1681</v>
      </c>
      <c r="C241" s="366" t="s">
        <v>1682</v>
      </c>
      <c r="D241" s="380">
        <f>'00_PORTFOLIO ROLLUP'!R$12</f>
        <v>2038</v>
      </c>
      <c r="E241" s="366" t="s">
        <v>1741</v>
      </c>
      <c r="F241" s="366" t="s">
        <v>43</v>
      </c>
      <c r="G241" s="366" t="s">
        <v>2141</v>
      </c>
      <c r="H241" s="381">
        <f>'00_PORTFOLIO ROLLUP'!R$68</f>
        <v>3001650.4637152776</v>
      </c>
      <c r="I241" s="366" t="s">
        <v>1731</v>
      </c>
      <c r="J241" s="348" t="str">
        <f t="shared" si="6"/>
        <v>OK</v>
      </c>
      <c r="K241" s="366" t="s">
        <v>1746</v>
      </c>
      <c r="L241" s="366" t="s">
        <v>1747</v>
      </c>
      <c r="M241" s="350" t="str">
        <f>IF($B241="Portfolio","Portfolio",IFERROR(INDEX(DATA_ASSET_CLASSIFICATION!$B$8:$B$24,MATCH($C241,DATA_ASSET_CLASSIFICATION!$A$8:$A$24,0)),"Review"))</f>
        <v>Portfolio</v>
      </c>
      <c r="N241" s="350" t="str">
        <f>IF($B241="Portfolio","Portfolio",IFERROR(INDEX(DATA_ASSET_CLASSIFICATION!$U$8:$U$24,MATCH($C241,DATA_ASSET_CLASSIFICATION!$A$8:$A$24,0)),"Review"))</f>
        <v>Portfolio</v>
      </c>
      <c r="O241" s="350" t="str">
        <f>IF($B241="Portfolio","Portfolio",IFERROR(INDEX(DATA_ASSET_CLASSIFICATION!$AB$8:$AB$13,MATCH($N241,DATA_ASSET_CLASSIFICATION!$AA$8:$AA$13,0)),"Review"))</f>
        <v>Portfolio</v>
      </c>
      <c r="P241" s="350" t="str">
        <f>IF($B241="Portfolio","Portfolio",IFERROR(INDEX(DATA_ASSET_CLASSIFICATION!$C$8:$C$24,MATCH($C241,DATA_ASSET_CLASSIFICATION!$A$8:$A$24,0)),"Review"))</f>
        <v>Portfolio</v>
      </c>
      <c r="Q241" s="350" t="str">
        <f t="shared" si="7"/>
        <v>OK</v>
      </c>
    </row>
    <row r="242" spans="1:17">
      <c r="A242" s="366" t="s">
        <v>2142</v>
      </c>
      <c r="B242" s="366" t="s">
        <v>1681</v>
      </c>
      <c r="C242" s="366" t="s">
        <v>1682</v>
      </c>
      <c r="D242" s="380">
        <f>'00_PORTFOLIO ROLLUP'!R$12</f>
        <v>2038</v>
      </c>
      <c r="E242" s="366" t="s">
        <v>1741</v>
      </c>
      <c r="F242" s="366" t="s">
        <v>1749</v>
      </c>
      <c r="H242" s="381">
        <f>('00_PORTFOLIO ROLLUP'!R$56+MAX('00_PORTFOLIO ROLLUP'!R$63,0))-'00_PORTFOLIO ROLLUP'!R$68</f>
        <v>0</v>
      </c>
      <c r="I242" s="366" t="s">
        <v>1750</v>
      </c>
      <c r="J242" s="348" t="str">
        <f t="shared" si="6"/>
        <v>OK</v>
      </c>
      <c r="K242" s="366" t="s">
        <v>1751</v>
      </c>
      <c r="L242" s="366" t="s">
        <v>1752</v>
      </c>
      <c r="M242" s="350" t="str">
        <f>IF($B242="Portfolio","Portfolio",IFERROR(INDEX(DATA_ASSET_CLASSIFICATION!$B$8:$B$24,MATCH($C242,DATA_ASSET_CLASSIFICATION!$A$8:$A$24,0)),"Review"))</f>
        <v>Portfolio</v>
      </c>
      <c r="N242" s="350" t="str">
        <f>IF($B242="Portfolio","Portfolio",IFERROR(INDEX(DATA_ASSET_CLASSIFICATION!$U$8:$U$24,MATCH($C242,DATA_ASSET_CLASSIFICATION!$A$8:$A$24,0)),"Review"))</f>
        <v>Portfolio</v>
      </c>
      <c r="O242" s="350" t="str">
        <f>IF($B242="Portfolio","Portfolio",IFERROR(INDEX(DATA_ASSET_CLASSIFICATION!$AB$8:$AB$13,MATCH($N242,DATA_ASSET_CLASSIFICATION!$AA$8:$AA$13,0)),"Review"))</f>
        <v>Portfolio</v>
      </c>
      <c r="P242" s="350" t="str">
        <f>IF($B242="Portfolio","Portfolio",IFERROR(INDEX(DATA_ASSET_CLASSIFICATION!$C$8:$C$24,MATCH($C242,DATA_ASSET_CLASSIFICATION!$A$8:$A$24,0)),"Review"))</f>
        <v>Portfolio</v>
      </c>
      <c r="Q242" s="350" t="str">
        <f t="shared" si="7"/>
        <v>OK</v>
      </c>
    </row>
    <row r="243" spans="1:17">
      <c r="A243" s="366" t="s">
        <v>2143</v>
      </c>
      <c r="B243" s="366" t="s">
        <v>1681</v>
      </c>
      <c r="C243" s="366" t="s">
        <v>1682</v>
      </c>
      <c r="D243" s="380">
        <f>'00_PORTFOLIO ROLLUP'!S$12</f>
        <v>2039</v>
      </c>
      <c r="E243" s="366" t="s">
        <v>1683</v>
      </c>
      <c r="F243" s="366" t="s">
        <v>341</v>
      </c>
      <c r="G243" s="366" t="s">
        <v>2144</v>
      </c>
      <c r="H243" s="381">
        <f>'00_PORTFOLIO ROLLUP'!S$24</f>
        <v>23178473.34903644</v>
      </c>
      <c r="I243" s="366" t="s">
        <v>1685</v>
      </c>
      <c r="J243" s="348" t="str">
        <f t="shared" si="6"/>
        <v>OK</v>
      </c>
      <c r="K243" s="366" t="s">
        <v>1686</v>
      </c>
      <c r="L243" s="366" t="s">
        <v>1687</v>
      </c>
      <c r="M243" s="350" t="str">
        <f>IF($B243="Portfolio","Portfolio",IFERROR(INDEX(DATA_ASSET_CLASSIFICATION!$B$8:$B$24,MATCH($C243,DATA_ASSET_CLASSIFICATION!$A$8:$A$24,0)),"Review"))</f>
        <v>Portfolio</v>
      </c>
      <c r="N243" s="350" t="str">
        <f>IF($B243="Portfolio","Portfolio",IFERROR(INDEX(DATA_ASSET_CLASSIFICATION!$U$8:$U$24,MATCH($C243,DATA_ASSET_CLASSIFICATION!$A$8:$A$24,0)),"Review"))</f>
        <v>Portfolio</v>
      </c>
      <c r="O243" s="350" t="str">
        <f>IF($B243="Portfolio","Portfolio",IFERROR(INDEX(DATA_ASSET_CLASSIFICATION!$AB$8:$AB$13,MATCH($N243,DATA_ASSET_CLASSIFICATION!$AA$8:$AA$13,0)),"Review"))</f>
        <v>Portfolio</v>
      </c>
      <c r="P243" s="350" t="str">
        <f>IF($B243="Portfolio","Portfolio",IFERROR(INDEX(DATA_ASSET_CLASSIFICATION!$C$8:$C$24,MATCH($C243,DATA_ASSET_CLASSIFICATION!$A$8:$A$24,0)),"Review"))</f>
        <v>Portfolio</v>
      </c>
      <c r="Q243" s="350" t="str">
        <f t="shared" si="7"/>
        <v>OK</v>
      </c>
    </row>
    <row r="244" spans="1:17">
      <c r="A244" s="366" t="s">
        <v>2145</v>
      </c>
      <c r="B244" s="366" t="s">
        <v>1681</v>
      </c>
      <c r="C244" s="366" t="s">
        <v>1682</v>
      </c>
      <c r="D244" s="380">
        <f>'00_PORTFOLIO ROLLUP'!S$12</f>
        <v>2039</v>
      </c>
      <c r="E244" s="366" t="s">
        <v>1683</v>
      </c>
      <c r="F244" s="366" t="s">
        <v>355</v>
      </c>
      <c r="G244" s="366" t="s">
        <v>2146</v>
      </c>
      <c r="H244" s="381">
        <f>'00_PORTFOLIO ROLLUP'!S$39</f>
        <v>8618415.9753442314</v>
      </c>
      <c r="I244" s="366" t="s">
        <v>1690</v>
      </c>
      <c r="J244" s="348" t="str">
        <f t="shared" si="6"/>
        <v>OK</v>
      </c>
      <c r="K244" s="366" t="s">
        <v>1686</v>
      </c>
      <c r="L244" s="366" t="s">
        <v>1691</v>
      </c>
      <c r="M244" s="350" t="str">
        <f>IF($B244="Portfolio","Portfolio",IFERROR(INDEX(DATA_ASSET_CLASSIFICATION!$B$8:$B$24,MATCH($C244,DATA_ASSET_CLASSIFICATION!$A$8:$A$24,0)),"Review"))</f>
        <v>Portfolio</v>
      </c>
      <c r="N244" s="350" t="str">
        <f>IF($B244="Portfolio","Portfolio",IFERROR(INDEX(DATA_ASSET_CLASSIFICATION!$U$8:$U$24,MATCH($C244,DATA_ASSET_CLASSIFICATION!$A$8:$A$24,0)),"Review"))</f>
        <v>Portfolio</v>
      </c>
      <c r="O244" s="350" t="str">
        <f>IF($B244="Portfolio","Portfolio",IFERROR(INDEX(DATA_ASSET_CLASSIFICATION!$AB$8:$AB$13,MATCH($N244,DATA_ASSET_CLASSIFICATION!$AA$8:$AA$13,0)),"Review"))</f>
        <v>Portfolio</v>
      </c>
      <c r="P244" s="350" t="str">
        <f>IF($B244="Portfolio","Portfolio",IFERROR(INDEX(DATA_ASSET_CLASSIFICATION!$C$8:$C$24,MATCH($C244,DATA_ASSET_CLASSIFICATION!$A$8:$A$24,0)),"Review"))</f>
        <v>Portfolio</v>
      </c>
      <c r="Q244" s="350" t="str">
        <f t="shared" si="7"/>
        <v>OK</v>
      </c>
    </row>
    <row r="245" spans="1:17">
      <c r="A245" s="366" t="s">
        <v>2147</v>
      </c>
      <c r="B245" s="366" t="s">
        <v>1681</v>
      </c>
      <c r="C245" s="366" t="s">
        <v>1682</v>
      </c>
      <c r="D245" s="380">
        <f>'00_PORTFOLIO ROLLUP'!S$12</f>
        <v>2039</v>
      </c>
      <c r="E245" s="366" t="s">
        <v>1683</v>
      </c>
      <c r="F245" s="366" t="s">
        <v>19</v>
      </c>
      <c r="G245" s="366" t="s">
        <v>2148</v>
      </c>
      <c r="H245" s="381">
        <f>'00_PORTFOLIO ROLLUP'!S$41</f>
        <v>14560057.373692209</v>
      </c>
      <c r="I245" s="366" t="s">
        <v>1685</v>
      </c>
      <c r="J245" s="348" t="str">
        <f t="shared" si="6"/>
        <v>OK</v>
      </c>
      <c r="K245" s="366" t="s">
        <v>1694</v>
      </c>
      <c r="L245" s="366" t="s">
        <v>1695</v>
      </c>
      <c r="M245" s="350" t="str">
        <f>IF($B245="Portfolio","Portfolio",IFERROR(INDEX(DATA_ASSET_CLASSIFICATION!$B$8:$B$24,MATCH($C245,DATA_ASSET_CLASSIFICATION!$A$8:$A$24,0)),"Review"))</f>
        <v>Portfolio</v>
      </c>
      <c r="N245" s="350" t="str">
        <f>IF($B245="Portfolio","Portfolio",IFERROR(INDEX(DATA_ASSET_CLASSIFICATION!$U$8:$U$24,MATCH($C245,DATA_ASSET_CLASSIFICATION!$A$8:$A$24,0)),"Review"))</f>
        <v>Portfolio</v>
      </c>
      <c r="O245" s="350" t="str">
        <f>IF($B245="Portfolio","Portfolio",IFERROR(INDEX(DATA_ASSET_CLASSIFICATION!$AB$8:$AB$13,MATCH($N245,DATA_ASSET_CLASSIFICATION!$AA$8:$AA$13,0)),"Review"))</f>
        <v>Portfolio</v>
      </c>
      <c r="P245" s="350" t="str">
        <f>IF($B245="Portfolio","Portfolio",IFERROR(INDEX(DATA_ASSET_CLASSIFICATION!$C$8:$C$24,MATCH($C245,DATA_ASSET_CLASSIFICATION!$A$8:$A$24,0)),"Review"))</f>
        <v>Portfolio</v>
      </c>
      <c r="Q245" s="350" t="str">
        <f t="shared" si="7"/>
        <v>OK</v>
      </c>
    </row>
    <row r="246" spans="1:17">
      <c r="A246" s="366" t="s">
        <v>2149</v>
      </c>
      <c r="B246" s="366" t="s">
        <v>1681</v>
      </c>
      <c r="C246" s="366" t="s">
        <v>1682</v>
      </c>
      <c r="D246" s="380">
        <f>'00_PORTFOLIO ROLLUP'!S$12</f>
        <v>2039</v>
      </c>
      <c r="E246" s="366" t="s">
        <v>1683</v>
      </c>
      <c r="F246" s="366" t="s">
        <v>1697</v>
      </c>
      <c r="G246" s="366" t="s">
        <v>2150</v>
      </c>
      <c r="H246" s="381">
        <f>'00_PORTFOLIO ROLLUP'!S$44</f>
        <v>212963.87235834755</v>
      </c>
      <c r="I246" s="366" t="s">
        <v>1690</v>
      </c>
      <c r="J246" s="348" t="str">
        <f t="shared" si="6"/>
        <v>OK</v>
      </c>
      <c r="K246" s="366" t="s">
        <v>1699</v>
      </c>
      <c r="L246" s="366" t="s">
        <v>1700</v>
      </c>
      <c r="M246" s="350" t="str">
        <f>IF($B246="Portfolio","Portfolio",IFERROR(INDEX(DATA_ASSET_CLASSIFICATION!$B$8:$B$24,MATCH($C246,DATA_ASSET_CLASSIFICATION!$A$8:$A$24,0)),"Review"))</f>
        <v>Portfolio</v>
      </c>
      <c r="N246" s="350" t="str">
        <f>IF($B246="Portfolio","Portfolio",IFERROR(INDEX(DATA_ASSET_CLASSIFICATION!$U$8:$U$24,MATCH($C246,DATA_ASSET_CLASSIFICATION!$A$8:$A$24,0)),"Review"))</f>
        <v>Portfolio</v>
      </c>
      <c r="O246" s="350" t="str">
        <f>IF($B246="Portfolio","Portfolio",IFERROR(INDEX(DATA_ASSET_CLASSIFICATION!$AB$8:$AB$13,MATCH($N246,DATA_ASSET_CLASSIFICATION!$AA$8:$AA$13,0)),"Review"))</f>
        <v>Portfolio</v>
      </c>
      <c r="P246" s="350" t="str">
        <f>IF($B246="Portfolio","Portfolio",IFERROR(INDEX(DATA_ASSET_CLASSIFICATION!$C$8:$C$24,MATCH($C246,DATA_ASSET_CLASSIFICATION!$A$8:$A$24,0)),"Review"))</f>
        <v>Portfolio</v>
      </c>
      <c r="Q246" s="350" t="str">
        <f t="shared" si="7"/>
        <v>OK</v>
      </c>
    </row>
    <row r="247" spans="1:17">
      <c r="A247" s="366" t="s">
        <v>2151</v>
      </c>
      <c r="B247" s="366" t="s">
        <v>1681</v>
      </c>
      <c r="C247" s="366" t="s">
        <v>1682</v>
      </c>
      <c r="D247" s="380">
        <f>'00_PORTFOLIO ROLLUP'!S$12</f>
        <v>2039</v>
      </c>
      <c r="E247" s="366" t="s">
        <v>1683</v>
      </c>
      <c r="F247" s="366" t="s">
        <v>21</v>
      </c>
      <c r="G247" s="366" t="s">
        <v>2152</v>
      </c>
      <c r="H247" s="381">
        <f>'00_PORTFOLIO ROLLUP'!S$45</f>
        <v>14347093.501333861</v>
      </c>
      <c r="I247" s="366" t="s">
        <v>1685</v>
      </c>
      <c r="J247" s="348" t="str">
        <f t="shared" si="6"/>
        <v>OK</v>
      </c>
      <c r="K247" s="366" t="s">
        <v>1694</v>
      </c>
      <c r="L247" s="366" t="s">
        <v>1703</v>
      </c>
      <c r="M247" s="350" t="str">
        <f>IF($B247="Portfolio","Portfolio",IFERROR(INDEX(DATA_ASSET_CLASSIFICATION!$B$8:$B$24,MATCH($C247,DATA_ASSET_CLASSIFICATION!$A$8:$A$24,0)),"Review"))</f>
        <v>Portfolio</v>
      </c>
      <c r="N247" s="350" t="str">
        <f>IF($B247="Portfolio","Portfolio",IFERROR(INDEX(DATA_ASSET_CLASSIFICATION!$U$8:$U$24,MATCH($C247,DATA_ASSET_CLASSIFICATION!$A$8:$A$24,0)),"Review"))</f>
        <v>Portfolio</v>
      </c>
      <c r="O247" s="350" t="str">
        <f>IF($B247="Portfolio","Portfolio",IFERROR(INDEX(DATA_ASSET_CLASSIFICATION!$AB$8:$AB$13,MATCH($N247,DATA_ASSET_CLASSIFICATION!$AA$8:$AA$13,0)),"Review"))</f>
        <v>Portfolio</v>
      </c>
      <c r="P247" s="350" t="str">
        <f>IF($B247="Portfolio","Portfolio",IFERROR(INDEX(DATA_ASSET_CLASSIFICATION!$C$8:$C$24,MATCH($C247,DATA_ASSET_CLASSIFICATION!$A$8:$A$24,0)),"Review"))</f>
        <v>Portfolio</v>
      </c>
      <c r="Q247" s="350" t="str">
        <f t="shared" si="7"/>
        <v>OK</v>
      </c>
    </row>
    <row r="248" spans="1:17">
      <c r="A248" s="366" t="s">
        <v>2153</v>
      </c>
      <c r="B248" s="366" t="s">
        <v>1681</v>
      </c>
      <c r="C248" s="366" t="s">
        <v>1682</v>
      </c>
      <c r="D248" s="380">
        <f>'00_PORTFOLIO ROLLUP'!S$12</f>
        <v>2039</v>
      </c>
      <c r="E248" s="366" t="s">
        <v>23</v>
      </c>
      <c r="F248" s="366" t="s">
        <v>23</v>
      </c>
      <c r="G248" s="366" t="s">
        <v>2154</v>
      </c>
      <c r="H248" s="381">
        <f>'00_PORTFOLIO ROLLUP'!S$48</f>
        <v>6811656.6125063812</v>
      </c>
      <c r="I248" s="366" t="s">
        <v>1690</v>
      </c>
      <c r="J248" s="348" t="str">
        <f t="shared" si="6"/>
        <v>OK</v>
      </c>
      <c r="K248" s="366" t="s">
        <v>1706</v>
      </c>
      <c r="L248" s="366" t="s">
        <v>1707</v>
      </c>
      <c r="M248" s="350" t="str">
        <f>IF($B248="Portfolio","Portfolio",IFERROR(INDEX(DATA_ASSET_CLASSIFICATION!$B$8:$B$24,MATCH($C248,DATA_ASSET_CLASSIFICATION!$A$8:$A$24,0)),"Review"))</f>
        <v>Portfolio</v>
      </c>
      <c r="N248" s="350" t="str">
        <f>IF($B248="Portfolio","Portfolio",IFERROR(INDEX(DATA_ASSET_CLASSIFICATION!$U$8:$U$24,MATCH($C248,DATA_ASSET_CLASSIFICATION!$A$8:$A$24,0)),"Review"))</f>
        <v>Portfolio</v>
      </c>
      <c r="O248" s="350" t="str">
        <f>IF($B248="Portfolio","Portfolio",IFERROR(INDEX(DATA_ASSET_CLASSIFICATION!$AB$8:$AB$13,MATCH($N248,DATA_ASSET_CLASSIFICATION!$AA$8:$AA$13,0)),"Review"))</f>
        <v>Portfolio</v>
      </c>
      <c r="P248" s="350" t="str">
        <f>IF($B248="Portfolio","Portfolio",IFERROR(INDEX(DATA_ASSET_CLASSIFICATION!$C$8:$C$24,MATCH($C248,DATA_ASSET_CLASSIFICATION!$A$8:$A$24,0)),"Review"))</f>
        <v>Portfolio</v>
      </c>
      <c r="Q248" s="350" t="str">
        <f t="shared" si="7"/>
        <v>OK</v>
      </c>
    </row>
    <row r="249" spans="1:17">
      <c r="A249" s="366" t="s">
        <v>2155</v>
      </c>
      <c r="B249" s="366" t="s">
        <v>1681</v>
      </c>
      <c r="C249" s="366" t="s">
        <v>1682</v>
      </c>
      <c r="D249" s="380">
        <f>'00_PORTFOLIO ROLLUP'!S$12</f>
        <v>2039</v>
      </c>
      <c r="E249" s="366" t="s">
        <v>1683</v>
      </c>
      <c r="F249" s="366" t="s">
        <v>25</v>
      </c>
      <c r="G249" s="366" t="s">
        <v>2156</v>
      </c>
      <c r="H249" s="381">
        <f>'00_PORTFOLIO ROLLUP'!S$52</f>
        <v>7748400.7611858277</v>
      </c>
      <c r="I249" s="366" t="s">
        <v>1685</v>
      </c>
      <c r="J249" s="348" t="str">
        <f t="shared" si="6"/>
        <v>OK</v>
      </c>
      <c r="K249" s="366" t="s">
        <v>1710</v>
      </c>
      <c r="L249" s="366" t="s">
        <v>1711</v>
      </c>
      <c r="M249" s="350" t="str">
        <f>IF($B249="Portfolio","Portfolio",IFERROR(INDEX(DATA_ASSET_CLASSIFICATION!$B$8:$B$24,MATCH($C249,DATA_ASSET_CLASSIFICATION!$A$8:$A$24,0)),"Review"))</f>
        <v>Portfolio</v>
      </c>
      <c r="N249" s="350" t="str">
        <f>IF($B249="Portfolio","Portfolio",IFERROR(INDEX(DATA_ASSET_CLASSIFICATION!$U$8:$U$24,MATCH($C249,DATA_ASSET_CLASSIFICATION!$A$8:$A$24,0)),"Review"))</f>
        <v>Portfolio</v>
      </c>
      <c r="O249" s="350" t="str">
        <f>IF($B249="Portfolio","Portfolio",IFERROR(INDEX(DATA_ASSET_CLASSIFICATION!$AB$8:$AB$13,MATCH($N249,DATA_ASSET_CLASSIFICATION!$AA$8:$AA$13,0)),"Review"))</f>
        <v>Portfolio</v>
      </c>
      <c r="P249" s="350" t="str">
        <f>IF($B249="Portfolio","Portfolio",IFERROR(INDEX(DATA_ASSET_CLASSIFICATION!$C$8:$C$24,MATCH($C249,DATA_ASSET_CLASSIFICATION!$A$8:$A$24,0)),"Review"))</f>
        <v>Portfolio</v>
      </c>
      <c r="Q249" s="350" t="str">
        <f t="shared" si="7"/>
        <v>OK</v>
      </c>
    </row>
    <row r="250" spans="1:17">
      <c r="A250" s="366" t="s">
        <v>2157</v>
      </c>
      <c r="B250" s="366" t="s">
        <v>1681</v>
      </c>
      <c r="C250" s="366" t="s">
        <v>1682</v>
      </c>
      <c r="D250" s="380">
        <f>'00_PORTFOLIO ROLLUP'!S$12</f>
        <v>2039</v>
      </c>
      <c r="E250" s="366" t="s">
        <v>1683</v>
      </c>
      <c r="F250" s="366" t="s">
        <v>27</v>
      </c>
      <c r="G250" s="366" t="s">
        <v>2158</v>
      </c>
      <c r="H250" s="381">
        <f>'00_PORTFOLIO ROLLUP'!S$54</f>
        <v>4649040.4567114962</v>
      </c>
      <c r="I250" s="366" t="s">
        <v>1690</v>
      </c>
      <c r="J250" s="348" t="str">
        <f t="shared" si="6"/>
        <v>OK</v>
      </c>
      <c r="K250" s="366" t="s">
        <v>1714</v>
      </c>
      <c r="L250" s="366" t="s">
        <v>1715</v>
      </c>
      <c r="M250" s="350" t="str">
        <f>IF($B250="Portfolio","Portfolio",IFERROR(INDEX(DATA_ASSET_CLASSIFICATION!$B$8:$B$24,MATCH($C250,DATA_ASSET_CLASSIFICATION!$A$8:$A$24,0)),"Review"))</f>
        <v>Portfolio</v>
      </c>
      <c r="N250" s="350" t="str">
        <f>IF($B250="Portfolio","Portfolio",IFERROR(INDEX(DATA_ASSET_CLASSIFICATION!$U$8:$U$24,MATCH($C250,DATA_ASSET_CLASSIFICATION!$A$8:$A$24,0)),"Review"))</f>
        <v>Portfolio</v>
      </c>
      <c r="O250" s="350" t="str">
        <f>IF($B250="Portfolio","Portfolio",IFERROR(INDEX(DATA_ASSET_CLASSIFICATION!$AB$8:$AB$13,MATCH($N250,DATA_ASSET_CLASSIFICATION!$AA$8:$AA$13,0)),"Review"))</f>
        <v>Portfolio</v>
      </c>
      <c r="P250" s="350" t="str">
        <f>IF($B250="Portfolio","Portfolio",IFERROR(INDEX(DATA_ASSET_CLASSIFICATION!$C$8:$C$24,MATCH($C250,DATA_ASSET_CLASSIFICATION!$A$8:$A$24,0)),"Review"))</f>
        <v>Portfolio</v>
      </c>
      <c r="Q250" s="350" t="str">
        <f t="shared" si="7"/>
        <v>OK</v>
      </c>
    </row>
    <row r="251" spans="1:17">
      <c r="A251" s="366" t="s">
        <v>2159</v>
      </c>
      <c r="B251" s="366" t="s">
        <v>1681</v>
      </c>
      <c r="C251" s="366" t="s">
        <v>1682</v>
      </c>
      <c r="D251" s="380">
        <f>'00_PORTFOLIO ROLLUP'!S$12</f>
        <v>2039</v>
      </c>
      <c r="E251" s="366" t="s">
        <v>1683</v>
      </c>
      <c r="F251" s="366" t="s">
        <v>29</v>
      </c>
      <c r="G251" s="366" t="s">
        <v>2160</v>
      </c>
      <c r="H251" s="381">
        <f>'00_PORTFOLIO ROLLUP'!S$56</f>
        <v>3099360.3044743314</v>
      </c>
      <c r="I251" s="366" t="s">
        <v>1685</v>
      </c>
      <c r="J251" s="348" t="str">
        <f t="shared" si="6"/>
        <v>OK</v>
      </c>
      <c r="K251" s="366" t="s">
        <v>1718</v>
      </c>
      <c r="L251" s="366" t="s">
        <v>1719</v>
      </c>
      <c r="M251" s="350" t="str">
        <f>IF($B251="Portfolio","Portfolio",IFERROR(INDEX(DATA_ASSET_CLASSIFICATION!$B$8:$B$24,MATCH($C251,DATA_ASSET_CLASSIFICATION!$A$8:$A$24,0)),"Review"))</f>
        <v>Portfolio</v>
      </c>
      <c r="N251" s="350" t="str">
        <f>IF($B251="Portfolio","Portfolio",IFERROR(INDEX(DATA_ASSET_CLASSIFICATION!$U$8:$U$24,MATCH($C251,DATA_ASSET_CLASSIFICATION!$A$8:$A$24,0)),"Review"))</f>
        <v>Portfolio</v>
      </c>
      <c r="O251" s="350" t="str">
        <f>IF($B251="Portfolio","Portfolio",IFERROR(INDEX(DATA_ASSET_CLASSIFICATION!$AB$8:$AB$13,MATCH($N251,DATA_ASSET_CLASSIFICATION!$AA$8:$AA$13,0)),"Review"))</f>
        <v>Portfolio</v>
      </c>
      <c r="P251" s="350" t="str">
        <f>IF($B251="Portfolio","Portfolio",IFERROR(INDEX(DATA_ASSET_CLASSIFICATION!$C$8:$C$24,MATCH($C251,DATA_ASSET_CLASSIFICATION!$A$8:$A$24,0)),"Review"))</f>
        <v>Portfolio</v>
      </c>
      <c r="Q251" s="350" t="str">
        <f t="shared" si="7"/>
        <v>OK</v>
      </c>
    </row>
    <row r="252" spans="1:17">
      <c r="A252" s="366" t="s">
        <v>2161</v>
      </c>
      <c r="B252" s="366" t="s">
        <v>1681</v>
      </c>
      <c r="C252" s="366" t="s">
        <v>1682</v>
      </c>
      <c r="D252" s="380">
        <f>'00_PORTFOLIO ROLLUP'!S$12</f>
        <v>2039</v>
      </c>
      <c r="E252" s="366" t="s">
        <v>1721</v>
      </c>
      <c r="F252" s="366" t="s">
        <v>31</v>
      </c>
      <c r="G252" s="366" t="s">
        <v>2162</v>
      </c>
      <c r="H252" s="381">
        <f>'00_PORTFOLIO ROLLUP'!S$61</f>
        <v>0</v>
      </c>
      <c r="I252" s="366" t="s">
        <v>1690</v>
      </c>
      <c r="J252" s="348" t="str">
        <f t="shared" si="6"/>
        <v>OK</v>
      </c>
      <c r="K252" s="366" t="s">
        <v>1723</v>
      </c>
      <c r="L252" s="366" t="s">
        <v>1724</v>
      </c>
      <c r="M252" s="350" t="str">
        <f>IF($B252="Portfolio","Portfolio",IFERROR(INDEX(DATA_ASSET_CLASSIFICATION!$B$8:$B$24,MATCH($C252,DATA_ASSET_CLASSIFICATION!$A$8:$A$24,0)),"Review"))</f>
        <v>Portfolio</v>
      </c>
      <c r="N252" s="350" t="str">
        <f>IF($B252="Portfolio","Portfolio",IFERROR(INDEX(DATA_ASSET_CLASSIFICATION!$U$8:$U$24,MATCH($C252,DATA_ASSET_CLASSIFICATION!$A$8:$A$24,0)),"Review"))</f>
        <v>Portfolio</v>
      </c>
      <c r="O252" s="350" t="str">
        <f>IF($B252="Portfolio","Portfolio",IFERROR(INDEX(DATA_ASSET_CLASSIFICATION!$AB$8:$AB$13,MATCH($N252,DATA_ASSET_CLASSIFICATION!$AA$8:$AA$13,0)),"Review"))</f>
        <v>Portfolio</v>
      </c>
      <c r="P252" s="350" t="str">
        <f>IF($B252="Portfolio","Portfolio",IFERROR(INDEX(DATA_ASSET_CLASSIFICATION!$C$8:$C$24,MATCH($C252,DATA_ASSET_CLASSIFICATION!$A$8:$A$24,0)),"Review"))</f>
        <v>Portfolio</v>
      </c>
      <c r="Q252" s="350" t="str">
        <f t="shared" si="7"/>
        <v>OK</v>
      </c>
    </row>
    <row r="253" spans="1:17">
      <c r="A253" s="366" t="s">
        <v>2163</v>
      </c>
      <c r="B253" s="366" t="s">
        <v>1681</v>
      </c>
      <c r="C253" s="366" t="s">
        <v>1682</v>
      </c>
      <c r="D253" s="380">
        <f>'00_PORTFOLIO ROLLUP'!S$12</f>
        <v>2039</v>
      </c>
      <c r="E253" s="366" t="s">
        <v>1721</v>
      </c>
      <c r="F253" s="366" t="s">
        <v>33</v>
      </c>
      <c r="G253" s="366" t="s">
        <v>2164</v>
      </c>
      <c r="H253" s="381">
        <f>'00_PORTFOLIO ROLLUP'!S$62</f>
        <v>0</v>
      </c>
      <c r="I253" s="366" t="s">
        <v>1685</v>
      </c>
      <c r="J253" s="348" t="str">
        <f t="shared" si="6"/>
        <v>OK</v>
      </c>
      <c r="K253" s="366" t="s">
        <v>1727</v>
      </c>
      <c r="L253" s="366" t="s">
        <v>1728</v>
      </c>
      <c r="M253" s="350" t="str">
        <f>IF($B253="Portfolio","Portfolio",IFERROR(INDEX(DATA_ASSET_CLASSIFICATION!$B$8:$B$24,MATCH($C253,DATA_ASSET_CLASSIFICATION!$A$8:$A$24,0)),"Review"))</f>
        <v>Portfolio</v>
      </c>
      <c r="N253" s="350" t="str">
        <f>IF($B253="Portfolio","Portfolio",IFERROR(INDEX(DATA_ASSET_CLASSIFICATION!$U$8:$U$24,MATCH($C253,DATA_ASSET_CLASSIFICATION!$A$8:$A$24,0)),"Review"))</f>
        <v>Portfolio</v>
      </c>
      <c r="O253" s="350" t="str">
        <f>IF($B253="Portfolio","Portfolio",IFERROR(INDEX(DATA_ASSET_CLASSIFICATION!$AB$8:$AB$13,MATCH($N253,DATA_ASSET_CLASSIFICATION!$AA$8:$AA$13,0)),"Review"))</f>
        <v>Portfolio</v>
      </c>
      <c r="P253" s="350" t="str">
        <f>IF($B253="Portfolio","Portfolio",IFERROR(INDEX(DATA_ASSET_CLASSIFICATION!$C$8:$C$24,MATCH($C253,DATA_ASSET_CLASSIFICATION!$A$8:$A$24,0)),"Review"))</f>
        <v>Portfolio</v>
      </c>
      <c r="Q253" s="350" t="str">
        <f t="shared" si="7"/>
        <v>OK</v>
      </c>
    </row>
    <row r="254" spans="1:17">
      <c r="A254" s="366" t="s">
        <v>2165</v>
      </c>
      <c r="B254" s="366" t="s">
        <v>1681</v>
      </c>
      <c r="C254" s="366" t="s">
        <v>1682</v>
      </c>
      <c r="D254" s="380">
        <f>'00_PORTFOLIO ROLLUP'!S$12</f>
        <v>2039</v>
      </c>
      <c r="E254" s="366" t="s">
        <v>1721</v>
      </c>
      <c r="F254" s="366" t="s">
        <v>35</v>
      </c>
      <c r="G254" s="366" t="s">
        <v>2166</v>
      </c>
      <c r="H254" s="381">
        <f>'00_PORTFOLIO ROLLUP'!S$63</f>
        <v>0</v>
      </c>
      <c r="I254" s="366" t="s">
        <v>1731</v>
      </c>
      <c r="J254" s="348" t="str">
        <f t="shared" si="6"/>
        <v>OK</v>
      </c>
      <c r="K254" s="366" t="s">
        <v>1732</v>
      </c>
      <c r="L254" s="366" t="s">
        <v>1733</v>
      </c>
      <c r="M254" s="350" t="str">
        <f>IF($B254="Portfolio","Portfolio",IFERROR(INDEX(DATA_ASSET_CLASSIFICATION!$B$8:$B$24,MATCH($C254,DATA_ASSET_CLASSIFICATION!$A$8:$A$24,0)),"Review"))</f>
        <v>Portfolio</v>
      </c>
      <c r="N254" s="350" t="str">
        <f>IF($B254="Portfolio","Portfolio",IFERROR(INDEX(DATA_ASSET_CLASSIFICATION!$U$8:$U$24,MATCH($C254,DATA_ASSET_CLASSIFICATION!$A$8:$A$24,0)),"Review"))</f>
        <v>Portfolio</v>
      </c>
      <c r="O254" s="350" t="str">
        <f>IF($B254="Portfolio","Portfolio",IFERROR(INDEX(DATA_ASSET_CLASSIFICATION!$AB$8:$AB$13,MATCH($N254,DATA_ASSET_CLASSIFICATION!$AA$8:$AA$13,0)),"Review"))</f>
        <v>Portfolio</v>
      </c>
      <c r="P254" s="350" t="str">
        <f>IF($B254="Portfolio","Portfolio",IFERROR(INDEX(DATA_ASSET_CLASSIFICATION!$C$8:$C$24,MATCH($C254,DATA_ASSET_CLASSIFICATION!$A$8:$A$24,0)),"Review"))</f>
        <v>Portfolio</v>
      </c>
      <c r="Q254" s="350" t="str">
        <f t="shared" si="7"/>
        <v>OK</v>
      </c>
    </row>
    <row r="255" spans="1:17">
      <c r="A255" s="366" t="s">
        <v>2167</v>
      </c>
      <c r="B255" s="366" t="s">
        <v>1681</v>
      </c>
      <c r="C255" s="366" t="s">
        <v>1682</v>
      </c>
      <c r="D255" s="380">
        <f>'00_PORTFOLIO ROLLUP'!S$12</f>
        <v>2039</v>
      </c>
      <c r="E255" s="366" t="s">
        <v>1721</v>
      </c>
      <c r="F255" s="366" t="s">
        <v>37</v>
      </c>
      <c r="G255" s="366" t="s">
        <v>2166</v>
      </c>
      <c r="H255" s="381">
        <f>MAX('00_PORTFOLIO ROLLUP'!S$63,0)</f>
        <v>0</v>
      </c>
      <c r="I255" s="366" t="s">
        <v>1685</v>
      </c>
      <c r="J255" s="348" t="str">
        <f t="shared" si="6"/>
        <v>OK</v>
      </c>
      <c r="K255" s="366" t="s">
        <v>1735</v>
      </c>
      <c r="L255" s="366" t="s">
        <v>1736</v>
      </c>
      <c r="M255" s="350" t="str">
        <f>IF($B255="Portfolio","Portfolio",IFERROR(INDEX(DATA_ASSET_CLASSIFICATION!$B$8:$B$24,MATCH($C255,DATA_ASSET_CLASSIFICATION!$A$8:$A$24,0)),"Review"))</f>
        <v>Portfolio</v>
      </c>
      <c r="N255" s="350" t="str">
        <f>IF($B255="Portfolio","Portfolio",IFERROR(INDEX(DATA_ASSET_CLASSIFICATION!$U$8:$U$24,MATCH($C255,DATA_ASSET_CLASSIFICATION!$A$8:$A$24,0)),"Review"))</f>
        <v>Portfolio</v>
      </c>
      <c r="O255" s="350" t="str">
        <f>IF($B255="Portfolio","Portfolio",IFERROR(INDEX(DATA_ASSET_CLASSIFICATION!$AB$8:$AB$13,MATCH($N255,DATA_ASSET_CLASSIFICATION!$AA$8:$AA$13,0)),"Review"))</f>
        <v>Portfolio</v>
      </c>
      <c r="P255" s="350" t="str">
        <f>IF($B255="Portfolio","Portfolio",IFERROR(INDEX(DATA_ASSET_CLASSIFICATION!$C$8:$C$24,MATCH($C255,DATA_ASSET_CLASSIFICATION!$A$8:$A$24,0)),"Review"))</f>
        <v>Portfolio</v>
      </c>
      <c r="Q255" s="350" t="str">
        <f t="shared" si="7"/>
        <v>OK</v>
      </c>
    </row>
    <row r="256" spans="1:17">
      <c r="A256" s="366" t="s">
        <v>2168</v>
      </c>
      <c r="B256" s="366" t="s">
        <v>1681</v>
      </c>
      <c r="C256" s="366" t="s">
        <v>1682</v>
      </c>
      <c r="D256" s="380">
        <f>'00_PORTFOLIO ROLLUP'!S$12</f>
        <v>2039</v>
      </c>
      <c r="E256" s="366" t="s">
        <v>1721</v>
      </c>
      <c r="F256" s="366" t="s">
        <v>39</v>
      </c>
      <c r="G256" s="366" t="s">
        <v>2166</v>
      </c>
      <c r="H256" s="381">
        <f>MAX(-'00_PORTFOLIO ROLLUP'!S$63,0)</f>
        <v>0</v>
      </c>
      <c r="I256" s="366" t="s">
        <v>1690</v>
      </c>
      <c r="J256" s="348" t="str">
        <f t="shared" si="6"/>
        <v>OK</v>
      </c>
      <c r="K256" s="366" t="s">
        <v>1738</v>
      </c>
      <c r="L256" s="366" t="s">
        <v>1739</v>
      </c>
      <c r="M256" s="350" t="str">
        <f>IF($B256="Portfolio","Portfolio",IFERROR(INDEX(DATA_ASSET_CLASSIFICATION!$B$8:$B$24,MATCH($C256,DATA_ASSET_CLASSIFICATION!$A$8:$A$24,0)),"Review"))</f>
        <v>Portfolio</v>
      </c>
      <c r="N256" s="350" t="str">
        <f>IF($B256="Portfolio","Portfolio",IFERROR(INDEX(DATA_ASSET_CLASSIFICATION!$U$8:$U$24,MATCH($C256,DATA_ASSET_CLASSIFICATION!$A$8:$A$24,0)),"Review"))</f>
        <v>Portfolio</v>
      </c>
      <c r="O256" s="350" t="str">
        <f>IF($B256="Portfolio","Portfolio",IFERROR(INDEX(DATA_ASSET_CLASSIFICATION!$AB$8:$AB$13,MATCH($N256,DATA_ASSET_CLASSIFICATION!$AA$8:$AA$13,0)),"Review"))</f>
        <v>Portfolio</v>
      </c>
      <c r="P256" s="350" t="str">
        <f>IF($B256="Portfolio","Portfolio",IFERROR(INDEX(DATA_ASSET_CLASSIFICATION!$C$8:$C$24,MATCH($C256,DATA_ASSET_CLASSIFICATION!$A$8:$A$24,0)),"Review"))</f>
        <v>Portfolio</v>
      </c>
      <c r="Q256" s="350" t="str">
        <f t="shared" si="7"/>
        <v>OK</v>
      </c>
    </row>
    <row r="257" spans="1:17">
      <c r="A257" s="366" t="s">
        <v>2169</v>
      </c>
      <c r="B257" s="366" t="s">
        <v>1681</v>
      </c>
      <c r="C257" s="366" t="s">
        <v>1682</v>
      </c>
      <c r="D257" s="380">
        <f>'00_PORTFOLIO ROLLUP'!S$12</f>
        <v>2039</v>
      </c>
      <c r="E257" s="366" t="s">
        <v>1741</v>
      </c>
      <c r="F257" s="366" t="s">
        <v>41</v>
      </c>
      <c r="H257" s="381">
        <f>'00_PORTFOLIO ROLLUP'!S$56+MAX('00_PORTFOLIO ROLLUP'!S$63,0)</f>
        <v>3099360.3044743314</v>
      </c>
      <c r="I257" s="366" t="s">
        <v>1685</v>
      </c>
      <c r="J257" s="348" t="str">
        <f t="shared" si="6"/>
        <v>OK</v>
      </c>
      <c r="K257" s="366" t="s">
        <v>1742</v>
      </c>
      <c r="L257" s="366" t="s">
        <v>1743</v>
      </c>
      <c r="M257" s="350" t="str">
        <f>IF($B257="Portfolio","Portfolio",IFERROR(INDEX(DATA_ASSET_CLASSIFICATION!$B$8:$B$24,MATCH($C257,DATA_ASSET_CLASSIFICATION!$A$8:$A$24,0)),"Review"))</f>
        <v>Portfolio</v>
      </c>
      <c r="N257" s="350" t="str">
        <f>IF($B257="Portfolio","Portfolio",IFERROR(INDEX(DATA_ASSET_CLASSIFICATION!$U$8:$U$24,MATCH($C257,DATA_ASSET_CLASSIFICATION!$A$8:$A$24,0)),"Review"))</f>
        <v>Portfolio</v>
      </c>
      <c r="O257" s="350" t="str">
        <f>IF($B257="Portfolio","Portfolio",IFERROR(INDEX(DATA_ASSET_CLASSIFICATION!$AB$8:$AB$13,MATCH($N257,DATA_ASSET_CLASSIFICATION!$AA$8:$AA$13,0)),"Review"))</f>
        <v>Portfolio</v>
      </c>
      <c r="P257" s="350" t="str">
        <f>IF($B257="Portfolio","Portfolio",IFERROR(INDEX(DATA_ASSET_CLASSIFICATION!$C$8:$C$24,MATCH($C257,DATA_ASSET_CLASSIFICATION!$A$8:$A$24,0)),"Review"))</f>
        <v>Portfolio</v>
      </c>
      <c r="Q257" s="350" t="str">
        <f t="shared" si="7"/>
        <v>OK</v>
      </c>
    </row>
    <row r="258" spans="1:17">
      <c r="A258" s="366" t="s">
        <v>2170</v>
      </c>
      <c r="B258" s="366" t="s">
        <v>1681</v>
      </c>
      <c r="C258" s="366" t="s">
        <v>1682</v>
      </c>
      <c r="D258" s="380">
        <f>'00_PORTFOLIO ROLLUP'!S$12</f>
        <v>2039</v>
      </c>
      <c r="E258" s="366" t="s">
        <v>1741</v>
      </c>
      <c r="F258" s="366" t="s">
        <v>43</v>
      </c>
      <c r="G258" s="366" t="s">
        <v>2171</v>
      </c>
      <c r="H258" s="381">
        <f>'00_PORTFOLIO ROLLUP'!S$68</f>
        <v>3099360.3044743314</v>
      </c>
      <c r="I258" s="366" t="s">
        <v>1731</v>
      </c>
      <c r="J258" s="348" t="str">
        <f t="shared" si="6"/>
        <v>OK</v>
      </c>
      <c r="K258" s="366" t="s">
        <v>1746</v>
      </c>
      <c r="L258" s="366" t="s">
        <v>1747</v>
      </c>
      <c r="M258" s="350" t="str">
        <f>IF($B258="Portfolio","Portfolio",IFERROR(INDEX(DATA_ASSET_CLASSIFICATION!$B$8:$B$24,MATCH($C258,DATA_ASSET_CLASSIFICATION!$A$8:$A$24,0)),"Review"))</f>
        <v>Portfolio</v>
      </c>
      <c r="N258" s="350" t="str">
        <f>IF($B258="Portfolio","Portfolio",IFERROR(INDEX(DATA_ASSET_CLASSIFICATION!$U$8:$U$24,MATCH($C258,DATA_ASSET_CLASSIFICATION!$A$8:$A$24,0)),"Review"))</f>
        <v>Portfolio</v>
      </c>
      <c r="O258" s="350" t="str">
        <f>IF($B258="Portfolio","Portfolio",IFERROR(INDEX(DATA_ASSET_CLASSIFICATION!$AB$8:$AB$13,MATCH($N258,DATA_ASSET_CLASSIFICATION!$AA$8:$AA$13,0)),"Review"))</f>
        <v>Portfolio</v>
      </c>
      <c r="P258" s="350" t="str">
        <f>IF($B258="Portfolio","Portfolio",IFERROR(INDEX(DATA_ASSET_CLASSIFICATION!$C$8:$C$24,MATCH($C258,DATA_ASSET_CLASSIFICATION!$A$8:$A$24,0)),"Review"))</f>
        <v>Portfolio</v>
      </c>
      <c r="Q258" s="350" t="str">
        <f t="shared" si="7"/>
        <v>OK</v>
      </c>
    </row>
    <row r="259" spans="1:17">
      <c r="A259" s="366" t="s">
        <v>2172</v>
      </c>
      <c r="B259" s="366" t="s">
        <v>1681</v>
      </c>
      <c r="C259" s="366" t="s">
        <v>1682</v>
      </c>
      <c r="D259" s="380">
        <f>'00_PORTFOLIO ROLLUP'!S$12</f>
        <v>2039</v>
      </c>
      <c r="E259" s="366" t="s">
        <v>1741</v>
      </c>
      <c r="F259" s="366" t="s">
        <v>1749</v>
      </c>
      <c r="H259" s="381">
        <f>('00_PORTFOLIO ROLLUP'!S$56+MAX('00_PORTFOLIO ROLLUP'!S$63,0))-'00_PORTFOLIO ROLLUP'!S$68</f>
        <v>0</v>
      </c>
      <c r="I259" s="366" t="s">
        <v>1750</v>
      </c>
      <c r="J259" s="348" t="str">
        <f t="shared" si="6"/>
        <v>OK</v>
      </c>
      <c r="K259" s="366" t="s">
        <v>1751</v>
      </c>
      <c r="L259" s="366" t="s">
        <v>1752</v>
      </c>
      <c r="M259" s="350" t="str">
        <f>IF($B259="Portfolio","Portfolio",IFERROR(INDEX(DATA_ASSET_CLASSIFICATION!$B$8:$B$24,MATCH($C259,DATA_ASSET_CLASSIFICATION!$A$8:$A$24,0)),"Review"))</f>
        <v>Portfolio</v>
      </c>
      <c r="N259" s="350" t="str">
        <f>IF($B259="Portfolio","Portfolio",IFERROR(INDEX(DATA_ASSET_CLASSIFICATION!$U$8:$U$24,MATCH($C259,DATA_ASSET_CLASSIFICATION!$A$8:$A$24,0)),"Review"))</f>
        <v>Portfolio</v>
      </c>
      <c r="O259" s="350" t="str">
        <f>IF($B259="Portfolio","Portfolio",IFERROR(INDEX(DATA_ASSET_CLASSIFICATION!$AB$8:$AB$13,MATCH($N259,DATA_ASSET_CLASSIFICATION!$AA$8:$AA$13,0)),"Review"))</f>
        <v>Portfolio</v>
      </c>
      <c r="P259" s="350" t="str">
        <f>IF($B259="Portfolio","Portfolio",IFERROR(INDEX(DATA_ASSET_CLASSIFICATION!$C$8:$C$24,MATCH($C259,DATA_ASSET_CLASSIFICATION!$A$8:$A$24,0)),"Review"))</f>
        <v>Portfolio</v>
      </c>
      <c r="Q259" s="350" t="str">
        <f t="shared" si="7"/>
        <v>OK</v>
      </c>
    </row>
    <row r="260" spans="1:17">
      <c r="A260" s="366" t="s">
        <v>2173</v>
      </c>
      <c r="B260" s="366" t="s">
        <v>1681</v>
      </c>
      <c r="C260" s="366" t="s">
        <v>1682</v>
      </c>
      <c r="D260" s="380">
        <f>'00_PORTFOLIO ROLLUP'!T$12</f>
        <v>2040</v>
      </c>
      <c r="E260" s="366" t="s">
        <v>1683</v>
      </c>
      <c r="F260" s="366" t="s">
        <v>341</v>
      </c>
      <c r="G260" s="366" t="s">
        <v>2174</v>
      </c>
      <c r="H260" s="381">
        <f>'00_PORTFOLIO ROLLUP'!T$24</f>
        <v>23642042.816017155</v>
      </c>
      <c r="I260" s="366" t="s">
        <v>1685</v>
      </c>
      <c r="J260" s="348" t="str">
        <f t="shared" si="6"/>
        <v>OK</v>
      </c>
      <c r="K260" s="366" t="s">
        <v>1686</v>
      </c>
      <c r="L260" s="366" t="s">
        <v>1687</v>
      </c>
      <c r="M260" s="350" t="str">
        <f>IF($B260="Portfolio","Portfolio",IFERROR(INDEX(DATA_ASSET_CLASSIFICATION!$B$8:$B$24,MATCH($C260,DATA_ASSET_CLASSIFICATION!$A$8:$A$24,0)),"Review"))</f>
        <v>Portfolio</v>
      </c>
      <c r="N260" s="350" t="str">
        <f>IF($B260="Portfolio","Portfolio",IFERROR(INDEX(DATA_ASSET_CLASSIFICATION!$U$8:$U$24,MATCH($C260,DATA_ASSET_CLASSIFICATION!$A$8:$A$24,0)),"Review"))</f>
        <v>Portfolio</v>
      </c>
      <c r="O260" s="350" t="str">
        <f>IF($B260="Portfolio","Portfolio",IFERROR(INDEX(DATA_ASSET_CLASSIFICATION!$AB$8:$AB$13,MATCH($N260,DATA_ASSET_CLASSIFICATION!$AA$8:$AA$13,0)),"Review"))</f>
        <v>Portfolio</v>
      </c>
      <c r="P260" s="350" t="str">
        <f>IF($B260="Portfolio","Portfolio",IFERROR(INDEX(DATA_ASSET_CLASSIFICATION!$C$8:$C$24,MATCH($C260,DATA_ASSET_CLASSIFICATION!$A$8:$A$24,0)),"Review"))</f>
        <v>Portfolio</v>
      </c>
      <c r="Q260" s="350" t="str">
        <f t="shared" si="7"/>
        <v>OK</v>
      </c>
    </row>
    <row r="261" spans="1:17">
      <c r="A261" s="366" t="s">
        <v>2175</v>
      </c>
      <c r="B261" s="366" t="s">
        <v>1681</v>
      </c>
      <c r="C261" s="366" t="s">
        <v>1682</v>
      </c>
      <c r="D261" s="380">
        <f>'00_PORTFOLIO ROLLUP'!T$12</f>
        <v>2040</v>
      </c>
      <c r="E261" s="366" t="s">
        <v>1683</v>
      </c>
      <c r="F261" s="366" t="s">
        <v>355</v>
      </c>
      <c r="G261" s="366" t="s">
        <v>2176</v>
      </c>
      <c r="H261" s="381">
        <f>'00_PORTFOLIO ROLLUP'!T$39</f>
        <v>8833876.3747278396</v>
      </c>
      <c r="I261" s="366" t="s">
        <v>1690</v>
      </c>
      <c r="J261" s="348" t="str">
        <f t="shared" ref="J261:J324" si="8">IF($F261="Residual Funding Gap",IF($H261&gt;0,"Funding Gap","OK"),IF(AND($F261="Net Refinance Position",$H261&lt;0),"Negative net refi position","OK"))</f>
        <v>OK</v>
      </c>
      <c r="K261" s="366" t="s">
        <v>1686</v>
      </c>
      <c r="L261" s="366" t="s">
        <v>1691</v>
      </c>
      <c r="M261" s="350" t="str">
        <f>IF($B261="Portfolio","Portfolio",IFERROR(INDEX(DATA_ASSET_CLASSIFICATION!$B$8:$B$24,MATCH($C261,DATA_ASSET_CLASSIFICATION!$A$8:$A$24,0)),"Review"))</f>
        <v>Portfolio</v>
      </c>
      <c r="N261" s="350" t="str">
        <f>IF($B261="Portfolio","Portfolio",IFERROR(INDEX(DATA_ASSET_CLASSIFICATION!$U$8:$U$24,MATCH($C261,DATA_ASSET_CLASSIFICATION!$A$8:$A$24,0)),"Review"))</f>
        <v>Portfolio</v>
      </c>
      <c r="O261" s="350" t="str">
        <f>IF($B261="Portfolio","Portfolio",IFERROR(INDEX(DATA_ASSET_CLASSIFICATION!$AB$8:$AB$13,MATCH($N261,DATA_ASSET_CLASSIFICATION!$AA$8:$AA$13,0)),"Review"))</f>
        <v>Portfolio</v>
      </c>
      <c r="P261" s="350" t="str">
        <f>IF($B261="Portfolio","Portfolio",IFERROR(INDEX(DATA_ASSET_CLASSIFICATION!$C$8:$C$24,MATCH($C261,DATA_ASSET_CLASSIFICATION!$A$8:$A$24,0)),"Review"))</f>
        <v>Portfolio</v>
      </c>
      <c r="Q261" s="350" t="str">
        <f t="shared" ref="Q261:Q324" si="9">IF(AND($B261="Property",$F261="Residual Funding Gap",$H261&gt;0),"Property Funding Gap",IF($J261&lt;&gt;"OK",$J261,"OK"))</f>
        <v>OK</v>
      </c>
    </row>
    <row r="262" spans="1:17">
      <c r="A262" s="366" t="s">
        <v>2177</v>
      </c>
      <c r="B262" s="366" t="s">
        <v>1681</v>
      </c>
      <c r="C262" s="366" t="s">
        <v>1682</v>
      </c>
      <c r="D262" s="380">
        <f>'00_PORTFOLIO ROLLUP'!T$12</f>
        <v>2040</v>
      </c>
      <c r="E262" s="366" t="s">
        <v>1683</v>
      </c>
      <c r="F262" s="366" t="s">
        <v>19</v>
      </c>
      <c r="G262" s="366" t="s">
        <v>2178</v>
      </c>
      <c r="H262" s="381">
        <f>'00_PORTFOLIO ROLLUP'!T$41</f>
        <v>14808166.441289315</v>
      </c>
      <c r="I262" s="366" t="s">
        <v>1685</v>
      </c>
      <c r="J262" s="348" t="str">
        <f t="shared" si="8"/>
        <v>OK</v>
      </c>
      <c r="K262" s="366" t="s">
        <v>1694</v>
      </c>
      <c r="L262" s="366" t="s">
        <v>1695</v>
      </c>
      <c r="M262" s="350" t="str">
        <f>IF($B262="Portfolio","Portfolio",IFERROR(INDEX(DATA_ASSET_CLASSIFICATION!$B$8:$B$24,MATCH($C262,DATA_ASSET_CLASSIFICATION!$A$8:$A$24,0)),"Review"))</f>
        <v>Portfolio</v>
      </c>
      <c r="N262" s="350" t="str">
        <f>IF($B262="Portfolio","Portfolio",IFERROR(INDEX(DATA_ASSET_CLASSIFICATION!$U$8:$U$24,MATCH($C262,DATA_ASSET_CLASSIFICATION!$A$8:$A$24,0)),"Review"))</f>
        <v>Portfolio</v>
      </c>
      <c r="O262" s="350" t="str">
        <f>IF($B262="Portfolio","Portfolio",IFERROR(INDEX(DATA_ASSET_CLASSIFICATION!$AB$8:$AB$13,MATCH($N262,DATA_ASSET_CLASSIFICATION!$AA$8:$AA$13,0)),"Review"))</f>
        <v>Portfolio</v>
      </c>
      <c r="P262" s="350" t="str">
        <f>IF($B262="Portfolio","Portfolio",IFERROR(INDEX(DATA_ASSET_CLASSIFICATION!$C$8:$C$24,MATCH($C262,DATA_ASSET_CLASSIFICATION!$A$8:$A$24,0)),"Review"))</f>
        <v>Portfolio</v>
      </c>
      <c r="Q262" s="350" t="str">
        <f t="shared" si="9"/>
        <v>OK</v>
      </c>
    </row>
    <row r="263" spans="1:17">
      <c r="A263" s="366" t="s">
        <v>2179</v>
      </c>
      <c r="B263" s="366" t="s">
        <v>1681</v>
      </c>
      <c r="C263" s="366" t="s">
        <v>1682</v>
      </c>
      <c r="D263" s="380">
        <f>'00_PORTFOLIO ROLLUP'!T$12</f>
        <v>2040</v>
      </c>
      <c r="E263" s="366" t="s">
        <v>1683</v>
      </c>
      <c r="F263" s="366" t="s">
        <v>1697</v>
      </c>
      <c r="G263" s="366" t="s">
        <v>2180</v>
      </c>
      <c r="H263" s="381">
        <f>'00_PORTFOLIO ROLLUP'!T$44</f>
        <v>217223.14980551446</v>
      </c>
      <c r="I263" s="366" t="s">
        <v>1690</v>
      </c>
      <c r="J263" s="348" t="str">
        <f t="shared" si="8"/>
        <v>OK</v>
      </c>
      <c r="K263" s="366" t="s">
        <v>1699</v>
      </c>
      <c r="L263" s="366" t="s">
        <v>1700</v>
      </c>
      <c r="M263" s="350" t="str">
        <f>IF($B263="Portfolio","Portfolio",IFERROR(INDEX(DATA_ASSET_CLASSIFICATION!$B$8:$B$24,MATCH($C263,DATA_ASSET_CLASSIFICATION!$A$8:$A$24,0)),"Review"))</f>
        <v>Portfolio</v>
      </c>
      <c r="N263" s="350" t="str">
        <f>IF($B263="Portfolio","Portfolio",IFERROR(INDEX(DATA_ASSET_CLASSIFICATION!$U$8:$U$24,MATCH($C263,DATA_ASSET_CLASSIFICATION!$A$8:$A$24,0)),"Review"))</f>
        <v>Portfolio</v>
      </c>
      <c r="O263" s="350" t="str">
        <f>IF($B263="Portfolio","Portfolio",IFERROR(INDEX(DATA_ASSET_CLASSIFICATION!$AB$8:$AB$13,MATCH($N263,DATA_ASSET_CLASSIFICATION!$AA$8:$AA$13,0)),"Review"))</f>
        <v>Portfolio</v>
      </c>
      <c r="P263" s="350" t="str">
        <f>IF($B263="Portfolio","Portfolio",IFERROR(INDEX(DATA_ASSET_CLASSIFICATION!$C$8:$C$24,MATCH($C263,DATA_ASSET_CLASSIFICATION!$A$8:$A$24,0)),"Review"))</f>
        <v>Portfolio</v>
      </c>
      <c r="Q263" s="350" t="str">
        <f t="shared" si="9"/>
        <v>OK</v>
      </c>
    </row>
    <row r="264" spans="1:17">
      <c r="A264" s="366" t="s">
        <v>2181</v>
      </c>
      <c r="B264" s="366" t="s">
        <v>1681</v>
      </c>
      <c r="C264" s="366" t="s">
        <v>1682</v>
      </c>
      <c r="D264" s="380">
        <f>'00_PORTFOLIO ROLLUP'!T$12</f>
        <v>2040</v>
      </c>
      <c r="E264" s="366" t="s">
        <v>1683</v>
      </c>
      <c r="F264" s="366" t="s">
        <v>21</v>
      </c>
      <c r="G264" s="366" t="s">
        <v>2182</v>
      </c>
      <c r="H264" s="381">
        <f>'00_PORTFOLIO ROLLUP'!T$45</f>
        <v>14590943.291483801</v>
      </c>
      <c r="I264" s="366" t="s">
        <v>1685</v>
      </c>
      <c r="J264" s="348" t="str">
        <f t="shared" si="8"/>
        <v>OK</v>
      </c>
      <c r="K264" s="366" t="s">
        <v>1694</v>
      </c>
      <c r="L264" s="366" t="s">
        <v>1703</v>
      </c>
      <c r="M264" s="350" t="str">
        <f>IF($B264="Portfolio","Portfolio",IFERROR(INDEX(DATA_ASSET_CLASSIFICATION!$B$8:$B$24,MATCH($C264,DATA_ASSET_CLASSIFICATION!$A$8:$A$24,0)),"Review"))</f>
        <v>Portfolio</v>
      </c>
      <c r="N264" s="350" t="str">
        <f>IF($B264="Portfolio","Portfolio",IFERROR(INDEX(DATA_ASSET_CLASSIFICATION!$U$8:$U$24,MATCH($C264,DATA_ASSET_CLASSIFICATION!$A$8:$A$24,0)),"Review"))</f>
        <v>Portfolio</v>
      </c>
      <c r="O264" s="350" t="str">
        <f>IF($B264="Portfolio","Portfolio",IFERROR(INDEX(DATA_ASSET_CLASSIFICATION!$AB$8:$AB$13,MATCH($N264,DATA_ASSET_CLASSIFICATION!$AA$8:$AA$13,0)),"Review"))</f>
        <v>Portfolio</v>
      </c>
      <c r="P264" s="350" t="str">
        <f>IF($B264="Portfolio","Portfolio",IFERROR(INDEX(DATA_ASSET_CLASSIFICATION!$C$8:$C$24,MATCH($C264,DATA_ASSET_CLASSIFICATION!$A$8:$A$24,0)),"Review"))</f>
        <v>Portfolio</v>
      </c>
      <c r="Q264" s="350" t="str">
        <f t="shared" si="9"/>
        <v>OK</v>
      </c>
    </row>
    <row r="265" spans="1:17">
      <c r="A265" s="366" t="s">
        <v>2183</v>
      </c>
      <c r="B265" s="366" t="s">
        <v>1681</v>
      </c>
      <c r="C265" s="366" t="s">
        <v>1682</v>
      </c>
      <c r="D265" s="380">
        <f>'00_PORTFOLIO ROLLUP'!T$12</f>
        <v>2040</v>
      </c>
      <c r="E265" s="366" t="s">
        <v>23</v>
      </c>
      <c r="F265" s="366" t="s">
        <v>23</v>
      </c>
      <c r="G265" s="366" t="s">
        <v>2184</v>
      </c>
      <c r="H265" s="381">
        <f>'00_PORTFOLIO ROLLUP'!T$48</f>
        <v>6811656.6125063812</v>
      </c>
      <c r="I265" s="366" t="s">
        <v>1690</v>
      </c>
      <c r="J265" s="348" t="str">
        <f t="shared" si="8"/>
        <v>OK</v>
      </c>
      <c r="K265" s="366" t="s">
        <v>1706</v>
      </c>
      <c r="L265" s="366" t="s">
        <v>1707</v>
      </c>
      <c r="M265" s="350" t="str">
        <f>IF($B265="Portfolio","Portfolio",IFERROR(INDEX(DATA_ASSET_CLASSIFICATION!$B$8:$B$24,MATCH($C265,DATA_ASSET_CLASSIFICATION!$A$8:$A$24,0)),"Review"))</f>
        <v>Portfolio</v>
      </c>
      <c r="N265" s="350" t="str">
        <f>IF($B265="Portfolio","Portfolio",IFERROR(INDEX(DATA_ASSET_CLASSIFICATION!$U$8:$U$24,MATCH($C265,DATA_ASSET_CLASSIFICATION!$A$8:$A$24,0)),"Review"))</f>
        <v>Portfolio</v>
      </c>
      <c r="O265" s="350" t="str">
        <f>IF($B265="Portfolio","Portfolio",IFERROR(INDEX(DATA_ASSET_CLASSIFICATION!$AB$8:$AB$13,MATCH($N265,DATA_ASSET_CLASSIFICATION!$AA$8:$AA$13,0)),"Review"))</f>
        <v>Portfolio</v>
      </c>
      <c r="P265" s="350" t="str">
        <f>IF($B265="Portfolio","Portfolio",IFERROR(INDEX(DATA_ASSET_CLASSIFICATION!$C$8:$C$24,MATCH($C265,DATA_ASSET_CLASSIFICATION!$A$8:$A$24,0)),"Review"))</f>
        <v>Portfolio</v>
      </c>
      <c r="Q265" s="350" t="str">
        <f t="shared" si="9"/>
        <v>OK</v>
      </c>
    </row>
    <row r="266" spans="1:17">
      <c r="A266" s="366" t="s">
        <v>2185</v>
      </c>
      <c r="B266" s="366" t="s">
        <v>1681</v>
      </c>
      <c r="C266" s="366" t="s">
        <v>1682</v>
      </c>
      <c r="D266" s="380">
        <f>'00_PORTFOLIO ROLLUP'!T$12</f>
        <v>2040</v>
      </c>
      <c r="E266" s="366" t="s">
        <v>1683</v>
      </c>
      <c r="F266" s="366" t="s">
        <v>25</v>
      </c>
      <c r="G266" s="366" t="s">
        <v>2186</v>
      </c>
      <c r="H266" s="381">
        <f>'00_PORTFOLIO ROLLUP'!T$52</f>
        <v>7996509.8287829338</v>
      </c>
      <c r="I266" s="366" t="s">
        <v>1685</v>
      </c>
      <c r="J266" s="348" t="str">
        <f t="shared" si="8"/>
        <v>OK</v>
      </c>
      <c r="K266" s="366" t="s">
        <v>1710</v>
      </c>
      <c r="L266" s="366" t="s">
        <v>1711</v>
      </c>
      <c r="M266" s="350" t="str">
        <f>IF($B266="Portfolio","Portfolio",IFERROR(INDEX(DATA_ASSET_CLASSIFICATION!$B$8:$B$24,MATCH($C266,DATA_ASSET_CLASSIFICATION!$A$8:$A$24,0)),"Review"))</f>
        <v>Portfolio</v>
      </c>
      <c r="N266" s="350" t="str">
        <f>IF($B266="Portfolio","Portfolio",IFERROR(INDEX(DATA_ASSET_CLASSIFICATION!$U$8:$U$24,MATCH($C266,DATA_ASSET_CLASSIFICATION!$A$8:$A$24,0)),"Review"))</f>
        <v>Portfolio</v>
      </c>
      <c r="O266" s="350" t="str">
        <f>IF($B266="Portfolio","Portfolio",IFERROR(INDEX(DATA_ASSET_CLASSIFICATION!$AB$8:$AB$13,MATCH($N266,DATA_ASSET_CLASSIFICATION!$AA$8:$AA$13,0)),"Review"))</f>
        <v>Portfolio</v>
      </c>
      <c r="P266" s="350" t="str">
        <f>IF($B266="Portfolio","Portfolio",IFERROR(INDEX(DATA_ASSET_CLASSIFICATION!$C$8:$C$24,MATCH($C266,DATA_ASSET_CLASSIFICATION!$A$8:$A$24,0)),"Review"))</f>
        <v>Portfolio</v>
      </c>
      <c r="Q266" s="350" t="str">
        <f t="shared" si="9"/>
        <v>OK</v>
      </c>
    </row>
    <row r="267" spans="1:17">
      <c r="A267" s="366" t="s">
        <v>2187</v>
      </c>
      <c r="B267" s="366" t="s">
        <v>1681</v>
      </c>
      <c r="C267" s="366" t="s">
        <v>1682</v>
      </c>
      <c r="D267" s="380">
        <f>'00_PORTFOLIO ROLLUP'!T$12</f>
        <v>2040</v>
      </c>
      <c r="E267" s="366" t="s">
        <v>1683</v>
      </c>
      <c r="F267" s="366" t="s">
        <v>27</v>
      </c>
      <c r="G267" s="366" t="s">
        <v>2188</v>
      </c>
      <c r="H267" s="381">
        <f>'00_PORTFOLIO ROLLUP'!T$54</f>
        <v>4797905.8972697603</v>
      </c>
      <c r="I267" s="366" t="s">
        <v>1690</v>
      </c>
      <c r="J267" s="348" t="str">
        <f t="shared" si="8"/>
        <v>OK</v>
      </c>
      <c r="K267" s="366" t="s">
        <v>1714</v>
      </c>
      <c r="L267" s="366" t="s">
        <v>1715</v>
      </c>
      <c r="M267" s="350" t="str">
        <f>IF($B267="Portfolio","Portfolio",IFERROR(INDEX(DATA_ASSET_CLASSIFICATION!$B$8:$B$24,MATCH($C267,DATA_ASSET_CLASSIFICATION!$A$8:$A$24,0)),"Review"))</f>
        <v>Portfolio</v>
      </c>
      <c r="N267" s="350" t="str">
        <f>IF($B267="Portfolio","Portfolio",IFERROR(INDEX(DATA_ASSET_CLASSIFICATION!$U$8:$U$24,MATCH($C267,DATA_ASSET_CLASSIFICATION!$A$8:$A$24,0)),"Review"))</f>
        <v>Portfolio</v>
      </c>
      <c r="O267" s="350" t="str">
        <f>IF($B267="Portfolio","Portfolio",IFERROR(INDEX(DATA_ASSET_CLASSIFICATION!$AB$8:$AB$13,MATCH($N267,DATA_ASSET_CLASSIFICATION!$AA$8:$AA$13,0)),"Review"))</f>
        <v>Portfolio</v>
      </c>
      <c r="P267" s="350" t="str">
        <f>IF($B267="Portfolio","Portfolio",IFERROR(INDEX(DATA_ASSET_CLASSIFICATION!$C$8:$C$24,MATCH($C267,DATA_ASSET_CLASSIFICATION!$A$8:$A$24,0)),"Review"))</f>
        <v>Portfolio</v>
      </c>
      <c r="Q267" s="350" t="str">
        <f t="shared" si="9"/>
        <v>OK</v>
      </c>
    </row>
    <row r="268" spans="1:17">
      <c r="A268" s="366" t="s">
        <v>2189</v>
      </c>
      <c r="B268" s="366" t="s">
        <v>1681</v>
      </c>
      <c r="C268" s="366" t="s">
        <v>1682</v>
      </c>
      <c r="D268" s="380">
        <f>'00_PORTFOLIO ROLLUP'!T$12</f>
        <v>2040</v>
      </c>
      <c r="E268" s="366" t="s">
        <v>1683</v>
      </c>
      <c r="F268" s="366" t="s">
        <v>29</v>
      </c>
      <c r="G268" s="366" t="s">
        <v>2190</v>
      </c>
      <c r="H268" s="381">
        <f>'00_PORTFOLIO ROLLUP'!T$56</f>
        <v>3198603.9315131735</v>
      </c>
      <c r="I268" s="366" t="s">
        <v>1685</v>
      </c>
      <c r="J268" s="348" t="str">
        <f t="shared" si="8"/>
        <v>OK</v>
      </c>
      <c r="K268" s="366" t="s">
        <v>1718</v>
      </c>
      <c r="L268" s="366" t="s">
        <v>1719</v>
      </c>
      <c r="M268" s="350" t="str">
        <f>IF($B268="Portfolio","Portfolio",IFERROR(INDEX(DATA_ASSET_CLASSIFICATION!$B$8:$B$24,MATCH($C268,DATA_ASSET_CLASSIFICATION!$A$8:$A$24,0)),"Review"))</f>
        <v>Portfolio</v>
      </c>
      <c r="N268" s="350" t="str">
        <f>IF($B268="Portfolio","Portfolio",IFERROR(INDEX(DATA_ASSET_CLASSIFICATION!$U$8:$U$24,MATCH($C268,DATA_ASSET_CLASSIFICATION!$A$8:$A$24,0)),"Review"))</f>
        <v>Portfolio</v>
      </c>
      <c r="O268" s="350" t="str">
        <f>IF($B268="Portfolio","Portfolio",IFERROR(INDEX(DATA_ASSET_CLASSIFICATION!$AB$8:$AB$13,MATCH($N268,DATA_ASSET_CLASSIFICATION!$AA$8:$AA$13,0)),"Review"))</f>
        <v>Portfolio</v>
      </c>
      <c r="P268" s="350" t="str">
        <f>IF($B268="Portfolio","Portfolio",IFERROR(INDEX(DATA_ASSET_CLASSIFICATION!$C$8:$C$24,MATCH($C268,DATA_ASSET_CLASSIFICATION!$A$8:$A$24,0)),"Review"))</f>
        <v>Portfolio</v>
      </c>
      <c r="Q268" s="350" t="str">
        <f t="shared" si="9"/>
        <v>OK</v>
      </c>
    </row>
    <row r="269" spans="1:17">
      <c r="A269" s="366" t="s">
        <v>2191</v>
      </c>
      <c r="B269" s="366" t="s">
        <v>1681</v>
      </c>
      <c r="C269" s="366" t="s">
        <v>1682</v>
      </c>
      <c r="D269" s="380">
        <f>'00_PORTFOLIO ROLLUP'!T$12</f>
        <v>2040</v>
      </c>
      <c r="E269" s="366" t="s">
        <v>1721</v>
      </c>
      <c r="F269" s="366" t="s">
        <v>31</v>
      </c>
      <c r="G269" s="366" t="s">
        <v>2192</v>
      </c>
      <c r="H269" s="381">
        <f>'00_PORTFOLIO ROLLUP'!T$61</f>
        <v>0</v>
      </c>
      <c r="I269" s="366" t="s">
        <v>1690</v>
      </c>
      <c r="J269" s="348" t="str">
        <f t="shared" si="8"/>
        <v>OK</v>
      </c>
      <c r="K269" s="366" t="s">
        <v>1723</v>
      </c>
      <c r="L269" s="366" t="s">
        <v>1724</v>
      </c>
      <c r="M269" s="350" t="str">
        <f>IF($B269="Portfolio","Portfolio",IFERROR(INDEX(DATA_ASSET_CLASSIFICATION!$B$8:$B$24,MATCH($C269,DATA_ASSET_CLASSIFICATION!$A$8:$A$24,0)),"Review"))</f>
        <v>Portfolio</v>
      </c>
      <c r="N269" s="350" t="str">
        <f>IF($B269="Portfolio","Portfolio",IFERROR(INDEX(DATA_ASSET_CLASSIFICATION!$U$8:$U$24,MATCH($C269,DATA_ASSET_CLASSIFICATION!$A$8:$A$24,0)),"Review"))</f>
        <v>Portfolio</v>
      </c>
      <c r="O269" s="350" t="str">
        <f>IF($B269="Portfolio","Portfolio",IFERROR(INDEX(DATA_ASSET_CLASSIFICATION!$AB$8:$AB$13,MATCH($N269,DATA_ASSET_CLASSIFICATION!$AA$8:$AA$13,0)),"Review"))</f>
        <v>Portfolio</v>
      </c>
      <c r="P269" s="350" t="str">
        <f>IF($B269="Portfolio","Portfolio",IFERROR(INDEX(DATA_ASSET_CLASSIFICATION!$C$8:$C$24,MATCH($C269,DATA_ASSET_CLASSIFICATION!$A$8:$A$24,0)),"Review"))</f>
        <v>Portfolio</v>
      </c>
      <c r="Q269" s="350" t="str">
        <f t="shared" si="9"/>
        <v>OK</v>
      </c>
    </row>
    <row r="270" spans="1:17">
      <c r="A270" s="366" t="s">
        <v>2193</v>
      </c>
      <c r="B270" s="366" t="s">
        <v>1681</v>
      </c>
      <c r="C270" s="366" t="s">
        <v>1682</v>
      </c>
      <c r="D270" s="380">
        <f>'00_PORTFOLIO ROLLUP'!T$12</f>
        <v>2040</v>
      </c>
      <c r="E270" s="366" t="s">
        <v>1721</v>
      </c>
      <c r="F270" s="366" t="s">
        <v>33</v>
      </c>
      <c r="G270" s="366" t="s">
        <v>2194</v>
      </c>
      <c r="H270" s="381">
        <f>'00_PORTFOLIO ROLLUP'!T$62</f>
        <v>0</v>
      </c>
      <c r="I270" s="366" t="s">
        <v>1685</v>
      </c>
      <c r="J270" s="348" t="str">
        <f t="shared" si="8"/>
        <v>OK</v>
      </c>
      <c r="K270" s="366" t="s">
        <v>1727</v>
      </c>
      <c r="L270" s="366" t="s">
        <v>1728</v>
      </c>
      <c r="M270" s="350" t="str">
        <f>IF($B270="Portfolio","Portfolio",IFERROR(INDEX(DATA_ASSET_CLASSIFICATION!$B$8:$B$24,MATCH($C270,DATA_ASSET_CLASSIFICATION!$A$8:$A$24,0)),"Review"))</f>
        <v>Portfolio</v>
      </c>
      <c r="N270" s="350" t="str">
        <f>IF($B270="Portfolio","Portfolio",IFERROR(INDEX(DATA_ASSET_CLASSIFICATION!$U$8:$U$24,MATCH($C270,DATA_ASSET_CLASSIFICATION!$A$8:$A$24,0)),"Review"))</f>
        <v>Portfolio</v>
      </c>
      <c r="O270" s="350" t="str">
        <f>IF($B270="Portfolio","Portfolio",IFERROR(INDEX(DATA_ASSET_CLASSIFICATION!$AB$8:$AB$13,MATCH($N270,DATA_ASSET_CLASSIFICATION!$AA$8:$AA$13,0)),"Review"))</f>
        <v>Portfolio</v>
      </c>
      <c r="P270" s="350" t="str">
        <f>IF($B270="Portfolio","Portfolio",IFERROR(INDEX(DATA_ASSET_CLASSIFICATION!$C$8:$C$24,MATCH($C270,DATA_ASSET_CLASSIFICATION!$A$8:$A$24,0)),"Review"))</f>
        <v>Portfolio</v>
      </c>
      <c r="Q270" s="350" t="str">
        <f t="shared" si="9"/>
        <v>OK</v>
      </c>
    </row>
    <row r="271" spans="1:17">
      <c r="A271" s="366" t="s">
        <v>2195</v>
      </c>
      <c r="B271" s="366" t="s">
        <v>1681</v>
      </c>
      <c r="C271" s="366" t="s">
        <v>1682</v>
      </c>
      <c r="D271" s="380">
        <f>'00_PORTFOLIO ROLLUP'!T$12</f>
        <v>2040</v>
      </c>
      <c r="E271" s="366" t="s">
        <v>1721</v>
      </c>
      <c r="F271" s="366" t="s">
        <v>35</v>
      </c>
      <c r="G271" s="366" t="s">
        <v>2196</v>
      </c>
      <c r="H271" s="381">
        <f>'00_PORTFOLIO ROLLUP'!T$63</f>
        <v>0</v>
      </c>
      <c r="I271" s="366" t="s">
        <v>1731</v>
      </c>
      <c r="J271" s="348" t="str">
        <f t="shared" si="8"/>
        <v>OK</v>
      </c>
      <c r="K271" s="366" t="s">
        <v>1732</v>
      </c>
      <c r="L271" s="366" t="s">
        <v>1733</v>
      </c>
      <c r="M271" s="350" t="str">
        <f>IF($B271="Portfolio","Portfolio",IFERROR(INDEX(DATA_ASSET_CLASSIFICATION!$B$8:$B$24,MATCH($C271,DATA_ASSET_CLASSIFICATION!$A$8:$A$24,0)),"Review"))</f>
        <v>Portfolio</v>
      </c>
      <c r="N271" s="350" t="str">
        <f>IF($B271="Portfolio","Portfolio",IFERROR(INDEX(DATA_ASSET_CLASSIFICATION!$U$8:$U$24,MATCH($C271,DATA_ASSET_CLASSIFICATION!$A$8:$A$24,0)),"Review"))</f>
        <v>Portfolio</v>
      </c>
      <c r="O271" s="350" t="str">
        <f>IF($B271="Portfolio","Portfolio",IFERROR(INDEX(DATA_ASSET_CLASSIFICATION!$AB$8:$AB$13,MATCH($N271,DATA_ASSET_CLASSIFICATION!$AA$8:$AA$13,0)),"Review"))</f>
        <v>Portfolio</v>
      </c>
      <c r="P271" s="350" t="str">
        <f>IF($B271="Portfolio","Portfolio",IFERROR(INDEX(DATA_ASSET_CLASSIFICATION!$C$8:$C$24,MATCH($C271,DATA_ASSET_CLASSIFICATION!$A$8:$A$24,0)),"Review"))</f>
        <v>Portfolio</v>
      </c>
      <c r="Q271" s="350" t="str">
        <f t="shared" si="9"/>
        <v>OK</v>
      </c>
    </row>
    <row r="272" spans="1:17">
      <c r="A272" s="366" t="s">
        <v>2197</v>
      </c>
      <c r="B272" s="366" t="s">
        <v>1681</v>
      </c>
      <c r="C272" s="366" t="s">
        <v>1682</v>
      </c>
      <c r="D272" s="380">
        <f>'00_PORTFOLIO ROLLUP'!T$12</f>
        <v>2040</v>
      </c>
      <c r="E272" s="366" t="s">
        <v>1721</v>
      </c>
      <c r="F272" s="366" t="s">
        <v>37</v>
      </c>
      <c r="G272" s="366" t="s">
        <v>2196</v>
      </c>
      <c r="H272" s="381">
        <f>MAX('00_PORTFOLIO ROLLUP'!T$63,0)</f>
        <v>0</v>
      </c>
      <c r="I272" s="366" t="s">
        <v>1685</v>
      </c>
      <c r="J272" s="348" t="str">
        <f t="shared" si="8"/>
        <v>OK</v>
      </c>
      <c r="K272" s="366" t="s">
        <v>1735</v>
      </c>
      <c r="L272" s="366" t="s">
        <v>1736</v>
      </c>
      <c r="M272" s="350" t="str">
        <f>IF($B272="Portfolio","Portfolio",IFERROR(INDEX(DATA_ASSET_CLASSIFICATION!$B$8:$B$24,MATCH($C272,DATA_ASSET_CLASSIFICATION!$A$8:$A$24,0)),"Review"))</f>
        <v>Portfolio</v>
      </c>
      <c r="N272" s="350" t="str">
        <f>IF($B272="Portfolio","Portfolio",IFERROR(INDEX(DATA_ASSET_CLASSIFICATION!$U$8:$U$24,MATCH($C272,DATA_ASSET_CLASSIFICATION!$A$8:$A$24,0)),"Review"))</f>
        <v>Portfolio</v>
      </c>
      <c r="O272" s="350" t="str">
        <f>IF($B272="Portfolio","Portfolio",IFERROR(INDEX(DATA_ASSET_CLASSIFICATION!$AB$8:$AB$13,MATCH($N272,DATA_ASSET_CLASSIFICATION!$AA$8:$AA$13,0)),"Review"))</f>
        <v>Portfolio</v>
      </c>
      <c r="P272" s="350" t="str">
        <f>IF($B272="Portfolio","Portfolio",IFERROR(INDEX(DATA_ASSET_CLASSIFICATION!$C$8:$C$24,MATCH($C272,DATA_ASSET_CLASSIFICATION!$A$8:$A$24,0)),"Review"))</f>
        <v>Portfolio</v>
      </c>
      <c r="Q272" s="350" t="str">
        <f t="shared" si="9"/>
        <v>OK</v>
      </c>
    </row>
    <row r="273" spans="1:17">
      <c r="A273" s="366" t="s">
        <v>2198</v>
      </c>
      <c r="B273" s="366" t="s">
        <v>1681</v>
      </c>
      <c r="C273" s="366" t="s">
        <v>1682</v>
      </c>
      <c r="D273" s="380">
        <f>'00_PORTFOLIO ROLLUP'!T$12</f>
        <v>2040</v>
      </c>
      <c r="E273" s="366" t="s">
        <v>1721</v>
      </c>
      <c r="F273" s="366" t="s">
        <v>39</v>
      </c>
      <c r="G273" s="366" t="s">
        <v>2196</v>
      </c>
      <c r="H273" s="381">
        <f>MAX(-'00_PORTFOLIO ROLLUP'!T$63,0)</f>
        <v>0</v>
      </c>
      <c r="I273" s="366" t="s">
        <v>1690</v>
      </c>
      <c r="J273" s="348" t="str">
        <f t="shared" si="8"/>
        <v>OK</v>
      </c>
      <c r="K273" s="366" t="s">
        <v>1738</v>
      </c>
      <c r="L273" s="366" t="s">
        <v>1739</v>
      </c>
      <c r="M273" s="350" t="str">
        <f>IF($B273="Portfolio","Portfolio",IFERROR(INDEX(DATA_ASSET_CLASSIFICATION!$B$8:$B$24,MATCH($C273,DATA_ASSET_CLASSIFICATION!$A$8:$A$24,0)),"Review"))</f>
        <v>Portfolio</v>
      </c>
      <c r="N273" s="350" t="str">
        <f>IF($B273="Portfolio","Portfolio",IFERROR(INDEX(DATA_ASSET_CLASSIFICATION!$U$8:$U$24,MATCH($C273,DATA_ASSET_CLASSIFICATION!$A$8:$A$24,0)),"Review"))</f>
        <v>Portfolio</v>
      </c>
      <c r="O273" s="350" t="str">
        <f>IF($B273="Portfolio","Portfolio",IFERROR(INDEX(DATA_ASSET_CLASSIFICATION!$AB$8:$AB$13,MATCH($N273,DATA_ASSET_CLASSIFICATION!$AA$8:$AA$13,0)),"Review"))</f>
        <v>Portfolio</v>
      </c>
      <c r="P273" s="350" t="str">
        <f>IF($B273="Portfolio","Portfolio",IFERROR(INDEX(DATA_ASSET_CLASSIFICATION!$C$8:$C$24,MATCH($C273,DATA_ASSET_CLASSIFICATION!$A$8:$A$24,0)),"Review"))</f>
        <v>Portfolio</v>
      </c>
      <c r="Q273" s="350" t="str">
        <f t="shared" si="9"/>
        <v>OK</v>
      </c>
    </row>
    <row r="274" spans="1:17">
      <c r="A274" s="366" t="s">
        <v>2199</v>
      </c>
      <c r="B274" s="366" t="s">
        <v>1681</v>
      </c>
      <c r="C274" s="366" t="s">
        <v>1682</v>
      </c>
      <c r="D274" s="380">
        <f>'00_PORTFOLIO ROLLUP'!T$12</f>
        <v>2040</v>
      </c>
      <c r="E274" s="366" t="s">
        <v>1741</v>
      </c>
      <c r="F274" s="366" t="s">
        <v>41</v>
      </c>
      <c r="H274" s="381">
        <f>'00_PORTFOLIO ROLLUP'!T$56+MAX('00_PORTFOLIO ROLLUP'!T$63,0)</f>
        <v>3198603.9315131735</v>
      </c>
      <c r="I274" s="366" t="s">
        <v>1685</v>
      </c>
      <c r="J274" s="348" t="str">
        <f t="shared" si="8"/>
        <v>OK</v>
      </c>
      <c r="K274" s="366" t="s">
        <v>1742</v>
      </c>
      <c r="L274" s="366" t="s">
        <v>1743</v>
      </c>
      <c r="M274" s="350" t="str">
        <f>IF($B274="Portfolio","Portfolio",IFERROR(INDEX(DATA_ASSET_CLASSIFICATION!$B$8:$B$24,MATCH($C274,DATA_ASSET_CLASSIFICATION!$A$8:$A$24,0)),"Review"))</f>
        <v>Portfolio</v>
      </c>
      <c r="N274" s="350" t="str">
        <f>IF($B274="Portfolio","Portfolio",IFERROR(INDEX(DATA_ASSET_CLASSIFICATION!$U$8:$U$24,MATCH($C274,DATA_ASSET_CLASSIFICATION!$A$8:$A$24,0)),"Review"))</f>
        <v>Portfolio</v>
      </c>
      <c r="O274" s="350" t="str">
        <f>IF($B274="Portfolio","Portfolio",IFERROR(INDEX(DATA_ASSET_CLASSIFICATION!$AB$8:$AB$13,MATCH($N274,DATA_ASSET_CLASSIFICATION!$AA$8:$AA$13,0)),"Review"))</f>
        <v>Portfolio</v>
      </c>
      <c r="P274" s="350" t="str">
        <f>IF($B274="Portfolio","Portfolio",IFERROR(INDEX(DATA_ASSET_CLASSIFICATION!$C$8:$C$24,MATCH($C274,DATA_ASSET_CLASSIFICATION!$A$8:$A$24,0)),"Review"))</f>
        <v>Portfolio</v>
      </c>
      <c r="Q274" s="350" t="str">
        <f t="shared" si="9"/>
        <v>OK</v>
      </c>
    </row>
    <row r="275" spans="1:17">
      <c r="A275" s="366" t="s">
        <v>2200</v>
      </c>
      <c r="B275" s="366" t="s">
        <v>1681</v>
      </c>
      <c r="C275" s="366" t="s">
        <v>1682</v>
      </c>
      <c r="D275" s="380">
        <f>'00_PORTFOLIO ROLLUP'!T$12</f>
        <v>2040</v>
      </c>
      <c r="E275" s="366" t="s">
        <v>1741</v>
      </c>
      <c r="F275" s="366" t="s">
        <v>43</v>
      </c>
      <c r="G275" s="366" t="s">
        <v>2201</v>
      </c>
      <c r="H275" s="381">
        <f>'00_PORTFOLIO ROLLUP'!T$68</f>
        <v>3198603.9315131735</v>
      </c>
      <c r="I275" s="366" t="s">
        <v>1731</v>
      </c>
      <c r="J275" s="348" t="str">
        <f t="shared" si="8"/>
        <v>OK</v>
      </c>
      <c r="K275" s="366" t="s">
        <v>1746</v>
      </c>
      <c r="L275" s="366" t="s">
        <v>1747</v>
      </c>
      <c r="M275" s="350" t="str">
        <f>IF($B275="Portfolio","Portfolio",IFERROR(INDEX(DATA_ASSET_CLASSIFICATION!$B$8:$B$24,MATCH($C275,DATA_ASSET_CLASSIFICATION!$A$8:$A$24,0)),"Review"))</f>
        <v>Portfolio</v>
      </c>
      <c r="N275" s="350" t="str">
        <f>IF($B275="Portfolio","Portfolio",IFERROR(INDEX(DATA_ASSET_CLASSIFICATION!$U$8:$U$24,MATCH($C275,DATA_ASSET_CLASSIFICATION!$A$8:$A$24,0)),"Review"))</f>
        <v>Portfolio</v>
      </c>
      <c r="O275" s="350" t="str">
        <f>IF($B275="Portfolio","Portfolio",IFERROR(INDEX(DATA_ASSET_CLASSIFICATION!$AB$8:$AB$13,MATCH($N275,DATA_ASSET_CLASSIFICATION!$AA$8:$AA$13,0)),"Review"))</f>
        <v>Portfolio</v>
      </c>
      <c r="P275" s="350" t="str">
        <f>IF($B275="Portfolio","Portfolio",IFERROR(INDEX(DATA_ASSET_CLASSIFICATION!$C$8:$C$24,MATCH($C275,DATA_ASSET_CLASSIFICATION!$A$8:$A$24,0)),"Review"))</f>
        <v>Portfolio</v>
      </c>
      <c r="Q275" s="350" t="str">
        <f t="shared" si="9"/>
        <v>OK</v>
      </c>
    </row>
    <row r="276" spans="1:17">
      <c r="A276" s="366" t="s">
        <v>2202</v>
      </c>
      <c r="B276" s="366" t="s">
        <v>1681</v>
      </c>
      <c r="C276" s="366" t="s">
        <v>1682</v>
      </c>
      <c r="D276" s="380">
        <f>'00_PORTFOLIO ROLLUP'!T$12</f>
        <v>2040</v>
      </c>
      <c r="E276" s="366" t="s">
        <v>1741</v>
      </c>
      <c r="F276" s="366" t="s">
        <v>1749</v>
      </c>
      <c r="H276" s="381">
        <f>('00_PORTFOLIO ROLLUP'!T$56+MAX('00_PORTFOLIO ROLLUP'!T$63,0))-'00_PORTFOLIO ROLLUP'!T$68</f>
        <v>0</v>
      </c>
      <c r="I276" s="366" t="s">
        <v>1750</v>
      </c>
      <c r="J276" s="348" t="str">
        <f t="shared" si="8"/>
        <v>OK</v>
      </c>
      <c r="K276" s="366" t="s">
        <v>1751</v>
      </c>
      <c r="L276" s="366" t="s">
        <v>1752</v>
      </c>
      <c r="M276" s="350" t="str">
        <f>IF($B276="Portfolio","Portfolio",IFERROR(INDEX(DATA_ASSET_CLASSIFICATION!$B$8:$B$24,MATCH($C276,DATA_ASSET_CLASSIFICATION!$A$8:$A$24,0)),"Review"))</f>
        <v>Portfolio</v>
      </c>
      <c r="N276" s="350" t="str">
        <f>IF($B276="Portfolio","Portfolio",IFERROR(INDEX(DATA_ASSET_CLASSIFICATION!$U$8:$U$24,MATCH($C276,DATA_ASSET_CLASSIFICATION!$A$8:$A$24,0)),"Review"))</f>
        <v>Portfolio</v>
      </c>
      <c r="O276" s="350" t="str">
        <f>IF($B276="Portfolio","Portfolio",IFERROR(INDEX(DATA_ASSET_CLASSIFICATION!$AB$8:$AB$13,MATCH($N276,DATA_ASSET_CLASSIFICATION!$AA$8:$AA$13,0)),"Review"))</f>
        <v>Portfolio</v>
      </c>
      <c r="P276" s="350" t="str">
        <f>IF($B276="Portfolio","Portfolio",IFERROR(INDEX(DATA_ASSET_CLASSIFICATION!$C$8:$C$24,MATCH($C276,DATA_ASSET_CLASSIFICATION!$A$8:$A$24,0)),"Review"))</f>
        <v>Portfolio</v>
      </c>
      <c r="Q276" s="350" t="str">
        <f t="shared" si="9"/>
        <v>OK</v>
      </c>
    </row>
    <row r="277" spans="1:17">
      <c r="A277" s="366" t="s">
        <v>2203</v>
      </c>
      <c r="B277" s="366" t="s">
        <v>1681</v>
      </c>
      <c r="C277" s="366" t="s">
        <v>1682</v>
      </c>
      <c r="D277" s="380">
        <f>'00_PORTFOLIO ROLLUP'!U$12</f>
        <v>2041</v>
      </c>
      <c r="E277" s="366" t="s">
        <v>1683</v>
      </c>
      <c r="F277" s="366" t="s">
        <v>341</v>
      </c>
      <c r="G277" s="366" t="s">
        <v>2204</v>
      </c>
      <c r="H277" s="381">
        <f>'00_PORTFOLIO ROLLUP'!U$24</f>
        <v>24114883.672337502</v>
      </c>
      <c r="I277" s="366" t="s">
        <v>1685</v>
      </c>
      <c r="J277" s="348" t="str">
        <f t="shared" si="8"/>
        <v>OK</v>
      </c>
      <c r="K277" s="366" t="s">
        <v>1686</v>
      </c>
      <c r="L277" s="366" t="s">
        <v>1687</v>
      </c>
      <c r="M277" s="350" t="str">
        <f>IF($B277="Portfolio","Portfolio",IFERROR(INDEX(DATA_ASSET_CLASSIFICATION!$B$8:$B$24,MATCH($C277,DATA_ASSET_CLASSIFICATION!$A$8:$A$24,0)),"Review"))</f>
        <v>Portfolio</v>
      </c>
      <c r="N277" s="350" t="str">
        <f>IF($B277="Portfolio","Portfolio",IFERROR(INDEX(DATA_ASSET_CLASSIFICATION!$U$8:$U$24,MATCH($C277,DATA_ASSET_CLASSIFICATION!$A$8:$A$24,0)),"Review"))</f>
        <v>Portfolio</v>
      </c>
      <c r="O277" s="350" t="str">
        <f>IF($B277="Portfolio","Portfolio",IFERROR(INDEX(DATA_ASSET_CLASSIFICATION!$AB$8:$AB$13,MATCH($N277,DATA_ASSET_CLASSIFICATION!$AA$8:$AA$13,0)),"Review"))</f>
        <v>Portfolio</v>
      </c>
      <c r="P277" s="350" t="str">
        <f>IF($B277="Portfolio","Portfolio",IFERROR(INDEX(DATA_ASSET_CLASSIFICATION!$C$8:$C$24,MATCH($C277,DATA_ASSET_CLASSIFICATION!$A$8:$A$24,0)),"Review"))</f>
        <v>Portfolio</v>
      </c>
      <c r="Q277" s="350" t="str">
        <f t="shared" si="9"/>
        <v>OK</v>
      </c>
    </row>
    <row r="278" spans="1:17">
      <c r="A278" s="366" t="s">
        <v>2205</v>
      </c>
      <c r="B278" s="366" t="s">
        <v>1681</v>
      </c>
      <c r="C278" s="366" t="s">
        <v>1682</v>
      </c>
      <c r="D278" s="380">
        <f>'00_PORTFOLIO ROLLUP'!U$12</f>
        <v>2041</v>
      </c>
      <c r="E278" s="366" t="s">
        <v>1683</v>
      </c>
      <c r="F278" s="366" t="s">
        <v>355</v>
      </c>
      <c r="G278" s="366" t="s">
        <v>2206</v>
      </c>
      <c r="H278" s="381">
        <f>'00_PORTFOLIO ROLLUP'!U$39</f>
        <v>9054723.2840960342</v>
      </c>
      <c r="I278" s="366" t="s">
        <v>1690</v>
      </c>
      <c r="J278" s="348" t="str">
        <f t="shared" si="8"/>
        <v>OK</v>
      </c>
      <c r="K278" s="366" t="s">
        <v>1686</v>
      </c>
      <c r="L278" s="366" t="s">
        <v>1691</v>
      </c>
      <c r="M278" s="350" t="str">
        <f>IF($B278="Portfolio","Portfolio",IFERROR(INDEX(DATA_ASSET_CLASSIFICATION!$B$8:$B$24,MATCH($C278,DATA_ASSET_CLASSIFICATION!$A$8:$A$24,0)),"Review"))</f>
        <v>Portfolio</v>
      </c>
      <c r="N278" s="350" t="str">
        <f>IF($B278="Portfolio","Portfolio",IFERROR(INDEX(DATA_ASSET_CLASSIFICATION!$U$8:$U$24,MATCH($C278,DATA_ASSET_CLASSIFICATION!$A$8:$A$24,0)),"Review"))</f>
        <v>Portfolio</v>
      </c>
      <c r="O278" s="350" t="str">
        <f>IF($B278="Portfolio","Portfolio",IFERROR(INDEX(DATA_ASSET_CLASSIFICATION!$AB$8:$AB$13,MATCH($N278,DATA_ASSET_CLASSIFICATION!$AA$8:$AA$13,0)),"Review"))</f>
        <v>Portfolio</v>
      </c>
      <c r="P278" s="350" t="str">
        <f>IF($B278="Portfolio","Portfolio",IFERROR(INDEX(DATA_ASSET_CLASSIFICATION!$C$8:$C$24,MATCH($C278,DATA_ASSET_CLASSIFICATION!$A$8:$A$24,0)),"Review"))</f>
        <v>Portfolio</v>
      </c>
      <c r="Q278" s="350" t="str">
        <f t="shared" si="9"/>
        <v>OK</v>
      </c>
    </row>
    <row r="279" spans="1:17">
      <c r="A279" s="366" t="s">
        <v>2207</v>
      </c>
      <c r="B279" s="366" t="s">
        <v>1681</v>
      </c>
      <c r="C279" s="366" t="s">
        <v>1682</v>
      </c>
      <c r="D279" s="380">
        <f>'00_PORTFOLIO ROLLUP'!U$12</f>
        <v>2041</v>
      </c>
      <c r="E279" s="366" t="s">
        <v>1683</v>
      </c>
      <c r="F279" s="366" t="s">
        <v>19</v>
      </c>
      <c r="G279" s="366" t="s">
        <v>2208</v>
      </c>
      <c r="H279" s="381">
        <f>'00_PORTFOLIO ROLLUP'!U$41</f>
        <v>15060160.388241468</v>
      </c>
      <c r="I279" s="366" t="s">
        <v>1685</v>
      </c>
      <c r="J279" s="348" t="str">
        <f t="shared" si="8"/>
        <v>OK</v>
      </c>
      <c r="K279" s="366" t="s">
        <v>1694</v>
      </c>
      <c r="L279" s="366" t="s">
        <v>1695</v>
      </c>
      <c r="M279" s="350" t="str">
        <f>IF($B279="Portfolio","Portfolio",IFERROR(INDEX(DATA_ASSET_CLASSIFICATION!$B$8:$B$24,MATCH($C279,DATA_ASSET_CLASSIFICATION!$A$8:$A$24,0)),"Review"))</f>
        <v>Portfolio</v>
      </c>
      <c r="N279" s="350" t="str">
        <f>IF($B279="Portfolio","Portfolio",IFERROR(INDEX(DATA_ASSET_CLASSIFICATION!$U$8:$U$24,MATCH($C279,DATA_ASSET_CLASSIFICATION!$A$8:$A$24,0)),"Review"))</f>
        <v>Portfolio</v>
      </c>
      <c r="O279" s="350" t="str">
        <f>IF($B279="Portfolio","Portfolio",IFERROR(INDEX(DATA_ASSET_CLASSIFICATION!$AB$8:$AB$13,MATCH($N279,DATA_ASSET_CLASSIFICATION!$AA$8:$AA$13,0)),"Review"))</f>
        <v>Portfolio</v>
      </c>
      <c r="P279" s="350" t="str">
        <f>IF($B279="Portfolio","Portfolio",IFERROR(INDEX(DATA_ASSET_CLASSIFICATION!$C$8:$C$24,MATCH($C279,DATA_ASSET_CLASSIFICATION!$A$8:$A$24,0)),"Review"))</f>
        <v>Portfolio</v>
      </c>
      <c r="Q279" s="350" t="str">
        <f t="shared" si="9"/>
        <v>OK</v>
      </c>
    </row>
    <row r="280" spans="1:17">
      <c r="A280" s="366" t="s">
        <v>2209</v>
      </c>
      <c r="B280" s="366" t="s">
        <v>1681</v>
      </c>
      <c r="C280" s="366" t="s">
        <v>1682</v>
      </c>
      <c r="D280" s="380">
        <f>'00_PORTFOLIO ROLLUP'!U$12</f>
        <v>2041</v>
      </c>
      <c r="E280" s="366" t="s">
        <v>1683</v>
      </c>
      <c r="F280" s="366" t="s">
        <v>1697</v>
      </c>
      <c r="G280" s="366" t="s">
        <v>2210</v>
      </c>
      <c r="H280" s="381">
        <f>'00_PORTFOLIO ROLLUP'!U$44</f>
        <v>221567.61280162481</v>
      </c>
      <c r="I280" s="366" t="s">
        <v>1690</v>
      </c>
      <c r="J280" s="348" t="str">
        <f t="shared" si="8"/>
        <v>OK</v>
      </c>
      <c r="K280" s="366" t="s">
        <v>1699</v>
      </c>
      <c r="L280" s="366" t="s">
        <v>1700</v>
      </c>
      <c r="M280" s="350" t="str">
        <f>IF($B280="Portfolio","Portfolio",IFERROR(INDEX(DATA_ASSET_CLASSIFICATION!$B$8:$B$24,MATCH($C280,DATA_ASSET_CLASSIFICATION!$A$8:$A$24,0)),"Review"))</f>
        <v>Portfolio</v>
      </c>
      <c r="N280" s="350" t="str">
        <f>IF($B280="Portfolio","Portfolio",IFERROR(INDEX(DATA_ASSET_CLASSIFICATION!$U$8:$U$24,MATCH($C280,DATA_ASSET_CLASSIFICATION!$A$8:$A$24,0)),"Review"))</f>
        <v>Portfolio</v>
      </c>
      <c r="O280" s="350" t="str">
        <f>IF($B280="Portfolio","Portfolio",IFERROR(INDEX(DATA_ASSET_CLASSIFICATION!$AB$8:$AB$13,MATCH($N280,DATA_ASSET_CLASSIFICATION!$AA$8:$AA$13,0)),"Review"))</f>
        <v>Portfolio</v>
      </c>
      <c r="P280" s="350" t="str">
        <f>IF($B280="Portfolio","Portfolio",IFERROR(INDEX(DATA_ASSET_CLASSIFICATION!$C$8:$C$24,MATCH($C280,DATA_ASSET_CLASSIFICATION!$A$8:$A$24,0)),"Review"))</f>
        <v>Portfolio</v>
      </c>
      <c r="Q280" s="350" t="str">
        <f t="shared" si="9"/>
        <v>OK</v>
      </c>
    </row>
    <row r="281" spans="1:17">
      <c r="A281" s="366" t="s">
        <v>2211</v>
      </c>
      <c r="B281" s="366" t="s">
        <v>1681</v>
      </c>
      <c r="C281" s="366" t="s">
        <v>1682</v>
      </c>
      <c r="D281" s="380">
        <f>'00_PORTFOLIO ROLLUP'!U$12</f>
        <v>2041</v>
      </c>
      <c r="E281" s="366" t="s">
        <v>1683</v>
      </c>
      <c r="F281" s="366" t="s">
        <v>21</v>
      </c>
      <c r="G281" s="366" t="s">
        <v>2212</v>
      </c>
      <c r="H281" s="381">
        <f>'00_PORTFOLIO ROLLUP'!U$45</f>
        <v>14838592.775439844</v>
      </c>
      <c r="I281" s="366" t="s">
        <v>1685</v>
      </c>
      <c r="J281" s="348" t="str">
        <f t="shared" si="8"/>
        <v>OK</v>
      </c>
      <c r="K281" s="366" t="s">
        <v>1694</v>
      </c>
      <c r="L281" s="366" t="s">
        <v>1703</v>
      </c>
      <c r="M281" s="350" t="str">
        <f>IF($B281="Portfolio","Portfolio",IFERROR(INDEX(DATA_ASSET_CLASSIFICATION!$B$8:$B$24,MATCH($C281,DATA_ASSET_CLASSIFICATION!$A$8:$A$24,0)),"Review"))</f>
        <v>Portfolio</v>
      </c>
      <c r="N281" s="350" t="str">
        <f>IF($B281="Portfolio","Portfolio",IFERROR(INDEX(DATA_ASSET_CLASSIFICATION!$U$8:$U$24,MATCH($C281,DATA_ASSET_CLASSIFICATION!$A$8:$A$24,0)),"Review"))</f>
        <v>Portfolio</v>
      </c>
      <c r="O281" s="350" t="str">
        <f>IF($B281="Portfolio","Portfolio",IFERROR(INDEX(DATA_ASSET_CLASSIFICATION!$AB$8:$AB$13,MATCH($N281,DATA_ASSET_CLASSIFICATION!$AA$8:$AA$13,0)),"Review"))</f>
        <v>Portfolio</v>
      </c>
      <c r="P281" s="350" t="str">
        <f>IF($B281="Portfolio","Portfolio",IFERROR(INDEX(DATA_ASSET_CLASSIFICATION!$C$8:$C$24,MATCH($C281,DATA_ASSET_CLASSIFICATION!$A$8:$A$24,0)),"Review"))</f>
        <v>Portfolio</v>
      </c>
      <c r="Q281" s="350" t="str">
        <f t="shared" si="9"/>
        <v>OK</v>
      </c>
    </row>
    <row r="282" spans="1:17">
      <c r="A282" s="366" t="s">
        <v>2213</v>
      </c>
      <c r="B282" s="366" t="s">
        <v>1681</v>
      </c>
      <c r="C282" s="366" t="s">
        <v>1682</v>
      </c>
      <c r="D282" s="380">
        <f>'00_PORTFOLIO ROLLUP'!U$12</f>
        <v>2041</v>
      </c>
      <c r="E282" s="366" t="s">
        <v>23</v>
      </c>
      <c r="F282" s="366" t="s">
        <v>23</v>
      </c>
      <c r="G282" s="366" t="s">
        <v>2214</v>
      </c>
      <c r="H282" s="381">
        <f>'00_PORTFOLIO ROLLUP'!U$48</f>
        <v>6811656.6125063812</v>
      </c>
      <c r="I282" s="366" t="s">
        <v>1690</v>
      </c>
      <c r="J282" s="348" t="str">
        <f t="shared" si="8"/>
        <v>OK</v>
      </c>
      <c r="K282" s="366" t="s">
        <v>1706</v>
      </c>
      <c r="L282" s="366" t="s">
        <v>1707</v>
      </c>
      <c r="M282" s="350" t="str">
        <f>IF($B282="Portfolio","Portfolio",IFERROR(INDEX(DATA_ASSET_CLASSIFICATION!$B$8:$B$24,MATCH($C282,DATA_ASSET_CLASSIFICATION!$A$8:$A$24,0)),"Review"))</f>
        <v>Portfolio</v>
      </c>
      <c r="N282" s="350" t="str">
        <f>IF($B282="Portfolio","Portfolio",IFERROR(INDEX(DATA_ASSET_CLASSIFICATION!$U$8:$U$24,MATCH($C282,DATA_ASSET_CLASSIFICATION!$A$8:$A$24,0)),"Review"))</f>
        <v>Portfolio</v>
      </c>
      <c r="O282" s="350" t="str">
        <f>IF($B282="Portfolio","Portfolio",IFERROR(INDEX(DATA_ASSET_CLASSIFICATION!$AB$8:$AB$13,MATCH($N282,DATA_ASSET_CLASSIFICATION!$AA$8:$AA$13,0)),"Review"))</f>
        <v>Portfolio</v>
      </c>
      <c r="P282" s="350" t="str">
        <f>IF($B282="Portfolio","Portfolio",IFERROR(INDEX(DATA_ASSET_CLASSIFICATION!$C$8:$C$24,MATCH($C282,DATA_ASSET_CLASSIFICATION!$A$8:$A$24,0)),"Review"))</f>
        <v>Portfolio</v>
      </c>
      <c r="Q282" s="350" t="str">
        <f t="shared" si="9"/>
        <v>OK</v>
      </c>
    </row>
    <row r="283" spans="1:17">
      <c r="A283" s="366" t="s">
        <v>2215</v>
      </c>
      <c r="B283" s="366" t="s">
        <v>1681</v>
      </c>
      <c r="C283" s="366" t="s">
        <v>1682</v>
      </c>
      <c r="D283" s="380">
        <f>'00_PORTFOLIO ROLLUP'!U$12</f>
        <v>2041</v>
      </c>
      <c r="E283" s="366" t="s">
        <v>1683</v>
      </c>
      <c r="F283" s="366" t="s">
        <v>25</v>
      </c>
      <c r="G283" s="366" t="s">
        <v>2216</v>
      </c>
      <c r="H283" s="381">
        <f>'00_PORTFOLIO ROLLUP'!U$52</f>
        <v>8248503.7757350868</v>
      </c>
      <c r="I283" s="366" t="s">
        <v>1685</v>
      </c>
      <c r="J283" s="348" t="str">
        <f t="shared" si="8"/>
        <v>OK</v>
      </c>
      <c r="K283" s="366" t="s">
        <v>1710</v>
      </c>
      <c r="L283" s="366" t="s">
        <v>1711</v>
      </c>
      <c r="M283" s="350" t="str">
        <f>IF($B283="Portfolio","Portfolio",IFERROR(INDEX(DATA_ASSET_CLASSIFICATION!$B$8:$B$24,MATCH($C283,DATA_ASSET_CLASSIFICATION!$A$8:$A$24,0)),"Review"))</f>
        <v>Portfolio</v>
      </c>
      <c r="N283" s="350" t="str">
        <f>IF($B283="Portfolio","Portfolio",IFERROR(INDEX(DATA_ASSET_CLASSIFICATION!$U$8:$U$24,MATCH($C283,DATA_ASSET_CLASSIFICATION!$A$8:$A$24,0)),"Review"))</f>
        <v>Portfolio</v>
      </c>
      <c r="O283" s="350" t="str">
        <f>IF($B283="Portfolio","Portfolio",IFERROR(INDEX(DATA_ASSET_CLASSIFICATION!$AB$8:$AB$13,MATCH($N283,DATA_ASSET_CLASSIFICATION!$AA$8:$AA$13,0)),"Review"))</f>
        <v>Portfolio</v>
      </c>
      <c r="P283" s="350" t="str">
        <f>IF($B283="Portfolio","Portfolio",IFERROR(INDEX(DATA_ASSET_CLASSIFICATION!$C$8:$C$24,MATCH($C283,DATA_ASSET_CLASSIFICATION!$A$8:$A$24,0)),"Review"))</f>
        <v>Portfolio</v>
      </c>
      <c r="Q283" s="350" t="str">
        <f t="shared" si="9"/>
        <v>OK</v>
      </c>
    </row>
    <row r="284" spans="1:17">
      <c r="A284" s="366" t="s">
        <v>2217</v>
      </c>
      <c r="B284" s="366" t="s">
        <v>1681</v>
      </c>
      <c r="C284" s="366" t="s">
        <v>1682</v>
      </c>
      <c r="D284" s="380">
        <f>'00_PORTFOLIO ROLLUP'!U$12</f>
        <v>2041</v>
      </c>
      <c r="E284" s="366" t="s">
        <v>1683</v>
      </c>
      <c r="F284" s="366" t="s">
        <v>27</v>
      </c>
      <c r="G284" s="366" t="s">
        <v>2218</v>
      </c>
      <c r="H284" s="381">
        <f>'00_PORTFOLIO ROLLUP'!U$54</f>
        <v>4949102.2654410517</v>
      </c>
      <c r="I284" s="366" t="s">
        <v>1690</v>
      </c>
      <c r="J284" s="348" t="str">
        <f t="shared" si="8"/>
        <v>OK</v>
      </c>
      <c r="K284" s="366" t="s">
        <v>1714</v>
      </c>
      <c r="L284" s="366" t="s">
        <v>1715</v>
      </c>
      <c r="M284" s="350" t="str">
        <f>IF($B284="Portfolio","Portfolio",IFERROR(INDEX(DATA_ASSET_CLASSIFICATION!$B$8:$B$24,MATCH($C284,DATA_ASSET_CLASSIFICATION!$A$8:$A$24,0)),"Review"))</f>
        <v>Portfolio</v>
      </c>
      <c r="N284" s="350" t="str">
        <f>IF($B284="Portfolio","Portfolio",IFERROR(INDEX(DATA_ASSET_CLASSIFICATION!$U$8:$U$24,MATCH($C284,DATA_ASSET_CLASSIFICATION!$A$8:$A$24,0)),"Review"))</f>
        <v>Portfolio</v>
      </c>
      <c r="O284" s="350" t="str">
        <f>IF($B284="Portfolio","Portfolio",IFERROR(INDEX(DATA_ASSET_CLASSIFICATION!$AB$8:$AB$13,MATCH($N284,DATA_ASSET_CLASSIFICATION!$AA$8:$AA$13,0)),"Review"))</f>
        <v>Portfolio</v>
      </c>
      <c r="P284" s="350" t="str">
        <f>IF($B284="Portfolio","Portfolio",IFERROR(INDEX(DATA_ASSET_CLASSIFICATION!$C$8:$C$24,MATCH($C284,DATA_ASSET_CLASSIFICATION!$A$8:$A$24,0)),"Review"))</f>
        <v>Portfolio</v>
      </c>
      <c r="Q284" s="350" t="str">
        <f t="shared" si="9"/>
        <v>OK</v>
      </c>
    </row>
    <row r="285" spans="1:17">
      <c r="A285" s="366" t="s">
        <v>2219</v>
      </c>
      <c r="B285" s="366" t="s">
        <v>1681</v>
      </c>
      <c r="C285" s="366" t="s">
        <v>1682</v>
      </c>
      <c r="D285" s="380">
        <f>'00_PORTFOLIO ROLLUP'!U$12</f>
        <v>2041</v>
      </c>
      <c r="E285" s="366" t="s">
        <v>1683</v>
      </c>
      <c r="F285" s="366" t="s">
        <v>29</v>
      </c>
      <c r="G285" s="366" t="s">
        <v>2220</v>
      </c>
      <c r="H285" s="381">
        <f>'00_PORTFOLIO ROLLUP'!U$56</f>
        <v>3299401.5102940351</v>
      </c>
      <c r="I285" s="366" t="s">
        <v>1685</v>
      </c>
      <c r="J285" s="348" t="str">
        <f t="shared" si="8"/>
        <v>OK</v>
      </c>
      <c r="K285" s="366" t="s">
        <v>1718</v>
      </c>
      <c r="L285" s="366" t="s">
        <v>1719</v>
      </c>
      <c r="M285" s="350" t="str">
        <f>IF($B285="Portfolio","Portfolio",IFERROR(INDEX(DATA_ASSET_CLASSIFICATION!$B$8:$B$24,MATCH($C285,DATA_ASSET_CLASSIFICATION!$A$8:$A$24,0)),"Review"))</f>
        <v>Portfolio</v>
      </c>
      <c r="N285" s="350" t="str">
        <f>IF($B285="Portfolio","Portfolio",IFERROR(INDEX(DATA_ASSET_CLASSIFICATION!$U$8:$U$24,MATCH($C285,DATA_ASSET_CLASSIFICATION!$A$8:$A$24,0)),"Review"))</f>
        <v>Portfolio</v>
      </c>
      <c r="O285" s="350" t="str">
        <f>IF($B285="Portfolio","Portfolio",IFERROR(INDEX(DATA_ASSET_CLASSIFICATION!$AB$8:$AB$13,MATCH($N285,DATA_ASSET_CLASSIFICATION!$AA$8:$AA$13,0)),"Review"))</f>
        <v>Portfolio</v>
      </c>
      <c r="P285" s="350" t="str">
        <f>IF($B285="Portfolio","Portfolio",IFERROR(INDEX(DATA_ASSET_CLASSIFICATION!$C$8:$C$24,MATCH($C285,DATA_ASSET_CLASSIFICATION!$A$8:$A$24,0)),"Review"))</f>
        <v>Portfolio</v>
      </c>
      <c r="Q285" s="350" t="str">
        <f t="shared" si="9"/>
        <v>OK</v>
      </c>
    </row>
    <row r="286" spans="1:17">
      <c r="A286" s="366" t="s">
        <v>2221</v>
      </c>
      <c r="B286" s="366" t="s">
        <v>1681</v>
      </c>
      <c r="C286" s="366" t="s">
        <v>1682</v>
      </c>
      <c r="D286" s="380">
        <f>'00_PORTFOLIO ROLLUP'!U$12</f>
        <v>2041</v>
      </c>
      <c r="E286" s="366" t="s">
        <v>1721</v>
      </c>
      <c r="F286" s="366" t="s">
        <v>31</v>
      </c>
      <c r="G286" s="366" t="s">
        <v>2222</v>
      </c>
      <c r="H286" s="381">
        <f>'00_PORTFOLIO ROLLUP'!U$61</f>
        <v>0</v>
      </c>
      <c r="I286" s="366" t="s">
        <v>1690</v>
      </c>
      <c r="J286" s="348" t="str">
        <f t="shared" si="8"/>
        <v>OK</v>
      </c>
      <c r="K286" s="366" t="s">
        <v>1723</v>
      </c>
      <c r="L286" s="366" t="s">
        <v>1724</v>
      </c>
      <c r="M286" s="350" t="str">
        <f>IF($B286="Portfolio","Portfolio",IFERROR(INDEX(DATA_ASSET_CLASSIFICATION!$B$8:$B$24,MATCH($C286,DATA_ASSET_CLASSIFICATION!$A$8:$A$24,0)),"Review"))</f>
        <v>Portfolio</v>
      </c>
      <c r="N286" s="350" t="str">
        <f>IF($B286="Portfolio","Portfolio",IFERROR(INDEX(DATA_ASSET_CLASSIFICATION!$U$8:$U$24,MATCH($C286,DATA_ASSET_CLASSIFICATION!$A$8:$A$24,0)),"Review"))</f>
        <v>Portfolio</v>
      </c>
      <c r="O286" s="350" t="str">
        <f>IF($B286="Portfolio","Portfolio",IFERROR(INDEX(DATA_ASSET_CLASSIFICATION!$AB$8:$AB$13,MATCH($N286,DATA_ASSET_CLASSIFICATION!$AA$8:$AA$13,0)),"Review"))</f>
        <v>Portfolio</v>
      </c>
      <c r="P286" s="350" t="str">
        <f>IF($B286="Portfolio","Portfolio",IFERROR(INDEX(DATA_ASSET_CLASSIFICATION!$C$8:$C$24,MATCH($C286,DATA_ASSET_CLASSIFICATION!$A$8:$A$24,0)),"Review"))</f>
        <v>Portfolio</v>
      </c>
      <c r="Q286" s="350" t="str">
        <f t="shared" si="9"/>
        <v>OK</v>
      </c>
    </row>
    <row r="287" spans="1:17">
      <c r="A287" s="366" t="s">
        <v>2223</v>
      </c>
      <c r="B287" s="366" t="s">
        <v>1681</v>
      </c>
      <c r="C287" s="366" t="s">
        <v>1682</v>
      </c>
      <c r="D287" s="380">
        <f>'00_PORTFOLIO ROLLUP'!U$12</f>
        <v>2041</v>
      </c>
      <c r="E287" s="366" t="s">
        <v>1721</v>
      </c>
      <c r="F287" s="366" t="s">
        <v>33</v>
      </c>
      <c r="G287" s="366" t="s">
        <v>2224</v>
      </c>
      <c r="H287" s="381">
        <f>'00_PORTFOLIO ROLLUP'!U$62</f>
        <v>0</v>
      </c>
      <c r="I287" s="366" t="s">
        <v>1685</v>
      </c>
      <c r="J287" s="348" t="str">
        <f t="shared" si="8"/>
        <v>OK</v>
      </c>
      <c r="K287" s="366" t="s">
        <v>1727</v>
      </c>
      <c r="L287" s="366" t="s">
        <v>1728</v>
      </c>
      <c r="M287" s="350" t="str">
        <f>IF($B287="Portfolio","Portfolio",IFERROR(INDEX(DATA_ASSET_CLASSIFICATION!$B$8:$B$24,MATCH($C287,DATA_ASSET_CLASSIFICATION!$A$8:$A$24,0)),"Review"))</f>
        <v>Portfolio</v>
      </c>
      <c r="N287" s="350" t="str">
        <f>IF($B287="Portfolio","Portfolio",IFERROR(INDEX(DATA_ASSET_CLASSIFICATION!$U$8:$U$24,MATCH($C287,DATA_ASSET_CLASSIFICATION!$A$8:$A$24,0)),"Review"))</f>
        <v>Portfolio</v>
      </c>
      <c r="O287" s="350" t="str">
        <f>IF($B287="Portfolio","Portfolio",IFERROR(INDEX(DATA_ASSET_CLASSIFICATION!$AB$8:$AB$13,MATCH($N287,DATA_ASSET_CLASSIFICATION!$AA$8:$AA$13,0)),"Review"))</f>
        <v>Portfolio</v>
      </c>
      <c r="P287" s="350" t="str">
        <f>IF($B287="Portfolio","Portfolio",IFERROR(INDEX(DATA_ASSET_CLASSIFICATION!$C$8:$C$24,MATCH($C287,DATA_ASSET_CLASSIFICATION!$A$8:$A$24,0)),"Review"))</f>
        <v>Portfolio</v>
      </c>
      <c r="Q287" s="350" t="str">
        <f t="shared" si="9"/>
        <v>OK</v>
      </c>
    </row>
    <row r="288" spans="1:17">
      <c r="A288" s="366" t="s">
        <v>2225</v>
      </c>
      <c r="B288" s="366" t="s">
        <v>1681</v>
      </c>
      <c r="C288" s="366" t="s">
        <v>1682</v>
      </c>
      <c r="D288" s="380">
        <f>'00_PORTFOLIO ROLLUP'!U$12</f>
        <v>2041</v>
      </c>
      <c r="E288" s="366" t="s">
        <v>1721</v>
      </c>
      <c r="F288" s="366" t="s">
        <v>35</v>
      </c>
      <c r="G288" s="366" t="s">
        <v>2226</v>
      </c>
      <c r="H288" s="381">
        <f>'00_PORTFOLIO ROLLUP'!U$63</f>
        <v>0</v>
      </c>
      <c r="I288" s="366" t="s">
        <v>1731</v>
      </c>
      <c r="J288" s="348" t="str">
        <f t="shared" si="8"/>
        <v>OK</v>
      </c>
      <c r="K288" s="366" t="s">
        <v>1732</v>
      </c>
      <c r="L288" s="366" t="s">
        <v>1733</v>
      </c>
      <c r="M288" s="350" t="str">
        <f>IF($B288="Portfolio","Portfolio",IFERROR(INDEX(DATA_ASSET_CLASSIFICATION!$B$8:$B$24,MATCH($C288,DATA_ASSET_CLASSIFICATION!$A$8:$A$24,0)),"Review"))</f>
        <v>Portfolio</v>
      </c>
      <c r="N288" s="350" t="str">
        <f>IF($B288="Portfolio","Portfolio",IFERROR(INDEX(DATA_ASSET_CLASSIFICATION!$U$8:$U$24,MATCH($C288,DATA_ASSET_CLASSIFICATION!$A$8:$A$24,0)),"Review"))</f>
        <v>Portfolio</v>
      </c>
      <c r="O288" s="350" t="str">
        <f>IF($B288="Portfolio","Portfolio",IFERROR(INDEX(DATA_ASSET_CLASSIFICATION!$AB$8:$AB$13,MATCH($N288,DATA_ASSET_CLASSIFICATION!$AA$8:$AA$13,0)),"Review"))</f>
        <v>Portfolio</v>
      </c>
      <c r="P288" s="350" t="str">
        <f>IF($B288="Portfolio","Portfolio",IFERROR(INDEX(DATA_ASSET_CLASSIFICATION!$C$8:$C$24,MATCH($C288,DATA_ASSET_CLASSIFICATION!$A$8:$A$24,0)),"Review"))</f>
        <v>Portfolio</v>
      </c>
      <c r="Q288" s="350" t="str">
        <f t="shared" si="9"/>
        <v>OK</v>
      </c>
    </row>
    <row r="289" spans="1:17">
      <c r="A289" s="366" t="s">
        <v>2227</v>
      </c>
      <c r="B289" s="366" t="s">
        <v>1681</v>
      </c>
      <c r="C289" s="366" t="s">
        <v>1682</v>
      </c>
      <c r="D289" s="380">
        <f>'00_PORTFOLIO ROLLUP'!U$12</f>
        <v>2041</v>
      </c>
      <c r="E289" s="366" t="s">
        <v>1721</v>
      </c>
      <c r="F289" s="366" t="s">
        <v>37</v>
      </c>
      <c r="G289" s="366" t="s">
        <v>2226</v>
      </c>
      <c r="H289" s="381">
        <f>MAX('00_PORTFOLIO ROLLUP'!U$63,0)</f>
        <v>0</v>
      </c>
      <c r="I289" s="366" t="s">
        <v>1685</v>
      </c>
      <c r="J289" s="348" t="str">
        <f t="shared" si="8"/>
        <v>OK</v>
      </c>
      <c r="K289" s="366" t="s">
        <v>1735</v>
      </c>
      <c r="L289" s="366" t="s">
        <v>1736</v>
      </c>
      <c r="M289" s="350" t="str">
        <f>IF($B289="Portfolio","Portfolio",IFERROR(INDEX(DATA_ASSET_CLASSIFICATION!$B$8:$B$24,MATCH($C289,DATA_ASSET_CLASSIFICATION!$A$8:$A$24,0)),"Review"))</f>
        <v>Portfolio</v>
      </c>
      <c r="N289" s="350" t="str">
        <f>IF($B289="Portfolio","Portfolio",IFERROR(INDEX(DATA_ASSET_CLASSIFICATION!$U$8:$U$24,MATCH($C289,DATA_ASSET_CLASSIFICATION!$A$8:$A$24,0)),"Review"))</f>
        <v>Portfolio</v>
      </c>
      <c r="O289" s="350" t="str">
        <f>IF($B289="Portfolio","Portfolio",IFERROR(INDEX(DATA_ASSET_CLASSIFICATION!$AB$8:$AB$13,MATCH($N289,DATA_ASSET_CLASSIFICATION!$AA$8:$AA$13,0)),"Review"))</f>
        <v>Portfolio</v>
      </c>
      <c r="P289" s="350" t="str">
        <f>IF($B289="Portfolio","Portfolio",IFERROR(INDEX(DATA_ASSET_CLASSIFICATION!$C$8:$C$24,MATCH($C289,DATA_ASSET_CLASSIFICATION!$A$8:$A$24,0)),"Review"))</f>
        <v>Portfolio</v>
      </c>
      <c r="Q289" s="350" t="str">
        <f t="shared" si="9"/>
        <v>OK</v>
      </c>
    </row>
    <row r="290" spans="1:17">
      <c r="A290" s="366" t="s">
        <v>2228</v>
      </c>
      <c r="B290" s="366" t="s">
        <v>1681</v>
      </c>
      <c r="C290" s="366" t="s">
        <v>1682</v>
      </c>
      <c r="D290" s="380">
        <f>'00_PORTFOLIO ROLLUP'!U$12</f>
        <v>2041</v>
      </c>
      <c r="E290" s="366" t="s">
        <v>1721</v>
      </c>
      <c r="F290" s="366" t="s">
        <v>39</v>
      </c>
      <c r="G290" s="366" t="s">
        <v>2226</v>
      </c>
      <c r="H290" s="381">
        <f>MAX(-'00_PORTFOLIO ROLLUP'!U$63,0)</f>
        <v>0</v>
      </c>
      <c r="I290" s="366" t="s">
        <v>1690</v>
      </c>
      <c r="J290" s="348" t="str">
        <f t="shared" si="8"/>
        <v>OK</v>
      </c>
      <c r="K290" s="366" t="s">
        <v>1738</v>
      </c>
      <c r="L290" s="366" t="s">
        <v>1739</v>
      </c>
      <c r="M290" s="350" t="str">
        <f>IF($B290="Portfolio","Portfolio",IFERROR(INDEX(DATA_ASSET_CLASSIFICATION!$B$8:$B$24,MATCH($C290,DATA_ASSET_CLASSIFICATION!$A$8:$A$24,0)),"Review"))</f>
        <v>Portfolio</v>
      </c>
      <c r="N290" s="350" t="str">
        <f>IF($B290="Portfolio","Portfolio",IFERROR(INDEX(DATA_ASSET_CLASSIFICATION!$U$8:$U$24,MATCH($C290,DATA_ASSET_CLASSIFICATION!$A$8:$A$24,0)),"Review"))</f>
        <v>Portfolio</v>
      </c>
      <c r="O290" s="350" t="str">
        <f>IF($B290="Portfolio","Portfolio",IFERROR(INDEX(DATA_ASSET_CLASSIFICATION!$AB$8:$AB$13,MATCH($N290,DATA_ASSET_CLASSIFICATION!$AA$8:$AA$13,0)),"Review"))</f>
        <v>Portfolio</v>
      </c>
      <c r="P290" s="350" t="str">
        <f>IF($B290="Portfolio","Portfolio",IFERROR(INDEX(DATA_ASSET_CLASSIFICATION!$C$8:$C$24,MATCH($C290,DATA_ASSET_CLASSIFICATION!$A$8:$A$24,0)),"Review"))</f>
        <v>Portfolio</v>
      </c>
      <c r="Q290" s="350" t="str">
        <f t="shared" si="9"/>
        <v>OK</v>
      </c>
    </row>
    <row r="291" spans="1:17">
      <c r="A291" s="366" t="s">
        <v>2229</v>
      </c>
      <c r="B291" s="366" t="s">
        <v>1681</v>
      </c>
      <c r="C291" s="366" t="s">
        <v>1682</v>
      </c>
      <c r="D291" s="380">
        <f>'00_PORTFOLIO ROLLUP'!U$12</f>
        <v>2041</v>
      </c>
      <c r="E291" s="366" t="s">
        <v>1741</v>
      </c>
      <c r="F291" s="366" t="s">
        <v>41</v>
      </c>
      <c r="H291" s="381">
        <f>'00_PORTFOLIO ROLLUP'!U$56+MAX('00_PORTFOLIO ROLLUP'!U$63,0)</f>
        <v>3299401.5102940351</v>
      </c>
      <c r="I291" s="366" t="s">
        <v>1685</v>
      </c>
      <c r="J291" s="348" t="str">
        <f t="shared" si="8"/>
        <v>OK</v>
      </c>
      <c r="K291" s="366" t="s">
        <v>1742</v>
      </c>
      <c r="L291" s="366" t="s">
        <v>1743</v>
      </c>
      <c r="M291" s="350" t="str">
        <f>IF($B291="Portfolio","Portfolio",IFERROR(INDEX(DATA_ASSET_CLASSIFICATION!$B$8:$B$24,MATCH($C291,DATA_ASSET_CLASSIFICATION!$A$8:$A$24,0)),"Review"))</f>
        <v>Portfolio</v>
      </c>
      <c r="N291" s="350" t="str">
        <f>IF($B291="Portfolio","Portfolio",IFERROR(INDEX(DATA_ASSET_CLASSIFICATION!$U$8:$U$24,MATCH($C291,DATA_ASSET_CLASSIFICATION!$A$8:$A$24,0)),"Review"))</f>
        <v>Portfolio</v>
      </c>
      <c r="O291" s="350" t="str">
        <f>IF($B291="Portfolio","Portfolio",IFERROR(INDEX(DATA_ASSET_CLASSIFICATION!$AB$8:$AB$13,MATCH($N291,DATA_ASSET_CLASSIFICATION!$AA$8:$AA$13,0)),"Review"))</f>
        <v>Portfolio</v>
      </c>
      <c r="P291" s="350" t="str">
        <f>IF($B291="Portfolio","Portfolio",IFERROR(INDEX(DATA_ASSET_CLASSIFICATION!$C$8:$C$24,MATCH($C291,DATA_ASSET_CLASSIFICATION!$A$8:$A$24,0)),"Review"))</f>
        <v>Portfolio</v>
      </c>
      <c r="Q291" s="350" t="str">
        <f t="shared" si="9"/>
        <v>OK</v>
      </c>
    </row>
    <row r="292" spans="1:17">
      <c r="A292" s="366" t="s">
        <v>2230</v>
      </c>
      <c r="B292" s="366" t="s">
        <v>1681</v>
      </c>
      <c r="C292" s="366" t="s">
        <v>1682</v>
      </c>
      <c r="D292" s="380">
        <f>'00_PORTFOLIO ROLLUP'!U$12</f>
        <v>2041</v>
      </c>
      <c r="E292" s="366" t="s">
        <v>1741</v>
      </c>
      <c r="F292" s="366" t="s">
        <v>43</v>
      </c>
      <c r="G292" s="366" t="s">
        <v>2231</v>
      </c>
      <c r="H292" s="381">
        <f>'00_PORTFOLIO ROLLUP'!U$68</f>
        <v>3299401.5102940351</v>
      </c>
      <c r="I292" s="366" t="s">
        <v>1731</v>
      </c>
      <c r="J292" s="348" t="str">
        <f t="shared" si="8"/>
        <v>OK</v>
      </c>
      <c r="K292" s="366" t="s">
        <v>1746</v>
      </c>
      <c r="L292" s="366" t="s">
        <v>1747</v>
      </c>
      <c r="M292" s="350" t="str">
        <f>IF($B292="Portfolio","Portfolio",IFERROR(INDEX(DATA_ASSET_CLASSIFICATION!$B$8:$B$24,MATCH($C292,DATA_ASSET_CLASSIFICATION!$A$8:$A$24,0)),"Review"))</f>
        <v>Portfolio</v>
      </c>
      <c r="N292" s="350" t="str">
        <f>IF($B292="Portfolio","Portfolio",IFERROR(INDEX(DATA_ASSET_CLASSIFICATION!$U$8:$U$24,MATCH($C292,DATA_ASSET_CLASSIFICATION!$A$8:$A$24,0)),"Review"))</f>
        <v>Portfolio</v>
      </c>
      <c r="O292" s="350" t="str">
        <f>IF($B292="Portfolio","Portfolio",IFERROR(INDEX(DATA_ASSET_CLASSIFICATION!$AB$8:$AB$13,MATCH($N292,DATA_ASSET_CLASSIFICATION!$AA$8:$AA$13,0)),"Review"))</f>
        <v>Portfolio</v>
      </c>
      <c r="P292" s="350" t="str">
        <f>IF($B292="Portfolio","Portfolio",IFERROR(INDEX(DATA_ASSET_CLASSIFICATION!$C$8:$C$24,MATCH($C292,DATA_ASSET_CLASSIFICATION!$A$8:$A$24,0)),"Review"))</f>
        <v>Portfolio</v>
      </c>
      <c r="Q292" s="350" t="str">
        <f t="shared" si="9"/>
        <v>OK</v>
      </c>
    </row>
    <row r="293" spans="1:17">
      <c r="A293" s="366" t="s">
        <v>2232</v>
      </c>
      <c r="B293" s="366" t="s">
        <v>1681</v>
      </c>
      <c r="C293" s="366" t="s">
        <v>1682</v>
      </c>
      <c r="D293" s="380">
        <f>'00_PORTFOLIO ROLLUP'!U$12</f>
        <v>2041</v>
      </c>
      <c r="E293" s="366" t="s">
        <v>1741</v>
      </c>
      <c r="F293" s="366" t="s">
        <v>1749</v>
      </c>
      <c r="H293" s="381">
        <f>('00_PORTFOLIO ROLLUP'!U$56+MAX('00_PORTFOLIO ROLLUP'!U$63,0))-'00_PORTFOLIO ROLLUP'!U$68</f>
        <v>0</v>
      </c>
      <c r="I293" s="366" t="s">
        <v>1750</v>
      </c>
      <c r="J293" s="348" t="str">
        <f t="shared" si="8"/>
        <v>OK</v>
      </c>
      <c r="K293" s="366" t="s">
        <v>1751</v>
      </c>
      <c r="L293" s="366" t="s">
        <v>1752</v>
      </c>
      <c r="M293" s="350" t="str">
        <f>IF($B293="Portfolio","Portfolio",IFERROR(INDEX(DATA_ASSET_CLASSIFICATION!$B$8:$B$24,MATCH($C293,DATA_ASSET_CLASSIFICATION!$A$8:$A$24,0)),"Review"))</f>
        <v>Portfolio</v>
      </c>
      <c r="N293" s="350" t="str">
        <f>IF($B293="Portfolio","Portfolio",IFERROR(INDEX(DATA_ASSET_CLASSIFICATION!$U$8:$U$24,MATCH($C293,DATA_ASSET_CLASSIFICATION!$A$8:$A$24,0)),"Review"))</f>
        <v>Portfolio</v>
      </c>
      <c r="O293" s="350" t="str">
        <f>IF($B293="Portfolio","Portfolio",IFERROR(INDEX(DATA_ASSET_CLASSIFICATION!$AB$8:$AB$13,MATCH($N293,DATA_ASSET_CLASSIFICATION!$AA$8:$AA$13,0)),"Review"))</f>
        <v>Portfolio</v>
      </c>
      <c r="P293" s="350" t="str">
        <f>IF($B293="Portfolio","Portfolio",IFERROR(INDEX(DATA_ASSET_CLASSIFICATION!$C$8:$C$24,MATCH($C293,DATA_ASSET_CLASSIFICATION!$A$8:$A$24,0)),"Review"))</f>
        <v>Portfolio</v>
      </c>
      <c r="Q293" s="350" t="str">
        <f t="shared" si="9"/>
        <v>OK</v>
      </c>
    </row>
    <row r="294" spans="1:17">
      <c r="A294" s="366" t="s">
        <v>2233</v>
      </c>
      <c r="B294" s="366" t="s">
        <v>231</v>
      </c>
      <c r="C294" s="348" t="str">
        <f>DATA_PROPERTY_MASTER!$A$5</f>
        <v>BLD_AB</v>
      </c>
      <c r="D294" s="380">
        <f>'00_PORTFOLIO ROLLUP'!E$12</f>
        <v>2025</v>
      </c>
      <c r="E294" s="366" t="s">
        <v>1683</v>
      </c>
      <c r="F294" s="366" t="s">
        <v>341</v>
      </c>
      <c r="G294" s="348" t="str">
        <f>"'"&amp;$C294&amp;"'!$E$24:$Y$24"</f>
        <v>'BLD_AB'!$E$24:$Y$24</v>
      </c>
      <c r="H294" s="381">
        <f ca="1">IF(IFERROR(INDEX(DATA_PROPERTY_MASTER!$E$5:$E$21,MATCH($C294,DATA_PROPERTY_MASTER!$A$5:$A$21,0))="Yes",FALSE),IFERROR(INDEX(INDIRECT("'"&amp;$C294&amp;"'!$E$24:$Y$24"),1,MATCH($D294,INDIRECT("'"&amp;$C294&amp;"'!$E$12:$Y$12"),0)),0),0)</f>
        <v>0</v>
      </c>
      <c r="I294" s="366" t="s">
        <v>1685</v>
      </c>
      <c r="J294" s="348" t="str">
        <f t="shared" ca="1" si="8"/>
        <v>OK</v>
      </c>
      <c r="K294" s="366" t="s">
        <v>1686</v>
      </c>
      <c r="L294" s="366" t="s">
        <v>2234</v>
      </c>
      <c r="M294" s="350" t="str">
        <f>IF($B294="Portfolio","Portfolio",IFERROR(INDEX(DATA_ASSET_CLASSIFICATION!$B$8:$B$24,MATCH($C294,DATA_ASSET_CLASSIFICATION!$A$8:$A$24,0)),"Review"))</f>
        <v>Alma Blackwell</v>
      </c>
      <c r="N294" s="350" t="str">
        <f>IF($B294="Portfolio","Portfolio",IFERROR(INDEX(DATA_ASSET_CLASSIFICATION!$U$8:$U$24,MATCH($C294,DATA_ASSET_CLASSIFICATION!$A$8:$A$24,0)),"Review"))</f>
        <v>Excluded</v>
      </c>
      <c r="O294" s="350" t="str">
        <f>IF($B294="Portfolio","Portfolio",IFERROR(INDEX(DATA_ASSET_CLASSIFICATION!$AB$8:$AB$13,MATCH($N294,DATA_ASSET_CLASSIFICATION!$AA$8:$AA$13,0)),"Review"))</f>
        <v>Bucket 0 · Excluded</v>
      </c>
      <c r="P294" s="350" t="str">
        <f>IF($B294="Portfolio","Portfolio",IFERROR(INDEX(DATA_ASSET_CLASSIFICATION!$C$8:$C$24,MATCH($C294,DATA_ASSET_CLASSIFICATION!$A$8:$A$24,0)),"Review"))</f>
        <v>No</v>
      </c>
      <c r="Q294" s="350" t="str">
        <f t="shared" ca="1" si="9"/>
        <v>OK</v>
      </c>
    </row>
    <row r="295" spans="1:17">
      <c r="A295" s="366" t="s">
        <v>2235</v>
      </c>
      <c r="B295" s="366" t="s">
        <v>231</v>
      </c>
      <c r="C295" s="348" t="str">
        <f>DATA_PROPERTY_MASTER!$A$5</f>
        <v>BLD_AB</v>
      </c>
      <c r="D295" s="380">
        <f>'00_PORTFOLIO ROLLUP'!E$12</f>
        <v>2025</v>
      </c>
      <c r="E295" s="366" t="s">
        <v>1683</v>
      </c>
      <c r="F295" s="366" t="s">
        <v>355</v>
      </c>
      <c r="G295" s="348" t="str">
        <f>"'"&amp;$C295&amp;"'!$E$39:$Y$39"</f>
        <v>'BLD_AB'!$E$39:$Y$39</v>
      </c>
      <c r="H295" s="381">
        <f ca="1">IF(IFERROR(INDEX(DATA_PROPERTY_MASTER!$E$5:$E$21,MATCH($C295,DATA_PROPERTY_MASTER!$A$5:$A$21,0))="Yes",FALSE),IFERROR(INDEX(INDIRECT("'"&amp;$C295&amp;"'!$E$39:$Y$39"),1,MATCH($D295,INDIRECT("'"&amp;$C295&amp;"'!$E$12:$Y$12"),0)),0),0)</f>
        <v>0</v>
      </c>
      <c r="I295" s="366" t="s">
        <v>1690</v>
      </c>
      <c r="J295" s="348" t="str">
        <f t="shared" ca="1" si="8"/>
        <v>OK</v>
      </c>
      <c r="K295" s="366" t="s">
        <v>1686</v>
      </c>
      <c r="L295" s="366" t="s">
        <v>2236</v>
      </c>
      <c r="M295" s="350" t="str">
        <f>IF($B295="Portfolio","Portfolio",IFERROR(INDEX(DATA_ASSET_CLASSIFICATION!$B$8:$B$24,MATCH($C295,DATA_ASSET_CLASSIFICATION!$A$8:$A$24,0)),"Review"))</f>
        <v>Alma Blackwell</v>
      </c>
      <c r="N295" s="350" t="str">
        <f>IF($B295="Portfolio","Portfolio",IFERROR(INDEX(DATA_ASSET_CLASSIFICATION!$U$8:$U$24,MATCH($C295,DATA_ASSET_CLASSIFICATION!$A$8:$A$24,0)),"Review"))</f>
        <v>Excluded</v>
      </c>
      <c r="O295" s="350" t="str">
        <f>IF($B295="Portfolio","Portfolio",IFERROR(INDEX(DATA_ASSET_CLASSIFICATION!$AB$8:$AB$13,MATCH($N295,DATA_ASSET_CLASSIFICATION!$AA$8:$AA$13,0)),"Review"))</f>
        <v>Bucket 0 · Excluded</v>
      </c>
      <c r="P295" s="350" t="str">
        <f>IF($B295="Portfolio","Portfolio",IFERROR(INDEX(DATA_ASSET_CLASSIFICATION!$C$8:$C$24,MATCH($C295,DATA_ASSET_CLASSIFICATION!$A$8:$A$24,0)),"Review"))</f>
        <v>No</v>
      </c>
      <c r="Q295" s="350" t="str">
        <f t="shared" ca="1" si="9"/>
        <v>OK</v>
      </c>
    </row>
    <row r="296" spans="1:17">
      <c r="A296" s="366" t="s">
        <v>2237</v>
      </c>
      <c r="B296" s="366" t="s">
        <v>231</v>
      </c>
      <c r="C296" s="348" t="str">
        <f>DATA_PROPERTY_MASTER!$A$5</f>
        <v>BLD_AB</v>
      </c>
      <c r="D296" s="380">
        <f>'00_PORTFOLIO ROLLUP'!E$12</f>
        <v>2025</v>
      </c>
      <c r="E296" s="366" t="s">
        <v>1683</v>
      </c>
      <c r="F296" s="366" t="s">
        <v>19</v>
      </c>
      <c r="G296" s="348" t="str">
        <f>"'"&amp;$C296&amp;"'!$E$41:$Y$41"</f>
        <v>'BLD_AB'!$E$41:$Y$41</v>
      </c>
      <c r="H296" s="381">
        <f ca="1">IF(IFERROR(INDEX(DATA_PROPERTY_MASTER!$E$5:$E$21,MATCH($C296,DATA_PROPERTY_MASTER!$A$5:$A$21,0))="Yes",FALSE),IFERROR(INDEX(INDIRECT("'"&amp;$C296&amp;"'!$E$41:$Y$41"),1,MATCH($D296,INDIRECT("'"&amp;$C296&amp;"'!$E$12:$Y$12"),0)),0),0)</f>
        <v>0</v>
      </c>
      <c r="I296" s="366" t="s">
        <v>1685</v>
      </c>
      <c r="J296" s="348" t="str">
        <f t="shared" ca="1" si="8"/>
        <v>OK</v>
      </c>
      <c r="K296" s="366" t="s">
        <v>1694</v>
      </c>
      <c r="L296" s="366" t="s">
        <v>2238</v>
      </c>
      <c r="M296" s="350" t="str">
        <f>IF($B296="Portfolio","Portfolio",IFERROR(INDEX(DATA_ASSET_CLASSIFICATION!$B$8:$B$24,MATCH($C296,DATA_ASSET_CLASSIFICATION!$A$8:$A$24,0)),"Review"))</f>
        <v>Alma Blackwell</v>
      </c>
      <c r="N296" s="350" t="str">
        <f>IF($B296="Portfolio","Portfolio",IFERROR(INDEX(DATA_ASSET_CLASSIFICATION!$U$8:$U$24,MATCH($C296,DATA_ASSET_CLASSIFICATION!$A$8:$A$24,0)),"Review"))</f>
        <v>Excluded</v>
      </c>
      <c r="O296" s="350" t="str">
        <f>IF($B296="Portfolio","Portfolio",IFERROR(INDEX(DATA_ASSET_CLASSIFICATION!$AB$8:$AB$13,MATCH($N296,DATA_ASSET_CLASSIFICATION!$AA$8:$AA$13,0)),"Review"))</f>
        <v>Bucket 0 · Excluded</v>
      </c>
      <c r="P296" s="350" t="str">
        <f>IF($B296="Portfolio","Portfolio",IFERROR(INDEX(DATA_ASSET_CLASSIFICATION!$C$8:$C$24,MATCH($C296,DATA_ASSET_CLASSIFICATION!$A$8:$A$24,0)),"Review"))</f>
        <v>No</v>
      </c>
      <c r="Q296" s="350" t="str">
        <f t="shared" ca="1" si="9"/>
        <v>OK</v>
      </c>
    </row>
    <row r="297" spans="1:17">
      <c r="A297" s="366" t="s">
        <v>2239</v>
      </c>
      <c r="B297" s="366" t="s">
        <v>231</v>
      </c>
      <c r="C297" s="348" t="str">
        <f>DATA_PROPERTY_MASTER!$A$5</f>
        <v>BLD_AB</v>
      </c>
      <c r="D297" s="380">
        <f>'00_PORTFOLIO ROLLUP'!E$12</f>
        <v>2025</v>
      </c>
      <c r="E297" s="366" t="s">
        <v>1683</v>
      </c>
      <c r="F297" s="366" t="s">
        <v>1697</v>
      </c>
      <c r="G297" s="348" t="str">
        <f>"'"&amp;$C297&amp;"'!$E$44:$Y$44"</f>
        <v>'BLD_AB'!$E$44:$Y$44</v>
      </c>
      <c r="H297" s="381">
        <f ca="1">IF(IFERROR(INDEX(DATA_PROPERTY_MASTER!$E$5:$E$21,MATCH($C297,DATA_PROPERTY_MASTER!$A$5:$A$21,0))="Yes",FALSE),IFERROR(INDEX(INDIRECT("'"&amp;$C297&amp;"'!$E$44:$Y$44"),1,MATCH($D297,INDIRECT("'"&amp;$C297&amp;"'!$E$12:$Y$12"),0)),0),0)</f>
        <v>0</v>
      </c>
      <c r="I297" s="366" t="s">
        <v>1690</v>
      </c>
      <c r="J297" s="348" t="str">
        <f t="shared" ca="1" si="8"/>
        <v>OK</v>
      </c>
      <c r="K297" s="366" t="s">
        <v>1699</v>
      </c>
      <c r="L297" s="366" t="s">
        <v>2240</v>
      </c>
      <c r="M297" s="350" t="str">
        <f>IF($B297="Portfolio","Portfolio",IFERROR(INDEX(DATA_ASSET_CLASSIFICATION!$B$8:$B$24,MATCH($C297,DATA_ASSET_CLASSIFICATION!$A$8:$A$24,0)),"Review"))</f>
        <v>Alma Blackwell</v>
      </c>
      <c r="N297" s="350" t="str">
        <f>IF($B297="Portfolio","Portfolio",IFERROR(INDEX(DATA_ASSET_CLASSIFICATION!$U$8:$U$24,MATCH($C297,DATA_ASSET_CLASSIFICATION!$A$8:$A$24,0)),"Review"))</f>
        <v>Excluded</v>
      </c>
      <c r="O297" s="350" t="str">
        <f>IF($B297="Portfolio","Portfolio",IFERROR(INDEX(DATA_ASSET_CLASSIFICATION!$AB$8:$AB$13,MATCH($N297,DATA_ASSET_CLASSIFICATION!$AA$8:$AA$13,0)),"Review"))</f>
        <v>Bucket 0 · Excluded</v>
      </c>
      <c r="P297" s="350" t="str">
        <f>IF($B297="Portfolio","Portfolio",IFERROR(INDEX(DATA_ASSET_CLASSIFICATION!$C$8:$C$24,MATCH($C297,DATA_ASSET_CLASSIFICATION!$A$8:$A$24,0)),"Review"))</f>
        <v>No</v>
      </c>
      <c r="Q297" s="350" t="str">
        <f t="shared" ca="1" si="9"/>
        <v>OK</v>
      </c>
    </row>
    <row r="298" spans="1:17">
      <c r="A298" s="366" t="s">
        <v>2241</v>
      </c>
      <c r="B298" s="366" t="s">
        <v>231</v>
      </c>
      <c r="C298" s="348" t="str">
        <f>DATA_PROPERTY_MASTER!$A$5</f>
        <v>BLD_AB</v>
      </c>
      <c r="D298" s="380">
        <f>'00_PORTFOLIO ROLLUP'!E$12</f>
        <v>2025</v>
      </c>
      <c r="E298" s="366" t="s">
        <v>1683</v>
      </c>
      <c r="F298" s="366" t="s">
        <v>21</v>
      </c>
      <c r="G298" s="348" t="str">
        <f>"'"&amp;$C298&amp;"'!$E$45:$Y$45"</f>
        <v>'BLD_AB'!$E$45:$Y$45</v>
      </c>
      <c r="H298" s="381">
        <f ca="1">IF(IFERROR(INDEX(DATA_PROPERTY_MASTER!$E$5:$E$21,MATCH($C298,DATA_PROPERTY_MASTER!$A$5:$A$21,0))="Yes",FALSE),IFERROR(INDEX(INDIRECT("'"&amp;$C298&amp;"'!$E$45:$Y$45"),1,MATCH($D298,INDIRECT("'"&amp;$C298&amp;"'!$E$12:$Y$12"),0)),0),0)</f>
        <v>0</v>
      </c>
      <c r="I298" s="366" t="s">
        <v>1685</v>
      </c>
      <c r="J298" s="348" t="str">
        <f t="shared" ca="1" si="8"/>
        <v>OK</v>
      </c>
      <c r="K298" s="366" t="s">
        <v>1694</v>
      </c>
      <c r="L298" s="366" t="s">
        <v>2242</v>
      </c>
      <c r="M298" s="350" t="str">
        <f>IF($B298="Portfolio","Portfolio",IFERROR(INDEX(DATA_ASSET_CLASSIFICATION!$B$8:$B$24,MATCH($C298,DATA_ASSET_CLASSIFICATION!$A$8:$A$24,0)),"Review"))</f>
        <v>Alma Blackwell</v>
      </c>
      <c r="N298" s="350" t="str">
        <f>IF($B298="Portfolio","Portfolio",IFERROR(INDEX(DATA_ASSET_CLASSIFICATION!$U$8:$U$24,MATCH($C298,DATA_ASSET_CLASSIFICATION!$A$8:$A$24,0)),"Review"))</f>
        <v>Excluded</v>
      </c>
      <c r="O298" s="350" t="str">
        <f>IF($B298="Portfolio","Portfolio",IFERROR(INDEX(DATA_ASSET_CLASSIFICATION!$AB$8:$AB$13,MATCH($N298,DATA_ASSET_CLASSIFICATION!$AA$8:$AA$13,0)),"Review"))</f>
        <v>Bucket 0 · Excluded</v>
      </c>
      <c r="P298" s="350" t="str">
        <f>IF($B298="Portfolio","Portfolio",IFERROR(INDEX(DATA_ASSET_CLASSIFICATION!$C$8:$C$24,MATCH($C298,DATA_ASSET_CLASSIFICATION!$A$8:$A$24,0)),"Review"))</f>
        <v>No</v>
      </c>
      <c r="Q298" s="350" t="str">
        <f t="shared" ca="1" si="9"/>
        <v>OK</v>
      </c>
    </row>
    <row r="299" spans="1:17">
      <c r="A299" s="366" t="s">
        <v>2243</v>
      </c>
      <c r="B299" s="366" t="s">
        <v>231</v>
      </c>
      <c r="C299" s="348" t="str">
        <f>DATA_PROPERTY_MASTER!$A$5</f>
        <v>BLD_AB</v>
      </c>
      <c r="D299" s="380">
        <f>'00_PORTFOLIO ROLLUP'!E$12</f>
        <v>2025</v>
      </c>
      <c r="E299" s="366" t="s">
        <v>23</v>
      </c>
      <c r="F299" s="366" t="s">
        <v>23</v>
      </c>
      <c r="G299" s="348" t="str">
        <f>"'"&amp;$C299&amp;"'!$E$48:$Y$48"</f>
        <v>'BLD_AB'!$E$48:$Y$48</v>
      </c>
      <c r="H299" s="381">
        <f ca="1">IF(IFERROR(INDEX(DATA_PROPERTY_MASTER!$E$5:$E$21,MATCH($C299,DATA_PROPERTY_MASTER!$A$5:$A$21,0))="Yes",FALSE),IFERROR(INDEX(INDIRECT("'"&amp;$C299&amp;"'!$E$48:$Y$48"),1,MATCH($D299,INDIRECT("'"&amp;$C299&amp;"'!$E$12:$Y$12"),0)),0),0)</f>
        <v>0</v>
      </c>
      <c r="I299" s="366" t="s">
        <v>1690</v>
      </c>
      <c r="J299" s="348" t="str">
        <f t="shared" ca="1" si="8"/>
        <v>OK</v>
      </c>
      <c r="K299" s="366" t="s">
        <v>1706</v>
      </c>
      <c r="L299" s="366" t="s">
        <v>2244</v>
      </c>
      <c r="M299" s="350" t="str">
        <f>IF($B299="Portfolio","Portfolio",IFERROR(INDEX(DATA_ASSET_CLASSIFICATION!$B$8:$B$24,MATCH($C299,DATA_ASSET_CLASSIFICATION!$A$8:$A$24,0)),"Review"))</f>
        <v>Alma Blackwell</v>
      </c>
      <c r="N299" s="350" t="str">
        <f>IF($B299="Portfolio","Portfolio",IFERROR(INDEX(DATA_ASSET_CLASSIFICATION!$U$8:$U$24,MATCH($C299,DATA_ASSET_CLASSIFICATION!$A$8:$A$24,0)),"Review"))</f>
        <v>Excluded</v>
      </c>
      <c r="O299" s="350" t="str">
        <f>IF($B299="Portfolio","Portfolio",IFERROR(INDEX(DATA_ASSET_CLASSIFICATION!$AB$8:$AB$13,MATCH($N299,DATA_ASSET_CLASSIFICATION!$AA$8:$AA$13,0)),"Review"))</f>
        <v>Bucket 0 · Excluded</v>
      </c>
      <c r="P299" s="350" t="str">
        <f>IF($B299="Portfolio","Portfolio",IFERROR(INDEX(DATA_ASSET_CLASSIFICATION!$C$8:$C$24,MATCH($C299,DATA_ASSET_CLASSIFICATION!$A$8:$A$24,0)),"Review"))</f>
        <v>No</v>
      </c>
      <c r="Q299" s="350" t="str">
        <f t="shared" ca="1" si="9"/>
        <v>OK</v>
      </c>
    </row>
    <row r="300" spans="1:17">
      <c r="A300" s="366" t="s">
        <v>2245</v>
      </c>
      <c r="B300" s="366" t="s">
        <v>231</v>
      </c>
      <c r="C300" s="348" t="str">
        <f>DATA_PROPERTY_MASTER!$A$5</f>
        <v>BLD_AB</v>
      </c>
      <c r="D300" s="380">
        <f>'00_PORTFOLIO ROLLUP'!E$12</f>
        <v>2025</v>
      </c>
      <c r="E300" s="366" t="s">
        <v>1683</v>
      </c>
      <c r="F300" s="366" t="s">
        <v>25</v>
      </c>
      <c r="G300" s="348" t="str">
        <f>"'"&amp;$C300&amp;"'!$E$52:$Y$52"</f>
        <v>'BLD_AB'!$E$52:$Y$52</v>
      </c>
      <c r="H300" s="381">
        <f ca="1">IF(IFERROR(INDEX(DATA_PROPERTY_MASTER!$E$5:$E$21,MATCH($C300,DATA_PROPERTY_MASTER!$A$5:$A$21,0))="Yes",FALSE),IFERROR(INDEX(INDIRECT("'"&amp;$C300&amp;"'!$E$52:$Y$52"),1,MATCH($D300,INDIRECT("'"&amp;$C300&amp;"'!$E$12:$Y$12"),0)),0),0)</f>
        <v>0</v>
      </c>
      <c r="I300" s="366" t="s">
        <v>1685</v>
      </c>
      <c r="J300" s="348" t="str">
        <f t="shared" ca="1" si="8"/>
        <v>OK</v>
      </c>
      <c r="K300" s="366" t="s">
        <v>1710</v>
      </c>
      <c r="L300" s="366" t="s">
        <v>2246</v>
      </c>
      <c r="M300" s="350" t="str">
        <f>IF($B300="Portfolio","Portfolio",IFERROR(INDEX(DATA_ASSET_CLASSIFICATION!$B$8:$B$24,MATCH($C300,DATA_ASSET_CLASSIFICATION!$A$8:$A$24,0)),"Review"))</f>
        <v>Alma Blackwell</v>
      </c>
      <c r="N300" s="350" t="str">
        <f>IF($B300="Portfolio","Portfolio",IFERROR(INDEX(DATA_ASSET_CLASSIFICATION!$U$8:$U$24,MATCH($C300,DATA_ASSET_CLASSIFICATION!$A$8:$A$24,0)),"Review"))</f>
        <v>Excluded</v>
      </c>
      <c r="O300" s="350" t="str">
        <f>IF($B300="Portfolio","Portfolio",IFERROR(INDEX(DATA_ASSET_CLASSIFICATION!$AB$8:$AB$13,MATCH($N300,DATA_ASSET_CLASSIFICATION!$AA$8:$AA$13,0)),"Review"))</f>
        <v>Bucket 0 · Excluded</v>
      </c>
      <c r="P300" s="350" t="str">
        <f>IF($B300="Portfolio","Portfolio",IFERROR(INDEX(DATA_ASSET_CLASSIFICATION!$C$8:$C$24,MATCH($C300,DATA_ASSET_CLASSIFICATION!$A$8:$A$24,0)),"Review"))</f>
        <v>No</v>
      </c>
      <c r="Q300" s="350" t="str">
        <f t="shared" ca="1" si="9"/>
        <v>OK</v>
      </c>
    </row>
    <row r="301" spans="1:17">
      <c r="A301" s="366" t="s">
        <v>2247</v>
      </c>
      <c r="B301" s="366" t="s">
        <v>231</v>
      </c>
      <c r="C301" s="348" t="str">
        <f>DATA_PROPERTY_MASTER!$A$5</f>
        <v>BLD_AB</v>
      </c>
      <c r="D301" s="380">
        <f>'00_PORTFOLIO ROLLUP'!E$12</f>
        <v>2025</v>
      </c>
      <c r="E301" s="366" t="s">
        <v>1683</v>
      </c>
      <c r="F301" s="366" t="s">
        <v>27</v>
      </c>
      <c r="G301" s="348" t="str">
        <f>"'"&amp;$C301&amp;"'!$E$54:$Y$54"</f>
        <v>'BLD_AB'!$E$54:$Y$54</v>
      </c>
      <c r="H301" s="381">
        <f ca="1">IF(IFERROR(INDEX(DATA_PROPERTY_MASTER!$E$5:$E$21,MATCH($C301,DATA_PROPERTY_MASTER!$A$5:$A$21,0))="Yes",FALSE),IFERROR(INDEX(INDIRECT("'"&amp;$C301&amp;"'!$E$54:$Y$54"),1,MATCH($D301,INDIRECT("'"&amp;$C301&amp;"'!$E$12:$Y$12"),0)),0),0)</f>
        <v>0</v>
      </c>
      <c r="I301" s="366" t="s">
        <v>1690</v>
      </c>
      <c r="J301" s="348" t="str">
        <f t="shared" ca="1" si="8"/>
        <v>OK</v>
      </c>
      <c r="K301" s="366" t="s">
        <v>1714</v>
      </c>
      <c r="L301" s="366" t="s">
        <v>2248</v>
      </c>
      <c r="M301" s="350" t="str">
        <f>IF($B301="Portfolio","Portfolio",IFERROR(INDEX(DATA_ASSET_CLASSIFICATION!$B$8:$B$24,MATCH($C301,DATA_ASSET_CLASSIFICATION!$A$8:$A$24,0)),"Review"))</f>
        <v>Alma Blackwell</v>
      </c>
      <c r="N301" s="350" t="str">
        <f>IF($B301="Portfolio","Portfolio",IFERROR(INDEX(DATA_ASSET_CLASSIFICATION!$U$8:$U$24,MATCH($C301,DATA_ASSET_CLASSIFICATION!$A$8:$A$24,0)),"Review"))</f>
        <v>Excluded</v>
      </c>
      <c r="O301" s="350" t="str">
        <f>IF($B301="Portfolio","Portfolio",IFERROR(INDEX(DATA_ASSET_CLASSIFICATION!$AB$8:$AB$13,MATCH($N301,DATA_ASSET_CLASSIFICATION!$AA$8:$AA$13,0)),"Review"))</f>
        <v>Bucket 0 · Excluded</v>
      </c>
      <c r="P301" s="350" t="str">
        <f>IF($B301="Portfolio","Portfolio",IFERROR(INDEX(DATA_ASSET_CLASSIFICATION!$C$8:$C$24,MATCH($C301,DATA_ASSET_CLASSIFICATION!$A$8:$A$24,0)),"Review"))</f>
        <v>No</v>
      </c>
      <c r="Q301" s="350" t="str">
        <f t="shared" ca="1" si="9"/>
        <v>OK</v>
      </c>
    </row>
    <row r="302" spans="1:17">
      <c r="A302" s="366" t="s">
        <v>2249</v>
      </c>
      <c r="B302" s="366" t="s">
        <v>231</v>
      </c>
      <c r="C302" s="348" t="str">
        <f>DATA_PROPERTY_MASTER!$A$5</f>
        <v>BLD_AB</v>
      </c>
      <c r="D302" s="380">
        <f>'00_PORTFOLIO ROLLUP'!E$12</f>
        <v>2025</v>
      </c>
      <c r="E302" s="366" t="s">
        <v>1683</v>
      </c>
      <c r="F302" s="366" t="s">
        <v>29</v>
      </c>
      <c r="G302" s="348" t="str">
        <f>"'"&amp;$C302&amp;"'!$E$56:$Y$56"</f>
        <v>'BLD_AB'!$E$56:$Y$56</v>
      </c>
      <c r="H302" s="381">
        <f ca="1">IF(IFERROR(INDEX(DATA_PROPERTY_MASTER!$E$5:$E$21,MATCH($C302,DATA_PROPERTY_MASTER!$A$5:$A$21,0))="Yes",FALSE),IFERROR(INDEX(INDIRECT("'"&amp;$C302&amp;"'!$E$56:$Y$56"),1,MATCH($D302,INDIRECT("'"&amp;$C302&amp;"'!$E$12:$Y$12"),0)),0),0)</f>
        <v>0</v>
      </c>
      <c r="I302" s="366" t="s">
        <v>1685</v>
      </c>
      <c r="J302" s="348" t="str">
        <f t="shared" ca="1" si="8"/>
        <v>OK</v>
      </c>
      <c r="K302" s="366" t="s">
        <v>1718</v>
      </c>
      <c r="L302" s="366" t="s">
        <v>2250</v>
      </c>
      <c r="M302" s="350" t="str">
        <f>IF($B302="Portfolio","Portfolio",IFERROR(INDEX(DATA_ASSET_CLASSIFICATION!$B$8:$B$24,MATCH($C302,DATA_ASSET_CLASSIFICATION!$A$8:$A$24,0)),"Review"))</f>
        <v>Alma Blackwell</v>
      </c>
      <c r="N302" s="350" t="str">
        <f>IF($B302="Portfolio","Portfolio",IFERROR(INDEX(DATA_ASSET_CLASSIFICATION!$U$8:$U$24,MATCH($C302,DATA_ASSET_CLASSIFICATION!$A$8:$A$24,0)),"Review"))</f>
        <v>Excluded</v>
      </c>
      <c r="O302" s="350" t="str">
        <f>IF($B302="Portfolio","Portfolio",IFERROR(INDEX(DATA_ASSET_CLASSIFICATION!$AB$8:$AB$13,MATCH($N302,DATA_ASSET_CLASSIFICATION!$AA$8:$AA$13,0)),"Review"))</f>
        <v>Bucket 0 · Excluded</v>
      </c>
      <c r="P302" s="350" t="str">
        <f>IF($B302="Portfolio","Portfolio",IFERROR(INDEX(DATA_ASSET_CLASSIFICATION!$C$8:$C$24,MATCH($C302,DATA_ASSET_CLASSIFICATION!$A$8:$A$24,0)),"Review"))</f>
        <v>No</v>
      </c>
      <c r="Q302" s="350" t="str">
        <f t="shared" ca="1" si="9"/>
        <v>OK</v>
      </c>
    </row>
    <row r="303" spans="1:17">
      <c r="A303" s="366" t="s">
        <v>2251</v>
      </c>
      <c r="B303" s="366" t="s">
        <v>231</v>
      </c>
      <c r="C303" s="348" t="str">
        <f>DATA_PROPERTY_MASTER!$A$5</f>
        <v>BLD_AB</v>
      </c>
      <c r="D303" s="380">
        <f>'00_PORTFOLIO ROLLUP'!E$12</f>
        <v>2025</v>
      </c>
      <c r="E303" s="366" t="s">
        <v>1721</v>
      </c>
      <c r="F303" s="366" t="s">
        <v>31</v>
      </c>
      <c r="G303" s="348" t="str">
        <f>"'"&amp;$C303&amp;"'!$E$61:$Y$61"</f>
        <v>'BLD_AB'!$E$61:$Y$61</v>
      </c>
      <c r="H303" s="381">
        <f ca="1">IF(IFERROR(INDEX(DATA_PROPERTY_MASTER!$E$5:$E$21,MATCH($C303,DATA_PROPERTY_MASTER!$A$5:$A$21,0))="Yes",FALSE),IFERROR(INDEX(INDIRECT("'"&amp;$C303&amp;"'!$E$61:$Y$61"),1,MATCH($D303,INDIRECT("'"&amp;$C303&amp;"'!$E$12:$Y$12"),0)),0),0)</f>
        <v>0</v>
      </c>
      <c r="I303" s="366" t="s">
        <v>1690</v>
      </c>
      <c r="J303" s="348" t="str">
        <f t="shared" ca="1" si="8"/>
        <v>OK</v>
      </c>
      <c r="K303" s="366" t="s">
        <v>1723</v>
      </c>
      <c r="L303" s="366" t="s">
        <v>2252</v>
      </c>
      <c r="M303" s="350" t="str">
        <f>IF($B303="Portfolio","Portfolio",IFERROR(INDEX(DATA_ASSET_CLASSIFICATION!$B$8:$B$24,MATCH($C303,DATA_ASSET_CLASSIFICATION!$A$8:$A$24,0)),"Review"))</f>
        <v>Alma Blackwell</v>
      </c>
      <c r="N303" s="350" t="str">
        <f>IF($B303="Portfolio","Portfolio",IFERROR(INDEX(DATA_ASSET_CLASSIFICATION!$U$8:$U$24,MATCH($C303,DATA_ASSET_CLASSIFICATION!$A$8:$A$24,0)),"Review"))</f>
        <v>Excluded</v>
      </c>
      <c r="O303" s="350" t="str">
        <f>IF($B303="Portfolio","Portfolio",IFERROR(INDEX(DATA_ASSET_CLASSIFICATION!$AB$8:$AB$13,MATCH($N303,DATA_ASSET_CLASSIFICATION!$AA$8:$AA$13,0)),"Review"))</f>
        <v>Bucket 0 · Excluded</v>
      </c>
      <c r="P303" s="350" t="str">
        <f>IF($B303="Portfolio","Portfolio",IFERROR(INDEX(DATA_ASSET_CLASSIFICATION!$C$8:$C$24,MATCH($C303,DATA_ASSET_CLASSIFICATION!$A$8:$A$24,0)),"Review"))</f>
        <v>No</v>
      </c>
      <c r="Q303" s="350" t="str">
        <f t="shared" ca="1" si="9"/>
        <v>OK</v>
      </c>
    </row>
    <row r="304" spans="1:17">
      <c r="A304" s="366" t="s">
        <v>2253</v>
      </c>
      <c r="B304" s="366" t="s">
        <v>231</v>
      </c>
      <c r="C304" s="348" t="str">
        <f>DATA_PROPERTY_MASTER!$A$5</f>
        <v>BLD_AB</v>
      </c>
      <c r="D304" s="380">
        <f>'00_PORTFOLIO ROLLUP'!E$12</f>
        <v>2025</v>
      </c>
      <c r="E304" s="366" t="s">
        <v>1721</v>
      </c>
      <c r="F304" s="366" t="s">
        <v>33</v>
      </c>
      <c r="G304" s="348" t="str">
        <f>"'"&amp;$C304&amp;"'!$E$62:$Y$62"</f>
        <v>'BLD_AB'!$E$62:$Y$62</v>
      </c>
      <c r="H304" s="381">
        <f ca="1">IF(IFERROR(INDEX(DATA_PROPERTY_MASTER!$E$5:$E$21,MATCH($C304,DATA_PROPERTY_MASTER!$A$5:$A$21,0))="Yes",FALSE),IFERROR(INDEX(INDIRECT("'"&amp;$C304&amp;"'!$E$62:$Y$62"),1,MATCH($D304,INDIRECT("'"&amp;$C304&amp;"'!$E$12:$Y$12"),0)),0),0)</f>
        <v>0</v>
      </c>
      <c r="I304" s="366" t="s">
        <v>1685</v>
      </c>
      <c r="J304" s="348" t="str">
        <f t="shared" ca="1" si="8"/>
        <v>OK</v>
      </c>
      <c r="K304" s="366" t="s">
        <v>1727</v>
      </c>
      <c r="L304" s="366" t="s">
        <v>2254</v>
      </c>
      <c r="M304" s="350" t="str">
        <f>IF($B304="Portfolio","Portfolio",IFERROR(INDEX(DATA_ASSET_CLASSIFICATION!$B$8:$B$24,MATCH($C304,DATA_ASSET_CLASSIFICATION!$A$8:$A$24,0)),"Review"))</f>
        <v>Alma Blackwell</v>
      </c>
      <c r="N304" s="350" t="str">
        <f>IF($B304="Portfolio","Portfolio",IFERROR(INDEX(DATA_ASSET_CLASSIFICATION!$U$8:$U$24,MATCH($C304,DATA_ASSET_CLASSIFICATION!$A$8:$A$24,0)),"Review"))</f>
        <v>Excluded</v>
      </c>
      <c r="O304" s="350" t="str">
        <f>IF($B304="Portfolio","Portfolio",IFERROR(INDEX(DATA_ASSET_CLASSIFICATION!$AB$8:$AB$13,MATCH($N304,DATA_ASSET_CLASSIFICATION!$AA$8:$AA$13,0)),"Review"))</f>
        <v>Bucket 0 · Excluded</v>
      </c>
      <c r="P304" s="350" t="str">
        <f>IF($B304="Portfolio","Portfolio",IFERROR(INDEX(DATA_ASSET_CLASSIFICATION!$C$8:$C$24,MATCH($C304,DATA_ASSET_CLASSIFICATION!$A$8:$A$24,0)),"Review"))</f>
        <v>No</v>
      </c>
      <c r="Q304" s="350" t="str">
        <f t="shared" ca="1" si="9"/>
        <v>OK</v>
      </c>
    </row>
    <row r="305" spans="1:17">
      <c r="A305" s="366" t="s">
        <v>2255</v>
      </c>
      <c r="B305" s="366" t="s">
        <v>231</v>
      </c>
      <c r="C305" s="348" t="str">
        <f>DATA_PROPERTY_MASTER!$A$5</f>
        <v>BLD_AB</v>
      </c>
      <c r="D305" s="380">
        <f>'00_PORTFOLIO ROLLUP'!E$12</f>
        <v>2025</v>
      </c>
      <c r="E305" s="366" t="s">
        <v>1721</v>
      </c>
      <c r="F305" s="366" t="s">
        <v>35</v>
      </c>
      <c r="G305" s="348" t="str">
        <f>"'"&amp;$C305&amp;"'!$E$63:$Y$63"</f>
        <v>'BLD_AB'!$E$63:$Y$63</v>
      </c>
      <c r="H305" s="381">
        <f ca="1">IF(IFERROR(INDEX(DATA_PROPERTY_MASTER!$E$5:$E$21,MATCH($C305,DATA_PROPERTY_MASTER!$A$5:$A$21,0))="Yes",FALSE),IFERROR(INDEX(INDIRECT("'"&amp;$C305&amp;"'!$E$63:$Y$63"),1,MATCH($D305,INDIRECT("'"&amp;$C305&amp;"'!$E$12:$Y$12"),0)),0),0)</f>
        <v>0</v>
      </c>
      <c r="I305" s="366" t="s">
        <v>1731</v>
      </c>
      <c r="J305" s="348" t="str">
        <f t="shared" ca="1" si="8"/>
        <v>OK</v>
      </c>
      <c r="K305" s="366" t="s">
        <v>1732</v>
      </c>
      <c r="L305" s="366" t="s">
        <v>2256</v>
      </c>
      <c r="M305" s="350" t="str">
        <f>IF($B305="Portfolio","Portfolio",IFERROR(INDEX(DATA_ASSET_CLASSIFICATION!$B$8:$B$24,MATCH($C305,DATA_ASSET_CLASSIFICATION!$A$8:$A$24,0)),"Review"))</f>
        <v>Alma Blackwell</v>
      </c>
      <c r="N305" s="350" t="str">
        <f>IF($B305="Portfolio","Portfolio",IFERROR(INDEX(DATA_ASSET_CLASSIFICATION!$U$8:$U$24,MATCH($C305,DATA_ASSET_CLASSIFICATION!$A$8:$A$24,0)),"Review"))</f>
        <v>Excluded</v>
      </c>
      <c r="O305" s="350" t="str">
        <f>IF($B305="Portfolio","Portfolio",IFERROR(INDEX(DATA_ASSET_CLASSIFICATION!$AB$8:$AB$13,MATCH($N305,DATA_ASSET_CLASSIFICATION!$AA$8:$AA$13,0)),"Review"))</f>
        <v>Bucket 0 · Excluded</v>
      </c>
      <c r="P305" s="350" t="str">
        <f>IF($B305="Portfolio","Portfolio",IFERROR(INDEX(DATA_ASSET_CLASSIFICATION!$C$8:$C$24,MATCH($C305,DATA_ASSET_CLASSIFICATION!$A$8:$A$24,0)),"Review"))</f>
        <v>No</v>
      </c>
      <c r="Q305" s="350" t="str">
        <f t="shared" ca="1" si="9"/>
        <v>OK</v>
      </c>
    </row>
    <row r="306" spans="1:17">
      <c r="A306" s="366" t="s">
        <v>2257</v>
      </c>
      <c r="B306" s="366" t="s">
        <v>231</v>
      </c>
      <c r="C306" s="348" t="str">
        <f>DATA_PROPERTY_MASTER!$A$5</f>
        <v>BLD_AB</v>
      </c>
      <c r="D306" s="380">
        <f>'00_PORTFOLIO ROLLUP'!E$12</f>
        <v>2025</v>
      </c>
      <c r="E306" s="366" t="s">
        <v>1721</v>
      </c>
      <c r="F306" s="366" t="s">
        <v>37</v>
      </c>
      <c r="G306" s="348" t="str">
        <f>"'"&amp;$C306&amp;"'!$E$63:$Y$63"</f>
        <v>'BLD_AB'!$E$63:$Y$63</v>
      </c>
      <c r="H306" s="381">
        <f ca="1">IF(IFERROR(INDEX(DATA_PROPERTY_MASTER!$E$5:$E$21,MATCH($C306,DATA_PROPERTY_MASTER!$A$5:$A$21,0))="Yes",FALSE),MAX(IFERROR(INDEX(INDIRECT("'"&amp;$C306&amp;"'!$E$63:$Y$63"),1,MATCH($D306,INDIRECT("'"&amp;$C306&amp;"'!$E$12:$Y$12"),0)),0),0),0)</f>
        <v>0</v>
      </c>
      <c r="I306" s="366" t="s">
        <v>1685</v>
      </c>
      <c r="J306" s="348" t="str">
        <f t="shared" ca="1" si="8"/>
        <v>OK</v>
      </c>
      <c r="K306" s="366" t="s">
        <v>1735</v>
      </c>
      <c r="L306" s="366" t="s">
        <v>2258</v>
      </c>
      <c r="M306" s="350" t="str">
        <f>IF($B306="Portfolio","Portfolio",IFERROR(INDEX(DATA_ASSET_CLASSIFICATION!$B$8:$B$24,MATCH($C306,DATA_ASSET_CLASSIFICATION!$A$8:$A$24,0)),"Review"))</f>
        <v>Alma Blackwell</v>
      </c>
      <c r="N306" s="350" t="str">
        <f>IF($B306="Portfolio","Portfolio",IFERROR(INDEX(DATA_ASSET_CLASSIFICATION!$U$8:$U$24,MATCH($C306,DATA_ASSET_CLASSIFICATION!$A$8:$A$24,0)),"Review"))</f>
        <v>Excluded</v>
      </c>
      <c r="O306" s="350" t="str">
        <f>IF($B306="Portfolio","Portfolio",IFERROR(INDEX(DATA_ASSET_CLASSIFICATION!$AB$8:$AB$13,MATCH($N306,DATA_ASSET_CLASSIFICATION!$AA$8:$AA$13,0)),"Review"))</f>
        <v>Bucket 0 · Excluded</v>
      </c>
      <c r="P306" s="350" t="str">
        <f>IF($B306="Portfolio","Portfolio",IFERROR(INDEX(DATA_ASSET_CLASSIFICATION!$C$8:$C$24,MATCH($C306,DATA_ASSET_CLASSIFICATION!$A$8:$A$24,0)),"Review"))</f>
        <v>No</v>
      </c>
      <c r="Q306" s="350" t="str">
        <f t="shared" ca="1" si="9"/>
        <v>OK</v>
      </c>
    </row>
    <row r="307" spans="1:17">
      <c r="A307" s="366" t="s">
        <v>2259</v>
      </c>
      <c r="B307" s="366" t="s">
        <v>231</v>
      </c>
      <c r="C307" s="348" t="str">
        <f>DATA_PROPERTY_MASTER!$A$5</f>
        <v>BLD_AB</v>
      </c>
      <c r="D307" s="380">
        <f>'00_PORTFOLIO ROLLUP'!E$12</f>
        <v>2025</v>
      </c>
      <c r="E307" s="366" t="s">
        <v>1721</v>
      </c>
      <c r="F307" s="366" t="s">
        <v>39</v>
      </c>
      <c r="G307" s="348" t="str">
        <f>"'"&amp;$C307&amp;"'!$E$63:$Y$63"</f>
        <v>'BLD_AB'!$E$63:$Y$63</v>
      </c>
      <c r="H307" s="381">
        <f ca="1">IF(IFERROR(INDEX(DATA_PROPERTY_MASTER!$E$5:$E$21,MATCH($C307,DATA_PROPERTY_MASTER!$A$5:$A$21,0))="Yes",FALSE),MAX(-IFERROR(INDEX(INDIRECT("'"&amp;$C307&amp;"'!$E$63:$Y$63"),1,MATCH($D307,INDIRECT("'"&amp;$C307&amp;"'!$E$12:$Y$12"),0)),0),0),0)</f>
        <v>0</v>
      </c>
      <c r="I307" s="366" t="s">
        <v>1690</v>
      </c>
      <c r="J307" s="348" t="str">
        <f t="shared" ca="1" si="8"/>
        <v>OK</v>
      </c>
      <c r="K307" s="366" t="s">
        <v>1738</v>
      </c>
      <c r="L307" s="366" t="s">
        <v>2260</v>
      </c>
      <c r="M307" s="350" t="str">
        <f>IF($B307="Portfolio","Portfolio",IFERROR(INDEX(DATA_ASSET_CLASSIFICATION!$B$8:$B$24,MATCH($C307,DATA_ASSET_CLASSIFICATION!$A$8:$A$24,0)),"Review"))</f>
        <v>Alma Blackwell</v>
      </c>
      <c r="N307" s="350" t="str">
        <f>IF($B307="Portfolio","Portfolio",IFERROR(INDEX(DATA_ASSET_CLASSIFICATION!$U$8:$U$24,MATCH($C307,DATA_ASSET_CLASSIFICATION!$A$8:$A$24,0)),"Review"))</f>
        <v>Excluded</v>
      </c>
      <c r="O307" s="350" t="str">
        <f>IF($B307="Portfolio","Portfolio",IFERROR(INDEX(DATA_ASSET_CLASSIFICATION!$AB$8:$AB$13,MATCH($N307,DATA_ASSET_CLASSIFICATION!$AA$8:$AA$13,0)),"Review"))</f>
        <v>Bucket 0 · Excluded</v>
      </c>
      <c r="P307" s="350" t="str">
        <f>IF($B307="Portfolio","Portfolio",IFERROR(INDEX(DATA_ASSET_CLASSIFICATION!$C$8:$C$24,MATCH($C307,DATA_ASSET_CLASSIFICATION!$A$8:$A$24,0)),"Review"))</f>
        <v>No</v>
      </c>
      <c r="Q307" s="350" t="str">
        <f t="shared" ca="1" si="9"/>
        <v>OK</v>
      </c>
    </row>
    <row r="308" spans="1:17">
      <c r="A308" s="366" t="s">
        <v>2261</v>
      </c>
      <c r="B308" s="366" t="s">
        <v>231</v>
      </c>
      <c r="C308" s="348" t="str">
        <f>DATA_PROPERTY_MASTER!$A$5</f>
        <v>BLD_AB</v>
      </c>
      <c r="D308" s="380">
        <f>'00_PORTFOLIO ROLLUP'!E$12</f>
        <v>2025</v>
      </c>
      <c r="E308" s="366" t="s">
        <v>1741</v>
      </c>
      <c r="F308" s="366" t="s">
        <v>41</v>
      </c>
      <c r="G308" s="348" t="str">
        <f>"'"&amp;$C308&amp;"'!rows 56 + positive row 63"</f>
        <v>'BLD_AB'!rows 56 + positive row 63</v>
      </c>
      <c r="H308" s="381">
        <f ca="1">IF(IFERROR(INDEX(DATA_PROPERTY_MASTER!$E$5:$E$21,MATCH($C308,DATA_PROPERTY_MASTER!$A$5:$A$21,0))="Yes",FALSE),IFERROR(INDEX(INDIRECT("'"&amp;$C308&amp;"'!$E$56:$Y$56"),1,MATCH($D308,INDIRECT("'"&amp;$C308&amp;"'!$E$12:$Y$12"),0)),0)+MAX(IFERROR(INDEX(INDIRECT("'"&amp;$C308&amp;"'!$E$63:$Y$63"),1,MATCH($D308,INDIRECT("'"&amp;$C308&amp;"'!$E$12:$Y$12"),0)),0),0),0)</f>
        <v>0</v>
      </c>
      <c r="I308" s="366" t="s">
        <v>1685</v>
      </c>
      <c r="J308" s="348" t="str">
        <f t="shared" ca="1" si="8"/>
        <v>OK</v>
      </c>
      <c r="K308" s="366" t="s">
        <v>1742</v>
      </c>
      <c r="L308" s="366" t="s">
        <v>2262</v>
      </c>
      <c r="M308" s="350" t="str">
        <f>IF($B308="Portfolio","Portfolio",IFERROR(INDEX(DATA_ASSET_CLASSIFICATION!$B$8:$B$24,MATCH($C308,DATA_ASSET_CLASSIFICATION!$A$8:$A$24,0)),"Review"))</f>
        <v>Alma Blackwell</v>
      </c>
      <c r="N308" s="350" t="str">
        <f>IF($B308="Portfolio","Portfolio",IFERROR(INDEX(DATA_ASSET_CLASSIFICATION!$U$8:$U$24,MATCH($C308,DATA_ASSET_CLASSIFICATION!$A$8:$A$24,0)),"Review"))</f>
        <v>Excluded</v>
      </c>
      <c r="O308" s="350" t="str">
        <f>IF($B308="Portfolio","Portfolio",IFERROR(INDEX(DATA_ASSET_CLASSIFICATION!$AB$8:$AB$13,MATCH($N308,DATA_ASSET_CLASSIFICATION!$AA$8:$AA$13,0)),"Review"))</f>
        <v>Bucket 0 · Excluded</v>
      </c>
      <c r="P308" s="350" t="str">
        <f>IF($B308="Portfolio","Portfolio",IFERROR(INDEX(DATA_ASSET_CLASSIFICATION!$C$8:$C$24,MATCH($C308,DATA_ASSET_CLASSIFICATION!$A$8:$A$24,0)),"Review"))</f>
        <v>No</v>
      </c>
      <c r="Q308" s="350" t="str">
        <f t="shared" ca="1" si="9"/>
        <v>OK</v>
      </c>
    </row>
    <row r="309" spans="1:17">
      <c r="A309" s="366" t="s">
        <v>2263</v>
      </c>
      <c r="B309" s="366" t="s">
        <v>231</v>
      </c>
      <c r="C309" s="348" t="str">
        <f>DATA_PROPERTY_MASTER!$A$5</f>
        <v>BLD_AB</v>
      </c>
      <c r="D309" s="380">
        <f>'00_PORTFOLIO ROLLUP'!E$12</f>
        <v>2025</v>
      </c>
      <c r="E309" s="366" t="s">
        <v>1741</v>
      </c>
      <c r="F309" s="366" t="s">
        <v>43</v>
      </c>
      <c r="G309" s="348" t="str">
        <f>"'"&amp;$C309&amp;"'!$E$68:$Y$68"</f>
        <v>'BLD_AB'!$E$68:$Y$68</v>
      </c>
      <c r="H309" s="381">
        <f ca="1">IF(IFERROR(INDEX(DATA_PROPERTY_MASTER!$E$5:$E$21,MATCH($C309,DATA_PROPERTY_MASTER!$A$5:$A$21,0))="Yes",FALSE),IFERROR(INDEX(INDIRECT("'"&amp;$C309&amp;"'!$E$68:$Y$68"),1,MATCH($D309,INDIRECT("'"&amp;$C309&amp;"'!$E$12:$Y$12"),0)),0),0)</f>
        <v>0</v>
      </c>
      <c r="I309" s="366" t="s">
        <v>1731</v>
      </c>
      <c r="J309" s="348" t="str">
        <f t="shared" ca="1" si="8"/>
        <v>OK</v>
      </c>
      <c r="K309" s="366" t="s">
        <v>1746</v>
      </c>
      <c r="L309" s="366" t="s">
        <v>2264</v>
      </c>
      <c r="M309" s="350" t="str">
        <f>IF($B309="Portfolio","Portfolio",IFERROR(INDEX(DATA_ASSET_CLASSIFICATION!$B$8:$B$24,MATCH($C309,DATA_ASSET_CLASSIFICATION!$A$8:$A$24,0)),"Review"))</f>
        <v>Alma Blackwell</v>
      </c>
      <c r="N309" s="350" t="str">
        <f>IF($B309="Portfolio","Portfolio",IFERROR(INDEX(DATA_ASSET_CLASSIFICATION!$U$8:$U$24,MATCH($C309,DATA_ASSET_CLASSIFICATION!$A$8:$A$24,0)),"Review"))</f>
        <v>Excluded</v>
      </c>
      <c r="O309" s="350" t="str">
        <f>IF($B309="Portfolio","Portfolio",IFERROR(INDEX(DATA_ASSET_CLASSIFICATION!$AB$8:$AB$13,MATCH($N309,DATA_ASSET_CLASSIFICATION!$AA$8:$AA$13,0)),"Review"))</f>
        <v>Bucket 0 · Excluded</v>
      </c>
      <c r="P309" s="350" t="str">
        <f>IF($B309="Portfolio","Portfolio",IFERROR(INDEX(DATA_ASSET_CLASSIFICATION!$C$8:$C$24,MATCH($C309,DATA_ASSET_CLASSIFICATION!$A$8:$A$24,0)),"Review"))</f>
        <v>No</v>
      </c>
      <c r="Q309" s="350" t="str">
        <f t="shared" ca="1" si="9"/>
        <v>OK</v>
      </c>
    </row>
    <row r="310" spans="1:17">
      <c r="A310" s="366" t="s">
        <v>2265</v>
      </c>
      <c r="B310" s="366" t="s">
        <v>231</v>
      </c>
      <c r="C310" s="348" t="str">
        <f>DATA_PROPERTY_MASTER!$A$5</f>
        <v>BLD_AB</v>
      </c>
      <c r="D310" s="380">
        <f>'00_PORTFOLIO ROLLUP'!E$12</f>
        <v>2025</v>
      </c>
      <c r="E310" s="366" t="s">
        <v>1741</v>
      </c>
      <c r="F310" s="366" t="s">
        <v>1749</v>
      </c>
      <c r="G310" s="348" t="str">
        <f>"'"&amp;$C310&amp;"'!rows 56, 63, 68"</f>
        <v>'BLD_AB'!rows 56, 63, 68</v>
      </c>
      <c r="H310" s="381">
        <f ca="1">IF(IFERROR(INDEX(DATA_PROPERTY_MASTER!$E$5:$E$21,MATCH($C310,DATA_PROPERTY_MASTER!$A$5:$A$21,0))="Yes",FALSE),(IFERROR(INDEX(INDIRECT("'"&amp;$C310&amp;"'!$E$56:$Y$56"),1,MATCH($D310,INDIRECT("'"&amp;$C310&amp;"'!$E$12:$Y$12"),0)),0)+MAX(IFERROR(INDEX(INDIRECT("'"&amp;$C310&amp;"'!$E$63:$Y$63"),1,MATCH($D310,INDIRECT("'"&amp;$C310&amp;"'!$E$12:$Y$12"),0)),0),0))-(IFERROR(INDEX(INDIRECT("'"&amp;$C310&amp;"'!$E$68:$Y$68"),1,MATCH($D310,INDIRECT("'"&amp;$C310&amp;"'!$E$12:$Y$12"),0)),0)),0)</f>
        <v>0</v>
      </c>
      <c r="I310" s="366" t="s">
        <v>1750</v>
      </c>
      <c r="J310" s="348" t="str">
        <f t="shared" ca="1" si="8"/>
        <v>OK</v>
      </c>
      <c r="K310" s="366" t="s">
        <v>1751</v>
      </c>
      <c r="L310" s="366" t="s">
        <v>2266</v>
      </c>
      <c r="M310" s="350" t="str">
        <f>IF($B310="Portfolio","Portfolio",IFERROR(INDEX(DATA_ASSET_CLASSIFICATION!$B$8:$B$24,MATCH($C310,DATA_ASSET_CLASSIFICATION!$A$8:$A$24,0)),"Review"))</f>
        <v>Alma Blackwell</v>
      </c>
      <c r="N310" s="350" t="str">
        <f>IF($B310="Portfolio","Portfolio",IFERROR(INDEX(DATA_ASSET_CLASSIFICATION!$U$8:$U$24,MATCH($C310,DATA_ASSET_CLASSIFICATION!$A$8:$A$24,0)),"Review"))</f>
        <v>Excluded</v>
      </c>
      <c r="O310" s="350" t="str">
        <f>IF($B310="Portfolio","Portfolio",IFERROR(INDEX(DATA_ASSET_CLASSIFICATION!$AB$8:$AB$13,MATCH($N310,DATA_ASSET_CLASSIFICATION!$AA$8:$AA$13,0)),"Review"))</f>
        <v>Bucket 0 · Excluded</v>
      </c>
      <c r="P310" s="350" t="str">
        <f>IF($B310="Portfolio","Portfolio",IFERROR(INDEX(DATA_ASSET_CLASSIFICATION!$C$8:$C$24,MATCH($C310,DATA_ASSET_CLASSIFICATION!$A$8:$A$24,0)),"Review"))</f>
        <v>No</v>
      </c>
      <c r="Q310" s="350" t="str">
        <f t="shared" ca="1" si="9"/>
        <v>OK</v>
      </c>
    </row>
    <row r="311" spans="1:17">
      <c r="A311" s="366" t="s">
        <v>2267</v>
      </c>
      <c r="B311" s="366" t="s">
        <v>231</v>
      </c>
      <c r="C311" s="348" t="str">
        <f>DATA_PROPERTY_MASTER!$A$5</f>
        <v>BLD_AB</v>
      </c>
      <c r="D311" s="380">
        <f>'00_PORTFOLIO ROLLUP'!F$12</f>
        <v>2026</v>
      </c>
      <c r="E311" s="366" t="s">
        <v>1683</v>
      </c>
      <c r="F311" s="366" t="s">
        <v>341</v>
      </c>
      <c r="G311" s="348" t="str">
        <f>"'"&amp;$C311&amp;"'!$E$24:$Y$24"</f>
        <v>'BLD_AB'!$E$24:$Y$24</v>
      </c>
      <c r="H311" s="381">
        <f ca="1">IF(IFERROR(INDEX(DATA_PROPERTY_MASTER!$E$5:$E$21,MATCH($C311,DATA_PROPERTY_MASTER!$A$5:$A$21,0))="Yes",FALSE),IFERROR(INDEX(INDIRECT("'"&amp;$C311&amp;"'!$E$24:$Y$24"),1,MATCH($D311,INDIRECT("'"&amp;$C311&amp;"'!$E$12:$Y$12"),0)),0),0)</f>
        <v>0</v>
      </c>
      <c r="I311" s="366" t="s">
        <v>1685</v>
      </c>
      <c r="J311" s="348" t="str">
        <f t="shared" ca="1" si="8"/>
        <v>OK</v>
      </c>
      <c r="K311" s="366" t="s">
        <v>1686</v>
      </c>
      <c r="L311" s="366" t="s">
        <v>2234</v>
      </c>
      <c r="M311" s="350" t="str">
        <f>IF($B311="Portfolio","Portfolio",IFERROR(INDEX(DATA_ASSET_CLASSIFICATION!$B$8:$B$24,MATCH($C311,DATA_ASSET_CLASSIFICATION!$A$8:$A$24,0)),"Review"))</f>
        <v>Alma Blackwell</v>
      </c>
      <c r="N311" s="350" t="str">
        <f>IF($B311="Portfolio","Portfolio",IFERROR(INDEX(DATA_ASSET_CLASSIFICATION!$U$8:$U$24,MATCH($C311,DATA_ASSET_CLASSIFICATION!$A$8:$A$24,0)),"Review"))</f>
        <v>Excluded</v>
      </c>
      <c r="O311" s="350" t="str">
        <f>IF($B311="Portfolio","Portfolio",IFERROR(INDEX(DATA_ASSET_CLASSIFICATION!$AB$8:$AB$13,MATCH($N311,DATA_ASSET_CLASSIFICATION!$AA$8:$AA$13,0)),"Review"))</f>
        <v>Bucket 0 · Excluded</v>
      </c>
      <c r="P311" s="350" t="str">
        <f>IF($B311="Portfolio","Portfolio",IFERROR(INDEX(DATA_ASSET_CLASSIFICATION!$C$8:$C$24,MATCH($C311,DATA_ASSET_CLASSIFICATION!$A$8:$A$24,0)),"Review"))</f>
        <v>No</v>
      </c>
      <c r="Q311" s="350" t="str">
        <f t="shared" ca="1" si="9"/>
        <v>OK</v>
      </c>
    </row>
    <row r="312" spans="1:17">
      <c r="A312" s="366" t="s">
        <v>2268</v>
      </c>
      <c r="B312" s="366" t="s">
        <v>231</v>
      </c>
      <c r="C312" s="348" t="str">
        <f>DATA_PROPERTY_MASTER!$A$5</f>
        <v>BLD_AB</v>
      </c>
      <c r="D312" s="380">
        <f>'00_PORTFOLIO ROLLUP'!F$12</f>
        <v>2026</v>
      </c>
      <c r="E312" s="366" t="s">
        <v>1683</v>
      </c>
      <c r="F312" s="366" t="s">
        <v>355</v>
      </c>
      <c r="G312" s="348" t="str">
        <f>"'"&amp;$C312&amp;"'!$E$39:$Y$39"</f>
        <v>'BLD_AB'!$E$39:$Y$39</v>
      </c>
      <c r="H312" s="381">
        <f ca="1">IF(IFERROR(INDEX(DATA_PROPERTY_MASTER!$E$5:$E$21,MATCH($C312,DATA_PROPERTY_MASTER!$A$5:$A$21,0))="Yes",FALSE),IFERROR(INDEX(INDIRECT("'"&amp;$C312&amp;"'!$E$39:$Y$39"),1,MATCH($D312,INDIRECT("'"&amp;$C312&amp;"'!$E$12:$Y$12"),0)),0),0)</f>
        <v>0</v>
      </c>
      <c r="I312" s="366" t="s">
        <v>1690</v>
      </c>
      <c r="J312" s="348" t="str">
        <f t="shared" ca="1" si="8"/>
        <v>OK</v>
      </c>
      <c r="K312" s="366" t="s">
        <v>1686</v>
      </c>
      <c r="L312" s="366" t="s">
        <v>2236</v>
      </c>
      <c r="M312" s="350" t="str">
        <f>IF($B312="Portfolio","Portfolio",IFERROR(INDEX(DATA_ASSET_CLASSIFICATION!$B$8:$B$24,MATCH($C312,DATA_ASSET_CLASSIFICATION!$A$8:$A$24,0)),"Review"))</f>
        <v>Alma Blackwell</v>
      </c>
      <c r="N312" s="350" t="str">
        <f>IF($B312="Portfolio","Portfolio",IFERROR(INDEX(DATA_ASSET_CLASSIFICATION!$U$8:$U$24,MATCH($C312,DATA_ASSET_CLASSIFICATION!$A$8:$A$24,0)),"Review"))</f>
        <v>Excluded</v>
      </c>
      <c r="O312" s="350" t="str">
        <f>IF($B312="Portfolio","Portfolio",IFERROR(INDEX(DATA_ASSET_CLASSIFICATION!$AB$8:$AB$13,MATCH($N312,DATA_ASSET_CLASSIFICATION!$AA$8:$AA$13,0)),"Review"))</f>
        <v>Bucket 0 · Excluded</v>
      </c>
      <c r="P312" s="350" t="str">
        <f>IF($B312="Portfolio","Portfolio",IFERROR(INDEX(DATA_ASSET_CLASSIFICATION!$C$8:$C$24,MATCH($C312,DATA_ASSET_CLASSIFICATION!$A$8:$A$24,0)),"Review"))</f>
        <v>No</v>
      </c>
      <c r="Q312" s="350" t="str">
        <f t="shared" ca="1" si="9"/>
        <v>OK</v>
      </c>
    </row>
    <row r="313" spans="1:17">
      <c r="A313" s="366" t="s">
        <v>2269</v>
      </c>
      <c r="B313" s="366" t="s">
        <v>231</v>
      </c>
      <c r="C313" s="348" t="str">
        <f>DATA_PROPERTY_MASTER!$A$5</f>
        <v>BLD_AB</v>
      </c>
      <c r="D313" s="380">
        <f>'00_PORTFOLIO ROLLUP'!F$12</f>
        <v>2026</v>
      </c>
      <c r="E313" s="366" t="s">
        <v>1683</v>
      </c>
      <c r="F313" s="366" t="s">
        <v>19</v>
      </c>
      <c r="G313" s="348" t="str">
        <f>"'"&amp;$C313&amp;"'!$E$41:$Y$41"</f>
        <v>'BLD_AB'!$E$41:$Y$41</v>
      </c>
      <c r="H313" s="381">
        <f ca="1">IF(IFERROR(INDEX(DATA_PROPERTY_MASTER!$E$5:$E$21,MATCH($C313,DATA_PROPERTY_MASTER!$A$5:$A$21,0))="Yes",FALSE),IFERROR(INDEX(INDIRECT("'"&amp;$C313&amp;"'!$E$41:$Y$41"),1,MATCH($D313,INDIRECT("'"&amp;$C313&amp;"'!$E$12:$Y$12"),0)),0),0)</f>
        <v>0</v>
      </c>
      <c r="I313" s="366" t="s">
        <v>1685</v>
      </c>
      <c r="J313" s="348" t="str">
        <f t="shared" ca="1" si="8"/>
        <v>OK</v>
      </c>
      <c r="K313" s="366" t="s">
        <v>1694</v>
      </c>
      <c r="L313" s="366" t="s">
        <v>2238</v>
      </c>
      <c r="M313" s="350" t="str">
        <f>IF($B313="Portfolio","Portfolio",IFERROR(INDEX(DATA_ASSET_CLASSIFICATION!$B$8:$B$24,MATCH($C313,DATA_ASSET_CLASSIFICATION!$A$8:$A$24,0)),"Review"))</f>
        <v>Alma Blackwell</v>
      </c>
      <c r="N313" s="350" t="str">
        <f>IF($B313="Portfolio","Portfolio",IFERROR(INDEX(DATA_ASSET_CLASSIFICATION!$U$8:$U$24,MATCH($C313,DATA_ASSET_CLASSIFICATION!$A$8:$A$24,0)),"Review"))</f>
        <v>Excluded</v>
      </c>
      <c r="O313" s="350" t="str">
        <f>IF($B313="Portfolio","Portfolio",IFERROR(INDEX(DATA_ASSET_CLASSIFICATION!$AB$8:$AB$13,MATCH($N313,DATA_ASSET_CLASSIFICATION!$AA$8:$AA$13,0)),"Review"))</f>
        <v>Bucket 0 · Excluded</v>
      </c>
      <c r="P313" s="350" t="str">
        <f>IF($B313="Portfolio","Portfolio",IFERROR(INDEX(DATA_ASSET_CLASSIFICATION!$C$8:$C$24,MATCH($C313,DATA_ASSET_CLASSIFICATION!$A$8:$A$24,0)),"Review"))</f>
        <v>No</v>
      </c>
      <c r="Q313" s="350" t="str">
        <f t="shared" ca="1" si="9"/>
        <v>OK</v>
      </c>
    </row>
    <row r="314" spans="1:17">
      <c r="A314" s="366" t="s">
        <v>2270</v>
      </c>
      <c r="B314" s="366" t="s">
        <v>231</v>
      </c>
      <c r="C314" s="348" t="str">
        <f>DATA_PROPERTY_MASTER!$A$5</f>
        <v>BLD_AB</v>
      </c>
      <c r="D314" s="380">
        <f>'00_PORTFOLIO ROLLUP'!F$12</f>
        <v>2026</v>
      </c>
      <c r="E314" s="366" t="s">
        <v>1683</v>
      </c>
      <c r="F314" s="366" t="s">
        <v>1697</v>
      </c>
      <c r="G314" s="348" t="str">
        <f>"'"&amp;$C314&amp;"'!$E$44:$Y$44"</f>
        <v>'BLD_AB'!$E$44:$Y$44</v>
      </c>
      <c r="H314" s="381">
        <f ca="1">IF(IFERROR(INDEX(DATA_PROPERTY_MASTER!$E$5:$E$21,MATCH($C314,DATA_PROPERTY_MASTER!$A$5:$A$21,0))="Yes",FALSE),IFERROR(INDEX(INDIRECT("'"&amp;$C314&amp;"'!$E$44:$Y$44"),1,MATCH($D314,INDIRECT("'"&amp;$C314&amp;"'!$E$12:$Y$12"),0)),0),0)</f>
        <v>0</v>
      </c>
      <c r="I314" s="366" t="s">
        <v>1690</v>
      </c>
      <c r="J314" s="348" t="str">
        <f t="shared" ca="1" si="8"/>
        <v>OK</v>
      </c>
      <c r="K314" s="366" t="s">
        <v>1699</v>
      </c>
      <c r="L314" s="366" t="s">
        <v>2240</v>
      </c>
      <c r="M314" s="350" t="str">
        <f>IF($B314="Portfolio","Portfolio",IFERROR(INDEX(DATA_ASSET_CLASSIFICATION!$B$8:$B$24,MATCH($C314,DATA_ASSET_CLASSIFICATION!$A$8:$A$24,0)),"Review"))</f>
        <v>Alma Blackwell</v>
      </c>
      <c r="N314" s="350" t="str">
        <f>IF($B314="Portfolio","Portfolio",IFERROR(INDEX(DATA_ASSET_CLASSIFICATION!$U$8:$U$24,MATCH($C314,DATA_ASSET_CLASSIFICATION!$A$8:$A$24,0)),"Review"))</f>
        <v>Excluded</v>
      </c>
      <c r="O314" s="350" t="str">
        <f>IF($B314="Portfolio","Portfolio",IFERROR(INDEX(DATA_ASSET_CLASSIFICATION!$AB$8:$AB$13,MATCH($N314,DATA_ASSET_CLASSIFICATION!$AA$8:$AA$13,0)),"Review"))</f>
        <v>Bucket 0 · Excluded</v>
      </c>
      <c r="P314" s="350" t="str">
        <f>IF($B314="Portfolio","Portfolio",IFERROR(INDEX(DATA_ASSET_CLASSIFICATION!$C$8:$C$24,MATCH($C314,DATA_ASSET_CLASSIFICATION!$A$8:$A$24,0)),"Review"))</f>
        <v>No</v>
      </c>
      <c r="Q314" s="350" t="str">
        <f t="shared" ca="1" si="9"/>
        <v>OK</v>
      </c>
    </row>
    <row r="315" spans="1:17">
      <c r="A315" s="366" t="s">
        <v>2271</v>
      </c>
      <c r="B315" s="366" t="s">
        <v>231</v>
      </c>
      <c r="C315" s="348" t="str">
        <f>DATA_PROPERTY_MASTER!$A$5</f>
        <v>BLD_AB</v>
      </c>
      <c r="D315" s="380">
        <f>'00_PORTFOLIO ROLLUP'!F$12</f>
        <v>2026</v>
      </c>
      <c r="E315" s="366" t="s">
        <v>1683</v>
      </c>
      <c r="F315" s="366" t="s">
        <v>21</v>
      </c>
      <c r="G315" s="348" t="str">
        <f>"'"&amp;$C315&amp;"'!$E$45:$Y$45"</f>
        <v>'BLD_AB'!$E$45:$Y$45</v>
      </c>
      <c r="H315" s="381">
        <f ca="1">IF(IFERROR(INDEX(DATA_PROPERTY_MASTER!$E$5:$E$21,MATCH($C315,DATA_PROPERTY_MASTER!$A$5:$A$21,0))="Yes",FALSE),IFERROR(INDEX(INDIRECT("'"&amp;$C315&amp;"'!$E$45:$Y$45"),1,MATCH($D315,INDIRECT("'"&amp;$C315&amp;"'!$E$12:$Y$12"),0)),0),0)</f>
        <v>0</v>
      </c>
      <c r="I315" s="366" t="s">
        <v>1685</v>
      </c>
      <c r="J315" s="348" t="str">
        <f t="shared" ca="1" si="8"/>
        <v>OK</v>
      </c>
      <c r="K315" s="366" t="s">
        <v>1694</v>
      </c>
      <c r="L315" s="366" t="s">
        <v>2242</v>
      </c>
      <c r="M315" s="350" t="str">
        <f>IF($B315="Portfolio","Portfolio",IFERROR(INDEX(DATA_ASSET_CLASSIFICATION!$B$8:$B$24,MATCH($C315,DATA_ASSET_CLASSIFICATION!$A$8:$A$24,0)),"Review"))</f>
        <v>Alma Blackwell</v>
      </c>
      <c r="N315" s="350" t="str">
        <f>IF($B315="Portfolio","Portfolio",IFERROR(INDEX(DATA_ASSET_CLASSIFICATION!$U$8:$U$24,MATCH($C315,DATA_ASSET_CLASSIFICATION!$A$8:$A$24,0)),"Review"))</f>
        <v>Excluded</v>
      </c>
      <c r="O315" s="350" t="str">
        <f>IF($B315="Portfolio","Portfolio",IFERROR(INDEX(DATA_ASSET_CLASSIFICATION!$AB$8:$AB$13,MATCH($N315,DATA_ASSET_CLASSIFICATION!$AA$8:$AA$13,0)),"Review"))</f>
        <v>Bucket 0 · Excluded</v>
      </c>
      <c r="P315" s="350" t="str">
        <f>IF($B315="Portfolio","Portfolio",IFERROR(INDEX(DATA_ASSET_CLASSIFICATION!$C$8:$C$24,MATCH($C315,DATA_ASSET_CLASSIFICATION!$A$8:$A$24,0)),"Review"))</f>
        <v>No</v>
      </c>
      <c r="Q315" s="350" t="str">
        <f t="shared" ca="1" si="9"/>
        <v>OK</v>
      </c>
    </row>
    <row r="316" spans="1:17">
      <c r="A316" s="366" t="s">
        <v>2272</v>
      </c>
      <c r="B316" s="366" t="s">
        <v>231</v>
      </c>
      <c r="C316" s="348" t="str">
        <f>DATA_PROPERTY_MASTER!$A$5</f>
        <v>BLD_AB</v>
      </c>
      <c r="D316" s="380">
        <f>'00_PORTFOLIO ROLLUP'!F$12</f>
        <v>2026</v>
      </c>
      <c r="E316" s="366" t="s">
        <v>23</v>
      </c>
      <c r="F316" s="366" t="s">
        <v>23</v>
      </c>
      <c r="G316" s="348" t="str">
        <f>"'"&amp;$C316&amp;"'!$E$48:$Y$48"</f>
        <v>'BLD_AB'!$E$48:$Y$48</v>
      </c>
      <c r="H316" s="381">
        <f ca="1">IF(IFERROR(INDEX(DATA_PROPERTY_MASTER!$E$5:$E$21,MATCH($C316,DATA_PROPERTY_MASTER!$A$5:$A$21,0))="Yes",FALSE),IFERROR(INDEX(INDIRECT("'"&amp;$C316&amp;"'!$E$48:$Y$48"),1,MATCH($D316,INDIRECT("'"&amp;$C316&amp;"'!$E$12:$Y$12"),0)),0),0)</f>
        <v>0</v>
      </c>
      <c r="I316" s="366" t="s">
        <v>1690</v>
      </c>
      <c r="J316" s="348" t="str">
        <f t="shared" ca="1" si="8"/>
        <v>OK</v>
      </c>
      <c r="K316" s="366" t="s">
        <v>1706</v>
      </c>
      <c r="L316" s="366" t="s">
        <v>2244</v>
      </c>
      <c r="M316" s="350" t="str">
        <f>IF($B316="Portfolio","Portfolio",IFERROR(INDEX(DATA_ASSET_CLASSIFICATION!$B$8:$B$24,MATCH($C316,DATA_ASSET_CLASSIFICATION!$A$8:$A$24,0)),"Review"))</f>
        <v>Alma Blackwell</v>
      </c>
      <c r="N316" s="350" t="str">
        <f>IF($B316="Portfolio","Portfolio",IFERROR(INDEX(DATA_ASSET_CLASSIFICATION!$U$8:$U$24,MATCH($C316,DATA_ASSET_CLASSIFICATION!$A$8:$A$24,0)),"Review"))</f>
        <v>Excluded</v>
      </c>
      <c r="O316" s="350" t="str">
        <f>IF($B316="Portfolio","Portfolio",IFERROR(INDEX(DATA_ASSET_CLASSIFICATION!$AB$8:$AB$13,MATCH($N316,DATA_ASSET_CLASSIFICATION!$AA$8:$AA$13,0)),"Review"))</f>
        <v>Bucket 0 · Excluded</v>
      </c>
      <c r="P316" s="350" t="str">
        <f>IF($B316="Portfolio","Portfolio",IFERROR(INDEX(DATA_ASSET_CLASSIFICATION!$C$8:$C$24,MATCH($C316,DATA_ASSET_CLASSIFICATION!$A$8:$A$24,0)),"Review"))</f>
        <v>No</v>
      </c>
      <c r="Q316" s="350" t="str">
        <f t="shared" ca="1" si="9"/>
        <v>OK</v>
      </c>
    </row>
    <row r="317" spans="1:17">
      <c r="A317" s="366" t="s">
        <v>2273</v>
      </c>
      <c r="B317" s="366" t="s">
        <v>231</v>
      </c>
      <c r="C317" s="348" t="str">
        <f>DATA_PROPERTY_MASTER!$A$5</f>
        <v>BLD_AB</v>
      </c>
      <c r="D317" s="380">
        <f>'00_PORTFOLIO ROLLUP'!F$12</f>
        <v>2026</v>
      </c>
      <c r="E317" s="366" t="s">
        <v>1683</v>
      </c>
      <c r="F317" s="366" t="s">
        <v>25</v>
      </c>
      <c r="G317" s="348" t="str">
        <f>"'"&amp;$C317&amp;"'!$E$52:$Y$52"</f>
        <v>'BLD_AB'!$E$52:$Y$52</v>
      </c>
      <c r="H317" s="381">
        <f ca="1">IF(IFERROR(INDEX(DATA_PROPERTY_MASTER!$E$5:$E$21,MATCH($C317,DATA_PROPERTY_MASTER!$A$5:$A$21,0))="Yes",FALSE),IFERROR(INDEX(INDIRECT("'"&amp;$C317&amp;"'!$E$52:$Y$52"),1,MATCH($D317,INDIRECT("'"&amp;$C317&amp;"'!$E$12:$Y$12"),0)),0),0)</f>
        <v>0</v>
      </c>
      <c r="I317" s="366" t="s">
        <v>1685</v>
      </c>
      <c r="J317" s="348" t="str">
        <f t="shared" ca="1" si="8"/>
        <v>OK</v>
      </c>
      <c r="K317" s="366" t="s">
        <v>1710</v>
      </c>
      <c r="L317" s="366" t="s">
        <v>2246</v>
      </c>
      <c r="M317" s="350" t="str">
        <f>IF($B317="Portfolio","Portfolio",IFERROR(INDEX(DATA_ASSET_CLASSIFICATION!$B$8:$B$24,MATCH($C317,DATA_ASSET_CLASSIFICATION!$A$8:$A$24,0)),"Review"))</f>
        <v>Alma Blackwell</v>
      </c>
      <c r="N317" s="350" t="str">
        <f>IF($B317="Portfolio","Portfolio",IFERROR(INDEX(DATA_ASSET_CLASSIFICATION!$U$8:$U$24,MATCH($C317,DATA_ASSET_CLASSIFICATION!$A$8:$A$24,0)),"Review"))</f>
        <v>Excluded</v>
      </c>
      <c r="O317" s="350" t="str">
        <f>IF($B317="Portfolio","Portfolio",IFERROR(INDEX(DATA_ASSET_CLASSIFICATION!$AB$8:$AB$13,MATCH($N317,DATA_ASSET_CLASSIFICATION!$AA$8:$AA$13,0)),"Review"))</f>
        <v>Bucket 0 · Excluded</v>
      </c>
      <c r="P317" s="350" t="str">
        <f>IF($B317="Portfolio","Portfolio",IFERROR(INDEX(DATA_ASSET_CLASSIFICATION!$C$8:$C$24,MATCH($C317,DATA_ASSET_CLASSIFICATION!$A$8:$A$24,0)),"Review"))</f>
        <v>No</v>
      </c>
      <c r="Q317" s="350" t="str">
        <f t="shared" ca="1" si="9"/>
        <v>OK</v>
      </c>
    </row>
    <row r="318" spans="1:17">
      <c r="A318" s="366" t="s">
        <v>2274</v>
      </c>
      <c r="B318" s="366" t="s">
        <v>231</v>
      </c>
      <c r="C318" s="348" t="str">
        <f>DATA_PROPERTY_MASTER!$A$5</f>
        <v>BLD_AB</v>
      </c>
      <c r="D318" s="380">
        <f>'00_PORTFOLIO ROLLUP'!F$12</f>
        <v>2026</v>
      </c>
      <c r="E318" s="366" t="s">
        <v>1683</v>
      </c>
      <c r="F318" s="366" t="s">
        <v>27</v>
      </c>
      <c r="G318" s="348" t="str">
        <f>"'"&amp;$C318&amp;"'!$E$54:$Y$54"</f>
        <v>'BLD_AB'!$E$54:$Y$54</v>
      </c>
      <c r="H318" s="381">
        <f ca="1">IF(IFERROR(INDEX(DATA_PROPERTY_MASTER!$E$5:$E$21,MATCH($C318,DATA_PROPERTY_MASTER!$A$5:$A$21,0))="Yes",FALSE),IFERROR(INDEX(INDIRECT("'"&amp;$C318&amp;"'!$E$54:$Y$54"),1,MATCH($D318,INDIRECT("'"&amp;$C318&amp;"'!$E$12:$Y$12"),0)),0),0)</f>
        <v>0</v>
      </c>
      <c r="I318" s="366" t="s">
        <v>1690</v>
      </c>
      <c r="J318" s="348" t="str">
        <f t="shared" ca="1" si="8"/>
        <v>OK</v>
      </c>
      <c r="K318" s="366" t="s">
        <v>1714</v>
      </c>
      <c r="L318" s="366" t="s">
        <v>2248</v>
      </c>
      <c r="M318" s="350" t="str">
        <f>IF($B318="Portfolio","Portfolio",IFERROR(INDEX(DATA_ASSET_CLASSIFICATION!$B$8:$B$24,MATCH($C318,DATA_ASSET_CLASSIFICATION!$A$8:$A$24,0)),"Review"))</f>
        <v>Alma Blackwell</v>
      </c>
      <c r="N318" s="350" t="str">
        <f>IF($B318="Portfolio","Portfolio",IFERROR(INDEX(DATA_ASSET_CLASSIFICATION!$U$8:$U$24,MATCH($C318,DATA_ASSET_CLASSIFICATION!$A$8:$A$24,0)),"Review"))</f>
        <v>Excluded</v>
      </c>
      <c r="O318" s="350" t="str">
        <f>IF($B318="Portfolio","Portfolio",IFERROR(INDEX(DATA_ASSET_CLASSIFICATION!$AB$8:$AB$13,MATCH($N318,DATA_ASSET_CLASSIFICATION!$AA$8:$AA$13,0)),"Review"))</f>
        <v>Bucket 0 · Excluded</v>
      </c>
      <c r="P318" s="350" t="str">
        <f>IF($B318="Portfolio","Portfolio",IFERROR(INDEX(DATA_ASSET_CLASSIFICATION!$C$8:$C$24,MATCH($C318,DATA_ASSET_CLASSIFICATION!$A$8:$A$24,0)),"Review"))</f>
        <v>No</v>
      </c>
      <c r="Q318" s="350" t="str">
        <f t="shared" ca="1" si="9"/>
        <v>OK</v>
      </c>
    </row>
    <row r="319" spans="1:17">
      <c r="A319" s="366" t="s">
        <v>2275</v>
      </c>
      <c r="B319" s="366" t="s">
        <v>231</v>
      </c>
      <c r="C319" s="348" t="str">
        <f>DATA_PROPERTY_MASTER!$A$5</f>
        <v>BLD_AB</v>
      </c>
      <c r="D319" s="380">
        <f>'00_PORTFOLIO ROLLUP'!F$12</f>
        <v>2026</v>
      </c>
      <c r="E319" s="366" t="s">
        <v>1683</v>
      </c>
      <c r="F319" s="366" t="s">
        <v>29</v>
      </c>
      <c r="G319" s="348" t="str">
        <f>"'"&amp;$C319&amp;"'!$E$56:$Y$56"</f>
        <v>'BLD_AB'!$E$56:$Y$56</v>
      </c>
      <c r="H319" s="381">
        <f ca="1">IF(IFERROR(INDEX(DATA_PROPERTY_MASTER!$E$5:$E$21,MATCH($C319,DATA_PROPERTY_MASTER!$A$5:$A$21,0))="Yes",FALSE),IFERROR(INDEX(INDIRECT("'"&amp;$C319&amp;"'!$E$56:$Y$56"),1,MATCH($D319,INDIRECT("'"&amp;$C319&amp;"'!$E$12:$Y$12"),0)),0),0)</f>
        <v>0</v>
      </c>
      <c r="I319" s="366" t="s">
        <v>1685</v>
      </c>
      <c r="J319" s="348" t="str">
        <f t="shared" ca="1" si="8"/>
        <v>OK</v>
      </c>
      <c r="K319" s="366" t="s">
        <v>1718</v>
      </c>
      <c r="L319" s="366" t="s">
        <v>2250</v>
      </c>
      <c r="M319" s="350" t="str">
        <f>IF($B319="Portfolio","Portfolio",IFERROR(INDEX(DATA_ASSET_CLASSIFICATION!$B$8:$B$24,MATCH($C319,DATA_ASSET_CLASSIFICATION!$A$8:$A$24,0)),"Review"))</f>
        <v>Alma Blackwell</v>
      </c>
      <c r="N319" s="350" t="str">
        <f>IF($B319="Portfolio","Portfolio",IFERROR(INDEX(DATA_ASSET_CLASSIFICATION!$U$8:$U$24,MATCH($C319,DATA_ASSET_CLASSIFICATION!$A$8:$A$24,0)),"Review"))</f>
        <v>Excluded</v>
      </c>
      <c r="O319" s="350" t="str">
        <f>IF($B319="Portfolio","Portfolio",IFERROR(INDEX(DATA_ASSET_CLASSIFICATION!$AB$8:$AB$13,MATCH($N319,DATA_ASSET_CLASSIFICATION!$AA$8:$AA$13,0)),"Review"))</f>
        <v>Bucket 0 · Excluded</v>
      </c>
      <c r="P319" s="350" t="str">
        <f>IF($B319="Portfolio","Portfolio",IFERROR(INDEX(DATA_ASSET_CLASSIFICATION!$C$8:$C$24,MATCH($C319,DATA_ASSET_CLASSIFICATION!$A$8:$A$24,0)),"Review"))</f>
        <v>No</v>
      </c>
      <c r="Q319" s="350" t="str">
        <f t="shared" ca="1" si="9"/>
        <v>OK</v>
      </c>
    </row>
    <row r="320" spans="1:17">
      <c r="A320" s="366" t="s">
        <v>2276</v>
      </c>
      <c r="B320" s="366" t="s">
        <v>231</v>
      </c>
      <c r="C320" s="348" t="str">
        <f>DATA_PROPERTY_MASTER!$A$5</f>
        <v>BLD_AB</v>
      </c>
      <c r="D320" s="380">
        <f>'00_PORTFOLIO ROLLUP'!F$12</f>
        <v>2026</v>
      </c>
      <c r="E320" s="366" t="s">
        <v>1721</v>
      </c>
      <c r="F320" s="366" t="s">
        <v>31</v>
      </c>
      <c r="G320" s="348" t="str">
        <f>"'"&amp;$C320&amp;"'!$E$61:$Y$61"</f>
        <v>'BLD_AB'!$E$61:$Y$61</v>
      </c>
      <c r="H320" s="381">
        <f ca="1">IF(IFERROR(INDEX(DATA_PROPERTY_MASTER!$E$5:$E$21,MATCH($C320,DATA_PROPERTY_MASTER!$A$5:$A$21,0))="Yes",FALSE),IFERROR(INDEX(INDIRECT("'"&amp;$C320&amp;"'!$E$61:$Y$61"),1,MATCH($D320,INDIRECT("'"&amp;$C320&amp;"'!$E$12:$Y$12"),0)),0),0)</f>
        <v>0</v>
      </c>
      <c r="I320" s="366" t="s">
        <v>1690</v>
      </c>
      <c r="J320" s="348" t="str">
        <f t="shared" ca="1" si="8"/>
        <v>OK</v>
      </c>
      <c r="K320" s="366" t="s">
        <v>1723</v>
      </c>
      <c r="L320" s="366" t="s">
        <v>2252</v>
      </c>
      <c r="M320" s="350" t="str">
        <f>IF($B320="Portfolio","Portfolio",IFERROR(INDEX(DATA_ASSET_CLASSIFICATION!$B$8:$B$24,MATCH($C320,DATA_ASSET_CLASSIFICATION!$A$8:$A$24,0)),"Review"))</f>
        <v>Alma Blackwell</v>
      </c>
      <c r="N320" s="350" t="str">
        <f>IF($B320="Portfolio","Portfolio",IFERROR(INDEX(DATA_ASSET_CLASSIFICATION!$U$8:$U$24,MATCH($C320,DATA_ASSET_CLASSIFICATION!$A$8:$A$24,0)),"Review"))</f>
        <v>Excluded</v>
      </c>
      <c r="O320" s="350" t="str">
        <f>IF($B320="Portfolio","Portfolio",IFERROR(INDEX(DATA_ASSET_CLASSIFICATION!$AB$8:$AB$13,MATCH($N320,DATA_ASSET_CLASSIFICATION!$AA$8:$AA$13,0)),"Review"))</f>
        <v>Bucket 0 · Excluded</v>
      </c>
      <c r="P320" s="350" t="str">
        <f>IF($B320="Portfolio","Portfolio",IFERROR(INDEX(DATA_ASSET_CLASSIFICATION!$C$8:$C$24,MATCH($C320,DATA_ASSET_CLASSIFICATION!$A$8:$A$24,0)),"Review"))</f>
        <v>No</v>
      </c>
      <c r="Q320" s="350" t="str">
        <f t="shared" ca="1" si="9"/>
        <v>OK</v>
      </c>
    </row>
    <row r="321" spans="1:17">
      <c r="A321" s="366" t="s">
        <v>2277</v>
      </c>
      <c r="B321" s="366" t="s">
        <v>231</v>
      </c>
      <c r="C321" s="348" t="str">
        <f>DATA_PROPERTY_MASTER!$A$5</f>
        <v>BLD_AB</v>
      </c>
      <c r="D321" s="380">
        <f>'00_PORTFOLIO ROLLUP'!F$12</f>
        <v>2026</v>
      </c>
      <c r="E321" s="366" t="s">
        <v>1721</v>
      </c>
      <c r="F321" s="366" t="s">
        <v>33</v>
      </c>
      <c r="G321" s="348" t="str">
        <f>"'"&amp;$C321&amp;"'!$E$62:$Y$62"</f>
        <v>'BLD_AB'!$E$62:$Y$62</v>
      </c>
      <c r="H321" s="381">
        <f ca="1">IF(IFERROR(INDEX(DATA_PROPERTY_MASTER!$E$5:$E$21,MATCH($C321,DATA_PROPERTY_MASTER!$A$5:$A$21,0))="Yes",FALSE),IFERROR(INDEX(INDIRECT("'"&amp;$C321&amp;"'!$E$62:$Y$62"),1,MATCH($D321,INDIRECT("'"&amp;$C321&amp;"'!$E$12:$Y$12"),0)),0),0)</f>
        <v>0</v>
      </c>
      <c r="I321" s="366" t="s">
        <v>1685</v>
      </c>
      <c r="J321" s="348" t="str">
        <f t="shared" ca="1" si="8"/>
        <v>OK</v>
      </c>
      <c r="K321" s="366" t="s">
        <v>1727</v>
      </c>
      <c r="L321" s="366" t="s">
        <v>2254</v>
      </c>
      <c r="M321" s="350" t="str">
        <f>IF($B321="Portfolio","Portfolio",IFERROR(INDEX(DATA_ASSET_CLASSIFICATION!$B$8:$B$24,MATCH($C321,DATA_ASSET_CLASSIFICATION!$A$8:$A$24,0)),"Review"))</f>
        <v>Alma Blackwell</v>
      </c>
      <c r="N321" s="350" t="str">
        <f>IF($B321="Portfolio","Portfolio",IFERROR(INDEX(DATA_ASSET_CLASSIFICATION!$U$8:$U$24,MATCH($C321,DATA_ASSET_CLASSIFICATION!$A$8:$A$24,0)),"Review"))</f>
        <v>Excluded</v>
      </c>
      <c r="O321" s="350" t="str">
        <f>IF($B321="Portfolio","Portfolio",IFERROR(INDEX(DATA_ASSET_CLASSIFICATION!$AB$8:$AB$13,MATCH($N321,DATA_ASSET_CLASSIFICATION!$AA$8:$AA$13,0)),"Review"))</f>
        <v>Bucket 0 · Excluded</v>
      </c>
      <c r="P321" s="350" t="str">
        <f>IF($B321="Portfolio","Portfolio",IFERROR(INDEX(DATA_ASSET_CLASSIFICATION!$C$8:$C$24,MATCH($C321,DATA_ASSET_CLASSIFICATION!$A$8:$A$24,0)),"Review"))</f>
        <v>No</v>
      </c>
      <c r="Q321" s="350" t="str">
        <f t="shared" ca="1" si="9"/>
        <v>OK</v>
      </c>
    </row>
    <row r="322" spans="1:17">
      <c r="A322" s="366" t="s">
        <v>2278</v>
      </c>
      <c r="B322" s="366" t="s">
        <v>231</v>
      </c>
      <c r="C322" s="348" t="str">
        <f>DATA_PROPERTY_MASTER!$A$5</f>
        <v>BLD_AB</v>
      </c>
      <c r="D322" s="380">
        <f>'00_PORTFOLIO ROLLUP'!F$12</f>
        <v>2026</v>
      </c>
      <c r="E322" s="366" t="s">
        <v>1721</v>
      </c>
      <c r="F322" s="366" t="s">
        <v>35</v>
      </c>
      <c r="G322" s="348" t="str">
        <f>"'"&amp;$C322&amp;"'!$E$63:$Y$63"</f>
        <v>'BLD_AB'!$E$63:$Y$63</v>
      </c>
      <c r="H322" s="381">
        <f ca="1">IF(IFERROR(INDEX(DATA_PROPERTY_MASTER!$E$5:$E$21,MATCH($C322,DATA_PROPERTY_MASTER!$A$5:$A$21,0))="Yes",FALSE),IFERROR(INDEX(INDIRECT("'"&amp;$C322&amp;"'!$E$63:$Y$63"),1,MATCH($D322,INDIRECT("'"&amp;$C322&amp;"'!$E$12:$Y$12"),0)),0),0)</f>
        <v>0</v>
      </c>
      <c r="I322" s="366" t="s">
        <v>1731</v>
      </c>
      <c r="J322" s="348" t="str">
        <f t="shared" ca="1" si="8"/>
        <v>OK</v>
      </c>
      <c r="K322" s="366" t="s">
        <v>1732</v>
      </c>
      <c r="L322" s="366" t="s">
        <v>2256</v>
      </c>
      <c r="M322" s="350" t="str">
        <f>IF($B322="Portfolio","Portfolio",IFERROR(INDEX(DATA_ASSET_CLASSIFICATION!$B$8:$B$24,MATCH($C322,DATA_ASSET_CLASSIFICATION!$A$8:$A$24,0)),"Review"))</f>
        <v>Alma Blackwell</v>
      </c>
      <c r="N322" s="350" t="str">
        <f>IF($B322="Portfolio","Portfolio",IFERROR(INDEX(DATA_ASSET_CLASSIFICATION!$U$8:$U$24,MATCH($C322,DATA_ASSET_CLASSIFICATION!$A$8:$A$24,0)),"Review"))</f>
        <v>Excluded</v>
      </c>
      <c r="O322" s="350" t="str">
        <f>IF($B322="Portfolio","Portfolio",IFERROR(INDEX(DATA_ASSET_CLASSIFICATION!$AB$8:$AB$13,MATCH($N322,DATA_ASSET_CLASSIFICATION!$AA$8:$AA$13,0)),"Review"))</f>
        <v>Bucket 0 · Excluded</v>
      </c>
      <c r="P322" s="350" t="str">
        <f>IF($B322="Portfolio","Portfolio",IFERROR(INDEX(DATA_ASSET_CLASSIFICATION!$C$8:$C$24,MATCH($C322,DATA_ASSET_CLASSIFICATION!$A$8:$A$24,0)),"Review"))</f>
        <v>No</v>
      </c>
      <c r="Q322" s="350" t="str">
        <f t="shared" ca="1" si="9"/>
        <v>OK</v>
      </c>
    </row>
    <row r="323" spans="1:17">
      <c r="A323" s="366" t="s">
        <v>2279</v>
      </c>
      <c r="B323" s="366" t="s">
        <v>231</v>
      </c>
      <c r="C323" s="348" t="str">
        <f>DATA_PROPERTY_MASTER!$A$5</f>
        <v>BLD_AB</v>
      </c>
      <c r="D323" s="380">
        <f>'00_PORTFOLIO ROLLUP'!F$12</f>
        <v>2026</v>
      </c>
      <c r="E323" s="366" t="s">
        <v>1721</v>
      </c>
      <c r="F323" s="366" t="s">
        <v>37</v>
      </c>
      <c r="G323" s="348" t="str">
        <f>"'"&amp;$C323&amp;"'!$E$63:$Y$63"</f>
        <v>'BLD_AB'!$E$63:$Y$63</v>
      </c>
      <c r="H323" s="381">
        <f ca="1">IF(IFERROR(INDEX(DATA_PROPERTY_MASTER!$E$5:$E$21,MATCH($C323,DATA_PROPERTY_MASTER!$A$5:$A$21,0))="Yes",FALSE),MAX(IFERROR(INDEX(INDIRECT("'"&amp;$C323&amp;"'!$E$63:$Y$63"),1,MATCH($D323,INDIRECT("'"&amp;$C323&amp;"'!$E$12:$Y$12"),0)),0),0),0)</f>
        <v>0</v>
      </c>
      <c r="I323" s="366" t="s">
        <v>1685</v>
      </c>
      <c r="J323" s="348" t="str">
        <f t="shared" ca="1" si="8"/>
        <v>OK</v>
      </c>
      <c r="K323" s="366" t="s">
        <v>1735</v>
      </c>
      <c r="L323" s="366" t="s">
        <v>2258</v>
      </c>
      <c r="M323" s="350" t="str">
        <f>IF($B323="Portfolio","Portfolio",IFERROR(INDEX(DATA_ASSET_CLASSIFICATION!$B$8:$B$24,MATCH($C323,DATA_ASSET_CLASSIFICATION!$A$8:$A$24,0)),"Review"))</f>
        <v>Alma Blackwell</v>
      </c>
      <c r="N323" s="350" t="str">
        <f>IF($B323="Portfolio","Portfolio",IFERROR(INDEX(DATA_ASSET_CLASSIFICATION!$U$8:$U$24,MATCH($C323,DATA_ASSET_CLASSIFICATION!$A$8:$A$24,0)),"Review"))</f>
        <v>Excluded</v>
      </c>
      <c r="O323" s="350" t="str">
        <f>IF($B323="Portfolio","Portfolio",IFERROR(INDEX(DATA_ASSET_CLASSIFICATION!$AB$8:$AB$13,MATCH($N323,DATA_ASSET_CLASSIFICATION!$AA$8:$AA$13,0)),"Review"))</f>
        <v>Bucket 0 · Excluded</v>
      </c>
      <c r="P323" s="350" t="str">
        <f>IF($B323="Portfolio","Portfolio",IFERROR(INDEX(DATA_ASSET_CLASSIFICATION!$C$8:$C$24,MATCH($C323,DATA_ASSET_CLASSIFICATION!$A$8:$A$24,0)),"Review"))</f>
        <v>No</v>
      </c>
      <c r="Q323" s="350" t="str">
        <f t="shared" ca="1" si="9"/>
        <v>OK</v>
      </c>
    </row>
    <row r="324" spans="1:17">
      <c r="A324" s="366" t="s">
        <v>2280</v>
      </c>
      <c r="B324" s="366" t="s">
        <v>231</v>
      </c>
      <c r="C324" s="348" t="str">
        <f>DATA_PROPERTY_MASTER!$A$5</f>
        <v>BLD_AB</v>
      </c>
      <c r="D324" s="380">
        <f>'00_PORTFOLIO ROLLUP'!F$12</f>
        <v>2026</v>
      </c>
      <c r="E324" s="366" t="s">
        <v>1721</v>
      </c>
      <c r="F324" s="366" t="s">
        <v>39</v>
      </c>
      <c r="G324" s="348" t="str">
        <f>"'"&amp;$C324&amp;"'!$E$63:$Y$63"</f>
        <v>'BLD_AB'!$E$63:$Y$63</v>
      </c>
      <c r="H324" s="381">
        <f ca="1">IF(IFERROR(INDEX(DATA_PROPERTY_MASTER!$E$5:$E$21,MATCH($C324,DATA_PROPERTY_MASTER!$A$5:$A$21,0))="Yes",FALSE),MAX(-IFERROR(INDEX(INDIRECT("'"&amp;$C324&amp;"'!$E$63:$Y$63"),1,MATCH($D324,INDIRECT("'"&amp;$C324&amp;"'!$E$12:$Y$12"),0)),0),0),0)</f>
        <v>0</v>
      </c>
      <c r="I324" s="366" t="s">
        <v>1690</v>
      </c>
      <c r="J324" s="348" t="str">
        <f t="shared" ca="1" si="8"/>
        <v>OK</v>
      </c>
      <c r="K324" s="366" t="s">
        <v>1738</v>
      </c>
      <c r="L324" s="366" t="s">
        <v>2260</v>
      </c>
      <c r="M324" s="350" t="str">
        <f>IF($B324="Portfolio","Portfolio",IFERROR(INDEX(DATA_ASSET_CLASSIFICATION!$B$8:$B$24,MATCH($C324,DATA_ASSET_CLASSIFICATION!$A$8:$A$24,0)),"Review"))</f>
        <v>Alma Blackwell</v>
      </c>
      <c r="N324" s="350" t="str">
        <f>IF($B324="Portfolio","Portfolio",IFERROR(INDEX(DATA_ASSET_CLASSIFICATION!$U$8:$U$24,MATCH($C324,DATA_ASSET_CLASSIFICATION!$A$8:$A$24,0)),"Review"))</f>
        <v>Excluded</v>
      </c>
      <c r="O324" s="350" t="str">
        <f>IF($B324="Portfolio","Portfolio",IFERROR(INDEX(DATA_ASSET_CLASSIFICATION!$AB$8:$AB$13,MATCH($N324,DATA_ASSET_CLASSIFICATION!$AA$8:$AA$13,0)),"Review"))</f>
        <v>Bucket 0 · Excluded</v>
      </c>
      <c r="P324" s="350" t="str">
        <f>IF($B324="Portfolio","Portfolio",IFERROR(INDEX(DATA_ASSET_CLASSIFICATION!$C$8:$C$24,MATCH($C324,DATA_ASSET_CLASSIFICATION!$A$8:$A$24,0)),"Review"))</f>
        <v>No</v>
      </c>
      <c r="Q324" s="350" t="str">
        <f t="shared" ca="1" si="9"/>
        <v>OK</v>
      </c>
    </row>
    <row r="325" spans="1:17">
      <c r="A325" s="366" t="s">
        <v>2281</v>
      </c>
      <c r="B325" s="366" t="s">
        <v>231</v>
      </c>
      <c r="C325" s="348" t="str">
        <f>DATA_PROPERTY_MASTER!$A$5</f>
        <v>BLD_AB</v>
      </c>
      <c r="D325" s="380">
        <f>'00_PORTFOLIO ROLLUP'!F$12</f>
        <v>2026</v>
      </c>
      <c r="E325" s="366" t="s">
        <v>1741</v>
      </c>
      <c r="F325" s="366" t="s">
        <v>41</v>
      </c>
      <c r="G325" s="348" t="str">
        <f>"'"&amp;$C325&amp;"'!rows 56 + positive row 63"</f>
        <v>'BLD_AB'!rows 56 + positive row 63</v>
      </c>
      <c r="H325" s="381">
        <f ca="1">IF(IFERROR(INDEX(DATA_PROPERTY_MASTER!$E$5:$E$21,MATCH($C325,DATA_PROPERTY_MASTER!$A$5:$A$21,0))="Yes",FALSE),IFERROR(INDEX(INDIRECT("'"&amp;$C325&amp;"'!$E$56:$Y$56"),1,MATCH($D325,INDIRECT("'"&amp;$C325&amp;"'!$E$12:$Y$12"),0)),0)+MAX(IFERROR(INDEX(INDIRECT("'"&amp;$C325&amp;"'!$E$63:$Y$63"),1,MATCH($D325,INDIRECT("'"&amp;$C325&amp;"'!$E$12:$Y$12"),0)),0),0),0)</f>
        <v>0</v>
      </c>
      <c r="I325" s="366" t="s">
        <v>1685</v>
      </c>
      <c r="J325" s="348" t="str">
        <f t="shared" ref="J325:J388" ca="1" si="10">IF($F325="Residual Funding Gap",IF($H325&gt;0,"Funding Gap","OK"),IF(AND($F325="Net Refinance Position",$H325&lt;0),"Negative net refi position","OK"))</f>
        <v>OK</v>
      </c>
      <c r="K325" s="366" t="s">
        <v>1742</v>
      </c>
      <c r="L325" s="366" t="s">
        <v>2262</v>
      </c>
      <c r="M325" s="350" t="str">
        <f>IF($B325="Portfolio","Portfolio",IFERROR(INDEX(DATA_ASSET_CLASSIFICATION!$B$8:$B$24,MATCH($C325,DATA_ASSET_CLASSIFICATION!$A$8:$A$24,0)),"Review"))</f>
        <v>Alma Blackwell</v>
      </c>
      <c r="N325" s="350" t="str">
        <f>IF($B325="Portfolio","Portfolio",IFERROR(INDEX(DATA_ASSET_CLASSIFICATION!$U$8:$U$24,MATCH($C325,DATA_ASSET_CLASSIFICATION!$A$8:$A$24,0)),"Review"))</f>
        <v>Excluded</v>
      </c>
      <c r="O325" s="350" t="str">
        <f>IF($B325="Portfolio","Portfolio",IFERROR(INDEX(DATA_ASSET_CLASSIFICATION!$AB$8:$AB$13,MATCH($N325,DATA_ASSET_CLASSIFICATION!$AA$8:$AA$13,0)),"Review"))</f>
        <v>Bucket 0 · Excluded</v>
      </c>
      <c r="P325" s="350" t="str">
        <f>IF($B325="Portfolio","Portfolio",IFERROR(INDEX(DATA_ASSET_CLASSIFICATION!$C$8:$C$24,MATCH($C325,DATA_ASSET_CLASSIFICATION!$A$8:$A$24,0)),"Review"))</f>
        <v>No</v>
      </c>
      <c r="Q325" s="350" t="str">
        <f t="shared" ref="Q325:Q388" ca="1" si="11">IF(AND($B325="Property",$F325="Residual Funding Gap",$H325&gt;0),"Property Funding Gap",IF($J325&lt;&gt;"OK",$J325,"OK"))</f>
        <v>OK</v>
      </c>
    </row>
    <row r="326" spans="1:17">
      <c r="A326" s="366" t="s">
        <v>2282</v>
      </c>
      <c r="B326" s="366" t="s">
        <v>231</v>
      </c>
      <c r="C326" s="348" t="str">
        <f>DATA_PROPERTY_MASTER!$A$5</f>
        <v>BLD_AB</v>
      </c>
      <c r="D326" s="380">
        <f>'00_PORTFOLIO ROLLUP'!F$12</f>
        <v>2026</v>
      </c>
      <c r="E326" s="366" t="s">
        <v>1741</v>
      </c>
      <c r="F326" s="366" t="s">
        <v>43</v>
      </c>
      <c r="G326" s="348" t="str">
        <f>"'"&amp;$C326&amp;"'!$E$68:$Y$68"</f>
        <v>'BLD_AB'!$E$68:$Y$68</v>
      </c>
      <c r="H326" s="381">
        <f ca="1">IF(IFERROR(INDEX(DATA_PROPERTY_MASTER!$E$5:$E$21,MATCH($C326,DATA_PROPERTY_MASTER!$A$5:$A$21,0))="Yes",FALSE),IFERROR(INDEX(INDIRECT("'"&amp;$C326&amp;"'!$E$68:$Y$68"),1,MATCH($D326,INDIRECT("'"&amp;$C326&amp;"'!$E$12:$Y$12"),0)),0),0)</f>
        <v>0</v>
      </c>
      <c r="I326" s="366" t="s">
        <v>1731</v>
      </c>
      <c r="J326" s="348" t="str">
        <f t="shared" ca="1" si="10"/>
        <v>OK</v>
      </c>
      <c r="K326" s="366" t="s">
        <v>1746</v>
      </c>
      <c r="L326" s="366" t="s">
        <v>2264</v>
      </c>
      <c r="M326" s="350" t="str">
        <f>IF($B326="Portfolio","Portfolio",IFERROR(INDEX(DATA_ASSET_CLASSIFICATION!$B$8:$B$24,MATCH($C326,DATA_ASSET_CLASSIFICATION!$A$8:$A$24,0)),"Review"))</f>
        <v>Alma Blackwell</v>
      </c>
      <c r="N326" s="350" t="str">
        <f>IF($B326="Portfolio","Portfolio",IFERROR(INDEX(DATA_ASSET_CLASSIFICATION!$U$8:$U$24,MATCH($C326,DATA_ASSET_CLASSIFICATION!$A$8:$A$24,0)),"Review"))</f>
        <v>Excluded</v>
      </c>
      <c r="O326" s="350" t="str">
        <f>IF($B326="Portfolio","Portfolio",IFERROR(INDEX(DATA_ASSET_CLASSIFICATION!$AB$8:$AB$13,MATCH($N326,DATA_ASSET_CLASSIFICATION!$AA$8:$AA$13,0)),"Review"))</f>
        <v>Bucket 0 · Excluded</v>
      </c>
      <c r="P326" s="350" t="str">
        <f>IF($B326="Portfolio","Portfolio",IFERROR(INDEX(DATA_ASSET_CLASSIFICATION!$C$8:$C$24,MATCH($C326,DATA_ASSET_CLASSIFICATION!$A$8:$A$24,0)),"Review"))</f>
        <v>No</v>
      </c>
      <c r="Q326" s="350" t="str">
        <f t="shared" ca="1" si="11"/>
        <v>OK</v>
      </c>
    </row>
    <row r="327" spans="1:17">
      <c r="A327" s="366" t="s">
        <v>2283</v>
      </c>
      <c r="B327" s="366" t="s">
        <v>231</v>
      </c>
      <c r="C327" s="348" t="str">
        <f>DATA_PROPERTY_MASTER!$A$5</f>
        <v>BLD_AB</v>
      </c>
      <c r="D327" s="380">
        <f>'00_PORTFOLIO ROLLUP'!F$12</f>
        <v>2026</v>
      </c>
      <c r="E327" s="366" t="s">
        <v>1741</v>
      </c>
      <c r="F327" s="366" t="s">
        <v>1749</v>
      </c>
      <c r="G327" s="348" t="str">
        <f>"'"&amp;$C327&amp;"'!rows 56, 63, 68"</f>
        <v>'BLD_AB'!rows 56, 63, 68</v>
      </c>
      <c r="H327" s="381">
        <f ca="1">IF(IFERROR(INDEX(DATA_PROPERTY_MASTER!$E$5:$E$21,MATCH($C327,DATA_PROPERTY_MASTER!$A$5:$A$21,0))="Yes",FALSE),(IFERROR(INDEX(INDIRECT("'"&amp;$C327&amp;"'!$E$56:$Y$56"),1,MATCH($D327,INDIRECT("'"&amp;$C327&amp;"'!$E$12:$Y$12"),0)),0)+MAX(IFERROR(INDEX(INDIRECT("'"&amp;$C327&amp;"'!$E$63:$Y$63"),1,MATCH($D327,INDIRECT("'"&amp;$C327&amp;"'!$E$12:$Y$12"),0)),0),0))-(IFERROR(INDEX(INDIRECT("'"&amp;$C327&amp;"'!$E$68:$Y$68"),1,MATCH($D327,INDIRECT("'"&amp;$C327&amp;"'!$E$12:$Y$12"),0)),0)),0)</f>
        <v>0</v>
      </c>
      <c r="I327" s="366" t="s">
        <v>1750</v>
      </c>
      <c r="J327" s="348" t="str">
        <f t="shared" ca="1" si="10"/>
        <v>OK</v>
      </c>
      <c r="K327" s="366" t="s">
        <v>1751</v>
      </c>
      <c r="L327" s="366" t="s">
        <v>2266</v>
      </c>
      <c r="M327" s="350" t="str">
        <f>IF($B327="Portfolio","Portfolio",IFERROR(INDEX(DATA_ASSET_CLASSIFICATION!$B$8:$B$24,MATCH($C327,DATA_ASSET_CLASSIFICATION!$A$8:$A$24,0)),"Review"))</f>
        <v>Alma Blackwell</v>
      </c>
      <c r="N327" s="350" t="str">
        <f>IF($B327="Portfolio","Portfolio",IFERROR(INDEX(DATA_ASSET_CLASSIFICATION!$U$8:$U$24,MATCH($C327,DATA_ASSET_CLASSIFICATION!$A$8:$A$24,0)),"Review"))</f>
        <v>Excluded</v>
      </c>
      <c r="O327" s="350" t="str">
        <f>IF($B327="Portfolio","Portfolio",IFERROR(INDEX(DATA_ASSET_CLASSIFICATION!$AB$8:$AB$13,MATCH($N327,DATA_ASSET_CLASSIFICATION!$AA$8:$AA$13,0)),"Review"))</f>
        <v>Bucket 0 · Excluded</v>
      </c>
      <c r="P327" s="350" t="str">
        <f>IF($B327="Portfolio","Portfolio",IFERROR(INDEX(DATA_ASSET_CLASSIFICATION!$C$8:$C$24,MATCH($C327,DATA_ASSET_CLASSIFICATION!$A$8:$A$24,0)),"Review"))</f>
        <v>No</v>
      </c>
      <c r="Q327" s="350" t="str">
        <f t="shared" ca="1" si="11"/>
        <v>OK</v>
      </c>
    </row>
    <row r="328" spans="1:17">
      <c r="A328" s="366" t="s">
        <v>2284</v>
      </c>
      <c r="B328" s="366" t="s">
        <v>231</v>
      </c>
      <c r="C328" s="348" t="str">
        <f>DATA_PROPERTY_MASTER!$A$5</f>
        <v>BLD_AB</v>
      </c>
      <c r="D328" s="380">
        <f>'00_PORTFOLIO ROLLUP'!G$12</f>
        <v>2027</v>
      </c>
      <c r="E328" s="366" t="s">
        <v>1683</v>
      </c>
      <c r="F328" s="366" t="s">
        <v>341</v>
      </c>
      <c r="G328" s="348" t="str">
        <f>"'"&amp;$C328&amp;"'!$E$24:$Y$24"</f>
        <v>'BLD_AB'!$E$24:$Y$24</v>
      </c>
      <c r="H328" s="381">
        <f ca="1">IF(IFERROR(INDEX(DATA_PROPERTY_MASTER!$E$5:$E$21,MATCH($C328,DATA_PROPERTY_MASTER!$A$5:$A$21,0))="Yes",FALSE),IFERROR(INDEX(INDIRECT("'"&amp;$C328&amp;"'!$E$24:$Y$24"),1,MATCH($D328,INDIRECT("'"&amp;$C328&amp;"'!$E$12:$Y$12"),0)),0),0)</f>
        <v>0</v>
      </c>
      <c r="I328" s="366" t="s">
        <v>1685</v>
      </c>
      <c r="J328" s="348" t="str">
        <f t="shared" ca="1" si="10"/>
        <v>OK</v>
      </c>
      <c r="K328" s="366" t="s">
        <v>1686</v>
      </c>
      <c r="L328" s="366" t="s">
        <v>2234</v>
      </c>
      <c r="M328" s="350" t="str">
        <f>IF($B328="Portfolio","Portfolio",IFERROR(INDEX(DATA_ASSET_CLASSIFICATION!$B$8:$B$24,MATCH($C328,DATA_ASSET_CLASSIFICATION!$A$8:$A$24,0)),"Review"))</f>
        <v>Alma Blackwell</v>
      </c>
      <c r="N328" s="350" t="str">
        <f>IF($B328="Portfolio","Portfolio",IFERROR(INDEX(DATA_ASSET_CLASSIFICATION!$U$8:$U$24,MATCH($C328,DATA_ASSET_CLASSIFICATION!$A$8:$A$24,0)),"Review"))</f>
        <v>Excluded</v>
      </c>
      <c r="O328" s="350" t="str">
        <f>IF($B328="Portfolio","Portfolio",IFERROR(INDEX(DATA_ASSET_CLASSIFICATION!$AB$8:$AB$13,MATCH($N328,DATA_ASSET_CLASSIFICATION!$AA$8:$AA$13,0)),"Review"))</f>
        <v>Bucket 0 · Excluded</v>
      </c>
      <c r="P328" s="350" t="str">
        <f>IF($B328="Portfolio","Portfolio",IFERROR(INDEX(DATA_ASSET_CLASSIFICATION!$C$8:$C$24,MATCH($C328,DATA_ASSET_CLASSIFICATION!$A$8:$A$24,0)),"Review"))</f>
        <v>No</v>
      </c>
      <c r="Q328" s="350" t="str">
        <f t="shared" ca="1" si="11"/>
        <v>OK</v>
      </c>
    </row>
    <row r="329" spans="1:17">
      <c r="A329" s="366" t="s">
        <v>2285</v>
      </c>
      <c r="B329" s="366" t="s">
        <v>231</v>
      </c>
      <c r="C329" s="348" t="str">
        <f>DATA_PROPERTY_MASTER!$A$5</f>
        <v>BLD_AB</v>
      </c>
      <c r="D329" s="380">
        <f>'00_PORTFOLIO ROLLUP'!G$12</f>
        <v>2027</v>
      </c>
      <c r="E329" s="366" t="s">
        <v>1683</v>
      </c>
      <c r="F329" s="366" t="s">
        <v>355</v>
      </c>
      <c r="G329" s="348" t="str">
        <f>"'"&amp;$C329&amp;"'!$E$39:$Y$39"</f>
        <v>'BLD_AB'!$E$39:$Y$39</v>
      </c>
      <c r="H329" s="381">
        <f ca="1">IF(IFERROR(INDEX(DATA_PROPERTY_MASTER!$E$5:$E$21,MATCH($C329,DATA_PROPERTY_MASTER!$A$5:$A$21,0))="Yes",FALSE),IFERROR(INDEX(INDIRECT("'"&amp;$C329&amp;"'!$E$39:$Y$39"),1,MATCH($D329,INDIRECT("'"&amp;$C329&amp;"'!$E$12:$Y$12"),0)),0),0)</f>
        <v>0</v>
      </c>
      <c r="I329" s="366" t="s">
        <v>1690</v>
      </c>
      <c r="J329" s="348" t="str">
        <f t="shared" ca="1" si="10"/>
        <v>OK</v>
      </c>
      <c r="K329" s="366" t="s">
        <v>1686</v>
      </c>
      <c r="L329" s="366" t="s">
        <v>2236</v>
      </c>
      <c r="M329" s="350" t="str">
        <f>IF($B329="Portfolio","Portfolio",IFERROR(INDEX(DATA_ASSET_CLASSIFICATION!$B$8:$B$24,MATCH($C329,DATA_ASSET_CLASSIFICATION!$A$8:$A$24,0)),"Review"))</f>
        <v>Alma Blackwell</v>
      </c>
      <c r="N329" s="350" t="str">
        <f>IF($B329="Portfolio","Portfolio",IFERROR(INDEX(DATA_ASSET_CLASSIFICATION!$U$8:$U$24,MATCH($C329,DATA_ASSET_CLASSIFICATION!$A$8:$A$24,0)),"Review"))</f>
        <v>Excluded</v>
      </c>
      <c r="O329" s="350" t="str">
        <f>IF($B329="Portfolio","Portfolio",IFERROR(INDEX(DATA_ASSET_CLASSIFICATION!$AB$8:$AB$13,MATCH($N329,DATA_ASSET_CLASSIFICATION!$AA$8:$AA$13,0)),"Review"))</f>
        <v>Bucket 0 · Excluded</v>
      </c>
      <c r="P329" s="350" t="str">
        <f>IF($B329="Portfolio","Portfolio",IFERROR(INDEX(DATA_ASSET_CLASSIFICATION!$C$8:$C$24,MATCH($C329,DATA_ASSET_CLASSIFICATION!$A$8:$A$24,0)),"Review"))</f>
        <v>No</v>
      </c>
      <c r="Q329" s="350" t="str">
        <f t="shared" ca="1" si="11"/>
        <v>OK</v>
      </c>
    </row>
    <row r="330" spans="1:17">
      <c r="A330" s="366" t="s">
        <v>2286</v>
      </c>
      <c r="B330" s="366" t="s">
        <v>231</v>
      </c>
      <c r="C330" s="348" t="str">
        <f>DATA_PROPERTY_MASTER!$A$5</f>
        <v>BLD_AB</v>
      </c>
      <c r="D330" s="380">
        <f>'00_PORTFOLIO ROLLUP'!G$12</f>
        <v>2027</v>
      </c>
      <c r="E330" s="366" t="s">
        <v>1683</v>
      </c>
      <c r="F330" s="366" t="s">
        <v>19</v>
      </c>
      <c r="G330" s="348" t="str">
        <f>"'"&amp;$C330&amp;"'!$E$41:$Y$41"</f>
        <v>'BLD_AB'!$E$41:$Y$41</v>
      </c>
      <c r="H330" s="381">
        <f ca="1">IF(IFERROR(INDEX(DATA_PROPERTY_MASTER!$E$5:$E$21,MATCH($C330,DATA_PROPERTY_MASTER!$A$5:$A$21,0))="Yes",FALSE),IFERROR(INDEX(INDIRECT("'"&amp;$C330&amp;"'!$E$41:$Y$41"),1,MATCH($D330,INDIRECT("'"&amp;$C330&amp;"'!$E$12:$Y$12"),0)),0),0)</f>
        <v>0</v>
      </c>
      <c r="I330" s="366" t="s">
        <v>1685</v>
      </c>
      <c r="J330" s="348" t="str">
        <f t="shared" ca="1" si="10"/>
        <v>OK</v>
      </c>
      <c r="K330" s="366" t="s">
        <v>1694</v>
      </c>
      <c r="L330" s="366" t="s">
        <v>2238</v>
      </c>
      <c r="M330" s="350" t="str">
        <f>IF($B330="Portfolio","Portfolio",IFERROR(INDEX(DATA_ASSET_CLASSIFICATION!$B$8:$B$24,MATCH($C330,DATA_ASSET_CLASSIFICATION!$A$8:$A$24,0)),"Review"))</f>
        <v>Alma Blackwell</v>
      </c>
      <c r="N330" s="350" t="str">
        <f>IF($B330="Portfolio","Portfolio",IFERROR(INDEX(DATA_ASSET_CLASSIFICATION!$U$8:$U$24,MATCH($C330,DATA_ASSET_CLASSIFICATION!$A$8:$A$24,0)),"Review"))</f>
        <v>Excluded</v>
      </c>
      <c r="O330" s="350" t="str">
        <f>IF($B330="Portfolio","Portfolio",IFERROR(INDEX(DATA_ASSET_CLASSIFICATION!$AB$8:$AB$13,MATCH($N330,DATA_ASSET_CLASSIFICATION!$AA$8:$AA$13,0)),"Review"))</f>
        <v>Bucket 0 · Excluded</v>
      </c>
      <c r="P330" s="350" t="str">
        <f>IF($B330="Portfolio","Portfolio",IFERROR(INDEX(DATA_ASSET_CLASSIFICATION!$C$8:$C$24,MATCH($C330,DATA_ASSET_CLASSIFICATION!$A$8:$A$24,0)),"Review"))</f>
        <v>No</v>
      </c>
      <c r="Q330" s="350" t="str">
        <f t="shared" ca="1" si="11"/>
        <v>OK</v>
      </c>
    </row>
    <row r="331" spans="1:17">
      <c r="A331" s="366" t="s">
        <v>2287</v>
      </c>
      <c r="B331" s="366" t="s">
        <v>231</v>
      </c>
      <c r="C331" s="348" t="str">
        <f>DATA_PROPERTY_MASTER!$A$5</f>
        <v>BLD_AB</v>
      </c>
      <c r="D331" s="380">
        <f>'00_PORTFOLIO ROLLUP'!G$12</f>
        <v>2027</v>
      </c>
      <c r="E331" s="366" t="s">
        <v>1683</v>
      </c>
      <c r="F331" s="366" t="s">
        <v>1697</v>
      </c>
      <c r="G331" s="348" t="str">
        <f>"'"&amp;$C331&amp;"'!$E$44:$Y$44"</f>
        <v>'BLD_AB'!$E$44:$Y$44</v>
      </c>
      <c r="H331" s="381">
        <f ca="1">IF(IFERROR(INDEX(DATA_PROPERTY_MASTER!$E$5:$E$21,MATCH($C331,DATA_PROPERTY_MASTER!$A$5:$A$21,0))="Yes",FALSE),IFERROR(INDEX(INDIRECT("'"&amp;$C331&amp;"'!$E$44:$Y$44"),1,MATCH($D331,INDIRECT("'"&amp;$C331&amp;"'!$E$12:$Y$12"),0)),0),0)</f>
        <v>0</v>
      </c>
      <c r="I331" s="366" t="s">
        <v>1690</v>
      </c>
      <c r="J331" s="348" t="str">
        <f t="shared" ca="1" si="10"/>
        <v>OK</v>
      </c>
      <c r="K331" s="366" t="s">
        <v>1699</v>
      </c>
      <c r="L331" s="366" t="s">
        <v>2240</v>
      </c>
      <c r="M331" s="350" t="str">
        <f>IF($B331="Portfolio","Portfolio",IFERROR(INDEX(DATA_ASSET_CLASSIFICATION!$B$8:$B$24,MATCH($C331,DATA_ASSET_CLASSIFICATION!$A$8:$A$24,0)),"Review"))</f>
        <v>Alma Blackwell</v>
      </c>
      <c r="N331" s="350" t="str">
        <f>IF($B331="Portfolio","Portfolio",IFERROR(INDEX(DATA_ASSET_CLASSIFICATION!$U$8:$U$24,MATCH($C331,DATA_ASSET_CLASSIFICATION!$A$8:$A$24,0)),"Review"))</f>
        <v>Excluded</v>
      </c>
      <c r="O331" s="350" t="str">
        <f>IF($B331="Portfolio","Portfolio",IFERROR(INDEX(DATA_ASSET_CLASSIFICATION!$AB$8:$AB$13,MATCH($N331,DATA_ASSET_CLASSIFICATION!$AA$8:$AA$13,0)),"Review"))</f>
        <v>Bucket 0 · Excluded</v>
      </c>
      <c r="P331" s="350" t="str">
        <f>IF($B331="Portfolio","Portfolio",IFERROR(INDEX(DATA_ASSET_CLASSIFICATION!$C$8:$C$24,MATCH($C331,DATA_ASSET_CLASSIFICATION!$A$8:$A$24,0)),"Review"))</f>
        <v>No</v>
      </c>
      <c r="Q331" s="350" t="str">
        <f t="shared" ca="1" si="11"/>
        <v>OK</v>
      </c>
    </row>
    <row r="332" spans="1:17">
      <c r="A332" s="366" t="s">
        <v>2288</v>
      </c>
      <c r="B332" s="366" t="s">
        <v>231</v>
      </c>
      <c r="C332" s="348" t="str">
        <f>DATA_PROPERTY_MASTER!$A$5</f>
        <v>BLD_AB</v>
      </c>
      <c r="D332" s="380">
        <f>'00_PORTFOLIO ROLLUP'!G$12</f>
        <v>2027</v>
      </c>
      <c r="E332" s="366" t="s">
        <v>1683</v>
      </c>
      <c r="F332" s="366" t="s">
        <v>21</v>
      </c>
      <c r="G332" s="348" t="str">
        <f>"'"&amp;$C332&amp;"'!$E$45:$Y$45"</f>
        <v>'BLD_AB'!$E$45:$Y$45</v>
      </c>
      <c r="H332" s="381">
        <f ca="1">IF(IFERROR(INDEX(DATA_PROPERTY_MASTER!$E$5:$E$21,MATCH($C332,DATA_PROPERTY_MASTER!$A$5:$A$21,0))="Yes",FALSE),IFERROR(INDEX(INDIRECT("'"&amp;$C332&amp;"'!$E$45:$Y$45"),1,MATCH($D332,INDIRECT("'"&amp;$C332&amp;"'!$E$12:$Y$12"),0)),0),0)</f>
        <v>0</v>
      </c>
      <c r="I332" s="366" t="s">
        <v>1685</v>
      </c>
      <c r="J332" s="348" t="str">
        <f t="shared" ca="1" si="10"/>
        <v>OK</v>
      </c>
      <c r="K332" s="366" t="s">
        <v>1694</v>
      </c>
      <c r="L332" s="366" t="s">
        <v>2242</v>
      </c>
      <c r="M332" s="350" t="str">
        <f>IF($B332="Portfolio","Portfolio",IFERROR(INDEX(DATA_ASSET_CLASSIFICATION!$B$8:$B$24,MATCH($C332,DATA_ASSET_CLASSIFICATION!$A$8:$A$24,0)),"Review"))</f>
        <v>Alma Blackwell</v>
      </c>
      <c r="N332" s="350" t="str">
        <f>IF($B332="Portfolio","Portfolio",IFERROR(INDEX(DATA_ASSET_CLASSIFICATION!$U$8:$U$24,MATCH($C332,DATA_ASSET_CLASSIFICATION!$A$8:$A$24,0)),"Review"))</f>
        <v>Excluded</v>
      </c>
      <c r="O332" s="350" t="str">
        <f>IF($B332="Portfolio","Portfolio",IFERROR(INDEX(DATA_ASSET_CLASSIFICATION!$AB$8:$AB$13,MATCH($N332,DATA_ASSET_CLASSIFICATION!$AA$8:$AA$13,0)),"Review"))</f>
        <v>Bucket 0 · Excluded</v>
      </c>
      <c r="P332" s="350" t="str">
        <f>IF($B332="Portfolio","Portfolio",IFERROR(INDEX(DATA_ASSET_CLASSIFICATION!$C$8:$C$24,MATCH($C332,DATA_ASSET_CLASSIFICATION!$A$8:$A$24,0)),"Review"))</f>
        <v>No</v>
      </c>
      <c r="Q332" s="350" t="str">
        <f t="shared" ca="1" si="11"/>
        <v>OK</v>
      </c>
    </row>
    <row r="333" spans="1:17">
      <c r="A333" s="366" t="s">
        <v>2289</v>
      </c>
      <c r="B333" s="366" t="s">
        <v>231</v>
      </c>
      <c r="C333" s="348" t="str">
        <f>DATA_PROPERTY_MASTER!$A$5</f>
        <v>BLD_AB</v>
      </c>
      <c r="D333" s="380">
        <f>'00_PORTFOLIO ROLLUP'!G$12</f>
        <v>2027</v>
      </c>
      <c r="E333" s="366" t="s">
        <v>23</v>
      </c>
      <c r="F333" s="366" t="s">
        <v>23</v>
      </c>
      <c r="G333" s="348" t="str">
        <f>"'"&amp;$C333&amp;"'!$E$48:$Y$48"</f>
        <v>'BLD_AB'!$E$48:$Y$48</v>
      </c>
      <c r="H333" s="381">
        <f ca="1">IF(IFERROR(INDEX(DATA_PROPERTY_MASTER!$E$5:$E$21,MATCH($C333,DATA_PROPERTY_MASTER!$A$5:$A$21,0))="Yes",FALSE),IFERROR(INDEX(INDIRECT("'"&amp;$C333&amp;"'!$E$48:$Y$48"),1,MATCH($D333,INDIRECT("'"&amp;$C333&amp;"'!$E$12:$Y$12"),0)),0),0)</f>
        <v>0</v>
      </c>
      <c r="I333" s="366" t="s">
        <v>1690</v>
      </c>
      <c r="J333" s="348" t="str">
        <f t="shared" ca="1" si="10"/>
        <v>OK</v>
      </c>
      <c r="K333" s="366" t="s">
        <v>1706</v>
      </c>
      <c r="L333" s="366" t="s">
        <v>2244</v>
      </c>
      <c r="M333" s="350" t="str">
        <f>IF($B333="Portfolio","Portfolio",IFERROR(INDEX(DATA_ASSET_CLASSIFICATION!$B$8:$B$24,MATCH($C333,DATA_ASSET_CLASSIFICATION!$A$8:$A$24,0)),"Review"))</f>
        <v>Alma Blackwell</v>
      </c>
      <c r="N333" s="350" t="str">
        <f>IF($B333="Portfolio","Portfolio",IFERROR(INDEX(DATA_ASSET_CLASSIFICATION!$U$8:$U$24,MATCH($C333,DATA_ASSET_CLASSIFICATION!$A$8:$A$24,0)),"Review"))</f>
        <v>Excluded</v>
      </c>
      <c r="O333" s="350" t="str">
        <f>IF($B333="Portfolio","Portfolio",IFERROR(INDEX(DATA_ASSET_CLASSIFICATION!$AB$8:$AB$13,MATCH($N333,DATA_ASSET_CLASSIFICATION!$AA$8:$AA$13,0)),"Review"))</f>
        <v>Bucket 0 · Excluded</v>
      </c>
      <c r="P333" s="350" t="str">
        <f>IF($B333="Portfolio","Portfolio",IFERROR(INDEX(DATA_ASSET_CLASSIFICATION!$C$8:$C$24,MATCH($C333,DATA_ASSET_CLASSIFICATION!$A$8:$A$24,0)),"Review"))</f>
        <v>No</v>
      </c>
      <c r="Q333" s="350" t="str">
        <f t="shared" ca="1" si="11"/>
        <v>OK</v>
      </c>
    </row>
    <row r="334" spans="1:17">
      <c r="A334" s="366" t="s">
        <v>2290</v>
      </c>
      <c r="B334" s="366" t="s">
        <v>231</v>
      </c>
      <c r="C334" s="348" t="str">
        <f>DATA_PROPERTY_MASTER!$A$5</f>
        <v>BLD_AB</v>
      </c>
      <c r="D334" s="380">
        <f>'00_PORTFOLIO ROLLUP'!G$12</f>
        <v>2027</v>
      </c>
      <c r="E334" s="366" t="s">
        <v>1683</v>
      </c>
      <c r="F334" s="366" t="s">
        <v>25</v>
      </c>
      <c r="G334" s="348" t="str">
        <f>"'"&amp;$C334&amp;"'!$E$52:$Y$52"</f>
        <v>'BLD_AB'!$E$52:$Y$52</v>
      </c>
      <c r="H334" s="381">
        <f ca="1">IF(IFERROR(INDEX(DATA_PROPERTY_MASTER!$E$5:$E$21,MATCH($C334,DATA_PROPERTY_MASTER!$A$5:$A$21,0))="Yes",FALSE),IFERROR(INDEX(INDIRECT("'"&amp;$C334&amp;"'!$E$52:$Y$52"),1,MATCH($D334,INDIRECT("'"&amp;$C334&amp;"'!$E$12:$Y$12"),0)),0),0)</f>
        <v>0</v>
      </c>
      <c r="I334" s="366" t="s">
        <v>1685</v>
      </c>
      <c r="J334" s="348" t="str">
        <f t="shared" ca="1" si="10"/>
        <v>OK</v>
      </c>
      <c r="K334" s="366" t="s">
        <v>1710</v>
      </c>
      <c r="L334" s="366" t="s">
        <v>2246</v>
      </c>
      <c r="M334" s="350" t="str">
        <f>IF($B334="Portfolio","Portfolio",IFERROR(INDEX(DATA_ASSET_CLASSIFICATION!$B$8:$B$24,MATCH($C334,DATA_ASSET_CLASSIFICATION!$A$8:$A$24,0)),"Review"))</f>
        <v>Alma Blackwell</v>
      </c>
      <c r="N334" s="350" t="str">
        <f>IF($B334="Portfolio","Portfolio",IFERROR(INDEX(DATA_ASSET_CLASSIFICATION!$U$8:$U$24,MATCH($C334,DATA_ASSET_CLASSIFICATION!$A$8:$A$24,0)),"Review"))</f>
        <v>Excluded</v>
      </c>
      <c r="O334" s="350" t="str">
        <f>IF($B334="Portfolio","Portfolio",IFERROR(INDEX(DATA_ASSET_CLASSIFICATION!$AB$8:$AB$13,MATCH($N334,DATA_ASSET_CLASSIFICATION!$AA$8:$AA$13,0)),"Review"))</f>
        <v>Bucket 0 · Excluded</v>
      </c>
      <c r="P334" s="350" t="str">
        <f>IF($B334="Portfolio","Portfolio",IFERROR(INDEX(DATA_ASSET_CLASSIFICATION!$C$8:$C$24,MATCH($C334,DATA_ASSET_CLASSIFICATION!$A$8:$A$24,0)),"Review"))</f>
        <v>No</v>
      </c>
      <c r="Q334" s="350" t="str">
        <f t="shared" ca="1" si="11"/>
        <v>OK</v>
      </c>
    </row>
    <row r="335" spans="1:17">
      <c r="A335" s="366" t="s">
        <v>2291</v>
      </c>
      <c r="B335" s="366" t="s">
        <v>231</v>
      </c>
      <c r="C335" s="348" t="str">
        <f>DATA_PROPERTY_MASTER!$A$5</f>
        <v>BLD_AB</v>
      </c>
      <c r="D335" s="380">
        <f>'00_PORTFOLIO ROLLUP'!G$12</f>
        <v>2027</v>
      </c>
      <c r="E335" s="366" t="s">
        <v>1683</v>
      </c>
      <c r="F335" s="366" t="s">
        <v>27</v>
      </c>
      <c r="G335" s="348" t="str">
        <f>"'"&amp;$C335&amp;"'!$E$54:$Y$54"</f>
        <v>'BLD_AB'!$E$54:$Y$54</v>
      </c>
      <c r="H335" s="381">
        <f ca="1">IF(IFERROR(INDEX(DATA_PROPERTY_MASTER!$E$5:$E$21,MATCH($C335,DATA_PROPERTY_MASTER!$A$5:$A$21,0))="Yes",FALSE),IFERROR(INDEX(INDIRECT("'"&amp;$C335&amp;"'!$E$54:$Y$54"),1,MATCH($D335,INDIRECT("'"&amp;$C335&amp;"'!$E$12:$Y$12"),0)),0),0)</f>
        <v>0</v>
      </c>
      <c r="I335" s="366" t="s">
        <v>1690</v>
      </c>
      <c r="J335" s="348" t="str">
        <f t="shared" ca="1" si="10"/>
        <v>OK</v>
      </c>
      <c r="K335" s="366" t="s">
        <v>1714</v>
      </c>
      <c r="L335" s="366" t="s">
        <v>2248</v>
      </c>
      <c r="M335" s="350" t="str">
        <f>IF($B335="Portfolio","Portfolio",IFERROR(INDEX(DATA_ASSET_CLASSIFICATION!$B$8:$B$24,MATCH($C335,DATA_ASSET_CLASSIFICATION!$A$8:$A$24,0)),"Review"))</f>
        <v>Alma Blackwell</v>
      </c>
      <c r="N335" s="350" t="str">
        <f>IF($B335="Portfolio","Portfolio",IFERROR(INDEX(DATA_ASSET_CLASSIFICATION!$U$8:$U$24,MATCH($C335,DATA_ASSET_CLASSIFICATION!$A$8:$A$24,0)),"Review"))</f>
        <v>Excluded</v>
      </c>
      <c r="O335" s="350" t="str">
        <f>IF($B335="Portfolio","Portfolio",IFERROR(INDEX(DATA_ASSET_CLASSIFICATION!$AB$8:$AB$13,MATCH($N335,DATA_ASSET_CLASSIFICATION!$AA$8:$AA$13,0)),"Review"))</f>
        <v>Bucket 0 · Excluded</v>
      </c>
      <c r="P335" s="350" t="str">
        <f>IF($B335="Portfolio","Portfolio",IFERROR(INDEX(DATA_ASSET_CLASSIFICATION!$C$8:$C$24,MATCH($C335,DATA_ASSET_CLASSIFICATION!$A$8:$A$24,0)),"Review"))</f>
        <v>No</v>
      </c>
      <c r="Q335" s="350" t="str">
        <f t="shared" ca="1" si="11"/>
        <v>OK</v>
      </c>
    </row>
    <row r="336" spans="1:17">
      <c r="A336" s="366" t="s">
        <v>2292</v>
      </c>
      <c r="B336" s="366" t="s">
        <v>231</v>
      </c>
      <c r="C336" s="348" t="str">
        <f>DATA_PROPERTY_MASTER!$A$5</f>
        <v>BLD_AB</v>
      </c>
      <c r="D336" s="380">
        <f>'00_PORTFOLIO ROLLUP'!G$12</f>
        <v>2027</v>
      </c>
      <c r="E336" s="366" t="s">
        <v>1683</v>
      </c>
      <c r="F336" s="366" t="s">
        <v>29</v>
      </c>
      <c r="G336" s="348" t="str">
        <f>"'"&amp;$C336&amp;"'!$E$56:$Y$56"</f>
        <v>'BLD_AB'!$E$56:$Y$56</v>
      </c>
      <c r="H336" s="381">
        <f ca="1">IF(IFERROR(INDEX(DATA_PROPERTY_MASTER!$E$5:$E$21,MATCH($C336,DATA_PROPERTY_MASTER!$A$5:$A$21,0))="Yes",FALSE),IFERROR(INDEX(INDIRECT("'"&amp;$C336&amp;"'!$E$56:$Y$56"),1,MATCH($D336,INDIRECT("'"&amp;$C336&amp;"'!$E$12:$Y$12"),0)),0),0)</f>
        <v>0</v>
      </c>
      <c r="I336" s="366" t="s">
        <v>1685</v>
      </c>
      <c r="J336" s="348" t="str">
        <f t="shared" ca="1" si="10"/>
        <v>OK</v>
      </c>
      <c r="K336" s="366" t="s">
        <v>1718</v>
      </c>
      <c r="L336" s="366" t="s">
        <v>2250</v>
      </c>
      <c r="M336" s="350" t="str">
        <f>IF($B336="Portfolio","Portfolio",IFERROR(INDEX(DATA_ASSET_CLASSIFICATION!$B$8:$B$24,MATCH($C336,DATA_ASSET_CLASSIFICATION!$A$8:$A$24,0)),"Review"))</f>
        <v>Alma Blackwell</v>
      </c>
      <c r="N336" s="350" t="str">
        <f>IF($B336="Portfolio","Portfolio",IFERROR(INDEX(DATA_ASSET_CLASSIFICATION!$U$8:$U$24,MATCH($C336,DATA_ASSET_CLASSIFICATION!$A$8:$A$24,0)),"Review"))</f>
        <v>Excluded</v>
      </c>
      <c r="O336" s="350" t="str">
        <f>IF($B336="Portfolio","Portfolio",IFERROR(INDEX(DATA_ASSET_CLASSIFICATION!$AB$8:$AB$13,MATCH($N336,DATA_ASSET_CLASSIFICATION!$AA$8:$AA$13,0)),"Review"))</f>
        <v>Bucket 0 · Excluded</v>
      </c>
      <c r="P336" s="350" t="str">
        <f>IF($B336="Portfolio","Portfolio",IFERROR(INDEX(DATA_ASSET_CLASSIFICATION!$C$8:$C$24,MATCH($C336,DATA_ASSET_CLASSIFICATION!$A$8:$A$24,0)),"Review"))</f>
        <v>No</v>
      </c>
      <c r="Q336" s="350" t="str">
        <f t="shared" ca="1" si="11"/>
        <v>OK</v>
      </c>
    </row>
    <row r="337" spans="1:17">
      <c r="A337" s="366" t="s">
        <v>2293</v>
      </c>
      <c r="B337" s="366" t="s">
        <v>231</v>
      </c>
      <c r="C337" s="348" t="str">
        <f>DATA_PROPERTY_MASTER!$A$5</f>
        <v>BLD_AB</v>
      </c>
      <c r="D337" s="380">
        <f>'00_PORTFOLIO ROLLUP'!G$12</f>
        <v>2027</v>
      </c>
      <c r="E337" s="366" t="s">
        <v>1721</v>
      </c>
      <c r="F337" s="366" t="s">
        <v>31</v>
      </c>
      <c r="G337" s="348" t="str">
        <f>"'"&amp;$C337&amp;"'!$E$61:$Y$61"</f>
        <v>'BLD_AB'!$E$61:$Y$61</v>
      </c>
      <c r="H337" s="381">
        <f ca="1">IF(IFERROR(INDEX(DATA_PROPERTY_MASTER!$E$5:$E$21,MATCH($C337,DATA_PROPERTY_MASTER!$A$5:$A$21,0))="Yes",FALSE),IFERROR(INDEX(INDIRECT("'"&amp;$C337&amp;"'!$E$61:$Y$61"),1,MATCH($D337,INDIRECT("'"&amp;$C337&amp;"'!$E$12:$Y$12"),0)),0),0)</f>
        <v>0</v>
      </c>
      <c r="I337" s="366" t="s">
        <v>1690</v>
      </c>
      <c r="J337" s="348" t="str">
        <f t="shared" ca="1" si="10"/>
        <v>OK</v>
      </c>
      <c r="K337" s="366" t="s">
        <v>1723</v>
      </c>
      <c r="L337" s="366" t="s">
        <v>2252</v>
      </c>
      <c r="M337" s="350" t="str">
        <f>IF($B337="Portfolio","Portfolio",IFERROR(INDEX(DATA_ASSET_CLASSIFICATION!$B$8:$B$24,MATCH($C337,DATA_ASSET_CLASSIFICATION!$A$8:$A$24,0)),"Review"))</f>
        <v>Alma Blackwell</v>
      </c>
      <c r="N337" s="350" t="str">
        <f>IF($B337="Portfolio","Portfolio",IFERROR(INDEX(DATA_ASSET_CLASSIFICATION!$U$8:$U$24,MATCH($C337,DATA_ASSET_CLASSIFICATION!$A$8:$A$24,0)),"Review"))</f>
        <v>Excluded</v>
      </c>
      <c r="O337" s="350" t="str">
        <f>IF($B337="Portfolio","Portfolio",IFERROR(INDEX(DATA_ASSET_CLASSIFICATION!$AB$8:$AB$13,MATCH($N337,DATA_ASSET_CLASSIFICATION!$AA$8:$AA$13,0)),"Review"))</f>
        <v>Bucket 0 · Excluded</v>
      </c>
      <c r="P337" s="350" t="str">
        <f>IF($B337="Portfolio","Portfolio",IFERROR(INDEX(DATA_ASSET_CLASSIFICATION!$C$8:$C$24,MATCH($C337,DATA_ASSET_CLASSIFICATION!$A$8:$A$24,0)),"Review"))</f>
        <v>No</v>
      </c>
      <c r="Q337" s="350" t="str">
        <f t="shared" ca="1" si="11"/>
        <v>OK</v>
      </c>
    </row>
    <row r="338" spans="1:17">
      <c r="A338" s="366" t="s">
        <v>2294</v>
      </c>
      <c r="B338" s="366" t="s">
        <v>231</v>
      </c>
      <c r="C338" s="348" t="str">
        <f>DATA_PROPERTY_MASTER!$A$5</f>
        <v>BLD_AB</v>
      </c>
      <c r="D338" s="380">
        <f>'00_PORTFOLIO ROLLUP'!G$12</f>
        <v>2027</v>
      </c>
      <c r="E338" s="366" t="s">
        <v>1721</v>
      </c>
      <c r="F338" s="366" t="s">
        <v>33</v>
      </c>
      <c r="G338" s="348" t="str">
        <f>"'"&amp;$C338&amp;"'!$E$62:$Y$62"</f>
        <v>'BLD_AB'!$E$62:$Y$62</v>
      </c>
      <c r="H338" s="381">
        <f ca="1">IF(IFERROR(INDEX(DATA_PROPERTY_MASTER!$E$5:$E$21,MATCH($C338,DATA_PROPERTY_MASTER!$A$5:$A$21,0))="Yes",FALSE),IFERROR(INDEX(INDIRECT("'"&amp;$C338&amp;"'!$E$62:$Y$62"),1,MATCH($D338,INDIRECT("'"&amp;$C338&amp;"'!$E$12:$Y$12"),0)),0),0)</f>
        <v>0</v>
      </c>
      <c r="I338" s="366" t="s">
        <v>1685</v>
      </c>
      <c r="J338" s="348" t="str">
        <f t="shared" ca="1" si="10"/>
        <v>OK</v>
      </c>
      <c r="K338" s="366" t="s">
        <v>1727</v>
      </c>
      <c r="L338" s="366" t="s">
        <v>2254</v>
      </c>
      <c r="M338" s="350" t="str">
        <f>IF($B338="Portfolio","Portfolio",IFERROR(INDEX(DATA_ASSET_CLASSIFICATION!$B$8:$B$24,MATCH($C338,DATA_ASSET_CLASSIFICATION!$A$8:$A$24,0)),"Review"))</f>
        <v>Alma Blackwell</v>
      </c>
      <c r="N338" s="350" t="str">
        <f>IF($B338="Portfolio","Portfolio",IFERROR(INDEX(DATA_ASSET_CLASSIFICATION!$U$8:$U$24,MATCH($C338,DATA_ASSET_CLASSIFICATION!$A$8:$A$24,0)),"Review"))</f>
        <v>Excluded</v>
      </c>
      <c r="O338" s="350" t="str">
        <f>IF($B338="Portfolio","Portfolio",IFERROR(INDEX(DATA_ASSET_CLASSIFICATION!$AB$8:$AB$13,MATCH($N338,DATA_ASSET_CLASSIFICATION!$AA$8:$AA$13,0)),"Review"))</f>
        <v>Bucket 0 · Excluded</v>
      </c>
      <c r="P338" s="350" t="str">
        <f>IF($B338="Portfolio","Portfolio",IFERROR(INDEX(DATA_ASSET_CLASSIFICATION!$C$8:$C$24,MATCH($C338,DATA_ASSET_CLASSIFICATION!$A$8:$A$24,0)),"Review"))</f>
        <v>No</v>
      </c>
      <c r="Q338" s="350" t="str">
        <f t="shared" ca="1" si="11"/>
        <v>OK</v>
      </c>
    </row>
    <row r="339" spans="1:17">
      <c r="A339" s="366" t="s">
        <v>2295</v>
      </c>
      <c r="B339" s="366" t="s">
        <v>231</v>
      </c>
      <c r="C339" s="348" t="str">
        <f>DATA_PROPERTY_MASTER!$A$5</f>
        <v>BLD_AB</v>
      </c>
      <c r="D339" s="380">
        <f>'00_PORTFOLIO ROLLUP'!G$12</f>
        <v>2027</v>
      </c>
      <c r="E339" s="366" t="s">
        <v>1721</v>
      </c>
      <c r="F339" s="366" t="s">
        <v>35</v>
      </c>
      <c r="G339" s="348" t="str">
        <f>"'"&amp;$C339&amp;"'!$E$63:$Y$63"</f>
        <v>'BLD_AB'!$E$63:$Y$63</v>
      </c>
      <c r="H339" s="381">
        <f ca="1">IF(IFERROR(INDEX(DATA_PROPERTY_MASTER!$E$5:$E$21,MATCH($C339,DATA_PROPERTY_MASTER!$A$5:$A$21,0))="Yes",FALSE),IFERROR(INDEX(INDIRECT("'"&amp;$C339&amp;"'!$E$63:$Y$63"),1,MATCH($D339,INDIRECT("'"&amp;$C339&amp;"'!$E$12:$Y$12"),0)),0),0)</f>
        <v>0</v>
      </c>
      <c r="I339" s="366" t="s">
        <v>1731</v>
      </c>
      <c r="J339" s="348" t="str">
        <f t="shared" ca="1" si="10"/>
        <v>OK</v>
      </c>
      <c r="K339" s="366" t="s">
        <v>1732</v>
      </c>
      <c r="L339" s="366" t="s">
        <v>2256</v>
      </c>
      <c r="M339" s="350" t="str">
        <f>IF($B339="Portfolio","Portfolio",IFERROR(INDEX(DATA_ASSET_CLASSIFICATION!$B$8:$B$24,MATCH($C339,DATA_ASSET_CLASSIFICATION!$A$8:$A$24,0)),"Review"))</f>
        <v>Alma Blackwell</v>
      </c>
      <c r="N339" s="350" t="str">
        <f>IF($B339="Portfolio","Portfolio",IFERROR(INDEX(DATA_ASSET_CLASSIFICATION!$U$8:$U$24,MATCH($C339,DATA_ASSET_CLASSIFICATION!$A$8:$A$24,0)),"Review"))</f>
        <v>Excluded</v>
      </c>
      <c r="O339" s="350" t="str">
        <f>IF($B339="Portfolio","Portfolio",IFERROR(INDEX(DATA_ASSET_CLASSIFICATION!$AB$8:$AB$13,MATCH($N339,DATA_ASSET_CLASSIFICATION!$AA$8:$AA$13,0)),"Review"))</f>
        <v>Bucket 0 · Excluded</v>
      </c>
      <c r="P339" s="350" t="str">
        <f>IF($B339="Portfolio","Portfolio",IFERROR(INDEX(DATA_ASSET_CLASSIFICATION!$C$8:$C$24,MATCH($C339,DATA_ASSET_CLASSIFICATION!$A$8:$A$24,0)),"Review"))</f>
        <v>No</v>
      </c>
      <c r="Q339" s="350" t="str">
        <f t="shared" ca="1" si="11"/>
        <v>OK</v>
      </c>
    </row>
    <row r="340" spans="1:17">
      <c r="A340" s="366" t="s">
        <v>2296</v>
      </c>
      <c r="B340" s="366" t="s">
        <v>231</v>
      </c>
      <c r="C340" s="348" t="str">
        <f>DATA_PROPERTY_MASTER!$A$5</f>
        <v>BLD_AB</v>
      </c>
      <c r="D340" s="380">
        <f>'00_PORTFOLIO ROLLUP'!G$12</f>
        <v>2027</v>
      </c>
      <c r="E340" s="366" t="s">
        <v>1721</v>
      </c>
      <c r="F340" s="366" t="s">
        <v>37</v>
      </c>
      <c r="G340" s="348" t="str">
        <f>"'"&amp;$C340&amp;"'!$E$63:$Y$63"</f>
        <v>'BLD_AB'!$E$63:$Y$63</v>
      </c>
      <c r="H340" s="381">
        <f ca="1">IF(IFERROR(INDEX(DATA_PROPERTY_MASTER!$E$5:$E$21,MATCH($C340,DATA_PROPERTY_MASTER!$A$5:$A$21,0))="Yes",FALSE),MAX(IFERROR(INDEX(INDIRECT("'"&amp;$C340&amp;"'!$E$63:$Y$63"),1,MATCH($D340,INDIRECT("'"&amp;$C340&amp;"'!$E$12:$Y$12"),0)),0),0),0)</f>
        <v>0</v>
      </c>
      <c r="I340" s="366" t="s">
        <v>1685</v>
      </c>
      <c r="J340" s="348" t="str">
        <f t="shared" ca="1" si="10"/>
        <v>OK</v>
      </c>
      <c r="K340" s="366" t="s">
        <v>1735</v>
      </c>
      <c r="L340" s="366" t="s">
        <v>2258</v>
      </c>
      <c r="M340" s="350" t="str">
        <f>IF($B340="Portfolio","Portfolio",IFERROR(INDEX(DATA_ASSET_CLASSIFICATION!$B$8:$B$24,MATCH($C340,DATA_ASSET_CLASSIFICATION!$A$8:$A$24,0)),"Review"))</f>
        <v>Alma Blackwell</v>
      </c>
      <c r="N340" s="350" t="str">
        <f>IF($B340="Portfolio","Portfolio",IFERROR(INDEX(DATA_ASSET_CLASSIFICATION!$U$8:$U$24,MATCH($C340,DATA_ASSET_CLASSIFICATION!$A$8:$A$24,0)),"Review"))</f>
        <v>Excluded</v>
      </c>
      <c r="O340" s="350" t="str">
        <f>IF($B340="Portfolio","Portfolio",IFERROR(INDEX(DATA_ASSET_CLASSIFICATION!$AB$8:$AB$13,MATCH($N340,DATA_ASSET_CLASSIFICATION!$AA$8:$AA$13,0)),"Review"))</f>
        <v>Bucket 0 · Excluded</v>
      </c>
      <c r="P340" s="350" t="str">
        <f>IF($B340="Portfolio","Portfolio",IFERROR(INDEX(DATA_ASSET_CLASSIFICATION!$C$8:$C$24,MATCH($C340,DATA_ASSET_CLASSIFICATION!$A$8:$A$24,0)),"Review"))</f>
        <v>No</v>
      </c>
      <c r="Q340" s="350" t="str">
        <f t="shared" ca="1" si="11"/>
        <v>OK</v>
      </c>
    </row>
    <row r="341" spans="1:17">
      <c r="A341" s="366" t="s">
        <v>2297</v>
      </c>
      <c r="B341" s="366" t="s">
        <v>231</v>
      </c>
      <c r="C341" s="348" t="str">
        <f>DATA_PROPERTY_MASTER!$A$5</f>
        <v>BLD_AB</v>
      </c>
      <c r="D341" s="380">
        <f>'00_PORTFOLIO ROLLUP'!G$12</f>
        <v>2027</v>
      </c>
      <c r="E341" s="366" t="s">
        <v>1721</v>
      </c>
      <c r="F341" s="366" t="s">
        <v>39</v>
      </c>
      <c r="G341" s="348" t="str">
        <f>"'"&amp;$C341&amp;"'!$E$63:$Y$63"</f>
        <v>'BLD_AB'!$E$63:$Y$63</v>
      </c>
      <c r="H341" s="381">
        <f ca="1">IF(IFERROR(INDEX(DATA_PROPERTY_MASTER!$E$5:$E$21,MATCH($C341,DATA_PROPERTY_MASTER!$A$5:$A$21,0))="Yes",FALSE),MAX(-IFERROR(INDEX(INDIRECT("'"&amp;$C341&amp;"'!$E$63:$Y$63"),1,MATCH($D341,INDIRECT("'"&amp;$C341&amp;"'!$E$12:$Y$12"),0)),0),0),0)</f>
        <v>0</v>
      </c>
      <c r="I341" s="366" t="s">
        <v>1690</v>
      </c>
      <c r="J341" s="348" t="str">
        <f t="shared" ca="1" si="10"/>
        <v>OK</v>
      </c>
      <c r="K341" s="366" t="s">
        <v>1738</v>
      </c>
      <c r="L341" s="366" t="s">
        <v>2260</v>
      </c>
      <c r="M341" s="350" t="str">
        <f>IF($B341="Portfolio","Portfolio",IFERROR(INDEX(DATA_ASSET_CLASSIFICATION!$B$8:$B$24,MATCH($C341,DATA_ASSET_CLASSIFICATION!$A$8:$A$24,0)),"Review"))</f>
        <v>Alma Blackwell</v>
      </c>
      <c r="N341" s="350" t="str">
        <f>IF($B341="Portfolio","Portfolio",IFERROR(INDEX(DATA_ASSET_CLASSIFICATION!$U$8:$U$24,MATCH($C341,DATA_ASSET_CLASSIFICATION!$A$8:$A$24,0)),"Review"))</f>
        <v>Excluded</v>
      </c>
      <c r="O341" s="350" t="str">
        <f>IF($B341="Portfolio","Portfolio",IFERROR(INDEX(DATA_ASSET_CLASSIFICATION!$AB$8:$AB$13,MATCH($N341,DATA_ASSET_CLASSIFICATION!$AA$8:$AA$13,0)),"Review"))</f>
        <v>Bucket 0 · Excluded</v>
      </c>
      <c r="P341" s="350" t="str">
        <f>IF($B341="Portfolio","Portfolio",IFERROR(INDEX(DATA_ASSET_CLASSIFICATION!$C$8:$C$24,MATCH($C341,DATA_ASSET_CLASSIFICATION!$A$8:$A$24,0)),"Review"))</f>
        <v>No</v>
      </c>
      <c r="Q341" s="350" t="str">
        <f t="shared" ca="1" si="11"/>
        <v>OK</v>
      </c>
    </row>
    <row r="342" spans="1:17">
      <c r="A342" s="366" t="s">
        <v>2298</v>
      </c>
      <c r="B342" s="366" t="s">
        <v>231</v>
      </c>
      <c r="C342" s="348" t="str">
        <f>DATA_PROPERTY_MASTER!$A$5</f>
        <v>BLD_AB</v>
      </c>
      <c r="D342" s="380">
        <f>'00_PORTFOLIO ROLLUP'!G$12</f>
        <v>2027</v>
      </c>
      <c r="E342" s="366" t="s">
        <v>1741</v>
      </c>
      <c r="F342" s="366" t="s">
        <v>41</v>
      </c>
      <c r="G342" s="348" t="str">
        <f>"'"&amp;$C342&amp;"'!rows 56 + positive row 63"</f>
        <v>'BLD_AB'!rows 56 + positive row 63</v>
      </c>
      <c r="H342" s="381">
        <f ca="1">IF(IFERROR(INDEX(DATA_PROPERTY_MASTER!$E$5:$E$21,MATCH($C342,DATA_PROPERTY_MASTER!$A$5:$A$21,0))="Yes",FALSE),IFERROR(INDEX(INDIRECT("'"&amp;$C342&amp;"'!$E$56:$Y$56"),1,MATCH($D342,INDIRECT("'"&amp;$C342&amp;"'!$E$12:$Y$12"),0)),0)+MAX(IFERROR(INDEX(INDIRECT("'"&amp;$C342&amp;"'!$E$63:$Y$63"),1,MATCH($D342,INDIRECT("'"&amp;$C342&amp;"'!$E$12:$Y$12"),0)),0),0),0)</f>
        <v>0</v>
      </c>
      <c r="I342" s="366" t="s">
        <v>1685</v>
      </c>
      <c r="J342" s="348" t="str">
        <f t="shared" ca="1" si="10"/>
        <v>OK</v>
      </c>
      <c r="K342" s="366" t="s">
        <v>1742</v>
      </c>
      <c r="L342" s="366" t="s">
        <v>2262</v>
      </c>
      <c r="M342" s="350" t="str">
        <f>IF($B342="Portfolio","Portfolio",IFERROR(INDEX(DATA_ASSET_CLASSIFICATION!$B$8:$B$24,MATCH($C342,DATA_ASSET_CLASSIFICATION!$A$8:$A$24,0)),"Review"))</f>
        <v>Alma Blackwell</v>
      </c>
      <c r="N342" s="350" t="str">
        <f>IF($B342="Portfolio","Portfolio",IFERROR(INDEX(DATA_ASSET_CLASSIFICATION!$U$8:$U$24,MATCH($C342,DATA_ASSET_CLASSIFICATION!$A$8:$A$24,0)),"Review"))</f>
        <v>Excluded</v>
      </c>
      <c r="O342" s="350" t="str">
        <f>IF($B342="Portfolio","Portfolio",IFERROR(INDEX(DATA_ASSET_CLASSIFICATION!$AB$8:$AB$13,MATCH($N342,DATA_ASSET_CLASSIFICATION!$AA$8:$AA$13,0)),"Review"))</f>
        <v>Bucket 0 · Excluded</v>
      </c>
      <c r="P342" s="350" t="str">
        <f>IF($B342="Portfolio","Portfolio",IFERROR(INDEX(DATA_ASSET_CLASSIFICATION!$C$8:$C$24,MATCH($C342,DATA_ASSET_CLASSIFICATION!$A$8:$A$24,0)),"Review"))</f>
        <v>No</v>
      </c>
      <c r="Q342" s="350" t="str">
        <f t="shared" ca="1" si="11"/>
        <v>OK</v>
      </c>
    </row>
    <row r="343" spans="1:17">
      <c r="A343" s="366" t="s">
        <v>2299</v>
      </c>
      <c r="B343" s="366" t="s">
        <v>231</v>
      </c>
      <c r="C343" s="348" t="str">
        <f>DATA_PROPERTY_MASTER!$A$5</f>
        <v>BLD_AB</v>
      </c>
      <c r="D343" s="380">
        <f>'00_PORTFOLIO ROLLUP'!G$12</f>
        <v>2027</v>
      </c>
      <c r="E343" s="366" t="s">
        <v>1741</v>
      </c>
      <c r="F343" s="366" t="s">
        <v>43</v>
      </c>
      <c r="G343" s="348" t="str">
        <f>"'"&amp;$C343&amp;"'!$E$68:$Y$68"</f>
        <v>'BLD_AB'!$E$68:$Y$68</v>
      </c>
      <c r="H343" s="381">
        <f ca="1">IF(IFERROR(INDEX(DATA_PROPERTY_MASTER!$E$5:$E$21,MATCH($C343,DATA_PROPERTY_MASTER!$A$5:$A$21,0))="Yes",FALSE),IFERROR(INDEX(INDIRECT("'"&amp;$C343&amp;"'!$E$68:$Y$68"),1,MATCH($D343,INDIRECT("'"&amp;$C343&amp;"'!$E$12:$Y$12"),0)),0),0)</f>
        <v>0</v>
      </c>
      <c r="I343" s="366" t="s">
        <v>1731</v>
      </c>
      <c r="J343" s="348" t="str">
        <f t="shared" ca="1" si="10"/>
        <v>OK</v>
      </c>
      <c r="K343" s="366" t="s">
        <v>1746</v>
      </c>
      <c r="L343" s="366" t="s">
        <v>2264</v>
      </c>
      <c r="M343" s="350" t="str">
        <f>IF($B343="Portfolio","Portfolio",IFERROR(INDEX(DATA_ASSET_CLASSIFICATION!$B$8:$B$24,MATCH($C343,DATA_ASSET_CLASSIFICATION!$A$8:$A$24,0)),"Review"))</f>
        <v>Alma Blackwell</v>
      </c>
      <c r="N343" s="350" t="str">
        <f>IF($B343="Portfolio","Portfolio",IFERROR(INDEX(DATA_ASSET_CLASSIFICATION!$U$8:$U$24,MATCH($C343,DATA_ASSET_CLASSIFICATION!$A$8:$A$24,0)),"Review"))</f>
        <v>Excluded</v>
      </c>
      <c r="O343" s="350" t="str">
        <f>IF($B343="Portfolio","Portfolio",IFERROR(INDEX(DATA_ASSET_CLASSIFICATION!$AB$8:$AB$13,MATCH($N343,DATA_ASSET_CLASSIFICATION!$AA$8:$AA$13,0)),"Review"))</f>
        <v>Bucket 0 · Excluded</v>
      </c>
      <c r="P343" s="350" t="str">
        <f>IF($B343="Portfolio","Portfolio",IFERROR(INDEX(DATA_ASSET_CLASSIFICATION!$C$8:$C$24,MATCH($C343,DATA_ASSET_CLASSIFICATION!$A$8:$A$24,0)),"Review"))</f>
        <v>No</v>
      </c>
      <c r="Q343" s="350" t="str">
        <f t="shared" ca="1" si="11"/>
        <v>OK</v>
      </c>
    </row>
    <row r="344" spans="1:17">
      <c r="A344" s="366" t="s">
        <v>2300</v>
      </c>
      <c r="B344" s="366" t="s">
        <v>231</v>
      </c>
      <c r="C344" s="348" t="str">
        <f>DATA_PROPERTY_MASTER!$A$5</f>
        <v>BLD_AB</v>
      </c>
      <c r="D344" s="380">
        <f>'00_PORTFOLIO ROLLUP'!G$12</f>
        <v>2027</v>
      </c>
      <c r="E344" s="366" t="s">
        <v>1741</v>
      </c>
      <c r="F344" s="366" t="s">
        <v>1749</v>
      </c>
      <c r="G344" s="348" t="str">
        <f>"'"&amp;$C344&amp;"'!rows 56, 63, 68"</f>
        <v>'BLD_AB'!rows 56, 63, 68</v>
      </c>
      <c r="H344" s="381">
        <f ca="1">IF(IFERROR(INDEX(DATA_PROPERTY_MASTER!$E$5:$E$21,MATCH($C344,DATA_PROPERTY_MASTER!$A$5:$A$21,0))="Yes",FALSE),(IFERROR(INDEX(INDIRECT("'"&amp;$C344&amp;"'!$E$56:$Y$56"),1,MATCH($D344,INDIRECT("'"&amp;$C344&amp;"'!$E$12:$Y$12"),0)),0)+MAX(IFERROR(INDEX(INDIRECT("'"&amp;$C344&amp;"'!$E$63:$Y$63"),1,MATCH($D344,INDIRECT("'"&amp;$C344&amp;"'!$E$12:$Y$12"),0)),0),0))-(IFERROR(INDEX(INDIRECT("'"&amp;$C344&amp;"'!$E$68:$Y$68"),1,MATCH($D344,INDIRECT("'"&amp;$C344&amp;"'!$E$12:$Y$12"),0)),0)),0)</f>
        <v>0</v>
      </c>
      <c r="I344" s="366" t="s">
        <v>1750</v>
      </c>
      <c r="J344" s="348" t="str">
        <f t="shared" ca="1" si="10"/>
        <v>OK</v>
      </c>
      <c r="K344" s="366" t="s">
        <v>1751</v>
      </c>
      <c r="L344" s="366" t="s">
        <v>2266</v>
      </c>
      <c r="M344" s="350" t="str">
        <f>IF($B344="Portfolio","Portfolio",IFERROR(INDEX(DATA_ASSET_CLASSIFICATION!$B$8:$B$24,MATCH($C344,DATA_ASSET_CLASSIFICATION!$A$8:$A$24,0)),"Review"))</f>
        <v>Alma Blackwell</v>
      </c>
      <c r="N344" s="350" t="str">
        <f>IF($B344="Portfolio","Portfolio",IFERROR(INDEX(DATA_ASSET_CLASSIFICATION!$U$8:$U$24,MATCH($C344,DATA_ASSET_CLASSIFICATION!$A$8:$A$24,0)),"Review"))</f>
        <v>Excluded</v>
      </c>
      <c r="O344" s="350" t="str">
        <f>IF($B344="Portfolio","Portfolio",IFERROR(INDEX(DATA_ASSET_CLASSIFICATION!$AB$8:$AB$13,MATCH($N344,DATA_ASSET_CLASSIFICATION!$AA$8:$AA$13,0)),"Review"))</f>
        <v>Bucket 0 · Excluded</v>
      </c>
      <c r="P344" s="350" t="str">
        <f>IF($B344="Portfolio","Portfolio",IFERROR(INDEX(DATA_ASSET_CLASSIFICATION!$C$8:$C$24,MATCH($C344,DATA_ASSET_CLASSIFICATION!$A$8:$A$24,0)),"Review"))</f>
        <v>No</v>
      </c>
      <c r="Q344" s="350" t="str">
        <f t="shared" ca="1" si="11"/>
        <v>OK</v>
      </c>
    </row>
    <row r="345" spans="1:17">
      <c r="A345" s="366" t="s">
        <v>2301</v>
      </c>
      <c r="B345" s="366" t="s">
        <v>231</v>
      </c>
      <c r="C345" s="348" t="str">
        <f>DATA_PROPERTY_MASTER!$A$5</f>
        <v>BLD_AB</v>
      </c>
      <c r="D345" s="380">
        <f>'00_PORTFOLIO ROLLUP'!H$12</f>
        <v>2028</v>
      </c>
      <c r="E345" s="366" t="s">
        <v>1683</v>
      </c>
      <c r="F345" s="366" t="s">
        <v>341</v>
      </c>
      <c r="G345" s="348" t="str">
        <f>"'"&amp;$C345&amp;"'!$E$24:$Y$24"</f>
        <v>'BLD_AB'!$E$24:$Y$24</v>
      </c>
      <c r="H345" s="381">
        <f ca="1">IF(IFERROR(INDEX(DATA_PROPERTY_MASTER!$E$5:$E$21,MATCH($C345,DATA_PROPERTY_MASTER!$A$5:$A$21,0))="Yes",FALSE),IFERROR(INDEX(INDIRECT("'"&amp;$C345&amp;"'!$E$24:$Y$24"),1,MATCH($D345,INDIRECT("'"&amp;$C345&amp;"'!$E$12:$Y$12"),0)),0),0)</f>
        <v>0</v>
      </c>
      <c r="I345" s="366" t="s">
        <v>1685</v>
      </c>
      <c r="J345" s="348" t="str">
        <f t="shared" ca="1" si="10"/>
        <v>OK</v>
      </c>
      <c r="K345" s="366" t="s">
        <v>1686</v>
      </c>
      <c r="L345" s="366" t="s">
        <v>2234</v>
      </c>
      <c r="M345" s="350" t="str">
        <f>IF($B345="Portfolio","Portfolio",IFERROR(INDEX(DATA_ASSET_CLASSIFICATION!$B$8:$B$24,MATCH($C345,DATA_ASSET_CLASSIFICATION!$A$8:$A$24,0)),"Review"))</f>
        <v>Alma Blackwell</v>
      </c>
      <c r="N345" s="350" t="str">
        <f>IF($B345="Portfolio","Portfolio",IFERROR(INDEX(DATA_ASSET_CLASSIFICATION!$U$8:$U$24,MATCH($C345,DATA_ASSET_CLASSIFICATION!$A$8:$A$24,0)),"Review"))</f>
        <v>Excluded</v>
      </c>
      <c r="O345" s="350" t="str">
        <f>IF($B345="Portfolio","Portfolio",IFERROR(INDEX(DATA_ASSET_CLASSIFICATION!$AB$8:$AB$13,MATCH($N345,DATA_ASSET_CLASSIFICATION!$AA$8:$AA$13,0)),"Review"))</f>
        <v>Bucket 0 · Excluded</v>
      </c>
      <c r="P345" s="350" t="str">
        <f>IF($B345="Portfolio","Portfolio",IFERROR(INDEX(DATA_ASSET_CLASSIFICATION!$C$8:$C$24,MATCH($C345,DATA_ASSET_CLASSIFICATION!$A$8:$A$24,0)),"Review"))</f>
        <v>No</v>
      </c>
      <c r="Q345" s="350" t="str">
        <f t="shared" ca="1" si="11"/>
        <v>OK</v>
      </c>
    </row>
    <row r="346" spans="1:17">
      <c r="A346" s="366" t="s">
        <v>2302</v>
      </c>
      <c r="B346" s="366" t="s">
        <v>231</v>
      </c>
      <c r="C346" s="348" t="str">
        <f>DATA_PROPERTY_MASTER!$A$5</f>
        <v>BLD_AB</v>
      </c>
      <c r="D346" s="380">
        <f>'00_PORTFOLIO ROLLUP'!H$12</f>
        <v>2028</v>
      </c>
      <c r="E346" s="366" t="s">
        <v>1683</v>
      </c>
      <c r="F346" s="366" t="s">
        <v>355</v>
      </c>
      <c r="G346" s="348" t="str">
        <f>"'"&amp;$C346&amp;"'!$E$39:$Y$39"</f>
        <v>'BLD_AB'!$E$39:$Y$39</v>
      </c>
      <c r="H346" s="381">
        <f ca="1">IF(IFERROR(INDEX(DATA_PROPERTY_MASTER!$E$5:$E$21,MATCH($C346,DATA_PROPERTY_MASTER!$A$5:$A$21,0))="Yes",FALSE),IFERROR(INDEX(INDIRECT("'"&amp;$C346&amp;"'!$E$39:$Y$39"),1,MATCH($D346,INDIRECT("'"&amp;$C346&amp;"'!$E$12:$Y$12"),0)),0),0)</f>
        <v>0</v>
      </c>
      <c r="I346" s="366" t="s">
        <v>1690</v>
      </c>
      <c r="J346" s="348" t="str">
        <f t="shared" ca="1" si="10"/>
        <v>OK</v>
      </c>
      <c r="K346" s="366" t="s">
        <v>1686</v>
      </c>
      <c r="L346" s="366" t="s">
        <v>2236</v>
      </c>
      <c r="M346" s="350" t="str">
        <f>IF($B346="Portfolio","Portfolio",IFERROR(INDEX(DATA_ASSET_CLASSIFICATION!$B$8:$B$24,MATCH($C346,DATA_ASSET_CLASSIFICATION!$A$8:$A$24,0)),"Review"))</f>
        <v>Alma Blackwell</v>
      </c>
      <c r="N346" s="350" t="str">
        <f>IF($B346="Portfolio","Portfolio",IFERROR(INDEX(DATA_ASSET_CLASSIFICATION!$U$8:$U$24,MATCH($C346,DATA_ASSET_CLASSIFICATION!$A$8:$A$24,0)),"Review"))</f>
        <v>Excluded</v>
      </c>
      <c r="O346" s="350" t="str">
        <f>IF($B346="Portfolio","Portfolio",IFERROR(INDEX(DATA_ASSET_CLASSIFICATION!$AB$8:$AB$13,MATCH($N346,DATA_ASSET_CLASSIFICATION!$AA$8:$AA$13,0)),"Review"))</f>
        <v>Bucket 0 · Excluded</v>
      </c>
      <c r="P346" s="350" t="str">
        <f>IF($B346="Portfolio","Portfolio",IFERROR(INDEX(DATA_ASSET_CLASSIFICATION!$C$8:$C$24,MATCH($C346,DATA_ASSET_CLASSIFICATION!$A$8:$A$24,0)),"Review"))</f>
        <v>No</v>
      </c>
      <c r="Q346" s="350" t="str">
        <f t="shared" ca="1" si="11"/>
        <v>OK</v>
      </c>
    </row>
    <row r="347" spans="1:17">
      <c r="A347" s="366" t="s">
        <v>2303</v>
      </c>
      <c r="B347" s="366" t="s">
        <v>231</v>
      </c>
      <c r="C347" s="348" t="str">
        <f>DATA_PROPERTY_MASTER!$A$5</f>
        <v>BLD_AB</v>
      </c>
      <c r="D347" s="380">
        <f>'00_PORTFOLIO ROLLUP'!H$12</f>
        <v>2028</v>
      </c>
      <c r="E347" s="366" t="s">
        <v>1683</v>
      </c>
      <c r="F347" s="366" t="s">
        <v>19</v>
      </c>
      <c r="G347" s="348" t="str">
        <f>"'"&amp;$C347&amp;"'!$E$41:$Y$41"</f>
        <v>'BLD_AB'!$E$41:$Y$41</v>
      </c>
      <c r="H347" s="381">
        <f ca="1">IF(IFERROR(INDEX(DATA_PROPERTY_MASTER!$E$5:$E$21,MATCH($C347,DATA_PROPERTY_MASTER!$A$5:$A$21,0))="Yes",FALSE),IFERROR(INDEX(INDIRECT("'"&amp;$C347&amp;"'!$E$41:$Y$41"),1,MATCH($D347,INDIRECT("'"&amp;$C347&amp;"'!$E$12:$Y$12"),0)),0),0)</f>
        <v>0</v>
      </c>
      <c r="I347" s="366" t="s">
        <v>1685</v>
      </c>
      <c r="J347" s="348" t="str">
        <f t="shared" ca="1" si="10"/>
        <v>OK</v>
      </c>
      <c r="K347" s="366" t="s">
        <v>1694</v>
      </c>
      <c r="L347" s="366" t="s">
        <v>2238</v>
      </c>
      <c r="M347" s="350" t="str">
        <f>IF($B347="Portfolio","Portfolio",IFERROR(INDEX(DATA_ASSET_CLASSIFICATION!$B$8:$B$24,MATCH($C347,DATA_ASSET_CLASSIFICATION!$A$8:$A$24,0)),"Review"))</f>
        <v>Alma Blackwell</v>
      </c>
      <c r="N347" s="350" t="str">
        <f>IF($B347="Portfolio","Portfolio",IFERROR(INDEX(DATA_ASSET_CLASSIFICATION!$U$8:$U$24,MATCH($C347,DATA_ASSET_CLASSIFICATION!$A$8:$A$24,0)),"Review"))</f>
        <v>Excluded</v>
      </c>
      <c r="O347" s="350" t="str">
        <f>IF($B347="Portfolio","Portfolio",IFERROR(INDEX(DATA_ASSET_CLASSIFICATION!$AB$8:$AB$13,MATCH($N347,DATA_ASSET_CLASSIFICATION!$AA$8:$AA$13,0)),"Review"))</f>
        <v>Bucket 0 · Excluded</v>
      </c>
      <c r="P347" s="350" t="str">
        <f>IF($B347="Portfolio","Portfolio",IFERROR(INDEX(DATA_ASSET_CLASSIFICATION!$C$8:$C$24,MATCH($C347,DATA_ASSET_CLASSIFICATION!$A$8:$A$24,0)),"Review"))</f>
        <v>No</v>
      </c>
      <c r="Q347" s="350" t="str">
        <f t="shared" ca="1" si="11"/>
        <v>OK</v>
      </c>
    </row>
    <row r="348" spans="1:17">
      <c r="A348" s="366" t="s">
        <v>2304</v>
      </c>
      <c r="B348" s="366" t="s">
        <v>231</v>
      </c>
      <c r="C348" s="348" t="str">
        <f>DATA_PROPERTY_MASTER!$A$5</f>
        <v>BLD_AB</v>
      </c>
      <c r="D348" s="380">
        <f>'00_PORTFOLIO ROLLUP'!H$12</f>
        <v>2028</v>
      </c>
      <c r="E348" s="366" t="s">
        <v>1683</v>
      </c>
      <c r="F348" s="366" t="s">
        <v>1697</v>
      </c>
      <c r="G348" s="348" t="str">
        <f>"'"&amp;$C348&amp;"'!$E$44:$Y$44"</f>
        <v>'BLD_AB'!$E$44:$Y$44</v>
      </c>
      <c r="H348" s="381">
        <f ca="1">IF(IFERROR(INDEX(DATA_PROPERTY_MASTER!$E$5:$E$21,MATCH($C348,DATA_PROPERTY_MASTER!$A$5:$A$21,0))="Yes",FALSE),IFERROR(INDEX(INDIRECT("'"&amp;$C348&amp;"'!$E$44:$Y$44"),1,MATCH($D348,INDIRECT("'"&amp;$C348&amp;"'!$E$12:$Y$12"),0)),0),0)</f>
        <v>0</v>
      </c>
      <c r="I348" s="366" t="s">
        <v>1690</v>
      </c>
      <c r="J348" s="348" t="str">
        <f t="shared" ca="1" si="10"/>
        <v>OK</v>
      </c>
      <c r="K348" s="366" t="s">
        <v>1699</v>
      </c>
      <c r="L348" s="366" t="s">
        <v>2240</v>
      </c>
      <c r="M348" s="350" t="str">
        <f>IF($B348="Portfolio","Portfolio",IFERROR(INDEX(DATA_ASSET_CLASSIFICATION!$B$8:$B$24,MATCH($C348,DATA_ASSET_CLASSIFICATION!$A$8:$A$24,0)),"Review"))</f>
        <v>Alma Blackwell</v>
      </c>
      <c r="N348" s="350" t="str">
        <f>IF($B348="Portfolio","Portfolio",IFERROR(INDEX(DATA_ASSET_CLASSIFICATION!$U$8:$U$24,MATCH($C348,DATA_ASSET_CLASSIFICATION!$A$8:$A$24,0)),"Review"))</f>
        <v>Excluded</v>
      </c>
      <c r="O348" s="350" t="str">
        <f>IF($B348="Portfolio","Portfolio",IFERROR(INDEX(DATA_ASSET_CLASSIFICATION!$AB$8:$AB$13,MATCH($N348,DATA_ASSET_CLASSIFICATION!$AA$8:$AA$13,0)),"Review"))</f>
        <v>Bucket 0 · Excluded</v>
      </c>
      <c r="P348" s="350" t="str">
        <f>IF($B348="Portfolio","Portfolio",IFERROR(INDEX(DATA_ASSET_CLASSIFICATION!$C$8:$C$24,MATCH($C348,DATA_ASSET_CLASSIFICATION!$A$8:$A$24,0)),"Review"))</f>
        <v>No</v>
      </c>
      <c r="Q348" s="350" t="str">
        <f t="shared" ca="1" si="11"/>
        <v>OK</v>
      </c>
    </row>
    <row r="349" spans="1:17">
      <c r="A349" s="366" t="s">
        <v>2305</v>
      </c>
      <c r="B349" s="366" t="s">
        <v>231</v>
      </c>
      <c r="C349" s="348" t="str">
        <f>DATA_PROPERTY_MASTER!$A$5</f>
        <v>BLD_AB</v>
      </c>
      <c r="D349" s="380">
        <f>'00_PORTFOLIO ROLLUP'!H$12</f>
        <v>2028</v>
      </c>
      <c r="E349" s="366" t="s">
        <v>1683</v>
      </c>
      <c r="F349" s="366" t="s">
        <v>21</v>
      </c>
      <c r="G349" s="348" t="str">
        <f>"'"&amp;$C349&amp;"'!$E$45:$Y$45"</f>
        <v>'BLD_AB'!$E$45:$Y$45</v>
      </c>
      <c r="H349" s="381">
        <f ca="1">IF(IFERROR(INDEX(DATA_PROPERTY_MASTER!$E$5:$E$21,MATCH($C349,DATA_PROPERTY_MASTER!$A$5:$A$21,0))="Yes",FALSE),IFERROR(INDEX(INDIRECT("'"&amp;$C349&amp;"'!$E$45:$Y$45"),1,MATCH($D349,INDIRECT("'"&amp;$C349&amp;"'!$E$12:$Y$12"),0)),0),0)</f>
        <v>0</v>
      </c>
      <c r="I349" s="366" t="s">
        <v>1685</v>
      </c>
      <c r="J349" s="348" t="str">
        <f t="shared" ca="1" si="10"/>
        <v>OK</v>
      </c>
      <c r="K349" s="366" t="s">
        <v>1694</v>
      </c>
      <c r="L349" s="366" t="s">
        <v>2242</v>
      </c>
      <c r="M349" s="350" t="str">
        <f>IF($B349="Portfolio","Portfolio",IFERROR(INDEX(DATA_ASSET_CLASSIFICATION!$B$8:$B$24,MATCH($C349,DATA_ASSET_CLASSIFICATION!$A$8:$A$24,0)),"Review"))</f>
        <v>Alma Blackwell</v>
      </c>
      <c r="N349" s="350" t="str">
        <f>IF($B349="Portfolio","Portfolio",IFERROR(INDEX(DATA_ASSET_CLASSIFICATION!$U$8:$U$24,MATCH($C349,DATA_ASSET_CLASSIFICATION!$A$8:$A$24,0)),"Review"))</f>
        <v>Excluded</v>
      </c>
      <c r="O349" s="350" t="str">
        <f>IF($B349="Portfolio","Portfolio",IFERROR(INDEX(DATA_ASSET_CLASSIFICATION!$AB$8:$AB$13,MATCH($N349,DATA_ASSET_CLASSIFICATION!$AA$8:$AA$13,0)),"Review"))</f>
        <v>Bucket 0 · Excluded</v>
      </c>
      <c r="P349" s="350" t="str">
        <f>IF($B349="Portfolio","Portfolio",IFERROR(INDEX(DATA_ASSET_CLASSIFICATION!$C$8:$C$24,MATCH($C349,DATA_ASSET_CLASSIFICATION!$A$8:$A$24,0)),"Review"))</f>
        <v>No</v>
      </c>
      <c r="Q349" s="350" t="str">
        <f t="shared" ca="1" si="11"/>
        <v>OK</v>
      </c>
    </row>
    <row r="350" spans="1:17">
      <c r="A350" s="366" t="s">
        <v>2306</v>
      </c>
      <c r="B350" s="366" t="s">
        <v>231</v>
      </c>
      <c r="C350" s="348" t="str">
        <f>DATA_PROPERTY_MASTER!$A$5</f>
        <v>BLD_AB</v>
      </c>
      <c r="D350" s="380">
        <f>'00_PORTFOLIO ROLLUP'!H$12</f>
        <v>2028</v>
      </c>
      <c r="E350" s="366" t="s">
        <v>23</v>
      </c>
      <c r="F350" s="366" t="s">
        <v>23</v>
      </c>
      <c r="G350" s="348" t="str">
        <f>"'"&amp;$C350&amp;"'!$E$48:$Y$48"</f>
        <v>'BLD_AB'!$E$48:$Y$48</v>
      </c>
      <c r="H350" s="381">
        <f ca="1">IF(IFERROR(INDEX(DATA_PROPERTY_MASTER!$E$5:$E$21,MATCH($C350,DATA_PROPERTY_MASTER!$A$5:$A$21,0))="Yes",FALSE),IFERROR(INDEX(INDIRECT("'"&amp;$C350&amp;"'!$E$48:$Y$48"),1,MATCH($D350,INDIRECT("'"&amp;$C350&amp;"'!$E$12:$Y$12"),0)),0),0)</f>
        <v>0</v>
      </c>
      <c r="I350" s="366" t="s">
        <v>1690</v>
      </c>
      <c r="J350" s="348" t="str">
        <f t="shared" ca="1" si="10"/>
        <v>OK</v>
      </c>
      <c r="K350" s="366" t="s">
        <v>1706</v>
      </c>
      <c r="L350" s="366" t="s">
        <v>2244</v>
      </c>
      <c r="M350" s="350" t="str">
        <f>IF($B350="Portfolio","Portfolio",IFERROR(INDEX(DATA_ASSET_CLASSIFICATION!$B$8:$B$24,MATCH($C350,DATA_ASSET_CLASSIFICATION!$A$8:$A$24,0)),"Review"))</f>
        <v>Alma Blackwell</v>
      </c>
      <c r="N350" s="350" t="str">
        <f>IF($B350="Portfolio","Portfolio",IFERROR(INDEX(DATA_ASSET_CLASSIFICATION!$U$8:$U$24,MATCH($C350,DATA_ASSET_CLASSIFICATION!$A$8:$A$24,0)),"Review"))</f>
        <v>Excluded</v>
      </c>
      <c r="O350" s="350" t="str">
        <f>IF($B350="Portfolio","Portfolio",IFERROR(INDEX(DATA_ASSET_CLASSIFICATION!$AB$8:$AB$13,MATCH($N350,DATA_ASSET_CLASSIFICATION!$AA$8:$AA$13,0)),"Review"))</f>
        <v>Bucket 0 · Excluded</v>
      </c>
      <c r="P350" s="350" t="str">
        <f>IF($B350="Portfolio","Portfolio",IFERROR(INDEX(DATA_ASSET_CLASSIFICATION!$C$8:$C$24,MATCH($C350,DATA_ASSET_CLASSIFICATION!$A$8:$A$24,0)),"Review"))</f>
        <v>No</v>
      </c>
      <c r="Q350" s="350" t="str">
        <f t="shared" ca="1" si="11"/>
        <v>OK</v>
      </c>
    </row>
    <row r="351" spans="1:17">
      <c r="A351" s="366" t="s">
        <v>2307</v>
      </c>
      <c r="B351" s="366" t="s">
        <v>231</v>
      </c>
      <c r="C351" s="348" t="str">
        <f>DATA_PROPERTY_MASTER!$A$5</f>
        <v>BLD_AB</v>
      </c>
      <c r="D351" s="380">
        <f>'00_PORTFOLIO ROLLUP'!H$12</f>
        <v>2028</v>
      </c>
      <c r="E351" s="366" t="s">
        <v>1683</v>
      </c>
      <c r="F351" s="366" t="s">
        <v>25</v>
      </c>
      <c r="G351" s="348" t="str">
        <f>"'"&amp;$C351&amp;"'!$E$52:$Y$52"</f>
        <v>'BLD_AB'!$E$52:$Y$52</v>
      </c>
      <c r="H351" s="381">
        <f ca="1">IF(IFERROR(INDEX(DATA_PROPERTY_MASTER!$E$5:$E$21,MATCH($C351,DATA_PROPERTY_MASTER!$A$5:$A$21,0))="Yes",FALSE),IFERROR(INDEX(INDIRECT("'"&amp;$C351&amp;"'!$E$52:$Y$52"),1,MATCH($D351,INDIRECT("'"&amp;$C351&amp;"'!$E$12:$Y$12"),0)),0),0)</f>
        <v>0</v>
      </c>
      <c r="I351" s="366" t="s">
        <v>1685</v>
      </c>
      <c r="J351" s="348" t="str">
        <f t="shared" ca="1" si="10"/>
        <v>OK</v>
      </c>
      <c r="K351" s="366" t="s">
        <v>1710</v>
      </c>
      <c r="L351" s="366" t="s">
        <v>2246</v>
      </c>
      <c r="M351" s="350" t="str">
        <f>IF($B351="Portfolio","Portfolio",IFERROR(INDEX(DATA_ASSET_CLASSIFICATION!$B$8:$B$24,MATCH($C351,DATA_ASSET_CLASSIFICATION!$A$8:$A$24,0)),"Review"))</f>
        <v>Alma Blackwell</v>
      </c>
      <c r="N351" s="350" t="str">
        <f>IF($B351="Portfolio","Portfolio",IFERROR(INDEX(DATA_ASSET_CLASSIFICATION!$U$8:$U$24,MATCH($C351,DATA_ASSET_CLASSIFICATION!$A$8:$A$24,0)),"Review"))</f>
        <v>Excluded</v>
      </c>
      <c r="O351" s="350" t="str">
        <f>IF($B351="Portfolio","Portfolio",IFERROR(INDEX(DATA_ASSET_CLASSIFICATION!$AB$8:$AB$13,MATCH($N351,DATA_ASSET_CLASSIFICATION!$AA$8:$AA$13,0)),"Review"))</f>
        <v>Bucket 0 · Excluded</v>
      </c>
      <c r="P351" s="350" t="str">
        <f>IF($B351="Portfolio","Portfolio",IFERROR(INDEX(DATA_ASSET_CLASSIFICATION!$C$8:$C$24,MATCH($C351,DATA_ASSET_CLASSIFICATION!$A$8:$A$24,0)),"Review"))</f>
        <v>No</v>
      </c>
      <c r="Q351" s="350" t="str">
        <f t="shared" ca="1" si="11"/>
        <v>OK</v>
      </c>
    </row>
    <row r="352" spans="1:17">
      <c r="A352" s="366" t="s">
        <v>2308</v>
      </c>
      <c r="B352" s="366" t="s">
        <v>231</v>
      </c>
      <c r="C352" s="348" t="str">
        <f>DATA_PROPERTY_MASTER!$A$5</f>
        <v>BLD_AB</v>
      </c>
      <c r="D352" s="380">
        <f>'00_PORTFOLIO ROLLUP'!H$12</f>
        <v>2028</v>
      </c>
      <c r="E352" s="366" t="s">
        <v>1683</v>
      </c>
      <c r="F352" s="366" t="s">
        <v>27</v>
      </c>
      <c r="G352" s="348" t="str">
        <f>"'"&amp;$C352&amp;"'!$E$54:$Y$54"</f>
        <v>'BLD_AB'!$E$54:$Y$54</v>
      </c>
      <c r="H352" s="381">
        <f ca="1">IF(IFERROR(INDEX(DATA_PROPERTY_MASTER!$E$5:$E$21,MATCH($C352,DATA_PROPERTY_MASTER!$A$5:$A$21,0))="Yes",FALSE),IFERROR(INDEX(INDIRECT("'"&amp;$C352&amp;"'!$E$54:$Y$54"),1,MATCH($D352,INDIRECT("'"&amp;$C352&amp;"'!$E$12:$Y$12"),0)),0),0)</f>
        <v>0</v>
      </c>
      <c r="I352" s="366" t="s">
        <v>1690</v>
      </c>
      <c r="J352" s="348" t="str">
        <f t="shared" ca="1" si="10"/>
        <v>OK</v>
      </c>
      <c r="K352" s="366" t="s">
        <v>1714</v>
      </c>
      <c r="L352" s="366" t="s">
        <v>2248</v>
      </c>
      <c r="M352" s="350" t="str">
        <f>IF($B352="Portfolio","Portfolio",IFERROR(INDEX(DATA_ASSET_CLASSIFICATION!$B$8:$B$24,MATCH($C352,DATA_ASSET_CLASSIFICATION!$A$8:$A$24,0)),"Review"))</f>
        <v>Alma Blackwell</v>
      </c>
      <c r="N352" s="350" t="str">
        <f>IF($B352="Portfolio","Portfolio",IFERROR(INDEX(DATA_ASSET_CLASSIFICATION!$U$8:$U$24,MATCH($C352,DATA_ASSET_CLASSIFICATION!$A$8:$A$24,0)),"Review"))</f>
        <v>Excluded</v>
      </c>
      <c r="O352" s="350" t="str">
        <f>IF($B352="Portfolio","Portfolio",IFERROR(INDEX(DATA_ASSET_CLASSIFICATION!$AB$8:$AB$13,MATCH($N352,DATA_ASSET_CLASSIFICATION!$AA$8:$AA$13,0)),"Review"))</f>
        <v>Bucket 0 · Excluded</v>
      </c>
      <c r="P352" s="350" t="str">
        <f>IF($B352="Portfolio","Portfolio",IFERROR(INDEX(DATA_ASSET_CLASSIFICATION!$C$8:$C$24,MATCH($C352,DATA_ASSET_CLASSIFICATION!$A$8:$A$24,0)),"Review"))</f>
        <v>No</v>
      </c>
      <c r="Q352" s="350" t="str">
        <f t="shared" ca="1" si="11"/>
        <v>OK</v>
      </c>
    </row>
    <row r="353" spans="1:17">
      <c r="A353" s="366" t="s">
        <v>2309</v>
      </c>
      <c r="B353" s="366" t="s">
        <v>231</v>
      </c>
      <c r="C353" s="348" t="str">
        <f>DATA_PROPERTY_MASTER!$A$5</f>
        <v>BLD_AB</v>
      </c>
      <c r="D353" s="380">
        <f>'00_PORTFOLIO ROLLUP'!H$12</f>
        <v>2028</v>
      </c>
      <c r="E353" s="366" t="s">
        <v>1683</v>
      </c>
      <c r="F353" s="366" t="s">
        <v>29</v>
      </c>
      <c r="G353" s="348" t="str">
        <f>"'"&amp;$C353&amp;"'!$E$56:$Y$56"</f>
        <v>'BLD_AB'!$E$56:$Y$56</v>
      </c>
      <c r="H353" s="381">
        <f ca="1">IF(IFERROR(INDEX(DATA_PROPERTY_MASTER!$E$5:$E$21,MATCH($C353,DATA_PROPERTY_MASTER!$A$5:$A$21,0))="Yes",FALSE),IFERROR(INDEX(INDIRECT("'"&amp;$C353&amp;"'!$E$56:$Y$56"),1,MATCH($D353,INDIRECT("'"&amp;$C353&amp;"'!$E$12:$Y$12"),0)),0),0)</f>
        <v>0</v>
      </c>
      <c r="I353" s="366" t="s">
        <v>1685</v>
      </c>
      <c r="J353" s="348" t="str">
        <f t="shared" ca="1" si="10"/>
        <v>OK</v>
      </c>
      <c r="K353" s="366" t="s">
        <v>1718</v>
      </c>
      <c r="L353" s="366" t="s">
        <v>2250</v>
      </c>
      <c r="M353" s="350" t="str">
        <f>IF($B353="Portfolio","Portfolio",IFERROR(INDEX(DATA_ASSET_CLASSIFICATION!$B$8:$B$24,MATCH($C353,DATA_ASSET_CLASSIFICATION!$A$8:$A$24,0)),"Review"))</f>
        <v>Alma Blackwell</v>
      </c>
      <c r="N353" s="350" t="str">
        <f>IF($B353="Portfolio","Portfolio",IFERROR(INDEX(DATA_ASSET_CLASSIFICATION!$U$8:$U$24,MATCH($C353,DATA_ASSET_CLASSIFICATION!$A$8:$A$24,0)),"Review"))</f>
        <v>Excluded</v>
      </c>
      <c r="O353" s="350" t="str">
        <f>IF($B353="Portfolio","Portfolio",IFERROR(INDEX(DATA_ASSET_CLASSIFICATION!$AB$8:$AB$13,MATCH($N353,DATA_ASSET_CLASSIFICATION!$AA$8:$AA$13,0)),"Review"))</f>
        <v>Bucket 0 · Excluded</v>
      </c>
      <c r="P353" s="350" t="str">
        <f>IF($B353="Portfolio","Portfolio",IFERROR(INDEX(DATA_ASSET_CLASSIFICATION!$C$8:$C$24,MATCH($C353,DATA_ASSET_CLASSIFICATION!$A$8:$A$24,0)),"Review"))</f>
        <v>No</v>
      </c>
      <c r="Q353" s="350" t="str">
        <f t="shared" ca="1" si="11"/>
        <v>OK</v>
      </c>
    </row>
    <row r="354" spans="1:17">
      <c r="A354" s="366" t="s">
        <v>2310</v>
      </c>
      <c r="B354" s="366" t="s">
        <v>231</v>
      </c>
      <c r="C354" s="348" t="str">
        <f>DATA_PROPERTY_MASTER!$A$5</f>
        <v>BLD_AB</v>
      </c>
      <c r="D354" s="380">
        <f>'00_PORTFOLIO ROLLUP'!H$12</f>
        <v>2028</v>
      </c>
      <c r="E354" s="366" t="s">
        <v>1721</v>
      </c>
      <c r="F354" s="366" t="s">
        <v>31</v>
      </c>
      <c r="G354" s="348" t="str">
        <f>"'"&amp;$C354&amp;"'!$E$61:$Y$61"</f>
        <v>'BLD_AB'!$E$61:$Y$61</v>
      </c>
      <c r="H354" s="381">
        <f ca="1">IF(IFERROR(INDEX(DATA_PROPERTY_MASTER!$E$5:$E$21,MATCH($C354,DATA_PROPERTY_MASTER!$A$5:$A$21,0))="Yes",FALSE),IFERROR(INDEX(INDIRECT("'"&amp;$C354&amp;"'!$E$61:$Y$61"),1,MATCH($D354,INDIRECT("'"&amp;$C354&amp;"'!$E$12:$Y$12"),0)),0),0)</f>
        <v>0</v>
      </c>
      <c r="I354" s="366" t="s">
        <v>1690</v>
      </c>
      <c r="J354" s="348" t="str">
        <f t="shared" ca="1" si="10"/>
        <v>OK</v>
      </c>
      <c r="K354" s="366" t="s">
        <v>1723</v>
      </c>
      <c r="L354" s="366" t="s">
        <v>2252</v>
      </c>
      <c r="M354" s="350" t="str">
        <f>IF($B354="Portfolio","Portfolio",IFERROR(INDEX(DATA_ASSET_CLASSIFICATION!$B$8:$B$24,MATCH($C354,DATA_ASSET_CLASSIFICATION!$A$8:$A$24,0)),"Review"))</f>
        <v>Alma Blackwell</v>
      </c>
      <c r="N354" s="350" t="str">
        <f>IF($B354="Portfolio","Portfolio",IFERROR(INDEX(DATA_ASSET_CLASSIFICATION!$U$8:$U$24,MATCH($C354,DATA_ASSET_CLASSIFICATION!$A$8:$A$24,0)),"Review"))</f>
        <v>Excluded</v>
      </c>
      <c r="O354" s="350" t="str">
        <f>IF($B354="Portfolio","Portfolio",IFERROR(INDEX(DATA_ASSET_CLASSIFICATION!$AB$8:$AB$13,MATCH($N354,DATA_ASSET_CLASSIFICATION!$AA$8:$AA$13,0)),"Review"))</f>
        <v>Bucket 0 · Excluded</v>
      </c>
      <c r="P354" s="350" t="str">
        <f>IF($B354="Portfolio","Portfolio",IFERROR(INDEX(DATA_ASSET_CLASSIFICATION!$C$8:$C$24,MATCH($C354,DATA_ASSET_CLASSIFICATION!$A$8:$A$24,0)),"Review"))</f>
        <v>No</v>
      </c>
      <c r="Q354" s="350" t="str">
        <f t="shared" ca="1" si="11"/>
        <v>OK</v>
      </c>
    </row>
    <row r="355" spans="1:17">
      <c r="A355" s="366" t="s">
        <v>2311</v>
      </c>
      <c r="B355" s="366" t="s">
        <v>231</v>
      </c>
      <c r="C355" s="348" t="str">
        <f>DATA_PROPERTY_MASTER!$A$5</f>
        <v>BLD_AB</v>
      </c>
      <c r="D355" s="380">
        <f>'00_PORTFOLIO ROLLUP'!H$12</f>
        <v>2028</v>
      </c>
      <c r="E355" s="366" t="s">
        <v>1721</v>
      </c>
      <c r="F355" s="366" t="s">
        <v>33</v>
      </c>
      <c r="G355" s="348" t="str">
        <f>"'"&amp;$C355&amp;"'!$E$62:$Y$62"</f>
        <v>'BLD_AB'!$E$62:$Y$62</v>
      </c>
      <c r="H355" s="381">
        <f ca="1">IF(IFERROR(INDEX(DATA_PROPERTY_MASTER!$E$5:$E$21,MATCH($C355,DATA_PROPERTY_MASTER!$A$5:$A$21,0))="Yes",FALSE),IFERROR(INDEX(INDIRECT("'"&amp;$C355&amp;"'!$E$62:$Y$62"),1,MATCH($D355,INDIRECT("'"&amp;$C355&amp;"'!$E$12:$Y$12"),0)),0),0)</f>
        <v>0</v>
      </c>
      <c r="I355" s="366" t="s">
        <v>1685</v>
      </c>
      <c r="J355" s="348" t="str">
        <f t="shared" ca="1" si="10"/>
        <v>OK</v>
      </c>
      <c r="K355" s="366" t="s">
        <v>1727</v>
      </c>
      <c r="L355" s="366" t="s">
        <v>2254</v>
      </c>
      <c r="M355" s="350" t="str">
        <f>IF($B355="Portfolio","Portfolio",IFERROR(INDEX(DATA_ASSET_CLASSIFICATION!$B$8:$B$24,MATCH($C355,DATA_ASSET_CLASSIFICATION!$A$8:$A$24,0)),"Review"))</f>
        <v>Alma Blackwell</v>
      </c>
      <c r="N355" s="350" t="str">
        <f>IF($B355="Portfolio","Portfolio",IFERROR(INDEX(DATA_ASSET_CLASSIFICATION!$U$8:$U$24,MATCH($C355,DATA_ASSET_CLASSIFICATION!$A$8:$A$24,0)),"Review"))</f>
        <v>Excluded</v>
      </c>
      <c r="O355" s="350" t="str">
        <f>IF($B355="Portfolio","Portfolio",IFERROR(INDEX(DATA_ASSET_CLASSIFICATION!$AB$8:$AB$13,MATCH($N355,DATA_ASSET_CLASSIFICATION!$AA$8:$AA$13,0)),"Review"))</f>
        <v>Bucket 0 · Excluded</v>
      </c>
      <c r="P355" s="350" t="str">
        <f>IF($B355="Portfolio","Portfolio",IFERROR(INDEX(DATA_ASSET_CLASSIFICATION!$C$8:$C$24,MATCH($C355,DATA_ASSET_CLASSIFICATION!$A$8:$A$24,0)),"Review"))</f>
        <v>No</v>
      </c>
      <c r="Q355" s="350" t="str">
        <f t="shared" ca="1" si="11"/>
        <v>OK</v>
      </c>
    </row>
    <row r="356" spans="1:17">
      <c r="A356" s="366" t="s">
        <v>2312</v>
      </c>
      <c r="B356" s="366" t="s">
        <v>231</v>
      </c>
      <c r="C356" s="348" t="str">
        <f>DATA_PROPERTY_MASTER!$A$5</f>
        <v>BLD_AB</v>
      </c>
      <c r="D356" s="380">
        <f>'00_PORTFOLIO ROLLUP'!H$12</f>
        <v>2028</v>
      </c>
      <c r="E356" s="366" t="s">
        <v>1721</v>
      </c>
      <c r="F356" s="366" t="s">
        <v>35</v>
      </c>
      <c r="G356" s="348" t="str">
        <f>"'"&amp;$C356&amp;"'!$E$63:$Y$63"</f>
        <v>'BLD_AB'!$E$63:$Y$63</v>
      </c>
      <c r="H356" s="381">
        <f ca="1">IF(IFERROR(INDEX(DATA_PROPERTY_MASTER!$E$5:$E$21,MATCH($C356,DATA_PROPERTY_MASTER!$A$5:$A$21,0))="Yes",FALSE),IFERROR(INDEX(INDIRECT("'"&amp;$C356&amp;"'!$E$63:$Y$63"),1,MATCH($D356,INDIRECT("'"&amp;$C356&amp;"'!$E$12:$Y$12"),0)),0),0)</f>
        <v>0</v>
      </c>
      <c r="I356" s="366" t="s">
        <v>1731</v>
      </c>
      <c r="J356" s="348" t="str">
        <f t="shared" ca="1" si="10"/>
        <v>OK</v>
      </c>
      <c r="K356" s="366" t="s">
        <v>1732</v>
      </c>
      <c r="L356" s="366" t="s">
        <v>2256</v>
      </c>
      <c r="M356" s="350" t="str">
        <f>IF($B356="Portfolio","Portfolio",IFERROR(INDEX(DATA_ASSET_CLASSIFICATION!$B$8:$B$24,MATCH($C356,DATA_ASSET_CLASSIFICATION!$A$8:$A$24,0)),"Review"))</f>
        <v>Alma Blackwell</v>
      </c>
      <c r="N356" s="350" t="str">
        <f>IF($B356="Portfolio","Portfolio",IFERROR(INDEX(DATA_ASSET_CLASSIFICATION!$U$8:$U$24,MATCH($C356,DATA_ASSET_CLASSIFICATION!$A$8:$A$24,0)),"Review"))</f>
        <v>Excluded</v>
      </c>
      <c r="O356" s="350" t="str">
        <f>IF($B356="Portfolio","Portfolio",IFERROR(INDEX(DATA_ASSET_CLASSIFICATION!$AB$8:$AB$13,MATCH($N356,DATA_ASSET_CLASSIFICATION!$AA$8:$AA$13,0)),"Review"))</f>
        <v>Bucket 0 · Excluded</v>
      </c>
      <c r="P356" s="350" t="str">
        <f>IF($B356="Portfolio","Portfolio",IFERROR(INDEX(DATA_ASSET_CLASSIFICATION!$C$8:$C$24,MATCH($C356,DATA_ASSET_CLASSIFICATION!$A$8:$A$24,0)),"Review"))</f>
        <v>No</v>
      </c>
      <c r="Q356" s="350" t="str">
        <f t="shared" ca="1" si="11"/>
        <v>OK</v>
      </c>
    </row>
    <row r="357" spans="1:17">
      <c r="A357" s="366" t="s">
        <v>2313</v>
      </c>
      <c r="B357" s="366" t="s">
        <v>231</v>
      </c>
      <c r="C357" s="348" t="str">
        <f>DATA_PROPERTY_MASTER!$A$5</f>
        <v>BLD_AB</v>
      </c>
      <c r="D357" s="380">
        <f>'00_PORTFOLIO ROLLUP'!H$12</f>
        <v>2028</v>
      </c>
      <c r="E357" s="366" t="s">
        <v>1721</v>
      </c>
      <c r="F357" s="366" t="s">
        <v>37</v>
      </c>
      <c r="G357" s="348" t="str">
        <f>"'"&amp;$C357&amp;"'!$E$63:$Y$63"</f>
        <v>'BLD_AB'!$E$63:$Y$63</v>
      </c>
      <c r="H357" s="381">
        <f ca="1">IF(IFERROR(INDEX(DATA_PROPERTY_MASTER!$E$5:$E$21,MATCH($C357,DATA_PROPERTY_MASTER!$A$5:$A$21,0))="Yes",FALSE),MAX(IFERROR(INDEX(INDIRECT("'"&amp;$C357&amp;"'!$E$63:$Y$63"),1,MATCH($D357,INDIRECT("'"&amp;$C357&amp;"'!$E$12:$Y$12"),0)),0),0),0)</f>
        <v>0</v>
      </c>
      <c r="I357" s="366" t="s">
        <v>1685</v>
      </c>
      <c r="J357" s="348" t="str">
        <f t="shared" ca="1" si="10"/>
        <v>OK</v>
      </c>
      <c r="K357" s="366" t="s">
        <v>1735</v>
      </c>
      <c r="L357" s="366" t="s">
        <v>2258</v>
      </c>
      <c r="M357" s="350" t="str">
        <f>IF($B357="Portfolio","Portfolio",IFERROR(INDEX(DATA_ASSET_CLASSIFICATION!$B$8:$B$24,MATCH($C357,DATA_ASSET_CLASSIFICATION!$A$8:$A$24,0)),"Review"))</f>
        <v>Alma Blackwell</v>
      </c>
      <c r="N357" s="350" t="str">
        <f>IF($B357="Portfolio","Portfolio",IFERROR(INDEX(DATA_ASSET_CLASSIFICATION!$U$8:$U$24,MATCH($C357,DATA_ASSET_CLASSIFICATION!$A$8:$A$24,0)),"Review"))</f>
        <v>Excluded</v>
      </c>
      <c r="O357" s="350" t="str">
        <f>IF($B357="Portfolio","Portfolio",IFERROR(INDEX(DATA_ASSET_CLASSIFICATION!$AB$8:$AB$13,MATCH($N357,DATA_ASSET_CLASSIFICATION!$AA$8:$AA$13,0)),"Review"))</f>
        <v>Bucket 0 · Excluded</v>
      </c>
      <c r="P357" s="350" t="str">
        <f>IF($B357="Portfolio","Portfolio",IFERROR(INDEX(DATA_ASSET_CLASSIFICATION!$C$8:$C$24,MATCH($C357,DATA_ASSET_CLASSIFICATION!$A$8:$A$24,0)),"Review"))</f>
        <v>No</v>
      </c>
      <c r="Q357" s="350" t="str">
        <f t="shared" ca="1" si="11"/>
        <v>OK</v>
      </c>
    </row>
    <row r="358" spans="1:17">
      <c r="A358" s="366" t="s">
        <v>2314</v>
      </c>
      <c r="B358" s="366" t="s">
        <v>231</v>
      </c>
      <c r="C358" s="348" t="str">
        <f>DATA_PROPERTY_MASTER!$A$5</f>
        <v>BLD_AB</v>
      </c>
      <c r="D358" s="380">
        <f>'00_PORTFOLIO ROLLUP'!H$12</f>
        <v>2028</v>
      </c>
      <c r="E358" s="366" t="s">
        <v>1721</v>
      </c>
      <c r="F358" s="366" t="s">
        <v>39</v>
      </c>
      <c r="G358" s="348" t="str">
        <f>"'"&amp;$C358&amp;"'!$E$63:$Y$63"</f>
        <v>'BLD_AB'!$E$63:$Y$63</v>
      </c>
      <c r="H358" s="381">
        <f ca="1">IF(IFERROR(INDEX(DATA_PROPERTY_MASTER!$E$5:$E$21,MATCH($C358,DATA_PROPERTY_MASTER!$A$5:$A$21,0))="Yes",FALSE),MAX(-IFERROR(INDEX(INDIRECT("'"&amp;$C358&amp;"'!$E$63:$Y$63"),1,MATCH($D358,INDIRECT("'"&amp;$C358&amp;"'!$E$12:$Y$12"),0)),0),0),0)</f>
        <v>0</v>
      </c>
      <c r="I358" s="366" t="s">
        <v>1690</v>
      </c>
      <c r="J358" s="348" t="str">
        <f t="shared" ca="1" si="10"/>
        <v>OK</v>
      </c>
      <c r="K358" s="366" t="s">
        <v>1738</v>
      </c>
      <c r="L358" s="366" t="s">
        <v>2260</v>
      </c>
      <c r="M358" s="350" t="str">
        <f>IF($B358="Portfolio","Portfolio",IFERROR(INDEX(DATA_ASSET_CLASSIFICATION!$B$8:$B$24,MATCH($C358,DATA_ASSET_CLASSIFICATION!$A$8:$A$24,0)),"Review"))</f>
        <v>Alma Blackwell</v>
      </c>
      <c r="N358" s="350" t="str">
        <f>IF($B358="Portfolio","Portfolio",IFERROR(INDEX(DATA_ASSET_CLASSIFICATION!$U$8:$U$24,MATCH($C358,DATA_ASSET_CLASSIFICATION!$A$8:$A$24,0)),"Review"))</f>
        <v>Excluded</v>
      </c>
      <c r="O358" s="350" t="str">
        <f>IF($B358="Portfolio","Portfolio",IFERROR(INDEX(DATA_ASSET_CLASSIFICATION!$AB$8:$AB$13,MATCH($N358,DATA_ASSET_CLASSIFICATION!$AA$8:$AA$13,0)),"Review"))</f>
        <v>Bucket 0 · Excluded</v>
      </c>
      <c r="P358" s="350" t="str">
        <f>IF($B358="Portfolio","Portfolio",IFERROR(INDEX(DATA_ASSET_CLASSIFICATION!$C$8:$C$24,MATCH($C358,DATA_ASSET_CLASSIFICATION!$A$8:$A$24,0)),"Review"))</f>
        <v>No</v>
      </c>
      <c r="Q358" s="350" t="str">
        <f t="shared" ca="1" si="11"/>
        <v>OK</v>
      </c>
    </row>
    <row r="359" spans="1:17">
      <c r="A359" s="366" t="s">
        <v>2315</v>
      </c>
      <c r="B359" s="366" t="s">
        <v>231</v>
      </c>
      <c r="C359" s="348" t="str">
        <f>DATA_PROPERTY_MASTER!$A$5</f>
        <v>BLD_AB</v>
      </c>
      <c r="D359" s="380">
        <f>'00_PORTFOLIO ROLLUP'!H$12</f>
        <v>2028</v>
      </c>
      <c r="E359" s="366" t="s">
        <v>1741</v>
      </c>
      <c r="F359" s="366" t="s">
        <v>41</v>
      </c>
      <c r="G359" s="348" t="str">
        <f>"'"&amp;$C359&amp;"'!rows 56 + positive row 63"</f>
        <v>'BLD_AB'!rows 56 + positive row 63</v>
      </c>
      <c r="H359" s="381">
        <f ca="1">IF(IFERROR(INDEX(DATA_PROPERTY_MASTER!$E$5:$E$21,MATCH($C359,DATA_PROPERTY_MASTER!$A$5:$A$21,0))="Yes",FALSE),IFERROR(INDEX(INDIRECT("'"&amp;$C359&amp;"'!$E$56:$Y$56"),1,MATCH($D359,INDIRECT("'"&amp;$C359&amp;"'!$E$12:$Y$12"),0)),0)+MAX(IFERROR(INDEX(INDIRECT("'"&amp;$C359&amp;"'!$E$63:$Y$63"),1,MATCH($D359,INDIRECT("'"&amp;$C359&amp;"'!$E$12:$Y$12"),0)),0),0),0)</f>
        <v>0</v>
      </c>
      <c r="I359" s="366" t="s">
        <v>1685</v>
      </c>
      <c r="J359" s="348" t="str">
        <f t="shared" ca="1" si="10"/>
        <v>OK</v>
      </c>
      <c r="K359" s="366" t="s">
        <v>1742</v>
      </c>
      <c r="L359" s="366" t="s">
        <v>2262</v>
      </c>
      <c r="M359" s="350" t="str">
        <f>IF($B359="Portfolio","Portfolio",IFERROR(INDEX(DATA_ASSET_CLASSIFICATION!$B$8:$B$24,MATCH($C359,DATA_ASSET_CLASSIFICATION!$A$8:$A$24,0)),"Review"))</f>
        <v>Alma Blackwell</v>
      </c>
      <c r="N359" s="350" t="str">
        <f>IF($B359="Portfolio","Portfolio",IFERROR(INDEX(DATA_ASSET_CLASSIFICATION!$U$8:$U$24,MATCH($C359,DATA_ASSET_CLASSIFICATION!$A$8:$A$24,0)),"Review"))</f>
        <v>Excluded</v>
      </c>
      <c r="O359" s="350" t="str">
        <f>IF($B359="Portfolio","Portfolio",IFERROR(INDEX(DATA_ASSET_CLASSIFICATION!$AB$8:$AB$13,MATCH($N359,DATA_ASSET_CLASSIFICATION!$AA$8:$AA$13,0)),"Review"))</f>
        <v>Bucket 0 · Excluded</v>
      </c>
      <c r="P359" s="350" t="str">
        <f>IF($B359="Portfolio","Portfolio",IFERROR(INDEX(DATA_ASSET_CLASSIFICATION!$C$8:$C$24,MATCH($C359,DATA_ASSET_CLASSIFICATION!$A$8:$A$24,0)),"Review"))</f>
        <v>No</v>
      </c>
      <c r="Q359" s="350" t="str">
        <f t="shared" ca="1" si="11"/>
        <v>OK</v>
      </c>
    </row>
    <row r="360" spans="1:17">
      <c r="A360" s="366" t="s">
        <v>2316</v>
      </c>
      <c r="B360" s="366" t="s">
        <v>231</v>
      </c>
      <c r="C360" s="348" t="str">
        <f>DATA_PROPERTY_MASTER!$A$5</f>
        <v>BLD_AB</v>
      </c>
      <c r="D360" s="380">
        <f>'00_PORTFOLIO ROLLUP'!H$12</f>
        <v>2028</v>
      </c>
      <c r="E360" s="366" t="s">
        <v>1741</v>
      </c>
      <c r="F360" s="366" t="s">
        <v>43</v>
      </c>
      <c r="G360" s="348" t="str">
        <f>"'"&amp;$C360&amp;"'!$E$68:$Y$68"</f>
        <v>'BLD_AB'!$E$68:$Y$68</v>
      </c>
      <c r="H360" s="381">
        <f ca="1">IF(IFERROR(INDEX(DATA_PROPERTY_MASTER!$E$5:$E$21,MATCH($C360,DATA_PROPERTY_MASTER!$A$5:$A$21,0))="Yes",FALSE),IFERROR(INDEX(INDIRECT("'"&amp;$C360&amp;"'!$E$68:$Y$68"),1,MATCH($D360,INDIRECT("'"&amp;$C360&amp;"'!$E$12:$Y$12"),0)),0),0)</f>
        <v>0</v>
      </c>
      <c r="I360" s="366" t="s">
        <v>1731</v>
      </c>
      <c r="J360" s="348" t="str">
        <f t="shared" ca="1" si="10"/>
        <v>OK</v>
      </c>
      <c r="K360" s="366" t="s">
        <v>1746</v>
      </c>
      <c r="L360" s="366" t="s">
        <v>2264</v>
      </c>
      <c r="M360" s="350" t="str">
        <f>IF($B360="Portfolio","Portfolio",IFERROR(INDEX(DATA_ASSET_CLASSIFICATION!$B$8:$B$24,MATCH($C360,DATA_ASSET_CLASSIFICATION!$A$8:$A$24,0)),"Review"))</f>
        <v>Alma Blackwell</v>
      </c>
      <c r="N360" s="350" t="str">
        <f>IF($B360="Portfolio","Portfolio",IFERROR(INDEX(DATA_ASSET_CLASSIFICATION!$U$8:$U$24,MATCH($C360,DATA_ASSET_CLASSIFICATION!$A$8:$A$24,0)),"Review"))</f>
        <v>Excluded</v>
      </c>
      <c r="O360" s="350" t="str">
        <f>IF($B360="Portfolio","Portfolio",IFERROR(INDEX(DATA_ASSET_CLASSIFICATION!$AB$8:$AB$13,MATCH($N360,DATA_ASSET_CLASSIFICATION!$AA$8:$AA$13,0)),"Review"))</f>
        <v>Bucket 0 · Excluded</v>
      </c>
      <c r="P360" s="350" t="str">
        <f>IF($B360="Portfolio","Portfolio",IFERROR(INDEX(DATA_ASSET_CLASSIFICATION!$C$8:$C$24,MATCH($C360,DATA_ASSET_CLASSIFICATION!$A$8:$A$24,0)),"Review"))</f>
        <v>No</v>
      </c>
      <c r="Q360" s="350" t="str">
        <f t="shared" ca="1" si="11"/>
        <v>OK</v>
      </c>
    </row>
    <row r="361" spans="1:17">
      <c r="A361" s="366" t="s">
        <v>2317</v>
      </c>
      <c r="B361" s="366" t="s">
        <v>231</v>
      </c>
      <c r="C361" s="348" t="str">
        <f>DATA_PROPERTY_MASTER!$A$5</f>
        <v>BLD_AB</v>
      </c>
      <c r="D361" s="380">
        <f>'00_PORTFOLIO ROLLUP'!H$12</f>
        <v>2028</v>
      </c>
      <c r="E361" s="366" t="s">
        <v>1741</v>
      </c>
      <c r="F361" s="366" t="s">
        <v>1749</v>
      </c>
      <c r="G361" s="348" t="str">
        <f>"'"&amp;$C361&amp;"'!rows 56, 63, 68"</f>
        <v>'BLD_AB'!rows 56, 63, 68</v>
      </c>
      <c r="H361" s="381">
        <f ca="1">IF(IFERROR(INDEX(DATA_PROPERTY_MASTER!$E$5:$E$21,MATCH($C361,DATA_PROPERTY_MASTER!$A$5:$A$21,0))="Yes",FALSE),(IFERROR(INDEX(INDIRECT("'"&amp;$C361&amp;"'!$E$56:$Y$56"),1,MATCH($D361,INDIRECT("'"&amp;$C361&amp;"'!$E$12:$Y$12"),0)),0)+MAX(IFERROR(INDEX(INDIRECT("'"&amp;$C361&amp;"'!$E$63:$Y$63"),1,MATCH($D361,INDIRECT("'"&amp;$C361&amp;"'!$E$12:$Y$12"),0)),0),0))-(IFERROR(INDEX(INDIRECT("'"&amp;$C361&amp;"'!$E$68:$Y$68"),1,MATCH($D361,INDIRECT("'"&amp;$C361&amp;"'!$E$12:$Y$12"),0)),0)),0)</f>
        <v>0</v>
      </c>
      <c r="I361" s="366" t="s">
        <v>1750</v>
      </c>
      <c r="J361" s="348" t="str">
        <f t="shared" ca="1" si="10"/>
        <v>OK</v>
      </c>
      <c r="K361" s="366" t="s">
        <v>1751</v>
      </c>
      <c r="L361" s="366" t="s">
        <v>2266</v>
      </c>
      <c r="M361" s="350" t="str">
        <f>IF($B361="Portfolio","Portfolio",IFERROR(INDEX(DATA_ASSET_CLASSIFICATION!$B$8:$B$24,MATCH($C361,DATA_ASSET_CLASSIFICATION!$A$8:$A$24,0)),"Review"))</f>
        <v>Alma Blackwell</v>
      </c>
      <c r="N361" s="350" t="str">
        <f>IF($B361="Portfolio","Portfolio",IFERROR(INDEX(DATA_ASSET_CLASSIFICATION!$U$8:$U$24,MATCH($C361,DATA_ASSET_CLASSIFICATION!$A$8:$A$24,0)),"Review"))</f>
        <v>Excluded</v>
      </c>
      <c r="O361" s="350" t="str">
        <f>IF($B361="Portfolio","Portfolio",IFERROR(INDEX(DATA_ASSET_CLASSIFICATION!$AB$8:$AB$13,MATCH($N361,DATA_ASSET_CLASSIFICATION!$AA$8:$AA$13,0)),"Review"))</f>
        <v>Bucket 0 · Excluded</v>
      </c>
      <c r="P361" s="350" t="str">
        <f>IF($B361="Portfolio","Portfolio",IFERROR(INDEX(DATA_ASSET_CLASSIFICATION!$C$8:$C$24,MATCH($C361,DATA_ASSET_CLASSIFICATION!$A$8:$A$24,0)),"Review"))</f>
        <v>No</v>
      </c>
      <c r="Q361" s="350" t="str">
        <f t="shared" ca="1" si="11"/>
        <v>OK</v>
      </c>
    </row>
    <row r="362" spans="1:17">
      <c r="A362" s="366" t="s">
        <v>2318</v>
      </c>
      <c r="B362" s="366" t="s">
        <v>231</v>
      </c>
      <c r="C362" s="348" t="str">
        <f>DATA_PROPERTY_MASTER!$A$5</f>
        <v>BLD_AB</v>
      </c>
      <c r="D362" s="380">
        <f>'00_PORTFOLIO ROLLUP'!I$12</f>
        <v>2029</v>
      </c>
      <c r="E362" s="366" t="s">
        <v>1683</v>
      </c>
      <c r="F362" s="366" t="s">
        <v>341</v>
      </c>
      <c r="G362" s="348" t="str">
        <f>"'"&amp;$C362&amp;"'!$E$24:$Y$24"</f>
        <v>'BLD_AB'!$E$24:$Y$24</v>
      </c>
      <c r="H362" s="381">
        <f ca="1">IF(IFERROR(INDEX(DATA_PROPERTY_MASTER!$E$5:$E$21,MATCH($C362,DATA_PROPERTY_MASTER!$A$5:$A$21,0))="Yes",FALSE),IFERROR(INDEX(INDIRECT("'"&amp;$C362&amp;"'!$E$24:$Y$24"),1,MATCH($D362,INDIRECT("'"&amp;$C362&amp;"'!$E$12:$Y$12"),0)),0),0)</f>
        <v>0</v>
      </c>
      <c r="I362" s="366" t="s">
        <v>1685</v>
      </c>
      <c r="J362" s="348" t="str">
        <f t="shared" ca="1" si="10"/>
        <v>OK</v>
      </c>
      <c r="K362" s="366" t="s">
        <v>1686</v>
      </c>
      <c r="L362" s="366" t="s">
        <v>2234</v>
      </c>
      <c r="M362" s="350" t="str">
        <f>IF($B362="Portfolio","Portfolio",IFERROR(INDEX(DATA_ASSET_CLASSIFICATION!$B$8:$B$24,MATCH($C362,DATA_ASSET_CLASSIFICATION!$A$8:$A$24,0)),"Review"))</f>
        <v>Alma Blackwell</v>
      </c>
      <c r="N362" s="350" t="str">
        <f>IF($B362="Portfolio","Portfolio",IFERROR(INDEX(DATA_ASSET_CLASSIFICATION!$U$8:$U$24,MATCH($C362,DATA_ASSET_CLASSIFICATION!$A$8:$A$24,0)),"Review"))</f>
        <v>Excluded</v>
      </c>
      <c r="O362" s="350" t="str">
        <f>IF($B362="Portfolio","Portfolio",IFERROR(INDEX(DATA_ASSET_CLASSIFICATION!$AB$8:$AB$13,MATCH($N362,DATA_ASSET_CLASSIFICATION!$AA$8:$AA$13,0)),"Review"))</f>
        <v>Bucket 0 · Excluded</v>
      </c>
      <c r="P362" s="350" t="str">
        <f>IF($B362="Portfolio","Portfolio",IFERROR(INDEX(DATA_ASSET_CLASSIFICATION!$C$8:$C$24,MATCH($C362,DATA_ASSET_CLASSIFICATION!$A$8:$A$24,0)),"Review"))</f>
        <v>No</v>
      </c>
      <c r="Q362" s="350" t="str">
        <f t="shared" ca="1" si="11"/>
        <v>OK</v>
      </c>
    </row>
    <row r="363" spans="1:17">
      <c r="A363" s="366" t="s">
        <v>2319</v>
      </c>
      <c r="B363" s="366" t="s">
        <v>231</v>
      </c>
      <c r="C363" s="348" t="str">
        <f>DATA_PROPERTY_MASTER!$A$5</f>
        <v>BLD_AB</v>
      </c>
      <c r="D363" s="380">
        <f>'00_PORTFOLIO ROLLUP'!I$12</f>
        <v>2029</v>
      </c>
      <c r="E363" s="366" t="s">
        <v>1683</v>
      </c>
      <c r="F363" s="366" t="s">
        <v>355</v>
      </c>
      <c r="G363" s="348" t="str">
        <f>"'"&amp;$C363&amp;"'!$E$39:$Y$39"</f>
        <v>'BLD_AB'!$E$39:$Y$39</v>
      </c>
      <c r="H363" s="381">
        <f ca="1">IF(IFERROR(INDEX(DATA_PROPERTY_MASTER!$E$5:$E$21,MATCH($C363,DATA_PROPERTY_MASTER!$A$5:$A$21,0))="Yes",FALSE),IFERROR(INDEX(INDIRECT("'"&amp;$C363&amp;"'!$E$39:$Y$39"),1,MATCH($D363,INDIRECT("'"&amp;$C363&amp;"'!$E$12:$Y$12"),0)),0),0)</f>
        <v>0</v>
      </c>
      <c r="I363" s="366" t="s">
        <v>1690</v>
      </c>
      <c r="J363" s="348" t="str">
        <f t="shared" ca="1" si="10"/>
        <v>OK</v>
      </c>
      <c r="K363" s="366" t="s">
        <v>1686</v>
      </c>
      <c r="L363" s="366" t="s">
        <v>2236</v>
      </c>
      <c r="M363" s="350" t="str">
        <f>IF($B363="Portfolio","Portfolio",IFERROR(INDEX(DATA_ASSET_CLASSIFICATION!$B$8:$B$24,MATCH($C363,DATA_ASSET_CLASSIFICATION!$A$8:$A$24,0)),"Review"))</f>
        <v>Alma Blackwell</v>
      </c>
      <c r="N363" s="350" t="str">
        <f>IF($B363="Portfolio","Portfolio",IFERROR(INDEX(DATA_ASSET_CLASSIFICATION!$U$8:$U$24,MATCH($C363,DATA_ASSET_CLASSIFICATION!$A$8:$A$24,0)),"Review"))</f>
        <v>Excluded</v>
      </c>
      <c r="O363" s="350" t="str">
        <f>IF($B363="Portfolio","Portfolio",IFERROR(INDEX(DATA_ASSET_CLASSIFICATION!$AB$8:$AB$13,MATCH($N363,DATA_ASSET_CLASSIFICATION!$AA$8:$AA$13,0)),"Review"))</f>
        <v>Bucket 0 · Excluded</v>
      </c>
      <c r="P363" s="350" t="str">
        <f>IF($B363="Portfolio","Portfolio",IFERROR(INDEX(DATA_ASSET_CLASSIFICATION!$C$8:$C$24,MATCH($C363,DATA_ASSET_CLASSIFICATION!$A$8:$A$24,0)),"Review"))</f>
        <v>No</v>
      </c>
      <c r="Q363" s="350" t="str">
        <f t="shared" ca="1" si="11"/>
        <v>OK</v>
      </c>
    </row>
    <row r="364" spans="1:17">
      <c r="A364" s="366" t="s">
        <v>2320</v>
      </c>
      <c r="B364" s="366" t="s">
        <v>231</v>
      </c>
      <c r="C364" s="348" t="str">
        <f>DATA_PROPERTY_MASTER!$A$5</f>
        <v>BLD_AB</v>
      </c>
      <c r="D364" s="380">
        <f>'00_PORTFOLIO ROLLUP'!I$12</f>
        <v>2029</v>
      </c>
      <c r="E364" s="366" t="s">
        <v>1683</v>
      </c>
      <c r="F364" s="366" t="s">
        <v>19</v>
      </c>
      <c r="G364" s="348" t="str">
        <f>"'"&amp;$C364&amp;"'!$E$41:$Y$41"</f>
        <v>'BLD_AB'!$E$41:$Y$41</v>
      </c>
      <c r="H364" s="381">
        <f ca="1">IF(IFERROR(INDEX(DATA_PROPERTY_MASTER!$E$5:$E$21,MATCH($C364,DATA_PROPERTY_MASTER!$A$5:$A$21,0))="Yes",FALSE),IFERROR(INDEX(INDIRECT("'"&amp;$C364&amp;"'!$E$41:$Y$41"),1,MATCH($D364,INDIRECT("'"&amp;$C364&amp;"'!$E$12:$Y$12"),0)),0),0)</f>
        <v>0</v>
      </c>
      <c r="I364" s="366" t="s">
        <v>1685</v>
      </c>
      <c r="J364" s="348" t="str">
        <f t="shared" ca="1" si="10"/>
        <v>OK</v>
      </c>
      <c r="K364" s="366" t="s">
        <v>1694</v>
      </c>
      <c r="L364" s="366" t="s">
        <v>2238</v>
      </c>
      <c r="M364" s="350" t="str">
        <f>IF($B364="Portfolio","Portfolio",IFERROR(INDEX(DATA_ASSET_CLASSIFICATION!$B$8:$B$24,MATCH($C364,DATA_ASSET_CLASSIFICATION!$A$8:$A$24,0)),"Review"))</f>
        <v>Alma Blackwell</v>
      </c>
      <c r="N364" s="350" t="str">
        <f>IF($B364="Portfolio","Portfolio",IFERROR(INDEX(DATA_ASSET_CLASSIFICATION!$U$8:$U$24,MATCH($C364,DATA_ASSET_CLASSIFICATION!$A$8:$A$24,0)),"Review"))</f>
        <v>Excluded</v>
      </c>
      <c r="O364" s="350" t="str">
        <f>IF($B364="Portfolio","Portfolio",IFERROR(INDEX(DATA_ASSET_CLASSIFICATION!$AB$8:$AB$13,MATCH($N364,DATA_ASSET_CLASSIFICATION!$AA$8:$AA$13,0)),"Review"))</f>
        <v>Bucket 0 · Excluded</v>
      </c>
      <c r="P364" s="350" t="str">
        <f>IF($B364="Portfolio","Portfolio",IFERROR(INDEX(DATA_ASSET_CLASSIFICATION!$C$8:$C$24,MATCH($C364,DATA_ASSET_CLASSIFICATION!$A$8:$A$24,0)),"Review"))</f>
        <v>No</v>
      </c>
      <c r="Q364" s="350" t="str">
        <f t="shared" ca="1" si="11"/>
        <v>OK</v>
      </c>
    </row>
    <row r="365" spans="1:17">
      <c r="A365" s="366" t="s">
        <v>2321</v>
      </c>
      <c r="B365" s="366" t="s">
        <v>231</v>
      </c>
      <c r="C365" s="348" t="str">
        <f>DATA_PROPERTY_MASTER!$A$5</f>
        <v>BLD_AB</v>
      </c>
      <c r="D365" s="380">
        <f>'00_PORTFOLIO ROLLUP'!I$12</f>
        <v>2029</v>
      </c>
      <c r="E365" s="366" t="s">
        <v>1683</v>
      </c>
      <c r="F365" s="366" t="s">
        <v>1697</v>
      </c>
      <c r="G365" s="348" t="str">
        <f>"'"&amp;$C365&amp;"'!$E$44:$Y$44"</f>
        <v>'BLD_AB'!$E$44:$Y$44</v>
      </c>
      <c r="H365" s="381">
        <f ca="1">IF(IFERROR(INDEX(DATA_PROPERTY_MASTER!$E$5:$E$21,MATCH($C365,DATA_PROPERTY_MASTER!$A$5:$A$21,0))="Yes",FALSE),IFERROR(INDEX(INDIRECT("'"&amp;$C365&amp;"'!$E$44:$Y$44"),1,MATCH($D365,INDIRECT("'"&amp;$C365&amp;"'!$E$12:$Y$12"),0)),0),0)</f>
        <v>0</v>
      </c>
      <c r="I365" s="366" t="s">
        <v>1690</v>
      </c>
      <c r="J365" s="348" t="str">
        <f t="shared" ca="1" si="10"/>
        <v>OK</v>
      </c>
      <c r="K365" s="366" t="s">
        <v>1699</v>
      </c>
      <c r="L365" s="366" t="s">
        <v>2240</v>
      </c>
      <c r="M365" s="350" t="str">
        <f>IF($B365="Portfolio","Portfolio",IFERROR(INDEX(DATA_ASSET_CLASSIFICATION!$B$8:$B$24,MATCH($C365,DATA_ASSET_CLASSIFICATION!$A$8:$A$24,0)),"Review"))</f>
        <v>Alma Blackwell</v>
      </c>
      <c r="N365" s="350" t="str">
        <f>IF($B365="Portfolio","Portfolio",IFERROR(INDEX(DATA_ASSET_CLASSIFICATION!$U$8:$U$24,MATCH($C365,DATA_ASSET_CLASSIFICATION!$A$8:$A$24,0)),"Review"))</f>
        <v>Excluded</v>
      </c>
      <c r="O365" s="350" t="str">
        <f>IF($B365="Portfolio","Portfolio",IFERROR(INDEX(DATA_ASSET_CLASSIFICATION!$AB$8:$AB$13,MATCH($N365,DATA_ASSET_CLASSIFICATION!$AA$8:$AA$13,0)),"Review"))</f>
        <v>Bucket 0 · Excluded</v>
      </c>
      <c r="P365" s="350" t="str">
        <f>IF($B365="Portfolio","Portfolio",IFERROR(INDEX(DATA_ASSET_CLASSIFICATION!$C$8:$C$24,MATCH($C365,DATA_ASSET_CLASSIFICATION!$A$8:$A$24,0)),"Review"))</f>
        <v>No</v>
      </c>
      <c r="Q365" s="350" t="str">
        <f t="shared" ca="1" si="11"/>
        <v>OK</v>
      </c>
    </row>
    <row r="366" spans="1:17">
      <c r="A366" s="366" t="s">
        <v>2322</v>
      </c>
      <c r="B366" s="366" t="s">
        <v>231</v>
      </c>
      <c r="C366" s="348" t="str">
        <f>DATA_PROPERTY_MASTER!$A$5</f>
        <v>BLD_AB</v>
      </c>
      <c r="D366" s="380">
        <f>'00_PORTFOLIO ROLLUP'!I$12</f>
        <v>2029</v>
      </c>
      <c r="E366" s="366" t="s">
        <v>1683</v>
      </c>
      <c r="F366" s="366" t="s">
        <v>21</v>
      </c>
      <c r="G366" s="348" t="str">
        <f>"'"&amp;$C366&amp;"'!$E$45:$Y$45"</f>
        <v>'BLD_AB'!$E$45:$Y$45</v>
      </c>
      <c r="H366" s="381">
        <f ca="1">IF(IFERROR(INDEX(DATA_PROPERTY_MASTER!$E$5:$E$21,MATCH($C366,DATA_PROPERTY_MASTER!$A$5:$A$21,0))="Yes",FALSE),IFERROR(INDEX(INDIRECT("'"&amp;$C366&amp;"'!$E$45:$Y$45"),1,MATCH($D366,INDIRECT("'"&amp;$C366&amp;"'!$E$12:$Y$12"),0)),0),0)</f>
        <v>0</v>
      </c>
      <c r="I366" s="366" t="s">
        <v>1685</v>
      </c>
      <c r="J366" s="348" t="str">
        <f t="shared" ca="1" si="10"/>
        <v>OK</v>
      </c>
      <c r="K366" s="366" t="s">
        <v>1694</v>
      </c>
      <c r="L366" s="366" t="s">
        <v>2242</v>
      </c>
      <c r="M366" s="350" t="str">
        <f>IF($B366="Portfolio","Portfolio",IFERROR(INDEX(DATA_ASSET_CLASSIFICATION!$B$8:$B$24,MATCH($C366,DATA_ASSET_CLASSIFICATION!$A$8:$A$24,0)),"Review"))</f>
        <v>Alma Blackwell</v>
      </c>
      <c r="N366" s="350" t="str">
        <f>IF($B366="Portfolio","Portfolio",IFERROR(INDEX(DATA_ASSET_CLASSIFICATION!$U$8:$U$24,MATCH($C366,DATA_ASSET_CLASSIFICATION!$A$8:$A$24,0)),"Review"))</f>
        <v>Excluded</v>
      </c>
      <c r="O366" s="350" t="str">
        <f>IF($B366="Portfolio","Portfolio",IFERROR(INDEX(DATA_ASSET_CLASSIFICATION!$AB$8:$AB$13,MATCH($N366,DATA_ASSET_CLASSIFICATION!$AA$8:$AA$13,0)),"Review"))</f>
        <v>Bucket 0 · Excluded</v>
      </c>
      <c r="P366" s="350" t="str">
        <f>IF($B366="Portfolio","Portfolio",IFERROR(INDEX(DATA_ASSET_CLASSIFICATION!$C$8:$C$24,MATCH($C366,DATA_ASSET_CLASSIFICATION!$A$8:$A$24,0)),"Review"))</f>
        <v>No</v>
      </c>
      <c r="Q366" s="350" t="str">
        <f t="shared" ca="1" si="11"/>
        <v>OK</v>
      </c>
    </row>
    <row r="367" spans="1:17">
      <c r="A367" s="366" t="s">
        <v>2323</v>
      </c>
      <c r="B367" s="366" t="s">
        <v>231</v>
      </c>
      <c r="C367" s="348" t="str">
        <f>DATA_PROPERTY_MASTER!$A$5</f>
        <v>BLD_AB</v>
      </c>
      <c r="D367" s="380">
        <f>'00_PORTFOLIO ROLLUP'!I$12</f>
        <v>2029</v>
      </c>
      <c r="E367" s="366" t="s">
        <v>23</v>
      </c>
      <c r="F367" s="366" t="s">
        <v>23</v>
      </c>
      <c r="G367" s="348" t="str">
        <f>"'"&amp;$C367&amp;"'!$E$48:$Y$48"</f>
        <v>'BLD_AB'!$E$48:$Y$48</v>
      </c>
      <c r="H367" s="381">
        <f ca="1">IF(IFERROR(INDEX(DATA_PROPERTY_MASTER!$E$5:$E$21,MATCH($C367,DATA_PROPERTY_MASTER!$A$5:$A$21,0))="Yes",FALSE),IFERROR(INDEX(INDIRECT("'"&amp;$C367&amp;"'!$E$48:$Y$48"),1,MATCH($D367,INDIRECT("'"&amp;$C367&amp;"'!$E$12:$Y$12"),0)),0),0)</f>
        <v>0</v>
      </c>
      <c r="I367" s="366" t="s">
        <v>1690</v>
      </c>
      <c r="J367" s="348" t="str">
        <f t="shared" ca="1" si="10"/>
        <v>OK</v>
      </c>
      <c r="K367" s="366" t="s">
        <v>1706</v>
      </c>
      <c r="L367" s="366" t="s">
        <v>2244</v>
      </c>
      <c r="M367" s="350" t="str">
        <f>IF($B367="Portfolio","Portfolio",IFERROR(INDEX(DATA_ASSET_CLASSIFICATION!$B$8:$B$24,MATCH($C367,DATA_ASSET_CLASSIFICATION!$A$8:$A$24,0)),"Review"))</f>
        <v>Alma Blackwell</v>
      </c>
      <c r="N367" s="350" t="str">
        <f>IF($B367="Portfolio","Portfolio",IFERROR(INDEX(DATA_ASSET_CLASSIFICATION!$U$8:$U$24,MATCH($C367,DATA_ASSET_CLASSIFICATION!$A$8:$A$24,0)),"Review"))</f>
        <v>Excluded</v>
      </c>
      <c r="O367" s="350" t="str">
        <f>IF($B367="Portfolio","Portfolio",IFERROR(INDEX(DATA_ASSET_CLASSIFICATION!$AB$8:$AB$13,MATCH($N367,DATA_ASSET_CLASSIFICATION!$AA$8:$AA$13,0)),"Review"))</f>
        <v>Bucket 0 · Excluded</v>
      </c>
      <c r="P367" s="350" t="str">
        <f>IF($B367="Portfolio","Portfolio",IFERROR(INDEX(DATA_ASSET_CLASSIFICATION!$C$8:$C$24,MATCH($C367,DATA_ASSET_CLASSIFICATION!$A$8:$A$24,0)),"Review"))</f>
        <v>No</v>
      </c>
      <c r="Q367" s="350" t="str">
        <f t="shared" ca="1" si="11"/>
        <v>OK</v>
      </c>
    </row>
    <row r="368" spans="1:17">
      <c r="A368" s="366" t="s">
        <v>2324</v>
      </c>
      <c r="B368" s="366" t="s">
        <v>231</v>
      </c>
      <c r="C368" s="348" t="str">
        <f>DATA_PROPERTY_MASTER!$A$5</f>
        <v>BLD_AB</v>
      </c>
      <c r="D368" s="380">
        <f>'00_PORTFOLIO ROLLUP'!I$12</f>
        <v>2029</v>
      </c>
      <c r="E368" s="366" t="s">
        <v>1683</v>
      </c>
      <c r="F368" s="366" t="s">
        <v>25</v>
      </c>
      <c r="G368" s="348" t="str">
        <f>"'"&amp;$C368&amp;"'!$E$52:$Y$52"</f>
        <v>'BLD_AB'!$E$52:$Y$52</v>
      </c>
      <c r="H368" s="381">
        <f ca="1">IF(IFERROR(INDEX(DATA_PROPERTY_MASTER!$E$5:$E$21,MATCH($C368,DATA_PROPERTY_MASTER!$A$5:$A$21,0))="Yes",FALSE),IFERROR(INDEX(INDIRECT("'"&amp;$C368&amp;"'!$E$52:$Y$52"),1,MATCH($D368,INDIRECT("'"&amp;$C368&amp;"'!$E$12:$Y$12"),0)),0),0)</f>
        <v>0</v>
      </c>
      <c r="I368" s="366" t="s">
        <v>1685</v>
      </c>
      <c r="J368" s="348" t="str">
        <f t="shared" ca="1" si="10"/>
        <v>OK</v>
      </c>
      <c r="K368" s="366" t="s">
        <v>1710</v>
      </c>
      <c r="L368" s="366" t="s">
        <v>2246</v>
      </c>
      <c r="M368" s="350" t="str">
        <f>IF($B368="Portfolio","Portfolio",IFERROR(INDEX(DATA_ASSET_CLASSIFICATION!$B$8:$B$24,MATCH($C368,DATA_ASSET_CLASSIFICATION!$A$8:$A$24,0)),"Review"))</f>
        <v>Alma Blackwell</v>
      </c>
      <c r="N368" s="350" t="str">
        <f>IF($B368="Portfolio","Portfolio",IFERROR(INDEX(DATA_ASSET_CLASSIFICATION!$U$8:$U$24,MATCH($C368,DATA_ASSET_CLASSIFICATION!$A$8:$A$24,0)),"Review"))</f>
        <v>Excluded</v>
      </c>
      <c r="O368" s="350" t="str">
        <f>IF($B368="Portfolio","Portfolio",IFERROR(INDEX(DATA_ASSET_CLASSIFICATION!$AB$8:$AB$13,MATCH($N368,DATA_ASSET_CLASSIFICATION!$AA$8:$AA$13,0)),"Review"))</f>
        <v>Bucket 0 · Excluded</v>
      </c>
      <c r="P368" s="350" t="str">
        <f>IF($B368="Portfolio","Portfolio",IFERROR(INDEX(DATA_ASSET_CLASSIFICATION!$C$8:$C$24,MATCH($C368,DATA_ASSET_CLASSIFICATION!$A$8:$A$24,0)),"Review"))</f>
        <v>No</v>
      </c>
      <c r="Q368" s="350" t="str">
        <f t="shared" ca="1" si="11"/>
        <v>OK</v>
      </c>
    </row>
    <row r="369" spans="1:17">
      <c r="A369" s="366" t="s">
        <v>2325</v>
      </c>
      <c r="B369" s="366" t="s">
        <v>231</v>
      </c>
      <c r="C369" s="348" t="str">
        <f>DATA_PROPERTY_MASTER!$A$5</f>
        <v>BLD_AB</v>
      </c>
      <c r="D369" s="380">
        <f>'00_PORTFOLIO ROLLUP'!I$12</f>
        <v>2029</v>
      </c>
      <c r="E369" s="366" t="s">
        <v>1683</v>
      </c>
      <c r="F369" s="366" t="s">
        <v>27</v>
      </c>
      <c r="G369" s="348" t="str">
        <f>"'"&amp;$C369&amp;"'!$E$54:$Y$54"</f>
        <v>'BLD_AB'!$E$54:$Y$54</v>
      </c>
      <c r="H369" s="381">
        <f ca="1">IF(IFERROR(INDEX(DATA_PROPERTY_MASTER!$E$5:$E$21,MATCH($C369,DATA_PROPERTY_MASTER!$A$5:$A$21,0))="Yes",FALSE),IFERROR(INDEX(INDIRECT("'"&amp;$C369&amp;"'!$E$54:$Y$54"),1,MATCH($D369,INDIRECT("'"&amp;$C369&amp;"'!$E$12:$Y$12"),0)),0),0)</f>
        <v>0</v>
      </c>
      <c r="I369" s="366" t="s">
        <v>1690</v>
      </c>
      <c r="J369" s="348" t="str">
        <f t="shared" ca="1" si="10"/>
        <v>OK</v>
      </c>
      <c r="K369" s="366" t="s">
        <v>1714</v>
      </c>
      <c r="L369" s="366" t="s">
        <v>2248</v>
      </c>
      <c r="M369" s="350" t="str">
        <f>IF($B369="Portfolio","Portfolio",IFERROR(INDEX(DATA_ASSET_CLASSIFICATION!$B$8:$B$24,MATCH($C369,DATA_ASSET_CLASSIFICATION!$A$8:$A$24,0)),"Review"))</f>
        <v>Alma Blackwell</v>
      </c>
      <c r="N369" s="350" t="str">
        <f>IF($B369="Portfolio","Portfolio",IFERROR(INDEX(DATA_ASSET_CLASSIFICATION!$U$8:$U$24,MATCH($C369,DATA_ASSET_CLASSIFICATION!$A$8:$A$24,0)),"Review"))</f>
        <v>Excluded</v>
      </c>
      <c r="O369" s="350" t="str">
        <f>IF($B369="Portfolio","Portfolio",IFERROR(INDEX(DATA_ASSET_CLASSIFICATION!$AB$8:$AB$13,MATCH($N369,DATA_ASSET_CLASSIFICATION!$AA$8:$AA$13,0)),"Review"))</f>
        <v>Bucket 0 · Excluded</v>
      </c>
      <c r="P369" s="350" t="str">
        <f>IF($B369="Portfolio","Portfolio",IFERROR(INDEX(DATA_ASSET_CLASSIFICATION!$C$8:$C$24,MATCH($C369,DATA_ASSET_CLASSIFICATION!$A$8:$A$24,0)),"Review"))</f>
        <v>No</v>
      </c>
      <c r="Q369" s="350" t="str">
        <f t="shared" ca="1" si="11"/>
        <v>OK</v>
      </c>
    </row>
    <row r="370" spans="1:17">
      <c r="A370" s="366" t="s">
        <v>2326</v>
      </c>
      <c r="B370" s="366" t="s">
        <v>231</v>
      </c>
      <c r="C370" s="348" t="str">
        <f>DATA_PROPERTY_MASTER!$A$5</f>
        <v>BLD_AB</v>
      </c>
      <c r="D370" s="380">
        <f>'00_PORTFOLIO ROLLUP'!I$12</f>
        <v>2029</v>
      </c>
      <c r="E370" s="366" t="s">
        <v>1683</v>
      </c>
      <c r="F370" s="366" t="s">
        <v>29</v>
      </c>
      <c r="G370" s="348" t="str">
        <f>"'"&amp;$C370&amp;"'!$E$56:$Y$56"</f>
        <v>'BLD_AB'!$E$56:$Y$56</v>
      </c>
      <c r="H370" s="381">
        <f ca="1">IF(IFERROR(INDEX(DATA_PROPERTY_MASTER!$E$5:$E$21,MATCH($C370,DATA_PROPERTY_MASTER!$A$5:$A$21,0))="Yes",FALSE),IFERROR(INDEX(INDIRECT("'"&amp;$C370&amp;"'!$E$56:$Y$56"),1,MATCH($D370,INDIRECT("'"&amp;$C370&amp;"'!$E$12:$Y$12"),0)),0),0)</f>
        <v>0</v>
      </c>
      <c r="I370" s="366" t="s">
        <v>1685</v>
      </c>
      <c r="J370" s="348" t="str">
        <f t="shared" ca="1" si="10"/>
        <v>OK</v>
      </c>
      <c r="K370" s="366" t="s">
        <v>1718</v>
      </c>
      <c r="L370" s="366" t="s">
        <v>2250</v>
      </c>
      <c r="M370" s="350" t="str">
        <f>IF($B370="Portfolio","Portfolio",IFERROR(INDEX(DATA_ASSET_CLASSIFICATION!$B$8:$B$24,MATCH($C370,DATA_ASSET_CLASSIFICATION!$A$8:$A$24,0)),"Review"))</f>
        <v>Alma Blackwell</v>
      </c>
      <c r="N370" s="350" t="str">
        <f>IF($B370="Portfolio","Portfolio",IFERROR(INDEX(DATA_ASSET_CLASSIFICATION!$U$8:$U$24,MATCH($C370,DATA_ASSET_CLASSIFICATION!$A$8:$A$24,0)),"Review"))</f>
        <v>Excluded</v>
      </c>
      <c r="O370" s="350" t="str">
        <f>IF($B370="Portfolio","Portfolio",IFERROR(INDEX(DATA_ASSET_CLASSIFICATION!$AB$8:$AB$13,MATCH($N370,DATA_ASSET_CLASSIFICATION!$AA$8:$AA$13,0)),"Review"))</f>
        <v>Bucket 0 · Excluded</v>
      </c>
      <c r="P370" s="350" t="str">
        <f>IF($B370="Portfolio","Portfolio",IFERROR(INDEX(DATA_ASSET_CLASSIFICATION!$C$8:$C$24,MATCH($C370,DATA_ASSET_CLASSIFICATION!$A$8:$A$24,0)),"Review"))</f>
        <v>No</v>
      </c>
      <c r="Q370" s="350" t="str">
        <f t="shared" ca="1" si="11"/>
        <v>OK</v>
      </c>
    </row>
    <row r="371" spans="1:17">
      <c r="A371" s="366" t="s">
        <v>2327</v>
      </c>
      <c r="B371" s="366" t="s">
        <v>231</v>
      </c>
      <c r="C371" s="348" t="str">
        <f>DATA_PROPERTY_MASTER!$A$5</f>
        <v>BLD_AB</v>
      </c>
      <c r="D371" s="380">
        <f>'00_PORTFOLIO ROLLUP'!I$12</f>
        <v>2029</v>
      </c>
      <c r="E371" s="366" t="s">
        <v>1721</v>
      </c>
      <c r="F371" s="366" t="s">
        <v>31</v>
      </c>
      <c r="G371" s="348" t="str">
        <f>"'"&amp;$C371&amp;"'!$E$61:$Y$61"</f>
        <v>'BLD_AB'!$E$61:$Y$61</v>
      </c>
      <c r="H371" s="381">
        <f ca="1">IF(IFERROR(INDEX(DATA_PROPERTY_MASTER!$E$5:$E$21,MATCH($C371,DATA_PROPERTY_MASTER!$A$5:$A$21,0))="Yes",FALSE),IFERROR(INDEX(INDIRECT("'"&amp;$C371&amp;"'!$E$61:$Y$61"),1,MATCH($D371,INDIRECT("'"&amp;$C371&amp;"'!$E$12:$Y$12"),0)),0),0)</f>
        <v>0</v>
      </c>
      <c r="I371" s="366" t="s">
        <v>1690</v>
      </c>
      <c r="J371" s="348" t="str">
        <f t="shared" ca="1" si="10"/>
        <v>OK</v>
      </c>
      <c r="K371" s="366" t="s">
        <v>1723</v>
      </c>
      <c r="L371" s="366" t="s">
        <v>2252</v>
      </c>
      <c r="M371" s="350" t="str">
        <f>IF($B371="Portfolio","Portfolio",IFERROR(INDEX(DATA_ASSET_CLASSIFICATION!$B$8:$B$24,MATCH($C371,DATA_ASSET_CLASSIFICATION!$A$8:$A$24,0)),"Review"))</f>
        <v>Alma Blackwell</v>
      </c>
      <c r="N371" s="350" t="str">
        <f>IF($B371="Portfolio","Portfolio",IFERROR(INDEX(DATA_ASSET_CLASSIFICATION!$U$8:$U$24,MATCH($C371,DATA_ASSET_CLASSIFICATION!$A$8:$A$24,0)),"Review"))</f>
        <v>Excluded</v>
      </c>
      <c r="O371" s="350" t="str">
        <f>IF($B371="Portfolio","Portfolio",IFERROR(INDEX(DATA_ASSET_CLASSIFICATION!$AB$8:$AB$13,MATCH($N371,DATA_ASSET_CLASSIFICATION!$AA$8:$AA$13,0)),"Review"))</f>
        <v>Bucket 0 · Excluded</v>
      </c>
      <c r="P371" s="350" t="str">
        <f>IF($B371="Portfolio","Portfolio",IFERROR(INDEX(DATA_ASSET_CLASSIFICATION!$C$8:$C$24,MATCH($C371,DATA_ASSET_CLASSIFICATION!$A$8:$A$24,0)),"Review"))</f>
        <v>No</v>
      </c>
      <c r="Q371" s="350" t="str">
        <f t="shared" ca="1" si="11"/>
        <v>OK</v>
      </c>
    </row>
    <row r="372" spans="1:17">
      <c r="A372" s="366" t="s">
        <v>2328</v>
      </c>
      <c r="B372" s="366" t="s">
        <v>231</v>
      </c>
      <c r="C372" s="348" t="str">
        <f>DATA_PROPERTY_MASTER!$A$5</f>
        <v>BLD_AB</v>
      </c>
      <c r="D372" s="380">
        <f>'00_PORTFOLIO ROLLUP'!I$12</f>
        <v>2029</v>
      </c>
      <c r="E372" s="366" t="s">
        <v>1721</v>
      </c>
      <c r="F372" s="366" t="s">
        <v>33</v>
      </c>
      <c r="G372" s="348" t="str">
        <f>"'"&amp;$C372&amp;"'!$E$62:$Y$62"</f>
        <v>'BLD_AB'!$E$62:$Y$62</v>
      </c>
      <c r="H372" s="381">
        <f ca="1">IF(IFERROR(INDEX(DATA_PROPERTY_MASTER!$E$5:$E$21,MATCH($C372,DATA_PROPERTY_MASTER!$A$5:$A$21,0))="Yes",FALSE),IFERROR(INDEX(INDIRECT("'"&amp;$C372&amp;"'!$E$62:$Y$62"),1,MATCH($D372,INDIRECT("'"&amp;$C372&amp;"'!$E$12:$Y$12"),0)),0),0)</f>
        <v>0</v>
      </c>
      <c r="I372" s="366" t="s">
        <v>1685</v>
      </c>
      <c r="J372" s="348" t="str">
        <f t="shared" ca="1" si="10"/>
        <v>OK</v>
      </c>
      <c r="K372" s="366" t="s">
        <v>1727</v>
      </c>
      <c r="L372" s="366" t="s">
        <v>2254</v>
      </c>
      <c r="M372" s="350" t="str">
        <f>IF($B372="Portfolio","Portfolio",IFERROR(INDEX(DATA_ASSET_CLASSIFICATION!$B$8:$B$24,MATCH($C372,DATA_ASSET_CLASSIFICATION!$A$8:$A$24,0)),"Review"))</f>
        <v>Alma Blackwell</v>
      </c>
      <c r="N372" s="350" t="str">
        <f>IF($B372="Portfolio","Portfolio",IFERROR(INDEX(DATA_ASSET_CLASSIFICATION!$U$8:$U$24,MATCH($C372,DATA_ASSET_CLASSIFICATION!$A$8:$A$24,0)),"Review"))</f>
        <v>Excluded</v>
      </c>
      <c r="O372" s="350" t="str">
        <f>IF($B372="Portfolio","Portfolio",IFERROR(INDEX(DATA_ASSET_CLASSIFICATION!$AB$8:$AB$13,MATCH($N372,DATA_ASSET_CLASSIFICATION!$AA$8:$AA$13,0)),"Review"))</f>
        <v>Bucket 0 · Excluded</v>
      </c>
      <c r="P372" s="350" t="str">
        <f>IF($B372="Portfolio","Portfolio",IFERROR(INDEX(DATA_ASSET_CLASSIFICATION!$C$8:$C$24,MATCH($C372,DATA_ASSET_CLASSIFICATION!$A$8:$A$24,0)),"Review"))</f>
        <v>No</v>
      </c>
      <c r="Q372" s="350" t="str">
        <f t="shared" ca="1" si="11"/>
        <v>OK</v>
      </c>
    </row>
    <row r="373" spans="1:17">
      <c r="A373" s="366" t="s">
        <v>2329</v>
      </c>
      <c r="B373" s="366" t="s">
        <v>231</v>
      </c>
      <c r="C373" s="348" t="str">
        <f>DATA_PROPERTY_MASTER!$A$5</f>
        <v>BLD_AB</v>
      </c>
      <c r="D373" s="380">
        <f>'00_PORTFOLIO ROLLUP'!I$12</f>
        <v>2029</v>
      </c>
      <c r="E373" s="366" t="s">
        <v>1721</v>
      </c>
      <c r="F373" s="366" t="s">
        <v>35</v>
      </c>
      <c r="G373" s="348" t="str">
        <f>"'"&amp;$C373&amp;"'!$E$63:$Y$63"</f>
        <v>'BLD_AB'!$E$63:$Y$63</v>
      </c>
      <c r="H373" s="381">
        <f ca="1">IF(IFERROR(INDEX(DATA_PROPERTY_MASTER!$E$5:$E$21,MATCH($C373,DATA_PROPERTY_MASTER!$A$5:$A$21,0))="Yes",FALSE),IFERROR(INDEX(INDIRECT("'"&amp;$C373&amp;"'!$E$63:$Y$63"),1,MATCH($D373,INDIRECT("'"&amp;$C373&amp;"'!$E$12:$Y$12"),0)),0),0)</f>
        <v>0</v>
      </c>
      <c r="I373" s="366" t="s">
        <v>1731</v>
      </c>
      <c r="J373" s="348" t="str">
        <f t="shared" ca="1" si="10"/>
        <v>OK</v>
      </c>
      <c r="K373" s="366" t="s">
        <v>1732</v>
      </c>
      <c r="L373" s="366" t="s">
        <v>2256</v>
      </c>
      <c r="M373" s="350" t="str">
        <f>IF($B373="Portfolio","Portfolio",IFERROR(INDEX(DATA_ASSET_CLASSIFICATION!$B$8:$B$24,MATCH($C373,DATA_ASSET_CLASSIFICATION!$A$8:$A$24,0)),"Review"))</f>
        <v>Alma Blackwell</v>
      </c>
      <c r="N373" s="350" t="str">
        <f>IF($B373="Portfolio","Portfolio",IFERROR(INDEX(DATA_ASSET_CLASSIFICATION!$U$8:$U$24,MATCH($C373,DATA_ASSET_CLASSIFICATION!$A$8:$A$24,0)),"Review"))</f>
        <v>Excluded</v>
      </c>
      <c r="O373" s="350" t="str">
        <f>IF($B373="Portfolio","Portfolio",IFERROR(INDEX(DATA_ASSET_CLASSIFICATION!$AB$8:$AB$13,MATCH($N373,DATA_ASSET_CLASSIFICATION!$AA$8:$AA$13,0)),"Review"))</f>
        <v>Bucket 0 · Excluded</v>
      </c>
      <c r="P373" s="350" t="str">
        <f>IF($B373="Portfolio","Portfolio",IFERROR(INDEX(DATA_ASSET_CLASSIFICATION!$C$8:$C$24,MATCH($C373,DATA_ASSET_CLASSIFICATION!$A$8:$A$24,0)),"Review"))</f>
        <v>No</v>
      </c>
      <c r="Q373" s="350" t="str">
        <f t="shared" ca="1" si="11"/>
        <v>OK</v>
      </c>
    </row>
    <row r="374" spans="1:17">
      <c r="A374" s="366" t="s">
        <v>2330</v>
      </c>
      <c r="B374" s="366" t="s">
        <v>231</v>
      </c>
      <c r="C374" s="348" t="str">
        <f>DATA_PROPERTY_MASTER!$A$5</f>
        <v>BLD_AB</v>
      </c>
      <c r="D374" s="380">
        <f>'00_PORTFOLIO ROLLUP'!I$12</f>
        <v>2029</v>
      </c>
      <c r="E374" s="366" t="s">
        <v>1721</v>
      </c>
      <c r="F374" s="366" t="s">
        <v>37</v>
      </c>
      <c r="G374" s="348" t="str">
        <f>"'"&amp;$C374&amp;"'!$E$63:$Y$63"</f>
        <v>'BLD_AB'!$E$63:$Y$63</v>
      </c>
      <c r="H374" s="381">
        <f ca="1">IF(IFERROR(INDEX(DATA_PROPERTY_MASTER!$E$5:$E$21,MATCH($C374,DATA_PROPERTY_MASTER!$A$5:$A$21,0))="Yes",FALSE),MAX(IFERROR(INDEX(INDIRECT("'"&amp;$C374&amp;"'!$E$63:$Y$63"),1,MATCH($D374,INDIRECT("'"&amp;$C374&amp;"'!$E$12:$Y$12"),0)),0),0),0)</f>
        <v>0</v>
      </c>
      <c r="I374" s="366" t="s">
        <v>1685</v>
      </c>
      <c r="J374" s="348" t="str">
        <f t="shared" ca="1" si="10"/>
        <v>OK</v>
      </c>
      <c r="K374" s="366" t="s">
        <v>1735</v>
      </c>
      <c r="L374" s="366" t="s">
        <v>2258</v>
      </c>
      <c r="M374" s="350" t="str">
        <f>IF($B374="Portfolio","Portfolio",IFERROR(INDEX(DATA_ASSET_CLASSIFICATION!$B$8:$B$24,MATCH($C374,DATA_ASSET_CLASSIFICATION!$A$8:$A$24,0)),"Review"))</f>
        <v>Alma Blackwell</v>
      </c>
      <c r="N374" s="350" t="str">
        <f>IF($B374="Portfolio","Portfolio",IFERROR(INDEX(DATA_ASSET_CLASSIFICATION!$U$8:$U$24,MATCH($C374,DATA_ASSET_CLASSIFICATION!$A$8:$A$24,0)),"Review"))</f>
        <v>Excluded</v>
      </c>
      <c r="O374" s="350" t="str">
        <f>IF($B374="Portfolio","Portfolio",IFERROR(INDEX(DATA_ASSET_CLASSIFICATION!$AB$8:$AB$13,MATCH($N374,DATA_ASSET_CLASSIFICATION!$AA$8:$AA$13,0)),"Review"))</f>
        <v>Bucket 0 · Excluded</v>
      </c>
      <c r="P374" s="350" t="str">
        <f>IF($B374="Portfolio","Portfolio",IFERROR(INDEX(DATA_ASSET_CLASSIFICATION!$C$8:$C$24,MATCH($C374,DATA_ASSET_CLASSIFICATION!$A$8:$A$24,0)),"Review"))</f>
        <v>No</v>
      </c>
      <c r="Q374" s="350" t="str">
        <f t="shared" ca="1" si="11"/>
        <v>OK</v>
      </c>
    </row>
    <row r="375" spans="1:17">
      <c r="A375" s="366" t="s">
        <v>2331</v>
      </c>
      <c r="B375" s="366" t="s">
        <v>231</v>
      </c>
      <c r="C375" s="348" t="str">
        <f>DATA_PROPERTY_MASTER!$A$5</f>
        <v>BLD_AB</v>
      </c>
      <c r="D375" s="380">
        <f>'00_PORTFOLIO ROLLUP'!I$12</f>
        <v>2029</v>
      </c>
      <c r="E375" s="366" t="s">
        <v>1721</v>
      </c>
      <c r="F375" s="366" t="s">
        <v>39</v>
      </c>
      <c r="G375" s="348" t="str">
        <f>"'"&amp;$C375&amp;"'!$E$63:$Y$63"</f>
        <v>'BLD_AB'!$E$63:$Y$63</v>
      </c>
      <c r="H375" s="381">
        <f ca="1">IF(IFERROR(INDEX(DATA_PROPERTY_MASTER!$E$5:$E$21,MATCH($C375,DATA_PROPERTY_MASTER!$A$5:$A$21,0))="Yes",FALSE),MAX(-IFERROR(INDEX(INDIRECT("'"&amp;$C375&amp;"'!$E$63:$Y$63"),1,MATCH($D375,INDIRECT("'"&amp;$C375&amp;"'!$E$12:$Y$12"),0)),0),0),0)</f>
        <v>0</v>
      </c>
      <c r="I375" s="366" t="s">
        <v>1690</v>
      </c>
      <c r="J375" s="348" t="str">
        <f t="shared" ca="1" si="10"/>
        <v>OK</v>
      </c>
      <c r="K375" s="366" t="s">
        <v>1738</v>
      </c>
      <c r="L375" s="366" t="s">
        <v>2260</v>
      </c>
      <c r="M375" s="350" t="str">
        <f>IF($B375="Portfolio","Portfolio",IFERROR(INDEX(DATA_ASSET_CLASSIFICATION!$B$8:$B$24,MATCH($C375,DATA_ASSET_CLASSIFICATION!$A$8:$A$24,0)),"Review"))</f>
        <v>Alma Blackwell</v>
      </c>
      <c r="N375" s="350" t="str">
        <f>IF($B375="Portfolio","Portfolio",IFERROR(INDEX(DATA_ASSET_CLASSIFICATION!$U$8:$U$24,MATCH($C375,DATA_ASSET_CLASSIFICATION!$A$8:$A$24,0)),"Review"))</f>
        <v>Excluded</v>
      </c>
      <c r="O375" s="350" t="str">
        <f>IF($B375="Portfolio","Portfolio",IFERROR(INDEX(DATA_ASSET_CLASSIFICATION!$AB$8:$AB$13,MATCH($N375,DATA_ASSET_CLASSIFICATION!$AA$8:$AA$13,0)),"Review"))</f>
        <v>Bucket 0 · Excluded</v>
      </c>
      <c r="P375" s="350" t="str">
        <f>IF($B375="Portfolio","Portfolio",IFERROR(INDEX(DATA_ASSET_CLASSIFICATION!$C$8:$C$24,MATCH($C375,DATA_ASSET_CLASSIFICATION!$A$8:$A$24,0)),"Review"))</f>
        <v>No</v>
      </c>
      <c r="Q375" s="350" t="str">
        <f t="shared" ca="1" si="11"/>
        <v>OK</v>
      </c>
    </row>
    <row r="376" spans="1:17">
      <c r="A376" s="366" t="s">
        <v>2332</v>
      </c>
      <c r="B376" s="366" t="s">
        <v>231</v>
      </c>
      <c r="C376" s="348" t="str">
        <f>DATA_PROPERTY_MASTER!$A$5</f>
        <v>BLD_AB</v>
      </c>
      <c r="D376" s="380">
        <f>'00_PORTFOLIO ROLLUP'!I$12</f>
        <v>2029</v>
      </c>
      <c r="E376" s="366" t="s">
        <v>1741</v>
      </c>
      <c r="F376" s="366" t="s">
        <v>41</v>
      </c>
      <c r="G376" s="348" t="str">
        <f>"'"&amp;$C376&amp;"'!rows 56 + positive row 63"</f>
        <v>'BLD_AB'!rows 56 + positive row 63</v>
      </c>
      <c r="H376" s="381">
        <f ca="1">IF(IFERROR(INDEX(DATA_PROPERTY_MASTER!$E$5:$E$21,MATCH($C376,DATA_PROPERTY_MASTER!$A$5:$A$21,0))="Yes",FALSE),IFERROR(INDEX(INDIRECT("'"&amp;$C376&amp;"'!$E$56:$Y$56"),1,MATCH($D376,INDIRECT("'"&amp;$C376&amp;"'!$E$12:$Y$12"),0)),0)+MAX(IFERROR(INDEX(INDIRECT("'"&amp;$C376&amp;"'!$E$63:$Y$63"),1,MATCH($D376,INDIRECT("'"&amp;$C376&amp;"'!$E$12:$Y$12"),0)),0),0),0)</f>
        <v>0</v>
      </c>
      <c r="I376" s="366" t="s">
        <v>1685</v>
      </c>
      <c r="J376" s="348" t="str">
        <f t="shared" ca="1" si="10"/>
        <v>OK</v>
      </c>
      <c r="K376" s="366" t="s">
        <v>1742</v>
      </c>
      <c r="L376" s="366" t="s">
        <v>2262</v>
      </c>
      <c r="M376" s="350" t="str">
        <f>IF($B376="Portfolio","Portfolio",IFERROR(INDEX(DATA_ASSET_CLASSIFICATION!$B$8:$B$24,MATCH($C376,DATA_ASSET_CLASSIFICATION!$A$8:$A$24,0)),"Review"))</f>
        <v>Alma Blackwell</v>
      </c>
      <c r="N376" s="350" t="str">
        <f>IF($B376="Portfolio","Portfolio",IFERROR(INDEX(DATA_ASSET_CLASSIFICATION!$U$8:$U$24,MATCH($C376,DATA_ASSET_CLASSIFICATION!$A$8:$A$24,0)),"Review"))</f>
        <v>Excluded</v>
      </c>
      <c r="O376" s="350" t="str">
        <f>IF($B376="Portfolio","Portfolio",IFERROR(INDEX(DATA_ASSET_CLASSIFICATION!$AB$8:$AB$13,MATCH($N376,DATA_ASSET_CLASSIFICATION!$AA$8:$AA$13,0)),"Review"))</f>
        <v>Bucket 0 · Excluded</v>
      </c>
      <c r="P376" s="350" t="str">
        <f>IF($B376="Portfolio","Portfolio",IFERROR(INDEX(DATA_ASSET_CLASSIFICATION!$C$8:$C$24,MATCH($C376,DATA_ASSET_CLASSIFICATION!$A$8:$A$24,0)),"Review"))</f>
        <v>No</v>
      </c>
      <c r="Q376" s="350" t="str">
        <f t="shared" ca="1" si="11"/>
        <v>OK</v>
      </c>
    </row>
    <row r="377" spans="1:17">
      <c r="A377" s="366" t="s">
        <v>2333</v>
      </c>
      <c r="B377" s="366" t="s">
        <v>231</v>
      </c>
      <c r="C377" s="348" t="str">
        <f>DATA_PROPERTY_MASTER!$A$5</f>
        <v>BLD_AB</v>
      </c>
      <c r="D377" s="380">
        <f>'00_PORTFOLIO ROLLUP'!I$12</f>
        <v>2029</v>
      </c>
      <c r="E377" s="366" t="s">
        <v>1741</v>
      </c>
      <c r="F377" s="366" t="s">
        <v>43</v>
      </c>
      <c r="G377" s="348" t="str">
        <f>"'"&amp;$C377&amp;"'!$E$68:$Y$68"</f>
        <v>'BLD_AB'!$E$68:$Y$68</v>
      </c>
      <c r="H377" s="381">
        <f ca="1">IF(IFERROR(INDEX(DATA_PROPERTY_MASTER!$E$5:$E$21,MATCH($C377,DATA_PROPERTY_MASTER!$A$5:$A$21,0))="Yes",FALSE),IFERROR(INDEX(INDIRECT("'"&amp;$C377&amp;"'!$E$68:$Y$68"),1,MATCH($D377,INDIRECT("'"&amp;$C377&amp;"'!$E$12:$Y$12"),0)),0),0)</f>
        <v>0</v>
      </c>
      <c r="I377" s="366" t="s">
        <v>1731</v>
      </c>
      <c r="J377" s="348" t="str">
        <f t="shared" ca="1" si="10"/>
        <v>OK</v>
      </c>
      <c r="K377" s="366" t="s">
        <v>1746</v>
      </c>
      <c r="L377" s="366" t="s">
        <v>2264</v>
      </c>
      <c r="M377" s="350" t="str">
        <f>IF($B377="Portfolio","Portfolio",IFERROR(INDEX(DATA_ASSET_CLASSIFICATION!$B$8:$B$24,MATCH($C377,DATA_ASSET_CLASSIFICATION!$A$8:$A$24,0)),"Review"))</f>
        <v>Alma Blackwell</v>
      </c>
      <c r="N377" s="350" t="str">
        <f>IF($B377="Portfolio","Portfolio",IFERROR(INDEX(DATA_ASSET_CLASSIFICATION!$U$8:$U$24,MATCH($C377,DATA_ASSET_CLASSIFICATION!$A$8:$A$24,0)),"Review"))</f>
        <v>Excluded</v>
      </c>
      <c r="O377" s="350" t="str">
        <f>IF($B377="Portfolio","Portfolio",IFERROR(INDEX(DATA_ASSET_CLASSIFICATION!$AB$8:$AB$13,MATCH($N377,DATA_ASSET_CLASSIFICATION!$AA$8:$AA$13,0)),"Review"))</f>
        <v>Bucket 0 · Excluded</v>
      </c>
      <c r="P377" s="350" t="str">
        <f>IF($B377="Portfolio","Portfolio",IFERROR(INDEX(DATA_ASSET_CLASSIFICATION!$C$8:$C$24,MATCH($C377,DATA_ASSET_CLASSIFICATION!$A$8:$A$24,0)),"Review"))</f>
        <v>No</v>
      </c>
      <c r="Q377" s="350" t="str">
        <f t="shared" ca="1" si="11"/>
        <v>OK</v>
      </c>
    </row>
    <row r="378" spans="1:17">
      <c r="A378" s="366" t="s">
        <v>2334</v>
      </c>
      <c r="B378" s="366" t="s">
        <v>231</v>
      </c>
      <c r="C378" s="348" t="str">
        <f>DATA_PROPERTY_MASTER!$A$5</f>
        <v>BLD_AB</v>
      </c>
      <c r="D378" s="380">
        <f>'00_PORTFOLIO ROLLUP'!I$12</f>
        <v>2029</v>
      </c>
      <c r="E378" s="366" t="s">
        <v>1741</v>
      </c>
      <c r="F378" s="366" t="s">
        <v>1749</v>
      </c>
      <c r="G378" s="348" t="str">
        <f>"'"&amp;$C378&amp;"'!rows 56, 63, 68"</f>
        <v>'BLD_AB'!rows 56, 63, 68</v>
      </c>
      <c r="H378" s="381">
        <f ca="1">IF(IFERROR(INDEX(DATA_PROPERTY_MASTER!$E$5:$E$21,MATCH($C378,DATA_PROPERTY_MASTER!$A$5:$A$21,0))="Yes",FALSE),(IFERROR(INDEX(INDIRECT("'"&amp;$C378&amp;"'!$E$56:$Y$56"),1,MATCH($D378,INDIRECT("'"&amp;$C378&amp;"'!$E$12:$Y$12"),0)),0)+MAX(IFERROR(INDEX(INDIRECT("'"&amp;$C378&amp;"'!$E$63:$Y$63"),1,MATCH($D378,INDIRECT("'"&amp;$C378&amp;"'!$E$12:$Y$12"),0)),0),0))-(IFERROR(INDEX(INDIRECT("'"&amp;$C378&amp;"'!$E$68:$Y$68"),1,MATCH($D378,INDIRECT("'"&amp;$C378&amp;"'!$E$12:$Y$12"),0)),0)),0)</f>
        <v>0</v>
      </c>
      <c r="I378" s="366" t="s">
        <v>1750</v>
      </c>
      <c r="J378" s="348" t="str">
        <f t="shared" ca="1" si="10"/>
        <v>OK</v>
      </c>
      <c r="K378" s="366" t="s">
        <v>1751</v>
      </c>
      <c r="L378" s="366" t="s">
        <v>2266</v>
      </c>
      <c r="M378" s="350" t="str">
        <f>IF($B378="Portfolio","Portfolio",IFERROR(INDEX(DATA_ASSET_CLASSIFICATION!$B$8:$B$24,MATCH($C378,DATA_ASSET_CLASSIFICATION!$A$8:$A$24,0)),"Review"))</f>
        <v>Alma Blackwell</v>
      </c>
      <c r="N378" s="350" t="str">
        <f>IF($B378="Portfolio","Portfolio",IFERROR(INDEX(DATA_ASSET_CLASSIFICATION!$U$8:$U$24,MATCH($C378,DATA_ASSET_CLASSIFICATION!$A$8:$A$24,0)),"Review"))</f>
        <v>Excluded</v>
      </c>
      <c r="O378" s="350" t="str">
        <f>IF($B378="Portfolio","Portfolio",IFERROR(INDEX(DATA_ASSET_CLASSIFICATION!$AB$8:$AB$13,MATCH($N378,DATA_ASSET_CLASSIFICATION!$AA$8:$AA$13,0)),"Review"))</f>
        <v>Bucket 0 · Excluded</v>
      </c>
      <c r="P378" s="350" t="str">
        <f>IF($B378="Portfolio","Portfolio",IFERROR(INDEX(DATA_ASSET_CLASSIFICATION!$C$8:$C$24,MATCH($C378,DATA_ASSET_CLASSIFICATION!$A$8:$A$24,0)),"Review"))</f>
        <v>No</v>
      </c>
      <c r="Q378" s="350" t="str">
        <f t="shared" ca="1" si="11"/>
        <v>OK</v>
      </c>
    </row>
    <row r="379" spans="1:17">
      <c r="A379" s="366" t="s">
        <v>2335</v>
      </c>
      <c r="B379" s="366" t="s">
        <v>231</v>
      </c>
      <c r="C379" s="348" t="str">
        <f>DATA_PROPERTY_MASTER!$A$5</f>
        <v>BLD_AB</v>
      </c>
      <c r="D379" s="380">
        <f>'00_PORTFOLIO ROLLUP'!J$12</f>
        <v>2030</v>
      </c>
      <c r="E379" s="366" t="s">
        <v>1683</v>
      </c>
      <c r="F379" s="366" t="s">
        <v>341</v>
      </c>
      <c r="G379" s="348" t="str">
        <f>"'"&amp;$C379&amp;"'!$E$24:$Y$24"</f>
        <v>'BLD_AB'!$E$24:$Y$24</v>
      </c>
      <c r="H379" s="381">
        <f ca="1">IF(IFERROR(INDEX(DATA_PROPERTY_MASTER!$E$5:$E$21,MATCH($C379,DATA_PROPERTY_MASTER!$A$5:$A$21,0))="Yes",FALSE),IFERROR(INDEX(INDIRECT("'"&amp;$C379&amp;"'!$E$24:$Y$24"),1,MATCH($D379,INDIRECT("'"&amp;$C379&amp;"'!$E$12:$Y$12"),0)),0),0)</f>
        <v>0</v>
      </c>
      <c r="I379" s="366" t="s">
        <v>1685</v>
      </c>
      <c r="J379" s="348" t="str">
        <f t="shared" ca="1" si="10"/>
        <v>OK</v>
      </c>
      <c r="K379" s="366" t="s">
        <v>1686</v>
      </c>
      <c r="L379" s="366" t="s">
        <v>2234</v>
      </c>
      <c r="M379" s="350" t="str">
        <f>IF($B379="Portfolio","Portfolio",IFERROR(INDEX(DATA_ASSET_CLASSIFICATION!$B$8:$B$24,MATCH($C379,DATA_ASSET_CLASSIFICATION!$A$8:$A$24,0)),"Review"))</f>
        <v>Alma Blackwell</v>
      </c>
      <c r="N379" s="350" t="str">
        <f>IF($B379="Portfolio","Portfolio",IFERROR(INDEX(DATA_ASSET_CLASSIFICATION!$U$8:$U$24,MATCH($C379,DATA_ASSET_CLASSIFICATION!$A$8:$A$24,0)),"Review"))</f>
        <v>Excluded</v>
      </c>
      <c r="O379" s="350" t="str">
        <f>IF($B379="Portfolio","Portfolio",IFERROR(INDEX(DATA_ASSET_CLASSIFICATION!$AB$8:$AB$13,MATCH($N379,DATA_ASSET_CLASSIFICATION!$AA$8:$AA$13,0)),"Review"))</f>
        <v>Bucket 0 · Excluded</v>
      </c>
      <c r="P379" s="350" t="str">
        <f>IF($B379="Portfolio","Portfolio",IFERROR(INDEX(DATA_ASSET_CLASSIFICATION!$C$8:$C$24,MATCH($C379,DATA_ASSET_CLASSIFICATION!$A$8:$A$24,0)),"Review"))</f>
        <v>No</v>
      </c>
      <c r="Q379" s="350" t="str">
        <f t="shared" ca="1" si="11"/>
        <v>OK</v>
      </c>
    </row>
    <row r="380" spans="1:17">
      <c r="A380" s="366" t="s">
        <v>2336</v>
      </c>
      <c r="B380" s="366" t="s">
        <v>231</v>
      </c>
      <c r="C380" s="348" t="str">
        <f>DATA_PROPERTY_MASTER!$A$5</f>
        <v>BLD_AB</v>
      </c>
      <c r="D380" s="380">
        <f>'00_PORTFOLIO ROLLUP'!J$12</f>
        <v>2030</v>
      </c>
      <c r="E380" s="366" t="s">
        <v>1683</v>
      </c>
      <c r="F380" s="366" t="s">
        <v>355</v>
      </c>
      <c r="G380" s="348" t="str">
        <f>"'"&amp;$C380&amp;"'!$E$39:$Y$39"</f>
        <v>'BLD_AB'!$E$39:$Y$39</v>
      </c>
      <c r="H380" s="381">
        <f ca="1">IF(IFERROR(INDEX(DATA_PROPERTY_MASTER!$E$5:$E$21,MATCH($C380,DATA_PROPERTY_MASTER!$A$5:$A$21,0))="Yes",FALSE),IFERROR(INDEX(INDIRECT("'"&amp;$C380&amp;"'!$E$39:$Y$39"),1,MATCH($D380,INDIRECT("'"&amp;$C380&amp;"'!$E$12:$Y$12"),0)),0),0)</f>
        <v>0</v>
      </c>
      <c r="I380" s="366" t="s">
        <v>1690</v>
      </c>
      <c r="J380" s="348" t="str">
        <f t="shared" ca="1" si="10"/>
        <v>OK</v>
      </c>
      <c r="K380" s="366" t="s">
        <v>1686</v>
      </c>
      <c r="L380" s="366" t="s">
        <v>2236</v>
      </c>
      <c r="M380" s="350" t="str">
        <f>IF($B380="Portfolio","Portfolio",IFERROR(INDEX(DATA_ASSET_CLASSIFICATION!$B$8:$B$24,MATCH($C380,DATA_ASSET_CLASSIFICATION!$A$8:$A$24,0)),"Review"))</f>
        <v>Alma Blackwell</v>
      </c>
      <c r="N380" s="350" t="str">
        <f>IF($B380="Portfolio","Portfolio",IFERROR(INDEX(DATA_ASSET_CLASSIFICATION!$U$8:$U$24,MATCH($C380,DATA_ASSET_CLASSIFICATION!$A$8:$A$24,0)),"Review"))</f>
        <v>Excluded</v>
      </c>
      <c r="O380" s="350" t="str">
        <f>IF($B380="Portfolio","Portfolio",IFERROR(INDEX(DATA_ASSET_CLASSIFICATION!$AB$8:$AB$13,MATCH($N380,DATA_ASSET_CLASSIFICATION!$AA$8:$AA$13,0)),"Review"))</f>
        <v>Bucket 0 · Excluded</v>
      </c>
      <c r="P380" s="350" t="str">
        <f>IF($B380="Portfolio","Portfolio",IFERROR(INDEX(DATA_ASSET_CLASSIFICATION!$C$8:$C$24,MATCH($C380,DATA_ASSET_CLASSIFICATION!$A$8:$A$24,0)),"Review"))</f>
        <v>No</v>
      </c>
      <c r="Q380" s="350" t="str">
        <f t="shared" ca="1" si="11"/>
        <v>OK</v>
      </c>
    </row>
    <row r="381" spans="1:17">
      <c r="A381" s="366" t="s">
        <v>2337</v>
      </c>
      <c r="B381" s="366" t="s">
        <v>231</v>
      </c>
      <c r="C381" s="348" t="str">
        <f>DATA_PROPERTY_MASTER!$A$5</f>
        <v>BLD_AB</v>
      </c>
      <c r="D381" s="380">
        <f>'00_PORTFOLIO ROLLUP'!J$12</f>
        <v>2030</v>
      </c>
      <c r="E381" s="366" t="s">
        <v>1683</v>
      </c>
      <c r="F381" s="366" t="s">
        <v>19</v>
      </c>
      <c r="G381" s="348" t="str">
        <f>"'"&amp;$C381&amp;"'!$E$41:$Y$41"</f>
        <v>'BLD_AB'!$E$41:$Y$41</v>
      </c>
      <c r="H381" s="381">
        <f ca="1">IF(IFERROR(INDEX(DATA_PROPERTY_MASTER!$E$5:$E$21,MATCH($C381,DATA_PROPERTY_MASTER!$A$5:$A$21,0))="Yes",FALSE),IFERROR(INDEX(INDIRECT("'"&amp;$C381&amp;"'!$E$41:$Y$41"),1,MATCH($D381,INDIRECT("'"&amp;$C381&amp;"'!$E$12:$Y$12"),0)),0),0)</f>
        <v>0</v>
      </c>
      <c r="I381" s="366" t="s">
        <v>1685</v>
      </c>
      <c r="J381" s="348" t="str">
        <f t="shared" ca="1" si="10"/>
        <v>OK</v>
      </c>
      <c r="K381" s="366" t="s">
        <v>1694</v>
      </c>
      <c r="L381" s="366" t="s">
        <v>2238</v>
      </c>
      <c r="M381" s="350" t="str">
        <f>IF($B381="Portfolio","Portfolio",IFERROR(INDEX(DATA_ASSET_CLASSIFICATION!$B$8:$B$24,MATCH($C381,DATA_ASSET_CLASSIFICATION!$A$8:$A$24,0)),"Review"))</f>
        <v>Alma Blackwell</v>
      </c>
      <c r="N381" s="350" t="str">
        <f>IF($B381="Portfolio","Portfolio",IFERROR(INDEX(DATA_ASSET_CLASSIFICATION!$U$8:$U$24,MATCH($C381,DATA_ASSET_CLASSIFICATION!$A$8:$A$24,0)),"Review"))</f>
        <v>Excluded</v>
      </c>
      <c r="O381" s="350" t="str">
        <f>IF($B381="Portfolio","Portfolio",IFERROR(INDEX(DATA_ASSET_CLASSIFICATION!$AB$8:$AB$13,MATCH($N381,DATA_ASSET_CLASSIFICATION!$AA$8:$AA$13,0)),"Review"))</f>
        <v>Bucket 0 · Excluded</v>
      </c>
      <c r="P381" s="350" t="str">
        <f>IF($B381="Portfolio","Portfolio",IFERROR(INDEX(DATA_ASSET_CLASSIFICATION!$C$8:$C$24,MATCH($C381,DATA_ASSET_CLASSIFICATION!$A$8:$A$24,0)),"Review"))</f>
        <v>No</v>
      </c>
      <c r="Q381" s="350" t="str">
        <f t="shared" ca="1" si="11"/>
        <v>OK</v>
      </c>
    </row>
    <row r="382" spans="1:17">
      <c r="A382" s="366" t="s">
        <v>2338</v>
      </c>
      <c r="B382" s="366" t="s">
        <v>231</v>
      </c>
      <c r="C382" s="348" t="str">
        <f>DATA_PROPERTY_MASTER!$A$5</f>
        <v>BLD_AB</v>
      </c>
      <c r="D382" s="380">
        <f>'00_PORTFOLIO ROLLUP'!J$12</f>
        <v>2030</v>
      </c>
      <c r="E382" s="366" t="s">
        <v>1683</v>
      </c>
      <c r="F382" s="366" t="s">
        <v>1697</v>
      </c>
      <c r="G382" s="348" t="str">
        <f>"'"&amp;$C382&amp;"'!$E$44:$Y$44"</f>
        <v>'BLD_AB'!$E$44:$Y$44</v>
      </c>
      <c r="H382" s="381">
        <f ca="1">IF(IFERROR(INDEX(DATA_PROPERTY_MASTER!$E$5:$E$21,MATCH($C382,DATA_PROPERTY_MASTER!$A$5:$A$21,0))="Yes",FALSE),IFERROR(INDEX(INDIRECT("'"&amp;$C382&amp;"'!$E$44:$Y$44"),1,MATCH($D382,INDIRECT("'"&amp;$C382&amp;"'!$E$12:$Y$12"),0)),0),0)</f>
        <v>0</v>
      </c>
      <c r="I382" s="366" t="s">
        <v>1690</v>
      </c>
      <c r="J382" s="348" t="str">
        <f t="shared" ca="1" si="10"/>
        <v>OK</v>
      </c>
      <c r="K382" s="366" t="s">
        <v>1699</v>
      </c>
      <c r="L382" s="366" t="s">
        <v>2240</v>
      </c>
      <c r="M382" s="350" t="str">
        <f>IF($B382="Portfolio","Portfolio",IFERROR(INDEX(DATA_ASSET_CLASSIFICATION!$B$8:$B$24,MATCH($C382,DATA_ASSET_CLASSIFICATION!$A$8:$A$24,0)),"Review"))</f>
        <v>Alma Blackwell</v>
      </c>
      <c r="N382" s="350" t="str">
        <f>IF($B382="Portfolio","Portfolio",IFERROR(INDEX(DATA_ASSET_CLASSIFICATION!$U$8:$U$24,MATCH($C382,DATA_ASSET_CLASSIFICATION!$A$8:$A$24,0)),"Review"))</f>
        <v>Excluded</v>
      </c>
      <c r="O382" s="350" t="str">
        <f>IF($B382="Portfolio","Portfolio",IFERROR(INDEX(DATA_ASSET_CLASSIFICATION!$AB$8:$AB$13,MATCH($N382,DATA_ASSET_CLASSIFICATION!$AA$8:$AA$13,0)),"Review"))</f>
        <v>Bucket 0 · Excluded</v>
      </c>
      <c r="P382" s="350" t="str">
        <f>IF($B382="Portfolio","Portfolio",IFERROR(INDEX(DATA_ASSET_CLASSIFICATION!$C$8:$C$24,MATCH($C382,DATA_ASSET_CLASSIFICATION!$A$8:$A$24,0)),"Review"))</f>
        <v>No</v>
      </c>
      <c r="Q382" s="350" t="str">
        <f t="shared" ca="1" si="11"/>
        <v>OK</v>
      </c>
    </row>
    <row r="383" spans="1:17">
      <c r="A383" s="366" t="s">
        <v>2339</v>
      </c>
      <c r="B383" s="366" t="s">
        <v>231</v>
      </c>
      <c r="C383" s="348" t="str">
        <f>DATA_PROPERTY_MASTER!$A$5</f>
        <v>BLD_AB</v>
      </c>
      <c r="D383" s="380">
        <f>'00_PORTFOLIO ROLLUP'!J$12</f>
        <v>2030</v>
      </c>
      <c r="E383" s="366" t="s">
        <v>1683</v>
      </c>
      <c r="F383" s="366" t="s">
        <v>21</v>
      </c>
      <c r="G383" s="348" t="str">
        <f>"'"&amp;$C383&amp;"'!$E$45:$Y$45"</f>
        <v>'BLD_AB'!$E$45:$Y$45</v>
      </c>
      <c r="H383" s="381">
        <f ca="1">IF(IFERROR(INDEX(DATA_PROPERTY_MASTER!$E$5:$E$21,MATCH($C383,DATA_PROPERTY_MASTER!$A$5:$A$21,0))="Yes",FALSE),IFERROR(INDEX(INDIRECT("'"&amp;$C383&amp;"'!$E$45:$Y$45"),1,MATCH($D383,INDIRECT("'"&amp;$C383&amp;"'!$E$12:$Y$12"),0)),0),0)</f>
        <v>0</v>
      </c>
      <c r="I383" s="366" t="s">
        <v>1685</v>
      </c>
      <c r="J383" s="348" t="str">
        <f t="shared" ca="1" si="10"/>
        <v>OK</v>
      </c>
      <c r="K383" s="366" t="s">
        <v>1694</v>
      </c>
      <c r="L383" s="366" t="s">
        <v>2242</v>
      </c>
      <c r="M383" s="350" t="str">
        <f>IF($B383="Portfolio","Portfolio",IFERROR(INDEX(DATA_ASSET_CLASSIFICATION!$B$8:$B$24,MATCH($C383,DATA_ASSET_CLASSIFICATION!$A$8:$A$24,0)),"Review"))</f>
        <v>Alma Blackwell</v>
      </c>
      <c r="N383" s="350" t="str">
        <f>IF($B383="Portfolio","Portfolio",IFERROR(INDEX(DATA_ASSET_CLASSIFICATION!$U$8:$U$24,MATCH($C383,DATA_ASSET_CLASSIFICATION!$A$8:$A$24,0)),"Review"))</f>
        <v>Excluded</v>
      </c>
      <c r="O383" s="350" t="str">
        <f>IF($B383="Portfolio","Portfolio",IFERROR(INDEX(DATA_ASSET_CLASSIFICATION!$AB$8:$AB$13,MATCH($N383,DATA_ASSET_CLASSIFICATION!$AA$8:$AA$13,0)),"Review"))</f>
        <v>Bucket 0 · Excluded</v>
      </c>
      <c r="P383" s="350" t="str">
        <f>IF($B383="Portfolio","Portfolio",IFERROR(INDEX(DATA_ASSET_CLASSIFICATION!$C$8:$C$24,MATCH($C383,DATA_ASSET_CLASSIFICATION!$A$8:$A$24,0)),"Review"))</f>
        <v>No</v>
      </c>
      <c r="Q383" s="350" t="str">
        <f t="shared" ca="1" si="11"/>
        <v>OK</v>
      </c>
    </row>
    <row r="384" spans="1:17">
      <c r="A384" s="366" t="s">
        <v>2340</v>
      </c>
      <c r="B384" s="366" t="s">
        <v>231</v>
      </c>
      <c r="C384" s="348" t="str">
        <f>DATA_PROPERTY_MASTER!$A$5</f>
        <v>BLD_AB</v>
      </c>
      <c r="D384" s="380">
        <f>'00_PORTFOLIO ROLLUP'!J$12</f>
        <v>2030</v>
      </c>
      <c r="E384" s="366" t="s">
        <v>23</v>
      </c>
      <c r="F384" s="366" t="s">
        <v>23</v>
      </c>
      <c r="G384" s="348" t="str">
        <f>"'"&amp;$C384&amp;"'!$E$48:$Y$48"</f>
        <v>'BLD_AB'!$E$48:$Y$48</v>
      </c>
      <c r="H384" s="381">
        <f ca="1">IF(IFERROR(INDEX(DATA_PROPERTY_MASTER!$E$5:$E$21,MATCH($C384,DATA_PROPERTY_MASTER!$A$5:$A$21,0))="Yes",FALSE),IFERROR(INDEX(INDIRECT("'"&amp;$C384&amp;"'!$E$48:$Y$48"),1,MATCH($D384,INDIRECT("'"&amp;$C384&amp;"'!$E$12:$Y$12"),0)),0),0)</f>
        <v>0</v>
      </c>
      <c r="I384" s="366" t="s">
        <v>1690</v>
      </c>
      <c r="J384" s="348" t="str">
        <f t="shared" ca="1" si="10"/>
        <v>OK</v>
      </c>
      <c r="K384" s="366" t="s">
        <v>1706</v>
      </c>
      <c r="L384" s="366" t="s">
        <v>2244</v>
      </c>
      <c r="M384" s="350" t="str">
        <f>IF($B384="Portfolio","Portfolio",IFERROR(INDEX(DATA_ASSET_CLASSIFICATION!$B$8:$B$24,MATCH($C384,DATA_ASSET_CLASSIFICATION!$A$8:$A$24,0)),"Review"))</f>
        <v>Alma Blackwell</v>
      </c>
      <c r="N384" s="350" t="str">
        <f>IF($B384="Portfolio","Portfolio",IFERROR(INDEX(DATA_ASSET_CLASSIFICATION!$U$8:$U$24,MATCH($C384,DATA_ASSET_CLASSIFICATION!$A$8:$A$24,0)),"Review"))</f>
        <v>Excluded</v>
      </c>
      <c r="O384" s="350" t="str">
        <f>IF($B384="Portfolio","Portfolio",IFERROR(INDEX(DATA_ASSET_CLASSIFICATION!$AB$8:$AB$13,MATCH($N384,DATA_ASSET_CLASSIFICATION!$AA$8:$AA$13,0)),"Review"))</f>
        <v>Bucket 0 · Excluded</v>
      </c>
      <c r="P384" s="350" t="str">
        <f>IF($B384="Portfolio","Portfolio",IFERROR(INDEX(DATA_ASSET_CLASSIFICATION!$C$8:$C$24,MATCH($C384,DATA_ASSET_CLASSIFICATION!$A$8:$A$24,0)),"Review"))</f>
        <v>No</v>
      </c>
      <c r="Q384" s="350" t="str">
        <f t="shared" ca="1" si="11"/>
        <v>OK</v>
      </c>
    </row>
    <row r="385" spans="1:17">
      <c r="A385" s="366" t="s">
        <v>2341</v>
      </c>
      <c r="B385" s="366" t="s">
        <v>231</v>
      </c>
      <c r="C385" s="348" t="str">
        <f>DATA_PROPERTY_MASTER!$A$5</f>
        <v>BLD_AB</v>
      </c>
      <c r="D385" s="380">
        <f>'00_PORTFOLIO ROLLUP'!J$12</f>
        <v>2030</v>
      </c>
      <c r="E385" s="366" t="s">
        <v>1683</v>
      </c>
      <c r="F385" s="366" t="s">
        <v>25</v>
      </c>
      <c r="G385" s="348" t="str">
        <f>"'"&amp;$C385&amp;"'!$E$52:$Y$52"</f>
        <v>'BLD_AB'!$E$52:$Y$52</v>
      </c>
      <c r="H385" s="381">
        <f ca="1">IF(IFERROR(INDEX(DATA_PROPERTY_MASTER!$E$5:$E$21,MATCH($C385,DATA_PROPERTY_MASTER!$A$5:$A$21,0))="Yes",FALSE),IFERROR(INDEX(INDIRECT("'"&amp;$C385&amp;"'!$E$52:$Y$52"),1,MATCH($D385,INDIRECT("'"&amp;$C385&amp;"'!$E$12:$Y$12"),0)),0),0)</f>
        <v>0</v>
      </c>
      <c r="I385" s="366" t="s">
        <v>1685</v>
      </c>
      <c r="J385" s="348" t="str">
        <f t="shared" ca="1" si="10"/>
        <v>OK</v>
      </c>
      <c r="K385" s="366" t="s">
        <v>1710</v>
      </c>
      <c r="L385" s="366" t="s">
        <v>2246</v>
      </c>
      <c r="M385" s="350" t="str">
        <f>IF($B385="Portfolio","Portfolio",IFERROR(INDEX(DATA_ASSET_CLASSIFICATION!$B$8:$B$24,MATCH($C385,DATA_ASSET_CLASSIFICATION!$A$8:$A$24,0)),"Review"))</f>
        <v>Alma Blackwell</v>
      </c>
      <c r="N385" s="350" t="str">
        <f>IF($B385="Portfolio","Portfolio",IFERROR(INDEX(DATA_ASSET_CLASSIFICATION!$U$8:$U$24,MATCH($C385,DATA_ASSET_CLASSIFICATION!$A$8:$A$24,0)),"Review"))</f>
        <v>Excluded</v>
      </c>
      <c r="O385" s="350" t="str">
        <f>IF($B385="Portfolio","Portfolio",IFERROR(INDEX(DATA_ASSET_CLASSIFICATION!$AB$8:$AB$13,MATCH($N385,DATA_ASSET_CLASSIFICATION!$AA$8:$AA$13,0)),"Review"))</f>
        <v>Bucket 0 · Excluded</v>
      </c>
      <c r="P385" s="350" t="str">
        <f>IF($B385="Portfolio","Portfolio",IFERROR(INDEX(DATA_ASSET_CLASSIFICATION!$C$8:$C$24,MATCH($C385,DATA_ASSET_CLASSIFICATION!$A$8:$A$24,0)),"Review"))</f>
        <v>No</v>
      </c>
      <c r="Q385" s="350" t="str">
        <f t="shared" ca="1" si="11"/>
        <v>OK</v>
      </c>
    </row>
    <row r="386" spans="1:17">
      <c r="A386" s="366" t="s">
        <v>2342</v>
      </c>
      <c r="B386" s="366" t="s">
        <v>231</v>
      </c>
      <c r="C386" s="348" t="str">
        <f>DATA_PROPERTY_MASTER!$A$5</f>
        <v>BLD_AB</v>
      </c>
      <c r="D386" s="380">
        <f>'00_PORTFOLIO ROLLUP'!J$12</f>
        <v>2030</v>
      </c>
      <c r="E386" s="366" t="s">
        <v>1683</v>
      </c>
      <c r="F386" s="366" t="s">
        <v>27</v>
      </c>
      <c r="G386" s="348" t="str">
        <f>"'"&amp;$C386&amp;"'!$E$54:$Y$54"</f>
        <v>'BLD_AB'!$E$54:$Y$54</v>
      </c>
      <c r="H386" s="381">
        <f ca="1">IF(IFERROR(INDEX(DATA_PROPERTY_MASTER!$E$5:$E$21,MATCH($C386,DATA_PROPERTY_MASTER!$A$5:$A$21,0))="Yes",FALSE),IFERROR(INDEX(INDIRECT("'"&amp;$C386&amp;"'!$E$54:$Y$54"),1,MATCH($D386,INDIRECT("'"&amp;$C386&amp;"'!$E$12:$Y$12"),0)),0),0)</f>
        <v>0</v>
      </c>
      <c r="I386" s="366" t="s">
        <v>1690</v>
      </c>
      <c r="J386" s="348" t="str">
        <f t="shared" ca="1" si="10"/>
        <v>OK</v>
      </c>
      <c r="K386" s="366" t="s">
        <v>1714</v>
      </c>
      <c r="L386" s="366" t="s">
        <v>2248</v>
      </c>
      <c r="M386" s="350" t="str">
        <f>IF($B386="Portfolio","Portfolio",IFERROR(INDEX(DATA_ASSET_CLASSIFICATION!$B$8:$B$24,MATCH($C386,DATA_ASSET_CLASSIFICATION!$A$8:$A$24,0)),"Review"))</f>
        <v>Alma Blackwell</v>
      </c>
      <c r="N386" s="350" t="str">
        <f>IF($B386="Portfolio","Portfolio",IFERROR(INDEX(DATA_ASSET_CLASSIFICATION!$U$8:$U$24,MATCH($C386,DATA_ASSET_CLASSIFICATION!$A$8:$A$24,0)),"Review"))</f>
        <v>Excluded</v>
      </c>
      <c r="O386" s="350" t="str">
        <f>IF($B386="Portfolio","Portfolio",IFERROR(INDEX(DATA_ASSET_CLASSIFICATION!$AB$8:$AB$13,MATCH($N386,DATA_ASSET_CLASSIFICATION!$AA$8:$AA$13,0)),"Review"))</f>
        <v>Bucket 0 · Excluded</v>
      </c>
      <c r="P386" s="350" t="str">
        <f>IF($B386="Portfolio","Portfolio",IFERROR(INDEX(DATA_ASSET_CLASSIFICATION!$C$8:$C$24,MATCH($C386,DATA_ASSET_CLASSIFICATION!$A$8:$A$24,0)),"Review"))</f>
        <v>No</v>
      </c>
      <c r="Q386" s="350" t="str">
        <f t="shared" ca="1" si="11"/>
        <v>OK</v>
      </c>
    </row>
    <row r="387" spans="1:17">
      <c r="A387" s="366" t="s">
        <v>2343</v>
      </c>
      <c r="B387" s="366" t="s">
        <v>231</v>
      </c>
      <c r="C387" s="348" t="str">
        <f>DATA_PROPERTY_MASTER!$A$5</f>
        <v>BLD_AB</v>
      </c>
      <c r="D387" s="380">
        <f>'00_PORTFOLIO ROLLUP'!J$12</f>
        <v>2030</v>
      </c>
      <c r="E387" s="366" t="s">
        <v>1683</v>
      </c>
      <c r="F387" s="366" t="s">
        <v>29</v>
      </c>
      <c r="G387" s="348" t="str">
        <f>"'"&amp;$C387&amp;"'!$E$56:$Y$56"</f>
        <v>'BLD_AB'!$E$56:$Y$56</v>
      </c>
      <c r="H387" s="381">
        <f ca="1">IF(IFERROR(INDEX(DATA_PROPERTY_MASTER!$E$5:$E$21,MATCH($C387,DATA_PROPERTY_MASTER!$A$5:$A$21,0))="Yes",FALSE),IFERROR(INDEX(INDIRECT("'"&amp;$C387&amp;"'!$E$56:$Y$56"),1,MATCH($D387,INDIRECT("'"&amp;$C387&amp;"'!$E$12:$Y$12"),0)),0),0)</f>
        <v>0</v>
      </c>
      <c r="I387" s="366" t="s">
        <v>1685</v>
      </c>
      <c r="J387" s="348" t="str">
        <f t="shared" ca="1" si="10"/>
        <v>OK</v>
      </c>
      <c r="K387" s="366" t="s">
        <v>1718</v>
      </c>
      <c r="L387" s="366" t="s">
        <v>2250</v>
      </c>
      <c r="M387" s="350" t="str">
        <f>IF($B387="Portfolio","Portfolio",IFERROR(INDEX(DATA_ASSET_CLASSIFICATION!$B$8:$B$24,MATCH($C387,DATA_ASSET_CLASSIFICATION!$A$8:$A$24,0)),"Review"))</f>
        <v>Alma Blackwell</v>
      </c>
      <c r="N387" s="350" t="str">
        <f>IF($B387="Portfolio","Portfolio",IFERROR(INDEX(DATA_ASSET_CLASSIFICATION!$U$8:$U$24,MATCH($C387,DATA_ASSET_CLASSIFICATION!$A$8:$A$24,0)),"Review"))</f>
        <v>Excluded</v>
      </c>
      <c r="O387" s="350" t="str">
        <f>IF($B387="Portfolio","Portfolio",IFERROR(INDEX(DATA_ASSET_CLASSIFICATION!$AB$8:$AB$13,MATCH($N387,DATA_ASSET_CLASSIFICATION!$AA$8:$AA$13,0)),"Review"))</f>
        <v>Bucket 0 · Excluded</v>
      </c>
      <c r="P387" s="350" t="str">
        <f>IF($B387="Portfolio","Portfolio",IFERROR(INDEX(DATA_ASSET_CLASSIFICATION!$C$8:$C$24,MATCH($C387,DATA_ASSET_CLASSIFICATION!$A$8:$A$24,0)),"Review"))</f>
        <v>No</v>
      </c>
      <c r="Q387" s="350" t="str">
        <f t="shared" ca="1" si="11"/>
        <v>OK</v>
      </c>
    </row>
    <row r="388" spans="1:17">
      <c r="A388" s="366" t="s">
        <v>2344</v>
      </c>
      <c r="B388" s="366" t="s">
        <v>231</v>
      </c>
      <c r="C388" s="348" t="str">
        <f>DATA_PROPERTY_MASTER!$A$5</f>
        <v>BLD_AB</v>
      </c>
      <c r="D388" s="380">
        <f>'00_PORTFOLIO ROLLUP'!J$12</f>
        <v>2030</v>
      </c>
      <c r="E388" s="366" t="s">
        <v>1721</v>
      </c>
      <c r="F388" s="366" t="s">
        <v>31</v>
      </c>
      <c r="G388" s="348" t="str">
        <f>"'"&amp;$C388&amp;"'!$E$61:$Y$61"</f>
        <v>'BLD_AB'!$E$61:$Y$61</v>
      </c>
      <c r="H388" s="381">
        <f ca="1">IF(IFERROR(INDEX(DATA_PROPERTY_MASTER!$E$5:$E$21,MATCH($C388,DATA_PROPERTY_MASTER!$A$5:$A$21,0))="Yes",FALSE),IFERROR(INDEX(INDIRECT("'"&amp;$C388&amp;"'!$E$61:$Y$61"),1,MATCH($D388,INDIRECT("'"&amp;$C388&amp;"'!$E$12:$Y$12"),0)),0),0)</f>
        <v>0</v>
      </c>
      <c r="I388" s="366" t="s">
        <v>1690</v>
      </c>
      <c r="J388" s="348" t="str">
        <f t="shared" ca="1" si="10"/>
        <v>OK</v>
      </c>
      <c r="K388" s="366" t="s">
        <v>1723</v>
      </c>
      <c r="L388" s="366" t="s">
        <v>2252</v>
      </c>
      <c r="M388" s="350" t="str">
        <f>IF($B388="Portfolio","Portfolio",IFERROR(INDEX(DATA_ASSET_CLASSIFICATION!$B$8:$B$24,MATCH($C388,DATA_ASSET_CLASSIFICATION!$A$8:$A$24,0)),"Review"))</f>
        <v>Alma Blackwell</v>
      </c>
      <c r="N388" s="350" t="str">
        <f>IF($B388="Portfolio","Portfolio",IFERROR(INDEX(DATA_ASSET_CLASSIFICATION!$U$8:$U$24,MATCH($C388,DATA_ASSET_CLASSIFICATION!$A$8:$A$24,0)),"Review"))</f>
        <v>Excluded</v>
      </c>
      <c r="O388" s="350" t="str">
        <f>IF($B388="Portfolio","Portfolio",IFERROR(INDEX(DATA_ASSET_CLASSIFICATION!$AB$8:$AB$13,MATCH($N388,DATA_ASSET_CLASSIFICATION!$AA$8:$AA$13,0)),"Review"))</f>
        <v>Bucket 0 · Excluded</v>
      </c>
      <c r="P388" s="350" t="str">
        <f>IF($B388="Portfolio","Portfolio",IFERROR(INDEX(DATA_ASSET_CLASSIFICATION!$C$8:$C$24,MATCH($C388,DATA_ASSET_CLASSIFICATION!$A$8:$A$24,0)),"Review"))</f>
        <v>No</v>
      </c>
      <c r="Q388" s="350" t="str">
        <f t="shared" ca="1" si="11"/>
        <v>OK</v>
      </c>
    </row>
    <row r="389" spans="1:17">
      <c r="A389" s="366" t="s">
        <v>2345</v>
      </c>
      <c r="B389" s="366" t="s">
        <v>231</v>
      </c>
      <c r="C389" s="348" t="str">
        <f>DATA_PROPERTY_MASTER!$A$5</f>
        <v>BLD_AB</v>
      </c>
      <c r="D389" s="380">
        <f>'00_PORTFOLIO ROLLUP'!J$12</f>
        <v>2030</v>
      </c>
      <c r="E389" s="366" t="s">
        <v>1721</v>
      </c>
      <c r="F389" s="366" t="s">
        <v>33</v>
      </c>
      <c r="G389" s="348" t="str">
        <f>"'"&amp;$C389&amp;"'!$E$62:$Y$62"</f>
        <v>'BLD_AB'!$E$62:$Y$62</v>
      </c>
      <c r="H389" s="381">
        <f ca="1">IF(IFERROR(INDEX(DATA_PROPERTY_MASTER!$E$5:$E$21,MATCH($C389,DATA_PROPERTY_MASTER!$A$5:$A$21,0))="Yes",FALSE),IFERROR(INDEX(INDIRECT("'"&amp;$C389&amp;"'!$E$62:$Y$62"),1,MATCH($D389,INDIRECT("'"&amp;$C389&amp;"'!$E$12:$Y$12"),0)),0),0)</f>
        <v>0</v>
      </c>
      <c r="I389" s="366" t="s">
        <v>1685</v>
      </c>
      <c r="J389" s="348" t="str">
        <f t="shared" ref="J389:J452" ca="1" si="12">IF($F389="Residual Funding Gap",IF($H389&gt;0,"Funding Gap","OK"),IF(AND($F389="Net Refinance Position",$H389&lt;0),"Negative net refi position","OK"))</f>
        <v>OK</v>
      </c>
      <c r="K389" s="366" t="s">
        <v>1727</v>
      </c>
      <c r="L389" s="366" t="s">
        <v>2254</v>
      </c>
      <c r="M389" s="350" t="str">
        <f>IF($B389="Portfolio","Portfolio",IFERROR(INDEX(DATA_ASSET_CLASSIFICATION!$B$8:$B$24,MATCH($C389,DATA_ASSET_CLASSIFICATION!$A$8:$A$24,0)),"Review"))</f>
        <v>Alma Blackwell</v>
      </c>
      <c r="N389" s="350" t="str">
        <f>IF($B389="Portfolio","Portfolio",IFERROR(INDEX(DATA_ASSET_CLASSIFICATION!$U$8:$U$24,MATCH($C389,DATA_ASSET_CLASSIFICATION!$A$8:$A$24,0)),"Review"))</f>
        <v>Excluded</v>
      </c>
      <c r="O389" s="350" t="str">
        <f>IF($B389="Portfolio","Portfolio",IFERROR(INDEX(DATA_ASSET_CLASSIFICATION!$AB$8:$AB$13,MATCH($N389,DATA_ASSET_CLASSIFICATION!$AA$8:$AA$13,0)),"Review"))</f>
        <v>Bucket 0 · Excluded</v>
      </c>
      <c r="P389" s="350" t="str">
        <f>IF($B389="Portfolio","Portfolio",IFERROR(INDEX(DATA_ASSET_CLASSIFICATION!$C$8:$C$24,MATCH($C389,DATA_ASSET_CLASSIFICATION!$A$8:$A$24,0)),"Review"))</f>
        <v>No</v>
      </c>
      <c r="Q389" s="350" t="str">
        <f t="shared" ref="Q389:Q452" ca="1" si="13">IF(AND($B389="Property",$F389="Residual Funding Gap",$H389&gt;0),"Property Funding Gap",IF($J389&lt;&gt;"OK",$J389,"OK"))</f>
        <v>OK</v>
      </c>
    </row>
    <row r="390" spans="1:17">
      <c r="A390" s="366" t="s">
        <v>2346</v>
      </c>
      <c r="B390" s="366" t="s">
        <v>231</v>
      </c>
      <c r="C390" s="348" t="str">
        <f>DATA_PROPERTY_MASTER!$A$5</f>
        <v>BLD_AB</v>
      </c>
      <c r="D390" s="380">
        <f>'00_PORTFOLIO ROLLUP'!J$12</f>
        <v>2030</v>
      </c>
      <c r="E390" s="366" t="s">
        <v>1721</v>
      </c>
      <c r="F390" s="366" t="s">
        <v>35</v>
      </c>
      <c r="G390" s="348" t="str">
        <f>"'"&amp;$C390&amp;"'!$E$63:$Y$63"</f>
        <v>'BLD_AB'!$E$63:$Y$63</v>
      </c>
      <c r="H390" s="381">
        <f ca="1">IF(IFERROR(INDEX(DATA_PROPERTY_MASTER!$E$5:$E$21,MATCH($C390,DATA_PROPERTY_MASTER!$A$5:$A$21,0))="Yes",FALSE),IFERROR(INDEX(INDIRECT("'"&amp;$C390&amp;"'!$E$63:$Y$63"),1,MATCH($D390,INDIRECT("'"&amp;$C390&amp;"'!$E$12:$Y$12"),0)),0),0)</f>
        <v>0</v>
      </c>
      <c r="I390" s="366" t="s">
        <v>1731</v>
      </c>
      <c r="J390" s="348" t="str">
        <f t="shared" ca="1" si="12"/>
        <v>OK</v>
      </c>
      <c r="K390" s="366" t="s">
        <v>1732</v>
      </c>
      <c r="L390" s="366" t="s">
        <v>2256</v>
      </c>
      <c r="M390" s="350" t="str">
        <f>IF($B390="Portfolio","Portfolio",IFERROR(INDEX(DATA_ASSET_CLASSIFICATION!$B$8:$B$24,MATCH($C390,DATA_ASSET_CLASSIFICATION!$A$8:$A$24,0)),"Review"))</f>
        <v>Alma Blackwell</v>
      </c>
      <c r="N390" s="350" t="str">
        <f>IF($B390="Portfolio","Portfolio",IFERROR(INDEX(DATA_ASSET_CLASSIFICATION!$U$8:$U$24,MATCH($C390,DATA_ASSET_CLASSIFICATION!$A$8:$A$24,0)),"Review"))</f>
        <v>Excluded</v>
      </c>
      <c r="O390" s="350" t="str">
        <f>IF($B390="Portfolio","Portfolio",IFERROR(INDEX(DATA_ASSET_CLASSIFICATION!$AB$8:$AB$13,MATCH($N390,DATA_ASSET_CLASSIFICATION!$AA$8:$AA$13,0)),"Review"))</f>
        <v>Bucket 0 · Excluded</v>
      </c>
      <c r="P390" s="350" t="str">
        <f>IF($B390="Portfolio","Portfolio",IFERROR(INDEX(DATA_ASSET_CLASSIFICATION!$C$8:$C$24,MATCH($C390,DATA_ASSET_CLASSIFICATION!$A$8:$A$24,0)),"Review"))</f>
        <v>No</v>
      </c>
      <c r="Q390" s="350" t="str">
        <f t="shared" ca="1" si="13"/>
        <v>OK</v>
      </c>
    </row>
    <row r="391" spans="1:17">
      <c r="A391" s="366" t="s">
        <v>2347</v>
      </c>
      <c r="B391" s="366" t="s">
        <v>231</v>
      </c>
      <c r="C391" s="348" t="str">
        <f>DATA_PROPERTY_MASTER!$A$5</f>
        <v>BLD_AB</v>
      </c>
      <c r="D391" s="380">
        <f>'00_PORTFOLIO ROLLUP'!J$12</f>
        <v>2030</v>
      </c>
      <c r="E391" s="366" t="s">
        <v>1721</v>
      </c>
      <c r="F391" s="366" t="s">
        <v>37</v>
      </c>
      <c r="G391" s="348" t="str">
        <f>"'"&amp;$C391&amp;"'!$E$63:$Y$63"</f>
        <v>'BLD_AB'!$E$63:$Y$63</v>
      </c>
      <c r="H391" s="381">
        <f ca="1">IF(IFERROR(INDEX(DATA_PROPERTY_MASTER!$E$5:$E$21,MATCH($C391,DATA_PROPERTY_MASTER!$A$5:$A$21,0))="Yes",FALSE),MAX(IFERROR(INDEX(INDIRECT("'"&amp;$C391&amp;"'!$E$63:$Y$63"),1,MATCH($D391,INDIRECT("'"&amp;$C391&amp;"'!$E$12:$Y$12"),0)),0),0),0)</f>
        <v>0</v>
      </c>
      <c r="I391" s="366" t="s">
        <v>1685</v>
      </c>
      <c r="J391" s="348" t="str">
        <f t="shared" ca="1" si="12"/>
        <v>OK</v>
      </c>
      <c r="K391" s="366" t="s">
        <v>1735</v>
      </c>
      <c r="L391" s="366" t="s">
        <v>2258</v>
      </c>
      <c r="M391" s="350" t="str">
        <f>IF($B391="Portfolio","Portfolio",IFERROR(INDEX(DATA_ASSET_CLASSIFICATION!$B$8:$B$24,MATCH($C391,DATA_ASSET_CLASSIFICATION!$A$8:$A$24,0)),"Review"))</f>
        <v>Alma Blackwell</v>
      </c>
      <c r="N391" s="350" t="str">
        <f>IF($B391="Portfolio","Portfolio",IFERROR(INDEX(DATA_ASSET_CLASSIFICATION!$U$8:$U$24,MATCH($C391,DATA_ASSET_CLASSIFICATION!$A$8:$A$24,0)),"Review"))</f>
        <v>Excluded</v>
      </c>
      <c r="O391" s="350" t="str">
        <f>IF($B391="Portfolio","Portfolio",IFERROR(INDEX(DATA_ASSET_CLASSIFICATION!$AB$8:$AB$13,MATCH($N391,DATA_ASSET_CLASSIFICATION!$AA$8:$AA$13,0)),"Review"))</f>
        <v>Bucket 0 · Excluded</v>
      </c>
      <c r="P391" s="350" t="str">
        <f>IF($B391="Portfolio","Portfolio",IFERROR(INDEX(DATA_ASSET_CLASSIFICATION!$C$8:$C$24,MATCH($C391,DATA_ASSET_CLASSIFICATION!$A$8:$A$24,0)),"Review"))</f>
        <v>No</v>
      </c>
      <c r="Q391" s="350" t="str">
        <f t="shared" ca="1" si="13"/>
        <v>OK</v>
      </c>
    </row>
    <row r="392" spans="1:17">
      <c r="A392" s="366" t="s">
        <v>2348</v>
      </c>
      <c r="B392" s="366" t="s">
        <v>231</v>
      </c>
      <c r="C392" s="348" t="str">
        <f>DATA_PROPERTY_MASTER!$A$5</f>
        <v>BLD_AB</v>
      </c>
      <c r="D392" s="380">
        <f>'00_PORTFOLIO ROLLUP'!J$12</f>
        <v>2030</v>
      </c>
      <c r="E392" s="366" t="s">
        <v>1721</v>
      </c>
      <c r="F392" s="366" t="s">
        <v>39</v>
      </c>
      <c r="G392" s="348" t="str">
        <f>"'"&amp;$C392&amp;"'!$E$63:$Y$63"</f>
        <v>'BLD_AB'!$E$63:$Y$63</v>
      </c>
      <c r="H392" s="381">
        <f ca="1">IF(IFERROR(INDEX(DATA_PROPERTY_MASTER!$E$5:$E$21,MATCH($C392,DATA_PROPERTY_MASTER!$A$5:$A$21,0))="Yes",FALSE),MAX(-IFERROR(INDEX(INDIRECT("'"&amp;$C392&amp;"'!$E$63:$Y$63"),1,MATCH($D392,INDIRECT("'"&amp;$C392&amp;"'!$E$12:$Y$12"),0)),0),0),0)</f>
        <v>0</v>
      </c>
      <c r="I392" s="366" t="s">
        <v>1690</v>
      </c>
      <c r="J392" s="348" t="str">
        <f t="shared" ca="1" si="12"/>
        <v>OK</v>
      </c>
      <c r="K392" s="366" t="s">
        <v>1738</v>
      </c>
      <c r="L392" s="366" t="s">
        <v>2260</v>
      </c>
      <c r="M392" s="350" t="str">
        <f>IF($B392="Portfolio","Portfolio",IFERROR(INDEX(DATA_ASSET_CLASSIFICATION!$B$8:$B$24,MATCH($C392,DATA_ASSET_CLASSIFICATION!$A$8:$A$24,0)),"Review"))</f>
        <v>Alma Blackwell</v>
      </c>
      <c r="N392" s="350" t="str">
        <f>IF($B392="Portfolio","Portfolio",IFERROR(INDEX(DATA_ASSET_CLASSIFICATION!$U$8:$U$24,MATCH($C392,DATA_ASSET_CLASSIFICATION!$A$8:$A$24,0)),"Review"))</f>
        <v>Excluded</v>
      </c>
      <c r="O392" s="350" t="str">
        <f>IF($B392="Portfolio","Portfolio",IFERROR(INDEX(DATA_ASSET_CLASSIFICATION!$AB$8:$AB$13,MATCH($N392,DATA_ASSET_CLASSIFICATION!$AA$8:$AA$13,0)),"Review"))</f>
        <v>Bucket 0 · Excluded</v>
      </c>
      <c r="P392" s="350" t="str">
        <f>IF($B392="Portfolio","Portfolio",IFERROR(INDEX(DATA_ASSET_CLASSIFICATION!$C$8:$C$24,MATCH($C392,DATA_ASSET_CLASSIFICATION!$A$8:$A$24,0)),"Review"))</f>
        <v>No</v>
      </c>
      <c r="Q392" s="350" t="str">
        <f t="shared" ca="1" si="13"/>
        <v>OK</v>
      </c>
    </row>
    <row r="393" spans="1:17">
      <c r="A393" s="366" t="s">
        <v>2349</v>
      </c>
      <c r="B393" s="366" t="s">
        <v>231</v>
      </c>
      <c r="C393" s="348" t="str">
        <f>DATA_PROPERTY_MASTER!$A$5</f>
        <v>BLD_AB</v>
      </c>
      <c r="D393" s="380">
        <f>'00_PORTFOLIO ROLLUP'!J$12</f>
        <v>2030</v>
      </c>
      <c r="E393" s="366" t="s">
        <v>1741</v>
      </c>
      <c r="F393" s="366" t="s">
        <v>41</v>
      </c>
      <c r="G393" s="348" t="str">
        <f>"'"&amp;$C393&amp;"'!rows 56 + positive row 63"</f>
        <v>'BLD_AB'!rows 56 + positive row 63</v>
      </c>
      <c r="H393" s="381">
        <f ca="1">IF(IFERROR(INDEX(DATA_PROPERTY_MASTER!$E$5:$E$21,MATCH($C393,DATA_PROPERTY_MASTER!$A$5:$A$21,0))="Yes",FALSE),IFERROR(INDEX(INDIRECT("'"&amp;$C393&amp;"'!$E$56:$Y$56"),1,MATCH($D393,INDIRECT("'"&amp;$C393&amp;"'!$E$12:$Y$12"),0)),0)+MAX(IFERROR(INDEX(INDIRECT("'"&amp;$C393&amp;"'!$E$63:$Y$63"),1,MATCH($D393,INDIRECT("'"&amp;$C393&amp;"'!$E$12:$Y$12"),0)),0),0),0)</f>
        <v>0</v>
      </c>
      <c r="I393" s="366" t="s">
        <v>1685</v>
      </c>
      <c r="J393" s="348" t="str">
        <f t="shared" ca="1" si="12"/>
        <v>OK</v>
      </c>
      <c r="K393" s="366" t="s">
        <v>1742</v>
      </c>
      <c r="L393" s="366" t="s">
        <v>2262</v>
      </c>
      <c r="M393" s="350" t="str">
        <f>IF($B393="Portfolio","Portfolio",IFERROR(INDEX(DATA_ASSET_CLASSIFICATION!$B$8:$B$24,MATCH($C393,DATA_ASSET_CLASSIFICATION!$A$8:$A$24,0)),"Review"))</f>
        <v>Alma Blackwell</v>
      </c>
      <c r="N393" s="350" t="str">
        <f>IF($B393="Portfolio","Portfolio",IFERROR(INDEX(DATA_ASSET_CLASSIFICATION!$U$8:$U$24,MATCH($C393,DATA_ASSET_CLASSIFICATION!$A$8:$A$24,0)),"Review"))</f>
        <v>Excluded</v>
      </c>
      <c r="O393" s="350" t="str">
        <f>IF($B393="Portfolio","Portfolio",IFERROR(INDEX(DATA_ASSET_CLASSIFICATION!$AB$8:$AB$13,MATCH($N393,DATA_ASSET_CLASSIFICATION!$AA$8:$AA$13,0)),"Review"))</f>
        <v>Bucket 0 · Excluded</v>
      </c>
      <c r="P393" s="350" t="str">
        <f>IF($B393="Portfolio","Portfolio",IFERROR(INDEX(DATA_ASSET_CLASSIFICATION!$C$8:$C$24,MATCH($C393,DATA_ASSET_CLASSIFICATION!$A$8:$A$24,0)),"Review"))</f>
        <v>No</v>
      </c>
      <c r="Q393" s="350" t="str">
        <f t="shared" ca="1" si="13"/>
        <v>OK</v>
      </c>
    </row>
    <row r="394" spans="1:17">
      <c r="A394" s="366" t="s">
        <v>2350</v>
      </c>
      <c r="B394" s="366" t="s">
        <v>231</v>
      </c>
      <c r="C394" s="348" t="str">
        <f>DATA_PROPERTY_MASTER!$A$5</f>
        <v>BLD_AB</v>
      </c>
      <c r="D394" s="380">
        <f>'00_PORTFOLIO ROLLUP'!J$12</f>
        <v>2030</v>
      </c>
      <c r="E394" s="366" t="s">
        <v>1741</v>
      </c>
      <c r="F394" s="366" t="s">
        <v>43</v>
      </c>
      <c r="G394" s="348" t="str">
        <f>"'"&amp;$C394&amp;"'!$E$68:$Y$68"</f>
        <v>'BLD_AB'!$E$68:$Y$68</v>
      </c>
      <c r="H394" s="381">
        <f ca="1">IF(IFERROR(INDEX(DATA_PROPERTY_MASTER!$E$5:$E$21,MATCH($C394,DATA_PROPERTY_MASTER!$A$5:$A$21,0))="Yes",FALSE),IFERROR(INDEX(INDIRECT("'"&amp;$C394&amp;"'!$E$68:$Y$68"),1,MATCH($D394,INDIRECT("'"&amp;$C394&amp;"'!$E$12:$Y$12"),0)),0),0)</f>
        <v>0</v>
      </c>
      <c r="I394" s="366" t="s">
        <v>1731</v>
      </c>
      <c r="J394" s="348" t="str">
        <f t="shared" ca="1" si="12"/>
        <v>OK</v>
      </c>
      <c r="K394" s="366" t="s">
        <v>1746</v>
      </c>
      <c r="L394" s="366" t="s">
        <v>2264</v>
      </c>
      <c r="M394" s="350" t="str">
        <f>IF($B394="Portfolio","Portfolio",IFERROR(INDEX(DATA_ASSET_CLASSIFICATION!$B$8:$B$24,MATCH($C394,DATA_ASSET_CLASSIFICATION!$A$8:$A$24,0)),"Review"))</f>
        <v>Alma Blackwell</v>
      </c>
      <c r="N394" s="350" t="str">
        <f>IF($B394="Portfolio","Portfolio",IFERROR(INDEX(DATA_ASSET_CLASSIFICATION!$U$8:$U$24,MATCH($C394,DATA_ASSET_CLASSIFICATION!$A$8:$A$24,0)),"Review"))</f>
        <v>Excluded</v>
      </c>
      <c r="O394" s="350" t="str">
        <f>IF($B394="Portfolio","Portfolio",IFERROR(INDEX(DATA_ASSET_CLASSIFICATION!$AB$8:$AB$13,MATCH($N394,DATA_ASSET_CLASSIFICATION!$AA$8:$AA$13,0)),"Review"))</f>
        <v>Bucket 0 · Excluded</v>
      </c>
      <c r="P394" s="350" t="str">
        <f>IF($B394="Portfolio","Portfolio",IFERROR(INDEX(DATA_ASSET_CLASSIFICATION!$C$8:$C$24,MATCH($C394,DATA_ASSET_CLASSIFICATION!$A$8:$A$24,0)),"Review"))</f>
        <v>No</v>
      </c>
      <c r="Q394" s="350" t="str">
        <f t="shared" ca="1" si="13"/>
        <v>OK</v>
      </c>
    </row>
    <row r="395" spans="1:17">
      <c r="A395" s="366" t="s">
        <v>2351</v>
      </c>
      <c r="B395" s="366" t="s">
        <v>231</v>
      </c>
      <c r="C395" s="348" t="str">
        <f>DATA_PROPERTY_MASTER!$A$5</f>
        <v>BLD_AB</v>
      </c>
      <c r="D395" s="380">
        <f>'00_PORTFOLIO ROLLUP'!J$12</f>
        <v>2030</v>
      </c>
      <c r="E395" s="366" t="s">
        <v>1741</v>
      </c>
      <c r="F395" s="366" t="s">
        <v>1749</v>
      </c>
      <c r="G395" s="348" t="str">
        <f>"'"&amp;$C395&amp;"'!rows 56, 63, 68"</f>
        <v>'BLD_AB'!rows 56, 63, 68</v>
      </c>
      <c r="H395" s="381">
        <f ca="1">IF(IFERROR(INDEX(DATA_PROPERTY_MASTER!$E$5:$E$21,MATCH($C395,DATA_PROPERTY_MASTER!$A$5:$A$21,0))="Yes",FALSE),(IFERROR(INDEX(INDIRECT("'"&amp;$C395&amp;"'!$E$56:$Y$56"),1,MATCH($D395,INDIRECT("'"&amp;$C395&amp;"'!$E$12:$Y$12"),0)),0)+MAX(IFERROR(INDEX(INDIRECT("'"&amp;$C395&amp;"'!$E$63:$Y$63"),1,MATCH($D395,INDIRECT("'"&amp;$C395&amp;"'!$E$12:$Y$12"),0)),0),0))-(IFERROR(INDEX(INDIRECT("'"&amp;$C395&amp;"'!$E$68:$Y$68"),1,MATCH($D395,INDIRECT("'"&amp;$C395&amp;"'!$E$12:$Y$12"),0)),0)),0)</f>
        <v>0</v>
      </c>
      <c r="I395" s="366" t="s">
        <v>1750</v>
      </c>
      <c r="J395" s="348" t="str">
        <f t="shared" ca="1" si="12"/>
        <v>OK</v>
      </c>
      <c r="K395" s="366" t="s">
        <v>1751</v>
      </c>
      <c r="L395" s="366" t="s">
        <v>2266</v>
      </c>
      <c r="M395" s="350" t="str">
        <f>IF($B395="Portfolio","Portfolio",IFERROR(INDEX(DATA_ASSET_CLASSIFICATION!$B$8:$B$24,MATCH($C395,DATA_ASSET_CLASSIFICATION!$A$8:$A$24,0)),"Review"))</f>
        <v>Alma Blackwell</v>
      </c>
      <c r="N395" s="350" t="str">
        <f>IF($B395="Portfolio","Portfolio",IFERROR(INDEX(DATA_ASSET_CLASSIFICATION!$U$8:$U$24,MATCH($C395,DATA_ASSET_CLASSIFICATION!$A$8:$A$24,0)),"Review"))</f>
        <v>Excluded</v>
      </c>
      <c r="O395" s="350" t="str">
        <f>IF($B395="Portfolio","Portfolio",IFERROR(INDEX(DATA_ASSET_CLASSIFICATION!$AB$8:$AB$13,MATCH($N395,DATA_ASSET_CLASSIFICATION!$AA$8:$AA$13,0)),"Review"))</f>
        <v>Bucket 0 · Excluded</v>
      </c>
      <c r="P395" s="350" t="str">
        <f>IF($B395="Portfolio","Portfolio",IFERROR(INDEX(DATA_ASSET_CLASSIFICATION!$C$8:$C$24,MATCH($C395,DATA_ASSET_CLASSIFICATION!$A$8:$A$24,0)),"Review"))</f>
        <v>No</v>
      </c>
      <c r="Q395" s="350" t="str">
        <f t="shared" ca="1" si="13"/>
        <v>OK</v>
      </c>
    </row>
    <row r="396" spans="1:17">
      <c r="A396" s="366" t="s">
        <v>2352</v>
      </c>
      <c r="B396" s="366" t="s">
        <v>231</v>
      </c>
      <c r="C396" s="348" t="str">
        <f>DATA_PROPERTY_MASTER!$A$5</f>
        <v>BLD_AB</v>
      </c>
      <c r="D396" s="380">
        <f>'00_PORTFOLIO ROLLUP'!K$12</f>
        <v>2031</v>
      </c>
      <c r="E396" s="366" t="s">
        <v>1683</v>
      </c>
      <c r="F396" s="366" t="s">
        <v>341</v>
      </c>
      <c r="G396" s="348" t="str">
        <f>"'"&amp;$C396&amp;"'!$E$24:$Y$24"</f>
        <v>'BLD_AB'!$E$24:$Y$24</v>
      </c>
      <c r="H396" s="381">
        <f ca="1">IF(IFERROR(INDEX(DATA_PROPERTY_MASTER!$E$5:$E$21,MATCH($C396,DATA_PROPERTY_MASTER!$A$5:$A$21,0))="Yes",FALSE),IFERROR(INDEX(INDIRECT("'"&amp;$C396&amp;"'!$E$24:$Y$24"),1,MATCH($D396,INDIRECT("'"&amp;$C396&amp;"'!$E$12:$Y$12"),0)),0),0)</f>
        <v>0</v>
      </c>
      <c r="I396" s="366" t="s">
        <v>1685</v>
      </c>
      <c r="J396" s="348" t="str">
        <f t="shared" ca="1" si="12"/>
        <v>OK</v>
      </c>
      <c r="K396" s="366" t="s">
        <v>1686</v>
      </c>
      <c r="L396" s="366" t="s">
        <v>2234</v>
      </c>
      <c r="M396" s="350" t="str">
        <f>IF($B396="Portfolio","Portfolio",IFERROR(INDEX(DATA_ASSET_CLASSIFICATION!$B$8:$B$24,MATCH($C396,DATA_ASSET_CLASSIFICATION!$A$8:$A$24,0)),"Review"))</f>
        <v>Alma Blackwell</v>
      </c>
      <c r="N396" s="350" t="str">
        <f>IF($B396="Portfolio","Portfolio",IFERROR(INDEX(DATA_ASSET_CLASSIFICATION!$U$8:$U$24,MATCH($C396,DATA_ASSET_CLASSIFICATION!$A$8:$A$24,0)),"Review"))</f>
        <v>Excluded</v>
      </c>
      <c r="O396" s="350" t="str">
        <f>IF($B396="Portfolio","Portfolio",IFERROR(INDEX(DATA_ASSET_CLASSIFICATION!$AB$8:$AB$13,MATCH($N396,DATA_ASSET_CLASSIFICATION!$AA$8:$AA$13,0)),"Review"))</f>
        <v>Bucket 0 · Excluded</v>
      </c>
      <c r="P396" s="350" t="str">
        <f>IF($B396="Portfolio","Portfolio",IFERROR(INDEX(DATA_ASSET_CLASSIFICATION!$C$8:$C$24,MATCH($C396,DATA_ASSET_CLASSIFICATION!$A$8:$A$24,0)),"Review"))</f>
        <v>No</v>
      </c>
      <c r="Q396" s="350" t="str">
        <f t="shared" ca="1" si="13"/>
        <v>OK</v>
      </c>
    </row>
    <row r="397" spans="1:17">
      <c r="A397" s="366" t="s">
        <v>2353</v>
      </c>
      <c r="B397" s="366" t="s">
        <v>231</v>
      </c>
      <c r="C397" s="348" t="str">
        <f>DATA_PROPERTY_MASTER!$A$5</f>
        <v>BLD_AB</v>
      </c>
      <c r="D397" s="380">
        <f>'00_PORTFOLIO ROLLUP'!K$12</f>
        <v>2031</v>
      </c>
      <c r="E397" s="366" t="s">
        <v>1683</v>
      </c>
      <c r="F397" s="366" t="s">
        <v>355</v>
      </c>
      <c r="G397" s="348" t="str">
        <f>"'"&amp;$C397&amp;"'!$E$39:$Y$39"</f>
        <v>'BLD_AB'!$E$39:$Y$39</v>
      </c>
      <c r="H397" s="381">
        <f ca="1">IF(IFERROR(INDEX(DATA_PROPERTY_MASTER!$E$5:$E$21,MATCH($C397,DATA_PROPERTY_MASTER!$A$5:$A$21,0))="Yes",FALSE),IFERROR(INDEX(INDIRECT("'"&amp;$C397&amp;"'!$E$39:$Y$39"),1,MATCH($D397,INDIRECT("'"&amp;$C397&amp;"'!$E$12:$Y$12"),0)),0),0)</f>
        <v>0</v>
      </c>
      <c r="I397" s="366" t="s">
        <v>1690</v>
      </c>
      <c r="J397" s="348" t="str">
        <f t="shared" ca="1" si="12"/>
        <v>OK</v>
      </c>
      <c r="K397" s="366" t="s">
        <v>1686</v>
      </c>
      <c r="L397" s="366" t="s">
        <v>2236</v>
      </c>
      <c r="M397" s="350" t="str">
        <f>IF($B397="Portfolio","Portfolio",IFERROR(INDEX(DATA_ASSET_CLASSIFICATION!$B$8:$B$24,MATCH($C397,DATA_ASSET_CLASSIFICATION!$A$8:$A$24,0)),"Review"))</f>
        <v>Alma Blackwell</v>
      </c>
      <c r="N397" s="350" t="str">
        <f>IF($B397="Portfolio","Portfolio",IFERROR(INDEX(DATA_ASSET_CLASSIFICATION!$U$8:$U$24,MATCH($C397,DATA_ASSET_CLASSIFICATION!$A$8:$A$24,0)),"Review"))</f>
        <v>Excluded</v>
      </c>
      <c r="O397" s="350" t="str">
        <f>IF($B397="Portfolio","Portfolio",IFERROR(INDEX(DATA_ASSET_CLASSIFICATION!$AB$8:$AB$13,MATCH($N397,DATA_ASSET_CLASSIFICATION!$AA$8:$AA$13,0)),"Review"))</f>
        <v>Bucket 0 · Excluded</v>
      </c>
      <c r="P397" s="350" t="str">
        <f>IF($B397="Portfolio","Portfolio",IFERROR(INDEX(DATA_ASSET_CLASSIFICATION!$C$8:$C$24,MATCH($C397,DATA_ASSET_CLASSIFICATION!$A$8:$A$24,0)),"Review"))</f>
        <v>No</v>
      </c>
      <c r="Q397" s="350" t="str">
        <f t="shared" ca="1" si="13"/>
        <v>OK</v>
      </c>
    </row>
    <row r="398" spans="1:17">
      <c r="A398" s="366" t="s">
        <v>2354</v>
      </c>
      <c r="B398" s="366" t="s">
        <v>231</v>
      </c>
      <c r="C398" s="348" t="str">
        <f>DATA_PROPERTY_MASTER!$A$5</f>
        <v>BLD_AB</v>
      </c>
      <c r="D398" s="380">
        <f>'00_PORTFOLIO ROLLUP'!K$12</f>
        <v>2031</v>
      </c>
      <c r="E398" s="366" t="s">
        <v>1683</v>
      </c>
      <c r="F398" s="366" t="s">
        <v>19</v>
      </c>
      <c r="G398" s="348" t="str">
        <f>"'"&amp;$C398&amp;"'!$E$41:$Y$41"</f>
        <v>'BLD_AB'!$E$41:$Y$41</v>
      </c>
      <c r="H398" s="381">
        <f ca="1">IF(IFERROR(INDEX(DATA_PROPERTY_MASTER!$E$5:$E$21,MATCH($C398,DATA_PROPERTY_MASTER!$A$5:$A$21,0))="Yes",FALSE),IFERROR(INDEX(INDIRECT("'"&amp;$C398&amp;"'!$E$41:$Y$41"),1,MATCH($D398,INDIRECT("'"&amp;$C398&amp;"'!$E$12:$Y$12"),0)),0),0)</f>
        <v>0</v>
      </c>
      <c r="I398" s="366" t="s">
        <v>1685</v>
      </c>
      <c r="J398" s="348" t="str">
        <f t="shared" ca="1" si="12"/>
        <v>OK</v>
      </c>
      <c r="K398" s="366" t="s">
        <v>1694</v>
      </c>
      <c r="L398" s="366" t="s">
        <v>2238</v>
      </c>
      <c r="M398" s="350" t="str">
        <f>IF($B398="Portfolio","Portfolio",IFERROR(INDEX(DATA_ASSET_CLASSIFICATION!$B$8:$B$24,MATCH($C398,DATA_ASSET_CLASSIFICATION!$A$8:$A$24,0)),"Review"))</f>
        <v>Alma Blackwell</v>
      </c>
      <c r="N398" s="350" t="str">
        <f>IF($B398="Portfolio","Portfolio",IFERROR(INDEX(DATA_ASSET_CLASSIFICATION!$U$8:$U$24,MATCH($C398,DATA_ASSET_CLASSIFICATION!$A$8:$A$24,0)),"Review"))</f>
        <v>Excluded</v>
      </c>
      <c r="O398" s="350" t="str">
        <f>IF($B398="Portfolio","Portfolio",IFERROR(INDEX(DATA_ASSET_CLASSIFICATION!$AB$8:$AB$13,MATCH($N398,DATA_ASSET_CLASSIFICATION!$AA$8:$AA$13,0)),"Review"))</f>
        <v>Bucket 0 · Excluded</v>
      </c>
      <c r="P398" s="350" t="str">
        <f>IF($B398="Portfolio","Portfolio",IFERROR(INDEX(DATA_ASSET_CLASSIFICATION!$C$8:$C$24,MATCH($C398,DATA_ASSET_CLASSIFICATION!$A$8:$A$24,0)),"Review"))</f>
        <v>No</v>
      </c>
      <c r="Q398" s="350" t="str">
        <f t="shared" ca="1" si="13"/>
        <v>OK</v>
      </c>
    </row>
    <row r="399" spans="1:17">
      <c r="A399" s="366" t="s">
        <v>2355</v>
      </c>
      <c r="B399" s="366" t="s">
        <v>231</v>
      </c>
      <c r="C399" s="348" t="str">
        <f>DATA_PROPERTY_MASTER!$A$5</f>
        <v>BLD_AB</v>
      </c>
      <c r="D399" s="380">
        <f>'00_PORTFOLIO ROLLUP'!K$12</f>
        <v>2031</v>
      </c>
      <c r="E399" s="366" t="s">
        <v>1683</v>
      </c>
      <c r="F399" s="366" t="s">
        <v>1697</v>
      </c>
      <c r="G399" s="348" t="str">
        <f>"'"&amp;$C399&amp;"'!$E$44:$Y$44"</f>
        <v>'BLD_AB'!$E$44:$Y$44</v>
      </c>
      <c r="H399" s="381">
        <f ca="1">IF(IFERROR(INDEX(DATA_PROPERTY_MASTER!$E$5:$E$21,MATCH($C399,DATA_PROPERTY_MASTER!$A$5:$A$21,0))="Yes",FALSE),IFERROR(INDEX(INDIRECT("'"&amp;$C399&amp;"'!$E$44:$Y$44"),1,MATCH($D399,INDIRECT("'"&amp;$C399&amp;"'!$E$12:$Y$12"),0)),0),0)</f>
        <v>0</v>
      </c>
      <c r="I399" s="366" t="s">
        <v>1690</v>
      </c>
      <c r="J399" s="348" t="str">
        <f t="shared" ca="1" si="12"/>
        <v>OK</v>
      </c>
      <c r="K399" s="366" t="s">
        <v>1699</v>
      </c>
      <c r="L399" s="366" t="s">
        <v>2240</v>
      </c>
      <c r="M399" s="350" t="str">
        <f>IF($B399="Portfolio","Portfolio",IFERROR(INDEX(DATA_ASSET_CLASSIFICATION!$B$8:$B$24,MATCH($C399,DATA_ASSET_CLASSIFICATION!$A$8:$A$24,0)),"Review"))</f>
        <v>Alma Blackwell</v>
      </c>
      <c r="N399" s="350" t="str">
        <f>IF($B399="Portfolio","Portfolio",IFERROR(INDEX(DATA_ASSET_CLASSIFICATION!$U$8:$U$24,MATCH($C399,DATA_ASSET_CLASSIFICATION!$A$8:$A$24,0)),"Review"))</f>
        <v>Excluded</v>
      </c>
      <c r="O399" s="350" t="str">
        <f>IF($B399="Portfolio","Portfolio",IFERROR(INDEX(DATA_ASSET_CLASSIFICATION!$AB$8:$AB$13,MATCH($N399,DATA_ASSET_CLASSIFICATION!$AA$8:$AA$13,0)),"Review"))</f>
        <v>Bucket 0 · Excluded</v>
      </c>
      <c r="P399" s="350" t="str">
        <f>IF($B399="Portfolio","Portfolio",IFERROR(INDEX(DATA_ASSET_CLASSIFICATION!$C$8:$C$24,MATCH($C399,DATA_ASSET_CLASSIFICATION!$A$8:$A$24,0)),"Review"))</f>
        <v>No</v>
      </c>
      <c r="Q399" s="350" t="str">
        <f t="shared" ca="1" si="13"/>
        <v>OK</v>
      </c>
    </row>
    <row r="400" spans="1:17">
      <c r="A400" s="366" t="s">
        <v>2356</v>
      </c>
      <c r="B400" s="366" t="s">
        <v>231</v>
      </c>
      <c r="C400" s="348" t="str">
        <f>DATA_PROPERTY_MASTER!$A$5</f>
        <v>BLD_AB</v>
      </c>
      <c r="D400" s="380">
        <f>'00_PORTFOLIO ROLLUP'!K$12</f>
        <v>2031</v>
      </c>
      <c r="E400" s="366" t="s">
        <v>1683</v>
      </c>
      <c r="F400" s="366" t="s">
        <v>21</v>
      </c>
      <c r="G400" s="348" t="str">
        <f>"'"&amp;$C400&amp;"'!$E$45:$Y$45"</f>
        <v>'BLD_AB'!$E$45:$Y$45</v>
      </c>
      <c r="H400" s="381">
        <f ca="1">IF(IFERROR(INDEX(DATA_PROPERTY_MASTER!$E$5:$E$21,MATCH($C400,DATA_PROPERTY_MASTER!$A$5:$A$21,0))="Yes",FALSE),IFERROR(INDEX(INDIRECT("'"&amp;$C400&amp;"'!$E$45:$Y$45"),1,MATCH($D400,INDIRECT("'"&amp;$C400&amp;"'!$E$12:$Y$12"),0)),0),0)</f>
        <v>0</v>
      </c>
      <c r="I400" s="366" t="s">
        <v>1685</v>
      </c>
      <c r="J400" s="348" t="str">
        <f t="shared" ca="1" si="12"/>
        <v>OK</v>
      </c>
      <c r="K400" s="366" t="s">
        <v>1694</v>
      </c>
      <c r="L400" s="366" t="s">
        <v>2242</v>
      </c>
      <c r="M400" s="350" t="str">
        <f>IF($B400="Portfolio","Portfolio",IFERROR(INDEX(DATA_ASSET_CLASSIFICATION!$B$8:$B$24,MATCH($C400,DATA_ASSET_CLASSIFICATION!$A$8:$A$24,0)),"Review"))</f>
        <v>Alma Blackwell</v>
      </c>
      <c r="N400" s="350" t="str">
        <f>IF($B400="Portfolio","Portfolio",IFERROR(INDEX(DATA_ASSET_CLASSIFICATION!$U$8:$U$24,MATCH($C400,DATA_ASSET_CLASSIFICATION!$A$8:$A$24,0)),"Review"))</f>
        <v>Excluded</v>
      </c>
      <c r="O400" s="350" t="str">
        <f>IF($B400="Portfolio","Portfolio",IFERROR(INDEX(DATA_ASSET_CLASSIFICATION!$AB$8:$AB$13,MATCH($N400,DATA_ASSET_CLASSIFICATION!$AA$8:$AA$13,0)),"Review"))</f>
        <v>Bucket 0 · Excluded</v>
      </c>
      <c r="P400" s="350" t="str">
        <f>IF($B400="Portfolio","Portfolio",IFERROR(INDEX(DATA_ASSET_CLASSIFICATION!$C$8:$C$24,MATCH($C400,DATA_ASSET_CLASSIFICATION!$A$8:$A$24,0)),"Review"))</f>
        <v>No</v>
      </c>
      <c r="Q400" s="350" t="str">
        <f t="shared" ca="1" si="13"/>
        <v>OK</v>
      </c>
    </row>
    <row r="401" spans="1:17">
      <c r="A401" s="366" t="s">
        <v>2357</v>
      </c>
      <c r="B401" s="366" t="s">
        <v>231</v>
      </c>
      <c r="C401" s="348" t="str">
        <f>DATA_PROPERTY_MASTER!$A$5</f>
        <v>BLD_AB</v>
      </c>
      <c r="D401" s="380">
        <f>'00_PORTFOLIO ROLLUP'!K$12</f>
        <v>2031</v>
      </c>
      <c r="E401" s="366" t="s">
        <v>23</v>
      </c>
      <c r="F401" s="366" t="s">
        <v>23</v>
      </c>
      <c r="G401" s="348" t="str">
        <f>"'"&amp;$C401&amp;"'!$E$48:$Y$48"</f>
        <v>'BLD_AB'!$E$48:$Y$48</v>
      </c>
      <c r="H401" s="381">
        <f ca="1">IF(IFERROR(INDEX(DATA_PROPERTY_MASTER!$E$5:$E$21,MATCH($C401,DATA_PROPERTY_MASTER!$A$5:$A$21,0))="Yes",FALSE),IFERROR(INDEX(INDIRECT("'"&amp;$C401&amp;"'!$E$48:$Y$48"),1,MATCH($D401,INDIRECT("'"&amp;$C401&amp;"'!$E$12:$Y$12"),0)),0),0)</f>
        <v>0</v>
      </c>
      <c r="I401" s="366" t="s">
        <v>1690</v>
      </c>
      <c r="J401" s="348" t="str">
        <f t="shared" ca="1" si="12"/>
        <v>OK</v>
      </c>
      <c r="K401" s="366" t="s">
        <v>1706</v>
      </c>
      <c r="L401" s="366" t="s">
        <v>2244</v>
      </c>
      <c r="M401" s="350" t="str">
        <f>IF($B401="Portfolio","Portfolio",IFERROR(INDEX(DATA_ASSET_CLASSIFICATION!$B$8:$B$24,MATCH($C401,DATA_ASSET_CLASSIFICATION!$A$8:$A$24,0)),"Review"))</f>
        <v>Alma Blackwell</v>
      </c>
      <c r="N401" s="350" t="str">
        <f>IF($B401="Portfolio","Portfolio",IFERROR(INDEX(DATA_ASSET_CLASSIFICATION!$U$8:$U$24,MATCH($C401,DATA_ASSET_CLASSIFICATION!$A$8:$A$24,0)),"Review"))</f>
        <v>Excluded</v>
      </c>
      <c r="O401" s="350" t="str">
        <f>IF($B401="Portfolio","Portfolio",IFERROR(INDEX(DATA_ASSET_CLASSIFICATION!$AB$8:$AB$13,MATCH($N401,DATA_ASSET_CLASSIFICATION!$AA$8:$AA$13,0)),"Review"))</f>
        <v>Bucket 0 · Excluded</v>
      </c>
      <c r="P401" s="350" t="str">
        <f>IF($B401="Portfolio","Portfolio",IFERROR(INDEX(DATA_ASSET_CLASSIFICATION!$C$8:$C$24,MATCH($C401,DATA_ASSET_CLASSIFICATION!$A$8:$A$24,0)),"Review"))</f>
        <v>No</v>
      </c>
      <c r="Q401" s="350" t="str">
        <f t="shared" ca="1" si="13"/>
        <v>OK</v>
      </c>
    </row>
    <row r="402" spans="1:17">
      <c r="A402" s="366" t="s">
        <v>2358</v>
      </c>
      <c r="B402" s="366" t="s">
        <v>231</v>
      </c>
      <c r="C402" s="348" t="str">
        <f>DATA_PROPERTY_MASTER!$A$5</f>
        <v>BLD_AB</v>
      </c>
      <c r="D402" s="380">
        <f>'00_PORTFOLIO ROLLUP'!K$12</f>
        <v>2031</v>
      </c>
      <c r="E402" s="366" t="s">
        <v>1683</v>
      </c>
      <c r="F402" s="366" t="s">
        <v>25</v>
      </c>
      <c r="G402" s="348" t="str">
        <f>"'"&amp;$C402&amp;"'!$E$52:$Y$52"</f>
        <v>'BLD_AB'!$E$52:$Y$52</v>
      </c>
      <c r="H402" s="381">
        <f ca="1">IF(IFERROR(INDEX(DATA_PROPERTY_MASTER!$E$5:$E$21,MATCH($C402,DATA_PROPERTY_MASTER!$A$5:$A$21,0))="Yes",FALSE),IFERROR(INDEX(INDIRECT("'"&amp;$C402&amp;"'!$E$52:$Y$52"),1,MATCH($D402,INDIRECT("'"&amp;$C402&amp;"'!$E$12:$Y$12"),0)),0),0)</f>
        <v>0</v>
      </c>
      <c r="I402" s="366" t="s">
        <v>1685</v>
      </c>
      <c r="J402" s="348" t="str">
        <f t="shared" ca="1" si="12"/>
        <v>OK</v>
      </c>
      <c r="K402" s="366" t="s">
        <v>1710</v>
      </c>
      <c r="L402" s="366" t="s">
        <v>2246</v>
      </c>
      <c r="M402" s="350" t="str">
        <f>IF($B402="Portfolio","Portfolio",IFERROR(INDEX(DATA_ASSET_CLASSIFICATION!$B$8:$B$24,MATCH($C402,DATA_ASSET_CLASSIFICATION!$A$8:$A$24,0)),"Review"))</f>
        <v>Alma Blackwell</v>
      </c>
      <c r="N402" s="350" t="str">
        <f>IF($B402="Portfolio","Portfolio",IFERROR(INDEX(DATA_ASSET_CLASSIFICATION!$U$8:$U$24,MATCH($C402,DATA_ASSET_CLASSIFICATION!$A$8:$A$24,0)),"Review"))</f>
        <v>Excluded</v>
      </c>
      <c r="O402" s="350" t="str">
        <f>IF($B402="Portfolio","Portfolio",IFERROR(INDEX(DATA_ASSET_CLASSIFICATION!$AB$8:$AB$13,MATCH($N402,DATA_ASSET_CLASSIFICATION!$AA$8:$AA$13,0)),"Review"))</f>
        <v>Bucket 0 · Excluded</v>
      </c>
      <c r="P402" s="350" t="str">
        <f>IF($B402="Portfolio","Portfolio",IFERROR(INDEX(DATA_ASSET_CLASSIFICATION!$C$8:$C$24,MATCH($C402,DATA_ASSET_CLASSIFICATION!$A$8:$A$24,0)),"Review"))</f>
        <v>No</v>
      </c>
      <c r="Q402" s="350" t="str">
        <f t="shared" ca="1" si="13"/>
        <v>OK</v>
      </c>
    </row>
    <row r="403" spans="1:17">
      <c r="A403" s="366" t="s">
        <v>2359</v>
      </c>
      <c r="B403" s="366" t="s">
        <v>231</v>
      </c>
      <c r="C403" s="348" t="str">
        <f>DATA_PROPERTY_MASTER!$A$5</f>
        <v>BLD_AB</v>
      </c>
      <c r="D403" s="380">
        <f>'00_PORTFOLIO ROLLUP'!K$12</f>
        <v>2031</v>
      </c>
      <c r="E403" s="366" t="s">
        <v>1683</v>
      </c>
      <c r="F403" s="366" t="s">
        <v>27</v>
      </c>
      <c r="G403" s="348" t="str">
        <f>"'"&amp;$C403&amp;"'!$E$54:$Y$54"</f>
        <v>'BLD_AB'!$E$54:$Y$54</v>
      </c>
      <c r="H403" s="381">
        <f ca="1">IF(IFERROR(INDEX(DATA_PROPERTY_MASTER!$E$5:$E$21,MATCH($C403,DATA_PROPERTY_MASTER!$A$5:$A$21,0))="Yes",FALSE),IFERROR(INDEX(INDIRECT("'"&amp;$C403&amp;"'!$E$54:$Y$54"),1,MATCH($D403,INDIRECT("'"&amp;$C403&amp;"'!$E$12:$Y$12"),0)),0),0)</f>
        <v>0</v>
      </c>
      <c r="I403" s="366" t="s">
        <v>1690</v>
      </c>
      <c r="J403" s="348" t="str">
        <f t="shared" ca="1" si="12"/>
        <v>OK</v>
      </c>
      <c r="K403" s="366" t="s">
        <v>1714</v>
      </c>
      <c r="L403" s="366" t="s">
        <v>2248</v>
      </c>
      <c r="M403" s="350" t="str">
        <f>IF($B403="Portfolio","Portfolio",IFERROR(INDEX(DATA_ASSET_CLASSIFICATION!$B$8:$B$24,MATCH($C403,DATA_ASSET_CLASSIFICATION!$A$8:$A$24,0)),"Review"))</f>
        <v>Alma Blackwell</v>
      </c>
      <c r="N403" s="350" t="str">
        <f>IF($B403="Portfolio","Portfolio",IFERROR(INDEX(DATA_ASSET_CLASSIFICATION!$U$8:$U$24,MATCH($C403,DATA_ASSET_CLASSIFICATION!$A$8:$A$24,0)),"Review"))</f>
        <v>Excluded</v>
      </c>
      <c r="O403" s="350" t="str">
        <f>IF($B403="Portfolio","Portfolio",IFERROR(INDEX(DATA_ASSET_CLASSIFICATION!$AB$8:$AB$13,MATCH($N403,DATA_ASSET_CLASSIFICATION!$AA$8:$AA$13,0)),"Review"))</f>
        <v>Bucket 0 · Excluded</v>
      </c>
      <c r="P403" s="350" t="str">
        <f>IF($B403="Portfolio","Portfolio",IFERROR(INDEX(DATA_ASSET_CLASSIFICATION!$C$8:$C$24,MATCH($C403,DATA_ASSET_CLASSIFICATION!$A$8:$A$24,0)),"Review"))</f>
        <v>No</v>
      </c>
      <c r="Q403" s="350" t="str">
        <f t="shared" ca="1" si="13"/>
        <v>OK</v>
      </c>
    </row>
    <row r="404" spans="1:17">
      <c r="A404" s="366" t="s">
        <v>2360</v>
      </c>
      <c r="B404" s="366" t="s">
        <v>231</v>
      </c>
      <c r="C404" s="348" t="str">
        <f>DATA_PROPERTY_MASTER!$A$5</f>
        <v>BLD_AB</v>
      </c>
      <c r="D404" s="380">
        <f>'00_PORTFOLIO ROLLUP'!K$12</f>
        <v>2031</v>
      </c>
      <c r="E404" s="366" t="s">
        <v>1683</v>
      </c>
      <c r="F404" s="366" t="s">
        <v>29</v>
      </c>
      <c r="G404" s="348" t="str">
        <f>"'"&amp;$C404&amp;"'!$E$56:$Y$56"</f>
        <v>'BLD_AB'!$E$56:$Y$56</v>
      </c>
      <c r="H404" s="381">
        <f ca="1">IF(IFERROR(INDEX(DATA_PROPERTY_MASTER!$E$5:$E$21,MATCH($C404,DATA_PROPERTY_MASTER!$A$5:$A$21,0))="Yes",FALSE),IFERROR(INDEX(INDIRECT("'"&amp;$C404&amp;"'!$E$56:$Y$56"),1,MATCH($D404,INDIRECT("'"&amp;$C404&amp;"'!$E$12:$Y$12"),0)),0),0)</f>
        <v>0</v>
      </c>
      <c r="I404" s="366" t="s">
        <v>1685</v>
      </c>
      <c r="J404" s="348" t="str">
        <f t="shared" ca="1" si="12"/>
        <v>OK</v>
      </c>
      <c r="K404" s="366" t="s">
        <v>1718</v>
      </c>
      <c r="L404" s="366" t="s">
        <v>2250</v>
      </c>
      <c r="M404" s="350" t="str">
        <f>IF($B404="Portfolio","Portfolio",IFERROR(INDEX(DATA_ASSET_CLASSIFICATION!$B$8:$B$24,MATCH($C404,DATA_ASSET_CLASSIFICATION!$A$8:$A$24,0)),"Review"))</f>
        <v>Alma Blackwell</v>
      </c>
      <c r="N404" s="350" t="str">
        <f>IF($B404="Portfolio","Portfolio",IFERROR(INDEX(DATA_ASSET_CLASSIFICATION!$U$8:$U$24,MATCH($C404,DATA_ASSET_CLASSIFICATION!$A$8:$A$24,0)),"Review"))</f>
        <v>Excluded</v>
      </c>
      <c r="O404" s="350" t="str">
        <f>IF($B404="Portfolio","Portfolio",IFERROR(INDEX(DATA_ASSET_CLASSIFICATION!$AB$8:$AB$13,MATCH($N404,DATA_ASSET_CLASSIFICATION!$AA$8:$AA$13,0)),"Review"))</f>
        <v>Bucket 0 · Excluded</v>
      </c>
      <c r="P404" s="350" t="str">
        <f>IF($B404="Portfolio","Portfolio",IFERROR(INDEX(DATA_ASSET_CLASSIFICATION!$C$8:$C$24,MATCH($C404,DATA_ASSET_CLASSIFICATION!$A$8:$A$24,0)),"Review"))</f>
        <v>No</v>
      </c>
      <c r="Q404" s="350" t="str">
        <f t="shared" ca="1" si="13"/>
        <v>OK</v>
      </c>
    </row>
    <row r="405" spans="1:17">
      <c r="A405" s="366" t="s">
        <v>2361</v>
      </c>
      <c r="B405" s="366" t="s">
        <v>231</v>
      </c>
      <c r="C405" s="348" t="str">
        <f>DATA_PROPERTY_MASTER!$A$5</f>
        <v>BLD_AB</v>
      </c>
      <c r="D405" s="380">
        <f>'00_PORTFOLIO ROLLUP'!K$12</f>
        <v>2031</v>
      </c>
      <c r="E405" s="366" t="s">
        <v>1721</v>
      </c>
      <c r="F405" s="366" t="s">
        <v>31</v>
      </c>
      <c r="G405" s="348" t="str">
        <f>"'"&amp;$C405&amp;"'!$E$61:$Y$61"</f>
        <v>'BLD_AB'!$E$61:$Y$61</v>
      </c>
      <c r="H405" s="381">
        <f ca="1">IF(IFERROR(INDEX(DATA_PROPERTY_MASTER!$E$5:$E$21,MATCH($C405,DATA_PROPERTY_MASTER!$A$5:$A$21,0))="Yes",FALSE),IFERROR(INDEX(INDIRECT("'"&amp;$C405&amp;"'!$E$61:$Y$61"),1,MATCH($D405,INDIRECT("'"&amp;$C405&amp;"'!$E$12:$Y$12"),0)),0),0)</f>
        <v>0</v>
      </c>
      <c r="I405" s="366" t="s">
        <v>1690</v>
      </c>
      <c r="J405" s="348" t="str">
        <f t="shared" ca="1" si="12"/>
        <v>OK</v>
      </c>
      <c r="K405" s="366" t="s">
        <v>1723</v>
      </c>
      <c r="L405" s="366" t="s">
        <v>2252</v>
      </c>
      <c r="M405" s="350" t="str">
        <f>IF($B405="Portfolio","Portfolio",IFERROR(INDEX(DATA_ASSET_CLASSIFICATION!$B$8:$B$24,MATCH($C405,DATA_ASSET_CLASSIFICATION!$A$8:$A$24,0)),"Review"))</f>
        <v>Alma Blackwell</v>
      </c>
      <c r="N405" s="350" t="str">
        <f>IF($B405="Portfolio","Portfolio",IFERROR(INDEX(DATA_ASSET_CLASSIFICATION!$U$8:$U$24,MATCH($C405,DATA_ASSET_CLASSIFICATION!$A$8:$A$24,0)),"Review"))</f>
        <v>Excluded</v>
      </c>
      <c r="O405" s="350" t="str">
        <f>IF($B405="Portfolio","Portfolio",IFERROR(INDEX(DATA_ASSET_CLASSIFICATION!$AB$8:$AB$13,MATCH($N405,DATA_ASSET_CLASSIFICATION!$AA$8:$AA$13,0)),"Review"))</f>
        <v>Bucket 0 · Excluded</v>
      </c>
      <c r="P405" s="350" t="str">
        <f>IF($B405="Portfolio","Portfolio",IFERROR(INDEX(DATA_ASSET_CLASSIFICATION!$C$8:$C$24,MATCH($C405,DATA_ASSET_CLASSIFICATION!$A$8:$A$24,0)),"Review"))</f>
        <v>No</v>
      </c>
      <c r="Q405" s="350" t="str">
        <f t="shared" ca="1" si="13"/>
        <v>OK</v>
      </c>
    </row>
    <row r="406" spans="1:17">
      <c r="A406" s="366" t="s">
        <v>2362</v>
      </c>
      <c r="B406" s="366" t="s">
        <v>231</v>
      </c>
      <c r="C406" s="348" t="str">
        <f>DATA_PROPERTY_MASTER!$A$5</f>
        <v>BLD_AB</v>
      </c>
      <c r="D406" s="380">
        <f>'00_PORTFOLIO ROLLUP'!K$12</f>
        <v>2031</v>
      </c>
      <c r="E406" s="366" t="s">
        <v>1721</v>
      </c>
      <c r="F406" s="366" t="s">
        <v>33</v>
      </c>
      <c r="G406" s="348" t="str">
        <f>"'"&amp;$C406&amp;"'!$E$62:$Y$62"</f>
        <v>'BLD_AB'!$E$62:$Y$62</v>
      </c>
      <c r="H406" s="381">
        <f ca="1">IF(IFERROR(INDEX(DATA_PROPERTY_MASTER!$E$5:$E$21,MATCH($C406,DATA_PROPERTY_MASTER!$A$5:$A$21,0))="Yes",FALSE),IFERROR(INDEX(INDIRECT("'"&amp;$C406&amp;"'!$E$62:$Y$62"),1,MATCH($D406,INDIRECT("'"&amp;$C406&amp;"'!$E$12:$Y$12"),0)),0),0)</f>
        <v>0</v>
      </c>
      <c r="I406" s="366" t="s">
        <v>1685</v>
      </c>
      <c r="J406" s="348" t="str">
        <f t="shared" ca="1" si="12"/>
        <v>OK</v>
      </c>
      <c r="K406" s="366" t="s">
        <v>1727</v>
      </c>
      <c r="L406" s="366" t="s">
        <v>2254</v>
      </c>
      <c r="M406" s="350" t="str">
        <f>IF($B406="Portfolio","Portfolio",IFERROR(INDEX(DATA_ASSET_CLASSIFICATION!$B$8:$B$24,MATCH($C406,DATA_ASSET_CLASSIFICATION!$A$8:$A$24,0)),"Review"))</f>
        <v>Alma Blackwell</v>
      </c>
      <c r="N406" s="350" t="str">
        <f>IF($B406="Portfolio","Portfolio",IFERROR(INDEX(DATA_ASSET_CLASSIFICATION!$U$8:$U$24,MATCH($C406,DATA_ASSET_CLASSIFICATION!$A$8:$A$24,0)),"Review"))</f>
        <v>Excluded</v>
      </c>
      <c r="O406" s="350" t="str">
        <f>IF($B406="Portfolio","Portfolio",IFERROR(INDEX(DATA_ASSET_CLASSIFICATION!$AB$8:$AB$13,MATCH($N406,DATA_ASSET_CLASSIFICATION!$AA$8:$AA$13,0)),"Review"))</f>
        <v>Bucket 0 · Excluded</v>
      </c>
      <c r="P406" s="350" t="str">
        <f>IF($B406="Portfolio","Portfolio",IFERROR(INDEX(DATA_ASSET_CLASSIFICATION!$C$8:$C$24,MATCH($C406,DATA_ASSET_CLASSIFICATION!$A$8:$A$24,0)),"Review"))</f>
        <v>No</v>
      </c>
      <c r="Q406" s="350" t="str">
        <f t="shared" ca="1" si="13"/>
        <v>OK</v>
      </c>
    </row>
    <row r="407" spans="1:17">
      <c r="A407" s="366" t="s">
        <v>2363</v>
      </c>
      <c r="B407" s="366" t="s">
        <v>231</v>
      </c>
      <c r="C407" s="348" t="str">
        <f>DATA_PROPERTY_MASTER!$A$5</f>
        <v>BLD_AB</v>
      </c>
      <c r="D407" s="380">
        <f>'00_PORTFOLIO ROLLUP'!K$12</f>
        <v>2031</v>
      </c>
      <c r="E407" s="366" t="s">
        <v>1721</v>
      </c>
      <c r="F407" s="366" t="s">
        <v>35</v>
      </c>
      <c r="G407" s="348" t="str">
        <f>"'"&amp;$C407&amp;"'!$E$63:$Y$63"</f>
        <v>'BLD_AB'!$E$63:$Y$63</v>
      </c>
      <c r="H407" s="381">
        <f ca="1">IF(IFERROR(INDEX(DATA_PROPERTY_MASTER!$E$5:$E$21,MATCH($C407,DATA_PROPERTY_MASTER!$A$5:$A$21,0))="Yes",FALSE),IFERROR(INDEX(INDIRECT("'"&amp;$C407&amp;"'!$E$63:$Y$63"),1,MATCH($D407,INDIRECT("'"&amp;$C407&amp;"'!$E$12:$Y$12"),0)),0),0)</f>
        <v>0</v>
      </c>
      <c r="I407" s="366" t="s">
        <v>1731</v>
      </c>
      <c r="J407" s="348" t="str">
        <f t="shared" ca="1" si="12"/>
        <v>OK</v>
      </c>
      <c r="K407" s="366" t="s">
        <v>1732</v>
      </c>
      <c r="L407" s="366" t="s">
        <v>2256</v>
      </c>
      <c r="M407" s="350" t="str">
        <f>IF($B407="Portfolio","Portfolio",IFERROR(INDEX(DATA_ASSET_CLASSIFICATION!$B$8:$B$24,MATCH($C407,DATA_ASSET_CLASSIFICATION!$A$8:$A$24,0)),"Review"))</f>
        <v>Alma Blackwell</v>
      </c>
      <c r="N407" s="350" t="str">
        <f>IF($B407="Portfolio","Portfolio",IFERROR(INDEX(DATA_ASSET_CLASSIFICATION!$U$8:$U$24,MATCH($C407,DATA_ASSET_CLASSIFICATION!$A$8:$A$24,0)),"Review"))</f>
        <v>Excluded</v>
      </c>
      <c r="O407" s="350" t="str">
        <f>IF($B407="Portfolio","Portfolio",IFERROR(INDEX(DATA_ASSET_CLASSIFICATION!$AB$8:$AB$13,MATCH($N407,DATA_ASSET_CLASSIFICATION!$AA$8:$AA$13,0)),"Review"))</f>
        <v>Bucket 0 · Excluded</v>
      </c>
      <c r="P407" s="350" t="str">
        <f>IF($B407="Portfolio","Portfolio",IFERROR(INDEX(DATA_ASSET_CLASSIFICATION!$C$8:$C$24,MATCH($C407,DATA_ASSET_CLASSIFICATION!$A$8:$A$24,0)),"Review"))</f>
        <v>No</v>
      </c>
      <c r="Q407" s="350" t="str">
        <f t="shared" ca="1" si="13"/>
        <v>OK</v>
      </c>
    </row>
    <row r="408" spans="1:17">
      <c r="A408" s="366" t="s">
        <v>2364</v>
      </c>
      <c r="B408" s="366" t="s">
        <v>231</v>
      </c>
      <c r="C408" s="348" t="str">
        <f>DATA_PROPERTY_MASTER!$A$5</f>
        <v>BLD_AB</v>
      </c>
      <c r="D408" s="380">
        <f>'00_PORTFOLIO ROLLUP'!K$12</f>
        <v>2031</v>
      </c>
      <c r="E408" s="366" t="s">
        <v>1721</v>
      </c>
      <c r="F408" s="366" t="s">
        <v>37</v>
      </c>
      <c r="G408" s="348" t="str">
        <f>"'"&amp;$C408&amp;"'!$E$63:$Y$63"</f>
        <v>'BLD_AB'!$E$63:$Y$63</v>
      </c>
      <c r="H408" s="381">
        <f ca="1">IF(IFERROR(INDEX(DATA_PROPERTY_MASTER!$E$5:$E$21,MATCH($C408,DATA_PROPERTY_MASTER!$A$5:$A$21,0))="Yes",FALSE),MAX(IFERROR(INDEX(INDIRECT("'"&amp;$C408&amp;"'!$E$63:$Y$63"),1,MATCH($D408,INDIRECT("'"&amp;$C408&amp;"'!$E$12:$Y$12"),0)),0),0),0)</f>
        <v>0</v>
      </c>
      <c r="I408" s="366" t="s">
        <v>1685</v>
      </c>
      <c r="J408" s="348" t="str">
        <f t="shared" ca="1" si="12"/>
        <v>OK</v>
      </c>
      <c r="K408" s="366" t="s">
        <v>1735</v>
      </c>
      <c r="L408" s="366" t="s">
        <v>2258</v>
      </c>
      <c r="M408" s="350" t="str">
        <f>IF($B408="Portfolio","Portfolio",IFERROR(INDEX(DATA_ASSET_CLASSIFICATION!$B$8:$B$24,MATCH($C408,DATA_ASSET_CLASSIFICATION!$A$8:$A$24,0)),"Review"))</f>
        <v>Alma Blackwell</v>
      </c>
      <c r="N408" s="350" t="str">
        <f>IF($B408="Portfolio","Portfolio",IFERROR(INDEX(DATA_ASSET_CLASSIFICATION!$U$8:$U$24,MATCH($C408,DATA_ASSET_CLASSIFICATION!$A$8:$A$24,0)),"Review"))</f>
        <v>Excluded</v>
      </c>
      <c r="O408" s="350" t="str">
        <f>IF($B408="Portfolio","Portfolio",IFERROR(INDEX(DATA_ASSET_CLASSIFICATION!$AB$8:$AB$13,MATCH($N408,DATA_ASSET_CLASSIFICATION!$AA$8:$AA$13,0)),"Review"))</f>
        <v>Bucket 0 · Excluded</v>
      </c>
      <c r="P408" s="350" t="str">
        <f>IF($B408="Portfolio","Portfolio",IFERROR(INDEX(DATA_ASSET_CLASSIFICATION!$C$8:$C$24,MATCH($C408,DATA_ASSET_CLASSIFICATION!$A$8:$A$24,0)),"Review"))</f>
        <v>No</v>
      </c>
      <c r="Q408" s="350" t="str">
        <f t="shared" ca="1" si="13"/>
        <v>OK</v>
      </c>
    </row>
    <row r="409" spans="1:17">
      <c r="A409" s="366" t="s">
        <v>2365</v>
      </c>
      <c r="B409" s="366" t="s">
        <v>231</v>
      </c>
      <c r="C409" s="348" t="str">
        <f>DATA_PROPERTY_MASTER!$A$5</f>
        <v>BLD_AB</v>
      </c>
      <c r="D409" s="380">
        <f>'00_PORTFOLIO ROLLUP'!K$12</f>
        <v>2031</v>
      </c>
      <c r="E409" s="366" t="s">
        <v>1721</v>
      </c>
      <c r="F409" s="366" t="s">
        <v>39</v>
      </c>
      <c r="G409" s="348" t="str">
        <f>"'"&amp;$C409&amp;"'!$E$63:$Y$63"</f>
        <v>'BLD_AB'!$E$63:$Y$63</v>
      </c>
      <c r="H409" s="381">
        <f ca="1">IF(IFERROR(INDEX(DATA_PROPERTY_MASTER!$E$5:$E$21,MATCH($C409,DATA_PROPERTY_MASTER!$A$5:$A$21,0))="Yes",FALSE),MAX(-IFERROR(INDEX(INDIRECT("'"&amp;$C409&amp;"'!$E$63:$Y$63"),1,MATCH($D409,INDIRECT("'"&amp;$C409&amp;"'!$E$12:$Y$12"),0)),0),0),0)</f>
        <v>0</v>
      </c>
      <c r="I409" s="366" t="s">
        <v>1690</v>
      </c>
      <c r="J409" s="348" t="str">
        <f t="shared" ca="1" si="12"/>
        <v>OK</v>
      </c>
      <c r="K409" s="366" t="s">
        <v>1738</v>
      </c>
      <c r="L409" s="366" t="s">
        <v>2260</v>
      </c>
      <c r="M409" s="350" t="str">
        <f>IF($B409="Portfolio","Portfolio",IFERROR(INDEX(DATA_ASSET_CLASSIFICATION!$B$8:$B$24,MATCH($C409,DATA_ASSET_CLASSIFICATION!$A$8:$A$24,0)),"Review"))</f>
        <v>Alma Blackwell</v>
      </c>
      <c r="N409" s="350" t="str">
        <f>IF($B409="Portfolio","Portfolio",IFERROR(INDEX(DATA_ASSET_CLASSIFICATION!$U$8:$U$24,MATCH($C409,DATA_ASSET_CLASSIFICATION!$A$8:$A$24,0)),"Review"))</f>
        <v>Excluded</v>
      </c>
      <c r="O409" s="350" t="str">
        <f>IF($B409="Portfolio","Portfolio",IFERROR(INDEX(DATA_ASSET_CLASSIFICATION!$AB$8:$AB$13,MATCH($N409,DATA_ASSET_CLASSIFICATION!$AA$8:$AA$13,0)),"Review"))</f>
        <v>Bucket 0 · Excluded</v>
      </c>
      <c r="P409" s="350" t="str">
        <f>IF($B409="Portfolio","Portfolio",IFERROR(INDEX(DATA_ASSET_CLASSIFICATION!$C$8:$C$24,MATCH($C409,DATA_ASSET_CLASSIFICATION!$A$8:$A$24,0)),"Review"))</f>
        <v>No</v>
      </c>
      <c r="Q409" s="350" t="str">
        <f t="shared" ca="1" si="13"/>
        <v>OK</v>
      </c>
    </row>
    <row r="410" spans="1:17">
      <c r="A410" s="366" t="s">
        <v>2366</v>
      </c>
      <c r="B410" s="366" t="s">
        <v>231</v>
      </c>
      <c r="C410" s="348" t="str">
        <f>DATA_PROPERTY_MASTER!$A$5</f>
        <v>BLD_AB</v>
      </c>
      <c r="D410" s="380">
        <f>'00_PORTFOLIO ROLLUP'!K$12</f>
        <v>2031</v>
      </c>
      <c r="E410" s="366" t="s">
        <v>1741</v>
      </c>
      <c r="F410" s="366" t="s">
        <v>41</v>
      </c>
      <c r="G410" s="348" t="str">
        <f>"'"&amp;$C410&amp;"'!rows 56 + positive row 63"</f>
        <v>'BLD_AB'!rows 56 + positive row 63</v>
      </c>
      <c r="H410" s="381">
        <f ca="1">IF(IFERROR(INDEX(DATA_PROPERTY_MASTER!$E$5:$E$21,MATCH($C410,DATA_PROPERTY_MASTER!$A$5:$A$21,0))="Yes",FALSE),IFERROR(INDEX(INDIRECT("'"&amp;$C410&amp;"'!$E$56:$Y$56"),1,MATCH($D410,INDIRECT("'"&amp;$C410&amp;"'!$E$12:$Y$12"),0)),0)+MAX(IFERROR(INDEX(INDIRECT("'"&amp;$C410&amp;"'!$E$63:$Y$63"),1,MATCH($D410,INDIRECT("'"&amp;$C410&amp;"'!$E$12:$Y$12"),0)),0),0),0)</f>
        <v>0</v>
      </c>
      <c r="I410" s="366" t="s">
        <v>1685</v>
      </c>
      <c r="J410" s="348" t="str">
        <f t="shared" ca="1" si="12"/>
        <v>OK</v>
      </c>
      <c r="K410" s="366" t="s">
        <v>1742</v>
      </c>
      <c r="L410" s="366" t="s">
        <v>2262</v>
      </c>
      <c r="M410" s="350" t="str">
        <f>IF($B410="Portfolio","Portfolio",IFERROR(INDEX(DATA_ASSET_CLASSIFICATION!$B$8:$B$24,MATCH($C410,DATA_ASSET_CLASSIFICATION!$A$8:$A$24,0)),"Review"))</f>
        <v>Alma Blackwell</v>
      </c>
      <c r="N410" s="350" t="str">
        <f>IF($B410="Portfolio","Portfolio",IFERROR(INDEX(DATA_ASSET_CLASSIFICATION!$U$8:$U$24,MATCH($C410,DATA_ASSET_CLASSIFICATION!$A$8:$A$24,0)),"Review"))</f>
        <v>Excluded</v>
      </c>
      <c r="O410" s="350" t="str">
        <f>IF($B410="Portfolio","Portfolio",IFERROR(INDEX(DATA_ASSET_CLASSIFICATION!$AB$8:$AB$13,MATCH($N410,DATA_ASSET_CLASSIFICATION!$AA$8:$AA$13,0)),"Review"))</f>
        <v>Bucket 0 · Excluded</v>
      </c>
      <c r="P410" s="350" t="str">
        <f>IF($B410="Portfolio","Portfolio",IFERROR(INDEX(DATA_ASSET_CLASSIFICATION!$C$8:$C$24,MATCH($C410,DATA_ASSET_CLASSIFICATION!$A$8:$A$24,0)),"Review"))</f>
        <v>No</v>
      </c>
      <c r="Q410" s="350" t="str">
        <f t="shared" ca="1" si="13"/>
        <v>OK</v>
      </c>
    </row>
    <row r="411" spans="1:17">
      <c r="A411" s="366" t="s">
        <v>2367</v>
      </c>
      <c r="B411" s="366" t="s">
        <v>231</v>
      </c>
      <c r="C411" s="348" t="str">
        <f>DATA_PROPERTY_MASTER!$A$5</f>
        <v>BLD_AB</v>
      </c>
      <c r="D411" s="380">
        <f>'00_PORTFOLIO ROLLUP'!K$12</f>
        <v>2031</v>
      </c>
      <c r="E411" s="366" t="s">
        <v>1741</v>
      </c>
      <c r="F411" s="366" t="s">
        <v>43</v>
      </c>
      <c r="G411" s="348" t="str">
        <f>"'"&amp;$C411&amp;"'!$E$68:$Y$68"</f>
        <v>'BLD_AB'!$E$68:$Y$68</v>
      </c>
      <c r="H411" s="381">
        <f ca="1">IF(IFERROR(INDEX(DATA_PROPERTY_MASTER!$E$5:$E$21,MATCH($C411,DATA_PROPERTY_MASTER!$A$5:$A$21,0))="Yes",FALSE),IFERROR(INDEX(INDIRECT("'"&amp;$C411&amp;"'!$E$68:$Y$68"),1,MATCH($D411,INDIRECT("'"&amp;$C411&amp;"'!$E$12:$Y$12"),0)),0),0)</f>
        <v>0</v>
      </c>
      <c r="I411" s="366" t="s">
        <v>1731</v>
      </c>
      <c r="J411" s="348" t="str">
        <f t="shared" ca="1" si="12"/>
        <v>OK</v>
      </c>
      <c r="K411" s="366" t="s">
        <v>1746</v>
      </c>
      <c r="L411" s="366" t="s">
        <v>2264</v>
      </c>
      <c r="M411" s="350" t="str">
        <f>IF($B411="Portfolio","Portfolio",IFERROR(INDEX(DATA_ASSET_CLASSIFICATION!$B$8:$B$24,MATCH($C411,DATA_ASSET_CLASSIFICATION!$A$8:$A$24,0)),"Review"))</f>
        <v>Alma Blackwell</v>
      </c>
      <c r="N411" s="350" t="str">
        <f>IF($B411="Portfolio","Portfolio",IFERROR(INDEX(DATA_ASSET_CLASSIFICATION!$U$8:$U$24,MATCH($C411,DATA_ASSET_CLASSIFICATION!$A$8:$A$24,0)),"Review"))</f>
        <v>Excluded</v>
      </c>
      <c r="O411" s="350" t="str">
        <f>IF($B411="Portfolio","Portfolio",IFERROR(INDEX(DATA_ASSET_CLASSIFICATION!$AB$8:$AB$13,MATCH($N411,DATA_ASSET_CLASSIFICATION!$AA$8:$AA$13,0)),"Review"))</f>
        <v>Bucket 0 · Excluded</v>
      </c>
      <c r="P411" s="350" t="str">
        <f>IF($B411="Portfolio","Portfolio",IFERROR(INDEX(DATA_ASSET_CLASSIFICATION!$C$8:$C$24,MATCH($C411,DATA_ASSET_CLASSIFICATION!$A$8:$A$24,0)),"Review"))</f>
        <v>No</v>
      </c>
      <c r="Q411" s="350" t="str">
        <f t="shared" ca="1" si="13"/>
        <v>OK</v>
      </c>
    </row>
    <row r="412" spans="1:17">
      <c r="A412" s="366" t="s">
        <v>2368</v>
      </c>
      <c r="B412" s="366" t="s">
        <v>231</v>
      </c>
      <c r="C412" s="348" t="str">
        <f>DATA_PROPERTY_MASTER!$A$5</f>
        <v>BLD_AB</v>
      </c>
      <c r="D412" s="380">
        <f>'00_PORTFOLIO ROLLUP'!K$12</f>
        <v>2031</v>
      </c>
      <c r="E412" s="366" t="s">
        <v>1741</v>
      </c>
      <c r="F412" s="366" t="s">
        <v>1749</v>
      </c>
      <c r="G412" s="348" t="str">
        <f>"'"&amp;$C412&amp;"'!rows 56, 63, 68"</f>
        <v>'BLD_AB'!rows 56, 63, 68</v>
      </c>
      <c r="H412" s="381">
        <f ca="1">IF(IFERROR(INDEX(DATA_PROPERTY_MASTER!$E$5:$E$21,MATCH($C412,DATA_PROPERTY_MASTER!$A$5:$A$21,0))="Yes",FALSE),(IFERROR(INDEX(INDIRECT("'"&amp;$C412&amp;"'!$E$56:$Y$56"),1,MATCH($D412,INDIRECT("'"&amp;$C412&amp;"'!$E$12:$Y$12"),0)),0)+MAX(IFERROR(INDEX(INDIRECT("'"&amp;$C412&amp;"'!$E$63:$Y$63"),1,MATCH($D412,INDIRECT("'"&amp;$C412&amp;"'!$E$12:$Y$12"),0)),0),0))-(IFERROR(INDEX(INDIRECT("'"&amp;$C412&amp;"'!$E$68:$Y$68"),1,MATCH($D412,INDIRECT("'"&amp;$C412&amp;"'!$E$12:$Y$12"),0)),0)),0)</f>
        <v>0</v>
      </c>
      <c r="I412" s="366" t="s">
        <v>1750</v>
      </c>
      <c r="J412" s="348" t="str">
        <f t="shared" ca="1" si="12"/>
        <v>OK</v>
      </c>
      <c r="K412" s="366" t="s">
        <v>1751</v>
      </c>
      <c r="L412" s="366" t="s">
        <v>2266</v>
      </c>
      <c r="M412" s="350" t="str">
        <f>IF($B412="Portfolio","Portfolio",IFERROR(INDEX(DATA_ASSET_CLASSIFICATION!$B$8:$B$24,MATCH($C412,DATA_ASSET_CLASSIFICATION!$A$8:$A$24,0)),"Review"))</f>
        <v>Alma Blackwell</v>
      </c>
      <c r="N412" s="350" t="str">
        <f>IF($B412="Portfolio","Portfolio",IFERROR(INDEX(DATA_ASSET_CLASSIFICATION!$U$8:$U$24,MATCH($C412,DATA_ASSET_CLASSIFICATION!$A$8:$A$24,0)),"Review"))</f>
        <v>Excluded</v>
      </c>
      <c r="O412" s="350" t="str">
        <f>IF($B412="Portfolio","Portfolio",IFERROR(INDEX(DATA_ASSET_CLASSIFICATION!$AB$8:$AB$13,MATCH($N412,DATA_ASSET_CLASSIFICATION!$AA$8:$AA$13,0)),"Review"))</f>
        <v>Bucket 0 · Excluded</v>
      </c>
      <c r="P412" s="350" t="str">
        <f>IF($B412="Portfolio","Portfolio",IFERROR(INDEX(DATA_ASSET_CLASSIFICATION!$C$8:$C$24,MATCH($C412,DATA_ASSET_CLASSIFICATION!$A$8:$A$24,0)),"Review"))</f>
        <v>No</v>
      </c>
      <c r="Q412" s="350" t="str">
        <f t="shared" ca="1" si="13"/>
        <v>OK</v>
      </c>
    </row>
    <row r="413" spans="1:17">
      <c r="A413" s="366" t="s">
        <v>2369</v>
      </c>
      <c r="B413" s="366" t="s">
        <v>231</v>
      </c>
      <c r="C413" s="348" t="str">
        <f>DATA_PROPERTY_MASTER!$A$5</f>
        <v>BLD_AB</v>
      </c>
      <c r="D413" s="380">
        <f>'00_PORTFOLIO ROLLUP'!L$12</f>
        <v>2032</v>
      </c>
      <c r="E413" s="366" t="s">
        <v>1683</v>
      </c>
      <c r="F413" s="366" t="s">
        <v>341</v>
      </c>
      <c r="G413" s="348" t="str">
        <f>"'"&amp;$C413&amp;"'!$E$24:$Y$24"</f>
        <v>'BLD_AB'!$E$24:$Y$24</v>
      </c>
      <c r="H413" s="381">
        <f ca="1">IF(IFERROR(INDEX(DATA_PROPERTY_MASTER!$E$5:$E$21,MATCH($C413,DATA_PROPERTY_MASTER!$A$5:$A$21,0))="Yes",FALSE),IFERROR(INDEX(INDIRECT("'"&amp;$C413&amp;"'!$E$24:$Y$24"),1,MATCH($D413,INDIRECT("'"&amp;$C413&amp;"'!$E$12:$Y$12"),0)),0),0)</f>
        <v>0</v>
      </c>
      <c r="I413" s="366" t="s">
        <v>1685</v>
      </c>
      <c r="J413" s="348" t="str">
        <f t="shared" ca="1" si="12"/>
        <v>OK</v>
      </c>
      <c r="K413" s="366" t="s">
        <v>1686</v>
      </c>
      <c r="L413" s="366" t="s">
        <v>2234</v>
      </c>
      <c r="M413" s="350" t="str">
        <f>IF($B413="Portfolio","Portfolio",IFERROR(INDEX(DATA_ASSET_CLASSIFICATION!$B$8:$B$24,MATCH($C413,DATA_ASSET_CLASSIFICATION!$A$8:$A$24,0)),"Review"))</f>
        <v>Alma Blackwell</v>
      </c>
      <c r="N413" s="350" t="str">
        <f>IF($B413="Portfolio","Portfolio",IFERROR(INDEX(DATA_ASSET_CLASSIFICATION!$U$8:$U$24,MATCH($C413,DATA_ASSET_CLASSIFICATION!$A$8:$A$24,0)),"Review"))</f>
        <v>Excluded</v>
      </c>
      <c r="O413" s="350" t="str">
        <f>IF($B413="Portfolio","Portfolio",IFERROR(INDEX(DATA_ASSET_CLASSIFICATION!$AB$8:$AB$13,MATCH($N413,DATA_ASSET_CLASSIFICATION!$AA$8:$AA$13,0)),"Review"))</f>
        <v>Bucket 0 · Excluded</v>
      </c>
      <c r="P413" s="350" t="str">
        <f>IF($B413="Portfolio","Portfolio",IFERROR(INDEX(DATA_ASSET_CLASSIFICATION!$C$8:$C$24,MATCH($C413,DATA_ASSET_CLASSIFICATION!$A$8:$A$24,0)),"Review"))</f>
        <v>No</v>
      </c>
      <c r="Q413" s="350" t="str">
        <f t="shared" ca="1" si="13"/>
        <v>OK</v>
      </c>
    </row>
    <row r="414" spans="1:17">
      <c r="A414" s="366" t="s">
        <v>2370</v>
      </c>
      <c r="B414" s="366" t="s">
        <v>231</v>
      </c>
      <c r="C414" s="348" t="str">
        <f>DATA_PROPERTY_MASTER!$A$5</f>
        <v>BLD_AB</v>
      </c>
      <c r="D414" s="380">
        <f>'00_PORTFOLIO ROLLUP'!L$12</f>
        <v>2032</v>
      </c>
      <c r="E414" s="366" t="s">
        <v>1683</v>
      </c>
      <c r="F414" s="366" t="s">
        <v>355</v>
      </c>
      <c r="G414" s="348" t="str">
        <f>"'"&amp;$C414&amp;"'!$E$39:$Y$39"</f>
        <v>'BLD_AB'!$E$39:$Y$39</v>
      </c>
      <c r="H414" s="381">
        <f ca="1">IF(IFERROR(INDEX(DATA_PROPERTY_MASTER!$E$5:$E$21,MATCH($C414,DATA_PROPERTY_MASTER!$A$5:$A$21,0))="Yes",FALSE),IFERROR(INDEX(INDIRECT("'"&amp;$C414&amp;"'!$E$39:$Y$39"),1,MATCH($D414,INDIRECT("'"&amp;$C414&amp;"'!$E$12:$Y$12"),0)),0),0)</f>
        <v>0</v>
      </c>
      <c r="I414" s="366" t="s">
        <v>1690</v>
      </c>
      <c r="J414" s="348" t="str">
        <f t="shared" ca="1" si="12"/>
        <v>OK</v>
      </c>
      <c r="K414" s="366" t="s">
        <v>1686</v>
      </c>
      <c r="L414" s="366" t="s">
        <v>2236</v>
      </c>
      <c r="M414" s="350" t="str">
        <f>IF($B414="Portfolio","Portfolio",IFERROR(INDEX(DATA_ASSET_CLASSIFICATION!$B$8:$B$24,MATCH($C414,DATA_ASSET_CLASSIFICATION!$A$8:$A$24,0)),"Review"))</f>
        <v>Alma Blackwell</v>
      </c>
      <c r="N414" s="350" t="str">
        <f>IF($B414="Portfolio","Portfolio",IFERROR(INDEX(DATA_ASSET_CLASSIFICATION!$U$8:$U$24,MATCH($C414,DATA_ASSET_CLASSIFICATION!$A$8:$A$24,0)),"Review"))</f>
        <v>Excluded</v>
      </c>
      <c r="O414" s="350" t="str">
        <f>IF($B414="Portfolio","Portfolio",IFERROR(INDEX(DATA_ASSET_CLASSIFICATION!$AB$8:$AB$13,MATCH($N414,DATA_ASSET_CLASSIFICATION!$AA$8:$AA$13,0)),"Review"))</f>
        <v>Bucket 0 · Excluded</v>
      </c>
      <c r="P414" s="350" t="str">
        <f>IF($B414="Portfolio","Portfolio",IFERROR(INDEX(DATA_ASSET_CLASSIFICATION!$C$8:$C$24,MATCH($C414,DATA_ASSET_CLASSIFICATION!$A$8:$A$24,0)),"Review"))</f>
        <v>No</v>
      </c>
      <c r="Q414" s="350" t="str">
        <f t="shared" ca="1" si="13"/>
        <v>OK</v>
      </c>
    </row>
    <row r="415" spans="1:17">
      <c r="A415" s="366" t="s">
        <v>2371</v>
      </c>
      <c r="B415" s="366" t="s">
        <v>231</v>
      </c>
      <c r="C415" s="348" t="str">
        <f>DATA_PROPERTY_MASTER!$A$5</f>
        <v>BLD_AB</v>
      </c>
      <c r="D415" s="380">
        <f>'00_PORTFOLIO ROLLUP'!L$12</f>
        <v>2032</v>
      </c>
      <c r="E415" s="366" t="s">
        <v>1683</v>
      </c>
      <c r="F415" s="366" t="s">
        <v>19</v>
      </c>
      <c r="G415" s="348" t="str">
        <f>"'"&amp;$C415&amp;"'!$E$41:$Y$41"</f>
        <v>'BLD_AB'!$E$41:$Y$41</v>
      </c>
      <c r="H415" s="381">
        <f ca="1">IF(IFERROR(INDEX(DATA_PROPERTY_MASTER!$E$5:$E$21,MATCH($C415,DATA_PROPERTY_MASTER!$A$5:$A$21,0))="Yes",FALSE),IFERROR(INDEX(INDIRECT("'"&amp;$C415&amp;"'!$E$41:$Y$41"),1,MATCH($D415,INDIRECT("'"&amp;$C415&amp;"'!$E$12:$Y$12"),0)),0),0)</f>
        <v>0</v>
      </c>
      <c r="I415" s="366" t="s">
        <v>1685</v>
      </c>
      <c r="J415" s="348" t="str">
        <f t="shared" ca="1" si="12"/>
        <v>OK</v>
      </c>
      <c r="K415" s="366" t="s">
        <v>1694</v>
      </c>
      <c r="L415" s="366" t="s">
        <v>2238</v>
      </c>
      <c r="M415" s="350" t="str">
        <f>IF($B415="Portfolio","Portfolio",IFERROR(INDEX(DATA_ASSET_CLASSIFICATION!$B$8:$B$24,MATCH($C415,DATA_ASSET_CLASSIFICATION!$A$8:$A$24,0)),"Review"))</f>
        <v>Alma Blackwell</v>
      </c>
      <c r="N415" s="350" t="str">
        <f>IF($B415="Portfolio","Portfolio",IFERROR(INDEX(DATA_ASSET_CLASSIFICATION!$U$8:$U$24,MATCH($C415,DATA_ASSET_CLASSIFICATION!$A$8:$A$24,0)),"Review"))</f>
        <v>Excluded</v>
      </c>
      <c r="O415" s="350" t="str">
        <f>IF($B415="Portfolio","Portfolio",IFERROR(INDEX(DATA_ASSET_CLASSIFICATION!$AB$8:$AB$13,MATCH($N415,DATA_ASSET_CLASSIFICATION!$AA$8:$AA$13,0)),"Review"))</f>
        <v>Bucket 0 · Excluded</v>
      </c>
      <c r="P415" s="350" t="str">
        <f>IF($B415="Portfolio","Portfolio",IFERROR(INDEX(DATA_ASSET_CLASSIFICATION!$C$8:$C$24,MATCH($C415,DATA_ASSET_CLASSIFICATION!$A$8:$A$24,0)),"Review"))</f>
        <v>No</v>
      </c>
      <c r="Q415" s="350" t="str">
        <f t="shared" ca="1" si="13"/>
        <v>OK</v>
      </c>
    </row>
    <row r="416" spans="1:17">
      <c r="A416" s="366" t="s">
        <v>2372</v>
      </c>
      <c r="B416" s="366" t="s">
        <v>231</v>
      </c>
      <c r="C416" s="348" t="str">
        <f>DATA_PROPERTY_MASTER!$A$5</f>
        <v>BLD_AB</v>
      </c>
      <c r="D416" s="380">
        <f>'00_PORTFOLIO ROLLUP'!L$12</f>
        <v>2032</v>
      </c>
      <c r="E416" s="366" t="s">
        <v>1683</v>
      </c>
      <c r="F416" s="366" t="s">
        <v>1697</v>
      </c>
      <c r="G416" s="348" t="str">
        <f>"'"&amp;$C416&amp;"'!$E$44:$Y$44"</f>
        <v>'BLD_AB'!$E$44:$Y$44</v>
      </c>
      <c r="H416" s="381">
        <f ca="1">IF(IFERROR(INDEX(DATA_PROPERTY_MASTER!$E$5:$E$21,MATCH($C416,DATA_PROPERTY_MASTER!$A$5:$A$21,0))="Yes",FALSE),IFERROR(INDEX(INDIRECT("'"&amp;$C416&amp;"'!$E$44:$Y$44"),1,MATCH($D416,INDIRECT("'"&amp;$C416&amp;"'!$E$12:$Y$12"),0)),0),0)</f>
        <v>0</v>
      </c>
      <c r="I416" s="366" t="s">
        <v>1690</v>
      </c>
      <c r="J416" s="348" t="str">
        <f t="shared" ca="1" si="12"/>
        <v>OK</v>
      </c>
      <c r="K416" s="366" t="s">
        <v>1699</v>
      </c>
      <c r="L416" s="366" t="s">
        <v>2240</v>
      </c>
      <c r="M416" s="350" t="str">
        <f>IF($B416="Portfolio","Portfolio",IFERROR(INDEX(DATA_ASSET_CLASSIFICATION!$B$8:$B$24,MATCH($C416,DATA_ASSET_CLASSIFICATION!$A$8:$A$24,0)),"Review"))</f>
        <v>Alma Blackwell</v>
      </c>
      <c r="N416" s="350" t="str">
        <f>IF($B416="Portfolio","Portfolio",IFERROR(INDEX(DATA_ASSET_CLASSIFICATION!$U$8:$U$24,MATCH($C416,DATA_ASSET_CLASSIFICATION!$A$8:$A$24,0)),"Review"))</f>
        <v>Excluded</v>
      </c>
      <c r="O416" s="350" t="str">
        <f>IF($B416="Portfolio","Portfolio",IFERROR(INDEX(DATA_ASSET_CLASSIFICATION!$AB$8:$AB$13,MATCH($N416,DATA_ASSET_CLASSIFICATION!$AA$8:$AA$13,0)),"Review"))</f>
        <v>Bucket 0 · Excluded</v>
      </c>
      <c r="P416" s="350" t="str">
        <f>IF($B416="Portfolio","Portfolio",IFERROR(INDEX(DATA_ASSET_CLASSIFICATION!$C$8:$C$24,MATCH($C416,DATA_ASSET_CLASSIFICATION!$A$8:$A$24,0)),"Review"))</f>
        <v>No</v>
      </c>
      <c r="Q416" s="350" t="str">
        <f t="shared" ca="1" si="13"/>
        <v>OK</v>
      </c>
    </row>
    <row r="417" spans="1:17">
      <c r="A417" s="366" t="s">
        <v>2373</v>
      </c>
      <c r="B417" s="366" t="s">
        <v>231</v>
      </c>
      <c r="C417" s="348" t="str">
        <f>DATA_PROPERTY_MASTER!$A$5</f>
        <v>BLD_AB</v>
      </c>
      <c r="D417" s="380">
        <f>'00_PORTFOLIO ROLLUP'!L$12</f>
        <v>2032</v>
      </c>
      <c r="E417" s="366" t="s">
        <v>1683</v>
      </c>
      <c r="F417" s="366" t="s">
        <v>21</v>
      </c>
      <c r="G417" s="348" t="str">
        <f>"'"&amp;$C417&amp;"'!$E$45:$Y$45"</f>
        <v>'BLD_AB'!$E$45:$Y$45</v>
      </c>
      <c r="H417" s="381">
        <f ca="1">IF(IFERROR(INDEX(DATA_PROPERTY_MASTER!$E$5:$E$21,MATCH($C417,DATA_PROPERTY_MASTER!$A$5:$A$21,0))="Yes",FALSE),IFERROR(INDEX(INDIRECT("'"&amp;$C417&amp;"'!$E$45:$Y$45"),1,MATCH($D417,INDIRECT("'"&amp;$C417&amp;"'!$E$12:$Y$12"),0)),0),0)</f>
        <v>0</v>
      </c>
      <c r="I417" s="366" t="s">
        <v>1685</v>
      </c>
      <c r="J417" s="348" t="str">
        <f t="shared" ca="1" si="12"/>
        <v>OK</v>
      </c>
      <c r="K417" s="366" t="s">
        <v>1694</v>
      </c>
      <c r="L417" s="366" t="s">
        <v>2242</v>
      </c>
      <c r="M417" s="350" t="str">
        <f>IF($B417="Portfolio","Portfolio",IFERROR(INDEX(DATA_ASSET_CLASSIFICATION!$B$8:$B$24,MATCH($C417,DATA_ASSET_CLASSIFICATION!$A$8:$A$24,0)),"Review"))</f>
        <v>Alma Blackwell</v>
      </c>
      <c r="N417" s="350" t="str">
        <f>IF($B417="Portfolio","Portfolio",IFERROR(INDEX(DATA_ASSET_CLASSIFICATION!$U$8:$U$24,MATCH($C417,DATA_ASSET_CLASSIFICATION!$A$8:$A$24,0)),"Review"))</f>
        <v>Excluded</v>
      </c>
      <c r="O417" s="350" t="str">
        <f>IF($B417="Portfolio","Portfolio",IFERROR(INDEX(DATA_ASSET_CLASSIFICATION!$AB$8:$AB$13,MATCH($N417,DATA_ASSET_CLASSIFICATION!$AA$8:$AA$13,0)),"Review"))</f>
        <v>Bucket 0 · Excluded</v>
      </c>
      <c r="P417" s="350" t="str">
        <f>IF($B417="Portfolio","Portfolio",IFERROR(INDEX(DATA_ASSET_CLASSIFICATION!$C$8:$C$24,MATCH($C417,DATA_ASSET_CLASSIFICATION!$A$8:$A$24,0)),"Review"))</f>
        <v>No</v>
      </c>
      <c r="Q417" s="350" t="str">
        <f t="shared" ca="1" si="13"/>
        <v>OK</v>
      </c>
    </row>
    <row r="418" spans="1:17">
      <c r="A418" s="366" t="s">
        <v>2374</v>
      </c>
      <c r="B418" s="366" t="s">
        <v>231</v>
      </c>
      <c r="C418" s="348" t="str">
        <f>DATA_PROPERTY_MASTER!$A$5</f>
        <v>BLD_AB</v>
      </c>
      <c r="D418" s="380">
        <f>'00_PORTFOLIO ROLLUP'!L$12</f>
        <v>2032</v>
      </c>
      <c r="E418" s="366" t="s">
        <v>23</v>
      </c>
      <c r="F418" s="366" t="s">
        <v>23</v>
      </c>
      <c r="G418" s="348" t="str">
        <f>"'"&amp;$C418&amp;"'!$E$48:$Y$48"</f>
        <v>'BLD_AB'!$E$48:$Y$48</v>
      </c>
      <c r="H418" s="381">
        <f ca="1">IF(IFERROR(INDEX(DATA_PROPERTY_MASTER!$E$5:$E$21,MATCH($C418,DATA_PROPERTY_MASTER!$A$5:$A$21,0))="Yes",FALSE),IFERROR(INDEX(INDIRECT("'"&amp;$C418&amp;"'!$E$48:$Y$48"),1,MATCH($D418,INDIRECT("'"&amp;$C418&amp;"'!$E$12:$Y$12"),0)),0),0)</f>
        <v>0</v>
      </c>
      <c r="I418" s="366" t="s">
        <v>1690</v>
      </c>
      <c r="J418" s="348" t="str">
        <f t="shared" ca="1" si="12"/>
        <v>OK</v>
      </c>
      <c r="K418" s="366" t="s">
        <v>1706</v>
      </c>
      <c r="L418" s="366" t="s">
        <v>2244</v>
      </c>
      <c r="M418" s="350" t="str">
        <f>IF($B418="Portfolio","Portfolio",IFERROR(INDEX(DATA_ASSET_CLASSIFICATION!$B$8:$B$24,MATCH($C418,DATA_ASSET_CLASSIFICATION!$A$8:$A$24,0)),"Review"))</f>
        <v>Alma Blackwell</v>
      </c>
      <c r="N418" s="350" t="str">
        <f>IF($B418="Portfolio","Portfolio",IFERROR(INDEX(DATA_ASSET_CLASSIFICATION!$U$8:$U$24,MATCH($C418,DATA_ASSET_CLASSIFICATION!$A$8:$A$24,0)),"Review"))</f>
        <v>Excluded</v>
      </c>
      <c r="O418" s="350" t="str">
        <f>IF($B418="Portfolio","Portfolio",IFERROR(INDEX(DATA_ASSET_CLASSIFICATION!$AB$8:$AB$13,MATCH($N418,DATA_ASSET_CLASSIFICATION!$AA$8:$AA$13,0)),"Review"))</f>
        <v>Bucket 0 · Excluded</v>
      </c>
      <c r="P418" s="350" t="str">
        <f>IF($B418="Portfolio","Portfolio",IFERROR(INDEX(DATA_ASSET_CLASSIFICATION!$C$8:$C$24,MATCH($C418,DATA_ASSET_CLASSIFICATION!$A$8:$A$24,0)),"Review"))</f>
        <v>No</v>
      </c>
      <c r="Q418" s="350" t="str">
        <f t="shared" ca="1" si="13"/>
        <v>OK</v>
      </c>
    </row>
    <row r="419" spans="1:17">
      <c r="A419" s="366" t="s">
        <v>2375</v>
      </c>
      <c r="B419" s="366" t="s">
        <v>231</v>
      </c>
      <c r="C419" s="348" t="str">
        <f>DATA_PROPERTY_MASTER!$A$5</f>
        <v>BLD_AB</v>
      </c>
      <c r="D419" s="380">
        <f>'00_PORTFOLIO ROLLUP'!L$12</f>
        <v>2032</v>
      </c>
      <c r="E419" s="366" t="s">
        <v>1683</v>
      </c>
      <c r="F419" s="366" t="s">
        <v>25</v>
      </c>
      <c r="G419" s="348" t="str">
        <f>"'"&amp;$C419&amp;"'!$E$52:$Y$52"</f>
        <v>'BLD_AB'!$E$52:$Y$52</v>
      </c>
      <c r="H419" s="381">
        <f ca="1">IF(IFERROR(INDEX(DATA_PROPERTY_MASTER!$E$5:$E$21,MATCH($C419,DATA_PROPERTY_MASTER!$A$5:$A$21,0))="Yes",FALSE),IFERROR(INDEX(INDIRECT("'"&amp;$C419&amp;"'!$E$52:$Y$52"),1,MATCH($D419,INDIRECT("'"&amp;$C419&amp;"'!$E$12:$Y$12"),0)),0),0)</f>
        <v>0</v>
      </c>
      <c r="I419" s="366" t="s">
        <v>1685</v>
      </c>
      <c r="J419" s="348" t="str">
        <f t="shared" ca="1" si="12"/>
        <v>OK</v>
      </c>
      <c r="K419" s="366" t="s">
        <v>1710</v>
      </c>
      <c r="L419" s="366" t="s">
        <v>2246</v>
      </c>
      <c r="M419" s="350" t="str">
        <f>IF($B419="Portfolio","Portfolio",IFERROR(INDEX(DATA_ASSET_CLASSIFICATION!$B$8:$B$24,MATCH($C419,DATA_ASSET_CLASSIFICATION!$A$8:$A$24,0)),"Review"))</f>
        <v>Alma Blackwell</v>
      </c>
      <c r="N419" s="350" t="str">
        <f>IF($B419="Portfolio","Portfolio",IFERROR(INDEX(DATA_ASSET_CLASSIFICATION!$U$8:$U$24,MATCH($C419,DATA_ASSET_CLASSIFICATION!$A$8:$A$24,0)),"Review"))</f>
        <v>Excluded</v>
      </c>
      <c r="O419" s="350" t="str">
        <f>IF($B419="Portfolio","Portfolio",IFERROR(INDEX(DATA_ASSET_CLASSIFICATION!$AB$8:$AB$13,MATCH($N419,DATA_ASSET_CLASSIFICATION!$AA$8:$AA$13,0)),"Review"))</f>
        <v>Bucket 0 · Excluded</v>
      </c>
      <c r="P419" s="350" t="str">
        <f>IF($B419="Portfolio","Portfolio",IFERROR(INDEX(DATA_ASSET_CLASSIFICATION!$C$8:$C$24,MATCH($C419,DATA_ASSET_CLASSIFICATION!$A$8:$A$24,0)),"Review"))</f>
        <v>No</v>
      </c>
      <c r="Q419" s="350" t="str">
        <f t="shared" ca="1" si="13"/>
        <v>OK</v>
      </c>
    </row>
    <row r="420" spans="1:17">
      <c r="A420" s="366" t="s">
        <v>2376</v>
      </c>
      <c r="B420" s="366" t="s">
        <v>231</v>
      </c>
      <c r="C420" s="348" t="str">
        <f>DATA_PROPERTY_MASTER!$A$5</f>
        <v>BLD_AB</v>
      </c>
      <c r="D420" s="380">
        <f>'00_PORTFOLIO ROLLUP'!L$12</f>
        <v>2032</v>
      </c>
      <c r="E420" s="366" t="s">
        <v>1683</v>
      </c>
      <c r="F420" s="366" t="s">
        <v>27</v>
      </c>
      <c r="G420" s="348" t="str">
        <f>"'"&amp;$C420&amp;"'!$E$54:$Y$54"</f>
        <v>'BLD_AB'!$E$54:$Y$54</v>
      </c>
      <c r="H420" s="381">
        <f ca="1">IF(IFERROR(INDEX(DATA_PROPERTY_MASTER!$E$5:$E$21,MATCH($C420,DATA_PROPERTY_MASTER!$A$5:$A$21,0))="Yes",FALSE),IFERROR(INDEX(INDIRECT("'"&amp;$C420&amp;"'!$E$54:$Y$54"),1,MATCH($D420,INDIRECT("'"&amp;$C420&amp;"'!$E$12:$Y$12"),0)),0),0)</f>
        <v>0</v>
      </c>
      <c r="I420" s="366" t="s">
        <v>1690</v>
      </c>
      <c r="J420" s="348" t="str">
        <f t="shared" ca="1" si="12"/>
        <v>OK</v>
      </c>
      <c r="K420" s="366" t="s">
        <v>1714</v>
      </c>
      <c r="L420" s="366" t="s">
        <v>2248</v>
      </c>
      <c r="M420" s="350" t="str">
        <f>IF($B420="Portfolio","Portfolio",IFERROR(INDEX(DATA_ASSET_CLASSIFICATION!$B$8:$B$24,MATCH($C420,DATA_ASSET_CLASSIFICATION!$A$8:$A$24,0)),"Review"))</f>
        <v>Alma Blackwell</v>
      </c>
      <c r="N420" s="350" t="str">
        <f>IF($B420="Portfolio","Portfolio",IFERROR(INDEX(DATA_ASSET_CLASSIFICATION!$U$8:$U$24,MATCH($C420,DATA_ASSET_CLASSIFICATION!$A$8:$A$24,0)),"Review"))</f>
        <v>Excluded</v>
      </c>
      <c r="O420" s="350" t="str">
        <f>IF($B420="Portfolio","Portfolio",IFERROR(INDEX(DATA_ASSET_CLASSIFICATION!$AB$8:$AB$13,MATCH($N420,DATA_ASSET_CLASSIFICATION!$AA$8:$AA$13,0)),"Review"))</f>
        <v>Bucket 0 · Excluded</v>
      </c>
      <c r="P420" s="350" t="str">
        <f>IF($B420="Portfolio","Portfolio",IFERROR(INDEX(DATA_ASSET_CLASSIFICATION!$C$8:$C$24,MATCH($C420,DATA_ASSET_CLASSIFICATION!$A$8:$A$24,0)),"Review"))</f>
        <v>No</v>
      </c>
      <c r="Q420" s="350" t="str">
        <f t="shared" ca="1" si="13"/>
        <v>OK</v>
      </c>
    </row>
    <row r="421" spans="1:17">
      <c r="A421" s="366" t="s">
        <v>2377</v>
      </c>
      <c r="B421" s="366" t="s">
        <v>231</v>
      </c>
      <c r="C421" s="348" t="str">
        <f>DATA_PROPERTY_MASTER!$A$5</f>
        <v>BLD_AB</v>
      </c>
      <c r="D421" s="380">
        <f>'00_PORTFOLIO ROLLUP'!L$12</f>
        <v>2032</v>
      </c>
      <c r="E421" s="366" t="s">
        <v>1683</v>
      </c>
      <c r="F421" s="366" t="s">
        <v>29</v>
      </c>
      <c r="G421" s="348" t="str">
        <f>"'"&amp;$C421&amp;"'!$E$56:$Y$56"</f>
        <v>'BLD_AB'!$E$56:$Y$56</v>
      </c>
      <c r="H421" s="381">
        <f ca="1">IF(IFERROR(INDEX(DATA_PROPERTY_MASTER!$E$5:$E$21,MATCH($C421,DATA_PROPERTY_MASTER!$A$5:$A$21,0))="Yes",FALSE),IFERROR(INDEX(INDIRECT("'"&amp;$C421&amp;"'!$E$56:$Y$56"),1,MATCH($D421,INDIRECT("'"&amp;$C421&amp;"'!$E$12:$Y$12"),0)),0),0)</f>
        <v>0</v>
      </c>
      <c r="I421" s="366" t="s">
        <v>1685</v>
      </c>
      <c r="J421" s="348" t="str">
        <f t="shared" ca="1" si="12"/>
        <v>OK</v>
      </c>
      <c r="K421" s="366" t="s">
        <v>1718</v>
      </c>
      <c r="L421" s="366" t="s">
        <v>2250</v>
      </c>
      <c r="M421" s="350" t="str">
        <f>IF($B421="Portfolio","Portfolio",IFERROR(INDEX(DATA_ASSET_CLASSIFICATION!$B$8:$B$24,MATCH($C421,DATA_ASSET_CLASSIFICATION!$A$8:$A$24,0)),"Review"))</f>
        <v>Alma Blackwell</v>
      </c>
      <c r="N421" s="350" t="str">
        <f>IF($B421="Portfolio","Portfolio",IFERROR(INDEX(DATA_ASSET_CLASSIFICATION!$U$8:$U$24,MATCH($C421,DATA_ASSET_CLASSIFICATION!$A$8:$A$24,0)),"Review"))</f>
        <v>Excluded</v>
      </c>
      <c r="O421" s="350" t="str">
        <f>IF($B421="Portfolio","Portfolio",IFERROR(INDEX(DATA_ASSET_CLASSIFICATION!$AB$8:$AB$13,MATCH($N421,DATA_ASSET_CLASSIFICATION!$AA$8:$AA$13,0)),"Review"))</f>
        <v>Bucket 0 · Excluded</v>
      </c>
      <c r="P421" s="350" t="str">
        <f>IF($B421="Portfolio","Portfolio",IFERROR(INDEX(DATA_ASSET_CLASSIFICATION!$C$8:$C$24,MATCH($C421,DATA_ASSET_CLASSIFICATION!$A$8:$A$24,0)),"Review"))</f>
        <v>No</v>
      </c>
      <c r="Q421" s="350" t="str">
        <f t="shared" ca="1" si="13"/>
        <v>OK</v>
      </c>
    </row>
    <row r="422" spans="1:17">
      <c r="A422" s="366" t="s">
        <v>2378</v>
      </c>
      <c r="B422" s="366" t="s">
        <v>231</v>
      </c>
      <c r="C422" s="348" t="str">
        <f>DATA_PROPERTY_MASTER!$A$5</f>
        <v>BLD_AB</v>
      </c>
      <c r="D422" s="380">
        <f>'00_PORTFOLIO ROLLUP'!L$12</f>
        <v>2032</v>
      </c>
      <c r="E422" s="366" t="s">
        <v>1721</v>
      </c>
      <c r="F422" s="366" t="s">
        <v>31</v>
      </c>
      <c r="G422" s="348" t="str">
        <f>"'"&amp;$C422&amp;"'!$E$61:$Y$61"</f>
        <v>'BLD_AB'!$E$61:$Y$61</v>
      </c>
      <c r="H422" s="381">
        <f ca="1">IF(IFERROR(INDEX(DATA_PROPERTY_MASTER!$E$5:$E$21,MATCH($C422,DATA_PROPERTY_MASTER!$A$5:$A$21,0))="Yes",FALSE),IFERROR(INDEX(INDIRECT("'"&amp;$C422&amp;"'!$E$61:$Y$61"),1,MATCH($D422,INDIRECT("'"&amp;$C422&amp;"'!$E$12:$Y$12"),0)),0),0)</f>
        <v>0</v>
      </c>
      <c r="I422" s="366" t="s">
        <v>1690</v>
      </c>
      <c r="J422" s="348" t="str">
        <f t="shared" ca="1" si="12"/>
        <v>OK</v>
      </c>
      <c r="K422" s="366" t="s">
        <v>1723</v>
      </c>
      <c r="L422" s="366" t="s">
        <v>2252</v>
      </c>
      <c r="M422" s="350" t="str">
        <f>IF($B422="Portfolio","Portfolio",IFERROR(INDEX(DATA_ASSET_CLASSIFICATION!$B$8:$B$24,MATCH($C422,DATA_ASSET_CLASSIFICATION!$A$8:$A$24,0)),"Review"))</f>
        <v>Alma Blackwell</v>
      </c>
      <c r="N422" s="350" t="str">
        <f>IF($B422="Portfolio","Portfolio",IFERROR(INDEX(DATA_ASSET_CLASSIFICATION!$U$8:$U$24,MATCH($C422,DATA_ASSET_CLASSIFICATION!$A$8:$A$24,0)),"Review"))</f>
        <v>Excluded</v>
      </c>
      <c r="O422" s="350" t="str">
        <f>IF($B422="Portfolio","Portfolio",IFERROR(INDEX(DATA_ASSET_CLASSIFICATION!$AB$8:$AB$13,MATCH($N422,DATA_ASSET_CLASSIFICATION!$AA$8:$AA$13,0)),"Review"))</f>
        <v>Bucket 0 · Excluded</v>
      </c>
      <c r="P422" s="350" t="str">
        <f>IF($B422="Portfolio","Portfolio",IFERROR(INDEX(DATA_ASSET_CLASSIFICATION!$C$8:$C$24,MATCH($C422,DATA_ASSET_CLASSIFICATION!$A$8:$A$24,0)),"Review"))</f>
        <v>No</v>
      </c>
      <c r="Q422" s="350" t="str">
        <f t="shared" ca="1" si="13"/>
        <v>OK</v>
      </c>
    </row>
    <row r="423" spans="1:17">
      <c r="A423" s="366" t="s">
        <v>2379</v>
      </c>
      <c r="B423" s="366" t="s">
        <v>231</v>
      </c>
      <c r="C423" s="348" t="str">
        <f>DATA_PROPERTY_MASTER!$A$5</f>
        <v>BLD_AB</v>
      </c>
      <c r="D423" s="380">
        <f>'00_PORTFOLIO ROLLUP'!L$12</f>
        <v>2032</v>
      </c>
      <c r="E423" s="366" t="s">
        <v>1721</v>
      </c>
      <c r="F423" s="366" t="s">
        <v>33</v>
      </c>
      <c r="G423" s="348" t="str">
        <f>"'"&amp;$C423&amp;"'!$E$62:$Y$62"</f>
        <v>'BLD_AB'!$E$62:$Y$62</v>
      </c>
      <c r="H423" s="381">
        <f ca="1">IF(IFERROR(INDEX(DATA_PROPERTY_MASTER!$E$5:$E$21,MATCH($C423,DATA_PROPERTY_MASTER!$A$5:$A$21,0))="Yes",FALSE),IFERROR(INDEX(INDIRECT("'"&amp;$C423&amp;"'!$E$62:$Y$62"),1,MATCH($D423,INDIRECT("'"&amp;$C423&amp;"'!$E$12:$Y$12"),0)),0),0)</f>
        <v>0</v>
      </c>
      <c r="I423" s="366" t="s">
        <v>1685</v>
      </c>
      <c r="J423" s="348" t="str">
        <f t="shared" ca="1" si="12"/>
        <v>OK</v>
      </c>
      <c r="K423" s="366" t="s">
        <v>1727</v>
      </c>
      <c r="L423" s="366" t="s">
        <v>2254</v>
      </c>
      <c r="M423" s="350" t="str">
        <f>IF($B423="Portfolio","Portfolio",IFERROR(INDEX(DATA_ASSET_CLASSIFICATION!$B$8:$B$24,MATCH($C423,DATA_ASSET_CLASSIFICATION!$A$8:$A$24,0)),"Review"))</f>
        <v>Alma Blackwell</v>
      </c>
      <c r="N423" s="350" t="str">
        <f>IF($B423="Portfolio","Portfolio",IFERROR(INDEX(DATA_ASSET_CLASSIFICATION!$U$8:$U$24,MATCH($C423,DATA_ASSET_CLASSIFICATION!$A$8:$A$24,0)),"Review"))</f>
        <v>Excluded</v>
      </c>
      <c r="O423" s="350" t="str">
        <f>IF($B423="Portfolio","Portfolio",IFERROR(INDEX(DATA_ASSET_CLASSIFICATION!$AB$8:$AB$13,MATCH($N423,DATA_ASSET_CLASSIFICATION!$AA$8:$AA$13,0)),"Review"))</f>
        <v>Bucket 0 · Excluded</v>
      </c>
      <c r="P423" s="350" t="str">
        <f>IF($B423="Portfolio","Portfolio",IFERROR(INDEX(DATA_ASSET_CLASSIFICATION!$C$8:$C$24,MATCH($C423,DATA_ASSET_CLASSIFICATION!$A$8:$A$24,0)),"Review"))</f>
        <v>No</v>
      </c>
      <c r="Q423" s="350" t="str">
        <f t="shared" ca="1" si="13"/>
        <v>OK</v>
      </c>
    </row>
    <row r="424" spans="1:17">
      <c r="A424" s="366" t="s">
        <v>2380</v>
      </c>
      <c r="B424" s="366" t="s">
        <v>231</v>
      </c>
      <c r="C424" s="348" t="str">
        <f>DATA_PROPERTY_MASTER!$A$5</f>
        <v>BLD_AB</v>
      </c>
      <c r="D424" s="380">
        <f>'00_PORTFOLIO ROLLUP'!L$12</f>
        <v>2032</v>
      </c>
      <c r="E424" s="366" t="s">
        <v>1721</v>
      </c>
      <c r="F424" s="366" t="s">
        <v>35</v>
      </c>
      <c r="G424" s="348" t="str">
        <f>"'"&amp;$C424&amp;"'!$E$63:$Y$63"</f>
        <v>'BLD_AB'!$E$63:$Y$63</v>
      </c>
      <c r="H424" s="381">
        <f ca="1">IF(IFERROR(INDEX(DATA_PROPERTY_MASTER!$E$5:$E$21,MATCH($C424,DATA_PROPERTY_MASTER!$A$5:$A$21,0))="Yes",FALSE),IFERROR(INDEX(INDIRECT("'"&amp;$C424&amp;"'!$E$63:$Y$63"),1,MATCH($D424,INDIRECT("'"&amp;$C424&amp;"'!$E$12:$Y$12"),0)),0),0)</f>
        <v>0</v>
      </c>
      <c r="I424" s="366" t="s">
        <v>1731</v>
      </c>
      <c r="J424" s="348" t="str">
        <f t="shared" ca="1" si="12"/>
        <v>OK</v>
      </c>
      <c r="K424" s="366" t="s">
        <v>1732</v>
      </c>
      <c r="L424" s="366" t="s">
        <v>2256</v>
      </c>
      <c r="M424" s="350" t="str">
        <f>IF($B424="Portfolio","Portfolio",IFERROR(INDEX(DATA_ASSET_CLASSIFICATION!$B$8:$B$24,MATCH($C424,DATA_ASSET_CLASSIFICATION!$A$8:$A$24,0)),"Review"))</f>
        <v>Alma Blackwell</v>
      </c>
      <c r="N424" s="350" t="str">
        <f>IF($B424="Portfolio","Portfolio",IFERROR(INDEX(DATA_ASSET_CLASSIFICATION!$U$8:$U$24,MATCH($C424,DATA_ASSET_CLASSIFICATION!$A$8:$A$24,0)),"Review"))</f>
        <v>Excluded</v>
      </c>
      <c r="O424" s="350" t="str">
        <f>IF($B424="Portfolio","Portfolio",IFERROR(INDEX(DATA_ASSET_CLASSIFICATION!$AB$8:$AB$13,MATCH($N424,DATA_ASSET_CLASSIFICATION!$AA$8:$AA$13,0)),"Review"))</f>
        <v>Bucket 0 · Excluded</v>
      </c>
      <c r="P424" s="350" t="str">
        <f>IF($B424="Portfolio","Portfolio",IFERROR(INDEX(DATA_ASSET_CLASSIFICATION!$C$8:$C$24,MATCH($C424,DATA_ASSET_CLASSIFICATION!$A$8:$A$24,0)),"Review"))</f>
        <v>No</v>
      </c>
      <c r="Q424" s="350" t="str">
        <f t="shared" ca="1" si="13"/>
        <v>OK</v>
      </c>
    </row>
    <row r="425" spans="1:17">
      <c r="A425" s="366" t="s">
        <v>2381</v>
      </c>
      <c r="B425" s="366" t="s">
        <v>231</v>
      </c>
      <c r="C425" s="348" t="str">
        <f>DATA_PROPERTY_MASTER!$A$5</f>
        <v>BLD_AB</v>
      </c>
      <c r="D425" s="380">
        <f>'00_PORTFOLIO ROLLUP'!L$12</f>
        <v>2032</v>
      </c>
      <c r="E425" s="366" t="s">
        <v>1721</v>
      </c>
      <c r="F425" s="366" t="s">
        <v>37</v>
      </c>
      <c r="G425" s="348" t="str">
        <f>"'"&amp;$C425&amp;"'!$E$63:$Y$63"</f>
        <v>'BLD_AB'!$E$63:$Y$63</v>
      </c>
      <c r="H425" s="381">
        <f ca="1">IF(IFERROR(INDEX(DATA_PROPERTY_MASTER!$E$5:$E$21,MATCH($C425,DATA_PROPERTY_MASTER!$A$5:$A$21,0))="Yes",FALSE),MAX(IFERROR(INDEX(INDIRECT("'"&amp;$C425&amp;"'!$E$63:$Y$63"),1,MATCH($D425,INDIRECT("'"&amp;$C425&amp;"'!$E$12:$Y$12"),0)),0),0),0)</f>
        <v>0</v>
      </c>
      <c r="I425" s="366" t="s">
        <v>1685</v>
      </c>
      <c r="J425" s="348" t="str">
        <f t="shared" ca="1" si="12"/>
        <v>OK</v>
      </c>
      <c r="K425" s="366" t="s">
        <v>1735</v>
      </c>
      <c r="L425" s="366" t="s">
        <v>2258</v>
      </c>
      <c r="M425" s="350" t="str">
        <f>IF($B425="Portfolio","Portfolio",IFERROR(INDEX(DATA_ASSET_CLASSIFICATION!$B$8:$B$24,MATCH($C425,DATA_ASSET_CLASSIFICATION!$A$8:$A$24,0)),"Review"))</f>
        <v>Alma Blackwell</v>
      </c>
      <c r="N425" s="350" t="str">
        <f>IF($B425="Portfolio","Portfolio",IFERROR(INDEX(DATA_ASSET_CLASSIFICATION!$U$8:$U$24,MATCH($C425,DATA_ASSET_CLASSIFICATION!$A$8:$A$24,0)),"Review"))</f>
        <v>Excluded</v>
      </c>
      <c r="O425" s="350" t="str">
        <f>IF($B425="Portfolio","Portfolio",IFERROR(INDEX(DATA_ASSET_CLASSIFICATION!$AB$8:$AB$13,MATCH($N425,DATA_ASSET_CLASSIFICATION!$AA$8:$AA$13,0)),"Review"))</f>
        <v>Bucket 0 · Excluded</v>
      </c>
      <c r="P425" s="350" t="str">
        <f>IF($B425="Portfolio","Portfolio",IFERROR(INDEX(DATA_ASSET_CLASSIFICATION!$C$8:$C$24,MATCH($C425,DATA_ASSET_CLASSIFICATION!$A$8:$A$24,0)),"Review"))</f>
        <v>No</v>
      </c>
      <c r="Q425" s="350" t="str">
        <f t="shared" ca="1" si="13"/>
        <v>OK</v>
      </c>
    </row>
    <row r="426" spans="1:17">
      <c r="A426" s="366" t="s">
        <v>2382</v>
      </c>
      <c r="B426" s="366" t="s">
        <v>231</v>
      </c>
      <c r="C426" s="348" t="str">
        <f>DATA_PROPERTY_MASTER!$A$5</f>
        <v>BLD_AB</v>
      </c>
      <c r="D426" s="380">
        <f>'00_PORTFOLIO ROLLUP'!L$12</f>
        <v>2032</v>
      </c>
      <c r="E426" s="366" t="s">
        <v>1721</v>
      </c>
      <c r="F426" s="366" t="s">
        <v>39</v>
      </c>
      <c r="G426" s="348" t="str">
        <f>"'"&amp;$C426&amp;"'!$E$63:$Y$63"</f>
        <v>'BLD_AB'!$E$63:$Y$63</v>
      </c>
      <c r="H426" s="381">
        <f ca="1">IF(IFERROR(INDEX(DATA_PROPERTY_MASTER!$E$5:$E$21,MATCH($C426,DATA_PROPERTY_MASTER!$A$5:$A$21,0))="Yes",FALSE),MAX(-IFERROR(INDEX(INDIRECT("'"&amp;$C426&amp;"'!$E$63:$Y$63"),1,MATCH($D426,INDIRECT("'"&amp;$C426&amp;"'!$E$12:$Y$12"),0)),0),0),0)</f>
        <v>0</v>
      </c>
      <c r="I426" s="366" t="s">
        <v>1690</v>
      </c>
      <c r="J426" s="348" t="str">
        <f t="shared" ca="1" si="12"/>
        <v>OK</v>
      </c>
      <c r="K426" s="366" t="s">
        <v>1738</v>
      </c>
      <c r="L426" s="366" t="s">
        <v>2260</v>
      </c>
      <c r="M426" s="350" t="str">
        <f>IF($B426="Portfolio","Portfolio",IFERROR(INDEX(DATA_ASSET_CLASSIFICATION!$B$8:$B$24,MATCH($C426,DATA_ASSET_CLASSIFICATION!$A$8:$A$24,0)),"Review"))</f>
        <v>Alma Blackwell</v>
      </c>
      <c r="N426" s="350" t="str">
        <f>IF($B426="Portfolio","Portfolio",IFERROR(INDEX(DATA_ASSET_CLASSIFICATION!$U$8:$U$24,MATCH($C426,DATA_ASSET_CLASSIFICATION!$A$8:$A$24,0)),"Review"))</f>
        <v>Excluded</v>
      </c>
      <c r="O426" s="350" t="str">
        <f>IF($B426="Portfolio","Portfolio",IFERROR(INDEX(DATA_ASSET_CLASSIFICATION!$AB$8:$AB$13,MATCH($N426,DATA_ASSET_CLASSIFICATION!$AA$8:$AA$13,0)),"Review"))</f>
        <v>Bucket 0 · Excluded</v>
      </c>
      <c r="P426" s="350" t="str">
        <f>IF($B426="Portfolio","Portfolio",IFERROR(INDEX(DATA_ASSET_CLASSIFICATION!$C$8:$C$24,MATCH($C426,DATA_ASSET_CLASSIFICATION!$A$8:$A$24,0)),"Review"))</f>
        <v>No</v>
      </c>
      <c r="Q426" s="350" t="str">
        <f t="shared" ca="1" si="13"/>
        <v>OK</v>
      </c>
    </row>
    <row r="427" spans="1:17">
      <c r="A427" s="366" t="s">
        <v>2383</v>
      </c>
      <c r="B427" s="366" t="s">
        <v>231</v>
      </c>
      <c r="C427" s="348" t="str">
        <f>DATA_PROPERTY_MASTER!$A$5</f>
        <v>BLD_AB</v>
      </c>
      <c r="D427" s="380">
        <f>'00_PORTFOLIO ROLLUP'!L$12</f>
        <v>2032</v>
      </c>
      <c r="E427" s="366" t="s">
        <v>1741</v>
      </c>
      <c r="F427" s="366" t="s">
        <v>41</v>
      </c>
      <c r="G427" s="348" t="str">
        <f>"'"&amp;$C427&amp;"'!rows 56 + positive row 63"</f>
        <v>'BLD_AB'!rows 56 + positive row 63</v>
      </c>
      <c r="H427" s="381">
        <f ca="1">IF(IFERROR(INDEX(DATA_PROPERTY_MASTER!$E$5:$E$21,MATCH($C427,DATA_PROPERTY_MASTER!$A$5:$A$21,0))="Yes",FALSE),IFERROR(INDEX(INDIRECT("'"&amp;$C427&amp;"'!$E$56:$Y$56"),1,MATCH($D427,INDIRECT("'"&amp;$C427&amp;"'!$E$12:$Y$12"),0)),0)+MAX(IFERROR(INDEX(INDIRECT("'"&amp;$C427&amp;"'!$E$63:$Y$63"),1,MATCH($D427,INDIRECT("'"&amp;$C427&amp;"'!$E$12:$Y$12"),0)),0),0),0)</f>
        <v>0</v>
      </c>
      <c r="I427" s="366" t="s">
        <v>1685</v>
      </c>
      <c r="J427" s="348" t="str">
        <f t="shared" ca="1" si="12"/>
        <v>OK</v>
      </c>
      <c r="K427" s="366" t="s">
        <v>1742</v>
      </c>
      <c r="L427" s="366" t="s">
        <v>2262</v>
      </c>
      <c r="M427" s="350" t="str">
        <f>IF($B427="Portfolio","Portfolio",IFERROR(INDEX(DATA_ASSET_CLASSIFICATION!$B$8:$B$24,MATCH($C427,DATA_ASSET_CLASSIFICATION!$A$8:$A$24,0)),"Review"))</f>
        <v>Alma Blackwell</v>
      </c>
      <c r="N427" s="350" t="str">
        <f>IF($B427="Portfolio","Portfolio",IFERROR(INDEX(DATA_ASSET_CLASSIFICATION!$U$8:$U$24,MATCH($C427,DATA_ASSET_CLASSIFICATION!$A$8:$A$24,0)),"Review"))</f>
        <v>Excluded</v>
      </c>
      <c r="O427" s="350" t="str">
        <f>IF($B427="Portfolio","Portfolio",IFERROR(INDEX(DATA_ASSET_CLASSIFICATION!$AB$8:$AB$13,MATCH($N427,DATA_ASSET_CLASSIFICATION!$AA$8:$AA$13,0)),"Review"))</f>
        <v>Bucket 0 · Excluded</v>
      </c>
      <c r="P427" s="350" t="str">
        <f>IF($B427="Portfolio","Portfolio",IFERROR(INDEX(DATA_ASSET_CLASSIFICATION!$C$8:$C$24,MATCH($C427,DATA_ASSET_CLASSIFICATION!$A$8:$A$24,0)),"Review"))</f>
        <v>No</v>
      </c>
      <c r="Q427" s="350" t="str">
        <f t="shared" ca="1" si="13"/>
        <v>OK</v>
      </c>
    </row>
    <row r="428" spans="1:17">
      <c r="A428" s="366" t="s">
        <v>2384</v>
      </c>
      <c r="B428" s="366" t="s">
        <v>231</v>
      </c>
      <c r="C428" s="348" t="str">
        <f>DATA_PROPERTY_MASTER!$A$5</f>
        <v>BLD_AB</v>
      </c>
      <c r="D428" s="380">
        <f>'00_PORTFOLIO ROLLUP'!L$12</f>
        <v>2032</v>
      </c>
      <c r="E428" s="366" t="s">
        <v>1741</v>
      </c>
      <c r="F428" s="366" t="s">
        <v>43</v>
      </c>
      <c r="G428" s="348" t="str">
        <f>"'"&amp;$C428&amp;"'!$E$68:$Y$68"</f>
        <v>'BLD_AB'!$E$68:$Y$68</v>
      </c>
      <c r="H428" s="381">
        <f ca="1">IF(IFERROR(INDEX(DATA_PROPERTY_MASTER!$E$5:$E$21,MATCH($C428,DATA_PROPERTY_MASTER!$A$5:$A$21,0))="Yes",FALSE),IFERROR(INDEX(INDIRECT("'"&amp;$C428&amp;"'!$E$68:$Y$68"),1,MATCH($D428,INDIRECT("'"&amp;$C428&amp;"'!$E$12:$Y$12"),0)),0),0)</f>
        <v>0</v>
      </c>
      <c r="I428" s="366" t="s">
        <v>1731</v>
      </c>
      <c r="J428" s="348" t="str">
        <f t="shared" ca="1" si="12"/>
        <v>OK</v>
      </c>
      <c r="K428" s="366" t="s">
        <v>1746</v>
      </c>
      <c r="L428" s="366" t="s">
        <v>2264</v>
      </c>
      <c r="M428" s="350" t="str">
        <f>IF($B428="Portfolio","Portfolio",IFERROR(INDEX(DATA_ASSET_CLASSIFICATION!$B$8:$B$24,MATCH($C428,DATA_ASSET_CLASSIFICATION!$A$8:$A$24,0)),"Review"))</f>
        <v>Alma Blackwell</v>
      </c>
      <c r="N428" s="350" t="str">
        <f>IF($B428="Portfolio","Portfolio",IFERROR(INDEX(DATA_ASSET_CLASSIFICATION!$U$8:$U$24,MATCH($C428,DATA_ASSET_CLASSIFICATION!$A$8:$A$24,0)),"Review"))</f>
        <v>Excluded</v>
      </c>
      <c r="O428" s="350" t="str">
        <f>IF($B428="Portfolio","Portfolio",IFERROR(INDEX(DATA_ASSET_CLASSIFICATION!$AB$8:$AB$13,MATCH($N428,DATA_ASSET_CLASSIFICATION!$AA$8:$AA$13,0)),"Review"))</f>
        <v>Bucket 0 · Excluded</v>
      </c>
      <c r="P428" s="350" t="str">
        <f>IF($B428="Portfolio","Portfolio",IFERROR(INDEX(DATA_ASSET_CLASSIFICATION!$C$8:$C$24,MATCH($C428,DATA_ASSET_CLASSIFICATION!$A$8:$A$24,0)),"Review"))</f>
        <v>No</v>
      </c>
      <c r="Q428" s="350" t="str">
        <f t="shared" ca="1" si="13"/>
        <v>OK</v>
      </c>
    </row>
    <row r="429" spans="1:17">
      <c r="A429" s="366" t="s">
        <v>2385</v>
      </c>
      <c r="B429" s="366" t="s">
        <v>231</v>
      </c>
      <c r="C429" s="348" t="str">
        <f>DATA_PROPERTY_MASTER!$A$5</f>
        <v>BLD_AB</v>
      </c>
      <c r="D429" s="380">
        <f>'00_PORTFOLIO ROLLUP'!L$12</f>
        <v>2032</v>
      </c>
      <c r="E429" s="366" t="s">
        <v>1741</v>
      </c>
      <c r="F429" s="366" t="s">
        <v>1749</v>
      </c>
      <c r="G429" s="348" t="str">
        <f>"'"&amp;$C429&amp;"'!rows 56, 63, 68"</f>
        <v>'BLD_AB'!rows 56, 63, 68</v>
      </c>
      <c r="H429" s="381">
        <f ca="1">IF(IFERROR(INDEX(DATA_PROPERTY_MASTER!$E$5:$E$21,MATCH($C429,DATA_PROPERTY_MASTER!$A$5:$A$21,0))="Yes",FALSE),(IFERROR(INDEX(INDIRECT("'"&amp;$C429&amp;"'!$E$56:$Y$56"),1,MATCH($D429,INDIRECT("'"&amp;$C429&amp;"'!$E$12:$Y$12"),0)),0)+MAX(IFERROR(INDEX(INDIRECT("'"&amp;$C429&amp;"'!$E$63:$Y$63"),1,MATCH($D429,INDIRECT("'"&amp;$C429&amp;"'!$E$12:$Y$12"),0)),0),0))-(IFERROR(INDEX(INDIRECT("'"&amp;$C429&amp;"'!$E$68:$Y$68"),1,MATCH($D429,INDIRECT("'"&amp;$C429&amp;"'!$E$12:$Y$12"),0)),0)),0)</f>
        <v>0</v>
      </c>
      <c r="I429" s="366" t="s">
        <v>1750</v>
      </c>
      <c r="J429" s="348" t="str">
        <f t="shared" ca="1" si="12"/>
        <v>OK</v>
      </c>
      <c r="K429" s="366" t="s">
        <v>1751</v>
      </c>
      <c r="L429" s="366" t="s">
        <v>2266</v>
      </c>
      <c r="M429" s="350" t="str">
        <f>IF($B429="Portfolio","Portfolio",IFERROR(INDEX(DATA_ASSET_CLASSIFICATION!$B$8:$B$24,MATCH($C429,DATA_ASSET_CLASSIFICATION!$A$8:$A$24,0)),"Review"))</f>
        <v>Alma Blackwell</v>
      </c>
      <c r="N429" s="350" t="str">
        <f>IF($B429="Portfolio","Portfolio",IFERROR(INDEX(DATA_ASSET_CLASSIFICATION!$U$8:$U$24,MATCH($C429,DATA_ASSET_CLASSIFICATION!$A$8:$A$24,0)),"Review"))</f>
        <v>Excluded</v>
      </c>
      <c r="O429" s="350" t="str">
        <f>IF($B429="Portfolio","Portfolio",IFERROR(INDEX(DATA_ASSET_CLASSIFICATION!$AB$8:$AB$13,MATCH($N429,DATA_ASSET_CLASSIFICATION!$AA$8:$AA$13,0)),"Review"))</f>
        <v>Bucket 0 · Excluded</v>
      </c>
      <c r="P429" s="350" t="str">
        <f>IF($B429="Portfolio","Portfolio",IFERROR(INDEX(DATA_ASSET_CLASSIFICATION!$C$8:$C$24,MATCH($C429,DATA_ASSET_CLASSIFICATION!$A$8:$A$24,0)),"Review"))</f>
        <v>No</v>
      </c>
      <c r="Q429" s="350" t="str">
        <f t="shared" ca="1" si="13"/>
        <v>OK</v>
      </c>
    </row>
    <row r="430" spans="1:17">
      <c r="A430" s="366" t="s">
        <v>2386</v>
      </c>
      <c r="B430" s="366" t="s">
        <v>231</v>
      </c>
      <c r="C430" s="348" t="str">
        <f>DATA_PROPERTY_MASTER!$A$5</f>
        <v>BLD_AB</v>
      </c>
      <c r="D430" s="380">
        <f>'00_PORTFOLIO ROLLUP'!M$12</f>
        <v>2033</v>
      </c>
      <c r="E430" s="366" t="s">
        <v>1683</v>
      </c>
      <c r="F430" s="366" t="s">
        <v>341</v>
      </c>
      <c r="G430" s="348" t="str">
        <f>"'"&amp;$C430&amp;"'!$E$24:$Y$24"</f>
        <v>'BLD_AB'!$E$24:$Y$24</v>
      </c>
      <c r="H430" s="381">
        <f ca="1">IF(IFERROR(INDEX(DATA_PROPERTY_MASTER!$E$5:$E$21,MATCH($C430,DATA_PROPERTY_MASTER!$A$5:$A$21,0))="Yes",FALSE),IFERROR(INDEX(INDIRECT("'"&amp;$C430&amp;"'!$E$24:$Y$24"),1,MATCH($D430,INDIRECT("'"&amp;$C430&amp;"'!$E$12:$Y$12"),0)),0),0)</f>
        <v>0</v>
      </c>
      <c r="I430" s="366" t="s">
        <v>1685</v>
      </c>
      <c r="J430" s="348" t="str">
        <f t="shared" ca="1" si="12"/>
        <v>OK</v>
      </c>
      <c r="K430" s="366" t="s">
        <v>1686</v>
      </c>
      <c r="L430" s="366" t="s">
        <v>2234</v>
      </c>
      <c r="M430" s="350" t="str">
        <f>IF($B430="Portfolio","Portfolio",IFERROR(INDEX(DATA_ASSET_CLASSIFICATION!$B$8:$B$24,MATCH($C430,DATA_ASSET_CLASSIFICATION!$A$8:$A$24,0)),"Review"))</f>
        <v>Alma Blackwell</v>
      </c>
      <c r="N430" s="350" t="str">
        <f>IF($B430="Portfolio","Portfolio",IFERROR(INDEX(DATA_ASSET_CLASSIFICATION!$U$8:$U$24,MATCH($C430,DATA_ASSET_CLASSIFICATION!$A$8:$A$24,0)),"Review"))</f>
        <v>Excluded</v>
      </c>
      <c r="O430" s="350" t="str">
        <f>IF($B430="Portfolio","Portfolio",IFERROR(INDEX(DATA_ASSET_CLASSIFICATION!$AB$8:$AB$13,MATCH($N430,DATA_ASSET_CLASSIFICATION!$AA$8:$AA$13,0)),"Review"))</f>
        <v>Bucket 0 · Excluded</v>
      </c>
      <c r="P430" s="350" t="str">
        <f>IF($B430="Portfolio","Portfolio",IFERROR(INDEX(DATA_ASSET_CLASSIFICATION!$C$8:$C$24,MATCH($C430,DATA_ASSET_CLASSIFICATION!$A$8:$A$24,0)),"Review"))</f>
        <v>No</v>
      </c>
      <c r="Q430" s="350" t="str">
        <f t="shared" ca="1" si="13"/>
        <v>OK</v>
      </c>
    </row>
    <row r="431" spans="1:17">
      <c r="A431" s="366" t="s">
        <v>2387</v>
      </c>
      <c r="B431" s="366" t="s">
        <v>231</v>
      </c>
      <c r="C431" s="348" t="str">
        <f>DATA_PROPERTY_MASTER!$A$5</f>
        <v>BLD_AB</v>
      </c>
      <c r="D431" s="380">
        <f>'00_PORTFOLIO ROLLUP'!M$12</f>
        <v>2033</v>
      </c>
      <c r="E431" s="366" t="s">
        <v>1683</v>
      </c>
      <c r="F431" s="366" t="s">
        <v>355</v>
      </c>
      <c r="G431" s="348" t="str">
        <f>"'"&amp;$C431&amp;"'!$E$39:$Y$39"</f>
        <v>'BLD_AB'!$E$39:$Y$39</v>
      </c>
      <c r="H431" s="381">
        <f ca="1">IF(IFERROR(INDEX(DATA_PROPERTY_MASTER!$E$5:$E$21,MATCH($C431,DATA_PROPERTY_MASTER!$A$5:$A$21,0))="Yes",FALSE),IFERROR(INDEX(INDIRECT("'"&amp;$C431&amp;"'!$E$39:$Y$39"),1,MATCH($D431,INDIRECT("'"&amp;$C431&amp;"'!$E$12:$Y$12"),0)),0),0)</f>
        <v>0</v>
      </c>
      <c r="I431" s="366" t="s">
        <v>1690</v>
      </c>
      <c r="J431" s="348" t="str">
        <f t="shared" ca="1" si="12"/>
        <v>OK</v>
      </c>
      <c r="K431" s="366" t="s">
        <v>1686</v>
      </c>
      <c r="L431" s="366" t="s">
        <v>2236</v>
      </c>
      <c r="M431" s="350" t="str">
        <f>IF($B431="Portfolio","Portfolio",IFERROR(INDEX(DATA_ASSET_CLASSIFICATION!$B$8:$B$24,MATCH($C431,DATA_ASSET_CLASSIFICATION!$A$8:$A$24,0)),"Review"))</f>
        <v>Alma Blackwell</v>
      </c>
      <c r="N431" s="350" t="str">
        <f>IF($B431="Portfolio","Portfolio",IFERROR(INDEX(DATA_ASSET_CLASSIFICATION!$U$8:$U$24,MATCH($C431,DATA_ASSET_CLASSIFICATION!$A$8:$A$24,0)),"Review"))</f>
        <v>Excluded</v>
      </c>
      <c r="O431" s="350" t="str">
        <f>IF($B431="Portfolio","Portfolio",IFERROR(INDEX(DATA_ASSET_CLASSIFICATION!$AB$8:$AB$13,MATCH($N431,DATA_ASSET_CLASSIFICATION!$AA$8:$AA$13,0)),"Review"))</f>
        <v>Bucket 0 · Excluded</v>
      </c>
      <c r="P431" s="350" t="str">
        <f>IF($B431="Portfolio","Portfolio",IFERROR(INDEX(DATA_ASSET_CLASSIFICATION!$C$8:$C$24,MATCH($C431,DATA_ASSET_CLASSIFICATION!$A$8:$A$24,0)),"Review"))</f>
        <v>No</v>
      </c>
      <c r="Q431" s="350" t="str">
        <f t="shared" ca="1" si="13"/>
        <v>OK</v>
      </c>
    </row>
    <row r="432" spans="1:17">
      <c r="A432" s="366" t="s">
        <v>2388</v>
      </c>
      <c r="B432" s="366" t="s">
        <v>231</v>
      </c>
      <c r="C432" s="348" t="str">
        <f>DATA_PROPERTY_MASTER!$A$5</f>
        <v>BLD_AB</v>
      </c>
      <c r="D432" s="380">
        <f>'00_PORTFOLIO ROLLUP'!M$12</f>
        <v>2033</v>
      </c>
      <c r="E432" s="366" t="s">
        <v>1683</v>
      </c>
      <c r="F432" s="366" t="s">
        <v>19</v>
      </c>
      <c r="G432" s="348" t="str">
        <f>"'"&amp;$C432&amp;"'!$E$41:$Y$41"</f>
        <v>'BLD_AB'!$E$41:$Y$41</v>
      </c>
      <c r="H432" s="381">
        <f ca="1">IF(IFERROR(INDEX(DATA_PROPERTY_MASTER!$E$5:$E$21,MATCH($C432,DATA_PROPERTY_MASTER!$A$5:$A$21,0))="Yes",FALSE),IFERROR(INDEX(INDIRECT("'"&amp;$C432&amp;"'!$E$41:$Y$41"),1,MATCH($D432,INDIRECT("'"&amp;$C432&amp;"'!$E$12:$Y$12"),0)),0),0)</f>
        <v>0</v>
      </c>
      <c r="I432" s="366" t="s">
        <v>1685</v>
      </c>
      <c r="J432" s="348" t="str">
        <f t="shared" ca="1" si="12"/>
        <v>OK</v>
      </c>
      <c r="K432" s="366" t="s">
        <v>1694</v>
      </c>
      <c r="L432" s="366" t="s">
        <v>2238</v>
      </c>
      <c r="M432" s="350" t="str">
        <f>IF($B432="Portfolio","Portfolio",IFERROR(INDEX(DATA_ASSET_CLASSIFICATION!$B$8:$B$24,MATCH($C432,DATA_ASSET_CLASSIFICATION!$A$8:$A$24,0)),"Review"))</f>
        <v>Alma Blackwell</v>
      </c>
      <c r="N432" s="350" t="str">
        <f>IF($B432="Portfolio","Portfolio",IFERROR(INDEX(DATA_ASSET_CLASSIFICATION!$U$8:$U$24,MATCH($C432,DATA_ASSET_CLASSIFICATION!$A$8:$A$24,0)),"Review"))</f>
        <v>Excluded</v>
      </c>
      <c r="O432" s="350" t="str">
        <f>IF($B432="Portfolio","Portfolio",IFERROR(INDEX(DATA_ASSET_CLASSIFICATION!$AB$8:$AB$13,MATCH($N432,DATA_ASSET_CLASSIFICATION!$AA$8:$AA$13,0)),"Review"))</f>
        <v>Bucket 0 · Excluded</v>
      </c>
      <c r="P432" s="350" t="str">
        <f>IF($B432="Portfolio","Portfolio",IFERROR(INDEX(DATA_ASSET_CLASSIFICATION!$C$8:$C$24,MATCH($C432,DATA_ASSET_CLASSIFICATION!$A$8:$A$24,0)),"Review"))</f>
        <v>No</v>
      </c>
      <c r="Q432" s="350" t="str">
        <f t="shared" ca="1" si="13"/>
        <v>OK</v>
      </c>
    </row>
    <row r="433" spans="1:17">
      <c r="A433" s="366" t="s">
        <v>2389</v>
      </c>
      <c r="B433" s="366" t="s">
        <v>231</v>
      </c>
      <c r="C433" s="348" t="str">
        <f>DATA_PROPERTY_MASTER!$A$5</f>
        <v>BLD_AB</v>
      </c>
      <c r="D433" s="380">
        <f>'00_PORTFOLIO ROLLUP'!M$12</f>
        <v>2033</v>
      </c>
      <c r="E433" s="366" t="s">
        <v>1683</v>
      </c>
      <c r="F433" s="366" t="s">
        <v>1697</v>
      </c>
      <c r="G433" s="348" t="str">
        <f>"'"&amp;$C433&amp;"'!$E$44:$Y$44"</f>
        <v>'BLD_AB'!$E$44:$Y$44</v>
      </c>
      <c r="H433" s="381">
        <f ca="1">IF(IFERROR(INDEX(DATA_PROPERTY_MASTER!$E$5:$E$21,MATCH($C433,DATA_PROPERTY_MASTER!$A$5:$A$21,0))="Yes",FALSE),IFERROR(INDEX(INDIRECT("'"&amp;$C433&amp;"'!$E$44:$Y$44"),1,MATCH($D433,INDIRECT("'"&amp;$C433&amp;"'!$E$12:$Y$12"),0)),0),0)</f>
        <v>0</v>
      </c>
      <c r="I433" s="366" t="s">
        <v>1690</v>
      </c>
      <c r="J433" s="348" t="str">
        <f t="shared" ca="1" si="12"/>
        <v>OK</v>
      </c>
      <c r="K433" s="366" t="s">
        <v>1699</v>
      </c>
      <c r="L433" s="366" t="s">
        <v>2240</v>
      </c>
      <c r="M433" s="350" t="str">
        <f>IF($B433="Portfolio","Portfolio",IFERROR(INDEX(DATA_ASSET_CLASSIFICATION!$B$8:$B$24,MATCH($C433,DATA_ASSET_CLASSIFICATION!$A$8:$A$24,0)),"Review"))</f>
        <v>Alma Blackwell</v>
      </c>
      <c r="N433" s="350" t="str">
        <f>IF($B433="Portfolio","Portfolio",IFERROR(INDEX(DATA_ASSET_CLASSIFICATION!$U$8:$U$24,MATCH($C433,DATA_ASSET_CLASSIFICATION!$A$8:$A$24,0)),"Review"))</f>
        <v>Excluded</v>
      </c>
      <c r="O433" s="350" t="str">
        <f>IF($B433="Portfolio","Portfolio",IFERROR(INDEX(DATA_ASSET_CLASSIFICATION!$AB$8:$AB$13,MATCH($N433,DATA_ASSET_CLASSIFICATION!$AA$8:$AA$13,0)),"Review"))</f>
        <v>Bucket 0 · Excluded</v>
      </c>
      <c r="P433" s="350" t="str">
        <f>IF($B433="Portfolio","Portfolio",IFERROR(INDEX(DATA_ASSET_CLASSIFICATION!$C$8:$C$24,MATCH($C433,DATA_ASSET_CLASSIFICATION!$A$8:$A$24,0)),"Review"))</f>
        <v>No</v>
      </c>
      <c r="Q433" s="350" t="str">
        <f t="shared" ca="1" si="13"/>
        <v>OK</v>
      </c>
    </row>
    <row r="434" spans="1:17">
      <c r="A434" s="366" t="s">
        <v>2390</v>
      </c>
      <c r="B434" s="366" t="s">
        <v>231</v>
      </c>
      <c r="C434" s="348" t="str">
        <f>DATA_PROPERTY_MASTER!$A$5</f>
        <v>BLD_AB</v>
      </c>
      <c r="D434" s="380">
        <f>'00_PORTFOLIO ROLLUP'!M$12</f>
        <v>2033</v>
      </c>
      <c r="E434" s="366" t="s">
        <v>1683</v>
      </c>
      <c r="F434" s="366" t="s">
        <v>21</v>
      </c>
      <c r="G434" s="348" t="str">
        <f>"'"&amp;$C434&amp;"'!$E$45:$Y$45"</f>
        <v>'BLD_AB'!$E$45:$Y$45</v>
      </c>
      <c r="H434" s="381">
        <f ca="1">IF(IFERROR(INDEX(DATA_PROPERTY_MASTER!$E$5:$E$21,MATCH($C434,DATA_PROPERTY_MASTER!$A$5:$A$21,0))="Yes",FALSE),IFERROR(INDEX(INDIRECT("'"&amp;$C434&amp;"'!$E$45:$Y$45"),1,MATCH($D434,INDIRECT("'"&amp;$C434&amp;"'!$E$12:$Y$12"),0)),0),0)</f>
        <v>0</v>
      </c>
      <c r="I434" s="366" t="s">
        <v>1685</v>
      </c>
      <c r="J434" s="348" t="str">
        <f t="shared" ca="1" si="12"/>
        <v>OK</v>
      </c>
      <c r="K434" s="366" t="s">
        <v>1694</v>
      </c>
      <c r="L434" s="366" t="s">
        <v>2242</v>
      </c>
      <c r="M434" s="350" t="str">
        <f>IF($B434="Portfolio","Portfolio",IFERROR(INDEX(DATA_ASSET_CLASSIFICATION!$B$8:$B$24,MATCH($C434,DATA_ASSET_CLASSIFICATION!$A$8:$A$24,0)),"Review"))</f>
        <v>Alma Blackwell</v>
      </c>
      <c r="N434" s="350" t="str">
        <f>IF($B434="Portfolio","Portfolio",IFERROR(INDEX(DATA_ASSET_CLASSIFICATION!$U$8:$U$24,MATCH($C434,DATA_ASSET_CLASSIFICATION!$A$8:$A$24,0)),"Review"))</f>
        <v>Excluded</v>
      </c>
      <c r="O434" s="350" t="str">
        <f>IF($B434="Portfolio","Portfolio",IFERROR(INDEX(DATA_ASSET_CLASSIFICATION!$AB$8:$AB$13,MATCH($N434,DATA_ASSET_CLASSIFICATION!$AA$8:$AA$13,0)),"Review"))</f>
        <v>Bucket 0 · Excluded</v>
      </c>
      <c r="P434" s="350" t="str">
        <f>IF($B434="Portfolio","Portfolio",IFERROR(INDEX(DATA_ASSET_CLASSIFICATION!$C$8:$C$24,MATCH($C434,DATA_ASSET_CLASSIFICATION!$A$8:$A$24,0)),"Review"))</f>
        <v>No</v>
      </c>
      <c r="Q434" s="350" t="str">
        <f t="shared" ca="1" si="13"/>
        <v>OK</v>
      </c>
    </row>
    <row r="435" spans="1:17">
      <c r="A435" s="366" t="s">
        <v>2391</v>
      </c>
      <c r="B435" s="366" t="s">
        <v>231</v>
      </c>
      <c r="C435" s="348" t="str">
        <f>DATA_PROPERTY_MASTER!$A$5</f>
        <v>BLD_AB</v>
      </c>
      <c r="D435" s="380">
        <f>'00_PORTFOLIO ROLLUP'!M$12</f>
        <v>2033</v>
      </c>
      <c r="E435" s="366" t="s">
        <v>23</v>
      </c>
      <c r="F435" s="366" t="s">
        <v>23</v>
      </c>
      <c r="G435" s="348" t="str">
        <f>"'"&amp;$C435&amp;"'!$E$48:$Y$48"</f>
        <v>'BLD_AB'!$E$48:$Y$48</v>
      </c>
      <c r="H435" s="381">
        <f ca="1">IF(IFERROR(INDEX(DATA_PROPERTY_MASTER!$E$5:$E$21,MATCH($C435,DATA_PROPERTY_MASTER!$A$5:$A$21,0))="Yes",FALSE),IFERROR(INDEX(INDIRECT("'"&amp;$C435&amp;"'!$E$48:$Y$48"),1,MATCH($D435,INDIRECT("'"&amp;$C435&amp;"'!$E$12:$Y$12"),0)),0),0)</f>
        <v>0</v>
      </c>
      <c r="I435" s="366" t="s">
        <v>1690</v>
      </c>
      <c r="J435" s="348" t="str">
        <f t="shared" ca="1" si="12"/>
        <v>OK</v>
      </c>
      <c r="K435" s="366" t="s">
        <v>1706</v>
      </c>
      <c r="L435" s="366" t="s">
        <v>2244</v>
      </c>
      <c r="M435" s="350" t="str">
        <f>IF($B435="Portfolio","Portfolio",IFERROR(INDEX(DATA_ASSET_CLASSIFICATION!$B$8:$B$24,MATCH($C435,DATA_ASSET_CLASSIFICATION!$A$8:$A$24,0)),"Review"))</f>
        <v>Alma Blackwell</v>
      </c>
      <c r="N435" s="350" t="str">
        <f>IF($B435="Portfolio","Portfolio",IFERROR(INDEX(DATA_ASSET_CLASSIFICATION!$U$8:$U$24,MATCH($C435,DATA_ASSET_CLASSIFICATION!$A$8:$A$24,0)),"Review"))</f>
        <v>Excluded</v>
      </c>
      <c r="O435" s="350" t="str">
        <f>IF($B435="Portfolio","Portfolio",IFERROR(INDEX(DATA_ASSET_CLASSIFICATION!$AB$8:$AB$13,MATCH($N435,DATA_ASSET_CLASSIFICATION!$AA$8:$AA$13,0)),"Review"))</f>
        <v>Bucket 0 · Excluded</v>
      </c>
      <c r="P435" s="350" t="str">
        <f>IF($B435="Portfolio","Portfolio",IFERROR(INDEX(DATA_ASSET_CLASSIFICATION!$C$8:$C$24,MATCH($C435,DATA_ASSET_CLASSIFICATION!$A$8:$A$24,0)),"Review"))</f>
        <v>No</v>
      </c>
      <c r="Q435" s="350" t="str">
        <f t="shared" ca="1" si="13"/>
        <v>OK</v>
      </c>
    </row>
    <row r="436" spans="1:17">
      <c r="A436" s="366" t="s">
        <v>2392</v>
      </c>
      <c r="B436" s="366" t="s">
        <v>231</v>
      </c>
      <c r="C436" s="348" t="str">
        <f>DATA_PROPERTY_MASTER!$A$5</f>
        <v>BLD_AB</v>
      </c>
      <c r="D436" s="380">
        <f>'00_PORTFOLIO ROLLUP'!M$12</f>
        <v>2033</v>
      </c>
      <c r="E436" s="366" t="s">
        <v>1683</v>
      </c>
      <c r="F436" s="366" t="s">
        <v>25</v>
      </c>
      <c r="G436" s="348" t="str">
        <f>"'"&amp;$C436&amp;"'!$E$52:$Y$52"</f>
        <v>'BLD_AB'!$E$52:$Y$52</v>
      </c>
      <c r="H436" s="381">
        <f ca="1">IF(IFERROR(INDEX(DATA_PROPERTY_MASTER!$E$5:$E$21,MATCH($C436,DATA_PROPERTY_MASTER!$A$5:$A$21,0))="Yes",FALSE),IFERROR(INDEX(INDIRECT("'"&amp;$C436&amp;"'!$E$52:$Y$52"),1,MATCH($D436,INDIRECT("'"&amp;$C436&amp;"'!$E$12:$Y$12"),0)),0),0)</f>
        <v>0</v>
      </c>
      <c r="I436" s="366" t="s">
        <v>1685</v>
      </c>
      <c r="J436" s="348" t="str">
        <f t="shared" ca="1" si="12"/>
        <v>OK</v>
      </c>
      <c r="K436" s="366" t="s">
        <v>1710</v>
      </c>
      <c r="L436" s="366" t="s">
        <v>2246</v>
      </c>
      <c r="M436" s="350" t="str">
        <f>IF($B436="Portfolio","Portfolio",IFERROR(INDEX(DATA_ASSET_CLASSIFICATION!$B$8:$B$24,MATCH($C436,DATA_ASSET_CLASSIFICATION!$A$8:$A$24,0)),"Review"))</f>
        <v>Alma Blackwell</v>
      </c>
      <c r="N436" s="350" t="str">
        <f>IF($B436="Portfolio","Portfolio",IFERROR(INDEX(DATA_ASSET_CLASSIFICATION!$U$8:$U$24,MATCH($C436,DATA_ASSET_CLASSIFICATION!$A$8:$A$24,0)),"Review"))</f>
        <v>Excluded</v>
      </c>
      <c r="O436" s="350" t="str">
        <f>IF($B436="Portfolio","Portfolio",IFERROR(INDEX(DATA_ASSET_CLASSIFICATION!$AB$8:$AB$13,MATCH($N436,DATA_ASSET_CLASSIFICATION!$AA$8:$AA$13,0)),"Review"))</f>
        <v>Bucket 0 · Excluded</v>
      </c>
      <c r="P436" s="350" t="str">
        <f>IF($B436="Portfolio","Portfolio",IFERROR(INDEX(DATA_ASSET_CLASSIFICATION!$C$8:$C$24,MATCH($C436,DATA_ASSET_CLASSIFICATION!$A$8:$A$24,0)),"Review"))</f>
        <v>No</v>
      </c>
      <c r="Q436" s="350" t="str">
        <f t="shared" ca="1" si="13"/>
        <v>OK</v>
      </c>
    </row>
    <row r="437" spans="1:17">
      <c r="A437" s="366" t="s">
        <v>2393</v>
      </c>
      <c r="B437" s="366" t="s">
        <v>231</v>
      </c>
      <c r="C437" s="348" t="str">
        <f>DATA_PROPERTY_MASTER!$A$5</f>
        <v>BLD_AB</v>
      </c>
      <c r="D437" s="380">
        <f>'00_PORTFOLIO ROLLUP'!M$12</f>
        <v>2033</v>
      </c>
      <c r="E437" s="366" t="s">
        <v>1683</v>
      </c>
      <c r="F437" s="366" t="s">
        <v>27</v>
      </c>
      <c r="G437" s="348" t="str">
        <f>"'"&amp;$C437&amp;"'!$E$54:$Y$54"</f>
        <v>'BLD_AB'!$E$54:$Y$54</v>
      </c>
      <c r="H437" s="381">
        <f ca="1">IF(IFERROR(INDEX(DATA_PROPERTY_MASTER!$E$5:$E$21,MATCH($C437,DATA_PROPERTY_MASTER!$A$5:$A$21,0))="Yes",FALSE),IFERROR(INDEX(INDIRECT("'"&amp;$C437&amp;"'!$E$54:$Y$54"),1,MATCH($D437,INDIRECT("'"&amp;$C437&amp;"'!$E$12:$Y$12"),0)),0),0)</f>
        <v>0</v>
      </c>
      <c r="I437" s="366" t="s">
        <v>1690</v>
      </c>
      <c r="J437" s="348" t="str">
        <f t="shared" ca="1" si="12"/>
        <v>OK</v>
      </c>
      <c r="K437" s="366" t="s">
        <v>1714</v>
      </c>
      <c r="L437" s="366" t="s">
        <v>2248</v>
      </c>
      <c r="M437" s="350" t="str">
        <f>IF($B437="Portfolio","Portfolio",IFERROR(INDEX(DATA_ASSET_CLASSIFICATION!$B$8:$B$24,MATCH($C437,DATA_ASSET_CLASSIFICATION!$A$8:$A$24,0)),"Review"))</f>
        <v>Alma Blackwell</v>
      </c>
      <c r="N437" s="350" t="str">
        <f>IF($B437="Portfolio","Portfolio",IFERROR(INDEX(DATA_ASSET_CLASSIFICATION!$U$8:$U$24,MATCH($C437,DATA_ASSET_CLASSIFICATION!$A$8:$A$24,0)),"Review"))</f>
        <v>Excluded</v>
      </c>
      <c r="O437" s="350" t="str">
        <f>IF($B437="Portfolio","Portfolio",IFERROR(INDEX(DATA_ASSET_CLASSIFICATION!$AB$8:$AB$13,MATCH($N437,DATA_ASSET_CLASSIFICATION!$AA$8:$AA$13,0)),"Review"))</f>
        <v>Bucket 0 · Excluded</v>
      </c>
      <c r="P437" s="350" t="str">
        <f>IF($B437="Portfolio","Portfolio",IFERROR(INDEX(DATA_ASSET_CLASSIFICATION!$C$8:$C$24,MATCH($C437,DATA_ASSET_CLASSIFICATION!$A$8:$A$24,0)),"Review"))</f>
        <v>No</v>
      </c>
      <c r="Q437" s="350" t="str">
        <f t="shared" ca="1" si="13"/>
        <v>OK</v>
      </c>
    </row>
    <row r="438" spans="1:17">
      <c r="A438" s="366" t="s">
        <v>2394</v>
      </c>
      <c r="B438" s="366" t="s">
        <v>231</v>
      </c>
      <c r="C438" s="348" t="str">
        <f>DATA_PROPERTY_MASTER!$A$5</f>
        <v>BLD_AB</v>
      </c>
      <c r="D438" s="380">
        <f>'00_PORTFOLIO ROLLUP'!M$12</f>
        <v>2033</v>
      </c>
      <c r="E438" s="366" t="s">
        <v>1683</v>
      </c>
      <c r="F438" s="366" t="s">
        <v>29</v>
      </c>
      <c r="G438" s="348" t="str">
        <f>"'"&amp;$C438&amp;"'!$E$56:$Y$56"</f>
        <v>'BLD_AB'!$E$56:$Y$56</v>
      </c>
      <c r="H438" s="381">
        <f ca="1">IF(IFERROR(INDEX(DATA_PROPERTY_MASTER!$E$5:$E$21,MATCH($C438,DATA_PROPERTY_MASTER!$A$5:$A$21,0))="Yes",FALSE),IFERROR(INDEX(INDIRECT("'"&amp;$C438&amp;"'!$E$56:$Y$56"),1,MATCH($D438,INDIRECT("'"&amp;$C438&amp;"'!$E$12:$Y$12"),0)),0),0)</f>
        <v>0</v>
      </c>
      <c r="I438" s="366" t="s">
        <v>1685</v>
      </c>
      <c r="J438" s="348" t="str">
        <f t="shared" ca="1" si="12"/>
        <v>OK</v>
      </c>
      <c r="K438" s="366" t="s">
        <v>1718</v>
      </c>
      <c r="L438" s="366" t="s">
        <v>2250</v>
      </c>
      <c r="M438" s="350" t="str">
        <f>IF($B438="Portfolio","Portfolio",IFERROR(INDEX(DATA_ASSET_CLASSIFICATION!$B$8:$B$24,MATCH($C438,DATA_ASSET_CLASSIFICATION!$A$8:$A$24,0)),"Review"))</f>
        <v>Alma Blackwell</v>
      </c>
      <c r="N438" s="350" t="str">
        <f>IF($B438="Portfolio","Portfolio",IFERROR(INDEX(DATA_ASSET_CLASSIFICATION!$U$8:$U$24,MATCH($C438,DATA_ASSET_CLASSIFICATION!$A$8:$A$24,0)),"Review"))</f>
        <v>Excluded</v>
      </c>
      <c r="O438" s="350" t="str">
        <f>IF($B438="Portfolio","Portfolio",IFERROR(INDEX(DATA_ASSET_CLASSIFICATION!$AB$8:$AB$13,MATCH($N438,DATA_ASSET_CLASSIFICATION!$AA$8:$AA$13,0)),"Review"))</f>
        <v>Bucket 0 · Excluded</v>
      </c>
      <c r="P438" s="350" t="str">
        <f>IF($B438="Portfolio","Portfolio",IFERROR(INDEX(DATA_ASSET_CLASSIFICATION!$C$8:$C$24,MATCH($C438,DATA_ASSET_CLASSIFICATION!$A$8:$A$24,0)),"Review"))</f>
        <v>No</v>
      </c>
      <c r="Q438" s="350" t="str">
        <f t="shared" ca="1" si="13"/>
        <v>OK</v>
      </c>
    </row>
    <row r="439" spans="1:17">
      <c r="A439" s="366" t="s">
        <v>2395</v>
      </c>
      <c r="B439" s="366" t="s">
        <v>231</v>
      </c>
      <c r="C439" s="348" t="str">
        <f>DATA_PROPERTY_MASTER!$A$5</f>
        <v>BLD_AB</v>
      </c>
      <c r="D439" s="380">
        <f>'00_PORTFOLIO ROLLUP'!M$12</f>
        <v>2033</v>
      </c>
      <c r="E439" s="366" t="s">
        <v>1721</v>
      </c>
      <c r="F439" s="366" t="s">
        <v>31</v>
      </c>
      <c r="G439" s="348" t="str">
        <f>"'"&amp;$C439&amp;"'!$E$61:$Y$61"</f>
        <v>'BLD_AB'!$E$61:$Y$61</v>
      </c>
      <c r="H439" s="381">
        <f ca="1">IF(IFERROR(INDEX(DATA_PROPERTY_MASTER!$E$5:$E$21,MATCH($C439,DATA_PROPERTY_MASTER!$A$5:$A$21,0))="Yes",FALSE),IFERROR(INDEX(INDIRECT("'"&amp;$C439&amp;"'!$E$61:$Y$61"),1,MATCH($D439,INDIRECT("'"&amp;$C439&amp;"'!$E$12:$Y$12"),0)),0),0)</f>
        <v>0</v>
      </c>
      <c r="I439" s="366" t="s">
        <v>1690</v>
      </c>
      <c r="J439" s="348" t="str">
        <f t="shared" ca="1" si="12"/>
        <v>OK</v>
      </c>
      <c r="K439" s="366" t="s">
        <v>1723</v>
      </c>
      <c r="L439" s="366" t="s">
        <v>2252</v>
      </c>
      <c r="M439" s="350" t="str">
        <f>IF($B439="Portfolio","Portfolio",IFERROR(INDEX(DATA_ASSET_CLASSIFICATION!$B$8:$B$24,MATCH($C439,DATA_ASSET_CLASSIFICATION!$A$8:$A$24,0)),"Review"))</f>
        <v>Alma Blackwell</v>
      </c>
      <c r="N439" s="350" t="str">
        <f>IF($B439="Portfolio","Portfolio",IFERROR(INDEX(DATA_ASSET_CLASSIFICATION!$U$8:$U$24,MATCH($C439,DATA_ASSET_CLASSIFICATION!$A$8:$A$24,0)),"Review"))</f>
        <v>Excluded</v>
      </c>
      <c r="O439" s="350" t="str">
        <f>IF($B439="Portfolio","Portfolio",IFERROR(INDEX(DATA_ASSET_CLASSIFICATION!$AB$8:$AB$13,MATCH($N439,DATA_ASSET_CLASSIFICATION!$AA$8:$AA$13,0)),"Review"))</f>
        <v>Bucket 0 · Excluded</v>
      </c>
      <c r="P439" s="350" t="str">
        <f>IF($B439="Portfolio","Portfolio",IFERROR(INDEX(DATA_ASSET_CLASSIFICATION!$C$8:$C$24,MATCH($C439,DATA_ASSET_CLASSIFICATION!$A$8:$A$24,0)),"Review"))</f>
        <v>No</v>
      </c>
      <c r="Q439" s="350" t="str">
        <f t="shared" ca="1" si="13"/>
        <v>OK</v>
      </c>
    </row>
    <row r="440" spans="1:17">
      <c r="A440" s="366" t="s">
        <v>2396</v>
      </c>
      <c r="B440" s="366" t="s">
        <v>231</v>
      </c>
      <c r="C440" s="348" t="str">
        <f>DATA_PROPERTY_MASTER!$A$5</f>
        <v>BLD_AB</v>
      </c>
      <c r="D440" s="380">
        <f>'00_PORTFOLIO ROLLUP'!M$12</f>
        <v>2033</v>
      </c>
      <c r="E440" s="366" t="s">
        <v>1721</v>
      </c>
      <c r="F440" s="366" t="s">
        <v>33</v>
      </c>
      <c r="G440" s="348" t="str">
        <f>"'"&amp;$C440&amp;"'!$E$62:$Y$62"</f>
        <v>'BLD_AB'!$E$62:$Y$62</v>
      </c>
      <c r="H440" s="381">
        <f ca="1">IF(IFERROR(INDEX(DATA_PROPERTY_MASTER!$E$5:$E$21,MATCH($C440,DATA_PROPERTY_MASTER!$A$5:$A$21,0))="Yes",FALSE),IFERROR(INDEX(INDIRECT("'"&amp;$C440&amp;"'!$E$62:$Y$62"),1,MATCH($D440,INDIRECT("'"&amp;$C440&amp;"'!$E$12:$Y$12"),0)),0),0)</f>
        <v>0</v>
      </c>
      <c r="I440" s="366" t="s">
        <v>1685</v>
      </c>
      <c r="J440" s="348" t="str">
        <f t="shared" ca="1" si="12"/>
        <v>OK</v>
      </c>
      <c r="K440" s="366" t="s">
        <v>1727</v>
      </c>
      <c r="L440" s="366" t="s">
        <v>2254</v>
      </c>
      <c r="M440" s="350" t="str">
        <f>IF($B440="Portfolio","Portfolio",IFERROR(INDEX(DATA_ASSET_CLASSIFICATION!$B$8:$B$24,MATCH($C440,DATA_ASSET_CLASSIFICATION!$A$8:$A$24,0)),"Review"))</f>
        <v>Alma Blackwell</v>
      </c>
      <c r="N440" s="350" t="str">
        <f>IF($B440="Portfolio","Portfolio",IFERROR(INDEX(DATA_ASSET_CLASSIFICATION!$U$8:$U$24,MATCH($C440,DATA_ASSET_CLASSIFICATION!$A$8:$A$24,0)),"Review"))</f>
        <v>Excluded</v>
      </c>
      <c r="O440" s="350" t="str">
        <f>IF($B440="Portfolio","Portfolio",IFERROR(INDEX(DATA_ASSET_CLASSIFICATION!$AB$8:$AB$13,MATCH($N440,DATA_ASSET_CLASSIFICATION!$AA$8:$AA$13,0)),"Review"))</f>
        <v>Bucket 0 · Excluded</v>
      </c>
      <c r="P440" s="350" t="str">
        <f>IF($B440="Portfolio","Portfolio",IFERROR(INDEX(DATA_ASSET_CLASSIFICATION!$C$8:$C$24,MATCH($C440,DATA_ASSET_CLASSIFICATION!$A$8:$A$24,0)),"Review"))</f>
        <v>No</v>
      </c>
      <c r="Q440" s="350" t="str">
        <f t="shared" ca="1" si="13"/>
        <v>OK</v>
      </c>
    </row>
    <row r="441" spans="1:17">
      <c r="A441" s="366" t="s">
        <v>2397</v>
      </c>
      <c r="B441" s="366" t="s">
        <v>231</v>
      </c>
      <c r="C441" s="348" t="str">
        <f>DATA_PROPERTY_MASTER!$A$5</f>
        <v>BLD_AB</v>
      </c>
      <c r="D441" s="380">
        <f>'00_PORTFOLIO ROLLUP'!M$12</f>
        <v>2033</v>
      </c>
      <c r="E441" s="366" t="s">
        <v>1721</v>
      </c>
      <c r="F441" s="366" t="s">
        <v>35</v>
      </c>
      <c r="G441" s="348" t="str">
        <f>"'"&amp;$C441&amp;"'!$E$63:$Y$63"</f>
        <v>'BLD_AB'!$E$63:$Y$63</v>
      </c>
      <c r="H441" s="381">
        <f ca="1">IF(IFERROR(INDEX(DATA_PROPERTY_MASTER!$E$5:$E$21,MATCH($C441,DATA_PROPERTY_MASTER!$A$5:$A$21,0))="Yes",FALSE),IFERROR(INDEX(INDIRECT("'"&amp;$C441&amp;"'!$E$63:$Y$63"),1,MATCH($D441,INDIRECT("'"&amp;$C441&amp;"'!$E$12:$Y$12"),0)),0),0)</f>
        <v>0</v>
      </c>
      <c r="I441" s="366" t="s">
        <v>1731</v>
      </c>
      <c r="J441" s="348" t="str">
        <f t="shared" ca="1" si="12"/>
        <v>OK</v>
      </c>
      <c r="K441" s="366" t="s">
        <v>1732</v>
      </c>
      <c r="L441" s="366" t="s">
        <v>2256</v>
      </c>
      <c r="M441" s="350" t="str">
        <f>IF($B441="Portfolio","Portfolio",IFERROR(INDEX(DATA_ASSET_CLASSIFICATION!$B$8:$B$24,MATCH($C441,DATA_ASSET_CLASSIFICATION!$A$8:$A$24,0)),"Review"))</f>
        <v>Alma Blackwell</v>
      </c>
      <c r="N441" s="350" t="str">
        <f>IF($B441="Portfolio","Portfolio",IFERROR(INDEX(DATA_ASSET_CLASSIFICATION!$U$8:$U$24,MATCH($C441,DATA_ASSET_CLASSIFICATION!$A$8:$A$24,0)),"Review"))</f>
        <v>Excluded</v>
      </c>
      <c r="O441" s="350" t="str">
        <f>IF($B441="Portfolio","Portfolio",IFERROR(INDEX(DATA_ASSET_CLASSIFICATION!$AB$8:$AB$13,MATCH($N441,DATA_ASSET_CLASSIFICATION!$AA$8:$AA$13,0)),"Review"))</f>
        <v>Bucket 0 · Excluded</v>
      </c>
      <c r="P441" s="350" t="str">
        <f>IF($B441="Portfolio","Portfolio",IFERROR(INDEX(DATA_ASSET_CLASSIFICATION!$C$8:$C$24,MATCH($C441,DATA_ASSET_CLASSIFICATION!$A$8:$A$24,0)),"Review"))</f>
        <v>No</v>
      </c>
      <c r="Q441" s="350" t="str">
        <f t="shared" ca="1" si="13"/>
        <v>OK</v>
      </c>
    </row>
    <row r="442" spans="1:17">
      <c r="A442" s="366" t="s">
        <v>2398</v>
      </c>
      <c r="B442" s="366" t="s">
        <v>231</v>
      </c>
      <c r="C442" s="348" t="str">
        <f>DATA_PROPERTY_MASTER!$A$5</f>
        <v>BLD_AB</v>
      </c>
      <c r="D442" s="380">
        <f>'00_PORTFOLIO ROLLUP'!M$12</f>
        <v>2033</v>
      </c>
      <c r="E442" s="366" t="s">
        <v>1721</v>
      </c>
      <c r="F442" s="366" t="s">
        <v>37</v>
      </c>
      <c r="G442" s="348" t="str">
        <f>"'"&amp;$C442&amp;"'!$E$63:$Y$63"</f>
        <v>'BLD_AB'!$E$63:$Y$63</v>
      </c>
      <c r="H442" s="381">
        <f ca="1">IF(IFERROR(INDEX(DATA_PROPERTY_MASTER!$E$5:$E$21,MATCH($C442,DATA_PROPERTY_MASTER!$A$5:$A$21,0))="Yes",FALSE),MAX(IFERROR(INDEX(INDIRECT("'"&amp;$C442&amp;"'!$E$63:$Y$63"),1,MATCH($D442,INDIRECT("'"&amp;$C442&amp;"'!$E$12:$Y$12"),0)),0),0),0)</f>
        <v>0</v>
      </c>
      <c r="I442" s="366" t="s">
        <v>1685</v>
      </c>
      <c r="J442" s="348" t="str">
        <f t="shared" ca="1" si="12"/>
        <v>OK</v>
      </c>
      <c r="K442" s="366" t="s">
        <v>1735</v>
      </c>
      <c r="L442" s="366" t="s">
        <v>2258</v>
      </c>
      <c r="M442" s="350" t="str">
        <f>IF($B442="Portfolio","Portfolio",IFERROR(INDEX(DATA_ASSET_CLASSIFICATION!$B$8:$B$24,MATCH($C442,DATA_ASSET_CLASSIFICATION!$A$8:$A$24,0)),"Review"))</f>
        <v>Alma Blackwell</v>
      </c>
      <c r="N442" s="350" t="str">
        <f>IF($B442="Portfolio","Portfolio",IFERROR(INDEX(DATA_ASSET_CLASSIFICATION!$U$8:$U$24,MATCH($C442,DATA_ASSET_CLASSIFICATION!$A$8:$A$24,0)),"Review"))</f>
        <v>Excluded</v>
      </c>
      <c r="O442" s="350" t="str">
        <f>IF($B442="Portfolio","Portfolio",IFERROR(INDEX(DATA_ASSET_CLASSIFICATION!$AB$8:$AB$13,MATCH($N442,DATA_ASSET_CLASSIFICATION!$AA$8:$AA$13,0)),"Review"))</f>
        <v>Bucket 0 · Excluded</v>
      </c>
      <c r="P442" s="350" t="str">
        <f>IF($B442="Portfolio","Portfolio",IFERROR(INDEX(DATA_ASSET_CLASSIFICATION!$C$8:$C$24,MATCH($C442,DATA_ASSET_CLASSIFICATION!$A$8:$A$24,0)),"Review"))</f>
        <v>No</v>
      </c>
      <c r="Q442" s="350" t="str">
        <f t="shared" ca="1" si="13"/>
        <v>OK</v>
      </c>
    </row>
    <row r="443" spans="1:17">
      <c r="A443" s="366" t="s">
        <v>2399</v>
      </c>
      <c r="B443" s="366" t="s">
        <v>231</v>
      </c>
      <c r="C443" s="348" t="str">
        <f>DATA_PROPERTY_MASTER!$A$5</f>
        <v>BLD_AB</v>
      </c>
      <c r="D443" s="380">
        <f>'00_PORTFOLIO ROLLUP'!M$12</f>
        <v>2033</v>
      </c>
      <c r="E443" s="366" t="s">
        <v>1721</v>
      </c>
      <c r="F443" s="366" t="s">
        <v>39</v>
      </c>
      <c r="G443" s="348" t="str">
        <f>"'"&amp;$C443&amp;"'!$E$63:$Y$63"</f>
        <v>'BLD_AB'!$E$63:$Y$63</v>
      </c>
      <c r="H443" s="381">
        <f ca="1">IF(IFERROR(INDEX(DATA_PROPERTY_MASTER!$E$5:$E$21,MATCH($C443,DATA_PROPERTY_MASTER!$A$5:$A$21,0))="Yes",FALSE),MAX(-IFERROR(INDEX(INDIRECT("'"&amp;$C443&amp;"'!$E$63:$Y$63"),1,MATCH($D443,INDIRECT("'"&amp;$C443&amp;"'!$E$12:$Y$12"),0)),0),0),0)</f>
        <v>0</v>
      </c>
      <c r="I443" s="366" t="s">
        <v>1690</v>
      </c>
      <c r="J443" s="348" t="str">
        <f t="shared" ca="1" si="12"/>
        <v>OK</v>
      </c>
      <c r="K443" s="366" t="s">
        <v>1738</v>
      </c>
      <c r="L443" s="366" t="s">
        <v>2260</v>
      </c>
      <c r="M443" s="350" t="str">
        <f>IF($B443="Portfolio","Portfolio",IFERROR(INDEX(DATA_ASSET_CLASSIFICATION!$B$8:$B$24,MATCH($C443,DATA_ASSET_CLASSIFICATION!$A$8:$A$24,0)),"Review"))</f>
        <v>Alma Blackwell</v>
      </c>
      <c r="N443" s="350" t="str">
        <f>IF($B443="Portfolio","Portfolio",IFERROR(INDEX(DATA_ASSET_CLASSIFICATION!$U$8:$U$24,MATCH($C443,DATA_ASSET_CLASSIFICATION!$A$8:$A$24,0)),"Review"))</f>
        <v>Excluded</v>
      </c>
      <c r="O443" s="350" t="str">
        <f>IF($B443="Portfolio","Portfolio",IFERROR(INDEX(DATA_ASSET_CLASSIFICATION!$AB$8:$AB$13,MATCH($N443,DATA_ASSET_CLASSIFICATION!$AA$8:$AA$13,0)),"Review"))</f>
        <v>Bucket 0 · Excluded</v>
      </c>
      <c r="P443" s="350" t="str">
        <f>IF($B443="Portfolio","Portfolio",IFERROR(INDEX(DATA_ASSET_CLASSIFICATION!$C$8:$C$24,MATCH($C443,DATA_ASSET_CLASSIFICATION!$A$8:$A$24,0)),"Review"))</f>
        <v>No</v>
      </c>
      <c r="Q443" s="350" t="str">
        <f t="shared" ca="1" si="13"/>
        <v>OK</v>
      </c>
    </row>
    <row r="444" spans="1:17">
      <c r="A444" s="366" t="s">
        <v>2400</v>
      </c>
      <c r="B444" s="366" t="s">
        <v>231</v>
      </c>
      <c r="C444" s="348" t="str">
        <f>DATA_PROPERTY_MASTER!$A$5</f>
        <v>BLD_AB</v>
      </c>
      <c r="D444" s="380">
        <f>'00_PORTFOLIO ROLLUP'!M$12</f>
        <v>2033</v>
      </c>
      <c r="E444" s="366" t="s">
        <v>1741</v>
      </c>
      <c r="F444" s="366" t="s">
        <v>41</v>
      </c>
      <c r="G444" s="348" t="str">
        <f>"'"&amp;$C444&amp;"'!rows 56 + positive row 63"</f>
        <v>'BLD_AB'!rows 56 + positive row 63</v>
      </c>
      <c r="H444" s="381">
        <f ca="1">IF(IFERROR(INDEX(DATA_PROPERTY_MASTER!$E$5:$E$21,MATCH($C444,DATA_PROPERTY_MASTER!$A$5:$A$21,0))="Yes",FALSE),IFERROR(INDEX(INDIRECT("'"&amp;$C444&amp;"'!$E$56:$Y$56"),1,MATCH($D444,INDIRECT("'"&amp;$C444&amp;"'!$E$12:$Y$12"),0)),0)+MAX(IFERROR(INDEX(INDIRECT("'"&amp;$C444&amp;"'!$E$63:$Y$63"),1,MATCH($D444,INDIRECT("'"&amp;$C444&amp;"'!$E$12:$Y$12"),0)),0),0),0)</f>
        <v>0</v>
      </c>
      <c r="I444" s="366" t="s">
        <v>1685</v>
      </c>
      <c r="J444" s="348" t="str">
        <f t="shared" ca="1" si="12"/>
        <v>OK</v>
      </c>
      <c r="K444" s="366" t="s">
        <v>1742</v>
      </c>
      <c r="L444" s="366" t="s">
        <v>2262</v>
      </c>
      <c r="M444" s="350" t="str">
        <f>IF($B444="Portfolio","Portfolio",IFERROR(INDEX(DATA_ASSET_CLASSIFICATION!$B$8:$B$24,MATCH($C444,DATA_ASSET_CLASSIFICATION!$A$8:$A$24,0)),"Review"))</f>
        <v>Alma Blackwell</v>
      </c>
      <c r="N444" s="350" t="str">
        <f>IF($B444="Portfolio","Portfolio",IFERROR(INDEX(DATA_ASSET_CLASSIFICATION!$U$8:$U$24,MATCH($C444,DATA_ASSET_CLASSIFICATION!$A$8:$A$24,0)),"Review"))</f>
        <v>Excluded</v>
      </c>
      <c r="O444" s="350" t="str">
        <f>IF($B444="Portfolio","Portfolio",IFERROR(INDEX(DATA_ASSET_CLASSIFICATION!$AB$8:$AB$13,MATCH($N444,DATA_ASSET_CLASSIFICATION!$AA$8:$AA$13,0)),"Review"))</f>
        <v>Bucket 0 · Excluded</v>
      </c>
      <c r="P444" s="350" t="str">
        <f>IF($B444="Portfolio","Portfolio",IFERROR(INDEX(DATA_ASSET_CLASSIFICATION!$C$8:$C$24,MATCH($C444,DATA_ASSET_CLASSIFICATION!$A$8:$A$24,0)),"Review"))</f>
        <v>No</v>
      </c>
      <c r="Q444" s="350" t="str">
        <f t="shared" ca="1" si="13"/>
        <v>OK</v>
      </c>
    </row>
    <row r="445" spans="1:17">
      <c r="A445" s="366" t="s">
        <v>2401</v>
      </c>
      <c r="B445" s="366" t="s">
        <v>231</v>
      </c>
      <c r="C445" s="348" t="str">
        <f>DATA_PROPERTY_MASTER!$A$5</f>
        <v>BLD_AB</v>
      </c>
      <c r="D445" s="380">
        <f>'00_PORTFOLIO ROLLUP'!M$12</f>
        <v>2033</v>
      </c>
      <c r="E445" s="366" t="s">
        <v>1741</v>
      </c>
      <c r="F445" s="366" t="s">
        <v>43</v>
      </c>
      <c r="G445" s="348" t="str">
        <f>"'"&amp;$C445&amp;"'!$E$68:$Y$68"</f>
        <v>'BLD_AB'!$E$68:$Y$68</v>
      </c>
      <c r="H445" s="381">
        <f ca="1">IF(IFERROR(INDEX(DATA_PROPERTY_MASTER!$E$5:$E$21,MATCH($C445,DATA_PROPERTY_MASTER!$A$5:$A$21,0))="Yes",FALSE),IFERROR(INDEX(INDIRECT("'"&amp;$C445&amp;"'!$E$68:$Y$68"),1,MATCH($D445,INDIRECT("'"&amp;$C445&amp;"'!$E$12:$Y$12"),0)),0),0)</f>
        <v>0</v>
      </c>
      <c r="I445" s="366" t="s">
        <v>1731</v>
      </c>
      <c r="J445" s="348" t="str">
        <f t="shared" ca="1" si="12"/>
        <v>OK</v>
      </c>
      <c r="K445" s="366" t="s">
        <v>1746</v>
      </c>
      <c r="L445" s="366" t="s">
        <v>2264</v>
      </c>
      <c r="M445" s="350" t="str">
        <f>IF($B445="Portfolio","Portfolio",IFERROR(INDEX(DATA_ASSET_CLASSIFICATION!$B$8:$B$24,MATCH($C445,DATA_ASSET_CLASSIFICATION!$A$8:$A$24,0)),"Review"))</f>
        <v>Alma Blackwell</v>
      </c>
      <c r="N445" s="350" t="str">
        <f>IF($B445="Portfolio","Portfolio",IFERROR(INDEX(DATA_ASSET_CLASSIFICATION!$U$8:$U$24,MATCH($C445,DATA_ASSET_CLASSIFICATION!$A$8:$A$24,0)),"Review"))</f>
        <v>Excluded</v>
      </c>
      <c r="O445" s="350" t="str">
        <f>IF($B445="Portfolio","Portfolio",IFERROR(INDEX(DATA_ASSET_CLASSIFICATION!$AB$8:$AB$13,MATCH($N445,DATA_ASSET_CLASSIFICATION!$AA$8:$AA$13,0)),"Review"))</f>
        <v>Bucket 0 · Excluded</v>
      </c>
      <c r="P445" s="350" t="str">
        <f>IF($B445="Portfolio","Portfolio",IFERROR(INDEX(DATA_ASSET_CLASSIFICATION!$C$8:$C$24,MATCH($C445,DATA_ASSET_CLASSIFICATION!$A$8:$A$24,0)),"Review"))</f>
        <v>No</v>
      </c>
      <c r="Q445" s="350" t="str">
        <f t="shared" ca="1" si="13"/>
        <v>OK</v>
      </c>
    </row>
    <row r="446" spans="1:17">
      <c r="A446" s="366" t="s">
        <v>2402</v>
      </c>
      <c r="B446" s="366" t="s">
        <v>231</v>
      </c>
      <c r="C446" s="348" t="str">
        <f>DATA_PROPERTY_MASTER!$A$5</f>
        <v>BLD_AB</v>
      </c>
      <c r="D446" s="380">
        <f>'00_PORTFOLIO ROLLUP'!M$12</f>
        <v>2033</v>
      </c>
      <c r="E446" s="366" t="s">
        <v>1741</v>
      </c>
      <c r="F446" s="366" t="s">
        <v>1749</v>
      </c>
      <c r="G446" s="348" t="str">
        <f>"'"&amp;$C446&amp;"'!rows 56, 63, 68"</f>
        <v>'BLD_AB'!rows 56, 63, 68</v>
      </c>
      <c r="H446" s="381">
        <f ca="1">IF(IFERROR(INDEX(DATA_PROPERTY_MASTER!$E$5:$E$21,MATCH($C446,DATA_PROPERTY_MASTER!$A$5:$A$21,0))="Yes",FALSE),(IFERROR(INDEX(INDIRECT("'"&amp;$C446&amp;"'!$E$56:$Y$56"),1,MATCH($D446,INDIRECT("'"&amp;$C446&amp;"'!$E$12:$Y$12"),0)),0)+MAX(IFERROR(INDEX(INDIRECT("'"&amp;$C446&amp;"'!$E$63:$Y$63"),1,MATCH($D446,INDIRECT("'"&amp;$C446&amp;"'!$E$12:$Y$12"),0)),0),0))-(IFERROR(INDEX(INDIRECT("'"&amp;$C446&amp;"'!$E$68:$Y$68"),1,MATCH($D446,INDIRECT("'"&amp;$C446&amp;"'!$E$12:$Y$12"),0)),0)),0)</f>
        <v>0</v>
      </c>
      <c r="I446" s="366" t="s">
        <v>1750</v>
      </c>
      <c r="J446" s="348" t="str">
        <f t="shared" ca="1" si="12"/>
        <v>OK</v>
      </c>
      <c r="K446" s="366" t="s">
        <v>1751</v>
      </c>
      <c r="L446" s="366" t="s">
        <v>2266</v>
      </c>
      <c r="M446" s="350" t="str">
        <f>IF($B446="Portfolio","Portfolio",IFERROR(INDEX(DATA_ASSET_CLASSIFICATION!$B$8:$B$24,MATCH($C446,DATA_ASSET_CLASSIFICATION!$A$8:$A$24,0)),"Review"))</f>
        <v>Alma Blackwell</v>
      </c>
      <c r="N446" s="350" t="str">
        <f>IF($B446="Portfolio","Portfolio",IFERROR(INDEX(DATA_ASSET_CLASSIFICATION!$U$8:$U$24,MATCH($C446,DATA_ASSET_CLASSIFICATION!$A$8:$A$24,0)),"Review"))</f>
        <v>Excluded</v>
      </c>
      <c r="O446" s="350" t="str">
        <f>IF($B446="Portfolio","Portfolio",IFERROR(INDEX(DATA_ASSET_CLASSIFICATION!$AB$8:$AB$13,MATCH($N446,DATA_ASSET_CLASSIFICATION!$AA$8:$AA$13,0)),"Review"))</f>
        <v>Bucket 0 · Excluded</v>
      </c>
      <c r="P446" s="350" t="str">
        <f>IF($B446="Portfolio","Portfolio",IFERROR(INDEX(DATA_ASSET_CLASSIFICATION!$C$8:$C$24,MATCH($C446,DATA_ASSET_CLASSIFICATION!$A$8:$A$24,0)),"Review"))</f>
        <v>No</v>
      </c>
      <c r="Q446" s="350" t="str">
        <f t="shared" ca="1" si="13"/>
        <v>OK</v>
      </c>
    </row>
    <row r="447" spans="1:17">
      <c r="A447" s="366" t="s">
        <v>2403</v>
      </c>
      <c r="B447" s="366" t="s">
        <v>231</v>
      </c>
      <c r="C447" s="348" t="str">
        <f>DATA_PROPERTY_MASTER!$A$5</f>
        <v>BLD_AB</v>
      </c>
      <c r="D447" s="380">
        <f>'00_PORTFOLIO ROLLUP'!N$12</f>
        <v>2034</v>
      </c>
      <c r="E447" s="366" t="s">
        <v>1683</v>
      </c>
      <c r="F447" s="366" t="s">
        <v>341</v>
      </c>
      <c r="G447" s="348" t="str">
        <f>"'"&amp;$C447&amp;"'!$E$24:$Y$24"</f>
        <v>'BLD_AB'!$E$24:$Y$24</v>
      </c>
      <c r="H447" s="381">
        <f ca="1">IF(IFERROR(INDEX(DATA_PROPERTY_MASTER!$E$5:$E$21,MATCH($C447,DATA_PROPERTY_MASTER!$A$5:$A$21,0))="Yes",FALSE),IFERROR(INDEX(INDIRECT("'"&amp;$C447&amp;"'!$E$24:$Y$24"),1,MATCH($D447,INDIRECT("'"&amp;$C447&amp;"'!$E$12:$Y$12"),0)),0),0)</f>
        <v>0</v>
      </c>
      <c r="I447" s="366" t="s">
        <v>1685</v>
      </c>
      <c r="J447" s="348" t="str">
        <f t="shared" ca="1" si="12"/>
        <v>OK</v>
      </c>
      <c r="K447" s="366" t="s">
        <v>1686</v>
      </c>
      <c r="L447" s="366" t="s">
        <v>2234</v>
      </c>
      <c r="M447" s="350" t="str">
        <f>IF($B447="Portfolio","Portfolio",IFERROR(INDEX(DATA_ASSET_CLASSIFICATION!$B$8:$B$24,MATCH($C447,DATA_ASSET_CLASSIFICATION!$A$8:$A$24,0)),"Review"))</f>
        <v>Alma Blackwell</v>
      </c>
      <c r="N447" s="350" t="str">
        <f>IF($B447="Portfolio","Portfolio",IFERROR(INDEX(DATA_ASSET_CLASSIFICATION!$U$8:$U$24,MATCH($C447,DATA_ASSET_CLASSIFICATION!$A$8:$A$24,0)),"Review"))</f>
        <v>Excluded</v>
      </c>
      <c r="O447" s="350" t="str">
        <f>IF($B447="Portfolio","Portfolio",IFERROR(INDEX(DATA_ASSET_CLASSIFICATION!$AB$8:$AB$13,MATCH($N447,DATA_ASSET_CLASSIFICATION!$AA$8:$AA$13,0)),"Review"))</f>
        <v>Bucket 0 · Excluded</v>
      </c>
      <c r="P447" s="350" t="str">
        <f>IF($B447="Portfolio","Portfolio",IFERROR(INDEX(DATA_ASSET_CLASSIFICATION!$C$8:$C$24,MATCH($C447,DATA_ASSET_CLASSIFICATION!$A$8:$A$24,0)),"Review"))</f>
        <v>No</v>
      </c>
      <c r="Q447" s="350" t="str">
        <f t="shared" ca="1" si="13"/>
        <v>OK</v>
      </c>
    </row>
    <row r="448" spans="1:17">
      <c r="A448" s="366" t="s">
        <v>2404</v>
      </c>
      <c r="B448" s="366" t="s">
        <v>231</v>
      </c>
      <c r="C448" s="348" t="str">
        <f>DATA_PROPERTY_MASTER!$A$5</f>
        <v>BLD_AB</v>
      </c>
      <c r="D448" s="380">
        <f>'00_PORTFOLIO ROLLUP'!N$12</f>
        <v>2034</v>
      </c>
      <c r="E448" s="366" t="s">
        <v>1683</v>
      </c>
      <c r="F448" s="366" t="s">
        <v>355</v>
      </c>
      <c r="G448" s="348" t="str">
        <f>"'"&amp;$C448&amp;"'!$E$39:$Y$39"</f>
        <v>'BLD_AB'!$E$39:$Y$39</v>
      </c>
      <c r="H448" s="381">
        <f ca="1">IF(IFERROR(INDEX(DATA_PROPERTY_MASTER!$E$5:$E$21,MATCH($C448,DATA_PROPERTY_MASTER!$A$5:$A$21,0))="Yes",FALSE),IFERROR(INDEX(INDIRECT("'"&amp;$C448&amp;"'!$E$39:$Y$39"),1,MATCH($D448,INDIRECT("'"&amp;$C448&amp;"'!$E$12:$Y$12"),0)),0),0)</f>
        <v>0</v>
      </c>
      <c r="I448" s="366" t="s">
        <v>1690</v>
      </c>
      <c r="J448" s="348" t="str">
        <f t="shared" ca="1" si="12"/>
        <v>OK</v>
      </c>
      <c r="K448" s="366" t="s">
        <v>1686</v>
      </c>
      <c r="L448" s="366" t="s">
        <v>2236</v>
      </c>
      <c r="M448" s="350" t="str">
        <f>IF($B448="Portfolio","Portfolio",IFERROR(INDEX(DATA_ASSET_CLASSIFICATION!$B$8:$B$24,MATCH($C448,DATA_ASSET_CLASSIFICATION!$A$8:$A$24,0)),"Review"))</f>
        <v>Alma Blackwell</v>
      </c>
      <c r="N448" s="350" t="str">
        <f>IF($B448="Portfolio","Portfolio",IFERROR(INDEX(DATA_ASSET_CLASSIFICATION!$U$8:$U$24,MATCH($C448,DATA_ASSET_CLASSIFICATION!$A$8:$A$24,0)),"Review"))</f>
        <v>Excluded</v>
      </c>
      <c r="O448" s="350" t="str">
        <f>IF($B448="Portfolio","Portfolio",IFERROR(INDEX(DATA_ASSET_CLASSIFICATION!$AB$8:$AB$13,MATCH($N448,DATA_ASSET_CLASSIFICATION!$AA$8:$AA$13,0)),"Review"))</f>
        <v>Bucket 0 · Excluded</v>
      </c>
      <c r="P448" s="350" t="str">
        <f>IF($B448="Portfolio","Portfolio",IFERROR(INDEX(DATA_ASSET_CLASSIFICATION!$C$8:$C$24,MATCH($C448,DATA_ASSET_CLASSIFICATION!$A$8:$A$24,0)),"Review"))</f>
        <v>No</v>
      </c>
      <c r="Q448" s="350" t="str">
        <f t="shared" ca="1" si="13"/>
        <v>OK</v>
      </c>
    </row>
    <row r="449" spans="1:17">
      <c r="A449" s="366" t="s">
        <v>2405</v>
      </c>
      <c r="B449" s="366" t="s">
        <v>231</v>
      </c>
      <c r="C449" s="348" t="str">
        <f>DATA_PROPERTY_MASTER!$A$5</f>
        <v>BLD_AB</v>
      </c>
      <c r="D449" s="380">
        <f>'00_PORTFOLIO ROLLUP'!N$12</f>
        <v>2034</v>
      </c>
      <c r="E449" s="366" t="s">
        <v>1683</v>
      </c>
      <c r="F449" s="366" t="s">
        <v>19</v>
      </c>
      <c r="G449" s="348" t="str">
        <f>"'"&amp;$C449&amp;"'!$E$41:$Y$41"</f>
        <v>'BLD_AB'!$E$41:$Y$41</v>
      </c>
      <c r="H449" s="381">
        <f ca="1">IF(IFERROR(INDEX(DATA_PROPERTY_MASTER!$E$5:$E$21,MATCH($C449,DATA_PROPERTY_MASTER!$A$5:$A$21,0))="Yes",FALSE),IFERROR(INDEX(INDIRECT("'"&amp;$C449&amp;"'!$E$41:$Y$41"),1,MATCH($D449,INDIRECT("'"&amp;$C449&amp;"'!$E$12:$Y$12"),0)),0),0)</f>
        <v>0</v>
      </c>
      <c r="I449" s="366" t="s">
        <v>1685</v>
      </c>
      <c r="J449" s="348" t="str">
        <f t="shared" ca="1" si="12"/>
        <v>OK</v>
      </c>
      <c r="K449" s="366" t="s">
        <v>1694</v>
      </c>
      <c r="L449" s="366" t="s">
        <v>2238</v>
      </c>
      <c r="M449" s="350" t="str">
        <f>IF($B449="Portfolio","Portfolio",IFERROR(INDEX(DATA_ASSET_CLASSIFICATION!$B$8:$B$24,MATCH($C449,DATA_ASSET_CLASSIFICATION!$A$8:$A$24,0)),"Review"))</f>
        <v>Alma Blackwell</v>
      </c>
      <c r="N449" s="350" t="str">
        <f>IF($B449="Portfolio","Portfolio",IFERROR(INDEX(DATA_ASSET_CLASSIFICATION!$U$8:$U$24,MATCH($C449,DATA_ASSET_CLASSIFICATION!$A$8:$A$24,0)),"Review"))</f>
        <v>Excluded</v>
      </c>
      <c r="O449" s="350" t="str">
        <f>IF($B449="Portfolio","Portfolio",IFERROR(INDEX(DATA_ASSET_CLASSIFICATION!$AB$8:$AB$13,MATCH($N449,DATA_ASSET_CLASSIFICATION!$AA$8:$AA$13,0)),"Review"))</f>
        <v>Bucket 0 · Excluded</v>
      </c>
      <c r="P449" s="350" t="str">
        <f>IF($B449="Portfolio","Portfolio",IFERROR(INDEX(DATA_ASSET_CLASSIFICATION!$C$8:$C$24,MATCH($C449,DATA_ASSET_CLASSIFICATION!$A$8:$A$24,0)),"Review"))</f>
        <v>No</v>
      </c>
      <c r="Q449" s="350" t="str">
        <f t="shared" ca="1" si="13"/>
        <v>OK</v>
      </c>
    </row>
    <row r="450" spans="1:17">
      <c r="A450" s="366" t="s">
        <v>2406</v>
      </c>
      <c r="B450" s="366" t="s">
        <v>231</v>
      </c>
      <c r="C450" s="348" t="str">
        <f>DATA_PROPERTY_MASTER!$A$5</f>
        <v>BLD_AB</v>
      </c>
      <c r="D450" s="380">
        <f>'00_PORTFOLIO ROLLUP'!N$12</f>
        <v>2034</v>
      </c>
      <c r="E450" s="366" t="s">
        <v>1683</v>
      </c>
      <c r="F450" s="366" t="s">
        <v>1697</v>
      </c>
      <c r="G450" s="348" t="str">
        <f>"'"&amp;$C450&amp;"'!$E$44:$Y$44"</f>
        <v>'BLD_AB'!$E$44:$Y$44</v>
      </c>
      <c r="H450" s="381">
        <f ca="1">IF(IFERROR(INDEX(DATA_PROPERTY_MASTER!$E$5:$E$21,MATCH($C450,DATA_PROPERTY_MASTER!$A$5:$A$21,0))="Yes",FALSE),IFERROR(INDEX(INDIRECT("'"&amp;$C450&amp;"'!$E$44:$Y$44"),1,MATCH($D450,INDIRECT("'"&amp;$C450&amp;"'!$E$12:$Y$12"),0)),0),0)</f>
        <v>0</v>
      </c>
      <c r="I450" s="366" t="s">
        <v>1690</v>
      </c>
      <c r="J450" s="348" t="str">
        <f t="shared" ca="1" si="12"/>
        <v>OK</v>
      </c>
      <c r="K450" s="366" t="s">
        <v>1699</v>
      </c>
      <c r="L450" s="366" t="s">
        <v>2240</v>
      </c>
      <c r="M450" s="350" t="str">
        <f>IF($B450="Portfolio","Portfolio",IFERROR(INDEX(DATA_ASSET_CLASSIFICATION!$B$8:$B$24,MATCH($C450,DATA_ASSET_CLASSIFICATION!$A$8:$A$24,0)),"Review"))</f>
        <v>Alma Blackwell</v>
      </c>
      <c r="N450" s="350" t="str">
        <f>IF($B450="Portfolio","Portfolio",IFERROR(INDEX(DATA_ASSET_CLASSIFICATION!$U$8:$U$24,MATCH($C450,DATA_ASSET_CLASSIFICATION!$A$8:$A$24,0)),"Review"))</f>
        <v>Excluded</v>
      </c>
      <c r="O450" s="350" t="str">
        <f>IF($B450="Portfolio","Portfolio",IFERROR(INDEX(DATA_ASSET_CLASSIFICATION!$AB$8:$AB$13,MATCH($N450,DATA_ASSET_CLASSIFICATION!$AA$8:$AA$13,0)),"Review"))</f>
        <v>Bucket 0 · Excluded</v>
      </c>
      <c r="P450" s="350" t="str">
        <f>IF($B450="Portfolio","Portfolio",IFERROR(INDEX(DATA_ASSET_CLASSIFICATION!$C$8:$C$24,MATCH($C450,DATA_ASSET_CLASSIFICATION!$A$8:$A$24,0)),"Review"))</f>
        <v>No</v>
      </c>
      <c r="Q450" s="350" t="str">
        <f t="shared" ca="1" si="13"/>
        <v>OK</v>
      </c>
    </row>
    <row r="451" spans="1:17">
      <c r="A451" s="366" t="s">
        <v>2407</v>
      </c>
      <c r="B451" s="366" t="s">
        <v>231</v>
      </c>
      <c r="C451" s="348" t="str">
        <f>DATA_PROPERTY_MASTER!$A$5</f>
        <v>BLD_AB</v>
      </c>
      <c r="D451" s="380">
        <f>'00_PORTFOLIO ROLLUP'!N$12</f>
        <v>2034</v>
      </c>
      <c r="E451" s="366" t="s">
        <v>1683</v>
      </c>
      <c r="F451" s="366" t="s">
        <v>21</v>
      </c>
      <c r="G451" s="348" t="str">
        <f>"'"&amp;$C451&amp;"'!$E$45:$Y$45"</f>
        <v>'BLD_AB'!$E$45:$Y$45</v>
      </c>
      <c r="H451" s="381">
        <f ca="1">IF(IFERROR(INDEX(DATA_PROPERTY_MASTER!$E$5:$E$21,MATCH($C451,DATA_PROPERTY_MASTER!$A$5:$A$21,0))="Yes",FALSE),IFERROR(INDEX(INDIRECT("'"&amp;$C451&amp;"'!$E$45:$Y$45"),1,MATCH($D451,INDIRECT("'"&amp;$C451&amp;"'!$E$12:$Y$12"),0)),0),0)</f>
        <v>0</v>
      </c>
      <c r="I451" s="366" t="s">
        <v>1685</v>
      </c>
      <c r="J451" s="348" t="str">
        <f t="shared" ca="1" si="12"/>
        <v>OK</v>
      </c>
      <c r="K451" s="366" t="s">
        <v>1694</v>
      </c>
      <c r="L451" s="366" t="s">
        <v>2242</v>
      </c>
      <c r="M451" s="350" t="str">
        <f>IF($B451="Portfolio","Portfolio",IFERROR(INDEX(DATA_ASSET_CLASSIFICATION!$B$8:$B$24,MATCH($C451,DATA_ASSET_CLASSIFICATION!$A$8:$A$24,0)),"Review"))</f>
        <v>Alma Blackwell</v>
      </c>
      <c r="N451" s="350" t="str">
        <f>IF($B451="Portfolio","Portfolio",IFERROR(INDEX(DATA_ASSET_CLASSIFICATION!$U$8:$U$24,MATCH($C451,DATA_ASSET_CLASSIFICATION!$A$8:$A$24,0)),"Review"))</f>
        <v>Excluded</v>
      </c>
      <c r="O451" s="350" t="str">
        <f>IF($B451="Portfolio","Portfolio",IFERROR(INDEX(DATA_ASSET_CLASSIFICATION!$AB$8:$AB$13,MATCH($N451,DATA_ASSET_CLASSIFICATION!$AA$8:$AA$13,0)),"Review"))</f>
        <v>Bucket 0 · Excluded</v>
      </c>
      <c r="P451" s="350" t="str">
        <f>IF($B451="Portfolio","Portfolio",IFERROR(INDEX(DATA_ASSET_CLASSIFICATION!$C$8:$C$24,MATCH($C451,DATA_ASSET_CLASSIFICATION!$A$8:$A$24,0)),"Review"))</f>
        <v>No</v>
      </c>
      <c r="Q451" s="350" t="str">
        <f t="shared" ca="1" si="13"/>
        <v>OK</v>
      </c>
    </row>
    <row r="452" spans="1:17">
      <c r="A452" s="366" t="s">
        <v>2408</v>
      </c>
      <c r="B452" s="366" t="s">
        <v>231</v>
      </c>
      <c r="C452" s="348" t="str">
        <f>DATA_PROPERTY_MASTER!$A$5</f>
        <v>BLD_AB</v>
      </c>
      <c r="D452" s="380">
        <f>'00_PORTFOLIO ROLLUP'!N$12</f>
        <v>2034</v>
      </c>
      <c r="E452" s="366" t="s">
        <v>23</v>
      </c>
      <c r="F452" s="366" t="s">
        <v>23</v>
      </c>
      <c r="G452" s="348" t="str">
        <f>"'"&amp;$C452&amp;"'!$E$48:$Y$48"</f>
        <v>'BLD_AB'!$E$48:$Y$48</v>
      </c>
      <c r="H452" s="381">
        <f ca="1">IF(IFERROR(INDEX(DATA_PROPERTY_MASTER!$E$5:$E$21,MATCH($C452,DATA_PROPERTY_MASTER!$A$5:$A$21,0))="Yes",FALSE),IFERROR(INDEX(INDIRECT("'"&amp;$C452&amp;"'!$E$48:$Y$48"),1,MATCH($D452,INDIRECT("'"&amp;$C452&amp;"'!$E$12:$Y$12"),0)),0),0)</f>
        <v>0</v>
      </c>
      <c r="I452" s="366" t="s">
        <v>1690</v>
      </c>
      <c r="J452" s="348" t="str">
        <f t="shared" ca="1" si="12"/>
        <v>OK</v>
      </c>
      <c r="K452" s="366" t="s">
        <v>1706</v>
      </c>
      <c r="L452" s="366" t="s">
        <v>2244</v>
      </c>
      <c r="M452" s="350" t="str">
        <f>IF($B452="Portfolio","Portfolio",IFERROR(INDEX(DATA_ASSET_CLASSIFICATION!$B$8:$B$24,MATCH($C452,DATA_ASSET_CLASSIFICATION!$A$8:$A$24,0)),"Review"))</f>
        <v>Alma Blackwell</v>
      </c>
      <c r="N452" s="350" t="str">
        <f>IF($B452="Portfolio","Portfolio",IFERROR(INDEX(DATA_ASSET_CLASSIFICATION!$U$8:$U$24,MATCH($C452,DATA_ASSET_CLASSIFICATION!$A$8:$A$24,0)),"Review"))</f>
        <v>Excluded</v>
      </c>
      <c r="O452" s="350" t="str">
        <f>IF($B452="Portfolio","Portfolio",IFERROR(INDEX(DATA_ASSET_CLASSIFICATION!$AB$8:$AB$13,MATCH($N452,DATA_ASSET_CLASSIFICATION!$AA$8:$AA$13,0)),"Review"))</f>
        <v>Bucket 0 · Excluded</v>
      </c>
      <c r="P452" s="350" t="str">
        <f>IF($B452="Portfolio","Portfolio",IFERROR(INDEX(DATA_ASSET_CLASSIFICATION!$C$8:$C$24,MATCH($C452,DATA_ASSET_CLASSIFICATION!$A$8:$A$24,0)),"Review"))</f>
        <v>No</v>
      </c>
      <c r="Q452" s="350" t="str">
        <f t="shared" ca="1" si="13"/>
        <v>OK</v>
      </c>
    </row>
    <row r="453" spans="1:17">
      <c r="A453" s="366" t="s">
        <v>2409</v>
      </c>
      <c r="B453" s="366" t="s">
        <v>231</v>
      </c>
      <c r="C453" s="348" t="str">
        <f>DATA_PROPERTY_MASTER!$A$5</f>
        <v>BLD_AB</v>
      </c>
      <c r="D453" s="380">
        <f>'00_PORTFOLIO ROLLUP'!N$12</f>
        <v>2034</v>
      </c>
      <c r="E453" s="366" t="s">
        <v>1683</v>
      </c>
      <c r="F453" s="366" t="s">
        <v>25</v>
      </c>
      <c r="G453" s="348" t="str">
        <f>"'"&amp;$C453&amp;"'!$E$52:$Y$52"</f>
        <v>'BLD_AB'!$E$52:$Y$52</v>
      </c>
      <c r="H453" s="381">
        <f ca="1">IF(IFERROR(INDEX(DATA_PROPERTY_MASTER!$E$5:$E$21,MATCH($C453,DATA_PROPERTY_MASTER!$A$5:$A$21,0))="Yes",FALSE),IFERROR(INDEX(INDIRECT("'"&amp;$C453&amp;"'!$E$52:$Y$52"),1,MATCH($D453,INDIRECT("'"&amp;$C453&amp;"'!$E$12:$Y$12"),0)),0),0)</f>
        <v>0</v>
      </c>
      <c r="I453" s="366" t="s">
        <v>1685</v>
      </c>
      <c r="J453" s="348" t="str">
        <f t="shared" ref="J453:J516" ca="1" si="14">IF($F453="Residual Funding Gap",IF($H453&gt;0,"Funding Gap","OK"),IF(AND($F453="Net Refinance Position",$H453&lt;0),"Negative net refi position","OK"))</f>
        <v>OK</v>
      </c>
      <c r="K453" s="366" t="s">
        <v>1710</v>
      </c>
      <c r="L453" s="366" t="s">
        <v>2246</v>
      </c>
      <c r="M453" s="350" t="str">
        <f>IF($B453="Portfolio","Portfolio",IFERROR(INDEX(DATA_ASSET_CLASSIFICATION!$B$8:$B$24,MATCH($C453,DATA_ASSET_CLASSIFICATION!$A$8:$A$24,0)),"Review"))</f>
        <v>Alma Blackwell</v>
      </c>
      <c r="N453" s="350" t="str">
        <f>IF($B453="Portfolio","Portfolio",IFERROR(INDEX(DATA_ASSET_CLASSIFICATION!$U$8:$U$24,MATCH($C453,DATA_ASSET_CLASSIFICATION!$A$8:$A$24,0)),"Review"))</f>
        <v>Excluded</v>
      </c>
      <c r="O453" s="350" t="str">
        <f>IF($B453="Portfolio","Portfolio",IFERROR(INDEX(DATA_ASSET_CLASSIFICATION!$AB$8:$AB$13,MATCH($N453,DATA_ASSET_CLASSIFICATION!$AA$8:$AA$13,0)),"Review"))</f>
        <v>Bucket 0 · Excluded</v>
      </c>
      <c r="P453" s="350" t="str">
        <f>IF($B453="Portfolio","Portfolio",IFERROR(INDEX(DATA_ASSET_CLASSIFICATION!$C$8:$C$24,MATCH($C453,DATA_ASSET_CLASSIFICATION!$A$8:$A$24,0)),"Review"))</f>
        <v>No</v>
      </c>
      <c r="Q453" s="350" t="str">
        <f t="shared" ref="Q453:Q516" ca="1" si="15">IF(AND($B453="Property",$F453="Residual Funding Gap",$H453&gt;0),"Property Funding Gap",IF($J453&lt;&gt;"OK",$J453,"OK"))</f>
        <v>OK</v>
      </c>
    </row>
    <row r="454" spans="1:17">
      <c r="A454" s="366" t="s">
        <v>2410</v>
      </c>
      <c r="B454" s="366" t="s">
        <v>231</v>
      </c>
      <c r="C454" s="348" t="str">
        <f>DATA_PROPERTY_MASTER!$A$5</f>
        <v>BLD_AB</v>
      </c>
      <c r="D454" s="380">
        <f>'00_PORTFOLIO ROLLUP'!N$12</f>
        <v>2034</v>
      </c>
      <c r="E454" s="366" t="s">
        <v>1683</v>
      </c>
      <c r="F454" s="366" t="s">
        <v>27</v>
      </c>
      <c r="G454" s="348" t="str">
        <f>"'"&amp;$C454&amp;"'!$E$54:$Y$54"</f>
        <v>'BLD_AB'!$E$54:$Y$54</v>
      </c>
      <c r="H454" s="381">
        <f ca="1">IF(IFERROR(INDEX(DATA_PROPERTY_MASTER!$E$5:$E$21,MATCH($C454,DATA_PROPERTY_MASTER!$A$5:$A$21,0))="Yes",FALSE),IFERROR(INDEX(INDIRECT("'"&amp;$C454&amp;"'!$E$54:$Y$54"),1,MATCH($D454,INDIRECT("'"&amp;$C454&amp;"'!$E$12:$Y$12"),0)),0),0)</f>
        <v>0</v>
      </c>
      <c r="I454" s="366" t="s">
        <v>1690</v>
      </c>
      <c r="J454" s="348" t="str">
        <f t="shared" ca="1" si="14"/>
        <v>OK</v>
      </c>
      <c r="K454" s="366" t="s">
        <v>1714</v>
      </c>
      <c r="L454" s="366" t="s">
        <v>2248</v>
      </c>
      <c r="M454" s="350" t="str">
        <f>IF($B454="Portfolio","Portfolio",IFERROR(INDEX(DATA_ASSET_CLASSIFICATION!$B$8:$B$24,MATCH($C454,DATA_ASSET_CLASSIFICATION!$A$8:$A$24,0)),"Review"))</f>
        <v>Alma Blackwell</v>
      </c>
      <c r="N454" s="350" t="str">
        <f>IF($B454="Portfolio","Portfolio",IFERROR(INDEX(DATA_ASSET_CLASSIFICATION!$U$8:$U$24,MATCH($C454,DATA_ASSET_CLASSIFICATION!$A$8:$A$24,0)),"Review"))</f>
        <v>Excluded</v>
      </c>
      <c r="O454" s="350" t="str">
        <f>IF($B454="Portfolio","Portfolio",IFERROR(INDEX(DATA_ASSET_CLASSIFICATION!$AB$8:$AB$13,MATCH($N454,DATA_ASSET_CLASSIFICATION!$AA$8:$AA$13,0)),"Review"))</f>
        <v>Bucket 0 · Excluded</v>
      </c>
      <c r="P454" s="350" t="str">
        <f>IF($B454="Portfolio","Portfolio",IFERROR(INDEX(DATA_ASSET_CLASSIFICATION!$C$8:$C$24,MATCH($C454,DATA_ASSET_CLASSIFICATION!$A$8:$A$24,0)),"Review"))</f>
        <v>No</v>
      </c>
      <c r="Q454" s="350" t="str">
        <f t="shared" ca="1" si="15"/>
        <v>OK</v>
      </c>
    </row>
    <row r="455" spans="1:17">
      <c r="A455" s="366" t="s">
        <v>2411</v>
      </c>
      <c r="B455" s="366" t="s">
        <v>231</v>
      </c>
      <c r="C455" s="348" t="str">
        <f>DATA_PROPERTY_MASTER!$A$5</f>
        <v>BLD_AB</v>
      </c>
      <c r="D455" s="380">
        <f>'00_PORTFOLIO ROLLUP'!N$12</f>
        <v>2034</v>
      </c>
      <c r="E455" s="366" t="s">
        <v>1683</v>
      </c>
      <c r="F455" s="366" t="s">
        <v>29</v>
      </c>
      <c r="G455" s="348" t="str">
        <f>"'"&amp;$C455&amp;"'!$E$56:$Y$56"</f>
        <v>'BLD_AB'!$E$56:$Y$56</v>
      </c>
      <c r="H455" s="381">
        <f ca="1">IF(IFERROR(INDEX(DATA_PROPERTY_MASTER!$E$5:$E$21,MATCH($C455,DATA_PROPERTY_MASTER!$A$5:$A$21,0))="Yes",FALSE),IFERROR(INDEX(INDIRECT("'"&amp;$C455&amp;"'!$E$56:$Y$56"),1,MATCH($D455,INDIRECT("'"&amp;$C455&amp;"'!$E$12:$Y$12"),0)),0),0)</f>
        <v>0</v>
      </c>
      <c r="I455" s="366" t="s">
        <v>1685</v>
      </c>
      <c r="J455" s="348" t="str">
        <f t="shared" ca="1" si="14"/>
        <v>OK</v>
      </c>
      <c r="K455" s="366" t="s">
        <v>1718</v>
      </c>
      <c r="L455" s="366" t="s">
        <v>2250</v>
      </c>
      <c r="M455" s="350" t="str">
        <f>IF($B455="Portfolio","Portfolio",IFERROR(INDEX(DATA_ASSET_CLASSIFICATION!$B$8:$B$24,MATCH($C455,DATA_ASSET_CLASSIFICATION!$A$8:$A$24,0)),"Review"))</f>
        <v>Alma Blackwell</v>
      </c>
      <c r="N455" s="350" t="str">
        <f>IF($B455="Portfolio","Portfolio",IFERROR(INDEX(DATA_ASSET_CLASSIFICATION!$U$8:$U$24,MATCH($C455,DATA_ASSET_CLASSIFICATION!$A$8:$A$24,0)),"Review"))</f>
        <v>Excluded</v>
      </c>
      <c r="O455" s="350" t="str">
        <f>IF($B455="Portfolio","Portfolio",IFERROR(INDEX(DATA_ASSET_CLASSIFICATION!$AB$8:$AB$13,MATCH($N455,DATA_ASSET_CLASSIFICATION!$AA$8:$AA$13,0)),"Review"))</f>
        <v>Bucket 0 · Excluded</v>
      </c>
      <c r="P455" s="350" t="str">
        <f>IF($B455="Portfolio","Portfolio",IFERROR(INDEX(DATA_ASSET_CLASSIFICATION!$C$8:$C$24,MATCH($C455,DATA_ASSET_CLASSIFICATION!$A$8:$A$24,0)),"Review"))</f>
        <v>No</v>
      </c>
      <c r="Q455" s="350" t="str">
        <f t="shared" ca="1" si="15"/>
        <v>OK</v>
      </c>
    </row>
    <row r="456" spans="1:17">
      <c r="A456" s="366" t="s">
        <v>2412</v>
      </c>
      <c r="B456" s="366" t="s">
        <v>231</v>
      </c>
      <c r="C456" s="348" t="str">
        <f>DATA_PROPERTY_MASTER!$A$5</f>
        <v>BLD_AB</v>
      </c>
      <c r="D456" s="380">
        <f>'00_PORTFOLIO ROLLUP'!N$12</f>
        <v>2034</v>
      </c>
      <c r="E456" s="366" t="s">
        <v>1721</v>
      </c>
      <c r="F456" s="366" t="s">
        <v>31</v>
      </c>
      <c r="G456" s="348" t="str">
        <f>"'"&amp;$C456&amp;"'!$E$61:$Y$61"</f>
        <v>'BLD_AB'!$E$61:$Y$61</v>
      </c>
      <c r="H456" s="381">
        <f ca="1">IF(IFERROR(INDEX(DATA_PROPERTY_MASTER!$E$5:$E$21,MATCH($C456,DATA_PROPERTY_MASTER!$A$5:$A$21,0))="Yes",FALSE),IFERROR(INDEX(INDIRECT("'"&amp;$C456&amp;"'!$E$61:$Y$61"),1,MATCH($D456,INDIRECT("'"&amp;$C456&amp;"'!$E$12:$Y$12"),0)),0),0)</f>
        <v>0</v>
      </c>
      <c r="I456" s="366" t="s">
        <v>1690</v>
      </c>
      <c r="J456" s="348" t="str">
        <f t="shared" ca="1" si="14"/>
        <v>OK</v>
      </c>
      <c r="K456" s="366" t="s">
        <v>1723</v>
      </c>
      <c r="L456" s="366" t="s">
        <v>2252</v>
      </c>
      <c r="M456" s="350" t="str">
        <f>IF($B456="Portfolio","Portfolio",IFERROR(INDEX(DATA_ASSET_CLASSIFICATION!$B$8:$B$24,MATCH($C456,DATA_ASSET_CLASSIFICATION!$A$8:$A$24,0)),"Review"))</f>
        <v>Alma Blackwell</v>
      </c>
      <c r="N456" s="350" t="str">
        <f>IF($B456="Portfolio","Portfolio",IFERROR(INDEX(DATA_ASSET_CLASSIFICATION!$U$8:$U$24,MATCH($C456,DATA_ASSET_CLASSIFICATION!$A$8:$A$24,0)),"Review"))</f>
        <v>Excluded</v>
      </c>
      <c r="O456" s="350" t="str">
        <f>IF($B456="Portfolio","Portfolio",IFERROR(INDEX(DATA_ASSET_CLASSIFICATION!$AB$8:$AB$13,MATCH($N456,DATA_ASSET_CLASSIFICATION!$AA$8:$AA$13,0)),"Review"))</f>
        <v>Bucket 0 · Excluded</v>
      </c>
      <c r="P456" s="350" t="str">
        <f>IF($B456="Portfolio","Portfolio",IFERROR(INDEX(DATA_ASSET_CLASSIFICATION!$C$8:$C$24,MATCH($C456,DATA_ASSET_CLASSIFICATION!$A$8:$A$24,0)),"Review"))</f>
        <v>No</v>
      </c>
      <c r="Q456" s="350" t="str">
        <f t="shared" ca="1" si="15"/>
        <v>OK</v>
      </c>
    </row>
    <row r="457" spans="1:17">
      <c r="A457" s="366" t="s">
        <v>2413</v>
      </c>
      <c r="B457" s="366" t="s">
        <v>231</v>
      </c>
      <c r="C457" s="348" t="str">
        <f>DATA_PROPERTY_MASTER!$A$5</f>
        <v>BLD_AB</v>
      </c>
      <c r="D457" s="380">
        <f>'00_PORTFOLIO ROLLUP'!N$12</f>
        <v>2034</v>
      </c>
      <c r="E457" s="366" t="s">
        <v>1721</v>
      </c>
      <c r="F457" s="366" t="s">
        <v>33</v>
      </c>
      <c r="G457" s="348" t="str">
        <f>"'"&amp;$C457&amp;"'!$E$62:$Y$62"</f>
        <v>'BLD_AB'!$E$62:$Y$62</v>
      </c>
      <c r="H457" s="381">
        <f ca="1">IF(IFERROR(INDEX(DATA_PROPERTY_MASTER!$E$5:$E$21,MATCH($C457,DATA_PROPERTY_MASTER!$A$5:$A$21,0))="Yes",FALSE),IFERROR(INDEX(INDIRECT("'"&amp;$C457&amp;"'!$E$62:$Y$62"),1,MATCH($D457,INDIRECT("'"&amp;$C457&amp;"'!$E$12:$Y$12"),0)),0),0)</f>
        <v>0</v>
      </c>
      <c r="I457" s="366" t="s">
        <v>1685</v>
      </c>
      <c r="J457" s="348" t="str">
        <f t="shared" ca="1" si="14"/>
        <v>OK</v>
      </c>
      <c r="K457" s="366" t="s">
        <v>1727</v>
      </c>
      <c r="L457" s="366" t="s">
        <v>2254</v>
      </c>
      <c r="M457" s="350" t="str">
        <f>IF($B457="Portfolio","Portfolio",IFERROR(INDEX(DATA_ASSET_CLASSIFICATION!$B$8:$B$24,MATCH($C457,DATA_ASSET_CLASSIFICATION!$A$8:$A$24,0)),"Review"))</f>
        <v>Alma Blackwell</v>
      </c>
      <c r="N457" s="350" t="str">
        <f>IF($B457="Portfolio","Portfolio",IFERROR(INDEX(DATA_ASSET_CLASSIFICATION!$U$8:$U$24,MATCH($C457,DATA_ASSET_CLASSIFICATION!$A$8:$A$24,0)),"Review"))</f>
        <v>Excluded</v>
      </c>
      <c r="O457" s="350" t="str">
        <f>IF($B457="Portfolio","Portfolio",IFERROR(INDEX(DATA_ASSET_CLASSIFICATION!$AB$8:$AB$13,MATCH($N457,DATA_ASSET_CLASSIFICATION!$AA$8:$AA$13,0)),"Review"))</f>
        <v>Bucket 0 · Excluded</v>
      </c>
      <c r="P457" s="350" t="str">
        <f>IF($B457="Portfolio","Portfolio",IFERROR(INDEX(DATA_ASSET_CLASSIFICATION!$C$8:$C$24,MATCH($C457,DATA_ASSET_CLASSIFICATION!$A$8:$A$24,0)),"Review"))</f>
        <v>No</v>
      </c>
      <c r="Q457" s="350" t="str">
        <f t="shared" ca="1" si="15"/>
        <v>OK</v>
      </c>
    </row>
    <row r="458" spans="1:17">
      <c r="A458" s="366" t="s">
        <v>2414</v>
      </c>
      <c r="B458" s="366" t="s">
        <v>231</v>
      </c>
      <c r="C458" s="348" t="str">
        <f>DATA_PROPERTY_MASTER!$A$5</f>
        <v>BLD_AB</v>
      </c>
      <c r="D458" s="380">
        <f>'00_PORTFOLIO ROLLUP'!N$12</f>
        <v>2034</v>
      </c>
      <c r="E458" s="366" t="s">
        <v>1721</v>
      </c>
      <c r="F458" s="366" t="s">
        <v>35</v>
      </c>
      <c r="G458" s="348" t="str">
        <f>"'"&amp;$C458&amp;"'!$E$63:$Y$63"</f>
        <v>'BLD_AB'!$E$63:$Y$63</v>
      </c>
      <c r="H458" s="381">
        <f ca="1">IF(IFERROR(INDEX(DATA_PROPERTY_MASTER!$E$5:$E$21,MATCH($C458,DATA_PROPERTY_MASTER!$A$5:$A$21,0))="Yes",FALSE),IFERROR(INDEX(INDIRECT("'"&amp;$C458&amp;"'!$E$63:$Y$63"),1,MATCH($D458,INDIRECT("'"&amp;$C458&amp;"'!$E$12:$Y$12"),0)),0),0)</f>
        <v>0</v>
      </c>
      <c r="I458" s="366" t="s">
        <v>1731</v>
      </c>
      <c r="J458" s="348" t="str">
        <f t="shared" ca="1" si="14"/>
        <v>OK</v>
      </c>
      <c r="K458" s="366" t="s">
        <v>1732</v>
      </c>
      <c r="L458" s="366" t="s">
        <v>2256</v>
      </c>
      <c r="M458" s="350" t="str">
        <f>IF($B458="Portfolio","Portfolio",IFERROR(INDEX(DATA_ASSET_CLASSIFICATION!$B$8:$B$24,MATCH($C458,DATA_ASSET_CLASSIFICATION!$A$8:$A$24,0)),"Review"))</f>
        <v>Alma Blackwell</v>
      </c>
      <c r="N458" s="350" t="str">
        <f>IF($B458="Portfolio","Portfolio",IFERROR(INDEX(DATA_ASSET_CLASSIFICATION!$U$8:$U$24,MATCH($C458,DATA_ASSET_CLASSIFICATION!$A$8:$A$24,0)),"Review"))</f>
        <v>Excluded</v>
      </c>
      <c r="O458" s="350" t="str">
        <f>IF($B458="Portfolio","Portfolio",IFERROR(INDEX(DATA_ASSET_CLASSIFICATION!$AB$8:$AB$13,MATCH($N458,DATA_ASSET_CLASSIFICATION!$AA$8:$AA$13,0)),"Review"))</f>
        <v>Bucket 0 · Excluded</v>
      </c>
      <c r="P458" s="350" t="str">
        <f>IF($B458="Portfolio","Portfolio",IFERROR(INDEX(DATA_ASSET_CLASSIFICATION!$C$8:$C$24,MATCH($C458,DATA_ASSET_CLASSIFICATION!$A$8:$A$24,0)),"Review"))</f>
        <v>No</v>
      </c>
      <c r="Q458" s="350" t="str">
        <f t="shared" ca="1" si="15"/>
        <v>OK</v>
      </c>
    </row>
    <row r="459" spans="1:17">
      <c r="A459" s="366" t="s">
        <v>2415</v>
      </c>
      <c r="B459" s="366" t="s">
        <v>231</v>
      </c>
      <c r="C459" s="348" t="str">
        <f>DATA_PROPERTY_MASTER!$A$5</f>
        <v>BLD_AB</v>
      </c>
      <c r="D459" s="380">
        <f>'00_PORTFOLIO ROLLUP'!N$12</f>
        <v>2034</v>
      </c>
      <c r="E459" s="366" t="s">
        <v>1721</v>
      </c>
      <c r="F459" s="366" t="s">
        <v>37</v>
      </c>
      <c r="G459" s="348" t="str">
        <f>"'"&amp;$C459&amp;"'!$E$63:$Y$63"</f>
        <v>'BLD_AB'!$E$63:$Y$63</v>
      </c>
      <c r="H459" s="381">
        <f ca="1">IF(IFERROR(INDEX(DATA_PROPERTY_MASTER!$E$5:$E$21,MATCH($C459,DATA_PROPERTY_MASTER!$A$5:$A$21,0))="Yes",FALSE),MAX(IFERROR(INDEX(INDIRECT("'"&amp;$C459&amp;"'!$E$63:$Y$63"),1,MATCH($D459,INDIRECT("'"&amp;$C459&amp;"'!$E$12:$Y$12"),0)),0),0),0)</f>
        <v>0</v>
      </c>
      <c r="I459" s="366" t="s">
        <v>1685</v>
      </c>
      <c r="J459" s="348" t="str">
        <f t="shared" ca="1" si="14"/>
        <v>OK</v>
      </c>
      <c r="K459" s="366" t="s">
        <v>1735</v>
      </c>
      <c r="L459" s="366" t="s">
        <v>2258</v>
      </c>
      <c r="M459" s="350" t="str">
        <f>IF($B459="Portfolio","Portfolio",IFERROR(INDEX(DATA_ASSET_CLASSIFICATION!$B$8:$B$24,MATCH($C459,DATA_ASSET_CLASSIFICATION!$A$8:$A$24,0)),"Review"))</f>
        <v>Alma Blackwell</v>
      </c>
      <c r="N459" s="350" t="str">
        <f>IF($B459="Portfolio","Portfolio",IFERROR(INDEX(DATA_ASSET_CLASSIFICATION!$U$8:$U$24,MATCH($C459,DATA_ASSET_CLASSIFICATION!$A$8:$A$24,0)),"Review"))</f>
        <v>Excluded</v>
      </c>
      <c r="O459" s="350" t="str">
        <f>IF($B459="Portfolio","Portfolio",IFERROR(INDEX(DATA_ASSET_CLASSIFICATION!$AB$8:$AB$13,MATCH($N459,DATA_ASSET_CLASSIFICATION!$AA$8:$AA$13,0)),"Review"))</f>
        <v>Bucket 0 · Excluded</v>
      </c>
      <c r="P459" s="350" t="str">
        <f>IF($B459="Portfolio","Portfolio",IFERROR(INDEX(DATA_ASSET_CLASSIFICATION!$C$8:$C$24,MATCH($C459,DATA_ASSET_CLASSIFICATION!$A$8:$A$24,0)),"Review"))</f>
        <v>No</v>
      </c>
      <c r="Q459" s="350" t="str">
        <f t="shared" ca="1" si="15"/>
        <v>OK</v>
      </c>
    </row>
    <row r="460" spans="1:17">
      <c r="A460" s="366" t="s">
        <v>2416</v>
      </c>
      <c r="B460" s="366" t="s">
        <v>231</v>
      </c>
      <c r="C460" s="348" t="str">
        <f>DATA_PROPERTY_MASTER!$A$5</f>
        <v>BLD_AB</v>
      </c>
      <c r="D460" s="380">
        <f>'00_PORTFOLIO ROLLUP'!N$12</f>
        <v>2034</v>
      </c>
      <c r="E460" s="366" t="s">
        <v>1721</v>
      </c>
      <c r="F460" s="366" t="s">
        <v>39</v>
      </c>
      <c r="G460" s="348" t="str">
        <f>"'"&amp;$C460&amp;"'!$E$63:$Y$63"</f>
        <v>'BLD_AB'!$E$63:$Y$63</v>
      </c>
      <c r="H460" s="381">
        <f ca="1">IF(IFERROR(INDEX(DATA_PROPERTY_MASTER!$E$5:$E$21,MATCH($C460,DATA_PROPERTY_MASTER!$A$5:$A$21,0))="Yes",FALSE),MAX(-IFERROR(INDEX(INDIRECT("'"&amp;$C460&amp;"'!$E$63:$Y$63"),1,MATCH($D460,INDIRECT("'"&amp;$C460&amp;"'!$E$12:$Y$12"),0)),0),0),0)</f>
        <v>0</v>
      </c>
      <c r="I460" s="366" t="s">
        <v>1690</v>
      </c>
      <c r="J460" s="348" t="str">
        <f t="shared" ca="1" si="14"/>
        <v>OK</v>
      </c>
      <c r="K460" s="366" t="s">
        <v>1738</v>
      </c>
      <c r="L460" s="366" t="s">
        <v>2260</v>
      </c>
      <c r="M460" s="350" t="str">
        <f>IF($B460="Portfolio","Portfolio",IFERROR(INDEX(DATA_ASSET_CLASSIFICATION!$B$8:$B$24,MATCH($C460,DATA_ASSET_CLASSIFICATION!$A$8:$A$24,0)),"Review"))</f>
        <v>Alma Blackwell</v>
      </c>
      <c r="N460" s="350" t="str">
        <f>IF($B460="Portfolio","Portfolio",IFERROR(INDEX(DATA_ASSET_CLASSIFICATION!$U$8:$U$24,MATCH($C460,DATA_ASSET_CLASSIFICATION!$A$8:$A$24,0)),"Review"))</f>
        <v>Excluded</v>
      </c>
      <c r="O460" s="350" t="str">
        <f>IF($B460="Portfolio","Portfolio",IFERROR(INDEX(DATA_ASSET_CLASSIFICATION!$AB$8:$AB$13,MATCH($N460,DATA_ASSET_CLASSIFICATION!$AA$8:$AA$13,0)),"Review"))</f>
        <v>Bucket 0 · Excluded</v>
      </c>
      <c r="P460" s="350" t="str">
        <f>IF($B460="Portfolio","Portfolio",IFERROR(INDEX(DATA_ASSET_CLASSIFICATION!$C$8:$C$24,MATCH($C460,DATA_ASSET_CLASSIFICATION!$A$8:$A$24,0)),"Review"))</f>
        <v>No</v>
      </c>
      <c r="Q460" s="350" t="str">
        <f t="shared" ca="1" si="15"/>
        <v>OK</v>
      </c>
    </row>
    <row r="461" spans="1:17">
      <c r="A461" s="366" t="s">
        <v>2417</v>
      </c>
      <c r="B461" s="366" t="s">
        <v>231</v>
      </c>
      <c r="C461" s="348" t="str">
        <f>DATA_PROPERTY_MASTER!$A$5</f>
        <v>BLD_AB</v>
      </c>
      <c r="D461" s="380">
        <f>'00_PORTFOLIO ROLLUP'!N$12</f>
        <v>2034</v>
      </c>
      <c r="E461" s="366" t="s">
        <v>1741</v>
      </c>
      <c r="F461" s="366" t="s">
        <v>41</v>
      </c>
      <c r="G461" s="348" t="str">
        <f>"'"&amp;$C461&amp;"'!rows 56 + positive row 63"</f>
        <v>'BLD_AB'!rows 56 + positive row 63</v>
      </c>
      <c r="H461" s="381">
        <f ca="1">IF(IFERROR(INDEX(DATA_PROPERTY_MASTER!$E$5:$E$21,MATCH($C461,DATA_PROPERTY_MASTER!$A$5:$A$21,0))="Yes",FALSE),IFERROR(INDEX(INDIRECT("'"&amp;$C461&amp;"'!$E$56:$Y$56"),1,MATCH($D461,INDIRECT("'"&amp;$C461&amp;"'!$E$12:$Y$12"),0)),0)+MAX(IFERROR(INDEX(INDIRECT("'"&amp;$C461&amp;"'!$E$63:$Y$63"),1,MATCH($D461,INDIRECT("'"&amp;$C461&amp;"'!$E$12:$Y$12"),0)),0),0),0)</f>
        <v>0</v>
      </c>
      <c r="I461" s="366" t="s">
        <v>1685</v>
      </c>
      <c r="J461" s="348" t="str">
        <f t="shared" ca="1" si="14"/>
        <v>OK</v>
      </c>
      <c r="K461" s="366" t="s">
        <v>1742</v>
      </c>
      <c r="L461" s="366" t="s">
        <v>2262</v>
      </c>
      <c r="M461" s="350" t="str">
        <f>IF($B461="Portfolio","Portfolio",IFERROR(INDEX(DATA_ASSET_CLASSIFICATION!$B$8:$B$24,MATCH($C461,DATA_ASSET_CLASSIFICATION!$A$8:$A$24,0)),"Review"))</f>
        <v>Alma Blackwell</v>
      </c>
      <c r="N461" s="350" t="str">
        <f>IF($B461="Portfolio","Portfolio",IFERROR(INDEX(DATA_ASSET_CLASSIFICATION!$U$8:$U$24,MATCH($C461,DATA_ASSET_CLASSIFICATION!$A$8:$A$24,0)),"Review"))</f>
        <v>Excluded</v>
      </c>
      <c r="O461" s="350" t="str">
        <f>IF($B461="Portfolio","Portfolio",IFERROR(INDEX(DATA_ASSET_CLASSIFICATION!$AB$8:$AB$13,MATCH($N461,DATA_ASSET_CLASSIFICATION!$AA$8:$AA$13,0)),"Review"))</f>
        <v>Bucket 0 · Excluded</v>
      </c>
      <c r="P461" s="350" t="str">
        <f>IF($B461="Portfolio","Portfolio",IFERROR(INDEX(DATA_ASSET_CLASSIFICATION!$C$8:$C$24,MATCH($C461,DATA_ASSET_CLASSIFICATION!$A$8:$A$24,0)),"Review"))</f>
        <v>No</v>
      </c>
      <c r="Q461" s="350" t="str">
        <f t="shared" ca="1" si="15"/>
        <v>OK</v>
      </c>
    </row>
    <row r="462" spans="1:17">
      <c r="A462" s="366" t="s">
        <v>2418</v>
      </c>
      <c r="B462" s="366" t="s">
        <v>231</v>
      </c>
      <c r="C462" s="348" t="str">
        <f>DATA_PROPERTY_MASTER!$A$5</f>
        <v>BLD_AB</v>
      </c>
      <c r="D462" s="380">
        <f>'00_PORTFOLIO ROLLUP'!N$12</f>
        <v>2034</v>
      </c>
      <c r="E462" s="366" t="s">
        <v>1741</v>
      </c>
      <c r="F462" s="366" t="s">
        <v>43</v>
      </c>
      <c r="G462" s="348" t="str">
        <f>"'"&amp;$C462&amp;"'!$E$68:$Y$68"</f>
        <v>'BLD_AB'!$E$68:$Y$68</v>
      </c>
      <c r="H462" s="381">
        <f ca="1">IF(IFERROR(INDEX(DATA_PROPERTY_MASTER!$E$5:$E$21,MATCH($C462,DATA_PROPERTY_MASTER!$A$5:$A$21,0))="Yes",FALSE),IFERROR(INDEX(INDIRECT("'"&amp;$C462&amp;"'!$E$68:$Y$68"),1,MATCH($D462,INDIRECT("'"&amp;$C462&amp;"'!$E$12:$Y$12"),0)),0),0)</f>
        <v>0</v>
      </c>
      <c r="I462" s="366" t="s">
        <v>1731</v>
      </c>
      <c r="J462" s="348" t="str">
        <f t="shared" ca="1" si="14"/>
        <v>OK</v>
      </c>
      <c r="K462" s="366" t="s">
        <v>1746</v>
      </c>
      <c r="L462" s="366" t="s">
        <v>2264</v>
      </c>
      <c r="M462" s="350" t="str">
        <f>IF($B462="Portfolio","Portfolio",IFERROR(INDEX(DATA_ASSET_CLASSIFICATION!$B$8:$B$24,MATCH($C462,DATA_ASSET_CLASSIFICATION!$A$8:$A$24,0)),"Review"))</f>
        <v>Alma Blackwell</v>
      </c>
      <c r="N462" s="350" t="str">
        <f>IF($B462="Portfolio","Portfolio",IFERROR(INDEX(DATA_ASSET_CLASSIFICATION!$U$8:$U$24,MATCH($C462,DATA_ASSET_CLASSIFICATION!$A$8:$A$24,0)),"Review"))</f>
        <v>Excluded</v>
      </c>
      <c r="O462" s="350" t="str">
        <f>IF($B462="Portfolio","Portfolio",IFERROR(INDEX(DATA_ASSET_CLASSIFICATION!$AB$8:$AB$13,MATCH($N462,DATA_ASSET_CLASSIFICATION!$AA$8:$AA$13,0)),"Review"))</f>
        <v>Bucket 0 · Excluded</v>
      </c>
      <c r="P462" s="350" t="str">
        <f>IF($B462="Portfolio","Portfolio",IFERROR(INDEX(DATA_ASSET_CLASSIFICATION!$C$8:$C$24,MATCH($C462,DATA_ASSET_CLASSIFICATION!$A$8:$A$24,0)),"Review"))</f>
        <v>No</v>
      </c>
      <c r="Q462" s="350" t="str">
        <f t="shared" ca="1" si="15"/>
        <v>OK</v>
      </c>
    </row>
    <row r="463" spans="1:17">
      <c r="A463" s="366" t="s">
        <v>2419</v>
      </c>
      <c r="B463" s="366" t="s">
        <v>231</v>
      </c>
      <c r="C463" s="348" t="str">
        <f>DATA_PROPERTY_MASTER!$A$5</f>
        <v>BLD_AB</v>
      </c>
      <c r="D463" s="380">
        <f>'00_PORTFOLIO ROLLUP'!N$12</f>
        <v>2034</v>
      </c>
      <c r="E463" s="366" t="s">
        <v>1741</v>
      </c>
      <c r="F463" s="366" t="s">
        <v>1749</v>
      </c>
      <c r="G463" s="348" t="str">
        <f>"'"&amp;$C463&amp;"'!rows 56, 63, 68"</f>
        <v>'BLD_AB'!rows 56, 63, 68</v>
      </c>
      <c r="H463" s="381">
        <f ca="1">IF(IFERROR(INDEX(DATA_PROPERTY_MASTER!$E$5:$E$21,MATCH($C463,DATA_PROPERTY_MASTER!$A$5:$A$21,0))="Yes",FALSE),(IFERROR(INDEX(INDIRECT("'"&amp;$C463&amp;"'!$E$56:$Y$56"),1,MATCH($D463,INDIRECT("'"&amp;$C463&amp;"'!$E$12:$Y$12"),0)),0)+MAX(IFERROR(INDEX(INDIRECT("'"&amp;$C463&amp;"'!$E$63:$Y$63"),1,MATCH($D463,INDIRECT("'"&amp;$C463&amp;"'!$E$12:$Y$12"),0)),0),0))-(IFERROR(INDEX(INDIRECT("'"&amp;$C463&amp;"'!$E$68:$Y$68"),1,MATCH($D463,INDIRECT("'"&amp;$C463&amp;"'!$E$12:$Y$12"),0)),0)),0)</f>
        <v>0</v>
      </c>
      <c r="I463" s="366" t="s">
        <v>1750</v>
      </c>
      <c r="J463" s="348" t="str">
        <f t="shared" ca="1" si="14"/>
        <v>OK</v>
      </c>
      <c r="K463" s="366" t="s">
        <v>1751</v>
      </c>
      <c r="L463" s="366" t="s">
        <v>2266</v>
      </c>
      <c r="M463" s="350" t="str">
        <f>IF($B463="Portfolio","Portfolio",IFERROR(INDEX(DATA_ASSET_CLASSIFICATION!$B$8:$B$24,MATCH($C463,DATA_ASSET_CLASSIFICATION!$A$8:$A$24,0)),"Review"))</f>
        <v>Alma Blackwell</v>
      </c>
      <c r="N463" s="350" t="str">
        <f>IF($B463="Portfolio","Portfolio",IFERROR(INDEX(DATA_ASSET_CLASSIFICATION!$U$8:$U$24,MATCH($C463,DATA_ASSET_CLASSIFICATION!$A$8:$A$24,0)),"Review"))</f>
        <v>Excluded</v>
      </c>
      <c r="O463" s="350" t="str">
        <f>IF($B463="Portfolio","Portfolio",IFERROR(INDEX(DATA_ASSET_CLASSIFICATION!$AB$8:$AB$13,MATCH($N463,DATA_ASSET_CLASSIFICATION!$AA$8:$AA$13,0)),"Review"))</f>
        <v>Bucket 0 · Excluded</v>
      </c>
      <c r="P463" s="350" t="str">
        <f>IF($B463="Portfolio","Portfolio",IFERROR(INDEX(DATA_ASSET_CLASSIFICATION!$C$8:$C$24,MATCH($C463,DATA_ASSET_CLASSIFICATION!$A$8:$A$24,0)),"Review"))</f>
        <v>No</v>
      </c>
      <c r="Q463" s="350" t="str">
        <f t="shared" ca="1" si="15"/>
        <v>OK</v>
      </c>
    </row>
    <row r="464" spans="1:17">
      <c r="A464" s="366" t="s">
        <v>2420</v>
      </c>
      <c r="B464" s="366" t="s">
        <v>231</v>
      </c>
      <c r="C464" s="348" t="str">
        <f>DATA_PROPERTY_MASTER!$A$5</f>
        <v>BLD_AB</v>
      </c>
      <c r="D464" s="380">
        <f>'00_PORTFOLIO ROLLUP'!O$12</f>
        <v>2035</v>
      </c>
      <c r="E464" s="366" t="s">
        <v>1683</v>
      </c>
      <c r="F464" s="366" t="s">
        <v>341</v>
      </c>
      <c r="G464" s="348" t="str">
        <f>"'"&amp;$C464&amp;"'!$E$24:$Y$24"</f>
        <v>'BLD_AB'!$E$24:$Y$24</v>
      </c>
      <c r="H464" s="381">
        <f ca="1">IF(IFERROR(INDEX(DATA_PROPERTY_MASTER!$E$5:$E$21,MATCH($C464,DATA_PROPERTY_MASTER!$A$5:$A$21,0))="Yes",FALSE),IFERROR(INDEX(INDIRECT("'"&amp;$C464&amp;"'!$E$24:$Y$24"),1,MATCH($D464,INDIRECT("'"&amp;$C464&amp;"'!$E$12:$Y$12"),0)),0),0)</f>
        <v>0</v>
      </c>
      <c r="I464" s="366" t="s">
        <v>1685</v>
      </c>
      <c r="J464" s="348" t="str">
        <f t="shared" ca="1" si="14"/>
        <v>OK</v>
      </c>
      <c r="K464" s="366" t="s">
        <v>1686</v>
      </c>
      <c r="L464" s="366" t="s">
        <v>2234</v>
      </c>
      <c r="M464" s="350" t="str">
        <f>IF($B464="Portfolio","Portfolio",IFERROR(INDEX(DATA_ASSET_CLASSIFICATION!$B$8:$B$24,MATCH($C464,DATA_ASSET_CLASSIFICATION!$A$8:$A$24,0)),"Review"))</f>
        <v>Alma Blackwell</v>
      </c>
      <c r="N464" s="350" t="str">
        <f>IF($B464="Portfolio","Portfolio",IFERROR(INDEX(DATA_ASSET_CLASSIFICATION!$U$8:$U$24,MATCH($C464,DATA_ASSET_CLASSIFICATION!$A$8:$A$24,0)),"Review"))</f>
        <v>Excluded</v>
      </c>
      <c r="O464" s="350" t="str">
        <f>IF($B464="Portfolio","Portfolio",IFERROR(INDEX(DATA_ASSET_CLASSIFICATION!$AB$8:$AB$13,MATCH($N464,DATA_ASSET_CLASSIFICATION!$AA$8:$AA$13,0)),"Review"))</f>
        <v>Bucket 0 · Excluded</v>
      </c>
      <c r="P464" s="350" t="str">
        <f>IF($B464="Portfolio","Portfolio",IFERROR(INDEX(DATA_ASSET_CLASSIFICATION!$C$8:$C$24,MATCH($C464,DATA_ASSET_CLASSIFICATION!$A$8:$A$24,0)),"Review"))</f>
        <v>No</v>
      </c>
      <c r="Q464" s="350" t="str">
        <f t="shared" ca="1" si="15"/>
        <v>OK</v>
      </c>
    </row>
    <row r="465" spans="1:17">
      <c r="A465" s="366" t="s">
        <v>2421</v>
      </c>
      <c r="B465" s="366" t="s">
        <v>231</v>
      </c>
      <c r="C465" s="348" t="str">
        <f>DATA_PROPERTY_MASTER!$A$5</f>
        <v>BLD_AB</v>
      </c>
      <c r="D465" s="380">
        <f>'00_PORTFOLIO ROLLUP'!O$12</f>
        <v>2035</v>
      </c>
      <c r="E465" s="366" t="s">
        <v>1683</v>
      </c>
      <c r="F465" s="366" t="s">
        <v>355</v>
      </c>
      <c r="G465" s="348" t="str">
        <f>"'"&amp;$C465&amp;"'!$E$39:$Y$39"</f>
        <v>'BLD_AB'!$E$39:$Y$39</v>
      </c>
      <c r="H465" s="381">
        <f ca="1">IF(IFERROR(INDEX(DATA_PROPERTY_MASTER!$E$5:$E$21,MATCH($C465,DATA_PROPERTY_MASTER!$A$5:$A$21,0))="Yes",FALSE),IFERROR(INDEX(INDIRECT("'"&amp;$C465&amp;"'!$E$39:$Y$39"),1,MATCH($D465,INDIRECT("'"&amp;$C465&amp;"'!$E$12:$Y$12"),0)),0),0)</f>
        <v>0</v>
      </c>
      <c r="I465" s="366" t="s">
        <v>1690</v>
      </c>
      <c r="J465" s="348" t="str">
        <f t="shared" ca="1" si="14"/>
        <v>OK</v>
      </c>
      <c r="K465" s="366" t="s">
        <v>1686</v>
      </c>
      <c r="L465" s="366" t="s">
        <v>2236</v>
      </c>
      <c r="M465" s="350" t="str">
        <f>IF($B465="Portfolio","Portfolio",IFERROR(INDEX(DATA_ASSET_CLASSIFICATION!$B$8:$B$24,MATCH($C465,DATA_ASSET_CLASSIFICATION!$A$8:$A$24,0)),"Review"))</f>
        <v>Alma Blackwell</v>
      </c>
      <c r="N465" s="350" t="str">
        <f>IF($B465="Portfolio","Portfolio",IFERROR(INDEX(DATA_ASSET_CLASSIFICATION!$U$8:$U$24,MATCH($C465,DATA_ASSET_CLASSIFICATION!$A$8:$A$24,0)),"Review"))</f>
        <v>Excluded</v>
      </c>
      <c r="O465" s="350" t="str">
        <f>IF($B465="Portfolio","Portfolio",IFERROR(INDEX(DATA_ASSET_CLASSIFICATION!$AB$8:$AB$13,MATCH($N465,DATA_ASSET_CLASSIFICATION!$AA$8:$AA$13,0)),"Review"))</f>
        <v>Bucket 0 · Excluded</v>
      </c>
      <c r="P465" s="350" t="str">
        <f>IF($B465="Portfolio","Portfolio",IFERROR(INDEX(DATA_ASSET_CLASSIFICATION!$C$8:$C$24,MATCH($C465,DATA_ASSET_CLASSIFICATION!$A$8:$A$24,0)),"Review"))</f>
        <v>No</v>
      </c>
      <c r="Q465" s="350" t="str">
        <f t="shared" ca="1" si="15"/>
        <v>OK</v>
      </c>
    </row>
    <row r="466" spans="1:17">
      <c r="A466" s="366" t="s">
        <v>2422</v>
      </c>
      <c r="B466" s="366" t="s">
        <v>231</v>
      </c>
      <c r="C466" s="348" t="str">
        <f>DATA_PROPERTY_MASTER!$A$5</f>
        <v>BLD_AB</v>
      </c>
      <c r="D466" s="380">
        <f>'00_PORTFOLIO ROLLUP'!O$12</f>
        <v>2035</v>
      </c>
      <c r="E466" s="366" t="s">
        <v>1683</v>
      </c>
      <c r="F466" s="366" t="s">
        <v>19</v>
      </c>
      <c r="G466" s="348" t="str">
        <f>"'"&amp;$C466&amp;"'!$E$41:$Y$41"</f>
        <v>'BLD_AB'!$E$41:$Y$41</v>
      </c>
      <c r="H466" s="381">
        <f ca="1">IF(IFERROR(INDEX(DATA_PROPERTY_MASTER!$E$5:$E$21,MATCH($C466,DATA_PROPERTY_MASTER!$A$5:$A$21,0))="Yes",FALSE),IFERROR(INDEX(INDIRECT("'"&amp;$C466&amp;"'!$E$41:$Y$41"),1,MATCH($D466,INDIRECT("'"&amp;$C466&amp;"'!$E$12:$Y$12"),0)),0),0)</f>
        <v>0</v>
      </c>
      <c r="I466" s="366" t="s">
        <v>1685</v>
      </c>
      <c r="J466" s="348" t="str">
        <f t="shared" ca="1" si="14"/>
        <v>OK</v>
      </c>
      <c r="K466" s="366" t="s">
        <v>1694</v>
      </c>
      <c r="L466" s="366" t="s">
        <v>2238</v>
      </c>
      <c r="M466" s="350" t="str">
        <f>IF($B466="Portfolio","Portfolio",IFERROR(INDEX(DATA_ASSET_CLASSIFICATION!$B$8:$B$24,MATCH($C466,DATA_ASSET_CLASSIFICATION!$A$8:$A$24,0)),"Review"))</f>
        <v>Alma Blackwell</v>
      </c>
      <c r="N466" s="350" t="str">
        <f>IF($B466="Portfolio","Portfolio",IFERROR(INDEX(DATA_ASSET_CLASSIFICATION!$U$8:$U$24,MATCH($C466,DATA_ASSET_CLASSIFICATION!$A$8:$A$24,0)),"Review"))</f>
        <v>Excluded</v>
      </c>
      <c r="O466" s="350" t="str">
        <f>IF($B466="Portfolio","Portfolio",IFERROR(INDEX(DATA_ASSET_CLASSIFICATION!$AB$8:$AB$13,MATCH($N466,DATA_ASSET_CLASSIFICATION!$AA$8:$AA$13,0)),"Review"))</f>
        <v>Bucket 0 · Excluded</v>
      </c>
      <c r="P466" s="350" t="str">
        <f>IF($B466="Portfolio","Portfolio",IFERROR(INDEX(DATA_ASSET_CLASSIFICATION!$C$8:$C$24,MATCH($C466,DATA_ASSET_CLASSIFICATION!$A$8:$A$24,0)),"Review"))</f>
        <v>No</v>
      </c>
      <c r="Q466" s="350" t="str">
        <f t="shared" ca="1" si="15"/>
        <v>OK</v>
      </c>
    </row>
    <row r="467" spans="1:17">
      <c r="A467" s="366" t="s">
        <v>2423</v>
      </c>
      <c r="B467" s="366" t="s">
        <v>231</v>
      </c>
      <c r="C467" s="348" t="str">
        <f>DATA_PROPERTY_MASTER!$A$5</f>
        <v>BLD_AB</v>
      </c>
      <c r="D467" s="380">
        <f>'00_PORTFOLIO ROLLUP'!O$12</f>
        <v>2035</v>
      </c>
      <c r="E467" s="366" t="s">
        <v>1683</v>
      </c>
      <c r="F467" s="366" t="s">
        <v>1697</v>
      </c>
      <c r="G467" s="348" t="str">
        <f>"'"&amp;$C467&amp;"'!$E$44:$Y$44"</f>
        <v>'BLD_AB'!$E$44:$Y$44</v>
      </c>
      <c r="H467" s="381">
        <f ca="1">IF(IFERROR(INDEX(DATA_PROPERTY_MASTER!$E$5:$E$21,MATCH($C467,DATA_PROPERTY_MASTER!$A$5:$A$21,0))="Yes",FALSE),IFERROR(INDEX(INDIRECT("'"&amp;$C467&amp;"'!$E$44:$Y$44"),1,MATCH($D467,INDIRECT("'"&amp;$C467&amp;"'!$E$12:$Y$12"),0)),0),0)</f>
        <v>0</v>
      </c>
      <c r="I467" s="366" t="s">
        <v>1690</v>
      </c>
      <c r="J467" s="348" t="str">
        <f t="shared" ca="1" si="14"/>
        <v>OK</v>
      </c>
      <c r="K467" s="366" t="s">
        <v>1699</v>
      </c>
      <c r="L467" s="366" t="s">
        <v>2240</v>
      </c>
      <c r="M467" s="350" t="str">
        <f>IF($B467="Portfolio","Portfolio",IFERROR(INDEX(DATA_ASSET_CLASSIFICATION!$B$8:$B$24,MATCH($C467,DATA_ASSET_CLASSIFICATION!$A$8:$A$24,0)),"Review"))</f>
        <v>Alma Blackwell</v>
      </c>
      <c r="N467" s="350" t="str">
        <f>IF($B467="Portfolio","Portfolio",IFERROR(INDEX(DATA_ASSET_CLASSIFICATION!$U$8:$U$24,MATCH($C467,DATA_ASSET_CLASSIFICATION!$A$8:$A$24,0)),"Review"))</f>
        <v>Excluded</v>
      </c>
      <c r="O467" s="350" t="str">
        <f>IF($B467="Portfolio","Portfolio",IFERROR(INDEX(DATA_ASSET_CLASSIFICATION!$AB$8:$AB$13,MATCH($N467,DATA_ASSET_CLASSIFICATION!$AA$8:$AA$13,0)),"Review"))</f>
        <v>Bucket 0 · Excluded</v>
      </c>
      <c r="P467" s="350" t="str">
        <f>IF($B467="Portfolio","Portfolio",IFERROR(INDEX(DATA_ASSET_CLASSIFICATION!$C$8:$C$24,MATCH($C467,DATA_ASSET_CLASSIFICATION!$A$8:$A$24,0)),"Review"))</f>
        <v>No</v>
      </c>
      <c r="Q467" s="350" t="str">
        <f t="shared" ca="1" si="15"/>
        <v>OK</v>
      </c>
    </row>
    <row r="468" spans="1:17">
      <c r="A468" s="366" t="s">
        <v>2424</v>
      </c>
      <c r="B468" s="366" t="s">
        <v>231</v>
      </c>
      <c r="C468" s="348" t="str">
        <f>DATA_PROPERTY_MASTER!$A$5</f>
        <v>BLD_AB</v>
      </c>
      <c r="D468" s="380">
        <f>'00_PORTFOLIO ROLLUP'!O$12</f>
        <v>2035</v>
      </c>
      <c r="E468" s="366" t="s">
        <v>1683</v>
      </c>
      <c r="F468" s="366" t="s">
        <v>21</v>
      </c>
      <c r="G468" s="348" t="str">
        <f>"'"&amp;$C468&amp;"'!$E$45:$Y$45"</f>
        <v>'BLD_AB'!$E$45:$Y$45</v>
      </c>
      <c r="H468" s="381">
        <f ca="1">IF(IFERROR(INDEX(DATA_PROPERTY_MASTER!$E$5:$E$21,MATCH($C468,DATA_PROPERTY_MASTER!$A$5:$A$21,0))="Yes",FALSE),IFERROR(INDEX(INDIRECT("'"&amp;$C468&amp;"'!$E$45:$Y$45"),1,MATCH($D468,INDIRECT("'"&amp;$C468&amp;"'!$E$12:$Y$12"),0)),0),0)</f>
        <v>0</v>
      </c>
      <c r="I468" s="366" t="s">
        <v>1685</v>
      </c>
      <c r="J468" s="348" t="str">
        <f t="shared" ca="1" si="14"/>
        <v>OK</v>
      </c>
      <c r="K468" s="366" t="s">
        <v>1694</v>
      </c>
      <c r="L468" s="366" t="s">
        <v>2242</v>
      </c>
      <c r="M468" s="350" t="str">
        <f>IF($B468="Portfolio","Portfolio",IFERROR(INDEX(DATA_ASSET_CLASSIFICATION!$B$8:$B$24,MATCH($C468,DATA_ASSET_CLASSIFICATION!$A$8:$A$24,0)),"Review"))</f>
        <v>Alma Blackwell</v>
      </c>
      <c r="N468" s="350" t="str">
        <f>IF($B468="Portfolio","Portfolio",IFERROR(INDEX(DATA_ASSET_CLASSIFICATION!$U$8:$U$24,MATCH($C468,DATA_ASSET_CLASSIFICATION!$A$8:$A$24,0)),"Review"))</f>
        <v>Excluded</v>
      </c>
      <c r="O468" s="350" t="str">
        <f>IF($B468="Portfolio","Portfolio",IFERROR(INDEX(DATA_ASSET_CLASSIFICATION!$AB$8:$AB$13,MATCH($N468,DATA_ASSET_CLASSIFICATION!$AA$8:$AA$13,0)),"Review"))</f>
        <v>Bucket 0 · Excluded</v>
      </c>
      <c r="P468" s="350" t="str">
        <f>IF($B468="Portfolio","Portfolio",IFERROR(INDEX(DATA_ASSET_CLASSIFICATION!$C$8:$C$24,MATCH($C468,DATA_ASSET_CLASSIFICATION!$A$8:$A$24,0)),"Review"))</f>
        <v>No</v>
      </c>
      <c r="Q468" s="350" t="str">
        <f t="shared" ca="1" si="15"/>
        <v>OK</v>
      </c>
    </row>
    <row r="469" spans="1:17">
      <c r="A469" s="366" t="s">
        <v>2425</v>
      </c>
      <c r="B469" s="366" t="s">
        <v>231</v>
      </c>
      <c r="C469" s="348" t="str">
        <f>DATA_PROPERTY_MASTER!$A$5</f>
        <v>BLD_AB</v>
      </c>
      <c r="D469" s="380">
        <f>'00_PORTFOLIO ROLLUP'!O$12</f>
        <v>2035</v>
      </c>
      <c r="E469" s="366" t="s">
        <v>23</v>
      </c>
      <c r="F469" s="366" t="s">
        <v>23</v>
      </c>
      <c r="G469" s="348" t="str">
        <f>"'"&amp;$C469&amp;"'!$E$48:$Y$48"</f>
        <v>'BLD_AB'!$E$48:$Y$48</v>
      </c>
      <c r="H469" s="381">
        <f ca="1">IF(IFERROR(INDEX(DATA_PROPERTY_MASTER!$E$5:$E$21,MATCH($C469,DATA_PROPERTY_MASTER!$A$5:$A$21,0))="Yes",FALSE),IFERROR(INDEX(INDIRECT("'"&amp;$C469&amp;"'!$E$48:$Y$48"),1,MATCH($D469,INDIRECT("'"&amp;$C469&amp;"'!$E$12:$Y$12"),0)),0),0)</f>
        <v>0</v>
      </c>
      <c r="I469" s="366" t="s">
        <v>1690</v>
      </c>
      <c r="J469" s="348" t="str">
        <f t="shared" ca="1" si="14"/>
        <v>OK</v>
      </c>
      <c r="K469" s="366" t="s">
        <v>1706</v>
      </c>
      <c r="L469" s="366" t="s">
        <v>2244</v>
      </c>
      <c r="M469" s="350" t="str">
        <f>IF($B469="Portfolio","Portfolio",IFERROR(INDEX(DATA_ASSET_CLASSIFICATION!$B$8:$B$24,MATCH($C469,DATA_ASSET_CLASSIFICATION!$A$8:$A$24,0)),"Review"))</f>
        <v>Alma Blackwell</v>
      </c>
      <c r="N469" s="350" t="str">
        <f>IF($B469="Portfolio","Portfolio",IFERROR(INDEX(DATA_ASSET_CLASSIFICATION!$U$8:$U$24,MATCH($C469,DATA_ASSET_CLASSIFICATION!$A$8:$A$24,0)),"Review"))</f>
        <v>Excluded</v>
      </c>
      <c r="O469" s="350" t="str">
        <f>IF($B469="Portfolio","Portfolio",IFERROR(INDEX(DATA_ASSET_CLASSIFICATION!$AB$8:$AB$13,MATCH($N469,DATA_ASSET_CLASSIFICATION!$AA$8:$AA$13,0)),"Review"))</f>
        <v>Bucket 0 · Excluded</v>
      </c>
      <c r="P469" s="350" t="str">
        <f>IF($B469="Portfolio","Portfolio",IFERROR(INDEX(DATA_ASSET_CLASSIFICATION!$C$8:$C$24,MATCH($C469,DATA_ASSET_CLASSIFICATION!$A$8:$A$24,0)),"Review"))</f>
        <v>No</v>
      </c>
      <c r="Q469" s="350" t="str">
        <f t="shared" ca="1" si="15"/>
        <v>OK</v>
      </c>
    </row>
    <row r="470" spans="1:17">
      <c r="A470" s="366" t="s">
        <v>2426</v>
      </c>
      <c r="B470" s="366" t="s">
        <v>231</v>
      </c>
      <c r="C470" s="348" t="str">
        <f>DATA_PROPERTY_MASTER!$A$5</f>
        <v>BLD_AB</v>
      </c>
      <c r="D470" s="380">
        <f>'00_PORTFOLIO ROLLUP'!O$12</f>
        <v>2035</v>
      </c>
      <c r="E470" s="366" t="s">
        <v>1683</v>
      </c>
      <c r="F470" s="366" t="s">
        <v>25</v>
      </c>
      <c r="G470" s="348" t="str">
        <f>"'"&amp;$C470&amp;"'!$E$52:$Y$52"</f>
        <v>'BLD_AB'!$E$52:$Y$52</v>
      </c>
      <c r="H470" s="381">
        <f ca="1">IF(IFERROR(INDEX(DATA_PROPERTY_MASTER!$E$5:$E$21,MATCH($C470,DATA_PROPERTY_MASTER!$A$5:$A$21,0))="Yes",FALSE),IFERROR(INDEX(INDIRECT("'"&amp;$C470&amp;"'!$E$52:$Y$52"),1,MATCH($D470,INDIRECT("'"&amp;$C470&amp;"'!$E$12:$Y$12"),0)),0),0)</f>
        <v>0</v>
      </c>
      <c r="I470" s="366" t="s">
        <v>1685</v>
      </c>
      <c r="J470" s="348" t="str">
        <f t="shared" ca="1" si="14"/>
        <v>OK</v>
      </c>
      <c r="K470" s="366" t="s">
        <v>1710</v>
      </c>
      <c r="L470" s="366" t="s">
        <v>2246</v>
      </c>
      <c r="M470" s="350" t="str">
        <f>IF($B470="Portfolio","Portfolio",IFERROR(INDEX(DATA_ASSET_CLASSIFICATION!$B$8:$B$24,MATCH($C470,DATA_ASSET_CLASSIFICATION!$A$8:$A$24,0)),"Review"))</f>
        <v>Alma Blackwell</v>
      </c>
      <c r="N470" s="350" t="str">
        <f>IF($B470="Portfolio","Portfolio",IFERROR(INDEX(DATA_ASSET_CLASSIFICATION!$U$8:$U$24,MATCH($C470,DATA_ASSET_CLASSIFICATION!$A$8:$A$24,0)),"Review"))</f>
        <v>Excluded</v>
      </c>
      <c r="O470" s="350" t="str">
        <f>IF($B470="Portfolio","Portfolio",IFERROR(INDEX(DATA_ASSET_CLASSIFICATION!$AB$8:$AB$13,MATCH($N470,DATA_ASSET_CLASSIFICATION!$AA$8:$AA$13,0)),"Review"))</f>
        <v>Bucket 0 · Excluded</v>
      </c>
      <c r="P470" s="350" t="str">
        <f>IF($B470="Portfolio","Portfolio",IFERROR(INDEX(DATA_ASSET_CLASSIFICATION!$C$8:$C$24,MATCH($C470,DATA_ASSET_CLASSIFICATION!$A$8:$A$24,0)),"Review"))</f>
        <v>No</v>
      </c>
      <c r="Q470" s="350" t="str">
        <f t="shared" ca="1" si="15"/>
        <v>OK</v>
      </c>
    </row>
    <row r="471" spans="1:17">
      <c r="A471" s="366" t="s">
        <v>2427</v>
      </c>
      <c r="B471" s="366" t="s">
        <v>231</v>
      </c>
      <c r="C471" s="348" t="str">
        <f>DATA_PROPERTY_MASTER!$A$5</f>
        <v>BLD_AB</v>
      </c>
      <c r="D471" s="380">
        <f>'00_PORTFOLIO ROLLUP'!O$12</f>
        <v>2035</v>
      </c>
      <c r="E471" s="366" t="s">
        <v>1683</v>
      </c>
      <c r="F471" s="366" t="s">
        <v>27</v>
      </c>
      <c r="G471" s="348" t="str">
        <f>"'"&amp;$C471&amp;"'!$E$54:$Y$54"</f>
        <v>'BLD_AB'!$E$54:$Y$54</v>
      </c>
      <c r="H471" s="381">
        <f ca="1">IF(IFERROR(INDEX(DATA_PROPERTY_MASTER!$E$5:$E$21,MATCH($C471,DATA_PROPERTY_MASTER!$A$5:$A$21,0))="Yes",FALSE),IFERROR(INDEX(INDIRECT("'"&amp;$C471&amp;"'!$E$54:$Y$54"),1,MATCH($D471,INDIRECT("'"&amp;$C471&amp;"'!$E$12:$Y$12"),0)),0),0)</f>
        <v>0</v>
      </c>
      <c r="I471" s="366" t="s">
        <v>1690</v>
      </c>
      <c r="J471" s="348" t="str">
        <f t="shared" ca="1" si="14"/>
        <v>OK</v>
      </c>
      <c r="K471" s="366" t="s">
        <v>1714</v>
      </c>
      <c r="L471" s="366" t="s">
        <v>2248</v>
      </c>
      <c r="M471" s="350" t="str">
        <f>IF($B471="Portfolio","Portfolio",IFERROR(INDEX(DATA_ASSET_CLASSIFICATION!$B$8:$B$24,MATCH($C471,DATA_ASSET_CLASSIFICATION!$A$8:$A$24,0)),"Review"))</f>
        <v>Alma Blackwell</v>
      </c>
      <c r="N471" s="350" t="str">
        <f>IF($B471="Portfolio","Portfolio",IFERROR(INDEX(DATA_ASSET_CLASSIFICATION!$U$8:$U$24,MATCH($C471,DATA_ASSET_CLASSIFICATION!$A$8:$A$24,0)),"Review"))</f>
        <v>Excluded</v>
      </c>
      <c r="O471" s="350" t="str">
        <f>IF($B471="Portfolio","Portfolio",IFERROR(INDEX(DATA_ASSET_CLASSIFICATION!$AB$8:$AB$13,MATCH($N471,DATA_ASSET_CLASSIFICATION!$AA$8:$AA$13,0)),"Review"))</f>
        <v>Bucket 0 · Excluded</v>
      </c>
      <c r="P471" s="350" t="str">
        <f>IF($B471="Portfolio","Portfolio",IFERROR(INDEX(DATA_ASSET_CLASSIFICATION!$C$8:$C$24,MATCH($C471,DATA_ASSET_CLASSIFICATION!$A$8:$A$24,0)),"Review"))</f>
        <v>No</v>
      </c>
      <c r="Q471" s="350" t="str">
        <f t="shared" ca="1" si="15"/>
        <v>OK</v>
      </c>
    </row>
    <row r="472" spans="1:17">
      <c r="A472" s="366" t="s">
        <v>2428</v>
      </c>
      <c r="B472" s="366" t="s">
        <v>231</v>
      </c>
      <c r="C472" s="348" t="str">
        <f>DATA_PROPERTY_MASTER!$A$5</f>
        <v>BLD_AB</v>
      </c>
      <c r="D472" s="380">
        <f>'00_PORTFOLIO ROLLUP'!O$12</f>
        <v>2035</v>
      </c>
      <c r="E472" s="366" t="s">
        <v>1683</v>
      </c>
      <c r="F472" s="366" t="s">
        <v>29</v>
      </c>
      <c r="G472" s="348" t="str">
        <f>"'"&amp;$C472&amp;"'!$E$56:$Y$56"</f>
        <v>'BLD_AB'!$E$56:$Y$56</v>
      </c>
      <c r="H472" s="381">
        <f ca="1">IF(IFERROR(INDEX(DATA_PROPERTY_MASTER!$E$5:$E$21,MATCH($C472,DATA_PROPERTY_MASTER!$A$5:$A$21,0))="Yes",FALSE),IFERROR(INDEX(INDIRECT("'"&amp;$C472&amp;"'!$E$56:$Y$56"),1,MATCH($D472,INDIRECT("'"&amp;$C472&amp;"'!$E$12:$Y$12"),0)),0),0)</f>
        <v>0</v>
      </c>
      <c r="I472" s="366" t="s">
        <v>1685</v>
      </c>
      <c r="J472" s="348" t="str">
        <f t="shared" ca="1" si="14"/>
        <v>OK</v>
      </c>
      <c r="K472" s="366" t="s">
        <v>1718</v>
      </c>
      <c r="L472" s="366" t="s">
        <v>2250</v>
      </c>
      <c r="M472" s="350" t="str">
        <f>IF($B472="Portfolio","Portfolio",IFERROR(INDEX(DATA_ASSET_CLASSIFICATION!$B$8:$B$24,MATCH($C472,DATA_ASSET_CLASSIFICATION!$A$8:$A$24,0)),"Review"))</f>
        <v>Alma Blackwell</v>
      </c>
      <c r="N472" s="350" t="str">
        <f>IF($B472="Portfolio","Portfolio",IFERROR(INDEX(DATA_ASSET_CLASSIFICATION!$U$8:$U$24,MATCH($C472,DATA_ASSET_CLASSIFICATION!$A$8:$A$24,0)),"Review"))</f>
        <v>Excluded</v>
      </c>
      <c r="O472" s="350" t="str">
        <f>IF($B472="Portfolio","Portfolio",IFERROR(INDEX(DATA_ASSET_CLASSIFICATION!$AB$8:$AB$13,MATCH($N472,DATA_ASSET_CLASSIFICATION!$AA$8:$AA$13,0)),"Review"))</f>
        <v>Bucket 0 · Excluded</v>
      </c>
      <c r="P472" s="350" t="str">
        <f>IF($B472="Portfolio","Portfolio",IFERROR(INDEX(DATA_ASSET_CLASSIFICATION!$C$8:$C$24,MATCH($C472,DATA_ASSET_CLASSIFICATION!$A$8:$A$24,0)),"Review"))</f>
        <v>No</v>
      </c>
      <c r="Q472" s="350" t="str">
        <f t="shared" ca="1" si="15"/>
        <v>OK</v>
      </c>
    </row>
    <row r="473" spans="1:17">
      <c r="A473" s="366" t="s">
        <v>2429</v>
      </c>
      <c r="B473" s="366" t="s">
        <v>231</v>
      </c>
      <c r="C473" s="348" t="str">
        <f>DATA_PROPERTY_MASTER!$A$5</f>
        <v>BLD_AB</v>
      </c>
      <c r="D473" s="380">
        <f>'00_PORTFOLIO ROLLUP'!O$12</f>
        <v>2035</v>
      </c>
      <c r="E473" s="366" t="s">
        <v>1721</v>
      </c>
      <c r="F473" s="366" t="s">
        <v>31</v>
      </c>
      <c r="G473" s="348" t="str">
        <f>"'"&amp;$C473&amp;"'!$E$61:$Y$61"</f>
        <v>'BLD_AB'!$E$61:$Y$61</v>
      </c>
      <c r="H473" s="381">
        <f ca="1">IF(IFERROR(INDEX(DATA_PROPERTY_MASTER!$E$5:$E$21,MATCH($C473,DATA_PROPERTY_MASTER!$A$5:$A$21,0))="Yes",FALSE),IFERROR(INDEX(INDIRECT("'"&amp;$C473&amp;"'!$E$61:$Y$61"),1,MATCH($D473,INDIRECT("'"&amp;$C473&amp;"'!$E$12:$Y$12"),0)),0),0)</f>
        <v>0</v>
      </c>
      <c r="I473" s="366" t="s">
        <v>1690</v>
      </c>
      <c r="J473" s="348" t="str">
        <f t="shared" ca="1" si="14"/>
        <v>OK</v>
      </c>
      <c r="K473" s="366" t="s">
        <v>1723</v>
      </c>
      <c r="L473" s="366" t="s">
        <v>2252</v>
      </c>
      <c r="M473" s="350" t="str">
        <f>IF($B473="Portfolio","Portfolio",IFERROR(INDEX(DATA_ASSET_CLASSIFICATION!$B$8:$B$24,MATCH($C473,DATA_ASSET_CLASSIFICATION!$A$8:$A$24,0)),"Review"))</f>
        <v>Alma Blackwell</v>
      </c>
      <c r="N473" s="350" t="str">
        <f>IF($B473="Portfolio","Portfolio",IFERROR(INDEX(DATA_ASSET_CLASSIFICATION!$U$8:$U$24,MATCH($C473,DATA_ASSET_CLASSIFICATION!$A$8:$A$24,0)),"Review"))</f>
        <v>Excluded</v>
      </c>
      <c r="O473" s="350" t="str">
        <f>IF($B473="Portfolio","Portfolio",IFERROR(INDEX(DATA_ASSET_CLASSIFICATION!$AB$8:$AB$13,MATCH($N473,DATA_ASSET_CLASSIFICATION!$AA$8:$AA$13,0)),"Review"))</f>
        <v>Bucket 0 · Excluded</v>
      </c>
      <c r="P473" s="350" t="str">
        <f>IF($B473="Portfolio","Portfolio",IFERROR(INDEX(DATA_ASSET_CLASSIFICATION!$C$8:$C$24,MATCH($C473,DATA_ASSET_CLASSIFICATION!$A$8:$A$24,0)),"Review"))</f>
        <v>No</v>
      </c>
      <c r="Q473" s="350" t="str">
        <f t="shared" ca="1" si="15"/>
        <v>OK</v>
      </c>
    </row>
    <row r="474" spans="1:17">
      <c r="A474" s="366" t="s">
        <v>2430</v>
      </c>
      <c r="B474" s="366" t="s">
        <v>231</v>
      </c>
      <c r="C474" s="348" t="str">
        <f>DATA_PROPERTY_MASTER!$A$5</f>
        <v>BLD_AB</v>
      </c>
      <c r="D474" s="380">
        <f>'00_PORTFOLIO ROLLUP'!O$12</f>
        <v>2035</v>
      </c>
      <c r="E474" s="366" t="s">
        <v>1721</v>
      </c>
      <c r="F474" s="366" t="s">
        <v>33</v>
      </c>
      <c r="G474" s="348" t="str">
        <f>"'"&amp;$C474&amp;"'!$E$62:$Y$62"</f>
        <v>'BLD_AB'!$E$62:$Y$62</v>
      </c>
      <c r="H474" s="381">
        <f ca="1">IF(IFERROR(INDEX(DATA_PROPERTY_MASTER!$E$5:$E$21,MATCH($C474,DATA_PROPERTY_MASTER!$A$5:$A$21,0))="Yes",FALSE),IFERROR(INDEX(INDIRECT("'"&amp;$C474&amp;"'!$E$62:$Y$62"),1,MATCH($D474,INDIRECT("'"&amp;$C474&amp;"'!$E$12:$Y$12"),0)),0),0)</f>
        <v>0</v>
      </c>
      <c r="I474" s="366" t="s">
        <v>1685</v>
      </c>
      <c r="J474" s="348" t="str">
        <f t="shared" ca="1" si="14"/>
        <v>OK</v>
      </c>
      <c r="K474" s="366" t="s">
        <v>1727</v>
      </c>
      <c r="L474" s="366" t="s">
        <v>2254</v>
      </c>
      <c r="M474" s="350" t="str">
        <f>IF($B474="Portfolio","Portfolio",IFERROR(INDEX(DATA_ASSET_CLASSIFICATION!$B$8:$B$24,MATCH($C474,DATA_ASSET_CLASSIFICATION!$A$8:$A$24,0)),"Review"))</f>
        <v>Alma Blackwell</v>
      </c>
      <c r="N474" s="350" t="str">
        <f>IF($B474="Portfolio","Portfolio",IFERROR(INDEX(DATA_ASSET_CLASSIFICATION!$U$8:$U$24,MATCH($C474,DATA_ASSET_CLASSIFICATION!$A$8:$A$24,0)),"Review"))</f>
        <v>Excluded</v>
      </c>
      <c r="O474" s="350" t="str">
        <f>IF($B474="Portfolio","Portfolio",IFERROR(INDEX(DATA_ASSET_CLASSIFICATION!$AB$8:$AB$13,MATCH($N474,DATA_ASSET_CLASSIFICATION!$AA$8:$AA$13,0)),"Review"))</f>
        <v>Bucket 0 · Excluded</v>
      </c>
      <c r="P474" s="350" t="str">
        <f>IF($B474="Portfolio","Portfolio",IFERROR(INDEX(DATA_ASSET_CLASSIFICATION!$C$8:$C$24,MATCH($C474,DATA_ASSET_CLASSIFICATION!$A$8:$A$24,0)),"Review"))</f>
        <v>No</v>
      </c>
      <c r="Q474" s="350" t="str">
        <f t="shared" ca="1" si="15"/>
        <v>OK</v>
      </c>
    </row>
    <row r="475" spans="1:17">
      <c r="A475" s="366" t="s">
        <v>2431</v>
      </c>
      <c r="B475" s="366" t="s">
        <v>231</v>
      </c>
      <c r="C475" s="348" t="str">
        <f>DATA_PROPERTY_MASTER!$A$5</f>
        <v>BLD_AB</v>
      </c>
      <c r="D475" s="380">
        <f>'00_PORTFOLIO ROLLUP'!O$12</f>
        <v>2035</v>
      </c>
      <c r="E475" s="366" t="s">
        <v>1721</v>
      </c>
      <c r="F475" s="366" t="s">
        <v>35</v>
      </c>
      <c r="G475" s="348" t="str">
        <f>"'"&amp;$C475&amp;"'!$E$63:$Y$63"</f>
        <v>'BLD_AB'!$E$63:$Y$63</v>
      </c>
      <c r="H475" s="381">
        <f ca="1">IF(IFERROR(INDEX(DATA_PROPERTY_MASTER!$E$5:$E$21,MATCH($C475,DATA_PROPERTY_MASTER!$A$5:$A$21,0))="Yes",FALSE),IFERROR(INDEX(INDIRECT("'"&amp;$C475&amp;"'!$E$63:$Y$63"),1,MATCH($D475,INDIRECT("'"&amp;$C475&amp;"'!$E$12:$Y$12"),0)),0),0)</f>
        <v>0</v>
      </c>
      <c r="I475" s="366" t="s">
        <v>1731</v>
      </c>
      <c r="J475" s="348" t="str">
        <f t="shared" ca="1" si="14"/>
        <v>OK</v>
      </c>
      <c r="K475" s="366" t="s">
        <v>1732</v>
      </c>
      <c r="L475" s="366" t="s">
        <v>2256</v>
      </c>
      <c r="M475" s="350" t="str">
        <f>IF($B475="Portfolio","Portfolio",IFERROR(INDEX(DATA_ASSET_CLASSIFICATION!$B$8:$B$24,MATCH($C475,DATA_ASSET_CLASSIFICATION!$A$8:$A$24,0)),"Review"))</f>
        <v>Alma Blackwell</v>
      </c>
      <c r="N475" s="350" t="str">
        <f>IF($B475="Portfolio","Portfolio",IFERROR(INDEX(DATA_ASSET_CLASSIFICATION!$U$8:$U$24,MATCH($C475,DATA_ASSET_CLASSIFICATION!$A$8:$A$24,0)),"Review"))</f>
        <v>Excluded</v>
      </c>
      <c r="O475" s="350" t="str">
        <f>IF($B475="Portfolio","Portfolio",IFERROR(INDEX(DATA_ASSET_CLASSIFICATION!$AB$8:$AB$13,MATCH($N475,DATA_ASSET_CLASSIFICATION!$AA$8:$AA$13,0)),"Review"))</f>
        <v>Bucket 0 · Excluded</v>
      </c>
      <c r="P475" s="350" t="str">
        <f>IF($B475="Portfolio","Portfolio",IFERROR(INDEX(DATA_ASSET_CLASSIFICATION!$C$8:$C$24,MATCH($C475,DATA_ASSET_CLASSIFICATION!$A$8:$A$24,0)),"Review"))</f>
        <v>No</v>
      </c>
      <c r="Q475" s="350" t="str">
        <f t="shared" ca="1" si="15"/>
        <v>OK</v>
      </c>
    </row>
    <row r="476" spans="1:17">
      <c r="A476" s="366" t="s">
        <v>2432</v>
      </c>
      <c r="B476" s="366" t="s">
        <v>231</v>
      </c>
      <c r="C476" s="348" t="str">
        <f>DATA_PROPERTY_MASTER!$A$5</f>
        <v>BLD_AB</v>
      </c>
      <c r="D476" s="380">
        <f>'00_PORTFOLIO ROLLUP'!O$12</f>
        <v>2035</v>
      </c>
      <c r="E476" s="366" t="s">
        <v>1721</v>
      </c>
      <c r="F476" s="366" t="s">
        <v>37</v>
      </c>
      <c r="G476" s="348" t="str">
        <f>"'"&amp;$C476&amp;"'!$E$63:$Y$63"</f>
        <v>'BLD_AB'!$E$63:$Y$63</v>
      </c>
      <c r="H476" s="381">
        <f ca="1">IF(IFERROR(INDEX(DATA_PROPERTY_MASTER!$E$5:$E$21,MATCH($C476,DATA_PROPERTY_MASTER!$A$5:$A$21,0))="Yes",FALSE),MAX(IFERROR(INDEX(INDIRECT("'"&amp;$C476&amp;"'!$E$63:$Y$63"),1,MATCH($D476,INDIRECT("'"&amp;$C476&amp;"'!$E$12:$Y$12"),0)),0),0),0)</f>
        <v>0</v>
      </c>
      <c r="I476" s="366" t="s">
        <v>1685</v>
      </c>
      <c r="J476" s="348" t="str">
        <f t="shared" ca="1" si="14"/>
        <v>OK</v>
      </c>
      <c r="K476" s="366" t="s">
        <v>1735</v>
      </c>
      <c r="L476" s="366" t="s">
        <v>2258</v>
      </c>
      <c r="M476" s="350" t="str">
        <f>IF($B476="Portfolio","Portfolio",IFERROR(INDEX(DATA_ASSET_CLASSIFICATION!$B$8:$B$24,MATCH($C476,DATA_ASSET_CLASSIFICATION!$A$8:$A$24,0)),"Review"))</f>
        <v>Alma Blackwell</v>
      </c>
      <c r="N476" s="350" t="str">
        <f>IF($B476="Portfolio","Portfolio",IFERROR(INDEX(DATA_ASSET_CLASSIFICATION!$U$8:$U$24,MATCH($C476,DATA_ASSET_CLASSIFICATION!$A$8:$A$24,0)),"Review"))</f>
        <v>Excluded</v>
      </c>
      <c r="O476" s="350" t="str">
        <f>IF($B476="Portfolio","Portfolio",IFERROR(INDEX(DATA_ASSET_CLASSIFICATION!$AB$8:$AB$13,MATCH($N476,DATA_ASSET_CLASSIFICATION!$AA$8:$AA$13,0)),"Review"))</f>
        <v>Bucket 0 · Excluded</v>
      </c>
      <c r="P476" s="350" t="str">
        <f>IF($B476="Portfolio","Portfolio",IFERROR(INDEX(DATA_ASSET_CLASSIFICATION!$C$8:$C$24,MATCH($C476,DATA_ASSET_CLASSIFICATION!$A$8:$A$24,0)),"Review"))</f>
        <v>No</v>
      </c>
      <c r="Q476" s="350" t="str">
        <f t="shared" ca="1" si="15"/>
        <v>OK</v>
      </c>
    </row>
    <row r="477" spans="1:17">
      <c r="A477" s="366" t="s">
        <v>2433</v>
      </c>
      <c r="B477" s="366" t="s">
        <v>231</v>
      </c>
      <c r="C477" s="348" t="str">
        <f>DATA_PROPERTY_MASTER!$A$5</f>
        <v>BLD_AB</v>
      </c>
      <c r="D477" s="380">
        <f>'00_PORTFOLIO ROLLUP'!O$12</f>
        <v>2035</v>
      </c>
      <c r="E477" s="366" t="s">
        <v>1721</v>
      </c>
      <c r="F477" s="366" t="s">
        <v>39</v>
      </c>
      <c r="G477" s="348" t="str">
        <f>"'"&amp;$C477&amp;"'!$E$63:$Y$63"</f>
        <v>'BLD_AB'!$E$63:$Y$63</v>
      </c>
      <c r="H477" s="381">
        <f ca="1">IF(IFERROR(INDEX(DATA_PROPERTY_MASTER!$E$5:$E$21,MATCH($C477,DATA_PROPERTY_MASTER!$A$5:$A$21,0))="Yes",FALSE),MAX(-IFERROR(INDEX(INDIRECT("'"&amp;$C477&amp;"'!$E$63:$Y$63"),1,MATCH($D477,INDIRECT("'"&amp;$C477&amp;"'!$E$12:$Y$12"),0)),0),0),0)</f>
        <v>0</v>
      </c>
      <c r="I477" s="366" t="s">
        <v>1690</v>
      </c>
      <c r="J477" s="348" t="str">
        <f t="shared" ca="1" si="14"/>
        <v>OK</v>
      </c>
      <c r="K477" s="366" t="s">
        <v>1738</v>
      </c>
      <c r="L477" s="366" t="s">
        <v>2260</v>
      </c>
      <c r="M477" s="350" t="str">
        <f>IF($B477="Portfolio","Portfolio",IFERROR(INDEX(DATA_ASSET_CLASSIFICATION!$B$8:$B$24,MATCH($C477,DATA_ASSET_CLASSIFICATION!$A$8:$A$24,0)),"Review"))</f>
        <v>Alma Blackwell</v>
      </c>
      <c r="N477" s="350" t="str">
        <f>IF($B477="Portfolio","Portfolio",IFERROR(INDEX(DATA_ASSET_CLASSIFICATION!$U$8:$U$24,MATCH($C477,DATA_ASSET_CLASSIFICATION!$A$8:$A$24,0)),"Review"))</f>
        <v>Excluded</v>
      </c>
      <c r="O477" s="350" t="str">
        <f>IF($B477="Portfolio","Portfolio",IFERROR(INDEX(DATA_ASSET_CLASSIFICATION!$AB$8:$AB$13,MATCH($N477,DATA_ASSET_CLASSIFICATION!$AA$8:$AA$13,0)),"Review"))</f>
        <v>Bucket 0 · Excluded</v>
      </c>
      <c r="P477" s="350" t="str">
        <f>IF($B477="Portfolio","Portfolio",IFERROR(INDEX(DATA_ASSET_CLASSIFICATION!$C$8:$C$24,MATCH($C477,DATA_ASSET_CLASSIFICATION!$A$8:$A$24,0)),"Review"))</f>
        <v>No</v>
      </c>
      <c r="Q477" s="350" t="str">
        <f t="shared" ca="1" si="15"/>
        <v>OK</v>
      </c>
    </row>
    <row r="478" spans="1:17">
      <c r="A478" s="366" t="s">
        <v>2434</v>
      </c>
      <c r="B478" s="366" t="s">
        <v>231</v>
      </c>
      <c r="C478" s="348" t="str">
        <f>DATA_PROPERTY_MASTER!$A$5</f>
        <v>BLD_AB</v>
      </c>
      <c r="D478" s="380">
        <f>'00_PORTFOLIO ROLLUP'!O$12</f>
        <v>2035</v>
      </c>
      <c r="E478" s="366" t="s">
        <v>1741</v>
      </c>
      <c r="F478" s="366" t="s">
        <v>41</v>
      </c>
      <c r="G478" s="348" t="str">
        <f>"'"&amp;$C478&amp;"'!rows 56 + positive row 63"</f>
        <v>'BLD_AB'!rows 56 + positive row 63</v>
      </c>
      <c r="H478" s="381">
        <f ca="1">IF(IFERROR(INDEX(DATA_PROPERTY_MASTER!$E$5:$E$21,MATCH($C478,DATA_PROPERTY_MASTER!$A$5:$A$21,0))="Yes",FALSE),IFERROR(INDEX(INDIRECT("'"&amp;$C478&amp;"'!$E$56:$Y$56"),1,MATCH($D478,INDIRECT("'"&amp;$C478&amp;"'!$E$12:$Y$12"),0)),0)+MAX(IFERROR(INDEX(INDIRECT("'"&amp;$C478&amp;"'!$E$63:$Y$63"),1,MATCH($D478,INDIRECT("'"&amp;$C478&amp;"'!$E$12:$Y$12"),0)),0),0),0)</f>
        <v>0</v>
      </c>
      <c r="I478" s="366" t="s">
        <v>1685</v>
      </c>
      <c r="J478" s="348" t="str">
        <f t="shared" ca="1" si="14"/>
        <v>OK</v>
      </c>
      <c r="K478" s="366" t="s">
        <v>1742</v>
      </c>
      <c r="L478" s="366" t="s">
        <v>2262</v>
      </c>
      <c r="M478" s="350" t="str">
        <f>IF($B478="Portfolio","Portfolio",IFERROR(INDEX(DATA_ASSET_CLASSIFICATION!$B$8:$B$24,MATCH($C478,DATA_ASSET_CLASSIFICATION!$A$8:$A$24,0)),"Review"))</f>
        <v>Alma Blackwell</v>
      </c>
      <c r="N478" s="350" t="str">
        <f>IF($B478="Portfolio","Portfolio",IFERROR(INDEX(DATA_ASSET_CLASSIFICATION!$U$8:$U$24,MATCH($C478,DATA_ASSET_CLASSIFICATION!$A$8:$A$24,0)),"Review"))</f>
        <v>Excluded</v>
      </c>
      <c r="O478" s="350" t="str">
        <f>IF($B478="Portfolio","Portfolio",IFERROR(INDEX(DATA_ASSET_CLASSIFICATION!$AB$8:$AB$13,MATCH($N478,DATA_ASSET_CLASSIFICATION!$AA$8:$AA$13,0)),"Review"))</f>
        <v>Bucket 0 · Excluded</v>
      </c>
      <c r="P478" s="350" t="str">
        <f>IF($B478="Portfolio","Portfolio",IFERROR(INDEX(DATA_ASSET_CLASSIFICATION!$C$8:$C$24,MATCH($C478,DATA_ASSET_CLASSIFICATION!$A$8:$A$24,0)),"Review"))</f>
        <v>No</v>
      </c>
      <c r="Q478" s="350" t="str">
        <f t="shared" ca="1" si="15"/>
        <v>OK</v>
      </c>
    </row>
    <row r="479" spans="1:17">
      <c r="A479" s="366" t="s">
        <v>2435</v>
      </c>
      <c r="B479" s="366" t="s">
        <v>231</v>
      </c>
      <c r="C479" s="348" t="str">
        <f>DATA_PROPERTY_MASTER!$A$5</f>
        <v>BLD_AB</v>
      </c>
      <c r="D479" s="380">
        <f>'00_PORTFOLIO ROLLUP'!O$12</f>
        <v>2035</v>
      </c>
      <c r="E479" s="366" t="s">
        <v>1741</v>
      </c>
      <c r="F479" s="366" t="s">
        <v>43</v>
      </c>
      <c r="G479" s="348" t="str">
        <f>"'"&amp;$C479&amp;"'!$E$68:$Y$68"</f>
        <v>'BLD_AB'!$E$68:$Y$68</v>
      </c>
      <c r="H479" s="381">
        <f ca="1">IF(IFERROR(INDEX(DATA_PROPERTY_MASTER!$E$5:$E$21,MATCH($C479,DATA_PROPERTY_MASTER!$A$5:$A$21,0))="Yes",FALSE),IFERROR(INDEX(INDIRECT("'"&amp;$C479&amp;"'!$E$68:$Y$68"),1,MATCH($D479,INDIRECT("'"&amp;$C479&amp;"'!$E$12:$Y$12"),0)),0),0)</f>
        <v>0</v>
      </c>
      <c r="I479" s="366" t="s">
        <v>1731</v>
      </c>
      <c r="J479" s="348" t="str">
        <f t="shared" ca="1" si="14"/>
        <v>OK</v>
      </c>
      <c r="K479" s="366" t="s">
        <v>1746</v>
      </c>
      <c r="L479" s="366" t="s">
        <v>2264</v>
      </c>
      <c r="M479" s="350" t="str">
        <f>IF($B479="Portfolio","Portfolio",IFERROR(INDEX(DATA_ASSET_CLASSIFICATION!$B$8:$B$24,MATCH($C479,DATA_ASSET_CLASSIFICATION!$A$8:$A$24,0)),"Review"))</f>
        <v>Alma Blackwell</v>
      </c>
      <c r="N479" s="350" t="str">
        <f>IF($B479="Portfolio","Portfolio",IFERROR(INDEX(DATA_ASSET_CLASSIFICATION!$U$8:$U$24,MATCH($C479,DATA_ASSET_CLASSIFICATION!$A$8:$A$24,0)),"Review"))</f>
        <v>Excluded</v>
      </c>
      <c r="O479" s="350" t="str">
        <f>IF($B479="Portfolio","Portfolio",IFERROR(INDEX(DATA_ASSET_CLASSIFICATION!$AB$8:$AB$13,MATCH($N479,DATA_ASSET_CLASSIFICATION!$AA$8:$AA$13,0)),"Review"))</f>
        <v>Bucket 0 · Excluded</v>
      </c>
      <c r="P479" s="350" t="str">
        <f>IF($B479="Portfolio","Portfolio",IFERROR(INDEX(DATA_ASSET_CLASSIFICATION!$C$8:$C$24,MATCH($C479,DATA_ASSET_CLASSIFICATION!$A$8:$A$24,0)),"Review"))</f>
        <v>No</v>
      </c>
      <c r="Q479" s="350" t="str">
        <f t="shared" ca="1" si="15"/>
        <v>OK</v>
      </c>
    </row>
    <row r="480" spans="1:17">
      <c r="A480" s="366" t="s">
        <v>2436</v>
      </c>
      <c r="B480" s="366" t="s">
        <v>231</v>
      </c>
      <c r="C480" s="348" t="str">
        <f>DATA_PROPERTY_MASTER!$A$5</f>
        <v>BLD_AB</v>
      </c>
      <c r="D480" s="380">
        <f>'00_PORTFOLIO ROLLUP'!O$12</f>
        <v>2035</v>
      </c>
      <c r="E480" s="366" t="s">
        <v>1741</v>
      </c>
      <c r="F480" s="366" t="s">
        <v>1749</v>
      </c>
      <c r="G480" s="348" t="str">
        <f>"'"&amp;$C480&amp;"'!rows 56, 63, 68"</f>
        <v>'BLD_AB'!rows 56, 63, 68</v>
      </c>
      <c r="H480" s="381">
        <f ca="1">IF(IFERROR(INDEX(DATA_PROPERTY_MASTER!$E$5:$E$21,MATCH($C480,DATA_PROPERTY_MASTER!$A$5:$A$21,0))="Yes",FALSE),(IFERROR(INDEX(INDIRECT("'"&amp;$C480&amp;"'!$E$56:$Y$56"),1,MATCH($D480,INDIRECT("'"&amp;$C480&amp;"'!$E$12:$Y$12"),0)),0)+MAX(IFERROR(INDEX(INDIRECT("'"&amp;$C480&amp;"'!$E$63:$Y$63"),1,MATCH($D480,INDIRECT("'"&amp;$C480&amp;"'!$E$12:$Y$12"),0)),0),0))-(IFERROR(INDEX(INDIRECT("'"&amp;$C480&amp;"'!$E$68:$Y$68"),1,MATCH($D480,INDIRECT("'"&amp;$C480&amp;"'!$E$12:$Y$12"),0)),0)),0)</f>
        <v>0</v>
      </c>
      <c r="I480" s="366" t="s">
        <v>1750</v>
      </c>
      <c r="J480" s="348" t="str">
        <f t="shared" ca="1" si="14"/>
        <v>OK</v>
      </c>
      <c r="K480" s="366" t="s">
        <v>1751</v>
      </c>
      <c r="L480" s="366" t="s">
        <v>2266</v>
      </c>
      <c r="M480" s="350" t="str">
        <f>IF($B480="Portfolio","Portfolio",IFERROR(INDEX(DATA_ASSET_CLASSIFICATION!$B$8:$B$24,MATCH($C480,DATA_ASSET_CLASSIFICATION!$A$8:$A$24,0)),"Review"))</f>
        <v>Alma Blackwell</v>
      </c>
      <c r="N480" s="350" t="str">
        <f>IF($B480="Portfolio","Portfolio",IFERROR(INDEX(DATA_ASSET_CLASSIFICATION!$U$8:$U$24,MATCH($C480,DATA_ASSET_CLASSIFICATION!$A$8:$A$24,0)),"Review"))</f>
        <v>Excluded</v>
      </c>
      <c r="O480" s="350" t="str">
        <f>IF($B480="Portfolio","Portfolio",IFERROR(INDEX(DATA_ASSET_CLASSIFICATION!$AB$8:$AB$13,MATCH($N480,DATA_ASSET_CLASSIFICATION!$AA$8:$AA$13,0)),"Review"))</f>
        <v>Bucket 0 · Excluded</v>
      </c>
      <c r="P480" s="350" t="str">
        <f>IF($B480="Portfolio","Portfolio",IFERROR(INDEX(DATA_ASSET_CLASSIFICATION!$C$8:$C$24,MATCH($C480,DATA_ASSET_CLASSIFICATION!$A$8:$A$24,0)),"Review"))</f>
        <v>No</v>
      </c>
      <c r="Q480" s="350" t="str">
        <f t="shared" ca="1" si="15"/>
        <v>OK</v>
      </c>
    </row>
    <row r="481" spans="1:17">
      <c r="A481" s="366" t="s">
        <v>2437</v>
      </c>
      <c r="B481" s="366" t="s">
        <v>231</v>
      </c>
      <c r="C481" s="348" t="str">
        <f>DATA_PROPERTY_MASTER!$A$5</f>
        <v>BLD_AB</v>
      </c>
      <c r="D481" s="380">
        <f>'00_PORTFOLIO ROLLUP'!P$12</f>
        <v>2036</v>
      </c>
      <c r="E481" s="366" t="s">
        <v>1683</v>
      </c>
      <c r="F481" s="366" t="s">
        <v>341</v>
      </c>
      <c r="G481" s="348" t="str">
        <f>"'"&amp;$C481&amp;"'!$E$24:$Y$24"</f>
        <v>'BLD_AB'!$E$24:$Y$24</v>
      </c>
      <c r="H481" s="381">
        <f ca="1">IF(IFERROR(INDEX(DATA_PROPERTY_MASTER!$E$5:$E$21,MATCH($C481,DATA_PROPERTY_MASTER!$A$5:$A$21,0))="Yes",FALSE),IFERROR(INDEX(INDIRECT("'"&amp;$C481&amp;"'!$E$24:$Y$24"),1,MATCH($D481,INDIRECT("'"&amp;$C481&amp;"'!$E$12:$Y$12"),0)),0),0)</f>
        <v>0</v>
      </c>
      <c r="I481" s="366" t="s">
        <v>1685</v>
      </c>
      <c r="J481" s="348" t="str">
        <f t="shared" ca="1" si="14"/>
        <v>OK</v>
      </c>
      <c r="K481" s="366" t="s">
        <v>1686</v>
      </c>
      <c r="L481" s="366" t="s">
        <v>2234</v>
      </c>
      <c r="M481" s="350" t="str">
        <f>IF($B481="Portfolio","Portfolio",IFERROR(INDEX(DATA_ASSET_CLASSIFICATION!$B$8:$B$24,MATCH($C481,DATA_ASSET_CLASSIFICATION!$A$8:$A$24,0)),"Review"))</f>
        <v>Alma Blackwell</v>
      </c>
      <c r="N481" s="350" t="str">
        <f>IF($B481="Portfolio","Portfolio",IFERROR(INDEX(DATA_ASSET_CLASSIFICATION!$U$8:$U$24,MATCH($C481,DATA_ASSET_CLASSIFICATION!$A$8:$A$24,0)),"Review"))</f>
        <v>Excluded</v>
      </c>
      <c r="O481" s="350" t="str">
        <f>IF($B481="Portfolio","Portfolio",IFERROR(INDEX(DATA_ASSET_CLASSIFICATION!$AB$8:$AB$13,MATCH($N481,DATA_ASSET_CLASSIFICATION!$AA$8:$AA$13,0)),"Review"))</f>
        <v>Bucket 0 · Excluded</v>
      </c>
      <c r="P481" s="350" t="str">
        <f>IF($B481="Portfolio","Portfolio",IFERROR(INDEX(DATA_ASSET_CLASSIFICATION!$C$8:$C$24,MATCH($C481,DATA_ASSET_CLASSIFICATION!$A$8:$A$24,0)),"Review"))</f>
        <v>No</v>
      </c>
      <c r="Q481" s="350" t="str">
        <f t="shared" ca="1" si="15"/>
        <v>OK</v>
      </c>
    </row>
    <row r="482" spans="1:17">
      <c r="A482" s="366" t="s">
        <v>2438</v>
      </c>
      <c r="B482" s="366" t="s">
        <v>231</v>
      </c>
      <c r="C482" s="348" t="str">
        <f>DATA_PROPERTY_MASTER!$A$5</f>
        <v>BLD_AB</v>
      </c>
      <c r="D482" s="380">
        <f>'00_PORTFOLIO ROLLUP'!P$12</f>
        <v>2036</v>
      </c>
      <c r="E482" s="366" t="s">
        <v>1683</v>
      </c>
      <c r="F482" s="366" t="s">
        <v>355</v>
      </c>
      <c r="G482" s="348" t="str">
        <f>"'"&amp;$C482&amp;"'!$E$39:$Y$39"</f>
        <v>'BLD_AB'!$E$39:$Y$39</v>
      </c>
      <c r="H482" s="381">
        <f ca="1">IF(IFERROR(INDEX(DATA_PROPERTY_MASTER!$E$5:$E$21,MATCH($C482,DATA_PROPERTY_MASTER!$A$5:$A$21,0))="Yes",FALSE),IFERROR(INDEX(INDIRECT("'"&amp;$C482&amp;"'!$E$39:$Y$39"),1,MATCH($D482,INDIRECT("'"&amp;$C482&amp;"'!$E$12:$Y$12"),0)),0),0)</f>
        <v>0</v>
      </c>
      <c r="I482" s="366" t="s">
        <v>1690</v>
      </c>
      <c r="J482" s="348" t="str">
        <f t="shared" ca="1" si="14"/>
        <v>OK</v>
      </c>
      <c r="K482" s="366" t="s">
        <v>1686</v>
      </c>
      <c r="L482" s="366" t="s">
        <v>2236</v>
      </c>
      <c r="M482" s="350" t="str">
        <f>IF($B482="Portfolio","Portfolio",IFERROR(INDEX(DATA_ASSET_CLASSIFICATION!$B$8:$B$24,MATCH($C482,DATA_ASSET_CLASSIFICATION!$A$8:$A$24,0)),"Review"))</f>
        <v>Alma Blackwell</v>
      </c>
      <c r="N482" s="350" t="str">
        <f>IF($B482="Portfolio","Portfolio",IFERROR(INDEX(DATA_ASSET_CLASSIFICATION!$U$8:$U$24,MATCH($C482,DATA_ASSET_CLASSIFICATION!$A$8:$A$24,0)),"Review"))</f>
        <v>Excluded</v>
      </c>
      <c r="O482" s="350" t="str">
        <f>IF($B482="Portfolio","Portfolio",IFERROR(INDEX(DATA_ASSET_CLASSIFICATION!$AB$8:$AB$13,MATCH($N482,DATA_ASSET_CLASSIFICATION!$AA$8:$AA$13,0)),"Review"))</f>
        <v>Bucket 0 · Excluded</v>
      </c>
      <c r="P482" s="350" t="str">
        <f>IF($B482="Portfolio","Portfolio",IFERROR(INDEX(DATA_ASSET_CLASSIFICATION!$C$8:$C$24,MATCH($C482,DATA_ASSET_CLASSIFICATION!$A$8:$A$24,0)),"Review"))</f>
        <v>No</v>
      </c>
      <c r="Q482" s="350" t="str">
        <f t="shared" ca="1" si="15"/>
        <v>OK</v>
      </c>
    </row>
    <row r="483" spans="1:17">
      <c r="A483" s="366" t="s">
        <v>2439</v>
      </c>
      <c r="B483" s="366" t="s">
        <v>231</v>
      </c>
      <c r="C483" s="348" t="str">
        <f>DATA_PROPERTY_MASTER!$A$5</f>
        <v>BLD_AB</v>
      </c>
      <c r="D483" s="380">
        <f>'00_PORTFOLIO ROLLUP'!P$12</f>
        <v>2036</v>
      </c>
      <c r="E483" s="366" t="s">
        <v>1683</v>
      </c>
      <c r="F483" s="366" t="s">
        <v>19</v>
      </c>
      <c r="G483" s="348" t="str">
        <f>"'"&amp;$C483&amp;"'!$E$41:$Y$41"</f>
        <v>'BLD_AB'!$E$41:$Y$41</v>
      </c>
      <c r="H483" s="381">
        <f ca="1">IF(IFERROR(INDEX(DATA_PROPERTY_MASTER!$E$5:$E$21,MATCH($C483,DATA_PROPERTY_MASTER!$A$5:$A$21,0))="Yes",FALSE),IFERROR(INDEX(INDIRECT("'"&amp;$C483&amp;"'!$E$41:$Y$41"),1,MATCH($D483,INDIRECT("'"&amp;$C483&amp;"'!$E$12:$Y$12"),0)),0),0)</f>
        <v>0</v>
      </c>
      <c r="I483" s="366" t="s">
        <v>1685</v>
      </c>
      <c r="J483" s="348" t="str">
        <f t="shared" ca="1" si="14"/>
        <v>OK</v>
      </c>
      <c r="K483" s="366" t="s">
        <v>1694</v>
      </c>
      <c r="L483" s="366" t="s">
        <v>2238</v>
      </c>
      <c r="M483" s="350" t="str">
        <f>IF($B483="Portfolio","Portfolio",IFERROR(INDEX(DATA_ASSET_CLASSIFICATION!$B$8:$B$24,MATCH($C483,DATA_ASSET_CLASSIFICATION!$A$8:$A$24,0)),"Review"))</f>
        <v>Alma Blackwell</v>
      </c>
      <c r="N483" s="350" t="str">
        <f>IF($B483="Portfolio","Portfolio",IFERROR(INDEX(DATA_ASSET_CLASSIFICATION!$U$8:$U$24,MATCH($C483,DATA_ASSET_CLASSIFICATION!$A$8:$A$24,0)),"Review"))</f>
        <v>Excluded</v>
      </c>
      <c r="O483" s="350" t="str">
        <f>IF($B483="Portfolio","Portfolio",IFERROR(INDEX(DATA_ASSET_CLASSIFICATION!$AB$8:$AB$13,MATCH($N483,DATA_ASSET_CLASSIFICATION!$AA$8:$AA$13,0)),"Review"))</f>
        <v>Bucket 0 · Excluded</v>
      </c>
      <c r="P483" s="350" t="str">
        <f>IF($B483="Portfolio","Portfolio",IFERROR(INDEX(DATA_ASSET_CLASSIFICATION!$C$8:$C$24,MATCH($C483,DATA_ASSET_CLASSIFICATION!$A$8:$A$24,0)),"Review"))</f>
        <v>No</v>
      </c>
      <c r="Q483" s="350" t="str">
        <f t="shared" ca="1" si="15"/>
        <v>OK</v>
      </c>
    </row>
    <row r="484" spans="1:17">
      <c r="A484" s="366" t="s">
        <v>2440</v>
      </c>
      <c r="B484" s="366" t="s">
        <v>231</v>
      </c>
      <c r="C484" s="348" t="str">
        <f>DATA_PROPERTY_MASTER!$A$5</f>
        <v>BLD_AB</v>
      </c>
      <c r="D484" s="380">
        <f>'00_PORTFOLIO ROLLUP'!P$12</f>
        <v>2036</v>
      </c>
      <c r="E484" s="366" t="s">
        <v>1683</v>
      </c>
      <c r="F484" s="366" t="s">
        <v>1697</v>
      </c>
      <c r="G484" s="348" t="str">
        <f>"'"&amp;$C484&amp;"'!$E$44:$Y$44"</f>
        <v>'BLD_AB'!$E$44:$Y$44</v>
      </c>
      <c r="H484" s="381">
        <f ca="1">IF(IFERROR(INDEX(DATA_PROPERTY_MASTER!$E$5:$E$21,MATCH($C484,DATA_PROPERTY_MASTER!$A$5:$A$21,0))="Yes",FALSE),IFERROR(INDEX(INDIRECT("'"&amp;$C484&amp;"'!$E$44:$Y$44"),1,MATCH($D484,INDIRECT("'"&amp;$C484&amp;"'!$E$12:$Y$12"),0)),0),0)</f>
        <v>0</v>
      </c>
      <c r="I484" s="366" t="s">
        <v>1690</v>
      </c>
      <c r="J484" s="348" t="str">
        <f t="shared" ca="1" si="14"/>
        <v>OK</v>
      </c>
      <c r="K484" s="366" t="s">
        <v>1699</v>
      </c>
      <c r="L484" s="366" t="s">
        <v>2240</v>
      </c>
      <c r="M484" s="350" t="str">
        <f>IF($B484="Portfolio","Portfolio",IFERROR(INDEX(DATA_ASSET_CLASSIFICATION!$B$8:$B$24,MATCH($C484,DATA_ASSET_CLASSIFICATION!$A$8:$A$24,0)),"Review"))</f>
        <v>Alma Blackwell</v>
      </c>
      <c r="N484" s="350" t="str">
        <f>IF($B484="Portfolio","Portfolio",IFERROR(INDEX(DATA_ASSET_CLASSIFICATION!$U$8:$U$24,MATCH($C484,DATA_ASSET_CLASSIFICATION!$A$8:$A$24,0)),"Review"))</f>
        <v>Excluded</v>
      </c>
      <c r="O484" s="350" t="str">
        <f>IF($B484="Portfolio","Portfolio",IFERROR(INDEX(DATA_ASSET_CLASSIFICATION!$AB$8:$AB$13,MATCH($N484,DATA_ASSET_CLASSIFICATION!$AA$8:$AA$13,0)),"Review"))</f>
        <v>Bucket 0 · Excluded</v>
      </c>
      <c r="P484" s="350" t="str">
        <f>IF($B484="Portfolio","Portfolio",IFERROR(INDEX(DATA_ASSET_CLASSIFICATION!$C$8:$C$24,MATCH($C484,DATA_ASSET_CLASSIFICATION!$A$8:$A$24,0)),"Review"))</f>
        <v>No</v>
      </c>
      <c r="Q484" s="350" t="str">
        <f t="shared" ca="1" si="15"/>
        <v>OK</v>
      </c>
    </row>
    <row r="485" spans="1:17">
      <c r="A485" s="366" t="s">
        <v>2441</v>
      </c>
      <c r="B485" s="366" t="s">
        <v>231</v>
      </c>
      <c r="C485" s="348" t="str">
        <f>DATA_PROPERTY_MASTER!$A$5</f>
        <v>BLD_AB</v>
      </c>
      <c r="D485" s="380">
        <f>'00_PORTFOLIO ROLLUP'!P$12</f>
        <v>2036</v>
      </c>
      <c r="E485" s="366" t="s">
        <v>1683</v>
      </c>
      <c r="F485" s="366" t="s">
        <v>21</v>
      </c>
      <c r="G485" s="348" t="str">
        <f>"'"&amp;$C485&amp;"'!$E$45:$Y$45"</f>
        <v>'BLD_AB'!$E$45:$Y$45</v>
      </c>
      <c r="H485" s="381">
        <f ca="1">IF(IFERROR(INDEX(DATA_PROPERTY_MASTER!$E$5:$E$21,MATCH($C485,DATA_PROPERTY_MASTER!$A$5:$A$21,0))="Yes",FALSE),IFERROR(INDEX(INDIRECT("'"&amp;$C485&amp;"'!$E$45:$Y$45"),1,MATCH($D485,INDIRECT("'"&amp;$C485&amp;"'!$E$12:$Y$12"),0)),0),0)</f>
        <v>0</v>
      </c>
      <c r="I485" s="366" t="s">
        <v>1685</v>
      </c>
      <c r="J485" s="348" t="str">
        <f t="shared" ca="1" si="14"/>
        <v>OK</v>
      </c>
      <c r="K485" s="366" t="s">
        <v>1694</v>
      </c>
      <c r="L485" s="366" t="s">
        <v>2242</v>
      </c>
      <c r="M485" s="350" t="str">
        <f>IF($B485="Portfolio","Portfolio",IFERROR(INDEX(DATA_ASSET_CLASSIFICATION!$B$8:$B$24,MATCH($C485,DATA_ASSET_CLASSIFICATION!$A$8:$A$24,0)),"Review"))</f>
        <v>Alma Blackwell</v>
      </c>
      <c r="N485" s="350" t="str">
        <f>IF($B485="Portfolio","Portfolio",IFERROR(INDEX(DATA_ASSET_CLASSIFICATION!$U$8:$U$24,MATCH($C485,DATA_ASSET_CLASSIFICATION!$A$8:$A$24,0)),"Review"))</f>
        <v>Excluded</v>
      </c>
      <c r="O485" s="350" t="str">
        <f>IF($B485="Portfolio","Portfolio",IFERROR(INDEX(DATA_ASSET_CLASSIFICATION!$AB$8:$AB$13,MATCH($N485,DATA_ASSET_CLASSIFICATION!$AA$8:$AA$13,0)),"Review"))</f>
        <v>Bucket 0 · Excluded</v>
      </c>
      <c r="P485" s="350" t="str">
        <f>IF($B485="Portfolio","Portfolio",IFERROR(INDEX(DATA_ASSET_CLASSIFICATION!$C$8:$C$24,MATCH($C485,DATA_ASSET_CLASSIFICATION!$A$8:$A$24,0)),"Review"))</f>
        <v>No</v>
      </c>
      <c r="Q485" s="350" t="str">
        <f t="shared" ca="1" si="15"/>
        <v>OK</v>
      </c>
    </row>
    <row r="486" spans="1:17">
      <c r="A486" s="366" t="s">
        <v>2442</v>
      </c>
      <c r="B486" s="366" t="s">
        <v>231</v>
      </c>
      <c r="C486" s="348" t="str">
        <f>DATA_PROPERTY_MASTER!$A$5</f>
        <v>BLD_AB</v>
      </c>
      <c r="D486" s="380">
        <f>'00_PORTFOLIO ROLLUP'!P$12</f>
        <v>2036</v>
      </c>
      <c r="E486" s="366" t="s">
        <v>23</v>
      </c>
      <c r="F486" s="366" t="s">
        <v>23</v>
      </c>
      <c r="G486" s="348" t="str">
        <f>"'"&amp;$C486&amp;"'!$E$48:$Y$48"</f>
        <v>'BLD_AB'!$E$48:$Y$48</v>
      </c>
      <c r="H486" s="381">
        <f ca="1">IF(IFERROR(INDEX(DATA_PROPERTY_MASTER!$E$5:$E$21,MATCH($C486,DATA_PROPERTY_MASTER!$A$5:$A$21,0))="Yes",FALSE),IFERROR(INDEX(INDIRECT("'"&amp;$C486&amp;"'!$E$48:$Y$48"),1,MATCH($D486,INDIRECT("'"&amp;$C486&amp;"'!$E$12:$Y$12"),0)),0),0)</f>
        <v>0</v>
      </c>
      <c r="I486" s="366" t="s">
        <v>1690</v>
      </c>
      <c r="J486" s="348" t="str">
        <f t="shared" ca="1" si="14"/>
        <v>OK</v>
      </c>
      <c r="K486" s="366" t="s">
        <v>1706</v>
      </c>
      <c r="L486" s="366" t="s">
        <v>2244</v>
      </c>
      <c r="M486" s="350" t="str">
        <f>IF($B486="Portfolio","Portfolio",IFERROR(INDEX(DATA_ASSET_CLASSIFICATION!$B$8:$B$24,MATCH($C486,DATA_ASSET_CLASSIFICATION!$A$8:$A$24,0)),"Review"))</f>
        <v>Alma Blackwell</v>
      </c>
      <c r="N486" s="350" t="str">
        <f>IF($B486="Portfolio","Portfolio",IFERROR(INDEX(DATA_ASSET_CLASSIFICATION!$U$8:$U$24,MATCH($C486,DATA_ASSET_CLASSIFICATION!$A$8:$A$24,0)),"Review"))</f>
        <v>Excluded</v>
      </c>
      <c r="O486" s="350" t="str">
        <f>IF($B486="Portfolio","Portfolio",IFERROR(INDEX(DATA_ASSET_CLASSIFICATION!$AB$8:$AB$13,MATCH($N486,DATA_ASSET_CLASSIFICATION!$AA$8:$AA$13,0)),"Review"))</f>
        <v>Bucket 0 · Excluded</v>
      </c>
      <c r="P486" s="350" t="str">
        <f>IF($B486="Portfolio","Portfolio",IFERROR(INDEX(DATA_ASSET_CLASSIFICATION!$C$8:$C$24,MATCH($C486,DATA_ASSET_CLASSIFICATION!$A$8:$A$24,0)),"Review"))</f>
        <v>No</v>
      </c>
      <c r="Q486" s="350" t="str">
        <f t="shared" ca="1" si="15"/>
        <v>OK</v>
      </c>
    </row>
    <row r="487" spans="1:17">
      <c r="A487" s="366" t="s">
        <v>2443</v>
      </c>
      <c r="B487" s="366" t="s">
        <v>231</v>
      </c>
      <c r="C487" s="348" t="str">
        <f>DATA_PROPERTY_MASTER!$A$5</f>
        <v>BLD_AB</v>
      </c>
      <c r="D487" s="380">
        <f>'00_PORTFOLIO ROLLUP'!P$12</f>
        <v>2036</v>
      </c>
      <c r="E487" s="366" t="s">
        <v>1683</v>
      </c>
      <c r="F487" s="366" t="s">
        <v>25</v>
      </c>
      <c r="G487" s="348" t="str">
        <f>"'"&amp;$C487&amp;"'!$E$52:$Y$52"</f>
        <v>'BLD_AB'!$E$52:$Y$52</v>
      </c>
      <c r="H487" s="381">
        <f ca="1">IF(IFERROR(INDEX(DATA_PROPERTY_MASTER!$E$5:$E$21,MATCH($C487,DATA_PROPERTY_MASTER!$A$5:$A$21,0))="Yes",FALSE),IFERROR(INDEX(INDIRECT("'"&amp;$C487&amp;"'!$E$52:$Y$52"),1,MATCH($D487,INDIRECT("'"&amp;$C487&amp;"'!$E$12:$Y$12"),0)),0),0)</f>
        <v>0</v>
      </c>
      <c r="I487" s="366" t="s">
        <v>1685</v>
      </c>
      <c r="J487" s="348" t="str">
        <f t="shared" ca="1" si="14"/>
        <v>OK</v>
      </c>
      <c r="K487" s="366" t="s">
        <v>1710</v>
      </c>
      <c r="L487" s="366" t="s">
        <v>2246</v>
      </c>
      <c r="M487" s="350" t="str">
        <f>IF($B487="Portfolio","Portfolio",IFERROR(INDEX(DATA_ASSET_CLASSIFICATION!$B$8:$B$24,MATCH($C487,DATA_ASSET_CLASSIFICATION!$A$8:$A$24,0)),"Review"))</f>
        <v>Alma Blackwell</v>
      </c>
      <c r="N487" s="350" t="str">
        <f>IF($B487="Portfolio","Portfolio",IFERROR(INDEX(DATA_ASSET_CLASSIFICATION!$U$8:$U$24,MATCH($C487,DATA_ASSET_CLASSIFICATION!$A$8:$A$24,0)),"Review"))</f>
        <v>Excluded</v>
      </c>
      <c r="O487" s="350" t="str">
        <f>IF($B487="Portfolio","Portfolio",IFERROR(INDEX(DATA_ASSET_CLASSIFICATION!$AB$8:$AB$13,MATCH($N487,DATA_ASSET_CLASSIFICATION!$AA$8:$AA$13,0)),"Review"))</f>
        <v>Bucket 0 · Excluded</v>
      </c>
      <c r="P487" s="350" t="str">
        <f>IF($B487="Portfolio","Portfolio",IFERROR(INDEX(DATA_ASSET_CLASSIFICATION!$C$8:$C$24,MATCH($C487,DATA_ASSET_CLASSIFICATION!$A$8:$A$24,0)),"Review"))</f>
        <v>No</v>
      </c>
      <c r="Q487" s="350" t="str">
        <f t="shared" ca="1" si="15"/>
        <v>OK</v>
      </c>
    </row>
    <row r="488" spans="1:17">
      <c r="A488" s="366" t="s">
        <v>2444</v>
      </c>
      <c r="B488" s="366" t="s">
        <v>231</v>
      </c>
      <c r="C488" s="348" t="str">
        <f>DATA_PROPERTY_MASTER!$A$5</f>
        <v>BLD_AB</v>
      </c>
      <c r="D488" s="380">
        <f>'00_PORTFOLIO ROLLUP'!P$12</f>
        <v>2036</v>
      </c>
      <c r="E488" s="366" t="s">
        <v>1683</v>
      </c>
      <c r="F488" s="366" t="s">
        <v>27</v>
      </c>
      <c r="G488" s="348" t="str">
        <f>"'"&amp;$C488&amp;"'!$E$54:$Y$54"</f>
        <v>'BLD_AB'!$E$54:$Y$54</v>
      </c>
      <c r="H488" s="381">
        <f ca="1">IF(IFERROR(INDEX(DATA_PROPERTY_MASTER!$E$5:$E$21,MATCH($C488,DATA_PROPERTY_MASTER!$A$5:$A$21,0))="Yes",FALSE),IFERROR(INDEX(INDIRECT("'"&amp;$C488&amp;"'!$E$54:$Y$54"),1,MATCH($D488,INDIRECT("'"&amp;$C488&amp;"'!$E$12:$Y$12"),0)),0),0)</f>
        <v>0</v>
      </c>
      <c r="I488" s="366" t="s">
        <v>1690</v>
      </c>
      <c r="J488" s="348" t="str">
        <f t="shared" ca="1" si="14"/>
        <v>OK</v>
      </c>
      <c r="K488" s="366" t="s">
        <v>1714</v>
      </c>
      <c r="L488" s="366" t="s">
        <v>2248</v>
      </c>
      <c r="M488" s="350" t="str">
        <f>IF($B488="Portfolio","Portfolio",IFERROR(INDEX(DATA_ASSET_CLASSIFICATION!$B$8:$B$24,MATCH($C488,DATA_ASSET_CLASSIFICATION!$A$8:$A$24,0)),"Review"))</f>
        <v>Alma Blackwell</v>
      </c>
      <c r="N488" s="350" t="str">
        <f>IF($B488="Portfolio","Portfolio",IFERROR(INDEX(DATA_ASSET_CLASSIFICATION!$U$8:$U$24,MATCH($C488,DATA_ASSET_CLASSIFICATION!$A$8:$A$24,0)),"Review"))</f>
        <v>Excluded</v>
      </c>
      <c r="O488" s="350" t="str">
        <f>IF($B488="Portfolio","Portfolio",IFERROR(INDEX(DATA_ASSET_CLASSIFICATION!$AB$8:$AB$13,MATCH($N488,DATA_ASSET_CLASSIFICATION!$AA$8:$AA$13,0)),"Review"))</f>
        <v>Bucket 0 · Excluded</v>
      </c>
      <c r="P488" s="350" t="str">
        <f>IF($B488="Portfolio","Portfolio",IFERROR(INDEX(DATA_ASSET_CLASSIFICATION!$C$8:$C$24,MATCH($C488,DATA_ASSET_CLASSIFICATION!$A$8:$A$24,0)),"Review"))</f>
        <v>No</v>
      </c>
      <c r="Q488" s="350" t="str">
        <f t="shared" ca="1" si="15"/>
        <v>OK</v>
      </c>
    </row>
    <row r="489" spans="1:17">
      <c r="A489" s="366" t="s">
        <v>2445</v>
      </c>
      <c r="B489" s="366" t="s">
        <v>231</v>
      </c>
      <c r="C489" s="348" t="str">
        <f>DATA_PROPERTY_MASTER!$A$5</f>
        <v>BLD_AB</v>
      </c>
      <c r="D489" s="380">
        <f>'00_PORTFOLIO ROLLUP'!P$12</f>
        <v>2036</v>
      </c>
      <c r="E489" s="366" t="s">
        <v>1683</v>
      </c>
      <c r="F489" s="366" t="s">
        <v>29</v>
      </c>
      <c r="G489" s="348" t="str">
        <f>"'"&amp;$C489&amp;"'!$E$56:$Y$56"</f>
        <v>'BLD_AB'!$E$56:$Y$56</v>
      </c>
      <c r="H489" s="381">
        <f ca="1">IF(IFERROR(INDEX(DATA_PROPERTY_MASTER!$E$5:$E$21,MATCH($C489,DATA_PROPERTY_MASTER!$A$5:$A$21,0))="Yes",FALSE),IFERROR(INDEX(INDIRECT("'"&amp;$C489&amp;"'!$E$56:$Y$56"),1,MATCH($D489,INDIRECT("'"&amp;$C489&amp;"'!$E$12:$Y$12"),0)),0),0)</f>
        <v>0</v>
      </c>
      <c r="I489" s="366" t="s">
        <v>1685</v>
      </c>
      <c r="J489" s="348" t="str">
        <f t="shared" ca="1" si="14"/>
        <v>OK</v>
      </c>
      <c r="K489" s="366" t="s">
        <v>1718</v>
      </c>
      <c r="L489" s="366" t="s">
        <v>2250</v>
      </c>
      <c r="M489" s="350" t="str">
        <f>IF($B489="Portfolio","Portfolio",IFERROR(INDEX(DATA_ASSET_CLASSIFICATION!$B$8:$B$24,MATCH($C489,DATA_ASSET_CLASSIFICATION!$A$8:$A$24,0)),"Review"))</f>
        <v>Alma Blackwell</v>
      </c>
      <c r="N489" s="350" t="str">
        <f>IF($B489="Portfolio","Portfolio",IFERROR(INDEX(DATA_ASSET_CLASSIFICATION!$U$8:$U$24,MATCH($C489,DATA_ASSET_CLASSIFICATION!$A$8:$A$24,0)),"Review"))</f>
        <v>Excluded</v>
      </c>
      <c r="O489" s="350" t="str">
        <f>IF($B489="Portfolio","Portfolio",IFERROR(INDEX(DATA_ASSET_CLASSIFICATION!$AB$8:$AB$13,MATCH($N489,DATA_ASSET_CLASSIFICATION!$AA$8:$AA$13,0)),"Review"))</f>
        <v>Bucket 0 · Excluded</v>
      </c>
      <c r="P489" s="350" t="str">
        <f>IF($B489="Portfolio","Portfolio",IFERROR(INDEX(DATA_ASSET_CLASSIFICATION!$C$8:$C$24,MATCH($C489,DATA_ASSET_CLASSIFICATION!$A$8:$A$24,0)),"Review"))</f>
        <v>No</v>
      </c>
      <c r="Q489" s="350" t="str">
        <f t="shared" ca="1" si="15"/>
        <v>OK</v>
      </c>
    </row>
    <row r="490" spans="1:17">
      <c r="A490" s="366" t="s">
        <v>2446</v>
      </c>
      <c r="B490" s="366" t="s">
        <v>231</v>
      </c>
      <c r="C490" s="348" t="str">
        <f>DATA_PROPERTY_MASTER!$A$5</f>
        <v>BLD_AB</v>
      </c>
      <c r="D490" s="380">
        <f>'00_PORTFOLIO ROLLUP'!P$12</f>
        <v>2036</v>
      </c>
      <c r="E490" s="366" t="s">
        <v>1721</v>
      </c>
      <c r="F490" s="366" t="s">
        <v>31</v>
      </c>
      <c r="G490" s="348" t="str">
        <f>"'"&amp;$C490&amp;"'!$E$61:$Y$61"</f>
        <v>'BLD_AB'!$E$61:$Y$61</v>
      </c>
      <c r="H490" s="381">
        <f ca="1">IF(IFERROR(INDEX(DATA_PROPERTY_MASTER!$E$5:$E$21,MATCH($C490,DATA_PROPERTY_MASTER!$A$5:$A$21,0))="Yes",FALSE),IFERROR(INDEX(INDIRECT("'"&amp;$C490&amp;"'!$E$61:$Y$61"),1,MATCH($D490,INDIRECT("'"&amp;$C490&amp;"'!$E$12:$Y$12"),0)),0),0)</f>
        <v>0</v>
      </c>
      <c r="I490" s="366" t="s">
        <v>1690</v>
      </c>
      <c r="J490" s="348" t="str">
        <f t="shared" ca="1" si="14"/>
        <v>OK</v>
      </c>
      <c r="K490" s="366" t="s">
        <v>1723</v>
      </c>
      <c r="L490" s="366" t="s">
        <v>2252</v>
      </c>
      <c r="M490" s="350" t="str">
        <f>IF($B490="Portfolio","Portfolio",IFERROR(INDEX(DATA_ASSET_CLASSIFICATION!$B$8:$B$24,MATCH($C490,DATA_ASSET_CLASSIFICATION!$A$8:$A$24,0)),"Review"))</f>
        <v>Alma Blackwell</v>
      </c>
      <c r="N490" s="350" t="str">
        <f>IF($B490="Portfolio","Portfolio",IFERROR(INDEX(DATA_ASSET_CLASSIFICATION!$U$8:$U$24,MATCH($C490,DATA_ASSET_CLASSIFICATION!$A$8:$A$24,0)),"Review"))</f>
        <v>Excluded</v>
      </c>
      <c r="O490" s="350" t="str">
        <f>IF($B490="Portfolio","Portfolio",IFERROR(INDEX(DATA_ASSET_CLASSIFICATION!$AB$8:$AB$13,MATCH($N490,DATA_ASSET_CLASSIFICATION!$AA$8:$AA$13,0)),"Review"))</f>
        <v>Bucket 0 · Excluded</v>
      </c>
      <c r="P490" s="350" t="str">
        <f>IF($B490="Portfolio","Portfolio",IFERROR(INDEX(DATA_ASSET_CLASSIFICATION!$C$8:$C$24,MATCH($C490,DATA_ASSET_CLASSIFICATION!$A$8:$A$24,0)),"Review"))</f>
        <v>No</v>
      </c>
      <c r="Q490" s="350" t="str">
        <f t="shared" ca="1" si="15"/>
        <v>OK</v>
      </c>
    </row>
    <row r="491" spans="1:17">
      <c r="A491" s="366" t="s">
        <v>2447</v>
      </c>
      <c r="B491" s="366" t="s">
        <v>231</v>
      </c>
      <c r="C491" s="348" t="str">
        <f>DATA_PROPERTY_MASTER!$A$5</f>
        <v>BLD_AB</v>
      </c>
      <c r="D491" s="380">
        <f>'00_PORTFOLIO ROLLUP'!P$12</f>
        <v>2036</v>
      </c>
      <c r="E491" s="366" t="s">
        <v>1721</v>
      </c>
      <c r="F491" s="366" t="s">
        <v>33</v>
      </c>
      <c r="G491" s="348" t="str">
        <f>"'"&amp;$C491&amp;"'!$E$62:$Y$62"</f>
        <v>'BLD_AB'!$E$62:$Y$62</v>
      </c>
      <c r="H491" s="381">
        <f ca="1">IF(IFERROR(INDEX(DATA_PROPERTY_MASTER!$E$5:$E$21,MATCH($C491,DATA_PROPERTY_MASTER!$A$5:$A$21,0))="Yes",FALSE),IFERROR(INDEX(INDIRECT("'"&amp;$C491&amp;"'!$E$62:$Y$62"),1,MATCH($D491,INDIRECT("'"&amp;$C491&amp;"'!$E$12:$Y$12"),0)),0),0)</f>
        <v>0</v>
      </c>
      <c r="I491" s="366" t="s">
        <v>1685</v>
      </c>
      <c r="J491" s="348" t="str">
        <f t="shared" ca="1" si="14"/>
        <v>OK</v>
      </c>
      <c r="K491" s="366" t="s">
        <v>1727</v>
      </c>
      <c r="L491" s="366" t="s">
        <v>2254</v>
      </c>
      <c r="M491" s="350" t="str">
        <f>IF($B491="Portfolio","Portfolio",IFERROR(INDEX(DATA_ASSET_CLASSIFICATION!$B$8:$B$24,MATCH($C491,DATA_ASSET_CLASSIFICATION!$A$8:$A$24,0)),"Review"))</f>
        <v>Alma Blackwell</v>
      </c>
      <c r="N491" s="350" t="str">
        <f>IF($B491="Portfolio","Portfolio",IFERROR(INDEX(DATA_ASSET_CLASSIFICATION!$U$8:$U$24,MATCH($C491,DATA_ASSET_CLASSIFICATION!$A$8:$A$24,0)),"Review"))</f>
        <v>Excluded</v>
      </c>
      <c r="O491" s="350" t="str">
        <f>IF($B491="Portfolio","Portfolio",IFERROR(INDEX(DATA_ASSET_CLASSIFICATION!$AB$8:$AB$13,MATCH($N491,DATA_ASSET_CLASSIFICATION!$AA$8:$AA$13,0)),"Review"))</f>
        <v>Bucket 0 · Excluded</v>
      </c>
      <c r="P491" s="350" t="str">
        <f>IF($B491="Portfolio","Portfolio",IFERROR(INDEX(DATA_ASSET_CLASSIFICATION!$C$8:$C$24,MATCH($C491,DATA_ASSET_CLASSIFICATION!$A$8:$A$24,0)),"Review"))</f>
        <v>No</v>
      </c>
      <c r="Q491" s="350" t="str">
        <f t="shared" ca="1" si="15"/>
        <v>OK</v>
      </c>
    </row>
    <row r="492" spans="1:17">
      <c r="A492" s="366" t="s">
        <v>2448</v>
      </c>
      <c r="B492" s="366" t="s">
        <v>231</v>
      </c>
      <c r="C492" s="348" t="str">
        <f>DATA_PROPERTY_MASTER!$A$5</f>
        <v>BLD_AB</v>
      </c>
      <c r="D492" s="380">
        <f>'00_PORTFOLIO ROLLUP'!P$12</f>
        <v>2036</v>
      </c>
      <c r="E492" s="366" t="s">
        <v>1721</v>
      </c>
      <c r="F492" s="366" t="s">
        <v>35</v>
      </c>
      <c r="G492" s="348" t="str">
        <f>"'"&amp;$C492&amp;"'!$E$63:$Y$63"</f>
        <v>'BLD_AB'!$E$63:$Y$63</v>
      </c>
      <c r="H492" s="381">
        <f ca="1">IF(IFERROR(INDEX(DATA_PROPERTY_MASTER!$E$5:$E$21,MATCH($C492,DATA_PROPERTY_MASTER!$A$5:$A$21,0))="Yes",FALSE),IFERROR(INDEX(INDIRECT("'"&amp;$C492&amp;"'!$E$63:$Y$63"),1,MATCH($D492,INDIRECT("'"&amp;$C492&amp;"'!$E$12:$Y$12"),0)),0),0)</f>
        <v>0</v>
      </c>
      <c r="I492" s="366" t="s">
        <v>1731</v>
      </c>
      <c r="J492" s="348" t="str">
        <f t="shared" ca="1" si="14"/>
        <v>OK</v>
      </c>
      <c r="K492" s="366" t="s">
        <v>1732</v>
      </c>
      <c r="L492" s="366" t="s">
        <v>2256</v>
      </c>
      <c r="M492" s="350" t="str">
        <f>IF($B492="Portfolio","Portfolio",IFERROR(INDEX(DATA_ASSET_CLASSIFICATION!$B$8:$B$24,MATCH($C492,DATA_ASSET_CLASSIFICATION!$A$8:$A$24,0)),"Review"))</f>
        <v>Alma Blackwell</v>
      </c>
      <c r="N492" s="350" t="str">
        <f>IF($B492="Portfolio","Portfolio",IFERROR(INDEX(DATA_ASSET_CLASSIFICATION!$U$8:$U$24,MATCH($C492,DATA_ASSET_CLASSIFICATION!$A$8:$A$24,0)),"Review"))</f>
        <v>Excluded</v>
      </c>
      <c r="O492" s="350" t="str">
        <f>IF($B492="Portfolio","Portfolio",IFERROR(INDEX(DATA_ASSET_CLASSIFICATION!$AB$8:$AB$13,MATCH($N492,DATA_ASSET_CLASSIFICATION!$AA$8:$AA$13,0)),"Review"))</f>
        <v>Bucket 0 · Excluded</v>
      </c>
      <c r="P492" s="350" t="str">
        <f>IF($B492="Portfolio","Portfolio",IFERROR(INDEX(DATA_ASSET_CLASSIFICATION!$C$8:$C$24,MATCH($C492,DATA_ASSET_CLASSIFICATION!$A$8:$A$24,0)),"Review"))</f>
        <v>No</v>
      </c>
      <c r="Q492" s="350" t="str">
        <f t="shared" ca="1" si="15"/>
        <v>OK</v>
      </c>
    </row>
    <row r="493" spans="1:17">
      <c r="A493" s="366" t="s">
        <v>2449</v>
      </c>
      <c r="B493" s="366" t="s">
        <v>231</v>
      </c>
      <c r="C493" s="348" t="str">
        <f>DATA_PROPERTY_MASTER!$A$5</f>
        <v>BLD_AB</v>
      </c>
      <c r="D493" s="380">
        <f>'00_PORTFOLIO ROLLUP'!P$12</f>
        <v>2036</v>
      </c>
      <c r="E493" s="366" t="s">
        <v>1721</v>
      </c>
      <c r="F493" s="366" t="s">
        <v>37</v>
      </c>
      <c r="G493" s="348" t="str">
        <f>"'"&amp;$C493&amp;"'!$E$63:$Y$63"</f>
        <v>'BLD_AB'!$E$63:$Y$63</v>
      </c>
      <c r="H493" s="381">
        <f ca="1">IF(IFERROR(INDEX(DATA_PROPERTY_MASTER!$E$5:$E$21,MATCH($C493,DATA_PROPERTY_MASTER!$A$5:$A$21,0))="Yes",FALSE),MAX(IFERROR(INDEX(INDIRECT("'"&amp;$C493&amp;"'!$E$63:$Y$63"),1,MATCH($D493,INDIRECT("'"&amp;$C493&amp;"'!$E$12:$Y$12"),0)),0),0),0)</f>
        <v>0</v>
      </c>
      <c r="I493" s="366" t="s">
        <v>1685</v>
      </c>
      <c r="J493" s="348" t="str">
        <f t="shared" ca="1" si="14"/>
        <v>OK</v>
      </c>
      <c r="K493" s="366" t="s">
        <v>1735</v>
      </c>
      <c r="L493" s="366" t="s">
        <v>2258</v>
      </c>
      <c r="M493" s="350" t="str">
        <f>IF($B493="Portfolio","Portfolio",IFERROR(INDEX(DATA_ASSET_CLASSIFICATION!$B$8:$B$24,MATCH($C493,DATA_ASSET_CLASSIFICATION!$A$8:$A$24,0)),"Review"))</f>
        <v>Alma Blackwell</v>
      </c>
      <c r="N493" s="350" t="str">
        <f>IF($B493="Portfolio","Portfolio",IFERROR(INDEX(DATA_ASSET_CLASSIFICATION!$U$8:$U$24,MATCH($C493,DATA_ASSET_CLASSIFICATION!$A$8:$A$24,0)),"Review"))</f>
        <v>Excluded</v>
      </c>
      <c r="O493" s="350" t="str">
        <f>IF($B493="Portfolio","Portfolio",IFERROR(INDEX(DATA_ASSET_CLASSIFICATION!$AB$8:$AB$13,MATCH($N493,DATA_ASSET_CLASSIFICATION!$AA$8:$AA$13,0)),"Review"))</f>
        <v>Bucket 0 · Excluded</v>
      </c>
      <c r="P493" s="350" t="str">
        <f>IF($B493="Portfolio","Portfolio",IFERROR(INDEX(DATA_ASSET_CLASSIFICATION!$C$8:$C$24,MATCH($C493,DATA_ASSET_CLASSIFICATION!$A$8:$A$24,0)),"Review"))</f>
        <v>No</v>
      </c>
      <c r="Q493" s="350" t="str">
        <f t="shared" ca="1" si="15"/>
        <v>OK</v>
      </c>
    </row>
    <row r="494" spans="1:17">
      <c r="A494" s="366" t="s">
        <v>2450</v>
      </c>
      <c r="B494" s="366" t="s">
        <v>231</v>
      </c>
      <c r="C494" s="348" t="str">
        <f>DATA_PROPERTY_MASTER!$A$5</f>
        <v>BLD_AB</v>
      </c>
      <c r="D494" s="380">
        <f>'00_PORTFOLIO ROLLUP'!P$12</f>
        <v>2036</v>
      </c>
      <c r="E494" s="366" t="s">
        <v>1721</v>
      </c>
      <c r="F494" s="366" t="s">
        <v>39</v>
      </c>
      <c r="G494" s="348" t="str">
        <f>"'"&amp;$C494&amp;"'!$E$63:$Y$63"</f>
        <v>'BLD_AB'!$E$63:$Y$63</v>
      </c>
      <c r="H494" s="381">
        <f ca="1">IF(IFERROR(INDEX(DATA_PROPERTY_MASTER!$E$5:$E$21,MATCH($C494,DATA_PROPERTY_MASTER!$A$5:$A$21,0))="Yes",FALSE),MAX(-IFERROR(INDEX(INDIRECT("'"&amp;$C494&amp;"'!$E$63:$Y$63"),1,MATCH($D494,INDIRECT("'"&amp;$C494&amp;"'!$E$12:$Y$12"),0)),0),0),0)</f>
        <v>0</v>
      </c>
      <c r="I494" s="366" t="s">
        <v>1690</v>
      </c>
      <c r="J494" s="348" t="str">
        <f t="shared" ca="1" si="14"/>
        <v>OK</v>
      </c>
      <c r="K494" s="366" t="s">
        <v>1738</v>
      </c>
      <c r="L494" s="366" t="s">
        <v>2260</v>
      </c>
      <c r="M494" s="350" t="str">
        <f>IF($B494="Portfolio","Portfolio",IFERROR(INDEX(DATA_ASSET_CLASSIFICATION!$B$8:$B$24,MATCH($C494,DATA_ASSET_CLASSIFICATION!$A$8:$A$24,0)),"Review"))</f>
        <v>Alma Blackwell</v>
      </c>
      <c r="N494" s="350" t="str">
        <f>IF($B494="Portfolio","Portfolio",IFERROR(INDEX(DATA_ASSET_CLASSIFICATION!$U$8:$U$24,MATCH($C494,DATA_ASSET_CLASSIFICATION!$A$8:$A$24,0)),"Review"))</f>
        <v>Excluded</v>
      </c>
      <c r="O494" s="350" t="str">
        <f>IF($B494="Portfolio","Portfolio",IFERROR(INDEX(DATA_ASSET_CLASSIFICATION!$AB$8:$AB$13,MATCH($N494,DATA_ASSET_CLASSIFICATION!$AA$8:$AA$13,0)),"Review"))</f>
        <v>Bucket 0 · Excluded</v>
      </c>
      <c r="P494" s="350" t="str">
        <f>IF($B494="Portfolio","Portfolio",IFERROR(INDEX(DATA_ASSET_CLASSIFICATION!$C$8:$C$24,MATCH($C494,DATA_ASSET_CLASSIFICATION!$A$8:$A$24,0)),"Review"))</f>
        <v>No</v>
      </c>
      <c r="Q494" s="350" t="str">
        <f t="shared" ca="1" si="15"/>
        <v>OK</v>
      </c>
    </row>
    <row r="495" spans="1:17">
      <c r="A495" s="366" t="s">
        <v>2451</v>
      </c>
      <c r="B495" s="366" t="s">
        <v>231</v>
      </c>
      <c r="C495" s="348" t="str">
        <f>DATA_PROPERTY_MASTER!$A$5</f>
        <v>BLD_AB</v>
      </c>
      <c r="D495" s="380">
        <f>'00_PORTFOLIO ROLLUP'!P$12</f>
        <v>2036</v>
      </c>
      <c r="E495" s="366" t="s">
        <v>1741</v>
      </c>
      <c r="F495" s="366" t="s">
        <v>41</v>
      </c>
      <c r="G495" s="348" t="str">
        <f>"'"&amp;$C495&amp;"'!rows 56 + positive row 63"</f>
        <v>'BLD_AB'!rows 56 + positive row 63</v>
      </c>
      <c r="H495" s="381">
        <f ca="1">IF(IFERROR(INDEX(DATA_PROPERTY_MASTER!$E$5:$E$21,MATCH($C495,DATA_PROPERTY_MASTER!$A$5:$A$21,0))="Yes",FALSE),IFERROR(INDEX(INDIRECT("'"&amp;$C495&amp;"'!$E$56:$Y$56"),1,MATCH($D495,INDIRECT("'"&amp;$C495&amp;"'!$E$12:$Y$12"),0)),0)+MAX(IFERROR(INDEX(INDIRECT("'"&amp;$C495&amp;"'!$E$63:$Y$63"),1,MATCH($D495,INDIRECT("'"&amp;$C495&amp;"'!$E$12:$Y$12"),0)),0),0),0)</f>
        <v>0</v>
      </c>
      <c r="I495" s="366" t="s">
        <v>1685</v>
      </c>
      <c r="J495" s="348" t="str">
        <f t="shared" ca="1" si="14"/>
        <v>OK</v>
      </c>
      <c r="K495" s="366" t="s">
        <v>1742</v>
      </c>
      <c r="L495" s="366" t="s">
        <v>2262</v>
      </c>
      <c r="M495" s="350" t="str">
        <f>IF($B495="Portfolio","Portfolio",IFERROR(INDEX(DATA_ASSET_CLASSIFICATION!$B$8:$B$24,MATCH($C495,DATA_ASSET_CLASSIFICATION!$A$8:$A$24,0)),"Review"))</f>
        <v>Alma Blackwell</v>
      </c>
      <c r="N495" s="350" t="str">
        <f>IF($B495="Portfolio","Portfolio",IFERROR(INDEX(DATA_ASSET_CLASSIFICATION!$U$8:$U$24,MATCH($C495,DATA_ASSET_CLASSIFICATION!$A$8:$A$24,0)),"Review"))</f>
        <v>Excluded</v>
      </c>
      <c r="O495" s="350" t="str">
        <f>IF($B495="Portfolio","Portfolio",IFERROR(INDEX(DATA_ASSET_CLASSIFICATION!$AB$8:$AB$13,MATCH($N495,DATA_ASSET_CLASSIFICATION!$AA$8:$AA$13,0)),"Review"))</f>
        <v>Bucket 0 · Excluded</v>
      </c>
      <c r="P495" s="350" t="str">
        <f>IF($B495="Portfolio","Portfolio",IFERROR(INDEX(DATA_ASSET_CLASSIFICATION!$C$8:$C$24,MATCH($C495,DATA_ASSET_CLASSIFICATION!$A$8:$A$24,0)),"Review"))</f>
        <v>No</v>
      </c>
      <c r="Q495" s="350" t="str">
        <f t="shared" ca="1" si="15"/>
        <v>OK</v>
      </c>
    </row>
    <row r="496" spans="1:17">
      <c r="A496" s="366" t="s">
        <v>2452</v>
      </c>
      <c r="B496" s="366" t="s">
        <v>231</v>
      </c>
      <c r="C496" s="348" t="str">
        <f>DATA_PROPERTY_MASTER!$A$5</f>
        <v>BLD_AB</v>
      </c>
      <c r="D496" s="380">
        <f>'00_PORTFOLIO ROLLUP'!P$12</f>
        <v>2036</v>
      </c>
      <c r="E496" s="366" t="s">
        <v>1741</v>
      </c>
      <c r="F496" s="366" t="s">
        <v>43</v>
      </c>
      <c r="G496" s="348" t="str">
        <f>"'"&amp;$C496&amp;"'!$E$68:$Y$68"</f>
        <v>'BLD_AB'!$E$68:$Y$68</v>
      </c>
      <c r="H496" s="381">
        <f ca="1">IF(IFERROR(INDEX(DATA_PROPERTY_MASTER!$E$5:$E$21,MATCH($C496,DATA_PROPERTY_MASTER!$A$5:$A$21,0))="Yes",FALSE),IFERROR(INDEX(INDIRECT("'"&amp;$C496&amp;"'!$E$68:$Y$68"),1,MATCH($D496,INDIRECT("'"&amp;$C496&amp;"'!$E$12:$Y$12"),0)),0),0)</f>
        <v>0</v>
      </c>
      <c r="I496" s="366" t="s">
        <v>1731</v>
      </c>
      <c r="J496" s="348" t="str">
        <f t="shared" ca="1" si="14"/>
        <v>OK</v>
      </c>
      <c r="K496" s="366" t="s">
        <v>1746</v>
      </c>
      <c r="L496" s="366" t="s">
        <v>2264</v>
      </c>
      <c r="M496" s="350" t="str">
        <f>IF($B496="Portfolio","Portfolio",IFERROR(INDEX(DATA_ASSET_CLASSIFICATION!$B$8:$B$24,MATCH($C496,DATA_ASSET_CLASSIFICATION!$A$8:$A$24,0)),"Review"))</f>
        <v>Alma Blackwell</v>
      </c>
      <c r="N496" s="350" t="str">
        <f>IF($B496="Portfolio","Portfolio",IFERROR(INDEX(DATA_ASSET_CLASSIFICATION!$U$8:$U$24,MATCH($C496,DATA_ASSET_CLASSIFICATION!$A$8:$A$24,0)),"Review"))</f>
        <v>Excluded</v>
      </c>
      <c r="O496" s="350" t="str">
        <f>IF($B496="Portfolio","Portfolio",IFERROR(INDEX(DATA_ASSET_CLASSIFICATION!$AB$8:$AB$13,MATCH($N496,DATA_ASSET_CLASSIFICATION!$AA$8:$AA$13,0)),"Review"))</f>
        <v>Bucket 0 · Excluded</v>
      </c>
      <c r="P496" s="350" t="str">
        <f>IF($B496="Portfolio","Portfolio",IFERROR(INDEX(DATA_ASSET_CLASSIFICATION!$C$8:$C$24,MATCH($C496,DATA_ASSET_CLASSIFICATION!$A$8:$A$24,0)),"Review"))</f>
        <v>No</v>
      </c>
      <c r="Q496" s="350" t="str">
        <f t="shared" ca="1" si="15"/>
        <v>OK</v>
      </c>
    </row>
    <row r="497" spans="1:17">
      <c r="A497" s="366" t="s">
        <v>2453</v>
      </c>
      <c r="B497" s="366" t="s">
        <v>231</v>
      </c>
      <c r="C497" s="348" t="str">
        <f>DATA_PROPERTY_MASTER!$A$5</f>
        <v>BLD_AB</v>
      </c>
      <c r="D497" s="380">
        <f>'00_PORTFOLIO ROLLUP'!P$12</f>
        <v>2036</v>
      </c>
      <c r="E497" s="366" t="s">
        <v>1741</v>
      </c>
      <c r="F497" s="366" t="s">
        <v>1749</v>
      </c>
      <c r="G497" s="348" t="str">
        <f>"'"&amp;$C497&amp;"'!rows 56, 63, 68"</f>
        <v>'BLD_AB'!rows 56, 63, 68</v>
      </c>
      <c r="H497" s="381">
        <f ca="1">IF(IFERROR(INDEX(DATA_PROPERTY_MASTER!$E$5:$E$21,MATCH($C497,DATA_PROPERTY_MASTER!$A$5:$A$21,0))="Yes",FALSE),(IFERROR(INDEX(INDIRECT("'"&amp;$C497&amp;"'!$E$56:$Y$56"),1,MATCH($D497,INDIRECT("'"&amp;$C497&amp;"'!$E$12:$Y$12"),0)),0)+MAX(IFERROR(INDEX(INDIRECT("'"&amp;$C497&amp;"'!$E$63:$Y$63"),1,MATCH($D497,INDIRECT("'"&amp;$C497&amp;"'!$E$12:$Y$12"),0)),0),0))-(IFERROR(INDEX(INDIRECT("'"&amp;$C497&amp;"'!$E$68:$Y$68"),1,MATCH($D497,INDIRECT("'"&amp;$C497&amp;"'!$E$12:$Y$12"),0)),0)),0)</f>
        <v>0</v>
      </c>
      <c r="I497" s="366" t="s">
        <v>1750</v>
      </c>
      <c r="J497" s="348" t="str">
        <f t="shared" ca="1" si="14"/>
        <v>OK</v>
      </c>
      <c r="K497" s="366" t="s">
        <v>1751</v>
      </c>
      <c r="L497" s="366" t="s">
        <v>2266</v>
      </c>
      <c r="M497" s="350" t="str">
        <f>IF($B497="Portfolio","Portfolio",IFERROR(INDEX(DATA_ASSET_CLASSIFICATION!$B$8:$B$24,MATCH($C497,DATA_ASSET_CLASSIFICATION!$A$8:$A$24,0)),"Review"))</f>
        <v>Alma Blackwell</v>
      </c>
      <c r="N497" s="350" t="str">
        <f>IF($B497="Portfolio","Portfolio",IFERROR(INDEX(DATA_ASSET_CLASSIFICATION!$U$8:$U$24,MATCH($C497,DATA_ASSET_CLASSIFICATION!$A$8:$A$24,0)),"Review"))</f>
        <v>Excluded</v>
      </c>
      <c r="O497" s="350" t="str">
        <f>IF($B497="Portfolio","Portfolio",IFERROR(INDEX(DATA_ASSET_CLASSIFICATION!$AB$8:$AB$13,MATCH($N497,DATA_ASSET_CLASSIFICATION!$AA$8:$AA$13,0)),"Review"))</f>
        <v>Bucket 0 · Excluded</v>
      </c>
      <c r="P497" s="350" t="str">
        <f>IF($B497="Portfolio","Portfolio",IFERROR(INDEX(DATA_ASSET_CLASSIFICATION!$C$8:$C$24,MATCH($C497,DATA_ASSET_CLASSIFICATION!$A$8:$A$24,0)),"Review"))</f>
        <v>No</v>
      </c>
      <c r="Q497" s="350" t="str">
        <f t="shared" ca="1" si="15"/>
        <v>OK</v>
      </c>
    </row>
    <row r="498" spans="1:17">
      <c r="A498" s="366" t="s">
        <v>2454</v>
      </c>
      <c r="B498" s="366" t="s">
        <v>231</v>
      </c>
      <c r="C498" s="348" t="str">
        <f>DATA_PROPERTY_MASTER!$A$5</f>
        <v>BLD_AB</v>
      </c>
      <c r="D498" s="380">
        <f>'00_PORTFOLIO ROLLUP'!Q$12</f>
        <v>2037</v>
      </c>
      <c r="E498" s="366" t="s">
        <v>1683</v>
      </c>
      <c r="F498" s="366" t="s">
        <v>341</v>
      </c>
      <c r="G498" s="348" t="str">
        <f>"'"&amp;$C498&amp;"'!$E$24:$Y$24"</f>
        <v>'BLD_AB'!$E$24:$Y$24</v>
      </c>
      <c r="H498" s="381">
        <f ca="1">IF(IFERROR(INDEX(DATA_PROPERTY_MASTER!$E$5:$E$21,MATCH($C498,DATA_PROPERTY_MASTER!$A$5:$A$21,0))="Yes",FALSE),IFERROR(INDEX(INDIRECT("'"&amp;$C498&amp;"'!$E$24:$Y$24"),1,MATCH($D498,INDIRECT("'"&amp;$C498&amp;"'!$E$12:$Y$12"),0)),0),0)</f>
        <v>0</v>
      </c>
      <c r="I498" s="366" t="s">
        <v>1685</v>
      </c>
      <c r="J498" s="348" t="str">
        <f t="shared" ca="1" si="14"/>
        <v>OK</v>
      </c>
      <c r="K498" s="366" t="s">
        <v>1686</v>
      </c>
      <c r="L498" s="366" t="s">
        <v>2234</v>
      </c>
      <c r="M498" s="350" t="str">
        <f>IF($B498="Portfolio","Portfolio",IFERROR(INDEX(DATA_ASSET_CLASSIFICATION!$B$8:$B$24,MATCH($C498,DATA_ASSET_CLASSIFICATION!$A$8:$A$24,0)),"Review"))</f>
        <v>Alma Blackwell</v>
      </c>
      <c r="N498" s="350" t="str">
        <f>IF($B498="Portfolio","Portfolio",IFERROR(INDEX(DATA_ASSET_CLASSIFICATION!$U$8:$U$24,MATCH($C498,DATA_ASSET_CLASSIFICATION!$A$8:$A$24,0)),"Review"))</f>
        <v>Excluded</v>
      </c>
      <c r="O498" s="350" t="str">
        <f>IF($B498="Portfolio","Portfolio",IFERROR(INDEX(DATA_ASSET_CLASSIFICATION!$AB$8:$AB$13,MATCH($N498,DATA_ASSET_CLASSIFICATION!$AA$8:$AA$13,0)),"Review"))</f>
        <v>Bucket 0 · Excluded</v>
      </c>
      <c r="P498" s="350" t="str">
        <f>IF($B498="Portfolio","Portfolio",IFERROR(INDEX(DATA_ASSET_CLASSIFICATION!$C$8:$C$24,MATCH($C498,DATA_ASSET_CLASSIFICATION!$A$8:$A$24,0)),"Review"))</f>
        <v>No</v>
      </c>
      <c r="Q498" s="350" t="str">
        <f t="shared" ca="1" si="15"/>
        <v>OK</v>
      </c>
    </row>
    <row r="499" spans="1:17">
      <c r="A499" s="366" t="s">
        <v>2455</v>
      </c>
      <c r="B499" s="366" t="s">
        <v>231</v>
      </c>
      <c r="C499" s="348" t="str">
        <f>DATA_PROPERTY_MASTER!$A$5</f>
        <v>BLD_AB</v>
      </c>
      <c r="D499" s="380">
        <f>'00_PORTFOLIO ROLLUP'!Q$12</f>
        <v>2037</v>
      </c>
      <c r="E499" s="366" t="s">
        <v>1683</v>
      </c>
      <c r="F499" s="366" t="s">
        <v>355</v>
      </c>
      <c r="G499" s="348" t="str">
        <f>"'"&amp;$C499&amp;"'!$E$39:$Y$39"</f>
        <v>'BLD_AB'!$E$39:$Y$39</v>
      </c>
      <c r="H499" s="381">
        <f ca="1">IF(IFERROR(INDEX(DATA_PROPERTY_MASTER!$E$5:$E$21,MATCH($C499,DATA_PROPERTY_MASTER!$A$5:$A$21,0))="Yes",FALSE),IFERROR(INDEX(INDIRECT("'"&amp;$C499&amp;"'!$E$39:$Y$39"),1,MATCH($D499,INDIRECT("'"&amp;$C499&amp;"'!$E$12:$Y$12"),0)),0),0)</f>
        <v>0</v>
      </c>
      <c r="I499" s="366" t="s">
        <v>1690</v>
      </c>
      <c r="J499" s="348" t="str">
        <f t="shared" ca="1" si="14"/>
        <v>OK</v>
      </c>
      <c r="K499" s="366" t="s">
        <v>1686</v>
      </c>
      <c r="L499" s="366" t="s">
        <v>2236</v>
      </c>
      <c r="M499" s="350" t="str">
        <f>IF($B499="Portfolio","Portfolio",IFERROR(INDEX(DATA_ASSET_CLASSIFICATION!$B$8:$B$24,MATCH($C499,DATA_ASSET_CLASSIFICATION!$A$8:$A$24,0)),"Review"))</f>
        <v>Alma Blackwell</v>
      </c>
      <c r="N499" s="350" t="str">
        <f>IF($B499="Portfolio","Portfolio",IFERROR(INDEX(DATA_ASSET_CLASSIFICATION!$U$8:$U$24,MATCH($C499,DATA_ASSET_CLASSIFICATION!$A$8:$A$24,0)),"Review"))</f>
        <v>Excluded</v>
      </c>
      <c r="O499" s="350" t="str">
        <f>IF($B499="Portfolio","Portfolio",IFERROR(INDEX(DATA_ASSET_CLASSIFICATION!$AB$8:$AB$13,MATCH($N499,DATA_ASSET_CLASSIFICATION!$AA$8:$AA$13,0)),"Review"))</f>
        <v>Bucket 0 · Excluded</v>
      </c>
      <c r="P499" s="350" t="str">
        <f>IF($B499="Portfolio","Portfolio",IFERROR(INDEX(DATA_ASSET_CLASSIFICATION!$C$8:$C$24,MATCH($C499,DATA_ASSET_CLASSIFICATION!$A$8:$A$24,0)),"Review"))</f>
        <v>No</v>
      </c>
      <c r="Q499" s="350" t="str">
        <f t="shared" ca="1" si="15"/>
        <v>OK</v>
      </c>
    </row>
    <row r="500" spans="1:17">
      <c r="A500" s="366" t="s">
        <v>2456</v>
      </c>
      <c r="B500" s="366" t="s">
        <v>231</v>
      </c>
      <c r="C500" s="348" t="str">
        <f>DATA_PROPERTY_MASTER!$A$5</f>
        <v>BLD_AB</v>
      </c>
      <c r="D500" s="380">
        <f>'00_PORTFOLIO ROLLUP'!Q$12</f>
        <v>2037</v>
      </c>
      <c r="E500" s="366" t="s">
        <v>1683</v>
      </c>
      <c r="F500" s="366" t="s">
        <v>19</v>
      </c>
      <c r="G500" s="348" t="str">
        <f>"'"&amp;$C500&amp;"'!$E$41:$Y$41"</f>
        <v>'BLD_AB'!$E$41:$Y$41</v>
      </c>
      <c r="H500" s="381">
        <f ca="1">IF(IFERROR(INDEX(DATA_PROPERTY_MASTER!$E$5:$E$21,MATCH($C500,DATA_PROPERTY_MASTER!$A$5:$A$21,0))="Yes",FALSE),IFERROR(INDEX(INDIRECT("'"&amp;$C500&amp;"'!$E$41:$Y$41"),1,MATCH($D500,INDIRECT("'"&amp;$C500&amp;"'!$E$12:$Y$12"),0)),0),0)</f>
        <v>0</v>
      </c>
      <c r="I500" s="366" t="s">
        <v>1685</v>
      </c>
      <c r="J500" s="348" t="str">
        <f t="shared" ca="1" si="14"/>
        <v>OK</v>
      </c>
      <c r="K500" s="366" t="s">
        <v>1694</v>
      </c>
      <c r="L500" s="366" t="s">
        <v>2238</v>
      </c>
      <c r="M500" s="350" t="str">
        <f>IF($B500="Portfolio","Portfolio",IFERROR(INDEX(DATA_ASSET_CLASSIFICATION!$B$8:$B$24,MATCH($C500,DATA_ASSET_CLASSIFICATION!$A$8:$A$24,0)),"Review"))</f>
        <v>Alma Blackwell</v>
      </c>
      <c r="N500" s="350" t="str">
        <f>IF($B500="Portfolio","Portfolio",IFERROR(INDEX(DATA_ASSET_CLASSIFICATION!$U$8:$U$24,MATCH($C500,DATA_ASSET_CLASSIFICATION!$A$8:$A$24,0)),"Review"))</f>
        <v>Excluded</v>
      </c>
      <c r="O500" s="350" t="str">
        <f>IF($B500="Portfolio","Portfolio",IFERROR(INDEX(DATA_ASSET_CLASSIFICATION!$AB$8:$AB$13,MATCH($N500,DATA_ASSET_CLASSIFICATION!$AA$8:$AA$13,0)),"Review"))</f>
        <v>Bucket 0 · Excluded</v>
      </c>
      <c r="P500" s="350" t="str">
        <f>IF($B500="Portfolio","Portfolio",IFERROR(INDEX(DATA_ASSET_CLASSIFICATION!$C$8:$C$24,MATCH($C500,DATA_ASSET_CLASSIFICATION!$A$8:$A$24,0)),"Review"))</f>
        <v>No</v>
      </c>
      <c r="Q500" s="350" t="str">
        <f t="shared" ca="1" si="15"/>
        <v>OK</v>
      </c>
    </row>
    <row r="501" spans="1:17">
      <c r="A501" s="366" t="s">
        <v>2457</v>
      </c>
      <c r="B501" s="366" t="s">
        <v>231</v>
      </c>
      <c r="C501" s="348" t="str">
        <f>DATA_PROPERTY_MASTER!$A$5</f>
        <v>BLD_AB</v>
      </c>
      <c r="D501" s="380">
        <f>'00_PORTFOLIO ROLLUP'!Q$12</f>
        <v>2037</v>
      </c>
      <c r="E501" s="366" t="s">
        <v>1683</v>
      </c>
      <c r="F501" s="366" t="s">
        <v>1697</v>
      </c>
      <c r="G501" s="348" t="str">
        <f>"'"&amp;$C501&amp;"'!$E$44:$Y$44"</f>
        <v>'BLD_AB'!$E$44:$Y$44</v>
      </c>
      <c r="H501" s="381">
        <f ca="1">IF(IFERROR(INDEX(DATA_PROPERTY_MASTER!$E$5:$E$21,MATCH($C501,DATA_PROPERTY_MASTER!$A$5:$A$21,0))="Yes",FALSE),IFERROR(INDEX(INDIRECT("'"&amp;$C501&amp;"'!$E$44:$Y$44"),1,MATCH($D501,INDIRECT("'"&amp;$C501&amp;"'!$E$12:$Y$12"),0)),0),0)</f>
        <v>0</v>
      </c>
      <c r="I501" s="366" t="s">
        <v>1690</v>
      </c>
      <c r="J501" s="348" t="str">
        <f t="shared" ca="1" si="14"/>
        <v>OK</v>
      </c>
      <c r="K501" s="366" t="s">
        <v>1699</v>
      </c>
      <c r="L501" s="366" t="s">
        <v>2240</v>
      </c>
      <c r="M501" s="350" t="str">
        <f>IF($B501="Portfolio","Portfolio",IFERROR(INDEX(DATA_ASSET_CLASSIFICATION!$B$8:$B$24,MATCH($C501,DATA_ASSET_CLASSIFICATION!$A$8:$A$24,0)),"Review"))</f>
        <v>Alma Blackwell</v>
      </c>
      <c r="N501" s="350" t="str">
        <f>IF($B501="Portfolio","Portfolio",IFERROR(INDEX(DATA_ASSET_CLASSIFICATION!$U$8:$U$24,MATCH($C501,DATA_ASSET_CLASSIFICATION!$A$8:$A$24,0)),"Review"))</f>
        <v>Excluded</v>
      </c>
      <c r="O501" s="350" t="str">
        <f>IF($B501="Portfolio","Portfolio",IFERROR(INDEX(DATA_ASSET_CLASSIFICATION!$AB$8:$AB$13,MATCH($N501,DATA_ASSET_CLASSIFICATION!$AA$8:$AA$13,0)),"Review"))</f>
        <v>Bucket 0 · Excluded</v>
      </c>
      <c r="P501" s="350" t="str">
        <f>IF($B501="Portfolio","Portfolio",IFERROR(INDEX(DATA_ASSET_CLASSIFICATION!$C$8:$C$24,MATCH($C501,DATA_ASSET_CLASSIFICATION!$A$8:$A$24,0)),"Review"))</f>
        <v>No</v>
      </c>
      <c r="Q501" s="350" t="str">
        <f t="shared" ca="1" si="15"/>
        <v>OK</v>
      </c>
    </row>
    <row r="502" spans="1:17">
      <c r="A502" s="366" t="s">
        <v>2458</v>
      </c>
      <c r="B502" s="366" t="s">
        <v>231</v>
      </c>
      <c r="C502" s="348" t="str">
        <f>DATA_PROPERTY_MASTER!$A$5</f>
        <v>BLD_AB</v>
      </c>
      <c r="D502" s="380">
        <f>'00_PORTFOLIO ROLLUP'!Q$12</f>
        <v>2037</v>
      </c>
      <c r="E502" s="366" t="s">
        <v>1683</v>
      </c>
      <c r="F502" s="366" t="s">
        <v>21</v>
      </c>
      <c r="G502" s="348" t="str">
        <f>"'"&amp;$C502&amp;"'!$E$45:$Y$45"</f>
        <v>'BLD_AB'!$E$45:$Y$45</v>
      </c>
      <c r="H502" s="381">
        <f ca="1">IF(IFERROR(INDEX(DATA_PROPERTY_MASTER!$E$5:$E$21,MATCH($C502,DATA_PROPERTY_MASTER!$A$5:$A$21,0))="Yes",FALSE),IFERROR(INDEX(INDIRECT("'"&amp;$C502&amp;"'!$E$45:$Y$45"),1,MATCH($D502,INDIRECT("'"&amp;$C502&amp;"'!$E$12:$Y$12"),0)),0),0)</f>
        <v>0</v>
      </c>
      <c r="I502" s="366" t="s">
        <v>1685</v>
      </c>
      <c r="J502" s="348" t="str">
        <f t="shared" ca="1" si="14"/>
        <v>OK</v>
      </c>
      <c r="K502" s="366" t="s">
        <v>1694</v>
      </c>
      <c r="L502" s="366" t="s">
        <v>2242</v>
      </c>
      <c r="M502" s="350" t="str">
        <f>IF($B502="Portfolio","Portfolio",IFERROR(INDEX(DATA_ASSET_CLASSIFICATION!$B$8:$B$24,MATCH($C502,DATA_ASSET_CLASSIFICATION!$A$8:$A$24,0)),"Review"))</f>
        <v>Alma Blackwell</v>
      </c>
      <c r="N502" s="350" t="str">
        <f>IF($B502="Portfolio","Portfolio",IFERROR(INDEX(DATA_ASSET_CLASSIFICATION!$U$8:$U$24,MATCH($C502,DATA_ASSET_CLASSIFICATION!$A$8:$A$24,0)),"Review"))</f>
        <v>Excluded</v>
      </c>
      <c r="O502" s="350" t="str">
        <f>IF($B502="Portfolio","Portfolio",IFERROR(INDEX(DATA_ASSET_CLASSIFICATION!$AB$8:$AB$13,MATCH($N502,DATA_ASSET_CLASSIFICATION!$AA$8:$AA$13,0)),"Review"))</f>
        <v>Bucket 0 · Excluded</v>
      </c>
      <c r="P502" s="350" t="str">
        <f>IF($B502="Portfolio","Portfolio",IFERROR(INDEX(DATA_ASSET_CLASSIFICATION!$C$8:$C$24,MATCH($C502,DATA_ASSET_CLASSIFICATION!$A$8:$A$24,0)),"Review"))</f>
        <v>No</v>
      </c>
      <c r="Q502" s="350" t="str">
        <f t="shared" ca="1" si="15"/>
        <v>OK</v>
      </c>
    </row>
    <row r="503" spans="1:17">
      <c r="A503" s="366" t="s">
        <v>2459</v>
      </c>
      <c r="B503" s="366" t="s">
        <v>231</v>
      </c>
      <c r="C503" s="348" t="str">
        <f>DATA_PROPERTY_MASTER!$A$5</f>
        <v>BLD_AB</v>
      </c>
      <c r="D503" s="380">
        <f>'00_PORTFOLIO ROLLUP'!Q$12</f>
        <v>2037</v>
      </c>
      <c r="E503" s="366" t="s">
        <v>23</v>
      </c>
      <c r="F503" s="366" t="s">
        <v>23</v>
      </c>
      <c r="G503" s="348" t="str">
        <f>"'"&amp;$C503&amp;"'!$E$48:$Y$48"</f>
        <v>'BLD_AB'!$E$48:$Y$48</v>
      </c>
      <c r="H503" s="381">
        <f ca="1">IF(IFERROR(INDEX(DATA_PROPERTY_MASTER!$E$5:$E$21,MATCH($C503,DATA_PROPERTY_MASTER!$A$5:$A$21,0))="Yes",FALSE),IFERROR(INDEX(INDIRECT("'"&amp;$C503&amp;"'!$E$48:$Y$48"),1,MATCH($D503,INDIRECT("'"&amp;$C503&amp;"'!$E$12:$Y$12"),0)),0),0)</f>
        <v>0</v>
      </c>
      <c r="I503" s="366" t="s">
        <v>1690</v>
      </c>
      <c r="J503" s="348" t="str">
        <f t="shared" ca="1" si="14"/>
        <v>OK</v>
      </c>
      <c r="K503" s="366" t="s">
        <v>1706</v>
      </c>
      <c r="L503" s="366" t="s">
        <v>2244</v>
      </c>
      <c r="M503" s="350" t="str">
        <f>IF($B503="Portfolio","Portfolio",IFERROR(INDEX(DATA_ASSET_CLASSIFICATION!$B$8:$B$24,MATCH($C503,DATA_ASSET_CLASSIFICATION!$A$8:$A$24,0)),"Review"))</f>
        <v>Alma Blackwell</v>
      </c>
      <c r="N503" s="350" t="str">
        <f>IF($B503="Portfolio","Portfolio",IFERROR(INDEX(DATA_ASSET_CLASSIFICATION!$U$8:$U$24,MATCH($C503,DATA_ASSET_CLASSIFICATION!$A$8:$A$24,0)),"Review"))</f>
        <v>Excluded</v>
      </c>
      <c r="O503" s="350" t="str">
        <f>IF($B503="Portfolio","Portfolio",IFERROR(INDEX(DATA_ASSET_CLASSIFICATION!$AB$8:$AB$13,MATCH($N503,DATA_ASSET_CLASSIFICATION!$AA$8:$AA$13,0)),"Review"))</f>
        <v>Bucket 0 · Excluded</v>
      </c>
      <c r="P503" s="350" t="str">
        <f>IF($B503="Portfolio","Portfolio",IFERROR(INDEX(DATA_ASSET_CLASSIFICATION!$C$8:$C$24,MATCH($C503,DATA_ASSET_CLASSIFICATION!$A$8:$A$24,0)),"Review"))</f>
        <v>No</v>
      </c>
      <c r="Q503" s="350" t="str">
        <f t="shared" ca="1" si="15"/>
        <v>OK</v>
      </c>
    </row>
    <row r="504" spans="1:17">
      <c r="A504" s="366" t="s">
        <v>2460</v>
      </c>
      <c r="B504" s="366" t="s">
        <v>231</v>
      </c>
      <c r="C504" s="348" t="str">
        <f>DATA_PROPERTY_MASTER!$A$5</f>
        <v>BLD_AB</v>
      </c>
      <c r="D504" s="380">
        <f>'00_PORTFOLIO ROLLUP'!Q$12</f>
        <v>2037</v>
      </c>
      <c r="E504" s="366" t="s">
        <v>1683</v>
      </c>
      <c r="F504" s="366" t="s">
        <v>25</v>
      </c>
      <c r="G504" s="348" t="str">
        <f>"'"&amp;$C504&amp;"'!$E$52:$Y$52"</f>
        <v>'BLD_AB'!$E$52:$Y$52</v>
      </c>
      <c r="H504" s="381">
        <f ca="1">IF(IFERROR(INDEX(DATA_PROPERTY_MASTER!$E$5:$E$21,MATCH($C504,DATA_PROPERTY_MASTER!$A$5:$A$21,0))="Yes",FALSE),IFERROR(INDEX(INDIRECT("'"&amp;$C504&amp;"'!$E$52:$Y$52"),1,MATCH($D504,INDIRECT("'"&amp;$C504&amp;"'!$E$12:$Y$12"),0)),0),0)</f>
        <v>0</v>
      </c>
      <c r="I504" s="366" t="s">
        <v>1685</v>
      </c>
      <c r="J504" s="348" t="str">
        <f t="shared" ca="1" si="14"/>
        <v>OK</v>
      </c>
      <c r="K504" s="366" t="s">
        <v>1710</v>
      </c>
      <c r="L504" s="366" t="s">
        <v>2246</v>
      </c>
      <c r="M504" s="350" t="str">
        <f>IF($B504="Portfolio","Portfolio",IFERROR(INDEX(DATA_ASSET_CLASSIFICATION!$B$8:$B$24,MATCH($C504,DATA_ASSET_CLASSIFICATION!$A$8:$A$24,0)),"Review"))</f>
        <v>Alma Blackwell</v>
      </c>
      <c r="N504" s="350" t="str">
        <f>IF($B504="Portfolio","Portfolio",IFERROR(INDEX(DATA_ASSET_CLASSIFICATION!$U$8:$U$24,MATCH($C504,DATA_ASSET_CLASSIFICATION!$A$8:$A$24,0)),"Review"))</f>
        <v>Excluded</v>
      </c>
      <c r="O504" s="350" t="str">
        <f>IF($B504="Portfolio","Portfolio",IFERROR(INDEX(DATA_ASSET_CLASSIFICATION!$AB$8:$AB$13,MATCH($N504,DATA_ASSET_CLASSIFICATION!$AA$8:$AA$13,0)),"Review"))</f>
        <v>Bucket 0 · Excluded</v>
      </c>
      <c r="P504" s="350" t="str">
        <f>IF($B504="Portfolio","Portfolio",IFERROR(INDEX(DATA_ASSET_CLASSIFICATION!$C$8:$C$24,MATCH($C504,DATA_ASSET_CLASSIFICATION!$A$8:$A$24,0)),"Review"))</f>
        <v>No</v>
      </c>
      <c r="Q504" s="350" t="str">
        <f t="shared" ca="1" si="15"/>
        <v>OK</v>
      </c>
    </row>
    <row r="505" spans="1:17">
      <c r="A505" s="366" t="s">
        <v>2461</v>
      </c>
      <c r="B505" s="366" t="s">
        <v>231</v>
      </c>
      <c r="C505" s="348" t="str">
        <f>DATA_PROPERTY_MASTER!$A$5</f>
        <v>BLD_AB</v>
      </c>
      <c r="D505" s="380">
        <f>'00_PORTFOLIO ROLLUP'!Q$12</f>
        <v>2037</v>
      </c>
      <c r="E505" s="366" t="s">
        <v>1683</v>
      </c>
      <c r="F505" s="366" t="s">
        <v>27</v>
      </c>
      <c r="G505" s="348" t="str">
        <f>"'"&amp;$C505&amp;"'!$E$54:$Y$54"</f>
        <v>'BLD_AB'!$E$54:$Y$54</v>
      </c>
      <c r="H505" s="381">
        <f ca="1">IF(IFERROR(INDEX(DATA_PROPERTY_MASTER!$E$5:$E$21,MATCH($C505,DATA_PROPERTY_MASTER!$A$5:$A$21,0))="Yes",FALSE),IFERROR(INDEX(INDIRECT("'"&amp;$C505&amp;"'!$E$54:$Y$54"),1,MATCH($D505,INDIRECT("'"&amp;$C505&amp;"'!$E$12:$Y$12"),0)),0),0)</f>
        <v>0</v>
      </c>
      <c r="I505" s="366" t="s">
        <v>1690</v>
      </c>
      <c r="J505" s="348" t="str">
        <f t="shared" ca="1" si="14"/>
        <v>OK</v>
      </c>
      <c r="K505" s="366" t="s">
        <v>1714</v>
      </c>
      <c r="L505" s="366" t="s">
        <v>2248</v>
      </c>
      <c r="M505" s="350" t="str">
        <f>IF($B505="Portfolio","Portfolio",IFERROR(INDEX(DATA_ASSET_CLASSIFICATION!$B$8:$B$24,MATCH($C505,DATA_ASSET_CLASSIFICATION!$A$8:$A$24,0)),"Review"))</f>
        <v>Alma Blackwell</v>
      </c>
      <c r="N505" s="350" t="str">
        <f>IF($B505="Portfolio","Portfolio",IFERROR(INDEX(DATA_ASSET_CLASSIFICATION!$U$8:$U$24,MATCH($C505,DATA_ASSET_CLASSIFICATION!$A$8:$A$24,0)),"Review"))</f>
        <v>Excluded</v>
      </c>
      <c r="O505" s="350" t="str">
        <f>IF($B505="Portfolio","Portfolio",IFERROR(INDEX(DATA_ASSET_CLASSIFICATION!$AB$8:$AB$13,MATCH($N505,DATA_ASSET_CLASSIFICATION!$AA$8:$AA$13,0)),"Review"))</f>
        <v>Bucket 0 · Excluded</v>
      </c>
      <c r="P505" s="350" t="str">
        <f>IF($B505="Portfolio","Portfolio",IFERROR(INDEX(DATA_ASSET_CLASSIFICATION!$C$8:$C$24,MATCH($C505,DATA_ASSET_CLASSIFICATION!$A$8:$A$24,0)),"Review"))</f>
        <v>No</v>
      </c>
      <c r="Q505" s="350" t="str">
        <f t="shared" ca="1" si="15"/>
        <v>OK</v>
      </c>
    </row>
    <row r="506" spans="1:17">
      <c r="A506" s="366" t="s">
        <v>2462</v>
      </c>
      <c r="B506" s="366" t="s">
        <v>231</v>
      </c>
      <c r="C506" s="348" t="str">
        <f>DATA_PROPERTY_MASTER!$A$5</f>
        <v>BLD_AB</v>
      </c>
      <c r="D506" s="380">
        <f>'00_PORTFOLIO ROLLUP'!Q$12</f>
        <v>2037</v>
      </c>
      <c r="E506" s="366" t="s">
        <v>1683</v>
      </c>
      <c r="F506" s="366" t="s">
        <v>29</v>
      </c>
      <c r="G506" s="348" t="str">
        <f>"'"&amp;$C506&amp;"'!$E$56:$Y$56"</f>
        <v>'BLD_AB'!$E$56:$Y$56</v>
      </c>
      <c r="H506" s="381">
        <f ca="1">IF(IFERROR(INDEX(DATA_PROPERTY_MASTER!$E$5:$E$21,MATCH($C506,DATA_PROPERTY_MASTER!$A$5:$A$21,0))="Yes",FALSE),IFERROR(INDEX(INDIRECT("'"&amp;$C506&amp;"'!$E$56:$Y$56"),1,MATCH($D506,INDIRECT("'"&amp;$C506&amp;"'!$E$12:$Y$12"),0)),0),0)</f>
        <v>0</v>
      </c>
      <c r="I506" s="366" t="s">
        <v>1685</v>
      </c>
      <c r="J506" s="348" t="str">
        <f t="shared" ca="1" si="14"/>
        <v>OK</v>
      </c>
      <c r="K506" s="366" t="s">
        <v>1718</v>
      </c>
      <c r="L506" s="366" t="s">
        <v>2250</v>
      </c>
      <c r="M506" s="350" t="str">
        <f>IF($B506="Portfolio","Portfolio",IFERROR(INDEX(DATA_ASSET_CLASSIFICATION!$B$8:$B$24,MATCH($C506,DATA_ASSET_CLASSIFICATION!$A$8:$A$24,0)),"Review"))</f>
        <v>Alma Blackwell</v>
      </c>
      <c r="N506" s="350" t="str">
        <f>IF($B506="Portfolio","Portfolio",IFERROR(INDEX(DATA_ASSET_CLASSIFICATION!$U$8:$U$24,MATCH($C506,DATA_ASSET_CLASSIFICATION!$A$8:$A$24,0)),"Review"))</f>
        <v>Excluded</v>
      </c>
      <c r="O506" s="350" t="str">
        <f>IF($B506="Portfolio","Portfolio",IFERROR(INDEX(DATA_ASSET_CLASSIFICATION!$AB$8:$AB$13,MATCH($N506,DATA_ASSET_CLASSIFICATION!$AA$8:$AA$13,0)),"Review"))</f>
        <v>Bucket 0 · Excluded</v>
      </c>
      <c r="P506" s="350" t="str">
        <f>IF($B506="Portfolio","Portfolio",IFERROR(INDEX(DATA_ASSET_CLASSIFICATION!$C$8:$C$24,MATCH($C506,DATA_ASSET_CLASSIFICATION!$A$8:$A$24,0)),"Review"))</f>
        <v>No</v>
      </c>
      <c r="Q506" s="350" t="str">
        <f t="shared" ca="1" si="15"/>
        <v>OK</v>
      </c>
    </row>
    <row r="507" spans="1:17">
      <c r="A507" s="366" t="s">
        <v>2463</v>
      </c>
      <c r="B507" s="366" t="s">
        <v>231</v>
      </c>
      <c r="C507" s="348" t="str">
        <f>DATA_PROPERTY_MASTER!$A$5</f>
        <v>BLD_AB</v>
      </c>
      <c r="D507" s="380">
        <f>'00_PORTFOLIO ROLLUP'!Q$12</f>
        <v>2037</v>
      </c>
      <c r="E507" s="366" t="s">
        <v>1721</v>
      </c>
      <c r="F507" s="366" t="s">
        <v>31</v>
      </c>
      <c r="G507" s="348" t="str">
        <f>"'"&amp;$C507&amp;"'!$E$61:$Y$61"</f>
        <v>'BLD_AB'!$E$61:$Y$61</v>
      </c>
      <c r="H507" s="381">
        <f ca="1">IF(IFERROR(INDEX(DATA_PROPERTY_MASTER!$E$5:$E$21,MATCH($C507,DATA_PROPERTY_MASTER!$A$5:$A$21,0))="Yes",FALSE),IFERROR(INDEX(INDIRECT("'"&amp;$C507&amp;"'!$E$61:$Y$61"),1,MATCH($D507,INDIRECT("'"&amp;$C507&amp;"'!$E$12:$Y$12"),0)),0),0)</f>
        <v>0</v>
      </c>
      <c r="I507" s="366" t="s">
        <v>1690</v>
      </c>
      <c r="J507" s="348" t="str">
        <f t="shared" ca="1" si="14"/>
        <v>OK</v>
      </c>
      <c r="K507" s="366" t="s">
        <v>1723</v>
      </c>
      <c r="L507" s="366" t="s">
        <v>2252</v>
      </c>
      <c r="M507" s="350" t="str">
        <f>IF($B507="Portfolio","Portfolio",IFERROR(INDEX(DATA_ASSET_CLASSIFICATION!$B$8:$B$24,MATCH($C507,DATA_ASSET_CLASSIFICATION!$A$8:$A$24,0)),"Review"))</f>
        <v>Alma Blackwell</v>
      </c>
      <c r="N507" s="350" t="str">
        <f>IF($B507="Portfolio","Portfolio",IFERROR(INDEX(DATA_ASSET_CLASSIFICATION!$U$8:$U$24,MATCH($C507,DATA_ASSET_CLASSIFICATION!$A$8:$A$24,0)),"Review"))</f>
        <v>Excluded</v>
      </c>
      <c r="O507" s="350" t="str">
        <f>IF($B507="Portfolio","Portfolio",IFERROR(INDEX(DATA_ASSET_CLASSIFICATION!$AB$8:$AB$13,MATCH($N507,DATA_ASSET_CLASSIFICATION!$AA$8:$AA$13,0)),"Review"))</f>
        <v>Bucket 0 · Excluded</v>
      </c>
      <c r="P507" s="350" t="str">
        <f>IF($B507="Portfolio","Portfolio",IFERROR(INDEX(DATA_ASSET_CLASSIFICATION!$C$8:$C$24,MATCH($C507,DATA_ASSET_CLASSIFICATION!$A$8:$A$24,0)),"Review"))</f>
        <v>No</v>
      </c>
      <c r="Q507" s="350" t="str">
        <f t="shared" ca="1" si="15"/>
        <v>OK</v>
      </c>
    </row>
    <row r="508" spans="1:17">
      <c r="A508" s="366" t="s">
        <v>2464</v>
      </c>
      <c r="B508" s="366" t="s">
        <v>231</v>
      </c>
      <c r="C508" s="348" t="str">
        <f>DATA_PROPERTY_MASTER!$A$5</f>
        <v>BLD_AB</v>
      </c>
      <c r="D508" s="380">
        <f>'00_PORTFOLIO ROLLUP'!Q$12</f>
        <v>2037</v>
      </c>
      <c r="E508" s="366" t="s">
        <v>1721</v>
      </c>
      <c r="F508" s="366" t="s">
        <v>33</v>
      </c>
      <c r="G508" s="348" t="str">
        <f>"'"&amp;$C508&amp;"'!$E$62:$Y$62"</f>
        <v>'BLD_AB'!$E$62:$Y$62</v>
      </c>
      <c r="H508" s="381">
        <f ca="1">IF(IFERROR(INDEX(DATA_PROPERTY_MASTER!$E$5:$E$21,MATCH($C508,DATA_PROPERTY_MASTER!$A$5:$A$21,0))="Yes",FALSE),IFERROR(INDEX(INDIRECT("'"&amp;$C508&amp;"'!$E$62:$Y$62"),1,MATCH($D508,INDIRECT("'"&amp;$C508&amp;"'!$E$12:$Y$12"),0)),0),0)</f>
        <v>0</v>
      </c>
      <c r="I508" s="366" t="s">
        <v>1685</v>
      </c>
      <c r="J508" s="348" t="str">
        <f t="shared" ca="1" si="14"/>
        <v>OK</v>
      </c>
      <c r="K508" s="366" t="s">
        <v>1727</v>
      </c>
      <c r="L508" s="366" t="s">
        <v>2254</v>
      </c>
      <c r="M508" s="350" t="str">
        <f>IF($B508="Portfolio","Portfolio",IFERROR(INDEX(DATA_ASSET_CLASSIFICATION!$B$8:$B$24,MATCH($C508,DATA_ASSET_CLASSIFICATION!$A$8:$A$24,0)),"Review"))</f>
        <v>Alma Blackwell</v>
      </c>
      <c r="N508" s="350" t="str">
        <f>IF($B508="Portfolio","Portfolio",IFERROR(INDEX(DATA_ASSET_CLASSIFICATION!$U$8:$U$24,MATCH($C508,DATA_ASSET_CLASSIFICATION!$A$8:$A$24,0)),"Review"))</f>
        <v>Excluded</v>
      </c>
      <c r="O508" s="350" t="str">
        <f>IF($B508="Portfolio","Portfolio",IFERROR(INDEX(DATA_ASSET_CLASSIFICATION!$AB$8:$AB$13,MATCH($N508,DATA_ASSET_CLASSIFICATION!$AA$8:$AA$13,0)),"Review"))</f>
        <v>Bucket 0 · Excluded</v>
      </c>
      <c r="P508" s="350" t="str">
        <f>IF($B508="Portfolio","Portfolio",IFERROR(INDEX(DATA_ASSET_CLASSIFICATION!$C$8:$C$24,MATCH($C508,DATA_ASSET_CLASSIFICATION!$A$8:$A$24,0)),"Review"))</f>
        <v>No</v>
      </c>
      <c r="Q508" s="350" t="str">
        <f t="shared" ca="1" si="15"/>
        <v>OK</v>
      </c>
    </row>
    <row r="509" spans="1:17">
      <c r="A509" s="366" t="s">
        <v>2465</v>
      </c>
      <c r="B509" s="366" t="s">
        <v>231</v>
      </c>
      <c r="C509" s="348" t="str">
        <f>DATA_PROPERTY_MASTER!$A$5</f>
        <v>BLD_AB</v>
      </c>
      <c r="D509" s="380">
        <f>'00_PORTFOLIO ROLLUP'!Q$12</f>
        <v>2037</v>
      </c>
      <c r="E509" s="366" t="s">
        <v>1721</v>
      </c>
      <c r="F509" s="366" t="s">
        <v>35</v>
      </c>
      <c r="G509" s="348" t="str">
        <f>"'"&amp;$C509&amp;"'!$E$63:$Y$63"</f>
        <v>'BLD_AB'!$E$63:$Y$63</v>
      </c>
      <c r="H509" s="381">
        <f ca="1">IF(IFERROR(INDEX(DATA_PROPERTY_MASTER!$E$5:$E$21,MATCH($C509,DATA_PROPERTY_MASTER!$A$5:$A$21,0))="Yes",FALSE),IFERROR(INDEX(INDIRECT("'"&amp;$C509&amp;"'!$E$63:$Y$63"),1,MATCH($D509,INDIRECT("'"&amp;$C509&amp;"'!$E$12:$Y$12"),0)),0),0)</f>
        <v>0</v>
      </c>
      <c r="I509" s="366" t="s">
        <v>1731</v>
      </c>
      <c r="J509" s="348" t="str">
        <f t="shared" ca="1" si="14"/>
        <v>OK</v>
      </c>
      <c r="K509" s="366" t="s">
        <v>1732</v>
      </c>
      <c r="L509" s="366" t="s">
        <v>2256</v>
      </c>
      <c r="M509" s="350" t="str">
        <f>IF($B509="Portfolio","Portfolio",IFERROR(INDEX(DATA_ASSET_CLASSIFICATION!$B$8:$B$24,MATCH($C509,DATA_ASSET_CLASSIFICATION!$A$8:$A$24,0)),"Review"))</f>
        <v>Alma Blackwell</v>
      </c>
      <c r="N509" s="350" t="str">
        <f>IF($B509="Portfolio","Portfolio",IFERROR(INDEX(DATA_ASSET_CLASSIFICATION!$U$8:$U$24,MATCH($C509,DATA_ASSET_CLASSIFICATION!$A$8:$A$24,0)),"Review"))</f>
        <v>Excluded</v>
      </c>
      <c r="O509" s="350" t="str">
        <f>IF($B509="Portfolio","Portfolio",IFERROR(INDEX(DATA_ASSET_CLASSIFICATION!$AB$8:$AB$13,MATCH($N509,DATA_ASSET_CLASSIFICATION!$AA$8:$AA$13,0)),"Review"))</f>
        <v>Bucket 0 · Excluded</v>
      </c>
      <c r="P509" s="350" t="str">
        <f>IF($B509="Portfolio","Portfolio",IFERROR(INDEX(DATA_ASSET_CLASSIFICATION!$C$8:$C$24,MATCH($C509,DATA_ASSET_CLASSIFICATION!$A$8:$A$24,0)),"Review"))</f>
        <v>No</v>
      </c>
      <c r="Q509" s="350" t="str">
        <f t="shared" ca="1" si="15"/>
        <v>OK</v>
      </c>
    </row>
    <row r="510" spans="1:17">
      <c r="A510" s="366" t="s">
        <v>2466</v>
      </c>
      <c r="B510" s="366" t="s">
        <v>231</v>
      </c>
      <c r="C510" s="348" t="str">
        <f>DATA_PROPERTY_MASTER!$A$5</f>
        <v>BLD_AB</v>
      </c>
      <c r="D510" s="380">
        <f>'00_PORTFOLIO ROLLUP'!Q$12</f>
        <v>2037</v>
      </c>
      <c r="E510" s="366" t="s">
        <v>1721</v>
      </c>
      <c r="F510" s="366" t="s">
        <v>37</v>
      </c>
      <c r="G510" s="348" t="str">
        <f>"'"&amp;$C510&amp;"'!$E$63:$Y$63"</f>
        <v>'BLD_AB'!$E$63:$Y$63</v>
      </c>
      <c r="H510" s="381">
        <f ca="1">IF(IFERROR(INDEX(DATA_PROPERTY_MASTER!$E$5:$E$21,MATCH($C510,DATA_PROPERTY_MASTER!$A$5:$A$21,0))="Yes",FALSE),MAX(IFERROR(INDEX(INDIRECT("'"&amp;$C510&amp;"'!$E$63:$Y$63"),1,MATCH($D510,INDIRECT("'"&amp;$C510&amp;"'!$E$12:$Y$12"),0)),0),0),0)</f>
        <v>0</v>
      </c>
      <c r="I510" s="366" t="s">
        <v>1685</v>
      </c>
      <c r="J510" s="348" t="str">
        <f t="shared" ca="1" si="14"/>
        <v>OK</v>
      </c>
      <c r="K510" s="366" t="s">
        <v>1735</v>
      </c>
      <c r="L510" s="366" t="s">
        <v>2258</v>
      </c>
      <c r="M510" s="350" t="str">
        <f>IF($B510="Portfolio","Portfolio",IFERROR(INDEX(DATA_ASSET_CLASSIFICATION!$B$8:$B$24,MATCH($C510,DATA_ASSET_CLASSIFICATION!$A$8:$A$24,0)),"Review"))</f>
        <v>Alma Blackwell</v>
      </c>
      <c r="N510" s="350" t="str">
        <f>IF($B510="Portfolio","Portfolio",IFERROR(INDEX(DATA_ASSET_CLASSIFICATION!$U$8:$U$24,MATCH($C510,DATA_ASSET_CLASSIFICATION!$A$8:$A$24,0)),"Review"))</f>
        <v>Excluded</v>
      </c>
      <c r="O510" s="350" t="str">
        <f>IF($B510="Portfolio","Portfolio",IFERROR(INDEX(DATA_ASSET_CLASSIFICATION!$AB$8:$AB$13,MATCH($N510,DATA_ASSET_CLASSIFICATION!$AA$8:$AA$13,0)),"Review"))</f>
        <v>Bucket 0 · Excluded</v>
      </c>
      <c r="P510" s="350" t="str">
        <f>IF($B510="Portfolio","Portfolio",IFERROR(INDEX(DATA_ASSET_CLASSIFICATION!$C$8:$C$24,MATCH($C510,DATA_ASSET_CLASSIFICATION!$A$8:$A$24,0)),"Review"))</f>
        <v>No</v>
      </c>
      <c r="Q510" s="350" t="str">
        <f t="shared" ca="1" si="15"/>
        <v>OK</v>
      </c>
    </row>
    <row r="511" spans="1:17">
      <c r="A511" s="366" t="s">
        <v>2467</v>
      </c>
      <c r="B511" s="366" t="s">
        <v>231</v>
      </c>
      <c r="C511" s="348" t="str">
        <f>DATA_PROPERTY_MASTER!$A$5</f>
        <v>BLD_AB</v>
      </c>
      <c r="D511" s="380">
        <f>'00_PORTFOLIO ROLLUP'!Q$12</f>
        <v>2037</v>
      </c>
      <c r="E511" s="366" t="s">
        <v>1721</v>
      </c>
      <c r="F511" s="366" t="s">
        <v>39</v>
      </c>
      <c r="G511" s="348" t="str">
        <f>"'"&amp;$C511&amp;"'!$E$63:$Y$63"</f>
        <v>'BLD_AB'!$E$63:$Y$63</v>
      </c>
      <c r="H511" s="381">
        <f ca="1">IF(IFERROR(INDEX(DATA_PROPERTY_MASTER!$E$5:$E$21,MATCH($C511,DATA_PROPERTY_MASTER!$A$5:$A$21,0))="Yes",FALSE),MAX(-IFERROR(INDEX(INDIRECT("'"&amp;$C511&amp;"'!$E$63:$Y$63"),1,MATCH($D511,INDIRECT("'"&amp;$C511&amp;"'!$E$12:$Y$12"),0)),0),0),0)</f>
        <v>0</v>
      </c>
      <c r="I511" s="366" t="s">
        <v>1690</v>
      </c>
      <c r="J511" s="348" t="str">
        <f t="shared" ca="1" si="14"/>
        <v>OK</v>
      </c>
      <c r="K511" s="366" t="s">
        <v>1738</v>
      </c>
      <c r="L511" s="366" t="s">
        <v>2260</v>
      </c>
      <c r="M511" s="350" t="str">
        <f>IF($B511="Portfolio","Portfolio",IFERROR(INDEX(DATA_ASSET_CLASSIFICATION!$B$8:$B$24,MATCH($C511,DATA_ASSET_CLASSIFICATION!$A$8:$A$24,0)),"Review"))</f>
        <v>Alma Blackwell</v>
      </c>
      <c r="N511" s="350" t="str">
        <f>IF($B511="Portfolio","Portfolio",IFERROR(INDEX(DATA_ASSET_CLASSIFICATION!$U$8:$U$24,MATCH($C511,DATA_ASSET_CLASSIFICATION!$A$8:$A$24,0)),"Review"))</f>
        <v>Excluded</v>
      </c>
      <c r="O511" s="350" t="str">
        <f>IF($B511="Portfolio","Portfolio",IFERROR(INDEX(DATA_ASSET_CLASSIFICATION!$AB$8:$AB$13,MATCH($N511,DATA_ASSET_CLASSIFICATION!$AA$8:$AA$13,0)),"Review"))</f>
        <v>Bucket 0 · Excluded</v>
      </c>
      <c r="P511" s="350" t="str">
        <f>IF($B511="Portfolio","Portfolio",IFERROR(INDEX(DATA_ASSET_CLASSIFICATION!$C$8:$C$24,MATCH($C511,DATA_ASSET_CLASSIFICATION!$A$8:$A$24,0)),"Review"))</f>
        <v>No</v>
      </c>
      <c r="Q511" s="350" t="str">
        <f t="shared" ca="1" si="15"/>
        <v>OK</v>
      </c>
    </row>
    <row r="512" spans="1:17">
      <c r="A512" s="366" t="s">
        <v>2468</v>
      </c>
      <c r="B512" s="366" t="s">
        <v>231</v>
      </c>
      <c r="C512" s="348" t="str">
        <f>DATA_PROPERTY_MASTER!$A$5</f>
        <v>BLD_AB</v>
      </c>
      <c r="D512" s="380">
        <f>'00_PORTFOLIO ROLLUP'!Q$12</f>
        <v>2037</v>
      </c>
      <c r="E512" s="366" t="s">
        <v>1741</v>
      </c>
      <c r="F512" s="366" t="s">
        <v>41</v>
      </c>
      <c r="G512" s="348" t="str">
        <f>"'"&amp;$C512&amp;"'!rows 56 + positive row 63"</f>
        <v>'BLD_AB'!rows 56 + positive row 63</v>
      </c>
      <c r="H512" s="381">
        <f ca="1">IF(IFERROR(INDEX(DATA_PROPERTY_MASTER!$E$5:$E$21,MATCH($C512,DATA_PROPERTY_MASTER!$A$5:$A$21,0))="Yes",FALSE),IFERROR(INDEX(INDIRECT("'"&amp;$C512&amp;"'!$E$56:$Y$56"),1,MATCH($D512,INDIRECT("'"&amp;$C512&amp;"'!$E$12:$Y$12"),0)),0)+MAX(IFERROR(INDEX(INDIRECT("'"&amp;$C512&amp;"'!$E$63:$Y$63"),1,MATCH($D512,INDIRECT("'"&amp;$C512&amp;"'!$E$12:$Y$12"),0)),0),0),0)</f>
        <v>0</v>
      </c>
      <c r="I512" s="366" t="s">
        <v>1685</v>
      </c>
      <c r="J512" s="348" t="str">
        <f t="shared" ca="1" si="14"/>
        <v>OK</v>
      </c>
      <c r="K512" s="366" t="s">
        <v>1742</v>
      </c>
      <c r="L512" s="366" t="s">
        <v>2262</v>
      </c>
      <c r="M512" s="350" t="str">
        <f>IF($B512="Portfolio","Portfolio",IFERROR(INDEX(DATA_ASSET_CLASSIFICATION!$B$8:$B$24,MATCH($C512,DATA_ASSET_CLASSIFICATION!$A$8:$A$24,0)),"Review"))</f>
        <v>Alma Blackwell</v>
      </c>
      <c r="N512" s="350" t="str">
        <f>IF($B512="Portfolio","Portfolio",IFERROR(INDEX(DATA_ASSET_CLASSIFICATION!$U$8:$U$24,MATCH($C512,DATA_ASSET_CLASSIFICATION!$A$8:$A$24,0)),"Review"))</f>
        <v>Excluded</v>
      </c>
      <c r="O512" s="350" t="str">
        <f>IF($B512="Portfolio","Portfolio",IFERROR(INDEX(DATA_ASSET_CLASSIFICATION!$AB$8:$AB$13,MATCH($N512,DATA_ASSET_CLASSIFICATION!$AA$8:$AA$13,0)),"Review"))</f>
        <v>Bucket 0 · Excluded</v>
      </c>
      <c r="P512" s="350" t="str">
        <f>IF($B512="Portfolio","Portfolio",IFERROR(INDEX(DATA_ASSET_CLASSIFICATION!$C$8:$C$24,MATCH($C512,DATA_ASSET_CLASSIFICATION!$A$8:$A$24,0)),"Review"))</f>
        <v>No</v>
      </c>
      <c r="Q512" s="350" t="str">
        <f t="shared" ca="1" si="15"/>
        <v>OK</v>
      </c>
    </row>
    <row r="513" spans="1:17">
      <c r="A513" s="366" t="s">
        <v>2469</v>
      </c>
      <c r="B513" s="366" t="s">
        <v>231</v>
      </c>
      <c r="C513" s="348" t="str">
        <f>DATA_PROPERTY_MASTER!$A$5</f>
        <v>BLD_AB</v>
      </c>
      <c r="D513" s="380">
        <f>'00_PORTFOLIO ROLLUP'!Q$12</f>
        <v>2037</v>
      </c>
      <c r="E513" s="366" t="s">
        <v>1741</v>
      </c>
      <c r="F513" s="366" t="s">
        <v>43</v>
      </c>
      <c r="G513" s="348" t="str">
        <f>"'"&amp;$C513&amp;"'!$E$68:$Y$68"</f>
        <v>'BLD_AB'!$E$68:$Y$68</v>
      </c>
      <c r="H513" s="381">
        <f ca="1">IF(IFERROR(INDEX(DATA_PROPERTY_MASTER!$E$5:$E$21,MATCH($C513,DATA_PROPERTY_MASTER!$A$5:$A$21,0))="Yes",FALSE),IFERROR(INDEX(INDIRECT("'"&amp;$C513&amp;"'!$E$68:$Y$68"),1,MATCH($D513,INDIRECT("'"&amp;$C513&amp;"'!$E$12:$Y$12"),0)),0),0)</f>
        <v>0</v>
      </c>
      <c r="I513" s="366" t="s">
        <v>1731</v>
      </c>
      <c r="J513" s="348" t="str">
        <f t="shared" ca="1" si="14"/>
        <v>OK</v>
      </c>
      <c r="K513" s="366" t="s">
        <v>1746</v>
      </c>
      <c r="L513" s="366" t="s">
        <v>2264</v>
      </c>
      <c r="M513" s="350" t="str">
        <f>IF($B513="Portfolio","Portfolio",IFERROR(INDEX(DATA_ASSET_CLASSIFICATION!$B$8:$B$24,MATCH($C513,DATA_ASSET_CLASSIFICATION!$A$8:$A$24,0)),"Review"))</f>
        <v>Alma Blackwell</v>
      </c>
      <c r="N513" s="350" t="str">
        <f>IF($B513="Portfolio","Portfolio",IFERROR(INDEX(DATA_ASSET_CLASSIFICATION!$U$8:$U$24,MATCH($C513,DATA_ASSET_CLASSIFICATION!$A$8:$A$24,0)),"Review"))</f>
        <v>Excluded</v>
      </c>
      <c r="O513" s="350" t="str">
        <f>IF($B513="Portfolio","Portfolio",IFERROR(INDEX(DATA_ASSET_CLASSIFICATION!$AB$8:$AB$13,MATCH($N513,DATA_ASSET_CLASSIFICATION!$AA$8:$AA$13,0)),"Review"))</f>
        <v>Bucket 0 · Excluded</v>
      </c>
      <c r="P513" s="350" t="str">
        <f>IF($B513="Portfolio","Portfolio",IFERROR(INDEX(DATA_ASSET_CLASSIFICATION!$C$8:$C$24,MATCH($C513,DATA_ASSET_CLASSIFICATION!$A$8:$A$24,0)),"Review"))</f>
        <v>No</v>
      </c>
      <c r="Q513" s="350" t="str">
        <f t="shared" ca="1" si="15"/>
        <v>OK</v>
      </c>
    </row>
    <row r="514" spans="1:17">
      <c r="A514" s="366" t="s">
        <v>2470</v>
      </c>
      <c r="B514" s="366" t="s">
        <v>231</v>
      </c>
      <c r="C514" s="348" t="str">
        <f>DATA_PROPERTY_MASTER!$A$5</f>
        <v>BLD_AB</v>
      </c>
      <c r="D514" s="380">
        <f>'00_PORTFOLIO ROLLUP'!Q$12</f>
        <v>2037</v>
      </c>
      <c r="E514" s="366" t="s">
        <v>1741</v>
      </c>
      <c r="F514" s="366" t="s">
        <v>1749</v>
      </c>
      <c r="G514" s="348" t="str">
        <f>"'"&amp;$C514&amp;"'!rows 56, 63, 68"</f>
        <v>'BLD_AB'!rows 56, 63, 68</v>
      </c>
      <c r="H514" s="381">
        <f ca="1">IF(IFERROR(INDEX(DATA_PROPERTY_MASTER!$E$5:$E$21,MATCH($C514,DATA_PROPERTY_MASTER!$A$5:$A$21,0))="Yes",FALSE),(IFERROR(INDEX(INDIRECT("'"&amp;$C514&amp;"'!$E$56:$Y$56"),1,MATCH($D514,INDIRECT("'"&amp;$C514&amp;"'!$E$12:$Y$12"),0)),0)+MAX(IFERROR(INDEX(INDIRECT("'"&amp;$C514&amp;"'!$E$63:$Y$63"),1,MATCH($D514,INDIRECT("'"&amp;$C514&amp;"'!$E$12:$Y$12"),0)),0),0))-(IFERROR(INDEX(INDIRECT("'"&amp;$C514&amp;"'!$E$68:$Y$68"),1,MATCH($D514,INDIRECT("'"&amp;$C514&amp;"'!$E$12:$Y$12"),0)),0)),0)</f>
        <v>0</v>
      </c>
      <c r="I514" s="366" t="s">
        <v>1750</v>
      </c>
      <c r="J514" s="348" t="str">
        <f t="shared" ca="1" si="14"/>
        <v>OK</v>
      </c>
      <c r="K514" s="366" t="s">
        <v>1751</v>
      </c>
      <c r="L514" s="366" t="s">
        <v>2266</v>
      </c>
      <c r="M514" s="350" t="str">
        <f>IF($B514="Portfolio","Portfolio",IFERROR(INDEX(DATA_ASSET_CLASSIFICATION!$B$8:$B$24,MATCH($C514,DATA_ASSET_CLASSIFICATION!$A$8:$A$24,0)),"Review"))</f>
        <v>Alma Blackwell</v>
      </c>
      <c r="N514" s="350" t="str">
        <f>IF($B514="Portfolio","Portfolio",IFERROR(INDEX(DATA_ASSET_CLASSIFICATION!$U$8:$U$24,MATCH($C514,DATA_ASSET_CLASSIFICATION!$A$8:$A$24,0)),"Review"))</f>
        <v>Excluded</v>
      </c>
      <c r="O514" s="350" t="str">
        <f>IF($B514="Portfolio","Portfolio",IFERROR(INDEX(DATA_ASSET_CLASSIFICATION!$AB$8:$AB$13,MATCH($N514,DATA_ASSET_CLASSIFICATION!$AA$8:$AA$13,0)),"Review"))</f>
        <v>Bucket 0 · Excluded</v>
      </c>
      <c r="P514" s="350" t="str">
        <f>IF($B514="Portfolio","Portfolio",IFERROR(INDEX(DATA_ASSET_CLASSIFICATION!$C$8:$C$24,MATCH($C514,DATA_ASSET_CLASSIFICATION!$A$8:$A$24,0)),"Review"))</f>
        <v>No</v>
      </c>
      <c r="Q514" s="350" t="str">
        <f t="shared" ca="1" si="15"/>
        <v>OK</v>
      </c>
    </row>
    <row r="515" spans="1:17">
      <c r="A515" s="366" t="s">
        <v>2471</v>
      </c>
      <c r="B515" s="366" t="s">
        <v>231</v>
      </c>
      <c r="C515" s="348" t="str">
        <f>DATA_PROPERTY_MASTER!$A$5</f>
        <v>BLD_AB</v>
      </c>
      <c r="D515" s="380">
        <f>'00_PORTFOLIO ROLLUP'!R$12</f>
        <v>2038</v>
      </c>
      <c r="E515" s="366" t="s">
        <v>1683</v>
      </c>
      <c r="F515" s="366" t="s">
        <v>341</v>
      </c>
      <c r="G515" s="348" t="str">
        <f>"'"&amp;$C515&amp;"'!$E$24:$Y$24"</f>
        <v>'BLD_AB'!$E$24:$Y$24</v>
      </c>
      <c r="H515" s="381">
        <f ca="1">IF(IFERROR(INDEX(DATA_PROPERTY_MASTER!$E$5:$E$21,MATCH($C515,DATA_PROPERTY_MASTER!$A$5:$A$21,0))="Yes",FALSE),IFERROR(INDEX(INDIRECT("'"&amp;$C515&amp;"'!$E$24:$Y$24"),1,MATCH($D515,INDIRECT("'"&amp;$C515&amp;"'!$E$12:$Y$12"),0)),0),0)</f>
        <v>0</v>
      </c>
      <c r="I515" s="366" t="s">
        <v>1685</v>
      </c>
      <c r="J515" s="348" t="str">
        <f t="shared" ca="1" si="14"/>
        <v>OK</v>
      </c>
      <c r="K515" s="366" t="s">
        <v>1686</v>
      </c>
      <c r="L515" s="366" t="s">
        <v>2234</v>
      </c>
      <c r="M515" s="350" t="str">
        <f>IF($B515="Portfolio","Portfolio",IFERROR(INDEX(DATA_ASSET_CLASSIFICATION!$B$8:$B$24,MATCH($C515,DATA_ASSET_CLASSIFICATION!$A$8:$A$24,0)),"Review"))</f>
        <v>Alma Blackwell</v>
      </c>
      <c r="N515" s="350" t="str">
        <f>IF($B515="Portfolio","Portfolio",IFERROR(INDEX(DATA_ASSET_CLASSIFICATION!$U$8:$U$24,MATCH($C515,DATA_ASSET_CLASSIFICATION!$A$8:$A$24,0)),"Review"))</f>
        <v>Excluded</v>
      </c>
      <c r="O515" s="350" t="str">
        <f>IF($B515="Portfolio","Portfolio",IFERROR(INDEX(DATA_ASSET_CLASSIFICATION!$AB$8:$AB$13,MATCH($N515,DATA_ASSET_CLASSIFICATION!$AA$8:$AA$13,0)),"Review"))</f>
        <v>Bucket 0 · Excluded</v>
      </c>
      <c r="P515" s="350" t="str">
        <f>IF($B515="Portfolio","Portfolio",IFERROR(INDEX(DATA_ASSET_CLASSIFICATION!$C$8:$C$24,MATCH($C515,DATA_ASSET_CLASSIFICATION!$A$8:$A$24,0)),"Review"))</f>
        <v>No</v>
      </c>
      <c r="Q515" s="350" t="str">
        <f t="shared" ca="1" si="15"/>
        <v>OK</v>
      </c>
    </row>
    <row r="516" spans="1:17">
      <c r="A516" s="366" t="s">
        <v>2472</v>
      </c>
      <c r="B516" s="366" t="s">
        <v>231</v>
      </c>
      <c r="C516" s="348" t="str">
        <f>DATA_PROPERTY_MASTER!$A$5</f>
        <v>BLD_AB</v>
      </c>
      <c r="D516" s="380">
        <f>'00_PORTFOLIO ROLLUP'!R$12</f>
        <v>2038</v>
      </c>
      <c r="E516" s="366" t="s">
        <v>1683</v>
      </c>
      <c r="F516" s="366" t="s">
        <v>355</v>
      </c>
      <c r="G516" s="348" t="str">
        <f>"'"&amp;$C516&amp;"'!$E$39:$Y$39"</f>
        <v>'BLD_AB'!$E$39:$Y$39</v>
      </c>
      <c r="H516" s="381">
        <f ca="1">IF(IFERROR(INDEX(DATA_PROPERTY_MASTER!$E$5:$E$21,MATCH($C516,DATA_PROPERTY_MASTER!$A$5:$A$21,0))="Yes",FALSE),IFERROR(INDEX(INDIRECT("'"&amp;$C516&amp;"'!$E$39:$Y$39"),1,MATCH($D516,INDIRECT("'"&amp;$C516&amp;"'!$E$12:$Y$12"),0)),0),0)</f>
        <v>0</v>
      </c>
      <c r="I516" s="366" t="s">
        <v>1690</v>
      </c>
      <c r="J516" s="348" t="str">
        <f t="shared" ca="1" si="14"/>
        <v>OK</v>
      </c>
      <c r="K516" s="366" t="s">
        <v>1686</v>
      </c>
      <c r="L516" s="366" t="s">
        <v>2236</v>
      </c>
      <c r="M516" s="350" t="str">
        <f>IF($B516="Portfolio","Portfolio",IFERROR(INDEX(DATA_ASSET_CLASSIFICATION!$B$8:$B$24,MATCH($C516,DATA_ASSET_CLASSIFICATION!$A$8:$A$24,0)),"Review"))</f>
        <v>Alma Blackwell</v>
      </c>
      <c r="N516" s="350" t="str">
        <f>IF($B516="Portfolio","Portfolio",IFERROR(INDEX(DATA_ASSET_CLASSIFICATION!$U$8:$U$24,MATCH($C516,DATA_ASSET_CLASSIFICATION!$A$8:$A$24,0)),"Review"))</f>
        <v>Excluded</v>
      </c>
      <c r="O516" s="350" t="str">
        <f>IF($B516="Portfolio","Portfolio",IFERROR(INDEX(DATA_ASSET_CLASSIFICATION!$AB$8:$AB$13,MATCH($N516,DATA_ASSET_CLASSIFICATION!$AA$8:$AA$13,0)),"Review"))</f>
        <v>Bucket 0 · Excluded</v>
      </c>
      <c r="P516" s="350" t="str">
        <f>IF($B516="Portfolio","Portfolio",IFERROR(INDEX(DATA_ASSET_CLASSIFICATION!$C$8:$C$24,MATCH($C516,DATA_ASSET_CLASSIFICATION!$A$8:$A$24,0)),"Review"))</f>
        <v>No</v>
      </c>
      <c r="Q516" s="350" t="str">
        <f t="shared" ca="1" si="15"/>
        <v>OK</v>
      </c>
    </row>
    <row r="517" spans="1:17">
      <c r="A517" s="366" t="s">
        <v>2473</v>
      </c>
      <c r="B517" s="366" t="s">
        <v>231</v>
      </c>
      <c r="C517" s="348" t="str">
        <f>DATA_PROPERTY_MASTER!$A$5</f>
        <v>BLD_AB</v>
      </c>
      <c r="D517" s="380">
        <f>'00_PORTFOLIO ROLLUP'!R$12</f>
        <v>2038</v>
      </c>
      <c r="E517" s="366" t="s">
        <v>1683</v>
      </c>
      <c r="F517" s="366" t="s">
        <v>19</v>
      </c>
      <c r="G517" s="348" t="str">
        <f>"'"&amp;$C517&amp;"'!$E$41:$Y$41"</f>
        <v>'BLD_AB'!$E$41:$Y$41</v>
      </c>
      <c r="H517" s="381">
        <f ca="1">IF(IFERROR(INDEX(DATA_PROPERTY_MASTER!$E$5:$E$21,MATCH($C517,DATA_PROPERTY_MASTER!$A$5:$A$21,0))="Yes",FALSE),IFERROR(INDEX(INDIRECT("'"&amp;$C517&amp;"'!$E$41:$Y$41"),1,MATCH($D517,INDIRECT("'"&amp;$C517&amp;"'!$E$12:$Y$12"),0)),0),0)</f>
        <v>0</v>
      </c>
      <c r="I517" s="366" t="s">
        <v>1685</v>
      </c>
      <c r="J517" s="348" t="str">
        <f t="shared" ref="J517:J580" ca="1" si="16">IF($F517="Residual Funding Gap",IF($H517&gt;0,"Funding Gap","OK"),IF(AND($F517="Net Refinance Position",$H517&lt;0),"Negative net refi position","OK"))</f>
        <v>OK</v>
      </c>
      <c r="K517" s="366" t="s">
        <v>1694</v>
      </c>
      <c r="L517" s="366" t="s">
        <v>2238</v>
      </c>
      <c r="M517" s="350" t="str">
        <f>IF($B517="Portfolio","Portfolio",IFERROR(INDEX(DATA_ASSET_CLASSIFICATION!$B$8:$B$24,MATCH($C517,DATA_ASSET_CLASSIFICATION!$A$8:$A$24,0)),"Review"))</f>
        <v>Alma Blackwell</v>
      </c>
      <c r="N517" s="350" t="str">
        <f>IF($B517="Portfolio","Portfolio",IFERROR(INDEX(DATA_ASSET_CLASSIFICATION!$U$8:$U$24,MATCH($C517,DATA_ASSET_CLASSIFICATION!$A$8:$A$24,0)),"Review"))</f>
        <v>Excluded</v>
      </c>
      <c r="O517" s="350" t="str">
        <f>IF($B517="Portfolio","Portfolio",IFERROR(INDEX(DATA_ASSET_CLASSIFICATION!$AB$8:$AB$13,MATCH($N517,DATA_ASSET_CLASSIFICATION!$AA$8:$AA$13,0)),"Review"))</f>
        <v>Bucket 0 · Excluded</v>
      </c>
      <c r="P517" s="350" t="str">
        <f>IF($B517="Portfolio","Portfolio",IFERROR(INDEX(DATA_ASSET_CLASSIFICATION!$C$8:$C$24,MATCH($C517,DATA_ASSET_CLASSIFICATION!$A$8:$A$24,0)),"Review"))</f>
        <v>No</v>
      </c>
      <c r="Q517" s="350" t="str">
        <f t="shared" ref="Q517:Q580" ca="1" si="17">IF(AND($B517="Property",$F517="Residual Funding Gap",$H517&gt;0),"Property Funding Gap",IF($J517&lt;&gt;"OK",$J517,"OK"))</f>
        <v>OK</v>
      </c>
    </row>
    <row r="518" spans="1:17">
      <c r="A518" s="366" t="s">
        <v>2474</v>
      </c>
      <c r="B518" s="366" t="s">
        <v>231</v>
      </c>
      <c r="C518" s="348" t="str">
        <f>DATA_PROPERTY_MASTER!$A$5</f>
        <v>BLD_AB</v>
      </c>
      <c r="D518" s="380">
        <f>'00_PORTFOLIO ROLLUP'!R$12</f>
        <v>2038</v>
      </c>
      <c r="E518" s="366" t="s">
        <v>1683</v>
      </c>
      <c r="F518" s="366" t="s">
        <v>1697</v>
      </c>
      <c r="G518" s="348" t="str">
        <f>"'"&amp;$C518&amp;"'!$E$44:$Y$44"</f>
        <v>'BLD_AB'!$E$44:$Y$44</v>
      </c>
      <c r="H518" s="381">
        <f ca="1">IF(IFERROR(INDEX(DATA_PROPERTY_MASTER!$E$5:$E$21,MATCH($C518,DATA_PROPERTY_MASTER!$A$5:$A$21,0))="Yes",FALSE),IFERROR(INDEX(INDIRECT("'"&amp;$C518&amp;"'!$E$44:$Y$44"),1,MATCH($D518,INDIRECT("'"&amp;$C518&amp;"'!$E$12:$Y$12"),0)),0),0)</f>
        <v>0</v>
      </c>
      <c r="I518" s="366" t="s">
        <v>1690</v>
      </c>
      <c r="J518" s="348" t="str">
        <f t="shared" ca="1" si="16"/>
        <v>OK</v>
      </c>
      <c r="K518" s="366" t="s">
        <v>1699</v>
      </c>
      <c r="L518" s="366" t="s">
        <v>2240</v>
      </c>
      <c r="M518" s="350" t="str">
        <f>IF($B518="Portfolio","Portfolio",IFERROR(INDEX(DATA_ASSET_CLASSIFICATION!$B$8:$B$24,MATCH($C518,DATA_ASSET_CLASSIFICATION!$A$8:$A$24,0)),"Review"))</f>
        <v>Alma Blackwell</v>
      </c>
      <c r="N518" s="350" t="str">
        <f>IF($B518="Portfolio","Portfolio",IFERROR(INDEX(DATA_ASSET_CLASSIFICATION!$U$8:$U$24,MATCH($C518,DATA_ASSET_CLASSIFICATION!$A$8:$A$24,0)),"Review"))</f>
        <v>Excluded</v>
      </c>
      <c r="O518" s="350" t="str">
        <f>IF($B518="Portfolio","Portfolio",IFERROR(INDEX(DATA_ASSET_CLASSIFICATION!$AB$8:$AB$13,MATCH($N518,DATA_ASSET_CLASSIFICATION!$AA$8:$AA$13,0)),"Review"))</f>
        <v>Bucket 0 · Excluded</v>
      </c>
      <c r="P518" s="350" t="str">
        <f>IF($B518="Portfolio","Portfolio",IFERROR(INDEX(DATA_ASSET_CLASSIFICATION!$C$8:$C$24,MATCH($C518,DATA_ASSET_CLASSIFICATION!$A$8:$A$24,0)),"Review"))</f>
        <v>No</v>
      </c>
      <c r="Q518" s="350" t="str">
        <f t="shared" ca="1" si="17"/>
        <v>OK</v>
      </c>
    </row>
    <row r="519" spans="1:17">
      <c r="A519" s="366" t="s">
        <v>2475</v>
      </c>
      <c r="B519" s="366" t="s">
        <v>231</v>
      </c>
      <c r="C519" s="348" t="str">
        <f>DATA_PROPERTY_MASTER!$A$5</f>
        <v>BLD_AB</v>
      </c>
      <c r="D519" s="380">
        <f>'00_PORTFOLIO ROLLUP'!R$12</f>
        <v>2038</v>
      </c>
      <c r="E519" s="366" t="s">
        <v>1683</v>
      </c>
      <c r="F519" s="366" t="s">
        <v>21</v>
      </c>
      <c r="G519" s="348" t="str">
        <f>"'"&amp;$C519&amp;"'!$E$45:$Y$45"</f>
        <v>'BLD_AB'!$E$45:$Y$45</v>
      </c>
      <c r="H519" s="381">
        <f ca="1">IF(IFERROR(INDEX(DATA_PROPERTY_MASTER!$E$5:$E$21,MATCH($C519,DATA_PROPERTY_MASTER!$A$5:$A$21,0))="Yes",FALSE),IFERROR(INDEX(INDIRECT("'"&amp;$C519&amp;"'!$E$45:$Y$45"),1,MATCH($D519,INDIRECT("'"&amp;$C519&amp;"'!$E$12:$Y$12"),0)),0),0)</f>
        <v>0</v>
      </c>
      <c r="I519" s="366" t="s">
        <v>1685</v>
      </c>
      <c r="J519" s="348" t="str">
        <f t="shared" ca="1" si="16"/>
        <v>OK</v>
      </c>
      <c r="K519" s="366" t="s">
        <v>1694</v>
      </c>
      <c r="L519" s="366" t="s">
        <v>2242</v>
      </c>
      <c r="M519" s="350" t="str">
        <f>IF($B519="Portfolio","Portfolio",IFERROR(INDEX(DATA_ASSET_CLASSIFICATION!$B$8:$B$24,MATCH($C519,DATA_ASSET_CLASSIFICATION!$A$8:$A$24,0)),"Review"))</f>
        <v>Alma Blackwell</v>
      </c>
      <c r="N519" s="350" t="str">
        <f>IF($B519="Portfolio","Portfolio",IFERROR(INDEX(DATA_ASSET_CLASSIFICATION!$U$8:$U$24,MATCH($C519,DATA_ASSET_CLASSIFICATION!$A$8:$A$24,0)),"Review"))</f>
        <v>Excluded</v>
      </c>
      <c r="O519" s="350" t="str">
        <f>IF($B519="Portfolio","Portfolio",IFERROR(INDEX(DATA_ASSET_CLASSIFICATION!$AB$8:$AB$13,MATCH($N519,DATA_ASSET_CLASSIFICATION!$AA$8:$AA$13,0)),"Review"))</f>
        <v>Bucket 0 · Excluded</v>
      </c>
      <c r="P519" s="350" t="str">
        <f>IF($B519="Portfolio","Portfolio",IFERROR(INDEX(DATA_ASSET_CLASSIFICATION!$C$8:$C$24,MATCH($C519,DATA_ASSET_CLASSIFICATION!$A$8:$A$24,0)),"Review"))</f>
        <v>No</v>
      </c>
      <c r="Q519" s="350" t="str">
        <f t="shared" ca="1" si="17"/>
        <v>OK</v>
      </c>
    </row>
    <row r="520" spans="1:17">
      <c r="A520" s="366" t="s">
        <v>2476</v>
      </c>
      <c r="B520" s="366" t="s">
        <v>231</v>
      </c>
      <c r="C520" s="348" t="str">
        <f>DATA_PROPERTY_MASTER!$A$5</f>
        <v>BLD_AB</v>
      </c>
      <c r="D520" s="380">
        <f>'00_PORTFOLIO ROLLUP'!R$12</f>
        <v>2038</v>
      </c>
      <c r="E520" s="366" t="s">
        <v>23</v>
      </c>
      <c r="F520" s="366" t="s">
        <v>23</v>
      </c>
      <c r="G520" s="348" t="str">
        <f>"'"&amp;$C520&amp;"'!$E$48:$Y$48"</f>
        <v>'BLD_AB'!$E$48:$Y$48</v>
      </c>
      <c r="H520" s="381">
        <f ca="1">IF(IFERROR(INDEX(DATA_PROPERTY_MASTER!$E$5:$E$21,MATCH($C520,DATA_PROPERTY_MASTER!$A$5:$A$21,0))="Yes",FALSE),IFERROR(INDEX(INDIRECT("'"&amp;$C520&amp;"'!$E$48:$Y$48"),1,MATCH($D520,INDIRECT("'"&amp;$C520&amp;"'!$E$12:$Y$12"),0)),0),0)</f>
        <v>0</v>
      </c>
      <c r="I520" s="366" t="s">
        <v>1690</v>
      </c>
      <c r="J520" s="348" t="str">
        <f t="shared" ca="1" si="16"/>
        <v>OK</v>
      </c>
      <c r="K520" s="366" t="s">
        <v>1706</v>
      </c>
      <c r="L520" s="366" t="s">
        <v>2244</v>
      </c>
      <c r="M520" s="350" t="str">
        <f>IF($B520="Portfolio","Portfolio",IFERROR(INDEX(DATA_ASSET_CLASSIFICATION!$B$8:$B$24,MATCH($C520,DATA_ASSET_CLASSIFICATION!$A$8:$A$24,0)),"Review"))</f>
        <v>Alma Blackwell</v>
      </c>
      <c r="N520" s="350" t="str">
        <f>IF($B520="Portfolio","Portfolio",IFERROR(INDEX(DATA_ASSET_CLASSIFICATION!$U$8:$U$24,MATCH($C520,DATA_ASSET_CLASSIFICATION!$A$8:$A$24,0)),"Review"))</f>
        <v>Excluded</v>
      </c>
      <c r="O520" s="350" t="str">
        <f>IF($B520="Portfolio","Portfolio",IFERROR(INDEX(DATA_ASSET_CLASSIFICATION!$AB$8:$AB$13,MATCH($N520,DATA_ASSET_CLASSIFICATION!$AA$8:$AA$13,0)),"Review"))</f>
        <v>Bucket 0 · Excluded</v>
      </c>
      <c r="P520" s="350" t="str">
        <f>IF($B520="Portfolio","Portfolio",IFERROR(INDEX(DATA_ASSET_CLASSIFICATION!$C$8:$C$24,MATCH($C520,DATA_ASSET_CLASSIFICATION!$A$8:$A$24,0)),"Review"))</f>
        <v>No</v>
      </c>
      <c r="Q520" s="350" t="str">
        <f t="shared" ca="1" si="17"/>
        <v>OK</v>
      </c>
    </row>
    <row r="521" spans="1:17">
      <c r="A521" s="366" t="s">
        <v>2477</v>
      </c>
      <c r="B521" s="366" t="s">
        <v>231</v>
      </c>
      <c r="C521" s="348" t="str">
        <f>DATA_PROPERTY_MASTER!$A$5</f>
        <v>BLD_AB</v>
      </c>
      <c r="D521" s="380">
        <f>'00_PORTFOLIO ROLLUP'!R$12</f>
        <v>2038</v>
      </c>
      <c r="E521" s="366" t="s">
        <v>1683</v>
      </c>
      <c r="F521" s="366" t="s">
        <v>25</v>
      </c>
      <c r="G521" s="348" t="str">
        <f>"'"&amp;$C521&amp;"'!$E$52:$Y$52"</f>
        <v>'BLD_AB'!$E$52:$Y$52</v>
      </c>
      <c r="H521" s="381">
        <f ca="1">IF(IFERROR(INDEX(DATA_PROPERTY_MASTER!$E$5:$E$21,MATCH($C521,DATA_PROPERTY_MASTER!$A$5:$A$21,0))="Yes",FALSE),IFERROR(INDEX(INDIRECT("'"&amp;$C521&amp;"'!$E$52:$Y$52"),1,MATCH($D521,INDIRECT("'"&amp;$C521&amp;"'!$E$12:$Y$12"),0)),0),0)</f>
        <v>0</v>
      </c>
      <c r="I521" s="366" t="s">
        <v>1685</v>
      </c>
      <c r="J521" s="348" t="str">
        <f t="shared" ca="1" si="16"/>
        <v>OK</v>
      </c>
      <c r="K521" s="366" t="s">
        <v>1710</v>
      </c>
      <c r="L521" s="366" t="s">
        <v>2246</v>
      </c>
      <c r="M521" s="350" t="str">
        <f>IF($B521="Portfolio","Portfolio",IFERROR(INDEX(DATA_ASSET_CLASSIFICATION!$B$8:$B$24,MATCH($C521,DATA_ASSET_CLASSIFICATION!$A$8:$A$24,0)),"Review"))</f>
        <v>Alma Blackwell</v>
      </c>
      <c r="N521" s="350" t="str">
        <f>IF($B521="Portfolio","Portfolio",IFERROR(INDEX(DATA_ASSET_CLASSIFICATION!$U$8:$U$24,MATCH($C521,DATA_ASSET_CLASSIFICATION!$A$8:$A$24,0)),"Review"))</f>
        <v>Excluded</v>
      </c>
      <c r="O521" s="350" t="str">
        <f>IF($B521="Portfolio","Portfolio",IFERROR(INDEX(DATA_ASSET_CLASSIFICATION!$AB$8:$AB$13,MATCH($N521,DATA_ASSET_CLASSIFICATION!$AA$8:$AA$13,0)),"Review"))</f>
        <v>Bucket 0 · Excluded</v>
      </c>
      <c r="P521" s="350" t="str">
        <f>IF($B521="Portfolio","Portfolio",IFERROR(INDEX(DATA_ASSET_CLASSIFICATION!$C$8:$C$24,MATCH($C521,DATA_ASSET_CLASSIFICATION!$A$8:$A$24,0)),"Review"))</f>
        <v>No</v>
      </c>
      <c r="Q521" s="350" t="str">
        <f t="shared" ca="1" si="17"/>
        <v>OK</v>
      </c>
    </row>
    <row r="522" spans="1:17">
      <c r="A522" s="366" t="s">
        <v>2478</v>
      </c>
      <c r="B522" s="366" t="s">
        <v>231</v>
      </c>
      <c r="C522" s="348" t="str">
        <f>DATA_PROPERTY_MASTER!$A$5</f>
        <v>BLD_AB</v>
      </c>
      <c r="D522" s="380">
        <f>'00_PORTFOLIO ROLLUP'!R$12</f>
        <v>2038</v>
      </c>
      <c r="E522" s="366" t="s">
        <v>1683</v>
      </c>
      <c r="F522" s="366" t="s">
        <v>27</v>
      </c>
      <c r="G522" s="348" t="str">
        <f>"'"&amp;$C522&amp;"'!$E$54:$Y$54"</f>
        <v>'BLD_AB'!$E$54:$Y$54</v>
      </c>
      <c r="H522" s="381">
        <f ca="1">IF(IFERROR(INDEX(DATA_PROPERTY_MASTER!$E$5:$E$21,MATCH($C522,DATA_PROPERTY_MASTER!$A$5:$A$21,0))="Yes",FALSE),IFERROR(INDEX(INDIRECT("'"&amp;$C522&amp;"'!$E$54:$Y$54"),1,MATCH($D522,INDIRECT("'"&amp;$C522&amp;"'!$E$12:$Y$12"),0)),0),0)</f>
        <v>0</v>
      </c>
      <c r="I522" s="366" t="s">
        <v>1690</v>
      </c>
      <c r="J522" s="348" t="str">
        <f t="shared" ca="1" si="16"/>
        <v>OK</v>
      </c>
      <c r="K522" s="366" t="s">
        <v>1714</v>
      </c>
      <c r="L522" s="366" t="s">
        <v>2248</v>
      </c>
      <c r="M522" s="350" t="str">
        <f>IF($B522="Portfolio","Portfolio",IFERROR(INDEX(DATA_ASSET_CLASSIFICATION!$B$8:$B$24,MATCH($C522,DATA_ASSET_CLASSIFICATION!$A$8:$A$24,0)),"Review"))</f>
        <v>Alma Blackwell</v>
      </c>
      <c r="N522" s="350" t="str">
        <f>IF($B522="Portfolio","Portfolio",IFERROR(INDEX(DATA_ASSET_CLASSIFICATION!$U$8:$U$24,MATCH($C522,DATA_ASSET_CLASSIFICATION!$A$8:$A$24,0)),"Review"))</f>
        <v>Excluded</v>
      </c>
      <c r="O522" s="350" t="str">
        <f>IF($B522="Portfolio","Portfolio",IFERROR(INDEX(DATA_ASSET_CLASSIFICATION!$AB$8:$AB$13,MATCH($N522,DATA_ASSET_CLASSIFICATION!$AA$8:$AA$13,0)),"Review"))</f>
        <v>Bucket 0 · Excluded</v>
      </c>
      <c r="P522" s="350" t="str">
        <f>IF($B522="Portfolio","Portfolio",IFERROR(INDEX(DATA_ASSET_CLASSIFICATION!$C$8:$C$24,MATCH($C522,DATA_ASSET_CLASSIFICATION!$A$8:$A$24,0)),"Review"))</f>
        <v>No</v>
      </c>
      <c r="Q522" s="350" t="str">
        <f t="shared" ca="1" si="17"/>
        <v>OK</v>
      </c>
    </row>
    <row r="523" spans="1:17">
      <c r="A523" s="366" t="s">
        <v>2479</v>
      </c>
      <c r="B523" s="366" t="s">
        <v>231</v>
      </c>
      <c r="C523" s="348" t="str">
        <f>DATA_PROPERTY_MASTER!$A$5</f>
        <v>BLD_AB</v>
      </c>
      <c r="D523" s="380">
        <f>'00_PORTFOLIO ROLLUP'!R$12</f>
        <v>2038</v>
      </c>
      <c r="E523" s="366" t="s">
        <v>1683</v>
      </c>
      <c r="F523" s="366" t="s">
        <v>29</v>
      </c>
      <c r="G523" s="348" t="str">
        <f>"'"&amp;$C523&amp;"'!$E$56:$Y$56"</f>
        <v>'BLD_AB'!$E$56:$Y$56</v>
      </c>
      <c r="H523" s="381">
        <f ca="1">IF(IFERROR(INDEX(DATA_PROPERTY_MASTER!$E$5:$E$21,MATCH($C523,DATA_PROPERTY_MASTER!$A$5:$A$21,0))="Yes",FALSE),IFERROR(INDEX(INDIRECT("'"&amp;$C523&amp;"'!$E$56:$Y$56"),1,MATCH($D523,INDIRECT("'"&amp;$C523&amp;"'!$E$12:$Y$12"),0)),0),0)</f>
        <v>0</v>
      </c>
      <c r="I523" s="366" t="s">
        <v>1685</v>
      </c>
      <c r="J523" s="348" t="str">
        <f t="shared" ca="1" si="16"/>
        <v>OK</v>
      </c>
      <c r="K523" s="366" t="s">
        <v>1718</v>
      </c>
      <c r="L523" s="366" t="s">
        <v>2250</v>
      </c>
      <c r="M523" s="350" t="str">
        <f>IF($B523="Portfolio","Portfolio",IFERROR(INDEX(DATA_ASSET_CLASSIFICATION!$B$8:$B$24,MATCH($C523,DATA_ASSET_CLASSIFICATION!$A$8:$A$24,0)),"Review"))</f>
        <v>Alma Blackwell</v>
      </c>
      <c r="N523" s="350" t="str">
        <f>IF($B523="Portfolio","Portfolio",IFERROR(INDEX(DATA_ASSET_CLASSIFICATION!$U$8:$U$24,MATCH($C523,DATA_ASSET_CLASSIFICATION!$A$8:$A$24,0)),"Review"))</f>
        <v>Excluded</v>
      </c>
      <c r="O523" s="350" t="str">
        <f>IF($B523="Portfolio","Portfolio",IFERROR(INDEX(DATA_ASSET_CLASSIFICATION!$AB$8:$AB$13,MATCH($N523,DATA_ASSET_CLASSIFICATION!$AA$8:$AA$13,0)),"Review"))</f>
        <v>Bucket 0 · Excluded</v>
      </c>
      <c r="P523" s="350" t="str">
        <f>IF($B523="Portfolio","Portfolio",IFERROR(INDEX(DATA_ASSET_CLASSIFICATION!$C$8:$C$24,MATCH($C523,DATA_ASSET_CLASSIFICATION!$A$8:$A$24,0)),"Review"))</f>
        <v>No</v>
      </c>
      <c r="Q523" s="350" t="str">
        <f t="shared" ca="1" si="17"/>
        <v>OK</v>
      </c>
    </row>
    <row r="524" spans="1:17">
      <c r="A524" s="366" t="s">
        <v>2480</v>
      </c>
      <c r="B524" s="366" t="s">
        <v>231</v>
      </c>
      <c r="C524" s="348" t="str">
        <f>DATA_PROPERTY_MASTER!$A$5</f>
        <v>BLD_AB</v>
      </c>
      <c r="D524" s="380">
        <f>'00_PORTFOLIO ROLLUP'!R$12</f>
        <v>2038</v>
      </c>
      <c r="E524" s="366" t="s">
        <v>1721</v>
      </c>
      <c r="F524" s="366" t="s">
        <v>31</v>
      </c>
      <c r="G524" s="348" t="str">
        <f>"'"&amp;$C524&amp;"'!$E$61:$Y$61"</f>
        <v>'BLD_AB'!$E$61:$Y$61</v>
      </c>
      <c r="H524" s="381">
        <f ca="1">IF(IFERROR(INDEX(DATA_PROPERTY_MASTER!$E$5:$E$21,MATCH($C524,DATA_PROPERTY_MASTER!$A$5:$A$21,0))="Yes",FALSE),IFERROR(INDEX(INDIRECT("'"&amp;$C524&amp;"'!$E$61:$Y$61"),1,MATCH($D524,INDIRECT("'"&amp;$C524&amp;"'!$E$12:$Y$12"),0)),0),0)</f>
        <v>0</v>
      </c>
      <c r="I524" s="366" t="s">
        <v>1690</v>
      </c>
      <c r="J524" s="348" t="str">
        <f t="shared" ca="1" si="16"/>
        <v>OK</v>
      </c>
      <c r="K524" s="366" t="s">
        <v>1723</v>
      </c>
      <c r="L524" s="366" t="s">
        <v>2252</v>
      </c>
      <c r="M524" s="350" t="str">
        <f>IF($B524="Portfolio","Portfolio",IFERROR(INDEX(DATA_ASSET_CLASSIFICATION!$B$8:$B$24,MATCH($C524,DATA_ASSET_CLASSIFICATION!$A$8:$A$24,0)),"Review"))</f>
        <v>Alma Blackwell</v>
      </c>
      <c r="N524" s="350" t="str">
        <f>IF($B524="Portfolio","Portfolio",IFERROR(INDEX(DATA_ASSET_CLASSIFICATION!$U$8:$U$24,MATCH($C524,DATA_ASSET_CLASSIFICATION!$A$8:$A$24,0)),"Review"))</f>
        <v>Excluded</v>
      </c>
      <c r="O524" s="350" t="str">
        <f>IF($B524="Portfolio","Portfolio",IFERROR(INDEX(DATA_ASSET_CLASSIFICATION!$AB$8:$AB$13,MATCH($N524,DATA_ASSET_CLASSIFICATION!$AA$8:$AA$13,0)),"Review"))</f>
        <v>Bucket 0 · Excluded</v>
      </c>
      <c r="P524" s="350" t="str">
        <f>IF($B524="Portfolio","Portfolio",IFERROR(INDEX(DATA_ASSET_CLASSIFICATION!$C$8:$C$24,MATCH($C524,DATA_ASSET_CLASSIFICATION!$A$8:$A$24,0)),"Review"))</f>
        <v>No</v>
      </c>
      <c r="Q524" s="350" t="str">
        <f t="shared" ca="1" si="17"/>
        <v>OK</v>
      </c>
    </row>
    <row r="525" spans="1:17">
      <c r="A525" s="366" t="s">
        <v>2481</v>
      </c>
      <c r="B525" s="366" t="s">
        <v>231</v>
      </c>
      <c r="C525" s="348" t="str">
        <f>DATA_PROPERTY_MASTER!$A$5</f>
        <v>BLD_AB</v>
      </c>
      <c r="D525" s="380">
        <f>'00_PORTFOLIO ROLLUP'!R$12</f>
        <v>2038</v>
      </c>
      <c r="E525" s="366" t="s">
        <v>1721</v>
      </c>
      <c r="F525" s="366" t="s">
        <v>33</v>
      </c>
      <c r="G525" s="348" t="str">
        <f>"'"&amp;$C525&amp;"'!$E$62:$Y$62"</f>
        <v>'BLD_AB'!$E$62:$Y$62</v>
      </c>
      <c r="H525" s="381">
        <f ca="1">IF(IFERROR(INDEX(DATA_PROPERTY_MASTER!$E$5:$E$21,MATCH($C525,DATA_PROPERTY_MASTER!$A$5:$A$21,0))="Yes",FALSE),IFERROR(INDEX(INDIRECT("'"&amp;$C525&amp;"'!$E$62:$Y$62"),1,MATCH($D525,INDIRECT("'"&amp;$C525&amp;"'!$E$12:$Y$12"),0)),0),0)</f>
        <v>0</v>
      </c>
      <c r="I525" s="366" t="s">
        <v>1685</v>
      </c>
      <c r="J525" s="348" t="str">
        <f t="shared" ca="1" si="16"/>
        <v>OK</v>
      </c>
      <c r="K525" s="366" t="s">
        <v>1727</v>
      </c>
      <c r="L525" s="366" t="s">
        <v>2254</v>
      </c>
      <c r="M525" s="350" t="str">
        <f>IF($B525="Portfolio","Portfolio",IFERROR(INDEX(DATA_ASSET_CLASSIFICATION!$B$8:$B$24,MATCH($C525,DATA_ASSET_CLASSIFICATION!$A$8:$A$24,0)),"Review"))</f>
        <v>Alma Blackwell</v>
      </c>
      <c r="N525" s="350" t="str">
        <f>IF($B525="Portfolio","Portfolio",IFERROR(INDEX(DATA_ASSET_CLASSIFICATION!$U$8:$U$24,MATCH($C525,DATA_ASSET_CLASSIFICATION!$A$8:$A$24,0)),"Review"))</f>
        <v>Excluded</v>
      </c>
      <c r="O525" s="350" t="str">
        <f>IF($B525="Portfolio","Portfolio",IFERROR(INDEX(DATA_ASSET_CLASSIFICATION!$AB$8:$AB$13,MATCH($N525,DATA_ASSET_CLASSIFICATION!$AA$8:$AA$13,0)),"Review"))</f>
        <v>Bucket 0 · Excluded</v>
      </c>
      <c r="P525" s="350" t="str">
        <f>IF($B525="Portfolio","Portfolio",IFERROR(INDEX(DATA_ASSET_CLASSIFICATION!$C$8:$C$24,MATCH($C525,DATA_ASSET_CLASSIFICATION!$A$8:$A$24,0)),"Review"))</f>
        <v>No</v>
      </c>
      <c r="Q525" s="350" t="str">
        <f t="shared" ca="1" si="17"/>
        <v>OK</v>
      </c>
    </row>
    <row r="526" spans="1:17">
      <c r="A526" s="366" t="s">
        <v>2482</v>
      </c>
      <c r="B526" s="366" t="s">
        <v>231</v>
      </c>
      <c r="C526" s="348" t="str">
        <f>DATA_PROPERTY_MASTER!$A$5</f>
        <v>BLD_AB</v>
      </c>
      <c r="D526" s="380">
        <f>'00_PORTFOLIO ROLLUP'!R$12</f>
        <v>2038</v>
      </c>
      <c r="E526" s="366" t="s">
        <v>1721</v>
      </c>
      <c r="F526" s="366" t="s">
        <v>35</v>
      </c>
      <c r="G526" s="348" t="str">
        <f>"'"&amp;$C526&amp;"'!$E$63:$Y$63"</f>
        <v>'BLD_AB'!$E$63:$Y$63</v>
      </c>
      <c r="H526" s="381">
        <f ca="1">IF(IFERROR(INDEX(DATA_PROPERTY_MASTER!$E$5:$E$21,MATCH($C526,DATA_PROPERTY_MASTER!$A$5:$A$21,0))="Yes",FALSE),IFERROR(INDEX(INDIRECT("'"&amp;$C526&amp;"'!$E$63:$Y$63"),1,MATCH($D526,INDIRECT("'"&amp;$C526&amp;"'!$E$12:$Y$12"),0)),0),0)</f>
        <v>0</v>
      </c>
      <c r="I526" s="366" t="s">
        <v>1731</v>
      </c>
      <c r="J526" s="348" t="str">
        <f t="shared" ca="1" si="16"/>
        <v>OK</v>
      </c>
      <c r="K526" s="366" t="s">
        <v>1732</v>
      </c>
      <c r="L526" s="366" t="s">
        <v>2256</v>
      </c>
      <c r="M526" s="350" t="str">
        <f>IF($B526="Portfolio","Portfolio",IFERROR(INDEX(DATA_ASSET_CLASSIFICATION!$B$8:$B$24,MATCH($C526,DATA_ASSET_CLASSIFICATION!$A$8:$A$24,0)),"Review"))</f>
        <v>Alma Blackwell</v>
      </c>
      <c r="N526" s="350" t="str">
        <f>IF($B526="Portfolio","Portfolio",IFERROR(INDEX(DATA_ASSET_CLASSIFICATION!$U$8:$U$24,MATCH($C526,DATA_ASSET_CLASSIFICATION!$A$8:$A$24,0)),"Review"))</f>
        <v>Excluded</v>
      </c>
      <c r="O526" s="350" t="str">
        <f>IF($B526="Portfolio","Portfolio",IFERROR(INDEX(DATA_ASSET_CLASSIFICATION!$AB$8:$AB$13,MATCH($N526,DATA_ASSET_CLASSIFICATION!$AA$8:$AA$13,0)),"Review"))</f>
        <v>Bucket 0 · Excluded</v>
      </c>
      <c r="P526" s="350" t="str">
        <f>IF($B526="Portfolio","Portfolio",IFERROR(INDEX(DATA_ASSET_CLASSIFICATION!$C$8:$C$24,MATCH($C526,DATA_ASSET_CLASSIFICATION!$A$8:$A$24,0)),"Review"))</f>
        <v>No</v>
      </c>
      <c r="Q526" s="350" t="str">
        <f t="shared" ca="1" si="17"/>
        <v>OK</v>
      </c>
    </row>
    <row r="527" spans="1:17">
      <c r="A527" s="366" t="s">
        <v>2483</v>
      </c>
      <c r="B527" s="366" t="s">
        <v>231</v>
      </c>
      <c r="C527" s="348" t="str">
        <f>DATA_PROPERTY_MASTER!$A$5</f>
        <v>BLD_AB</v>
      </c>
      <c r="D527" s="380">
        <f>'00_PORTFOLIO ROLLUP'!R$12</f>
        <v>2038</v>
      </c>
      <c r="E527" s="366" t="s">
        <v>1721</v>
      </c>
      <c r="F527" s="366" t="s">
        <v>37</v>
      </c>
      <c r="G527" s="348" t="str">
        <f>"'"&amp;$C527&amp;"'!$E$63:$Y$63"</f>
        <v>'BLD_AB'!$E$63:$Y$63</v>
      </c>
      <c r="H527" s="381">
        <f ca="1">IF(IFERROR(INDEX(DATA_PROPERTY_MASTER!$E$5:$E$21,MATCH($C527,DATA_PROPERTY_MASTER!$A$5:$A$21,0))="Yes",FALSE),MAX(IFERROR(INDEX(INDIRECT("'"&amp;$C527&amp;"'!$E$63:$Y$63"),1,MATCH($D527,INDIRECT("'"&amp;$C527&amp;"'!$E$12:$Y$12"),0)),0),0),0)</f>
        <v>0</v>
      </c>
      <c r="I527" s="366" t="s">
        <v>1685</v>
      </c>
      <c r="J527" s="348" t="str">
        <f t="shared" ca="1" si="16"/>
        <v>OK</v>
      </c>
      <c r="K527" s="366" t="s">
        <v>1735</v>
      </c>
      <c r="L527" s="366" t="s">
        <v>2258</v>
      </c>
      <c r="M527" s="350" t="str">
        <f>IF($B527="Portfolio","Portfolio",IFERROR(INDEX(DATA_ASSET_CLASSIFICATION!$B$8:$B$24,MATCH($C527,DATA_ASSET_CLASSIFICATION!$A$8:$A$24,0)),"Review"))</f>
        <v>Alma Blackwell</v>
      </c>
      <c r="N527" s="350" t="str">
        <f>IF($B527="Portfolio","Portfolio",IFERROR(INDEX(DATA_ASSET_CLASSIFICATION!$U$8:$U$24,MATCH($C527,DATA_ASSET_CLASSIFICATION!$A$8:$A$24,0)),"Review"))</f>
        <v>Excluded</v>
      </c>
      <c r="O527" s="350" t="str">
        <f>IF($B527="Portfolio","Portfolio",IFERROR(INDEX(DATA_ASSET_CLASSIFICATION!$AB$8:$AB$13,MATCH($N527,DATA_ASSET_CLASSIFICATION!$AA$8:$AA$13,0)),"Review"))</f>
        <v>Bucket 0 · Excluded</v>
      </c>
      <c r="P527" s="350" t="str">
        <f>IF($B527="Portfolio","Portfolio",IFERROR(INDEX(DATA_ASSET_CLASSIFICATION!$C$8:$C$24,MATCH($C527,DATA_ASSET_CLASSIFICATION!$A$8:$A$24,0)),"Review"))</f>
        <v>No</v>
      </c>
      <c r="Q527" s="350" t="str">
        <f t="shared" ca="1" si="17"/>
        <v>OK</v>
      </c>
    </row>
    <row r="528" spans="1:17">
      <c r="A528" s="366" t="s">
        <v>2484</v>
      </c>
      <c r="B528" s="366" t="s">
        <v>231</v>
      </c>
      <c r="C528" s="348" t="str">
        <f>DATA_PROPERTY_MASTER!$A$5</f>
        <v>BLD_AB</v>
      </c>
      <c r="D528" s="380">
        <f>'00_PORTFOLIO ROLLUP'!R$12</f>
        <v>2038</v>
      </c>
      <c r="E528" s="366" t="s">
        <v>1721</v>
      </c>
      <c r="F528" s="366" t="s">
        <v>39</v>
      </c>
      <c r="G528" s="348" t="str">
        <f>"'"&amp;$C528&amp;"'!$E$63:$Y$63"</f>
        <v>'BLD_AB'!$E$63:$Y$63</v>
      </c>
      <c r="H528" s="381">
        <f ca="1">IF(IFERROR(INDEX(DATA_PROPERTY_MASTER!$E$5:$E$21,MATCH($C528,DATA_PROPERTY_MASTER!$A$5:$A$21,0))="Yes",FALSE),MAX(-IFERROR(INDEX(INDIRECT("'"&amp;$C528&amp;"'!$E$63:$Y$63"),1,MATCH($D528,INDIRECT("'"&amp;$C528&amp;"'!$E$12:$Y$12"),0)),0),0),0)</f>
        <v>0</v>
      </c>
      <c r="I528" s="366" t="s">
        <v>1690</v>
      </c>
      <c r="J528" s="348" t="str">
        <f t="shared" ca="1" si="16"/>
        <v>OK</v>
      </c>
      <c r="K528" s="366" t="s">
        <v>1738</v>
      </c>
      <c r="L528" s="366" t="s">
        <v>2260</v>
      </c>
      <c r="M528" s="350" t="str">
        <f>IF($B528="Portfolio","Portfolio",IFERROR(INDEX(DATA_ASSET_CLASSIFICATION!$B$8:$B$24,MATCH($C528,DATA_ASSET_CLASSIFICATION!$A$8:$A$24,0)),"Review"))</f>
        <v>Alma Blackwell</v>
      </c>
      <c r="N528" s="350" t="str">
        <f>IF($B528="Portfolio","Portfolio",IFERROR(INDEX(DATA_ASSET_CLASSIFICATION!$U$8:$U$24,MATCH($C528,DATA_ASSET_CLASSIFICATION!$A$8:$A$24,0)),"Review"))</f>
        <v>Excluded</v>
      </c>
      <c r="O528" s="350" t="str">
        <f>IF($B528="Portfolio","Portfolio",IFERROR(INDEX(DATA_ASSET_CLASSIFICATION!$AB$8:$AB$13,MATCH($N528,DATA_ASSET_CLASSIFICATION!$AA$8:$AA$13,0)),"Review"))</f>
        <v>Bucket 0 · Excluded</v>
      </c>
      <c r="P528" s="350" t="str">
        <f>IF($B528="Portfolio","Portfolio",IFERROR(INDEX(DATA_ASSET_CLASSIFICATION!$C$8:$C$24,MATCH($C528,DATA_ASSET_CLASSIFICATION!$A$8:$A$24,0)),"Review"))</f>
        <v>No</v>
      </c>
      <c r="Q528" s="350" t="str">
        <f t="shared" ca="1" si="17"/>
        <v>OK</v>
      </c>
    </row>
    <row r="529" spans="1:17">
      <c r="A529" s="366" t="s">
        <v>2485</v>
      </c>
      <c r="B529" s="366" t="s">
        <v>231</v>
      </c>
      <c r="C529" s="348" t="str">
        <f>DATA_PROPERTY_MASTER!$A$5</f>
        <v>BLD_AB</v>
      </c>
      <c r="D529" s="380">
        <f>'00_PORTFOLIO ROLLUP'!R$12</f>
        <v>2038</v>
      </c>
      <c r="E529" s="366" t="s">
        <v>1741</v>
      </c>
      <c r="F529" s="366" t="s">
        <v>41</v>
      </c>
      <c r="G529" s="348" t="str">
        <f>"'"&amp;$C529&amp;"'!rows 56 + positive row 63"</f>
        <v>'BLD_AB'!rows 56 + positive row 63</v>
      </c>
      <c r="H529" s="381">
        <f ca="1">IF(IFERROR(INDEX(DATA_PROPERTY_MASTER!$E$5:$E$21,MATCH($C529,DATA_PROPERTY_MASTER!$A$5:$A$21,0))="Yes",FALSE),IFERROR(INDEX(INDIRECT("'"&amp;$C529&amp;"'!$E$56:$Y$56"),1,MATCH($D529,INDIRECT("'"&amp;$C529&amp;"'!$E$12:$Y$12"),0)),0)+MAX(IFERROR(INDEX(INDIRECT("'"&amp;$C529&amp;"'!$E$63:$Y$63"),1,MATCH($D529,INDIRECT("'"&amp;$C529&amp;"'!$E$12:$Y$12"),0)),0),0),0)</f>
        <v>0</v>
      </c>
      <c r="I529" s="366" t="s">
        <v>1685</v>
      </c>
      <c r="J529" s="348" t="str">
        <f t="shared" ca="1" si="16"/>
        <v>OK</v>
      </c>
      <c r="K529" s="366" t="s">
        <v>1742</v>
      </c>
      <c r="L529" s="366" t="s">
        <v>2262</v>
      </c>
      <c r="M529" s="350" t="str">
        <f>IF($B529="Portfolio","Portfolio",IFERROR(INDEX(DATA_ASSET_CLASSIFICATION!$B$8:$B$24,MATCH($C529,DATA_ASSET_CLASSIFICATION!$A$8:$A$24,0)),"Review"))</f>
        <v>Alma Blackwell</v>
      </c>
      <c r="N529" s="350" t="str">
        <f>IF($B529="Portfolio","Portfolio",IFERROR(INDEX(DATA_ASSET_CLASSIFICATION!$U$8:$U$24,MATCH($C529,DATA_ASSET_CLASSIFICATION!$A$8:$A$24,0)),"Review"))</f>
        <v>Excluded</v>
      </c>
      <c r="O529" s="350" t="str">
        <f>IF($B529="Portfolio","Portfolio",IFERROR(INDEX(DATA_ASSET_CLASSIFICATION!$AB$8:$AB$13,MATCH($N529,DATA_ASSET_CLASSIFICATION!$AA$8:$AA$13,0)),"Review"))</f>
        <v>Bucket 0 · Excluded</v>
      </c>
      <c r="P529" s="350" t="str">
        <f>IF($B529="Portfolio","Portfolio",IFERROR(INDEX(DATA_ASSET_CLASSIFICATION!$C$8:$C$24,MATCH($C529,DATA_ASSET_CLASSIFICATION!$A$8:$A$24,0)),"Review"))</f>
        <v>No</v>
      </c>
      <c r="Q529" s="350" t="str">
        <f t="shared" ca="1" si="17"/>
        <v>OK</v>
      </c>
    </row>
    <row r="530" spans="1:17">
      <c r="A530" s="366" t="s">
        <v>2486</v>
      </c>
      <c r="B530" s="366" t="s">
        <v>231</v>
      </c>
      <c r="C530" s="348" t="str">
        <f>DATA_PROPERTY_MASTER!$A$5</f>
        <v>BLD_AB</v>
      </c>
      <c r="D530" s="380">
        <f>'00_PORTFOLIO ROLLUP'!R$12</f>
        <v>2038</v>
      </c>
      <c r="E530" s="366" t="s">
        <v>1741</v>
      </c>
      <c r="F530" s="366" t="s">
        <v>43</v>
      </c>
      <c r="G530" s="348" t="str">
        <f>"'"&amp;$C530&amp;"'!$E$68:$Y$68"</f>
        <v>'BLD_AB'!$E$68:$Y$68</v>
      </c>
      <c r="H530" s="381">
        <f ca="1">IF(IFERROR(INDEX(DATA_PROPERTY_MASTER!$E$5:$E$21,MATCH($C530,DATA_PROPERTY_MASTER!$A$5:$A$21,0))="Yes",FALSE),IFERROR(INDEX(INDIRECT("'"&amp;$C530&amp;"'!$E$68:$Y$68"),1,MATCH($D530,INDIRECT("'"&amp;$C530&amp;"'!$E$12:$Y$12"),0)),0),0)</f>
        <v>0</v>
      </c>
      <c r="I530" s="366" t="s">
        <v>1731</v>
      </c>
      <c r="J530" s="348" t="str">
        <f t="shared" ca="1" si="16"/>
        <v>OK</v>
      </c>
      <c r="K530" s="366" t="s">
        <v>1746</v>
      </c>
      <c r="L530" s="366" t="s">
        <v>2264</v>
      </c>
      <c r="M530" s="350" t="str">
        <f>IF($B530="Portfolio","Portfolio",IFERROR(INDEX(DATA_ASSET_CLASSIFICATION!$B$8:$B$24,MATCH($C530,DATA_ASSET_CLASSIFICATION!$A$8:$A$24,0)),"Review"))</f>
        <v>Alma Blackwell</v>
      </c>
      <c r="N530" s="350" t="str">
        <f>IF($B530="Portfolio","Portfolio",IFERROR(INDEX(DATA_ASSET_CLASSIFICATION!$U$8:$U$24,MATCH($C530,DATA_ASSET_CLASSIFICATION!$A$8:$A$24,0)),"Review"))</f>
        <v>Excluded</v>
      </c>
      <c r="O530" s="350" t="str">
        <f>IF($B530="Portfolio","Portfolio",IFERROR(INDEX(DATA_ASSET_CLASSIFICATION!$AB$8:$AB$13,MATCH($N530,DATA_ASSET_CLASSIFICATION!$AA$8:$AA$13,0)),"Review"))</f>
        <v>Bucket 0 · Excluded</v>
      </c>
      <c r="P530" s="350" t="str">
        <f>IF($B530="Portfolio","Portfolio",IFERROR(INDEX(DATA_ASSET_CLASSIFICATION!$C$8:$C$24,MATCH($C530,DATA_ASSET_CLASSIFICATION!$A$8:$A$24,0)),"Review"))</f>
        <v>No</v>
      </c>
      <c r="Q530" s="350" t="str">
        <f t="shared" ca="1" si="17"/>
        <v>OK</v>
      </c>
    </row>
    <row r="531" spans="1:17">
      <c r="A531" s="366" t="s">
        <v>2487</v>
      </c>
      <c r="B531" s="366" t="s">
        <v>231</v>
      </c>
      <c r="C531" s="348" t="str">
        <f>DATA_PROPERTY_MASTER!$A$5</f>
        <v>BLD_AB</v>
      </c>
      <c r="D531" s="380">
        <f>'00_PORTFOLIO ROLLUP'!R$12</f>
        <v>2038</v>
      </c>
      <c r="E531" s="366" t="s">
        <v>1741</v>
      </c>
      <c r="F531" s="366" t="s">
        <v>1749</v>
      </c>
      <c r="G531" s="348" t="str">
        <f>"'"&amp;$C531&amp;"'!rows 56, 63, 68"</f>
        <v>'BLD_AB'!rows 56, 63, 68</v>
      </c>
      <c r="H531" s="381">
        <f ca="1">IF(IFERROR(INDEX(DATA_PROPERTY_MASTER!$E$5:$E$21,MATCH($C531,DATA_PROPERTY_MASTER!$A$5:$A$21,0))="Yes",FALSE),(IFERROR(INDEX(INDIRECT("'"&amp;$C531&amp;"'!$E$56:$Y$56"),1,MATCH($D531,INDIRECT("'"&amp;$C531&amp;"'!$E$12:$Y$12"),0)),0)+MAX(IFERROR(INDEX(INDIRECT("'"&amp;$C531&amp;"'!$E$63:$Y$63"),1,MATCH($D531,INDIRECT("'"&amp;$C531&amp;"'!$E$12:$Y$12"),0)),0),0))-(IFERROR(INDEX(INDIRECT("'"&amp;$C531&amp;"'!$E$68:$Y$68"),1,MATCH($D531,INDIRECT("'"&amp;$C531&amp;"'!$E$12:$Y$12"),0)),0)),0)</f>
        <v>0</v>
      </c>
      <c r="I531" s="366" t="s">
        <v>1750</v>
      </c>
      <c r="J531" s="348" t="str">
        <f t="shared" ca="1" si="16"/>
        <v>OK</v>
      </c>
      <c r="K531" s="366" t="s">
        <v>1751</v>
      </c>
      <c r="L531" s="366" t="s">
        <v>2266</v>
      </c>
      <c r="M531" s="350" t="str">
        <f>IF($B531="Portfolio","Portfolio",IFERROR(INDEX(DATA_ASSET_CLASSIFICATION!$B$8:$B$24,MATCH($C531,DATA_ASSET_CLASSIFICATION!$A$8:$A$24,0)),"Review"))</f>
        <v>Alma Blackwell</v>
      </c>
      <c r="N531" s="350" t="str">
        <f>IF($B531="Portfolio","Portfolio",IFERROR(INDEX(DATA_ASSET_CLASSIFICATION!$U$8:$U$24,MATCH($C531,DATA_ASSET_CLASSIFICATION!$A$8:$A$24,0)),"Review"))</f>
        <v>Excluded</v>
      </c>
      <c r="O531" s="350" t="str">
        <f>IF($B531="Portfolio","Portfolio",IFERROR(INDEX(DATA_ASSET_CLASSIFICATION!$AB$8:$AB$13,MATCH($N531,DATA_ASSET_CLASSIFICATION!$AA$8:$AA$13,0)),"Review"))</f>
        <v>Bucket 0 · Excluded</v>
      </c>
      <c r="P531" s="350" t="str">
        <f>IF($B531="Portfolio","Portfolio",IFERROR(INDEX(DATA_ASSET_CLASSIFICATION!$C$8:$C$24,MATCH($C531,DATA_ASSET_CLASSIFICATION!$A$8:$A$24,0)),"Review"))</f>
        <v>No</v>
      </c>
      <c r="Q531" s="350" t="str">
        <f t="shared" ca="1" si="17"/>
        <v>OK</v>
      </c>
    </row>
    <row r="532" spans="1:17">
      <c r="A532" s="366" t="s">
        <v>2488</v>
      </c>
      <c r="B532" s="366" t="s">
        <v>231</v>
      </c>
      <c r="C532" s="348" t="str">
        <f>DATA_PROPERTY_MASTER!$A$5</f>
        <v>BLD_AB</v>
      </c>
      <c r="D532" s="380">
        <f>'00_PORTFOLIO ROLLUP'!S$12</f>
        <v>2039</v>
      </c>
      <c r="E532" s="366" t="s">
        <v>1683</v>
      </c>
      <c r="F532" s="366" t="s">
        <v>341</v>
      </c>
      <c r="G532" s="348" t="str">
        <f>"'"&amp;$C532&amp;"'!$E$24:$Y$24"</f>
        <v>'BLD_AB'!$E$24:$Y$24</v>
      </c>
      <c r="H532" s="381">
        <f ca="1">IF(IFERROR(INDEX(DATA_PROPERTY_MASTER!$E$5:$E$21,MATCH($C532,DATA_PROPERTY_MASTER!$A$5:$A$21,0))="Yes",FALSE),IFERROR(INDEX(INDIRECT("'"&amp;$C532&amp;"'!$E$24:$Y$24"),1,MATCH($D532,INDIRECT("'"&amp;$C532&amp;"'!$E$12:$Y$12"),0)),0),0)</f>
        <v>0</v>
      </c>
      <c r="I532" s="366" t="s">
        <v>1685</v>
      </c>
      <c r="J532" s="348" t="str">
        <f t="shared" ca="1" si="16"/>
        <v>OK</v>
      </c>
      <c r="K532" s="366" t="s">
        <v>1686</v>
      </c>
      <c r="L532" s="366" t="s">
        <v>2234</v>
      </c>
      <c r="M532" s="350" t="str">
        <f>IF($B532="Portfolio","Portfolio",IFERROR(INDEX(DATA_ASSET_CLASSIFICATION!$B$8:$B$24,MATCH($C532,DATA_ASSET_CLASSIFICATION!$A$8:$A$24,0)),"Review"))</f>
        <v>Alma Blackwell</v>
      </c>
      <c r="N532" s="350" t="str">
        <f>IF($B532="Portfolio","Portfolio",IFERROR(INDEX(DATA_ASSET_CLASSIFICATION!$U$8:$U$24,MATCH($C532,DATA_ASSET_CLASSIFICATION!$A$8:$A$24,0)),"Review"))</f>
        <v>Excluded</v>
      </c>
      <c r="O532" s="350" t="str">
        <f>IF($B532="Portfolio","Portfolio",IFERROR(INDEX(DATA_ASSET_CLASSIFICATION!$AB$8:$AB$13,MATCH($N532,DATA_ASSET_CLASSIFICATION!$AA$8:$AA$13,0)),"Review"))</f>
        <v>Bucket 0 · Excluded</v>
      </c>
      <c r="P532" s="350" t="str">
        <f>IF($B532="Portfolio","Portfolio",IFERROR(INDEX(DATA_ASSET_CLASSIFICATION!$C$8:$C$24,MATCH($C532,DATA_ASSET_CLASSIFICATION!$A$8:$A$24,0)),"Review"))</f>
        <v>No</v>
      </c>
      <c r="Q532" s="350" t="str">
        <f t="shared" ca="1" si="17"/>
        <v>OK</v>
      </c>
    </row>
    <row r="533" spans="1:17">
      <c r="A533" s="366" t="s">
        <v>2489</v>
      </c>
      <c r="B533" s="366" t="s">
        <v>231</v>
      </c>
      <c r="C533" s="348" t="str">
        <f>DATA_PROPERTY_MASTER!$A$5</f>
        <v>BLD_AB</v>
      </c>
      <c r="D533" s="380">
        <f>'00_PORTFOLIO ROLLUP'!S$12</f>
        <v>2039</v>
      </c>
      <c r="E533" s="366" t="s">
        <v>1683</v>
      </c>
      <c r="F533" s="366" t="s">
        <v>355</v>
      </c>
      <c r="G533" s="348" t="str">
        <f>"'"&amp;$C533&amp;"'!$E$39:$Y$39"</f>
        <v>'BLD_AB'!$E$39:$Y$39</v>
      </c>
      <c r="H533" s="381">
        <f ca="1">IF(IFERROR(INDEX(DATA_PROPERTY_MASTER!$E$5:$E$21,MATCH($C533,DATA_PROPERTY_MASTER!$A$5:$A$21,0))="Yes",FALSE),IFERROR(INDEX(INDIRECT("'"&amp;$C533&amp;"'!$E$39:$Y$39"),1,MATCH($D533,INDIRECT("'"&amp;$C533&amp;"'!$E$12:$Y$12"),0)),0),0)</f>
        <v>0</v>
      </c>
      <c r="I533" s="366" t="s">
        <v>1690</v>
      </c>
      <c r="J533" s="348" t="str">
        <f t="shared" ca="1" si="16"/>
        <v>OK</v>
      </c>
      <c r="K533" s="366" t="s">
        <v>1686</v>
      </c>
      <c r="L533" s="366" t="s">
        <v>2236</v>
      </c>
      <c r="M533" s="350" t="str">
        <f>IF($B533="Portfolio","Portfolio",IFERROR(INDEX(DATA_ASSET_CLASSIFICATION!$B$8:$B$24,MATCH($C533,DATA_ASSET_CLASSIFICATION!$A$8:$A$24,0)),"Review"))</f>
        <v>Alma Blackwell</v>
      </c>
      <c r="N533" s="350" t="str">
        <f>IF($B533="Portfolio","Portfolio",IFERROR(INDEX(DATA_ASSET_CLASSIFICATION!$U$8:$U$24,MATCH($C533,DATA_ASSET_CLASSIFICATION!$A$8:$A$24,0)),"Review"))</f>
        <v>Excluded</v>
      </c>
      <c r="O533" s="350" t="str">
        <f>IF($B533="Portfolio","Portfolio",IFERROR(INDEX(DATA_ASSET_CLASSIFICATION!$AB$8:$AB$13,MATCH($N533,DATA_ASSET_CLASSIFICATION!$AA$8:$AA$13,0)),"Review"))</f>
        <v>Bucket 0 · Excluded</v>
      </c>
      <c r="P533" s="350" t="str">
        <f>IF($B533="Portfolio","Portfolio",IFERROR(INDEX(DATA_ASSET_CLASSIFICATION!$C$8:$C$24,MATCH($C533,DATA_ASSET_CLASSIFICATION!$A$8:$A$24,0)),"Review"))</f>
        <v>No</v>
      </c>
      <c r="Q533" s="350" t="str">
        <f t="shared" ca="1" si="17"/>
        <v>OK</v>
      </c>
    </row>
    <row r="534" spans="1:17">
      <c r="A534" s="366" t="s">
        <v>2490</v>
      </c>
      <c r="B534" s="366" t="s">
        <v>231</v>
      </c>
      <c r="C534" s="348" t="str">
        <f>DATA_PROPERTY_MASTER!$A$5</f>
        <v>BLD_AB</v>
      </c>
      <c r="D534" s="380">
        <f>'00_PORTFOLIO ROLLUP'!S$12</f>
        <v>2039</v>
      </c>
      <c r="E534" s="366" t="s">
        <v>1683</v>
      </c>
      <c r="F534" s="366" t="s">
        <v>19</v>
      </c>
      <c r="G534" s="348" t="str">
        <f>"'"&amp;$C534&amp;"'!$E$41:$Y$41"</f>
        <v>'BLD_AB'!$E$41:$Y$41</v>
      </c>
      <c r="H534" s="381">
        <f ca="1">IF(IFERROR(INDEX(DATA_PROPERTY_MASTER!$E$5:$E$21,MATCH($C534,DATA_PROPERTY_MASTER!$A$5:$A$21,0))="Yes",FALSE),IFERROR(INDEX(INDIRECT("'"&amp;$C534&amp;"'!$E$41:$Y$41"),1,MATCH($D534,INDIRECT("'"&amp;$C534&amp;"'!$E$12:$Y$12"),0)),0),0)</f>
        <v>0</v>
      </c>
      <c r="I534" s="366" t="s">
        <v>1685</v>
      </c>
      <c r="J534" s="348" t="str">
        <f t="shared" ca="1" si="16"/>
        <v>OK</v>
      </c>
      <c r="K534" s="366" t="s">
        <v>1694</v>
      </c>
      <c r="L534" s="366" t="s">
        <v>2238</v>
      </c>
      <c r="M534" s="350" t="str">
        <f>IF($B534="Portfolio","Portfolio",IFERROR(INDEX(DATA_ASSET_CLASSIFICATION!$B$8:$B$24,MATCH($C534,DATA_ASSET_CLASSIFICATION!$A$8:$A$24,0)),"Review"))</f>
        <v>Alma Blackwell</v>
      </c>
      <c r="N534" s="350" t="str">
        <f>IF($B534="Portfolio","Portfolio",IFERROR(INDEX(DATA_ASSET_CLASSIFICATION!$U$8:$U$24,MATCH($C534,DATA_ASSET_CLASSIFICATION!$A$8:$A$24,0)),"Review"))</f>
        <v>Excluded</v>
      </c>
      <c r="O534" s="350" t="str">
        <f>IF($B534="Portfolio","Portfolio",IFERROR(INDEX(DATA_ASSET_CLASSIFICATION!$AB$8:$AB$13,MATCH($N534,DATA_ASSET_CLASSIFICATION!$AA$8:$AA$13,0)),"Review"))</f>
        <v>Bucket 0 · Excluded</v>
      </c>
      <c r="P534" s="350" t="str">
        <f>IF($B534="Portfolio","Portfolio",IFERROR(INDEX(DATA_ASSET_CLASSIFICATION!$C$8:$C$24,MATCH($C534,DATA_ASSET_CLASSIFICATION!$A$8:$A$24,0)),"Review"))</f>
        <v>No</v>
      </c>
      <c r="Q534" s="350" t="str">
        <f t="shared" ca="1" si="17"/>
        <v>OK</v>
      </c>
    </row>
    <row r="535" spans="1:17">
      <c r="A535" s="366" t="s">
        <v>2491</v>
      </c>
      <c r="B535" s="366" t="s">
        <v>231</v>
      </c>
      <c r="C535" s="348" t="str">
        <f>DATA_PROPERTY_MASTER!$A$5</f>
        <v>BLD_AB</v>
      </c>
      <c r="D535" s="380">
        <f>'00_PORTFOLIO ROLLUP'!S$12</f>
        <v>2039</v>
      </c>
      <c r="E535" s="366" t="s">
        <v>1683</v>
      </c>
      <c r="F535" s="366" t="s">
        <v>1697</v>
      </c>
      <c r="G535" s="348" t="str">
        <f>"'"&amp;$C535&amp;"'!$E$44:$Y$44"</f>
        <v>'BLD_AB'!$E$44:$Y$44</v>
      </c>
      <c r="H535" s="381">
        <f ca="1">IF(IFERROR(INDEX(DATA_PROPERTY_MASTER!$E$5:$E$21,MATCH($C535,DATA_PROPERTY_MASTER!$A$5:$A$21,0))="Yes",FALSE),IFERROR(INDEX(INDIRECT("'"&amp;$C535&amp;"'!$E$44:$Y$44"),1,MATCH($D535,INDIRECT("'"&amp;$C535&amp;"'!$E$12:$Y$12"),0)),0),0)</f>
        <v>0</v>
      </c>
      <c r="I535" s="366" t="s">
        <v>1690</v>
      </c>
      <c r="J535" s="348" t="str">
        <f t="shared" ca="1" si="16"/>
        <v>OK</v>
      </c>
      <c r="K535" s="366" t="s">
        <v>1699</v>
      </c>
      <c r="L535" s="366" t="s">
        <v>2240</v>
      </c>
      <c r="M535" s="350" t="str">
        <f>IF($B535="Portfolio","Portfolio",IFERROR(INDEX(DATA_ASSET_CLASSIFICATION!$B$8:$B$24,MATCH($C535,DATA_ASSET_CLASSIFICATION!$A$8:$A$24,0)),"Review"))</f>
        <v>Alma Blackwell</v>
      </c>
      <c r="N535" s="350" t="str">
        <f>IF($B535="Portfolio","Portfolio",IFERROR(INDEX(DATA_ASSET_CLASSIFICATION!$U$8:$U$24,MATCH($C535,DATA_ASSET_CLASSIFICATION!$A$8:$A$24,0)),"Review"))</f>
        <v>Excluded</v>
      </c>
      <c r="O535" s="350" t="str">
        <f>IF($B535="Portfolio","Portfolio",IFERROR(INDEX(DATA_ASSET_CLASSIFICATION!$AB$8:$AB$13,MATCH($N535,DATA_ASSET_CLASSIFICATION!$AA$8:$AA$13,0)),"Review"))</f>
        <v>Bucket 0 · Excluded</v>
      </c>
      <c r="P535" s="350" t="str">
        <f>IF($B535="Portfolio","Portfolio",IFERROR(INDEX(DATA_ASSET_CLASSIFICATION!$C$8:$C$24,MATCH($C535,DATA_ASSET_CLASSIFICATION!$A$8:$A$24,0)),"Review"))</f>
        <v>No</v>
      </c>
      <c r="Q535" s="350" t="str">
        <f t="shared" ca="1" si="17"/>
        <v>OK</v>
      </c>
    </row>
    <row r="536" spans="1:17">
      <c r="A536" s="366" t="s">
        <v>2492</v>
      </c>
      <c r="B536" s="366" t="s">
        <v>231</v>
      </c>
      <c r="C536" s="348" t="str">
        <f>DATA_PROPERTY_MASTER!$A$5</f>
        <v>BLD_AB</v>
      </c>
      <c r="D536" s="380">
        <f>'00_PORTFOLIO ROLLUP'!S$12</f>
        <v>2039</v>
      </c>
      <c r="E536" s="366" t="s">
        <v>1683</v>
      </c>
      <c r="F536" s="366" t="s">
        <v>21</v>
      </c>
      <c r="G536" s="348" t="str">
        <f>"'"&amp;$C536&amp;"'!$E$45:$Y$45"</f>
        <v>'BLD_AB'!$E$45:$Y$45</v>
      </c>
      <c r="H536" s="381">
        <f ca="1">IF(IFERROR(INDEX(DATA_PROPERTY_MASTER!$E$5:$E$21,MATCH($C536,DATA_PROPERTY_MASTER!$A$5:$A$21,0))="Yes",FALSE),IFERROR(INDEX(INDIRECT("'"&amp;$C536&amp;"'!$E$45:$Y$45"),1,MATCH($D536,INDIRECT("'"&amp;$C536&amp;"'!$E$12:$Y$12"),0)),0),0)</f>
        <v>0</v>
      </c>
      <c r="I536" s="366" t="s">
        <v>1685</v>
      </c>
      <c r="J536" s="348" t="str">
        <f t="shared" ca="1" si="16"/>
        <v>OK</v>
      </c>
      <c r="K536" s="366" t="s">
        <v>1694</v>
      </c>
      <c r="L536" s="366" t="s">
        <v>2242</v>
      </c>
      <c r="M536" s="350" t="str">
        <f>IF($B536="Portfolio","Portfolio",IFERROR(INDEX(DATA_ASSET_CLASSIFICATION!$B$8:$B$24,MATCH($C536,DATA_ASSET_CLASSIFICATION!$A$8:$A$24,0)),"Review"))</f>
        <v>Alma Blackwell</v>
      </c>
      <c r="N536" s="350" t="str">
        <f>IF($B536="Portfolio","Portfolio",IFERROR(INDEX(DATA_ASSET_CLASSIFICATION!$U$8:$U$24,MATCH($C536,DATA_ASSET_CLASSIFICATION!$A$8:$A$24,0)),"Review"))</f>
        <v>Excluded</v>
      </c>
      <c r="O536" s="350" t="str">
        <f>IF($B536="Portfolio","Portfolio",IFERROR(INDEX(DATA_ASSET_CLASSIFICATION!$AB$8:$AB$13,MATCH($N536,DATA_ASSET_CLASSIFICATION!$AA$8:$AA$13,0)),"Review"))</f>
        <v>Bucket 0 · Excluded</v>
      </c>
      <c r="P536" s="350" t="str">
        <f>IF($B536="Portfolio","Portfolio",IFERROR(INDEX(DATA_ASSET_CLASSIFICATION!$C$8:$C$24,MATCH($C536,DATA_ASSET_CLASSIFICATION!$A$8:$A$24,0)),"Review"))</f>
        <v>No</v>
      </c>
      <c r="Q536" s="350" t="str">
        <f t="shared" ca="1" si="17"/>
        <v>OK</v>
      </c>
    </row>
    <row r="537" spans="1:17">
      <c r="A537" s="366" t="s">
        <v>2493</v>
      </c>
      <c r="B537" s="366" t="s">
        <v>231</v>
      </c>
      <c r="C537" s="348" t="str">
        <f>DATA_PROPERTY_MASTER!$A$5</f>
        <v>BLD_AB</v>
      </c>
      <c r="D537" s="380">
        <f>'00_PORTFOLIO ROLLUP'!S$12</f>
        <v>2039</v>
      </c>
      <c r="E537" s="366" t="s">
        <v>23</v>
      </c>
      <c r="F537" s="366" t="s">
        <v>23</v>
      </c>
      <c r="G537" s="348" t="str">
        <f>"'"&amp;$C537&amp;"'!$E$48:$Y$48"</f>
        <v>'BLD_AB'!$E$48:$Y$48</v>
      </c>
      <c r="H537" s="381">
        <f ca="1">IF(IFERROR(INDEX(DATA_PROPERTY_MASTER!$E$5:$E$21,MATCH($C537,DATA_PROPERTY_MASTER!$A$5:$A$21,0))="Yes",FALSE),IFERROR(INDEX(INDIRECT("'"&amp;$C537&amp;"'!$E$48:$Y$48"),1,MATCH($D537,INDIRECT("'"&amp;$C537&amp;"'!$E$12:$Y$12"),0)),0),0)</f>
        <v>0</v>
      </c>
      <c r="I537" s="366" t="s">
        <v>1690</v>
      </c>
      <c r="J537" s="348" t="str">
        <f t="shared" ca="1" si="16"/>
        <v>OK</v>
      </c>
      <c r="K537" s="366" t="s">
        <v>1706</v>
      </c>
      <c r="L537" s="366" t="s">
        <v>2244</v>
      </c>
      <c r="M537" s="350" t="str">
        <f>IF($B537="Portfolio","Portfolio",IFERROR(INDEX(DATA_ASSET_CLASSIFICATION!$B$8:$B$24,MATCH($C537,DATA_ASSET_CLASSIFICATION!$A$8:$A$24,0)),"Review"))</f>
        <v>Alma Blackwell</v>
      </c>
      <c r="N537" s="350" t="str">
        <f>IF($B537="Portfolio","Portfolio",IFERROR(INDEX(DATA_ASSET_CLASSIFICATION!$U$8:$U$24,MATCH($C537,DATA_ASSET_CLASSIFICATION!$A$8:$A$24,0)),"Review"))</f>
        <v>Excluded</v>
      </c>
      <c r="O537" s="350" t="str">
        <f>IF($B537="Portfolio","Portfolio",IFERROR(INDEX(DATA_ASSET_CLASSIFICATION!$AB$8:$AB$13,MATCH($N537,DATA_ASSET_CLASSIFICATION!$AA$8:$AA$13,0)),"Review"))</f>
        <v>Bucket 0 · Excluded</v>
      </c>
      <c r="P537" s="350" t="str">
        <f>IF($B537="Portfolio","Portfolio",IFERROR(INDEX(DATA_ASSET_CLASSIFICATION!$C$8:$C$24,MATCH($C537,DATA_ASSET_CLASSIFICATION!$A$8:$A$24,0)),"Review"))</f>
        <v>No</v>
      </c>
      <c r="Q537" s="350" t="str">
        <f t="shared" ca="1" si="17"/>
        <v>OK</v>
      </c>
    </row>
    <row r="538" spans="1:17">
      <c r="A538" s="366" t="s">
        <v>2494</v>
      </c>
      <c r="B538" s="366" t="s">
        <v>231</v>
      </c>
      <c r="C538" s="348" t="str">
        <f>DATA_PROPERTY_MASTER!$A$5</f>
        <v>BLD_AB</v>
      </c>
      <c r="D538" s="380">
        <f>'00_PORTFOLIO ROLLUP'!S$12</f>
        <v>2039</v>
      </c>
      <c r="E538" s="366" t="s">
        <v>1683</v>
      </c>
      <c r="F538" s="366" t="s">
        <v>25</v>
      </c>
      <c r="G538" s="348" t="str">
        <f>"'"&amp;$C538&amp;"'!$E$52:$Y$52"</f>
        <v>'BLD_AB'!$E$52:$Y$52</v>
      </c>
      <c r="H538" s="381">
        <f ca="1">IF(IFERROR(INDEX(DATA_PROPERTY_MASTER!$E$5:$E$21,MATCH($C538,DATA_PROPERTY_MASTER!$A$5:$A$21,0))="Yes",FALSE),IFERROR(INDEX(INDIRECT("'"&amp;$C538&amp;"'!$E$52:$Y$52"),1,MATCH($D538,INDIRECT("'"&amp;$C538&amp;"'!$E$12:$Y$12"),0)),0),0)</f>
        <v>0</v>
      </c>
      <c r="I538" s="366" t="s">
        <v>1685</v>
      </c>
      <c r="J538" s="348" t="str">
        <f t="shared" ca="1" si="16"/>
        <v>OK</v>
      </c>
      <c r="K538" s="366" t="s">
        <v>1710</v>
      </c>
      <c r="L538" s="366" t="s">
        <v>2246</v>
      </c>
      <c r="M538" s="350" t="str">
        <f>IF($B538="Portfolio","Portfolio",IFERROR(INDEX(DATA_ASSET_CLASSIFICATION!$B$8:$B$24,MATCH($C538,DATA_ASSET_CLASSIFICATION!$A$8:$A$24,0)),"Review"))</f>
        <v>Alma Blackwell</v>
      </c>
      <c r="N538" s="350" t="str">
        <f>IF($B538="Portfolio","Portfolio",IFERROR(INDEX(DATA_ASSET_CLASSIFICATION!$U$8:$U$24,MATCH($C538,DATA_ASSET_CLASSIFICATION!$A$8:$A$24,0)),"Review"))</f>
        <v>Excluded</v>
      </c>
      <c r="O538" s="350" t="str">
        <f>IF($B538="Portfolio","Portfolio",IFERROR(INDEX(DATA_ASSET_CLASSIFICATION!$AB$8:$AB$13,MATCH($N538,DATA_ASSET_CLASSIFICATION!$AA$8:$AA$13,0)),"Review"))</f>
        <v>Bucket 0 · Excluded</v>
      </c>
      <c r="P538" s="350" t="str">
        <f>IF($B538="Portfolio","Portfolio",IFERROR(INDEX(DATA_ASSET_CLASSIFICATION!$C$8:$C$24,MATCH($C538,DATA_ASSET_CLASSIFICATION!$A$8:$A$24,0)),"Review"))</f>
        <v>No</v>
      </c>
      <c r="Q538" s="350" t="str">
        <f t="shared" ca="1" si="17"/>
        <v>OK</v>
      </c>
    </row>
    <row r="539" spans="1:17">
      <c r="A539" s="366" t="s">
        <v>2495</v>
      </c>
      <c r="B539" s="366" t="s">
        <v>231</v>
      </c>
      <c r="C539" s="348" t="str">
        <f>DATA_PROPERTY_MASTER!$A$5</f>
        <v>BLD_AB</v>
      </c>
      <c r="D539" s="380">
        <f>'00_PORTFOLIO ROLLUP'!S$12</f>
        <v>2039</v>
      </c>
      <c r="E539" s="366" t="s">
        <v>1683</v>
      </c>
      <c r="F539" s="366" t="s">
        <v>27</v>
      </c>
      <c r="G539" s="348" t="str">
        <f>"'"&amp;$C539&amp;"'!$E$54:$Y$54"</f>
        <v>'BLD_AB'!$E$54:$Y$54</v>
      </c>
      <c r="H539" s="381">
        <f ca="1">IF(IFERROR(INDEX(DATA_PROPERTY_MASTER!$E$5:$E$21,MATCH($C539,DATA_PROPERTY_MASTER!$A$5:$A$21,0))="Yes",FALSE),IFERROR(INDEX(INDIRECT("'"&amp;$C539&amp;"'!$E$54:$Y$54"),1,MATCH($D539,INDIRECT("'"&amp;$C539&amp;"'!$E$12:$Y$12"),0)),0),0)</f>
        <v>0</v>
      </c>
      <c r="I539" s="366" t="s">
        <v>1690</v>
      </c>
      <c r="J539" s="348" t="str">
        <f t="shared" ca="1" si="16"/>
        <v>OK</v>
      </c>
      <c r="K539" s="366" t="s">
        <v>1714</v>
      </c>
      <c r="L539" s="366" t="s">
        <v>2248</v>
      </c>
      <c r="M539" s="350" t="str">
        <f>IF($B539="Portfolio","Portfolio",IFERROR(INDEX(DATA_ASSET_CLASSIFICATION!$B$8:$B$24,MATCH($C539,DATA_ASSET_CLASSIFICATION!$A$8:$A$24,0)),"Review"))</f>
        <v>Alma Blackwell</v>
      </c>
      <c r="N539" s="350" t="str">
        <f>IF($B539="Portfolio","Portfolio",IFERROR(INDEX(DATA_ASSET_CLASSIFICATION!$U$8:$U$24,MATCH($C539,DATA_ASSET_CLASSIFICATION!$A$8:$A$24,0)),"Review"))</f>
        <v>Excluded</v>
      </c>
      <c r="O539" s="350" t="str">
        <f>IF($B539="Portfolio","Portfolio",IFERROR(INDEX(DATA_ASSET_CLASSIFICATION!$AB$8:$AB$13,MATCH($N539,DATA_ASSET_CLASSIFICATION!$AA$8:$AA$13,0)),"Review"))</f>
        <v>Bucket 0 · Excluded</v>
      </c>
      <c r="P539" s="350" t="str">
        <f>IF($B539="Portfolio","Portfolio",IFERROR(INDEX(DATA_ASSET_CLASSIFICATION!$C$8:$C$24,MATCH($C539,DATA_ASSET_CLASSIFICATION!$A$8:$A$24,0)),"Review"))</f>
        <v>No</v>
      </c>
      <c r="Q539" s="350" t="str">
        <f t="shared" ca="1" si="17"/>
        <v>OK</v>
      </c>
    </row>
    <row r="540" spans="1:17">
      <c r="A540" s="366" t="s">
        <v>2496</v>
      </c>
      <c r="B540" s="366" t="s">
        <v>231</v>
      </c>
      <c r="C540" s="348" t="str">
        <f>DATA_PROPERTY_MASTER!$A$5</f>
        <v>BLD_AB</v>
      </c>
      <c r="D540" s="380">
        <f>'00_PORTFOLIO ROLLUP'!S$12</f>
        <v>2039</v>
      </c>
      <c r="E540" s="366" t="s">
        <v>1683</v>
      </c>
      <c r="F540" s="366" t="s">
        <v>29</v>
      </c>
      <c r="G540" s="348" t="str">
        <f>"'"&amp;$C540&amp;"'!$E$56:$Y$56"</f>
        <v>'BLD_AB'!$E$56:$Y$56</v>
      </c>
      <c r="H540" s="381">
        <f ca="1">IF(IFERROR(INDEX(DATA_PROPERTY_MASTER!$E$5:$E$21,MATCH($C540,DATA_PROPERTY_MASTER!$A$5:$A$21,0))="Yes",FALSE),IFERROR(INDEX(INDIRECT("'"&amp;$C540&amp;"'!$E$56:$Y$56"),1,MATCH($D540,INDIRECT("'"&amp;$C540&amp;"'!$E$12:$Y$12"),0)),0),0)</f>
        <v>0</v>
      </c>
      <c r="I540" s="366" t="s">
        <v>1685</v>
      </c>
      <c r="J540" s="348" t="str">
        <f t="shared" ca="1" si="16"/>
        <v>OK</v>
      </c>
      <c r="K540" s="366" t="s">
        <v>1718</v>
      </c>
      <c r="L540" s="366" t="s">
        <v>2250</v>
      </c>
      <c r="M540" s="350" t="str">
        <f>IF($B540="Portfolio","Portfolio",IFERROR(INDEX(DATA_ASSET_CLASSIFICATION!$B$8:$B$24,MATCH($C540,DATA_ASSET_CLASSIFICATION!$A$8:$A$24,0)),"Review"))</f>
        <v>Alma Blackwell</v>
      </c>
      <c r="N540" s="350" t="str">
        <f>IF($B540="Portfolio","Portfolio",IFERROR(INDEX(DATA_ASSET_CLASSIFICATION!$U$8:$U$24,MATCH($C540,DATA_ASSET_CLASSIFICATION!$A$8:$A$24,0)),"Review"))</f>
        <v>Excluded</v>
      </c>
      <c r="O540" s="350" t="str">
        <f>IF($B540="Portfolio","Portfolio",IFERROR(INDEX(DATA_ASSET_CLASSIFICATION!$AB$8:$AB$13,MATCH($N540,DATA_ASSET_CLASSIFICATION!$AA$8:$AA$13,0)),"Review"))</f>
        <v>Bucket 0 · Excluded</v>
      </c>
      <c r="P540" s="350" t="str">
        <f>IF($B540="Portfolio","Portfolio",IFERROR(INDEX(DATA_ASSET_CLASSIFICATION!$C$8:$C$24,MATCH($C540,DATA_ASSET_CLASSIFICATION!$A$8:$A$24,0)),"Review"))</f>
        <v>No</v>
      </c>
      <c r="Q540" s="350" t="str">
        <f t="shared" ca="1" si="17"/>
        <v>OK</v>
      </c>
    </row>
    <row r="541" spans="1:17">
      <c r="A541" s="366" t="s">
        <v>2497</v>
      </c>
      <c r="B541" s="366" t="s">
        <v>231</v>
      </c>
      <c r="C541" s="348" t="str">
        <f>DATA_PROPERTY_MASTER!$A$5</f>
        <v>BLD_AB</v>
      </c>
      <c r="D541" s="380">
        <f>'00_PORTFOLIO ROLLUP'!S$12</f>
        <v>2039</v>
      </c>
      <c r="E541" s="366" t="s">
        <v>1721</v>
      </c>
      <c r="F541" s="366" t="s">
        <v>31</v>
      </c>
      <c r="G541" s="348" t="str">
        <f>"'"&amp;$C541&amp;"'!$E$61:$Y$61"</f>
        <v>'BLD_AB'!$E$61:$Y$61</v>
      </c>
      <c r="H541" s="381">
        <f ca="1">IF(IFERROR(INDEX(DATA_PROPERTY_MASTER!$E$5:$E$21,MATCH($C541,DATA_PROPERTY_MASTER!$A$5:$A$21,0))="Yes",FALSE),IFERROR(INDEX(INDIRECT("'"&amp;$C541&amp;"'!$E$61:$Y$61"),1,MATCH($D541,INDIRECT("'"&amp;$C541&amp;"'!$E$12:$Y$12"),0)),0),0)</f>
        <v>0</v>
      </c>
      <c r="I541" s="366" t="s">
        <v>1690</v>
      </c>
      <c r="J541" s="348" t="str">
        <f t="shared" ca="1" si="16"/>
        <v>OK</v>
      </c>
      <c r="K541" s="366" t="s">
        <v>1723</v>
      </c>
      <c r="L541" s="366" t="s">
        <v>2252</v>
      </c>
      <c r="M541" s="350" t="str">
        <f>IF($B541="Portfolio","Portfolio",IFERROR(INDEX(DATA_ASSET_CLASSIFICATION!$B$8:$B$24,MATCH($C541,DATA_ASSET_CLASSIFICATION!$A$8:$A$24,0)),"Review"))</f>
        <v>Alma Blackwell</v>
      </c>
      <c r="N541" s="350" t="str">
        <f>IF($B541="Portfolio","Portfolio",IFERROR(INDEX(DATA_ASSET_CLASSIFICATION!$U$8:$U$24,MATCH($C541,DATA_ASSET_CLASSIFICATION!$A$8:$A$24,0)),"Review"))</f>
        <v>Excluded</v>
      </c>
      <c r="O541" s="350" t="str">
        <f>IF($B541="Portfolio","Portfolio",IFERROR(INDEX(DATA_ASSET_CLASSIFICATION!$AB$8:$AB$13,MATCH($N541,DATA_ASSET_CLASSIFICATION!$AA$8:$AA$13,0)),"Review"))</f>
        <v>Bucket 0 · Excluded</v>
      </c>
      <c r="P541" s="350" t="str">
        <f>IF($B541="Portfolio","Portfolio",IFERROR(INDEX(DATA_ASSET_CLASSIFICATION!$C$8:$C$24,MATCH($C541,DATA_ASSET_CLASSIFICATION!$A$8:$A$24,0)),"Review"))</f>
        <v>No</v>
      </c>
      <c r="Q541" s="350" t="str">
        <f t="shared" ca="1" si="17"/>
        <v>OK</v>
      </c>
    </row>
    <row r="542" spans="1:17">
      <c r="A542" s="366" t="s">
        <v>2498</v>
      </c>
      <c r="B542" s="366" t="s">
        <v>231</v>
      </c>
      <c r="C542" s="348" t="str">
        <f>DATA_PROPERTY_MASTER!$A$5</f>
        <v>BLD_AB</v>
      </c>
      <c r="D542" s="380">
        <f>'00_PORTFOLIO ROLLUP'!S$12</f>
        <v>2039</v>
      </c>
      <c r="E542" s="366" t="s">
        <v>1721</v>
      </c>
      <c r="F542" s="366" t="s">
        <v>33</v>
      </c>
      <c r="G542" s="348" t="str">
        <f>"'"&amp;$C542&amp;"'!$E$62:$Y$62"</f>
        <v>'BLD_AB'!$E$62:$Y$62</v>
      </c>
      <c r="H542" s="381">
        <f ca="1">IF(IFERROR(INDEX(DATA_PROPERTY_MASTER!$E$5:$E$21,MATCH($C542,DATA_PROPERTY_MASTER!$A$5:$A$21,0))="Yes",FALSE),IFERROR(INDEX(INDIRECT("'"&amp;$C542&amp;"'!$E$62:$Y$62"),1,MATCH($D542,INDIRECT("'"&amp;$C542&amp;"'!$E$12:$Y$12"),0)),0),0)</f>
        <v>0</v>
      </c>
      <c r="I542" s="366" t="s">
        <v>1685</v>
      </c>
      <c r="J542" s="348" t="str">
        <f t="shared" ca="1" si="16"/>
        <v>OK</v>
      </c>
      <c r="K542" s="366" t="s">
        <v>1727</v>
      </c>
      <c r="L542" s="366" t="s">
        <v>2254</v>
      </c>
      <c r="M542" s="350" t="str">
        <f>IF($B542="Portfolio","Portfolio",IFERROR(INDEX(DATA_ASSET_CLASSIFICATION!$B$8:$B$24,MATCH($C542,DATA_ASSET_CLASSIFICATION!$A$8:$A$24,0)),"Review"))</f>
        <v>Alma Blackwell</v>
      </c>
      <c r="N542" s="350" t="str">
        <f>IF($B542="Portfolio","Portfolio",IFERROR(INDEX(DATA_ASSET_CLASSIFICATION!$U$8:$U$24,MATCH($C542,DATA_ASSET_CLASSIFICATION!$A$8:$A$24,0)),"Review"))</f>
        <v>Excluded</v>
      </c>
      <c r="O542" s="350" t="str">
        <f>IF($B542="Portfolio","Portfolio",IFERROR(INDEX(DATA_ASSET_CLASSIFICATION!$AB$8:$AB$13,MATCH($N542,DATA_ASSET_CLASSIFICATION!$AA$8:$AA$13,0)),"Review"))</f>
        <v>Bucket 0 · Excluded</v>
      </c>
      <c r="P542" s="350" t="str">
        <f>IF($B542="Portfolio","Portfolio",IFERROR(INDEX(DATA_ASSET_CLASSIFICATION!$C$8:$C$24,MATCH($C542,DATA_ASSET_CLASSIFICATION!$A$8:$A$24,0)),"Review"))</f>
        <v>No</v>
      </c>
      <c r="Q542" s="350" t="str">
        <f t="shared" ca="1" si="17"/>
        <v>OK</v>
      </c>
    </row>
    <row r="543" spans="1:17">
      <c r="A543" s="366" t="s">
        <v>2499</v>
      </c>
      <c r="B543" s="366" t="s">
        <v>231</v>
      </c>
      <c r="C543" s="348" t="str">
        <f>DATA_PROPERTY_MASTER!$A$5</f>
        <v>BLD_AB</v>
      </c>
      <c r="D543" s="380">
        <f>'00_PORTFOLIO ROLLUP'!S$12</f>
        <v>2039</v>
      </c>
      <c r="E543" s="366" t="s">
        <v>1721</v>
      </c>
      <c r="F543" s="366" t="s">
        <v>35</v>
      </c>
      <c r="G543" s="348" t="str">
        <f>"'"&amp;$C543&amp;"'!$E$63:$Y$63"</f>
        <v>'BLD_AB'!$E$63:$Y$63</v>
      </c>
      <c r="H543" s="381">
        <f ca="1">IF(IFERROR(INDEX(DATA_PROPERTY_MASTER!$E$5:$E$21,MATCH($C543,DATA_PROPERTY_MASTER!$A$5:$A$21,0))="Yes",FALSE),IFERROR(INDEX(INDIRECT("'"&amp;$C543&amp;"'!$E$63:$Y$63"),1,MATCH($D543,INDIRECT("'"&amp;$C543&amp;"'!$E$12:$Y$12"),0)),0),0)</f>
        <v>0</v>
      </c>
      <c r="I543" s="366" t="s">
        <v>1731</v>
      </c>
      <c r="J543" s="348" t="str">
        <f t="shared" ca="1" si="16"/>
        <v>OK</v>
      </c>
      <c r="K543" s="366" t="s">
        <v>1732</v>
      </c>
      <c r="L543" s="366" t="s">
        <v>2256</v>
      </c>
      <c r="M543" s="350" t="str">
        <f>IF($B543="Portfolio","Portfolio",IFERROR(INDEX(DATA_ASSET_CLASSIFICATION!$B$8:$B$24,MATCH($C543,DATA_ASSET_CLASSIFICATION!$A$8:$A$24,0)),"Review"))</f>
        <v>Alma Blackwell</v>
      </c>
      <c r="N543" s="350" t="str">
        <f>IF($B543="Portfolio","Portfolio",IFERROR(INDEX(DATA_ASSET_CLASSIFICATION!$U$8:$U$24,MATCH($C543,DATA_ASSET_CLASSIFICATION!$A$8:$A$24,0)),"Review"))</f>
        <v>Excluded</v>
      </c>
      <c r="O543" s="350" t="str">
        <f>IF($B543="Portfolio","Portfolio",IFERROR(INDEX(DATA_ASSET_CLASSIFICATION!$AB$8:$AB$13,MATCH($N543,DATA_ASSET_CLASSIFICATION!$AA$8:$AA$13,0)),"Review"))</f>
        <v>Bucket 0 · Excluded</v>
      </c>
      <c r="P543" s="350" t="str">
        <f>IF($B543="Portfolio","Portfolio",IFERROR(INDEX(DATA_ASSET_CLASSIFICATION!$C$8:$C$24,MATCH($C543,DATA_ASSET_CLASSIFICATION!$A$8:$A$24,0)),"Review"))</f>
        <v>No</v>
      </c>
      <c r="Q543" s="350" t="str">
        <f t="shared" ca="1" si="17"/>
        <v>OK</v>
      </c>
    </row>
    <row r="544" spans="1:17">
      <c r="A544" s="366" t="s">
        <v>2500</v>
      </c>
      <c r="B544" s="366" t="s">
        <v>231</v>
      </c>
      <c r="C544" s="348" t="str">
        <f>DATA_PROPERTY_MASTER!$A$5</f>
        <v>BLD_AB</v>
      </c>
      <c r="D544" s="380">
        <f>'00_PORTFOLIO ROLLUP'!S$12</f>
        <v>2039</v>
      </c>
      <c r="E544" s="366" t="s">
        <v>1721</v>
      </c>
      <c r="F544" s="366" t="s">
        <v>37</v>
      </c>
      <c r="G544" s="348" t="str">
        <f>"'"&amp;$C544&amp;"'!$E$63:$Y$63"</f>
        <v>'BLD_AB'!$E$63:$Y$63</v>
      </c>
      <c r="H544" s="381">
        <f ca="1">IF(IFERROR(INDEX(DATA_PROPERTY_MASTER!$E$5:$E$21,MATCH($C544,DATA_PROPERTY_MASTER!$A$5:$A$21,0))="Yes",FALSE),MAX(IFERROR(INDEX(INDIRECT("'"&amp;$C544&amp;"'!$E$63:$Y$63"),1,MATCH($D544,INDIRECT("'"&amp;$C544&amp;"'!$E$12:$Y$12"),0)),0),0),0)</f>
        <v>0</v>
      </c>
      <c r="I544" s="366" t="s">
        <v>1685</v>
      </c>
      <c r="J544" s="348" t="str">
        <f t="shared" ca="1" si="16"/>
        <v>OK</v>
      </c>
      <c r="K544" s="366" t="s">
        <v>1735</v>
      </c>
      <c r="L544" s="366" t="s">
        <v>2258</v>
      </c>
      <c r="M544" s="350" t="str">
        <f>IF($B544="Portfolio","Portfolio",IFERROR(INDEX(DATA_ASSET_CLASSIFICATION!$B$8:$B$24,MATCH($C544,DATA_ASSET_CLASSIFICATION!$A$8:$A$24,0)),"Review"))</f>
        <v>Alma Blackwell</v>
      </c>
      <c r="N544" s="350" t="str">
        <f>IF($B544="Portfolio","Portfolio",IFERROR(INDEX(DATA_ASSET_CLASSIFICATION!$U$8:$U$24,MATCH($C544,DATA_ASSET_CLASSIFICATION!$A$8:$A$24,0)),"Review"))</f>
        <v>Excluded</v>
      </c>
      <c r="O544" s="350" t="str">
        <f>IF($B544="Portfolio","Portfolio",IFERROR(INDEX(DATA_ASSET_CLASSIFICATION!$AB$8:$AB$13,MATCH($N544,DATA_ASSET_CLASSIFICATION!$AA$8:$AA$13,0)),"Review"))</f>
        <v>Bucket 0 · Excluded</v>
      </c>
      <c r="P544" s="350" t="str">
        <f>IF($B544="Portfolio","Portfolio",IFERROR(INDEX(DATA_ASSET_CLASSIFICATION!$C$8:$C$24,MATCH($C544,DATA_ASSET_CLASSIFICATION!$A$8:$A$24,0)),"Review"))</f>
        <v>No</v>
      </c>
      <c r="Q544" s="350" t="str">
        <f t="shared" ca="1" si="17"/>
        <v>OK</v>
      </c>
    </row>
    <row r="545" spans="1:17">
      <c r="A545" s="366" t="s">
        <v>2501</v>
      </c>
      <c r="B545" s="366" t="s">
        <v>231</v>
      </c>
      <c r="C545" s="348" t="str">
        <f>DATA_PROPERTY_MASTER!$A$5</f>
        <v>BLD_AB</v>
      </c>
      <c r="D545" s="380">
        <f>'00_PORTFOLIO ROLLUP'!S$12</f>
        <v>2039</v>
      </c>
      <c r="E545" s="366" t="s">
        <v>1721</v>
      </c>
      <c r="F545" s="366" t="s">
        <v>39</v>
      </c>
      <c r="G545" s="348" t="str">
        <f>"'"&amp;$C545&amp;"'!$E$63:$Y$63"</f>
        <v>'BLD_AB'!$E$63:$Y$63</v>
      </c>
      <c r="H545" s="381">
        <f ca="1">IF(IFERROR(INDEX(DATA_PROPERTY_MASTER!$E$5:$E$21,MATCH($C545,DATA_PROPERTY_MASTER!$A$5:$A$21,0))="Yes",FALSE),MAX(-IFERROR(INDEX(INDIRECT("'"&amp;$C545&amp;"'!$E$63:$Y$63"),1,MATCH($D545,INDIRECT("'"&amp;$C545&amp;"'!$E$12:$Y$12"),0)),0),0),0)</f>
        <v>0</v>
      </c>
      <c r="I545" s="366" t="s">
        <v>1690</v>
      </c>
      <c r="J545" s="348" t="str">
        <f t="shared" ca="1" si="16"/>
        <v>OK</v>
      </c>
      <c r="K545" s="366" t="s">
        <v>1738</v>
      </c>
      <c r="L545" s="366" t="s">
        <v>2260</v>
      </c>
      <c r="M545" s="350" t="str">
        <f>IF($B545="Portfolio","Portfolio",IFERROR(INDEX(DATA_ASSET_CLASSIFICATION!$B$8:$B$24,MATCH($C545,DATA_ASSET_CLASSIFICATION!$A$8:$A$24,0)),"Review"))</f>
        <v>Alma Blackwell</v>
      </c>
      <c r="N545" s="350" t="str">
        <f>IF($B545="Portfolio","Portfolio",IFERROR(INDEX(DATA_ASSET_CLASSIFICATION!$U$8:$U$24,MATCH($C545,DATA_ASSET_CLASSIFICATION!$A$8:$A$24,0)),"Review"))</f>
        <v>Excluded</v>
      </c>
      <c r="O545" s="350" t="str">
        <f>IF($B545="Portfolio","Portfolio",IFERROR(INDEX(DATA_ASSET_CLASSIFICATION!$AB$8:$AB$13,MATCH($N545,DATA_ASSET_CLASSIFICATION!$AA$8:$AA$13,0)),"Review"))</f>
        <v>Bucket 0 · Excluded</v>
      </c>
      <c r="P545" s="350" t="str">
        <f>IF($B545="Portfolio","Portfolio",IFERROR(INDEX(DATA_ASSET_CLASSIFICATION!$C$8:$C$24,MATCH($C545,DATA_ASSET_CLASSIFICATION!$A$8:$A$24,0)),"Review"))</f>
        <v>No</v>
      </c>
      <c r="Q545" s="350" t="str">
        <f t="shared" ca="1" si="17"/>
        <v>OK</v>
      </c>
    </row>
    <row r="546" spans="1:17">
      <c r="A546" s="366" t="s">
        <v>2502</v>
      </c>
      <c r="B546" s="366" t="s">
        <v>231</v>
      </c>
      <c r="C546" s="348" t="str">
        <f>DATA_PROPERTY_MASTER!$A$5</f>
        <v>BLD_AB</v>
      </c>
      <c r="D546" s="380">
        <f>'00_PORTFOLIO ROLLUP'!S$12</f>
        <v>2039</v>
      </c>
      <c r="E546" s="366" t="s">
        <v>1741</v>
      </c>
      <c r="F546" s="366" t="s">
        <v>41</v>
      </c>
      <c r="G546" s="348" t="str">
        <f>"'"&amp;$C546&amp;"'!rows 56 + positive row 63"</f>
        <v>'BLD_AB'!rows 56 + positive row 63</v>
      </c>
      <c r="H546" s="381">
        <f ca="1">IF(IFERROR(INDEX(DATA_PROPERTY_MASTER!$E$5:$E$21,MATCH($C546,DATA_PROPERTY_MASTER!$A$5:$A$21,0))="Yes",FALSE),IFERROR(INDEX(INDIRECT("'"&amp;$C546&amp;"'!$E$56:$Y$56"),1,MATCH($D546,INDIRECT("'"&amp;$C546&amp;"'!$E$12:$Y$12"),0)),0)+MAX(IFERROR(INDEX(INDIRECT("'"&amp;$C546&amp;"'!$E$63:$Y$63"),1,MATCH($D546,INDIRECT("'"&amp;$C546&amp;"'!$E$12:$Y$12"),0)),0),0),0)</f>
        <v>0</v>
      </c>
      <c r="I546" s="366" t="s">
        <v>1685</v>
      </c>
      <c r="J546" s="348" t="str">
        <f t="shared" ca="1" si="16"/>
        <v>OK</v>
      </c>
      <c r="K546" s="366" t="s">
        <v>1742</v>
      </c>
      <c r="L546" s="366" t="s">
        <v>2262</v>
      </c>
      <c r="M546" s="350" t="str">
        <f>IF($B546="Portfolio","Portfolio",IFERROR(INDEX(DATA_ASSET_CLASSIFICATION!$B$8:$B$24,MATCH($C546,DATA_ASSET_CLASSIFICATION!$A$8:$A$24,0)),"Review"))</f>
        <v>Alma Blackwell</v>
      </c>
      <c r="N546" s="350" t="str">
        <f>IF($B546="Portfolio","Portfolio",IFERROR(INDEX(DATA_ASSET_CLASSIFICATION!$U$8:$U$24,MATCH($C546,DATA_ASSET_CLASSIFICATION!$A$8:$A$24,0)),"Review"))</f>
        <v>Excluded</v>
      </c>
      <c r="O546" s="350" t="str">
        <f>IF($B546="Portfolio","Portfolio",IFERROR(INDEX(DATA_ASSET_CLASSIFICATION!$AB$8:$AB$13,MATCH($N546,DATA_ASSET_CLASSIFICATION!$AA$8:$AA$13,0)),"Review"))</f>
        <v>Bucket 0 · Excluded</v>
      </c>
      <c r="P546" s="350" t="str">
        <f>IF($B546="Portfolio","Portfolio",IFERROR(INDEX(DATA_ASSET_CLASSIFICATION!$C$8:$C$24,MATCH($C546,DATA_ASSET_CLASSIFICATION!$A$8:$A$24,0)),"Review"))</f>
        <v>No</v>
      </c>
      <c r="Q546" s="350" t="str">
        <f t="shared" ca="1" si="17"/>
        <v>OK</v>
      </c>
    </row>
    <row r="547" spans="1:17">
      <c r="A547" s="366" t="s">
        <v>2503</v>
      </c>
      <c r="B547" s="366" t="s">
        <v>231</v>
      </c>
      <c r="C547" s="348" t="str">
        <f>DATA_PROPERTY_MASTER!$A$5</f>
        <v>BLD_AB</v>
      </c>
      <c r="D547" s="380">
        <f>'00_PORTFOLIO ROLLUP'!S$12</f>
        <v>2039</v>
      </c>
      <c r="E547" s="366" t="s">
        <v>1741</v>
      </c>
      <c r="F547" s="366" t="s">
        <v>43</v>
      </c>
      <c r="G547" s="348" t="str">
        <f>"'"&amp;$C547&amp;"'!$E$68:$Y$68"</f>
        <v>'BLD_AB'!$E$68:$Y$68</v>
      </c>
      <c r="H547" s="381">
        <f ca="1">IF(IFERROR(INDEX(DATA_PROPERTY_MASTER!$E$5:$E$21,MATCH($C547,DATA_PROPERTY_MASTER!$A$5:$A$21,0))="Yes",FALSE),IFERROR(INDEX(INDIRECT("'"&amp;$C547&amp;"'!$E$68:$Y$68"),1,MATCH($D547,INDIRECT("'"&amp;$C547&amp;"'!$E$12:$Y$12"),0)),0),0)</f>
        <v>0</v>
      </c>
      <c r="I547" s="366" t="s">
        <v>1731</v>
      </c>
      <c r="J547" s="348" t="str">
        <f t="shared" ca="1" si="16"/>
        <v>OK</v>
      </c>
      <c r="K547" s="366" t="s">
        <v>1746</v>
      </c>
      <c r="L547" s="366" t="s">
        <v>2264</v>
      </c>
      <c r="M547" s="350" t="str">
        <f>IF($B547="Portfolio","Portfolio",IFERROR(INDEX(DATA_ASSET_CLASSIFICATION!$B$8:$B$24,MATCH($C547,DATA_ASSET_CLASSIFICATION!$A$8:$A$24,0)),"Review"))</f>
        <v>Alma Blackwell</v>
      </c>
      <c r="N547" s="350" t="str">
        <f>IF($B547="Portfolio","Portfolio",IFERROR(INDEX(DATA_ASSET_CLASSIFICATION!$U$8:$U$24,MATCH($C547,DATA_ASSET_CLASSIFICATION!$A$8:$A$24,0)),"Review"))</f>
        <v>Excluded</v>
      </c>
      <c r="O547" s="350" t="str">
        <f>IF($B547="Portfolio","Portfolio",IFERROR(INDEX(DATA_ASSET_CLASSIFICATION!$AB$8:$AB$13,MATCH($N547,DATA_ASSET_CLASSIFICATION!$AA$8:$AA$13,0)),"Review"))</f>
        <v>Bucket 0 · Excluded</v>
      </c>
      <c r="P547" s="350" t="str">
        <f>IF($B547="Portfolio","Portfolio",IFERROR(INDEX(DATA_ASSET_CLASSIFICATION!$C$8:$C$24,MATCH($C547,DATA_ASSET_CLASSIFICATION!$A$8:$A$24,0)),"Review"))</f>
        <v>No</v>
      </c>
      <c r="Q547" s="350" t="str">
        <f t="shared" ca="1" si="17"/>
        <v>OK</v>
      </c>
    </row>
    <row r="548" spans="1:17">
      <c r="A548" s="366" t="s">
        <v>2504</v>
      </c>
      <c r="B548" s="366" t="s">
        <v>231</v>
      </c>
      <c r="C548" s="348" t="str">
        <f>DATA_PROPERTY_MASTER!$A$5</f>
        <v>BLD_AB</v>
      </c>
      <c r="D548" s="380">
        <f>'00_PORTFOLIO ROLLUP'!S$12</f>
        <v>2039</v>
      </c>
      <c r="E548" s="366" t="s">
        <v>1741</v>
      </c>
      <c r="F548" s="366" t="s">
        <v>1749</v>
      </c>
      <c r="G548" s="348" t="str">
        <f>"'"&amp;$C548&amp;"'!rows 56, 63, 68"</f>
        <v>'BLD_AB'!rows 56, 63, 68</v>
      </c>
      <c r="H548" s="381">
        <f ca="1">IF(IFERROR(INDEX(DATA_PROPERTY_MASTER!$E$5:$E$21,MATCH($C548,DATA_PROPERTY_MASTER!$A$5:$A$21,0))="Yes",FALSE),(IFERROR(INDEX(INDIRECT("'"&amp;$C548&amp;"'!$E$56:$Y$56"),1,MATCH($D548,INDIRECT("'"&amp;$C548&amp;"'!$E$12:$Y$12"),0)),0)+MAX(IFERROR(INDEX(INDIRECT("'"&amp;$C548&amp;"'!$E$63:$Y$63"),1,MATCH($D548,INDIRECT("'"&amp;$C548&amp;"'!$E$12:$Y$12"),0)),0),0))-(IFERROR(INDEX(INDIRECT("'"&amp;$C548&amp;"'!$E$68:$Y$68"),1,MATCH($D548,INDIRECT("'"&amp;$C548&amp;"'!$E$12:$Y$12"),0)),0)),0)</f>
        <v>0</v>
      </c>
      <c r="I548" s="366" t="s">
        <v>1750</v>
      </c>
      <c r="J548" s="348" t="str">
        <f t="shared" ca="1" si="16"/>
        <v>OK</v>
      </c>
      <c r="K548" s="366" t="s">
        <v>1751</v>
      </c>
      <c r="L548" s="366" t="s">
        <v>2266</v>
      </c>
      <c r="M548" s="350" t="str">
        <f>IF($B548="Portfolio","Portfolio",IFERROR(INDEX(DATA_ASSET_CLASSIFICATION!$B$8:$B$24,MATCH($C548,DATA_ASSET_CLASSIFICATION!$A$8:$A$24,0)),"Review"))</f>
        <v>Alma Blackwell</v>
      </c>
      <c r="N548" s="350" t="str">
        <f>IF($B548="Portfolio","Portfolio",IFERROR(INDEX(DATA_ASSET_CLASSIFICATION!$U$8:$U$24,MATCH($C548,DATA_ASSET_CLASSIFICATION!$A$8:$A$24,0)),"Review"))</f>
        <v>Excluded</v>
      </c>
      <c r="O548" s="350" t="str">
        <f>IF($B548="Portfolio","Portfolio",IFERROR(INDEX(DATA_ASSET_CLASSIFICATION!$AB$8:$AB$13,MATCH($N548,DATA_ASSET_CLASSIFICATION!$AA$8:$AA$13,0)),"Review"))</f>
        <v>Bucket 0 · Excluded</v>
      </c>
      <c r="P548" s="350" t="str">
        <f>IF($B548="Portfolio","Portfolio",IFERROR(INDEX(DATA_ASSET_CLASSIFICATION!$C$8:$C$24,MATCH($C548,DATA_ASSET_CLASSIFICATION!$A$8:$A$24,0)),"Review"))</f>
        <v>No</v>
      </c>
      <c r="Q548" s="350" t="str">
        <f t="shared" ca="1" si="17"/>
        <v>OK</v>
      </c>
    </row>
    <row r="549" spans="1:17">
      <c r="A549" s="366" t="s">
        <v>2505</v>
      </c>
      <c r="B549" s="366" t="s">
        <v>231</v>
      </c>
      <c r="C549" s="348" t="str">
        <f>DATA_PROPERTY_MASTER!$A$5</f>
        <v>BLD_AB</v>
      </c>
      <c r="D549" s="380">
        <f>'00_PORTFOLIO ROLLUP'!T$12</f>
        <v>2040</v>
      </c>
      <c r="E549" s="366" t="s">
        <v>1683</v>
      </c>
      <c r="F549" s="366" t="s">
        <v>341</v>
      </c>
      <c r="G549" s="348" t="str">
        <f>"'"&amp;$C549&amp;"'!$E$24:$Y$24"</f>
        <v>'BLD_AB'!$E$24:$Y$24</v>
      </c>
      <c r="H549" s="381">
        <f ca="1">IF(IFERROR(INDEX(DATA_PROPERTY_MASTER!$E$5:$E$21,MATCH($C549,DATA_PROPERTY_MASTER!$A$5:$A$21,0))="Yes",FALSE),IFERROR(INDEX(INDIRECT("'"&amp;$C549&amp;"'!$E$24:$Y$24"),1,MATCH($D549,INDIRECT("'"&amp;$C549&amp;"'!$E$12:$Y$12"),0)),0),0)</f>
        <v>0</v>
      </c>
      <c r="I549" s="366" t="s">
        <v>1685</v>
      </c>
      <c r="J549" s="348" t="str">
        <f t="shared" ca="1" si="16"/>
        <v>OK</v>
      </c>
      <c r="K549" s="366" t="s">
        <v>1686</v>
      </c>
      <c r="L549" s="366" t="s">
        <v>2234</v>
      </c>
      <c r="M549" s="350" t="str">
        <f>IF($B549="Portfolio","Portfolio",IFERROR(INDEX(DATA_ASSET_CLASSIFICATION!$B$8:$B$24,MATCH($C549,DATA_ASSET_CLASSIFICATION!$A$8:$A$24,0)),"Review"))</f>
        <v>Alma Blackwell</v>
      </c>
      <c r="N549" s="350" t="str">
        <f>IF($B549="Portfolio","Portfolio",IFERROR(INDEX(DATA_ASSET_CLASSIFICATION!$U$8:$U$24,MATCH($C549,DATA_ASSET_CLASSIFICATION!$A$8:$A$24,0)),"Review"))</f>
        <v>Excluded</v>
      </c>
      <c r="O549" s="350" t="str">
        <f>IF($B549="Portfolio","Portfolio",IFERROR(INDEX(DATA_ASSET_CLASSIFICATION!$AB$8:$AB$13,MATCH($N549,DATA_ASSET_CLASSIFICATION!$AA$8:$AA$13,0)),"Review"))</f>
        <v>Bucket 0 · Excluded</v>
      </c>
      <c r="P549" s="350" t="str">
        <f>IF($B549="Portfolio","Portfolio",IFERROR(INDEX(DATA_ASSET_CLASSIFICATION!$C$8:$C$24,MATCH($C549,DATA_ASSET_CLASSIFICATION!$A$8:$A$24,0)),"Review"))</f>
        <v>No</v>
      </c>
      <c r="Q549" s="350" t="str">
        <f t="shared" ca="1" si="17"/>
        <v>OK</v>
      </c>
    </row>
    <row r="550" spans="1:17">
      <c r="A550" s="366" t="s">
        <v>2506</v>
      </c>
      <c r="B550" s="366" t="s">
        <v>231</v>
      </c>
      <c r="C550" s="348" t="str">
        <f>DATA_PROPERTY_MASTER!$A$5</f>
        <v>BLD_AB</v>
      </c>
      <c r="D550" s="380">
        <f>'00_PORTFOLIO ROLLUP'!T$12</f>
        <v>2040</v>
      </c>
      <c r="E550" s="366" t="s">
        <v>1683</v>
      </c>
      <c r="F550" s="366" t="s">
        <v>355</v>
      </c>
      <c r="G550" s="348" t="str">
        <f>"'"&amp;$C550&amp;"'!$E$39:$Y$39"</f>
        <v>'BLD_AB'!$E$39:$Y$39</v>
      </c>
      <c r="H550" s="381">
        <f ca="1">IF(IFERROR(INDEX(DATA_PROPERTY_MASTER!$E$5:$E$21,MATCH($C550,DATA_PROPERTY_MASTER!$A$5:$A$21,0))="Yes",FALSE),IFERROR(INDEX(INDIRECT("'"&amp;$C550&amp;"'!$E$39:$Y$39"),1,MATCH($D550,INDIRECT("'"&amp;$C550&amp;"'!$E$12:$Y$12"),0)),0),0)</f>
        <v>0</v>
      </c>
      <c r="I550" s="366" t="s">
        <v>1690</v>
      </c>
      <c r="J550" s="348" t="str">
        <f t="shared" ca="1" si="16"/>
        <v>OK</v>
      </c>
      <c r="K550" s="366" t="s">
        <v>1686</v>
      </c>
      <c r="L550" s="366" t="s">
        <v>2236</v>
      </c>
      <c r="M550" s="350" t="str">
        <f>IF($B550="Portfolio","Portfolio",IFERROR(INDEX(DATA_ASSET_CLASSIFICATION!$B$8:$B$24,MATCH($C550,DATA_ASSET_CLASSIFICATION!$A$8:$A$24,0)),"Review"))</f>
        <v>Alma Blackwell</v>
      </c>
      <c r="N550" s="350" t="str">
        <f>IF($B550="Portfolio","Portfolio",IFERROR(INDEX(DATA_ASSET_CLASSIFICATION!$U$8:$U$24,MATCH($C550,DATA_ASSET_CLASSIFICATION!$A$8:$A$24,0)),"Review"))</f>
        <v>Excluded</v>
      </c>
      <c r="O550" s="350" t="str">
        <f>IF($B550="Portfolio","Portfolio",IFERROR(INDEX(DATA_ASSET_CLASSIFICATION!$AB$8:$AB$13,MATCH($N550,DATA_ASSET_CLASSIFICATION!$AA$8:$AA$13,0)),"Review"))</f>
        <v>Bucket 0 · Excluded</v>
      </c>
      <c r="P550" s="350" t="str">
        <f>IF($B550="Portfolio","Portfolio",IFERROR(INDEX(DATA_ASSET_CLASSIFICATION!$C$8:$C$24,MATCH($C550,DATA_ASSET_CLASSIFICATION!$A$8:$A$24,0)),"Review"))</f>
        <v>No</v>
      </c>
      <c r="Q550" s="350" t="str">
        <f t="shared" ca="1" si="17"/>
        <v>OK</v>
      </c>
    </row>
    <row r="551" spans="1:17">
      <c r="A551" s="366" t="s">
        <v>2507</v>
      </c>
      <c r="B551" s="366" t="s">
        <v>231</v>
      </c>
      <c r="C551" s="348" t="str">
        <f>DATA_PROPERTY_MASTER!$A$5</f>
        <v>BLD_AB</v>
      </c>
      <c r="D551" s="380">
        <f>'00_PORTFOLIO ROLLUP'!T$12</f>
        <v>2040</v>
      </c>
      <c r="E551" s="366" t="s">
        <v>1683</v>
      </c>
      <c r="F551" s="366" t="s">
        <v>19</v>
      </c>
      <c r="G551" s="348" t="str">
        <f>"'"&amp;$C551&amp;"'!$E$41:$Y$41"</f>
        <v>'BLD_AB'!$E$41:$Y$41</v>
      </c>
      <c r="H551" s="381">
        <f ca="1">IF(IFERROR(INDEX(DATA_PROPERTY_MASTER!$E$5:$E$21,MATCH($C551,DATA_PROPERTY_MASTER!$A$5:$A$21,0))="Yes",FALSE),IFERROR(INDEX(INDIRECT("'"&amp;$C551&amp;"'!$E$41:$Y$41"),1,MATCH($D551,INDIRECT("'"&amp;$C551&amp;"'!$E$12:$Y$12"),0)),0),0)</f>
        <v>0</v>
      </c>
      <c r="I551" s="366" t="s">
        <v>1685</v>
      </c>
      <c r="J551" s="348" t="str">
        <f t="shared" ca="1" si="16"/>
        <v>OK</v>
      </c>
      <c r="K551" s="366" t="s">
        <v>1694</v>
      </c>
      <c r="L551" s="366" t="s">
        <v>2238</v>
      </c>
      <c r="M551" s="350" t="str">
        <f>IF($B551="Portfolio","Portfolio",IFERROR(INDEX(DATA_ASSET_CLASSIFICATION!$B$8:$B$24,MATCH($C551,DATA_ASSET_CLASSIFICATION!$A$8:$A$24,0)),"Review"))</f>
        <v>Alma Blackwell</v>
      </c>
      <c r="N551" s="350" t="str">
        <f>IF($B551="Portfolio","Portfolio",IFERROR(INDEX(DATA_ASSET_CLASSIFICATION!$U$8:$U$24,MATCH($C551,DATA_ASSET_CLASSIFICATION!$A$8:$A$24,0)),"Review"))</f>
        <v>Excluded</v>
      </c>
      <c r="O551" s="350" t="str">
        <f>IF($B551="Portfolio","Portfolio",IFERROR(INDEX(DATA_ASSET_CLASSIFICATION!$AB$8:$AB$13,MATCH($N551,DATA_ASSET_CLASSIFICATION!$AA$8:$AA$13,0)),"Review"))</f>
        <v>Bucket 0 · Excluded</v>
      </c>
      <c r="P551" s="350" t="str">
        <f>IF($B551="Portfolio","Portfolio",IFERROR(INDEX(DATA_ASSET_CLASSIFICATION!$C$8:$C$24,MATCH($C551,DATA_ASSET_CLASSIFICATION!$A$8:$A$24,0)),"Review"))</f>
        <v>No</v>
      </c>
      <c r="Q551" s="350" t="str">
        <f t="shared" ca="1" si="17"/>
        <v>OK</v>
      </c>
    </row>
    <row r="552" spans="1:17">
      <c r="A552" s="366" t="s">
        <v>2508</v>
      </c>
      <c r="B552" s="366" t="s">
        <v>231</v>
      </c>
      <c r="C552" s="348" t="str">
        <f>DATA_PROPERTY_MASTER!$A$5</f>
        <v>BLD_AB</v>
      </c>
      <c r="D552" s="380">
        <f>'00_PORTFOLIO ROLLUP'!T$12</f>
        <v>2040</v>
      </c>
      <c r="E552" s="366" t="s">
        <v>1683</v>
      </c>
      <c r="F552" s="366" t="s">
        <v>1697</v>
      </c>
      <c r="G552" s="348" t="str">
        <f>"'"&amp;$C552&amp;"'!$E$44:$Y$44"</f>
        <v>'BLD_AB'!$E$44:$Y$44</v>
      </c>
      <c r="H552" s="381">
        <f ca="1">IF(IFERROR(INDEX(DATA_PROPERTY_MASTER!$E$5:$E$21,MATCH($C552,DATA_PROPERTY_MASTER!$A$5:$A$21,0))="Yes",FALSE),IFERROR(INDEX(INDIRECT("'"&amp;$C552&amp;"'!$E$44:$Y$44"),1,MATCH($D552,INDIRECT("'"&amp;$C552&amp;"'!$E$12:$Y$12"),0)),0),0)</f>
        <v>0</v>
      </c>
      <c r="I552" s="366" t="s">
        <v>1690</v>
      </c>
      <c r="J552" s="348" t="str">
        <f t="shared" ca="1" si="16"/>
        <v>OK</v>
      </c>
      <c r="K552" s="366" t="s">
        <v>1699</v>
      </c>
      <c r="L552" s="366" t="s">
        <v>2240</v>
      </c>
      <c r="M552" s="350" t="str">
        <f>IF($B552="Portfolio","Portfolio",IFERROR(INDEX(DATA_ASSET_CLASSIFICATION!$B$8:$B$24,MATCH($C552,DATA_ASSET_CLASSIFICATION!$A$8:$A$24,0)),"Review"))</f>
        <v>Alma Blackwell</v>
      </c>
      <c r="N552" s="350" t="str">
        <f>IF($B552="Portfolio","Portfolio",IFERROR(INDEX(DATA_ASSET_CLASSIFICATION!$U$8:$U$24,MATCH($C552,DATA_ASSET_CLASSIFICATION!$A$8:$A$24,0)),"Review"))</f>
        <v>Excluded</v>
      </c>
      <c r="O552" s="350" t="str">
        <f>IF($B552="Portfolio","Portfolio",IFERROR(INDEX(DATA_ASSET_CLASSIFICATION!$AB$8:$AB$13,MATCH($N552,DATA_ASSET_CLASSIFICATION!$AA$8:$AA$13,0)),"Review"))</f>
        <v>Bucket 0 · Excluded</v>
      </c>
      <c r="P552" s="350" t="str">
        <f>IF($B552="Portfolio","Portfolio",IFERROR(INDEX(DATA_ASSET_CLASSIFICATION!$C$8:$C$24,MATCH($C552,DATA_ASSET_CLASSIFICATION!$A$8:$A$24,0)),"Review"))</f>
        <v>No</v>
      </c>
      <c r="Q552" s="350" t="str">
        <f t="shared" ca="1" si="17"/>
        <v>OK</v>
      </c>
    </row>
    <row r="553" spans="1:17">
      <c r="A553" s="366" t="s">
        <v>2509</v>
      </c>
      <c r="B553" s="366" t="s">
        <v>231</v>
      </c>
      <c r="C553" s="348" t="str">
        <f>DATA_PROPERTY_MASTER!$A$5</f>
        <v>BLD_AB</v>
      </c>
      <c r="D553" s="380">
        <f>'00_PORTFOLIO ROLLUP'!T$12</f>
        <v>2040</v>
      </c>
      <c r="E553" s="366" t="s">
        <v>1683</v>
      </c>
      <c r="F553" s="366" t="s">
        <v>21</v>
      </c>
      <c r="G553" s="348" t="str">
        <f>"'"&amp;$C553&amp;"'!$E$45:$Y$45"</f>
        <v>'BLD_AB'!$E$45:$Y$45</v>
      </c>
      <c r="H553" s="381">
        <f ca="1">IF(IFERROR(INDEX(DATA_PROPERTY_MASTER!$E$5:$E$21,MATCH($C553,DATA_PROPERTY_MASTER!$A$5:$A$21,0))="Yes",FALSE),IFERROR(INDEX(INDIRECT("'"&amp;$C553&amp;"'!$E$45:$Y$45"),1,MATCH($D553,INDIRECT("'"&amp;$C553&amp;"'!$E$12:$Y$12"),0)),0),0)</f>
        <v>0</v>
      </c>
      <c r="I553" s="366" t="s">
        <v>1685</v>
      </c>
      <c r="J553" s="348" t="str">
        <f t="shared" ca="1" si="16"/>
        <v>OK</v>
      </c>
      <c r="K553" s="366" t="s">
        <v>1694</v>
      </c>
      <c r="L553" s="366" t="s">
        <v>2242</v>
      </c>
      <c r="M553" s="350" t="str">
        <f>IF($B553="Portfolio","Portfolio",IFERROR(INDEX(DATA_ASSET_CLASSIFICATION!$B$8:$B$24,MATCH($C553,DATA_ASSET_CLASSIFICATION!$A$8:$A$24,0)),"Review"))</f>
        <v>Alma Blackwell</v>
      </c>
      <c r="N553" s="350" t="str">
        <f>IF($B553="Portfolio","Portfolio",IFERROR(INDEX(DATA_ASSET_CLASSIFICATION!$U$8:$U$24,MATCH($C553,DATA_ASSET_CLASSIFICATION!$A$8:$A$24,0)),"Review"))</f>
        <v>Excluded</v>
      </c>
      <c r="O553" s="350" t="str">
        <f>IF($B553="Portfolio","Portfolio",IFERROR(INDEX(DATA_ASSET_CLASSIFICATION!$AB$8:$AB$13,MATCH($N553,DATA_ASSET_CLASSIFICATION!$AA$8:$AA$13,0)),"Review"))</f>
        <v>Bucket 0 · Excluded</v>
      </c>
      <c r="P553" s="350" t="str">
        <f>IF($B553="Portfolio","Portfolio",IFERROR(INDEX(DATA_ASSET_CLASSIFICATION!$C$8:$C$24,MATCH($C553,DATA_ASSET_CLASSIFICATION!$A$8:$A$24,0)),"Review"))</f>
        <v>No</v>
      </c>
      <c r="Q553" s="350" t="str">
        <f t="shared" ca="1" si="17"/>
        <v>OK</v>
      </c>
    </row>
    <row r="554" spans="1:17">
      <c r="A554" s="366" t="s">
        <v>2510</v>
      </c>
      <c r="B554" s="366" t="s">
        <v>231</v>
      </c>
      <c r="C554" s="348" t="str">
        <f>DATA_PROPERTY_MASTER!$A$5</f>
        <v>BLD_AB</v>
      </c>
      <c r="D554" s="380">
        <f>'00_PORTFOLIO ROLLUP'!T$12</f>
        <v>2040</v>
      </c>
      <c r="E554" s="366" t="s">
        <v>23</v>
      </c>
      <c r="F554" s="366" t="s">
        <v>23</v>
      </c>
      <c r="G554" s="348" t="str">
        <f>"'"&amp;$C554&amp;"'!$E$48:$Y$48"</f>
        <v>'BLD_AB'!$E$48:$Y$48</v>
      </c>
      <c r="H554" s="381">
        <f ca="1">IF(IFERROR(INDEX(DATA_PROPERTY_MASTER!$E$5:$E$21,MATCH($C554,DATA_PROPERTY_MASTER!$A$5:$A$21,0))="Yes",FALSE),IFERROR(INDEX(INDIRECT("'"&amp;$C554&amp;"'!$E$48:$Y$48"),1,MATCH($D554,INDIRECT("'"&amp;$C554&amp;"'!$E$12:$Y$12"),0)),0),0)</f>
        <v>0</v>
      </c>
      <c r="I554" s="366" t="s">
        <v>1690</v>
      </c>
      <c r="J554" s="348" t="str">
        <f t="shared" ca="1" si="16"/>
        <v>OK</v>
      </c>
      <c r="K554" s="366" t="s">
        <v>1706</v>
      </c>
      <c r="L554" s="366" t="s">
        <v>2244</v>
      </c>
      <c r="M554" s="350" t="str">
        <f>IF($B554="Portfolio","Portfolio",IFERROR(INDEX(DATA_ASSET_CLASSIFICATION!$B$8:$B$24,MATCH($C554,DATA_ASSET_CLASSIFICATION!$A$8:$A$24,0)),"Review"))</f>
        <v>Alma Blackwell</v>
      </c>
      <c r="N554" s="350" t="str">
        <f>IF($B554="Portfolio","Portfolio",IFERROR(INDEX(DATA_ASSET_CLASSIFICATION!$U$8:$U$24,MATCH($C554,DATA_ASSET_CLASSIFICATION!$A$8:$A$24,0)),"Review"))</f>
        <v>Excluded</v>
      </c>
      <c r="O554" s="350" t="str">
        <f>IF($B554="Portfolio","Portfolio",IFERROR(INDEX(DATA_ASSET_CLASSIFICATION!$AB$8:$AB$13,MATCH($N554,DATA_ASSET_CLASSIFICATION!$AA$8:$AA$13,0)),"Review"))</f>
        <v>Bucket 0 · Excluded</v>
      </c>
      <c r="P554" s="350" t="str">
        <f>IF($B554="Portfolio","Portfolio",IFERROR(INDEX(DATA_ASSET_CLASSIFICATION!$C$8:$C$24,MATCH($C554,DATA_ASSET_CLASSIFICATION!$A$8:$A$24,0)),"Review"))</f>
        <v>No</v>
      </c>
      <c r="Q554" s="350" t="str">
        <f t="shared" ca="1" si="17"/>
        <v>OK</v>
      </c>
    </row>
    <row r="555" spans="1:17">
      <c r="A555" s="366" t="s">
        <v>2511</v>
      </c>
      <c r="B555" s="366" t="s">
        <v>231</v>
      </c>
      <c r="C555" s="348" t="str">
        <f>DATA_PROPERTY_MASTER!$A$5</f>
        <v>BLD_AB</v>
      </c>
      <c r="D555" s="380">
        <f>'00_PORTFOLIO ROLLUP'!T$12</f>
        <v>2040</v>
      </c>
      <c r="E555" s="366" t="s">
        <v>1683</v>
      </c>
      <c r="F555" s="366" t="s">
        <v>25</v>
      </c>
      <c r="G555" s="348" t="str">
        <f>"'"&amp;$C555&amp;"'!$E$52:$Y$52"</f>
        <v>'BLD_AB'!$E$52:$Y$52</v>
      </c>
      <c r="H555" s="381">
        <f ca="1">IF(IFERROR(INDEX(DATA_PROPERTY_MASTER!$E$5:$E$21,MATCH($C555,DATA_PROPERTY_MASTER!$A$5:$A$21,0))="Yes",FALSE),IFERROR(INDEX(INDIRECT("'"&amp;$C555&amp;"'!$E$52:$Y$52"),1,MATCH($D555,INDIRECT("'"&amp;$C555&amp;"'!$E$12:$Y$12"),0)),0),0)</f>
        <v>0</v>
      </c>
      <c r="I555" s="366" t="s">
        <v>1685</v>
      </c>
      <c r="J555" s="348" t="str">
        <f t="shared" ca="1" si="16"/>
        <v>OK</v>
      </c>
      <c r="K555" s="366" t="s">
        <v>1710</v>
      </c>
      <c r="L555" s="366" t="s">
        <v>2246</v>
      </c>
      <c r="M555" s="350" t="str">
        <f>IF($B555="Portfolio","Portfolio",IFERROR(INDEX(DATA_ASSET_CLASSIFICATION!$B$8:$B$24,MATCH($C555,DATA_ASSET_CLASSIFICATION!$A$8:$A$24,0)),"Review"))</f>
        <v>Alma Blackwell</v>
      </c>
      <c r="N555" s="350" t="str">
        <f>IF($B555="Portfolio","Portfolio",IFERROR(INDEX(DATA_ASSET_CLASSIFICATION!$U$8:$U$24,MATCH($C555,DATA_ASSET_CLASSIFICATION!$A$8:$A$24,0)),"Review"))</f>
        <v>Excluded</v>
      </c>
      <c r="O555" s="350" t="str">
        <f>IF($B555="Portfolio","Portfolio",IFERROR(INDEX(DATA_ASSET_CLASSIFICATION!$AB$8:$AB$13,MATCH($N555,DATA_ASSET_CLASSIFICATION!$AA$8:$AA$13,0)),"Review"))</f>
        <v>Bucket 0 · Excluded</v>
      </c>
      <c r="P555" s="350" t="str">
        <f>IF($B555="Portfolio","Portfolio",IFERROR(INDEX(DATA_ASSET_CLASSIFICATION!$C$8:$C$24,MATCH($C555,DATA_ASSET_CLASSIFICATION!$A$8:$A$24,0)),"Review"))</f>
        <v>No</v>
      </c>
      <c r="Q555" s="350" t="str">
        <f t="shared" ca="1" si="17"/>
        <v>OK</v>
      </c>
    </row>
    <row r="556" spans="1:17">
      <c r="A556" s="366" t="s">
        <v>2512</v>
      </c>
      <c r="B556" s="366" t="s">
        <v>231</v>
      </c>
      <c r="C556" s="348" t="str">
        <f>DATA_PROPERTY_MASTER!$A$5</f>
        <v>BLD_AB</v>
      </c>
      <c r="D556" s="380">
        <f>'00_PORTFOLIO ROLLUP'!T$12</f>
        <v>2040</v>
      </c>
      <c r="E556" s="366" t="s">
        <v>1683</v>
      </c>
      <c r="F556" s="366" t="s">
        <v>27</v>
      </c>
      <c r="G556" s="348" t="str">
        <f>"'"&amp;$C556&amp;"'!$E$54:$Y$54"</f>
        <v>'BLD_AB'!$E$54:$Y$54</v>
      </c>
      <c r="H556" s="381">
        <f ca="1">IF(IFERROR(INDEX(DATA_PROPERTY_MASTER!$E$5:$E$21,MATCH($C556,DATA_PROPERTY_MASTER!$A$5:$A$21,0))="Yes",FALSE),IFERROR(INDEX(INDIRECT("'"&amp;$C556&amp;"'!$E$54:$Y$54"),1,MATCH($D556,INDIRECT("'"&amp;$C556&amp;"'!$E$12:$Y$12"),0)),0),0)</f>
        <v>0</v>
      </c>
      <c r="I556" s="366" t="s">
        <v>1690</v>
      </c>
      <c r="J556" s="348" t="str">
        <f t="shared" ca="1" si="16"/>
        <v>OK</v>
      </c>
      <c r="K556" s="366" t="s">
        <v>1714</v>
      </c>
      <c r="L556" s="366" t="s">
        <v>2248</v>
      </c>
      <c r="M556" s="350" t="str">
        <f>IF($B556="Portfolio","Portfolio",IFERROR(INDEX(DATA_ASSET_CLASSIFICATION!$B$8:$B$24,MATCH($C556,DATA_ASSET_CLASSIFICATION!$A$8:$A$24,0)),"Review"))</f>
        <v>Alma Blackwell</v>
      </c>
      <c r="N556" s="350" t="str">
        <f>IF($B556="Portfolio","Portfolio",IFERROR(INDEX(DATA_ASSET_CLASSIFICATION!$U$8:$U$24,MATCH($C556,DATA_ASSET_CLASSIFICATION!$A$8:$A$24,0)),"Review"))</f>
        <v>Excluded</v>
      </c>
      <c r="O556" s="350" t="str">
        <f>IF($B556="Portfolio","Portfolio",IFERROR(INDEX(DATA_ASSET_CLASSIFICATION!$AB$8:$AB$13,MATCH($N556,DATA_ASSET_CLASSIFICATION!$AA$8:$AA$13,0)),"Review"))</f>
        <v>Bucket 0 · Excluded</v>
      </c>
      <c r="P556" s="350" t="str">
        <f>IF($B556="Portfolio","Portfolio",IFERROR(INDEX(DATA_ASSET_CLASSIFICATION!$C$8:$C$24,MATCH($C556,DATA_ASSET_CLASSIFICATION!$A$8:$A$24,0)),"Review"))</f>
        <v>No</v>
      </c>
      <c r="Q556" s="350" t="str">
        <f t="shared" ca="1" si="17"/>
        <v>OK</v>
      </c>
    </row>
    <row r="557" spans="1:17">
      <c r="A557" s="366" t="s">
        <v>2513</v>
      </c>
      <c r="B557" s="366" t="s">
        <v>231</v>
      </c>
      <c r="C557" s="348" t="str">
        <f>DATA_PROPERTY_MASTER!$A$5</f>
        <v>BLD_AB</v>
      </c>
      <c r="D557" s="380">
        <f>'00_PORTFOLIO ROLLUP'!T$12</f>
        <v>2040</v>
      </c>
      <c r="E557" s="366" t="s">
        <v>1683</v>
      </c>
      <c r="F557" s="366" t="s">
        <v>29</v>
      </c>
      <c r="G557" s="348" t="str">
        <f>"'"&amp;$C557&amp;"'!$E$56:$Y$56"</f>
        <v>'BLD_AB'!$E$56:$Y$56</v>
      </c>
      <c r="H557" s="381">
        <f ca="1">IF(IFERROR(INDEX(DATA_PROPERTY_MASTER!$E$5:$E$21,MATCH($C557,DATA_PROPERTY_MASTER!$A$5:$A$21,0))="Yes",FALSE),IFERROR(INDEX(INDIRECT("'"&amp;$C557&amp;"'!$E$56:$Y$56"),1,MATCH($D557,INDIRECT("'"&amp;$C557&amp;"'!$E$12:$Y$12"),0)),0),0)</f>
        <v>0</v>
      </c>
      <c r="I557" s="366" t="s">
        <v>1685</v>
      </c>
      <c r="J557" s="348" t="str">
        <f t="shared" ca="1" si="16"/>
        <v>OK</v>
      </c>
      <c r="K557" s="366" t="s">
        <v>1718</v>
      </c>
      <c r="L557" s="366" t="s">
        <v>2250</v>
      </c>
      <c r="M557" s="350" t="str">
        <f>IF($B557="Portfolio","Portfolio",IFERROR(INDEX(DATA_ASSET_CLASSIFICATION!$B$8:$B$24,MATCH($C557,DATA_ASSET_CLASSIFICATION!$A$8:$A$24,0)),"Review"))</f>
        <v>Alma Blackwell</v>
      </c>
      <c r="N557" s="350" t="str">
        <f>IF($B557="Portfolio","Portfolio",IFERROR(INDEX(DATA_ASSET_CLASSIFICATION!$U$8:$U$24,MATCH($C557,DATA_ASSET_CLASSIFICATION!$A$8:$A$24,0)),"Review"))</f>
        <v>Excluded</v>
      </c>
      <c r="O557" s="350" t="str">
        <f>IF($B557="Portfolio","Portfolio",IFERROR(INDEX(DATA_ASSET_CLASSIFICATION!$AB$8:$AB$13,MATCH($N557,DATA_ASSET_CLASSIFICATION!$AA$8:$AA$13,0)),"Review"))</f>
        <v>Bucket 0 · Excluded</v>
      </c>
      <c r="P557" s="350" t="str">
        <f>IF($B557="Portfolio","Portfolio",IFERROR(INDEX(DATA_ASSET_CLASSIFICATION!$C$8:$C$24,MATCH($C557,DATA_ASSET_CLASSIFICATION!$A$8:$A$24,0)),"Review"))</f>
        <v>No</v>
      </c>
      <c r="Q557" s="350" t="str">
        <f t="shared" ca="1" si="17"/>
        <v>OK</v>
      </c>
    </row>
    <row r="558" spans="1:17">
      <c r="A558" s="366" t="s">
        <v>2514</v>
      </c>
      <c r="B558" s="366" t="s">
        <v>231</v>
      </c>
      <c r="C558" s="348" t="str">
        <f>DATA_PROPERTY_MASTER!$A$5</f>
        <v>BLD_AB</v>
      </c>
      <c r="D558" s="380">
        <f>'00_PORTFOLIO ROLLUP'!T$12</f>
        <v>2040</v>
      </c>
      <c r="E558" s="366" t="s">
        <v>1721</v>
      </c>
      <c r="F558" s="366" t="s">
        <v>31</v>
      </c>
      <c r="G558" s="348" t="str">
        <f>"'"&amp;$C558&amp;"'!$E$61:$Y$61"</f>
        <v>'BLD_AB'!$E$61:$Y$61</v>
      </c>
      <c r="H558" s="381">
        <f ca="1">IF(IFERROR(INDEX(DATA_PROPERTY_MASTER!$E$5:$E$21,MATCH($C558,DATA_PROPERTY_MASTER!$A$5:$A$21,0))="Yes",FALSE),IFERROR(INDEX(INDIRECT("'"&amp;$C558&amp;"'!$E$61:$Y$61"),1,MATCH($D558,INDIRECT("'"&amp;$C558&amp;"'!$E$12:$Y$12"),0)),0),0)</f>
        <v>0</v>
      </c>
      <c r="I558" s="366" t="s">
        <v>1690</v>
      </c>
      <c r="J558" s="348" t="str">
        <f t="shared" ca="1" si="16"/>
        <v>OK</v>
      </c>
      <c r="K558" s="366" t="s">
        <v>1723</v>
      </c>
      <c r="L558" s="366" t="s">
        <v>2252</v>
      </c>
      <c r="M558" s="350" t="str">
        <f>IF($B558="Portfolio","Portfolio",IFERROR(INDEX(DATA_ASSET_CLASSIFICATION!$B$8:$B$24,MATCH($C558,DATA_ASSET_CLASSIFICATION!$A$8:$A$24,0)),"Review"))</f>
        <v>Alma Blackwell</v>
      </c>
      <c r="N558" s="350" t="str">
        <f>IF($B558="Portfolio","Portfolio",IFERROR(INDEX(DATA_ASSET_CLASSIFICATION!$U$8:$U$24,MATCH($C558,DATA_ASSET_CLASSIFICATION!$A$8:$A$24,0)),"Review"))</f>
        <v>Excluded</v>
      </c>
      <c r="O558" s="350" t="str">
        <f>IF($B558="Portfolio","Portfolio",IFERROR(INDEX(DATA_ASSET_CLASSIFICATION!$AB$8:$AB$13,MATCH($N558,DATA_ASSET_CLASSIFICATION!$AA$8:$AA$13,0)),"Review"))</f>
        <v>Bucket 0 · Excluded</v>
      </c>
      <c r="P558" s="350" t="str">
        <f>IF($B558="Portfolio","Portfolio",IFERROR(INDEX(DATA_ASSET_CLASSIFICATION!$C$8:$C$24,MATCH($C558,DATA_ASSET_CLASSIFICATION!$A$8:$A$24,0)),"Review"))</f>
        <v>No</v>
      </c>
      <c r="Q558" s="350" t="str">
        <f t="shared" ca="1" si="17"/>
        <v>OK</v>
      </c>
    </row>
    <row r="559" spans="1:17">
      <c r="A559" s="366" t="s">
        <v>2515</v>
      </c>
      <c r="B559" s="366" t="s">
        <v>231</v>
      </c>
      <c r="C559" s="348" t="str">
        <f>DATA_PROPERTY_MASTER!$A$5</f>
        <v>BLD_AB</v>
      </c>
      <c r="D559" s="380">
        <f>'00_PORTFOLIO ROLLUP'!T$12</f>
        <v>2040</v>
      </c>
      <c r="E559" s="366" t="s">
        <v>1721</v>
      </c>
      <c r="F559" s="366" t="s">
        <v>33</v>
      </c>
      <c r="G559" s="348" t="str">
        <f>"'"&amp;$C559&amp;"'!$E$62:$Y$62"</f>
        <v>'BLD_AB'!$E$62:$Y$62</v>
      </c>
      <c r="H559" s="381">
        <f ca="1">IF(IFERROR(INDEX(DATA_PROPERTY_MASTER!$E$5:$E$21,MATCH($C559,DATA_PROPERTY_MASTER!$A$5:$A$21,0))="Yes",FALSE),IFERROR(INDEX(INDIRECT("'"&amp;$C559&amp;"'!$E$62:$Y$62"),1,MATCH($D559,INDIRECT("'"&amp;$C559&amp;"'!$E$12:$Y$12"),0)),0),0)</f>
        <v>0</v>
      </c>
      <c r="I559" s="366" t="s">
        <v>1685</v>
      </c>
      <c r="J559" s="348" t="str">
        <f t="shared" ca="1" si="16"/>
        <v>OK</v>
      </c>
      <c r="K559" s="366" t="s">
        <v>1727</v>
      </c>
      <c r="L559" s="366" t="s">
        <v>2254</v>
      </c>
      <c r="M559" s="350" t="str">
        <f>IF($B559="Portfolio","Portfolio",IFERROR(INDEX(DATA_ASSET_CLASSIFICATION!$B$8:$B$24,MATCH($C559,DATA_ASSET_CLASSIFICATION!$A$8:$A$24,0)),"Review"))</f>
        <v>Alma Blackwell</v>
      </c>
      <c r="N559" s="350" t="str">
        <f>IF($B559="Portfolio","Portfolio",IFERROR(INDEX(DATA_ASSET_CLASSIFICATION!$U$8:$U$24,MATCH($C559,DATA_ASSET_CLASSIFICATION!$A$8:$A$24,0)),"Review"))</f>
        <v>Excluded</v>
      </c>
      <c r="O559" s="350" t="str">
        <f>IF($B559="Portfolio","Portfolio",IFERROR(INDEX(DATA_ASSET_CLASSIFICATION!$AB$8:$AB$13,MATCH($N559,DATA_ASSET_CLASSIFICATION!$AA$8:$AA$13,0)),"Review"))</f>
        <v>Bucket 0 · Excluded</v>
      </c>
      <c r="P559" s="350" t="str">
        <f>IF($B559="Portfolio","Portfolio",IFERROR(INDEX(DATA_ASSET_CLASSIFICATION!$C$8:$C$24,MATCH($C559,DATA_ASSET_CLASSIFICATION!$A$8:$A$24,0)),"Review"))</f>
        <v>No</v>
      </c>
      <c r="Q559" s="350" t="str">
        <f t="shared" ca="1" si="17"/>
        <v>OK</v>
      </c>
    </row>
    <row r="560" spans="1:17">
      <c r="A560" s="366" t="s">
        <v>2516</v>
      </c>
      <c r="B560" s="366" t="s">
        <v>231</v>
      </c>
      <c r="C560" s="348" t="str">
        <f>DATA_PROPERTY_MASTER!$A$5</f>
        <v>BLD_AB</v>
      </c>
      <c r="D560" s="380">
        <f>'00_PORTFOLIO ROLLUP'!T$12</f>
        <v>2040</v>
      </c>
      <c r="E560" s="366" t="s">
        <v>1721</v>
      </c>
      <c r="F560" s="366" t="s">
        <v>35</v>
      </c>
      <c r="G560" s="348" t="str">
        <f>"'"&amp;$C560&amp;"'!$E$63:$Y$63"</f>
        <v>'BLD_AB'!$E$63:$Y$63</v>
      </c>
      <c r="H560" s="381">
        <f ca="1">IF(IFERROR(INDEX(DATA_PROPERTY_MASTER!$E$5:$E$21,MATCH($C560,DATA_PROPERTY_MASTER!$A$5:$A$21,0))="Yes",FALSE),IFERROR(INDEX(INDIRECT("'"&amp;$C560&amp;"'!$E$63:$Y$63"),1,MATCH($D560,INDIRECT("'"&amp;$C560&amp;"'!$E$12:$Y$12"),0)),0),0)</f>
        <v>0</v>
      </c>
      <c r="I560" s="366" t="s">
        <v>1731</v>
      </c>
      <c r="J560" s="348" t="str">
        <f t="shared" ca="1" si="16"/>
        <v>OK</v>
      </c>
      <c r="K560" s="366" t="s">
        <v>1732</v>
      </c>
      <c r="L560" s="366" t="s">
        <v>2256</v>
      </c>
      <c r="M560" s="350" t="str">
        <f>IF($B560="Portfolio","Portfolio",IFERROR(INDEX(DATA_ASSET_CLASSIFICATION!$B$8:$B$24,MATCH($C560,DATA_ASSET_CLASSIFICATION!$A$8:$A$24,0)),"Review"))</f>
        <v>Alma Blackwell</v>
      </c>
      <c r="N560" s="350" t="str">
        <f>IF($B560="Portfolio","Portfolio",IFERROR(INDEX(DATA_ASSET_CLASSIFICATION!$U$8:$U$24,MATCH($C560,DATA_ASSET_CLASSIFICATION!$A$8:$A$24,0)),"Review"))</f>
        <v>Excluded</v>
      </c>
      <c r="O560" s="350" t="str">
        <f>IF($B560="Portfolio","Portfolio",IFERROR(INDEX(DATA_ASSET_CLASSIFICATION!$AB$8:$AB$13,MATCH($N560,DATA_ASSET_CLASSIFICATION!$AA$8:$AA$13,0)),"Review"))</f>
        <v>Bucket 0 · Excluded</v>
      </c>
      <c r="P560" s="350" t="str">
        <f>IF($B560="Portfolio","Portfolio",IFERROR(INDEX(DATA_ASSET_CLASSIFICATION!$C$8:$C$24,MATCH($C560,DATA_ASSET_CLASSIFICATION!$A$8:$A$24,0)),"Review"))</f>
        <v>No</v>
      </c>
      <c r="Q560" s="350" t="str">
        <f t="shared" ca="1" si="17"/>
        <v>OK</v>
      </c>
    </row>
    <row r="561" spans="1:17">
      <c r="A561" s="366" t="s">
        <v>2517</v>
      </c>
      <c r="B561" s="366" t="s">
        <v>231</v>
      </c>
      <c r="C561" s="348" t="str">
        <f>DATA_PROPERTY_MASTER!$A$5</f>
        <v>BLD_AB</v>
      </c>
      <c r="D561" s="380">
        <f>'00_PORTFOLIO ROLLUP'!T$12</f>
        <v>2040</v>
      </c>
      <c r="E561" s="366" t="s">
        <v>1721</v>
      </c>
      <c r="F561" s="366" t="s">
        <v>37</v>
      </c>
      <c r="G561" s="348" t="str">
        <f>"'"&amp;$C561&amp;"'!$E$63:$Y$63"</f>
        <v>'BLD_AB'!$E$63:$Y$63</v>
      </c>
      <c r="H561" s="381">
        <f ca="1">IF(IFERROR(INDEX(DATA_PROPERTY_MASTER!$E$5:$E$21,MATCH($C561,DATA_PROPERTY_MASTER!$A$5:$A$21,0))="Yes",FALSE),MAX(IFERROR(INDEX(INDIRECT("'"&amp;$C561&amp;"'!$E$63:$Y$63"),1,MATCH($D561,INDIRECT("'"&amp;$C561&amp;"'!$E$12:$Y$12"),0)),0),0),0)</f>
        <v>0</v>
      </c>
      <c r="I561" s="366" t="s">
        <v>1685</v>
      </c>
      <c r="J561" s="348" t="str">
        <f t="shared" ca="1" si="16"/>
        <v>OK</v>
      </c>
      <c r="K561" s="366" t="s">
        <v>1735</v>
      </c>
      <c r="L561" s="366" t="s">
        <v>2258</v>
      </c>
      <c r="M561" s="350" t="str">
        <f>IF($B561="Portfolio","Portfolio",IFERROR(INDEX(DATA_ASSET_CLASSIFICATION!$B$8:$B$24,MATCH($C561,DATA_ASSET_CLASSIFICATION!$A$8:$A$24,0)),"Review"))</f>
        <v>Alma Blackwell</v>
      </c>
      <c r="N561" s="350" t="str">
        <f>IF($B561="Portfolio","Portfolio",IFERROR(INDEX(DATA_ASSET_CLASSIFICATION!$U$8:$U$24,MATCH($C561,DATA_ASSET_CLASSIFICATION!$A$8:$A$24,0)),"Review"))</f>
        <v>Excluded</v>
      </c>
      <c r="O561" s="350" t="str">
        <f>IF($B561="Portfolio","Portfolio",IFERROR(INDEX(DATA_ASSET_CLASSIFICATION!$AB$8:$AB$13,MATCH($N561,DATA_ASSET_CLASSIFICATION!$AA$8:$AA$13,0)),"Review"))</f>
        <v>Bucket 0 · Excluded</v>
      </c>
      <c r="P561" s="350" t="str">
        <f>IF($B561="Portfolio","Portfolio",IFERROR(INDEX(DATA_ASSET_CLASSIFICATION!$C$8:$C$24,MATCH($C561,DATA_ASSET_CLASSIFICATION!$A$8:$A$24,0)),"Review"))</f>
        <v>No</v>
      </c>
      <c r="Q561" s="350" t="str">
        <f t="shared" ca="1" si="17"/>
        <v>OK</v>
      </c>
    </row>
    <row r="562" spans="1:17">
      <c r="A562" s="366" t="s">
        <v>2518</v>
      </c>
      <c r="B562" s="366" t="s">
        <v>231</v>
      </c>
      <c r="C562" s="348" t="str">
        <f>DATA_PROPERTY_MASTER!$A$5</f>
        <v>BLD_AB</v>
      </c>
      <c r="D562" s="380">
        <f>'00_PORTFOLIO ROLLUP'!T$12</f>
        <v>2040</v>
      </c>
      <c r="E562" s="366" t="s">
        <v>1721</v>
      </c>
      <c r="F562" s="366" t="s">
        <v>39</v>
      </c>
      <c r="G562" s="348" t="str">
        <f>"'"&amp;$C562&amp;"'!$E$63:$Y$63"</f>
        <v>'BLD_AB'!$E$63:$Y$63</v>
      </c>
      <c r="H562" s="381">
        <f ca="1">IF(IFERROR(INDEX(DATA_PROPERTY_MASTER!$E$5:$E$21,MATCH($C562,DATA_PROPERTY_MASTER!$A$5:$A$21,0))="Yes",FALSE),MAX(-IFERROR(INDEX(INDIRECT("'"&amp;$C562&amp;"'!$E$63:$Y$63"),1,MATCH($D562,INDIRECT("'"&amp;$C562&amp;"'!$E$12:$Y$12"),0)),0),0),0)</f>
        <v>0</v>
      </c>
      <c r="I562" s="366" t="s">
        <v>1690</v>
      </c>
      <c r="J562" s="348" t="str">
        <f t="shared" ca="1" si="16"/>
        <v>OK</v>
      </c>
      <c r="K562" s="366" t="s">
        <v>1738</v>
      </c>
      <c r="L562" s="366" t="s">
        <v>2260</v>
      </c>
      <c r="M562" s="350" t="str">
        <f>IF($B562="Portfolio","Portfolio",IFERROR(INDEX(DATA_ASSET_CLASSIFICATION!$B$8:$B$24,MATCH($C562,DATA_ASSET_CLASSIFICATION!$A$8:$A$24,0)),"Review"))</f>
        <v>Alma Blackwell</v>
      </c>
      <c r="N562" s="350" t="str">
        <f>IF($B562="Portfolio","Portfolio",IFERROR(INDEX(DATA_ASSET_CLASSIFICATION!$U$8:$U$24,MATCH($C562,DATA_ASSET_CLASSIFICATION!$A$8:$A$24,0)),"Review"))</f>
        <v>Excluded</v>
      </c>
      <c r="O562" s="350" t="str">
        <f>IF($B562="Portfolio","Portfolio",IFERROR(INDEX(DATA_ASSET_CLASSIFICATION!$AB$8:$AB$13,MATCH($N562,DATA_ASSET_CLASSIFICATION!$AA$8:$AA$13,0)),"Review"))</f>
        <v>Bucket 0 · Excluded</v>
      </c>
      <c r="P562" s="350" t="str">
        <f>IF($B562="Portfolio","Portfolio",IFERROR(INDEX(DATA_ASSET_CLASSIFICATION!$C$8:$C$24,MATCH($C562,DATA_ASSET_CLASSIFICATION!$A$8:$A$24,0)),"Review"))</f>
        <v>No</v>
      </c>
      <c r="Q562" s="350" t="str">
        <f t="shared" ca="1" si="17"/>
        <v>OK</v>
      </c>
    </row>
    <row r="563" spans="1:17">
      <c r="A563" s="366" t="s">
        <v>2519</v>
      </c>
      <c r="B563" s="366" t="s">
        <v>231</v>
      </c>
      <c r="C563" s="348" t="str">
        <f>DATA_PROPERTY_MASTER!$A$5</f>
        <v>BLD_AB</v>
      </c>
      <c r="D563" s="380">
        <f>'00_PORTFOLIO ROLLUP'!T$12</f>
        <v>2040</v>
      </c>
      <c r="E563" s="366" t="s">
        <v>1741</v>
      </c>
      <c r="F563" s="366" t="s">
        <v>41</v>
      </c>
      <c r="G563" s="348" t="str">
        <f>"'"&amp;$C563&amp;"'!rows 56 + positive row 63"</f>
        <v>'BLD_AB'!rows 56 + positive row 63</v>
      </c>
      <c r="H563" s="381">
        <f ca="1">IF(IFERROR(INDEX(DATA_PROPERTY_MASTER!$E$5:$E$21,MATCH($C563,DATA_PROPERTY_MASTER!$A$5:$A$21,0))="Yes",FALSE),IFERROR(INDEX(INDIRECT("'"&amp;$C563&amp;"'!$E$56:$Y$56"),1,MATCH($D563,INDIRECT("'"&amp;$C563&amp;"'!$E$12:$Y$12"),0)),0)+MAX(IFERROR(INDEX(INDIRECT("'"&amp;$C563&amp;"'!$E$63:$Y$63"),1,MATCH($D563,INDIRECT("'"&amp;$C563&amp;"'!$E$12:$Y$12"),0)),0),0),0)</f>
        <v>0</v>
      </c>
      <c r="I563" s="366" t="s">
        <v>1685</v>
      </c>
      <c r="J563" s="348" t="str">
        <f t="shared" ca="1" si="16"/>
        <v>OK</v>
      </c>
      <c r="K563" s="366" t="s">
        <v>1742</v>
      </c>
      <c r="L563" s="366" t="s">
        <v>2262</v>
      </c>
      <c r="M563" s="350" t="str">
        <f>IF($B563="Portfolio","Portfolio",IFERROR(INDEX(DATA_ASSET_CLASSIFICATION!$B$8:$B$24,MATCH($C563,DATA_ASSET_CLASSIFICATION!$A$8:$A$24,0)),"Review"))</f>
        <v>Alma Blackwell</v>
      </c>
      <c r="N563" s="350" t="str">
        <f>IF($B563="Portfolio","Portfolio",IFERROR(INDEX(DATA_ASSET_CLASSIFICATION!$U$8:$U$24,MATCH($C563,DATA_ASSET_CLASSIFICATION!$A$8:$A$24,0)),"Review"))</f>
        <v>Excluded</v>
      </c>
      <c r="O563" s="350" t="str">
        <f>IF($B563="Portfolio","Portfolio",IFERROR(INDEX(DATA_ASSET_CLASSIFICATION!$AB$8:$AB$13,MATCH($N563,DATA_ASSET_CLASSIFICATION!$AA$8:$AA$13,0)),"Review"))</f>
        <v>Bucket 0 · Excluded</v>
      </c>
      <c r="P563" s="350" t="str">
        <f>IF($B563="Portfolio","Portfolio",IFERROR(INDEX(DATA_ASSET_CLASSIFICATION!$C$8:$C$24,MATCH($C563,DATA_ASSET_CLASSIFICATION!$A$8:$A$24,0)),"Review"))</f>
        <v>No</v>
      </c>
      <c r="Q563" s="350" t="str">
        <f t="shared" ca="1" si="17"/>
        <v>OK</v>
      </c>
    </row>
    <row r="564" spans="1:17">
      <c r="A564" s="366" t="s">
        <v>2520</v>
      </c>
      <c r="B564" s="366" t="s">
        <v>231</v>
      </c>
      <c r="C564" s="348" t="str">
        <f>DATA_PROPERTY_MASTER!$A$5</f>
        <v>BLD_AB</v>
      </c>
      <c r="D564" s="380">
        <f>'00_PORTFOLIO ROLLUP'!T$12</f>
        <v>2040</v>
      </c>
      <c r="E564" s="366" t="s">
        <v>1741</v>
      </c>
      <c r="F564" s="366" t="s">
        <v>43</v>
      </c>
      <c r="G564" s="348" t="str">
        <f>"'"&amp;$C564&amp;"'!$E$68:$Y$68"</f>
        <v>'BLD_AB'!$E$68:$Y$68</v>
      </c>
      <c r="H564" s="381">
        <f ca="1">IF(IFERROR(INDEX(DATA_PROPERTY_MASTER!$E$5:$E$21,MATCH($C564,DATA_PROPERTY_MASTER!$A$5:$A$21,0))="Yes",FALSE),IFERROR(INDEX(INDIRECT("'"&amp;$C564&amp;"'!$E$68:$Y$68"),1,MATCH($D564,INDIRECT("'"&amp;$C564&amp;"'!$E$12:$Y$12"),0)),0),0)</f>
        <v>0</v>
      </c>
      <c r="I564" s="366" t="s">
        <v>1731</v>
      </c>
      <c r="J564" s="348" t="str">
        <f t="shared" ca="1" si="16"/>
        <v>OK</v>
      </c>
      <c r="K564" s="366" t="s">
        <v>1746</v>
      </c>
      <c r="L564" s="366" t="s">
        <v>2264</v>
      </c>
      <c r="M564" s="350" t="str">
        <f>IF($B564="Portfolio","Portfolio",IFERROR(INDEX(DATA_ASSET_CLASSIFICATION!$B$8:$B$24,MATCH($C564,DATA_ASSET_CLASSIFICATION!$A$8:$A$24,0)),"Review"))</f>
        <v>Alma Blackwell</v>
      </c>
      <c r="N564" s="350" t="str">
        <f>IF($B564="Portfolio","Portfolio",IFERROR(INDEX(DATA_ASSET_CLASSIFICATION!$U$8:$U$24,MATCH($C564,DATA_ASSET_CLASSIFICATION!$A$8:$A$24,0)),"Review"))</f>
        <v>Excluded</v>
      </c>
      <c r="O564" s="350" t="str">
        <f>IF($B564="Portfolio","Portfolio",IFERROR(INDEX(DATA_ASSET_CLASSIFICATION!$AB$8:$AB$13,MATCH($N564,DATA_ASSET_CLASSIFICATION!$AA$8:$AA$13,0)),"Review"))</f>
        <v>Bucket 0 · Excluded</v>
      </c>
      <c r="P564" s="350" t="str">
        <f>IF($B564="Portfolio","Portfolio",IFERROR(INDEX(DATA_ASSET_CLASSIFICATION!$C$8:$C$24,MATCH($C564,DATA_ASSET_CLASSIFICATION!$A$8:$A$24,0)),"Review"))</f>
        <v>No</v>
      </c>
      <c r="Q564" s="350" t="str">
        <f t="shared" ca="1" si="17"/>
        <v>OK</v>
      </c>
    </row>
    <row r="565" spans="1:17">
      <c r="A565" s="366" t="s">
        <v>2521</v>
      </c>
      <c r="B565" s="366" t="s">
        <v>231</v>
      </c>
      <c r="C565" s="348" t="str">
        <f>DATA_PROPERTY_MASTER!$A$5</f>
        <v>BLD_AB</v>
      </c>
      <c r="D565" s="380">
        <f>'00_PORTFOLIO ROLLUP'!T$12</f>
        <v>2040</v>
      </c>
      <c r="E565" s="366" t="s">
        <v>1741</v>
      </c>
      <c r="F565" s="366" t="s">
        <v>1749</v>
      </c>
      <c r="G565" s="348" t="str">
        <f>"'"&amp;$C565&amp;"'!rows 56, 63, 68"</f>
        <v>'BLD_AB'!rows 56, 63, 68</v>
      </c>
      <c r="H565" s="381">
        <f ca="1">IF(IFERROR(INDEX(DATA_PROPERTY_MASTER!$E$5:$E$21,MATCH($C565,DATA_PROPERTY_MASTER!$A$5:$A$21,0))="Yes",FALSE),(IFERROR(INDEX(INDIRECT("'"&amp;$C565&amp;"'!$E$56:$Y$56"),1,MATCH($D565,INDIRECT("'"&amp;$C565&amp;"'!$E$12:$Y$12"),0)),0)+MAX(IFERROR(INDEX(INDIRECT("'"&amp;$C565&amp;"'!$E$63:$Y$63"),1,MATCH($D565,INDIRECT("'"&amp;$C565&amp;"'!$E$12:$Y$12"),0)),0),0))-(IFERROR(INDEX(INDIRECT("'"&amp;$C565&amp;"'!$E$68:$Y$68"),1,MATCH($D565,INDIRECT("'"&amp;$C565&amp;"'!$E$12:$Y$12"),0)),0)),0)</f>
        <v>0</v>
      </c>
      <c r="I565" s="366" t="s">
        <v>1750</v>
      </c>
      <c r="J565" s="348" t="str">
        <f t="shared" ca="1" si="16"/>
        <v>OK</v>
      </c>
      <c r="K565" s="366" t="s">
        <v>1751</v>
      </c>
      <c r="L565" s="366" t="s">
        <v>2266</v>
      </c>
      <c r="M565" s="350" t="str">
        <f>IF($B565="Portfolio","Portfolio",IFERROR(INDEX(DATA_ASSET_CLASSIFICATION!$B$8:$B$24,MATCH($C565,DATA_ASSET_CLASSIFICATION!$A$8:$A$24,0)),"Review"))</f>
        <v>Alma Blackwell</v>
      </c>
      <c r="N565" s="350" t="str">
        <f>IF($B565="Portfolio","Portfolio",IFERROR(INDEX(DATA_ASSET_CLASSIFICATION!$U$8:$U$24,MATCH($C565,DATA_ASSET_CLASSIFICATION!$A$8:$A$24,0)),"Review"))</f>
        <v>Excluded</v>
      </c>
      <c r="O565" s="350" t="str">
        <f>IF($B565="Portfolio","Portfolio",IFERROR(INDEX(DATA_ASSET_CLASSIFICATION!$AB$8:$AB$13,MATCH($N565,DATA_ASSET_CLASSIFICATION!$AA$8:$AA$13,0)),"Review"))</f>
        <v>Bucket 0 · Excluded</v>
      </c>
      <c r="P565" s="350" t="str">
        <f>IF($B565="Portfolio","Portfolio",IFERROR(INDEX(DATA_ASSET_CLASSIFICATION!$C$8:$C$24,MATCH($C565,DATA_ASSET_CLASSIFICATION!$A$8:$A$24,0)),"Review"))</f>
        <v>No</v>
      </c>
      <c r="Q565" s="350" t="str">
        <f t="shared" ca="1" si="17"/>
        <v>OK</v>
      </c>
    </row>
    <row r="566" spans="1:17">
      <c r="A566" s="366" t="s">
        <v>2522</v>
      </c>
      <c r="B566" s="366" t="s">
        <v>231</v>
      </c>
      <c r="C566" s="348" t="str">
        <f>DATA_PROPERTY_MASTER!$A$5</f>
        <v>BLD_AB</v>
      </c>
      <c r="D566" s="380">
        <f>'00_PORTFOLIO ROLLUP'!U$12</f>
        <v>2041</v>
      </c>
      <c r="E566" s="366" t="s">
        <v>1683</v>
      </c>
      <c r="F566" s="366" t="s">
        <v>341</v>
      </c>
      <c r="G566" s="348" t="str">
        <f>"'"&amp;$C566&amp;"'!$E$24:$Y$24"</f>
        <v>'BLD_AB'!$E$24:$Y$24</v>
      </c>
      <c r="H566" s="381">
        <f ca="1">IF(IFERROR(INDEX(DATA_PROPERTY_MASTER!$E$5:$E$21,MATCH($C566,DATA_PROPERTY_MASTER!$A$5:$A$21,0))="Yes",FALSE),IFERROR(INDEX(INDIRECT("'"&amp;$C566&amp;"'!$E$24:$Y$24"),1,MATCH($D566,INDIRECT("'"&amp;$C566&amp;"'!$E$12:$Y$12"),0)),0),0)</f>
        <v>0</v>
      </c>
      <c r="I566" s="366" t="s">
        <v>1685</v>
      </c>
      <c r="J566" s="348" t="str">
        <f t="shared" ca="1" si="16"/>
        <v>OK</v>
      </c>
      <c r="K566" s="366" t="s">
        <v>1686</v>
      </c>
      <c r="L566" s="366" t="s">
        <v>2234</v>
      </c>
      <c r="M566" s="350" t="str">
        <f>IF($B566="Portfolio","Portfolio",IFERROR(INDEX(DATA_ASSET_CLASSIFICATION!$B$8:$B$24,MATCH($C566,DATA_ASSET_CLASSIFICATION!$A$8:$A$24,0)),"Review"))</f>
        <v>Alma Blackwell</v>
      </c>
      <c r="N566" s="350" t="str">
        <f>IF($B566="Portfolio","Portfolio",IFERROR(INDEX(DATA_ASSET_CLASSIFICATION!$U$8:$U$24,MATCH($C566,DATA_ASSET_CLASSIFICATION!$A$8:$A$24,0)),"Review"))</f>
        <v>Excluded</v>
      </c>
      <c r="O566" s="350" t="str">
        <f>IF($B566="Portfolio","Portfolio",IFERROR(INDEX(DATA_ASSET_CLASSIFICATION!$AB$8:$AB$13,MATCH($N566,DATA_ASSET_CLASSIFICATION!$AA$8:$AA$13,0)),"Review"))</f>
        <v>Bucket 0 · Excluded</v>
      </c>
      <c r="P566" s="350" t="str">
        <f>IF($B566="Portfolio","Portfolio",IFERROR(INDEX(DATA_ASSET_CLASSIFICATION!$C$8:$C$24,MATCH($C566,DATA_ASSET_CLASSIFICATION!$A$8:$A$24,0)),"Review"))</f>
        <v>No</v>
      </c>
      <c r="Q566" s="350" t="str">
        <f t="shared" ca="1" si="17"/>
        <v>OK</v>
      </c>
    </row>
    <row r="567" spans="1:17">
      <c r="A567" s="366" t="s">
        <v>2523</v>
      </c>
      <c r="B567" s="366" t="s">
        <v>231</v>
      </c>
      <c r="C567" s="348" t="str">
        <f>DATA_PROPERTY_MASTER!$A$5</f>
        <v>BLD_AB</v>
      </c>
      <c r="D567" s="380">
        <f>'00_PORTFOLIO ROLLUP'!U$12</f>
        <v>2041</v>
      </c>
      <c r="E567" s="366" t="s">
        <v>1683</v>
      </c>
      <c r="F567" s="366" t="s">
        <v>355</v>
      </c>
      <c r="G567" s="348" t="str">
        <f>"'"&amp;$C567&amp;"'!$E$39:$Y$39"</f>
        <v>'BLD_AB'!$E$39:$Y$39</v>
      </c>
      <c r="H567" s="381">
        <f ca="1">IF(IFERROR(INDEX(DATA_PROPERTY_MASTER!$E$5:$E$21,MATCH($C567,DATA_PROPERTY_MASTER!$A$5:$A$21,0))="Yes",FALSE),IFERROR(INDEX(INDIRECT("'"&amp;$C567&amp;"'!$E$39:$Y$39"),1,MATCH($D567,INDIRECT("'"&amp;$C567&amp;"'!$E$12:$Y$12"),0)),0),0)</f>
        <v>0</v>
      </c>
      <c r="I567" s="366" t="s">
        <v>1690</v>
      </c>
      <c r="J567" s="348" t="str">
        <f t="shared" ca="1" si="16"/>
        <v>OK</v>
      </c>
      <c r="K567" s="366" t="s">
        <v>1686</v>
      </c>
      <c r="L567" s="366" t="s">
        <v>2236</v>
      </c>
      <c r="M567" s="350" t="str">
        <f>IF($B567="Portfolio","Portfolio",IFERROR(INDEX(DATA_ASSET_CLASSIFICATION!$B$8:$B$24,MATCH($C567,DATA_ASSET_CLASSIFICATION!$A$8:$A$24,0)),"Review"))</f>
        <v>Alma Blackwell</v>
      </c>
      <c r="N567" s="350" t="str">
        <f>IF($B567="Portfolio","Portfolio",IFERROR(INDEX(DATA_ASSET_CLASSIFICATION!$U$8:$U$24,MATCH($C567,DATA_ASSET_CLASSIFICATION!$A$8:$A$24,0)),"Review"))</f>
        <v>Excluded</v>
      </c>
      <c r="O567" s="350" t="str">
        <f>IF($B567="Portfolio","Portfolio",IFERROR(INDEX(DATA_ASSET_CLASSIFICATION!$AB$8:$AB$13,MATCH($N567,DATA_ASSET_CLASSIFICATION!$AA$8:$AA$13,0)),"Review"))</f>
        <v>Bucket 0 · Excluded</v>
      </c>
      <c r="P567" s="350" t="str">
        <f>IF($B567="Portfolio","Portfolio",IFERROR(INDEX(DATA_ASSET_CLASSIFICATION!$C$8:$C$24,MATCH($C567,DATA_ASSET_CLASSIFICATION!$A$8:$A$24,0)),"Review"))</f>
        <v>No</v>
      </c>
      <c r="Q567" s="350" t="str">
        <f t="shared" ca="1" si="17"/>
        <v>OK</v>
      </c>
    </row>
    <row r="568" spans="1:17">
      <c r="A568" s="366" t="s">
        <v>2524</v>
      </c>
      <c r="B568" s="366" t="s">
        <v>231</v>
      </c>
      <c r="C568" s="348" t="str">
        <f>DATA_PROPERTY_MASTER!$A$5</f>
        <v>BLD_AB</v>
      </c>
      <c r="D568" s="380">
        <f>'00_PORTFOLIO ROLLUP'!U$12</f>
        <v>2041</v>
      </c>
      <c r="E568" s="366" t="s">
        <v>1683</v>
      </c>
      <c r="F568" s="366" t="s">
        <v>19</v>
      </c>
      <c r="G568" s="348" t="str">
        <f>"'"&amp;$C568&amp;"'!$E$41:$Y$41"</f>
        <v>'BLD_AB'!$E$41:$Y$41</v>
      </c>
      <c r="H568" s="381">
        <f ca="1">IF(IFERROR(INDEX(DATA_PROPERTY_MASTER!$E$5:$E$21,MATCH($C568,DATA_PROPERTY_MASTER!$A$5:$A$21,0))="Yes",FALSE),IFERROR(INDEX(INDIRECT("'"&amp;$C568&amp;"'!$E$41:$Y$41"),1,MATCH($D568,INDIRECT("'"&amp;$C568&amp;"'!$E$12:$Y$12"),0)),0),0)</f>
        <v>0</v>
      </c>
      <c r="I568" s="366" t="s">
        <v>1685</v>
      </c>
      <c r="J568" s="348" t="str">
        <f t="shared" ca="1" si="16"/>
        <v>OK</v>
      </c>
      <c r="K568" s="366" t="s">
        <v>1694</v>
      </c>
      <c r="L568" s="366" t="s">
        <v>2238</v>
      </c>
      <c r="M568" s="350" t="str">
        <f>IF($B568="Portfolio","Portfolio",IFERROR(INDEX(DATA_ASSET_CLASSIFICATION!$B$8:$B$24,MATCH($C568,DATA_ASSET_CLASSIFICATION!$A$8:$A$24,0)),"Review"))</f>
        <v>Alma Blackwell</v>
      </c>
      <c r="N568" s="350" t="str">
        <f>IF($B568="Portfolio","Portfolio",IFERROR(INDEX(DATA_ASSET_CLASSIFICATION!$U$8:$U$24,MATCH($C568,DATA_ASSET_CLASSIFICATION!$A$8:$A$24,0)),"Review"))</f>
        <v>Excluded</v>
      </c>
      <c r="O568" s="350" t="str">
        <f>IF($B568="Portfolio","Portfolio",IFERROR(INDEX(DATA_ASSET_CLASSIFICATION!$AB$8:$AB$13,MATCH($N568,DATA_ASSET_CLASSIFICATION!$AA$8:$AA$13,0)),"Review"))</f>
        <v>Bucket 0 · Excluded</v>
      </c>
      <c r="P568" s="350" t="str">
        <f>IF($B568="Portfolio","Portfolio",IFERROR(INDEX(DATA_ASSET_CLASSIFICATION!$C$8:$C$24,MATCH($C568,DATA_ASSET_CLASSIFICATION!$A$8:$A$24,0)),"Review"))</f>
        <v>No</v>
      </c>
      <c r="Q568" s="350" t="str">
        <f t="shared" ca="1" si="17"/>
        <v>OK</v>
      </c>
    </row>
    <row r="569" spans="1:17">
      <c r="A569" s="366" t="s">
        <v>2525</v>
      </c>
      <c r="B569" s="366" t="s">
        <v>231</v>
      </c>
      <c r="C569" s="348" t="str">
        <f>DATA_PROPERTY_MASTER!$A$5</f>
        <v>BLD_AB</v>
      </c>
      <c r="D569" s="380">
        <f>'00_PORTFOLIO ROLLUP'!U$12</f>
        <v>2041</v>
      </c>
      <c r="E569" s="366" t="s">
        <v>1683</v>
      </c>
      <c r="F569" s="366" t="s">
        <v>1697</v>
      </c>
      <c r="G569" s="348" t="str">
        <f>"'"&amp;$C569&amp;"'!$E$44:$Y$44"</f>
        <v>'BLD_AB'!$E$44:$Y$44</v>
      </c>
      <c r="H569" s="381">
        <f ca="1">IF(IFERROR(INDEX(DATA_PROPERTY_MASTER!$E$5:$E$21,MATCH($C569,DATA_PROPERTY_MASTER!$A$5:$A$21,0))="Yes",FALSE),IFERROR(INDEX(INDIRECT("'"&amp;$C569&amp;"'!$E$44:$Y$44"),1,MATCH($D569,INDIRECT("'"&amp;$C569&amp;"'!$E$12:$Y$12"),0)),0),0)</f>
        <v>0</v>
      </c>
      <c r="I569" s="366" t="s">
        <v>1690</v>
      </c>
      <c r="J569" s="348" t="str">
        <f t="shared" ca="1" si="16"/>
        <v>OK</v>
      </c>
      <c r="K569" s="366" t="s">
        <v>1699</v>
      </c>
      <c r="L569" s="366" t="s">
        <v>2240</v>
      </c>
      <c r="M569" s="350" t="str">
        <f>IF($B569="Portfolio","Portfolio",IFERROR(INDEX(DATA_ASSET_CLASSIFICATION!$B$8:$B$24,MATCH($C569,DATA_ASSET_CLASSIFICATION!$A$8:$A$24,0)),"Review"))</f>
        <v>Alma Blackwell</v>
      </c>
      <c r="N569" s="350" t="str">
        <f>IF($B569="Portfolio","Portfolio",IFERROR(INDEX(DATA_ASSET_CLASSIFICATION!$U$8:$U$24,MATCH($C569,DATA_ASSET_CLASSIFICATION!$A$8:$A$24,0)),"Review"))</f>
        <v>Excluded</v>
      </c>
      <c r="O569" s="350" t="str">
        <f>IF($B569="Portfolio","Portfolio",IFERROR(INDEX(DATA_ASSET_CLASSIFICATION!$AB$8:$AB$13,MATCH($N569,DATA_ASSET_CLASSIFICATION!$AA$8:$AA$13,0)),"Review"))</f>
        <v>Bucket 0 · Excluded</v>
      </c>
      <c r="P569" s="350" t="str">
        <f>IF($B569="Portfolio","Portfolio",IFERROR(INDEX(DATA_ASSET_CLASSIFICATION!$C$8:$C$24,MATCH($C569,DATA_ASSET_CLASSIFICATION!$A$8:$A$24,0)),"Review"))</f>
        <v>No</v>
      </c>
      <c r="Q569" s="350" t="str">
        <f t="shared" ca="1" si="17"/>
        <v>OK</v>
      </c>
    </row>
    <row r="570" spans="1:17">
      <c r="A570" s="366" t="s">
        <v>2526</v>
      </c>
      <c r="B570" s="366" t="s">
        <v>231</v>
      </c>
      <c r="C570" s="348" t="str">
        <f>DATA_PROPERTY_MASTER!$A$5</f>
        <v>BLD_AB</v>
      </c>
      <c r="D570" s="380">
        <f>'00_PORTFOLIO ROLLUP'!U$12</f>
        <v>2041</v>
      </c>
      <c r="E570" s="366" t="s">
        <v>1683</v>
      </c>
      <c r="F570" s="366" t="s">
        <v>21</v>
      </c>
      <c r="G570" s="348" t="str">
        <f>"'"&amp;$C570&amp;"'!$E$45:$Y$45"</f>
        <v>'BLD_AB'!$E$45:$Y$45</v>
      </c>
      <c r="H570" s="381">
        <f ca="1">IF(IFERROR(INDEX(DATA_PROPERTY_MASTER!$E$5:$E$21,MATCH($C570,DATA_PROPERTY_MASTER!$A$5:$A$21,0))="Yes",FALSE),IFERROR(INDEX(INDIRECT("'"&amp;$C570&amp;"'!$E$45:$Y$45"),1,MATCH($D570,INDIRECT("'"&amp;$C570&amp;"'!$E$12:$Y$12"),0)),0),0)</f>
        <v>0</v>
      </c>
      <c r="I570" s="366" t="s">
        <v>1685</v>
      </c>
      <c r="J570" s="348" t="str">
        <f t="shared" ca="1" si="16"/>
        <v>OK</v>
      </c>
      <c r="K570" s="366" t="s">
        <v>1694</v>
      </c>
      <c r="L570" s="366" t="s">
        <v>2242</v>
      </c>
      <c r="M570" s="350" t="str">
        <f>IF($B570="Portfolio","Portfolio",IFERROR(INDEX(DATA_ASSET_CLASSIFICATION!$B$8:$B$24,MATCH($C570,DATA_ASSET_CLASSIFICATION!$A$8:$A$24,0)),"Review"))</f>
        <v>Alma Blackwell</v>
      </c>
      <c r="N570" s="350" t="str">
        <f>IF($B570="Portfolio","Portfolio",IFERROR(INDEX(DATA_ASSET_CLASSIFICATION!$U$8:$U$24,MATCH($C570,DATA_ASSET_CLASSIFICATION!$A$8:$A$24,0)),"Review"))</f>
        <v>Excluded</v>
      </c>
      <c r="O570" s="350" t="str">
        <f>IF($B570="Portfolio","Portfolio",IFERROR(INDEX(DATA_ASSET_CLASSIFICATION!$AB$8:$AB$13,MATCH($N570,DATA_ASSET_CLASSIFICATION!$AA$8:$AA$13,0)),"Review"))</f>
        <v>Bucket 0 · Excluded</v>
      </c>
      <c r="P570" s="350" t="str">
        <f>IF($B570="Portfolio","Portfolio",IFERROR(INDEX(DATA_ASSET_CLASSIFICATION!$C$8:$C$24,MATCH($C570,DATA_ASSET_CLASSIFICATION!$A$8:$A$24,0)),"Review"))</f>
        <v>No</v>
      </c>
      <c r="Q570" s="350" t="str">
        <f t="shared" ca="1" si="17"/>
        <v>OK</v>
      </c>
    </row>
    <row r="571" spans="1:17">
      <c r="A571" s="366" t="s">
        <v>2527</v>
      </c>
      <c r="B571" s="366" t="s">
        <v>231</v>
      </c>
      <c r="C571" s="348" t="str">
        <f>DATA_PROPERTY_MASTER!$A$5</f>
        <v>BLD_AB</v>
      </c>
      <c r="D571" s="380">
        <f>'00_PORTFOLIO ROLLUP'!U$12</f>
        <v>2041</v>
      </c>
      <c r="E571" s="366" t="s">
        <v>23</v>
      </c>
      <c r="F571" s="366" t="s">
        <v>23</v>
      </c>
      <c r="G571" s="348" t="str">
        <f>"'"&amp;$C571&amp;"'!$E$48:$Y$48"</f>
        <v>'BLD_AB'!$E$48:$Y$48</v>
      </c>
      <c r="H571" s="381">
        <f ca="1">IF(IFERROR(INDEX(DATA_PROPERTY_MASTER!$E$5:$E$21,MATCH($C571,DATA_PROPERTY_MASTER!$A$5:$A$21,0))="Yes",FALSE),IFERROR(INDEX(INDIRECT("'"&amp;$C571&amp;"'!$E$48:$Y$48"),1,MATCH($D571,INDIRECT("'"&amp;$C571&amp;"'!$E$12:$Y$12"),0)),0),0)</f>
        <v>0</v>
      </c>
      <c r="I571" s="366" t="s">
        <v>1690</v>
      </c>
      <c r="J571" s="348" t="str">
        <f t="shared" ca="1" si="16"/>
        <v>OK</v>
      </c>
      <c r="K571" s="366" t="s">
        <v>1706</v>
      </c>
      <c r="L571" s="366" t="s">
        <v>2244</v>
      </c>
      <c r="M571" s="350" t="str">
        <f>IF($B571="Portfolio","Portfolio",IFERROR(INDEX(DATA_ASSET_CLASSIFICATION!$B$8:$B$24,MATCH($C571,DATA_ASSET_CLASSIFICATION!$A$8:$A$24,0)),"Review"))</f>
        <v>Alma Blackwell</v>
      </c>
      <c r="N571" s="350" t="str">
        <f>IF($B571="Portfolio","Portfolio",IFERROR(INDEX(DATA_ASSET_CLASSIFICATION!$U$8:$U$24,MATCH($C571,DATA_ASSET_CLASSIFICATION!$A$8:$A$24,0)),"Review"))</f>
        <v>Excluded</v>
      </c>
      <c r="O571" s="350" t="str">
        <f>IF($B571="Portfolio","Portfolio",IFERROR(INDEX(DATA_ASSET_CLASSIFICATION!$AB$8:$AB$13,MATCH($N571,DATA_ASSET_CLASSIFICATION!$AA$8:$AA$13,0)),"Review"))</f>
        <v>Bucket 0 · Excluded</v>
      </c>
      <c r="P571" s="350" t="str">
        <f>IF($B571="Portfolio","Portfolio",IFERROR(INDEX(DATA_ASSET_CLASSIFICATION!$C$8:$C$24,MATCH($C571,DATA_ASSET_CLASSIFICATION!$A$8:$A$24,0)),"Review"))</f>
        <v>No</v>
      </c>
      <c r="Q571" s="350" t="str">
        <f t="shared" ca="1" si="17"/>
        <v>OK</v>
      </c>
    </row>
    <row r="572" spans="1:17">
      <c r="A572" s="366" t="s">
        <v>2528</v>
      </c>
      <c r="B572" s="366" t="s">
        <v>231</v>
      </c>
      <c r="C572" s="348" t="str">
        <f>DATA_PROPERTY_MASTER!$A$5</f>
        <v>BLD_AB</v>
      </c>
      <c r="D572" s="380">
        <f>'00_PORTFOLIO ROLLUP'!U$12</f>
        <v>2041</v>
      </c>
      <c r="E572" s="366" t="s">
        <v>1683</v>
      </c>
      <c r="F572" s="366" t="s">
        <v>25</v>
      </c>
      <c r="G572" s="348" t="str">
        <f>"'"&amp;$C572&amp;"'!$E$52:$Y$52"</f>
        <v>'BLD_AB'!$E$52:$Y$52</v>
      </c>
      <c r="H572" s="381">
        <f ca="1">IF(IFERROR(INDEX(DATA_PROPERTY_MASTER!$E$5:$E$21,MATCH($C572,DATA_PROPERTY_MASTER!$A$5:$A$21,0))="Yes",FALSE),IFERROR(INDEX(INDIRECT("'"&amp;$C572&amp;"'!$E$52:$Y$52"),1,MATCH($D572,INDIRECT("'"&amp;$C572&amp;"'!$E$12:$Y$12"),0)),0),0)</f>
        <v>0</v>
      </c>
      <c r="I572" s="366" t="s">
        <v>1685</v>
      </c>
      <c r="J572" s="348" t="str">
        <f t="shared" ca="1" si="16"/>
        <v>OK</v>
      </c>
      <c r="K572" s="366" t="s">
        <v>1710</v>
      </c>
      <c r="L572" s="366" t="s">
        <v>2246</v>
      </c>
      <c r="M572" s="350" t="str">
        <f>IF($B572="Portfolio","Portfolio",IFERROR(INDEX(DATA_ASSET_CLASSIFICATION!$B$8:$B$24,MATCH($C572,DATA_ASSET_CLASSIFICATION!$A$8:$A$24,0)),"Review"))</f>
        <v>Alma Blackwell</v>
      </c>
      <c r="N572" s="350" t="str">
        <f>IF($B572="Portfolio","Portfolio",IFERROR(INDEX(DATA_ASSET_CLASSIFICATION!$U$8:$U$24,MATCH($C572,DATA_ASSET_CLASSIFICATION!$A$8:$A$24,0)),"Review"))</f>
        <v>Excluded</v>
      </c>
      <c r="O572" s="350" t="str">
        <f>IF($B572="Portfolio","Portfolio",IFERROR(INDEX(DATA_ASSET_CLASSIFICATION!$AB$8:$AB$13,MATCH($N572,DATA_ASSET_CLASSIFICATION!$AA$8:$AA$13,0)),"Review"))</f>
        <v>Bucket 0 · Excluded</v>
      </c>
      <c r="P572" s="350" t="str">
        <f>IF($B572="Portfolio","Portfolio",IFERROR(INDEX(DATA_ASSET_CLASSIFICATION!$C$8:$C$24,MATCH($C572,DATA_ASSET_CLASSIFICATION!$A$8:$A$24,0)),"Review"))</f>
        <v>No</v>
      </c>
      <c r="Q572" s="350" t="str">
        <f t="shared" ca="1" si="17"/>
        <v>OK</v>
      </c>
    </row>
    <row r="573" spans="1:17">
      <c r="A573" s="366" t="s">
        <v>2529</v>
      </c>
      <c r="B573" s="366" t="s">
        <v>231</v>
      </c>
      <c r="C573" s="348" t="str">
        <f>DATA_PROPERTY_MASTER!$A$5</f>
        <v>BLD_AB</v>
      </c>
      <c r="D573" s="380">
        <f>'00_PORTFOLIO ROLLUP'!U$12</f>
        <v>2041</v>
      </c>
      <c r="E573" s="366" t="s">
        <v>1683</v>
      </c>
      <c r="F573" s="366" t="s">
        <v>27</v>
      </c>
      <c r="G573" s="348" t="str">
        <f>"'"&amp;$C573&amp;"'!$E$54:$Y$54"</f>
        <v>'BLD_AB'!$E$54:$Y$54</v>
      </c>
      <c r="H573" s="381">
        <f ca="1">IF(IFERROR(INDEX(DATA_PROPERTY_MASTER!$E$5:$E$21,MATCH($C573,DATA_PROPERTY_MASTER!$A$5:$A$21,0))="Yes",FALSE),IFERROR(INDEX(INDIRECT("'"&amp;$C573&amp;"'!$E$54:$Y$54"),1,MATCH($D573,INDIRECT("'"&amp;$C573&amp;"'!$E$12:$Y$12"),0)),0),0)</f>
        <v>0</v>
      </c>
      <c r="I573" s="366" t="s">
        <v>1690</v>
      </c>
      <c r="J573" s="348" t="str">
        <f t="shared" ca="1" si="16"/>
        <v>OK</v>
      </c>
      <c r="K573" s="366" t="s">
        <v>1714</v>
      </c>
      <c r="L573" s="366" t="s">
        <v>2248</v>
      </c>
      <c r="M573" s="350" t="str">
        <f>IF($B573="Portfolio","Portfolio",IFERROR(INDEX(DATA_ASSET_CLASSIFICATION!$B$8:$B$24,MATCH($C573,DATA_ASSET_CLASSIFICATION!$A$8:$A$24,0)),"Review"))</f>
        <v>Alma Blackwell</v>
      </c>
      <c r="N573" s="350" t="str">
        <f>IF($B573="Portfolio","Portfolio",IFERROR(INDEX(DATA_ASSET_CLASSIFICATION!$U$8:$U$24,MATCH($C573,DATA_ASSET_CLASSIFICATION!$A$8:$A$24,0)),"Review"))</f>
        <v>Excluded</v>
      </c>
      <c r="O573" s="350" t="str">
        <f>IF($B573="Portfolio","Portfolio",IFERROR(INDEX(DATA_ASSET_CLASSIFICATION!$AB$8:$AB$13,MATCH($N573,DATA_ASSET_CLASSIFICATION!$AA$8:$AA$13,0)),"Review"))</f>
        <v>Bucket 0 · Excluded</v>
      </c>
      <c r="P573" s="350" t="str">
        <f>IF($B573="Portfolio","Portfolio",IFERROR(INDEX(DATA_ASSET_CLASSIFICATION!$C$8:$C$24,MATCH($C573,DATA_ASSET_CLASSIFICATION!$A$8:$A$24,0)),"Review"))</f>
        <v>No</v>
      </c>
      <c r="Q573" s="350" t="str">
        <f t="shared" ca="1" si="17"/>
        <v>OK</v>
      </c>
    </row>
    <row r="574" spans="1:17">
      <c r="A574" s="366" t="s">
        <v>2530</v>
      </c>
      <c r="B574" s="366" t="s">
        <v>231</v>
      </c>
      <c r="C574" s="348" t="str">
        <f>DATA_PROPERTY_MASTER!$A$5</f>
        <v>BLD_AB</v>
      </c>
      <c r="D574" s="380">
        <f>'00_PORTFOLIO ROLLUP'!U$12</f>
        <v>2041</v>
      </c>
      <c r="E574" s="366" t="s">
        <v>1683</v>
      </c>
      <c r="F574" s="366" t="s">
        <v>29</v>
      </c>
      <c r="G574" s="348" t="str">
        <f>"'"&amp;$C574&amp;"'!$E$56:$Y$56"</f>
        <v>'BLD_AB'!$E$56:$Y$56</v>
      </c>
      <c r="H574" s="381">
        <f ca="1">IF(IFERROR(INDEX(DATA_PROPERTY_MASTER!$E$5:$E$21,MATCH($C574,DATA_PROPERTY_MASTER!$A$5:$A$21,0))="Yes",FALSE),IFERROR(INDEX(INDIRECT("'"&amp;$C574&amp;"'!$E$56:$Y$56"),1,MATCH($D574,INDIRECT("'"&amp;$C574&amp;"'!$E$12:$Y$12"),0)),0),0)</f>
        <v>0</v>
      </c>
      <c r="I574" s="366" t="s">
        <v>1685</v>
      </c>
      <c r="J574" s="348" t="str">
        <f t="shared" ca="1" si="16"/>
        <v>OK</v>
      </c>
      <c r="K574" s="366" t="s">
        <v>1718</v>
      </c>
      <c r="L574" s="366" t="s">
        <v>2250</v>
      </c>
      <c r="M574" s="350" t="str">
        <f>IF($B574="Portfolio","Portfolio",IFERROR(INDEX(DATA_ASSET_CLASSIFICATION!$B$8:$B$24,MATCH($C574,DATA_ASSET_CLASSIFICATION!$A$8:$A$24,0)),"Review"))</f>
        <v>Alma Blackwell</v>
      </c>
      <c r="N574" s="350" t="str">
        <f>IF($B574="Portfolio","Portfolio",IFERROR(INDEX(DATA_ASSET_CLASSIFICATION!$U$8:$U$24,MATCH($C574,DATA_ASSET_CLASSIFICATION!$A$8:$A$24,0)),"Review"))</f>
        <v>Excluded</v>
      </c>
      <c r="O574" s="350" t="str">
        <f>IF($B574="Portfolio","Portfolio",IFERROR(INDEX(DATA_ASSET_CLASSIFICATION!$AB$8:$AB$13,MATCH($N574,DATA_ASSET_CLASSIFICATION!$AA$8:$AA$13,0)),"Review"))</f>
        <v>Bucket 0 · Excluded</v>
      </c>
      <c r="P574" s="350" t="str">
        <f>IF($B574="Portfolio","Portfolio",IFERROR(INDEX(DATA_ASSET_CLASSIFICATION!$C$8:$C$24,MATCH($C574,DATA_ASSET_CLASSIFICATION!$A$8:$A$24,0)),"Review"))</f>
        <v>No</v>
      </c>
      <c r="Q574" s="350" t="str">
        <f t="shared" ca="1" si="17"/>
        <v>OK</v>
      </c>
    </row>
    <row r="575" spans="1:17">
      <c r="A575" s="366" t="s">
        <v>2531</v>
      </c>
      <c r="B575" s="366" t="s">
        <v>231</v>
      </c>
      <c r="C575" s="348" t="str">
        <f>DATA_PROPERTY_MASTER!$A$5</f>
        <v>BLD_AB</v>
      </c>
      <c r="D575" s="380">
        <f>'00_PORTFOLIO ROLLUP'!U$12</f>
        <v>2041</v>
      </c>
      <c r="E575" s="366" t="s">
        <v>1721</v>
      </c>
      <c r="F575" s="366" t="s">
        <v>31</v>
      </c>
      <c r="G575" s="348" t="str">
        <f>"'"&amp;$C575&amp;"'!$E$61:$Y$61"</f>
        <v>'BLD_AB'!$E$61:$Y$61</v>
      </c>
      <c r="H575" s="381">
        <f ca="1">IF(IFERROR(INDEX(DATA_PROPERTY_MASTER!$E$5:$E$21,MATCH($C575,DATA_PROPERTY_MASTER!$A$5:$A$21,0))="Yes",FALSE),IFERROR(INDEX(INDIRECT("'"&amp;$C575&amp;"'!$E$61:$Y$61"),1,MATCH($D575,INDIRECT("'"&amp;$C575&amp;"'!$E$12:$Y$12"),0)),0),0)</f>
        <v>0</v>
      </c>
      <c r="I575" s="366" t="s">
        <v>1690</v>
      </c>
      <c r="J575" s="348" t="str">
        <f t="shared" ca="1" si="16"/>
        <v>OK</v>
      </c>
      <c r="K575" s="366" t="s">
        <v>1723</v>
      </c>
      <c r="L575" s="366" t="s">
        <v>2252</v>
      </c>
      <c r="M575" s="350" t="str">
        <f>IF($B575="Portfolio","Portfolio",IFERROR(INDEX(DATA_ASSET_CLASSIFICATION!$B$8:$B$24,MATCH($C575,DATA_ASSET_CLASSIFICATION!$A$8:$A$24,0)),"Review"))</f>
        <v>Alma Blackwell</v>
      </c>
      <c r="N575" s="350" t="str">
        <f>IF($B575="Portfolio","Portfolio",IFERROR(INDEX(DATA_ASSET_CLASSIFICATION!$U$8:$U$24,MATCH($C575,DATA_ASSET_CLASSIFICATION!$A$8:$A$24,0)),"Review"))</f>
        <v>Excluded</v>
      </c>
      <c r="O575" s="350" t="str">
        <f>IF($B575="Portfolio","Portfolio",IFERROR(INDEX(DATA_ASSET_CLASSIFICATION!$AB$8:$AB$13,MATCH($N575,DATA_ASSET_CLASSIFICATION!$AA$8:$AA$13,0)),"Review"))</f>
        <v>Bucket 0 · Excluded</v>
      </c>
      <c r="P575" s="350" t="str">
        <f>IF($B575="Portfolio","Portfolio",IFERROR(INDEX(DATA_ASSET_CLASSIFICATION!$C$8:$C$24,MATCH($C575,DATA_ASSET_CLASSIFICATION!$A$8:$A$24,0)),"Review"))</f>
        <v>No</v>
      </c>
      <c r="Q575" s="350" t="str">
        <f t="shared" ca="1" si="17"/>
        <v>OK</v>
      </c>
    </row>
    <row r="576" spans="1:17">
      <c r="A576" s="366" t="s">
        <v>2532</v>
      </c>
      <c r="B576" s="366" t="s">
        <v>231</v>
      </c>
      <c r="C576" s="348" t="str">
        <f>DATA_PROPERTY_MASTER!$A$5</f>
        <v>BLD_AB</v>
      </c>
      <c r="D576" s="380">
        <f>'00_PORTFOLIO ROLLUP'!U$12</f>
        <v>2041</v>
      </c>
      <c r="E576" s="366" t="s">
        <v>1721</v>
      </c>
      <c r="F576" s="366" t="s">
        <v>33</v>
      </c>
      <c r="G576" s="348" t="str">
        <f>"'"&amp;$C576&amp;"'!$E$62:$Y$62"</f>
        <v>'BLD_AB'!$E$62:$Y$62</v>
      </c>
      <c r="H576" s="381">
        <f ca="1">IF(IFERROR(INDEX(DATA_PROPERTY_MASTER!$E$5:$E$21,MATCH($C576,DATA_PROPERTY_MASTER!$A$5:$A$21,0))="Yes",FALSE),IFERROR(INDEX(INDIRECT("'"&amp;$C576&amp;"'!$E$62:$Y$62"),1,MATCH($D576,INDIRECT("'"&amp;$C576&amp;"'!$E$12:$Y$12"),0)),0),0)</f>
        <v>0</v>
      </c>
      <c r="I576" s="366" t="s">
        <v>1685</v>
      </c>
      <c r="J576" s="348" t="str">
        <f t="shared" ca="1" si="16"/>
        <v>OK</v>
      </c>
      <c r="K576" s="366" t="s">
        <v>1727</v>
      </c>
      <c r="L576" s="366" t="s">
        <v>2254</v>
      </c>
      <c r="M576" s="350" t="str">
        <f>IF($B576="Portfolio","Portfolio",IFERROR(INDEX(DATA_ASSET_CLASSIFICATION!$B$8:$B$24,MATCH($C576,DATA_ASSET_CLASSIFICATION!$A$8:$A$24,0)),"Review"))</f>
        <v>Alma Blackwell</v>
      </c>
      <c r="N576" s="350" t="str">
        <f>IF($B576="Portfolio","Portfolio",IFERROR(INDEX(DATA_ASSET_CLASSIFICATION!$U$8:$U$24,MATCH($C576,DATA_ASSET_CLASSIFICATION!$A$8:$A$24,0)),"Review"))</f>
        <v>Excluded</v>
      </c>
      <c r="O576" s="350" t="str">
        <f>IF($B576="Portfolio","Portfolio",IFERROR(INDEX(DATA_ASSET_CLASSIFICATION!$AB$8:$AB$13,MATCH($N576,DATA_ASSET_CLASSIFICATION!$AA$8:$AA$13,0)),"Review"))</f>
        <v>Bucket 0 · Excluded</v>
      </c>
      <c r="P576" s="350" t="str">
        <f>IF($B576="Portfolio","Portfolio",IFERROR(INDEX(DATA_ASSET_CLASSIFICATION!$C$8:$C$24,MATCH($C576,DATA_ASSET_CLASSIFICATION!$A$8:$A$24,0)),"Review"))</f>
        <v>No</v>
      </c>
      <c r="Q576" s="350" t="str">
        <f t="shared" ca="1" si="17"/>
        <v>OK</v>
      </c>
    </row>
    <row r="577" spans="1:17">
      <c r="A577" s="366" t="s">
        <v>2533</v>
      </c>
      <c r="B577" s="366" t="s">
        <v>231</v>
      </c>
      <c r="C577" s="348" t="str">
        <f>DATA_PROPERTY_MASTER!$A$5</f>
        <v>BLD_AB</v>
      </c>
      <c r="D577" s="380">
        <f>'00_PORTFOLIO ROLLUP'!U$12</f>
        <v>2041</v>
      </c>
      <c r="E577" s="366" t="s">
        <v>1721</v>
      </c>
      <c r="F577" s="366" t="s">
        <v>35</v>
      </c>
      <c r="G577" s="348" t="str">
        <f>"'"&amp;$C577&amp;"'!$E$63:$Y$63"</f>
        <v>'BLD_AB'!$E$63:$Y$63</v>
      </c>
      <c r="H577" s="381">
        <f ca="1">IF(IFERROR(INDEX(DATA_PROPERTY_MASTER!$E$5:$E$21,MATCH($C577,DATA_PROPERTY_MASTER!$A$5:$A$21,0))="Yes",FALSE),IFERROR(INDEX(INDIRECT("'"&amp;$C577&amp;"'!$E$63:$Y$63"),1,MATCH($D577,INDIRECT("'"&amp;$C577&amp;"'!$E$12:$Y$12"),0)),0),0)</f>
        <v>0</v>
      </c>
      <c r="I577" s="366" t="s">
        <v>1731</v>
      </c>
      <c r="J577" s="348" t="str">
        <f t="shared" ca="1" si="16"/>
        <v>OK</v>
      </c>
      <c r="K577" s="366" t="s">
        <v>1732</v>
      </c>
      <c r="L577" s="366" t="s">
        <v>2256</v>
      </c>
      <c r="M577" s="350" t="str">
        <f>IF($B577="Portfolio","Portfolio",IFERROR(INDEX(DATA_ASSET_CLASSIFICATION!$B$8:$B$24,MATCH($C577,DATA_ASSET_CLASSIFICATION!$A$8:$A$24,0)),"Review"))</f>
        <v>Alma Blackwell</v>
      </c>
      <c r="N577" s="350" t="str">
        <f>IF($B577="Portfolio","Portfolio",IFERROR(INDEX(DATA_ASSET_CLASSIFICATION!$U$8:$U$24,MATCH($C577,DATA_ASSET_CLASSIFICATION!$A$8:$A$24,0)),"Review"))</f>
        <v>Excluded</v>
      </c>
      <c r="O577" s="350" t="str">
        <f>IF($B577="Portfolio","Portfolio",IFERROR(INDEX(DATA_ASSET_CLASSIFICATION!$AB$8:$AB$13,MATCH($N577,DATA_ASSET_CLASSIFICATION!$AA$8:$AA$13,0)),"Review"))</f>
        <v>Bucket 0 · Excluded</v>
      </c>
      <c r="P577" s="350" t="str">
        <f>IF($B577="Portfolio","Portfolio",IFERROR(INDEX(DATA_ASSET_CLASSIFICATION!$C$8:$C$24,MATCH($C577,DATA_ASSET_CLASSIFICATION!$A$8:$A$24,0)),"Review"))</f>
        <v>No</v>
      </c>
      <c r="Q577" s="350" t="str">
        <f t="shared" ca="1" si="17"/>
        <v>OK</v>
      </c>
    </row>
    <row r="578" spans="1:17">
      <c r="A578" s="366" t="s">
        <v>2534</v>
      </c>
      <c r="B578" s="366" t="s">
        <v>231</v>
      </c>
      <c r="C578" s="348" t="str">
        <f>DATA_PROPERTY_MASTER!$A$5</f>
        <v>BLD_AB</v>
      </c>
      <c r="D578" s="380">
        <f>'00_PORTFOLIO ROLLUP'!U$12</f>
        <v>2041</v>
      </c>
      <c r="E578" s="366" t="s">
        <v>1721</v>
      </c>
      <c r="F578" s="366" t="s">
        <v>37</v>
      </c>
      <c r="G578" s="348" t="str">
        <f>"'"&amp;$C578&amp;"'!$E$63:$Y$63"</f>
        <v>'BLD_AB'!$E$63:$Y$63</v>
      </c>
      <c r="H578" s="381">
        <f ca="1">IF(IFERROR(INDEX(DATA_PROPERTY_MASTER!$E$5:$E$21,MATCH($C578,DATA_PROPERTY_MASTER!$A$5:$A$21,0))="Yes",FALSE),MAX(IFERROR(INDEX(INDIRECT("'"&amp;$C578&amp;"'!$E$63:$Y$63"),1,MATCH($D578,INDIRECT("'"&amp;$C578&amp;"'!$E$12:$Y$12"),0)),0),0),0)</f>
        <v>0</v>
      </c>
      <c r="I578" s="366" t="s">
        <v>1685</v>
      </c>
      <c r="J578" s="348" t="str">
        <f t="shared" ca="1" si="16"/>
        <v>OK</v>
      </c>
      <c r="K578" s="366" t="s">
        <v>1735</v>
      </c>
      <c r="L578" s="366" t="s">
        <v>2258</v>
      </c>
      <c r="M578" s="350" t="str">
        <f>IF($B578="Portfolio","Portfolio",IFERROR(INDEX(DATA_ASSET_CLASSIFICATION!$B$8:$B$24,MATCH($C578,DATA_ASSET_CLASSIFICATION!$A$8:$A$24,0)),"Review"))</f>
        <v>Alma Blackwell</v>
      </c>
      <c r="N578" s="350" t="str">
        <f>IF($B578="Portfolio","Portfolio",IFERROR(INDEX(DATA_ASSET_CLASSIFICATION!$U$8:$U$24,MATCH($C578,DATA_ASSET_CLASSIFICATION!$A$8:$A$24,0)),"Review"))</f>
        <v>Excluded</v>
      </c>
      <c r="O578" s="350" t="str">
        <f>IF($B578="Portfolio","Portfolio",IFERROR(INDEX(DATA_ASSET_CLASSIFICATION!$AB$8:$AB$13,MATCH($N578,DATA_ASSET_CLASSIFICATION!$AA$8:$AA$13,0)),"Review"))</f>
        <v>Bucket 0 · Excluded</v>
      </c>
      <c r="P578" s="350" t="str">
        <f>IF($B578="Portfolio","Portfolio",IFERROR(INDEX(DATA_ASSET_CLASSIFICATION!$C$8:$C$24,MATCH($C578,DATA_ASSET_CLASSIFICATION!$A$8:$A$24,0)),"Review"))</f>
        <v>No</v>
      </c>
      <c r="Q578" s="350" t="str">
        <f t="shared" ca="1" si="17"/>
        <v>OK</v>
      </c>
    </row>
    <row r="579" spans="1:17">
      <c r="A579" s="366" t="s">
        <v>2535</v>
      </c>
      <c r="B579" s="366" t="s">
        <v>231</v>
      </c>
      <c r="C579" s="348" t="str">
        <f>DATA_PROPERTY_MASTER!$A$5</f>
        <v>BLD_AB</v>
      </c>
      <c r="D579" s="380">
        <f>'00_PORTFOLIO ROLLUP'!U$12</f>
        <v>2041</v>
      </c>
      <c r="E579" s="366" t="s">
        <v>1721</v>
      </c>
      <c r="F579" s="366" t="s">
        <v>39</v>
      </c>
      <c r="G579" s="348" t="str">
        <f>"'"&amp;$C579&amp;"'!$E$63:$Y$63"</f>
        <v>'BLD_AB'!$E$63:$Y$63</v>
      </c>
      <c r="H579" s="381">
        <f ca="1">IF(IFERROR(INDEX(DATA_PROPERTY_MASTER!$E$5:$E$21,MATCH($C579,DATA_PROPERTY_MASTER!$A$5:$A$21,0))="Yes",FALSE),MAX(-IFERROR(INDEX(INDIRECT("'"&amp;$C579&amp;"'!$E$63:$Y$63"),1,MATCH($D579,INDIRECT("'"&amp;$C579&amp;"'!$E$12:$Y$12"),0)),0),0),0)</f>
        <v>0</v>
      </c>
      <c r="I579" s="366" t="s">
        <v>1690</v>
      </c>
      <c r="J579" s="348" t="str">
        <f t="shared" ca="1" si="16"/>
        <v>OK</v>
      </c>
      <c r="K579" s="366" t="s">
        <v>1738</v>
      </c>
      <c r="L579" s="366" t="s">
        <v>2260</v>
      </c>
      <c r="M579" s="350" t="str">
        <f>IF($B579="Portfolio","Portfolio",IFERROR(INDEX(DATA_ASSET_CLASSIFICATION!$B$8:$B$24,MATCH($C579,DATA_ASSET_CLASSIFICATION!$A$8:$A$24,0)),"Review"))</f>
        <v>Alma Blackwell</v>
      </c>
      <c r="N579" s="350" t="str">
        <f>IF($B579="Portfolio","Portfolio",IFERROR(INDEX(DATA_ASSET_CLASSIFICATION!$U$8:$U$24,MATCH($C579,DATA_ASSET_CLASSIFICATION!$A$8:$A$24,0)),"Review"))</f>
        <v>Excluded</v>
      </c>
      <c r="O579" s="350" t="str">
        <f>IF($B579="Portfolio","Portfolio",IFERROR(INDEX(DATA_ASSET_CLASSIFICATION!$AB$8:$AB$13,MATCH($N579,DATA_ASSET_CLASSIFICATION!$AA$8:$AA$13,0)),"Review"))</f>
        <v>Bucket 0 · Excluded</v>
      </c>
      <c r="P579" s="350" t="str">
        <f>IF($B579="Portfolio","Portfolio",IFERROR(INDEX(DATA_ASSET_CLASSIFICATION!$C$8:$C$24,MATCH($C579,DATA_ASSET_CLASSIFICATION!$A$8:$A$24,0)),"Review"))</f>
        <v>No</v>
      </c>
      <c r="Q579" s="350" t="str">
        <f t="shared" ca="1" si="17"/>
        <v>OK</v>
      </c>
    </row>
    <row r="580" spans="1:17">
      <c r="A580" s="366" t="s">
        <v>2536</v>
      </c>
      <c r="B580" s="366" t="s">
        <v>231</v>
      </c>
      <c r="C580" s="348" t="str">
        <f>DATA_PROPERTY_MASTER!$A$5</f>
        <v>BLD_AB</v>
      </c>
      <c r="D580" s="380">
        <f>'00_PORTFOLIO ROLLUP'!U$12</f>
        <v>2041</v>
      </c>
      <c r="E580" s="366" t="s">
        <v>1741</v>
      </c>
      <c r="F580" s="366" t="s">
        <v>41</v>
      </c>
      <c r="G580" s="348" t="str">
        <f>"'"&amp;$C580&amp;"'!rows 56 + positive row 63"</f>
        <v>'BLD_AB'!rows 56 + positive row 63</v>
      </c>
      <c r="H580" s="381">
        <f ca="1">IF(IFERROR(INDEX(DATA_PROPERTY_MASTER!$E$5:$E$21,MATCH($C580,DATA_PROPERTY_MASTER!$A$5:$A$21,0))="Yes",FALSE),IFERROR(INDEX(INDIRECT("'"&amp;$C580&amp;"'!$E$56:$Y$56"),1,MATCH($D580,INDIRECT("'"&amp;$C580&amp;"'!$E$12:$Y$12"),0)),0)+MAX(IFERROR(INDEX(INDIRECT("'"&amp;$C580&amp;"'!$E$63:$Y$63"),1,MATCH($D580,INDIRECT("'"&amp;$C580&amp;"'!$E$12:$Y$12"),0)),0),0),0)</f>
        <v>0</v>
      </c>
      <c r="I580" s="366" t="s">
        <v>1685</v>
      </c>
      <c r="J580" s="348" t="str">
        <f t="shared" ca="1" si="16"/>
        <v>OK</v>
      </c>
      <c r="K580" s="366" t="s">
        <v>1742</v>
      </c>
      <c r="L580" s="366" t="s">
        <v>2262</v>
      </c>
      <c r="M580" s="350" t="str">
        <f>IF($B580="Portfolio","Portfolio",IFERROR(INDEX(DATA_ASSET_CLASSIFICATION!$B$8:$B$24,MATCH($C580,DATA_ASSET_CLASSIFICATION!$A$8:$A$24,0)),"Review"))</f>
        <v>Alma Blackwell</v>
      </c>
      <c r="N580" s="350" t="str">
        <f>IF($B580="Portfolio","Portfolio",IFERROR(INDEX(DATA_ASSET_CLASSIFICATION!$U$8:$U$24,MATCH($C580,DATA_ASSET_CLASSIFICATION!$A$8:$A$24,0)),"Review"))</f>
        <v>Excluded</v>
      </c>
      <c r="O580" s="350" t="str">
        <f>IF($B580="Portfolio","Portfolio",IFERROR(INDEX(DATA_ASSET_CLASSIFICATION!$AB$8:$AB$13,MATCH($N580,DATA_ASSET_CLASSIFICATION!$AA$8:$AA$13,0)),"Review"))</f>
        <v>Bucket 0 · Excluded</v>
      </c>
      <c r="P580" s="350" t="str">
        <f>IF($B580="Portfolio","Portfolio",IFERROR(INDEX(DATA_ASSET_CLASSIFICATION!$C$8:$C$24,MATCH($C580,DATA_ASSET_CLASSIFICATION!$A$8:$A$24,0)),"Review"))</f>
        <v>No</v>
      </c>
      <c r="Q580" s="350" t="str">
        <f t="shared" ca="1" si="17"/>
        <v>OK</v>
      </c>
    </row>
    <row r="581" spans="1:17">
      <c r="A581" s="366" t="s">
        <v>2537</v>
      </c>
      <c r="B581" s="366" t="s">
        <v>231</v>
      </c>
      <c r="C581" s="348" t="str">
        <f>DATA_PROPERTY_MASTER!$A$5</f>
        <v>BLD_AB</v>
      </c>
      <c r="D581" s="380">
        <f>'00_PORTFOLIO ROLLUP'!U$12</f>
        <v>2041</v>
      </c>
      <c r="E581" s="366" t="s">
        <v>1741</v>
      </c>
      <c r="F581" s="366" t="s">
        <v>43</v>
      </c>
      <c r="G581" s="348" t="str">
        <f>"'"&amp;$C581&amp;"'!$E$68:$Y$68"</f>
        <v>'BLD_AB'!$E$68:$Y$68</v>
      </c>
      <c r="H581" s="381">
        <f ca="1">IF(IFERROR(INDEX(DATA_PROPERTY_MASTER!$E$5:$E$21,MATCH($C581,DATA_PROPERTY_MASTER!$A$5:$A$21,0))="Yes",FALSE),IFERROR(INDEX(INDIRECT("'"&amp;$C581&amp;"'!$E$68:$Y$68"),1,MATCH($D581,INDIRECT("'"&amp;$C581&amp;"'!$E$12:$Y$12"),0)),0),0)</f>
        <v>0</v>
      </c>
      <c r="I581" s="366" t="s">
        <v>1731</v>
      </c>
      <c r="J581" s="348" t="str">
        <f t="shared" ref="J581:J644" ca="1" si="18">IF($F581="Residual Funding Gap",IF($H581&gt;0,"Funding Gap","OK"),IF(AND($F581="Net Refinance Position",$H581&lt;0),"Negative net refi position","OK"))</f>
        <v>OK</v>
      </c>
      <c r="K581" s="366" t="s">
        <v>1746</v>
      </c>
      <c r="L581" s="366" t="s">
        <v>2264</v>
      </c>
      <c r="M581" s="350" t="str">
        <f>IF($B581="Portfolio","Portfolio",IFERROR(INDEX(DATA_ASSET_CLASSIFICATION!$B$8:$B$24,MATCH($C581,DATA_ASSET_CLASSIFICATION!$A$8:$A$24,0)),"Review"))</f>
        <v>Alma Blackwell</v>
      </c>
      <c r="N581" s="350" t="str">
        <f>IF($B581="Portfolio","Portfolio",IFERROR(INDEX(DATA_ASSET_CLASSIFICATION!$U$8:$U$24,MATCH($C581,DATA_ASSET_CLASSIFICATION!$A$8:$A$24,0)),"Review"))</f>
        <v>Excluded</v>
      </c>
      <c r="O581" s="350" t="str">
        <f>IF($B581="Portfolio","Portfolio",IFERROR(INDEX(DATA_ASSET_CLASSIFICATION!$AB$8:$AB$13,MATCH($N581,DATA_ASSET_CLASSIFICATION!$AA$8:$AA$13,0)),"Review"))</f>
        <v>Bucket 0 · Excluded</v>
      </c>
      <c r="P581" s="350" t="str">
        <f>IF($B581="Portfolio","Portfolio",IFERROR(INDEX(DATA_ASSET_CLASSIFICATION!$C$8:$C$24,MATCH($C581,DATA_ASSET_CLASSIFICATION!$A$8:$A$24,0)),"Review"))</f>
        <v>No</v>
      </c>
      <c r="Q581" s="350" t="str">
        <f t="shared" ref="Q581:Q644" ca="1" si="19">IF(AND($B581="Property",$F581="Residual Funding Gap",$H581&gt;0),"Property Funding Gap",IF($J581&lt;&gt;"OK",$J581,"OK"))</f>
        <v>OK</v>
      </c>
    </row>
    <row r="582" spans="1:17">
      <c r="A582" s="366" t="s">
        <v>2538</v>
      </c>
      <c r="B582" s="366" t="s">
        <v>231</v>
      </c>
      <c r="C582" s="348" t="str">
        <f>DATA_PROPERTY_MASTER!$A$5</f>
        <v>BLD_AB</v>
      </c>
      <c r="D582" s="380">
        <f>'00_PORTFOLIO ROLLUP'!U$12</f>
        <v>2041</v>
      </c>
      <c r="E582" s="366" t="s">
        <v>1741</v>
      </c>
      <c r="F582" s="366" t="s">
        <v>1749</v>
      </c>
      <c r="G582" s="348" t="str">
        <f>"'"&amp;$C582&amp;"'!rows 56, 63, 68"</f>
        <v>'BLD_AB'!rows 56, 63, 68</v>
      </c>
      <c r="H582" s="381">
        <f ca="1">IF(IFERROR(INDEX(DATA_PROPERTY_MASTER!$E$5:$E$21,MATCH($C582,DATA_PROPERTY_MASTER!$A$5:$A$21,0))="Yes",FALSE),(IFERROR(INDEX(INDIRECT("'"&amp;$C582&amp;"'!$E$56:$Y$56"),1,MATCH($D582,INDIRECT("'"&amp;$C582&amp;"'!$E$12:$Y$12"),0)),0)+MAX(IFERROR(INDEX(INDIRECT("'"&amp;$C582&amp;"'!$E$63:$Y$63"),1,MATCH($D582,INDIRECT("'"&amp;$C582&amp;"'!$E$12:$Y$12"),0)),0),0))-(IFERROR(INDEX(INDIRECT("'"&amp;$C582&amp;"'!$E$68:$Y$68"),1,MATCH($D582,INDIRECT("'"&amp;$C582&amp;"'!$E$12:$Y$12"),0)),0)),0)</f>
        <v>0</v>
      </c>
      <c r="I582" s="366" t="s">
        <v>1750</v>
      </c>
      <c r="J582" s="348" t="str">
        <f t="shared" ca="1" si="18"/>
        <v>OK</v>
      </c>
      <c r="K582" s="366" t="s">
        <v>1751</v>
      </c>
      <c r="L582" s="366" t="s">
        <v>2266</v>
      </c>
      <c r="M582" s="350" t="str">
        <f>IF($B582="Portfolio","Portfolio",IFERROR(INDEX(DATA_ASSET_CLASSIFICATION!$B$8:$B$24,MATCH($C582,DATA_ASSET_CLASSIFICATION!$A$8:$A$24,0)),"Review"))</f>
        <v>Alma Blackwell</v>
      </c>
      <c r="N582" s="350" t="str">
        <f>IF($B582="Portfolio","Portfolio",IFERROR(INDEX(DATA_ASSET_CLASSIFICATION!$U$8:$U$24,MATCH($C582,DATA_ASSET_CLASSIFICATION!$A$8:$A$24,0)),"Review"))</f>
        <v>Excluded</v>
      </c>
      <c r="O582" s="350" t="str">
        <f>IF($B582="Portfolio","Portfolio",IFERROR(INDEX(DATA_ASSET_CLASSIFICATION!$AB$8:$AB$13,MATCH($N582,DATA_ASSET_CLASSIFICATION!$AA$8:$AA$13,0)),"Review"))</f>
        <v>Bucket 0 · Excluded</v>
      </c>
      <c r="P582" s="350" t="str">
        <f>IF($B582="Portfolio","Portfolio",IFERROR(INDEX(DATA_ASSET_CLASSIFICATION!$C$8:$C$24,MATCH($C582,DATA_ASSET_CLASSIFICATION!$A$8:$A$24,0)),"Review"))</f>
        <v>No</v>
      </c>
      <c r="Q582" s="350" t="str">
        <f t="shared" ca="1" si="19"/>
        <v>OK</v>
      </c>
    </row>
    <row r="583" spans="1:17">
      <c r="A583" s="366" t="s">
        <v>2539</v>
      </c>
      <c r="B583" s="366" t="s">
        <v>231</v>
      </c>
      <c r="C583" s="348" t="str">
        <f>DATA_PROPERTY_MASTER!$A$6</f>
        <v>BLD_AC</v>
      </c>
      <c r="D583" s="380">
        <f>'00_PORTFOLIO ROLLUP'!E$12</f>
        <v>2025</v>
      </c>
      <c r="E583" s="366" t="s">
        <v>1683</v>
      </c>
      <c r="F583" s="366" t="s">
        <v>341</v>
      </c>
      <c r="G583" s="348" t="str">
        <f>"'"&amp;$C583&amp;"'!$E$24:$Y$24"</f>
        <v>'BLD_AC'!$E$24:$Y$24</v>
      </c>
      <c r="H583" s="381">
        <f ca="1">IF(IFERROR(INDEX(DATA_PROPERTY_MASTER!$E$5:$E$21,MATCH($C583,DATA_PROPERTY_MASTER!$A$5:$A$21,0))="Yes",FALSE),IFERROR(INDEX(INDIRECT("'"&amp;$C583&amp;"'!$E$24:$Y$24"),1,MATCH($D583,INDIRECT("'"&amp;$C583&amp;"'!$E$12:$Y$12"),0)),0),0)</f>
        <v>323425.47799999994</v>
      </c>
      <c r="I583" s="366" t="s">
        <v>1685</v>
      </c>
      <c r="J583" s="348" t="str">
        <f t="shared" ca="1" si="18"/>
        <v>OK</v>
      </c>
      <c r="K583" s="366" t="s">
        <v>1686</v>
      </c>
      <c r="L583" s="366" t="s">
        <v>2234</v>
      </c>
      <c r="M583" s="350" t="str">
        <f>IF($B583="Portfolio","Portfolio",IFERROR(INDEX(DATA_ASSET_CLASSIFICATION!$B$8:$B$24,MATCH($C583,DATA_ASSET_CLASSIFICATION!$A$8:$A$24,0)),"Review"))</f>
        <v>Antkiw Court</v>
      </c>
      <c r="N583" s="350" t="str">
        <f ca="1">IF($B583="Portfolio","Portfolio",IFERROR(INDEX(DATA_ASSET_CLASSIFICATION!$U$8:$U$24,MATCH($C583,DATA_ASSET_CLASSIFICATION!$A$8:$A$24,0)),"Review"))</f>
        <v>Stable</v>
      </c>
      <c r="O583" s="350" t="str">
        <f ca="1">IF($B583="Portfolio","Portfolio",IFERROR(INDEX(DATA_ASSET_CLASSIFICATION!$AB$8:$AB$13,MATCH($N583,DATA_ASSET_CLASSIFICATION!$AA$8:$AA$13,0)),"Review"))</f>
        <v>Bucket 2 · Legacy</v>
      </c>
      <c r="P583" s="350" t="str">
        <f>IF($B583="Portfolio","Portfolio",IFERROR(INDEX(DATA_ASSET_CLASSIFICATION!$C$8:$C$24,MATCH($C583,DATA_ASSET_CLASSIFICATION!$A$8:$A$24,0)),"Review"))</f>
        <v>Yes</v>
      </c>
      <c r="Q583" s="350" t="str">
        <f t="shared" ca="1" si="19"/>
        <v>OK</v>
      </c>
    </row>
    <row r="584" spans="1:17">
      <c r="A584" s="366" t="s">
        <v>2540</v>
      </c>
      <c r="B584" s="366" t="s">
        <v>231</v>
      </c>
      <c r="C584" s="348" t="str">
        <f>DATA_PROPERTY_MASTER!$A$6</f>
        <v>BLD_AC</v>
      </c>
      <c r="D584" s="380">
        <f>'00_PORTFOLIO ROLLUP'!E$12</f>
        <v>2025</v>
      </c>
      <c r="E584" s="366" t="s">
        <v>1683</v>
      </c>
      <c r="F584" s="366" t="s">
        <v>355</v>
      </c>
      <c r="G584" s="348" t="str">
        <f>"'"&amp;$C584&amp;"'!$E$39:$Y$39"</f>
        <v>'BLD_AC'!$E$39:$Y$39</v>
      </c>
      <c r="H584" s="381">
        <f ca="1">IF(IFERROR(INDEX(DATA_PROPERTY_MASTER!$E$5:$E$21,MATCH($C584,DATA_PROPERTY_MASTER!$A$5:$A$21,0))="Yes",FALSE),IFERROR(INDEX(INDIRECT("'"&amp;$C584&amp;"'!$E$39:$Y$39"),1,MATCH($D584,INDIRECT("'"&amp;$C584&amp;"'!$E$12:$Y$12"),0)),0),0)</f>
        <v>150569</v>
      </c>
      <c r="I584" s="366" t="s">
        <v>1690</v>
      </c>
      <c r="J584" s="348" t="str">
        <f t="shared" ca="1" si="18"/>
        <v>OK</v>
      </c>
      <c r="K584" s="366" t="s">
        <v>1686</v>
      </c>
      <c r="L584" s="366" t="s">
        <v>2236</v>
      </c>
      <c r="M584" s="350" t="str">
        <f>IF($B584="Portfolio","Portfolio",IFERROR(INDEX(DATA_ASSET_CLASSIFICATION!$B$8:$B$24,MATCH($C584,DATA_ASSET_CLASSIFICATION!$A$8:$A$24,0)),"Review"))</f>
        <v>Antkiw Court</v>
      </c>
      <c r="N584" s="350" t="str">
        <f ca="1">IF($B584="Portfolio","Portfolio",IFERROR(INDEX(DATA_ASSET_CLASSIFICATION!$U$8:$U$24,MATCH($C584,DATA_ASSET_CLASSIFICATION!$A$8:$A$24,0)),"Review"))</f>
        <v>Stable</v>
      </c>
      <c r="O584" s="350" t="str">
        <f ca="1">IF($B584="Portfolio","Portfolio",IFERROR(INDEX(DATA_ASSET_CLASSIFICATION!$AB$8:$AB$13,MATCH($N584,DATA_ASSET_CLASSIFICATION!$AA$8:$AA$13,0)),"Review"))</f>
        <v>Bucket 2 · Legacy</v>
      </c>
      <c r="P584" s="350" t="str">
        <f>IF($B584="Portfolio","Portfolio",IFERROR(INDEX(DATA_ASSET_CLASSIFICATION!$C$8:$C$24,MATCH($C584,DATA_ASSET_CLASSIFICATION!$A$8:$A$24,0)),"Review"))</f>
        <v>Yes</v>
      </c>
      <c r="Q584" s="350" t="str">
        <f t="shared" ca="1" si="19"/>
        <v>OK</v>
      </c>
    </row>
    <row r="585" spans="1:17">
      <c r="A585" s="366" t="s">
        <v>2541</v>
      </c>
      <c r="B585" s="366" t="s">
        <v>231</v>
      </c>
      <c r="C585" s="348" t="str">
        <f>DATA_PROPERTY_MASTER!$A$6</f>
        <v>BLD_AC</v>
      </c>
      <c r="D585" s="380">
        <f>'00_PORTFOLIO ROLLUP'!E$12</f>
        <v>2025</v>
      </c>
      <c r="E585" s="366" t="s">
        <v>1683</v>
      </c>
      <c r="F585" s="366" t="s">
        <v>19</v>
      </c>
      <c r="G585" s="348" t="str">
        <f>"'"&amp;$C585&amp;"'!$E$41:$Y$41"</f>
        <v>'BLD_AC'!$E$41:$Y$41</v>
      </c>
      <c r="H585" s="381">
        <f ca="1">IF(IFERROR(INDEX(DATA_PROPERTY_MASTER!$E$5:$E$21,MATCH($C585,DATA_PROPERTY_MASTER!$A$5:$A$21,0))="Yes",FALSE),IFERROR(INDEX(INDIRECT("'"&amp;$C585&amp;"'!$E$41:$Y$41"),1,MATCH($D585,INDIRECT("'"&amp;$C585&amp;"'!$E$12:$Y$12"),0)),0),0)</f>
        <v>172856.47799999994</v>
      </c>
      <c r="I585" s="366" t="s">
        <v>1685</v>
      </c>
      <c r="J585" s="348" t="str">
        <f t="shared" ca="1" si="18"/>
        <v>OK</v>
      </c>
      <c r="K585" s="366" t="s">
        <v>1694</v>
      </c>
      <c r="L585" s="366" t="s">
        <v>2238</v>
      </c>
      <c r="M585" s="350" t="str">
        <f>IF($B585="Portfolio","Portfolio",IFERROR(INDEX(DATA_ASSET_CLASSIFICATION!$B$8:$B$24,MATCH($C585,DATA_ASSET_CLASSIFICATION!$A$8:$A$24,0)),"Review"))</f>
        <v>Antkiw Court</v>
      </c>
      <c r="N585" s="350" t="str">
        <f ca="1">IF($B585="Portfolio","Portfolio",IFERROR(INDEX(DATA_ASSET_CLASSIFICATION!$U$8:$U$24,MATCH($C585,DATA_ASSET_CLASSIFICATION!$A$8:$A$24,0)),"Review"))</f>
        <v>Stable</v>
      </c>
      <c r="O585" s="350" t="str">
        <f ca="1">IF($B585="Portfolio","Portfolio",IFERROR(INDEX(DATA_ASSET_CLASSIFICATION!$AB$8:$AB$13,MATCH($N585,DATA_ASSET_CLASSIFICATION!$AA$8:$AA$13,0)),"Review"))</f>
        <v>Bucket 2 · Legacy</v>
      </c>
      <c r="P585" s="350" t="str">
        <f>IF($B585="Portfolio","Portfolio",IFERROR(INDEX(DATA_ASSET_CLASSIFICATION!$C$8:$C$24,MATCH($C585,DATA_ASSET_CLASSIFICATION!$A$8:$A$24,0)),"Review"))</f>
        <v>Yes</v>
      </c>
      <c r="Q585" s="350" t="str">
        <f t="shared" ca="1" si="19"/>
        <v>OK</v>
      </c>
    </row>
    <row r="586" spans="1:17">
      <c r="A586" s="366" t="s">
        <v>2542</v>
      </c>
      <c r="B586" s="366" t="s">
        <v>231</v>
      </c>
      <c r="C586" s="348" t="str">
        <f>DATA_PROPERTY_MASTER!$A$6</f>
        <v>BLD_AC</v>
      </c>
      <c r="D586" s="380">
        <f>'00_PORTFOLIO ROLLUP'!E$12</f>
        <v>2025</v>
      </c>
      <c r="E586" s="366" t="s">
        <v>1683</v>
      </c>
      <c r="F586" s="366" t="s">
        <v>1697</v>
      </c>
      <c r="G586" s="348" t="str">
        <f>"'"&amp;$C586&amp;"'!$E$44:$Y$44"</f>
        <v>'BLD_AC'!$E$44:$Y$44</v>
      </c>
      <c r="H586" s="381">
        <f ca="1">IF(IFERROR(INDEX(DATA_PROPERTY_MASTER!$E$5:$E$21,MATCH($C586,DATA_PROPERTY_MASTER!$A$5:$A$21,0))="Yes",FALSE),IFERROR(INDEX(INDIRECT("'"&amp;$C586&amp;"'!$E$44:$Y$44"),1,MATCH($D586,INDIRECT("'"&amp;$C586&amp;"'!$E$12:$Y$12"),0)),0),0)</f>
        <v>3150</v>
      </c>
      <c r="I586" s="366" t="s">
        <v>1690</v>
      </c>
      <c r="J586" s="348" t="str">
        <f t="shared" ca="1" si="18"/>
        <v>OK</v>
      </c>
      <c r="K586" s="366" t="s">
        <v>1699</v>
      </c>
      <c r="L586" s="366" t="s">
        <v>2240</v>
      </c>
      <c r="M586" s="350" t="str">
        <f>IF($B586="Portfolio","Portfolio",IFERROR(INDEX(DATA_ASSET_CLASSIFICATION!$B$8:$B$24,MATCH($C586,DATA_ASSET_CLASSIFICATION!$A$8:$A$24,0)),"Review"))</f>
        <v>Antkiw Court</v>
      </c>
      <c r="N586" s="350" t="str">
        <f ca="1">IF($B586="Portfolio","Portfolio",IFERROR(INDEX(DATA_ASSET_CLASSIFICATION!$U$8:$U$24,MATCH($C586,DATA_ASSET_CLASSIFICATION!$A$8:$A$24,0)),"Review"))</f>
        <v>Stable</v>
      </c>
      <c r="O586" s="350" t="str">
        <f ca="1">IF($B586="Portfolio","Portfolio",IFERROR(INDEX(DATA_ASSET_CLASSIFICATION!$AB$8:$AB$13,MATCH($N586,DATA_ASSET_CLASSIFICATION!$AA$8:$AA$13,0)),"Review"))</f>
        <v>Bucket 2 · Legacy</v>
      </c>
      <c r="P586" s="350" t="str">
        <f>IF($B586="Portfolio","Portfolio",IFERROR(INDEX(DATA_ASSET_CLASSIFICATION!$C$8:$C$24,MATCH($C586,DATA_ASSET_CLASSIFICATION!$A$8:$A$24,0)),"Review"))</f>
        <v>Yes</v>
      </c>
      <c r="Q586" s="350" t="str">
        <f t="shared" ca="1" si="19"/>
        <v>OK</v>
      </c>
    </row>
    <row r="587" spans="1:17">
      <c r="A587" s="366" t="s">
        <v>2543</v>
      </c>
      <c r="B587" s="366" t="s">
        <v>231</v>
      </c>
      <c r="C587" s="348" t="str">
        <f>DATA_PROPERTY_MASTER!$A$6</f>
        <v>BLD_AC</v>
      </c>
      <c r="D587" s="380">
        <f>'00_PORTFOLIO ROLLUP'!E$12</f>
        <v>2025</v>
      </c>
      <c r="E587" s="366" t="s">
        <v>1683</v>
      </c>
      <c r="F587" s="366" t="s">
        <v>21</v>
      </c>
      <c r="G587" s="348" t="str">
        <f>"'"&amp;$C587&amp;"'!$E$45:$Y$45"</f>
        <v>'BLD_AC'!$E$45:$Y$45</v>
      </c>
      <c r="H587" s="381">
        <f ca="1">IF(IFERROR(INDEX(DATA_PROPERTY_MASTER!$E$5:$E$21,MATCH($C587,DATA_PROPERTY_MASTER!$A$5:$A$21,0))="Yes",FALSE),IFERROR(INDEX(INDIRECT("'"&amp;$C587&amp;"'!$E$45:$Y$45"),1,MATCH($D587,INDIRECT("'"&amp;$C587&amp;"'!$E$12:$Y$12"),0)),0),0)</f>
        <v>169706.47799999994</v>
      </c>
      <c r="I587" s="366" t="s">
        <v>1685</v>
      </c>
      <c r="J587" s="348" t="str">
        <f t="shared" ca="1" si="18"/>
        <v>OK</v>
      </c>
      <c r="K587" s="366" t="s">
        <v>1694</v>
      </c>
      <c r="L587" s="366" t="s">
        <v>2242</v>
      </c>
      <c r="M587" s="350" t="str">
        <f>IF($B587="Portfolio","Portfolio",IFERROR(INDEX(DATA_ASSET_CLASSIFICATION!$B$8:$B$24,MATCH($C587,DATA_ASSET_CLASSIFICATION!$A$8:$A$24,0)),"Review"))</f>
        <v>Antkiw Court</v>
      </c>
      <c r="N587" s="350" t="str">
        <f ca="1">IF($B587="Portfolio","Portfolio",IFERROR(INDEX(DATA_ASSET_CLASSIFICATION!$U$8:$U$24,MATCH($C587,DATA_ASSET_CLASSIFICATION!$A$8:$A$24,0)),"Review"))</f>
        <v>Stable</v>
      </c>
      <c r="O587" s="350" t="str">
        <f ca="1">IF($B587="Portfolio","Portfolio",IFERROR(INDEX(DATA_ASSET_CLASSIFICATION!$AB$8:$AB$13,MATCH($N587,DATA_ASSET_CLASSIFICATION!$AA$8:$AA$13,0)),"Review"))</f>
        <v>Bucket 2 · Legacy</v>
      </c>
      <c r="P587" s="350" t="str">
        <f>IF($B587="Portfolio","Portfolio",IFERROR(INDEX(DATA_ASSET_CLASSIFICATION!$C$8:$C$24,MATCH($C587,DATA_ASSET_CLASSIFICATION!$A$8:$A$24,0)),"Review"))</f>
        <v>Yes</v>
      </c>
      <c r="Q587" s="350" t="str">
        <f t="shared" ca="1" si="19"/>
        <v>OK</v>
      </c>
    </row>
    <row r="588" spans="1:17">
      <c r="A588" s="366" t="s">
        <v>2544</v>
      </c>
      <c r="B588" s="366" t="s">
        <v>231</v>
      </c>
      <c r="C588" s="348" t="str">
        <f>DATA_PROPERTY_MASTER!$A$6</f>
        <v>BLD_AC</v>
      </c>
      <c r="D588" s="380">
        <f>'00_PORTFOLIO ROLLUP'!E$12</f>
        <v>2025</v>
      </c>
      <c r="E588" s="366" t="s">
        <v>23</v>
      </c>
      <c r="F588" s="366" t="s">
        <v>23</v>
      </c>
      <c r="G588" s="348" t="str">
        <f>"'"&amp;$C588&amp;"'!$E$48:$Y$48"</f>
        <v>'BLD_AC'!$E$48:$Y$48</v>
      </c>
      <c r="H588" s="381">
        <f ca="1">IF(IFERROR(INDEX(DATA_PROPERTY_MASTER!$E$5:$E$21,MATCH($C588,DATA_PROPERTY_MASTER!$A$5:$A$21,0))="Yes",FALSE),IFERROR(INDEX(INDIRECT("'"&amp;$C588&amp;"'!$E$48:$Y$48"),1,MATCH($D588,INDIRECT("'"&amp;$C588&amp;"'!$E$12:$Y$12"),0)),0),0)</f>
        <v>54330.12</v>
      </c>
      <c r="I588" s="366" t="s">
        <v>1690</v>
      </c>
      <c r="J588" s="348" t="str">
        <f t="shared" ca="1" si="18"/>
        <v>OK</v>
      </c>
      <c r="K588" s="366" t="s">
        <v>1706</v>
      </c>
      <c r="L588" s="366" t="s">
        <v>2244</v>
      </c>
      <c r="M588" s="350" t="str">
        <f>IF($B588="Portfolio","Portfolio",IFERROR(INDEX(DATA_ASSET_CLASSIFICATION!$B$8:$B$24,MATCH($C588,DATA_ASSET_CLASSIFICATION!$A$8:$A$24,0)),"Review"))</f>
        <v>Antkiw Court</v>
      </c>
      <c r="N588" s="350" t="str">
        <f ca="1">IF($B588="Portfolio","Portfolio",IFERROR(INDEX(DATA_ASSET_CLASSIFICATION!$U$8:$U$24,MATCH($C588,DATA_ASSET_CLASSIFICATION!$A$8:$A$24,0)),"Review"))</f>
        <v>Stable</v>
      </c>
      <c r="O588" s="350" t="str">
        <f ca="1">IF($B588="Portfolio","Portfolio",IFERROR(INDEX(DATA_ASSET_CLASSIFICATION!$AB$8:$AB$13,MATCH($N588,DATA_ASSET_CLASSIFICATION!$AA$8:$AA$13,0)),"Review"))</f>
        <v>Bucket 2 · Legacy</v>
      </c>
      <c r="P588" s="350" t="str">
        <f>IF($B588="Portfolio","Portfolio",IFERROR(INDEX(DATA_ASSET_CLASSIFICATION!$C$8:$C$24,MATCH($C588,DATA_ASSET_CLASSIFICATION!$A$8:$A$24,0)),"Review"))</f>
        <v>Yes</v>
      </c>
      <c r="Q588" s="350" t="str">
        <f t="shared" ca="1" si="19"/>
        <v>OK</v>
      </c>
    </row>
    <row r="589" spans="1:17">
      <c r="A589" s="366" t="s">
        <v>2545</v>
      </c>
      <c r="B589" s="366" t="s">
        <v>231</v>
      </c>
      <c r="C589" s="348" t="str">
        <f>DATA_PROPERTY_MASTER!$A$6</f>
        <v>BLD_AC</v>
      </c>
      <c r="D589" s="380">
        <f>'00_PORTFOLIO ROLLUP'!E$12</f>
        <v>2025</v>
      </c>
      <c r="E589" s="366" t="s">
        <v>1683</v>
      </c>
      <c r="F589" s="366" t="s">
        <v>25</v>
      </c>
      <c r="G589" s="348" t="str">
        <f>"'"&amp;$C589&amp;"'!$E$52:$Y$52"</f>
        <v>'BLD_AC'!$E$52:$Y$52</v>
      </c>
      <c r="H589" s="381">
        <f ca="1">IF(IFERROR(INDEX(DATA_PROPERTY_MASTER!$E$5:$E$21,MATCH($C589,DATA_PROPERTY_MASTER!$A$5:$A$21,0))="Yes",FALSE),IFERROR(INDEX(INDIRECT("'"&amp;$C589&amp;"'!$E$52:$Y$52"),1,MATCH($D589,INDIRECT("'"&amp;$C589&amp;"'!$E$12:$Y$12"),0)),0),0)</f>
        <v>118526.35799999995</v>
      </c>
      <c r="I589" s="366" t="s">
        <v>1685</v>
      </c>
      <c r="J589" s="348" t="str">
        <f t="shared" ca="1" si="18"/>
        <v>OK</v>
      </c>
      <c r="K589" s="366" t="s">
        <v>1710</v>
      </c>
      <c r="L589" s="366" t="s">
        <v>2246</v>
      </c>
      <c r="M589" s="350" t="str">
        <f>IF($B589="Portfolio","Portfolio",IFERROR(INDEX(DATA_ASSET_CLASSIFICATION!$B$8:$B$24,MATCH($C589,DATA_ASSET_CLASSIFICATION!$A$8:$A$24,0)),"Review"))</f>
        <v>Antkiw Court</v>
      </c>
      <c r="N589" s="350" t="str">
        <f ca="1">IF($B589="Portfolio","Portfolio",IFERROR(INDEX(DATA_ASSET_CLASSIFICATION!$U$8:$U$24,MATCH($C589,DATA_ASSET_CLASSIFICATION!$A$8:$A$24,0)),"Review"))</f>
        <v>Stable</v>
      </c>
      <c r="O589" s="350" t="str">
        <f ca="1">IF($B589="Portfolio","Portfolio",IFERROR(INDEX(DATA_ASSET_CLASSIFICATION!$AB$8:$AB$13,MATCH($N589,DATA_ASSET_CLASSIFICATION!$AA$8:$AA$13,0)),"Review"))</f>
        <v>Bucket 2 · Legacy</v>
      </c>
      <c r="P589" s="350" t="str">
        <f>IF($B589="Portfolio","Portfolio",IFERROR(INDEX(DATA_ASSET_CLASSIFICATION!$C$8:$C$24,MATCH($C589,DATA_ASSET_CLASSIFICATION!$A$8:$A$24,0)),"Review"))</f>
        <v>Yes</v>
      </c>
      <c r="Q589" s="350" t="str">
        <f t="shared" ca="1" si="19"/>
        <v>OK</v>
      </c>
    </row>
    <row r="590" spans="1:17">
      <c r="A590" s="366" t="s">
        <v>2546</v>
      </c>
      <c r="B590" s="366" t="s">
        <v>231</v>
      </c>
      <c r="C590" s="348" t="str">
        <f>DATA_PROPERTY_MASTER!$A$6</f>
        <v>BLD_AC</v>
      </c>
      <c r="D590" s="380">
        <f>'00_PORTFOLIO ROLLUP'!E$12</f>
        <v>2025</v>
      </c>
      <c r="E590" s="366" t="s">
        <v>1683</v>
      </c>
      <c r="F590" s="366" t="s">
        <v>27</v>
      </c>
      <c r="G590" s="348" t="str">
        <f>"'"&amp;$C590&amp;"'!$E$54:$Y$54"</f>
        <v>'BLD_AC'!$E$54:$Y$54</v>
      </c>
      <c r="H590" s="381">
        <f ca="1">IF(IFERROR(INDEX(DATA_PROPERTY_MASTER!$E$5:$E$21,MATCH($C590,DATA_PROPERTY_MASTER!$A$5:$A$21,0))="Yes",FALSE),IFERROR(INDEX(INDIRECT("'"&amp;$C590&amp;"'!$E$54:$Y$54"),1,MATCH($D590,INDIRECT("'"&amp;$C590&amp;"'!$E$12:$Y$12"),0)),0),0)</f>
        <v>71115.814799999964</v>
      </c>
      <c r="I590" s="366" t="s">
        <v>1690</v>
      </c>
      <c r="J590" s="348" t="str">
        <f t="shared" ca="1" si="18"/>
        <v>OK</v>
      </c>
      <c r="K590" s="366" t="s">
        <v>1714</v>
      </c>
      <c r="L590" s="366" t="s">
        <v>2248</v>
      </c>
      <c r="M590" s="350" t="str">
        <f>IF($B590="Portfolio","Portfolio",IFERROR(INDEX(DATA_ASSET_CLASSIFICATION!$B$8:$B$24,MATCH($C590,DATA_ASSET_CLASSIFICATION!$A$8:$A$24,0)),"Review"))</f>
        <v>Antkiw Court</v>
      </c>
      <c r="N590" s="350" t="str">
        <f ca="1">IF($B590="Portfolio","Portfolio",IFERROR(INDEX(DATA_ASSET_CLASSIFICATION!$U$8:$U$24,MATCH($C590,DATA_ASSET_CLASSIFICATION!$A$8:$A$24,0)),"Review"))</f>
        <v>Stable</v>
      </c>
      <c r="O590" s="350" t="str">
        <f ca="1">IF($B590="Portfolio","Portfolio",IFERROR(INDEX(DATA_ASSET_CLASSIFICATION!$AB$8:$AB$13,MATCH($N590,DATA_ASSET_CLASSIFICATION!$AA$8:$AA$13,0)),"Review"))</f>
        <v>Bucket 2 · Legacy</v>
      </c>
      <c r="P590" s="350" t="str">
        <f>IF($B590="Portfolio","Portfolio",IFERROR(INDEX(DATA_ASSET_CLASSIFICATION!$C$8:$C$24,MATCH($C590,DATA_ASSET_CLASSIFICATION!$A$8:$A$24,0)),"Review"))</f>
        <v>Yes</v>
      </c>
      <c r="Q590" s="350" t="str">
        <f t="shared" ca="1" si="19"/>
        <v>OK</v>
      </c>
    </row>
    <row r="591" spans="1:17">
      <c r="A591" s="366" t="s">
        <v>2547</v>
      </c>
      <c r="B591" s="366" t="s">
        <v>231</v>
      </c>
      <c r="C591" s="348" t="str">
        <f>DATA_PROPERTY_MASTER!$A$6</f>
        <v>BLD_AC</v>
      </c>
      <c r="D591" s="380">
        <f>'00_PORTFOLIO ROLLUP'!E$12</f>
        <v>2025</v>
      </c>
      <c r="E591" s="366" t="s">
        <v>1683</v>
      </c>
      <c r="F591" s="366" t="s">
        <v>29</v>
      </c>
      <c r="G591" s="348" t="str">
        <f>"'"&amp;$C591&amp;"'!$E$56:$Y$56"</f>
        <v>'BLD_AC'!$E$56:$Y$56</v>
      </c>
      <c r="H591" s="381">
        <f ca="1">IF(IFERROR(INDEX(DATA_PROPERTY_MASTER!$E$5:$E$21,MATCH($C591,DATA_PROPERTY_MASTER!$A$5:$A$21,0))="Yes",FALSE),IFERROR(INDEX(INDIRECT("'"&amp;$C591&amp;"'!$E$56:$Y$56"),1,MATCH($D591,INDIRECT("'"&amp;$C591&amp;"'!$E$12:$Y$12"),0)),0),0)</f>
        <v>47410.543199999986</v>
      </c>
      <c r="I591" s="366" t="s">
        <v>1685</v>
      </c>
      <c r="J591" s="348" t="str">
        <f t="shared" ca="1" si="18"/>
        <v>OK</v>
      </c>
      <c r="K591" s="366" t="s">
        <v>1718</v>
      </c>
      <c r="L591" s="366" t="s">
        <v>2250</v>
      </c>
      <c r="M591" s="350" t="str">
        <f>IF($B591="Portfolio","Portfolio",IFERROR(INDEX(DATA_ASSET_CLASSIFICATION!$B$8:$B$24,MATCH($C591,DATA_ASSET_CLASSIFICATION!$A$8:$A$24,0)),"Review"))</f>
        <v>Antkiw Court</v>
      </c>
      <c r="N591" s="350" t="str">
        <f ca="1">IF($B591="Portfolio","Portfolio",IFERROR(INDEX(DATA_ASSET_CLASSIFICATION!$U$8:$U$24,MATCH($C591,DATA_ASSET_CLASSIFICATION!$A$8:$A$24,0)),"Review"))</f>
        <v>Stable</v>
      </c>
      <c r="O591" s="350" t="str">
        <f ca="1">IF($B591="Portfolio","Portfolio",IFERROR(INDEX(DATA_ASSET_CLASSIFICATION!$AB$8:$AB$13,MATCH($N591,DATA_ASSET_CLASSIFICATION!$AA$8:$AA$13,0)),"Review"))</f>
        <v>Bucket 2 · Legacy</v>
      </c>
      <c r="P591" s="350" t="str">
        <f>IF($B591="Portfolio","Portfolio",IFERROR(INDEX(DATA_ASSET_CLASSIFICATION!$C$8:$C$24,MATCH($C591,DATA_ASSET_CLASSIFICATION!$A$8:$A$24,0)),"Review"))</f>
        <v>Yes</v>
      </c>
      <c r="Q591" s="350" t="str">
        <f t="shared" ca="1" si="19"/>
        <v>OK</v>
      </c>
    </row>
    <row r="592" spans="1:17">
      <c r="A592" s="366" t="s">
        <v>2548</v>
      </c>
      <c r="B592" s="366" t="s">
        <v>231</v>
      </c>
      <c r="C592" s="348" t="str">
        <f>DATA_PROPERTY_MASTER!$A$6</f>
        <v>BLD_AC</v>
      </c>
      <c r="D592" s="380">
        <f>'00_PORTFOLIO ROLLUP'!E$12</f>
        <v>2025</v>
      </c>
      <c r="E592" s="366" t="s">
        <v>1721</v>
      </c>
      <c r="F592" s="366" t="s">
        <v>31</v>
      </c>
      <c r="G592" s="348" t="str">
        <f>"'"&amp;$C592&amp;"'!$E$61:$Y$61"</f>
        <v>'BLD_AC'!$E$61:$Y$61</v>
      </c>
      <c r="H592" s="381">
        <f ca="1">IF(IFERROR(INDEX(DATA_PROPERTY_MASTER!$E$5:$E$21,MATCH($C592,DATA_PROPERTY_MASTER!$A$5:$A$21,0))="Yes",FALSE),IFERROR(INDEX(INDIRECT("'"&amp;$C592&amp;"'!$E$61:$Y$61"),1,MATCH($D592,INDIRECT("'"&amp;$C592&amp;"'!$E$12:$Y$12"),0)),0),0)</f>
        <v>0</v>
      </c>
      <c r="I592" s="366" t="s">
        <v>1690</v>
      </c>
      <c r="J592" s="348" t="str">
        <f t="shared" ca="1" si="18"/>
        <v>OK</v>
      </c>
      <c r="K592" s="366" t="s">
        <v>1723</v>
      </c>
      <c r="L592" s="366" t="s">
        <v>2252</v>
      </c>
      <c r="M592" s="350" t="str">
        <f>IF($B592="Portfolio","Portfolio",IFERROR(INDEX(DATA_ASSET_CLASSIFICATION!$B$8:$B$24,MATCH($C592,DATA_ASSET_CLASSIFICATION!$A$8:$A$24,0)),"Review"))</f>
        <v>Antkiw Court</v>
      </c>
      <c r="N592" s="350" t="str">
        <f ca="1">IF($B592="Portfolio","Portfolio",IFERROR(INDEX(DATA_ASSET_CLASSIFICATION!$U$8:$U$24,MATCH($C592,DATA_ASSET_CLASSIFICATION!$A$8:$A$24,0)),"Review"))</f>
        <v>Stable</v>
      </c>
      <c r="O592" s="350" t="str">
        <f ca="1">IF($B592="Portfolio","Portfolio",IFERROR(INDEX(DATA_ASSET_CLASSIFICATION!$AB$8:$AB$13,MATCH($N592,DATA_ASSET_CLASSIFICATION!$AA$8:$AA$13,0)),"Review"))</f>
        <v>Bucket 2 · Legacy</v>
      </c>
      <c r="P592" s="350" t="str">
        <f>IF($B592="Portfolio","Portfolio",IFERROR(INDEX(DATA_ASSET_CLASSIFICATION!$C$8:$C$24,MATCH($C592,DATA_ASSET_CLASSIFICATION!$A$8:$A$24,0)),"Review"))</f>
        <v>Yes</v>
      </c>
      <c r="Q592" s="350" t="str">
        <f t="shared" ca="1" si="19"/>
        <v>OK</v>
      </c>
    </row>
    <row r="593" spans="1:17">
      <c r="A593" s="366" t="s">
        <v>2549</v>
      </c>
      <c r="B593" s="366" t="s">
        <v>231</v>
      </c>
      <c r="C593" s="348" t="str">
        <f>DATA_PROPERTY_MASTER!$A$6</f>
        <v>BLD_AC</v>
      </c>
      <c r="D593" s="380">
        <f>'00_PORTFOLIO ROLLUP'!E$12</f>
        <v>2025</v>
      </c>
      <c r="E593" s="366" t="s">
        <v>1721</v>
      </c>
      <c r="F593" s="366" t="s">
        <v>33</v>
      </c>
      <c r="G593" s="348" t="str">
        <f>"'"&amp;$C593&amp;"'!$E$62:$Y$62"</f>
        <v>'BLD_AC'!$E$62:$Y$62</v>
      </c>
      <c r="H593" s="381">
        <f ca="1">IF(IFERROR(INDEX(DATA_PROPERTY_MASTER!$E$5:$E$21,MATCH($C593,DATA_PROPERTY_MASTER!$A$5:$A$21,0))="Yes",FALSE),IFERROR(INDEX(INDIRECT("'"&amp;$C593&amp;"'!$E$62:$Y$62"),1,MATCH($D593,INDIRECT("'"&amp;$C593&amp;"'!$E$12:$Y$12"),0)),0),0)</f>
        <v>0</v>
      </c>
      <c r="I593" s="366" t="s">
        <v>1685</v>
      </c>
      <c r="J593" s="348" t="str">
        <f t="shared" ca="1" si="18"/>
        <v>OK</v>
      </c>
      <c r="K593" s="366" t="s">
        <v>1727</v>
      </c>
      <c r="L593" s="366" t="s">
        <v>2254</v>
      </c>
      <c r="M593" s="350" t="str">
        <f>IF($B593="Portfolio","Portfolio",IFERROR(INDEX(DATA_ASSET_CLASSIFICATION!$B$8:$B$24,MATCH($C593,DATA_ASSET_CLASSIFICATION!$A$8:$A$24,0)),"Review"))</f>
        <v>Antkiw Court</v>
      </c>
      <c r="N593" s="350" t="str">
        <f ca="1">IF($B593="Portfolio","Portfolio",IFERROR(INDEX(DATA_ASSET_CLASSIFICATION!$U$8:$U$24,MATCH($C593,DATA_ASSET_CLASSIFICATION!$A$8:$A$24,0)),"Review"))</f>
        <v>Stable</v>
      </c>
      <c r="O593" s="350" t="str">
        <f ca="1">IF($B593="Portfolio","Portfolio",IFERROR(INDEX(DATA_ASSET_CLASSIFICATION!$AB$8:$AB$13,MATCH($N593,DATA_ASSET_CLASSIFICATION!$AA$8:$AA$13,0)),"Review"))</f>
        <v>Bucket 2 · Legacy</v>
      </c>
      <c r="P593" s="350" t="str">
        <f>IF($B593="Portfolio","Portfolio",IFERROR(INDEX(DATA_ASSET_CLASSIFICATION!$C$8:$C$24,MATCH($C593,DATA_ASSET_CLASSIFICATION!$A$8:$A$24,0)),"Review"))</f>
        <v>Yes</v>
      </c>
      <c r="Q593" s="350" t="str">
        <f t="shared" ca="1" si="19"/>
        <v>OK</v>
      </c>
    </row>
    <row r="594" spans="1:17">
      <c r="A594" s="366" t="s">
        <v>2550</v>
      </c>
      <c r="B594" s="366" t="s">
        <v>231</v>
      </c>
      <c r="C594" s="348" t="str">
        <f>DATA_PROPERTY_MASTER!$A$6</f>
        <v>BLD_AC</v>
      </c>
      <c r="D594" s="380">
        <f>'00_PORTFOLIO ROLLUP'!E$12</f>
        <v>2025</v>
      </c>
      <c r="E594" s="366" t="s">
        <v>1721</v>
      </c>
      <c r="F594" s="366" t="s">
        <v>35</v>
      </c>
      <c r="G594" s="348" t="str">
        <f>"'"&amp;$C594&amp;"'!$E$63:$Y$63"</f>
        <v>'BLD_AC'!$E$63:$Y$63</v>
      </c>
      <c r="H594" s="381">
        <f ca="1">IF(IFERROR(INDEX(DATA_PROPERTY_MASTER!$E$5:$E$21,MATCH($C594,DATA_PROPERTY_MASTER!$A$5:$A$21,0))="Yes",FALSE),IFERROR(INDEX(INDIRECT("'"&amp;$C594&amp;"'!$E$63:$Y$63"),1,MATCH($D594,INDIRECT("'"&amp;$C594&amp;"'!$E$12:$Y$12"),0)),0),0)</f>
        <v>0</v>
      </c>
      <c r="I594" s="366" t="s">
        <v>1731</v>
      </c>
      <c r="J594" s="348" t="str">
        <f t="shared" ca="1" si="18"/>
        <v>OK</v>
      </c>
      <c r="K594" s="366" t="s">
        <v>1732</v>
      </c>
      <c r="L594" s="366" t="s">
        <v>2256</v>
      </c>
      <c r="M594" s="350" t="str">
        <f>IF($B594="Portfolio","Portfolio",IFERROR(INDEX(DATA_ASSET_CLASSIFICATION!$B$8:$B$24,MATCH($C594,DATA_ASSET_CLASSIFICATION!$A$8:$A$24,0)),"Review"))</f>
        <v>Antkiw Court</v>
      </c>
      <c r="N594" s="350" t="str">
        <f ca="1">IF($B594="Portfolio","Portfolio",IFERROR(INDEX(DATA_ASSET_CLASSIFICATION!$U$8:$U$24,MATCH($C594,DATA_ASSET_CLASSIFICATION!$A$8:$A$24,0)),"Review"))</f>
        <v>Stable</v>
      </c>
      <c r="O594" s="350" t="str">
        <f ca="1">IF($B594="Portfolio","Portfolio",IFERROR(INDEX(DATA_ASSET_CLASSIFICATION!$AB$8:$AB$13,MATCH($N594,DATA_ASSET_CLASSIFICATION!$AA$8:$AA$13,0)),"Review"))</f>
        <v>Bucket 2 · Legacy</v>
      </c>
      <c r="P594" s="350" t="str">
        <f>IF($B594="Portfolio","Portfolio",IFERROR(INDEX(DATA_ASSET_CLASSIFICATION!$C$8:$C$24,MATCH($C594,DATA_ASSET_CLASSIFICATION!$A$8:$A$24,0)),"Review"))</f>
        <v>Yes</v>
      </c>
      <c r="Q594" s="350" t="str">
        <f t="shared" ca="1" si="19"/>
        <v>OK</v>
      </c>
    </row>
    <row r="595" spans="1:17">
      <c r="A595" s="366" t="s">
        <v>2551</v>
      </c>
      <c r="B595" s="366" t="s">
        <v>231</v>
      </c>
      <c r="C595" s="348" t="str">
        <f>DATA_PROPERTY_MASTER!$A$6</f>
        <v>BLD_AC</v>
      </c>
      <c r="D595" s="380">
        <f>'00_PORTFOLIO ROLLUP'!E$12</f>
        <v>2025</v>
      </c>
      <c r="E595" s="366" t="s">
        <v>1721</v>
      </c>
      <c r="F595" s="366" t="s">
        <v>37</v>
      </c>
      <c r="G595" s="348" t="str">
        <f>"'"&amp;$C595&amp;"'!$E$63:$Y$63"</f>
        <v>'BLD_AC'!$E$63:$Y$63</v>
      </c>
      <c r="H595" s="381">
        <f ca="1">IF(IFERROR(INDEX(DATA_PROPERTY_MASTER!$E$5:$E$21,MATCH($C595,DATA_PROPERTY_MASTER!$A$5:$A$21,0))="Yes",FALSE),MAX(IFERROR(INDEX(INDIRECT("'"&amp;$C595&amp;"'!$E$63:$Y$63"),1,MATCH($D595,INDIRECT("'"&amp;$C595&amp;"'!$E$12:$Y$12"),0)),0),0),0)</f>
        <v>0</v>
      </c>
      <c r="I595" s="366" t="s">
        <v>1685</v>
      </c>
      <c r="J595" s="348" t="str">
        <f t="shared" ca="1" si="18"/>
        <v>OK</v>
      </c>
      <c r="K595" s="366" t="s">
        <v>1735</v>
      </c>
      <c r="L595" s="366" t="s">
        <v>2258</v>
      </c>
      <c r="M595" s="350" t="str">
        <f>IF($B595="Portfolio","Portfolio",IFERROR(INDEX(DATA_ASSET_CLASSIFICATION!$B$8:$B$24,MATCH($C595,DATA_ASSET_CLASSIFICATION!$A$8:$A$24,0)),"Review"))</f>
        <v>Antkiw Court</v>
      </c>
      <c r="N595" s="350" t="str">
        <f ca="1">IF($B595="Portfolio","Portfolio",IFERROR(INDEX(DATA_ASSET_CLASSIFICATION!$U$8:$U$24,MATCH($C595,DATA_ASSET_CLASSIFICATION!$A$8:$A$24,0)),"Review"))</f>
        <v>Stable</v>
      </c>
      <c r="O595" s="350" t="str">
        <f ca="1">IF($B595="Portfolio","Portfolio",IFERROR(INDEX(DATA_ASSET_CLASSIFICATION!$AB$8:$AB$13,MATCH($N595,DATA_ASSET_CLASSIFICATION!$AA$8:$AA$13,0)),"Review"))</f>
        <v>Bucket 2 · Legacy</v>
      </c>
      <c r="P595" s="350" t="str">
        <f>IF($B595="Portfolio","Portfolio",IFERROR(INDEX(DATA_ASSET_CLASSIFICATION!$C$8:$C$24,MATCH($C595,DATA_ASSET_CLASSIFICATION!$A$8:$A$24,0)),"Review"))</f>
        <v>Yes</v>
      </c>
      <c r="Q595" s="350" t="str">
        <f t="shared" ca="1" si="19"/>
        <v>OK</v>
      </c>
    </row>
    <row r="596" spans="1:17">
      <c r="A596" s="366" t="s">
        <v>2552</v>
      </c>
      <c r="B596" s="366" t="s">
        <v>231</v>
      </c>
      <c r="C596" s="348" t="str">
        <f>DATA_PROPERTY_MASTER!$A$6</f>
        <v>BLD_AC</v>
      </c>
      <c r="D596" s="380">
        <f>'00_PORTFOLIO ROLLUP'!E$12</f>
        <v>2025</v>
      </c>
      <c r="E596" s="366" t="s">
        <v>1721</v>
      </c>
      <c r="F596" s="366" t="s">
        <v>39</v>
      </c>
      <c r="G596" s="348" t="str">
        <f>"'"&amp;$C596&amp;"'!$E$63:$Y$63"</f>
        <v>'BLD_AC'!$E$63:$Y$63</v>
      </c>
      <c r="H596" s="381">
        <f ca="1">IF(IFERROR(INDEX(DATA_PROPERTY_MASTER!$E$5:$E$21,MATCH($C596,DATA_PROPERTY_MASTER!$A$5:$A$21,0))="Yes",FALSE),MAX(-IFERROR(INDEX(INDIRECT("'"&amp;$C596&amp;"'!$E$63:$Y$63"),1,MATCH($D596,INDIRECT("'"&amp;$C596&amp;"'!$E$12:$Y$12"),0)),0),0),0)</f>
        <v>0</v>
      </c>
      <c r="I596" s="366" t="s">
        <v>1690</v>
      </c>
      <c r="J596" s="348" t="str">
        <f t="shared" ca="1" si="18"/>
        <v>OK</v>
      </c>
      <c r="K596" s="366" t="s">
        <v>1738</v>
      </c>
      <c r="L596" s="366" t="s">
        <v>2260</v>
      </c>
      <c r="M596" s="350" t="str">
        <f>IF($B596="Portfolio","Portfolio",IFERROR(INDEX(DATA_ASSET_CLASSIFICATION!$B$8:$B$24,MATCH($C596,DATA_ASSET_CLASSIFICATION!$A$8:$A$24,0)),"Review"))</f>
        <v>Antkiw Court</v>
      </c>
      <c r="N596" s="350" t="str">
        <f ca="1">IF($B596="Portfolio","Portfolio",IFERROR(INDEX(DATA_ASSET_CLASSIFICATION!$U$8:$U$24,MATCH($C596,DATA_ASSET_CLASSIFICATION!$A$8:$A$24,0)),"Review"))</f>
        <v>Stable</v>
      </c>
      <c r="O596" s="350" t="str">
        <f ca="1">IF($B596="Portfolio","Portfolio",IFERROR(INDEX(DATA_ASSET_CLASSIFICATION!$AB$8:$AB$13,MATCH($N596,DATA_ASSET_CLASSIFICATION!$AA$8:$AA$13,0)),"Review"))</f>
        <v>Bucket 2 · Legacy</v>
      </c>
      <c r="P596" s="350" t="str">
        <f>IF($B596="Portfolio","Portfolio",IFERROR(INDEX(DATA_ASSET_CLASSIFICATION!$C$8:$C$24,MATCH($C596,DATA_ASSET_CLASSIFICATION!$A$8:$A$24,0)),"Review"))</f>
        <v>Yes</v>
      </c>
      <c r="Q596" s="350" t="str">
        <f t="shared" ca="1" si="19"/>
        <v>OK</v>
      </c>
    </row>
    <row r="597" spans="1:17">
      <c r="A597" s="366" t="s">
        <v>2553</v>
      </c>
      <c r="B597" s="366" t="s">
        <v>231</v>
      </c>
      <c r="C597" s="348" t="str">
        <f>DATA_PROPERTY_MASTER!$A$6</f>
        <v>BLD_AC</v>
      </c>
      <c r="D597" s="380">
        <f>'00_PORTFOLIO ROLLUP'!E$12</f>
        <v>2025</v>
      </c>
      <c r="E597" s="366" t="s">
        <v>1741</v>
      </c>
      <c r="F597" s="366" t="s">
        <v>41</v>
      </c>
      <c r="G597" s="348" t="str">
        <f>"'"&amp;$C597&amp;"'!rows 56 + positive row 63"</f>
        <v>'BLD_AC'!rows 56 + positive row 63</v>
      </c>
      <c r="H597" s="381">
        <f ca="1">IF(IFERROR(INDEX(DATA_PROPERTY_MASTER!$E$5:$E$21,MATCH($C597,DATA_PROPERTY_MASTER!$A$5:$A$21,0))="Yes",FALSE),IFERROR(INDEX(INDIRECT("'"&amp;$C597&amp;"'!$E$56:$Y$56"),1,MATCH($D597,INDIRECT("'"&amp;$C597&amp;"'!$E$12:$Y$12"),0)),0)+MAX(IFERROR(INDEX(INDIRECT("'"&amp;$C597&amp;"'!$E$63:$Y$63"),1,MATCH($D597,INDIRECT("'"&amp;$C597&amp;"'!$E$12:$Y$12"),0)),0),0),0)</f>
        <v>47410.543199999986</v>
      </c>
      <c r="I597" s="366" t="s">
        <v>1685</v>
      </c>
      <c r="J597" s="348" t="str">
        <f t="shared" ca="1" si="18"/>
        <v>OK</v>
      </c>
      <c r="K597" s="366" t="s">
        <v>1742</v>
      </c>
      <c r="L597" s="366" t="s">
        <v>2262</v>
      </c>
      <c r="M597" s="350" t="str">
        <f>IF($B597="Portfolio","Portfolio",IFERROR(INDEX(DATA_ASSET_CLASSIFICATION!$B$8:$B$24,MATCH($C597,DATA_ASSET_CLASSIFICATION!$A$8:$A$24,0)),"Review"))</f>
        <v>Antkiw Court</v>
      </c>
      <c r="N597" s="350" t="str">
        <f ca="1">IF($B597="Portfolio","Portfolio",IFERROR(INDEX(DATA_ASSET_CLASSIFICATION!$U$8:$U$24,MATCH($C597,DATA_ASSET_CLASSIFICATION!$A$8:$A$24,0)),"Review"))</f>
        <v>Stable</v>
      </c>
      <c r="O597" s="350" t="str">
        <f ca="1">IF($B597="Portfolio","Portfolio",IFERROR(INDEX(DATA_ASSET_CLASSIFICATION!$AB$8:$AB$13,MATCH($N597,DATA_ASSET_CLASSIFICATION!$AA$8:$AA$13,0)),"Review"))</f>
        <v>Bucket 2 · Legacy</v>
      </c>
      <c r="P597" s="350" t="str">
        <f>IF($B597="Portfolio","Portfolio",IFERROR(INDEX(DATA_ASSET_CLASSIFICATION!$C$8:$C$24,MATCH($C597,DATA_ASSET_CLASSIFICATION!$A$8:$A$24,0)),"Review"))</f>
        <v>Yes</v>
      </c>
      <c r="Q597" s="350" t="str">
        <f t="shared" ca="1" si="19"/>
        <v>OK</v>
      </c>
    </row>
    <row r="598" spans="1:17">
      <c r="A598" s="366" t="s">
        <v>2554</v>
      </c>
      <c r="B598" s="366" t="s">
        <v>231</v>
      </c>
      <c r="C598" s="348" t="str">
        <f>DATA_PROPERTY_MASTER!$A$6</f>
        <v>BLD_AC</v>
      </c>
      <c r="D598" s="380">
        <f>'00_PORTFOLIO ROLLUP'!E$12</f>
        <v>2025</v>
      </c>
      <c r="E598" s="366" t="s">
        <v>1741</v>
      </c>
      <c r="F598" s="366" t="s">
        <v>43</v>
      </c>
      <c r="G598" s="348" t="str">
        <f>"'"&amp;$C598&amp;"'!$E$68:$Y$68"</f>
        <v>'BLD_AC'!$E$68:$Y$68</v>
      </c>
      <c r="H598" s="381">
        <f ca="1">IF(IFERROR(INDEX(DATA_PROPERTY_MASTER!$E$5:$E$21,MATCH($C598,DATA_PROPERTY_MASTER!$A$5:$A$21,0))="Yes",FALSE),IFERROR(INDEX(INDIRECT("'"&amp;$C598&amp;"'!$E$68:$Y$68"),1,MATCH($D598,INDIRECT("'"&amp;$C598&amp;"'!$E$12:$Y$12"),0)),0),0)</f>
        <v>47410.543199999986</v>
      </c>
      <c r="I598" s="366" t="s">
        <v>1731</v>
      </c>
      <c r="J598" s="348" t="str">
        <f t="shared" ca="1" si="18"/>
        <v>OK</v>
      </c>
      <c r="K598" s="366" t="s">
        <v>1746</v>
      </c>
      <c r="L598" s="366" t="s">
        <v>2264</v>
      </c>
      <c r="M598" s="350" t="str">
        <f>IF($B598="Portfolio","Portfolio",IFERROR(INDEX(DATA_ASSET_CLASSIFICATION!$B$8:$B$24,MATCH($C598,DATA_ASSET_CLASSIFICATION!$A$8:$A$24,0)),"Review"))</f>
        <v>Antkiw Court</v>
      </c>
      <c r="N598" s="350" t="str">
        <f ca="1">IF($B598="Portfolio","Portfolio",IFERROR(INDEX(DATA_ASSET_CLASSIFICATION!$U$8:$U$24,MATCH($C598,DATA_ASSET_CLASSIFICATION!$A$8:$A$24,0)),"Review"))</f>
        <v>Stable</v>
      </c>
      <c r="O598" s="350" t="str">
        <f ca="1">IF($B598="Portfolio","Portfolio",IFERROR(INDEX(DATA_ASSET_CLASSIFICATION!$AB$8:$AB$13,MATCH($N598,DATA_ASSET_CLASSIFICATION!$AA$8:$AA$13,0)),"Review"))</f>
        <v>Bucket 2 · Legacy</v>
      </c>
      <c r="P598" s="350" t="str">
        <f>IF($B598="Portfolio","Portfolio",IFERROR(INDEX(DATA_ASSET_CLASSIFICATION!$C$8:$C$24,MATCH($C598,DATA_ASSET_CLASSIFICATION!$A$8:$A$24,0)),"Review"))</f>
        <v>Yes</v>
      </c>
      <c r="Q598" s="350" t="str">
        <f t="shared" ca="1" si="19"/>
        <v>OK</v>
      </c>
    </row>
    <row r="599" spans="1:17">
      <c r="A599" s="366" t="s">
        <v>2555</v>
      </c>
      <c r="B599" s="366" t="s">
        <v>231</v>
      </c>
      <c r="C599" s="348" t="str">
        <f>DATA_PROPERTY_MASTER!$A$6</f>
        <v>BLD_AC</v>
      </c>
      <c r="D599" s="380">
        <f>'00_PORTFOLIO ROLLUP'!E$12</f>
        <v>2025</v>
      </c>
      <c r="E599" s="366" t="s">
        <v>1741</v>
      </c>
      <c r="F599" s="366" t="s">
        <v>1749</v>
      </c>
      <c r="G599" s="348" t="str">
        <f>"'"&amp;$C599&amp;"'!rows 56, 63, 68"</f>
        <v>'BLD_AC'!rows 56, 63, 68</v>
      </c>
      <c r="H599" s="381">
        <f ca="1">IF(IFERROR(INDEX(DATA_PROPERTY_MASTER!$E$5:$E$21,MATCH($C599,DATA_PROPERTY_MASTER!$A$5:$A$21,0))="Yes",FALSE),(IFERROR(INDEX(INDIRECT("'"&amp;$C599&amp;"'!$E$56:$Y$56"),1,MATCH($D599,INDIRECT("'"&amp;$C599&amp;"'!$E$12:$Y$12"),0)),0)+MAX(IFERROR(INDEX(INDIRECT("'"&amp;$C599&amp;"'!$E$63:$Y$63"),1,MATCH($D599,INDIRECT("'"&amp;$C599&amp;"'!$E$12:$Y$12"),0)),0),0))-(IFERROR(INDEX(INDIRECT("'"&amp;$C599&amp;"'!$E$68:$Y$68"),1,MATCH($D599,INDIRECT("'"&amp;$C599&amp;"'!$E$12:$Y$12"),0)),0)),0)</f>
        <v>0</v>
      </c>
      <c r="I599" s="366" t="s">
        <v>1750</v>
      </c>
      <c r="J599" s="348" t="str">
        <f t="shared" ca="1" si="18"/>
        <v>OK</v>
      </c>
      <c r="K599" s="366" t="s">
        <v>1751</v>
      </c>
      <c r="L599" s="366" t="s">
        <v>2266</v>
      </c>
      <c r="M599" s="350" t="str">
        <f>IF($B599="Portfolio","Portfolio",IFERROR(INDEX(DATA_ASSET_CLASSIFICATION!$B$8:$B$24,MATCH($C599,DATA_ASSET_CLASSIFICATION!$A$8:$A$24,0)),"Review"))</f>
        <v>Antkiw Court</v>
      </c>
      <c r="N599" s="350" t="str">
        <f ca="1">IF($B599="Portfolio","Portfolio",IFERROR(INDEX(DATA_ASSET_CLASSIFICATION!$U$8:$U$24,MATCH($C599,DATA_ASSET_CLASSIFICATION!$A$8:$A$24,0)),"Review"))</f>
        <v>Stable</v>
      </c>
      <c r="O599" s="350" t="str">
        <f ca="1">IF($B599="Portfolio","Portfolio",IFERROR(INDEX(DATA_ASSET_CLASSIFICATION!$AB$8:$AB$13,MATCH($N599,DATA_ASSET_CLASSIFICATION!$AA$8:$AA$13,0)),"Review"))</f>
        <v>Bucket 2 · Legacy</v>
      </c>
      <c r="P599" s="350" t="str">
        <f>IF($B599="Portfolio","Portfolio",IFERROR(INDEX(DATA_ASSET_CLASSIFICATION!$C$8:$C$24,MATCH($C599,DATA_ASSET_CLASSIFICATION!$A$8:$A$24,0)),"Review"))</f>
        <v>Yes</v>
      </c>
      <c r="Q599" s="350" t="str">
        <f t="shared" ca="1" si="19"/>
        <v>OK</v>
      </c>
    </row>
    <row r="600" spans="1:17">
      <c r="A600" s="366" t="s">
        <v>2556</v>
      </c>
      <c r="B600" s="366" t="s">
        <v>231</v>
      </c>
      <c r="C600" s="348" t="str">
        <f>DATA_PROPERTY_MASTER!$A$6</f>
        <v>BLD_AC</v>
      </c>
      <c r="D600" s="380">
        <f>'00_PORTFOLIO ROLLUP'!F$12</f>
        <v>2026</v>
      </c>
      <c r="E600" s="366" t="s">
        <v>1683</v>
      </c>
      <c r="F600" s="366" t="s">
        <v>341</v>
      </c>
      <c r="G600" s="348" t="str">
        <f>"'"&amp;$C600&amp;"'!$E$24:$Y$24"</f>
        <v>'BLD_AC'!$E$24:$Y$24</v>
      </c>
      <c r="H600" s="381">
        <f ca="1">IF(IFERROR(INDEX(DATA_PROPERTY_MASTER!$E$5:$E$21,MATCH($C600,DATA_PROPERTY_MASTER!$A$5:$A$21,0))="Yes",FALSE),IFERROR(INDEX(INDIRECT("'"&amp;$C600&amp;"'!$E$24:$Y$24"),1,MATCH($D600,INDIRECT("'"&amp;$C600&amp;"'!$E$12:$Y$12"),0)),0),0)</f>
        <v>328807.38515999995</v>
      </c>
      <c r="I600" s="366" t="s">
        <v>1685</v>
      </c>
      <c r="J600" s="348" t="str">
        <f t="shared" ca="1" si="18"/>
        <v>OK</v>
      </c>
      <c r="K600" s="366" t="s">
        <v>1686</v>
      </c>
      <c r="L600" s="366" t="s">
        <v>2234</v>
      </c>
      <c r="M600" s="350" t="str">
        <f>IF($B600="Portfolio","Portfolio",IFERROR(INDEX(DATA_ASSET_CLASSIFICATION!$B$8:$B$24,MATCH($C600,DATA_ASSET_CLASSIFICATION!$A$8:$A$24,0)),"Review"))</f>
        <v>Antkiw Court</v>
      </c>
      <c r="N600" s="350" t="str">
        <f ca="1">IF($B600="Portfolio","Portfolio",IFERROR(INDEX(DATA_ASSET_CLASSIFICATION!$U$8:$U$24,MATCH($C600,DATA_ASSET_CLASSIFICATION!$A$8:$A$24,0)),"Review"))</f>
        <v>Stable</v>
      </c>
      <c r="O600" s="350" t="str">
        <f ca="1">IF($B600="Portfolio","Portfolio",IFERROR(INDEX(DATA_ASSET_CLASSIFICATION!$AB$8:$AB$13,MATCH($N600,DATA_ASSET_CLASSIFICATION!$AA$8:$AA$13,0)),"Review"))</f>
        <v>Bucket 2 · Legacy</v>
      </c>
      <c r="P600" s="350" t="str">
        <f>IF($B600="Portfolio","Portfolio",IFERROR(INDEX(DATA_ASSET_CLASSIFICATION!$C$8:$C$24,MATCH($C600,DATA_ASSET_CLASSIFICATION!$A$8:$A$24,0)),"Review"))</f>
        <v>Yes</v>
      </c>
      <c r="Q600" s="350" t="str">
        <f t="shared" ca="1" si="19"/>
        <v>OK</v>
      </c>
    </row>
    <row r="601" spans="1:17">
      <c r="A601" s="366" t="s">
        <v>2557</v>
      </c>
      <c r="B601" s="366" t="s">
        <v>231</v>
      </c>
      <c r="C601" s="348" t="str">
        <f>DATA_PROPERTY_MASTER!$A$6</f>
        <v>BLD_AC</v>
      </c>
      <c r="D601" s="380">
        <f>'00_PORTFOLIO ROLLUP'!F$12</f>
        <v>2026</v>
      </c>
      <c r="E601" s="366" t="s">
        <v>1683</v>
      </c>
      <c r="F601" s="366" t="s">
        <v>355</v>
      </c>
      <c r="G601" s="348" t="str">
        <f>"'"&amp;$C601&amp;"'!$E$39:$Y$39"</f>
        <v>'BLD_AC'!$E$39:$Y$39</v>
      </c>
      <c r="H601" s="381">
        <f ca="1">IF(IFERROR(INDEX(DATA_PROPERTY_MASTER!$E$5:$E$21,MATCH($C601,DATA_PROPERTY_MASTER!$A$5:$A$21,0))="Yes",FALSE),IFERROR(INDEX(INDIRECT("'"&amp;$C601&amp;"'!$E$39:$Y$39"),1,MATCH($D601,INDIRECT("'"&amp;$C601&amp;"'!$E$12:$Y$12"),0)),0),0)</f>
        <v>156591.76</v>
      </c>
      <c r="I601" s="366" t="s">
        <v>1690</v>
      </c>
      <c r="J601" s="348" t="str">
        <f t="shared" ca="1" si="18"/>
        <v>OK</v>
      </c>
      <c r="K601" s="366" t="s">
        <v>1686</v>
      </c>
      <c r="L601" s="366" t="s">
        <v>2236</v>
      </c>
      <c r="M601" s="350" t="str">
        <f>IF($B601="Portfolio","Portfolio",IFERROR(INDEX(DATA_ASSET_CLASSIFICATION!$B$8:$B$24,MATCH($C601,DATA_ASSET_CLASSIFICATION!$A$8:$A$24,0)),"Review"))</f>
        <v>Antkiw Court</v>
      </c>
      <c r="N601" s="350" t="str">
        <f ca="1">IF($B601="Portfolio","Portfolio",IFERROR(INDEX(DATA_ASSET_CLASSIFICATION!$U$8:$U$24,MATCH($C601,DATA_ASSET_CLASSIFICATION!$A$8:$A$24,0)),"Review"))</f>
        <v>Stable</v>
      </c>
      <c r="O601" s="350" t="str">
        <f ca="1">IF($B601="Portfolio","Portfolio",IFERROR(INDEX(DATA_ASSET_CLASSIFICATION!$AB$8:$AB$13,MATCH($N601,DATA_ASSET_CLASSIFICATION!$AA$8:$AA$13,0)),"Review"))</f>
        <v>Bucket 2 · Legacy</v>
      </c>
      <c r="P601" s="350" t="str">
        <f>IF($B601="Portfolio","Portfolio",IFERROR(INDEX(DATA_ASSET_CLASSIFICATION!$C$8:$C$24,MATCH($C601,DATA_ASSET_CLASSIFICATION!$A$8:$A$24,0)),"Review"))</f>
        <v>Yes</v>
      </c>
      <c r="Q601" s="350" t="str">
        <f t="shared" ca="1" si="19"/>
        <v>OK</v>
      </c>
    </row>
    <row r="602" spans="1:17">
      <c r="A602" s="366" t="s">
        <v>2558</v>
      </c>
      <c r="B602" s="366" t="s">
        <v>231</v>
      </c>
      <c r="C602" s="348" t="str">
        <f>DATA_PROPERTY_MASTER!$A$6</f>
        <v>BLD_AC</v>
      </c>
      <c r="D602" s="380">
        <f>'00_PORTFOLIO ROLLUP'!F$12</f>
        <v>2026</v>
      </c>
      <c r="E602" s="366" t="s">
        <v>1683</v>
      </c>
      <c r="F602" s="366" t="s">
        <v>19</v>
      </c>
      <c r="G602" s="348" t="str">
        <f>"'"&amp;$C602&amp;"'!$E$41:$Y$41"</f>
        <v>'BLD_AC'!$E$41:$Y$41</v>
      </c>
      <c r="H602" s="381">
        <f ca="1">IF(IFERROR(INDEX(DATA_PROPERTY_MASTER!$E$5:$E$21,MATCH($C602,DATA_PROPERTY_MASTER!$A$5:$A$21,0))="Yes",FALSE),IFERROR(INDEX(INDIRECT("'"&amp;$C602&amp;"'!$E$41:$Y$41"),1,MATCH($D602,INDIRECT("'"&amp;$C602&amp;"'!$E$12:$Y$12"),0)),0),0)</f>
        <v>172215.62515999994</v>
      </c>
      <c r="I602" s="366" t="s">
        <v>1685</v>
      </c>
      <c r="J602" s="348" t="str">
        <f t="shared" ca="1" si="18"/>
        <v>OK</v>
      </c>
      <c r="K602" s="366" t="s">
        <v>1694</v>
      </c>
      <c r="L602" s="366" t="s">
        <v>2238</v>
      </c>
      <c r="M602" s="350" t="str">
        <f>IF($B602="Portfolio","Portfolio",IFERROR(INDEX(DATA_ASSET_CLASSIFICATION!$B$8:$B$24,MATCH($C602,DATA_ASSET_CLASSIFICATION!$A$8:$A$24,0)),"Review"))</f>
        <v>Antkiw Court</v>
      </c>
      <c r="N602" s="350" t="str">
        <f ca="1">IF($B602="Portfolio","Portfolio",IFERROR(INDEX(DATA_ASSET_CLASSIFICATION!$U$8:$U$24,MATCH($C602,DATA_ASSET_CLASSIFICATION!$A$8:$A$24,0)),"Review"))</f>
        <v>Stable</v>
      </c>
      <c r="O602" s="350" t="str">
        <f ca="1">IF($B602="Portfolio","Portfolio",IFERROR(INDEX(DATA_ASSET_CLASSIFICATION!$AB$8:$AB$13,MATCH($N602,DATA_ASSET_CLASSIFICATION!$AA$8:$AA$13,0)),"Review"))</f>
        <v>Bucket 2 · Legacy</v>
      </c>
      <c r="P602" s="350" t="str">
        <f>IF($B602="Portfolio","Portfolio",IFERROR(INDEX(DATA_ASSET_CLASSIFICATION!$C$8:$C$24,MATCH($C602,DATA_ASSET_CLASSIFICATION!$A$8:$A$24,0)),"Review"))</f>
        <v>Yes</v>
      </c>
      <c r="Q602" s="350" t="str">
        <f t="shared" ca="1" si="19"/>
        <v>OK</v>
      </c>
    </row>
    <row r="603" spans="1:17">
      <c r="A603" s="366" t="s">
        <v>2559</v>
      </c>
      <c r="B603" s="366" t="s">
        <v>231</v>
      </c>
      <c r="C603" s="348" t="str">
        <f>DATA_PROPERTY_MASTER!$A$6</f>
        <v>BLD_AC</v>
      </c>
      <c r="D603" s="380">
        <f>'00_PORTFOLIO ROLLUP'!F$12</f>
        <v>2026</v>
      </c>
      <c r="E603" s="366" t="s">
        <v>1683</v>
      </c>
      <c r="F603" s="366" t="s">
        <v>1697</v>
      </c>
      <c r="G603" s="348" t="str">
        <f>"'"&amp;$C603&amp;"'!$E$44:$Y$44"</f>
        <v>'BLD_AC'!$E$44:$Y$44</v>
      </c>
      <c r="H603" s="381">
        <f ca="1">IF(IFERROR(INDEX(DATA_PROPERTY_MASTER!$E$5:$E$21,MATCH($C603,DATA_PROPERTY_MASTER!$A$5:$A$21,0))="Yes",FALSE),IFERROR(INDEX(INDIRECT("'"&amp;$C603&amp;"'!$E$44:$Y$44"),1,MATCH($D603,INDIRECT("'"&amp;$C603&amp;"'!$E$12:$Y$12"),0)),0),0)</f>
        <v>3213</v>
      </c>
      <c r="I603" s="366" t="s">
        <v>1690</v>
      </c>
      <c r="J603" s="348" t="str">
        <f t="shared" ca="1" si="18"/>
        <v>OK</v>
      </c>
      <c r="K603" s="366" t="s">
        <v>1699</v>
      </c>
      <c r="L603" s="366" t="s">
        <v>2240</v>
      </c>
      <c r="M603" s="350" t="str">
        <f>IF($B603="Portfolio","Portfolio",IFERROR(INDEX(DATA_ASSET_CLASSIFICATION!$B$8:$B$24,MATCH($C603,DATA_ASSET_CLASSIFICATION!$A$8:$A$24,0)),"Review"))</f>
        <v>Antkiw Court</v>
      </c>
      <c r="N603" s="350" t="str">
        <f ca="1">IF($B603="Portfolio","Portfolio",IFERROR(INDEX(DATA_ASSET_CLASSIFICATION!$U$8:$U$24,MATCH($C603,DATA_ASSET_CLASSIFICATION!$A$8:$A$24,0)),"Review"))</f>
        <v>Stable</v>
      </c>
      <c r="O603" s="350" t="str">
        <f ca="1">IF($B603="Portfolio","Portfolio",IFERROR(INDEX(DATA_ASSET_CLASSIFICATION!$AB$8:$AB$13,MATCH($N603,DATA_ASSET_CLASSIFICATION!$AA$8:$AA$13,0)),"Review"))</f>
        <v>Bucket 2 · Legacy</v>
      </c>
      <c r="P603" s="350" t="str">
        <f>IF($B603="Portfolio","Portfolio",IFERROR(INDEX(DATA_ASSET_CLASSIFICATION!$C$8:$C$24,MATCH($C603,DATA_ASSET_CLASSIFICATION!$A$8:$A$24,0)),"Review"))</f>
        <v>Yes</v>
      </c>
      <c r="Q603" s="350" t="str">
        <f t="shared" ca="1" si="19"/>
        <v>OK</v>
      </c>
    </row>
    <row r="604" spans="1:17">
      <c r="A604" s="366" t="s">
        <v>2560</v>
      </c>
      <c r="B604" s="366" t="s">
        <v>231</v>
      </c>
      <c r="C604" s="348" t="str">
        <f>DATA_PROPERTY_MASTER!$A$6</f>
        <v>BLD_AC</v>
      </c>
      <c r="D604" s="380">
        <f>'00_PORTFOLIO ROLLUP'!F$12</f>
        <v>2026</v>
      </c>
      <c r="E604" s="366" t="s">
        <v>1683</v>
      </c>
      <c r="F604" s="366" t="s">
        <v>21</v>
      </c>
      <c r="G604" s="348" t="str">
        <f>"'"&amp;$C604&amp;"'!$E$45:$Y$45"</f>
        <v>'BLD_AC'!$E$45:$Y$45</v>
      </c>
      <c r="H604" s="381">
        <f ca="1">IF(IFERROR(INDEX(DATA_PROPERTY_MASTER!$E$5:$E$21,MATCH($C604,DATA_PROPERTY_MASTER!$A$5:$A$21,0))="Yes",FALSE),IFERROR(INDEX(INDIRECT("'"&amp;$C604&amp;"'!$E$45:$Y$45"),1,MATCH($D604,INDIRECT("'"&amp;$C604&amp;"'!$E$12:$Y$12"),0)),0),0)</f>
        <v>169002.62515999994</v>
      </c>
      <c r="I604" s="366" t="s">
        <v>1685</v>
      </c>
      <c r="J604" s="348" t="str">
        <f t="shared" ca="1" si="18"/>
        <v>OK</v>
      </c>
      <c r="K604" s="366" t="s">
        <v>1694</v>
      </c>
      <c r="L604" s="366" t="s">
        <v>2242</v>
      </c>
      <c r="M604" s="350" t="str">
        <f>IF($B604="Portfolio","Portfolio",IFERROR(INDEX(DATA_ASSET_CLASSIFICATION!$B$8:$B$24,MATCH($C604,DATA_ASSET_CLASSIFICATION!$A$8:$A$24,0)),"Review"))</f>
        <v>Antkiw Court</v>
      </c>
      <c r="N604" s="350" t="str">
        <f ca="1">IF($B604="Portfolio","Portfolio",IFERROR(INDEX(DATA_ASSET_CLASSIFICATION!$U$8:$U$24,MATCH($C604,DATA_ASSET_CLASSIFICATION!$A$8:$A$24,0)),"Review"))</f>
        <v>Stable</v>
      </c>
      <c r="O604" s="350" t="str">
        <f ca="1">IF($B604="Portfolio","Portfolio",IFERROR(INDEX(DATA_ASSET_CLASSIFICATION!$AB$8:$AB$13,MATCH($N604,DATA_ASSET_CLASSIFICATION!$AA$8:$AA$13,0)),"Review"))</f>
        <v>Bucket 2 · Legacy</v>
      </c>
      <c r="P604" s="350" t="str">
        <f>IF($B604="Portfolio","Portfolio",IFERROR(INDEX(DATA_ASSET_CLASSIFICATION!$C$8:$C$24,MATCH($C604,DATA_ASSET_CLASSIFICATION!$A$8:$A$24,0)),"Review"))</f>
        <v>Yes</v>
      </c>
      <c r="Q604" s="350" t="str">
        <f t="shared" ca="1" si="19"/>
        <v>OK</v>
      </c>
    </row>
    <row r="605" spans="1:17">
      <c r="A605" s="366" t="s">
        <v>2561</v>
      </c>
      <c r="B605" s="366" t="s">
        <v>231</v>
      </c>
      <c r="C605" s="348" t="str">
        <f>DATA_PROPERTY_MASTER!$A$6</f>
        <v>BLD_AC</v>
      </c>
      <c r="D605" s="380">
        <f>'00_PORTFOLIO ROLLUP'!F$12</f>
        <v>2026</v>
      </c>
      <c r="E605" s="366" t="s">
        <v>23</v>
      </c>
      <c r="F605" s="366" t="s">
        <v>23</v>
      </c>
      <c r="G605" s="348" t="str">
        <f>"'"&amp;$C605&amp;"'!$E$48:$Y$48"</f>
        <v>'BLD_AC'!$E$48:$Y$48</v>
      </c>
      <c r="H605" s="381">
        <f ca="1">IF(IFERROR(INDEX(DATA_PROPERTY_MASTER!$E$5:$E$21,MATCH($C605,DATA_PROPERTY_MASTER!$A$5:$A$21,0))="Yes",FALSE),IFERROR(INDEX(INDIRECT("'"&amp;$C605&amp;"'!$E$48:$Y$48"),1,MATCH($D605,INDIRECT("'"&amp;$C605&amp;"'!$E$12:$Y$12"),0)),0),0)</f>
        <v>54330.12</v>
      </c>
      <c r="I605" s="366" t="s">
        <v>1690</v>
      </c>
      <c r="J605" s="348" t="str">
        <f t="shared" ca="1" si="18"/>
        <v>OK</v>
      </c>
      <c r="K605" s="366" t="s">
        <v>1706</v>
      </c>
      <c r="L605" s="366" t="s">
        <v>2244</v>
      </c>
      <c r="M605" s="350" t="str">
        <f>IF($B605="Portfolio","Portfolio",IFERROR(INDEX(DATA_ASSET_CLASSIFICATION!$B$8:$B$24,MATCH($C605,DATA_ASSET_CLASSIFICATION!$A$8:$A$24,0)),"Review"))</f>
        <v>Antkiw Court</v>
      </c>
      <c r="N605" s="350" t="str">
        <f ca="1">IF($B605="Portfolio","Portfolio",IFERROR(INDEX(DATA_ASSET_CLASSIFICATION!$U$8:$U$24,MATCH($C605,DATA_ASSET_CLASSIFICATION!$A$8:$A$24,0)),"Review"))</f>
        <v>Stable</v>
      </c>
      <c r="O605" s="350" t="str">
        <f ca="1">IF($B605="Portfolio","Portfolio",IFERROR(INDEX(DATA_ASSET_CLASSIFICATION!$AB$8:$AB$13,MATCH($N605,DATA_ASSET_CLASSIFICATION!$AA$8:$AA$13,0)),"Review"))</f>
        <v>Bucket 2 · Legacy</v>
      </c>
      <c r="P605" s="350" t="str">
        <f>IF($B605="Portfolio","Portfolio",IFERROR(INDEX(DATA_ASSET_CLASSIFICATION!$C$8:$C$24,MATCH($C605,DATA_ASSET_CLASSIFICATION!$A$8:$A$24,0)),"Review"))</f>
        <v>Yes</v>
      </c>
      <c r="Q605" s="350" t="str">
        <f t="shared" ca="1" si="19"/>
        <v>OK</v>
      </c>
    </row>
    <row r="606" spans="1:17">
      <c r="A606" s="366" t="s">
        <v>2562</v>
      </c>
      <c r="B606" s="366" t="s">
        <v>231</v>
      </c>
      <c r="C606" s="348" t="str">
        <f>DATA_PROPERTY_MASTER!$A$6</f>
        <v>BLD_AC</v>
      </c>
      <c r="D606" s="380">
        <f>'00_PORTFOLIO ROLLUP'!F$12</f>
        <v>2026</v>
      </c>
      <c r="E606" s="366" t="s">
        <v>1683</v>
      </c>
      <c r="F606" s="366" t="s">
        <v>25</v>
      </c>
      <c r="G606" s="348" t="str">
        <f>"'"&amp;$C606&amp;"'!$E$52:$Y$52"</f>
        <v>'BLD_AC'!$E$52:$Y$52</v>
      </c>
      <c r="H606" s="381">
        <f ca="1">IF(IFERROR(INDEX(DATA_PROPERTY_MASTER!$E$5:$E$21,MATCH($C606,DATA_PROPERTY_MASTER!$A$5:$A$21,0))="Yes",FALSE),IFERROR(INDEX(INDIRECT("'"&amp;$C606&amp;"'!$E$52:$Y$52"),1,MATCH($D606,INDIRECT("'"&amp;$C606&amp;"'!$E$12:$Y$12"),0)),0),0)</f>
        <v>117885.50515999994</v>
      </c>
      <c r="I606" s="366" t="s">
        <v>1685</v>
      </c>
      <c r="J606" s="348" t="str">
        <f t="shared" ca="1" si="18"/>
        <v>OK</v>
      </c>
      <c r="K606" s="366" t="s">
        <v>1710</v>
      </c>
      <c r="L606" s="366" t="s">
        <v>2246</v>
      </c>
      <c r="M606" s="350" t="str">
        <f>IF($B606="Portfolio","Portfolio",IFERROR(INDEX(DATA_ASSET_CLASSIFICATION!$B$8:$B$24,MATCH($C606,DATA_ASSET_CLASSIFICATION!$A$8:$A$24,0)),"Review"))</f>
        <v>Antkiw Court</v>
      </c>
      <c r="N606" s="350" t="str">
        <f ca="1">IF($B606="Portfolio","Portfolio",IFERROR(INDEX(DATA_ASSET_CLASSIFICATION!$U$8:$U$24,MATCH($C606,DATA_ASSET_CLASSIFICATION!$A$8:$A$24,0)),"Review"))</f>
        <v>Stable</v>
      </c>
      <c r="O606" s="350" t="str">
        <f ca="1">IF($B606="Portfolio","Portfolio",IFERROR(INDEX(DATA_ASSET_CLASSIFICATION!$AB$8:$AB$13,MATCH($N606,DATA_ASSET_CLASSIFICATION!$AA$8:$AA$13,0)),"Review"))</f>
        <v>Bucket 2 · Legacy</v>
      </c>
      <c r="P606" s="350" t="str">
        <f>IF($B606="Portfolio","Portfolio",IFERROR(INDEX(DATA_ASSET_CLASSIFICATION!$C$8:$C$24,MATCH($C606,DATA_ASSET_CLASSIFICATION!$A$8:$A$24,0)),"Review"))</f>
        <v>Yes</v>
      </c>
      <c r="Q606" s="350" t="str">
        <f t="shared" ca="1" si="19"/>
        <v>OK</v>
      </c>
    </row>
    <row r="607" spans="1:17">
      <c r="A607" s="366" t="s">
        <v>2563</v>
      </c>
      <c r="B607" s="366" t="s">
        <v>231</v>
      </c>
      <c r="C607" s="348" t="str">
        <f>DATA_PROPERTY_MASTER!$A$6</f>
        <v>BLD_AC</v>
      </c>
      <c r="D607" s="380">
        <f>'00_PORTFOLIO ROLLUP'!F$12</f>
        <v>2026</v>
      </c>
      <c r="E607" s="366" t="s">
        <v>1683</v>
      </c>
      <c r="F607" s="366" t="s">
        <v>27</v>
      </c>
      <c r="G607" s="348" t="str">
        <f>"'"&amp;$C607&amp;"'!$E$54:$Y$54"</f>
        <v>'BLD_AC'!$E$54:$Y$54</v>
      </c>
      <c r="H607" s="381">
        <f ca="1">IF(IFERROR(INDEX(DATA_PROPERTY_MASTER!$E$5:$E$21,MATCH($C607,DATA_PROPERTY_MASTER!$A$5:$A$21,0))="Yes",FALSE),IFERROR(INDEX(INDIRECT("'"&amp;$C607&amp;"'!$E$54:$Y$54"),1,MATCH($D607,INDIRECT("'"&amp;$C607&amp;"'!$E$12:$Y$12"),0)),0),0)</f>
        <v>70731.30309599996</v>
      </c>
      <c r="I607" s="366" t="s">
        <v>1690</v>
      </c>
      <c r="J607" s="348" t="str">
        <f t="shared" ca="1" si="18"/>
        <v>OK</v>
      </c>
      <c r="K607" s="366" t="s">
        <v>1714</v>
      </c>
      <c r="L607" s="366" t="s">
        <v>2248</v>
      </c>
      <c r="M607" s="350" t="str">
        <f>IF($B607="Portfolio","Portfolio",IFERROR(INDEX(DATA_ASSET_CLASSIFICATION!$B$8:$B$24,MATCH($C607,DATA_ASSET_CLASSIFICATION!$A$8:$A$24,0)),"Review"))</f>
        <v>Antkiw Court</v>
      </c>
      <c r="N607" s="350" t="str">
        <f ca="1">IF($B607="Portfolio","Portfolio",IFERROR(INDEX(DATA_ASSET_CLASSIFICATION!$U$8:$U$24,MATCH($C607,DATA_ASSET_CLASSIFICATION!$A$8:$A$24,0)),"Review"))</f>
        <v>Stable</v>
      </c>
      <c r="O607" s="350" t="str">
        <f ca="1">IF($B607="Portfolio","Portfolio",IFERROR(INDEX(DATA_ASSET_CLASSIFICATION!$AB$8:$AB$13,MATCH($N607,DATA_ASSET_CLASSIFICATION!$AA$8:$AA$13,0)),"Review"))</f>
        <v>Bucket 2 · Legacy</v>
      </c>
      <c r="P607" s="350" t="str">
        <f>IF($B607="Portfolio","Portfolio",IFERROR(INDEX(DATA_ASSET_CLASSIFICATION!$C$8:$C$24,MATCH($C607,DATA_ASSET_CLASSIFICATION!$A$8:$A$24,0)),"Review"))</f>
        <v>Yes</v>
      </c>
      <c r="Q607" s="350" t="str">
        <f t="shared" ca="1" si="19"/>
        <v>OK</v>
      </c>
    </row>
    <row r="608" spans="1:17">
      <c r="A608" s="366" t="s">
        <v>2564</v>
      </c>
      <c r="B608" s="366" t="s">
        <v>231</v>
      </c>
      <c r="C608" s="348" t="str">
        <f>DATA_PROPERTY_MASTER!$A$6</f>
        <v>BLD_AC</v>
      </c>
      <c r="D608" s="380">
        <f>'00_PORTFOLIO ROLLUP'!F$12</f>
        <v>2026</v>
      </c>
      <c r="E608" s="366" t="s">
        <v>1683</v>
      </c>
      <c r="F608" s="366" t="s">
        <v>29</v>
      </c>
      <c r="G608" s="348" t="str">
        <f>"'"&amp;$C608&amp;"'!$E$56:$Y$56"</f>
        <v>'BLD_AC'!$E$56:$Y$56</v>
      </c>
      <c r="H608" s="381">
        <f ca="1">IF(IFERROR(INDEX(DATA_PROPERTY_MASTER!$E$5:$E$21,MATCH($C608,DATA_PROPERTY_MASTER!$A$5:$A$21,0))="Yes",FALSE),IFERROR(INDEX(INDIRECT("'"&amp;$C608&amp;"'!$E$56:$Y$56"),1,MATCH($D608,INDIRECT("'"&amp;$C608&amp;"'!$E$12:$Y$12"),0)),0),0)</f>
        <v>47154.202063999983</v>
      </c>
      <c r="I608" s="366" t="s">
        <v>1685</v>
      </c>
      <c r="J608" s="348" t="str">
        <f t="shared" ca="1" si="18"/>
        <v>OK</v>
      </c>
      <c r="K608" s="366" t="s">
        <v>1718</v>
      </c>
      <c r="L608" s="366" t="s">
        <v>2250</v>
      </c>
      <c r="M608" s="350" t="str">
        <f>IF($B608="Portfolio","Portfolio",IFERROR(INDEX(DATA_ASSET_CLASSIFICATION!$B$8:$B$24,MATCH($C608,DATA_ASSET_CLASSIFICATION!$A$8:$A$24,0)),"Review"))</f>
        <v>Antkiw Court</v>
      </c>
      <c r="N608" s="350" t="str">
        <f ca="1">IF($B608="Portfolio","Portfolio",IFERROR(INDEX(DATA_ASSET_CLASSIFICATION!$U$8:$U$24,MATCH($C608,DATA_ASSET_CLASSIFICATION!$A$8:$A$24,0)),"Review"))</f>
        <v>Stable</v>
      </c>
      <c r="O608" s="350" t="str">
        <f ca="1">IF($B608="Portfolio","Portfolio",IFERROR(INDEX(DATA_ASSET_CLASSIFICATION!$AB$8:$AB$13,MATCH($N608,DATA_ASSET_CLASSIFICATION!$AA$8:$AA$13,0)),"Review"))</f>
        <v>Bucket 2 · Legacy</v>
      </c>
      <c r="P608" s="350" t="str">
        <f>IF($B608="Portfolio","Portfolio",IFERROR(INDEX(DATA_ASSET_CLASSIFICATION!$C$8:$C$24,MATCH($C608,DATA_ASSET_CLASSIFICATION!$A$8:$A$24,0)),"Review"))</f>
        <v>Yes</v>
      </c>
      <c r="Q608" s="350" t="str">
        <f t="shared" ca="1" si="19"/>
        <v>OK</v>
      </c>
    </row>
    <row r="609" spans="1:17">
      <c r="A609" s="366" t="s">
        <v>2565</v>
      </c>
      <c r="B609" s="366" t="s">
        <v>231</v>
      </c>
      <c r="C609" s="348" t="str">
        <f>DATA_PROPERTY_MASTER!$A$6</f>
        <v>BLD_AC</v>
      </c>
      <c r="D609" s="380">
        <f>'00_PORTFOLIO ROLLUP'!F$12</f>
        <v>2026</v>
      </c>
      <c r="E609" s="366" t="s">
        <v>1721</v>
      </c>
      <c r="F609" s="366" t="s">
        <v>31</v>
      </c>
      <c r="G609" s="348" t="str">
        <f>"'"&amp;$C609&amp;"'!$E$61:$Y$61"</f>
        <v>'BLD_AC'!$E$61:$Y$61</v>
      </c>
      <c r="H609" s="381">
        <f ca="1">IF(IFERROR(INDEX(DATA_PROPERTY_MASTER!$E$5:$E$21,MATCH($C609,DATA_PROPERTY_MASTER!$A$5:$A$21,0))="Yes",FALSE),IFERROR(INDEX(INDIRECT("'"&amp;$C609&amp;"'!$E$61:$Y$61"),1,MATCH($D609,INDIRECT("'"&amp;$C609&amp;"'!$E$12:$Y$12"),0)),0),0)</f>
        <v>0</v>
      </c>
      <c r="I609" s="366" t="s">
        <v>1690</v>
      </c>
      <c r="J609" s="348" t="str">
        <f t="shared" ca="1" si="18"/>
        <v>OK</v>
      </c>
      <c r="K609" s="366" t="s">
        <v>1723</v>
      </c>
      <c r="L609" s="366" t="s">
        <v>2252</v>
      </c>
      <c r="M609" s="350" t="str">
        <f>IF($B609="Portfolio","Portfolio",IFERROR(INDEX(DATA_ASSET_CLASSIFICATION!$B$8:$B$24,MATCH($C609,DATA_ASSET_CLASSIFICATION!$A$8:$A$24,0)),"Review"))</f>
        <v>Antkiw Court</v>
      </c>
      <c r="N609" s="350" t="str">
        <f ca="1">IF($B609="Portfolio","Portfolio",IFERROR(INDEX(DATA_ASSET_CLASSIFICATION!$U$8:$U$24,MATCH($C609,DATA_ASSET_CLASSIFICATION!$A$8:$A$24,0)),"Review"))</f>
        <v>Stable</v>
      </c>
      <c r="O609" s="350" t="str">
        <f ca="1">IF($B609="Portfolio","Portfolio",IFERROR(INDEX(DATA_ASSET_CLASSIFICATION!$AB$8:$AB$13,MATCH($N609,DATA_ASSET_CLASSIFICATION!$AA$8:$AA$13,0)),"Review"))</f>
        <v>Bucket 2 · Legacy</v>
      </c>
      <c r="P609" s="350" t="str">
        <f>IF($B609="Portfolio","Portfolio",IFERROR(INDEX(DATA_ASSET_CLASSIFICATION!$C$8:$C$24,MATCH($C609,DATA_ASSET_CLASSIFICATION!$A$8:$A$24,0)),"Review"))</f>
        <v>Yes</v>
      </c>
      <c r="Q609" s="350" t="str">
        <f t="shared" ca="1" si="19"/>
        <v>OK</v>
      </c>
    </row>
    <row r="610" spans="1:17">
      <c r="A610" s="366" t="s">
        <v>2566</v>
      </c>
      <c r="B610" s="366" t="s">
        <v>231</v>
      </c>
      <c r="C610" s="348" t="str">
        <f>DATA_PROPERTY_MASTER!$A$6</f>
        <v>BLD_AC</v>
      </c>
      <c r="D610" s="380">
        <f>'00_PORTFOLIO ROLLUP'!F$12</f>
        <v>2026</v>
      </c>
      <c r="E610" s="366" t="s">
        <v>1721</v>
      </c>
      <c r="F610" s="366" t="s">
        <v>33</v>
      </c>
      <c r="G610" s="348" t="str">
        <f>"'"&amp;$C610&amp;"'!$E$62:$Y$62"</f>
        <v>'BLD_AC'!$E$62:$Y$62</v>
      </c>
      <c r="H610" s="381">
        <f ca="1">IF(IFERROR(INDEX(DATA_PROPERTY_MASTER!$E$5:$E$21,MATCH($C610,DATA_PROPERTY_MASTER!$A$5:$A$21,0))="Yes",FALSE),IFERROR(INDEX(INDIRECT("'"&amp;$C610&amp;"'!$E$62:$Y$62"),1,MATCH($D610,INDIRECT("'"&amp;$C610&amp;"'!$E$12:$Y$12"),0)),0),0)</f>
        <v>0</v>
      </c>
      <c r="I610" s="366" t="s">
        <v>1685</v>
      </c>
      <c r="J610" s="348" t="str">
        <f t="shared" ca="1" si="18"/>
        <v>OK</v>
      </c>
      <c r="K610" s="366" t="s">
        <v>1727</v>
      </c>
      <c r="L610" s="366" t="s">
        <v>2254</v>
      </c>
      <c r="M610" s="350" t="str">
        <f>IF($B610="Portfolio","Portfolio",IFERROR(INDEX(DATA_ASSET_CLASSIFICATION!$B$8:$B$24,MATCH($C610,DATA_ASSET_CLASSIFICATION!$A$8:$A$24,0)),"Review"))</f>
        <v>Antkiw Court</v>
      </c>
      <c r="N610" s="350" t="str">
        <f ca="1">IF($B610="Portfolio","Portfolio",IFERROR(INDEX(DATA_ASSET_CLASSIFICATION!$U$8:$U$24,MATCH($C610,DATA_ASSET_CLASSIFICATION!$A$8:$A$24,0)),"Review"))</f>
        <v>Stable</v>
      </c>
      <c r="O610" s="350" t="str">
        <f ca="1">IF($B610="Portfolio","Portfolio",IFERROR(INDEX(DATA_ASSET_CLASSIFICATION!$AB$8:$AB$13,MATCH($N610,DATA_ASSET_CLASSIFICATION!$AA$8:$AA$13,0)),"Review"))</f>
        <v>Bucket 2 · Legacy</v>
      </c>
      <c r="P610" s="350" t="str">
        <f>IF($B610="Portfolio","Portfolio",IFERROR(INDEX(DATA_ASSET_CLASSIFICATION!$C$8:$C$24,MATCH($C610,DATA_ASSET_CLASSIFICATION!$A$8:$A$24,0)),"Review"))</f>
        <v>Yes</v>
      </c>
      <c r="Q610" s="350" t="str">
        <f t="shared" ca="1" si="19"/>
        <v>OK</v>
      </c>
    </row>
    <row r="611" spans="1:17">
      <c r="A611" s="366" t="s">
        <v>2567</v>
      </c>
      <c r="B611" s="366" t="s">
        <v>231</v>
      </c>
      <c r="C611" s="348" t="str">
        <f>DATA_PROPERTY_MASTER!$A$6</f>
        <v>BLD_AC</v>
      </c>
      <c r="D611" s="380">
        <f>'00_PORTFOLIO ROLLUP'!F$12</f>
        <v>2026</v>
      </c>
      <c r="E611" s="366" t="s">
        <v>1721</v>
      </c>
      <c r="F611" s="366" t="s">
        <v>35</v>
      </c>
      <c r="G611" s="348" t="str">
        <f>"'"&amp;$C611&amp;"'!$E$63:$Y$63"</f>
        <v>'BLD_AC'!$E$63:$Y$63</v>
      </c>
      <c r="H611" s="381">
        <f ca="1">IF(IFERROR(INDEX(DATA_PROPERTY_MASTER!$E$5:$E$21,MATCH($C611,DATA_PROPERTY_MASTER!$A$5:$A$21,0))="Yes",FALSE),IFERROR(INDEX(INDIRECT("'"&amp;$C611&amp;"'!$E$63:$Y$63"),1,MATCH($D611,INDIRECT("'"&amp;$C611&amp;"'!$E$12:$Y$12"),0)),0),0)</f>
        <v>0</v>
      </c>
      <c r="I611" s="366" t="s">
        <v>1731</v>
      </c>
      <c r="J611" s="348" t="str">
        <f t="shared" ca="1" si="18"/>
        <v>OK</v>
      </c>
      <c r="K611" s="366" t="s">
        <v>1732</v>
      </c>
      <c r="L611" s="366" t="s">
        <v>2256</v>
      </c>
      <c r="M611" s="350" t="str">
        <f>IF($B611="Portfolio","Portfolio",IFERROR(INDEX(DATA_ASSET_CLASSIFICATION!$B$8:$B$24,MATCH($C611,DATA_ASSET_CLASSIFICATION!$A$8:$A$24,0)),"Review"))</f>
        <v>Antkiw Court</v>
      </c>
      <c r="N611" s="350" t="str">
        <f ca="1">IF($B611="Portfolio","Portfolio",IFERROR(INDEX(DATA_ASSET_CLASSIFICATION!$U$8:$U$24,MATCH($C611,DATA_ASSET_CLASSIFICATION!$A$8:$A$24,0)),"Review"))</f>
        <v>Stable</v>
      </c>
      <c r="O611" s="350" t="str">
        <f ca="1">IF($B611="Portfolio","Portfolio",IFERROR(INDEX(DATA_ASSET_CLASSIFICATION!$AB$8:$AB$13,MATCH($N611,DATA_ASSET_CLASSIFICATION!$AA$8:$AA$13,0)),"Review"))</f>
        <v>Bucket 2 · Legacy</v>
      </c>
      <c r="P611" s="350" t="str">
        <f>IF($B611="Portfolio","Portfolio",IFERROR(INDEX(DATA_ASSET_CLASSIFICATION!$C$8:$C$24,MATCH($C611,DATA_ASSET_CLASSIFICATION!$A$8:$A$24,0)),"Review"))</f>
        <v>Yes</v>
      </c>
      <c r="Q611" s="350" t="str">
        <f t="shared" ca="1" si="19"/>
        <v>OK</v>
      </c>
    </row>
    <row r="612" spans="1:17">
      <c r="A612" s="366" t="s">
        <v>2568</v>
      </c>
      <c r="B612" s="366" t="s">
        <v>231</v>
      </c>
      <c r="C612" s="348" t="str">
        <f>DATA_PROPERTY_MASTER!$A$6</f>
        <v>BLD_AC</v>
      </c>
      <c r="D612" s="380">
        <f>'00_PORTFOLIO ROLLUP'!F$12</f>
        <v>2026</v>
      </c>
      <c r="E612" s="366" t="s">
        <v>1721</v>
      </c>
      <c r="F612" s="366" t="s">
        <v>37</v>
      </c>
      <c r="G612" s="348" t="str">
        <f>"'"&amp;$C612&amp;"'!$E$63:$Y$63"</f>
        <v>'BLD_AC'!$E$63:$Y$63</v>
      </c>
      <c r="H612" s="381">
        <f ca="1">IF(IFERROR(INDEX(DATA_PROPERTY_MASTER!$E$5:$E$21,MATCH($C612,DATA_PROPERTY_MASTER!$A$5:$A$21,0))="Yes",FALSE),MAX(IFERROR(INDEX(INDIRECT("'"&amp;$C612&amp;"'!$E$63:$Y$63"),1,MATCH($D612,INDIRECT("'"&amp;$C612&amp;"'!$E$12:$Y$12"),0)),0),0),0)</f>
        <v>0</v>
      </c>
      <c r="I612" s="366" t="s">
        <v>1685</v>
      </c>
      <c r="J612" s="348" t="str">
        <f t="shared" ca="1" si="18"/>
        <v>OK</v>
      </c>
      <c r="K612" s="366" t="s">
        <v>1735</v>
      </c>
      <c r="L612" s="366" t="s">
        <v>2258</v>
      </c>
      <c r="M612" s="350" t="str">
        <f>IF($B612="Portfolio","Portfolio",IFERROR(INDEX(DATA_ASSET_CLASSIFICATION!$B$8:$B$24,MATCH($C612,DATA_ASSET_CLASSIFICATION!$A$8:$A$24,0)),"Review"))</f>
        <v>Antkiw Court</v>
      </c>
      <c r="N612" s="350" t="str">
        <f ca="1">IF($B612="Portfolio","Portfolio",IFERROR(INDEX(DATA_ASSET_CLASSIFICATION!$U$8:$U$24,MATCH($C612,DATA_ASSET_CLASSIFICATION!$A$8:$A$24,0)),"Review"))</f>
        <v>Stable</v>
      </c>
      <c r="O612" s="350" t="str">
        <f ca="1">IF($B612="Portfolio","Portfolio",IFERROR(INDEX(DATA_ASSET_CLASSIFICATION!$AB$8:$AB$13,MATCH($N612,DATA_ASSET_CLASSIFICATION!$AA$8:$AA$13,0)),"Review"))</f>
        <v>Bucket 2 · Legacy</v>
      </c>
      <c r="P612" s="350" t="str">
        <f>IF($B612="Portfolio","Portfolio",IFERROR(INDEX(DATA_ASSET_CLASSIFICATION!$C$8:$C$24,MATCH($C612,DATA_ASSET_CLASSIFICATION!$A$8:$A$24,0)),"Review"))</f>
        <v>Yes</v>
      </c>
      <c r="Q612" s="350" t="str">
        <f t="shared" ca="1" si="19"/>
        <v>OK</v>
      </c>
    </row>
    <row r="613" spans="1:17">
      <c r="A613" s="366" t="s">
        <v>2569</v>
      </c>
      <c r="B613" s="366" t="s">
        <v>231</v>
      </c>
      <c r="C613" s="348" t="str">
        <f>DATA_PROPERTY_MASTER!$A$6</f>
        <v>BLD_AC</v>
      </c>
      <c r="D613" s="380">
        <f>'00_PORTFOLIO ROLLUP'!F$12</f>
        <v>2026</v>
      </c>
      <c r="E613" s="366" t="s">
        <v>1721</v>
      </c>
      <c r="F613" s="366" t="s">
        <v>39</v>
      </c>
      <c r="G613" s="348" t="str">
        <f>"'"&amp;$C613&amp;"'!$E$63:$Y$63"</f>
        <v>'BLD_AC'!$E$63:$Y$63</v>
      </c>
      <c r="H613" s="381">
        <f ca="1">IF(IFERROR(INDEX(DATA_PROPERTY_MASTER!$E$5:$E$21,MATCH($C613,DATA_PROPERTY_MASTER!$A$5:$A$21,0))="Yes",FALSE),MAX(-IFERROR(INDEX(INDIRECT("'"&amp;$C613&amp;"'!$E$63:$Y$63"),1,MATCH($D613,INDIRECT("'"&amp;$C613&amp;"'!$E$12:$Y$12"),0)),0),0),0)</f>
        <v>0</v>
      </c>
      <c r="I613" s="366" t="s">
        <v>1690</v>
      </c>
      <c r="J613" s="348" t="str">
        <f t="shared" ca="1" si="18"/>
        <v>OK</v>
      </c>
      <c r="K613" s="366" t="s">
        <v>1738</v>
      </c>
      <c r="L613" s="366" t="s">
        <v>2260</v>
      </c>
      <c r="M613" s="350" t="str">
        <f>IF($B613="Portfolio","Portfolio",IFERROR(INDEX(DATA_ASSET_CLASSIFICATION!$B$8:$B$24,MATCH($C613,DATA_ASSET_CLASSIFICATION!$A$8:$A$24,0)),"Review"))</f>
        <v>Antkiw Court</v>
      </c>
      <c r="N613" s="350" t="str">
        <f ca="1">IF($B613="Portfolio","Portfolio",IFERROR(INDEX(DATA_ASSET_CLASSIFICATION!$U$8:$U$24,MATCH($C613,DATA_ASSET_CLASSIFICATION!$A$8:$A$24,0)),"Review"))</f>
        <v>Stable</v>
      </c>
      <c r="O613" s="350" t="str">
        <f ca="1">IF($B613="Portfolio","Portfolio",IFERROR(INDEX(DATA_ASSET_CLASSIFICATION!$AB$8:$AB$13,MATCH($N613,DATA_ASSET_CLASSIFICATION!$AA$8:$AA$13,0)),"Review"))</f>
        <v>Bucket 2 · Legacy</v>
      </c>
      <c r="P613" s="350" t="str">
        <f>IF($B613="Portfolio","Portfolio",IFERROR(INDEX(DATA_ASSET_CLASSIFICATION!$C$8:$C$24,MATCH($C613,DATA_ASSET_CLASSIFICATION!$A$8:$A$24,0)),"Review"))</f>
        <v>Yes</v>
      </c>
      <c r="Q613" s="350" t="str">
        <f t="shared" ca="1" si="19"/>
        <v>OK</v>
      </c>
    </row>
    <row r="614" spans="1:17">
      <c r="A614" s="366" t="s">
        <v>2570</v>
      </c>
      <c r="B614" s="366" t="s">
        <v>231</v>
      </c>
      <c r="C614" s="348" t="str">
        <f>DATA_PROPERTY_MASTER!$A$6</f>
        <v>BLD_AC</v>
      </c>
      <c r="D614" s="380">
        <f>'00_PORTFOLIO ROLLUP'!F$12</f>
        <v>2026</v>
      </c>
      <c r="E614" s="366" t="s">
        <v>1741</v>
      </c>
      <c r="F614" s="366" t="s">
        <v>41</v>
      </c>
      <c r="G614" s="348" t="str">
        <f>"'"&amp;$C614&amp;"'!rows 56 + positive row 63"</f>
        <v>'BLD_AC'!rows 56 + positive row 63</v>
      </c>
      <c r="H614" s="381">
        <f ca="1">IF(IFERROR(INDEX(DATA_PROPERTY_MASTER!$E$5:$E$21,MATCH($C614,DATA_PROPERTY_MASTER!$A$5:$A$21,0))="Yes",FALSE),IFERROR(INDEX(INDIRECT("'"&amp;$C614&amp;"'!$E$56:$Y$56"),1,MATCH($D614,INDIRECT("'"&amp;$C614&amp;"'!$E$12:$Y$12"),0)),0)+MAX(IFERROR(INDEX(INDIRECT("'"&amp;$C614&amp;"'!$E$63:$Y$63"),1,MATCH($D614,INDIRECT("'"&amp;$C614&amp;"'!$E$12:$Y$12"),0)),0),0),0)</f>
        <v>47154.202063999983</v>
      </c>
      <c r="I614" s="366" t="s">
        <v>1685</v>
      </c>
      <c r="J614" s="348" t="str">
        <f t="shared" ca="1" si="18"/>
        <v>OK</v>
      </c>
      <c r="K614" s="366" t="s">
        <v>1742</v>
      </c>
      <c r="L614" s="366" t="s">
        <v>2262</v>
      </c>
      <c r="M614" s="350" t="str">
        <f>IF($B614="Portfolio","Portfolio",IFERROR(INDEX(DATA_ASSET_CLASSIFICATION!$B$8:$B$24,MATCH($C614,DATA_ASSET_CLASSIFICATION!$A$8:$A$24,0)),"Review"))</f>
        <v>Antkiw Court</v>
      </c>
      <c r="N614" s="350" t="str">
        <f ca="1">IF($B614="Portfolio","Portfolio",IFERROR(INDEX(DATA_ASSET_CLASSIFICATION!$U$8:$U$24,MATCH($C614,DATA_ASSET_CLASSIFICATION!$A$8:$A$24,0)),"Review"))</f>
        <v>Stable</v>
      </c>
      <c r="O614" s="350" t="str">
        <f ca="1">IF($B614="Portfolio","Portfolio",IFERROR(INDEX(DATA_ASSET_CLASSIFICATION!$AB$8:$AB$13,MATCH($N614,DATA_ASSET_CLASSIFICATION!$AA$8:$AA$13,0)),"Review"))</f>
        <v>Bucket 2 · Legacy</v>
      </c>
      <c r="P614" s="350" t="str">
        <f>IF($B614="Portfolio","Portfolio",IFERROR(INDEX(DATA_ASSET_CLASSIFICATION!$C$8:$C$24,MATCH($C614,DATA_ASSET_CLASSIFICATION!$A$8:$A$24,0)),"Review"))</f>
        <v>Yes</v>
      </c>
      <c r="Q614" s="350" t="str">
        <f t="shared" ca="1" si="19"/>
        <v>OK</v>
      </c>
    </row>
    <row r="615" spans="1:17">
      <c r="A615" s="366" t="s">
        <v>2571</v>
      </c>
      <c r="B615" s="366" t="s">
        <v>231</v>
      </c>
      <c r="C615" s="348" t="str">
        <f>DATA_PROPERTY_MASTER!$A$6</f>
        <v>BLD_AC</v>
      </c>
      <c r="D615" s="380">
        <f>'00_PORTFOLIO ROLLUP'!F$12</f>
        <v>2026</v>
      </c>
      <c r="E615" s="366" t="s">
        <v>1741</v>
      </c>
      <c r="F615" s="366" t="s">
        <v>43</v>
      </c>
      <c r="G615" s="348" t="str">
        <f>"'"&amp;$C615&amp;"'!$E$68:$Y$68"</f>
        <v>'BLD_AC'!$E$68:$Y$68</v>
      </c>
      <c r="H615" s="381">
        <f ca="1">IF(IFERROR(INDEX(DATA_PROPERTY_MASTER!$E$5:$E$21,MATCH($C615,DATA_PROPERTY_MASTER!$A$5:$A$21,0))="Yes",FALSE),IFERROR(INDEX(INDIRECT("'"&amp;$C615&amp;"'!$E$68:$Y$68"),1,MATCH($D615,INDIRECT("'"&amp;$C615&amp;"'!$E$12:$Y$12"),0)),0),0)</f>
        <v>47154.202063999983</v>
      </c>
      <c r="I615" s="366" t="s">
        <v>1731</v>
      </c>
      <c r="J615" s="348" t="str">
        <f t="shared" ca="1" si="18"/>
        <v>OK</v>
      </c>
      <c r="K615" s="366" t="s">
        <v>1746</v>
      </c>
      <c r="L615" s="366" t="s">
        <v>2264</v>
      </c>
      <c r="M615" s="350" t="str">
        <f>IF($B615="Portfolio","Portfolio",IFERROR(INDEX(DATA_ASSET_CLASSIFICATION!$B$8:$B$24,MATCH($C615,DATA_ASSET_CLASSIFICATION!$A$8:$A$24,0)),"Review"))</f>
        <v>Antkiw Court</v>
      </c>
      <c r="N615" s="350" t="str">
        <f ca="1">IF($B615="Portfolio","Portfolio",IFERROR(INDEX(DATA_ASSET_CLASSIFICATION!$U$8:$U$24,MATCH($C615,DATA_ASSET_CLASSIFICATION!$A$8:$A$24,0)),"Review"))</f>
        <v>Stable</v>
      </c>
      <c r="O615" s="350" t="str">
        <f ca="1">IF($B615="Portfolio","Portfolio",IFERROR(INDEX(DATA_ASSET_CLASSIFICATION!$AB$8:$AB$13,MATCH($N615,DATA_ASSET_CLASSIFICATION!$AA$8:$AA$13,0)),"Review"))</f>
        <v>Bucket 2 · Legacy</v>
      </c>
      <c r="P615" s="350" t="str">
        <f>IF($B615="Portfolio","Portfolio",IFERROR(INDEX(DATA_ASSET_CLASSIFICATION!$C$8:$C$24,MATCH($C615,DATA_ASSET_CLASSIFICATION!$A$8:$A$24,0)),"Review"))</f>
        <v>Yes</v>
      </c>
      <c r="Q615" s="350" t="str">
        <f t="shared" ca="1" si="19"/>
        <v>OK</v>
      </c>
    </row>
    <row r="616" spans="1:17">
      <c r="A616" s="366" t="s">
        <v>2572</v>
      </c>
      <c r="B616" s="366" t="s">
        <v>231</v>
      </c>
      <c r="C616" s="348" t="str">
        <f>DATA_PROPERTY_MASTER!$A$6</f>
        <v>BLD_AC</v>
      </c>
      <c r="D616" s="380">
        <f>'00_PORTFOLIO ROLLUP'!F$12</f>
        <v>2026</v>
      </c>
      <c r="E616" s="366" t="s">
        <v>1741</v>
      </c>
      <c r="F616" s="366" t="s">
        <v>1749</v>
      </c>
      <c r="G616" s="348" t="str">
        <f>"'"&amp;$C616&amp;"'!rows 56, 63, 68"</f>
        <v>'BLD_AC'!rows 56, 63, 68</v>
      </c>
      <c r="H616" s="381">
        <f ca="1">IF(IFERROR(INDEX(DATA_PROPERTY_MASTER!$E$5:$E$21,MATCH($C616,DATA_PROPERTY_MASTER!$A$5:$A$21,0))="Yes",FALSE),(IFERROR(INDEX(INDIRECT("'"&amp;$C616&amp;"'!$E$56:$Y$56"),1,MATCH($D616,INDIRECT("'"&amp;$C616&amp;"'!$E$12:$Y$12"),0)),0)+MAX(IFERROR(INDEX(INDIRECT("'"&amp;$C616&amp;"'!$E$63:$Y$63"),1,MATCH($D616,INDIRECT("'"&amp;$C616&amp;"'!$E$12:$Y$12"),0)),0),0))-(IFERROR(INDEX(INDIRECT("'"&amp;$C616&amp;"'!$E$68:$Y$68"),1,MATCH($D616,INDIRECT("'"&amp;$C616&amp;"'!$E$12:$Y$12"),0)),0)),0)</f>
        <v>0</v>
      </c>
      <c r="I616" s="366" t="s">
        <v>1750</v>
      </c>
      <c r="J616" s="348" t="str">
        <f t="shared" ca="1" si="18"/>
        <v>OK</v>
      </c>
      <c r="K616" s="366" t="s">
        <v>1751</v>
      </c>
      <c r="L616" s="366" t="s">
        <v>2266</v>
      </c>
      <c r="M616" s="350" t="str">
        <f>IF($B616="Portfolio","Portfolio",IFERROR(INDEX(DATA_ASSET_CLASSIFICATION!$B$8:$B$24,MATCH($C616,DATA_ASSET_CLASSIFICATION!$A$8:$A$24,0)),"Review"))</f>
        <v>Antkiw Court</v>
      </c>
      <c r="N616" s="350" t="str">
        <f ca="1">IF($B616="Portfolio","Portfolio",IFERROR(INDEX(DATA_ASSET_CLASSIFICATION!$U$8:$U$24,MATCH($C616,DATA_ASSET_CLASSIFICATION!$A$8:$A$24,0)),"Review"))</f>
        <v>Stable</v>
      </c>
      <c r="O616" s="350" t="str">
        <f ca="1">IF($B616="Portfolio","Portfolio",IFERROR(INDEX(DATA_ASSET_CLASSIFICATION!$AB$8:$AB$13,MATCH($N616,DATA_ASSET_CLASSIFICATION!$AA$8:$AA$13,0)),"Review"))</f>
        <v>Bucket 2 · Legacy</v>
      </c>
      <c r="P616" s="350" t="str">
        <f>IF($B616="Portfolio","Portfolio",IFERROR(INDEX(DATA_ASSET_CLASSIFICATION!$C$8:$C$24,MATCH($C616,DATA_ASSET_CLASSIFICATION!$A$8:$A$24,0)),"Review"))</f>
        <v>Yes</v>
      </c>
      <c r="Q616" s="350" t="str">
        <f t="shared" ca="1" si="19"/>
        <v>OK</v>
      </c>
    </row>
    <row r="617" spans="1:17">
      <c r="A617" s="366" t="s">
        <v>2573</v>
      </c>
      <c r="B617" s="366" t="s">
        <v>231</v>
      </c>
      <c r="C617" s="348" t="str">
        <f>DATA_PROPERTY_MASTER!$A$6</f>
        <v>BLD_AC</v>
      </c>
      <c r="D617" s="380">
        <f>'00_PORTFOLIO ROLLUP'!G$12</f>
        <v>2027</v>
      </c>
      <c r="E617" s="366" t="s">
        <v>1683</v>
      </c>
      <c r="F617" s="366" t="s">
        <v>341</v>
      </c>
      <c r="G617" s="348" t="str">
        <f>"'"&amp;$C617&amp;"'!$E$24:$Y$24"</f>
        <v>'BLD_AC'!$E$24:$Y$24</v>
      </c>
      <c r="H617" s="381">
        <f ca="1">IF(IFERROR(INDEX(DATA_PROPERTY_MASTER!$E$5:$E$21,MATCH($C617,DATA_PROPERTY_MASTER!$A$5:$A$21,0))="Yes",FALSE),IFERROR(INDEX(INDIRECT("'"&amp;$C617&amp;"'!$E$24:$Y$24"),1,MATCH($D617,INDIRECT("'"&amp;$C617&amp;"'!$E$12:$Y$12"),0)),0),0)</f>
        <v>334296.93046319991</v>
      </c>
      <c r="I617" s="366" t="s">
        <v>1685</v>
      </c>
      <c r="J617" s="348" t="str">
        <f t="shared" ca="1" si="18"/>
        <v>OK</v>
      </c>
      <c r="K617" s="366" t="s">
        <v>1686</v>
      </c>
      <c r="L617" s="366" t="s">
        <v>2234</v>
      </c>
      <c r="M617" s="350" t="str">
        <f>IF($B617="Portfolio","Portfolio",IFERROR(INDEX(DATA_ASSET_CLASSIFICATION!$B$8:$B$24,MATCH($C617,DATA_ASSET_CLASSIFICATION!$A$8:$A$24,0)),"Review"))</f>
        <v>Antkiw Court</v>
      </c>
      <c r="N617" s="350" t="str">
        <f ca="1">IF($B617="Portfolio","Portfolio",IFERROR(INDEX(DATA_ASSET_CLASSIFICATION!$U$8:$U$24,MATCH($C617,DATA_ASSET_CLASSIFICATION!$A$8:$A$24,0)),"Review"))</f>
        <v>Stable</v>
      </c>
      <c r="O617" s="350" t="str">
        <f ca="1">IF($B617="Portfolio","Portfolio",IFERROR(INDEX(DATA_ASSET_CLASSIFICATION!$AB$8:$AB$13,MATCH($N617,DATA_ASSET_CLASSIFICATION!$AA$8:$AA$13,0)),"Review"))</f>
        <v>Bucket 2 · Legacy</v>
      </c>
      <c r="P617" s="350" t="str">
        <f>IF($B617="Portfolio","Portfolio",IFERROR(INDEX(DATA_ASSET_CLASSIFICATION!$C$8:$C$24,MATCH($C617,DATA_ASSET_CLASSIFICATION!$A$8:$A$24,0)),"Review"))</f>
        <v>Yes</v>
      </c>
      <c r="Q617" s="350" t="str">
        <f t="shared" ca="1" si="19"/>
        <v>OK</v>
      </c>
    </row>
    <row r="618" spans="1:17">
      <c r="A618" s="366" t="s">
        <v>2574</v>
      </c>
      <c r="B618" s="366" t="s">
        <v>231</v>
      </c>
      <c r="C618" s="348" t="str">
        <f>DATA_PROPERTY_MASTER!$A$6</f>
        <v>BLD_AC</v>
      </c>
      <c r="D618" s="380">
        <f>'00_PORTFOLIO ROLLUP'!G$12</f>
        <v>2027</v>
      </c>
      <c r="E618" s="366" t="s">
        <v>1683</v>
      </c>
      <c r="F618" s="366" t="s">
        <v>355</v>
      </c>
      <c r="G618" s="348" t="str">
        <f>"'"&amp;$C618&amp;"'!$E$39:$Y$39"</f>
        <v>'BLD_AC'!$E$39:$Y$39</v>
      </c>
      <c r="H618" s="381">
        <f ca="1">IF(IFERROR(INDEX(DATA_PROPERTY_MASTER!$E$5:$E$21,MATCH($C618,DATA_PROPERTY_MASTER!$A$5:$A$21,0))="Yes",FALSE),IFERROR(INDEX(INDIRECT("'"&amp;$C618&amp;"'!$E$39:$Y$39"),1,MATCH($D618,INDIRECT("'"&amp;$C618&amp;"'!$E$12:$Y$12"),0)),0),0)</f>
        <v>162855.43040000001</v>
      </c>
      <c r="I618" s="366" t="s">
        <v>1690</v>
      </c>
      <c r="J618" s="348" t="str">
        <f t="shared" ca="1" si="18"/>
        <v>OK</v>
      </c>
      <c r="K618" s="366" t="s">
        <v>1686</v>
      </c>
      <c r="L618" s="366" t="s">
        <v>2236</v>
      </c>
      <c r="M618" s="350" t="str">
        <f>IF($B618="Portfolio","Portfolio",IFERROR(INDEX(DATA_ASSET_CLASSIFICATION!$B$8:$B$24,MATCH($C618,DATA_ASSET_CLASSIFICATION!$A$8:$A$24,0)),"Review"))</f>
        <v>Antkiw Court</v>
      </c>
      <c r="N618" s="350" t="str">
        <f ca="1">IF($B618="Portfolio","Portfolio",IFERROR(INDEX(DATA_ASSET_CLASSIFICATION!$U$8:$U$24,MATCH($C618,DATA_ASSET_CLASSIFICATION!$A$8:$A$24,0)),"Review"))</f>
        <v>Stable</v>
      </c>
      <c r="O618" s="350" t="str">
        <f ca="1">IF($B618="Portfolio","Portfolio",IFERROR(INDEX(DATA_ASSET_CLASSIFICATION!$AB$8:$AB$13,MATCH($N618,DATA_ASSET_CLASSIFICATION!$AA$8:$AA$13,0)),"Review"))</f>
        <v>Bucket 2 · Legacy</v>
      </c>
      <c r="P618" s="350" t="str">
        <f>IF($B618="Portfolio","Portfolio",IFERROR(INDEX(DATA_ASSET_CLASSIFICATION!$C$8:$C$24,MATCH($C618,DATA_ASSET_CLASSIFICATION!$A$8:$A$24,0)),"Review"))</f>
        <v>Yes</v>
      </c>
      <c r="Q618" s="350" t="str">
        <f t="shared" ca="1" si="19"/>
        <v>OK</v>
      </c>
    </row>
    <row r="619" spans="1:17">
      <c r="A619" s="366" t="s">
        <v>2575</v>
      </c>
      <c r="B619" s="366" t="s">
        <v>231</v>
      </c>
      <c r="C619" s="348" t="str">
        <f>DATA_PROPERTY_MASTER!$A$6</f>
        <v>BLD_AC</v>
      </c>
      <c r="D619" s="380">
        <f>'00_PORTFOLIO ROLLUP'!G$12</f>
        <v>2027</v>
      </c>
      <c r="E619" s="366" t="s">
        <v>1683</v>
      </c>
      <c r="F619" s="366" t="s">
        <v>19</v>
      </c>
      <c r="G619" s="348" t="str">
        <f>"'"&amp;$C619&amp;"'!$E$41:$Y$41"</f>
        <v>'BLD_AC'!$E$41:$Y$41</v>
      </c>
      <c r="H619" s="381">
        <f ca="1">IF(IFERROR(INDEX(DATA_PROPERTY_MASTER!$E$5:$E$21,MATCH($C619,DATA_PROPERTY_MASTER!$A$5:$A$21,0))="Yes",FALSE),IFERROR(INDEX(INDIRECT("'"&amp;$C619&amp;"'!$E$41:$Y$41"),1,MATCH($D619,INDIRECT("'"&amp;$C619&amp;"'!$E$12:$Y$12"),0)),0),0)</f>
        <v>171441.5000631999</v>
      </c>
      <c r="I619" s="366" t="s">
        <v>1685</v>
      </c>
      <c r="J619" s="348" t="str">
        <f t="shared" ca="1" si="18"/>
        <v>OK</v>
      </c>
      <c r="K619" s="366" t="s">
        <v>1694</v>
      </c>
      <c r="L619" s="366" t="s">
        <v>2238</v>
      </c>
      <c r="M619" s="350" t="str">
        <f>IF($B619="Portfolio","Portfolio",IFERROR(INDEX(DATA_ASSET_CLASSIFICATION!$B$8:$B$24,MATCH($C619,DATA_ASSET_CLASSIFICATION!$A$8:$A$24,0)),"Review"))</f>
        <v>Antkiw Court</v>
      </c>
      <c r="N619" s="350" t="str">
        <f ca="1">IF($B619="Portfolio","Portfolio",IFERROR(INDEX(DATA_ASSET_CLASSIFICATION!$U$8:$U$24,MATCH($C619,DATA_ASSET_CLASSIFICATION!$A$8:$A$24,0)),"Review"))</f>
        <v>Stable</v>
      </c>
      <c r="O619" s="350" t="str">
        <f ca="1">IF($B619="Portfolio","Portfolio",IFERROR(INDEX(DATA_ASSET_CLASSIFICATION!$AB$8:$AB$13,MATCH($N619,DATA_ASSET_CLASSIFICATION!$AA$8:$AA$13,0)),"Review"))</f>
        <v>Bucket 2 · Legacy</v>
      </c>
      <c r="P619" s="350" t="str">
        <f>IF($B619="Portfolio","Portfolio",IFERROR(INDEX(DATA_ASSET_CLASSIFICATION!$C$8:$C$24,MATCH($C619,DATA_ASSET_CLASSIFICATION!$A$8:$A$24,0)),"Review"))</f>
        <v>Yes</v>
      </c>
      <c r="Q619" s="350" t="str">
        <f t="shared" ca="1" si="19"/>
        <v>OK</v>
      </c>
    </row>
    <row r="620" spans="1:17">
      <c r="A620" s="366" t="s">
        <v>2576</v>
      </c>
      <c r="B620" s="366" t="s">
        <v>231</v>
      </c>
      <c r="C620" s="348" t="str">
        <f>DATA_PROPERTY_MASTER!$A$6</f>
        <v>BLD_AC</v>
      </c>
      <c r="D620" s="380">
        <f>'00_PORTFOLIO ROLLUP'!G$12</f>
        <v>2027</v>
      </c>
      <c r="E620" s="366" t="s">
        <v>1683</v>
      </c>
      <c r="F620" s="366" t="s">
        <v>1697</v>
      </c>
      <c r="G620" s="348" t="str">
        <f>"'"&amp;$C620&amp;"'!$E$44:$Y$44"</f>
        <v>'BLD_AC'!$E$44:$Y$44</v>
      </c>
      <c r="H620" s="381">
        <f ca="1">IF(IFERROR(INDEX(DATA_PROPERTY_MASTER!$E$5:$E$21,MATCH($C620,DATA_PROPERTY_MASTER!$A$5:$A$21,0))="Yes",FALSE),IFERROR(INDEX(INDIRECT("'"&amp;$C620&amp;"'!$E$44:$Y$44"),1,MATCH($D620,INDIRECT("'"&amp;$C620&amp;"'!$E$12:$Y$12"),0)),0),0)</f>
        <v>3277.2599999999998</v>
      </c>
      <c r="I620" s="366" t="s">
        <v>1690</v>
      </c>
      <c r="J620" s="348" t="str">
        <f t="shared" ca="1" si="18"/>
        <v>OK</v>
      </c>
      <c r="K620" s="366" t="s">
        <v>1699</v>
      </c>
      <c r="L620" s="366" t="s">
        <v>2240</v>
      </c>
      <c r="M620" s="350" t="str">
        <f>IF($B620="Portfolio","Portfolio",IFERROR(INDEX(DATA_ASSET_CLASSIFICATION!$B$8:$B$24,MATCH($C620,DATA_ASSET_CLASSIFICATION!$A$8:$A$24,0)),"Review"))</f>
        <v>Antkiw Court</v>
      </c>
      <c r="N620" s="350" t="str">
        <f ca="1">IF($B620="Portfolio","Portfolio",IFERROR(INDEX(DATA_ASSET_CLASSIFICATION!$U$8:$U$24,MATCH($C620,DATA_ASSET_CLASSIFICATION!$A$8:$A$24,0)),"Review"))</f>
        <v>Stable</v>
      </c>
      <c r="O620" s="350" t="str">
        <f ca="1">IF($B620="Portfolio","Portfolio",IFERROR(INDEX(DATA_ASSET_CLASSIFICATION!$AB$8:$AB$13,MATCH($N620,DATA_ASSET_CLASSIFICATION!$AA$8:$AA$13,0)),"Review"))</f>
        <v>Bucket 2 · Legacy</v>
      </c>
      <c r="P620" s="350" t="str">
        <f>IF($B620="Portfolio","Portfolio",IFERROR(INDEX(DATA_ASSET_CLASSIFICATION!$C$8:$C$24,MATCH($C620,DATA_ASSET_CLASSIFICATION!$A$8:$A$24,0)),"Review"))</f>
        <v>Yes</v>
      </c>
      <c r="Q620" s="350" t="str">
        <f t="shared" ca="1" si="19"/>
        <v>OK</v>
      </c>
    </row>
    <row r="621" spans="1:17">
      <c r="A621" s="366" t="s">
        <v>2577</v>
      </c>
      <c r="B621" s="366" t="s">
        <v>231</v>
      </c>
      <c r="C621" s="348" t="str">
        <f>DATA_PROPERTY_MASTER!$A$6</f>
        <v>BLD_AC</v>
      </c>
      <c r="D621" s="380">
        <f>'00_PORTFOLIO ROLLUP'!G$12</f>
        <v>2027</v>
      </c>
      <c r="E621" s="366" t="s">
        <v>1683</v>
      </c>
      <c r="F621" s="366" t="s">
        <v>21</v>
      </c>
      <c r="G621" s="348" t="str">
        <f>"'"&amp;$C621&amp;"'!$E$45:$Y$45"</f>
        <v>'BLD_AC'!$E$45:$Y$45</v>
      </c>
      <c r="H621" s="381">
        <f ca="1">IF(IFERROR(INDEX(DATA_PROPERTY_MASTER!$E$5:$E$21,MATCH($C621,DATA_PROPERTY_MASTER!$A$5:$A$21,0))="Yes",FALSE),IFERROR(INDEX(INDIRECT("'"&amp;$C621&amp;"'!$E$45:$Y$45"),1,MATCH($D621,INDIRECT("'"&amp;$C621&amp;"'!$E$12:$Y$12"),0)),0),0)</f>
        <v>168164.24006319989</v>
      </c>
      <c r="I621" s="366" t="s">
        <v>1685</v>
      </c>
      <c r="J621" s="348" t="str">
        <f t="shared" ca="1" si="18"/>
        <v>OK</v>
      </c>
      <c r="K621" s="366" t="s">
        <v>1694</v>
      </c>
      <c r="L621" s="366" t="s">
        <v>2242</v>
      </c>
      <c r="M621" s="350" t="str">
        <f>IF($B621="Portfolio","Portfolio",IFERROR(INDEX(DATA_ASSET_CLASSIFICATION!$B$8:$B$24,MATCH($C621,DATA_ASSET_CLASSIFICATION!$A$8:$A$24,0)),"Review"))</f>
        <v>Antkiw Court</v>
      </c>
      <c r="N621" s="350" t="str">
        <f ca="1">IF($B621="Portfolio","Portfolio",IFERROR(INDEX(DATA_ASSET_CLASSIFICATION!$U$8:$U$24,MATCH($C621,DATA_ASSET_CLASSIFICATION!$A$8:$A$24,0)),"Review"))</f>
        <v>Stable</v>
      </c>
      <c r="O621" s="350" t="str">
        <f ca="1">IF($B621="Portfolio","Portfolio",IFERROR(INDEX(DATA_ASSET_CLASSIFICATION!$AB$8:$AB$13,MATCH($N621,DATA_ASSET_CLASSIFICATION!$AA$8:$AA$13,0)),"Review"))</f>
        <v>Bucket 2 · Legacy</v>
      </c>
      <c r="P621" s="350" t="str">
        <f>IF($B621="Portfolio","Portfolio",IFERROR(INDEX(DATA_ASSET_CLASSIFICATION!$C$8:$C$24,MATCH($C621,DATA_ASSET_CLASSIFICATION!$A$8:$A$24,0)),"Review"))</f>
        <v>Yes</v>
      </c>
      <c r="Q621" s="350" t="str">
        <f t="shared" ca="1" si="19"/>
        <v>OK</v>
      </c>
    </row>
    <row r="622" spans="1:17">
      <c r="A622" s="366" t="s">
        <v>2578</v>
      </c>
      <c r="B622" s="366" t="s">
        <v>231</v>
      </c>
      <c r="C622" s="348" t="str">
        <f>DATA_PROPERTY_MASTER!$A$6</f>
        <v>BLD_AC</v>
      </c>
      <c r="D622" s="380">
        <f>'00_PORTFOLIO ROLLUP'!G$12</f>
        <v>2027</v>
      </c>
      <c r="E622" s="366" t="s">
        <v>23</v>
      </c>
      <c r="F622" s="366" t="s">
        <v>23</v>
      </c>
      <c r="G622" s="348" t="str">
        <f>"'"&amp;$C622&amp;"'!$E$48:$Y$48"</f>
        <v>'BLD_AC'!$E$48:$Y$48</v>
      </c>
      <c r="H622" s="381">
        <f ca="1">IF(IFERROR(INDEX(DATA_PROPERTY_MASTER!$E$5:$E$21,MATCH($C622,DATA_PROPERTY_MASTER!$A$5:$A$21,0))="Yes",FALSE),IFERROR(INDEX(INDIRECT("'"&amp;$C622&amp;"'!$E$48:$Y$48"),1,MATCH($D622,INDIRECT("'"&amp;$C622&amp;"'!$E$12:$Y$12"),0)),0),0)</f>
        <v>54330.12</v>
      </c>
      <c r="I622" s="366" t="s">
        <v>1690</v>
      </c>
      <c r="J622" s="348" t="str">
        <f t="shared" ca="1" si="18"/>
        <v>OK</v>
      </c>
      <c r="K622" s="366" t="s">
        <v>1706</v>
      </c>
      <c r="L622" s="366" t="s">
        <v>2244</v>
      </c>
      <c r="M622" s="350" t="str">
        <f>IF($B622="Portfolio","Portfolio",IFERROR(INDEX(DATA_ASSET_CLASSIFICATION!$B$8:$B$24,MATCH($C622,DATA_ASSET_CLASSIFICATION!$A$8:$A$24,0)),"Review"))</f>
        <v>Antkiw Court</v>
      </c>
      <c r="N622" s="350" t="str">
        <f ca="1">IF($B622="Portfolio","Portfolio",IFERROR(INDEX(DATA_ASSET_CLASSIFICATION!$U$8:$U$24,MATCH($C622,DATA_ASSET_CLASSIFICATION!$A$8:$A$24,0)),"Review"))</f>
        <v>Stable</v>
      </c>
      <c r="O622" s="350" t="str">
        <f ca="1">IF($B622="Portfolio","Portfolio",IFERROR(INDEX(DATA_ASSET_CLASSIFICATION!$AB$8:$AB$13,MATCH($N622,DATA_ASSET_CLASSIFICATION!$AA$8:$AA$13,0)),"Review"))</f>
        <v>Bucket 2 · Legacy</v>
      </c>
      <c r="P622" s="350" t="str">
        <f>IF($B622="Portfolio","Portfolio",IFERROR(INDEX(DATA_ASSET_CLASSIFICATION!$C$8:$C$24,MATCH($C622,DATA_ASSET_CLASSIFICATION!$A$8:$A$24,0)),"Review"))</f>
        <v>Yes</v>
      </c>
      <c r="Q622" s="350" t="str">
        <f t="shared" ca="1" si="19"/>
        <v>OK</v>
      </c>
    </row>
    <row r="623" spans="1:17">
      <c r="A623" s="366" t="s">
        <v>2579</v>
      </c>
      <c r="B623" s="366" t="s">
        <v>231</v>
      </c>
      <c r="C623" s="348" t="str">
        <f>DATA_PROPERTY_MASTER!$A$6</f>
        <v>BLD_AC</v>
      </c>
      <c r="D623" s="380">
        <f>'00_PORTFOLIO ROLLUP'!G$12</f>
        <v>2027</v>
      </c>
      <c r="E623" s="366" t="s">
        <v>1683</v>
      </c>
      <c r="F623" s="366" t="s">
        <v>25</v>
      </c>
      <c r="G623" s="348" t="str">
        <f>"'"&amp;$C623&amp;"'!$E$52:$Y$52"</f>
        <v>'BLD_AC'!$E$52:$Y$52</v>
      </c>
      <c r="H623" s="381">
        <f ca="1">IF(IFERROR(INDEX(DATA_PROPERTY_MASTER!$E$5:$E$21,MATCH($C623,DATA_PROPERTY_MASTER!$A$5:$A$21,0))="Yes",FALSE),IFERROR(INDEX(INDIRECT("'"&amp;$C623&amp;"'!$E$52:$Y$52"),1,MATCH($D623,INDIRECT("'"&amp;$C623&amp;"'!$E$12:$Y$12"),0)),0),0)</f>
        <v>117111.3800631999</v>
      </c>
      <c r="I623" s="366" t="s">
        <v>1685</v>
      </c>
      <c r="J623" s="348" t="str">
        <f t="shared" ca="1" si="18"/>
        <v>OK</v>
      </c>
      <c r="K623" s="366" t="s">
        <v>1710</v>
      </c>
      <c r="L623" s="366" t="s">
        <v>2246</v>
      </c>
      <c r="M623" s="350" t="str">
        <f>IF($B623="Portfolio","Portfolio",IFERROR(INDEX(DATA_ASSET_CLASSIFICATION!$B$8:$B$24,MATCH($C623,DATA_ASSET_CLASSIFICATION!$A$8:$A$24,0)),"Review"))</f>
        <v>Antkiw Court</v>
      </c>
      <c r="N623" s="350" t="str">
        <f ca="1">IF($B623="Portfolio","Portfolio",IFERROR(INDEX(DATA_ASSET_CLASSIFICATION!$U$8:$U$24,MATCH($C623,DATA_ASSET_CLASSIFICATION!$A$8:$A$24,0)),"Review"))</f>
        <v>Stable</v>
      </c>
      <c r="O623" s="350" t="str">
        <f ca="1">IF($B623="Portfolio","Portfolio",IFERROR(INDEX(DATA_ASSET_CLASSIFICATION!$AB$8:$AB$13,MATCH($N623,DATA_ASSET_CLASSIFICATION!$AA$8:$AA$13,0)),"Review"))</f>
        <v>Bucket 2 · Legacy</v>
      </c>
      <c r="P623" s="350" t="str">
        <f>IF($B623="Portfolio","Portfolio",IFERROR(INDEX(DATA_ASSET_CLASSIFICATION!$C$8:$C$24,MATCH($C623,DATA_ASSET_CLASSIFICATION!$A$8:$A$24,0)),"Review"))</f>
        <v>Yes</v>
      </c>
      <c r="Q623" s="350" t="str">
        <f t="shared" ca="1" si="19"/>
        <v>OK</v>
      </c>
    </row>
    <row r="624" spans="1:17">
      <c r="A624" s="366" t="s">
        <v>2580</v>
      </c>
      <c r="B624" s="366" t="s">
        <v>231</v>
      </c>
      <c r="C624" s="348" t="str">
        <f>DATA_PROPERTY_MASTER!$A$6</f>
        <v>BLD_AC</v>
      </c>
      <c r="D624" s="380">
        <f>'00_PORTFOLIO ROLLUP'!G$12</f>
        <v>2027</v>
      </c>
      <c r="E624" s="366" t="s">
        <v>1683</v>
      </c>
      <c r="F624" s="366" t="s">
        <v>27</v>
      </c>
      <c r="G624" s="348" t="str">
        <f>"'"&amp;$C624&amp;"'!$E$54:$Y$54"</f>
        <v>'BLD_AC'!$E$54:$Y$54</v>
      </c>
      <c r="H624" s="381">
        <f ca="1">IF(IFERROR(INDEX(DATA_PROPERTY_MASTER!$E$5:$E$21,MATCH($C624,DATA_PROPERTY_MASTER!$A$5:$A$21,0))="Yes",FALSE),IFERROR(INDEX(INDIRECT("'"&amp;$C624&amp;"'!$E$54:$Y$54"),1,MATCH($D624,INDIRECT("'"&amp;$C624&amp;"'!$E$12:$Y$12"),0)),0),0)</f>
        <v>70266.828037919942</v>
      </c>
      <c r="I624" s="366" t="s">
        <v>1690</v>
      </c>
      <c r="J624" s="348" t="str">
        <f t="shared" ca="1" si="18"/>
        <v>OK</v>
      </c>
      <c r="K624" s="366" t="s">
        <v>1714</v>
      </c>
      <c r="L624" s="366" t="s">
        <v>2248</v>
      </c>
      <c r="M624" s="350" t="str">
        <f>IF($B624="Portfolio","Portfolio",IFERROR(INDEX(DATA_ASSET_CLASSIFICATION!$B$8:$B$24,MATCH($C624,DATA_ASSET_CLASSIFICATION!$A$8:$A$24,0)),"Review"))</f>
        <v>Antkiw Court</v>
      </c>
      <c r="N624" s="350" t="str">
        <f ca="1">IF($B624="Portfolio","Portfolio",IFERROR(INDEX(DATA_ASSET_CLASSIFICATION!$U$8:$U$24,MATCH($C624,DATA_ASSET_CLASSIFICATION!$A$8:$A$24,0)),"Review"))</f>
        <v>Stable</v>
      </c>
      <c r="O624" s="350" t="str">
        <f ca="1">IF($B624="Portfolio","Portfolio",IFERROR(INDEX(DATA_ASSET_CLASSIFICATION!$AB$8:$AB$13,MATCH($N624,DATA_ASSET_CLASSIFICATION!$AA$8:$AA$13,0)),"Review"))</f>
        <v>Bucket 2 · Legacy</v>
      </c>
      <c r="P624" s="350" t="str">
        <f>IF($B624="Portfolio","Portfolio",IFERROR(INDEX(DATA_ASSET_CLASSIFICATION!$C$8:$C$24,MATCH($C624,DATA_ASSET_CLASSIFICATION!$A$8:$A$24,0)),"Review"))</f>
        <v>Yes</v>
      </c>
      <c r="Q624" s="350" t="str">
        <f t="shared" ca="1" si="19"/>
        <v>OK</v>
      </c>
    </row>
    <row r="625" spans="1:17">
      <c r="A625" s="366" t="s">
        <v>2581</v>
      </c>
      <c r="B625" s="366" t="s">
        <v>231</v>
      </c>
      <c r="C625" s="348" t="str">
        <f>DATA_PROPERTY_MASTER!$A$6</f>
        <v>BLD_AC</v>
      </c>
      <c r="D625" s="380">
        <f>'00_PORTFOLIO ROLLUP'!G$12</f>
        <v>2027</v>
      </c>
      <c r="E625" s="366" t="s">
        <v>1683</v>
      </c>
      <c r="F625" s="366" t="s">
        <v>29</v>
      </c>
      <c r="G625" s="348" t="str">
        <f>"'"&amp;$C625&amp;"'!$E$56:$Y$56"</f>
        <v>'BLD_AC'!$E$56:$Y$56</v>
      </c>
      <c r="H625" s="381">
        <f ca="1">IF(IFERROR(INDEX(DATA_PROPERTY_MASTER!$E$5:$E$21,MATCH($C625,DATA_PROPERTY_MASTER!$A$5:$A$21,0))="Yes",FALSE),IFERROR(INDEX(INDIRECT("'"&amp;$C625&amp;"'!$E$56:$Y$56"),1,MATCH($D625,INDIRECT("'"&amp;$C625&amp;"'!$E$12:$Y$12"),0)),0),0)</f>
        <v>46844.552025279962</v>
      </c>
      <c r="I625" s="366" t="s">
        <v>1685</v>
      </c>
      <c r="J625" s="348" t="str">
        <f t="shared" ca="1" si="18"/>
        <v>OK</v>
      </c>
      <c r="K625" s="366" t="s">
        <v>1718</v>
      </c>
      <c r="L625" s="366" t="s">
        <v>2250</v>
      </c>
      <c r="M625" s="350" t="str">
        <f>IF($B625="Portfolio","Portfolio",IFERROR(INDEX(DATA_ASSET_CLASSIFICATION!$B$8:$B$24,MATCH($C625,DATA_ASSET_CLASSIFICATION!$A$8:$A$24,0)),"Review"))</f>
        <v>Antkiw Court</v>
      </c>
      <c r="N625" s="350" t="str">
        <f ca="1">IF($B625="Portfolio","Portfolio",IFERROR(INDEX(DATA_ASSET_CLASSIFICATION!$U$8:$U$24,MATCH($C625,DATA_ASSET_CLASSIFICATION!$A$8:$A$24,0)),"Review"))</f>
        <v>Stable</v>
      </c>
      <c r="O625" s="350" t="str">
        <f ca="1">IF($B625="Portfolio","Portfolio",IFERROR(INDEX(DATA_ASSET_CLASSIFICATION!$AB$8:$AB$13,MATCH($N625,DATA_ASSET_CLASSIFICATION!$AA$8:$AA$13,0)),"Review"))</f>
        <v>Bucket 2 · Legacy</v>
      </c>
      <c r="P625" s="350" t="str">
        <f>IF($B625="Portfolio","Portfolio",IFERROR(INDEX(DATA_ASSET_CLASSIFICATION!$C$8:$C$24,MATCH($C625,DATA_ASSET_CLASSIFICATION!$A$8:$A$24,0)),"Review"))</f>
        <v>Yes</v>
      </c>
      <c r="Q625" s="350" t="str">
        <f t="shared" ca="1" si="19"/>
        <v>OK</v>
      </c>
    </row>
    <row r="626" spans="1:17">
      <c r="A626" s="366" t="s">
        <v>2582</v>
      </c>
      <c r="B626" s="366" t="s">
        <v>231</v>
      </c>
      <c r="C626" s="348" t="str">
        <f>DATA_PROPERTY_MASTER!$A$6</f>
        <v>BLD_AC</v>
      </c>
      <c r="D626" s="380">
        <f>'00_PORTFOLIO ROLLUP'!G$12</f>
        <v>2027</v>
      </c>
      <c r="E626" s="366" t="s">
        <v>1721</v>
      </c>
      <c r="F626" s="366" t="s">
        <v>31</v>
      </c>
      <c r="G626" s="348" t="str">
        <f>"'"&amp;$C626&amp;"'!$E$61:$Y$61"</f>
        <v>'BLD_AC'!$E$61:$Y$61</v>
      </c>
      <c r="H626" s="381">
        <f ca="1">IF(IFERROR(INDEX(DATA_PROPERTY_MASTER!$E$5:$E$21,MATCH($C626,DATA_PROPERTY_MASTER!$A$5:$A$21,0))="Yes",FALSE),IFERROR(INDEX(INDIRECT("'"&amp;$C626&amp;"'!$E$61:$Y$61"),1,MATCH($D626,INDIRECT("'"&amp;$C626&amp;"'!$E$12:$Y$12"),0)),0),0)</f>
        <v>0</v>
      </c>
      <c r="I626" s="366" t="s">
        <v>1690</v>
      </c>
      <c r="J626" s="348" t="str">
        <f t="shared" ca="1" si="18"/>
        <v>OK</v>
      </c>
      <c r="K626" s="366" t="s">
        <v>1723</v>
      </c>
      <c r="L626" s="366" t="s">
        <v>2252</v>
      </c>
      <c r="M626" s="350" t="str">
        <f>IF($B626="Portfolio","Portfolio",IFERROR(INDEX(DATA_ASSET_CLASSIFICATION!$B$8:$B$24,MATCH($C626,DATA_ASSET_CLASSIFICATION!$A$8:$A$24,0)),"Review"))</f>
        <v>Antkiw Court</v>
      </c>
      <c r="N626" s="350" t="str">
        <f ca="1">IF($B626="Portfolio","Portfolio",IFERROR(INDEX(DATA_ASSET_CLASSIFICATION!$U$8:$U$24,MATCH($C626,DATA_ASSET_CLASSIFICATION!$A$8:$A$24,0)),"Review"))</f>
        <v>Stable</v>
      </c>
      <c r="O626" s="350" t="str">
        <f ca="1">IF($B626="Portfolio","Portfolio",IFERROR(INDEX(DATA_ASSET_CLASSIFICATION!$AB$8:$AB$13,MATCH($N626,DATA_ASSET_CLASSIFICATION!$AA$8:$AA$13,0)),"Review"))</f>
        <v>Bucket 2 · Legacy</v>
      </c>
      <c r="P626" s="350" t="str">
        <f>IF($B626="Portfolio","Portfolio",IFERROR(INDEX(DATA_ASSET_CLASSIFICATION!$C$8:$C$24,MATCH($C626,DATA_ASSET_CLASSIFICATION!$A$8:$A$24,0)),"Review"))</f>
        <v>Yes</v>
      </c>
      <c r="Q626" s="350" t="str">
        <f t="shared" ca="1" si="19"/>
        <v>OK</v>
      </c>
    </row>
    <row r="627" spans="1:17">
      <c r="A627" s="366" t="s">
        <v>2583</v>
      </c>
      <c r="B627" s="366" t="s">
        <v>231</v>
      </c>
      <c r="C627" s="348" t="str">
        <f>DATA_PROPERTY_MASTER!$A$6</f>
        <v>BLD_AC</v>
      </c>
      <c r="D627" s="380">
        <f>'00_PORTFOLIO ROLLUP'!G$12</f>
        <v>2027</v>
      </c>
      <c r="E627" s="366" t="s">
        <v>1721</v>
      </c>
      <c r="F627" s="366" t="s">
        <v>33</v>
      </c>
      <c r="G627" s="348" t="str">
        <f>"'"&amp;$C627&amp;"'!$E$62:$Y$62"</f>
        <v>'BLD_AC'!$E$62:$Y$62</v>
      </c>
      <c r="H627" s="381">
        <f ca="1">IF(IFERROR(INDEX(DATA_PROPERTY_MASTER!$E$5:$E$21,MATCH($C627,DATA_PROPERTY_MASTER!$A$5:$A$21,0))="Yes",FALSE),IFERROR(INDEX(INDIRECT("'"&amp;$C627&amp;"'!$E$62:$Y$62"),1,MATCH($D627,INDIRECT("'"&amp;$C627&amp;"'!$E$12:$Y$12"),0)),0),0)</f>
        <v>0</v>
      </c>
      <c r="I627" s="366" t="s">
        <v>1685</v>
      </c>
      <c r="J627" s="348" t="str">
        <f t="shared" ca="1" si="18"/>
        <v>OK</v>
      </c>
      <c r="K627" s="366" t="s">
        <v>1727</v>
      </c>
      <c r="L627" s="366" t="s">
        <v>2254</v>
      </c>
      <c r="M627" s="350" t="str">
        <f>IF($B627="Portfolio","Portfolio",IFERROR(INDEX(DATA_ASSET_CLASSIFICATION!$B$8:$B$24,MATCH($C627,DATA_ASSET_CLASSIFICATION!$A$8:$A$24,0)),"Review"))</f>
        <v>Antkiw Court</v>
      </c>
      <c r="N627" s="350" t="str">
        <f ca="1">IF($B627="Portfolio","Portfolio",IFERROR(INDEX(DATA_ASSET_CLASSIFICATION!$U$8:$U$24,MATCH($C627,DATA_ASSET_CLASSIFICATION!$A$8:$A$24,0)),"Review"))</f>
        <v>Stable</v>
      </c>
      <c r="O627" s="350" t="str">
        <f ca="1">IF($B627="Portfolio","Portfolio",IFERROR(INDEX(DATA_ASSET_CLASSIFICATION!$AB$8:$AB$13,MATCH($N627,DATA_ASSET_CLASSIFICATION!$AA$8:$AA$13,0)),"Review"))</f>
        <v>Bucket 2 · Legacy</v>
      </c>
      <c r="P627" s="350" t="str">
        <f>IF($B627="Portfolio","Portfolio",IFERROR(INDEX(DATA_ASSET_CLASSIFICATION!$C$8:$C$24,MATCH($C627,DATA_ASSET_CLASSIFICATION!$A$8:$A$24,0)),"Review"))</f>
        <v>Yes</v>
      </c>
      <c r="Q627" s="350" t="str">
        <f t="shared" ca="1" si="19"/>
        <v>OK</v>
      </c>
    </row>
    <row r="628" spans="1:17">
      <c r="A628" s="366" t="s">
        <v>2584</v>
      </c>
      <c r="B628" s="366" t="s">
        <v>231</v>
      </c>
      <c r="C628" s="348" t="str">
        <f>DATA_PROPERTY_MASTER!$A$6</f>
        <v>BLD_AC</v>
      </c>
      <c r="D628" s="380">
        <f>'00_PORTFOLIO ROLLUP'!G$12</f>
        <v>2027</v>
      </c>
      <c r="E628" s="366" t="s">
        <v>1721</v>
      </c>
      <c r="F628" s="366" t="s">
        <v>35</v>
      </c>
      <c r="G628" s="348" t="str">
        <f>"'"&amp;$C628&amp;"'!$E$63:$Y$63"</f>
        <v>'BLD_AC'!$E$63:$Y$63</v>
      </c>
      <c r="H628" s="381">
        <f ca="1">IF(IFERROR(INDEX(DATA_PROPERTY_MASTER!$E$5:$E$21,MATCH($C628,DATA_PROPERTY_MASTER!$A$5:$A$21,0))="Yes",FALSE),IFERROR(INDEX(INDIRECT("'"&amp;$C628&amp;"'!$E$63:$Y$63"),1,MATCH($D628,INDIRECT("'"&amp;$C628&amp;"'!$E$12:$Y$12"),0)),0),0)</f>
        <v>0</v>
      </c>
      <c r="I628" s="366" t="s">
        <v>1731</v>
      </c>
      <c r="J628" s="348" t="str">
        <f t="shared" ca="1" si="18"/>
        <v>OK</v>
      </c>
      <c r="K628" s="366" t="s">
        <v>1732</v>
      </c>
      <c r="L628" s="366" t="s">
        <v>2256</v>
      </c>
      <c r="M628" s="350" t="str">
        <f>IF($B628="Portfolio","Portfolio",IFERROR(INDEX(DATA_ASSET_CLASSIFICATION!$B$8:$B$24,MATCH($C628,DATA_ASSET_CLASSIFICATION!$A$8:$A$24,0)),"Review"))</f>
        <v>Antkiw Court</v>
      </c>
      <c r="N628" s="350" t="str">
        <f ca="1">IF($B628="Portfolio","Portfolio",IFERROR(INDEX(DATA_ASSET_CLASSIFICATION!$U$8:$U$24,MATCH($C628,DATA_ASSET_CLASSIFICATION!$A$8:$A$24,0)),"Review"))</f>
        <v>Stable</v>
      </c>
      <c r="O628" s="350" t="str">
        <f ca="1">IF($B628="Portfolio","Portfolio",IFERROR(INDEX(DATA_ASSET_CLASSIFICATION!$AB$8:$AB$13,MATCH($N628,DATA_ASSET_CLASSIFICATION!$AA$8:$AA$13,0)),"Review"))</f>
        <v>Bucket 2 · Legacy</v>
      </c>
      <c r="P628" s="350" t="str">
        <f>IF($B628="Portfolio","Portfolio",IFERROR(INDEX(DATA_ASSET_CLASSIFICATION!$C$8:$C$24,MATCH($C628,DATA_ASSET_CLASSIFICATION!$A$8:$A$24,0)),"Review"))</f>
        <v>Yes</v>
      </c>
      <c r="Q628" s="350" t="str">
        <f t="shared" ca="1" si="19"/>
        <v>OK</v>
      </c>
    </row>
    <row r="629" spans="1:17">
      <c r="A629" s="366" t="s">
        <v>2585</v>
      </c>
      <c r="B629" s="366" t="s">
        <v>231</v>
      </c>
      <c r="C629" s="348" t="str">
        <f>DATA_PROPERTY_MASTER!$A$6</f>
        <v>BLD_AC</v>
      </c>
      <c r="D629" s="380">
        <f>'00_PORTFOLIO ROLLUP'!G$12</f>
        <v>2027</v>
      </c>
      <c r="E629" s="366" t="s">
        <v>1721</v>
      </c>
      <c r="F629" s="366" t="s">
        <v>37</v>
      </c>
      <c r="G629" s="348" t="str">
        <f>"'"&amp;$C629&amp;"'!$E$63:$Y$63"</f>
        <v>'BLD_AC'!$E$63:$Y$63</v>
      </c>
      <c r="H629" s="381">
        <f ca="1">IF(IFERROR(INDEX(DATA_PROPERTY_MASTER!$E$5:$E$21,MATCH($C629,DATA_PROPERTY_MASTER!$A$5:$A$21,0))="Yes",FALSE),MAX(IFERROR(INDEX(INDIRECT("'"&amp;$C629&amp;"'!$E$63:$Y$63"),1,MATCH($D629,INDIRECT("'"&amp;$C629&amp;"'!$E$12:$Y$12"),0)),0),0),0)</f>
        <v>0</v>
      </c>
      <c r="I629" s="366" t="s">
        <v>1685</v>
      </c>
      <c r="J629" s="348" t="str">
        <f t="shared" ca="1" si="18"/>
        <v>OK</v>
      </c>
      <c r="K629" s="366" t="s">
        <v>1735</v>
      </c>
      <c r="L629" s="366" t="s">
        <v>2258</v>
      </c>
      <c r="M629" s="350" t="str">
        <f>IF($B629="Portfolio","Portfolio",IFERROR(INDEX(DATA_ASSET_CLASSIFICATION!$B$8:$B$24,MATCH($C629,DATA_ASSET_CLASSIFICATION!$A$8:$A$24,0)),"Review"))</f>
        <v>Antkiw Court</v>
      </c>
      <c r="N629" s="350" t="str">
        <f ca="1">IF($B629="Portfolio","Portfolio",IFERROR(INDEX(DATA_ASSET_CLASSIFICATION!$U$8:$U$24,MATCH($C629,DATA_ASSET_CLASSIFICATION!$A$8:$A$24,0)),"Review"))</f>
        <v>Stable</v>
      </c>
      <c r="O629" s="350" t="str">
        <f ca="1">IF($B629="Portfolio","Portfolio",IFERROR(INDEX(DATA_ASSET_CLASSIFICATION!$AB$8:$AB$13,MATCH($N629,DATA_ASSET_CLASSIFICATION!$AA$8:$AA$13,0)),"Review"))</f>
        <v>Bucket 2 · Legacy</v>
      </c>
      <c r="P629" s="350" t="str">
        <f>IF($B629="Portfolio","Portfolio",IFERROR(INDEX(DATA_ASSET_CLASSIFICATION!$C$8:$C$24,MATCH($C629,DATA_ASSET_CLASSIFICATION!$A$8:$A$24,0)),"Review"))</f>
        <v>Yes</v>
      </c>
      <c r="Q629" s="350" t="str">
        <f t="shared" ca="1" si="19"/>
        <v>OK</v>
      </c>
    </row>
    <row r="630" spans="1:17">
      <c r="A630" s="366" t="s">
        <v>2586</v>
      </c>
      <c r="B630" s="366" t="s">
        <v>231</v>
      </c>
      <c r="C630" s="348" t="str">
        <f>DATA_PROPERTY_MASTER!$A$6</f>
        <v>BLD_AC</v>
      </c>
      <c r="D630" s="380">
        <f>'00_PORTFOLIO ROLLUP'!G$12</f>
        <v>2027</v>
      </c>
      <c r="E630" s="366" t="s">
        <v>1721</v>
      </c>
      <c r="F630" s="366" t="s">
        <v>39</v>
      </c>
      <c r="G630" s="348" t="str">
        <f>"'"&amp;$C630&amp;"'!$E$63:$Y$63"</f>
        <v>'BLD_AC'!$E$63:$Y$63</v>
      </c>
      <c r="H630" s="381">
        <f ca="1">IF(IFERROR(INDEX(DATA_PROPERTY_MASTER!$E$5:$E$21,MATCH($C630,DATA_PROPERTY_MASTER!$A$5:$A$21,0))="Yes",FALSE),MAX(-IFERROR(INDEX(INDIRECT("'"&amp;$C630&amp;"'!$E$63:$Y$63"),1,MATCH($D630,INDIRECT("'"&amp;$C630&amp;"'!$E$12:$Y$12"),0)),0),0),0)</f>
        <v>0</v>
      </c>
      <c r="I630" s="366" t="s">
        <v>1690</v>
      </c>
      <c r="J630" s="348" t="str">
        <f t="shared" ca="1" si="18"/>
        <v>OK</v>
      </c>
      <c r="K630" s="366" t="s">
        <v>1738</v>
      </c>
      <c r="L630" s="366" t="s">
        <v>2260</v>
      </c>
      <c r="M630" s="350" t="str">
        <f>IF($B630="Portfolio","Portfolio",IFERROR(INDEX(DATA_ASSET_CLASSIFICATION!$B$8:$B$24,MATCH($C630,DATA_ASSET_CLASSIFICATION!$A$8:$A$24,0)),"Review"))</f>
        <v>Antkiw Court</v>
      </c>
      <c r="N630" s="350" t="str">
        <f ca="1">IF($B630="Portfolio","Portfolio",IFERROR(INDEX(DATA_ASSET_CLASSIFICATION!$U$8:$U$24,MATCH($C630,DATA_ASSET_CLASSIFICATION!$A$8:$A$24,0)),"Review"))</f>
        <v>Stable</v>
      </c>
      <c r="O630" s="350" t="str">
        <f ca="1">IF($B630="Portfolio","Portfolio",IFERROR(INDEX(DATA_ASSET_CLASSIFICATION!$AB$8:$AB$13,MATCH($N630,DATA_ASSET_CLASSIFICATION!$AA$8:$AA$13,0)),"Review"))</f>
        <v>Bucket 2 · Legacy</v>
      </c>
      <c r="P630" s="350" t="str">
        <f>IF($B630="Portfolio","Portfolio",IFERROR(INDEX(DATA_ASSET_CLASSIFICATION!$C$8:$C$24,MATCH($C630,DATA_ASSET_CLASSIFICATION!$A$8:$A$24,0)),"Review"))</f>
        <v>Yes</v>
      </c>
      <c r="Q630" s="350" t="str">
        <f t="shared" ca="1" si="19"/>
        <v>OK</v>
      </c>
    </row>
    <row r="631" spans="1:17">
      <c r="A631" s="366" t="s">
        <v>2587</v>
      </c>
      <c r="B631" s="366" t="s">
        <v>231</v>
      </c>
      <c r="C631" s="348" t="str">
        <f>DATA_PROPERTY_MASTER!$A$6</f>
        <v>BLD_AC</v>
      </c>
      <c r="D631" s="380">
        <f>'00_PORTFOLIO ROLLUP'!G$12</f>
        <v>2027</v>
      </c>
      <c r="E631" s="366" t="s">
        <v>1741</v>
      </c>
      <c r="F631" s="366" t="s">
        <v>41</v>
      </c>
      <c r="G631" s="348" t="str">
        <f>"'"&amp;$C631&amp;"'!rows 56 + positive row 63"</f>
        <v>'BLD_AC'!rows 56 + positive row 63</v>
      </c>
      <c r="H631" s="381">
        <f ca="1">IF(IFERROR(INDEX(DATA_PROPERTY_MASTER!$E$5:$E$21,MATCH($C631,DATA_PROPERTY_MASTER!$A$5:$A$21,0))="Yes",FALSE),IFERROR(INDEX(INDIRECT("'"&amp;$C631&amp;"'!$E$56:$Y$56"),1,MATCH($D631,INDIRECT("'"&amp;$C631&amp;"'!$E$12:$Y$12"),0)),0)+MAX(IFERROR(INDEX(INDIRECT("'"&amp;$C631&amp;"'!$E$63:$Y$63"),1,MATCH($D631,INDIRECT("'"&amp;$C631&amp;"'!$E$12:$Y$12"),0)),0),0),0)</f>
        <v>46844.552025279962</v>
      </c>
      <c r="I631" s="366" t="s">
        <v>1685</v>
      </c>
      <c r="J631" s="348" t="str">
        <f t="shared" ca="1" si="18"/>
        <v>OK</v>
      </c>
      <c r="K631" s="366" t="s">
        <v>1742</v>
      </c>
      <c r="L631" s="366" t="s">
        <v>2262</v>
      </c>
      <c r="M631" s="350" t="str">
        <f>IF($B631="Portfolio","Portfolio",IFERROR(INDEX(DATA_ASSET_CLASSIFICATION!$B$8:$B$24,MATCH($C631,DATA_ASSET_CLASSIFICATION!$A$8:$A$24,0)),"Review"))</f>
        <v>Antkiw Court</v>
      </c>
      <c r="N631" s="350" t="str">
        <f ca="1">IF($B631="Portfolio","Portfolio",IFERROR(INDEX(DATA_ASSET_CLASSIFICATION!$U$8:$U$24,MATCH($C631,DATA_ASSET_CLASSIFICATION!$A$8:$A$24,0)),"Review"))</f>
        <v>Stable</v>
      </c>
      <c r="O631" s="350" t="str">
        <f ca="1">IF($B631="Portfolio","Portfolio",IFERROR(INDEX(DATA_ASSET_CLASSIFICATION!$AB$8:$AB$13,MATCH($N631,DATA_ASSET_CLASSIFICATION!$AA$8:$AA$13,0)),"Review"))</f>
        <v>Bucket 2 · Legacy</v>
      </c>
      <c r="P631" s="350" t="str">
        <f>IF($B631="Portfolio","Portfolio",IFERROR(INDEX(DATA_ASSET_CLASSIFICATION!$C$8:$C$24,MATCH($C631,DATA_ASSET_CLASSIFICATION!$A$8:$A$24,0)),"Review"))</f>
        <v>Yes</v>
      </c>
      <c r="Q631" s="350" t="str">
        <f t="shared" ca="1" si="19"/>
        <v>OK</v>
      </c>
    </row>
    <row r="632" spans="1:17">
      <c r="A632" s="366" t="s">
        <v>2588</v>
      </c>
      <c r="B632" s="366" t="s">
        <v>231</v>
      </c>
      <c r="C632" s="348" t="str">
        <f>DATA_PROPERTY_MASTER!$A$6</f>
        <v>BLD_AC</v>
      </c>
      <c r="D632" s="380">
        <f>'00_PORTFOLIO ROLLUP'!G$12</f>
        <v>2027</v>
      </c>
      <c r="E632" s="366" t="s">
        <v>1741</v>
      </c>
      <c r="F632" s="366" t="s">
        <v>43</v>
      </c>
      <c r="G632" s="348" t="str">
        <f>"'"&amp;$C632&amp;"'!$E$68:$Y$68"</f>
        <v>'BLD_AC'!$E$68:$Y$68</v>
      </c>
      <c r="H632" s="381">
        <f ca="1">IF(IFERROR(INDEX(DATA_PROPERTY_MASTER!$E$5:$E$21,MATCH($C632,DATA_PROPERTY_MASTER!$A$5:$A$21,0))="Yes",FALSE),IFERROR(INDEX(INDIRECT("'"&amp;$C632&amp;"'!$E$68:$Y$68"),1,MATCH($D632,INDIRECT("'"&amp;$C632&amp;"'!$E$12:$Y$12"),0)),0),0)</f>
        <v>46844.552025279962</v>
      </c>
      <c r="I632" s="366" t="s">
        <v>1731</v>
      </c>
      <c r="J632" s="348" t="str">
        <f t="shared" ca="1" si="18"/>
        <v>OK</v>
      </c>
      <c r="K632" s="366" t="s">
        <v>1746</v>
      </c>
      <c r="L632" s="366" t="s">
        <v>2264</v>
      </c>
      <c r="M632" s="350" t="str">
        <f>IF($B632="Portfolio","Portfolio",IFERROR(INDEX(DATA_ASSET_CLASSIFICATION!$B$8:$B$24,MATCH($C632,DATA_ASSET_CLASSIFICATION!$A$8:$A$24,0)),"Review"))</f>
        <v>Antkiw Court</v>
      </c>
      <c r="N632" s="350" t="str">
        <f ca="1">IF($B632="Portfolio","Portfolio",IFERROR(INDEX(DATA_ASSET_CLASSIFICATION!$U$8:$U$24,MATCH($C632,DATA_ASSET_CLASSIFICATION!$A$8:$A$24,0)),"Review"))</f>
        <v>Stable</v>
      </c>
      <c r="O632" s="350" t="str">
        <f ca="1">IF($B632="Portfolio","Portfolio",IFERROR(INDEX(DATA_ASSET_CLASSIFICATION!$AB$8:$AB$13,MATCH($N632,DATA_ASSET_CLASSIFICATION!$AA$8:$AA$13,0)),"Review"))</f>
        <v>Bucket 2 · Legacy</v>
      </c>
      <c r="P632" s="350" t="str">
        <f>IF($B632="Portfolio","Portfolio",IFERROR(INDEX(DATA_ASSET_CLASSIFICATION!$C$8:$C$24,MATCH($C632,DATA_ASSET_CLASSIFICATION!$A$8:$A$24,0)),"Review"))</f>
        <v>Yes</v>
      </c>
      <c r="Q632" s="350" t="str">
        <f t="shared" ca="1" si="19"/>
        <v>OK</v>
      </c>
    </row>
    <row r="633" spans="1:17">
      <c r="A633" s="366" t="s">
        <v>2589</v>
      </c>
      <c r="B633" s="366" t="s">
        <v>231</v>
      </c>
      <c r="C633" s="348" t="str">
        <f>DATA_PROPERTY_MASTER!$A$6</f>
        <v>BLD_AC</v>
      </c>
      <c r="D633" s="380">
        <f>'00_PORTFOLIO ROLLUP'!G$12</f>
        <v>2027</v>
      </c>
      <c r="E633" s="366" t="s">
        <v>1741</v>
      </c>
      <c r="F633" s="366" t="s">
        <v>1749</v>
      </c>
      <c r="G633" s="348" t="str">
        <f>"'"&amp;$C633&amp;"'!rows 56, 63, 68"</f>
        <v>'BLD_AC'!rows 56, 63, 68</v>
      </c>
      <c r="H633" s="381">
        <f ca="1">IF(IFERROR(INDEX(DATA_PROPERTY_MASTER!$E$5:$E$21,MATCH($C633,DATA_PROPERTY_MASTER!$A$5:$A$21,0))="Yes",FALSE),(IFERROR(INDEX(INDIRECT("'"&amp;$C633&amp;"'!$E$56:$Y$56"),1,MATCH($D633,INDIRECT("'"&amp;$C633&amp;"'!$E$12:$Y$12"),0)),0)+MAX(IFERROR(INDEX(INDIRECT("'"&amp;$C633&amp;"'!$E$63:$Y$63"),1,MATCH($D633,INDIRECT("'"&amp;$C633&amp;"'!$E$12:$Y$12"),0)),0),0))-(IFERROR(INDEX(INDIRECT("'"&amp;$C633&amp;"'!$E$68:$Y$68"),1,MATCH($D633,INDIRECT("'"&amp;$C633&amp;"'!$E$12:$Y$12"),0)),0)),0)</f>
        <v>0</v>
      </c>
      <c r="I633" s="366" t="s">
        <v>1750</v>
      </c>
      <c r="J633" s="348" t="str">
        <f t="shared" ca="1" si="18"/>
        <v>OK</v>
      </c>
      <c r="K633" s="366" t="s">
        <v>1751</v>
      </c>
      <c r="L633" s="366" t="s">
        <v>2266</v>
      </c>
      <c r="M633" s="350" t="str">
        <f>IF($B633="Portfolio","Portfolio",IFERROR(INDEX(DATA_ASSET_CLASSIFICATION!$B$8:$B$24,MATCH($C633,DATA_ASSET_CLASSIFICATION!$A$8:$A$24,0)),"Review"))</f>
        <v>Antkiw Court</v>
      </c>
      <c r="N633" s="350" t="str">
        <f ca="1">IF($B633="Portfolio","Portfolio",IFERROR(INDEX(DATA_ASSET_CLASSIFICATION!$U$8:$U$24,MATCH($C633,DATA_ASSET_CLASSIFICATION!$A$8:$A$24,0)),"Review"))</f>
        <v>Stable</v>
      </c>
      <c r="O633" s="350" t="str">
        <f ca="1">IF($B633="Portfolio","Portfolio",IFERROR(INDEX(DATA_ASSET_CLASSIFICATION!$AB$8:$AB$13,MATCH($N633,DATA_ASSET_CLASSIFICATION!$AA$8:$AA$13,0)),"Review"))</f>
        <v>Bucket 2 · Legacy</v>
      </c>
      <c r="P633" s="350" t="str">
        <f>IF($B633="Portfolio","Portfolio",IFERROR(INDEX(DATA_ASSET_CLASSIFICATION!$C$8:$C$24,MATCH($C633,DATA_ASSET_CLASSIFICATION!$A$8:$A$24,0)),"Review"))</f>
        <v>Yes</v>
      </c>
      <c r="Q633" s="350" t="str">
        <f t="shared" ca="1" si="19"/>
        <v>OK</v>
      </c>
    </row>
    <row r="634" spans="1:17">
      <c r="A634" s="366" t="s">
        <v>2590</v>
      </c>
      <c r="B634" s="366" t="s">
        <v>231</v>
      </c>
      <c r="C634" s="348" t="str">
        <f>DATA_PROPERTY_MASTER!$A$6</f>
        <v>BLD_AC</v>
      </c>
      <c r="D634" s="380">
        <f>'00_PORTFOLIO ROLLUP'!H$12</f>
        <v>2028</v>
      </c>
      <c r="E634" s="366" t="s">
        <v>1683</v>
      </c>
      <c r="F634" s="366" t="s">
        <v>341</v>
      </c>
      <c r="G634" s="348" t="str">
        <f>"'"&amp;$C634&amp;"'!$E$24:$Y$24"</f>
        <v>'BLD_AC'!$E$24:$Y$24</v>
      </c>
      <c r="H634" s="381">
        <f ca="1">IF(IFERROR(INDEX(DATA_PROPERTY_MASTER!$E$5:$E$21,MATCH($C634,DATA_PROPERTY_MASTER!$A$5:$A$21,0))="Yes",FALSE),IFERROR(INDEX(INDIRECT("'"&amp;$C634&amp;"'!$E$24:$Y$24"),1,MATCH($D634,INDIRECT("'"&amp;$C634&amp;"'!$E$12:$Y$12"),0)),0),0)</f>
        <v>414865.68574492796</v>
      </c>
      <c r="I634" s="366" t="s">
        <v>1685</v>
      </c>
      <c r="J634" s="348" t="str">
        <f t="shared" ca="1" si="18"/>
        <v>OK</v>
      </c>
      <c r="K634" s="366" t="s">
        <v>1686</v>
      </c>
      <c r="L634" s="366" t="s">
        <v>2234</v>
      </c>
      <c r="M634" s="350" t="str">
        <f>IF($B634="Portfolio","Portfolio",IFERROR(INDEX(DATA_ASSET_CLASSIFICATION!$B$8:$B$24,MATCH($C634,DATA_ASSET_CLASSIFICATION!$A$8:$A$24,0)),"Review"))</f>
        <v>Antkiw Court</v>
      </c>
      <c r="N634" s="350" t="str">
        <f ca="1">IF($B634="Portfolio","Portfolio",IFERROR(INDEX(DATA_ASSET_CLASSIFICATION!$U$8:$U$24,MATCH($C634,DATA_ASSET_CLASSIFICATION!$A$8:$A$24,0)),"Review"))</f>
        <v>Stable</v>
      </c>
      <c r="O634" s="350" t="str">
        <f ca="1">IF($B634="Portfolio","Portfolio",IFERROR(INDEX(DATA_ASSET_CLASSIFICATION!$AB$8:$AB$13,MATCH($N634,DATA_ASSET_CLASSIFICATION!$AA$8:$AA$13,0)),"Review"))</f>
        <v>Bucket 2 · Legacy</v>
      </c>
      <c r="P634" s="350" t="str">
        <f>IF($B634="Portfolio","Portfolio",IFERROR(INDEX(DATA_ASSET_CLASSIFICATION!$C$8:$C$24,MATCH($C634,DATA_ASSET_CLASSIFICATION!$A$8:$A$24,0)),"Review"))</f>
        <v>Yes</v>
      </c>
      <c r="Q634" s="350" t="str">
        <f t="shared" ca="1" si="19"/>
        <v>OK</v>
      </c>
    </row>
    <row r="635" spans="1:17">
      <c r="A635" s="366" t="s">
        <v>2591</v>
      </c>
      <c r="B635" s="366" t="s">
        <v>231</v>
      </c>
      <c r="C635" s="348" t="str">
        <f>DATA_PROPERTY_MASTER!$A$6</f>
        <v>BLD_AC</v>
      </c>
      <c r="D635" s="380">
        <f>'00_PORTFOLIO ROLLUP'!H$12</f>
        <v>2028</v>
      </c>
      <c r="E635" s="366" t="s">
        <v>1683</v>
      </c>
      <c r="F635" s="366" t="s">
        <v>355</v>
      </c>
      <c r="G635" s="348" t="str">
        <f>"'"&amp;$C635&amp;"'!$E$39:$Y$39"</f>
        <v>'BLD_AC'!$E$39:$Y$39</v>
      </c>
      <c r="H635" s="381">
        <f ca="1">IF(IFERROR(INDEX(DATA_PROPERTY_MASTER!$E$5:$E$21,MATCH($C635,DATA_PROPERTY_MASTER!$A$5:$A$21,0))="Yes",FALSE),IFERROR(INDEX(INDIRECT("'"&amp;$C635&amp;"'!$E$39:$Y$39"),1,MATCH($D635,INDIRECT("'"&amp;$C635&amp;"'!$E$12:$Y$12"),0)),0),0)</f>
        <v>169369.647616</v>
      </c>
      <c r="I635" s="366" t="s">
        <v>1690</v>
      </c>
      <c r="J635" s="348" t="str">
        <f t="shared" ca="1" si="18"/>
        <v>OK</v>
      </c>
      <c r="K635" s="366" t="s">
        <v>1686</v>
      </c>
      <c r="L635" s="366" t="s">
        <v>2236</v>
      </c>
      <c r="M635" s="350" t="str">
        <f>IF($B635="Portfolio","Portfolio",IFERROR(INDEX(DATA_ASSET_CLASSIFICATION!$B$8:$B$24,MATCH($C635,DATA_ASSET_CLASSIFICATION!$A$8:$A$24,0)),"Review"))</f>
        <v>Antkiw Court</v>
      </c>
      <c r="N635" s="350" t="str">
        <f ca="1">IF($B635="Portfolio","Portfolio",IFERROR(INDEX(DATA_ASSET_CLASSIFICATION!$U$8:$U$24,MATCH($C635,DATA_ASSET_CLASSIFICATION!$A$8:$A$24,0)),"Review"))</f>
        <v>Stable</v>
      </c>
      <c r="O635" s="350" t="str">
        <f ca="1">IF($B635="Portfolio","Portfolio",IFERROR(INDEX(DATA_ASSET_CLASSIFICATION!$AB$8:$AB$13,MATCH($N635,DATA_ASSET_CLASSIFICATION!$AA$8:$AA$13,0)),"Review"))</f>
        <v>Bucket 2 · Legacy</v>
      </c>
      <c r="P635" s="350" t="str">
        <f>IF($B635="Portfolio","Portfolio",IFERROR(INDEX(DATA_ASSET_CLASSIFICATION!$C$8:$C$24,MATCH($C635,DATA_ASSET_CLASSIFICATION!$A$8:$A$24,0)),"Review"))</f>
        <v>Yes</v>
      </c>
      <c r="Q635" s="350" t="str">
        <f t="shared" ca="1" si="19"/>
        <v>OK</v>
      </c>
    </row>
    <row r="636" spans="1:17">
      <c r="A636" s="366" t="s">
        <v>2592</v>
      </c>
      <c r="B636" s="366" t="s">
        <v>231</v>
      </c>
      <c r="C636" s="348" t="str">
        <f>DATA_PROPERTY_MASTER!$A$6</f>
        <v>BLD_AC</v>
      </c>
      <c r="D636" s="380">
        <f>'00_PORTFOLIO ROLLUP'!H$12</f>
        <v>2028</v>
      </c>
      <c r="E636" s="366" t="s">
        <v>1683</v>
      </c>
      <c r="F636" s="366" t="s">
        <v>19</v>
      </c>
      <c r="G636" s="348" t="str">
        <f>"'"&amp;$C636&amp;"'!$E$41:$Y$41"</f>
        <v>'BLD_AC'!$E$41:$Y$41</v>
      </c>
      <c r="H636" s="381">
        <f ca="1">IF(IFERROR(INDEX(DATA_PROPERTY_MASTER!$E$5:$E$21,MATCH($C636,DATA_PROPERTY_MASTER!$A$5:$A$21,0))="Yes",FALSE),IFERROR(INDEX(INDIRECT("'"&amp;$C636&amp;"'!$E$41:$Y$41"),1,MATCH($D636,INDIRECT("'"&amp;$C636&amp;"'!$E$12:$Y$12"),0)),0),0)</f>
        <v>245496.03812892796</v>
      </c>
      <c r="I636" s="366" t="s">
        <v>1685</v>
      </c>
      <c r="J636" s="348" t="str">
        <f t="shared" ca="1" si="18"/>
        <v>OK</v>
      </c>
      <c r="K636" s="366" t="s">
        <v>1694</v>
      </c>
      <c r="L636" s="366" t="s">
        <v>2238</v>
      </c>
      <c r="M636" s="350" t="str">
        <f>IF($B636="Portfolio","Portfolio",IFERROR(INDEX(DATA_ASSET_CLASSIFICATION!$B$8:$B$24,MATCH($C636,DATA_ASSET_CLASSIFICATION!$A$8:$A$24,0)),"Review"))</f>
        <v>Antkiw Court</v>
      </c>
      <c r="N636" s="350" t="str">
        <f ca="1">IF($B636="Portfolio","Portfolio",IFERROR(INDEX(DATA_ASSET_CLASSIFICATION!$U$8:$U$24,MATCH($C636,DATA_ASSET_CLASSIFICATION!$A$8:$A$24,0)),"Review"))</f>
        <v>Stable</v>
      </c>
      <c r="O636" s="350" t="str">
        <f ca="1">IF($B636="Portfolio","Portfolio",IFERROR(INDEX(DATA_ASSET_CLASSIFICATION!$AB$8:$AB$13,MATCH($N636,DATA_ASSET_CLASSIFICATION!$AA$8:$AA$13,0)),"Review"))</f>
        <v>Bucket 2 · Legacy</v>
      </c>
      <c r="P636" s="350" t="str">
        <f>IF($B636="Portfolio","Portfolio",IFERROR(INDEX(DATA_ASSET_CLASSIFICATION!$C$8:$C$24,MATCH($C636,DATA_ASSET_CLASSIFICATION!$A$8:$A$24,0)),"Review"))</f>
        <v>Yes</v>
      </c>
      <c r="Q636" s="350" t="str">
        <f t="shared" ca="1" si="19"/>
        <v>OK</v>
      </c>
    </row>
    <row r="637" spans="1:17">
      <c r="A637" s="366" t="s">
        <v>2593</v>
      </c>
      <c r="B637" s="366" t="s">
        <v>231</v>
      </c>
      <c r="C637" s="348" t="str">
        <f>DATA_PROPERTY_MASTER!$A$6</f>
        <v>BLD_AC</v>
      </c>
      <c r="D637" s="380">
        <f>'00_PORTFOLIO ROLLUP'!H$12</f>
        <v>2028</v>
      </c>
      <c r="E637" s="366" t="s">
        <v>1683</v>
      </c>
      <c r="F637" s="366" t="s">
        <v>1697</v>
      </c>
      <c r="G637" s="348" t="str">
        <f>"'"&amp;$C637&amp;"'!$E$44:$Y$44"</f>
        <v>'BLD_AC'!$E$44:$Y$44</v>
      </c>
      <c r="H637" s="381">
        <f ca="1">IF(IFERROR(INDEX(DATA_PROPERTY_MASTER!$E$5:$E$21,MATCH($C637,DATA_PROPERTY_MASTER!$A$5:$A$21,0))="Yes",FALSE),IFERROR(INDEX(INDIRECT("'"&amp;$C637&amp;"'!$E$44:$Y$44"),1,MATCH($D637,INDIRECT("'"&amp;$C637&amp;"'!$E$12:$Y$12"),0)),0),0)</f>
        <v>3342.8051999999998</v>
      </c>
      <c r="I637" s="366" t="s">
        <v>1690</v>
      </c>
      <c r="J637" s="348" t="str">
        <f t="shared" ca="1" si="18"/>
        <v>OK</v>
      </c>
      <c r="K637" s="366" t="s">
        <v>1699</v>
      </c>
      <c r="L637" s="366" t="s">
        <v>2240</v>
      </c>
      <c r="M637" s="350" t="str">
        <f>IF($B637="Portfolio","Portfolio",IFERROR(INDEX(DATA_ASSET_CLASSIFICATION!$B$8:$B$24,MATCH($C637,DATA_ASSET_CLASSIFICATION!$A$8:$A$24,0)),"Review"))</f>
        <v>Antkiw Court</v>
      </c>
      <c r="N637" s="350" t="str">
        <f ca="1">IF($B637="Portfolio","Portfolio",IFERROR(INDEX(DATA_ASSET_CLASSIFICATION!$U$8:$U$24,MATCH($C637,DATA_ASSET_CLASSIFICATION!$A$8:$A$24,0)),"Review"))</f>
        <v>Stable</v>
      </c>
      <c r="O637" s="350" t="str">
        <f ca="1">IF($B637="Portfolio","Portfolio",IFERROR(INDEX(DATA_ASSET_CLASSIFICATION!$AB$8:$AB$13,MATCH($N637,DATA_ASSET_CLASSIFICATION!$AA$8:$AA$13,0)),"Review"))</f>
        <v>Bucket 2 · Legacy</v>
      </c>
      <c r="P637" s="350" t="str">
        <f>IF($B637="Portfolio","Portfolio",IFERROR(INDEX(DATA_ASSET_CLASSIFICATION!$C$8:$C$24,MATCH($C637,DATA_ASSET_CLASSIFICATION!$A$8:$A$24,0)),"Review"))</f>
        <v>Yes</v>
      </c>
      <c r="Q637" s="350" t="str">
        <f t="shared" ca="1" si="19"/>
        <v>OK</v>
      </c>
    </row>
    <row r="638" spans="1:17">
      <c r="A638" s="366" t="s">
        <v>2594</v>
      </c>
      <c r="B638" s="366" t="s">
        <v>231</v>
      </c>
      <c r="C638" s="348" t="str">
        <f>DATA_PROPERTY_MASTER!$A$6</f>
        <v>BLD_AC</v>
      </c>
      <c r="D638" s="380">
        <f>'00_PORTFOLIO ROLLUP'!H$12</f>
        <v>2028</v>
      </c>
      <c r="E638" s="366" t="s">
        <v>1683</v>
      </c>
      <c r="F638" s="366" t="s">
        <v>21</v>
      </c>
      <c r="G638" s="348" t="str">
        <f>"'"&amp;$C638&amp;"'!$E$45:$Y$45"</f>
        <v>'BLD_AC'!$E$45:$Y$45</v>
      </c>
      <c r="H638" s="381">
        <f ca="1">IF(IFERROR(INDEX(DATA_PROPERTY_MASTER!$E$5:$E$21,MATCH($C638,DATA_PROPERTY_MASTER!$A$5:$A$21,0))="Yes",FALSE),IFERROR(INDEX(INDIRECT("'"&amp;$C638&amp;"'!$E$45:$Y$45"),1,MATCH($D638,INDIRECT("'"&amp;$C638&amp;"'!$E$12:$Y$12"),0)),0),0)</f>
        <v>242153.23292892796</v>
      </c>
      <c r="I638" s="366" t="s">
        <v>1685</v>
      </c>
      <c r="J638" s="348" t="str">
        <f t="shared" ca="1" si="18"/>
        <v>OK</v>
      </c>
      <c r="K638" s="366" t="s">
        <v>1694</v>
      </c>
      <c r="L638" s="366" t="s">
        <v>2242</v>
      </c>
      <c r="M638" s="350" t="str">
        <f>IF($B638="Portfolio","Portfolio",IFERROR(INDEX(DATA_ASSET_CLASSIFICATION!$B$8:$B$24,MATCH($C638,DATA_ASSET_CLASSIFICATION!$A$8:$A$24,0)),"Review"))</f>
        <v>Antkiw Court</v>
      </c>
      <c r="N638" s="350" t="str">
        <f ca="1">IF($B638="Portfolio","Portfolio",IFERROR(INDEX(DATA_ASSET_CLASSIFICATION!$U$8:$U$24,MATCH($C638,DATA_ASSET_CLASSIFICATION!$A$8:$A$24,0)),"Review"))</f>
        <v>Stable</v>
      </c>
      <c r="O638" s="350" t="str">
        <f ca="1">IF($B638="Portfolio","Portfolio",IFERROR(INDEX(DATA_ASSET_CLASSIFICATION!$AB$8:$AB$13,MATCH($N638,DATA_ASSET_CLASSIFICATION!$AA$8:$AA$13,0)),"Review"))</f>
        <v>Bucket 2 · Legacy</v>
      </c>
      <c r="P638" s="350" t="str">
        <f>IF($B638="Portfolio","Portfolio",IFERROR(INDEX(DATA_ASSET_CLASSIFICATION!$C$8:$C$24,MATCH($C638,DATA_ASSET_CLASSIFICATION!$A$8:$A$24,0)),"Review"))</f>
        <v>Yes</v>
      </c>
      <c r="Q638" s="350" t="str">
        <f t="shared" ca="1" si="19"/>
        <v>OK</v>
      </c>
    </row>
    <row r="639" spans="1:17">
      <c r="A639" s="366" t="s">
        <v>2595</v>
      </c>
      <c r="B639" s="366" t="s">
        <v>231</v>
      </c>
      <c r="C639" s="348" t="str">
        <f>DATA_PROPERTY_MASTER!$A$6</f>
        <v>BLD_AC</v>
      </c>
      <c r="D639" s="380">
        <f>'00_PORTFOLIO ROLLUP'!H$12</f>
        <v>2028</v>
      </c>
      <c r="E639" s="366" t="s">
        <v>23</v>
      </c>
      <c r="F639" s="366" t="s">
        <v>23</v>
      </c>
      <c r="G639" s="348" t="str">
        <f>"'"&amp;$C639&amp;"'!$E$48:$Y$48"</f>
        <v>'BLD_AC'!$E$48:$Y$48</v>
      </c>
      <c r="H639" s="381">
        <f ca="1">IF(IFERROR(INDEX(DATA_PROPERTY_MASTER!$E$5:$E$21,MATCH($C639,DATA_PROPERTY_MASTER!$A$5:$A$21,0))="Yes",FALSE),IFERROR(INDEX(INDIRECT("'"&amp;$C639&amp;"'!$E$48:$Y$48"),1,MATCH($D639,INDIRECT("'"&amp;$C639&amp;"'!$E$12:$Y$12"),0)),0),0)</f>
        <v>54330.12</v>
      </c>
      <c r="I639" s="366" t="s">
        <v>1690</v>
      </c>
      <c r="J639" s="348" t="str">
        <f t="shared" ca="1" si="18"/>
        <v>OK</v>
      </c>
      <c r="K639" s="366" t="s">
        <v>1706</v>
      </c>
      <c r="L639" s="366" t="s">
        <v>2244</v>
      </c>
      <c r="M639" s="350" t="str">
        <f>IF($B639="Portfolio","Portfolio",IFERROR(INDEX(DATA_ASSET_CLASSIFICATION!$B$8:$B$24,MATCH($C639,DATA_ASSET_CLASSIFICATION!$A$8:$A$24,0)),"Review"))</f>
        <v>Antkiw Court</v>
      </c>
      <c r="N639" s="350" t="str">
        <f ca="1">IF($B639="Portfolio","Portfolio",IFERROR(INDEX(DATA_ASSET_CLASSIFICATION!$U$8:$U$24,MATCH($C639,DATA_ASSET_CLASSIFICATION!$A$8:$A$24,0)),"Review"))</f>
        <v>Stable</v>
      </c>
      <c r="O639" s="350" t="str">
        <f ca="1">IF($B639="Portfolio","Portfolio",IFERROR(INDEX(DATA_ASSET_CLASSIFICATION!$AB$8:$AB$13,MATCH($N639,DATA_ASSET_CLASSIFICATION!$AA$8:$AA$13,0)),"Review"))</f>
        <v>Bucket 2 · Legacy</v>
      </c>
      <c r="P639" s="350" t="str">
        <f>IF($B639="Portfolio","Portfolio",IFERROR(INDEX(DATA_ASSET_CLASSIFICATION!$C$8:$C$24,MATCH($C639,DATA_ASSET_CLASSIFICATION!$A$8:$A$24,0)),"Review"))</f>
        <v>Yes</v>
      </c>
      <c r="Q639" s="350" t="str">
        <f t="shared" ca="1" si="19"/>
        <v>OK</v>
      </c>
    </row>
    <row r="640" spans="1:17">
      <c r="A640" s="366" t="s">
        <v>2596</v>
      </c>
      <c r="B640" s="366" t="s">
        <v>231</v>
      </c>
      <c r="C640" s="348" t="str">
        <f>DATA_PROPERTY_MASTER!$A$6</f>
        <v>BLD_AC</v>
      </c>
      <c r="D640" s="380">
        <f>'00_PORTFOLIO ROLLUP'!H$12</f>
        <v>2028</v>
      </c>
      <c r="E640" s="366" t="s">
        <v>1683</v>
      </c>
      <c r="F640" s="366" t="s">
        <v>25</v>
      </c>
      <c r="G640" s="348" t="str">
        <f>"'"&amp;$C640&amp;"'!$E$52:$Y$52"</f>
        <v>'BLD_AC'!$E$52:$Y$52</v>
      </c>
      <c r="H640" s="381">
        <f ca="1">IF(IFERROR(INDEX(DATA_PROPERTY_MASTER!$E$5:$E$21,MATCH($C640,DATA_PROPERTY_MASTER!$A$5:$A$21,0))="Yes",FALSE),IFERROR(INDEX(INDIRECT("'"&amp;$C640&amp;"'!$E$52:$Y$52"),1,MATCH($D640,INDIRECT("'"&amp;$C640&amp;"'!$E$12:$Y$12"),0)),0),0)</f>
        <v>191165.91812892797</v>
      </c>
      <c r="I640" s="366" t="s">
        <v>1685</v>
      </c>
      <c r="J640" s="348" t="str">
        <f t="shared" ca="1" si="18"/>
        <v>OK</v>
      </c>
      <c r="K640" s="366" t="s">
        <v>1710</v>
      </c>
      <c r="L640" s="366" t="s">
        <v>2246</v>
      </c>
      <c r="M640" s="350" t="str">
        <f>IF($B640="Portfolio","Portfolio",IFERROR(INDEX(DATA_ASSET_CLASSIFICATION!$B$8:$B$24,MATCH($C640,DATA_ASSET_CLASSIFICATION!$A$8:$A$24,0)),"Review"))</f>
        <v>Antkiw Court</v>
      </c>
      <c r="N640" s="350" t="str">
        <f ca="1">IF($B640="Portfolio","Portfolio",IFERROR(INDEX(DATA_ASSET_CLASSIFICATION!$U$8:$U$24,MATCH($C640,DATA_ASSET_CLASSIFICATION!$A$8:$A$24,0)),"Review"))</f>
        <v>Stable</v>
      </c>
      <c r="O640" s="350" t="str">
        <f ca="1">IF($B640="Portfolio","Portfolio",IFERROR(INDEX(DATA_ASSET_CLASSIFICATION!$AB$8:$AB$13,MATCH($N640,DATA_ASSET_CLASSIFICATION!$AA$8:$AA$13,0)),"Review"))</f>
        <v>Bucket 2 · Legacy</v>
      </c>
      <c r="P640" s="350" t="str">
        <f>IF($B640="Portfolio","Portfolio",IFERROR(INDEX(DATA_ASSET_CLASSIFICATION!$C$8:$C$24,MATCH($C640,DATA_ASSET_CLASSIFICATION!$A$8:$A$24,0)),"Review"))</f>
        <v>Yes</v>
      </c>
      <c r="Q640" s="350" t="str">
        <f t="shared" ca="1" si="19"/>
        <v>OK</v>
      </c>
    </row>
    <row r="641" spans="1:17">
      <c r="A641" s="366" t="s">
        <v>2597</v>
      </c>
      <c r="B641" s="366" t="s">
        <v>231</v>
      </c>
      <c r="C641" s="348" t="str">
        <f>DATA_PROPERTY_MASTER!$A$6</f>
        <v>BLD_AC</v>
      </c>
      <c r="D641" s="380">
        <f>'00_PORTFOLIO ROLLUP'!H$12</f>
        <v>2028</v>
      </c>
      <c r="E641" s="366" t="s">
        <v>1683</v>
      </c>
      <c r="F641" s="366" t="s">
        <v>27</v>
      </c>
      <c r="G641" s="348" t="str">
        <f>"'"&amp;$C641&amp;"'!$E$54:$Y$54"</f>
        <v>'BLD_AC'!$E$54:$Y$54</v>
      </c>
      <c r="H641" s="381">
        <f ca="1">IF(IFERROR(INDEX(DATA_PROPERTY_MASTER!$E$5:$E$21,MATCH($C641,DATA_PROPERTY_MASTER!$A$5:$A$21,0))="Yes",FALSE),IFERROR(INDEX(INDIRECT("'"&amp;$C641&amp;"'!$E$54:$Y$54"),1,MATCH($D641,INDIRECT("'"&amp;$C641&amp;"'!$E$12:$Y$12"),0)),0),0)</f>
        <v>114699.55087735677</v>
      </c>
      <c r="I641" s="366" t="s">
        <v>1690</v>
      </c>
      <c r="J641" s="348" t="str">
        <f t="shared" ca="1" si="18"/>
        <v>OK</v>
      </c>
      <c r="K641" s="366" t="s">
        <v>1714</v>
      </c>
      <c r="L641" s="366" t="s">
        <v>2248</v>
      </c>
      <c r="M641" s="350" t="str">
        <f>IF($B641="Portfolio","Portfolio",IFERROR(INDEX(DATA_ASSET_CLASSIFICATION!$B$8:$B$24,MATCH($C641,DATA_ASSET_CLASSIFICATION!$A$8:$A$24,0)),"Review"))</f>
        <v>Antkiw Court</v>
      </c>
      <c r="N641" s="350" t="str">
        <f ca="1">IF($B641="Portfolio","Portfolio",IFERROR(INDEX(DATA_ASSET_CLASSIFICATION!$U$8:$U$24,MATCH($C641,DATA_ASSET_CLASSIFICATION!$A$8:$A$24,0)),"Review"))</f>
        <v>Stable</v>
      </c>
      <c r="O641" s="350" t="str">
        <f ca="1">IF($B641="Portfolio","Portfolio",IFERROR(INDEX(DATA_ASSET_CLASSIFICATION!$AB$8:$AB$13,MATCH($N641,DATA_ASSET_CLASSIFICATION!$AA$8:$AA$13,0)),"Review"))</f>
        <v>Bucket 2 · Legacy</v>
      </c>
      <c r="P641" s="350" t="str">
        <f>IF($B641="Portfolio","Portfolio",IFERROR(INDEX(DATA_ASSET_CLASSIFICATION!$C$8:$C$24,MATCH($C641,DATA_ASSET_CLASSIFICATION!$A$8:$A$24,0)),"Review"))</f>
        <v>Yes</v>
      </c>
      <c r="Q641" s="350" t="str">
        <f t="shared" ca="1" si="19"/>
        <v>OK</v>
      </c>
    </row>
    <row r="642" spans="1:17">
      <c r="A642" s="366" t="s">
        <v>2598</v>
      </c>
      <c r="B642" s="366" t="s">
        <v>231</v>
      </c>
      <c r="C642" s="348" t="str">
        <f>DATA_PROPERTY_MASTER!$A$6</f>
        <v>BLD_AC</v>
      </c>
      <c r="D642" s="380">
        <f>'00_PORTFOLIO ROLLUP'!H$12</f>
        <v>2028</v>
      </c>
      <c r="E642" s="366" t="s">
        <v>1683</v>
      </c>
      <c r="F642" s="366" t="s">
        <v>29</v>
      </c>
      <c r="G642" s="348" t="str">
        <f>"'"&amp;$C642&amp;"'!$E$56:$Y$56"</f>
        <v>'BLD_AC'!$E$56:$Y$56</v>
      </c>
      <c r="H642" s="381">
        <f ca="1">IF(IFERROR(INDEX(DATA_PROPERTY_MASTER!$E$5:$E$21,MATCH($C642,DATA_PROPERTY_MASTER!$A$5:$A$21,0))="Yes",FALSE),IFERROR(INDEX(INDIRECT("'"&amp;$C642&amp;"'!$E$56:$Y$56"),1,MATCH($D642,INDIRECT("'"&amp;$C642&amp;"'!$E$12:$Y$12"),0)),0),0)</f>
        <v>76466.367251571195</v>
      </c>
      <c r="I642" s="366" t="s">
        <v>1685</v>
      </c>
      <c r="J642" s="348" t="str">
        <f t="shared" ca="1" si="18"/>
        <v>OK</v>
      </c>
      <c r="K642" s="366" t="s">
        <v>1718</v>
      </c>
      <c r="L642" s="366" t="s">
        <v>2250</v>
      </c>
      <c r="M642" s="350" t="str">
        <f>IF($B642="Portfolio","Portfolio",IFERROR(INDEX(DATA_ASSET_CLASSIFICATION!$B$8:$B$24,MATCH($C642,DATA_ASSET_CLASSIFICATION!$A$8:$A$24,0)),"Review"))</f>
        <v>Antkiw Court</v>
      </c>
      <c r="N642" s="350" t="str">
        <f ca="1">IF($B642="Portfolio","Portfolio",IFERROR(INDEX(DATA_ASSET_CLASSIFICATION!$U$8:$U$24,MATCH($C642,DATA_ASSET_CLASSIFICATION!$A$8:$A$24,0)),"Review"))</f>
        <v>Stable</v>
      </c>
      <c r="O642" s="350" t="str">
        <f ca="1">IF($B642="Portfolio","Portfolio",IFERROR(INDEX(DATA_ASSET_CLASSIFICATION!$AB$8:$AB$13,MATCH($N642,DATA_ASSET_CLASSIFICATION!$AA$8:$AA$13,0)),"Review"))</f>
        <v>Bucket 2 · Legacy</v>
      </c>
      <c r="P642" s="350" t="str">
        <f>IF($B642="Portfolio","Portfolio",IFERROR(INDEX(DATA_ASSET_CLASSIFICATION!$C$8:$C$24,MATCH($C642,DATA_ASSET_CLASSIFICATION!$A$8:$A$24,0)),"Review"))</f>
        <v>Yes</v>
      </c>
      <c r="Q642" s="350" t="str">
        <f t="shared" ca="1" si="19"/>
        <v>OK</v>
      </c>
    </row>
    <row r="643" spans="1:17">
      <c r="A643" s="366" t="s">
        <v>2599</v>
      </c>
      <c r="B643" s="366" t="s">
        <v>231</v>
      </c>
      <c r="C643" s="348" t="str">
        <f>DATA_PROPERTY_MASTER!$A$6</f>
        <v>BLD_AC</v>
      </c>
      <c r="D643" s="380">
        <f>'00_PORTFOLIO ROLLUP'!H$12</f>
        <v>2028</v>
      </c>
      <c r="E643" s="366" t="s">
        <v>1721</v>
      </c>
      <c r="F643" s="366" t="s">
        <v>31</v>
      </c>
      <c r="G643" s="348" t="str">
        <f>"'"&amp;$C643&amp;"'!$E$61:$Y$61"</f>
        <v>'BLD_AC'!$E$61:$Y$61</v>
      </c>
      <c r="H643" s="381">
        <f ca="1">IF(IFERROR(INDEX(DATA_PROPERTY_MASTER!$E$5:$E$21,MATCH($C643,DATA_PROPERTY_MASTER!$A$5:$A$21,0))="Yes",FALSE),IFERROR(INDEX(INDIRECT("'"&amp;$C643&amp;"'!$E$61:$Y$61"),1,MATCH($D643,INDIRECT("'"&amp;$C643&amp;"'!$E$12:$Y$12"),0)),0),0)</f>
        <v>0</v>
      </c>
      <c r="I643" s="366" t="s">
        <v>1690</v>
      </c>
      <c r="J643" s="348" t="str">
        <f t="shared" ca="1" si="18"/>
        <v>OK</v>
      </c>
      <c r="K643" s="366" t="s">
        <v>1723</v>
      </c>
      <c r="L643" s="366" t="s">
        <v>2252</v>
      </c>
      <c r="M643" s="350" t="str">
        <f>IF($B643="Portfolio","Portfolio",IFERROR(INDEX(DATA_ASSET_CLASSIFICATION!$B$8:$B$24,MATCH($C643,DATA_ASSET_CLASSIFICATION!$A$8:$A$24,0)),"Review"))</f>
        <v>Antkiw Court</v>
      </c>
      <c r="N643" s="350" t="str">
        <f ca="1">IF($B643="Portfolio","Portfolio",IFERROR(INDEX(DATA_ASSET_CLASSIFICATION!$U$8:$U$24,MATCH($C643,DATA_ASSET_CLASSIFICATION!$A$8:$A$24,0)),"Review"))</f>
        <v>Stable</v>
      </c>
      <c r="O643" s="350" t="str">
        <f ca="1">IF($B643="Portfolio","Portfolio",IFERROR(INDEX(DATA_ASSET_CLASSIFICATION!$AB$8:$AB$13,MATCH($N643,DATA_ASSET_CLASSIFICATION!$AA$8:$AA$13,0)),"Review"))</f>
        <v>Bucket 2 · Legacy</v>
      </c>
      <c r="P643" s="350" t="str">
        <f>IF($B643="Portfolio","Portfolio",IFERROR(INDEX(DATA_ASSET_CLASSIFICATION!$C$8:$C$24,MATCH($C643,DATA_ASSET_CLASSIFICATION!$A$8:$A$24,0)),"Review"))</f>
        <v>Yes</v>
      </c>
      <c r="Q643" s="350" t="str">
        <f t="shared" ca="1" si="19"/>
        <v>OK</v>
      </c>
    </row>
    <row r="644" spans="1:17">
      <c r="A644" s="366" t="s">
        <v>2600</v>
      </c>
      <c r="B644" s="366" t="s">
        <v>231</v>
      </c>
      <c r="C644" s="348" t="str">
        <f>DATA_PROPERTY_MASTER!$A$6</f>
        <v>BLD_AC</v>
      </c>
      <c r="D644" s="380">
        <f>'00_PORTFOLIO ROLLUP'!H$12</f>
        <v>2028</v>
      </c>
      <c r="E644" s="366" t="s">
        <v>1721</v>
      </c>
      <c r="F644" s="366" t="s">
        <v>33</v>
      </c>
      <c r="G644" s="348" t="str">
        <f>"'"&amp;$C644&amp;"'!$E$62:$Y$62"</f>
        <v>'BLD_AC'!$E$62:$Y$62</v>
      </c>
      <c r="H644" s="381">
        <f ca="1">IF(IFERROR(INDEX(DATA_PROPERTY_MASTER!$E$5:$E$21,MATCH($C644,DATA_PROPERTY_MASTER!$A$5:$A$21,0))="Yes",FALSE),IFERROR(INDEX(INDIRECT("'"&amp;$C644&amp;"'!$E$62:$Y$62"),1,MATCH($D644,INDIRECT("'"&amp;$C644&amp;"'!$E$12:$Y$12"),0)),0),0)</f>
        <v>0</v>
      </c>
      <c r="I644" s="366" t="s">
        <v>1685</v>
      </c>
      <c r="J644" s="348" t="str">
        <f t="shared" ca="1" si="18"/>
        <v>OK</v>
      </c>
      <c r="K644" s="366" t="s">
        <v>1727</v>
      </c>
      <c r="L644" s="366" t="s">
        <v>2254</v>
      </c>
      <c r="M644" s="350" t="str">
        <f>IF($B644="Portfolio","Portfolio",IFERROR(INDEX(DATA_ASSET_CLASSIFICATION!$B$8:$B$24,MATCH($C644,DATA_ASSET_CLASSIFICATION!$A$8:$A$24,0)),"Review"))</f>
        <v>Antkiw Court</v>
      </c>
      <c r="N644" s="350" t="str">
        <f ca="1">IF($B644="Portfolio","Portfolio",IFERROR(INDEX(DATA_ASSET_CLASSIFICATION!$U$8:$U$24,MATCH($C644,DATA_ASSET_CLASSIFICATION!$A$8:$A$24,0)),"Review"))</f>
        <v>Stable</v>
      </c>
      <c r="O644" s="350" t="str">
        <f ca="1">IF($B644="Portfolio","Portfolio",IFERROR(INDEX(DATA_ASSET_CLASSIFICATION!$AB$8:$AB$13,MATCH($N644,DATA_ASSET_CLASSIFICATION!$AA$8:$AA$13,0)),"Review"))</f>
        <v>Bucket 2 · Legacy</v>
      </c>
      <c r="P644" s="350" t="str">
        <f>IF($B644="Portfolio","Portfolio",IFERROR(INDEX(DATA_ASSET_CLASSIFICATION!$C$8:$C$24,MATCH($C644,DATA_ASSET_CLASSIFICATION!$A$8:$A$24,0)),"Review"))</f>
        <v>Yes</v>
      </c>
      <c r="Q644" s="350" t="str">
        <f t="shared" ca="1" si="19"/>
        <v>OK</v>
      </c>
    </row>
    <row r="645" spans="1:17">
      <c r="A645" s="366" t="s">
        <v>2601</v>
      </c>
      <c r="B645" s="366" t="s">
        <v>231</v>
      </c>
      <c r="C645" s="348" t="str">
        <f>DATA_PROPERTY_MASTER!$A$6</f>
        <v>BLD_AC</v>
      </c>
      <c r="D645" s="380">
        <f>'00_PORTFOLIO ROLLUP'!H$12</f>
        <v>2028</v>
      </c>
      <c r="E645" s="366" t="s">
        <v>1721</v>
      </c>
      <c r="F645" s="366" t="s">
        <v>35</v>
      </c>
      <c r="G645" s="348" t="str">
        <f>"'"&amp;$C645&amp;"'!$E$63:$Y$63"</f>
        <v>'BLD_AC'!$E$63:$Y$63</v>
      </c>
      <c r="H645" s="381">
        <f ca="1">IF(IFERROR(INDEX(DATA_PROPERTY_MASTER!$E$5:$E$21,MATCH($C645,DATA_PROPERTY_MASTER!$A$5:$A$21,0))="Yes",FALSE),IFERROR(INDEX(INDIRECT("'"&amp;$C645&amp;"'!$E$63:$Y$63"),1,MATCH($D645,INDIRECT("'"&amp;$C645&amp;"'!$E$12:$Y$12"),0)),0),0)</f>
        <v>0</v>
      </c>
      <c r="I645" s="366" t="s">
        <v>1731</v>
      </c>
      <c r="J645" s="348" t="str">
        <f t="shared" ref="J645:J708" ca="1" si="20">IF($F645="Residual Funding Gap",IF($H645&gt;0,"Funding Gap","OK"),IF(AND($F645="Net Refinance Position",$H645&lt;0),"Negative net refi position","OK"))</f>
        <v>OK</v>
      </c>
      <c r="K645" s="366" t="s">
        <v>1732</v>
      </c>
      <c r="L645" s="366" t="s">
        <v>2256</v>
      </c>
      <c r="M645" s="350" t="str">
        <f>IF($B645="Portfolio","Portfolio",IFERROR(INDEX(DATA_ASSET_CLASSIFICATION!$B$8:$B$24,MATCH($C645,DATA_ASSET_CLASSIFICATION!$A$8:$A$24,0)),"Review"))</f>
        <v>Antkiw Court</v>
      </c>
      <c r="N645" s="350" t="str">
        <f ca="1">IF($B645="Portfolio","Portfolio",IFERROR(INDEX(DATA_ASSET_CLASSIFICATION!$U$8:$U$24,MATCH($C645,DATA_ASSET_CLASSIFICATION!$A$8:$A$24,0)),"Review"))</f>
        <v>Stable</v>
      </c>
      <c r="O645" s="350" t="str">
        <f ca="1">IF($B645="Portfolio","Portfolio",IFERROR(INDEX(DATA_ASSET_CLASSIFICATION!$AB$8:$AB$13,MATCH($N645,DATA_ASSET_CLASSIFICATION!$AA$8:$AA$13,0)),"Review"))</f>
        <v>Bucket 2 · Legacy</v>
      </c>
      <c r="P645" s="350" t="str">
        <f>IF($B645="Portfolio","Portfolio",IFERROR(INDEX(DATA_ASSET_CLASSIFICATION!$C$8:$C$24,MATCH($C645,DATA_ASSET_CLASSIFICATION!$A$8:$A$24,0)),"Review"))</f>
        <v>Yes</v>
      </c>
      <c r="Q645" s="350" t="str">
        <f t="shared" ref="Q645:Q708" ca="1" si="21">IF(AND($B645="Property",$F645="Residual Funding Gap",$H645&gt;0),"Property Funding Gap",IF($J645&lt;&gt;"OK",$J645,"OK"))</f>
        <v>OK</v>
      </c>
    </row>
    <row r="646" spans="1:17">
      <c r="A646" s="366" t="s">
        <v>2602</v>
      </c>
      <c r="B646" s="366" t="s">
        <v>231</v>
      </c>
      <c r="C646" s="348" t="str">
        <f>DATA_PROPERTY_MASTER!$A$6</f>
        <v>BLD_AC</v>
      </c>
      <c r="D646" s="380">
        <f>'00_PORTFOLIO ROLLUP'!H$12</f>
        <v>2028</v>
      </c>
      <c r="E646" s="366" t="s">
        <v>1721</v>
      </c>
      <c r="F646" s="366" t="s">
        <v>37</v>
      </c>
      <c r="G646" s="348" t="str">
        <f>"'"&amp;$C646&amp;"'!$E$63:$Y$63"</f>
        <v>'BLD_AC'!$E$63:$Y$63</v>
      </c>
      <c r="H646" s="381">
        <f ca="1">IF(IFERROR(INDEX(DATA_PROPERTY_MASTER!$E$5:$E$21,MATCH($C646,DATA_PROPERTY_MASTER!$A$5:$A$21,0))="Yes",FALSE),MAX(IFERROR(INDEX(INDIRECT("'"&amp;$C646&amp;"'!$E$63:$Y$63"),1,MATCH($D646,INDIRECT("'"&amp;$C646&amp;"'!$E$12:$Y$12"),0)),0),0),0)</f>
        <v>0</v>
      </c>
      <c r="I646" s="366" t="s">
        <v>1685</v>
      </c>
      <c r="J646" s="348" t="str">
        <f t="shared" ca="1" si="20"/>
        <v>OK</v>
      </c>
      <c r="K646" s="366" t="s">
        <v>1735</v>
      </c>
      <c r="L646" s="366" t="s">
        <v>2258</v>
      </c>
      <c r="M646" s="350" t="str">
        <f>IF($B646="Portfolio","Portfolio",IFERROR(INDEX(DATA_ASSET_CLASSIFICATION!$B$8:$B$24,MATCH($C646,DATA_ASSET_CLASSIFICATION!$A$8:$A$24,0)),"Review"))</f>
        <v>Antkiw Court</v>
      </c>
      <c r="N646" s="350" t="str">
        <f ca="1">IF($B646="Portfolio","Portfolio",IFERROR(INDEX(DATA_ASSET_CLASSIFICATION!$U$8:$U$24,MATCH($C646,DATA_ASSET_CLASSIFICATION!$A$8:$A$24,0)),"Review"))</f>
        <v>Stable</v>
      </c>
      <c r="O646" s="350" t="str">
        <f ca="1">IF($B646="Portfolio","Portfolio",IFERROR(INDEX(DATA_ASSET_CLASSIFICATION!$AB$8:$AB$13,MATCH($N646,DATA_ASSET_CLASSIFICATION!$AA$8:$AA$13,0)),"Review"))</f>
        <v>Bucket 2 · Legacy</v>
      </c>
      <c r="P646" s="350" t="str">
        <f>IF($B646="Portfolio","Portfolio",IFERROR(INDEX(DATA_ASSET_CLASSIFICATION!$C$8:$C$24,MATCH($C646,DATA_ASSET_CLASSIFICATION!$A$8:$A$24,0)),"Review"))</f>
        <v>Yes</v>
      </c>
      <c r="Q646" s="350" t="str">
        <f t="shared" ca="1" si="21"/>
        <v>OK</v>
      </c>
    </row>
    <row r="647" spans="1:17">
      <c r="A647" s="366" t="s">
        <v>2603</v>
      </c>
      <c r="B647" s="366" t="s">
        <v>231</v>
      </c>
      <c r="C647" s="348" t="str">
        <f>DATA_PROPERTY_MASTER!$A$6</f>
        <v>BLD_AC</v>
      </c>
      <c r="D647" s="380">
        <f>'00_PORTFOLIO ROLLUP'!H$12</f>
        <v>2028</v>
      </c>
      <c r="E647" s="366" t="s">
        <v>1721</v>
      </c>
      <c r="F647" s="366" t="s">
        <v>39</v>
      </c>
      <c r="G647" s="348" t="str">
        <f>"'"&amp;$C647&amp;"'!$E$63:$Y$63"</f>
        <v>'BLD_AC'!$E$63:$Y$63</v>
      </c>
      <c r="H647" s="381">
        <f ca="1">IF(IFERROR(INDEX(DATA_PROPERTY_MASTER!$E$5:$E$21,MATCH($C647,DATA_PROPERTY_MASTER!$A$5:$A$21,0))="Yes",FALSE),MAX(-IFERROR(INDEX(INDIRECT("'"&amp;$C647&amp;"'!$E$63:$Y$63"),1,MATCH($D647,INDIRECT("'"&amp;$C647&amp;"'!$E$12:$Y$12"),0)),0),0),0)</f>
        <v>0</v>
      </c>
      <c r="I647" s="366" t="s">
        <v>1690</v>
      </c>
      <c r="J647" s="348" t="str">
        <f t="shared" ca="1" si="20"/>
        <v>OK</v>
      </c>
      <c r="K647" s="366" t="s">
        <v>1738</v>
      </c>
      <c r="L647" s="366" t="s">
        <v>2260</v>
      </c>
      <c r="M647" s="350" t="str">
        <f>IF($B647="Portfolio","Portfolio",IFERROR(INDEX(DATA_ASSET_CLASSIFICATION!$B$8:$B$24,MATCH($C647,DATA_ASSET_CLASSIFICATION!$A$8:$A$24,0)),"Review"))</f>
        <v>Antkiw Court</v>
      </c>
      <c r="N647" s="350" t="str">
        <f ca="1">IF($B647="Portfolio","Portfolio",IFERROR(INDEX(DATA_ASSET_CLASSIFICATION!$U$8:$U$24,MATCH($C647,DATA_ASSET_CLASSIFICATION!$A$8:$A$24,0)),"Review"))</f>
        <v>Stable</v>
      </c>
      <c r="O647" s="350" t="str">
        <f ca="1">IF($B647="Portfolio","Portfolio",IFERROR(INDEX(DATA_ASSET_CLASSIFICATION!$AB$8:$AB$13,MATCH($N647,DATA_ASSET_CLASSIFICATION!$AA$8:$AA$13,0)),"Review"))</f>
        <v>Bucket 2 · Legacy</v>
      </c>
      <c r="P647" s="350" t="str">
        <f>IF($B647="Portfolio","Portfolio",IFERROR(INDEX(DATA_ASSET_CLASSIFICATION!$C$8:$C$24,MATCH($C647,DATA_ASSET_CLASSIFICATION!$A$8:$A$24,0)),"Review"))</f>
        <v>Yes</v>
      </c>
      <c r="Q647" s="350" t="str">
        <f t="shared" ca="1" si="21"/>
        <v>OK</v>
      </c>
    </row>
    <row r="648" spans="1:17">
      <c r="A648" s="366" t="s">
        <v>2604</v>
      </c>
      <c r="B648" s="366" t="s">
        <v>231</v>
      </c>
      <c r="C648" s="348" t="str">
        <f>DATA_PROPERTY_MASTER!$A$6</f>
        <v>BLD_AC</v>
      </c>
      <c r="D648" s="380">
        <f>'00_PORTFOLIO ROLLUP'!H$12</f>
        <v>2028</v>
      </c>
      <c r="E648" s="366" t="s">
        <v>1741</v>
      </c>
      <c r="F648" s="366" t="s">
        <v>41</v>
      </c>
      <c r="G648" s="348" t="str">
        <f>"'"&amp;$C648&amp;"'!rows 56 + positive row 63"</f>
        <v>'BLD_AC'!rows 56 + positive row 63</v>
      </c>
      <c r="H648" s="381">
        <f ca="1">IF(IFERROR(INDEX(DATA_PROPERTY_MASTER!$E$5:$E$21,MATCH($C648,DATA_PROPERTY_MASTER!$A$5:$A$21,0))="Yes",FALSE),IFERROR(INDEX(INDIRECT("'"&amp;$C648&amp;"'!$E$56:$Y$56"),1,MATCH($D648,INDIRECT("'"&amp;$C648&amp;"'!$E$12:$Y$12"),0)),0)+MAX(IFERROR(INDEX(INDIRECT("'"&amp;$C648&amp;"'!$E$63:$Y$63"),1,MATCH($D648,INDIRECT("'"&amp;$C648&amp;"'!$E$12:$Y$12"),0)),0),0),0)</f>
        <v>76466.367251571195</v>
      </c>
      <c r="I648" s="366" t="s">
        <v>1685</v>
      </c>
      <c r="J648" s="348" t="str">
        <f t="shared" ca="1" si="20"/>
        <v>OK</v>
      </c>
      <c r="K648" s="366" t="s">
        <v>1742</v>
      </c>
      <c r="L648" s="366" t="s">
        <v>2262</v>
      </c>
      <c r="M648" s="350" t="str">
        <f>IF($B648="Portfolio","Portfolio",IFERROR(INDEX(DATA_ASSET_CLASSIFICATION!$B$8:$B$24,MATCH($C648,DATA_ASSET_CLASSIFICATION!$A$8:$A$24,0)),"Review"))</f>
        <v>Antkiw Court</v>
      </c>
      <c r="N648" s="350" t="str">
        <f ca="1">IF($B648="Portfolio","Portfolio",IFERROR(INDEX(DATA_ASSET_CLASSIFICATION!$U$8:$U$24,MATCH($C648,DATA_ASSET_CLASSIFICATION!$A$8:$A$24,0)),"Review"))</f>
        <v>Stable</v>
      </c>
      <c r="O648" s="350" t="str">
        <f ca="1">IF($B648="Portfolio","Portfolio",IFERROR(INDEX(DATA_ASSET_CLASSIFICATION!$AB$8:$AB$13,MATCH($N648,DATA_ASSET_CLASSIFICATION!$AA$8:$AA$13,0)),"Review"))</f>
        <v>Bucket 2 · Legacy</v>
      </c>
      <c r="P648" s="350" t="str">
        <f>IF($B648="Portfolio","Portfolio",IFERROR(INDEX(DATA_ASSET_CLASSIFICATION!$C$8:$C$24,MATCH($C648,DATA_ASSET_CLASSIFICATION!$A$8:$A$24,0)),"Review"))</f>
        <v>Yes</v>
      </c>
      <c r="Q648" s="350" t="str">
        <f t="shared" ca="1" si="21"/>
        <v>OK</v>
      </c>
    </row>
    <row r="649" spans="1:17">
      <c r="A649" s="366" t="s">
        <v>2605</v>
      </c>
      <c r="B649" s="366" t="s">
        <v>231</v>
      </c>
      <c r="C649" s="348" t="str">
        <f>DATA_PROPERTY_MASTER!$A$6</f>
        <v>BLD_AC</v>
      </c>
      <c r="D649" s="380">
        <f>'00_PORTFOLIO ROLLUP'!H$12</f>
        <v>2028</v>
      </c>
      <c r="E649" s="366" t="s">
        <v>1741</v>
      </c>
      <c r="F649" s="366" t="s">
        <v>43</v>
      </c>
      <c r="G649" s="348" t="str">
        <f>"'"&amp;$C649&amp;"'!$E$68:$Y$68"</f>
        <v>'BLD_AC'!$E$68:$Y$68</v>
      </c>
      <c r="H649" s="381">
        <f ca="1">IF(IFERROR(INDEX(DATA_PROPERTY_MASTER!$E$5:$E$21,MATCH($C649,DATA_PROPERTY_MASTER!$A$5:$A$21,0))="Yes",FALSE),IFERROR(INDEX(INDIRECT("'"&amp;$C649&amp;"'!$E$68:$Y$68"),1,MATCH($D649,INDIRECT("'"&amp;$C649&amp;"'!$E$12:$Y$12"),0)),0),0)</f>
        <v>76466.367251571195</v>
      </c>
      <c r="I649" s="366" t="s">
        <v>1731</v>
      </c>
      <c r="J649" s="348" t="str">
        <f t="shared" ca="1" si="20"/>
        <v>OK</v>
      </c>
      <c r="K649" s="366" t="s">
        <v>1746</v>
      </c>
      <c r="L649" s="366" t="s">
        <v>2264</v>
      </c>
      <c r="M649" s="350" t="str">
        <f>IF($B649="Portfolio","Portfolio",IFERROR(INDEX(DATA_ASSET_CLASSIFICATION!$B$8:$B$24,MATCH($C649,DATA_ASSET_CLASSIFICATION!$A$8:$A$24,0)),"Review"))</f>
        <v>Antkiw Court</v>
      </c>
      <c r="N649" s="350" t="str">
        <f ca="1">IF($B649="Portfolio","Portfolio",IFERROR(INDEX(DATA_ASSET_CLASSIFICATION!$U$8:$U$24,MATCH($C649,DATA_ASSET_CLASSIFICATION!$A$8:$A$24,0)),"Review"))</f>
        <v>Stable</v>
      </c>
      <c r="O649" s="350" t="str">
        <f ca="1">IF($B649="Portfolio","Portfolio",IFERROR(INDEX(DATA_ASSET_CLASSIFICATION!$AB$8:$AB$13,MATCH($N649,DATA_ASSET_CLASSIFICATION!$AA$8:$AA$13,0)),"Review"))</f>
        <v>Bucket 2 · Legacy</v>
      </c>
      <c r="P649" s="350" t="str">
        <f>IF($B649="Portfolio","Portfolio",IFERROR(INDEX(DATA_ASSET_CLASSIFICATION!$C$8:$C$24,MATCH($C649,DATA_ASSET_CLASSIFICATION!$A$8:$A$24,0)),"Review"))</f>
        <v>Yes</v>
      </c>
      <c r="Q649" s="350" t="str">
        <f t="shared" ca="1" si="21"/>
        <v>OK</v>
      </c>
    </row>
    <row r="650" spans="1:17">
      <c r="A650" s="366" t="s">
        <v>2606</v>
      </c>
      <c r="B650" s="366" t="s">
        <v>231</v>
      </c>
      <c r="C650" s="348" t="str">
        <f>DATA_PROPERTY_MASTER!$A$6</f>
        <v>BLD_AC</v>
      </c>
      <c r="D650" s="380">
        <f>'00_PORTFOLIO ROLLUP'!H$12</f>
        <v>2028</v>
      </c>
      <c r="E650" s="366" t="s">
        <v>1741</v>
      </c>
      <c r="F650" s="366" t="s">
        <v>1749</v>
      </c>
      <c r="G650" s="348" t="str">
        <f>"'"&amp;$C650&amp;"'!rows 56, 63, 68"</f>
        <v>'BLD_AC'!rows 56, 63, 68</v>
      </c>
      <c r="H650" s="381">
        <f ca="1">IF(IFERROR(INDEX(DATA_PROPERTY_MASTER!$E$5:$E$21,MATCH($C650,DATA_PROPERTY_MASTER!$A$5:$A$21,0))="Yes",FALSE),(IFERROR(INDEX(INDIRECT("'"&amp;$C650&amp;"'!$E$56:$Y$56"),1,MATCH($D650,INDIRECT("'"&amp;$C650&amp;"'!$E$12:$Y$12"),0)),0)+MAX(IFERROR(INDEX(INDIRECT("'"&amp;$C650&amp;"'!$E$63:$Y$63"),1,MATCH($D650,INDIRECT("'"&amp;$C650&amp;"'!$E$12:$Y$12"),0)),0),0))-(IFERROR(INDEX(INDIRECT("'"&amp;$C650&amp;"'!$E$68:$Y$68"),1,MATCH($D650,INDIRECT("'"&amp;$C650&amp;"'!$E$12:$Y$12"),0)),0)),0)</f>
        <v>0</v>
      </c>
      <c r="I650" s="366" t="s">
        <v>1750</v>
      </c>
      <c r="J650" s="348" t="str">
        <f t="shared" ca="1" si="20"/>
        <v>OK</v>
      </c>
      <c r="K650" s="366" t="s">
        <v>1751</v>
      </c>
      <c r="L650" s="366" t="s">
        <v>2266</v>
      </c>
      <c r="M650" s="350" t="str">
        <f>IF($B650="Portfolio","Portfolio",IFERROR(INDEX(DATA_ASSET_CLASSIFICATION!$B$8:$B$24,MATCH($C650,DATA_ASSET_CLASSIFICATION!$A$8:$A$24,0)),"Review"))</f>
        <v>Antkiw Court</v>
      </c>
      <c r="N650" s="350" t="str">
        <f ca="1">IF($B650="Portfolio","Portfolio",IFERROR(INDEX(DATA_ASSET_CLASSIFICATION!$U$8:$U$24,MATCH($C650,DATA_ASSET_CLASSIFICATION!$A$8:$A$24,0)),"Review"))</f>
        <v>Stable</v>
      </c>
      <c r="O650" s="350" t="str">
        <f ca="1">IF($B650="Portfolio","Portfolio",IFERROR(INDEX(DATA_ASSET_CLASSIFICATION!$AB$8:$AB$13,MATCH($N650,DATA_ASSET_CLASSIFICATION!$AA$8:$AA$13,0)),"Review"))</f>
        <v>Bucket 2 · Legacy</v>
      </c>
      <c r="P650" s="350" t="str">
        <f>IF($B650="Portfolio","Portfolio",IFERROR(INDEX(DATA_ASSET_CLASSIFICATION!$C$8:$C$24,MATCH($C650,DATA_ASSET_CLASSIFICATION!$A$8:$A$24,0)),"Review"))</f>
        <v>Yes</v>
      </c>
      <c r="Q650" s="350" t="str">
        <f t="shared" ca="1" si="21"/>
        <v>OK</v>
      </c>
    </row>
    <row r="651" spans="1:17">
      <c r="A651" s="366" t="s">
        <v>2607</v>
      </c>
      <c r="B651" s="366" t="s">
        <v>231</v>
      </c>
      <c r="C651" s="348" t="str">
        <f>DATA_PROPERTY_MASTER!$A$6</f>
        <v>BLD_AC</v>
      </c>
      <c r="D651" s="380">
        <f>'00_PORTFOLIO ROLLUP'!I$12</f>
        <v>2029</v>
      </c>
      <c r="E651" s="366" t="s">
        <v>1683</v>
      </c>
      <c r="F651" s="366" t="s">
        <v>341</v>
      </c>
      <c r="G651" s="348" t="str">
        <f>"'"&amp;$C651&amp;"'!$E$24:$Y$24"</f>
        <v>'BLD_AC'!$E$24:$Y$24</v>
      </c>
      <c r="H651" s="381">
        <f ca="1">IF(IFERROR(INDEX(DATA_PROPERTY_MASTER!$E$5:$E$21,MATCH($C651,DATA_PROPERTY_MASTER!$A$5:$A$21,0))="Yes",FALSE),IFERROR(INDEX(INDIRECT("'"&amp;$C651&amp;"'!$E$24:$Y$24"),1,MATCH($D651,INDIRECT("'"&amp;$C651&amp;"'!$E$12:$Y$12"),0)),0),0)</f>
        <v>422076.39705982659</v>
      </c>
      <c r="I651" s="366" t="s">
        <v>1685</v>
      </c>
      <c r="J651" s="348" t="str">
        <f t="shared" ca="1" si="20"/>
        <v>OK</v>
      </c>
      <c r="K651" s="366" t="s">
        <v>1686</v>
      </c>
      <c r="L651" s="366" t="s">
        <v>2234</v>
      </c>
      <c r="M651" s="350" t="str">
        <f>IF($B651="Portfolio","Portfolio",IFERROR(INDEX(DATA_ASSET_CLASSIFICATION!$B$8:$B$24,MATCH($C651,DATA_ASSET_CLASSIFICATION!$A$8:$A$24,0)),"Review"))</f>
        <v>Antkiw Court</v>
      </c>
      <c r="N651" s="350" t="str">
        <f ca="1">IF($B651="Portfolio","Portfolio",IFERROR(INDEX(DATA_ASSET_CLASSIFICATION!$U$8:$U$24,MATCH($C651,DATA_ASSET_CLASSIFICATION!$A$8:$A$24,0)),"Review"))</f>
        <v>Stable</v>
      </c>
      <c r="O651" s="350" t="str">
        <f ca="1">IF($B651="Portfolio","Portfolio",IFERROR(INDEX(DATA_ASSET_CLASSIFICATION!$AB$8:$AB$13,MATCH($N651,DATA_ASSET_CLASSIFICATION!$AA$8:$AA$13,0)),"Review"))</f>
        <v>Bucket 2 · Legacy</v>
      </c>
      <c r="P651" s="350" t="str">
        <f>IF($B651="Portfolio","Portfolio",IFERROR(INDEX(DATA_ASSET_CLASSIFICATION!$C$8:$C$24,MATCH($C651,DATA_ASSET_CLASSIFICATION!$A$8:$A$24,0)),"Review"))</f>
        <v>Yes</v>
      </c>
      <c r="Q651" s="350" t="str">
        <f t="shared" ca="1" si="21"/>
        <v>OK</v>
      </c>
    </row>
    <row r="652" spans="1:17">
      <c r="A652" s="366" t="s">
        <v>2608</v>
      </c>
      <c r="B652" s="366" t="s">
        <v>231</v>
      </c>
      <c r="C652" s="348" t="str">
        <f>DATA_PROPERTY_MASTER!$A$6</f>
        <v>BLD_AC</v>
      </c>
      <c r="D652" s="380">
        <f>'00_PORTFOLIO ROLLUP'!I$12</f>
        <v>2029</v>
      </c>
      <c r="E652" s="366" t="s">
        <v>1683</v>
      </c>
      <c r="F652" s="366" t="s">
        <v>355</v>
      </c>
      <c r="G652" s="348" t="str">
        <f>"'"&amp;$C652&amp;"'!$E$39:$Y$39"</f>
        <v>'BLD_AC'!$E$39:$Y$39</v>
      </c>
      <c r="H652" s="381">
        <f ca="1">IF(IFERROR(INDEX(DATA_PROPERTY_MASTER!$E$5:$E$21,MATCH($C652,DATA_PROPERTY_MASTER!$A$5:$A$21,0))="Yes",FALSE),IFERROR(INDEX(INDIRECT("'"&amp;$C652&amp;"'!$E$39:$Y$39"),1,MATCH($D652,INDIRECT("'"&amp;$C652&amp;"'!$E$12:$Y$12"),0)),0),0)</f>
        <v>176144.43352064004</v>
      </c>
      <c r="I652" s="366" t="s">
        <v>1690</v>
      </c>
      <c r="J652" s="348" t="str">
        <f t="shared" ca="1" si="20"/>
        <v>OK</v>
      </c>
      <c r="K652" s="366" t="s">
        <v>1686</v>
      </c>
      <c r="L652" s="366" t="s">
        <v>2236</v>
      </c>
      <c r="M652" s="350" t="str">
        <f>IF($B652="Portfolio","Portfolio",IFERROR(INDEX(DATA_ASSET_CLASSIFICATION!$B$8:$B$24,MATCH($C652,DATA_ASSET_CLASSIFICATION!$A$8:$A$24,0)),"Review"))</f>
        <v>Antkiw Court</v>
      </c>
      <c r="N652" s="350" t="str">
        <f ca="1">IF($B652="Portfolio","Portfolio",IFERROR(INDEX(DATA_ASSET_CLASSIFICATION!$U$8:$U$24,MATCH($C652,DATA_ASSET_CLASSIFICATION!$A$8:$A$24,0)),"Review"))</f>
        <v>Stable</v>
      </c>
      <c r="O652" s="350" t="str">
        <f ca="1">IF($B652="Portfolio","Portfolio",IFERROR(INDEX(DATA_ASSET_CLASSIFICATION!$AB$8:$AB$13,MATCH($N652,DATA_ASSET_CLASSIFICATION!$AA$8:$AA$13,0)),"Review"))</f>
        <v>Bucket 2 · Legacy</v>
      </c>
      <c r="P652" s="350" t="str">
        <f>IF($B652="Portfolio","Portfolio",IFERROR(INDEX(DATA_ASSET_CLASSIFICATION!$C$8:$C$24,MATCH($C652,DATA_ASSET_CLASSIFICATION!$A$8:$A$24,0)),"Review"))</f>
        <v>Yes</v>
      </c>
      <c r="Q652" s="350" t="str">
        <f t="shared" ca="1" si="21"/>
        <v>OK</v>
      </c>
    </row>
    <row r="653" spans="1:17">
      <c r="A653" s="366" t="s">
        <v>2609</v>
      </c>
      <c r="B653" s="366" t="s">
        <v>231</v>
      </c>
      <c r="C653" s="348" t="str">
        <f>DATA_PROPERTY_MASTER!$A$6</f>
        <v>BLD_AC</v>
      </c>
      <c r="D653" s="380">
        <f>'00_PORTFOLIO ROLLUP'!I$12</f>
        <v>2029</v>
      </c>
      <c r="E653" s="366" t="s">
        <v>1683</v>
      </c>
      <c r="F653" s="366" t="s">
        <v>19</v>
      </c>
      <c r="G653" s="348" t="str">
        <f>"'"&amp;$C653&amp;"'!$E$41:$Y$41"</f>
        <v>'BLD_AC'!$E$41:$Y$41</v>
      </c>
      <c r="H653" s="381">
        <f ca="1">IF(IFERROR(INDEX(DATA_PROPERTY_MASTER!$E$5:$E$21,MATCH($C653,DATA_PROPERTY_MASTER!$A$5:$A$21,0))="Yes",FALSE),IFERROR(INDEX(INDIRECT("'"&amp;$C653&amp;"'!$E$41:$Y$41"),1,MATCH($D653,INDIRECT("'"&amp;$C653&amp;"'!$E$12:$Y$12"),0)),0),0)</f>
        <v>245931.96353918654</v>
      </c>
      <c r="I653" s="366" t="s">
        <v>1685</v>
      </c>
      <c r="J653" s="348" t="str">
        <f t="shared" ca="1" si="20"/>
        <v>OK</v>
      </c>
      <c r="K653" s="366" t="s">
        <v>1694</v>
      </c>
      <c r="L653" s="366" t="s">
        <v>2238</v>
      </c>
      <c r="M653" s="350" t="str">
        <f>IF($B653="Portfolio","Portfolio",IFERROR(INDEX(DATA_ASSET_CLASSIFICATION!$B$8:$B$24,MATCH($C653,DATA_ASSET_CLASSIFICATION!$A$8:$A$24,0)),"Review"))</f>
        <v>Antkiw Court</v>
      </c>
      <c r="N653" s="350" t="str">
        <f ca="1">IF($B653="Portfolio","Portfolio",IFERROR(INDEX(DATA_ASSET_CLASSIFICATION!$U$8:$U$24,MATCH($C653,DATA_ASSET_CLASSIFICATION!$A$8:$A$24,0)),"Review"))</f>
        <v>Stable</v>
      </c>
      <c r="O653" s="350" t="str">
        <f ca="1">IF($B653="Portfolio","Portfolio",IFERROR(INDEX(DATA_ASSET_CLASSIFICATION!$AB$8:$AB$13,MATCH($N653,DATA_ASSET_CLASSIFICATION!$AA$8:$AA$13,0)),"Review"))</f>
        <v>Bucket 2 · Legacy</v>
      </c>
      <c r="P653" s="350" t="str">
        <f>IF($B653="Portfolio","Portfolio",IFERROR(INDEX(DATA_ASSET_CLASSIFICATION!$C$8:$C$24,MATCH($C653,DATA_ASSET_CLASSIFICATION!$A$8:$A$24,0)),"Review"))</f>
        <v>Yes</v>
      </c>
      <c r="Q653" s="350" t="str">
        <f t="shared" ca="1" si="21"/>
        <v>OK</v>
      </c>
    </row>
    <row r="654" spans="1:17">
      <c r="A654" s="366" t="s">
        <v>2610</v>
      </c>
      <c r="B654" s="366" t="s">
        <v>231</v>
      </c>
      <c r="C654" s="348" t="str">
        <f>DATA_PROPERTY_MASTER!$A$6</f>
        <v>BLD_AC</v>
      </c>
      <c r="D654" s="380">
        <f>'00_PORTFOLIO ROLLUP'!I$12</f>
        <v>2029</v>
      </c>
      <c r="E654" s="366" t="s">
        <v>1683</v>
      </c>
      <c r="F654" s="366" t="s">
        <v>1697</v>
      </c>
      <c r="G654" s="348" t="str">
        <f>"'"&amp;$C654&amp;"'!$E$44:$Y$44"</f>
        <v>'BLD_AC'!$E$44:$Y$44</v>
      </c>
      <c r="H654" s="381">
        <f ca="1">IF(IFERROR(INDEX(DATA_PROPERTY_MASTER!$E$5:$E$21,MATCH($C654,DATA_PROPERTY_MASTER!$A$5:$A$21,0))="Yes",FALSE),IFERROR(INDEX(INDIRECT("'"&amp;$C654&amp;"'!$E$44:$Y$44"),1,MATCH($D654,INDIRECT("'"&amp;$C654&amp;"'!$E$12:$Y$12"),0)),0),0)</f>
        <v>3409.6613039999997</v>
      </c>
      <c r="I654" s="366" t="s">
        <v>1690</v>
      </c>
      <c r="J654" s="348" t="str">
        <f t="shared" ca="1" si="20"/>
        <v>OK</v>
      </c>
      <c r="K654" s="366" t="s">
        <v>1699</v>
      </c>
      <c r="L654" s="366" t="s">
        <v>2240</v>
      </c>
      <c r="M654" s="350" t="str">
        <f>IF($B654="Portfolio","Portfolio",IFERROR(INDEX(DATA_ASSET_CLASSIFICATION!$B$8:$B$24,MATCH($C654,DATA_ASSET_CLASSIFICATION!$A$8:$A$24,0)),"Review"))</f>
        <v>Antkiw Court</v>
      </c>
      <c r="N654" s="350" t="str">
        <f ca="1">IF($B654="Portfolio","Portfolio",IFERROR(INDEX(DATA_ASSET_CLASSIFICATION!$U$8:$U$24,MATCH($C654,DATA_ASSET_CLASSIFICATION!$A$8:$A$24,0)),"Review"))</f>
        <v>Stable</v>
      </c>
      <c r="O654" s="350" t="str">
        <f ca="1">IF($B654="Portfolio","Portfolio",IFERROR(INDEX(DATA_ASSET_CLASSIFICATION!$AB$8:$AB$13,MATCH($N654,DATA_ASSET_CLASSIFICATION!$AA$8:$AA$13,0)),"Review"))</f>
        <v>Bucket 2 · Legacy</v>
      </c>
      <c r="P654" s="350" t="str">
        <f>IF($B654="Portfolio","Portfolio",IFERROR(INDEX(DATA_ASSET_CLASSIFICATION!$C$8:$C$24,MATCH($C654,DATA_ASSET_CLASSIFICATION!$A$8:$A$24,0)),"Review"))</f>
        <v>Yes</v>
      </c>
      <c r="Q654" s="350" t="str">
        <f t="shared" ca="1" si="21"/>
        <v>OK</v>
      </c>
    </row>
    <row r="655" spans="1:17">
      <c r="A655" s="366" t="s">
        <v>2611</v>
      </c>
      <c r="B655" s="366" t="s">
        <v>231</v>
      </c>
      <c r="C655" s="348" t="str">
        <f>DATA_PROPERTY_MASTER!$A$6</f>
        <v>BLD_AC</v>
      </c>
      <c r="D655" s="380">
        <f>'00_PORTFOLIO ROLLUP'!I$12</f>
        <v>2029</v>
      </c>
      <c r="E655" s="366" t="s">
        <v>1683</v>
      </c>
      <c r="F655" s="366" t="s">
        <v>21</v>
      </c>
      <c r="G655" s="348" t="str">
        <f>"'"&amp;$C655&amp;"'!$E$45:$Y$45"</f>
        <v>'BLD_AC'!$E$45:$Y$45</v>
      </c>
      <c r="H655" s="381">
        <f ca="1">IF(IFERROR(INDEX(DATA_PROPERTY_MASTER!$E$5:$E$21,MATCH($C655,DATA_PROPERTY_MASTER!$A$5:$A$21,0))="Yes",FALSE),IFERROR(INDEX(INDIRECT("'"&amp;$C655&amp;"'!$E$45:$Y$45"),1,MATCH($D655,INDIRECT("'"&amp;$C655&amp;"'!$E$12:$Y$12"),0)),0),0)</f>
        <v>242522.30223518654</v>
      </c>
      <c r="I655" s="366" t="s">
        <v>1685</v>
      </c>
      <c r="J655" s="348" t="str">
        <f t="shared" ca="1" si="20"/>
        <v>OK</v>
      </c>
      <c r="K655" s="366" t="s">
        <v>1694</v>
      </c>
      <c r="L655" s="366" t="s">
        <v>2242</v>
      </c>
      <c r="M655" s="350" t="str">
        <f>IF($B655="Portfolio","Portfolio",IFERROR(INDEX(DATA_ASSET_CLASSIFICATION!$B$8:$B$24,MATCH($C655,DATA_ASSET_CLASSIFICATION!$A$8:$A$24,0)),"Review"))</f>
        <v>Antkiw Court</v>
      </c>
      <c r="N655" s="350" t="str">
        <f ca="1">IF($B655="Portfolio","Portfolio",IFERROR(INDEX(DATA_ASSET_CLASSIFICATION!$U$8:$U$24,MATCH($C655,DATA_ASSET_CLASSIFICATION!$A$8:$A$24,0)),"Review"))</f>
        <v>Stable</v>
      </c>
      <c r="O655" s="350" t="str">
        <f ca="1">IF($B655="Portfolio","Portfolio",IFERROR(INDEX(DATA_ASSET_CLASSIFICATION!$AB$8:$AB$13,MATCH($N655,DATA_ASSET_CLASSIFICATION!$AA$8:$AA$13,0)),"Review"))</f>
        <v>Bucket 2 · Legacy</v>
      </c>
      <c r="P655" s="350" t="str">
        <f>IF($B655="Portfolio","Portfolio",IFERROR(INDEX(DATA_ASSET_CLASSIFICATION!$C$8:$C$24,MATCH($C655,DATA_ASSET_CLASSIFICATION!$A$8:$A$24,0)),"Review"))</f>
        <v>Yes</v>
      </c>
      <c r="Q655" s="350" t="str">
        <f t="shared" ca="1" si="21"/>
        <v>OK</v>
      </c>
    </row>
    <row r="656" spans="1:17">
      <c r="A656" s="366" t="s">
        <v>2612</v>
      </c>
      <c r="B656" s="366" t="s">
        <v>231</v>
      </c>
      <c r="C656" s="348" t="str">
        <f>DATA_PROPERTY_MASTER!$A$6</f>
        <v>BLD_AC</v>
      </c>
      <c r="D656" s="380">
        <f>'00_PORTFOLIO ROLLUP'!I$12</f>
        <v>2029</v>
      </c>
      <c r="E656" s="366" t="s">
        <v>23</v>
      </c>
      <c r="F656" s="366" t="s">
        <v>23</v>
      </c>
      <c r="G656" s="348" t="str">
        <f>"'"&amp;$C656&amp;"'!$E$48:$Y$48"</f>
        <v>'BLD_AC'!$E$48:$Y$48</v>
      </c>
      <c r="H656" s="381">
        <f ca="1">IF(IFERROR(INDEX(DATA_PROPERTY_MASTER!$E$5:$E$21,MATCH($C656,DATA_PROPERTY_MASTER!$A$5:$A$21,0))="Yes",FALSE),IFERROR(INDEX(INDIRECT("'"&amp;$C656&amp;"'!$E$48:$Y$48"),1,MATCH($D656,INDIRECT("'"&amp;$C656&amp;"'!$E$12:$Y$12"),0)),0),0)</f>
        <v>54330.12</v>
      </c>
      <c r="I656" s="366" t="s">
        <v>1690</v>
      </c>
      <c r="J656" s="348" t="str">
        <f t="shared" ca="1" si="20"/>
        <v>OK</v>
      </c>
      <c r="K656" s="366" t="s">
        <v>1706</v>
      </c>
      <c r="L656" s="366" t="s">
        <v>2244</v>
      </c>
      <c r="M656" s="350" t="str">
        <f>IF($B656="Portfolio","Portfolio",IFERROR(INDEX(DATA_ASSET_CLASSIFICATION!$B$8:$B$24,MATCH($C656,DATA_ASSET_CLASSIFICATION!$A$8:$A$24,0)),"Review"))</f>
        <v>Antkiw Court</v>
      </c>
      <c r="N656" s="350" t="str">
        <f ca="1">IF($B656="Portfolio","Portfolio",IFERROR(INDEX(DATA_ASSET_CLASSIFICATION!$U$8:$U$24,MATCH($C656,DATA_ASSET_CLASSIFICATION!$A$8:$A$24,0)),"Review"))</f>
        <v>Stable</v>
      </c>
      <c r="O656" s="350" t="str">
        <f ca="1">IF($B656="Portfolio","Portfolio",IFERROR(INDEX(DATA_ASSET_CLASSIFICATION!$AB$8:$AB$13,MATCH($N656,DATA_ASSET_CLASSIFICATION!$AA$8:$AA$13,0)),"Review"))</f>
        <v>Bucket 2 · Legacy</v>
      </c>
      <c r="P656" s="350" t="str">
        <f>IF($B656="Portfolio","Portfolio",IFERROR(INDEX(DATA_ASSET_CLASSIFICATION!$C$8:$C$24,MATCH($C656,DATA_ASSET_CLASSIFICATION!$A$8:$A$24,0)),"Review"))</f>
        <v>Yes</v>
      </c>
      <c r="Q656" s="350" t="str">
        <f t="shared" ca="1" si="21"/>
        <v>OK</v>
      </c>
    </row>
    <row r="657" spans="1:17">
      <c r="A657" s="366" t="s">
        <v>2613</v>
      </c>
      <c r="B657" s="366" t="s">
        <v>231</v>
      </c>
      <c r="C657" s="348" t="str">
        <f>DATA_PROPERTY_MASTER!$A$6</f>
        <v>BLD_AC</v>
      </c>
      <c r="D657" s="380">
        <f>'00_PORTFOLIO ROLLUP'!I$12</f>
        <v>2029</v>
      </c>
      <c r="E657" s="366" t="s">
        <v>1683</v>
      </c>
      <c r="F657" s="366" t="s">
        <v>25</v>
      </c>
      <c r="G657" s="348" t="str">
        <f>"'"&amp;$C657&amp;"'!$E$52:$Y$52"</f>
        <v>'BLD_AC'!$E$52:$Y$52</v>
      </c>
      <c r="H657" s="381">
        <f ca="1">IF(IFERROR(INDEX(DATA_PROPERTY_MASTER!$E$5:$E$21,MATCH($C657,DATA_PROPERTY_MASTER!$A$5:$A$21,0))="Yes",FALSE),IFERROR(INDEX(INDIRECT("'"&amp;$C657&amp;"'!$E$52:$Y$52"),1,MATCH($D657,INDIRECT("'"&amp;$C657&amp;"'!$E$12:$Y$12"),0)),0),0)</f>
        <v>191601.84353918655</v>
      </c>
      <c r="I657" s="366" t="s">
        <v>1685</v>
      </c>
      <c r="J657" s="348" t="str">
        <f t="shared" ca="1" si="20"/>
        <v>OK</v>
      </c>
      <c r="K657" s="366" t="s">
        <v>1710</v>
      </c>
      <c r="L657" s="366" t="s">
        <v>2246</v>
      </c>
      <c r="M657" s="350" t="str">
        <f>IF($B657="Portfolio","Portfolio",IFERROR(INDEX(DATA_ASSET_CLASSIFICATION!$B$8:$B$24,MATCH($C657,DATA_ASSET_CLASSIFICATION!$A$8:$A$24,0)),"Review"))</f>
        <v>Antkiw Court</v>
      </c>
      <c r="N657" s="350" t="str">
        <f ca="1">IF($B657="Portfolio","Portfolio",IFERROR(INDEX(DATA_ASSET_CLASSIFICATION!$U$8:$U$24,MATCH($C657,DATA_ASSET_CLASSIFICATION!$A$8:$A$24,0)),"Review"))</f>
        <v>Stable</v>
      </c>
      <c r="O657" s="350" t="str">
        <f ca="1">IF($B657="Portfolio","Portfolio",IFERROR(INDEX(DATA_ASSET_CLASSIFICATION!$AB$8:$AB$13,MATCH($N657,DATA_ASSET_CLASSIFICATION!$AA$8:$AA$13,0)),"Review"))</f>
        <v>Bucket 2 · Legacy</v>
      </c>
      <c r="P657" s="350" t="str">
        <f>IF($B657="Portfolio","Portfolio",IFERROR(INDEX(DATA_ASSET_CLASSIFICATION!$C$8:$C$24,MATCH($C657,DATA_ASSET_CLASSIFICATION!$A$8:$A$24,0)),"Review"))</f>
        <v>Yes</v>
      </c>
      <c r="Q657" s="350" t="str">
        <f t="shared" ca="1" si="21"/>
        <v>OK</v>
      </c>
    </row>
    <row r="658" spans="1:17">
      <c r="A658" s="366" t="s">
        <v>2614</v>
      </c>
      <c r="B658" s="366" t="s">
        <v>231</v>
      </c>
      <c r="C658" s="348" t="str">
        <f>DATA_PROPERTY_MASTER!$A$6</f>
        <v>BLD_AC</v>
      </c>
      <c r="D658" s="380">
        <f>'00_PORTFOLIO ROLLUP'!I$12</f>
        <v>2029</v>
      </c>
      <c r="E658" s="366" t="s">
        <v>1683</v>
      </c>
      <c r="F658" s="366" t="s">
        <v>27</v>
      </c>
      <c r="G658" s="348" t="str">
        <f>"'"&amp;$C658&amp;"'!$E$54:$Y$54"</f>
        <v>'BLD_AC'!$E$54:$Y$54</v>
      </c>
      <c r="H658" s="381">
        <f ca="1">IF(IFERROR(INDEX(DATA_PROPERTY_MASTER!$E$5:$E$21,MATCH($C658,DATA_PROPERTY_MASTER!$A$5:$A$21,0))="Yes",FALSE),IFERROR(INDEX(INDIRECT("'"&amp;$C658&amp;"'!$E$54:$Y$54"),1,MATCH($D658,INDIRECT("'"&amp;$C658&amp;"'!$E$12:$Y$12"),0)),0),0)</f>
        <v>114961.10612351193</v>
      </c>
      <c r="I658" s="366" t="s">
        <v>1690</v>
      </c>
      <c r="J658" s="348" t="str">
        <f t="shared" ca="1" si="20"/>
        <v>OK</v>
      </c>
      <c r="K658" s="366" t="s">
        <v>1714</v>
      </c>
      <c r="L658" s="366" t="s">
        <v>2248</v>
      </c>
      <c r="M658" s="350" t="str">
        <f>IF($B658="Portfolio","Portfolio",IFERROR(INDEX(DATA_ASSET_CLASSIFICATION!$B$8:$B$24,MATCH($C658,DATA_ASSET_CLASSIFICATION!$A$8:$A$24,0)),"Review"))</f>
        <v>Antkiw Court</v>
      </c>
      <c r="N658" s="350" t="str">
        <f ca="1">IF($B658="Portfolio","Portfolio",IFERROR(INDEX(DATA_ASSET_CLASSIFICATION!$U$8:$U$24,MATCH($C658,DATA_ASSET_CLASSIFICATION!$A$8:$A$24,0)),"Review"))</f>
        <v>Stable</v>
      </c>
      <c r="O658" s="350" t="str">
        <f ca="1">IF($B658="Portfolio","Portfolio",IFERROR(INDEX(DATA_ASSET_CLASSIFICATION!$AB$8:$AB$13,MATCH($N658,DATA_ASSET_CLASSIFICATION!$AA$8:$AA$13,0)),"Review"))</f>
        <v>Bucket 2 · Legacy</v>
      </c>
      <c r="P658" s="350" t="str">
        <f>IF($B658="Portfolio","Portfolio",IFERROR(INDEX(DATA_ASSET_CLASSIFICATION!$C$8:$C$24,MATCH($C658,DATA_ASSET_CLASSIFICATION!$A$8:$A$24,0)),"Review"))</f>
        <v>Yes</v>
      </c>
      <c r="Q658" s="350" t="str">
        <f t="shared" ca="1" si="21"/>
        <v>OK</v>
      </c>
    </row>
    <row r="659" spans="1:17">
      <c r="A659" s="366" t="s">
        <v>2615</v>
      </c>
      <c r="B659" s="366" t="s">
        <v>231</v>
      </c>
      <c r="C659" s="348" t="str">
        <f>DATA_PROPERTY_MASTER!$A$6</f>
        <v>BLD_AC</v>
      </c>
      <c r="D659" s="380">
        <f>'00_PORTFOLIO ROLLUP'!I$12</f>
        <v>2029</v>
      </c>
      <c r="E659" s="366" t="s">
        <v>1683</v>
      </c>
      <c r="F659" s="366" t="s">
        <v>29</v>
      </c>
      <c r="G659" s="348" t="str">
        <f>"'"&amp;$C659&amp;"'!$E$56:$Y$56"</f>
        <v>'BLD_AC'!$E$56:$Y$56</v>
      </c>
      <c r="H659" s="381">
        <f ca="1">IF(IFERROR(INDEX(DATA_PROPERTY_MASTER!$E$5:$E$21,MATCH($C659,DATA_PROPERTY_MASTER!$A$5:$A$21,0))="Yes",FALSE),IFERROR(INDEX(INDIRECT("'"&amp;$C659&amp;"'!$E$56:$Y$56"),1,MATCH($D659,INDIRECT("'"&amp;$C659&amp;"'!$E$12:$Y$12"),0)),0),0)</f>
        <v>76640.737415674623</v>
      </c>
      <c r="I659" s="366" t="s">
        <v>1685</v>
      </c>
      <c r="J659" s="348" t="str">
        <f t="shared" ca="1" si="20"/>
        <v>OK</v>
      </c>
      <c r="K659" s="366" t="s">
        <v>1718</v>
      </c>
      <c r="L659" s="366" t="s">
        <v>2250</v>
      </c>
      <c r="M659" s="350" t="str">
        <f>IF($B659="Portfolio","Portfolio",IFERROR(INDEX(DATA_ASSET_CLASSIFICATION!$B$8:$B$24,MATCH($C659,DATA_ASSET_CLASSIFICATION!$A$8:$A$24,0)),"Review"))</f>
        <v>Antkiw Court</v>
      </c>
      <c r="N659" s="350" t="str">
        <f ca="1">IF($B659="Portfolio","Portfolio",IFERROR(INDEX(DATA_ASSET_CLASSIFICATION!$U$8:$U$24,MATCH($C659,DATA_ASSET_CLASSIFICATION!$A$8:$A$24,0)),"Review"))</f>
        <v>Stable</v>
      </c>
      <c r="O659" s="350" t="str">
        <f ca="1">IF($B659="Portfolio","Portfolio",IFERROR(INDEX(DATA_ASSET_CLASSIFICATION!$AB$8:$AB$13,MATCH($N659,DATA_ASSET_CLASSIFICATION!$AA$8:$AA$13,0)),"Review"))</f>
        <v>Bucket 2 · Legacy</v>
      </c>
      <c r="P659" s="350" t="str">
        <f>IF($B659="Portfolio","Portfolio",IFERROR(INDEX(DATA_ASSET_CLASSIFICATION!$C$8:$C$24,MATCH($C659,DATA_ASSET_CLASSIFICATION!$A$8:$A$24,0)),"Review"))</f>
        <v>Yes</v>
      </c>
      <c r="Q659" s="350" t="str">
        <f t="shared" ca="1" si="21"/>
        <v>OK</v>
      </c>
    </row>
    <row r="660" spans="1:17">
      <c r="A660" s="366" t="s">
        <v>2616</v>
      </c>
      <c r="B660" s="366" t="s">
        <v>231</v>
      </c>
      <c r="C660" s="348" t="str">
        <f>DATA_PROPERTY_MASTER!$A$6</f>
        <v>BLD_AC</v>
      </c>
      <c r="D660" s="380">
        <f>'00_PORTFOLIO ROLLUP'!I$12</f>
        <v>2029</v>
      </c>
      <c r="E660" s="366" t="s">
        <v>1721</v>
      </c>
      <c r="F660" s="366" t="s">
        <v>31</v>
      </c>
      <c r="G660" s="348" t="str">
        <f>"'"&amp;$C660&amp;"'!$E$61:$Y$61"</f>
        <v>'BLD_AC'!$E$61:$Y$61</v>
      </c>
      <c r="H660" s="381">
        <f ca="1">IF(IFERROR(INDEX(DATA_PROPERTY_MASTER!$E$5:$E$21,MATCH($C660,DATA_PROPERTY_MASTER!$A$5:$A$21,0))="Yes",FALSE),IFERROR(INDEX(INDIRECT("'"&amp;$C660&amp;"'!$E$61:$Y$61"),1,MATCH($D660,INDIRECT("'"&amp;$C660&amp;"'!$E$12:$Y$12"),0)),0),0)</f>
        <v>0</v>
      </c>
      <c r="I660" s="366" t="s">
        <v>1690</v>
      </c>
      <c r="J660" s="348" t="str">
        <f t="shared" ca="1" si="20"/>
        <v>OK</v>
      </c>
      <c r="K660" s="366" t="s">
        <v>1723</v>
      </c>
      <c r="L660" s="366" t="s">
        <v>2252</v>
      </c>
      <c r="M660" s="350" t="str">
        <f>IF($B660="Portfolio","Portfolio",IFERROR(INDEX(DATA_ASSET_CLASSIFICATION!$B$8:$B$24,MATCH($C660,DATA_ASSET_CLASSIFICATION!$A$8:$A$24,0)),"Review"))</f>
        <v>Antkiw Court</v>
      </c>
      <c r="N660" s="350" t="str">
        <f ca="1">IF($B660="Portfolio","Portfolio",IFERROR(INDEX(DATA_ASSET_CLASSIFICATION!$U$8:$U$24,MATCH($C660,DATA_ASSET_CLASSIFICATION!$A$8:$A$24,0)),"Review"))</f>
        <v>Stable</v>
      </c>
      <c r="O660" s="350" t="str">
        <f ca="1">IF($B660="Portfolio","Portfolio",IFERROR(INDEX(DATA_ASSET_CLASSIFICATION!$AB$8:$AB$13,MATCH($N660,DATA_ASSET_CLASSIFICATION!$AA$8:$AA$13,0)),"Review"))</f>
        <v>Bucket 2 · Legacy</v>
      </c>
      <c r="P660" s="350" t="str">
        <f>IF($B660="Portfolio","Portfolio",IFERROR(INDEX(DATA_ASSET_CLASSIFICATION!$C$8:$C$24,MATCH($C660,DATA_ASSET_CLASSIFICATION!$A$8:$A$24,0)),"Review"))</f>
        <v>Yes</v>
      </c>
      <c r="Q660" s="350" t="str">
        <f t="shared" ca="1" si="21"/>
        <v>OK</v>
      </c>
    </row>
    <row r="661" spans="1:17">
      <c r="A661" s="366" t="s">
        <v>2617</v>
      </c>
      <c r="B661" s="366" t="s">
        <v>231</v>
      </c>
      <c r="C661" s="348" t="str">
        <f>DATA_PROPERTY_MASTER!$A$6</f>
        <v>BLD_AC</v>
      </c>
      <c r="D661" s="380">
        <f>'00_PORTFOLIO ROLLUP'!I$12</f>
        <v>2029</v>
      </c>
      <c r="E661" s="366" t="s">
        <v>1721</v>
      </c>
      <c r="F661" s="366" t="s">
        <v>33</v>
      </c>
      <c r="G661" s="348" t="str">
        <f>"'"&amp;$C661&amp;"'!$E$62:$Y$62"</f>
        <v>'BLD_AC'!$E$62:$Y$62</v>
      </c>
      <c r="H661" s="381">
        <f ca="1">IF(IFERROR(INDEX(DATA_PROPERTY_MASTER!$E$5:$E$21,MATCH($C661,DATA_PROPERTY_MASTER!$A$5:$A$21,0))="Yes",FALSE),IFERROR(INDEX(INDIRECT("'"&amp;$C661&amp;"'!$E$62:$Y$62"),1,MATCH($D661,INDIRECT("'"&amp;$C661&amp;"'!$E$12:$Y$12"),0)),0),0)</f>
        <v>0</v>
      </c>
      <c r="I661" s="366" t="s">
        <v>1685</v>
      </c>
      <c r="J661" s="348" t="str">
        <f t="shared" ca="1" si="20"/>
        <v>OK</v>
      </c>
      <c r="K661" s="366" t="s">
        <v>1727</v>
      </c>
      <c r="L661" s="366" t="s">
        <v>2254</v>
      </c>
      <c r="M661" s="350" t="str">
        <f>IF($B661="Portfolio","Portfolio",IFERROR(INDEX(DATA_ASSET_CLASSIFICATION!$B$8:$B$24,MATCH($C661,DATA_ASSET_CLASSIFICATION!$A$8:$A$24,0)),"Review"))</f>
        <v>Antkiw Court</v>
      </c>
      <c r="N661" s="350" t="str">
        <f ca="1">IF($B661="Portfolio","Portfolio",IFERROR(INDEX(DATA_ASSET_CLASSIFICATION!$U$8:$U$24,MATCH($C661,DATA_ASSET_CLASSIFICATION!$A$8:$A$24,0)),"Review"))</f>
        <v>Stable</v>
      </c>
      <c r="O661" s="350" t="str">
        <f ca="1">IF($B661="Portfolio","Portfolio",IFERROR(INDEX(DATA_ASSET_CLASSIFICATION!$AB$8:$AB$13,MATCH($N661,DATA_ASSET_CLASSIFICATION!$AA$8:$AA$13,0)),"Review"))</f>
        <v>Bucket 2 · Legacy</v>
      </c>
      <c r="P661" s="350" t="str">
        <f>IF($B661="Portfolio","Portfolio",IFERROR(INDEX(DATA_ASSET_CLASSIFICATION!$C$8:$C$24,MATCH($C661,DATA_ASSET_CLASSIFICATION!$A$8:$A$24,0)),"Review"))</f>
        <v>Yes</v>
      </c>
      <c r="Q661" s="350" t="str">
        <f t="shared" ca="1" si="21"/>
        <v>OK</v>
      </c>
    </row>
    <row r="662" spans="1:17">
      <c r="A662" s="366" t="s">
        <v>2618</v>
      </c>
      <c r="B662" s="366" t="s">
        <v>231</v>
      </c>
      <c r="C662" s="348" t="str">
        <f>DATA_PROPERTY_MASTER!$A$6</f>
        <v>BLD_AC</v>
      </c>
      <c r="D662" s="380">
        <f>'00_PORTFOLIO ROLLUP'!I$12</f>
        <v>2029</v>
      </c>
      <c r="E662" s="366" t="s">
        <v>1721</v>
      </c>
      <c r="F662" s="366" t="s">
        <v>35</v>
      </c>
      <c r="G662" s="348" t="str">
        <f>"'"&amp;$C662&amp;"'!$E$63:$Y$63"</f>
        <v>'BLD_AC'!$E$63:$Y$63</v>
      </c>
      <c r="H662" s="381">
        <f ca="1">IF(IFERROR(INDEX(DATA_PROPERTY_MASTER!$E$5:$E$21,MATCH($C662,DATA_PROPERTY_MASTER!$A$5:$A$21,0))="Yes",FALSE),IFERROR(INDEX(INDIRECT("'"&amp;$C662&amp;"'!$E$63:$Y$63"),1,MATCH($D662,INDIRECT("'"&amp;$C662&amp;"'!$E$12:$Y$12"),0)),0),0)</f>
        <v>0</v>
      </c>
      <c r="I662" s="366" t="s">
        <v>1731</v>
      </c>
      <c r="J662" s="348" t="str">
        <f t="shared" ca="1" si="20"/>
        <v>OK</v>
      </c>
      <c r="K662" s="366" t="s">
        <v>1732</v>
      </c>
      <c r="L662" s="366" t="s">
        <v>2256</v>
      </c>
      <c r="M662" s="350" t="str">
        <f>IF($B662="Portfolio","Portfolio",IFERROR(INDEX(DATA_ASSET_CLASSIFICATION!$B$8:$B$24,MATCH($C662,DATA_ASSET_CLASSIFICATION!$A$8:$A$24,0)),"Review"))</f>
        <v>Antkiw Court</v>
      </c>
      <c r="N662" s="350" t="str">
        <f ca="1">IF($B662="Portfolio","Portfolio",IFERROR(INDEX(DATA_ASSET_CLASSIFICATION!$U$8:$U$24,MATCH($C662,DATA_ASSET_CLASSIFICATION!$A$8:$A$24,0)),"Review"))</f>
        <v>Stable</v>
      </c>
      <c r="O662" s="350" t="str">
        <f ca="1">IF($B662="Portfolio","Portfolio",IFERROR(INDEX(DATA_ASSET_CLASSIFICATION!$AB$8:$AB$13,MATCH($N662,DATA_ASSET_CLASSIFICATION!$AA$8:$AA$13,0)),"Review"))</f>
        <v>Bucket 2 · Legacy</v>
      </c>
      <c r="P662" s="350" t="str">
        <f>IF($B662="Portfolio","Portfolio",IFERROR(INDEX(DATA_ASSET_CLASSIFICATION!$C$8:$C$24,MATCH($C662,DATA_ASSET_CLASSIFICATION!$A$8:$A$24,0)),"Review"))</f>
        <v>Yes</v>
      </c>
      <c r="Q662" s="350" t="str">
        <f t="shared" ca="1" si="21"/>
        <v>OK</v>
      </c>
    </row>
    <row r="663" spans="1:17">
      <c r="A663" s="366" t="s">
        <v>2619</v>
      </c>
      <c r="B663" s="366" t="s">
        <v>231</v>
      </c>
      <c r="C663" s="348" t="str">
        <f>DATA_PROPERTY_MASTER!$A$6</f>
        <v>BLD_AC</v>
      </c>
      <c r="D663" s="380">
        <f>'00_PORTFOLIO ROLLUP'!I$12</f>
        <v>2029</v>
      </c>
      <c r="E663" s="366" t="s">
        <v>1721</v>
      </c>
      <c r="F663" s="366" t="s">
        <v>37</v>
      </c>
      <c r="G663" s="348" t="str">
        <f>"'"&amp;$C663&amp;"'!$E$63:$Y$63"</f>
        <v>'BLD_AC'!$E$63:$Y$63</v>
      </c>
      <c r="H663" s="381">
        <f ca="1">IF(IFERROR(INDEX(DATA_PROPERTY_MASTER!$E$5:$E$21,MATCH($C663,DATA_PROPERTY_MASTER!$A$5:$A$21,0))="Yes",FALSE),MAX(IFERROR(INDEX(INDIRECT("'"&amp;$C663&amp;"'!$E$63:$Y$63"),1,MATCH($D663,INDIRECT("'"&amp;$C663&amp;"'!$E$12:$Y$12"),0)),0),0),0)</f>
        <v>0</v>
      </c>
      <c r="I663" s="366" t="s">
        <v>1685</v>
      </c>
      <c r="J663" s="348" t="str">
        <f t="shared" ca="1" si="20"/>
        <v>OK</v>
      </c>
      <c r="K663" s="366" t="s">
        <v>1735</v>
      </c>
      <c r="L663" s="366" t="s">
        <v>2258</v>
      </c>
      <c r="M663" s="350" t="str">
        <f>IF($B663="Portfolio","Portfolio",IFERROR(INDEX(DATA_ASSET_CLASSIFICATION!$B$8:$B$24,MATCH($C663,DATA_ASSET_CLASSIFICATION!$A$8:$A$24,0)),"Review"))</f>
        <v>Antkiw Court</v>
      </c>
      <c r="N663" s="350" t="str">
        <f ca="1">IF($B663="Portfolio","Portfolio",IFERROR(INDEX(DATA_ASSET_CLASSIFICATION!$U$8:$U$24,MATCH($C663,DATA_ASSET_CLASSIFICATION!$A$8:$A$24,0)),"Review"))</f>
        <v>Stable</v>
      </c>
      <c r="O663" s="350" t="str">
        <f ca="1">IF($B663="Portfolio","Portfolio",IFERROR(INDEX(DATA_ASSET_CLASSIFICATION!$AB$8:$AB$13,MATCH($N663,DATA_ASSET_CLASSIFICATION!$AA$8:$AA$13,0)),"Review"))</f>
        <v>Bucket 2 · Legacy</v>
      </c>
      <c r="P663" s="350" t="str">
        <f>IF($B663="Portfolio","Portfolio",IFERROR(INDEX(DATA_ASSET_CLASSIFICATION!$C$8:$C$24,MATCH($C663,DATA_ASSET_CLASSIFICATION!$A$8:$A$24,0)),"Review"))</f>
        <v>Yes</v>
      </c>
      <c r="Q663" s="350" t="str">
        <f t="shared" ca="1" si="21"/>
        <v>OK</v>
      </c>
    </row>
    <row r="664" spans="1:17">
      <c r="A664" s="366" t="s">
        <v>2620</v>
      </c>
      <c r="B664" s="366" t="s">
        <v>231</v>
      </c>
      <c r="C664" s="348" t="str">
        <f>DATA_PROPERTY_MASTER!$A$6</f>
        <v>BLD_AC</v>
      </c>
      <c r="D664" s="380">
        <f>'00_PORTFOLIO ROLLUP'!I$12</f>
        <v>2029</v>
      </c>
      <c r="E664" s="366" t="s">
        <v>1721</v>
      </c>
      <c r="F664" s="366" t="s">
        <v>39</v>
      </c>
      <c r="G664" s="348" t="str">
        <f>"'"&amp;$C664&amp;"'!$E$63:$Y$63"</f>
        <v>'BLD_AC'!$E$63:$Y$63</v>
      </c>
      <c r="H664" s="381">
        <f ca="1">IF(IFERROR(INDEX(DATA_PROPERTY_MASTER!$E$5:$E$21,MATCH($C664,DATA_PROPERTY_MASTER!$A$5:$A$21,0))="Yes",FALSE),MAX(-IFERROR(INDEX(INDIRECT("'"&amp;$C664&amp;"'!$E$63:$Y$63"),1,MATCH($D664,INDIRECT("'"&amp;$C664&amp;"'!$E$12:$Y$12"),0)),0),0),0)</f>
        <v>0</v>
      </c>
      <c r="I664" s="366" t="s">
        <v>1690</v>
      </c>
      <c r="J664" s="348" t="str">
        <f t="shared" ca="1" si="20"/>
        <v>OK</v>
      </c>
      <c r="K664" s="366" t="s">
        <v>1738</v>
      </c>
      <c r="L664" s="366" t="s">
        <v>2260</v>
      </c>
      <c r="M664" s="350" t="str">
        <f>IF($B664="Portfolio","Portfolio",IFERROR(INDEX(DATA_ASSET_CLASSIFICATION!$B$8:$B$24,MATCH($C664,DATA_ASSET_CLASSIFICATION!$A$8:$A$24,0)),"Review"))</f>
        <v>Antkiw Court</v>
      </c>
      <c r="N664" s="350" t="str">
        <f ca="1">IF($B664="Portfolio","Portfolio",IFERROR(INDEX(DATA_ASSET_CLASSIFICATION!$U$8:$U$24,MATCH($C664,DATA_ASSET_CLASSIFICATION!$A$8:$A$24,0)),"Review"))</f>
        <v>Stable</v>
      </c>
      <c r="O664" s="350" t="str">
        <f ca="1">IF($B664="Portfolio","Portfolio",IFERROR(INDEX(DATA_ASSET_CLASSIFICATION!$AB$8:$AB$13,MATCH($N664,DATA_ASSET_CLASSIFICATION!$AA$8:$AA$13,0)),"Review"))</f>
        <v>Bucket 2 · Legacy</v>
      </c>
      <c r="P664" s="350" t="str">
        <f>IF($B664="Portfolio","Portfolio",IFERROR(INDEX(DATA_ASSET_CLASSIFICATION!$C$8:$C$24,MATCH($C664,DATA_ASSET_CLASSIFICATION!$A$8:$A$24,0)),"Review"))</f>
        <v>Yes</v>
      </c>
      <c r="Q664" s="350" t="str">
        <f t="shared" ca="1" si="21"/>
        <v>OK</v>
      </c>
    </row>
    <row r="665" spans="1:17">
      <c r="A665" s="366" t="s">
        <v>2621</v>
      </c>
      <c r="B665" s="366" t="s">
        <v>231</v>
      </c>
      <c r="C665" s="348" t="str">
        <f>DATA_PROPERTY_MASTER!$A$6</f>
        <v>BLD_AC</v>
      </c>
      <c r="D665" s="380">
        <f>'00_PORTFOLIO ROLLUP'!I$12</f>
        <v>2029</v>
      </c>
      <c r="E665" s="366" t="s">
        <v>1741</v>
      </c>
      <c r="F665" s="366" t="s">
        <v>41</v>
      </c>
      <c r="G665" s="348" t="str">
        <f>"'"&amp;$C665&amp;"'!rows 56 + positive row 63"</f>
        <v>'BLD_AC'!rows 56 + positive row 63</v>
      </c>
      <c r="H665" s="381">
        <f ca="1">IF(IFERROR(INDEX(DATA_PROPERTY_MASTER!$E$5:$E$21,MATCH($C665,DATA_PROPERTY_MASTER!$A$5:$A$21,0))="Yes",FALSE),IFERROR(INDEX(INDIRECT("'"&amp;$C665&amp;"'!$E$56:$Y$56"),1,MATCH($D665,INDIRECT("'"&amp;$C665&amp;"'!$E$12:$Y$12"),0)),0)+MAX(IFERROR(INDEX(INDIRECT("'"&amp;$C665&amp;"'!$E$63:$Y$63"),1,MATCH($D665,INDIRECT("'"&amp;$C665&amp;"'!$E$12:$Y$12"),0)),0),0),0)</f>
        <v>76640.737415674623</v>
      </c>
      <c r="I665" s="366" t="s">
        <v>1685</v>
      </c>
      <c r="J665" s="348" t="str">
        <f t="shared" ca="1" si="20"/>
        <v>OK</v>
      </c>
      <c r="K665" s="366" t="s">
        <v>1742</v>
      </c>
      <c r="L665" s="366" t="s">
        <v>2262</v>
      </c>
      <c r="M665" s="350" t="str">
        <f>IF($B665="Portfolio","Portfolio",IFERROR(INDEX(DATA_ASSET_CLASSIFICATION!$B$8:$B$24,MATCH($C665,DATA_ASSET_CLASSIFICATION!$A$8:$A$24,0)),"Review"))</f>
        <v>Antkiw Court</v>
      </c>
      <c r="N665" s="350" t="str">
        <f ca="1">IF($B665="Portfolio","Portfolio",IFERROR(INDEX(DATA_ASSET_CLASSIFICATION!$U$8:$U$24,MATCH($C665,DATA_ASSET_CLASSIFICATION!$A$8:$A$24,0)),"Review"))</f>
        <v>Stable</v>
      </c>
      <c r="O665" s="350" t="str">
        <f ca="1">IF($B665="Portfolio","Portfolio",IFERROR(INDEX(DATA_ASSET_CLASSIFICATION!$AB$8:$AB$13,MATCH($N665,DATA_ASSET_CLASSIFICATION!$AA$8:$AA$13,0)),"Review"))</f>
        <v>Bucket 2 · Legacy</v>
      </c>
      <c r="P665" s="350" t="str">
        <f>IF($B665="Portfolio","Portfolio",IFERROR(INDEX(DATA_ASSET_CLASSIFICATION!$C$8:$C$24,MATCH($C665,DATA_ASSET_CLASSIFICATION!$A$8:$A$24,0)),"Review"))</f>
        <v>Yes</v>
      </c>
      <c r="Q665" s="350" t="str">
        <f t="shared" ca="1" si="21"/>
        <v>OK</v>
      </c>
    </row>
    <row r="666" spans="1:17">
      <c r="A666" s="366" t="s">
        <v>2622</v>
      </c>
      <c r="B666" s="366" t="s">
        <v>231</v>
      </c>
      <c r="C666" s="348" t="str">
        <f>DATA_PROPERTY_MASTER!$A$6</f>
        <v>BLD_AC</v>
      </c>
      <c r="D666" s="380">
        <f>'00_PORTFOLIO ROLLUP'!I$12</f>
        <v>2029</v>
      </c>
      <c r="E666" s="366" t="s">
        <v>1741</v>
      </c>
      <c r="F666" s="366" t="s">
        <v>43</v>
      </c>
      <c r="G666" s="348" t="str">
        <f>"'"&amp;$C666&amp;"'!$E$68:$Y$68"</f>
        <v>'BLD_AC'!$E$68:$Y$68</v>
      </c>
      <c r="H666" s="381">
        <f ca="1">IF(IFERROR(INDEX(DATA_PROPERTY_MASTER!$E$5:$E$21,MATCH($C666,DATA_PROPERTY_MASTER!$A$5:$A$21,0))="Yes",FALSE),IFERROR(INDEX(INDIRECT("'"&amp;$C666&amp;"'!$E$68:$Y$68"),1,MATCH($D666,INDIRECT("'"&amp;$C666&amp;"'!$E$12:$Y$12"),0)),0),0)</f>
        <v>76640.737415674623</v>
      </c>
      <c r="I666" s="366" t="s">
        <v>1731</v>
      </c>
      <c r="J666" s="348" t="str">
        <f t="shared" ca="1" si="20"/>
        <v>OK</v>
      </c>
      <c r="K666" s="366" t="s">
        <v>1746</v>
      </c>
      <c r="L666" s="366" t="s">
        <v>2264</v>
      </c>
      <c r="M666" s="350" t="str">
        <f>IF($B666="Portfolio","Portfolio",IFERROR(INDEX(DATA_ASSET_CLASSIFICATION!$B$8:$B$24,MATCH($C666,DATA_ASSET_CLASSIFICATION!$A$8:$A$24,0)),"Review"))</f>
        <v>Antkiw Court</v>
      </c>
      <c r="N666" s="350" t="str">
        <f ca="1">IF($B666="Portfolio","Portfolio",IFERROR(INDEX(DATA_ASSET_CLASSIFICATION!$U$8:$U$24,MATCH($C666,DATA_ASSET_CLASSIFICATION!$A$8:$A$24,0)),"Review"))</f>
        <v>Stable</v>
      </c>
      <c r="O666" s="350" t="str">
        <f ca="1">IF($B666="Portfolio","Portfolio",IFERROR(INDEX(DATA_ASSET_CLASSIFICATION!$AB$8:$AB$13,MATCH($N666,DATA_ASSET_CLASSIFICATION!$AA$8:$AA$13,0)),"Review"))</f>
        <v>Bucket 2 · Legacy</v>
      </c>
      <c r="P666" s="350" t="str">
        <f>IF($B666="Portfolio","Portfolio",IFERROR(INDEX(DATA_ASSET_CLASSIFICATION!$C$8:$C$24,MATCH($C666,DATA_ASSET_CLASSIFICATION!$A$8:$A$24,0)),"Review"))</f>
        <v>Yes</v>
      </c>
      <c r="Q666" s="350" t="str">
        <f t="shared" ca="1" si="21"/>
        <v>OK</v>
      </c>
    </row>
    <row r="667" spans="1:17">
      <c r="A667" s="366" t="s">
        <v>2623</v>
      </c>
      <c r="B667" s="366" t="s">
        <v>231</v>
      </c>
      <c r="C667" s="348" t="str">
        <f>DATA_PROPERTY_MASTER!$A$6</f>
        <v>BLD_AC</v>
      </c>
      <c r="D667" s="380">
        <f>'00_PORTFOLIO ROLLUP'!I$12</f>
        <v>2029</v>
      </c>
      <c r="E667" s="366" t="s">
        <v>1741</v>
      </c>
      <c r="F667" s="366" t="s">
        <v>1749</v>
      </c>
      <c r="G667" s="348" t="str">
        <f>"'"&amp;$C667&amp;"'!rows 56, 63, 68"</f>
        <v>'BLD_AC'!rows 56, 63, 68</v>
      </c>
      <c r="H667" s="381">
        <f ca="1">IF(IFERROR(INDEX(DATA_PROPERTY_MASTER!$E$5:$E$21,MATCH($C667,DATA_PROPERTY_MASTER!$A$5:$A$21,0))="Yes",FALSE),(IFERROR(INDEX(INDIRECT("'"&amp;$C667&amp;"'!$E$56:$Y$56"),1,MATCH($D667,INDIRECT("'"&amp;$C667&amp;"'!$E$12:$Y$12"),0)),0)+MAX(IFERROR(INDEX(INDIRECT("'"&amp;$C667&amp;"'!$E$63:$Y$63"),1,MATCH($D667,INDIRECT("'"&amp;$C667&amp;"'!$E$12:$Y$12"),0)),0),0))-(IFERROR(INDEX(INDIRECT("'"&amp;$C667&amp;"'!$E$68:$Y$68"),1,MATCH($D667,INDIRECT("'"&amp;$C667&amp;"'!$E$12:$Y$12"),0)),0)),0)</f>
        <v>0</v>
      </c>
      <c r="I667" s="366" t="s">
        <v>1750</v>
      </c>
      <c r="J667" s="348" t="str">
        <f t="shared" ca="1" si="20"/>
        <v>OK</v>
      </c>
      <c r="K667" s="366" t="s">
        <v>1751</v>
      </c>
      <c r="L667" s="366" t="s">
        <v>2266</v>
      </c>
      <c r="M667" s="350" t="str">
        <f>IF($B667="Portfolio","Portfolio",IFERROR(INDEX(DATA_ASSET_CLASSIFICATION!$B$8:$B$24,MATCH($C667,DATA_ASSET_CLASSIFICATION!$A$8:$A$24,0)),"Review"))</f>
        <v>Antkiw Court</v>
      </c>
      <c r="N667" s="350" t="str">
        <f ca="1">IF($B667="Portfolio","Portfolio",IFERROR(INDEX(DATA_ASSET_CLASSIFICATION!$U$8:$U$24,MATCH($C667,DATA_ASSET_CLASSIFICATION!$A$8:$A$24,0)),"Review"))</f>
        <v>Stable</v>
      </c>
      <c r="O667" s="350" t="str">
        <f ca="1">IF($B667="Portfolio","Portfolio",IFERROR(INDEX(DATA_ASSET_CLASSIFICATION!$AB$8:$AB$13,MATCH($N667,DATA_ASSET_CLASSIFICATION!$AA$8:$AA$13,0)),"Review"))</f>
        <v>Bucket 2 · Legacy</v>
      </c>
      <c r="P667" s="350" t="str">
        <f>IF($B667="Portfolio","Portfolio",IFERROR(INDEX(DATA_ASSET_CLASSIFICATION!$C$8:$C$24,MATCH($C667,DATA_ASSET_CLASSIFICATION!$A$8:$A$24,0)),"Review"))</f>
        <v>Yes</v>
      </c>
      <c r="Q667" s="350" t="str">
        <f t="shared" ca="1" si="21"/>
        <v>OK</v>
      </c>
    </row>
    <row r="668" spans="1:17">
      <c r="A668" s="366" t="s">
        <v>2624</v>
      </c>
      <c r="B668" s="366" t="s">
        <v>231</v>
      </c>
      <c r="C668" s="348" t="str">
        <f>DATA_PROPERTY_MASTER!$A$6</f>
        <v>BLD_AC</v>
      </c>
      <c r="D668" s="380">
        <f>'00_PORTFOLIO ROLLUP'!J$12</f>
        <v>2030</v>
      </c>
      <c r="E668" s="366" t="s">
        <v>1683</v>
      </c>
      <c r="F668" s="366" t="s">
        <v>341</v>
      </c>
      <c r="G668" s="348" t="str">
        <f>"'"&amp;$C668&amp;"'!$E$24:$Y$24"</f>
        <v>'BLD_AC'!$E$24:$Y$24</v>
      </c>
      <c r="H668" s="381">
        <f ca="1">IF(IFERROR(INDEX(DATA_PROPERTY_MASTER!$E$5:$E$21,MATCH($C668,DATA_PROPERTY_MASTER!$A$5:$A$21,0))="Yes",FALSE),IFERROR(INDEX(INDIRECT("'"&amp;$C668&amp;"'!$E$24:$Y$24"),1,MATCH($D668,INDIRECT("'"&amp;$C668&amp;"'!$E$12:$Y$12"),0)),0),0)</f>
        <v>429431.32260102313</v>
      </c>
      <c r="I668" s="366" t="s">
        <v>1685</v>
      </c>
      <c r="J668" s="348" t="str">
        <f t="shared" ca="1" si="20"/>
        <v>OK</v>
      </c>
      <c r="K668" s="366" t="s">
        <v>1686</v>
      </c>
      <c r="L668" s="366" t="s">
        <v>2234</v>
      </c>
      <c r="M668" s="350" t="str">
        <f>IF($B668="Portfolio","Portfolio",IFERROR(INDEX(DATA_ASSET_CLASSIFICATION!$B$8:$B$24,MATCH($C668,DATA_ASSET_CLASSIFICATION!$A$8:$A$24,0)),"Review"))</f>
        <v>Antkiw Court</v>
      </c>
      <c r="N668" s="350" t="str">
        <f ca="1">IF($B668="Portfolio","Portfolio",IFERROR(INDEX(DATA_ASSET_CLASSIFICATION!$U$8:$U$24,MATCH($C668,DATA_ASSET_CLASSIFICATION!$A$8:$A$24,0)),"Review"))</f>
        <v>Stable</v>
      </c>
      <c r="O668" s="350" t="str">
        <f ca="1">IF($B668="Portfolio","Portfolio",IFERROR(INDEX(DATA_ASSET_CLASSIFICATION!$AB$8:$AB$13,MATCH($N668,DATA_ASSET_CLASSIFICATION!$AA$8:$AA$13,0)),"Review"))</f>
        <v>Bucket 2 · Legacy</v>
      </c>
      <c r="P668" s="350" t="str">
        <f>IF($B668="Portfolio","Portfolio",IFERROR(INDEX(DATA_ASSET_CLASSIFICATION!$C$8:$C$24,MATCH($C668,DATA_ASSET_CLASSIFICATION!$A$8:$A$24,0)),"Review"))</f>
        <v>Yes</v>
      </c>
      <c r="Q668" s="350" t="str">
        <f t="shared" ca="1" si="21"/>
        <v>OK</v>
      </c>
    </row>
    <row r="669" spans="1:17">
      <c r="A669" s="366" t="s">
        <v>2625</v>
      </c>
      <c r="B669" s="366" t="s">
        <v>231</v>
      </c>
      <c r="C669" s="348" t="str">
        <f>DATA_PROPERTY_MASTER!$A$6</f>
        <v>BLD_AC</v>
      </c>
      <c r="D669" s="380">
        <f>'00_PORTFOLIO ROLLUP'!J$12</f>
        <v>2030</v>
      </c>
      <c r="E669" s="366" t="s">
        <v>1683</v>
      </c>
      <c r="F669" s="366" t="s">
        <v>355</v>
      </c>
      <c r="G669" s="348" t="str">
        <f>"'"&amp;$C669&amp;"'!$E$39:$Y$39"</f>
        <v>'BLD_AC'!$E$39:$Y$39</v>
      </c>
      <c r="H669" s="381">
        <f ca="1">IF(IFERROR(INDEX(DATA_PROPERTY_MASTER!$E$5:$E$21,MATCH($C669,DATA_PROPERTY_MASTER!$A$5:$A$21,0))="Yes",FALSE),IFERROR(INDEX(INDIRECT("'"&amp;$C669&amp;"'!$E$39:$Y$39"),1,MATCH($D669,INDIRECT("'"&amp;$C669&amp;"'!$E$12:$Y$12"),0)),0),0)</f>
        <v>183190.21086146566</v>
      </c>
      <c r="I669" s="366" t="s">
        <v>1690</v>
      </c>
      <c r="J669" s="348" t="str">
        <f t="shared" ca="1" si="20"/>
        <v>OK</v>
      </c>
      <c r="K669" s="366" t="s">
        <v>1686</v>
      </c>
      <c r="L669" s="366" t="s">
        <v>2236</v>
      </c>
      <c r="M669" s="350" t="str">
        <f>IF($B669="Portfolio","Portfolio",IFERROR(INDEX(DATA_ASSET_CLASSIFICATION!$B$8:$B$24,MATCH($C669,DATA_ASSET_CLASSIFICATION!$A$8:$A$24,0)),"Review"))</f>
        <v>Antkiw Court</v>
      </c>
      <c r="N669" s="350" t="str">
        <f ca="1">IF($B669="Portfolio","Portfolio",IFERROR(INDEX(DATA_ASSET_CLASSIFICATION!$U$8:$U$24,MATCH($C669,DATA_ASSET_CLASSIFICATION!$A$8:$A$24,0)),"Review"))</f>
        <v>Stable</v>
      </c>
      <c r="O669" s="350" t="str">
        <f ca="1">IF($B669="Portfolio","Portfolio",IFERROR(INDEX(DATA_ASSET_CLASSIFICATION!$AB$8:$AB$13,MATCH($N669,DATA_ASSET_CLASSIFICATION!$AA$8:$AA$13,0)),"Review"))</f>
        <v>Bucket 2 · Legacy</v>
      </c>
      <c r="P669" s="350" t="str">
        <f>IF($B669="Portfolio","Portfolio",IFERROR(INDEX(DATA_ASSET_CLASSIFICATION!$C$8:$C$24,MATCH($C669,DATA_ASSET_CLASSIFICATION!$A$8:$A$24,0)),"Review"))</f>
        <v>Yes</v>
      </c>
      <c r="Q669" s="350" t="str">
        <f t="shared" ca="1" si="21"/>
        <v>OK</v>
      </c>
    </row>
    <row r="670" spans="1:17">
      <c r="A670" s="366" t="s">
        <v>2626</v>
      </c>
      <c r="B670" s="366" t="s">
        <v>231</v>
      </c>
      <c r="C670" s="348" t="str">
        <f>DATA_PROPERTY_MASTER!$A$6</f>
        <v>BLD_AC</v>
      </c>
      <c r="D670" s="380">
        <f>'00_PORTFOLIO ROLLUP'!J$12</f>
        <v>2030</v>
      </c>
      <c r="E670" s="366" t="s">
        <v>1683</v>
      </c>
      <c r="F670" s="366" t="s">
        <v>19</v>
      </c>
      <c r="G670" s="348" t="str">
        <f>"'"&amp;$C670&amp;"'!$E$41:$Y$41"</f>
        <v>'BLD_AC'!$E$41:$Y$41</v>
      </c>
      <c r="H670" s="381">
        <f ca="1">IF(IFERROR(INDEX(DATA_PROPERTY_MASTER!$E$5:$E$21,MATCH($C670,DATA_PROPERTY_MASTER!$A$5:$A$21,0))="Yes",FALSE),IFERROR(INDEX(INDIRECT("'"&amp;$C670&amp;"'!$E$41:$Y$41"),1,MATCH($D670,INDIRECT("'"&amp;$C670&amp;"'!$E$12:$Y$12"),0)),0),0)</f>
        <v>246241.11173955747</v>
      </c>
      <c r="I670" s="366" t="s">
        <v>1685</v>
      </c>
      <c r="J670" s="348" t="str">
        <f t="shared" ca="1" si="20"/>
        <v>OK</v>
      </c>
      <c r="K670" s="366" t="s">
        <v>1694</v>
      </c>
      <c r="L670" s="366" t="s">
        <v>2238</v>
      </c>
      <c r="M670" s="350" t="str">
        <f>IF($B670="Portfolio","Portfolio",IFERROR(INDEX(DATA_ASSET_CLASSIFICATION!$B$8:$B$24,MATCH($C670,DATA_ASSET_CLASSIFICATION!$A$8:$A$24,0)),"Review"))</f>
        <v>Antkiw Court</v>
      </c>
      <c r="N670" s="350" t="str">
        <f ca="1">IF($B670="Portfolio","Portfolio",IFERROR(INDEX(DATA_ASSET_CLASSIFICATION!$U$8:$U$24,MATCH($C670,DATA_ASSET_CLASSIFICATION!$A$8:$A$24,0)),"Review"))</f>
        <v>Stable</v>
      </c>
      <c r="O670" s="350" t="str">
        <f ca="1">IF($B670="Portfolio","Portfolio",IFERROR(INDEX(DATA_ASSET_CLASSIFICATION!$AB$8:$AB$13,MATCH($N670,DATA_ASSET_CLASSIFICATION!$AA$8:$AA$13,0)),"Review"))</f>
        <v>Bucket 2 · Legacy</v>
      </c>
      <c r="P670" s="350" t="str">
        <f>IF($B670="Portfolio","Portfolio",IFERROR(INDEX(DATA_ASSET_CLASSIFICATION!$C$8:$C$24,MATCH($C670,DATA_ASSET_CLASSIFICATION!$A$8:$A$24,0)),"Review"))</f>
        <v>Yes</v>
      </c>
      <c r="Q670" s="350" t="str">
        <f t="shared" ca="1" si="21"/>
        <v>OK</v>
      </c>
    </row>
    <row r="671" spans="1:17">
      <c r="A671" s="366" t="s">
        <v>2627</v>
      </c>
      <c r="B671" s="366" t="s">
        <v>231</v>
      </c>
      <c r="C671" s="348" t="str">
        <f>DATA_PROPERTY_MASTER!$A$6</f>
        <v>BLD_AC</v>
      </c>
      <c r="D671" s="380">
        <f>'00_PORTFOLIO ROLLUP'!J$12</f>
        <v>2030</v>
      </c>
      <c r="E671" s="366" t="s">
        <v>1683</v>
      </c>
      <c r="F671" s="366" t="s">
        <v>1697</v>
      </c>
      <c r="G671" s="348" t="str">
        <f>"'"&amp;$C671&amp;"'!$E$44:$Y$44"</f>
        <v>'BLD_AC'!$E$44:$Y$44</v>
      </c>
      <c r="H671" s="381">
        <f ca="1">IF(IFERROR(INDEX(DATA_PROPERTY_MASTER!$E$5:$E$21,MATCH($C671,DATA_PROPERTY_MASTER!$A$5:$A$21,0))="Yes",FALSE),IFERROR(INDEX(INDIRECT("'"&amp;$C671&amp;"'!$E$44:$Y$44"),1,MATCH($D671,INDIRECT("'"&amp;$C671&amp;"'!$E$12:$Y$12"),0)),0),0)</f>
        <v>3477.8545300800001</v>
      </c>
      <c r="I671" s="366" t="s">
        <v>1690</v>
      </c>
      <c r="J671" s="348" t="str">
        <f t="shared" ca="1" si="20"/>
        <v>OK</v>
      </c>
      <c r="K671" s="366" t="s">
        <v>1699</v>
      </c>
      <c r="L671" s="366" t="s">
        <v>2240</v>
      </c>
      <c r="M671" s="350" t="str">
        <f>IF($B671="Portfolio","Portfolio",IFERROR(INDEX(DATA_ASSET_CLASSIFICATION!$B$8:$B$24,MATCH($C671,DATA_ASSET_CLASSIFICATION!$A$8:$A$24,0)),"Review"))</f>
        <v>Antkiw Court</v>
      </c>
      <c r="N671" s="350" t="str">
        <f ca="1">IF($B671="Portfolio","Portfolio",IFERROR(INDEX(DATA_ASSET_CLASSIFICATION!$U$8:$U$24,MATCH($C671,DATA_ASSET_CLASSIFICATION!$A$8:$A$24,0)),"Review"))</f>
        <v>Stable</v>
      </c>
      <c r="O671" s="350" t="str">
        <f ca="1">IF($B671="Portfolio","Portfolio",IFERROR(INDEX(DATA_ASSET_CLASSIFICATION!$AB$8:$AB$13,MATCH($N671,DATA_ASSET_CLASSIFICATION!$AA$8:$AA$13,0)),"Review"))</f>
        <v>Bucket 2 · Legacy</v>
      </c>
      <c r="P671" s="350" t="str">
        <f>IF($B671="Portfolio","Portfolio",IFERROR(INDEX(DATA_ASSET_CLASSIFICATION!$C$8:$C$24,MATCH($C671,DATA_ASSET_CLASSIFICATION!$A$8:$A$24,0)),"Review"))</f>
        <v>Yes</v>
      </c>
      <c r="Q671" s="350" t="str">
        <f t="shared" ca="1" si="21"/>
        <v>OK</v>
      </c>
    </row>
    <row r="672" spans="1:17">
      <c r="A672" s="366" t="s">
        <v>2628</v>
      </c>
      <c r="B672" s="366" t="s">
        <v>231</v>
      </c>
      <c r="C672" s="348" t="str">
        <f>DATA_PROPERTY_MASTER!$A$6</f>
        <v>BLD_AC</v>
      </c>
      <c r="D672" s="380">
        <f>'00_PORTFOLIO ROLLUP'!J$12</f>
        <v>2030</v>
      </c>
      <c r="E672" s="366" t="s">
        <v>1683</v>
      </c>
      <c r="F672" s="366" t="s">
        <v>21</v>
      </c>
      <c r="G672" s="348" t="str">
        <f>"'"&amp;$C672&amp;"'!$E$45:$Y$45"</f>
        <v>'BLD_AC'!$E$45:$Y$45</v>
      </c>
      <c r="H672" s="381">
        <f ca="1">IF(IFERROR(INDEX(DATA_PROPERTY_MASTER!$E$5:$E$21,MATCH($C672,DATA_PROPERTY_MASTER!$A$5:$A$21,0))="Yes",FALSE),IFERROR(INDEX(INDIRECT("'"&amp;$C672&amp;"'!$E$45:$Y$45"),1,MATCH($D672,INDIRECT("'"&amp;$C672&amp;"'!$E$12:$Y$12"),0)),0),0)</f>
        <v>242763.25720947748</v>
      </c>
      <c r="I672" s="366" t="s">
        <v>1685</v>
      </c>
      <c r="J672" s="348" t="str">
        <f t="shared" ca="1" si="20"/>
        <v>OK</v>
      </c>
      <c r="K672" s="366" t="s">
        <v>1694</v>
      </c>
      <c r="L672" s="366" t="s">
        <v>2242</v>
      </c>
      <c r="M672" s="350" t="str">
        <f>IF($B672="Portfolio","Portfolio",IFERROR(INDEX(DATA_ASSET_CLASSIFICATION!$B$8:$B$24,MATCH($C672,DATA_ASSET_CLASSIFICATION!$A$8:$A$24,0)),"Review"))</f>
        <v>Antkiw Court</v>
      </c>
      <c r="N672" s="350" t="str">
        <f ca="1">IF($B672="Portfolio","Portfolio",IFERROR(INDEX(DATA_ASSET_CLASSIFICATION!$U$8:$U$24,MATCH($C672,DATA_ASSET_CLASSIFICATION!$A$8:$A$24,0)),"Review"))</f>
        <v>Stable</v>
      </c>
      <c r="O672" s="350" t="str">
        <f ca="1">IF($B672="Portfolio","Portfolio",IFERROR(INDEX(DATA_ASSET_CLASSIFICATION!$AB$8:$AB$13,MATCH($N672,DATA_ASSET_CLASSIFICATION!$AA$8:$AA$13,0)),"Review"))</f>
        <v>Bucket 2 · Legacy</v>
      </c>
      <c r="P672" s="350" t="str">
        <f>IF($B672="Portfolio","Portfolio",IFERROR(INDEX(DATA_ASSET_CLASSIFICATION!$C$8:$C$24,MATCH($C672,DATA_ASSET_CLASSIFICATION!$A$8:$A$24,0)),"Review"))</f>
        <v>Yes</v>
      </c>
      <c r="Q672" s="350" t="str">
        <f t="shared" ca="1" si="21"/>
        <v>OK</v>
      </c>
    </row>
    <row r="673" spans="1:17">
      <c r="A673" s="366" t="s">
        <v>2629</v>
      </c>
      <c r="B673" s="366" t="s">
        <v>231</v>
      </c>
      <c r="C673" s="348" t="str">
        <f>DATA_PROPERTY_MASTER!$A$6</f>
        <v>BLD_AC</v>
      </c>
      <c r="D673" s="380">
        <f>'00_PORTFOLIO ROLLUP'!J$12</f>
        <v>2030</v>
      </c>
      <c r="E673" s="366" t="s">
        <v>23</v>
      </c>
      <c r="F673" s="366" t="s">
        <v>23</v>
      </c>
      <c r="G673" s="348" t="str">
        <f>"'"&amp;$C673&amp;"'!$E$48:$Y$48"</f>
        <v>'BLD_AC'!$E$48:$Y$48</v>
      </c>
      <c r="H673" s="381">
        <f ca="1">IF(IFERROR(INDEX(DATA_PROPERTY_MASTER!$E$5:$E$21,MATCH($C673,DATA_PROPERTY_MASTER!$A$5:$A$21,0))="Yes",FALSE),IFERROR(INDEX(INDIRECT("'"&amp;$C673&amp;"'!$E$48:$Y$48"),1,MATCH($D673,INDIRECT("'"&amp;$C673&amp;"'!$E$12:$Y$12"),0)),0),0)</f>
        <v>54330.12</v>
      </c>
      <c r="I673" s="366" t="s">
        <v>1690</v>
      </c>
      <c r="J673" s="348" t="str">
        <f t="shared" ca="1" si="20"/>
        <v>OK</v>
      </c>
      <c r="K673" s="366" t="s">
        <v>1706</v>
      </c>
      <c r="L673" s="366" t="s">
        <v>2244</v>
      </c>
      <c r="M673" s="350" t="str">
        <f>IF($B673="Portfolio","Portfolio",IFERROR(INDEX(DATA_ASSET_CLASSIFICATION!$B$8:$B$24,MATCH($C673,DATA_ASSET_CLASSIFICATION!$A$8:$A$24,0)),"Review"))</f>
        <v>Antkiw Court</v>
      </c>
      <c r="N673" s="350" t="str">
        <f ca="1">IF($B673="Portfolio","Portfolio",IFERROR(INDEX(DATA_ASSET_CLASSIFICATION!$U$8:$U$24,MATCH($C673,DATA_ASSET_CLASSIFICATION!$A$8:$A$24,0)),"Review"))</f>
        <v>Stable</v>
      </c>
      <c r="O673" s="350" t="str">
        <f ca="1">IF($B673="Portfolio","Portfolio",IFERROR(INDEX(DATA_ASSET_CLASSIFICATION!$AB$8:$AB$13,MATCH($N673,DATA_ASSET_CLASSIFICATION!$AA$8:$AA$13,0)),"Review"))</f>
        <v>Bucket 2 · Legacy</v>
      </c>
      <c r="P673" s="350" t="str">
        <f>IF($B673="Portfolio","Portfolio",IFERROR(INDEX(DATA_ASSET_CLASSIFICATION!$C$8:$C$24,MATCH($C673,DATA_ASSET_CLASSIFICATION!$A$8:$A$24,0)),"Review"))</f>
        <v>Yes</v>
      </c>
      <c r="Q673" s="350" t="str">
        <f t="shared" ca="1" si="21"/>
        <v>OK</v>
      </c>
    </row>
    <row r="674" spans="1:17">
      <c r="A674" s="366" t="s">
        <v>2630</v>
      </c>
      <c r="B674" s="366" t="s">
        <v>231</v>
      </c>
      <c r="C674" s="348" t="str">
        <f>DATA_PROPERTY_MASTER!$A$6</f>
        <v>BLD_AC</v>
      </c>
      <c r="D674" s="380">
        <f>'00_PORTFOLIO ROLLUP'!J$12</f>
        <v>2030</v>
      </c>
      <c r="E674" s="366" t="s">
        <v>1683</v>
      </c>
      <c r="F674" s="366" t="s">
        <v>25</v>
      </c>
      <c r="G674" s="348" t="str">
        <f>"'"&amp;$C674&amp;"'!$E$52:$Y$52"</f>
        <v>'BLD_AC'!$E$52:$Y$52</v>
      </c>
      <c r="H674" s="381">
        <f ca="1">IF(IFERROR(INDEX(DATA_PROPERTY_MASTER!$E$5:$E$21,MATCH($C674,DATA_PROPERTY_MASTER!$A$5:$A$21,0))="Yes",FALSE),IFERROR(INDEX(INDIRECT("'"&amp;$C674&amp;"'!$E$52:$Y$52"),1,MATCH($D674,INDIRECT("'"&amp;$C674&amp;"'!$E$12:$Y$12"),0)),0),0)</f>
        <v>191910.99173955747</v>
      </c>
      <c r="I674" s="366" t="s">
        <v>1685</v>
      </c>
      <c r="J674" s="348" t="str">
        <f t="shared" ca="1" si="20"/>
        <v>OK</v>
      </c>
      <c r="K674" s="366" t="s">
        <v>1710</v>
      </c>
      <c r="L674" s="366" t="s">
        <v>2246</v>
      </c>
      <c r="M674" s="350" t="str">
        <f>IF($B674="Portfolio","Portfolio",IFERROR(INDEX(DATA_ASSET_CLASSIFICATION!$B$8:$B$24,MATCH($C674,DATA_ASSET_CLASSIFICATION!$A$8:$A$24,0)),"Review"))</f>
        <v>Antkiw Court</v>
      </c>
      <c r="N674" s="350" t="str">
        <f ca="1">IF($B674="Portfolio","Portfolio",IFERROR(INDEX(DATA_ASSET_CLASSIFICATION!$U$8:$U$24,MATCH($C674,DATA_ASSET_CLASSIFICATION!$A$8:$A$24,0)),"Review"))</f>
        <v>Stable</v>
      </c>
      <c r="O674" s="350" t="str">
        <f ca="1">IF($B674="Portfolio","Portfolio",IFERROR(INDEX(DATA_ASSET_CLASSIFICATION!$AB$8:$AB$13,MATCH($N674,DATA_ASSET_CLASSIFICATION!$AA$8:$AA$13,0)),"Review"))</f>
        <v>Bucket 2 · Legacy</v>
      </c>
      <c r="P674" s="350" t="str">
        <f>IF($B674="Portfolio","Portfolio",IFERROR(INDEX(DATA_ASSET_CLASSIFICATION!$C$8:$C$24,MATCH($C674,DATA_ASSET_CLASSIFICATION!$A$8:$A$24,0)),"Review"))</f>
        <v>Yes</v>
      </c>
      <c r="Q674" s="350" t="str">
        <f t="shared" ca="1" si="21"/>
        <v>OK</v>
      </c>
    </row>
    <row r="675" spans="1:17">
      <c r="A675" s="366" t="s">
        <v>2631</v>
      </c>
      <c r="B675" s="366" t="s">
        <v>231</v>
      </c>
      <c r="C675" s="348" t="str">
        <f>DATA_PROPERTY_MASTER!$A$6</f>
        <v>BLD_AC</v>
      </c>
      <c r="D675" s="380">
        <f>'00_PORTFOLIO ROLLUP'!J$12</f>
        <v>2030</v>
      </c>
      <c r="E675" s="366" t="s">
        <v>1683</v>
      </c>
      <c r="F675" s="366" t="s">
        <v>27</v>
      </c>
      <c r="G675" s="348" t="str">
        <f>"'"&amp;$C675&amp;"'!$E$54:$Y$54"</f>
        <v>'BLD_AC'!$E$54:$Y$54</v>
      </c>
      <c r="H675" s="381">
        <f ca="1">IF(IFERROR(INDEX(DATA_PROPERTY_MASTER!$E$5:$E$21,MATCH($C675,DATA_PROPERTY_MASTER!$A$5:$A$21,0))="Yes",FALSE),IFERROR(INDEX(INDIRECT("'"&amp;$C675&amp;"'!$E$54:$Y$54"),1,MATCH($D675,INDIRECT("'"&amp;$C675&amp;"'!$E$12:$Y$12"),0)),0),0)</f>
        <v>115146.59504373449</v>
      </c>
      <c r="I675" s="366" t="s">
        <v>1690</v>
      </c>
      <c r="J675" s="348" t="str">
        <f t="shared" ca="1" si="20"/>
        <v>OK</v>
      </c>
      <c r="K675" s="366" t="s">
        <v>1714</v>
      </c>
      <c r="L675" s="366" t="s">
        <v>2248</v>
      </c>
      <c r="M675" s="350" t="str">
        <f>IF($B675="Portfolio","Portfolio",IFERROR(INDEX(DATA_ASSET_CLASSIFICATION!$B$8:$B$24,MATCH($C675,DATA_ASSET_CLASSIFICATION!$A$8:$A$24,0)),"Review"))</f>
        <v>Antkiw Court</v>
      </c>
      <c r="N675" s="350" t="str">
        <f ca="1">IF($B675="Portfolio","Portfolio",IFERROR(INDEX(DATA_ASSET_CLASSIFICATION!$U$8:$U$24,MATCH($C675,DATA_ASSET_CLASSIFICATION!$A$8:$A$24,0)),"Review"))</f>
        <v>Stable</v>
      </c>
      <c r="O675" s="350" t="str">
        <f ca="1">IF($B675="Portfolio","Portfolio",IFERROR(INDEX(DATA_ASSET_CLASSIFICATION!$AB$8:$AB$13,MATCH($N675,DATA_ASSET_CLASSIFICATION!$AA$8:$AA$13,0)),"Review"))</f>
        <v>Bucket 2 · Legacy</v>
      </c>
      <c r="P675" s="350" t="str">
        <f>IF($B675="Portfolio","Portfolio",IFERROR(INDEX(DATA_ASSET_CLASSIFICATION!$C$8:$C$24,MATCH($C675,DATA_ASSET_CLASSIFICATION!$A$8:$A$24,0)),"Review"))</f>
        <v>Yes</v>
      </c>
      <c r="Q675" s="350" t="str">
        <f t="shared" ca="1" si="21"/>
        <v>OK</v>
      </c>
    </row>
    <row r="676" spans="1:17">
      <c r="A676" s="366" t="s">
        <v>2632</v>
      </c>
      <c r="B676" s="366" t="s">
        <v>231</v>
      </c>
      <c r="C676" s="348" t="str">
        <f>DATA_PROPERTY_MASTER!$A$6</f>
        <v>BLD_AC</v>
      </c>
      <c r="D676" s="380">
        <f>'00_PORTFOLIO ROLLUP'!J$12</f>
        <v>2030</v>
      </c>
      <c r="E676" s="366" t="s">
        <v>1683</v>
      </c>
      <c r="F676" s="366" t="s">
        <v>29</v>
      </c>
      <c r="G676" s="348" t="str">
        <f>"'"&amp;$C676&amp;"'!$E$56:$Y$56"</f>
        <v>'BLD_AC'!$E$56:$Y$56</v>
      </c>
      <c r="H676" s="381">
        <f ca="1">IF(IFERROR(INDEX(DATA_PROPERTY_MASTER!$E$5:$E$21,MATCH($C676,DATA_PROPERTY_MASTER!$A$5:$A$21,0))="Yes",FALSE),IFERROR(INDEX(INDIRECT("'"&amp;$C676&amp;"'!$E$56:$Y$56"),1,MATCH($D676,INDIRECT("'"&amp;$C676&amp;"'!$E$12:$Y$12"),0)),0),0)</f>
        <v>76764.396695822987</v>
      </c>
      <c r="I676" s="366" t="s">
        <v>1685</v>
      </c>
      <c r="J676" s="348" t="str">
        <f t="shared" ca="1" si="20"/>
        <v>OK</v>
      </c>
      <c r="K676" s="366" t="s">
        <v>1718</v>
      </c>
      <c r="L676" s="366" t="s">
        <v>2250</v>
      </c>
      <c r="M676" s="350" t="str">
        <f>IF($B676="Portfolio","Portfolio",IFERROR(INDEX(DATA_ASSET_CLASSIFICATION!$B$8:$B$24,MATCH($C676,DATA_ASSET_CLASSIFICATION!$A$8:$A$24,0)),"Review"))</f>
        <v>Antkiw Court</v>
      </c>
      <c r="N676" s="350" t="str">
        <f ca="1">IF($B676="Portfolio","Portfolio",IFERROR(INDEX(DATA_ASSET_CLASSIFICATION!$U$8:$U$24,MATCH($C676,DATA_ASSET_CLASSIFICATION!$A$8:$A$24,0)),"Review"))</f>
        <v>Stable</v>
      </c>
      <c r="O676" s="350" t="str">
        <f ca="1">IF($B676="Portfolio","Portfolio",IFERROR(INDEX(DATA_ASSET_CLASSIFICATION!$AB$8:$AB$13,MATCH($N676,DATA_ASSET_CLASSIFICATION!$AA$8:$AA$13,0)),"Review"))</f>
        <v>Bucket 2 · Legacy</v>
      </c>
      <c r="P676" s="350" t="str">
        <f>IF($B676="Portfolio","Portfolio",IFERROR(INDEX(DATA_ASSET_CLASSIFICATION!$C$8:$C$24,MATCH($C676,DATA_ASSET_CLASSIFICATION!$A$8:$A$24,0)),"Review"))</f>
        <v>Yes</v>
      </c>
      <c r="Q676" s="350" t="str">
        <f t="shared" ca="1" si="21"/>
        <v>OK</v>
      </c>
    </row>
    <row r="677" spans="1:17">
      <c r="A677" s="366" t="s">
        <v>2633</v>
      </c>
      <c r="B677" s="366" t="s">
        <v>231</v>
      </c>
      <c r="C677" s="348" t="str">
        <f>DATA_PROPERTY_MASTER!$A$6</f>
        <v>BLD_AC</v>
      </c>
      <c r="D677" s="380">
        <f>'00_PORTFOLIO ROLLUP'!J$12</f>
        <v>2030</v>
      </c>
      <c r="E677" s="366" t="s">
        <v>1721</v>
      </c>
      <c r="F677" s="366" t="s">
        <v>31</v>
      </c>
      <c r="G677" s="348" t="str">
        <f>"'"&amp;$C677&amp;"'!$E$61:$Y$61"</f>
        <v>'BLD_AC'!$E$61:$Y$61</v>
      </c>
      <c r="H677" s="381">
        <f ca="1">IF(IFERROR(INDEX(DATA_PROPERTY_MASTER!$E$5:$E$21,MATCH($C677,DATA_PROPERTY_MASTER!$A$5:$A$21,0))="Yes",FALSE),IFERROR(INDEX(INDIRECT("'"&amp;$C677&amp;"'!$E$61:$Y$61"),1,MATCH($D677,INDIRECT("'"&amp;$C677&amp;"'!$E$12:$Y$12"),0)),0),0)</f>
        <v>0</v>
      </c>
      <c r="I677" s="366" t="s">
        <v>1690</v>
      </c>
      <c r="J677" s="348" t="str">
        <f t="shared" ca="1" si="20"/>
        <v>OK</v>
      </c>
      <c r="K677" s="366" t="s">
        <v>1723</v>
      </c>
      <c r="L677" s="366" t="s">
        <v>2252</v>
      </c>
      <c r="M677" s="350" t="str">
        <f>IF($B677="Portfolio","Portfolio",IFERROR(INDEX(DATA_ASSET_CLASSIFICATION!$B$8:$B$24,MATCH($C677,DATA_ASSET_CLASSIFICATION!$A$8:$A$24,0)),"Review"))</f>
        <v>Antkiw Court</v>
      </c>
      <c r="N677" s="350" t="str">
        <f ca="1">IF($B677="Portfolio","Portfolio",IFERROR(INDEX(DATA_ASSET_CLASSIFICATION!$U$8:$U$24,MATCH($C677,DATA_ASSET_CLASSIFICATION!$A$8:$A$24,0)),"Review"))</f>
        <v>Stable</v>
      </c>
      <c r="O677" s="350" t="str">
        <f ca="1">IF($B677="Portfolio","Portfolio",IFERROR(INDEX(DATA_ASSET_CLASSIFICATION!$AB$8:$AB$13,MATCH($N677,DATA_ASSET_CLASSIFICATION!$AA$8:$AA$13,0)),"Review"))</f>
        <v>Bucket 2 · Legacy</v>
      </c>
      <c r="P677" s="350" t="str">
        <f>IF($B677="Portfolio","Portfolio",IFERROR(INDEX(DATA_ASSET_CLASSIFICATION!$C$8:$C$24,MATCH($C677,DATA_ASSET_CLASSIFICATION!$A$8:$A$24,0)),"Review"))</f>
        <v>Yes</v>
      </c>
      <c r="Q677" s="350" t="str">
        <f t="shared" ca="1" si="21"/>
        <v>OK</v>
      </c>
    </row>
    <row r="678" spans="1:17">
      <c r="A678" s="366" t="s">
        <v>2634</v>
      </c>
      <c r="B678" s="366" t="s">
        <v>231</v>
      </c>
      <c r="C678" s="348" t="str">
        <f>DATA_PROPERTY_MASTER!$A$6</f>
        <v>BLD_AC</v>
      </c>
      <c r="D678" s="380">
        <f>'00_PORTFOLIO ROLLUP'!J$12</f>
        <v>2030</v>
      </c>
      <c r="E678" s="366" t="s">
        <v>1721</v>
      </c>
      <c r="F678" s="366" t="s">
        <v>33</v>
      </c>
      <c r="G678" s="348" t="str">
        <f>"'"&amp;$C678&amp;"'!$E$62:$Y$62"</f>
        <v>'BLD_AC'!$E$62:$Y$62</v>
      </c>
      <c r="H678" s="381">
        <f ca="1">IF(IFERROR(INDEX(DATA_PROPERTY_MASTER!$E$5:$E$21,MATCH($C678,DATA_PROPERTY_MASTER!$A$5:$A$21,0))="Yes",FALSE),IFERROR(INDEX(INDIRECT("'"&amp;$C678&amp;"'!$E$62:$Y$62"),1,MATCH($D678,INDIRECT("'"&amp;$C678&amp;"'!$E$12:$Y$12"),0)),0),0)</f>
        <v>0</v>
      </c>
      <c r="I678" s="366" t="s">
        <v>1685</v>
      </c>
      <c r="J678" s="348" t="str">
        <f t="shared" ca="1" si="20"/>
        <v>OK</v>
      </c>
      <c r="K678" s="366" t="s">
        <v>1727</v>
      </c>
      <c r="L678" s="366" t="s">
        <v>2254</v>
      </c>
      <c r="M678" s="350" t="str">
        <f>IF($B678="Portfolio","Portfolio",IFERROR(INDEX(DATA_ASSET_CLASSIFICATION!$B$8:$B$24,MATCH($C678,DATA_ASSET_CLASSIFICATION!$A$8:$A$24,0)),"Review"))</f>
        <v>Antkiw Court</v>
      </c>
      <c r="N678" s="350" t="str">
        <f ca="1">IF($B678="Portfolio","Portfolio",IFERROR(INDEX(DATA_ASSET_CLASSIFICATION!$U$8:$U$24,MATCH($C678,DATA_ASSET_CLASSIFICATION!$A$8:$A$24,0)),"Review"))</f>
        <v>Stable</v>
      </c>
      <c r="O678" s="350" t="str">
        <f ca="1">IF($B678="Portfolio","Portfolio",IFERROR(INDEX(DATA_ASSET_CLASSIFICATION!$AB$8:$AB$13,MATCH($N678,DATA_ASSET_CLASSIFICATION!$AA$8:$AA$13,0)),"Review"))</f>
        <v>Bucket 2 · Legacy</v>
      </c>
      <c r="P678" s="350" t="str">
        <f>IF($B678="Portfolio","Portfolio",IFERROR(INDEX(DATA_ASSET_CLASSIFICATION!$C$8:$C$24,MATCH($C678,DATA_ASSET_CLASSIFICATION!$A$8:$A$24,0)),"Review"))</f>
        <v>Yes</v>
      </c>
      <c r="Q678" s="350" t="str">
        <f t="shared" ca="1" si="21"/>
        <v>OK</v>
      </c>
    </row>
    <row r="679" spans="1:17">
      <c r="A679" s="366" t="s">
        <v>2635</v>
      </c>
      <c r="B679" s="366" t="s">
        <v>231</v>
      </c>
      <c r="C679" s="348" t="str">
        <f>DATA_PROPERTY_MASTER!$A$6</f>
        <v>BLD_AC</v>
      </c>
      <c r="D679" s="380">
        <f>'00_PORTFOLIO ROLLUP'!J$12</f>
        <v>2030</v>
      </c>
      <c r="E679" s="366" t="s">
        <v>1721</v>
      </c>
      <c r="F679" s="366" t="s">
        <v>35</v>
      </c>
      <c r="G679" s="348" t="str">
        <f>"'"&amp;$C679&amp;"'!$E$63:$Y$63"</f>
        <v>'BLD_AC'!$E$63:$Y$63</v>
      </c>
      <c r="H679" s="381">
        <f ca="1">IF(IFERROR(INDEX(DATA_PROPERTY_MASTER!$E$5:$E$21,MATCH($C679,DATA_PROPERTY_MASTER!$A$5:$A$21,0))="Yes",FALSE),IFERROR(INDEX(INDIRECT("'"&amp;$C679&amp;"'!$E$63:$Y$63"),1,MATCH($D679,INDIRECT("'"&amp;$C679&amp;"'!$E$12:$Y$12"),0)),0),0)</f>
        <v>0</v>
      </c>
      <c r="I679" s="366" t="s">
        <v>1731</v>
      </c>
      <c r="J679" s="348" t="str">
        <f t="shared" ca="1" si="20"/>
        <v>OK</v>
      </c>
      <c r="K679" s="366" t="s">
        <v>1732</v>
      </c>
      <c r="L679" s="366" t="s">
        <v>2256</v>
      </c>
      <c r="M679" s="350" t="str">
        <f>IF($B679="Portfolio","Portfolio",IFERROR(INDEX(DATA_ASSET_CLASSIFICATION!$B$8:$B$24,MATCH($C679,DATA_ASSET_CLASSIFICATION!$A$8:$A$24,0)),"Review"))</f>
        <v>Antkiw Court</v>
      </c>
      <c r="N679" s="350" t="str">
        <f ca="1">IF($B679="Portfolio","Portfolio",IFERROR(INDEX(DATA_ASSET_CLASSIFICATION!$U$8:$U$24,MATCH($C679,DATA_ASSET_CLASSIFICATION!$A$8:$A$24,0)),"Review"))</f>
        <v>Stable</v>
      </c>
      <c r="O679" s="350" t="str">
        <f ca="1">IF($B679="Portfolio","Portfolio",IFERROR(INDEX(DATA_ASSET_CLASSIFICATION!$AB$8:$AB$13,MATCH($N679,DATA_ASSET_CLASSIFICATION!$AA$8:$AA$13,0)),"Review"))</f>
        <v>Bucket 2 · Legacy</v>
      </c>
      <c r="P679" s="350" t="str">
        <f>IF($B679="Portfolio","Portfolio",IFERROR(INDEX(DATA_ASSET_CLASSIFICATION!$C$8:$C$24,MATCH($C679,DATA_ASSET_CLASSIFICATION!$A$8:$A$24,0)),"Review"))</f>
        <v>Yes</v>
      </c>
      <c r="Q679" s="350" t="str">
        <f t="shared" ca="1" si="21"/>
        <v>OK</v>
      </c>
    </row>
    <row r="680" spans="1:17">
      <c r="A680" s="366" t="s">
        <v>2636</v>
      </c>
      <c r="B680" s="366" t="s">
        <v>231</v>
      </c>
      <c r="C680" s="348" t="str">
        <f>DATA_PROPERTY_MASTER!$A$6</f>
        <v>BLD_AC</v>
      </c>
      <c r="D680" s="380">
        <f>'00_PORTFOLIO ROLLUP'!J$12</f>
        <v>2030</v>
      </c>
      <c r="E680" s="366" t="s">
        <v>1721</v>
      </c>
      <c r="F680" s="366" t="s">
        <v>37</v>
      </c>
      <c r="G680" s="348" t="str">
        <f>"'"&amp;$C680&amp;"'!$E$63:$Y$63"</f>
        <v>'BLD_AC'!$E$63:$Y$63</v>
      </c>
      <c r="H680" s="381">
        <f ca="1">IF(IFERROR(INDEX(DATA_PROPERTY_MASTER!$E$5:$E$21,MATCH($C680,DATA_PROPERTY_MASTER!$A$5:$A$21,0))="Yes",FALSE),MAX(IFERROR(INDEX(INDIRECT("'"&amp;$C680&amp;"'!$E$63:$Y$63"),1,MATCH($D680,INDIRECT("'"&amp;$C680&amp;"'!$E$12:$Y$12"),0)),0),0),0)</f>
        <v>0</v>
      </c>
      <c r="I680" s="366" t="s">
        <v>1685</v>
      </c>
      <c r="J680" s="348" t="str">
        <f t="shared" ca="1" si="20"/>
        <v>OK</v>
      </c>
      <c r="K680" s="366" t="s">
        <v>1735</v>
      </c>
      <c r="L680" s="366" t="s">
        <v>2258</v>
      </c>
      <c r="M680" s="350" t="str">
        <f>IF($B680="Portfolio","Portfolio",IFERROR(INDEX(DATA_ASSET_CLASSIFICATION!$B$8:$B$24,MATCH($C680,DATA_ASSET_CLASSIFICATION!$A$8:$A$24,0)),"Review"))</f>
        <v>Antkiw Court</v>
      </c>
      <c r="N680" s="350" t="str">
        <f ca="1">IF($B680="Portfolio","Portfolio",IFERROR(INDEX(DATA_ASSET_CLASSIFICATION!$U$8:$U$24,MATCH($C680,DATA_ASSET_CLASSIFICATION!$A$8:$A$24,0)),"Review"))</f>
        <v>Stable</v>
      </c>
      <c r="O680" s="350" t="str">
        <f ca="1">IF($B680="Portfolio","Portfolio",IFERROR(INDEX(DATA_ASSET_CLASSIFICATION!$AB$8:$AB$13,MATCH($N680,DATA_ASSET_CLASSIFICATION!$AA$8:$AA$13,0)),"Review"))</f>
        <v>Bucket 2 · Legacy</v>
      </c>
      <c r="P680" s="350" t="str">
        <f>IF($B680="Portfolio","Portfolio",IFERROR(INDEX(DATA_ASSET_CLASSIFICATION!$C$8:$C$24,MATCH($C680,DATA_ASSET_CLASSIFICATION!$A$8:$A$24,0)),"Review"))</f>
        <v>Yes</v>
      </c>
      <c r="Q680" s="350" t="str">
        <f t="shared" ca="1" si="21"/>
        <v>OK</v>
      </c>
    </row>
    <row r="681" spans="1:17">
      <c r="A681" s="366" t="s">
        <v>2637</v>
      </c>
      <c r="B681" s="366" t="s">
        <v>231</v>
      </c>
      <c r="C681" s="348" t="str">
        <f>DATA_PROPERTY_MASTER!$A$6</f>
        <v>BLD_AC</v>
      </c>
      <c r="D681" s="380">
        <f>'00_PORTFOLIO ROLLUP'!J$12</f>
        <v>2030</v>
      </c>
      <c r="E681" s="366" t="s">
        <v>1721</v>
      </c>
      <c r="F681" s="366" t="s">
        <v>39</v>
      </c>
      <c r="G681" s="348" t="str">
        <f>"'"&amp;$C681&amp;"'!$E$63:$Y$63"</f>
        <v>'BLD_AC'!$E$63:$Y$63</v>
      </c>
      <c r="H681" s="381">
        <f ca="1">IF(IFERROR(INDEX(DATA_PROPERTY_MASTER!$E$5:$E$21,MATCH($C681,DATA_PROPERTY_MASTER!$A$5:$A$21,0))="Yes",FALSE),MAX(-IFERROR(INDEX(INDIRECT("'"&amp;$C681&amp;"'!$E$63:$Y$63"),1,MATCH($D681,INDIRECT("'"&amp;$C681&amp;"'!$E$12:$Y$12"),0)),0),0),0)</f>
        <v>0</v>
      </c>
      <c r="I681" s="366" t="s">
        <v>1690</v>
      </c>
      <c r="J681" s="348" t="str">
        <f t="shared" ca="1" si="20"/>
        <v>OK</v>
      </c>
      <c r="K681" s="366" t="s">
        <v>1738</v>
      </c>
      <c r="L681" s="366" t="s">
        <v>2260</v>
      </c>
      <c r="M681" s="350" t="str">
        <f>IF($B681="Portfolio","Portfolio",IFERROR(INDEX(DATA_ASSET_CLASSIFICATION!$B$8:$B$24,MATCH($C681,DATA_ASSET_CLASSIFICATION!$A$8:$A$24,0)),"Review"))</f>
        <v>Antkiw Court</v>
      </c>
      <c r="N681" s="350" t="str">
        <f ca="1">IF($B681="Portfolio","Portfolio",IFERROR(INDEX(DATA_ASSET_CLASSIFICATION!$U$8:$U$24,MATCH($C681,DATA_ASSET_CLASSIFICATION!$A$8:$A$24,0)),"Review"))</f>
        <v>Stable</v>
      </c>
      <c r="O681" s="350" t="str">
        <f ca="1">IF($B681="Portfolio","Portfolio",IFERROR(INDEX(DATA_ASSET_CLASSIFICATION!$AB$8:$AB$13,MATCH($N681,DATA_ASSET_CLASSIFICATION!$AA$8:$AA$13,0)),"Review"))</f>
        <v>Bucket 2 · Legacy</v>
      </c>
      <c r="P681" s="350" t="str">
        <f>IF($B681="Portfolio","Portfolio",IFERROR(INDEX(DATA_ASSET_CLASSIFICATION!$C$8:$C$24,MATCH($C681,DATA_ASSET_CLASSIFICATION!$A$8:$A$24,0)),"Review"))</f>
        <v>Yes</v>
      </c>
      <c r="Q681" s="350" t="str">
        <f t="shared" ca="1" si="21"/>
        <v>OK</v>
      </c>
    </row>
    <row r="682" spans="1:17">
      <c r="A682" s="366" t="s">
        <v>2638</v>
      </c>
      <c r="B682" s="366" t="s">
        <v>231</v>
      </c>
      <c r="C682" s="348" t="str">
        <f>DATA_PROPERTY_MASTER!$A$6</f>
        <v>BLD_AC</v>
      </c>
      <c r="D682" s="380">
        <f>'00_PORTFOLIO ROLLUP'!J$12</f>
        <v>2030</v>
      </c>
      <c r="E682" s="366" t="s">
        <v>1741</v>
      </c>
      <c r="F682" s="366" t="s">
        <v>41</v>
      </c>
      <c r="G682" s="348" t="str">
        <f>"'"&amp;$C682&amp;"'!rows 56 + positive row 63"</f>
        <v>'BLD_AC'!rows 56 + positive row 63</v>
      </c>
      <c r="H682" s="381">
        <f ca="1">IF(IFERROR(INDEX(DATA_PROPERTY_MASTER!$E$5:$E$21,MATCH($C682,DATA_PROPERTY_MASTER!$A$5:$A$21,0))="Yes",FALSE),IFERROR(INDEX(INDIRECT("'"&amp;$C682&amp;"'!$E$56:$Y$56"),1,MATCH($D682,INDIRECT("'"&amp;$C682&amp;"'!$E$12:$Y$12"),0)),0)+MAX(IFERROR(INDEX(INDIRECT("'"&amp;$C682&amp;"'!$E$63:$Y$63"),1,MATCH($D682,INDIRECT("'"&amp;$C682&amp;"'!$E$12:$Y$12"),0)),0),0),0)</f>
        <v>76764.396695822987</v>
      </c>
      <c r="I682" s="366" t="s">
        <v>1685</v>
      </c>
      <c r="J682" s="348" t="str">
        <f t="shared" ca="1" si="20"/>
        <v>OK</v>
      </c>
      <c r="K682" s="366" t="s">
        <v>1742</v>
      </c>
      <c r="L682" s="366" t="s">
        <v>2262</v>
      </c>
      <c r="M682" s="350" t="str">
        <f>IF($B682="Portfolio","Portfolio",IFERROR(INDEX(DATA_ASSET_CLASSIFICATION!$B$8:$B$24,MATCH($C682,DATA_ASSET_CLASSIFICATION!$A$8:$A$24,0)),"Review"))</f>
        <v>Antkiw Court</v>
      </c>
      <c r="N682" s="350" t="str">
        <f ca="1">IF($B682="Portfolio","Portfolio",IFERROR(INDEX(DATA_ASSET_CLASSIFICATION!$U$8:$U$24,MATCH($C682,DATA_ASSET_CLASSIFICATION!$A$8:$A$24,0)),"Review"))</f>
        <v>Stable</v>
      </c>
      <c r="O682" s="350" t="str">
        <f ca="1">IF($B682="Portfolio","Portfolio",IFERROR(INDEX(DATA_ASSET_CLASSIFICATION!$AB$8:$AB$13,MATCH($N682,DATA_ASSET_CLASSIFICATION!$AA$8:$AA$13,0)),"Review"))</f>
        <v>Bucket 2 · Legacy</v>
      </c>
      <c r="P682" s="350" t="str">
        <f>IF($B682="Portfolio","Portfolio",IFERROR(INDEX(DATA_ASSET_CLASSIFICATION!$C$8:$C$24,MATCH($C682,DATA_ASSET_CLASSIFICATION!$A$8:$A$24,0)),"Review"))</f>
        <v>Yes</v>
      </c>
      <c r="Q682" s="350" t="str">
        <f t="shared" ca="1" si="21"/>
        <v>OK</v>
      </c>
    </row>
    <row r="683" spans="1:17">
      <c r="A683" s="366" t="s">
        <v>2639</v>
      </c>
      <c r="B683" s="366" t="s">
        <v>231</v>
      </c>
      <c r="C683" s="348" t="str">
        <f>DATA_PROPERTY_MASTER!$A$6</f>
        <v>BLD_AC</v>
      </c>
      <c r="D683" s="380">
        <f>'00_PORTFOLIO ROLLUP'!J$12</f>
        <v>2030</v>
      </c>
      <c r="E683" s="366" t="s">
        <v>1741</v>
      </c>
      <c r="F683" s="366" t="s">
        <v>43</v>
      </c>
      <c r="G683" s="348" t="str">
        <f>"'"&amp;$C683&amp;"'!$E$68:$Y$68"</f>
        <v>'BLD_AC'!$E$68:$Y$68</v>
      </c>
      <c r="H683" s="381">
        <f ca="1">IF(IFERROR(INDEX(DATA_PROPERTY_MASTER!$E$5:$E$21,MATCH($C683,DATA_PROPERTY_MASTER!$A$5:$A$21,0))="Yes",FALSE),IFERROR(INDEX(INDIRECT("'"&amp;$C683&amp;"'!$E$68:$Y$68"),1,MATCH($D683,INDIRECT("'"&amp;$C683&amp;"'!$E$12:$Y$12"),0)),0),0)</f>
        <v>76764.396695822987</v>
      </c>
      <c r="I683" s="366" t="s">
        <v>1731</v>
      </c>
      <c r="J683" s="348" t="str">
        <f t="shared" ca="1" si="20"/>
        <v>OK</v>
      </c>
      <c r="K683" s="366" t="s">
        <v>1746</v>
      </c>
      <c r="L683" s="366" t="s">
        <v>2264</v>
      </c>
      <c r="M683" s="350" t="str">
        <f>IF($B683="Portfolio","Portfolio",IFERROR(INDEX(DATA_ASSET_CLASSIFICATION!$B$8:$B$24,MATCH($C683,DATA_ASSET_CLASSIFICATION!$A$8:$A$24,0)),"Review"))</f>
        <v>Antkiw Court</v>
      </c>
      <c r="N683" s="350" t="str">
        <f ca="1">IF($B683="Portfolio","Portfolio",IFERROR(INDEX(DATA_ASSET_CLASSIFICATION!$U$8:$U$24,MATCH($C683,DATA_ASSET_CLASSIFICATION!$A$8:$A$24,0)),"Review"))</f>
        <v>Stable</v>
      </c>
      <c r="O683" s="350" t="str">
        <f ca="1">IF($B683="Portfolio","Portfolio",IFERROR(INDEX(DATA_ASSET_CLASSIFICATION!$AB$8:$AB$13,MATCH($N683,DATA_ASSET_CLASSIFICATION!$AA$8:$AA$13,0)),"Review"))</f>
        <v>Bucket 2 · Legacy</v>
      </c>
      <c r="P683" s="350" t="str">
        <f>IF($B683="Portfolio","Portfolio",IFERROR(INDEX(DATA_ASSET_CLASSIFICATION!$C$8:$C$24,MATCH($C683,DATA_ASSET_CLASSIFICATION!$A$8:$A$24,0)),"Review"))</f>
        <v>Yes</v>
      </c>
      <c r="Q683" s="350" t="str">
        <f t="shared" ca="1" si="21"/>
        <v>OK</v>
      </c>
    </row>
    <row r="684" spans="1:17">
      <c r="A684" s="366" t="s">
        <v>2640</v>
      </c>
      <c r="B684" s="366" t="s">
        <v>231</v>
      </c>
      <c r="C684" s="348" t="str">
        <f>DATA_PROPERTY_MASTER!$A$6</f>
        <v>BLD_AC</v>
      </c>
      <c r="D684" s="380">
        <f>'00_PORTFOLIO ROLLUP'!J$12</f>
        <v>2030</v>
      </c>
      <c r="E684" s="366" t="s">
        <v>1741</v>
      </c>
      <c r="F684" s="366" t="s">
        <v>1749</v>
      </c>
      <c r="G684" s="348" t="str">
        <f>"'"&amp;$C684&amp;"'!rows 56, 63, 68"</f>
        <v>'BLD_AC'!rows 56, 63, 68</v>
      </c>
      <c r="H684" s="381">
        <f ca="1">IF(IFERROR(INDEX(DATA_PROPERTY_MASTER!$E$5:$E$21,MATCH($C684,DATA_PROPERTY_MASTER!$A$5:$A$21,0))="Yes",FALSE),(IFERROR(INDEX(INDIRECT("'"&amp;$C684&amp;"'!$E$56:$Y$56"),1,MATCH($D684,INDIRECT("'"&amp;$C684&amp;"'!$E$12:$Y$12"),0)),0)+MAX(IFERROR(INDEX(INDIRECT("'"&amp;$C684&amp;"'!$E$63:$Y$63"),1,MATCH($D684,INDIRECT("'"&amp;$C684&amp;"'!$E$12:$Y$12"),0)),0),0))-(IFERROR(INDEX(INDIRECT("'"&amp;$C684&amp;"'!$E$68:$Y$68"),1,MATCH($D684,INDIRECT("'"&amp;$C684&amp;"'!$E$12:$Y$12"),0)),0)),0)</f>
        <v>0</v>
      </c>
      <c r="I684" s="366" t="s">
        <v>1750</v>
      </c>
      <c r="J684" s="348" t="str">
        <f t="shared" ca="1" si="20"/>
        <v>OK</v>
      </c>
      <c r="K684" s="366" t="s">
        <v>1751</v>
      </c>
      <c r="L684" s="366" t="s">
        <v>2266</v>
      </c>
      <c r="M684" s="350" t="str">
        <f>IF($B684="Portfolio","Portfolio",IFERROR(INDEX(DATA_ASSET_CLASSIFICATION!$B$8:$B$24,MATCH($C684,DATA_ASSET_CLASSIFICATION!$A$8:$A$24,0)),"Review"))</f>
        <v>Antkiw Court</v>
      </c>
      <c r="N684" s="350" t="str">
        <f ca="1">IF($B684="Portfolio","Portfolio",IFERROR(INDEX(DATA_ASSET_CLASSIFICATION!$U$8:$U$24,MATCH($C684,DATA_ASSET_CLASSIFICATION!$A$8:$A$24,0)),"Review"))</f>
        <v>Stable</v>
      </c>
      <c r="O684" s="350" t="str">
        <f ca="1">IF($B684="Portfolio","Portfolio",IFERROR(INDEX(DATA_ASSET_CLASSIFICATION!$AB$8:$AB$13,MATCH($N684,DATA_ASSET_CLASSIFICATION!$AA$8:$AA$13,0)),"Review"))</f>
        <v>Bucket 2 · Legacy</v>
      </c>
      <c r="P684" s="350" t="str">
        <f>IF($B684="Portfolio","Portfolio",IFERROR(INDEX(DATA_ASSET_CLASSIFICATION!$C$8:$C$24,MATCH($C684,DATA_ASSET_CLASSIFICATION!$A$8:$A$24,0)),"Review"))</f>
        <v>Yes</v>
      </c>
      <c r="Q684" s="350" t="str">
        <f t="shared" ca="1" si="21"/>
        <v>OK</v>
      </c>
    </row>
    <row r="685" spans="1:17">
      <c r="A685" s="366" t="s">
        <v>2641</v>
      </c>
      <c r="B685" s="366" t="s">
        <v>231</v>
      </c>
      <c r="C685" s="348" t="str">
        <f>DATA_PROPERTY_MASTER!$A$6</f>
        <v>BLD_AC</v>
      </c>
      <c r="D685" s="380">
        <f>'00_PORTFOLIO ROLLUP'!K$12</f>
        <v>2031</v>
      </c>
      <c r="E685" s="366" t="s">
        <v>1683</v>
      </c>
      <c r="F685" s="366" t="s">
        <v>341</v>
      </c>
      <c r="G685" s="348" t="str">
        <f>"'"&amp;$C685&amp;"'!$E$24:$Y$24"</f>
        <v>'BLD_AC'!$E$24:$Y$24</v>
      </c>
      <c r="H685" s="381">
        <f ca="1">IF(IFERROR(INDEX(DATA_PROPERTY_MASTER!$E$5:$E$21,MATCH($C685,DATA_PROPERTY_MASTER!$A$5:$A$21,0))="Yes",FALSE),IFERROR(INDEX(INDIRECT("'"&amp;$C685&amp;"'!$E$24:$Y$24"),1,MATCH($D685,INDIRECT("'"&amp;$C685&amp;"'!$E$12:$Y$12"),0)),0),0)</f>
        <v>436933.34665304358</v>
      </c>
      <c r="I685" s="366" t="s">
        <v>1685</v>
      </c>
      <c r="J685" s="348" t="str">
        <f t="shared" ca="1" si="20"/>
        <v>OK</v>
      </c>
      <c r="K685" s="366" t="s">
        <v>1686</v>
      </c>
      <c r="L685" s="366" t="s">
        <v>2234</v>
      </c>
      <c r="M685" s="350" t="str">
        <f>IF($B685="Portfolio","Portfolio",IFERROR(INDEX(DATA_ASSET_CLASSIFICATION!$B$8:$B$24,MATCH($C685,DATA_ASSET_CLASSIFICATION!$A$8:$A$24,0)),"Review"))</f>
        <v>Antkiw Court</v>
      </c>
      <c r="N685" s="350" t="str">
        <f ca="1">IF($B685="Portfolio","Portfolio",IFERROR(INDEX(DATA_ASSET_CLASSIFICATION!$U$8:$U$24,MATCH($C685,DATA_ASSET_CLASSIFICATION!$A$8:$A$24,0)),"Review"))</f>
        <v>Stable</v>
      </c>
      <c r="O685" s="350" t="str">
        <f ca="1">IF($B685="Portfolio","Portfolio",IFERROR(INDEX(DATA_ASSET_CLASSIFICATION!$AB$8:$AB$13,MATCH($N685,DATA_ASSET_CLASSIFICATION!$AA$8:$AA$13,0)),"Review"))</f>
        <v>Bucket 2 · Legacy</v>
      </c>
      <c r="P685" s="350" t="str">
        <f>IF($B685="Portfolio","Portfolio",IFERROR(INDEX(DATA_ASSET_CLASSIFICATION!$C$8:$C$24,MATCH($C685,DATA_ASSET_CLASSIFICATION!$A$8:$A$24,0)),"Review"))</f>
        <v>Yes</v>
      </c>
      <c r="Q685" s="350" t="str">
        <f t="shared" ca="1" si="21"/>
        <v>OK</v>
      </c>
    </row>
    <row r="686" spans="1:17">
      <c r="A686" s="366" t="s">
        <v>2642</v>
      </c>
      <c r="B686" s="366" t="s">
        <v>231</v>
      </c>
      <c r="C686" s="348" t="str">
        <f>DATA_PROPERTY_MASTER!$A$6</f>
        <v>BLD_AC</v>
      </c>
      <c r="D686" s="380">
        <f>'00_PORTFOLIO ROLLUP'!K$12</f>
        <v>2031</v>
      </c>
      <c r="E686" s="366" t="s">
        <v>1683</v>
      </c>
      <c r="F686" s="366" t="s">
        <v>355</v>
      </c>
      <c r="G686" s="348" t="str">
        <f>"'"&amp;$C686&amp;"'!$E$39:$Y$39"</f>
        <v>'BLD_AC'!$E$39:$Y$39</v>
      </c>
      <c r="H686" s="381">
        <f ca="1">IF(IFERROR(INDEX(DATA_PROPERTY_MASTER!$E$5:$E$21,MATCH($C686,DATA_PROPERTY_MASTER!$A$5:$A$21,0))="Yes",FALSE),IFERROR(INDEX(INDIRECT("'"&amp;$C686&amp;"'!$E$39:$Y$39"),1,MATCH($D686,INDIRECT("'"&amp;$C686&amp;"'!$E$12:$Y$12"),0)),0),0)</f>
        <v>190517.81929592427</v>
      </c>
      <c r="I686" s="366" t="s">
        <v>1690</v>
      </c>
      <c r="J686" s="348" t="str">
        <f t="shared" ca="1" si="20"/>
        <v>OK</v>
      </c>
      <c r="K686" s="366" t="s">
        <v>1686</v>
      </c>
      <c r="L686" s="366" t="s">
        <v>2236</v>
      </c>
      <c r="M686" s="350" t="str">
        <f>IF($B686="Portfolio","Portfolio",IFERROR(INDEX(DATA_ASSET_CLASSIFICATION!$B$8:$B$24,MATCH($C686,DATA_ASSET_CLASSIFICATION!$A$8:$A$24,0)),"Review"))</f>
        <v>Antkiw Court</v>
      </c>
      <c r="N686" s="350" t="str">
        <f ca="1">IF($B686="Portfolio","Portfolio",IFERROR(INDEX(DATA_ASSET_CLASSIFICATION!$U$8:$U$24,MATCH($C686,DATA_ASSET_CLASSIFICATION!$A$8:$A$24,0)),"Review"))</f>
        <v>Stable</v>
      </c>
      <c r="O686" s="350" t="str">
        <f ca="1">IF($B686="Portfolio","Portfolio",IFERROR(INDEX(DATA_ASSET_CLASSIFICATION!$AB$8:$AB$13,MATCH($N686,DATA_ASSET_CLASSIFICATION!$AA$8:$AA$13,0)),"Review"))</f>
        <v>Bucket 2 · Legacy</v>
      </c>
      <c r="P686" s="350" t="str">
        <f>IF($B686="Portfolio","Portfolio",IFERROR(INDEX(DATA_ASSET_CLASSIFICATION!$C$8:$C$24,MATCH($C686,DATA_ASSET_CLASSIFICATION!$A$8:$A$24,0)),"Review"))</f>
        <v>Yes</v>
      </c>
      <c r="Q686" s="350" t="str">
        <f t="shared" ca="1" si="21"/>
        <v>OK</v>
      </c>
    </row>
    <row r="687" spans="1:17">
      <c r="A687" s="366" t="s">
        <v>2643</v>
      </c>
      <c r="B687" s="366" t="s">
        <v>231</v>
      </c>
      <c r="C687" s="348" t="str">
        <f>DATA_PROPERTY_MASTER!$A$6</f>
        <v>BLD_AC</v>
      </c>
      <c r="D687" s="380">
        <f>'00_PORTFOLIO ROLLUP'!K$12</f>
        <v>2031</v>
      </c>
      <c r="E687" s="366" t="s">
        <v>1683</v>
      </c>
      <c r="F687" s="366" t="s">
        <v>19</v>
      </c>
      <c r="G687" s="348" t="str">
        <f>"'"&amp;$C687&amp;"'!$E$41:$Y$41"</f>
        <v>'BLD_AC'!$E$41:$Y$41</v>
      </c>
      <c r="H687" s="381">
        <f ca="1">IF(IFERROR(INDEX(DATA_PROPERTY_MASTER!$E$5:$E$21,MATCH($C687,DATA_PROPERTY_MASTER!$A$5:$A$21,0))="Yes",FALSE),IFERROR(INDEX(INDIRECT("'"&amp;$C687&amp;"'!$E$41:$Y$41"),1,MATCH($D687,INDIRECT("'"&amp;$C687&amp;"'!$E$12:$Y$12"),0)),0),0)</f>
        <v>246415.52735711931</v>
      </c>
      <c r="I687" s="366" t="s">
        <v>1685</v>
      </c>
      <c r="J687" s="348" t="str">
        <f t="shared" ca="1" si="20"/>
        <v>OK</v>
      </c>
      <c r="K687" s="366" t="s">
        <v>1694</v>
      </c>
      <c r="L687" s="366" t="s">
        <v>2238</v>
      </c>
      <c r="M687" s="350" t="str">
        <f>IF($B687="Portfolio","Portfolio",IFERROR(INDEX(DATA_ASSET_CLASSIFICATION!$B$8:$B$24,MATCH($C687,DATA_ASSET_CLASSIFICATION!$A$8:$A$24,0)),"Review"))</f>
        <v>Antkiw Court</v>
      </c>
      <c r="N687" s="350" t="str">
        <f ca="1">IF($B687="Portfolio","Portfolio",IFERROR(INDEX(DATA_ASSET_CLASSIFICATION!$U$8:$U$24,MATCH($C687,DATA_ASSET_CLASSIFICATION!$A$8:$A$24,0)),"Review"))</f>
        <v>Stable</v>
      </c>
      <c r="O687" s="350" t="str">
        <f ca="1">IF($B687="Portfolio","Portfolio",IFERROR(INDEX(DATA_ASSET_CLASSIFICATION!$AB$8:$AB$13,MATCH($N687,DATA_ASSET_CLASSIFICATION!$AA$8:$AA$13,0)),"Review"))</f>
        <v>Bucket 2 · Legacy</v>
      </c>
      <c r="P687" s="350" t="str">
        <f>IF($B687="Portfolio","Portfolio",IFERROR(INDEX(DATA_ASSET_CLASSIFICATION!$C$8:$C$24,MATCH($C687,DATA_ASSET_CLASSIFICATION!$A$8:$A$24,0)),"Review"))</f>
        <v>Yes</v>
      </c>
      <c r="Q687" s="350" t="str">
        <f t="shared" ca="1" si="21"/>
        <v>OK</v>
      </c>
    </row>
    <row r="688" spans="1:17">
      <c r="A688" s="366" t="s">
        <v>2644</v>
      </c>
      <c r="B688" s="366" t="s">
        <v>231</v>
      </c>
      <c r="C688" s="348" t="str">
        <f>DATA_PROPERTY_MASTER!$A$6</f>
        <v>BLD_AC</v>
      </c>
      <c r="D688" s="380">
        <f>'00_PORTFOLIO ROLLUP'!K$12</f>
        <v>2031</v>
      </c>
      <c r="E688" s="366" t="s">
        <v>1683</v>
      </c>
      <c r="F688" s="366" t="s">
        <v>1697</v>
      </c>
      <c r="G688" s="348" t="str">
        <f>"'"&amp;$C688&amp;"'!$E$44:$Y$44"</f>
        <v>'BLD_AC'!$E$44:$Y$44</v>
      </c>
      <c r="H688" s="381">
        <f ca="1">IF(IFERROR(INDEX(DATA_PROPERTY_MASTER!$E$5:$E$21,MATCH($C688,DATA_PROPERTY_MASTER!$A$5:$A$21,0))="Yes",FALSE),IFERROR(INDEX(INDIRECT("'"&amp;$C688&amp;"'!$E$44:$Y$44"),1,MATCH($D688,INDIRECT("'"&amp;$C688&amp;"'!$E$12:$Y$12"),0)),0),0)</f>
        <v>3547.4116206816002</v>
      </c>
      <c r="I688" s="366" t="s">
        <v>1690</v>
      </c>
      <c r="J688" s="348" t="str">
        <f t="shared" ca="1" si="20"/>
        <v>OK</v>
      </c>
      <c r="K688" s="366" t="s">
        <v>1699</v>
      </c>
      <c r="L688" s="366" t="s">
        <v>2240</v>
      </c>
      <c r="M688" s="350" t="str">
        <f>IF($B688="Portfolio","Portfolio",IFERROR(INDEX(DATA_ASSET_CLASSIFICATION!$B$8:$B$24,MATCH($C688,DATA_ASSET_CLASSIFICATION!$A$8:$A$24,0)),"Review"))</f>
        <v>Antkiw Court</v>
      </c>
      <c r="N688" s="350" t="str">
        <f ca="1">IF($B688="Portfolio","Portfolio",IFERROR(INDEX(DATA_ASSET_CLASSIFICATION!$U$8:$U$24,MATCH($C688,DATA_ASSET_CLASSIFICATION!$A$8:$A$24,0)),"Review"))</f>
        <v>Stable</v>
      </c>
      <c r="O688" s="350" t="str">
        <f ca="1">IF($B688="Portfolio","Portfolio",IFERROR(INDEX(DATA_ASSET_CLASSIFICATION!$AB$8:$AB$13,MATCH($N688,DATA_ASSET_CLASSIFICATION!$AA$8:$AA$13,0)),"Review"))</f>
        <v>Bucket 2 · Legacy</v>
      </c>
      <c r="P688" s="350" t="str">
        <f>IF($B688="Portfolio","Portfolio",IFERROR(INDEX(DATA_ASSET_CLASSIFICATION!$C$8:$C$24,MATCH($C688,DATA_ASSET_CLASSIFICATION!$A$8:$A$24,0)),"Review"))</f>
        <v>Yes</v>
      </c>
      <c r="Q688" s="350" t="str">
        <f t="shared" ca="1" si="21"/>
        <v>OK</v>
      </c>
    </row>
    <row r="689" spans="1:17">
      <c r="A689" s="366" t="s">
        <v>2645</v>
      </c>
      <c r="B689" s="366" t="s">
        <v>231</v>
      </c>
      <c r="C689" s="348" t="str">
        <f>DATA_PROPERTY_MASTER!$A$6</f>
        <v>BLD_AC</v>
      </c>
      <c r="D689" s="380">
        <f>'00_PORTFOLIO ROLLUP'!K$12</f>
        <v>2031</v>
      </c>
      <c r="E689" s="366" t="s">
        <v>1683</v>
      </c>
      <c r="F689" s="366" t="s">
        <v>21</v>
      </c>
      <c r="G689" s="348" t="str">
        <f>"'"&amp;$C689&amp;"'!$E$45:$Y$45"</f>
        <v>'BLD_AC'!$E$45:$Y$45</v>
      </c>
      <c r="H689" s="381">
        <f ca="1">IF(IFERROR(INDEX(DATA_PROPERTY_MASTER!$E$5:$E$21,MATCH($C689,DATA_PROPERTY_MASTER!$A$5:$A$21,0))="Yes",FALSE),IFERROR(INDEX(INDIRECT("'"&amp;$C689&amp;"'!$E$45:$Y$45"),1,MATCH($D689,INDIRECT("'"&amp;$C689&amp;"'!$E$12:$Y$12"),0)),0),0)</f>
        <v>242868.1157364377</v>
      </c>
      <c r="I689" s="366" t="s">
        <v>1685</v>
      </c>
      <c r="J689" s="348" t="str">
        <f t="shared" ca="1" si="20"/>
        <v>OK</v>
      </c>
      <c r="K689" s="366" t="s">
        <v>1694</v>
      </c>
      <c r="L689" s="366" t="s">
        <v>2242</v>
      </c>
      <c r="M689" s="350" t="str">
        <f>IF($B689="Portfolio","Portfolio",IFERROR(INDEX(DATA_ASSET_CLASSIFICATION!$B$8:$B$24,MATCH($C689,DATA_ASSET_CLASSIFICATION!$A$8:$A$24,0)),"Review"))</f>
        <v>Antkiw Court</v>
      </c>
      <c r="N689" s="350" t="str">
        <f ca="1">IF($B689="Portfolio","Portfolio",IFERROR(INDEX(DATA_ASSET_CLASSIFICATION!$U$8:$U$24,MATCH($C689,DATA_ASSET_CLASSIFICATION!$A$8:$A$24,0)),"Review"))</f>
        <v>Stable</v>
      </c>
      <c r="O689" s="350" t="str">
        <f ca="1">IF($B689="Portfolio","Portfolio",IFERROR(INDEX(DATA_ASSET_CLASSIFICATION!$AB$8:$AB$13,MATCH($N689,DATA_ASSET_CLASSIFICATION!$AA$8:$AA$13,0)),"Review"))</f>
        <v>Bucket 2 · Legacy</v>
      </c>
      <c r="P689" s="350" t="str">
        <f>IF($B689="Portfolio","Portfolio",IFERROR(INDEX(DATA_ASSET_CLASSIFICATION!$C$8:$C$24,MATCH($C689,DATA_ASSET_CLASSIFICATION!$A$8:$A$24,0)),"Review"))</f>
        <v>Yes</v>
      </c>
      <c r="Q689" s="350" t="str">
        <f t="shared" ca="1" si="21"/>
        <v>OK</v>
      </c>
    </row>
    <row r="690" spans="1:17">
      <c r="A690" s="366" t="s">
        <v>2646</v>
      </c>
      <c r="B690" s="366" t="s">
        <v>231</v>
      </c>
      <c r="C690" s="348" t="str">
        <f>DATA_PROPERTY_MASTER!$A$6</f>
        <v>BLD_AC</v>
      </c>
      <c r="D690" s="380">
        <f>'00_PORTFOLIO ROLLUP'!K$12</f>
        <v>2031</v>
      </c>
      <c r="E690" s="366" t="s">
        <v>23</v>
      </c>
      <c r="F690" s="366" t="s">
        <v>23</v>
      </c>
      <c r="G690" s="348" t="str">
        <f>"'"&amp;$C690&amp;"'!$E$48:$Y$48"</f>
        <v>'BLD_AC'!$E$48:$Y$48</v>
      </c>
      <c r="H690" s="381">
        <f ca="1">IF(IFERROR(INDEX(DATA_PROPERTY_MASTER!$E$5:$E$21,MATCH($C690,DATA_PROPERTY_MASTER!$A$5:$A$21,0))="Yes",FALSE),IFERROR(INDEX(INDIRECT("'"&amp;$C690&amp;"'!$E$48:$Y$48"),1,MATCH($D690,INDIRECT("'"&amp;$C690&amp;"'!$E$12:$Y$12"),0)),0),0)</f>
        <v>54330.12</v>
      </c>
      <c r="I690" s="366" t="s">
        <v>1690</v>
      </c>
      <c r="J690" s="348" t="str">
        <f t="shared" ca="1" si="20"/>
        <v>OK</v>
      </c>
      <c r="K690" s="366" t="s">
        <v>1706</v>
      </c>
      <c r="L690" s="366" t="s">
        <v>2244</v>
      </c>
      <c r="M690" s="350" t="str">
        <f>IF($B690="Portfolio","Portfolio",IFERROR(INDEX(DATA_ASSET_CLASSIFICATION!$B$8:$B$24,MATCH($C690,DATA_ASSET_CLASSIFICATION!$A$8:$A$24,0)),"Review"))</f>
        <v>Antkiw Court</v>
      </c>
      <c r="N690" s="350" t="str">
        <f ca="1">IF($B690="Portfolio","Portfolio",IFERROR(INDEX(DATA_ASSET_CLASSIFICATION!$U$8:$U$24,MATCH($C690,DATA_ASSET_CLASSIFICATION!$A$8:$A$24,0)),"Review"))</f>
        <v>Stable</v>
      </c>
      <c r="O690" s="350" t="str">
        <f ca="1">IF($B690="Portfolio","Portfolio",IFERROR(INDEX(DATA_ASSET_CLASSIFICATION!$AB$8:$AB$13,MATCH($N690,DATA_ASSET_CLASSIFICATION!$AA$8:$AA$13,0)),"Review"))</f>
        <v>Bucket 2 · Legacy</v>
      </c>
      <c r="P690" s="350" t="str">
        <f>IF($B690="Portfolio","Portfolio",IFERROR(INDEX(DATA_ASSET_CLASSIFICATION!$C$8:$C$24,MATCH($C690,DATA_ASSET_CLASSIFICATION!$A$8:$A$24,0)),"Review"))</f>
        <v>Yes</v>
      </c>
      <c r="Q690" s="350" t="str">
        <f t="shared" ca="1" si="21"/>
        <v>OK</v>
      </c>
    </row>
    <row r="691" spans="1:17">
      <c r="A691" s="366" t="s">
        <v>2647</v>
      </c>
      <c r="B691" s="366" t="s">
        <v>231</v>
      </c>
      <c r="C691" s="348" t="str">
        <f>DATA_PROPERTY_MASTER!$A$6</f>
        <v>BLD_AC</v>
      </c>
      <c r="D691" s="380">
        <f>'00_PORTFOLIO ROLLUP'!K$12</f>
        <v>2031</v>
      </c>
      <c r="E691" s="366" t="s">
        <v>1683</v>
      </c>
      <c r="F691" s="366" t="s">
        <v>25</v>
      </c>
      <c r="G691" s="348" t="str">
        <f>"'"&amp;$C691&amp;"'!$E$52:$Y$52"</f>
        <v>'BLD_AC'!$E$52:$Y$52</v>
      </c>
      <c r="H691" s="381">
        <f ca="1">IF(IFERROR(INDEX(DATA_PROPERTY_MASTER!$E$5:$E$21,MATCH($C691,DATA_PROPERTY_MASTER!$A$5:$A$21,0))="Yes",FALSE),IFERROR(INDEX(INDIRECT("'"&amp;$C691&amp;"'!$E$52:$Y$52"),1,MATCH($D691,INDIRECT("'"&amp;$C691&amp;"'!$E$12:$Y$12"),0)),0),0)</f>
        <v>192085.40735711931</v>
      </c>
      <c r="I691" s="366" t="s">
        <v>1685</v>
      </c>
      <c r="J691" s="348" t="str">
        <f t="shared" ca="1" si="20"/>
        <v>OK</v>
      </c>
      <c r="K691" s="366" t="s">
        <v>1710</v>
      </c>
      <c r="L691" s="366" t="s">
        <v>2246</v>
      </c>
      <c r="M691" s="350" t="str">
        <f>IF($B691="Portfolio","Portfolio",IFERROR(INDEX(DATA_ASSET_CLASSIFICATION!$B$8:$B$24,MATCH($C691,DATA_ASSET_CLASSIFICATION!$A$8:$A$24,0)),"Review"))</f>
        <v>Antkiw Court</v>
      </c>
      <c r="N691" s="350" t="str">
        <f ca="1">IF($B691="Portfolio","Portfolio",IFERROR(INDEX(DATA_ASSET_CLASSIFICATION!$U$8:$U$24,MATCH($C691,DATA_ASSET_CLASSIFICATION!$A$8:$A$24,0)),"Review"))</f>
        <v>Stable</v>
      </c>
      <c r="O691" s="350" t="str">
        <f ca="1">IF($B691="Portfolio","Portfolio",IFERROR(INDEX(DATA_ASSET_CLASSIFICATION!$AB$8:$AB$13,MATCH($N691,DATA_ASSET_CLASSIFICATION!$AA$8:$AA$13,0)),"Review"))</f>
        <v>Bucket 2 · Legacy</v>
      </c>
      <c r="P691" s="350" t="str">
        <f>IF($B691="Portfolio","Portfolio",IFERROR(INDEX(DATA_ASSET_CLASSIFICATION!$C$8:$C$24,MATCH($C691,DATA_ASSET_CLASSIFICATION!$A$8:$A$24,0)),"Review"))</f>
        <v>Yes</v>
      </c>
      <c r="Q691" s="350" t="str">
        <f t="shared" ca="1" si="21"/>
        <v>OK</v>
      </c>
    </row>
    <row r="692" spans="1:17">
      <c r="A692" s="366" t="s">
        <v>2648</v>
      </c>
      <c r="B692" s="366" t="s">
        <v>231</v>
      </c>
      <c r="C692" s="348" t="str">
        <f>DATA_PROPERTY_MASTER!$A$6</f>
        <v>BLD_AC</v>
      </c>
      <c r="D692" s="380">
        <f>'00_PORTFOLIO ROLLUP'!K$12</f>
        <v>2031</v>
      </c>
      <c r="E692" s="366" t="s">
        <v>1683</v>
      </c>
      <c r="F692" s="366" t="s">
        <v>27</v>
      </c>
      <c r="G692" s="348" t="str">
        <f>"'"&amp;$C692&amp;"'!$E$54:$Y$54"</f>
        <v>'BLD_AC'!$E$54:$Y$54</v>
      </c>
      <c r="H692" s="381">
        <f ca="1">IF(IFERROR(INDEX(DATA_PROPERTY_MASTER!$E$5:$E$21,MATCH($C692,DATA_PROPERTY_MASTER!$A$5:$A$21,0))="Yes",FALSE),IFERROR(INDEX(INDIRECT("'"&amp;$C692&amp;"'!$E$54:$Y$54"),1,MATCH($D692,INDIRECT("'"&amp;$C692&amp;"'!$E$12:$Y$12"),0)),0),0)</f>
        <v>115251.24441427158</v>
      </c>
      <c r="I692" s="366" t="s">
        <v>1690</v>
      </c>
      <c r="J692" s="348" t="str">
        <f t="shared" ca="1" si="20"/>
        <v>OK</v>
      </c>
      <c r="K692" s="366" t="s">
        <v>1714</v>
      </c>
      <c r="L692" s="366" t="s">
        <v>2248</v>
      </c>
      <c r="M692" s="350" t="str">
        <f>IF($B692="Portfolio","Portfolio",IFERROR(INDEX(DATA_ASSET_CLASSIFICATION!$B$8:$B$24,MATCH($C692,DATA_ASSET_CLASSIFICATION!$A$8:$A$24,0)),"Review"))</f>
        <v>Antkiw Court</v>
      </c>
      <c r="N692" s="350" t="str">
        <f ca="1">IF($B692="Portfolio","Portfolio",IFERROR(INDEX(DATA_ASSET_CLASSIFICATION!$U$8:$U$24,MATCH($C692,DATA_ASSET_CLASSIFICATION!$A$8:$A$24,0)),"Review"))</f>
        <v>Stable</v>
      </c>
      <c r="O692" s="350" t="str">
        <f ca="1">IF($B692="Portfolio","Portfolio",IFERROR(INDEX(DATA_ASSET_CLASSIFICATION!$AB$8:$AB$13,MATCH($N692,DATA_ASSET_CLASSIFICATION!$AA$8:$AA$13,0)),"Review"))</f>
        <v>Bucket 2 · Legacy</v>
      </c>
      <c r="P692" s="350" t="str">
        <f>IF($B692="Portfolio","Portfolio",IFERROR(INDEX(DATA_ASSET_CLASSIFICATION!$C$8:$C$24,MATCH($C692,DATA_ASSET_CLASSIFICATION!$A$8:$A$24,0)),"Review"))</f>
        <v>Yes</v>
      </c>
      <c r="Q692" s="350" t="str">
        <f t="shared" ca="1" si="21"/>
        <v>OK</v>
      </c>
    </row>
    <row r="693" spans="1:17">
      <c r="A693" s="366" t="s">
        <v>2649</v>
      </c>
      <c r="B693" s="366" t="s">
        <v>231</v>
      </c>
      <c r="C693" s="348" t="str">
        <f>DATA_PROPERTY_MASTER!$A$6</f>
        <v>BLD_AC</v>
      </c>
      <c r="D693" s="380">
        <f>'00_PORTFOLIO ROLLUP'!K$12</f>
        <v>2031</v>
      </c>
      <c r="E693" s="366" t="s">
        <v>1683</v>
      </c>
      <c r="F693" s="366" t="s">
        <v>29</v>
      </c>
      <c r="G693" s="348" t="str">
        <f>"'"&amp;$C693&amp;"'!$E$56:$Y$56"</f>
        <v>'BLD_AC'!$E$56:$Y$56</v>
      </c>
      <c r="H693" s="381">
        <f ca="1">IF(IFERROR(INDEX(DATA_PROPERTY_MASTER!$E$5:$E$21,MATCH($C693,DATA_PROPERTY_MASTER!$A$5:$A$21,0))="Yes",FALSE),IFERROR(INDEX(INDIRECT("'"&amp;$C693&amp;"'!$E$56:$Y$56"),1,MATCH($D693,INDIRECT("'"&amp;$C693&amp;"'!$E$12:$Y$12"),0)),0),0)</f>
        <v>76834.162942847732</v>
      </c>
      <c r="I693" s="366" t="s">
        <v>1685</v>
      </c>
      <c r="J693" s="348" t="str">
        <f t="shared" ca="1" si="20"/>
        <v>OK</v>
      </c>
      <c r="K693" s="366" t="s">
        <v>1718</v>
      </c>
      <c r="L693" s="366" t="s">
        <v>2250</v>
      </c>
      <c r="M693" s="350" t="str">
        <f>IF($B693="Portfolio","Portfolio",IFERROR(INDEX(DATA_ASSET_CLASSIFICATION!$B$8:$B$24,MATCH($C693,DATA_ASSET_CLASSIFICATION!$A$8:$A$24,0)),"Review"))</f>
        <v>Antkiw Court</v>
      </c>
      <c r="N693" s="350" t="str">
        <f ca="1">IF($B693="Portfolio","Portfolio",IFERROR(INDEX(DATA_ASSET_CLASSIFICATION!$U$8:$U$24,MATCH($C693,DATA_ASSET_CLASSIFICATION!$A$8:$A$24,0)),"Review"))</f>
        <v>Stable</v>
      </c>
      <c r="O693" s="350" t="str">
        <f ca="1">IF($B693="Portfolio","Portfolio",IFERROR(INDEX(DATA_ASSET_CLASSIFICATION!$AB$8:$AB$13,MATCH($N693,DATA_ASSET_CLASSIFICATION!$AA$8:$AA$13,0)),"Review"))</f>
        <v>Bucket 2 · Legacy</v>
      </c>
      <c r="P693" s="350" t="str">
        <f>IF($B693="Portfolio","Portfolio",IFERROR(INDEX(DATA_ASSET_CLASSIFICATION!$C$8:$C$24,MATCH($C693,DATA_ASSET_CLASSIFICATION!$A$8:$A$24,0)),"Review"))</f>
        <v>Yes</v>
      </c>
      <c r="Q693" s="350" t="str">
        <f t="shared" ca="1" si="21"/>
        <v>OK</v>
      </c>
    </row>
    <row r="694" spans="1:17">
      <c r="A694" s="366" t="s">
        <v>2650</v>
      </c>
      <c r="B694" s="366" t="s">
        <v>231</v>
      </c>
      <c r="C694" s="348" t="str">
        <f>DATA_PROPERTY_MASTER!$A$6</f>
        <v>BLD_AC</v>
      </c>
      <c r="D694" s="380">
        <f>'00_PORTFOLIO ROLLUP'!K$12</f>
        <v>2031</v>
      </c>
      <c r="E694" s="366" t="s">
        <v>1721</v>
      </c>
      <c r="F694" s="366" t="s">
        <v>31</v>
      </c>
      <c r="G694" s="348" t="str">
        <f>"'"&amp;$C694&amp;"'!$E$61:$Y$61"</f>
        <v>'BLD_AC'!$E$61:$Y$61</v>
      </c>
      <c r="H694" s="381">
        <f ca="1">IF(IFERROR(INDEX(DATA_PROPERTY_MASTER!$E$5:$E$21,MATCH($C694,DATA_PROPERTY_MASTER!$A$5:$A$21,0))="Yes",FALSE),IFERROR(INDEX(INDIRECT("'"&amp;$C694&amp;"'!$E$61:$Y$61"),1,MATCH($D694,INDIRECT("'"&amp;$C694&amp;"'!$E$12:$Y$12"),0)),0),0)</f>
        <v>0</v>
      </c>
      <c r="I694" s="366" t="s">
        <v>1690</v>
      </c>
      <c r="J694" s="348" t="str">
        <f t="shared" ca="1" si="20"/>
        <v>OK</v>
      </c>
      <c r="K694" s="366" t="s">
        <v>1723</v>
      </c>
      <c r="L694" s="366" t="s">
        <v>2252</v>
      </c>
      <c r="M694" s="350" t="str">
        <f>IF($B694="Portfolio","Portfolio",IFERROR(INDEX(DATA_ASSET_CLASSIFICATION!$B$8:$B$24,MATCH($C694,DATA_ASSET_CLASSIFICATION!$A$8:$A$24,0)),"Review"))</f>
        <v>Antkiw Court</v>
      </c>
      <c r="N694" s="350" t="str">
        <f ca="1">IF($B694="Portfolio","Portfolio",IFERROR(INDEX(DATA_ASSET_CLASSIFICATION!$U$8:$U$24,MATCH($C694,DATA_ASSET_CLASSIFICATION!$A$8:$A$24,0)),"Review"))</f>
        <v>Stable</v>
      </c>
      <c r="O694" s="350" t="str">
        <f ca="1">IF($B694="Portfolio","Portfolio",IFERROR(INDEX(DATA_ASSET_CLASSIFICATION!$AB$8:$AB$13,MATCH($N694,DATA_ASSET_CLASSIFICATION!$AA$8:$AA$13,0)),"Review"))</f>
        <v>Bucket 2 · Legacy</v>
      </c>
      <c r="P694" s="350" t="str">
        <f>IF($B694="Portfolio","Portfolio",IFERROR(INDEX(DATA_ASSET_CLASSIFICATION!$C$8:$C$24,MATCH($C694,DATA_ASSET_CLASSIFICATION!$A$8:$A$24,0)),"Review"))</f>
        <v>Yes</v>
      </c>
      <c r="Q694" s="350" t="str">
        <f t="shared" ca="1" si="21"/>
        <v>OK</v>
      </c>
    </row>
    <row r="695" spans="1:17">
      <c r="A695" s="366" t="s">
        <v>2651</v>
      </c>
      <c r="B695" s="366" t="s">
        <v>231</v>
      </c>
      <c r="C695" s="348" t="str">
        <f>DATA_PROPERTY_MASTER!$A$6</f>
        <v>BLD_AC</v>
      </c>
      <c r="D695" s="380">
        <f>'00_PORTFOLIO ROLLUP'!K$12</f>
        <v>2031</v>
      </c>
      <c r="E695" s="366" t="s">
        <v>1721</v>
      </c>
      <c r="F695" s="366" t="s">
        <v>33</v>
      </c>
      <c r="G695" s="348" t="str">
        <f>"'"&amp;$C695&amp;"'!$E$62:$Y$62"</f>
        <v>'BLD_AC'!$E$62:$Y$62</v>
      </c>
      <c r="H695" s="381">
        <f ca="1">IF(IFERROR(INDEX(DATA_PROPERTY_MASTER!$E$5:$E$21,MATCH($C695,DATA_PROPERTY_MASTER!$A$5:$A$21,0))="Yes",FALSE),IFERROR(INDEX(INDIRECT("'"&amp;$C695&amp;"'!$E$62:$Y$62"),1,MATCH($D695,INDIRECT("'"&amp;$C695&amp;"'!$E$12:$Y$12"),0)),0),0)</f>
        <v>0</v>
      </c>
      <c r="I695" s="366" t="s">
        <v>1685</v>
      </c>
      <c r="J695" s="348" t="str">
        <f t="shared" ca="1" si="20"/>
        <v>OK</v>
      </c>
      <c r="K695" s="366" t="s">
        <v>1727</v>
      </c>
      <c r="L695" s="366" t="s">
        <v>2254</v>
      </c>
      <c r="M695" s="350" t="str">
        <f>IF($B695="Portfolio","Portfolio",IFERROR(INDEX(DATA_ASSET_CLASSIFICATION!$B$8:$B$24,MATCH($C695,DATA_ASSET_CLASSIFICATION!$A$8:$A$24,0)),"Review"))</f>
        <v>Antkiw Court</v>
      </c>
      <c r="N695" s="350" t="str">
        <f ca="1">IF($B695="Portfolio","Portfolio",IFERROR(INDEX(DATA_ASSET_CLASSIFICATION!$U$8:$U$24,MATCH($C695,DATA_ASSET_CLASSIFICATION!$A$8:$A$24,0)),"Review"))</f>
        <v>Stable</v>
      </c>
      <c r="O695" s="350" t="str">
        <f ca="1">IF($B695="Portfolio","Portfolio",IFERROR(INDEX(DATA_ASSET_CLASSIFICATION!$AB$8:$AB$13,MATCH($N695,DATA_ASSET_CLASSIFICATION!$AA$8:$AA$13,0)),"Review"))</f>
        <v>Bucket 2 · Legacy</v>
      </c>
      <c r="P695" s="350" t="str">
        <f>IF($B695="Portfolio","Portfolio",IFERROR(INDEX(DATA_ASSET_CLASSIFICATION!$C$8:$C$24,MATCH($C695,DATA_ASSET_CLASSIFICATION!$A$8:$A$24,0)),"Review"))</f>
        <v>Yes</v>
      </c>
      <c r="Q695" s="350" t="str">
        <f t="shared" ca="1" si="21"/>
        <v>OK</v>
      </c>
    </row>
    <row r="696" spans="1:17">
      <c r="A696" s="366" t="s">
        <v>2652</v>
      </c>
      <c r="B696" s="366" t="s">
        <v>231</v>
      </c>
      <c r="C696" s="348" t="str">
        <f>DATA_PROPERTY_MASTER!$A$6</f>
        <v>BLD_AC</v>
      </c>
      <c r="D696" s="380">
        <f>'00_PORTFOLIO ROLLUP'!K$12</f>
        <v>2031</v>
      </c>
      <c r="E696" s="366" t="s">
        <v>1721</v>
      </c>
      <c r="F696" s="366" t="s">
        <v>35</v>
      </c>
      <c r="G696" s="348" t="str">
        <f>"'"&amp;$C696&amp;"'!$E$63:$Y$63"</f>
        <v>'BLD_AC'!$E$63:$Y$63</v>
      </c>
      <c r="H696" s="381">
        <f ca="1">IF(IFERROR(INDEX(DATA_PROPERTY_MASTER!$E$5:$E$21,MATCH($C696,DATA_PROPERTY_MASTER!$A$5:$A$21,0))="Yes",FALSE),IFERROR(INDEX(INDIRECT("'"&amp;$C696&amp;"'!$E$63:$Y$63"),1,MATCH($D696,INDIRECT("'"&amp;$C696&amp;"'!$E$12:$Y$12"),0)),0),0)</f>
        <v>0</v>
      </c>
      <c r="I696" s="366" t="s">
        <v>1731</v>
      </c>
      <c r="J696" s="348" t="str">
        <f t="shared" ca="1" si="20"/>
        <v>OK</v>
      </c>
      <c r="K696" s="366" t="s">
        <v>1732</v>
      </c>
      <c r="L696" s="366" t="s">
        <v>2256</v>
      </c>
      <c r="M696" s="350" t="str">
        <f>IF($B696="Portfolio","Portfolio",IFERROR(INDEX(DATA_ASSET_CLASSIFICATION!$B$8:$B$24,MATCH($C696,DATA_ASSET_CLASSIFICATION!$A$8:$A$24,0)),"Review"))</f>
        <v>Antkiw Court</v>
      </c>
      <c r="N696" s="350" t="str">
        <f ca="1">IF($B696="Portfolio","Portfolio",IFERROR(INDEX(DATA_ASSET_CLASSIFICATION!$U$8:$U$24,MATCH($C696,DATA_ASSET_CLASSIFICATION!$A$8:$A$24,0)),"Review"))</f>
        <v>Stable</v>
      </c>
      <c r="O696" s="350" t="str">
        <f ca="1">IF($B696="Portfolio","Portfolio",IFERROR(INDEX(DATA_ASSET_CLASSIFICATION!$AB$8:$AB$13,MATCH($N696,DATA_ASSET_CLASSIFICATION!$AA$8:$AA$13,0)),"Review"))</f>
        <v>Bucket 2 · Legacy</v>
      </c>
      <c r="P696" s="350" t="str">
        <f>IF($B696="Portfolio","Portfolio",IFERROR(INDEX(DATA_ASSET_CLASSIFICATION!$C$8:$C$24,MATCH($C696,DATA_ASSET_CLASSIFICATION!$A$8:$A$24,0)),"Review"))</f>
        <v>Yes</v>
      </c>
      <c r="Q696" s="350" t="str">
        <f t="shared" ca="1" si="21"/>
        <v>OK</v>
      </c>
    </row>
    <row r="697" spans="1:17">
      <c r="A697" s="366" t="s">
        <v>2653</v>
      </c>
      <c r="B697" s="366" t="s">
        <v>231</v>
      </c>
      <c r="C697" s="348" t="str">
        <f>DATA_PROPERTY_MASTER!$A$6</f>
        <v>BLD_AC</v>
      </c>
      <c r="D697" s="380">
        <f>'00_PORTFOLIO ROLLUP'!K$12</f>
        <v>2031</v>
      </c>
      <c r="E697" s="366" t="s">
        <v>1721</v>
      </c>
      <c r="F697" s="366" t="s">
        <v>37</v>
      </c>
      <c r="G697" s="348" t="str">
        <f>"'"&amp;$C697&amp;"'!$E$63:$Y$63"</f>
        <v>'BLD_AC'!$E$63:$Y$63</v>
      </c>
      <c r="H697" s="381">
        <f ca="1">IF(IFERROR(INDEX(DATA_PROPERTY_MASTER!$E$5:$E$21,MATCH($C697,DATA_PROPERTY_MASTER!$A$5:$A$21,0))="Yes",FALSE),MAX(IFERROR(INDEX(INDIRECT("'"&amp;$C697&amp;"'!$E$63:$Y$63"),1,MATCH($D697,INDIRECT("'"&amp;$C697&amp;"'!$E$12:$Y$12"),0)),0),0),0)</f>
        <v>0</v>
      </c>
      <c r="I697" s="366" t="s">
        <v>1685</v>
      </c>
      <c r="J697" s="348" t="str">
        <f t="shared" ca="1" si="20"/>
        <v>OK</v>
      </c>
      <c r="K697" s="366" t="s">
        <v>1735</v>
      </c>
      <c r="L697" s="366" t="s">
        <v>2258</v>
      </c>
      <c r="M697" s="350" t="str">
        <f>IF($B697="Portfolio","Portfolio",IFERROR(INDEX(DATA_ASSET_CLASSIFICATION!$B$8:$B$24,MATCH($C697,DATA_ASSET_CLASSIFICATION!$A$8:$A$24,0)),"Review"))</f>
        <v>Antkiw Court</v>
      </c>
      <c r="N697" s="350" t="str">
        <f ca="1">IF($B697="Portfolio","Portfolio",IFERROR(INDEX(DATA_ASSET_CLASSIFICATION!$U$8:$U$24,MATCH($C697,DATA_ASSET_CLASSIFICATION!$A$8:$A$24,0)),"Review"))</f>
        <v>Stable</v>
      </c>
      <c r="O697" s="350" t="str">
        <f ca="1">IF($B697="Portfolio","Portfolio",IFERROR(INDEX(DATA_ASSET_CLASSIFICATION!$AB$8:$AB$13,MATCH($N697,DATA_ASSET_CLASSIFICATION!$AA$8:$AA$13,0)),"Review"))</f>
        <v>Bucket 2 · Legacy</v>
      </c>
      <c r="P697" s="350" t="str">
        <f>IF($B697="Portfolio","Portfolio",IFERROR(INDEX(DATA_ASSET_CLASSIFICATION!$C$8:$C$24,MATCH($C697,DATA_ASSET_CLASSIFICATION!$A$8:$A$24,0)),"Review"))</f>
        <v>Yes</v>
      </c>
      <c r="Q697" s="350" t="str">
        <f t="shared" ca="1" si="21"/>
        <v>OK</v>
      </c>
    </row>
    <row r="698" spans="1:17">
      <c r="A698" s="366" t="s">
        <v>2654</v>
      </c>
      <c r="B698" s="366" t="s">
        <v>231</v>
      </c>
      <c r="C698" s="348" t="str">
        <f>DATA_PROPERTY_MASTER!$A$6</f>
        <v>BLD_AC</v>
      </c>
      <c r="D698" s="380">
        <f>'00_PORTFOLIO ROLLUP'!K$12</f>
        <v>2031</v>
      </c>
      <c r="E698" s="366" t="s">
        <v>1721</v>
      </c>
      <c r="F698" s="366" t="s">
        <v>39</v>
      </c>
      <c r="G698" s="348" t="str">
        <f>"'"&amp;$C698&amp;"'!$E$63:$Y$63"</f>
        <v>'BLD_AC'!$E$63:$Y$63</v>
      </c>
      <c r="H698" s="381">
        <f ca="1">IF(IFERROR(INDEX(DATA_PROPERTY_MASTER!$E$5:$E$21,MATCH($C698,DATA_PROPERTY_MASTER!$A$5:$A$21,0))="Yes",FALSE),MAX(-IFERROR(INDEX(INDIRECT("'"&amp;$C698&amp;"'!$E$63:$Y$63"),1,MATCH($D698,INDIRECT("'"&amp;$C698&amp;"'!$E$12:$Y$12"),0)),0),0),0)</f>
        <v>0</v>
      </c>
      <c r="I698" s="366" t="s">
        <v>1690</v>
      </c>
      <c r="J698" s="348" t="str">
        <f t="shared" ca="1" si="20"/>
        <v>OK</v>
      </c>
      <c r="K698" s="366" t="s">
        <v>1738</v>
      </c>
      <c r="L698" s="366" t="s">
        <v>2260</v>
      </c>
      <c r="M698" s="350" t="str">
        <f>IF($B698="Portfolio","Portfolio",IFERROR(INDEX(DATA_ASSET_CLASSIFICATION!$B$8:$B$24,MATCH($C698,DATA_ASSET_CLASSIFICATION!$A$8:$A$24,0)),"Review"))</f>
        <v>Antkiw Court</v>
      </c>
      <c r="N698" s="350" t="str">
        <f ca="1">IF($B698="Portfolio","Portfolio",IFERROR(INDEX(DATA_ASSET_CLASSIFICATION!$U$8:$U$24,MATCH($C698,DATA_ASSET_CLASSIFICATION!$A$8:$A$24,0)),"Review"))</f>
        <v>Stable</v>
      </c>
      <c r="O698" s="350" t="str">
        <f ca="1">IF($B698="Portfolio","Portfolio",IFERROR(INDEX(DATA_ASSET_CLASSIFICATION!$AB$8:$AB$13,MATCH($N698,DATA_ASSET_CLASSIFICATION!$AA$8:$AA$13,0)),"Review"))</f>
        <v>Bucket 2 · Legacy</v>
      </c>
      <c r="P698" s="350" t="str">
        <f>IF($B698="Portfolio","Portfolio",IFERROR(INDEX(DATA_ASSET_CLASSIFICATION!$C$8:$C$24,MATCH($C698,DATA_ASSET_CLASSIFICATION!$A$8:$A$24,0)),"Review"))</f>
        <v>Yes</v>
      </c>
      <c r="Q698" s="350" t="str">
        <f t="shared" ca="1" si="21"/>
        <v>OK</v>
      </c>
    </row>
    <row r="699" spans="1:17">
      <c r="A699" s="366" t="s">
        <v>2655</v>
      </c>
      <c r="B699" s="366" t="s">
        <v>231</v>
      </c>
      <c r="C699" s="348" t="str">
        <f>DATA_PROPERTY_MASTER!$A$6</f>
        <v>BLD_AC</v>
      </c>
      <c r="D699" s="380">
        <f>'00_PORTFOLIO ROLLUP'!K$12</f>
        <v>2031</v>
      </c>
      <c r="E699" s="366" t="s">
        <v>1741</v>
      </c>
      <c r="F699" s="366" t="s">
        <v>41</v>
      </c>
      <c r="G699" s="348" t="str">
        <f>"'"&amp;$C699&amp;"'!rows 56 + positive row 63"</f>
        <v>'BLD_AC'!rows 56 + positive row 63</v>
      </c>
      <c r="H699" s="381">
        <f ca="1">IF(IFERROR(INDEX(DATA_PROPERTY_MASTER!$E$5:$E$21,MATCH($C699,DATA_PROPERTY_MASTER!$A$5:$A$21,0))="Yes",FALSE),IFERROR(INDEX(INDIRECT("'"&amp;$C699&amp;"'!$E$56:$Y$56"),1,MATCH($D699,INDIRECT("'"&amp;$C699&amp;"'!$E$12:$Y$12"),0)),0)+MAX(IFERROR(INDEX(INDIRECT("'"&amp;$C699&amp;"'!$E$63:$Y$63"),1,MATCH($D699,INDIRECT("'"&amp;$C699&amp;"'!$E$12:$Y$12"),0)),0),0),0)</f>
        <v>76834.162942847732</v>
      </c>
      <c r="I699" s="366" t="s">
        <v>1685</v>
      </c>
      <c r="J699" s="348" t="str">
        <f t="shared" ca="1" si="20"/>
        <v>OK</v>
      </c>
      <c r="K699" s="366" t="s">
        <v>1742</v>
      </c>
      <c r="L699" s="366" t="s">
        <v>2262</v>
      </c>
      <c r="M699" s="350" t="str">
        <f>IF($B699="Portfolio","Portfolio",IFERROR(INDEX(DATA_ASSET_CLASSIFICATION!$B$8:$B$24,MATCH($C699,DATA_ASSET_CLASSIFICATION!$A$8:$A$24,0)),"Review"))</f>
        <v>Antkiw Court</v>
      </c>
      <c r="N699" s="350" t="str">
        <f ca="1">IF($B699="Portfolio","Portfolio",IFERROR(INDEX(DATA_ASSET_CLASSIFICATION!$U$8:$U$24,MATCH($C699,DATA_ASSET_CLASSIFICATION!$A$8:$A$24,0)),"Review"))</f>
        <v>Stable</v>
      </c>
      <c r="O699" s="350" t="str">
        <f ca="1">IF($B699="Portfolio","Portfolio",IFERROR(INDEX(DATA_ASSET_CLASSIFICATION!$AB$8:$AB$13,MATCH($N699,DATA_ASSET_CLASSIFICATION!$AA$8:$AA$13,0)),"Review"))</f>
        <v>Bucket 2 · Legacy</v>
      </c>
      <c r="P699" s="350" t="str">
        <f>IF($B699="Portfolio","Portfolio",IFERROR(INDEX(DATA_ASSET_CLASSIFICATION!$C$8:$C$24,MATCH($C699,DATA_ASSET_CLASSIFICATION!$A$8:$A$24,0)),"Review"))</f>
        <v>Yes</v>
      </c>
      <c r="Q699" s="350" t="str">
        <f t="shared" ca="1" si="21"/>
        <v>OK</v>
      </c>
    </row>
    <row r="700" spans="1:17">
      <c r="A700" s="366" t="s">
        <v>2656</v>
      </c>
      <c r="B700" s="366" t="s">
        <v>231</v>
      </c>
      <c r="C700" s="348" t="str">
        <f>DATA_PROPERTY_MASTER!$A$6</f>
        <v>BLD_AC</v>
      </c>
      <c r="D700" s="380">
        <f>'00_PORTFOLIO ROLLUP'!K$12</f>
        <v>2031</v>
      </c>
      <c r="E700" s="366" t="s">
        <v>1741</v>
      </c>
      <c r="F700" s="366" t="s">
        <v>43</v>
      </c>
      <c r="G700" s="348" t="str">
        <f>"'"&amp;$C700&amp;"'!$E$68:$Y$68"</f>
        <v>'BLD_AC'!$E$68:$Y$68</v>
      </c>
      <c r="H700" s="381">
        <f ca="1">IF(IFERROR(INDEX(DATA_PROPERTY_MASTER!$E$5:$E$21,MATCH($C700,DATA_PROPERTY_MASTER!$A$5:$A$21,0))="Yes",FALSE),IFERROR(INDEX(INDIRECT("'"&amp;$C700&amp;"'!$E$68:$Y$68"),1,MATCH($D700,INDIRECT("'"&amp;$C700&amp;"'!$E$12:$Y$12"),0)),0),0)</f>
        <v>76834.162942847732</v>
      </c>
      <c r="I700" s="366" t="s">
        <v>1731</v>
      </c>
      <c r="J700" s="348" t="str">
        <f t="shared" ca="1" si="20"/>
        <v>OK</v>
      </c>
      <c r="K700" s="366" t="s">
        <v>1746</v>
      </c>
      <c r="L700" s="366" t="s">
        <v>2264</v>
      </c>
      <c r="M700" s="350" t="str">
        <f>IF($B700="Portfolio","Portfolio",IFERROR(INDEX(DATA_ASSET_CLASSIFICATION!$B$8:$B$24,MATCH($C700,DATA_ASSET_CLASSIFICATION!$A$8:$A$24,0)),"Review"))</f>
        <v>Antkiw Court</v>
      </c>
      <c r="N700" s="350" t="str">
        <f ca="1">IF($B700="Portfolio","Portfolio",IFERROR(INDEX(DATA_ASSET_CLASSIFICATION!$U$8:$U$24,MATCH($C700,DATA_ASSET_CLASSIFICATION!$A$8:$A$24,0)),"Review"))</f>
        <v>Stable</v>
      </c>
      <c r="O700" s="350" t="str">
        <f ca="1">IF($B700="Portfolio","Portfolio",IFERROR(INDEX(DATA_ASSET_CLASSIFICATION!$AB$8:$AB$13,MATCH($N700,DATA_ASSET_CLASSIFICATION!$AA$8:$AA$13,0)),"Review"))</f>
        <v>Bucket 2 · Legacy</v>
      </c>
      <c r="P700" s="350" t="str">
        <f>IF($B700="Portfolio","Portfolio",IFERROR(INDEX(DATA_ASSET_CLASSIFICATION!$C$8:$C$24,MATCH($C700,DATA_ASSET_CLASSIFICATION!$A$8:$A$24,0)),"Review"))</f>
        <v>Yes</v>
      </c>
      <c r="Q700" s="350" t="str">
        <f t="shared" ca="1" si="21"/>
        <v>OK</v>
      </c>
    </row>
    <row r="701" spans="1:17">
      <c r="A701" s="366" t="s">
        <v>2657</v>
      </c>
      <c r="B701" s="366" t="s">
        <v>231</v>
      </c>
      <c r="C701" s="348" t="str">
        <f>DATA_PROPERTY_MASTER!$A$6</f>
        <v>BLD_AC</v>
      </c>
      <c r="D701" s="380">
        <f>'00_PORTFOLIO ROLLUP'!K$12</f>
        <v>2031</v>
      </c>
      <c r="E701" s="366" t="s">
        <v>1741</v>
      </c>
      <c r="F701" s="366" t="s">
        <v>1749</v>
      </c>
      <c r="G701" s="348" t="str">
        <f>"'"&amp;$C701&amp;"'!rows 56, 63, 68"</f>
        <v>'BLD_AC'!rows 56, 63, 68</v>
      </c>
      <c r="H701" s="381">
        <f ca="1">IF(IFERROR(INDEX(DATA_PROPERTY_MASTER!$E$5:$E$21,MATCH($C701,DATA_PROPERTY_MASTER!$A$5:$A$21,0))="Yes",FALSE),(IFERROR(INDEX(INDIRECT("'"&amp;$C701&amp;"'!$E$56:$Y$56"),1,MATCH($D701,INDIRECT("'"&amp;$C701&amp;"'!$E$12:$Y$12"),0)),0)+MAX(IFERROR(INDEX(INDIRECT("'"&amp;$C701&amp;"'!$E$63:$Y$63"),1,MATCH($D701,INDIRECT("'"&amp;$C701&amp;"'!$E$12:$Y$12"),0)),0),0))-(IFERROR(INDEX(INDIRECT("'"&amp;$C701&amp;"'!$E$68:$Y$68"),1,MATCH($D701,INDIRECT("'"&amp;$C701&amp;"'!$E$12:$Y$12"),0)),0)),0)</f>
        <v>0</v>
      </c>
      <c r="I701" s="366" t="s">
        <v>1750</v>
      </c>
      <c r="J701" s="348" t="str">
        <f t="shared" ca="1" si="20"/>
        <v>OK</v>
      </c>
      <c r="K701" s="366" t="s">
        <v>1751</v>
      </c>
      <c r="L701" s="366" t="s">
        <v>2266</v>
      </c>
      <c r="M701" s="350" t="str">
        <f>IF($B701="Portfolio","Portfolio",IFERROR(INDEX(DATA_ASSET_CLASSIFICATION!$B$8:$B$24,MATCH($C701,DATA_ASSET_CLASSIFICATION!$A$8:$A$24,0)),"Review"))</f>
        <v>Antkiw Court</v>
      </c>
      <c r="N701" s="350" t="str">
        <f ca="1">IF($B701="Portfolio","Portfolio",IFERROR(INDEX(DATA_ASSET_CLASSIFICATION!$U$8:$U$24,MATCH($C701,DATA_ASSET_CLASSIFICATION!$A$8:$A$24,0)),"Review"))</f>
        <v>Stable</v>
      </c>
      <c r="O701" s="350" t="str">
        <f ca="1">IF($B701="Portfolio","Portfolio",IFERROR(INDEX(DATA_ASSET_CLASSIFICATION!$AB$8:$AB$13,MATCH($N701,DATA_ASSET_CLASSIFICATION!$AA$8:$AA$13,0)),"Review"))</f>
        <v>Bucket 2 · Legacy</v>
      </c>
      <c r="P701" s="350" t="str">
        <f>IF($B701="Portfolio","Portfolio",IFERROR(INDEX(DATA_ASSET_CLASSIFICATION!$C$8:$C$24,MATCH($C701,DATA_ASSET_CLASSIFICATION!$A$8:$A$24,0)),"Review"))</f>
        <v>Yes</v>
      </c>
      <c r="Q701" s="350" t="str">
        <f t="shared" ca="1" si="21"/>
        <v>OK</v>
      </c>
    </row>
    <row r="702" spans="1:17">
      <c r="A702" s="366" t="s">
        <v>2658</v>
      </c>
      <c r="B702" s="366" t="s">
        <v>231</v>
      </c>
      <c r="C702" s="348" t="str">
        <f>DATA_PROPERTY_MASTER!$A$6</f>
        <v>BLD_AC</v>
      </c>
      <c r="D702" s="380">
        <f>'00_PORTFOLIO ROLLUP'!L$12</f>
        <v>2032</v>
      </c>
      <c r="E702" s="366" t="s">
        <v>1683</v>
      </c>
      <c r="F702" s="366" t="s">
        <v>341</v>
      </c>
      <c r="G702" s="348" t="str">
        <f>"'"&amp;$C702&amp;"'!$E$24:$Y$24"</f>
        <v>'BLD_AC'!$E$24:$Y$24</v>
      </c>
      <c r="H702" s="381">
        <f ca="1">IF(IFERROR(INDEX(DATA_PROPERTY_MASTER!$E$5:$E$21,MATCH($C702,DATA_PROPERTY_MASTER!$A$5:$A$21,0))="Yes",FALSE),IFERROR(INDEX(INDIRECT("'"&amp;$C702&amp;"'!$E$24:$Y$24"),1,MATCH($D702,INDIRECT("'"&amp;$C702&amp;"'!$E$12:$Y$12"),0)),0),0)</f>
        <v>444585.41118610447</v>
      </c>
      <c r="I702" s="366" t="s">
        <v>1685</v>
      </c>
      <c r="J702" s="348" t="str">
        <f t="shared" ca="1" si="20"/>
        <v>OK</v>
      </c>
      <c r="K702" s="366" t="s">
        <v>1686</v>
      </c>
      <c r="L702" s="366" t="s">
        <v>2234</v>
      </c>
      <c r="M702" s="350" t="str">
        <f>IF($B702="Portfolio","Portfolio",IFERROR(INDEX(DATA_ASSET_CLASSIFICATION!$B$8:$B$24,MATCH($C702,DATA_ASSET_CLASSIFICATION!$A$8:$A$24,0)),"Review"))</f>
        <v>Antkiw Court</v>
      </c>
      <c r="N702" s="350" t="str">
        <f ca="1">IF($B702="Portfolio","Portfolio",IFERROR(INDEX(DATA_ASSET_CLASSIFICATION!$U$8:$U$24,MATCH($C702,DATA_ASSET_CLASSIFICATION!$A$8:$A$24,0)),"Review"))</f>
        <v>Stable</v>
      </c>
      <c r="O702" s="350" t="str">
        <f ca="1">IF($B702="Portfolio","Portfolio",IFERROR(INDEX(DATA_ASSET_CLASSIFICATION!$AB$8:$AB$13,MATCH($N702,DATA_ASSET_CLASSIFICATION!$AA$8:$AA$13,0)),"Review"))</f>
        <v>Bucket 2 · Legacy</v>
      </c>
      <c r="P702" s="350" t="str">
        <f>IF($B702="Portfolio","Portfolio",IFERROR(INDEX(DATA_ASSET_CLASSIFICATION!$C$8:$C$24,MATCH($C702,DATA_ASSET_CLASSIFICATION!$A$8:$A$24,0)),"Review"))</f>
        <v>Yes</v>
      </c>
      <c r="Q702" s="350" t="str">
        <f t="shared" ca="1" si="21"/>
        <v>OK</v>
      </c>
    </row>
    <row r="703" spans="1:17">
      <c r="A703" s="366" t="s">
        <v>2659</v>
      </c>
      <c r="B703" s="366" t="s">
        <v>231</v>
      </c>
      <c r="C703" s="348" t="str">
        <f>DATA_PROPERTY_MASTER!$A$6</f>
        <v>BLD_AC</v>
      </c>
      <c r="D703" s="380">
        <f>'00_PORTFOLIO ROLLUP'!L$12</f>
        <v>2032</v>
      </c>
      <c r="E703" s="366" t="s">
        <v>1683</v>
      </c>
      <c r="F703" s="366" t="s">
        <v>355</v>
      </c>
      <c r="G703" s="348" t="str">
        <f>"'"&amp;$C703&amp;"'!$E$39:$Y$39"</f>
        <v>'BLD_AC'!$E$39:$Y$39</v>
      </c>
      <c r="H703" s="381">
        <f ca="1">IF(IFERROR(INDEX(DATA_PROPERTY_MASTER!$E$5:$E$21,MATCH($C703,DATA_PROPERTY_MASTER!$A$5:$A$21,0))="Yes",FALSE),IFERROR(INDEX(INDIRECT("'"&amp;$C703&amp;"'!$E$39:$Y$39"),1,MATCH($D703,INDIRECT("'"&amp;$C703&amp;"'!$E$12:$Y$12"),0)),0),0)</f>
        <v>198138.53206776123</v>
      </c>
      <c r="I703" s="366" t="s">
        <v>1690</v>
      </c>
      <c r="J703" s="348" t="str">
        <f t="shared" ca="1" si="20"/>
        <v>OK</v>
      </c>
      <c r="K703" s="366" t="s">
        <v>1686</v>
      </c>
      <c r="L703" s="366" t="s">
        <v>2236</v>
      </c>
      <c r="M703" s="350" t="str">
        <f>IF($B703="Portfolio","Portfolio",IFERROR(INDEX(DATA_ASSET_CLASSIFICATION!$B$8:$B$24,MATCH($C703,DATA_ASSET_CLASSIFICATION!$A$8:$A$24,0)),"Review"))</f>
        <v>Antkiw Court</v>
      </c>
      <c r="N703" s="350" t="str">
        <f ca="1">IF($B703="Portfolio","Portfolio",IFERROR(INDEX(DATA_ASSET_CLASSIFICATION!$U$8:$U$24,MATCH($C703,DATA_ASSET_CLASSIFICATION!$A$8:$A$24,0)),"Review"))</f>
        <v>Stable</v>
      </c>
      <c r="O703" s="350" t="str">
        <f ca="1">IF($B703="Portfolio","Portfolio",IFERROR(INDEX(DATA_ASSET_CLASSIFICATION!$AB$8:$AB$13,MATCH($N703,DATA_ASSET_CLASSIFICATION!$AA$8:$AA$13,0)),"Review"))</f>
        <v>Bucket 2 · Legacy</v>
      </c>
      <c r="P703" s="350" t="str">
        <f>IF($B703="Portfolio","Portfolio",IFERROR(INDEX(DATA_ASSET_CLASSIFICATION!$C$8:$C$24,MATCH($C703,DATA_ASSET_CLASSIFICATION!$A$8:$A$24,0)),"Review"))</f>
        <v>Yes</v>
      </c>
      <c r="Q703" s="350" t="str">
        <f t="shared" ca="1" si="21"/>
        <v>OK</v>
      </c>
    </row>
    <row r="704" spans="1:17">
      <c r="A704" s="366" t="s">
        <v>2660</v>
      </c>
      <c r="B704" s="366" t="s">
        <v>231</v>
      </c>
      <c r="C704" s="348" t="str">
        <f>DATA_PROPERTY_MASTER!$A$6</f>
        <v>BLD_AC</v>
      </c>
      <c r="D704" s="380">
        <f>'00_PORTFOLIO ROLLUP'!L$12</f>
        <v>2032</v>
      </c>
      <c r="E704" s="366" t="s">
        <v>1683</v>
      </c>
      <c r="F704" s="366" t="s">
        <v>19</v>
      </c>
      <c r="G704" s="348" t="str">
        <f>"'"&amp;$C704&amp;"'!$E$41:$Y$41"</f>
        <v>'BLD_AC'!$E$41:$Y$41</v>
      </c>
      <c r="H704" s="381">
        <f ca="1">IF(IFERROR(INDEX(DATA_PROPERTY_MASTER!$E$5:$E$21,MATCH($C704,DATA_PROPERTY_MASTER!$A$5:$A$21,0))="Yes",FALSE),IFERROR(INDEX(INDIRECT("'"&amp;$C704&amp;"'!$E$41:$Y$41"),1,MATCH($D704,INDIRECT("'"&amp;$C704&amp;"'!$E$12:$Y$12"),0)),0),0)</f>
        <v>246446.87911834323</v>
      </c>
      <c r="I704" s="366" t="s">
        <v>1685</v>
      </c>
      <c r="J704" s="348" t="str">
        <f t="shared" ca="1" si="20"/>
        <v>OK</v>
      </c>
      <c r="K704" s="366" t="s">
        <v>1694</v>
      </c>
      <c r="L704" s="366" t="s">
        <v>2238</v>
      </c>
      <c r="M704" s="350" t="str">
        <f>IF($B704="Portfolio","Portfolio",IFERROR(INDEX(DATA_ASSET_CLASSIFICATION!$B$8:$B$24,MATCH($C704,DATA_ASSET_CLASSIFICATION!$A$8:$A$24,0)),"Review"))</f>
        <v>Antkiw Court</v>
      </c>
      <c r="N704" s="350" t="str">
        <f ca="1">IF($B704="Portfolio","Portfolio",IFERROR(INDEX(DATA_ASSET_CLASSIFICATION!$U$8:$U$24,MATCH($C704,DATA_ASSET_CLASSIFICATION!$A$8:$A$24,0)),"Review"))</f>
        <v>Stable</v>
      </c>
      <c r="O704" s="350" t="str">
        <f ca="1">IF($B704="Portfolio","Portfolio",IFERROR(INDEX(DATA_ASSET_CLASSIFICATION!$AB$8:$AB$13,MATCH($N704,DATA_ASSET_CLASSIFICATION!$AA$8:$AA$13,0)),"Review"))</f>
        <v>Bucket 2 · Legacy</v>
      </c>
      <c r="P704" s="350" t="str">
        <f>IF($B704="Portfolio","Portfolio",IFERROR(INDEX(DATA_ASSET_CLASSIFICATION!$C$8:$C$24,MATCH($C704,DATA_ASSET_CLASSIFICATION!$A$8:$A$24,0)),"Review"))</f>
        <v>Yes</v>
      </c>
      <c r="Q704" s="350" t="str">
        <f t="shared" ca="1" si="21"/>
        <v>OK</v>
      </c>
    </row>
    <row r="705" spans="1:17">
      <c r="A705" s="366" t="s">
        <v>2661</v>
      </c>
      <c r="B705" s="366" t="s">
        <v>231</v>
      </c>
      <c r="C705" s="348" t="str">
        <f>DATA_PROPERTY_MASTER!$A$6</f>
        <v>BLD_AC</v>
      </c>
      <c r="D705" s="380">
        <f>'00_PORTFOLIO ROLLUP'!L$12</f>
        <v>2032</v>
      </c>
      <c r="E705" s="366" t="s">
        <v>1683</v>
      </c>
      <c r="F705" s="366" t="s">
        <v>1697</v>
      </c>
      <c r="G705" s="348" t="str">
        <f>"'"&amp;$C705&amp;"'!$E$44:$Y$44"</f>
        <v>'BLD_AC'!$E$44:$Y$44</v>
      </c>
      <c r="H705" s="381">
        <f ca="1">IF(IFERROR(INDEX(DATA_PROPERTY_MASTER!$E$5:$E$21,MATCH($C705,DATA_PROPERTY_MASTER!$A$5:$A$21,0))="Yes",FALSE),IFERROR(INDEX(INDIRECT("'"&amp;$C705&amp;"'!$E$44:$Y$44"),1,MATCH($D705,INDIRECT("'"&amp;$C705&amp;"'!$E$12:$Y$12"),0)),0),0)</f>
        <v>3618.3598530952313</v>
      </c>
      <c r="I705" s="366" t="s">
        <v>1690</v>
      </c>
      <c r="J705" s="348" t="str">
        <f t="shared" ca="1" si="20"/>
        <v>OK</v>
      </c>
      <c r="K705" s="366" t="s">
        <v>1699</v>
      </c>
      <c r="L705" s="366" t="s">
        <v>2240</v>
      </c>
      <c r="M705" s="350" t="str">
        <f>IF($B705="Portfolio","Portfolio",IFERROR(INDEX(DATA_ASSET_CLASSIFICATION!$B$8:$B$24,MATCH($C705,DATA_ASSET_CLASSIFICATION!$A$8:$A$24,0)),"Review"))</f>
        <v>Antkiw Court</v>
      </c>
      <c r="N705" s="350" t="str">
        <f ca="1">IF($B705="Portfolio","Portfolio",IFERROR(INDEX(DATA_ASSET_CLASSIFICATION!$U$8:$U$24,MATCH($C705,DATA_ASSET_CLASSIFICATION!$A$8:$A$24,0)),"Review"))</f>
        <v>Stable</v>
      </c>
      <c r="O705" s="350" t="str">
        <f ca="1">IF($B705="Portfolio","Portfolio",IFERROR(INDEX(DATA_ASSET_CLASSIFICATION!$AB$8:$AB$13,MATCH($N705,DATA_ASSET_CLASSIFICATION!$AA$8:$AA$13,0)),"Review"))</f>
        <v>Bucket 2 · Legacy</v>
      </c>
      <c r="P705" s="350" t="str">
        <f>IF($B705="Portfolio","Portfolio",IFERROR(INDEX(DATA_ASSET_CLASSIFICATION!$C$8:$C$24,MATCH($C705,DATA_ASSET_CLASSIFICATION!$A$8:$A$24,0)),"Review"))</f>
        <v>Yes</v>
      </c>
      <c r="Q705" s="350" t="str">
        <f t="shared" ca="1" si="21"/>
        <v>OK</v>
      </c>
    </row>
    <row r="706" spans="1:17">
      <c r="A706" s="366" t="s">
        <v>2662</v>
      </c>
      <c r="B706" s="366" t="s">
        <v>231</v>
      </c>
      <c r="C706" s="348" t="str">
        <f>DATA_PROPERTY_MASTER!$A$6</f>
        <v>BLD_AC</v>
      </c>
      <c r="D706" s="380">
        <f>'00_PORTFOLIO ROLLUP'!L$12</f>
        <v>2032</v>
      </c>
      <c r="E706" s="366" t="s">
        <v>1683</v>
      </c>
      <c r="F706" s="366" t="s">
        <v>21</v>
      </c>
      <c r="G706" s="348" t="str">
        <f>"'"&amp;$C706&amp;"'!$E$45:$Y$45"</f>
        <v>'BLD_AC'!$E$45:$Y$45</v>
      </c>
      <c r="H706" s="381">
        <f ca="1">IF(IFERROR(INDEX(DATA_PROPERTY_MASTER!$E$5:$E$21,MATCH($C706,DATA_PROPERTY_MASTER!$A$5:$A$21,0))="Yes",FALSE),IFERROR(INDEX(INDIRECT("'"&amp;$C706&amp;"'!$E$45:$Y$45"),1,MATCH($D706,INDIRECT("'"&amp;$C706&amp;"'!$E$12:$Y$12"),0)),0),0)</f>
        <v>242828.519265248</v>
      </c>
      <c r="I706" s="366" t="s">
        <v>1685</v>
      </c>
      <c r="J706" s="348" t="str">
        <f t="shared" ca="1" si="20"/>
        <v>OK</v>
      </c>
      <c r="K706" s="366" t="s">
        <v>1694</v>
      </c>
      <c r="L706" s="366" t="s">
        <v>2242</v>
      </c>
      <c r="M706" s="350" t="str">
        <f>IF($B706="Portfolio","Portfolio",IFERROR(INDEX(DATA_ASSET_CLASSIFICATION!$B$8:$B$24,MATCH($C706,DATA_ASSET_CLASSIFICATION!$A$8:$A$24,0)),"Review"))</f>
        <v>Antkiw Court</v>
      </c>
      <c r="N706" s="350" t="str">
        <f ca="1">IF($B706="Portfolio","Portfolio",IFERROR(INDEX(DATA_ASSET_CLASSIFICATION!$U$8:$U$24,MATCH($C706,DATA_ASSET_CLASSIFICATION!$A$8:$A$24,0)),"Review"))</f>
        <v>Stable</v>
      </c>
      <c r="O706" s="350" t="str">
        <f ca="1">IF($B706="Portfolio","Portfolio",IFERROR(INDEX(DATA_ASSET_CLASSIFICATION!$AB$8:$AB$13,MATCH($N706,DATA_ASSET_CLASSIFICATION!$AA$8:$AA$13,0)),"Review"))</f>
        <v>Bucket 2 · Legacy</v>
      </c>
      <c r="P706" s="350" t="str">
        <f>IF($B706="Portfolio","Portfolio",IFERROR(INDEX(DATA_ASSET_CLASSIFICATION!$C$8:$C$24,MATCH($C706,DATA_ASSET_CLASSIFICATION!$A$8:$A$24,0)),"Review"))</f>
        <v>Yes</v>
      </c>
      <c r="Q706" s="350" t="str">
        <f t="shared" ca="1" si="21"/>
        <v>OK</v>
      </c>
    </row>
    <row r="707" spans="1:17">
      <c r="A707" s="366" t="s">
        <v>2663</v>
      </c>
      <c r="B707" s="366" t="s">
        <v>231</v>
      </c>
      <c r="C707" s="348" t="str">
        <f>DATA_PROPERTY_MASTER!$A$6</f>
        <v>BLD_AC</v>
      </c>
      <c r="D707" s="380">
        <f>'00_PORTFOLIO ROLLUP'!L$12</f>
        <v>2032</v>
      </c>
      <c r="E707" s="366" t="s">
        <v>23</v>
      </c>
      <c r="F707" s="366" t="s">
        <v>23</v>
      </c>
      <c r="G707" s="348" t="str">
        <f>"'"&amp;$C707&amp;"'!$E$48:$Y$48"</f>
        <v>'BLD_AC'!$E$48:$Y$48</v>
      </c>
      <c r="H707" s="381">
        <f ca="1">IF(IFERROR(INDEX(DATA_PROPERTY_MASTER!$E$5:$E$21,MATCH($C707,DATA_PROPERTY_MASTER!$A$5:$A$21,0))="Yes",FALSE),IFERROR(INDEX(INDIRECT("'"&amp;$C707&amp;"'!$E$48:$Y$48"),1,MATCH($D707,INDIRECT("'"&amp;$C707&amp;"'!$E$12:$Y$12"),0)),0),0)</f>
        <v>54330.12</v>
      </c>
      <c r="I707" s="366" t="s">
        <v>1690</v>
      </c>
      <c r="J707" s="348" t="str">
        <f t="shared" ca="1" si="20"/>
        <v>OK</v>
      </c>
      <c r="K707" s="366" t="s">
        <v>1706</v>
      </c>
      <c r="L707" s="366" t="s">
        <v>2244</v>
      </c>
      <c r="M707" s="350" t="str">
        <f>IF($B707="Portfolio","Portfolio",IFERROR(INDEX(DATA_ASSET_CLASSIFICATION!$B$8:$B$24,MATCH($C707,DATA_ASSET_CLASSIFICATION!$A$8:$A$24,0)),"Review"))</f>
        <v>Antkiw Court</v>
      </c>
      <c r="N707" s="350" t="str">
        <f ca="1">IF($B707="Portfolio","Portfolio",IFERROR(INDEX(DATA_ASSET_CLASSIFICATION!$U$8:$U$24,MATCH($C707,DATA_ASSET_CLASSIFICATION!$A$8:$A$24,0)),"Review"))</f>
        <v>Stable</v>
      </c>
      <c r="O707" s="350" t="str">
        <f ca="1">IF($B707="Portfolio","Portfolio",IFERROR(INDEX(DATA_ASSET_CLASSIFICATION!$AB$8:$AB$13,MATCH($N707,DATA_ASSET_CLASSIFICATION!$AA$8:$AA$13,0)),"Review"))</f>
        <v>Bucket 2 · Legacy</v>
      </c>
      <c r="P707" s="350" t="str">
        <f>IF($B707="Portfolio","Portfolio",IFERROR(INDEX(DATA_ASSET_CLASSIFICATION!$C$8:$C$24,MATCH($C707,DATA_ASSET_CLASSIFICATION!$A$8:$A$24,0)),"Review"))</f>
        <v>Yes</v>
      </c>
      <c r="Q707" s="350" t="str">
        <f t="shared" ca="1" si="21"/>
        <v>OK</v>
      </c>
    </row>
    <row r="708" spans="1:17">
      <c r="A708" s="366" t="s">
        <v>2664</v>
      </c>
      <c r="B708" s="366" t="s">
        <v>231</v>
      </c>
      <c r="C708" s="348" t="str">
        <f>DATA_PROPERTY_MASTER!$A$6</f>
        <v>BLD_AC</v>
      </c>
      <c r="D708" s="380">
        <f>'00_PORTFOLIO ROLLUP'!L$12</f>
        <v>2032</v>
      </c>
      <c r="E708" s="366" t="s">
        <v>1683</v>
      </c>
      <c r="F708" s="366" t="s">
        <v>25</v>
      </c>
      <c r="G708" s="348" t="str">
        <f>"'"&amp;$C708&amp;"'!$E$52:$Y$52"</f>
        <v>'BLD_AC'!$E$52:$Y$52</v>
      </c>
      <c r="H708" s="381">
        <f ca="1">IF(IFERROR(INDEX(DATA_PROPERTY_MASTER!$E$5:$E$21,MATCH($C708,DATA_PROPERTY_MASTER!$A$5:$A$21,0))="Yes",FALSE),IFERROR(INDEX(INDIRECT("'"&amp;$C708&amp;"'!$E$52:$Y$52"),1,MATCH($D708,INDIRECT("'"&amp;$C708&amp;"'!$E$12:$Y$12"),0)),0),0)</f>
        <v>192116.75911834324</v>
      </c>
      <c r="I708" s="366" t="s">
        <v>1685</v>
      </c>
      <c r="J708" s="348" t="str">
        <f t="shared" ca="1" si="20"/>
        <v>OK</v>
      </c>
      <c r="K708" s="366" t="s">
        <v>1710</v>
      </c>
      <c r="L708" s="366" t="s">
        <v>2246</v>
      </c>
      <c r="M708" s="350" t="str">
        <f>IF($B708="Portfolio","Portfolio",IFERROR(INDEX(DATA_ASSET_CLASSIFICATION!$B$8:$B$24,MATCH($C708,DATA_ASSET_CLASSIFICATION!$A$8:$A$24,0)),"Review"))</f>
        <v>Antkiw Court</v>
      </c>
      <c r="N708" s="350" t="str">
        <f ca="1">IF($B708="Portfolio","Portfolio",IFERROR(INDEX(DATA_ASSET_CLASSIFICATION!$U$8:$U$24,MATCH($C708,DATA_ASSET_CLASSIFICATION!$A$8:$A$24,0)),"Review"))</f>
        <v>Stable</v>
      </c>
      <c r="O708" s="350" t="str">
        <f ca="1">IF($B708="Portfolio","Portfolio",IFERROR(INDEX(DATA_ASSET_CLASSIFICATION!$AB$8:$AB$13,MATCH($N708,DATA_ASSET_CLASSIFICATION!$AA$8:$AA$13,0)),"Review"))</f>
        <v>Bucket 2 · Legacy</v>
      </c>
      <c r="P708" s="350" t="str">
        <f>IF($B708="Portfolio","Portfolio",IFERROR(INDEX(DATA_ASSET_CLASSIFICATION!$C$8:$C$24,MATCH($C708,DATA_ASSET_CLASSIFICATION!$A$8:$A$24,0)),"Review"))</f>
        <v>Yes</v>
      </c>
      <c r="Q708" s="350" t="str">
        <f t="shared" ca="1" si="21"/>
        <v>OK</v>
      </c>
    </row>
    <row r="709" spans="1:17">
      <c r="A709" s="366" t="s">
        <v>2665</v>
      </c>
      <c r="B709" s="366" t="s">
        <v>231</v>
      </c>
      <c r="C709" s="348" t="str">
        <f>DATA_PROPERTY_MASTER!$A$6</f>
        <v>BLD_AC</v>
      </c>
      <c r="D709" s="380">
        <f>'00_PORTFOLIO ROLLUP'!L$12</f>
        <v>2032</v>
      </c>
      <c r="E709" s="366" t="s">
        <v>1683</v>
      </c>
      <c r="F709" s="366" t="s">
        <v>27</v>
      </c>
      <c r="G709" s="348" t="str">
        <f>"'"&amp;$C709&amp;"'!$E$54:$Y$54"</f>
        <v>'BLD_AC'!$E$54:$Y$54</v>
      </c>
      <c r="H709" s="381">
        <f ca="1">IF(IFERROR(INDEX(DATA_PROPERTY_MASTER!$E$5:$E$21,MATCH($C709,DATA_PROPERTY_MASTER!$A$5:$A$21,0))="Yes",FALSE),IFERROR(INDEX(INDIRECT("'"&amp;$C709&amp;"'!$E$54:$Y$54"),1,MATCH($D709,INDIRECT("'"&amp;$C709&amp;"'!$E$12:$Y$12"),0)),0),0)</f>
        <v>115270.05547100594</v>
      </c>
      <c r="I709" s="366" t="s">
        <v>1690</v>
      </c>
      <c r="J709" s="348" t="str">
        <f t="shared" ref="J709:J772" ca="1" si="22">IF($F709="Residual Funding Gap",IF($H709&gt;0,"Funding Gap","OK"),IF(AND($F709="Net Refinance Position",$H709&lt;0),"Negative net refi position","OK"))</f>
        <v>OK</v>
      </c>
      <c r="K709" s="366" t="s">
        <v>1714</v>
      </c>
      <c r="L709" s="366" t="s">
        <v>2248</v>
      </c>
      <c r="M709" s="350" t="str">
        <f>IF($B709="Portfolio","Portfolio",IFERROR(INDEX(DATA_ASSET_CLASSIFICATION!$B$8:$B$24,MATCH($C709,DATA_ASSET_CLASSIFICATION!$A$8:$A$24,0)),"Review"))</f>
        <v>Antkiw Court</v>
      </c>
      <c r="N709" s="350" t="str">
        <f ca="1">IF($B709="Portfolio","Portfolio",IFERROR(INDEX(DATA_ASSET_CLASSIFICATION!$U$8:$U$24,MATCH($C709,DATA_ASSET_CLASSIFICATION!$A$8:$A$24,0)),"Review"))</f>
        <v>Stable</v>
      </c>
      <c r="O709" s="350" t="str">
        <f ca="1">IF($B709="Portfolio","Portfolio",IFERROR(INDEX(DATA_ASSET_CLASSIFICATION!$AB$8:$AB$13,MATCH($N709,DATA_ASSET_CLASSIFICATION!$AA$8:$AA$13,0)),"Review"))</f>
        <v>Bucket 2 · Legacy</v>
      </c>
      <c r="P709" s="350" t="str">
        <f>IF($B709="Portfolio","Portfolio",IFERROR(INDEX(DATA_ASSET_CLASSIFICATION!$C$8:$C$24,MATCH($C709,DATA_ASSET_CLASSIFICATION!$A$8:$A$24,0)),"Review"))</f>
        <v>Yes</v>
      </c>
      <c r="Q709" s="350" t="str">
        <f t="shared" ref="Q709:Q772" ca="1" si="23">IF(AND($B709="Property",$F709="Residual Funding Gap",$H709&gt;0),"Property Funding Gap",IF($J709&lt;&gt;"OK",$J709,"OK"))</f>
        <v>OK</v>
      </c>
    </row>
    <row r="710" spans="1:17">
      <c r="A710" s="366" t="s">
        <v>2666</v>
      </c>
      <c r="B710" s="366" t="s">
        <v>231</v>
      </c>
      <c r="C710" s="348" t="str">
        <f>DATA_PROPERTY_MASTER!$A$6</f>
        <v>BLD_AC</v>
      </c>
      <c r="D710" s="380">
        <f>'00_PORTFOLIO ROLLUP'!L$12</f>
        <v>2032</v>
      </c>
      <c r="E710" s="366" t="s">
        <v>1683</v>
      </c>
      <c r="F710" s="366" t="s">
        <v>29</v>
      </c>
      <c r="G710" s="348" t="str">
        <f>"'"&amp;$C710&amp;"'!$E$56:$Y$56"</f>
        <v>'BLD_AC'!$E$56:$Y$56</v>
      </c>
      <c r="H710" s="381">
        <f ca="1">IF(IFERROR(INDEX(DATA_PROPERTY_MASTER!$E$5:$E$21,MATCH($C710,DATA_PROPERTY_MASTER!$A$5:$A$21,0))="Yes",FALSE),IFERROR(INDEX(INDIRECT("'"&amp;$C710&amp;"'!$E$56:$Y$56"),1,MATCH($D710,INDIRECT("'"&amp;$C710&amp;"'!$E$12:$Y$12"),0)),0),0)</f>
        <v>76846.703647337301</v>
      </c>
      <c r="I710" s="366" t="s">
        <v>1685</v>
      </c>
      <c r="J710" s="348" t="str">
        <f t="shared" ca="1" si="22"/>
        <v>OK</v>
      </c>
      <c r="K710" s="366" t="s">
        <v>1718</v>
      </c>
      <c r="L710" s="366" t="s">
        <v>2250</v>
      </c>
      <c r="M710" s="350" t="str">
        <f>IF($B710="Portfolio","Portfolio",IFERROR(INDEX(DATA_ASSET_CLASSIFICATION!$B$8:$B$24,MATCH($C710,DATA_ASSET_CLASSIFICATION!$A$8:$A$24,0)),"Review"))</f>
        <v>Antkiw Court</v>
      </c>
      <c r="N710" s="350" t="str">
        <f ca="1">IF($B710="Portfolio","Portfolio",IFERROR(INDEX(DATA_ASSET_CLASSIFICATION!$U$8:$U$24,MATCH($C710,DATA_ASSET_CLASSIFICATION!$A$8:$A$24,0)),"Review"))</f>
        <v>Stable</v>
      </c>
      <c r="O710" s="350" t="str">
        <f ca="1">IF($B710="Portfolio","Portfolio",IFERROR(INDEX(DATA_ASSET_CLASSIFICATION!$AB$8:$AB$13,MATCH($N710,DATA_ASSET_CLASSIFICATION!$AA$8:$AA$13,0)),"Review"))</f>
        <v>Bucket 2 · Legacy</v>
      </c>
      <c r="P710" s="350" t="str">
        <f>IF($B710="Portfolio","Portfolio",IFERROR(INDEX(DATA_ASSET_CLASSIFICATION!$C$8:$C$24,MATCH($C710,DATA_ASSET_CLASSIFICATION!$A$8:$A$24,0)),"Review"))</f>
        <v>Yes</v>
      </c>
      <c r="Q710" s="350" t="str">
        <f t="shared" ca="1" si="23"/>
        <v>OK</v>
      </c>
    </row>
    <row r="711" spans="1:17">
      <c r="A711" s="366" t="s">
        <v>2667</v>
      </c>
      <c r="B711" s="366" t="s">
        <v>231</v>
      </c>
      <c r="C711" s="348" t="str">
        <f>DATA_PROPERTY_MASTER!$A$6</f>
        <v>BLD_AC</v>
      </c>
      <c r="D711" s="380">
        <f>'00_PORTFOLIO ROLLUP'!L$12</f>
        <v>2032</v>
      </c>
      <c r="E711" s="366" t="s">
        <v>1721</v>
      </c>
      <c r="F711" s="366" t="s">
        <v>31</v>
      </c>
      <c r="G711" s="348" t="str">
        <f>"'"&amp;$C711&amp;"'!$E$61:$Y$61"</f>
        <v>'BLD_AC'!$E$61:$Y$61</v>
      </c>
      <c r="H711" s="381">
        <f ca="1">IF(IFERROR(INDEX(DATA_PROPERTY_MASTER!$E$5:$E$21,MATCH($C711,DATA_PROPERTY_MASTER!$A$5:$A$21,0))="Yes",FALSE),IFERROR(INDEX(INDIRECT("'"&amp;$C711&amp;"'!$E$61:$Y$61"),1,MATCH($D711,INDIRECT("'"&amp;$C711&amp;"'!$E$12:$Y$12"),0)),0),0)</f>
        <v>0</v>
      </c>
      <c r="I711" s="366" t="s">
        <v>1690</v>
      </c>
      <c r="J711" s="348" t="str">
        <f t="shared" ca="1" si="22"/>
        <v>OK</v>
      </c>
      <c r="K711" s="366" t="s">
        <v>1723</v>
      </c>
      <c r="L711" s="366" t="s">
        <v>2252</v>
      </c>
      <c r="M711" s="350" t="str">
        <f>IF($B711="Portfolio","Portfolio",IFERROR(INDEX(DATA_ASSET_CLASSIFICATION!$B$8:$B$24,MATCH($C711,DATA_ASSET_CLASSIFICATION!$A$8:$A$24,0)),"Review"))</f>
        <v>Antkiw Court</v>
      </c>
      <c r="N711" s="350" t="str">
        <f ca="1">IF($B711="Portfolio","Portfolio",IFERROR(INDEX(DATA_ASSET_CLASSIFICATION!$U$8:$U$24,MATCH($C711,DATA_ASSET_CLASSIFICATION!$A$8:$A$24,0)),"Review"))</f>
        <v>Stable</v>
      </c>
      <c r="O711" s="350" t="str">
        <f ca="1">IF($B711="Portfolio","Portfolio",IFERROR(INDEX(DATA_ASSET_CLASSIFICATION!$AB$8:$AB$13,MATCH($N711,DATA_ASSET_CLASSIFICATION!$AA$8:$AA$13,0)),"Review"))</f>
        <v>Bucket 2 · Legacy</v>
      </c>
      <c r="P711" s="350" t="str">
        <f>IF($B711="Portfolio","Portfolio",IFERROR(INDEX(DATA_ASSET_CLASSIFICATION!$C$8:$C$24,MATCH($C711,DATA_ASSET_CLASSIFICATION!$A$8:$A$24,0)),"Review"))</f>
        <v>Yes</v>
      </c>
      <c r="Q711" s="350" t="str">
        <f t="shared" ca="1" si="23"/>
        <v>OK</v>
      </c>
    </row>
    <row r="712" spans="1:17">
      <c r="A712" s="366" t="s">
        <v>2668</v>
      </c>
      <c r="B712" s="366" t="s">
        <v>231</v>
      </c>
      <c r="C712" s="348" t="str">
        <f>DATA_PROPERTY_MASTER!$A$6</f>
        <v>BLD_AC</v>
      </c>
      <c r="D712" s="380">
        <f>'00_PORTFOLIO ROLLUP'!L$12</f>
        <v>2032</v>
      </c>
      <c r="E712" s="366" t="s">
        <v>1721</v>
      </c>
      <c r="F712" s="366" t="s">
        <v>33</v>
      </c>
      <c r="G712" s="348" t="str">
        <f>"'"&amp;$C712&amp;"'!$E$62:$Y$62"</f>
        <v>'BLD_AC'!$E$62:$Y$62</v>
      </c>
      <c r="H712" s="381">
        <f ca="1">IF(IFERROR(INDEX(DATA_PROPERTY_MASTER!$E$5:$E$21,MATCH($C712,DATA_PROPERTY_MASTER!$A$5:$A$21,0))="Yes",FALSE),IFERROR(INDEX(INDIRECT("'"&amp;$C712&amp;"'!$E$62:$Y$62"),1,MATCH($D712,INDIRECT("'"&amp;$C712&amp;"'!$E$12:$Y$12"),0)),0),0)</f>
        <v>0</v>
      </c>
      <c r="I712" s="366" t="s">
        <v>1685</v>
      </c>
      <c r="J712" s="348" t="str">
        <f t="shared" ca="1" si="22"/>
        <v>OK</v>
      </c>
      <c r="K712" s="366" t="s">
        <v>1727</v>
      </c>
      <c r="L712" s="366" t="s">
        <v>2254</v>
      </c>
      <c r="M712" s="350" t="str">
        <f>IF($B712="Portfolio","Portfolio",IFERROR(INDEX(DATA_ASSET_CLASSIFICATION!$B$8:$B$24,MATCH($C712,DATA_ASSET_CLASSIFICATION!$A$8:$A$24,0)),"Review"))</f>
        <v>Antkiw Court</v>
      </c>
      <c r="N712" s="350" t="str">
        <f ca="1">IF($B712="Portfolio","Portfolio",IFERROR(INDEX(DATA_ASSET_CLASSIFICATION!$U$8:$U$24,MATCH($C712,DATA_ASSET_CLASSIFICATION!$A$8:$A$24,0)),"Review"))</f>
        <v>Stable</v>
      </c>
      <c r="O712" s="350" t="str">
        <f ca="1">IF($B712="Portfolio","Portfolio",IFERROR(INDEX(DATA_ASSET_CLASSIFICATION!$AB$8:$AB$13,MATCH($N712,DATA_ASSET_CLASSIFICATION!$AA$8:$AA$13,0)),"Review"))</f>
        <v>Bucket 2 · Legacy</v>
      </c>
      <c r="P712" s="350" t="str">
        <f>IF($B712="Portfolio","Portfolio",IFERROR(INDEX(DATA_ASSET_CLASSIFICATION!$C$8:$C$24,MATCH($C712,DATA_ASSET_CLASSIFICATION!$A$8:$A$24,0)),"Review"))</f>
        <v>Yes</v>
      </c>
      <c r="Q712" s="350" t="str">
        <f t="shared" ca="1" si="23"/>
        <v>OK</v>
      </c>
    </row>
    <row r="713" spans="1:17">
      <c r="A713" s="366" t="s">
        <v>2669</v>
      </c>
      <c r="B713" s="366" t="s">
        <v>231</v>
      </c>
      <c r="C713" s="348" t="str">
        <f>DATA_PROPERTY_MASTER!$A$6</f>
        <v>BLD_AC</v>
      </c>
      <c r="D713" s="380">
        <f>'00_PORTFOLIO ROLLUP'!L$12</f>
        <v>2032</v>
      </c>
      <c r="E713" s="366" t="s">
        <v>1721</v>
      </c>
      <c r="F713" s="366" t="s">
        <v>35</v>
      </c>
      <c r="G713" s="348" t="str">
        <f>"'"&amp;$C713&amp;"'!$E$63:$Y$63"</f>
        <v>'BLD_AC'!$E$63:$Y$63</v>
      </c>
      <c r="H713" s="381">
        <f ca="1">IF(IFERROR(INDEX(DATA_PROPERTY_MASTER!$E$5:$E$21,MATCH($C713,DATA_PROPERTY_MASTER!$A$5:$A$21,0))="Yes",FALSE),IFERROR(INDEX(INDIRECT("'"&amp;$C713&amp;"'!$E$63:$Y$63"),1,MATCH($D713,INDIRECT("'"&amp;$C713&amp;"'!$E$12:$Y$12"),0)),0),0)</f>
        <v>0</v>
      </c>
      <c r="I713" s="366" t="s">
        <v>1731</v>
      </c>
      <c r="J713" s="348" t="str">
        <f t="shared" ca="1" si="22"/>
        <v>OK</v>
      </c>
      <c r="K713" s="366" t="s">
        <v>1732</v>
      </c>
      <c r="L713" s="366" t="s">
        <v>2256</v>
      </c>
      <c r="M713" s="350" t="str">
        <f>IF($B713="Portfolio","Portfolio",IFERROR(INDEX(DATA_ASSET_CLASSIFICATION!$B$8:$B$24,MATCH($C713,DATA_ASSET_CLASSIFICATION!$A$8:$A$24,0)),"Review"))</f>
        <v>Antkiw Court</v>
      </c>
      <c r="N713" s="350" t="str">
        <f ca="1">IF($B713="Portfolio","Portfolio",IFERROR(INDEX(DATA_ASSET_CLASSIFICATION!$U$8:$U$24,MATCH($C713,DATA_ASSET_CLASSIFICATION!$A$8:$A$24,0)),"Review"))</f>
        <v>Stable</v>
      </c>
      <c r="O713" s="350" t="str">
        <f ca="1">IF($B713="Portfolio","Portfolio",IFERROR(INDEX(DATA_ASSET_CLASSIFICATION!$AB$8:$AB$13,MATCH($N713,DATA_ASSET_CLASSIFICATION!$AA$8:$AA$13,0)),"Review"))</f>
        <v>Bucket 2 · Legacy</v>
      </c>
      <c r="P713" s="350" t="str">
        <f>IF($B713="Portfolio","Portfolio",IFERROR(INDEX(DATA_ASSET_CLASSIFICATION!$C$8:$C$24,MATCH($C713,DATA_ASSET_CLASSIFICATION!$A$8:$A$24,0)),"Review"))</f>
        <v>Yes</v>
      </c>
      <c r="Q713" s="350" t="str">
        <f t="shared" ca="1" si="23"/>
        <v>OK</v>
      </c>
    </row>
    <row r="714" spans="1:17">
      <c r="A714" s="366" t="s">
        <v>2670</v>
      </c>
      <c r="B714" s="366" t="s">
        <v>231</v>
      </c>
      <c r="C714" s="348" t="str">
        <f>DATA_PROPERTY_MASTER!$A$6</f>
        <v>BLD_AC</v>
      </c>
      <c r="D714" s="380">
        <f>'00_PORTFOLIO ROLLUP'!L$12</f>
        <v>2032</v>
      </c>
      <c r="E714" s="366" t="s">
        <v>1721</v>
      </c>
      <c r="F714" s="366" t="s">
        <v>37</v>
      </c>
      <c r="G714" s="348" t="str">
        <f>"'"&amp;$C714&amp;"'!$E$63:$Y$63"</f>
        <v>'BLD_AC'!$E$63:$Y$63</v>
      </c>
      <c r="H714" s="381">
        <f ca="1">IF(IFERROR(INDEX(DATA_PROPERTY_MASTER!$E$5:$E$21,MATCH($C714,DATA_PROPERTY_MASTER!$A$5:$A$21,0))="Yes",FALSE),MAX(IFERROR(INDEX(INDIRECT("'"&amp;$C714&amp;"'!$E$63:$Y$63"),1,MATCH($D714,INDIRECT("'"&amp;$C714&amp;"'!$E$12:$Y$12"),0)),0),0),0)</f>
        <v>0</v>
      </c>
      <c r="I714" s="366" t="s">
        <v>1685</v>
      </c>
      <c r="J714" s="348" t="str">
        <f t="shared" ca="1" si="22"/>
        <v>OK</v>
      </c>
      <c r="K714" s="366" t="s">
        <v>1735</v>
      </c>
      <c r="L714" s="366" t="s">
        <v>2258</v>
      </c>
      <c r="M714" s="350" t="str">
        <f>IF($B714="Portfolio","Portfolio",IFERROR(INDEX(DATA_ASSET_CLASSIFICATION!$B$8:$B$24,MATCH($C714,DATA_ASSET_CLASSIFICATION!$A$8:$A$24,0)),"Review"))</f>
        <v>Antkiw Court</v>
      </c>
      <c r="N714" s="350" t="str">
        <f ca="1">IF($B714="Portfolio","Portfolio",IFERROR(INDEX(DATA_ASSET_CLASSIFICATION!$U$8:$U$24,MATCH($C714,DATA_ASSET_CLASSIFICATION!$A$8:$A$24,0)),"Review"))</f>
        <v>Stable</v>
      </c>
      <c r="O714" s="350" t="str">
        <f ca="1">IF($B714="Portfolio","Portfolio",IFERROR(INDEX(DATA_ASSET_CLASSIFICATION!$AB$8:$AB$13,MATCH($N714,DATA_ASSET_CLASSIFICATION!$AA$8:$AA$13,0)),"Review"))</f>
        <v>Bucket 2 · Legacy</v>
      </c>
      <c r="P714" s="350" t="str">
        <f>IF($B714="Portfolio","Portfolio",IFERROR(INDEX(DATA_ASSET_CLASSIFICATION!$C$8:$C$24,MATCH($C714,DATA_ASSET_CLASSIFICATION!$A$8:$A$24,0)),"Review"))</f>
        <v>Yes</v>
      </c>
      <c r="Q714" s="350" t="str">
        <f t="shared" ca="1" si="23"/>
        <v>OK</v>
      </c>
    </row>
    <row r="715" spans="1:17">
      <c r="A715" s="366" t="s">
        <v>2671</v>
      </c>
      <c r="B715" s="366" t="s">
        <v>231</v>
      </c>
      <c r="C715" s="348" t="str">
        <f>DATA_PROPERTY_MASTER!$A$6</f>
        <v>BLD_AC</v>
      </c>
      <c r="D715" s="380">
        <f>'00_PORTFOLIO ROLLUP'!L$12</f>
        <v>2032</v>
      </c>
      <c r="E715" s="366" t="s">
        <v>1721</v>
      </c>
      <c r="F715" s="366" t="s">
        <v>39</v>
      </c>
      <c r="G715" s="348" t="str">
        <f>"'"&amp;$C715&amp;"'!$E$63:$Y$63"</f>
        <v>'BLD_AC'!$E$63:$Y$63</v>
      </c>
      <c r="H715" s="381">
        <f ca="1">IF(IFERROR(INDEX(DATA_PROPERTY_MASTER!$E$5:$E$21,MATCH($C715,DATA_PROPERTY_MASTER!$A$5:$A$21,0))="Yes",FALSE),MAX(-IFERROR(INDEX(INDIRECT("'"&amp;$C715&amp;"'!$E$63:$Y$63"),1,MATCH($D715,INDIRECT("'"&amp;$C715&amp;"'!$E$12:$Y$12"),0)),0),0),0)</f>
        <v>0</v>
      </c>
      <c r="I715" s="366" t="s">
        <v>1690</v>
      </c>
      <c r="J715" s="348" t="str">
        <f t="shared" ca="1" si="22"/>
        <v>OK</v>
      </c>
      <c r="K715" s="366" t="s">
        <v>1738</v>
      </c>
      <c r="L715" s="366" t="s">
        <v>2260</v>
      </c>
      <c r="M715" s="350" t="str">
        <f>IF($B715="Portfolio","Portfolio",IFERROR(INDEX(DATA_ASSET_CLASSIFICATION!$B$8:$B$24,MATCH($C715,DATA_ASSET_CLASSIFICATION!$A$8:$A$24,0)),"Review"))</f>
        <v>Antkiw Court</v>
      </c>
      <c r="N715" s="350" t="str">
        <f ca="1">IF($B715="Portfolio","Portfolio",IFERROR(INDEX(DATA_ASSET_CLASSIFICATION!$U$8:$U$24,MATCH($C715,DATA_ASSET_CLASSIFICATION!$A$8:$A$24,0)),"Review"))</f>
        <v>Stable</v>
      </c>
      <c r="O715" s="350" t="str">
        <f ca="1">IF($B715="Portfolio","Portfolio",IFERROR(INDEX(DATA_ASSET_CLASSIFICATION!$AB$8:$AB$13,MATCH($N715,DATA_ASSET_CLASSIFICATION!$AA$8:$AA$13,0)),"Review"))</f>
        <v>Bucket 2 · Legacy</v>
      </c>
      <c r="P715" s="350" t="str">
        <f>IF($B715="Portfolio","Portfolio",IFERROR(INDEX(DATA_ASSET_CLASSIFICATION!$C$8:$C$24,MATCH($C715,DATA_ASSET_CLASSIFICATION!$A$8:$A$24,0)),"Review"))</f>
        <v>Yes</v>
      </c>
      <c r="Q715" s="350" t="str">
        <f t="shared" ca="1" si="23"/>
        <v>OK</v>
      </c>
    </row>
    <row r="716" spans="1:17">
      <c r="A716" s="366" t="s">
        <v>2672</v>
      </c>
      <c r="B716" s="366" t="s">
        <v>231</v>
      </c>
      <c r="C716" s="348" t="str">
        <f>DATA_PROPERTY_MASTER!$A$6</f>
        <v>BLD_AC</v>
      </c>
      <c r="D716" s="380">
        <f>'00_PORTFOLIO ROLLUP'!L$12</f>
        <v>2032</v>
      </c>
      <c r="E716" s="366" t="s">
        <v>1741</v>
      </c>
      <c r="F716" s="366" t="s">
        <v>41</v>
      </c>
      <c r="G716" s="348" t="str">
        <f>"'"&amp;$C716&amp;"'!rows 56 + positive row 63"</f>
        <v>'BLD_AC'!rows 56 + positive row 63</v>
      </c>
      <c r="H716" s="381">
        <f ca="1">IF(IFERROR(INDEX(DATA_PROPERTY_MASTER!$E$5:$E$21,MATCH($C716,DATA_PROPERTY_MASTER!$A$5:$A$21,0))="Yes",FALSE),IFERROR(INDEX(INDIRECT("'"&amp;$C716&amp;"'!$E$56:$Y$56"),1,MATCH($D716,INDIRECT("'"&amp;$C716&amp;"'!$E$12:$Y$12"),0)),0)+MAX(IFERROR(INDEX(INDIRECT("'"&amp;$C716&amp;"'!$E$63:$Y$63"),1,MATCH($D716,INDIRECT("'"&amp;$C716&amp;"'!$E$12:$Y$12"),0)),0),0),0)</f>
        <v>76846.703647337301</v>
      </c>
      <c r="I716" s="366" t="s">
        <v>1685</v>
      </c>
      <c r="J716" s="348" t="str">
        <f t="shared" ca="1" si="22"/>
        <v>OK</v>
      </c>
      <c r="K716" s="366" t="s">
        <v>1742</v>
      </c>
      <c r="L716" s="366" t="s">
        <v>2262</v>
      </c>
      <c r="M716" s="350" t="str">
        <f>IF($B716="Portfolio","Portfolio",IFERROR(INDEX(DATA_ASSET_CLASSIFICATION!$B$8:$B$24,MATCH($C716,DATA_ASSET_CLASSIFICATION!$A$8:$A$24,0)),"Review"))</f>
        <v>Antkiw Court</v>
      </c>
      <c r="N716" s="350" t="str">
        <f ca="1">IF($B716="Portfolio","Portfolio",IFERROR(INDEX(DATA_ASSET_CLASSIFICATION!$U$8:$U$24,MATCH($C716,DATA_ASSET_CLASSIFICATION!$A$8:$A$24,0)),"Review"))</f>
        <v>Stable</v>
      </c>
      <c r="O716" s="350" t="str">
        <f ca="1">IF($B716="Portfolio","Portfolio",IFERROR(INDEX(DATA_ASSET_CLASSIFICATION!$AB$8:$AB$13,MATCH($N716,DATA_ASSET_CLASSIFICATION!$AA$8:$AA$13,0)),"Review"))</f>
        <v>Bucket 2 · Legacy</v>
      </c>
      <c r="P716" s="350" t="str">
        <f>IF($B716="Portfolio","Portfolio",IFERROR(INDEX(DATA_ASSET_CLASSIFICATION!$C$8:$C$24,MATCH($C716,DATA_ASSET_CLASSIFICATION!$A$8:$A$24,0)),"Review"))</f>
        <v>Yes</v>
      </c>
      <c r="Q716" s="350" t="str">
        <f t="shared" ca="1" si="23"/>
        <v>OK</v>
      </c>
    </row>
    <row r="717" spans="1:17">
      <c r="A717" s="366" t="s">
        <v>2673</v>
      </c>
      <c r="B717" s="366" t="s">
        <v>231</v>
      </c>
      <c r="C717" s="348" t="str">
        <f>DATA_PROPERTY_MASTER!$A$6</f>
        <v>BLD_AC</v>
      </c>
      <c r="D717" s="380">
        <f>'00_PORTFOLIO ROLLUP'!L$12</f>
        <v>2032</v>
      </c>
      <c r="E717" s="366" t="s">
        <v>1741</v>
      </c>
      <c r="F717" s="366" t="s">
        <v>43</v>
      </c>
      <c r="G717" s="348" t="str">
        <f>"'"&amp;$C717&amp;"'!$E$68:$Y$68"</f>
        <v>'BLD_AC'!$E$68:$Y$68</v>
      </c>
      <c r="H717" s="381">
        <f ca="1">IF(IFERROR(INDEX(DATA_PROPERTY_MASTER!$E$5:$E$21,MATCH($C717,DATA_PROPERTY_MASTER!$A$5:$A$21,0))="Yes",FALSE),IFERROR(INDEX(INDIRECT("'"&amp;$C717&amp;"'!$E$68:$Y$68"),1,MATCH($D717,INDIRECT("'"&amp;$C717&amp;"'!$E$12:$Y$12"),0)),0),0)</f>
        <v>76846.703647337301</v>
      </c>
      <c r="I717" s="366" t="s">
        <v>1731</v>
      </c>
      <c r="J717" s="348" t="str">
        <f t="shared" ca="1" si="22"/>
        <v>OK</v>
      </c>
      <c r="K717" s="366" t="s">
        <v>1746</v>
      </c>
      <c r="L717" s="366" t="s">
        <v>2264</v>
      </c>
      <c r="M717" s="350" t="str">
        <f>IF($B717="Portfolio","Portfolio",IFERROR(INDEX(DATA_ASSET_CLASSIFICATION!$B$8:$B$24,MATCH($C717,DATA_ASSET_CLASSIFICATION!$A$8:$A$24,0)),"Review"))</f>
        <v>Antkiw Court</v>
      </c>
      <c r="N717" s="350" t="str">
        <f ca="1">IF($B717="Portfolio","Portfolio",IFERROR(INDEX(DATA_ASSET_CLASSIFICATION!$U$8:$U$24,MATCH($C717,DATA_ASSET_CLASSIFICATION!$A$8:$A$24,0)),"Review"))</f>
        <v>Stable</v>
      </c>
      <c r="O717" s="350" t="str">
        <f ca="1">IF($B717="Portfolio","Portfolio",IFERROR(INDEX(DATA_ASSET_CLASSIFICATION!$AB$8:$AB$13,MATCH($N717,DATA_ASSET_CLASSIFICATION!$AA$8:$AA$13,0)),"Review"))</f>
        <v>Bucket 2 · Legacy</v>
      </c>
      <c r="P717" s="350" t="str">
        <f>IF($B717="Portfolio","Portfolio",IFERROR(INDEX(DATA_ASSET_CLASSIFICATION!$C$8:$C$24,MATCH($C717,DATA_ASSET_CLASSIFICATION!$A$8:$A$24,0)),"Review"))</f>
        <v>Yes</v>
      </c>
      <c r="Q717" s="350" t="str">
        <f t="shared" ca="1" si="23"/>
        <v>OK</v>
      </c>
    </row>
    <row r="718" spans="1:17">
      <c r="A718" s="366" t="s">
        <v>2674</v>
      </c>
      <c r="B718" s="366" t="s">
        <v>231</v>
      </c>
      <c r="C718" s="348" t="str">
        <f>DATA_PROPERTY_MASTER!$A$6</f>
        <v>BLD_AC</v>
      </c>
      <c r="D718" s="380">
        <f>'00_PORTFOLIO ROLLUP'!L$12</f>
        <v>2032</v>
      </c>
      <c r="E718" s="366" t="s">
        <v>1741</v>
      </c>
      <c r="F718" s="366" t="s">
        <v>1749</v>
      </c>
      <c r="G718" s="348" t="str">
        <f>"'"&amp;$C718&amp;"'!rows 56, 63, 68"</f>
        <v>'BLD_AC'!rows 56, 63, 68</v>
      </c>
      <c r="H718" s="381">
        <f ca="1">IF(IFERROR(INDEX(DATA_PROPERTY_MASTER!$E$5:$E$21,MATCH($C718,DATA_PROPERTY_MASTER!$A$5:$A$21,0))="Yes",FALSE),(IFERROR(INDEX(INDIRECT("'"&amp;$C718&amp;"'!$E$56:$Y$56"),1,MATCH($D718,INDIRECT("'"&amp;$C718&amp;"'!$E$12:$Y$12"),0)),0)+MAX(IFERROR(INDEX(INDIRECT("'"&amp;$C718&amp;"'!$E$63:$Y$63"),1,MATCH($D718,INDIRECT("'"&amp;$C718&amp;"'!$E$12:$Y$12"),0)),0),0))-(IFERROR(INDEX(INDIRECT("'"&amp;$C718&amp;"'!$E$68:$Y$68"),1,MATCH($D718,INDIRECT("'"&amp;$C718&amp;"'!$E$12:$Y$12"),0)),0)),0)</f>
        <v>0</v>
      </c>
      <c r="I718" s="366" t="s">
        <v>1750</v>
      </c>
      <c r="J718" s="348" t="str">
        <f t="shared" ca="1" si="22"/>
        <v>OK</v>
      </c>
      <c r="K718" s="366" t="s">
        <v>1751</v>
      </c>
      <c r="L718" s="366" t="s">
        <v>2266</v>
      </c>
      <c r="M718" s="350" t="str">
        <f>IF($B718="Portfolio","Portfolio",IFERROR(INDEX(DATA_ASSET_CLASSIFICATION!$B$8:$B$24,MATCH($C718,DATA_ASSET_CLASSIFICATION!$A$8:$A$24,0)),"Review"))</f>
        <v>Antkiw Court</v>
      </c>
      <c r="N718" s="350" t="str">
        <f ca="1">IF($B718="Portfolio","Portfolio",IFERROR(INDEX(DATA_ASSET_CLASSIFICATION!$U$8:$U$24,MATCH($C718,DATA_ASSET_CLASSIFICATION!$A$8:$A$24,0)),"Review"))</f>
        <v>Stable</v>
      </c>
      <c r="O718" s="350" t="str">
        <f ca="1">IF($B718="Portfolio","Portfolio",IFERROR(INDEX(DATA_ASSET_CLASSIFICATION!$AB$8:$AB$13,MATCH($N718,DATA_ASSET_CLASSIFICATION!$AA$8:$AA$13,0)),"Review"))</f>
        <v>Bucket 2 · Legacy</v>
      </c>
      <c r="P718" s="350" t="str">
        <f>IF($B718="Portfolio","Portfolio",IFERROR(INDEX(DATA_ASSET_CLASSIFICATION!$C$8:$C$24,MATCH($C718,DATA_ASSET_CLASSIFICATION!$A$8:$A$24,0)),"Review"))</f>
        <v>Yes</v>
      </c>
      <c r="Q718" s="350" t="str">
        <f t="shared" ca="1" si="23"/>
        <v>OK</v>
      </c>
    </row>
    <row r="719" spans="1:17">
      <c r="A719" s="366" t="s">
        <v>2675</v>
      </c>
      <c r="B719" s="366" t="s">
        <v>231</v>
      </c>
      <c r="C719" s="348" t="str">
        <f>DATA_PROPERTY_MASTER!$A$6</f>
        <v>BLD_AC</v>
      </c>
      <c r="D719" s="380">
        <f>'00_PORTFOLIO ROLLUP'!M$12</f>
        <v>2033</v>
      </c>
      <c r="E719" s="366" t="s">
        <v>1683</v>
      </c>
      <c r="F719" s="366" t="s">
        <v>341</v>
      </c>
      <c r="G719" s="348" t="str">
        <f>"'"&amp;$C719&amp;"'!$E$24:$Y$24"</f>
        <v>'BLD_AC'!$E$24:$Y$24</v>
      </c>
      <c r="H719" s="381">
        <f ca="1">IF(IFERROR(INDEX(DATA_PROPERTY_MASTER!$E$5:$E$21,MATCH($C719,DATA_PROPERTY_MASTER!$A$5:$A$21,0))="Yes",FALSE),IFERROR(INDEX(INDIRECT("'"&amp;$C719&amp;"'!$E$24:$Y$24"),1,MATCH($D719,INDIRECT("'"&amp;$C719&amp;"'!$E$12:$Y$12"),0)),0),0)</f>
        <v>452390.51700982655</v>
      </c>
      <c r="I719" s="366" t="s">
        <v>1685</v>
      </c>
      <c r="J719" s="348" t="str">
        <f t="shared" ca="1" si="22"/>
        <v>OK</v>
      </c>
      <c r="K719" s="366" t="s">
        <v>1686</v>
      </c>
      <c r="L719" s="366" t="s">
        <v>2234</v>
      </c>
      <c r="M719" s="350" t="str">
        <f>IF($B719="Portfolio","Portfolio",IFERROR(INDEX(DATA_ASSET_CLASSIFICATION!$B$8:$B$24,MATCH($C719,DATA_ASSET_CLASSIFICATION!$A$8:$A$24,0)),"Review"))</f>
        <v>Antkiw Court</v>
      </c>
      <c r="N719" s="350" t="str">
        <f ca="1">IF($B719="Portfolio","Portfolio",IFERROR(INDEX(DATA_ASSET_CLASSIFICATION!$U$8:$U$24,MATCH($C719,DATA_ASSET_CLASSIFICATION!$A$8:$A$24,0)),"Review"))</f>
        <v>Stable</v>
      </c>
      <c r="O719" s="350" t="str">
        <f ca="1">IF($B719="Portfolio","Portfolio",IFERROR(INDEX(DATA_ASSET_CLASSIFICATION!$AB$8:$AB$13,MATCH($N719,DATA_ASSET_CLASSIFICATION!$AA$8:$AA$13,0)),"Review"))</f>
        <v>Bucket 2 · Legacy</v>
      </c>
      <c r="P719" s="350" t="str">
        <f>IF($B719="Portfolio","Portfolio",IFERROR(INDEX(DATA_ASSET_CLASSIFICATION!$C$8:$C$24,MATCH($C719,DATA_ASSET_CLASSIFICATION!$A$8:$A$24,0)),"Review"))</f>
        <v>Yes</v>
      </c>
      <c r="Q719" s="350" t="str">
        <f t="shared" ca="1" si="23"/>
        <v>OK</v>
      </c>
    </row>
    <row r="720" spans="1:17">
      <c r="A720" s="366" t="s">
        <v>2676</v>
      </c>
      <c r="B720" s="366" t="s">
        <v>231</v>
      </c>
      <c r="C720" s="348" t="str">
        <f>DATA_PROPERTY_MASTER!$A$6</f>
        <v>BLD_AC</v>
      </c>
      <c r="D720" s="380">
        <f>'00_PORTFOLIO ROLLUP'!M$12</f>
        <v>2033</v>
      </c>
      <c r="E720" s="366" t="s">
        <v>1683</v>
      </c>
      <c r="F720" s="366" t="s">
        <v>355</v>
      </c>
      <c r="G720" s="348" t="str">
        <f>"'"&amp;$C720&amp;"'!$E$39:$Y$39"</f>
        <v>'BLD_AC'!$E$39:$Y$39</v>
      </c>
      <c r="H720" s="381">
        <f ca="1">IF(IFERROR(INDEX(DATA_PROPERTY_MASTER!$E$5:$E$21,MATCH($C720,DATA_PROPERTY_MASTER!$A$5:$A$21,0))="Yes",FALSE),IFERROR(INDEX(INDIRECT("'"&amp;$C720&amp;"'!$E$39:$Y$39"),1,MATCH($D720,INDIRECT("'"&amp;$C720&amp;"'!$E$12:$Y$12"),0)),0),0)</f>
        <v>206064.07335047171</v>
      </c>
      <c r="I720" s="366" t="s">
        <v>1690</v>
      </c>
      <c r="J720" s="348" t="str">
        <f t="shared" ca="1" si="22"/>
        <v>OK</v>
      </c>
      <c r="K720" s="366" t="s">
        <v>1686</v>
      </c>
      <c r="L720" s="366" t="s">
        <v>2236</v>
      </c>
      <c r="M720" s="350" t="str">
        <f>IF($B720="Portfolio","Portfolio",IFERROR(INDEX(DATA_ASSET_CLASSIFICATION!$B$8:$B$24,MATCH($C720,DATA_ASSET_CLASSIFICATION!$A$8:$A$24,0)),"Review"))</f>
        <v>Antkiw Court</v>
      </c>
      <c r="N720" s="350" t="str">
        <f ca="1">IF($B720="Portfolio","Portfolio",IFERROR(INDEX(DATA_ASSET_CLASSIFICATION!$U$8:$U$24,MATCH($C720,DATA_ASSET_CLASSIFICATION!$A$8:$A$24,0)),"Review"))</f>
        <v>Stable</v>
      </c>
      <c r="O720" s="350" t="str">
        <f ca="1">IF($B720="Portfolio","Portfolio",IFERROR(INDEX(DATA_ASSET_CLASSIFICATION!$AB$8:$AB$13,MATCH($N720,DATA_ASSET_CLASSIFICATION!$AA$8:$AA$13,0)),"Review"))</f>
        <v>Bucket 2 · Legacy</v>
      </c>
      <c r="P720" s="350" t="str">
        <f>IF($B720="Portfolio","Portfolio",IFERROR(INDEX(DATA_ASSET_CLASSIFICATION!$C$8:$C$24,MATCH($C720,DATA_ASSET_CLASSIFICATION!$A$8:$A$24,0)),"Review"))</f>
        <v>Yes</v>
      </c>
      <c r="Q720" s="350" t="str">
        <f t="shared" ca="1" si="23"/>
        <v>OK</v>
      </c>
    </row>
    <row r="721" spans="1:17">
      <c r="A721" s="366" t="s">
        <v>2677</v>
      </c>
      <c r="B721" s="366" t="s">
        <v>231</v>
      </c>
      <c r="C721" s="348" t="str">
        <f>DATA_PROPERTY_MASTER!$A$6</f>
        <v>BLD_AC</v>
      </c>
      <c r="D721" s="380">
        <f>'00_PORTFOLIO ROLLUP'!M$12</f>
        <v>2033</v>
      </c>
      <c r="E721" s="366" t="s">
        <v>1683</v>
      </c>
      <c r="F721" s="366" t="s">
        <v>19</v>
      </c>
      <c r="G721" s="348" t="str">
        <f>"'"&amp;$C721&amp;"'!$E$41:$Y$41"</f>
        <v>'BLD_AC'!$E$41:$Y$41</v>
      </c>
      <c r="H721" s="381">
        <f ca="1">IF(IFERROR(INDEX(DATA_PROPERTY_MASTER!$E$5:$E$21,MATCH($C721,DATA_PROPERTY_MASTER!$A$5:$A$21,0))="Yes",FALSE),IFERROR(INDEX(INDIRECT("'"&amp;$C721&amp;"'!$E$41:$Y$41"),1,MATCH($D721,INDIRECT("'"&amp;$C721&amp;"'!$E$12:$Y$12"),0)),0),0)</f>
        <v>246326.44365935485</v>
      </c>
      <c r="I721" s="366" t="s">
        <v>1685</v>
      </c>
      <c r="J721" s="348" t="str">
        <f t="shared" ca="1" si="22"/>
        <v>OK</v>
      </c>
      <c r="K721" s="366" t="s">
        <v>1694</v>
      </c>
      <c r="L721" s="366" t="s">
        <v>2238</v>
      </c>
      <c r="M721" s="350" t="str">
        <f>IF($B721="Portfolio","Portfolio",IFERROR(INDEX(DATA_ASSET_CLASSIFICATION!$B$8:$B$24,MATCH($C721,DATA_ASSET_CLASSIFICATION!$A$8:$A$24,0)),"Review"))</f>
        <v>Antkiw Court</v>
      </c>
      <c r="N721" s="350" t="str">
        <f ca="1">IF($B721="Portfolio","Portfolio",IFERROR(INDEX(DATA_ASSET_CLASSIFICATION!$U$8:$U$24,MATCH($C721,DATA_ASSET_CLASSIFICATION!$A$8:$A$24,0)),"Review"))</f>
        <v>Stable</v>
      </c>
      <c r="O721" s="350" t="str">
        <f ca="1">IF($B721="Portfolio","Portfolio",IFERROR(INDEX(DATA_ASSET_CLASSIFICATION!$AB$8:$AB$13,MATCH($N721,DATA_ASSET_CLASSIFICATION!$AA$8:$AA$13,0)),"Review"))</f>
        <v>Bucket 2 · Legacy</v>
      </c>
      <c r="P721" s="350" t="str">
        <f>IF($B721="Portfolio","Portfolio",IFERROR(INDEX(DATA_ASSET_CLASSIFICATION!$C$8:$C$24,MATCH($C721,DATA_ASSET_CLASSIFICATION!$A$8:$A$24,0)),"Review"))</f>
        <v>Yes</v>
      </c>
      <c r="Q721" s="350" t="str">
        <f t="shared" ca="1" si="23"/>
        <v>OK</v>
      </c>
    </row>
    <row r="722" spans="1:17">
      <c r="A722" s="366" t="s">
        <v>2678</v>
      </c>
      <c r="B722" s="366" t="s">
        <v>231</v>
      </c>
      <c r="C722" s="348" t="str">
        <f>DATA_PROPERTY_MASTER!$A$6</f>
        <v>BLD_AC</v>
      </c>
      <c r="D722" s="380">
        <f>'00_PORTFOLIO ROLLUP'!M$12</f>
        <v>2033</v>
      </c>
      <c r="E722" s="366" t="s">
        <v>1683</v>
      </c>
      <c r="F722" s="366" t="s">
        <v>1697</v>
      </c>
      <c r="G722" s="348" t="str">
        <f>"'"&amp;$C722&amp;"'!$E$44:$Y$44"</f>
        <v>'BLD_AC'!$E$44:$Y$44</v>
      </c>
      <c r="H722" s="381">
        <f ca="1">IF(IFERROR(INDEX(DATA_PROPERTY_MASTER!$E$5:$E$21,MATCH($C722,DATA_PROPERTY_MASTER!$A$5:$A$21,0))="Yes",FALSE),IFERROR(INDEX(INDIRECT("'"&amp;$C722&amp;"'!$E$44:$Y$44"),1,MATCH($D722,INDIRECT("'"&amp;$C722&amp;"'!$E$12:$Y$12"),0)),0),0)</f>
        <v>3690.7270501571365</v>
      </c>
      <c r="I722" s="366" t="s">
        <v>1690</v>
      </c>
      <c r="J722" s="348" t="str">
        <f t="shared" ca="1" si="22"/>
        <v>OK</v>
      </c>
      <c r="K722" s="366" t="s">
        <v>1699</v>
      </c>
      <c r="L722" s="366" t="s">
        <v>2240</v>
      </c>
      <c r="M722" s="350" t="str">
        <f>IF($B722="Portfolio","Portfolio",IFERROR(INDEX(DATA_ASSET_CLASSIFICATION!$B$8:$B$24,MATCH($C722,DATA_ASSET_CLASSIFICATION!$A$8:$A$24,0)),"Review"))</f>
        <v>Antkiw Court</v>
      </c>
      <c r="N722" s="350" t="str">
        <f ca="1">IF($B722="Portfolio","Portfolio",IFERROR(INDEX(DATA_ASSET_CLASSIFICATION!$U$8:$U$24,MATCH($C722,DATA_ASSET_CLASSIFICATION!$A$8:$A$24,0)),"Review"))</f>
        <v>Stable</v>
      </c>
      <c r="O722" s="350" t="str">
        <f ca="1">IF($B722="Portfolio","Portfolio",IFERROR(INDEX(DATA_ASSET_CLASSIFICATION!$AB$8:$AB$13,MATCH($N722,DATA_ASSET_CLASSIFICATION!$AA$8:$AA$13,0)),"Review"))</f>
        <v>Bucket 2 · Legacy</v>
      </c>
      <c r="P722" s="350" t="str">
        <f>IF($B722="Portfolio","Portfolio",IFERROR(INDEX(DATA_ASSET_CLASSIFICATION!$C$8:$C$24,MATCH($C722,DATA_ASSET_CLASSIFICATION!$A$8:$A$24,0)),"Review"))</f>
        <v>Yes</v>
      </c>
      <c r="Q722" s="350" t="str">
        <f t="shared" ca="1" si="23"/>
        <v>OK</v>
      </c>
    </row>
    <row r="723" spans="1:17">
      <c r="A723" s="366" t="s">
        <v>2679</v>
      </c>
      <c r="B723" s="366" t="s">
        <v>231</v>
      </c>
      <c r="C723" s="348" t="str">
        <f>DATA_PROPERTY_MASTER!$A$6</f>
        <v>BLD_AC</v>
      </c>
      <c r="D723" s="380">
        <f>'00_PORTFOLIO ROLLUP'!M$12</f>
        <v>2033</v>
      </c>
      <c r="E723" s="366" t="s">
        <v>1683</v>
      </c>
      <c r="F723" s="366" t="s">
        <v>21</v>
      </c>
      <c r="G723" s="348" t="str">
        <f>"'"&amp;$C723&amp;"'!$E$45:$Y$45"</f>
        <v>'BLD_AC'!$E$45:$Y$45</v>
      </c>
      <c r="H723" s="381">
        <f ca="1">IF(IFERROR(INDEX(DATA_PROPERTY_MASTER!$E$5:$E$21,MATCH($C723,DATA_PROPERTY_MASTER!$A$5:$A$21,0))="Yes",FALSE),IFERROR(INDEX(INDIRECT("'"&amp;$C723&amp;"'!$E$45:$Y$45"),1,MATCH($D723,INDIRECT("'"&amp;$C723&amp;"'!$E$12:$Y$12"),0)),0),0)</f>
        <v>242635.7166091977</v>
      </c>
      <c r="I723" s="366" t="s">
        <v>1685</v>
      </c>
      <c r="J723" s="348" t="str">
        <f t="shared" ca="1" si="22"/>
        <v>OK</v>
      </c>
      <c r="K723" s="366" t="s">
        <v>1694</v>
      </c>
      <c r="L723" s="366" t="s">
        <v>2242</v>
      </c>
      <c r="M723" s="350" t="str">
        <f>IF($B723="Portfolio","Portfolio",IFERROR(INDEX(DATA_ASSET_CLASSIFICATION!$B$8:$B$24,MATCH($C723,DATA_ASSET_CLASSIFICATION!$A$8:$A$24,0)),"Review"))</f>
        <v>Antkiw Court</v>
      </c>
      <c r="N723" s="350" t="str">
        <f ca="1">IF($B723="Portfolio","Portfolio",IFERROR(INDEX(DATA_ASSET_CLASSIFICATION!$U$8:$U$24,MATCH($C723,DATA_ASSET_CLASSIFICATION!$A$8:$A$24,0)),"Review"))</f>
        <v>Stable</v>
      </c>
      <c r="O723" s="350" t="str">
        <f ca="1">IF($B723="Portfolio","Portfolio",IFERROR(INDEX(DATA_ASSET_CLASSIFICATION!$AB$8:$AB$13,MATCH($N723,DATA_ASSET_CLASSIFICATION!$AA$8:$AA$13,0)),"Review"))</f>
        <v>Bucket 2 · Legacy</v>
      </c>
      <c r="P723" s="350" t="str">
        <f>IF($B723="Portfolio","Portfolio",IFERROR(INDEX(DATA_ASSET_CLASSIFICATION!$C$8:$C$24,MATCH($C723,DATA_ASSET_CLASSIFICATION!$A$8:$A$24,0)),"Review"))</f>
        <v>Yes</v>
      </c>
      <c r="Q723" s="350" t="str">
        <f t="shared" ca="1" si="23"/>
        <v>OK</v>
      </c>
    </row>
    <row r="724" spans="1:17">
      <c r="A724" s="366" t="s">
        <v>2680</v>
      </c>
      <c r="B724" s="366" t="s">
        <v>231</v>
      </c>
      <c r="C724" s="348" t="str">
        <f>DATA_PROPERTY_MASTER!$A$6</f>
        <v>BLD_AC</v>
      </c>
      <c r="D724" s="380">
        <f>'00_PORTFOLIO ROLLUP'!M$12</f>
        <v>2033</v>
      </c>
      <c r="E724" s="366" t="s">
        <v>23</v>
      </c>
      <c r="F724" s="366" t="s">
        <v>23</v>
      </c>
      <c r="G724" s="348" t="str">
        <f>"'"&amp;$C724&amp;"'!$E$48:$Y$48"</f>
        <v>'BLD_AC'!$E$48:$Y$48</v>
      </c>
      <c r="H724" s="381">
        <f ca="1">IF(IFERROR(INDEX(DATA_PROPERTY_MASTER!$E$5:$E$21,MATCH($C724,DATA_PROPERTY_MASTER!$A$5:$A$21,0))="Yes",FALSE),IFERROR(INDEX(INDIRECT("'"&amp;$C724&amp;"'!$E$48:$Y$48"),1,MATCH($D724,INDIRECT("'"&amp;$C724&amp;"'!$E$12:$Y$12"),0)),0),0)</f>
        <v>54330.12</v>
      </c>
      <c r="I724" s="366" t="s">
        <v>1690</v>
      </c>
      <c r="J724" s="348" t="str">
        <f t="shared" ca="1" si="22"/>
        <v>OK</v>
      </c>
      <c r="K724" s="366" t="s">
        <v>1706</v>
      </c>
      <c r="L724" s="366" t="s">
        <v>2244</v>
      </c>
      <c r="M724" s="350" t="str">
        <f>IF($B724="Portfolio","Portfolio",IFERROR(INDEX(DATA_ASSET_CLASSIFICATION!$B$8:$B$24,MATCH($C724,DATA_ASSET_CLASSIFICATION!$A$8:$A$24,0)),"Review"))</f>
        <v>Antkiw Court</v>
      </c>
      <c r="N724" s="350" t="str">
        <f ca="1">IF($B724="Portfolio","Portfolio",IFERROR(INDEX(DATA_ASSET_CLASSIFICATION!$U$8:$U$24,MATCH($C724,DATA_ASSET_CLASSIFICATION!$A$8:$A$24,0)),"Review"))</f>
        <v>Stable</v>
      </c>
      <c r="O724" s="350" t="str">
        <f ca="1">IF($B724="Portfolio","Portfolio",IFERROR(INDEX(DATA_ASSET_CLASSIFICATION!$AB$8:$AB$13,MATCH($N724,DATA_ASSET_CLASSIFICATION!$AA$8:$AA$13,0)),"Review"))</f>
        <v>Bucket 2 · Legacy</v>
      </c>
      <c r="P724" s="350" t="str">
        <f>IF($B724="Portfolio","Portfolio",IFERROR(INDEX(DATA_ASSET_CLASSIFICATION!$C$8:$C$24,MATCH($C724,DATA_ASSET_CLASSIFICATION!$A$8:$A$24,0)),"Review"))</f>
        <v>Yes</v>
      </c>
      <c r="Q724" s="350" t="str">
        <f t="shared" ca="1" si="23"/>
        <v>OK</v>
      </c>
    </row>
    <row r="725" spans="1:17">
      <c r="A725" s="366" t="s">
        <v>2681</v>
      </c>
      <c r="B725" s="366" t="s">
        <v>231</v>
      </c>
      <c r="C725" s="348" t="str">
        <f>DATA_PROPERTY_MASTER!$A$6</f>
        <v>BLD_AC</v>
      </c>
      <c r="D725" s="380">
        <f>'00_PORTFOLIO ROLLUP'!M$12</f>
        <v>2033</v>
      </c>
      <c r="E725" s="366" t="s">
        <v>1683</v>
      </c>
      <c r="F725" s="366" t="s">
        <v>25</v>
      </c>
      <c r="G725" s="348" t="str">
        <f>"'"&amp;$C725&amp;"'!$E$52:$Y$52"</f>
        <v>'BLD_AC'!$E$52:$Y$52</v>
      </c>
      <c r="H725" s="381">
        <f ca="1">IF(IFERROR(INDEX(DATA_PROPERTY_MASTER!$E$5:$E$21,MATCH($C725,DATA_PROPERTY_MASTER!$A$5:$A$21,0))="Yes",FALSE),IFERROR(INDEX(INDIRECT("'"&amp;$C725&amp;"'!$E$52:$Y$52"),1,MATCH($D725,INDIRECT("'"&amp;$C725&amp;"'!$E$12:$Y$12"),0)),0),0)</f>
        <v>191996.32365935485</v>
      </c>
      <c r="I725" s="366" t="s">
        <v>1685</v>
      </c>
      <c r="J725" s="348" t="str">
        <f t="shared" ca="1" si="22"/>
        <v>OK</v>
      </c>
      <c r="K725" s="366" t="s">
        <v>1710</v>
      </c>
      <c r="L725" s="366" t="s">
        <v>2246</v>
      </c>
      <c r="M725" s="350" t="str">
        <f>IF($B725="Portfolio","Portfolio",IFERROR(INDEX(DATA_ASSET_CLASSIFICATION!$B$8:$B$24,MATCH($C725,DATA_ASSET_CLASSIFICATION!$A$8:$A$24,0)),"Review"))</f>
        <v>Antkiw Court</v>
      </c>
      <c r="N725" s="350" t="str">
        <f ca="1">IF($B725="Portfolio","Portfolio",IFERROR(INDEX(DATA_ASSET_CLASSIFICATION!$U$8:$U$24,MATCH($C725,DATA_ASSET_CLASSIFICATION!$A$8:$A$24,0)),"Review"))</f>
        <v>Stable</v>
      </c>
      <c r="O725" s="350" t="str">
        <f ca="1">IF($B725="Portfolio","Portfolio",IFERROR(INDEX(DATA_ASSET_CLASSIFICATION!$AB$8:$AB$13,MATCH($N725,DATA_ASSET_CLASSIFICATION!$AA$8:$AA$13,0)),"Review"))</f>
        <v>Bucket 2 · Legacy</v>
      </c>
      <c r="P725" s="350" t="str">
        <f>IF($B725="Portfolio","Portfolio",IFERROR(INDEX(DATA_ASSET_CLASSIFICATION!$C$8:$C$24,MATCH($C725,DATA_ASSET_CLASSIFICATION!$A$8:$A$24,0)),"Review"))</f>
        <v>Yes</v>
      </c>
      <c r="Q725" s="350" t="str">
        <f t="shared" ca="1" si="23"/>
        <v>OK</v>
      </c>
    </row>
    <row r="726" spans="1:17">
      <c r="A726" s="366" t="s">
        <v>2682</v>
      </c>
      <c r="B726" s="366" t="s">
        <v>231</v>
      </c>
      <c r="C726" s="348" t="str">
        <f>DATA_PROPERTY_MASTER!$A$6</f>
        <v>BLD_AC</v>
      </c>
      <c r="D726" s="380">
        <f>'00_PORTFOLIO ROLLUP'!M$12</f>
        <v>2033</v>
      </c>
      <c r="E726" s="366" t="s">
        <v>1683</v>
      </c>
      <c r="F726" s="366" t="s">
        <v>27</v>
      </c>
      <c r="G726" s="348" t="str">
        <f>"'"&amp;$C726&amp;"'!$E$54:$Y$54"</f>
        <v>'BLD_AC'!$E$54:$Y$54</v>
      </c>
      <c r="H726" s="381">
        <f ca="1">IF(IFERROR(INDEX(DATA_PROPERTY_MASTER!$E$5:$E$21,MATCH($C726,DATA_PROPERTY_MASTER!$A$5:$A$21,0))="Yes",FALSE),IFERROR(INDEX(INDIRECT("'"&amp;$C726&amp;"'!$E$54:$Y$54"),1,MATCH($D726,INDIRECT("'"&amp;$C726&amp;"'!$E$12:$Y$12"),0)),0),0)</f>
        <v>115197.79419561291</v>
      </c>
      <c r="I726" s="366" t="s">
        <v>1690</v>
      </c>
      <c r="J726" s="348" t="str">
        <f t="shared" ca="1" si="22"/>
        <v>OK</v>
      </c>
      <c r="K726" s="366" t="s">
        <v>1714</v>
      </c>
      <c r="L726" s="366" t="s">
        <v>2248</v>
      </c>
      <c r="M726" s="350" t="str">
        <f>IF($B726="Portfolio","Portfolio",IFERROR(INDEX(DATA_ASSET_CLASSIFICATION!$B$8:$B$24,MATCH($C726,DATA_ASSET_CLASSIFICATION!$A$8:$A$24,0)),"Review"))</f>
        <v>Antkiw Court</v>
      </c>
      <c r="N726" s="350" t="str">
        <f ca="1">IF($B726="Portfolio","Portfolio",IFERROR(INDEX(DATA_ASSET_CLASSIFICATION!$U$8:$U$24,MATCH($C726,DATA_ASSET_CLASSIFICATION!$A$8:$A$24,0)),"Review"))</f>
        <v>Stable</v>
      </c>
      <c r="O726" s="350" t="str">
        <f ca="1">IF($B726="Portfolio","Portfolio",IFERROR(INDEX(DATA_ASSET_CLASSIFICATION!$AB$8:$AB$13,MATCH($N726,DATA_ASSET_CLASSIFICATION!$AA$8:$AA$13,0)),"Review"))</f>
        <v>Bucket 2 · Legacy</v>
      </c>
      <c r="P726" s="350" t="str">
        <f>IF($B726="Portfolio","Portfolio",IFERROR(INDEX(DATA_ASSET_CLASSIFICATION!$C$8:$C$24,MATCH($C726,DATA_ASSET_CLASSIFICATION!$A$8:$A$24,0)),"Review"))</f>
        <v>Yes</v>
      </c>
      <c r="Q726" s="350" t="str">
        <f t="shared" ca="1" si="23"/>
        <v>OK</v>
      </c>
    </row>
    <row r="727" spans="1:17">
      <c r="A727" s="366" t="s">
        <v>2683</v>
      </c>
      <c r="B727" s="366" t="s">
        <v>231</v>
      </c>
      <c r="C727" s="348" t="str">
        <f>DATA_PROPERTY_MASTER!$A$6</f>
        <v>BLD_AC</v>
      </c>
      <c r="D727" s="380">
        <f>'00_PORTFOLIO ROLLUP'!M$12</f>
        <v>2033</v>
      </c>
      <c r="E727" s="366" t="s">
        <v>1683</v>
      </c>
      <c r="F727" s="366" t="s">
        <v>29</v>
      </c>
      <c r="G727" s="348" t="str">
        <f>"'"&amp;$C727&amp;"'!$E$56:$Y$56"</f>
        <v>'BLD_AC'!$E$56:$Y$56</v>
      </c>
      <c r="H727" s="381">
        <f ca="1">IF(IFERROR(INDEX(DATA_PROPERTY_MASTER!$E$5:$E$21,MATCH($C727,DATA_PROPERTY_MASTER!$A$5:$A$21,0))="Yes",FALSE),IFERROR(INDEX(INDIRECT("'"&amp;$C727&amp;"'!$E$56:$Y$56"),1,MATCH($D727,INDIRECT("'"&amp;$C727&amp;"'!$E$12:$Y$12"),0)),0),0)</f>
        <v>76798.529463741943</v>
      </c>
      <c r="I727" s="366" t="s">
        <v>1685</v>
      </c>
      <c r="J727" s="348" t="str">
        <f t="shared" ca="1" si="22"/>
        <v>OK</v>
      </c>
      <c r="K727" s="366" t="s">
        <v>1718</v>
      </c>
      <c r="L727" s="366" t="s">
        <v>2250</v>
      </c>
      <c r="M727" s="350" t="str">
        <f>IF($B727="Portfolio","Portfolio",IFERROR(INDEX(DATA_ASSET_CLASSIFICATION!$B$8:$B$24,MATCH($C727,DATA_ASSET_CLASSIFICATION!$A$8:$A$24,0)),"Review"))</f>
        <v>Antkiw Court</v>
      </c>
      <c r="N727" s="350" t="str">
        <f ca="1">IF($B727="Portfolio","Portfolio",IFERROR(INDEX(DATA_ASSET_CLASSIFICATION!$U$8:$U$24,MATCH($C727,DATA_ASSET_CLASSIFICATION!$A$8:$A$24,0)),"Review"))</f>
        <v>Stable</v>
      </c>
      <c r="O727" s="350" t="str">
        <f ca="1">IF($B727="Portfolio","Portfolio",IFERROR(INDEX(DATA_ASSET_CLASSIFICATION!$AB$8:$AB$13,MATCH($N727,DATA_ASSET_CLASSIFICATION!$AA$8:$AA$13,0)),"Review"))</f>
        <v>Bucket 2 · Legacy</v>
      </c>
      <c r="P727" s="350" t="str">
        <f>IF($B727="Portfolio","Portfolio",IFERROR(INDEX(DATA_ASSET_CLASSIFICATION!$C$8:$C$24,MATCH($C727,DATA_ASSET_CLASSIFICATION!$A$8:$A$24,0)),"Review"))</f>
        <v>Yes</v>
      </c>
      <c r="Q727" s="350" t="str">
        <f t="shared" ca="1" si="23"/>
        <v>OK</v>
      </c>
    </row>
    <row r="728" spans="1:17">
      <c r="A728" s="366" t="s">
        <v>2684</v>
      </c>
      <c r="B728" s="366" t="s">
        <v>231</v>
      </c>
      <c r="C728" s="348" t="str">
        <f>DATA_PROPERTY_MASTER!$A$6</f>
        <v>BLD_AC</v>
      </c>
      <c r="D728" s="380">
        <f>'00_PORTFOLIO ROLLUP'!M$12</f>
        <v>2033</v>
      </c>
      <c r="E728" s="366" t="s">
        <v>1721</v>
      </c>
      <c r="F728" s="366" t="s">
        <v>31</v>
      </c>
      <c r="G728" s="348" t="str">
        <f>"'"&amp;$C728&amp;"'!$E$61:$Y$61"</f>
        <v>'BLD_AC'!$E$61:$Y$61</v>
      </c>
      <c r="H728" s="381">
        <f ca="1">IF(IFERROR(INDEX(DATA_PROPERTY_MASTER!$E$5:$E$21,MATCH($C728,DATA_PROPERTY_MASTER!$A$5:$A$21,0))="Yes",FALSE),IFERROR(INDEX(INDIRECT("'"&amp;$C728&amp;"'!$E$61:$Y$61"),1,MATCH($D728,INDIRECT("'"&amp;$C728&amp;"'!$E$12:$Y$12"),0)),0),0)</f>
        <v>0</v>
      </c>
      <c r="I728" s="366" t="s">
        <v>1690</v>
      </c>
      <c r="J728" s="348" t="str">
        <f t="shared" ca="1" si="22"/>
        <v>OK</v>
      </c>
      <c r="K728" s="366" t="s">
        <v>1723</v>
      </c>
      <c r="L728" s="366" t="s">
        <v>2252</v>
      </c>
      <c r="M728" s="350" t="str">
        <f>IF($B728="Portfolio","Portfolio",IFERROR(INDEX(DATA_ASSET_CLASSIFICATION!$B$8:$B$24,MATCH($C728,DATA_ASSET_CLASSIFICATION!$A$8:$A$24,0)),"Review"))</f>
        <v>Antkiw Court</v>
      </c>
      <c r="N728" s="350" t="str">
        <f ca="1">IF($B728="Portfolio","Portfolio",IFERROR(INDEX(DATA_ASSET_CLASSIFICATION!$U$8:$U$24,MATCH($C728,DATA_ASSET_CLASSIFICATION!$A$8:$A$24,0)),"Review"))</f>
        <v>Stable</v>
      </c>
      <c r="O728" s="350" t="str">
        <f ca="1">IF($B728="Portfolio","Portfolio",IFERROR(INDEX(DATA_ASSET_CLASSIFICATION!$AB$8:$AB$13,MATCH($N728,DATA_ASSET_CLASSIFICATION!$AA$8:$AA$13,0)),"Review"))</f>
        <v>Bucket 2 · Legacy</v>
      </c>
      <c r="P728" s="350" t="str">
        <f>IF($B728="Portfolio","Portfolio",IFERROR(INDEX(DATA_ASSET_CLASSIFICATION!$C$8:$C$24,MATCH($C728,DATA_ASSET_CLASSIFICATION!$A$8:$A$24,0)),"Review"))</f>
        <v>Yes</v>
      </c>
      <c r="Q728" s="350" t="str">
        <f t="shared" ca="1" si="23"/>
        <v>OK</v>
      </c>
    </row>
    <row r="729" spans="1:17">
      <c r="A729" s="366" t="s">
        <v>2685</v>
      </c>
      <c r="B729" s="366" t="s">
        <v>231</v>
      </c>
      <c r="C729" s="348" t="str">
        <f>DATA_PROPERTY_MASTER!$A$6</f>
        <v>BLD_AC</v>
      </c>
      <c r="D729" s="380">
        <f>'00_PORTFOLIO ROLLUP'!M$12</f>
        <v>2033</v>
      </c>
      <c r="E729" s="366" t="s">
        <v>1721</v>
      </c>
      <c r="F729" s="366" t="s">
        <v>33</v>
      </c>
      <c r="G729" s="348" t="str">
        <f>"'"&amp;$C729&amp;"'!$E$62:$Y$62"</f>
        <v>'BLD_AC'!$E$62:$Y$62</v>
      </c>
      <c r="H729" s="381">
        <f ca="1">IF(IFERROR(INDEX(DATA_PROPERTY_MASTER!$E$5:$E$21,MATCH($C729,DATA_PROPERTY_MASTER!$A$5:$A$21,0))="Yes",FALSE),IFERROR(INDEX(INDIRECT("'"&amp;$C729&amp;"'!$E$62:$Y$62"),1,MATCH($D729,INDIRECT("'"&amp;$C729&amp;"'!$E$12:$Y$12"),0)),0),0)</f>
        <v>0</v>
      </c>
      <c r="I729" s="366" t="s">
        <v>1685</v>
      </c>
      <c r="J729" s="348" t="str">
        <f t="shared" ca="1" si="22"/>
        <v>OK</v>
      </c>
      <c r="K729" s="366" t="s">
        <v>1727</v>
      </c>
      <c r="L729" s="366" t="s">
        <v>2254</v>
      </c>
      <c r="M729" s="350" t="str">
        <f>IF($B729="Portfolio","Portfolio",IFERROR(INDEX(DATA_ASSET_CLASSIFICATION!$B$8:$B$24,MATCH($C729,DATA_ASSET_CLASSIFICATION!$A$8:$A$24,0)),"Review"))</f>
        <v>Antkiw Court</v>
      </c>
      <c r="N729" s="350" t="str">
        <f ca="1">IF($B729="Portfolio","Portfolio",IFERROR(INDEX(DATA_ASSET_CLASSIFICATION!$U$8:$U$24,MATCH($C729,DATA_ASSET_CLASSIFICATION!$A$8:$A$24,0)),"Review"))</f>
        <v>Stable</v>
      </c>
      <c r="O729" s="350" t="str">
        <f ca="1">IF($B729="Portfolio","Portfolio",IFERROR(INDEX(DATA_ASSET_CLASSIFICATION!$AB$8:$AB$13,MATCH($N729,DATA_ASSET_CLASSIFICATION!$AA$8:$AA$13,0)),"Review"))</f>
        <v>Bucket 2 · Legacy</v>
      </c>
      <c r="P729" s="350" t="str">
        <f>IF($B729="Portfolio","Portfolio",IFERROR(INDEX(DATA_ASSET_CLASSIFICATION!$C$8:$C$24,MATCH($C729,DATA_ASSET_CLASSIFICATION!$A$8:$A$24,0)),"Review"))</f>
        <v>Yes</v>
      </c>
      <c r="Q729" s="350" t="str">
        <f t="shared" ca="1" si="23"/>
        <v>OK</v>
      </c>
    </row>
    <row r="730" spans="1:17">
      <c r="A730" s="366" t="s">
        <v>2686</v>
      </c>
      <c r="B730" s="366" t="s">
        <v>231</v>
      </c>
      <c r="C730" s="348" t="str">
        <f>DATA_PROPERTY_MASTER!$A$6</f>
        <v>BLD_AC</v>
      </c>
      <c r="D730" s="380">
        <f>'00_PORTFOLIO ROLLUP'!M$12</f>
        <v>2033</v>
      </c>
      <c r="E730" s="366" t="s">
        <v>1721</v>
      </c>
      <c r="F730" s="366" t="s">
        <v>35</v>
      </c>
      <c r="G730" s="348" t="str">
        <f>"'"&amp;$C730&amp;"'!$E$63:$Y$63"</f>
        <v>'BLD_AC'!$E$63:$Y$63</v>
      </c>
      <c r="H730" s="381">
        <f ca="1">IF(IFERROR(INDEX(DATA_PROPERTY_MASTER!$E$5:$E$21,MATCH($C730,DATA_PROPERTY_MASTER!$A$5:$A$21,0))="Yes",FALSE),IFERROR(INDEX(INDIRECT("'"&amp;$C730&amp;"'!$E$63:$Y$63"),1,MATCH($D730,INDIRECT("'"&amp;$C730&amp;"'!$E$12:$Y$12"),0)),0),0)</f>
        <v>0</v>
      </c>
      <c r="I730" s="366" t="s">
        <v>1731</v>
      </c>
      <c r="J730" s="348" t="str">
        <f t="shared" ca="1" si="22"/>
        <v>OK</v>
      </c>
      <c r="K730" s="366" t="s">
        <v>1732</v>
      </c>
      <c r="L730" s="366" t="s">
        <v>2256</v>
      </c>
      <c r="M730" s="350" t="str">
        <f>IF($B730="Portfolio","Portfolio",IFERROR(INDEX(DATA_ASSET_CLASSIFICATION!$B$8:$B$24,MATCH($C730,DATA_ASSET_CLASSIFICATION!$A$8:$A$24,0)),"Review"))</f>
        <v>Antkiw Court</v>
      </c>
      <c r="N730" s="350" t="str">
        <f ca="1">IF($B730="Portfolio","Portfolio",IFERROR(INDEX(DATA_ASSET_CLASSIFICATION!$U$8:$U$24,MATCH($C730,DATA_ASSET_CLASSIFICATION!$A$8:$A$24,0)),"Review"))</f>
        <v>Stable</v>
      </c>
      <c r="O730" s="350" t="str">
        <f ca="1">IF($B730="Portfolio","Portfolio",IFERROR(INDEX(DATA_ASSET_CLASSIFICATION!$AB$8:$AB$13,MATCH($N730,DATA_ASSET_CLASSIFICATION!$AA$8:$AA$13,0)),"Review"))</f>
        <v>Bucket 2 · Legacy</v>
      </c>
      <c r="P730" s="350" t="str">
        <f>IF($B730="Portfolio","Portfolio",IFERROR(INDEX(DATA_ASSET_CLASSIFICATION!$C$8:$C$24,MATCH($C730,DATA_ASSET_CLASSIFICATION!$A$8:$A$24,0)),"Review"))</f>
        <v>Yes</v>
      </c>
      <c r="Q730" s="350" t="str">
        <f t="shared" ca="1" si="23"/>
        <v>OK</v>
      </c>
    </row>
    <row r="731" spans="1:17">
      <c r="A731" s="366" t="s">
        <v>2687</v>
      </c>
      <c r="B731" s="366" t="s">
        <v>231</v>
      </c>
      <c r="C731" s="348" t="str">
        <f>DATA_PROPERTY_MASTER!$A$6</f>
        <v>BLD_AC</v>
      </c>
      <c r="D731" s="380">
        <f>'00_PORTFOLIO ROLLUP'!M$12</f>
        <v>2033</v>
      </c>
      <c r="E731" s="366" t="s">
        <v>1721</v>
      </c>
      <c r="F731" s="366" t="s">
        <v>37</v>
      </c>
      <c r="G731" s="348" t="str">
        <f>"'"&amp;$C731&amp;"'!$E$63:$Y$63"</f>
        <v>'BLD_AC'!$E$63:$Y$63</v>
      </c>
      <c r="H731" s="381">
        <f ca="1">IF(IFERROR(INDEX(DATA_PROPERTY_MASTER!$E$5:$E$21,MATCH($C731,DATA_PROPERTY_MASTER!$A$5:$A$21,0))="Yes",FALSE),MAX(IFERROR(INDEX(INDIRECT("'"&amp;$C731&amp;"'!$E$63:$Y$63"),1,MATCH($D731,INDIRECT("'"&amp;$C731&amp;"'!$E$12:$Y$12"),0)),0),0),0)</f>
        <v>0</v>
      </c>
      <c r="I731" s="366" t="s">
        <v>1685</v>
      </c>
      <c r="J731" s="348" t="str">
        <f t="shared" ca="1" si="22"/>
        <v>OK</v>
      </c>
      <c r="K731" s="366" t="s">
        <v>1735</v>
      </c>
      <c r="L731" s="366" t="s">
        <v>2258</v>
      </c>
      <c r="M731" s="350" t="str">
        <f>IF($B731="Portfolio","Portfolio",IFERROR(INDEX(DATA_ASSET_CLASSIFICATION!$B$8:$B$24,MATCH($C731,DATA_ASSET_CLASSIFICATION!$A$8:$A$24,0)),"Review"))</f>
        <v>Antkiw Court</v>
      </c>
      <c r="N731" s="350" t="str">
        <f ca="1">IF($B731="Portfolio","Portfolio",IFERROR(INDEX(DATA_ASSET_CLASSIFICATION!$U$8:$U$24,MATCH($C731,DATA_ASSET_CLASSIFICATION!$A$8:$A$24,0)),"Review"))</f>
        <v>Stable</v>
      </c>
      <c r="O731" s="350" t="str">
        <f ca="1">IF($B731="Portfolio","Portfolio",IFERROR(INDEX(DATA_ASSET_CLASSIFICATION!$AB$8:$AB$13,MATCH($N731,DATA_ASSET_CLASSIFICATION!$AA$8:$AA$13,0)),"Review"))</f>
        <v>Bucket 2 · Legacy</v>
      </c>
      <c r="P731" s="350" t="str">
        <f>IF($B731="Portfolio","Portfolio",IFERROR(INDEX(DATA_ASSET_CLASSIFICATION!$C$8:$C$24,MATCH($C731,DATA_ASSET_CLASSIFICATION!$A$8:$A$24,0)),"Review"))</f>
        <v>Yes</v>
      </c>
      <c r="Q731" s="350" t="str">
        <f t="shared" ca="1" si="23"/>
        <v>OK</v>
      </c>
    </row>
    <row r="732" spans="1:17">
      <c r="A732" s="366" t="s">
        <v>2688</v>
      </c>
      <c r="B732" s="366" t="s">
        <v>231</v>
      </c>
      <c r="C732" s="348" t="str">
        <f>DATA_PROPERTY_MASTER!$A$6</f>
        <v>BLD_AC</v>
      </c>
      <c r="D732" s="380">
        <f>'00_PORTFOLIO ROLLUP'!M$12</f>
        <v>2033</v>
      </c>
      <c r="E732" s="366" t="s">
        <v>1721</v>
      </c>
      <c r="F732" s="366" t="s">
        <v>39</v>
      </c>
      <c r="G732" s="348" t="str">
        <f>"'"&amp;$C732&amp;"'!$E$63:$Y$63"</f>
        <v>'BLD_AC'!$E$63:$Y$63</v>
      </c>
      <c r="H732" s="381">
        <f ca="1">IF(IFERROR(INDEX(DATA_PROPERTY_MASTER!$E$5:$E$21,MATCH($C732,DATA_PROPERTY_MASTER!$A$5:$A$21,0))="Yes",FALSE),MAX(-IFERROR(INDEX(INDIRECT("'"&amp;$C732&amp;"'!$E$63:$Y$63"),1,MATCH($D732,INDIRECT("'"&amp;$C732&amp;"'!$E$12:$Y$12"),0)),0),0),0)</f>
        <v>0</v>
      </c>
      <c r="I732" s="366" t="s">
        <v>1690</v>
      </c>
      <c r="J732" s="348" t="str">
        <f t="shared" ca="1" si="22"/>
        <v>OK</v>
      </c>
      <c r="K732" s="366" t="s">
        <v>1738</v>
      </c>
      <c r="L732" s="366" t="s">
        <v>2260</v>
      </c>
      <c r="M732" s="350" t="str">
        <f>IF($B732="Portfolio","Portfolio",IFERROR(INDEX(DATA_ASSET_CLASSIFICATION!$B$8:$B$24,MATCH($C732,DATA_ASSET_CLASSIFICATION!$A$8:$A$24,0)),"Review"))</f>
        <v>Antkiw Court</v>
      </c>
      <c r="N732" s="350" t="str">
        <f ca="1">IF($B732="Portfolio","Portfolio",IFERROR(INDEX(DATA_ASSET_CLASSIFICATION!$U$8:$U$24,MATCH($C732,DATA_ASSET_CLASSIFICATION!$A$8:$A$24,0)),"Review"))</f>
        <v>Stable</v>
      </c>
      <c r="O732" s="350" t="str">
        <f ca="1">IF($B732="Portfolio","Portfolio",IFERROR(INDEX(DATA_ASSET_CLASSIFICATION!$AB$8:$AB$13,MATCH($N732,DATA_ASSET_CLASSIFICATION!$AA$8:$AA$13,0)),"Review"))</f>
        <v>Bucket 2 · Legacy</v>
      </c>
      <c r="P732" s="350" t="str">
        <f>IF($B732="Portfolio","Portfolio",IFERROR(INDEX(DATA_ASSET_CLASSIFICATION!$C$8:$C$24,MATCH($C732,DATA_ASSET_CLASSIFICATION!$A$8:$A$24,0)),"Review"))</f>
        <v>Yes</v>
      </c>
      <c r="Q732" s="350" t="str">
        <f t="shared" ca="1" si="23"/>
        <v>OK</v>
      </c>
    </row>
    <row r="733" spans="1:17">
      <c r="A733" s="366" t="s">
        <v>2689</v>
      </c>
      <c r="B733" s="366" t="s">
        <v>231</v>
      </c>
      <c r="C733" s="348" t="str">
        <f>DATA_PROPERTY_MASTER!$A$6</f>
        <v>BLD_AC</v>
      </c>
      <c r="D733" s="380">
        <f>'00_PORTFOLIO ROLLUP'!M$12</f>
        <v>2033</v>
      </c>
      <c r="E733" s="366" t="s">
        <v>1741</v>
      </c>
      <c r="F733" s="366" t="s">
        <v>41</v>
      </c>
      <c r="G733" s="348" t="str">
        <f>"'"&amp;$C733&amp;"'!rows 56 + positive row 63"</f>
        <v>'BLD_AC'!rows 56 + positive row 63</v>
      </c>
      <c r="H733" s="381">
        <f ca="1">IF(IFERROR(INDEX(DATA_PROPERTY_MASTER!$E$5:$E$21,MATCH($C733,DATA_PROPERTY_MASTER!$A$5:$A$21,0))="Yes",FALSE),IFERROR(INDEX(INDIRECT("'"&amp;$C733&amp;"'!$E$56:$Y$56"),1,MATCH($D733,INDIRECT("'"&amp;$C733&amp;"'!$E$12:$Y$12"),0)),0)+MAX(IFERROR(INDEX(INDIRECT("'"&amp;$C733&amp;"'!$E$63:$Y$63"),1,MATCH($D733,INDIRECT("'"&amp;$C733&amp;"'!$E$12:$Y$12"),0)),0),0),0)</f>
        <v>76798.529463741943</v>
      </c>
      <c r="I733" s="366" t="s">
        <v>1685</v>
      </c>
      <c r="J733" s="348" t="str">
        <f t="shared" ca="1" si="22"/>
        <v>OK</v>
      </c>
      <c r="K733" s="366" t="s">
        <v>1742</v>
      </c>
      <c r="L733" s="366" t="s">
        <v>2262</v>
      </c>
      <c r="M733" s="350" t="str">
        <f>IF($B733="Portfolio","Portfolio",IFERROR(INDEX(DATA_ASSET_CLASSIFICATION!$B$8:$B$24,MATCH($C733,DATA_ASSET_CLASSIFICATION!$A$8:$A$24,0)),"Review"))</f>
        <v>Antkiw Court</v>
      </c>
      <c r="N733" s="350" t="str">
        <f ca="1">IF($B733="Portfolio","Portfolio",IFERROR(INDEX(DATA_ASSET_CLASSIFICATION!$U$8:$U$24,MATCH($C733,DATA_ASSET_CLASSIFICATION!$A$8:$A$24,0)),"Review"))</f>
        <v>Stable</v>
      </c>
      <c r="O733" s="350" t="str">
        <f ca="1">IF($B733="Portfolio","Portfolio",IFERROR(INDEX(DATA_ASSET_CLASSIFICATION!$AB$8:$AB$13,MATCH($N733,DATA_ASSET_CLASSIFICATION!$AA$8:$AA$13,0)),"Review"))</f>
        <v>Bucket 2 · Legacy</v>
      </c>
      <c r="P733" s="350" t="str">
        <f>IF($B733="Portfolio","Portfolio",IFERROR(INDEX(DATA_ASSET_CLASSIFICATION!$C$8:$C$24,MATCH($C733,DATA_ASSET_CLASSIFICATION!$A$8:$A$24,0)),"Review"))</f>
        <v>Yes</v>
      </c>
      <c r="Q733" s="350" t="str">
        <f t="shared" ca="1" si="23"/>
        <v>OK</v>
      </c>
    </row>
    <row r="734" spans="1:17">
      <c r="A734" s="366" t="s">
        <v>2690</v>
      </c>
      <c r="B734" s="366" t="s">
        <v>231</v>
      </c>
      <c r="C734" s="348" t="str">
        <f>DATA_PROPERTY_MASTER!$A$6</f>
        <v>BLD_AC</v>
      </c>
      <c r="D734" s="380">
        <f>'00_PORTFOLIO ROLLUP'!M$12</f>
        <v>2033</v>
      </c>
      <c r="E734" s="366" t="s">
        <v>1741</v>
      </c>
      <c r="F734" s="366" t="s">
        <v>43</v>
      </c>
      <c r="G734" s="348" t="str">
        <f>"'"&amp;$C734&amp;"'!$E$68:$Y$68"</f>
        <v>'BLD_AC'!$E$68:$Y$68</v>
      </c>
      <c r="H734" s="381">
        <f ca="1">IF(IFERROR(INDEX(DATA_PROPERTY_MASTER!$E$5:$E$21,MATCH($C734,DATA_PROPERTY_MASTER!$A$5:$A$21,0))="Yes",FALSE),IFERROR(INDEX(INDIRECT("'"&amp;$C734&amp;"'!$E$68:$Y$68"),1,MATCH($D734,INDIRECT("'"&amp;$C734&amp;"'!$E$12:$Y$12"),0)),0),0)</f>
        <v>76798.529463741943</v>
      </c>
      <c r="I734" s="366" t="s">
        <v>1731</v>
      </c>
      <c r="J734" s="348" t="str">
        <f t="shared" ca="1" si="22"/>
        <v>OK</v>
      </c>
      <c r="K734" s="366" t="s">
        <v>1746</v>
      </c>
      <c r="L734" s="366" t="s">
        <v>2264</v>
      </c>
      <c r="M734" s="350" t="str">
        <f>IF($B734="Portfolio","Portfolio",IFERROR(INDEX(DATA_ASSET_CLASSIFICATION!$B$8:$B$24,MATCH($C734,DATA_ASSET_CLASSIFICATION!$A$8:$A$24,0)),"Review"))</f>
        <v>Antkiw Court</v>
      </c>
      <c r="N734" s="350" t="str">
        <f ca="1">IF($B734="Portfolio","Portfolio",IFERROR(INDEX(DATA_ASSET_CLASSIFICATION!$U$8:$U$24,MATCH($C734,DATA_ASSET_CLASSIFICATION!$A$8:$A$24,0)),"Review"))</f>
        <v>Stable</v>
      </c>
      <c r="O734" s="350" t="str">
        <f ca="1">IF($B734="Portfolio","Portfolio",IFERROR(INDEX(DATA_ASSET_CLASSIFICATION!$AB$8:$AB$13,MATCH($N734,DATA_ASSET_CLASSIFICATION!$AA$8:$AA$13,0)),"Review"))</f>
        <v>Bucket 2 · Legacy</v>
      </c>
      <c r="P734" s="350" t="str">
        <f>IF($B734="Portfolio","Portfolio",IFERROR(INDEX(DATA_ASSET_CLASSIFICATION!$C$8:$C$24,MATCH($C734,DATA_ASSET_CLASSIFICATION!$A$8:$A$24,0)),"Review"))</f>
        <v>Yes</v>
      </c>
      <c r="Q734" s="350" t="str">
        <f t="shared" ca="1" si="23"/>
        <v>OK</v>
      </c>
    </row>
    <row r="735" spans="1:17">
      <c r="A735" s="366" t="s">
        <v>2691</v>
      </c>
      <c r="B735" s="366" t="s">
        <v>231</v>
      </c>
      <c r="C735" s="348" t="str">
        <f>DATA_PROPERTY_MASTER!$A$6</f>
        <v>BLD_AC</v>
      </c>
      <c r="D735" s="380">
        <f>'00_PORTFOLIO ROLLUP'!M$12</f>
        <v>2033</v>
      </c>
      <c r="E735" s="366" t="s">
        <v>1741</v>
      </c>
      <c r="F735" s="366" t="s">
        <v>1749</v>
      </c>
      <c r="G735" s="348" t="str">
        <f>"'"&amp;$C735&amp;"'!rows 56, 63, 68"</f>
        <v>'BLD_AC'!rows 56, 63, 68</v>
      </c>
      <c r="H735" s="381">
        <f ca="1">IF(IFERROR(INDEX(DATA_PROPERTY_MASTER!$E$5:$E$21,MATCH($C735,DATA_PROPERTY_MASTER!$A$5:$A$21,0))="Yes",FALSE),(IFERROR(INDEX(INDIRECT("'"&amp;$C735&amp;"'!$E$56:$Y$56"),1,MATCH($D735,INDIRECT("'"&amp;$C735&amp;"'!$E$12:$Y$12"),0)),0)+MAX(IFERROR(INDEX(INDIRECT("'"&amp;$C735&amp;"'!$E$63:$Y$63"),1,MATCH($D735,INDIRECT("'"&amp;$C735&amp;"'!$E$12:$Y$12"),0)),0),0))-(IFERROR(INDEX(INDIRECT("'"&amp;$C735&amp;"'!$E$68:$Y$68"),1,MATCH($D735,INDIRECT("'"&amp;$C735&amp;"'!$E$12:$Y$12"),0)),0)),0)</f>
        <v>0</v>
      </c>
      <c r="I735" s="366" t="s">
        <v>1750</v>
      </c>
      <c r="J735" s="348" t="str">
        <f t="shared" ca="1" si="22"/>
        <v>OK</v>
      </c>
      <c r="K735" s="366" t="s">
        <v>1751</v>
      </c>
      <c r="L735" s="366" t="s">
        <v>2266</v>
      </c>
      <c r="M735" s="350" t="str">
        <f>IF($B735="Portfolio","Portfolio",IFERROR(INDEX(DATA_ASSET_CLASSIFICATION!$B$8:$B$24,MATCH($C735,DATA_ASSET_CLASSIFICATION!$A$8:$A$24,0)),"Review"))</f>
        <v>Antkiw Court</v>
      </c>
      <c r="N735" s="350" t="str">
        <f ca="1">IF($B735="Portfolio","Portfolio",IFERROR(INDEX(DATA_ASSET_CLASSIFICATION!$U$8:$U$24,MATCH($C735,DATA_ASSET_CLASSIFICATION!$A$8:$A$24,0)),"Review"))</f>
        <v>Stable</v>
      </c>
      <c r="O735" s="350" t="str">
        <f ca="1">IF($B735="Portfolio","Portfolio",IFERROR(INDEX(DATA_ASSET_CLASSIFICATION!$AB$8:$AB$13,MATCH($N735,DATA_ASSET_CLASSIFICATION!$AA$8:$AA$13,0)),"Review"))</f>
        <v>Bucket 2 · Legacy</v>
      </c>
      <c r="P735" s="350" t="str">
        <f>IF($B735="Portfolio","Portfolio",IFERROR(INDEX(DATA_ASSET_CLASSIFICATION!$C$8:$C$24,MATCH($C735,DATA_ASSET_CLASSIFICATION!$A$8:$A$24,0)),"Review"))</f>
        <v>Yes</v>
      </c>
      <c r="Q735" s="350" t="str">
        <f t="shared" ca="1" si="23"/>
        <v>OK</v>
      </c>
    </row>
    <row r="736" spans="1:17">
      <c r="A736" s="366" t="s">
        <v>2692</v>
      </c>
      <c r="B736" s="366" t="s">
        <v>231</v>
      </c>
      <c r="C736" s="348" t="str">
        <f>DATA_PROPERTY_MASTER!$A$6</f>
        <v>BLD_AC</v>
      </c>
      <c r="D736" s="380">
        <f>'00_PORTFOLIO ROLLUP'!N$12</f>
        <v>2034</v>
      </c>
      <c r="E736" s="366" t="s">
        <v>1683</v>
      </c>
      <c r="F736" s="366" t="s">
        <v>341</v>
      </c>
      <c r="G736" s="348" t="str">
        <f>"'"&amp;$C736&amp;"'!$E$24:$Y$24"</f>
        <v>'BLD_AC'!$E$24:$Y$24</v>
      </c>
      <c r="H736" s="381">
        <f ca="1">IF(IFERROR(INDEX(DATA_PROPERTY_MASTER!$E$5:$E$21,MATCH($C736,DATA_PROPERTY_MASTER!$A$5:$A$21,0))="Yes",FALSE),IFERROR(INDEX(INDIRECT("'"&amp;$C736&amp;"'!$E$24:$Y$24"),1,MATCH($D736,INDIRECT("'"&amp;$C736&amp;"'!$E$12:$Y$12"),0)),0),0)</f>
        <v>460351.724950023</v>
      </c>
      <c r="I736" s="366" t="s">
        <v>1685</v>
      </c>
      <c r="J736" s="348" t="str">
        <f t="shared" ca="1" si="22"/>
        <v>OK</v>
      </c>
      <c r="K736" s="366" t="s">
        <v>1686</v>
      </c>
      <c r="L736" s="366" t="s">
        <v>2234</v>
      </c>
      <c r="M736" s="350" t="str">
        <f>IF($B736="Portfolio","Portfolio",IFERROR(INDEX(DATA_ASSET_CLASSIFICATION!$B$8:$B$24,MATCH($C736,DATA_ASSET_CLASSIFICATION!$A$8:$A$24,0)),"Review"))</f>
        <v>Antkiw Court</v>
      </c>
      <c r="N736" s="350" t="str">
        <f ca="1">IF($B736="Portfolio","Portfolio",IFERROR(INDEX(DATA_ASSET_CLASSIFICATION!$U$8:$U$24,MATCH($C736,DATA_ASSET_CLASSIFICATION!$A$8:$A$24,0)),"Review"))</f>
        <v>Stable</v>
      </c>
      <c r="O736" s="350" t="str">
        <f ca="1">IF($B736="Portfolio","Portfolio",IFERROR(INDEX(DATA_ASSET_CLASSIFICATION!$AB$8:$AB$13,MATCH($N736,DATA_ASSET_CLASSIFICATION!$AA$8:$AA$13,0)),"Review"))</f>
        <v>Bucket 2 · Legacy</v>
      </c>
      <c r="P736" s="350" t="str">
        <f>IF($B736="Portfolio","Portfolio",IFERROR(INDEX(DATA_ASSET_CLASSIFICATION!$C$8:$C$24,MATCH($C736,DATA_ASSET_CLASSIFICATION!$A$8:$A$24,0)),"Review"))</f>
        <v>Yes</v>
      </c>
      <c r="Q736" s="350" t="str">
        <f t="shared" ca="1" si="23"/>
        <v>OK</v>
      </c>
    </row>
    <row r="737" spans="1:17">
      <c r="A737" s="366" t="s">
        <v>2693</v>
      </c>
      <c r="B737" s="366" t="s">
        <v>231</v>
      </c>
      <c r="C737" s="348" t="str">
        <f>DATA_PROPERTY_MASTER!$A$6</f>
        <v>BLD_AC</v>
      </c>
      <c r="D737" s="380">
        <f>'00_PORTFOLIO ROLLUP'!N$12</f>
        <v>2034</v>
      </c>
      <c r="E737" s="366" t="s">
        <v>1683</v>
      </c>
      <c r="F737" s="366" t="s">
        <v>355</v>
      </c>
      <c r="G737" s="348" t="str">
        <f>"'"&amp;$C737&amp;"'!$E$39:$Y$39"</f>
        <v>'BLD_AC'!$E$39:$Y$39</v>
      </c>
      <c r="H737" s="381">
        <f ca="1">IF(IFERROR(INDEX(DATA_PROPERTY_MASTER!$E$5:$E$21,MATCH($C737,DATA_PROPERTY_MASTER!$A$5:$A$21,0))="Yes",FALSE),IFERROR(INDEX(INDIRECT("'"&amp;$C737&amp;"'!$E$39:$Y$39"),1,MATCH($D737,INDIRECT("'"&amp;$C737&amp;"'!$E$12:$Y$12"),0)),0),0)</f>
        <v>214306.63628449058</v>
      </c>
      <c r="I737" s="366" t="s">
        <v>1690</v>
      </c>
      <c r="J737" s="348" t="str">
        <f t="shared" ca="1" si="22"/>
        <v>OK</v>
      </c>
      <c r="K737" s="366" t="s">
        <v>1686</v>
      </c>
      <c r="L737" s="366" t="s">
        <v>2236</v>
      </c>
      <c r="M737" s="350" t="str">
        <f>IF($B737="Portfolio","Portfolio",IFERROR(INDEX(DATA_ASSET_CLASSIFICATION!$B$8:$B$24,MATCH($C737,DATA_ASSET_CLASSIFICATION!$A$8:$A$24,0)),"Review"))</f>
        <v>Antkiw Court</v>
      </c>
      <c r="N737" s="350" t="str">
        <f ca="1">IF($B737="Portfolio","Portfolio",IFERROR(INDEX(DATA_ASSET_CLASSIFICATION!$U$8:$U$24,MATCH($C737,DATA_ASSET_CLASSIFICATION!$A$8:$A$24,0)),"Review"))</f>
        <v>Stable</v>
      </c>
      <c r="O737" s="350" t="str">
        <f ca="1">IF($B737="Portfolio","Portfolio",IFERROR(INDEX(DATA_ASSET_CLASSIFICATION!$AB$8:$AB$13,MATCH($N737,DATA_ASSET_CLASSIFICATION!$AA$8:$AA$13,0)),"Review"))</f>
        <v>Bucket 2 · Legacy</v>
      </c>
      <c r="P737" s="350" t="str">
        <f>IF($B737="Portfolio","Portfolio",IFERROR(INDEX(DATA_ASSET_CLASSIFICATION!$C$8:$C$24,MATCH($C737,DATA_ASSET_CLASSIFICATION!$A$8:$A$24,0)),"Review"))</f>
        <v>Yes</v>
      </c>
      <c r="Q737" s="350" t="str">
        <f t="shared" ca="1" si="23"/>
        <v>OK</v>
      </c>
    </row>
    <row r="738" spans="1:17">
      <c r="A738" s="366" t="s">
        <v>2694</v>
      </c>
      <c r="B738" s="366" t="s">
        <v>231</v>
      </c>
      <c r="C738" s="348" t="str">
        <f>DATA_PROPERTY_MASTER!$A$6</f>
        <v>BLD_AC</v>
      </c>
      <c r="D738" s="380">
        <f>'00_PORTFOLIO ROLLUP'!N$12</f>
        <v>2034</v>
      </c>
      <c r="E738" s="366" t="s">
        <v>1683</v>
      </c>
      <c r="F738" s="366" t="s">
        <v>19</v>
      </c>
      <c r="G738" s="348" t="str">
        <f>"'"&amp;$C738&amp;"'!$E$41:$Y$41"</f>
        <v>'BLD_AC'!$E$41:$Y$41</v>
      </c>
      <c r="H738" s="381">
        <f ca="1">IF(IFERROR(INDEX(DATA_PROPERTY_MASTER!$E$5:$E$21,MATCH($C738,DATA_PROPERTY_MASTER!$A$5:$A$21,0))="Yes",FALSE),IFERROR(INDEX(INDIRECT("'"&amp;$C738&amp;"'!$E$41:$Y$41"),1,MATCH($D738,INDIRECT("'"&amp;$C738&amp;"'!$E$12:$Y$12"),0)),0),0)</f>
        <v>246045.08866553241</v>
      </c>
      <c r="I738" s="366" t="s">
        <v>1685</v>
      </c>
      <c r="J738" s="348" t="str">
        <f t="shared" ca="1" si="22"/>
        <v>OK</v>
      </c>
      <c r="K738" s="366" t="s">
        <v>1694</v>
      </c>
      <c r="L738" s="366" t="s">
        <v>2238</v>
      </c>
      <c r="M738" s="350" t="str">
        <f>IF($B738="Portfolio","Portfolio",IFERROR(INDEX(DATA_ASSET_CLASSIFICATION!$B$8:$B$24,MATCH($C738,DATA_ASSET_CLASSIFICATION!$A$8:$A$24,0)),"Review"))</f>
        <v>Antkiw Court</v>
      </c>
      <c r="N738" s="350" t="str">
        <f ca="1">IF($B738="Portfolio","Portfolio",IFERROR(INDEX(DATA_ASSET_CLASSIFICATION!$U$8:$U$24,MATCH($C738,DATA_ASSET_CLASSIFICATION!$A$8:$A$24,0)),"Review"))</f>
        <v>Stable</v>
      </c>
      <c r="O738" s="350" t="str">
        <f ca="1">IF($B738="Portfolio","Portfolio",IFERROR(INDEX(DATA_ASSET_CLASSIFICATION!$AB$8:$AB$13,MATCH($N738,DATA_ASSET_CLASSIFICATION!$AA$8:$AA$13,0)),"Review"))</f>
        <v>Bucket 2 · Legacy</v>
      </c>
      <c r="P738" s="350" t="str">
        <f>IF($B738="Portfolio","Portfolio",IFERROR(INDEX(DATA_ASSET_CLASSIFICATION!$C$8:$C$24,MATCH($C738,DATA_ASSET_CLASSIFICATION!$A$8:$A$24,0)),"Review"))</f>
        <v>Yes</v>
      </c>
      <c r="Q738" s="350" t="str">
        <f t="shared" ca="1" si="23"/>
        <v>OK</v>
      </c>
    </row>
    <row r="739" spans="1:17">
      <c r="A739" s="366" t="s">
        <v>2695</v>
      </c>
      <c r="B739" s="366" t="s">
        <v>231</v>
      </c>
      <c r="C739" s="348" t="str">
        <f>DATA_PROPERTY_MASTER!$A$6</f>
        <v>BLD_AC</v>
      </c>
      <c r="D739" s="380">
        <f>'00_PORTFOLIO ROLLUP'!N$12</f>
        <v>2034</v>
      </c>
      <c r="E739" s="366" t="s">
        <v>1683</v>
      </c>
      <c r="F739" s="366" t="s">
        <v>1697</v>
      </c>
      <c r="G739" s="348" t="str">
        <f>"'"&amp;$C739&amp;"'!$E$44:$Y$44"</f>
        <v>'BLD_AC'!$E$44:$Y$44</v>
      </c>
      <c r="H739" s="381">
        <f ca="1">IF(IFERROR(INDEX(DATA_PROPERTY_MASTER!$E$5:$E$21,MATCH($C739,DATA_PROPERTY_MASTER!$A$5:$A$21,0))="Yes",FALSE),IFERROR(INDEX(INDIRECT("'"&amp;$C739&amp;"'!$E$44:$Y$44"),1,MATCH($D739,INDIRECT("'"&amp;$C739&amp;"'!$E$12:$Y$12"),0)),0),0)</f>
        <v>3764.541591160279</v>
      </c>
      <c r="I739" s="366" t="s">
        <v>1690</v>
      </c>
      <c r="J739" s="348" t="str">
        <f t="shared" ca="1" si="22"/>
        <v>OK</v>
      </c>
      <c r="K739" s="366" t="s">
        <v>1699</v>
      </c>
      <c r="L739" s="366" t="s">
        <v>2240</v>
      </c>
      <c r="M739" s="350" t="str">
        <f>IF($B739="Portfolio","Portfolio",IFERROR(INDEX(DATA_ASSET_CLASSIFICATION!$B$8:$B$24,MATCH($C739,DATA_ASSET_CLASSIFICATION!$A$8:$A$24,0)),"Review"))</f>
        <v>Antkiw Court</v>
      </c>
      <c r="N739" s="350" t="str">
        <f ca="1">IF($B739="Portfolio","Portfolio",IFERROR(INDEX(DATA_ASSET_CLASSIFICATION!$U$8:$U$24,MATCH($C739,DATA_ASSET_CLASSIFICATION!$A$8:$A$24,0)),"Review"))</f>
        <v>Stable</v>
      </c>
      <c r="O739" s="350" t="str">
        <f ca="1">IF($B739="Portfolio","Portfolio",IFERROR(INDEX(DATA_ASSET_CLASSIFICATION!$AB$8:$AB$13,MATCH($N739,DATA_ASSET_CLASSIFICATION!$AA$8:$AA$13,0)),"Review"))</f>
        <v>Bucket 2 · Legacy</v>
      </c>
      <c r="P739" s="350" t="str">
        <f>IF($B739="Portfolio","Portfolio",IFERROR(INDEX(DATA_ASSET_CLASSIFICATION!$C$8:$C$24,MATCH($C739,DATA_ASSET_CLASSIFICATION!$A$8:$A$24,0)),"Review"))</f>
        <v>Yes</v>
      </c>
      <c r="Q739" s="350" t="str">
        <f t="shared" ca="1" si="23"/>
        <v>OK</v>
      </c>
    </row>
    <row r="740" spans="1:17">
      <c r="A740" s="366" t="s">
        <v>2696</v>
      </c>
      <c r="B740" s="366" t="s">
        <v>231</v>
      </c>
      <c r="C740" s="348" t="str">
        <f>DATA_PROPERTY_MASTER!$A$6</f>
        <v>BLD_AC</v>
      </c>
      <c r="D740" s="380">
        <f>'00_PORTFOLIO ROLLUP'!N$12</f>
        <v>2034</v>
      </c>
      <c r="E740" s="366" t="s">
        <v>1683</v>
      </c>
      <c r="F740" s="366" t="s">
        <v>21</v>
      </c>
      <c r="G740" s="348" t="str">
        <f>"'"&amp;$C740&amp;"'!$E$45:$Y$45"</f>
        <v>'BLD_AC'!$E$45:$Y$45</v>
      </c>
      <c r="H740" s="381">
        <f ca="1">IF(IFERROR(INDEX(DATA_PROPERTY_MASTER!$E$5:$E$21,MATCH($C740,DATA_PROPERTY_MASTER!$A$5:$A$21,0))="Yes",FALSE),IFERROR(INDEX(INDIRECT("'"&amp;$C740&amp;"'!$E$45:$Y$45"),1,MATCH($D740,INDIRECT("'"&amp;$C740&amp;"'!$E$12:$Y$12"),0)),0),0)</f>
        <v>242280.54707437212</v>
      </c>
      <c r="I740" s="366" t="s">
        <v>1685</v>
      </c>
      <c r="J740" s="348" t="str">
        <f t="shared" ca="1" si="22"/>
        <v>OK</v>
      </c>
      <c r="K740" s="366" t="s">
        <v>1694</v>
      </c>
      <c r="L740" s="366" t="s">
        <v>2242</v>
      </c>
      <c r="M740" s="350" t="str">
        <f>IF($B740="Portfolio","Portfolio",IFERROR(INDEX(DATA_ASSET_CLASSIFICATION!$B$8:$B$24,MATCH($C740,DATA_ASSET_CLASSIFICATION!$A$8:$A$24,0)),"Review"))</f>
        <v>Antkiw Court</v>
      </c>
      <c r="N740" s="350" t="str">
        <f ca="1">IF($B740="Portfolio","Portfolio",IFERROR(INDEX(DATA_ASSET_CLASSIFICATION!$U$8:$U$24,MATCH($C740,DATA_ASSET_CLASSIFICATION!$A$8:$A$24,0)),"Review"))</f>
        <v>Stable</v>
      </c>
      <c r="O740" s="350" t="str">
        <f ca="1">IF($B740="Portfolio","Portfolio",IFERROR(INDEX(DATA_ASSET_CLASSIFICATION!$AB$8:$AB$13,MATCH($N740,DATA_ASSET_CLASSIFICATION!$AA$8:$AA$13,0)),"Review"))</f>
        <v>Bucket 2 · Legacy</v>
      </c>
      <c r="P740" s="350" t="str">
        <f>IF($B740="Portfolio","Portfolio",IFERROR(INDEX(DATA_ASSET_CLASSIFICATION!$C$8:$C$24,MATCH($C740,DATA_ASSET_CLASSIFICATION!$A$8:$A$24,0)),"Review"))</f>
        <v>Yes</v>
      </c>
      <c r="Q740" s="350" t="str">
        <f t="shared" ca="1" si="23"/>
        <v>OK</v>
      </c>
    </row>
    <row r="741" spans="1:17">
      <c r="A741" s="366" t="s">
        <v>2697</v>
      </c>
      <c r="B741" s="366" t="s">
        <v>231</v>
      </c>
      <c r="C741" s="348" t="str">
        <f>DATA_PROPERTY_MASTER!$A$6</f>
        <v>BLD_AC</v>
      </c>
      <c r="D741" s="380">
        <f>'00_PORTFOLIO ROLLUP'!N$12</f>
        <v>2034</v>
      </c>
      <c r="E741" s="366" t="s">
        <v>23</v>
      </c>
      <c r="F741" s="366" t="s">
        <v>23</v>
      </c>
      <c r="G741" s="348" t="str">
        <f>"'"&amp;$C741&amp;"'!$E$48:$Y$48"</f>
        <v>'BLD_AC'!$E$48:$Y$48</v>
      </c>
      <c r="H741" s="381">
        <f ca="1">IF(IFERROR(INDEX(DATA_PROPERTY_MASTER!$E$5:$E$21,MATCH($C741,DATA_PROPERTY_MASTER!$A$5:$A$21,0))="Yes",FALSE),IFERROR(INDEX(INDIRECT("'"&amp;$C741&amp;"'!$E$48:$Y$48"),1,MATCH($D741,INDIRECT("'"&amp;$C741&amp;"'!$E$12:$Y$12"),0)),0),0)</f>
        <v>54330.12</v>
      </c>
      <c r="I741" s="366" t="s">
        <v>1690</v>
      </c>
      <c r="J741" s="348" t="str">
        <f t="shared" ca="1" si="22"/>
        <v>OK</v>
      </c>
      <c r="K741" s="366" t="s">
        <v>1706</v>
      </c>
      <c r="L741" s="366" t="s">
        <v>2244</v>
      </c>
      <c r="M741" s="350" t="str">
        <f>IF($B741="Portfolio","Portfolio",IFERROR(INDEX(DATA_ASSET_CLASSIFICATION!$B$8:$B$24,MATCH($C741,DATA_ASSET_CLASSIFICATION!$A$8:$A$24,0)),"Review"))</f>
        <v>Antkiw Court</v>
      </c>
      <c r="N741" s="350" t="str">
        <f ca="1">IF($B741="Portfolio","Portfolio",IFERROR(INDEX(DATA_ASSET_CLASSIFICATION!$U$8:$U$24,MATCH($C741,DATA_ASSET_CLASSIFICATION!$A$8:$A$24,0)),"Review"))</f>
        <v>Stable</v>
      </c>
      <c r="O741" s="350" t="str">
        <f ca="1">IF($B741="Portfolio","Portfolio",IFERROR(INDEX(DATA_ASSET_CLASSIFICATION!$AB$8:$AB$13,MATCH($N741,DATA_ASSET_CLASSIFICATION!$AA$8:$AA$13,0)),"Review"))</f>
        <v>Bucket 2 · Legacy</v>
      </c>
      <c r="P741" s="350" t="str">
        <f>IF($B741="Portfolio","Portfolio",IFERROR(INDEX(DATA_ASSET_CLASSIFICATION!$C$8:$C$24,MATCH($C741,DATA_ASSET_CLASSIFICATION!$A$8:$A$24,0)),"Review"))</f>
        <v>Yes</v>
      </c>
      <c r="Q741" s="350" t="str">
        <f t="shared" ca="1" si="23"/>
        <v>OK</v>
      </c>
    </row>
    <row r="742" spans="1:17">
      <c r="A742" s="366" t="s">
        <v>2698</v>
      </c>
      <c r="B742" s="366" t="s">
        <v>231</v>
      </c>
      <c r="C742" s="348" t="str">
        <f>DATA_PROPERTY_MASTER!$A$6</f>
        <v>BLD_AC</v>
      </c>
      <c r="D742" s="380">
        <f>'00_PORTFOLIO ROLLUP'!N$12</f>
        <v>2034</v>
      </c>
      <c r="E742" s="366" t="s">
        <v>1683</v>
      </c>
      <c r="F742" s="366" t="s">
        <v>25</v>
      </c>
      <c r="G742" s="348" t="str">
        <f>"'"&amp;$C742&amp;"'!$E$52:$Y$52"</f>
        <v>'BLD_AC'!$E$52:$Y$52</v>
      </c>
      <c r="H742" s="381">
        <f ca="1">IF(IFERROR(INDEX(DATA_PROPERTY_MASTER!$E$5:$E$21,MATCH($C742,DATA_PROPERTY_MASTER!$A$5:$A$21,0))="Yes",FALSE),IFERROR(INDEX(INDIRECT("'"&amp;$C742&amp;"'!$E$52:$Y$52"),1,MATCH($D742,INDIRECT("'"&amp;$C742&amp;"'!$E$12:$Y$12"),0)),0),0)</f>
        <v>191714.96866553242</v>
      </c>
      <c r="I742" s="366" t="s">
        <v>1685</v>
      </c>
      <c r="J742" s="348" t="str">
        <f t="shared" ca="1" si="22"/>
        <v>OK</v>
      </c>
      <c r="K742" s="366" t="s">
        <v>1710</v>
      </c>
      <c r="L742" s="366" t="s">
        <v>2246</v>
      </c>
      <c r="M742" s="350" t="str">
        <f>IF($B742="Portfolio","Portfolio",IFERROR(INDEX(DATA_ASSET_CLASSIFICATION!$B$8:$B$24,MATCH($C742,DATA_ASSET_CLASSIFICATION!$A$8:$A$24,0)),"Review"))</f>
        <v>Antkiw Court</v>
      </c>
      <c r="N742" s="350" t="str">
        <f ca="1">IF($B742="Portfolio","Portfolio",IFERROR(INDEX(DATA_ASSET_CLASSIFICATION!$U$8:$U$24,MATCH($C742,DATA_ASSET_CLASSIFICATION!$A$8:$A$24,0)),"Review"))</f>
        <v>Stable</v>
      </c>
      <c r="O742" s="350" t="str">
        <f ca="1">IF($B742="Portfolio","Portfolio",IFERROR(INDEX(DATA_ASSET_CLASSIFICATION!$AB$8:$AB$13,MATCH($N742,DATA_ASSET_CLASSIFICATION!$AA$8:$AA$13,0)),"Review"))</f>
        <v>Bucket 2 · Legacy</v>
      </c>
      <c r="P742" s="350" t="str">
        <f>IF($B742="Portfolio","Portfolio",IFERROR(INDEX(DATA_ASSET_CLASSIFICATION!$C$8:$C$24,MATCH($C742,DATA_ASSET_CLASSIFICATION!$A$8:$A$24,0)),"Review"))</f>
        <v>Yes</v>
      </c>
      <c r="Q742" s="350" t="str">
        <f t="shared" ca="1" si="23"/>
        <v>OK</v>
      </c>
    </row>
    <row r="743" spans="1:17">
      <c r="A743" s="366" t="s">
        <v>2699</v>
      </c>
      <c r="B743" s="366" t="s">
        <v>231</v>
      </c>
      <c r="C743" s="348" t="str">
        <f>DATA_PROPERTY_MASTER!$A$6</f>
        <v>BLD_AC</v>
      </c>
      <c r="D743" s="380">
        <f>'00_PORTFOLIO ROLLUP'!N$12</f>
        <v>2034</v>
      </c>
      <c r="E743" s="366" t="s">
        <v>1683</v>
      </c>
      <c r="F743" s="366" t="s">
        <v>27</v>
      </c>
      <c r="G743" s="348" t="str">
        <f>"'"&amp;$C743&amp;"'!$E$54:$Y$54"</f>
        <v>'BLD_AC'!$E$54:$Y$54</v>
      </c>
      <c r="H743" s="381">
        <f ca="1">IF(IFERROR(INDEX(DATA_PROPERTY_MASTER!$E$5:$E$21,MATCH($C743,DATA_PROPERTY_MASTER!$A$5:$A$21,0))="Yes",FALSE),IFERROR(INDEX(INDIRECT("'"&amp;$C743&amp;"'!$E$54:$Y$54"),1,MATCH($D743,INDIRECT("'"&amp;$C743&amp;"'!$E$12:$Y$12"),0)),0),0)</f>
        <v>115028.98119931945</v>
      </c>
      <c r="I743" s="366" t="s">
        <v>1690</v>
      </c>
      <c r="J743" s="348" t="str">
        <f t="shared" ca="1" si="22"/>
        <v>OK</v>
      </c>
      <c r="K743" s="366" t="s">
        <v>1714</v>
      </c>
      <c r="L743" s="366" t="s">
        <v>2248</v>
      </c>
      <c r="M743" s="350" t="str">
        <f>IF($B743="Portfolio","Portfolio",IFERROR(INDEX(DATA_ASSET_CLASSIFICATION!$B$8:$B$24,MATCH($C743,DATA_ASSET_CLASSIFICATION!$A$8:$A$24,0)),"Review"))</f>
        <v>Antkiw Court</v>
      </c>
      <c r="N743" s="350" t="str">
        <f ca="1">IF($B743="Portfolio","Portfolio",IFERROR(INDEX(DATA_ASSET_CLASSIFICATION!$U$8:$U$24,MATCH($C743,DATA_ASSET_CLASSIFICATION!$A$8:$A$24,0)),"Review"))</f>
        <v>Stable</v>
      </c>
      <c r="O743" s="350" t="str">
        <f ca="1">IF($B743="Portfolio","Portfolio",IFERROR(INDEX(DATA_ASSET_CLASSIFICATION!$AB$8:$AB$13,MATCH($N743,DATA_ASSET_CLASSIFICATION!$AA$8:$AA$13,0)),"Review"))</f>
        <v>Bucket 2 · Legacy</v>
      </c>
      <c r="P743" s="350" t="str">
        <f>IF($B743="Portfolio","Portfolio",IFERROR(INDEX(DATA_ASSET_CLASSIFICATION!$C$8:$C$24,MATCH($C743,DATA_ASSET_CLASSIFICATION!$A$8:$A$24,0)),"Review"))</f>
        <v>Yes</v>
      </c>
      <c r="Q743" s="350" t="str">
        <f t="shared" ca="1" si="23"/>
        <v>OK</v>
      </c>
    </row>
    <row r="744" spans="1:17">
      <c r="A744" s="366" t="s">
        <v>2700</v>
      </c>
      <c r="B744" s="366" t="s">
        <v>231</v>
      </c>
      <c r="C744" s="348" t="str">
        <f>DATA_PROPERTY_MASTER!$A$6</f>
        <v>BLD_AC</v>
      </c>
      <c r="D744" s="380">
        <f>'00_PORTFOLIO ROLLUP'!N$12</f>
        <v>2034</v>
      </c>
      <c r="E744" s="366" t="s">
        <v>1683</v>
      </c>
      <c r="F744" s="366" t="s">
        <v>29</v>
      </c>
      <c r="G744" s="348" t="str">
        <f>"'"&amp;$C744&amp;"'!$E$56:$Y$56"</f>
        <v>'BLD_AC'!$E$56:$Y$56</v>
      </c>
      <c r="H744" s="381">
        <f ca="1">IF(IFERROR(INDEX(DATA_PROPERTY_MASTER!$E$5:$E$21,MATCH($C744,DATA_PROPERTY_MASTER!$A$5:$A$21,0))="Yes",FALSE),IFERROR(INDEX(INDIRECT("'"&amp;$C744&amp;"'!$E$56:$Y$56"),1,MATCH($D744,INDIRECT("'"&amp;$C744&amp;"'!$E$12:$Y$12"),0)),0),0)</f>
        <v>76685.987466212973</v>
      </c>
      <c r="I744" s="366" t="s">
        <v>1685</v>
      </c>
      <c r="J744" s="348" t="str">
        <f t="shared" ca="1" si="22"/>
        <v>OK</v>
      </c>
      <c r="K744" s="366" t="s">
        <v>1718</v>
      </c>
      <c r="L744" s="366" t="s">
        <v>2250</v>
      </c>
      <c r="M744" s="350" t="str">
        <f>IF($B744="Portfolio","Portfolio",IFERROR(INDEX(DATA_ASSET_CLASSIFICATION!$B$8:$B$24,MATCH($C744,DATA_ASSET_CLASSIFICATION!$A$8:$A$24,0)),"Review"))</f>
        <v>Antkiw Court</v>
      </c>
      <c r="N744" s="350" t="str">
        <f ca="1">IF($B744="Portfolio","Portfolio",IFERROR(INDEX(DATA_ASSET_CLASSIFICATION!$U$8:$U$24,MATCH($C744,DATA_ASSET_CLASSIFICATION!$A$8:$A$24,0)),"Review"))</f>
        <v>Stable</v>
      </c>
      <c r="O744" s="350" t="str">
        <f ca="1">IF($B744="Portfolio","Portfolio",IFERROR(INDEX(DATA_ASSET_CLASSIFICATION!$AB$8:$AB$13,MATCH($N744,DATA_ASSET_CLASSIFICATION!$AA$8:$AA$13,0)),"Review"))</f>
        <v>Bucket 2 · Legacy</v>
      </c>
      <c r="P744" s="350" t="str">
        <f>IF($B744="Portfolio","Portfolio",IFERROR(INDEX(DATA_ASSET_CLASSIFICATION!$C$8:$C$24,MATCH($C744,DATA_ASSET_CLASSIFICATION!$A$8:$A$24,0)),"Review"))</f>
        <v>Yes</v>
      </c>
      <c r="Q744" s="350" t="str">
        <f t="shared" ca="1" si="23"/>
        <v>OK</v>
      </c>
    </row>
    <row r="745" spans="1:17">
      <c r="A745" s="366" t="s">
        <v>2701</v>
      </c>
      <c r="B745" s="366" t="s">
        <v>231</v>
      </c>
      <c r="C745" s="348" t="str">
        <f>DATA_PROPERTY_MASTER!$A$6</f>
        <v>BLD_AC</v>
      </c>
      <c r="D745" s="380">
        <f>'00_PORTFOLIO ROLLUP'!N$12</f>
        <v>2034</v>
      </c>
      <c r="E745" s="366" t="s">
        <v>1721</v>
      </c>
      <c r="F745" s="366" t="s">
        <v>31</v>
      </c>
      <c r="G745" s="348" t="str">
        <f>"'"&amp;$C745&amp;"'!$E$61:$Y$61"</f>
        <v>'BLD_AC'!$E$61:$Y$61</v>
      </c>
      <c r="H745" s="381">
        <f ca="1">IF(IFERROR(INDEX(DATA_PROPERTY_MASTER!$E$5:$E$21,MATCH($C745,DATA_PROPERTY_MASTER!$A$5:$A$21,0))="Yes",FALSE),IFERROR(INDEX(INDIRECT("'"&amp;$C745&amp;"'!$E$61:$Y$61"),1,MATCH($D745,INDIRECT("'"&amp;$C745&amp;"'!$E$12:$Y$12"),0)),0),0)</f>
        <v>0</v>
      </c>
      <c r="I745" s="366" t="s">
        <v>1690</v>
      </c>
      <c r="J745" s="348" t="str">
        <f t="shared" ca="1" si="22"/>
        <v>OK</v>
      </c>
      <c r="K745" s="366" t="s">
        <v>1723</v>
      </c>
      <c r="L745" s="366" t="s">
        <v>2252</v>
      </c>
      <c r="M745" s="350" t="str">
        <f>IF($B745="Portfolio","Portfolio",IFERROR(INDEX(DATA_ASSET_CLASSIFICATION!$B$8:$B$24,MATCH($C745,DATA_ASSET_CLASSIFICATION!$A$8:$A$24,0)),"Review"))</f>
        <v>Antkiw Court</v>
      </c>
      <c r="N745" s="350" t="str">
        <f ca="1">IF($B745="Portfolio","Portfolio",IFERROR(INDEX(DATA_ASSET_CLASSIFICATION!$U$8:$U$24,MATCH($C745,DATA_ASSET_CLASSIFICATION!$A$8:$A$24,0)),"Review"))</f>
        <v>Stable</v>
      </c>
      <c r="O745" s="350" t="str">
        <f ca="1">IF($B745="Portfolio","Portfolio",IFERROR(INDEX(DATA_ASSET_CLASSIFICATION!$AB$8:$AB$13,MATCH($N745,DATA_ASSET_CLASSIFICATION!$AA$8:$AA$13,0)),"Review"))</f>
        <v>Bucket 2 · Legacy</v>
      </c>
      <c r="P745" s="350" t="str">
        <f>IF($B745="Portfolio","Portfolio",IFERROR(INDEX(DATA_ASSET_CLASSIFICATION!$C$8:$C$24,MATCH($C745,DATA_ASSET_CLASSIFICATION!$A$8:$A$24,0)),"Review"))</f>
        <v>Yes</v>
      </c>
      <c r="Q745" s="350" t="str">
        <f t="shared" ca="1" si="23"/>
        <v>OK</v>
      </c>
    </row>
    <row r="746" spans="1:17">
      <c r="A746" s="366" t="s">
        <v>2702</v>
      </c>
      <c r="B746" s="366" t="s">
        <v>231</v>
      </c>
      <c r="C746" s="348" t="str">
        <f>DATA_PROPERTY_MASTER!$A$6</f>
        <v>BLD_AC</v>
      </c>
      <c r="D746" s="380">
        <f>'00_PORTFOLIO ROLLUP'!N$12</f>
        <v>2034</v>
      </c>
      <c r="E746" s="366" t="s">
        <v>1721</v>
      </c>
      <c r="F746" s="366" t="s">
        <v>33</v>
      </c>
      <c r="G746" s="348" t="str">
        <f>"'"&amp;$C746&amp;"'!$E$62:$Y$62"</f>
        <v>'BLD_AC'!$E$62:$Y$62</v>
      </c>
      <c r="H746" s="381">
        <f ca="1">IF(IFERROR(INDEX(DATA_PROPERTY_MASTER!$E$5:$E$21,MATCH($C746,DATA_PROPERTY_MASTER!$A$5:$A$21,0))="Yes",FALSE),IFERROR(INDEX(INDIRECT("'"&amp;$C746&amp;"'!$E$62:$Y$62"),1,MATCH($D746,INDIRECT("'"&amp;$C746&amp;"'!$E$12:$Y$12"),0)),0),0)</f>
        <v>0</v>
      </c>
      <c r="I746" s="366" t="s">
        <v>1685</v>
      </c>
      <c r="J746" s="348" t="str">
        <f t="shared" ca="1" si="22"/>
        <v>OK</v>
      </c>
      <c r="K746" s="366" t="s">
        <v>1727</v>
      </c>
      <c r="L746" s="366" t="s">
        <v>2254</v>
      </c>
      <c r="M746" s="350" t="str">
        <f>IF($B746="Portfolio","Portfolio",IFERROR(INDEX(DATA_ASSET_CLASSIFICATION!$B$8:$B$24,MATCH($C746,DATA_ASSET_CLASSIFICATION!$A$8:$A$24,0)),"Review"))</f>
        <v>Antkiw Court</v>
      </c>
      <c r="N746" s="350" t="str">
        <f ca="1">IF($B746="Portfolio","Portfolio",IFERROR(INDEX(DATA_ASSET_CLASSIFICATION!$U$8:$U$24,MATCH($C746,DATA_ASSET_CLASSIFICATION!$A$8:$A$24,0)),"Review"))</f>
        <v>Stable</v>
      </c>
      <c r="O746" s="350" t="str">
        <f ca="1">IF($B746="Portfolio","Portfolio",IFERROR(INDEX(DATA_ASSET_CLASSIFICATION!$AB$8:$AB$13,MATCH($N746,DATA_ASSET_CLASSIFICATION!$AA$8:$AA$13,0)),"Review"))</f>
        <v>Bucket 2 · Legacy</v>
      </c>
      <c r="P746" s="350" t="str">
        <f>IF($B746="Portfolio","Portfolio",IFERROR(INDEX(DATA_ASSET_CLASSIFICATION!$C$8:$C$24,MATCH($C746,DATA_ASSET_CLASSIFICATION!$A$8:$A$24,0)),"Review"))</f>
        <v>Yes</v>
      </c>
      <c r="Q746" s="350" t="str">
        <f t="shared" ca="1" si="23"/>
        <v>OK</v>
      </c>
    </row>
    <row r="747" spans="1:17">
      <c r="A747" s="366" t="s">
        <v>2703</v>
      </c>
      <c r="B747" s="366" t="s">
        <v>231</v>
      </c>
      <c r="C747" s="348" t="str">
        <f>DATA_PROPERTY_MASTER!$A$6</f>
        <v>BLD_AC</v>
      </c>
      <c r="D747" s="380">
        <f>'00_PORTFOLIO ROLLUP'!N$12</f>
        <v>2034</v>
      </c>
      <c r="E747" s="366" t="s">
        <v>1721</v>
      </c>
      <c r="F747" s="366" t="s">
        <v>35</v>
      </c>
      <c r="G747" s="348" t="str">
        <f>"'"&amp;$C747&amp;"'!$E$63:$Y$63"</f>
        <v>'BLD_AC'!$E$63:$Y$63</v>
      </c>
      <c r="H747" s="381">
        <f ca="1">IF(IFERROR(INDEX(DATA_PROPERTY_MASTER!$E$5:$E$21,MATCH($C747,DATA_PROPERTY_MASTER!$A$5:$A$21,0))="Yes",FALSE),IFERROR(INDEX(INDIRECT("'"&amp;$C747&amp;"'!$E$63:$Y$63"),1,MATCH($D747,INDIRECT("'"&amp;$C747&amp;"'!$E$12:$Y$12"),0)),0),0)</f>
        <v>0</v>
      </c>
      <c r="I747" s="366" t="s">
        <v>1731</v>
      </c>
      <c r="J747" s="348" t="str">
        <f t="shared" ca="1" si="22"/>
        <v>OK</v>
      </c>
      <c r="K747" s="366" t="s">
        <v>1732</v>
      </c>
      <c r="L747" s="366" t="s">
        <v>2256</v>
      </c>
      <c r="M747" s="350" t="str">
        <f>IF($B747="Portfolio","Portfolio",IFERROR(INDEX(DATA_ASSET_CLASSIFICATION!$B$8:$B$24,MATCH($C747,DATA_ASSET_CLASSIFICATION!$A$8:$A$24,0)),"Review"))</f>
        <v>Antkiw Court</v>
      </c>
      <c r="N747" s="350" t="str">
        <f ca="1">IF($B747="Portfolio","Portfolio",IFERROR(INDEX(DATA_ASSET_CLASSIFICATION!$U$8:$U$24,MATCH($C747,DATA_ASSET_CLASSIFICATION!$A$8:$A$24,0)),"Review"))</f>
        <v>Stable</v>
      </c>
      <c r="O747" s="350" t="str">
        <f ca="1">IF($B747="Portfolio","Portfolio",IFERROR(INDEX(DATA_ASSET_CLASSIFICATION!$AB$8:$AB$13,MATCH($N747,DATA_ASSET_CLASSIFICATION!$AA$8:$AA$13,0)),"Review"))</f>
        <v>Bucket 2 · Legacy</v>
      </c>
      <c r="P747" s="350" t="str">
        <f>IF($B747="Portfolio","Portfolio",IFERROR(INDEX(DATA_ASSET_CLASSIFICATION!$C$8:$C$24,MATCH($C747,DATA_ASSET_CLASSIFICATION!$A$8:$A$24,0)),"Review"))</f>
        <v>Yes</v>
      </c>
      <c r="Q747" s="350" t="str">
        <f t="shared" ca="1" si="23"/>
        <v>OK</v>
      </c>
    </row>
    <row r="748" spans="1:17">
      <c r="A748" s="366" t="s">
        <v>2704</v>
      </c>
      <c r="B748" s="366" t="s">
        <v>231</v>
      </c>
      <c r="C748" s="348" t="str">
        <f>DATA_PROPERTY_MASTER!$A$6</f>
        <v>BLD_AC</v>
      </c>
      <c r="D748" s="380">
        <f>'00_PORTFOLIO ROLLUP'!N$12</f>
        <v>2034</v>
      </c>
      <c r="E748" s="366" t="s">
        <v>1721</v>
      </c>
      <c r="F748" s="366" t="s">
        <v>37</v>
      </c>
      <c r="G748" s="348" t="str">
        <f>"'"&amp;$C748&amp;"'!$E$63:$Y$63"</f>
        <v>'BLD_AC'!$E$63:$Y$63</v>
      </c>
      <c r="H748" s="381">
        <f ca="1">IF(IFERROR(INDEX(DATA_PROPERTY_MASTER!$E$5:$E$21,MATCH($C748,DATA_PROPERTY_MASTER!$A$5:$A$21,0))="Yes",FALSE),MAX(IFERROR(INDEX(INDIRECT("'"&amp;$C748&amp;"'!$E$63:$Y$63"),1,MATCH($D748,INDIRECT("'"&amp;$C748&amp;"'!$E$12:$Y$12"),0)),0),0),0)</f>
        <v>0</v>
      </c>
      <c r="I748" s="366" t="s">
        <v>1685</v>
      </c>
      <c r="J748" s="348" t="str">
        <f t="shared" ca="1" si="22"/>
        <v>OK</v>
      </c>
      <c r="K748" s="366" t="s">
        <v>1735</v>
      </c>
      <c r="L748" s="366" t="s">
        <v>2258</v>
      </c>
      <c r="M748" s="350" t="str">
        <f>IF($B748="Portfolio","Portfolio",IFERROR(INDEX(DATA_ASSET_CLASSIFICATION!$B$8:$B$24,MATCH($C748,DATA_ASSET_CLASSIFICATION!$A$8:$A$24,0)),"Review"))</f>
        <v>Antkiw Court</v>
      </c>
      <c r="N748" s="350" t="str">
        <f ca="1">IF($B748="Portfolio","Portfolio",IFERROR(INDEX(DATA_ASSET_CLASSIFICATION!$U$8:$U$24,MATCH($C748,DATA_ASSET_CLASSIFICATION!$A$8:$A$24,0)),"Review"))</f>
        <v>Stable</v>
      </c>
      <c r="O748" s="350" t="str">
        <f ca="1">IF($B748="Portfolio","Portfolio",IFERROR(INDEX(DATA_ASSET_CLASSIFICATION!$AB$8:$AB$13,MATCH($N748,DATA_ASSET_CLASSIFICATION!$AA$8:$AA$13,0)),"Review"))</f>
        <v>Bucket 2 · Legacy</v>
      </c>
      <c r="P748" s="350" t="str">
        <f>IF($B748="Portfolio","Portfolio",IFERROR(INDEX(DATA_ASSET_CLASSIFICATION!$C$8:$C$24,MATCH($C748,DATA_ASSET_CLASSIFICATION!$A$8:$A$24,0)),"Review"))</f>
        <v>Yes</v>
      </c>
      <c r="Q748" s="350" t="str">
        <f t="shared" ca="1" si="23"/>
        <v>OK</v>
      </c>
    </row>
    <row r="749" spans="1:17">
      <c r="A749" s="366" t="s">
        <v>2705</v>
      </c>
      <c r="B749" s="366" t="s">
        <v>231</v>
      </c>
      <c r="C749" s="348" t="str">
        <f>DATA_PROPERTY_MASTER!$A$6</f>
        <v>BLD_AC</v>
      </c>
      <c r="D749" s="380">
        <f>'00_PORTFOLIO ROLLUP'!N$12</f>
        <v>2034</v>
      </c>
      <c r="E749" s="366" t="s">
        <v>1721</v>
      </c>
      <c r="F749" s="366" t="s">
        <v>39</v>
      </c>
      <c r="G749" s="348" t="str">
        <f>"'"&amp;$C749&amp;"'!$E$63:$Y$63"</f>
        <v>'BLD_AC'!$E$63:$Y$63</v>
      </c>
      <c r="H749" s="381">
        <f ca="1">IF(IFERROR(INDEX(DATA_PROPERTY_MASTER!$E$5:$E$21,MATCH($C749,DATA_PROPERTY_MASTER!$A$5:$A$21,0))="Yes",FALSE),MAX(-IFERROR(INDEX(INDIRECT("'"&amp;$C749&amp;"'!$E$63:$Y$63"),1,MATCH($D749,INDIRECT("'"&amp;$C749&amp;"'!$E$12:$Y$12"),0)),0),0),0)</f>
        <v>0</v>
      </c>
      <c r="I749" s="366" t="s">
        <v>1690</v>
      </c>
      <c r="J749" s="348" t="str">
        <f t="shared" ca="1" si="22"/>
        <v>OK</v>
      </c>
      <c r="K749" s="366" t="s">
        <v>1738</v>
      </c>
      <c r="L749" s="366" t="s">
        <v>2260</v>
      </c>
      <c r="M749" s="350" t="str">
        <f>IF($B749="Portfolio","Portfolio",IFERROR(INDEX(DATA_ASSET_CLASSIFICATION!$B$8:$B$24,MATCH($C749,DATA_ASSET_CLASSIFICATION!$A$8:$A$24,0)),"Review"))</f>
        <v>Antkiw Court</v>
      </c>
      <c r="N749" s="350" t="str">
        <f ca="1">IF($B749="Portfolio","Portfolio",IFERROR(INDEX(DATA_ASSET_CLASSIFICATION!$U$8:$U$24,MATCH($C749,DATA_ASSET_CLASSIFICATION!$A$8:$A$24,0)),"Review"))</f>
        <v>Stable</v>
      </c>
      <c r="O749" s="350" t="str">
        <f ca="1">IF($B749="Portfolio","Portfolio",IFERROR(INDEX(DATA_ASSET_CLASSIFICATION!$AB$8:$AB$13,MATCH($N749,DATA_ASSET_CLASSIFICATION!$AA$8:$AA$13,0)),"Review"))</f>
        <v>Bucket 2 · Legacy</v>
      </c>
      <c r="P749" s="350" t="str">
        <f>IF($B749="Portfolio","Portfolio",IFERROR(INDEX(DATA_ASSET_CLASSIFICATION!$C$8:$C$24,MATCH($C749,DATA_ASSET_CLASSIFICATION!$A$8:$A$24,0)),"Review"))</f>
        <v>Yes</v>
      </c>
      <c r="Q749" s="350" t="str">
        <f t="shared" ca="1" si="23"/>
        <v>OK</v>
      </c>
    </row>
    <row r="750" spans="1:17">
      <c r="A750" s="366" t="s">
        <v>2706</v>
      </c>
      <c r="B750" s="366" t="s">
        <v>231</v>
      </c>
      <c r="C750" s="348" t="str">
        <f>DATA_PROPERTY_MASTER!$A$6</f>
        <v>BLD_AC</v>
      </c>
      <c r="D750" s="380">
        <f>'00_PORTFOLIO ROLLUP'!N$12</f>
        <v>2034</v>
      </c>
      <c r="E750" s="366" t="s">
        <v>1741</v>
      </c>
      <c r="F750" s="366" t="s">
        <v>41</v>
      </c>
      <c r="G750" s="348" t="str">
        <f>"'"&amp;$C750&amp;"'!rows 56 + positive row 63"</f>
        <v>'BLD_AC'!rows 56 + positive row 63</v>
      </c>
      <c r="H750" s="381">
        <f ca="1">IF(IFERROR(INDEX(DATA_PROPERTY_MASTER!$E$5:$E$21,MATCH($C750,DATA_PROPERTY_MASTER!$A$5:$A$21,0))="Yes",FALSE),IFERROR(INDEX(INDIRECT("'"&amp;$C750&amp;"'!$E$56:$Y$56"),1,MATCH($D750,INDIRECT("'"&amp;$C750&amp;"'!$E$12:$Y$12"),0)),0)+MAX(IFERROR(INDEX(INDIRECT("'"&amp;$C750&amp;"'!$E$63:$Y$63"),1,MATCH($D750,INDIRECT("'"&amp;$C750&amp;"'!$E$12:$Y$12"),0)),0),0),0)</f>
        <v>76685.987466212973</v>
      </c>
      <c r="I750" s="366" t="s">
        <v>1685</v>
      </c>
      <c r="J750" s="348" t="str">
        <f t="shared" ca="1" si="22"/>
        <v>OK</v>
      </c>
      <c r="K750" s="366" t="s">
        <v>1742</v>
      </c>
      <c r="L750" s="366" t="s">
        <v>2262</v>
      </c>
      <c r="M750" s="350" t="str">
        <f>IF($B750="Portfolio","Portfolio",IFERROR(INDEX(DATA_ASSET_CLASSIFICATION!$B$8:$B$24,MATCH($C750,DATA_ASSET_CLASSIFICATION!$A$8:$A$24,0)),"Review"))</f>
        <v>Antkiw Court</v>
      </c>
      <c r="N750" s="350" t="str">
        <f ca="1">IF($B750="Portfolio","Portfolio",IFERROR(INDEX(DATA_ASSET_CLASSIFICATION!$U$8:$U$24,MATCH($C750,DATA_ASSET_CLASSIFICATION!$A$8:$A$24,0)),"Review"))</f>
        <v>Stable</v>
      </c>
      <c r="O750" s="350" t="str">
        <f ca="1">IF($B750="Portfolio","Portfolio",IFERROR(INDEX(DATA_ASSET_CLASSIFICATION!$AB$8:$AB$13,MATCH($N750,DATA_ASSET_CLASSIFICATION!$AA$8:$AA$13,0)),"Review"))</f>
        <v>Bucket 2 · Legacy</v>
      </c>
      <c r="P750" s="350" t="str">
        <f>IF($B750="Portfolio","Portfolio",IFERROR(INDEX(DATA_ASSET_CLASSIFICATION!$C$8:$C$24,MATCH($C750,DATA_ASSET_CLASSIFICATION!$A$8:$A$24,0)),"Review"))</f>
        <v>Yes</v>
      </c>
      <c r="Q750" s="350" t="str">
        <f t="shared" ca="1" si="23"/>
        <v>OK</v>
      </c>
    </row>
    <row r="751" spans="1:17">
      <c r="A751" s="366" t="s">
        <v>2707</v>
      </c>
      <c r="B751" s="366" t="s">
        <v>231</v>
      </c>
      <c r="C751" s="348" t="str">
        <f>DATA_PROPERTY_MASTER!$A$6</f>
        <v>BLD_AC</v>
      </c>
      <c r="D751" s="380">
        <f>'00_PORTFOLIO ROLLUP'!N$12</f>
        <v>2034</v>
      </c>
      <c r="E751" s="366" t="s">
        <v>1741</v>
      </c>
      <c r="F751" s="366" t="s">
        <v>43</v>
      </c>
      <c r="G751" s="348" t="str">
        <f>"'"&amp;$C751&amp;"'!$E$68:$Y$68"</f>
        <v>'BLD_AC'!$E$68:$Y$68</v>
      </c>
      <c r="H751" s="381">
        <f ca="1">IF(IFERROR(INDEX(DATA_PROPERTY_MASTER!$E$5:$E$21,MATCH($C751,DATA_PROPERTY_MASTER!$A$5:$A$21,0))="Yes",FALSE),IFERROR(INDEX(INDIRECT("'"&amp;$C751&amp;"'!$E$68:$Y$68"),1,MATCH($D751,INDIRECT("'"&amp;$C751&amp;"'!$E$12:$Y$12"),0)),0),0)</f>
        <v>76685.987466212973</v>
      </c>
      <c r="I751" s="366" t="s">
        <v>1731</v>
      </c>
      <c r="J751" s="348" t="str">
        <f t="shared" ca="1" si="22"/>
        <v>OK</v>
      </c>
      <c r="K751" s="366" t="s">
        <v>1746</v>
      </c>
      <c r="L751" s="366" t="s">
        <v>2264</v>
      </c>
      <c r="M751" s="350" t="str">
        <f>IF($B751="Portfolio","Portfolio",IFERROR(INDEX(DATA_ASSET_CLASSIFICATION!$B$8:$B$24,MATCH($C751,DATA_ASSET_CLASSIFICATION!$A$8:$A$24,0)),"Review"))</f>
        <v>Antkiw Court</v>
      </c>
      <c r="N751" s="350" t="str">
        <f ca="1">IF($B751="Portfolio","Portfolio",IFERROR(INDEX(DATA_ASSET_CLASSIFICATION!$U$8:$U$24,MATCH($C751,DATA_ASSET_CLASSIFICATION!$A$8:$A$24,0)),"Review"))</f>
        <v>Stable</v>
      </c>
      <c r="O751" s="350" t="str">
        <f ca="1">IF($B751="Portfolio","Portfolio",IFERROR(INDEX(DATA_ASSET_CLASSIFICATION!$AB$8:$AB$13,MATCH($N751,DATA_ASSET_CLASSIFICATION!$AA$8:$AA$13,0)),"Review"))</f>
        <v>Bucket 2 · Legacy</v>
      </c>
      <c r="P751" s="350" t="str">
        <f>IF($B751="Portfolio","Portfolio",IFERROR(INDEX(DATA_ASSET_CLASSIFICATION!$C$8:$C$24,MATCH($C751,DATA_ASSET_CLASSIFICATION!$A$8:$A$24,0)),"Review"))</f>
        <v>Yes</v>
      </c>
      <c r="Q751" s="350" t="str">
        <f t="shared" ca="1" si="23"/>
        <v>OK</v>
      </c>
    </row>
    <row r="752" spans="1:17">
      <c r="A752" s="366" t="s">
        <v>2708</v>
      </c>
      <c r="B752" s="366" t="s">
        <v>231</v>
      </c>
      <c r="C752" s="348" t="str">
        <f>DATA_PROPERTY_MASTER!$A$6</f>
        <v>BLD_AC</v>
      </c>
      <c r="D752" s="380">
        <f>'00_PORTFOLIO ROLLUP'!N$12</f>
        <v>2034</v>
      </c>
      <c r="E752" s="366" t="s">
        <v>1741</v>
      </c>
      <c r="F752" s="366" t="s">
        <v>1749</v>
      </c>
      <c r="G752" s="348" t="str">
        <f>"'"&amp;$C752&amp;"'!rows 56, 63, 68"</f>
        <v>'BLD_AC'!rows 56, 63, 68</v>
      </c>
      <c r="H752" s="381">
        <f ca="1">IF(IFERROR(INDEX(DATA_PROPERTY_MASTER!$E$5:$E$21,MATCH($C752,DATA_PROPERTY_MASTER!$A$5:$A$21,0))="Yes",FALSE),(IFERROR(INDEX(INDIRECT("'"&amp;$C752&amp;"'!$E$56:$Y$56"),1,MATCH($D752,INDIRECT("'"&amp;$C752&amp;"'!$E$12:$Y$12"),0)),0)+MAX(IFERROR(INDEX(INDIRECT("'"&amp;$C752&amp;"'!$E$63:$Y$63"),1,MATCH($D752,INDIRECT("'"&amp;$C752&amp;"'!$E$12:$Y$12"),0)),0),0))-(IFERROR(INDEX(INDIRECT("'"&amp;$C752&amp;"'!$E$68:$Y$68"),1,MATCH($D752,INDIRECT("'"&amp;$C752&amp;"'!$E$12:$Y$12"),0)),0)),0)</f>
        <v>0</v>
      </c>
      <c r="I752" s="366" t="s">
        <v>1750</v>
      </c>
      <c r="J752" s="348" t="str">
        <f t="shared" ca="1" si="22"/>
        <v>OK</v>
      </c>
      <c r="K752" s="366" t="s">
        <v>1751</v>
      </c>
      <c r="L752" s="366" t="s">
        <v>2266</v>
      </c>
      <c r="M752" s="350" t="str">
        <f>IF($B752="Portfolio","Portfolio",IFERROR(INDEX(DATA_ASSET_CLASSIFICATION!$B$8:$B$24,MATCH($C752,DATA_ASSET_CLASSIFICATION!$A$8:$A$24,0)),"Review"))</f>
        <v>Antkiw Court</v>
      </c>
      <c r="N752" s="350" t="str">
        <f ca="1">IF($B752="Portfolio","Portfolio",IFERROR(INDEX(DATA_ASSET_CLASSIFICATION!$U$8:$U$24,MATCH($C752,DATA_ASSET_CLASSIFICATION!$A$8:$A$24,0)),"Review"))</f>
        <v>Stable</v>
      </c>
      <c r="O752" s="350" t="str">
        <f ca="1">IF($B752="Portfolio","Portfolio",IFERROR(INDEX(DATA_ASSET_CLASSIFICATION!$AB$8:$AB$13,MATCH($N752,DATA_ASSET_CLASSIFICATION!$AA$8:$AA$13,0)),"Review"))</f>
        <v>Bucket 2 · Legacy</v>
      </c>
      <c r="P752" s="350" t="str">
        <f>IF($B752="Portfolio","Portfolio",IFERROR(INDEX(DATA_ASSET_CLASSIFICATION!$C$8:$C$24,MATCH($C752,DATA_ASSET_CLASSIFICATION!$A$8:$A$24,0)),"Review"))</f>
        <v>Yes</v>
      </c>
      <c r="Q752" s="350" t="str">
        <f t="shared" ca="1" si="23"/>
        <v>OK</v>
      </c>
    </row>
    <row r="753" spans="1:17">
      <c r="A753" s="366" t="s">
        <v>2709</v>
      </c>
      <c r="B753" s="366" t="s">
        <v>231</v>
      </c>
      <c r="C753" s="348" t="str">
        <f>DATA_PROPERTY_MASTER!$A$6</f>
        <v>BLD_AC</v>
      </c>
      <c r="D753" s="380">
        <f>'00_PORTFOLIO ROLLUP'!O$12</f>
        <v>2035</v>
      </c>
      <c r="E753" s="366" t="s">
        <v>1683</v>
      </c>
      <c r="F753" s="366" t="s">
        <v>341</v>
      </c>
      <c r="G753" s="348" t="str">
        <f>"'"&amp;$C753&amp;"'!$E$24:$Y$24"</f>
        <v>'BLD_AC'!$E$24:$Y$24</v>
      </c>
      <c r="H753" s="381">
        <f ca="1">IF(IFERROR(INDEX(DATA_PROPERTY_MASTER!$E$5:$E$21,MATCH($C753,DATA_PROPERTY_MASTER!$A$5:$A$21,0))="Yes",FALSE),IFERROR(INDEX(INDIRECT("'"&amp;$C753&amp;"'!$E$24:$Y$24"),1,MATCH($D753,INDIRECT("'"&amp;$C753&amp;"'!$E$12:$Y$12"),0)),0),0)</f>
        <v>468472.1570490236</v>
      </c>
      <c r="I753" s="366" t="s">
        <v>1685</v>
      </c>
      <c r="J753" s="348" t="str">
        <f t="shared" ca="1" si="22"/>
        <v>OK</v>
      </c>
      <c r="K753" s="366" t="s">
        <v>1686</v>
      </c>
      <c r="L753" s="366" t="s">
        <v>2234</v>
      </c>
      <c r="M753" s="350" t="str">
        <f>IF($B753="Portfolio","Portfolio",IFERROR(INDEX(DATA_ASSET_CLASSIFICATION!$B$8:$B$24,MATCH($C753,DATA_ASSET_CLASSIFICATION!$A$8:$A$24,0)),"Review"))</f>
        <v>Antkiw Court</v>
      </c>
      <c r="N753" s="350" t="str">
        <f ca="1">IF($B753="Portfolio","Portfolio",IFERROR(INDEX(DATA_ASSET_CLASSIFICATION!$U$8:$U$24,MATCH($C753,DATA_ASSET_CLASSIFICATION!$A$8:$A$24,0)),"Review"))</f>
        <v>Stable</v>
      </c>
      <c r="O753" s="350" t="str">
        <f ca="1">IF($B753="Portfolio","Portfolio",IFERROR(INDEX(DATA_ASSET_CLASSIFICATION!$AB$8:$AB$13,MATCH($N753,DATA_ASSET_CLASSIFICATION!$AA$8:$AA$13,0)),"Review"))</f>
        <v>Bucket 2 · Legacy</v>
      </c>
      <c r="P753" s="350" t="str">
        <f>IF($B753="Portfolio","Portfolio",IFERROR(INDEX(DATA_ASSET_CLASSIFICATION!$C$8:$C$24,MATCH($C753,DATA_ASSET_CLASSIFICATION!$A$8:$A$24,0)),"Review"))</f>
        <v>Yes</v>
      </c>
      <c r="Q753" s="350" t="str">
        <f t="shared" ca="1" si="23"/>
        <v>OK</v>
      </c>
    </row>
    <row r="754" spans="1:17">
      <c r="A754" s="366" t="s">
        <v>2710</v>
      </c>
      <c r="B754" s="366" t="s">
        <v>231</v>
      </c>
      <c r="C754" s="348" t="str">
        <f>DATA_PROPERTY_MASTER!$A$6</f>
        <v>BLD_AC</v>
      </c>
      <c r="D754" s="380">
        <f>'00_PORTFOLIO ROLLUP'!O$12</f>
        <v>2035</v>
      </c>
      <c r="E754" s="366" t="s">
        <v>1683</v>
      </c>
      <c r="F754" s="366" t="s">
        <v>355</v>
      </c>
      <c r="G754" s="348" t="str">
        <f>"'"&amp;$C754&amp;"'!$E$39:$Y$39"</f>
        <v>'BLD_AC'!$E$39:$Y$39</v>
      </c>
      <c r="H754" s="381">
        <f ca="1">IF(IFERROR(INDEX(DATA_PROPERTY_MASTER!$E$5:$E$21,MATCH($C754,DATA_PROPERTY_MASTER!$A$5:$A$21,0))="Yes",FALSE),IFERROR(INDEX(INDIRECT("'"&amp;$C754&amp;"'!$E$39:$Y$39"),1,MATCH($D754,INDIRECT("'"&amp;$C754&amp;"'!$E$12:$Y$12"),0)),0),0)</f>
        <v>219664.30219160279</v>
      </c>
      <c r="I754" s="366" t="s">
        <v>1690</v>
      </c>
      <c r="J754" s="348" t="str">
        <f t="shared" ca="1" si="22"/>
        <v>OK</v>
      </c>
      <c r="K754" s="366" t="s">
        <v>1686</v>
      </c>
      <c r="L754" s="366" t="s">
        <v>2236</v>
      </c>
      <c r="M754" s="350" t="str">
        <f>IF($B754="Portfolio","Portfolio",IFERROR(INDEX(DATA_ASSET_CLASSIFICATION!$B$8:$B$24,MATCH($C754,DATA_ASSET_CLASSIFICATION!$A$8:$A$24,0)),"Review"))</f>
        <v>Antkiw Court</v>
      </c>
      <c r="N754" s="350" t="str">
        <f ca="1">IF($B754="Portfolio","Portfolio",IFERROR(INDEX(DATA_ASSET_CLASSIFICATION!$U$8:$U$24,MATCH($C754,DATA_ASSET_CLASSIFICATION!$A$8:$A$24,0)),"Review"))</f>
        <v>Stable</v>
      </c>
      <c r="O754" s="350" t="str">
        <f ca="1">IF($B754="Portfolio","Portfolio",IFERROR(INDEX(DATA_ASSET_CLASSIFICATION!$AB$8:$AB$13,MATCH($N754,DATA_ASSET_CLASSIFICATION!$AA$8:$AA$13,0)),"Review"))</f>
        <v>Bucket 2 · Legacy</v>
      </c>
      <c r="P754" s="350" t="str">
        <f>IF($B754="Portfolio","Portfolio",IFERROR(INDEX(DATA_ASSET_CLASSIFICATION!$C$8:$C$24,MATCH($C754,DATA_ASSET_CLASSIFICATION!$A$8:$A$24,0)),"Review"))</f>
        <v>Yes</v>
      </c>
      <c r="Q754" s="350" t="str">
        <f t="shared" ca="1" si="23"/>
        <v>OK</v>
      </c>
    </row>
    <row r="755" spans="1:17">
      <c r="A755" s="366" t="s">
        <v>2711</v>
      </c>
      <c r="B755" s="366" t="s">
        <v>231</v>
      </c>
      <c r="C755" s="348" t="str">
        <f>DATA_PROPERTY_MASTER!$A$6</f>
        <v>BLD_AC</v>
      </c>
      <c r="D755" s="380">
        <f>'00_PORTFOLIO ROLLUP'!O$12</f>
        <v>2035</v>
      </c>
      <c r="E755" s="366" t="s">
        <v>1683</v>
      </c>
      <c r="F755" s="366" t="s">
        <v>19</v>
      </c>
      <c r="G755" s="348" t="str">
        <f>"'"&amp;$C755&amp;"'!$E$41:$Y$41"</f>
        <v>'BLD_AC'!$E$41:$Y$41</v>
      </c>
      <c r="H755" s="381">
        <f ca="1">IF(IFERROR(INDEX(DATA_PROPERTY_MASTER!$E$5:$E$21,MATCH($C755,DATA_PROPERTY_MASTER!$A$5:$A$21,0))="Yes",FALSE),IFERROR(INDEX(INDIRECT("'"&amp;$C755&amp;"'!$E$41:$Y$41"),1,MATCH($D755,INDIRECT("'"&amp;$C755&amp;"'!$E$12:$Y$12"),0)),0),0)</f>
        <v>248807.85485742081</v>
      </c>
      <c r="I755" s="366" t="s">
        <v>1685</v>
      </c>
      <c r="J755" s="348" t="str">
        <f t="shared" ca="1" si="22"/>
        <v>OK</v>
      </c>
      <c r="K755" s="366" t="s">
        <v>1694</v>
      </c>
      <c r="L755" s="366" t="s">
        <v>2238</v>
      </c>
      <c r="M755" s="350" t="str">
        <f>IF($B755="Portfolio","Portfolio",IFERROR(INDEX(DATA_ASSET_CLASSIFICATION!$B$8:$B$24,MATCH($C755,DATA_ASSET_CLASSIFICATION!$A$8:$A$24,0)),"Review"))</f>
        <v>Antkiw Court</v>
      </c>
      <c r="N755" s="350" t="str">
        <f ca="1">IF($B755="Portfolio","Portfolio",IFERROR(INDEX(DATA_ASSET_CLASSIFICATION!$U$8:$U$24,MATCH($C755,DATA_ASSET_CLASSIFICATION!$A$8:$A$24,0)),"Review"))</f>
        <v>Stable</v>
      </c>
      <c r="O755" s="350" t="str">
        <f ca="1">IF($B755="Portfolio","Portfolio",IFERROR(INDEX(DATA_ASSET_CLASSIFICATION!$AB$8:$AB$13,MATCH($N755,DATA_ASSET_CLASSIFICATION!$AA$8:$AA$13,0)),"Review"))</f>
        <v>Bucket 2 · Legacy</v>
      </c>
      <c r="P755" s="350" t="str">
        <f>IF($B755="Portfolio","Portfolio",IFERROR(INDEX(DATA_ASSET_CLASSIFICATION!$C$8:$C$24,MATCH($C755,DATA_ASSET_CLASSIFICATION!$A$8:$A$24,0)),"Review"))</f>
        <v>Yes</v>
      </c>
      <c r="Q755" s="350" t="str">
        <f t="shared" ca="1" si="23"/>
        <v>OK</v>
      </c>
    </row>
    <row r="756" spans="1:17">
      <c r="A756" s="366" t="s">
        <v>2712</v>
      </c>
      <c r="B756" s="366" t="s">
        <v>231</v>
      </c>
      <c r="C756" s="348" t="str">
        <f>DATA_PROPERTY_MASTER!$A$6</f>
        <v>BLD_AC</v>
      </c>
      <c r="D756" s="380">
        <f>'00_PORTFOLIO ROLLUP'!O$12</f>
        <v>2035</v>
      </c>
      <c r="E756" s="366" t="s">
        <v>1683</v>
      </c>
      <c r="F756" s="366" t="s">
        <v>1697</v>
      </c>
      <c r="G756" s="348" t="str">
        <f>"'"&amp;$C756&amp;"'!$E$44:$Y$44"</f>
        <v>'BLD_AC'!$E$44:$Y$44</v>
      </c>
      <c r="H756" s="381">
        <f ca="1">IF(IFERROR(INDEX(DATA_PROPERTY_MASTER!$E$5:$E$21,MATCH($C756,DATA_PROPERTY_MASTER!$A$5:$A$21,0))="Yes",FALSE),IFERROR(INDEX(INDIRECT("'"&amp;$C756&amp;"'!$E$44:$Y$44"),1,MATCH($D756,INDIRECT("'"&amp;$C756&amp;"'!$E$12:$Y$12"),0)),0),0)</f>
        <v>3839.8324229834848</v>
      </c>
      <c r="I756" s="366" t="s">
        <v>1690</v>
      </c>
      <c r="J756" s="348" t="str">
        <f t="shared" ca="1" si="22"/>
        <v>OK</v>
      </c>
      <c r="K756" s="366" t="s">
        <v>1699</v>
      </c>
      <c r="L756" s="366" t="s">
        <v>2240</v>
      </c>
      <c r="M756" s="350" t="str">
        <f>IF($B756="Portfolio","Portfolio",IFERROR(INDEX(DATA_ASSET_CLASSIFICATION!$B$8:$B$24,MATCH($C756,DATA_ASSET_CLASSIFICATION!$A$8:$A$24,0)),"Review"))</f>
        <v>Antkiw Court</v>
      </c>
      <c r="N756" s="350" t="str">
        <f ca="1">IF($B756="Portfolio","Portfolio",IFERROR(INDEX(DATA_ASSET_CLASSIFICATION!$U$8:$U$24,MATCH($C756,DATA_ASSET_CLASSIFICATION!$A$8:$A$24,0)),"Review"))</f>
        <v>Stable</v>
      </c>
      <c r="O756" s="350" t="str">
        <f ca="1">IF($B756="Portfolio","Portfolio",IFERROR(INDEX(DATA_ASSET_CLASSIFICATION!$AB$8:$AB$13,MATCH($N756,DATA_ASSET_CLASSIFICATION!$AA$8:$AA$13,0)),"Review"))</f>
        <v>Bucket 2 · Legacy</v>
      </c>
      <c r="P756" s="350" t="str">
        <f>IF($B756="Portfolio","Portfolio",IFERROR(INDEX(DATA_ASSET_CLASSIFICATION!$C$8:$C$24,MATCH($C756,DATA_ASSET_CLASSIFICATION!$A$8:$A$24,0)),"Review"))</f>
        <v>Yes</v>
      </c>
      <c r="Q756" s="350" t="str">
        <f t="shared" ca="1" si="23"/>
        <v>OK</v>
      </c>
    </row>
    <row r="757" spans="1:17">
      <c r="A757" s="366" t="s">
        <v>2713</v>
      </c>
      <c r="B757" s="366" t="s">
        <v>231</v>
      </c>
      <c r="C757" s="348" t="str">
        <f>DATA_PROPERTY_MASTER!$A$6</f>
        <v>BLD_AC</v>
      </c>
      <c r="D757" s="380">
        <f>'00_PORTFOLIO ROLLUP'!O$12</f>
        <v>2035</v>
      </c>
      <c r="E757" s="366" t="s">
        <v>1683</v>
      </c>
      <c r="F757" s="366" t="s">
        <v>21</v>
      </c>
      <c r="G757" s="348" t="str">
        <f>"'"&amp;$C757&amp;"'!$E$45:$Y$45"</f>
        <v>'BLD_AC'!$E$45:$Y$45</v>
      </c>
      <c r="H757" s="381">
        <f ca="1">IF(IFERROR(INDEX(DATA_PROPERTY_MASTER!$E$5:$E$21,MATCH($C757,DATA_PROPERTY_MASTER!$A$5:$A$21,0))="Yes",FALSE),IFERROR(INDEX(INDIRECT("'"&amp;$C757&amp;"'!$E$45:$Y$45"),1,MATCH($D757,INDIRECT("'"&amp;$C757&amp;"'!$E$12:$Y$12"),0)),0),0)</f>
        <v>244968.02243443733</v>
      </c>
      <c r="I757" s="366" t="s">
        <v>1685</v>
      </c>
      <c r="J757" s="348" t="str">
        <f t="shared" ca="1" si="22"/>
        <v>OK</v>
      </c>
      <c r="K757" s="366" t="s">
        <v>1694</v>
      </c>
      <c r="L757" s="366" t="s">
        <v>2242</v>
      </c>
      <c r="M757" s="350" t="str">
        <f>IF($B757="Portfolio","Portfolio",IFERROR(INDEX(DATA_ASSET_CLASSIFICATION!$B$8:$B$24,MATCH($C757,DATA_ASSET_CLASSIFICATION!$A$8:$A$24,0)),"Review"))</f>
        <v>Antkiw Court</v>
      </c>
      <c r="N757" s="350" t="str">
        <f ca="1">IF($B757="Portfolio","Portfolio",IFERROR(INDEX(DATA_ASSET_CLASSIFICATION!$U$8:$U$24,MATCH($C757,DATA_ASSET_CLASSIFICATION!$A$8:$A$24,0)),"Review"))</f>
        <v>Stable</v>
      </c>
      <c r="O757" s="350" t="str">
        <f ca="1">IF($B757="Portfolio","Portfolio",IFERROR(INDEX(DATA_ASSET_CLASSIFICATION!$AB$8:$AB$13,MATCH($N757,DATA_ASSET_CLASSIFICATION!$AA$8:$AA$13,0)),"Review"))</f>
        <v>Bucket 2 · Legacy</v>
      </c>
      <c r="P757" s="350" t="str">
        <f>IF($B757="Portfolio","Portfolio",IFERROR(INDEX(DATA_ASSET_CLASSIFICATION!$C$8:$C$24,MATCH($C757,DATA_ASSET_CLASSIFICATION!$A$8:$A$24,0)),"Review"))</f>
        <v>Yes</v>
      </c>
      <c r="Q757" s="350" t="str">
        <f t="shared" ca="1" si="23"/>
        <v>OK</v>
      </c>
    </row>
    <row r="758" spans="1:17">
      <c r="A758" s="366" t="s">
        <v>2714</v>
      </c>
      <c r="B758" s="366" t="s">
        <v>231</v>
      </c>
      <c r="C758" s="348" t="str">
        <f>DATA_PROPERTY_MASTER!$A$6</f>
        <v>BLD_AC</v>
      </c>
      <c r="D758" s="380">
        <f>'00_PORTFOLIO ROLLUP'!O$12</f>
        <v>2035</v>
      </c>
      <c r="E758" s="366" t="s">
        <v>23</v>
      </c>
      <c r="F758" s="366" t="s">
        <v>23</v>
      </c>
      <c r="G758" s="348" t="str">
        <f>"'"&amp;$C758&amp;"'!$E$48:$Y$48"</f>
        <v>'BLD_AC'!$E$48:$Y$48</v>
      </c>
      <c r="H758" s="381">
        <f ca="1">IF(IFERROR(INDEX(DATA_PROPERTY_MASTER!$E$5:$E$21,MATCH($C758,DATA_PROPERTY_MASTER!$A$5:$A$21,0))="Yes",FALSE),IFERROR(INDEX(INDIRECT("'"&amp;$C758&amp;"'!$E$48:$Y$48"),1,MATCH($D758,INDIRECT("'"&amp;$C758&amp;"'!$E$12:$Y$12"),0)),0),0)</f>
        <v>54330.12</v>
      </c>
      <c r="I758" s="366" t="s">
        <v>1690</v>
      </c>
      <c r="J758" s="348" t="str">
        <f t="shared" ca="1" si="22"/>
        <v>OK</v>
      </c>
      <c r="K758" s="366" t="s">
        <v>1706</v>
      </c>
      <c r="L758" s="366" t="s">
        <v>2244</v>
      </c>
      <c r="M758" s="350" t="str">
        <f>IF($B758="Portfolio","Portfolio",IFERROR(INDEX(DATA_ASSET_CLASSIFICATION!$B$8:$B$24,MATCH($C758,DATA_ASSET_CLASSIFICATION!$A$8:$A$24,0)),"Review"))</f>
        <v>Antkiw Court</v>
      </c>
      <c r="N758" s="350" t="str">
        <f ca="1">IF($B758="Portfolio","Portfolio",IFERROR(INDEX(DATA_ASSET_CLASSIFICATION!$U$8:$U$24,MATCH($C758,DATA_ASSET_CLASSIFICATION!$A$8:$A$24,0)),"Review"))</f>
        <v>Stable</v>
      </c>
      <c r="O758" s="350" t="str">
        <f ca="1">IF($B758="Portfolio","Portfolio",IFERROR(INDEX(DATA_ASSET_CLASSIFICATION!$AB$8:$AB$13,MATCH($N758,DATA_ASSET_CLASSIFICATION!$AA$8:$AA$13,0)),"Review"))</f>
        <v>Bucket 2 · Legacy</v>
      </c>
      <c r="P758" s="350" t="str">
        <f>IF($B758="Portfolio","Portfolio",IFERROR(INDEX(DATA_ASSET_CLASSIFICATION!$C$8:$C$24,MATCH($C758,DATA_ASSET_CLASSIFICATION!$A$8:$A$24,0)),"Review"))</f>
        <v>Yes</v>
      </c>
      <c r="Q758" s="350" t="str">
        <f t="shared" ca="1" si="23"/>
        <v>OK</v>
      </c>
    </row>
    <row r="759" spans="1:17">
      <c r="A759" s="366" t="s">
        <v>2715</v>
      </c>
      <c r="B759" s="366" t="s">
        <v>231</v>
      </c>
      <c r="C759" s="348" t="str">
        <f>DATA_PROPERTY_MASTER!$A$6</f>
        <v>BLD_AC</v>
      </c>
      <c r="D759" s="380">
        <f>'00_PORTFOLIO ROLLUP'!O$12</f>
        <v>2035</v>
      </c>
      <c r="E759" s="366" t="s">
        <v>1683</v>
      </c>
      <c r="F759" s="366" t="s">
        <v>25</v>
      </c>
      <c r="G759" s="348" t="str">
        <f>"'"&amp;$C759&amp;"'!$E$52:$Y$52"</f>
        <v>'BLD_AC'!$E$52:$Y$52</v>
      </c>
      <c r="H759" s="381">
        <f ca="1">IF(IFERROR(INDEX(DATA_PROPERTY_MASTER!$E$5:$E$21,MATCH($C759,DATA_PROPERTY_MASTER!$A$5:$A$21,0))="Yes",FALSE),IFERROR(INDEX(INDIRECT("'"&amp;$C759&amp;"'!$E$52:$Y$52"),1,MATCH($D759,INDIRECT("'"&amp;$C759&amp;"'!$E$12:$Y$12"),0)),0),0)</f>
        <v>194477.73485742082</v>
      </c>
      <c r="I759" s="366" t="s">
        <v>1685</v>
      </c>
      <c r="J759" s="348" t="str">
        <f t="shared" ca="1" si="22"/>
        <v>OK</v>
      </c>
      <c r="K759" s="366" t="s">
        <v>1710</v>
      </c>
      <c r="L759" s="366" t="s">
        <v>2246</v>
      </c>
      <c r="M759" s="350" t="str">
        <f>IF($B759="Portfolio","Portfolio",IFERROR(INDEX(DATA_ASSET_CLASSIFICATION!$B$8:$B$24,MATCH($C759,DATA_ASSET_CLASSIFICATION!$A$8:$A$24,0)),"Review"))</f>
        <v>Antkiw Court</v>
      </c>
      <c r="N759" s="350" t="str">
        <f ca="1">IF($B759="Portfolio","Portfolio",IFERROR(INDEX(DATA_ASSET_CLASSIFICATION!$U$8:$U$24,MATCH($C759,DATA_ASSET_CLASSIFICATION!$A$8:$A$24,0)),"Review"))</f>
        <v>Stable</v>
      </c>
      <c r="O759" s="350" t="str">
        <f ca="1">IF($B759="Portfolio","Portfolio",IFERROR(INDEX(DATA_ASSET_CLASSIFICATION!$AB$8:$AB$13,MATCH($N759,DATA_ASSET_CLASSIFICATION!$AA$8:$AA$13,0)),"Review"))</f>
        <v>Bucket 2 · Legacy</v>
      </c>
      <c r="P759" s="350" t="str">
        <f>IF($B759="Portfolio","Portfolio",IFERROR(INDEX(DATA_ASSET_CLASSIFICATION!$C$8:$C$24,MATCH($C759,DATA_ASSET_CLASSIFICATION!$A$8:$A$24,0)),"Review"))</f>
        <v>Yes</v>
      </c>
      <c r="Q759" s="350" t="str">
        <f t="shared" ca="1" si="23"/>
        <v>OK</v>
      </c>
    </row>
    <row r="760" spans="1:17">
      <c r="A760" s="366" t="s">
        <v>2716</v>
      </c>
      <c r="B760" s="366" t="s">
        <v>231</v>
      </c>
      <c r="C760" s="348" t="str">
        <f>DATA_PROPERTY_MASTER!$A$6</f>
        <v>BLD_AC</v>
      </c>
      <c r="D760" s="380">
        <f>'00_PORTFOLIO ROLLUP'!O$12</f>
        <v>2035</v>
      </c>
      <c r="E760" s="366" t="s">
        <v>1683</v>
      </c>
      <c r="F760" s="366" t="s">
        <v>27</v>
      </c>
      <c r="G760" s="348" t="str">
        <f>"'"&amp;$C760&amp;"'!$E$54:$Y$54"</f>
        <v>'BLD_AC'!$E$54:$Y$54</v>
      </c>
      <c r="H760" s="381">
        <f ca="1">IF(IFERROR(INDEX(DATA_PROPERTY_MASTER!$E$5:$E$21,MATCH($C760,DATA_PROPERTY_MASTER!$A$5:$A$21,0))="Yes",FALSE),IFERROR(INDEX(INDIRECT("'"&amp;$C760&amp;"'!$E$54:$Y$54"),1,MATCH($D760,INDIRECT("'"&amp;$C760&amp;"'!$E$12:$Y$12"),0)),0),0)</f>
        <v>116686.64091445248</v>
      </c>
      <c r="I760" s="366" t="s">
        <v>1690</v>
      </c>
      <c r="J760" s="348" t="str">
        <f t="shared" ca="1" si="22"/>
        <v>OK</v>
      </c>
      <c r="K760" s="366" t="s">
        <v>1714</v>
      </c>
      <c r="L760" s="366" t="s">
        <v>2248</v>
      </c>
      <c r="M760" s="350" t="str">
        <f>IF($B760="Portfolio","Portfolio",IFERROR(INDEX(DATA_ASSET_CLASSIFICATION!$B$8:$B$24,MATCH($C760,DATA_ASSET_CLASSIFICATION!$A$8:$A$24,0)),"Review"))</f>
        <v>Antkiw Court</v>
      </c>
      <c r="N760" s="350" t="str">
        <f ca="1">IF($B760="Portfolio","Portfolio",IFERROR(INDEX(DATA_ASSET_CLASSIFICATION!$U$8:$U$24,MATCH($C760,DATA_ASSET_CLASSIFICATION!$A$8:$A$24,0)),"Review"))</f>
        <v>Stable</v>
      </c>
      <c r="O760" s="350" t="str">
        <f ca="1">IF($B760="Portfolio","Portfolio",IFERROR(INDEX(DATA_ASSET_CLASSIFICATION!$AB$8:$AB$13,MATCH($N760,DATA_ASSET_CLASSIFICATION!$AA$8:$AA$13,0)),"Review"))</f>
        <v>Bucket 2 · Legacy</v>
      </c>
      <c r="P760" s="350" t="str">
        <f>IF($B760="Portfolio","Portfolio",IFERROR(INDEX(DATA_ASSET_CLASSIFICATION!$C$8:$C$24,MATCH($C760,DATA_ASSET_CLASSIFICATION!$A$8:$A$24,0)),"Review"))</f>
        <v>Yes</v>
      </c>
      <c r="Q760" s="350" t="str">
        <f t="shared" ca="1" si="23"/>
        <v>OK</v>
      </c>
    </row>
    <row r="761" spans="1:17">
      <c r="A761" s="366" t="s">
        <v>2717</v>
      </c>
      <c r="B761" s="366" t="s">
        <v>231</v>
      </c>
      <c r="C761" s="348" t="str">
        <f>DATA_PROPERTY_MASTER!$A$6</f>
        <v>BLD_AC</v>
      </c>
      <c r="D761" s="380">
        <f>'00_PORTFOLIO ROLLUP'!O$12</f>
        <v>2035</v>
      </c>
      <c r="E761" s="366" t="s">
        <v>1683</v>
      </c>
      <c r="F761" s="366" t="s">
        <v>29</v>
      </c>
      <c r="G761" s="348" t="str">
        <f>"'"&amp;$C761&amp;"'!$E$56:$Y$56"</f>
        <v>'BLD_AC'!$E$56:$Y$56</v>
      </c>
      <c r="H761" s="381">
        <f ca="1">IF(IFERROR(INDEX(DATA_PROPERTY_MASTER!$E$5:$E$21,MATCH($C761,DATA_PROPERTY_MASTER!$A$5:$A$21,0))="Yes",FALSE),IFERROR(INDEX(INDIRECT("'"&amp;$C761&amp;"'!$E$56:$Y$56"),1,MATCH($D761,INDIRECT("'"&amp;$C761&amp;"'!$E$12:$Y$12"),0)),0),0)</f>
        <v>77791.093942968335</v>
      </c>
      <c r="I761" s="366" t="s">
        <v>1685</v>
      </c>
      <c r="J761" s="348" t="str">
        <f t="shared" ca="1" si="22"/>
        <v>OK</v>
      </c>
      <c r="K761" s="366" t="s">
        <v>1718</v>
      </c>
      <c r="L761" s="366" t="s">
        <v>2250</v>
      </c>
      <c r="M761" s="350" t="str">
        <f>IF($B761="Portfolio","Portfolio",IFERROR(INDEX(DATA_ASSET_CLASSIFICATION!$B$8:$B$24,MATCH($C761,DATA_ASSET_CLASSIFICATION!$A$8:$A$24,0)),"Review"))</f>
        <v>Antkiw Court</v>
      </c>
      <c r="N761" s="350" t="str">
        <f ca="1">IF($B761="Portfolio","Portfolio",IFERROR(INDEX(DATA_ASSET_CLASSIFICATION!$U$8:$U$24,MATCH($C761,DATA_ASSET_CLASSIFICATION!$A$8:$A$24,0)),"Review"))</f>
        <v>Stable</v>
      </c>
      <c r="O761" s="350" t="str">
        <f ca="1">IF($B761="Portfolio","Portfolio",IFERROR(INDEX(DATA_ASSET_CLASSIFICATION!$AB$8:$AB$13,MATCH($N761,DATA_ASSET_CLASSIFICATION!$AA$8:$AA$13,0)),"Review"))</f>
        <v>Bucket 2 · Legacy</v>
      </c>
      <c r="P761" s="350" t="str">
        <f>IF($B761="Portfolio","Portfolio",IFERROR(INDEX(DATA_ASSET_CLASSIFICATION!$C$8:$C$24,MATCH($C761,DATA_ASSET_CLASSIFICATION!$A$8:$A$24,0)),"Review"))</f>
        <v>Yes</v>
      </c>
      <c r="Q761" s="350" t="str">
        <f t="shared" ca="1" si="23"/>
        <v>OK</v>
      </c>
    </row>
    <row r="762" spans="1:17">
      <c r="A762" s="366" t="s">
        <v>2718</v>
      </c>
      <c r="B762" s="366" t="s">
        <v>231</v>
      </c>
      <c r="C762" s="348" t="str">
        <f>DATA_PROPERTY_MASTER!$A$6</f>
        <v>BLD_AC</v>
      </c>
      <c r="D762" s="380">
        <f>'00_PORTFOLIO ROLLUP'!O$12</f>
        <v>2035</v>
      </c>
      <c r="E762" s="366" t="s">
        <v>1721</v>
      </c>
      <c r="F762" s="366" t="s">
        <v>31</v>
      </c>
      <c r="G762" s="348" t="str">
        <f>"'"&amp;$C762&amp;"'!$E$61:$Y$61"</f>
        <v>'BLD_AC'!$E$61:$Y$61</v>
      </c>
      <c r="H762" s="381">
        <f ca="1">IF(IFERROR(INDEX(DATA_PROPERTY_MASTER!$E$5:$E$21,MATCH($C762,DATA_PROPERTY_MASTER!$A$5:$A$21,0))="Yes",FALSE),IFERROR(INDEX(INDIRECT("'"&amp;$C762&amp;"'!$E$61:$Y$61"),1,MATCH($D762,INDIRECT("'"&amp;$C762&amp;"'!$E$12:$Y$12"),0)),0),0)</f>
        <v>0</v>
      </c>
      <c r="I762" s="366" t="s">
        <v>1690</v>
      </c>
      <c r="J762" s="348" t="str">
        <f t="shared" ca="1" si="22"/>
        <v>OK</v>
      </c>
      <c r="K762" s="366" t="s">
        <v>1723</v>
      </c>
      <c r="L762" s="366" t="s">
        <v>2252</v>
      </c>
      <c r="M762" s="350" t="str">
        <f>IF($B762="Portfolio","Portfolio",IFERROR(INDEX(DATA_ASSET_CLASSIFICATION!$B$8:$B$24,MATCH($C762,DATA_ASSET_CLASSIFICATION!$A$8:$A$24,0)),"Review"))</f>
        <v>Antkiw Court</v>
      </c>
      <c r="N762" s="350" t="str">
        <f ca="1">IF($B762="Portfolio","Portfolio",IFERROR(INDEX(DATA_ASSET_CLASSIFICATION!$U$8:$U$24,MATCH($C762,DATA_ASSET_CLASSIFICATION!$A$8:$A$24,0)),"Review"))</f>
        <v>Stable</v>
      </c>
      <c r="O762" s="350" t="str">
        <f ca="1">IF($B762="Portfolio","Portfolio",IFERROR(INDEX(DATA_ASSET_CLASSIFICATION!$AB$8:$AB$13,MATCH($N762,DATA_ASSET_CLASSIFICATION!$AA$8:$AA$13,0)),"Review"))</f>
        <v>Bucket 2 · Legacy</v>
      </c>
      <c r="P762" s="350" t="str">
        <f>IF($B762="Portfolio","Portfolio",IFERROR(INDEX(DATA_ASSET_CLASSIFICATION!$C$8:$C$24,MATCH($C762,DATA_ASSET_CLASSIFICATION!$A$8:$A$24,0)),"Review"))</f>
        <v>Yes</v>
      </c>
      <c r="Q762" s="350" t="str">
        <f t="shared" ca="1" si="23"/>
        <v>OK</v>
      </c>
    </row>
    <row r="763" spans="1:17">
      <c r="A763" s="366" t="s">
        <v>2719</v>
      </c>
      <c r="B763" s="366" t="s">
        <v>231</v>
      </c>
      <c r="C763" s="348" t="str">
        <f>DATA_PROPERTY_MASTER!$A$6</f>
        <v>BLD_AC</v>
      </c>
      <c r="D763" s="380">
        <f>'00_PORTFOLIO ROLLUP'!O$12</f>
        <v>2035</v>
      </c>
      <c r="E763" s="366" t="s">
        <v>1721</v>
      </c>
      <c r="F763" s="366" t="s">
        <v>33</v>
      </c>
      <c r="G763" s="348" t="str">
        <f>"'"&amp;$C763&amp;"'!$E$62:$Y$62"</f>
        <v>'BLD_AC'!$E$62:$Y$62</v>
      </c>
      <c r="H763" s="381">
        <f ca="1">IF(IFERROR(INDEX(DATA_PROPERTY_MASTER!$E$5:$E$21,MATCH($C763,DATA_PROPERTY_MASTER!$A$5:$A$21,0))="Yes",FALSE),IFERROR(INDEX(INDIRECT("'"&amp;$C763&amp;"'!$E$62:$Y$62"),1,MATCH($D763,INDIRECT("'"&amp;$C763&amp;"'!$E$12:$Y$12"),0)),0),0)</f>
        <v>0</v>
      </c>
      <c r="I763" s="366" t="s">
        <v>1685</v>
      </c>
      <c r="J763" s="348" t="str">
        <f t="shared" ca="1" si="22"/>
        <v>OK</v>
      </c>
      <c r="K763" s="366" t="s">
        <v>1727</v>
      </c>
      <c r="L763" s="366" t="s">
        <v>2254</v>
      </c>
      <c r="M763" s="350" t="str">
        <f>IF($B763="Portfolio","Portfolio",IFERROR(INDEX(DATA_ASSET_CLASSIFICATION!$B$8:$B$24,MATCH($C763,DATA_ASSET_CLASSIFICATION!$A$8:$A$24,0)),"Review"))</f>
        <v>Antkiw Court</v>
      </c>
      <c r="N763" s="350" t="str">
        <f ca="1">IF($B763="Portfolio","Portfolio",IFERROR(INDEX(DATA_ASSET_CLASSIFICATION!$U$8:$U$24,MATCH($C763,DATA_ASSET_CLASSIFICATION!$A$8:$A$24,0)),"Review"))</f>
        <v>Stable</v>
      </c>
      <c r="O763" s="350" t="str">
        <f ca="1">IF($B763="Portfolio","Portfolio",IFERROR(INDEX(DATA_ASSET_CLASSIFICATION!$AB$8:$AB$13,MATCH($N763,DATA_ASSET_CLASSIFICATION!$AA$8:$AA$13,0)),"Review"))</f>
        <v>Bucket 2 · Legacy</v>
      </c>
      <c r="P763" s="350" t="str">
        <f>IF($B763="Portfolio","Portfolio",IFERROR(INDEX(DATA_ASSET_CLASSIFICATION!$C$8:$C$24,MATCH($C763,DATA_ASSET_CLASSIFICATION!$A$8:$A$24,0)),"Review"))</f>
        <v>Yes</v>
      </c>
      <c r="Q763" s="350" t="str">
        <f t="shared" ca="1" si="23"/>
        <v>OK</v>
      </c>
    </row>
    <row r="764" spans="1:17">
      <c r="A764" s="366" t="s">
        <v>2720</v>
      </c>
      <c r="B764" s="366" t="s">
        <v>231</v>
      </c>
      <c r="C764" s="348" t="str">
        <f>DATA_PROPERTY_MASTER!$A$6</f>
        <v>BLD_AC</v>
      </c>
      <c r="D764" s="380">
        <f>'00_PORTFOLIO ROLLUP'!O$12</f>
        <v>2035</v>
      </c>
      <c r="E764" s="366" t="s">
        <v>1721</v>
      </c>
      <c r="F764" s="366" t="s">
        <v>35</v>
      </c>
      <c r="G764" s="348" t="str">
        <f>"'"&amp;$C764&amp;"'!$E$63:$Y$63"</f>
        <v>'BLD_AC'!$E$63:$Y$63</v>
      </c>
      <c r="H764" s="381">
        <f ca="1">IF(IFERROR(INDEX(DATA_PROPERTY_MASTER!$E$5:$E$21,MATCH($C764,DATA_PROPERTY_MASTER!$A$5:$A$21,0))="Yes",FALSE),IFERROR(INDEX(INDIRECT("'"&amp;$C764&amp;"'!$E$63:$Y$63"),1,MATCH($D764,INDIRECT("'"&amp;$C764&amp;"'!$E$12:$Y$12"),0)),0),0)</f>
        <v>0</v>
      </c>
      <c r="I764" s="366" t="s">
        <v>1731</v>
      </c>
      <c r="J764" s="348" t="str">
        <f t="shared" ca="1" si="22"/>
        <v>OK</v>
      </c>
      <c r="K764" s="366" t="s">
        <v>1732</v>
      </c>
      <c r="L764" s="366" t="s">
        <v>2256</v>
      </c>
      <c r="M764" s="350" t="str">
        <f>IF($B764="Portfolio","Portfolio",IFERROR(INDEX(DATA_ASSET_CLASSIFICATION!$B$8:$B$24,MATCH($C764,DATA_ASSET_CLASSIFICATION!$A$8:$A$24,0)),"Review"))</f>
        <v>Antkiw Court</v>
      </c>
      <c r="N764" s="350" t="str">
        <f ca="1">IF($B764="Portfolio","Portfolio",IFERROR(INDEX(DATA_ASSET_CLASSIFICATION!$U$8:$U$24,MATCH($C764,DATA_ASSET_CLASSIFICATION!$A$8:$A$24,0)),"Review"))</f>
        <v>Stable</v>
      </c>
      <c r="O764" s="350" t="str">
        <f ca="1">IF($B764="Portfolio","Portfolio",IFERROR(INDEX(DATA_ASSET_CLASSIFICATION!$AB$8:$AB$13,MATCH($N764,DATA_ASSET_CLASSIFICATION!$AA$8:$AA$13,0)),"Review"))</f>
        <v>Bucket 2 · Legacy</v>
      </c>
      <c r="P764" s="350" t="str">
        <f>IF($B764="Portfolio","Portfolio",IFERROR(INDEX(DATA_ASSET_CLASSIFICATION!$C$8:$C$24,MATCH($C764,DATA_ASSET_CLASSIFICATION!$A$8:$A$24,0)),"Review"))</f>
        <v>Yes</v>
      </c>
      <c r="Q764" s="350" t="str">
        <f t="shared" ca="1" si="23"/>
        <v>OK</v>
      </c>
    </row>
    <row r="765" spans="1:17">
      <c r="A765" s="366" t="s">
        <v>2721</v>
      </c>
      <c r="B765" s="366" t="s">
        <v>231</v>
      </c>
      <c r="C765" s="348" t="str">
        <f>DATA_PROPERTY_MASTER!$A$6</f>
        <v>BLD_AC</v>
      </c>
      <c r="D765" s="380">
        <f>'00_PORTFOLIO ROLLUP'!O$12</f>
        <v>2035</v>
      </c>
      <c r="E765" s="366" t="s">
        <v>1721</v>
      </c>
      <c r="F765" s="366" t="s">
        <v>37</v>
      </c>
      <c r="G765" s="348" t="str">
        <f>"'"&amp;$C765&amp;"'!$E$63:$Y$63"</f>
        <v>'BLD_AC'!$E$63:$Y$63</v>
      </c>
      <c r="H765" s="381">
        <f ca="1">IF(IFERROR(INDEX(DATA_PROPERTY_MASTER!$E$5:$E$21,MATCH($C765,DATA_PROPERTY_MASTER!$A$5:$A$21,0))="Yes",FALSE),MAX(IFERROR(INDEX(INDIRECT("'"&amp;$C765&amp;"'!$E$63:$Y$63"),1,MATCH($D765,INDIRECT("'"&amp;$C765&amp;"'!$E$12:$Y$12"),0)),0),0),0)</f>
        <v>0</v>
      </c>
      <c r="I765" s="366" t="s">
        <v>1685</v>
      </c>
      <c r="J765" s="348" t="str">
        <f t="shared" ca="1" si="22"/>
        <v>OK</v>
      </c>
      <c r="K765" s="366" t="s">
        <v>1735</v>
      </c>
      <c r="L765" s="366" t="s">
        <v>2258</v>
      </c>
      <c r="M765" s="350" t="str">
        <f>IF($B765="Portfolio","Portfolio",IFERROR(INDEX(DATA_ASSET_CLASSIFICATION!$B$8:$B$24,MATCH($C765,DATA_ASSET_CLASSIFICATION!$A$8:$A$24,0)),"Review"))</f>
        <v>Antkiw Court</v>
      </c>
      <c r="N765" s="350" t="str">
        <f ca="1">IF($B765="Portfolio","Portfolio",IFERROR(INDEX(DATA_ASSET_CLASSIFICATION!$U$8:$U$24,MATCH($C765,DATA_ASSET_CLASSIFICATION!$A$8:$A$24,0)),"Review"))</f>
        <v>Stable</v>
      </c>
      <c r="O765" s="350" t="str">
        <f ca="1">IF($B765="Portfolio","Portfolio",IFERROR(INDEX(DATA_ASSET_CLASSIFICATION!$AB$8:$AB$13,MATCH($N765,DATA_ASSET_CLASSIFICATION!$AA$8:$AA$13,0)),"Review"))</f>
        <v>Bucket 2 · Legacy</v>
      </c>
      <c r="P765" s="350" t="str">
        <f>IF($B765="Portfolio","Portfolio",IFERROR(INDEX(DATA_ASSET_CLASSIFICATION!$C$8:$C$24,MATCH($C765,DATA_ASSET_CLASSIFICATION!$A$8:$A$24,0)),"Review"))</f>
        <v>Yes</v>
      </c>
      <c r="Q765" s="350" t="str">
        <f t="shared" ca="1" si="23"/>
        <v>OK</v>
      </c>
    </row>
    <row r="766" spans="1:17">
      <c r="A766" s="366" t="s">
        <v>2722</v>
      </c>
      <c r="B766" s="366" t="s">
        <v>231</v>
      </c>
      <c r="C766" s="348" t="str">
        <f>DATA_PROPERTY_MASTER!$A$6</f>
        <v>BLD_AC</v>
      </c>
      <c r="D766" s="380">
        <f>'00_PORTFOLIO ROLLUP'!O$12</f>
        <v>2035</v>
      </c>
      <c r="E766" s="366" t="s">
        <v>1721</v>
      </c>
      <c r="F766" s="366" t="s">
        <v>39</v>
      </c>
      <c r="G766" s="348" t="str">
        <f>"'"&amp;$C766&amp;"'!$E$63:$Y$63"</f>
        <v>'BLD_AC'!$E$63:$Y$63</v>
      </c>
      <c r="H766" s="381">
        <f ca="1">IF(IFERROR(INDEX(DATA_PROPERTY_MASTER!$E$5:$E$21,MATCH($C766,DATA_PROPERTY_MASTER!$A$5:$A$21,0))="Yes",FALSE),MAX(-IFERROR(INDEX(INDIRECT("'"&amp;$C766&amp;"'!$E$63:$Y$63"),1,MATCH($D766,INDIRECT("'"&amp;$C766&amp;"'!$E$12:$Y$12"),0)),0),0),0)</f>
        <v>0</v>
      </c>
      <c r="I766" s="366" t="s">
        <v>1690</v>
      </c>
      <c r="J766" s="348" t="str">
        <f t="shared" ca="1" si="22"/>
        <v>OK</v>
      </c>
      <c r="K766" s="366" t="s">
        <v>1738</v>
      </c>
      <c r="L766" s="366" t="s">
        <v>2260</v>
      </c>
      <c r="M766" s="350" t="str">
        <f>IF($B766="Portfolio","Portfolio",IFERROR(INDEX(DATA_ASSET_CLASSIFICATION!$B$8:$B$24,MATCH($C766,DATA_ASSET_CLASSIFICATION!$A$8:$A$24,0)),"Review"))</f>
        <v>Antkiw Court</v>
      </c>
      <c r="N766" s="350" t="str">
        <f ca="1">IF($B766="Portfolio","Portfolio",IFERROR(INDEX(DATA_ASSET_CLASSIFICATION!$U$8:$U$24,MATCH($C766,DATA_ASSET_CLASSIFICATION!$A$8:$A$24,0)),"Review"))</f>
        <v>Stable</v>
      </c>
      <c r="O766" s="350" t="str">
        <f ca="1">IF($B766="Portfolio","Portfolio",IFERROR(INDEX(DATA_ASSET_CLASSIFICATION!$AB$8:$AB$13,MATCH($N766,DATA_ASSET_CLASSIFICATION!$AA$8:$AA$13,0)),"Review"))</f>
        <v>Bucket 2 · Legacy</v>
      </c>
      <c r="P766" s="350" t="str">
        <f>IF($B766="Portfolio","Portfolio",IFERROR(INDEX(DATA_ASSET_CLASSIFICATION!$C$8:$C$24,MATCH($C766,DATA_ASSET_CLASSIFICATION!$A$8:$A$24,0)),"Review"))</f>
        <v>Yes</v>
      </c>
      <c r="Q766" s="350" t="str">
        <f t="shared" ca="1" si="23"/>
        <v>OK</v>
      </c>
    </row>
    <row r="767" spans="1:17">
      <c r="A767" s="366" t="s">
        <v>2723</v>
      </c>
      <c r="B767" s="366" t="s">
        <v>231</v>
      </c>
      <c r="C767" s="348" t="str">
        <f>DATA_PROPERTY_MASTER!$A$6</f>
        <v>BLD_AC</v>
      </c>
      <c r="D767" s="380">
        <f>'00_PORTFOLIO ROLLUP'!O$12</f>
        <v>2035</v>
      </c>
      <c r="E767" s="366" t="s">
        <v>1741</v>
      </c>
      <c r="F767" s="366" t="s">
        <v>41</v>
      </c>
      <c r="G767" s="348" t="str">
        <f>"'"&amp;$C767&amp;"'!rows 56 + positive row 63"</f>
        <v>'BLD_AC'!rows 56 + positive row 63</v>
      </c>
      <c r="H767" s="381">
        <f ca="1">IF(IFERROR(INDEX(DATA_PROPERTY_MASTER!$E$5:$E$21,MATCH($C767,DATA_PROPERTY_MASTER!$A$5:$A$21,0))="Yes",FALSE),IFERROR(INDEX(INDIRECT("'"&amp;$C767&amp;"'!$E$56:$Y$56"),1,MATCH($D767,INDIRECT("'"&amp;$C767&amp;"'!$E$12:$Y$12"),0)),0)+MAX(IFERROR(INDEX(INDIRECT("'"&amp;$C767&amp;"'!$E$63:$Y$63"),1,MATCH($D767,INDIRECT("'"&amp;$C767&amp;"'!$E$12:$Y$12"),0)),0),0),0)</f>
        <v>77791.093942968335</v>
      </c>
      <c r="I767" s="366" t="s">
        <v>1685</v>
      </c>
      <c r="J767" s="348" t="str">
        <f t="shared" ca="1" si="22"/>
        <v>OK</v>
      </c>
      <c r="K767" s="366" t="s">
        <v>1742</v>
      </c>
      <c r="L767" s="366" t="s">
        <v>2262</v>
      </c>
      <c r="M767" s="350" t="str">
        <f>IF($B767="Portfolio","Portfolio",IFERROR(INDEX(DATA_ASSET_CLASSIFICATION!$B$8:$B$24,MATCH($C767,DATA_ASSET_CLASSIFICATION!$A$8:$A$24,0)),"Review"))</f>
        <v>Antkiw Court</v>
      </c>
      <c r="N767" s="350" t="str">
        <f ca="1">IF($B767="Portfolio","Portfolio",IFERROR(INDEX(DATA_ASSET_CLASSIFICATION!$U$8:$U$24,MATCH($C767,DATA_ASSET_CLASSIFICATION!$A$8:$A$24,0)),"Review"))</f>
        <v>Stable</v>
      </c>
      <c r="O767" s="350" t="str">
        <f ca="1">IF($B767="Portfolio","Portfolio",IFERROR(INDEX(DATA_ASSET_CLASSIFICATION!$AB$8:$AB$13,MATCH($N767,DATA_ASSET_CLASSIFICATION!$AA$8:$AA$13,0)),"Review"))</f>
        <v>Bucket 2 · Legacy</v>
      </c>
      <c r="P767" s="350" t="str">
        <f>IF($B767="Portfolio","Portfolio",IFERROR(INDEX(DATA_ASSET_CLASSIFICATION!$C$8:$C$24,MATCH($C767,DATA_ASSET_CLASSIFICATION!$A$8:$A$24,0)),"Review"))</f>
        <v>Yes</v>
      </c>
      <c r="Q767" s="350" t="str">
        <f t="shared" ca="1" si="23"/>
        <v>OK</v>
      </c>
    </row>
    <row r="768" spans="1:17">
      <c r="A768" s="366" t="s">
        <v>2724</v>
      </c>
      <c r="B768" s="366" t="s">
        <v>231</v>
      </c>
      <c r="C768" s="348" t="str">
        <f>DATA_PROPERTY_MASTER!$A$6</f>
        <v>BLD_AC</v>
      </c>
      <c r="D768" s="380">
        <f>'00_PORTFOLIO ROLLUP'!O$12</f>
        <v>2035</v>
      </c>
      <c r="E768" s="366" t="s">
        <v>1741</v>
      </c>
      <c r="F768" s="366" t="s">
        <v>43</v>
      </c>
      <c r="G768" s="348" t="str">
        <f>"'"&amp;$C768&amp;"'!$E$68:$Y$68"</f>
        <v>'BLD_AC'!$E$68:$Y$68</v>
      </c>
      <c r="H768" s="381">
        <f ca="1">IF(IFERROR(INDEX(DATA_PROPERTY_MASTER!$E$5:$E$21,MATCH($C768,DATA_PROPERTY_MASTER!$A$5:$A$21,0))="Yes",FALSE),IFERROR(INDEX(INDIRECT("'"&amp;$C768&amp;"'!$E$68:$Y$68"),1,MATCH($D768,INDIRECT("'"&amp;$C768&amp;"'!$E$12:$Y$12"),0)),0),0)</f>
        <v>77791.093942968335</v>
      </c>
      <c r="I768" s="366" t="s">
        <v>1731</v>
      </c>
      <c r="J768" s="348" t="str">
        <f t="shared" ca="1" si="22"/>
        <v>OK</v>
      </c>
      <c r="K768" s="366" t="s">
        <v>1746</v>
      </c>
      <c r="L768" s="366" t="s">
        <v>2264</v>
      </c>
      <c r="M768" s="350" t="str">
        <f>IF($B768="Portfolio","Portfolio",IFERROR(INDEX(DATA_ASSET_CLASSIFICATION!$B$8:$B$24,MATCH($C768,DATA_ASSET_CLASSIFICATION!$A$8:$A$24,0)),"Review"))</f>
        <v>Antkiw Court</v>
      </c>
      <c r="N768" s="350" t="str">
        <f ca="1">IF($B768="Portfolio","Portfolio",IFERROR(INDEX(DATA_ASSET_CLASSIFICATION!$U$8:$U$24,MATCH($C768,DATA_ASSET_CLASSIFICATION!$A$8:$A$24,0)),"Review"))</f>
        <v>Stable</v>
      </c>
      <c r="O768" s="350" t="str">
        <f ca="1">IF($B768="Portfolio","Portfolio",IFERROR(INDEX(DATA_ASSET_CLASSIFICATION!$AB$8:$AB$13,MATCH($N768,DATA_ASSET_CLASSIFICATION!$AA$8:$AA$13,0)),"Review"))</f>
        <v>Bucket 2 · Legacy</v>
      </c>
      <c r="P768" s="350" t="str">
        <f>IF($B768="Portfolio","Portfolio",IFERROR(INDEX(DATA_ASSET_CLASSIFICATION!$C$8:$C$24,MATCH($C768,DATA_ASSET_CLASSIFICATION!$A$8:$A$24,0)),"Review"))</f>
        <v>Yes</v>
      </c>
      <c r="Q768" s="350" t="str">
        <f t="shared" ca="1" si="23"/>
        <v>OK</v>
      </c>
    </row>
    <row r="769" spans="1:17">
      <c r="A769" s="366" t="s">
        <v>2725</v>
      </c>
      <c r="B769" s="366" t="s">
        <v>231</v>
      </c>
      <c r="C769" s="348" t="str">
        <f>DATA_PROPERTY_MASTER!$A$6</f>
        <v>BLD_AC</v>
      </c>
      <c r="D769" s="380">
        <f>'00_PORTFOLIO ROLLUP'!O$12</f>
        <v>2035</v>
      </c>
      <c r="E769" s="366" t="s">
        <v>1741</v>
      </c>
      <c r="F769" s="366" t="s">
        <v>1749</v>
      </c>
      <c r="G769" s="348" t="str">
        <f>"'"&amp;$C769&amp;"'!rows 56, 63, 68"</f>
        <v>'BLD_AC'!rows 56, 63, 68</v>
      </c>
      <c r="H769" s="381">
        <f ca="1">IF(IFERROR(INDEX(DATA_PROPERTY_MASTER!$E$5:$E$21,MATCH($C769,DATA_PROPERTY_MASTER!$A$5:$A$21,0))="Yes",FALSE),(IFERROR(INDEX(INDIRECT("'"&amp;$C769&amp;"'!$E$56:$Y$56"),1,MATCH($D769,INDIRECT("'"&amp;$C769&amp;"'!$E$12:$Y$12"),0)),0)+MAX(IFERROR(INDEX(INDIRECT("'"&amp;$C769&amp;"'!$E$63:$Y$63"),1,MATCH($D769,INDIRECT("'"&amp;$C769&amp;"'!$E$12:$Y$12"),0)),0),0))-(IFERROR(INDEX(INDIRECT("'"&amp;$C769&amp;"'!$E$68:$Y$68"),1,MATCH($D769,INDIRECT("'"&amp;$C769&amp;"'!$E$12:$Y$12"),0)),0)),0)</f>
        <v>0</v>
      </c>
      <c r="I769" s="366" t="s">
        <v>1750</v>
      </c>
      <c r="J769" s="348" t="str">
        <f t="shared" ca="1" si="22"/>
        <v>OK</v>
      </c>
      <c r="K769" s="366" t="s">
        <v>1751</v>
      </c>
      <c r="L769" s="366" t="s">
        <v>2266</v>
      </c>
      <c r="M769" s="350" t="str">
        <f>IF($B769="Portfolio","Portfolio",IFERROR(INDEX(DATA_ASSET_CLASSIFICATION!$B$8:$B$24,MATCH($C769,DATA_ASSET_CLASSIFICATION!$A$8:$A$24,0)),"Review"))</f>
        <v>Antkiw Court</v>
      </c>
      <c r="N769" s="350" t="str">
        <f ca="1">IF($B769="Portfolio","Portfolio",IFERROR(INDEX(DATA_ASSET_CLASSIFICATION!$U$8:$U$24,MATCH($C769,DATA_ASSET_CLASSIFICATION!$A$8:$A$24,0)),"Review"))</f>
        <v>Stable</v>
      </c>
      <c r="O769" s="350" t="str">
        <f ca="1">IF($B769="Portfolio","Portfolio",IFERROR(INDEX(DATA_ASSET_CLASSIFICATION!$AB$8:$AB$13,MATCH($N769,DATA_ASSET_CLASSIFICATION!$AA$8:$AA$13,0)),"Review"))</f>
        <v>Bucket 2 · Legacy</v>
      </c>
      <c r="P769" s="350" t="str">
        <f>IF($B769="Portfolio","Portfolio",IFERROR(INDEX(DATA_ASSET_CLASSIFICATION!$C$8:$C$24,MATCH($C769,DATA_ASSET_CLASSIFICATION!$A$8:$A$24,0)),"Review"))</f>
        <v>Yes</v>
      </c>
      <c r="Q769" s="350" t="str">
        <f t="shared" ca="1" si="23"/>
        <v>OK</v>
      </c>
    </row>
    <row r="770" spans="1:17">
      <c r="A770" s="366" t="s">
        <v>2726</v>
      </c>
      <c r="B770" s="366" t="s">
        <v>231</v>
      </c>
      <c r="C770" s="348" t="str">
        <f>DATA_PROPERTY_MASTER!$A$6</f>
        <v>BLD_AC</v>
      </c>
      <c r="D770" s="380">
        <f>'00_PORTFOLIO ROLLUP'!P$12</f>
        <v>2036</v>
      </c>
      <c r="E770" s="366" t="s">
        <v>1683</v>
      </c>
      <c r="F770" s="366" t="s">
        <v>341</v>
      </c>
      <c r="G770" s="348" t="str">
        <f>"'"&amp;$C770&amp;"'!$E$24:$Y$24"</f>
        <v>'BLD_AC'!$E$24:$Y$24</v>
      </c>
      <c r="H770" s="381">
        <f ca="1">IF(IFERROR(INDEX(DATA_PROPERTY_MASTER!$E$5:$E$21,MATCH($C770,DATA_PROPERTY_MASTER!$A$5:$A$21,0))="Yes",FALSE),IFERROR(INDEX(INDIRECT("'"&amp;$C770&amp;"'!$E$24:$Y$24"),1,MATCH($D770,INDIRECT("'"&amp;$C770&amp;"'!$E$12:$Y$12"),0)),0),0)</f>
        <v>422424.87779000407</v>
      </c>
      <c r="I770" s="366" t="s">
        <v>1685</v>
      </c>
      <c r="J770" s="348" t="str">
        <f t="shared" ca="1" si="22"/>
        <v>OK</v>
      </c>
      <c r="K770" s="366" t="s">
        <v>1686</v>
      </c>
      <c r="L770" s="366" t="s">
        <v>2234</v>
      </c>
      <c r="M770" s="350" t="str">
        <f>IF($B770="Portfolio","Portfolio",IFERROR(INDEX(DATA_ASSET_CLASSIFICATION!$B$8:$B$24,MATCH($C770,DATA_ASSET_CLASSIFICATION!$A$8:$A$24,0)),"Review"))</f>
        <v>Antkiw Court</v>
      </c>
      <c r="N770" s="350" t="str">
        <f ca="1">IF($B770="Portfolio","Portfolio",IFERROR(INDEX(DATA_ASSET_CLASSIFICATION!$U$8:$U$24,MATCH($C770,DATA_ASSET_CLASSIFICATION!$A$8:$A$24,0)),"Review"))</f>
        <v>Stable</v>
      </c>
      <c r="O770" s="350" t="str">
        <f ca="1">IF($B770="Portfolio","Portfolio",IFERROR(INDEX(DATA_ASSET_CLASSIFICATION!$AB$8:$AB$13,MATCH($N770,DATA_ASSET_CLASSIFICATION!$AA$8:$AA$13,0)),"Review"))</f>
        <v>Bucket 2 · Legacy</v>
      </c>
      <c r="P770" s="350" t="str">
        <f>IF($B770="Portfolio","Portfolio",IFERROR(INDEX(DATA_ASSET_CLASSIFICATION!$C$8:$C$24,MATCH($C770,DATA_ASSET_CLASSIFICATION!$A$8:$A$24,0)),"Review"))</f>
        <v>Yes</v>
      </c>
      <c r="Q770" s="350" t="str">
        <f t="shared" ca="1" si="23"/>
        <v>OK</v>
      </c>
    </row>
    <row r="771" spans="1:17">
      <c r="A771" s="366" t="s">
        <v>2727</v>
      </c>
      <c r="B771" s="366" t="s">
        <v>231</v>
      </c>
      <c r="C771" s="348" t="str">
        <f>DATA_PROPERTY_MASTER!$A$6</f>
        <v>BLD_AC</v>
      </c>
      <c r="D771" s="380">
        <f>'00_PORTFOLIO ROLLUP'!P$12</f>
        <v>2036</v>
      </c>
      <c r="E771" s="366" t="s">
        <v>1683</v>
      </c>
      <c r="F771" s="366" t="s">
        <v>355</v>
      </c>
      <c r="G771" s="348" t="str">
        <f>"'"&amp;$C771&amp;"'!$E$39:$Y$39"</f>
        <v>'BLD_AC'!$E$39:$Y$39</v>
      </c>
      <c r="H771" s="381">
        <f ca="1">IF(IFERROR(INDEX(DATA_PROPERTY_MASTER!$E$5:$E$21,MATCH($C771,DATA_PROPERTY_MASTER!$A$5:$A$21,0))="Yes",FALSE),IFERROR(INDEX(INDIRECT("'"&amp;$C771&amp;"'!$E$39:$Y$39"),1,MATCH($D771,INDIRECT("'"&amp;$C771&amp;"'!$E$12:$Y$12"),0)),0),0)</f>
        <v>225155.90974639292</v>
      </c>
      <c r="I771" s="366" t="s">
        <v>1690</v>
      </c>
      <c r="J771" s="348" t="str">
        <f t="shared" ca="1" si="22"/>
        <v>OK</v>
      </c>
      <c r="K771" s="366" t="s">
        <v>1686</v>
      </c>
      <c r="L771" s="366" t="s">
        <v>2236</v>
      </c>
      <c r="M771" s="350" t="str">
        <f>IF($B771="Portfolio","Portfolio",IFERROR(INDEX(DATA_ASSET_CLASSIFICATION!$B$8:$B$24,MATCH($C771,DATA_ASSET_CLASSIFICATION!$A$8:$A$24,0)),"Review"))</f>
        <v>Antkiw Court</v>
      </c>
      <c r="N771" s="350" t="str">
        <f ca="1">IF($B771="Portfolio","Portfolio",IFERROR(INDEX(DATA_ASSET_CLASSIFICATION!$U$8:$U$24,MATCH($C771,DATA_ASSET_CLASSIFICATION!$A$8:$A$24,0)),"Review"))</f>
        <v>Stable</v>
      </c>
      <c r="O771" s="350" t="str">
        <f ca="1">IF($B771="Portfolio","Portfolio",IFERROR(INDEX(DATA_ASSET_CLASSIFICATION!$AB$8:$AB$13,MATCH($N771,DATA_ASSET_CLASSIFICATION!$AA$8:$AA$13,0)),"Review"))</f>
        <v>Bucket 2 · Legacy</v>
      </c>
      <c r="P771" s="350" t="str">
        <f>IF($B771="Portfolio","Portfolio",IFERROR(INDEX(DATA_ASSET_CLASSIFICATION!$C$8:$C$24,MATCH($C771,DATA_ASSET_CLASSIFICATION!$A$8:$A$24,0)),"Review"))</f>
        <v>Yes</v>
      </c>
      <c r="Q771" s="350" t="str">
        <f t="shared" ca="1" si="23"/>
        <v>OK</v>
      </c>
    </row>
    <row r="772" spans="1:17">
      <c r="A772" s="366" t="s">
        <v>2728</v>
      </c>
      <c r="B772" s="366" t="s">
        <v>231</v>
      </c>
      <c r="C772" s="348" t="str">
        <f>DATA_PROPERTY_MASTER!$A$6</f>
        <v>BLD_AC</v>
      </c>
      <c r="D772" s="380">
        <f>'00_PORTFOLIO ROLLUP'!P$12</f>
        <v>2036</v>
      </c>
      <c r="E772" s="366" t="s">
        <v>1683</v>
      </c>
      <c r="F772" s="366" t="s">
        <v>19</v>
      </c>
      <c r="G772" s="348" t="str">
        <f>"'"&amp;$C772&amp;"'!$E$41:$Y$41"</f>
        <v>'BLD_AC'!$E$41:$Y$41</v>
      </c>
      <c r="H772" s="381">
        <f ca="1">IF(IFERROR(INDEX(DATA_PROPERTY_MASTER!$E$5:$E$21,MATCH($C772,DATA_PROPERTY_MASTER!$A$5:$A$21,0))="Yes",FALSE),IFERROR(INDEX(INDIRECT("'"&amp;$C772&amp;"'!$E$41:$Y$41"),1,MATCH($D772,INDIRECT("'"&amp;$C772&amp;"'!$E$12:$Y$12"),0)),0),0)</f>
        <v>197268.96804361115</v>
      </c>
      <c r="I772" s="366" t="s">
        <v>1685</v>
      </c>
      <c r="J772" s="348" t="str">
        <f t="shared" ca="1" si="22"/>
        <v>OK</v>
      </c>
      <c r="K772" s="366" t="s">
        <v>1694</v>
      </c>
      <c r="L772" s="366" t="s">
        <v>2238</v>
      </c>
      <c r="M772" s="350" t="str">
        <f>IF($B772="Portfolio","Portfolio",IFERROR(INDEX(DATA_ASSET_CLASSIFICATION!$B$8:$B$24,MATCH($C772,DATA_ASSET_CLASSIFICATION!$A$8:$A$24,0)),"Review"))</f>
        <v>Antkiw Court</v>
      </c>
      <c r="N772" s="350" t="str">
        <f ca="1">IF($B772="Portfolio","Portfolio",IFERROR(INDEX(DATA_ASSET_CLASSIFICATION!$U$8:$U$24,MATCH($C772,DATA_ASSET_CLASSIFICATION!$A$8:$A$24,0)),"Review"))</f>
        <v>Stable</v>
      </c>
      <c r="O772" s="350" t="str">
        <f ca="1">IF($B772="Portfolio","Portfolio",IFERROR(INDEX(DATA_ASSET_CLASSIFICATION!$AB$8:$AB$13,MATCH($N772,DATA_ASSET_CLASSIFICATION!$AA$8:$AA$13,0)),"Review"))</f>
        <v>Bucket 2 · Legacy</v>
      </c>
      <c r="P772" s="350" t="str">
        <f>IF($B772="Portfolio","Portfolio",IFERROR(INDEX(DATA_ASSET_CLASSIFICATION!$C$8:$C$24,MATCH($C772,DATA_ASSET_CLASSIFICATION!$A$8:$A$24,0)),"Review"))</f>
        <v>Yes</v>
      </c>
      <c r="Q772" s="350" t="str">
        <f t="shared" ca="1" si="23"/>
        <v>OK</v>
      </c>
    </row>
    <row r="773" spans="1:17">
      <c r="A773" s="366" t="s">
        <v>2729</v>
      </c>
      <c r="B773" s="366" t="s">
        <v>231</v>
      </c>
      <c r="C773" s="348" t="str">
        <f>DATA_PROPERTY_MASTER!$A$6</f>
        <v>BLD_AC</v>
      </c>
      <c r="D773" s="380">
        <f>'00_PORTFOLIO ROLLUP'!P$12</f>
        <v>2036</v>
      </c>
      <c r="E773" s="366" t="s">
        <v>1683</v>
      </c>
      <c r="F773" s="366" t="s">
        <v>1697</v>
      </c>
      <c r="G773" s="348" t="str">
        <f>"'"&amp;$C773&amp;"'!$E$44:$Y$44"</f>
        <v>'BLD_AC'!$E$44:$Y$44</v>
      </c>
      <c r="H773" s="381">
        <f ca="1">IF(IFERROR(INDEX(DATA_PROPERTY_MASTER!$E$5:$E$21,MATCH($C773,DATA_PROPERTY_MASTER!$A$5:$A$21,0))="Yes",FALSE),IFERROR(INDEX(INDIRECT("'"&amp;$C773&amp;"'!$E$44:$Y$44"),1,MATCH($D773,INDIRECT("'"&amp;$C773&amp;"'!$E$12:$Y$12"),0)),0),0)</f>
        <v>3916.6290714431539</v>
      </c>
      <c r="I773" s="366" t="s">
        <v>1690</v>
      </c>
      <c r="J773" s="348" t="str">
        <f t="shared" ref="J773:J836" ca="1" si="24">IF($F773="Residual Funding Gap",IF($H773&gt;0,"Funding Gap","OK"),IF(AND($F773="Net Refinance Position",$H773&lt;0),"Negative net refi position","OK"))</f>
        <v>OK</v>
      </c>
      <c r="K773" s="366" t="s">
        <v>1699</v>
      </c>
      <c r="L773" s="366" t="s">
        <v>2240</v>
      </c>
      <c r="M773" s="350" t="str">
        <f>IF($B773="Portfolio","Portfolio",IFERROR(INDEX(DATA_ASSET_CLASSIFICATION!$B$8:$B$24,MATCH($C773,DATA_ASSET_CLASSIFICATION!$A$8:$A$24,0)),"Review"))</f>
        <v>Antkiw Court</v>
      </c>
      <c r="N773" s="350" t="str">
        <f ca="1">IF($B773="Portfolio","Portfolio",IFERROR(INDEX(DATA_ASSET_CLASSIFICATION!$U$8:$U$24,MATCH($C773,DATA_ASSET_CLASSIFICATION!$A$8:$A$24,0)),"Review"))</f>
        <v>Stable</v>
      </c>
      <c r="O773" s="350" t="str">
        <f ca="1">IF($B773="Portfolio","Portfolio",IFERROR(INDEX(DATA_ASSET_CLASSIFICATION!$AB$8:$AB$13,MATCH($N773,DATA_ASSET_CLASSIFICATION!$AA$8:$AA$13,0)),"Review"))</f>
        <v>Bucket 2 · Legacy</v>
      </c>
      <c r="P773" s="350" t="str">
        <f>IF($B773="Portfolio","Portfolio",IFERROR(INDEX(DATA_ASSET_CLASSIFICATION!$C$8:$C$24,MATCH($C773,DATA_ASSET_CLASSIFICATION!$A$8:$A$24,0)),"Review"))</f>
        <v>Yes</v>
      </c>
      <c r="Q773" s="350" t="str">
        <f t="shared" ref="Q773:Q836" ca="1" si="25">IF(AND($B773="Property",$F773="Residual Funding Gap",$H773&gt;0),"Property Funding Gap",IF($J773&lt;&gt;"OK",$J773,"OK"))</f>
        <v>OK</v>
      </c>
    </row>
    <row r="774" spans="1:17">
      <c r="A774" s="366" t="s">
        <v>2730</v>
      </c>
      <c r="B774" s="366" t="s">
        <v>231</v>
      </c>
      <c r="C774" s="348" t="str">
        <f>DATA_PROPERTY_MASTER!$A$6</f>
        <v>BLD_AC</v>
      </c>
      <c r="D774" s="380">
        <f>'00_PORTFOLIO ROLLUP'!P$12</f>
        <v>2036</v>
      </c>
      <c r="E774" s="366" t="s">
        <v>1683</v>
      </c>
      <c r="F774" s="366" t="s">
        <v>21</v>
      </c>
      <c r="G774" s="348" t="str">
        <f>"'"&amp;$C774&amp;"'!$E$45:$Y$45"</f>
        <v>'BLD_AC'!$E$45:$Y$45</v>
      </c>
      <c r="H774" s="381">
        <f ca="1">IF(IFERROR(INDEX(DATA_PROPERTY_MASTER!$E$5:$E$21,MATCH($C774,DATA_PROPERTY_MASTER!$A$5:$A$21,0))="Yes",FALSE),IFERROR(INDEX(INDIRECT("'"&amp;$C774&amp;"'!$E$45:$Y$45"),1,MATCH($D774,INDIRECT("'"&amp;$C774&amp;"'!$E$12:$Y$12"),0)),0),0)</f>
        <v>193352.33897216799</v>
      </c>
      <c r="I774" s="366" t="s">
        <v>1685</v>
      </c>
      <c r="J774" s="348" t="str">
        <f t="shared" ca="1" si="24"/>
        <v>OK</v>
      </c>
      <c r="K774" s="366" t="s">
        <v>1694</v>
      </c>
      <c r="L774" s="366" t="s">
        <v>2242</v>
      </c>
      <c r="M774" s="350" t="str">
        <f>IF($B774="Portfolio","Portfolio",IFERROR(INDEX(DATA_ASSET_CLASSIFICATION!$B$8:$B$24,MATCH($C774,DATA_ASSET_CLASSIFICATION!$A$8:$A$24,0)),"Review"))</f>
        <v>Antkiw Court</v>
      </c>
      <c r="N774" s="350" t="str">
        <f ca="1">IF($B774="Portfolio","Portfolio",IFERROR(INDEX(DATA_ASSET_CLASSIFICATION!$U$8:$U$24,MATCH($C774,DATA_ASSET_CLASSIFICATION!$A$8:$A$24,0)),"Review"))</f>
        <v>Stable</v>
      </c>
      <c r="O774" s="350" t="str">
        <f ca="1">IF($B774="Portfolio","Portfolio",IFERROR(INDEX(DATA_ASSET_CLASSIFICATION!$AB$8:$AB$13,MATCH($N774,DATA_ASSET_CLASSIFICATION!$AA$8:$AA$13,0)),"Review"))</f>
        <v>Bucket 2 · Legacy</v>
      </c>
      <c r="P774" s="350" t="str">
        <f>IF($B774="Portfolio","Portfolio",IFERROR(INDEX(DATA_ASSET_CLASSIFICATION!$C$8:$C$24,MATCH($C774,DATA_ASSET_CLASSIFICATION!$A$8:$A$24,0)),"Review"))</f>
        <v>Yes</v>
      </c>
      <c r="Q774" s="350" t="str">
        <f t="shared" ca="1" si="25"/>
        <v>OK</v>
      </c>
    </row>
    <row r="775" spans="1:17">
      <c r="A775" s="366" t="s">
        <v>2731</v>
      </c>
      <c r="B775" s="366" t="s">
        <v>231</v>
      </c>
      <c r="C775" s="348" t="str">
        <f>DATA_PROPERTY_MASTER!$A$6</f>
        <v>BLD_AC</v>
      </c>
      <c r="D775" s="380">
        <f>'00_PORTFOLIO ROLLUP'!P$12</f>
        <v>2036</v>
      </c>
      <c r="E775" s="366" t="s">
        <v>23</v>
      </c>
      <c r="F775" s="366" t="s">
        <v>23</v>
      </c>
      <c r="G775" s="348" t="str">
        <f>"'"&amp;$C775&amp;"'!$E$48:$Y$48"</f>
        <v>'BLD_AC'!$E$48:$Y$48</v>
      </c>
      <c r="H775" s="381">
        <f ca="1">IF(IFERROR(INDEX(DATA_PROPERTY_MASTER!$E$5:$E$21,MATCH($C775,DATA_PROPERTY_MASTER!$A$5:$A$21,0))="Yes",FALSE),IFERROR(INDEX(INDIRECT("'"&amp;$C775&amp;"'!$E$48:$Y$48"),1,MATCH($D775,INDIRECT("'"&amp;$C775&amp;"'!$E$12:$Y$12"),0)),0),0)</f>
        <v>54330.12</v>
      </c>
      <c r="I775" s="366" t="s">
        <v>1690</v>
      </c>
      <c r="J775" s="348" t="str">
        <f t="shared" ca="1" si="24"/>
        <v>OK</v>
      </c>
      <c r="K775" s="366" t="s">
        <v>1706</v>
      </c>
      <c r="L775" s="366" t="s">
        <v>2244</v>
      </c>
      <c r="M775" s="350" t="str">
        <f>IF($B775="Portfolio","Portfolio",IFERROR(INDEX(DATA_ASSET_CLASSIFICATION!$B$8:$B$24,MATCH($C775,DATA_ASSET_CLASSIFICATION!$A$8:$A$24,0)),"Review"))</f>
        <v>Antkiw Court</v>
      </c>
      <c r="N775" s="350" t="str">
        <f ca="1">IF($B775="Portfolio","Portfolio",IFERROR(INDEX(DATA_ASSET_CLASSIFICATION!$U$8:$U$24,MATCH($C775,DATA_ASSET_CLASSIFICATION!$A$8:$A$24,0)),"Review"))</f>
        <v>Stable</v>
      </c>
      <c r="O775" s="350" t="str">
        <f ca="1">IF($B775="Portfolio","Portfolio",IFERROR(INDEX(DATA_ASSET_CLASSIFICATION!$AB$8:$AB$13,MATCH($N775,DATA_ASSET_CLASSIFICATION!$AA$8:$AA$13,0)),"Review"))</f>
        <v>Bucket 2 · Legacy</v>
      </c>
      <c r="P775" s="350" t="str">
        <f>IF($B775="Portfolio","Portfolio",IFERROR(INDEX(DATA_ASSET_CLASSIFICATION!$C$8:$C$24,MATCH($C775,DATA_ASSET_CLASSIFICATION!$A$8:$A$24,0)),"Review"))</f>
        <v>Yes</v>
      </c>
      <c r="Q775" s="350" t="str">
        <f t="shared" ca="1" si="25"/>
        <v>OK</v>
      </c>
    </row>
    <row r="776" spans="1:17">
      <c r="A776" s="366" t="s">
        <v>2732</v>
      </c>
      <c r="B776" s="366" t="s">
        <v>231</v>
      </c>
      <c r="C776" s="348" t="str">
        <f>DATA_PROPERTY_MASTER!$A$6</f>
        <v>BLD_AC</v>
      </c>
      <c r="D776" s="380">
        <f>'00_PORTFOLIO ROLLUP'!P$12</f>
        <v>2036</v>
      </c>
      <c r="E776" s="366" t="s">
        <v>1683</v>
      </c>
      <c r="F776" s="366" t="s">
        <v>25</v>
      </c>
      <c r="G776" s="348" t="str">
        <f>"'"&amp;$C776&amp;"'!$E$52:$Y$52"</f>
        <v>'BLD_AC'!$E$52:$Y$52</v>
      </c>
      <c r="H776" s="381">
        <f ca="1">IF(IFERROR(INDEX(DATA_PROPERTY_MASTER!$E$5:$E$21,MATCH($C776,DATA_PROPERTY_MASTER!$A$5:$A$21,0))="Yes",FALSE),IFERROR(INDEX(INDIRECT("'"&amp;$C776&amp;"'!$E$52:$Y$52"),1,MATCH($D776,INDIRECT("'"&amp;$C776&amp;"'!$E$12:$Y$12"),0)),0),0)</f>
        <v>142938.84804361116</v>
      </c>
      <c r="I776" s="366" t="s">
        <v>1685</v>
      </c>
      <c r="J776" s="348" t="str">
        <f t="shared" ca="1" si="24"/>
        <v>OK</v>
      </c>
      <c r="K776" s="366" t="s">
        <v>1710</v>
      </c>
      <c r="L776" s="366" t="s">
        <v>2246</v>
      </c>
      <c r="M776" s="350" t="str">
        <f>IF($B776="Portfolio","Portfolio",IFERROR(INDEX(DATA_ASSET_CLASSIFICATION!$B$8:$B$24,MATCH($C776,DATA_ASSET_CLASSIFICATION!$A$8:$A$24,0)),"Review"))</f>
        <v>Antkiw Court</v>
      </c>
      <c r="N776" s="350" t="str">
        <f ca="1">IF($B776="Portfolio","Portfolio",IFERROR(INDEX(DATA_ASSET_CLASSIFICATION!$U$8:$U$24,MATCH($C776,DATA_ASSET_CLASSIFICATION!$A$8:$A$24,0)),"Review"))</f>
        <v>Stable</v>
      </c>
      <c r="O776" s="350" t="str">
        <f ca="1">IF($B776="Portfolio","Portfolio",IFERROR(INDEX(DATA_ASSET_CLASSIFICATION!$AB$8:$AB$13,MATCH($N776,DATA_ASSET_CLASSIFICATION!$AA$8:$AA$13,0)),"Review"))</f>
        <v>Bucket 2 · Legacy</v>
      </c>
      <c r="P776" s="350" t="str">
        <f>IF($B776="Portfolio","Portfolio",IFERROR(INDEX(DATA_ASSET_CLASSIFICATION!$C$8:$C$24,MATCH($C776,DATA_ASSET_CLASSIFICATION!$A$8:$A$24,0)),"Review"))</f>
        <v>Yes</v>
      </c>
      <c r="Q776" s="350" t="str">
        <f t="shared" ca="1" si="25"/>
        <v>OK</v>
      </c>
    </row>
    <row r="777" spans="1:17">
      <c r="A777" s="366" t="s">
        <v>2733</v>
      </c>
      <c r="B777" s="366" t="s">
        <v>231</v>
      </c>
      <c r="C777" s="348" t="str">
        <f>DATA_PROPERTY_MASTER!$A$6</f>
        <v>BLD_AC</v>
      </c>
      <c r="D777" s="380">
        <f>'00_PORTFOLIO ROLLUP'!P$12</f>
        <v>2036</v>
      </c>
      <c r="E777" s="366" t="s">
        <v>1683</v>
      </c>
      <c r="F777" s="366" t="s">
        <v>27</v>
      </c>
      <c r="G777" s="348" t="str">
        <f>"'"&amp;$C777&amp;"'!$E$54:$Y$54"</f>
        <v>'BLD_AC'!$E$54:$Y$54</v>
      </c>
      <c r="H777" s="381">
        <f ca="1">IF(IFERROR(INDEX(DATA_PROPERTY_MASTER!$E$5:$E$21,MATCH($C777,DATA_PROPERTY_MASTER!$A$5:$A$21,0))="Yes",FALSE),IFERROR(INDEX(INDIRECT("'"&amp;$C777&amp;"'!$E$54:$Y$54"),1,MATCH($D777,INDIRECT("'"&amp;$C777&amp;"'!$E$12:$Y$12"),0)),0),0)</f>
        <v>85763.308826166685</v>
      </c>
      <c r="I777" s="366" t="s">
        <v>1690</v>
      </c>
      <c r="J777" s="348" t="str">
        <f t="shared" ca="1" si="24"/>
        <v>OK</v>
      </c>
      <c r="K777" s="366" t="s">
        <v>1714</v>
      </c>
      <c r="L777" s="366" t="s">
        <v>2248</v>
      </c>
      <c r="M777" s="350" t="str">
        <f>IF($B777="Portfolio","Portfolio",IFERROR(INDEX(DATA_ASSET_CLASSIFICATION!$B$8:$B$24,MATCH($C777,DATA_ASSET_CLASSIFICATION!$A$8:$A$24,0)),"Review"))</f>
        <v>Antkiw Court</v>
      </c>
      <c r="N777" s="350" t="str">
        <f ca="1">IF($B777="Portfolio","Portfolio",IFERROR(INDEX(DATA_ASSET_CLASSIFICATION!$U$8:$U$24,MATCH($C777,DATA_ASSET_CLASSIFICATION!$A$8:$A$24,0)),"Review"))</f>
        <v>Stable</v>
      </c>
      <c r="O777" s="350" t="str">
        <f ca="1">IF($B777="Portfolio","Portfolio",IFERROR(INDEX(DATA_ASSET_CLASSIFICATION!$AB$8:$AB$13,MATCH($N777,DATA_ASSET_CLASSIFICATION!$AA$8:$AA$13,0)),"Review"))</f>
        <v>Bucket 2 · Legacy</v>
      </c>
      <c r="P777" s="350" t="str">
        <f>IF($B777="Portfolio","Portfolio",IFERROR(INDEX(DATA_ASSET_CLASSIFICATION!$C$8:$C$24,MATCH($C777,DATA_ASSET_CLASSIFICATION!$A$8:$A$24,0)),"Review"))</f>
        <v>Yes</v>
      </c>
      <c r="Q777" s="350" t="str">
        <f t="shared" ca="1" si="25"/>
        <v>OK</v>
      </c>
    </row>
    <row r="778" spans="1:17">
      <c r="A778" s="366" t="s">
        <v>2734</v>
      </c>
      <c r="B778" s="366" t="s">
        <v>231</v>
      </c>
      <c r="C778" s="348" t="str">
        <f>DATA_PROPERTY_MASTER!$A$6</f>
        <v>BLD_AC</v>
      </c>
      <c r="D778" s="380">
        <f>'00_PORTFOLIO ROLLUP'!P$12</f>
        <v>2036</v>
      </c>
      <c r="E778" s="366" t="s">
        <v>1683</v>
      </c>
      <c r="F778" s="366" t="s">
        <v>29</v>
      </c>
      <c r="G778" s="348" t="str">
        <f>"'"&amp;$C778&amp;"'!$E$56:$Y$56"</f>
        <v>'BLD_AC'!$E$56:$Y$56</v>
      </c>
      <c r="H778" s="381">
        <f ca="1">IF(IFERROR(INDEX(DATA_PROPERTY_MASTER!$E$5:$E$21,MATCH($C778,DATA_PROPERTY_MASTER!$A$5:$A$21,0))="Yes",FALSE),IFERROR(INDEX(INDIRECT("'"&amp;$C778&amp;"'!$E$56:$Y$56"),1,MATCH($D778,INDIRECT("'"&amp;$C778&amp;"'!$E$12:$Y$12"),0)),0),0)</f>
        <v>57175.539217444471</v>
      </c>
      <c r="I778" s="366" t="s">
        <v>1685</v>
      </c>
      <c r="J778" s="348" t="str">
        <f t="shared" ca="1" si="24"/>
        <v>OK</v>
      </c>
      <c r="K778" s="366" t="s">
        <v>1718</v>
      </c>
      <c r="L778" s="366" t="s">
        <v>2250</v>
      </c>
      <c r="M778" s="350" t="str">
        <f>IF($B778="Portfolio","Portfolio",IFERROR(INDEX(DATA_ASSET_CLASSIFICATION!$B$8:$B$24,MATCH($C778,DATA_ASSET_CLASSIFICATION!$A$8:$A$24,0)),"Review"))</f>
        <v>Antkiw Court</v>
      </c>
      <c r="N778" s="350" t="str">
        <f ca="1">IF($B778="Portfolio","Portfolio",IFERROR(INDEX(DATA_ASSET_CLASSIFICATION!$U$8:$U$24,MATCH($C778,DATA_ASSET_CLASSIFICATION!$A$8:$A$24,0)),"Review"))</f>
        <v>Stable</v>
      </c>
      <c r="O778" s="350" t="str">
        <f ca="1">IF($B778="Portfolio","Portfolio",IFERROR(INDEX(DATA_ASSET_CLASSIFICATION!$AB$8:$AB$13,MATCH($N778,DATA_ASSET_CLASSIFICATION!$AA$8:$AA$13,0)),"Review"))</f>
        <v>Bucket 2 · Legacy</v>
      </c>
      <c r="P778" s="350" t="str">
        <f>IF($B778="Portfolio","Portfolio",IFERROR(INDEX(DATA_ASSET_CLASSIFICATION!$C$8:$C$24,MATCH($C778,DATA_ASSET_CLASSIFICATION!$A$8:$A$24,0)),"Review"))</f>
        <v>Yes</v>
      </c>
      <c r="Q778" s="350" t="str">
        <f t="shared" ca="1" si="25"/>
        <v>OK</v>
      </c>
    </row>
    <row r="779" spans="1:17">
      <c r="A779" s="366" t="s">
        <v>2735</v>
      </c>
      <c r="B779" s="366" t="s">
        <v>231</v>
      </c>
      <c r="C779" s="348" t="str">
        <f>DATA_PROPERTY_MASTER!$A$6</f>
        <v>BLD_AC</v>
      </c>
      <c r="D779" s="380">
        <f>'00_PORTFOLIO ROLLUP'!P$12</f>
        <v>2036</v>
      </c>
      <c r="E779" s="366" t="s">
        <v>1721</v>
      </c>
      <c r="F779" s="366" t="s">
        <v>31</v>
      </c>
      <c r="G779" s="348" t="str">
        <f>"'"&amp;$C779&amp;"'!$E$61:$Y$61"</f>
        <v>'BLD_AC'!$E$61:$Y$61</v>
      </c>
      <c r="H779" s="381">
        <f ca="1">IF(IFERROR(INDEX(DATA_PROPERTY_MASTER!$E$5:$E$21,MATCH($C779,DATA_PROPERTY_MASTER!$A$5:$A$21,0))="Yes",FALSE),IFERROR(INDEX(INDIRECT("'"&amp;$C779&amp;"'!$E$61:$Y$61"),1,MATCH($D779,INDIRECT("'"&amp;$C779&amp;"'!$E$12:$Y$12"),0)),0),0)</f>
        <v>0</v>
      </c>
      <c r="I779" s="366" t="s">
        <v>1690</v>
      </c>
      <c r="J779" s="348" t="str">
        <f t="shared" ca="1" si="24"/>
        <v>OK</v>
      </c>
      <c r="K779" s="366" t="s">
        <v>1723</v>
      </c>
      <c r="L779" s="366" t="s">
        <v>2252</v>
      </c>
      <c r="M779" s="350" t="str">
        <f>IF($B779="Portfolio","Portfolio",IFERROR(INDEX(DATA_ASSET_CLASSIFICATION!$B$8:$B$24,MATCH($C779,DATA_ASSET_CLASSIFICATION!$A$8:$A$24,0)),"Review"))</f>
        <v>Antkiw Court</v>
      </c>
      <c r="N779" s="350" t="str">
        <f ca="1">IF($B779="Portfolio","Portfolio",IFERROR(INDEX(DATA_ASSET_CLASSIFICATION!$U$8:$U$24,MATCH($C779,DATA_ASSET_CLASSIFICATION!$A$8:$A$24,0)),"Review"))</f>
        <v>Stable</v>
      </c>
      <c r="O779" s="350" t="str">
        <f ca="1">IF($B779="Portfolio","Portfolio",IFERROR(INDEX(DATA_ASSET_CLASSIFICATION!$AB$8:$AB$13,MATCH($N779,DATA_ASSET_CLASSIFICATION!$AA$8:$AA$13,0)),"Review"))</f>
        <v>Bucket 2 · Legacy</v>
      </c>
      <c r="P779" s="350" t="str">
        <f>IF($B779="Portfolio","Portfolio",IFERROR(INDEX(DATA_ASSET_CLASSIFICATION!$C$8:$C$24,MATCH($C779,DATA_ASSET_CLASSIFICATION!$A$8:$A$24,0)),"Review"))</f>
        <v>Yes</v>
      </c>
      <c r="Q779" s="350" t="str">
        <f t="shared" ca="1" si="25"/>
        <v>OK</v>
      </c>
    </row>
    <row r="780" spans="1:17">
      <c r="A780" s="366" t="s">
        <v>2736</v>
      </c>
      <c r="B780" s="366" t="s">
        <v>231</v>
      </c>
      <c r="C780" s="348" t="str">
        <f>DATA_PROPERTY_MASTER!$A$6</f>
        <v>BLD_AC</v>
      </c>
      <c r="D780" s="380">
        <f>'00_PORTFOLIO ROLLUP'!P$12</f>
        <v>2036</v>
      </c>
      <c r="E780" s="366" t="s">
        <v>1721</v>
      </c>
      <c r="F780" s="366" t="s">
        <v>33</v>
      </c>
      <c r="G780" s="348" t="str">
        <f>"'"&amp;$C780&amp;"'!$E$62:$Y$62"</f>
        <v>'BLD_AC'!$E$62:$Y$62</v>
      </c>
      <c r="H780" s="381">
        <f ca="1">IF(IFERROR(INDEX(DATA_PROPERTY_MASTER!$E$5:$E$21,MATCH($C780,DATA_PROPERTY_MASTER!$A$5:$A$21,0))="Yes",FALSE),IFERROR(INDEX(INDIRECT("'"&amp;$C780&amp;"'!$E$62:$Y$62"),1,MATCH($D780,INDIRECT("'"&amp;$C780&amp;"'!$E$12:$Y$12"),0)),0),0)</f>
        <v>0</v>
      </c>
      <c r="I780" s="366" t="s">
        <v>1685</v>
      </c>
      <c r="J780" s="348" t="str">
        <f t="shared" ca="1" si="24"/>
        <v>OK</v>
      </c>
      <c r="K780" s="366" t="s">
        <v>1727</v>
      </c>
      <c r="L780" s="366" t="s">
        <v>2254</v>
      </c>
      <c r="M780" s="350" t="str">
        <f>IF($B780="Portfolio","Portfolio",IFERROR(INDEX(DATA_ASSET_CLASSIFICATION!$B$8:$B$24,MATCH($C780,DATA_ASSET_CLASSIFICATION!$A$8:$A$24,0)),"Review"))</f>
        <v>Antkiw Court</v>
      </c>
      <c r="N780" s="350" t="str">
        <f ca="1">IF($B780="Portfolio","Portfolio",IFERROR(INDEX(DATA_ASSET_CLASSIFICATION!$U$8:$U$24,MATCH($C780,DATA_ASSET_CLASSIFICATION!$A$8:$A$24,0)),"Review"))</f>
        <v>Stable</v>
      </c>
      <c r="O780" s="350" t="str">
        <f ca="1">IF($B780="Portfolio","Portfolio",IFERROR(INDEX(DATA_ASSET_CLASSIFICATION!$AB$8:$AB$13,MATCH($N780,DATA_ASSET_CLASSIFICATION!$AA$8:$AA$13,0)),"Review"))</f>
        <v>Bucket 2 · Legacy</v>
      </c>
      <c r="P780" s="350" t="str">
        <f>IF($B780="Portfolio","Portfolio",IFERROR(INDEX(DATA_ASSET_CLASSIFICATION!$C$8:$C$24,MATCH($C780,DATA_ASSET_CLASSIFICATION!$A$8:$A$24,0)),"Review"))</f>
        <v>Yes</v>
      </c>
      <c r="Q780" s="350" t="str">
        <f t="shared" ca="1" si="25"/>
        <v>OK</v>
      </c>
    </row>
    <row r="781" spans="1:17">
      <c r="A781" s="366" t="s">
        <v>2737</v>
      </c>
      <c r="B781" s="366" t="s">
        <v>231</v>
      </c>
      <c r="C781" s="348" t="str">
        <f>DATA_PROPERTY_MASTER!$A$6</f>
        <v>BLD_AC</v>
      </c>
      <c r="D781" s="380">
        <f>'00_PORTFOLIO ROLLUP'!P$12</f>
        <v>2036</v>
      </c>
      <c r="E781" s="366" t="s">
        <v>1721</v>
      </c>
      <c r="F781" s="366" t="s">
        <v>35</v>
      </c>
      <c r="G781" s="348" t="str">
        <f>"'"&amp;$C781&amp;"'!$E$63:$Y$63"</f>
        <v>'BLD_AC'!$E$63:$Y$63</v>
      </c>
      <c r="H781" s="381">
        <f ca="1">IF(IFERROR(INDEX(DATA_PROPERTY_MASTER!$E$5:$E$21,MATCH($C781,DATA_PROPERTY_MASTER!$A$5:$A$21,0))="Yes",FALSE),IFERROR(INDEX(INDIRECT("'"&amp;$C781&amp;"'!$E$63:$Y$63"),1,MATCH($D781,INDIRECT("'"&amp;$C781&amp;"'!$E$12:$Y$12"),0)),0),0)</f>
        <v>0</v>
      </c>
      <c r="I781" s="366" t="s">
        <v>1731</v>
      </c>
      <c r="J781" s="348" t="str">
        <f t="shared" ca="1" si="24"/>
        <v>OK</v>
      </c>
      <c r="K781" s="366" t="s">
        <v>1732</v>
      </c>
      <c r="L781" s="366" t="s">
        <v>2256</v>
      </c>
      <c r="M781" s="350" t="str">
        <f>IF($B781="Portfolio","Portfolio",IFERROR(INDEX(DATA_ASSET_CLASSIFICATION!$B$8:$B$24,MATCH($C781,DATA_ASSET_CLASSIFICATION!$A$8:$A$24,0)),"Review"))</f>
        <v>Antkiw Court</v>
      </c>
      <c r="N781" s="350" t="str">
        <f ca="1">IF($B781="Portfolio","Portfolio",IFERROR(INDEX(DATA_ASSET_CLASSIFICATION!$U$8:$U$24,MATCH($C781,DATA_ASSET_CLASSIFICATION!$A$8:$A$24,0)),"Review"))</f>
        <v>Stable</v>
      </c>
      <c r="O781" s="350" t="str">
        <f ca="1">IF($B781="Portfolio","Portfolio",IFERROR(INDEX(DATA_ASSET_CLASSIFICATION!$AB$8:$AB$13,MATCH($N781,DATA_ASSET_CLASSIFICATION!$AA$8:$AA$13,0)),"Review"))</f>
        <v>Bucket 2 · Legacy</v>
      </c>
      <c r="P781" s="350" t="str">
        <f>IF($B781="Portfolio","Portfolio",IFERROR(INDEX(DATA_ASSET_CLASSIFICATION!$C$8:$C$24,MATCH($C781,DATA_ASSET_CLASSIFICATION!$A$8:$A$24,0)),"Review"))</f>
        <v>Yes</v>
      </c>
      <c r="Q781" s="350" t="str">
        <f t="shared" ca="1" si="25"/>
        <v>OK</v>
      </c>
    </row>
    <row r="782" spans="1:17">
      <c r="A782" s="366" t="s">
        <v>2738</v>
      </c>
      <c r="B782" s="366" t="s">
        <v>231</v>
      </c>
      <c r="C782" s="348" t="str">
        <f>DATA_PROPERTY_MASTER!$A$6</f>
        <v>BLD_AC</v>
      </c>
      <c r="D782" s="380">
        <f>'00_PORTFOLIO ROLLUP'!P$12</f>
        <v>2036</v>
      </c>
      <c r="E782" s="366" t="s">
        <v>1721</v>
      </c>
      <c r="F782" s="366" t="s">
        <v>37</v>
      </c>
      <c r="G782" s="348" t="str">
        <f>"'"&amp;$C782&amp;"'!$E$63:$Y$63"</f>
        <v>'BLD_AC'!$E$63:$Y$63</v>
      </c>
      <c r="H782" s="381">
        <f ca="1">IF(IFERROR(INDEX(DATA_PROPERTY_MASTER!$E$5:$E$21,MATCH($C782,DATA_PROPERTY_MASTER!$A$5:$A$21,0))="Yes",FALSE),MAX(IFERROR(INDEX(INDIRECT("'"&amp;$C782&amp;"'!$E$63:$Y$63"),1,MATCH($D782,INDIRECT("'"&amp;$C782&amp;"'!$E$12:$Y$12"),0)),0),0),0)</f>
        <v>0</v>
      </c>
      <c r="I782" s="366" t="s">
        <v>1685</v>
      </c>
      <c r="J782" s="348" t="str">
        <f t="shared" ca="1" si="24"/>
        <v>OK</v>
      </c>
      <c r="K782" s="366" t="s">
        <v>1735</v>
      </c>
      <c r="L782" s="366" t="s">
        <v>2258</v>
      </c>
      <c r="M782" s="350" t="str">
        <f>IF($B782="Portfolio","Portfolio",IFERROR(INDEX(DATA_ASSET_CLASSIFICATION!$B$8:$B$24,MATCH($C782,DATA_ASSET_CLASSIFICATION!$A$8:$A$24,0)),"Review"))</f>
        <v>Antkiw Court</v>
      </c>
      <c r="N782" s="350" t="str">
        <f ca="1">IF($B782="Portfolio","Portfolio",IFERROR(INDEX(DATA_ASSET_CLASSIFICATION!$U$8:$U$24,MATCH($C782,DATA_ASSET_CLASSIFICATION!$A$8:$A$24,0)),"Review"))</f>
        <v>Stable</v>
      </c>
      <c r="O782" s="350" t="str">
        <f ca="1">IF($B782="Portfolio","Portfolio",IFERROR(INDEX(DATA_ASSET_CLASSIFICATION!$AB$8:$AB$13,MATCH($N782,DATA_ASSET_CLASSIFICATION!$AA$8:$AA$13,0)),"Review"))</f>
        <v>Bucket 2 · Legacy</v>
      </c>
      <c r="P782" s="350" t="str">
        <f>IF($B782="Portfolio","Portfolio",IFERROR(INDEX(DATA_ASSET_CLASSIFICATION!$C$8:$C$24,MATCH($C782,DATA_ASSET_CLASSIFICATION!$A$8:$A$24,0)),"Review"))</f>
        <v>Yes</v>
      </c>
      <c r="Q782" s="350" t="str">
        <f t="shared" ca="1" si="25"/>
        <v>OK</v>
      </c>
    </row>
    <row r="783" spans="1:17">
      <c r="A783" s="366" t="s">
        <v>2739</v>
      </c>
      <c r="B783" s="366" t="s">
        <v>231</v>
      </c>
      <c r="C783" s="348" t="str">
        <f>DATA_PROPERTY_MASTER!$A$6</f>
        <v>BLD_AC</v>
      </c>
      <c r="D783" s="380">
        <f>'00_PORTFOLIO ROLLUP'!P$12</f>
        <v>2036</v>
      </c>
      <c r="E783" s="366" t="s">
        <v>1721</v>
      </c>
      <c r="F783" s="366" t="s">
        <v>39</v>
      </c>
      <c r="G783" s="348" t="str">
        <f>"'"&amp;$C783&amp;"'!$E$63:$Y$63"</f>
        <v>'BLD_AC'!$E$63:$Y$63</v>
      </c>
      <c r="H783" s="381">
        <f ca="1">IF(IFERROR(INDEX(DATA_PROPERTY_MASTER!$E$5:$E$21,MATCH($C783,DATA_PROPERTY_MASTER!$A$5:$A$21,0))="Yes",FALSE),MAX(-IFERROR(INDEX(INDIRECT("'"&amp;$C783&amp;"'!$E$63:$Y$63"),1,MATCH($D783,INDIRECT("'"&amp;$C783&amp;"'!$E$12:$Y$12"),0)),0),0),0)</f>
        <v>0</v>
      </c>
      <c r="I783" s="366" t="s">
        <v>1690</v>
      </c>
      <c r="J783" s="348" t="str">
        <f t="shared" ca="1" si="24"/>
        <v>OK</v>
      </c>
      <c r="K783" s="366" t="s">
        <v>1738</v>
      </c>
      <c r="L783" s="366" t="s">
        <v>2260</v>
      </c>
      <c r="M783" s="350" t="str">
        <f>IF($B783="Portfolio","Portfolio",IFERROR(INDEX(DATA_ASSET_CLASSIFICATION!$B$8:$B$24,MATCH($C783,DATA_ASSET_CLASSIFICATION!$A$8:$A$24,0)),"Review"))</f>
        <v>Antkiw Court</v>
      </c>
      <c r="N783" s="350" t="str">
        <f ca="1">IF($B783="Portfolio","Portfolio",IFERROR(INDEX(DATA_ASSET_CLASSIFICATION!$U$8:$U$24,MATCH($C783,DATA_ASSET_CLASSIFICATION!$A$8:$A$24,0)),"Review"))</f>
        <v>Stable</v>
      </c>
      <c r="O783" s="350" t="str">
        <f ca="1">IF($B783="Portfolio","Portfolio",IFERROR(INDEX(DATA_ASSET_CLASSIFICATION!$AB$8:$AB$13,MATCH($N783,DATA_ASSET_CLASSIFICATION!$AA$8:$AA$13,0)),"Review"))</f>
        <v>Bucket 2 · Legacy</v>
      </c>
      <c r="P783" s="350" t="str">
        <f>IF($B783="Portfolio","Portfolio",IFERROR(INDEX(DATA_ASSET_CLASSIFICATION!$C$8:$C$24,MATCH($C783,DATA_ASSET_CLASSIFICATION!$A$8:$A$24,0)),"Review"))</f>
        <v>Yes</v>
      </c>
      <c r="Q783" s="350" t="str">
        <f t="shared" ca="1" si="25"/>
        <v>OK</v>
      </c>
    </row>
    <row r="784" spans="1:17">
      <c r="A784" s="366" t="s">
        <v>2740</v>
      </c>
      <c r="B784" s="366" t="s">
        <v>231</v>
      </c>
      <c r="C784" s="348" t="str">
        <f>DATA_PROPERTY_MASTER!$A$6</f>
        <v>BLD_AC</v>
      </c>
      <c r="D784" s="380">
        <f>'00_PORTFOLIO ROLLUP'!P$12</f>
        <v>2036</v>
      </c>
      <c r="E784" s="366" t="s">
        <v>1741</v>
      </c>
      <c r="F784" s="366" t="s">
        <v>41</v>
      </c>
      <c r="G784" s="348" t="str">
        <f>"'"&amp;$C784&amp;"'!rows 56 + positive row 63"</f>
        <v>'BLD_AC'!rows 56 + positive row 63</v>
      </c>
      <c r="H784" s="381">
        <f ca="1">IF(IFERROR(INDEX(DATA_PROPERTY_MASTER!$E$5:$E$21,MATCH($C784,DATA_PROPERTY_MASTER!$A$5:$A$21,0))="Yes",FALSE),IFERROR(INDEX(INDIRECT("'"&amp;$C784&amp;"'!$E$56:$Y$56"),1,MATCH($D784,INDIRECT("'"&amp;$C784&amp;"'!$E$12:$Y$12"),0)),0)+MAX(IFERROR(INDEX(INDIRECT("'"&amp;$C784&amp;"'!$E$63:$Y$63"),1,MATCH($D784,INDIRECT("'"&amp;$C784&amp;"'!$E$12:$Y$12"),0)),0),0),0)</f>
        <v>57175.539217444471</v>
      </c>
      <c r="I784" s="366" t="s">
        <v>1685</v>
      </c>
      <c r="J784" s="348" t="str">
        <f t="shared" ca="1" si="24"/>
        <v>OK</v>
      </c>
      <c r="K784" s="366" t="s">
        <v>1742</v>
      </c>
      <c r="L784" s="366" t="s">
        <v>2262</v>
      </c>
      <c r="M784" s="350" t="str">
        <f>IF($B784="Portfolio","Portfolio",IFERROR(INDEX(DATA_ASSET_CLASSIFICATION!$B$8:$B$24,MATCH($C784,DATA_ASSET_CLASSIFICATION!$A$8:$A$24,0)),"Review"))</f>
        <v>Antkiw Court</v>
      </c>
      <c r="N784" s="350" t="str">
        <f ca="1">IF($B784="Portfolio","Portfolio",IFERROR(INDEX(DATA_ASSET_CLASSIFICATION!$U$8:$U$24,MATCH($C784,DATA_ASSET_CLASSIFICATION!$A$8:$A$24,0)),"Review"))</f>
        <v>Stable</v>
      </c>
      <c r="O784" s="350" t="str">
        <f ca="1">IF($B784="Portfolio","Portfolio",IFERROR(INDEX(DATA_ASSET_CLASSIFICATION!$AB$8:$AB$13,MATCH($N784,DATA_ASSET_CLASSIFICATION!$AA$8:$AA$13,0)),"Review"))</f>
        <v>Bucket 2 · Legacy</v>
      </c>
      <c r="P784" s="350" t="str">
        <f>IF($B784="Portfolio","Portfolio",IFERROR(INDEX(DATA_ASSET_CLASSIFICATION!$C$8:$C$24,MATCH($C784,DATA_ASSET_CLASSIFICATION!$A$8:$A$24,0)),"Review"))</f>
        <v>Yes</v>
      </c>
      <c r="Q784" s="350" t="str">
        <f t="shared" ca="1" si="25"/>
        <v>OK</v>
      </c>
    </row>
    <row r="785" spans="1:17">
      <c r="A785" s="366" t="s">
        <v>2741</v>
      </c>
      <c r="B785" s="366" t="s">
        <v>231</v>
      </c>
      <c r="C785" s="348" t="str">
        <f>DATA_PROPERTY_MASTER!$A$6</f>
        <v>BLD_AC</v>
      </c>
      <c r="D785" s="380">
        <f>'00_PORTFOLIO ROLLUP'!P$12</f>
        <v>2036</v>
      </c>
      <c r="E785" s="366" t="s">
        <v>1741</v>
      </c>
      <c r="F785" s="366" t="s">
        <v>43</v>
      </c>
      <c r="G785" s="348" t="str">
        <f>"'"&amp;$C785&amp;"'!$E$68:$Y$68"</f>
        <v>'BLD_AC'!$E$68:$Y$68</v>
      </c>
      <c r="H785" s="381">
        <f ca="1">IF(IFERROR(INDEX(DATA_PROPERTY_MASTER!$E$5:$E$21,MATCH($C785,DATA_PROPERTY_MASTER!$A$5:$A$21,0))="Yes",FALSE),IFERROR(INDEX(INDIRECT("'"&amp;$C785&amp;"'!$E$68:$Y$68"),1,MATCH($D785,INDIRECT("'"&amp;$C785&amp;"'!$E$12:$Y$12"),0)),0),0)</f>
        <v>57175.539217444471</v>
      </c>
      <c r="I785" s="366" t="s">
        <v>1731</v>
      </c>
      <c r="J785" s="348" t="str">
        <f t="shared" ca="1" si="24"/>
        <v>OK</v>
      </c>
      <c r="K785" s="366" t="s">
        <v>1746</v>
      </c>
      <c r="L785" s="366" t="s">
        <v>2264</v>
      </c>
      <c r="M785" s="350" t="str">
        <f>IF($B785="Portfolio","Portfolio",IFERROR(INDEX(DATA_ASSET_CLASSIFICATION!$B$8:$B$24,MATCH($C785,DATA_ASSET_CLASSIFICATION!$A$8:$A$24,0)),"Review"))</f>
        <v>Antkiw Court</v>
      </c>
      <c r="N785" s="350" t="str">
        <f ca="1">IF($B785="Portfolio","Portfolio",IFERROR(INDEX(DATA_ASSET_CLASSIFICATION!$U$8:$U$24,MATCH($C785,DATA_ASSET_CLASSIFICATION!$A$8:$A$24,0)),"Review"))</f>
        <v>Stable</v>
      </c>
      <c r="O785" s="350" t="str">
        <f ca="1">IF($B785="Portfolio","Portfolio",IFERROR(INDEX(DATA_ASSET_CLASSIFICATION!$AB$8:$AB$13,MATCH($N785,DATA_ASSET_CLASSIFICATION!$AA$8:$AA$13,0)),"Review"))</f>
        <v>Bucket 2 · Legacy</v>
      </c>
      <c r="P785" s="350" t="str">
        <f>IF($B785="Portfolio","Portfolio",IFERROR(INDEX(DATA_ASSET_CLASSIFICATION!$C$8:$C$24,MATCH($C785,DATA_ASSET_CLASSIFICATION!$A$8:$A$24,0)),"Review"))</f>
        <v>Yes</v>
      </c>
      <c r="Q785" s="350" t="str">
        <f t="shared" ca="1" si="25"/>
        <v>OK</v>
      </c>
    </row>
    <row r="786" spans="1:17">
      <c r="A786" s="366" t="s">
        <v>2742</v>
      </c>
      <c r="B786" s="366" t="s">
        <v>231</v>
      </c>
      <c r="C786" s="348" t="str">
        <f>DATA_PROPERTY_MASTER!$A$6</f>
        <v>BLD_AC</v>
      </c>
      <c r="D786" s="380">
        <f>'00_PORTFOLIO ROLLUP'!P$12</f>
        <v>2036</v>
      </c>
      <c r="E786" s="366" t="s">
        <v>1741</v>
      </c>
      <c r="F786" s="366" t="s">
        <v>1749</v>
      </c>
      <c r="G786" s="348" t="str">
        <f>"'"&amp;$C786&amp;"'!rows 56, 63, 68"</f>
        <v>'BLD_AC'!rows 56, 63, 68</v>
      </c>
      <c r="H786" s="381">
        <f ca="1">IF(IFERROR(INDEX(DATA_PROPERTY_MASTER!$E$5:$E$21,MATCH($C786,DATA_PROPERTY_MASTER!$A$5:$A$21,0))="Yes",FALSE),(IFERROR(INDEX(INDIRECT("'"&amp;$C786&amp;"'!$E$56:$Y$56"),1,MATCH($D786,INDIRECT("'"&amp;$C786&amp;"'!$E$12:$Y$12"),0)),0)+MAX(IFERROR(INDEX(INDIRECT("'"&amp;$C786&amp;"'!$E$63:$Y$63"),1,MATCH($D786,INDIRECT("'"&amp;$C786&amp;"'!$E$12:$Y$12"),0)),0),0))-(IFERROR(INDEX(INDIRECT("'"&amp;$C786&amp;"'!$E$68:$Y$68"),1,MATCH($D786,INDIRECT("'"&amp;$C786&amp;"'!$E$12:$Y$12"),0)),0)),0)</f>
        <v>0</v>
      </c>
      <c r="I786" s="366" t="s">
        <v>1750</v>
      </c>
      <c r="J786" s="348" t="str">
        <f t="shared" ca="1" si="24"/>
        <v>OK</v>
      </c>
      <c r="K786" s="366" t="s">
        <v>1751</v>
      </c>
      <c r="L786" s="366" t="s">
        <v>2266</v>
      </c>
      <c r="M786" s="350" t="str">
        <f>IF($B786="Portfolio","Portfolio",IFERROR(INDEX(DATA_ASSET_CLASSIFICATION!$B$8:$B$24,MATCH($C786,DATA_ASSET_CLASSIFICATION!$A$8:$A$24,0)),"Review"))</f>
        <v>Antkiw Court</v>
      </c>
      <c r="N786" s="350" t="str">
        <f ca="1">IF($B786="Portfolio","Portfolio",IFERROR(INDEX(DATA_ASSET_CLASSIFICATION!$U$8:$U$24,MATCH($C786,DATA_ASSET_CLASSIFICATION!$A$8:$A$24,0)),"Review"))</f>
        <v>Stable</v>
      </c>
      <c r="O786" s="350" t="str">
        <f ca="1">IF($B786="Portfolio","Portfolio",IFERROR(INDEX(DATA_ASSET_CLASSIFICATION!$AB$8:$AB$13,MATCH($N786,DATA_ASSET_CLASSIFICATION!$AA$8:$AA$13,0)),"Review"))</f>
        <v>Bucket 2 · Legacy</v>
      </c>
      <c r="P786" s="350" t="str">
        <f>IF($B786="Portfolio","Portfolio",IFERROR(INDEX(DATA_ASSET_CLASSIFICATION!$C$8:$C$24,MATCH($C786,DATA_ASSET_CLASSIFICATION!$A$8:$A$24,0)),"Review"))</f>
        <v>Yes</v>
      </c>
      <c r="Q786" s="350" t="str">
        <f t="shared" ca="1" si="25"/>
        <v>OK</v>
      </c>
    </row>
    <row r="787" spans="1:17">
      <c r="A787" s="366" t="s">
        <v>2743</v>
      </c>
      <c r="B787" s="366" t="s">
        <v>231</v>
      </c>
      <c r="C787" s="348" t="str">
        <f>DATA_PROPERTY_MASTER!$A$6</f>
        <v>BLD_AC</v>
      </c>
      <c r="D787" s="380">
        <f>'00_PORTFOLIO ROLLUP'!Q$12</f>
        <v>2037</v>
      </c>
      <c r="E787" s="366" t="s">
        <v>1683</v>
      </c>
      <c r="F787" s="366" t="s">
        <v>341</v>
      </c>
      <c r="G787" s="348" t="str">
        <f>"'"&amp;$C787&amp;"'!$E$24:$Y$24"</f>
        <v>'BLD_AC'!$E$24:$Y$24</v>
      </c>
      <c r="H787" s="381">
        <f ca="1">IF(IFERROR(INDEX(DATA_PROPERTY_MASTER!$E$5:$E$21,MATCH($C787,DATA_PROPERTY_MASTER!$A$5:$A$21,0))="Yes",FALSE),IFERROR(INDEX(INDIRECT("'"&amp;$C787&amp;"'!$E$24:$Y$24"),1,MATCH($D787,INDIRECT("'"&amp;$C787&amp;"'!$E$12:$Y$12"),0)),0),0)</f>
        <v>430873.37534580409</v>
      </c>
      <c r="I787" s="366" t="s">
        <v>1685</v>
      </c>
      <c r="J787" s="348" t="str">
        <f t="shared" ca="1" si="24"/>
        <v>OK</v>
      </c>
      <c r="K787" s="366" t="s">
        <v>1686</v>
      </c>
      <c r="L787" s="366" t="s">
        <v>2234</v>
      </c>
      <c r="M787" s="350" t="str">
        <f>IF($B787="Portfolio","Portfolio",IFERROR(INDEX(DATA_ASSET_CLASSIFICATION!$B$8:$B$24,MATCH($C787,DATA_ASSET_CLASSIFICATION!$A$8:$A$24,0)),"Review"))</f>
        <v>Antkiw Court</v>
      </c>
      <c r="N787" s="350" t="str">
        <f ca="1">IF($B787="Portfolio","Portfolio",IFERROR(INDEX(DATA_ASSET_CLASSIFICATION!$U$8:$U$24,MATCH($C787,DATA_ASSET_CLASSIFICATION!$A$8:$A$24,0)),"Review"))</f>
        <v>Stable</v>
      </c>
      <c r="O787" s="350" t="str">
        <f ca="1">IF($B787="Portfolio","Portfolio",IFERROR(INDEX(DATA_ASSET_CLASSIFICATION!$AB$8:$AB$13,MATCH($N787,DATA_ASSET_CLASSIFICATION!$AA$8:$AA$13,0)),"Review"))</f>
        <v>Bucket 2 · Legacy</v>
      </c>
      <c r="P787" s="350" t="str">
        <f>IF($B787="Portfolio","Portfolio",IFERROR(INDEX(DATA_ASSET_CLASSIFICATION!$C$8:$C$24,MATCH($C787,DATA_ASSET_CLASSIFICATION!$A$8:$A$24,0)),"Review"))</f>
        <v>Yes</v>
      </c>
      <c r="Q787" s="350" t="str">
        <f t="shared" ca="1" si="25"/>
        <v>OK</v>
      </c>
    </row>
    <row r="788" spans="1:17">
      <c r="A788" s="366" t="s">
        <v>2744</v>
      </c>
      <c r="B788" s="366" t="s">
        <v>231</v>
      </c>
      <c r="C788" s="348" t="str">
        <f>DATA_PROPERTY_MASTER!$A$6</f>
        <v>BLD_AC</v>
      </c>
      <c r="D788" s="380">
        <f>'00_PORTFOLIO ROLLUP'!Q$12</f>
        <v>2037</v>
      </c>
      <c r="E788" s="366" t="s">
        <v>1683</v>
      </c>
      <c r="F788" s="366" t="s">
        <v>355</v>
      </c>
      <c r="G788" s="348" t="str">
        <f>"'"&amp;$C788&amp;"'!$E$39:$Y$39"</f>
        <v>'BLD_AC'!$E$39:$Y$39</v>
      </c>
      <c r="H788" s="381">
        <f ca="1">IF(IFERROR(INDEX(DATA_PROPERTY_MASTER!$E$5:$E$21,MATCH($C788,DATA_PROPERTY_MASTER!$A$5:$A$21,0))="Yes",FALSE),IFERROR(INDEX(INDIRECT("'"&amp;$C788&amp;"'!$E$39:$Y$39"),1,MATCH($D788,INDIRECT("'"&amp;$C788&amp;"'!$E$12:$Y$12"),0)),0),0)</f>
        <v>230784.80749005277</v>
      </c>
      <c r="I788" s="366" t="s">
        <v>1690</v>
      </c>
      <c r="J788" s="348" t="str">
        <f t="shared" ca="1" si="24"/>
        <v>OK</v>
      </c>
      <c r="K788" s="366" t="s">
        <v>1686</v>
      </c>
      <c r="L788" s="366" t="s">
        <v>2236</v>
      </c>
      <c r="M788" s="350" t="str">
        <f>IF($B788="Portfolio","Portfolio",IFERROR(INDEX(DATA_ASSET_CLASSIFICATION!$B$8:$B$24,MATCH($C788,DATA_ASSET_CLASSIFICATION!$A$8:$A$24,0)),"Review"))</f>
        <v>Antkiw Court</v>
      </c>
      <c r="N788" s="350" t="str">
        <f ca="1">IF($B788="Portfolio","Portfolio",IFERROR(INDEX(DATA_ASSET_CLASSIFICATION!$U$8:$U$24,MATCH($C788,DATA_ASSET_CLASSIFICATION!$A$8:$A$24,0)),"Review"))</f>
        <v>Stable</v>
      </c>
      <c r="O788" s="350" t="str">
        <f ca="1">IF($B788="Portfolio","Portfolio",IFERROR(INDEX(DATA_ASSET_CLASSIFICATION!$AB$8:$AB$13,MATCH($N788,DATA_ASSET_CLASSIFICATION!$AA$8:$AA$13,0)),"Review"))</f>
        <v>Bucket 2 · Legacy</v>
      </c>
      <c r="P788" s="350" t="str">
        <f>IF($B788="Portfolio","Portfolio",IFERROR(INDEX(DATA_ASSET_CLASSIFICATION!$C$8:$C$24,MATCH($C788,DATA_ASSET_CLASSIFICATION!$A$8:$A$24,0)),"Review"))</f>
        <v>Yes</v>
      </c>
      <c r="Q788" s="350" t="str">
        <f t="shared" ca="1" si="25"/>
        <v>OK</v>
      </c>
    </row>
    <row r="789" spans="1:17">
      <c r="A789" s="366" t="s">
        <v>2745</v>
      </c>
      <c r="B789" s="366" t="s">
        <v>231</v>
      </c>
      <c r="C789" s="348" t="str">
        <f>DATA_PROPERTY_MASTER!$A$6</f>
        <v>BLD_AC</v>
      </c>
      <c r="D789" s="380">
        <f>'00_PORTFOLIO ROLLUP'!Q$12</f>
        <v>2037</v>
      </c>
      <c r="E789" s="366" t="s">
        <v>1683</v>
      </c>
      <c r="F789" s="366" t="s">
        <v>19</v>
      </c>
      <c r="G789" s="348" t="str">
        <f>"'"&amp;$C789&amp;"'!$E$41:$Y$41"</f>
        <v>'BLD_AC'!$E$41:$Y$41</v>
      </c>
      <c r="H789" s="381">
        <f ca="1">IF(IFERROR(INDEX(DATA_PROPERTY_MASTER!$E$5:$E$21,MATCH($C789,DATA_PROPERTY_MASTER!$A$5:$A$21,0))="Yes",FALSE),IFERROR(INDEX(INDIRECT("'"&amp;$C789&amp;"'!$E$41:$Y$41"),1,MATCH($D789,INDIRECT("'"&amp;$C789&amp;"'!$E$12:$Y$12"),0)),0),0)</f>
        <v>200088.56785575132</v>
      </c>
      <c r="I789" s="366" t="s">
        <v>1685</v>
      </c>
      <c r="J789" s="348" t="str">
        <f t="shared" ca="1" si="24"/>
        <v>OK</v>
      </c>
      <c r="K789" s="366" t="s">
        <v>1694</v>
      </c>
      <c r="L789" s="366" t="s">
        <v>2238</v>
      </c>
      <c r="M789" s="350" t="str">
        <f>IF($B789="Portfolio","Portfolio",IFERROR(INDEX(DATA_ASSET_CLASSIFICATION!$B$8:$B$24,MATCH($C789,DATA_ASSET_CLASSIFICATION!$A$8:$A$24,0)),"Review"))</f>
        <v>Antkiw Court</v>
      </c>
      <c r="N789" s="350" t="str">
        <f ca="1">IF($B789="Portfolio","Portfolio",IFERROR(INDEX(DATA_ASSET_CLASSIFICATION!$U$8:$U$24,MATCH($C789,DATA_ASSET_CLASSIFICATION!$A$8:$A$24,0)),"Review"))</f>
        <v>Stable</v>
      </c>
      <c r="O789" s="350" t="str">
        <f ca="1">IF($B789="Portfolio","Portfolio",IFERROR(INDEX(DATA_ASSET_CLASSIFICATION!$AB$8:$AB$13,MATCH($N789,DATA_ASSET_CLASSIFICATION!$AA$8:$AA$13,0)),"Review"))</f>
        <v>Bucket 2 · Legacy</v>
      </c>
      <c r="P789" s="350" t="str">
        <f>IF($B789="Portfolio","Portfolio",IFERROR(INDEX(DATA_ASSET_CLASSIFICATION!$C$8:$C$24,MATCH($C789,DATA_ASSET_CLASSIFICATION!$A$8:$A$24,0)),"Review"))</f>
        <v>Yes</v>
      </c>
      <c r="Q789" s="350" t="str">
        <f t="shared" ca="1" si="25"/>
        <v>OK</v>
      </c>
    </row>
    <row r="790" spans="1:17">
      <c r="A790" s="366" t="s">
        <v>2746</v>
      </c>
      <c r="B790" s="366" t="s">
        <v>231</v>
      </c>
      <c r="C790" s="348" t="str">
        <f>DATA_PROPERTY_MASTER!$A$6</f>
        <v>BLD_AC</v>
      </c>
      <c r="D790" s="380">
        <f>'00_PORTFOLIO ROLLUP'!Q$12</f>
        <v>2037</v>
      </c>
      <c r="E790" s="366" t="s">
        <v>1683</v>
      </c>
      <c r="F790" s="366" t="s">
        <v>1697</v>
      </c>
      <c r="G790" s="348" t="str">
        <f>"'"&amp;$C790&amp;"'!$E$44:$Y$44"</f>
        <v>'BLD_AC'!$E$44:$Y$44</v>
      </c>
      <c r="H790" s="381">
        <f ca="1">IF(IFERROR(INDEX(DATA_PROPERTY_MASTER!$E$5:$E$21,MATCH($C790,DATA_PROPERTY_MASTER!$A$5:$A$21,0))="Yes",FALSE),IFERROR(INDEX(INDIRECT("'"&amp;$C790&amp;"'!$E$44:$Y$44"),1,MATCH($D790,INDIRECT("'"&amp;$C790&amp;"'!$E$12:$Y$12"),0)),0),0)</f>
        <v>3994.9616528720176</v>
      </c>
      <c r="I790" s="366" t="s">
        <v>1690</v>
      </c>
      <c r="J790" s="348" t="str">
        <f t="shared" ca="1" si="24"/>
        <v>OK</v>
      </c>
      <c r="K790" s="366" t="s">
        <v>1699</v>
      </c>
      <c r="L790" s="366" t="s">
        <v>2240</v>
      </c>
      <c r="M790" s="350" t="str">
        <f>IF($B790="Portfolio","Portfolio",IFERROR(INDEX(DATA_ASSET_CLASSIFICATION!$B$8:$B$24,MATCH($C790,DATA_ASSET_CLASSIFICATION!$A$8:$A$24,0)),"Review"))</f>
        <v>Antkiw Court</v>
      </c>
      <c r="N790" s="350" t="str">
        <f ca="1">IF($B790="Portfolio","Portfolio",IFERROR(INDEX(DATA_ASSET_CLASSIFICATION!$U$8:$U$24,MATCH($C790,DATA_ASSET_CLASSIFICATION!$A$8:$A$24,0)),"Review"))</f>
        <v>Stable</v>
      </c>
      <c r="O790" s="350" t="str">
        <f ca="1">IF($B790="Portfolio","Portfolio",IFERROR(INDEX(DATA_ASSET_CLASSIFICATION!$AB$8:$AB$13,MATCH($N790,DATA_ASSET_CLASSIFICATION!$AA$8:$AA$13,0)),"Review"))</f>
        <v>Bucket 2 · Legacy</v>
      </c>
      <c r="P790" s="350" t="str">
        <f>IF($B790="Portfolio","Portfolio",IFERROR(INDEX(DATA_ASSET_CLASSIFICATION!$C$8:$C$24,MATCH($C790,DATA_ASSET_CLASSIFICATION!$A$8:$A$24,0)),"Review"))</f>
        <v>Yes</v>
      </c>
      <c r="Q790" s="350" t="str">
        <f t="shared" ca="1" si="25"/>
        <v>OK</v>
      </c>
    </row>
    <row r="791" spans="1:17">
      <c r="A791" s="366" t="s">
        <v>2747</v>
      </c>
      <c r="B791" s="366" t="s">
        <v>231</v>
      </c>
      <c r="C791" s="348" t="str">
        <f>DATA_PROPERTY_MASTER!$A$6</f>
        <v>BLD_AC</v>
      </c>
      <c r="D791" s="380">
        <f>'00_PORTFOLIO ROLLUP'!Q$12</f>
        <v>2037</v>
      </c>
      <c r="E791" s="366" t="s">
        <v>1683</v>
      </c>
      <c r="F791" s="366" t="s">
        <v>21</v>
      </c>
      <c r="G791" s="348" t="str">
        <f>"'"&amp;$C791&amp;"'!$E$45:$Y$45"</f>
        <v>'BLD_AC'!$E$45:$Y$45</v>
      </c>
      <c r="H791" s="381">
        <f ca="1">IF(IFERROR(INDEX(DATA_PROPERTY_MASTER!$E$5:$E$21,MATCH($C791,DATA_PROPERTY_MASTER!$A$5:$A$21,0))="Yes",FALSE),IFERROR(INDEX(INDIRECT("'"&amp;$C791&amp;"'!$E$45:$Y$45"),1,MATCH($D791,INDIRECT("'"&amp;$C791&amp;"'!$E$12:$Y$12"),0)),0),0)</f>
        <v>196093.60620287931</v>
      </c>
      <c r="I791" s="366" t="s">
        <v>1685</v>
      </c>
      <c r="J791" s="348" t="str">
        <f t="shared" ca="1" si="24"/>
        <v>OK</v>
      </c>
      <c r="K791" s="366" t="s">
        <v>1694</v>
      </c>
      <c r="L791" s="366" t="s">
        <v>2242</v>
      </c>
      <c r="M791" s="350" t="str">
        <f>IF($B791="Portfolio","Portfolio",IFERROR(INDEX(DATA_ASSET_CLASSIFICATION!$B$8:$B$24,MATCH($C791,DATA_ASSET_CLASSIFICATION!$A$8:$A$24,0)),"Review"))</f>
        <v>Antkiw Court</v>
      </c>
      <c r="N791" s="350" t="str">
        <f ca="1">IF($B791="Portfolio","Portfolio",IFERROR(INDEX(DATA_ASSET_CLASSIFICATION!$U$8:$U$24,MATCH($C791,DATA_ASSET_CLASSIFICATION!$A$8:$A$24,0)),"Review"))</f>
        <v>Stable</v>
      </c>
      <c r="O791" s="350" t="str">
        <f ca="1">IF($B791="Portfolio","Portfolio",IFERROR(INDEX(DATA_ASSET_CLASSIFICATION!$AB$8:$AB$13,MATCH($N791,DATA_ASSET_CLASSIFICATION!$AA$8:$AA$13,0)),"Review"))</f>
        <v>Bucket 2 · Legacy</v>
      </c>
      <c r="P791" s="350" t="str">
        <f>IF($B791="Portfolio","Portfolio",IFERROR(INDEX(DATA_ASSET_CLASSIFICATION!$C$8:$C$24,MATCH($C791,DATA_ASSET_CLASSIFICATION!$A$8:$A$24,0)),"Review"))</f>
        <v>Yes</v>
      </c>
      <c r="Q791" s="350" t="str">
        <f t="shared" ca="1" si="25"/>
        <v>OK</v>
      </c>
    </row>
    <row r="792" spans="1:17">
      <c r="A792" s="366" t="s">
        <v>2748</v>
      </c>
      <c r="B792" s="366" t="s">
        <v>231</v>
      </c>
      <c r="C792" s="348" t="str">
        <f>DATA_PROPERTY_MASTER!$A$6</f>
        <v>BLD_AC</v>
      </c>
      <c r="D792" s="380">
        <f>'00_PORTFOLIO ROLLUP'!Q$12</f>
        <v>2037</v>
      </c>
      <c r="E792" s="366" t="s">
        <v>23</v>
      </c>
      <c r="F792" s="366" t="s">
        <v>23</v>
      </c>
      <c r="G792" s="348" t="str">
        <f>"'"&amp;$C792&amp;"'!$E$48:$Y$48"</f>
        <v>'BLD_AC'!$E$48:$Y$48</v>
      </c>
      <c r="H792" s="381">
        <f ca="1">IF(IFERROR(INDEX(DATA_PROPERTY_MASTER!$E$5:$E$21,MATCH($C792,DATA_PROPERTY_MASTER!$A$5:$A$21,0))="Yes",FALSE),IFERROR(INDEX(INDIRECT("'"&amp;$C792&amp;"'!$E$48:$Y$48"),1,MATCH($D792,INDIRECT("'"&amp;$C792&amp;"'!$E$12:$Y$12"),0)),0),0)</f>
        <v>54330.119999999995</v>
      </c>
      <c r="I792" s="366" t="s">
        <v>1690</v>
      </c>
      <c r="J792" s="348" t="str">
        <f t="shared" ca="1" si="24"/>
        <v>OK</v>
      </c>
      <c r="K792" s="366" t="s">
        <v>1706</v>
      </c>
      <c r="L792" s="366" t="s">
        <v>2244</v>
      </c>
      <c r="M792" s="350" t="str">
        <f>IF($B792="Portfolio","Portfolio",IFERROR(INDEX(DATA_ASSET_CLASSIFICATION!$B$8:$B$24,MATCH($C792,DATA_ASSET_CLASSIFICATION!$A$8:$A$24,0)),"Review"))</f>
        <v>Antkiw Court</v>
      </c>
      <c r="N792" s="350" t="str">
        <f ca="1">IF($B792="Portfolio","Portfolio",IFERROR(INDEX(DATA_ASSET_CLASSIFICATION!$U$8:$U$24,MATCH($C792,DATA_ASSET_CLASSIFICATION!$A$8:$A$24,0)),"Review"))</f>
        <v>Stable</v>
      </c>
      <c r="O792" s="350" t="str">
        <f ca="1">IF($B792="Portfolio","Portfolio",IFERROR(INDEX(DATA_ASSET_CLASSIFICATION!$AB$8:$AB$13,MATCH($N792,DATA_ASSET_CLASSIFICATION!$AA$8:$AA$13,0)),"Review"))</f>
        <v>Bucket 2 · Legacy</v>
      </c>
      <c r="P792" s="350" t="str">
        <f>IF($B792="Portfolio","Portfolio",IFERROR(INDEX(DATA_ASSET_CLASSIFICATION!$C$8:$C$24,MATCH($C792,DATA_ASSET_CLASSIFICATION!$A$8:$A$24,0)),"Review"))</f>
        <v>Yes</v>
      </c>
      <c r="Q792" s="350" t="str">
        <f t="shared" ca="1" si="25"/>
        <v>OK</v>
      </c>
    </row>
    <row r="793" spans="1:17">
      <c r="A793" s="366" t="s">
        <v>2749</v>
      </c>
      <c r="B793" s="366" t="s">
        <v>231</v>
      </c>
      <c r="C793" s="348" t="str">
        <f>DATA_PROPERTY_MASTER!$A$6</f>
        <v>BLD_AC</v>
      </c>
      <c r="D793" s="380">
        <f>'00_PORTFOLIO ROLLUP'!Q$12</f>
        <v>2037</v>
      </c>
      <c r="E793" s="366" t="s">
        <v>1683</v>
      </c>
      <c r="F793" s="366" t="s">
        <v>25</v>
      </c>
      <c r="G793" s="348" t="str">
        <f>"'"&amp;$C793&amp;"'!$E$52:$Y$52"</f>
        <v>'BLD_AC'!$E$52:$Y$52</v>
      </c>
      <c r="H793" s="381">
        <f ca="1">IF(IFERROR(INDEX(DATA_PROPERTY_MASTER!$E$5:$E$21,MATCH($C793,DATA_PROPERTY_MASTER!$A$5:$A$21,0))="Yes",FALSE),IFERROR(INDEX(INDIRECT("'"&amp;$C793&amp;"'!$E$52:$Y$52"),1,MATCH($D793,INDIRECT("'"&amp;$C793&amp;"'!$E$12:$Y$12"),0)),0),0)</f>
        <v>145758.44785575132</v>
      </c>
      <c r="I793" s="366" t="s">
        <v>1685</v>
      </c>
      <c r="J793" s="348" t="str">
        <f t="shared" ca="1" si="24"/>
        <v>OK</v>
      </c>
      <c r="K793" s="366" t="s">
        <v>1710</v>
      </c>
      <c r="L793" s="366" t="s">
        <v>2246</v>
      </c>
      <c r="M793" s="350" t="str">
        <f>IF($B793="Portfolio","Portfolio",IFERROR(INDEX(DATA_ASSET_CLASSIFICATION!$B$8:$B$24,MATCH($C793,DATA_ASSET_CLASSIFICATION!$A$8:$A$24,0)),"Review"))</f>
        <v>Antkiw Court</v>
      </c>
      <c r="N793" s="350" t="str">
        <f ca="1">IF($B793="Portfolio","Portfolio",IFERROR(INDEX(DATA_ASSET_CLASSIFICATION!$U$8:$U$24,MATCH($C793,DATA_ASSET_CLASSIFICATION!$A$8:$A$24,0)),"Review"))</f>
        <v>Stable</v>
      </c>
      <c r="O793" s="350" t="str">
        <f ca="1">IF($B793="Portfolio","Portfolio",IFERROR(INDEX(DATA_ASSET_CLASSIFICATION!$AB$8:$AB$13,MATCH($N793,DATA_ASSET_CLASSIFICATION!$AA$8:$AA$13,0)),"Review"))</f>
        <v>Bucket 2 · Legacy</v>
      </c>
      <c r="P793" s="350" t="str">
        <f>IF($B793="Portfolio","Portfolio",IFERROR(INDEX(DATA_ASSET_CLASSIFICATION!$C$8:$C$24,MATCH($C793,DATA_ASSET_CLASSIFICATION!$A$8:$A$24,0)),"Review"))</f>
        <v>Yes</v>
      </c>
      <c r="Q793" s="350" t="str">
        <f t="shared" ca="1" si="25"/>
        <v>OK</v>
      </c>
    </row>
    <row r="794" spans="1:17">
      <c r="A794" s="366" t="s">
        <v>2750</v>
      </c>
      <c r="B794" s="366" t="s">
        <v>231</v>
      </c>
      <c r="C794" s="348" t="str">
        <f>DATA_PROPERTY_MASTER!$A$6</f>
        <v>BLD_AC</v>
      </c>
      <c r="D794" s="380">
        <f>'00_PORTFOLIO ROLLUP'!Q$12</f>
        <v>2037</v>
      </c>
      <c r="E794" s="366" t="s">
        <v>1683</v>
      </c>
      <c r="F794" s="366" t="s">
        <v>27</v>
      </c>
      <c r="G794" s="348" t="str">
        <f>"'"&amp;$C794&amp;"'!$E$54:$Y$54"</f>
        <v>'BLD_AC'!$E$54:$Y$54</v>
      </c>
      <c r="H794" s="381">
        <f ca="1">IF(IFERROR(INDEX(DATA_PROPERTY_MASTER!$E$5:$E$21,MATCH($C794,DATA_PROPERTY_MASTER!$A$5:$A$21,0))="Yes",FALSE),IFERROR(INDEX(INDIRECT("'"&amp;$C794&amp;"'!$E$54:$Y$54"),1,MATCH($D794,INDIRECT("'"&amp;$C794&amp;"'!$E$12:$Y$12"),0)),0),0)</f>
        <v>87455.06871345079</v>
      </c>
      <c r="I794" s="366" t="s">
        <v>1690</v>
      </c>
      <c r="J794" s="348" t="str">
        <f t="shared" ca="1" si="24"/>
        <v>OK</v>
      </c>
      <c r="K794" s="366" t="s">
        <v>1714</v>
      </c>
      <c r="L794" s="366" t="s">
        <v>2248</v>
      </c>
      <c r="M794" s="350" t="str">
        <f>IF($B794="Portfolio","Portfolio",IFERROR(INDEX(DATA_ASSET_CLASSIFICATION!$B$8:$B$24,MATCH($C794,DATA_ASSET_CLASSIFICATION!$A$8:$A$24,0)),"Review"))</f>
        <v>Antkiw Court</v>
      </c>
      <c r="N794" s="350" t="str">
        <f ca="1">IF($B794="Portfolio","Portfolio",IFERROR(INDEX(DATA_ASSET_CLASSIFICATION!$U$8:$U$24,MATCH($C794,DATA_ASSET_CLASSIFICATION!$A$8:$A$24,0)),"Review"))</f>
        <v>Stable</v>
      </c>
      <c r="O794" s="350" t="str">
        <f ca="1">IF($B794="Portfolio","Portfolio",IFERROR(INDEX(DATA_ASSET_CLASSIFICATION!$AB$8:$AB$13,MATCH($N794,DATA_ASSET_CLASSIFICATION!$AA$8:$AA$13,0)),"Review"))</f>
        <v>Bucket 2 · Legacy</v>
      </c>
      <c r="P794" s="350" t="str">
        <f>IF($B794="Portfolio","Portfolio",IFERROR(INDEX(DATA_ASSET_CLASSIFICATION!$C$8:$C$24,MATCH($C794,DATA_ASSET_CLASSIFICATION!$A$8:$A$24,0)),"Review"))</f>
        <v>Yes</v>
      </c>
      <c r="Q794" s="350" t="str">
        <f t="shared" ca="1" si="25"/>
        <v>OK</v>
      </c>
    </row>
    <row r="795" spans="1:17">
      <c r="A795" s="366" t="s">
        <v>2751</v>
      </c>
      <c r="B795" s="366" t="s">
        <v>231</v>
      </c>
      <c r="C795" s="348" t="str">
        <f>DATA_PROPERTY_MASTER!$A$6</f>
        <v>BLD_AC</v>
      </c>
      <c r="D795" s="380">
        <f>'00_PORTFOLIO ROLLUP'!Q$12</f>
        <v>2037</v>
      </c>
      <c r="E795" s="366" t="s">
        <v>1683</v>
      </c>
      <c r="F795" s="366" t="s">
        <v>29</v>
      </c>
      <c r="G795" s="348" t="str">
        <f>"'"&amp;$C795&amp;"'!$E$56:$Y$56"</f>
        <v>'BLD_AC'!$E$56:$Y$56</v>
      </c>
      <c r="H795" s="381">
        <f ca="1">IF(IFERROR(INDEX(DATA_PROPERTY_MASTER!$E$5:$E$21,MATCH($C795,DATA_PROPERTY_MASTER!$A$5:$A$21,0))="Yes",FALSE),IFERROR(INDEX(INDIRECT("'"&amp;$C795&amp;"'!$E$56:$Y$56"),1,MATCH($D795,INDIRECT("'"&amp;$C795&amp;"'!$E$12:$Y$12"),0)),0),0)</f>
        <v>58303.379142300531</v>
      </c>
      <c r="I795" s="366" t="s">
        <v>1685</v>
      </c>
      <c r="J795" s="348" t="str">
        <f t="shared" ca="1" si="24"/>
        <v>OK</v>
      </c>
      <c r="K795" s="366" t="s">
        <v>1718</v>
      </c>
      <c r="L795" s="366" t="s">
        <v>2250</v>
      </c>
      <c r="M795" s="350" t="str">
        <f>IF($B795="Portfolio","Portfolio",IFERROR(INDEX(DATA_ASSET_CLASSIFICATION!$B$8:$B$24,MATCH($C795,DATA_ASSET_CLASSIFICATION!$A$8:$A$24,0)),"Review"))</f>
        <v>Antkiw Court</v>
      </c>
      <c r="N795" s="350" t="str">
        <f ca="1">IF($B795="Portfolio","Portfolio",IFERROR(INDEX(DATA_ASSET_CLASSIFICATION!$U$8:$U$24,MATCH($C795,DATA_ASSET_CLASSIFICATION!$A$8:$A$24,0)),"Review"))</f>
        <v>Stable</v>
      </c>
      <c r="O795" s="350" t="str">
        <f ca="1">IF($B795="Portfolio","Portfolio",IFERROR(INDEX(DATA_ASSET_CLASSIFICATION!$AB$8:$AB$13,MATCH($N795,DATA_ASSET_CLASSIFICATION!$AA$8:$AA$13,0)),"Review"))</f>
        <v>Bucket 2 · Legacy</v>
      </c>
      <c r="P795" s="350" t="str">
        <f>IF($B795="Portfolio","Portfolio",IFERROR(INDEX(DATA_ASSET_CLASSIFICATION!$C$8:$C$24,MATCH($C795,DATA_ASSET_CLASSIFICATION!$A$8:$A$24,0)),"Review"))</f>
        <v>Yes</v>
      </c>
      <c r="Q795" s="350" t="str">
        <f t="shared" ca="1" si="25"/>
        <v>OK</v>
      </c>
    </row>
    <row r="796" spans="1:17">
      <c r="A796" s="366" t="s">
        <v>2752</v>
      </c>
      <c r="B796" s="366" t="s">
        <v>231</v>
      </c>
      <c r="C796" s="348" t="str">
        <f>DATA_PROPERTY_MASTER!$A$6</f>
        <v>BLD_AC</v>
      </c>
      <c r="D796" s="380">
        <f>'00_PORTFOLIO ROLLUP'!Q$12</f>
        <v>2037</v>
      </c>
      <c r="E796" s="366" t="s">
        <v>1721</v>
      </c>
      <c r="F796" s="366" t="s">
        <v>31</v>
      </c>
      <c r="G796" s="348" t="str">
        <f>"'"&amp;$C796&amp;"'!$E$61:$Y$61"</f>
        <v>'BLD_AC'!$E$61:$Y$61</v>
      </c>
      <c r="H796" s="381">
        <f ca="1">IF(IFERROR(INDEX(DATA_PROPERTY_MASTER!$E$5:$E$21,MATCH($C796,DATA_PROPERTY_MASTER!$A$5:$A$21,0))="Yes",FALSE),IFERROR(INDEX(INDIRECT("'"&amp;$C796&amp;"'!$E$61:$Y$61"),1,MATCH($D796,INDIRECT("'"&amp;$C796&amp;"'!$E$12:$Y$12"),0)),0),0)</f>
        <v>0</v>
      </c>
      <c r="I796" s="366" t="s">
        <v>1690</v>
      </c>
      <c r="J796" s="348" t="str">
        <f t="shared" ca="1" si="24"/>
        <v>OK</v>
      </c>
      <c r="K796" s="366" t="s">
        <v>1723</v>
      </c>
      <c r="L796" s="366" t="s">
        <v>2252</v>
      </c>
      <c r="M796" s="350" t="str">
        <f>IF($B796="Portfolio","Portfolio",IFERROR(INDEX(DATA_ASSET_CLASSIFICATION!$B$8:$B$24,MATCH($C796,DATA_ASSET_CLASSIFICATION!$A$8:$A$24,0)),"Review"))</f>
        <v>Antkiw Court</v>
      </c>
      <c r="N796" s="350" t="str">
        <f ca="1">IF($B796="Portfolio","Portfolio",IFERROR(INDEX(DATA_ASSET_CLASSIFICATION!$U$8:$U$24,MATCH($C796,DATA_ASSET_CLASSIFICATION!$A$8:$A$24,0)),"Review"))</f>
        <v>Stable</v>
      </c>
      <c r="O796" s="350" t="str">
        <f ca="1">IF($B796="Portfolio","Portfolio",IFERROR(INDEX(DATA_ASSET_CLASSIFICATION!$AB$8:$AB$13,MATCH($N796,DATA_ASSET_CLASSIFICATION!$AA$8:$AA$13,0)),"Review"))</f>
        <v>Bucket 2 · Legacy</v>
      </c>
      <c r="P796" s="350" t="str">
        <f>IF($B796="Portfolio","Portfolio",IFERROR(INDEX(DATA_ASSET_CLASSIFICATION!$C$8:$C$24,MATCH($C796,DATA_ASSET_CLASSIFICATION!$A$8:$A$24,0)),"Review"))</f>
        <v>Yes</v>
      </c>
      <c r="Q796" s="350" t="str">
        <f t="shared" ca="1" si="25"/>
        <v>OK</v>
      </c>
    </row>
    <row r="797" spans="1:17">
      <c r="A797" s="366" t="s">
        <v>2753</v>
      </c>
      <c r="B797" s="366" t="s">
        <v>231</v>
      </c>
      <c r="C797" s="348" t="str">
        <f>DATA_PROPERTY_MASTER!$A$6</f>
        <v>BLD_AC</v>
      </c>
      <c r="D797" s="380">
        <f>'00_PORTFOLIO ROLLUP'!Q$12</f>
        <v>2037</v>
      </c>
      <c r="E797" s="366" t="s">
        <v>1721</v>
      </c>
      <c r="F797" s="366" t="s">
        <v>33</v>
      </c>
      <c r="G797" s="348" t="str">
        <f>"'"&amp;$C797&amp;"'!$E$62:$Y$62"</f>
        <v>'BLD_AC'!$E$62:$Y$62</v>
      </c>
      <c r="H797" s="381">
        <f ca="1">IF(IFERROR(INDEX(DATA_PROPERTY_MASTER!$E$5:$E$21,MATCH($C797,DATA_PROPERTY_MASTER!$A$5:$A$21,0))="Yes",FALSE),IFERROR(INDEX(INDIRECT("'"&amp;$C797&amp;"'!$E$62:$Y$62"),1,MATCH($D797,INDIRECT("'"&amp;$C797&amp;"'!$E$12:$Y$12"),0)),0),0)</f>
        <v>0</v>
      </c>
      <c r="I797" s="366" t="s">
        <v>1685</v>
      </c>
      <c r="J797" s="348" t="str">
        <f t="shared" ca="1" si="24"/>
        <v>OK</v>
      </c>
      <c r="K797" s="366" t="s">
        <v>1727</v>
      </c>
      <c r="L797" s="366" t="s">
        <v>2254</v>
      </c>
      <c r="M797" s="350" t="str">
        <f>IF($B797="Portfolio","Portfolio",IFERROR(INDEX(DATA_ASSET_CLASSIFICATION!$B$8:$B$24,MATCH($C797,DATA_ASSET_CLASSIFICATION!$A$8:$A$24,0)),"Review"))</f>
        <v>Antkiw Court</v>
      </c>
      <c r="N797" s="350" t="str">
        <f ca="1">IF($B797="Portfolio","Portfolio",IFERROR(INDEX(DATA_ASSET_CLASSIFICATION!$U$8:$U$24,MATCH($C797,DATA_ASSET_CLASSIFICATION!$A$8:$A$24,0)),"Review"))</f>
        <v>Stable</v>
      </c>
      <c r="O797" s="350" t="str">
        <f ca="1">IF($B797="Portfolio","Portfolio",IFERROR(INDEX(DATA_ASSET_CLASSIFICATION!$AB$8:$AB$13,MATCH($N797,DATA_ASSET_CLASSIFICATION!$AA$8:$AA$13,0)),"Review"))</f>
        <v>Bucket 2 · Legacy</v>
      </c>
      <c r="P797" s="350" t="str">
        <f>IF($B797="Portfolio","Portfolio",IFERROR(INDEX(DATA_ASSET_CLASSIFICATION!$C$8:$C$24,MATCH($C797,DATA_ASSET_CLASSIFICATION!$A$8:$A$24,0)),"Review"))</f>
        <v>Yes</v>
      </c>
      <c r="Q797" s="350" t="str">
        <f t="shared" ca="1" si="25"/>
        <v>OK</v>
      </c>
    </row>
    <row r="798" spans="1:17">
      <c r="A798" s="366" t="s">
        <v>2754</v>
      </c>
      <c r="B798" s="366" t="s">
        <v>231</v>
      </c>
      <c r="C798" s="348" t="str">
        <f>DATA_PROPERTY_MASTER!$A$6</f>
        <v>BLD_AC</v>
      </c>
      <c r="D798" s="380">
        <f>'00_PORTFOLIO ROLLUP'!Q$12</f>
        <v>2037</v>
      </c>
      <c r="E798" s="366" t="s">
        <v>1721</v>
      </c>
      <c r="F798" s="366" t="s">
        <v>35</v>
      </c>
      <c r="G798" s="348" t="str">
        <f>"'"&amp;$C798&amp;"'!$E$63:$Y$63"</f>
        <v>'BLD_AC'!$E$63:$Y$63</v>
      </c>
      <c r="H798" s="381">
        <f ca="1">IF(IFERROR(INDEX(DATA_PROPERTY_MASTER!$E$5:$E$21,MATCH($C798,DATA_PROPERTY_MASTER!$A$5:$A$21,0))="Yes",FALSE),IFERROR(INDEX(INDIRECT("'"&amp;$C798&amp;"'!$E$63:$Y$63"),1,MATCH($D798,INDIRECT("'"&amp;$C798&amp;"'!$E$12:$Y$12"),0)),0),0)</f>
        <v>0</v>
      </c>
      <c r="I798" s="366" t="s">
        <v>1731</v>
      </c>
      <c r="J798" s="348" t="str">
        <f t="shared" ca="1" si="24"/>
        <v>OK</v>
      </c>
      <c r="K798" s="366" t="s">
        <v>1732</v>
      </c>
      <c r="L798" s="366" t="s">
        <v>2256</v>
      </c>
      <c r="M798" s="350" t="str">
        <f>IF($B798="Portfolio","Portfolio",IFERROR(INDEX(DATA_ASSET_CLASSIFICATION!$B$8:$B$24,MATCH($C798,DATA_ASSET_CLASSIFICATION!$A$8:$A$24,0)),"Review"))</f>
        <v>Antkiw Court</v>
      </c>
      <c r="N798" s="350" t="str">
        <f ca="1">IF($B798="Portfolio","Portfolio",IFERROR(INDEX(DATA_ASSET_CLASSIFICATION!$U$8:$U$24,MATCH($C798,DATA_ASSET_CLASSIFICATION!$A$8:$A$24,0)),"Review"))</f>
        <v>Stable</v>
      </c>
      <c r="O798" s="350" t="str">
        <f ca="1">IF($B798="Portfolio","Portfolio",IFERROR(INDEX(DATA_ASSET_CLASSIFICATION!$AB$8:$AB$13,MATCH($N798,DATA_ASSET_CLASSIFICATION!$AA$8:$AA$13,0)),"Review"))</f>
        <v>Bucket 2 · Legacy</v>
      </c>
      <c r="P798" s="350" t="str">
        <f>IF($B798="Portfolio","Portfolio",IFERROR(INDEX(DATA_ASSET_CLASSIFICATION!$C$8:$C$24,MATCH($C798,DATA_ASSET_CLASSIFICATION!$A$8:$A$24,0)),"Review"))</f>
        <v>Yes</v>
      </c>
      <c r="Q798" s="350" t="str">
        <f t="shared" ca="1" si="25"/>
        <v>OK</v>
      </c>
    </row>
    <row r="799" spans="1:17">
      <c r="A799" s="366" t="s">
        <v>2755</v>
      </c>
      <c r="B799" s="366" t="s">
        <v>231</v>
      </c>
      <c r="C799" s="348" t="str">
        <f>DATA_PROPERTY_MASTER!$A$6</f>
        <v>BLD_AC</v>
      </c>
      <c r="D799" s="380">
        <f>'00_PORTFOLIO ROLLUP'!Q$12</f>
        <v>2037</v>
      </c>
      <c r="E799" s="366" t="s">
        <v>1721</v>
      </c>
      <c r="F799" s="366" t="s">
        <v>37</v>
      </c>
      <c r="G799" s="348" t="str">
        <f>"'"&amp;$C799&amp;"'!$E$63:$Y$63"</f>
        <v>'BLD_AC'!$E$63:$Y$63</v>
      </c>
      <c r="H799" s="381">
        <f ca="1">IF(IFERROR(INDEX(DATA_PROPERTY_MASTER!$E$5:$E$21,MATCH($C799,DATA_PROPERTY_MASTER!$A$5:$A$21,0))="Yes",FALSE),MAX(IFERROR(INDEX(INDIRECT("'"&amp;$C799&amp;"'!$E$63:$Y$63"),1,MATCH($D799,INDIRECT("'"&amp;$C799&amp;"'!$E$12:$Y$12"),0)),0),0),0)</f>
        <v>0</v>
      </c>
      <c r="I799" s="366" t="s">
        <v>1685</v>
      </c>
      <c r="J799" s="348" t="str">
        <f t="shared" ca="1" si="24"/>
        <v>OK</v>
      </c>
      <c r="K799" s="366" t="s">
        <v>1735</v>
      </c>
      <c r="L799" s="366" t="s">
        <v>2258</v>
      </c>
      <c r="M799" s="350" t="str">
        <f>IF($B799="Portfolio","Portfolio",IFERROR(INDEX(DATA_ASSET_CLASSIFICATION!$B$8:$B$24,MATCH($C799,DATA_ASSET_CLASSIFICATION!$A$8:$A$24,0)),"Review"))</f>
        <v>Antkiw Court</v>
      </c>
      <c r="N799" s="350" t="str">
        <f ca="1">IF($B799="Portfolio","Portfolio",IFERROR(INDEX(DATA_ASSET_CLASSIFICATION!$U$8:$U$24,MATCH($C799,DATA_ASSET_CLASSIFICATION!$A$8:$A$24,0)),"Review"))</f>
        <v>Stable</v>
      </c>
      <c r="O799" s="350" t="str">
        <f ca="1">IF($B799="Portfolio","Portfolio",IFERROR(INDEX(DATA_ASSET_CLASSIFICATION!$AB$8:$AB$13,MATCH($N799,DATA_ASSET_CLASSIFICATION!$AA$8:$AA$13,0)),"Review"))</f>
        <v>Bucket 2 · Legacy</v>
      </c>
      <c r="P799" s="350" t="str">
        <f>IF($B799="Portfolio","Portfolio",IFERROR(INDEX(DATA_ASSET_CLASSIFICATION!$C$8:$C$24,MATCH($C799,DATA_ASSET_CLASSIFICATION!$A$8:$A$24,0)),"Review"))</f>
        <v>Yes</v>
      </c>
      <c r="Q799" s="350" t="str">
        <f t="shared" ca="1" si="25"/>
        <v>OK</v>
      </c>
    </row>
    <row r="800" spans="1:17">
      <c r="A800" s="366" t="s">
        <v>2756</v>
      </c>
      <c r="B800" s="366" t="s">
        <v>231</v>
      </c>
      <c r="C800" s="348" t="str">
        <f>DATA_PROPERTY_MASTER!$A$6</f>
        <v>BLD_AC</v>
      </c>
      <c r="D800" s="380">
        <f>'00_PORTFOLIO ROLLUP'!Q$12</f>
        <v>2037</v>
      </c>
      <c r="E800" s="366" t="s">
        <v>1721</v>
      </c>
      <c r="F800" s="366" t="s">
        <v>39</v>
      </c>
      <c r="G800" s="348" t="str">
        <f>"'"&amp;$C800&amp;"'!$E$63:$Y$63"</f>
        <v>'BLD_AC'!$E$63:$Y$63</v>
      </c>
      <c r="H800" s="381">
        <f ca="1">IF(IFERROR(INDEX(DATA_PROPERTY_MASTER!$E$5:$E$21,MATCH($C800,DATA_PROPERTY_MASTER!$A$5:$A$21,0))="Yes",FALSE),MAX(-IFERROR(INDEX(INDIRECT("'"&amp;$C800&amp;"'!$E$63:$Y$63"),1,MATCH($D800,INDIRECT("'"&amp;$C800&amp;"'!$E$12:$Y$12"),0)),0),0),0)</f>
        <v>0</v>
      </c>
      <c r="I800" s="366" t="s">
        <v>1690</v>
      </c>
      <c r="J800" s="348" t="str">
        <f t="shared" ca="1" si="24"/>
        <v>OK</v>
      </c>
      <c r="K800" s="366" t="s">
        <v>1738</v>
      </c>
      <c r="L800" s="366" t="s">
        <v>2260</v>
      </c>
      <c r="M800" s="350" t="str">
        <f>IF($B800="Portfolio","Portfolio",IFERROR(INDEX(DATA_ASSET_CLASSIFICATION!$B$8:$B$24,MATCH($C800,DATA_ASSET_CLASSIFICATION!$A$8:$A$24,0)),"Review"))</f>
        <v>Antkiw Court</v>
      </c>
      <c r="N800" s="350" t="str">
        <f ca="1">IF($B800="Portfolio","Portfolio",IFERROR(INDEX(DATA_ASSET_CLASSIFICATION!$U$8:$U$24,MATCH($C800,DATA_ASSET_CLASSIFICATION!$A$8:$A$24,0)),"Review"))</f>
        <v>Stable</v>
      </c>
      <c r="O800" s="350" t="str">
        <f ca="1">IF($B800="Portfolio","Portfolio",IFERROR(INDEX(DATA_ASSET_CLASSIFICATION!$AB$8:$AB$13,MATCH($N800,DATA_ASSET_CLASSIFICATION!$AA$8:$AA$13,0)),"Review"))</f>
        <v>Bucket 2 · Legacy</v>
      </c>
      <c r="P800" s="350" t="str">
        <f>IF($B800="Portfolio","Portfolio",IFERROR(INDEX(DATA_ASSET_CLASSIFICATION!$C$8:$C$24,MATCH($C800,DATA_ASSET_CLASSIFICATION!$A$8:$A$24,0)),"Review"))</f>
        <v>Yes</v>
      </c>
      <c r="Q800" s="350" t="str">
        <f t="shared" ca="1" si="25"/>
        <v>OK</v>
      </c>
    </row>
    <row r="801" spans="1:17">
      <c r="A801" s="366" t="s">
        <v>2757</v>
      </c>
      <c r="B801" s="366" t="s">
        <v>231</v>
      </c>
      <c r="C801" s="348" t="str">
        <f>DATA_PROPERTY_MASTER!$A$6</f>
        <v>BLD_AC</v>
      </c>
      <c r="D801" s="380">
        <f>'00_PORTFOLIO ROLLUP'!Q$12</f>
        <v>2037</v>
      </c>
      <c r="E801" s="366" t="s">
        <v>1741</v>
      </c>
      <c r="F801" s="366" t="s">
        <v>41</v>
      </c>
      <c r="G801" s="348" t="str">
        <f>"'"&amp;$C801&amp;"'!rows 56 + positive row 63"</f>
        <v>'BLD_AC'!rows 56 + positive row 63</v>
      </c>
      <c r="H801" s="381">
        <f ca="1">IF(IFERROR(INDEX(DATA_PROPERTY_MASTER!$E$5:$E$21,MATCH($C801,DATA_PROPERTY_MASTER!$A$5:$A$21,0))="Yes",FALSE),IFERROR(INDEX(INDIRECT("'"&amp;$C801&amp;"'!$E$56:$Y$56"),1,MATCH($D801,INDIRECT("'"&amp;$C801&amp;"'!$E$12:$Y$12"),0)),0)+MAX(IFERROR(INDEX(INDIRECT("'"&amp;$C801&amp;"'!$E$63:$Y$63"),1,MATCH($D801,INDIRECT("'"&amp;$C801&amp;"'!$E$12:$Y$12"),0)),0),0),0)</f>
        <v>58303.379142300531</v>
      </c>
      <c r="I801" s="366" t="s">
        <v>1685</v>
      </c>
      <c r="J801" s="348" t="str">
        <f t="shared" ca="1" si="24"/>
        <v>OK</v>
      </c>
      <c r="K801" s="366" t="s">
        <v>1742</v>
      </c>
      <c r="L801" s="366" t="s">
        <v>2262</v>
      </c>
      <c r="M801" s="350" t="str">
        <f>IF($B801="Portfolio","Portfolio",IFERROR(INDEX(DATA_ASSET_CLASSIFICATION!$B$8:$B$24,MATCH($C801,DATA_ASSET_CLASSIFICATION!$A$8:$A$24,0)),"Review"))</f>
        <v>Antkiw Court</v>
      </c>
      <c r="N801" s="350" t="str">
        <f ca="1">IF($B801="Portfolio","Portfolio",IFERROR(INDEX(DATA_ASSET_CLASSIFICATION!$U$8:$U$24,MATCH($C801,DATA_ASSET_CLASSIFICATION!$A$8:$A$24,0)),"Review"))</f>
        <v>Stable</v>
      </c>
      <c r="O801" s="350" t="str">
        <f ca="1">IF($B801="Portfolio","Portfolio",IFERROR(INDEX(DATA_ASSET_CLASSIFICATION!$AB$8:$AB$13,MATCH($N801,DATA_ASSET_CLASSIFICATION!$AA$8:$AA$13,0)),"Review"))</f>
        <v>Bucket 2 · Legacy</v>
      </c>
      <c r="P801" s="350" t="str">
        <f>IF($B801="Portfolio","Portfolio",IFERROR(INDEX(DATA_ASSET_CLASSIFICATION!$C$8:$C$24,MATCH($C801,DATA_ASSET_CLASSIFICATION!$A$8:$A$24,0)),"Review"))</f>
        <v>Yes</v>
      </c>
      <c r="Q801" s="350" t="str">
        <f t="shared" ca="1" si="25"/>
        <v>OK</v>
      </c>
    </row>
    <row r="802" spans="1:17">
      <c r="A802" s="366" t="s">
        <v>2758</v>
      </c>
      <c r="B802" s="366" t="s">
        <v>231</v>
      </c>
      <c r="C802" s="348" t="str">
        <f>DATA_PROPERTY_MASTER!$A$6</f>
        <v>BLD_AC</v>
      </c>
      <c r="D802" s="380">
        <f>'00_PORTFOLIO ROLLUP'!Q$12</f>
        <v>2037</v>
      </c>
      <c r="E802" s="366" t="s">
        <v>1741</v>
      </c>
      <c r="F802" s="366" t="s">
        <v>43</v>
      </c>
      <c r="G802" s="348" t="str">
        <f>"'"&amp;$C802&amp;"'!$E$68:$Y$68"</f>
        <v>'BLD_AC'!$E$68:$Y$68</v>
      </c>
      <c r="H802" s="381">
        <f ca="1">IF(IFERROR(INDEX(DATA_PROPERTY_MASTER!$E$5:$E$21,MATCH($C802,DATA_PROPERTY_MASTER!$A$5:$A$21,0))="Yes",FALSE),IFERROR(INDEX(INDIRECT("'"&amp;$C802&amp;"'!$E$68:$Y$68"),1,MATCH($D802,INDIRECT("'"&amp;$C802&amp;"'!$E$12:$Y$12"),0)),0),0)</f>
        <v>58303.379142300531</v>
      </c>
      <c r="I802" s="366" t="s">
        <v>1731</v>
      </c>
      <c r="J802" s="348" t="str">
        <f t="shared" ca="1" si="24"/>
        <v>OK</v>
      </c>
      <c r="K802" s="366" t="s">
        <v>1746</v>
      </c>
      <c r="L802" s="366" t="s">
        <v>2264</v>
      </c>
      <c r="M802" s="350" t="str">
        <f>IF($B802="Portfolio","Portfolio",IFERROR(INDEX(DATA_ASSET_CLASSIFICATION!$B$8:$B$24,MATCH($C802,DATA_ASSET_CLASSIFICATION!$A$8:$A$24,0)),"Review"))</f>
        <v>Antkiw Court</v>
      </c>
      <c r="N802" s="350" t="str">
        <f ca="1">IF($B802="Portfolio","Portfolio",IFERROR(INDEX(DATA_ASSET_CLASSIFICATION!$U$8:$U$24,MATCH($C802,DATA_ASSET_CLASSIFICATION!$A$8:$A$24,0)),"Review"))</f>
        <v>Stable</v>
      </c>
      <c r="O802" s="350" t="str">
        <f ca="1">IF($B802="Portfolio","Portfolio",IFERROR(INDEX(DATA_ASSET_CLASSIFICATION!$AB$8:$AB$13,MATCH($N802,DATA_ASSET_CLASSIFICATION!$AA$8:$AA$13,0)),"Review"))</f>
        <v>Bucket 2 · Legacy</v>
      </c>
      <c r="P802" s="350" t="str">
        <f>IF($B802="Portfolio","Portfolio",IFERROR(INDEX(DATA_ASSET_CLASSIFICATION!$C$8:$C$24,MATCH($C802,DATA_ASSET_CLASSIFICATION!$A$8:$A$24,0)),"Review"))</f>
        <v>Yes</v>
      </c>
      <c r="Q802" s="350" t="str">
        <f t="shared" ca="1" si="25"/>
        <v>OK</v>
      </c>
    </row>
    <row r="803" spans="1:17">
      <c r="A803" s="366" t="s">
        <v>2759</v>
      </c>
      <c r="B803" s="366" t="s">
        <v>231</v>
      </c>
      <c r="C803" s="348" t="str">
        <f>DATA_PROPERTY_MASTER!$A$6</f>
        <v>BLD_AC</v>
      </c>
      <c r="D803" s="380">
        <f>'00_PORTFOLIO ROLLUP'!Q$12</f>
        <v>2037</v>
      </c>
      <c r="E803" s="366" t="s">
        <v>1741</v>
      </c>
      <c r="F803" s="366" t="s">
        <v>1749</v>
      </c>
      <c r="G803" s="348" t="str">
        <f>"'"&amp;$C803&amp;"'!rows 56, 63, 68"</f>
        <v>'BLD_AC'!rows 56, 63, 68</v>
      </c>
      <c r="H803" s="381">
        <f ca="1">IF(IFERROR(INDEX(DATA_PROPERTY_MASTER!$E$5:$E$21,MATCH($C803,DATA_PROPERTY_MASTER!$A$5:$A$21,0))="Yes",FALSE),(IFERROR(INDEX(INDIRECT("'"&amp;$C803&amp;"'!$E$56:$Y$56"),1,MATCH($D803,INDIRECT("'"&amp;$C803&amp;"'!$E$12:$Y$12"),0)),0)+MAX(IFERROR(INDEX(INDIRECT("'"&amp;$C803&amp;"'!$E$63:$Y$63"),1,MATCH($D803,INDIRECT("'"&amp;$C803&amp;"'!$E$12:$Y$12"),0)),0),0))-(IFERROR(INDEX(INDIRECT("'"&amp;$C803&amp;"'!$E$68:$Y$68"),1,MATCH($D803,INDIRECT("'"&amp;$C803&amp;"'!$E$12:$Y$12"),0)),0)),0)</f>
        <v>0</v>
      </c>
      <c r="I803" s="366" t="s">
        <v>1750</v>
      </c>
      <c r="J803" s="348" t="str">
        <f t="shared" ca="1" si="24"/>
        <v>OK</v>
      </c>
      <c r="K803" s="366" t="s">
        <v>1751</v>
      </c>
      <c r="L803" s="366" t="s">
        <v>2266</v>
      </c>
      <c r="M803" s="350" t="str">
        <f>IF($B803="Portfolio","Portfolio",IFERROR(INDEX(DATA_ASSET_CLASSIFICATION!$B$8:$B$24,MATCH($C803,DATA_ASSET_CLASSIFICATION!$A$8:$A$24,0)),"Review"))</f>
        <v>Antkiw Court</v>
      </c>
      <c r="N803" s="350" t="str">
        <f ca="1">IF($B803="Portfolio","Portfolio",IFERROR(INDEX(DATA_ASSET_CLASSIFICATION!$U$8:$U$24,MATCH($C803,DATA_ASSET_CLASSIFICATION!$A$8:$A$24,0)),"Review"))</f>
        <v>Stable</v>
      </c>
      <c r="O803" s="350" t="str">
        <f ca="1">IF($B803="Portfolio","Portfolio",IFERROR(INDEX(DATA_ASSET_CLASSIFICATION!$AB$8:$AB$13,MATCH($N803,DATA_ASSET_CLASSIFICATION!$AA$8:$AA$13,0)),"Review"))</f>
        <v>Bucket 2 · Legacy</v>
      </c>
      <c r="P803" s="350" t="str">
        <f>IF($B803="Portfolio","Portfolio",IFERROR(INDEX(DATA_ASSET_CLASSIFICATION!$C$8:$C$24,MATCH($C803,DATA_ASSET_CLASSIFICATION!$A$8:$A$24,0)),"Review"))</f>
        <v>Yes</v>
      </c>
      <c r="Q803" s="350" t="str">
        <f t="shared" ca="1" si="25"/>
        <v>OK</v>
      </c>
    </row>
    <row r="804" spans="1:17">
      <c r="A804" s="366" t="s">
        <v>2760</v>
      </c>
      <c r="B804" s="366" t="s">
        <v>231</v>
      </c>
      <c r="C804" s="348" t="str">
        <f>DATA_PROPERTY_MASTER!$A$6</f>
        <v>BLD_AC</v>
      </c>
      <c r="D804" s="380">
        <f>'00_PORTFOLIO ROLLUP'!R$12</f>
        <v>2038</v>
      </c>
      <c r="E804" s="366" t="s">
        <v>1683</v>
      </c>
      <c r="F804" s="366" t="s">
        <v>341</v>
      </c>
      <c r="G804" s="348" t="str">
        <f>"'"&amp;$C804&amp;"'!$E$24:$Y$24"</f>
        <v>'BLD_AC'!$E$24:$Y$24</v>
      </c>
      <c r="H804" s="381">
        <f ca="1">IF(IFERROR(INDEX(DATA_PROPERTY_MASTER!$E$5:$E$21,MATCH($C804,DATA_PROPERTY_MASTER!$A$5:$A$21,0))="Yes",FALSE),IFERROR(INDEX(INDIRECT("'"&amp;$C804&amp;"'!$E$24:$Y$24"),1,MATCH($D804,INDIRECT("'"&amp;$C804&amp;"'!$E$12:$Y$12"),0)),0),0)</f>
        <v>439490.84285272006</v>
      </c>
      <c r="I804" s="366" t="s">
        <v>1685</v>
      </c>
      <c r="J804" s="348" t="str">
        <f t="shared" ca="1" si="24"/>
        <v>OK</v>
      </c>
      <c r="K804" s="366" t="s">
        <v>1686</v>
      </c>
      <c r="L804" s="366" t="s">
        <v>2234</v>
      </c>
      <c r="M804" s="350" t="str">
        <f>IF($B804="Portfolio","Portfolio",IFERROR(INDEX(DATA_ASSET_CLASSIFICATION!$B$8:$B$24,MATCH($C804,DATA_ASSET_CLASSIFICATION!$A$8:$A$24,0)),"Review"))</f>
        <v>Antkiw Court</v>
      </c>
      <c r="N804" s="350" t="str">
        <f ca="1">IF($B804="Portfolio","Portfolio",IFERROR(INDEX(DATA_ASSET_CLASSIFICATION!$U$8:$U$24,MATCH($C804,DATA_ASSET_CLASSIFICATION!$A$8:$A$24,0)),"Review"))</f>
        <v>Stable</v>
      </c>
      <c r="O804" s="350" t="str">
        <f ca="1">IF($B804="Portfolio","Portfolio",IFERROR(INDEX(DATA_ASSET_CLASSIFICATION!$AB$8:$AB$13,MATCH($N804,DATA_ASSET_CLASSIFICATION!$AA$8:$AA$13,0)),"Review"))</f>
        <v>Bucket 2 · Legacy</v>
      </c>
      <c r="P804" s="350" t="str">
        <f>IF($B804="Portfolio","Portfolio",IFERROR(INDEX(DATA_ASSET_CLASSIFICATION!$C$8:$C$24,MATCH($C804,DATA_ASSET_CLASSIFICATION!$A$8:$A$24,0)),"Review"))</f>
        <v>Yes</v>
      </c>
      <c r="Q804" s="350" t="str">
        <f t="shared" ca="1" si="25"/>
        <v>OK</v>
      </c>
    </row>
    <row r="805" spans="1:17">
      <c r="A805" s="366" t="s">
        <v>2761</v>
      </c>
      <c r="B805" s="366" t="s">
        <v>231</v>
      </c>
      <c r="C805" s="348" t="str">
        <f>DATA_PROPERTY_MASTER!$A$6</f>
        <v>BLD_AC</v>
      </c>
      <c r="D805" s="380">
        <f>'00_PORTFOLIO ROLLUP'!R$12</f>
        <v>2038</v>
      </c>
      <c r="E805" s="366" t="s">
        <v>1683</v>
      </c>
      <c r="F805" s="366" t="s">
        <v>355</v>
      </c>
      <c r="G805" s="348" t="str">
        <f>"'"&amp;$C805&amp;"'!$E$39:$Y$39"</f>
        <v>'BLD_AC'!$E$39:$Y$39</v>
      </c>
      <c r="H805" s="381">
        <f ca="1">IF(IFERROR(INDEX(DATA_PROPERTY_MASTER!$E$5:$E$21,MATCH($C805,DATA_PROPERTY_MASTER!$A$5:$A$21,0))="Yes",FALSE),IFERROR(INDEX(INDIRECT("'"&amp;$C805&amp;"'!$E$39:$Y$39"),1,MATCH($D805,INDIRECT("'"&amp;$C805&amp;"'!$E$12:$Y$12"),0)),0),0)</f>
        <v>236554.42767730408</v>
      </c>
      <c r="I805" s="366" t="s">
        <v>1690</v>
      </c>
      <c r="J805" s="348" t="str">
        <f t="shared" ca="1" si="24"/>
        <v>OK</v>
      </c>
      <c r="K805" s="366" t="s">
        <v>1686</v>
      </c>
      <c r="L805" s="366" t="s">
        <v>2236</v>
      </c>
      <c r="M805" s="350" t="str">
        <f>IF($B805="Portfolio","Portfolio",IFERROR(INDEX(DATA_ASSET_CLASSIFICATION!$B$8:$B$24,MATCH($C805,DATA_ASSET_CLASSIFICATION!$A$8:$A$24,0)),"Review"))</f>
        <v>Antkiw Court</v>
      </c>
      <c r="N805" s="350" t="str">
        <f ca="1">IF($B805="Portfolio","Portfolio",IFERROR(INDEX(DATA_ASSET_CLASSIFICATION!$U$8:$U$24,MATCH($C805,DATA_ASSET_CLASSIFICATION!$A$8:$A$24,0)),"Review"))</f>
        <v>Stable</v>
      </c>
      <c r="O805" s="350" t="str">
        <f ca="1">IF($B805="Portfolio","Portfolio",IFERROR(INDEX(DATA_ASSET_CLASSIFICATION!$AB$8:$AB$13,MATCH($N805,DATA_ASSET_CLASSIFICATION!$AA$8:$AA$13,0)),"Review"))</f>
        <v>Bucket 2 · Legacy</v>
      </c>
      <c r="P805" s="350" t="str">
        <f>IF($B805="Portfolio","Portfolio",IFERROR(INDEX(DATA_ASSET_CLASSIFICATION!$C$8:$C$24,MATCH($C805,DATA_ASSET_CLASSIFICATION!$A$8:$A$24,0)),"Review"))</f>
        <v>Yes</v>
      </c>
      <c r="Q805" s="350" t="str">
        <f t="shared" ca="1" si="25"/>
        <v>OK</v>
      </c>
    </row>
    <row r="806" spans="1:17">
      <c r="A806" s="366" t="s">
        <v>2762</v>
      </c>
      <c r="B806" s="366" t="s">
        <v>231</v>
      </c>
      <c r="C806" s="348" t="str">
        <f>DATA_PROPERTY_MASTER!$A$6</f>
        <v>BLD_AC</v>
      </c>
      <c r="D806" s="380">
        <f>'00_PORTFOLIO ROLLUP'!R$12</f>
        <v>2038</v>
      </c>
      <c r="E806" s="366" t="s">
        <v>1683</v>
      </c>
      <c r="F806" s="366" t="s">
        <v>19</v>
      </c>
      <c r="G806" s="348" t="str">
        <f>"'"&amp;$C806&amp;"'!$E$41:$Y$41"</f>
        <v>'BLD_AC'!$E$41:$Y$41</v>
      </c>
      <c r="H806" s="381">
        <f ca="1">IF(IFERROR(INDEX(DATA_PROPERTY_MASTER!$E$5:$E$21,MATCH($C806,DATA_PROPERTY_MASTER!$A$5:$A$21,0))="Yes",FALSE),IFERROR(INDEX(INDIRECT("'"&amp;$C806&amp;"'!$E$41:$Y$41"),1,MATCH($D806,INDIRECT("'"&amp;$C806&amp;"'!$E$12:$Y$12"),0)),0),0)</f>
        <v>202936.41517541598</v>
      </c>
      <c r="I806" s="366" t="s">
        <v>1685</v>
      </c>
      <c r="J806" s="348" t="str">
        <f t="shared" ca="1" si="24"/>
        <v>OK</v>
      </c>
      <c r="K806" s="366" t="s">
        <v>1694</v>
      </c>
      <c r="L806" s="366" t="s">
        <v>2238</v>
      </c>
      <c r="M806" s="350" t="str">
        <f>IF($B806="Portfolio","Portfolio",IFERROR(INDEX(DATA_ASSET_CLASSIFICATION!$B$8:$B$24,MATCH($C806,DATA_ASSET_CLASSIFICATION!$A$8:$A$24,0)),"Review"))</f>
        <v>Antkiw Court</v>
      </c>
      <c r="N806" s="350" t="str">
        <f ca="1">IF($B806="Portfolio","Portfolio",IFERROR(INDEX(DATA_ASSET_CLASSIFICATION!$U$8:$U$24,MATCH($C806,DATA_ASSET_CLASSIFICATION!$A$8:$A$24,0)),"Review"))</f>
        <v>Stable</v>
      </c>
      <c r="O806" s="350" t="str">
        <f ca="1">IF($B806="Portfolio","Portfolio",IFERROR(INDEX(DATA_ASSET_CLASSIFICATION!$AB$8:$AB$13,MATCH($N806,DATA_ASSET_CLASSIFICATION!$AA$8:$AA$13,0)),"Review"))</f>
        <v>Bucket 2 · Legacy</v>
      </c>
      <c r="P806" s="350" t="str">
        <f>IF($B806="Portfolio","Portfolio",IFERROR(INDEX(DATA_ASSET_CLASSIFICATION!$C$8:$C$24,MATCH($C806,DATA_ASSET_CLASSIFICATION!$A$8:$A$24,0)),"Review"))</f>
        <v>Yes</v>
      </c>
      <c r="Q806" s="350" t="str">
        <f t="shared" ca="1" si="25"/>
        <v>OK</v>
      </c>
    </row>
    <row r="807" spans="1:17">
      <c r="A807" s="366" t="s">
        <v>2763</v>
      </c>
      <c r="B807" s="366" t="s">
        <v>231</v>
      </c>
      <c r="C807" s="348" t="str">
        <f>DATA_PROPERTY_MASTER!$A$6</f>
        <v>BLD_AC</v>
      </c>
      <c r="D807" s="380">
        <f>'00_PORTFOLIO ROLLUP'!R$12</f>
        <v>2038</v>
      </c>
      <c r="E807" s="366" t="s">
        <v>1683</v>
      </c>
      <c r="F807" s="366" t="s">
        <v>1697</v>
      </c>
      <c r="G807" s="348" t="str">
        <f>"'"&amp;$C807&amp;"'!$E$44:$Y$44"</f>
        <v>'BLD_AC'!$E$44:$Y$44</v>
      </c>
      <c r="H807" s="381">
        <f ca="1">IF(IFERROR(INDEX(DATA_PROPERTY_MASTER!$E$5:$E$21,MATCH($C807,DATA_PROPERTY_MASTER!$A$5:$A$21,0))="Yes",FALSE),IFERROR(INDEX(INDIRECT("'"&amp;$C807&amp;"'!$E$44:$Y$44"),1,MATCH($D807,INDIRECT("'"&amp;$C807&amp;"'!$E$12:$Y$12"),0)),0),0)</f>
        <v>4074.8608859294577</v>
      </c>
      <c r="I807" s="366" t="s">
        <v>1690</v>
      </c>
      <c r="J807" s="348" t="str">
        <f t="shared" ca="1" si="24"/>
        <v>OK</v>
      </c>
      <c r="K807" s="366" t="s">
        <v>1699</v>
      </c>
      <c r="L807" s="366" t="s">
        <v>2240</v>
      </c>
      <c r="M807" s="350" t="str">
        <f>IF($B807="Portfolio","Portfolio",IFERROR(INDEX(DATA_ASSET_CLASSIFICATION!$B$8:$B$24,MATCH($C807,DATA_ASSET_CLASSIFICATION!$A$8:$A$24,0)),"Review"))</f>
        <v>Antkiw Court</v>
      </c>
      <c r="N807" s="350" t="str">
        <f ca="1">IF($B807="Portfolio","Portfolio",IFERROR(INDEX(DATA_ASSET_CLASSIFICATION!$U$8:$U$24,MATCH($C807,DATA_ASSET_CLASSIFICATION!$A$8:$A$24,0)),"Review"))</f>
        <v>Stable</v>
      </c>
      <c r="O807" s="350" t="str">
        <f ca="1">IF($B807="Portfolio","Portfolio",IFERROR(INDEX(DATA_ASSET_CLASSIFICATION!$AB$8:$AB$13,MATCH($N807,DATA_ASSET_CLASSIFICATION!$AA$8:$AA$13,0)),"Review"))</f>
        <v>Bucket 2 · Legacy</v>
      </c>
      <c r="P807" s="350" t="str">
        <f>IF($B807="Portfolio","Portfolio",IFERROR(INDEX(DATA_ASSET_CLASSIFICATION!$C$8:$C$24,MATCH($C807,DATA_ASSET_CLASSIFICATION!$A$8:$A$24,0)),"Review"))</f>
        <v>Yes</v>
      </c>
      <c r="Q807" s="350" t="str">
        <f t="shared" ca="1" si="25"/>
        <v>OK</v>
      </c>
    </row>
    <row r="808" spans="1:17">
      <c r="A808" s="366" t="s">
        <v>2764</v>
      </c>
      <c r="B808" s="366" t="s">
        <v>231</v>
      </c>
      <c r="C808" s="348" t="str">
        <f>DATA_PROPERTY_MASTER!$A$6</f>
        <v>BLD_AC</v>
      </c>
      <c r="D808" s="380">
        <f>'00_PORTFOLIO ROLLUP'!R$12</f>
        <v>2038</v>
      </c>
      <c r="E808" s="366" t="s">
        <v>1683</v>
      </c>
      <c r="F808" s="366" t="s">
        <v>21</v>
      </c>
      <c r="G808" s="348" t="str">
        <f>"'"&amp;$C808&amp;"'!$E$45:$Y$45"</f>
        <v>'BLD_AC'!$E$45:$Y$45</v>
      </c>
      <c r="H808" s="381">
        <f ca="1">IF(IFERROR(INDEX(DATA_PROPERTY_MASTER!$E$5:$E$21,MATCH($C808,DATA_PROPERTY_MASTER!$A$5:$A$21,0))="Yes",FALSE),IFERROR(INDEX(INDIRECT("'"&amp;$C808&amp;"'!$E$45:$Y$45"),1,MATCH($D808,INDIRECT("'"&amp;$C808&amp;"'!$E$12:$Y$12"),0)),0),0)</f>
        <v>198861.55428948652</v>
      </c>
      <c r="I808" s="366" t="s">
        <v>1685</v>
      </c>
      <c r="J808" s="348" t="str">
        <f t="shared" ca="1" si="24"/>
        <v>OK</v>
      </c>
      <c r="K808" s="366" t="s">
        <v>1694</v>
      </c>
      <c r="L808" s="366" t="s">
        <v>2242</v>
      </c>
      <c r="M808" s="350" t="str">
        <f>IF($B808="Portfolio","Portfolio",IFERROR(INDEX(DATA_ASSET_CLASSIFICATION!$B$8:$B$24,MATCH($C808,DATA_ASSET_CLASSIFICATION!$A$8:$A$24,0)),"Review"))</f>
        <v>Antkiw Court</v>
      </c>
      <c r="N808" s="350" t="str">
        <f ca="1">IF($B808="Portfolio","Portfolio",IFERROR(INDEX(DATA_ASSET_CLASSIFICATION!$U$8:$U$24,MATCH($C808,DATA_ASSET_CLASSIFICATION!$A$8:$A$24,0)),"Review"))</f>
        <v>Stable</v>
      </c>
      <c r="O808" s="350" t="str">
        <f ca="1">IF($B808="Portfolio","Portfolio",IFERROR(INDEX(DATA_ASSET_CLASSIFICATION!$AB$8:$AB$13,MATCH($N808,DATA_ASSET_CLASSIFICATION!$AA$8:$AA$13,0)),"Review"))</f>
        <v>Bucket 2 · Legacy</v>
      </c>
      <c r="P808" s="350" t="str">
        <f>IF($B808="Portfolio","Portfolio",IFERROR(INDEX(DATA_ASSET_CLASSIFICATION!$C$8:$C$24,MATCH($C808,DATA_ASSET_CLASSIFICATION!$A$8:$A$24,0)),"Review"))</f>
        <v>Yes</v>
      </c>
      <c r="Q808" s="350" t="str">
        <f t="shared" ca="1" si="25"/>
        <v>OK</v>
      </c>
    </row>
    <row r="809" spans="1:17">
      <c r="A809" s="366" t="s">
        <v>2765</v>
      </c>
      <c r="B809" s="366" t="s">
        <v>231</v>
      </c>
      <c r="C809" s="348" t="str">
        <f>DATA_PROPERTY_MASTER!$A$6</f>
        <v>BLD_AC</v>
      </c>
      <c r="D809" s="380">
        <f>'00_PORTFOLIO ROLLUP'!R$12</f>
        <v>2038</v>
      </c>
      <c r="E809" s="366" t="s">
        <v>23</v>
      </c>
      <c r="F809" s="366" t="s">
        <v>23</v>
      </c>
      <c r="G809" s="348" t="str">
        <f>"'"&amp;$C809&amp;"'!$E$48:$Y$48"</f>
        <v>'BLD_AC'!$E$48:$Y$48</v>
      </c>
      <c r="H809" s="381">
        <f ca="1">IF(IFERROR(INDEX(DATA_PROPERTY_MASTER!$E$5:$E$21,MATCH($C809,DATA_PROPERTY_MASTER!$A$5:$A$21,0))="Yes",FALSE),IFERROR(INDEX(INDIRECT("'"&amp;$C809&amp;"'!$E$48:$Y$48"),1,MATCH($D809,INDIRECT("'"&amp;$C809&amp;"'!$E$12:$Y$12"),0)),0),0)</f>
        <v>54330.12</v>
      </c>
      <c r="I809" s="366" t="s">
        <v>1690</v>
      </c>
      <c r="J809" s="348" t="str">
        <f t="shared" ca="1" si="24"/>
        <v>OK</v>
      </c>
      <c r="K809" s="366" t="s">
        <v>1706</v>
      </c>
      <c r="L809" s="366" t="s">
        <v>2244</v>
      </c>
      <c r="M809" s="350" t="str">
        <f>IF($B809="Portfolio","Portfolio",IFERROR(INDEX(DATA_ASSET_CLASSIFICATION!$B$8:$B$24,MATCH($C809,DATA_ASSET_CLASSIFICATION!$A$8:$A$24,0)),"Review"))</f>
        <v>Antkiw Court</v>
      </c>
      <c r="N809" s="350" t="str">
        <f ca="1">IF($B809="Portfolio","Portfolio",IFERROR(INDEX(DATA_ASSET_CLASSIFICATION!$U$8:$U$24,MATCH($C809,DATA_ASSET_CLASSIFICATION!$A$8:$A$24,0)),"Review"))</f>
        <v>Stable</v>
      </c>
      <c r="O809" s="350" t="str">
        <f ca="1">IF($B809="Portfolio","Portfolio",IFERROR(INDEX(DATA_ASSET_CLASSIFICATION!$AB$8:$AB$13,MATCH($N809,DATA_ASSET_CLASSIFICATION!$AA$8:$AA$13,0)),"Review"))</f>
        <v>Bucket 2 · Legacy</v>
      </c>
      <c r="P809" s="350" t="str">
        <f>IF($B809="Portfolio","Portfolio",IFERROR(INDEX(DATA_ASSET_CLASSIFICATION!$C$8:$C$24,MATCH($C809,DATA_ASSET_CLASSIFICATION!$A$8:$A$24,0)),"Review"))</f>
        <v>Yes</v>
      </c>
      <c r="Q809" s="350" t="str">
        <f t="shared" ca="1" si="25"/>
        <v>OK</v>
      </c>
    </row>
    <row r="810" spans="1:17">
      <c r="A810" s="366" t="s">
        <v>2766</v>
      </c>
      <c r="B810" s="366" t="s">
        <v>231</v>
      </c>
      <c r="C810" s="348" t="str">
        <f>DATA_PROPERTY_MASTER!$A$6</f>
        <v>BLD_AC</v>
      </c>
      <c r="D810" s="380">
        <f>'00_PORTFOLIO ROLLUP'!R$12</f>
        <v>2038</v>
      </c>
      <c r="E810" s="366" t="s">
        <v>1683</v>
      </c>
      <c r="F810" s="366" t="s">
        <v>25</v>
      </c>
      <c r="G810" s="348" t="str">
        <f>"'"&amp;$C810&amp;"'!$E$52:$Y$52"</f>
        <v>'BLD_AC'!$E$52:$Y$52</v>
      </c>
      <c r="H810" s="381">
        <f ca="1">IF(IFERROR(INDEX(DATA_PROPERTY_MASTER!$E$5:$E$21,MATCH($C810,DATA_PROPERTY_MASTER!$A$5:$A$21,0))="Yes",FALSE),IFERROR(INDEX(INDIRECT("'"&amp;$C810&amp;"'!$E$52:$Y$52"),1,MATCH($D810,INDIRECT("'"&amp;$C810&amp;"'!$E$12:$Y$12"),0)),0),0)</f>
        <v>148606.29517541599</v>
      </c>
      <c r="I810" s="366" t="s">
        <v>1685</v>
      </c>
      <c r="J810" s="348" t="str">
        <f t="shared" ca="1" si="24"/>
        <v>OK</v>
      </c>
      <c r="K810" s="366" t="s">
        <v>1710</v>
      </c>
      <c r="L810" s="366" t="s">
        <v>2246</v>
      </c>
      <c r="M810" s="350" t="str">
        <f>IF($B810="Portfolio","Portfolio",IFERROR(INDEX(DATA_ASSET_CLASSIFICATION!$B$8:$B$24,MATCH($C810,DATA_ASSET_CLASSIFICATION!$A$8:$A$24,0)),"Review"))</f>
        <v>Antkiw Court</v>
      </c>
      <c r="N810" s="350" t="str">
        <f ca="1">IF($B810="Portfolio","Portfolio",IFERROR(INDEX(DATA_ASSET_CLASSIFICATION!$U$8:$U$24,MATCH($C810,DATA_ASSET_CLASSIFICATION!$A$8:$A$24,0)),"Review"))</f>
        <v>Stable</v>
      </c>
      <c r="O810" s="350" t="str">
        <f ca="1">IF($B810="Portfolio","Portfolio",IFERROR(INDEX(DATA_ASSET_CLASSIFICATION!$AB$8:$AB$13,MATCH($N810,DATA_ASSET_CLASSIFICATION!$AA$8:$AA$13,0)),"Review"))</f>
        <v>Bucket 2 · Legacy</v>
      </c>
      <c r="P810" s="350" t="str">
        <f>IF($B810="Portfolio","Portfolio",IFERROR(INDEX(DATA_ASSET_CLASSIFICATION!$C$8:$C$24,MATCH($C810,DATA_ASSET_CLASSIFICATION!$A$8:$A$24,0)),"Review"))</f>
        <v>Yes</v>
      </c>
      <c r="Q810" s="350" t="str">
        <f t="shared" ca="1" si="25"/>
        <v>OK</v>
      </c>
    </row>
    <row r="811" spans="1:17">
      <c r="A811" s="366" t="s">
        <v>2767</v>
      </c>
      <c r="B811" s="366" t="s">
        <v>231</v>
      </c>
      <c r="C811" s="348" t="str">
        <f>DATA_PROPERTY_MASTER!$A$6</f>
        <v>BLD_AC</v>
      </c>
      <c r="D811" s="380">
        <f>'00_PORTFOLIO ROLLUP'!R$12</f>
        <v>2038</v>
      </c>
      <c r="E811" s="366" t="s">
        <v>1683</v>
      </c>
      <c r="F811" s="366" t="s">
        <v>27</v>
      </c>
      <c r="G811" s="348" t="str">
        <f>"'"&amp;$C811&amp;"'!$E$54:$Y$54"</f>
        <v>'BLD_AC'!$E$54:$Y$54</v>
      </c>
      <c r="H811" s="381">
        <f ca="1">IF(IFERROR(INDEX(DATA_PROPERTY_MASTER!$E$5:$E$21,MATCH($C811,DATA_PROPERTY_MASTER!$A$5:$A$21,0))="Yes",FALSE),IFERROR(INDEX(INDIRECT("'"&amp;$C811&amp;"'!$E$54:$Y$54"),1,MATCH($D811,INDIRECT("'"&amp;$C811&amp;"'!$E$12:$Y$12"),0)),0),0)</f>
        <v>89163.777105249595</v>
      </c>
      <c r="I811" s="366" t="s">
        <v>1690</v>
      </c>
      <c r="J811" s="348" t="str">
        <f t="shared" ca="1" si="24"/>
        <v>OK</v>
      </c>
      <c r="K811" s="366" t="s">
        <v>1714</v>
      </c>
      <c r="L811" s="366" t="s">
        <v>2248</v>
      </c>
      <c r="M811" s="350" t="str">
        <f>IF($B811="Portfolio","Portfolio",IFERROR(INDEX(DATA_ASSET_CLASSIFICATION!$B$8:$B$24,MATCH($C811,DATA_ASSET_CLASSIFICATION!$A$8:$A$24,0)),"Review"))</f>
        <v>Antkiw Court</v>
      </c>
      <c r="N811" s="350" t="str">
        <f ca="1">IF($B811="Portfolio","Portfolio",IFERROR(INDEX(DATA_ASSET_CLASSIFICATION!$U$8:$U$24,MATCH($C811,DATA_ASSET_CLASSIFICATION!$A$8:$A$24,0)),"Review"))</f>
        <v>Stable</v>
      </c>
      <c r="O811" s="350" t="str">
        <f ca="1">IF($B811="Portfolio","Portfolio",IFERROR(INDEX(DATA_ASSET_CLASSIFICATION!$AB$8:$AB$13,MATCH($N811,DATA_ASSET_CLASSIFICATION!$AA$8:$AA$13,0)),"Review"))</f>
        <v>Bucket 2 · Legacy</v>
      </c>
      <c r="P811" s="350" t="str">
        <f>IF($B811="Portfolio","Portfolio",IFERROR(INDEX(DATA_ASSET_CLASSIFICATION!$C$8:$C$24,MATCH($C811,DATA_ASSET_CLASSIFICATION!$A$8:$A$24,0)),"Review"))</f>
        <v>Yes</v>
      </c>
      <c r="Q811" s="350" t="str">
        <f t="shared" ca="1" si="25"/>
        <v>OK</v>
      </c>
    </row>
    <row r="812" spans="1:17">
      <c r="A812" s="366" t="s">
        <v>2768</v>
      </c>
      <c r="B812" s="366" t="s">
        <v>231</v>
      </c>
      <c r="C812" s="348" t="str">
        <f>DATA_PROPERTY_MASTER!$A$6</f>
        <v>BLD_AC</v>
      </c>
      <c r="D812" s="380">
        <f>'00_PORTFOLIO ROLLUP'!R$12</f>
        <v>2038</v>
      </c>
      <c r="E812" s="366" t="s">
        <v>1683</v>
      </c>
      <c r="F812" s="366" t="s">
        <v>29</v>
      </c>
      <c r="G812" s="348" t="str">
        <f>"'"&amp;$C812&amp;"'!$E$56:$Y$56"</f>
        <v>'BLD_AC'!$E$56:$Y$56</v>
      </c>
      <c r="H812" s="381">
        <f ca="1">IF(IFERROR(INDEX(DATA_PROPERTY_MASTER!$E$5:$E$21,MATCH($C812,DATA_PROPERTY_MASTER!$A$5:$A$21,0))="Yes",FALSE),IFERROR(INDEX(INDIRECT("'"&amp;$C812&amp;"'!$E$56:$Y$56"),1,MATCH($D812,INDIRECT("'"&amp;$C812&amp;"'!$E$12:$Y$12"),0)),0),0)</f>
        <v>59442.518070166392</v>
      </c>
      <c r="I812" s="366" t="s">
        <v>1685</v>
      </c>
      <c r="J812" s="348" t="str">
        <f t="shared" ca="1" si="24"/>
        <v>OK</v>
      </c>
      <c r="K812" s="366" t="s">
        <v>1718</v>
      </c>
      <c r="L812" s="366" t="s">
        <v>2250</v>
      </c>
      <c r="M812" s="350" t="str">
        <f>IF($B812="Portfolio","Portfolio",IFERROR(INDEX(DATA_ASSET_CLASSIFICATION!$B$8:$B$24,MATCH($C812,DATA_ASSET_CLASSIFICATION!$A$8:$A$24,0)),"Review"))</f>
        <v>Antkiw Court</v>
      </c>
      <c r="N812" s="350" t="str">
        <f ca="1">IF($B812="Portfolio","Portfolio",IFERROR(INDEX(DATA_ASSET_CLASSIFICATION!$U$8:$U$24,MATCH($C812,DATA_ASSET_CLASSIFICATION!$A$8:$A$24,0)),"Review"))</f>
        <v>Stable</v>
      </c>
      <c r="O812" s="350" t="str">
        <f ca="1">IF($B812="Portfolio","Portfolio",IFERROR(INDEX(DATA_ASSET_CLASSIFICATION!$AB$8:$AB$13,MATCH($N812,DATA_ASSET_CLASSIFICATION!$AA$8:$AA$13,0)),"Review"))</f>
        <v>Bucket 2 · Legacy</v>
      </c>
      <c r="P812" s="350" t="str">
        <f>IF($B812="Portfolio","Portfolio",IFERROR(INDEX(DATA_ASSET_CLASSIFICATION!$C$8:$C$24,MATCH($C812,DATA_ASSET_CLASSIFICATION!$A$8:$A$24,0)),"Review"))</f>
        <v>Yes</v>
      </c>
      <c r="Q812" s="350" t="str">
        <f t="shared" ca="1" si="25"/>
        <v>OK</v>
      </c>
    </row>
    <row r="813" spans="1:17">
      <c r="A813" s="366" t="s">
        <v>2769</v>
      </c>
      <c r="B813" s="366" t="s">
        <v>231</v>
      </c>
      <c r="C813" s="348" t="str">
        <f>DATA_PROPERTY_MASTER!$A$6</f>
        <v>BLD_AC</v>
      </c>
      <c r="D813" s="380">
        <f>'00_PORTFOLIO ROLLUP'!R$12</f>
        <v>2038</v>
      </c>
      <c r="E813" s="366" t="s">
        <v>1721</v>
      </c>
      <c r="F813" s="366" t="s">
        <v>31</v>
      </c>
      <c r="G813" s="348" t="str">
        <f>"'"&amp;$C813&amp;"'!$E$61:$Y$61"</f>
        <v>'BLD_AC'!$E$61:$Y$61</v>
      </c>
      <c r="H813" s="381">
        <f ca="1">IF(IFERROR(INDEX(DATA_PROPERTY_MASTER!$E$5:$E$21,MATCH($C813,DATA_PROPERTY_MASTER!$A$5:$A$21,0))="Yes",FALSE),IFERROR(INDEX(INDIRECT("'"&amp;$C813&amp;"'!$E$61:$Y$61"),1,MATCH($D813,INDIRECT("'"&amp;$C813&amp;"'!$E$12:$Y$12"),0)),0),0)</f>
        <v>0</v>
      </c>
      <c r="I813" s="366" t="s">
        <v>1690</v>
      </c>
      <c r="J813" s="348" t="str">
        <f t="shared" ca="1" si="24"/>
        <v>OK</v>
      </c>
      <c r="K813" s="366" t="s">
        <v>1723</v>
      </c>
      <c r="L813" s="366" t="s">
        <v>2252</v>
      </c>
      <c r="M813" s="350" t="str">
        <f>IF($B813="Portfolio","Portfolio",IFERROR(INDEX(DATA_ASSET_CLASSIFICATION!$B$8:$B$24,MATCH($C813,DATA_ASSET_CLASSIFICATION!$A$8:$A$24,0)),"Review"))</f>
        <v>Antkiw Court</v>
      </c>
      <c r="N813" s="350" t="str">
        <f ca="1">IF($B813="Portfolio","Portfolio",IFERROR(INDEX(DATA_ASSET_CLASSIFICATION!$U$8:$U$24,MATCH($C813,DATA_ASSET_CLASSIFICATION!$A$8:$A$24,0)),"Review"))</f>
        <v>Stable</v>
      </c>
      <c r="O813" s="350" t="str">
        <f ca="1">IF($B813="Portfolio","Portfolio",IFERROR(INDEX(DATA_ASSET_CLASSIFICATION!$AB$8:$AB$13,MATCH($N813,DATA_ASSET_CLASSIFICATION!$AA$8:$AA$13,0)),"Review"))</f>
        <v>Bucket 2 · Legacy</v>
      </c>
      <c r="P813" s="350" t="str">
        <f>IF($B813="Portfolio","Portfolio",IFERROR(INDEX(DATA_ASSET_CLASSIFICATION!$C$8:$C$24,MATCH($C813,DATA_ASSET_CLASSIFICATION!$A$8:$A$24,0)),"Review"))</f>
        <v>Yes</v>
      </c>
      <c r="Q813" s="350" t="str">
        <f t="shared" ca="1" si="25"/>
        <v>OK</v>
      </c>
    </row>
    <row r="814" spans="1:17">
      <c r="A814" s="366" t="s">
        <v>2770</v>
      </c>
      <c r="B814" s="366" t="s">
        <v>231</v>
      </c>
      <c r="C814" s="348" t="str">
        <f>DATA_PROPERTY_MASTER!$A$6</f>
        <v>BLD_AC</v>
      </c>
      <c r="D814" s="380">
        <f>'00_PORTFOLIO ROLLUP'!R$12</f>
        <v>2038</v>
      </c>
      <c r="E814" s="366" t="s">
        <v>1721</v>
      </c>
      <c r="F814" s="366" t="s">
        <v>33</v>
      </c>
      <c r="G814" s="348" t="str">
        <f>"'"&amp;$C814&amp;"'!$E$62:$Y$62"</f>
        <v>'BLD_AC'!$E$62:$Y$62</v>
      </c>
      <c r="H814" s="381">
        <f ca="1">IF(IFERROR(INDEX(DATA_PROPERTY_MASTER!$E$5:$E$21,MATCH($C814,DATA_PROPERTY_MASTER!$A$5:$A$21,0))="Yes",FALSE),IFERROR(INDEX(INDIRECT("'"&amp;$C814&amp;"'!$E$62:$Y$62"),1,MATCH($D814,INDIRECT("'"&amp;$C814&amp;"'!$E$12:$Y$12"),0)),0),0)</f>
        <v>0</v>
      </c>
      <c r="I814" s="366" t="s">
        <v>1685</v>
      </c>
      <c r="J814" s="348" t="str">
        <f t="shared" ca="1" si="24"/>
        <v>OK</v>
      </c>
      <c r="K814" s="366" t="s">
        <v>1727</v>
      </c>
      <c r="L814" s="366" t="s">
        <v>2254</v>
      </c>
      <c r="M814" s="350" t="str">
        <f>IF($B814="Portfolio","Portfolio",IFERROR(INDEX(DATA_ASSET_CLASSIFICATION!$B$8:$B$24,MATCH($C814,DATA_ASSET_CLASSIFICATION!$A$8:$A$24,0)),"Review"))</f>
        <v>Antkiw Court</v>
      </c>
      <c r="N814" s="350" t="str">
        <f ca="1">IF($B814="Portfolio","Portfolio",IFERROR(INDEX(DATA_ASSET_CLASSIFICATION!$U$8:$U$24,MATCH($C814,DATA_ASSET_CLASSIFICATION!$A$8:$A$24,0)),"Review"))</f>
        <v>Stable</v>
      </c>
      <c r="O814" s="350" t="str">
        <f ca="1">IF($B814="Portfolio","Portfolio",IFERROR(INDEX(DATA_ASSET_CLASSIFICATION!$AB$8:$AB$13,MATCH($N814,DATA_ASSET_CLASSIFICATION!$AA$8:$AA$13,0)),"Review"))</f>
        <v>Bucket 2 · Legacy</v>
      </c>
      <c r="P814" s="350" t="str">
        <f>IF($B814="Portfolio","Portfolio",IFERROR(INDEX(DATA_ASSET_CLASSIFICATION!$C$8:$C$24,MATCH($C814,DATA_ASSET_CLASSIFICATION!$A$8:$A$24,0)),"Review"))</f>
        <v>Yes</v>
      </c>
      <c r="Q814" s="350" t="str">
        <f t="shared" ca="1" si="25"/>
        <v>OK</v>
      </c>
    </row>
    <row r="815" spans="1:17">
      <c r="A815" s="366" t="s">
        <v>2771</v>
      </c>
      <c r="B815" s="366" t="s">
        <v>231</v>
      </c>
      <c r="C815" s="348" t="str">
        <f>DATA_PROPERTY_MASTER!$A$6</f>
        <v>BLD_AC</v>
      </c>
      <c r="D815" s="380">
        <f>'00_PORTFOLIO ROLLUP'!R$12</f>
        <v>2038</v>
      </c>
      <c r="E815" s="366" t="s">
        <v>1721</v>
      </c>
      <c r="F815" s="366" t="s">
        <v>35</v>
      </c>
      <c r="G815" s="348" t="str">
        <f>"'"&amp;$C815&amp;"'!$E$63:$Y$63"</f>
        <v>'BLD_AC'!$E$63:$Y$63</v>
      </c>
      <c r="H815" s="381">
        <f ca="1">IF(IFERROR(INDEX(DATA_PROPERTY_MASTER!$E$5:$E$21,MATCH($C815,DATA_PROPERTY_MASTER!$A$5:$A$21,0))="Yes",FALSE),IFERROR(INDEX(INDIRECT("'"&amp;$C815&amp;"'!$E$63:$Y$63"),1,MATCH($D815,INDIRECT("'"&amp;$C815&amp;"'!$E$12:$Y$12"),0)),0),0)</f>
        <v>0</v>
      </c>
      <c r="I815" s="366" t="s">
        <v>1731</v>
      </c>
      <c r="J815" s="348" t="str">
        <f t="shared" ca="1" si="24"/>
        <v>OK</v>
      </c>
      <c r="K815" s="366" t="s">
        <v>1732</v>
      </c>
      <c r="L815" s="366" t="s">
        <v>2256</v>
      </c>
      <c r="M815" s="350" t="str">
        <f>IF($B815="Portfolio","Portfolio",IFERROR(INDEX(DATA_ASSET_CLASSIFICATION!$B$8:$B$24,MATCH($C815,DATA_ASSET_CLASSIFICATION!$A$8:$A$24,0)),"Review"))</f>
        <v>Antkiw Court</v>
      </c>
      <c r="N815" s="350" t="str">
        <f ca="1">IF($B815="Portfolio","Portfolio",IFERROR(INDEX(DATA_ASSET_CLASSIFICATION!$U$8:$U$24,MATCH($C815,DATA_ASSET_CLASSIFICATION!$A$8:$A$24,0)),"Review"))</f>
        <v>Stable</v>
      </c>
      <c r="O815" s="350" t="str">
        <f ca="1">IF($B815="Portfolio","Portfolio",IFERROR(INDEX(DATA_ASSET_CLASSIFICATION!$AB$8:$AB$13,MATCH($N815,DATA_ASSET_CLASSIFICATION!$AA$8:$AA$13,0)),"Review"))</f>
        <v>Bucket 2 · Legacy</v>
      </c>
      <c r="P815" s="350" t="str">
        <f>IF($B815="Portfolio","Portfolio",IFERROR(INDEX(DATA_ASSET_CLASSIFICATION!$C$8:$C$24,MATCH($C815,DATA_ASSET_CLASSIFICATION!$A$8:$A$24,0)),"Review"))</f>
        <v>Yes</v>
      </c>
      <c r="Q815" s="350" t="str">
        <f t="shared" ca="1" si="25"/>
        <v>OK</v>
      </c>
    </row>
    <row r="816" spans="1:17">
      <c r="A816" s="366" t="s">
        <v>2772</v>
      </c>
      <c r="B816" s="366" t="s">
        <v>231</v>
      </c>
      <c r="C816" s="348" t="str">
        <f>DATA_PROPERTY_MASTER!$A$6</f>
        <v>BLD_AC</v>
      </c>
      <c r="D816" s="380">
        <f>'00_PORTFOLIO ROLLUP'!R$12</f>
        <v>2038</v>
      </c>
      <c r="E816" s="366" t="s">
        <v>1721</v>
      </c>
      <c r="F816" s="366" t="s">
        <v>37</v>
      </c>
      <c r="G816" s="348" t="str">
        <f>"'"&amp;$C816&amp;"'!$E$63:$Y$63"</f>
        <v>'BLD_AC'!$E$63:$Y$63</v>
      </c>
      <c r="H816" s="381">
        <f ca="1">IF(IFERROR(INDEX(DATA_PROPERTY_MASTER!$E$5:$E$21,MATCH($C816,DATA_PROPERTY_MASTER!$A$5:$A$21,0))="Yes",FALSE),MAX(IFERROR(INDEX(INDIRECT("'"&amp;$C816&amp;"'!$E$63:$Y$63"),1,MATCH($D816,INDIRECT("'"&amp;$C816&amp;"'!$E$12:$Y$12"),0)),0),0),0)</f>
        <v>0</v>
      </c>
      <c r="I816" s="366" t="s">
        <v>1685</v>
      </c>
      <c r="J816" s="348" t="str">
        <f t="shared" ca="1" si="24"/>
        <v>OK</v>
      </c>
      <c r="K816" s="366" t="s">
        <v>1735</v>
      </c>
      <c r="L816" s="366" t="s">
        <v>2258</v>
      </c>
      <c r="M816" s="350" t="str">
        <f>IF($B816="Portfolio","Portfolio",IFERROR(INDEX(DATA_ASSET_CLASSIFICATION!$B$8:$B$24,MATCH($C816,DATA_ASSET_CLASSIFICATION!$A$8:$A$24,0)),"Review"))</f>
        <v>Antkiw Court</v>
      </c>
      <c r="N816" s="350" t="str">
        <f ca="1">IF($B816="Portfolio","Portfolio",IFERROR(INDEX(DATA_ASSET_CLASSIFICATION!$U$8:$U$24,MATCH($C816,DATA_ASSET_CLASSIFICATION!$A$8:$A$24,0)),"Review"))</f>
        <v>Stable</v>
      </c>
      <c r="O816" s="350" t="str">
        <f ca="1">IF($B816="Portfolio","Portfolio",IFERROR(INDEX(DATA_ASSET_CLASSIFICATION!$AB$8:$AB$13,MATCH($N816,DATA_ASSET_CLASSIFICATION!$AA$8:$AA$13,0)),"Review"))</f>
        <v>Bucket 2 · Legacy</v>
      </c>
      <c r="P816" s="350" t="str">
        <f>IF($B816="Portfolio","Portfolio",IFERROR(INDEX(DATA_ASSET_CLASSIFICATION!$C$8:$C$24,MATCH($C816,DATA_ASSET_CLASSIFICATION!$A$8:$A$24,0)),"Review"))</f>
        <v>Yes</v>
      </c>
      <c r="Q816" s="350" t="str">
        <f t="shared" ca="1" si="25"/>
        <v>OK</v>
      </c>
    </row>
    <row r="817" spans="1:17">
      <c r="A817" s="366" t="s">
        <v>2773</v>
      </c>
      <c r="B817" s="366" t="s">
        <v>231</v>
      </c>
      <c r="C817" s="348" t="str">
        <f>DATA_PROPERTY_MASTER!$A$6</f>
        <v>BLD_AC</v>
      </c>
      <c r="D817" s="380">
        <f>'00_PORTFOLIO ROLLUP'!R$12</f>
        <v>2038</v>
      </c>
      <c r="E817" s="366" t="s">
        <v>1721</v>
      </c>
      <c r="F817" s="366" t="s">
        <v>39</v>
      </c>
      <c r="G817" s="348" t="str">
        <f>"'"&amp;$C817&amp;"'!$E$63:$Y$63"</f>
        <v>'BLD_AC'!$E$63:$Y$63</v>
      </c>
      <c r="H817" s="381">
        <f ca="1">IF(IFERROR(INDEX(DATA_PROPERTY_MASTER!$E$5:$E$21,MATCH($C817,DATA_PROPERTY_MASTER!$A$5:$A$21,0))="Yes",FALSE),MAX(-IFERROR(INDEX(INDIRECT("'"&amp;$C817&amp;"'!$E$63:$Y$63"),1,MATCH($D817,INDIRECT("'"&amp;$C817&amp;"'!$E$12:$Y$12"),0)),0),0),0)</f>
        <v>0</v>
      </c>
      <c r="I817" s="366" t="s">
        <v>1690</v>
      </c>
      <c r="J817" s="348" t="str">
        <f t="shared" ca="1" si="24"/>
        <v>OK</v>
      </c>
      <c r="K817" s="366" t="s">
        <v>1738</v>
      </c>
      <c r="L817" s="366" t="s">
        <v>2260</v>
      </c>
      <c r="M817" s="350" t="str">
        <f>IF($B817="Portfolio","Portfolio",IFERROR(INDEX(DATA_ASSET_CLASSIFICATION!$B$8:$B$24,MATCH($C817,DATA_ASSET_CLASSIFICATION!$A$8:$A$24,0)),"Review"))</f>
        <v>Antkiw Court</v>
      </c>
      <c r="N817" s="350" t="str">
        <f ca="1">IF($B817="Portfolio","Portfolio",IFERROR(INDEX(DATA_ASSET_CLASSIFICATION!$U$8:$U$24,MATCH($C817,DATA_ASSET_CLASSIFICATION!$A$8:$A$24,0)),"Review"))</f>
        <v>Stable</v>
      </c>
      <c r="O817" s="350" t="str">
        <f ca="1">IF($B817="Portfolio","Portfolio",IFERROR(INDEX(DATA_ASSET_CLASSIFICATION!$AB$8:$AB$13,MATCH($N817,DATA_ASSET_CLASSIFICATION!$AA$8:$AA$13,0)),"Review"))</f>
        <v>Bucket 2 · Legacy</v>
      </c>
      <c r="P817" s="350" t="str">
        <f>IF($B817="Portfolio","Portfolio",IFERROR(INDEX(DATA_ASSET_CLASSIFICATION!$C$8:$C$24,MATCH($C817,DATA_ASSET_CLASSIFICATION!$A$8:$A$24,0)),"Review"))</f>
        <v>Yes</v>
      </c>
      <c r="Q817" s="350" t="str">
        <f t="shared" ca="1" si="25"/>
        <v>OK</v>
      </c>
    </row>
    <row r="818" spans="1:17">
      <c r="A818" s="366" t="s">
        <v>2774</v>
      </c>
      <c r="B818" s="366" t="s">
        <v>231</v>
      </c>
      <c r="C818" s="348" t="str">
        <f>DATA_PROPERTY_MASTER!$A$6</f>
        <v>BLD_AC</v>
      </c>
      <c r="D818" s="380">
        <f>'00_PORTFOLIO ROLLUP'!R$12</f>
        <v>2038</v>
      </c>
      <c r="E818" s="366" t="s">
        <v>1741</v>
      </c>
      <c r="F818" s="366" t="s">
        <v>41</v>
      </c>
      <c r="G818" s="348" t="str">
        <f>"'"&amp;$C818&amp;"'!rows 56 + positive row 63"</f>
        <v>'BLD_AC'!rows 56 + positive row 63</v>
      </c>
      <c r="H818" s="381">
        <f ca="1">IF(IFERROR(INDEX(DATA_PROPERTY_MASTER!$E$5:$E$21,MATCH($C818,DATA_PROPERTY_MASTER!$A$5:$A$21,0))="Yes",FALSE),IFERROR(INDEX(INDIRECT("'"&amp;$C818&amp;"'!$E$56:$Y$56"),1,MATCH($D818,INDIRECT("'"&amp;$C818&amp;"'!$E$12:$Y$12"),0)),0)+MAX(IFERROR(INDEX(INDIRECT("'"&amp;$C818&amp;"'!$E$63:$Y$63"),1,MATCH($D818,INDIRECT("'"&amp;$C818&amp;"'!$E$12:$Y$12"),0)),0),0),0)</f>
        <v>59442.518070166392</v>
      </c>
      <c r="I818" s="366" t="s">
        <v>1685</v>
      </c>
      <c r="J818" s="348" t="str">
        <f t="shared" ca="1" si="24"/>
        <v>OK</v>
      </c>
      <c r="K818" s="366" t="s">
        <v>1742</v>
      </c>
      <c r="L818" s="366" t="s">
        <v>2262</v>
      </c>
      <c r="M818" s="350" t="str">
        <f>IF($B818="Portfolio","Portfolio",IFERROR(INDEX(DATA_ASSET_CLASSIFICATION!$B$8:$B$24,MATCH($C818,DATA_ASSET_CLASSIFICATION!$A$8:$A$24,0)),"Review"))</f>
        <v>Antkiw Court</v>
      </c>
      <c r="N818" s="350" t="str">
        <f ca="1">IF($B818="Portfolio","Portfolio",IFERROR(INDEX(DATA_ASSET_CLASSIFICATION!$U$8:$U$24,MATCH($C818,DATA_ASSET_CLASSIFICATION!$A$8:$A$24,0)),"Review"))</f>
        <v>Stable</v>
      </c>
      <c r="O818" s="350" t="str">
        <f ca="1">IF($B818="Portfolio","Portfolio",IFERROR(INDEX(DATA_ASSET_CLASSIFICATION!$AB$8:$AB$13,MATCH($N818,DATA_ASSET_CLASSIFICATION!$AA$8:$AA$13,0)),"Review"))</f>
        <v>Bucket 2 · Legacy</v>
      </c>
      <c r="P818" s="350" t="str">
        <f>IF($B818="Portfolio","Portfolio",IFERROR(INDEX(DATA_ASSET_CLASSIFICATION!$C$8:$C$24,MATCH($C818,DATA_ASSET_CLASSIFICATION!$A$8:$A$24,0)),"Review"))</f>
        <v>Yes</v>
      </c>
      <c r="Q818" s="350" t="str">
        <f t="shared" ca="1" si="25"/>
        <v>OK</v>
      </c>
    </row>
    <row r="819" spans="1:17">
      <c r="A819" s="366" t="s">
        <v>2775</v>
      </c>
      <c r="B819" s="366" t="s">
        <v>231</v>
      </c>
      <c r="C819" s="348" t="str">
        <f>DATA_PROPERTY_MASTER!$A$6</f>
        <v>BLD_AC</v>
      </c>
      <c r="D819" s="380">
        <f>'00_PORTFOLIO ROLLUP'!R$12</f>
        <v>2038</v>
      </c>
      <c r="E819" s="366" t="s">
        <v>1741</v>
      </c>
      <c r="F819" s="366" t="s">
        <v>43</v>
      </c>
      <c r="G819" s="348" t="str">
        <f>"'"&amp;$C819&amp;"'!$E$68:$Y$68"</f>
        <v>'BLD_AC'!$E$68:$Y$68</v>
      </c>
      <c r="H819" s="381">
        <f ca="1">IF(IFERROR(INDEX(DATA_PROPERTY_MASTER!$E$5:$E$21,MATCH($C819,DATA_PROPERTY_MASTER!$A$5:$A$21,0))="Yes",FALSE),IFERROR(INDEX(INDIRECT("'"&amp;$C819&amp;"'!$E$68:$Y$68"),1,MATCH($D819,INDIRECT("'"&amp;$C819&amp;"'!$E$12:$Y$12"),0)),0),0)</f>
        <v>59442.518070166392</v>
      </c>
      <c r="I819" s="366" t="s">
        <v>1731</v>
      </c>
      <c r="J819" s="348" t="str">
        <f t="shared" ca="1" si="24"/>
        <v>OK</v>
      </c>
      <c r="K819" s="366" t="s">
        <v>1746</v>
      </c>
      <c r="L819" s="366" t="s">
        <v>2264</v>
      </c>
      <c r="M819" s="350" t="str">
        <f>IF($B819="Portfolio","Portfolio",IFERROR(INDEX(DATA_ASSET_CLASSIFICATION!$B$8:$B$24,MATCH($C819,DATA_ASSET_CLASSIFICATION!$A$8:$A$24,0)),"Review"))</f>
        <v>Antkiw Court</v>
      </c>
      <c r="N819" s="350" t="str">
        <f ca="1">IF($B819="Portfolio","Portfolio",IFERROR(INDEX(DATA_ASSET_CLASSIFICATION!$U$8:$U$24,MATCH($C819,DATA_ASSET_CLASSIFICATION!$A$8:$A$24,0)),"Review"))</f>
        <v>Stable</v>
      </c>
      <c r="O819" s="350" t="str">
        <f ca="1">IF($B819="Portfolio","Portfolio",IFERROR(INDEX(DATA_ASSET_CLASSIFICATION!$AB$8:$AB$13,MATCH($N819,DATA_ASSET_CLASSIFICATION!$AA$8:$AA$13,0)),"Review"))</f>
        <v>Bucket 2 · Legacy</v>
      </c>
      <c r="P819" s="350" t="str">
        <f>IF($B819="Portfolio","Portfolio",IFERROR(INDEX(DATA_ASSET_CLASSIFICATION!$C$8:$C$24,MATCH($C819,DATA_ASSET_CLASSIFICATION!$A$8:$A$24,0)),"Review"))</f>
        <v>Yes</v>
      </c>
      <c r="Q819" s="350" t="str">
        <f t="shared" ca="1" si="25"/>
        <v>OK</v>
      </c>
    </row>
    <row r="820" spans="1:17">
      <c r="A820" s="366" t="s">
        <v>2776</v>
      </c>
      <c r="B820" s="366" t="s">
        <v>231</v>
      </c>
      <c r="C820" s="348" t="str">
        <f>DATA_PROPERTY_MASTER!$A$6</f>
        <v>BLD_AC</v>
      </c>
      <c r="D820" s="380">
        <f>'00_PORTFOLIO ROLLUP'!R$12</f>
        <v>2038</v>
      </c>
      <c r="E820" s="366" t="s">
        <v>1741</v>
      </c>
      <c r="F820" s="366" t="s">
        <v>1749</v>
      </c>
      <c r="G820" s="348" t="str">
        <f>"'"&amp;$C820&amp;"'!rows 56, 63, 68"</f>
        <v>'BLD_AC'!rows 56, 63, 68</v>
      </c>
      <c r="H820" s="381">
        <f ca="1">IF(IFERROR(INDEX(DATA_PROPERTY_MASTER!$E$5:$E$21,MATCH($C820,DATA_PROPERTY_MASTER!$A$5:$A$21,0))="Yes",FALSE),(IFERROR(INDEX(INDIRECT("'"&amp;$C820&amp;"'!$E$56:$Y$56"),1,MATCH($D820,INDIRECT("'"&amp;$C820&amp;"'!$E$12:$Y$12"),0)),0)+MAX(IFERROR(INDEX(INDIRECT("'"&amp;$C820&amp;"'!$E$63:$Y$63"),1,MATCH($D820,INDIRECT("'"&amp;$C820&amp;"'!$E$12:$Y$12"),0)),0),0))-(IFERROR(INDEX(INDIRECT("'"&amp;$C820&amp;"'!$E$68:$Y$68"),1,MATCH($D820,INDIRECT("'"&amp;$C820&amp;"'!$E$12:$Y$12"),0)),0)),0)</f>
        <v>0</v>
      </c>
      <c r="I820" s="366" t="s">
        <v>1750</v>
      </c>
      <c r="J820" s="348" t="str">
        <f t="shared" ca="1" si="24"/>
        <v>OK</v>
      </c>
      <c r="K820" s="366" t="s">
        <v>1751</v>
      </c>
      <c r="L820" s="366" t="s">
        <v>2266</v>
      </c>
      <c r="M820" s="350" t="str">
        <f>IF($B820="Portfolio","Portfolio",IFERROR(INDEX(DATA_ASSET_CLASSIFICATION!$B$8:$B$24,MATCH($C820,DATA_ASSET_CLASSIFICATION!$A$8:$A$24,0)),"Review"))</f>
        <v>Antkiw Court</v>
      </c>
      <c r="N820" s="350" t="str">
        <f ca="1">IF($B820="Portfolio","Portfolio",IFERROR(INDEX(DATA_ASSET_CLASSIFICATION!$U$8:$U$24,MATCH($C820,DATA_ASSET_CLASSIFICATION!$A$8:$A$24,0)),"Review"))</f>
        <v>Stable</v>
      </c>
      <c r="O820" s="350" t="str">
        <f ca="1">IF($B820="Portfolio","Portfolio",IFERROR(INDEX(DATA_ASSET_CLASSIFICATION!$AB$8:$AB$13,MATCH($N820,DATA_ASSET_CLASSIFICATION!$AA$8:$AA$13,0)),"Review"))</f>
        <v>Bucket 2 · Legacy</v>
      </c>
      <c r="P820" s="350" t="str">
        <f>IF($B820="Portfolio","Portfolio",IFERROR(INDEX(DATA_ASSET_CLASSIFICATION!$C$8:$C$24,MATCH($C820,DATA_ASSET_CLASSIFICATION!$A$8:$A$24,0)),"Review"))</f>
        <v>Yes</v>
      </c>
      <c r="Q820" s="350" t="str">
        <f t="shared" ca="1" si="25"/>
        <v>OK</v>
      </c>
    </row>
    <row r="821" spans="1:17">
      <c r="A821" s="366" t="s">
        <v>2777</v>
      </c>
      <c r="B821" s="366" t="s">
        <v>231</v>
      </c>
      <c r="C821" s="348" t="str">
        <f>DATA_PROPERTY_MASTER!$A$6</f>
        <v>BLD_AC</v>
      </c>
      <c r="D821" s="380">
        <f>'00_PORTFOLIO ROLLUP'!S$12</f>
        <v>2039</v>
      </c>
      <c r="E821" s="366" t="s">
        <v>1683</v>
      </c>
      <c r="F821" s="366" t="s">
        <v>341</v>
      </c>
      <c r="G821" s="348" t="str">
        <f>"'"&amp;$C821&amp;"'!$E$24:$Y$24"</f>
        <v>'BLD_AC'!$E$24:$Y$24</v>
      </c>
      <c r="H821" s="381">
        <f ca="1">IF(IFERROR(INDEX(DATA_PROPERTY_MASTER!$E$5:$E$21,MATCH($C821,DATA_PROPERTY_MASTER!$A$5:$A$21,0))="Yes",FALSE),IFERROR(INDEX(INDIRECT("'"&amp;$C821&amp;"'!$E$24:$Y$24"),1,MATCH($D821,INDIRECT("'"&amp;$C821&amp;"'!$E$12:$Y$12"),0)),0),0)</f>
        <v>448280.6597097746</v>
      </c>
      <c r="I821" s="366" t="s">
        <v>1685</v>
      </c>
      <c r="J821" s="348" t="str">
        <f t="shared" ca="1" si="24"/>
        <v>OK</v>
      </c>
      <c r="K821" s="366" t="s">
        <v>1686</v>
      </c>
      <c r="L821" s="366" t="s">
        <v>2234</v>
      </c>
      <c r="M821" s="350" t="str">
        <f>IF($B821="Portfolio","Portfolio",IFERROR(INDEX(DATA_ASSET_CLASSIFICATION!$B$8:$B$24,MATCH($C821,DATA_ASSET_CLASSIFICATION!$A$8:$A$24,0)),"Review"))</f>
        <v>Antkiw Court</v>
      </c>
      <c r="N821" s="350" t="str">
        <f ca="1">IF($B821="Portfolio","Portfolio",IFERROR(INDEX(DATA_ASSET_CLASSIFICATION!$U$8:$U$24,MATCH($C821,DATA_ASSET_CLASSIFICATION!$A$8:$A$24,0)),"Review"))</f>
        <v>Stable</v>
      </c>
      <c r="O821" s="350" t="str">
        <f ca="1">IF($B821="Portfolio","Portfolio",IFERROR(INDEX(DATA_ASSET_CLASSIFICATION!$AB$8:$AB$13,MATCH($N821,DATA_ASSET_CLASSIFICATION!$AA$8:$AA$13,0)),"Review"))</f>
        <v>Bucket 2 · Legacy</v>
      </c>
      <c r="P821" s="350" t="str">
        <f>IF($B821="Portfolio","Portfolio",IFERROR(INDEX(DATA_ASSET_CLASSIFICATION!$C$8:$C$24,MATCH($C821,DATA_ASSET_CLASSIFICATION!$A$8:$A$24,0)),"Review"))</f>
        <v>Yes</v>
      </c>
      <c r="Q821" s="350" t="str">
        <f t="shared" ca="1" si="25"/>
        <v>OK</v>
      </c>
    </row>
    <row r="822" spans="1:17">
      <c r="A822" s="366" t="s">
        <v>2778</v>
      </c>
      <c r="B822" s="366" t="s">
        <v>231</v>
      </c>
      <c r="C822" s="348" t="str">
        <f>DATA_PROPERTY_MASTER!$A$6</f>
        <v>BLD_AC</v>
      </c>
      <c r="D822" s="380">
        <f>'00_PORTFOLIO ROLLUP'!S$12</f>
        <v>2039</v>
      </c>
      <c r="E822" s="366" t="s">
        <v>1683</v>
      </c>
      <c r="F822" s="366" t="s">
        <v>355</v>
      </c>
      <c r="G822" s="348" t="str">
        <f>"'"&amp;$C822&amp;"'!$E$39:$Y$39"</f>
        <v>'BLD_AC'!$E$39:$Y$39</v>
      </c>
      <c r="H822" s="381">
        <f ca="1">IF(IFERROR(INDEX(DATA_PROPERTY_MASTER!$E$5:$E$21,MATCH($C822,DATA_PROPERTY_MASTER!$A$5:$A$21,0))="Yes",FALSE),IFERROR(INDEX(INDIRECT("'"&amp;$C822&amp;"'!$E$39:$Y$39"),1,MATCH($D822,INDIRECT("'"&amp;$C822&amp;"'!$E$12:$Y$12"),0)),0),0)</f>
        <v>242468.28836923663</v>
      </c>
      <c r="I822" s="366" t="s">
        <v>1690</v>
      </c>
      <c r="J822" s="348" t="str">
        <f t="shared" ca="1" si="24"/>
        <v>OK</v>
      </c>
      <c r="K822" s="366" t="s">
        <v>1686</v>
      </c>
      <c r="L822" s="366" t="s">
        <v>2236</v>
      </c>
      <c r="M822" s="350" t="str">
        <f>IF($B822="Portfolio","Portfolio",IFERROR(INDEX(DATA_ASSET_CLASSIFICATION!$B$8:$B$24,MATCH($C822,DATA_ASSET_CLASSIFICATION!$A$8:$A$24,0)),"Review"))</f>
        <v>Antkiw Court</v>
      </c>
      <c r="N822" s="350" t="str">
        <f ca="1">IF($B822="Portfolio","Portfolio",IFERROR(INDEX(DATA_ASSET_CLASSIFICATION!$U$8:$U$24,MATCH($C822,DATA_ASSET_CLASSIFICATION!$A$8:$A$24,0)),"Review"))</f>
        <v>Stable</v>
      </c>
      <c r="O822" s="350" t="str">
        <f ca="1">IF($B822="Portfolio","Portfolio",IFERROR(INDEX(DATA_ASSET_CLASSIFICATION!$AB$8:$AB$13,MATCH($N822,DATA_ASSET_CLASSIFICATION!$AA$8:$AA$13,0)),"Review"))</f>
        <v>Bucket 2 · Legacy</v>
      </c>
      <c r="P822" s="350" t="str">
        <f>IF($B822="Portfolio","Portfolio",IFERROR(INDEX(DATA_ASSET_CLASSIFICATION!$C$8:$C$24,MATCH($C822,DATA_ASSET_CLASSIFICATION!$A$8:$A$24,0)),"Review"))</f>
        <v>Yes</v>
      </c>
      <c r="Q822" s="350" t="str">
        <f t="shared" ca="1" si="25"/>
        <v>OK</v>
      </c>
    </row>
    <row r="823" spans="1:17">
      <c r="A823" s="366" t="s">
        <v>2779</v>
      </c>
      <c r="B823" s="366" t="s">
        <v>231</v>
      </c>
      <c r="C823" s="348" t="str">
        <f>DATA_PROPERTY_MASTER!$A$6</f>
        <v>BLD_AC</v>
      </c>
      <c r="D823" s="380">
        <f>'00_PORTFOLIO ROLLUP'!S$12</f>
        <v>2039</v>
      </c>
      <c r="E823" s="366" t="s">
        <v>1683</v>
      </c>
      <c r="F823" s="366" t="s">
        <v>19</v>
      </c>
      <c r="G823" s="348" t="str">
        <f>"'"&amp;$C823&amp;"'!$E$41:$Y$41"</f>
        <v>'BLD_AC'!$E$41:$Y$41</v>
      </c>
      <c r="H823" s="381">
        <f ca="1">IF(IFERROR(INDEX(DATA_PROPERTY_MASTER!$E$5:$E$21,MATCH($C823,DATA_PROPERTY_MASTER!$A$5:$A$21,0))="Yes",FALSE),IFERROR(INDEX(INDIRECT("'"&amp;$C823&amp;"'!$E$41:$Y$41"),1,MATCH($D823,INDIRECT("'"&amp;$C823&amp;"'!$E$12:$Y$12"),0)),0),0)</f>
        <v>205812.37134053797</v>
      </c>
      <c r="I823" s="366" t="s">
        <v>1685</v>
      </c>
      <c r="J823" s="348" t="str">
        <f t="shared" ca="1" si="24"/>
        <v>OK</v>
      </c>
      <c r="K823" s="366" t="s">
        <v>1694</v>
      </c>
      <c r="L823" s="366" t="s">
        <v>2238</v>
      </c>
      <c r="M823" s="350" t="str">
        <f>IF($B823="Portfolio","Portfolio",IFERROR(INDEX(DATA_ASSET_CLASSIFICATION!$B$8:$B$24,MATCH($C823,DATA_ASSET_CLASSIFICATION!$A$8:$A$24,0)),"Review"))</f>
        <v>Antkiw Court</v>
      </c>
      <c r="N823" s="350" t="str">
        <f ca="1">IF($B823="Portfolio","Portfolio",IFERROR(INDEX(DATA_ASSET_CLASSIFICATION!$U$8:$U$24,MATCH($C823,DATA_ASSET_CLASSIFICATION!$A$8:$A$24,0)),"Review"))</f>
        <v>Stable</v>
      </c>
      <c r="O823" s="350" t="str">
        <f ca="1">IF($B823="Portfolio","Portfolio",IFERROR(INDEX(DATA_ASSET_CLASSIFICATION!$AB$8:$AB$13,MATCH($N823,DATA_ASSET_CLASSIFICATION!$AA$8:$AA$13,0)),"Review"))</f>
        <v>Bucket 2 · Legacy</v>
      </c>
      <c r="P823" s="350" t="str">
        <f>IF($B823="Portfolio","Portfolio",IFERROR(INDEX(DATA_ASSET_CLASSIFICATION!$C$8:$C$24,MATCH($C823,DATA_ASSET_CLASSIFICATION!$A$8:$A$24,0)),"Review"))</f>
        <v>Yes</v>
      </c>
      <c r="Q823" s="350" t="str">
        <f t="shared" ca="1" si="25"/>
        <v>OK</v>
      </c>
    </row>
    <row r="824" spans="1:17">
      <c r="A824" s="366" t="s">
        <v>2780</v>
      </c>
      <c r="B824" s="366" t="s">
        <v>231</v>
      </c>
      <c r="C824" s="348" t="str">
        <f>DATA_PROPERTY_MASTER!$A$6</f>
        <v>BLD_AC</v>
      </c>
      <c r="D824" s="380">
        <f>'00_PORTFOLIO ROLLUP'!S$12</f>
        <v>2039</v>
      </c>
      <c r="E824" s="366" t="s">
        <v>1683</v>
      </c>
      <c r="F824" s="366" t="s">
        <v>1697</v>
      </c>
      <c r="G824" s="348" t="str">
        <f>"'"&amp;$C824&amp;"'!$E$44:$Y$44"</f>
        <v>'BLD_AC'!$E$44:$Y$44</v>
      </c>
      <c r="H824" s="381">
        <f ca="1">IF(IFERROR(INDEX(DATA_PROPERTY_MASTER!$E$5:$E$21,MATCH($C824,DATA_PROPERTY_MASTER!$A$5:$A$21,0))="Yes",FALSE),IFERROR(INDEX(INDIRECT("'"&amp;$C824&amp;"'!$E$44:$Y$44"),1,MATCH($D824,INDIRECT("'"&amp;$C824&amp;"'!$E$12:$Y$12"),0)),0),0)</f>
        <v>4156.3581036480473</v>
      </c>
      <c r="I824" s="366" t="s">
        <v>1690</v>
      </c>
      <c r="J824" s="348" t="str">
        <f t="shared" ca="1" si="24"/>
        <v>OK</v>
      </c>
      <c r="K824" s="366" t="s">
        <v>1699</v>
      </c>
      <c r="L824" s="366" t="s">
        <v>2240</v>
      </c>
      <c r="M824" s="350" t="str">
        <f>IF($B824="Portfolio","Portfolio",IFERROR(INDEX(DATA_ASSET_CLASSIFICATION!$B$8:$B$24,MATCH($C824,DATA_ASSET_CLASSIFICATION!$A$8:$A$24,0)),"Review"))</f>
        <v>Antkiw Court</v>
      </c>
      <c r="N824" s="350" t="str">
        <f ca="1">IF($B824="Portfolio","Portfolio",IFERROR(INDEX(DATA_ASSET_CLASSIFICATION!$U$8:$U$24,MATCH($C824,DATA_ASSET_CLASSIFICATION!$A$8:$A$24,0)),"Review"))</f>
        <v>Stable</v>
      </c>
      <c r="O824" s="350" t="str">
        <f ca="1">IF($B824="Portfolio","Portfolio",IFERROR(INDEX(DATA_ASSET_CLASSIFICATION!$AB$8:$AB$13,MATCH($N824,DATA_ASSET_CLASSIFICATION!$AA$8:$AA$13,0)),"Review"))</f>
        <v>Bucket 2 · Legacy</v>
      </c>
      <c r="P824" s="350" t="str">
        <f>IF($B824="Portfolio","Portfolio",IFERROR(INDEX(DATA_ASSET_CLASSIFICATION!$C$8:$C$24,MATCH($C824,DATA_ASSET_CLASSIFICATION!$A$8:$A$24,0)),"Review"))</f>
        <v>Yes</v>
      </c>
      <c r="Q824" s="350" t="str">
        <f t="shared" ca="1" si="25"/>
        <v>OK</v>
      </c>
    </row>
    <row r="825" spans="1:17">
      <c r="A825" s="366" t="s">
        <v>2781</v>
      </c>
      <c r="B825" s="366" t="s">
        <v>231</v>
      </c>
      <c r="C825" s="348" t="str">
        <f>DATA_PROPERTY_MASTER!$A$6</f>
        <v>BLD_AC</v>
      </c>
      <c r="D825" s="380">
        <f>'00_PORTFOLIO ROLLUP'!S$12</f>
        <v>2039</v>
      </c>
      <c r="E825" s="366" t="s">
        <v>1683</v>
      </c>
      <c r="F825" s="366" t="s">
        <v>21</v>
      </c>
      <c r="G825" s="348" t="str">
        <f>"'"&amp;$C825&amp;"'!$E$45:$Y$45"</f>
        <v>'BLD_AC'!$E$45:$Y$45</v>
      </c>
      <c r="H825" s="381">
        <f ca="1">IF(IFERROR(INDEX(DATA_PROPERTY_MASTER!$E$5:$E$21,MATCH($C825,DATA_PROPERTY_MASTER!$A$5:$A$21,0))="Yes",FALSE),IFERROR(INDEX(INDIRECT("'"&amp;$C825&amp;"'!$E$45:$Y$45"),1,MATCH($D825,INDIRECT("'"&amp;$C825&amp;"'!$E$12:$Y$12"),0)),0),0)</f>
        <v>201656.01323688991</v>
      </c>
      <c r="I825" s="366" t="s">
        <v>1685</v>
      </c>
      <c r="J825" s="348" t="str">
        <f t="shared" ca="1" si="24"/>
        <v>OK</v>
      </c>
      <c r="K825" s="366" t="s">
        <v>1694</v>
      </c>
      <c r="L825" s="366" t="s">
        <v>2242</v>
      </c>
      <c r="M825" s="350" t="str">
        <f>IF($B825="Portfolio","Portfolio",IFERROR(INDEX(DATA_ASSET_CLASSIFICATION!$B$8:$B$24,MATCH($C825,DATA_ASSET_CLASSIFICATION!$A$8:$A$24,0)),"Review"))</f>
        <v>Antkiw Court</v>
      </c>
      <c r="N825" s="350" t="str">
        <f ca="1">IF($B825="Portfolio","Portfolio",IFERROR(INDEX(DATA_ASSET_CLASSIFICATION!$U$8:$U$24,MATCH($C825,DATA_ASSET_CLASSIFICATION!$A$8:$A$24,0)),"Review"))</f>
        <v>Stable</v>
      </c>
      <c r="O825" s="350" t="str">
        <f ca="1">IF($B825="Portfolio","Portfolio",IFERROR(INDEX(DATA_ASSET_CLASSIFICATION!$AB$8:$AB$13,MATCH($N825,DATA_ASSET_CLASSIFICATION!$AA$8:$AA$13,0)),"Review"))</f>
        <v>Bucket 2 · Legacy</v>
      </c>
      <c r="P825" s="350" t="str">
        <f>IF($B825="Portfolio","Portfolio",IFERROR(INDEX(DATA_ASSET_CLASSIFICATION!$C$8:$C$24,MATCH($C825,DATA_ASSET_CLASSIFICATION!$A$8:$A$24,0)),"Review"))</f>
        <v>Yes</v>
      </c>
      <c r="Q825" s="350" t="str">
        <f t="shared" ca="1" si="25"/>
        <v>OK</v>
      </c>
    </row>
    <row r="826" spans="1:17">
      <c r="A826" s="366" t="s">
        <v>2782</v>
      </c>
      <c r="B826" s="366" t="s">
        <v>231</v>
      </c>
      <c r="C826" s="348" t="str">
        <f>DATA_PROPERTY_MASTER!$A$6</f>
        <v>BLD_AC</v>
      </c>
      <c r="D826" s="380">
        <f>'00_PORTFOLIO ROLLUP'!S$12</f>
        <v>2039</v>
      </c>
      <c r="E826" s="366" t="s">
        <v>23</v>
      </c>
      <c r="F826" s="366" t="s">
        <v>23</v>
      </c>
      <c r="G826" s="348" t="str">
        <f>"'"&amp;$C826&amp;"'!$E$48:$Y$48"</f>
        <v>'BLD_AC'!$E$48:$Y$48</v>
      </c>
      <c r="H826" s="381">
        <f ca="1">IF(IFERROR(INDEX(DATA_PROPERTY_MASTER!$E$5:$E$21,MATCH($C826,DATA_PROPERTY_MASTER!$A$5:$A$21,0))="Yes",FALSE),IFERROR(INDEX(INDIRECT("'"&amp;$C826&amp;"'!$E$48:$Y$48"),1,MATCH($D826,INDIRECT("'"&amp;$C826&amp;"'!$E$12:$Y$12"),0)),0),0)</f>
        <v>54330.12</v>
      </c>
      <c r="I826" s="366" t="s">
        <v>1690</v>
      </c>
      <c r="J826" s="348" t="str">
        <f t="shared" ca="1" si="24"/>
        <v>OK</v>
      </c>
      <c r="K826" s="366" t="s">
        <v>1706</v>
      </c>
      <c r="L826" s="366" t="s">
        <v>2244</v>
      </c>
      <c r="M826" s="350" t="str">
        <f>IF($B826="Portfolio","Portfolio",IFERROR(INDEX(DATA_ASSET_CLASSIFICATION!$B$8:$B$24,MATCH($C826,DATA_ASSET_CLASSIFICATION!$A$8:$A$24,0)),"Review"))</f>
        <v>Antkiw Court</v>
      </c>
      <c r="N826" s="350" t="str">
        <f ca="1">IF($B826="Portfolio","Portfolio",IFERROR(INDEX(DATA_ASSET_CLASSIFICATION!$U$8:$U$24,MATCH($C826,DATA_ASSET_CLASSIFICATION!$A$8:$A$24,0)),"Review"))</f>
        <v>Stable</v>
      </c>
      <c r="O826" s="350" t="str">
        <f ca="1">IF($B826="Portfolio","Portfolio",IFERROR(INDEX(DATA_ASSET_CLASSIFICATION!$AB$8:$AB$13,MATCH($N826,DATA_ASSET_CLASSIFICATION!$AA$8:$AA$13,0)),"Review"))</f>
        <v>Bucket 2 · Legacy</v>
      </c>
      <c r="P826" s="350" t="str">
        <f>IF($B826="Portfolio","Portfolio",IFERROR(INDEX(DATA_ASSET_CLASSIFICATION!$C$8:$C$24,MATCH($C826,DATA_ASSET_CLASSIFICATION!$A$8:$A$24,0)),"Review"))</f>
        <v>Yes</v>
      </c>
      <c r="Q826" s="350" t="str">
        <f t="shared" ca="1" si="25"/>
        <v>OK</v>
      </c>
    </row>
    <row r="827" spans="1:17">
      <c r="A827" s="366" t="s">
        <v>2783</v>
      </c>
      <c r="B827" s="366" t="s">
        <v>231</v>
      </c>
      <c r="C827" s="348" t="str">
        <f>DATA_PROPERTY_MASTER!$A$6</f>
        <v>BLD_AC</v>
      </c>
      <c r="D827" s="380">
        <f>'00_PORTFOLIO ROLLUP'!S$12</f>
        <v>2039</v>
      </c>
      <c r="E827" s="366" t="s">
        <v>1683</v>
      </c>
      <c r="F827" s="366" t="s">
        <v>25</v>
      </c>
      <c r="G827" s="348" t="str">
        <f>"'"&amp;$C827&amp;"'!$E$52:$Y$52"</f>
        <v>'BLD_AC'!$E$52:$Y$52</v>
      </c>
      <c r="H827" s="381">
        <f ca="1">IF(IFERROR(INDEX(DATA_PROPERTY_MASTER!$E$5:$E$21,MATCH($C827,DATA_PROPERTY_MASTER!$A$5:$A$21,0))="Yes",FALSE),IFERROR(INDEX(INDIRECT("'"&amp;$C827&amp;"'!$E$52:$Y$52"),1,MATCH($D827,INDIRECT("'"&amp;$C827&amp;"'!$E$12:$Y$12"),0)),0),0)</f>
        <v>151482.25134053797</v>
      </c>
      <c r="I827" s="366" t="s">
        <v>1685</v>
      </c>
      <c r="J827" s="348" t="str">
        <f t="shared" ca="1" si="24"/>
        <v>OK</v>
      </c>
      <c r="K827" s="366" t="s">
        <v>1710</v>
      </c>
      <c r="L827" s="366" t="s">
        <v>2246</v>
      </c>
      <c r="M827" s="350" t="str">
        <f>IF($B827="Portfolio","Portfolio",IFERROR(INDEX(DATA_ASSET_CLASSIFICATION!$B$8:$B$24,MATCH($C827,DATA_ASSET_CLASSIFICATION!$A$8:$A$24,0)),"Review"))</f>
        <v>Antkiw Court</v>
      </c>
      <c r="N827" s="350" t="str">
        <f ca="1">IF($B827="Portfolio","Portfolio",IFERROR(INDEX(DATA_ASSET_CLASSIFICATION!$U$8:$U$24,MATCH($C827,DATA_ASSET_CLASSIFICATION!$A$8:$A$24,0)),"Review"))</f>
        <v>Stable</v>
      </c>
      <c r="O827" s="350" t="str">
        <f ca="1">IF($B827="Portfolio","Portfolio",IFERROR(INDEX(DATA_ASSET_CLASSIFICATION!$AB$8:$AB$13,MATCH($N827,DATA_ASSET_CLASSIFICATION!$AA$8:$AA$13,0)),"Review"))</f>
        <v>Bucket 2 · Legacy</v>
      </c>
      <c r="P827" s="350" t="str">
        <f>IF($B827="Portfolio","Portfolio",IFERROR(INDEX(DATA_ASSET_CLASSIFICATION!$C$8:$C$24,MATCH($C827,DATA_ASSET_CLASSIFICATION!$A$8:$A$24,0)),"Review"))</f>
        <v>Yes</v>
      </c>
      <c r="Q827" s="350" t="str">
        <f t="shared" ca="1" si="25"/>
        <v>OK</v>
      </c>
    </row>
    <row r="828" spans="1:17">
      <c r="A828" s="366" t="s">
        <v>2784</v>
      </c>
      <c r="B828" s="366" t="s">
        <v>231</v>
      </c>
      <c r="C828" s="348" t="str">
        <f>DATA_PROPERTY_MASTER!$A$6</f>
        <v>BLD_AC</v>
      </c>
      <c r="D828" s="380">
        <f>'00_PORTFOLIO ROLLUP'!S$12</f>
        <v>2039</v>
      </c>
      <c r="E828" s="366" t="s">
        <v>1683</v>
      </c>
      <c r="F828" s="366" t="s">
        <v>27</v>
      </c>
      <c r="G828" s="348" t="str">
        <f>"'"&amp;$C828&amp;"'!$E$54:$Y$54"</f>
        <v>'BLD_AC'!$E$54:$Y$54</v>
      </c>
      <c r="H828" s="381">
        <f ca="1">IF(IFERROR(INDEX(DATA_PROPERTY_MASTER!$E$5:$E$21,MATCH($C828,DATA_PROPERTY_MASTER!$A$5:$A$21,0))="Yes",FALSE),IFERROR(INDEX(INDIRECT("'"&amp;$C828&amp;"'!$E$54:$Y$54"),1,MATCH($D828,INDIRECT("'"&amp;$C828&amp;"'!$E$12:$Y$12"),0)),0),0)</f>
        <v>90889.350804322778</v>
      </c>
      <c r="I828" s="366" t="s">
        <v>1690</v>
      </c>
      <c r="J828" s="348" t="str">
        <f t="shared" ca="1" si="24"/>
        <v>OK</v>
      </c>
      <c r="K828" s="366" t="s">
        <v>1714</v>
      </c>
      <c r="L828" s="366" t="s">
        <v>2248</v>
      </c>
      <c r="M828" s="350" t="str">
        <f>IF($B828="Portfolio","Portfolio",IFERROR(INDEX(DATA_ASSET_CLASSIFICATION!$B$8:$B$24,MATCH($C828,DATA_ASSET_CLASSIFICATION!$A$8:$A$24,0)),"Review"))</f>
        <v>Antkiw Court</v>
      </c>
      <c r="N828" s="350" t="str">
        <f ca="1">IF($B828="Portfolio","Portfolio",IFERROR(INDEX(DATA_ASSET_CLASSIFICATION!$U$8:$U$24,MATCH($C828,DATA_ASSET_CLASSIFICATION!$A$8:$A$24,0)),"Review"))</f>
        <v>Stable</v>
      </c>
      <c r="O828" s="350" t="str">
        <f ca="1">IF($B828="Portfolio","Portfolio",IFERROR(INDEX(DATA_ASSET_CLASSIFICATION!$AB$8:$AB$13,MATCH($N828,DATA_ASSET_CLASSIFICATION!$AA$8:$AA$13,0)),"Review"))</f>
        <v>Bucket 2 · Legacy</v>
      </c>
      <c r="P828" s="350" t="str">
        <f>IF($B828="Portfolio","Portfolio",IFERROR(INDEX(DATA_ASSET_CLASSIFICATION!$C$8:$C$24,MATCH($C828,DATA_ASSET_CLASSIFICATION!$A$8:$A$24,0)),"Review"))</f>
        <v>Yes</v>
      </c>
      <c r="Q828" s="350" t="str">
        <f t="shared" ca="1" si="25"/>
        <v>OK</v>
      </c>
    </row>
    <row r="829" spans="1:17">
      <c r="A829" s="366" t="s">
        <v>2785</v>
      </c>
      <c r="B829" s="366" t="s">
        <v>231</v>
      </c>
      <c r="C829" s="348" t="str">
        <f>DATA_PROPERTY_MASTER!$A$6</f>
        <v>BLD_AC</v>
      </c>
      <c r="D829" s="380">
        <f>'00_PORTFOLIO ROLLUP'!S$12</f>
        <v>2039</v>
      </c>
      <c r="E829" s="366" t="s">
        <v>1683</v>
      </c>
      <c r="F829" s="366" t="s">
        <v>29</v>
      </c>
      <c r="G829" s="348" t="str">
        <f>"'"&amp;$C829&amp;"'!$E$56:$Y$56"</f>
        <v>'BLD_AC'!$E$56:$Y$56</v>
      </c>
      <c r="H829" s="381">
        <f ca="1">IF(IFERROR(INDEX(DATA_PROPERTY_MASTER!$E$5:$E$21,MATCH($C829,DATA_PROPERTY_MASTER!$A$5:$A$21,0))="Yes",FALSE),IFERROR(INDEX(INDIRECT("'"&amp;$C829&amp;"'!$E$56:$Y$56"),1,MATCH($D829,INDIRECT("'"&amp;$C829&amp;"'!$E$12:$Y$12"),0)),0),0)</f>
        <v>60592.900536215195</v>
      </c>
      <c r="I829" s="366" t="s">
        <v>1685</v>
      </c>
      <c r="J829" s="348" t="str">
        <f t="shared" ca="1" si="24"/>
        <v>OK</v>
      </c>
      <c r="K829" s="366" t="s">
        <v>1718</v>
      </c>
      <c r="L829" s="366" t="s">
        <v>2250</v>
      </c>
      <c r="M829" s="350" t="str">
        <f>IF($B829="Portfolio","Portfolio",IFERROR(INDEX(DATA_ASSET_CLASSIFICATION!$B$8:$B$24,MATCH($C829,DATA_ASSET_CLASSIFICATION!$A$8:$A$24,0)),"Review"))</f>
        <v>Antkiw Court</v>
      </c>
      <c r="N829" s="350" t="str">
        <f ca="1">IF($B829="Portfolio","Portfolio",IFERROR(INDEX(DATA_ASSET_CLASSIFICATION!$U$8:$U$24,MATCH($C829,DATA_ASSET_CLASSIFICATION!$A$8:$A$24,0)),"Review"))</f>
        <v>Stable</v>
      </c>
      <c r="O829" s="350" t="str">
        <f ca="1">IF($B829="Portfolio","Portfolio",IFERROR(INDEX(DATA_ASSET_CLASSIFICATION!$AB$8:$AB$13,MATCH($N829,DATA_ASSET_CLASSIFICATION!$AA$8:$AA$13,0)),"Review"))</f>
        <v>Bucket 2 · Legacy</v>
      </c>
      <c r="P829" s="350" t="str">
        <f>IF($B829="Portfolio","Portfolio",IFERROR(INDEX(DATA_ASSET_CLASSIFICATION!$C$8:$C$24,MATCH($C829,DATA_ASSET_CLASSIFICATION!$A$8:$A$24,0)),"Review"))</f>
        <v>Yes</v>
      </c>
      <c r="Q829" s="350" t="str">
        <f t="shared" ca="1" si="25"/>
        <v>OK</v>
      </c>
    </row>
    <row r="830" spans="1:17">
      <c r="A830" s="366" t="s">
        <v>2786</v>
      </c>
      <c r="B830" s="366" t="s">
        <v>231</v>
      </c>
      <c r="C830" s="348" t="str">
        <f>DATA_PROPERTY_MASTER!$A$6</f>
        <v>BLD_AC</v>
      </c>
      <c r="D830" s="380">
        <f>'00_PORTFOLIO ROLLUP'!S$12</f>
        <v>2039</v>
      </c>
      <c r="E830" s="366" t="s">
        <v>1721</v>
      </c>
      <c r="F830" s="366" t="s">
        <v>31</v>
      </c>
      <c r="G830" s="348" t="str">
        <f>"'"&amp;$C830&amp;"'!$E$61:$Y$61"</f>
        <v>'BLD_AC'!$E$61:$Y$61</v>
      </c>
      <c r="H830" s="381">
        <f ca="1">IF(IFERROR(INDEX(DATA_PROPERTY_MASTER!$E$5:$E$21,MATCH($C830,DATA_PROPERTY_MASTER!$A$5:$A$21,0))="Yes",FALSE),IFERROR(INDEX(INDIRECT("'"&amp;$C830&amp;"'!$E$61:$Y$61"),1,MATCH($D830,INDIRECT("'"&amp;$C830&amp;"'!$E$12:$Y$12"),0)),0),0)</f>
        <v>0</v>
      </c>
      <c r="I830" s="366" t="s">
        <v>1690</v>
      </c>
      <c r="J830" s="348" t="str">
        <f t="shared" ca="1" si="24"/>
        <v>OK</v>
      </c>
      <c r="K830" s="366" t="s">
        <v>1723</v>
      </c>
      <c r="L830" s="366" t="s">
        <v>2252</v>
      </c>
      <c r="M830" s="350" t="str">
        <f>IF($B830="Portfolio","Portfolio",IFERROR(INDEX(DATA_ASSET_CLASSIFICATION!$B$8:$B$24,MATCH($C830,DATA_ASSET_CLASSIFICATION!$A$8:$A$24,0)),"Review"))</f>
        <v>Antkiw Court</v>
      </c>
      <c r="N830" s="350" t="str">
        <f ca="1">IF($B830="Portfolio","Portfolio",IFERROR(INDEX(DATA_ASSET_CLASSIFICATION!$U$8:$U$24,MATCH($C830,DATA_ASSET_CLASSIFICATION!$A$8:$A$24,0)),"Review"))</f>
        <v>Stable</v>
      </c>
      <c r="O830" s="350" t="str">
        <f ca="1">IF($B830="Portfolio","Portfolio",IFERROR(INDEX(DATA_ASSET_CLASSIFICATION!$AB$8:$AB$13,MATCH($N830,DATA_ASSET_CLASSIFICATION!$AA$8:$AA$13,0)),"Review"))</f>
        <v>Bucket 2 · Legacy</v>
      </c>
      <c r="P830" s="350" t="str">
        <f>IF($B830="Portfolio","Portfolio",IFERROR(INDEX(DATA_ASSET_CLASSIFICATION!$C$8:$C$24,MATCH($C830,DATA_ASSET_CLASSIFICATION!$A$8:$A$24,0)),"Review"))</f>
        <v>Yes</v>
      </c>
      <c r="Q830" s="350" t="str">
        <f t="shared" ca="1" si="25"/>
        <v>OK</v>
      </c>
    </row>
    <row r="831" spans="1:17">
      <c r="A831" s="366" t="s">
        <v>2787</v>
      </c>
      <c r="B831" s="366" t="s">
        <v>231</v>
      </c>
      <c r="C831" s="348" t="str">
        <f>DATA_PROPERTY_MASTER!$A$6</f>
        <v>BLD_AC</v>
      </c>
      <c r="D831" s="380">
        <f>'00_PORTFOLIO ROLLUP'!S$12</f>
        <v>2039</v>
      </c>
      <c r="E831" s="366" t="s">
        <v>1721</v>
      </c>
      <c r="F831" s="366" t="s">
        <v>33</v>
      </c>
      <c r="G831" s="348" t="str">
        <f>"'"&amp;$C831&amp;"'!$E$62:$Y$62"</f>
        <v>'BLD_AC'!$E$62:$Y$62</v>
      </c>
      <c r="H831" s="381">
        <f ca="1">IF(IFERROR(INDEX(DATA_PROPERTY_MASTER!$E$5:$E$21,MATCH($C831,DATA_PROPERTY_MASTER!$A$5:$A$21,0))="Yes",FALSE),IFERROR(INDEX(INDIRECT("'"&amp;$C831&amp;"'!$E$62:$Y$62"),1,MATCH($D831,INDIRECT("'"&amp;$C831&amp;"'!$E$12:$Y$12"),0)),0),0)</f>
        <v>0</v>
      </c>
      <c r="I831" s="366" t="s">
        <v>1685</v>
      </c>
      <c r="J831" s="348" t="str">
        <f t="shared" ca="1" si="24"/>
        <v>OK</v>
      </c>
      <c r="K831" s="366" t="s">
        <v>1727</v>
      </c>
      <c r="L831" s="366" t="s">
        <v>2254</v>
      </c>
      <c r="M831" s="350" t="str">
        <f>IF($B831="Portfolio","Portfolio",IFERROR(INDEX(DATA_ASSET_CLASSIFICATION!$B$8:$B$24,MATCH($C831,DATA_ASSET_CLASSIFICATION!$A$8:$A$24,0)),"Review"))</f>
        <v>Antkiw Court</v>
      </c>
      <c r="N831" s="350" t="str">
        <f ca="1">IF($B831="Portfolio","Portfolio",IFERROR(INDEX(DATA_ASSET_CLASSIFICATION!$U$8:$U$24,MATCH($C831,DATA_ASSET_CLASSIFICATION!$A$8:$A$24,0)),"Review"))</f>
        <v>Stable</v>
      </c>
      <c r="O831" s="350" t="str">
        <f ca="1">IF($B831="Portfolio","Portfolio",IFERROR(INDEX(DATA_ASSET_CLASSIFICATION!$AB$8:$AB$13,MATCH($N831,DATA_ASSET_CLASSIFICATION!$AA$8:$AA$13,0)),"Review"))</f>
        <v>Bucket 2 · Legacy</v>
      </c>
      <c r="P831" s="350" t="str">
        <f>IF($B831="Portfolio","Portfolio",IFERROR(INDEX(DATA_ASSET_CLASSIFICATION!$C$8:$C$24,MATCH($C831,DATA_ASSET_CLASSIFICATION!$A$8:$A$24,0)),"Review"))</f>
        <v>Yes</v>
      </c>
      <c r="Q831" s="350" t="str">
        <f t="shared" ca="1" si="25"/>
        <v>OK</v>
      </c>
    </row>
    <row r="832" spans="1:17">
      <c r="A832" s="366" t="s">
        <v>2788</v>
      </c>
      <c r="B832" s="366" t="s">
        <v>231</v>
      </c>
      <c r="C832" s="348" t="str">
        <f>DATA_PROPERTY_MASTER!$A$6</f>
        <v>BLD_AC</v>
      </c>
      <c r="D832" s="380">
        <f>'00_PORTFOLIO ROLLUP'!S$12</f>
        <v>2039</v>
      </c>
      <c r="E832" s="366" t="s">
        <v>1721</v>
      </c>
      <c r="F832" s="366" t="s">
        <v>35</v>
      </c>
      <c r="G832" s="348" t="str">
        <f>"'"&amp;$C832&amp;"'!$E$63:$Y$63"</f>
        <v>'BLD_AC'!$E$63:$Y$63</v>
      </c>
      <c r="H832" s="381">
        <f ca="1">IF(IFERROR(INDEX(DATA_PROPERTY_MASTER!$E$5:$E$21,MATCH($C832,DATA_PROPERTY_MASTER!$A$5:$A$21,0))="Yes",FALSE),IFERROR(INDEX(INDIRECT("'"&amp;$C832&amp;"'!$E$63:$Y$63"),1,MATCH($D832,INDIRECT("'"&amp;$C832&amp;"'!$E$12:$Y$12"),0)),0),0)</f>
        <v>0</v>
      </c>
      <c r="I832" s="366" t="s">
        <v>1731</v>
      </c>
      <c r="J832" s="348" t="str">
        <f t="shared" ca="1" si="24"/>
        <v>OK</v>
      </c>
      <c r="K832" s="366" t="s">
        <v>1732</v>
      </c>
      <c r="L832" s="366" t="s">
        <v>2256</v>
      </c>
      <c r="M832" s="350" t="str">
        <f>IF($B832="Portfolio","Portfolio",IFERROR(INDEX(DATA_ASSET_CLASSIFICATION!$B$8:$B$24,MATCH($C832,DATA_ASSET_CLASSIFICATION!$A$8:$A$24,0)),"Review"))</f>
        <v>Antkiw Court</v>
      </c>
      <c r="N832" s="350" t="str">
        <f ca="1">IF($B832="Portfolio","Portfolio",IFERROR(INDEX(DATA_ASSET_CLASSIFICATION!$U$8:$U$24,MATCH($C832,DATA_ASSET_CLASSIFICATION!$A$8:$A$24,0)),"Review"))</f>
        <v>Stable</v>
      </c>
      <c r="O832" s="350" t="str">
        <f ca="1">IF($B832="Portfolio","Portfolio",IFERROR(INDEX(DATA_ASSET_CLASSIFICATION!$AB$8:$AB$13,MATCH($N832,DATA_ASSET_CLASSIFICATION!$AA$8:$AA$13,0)),"Review"))</f>
        <v>Bucket 2 · Legacy</v>
      </c>
      <c r="P832" s="350" t="str">
        <f>IF($B832="Portfolio","Portfolio",IFERROR(INDEX(DATA_ASSET_CLASSIFICATION!$C$8:$C$24,MATCH($C832,DATA_ASSET_CLASSIFICATION!$A$8:$A$24,0)),"Review"))</f>
        <v>Yes</v>
      </c>
      <c r="Q832" s="350" t="str">
        <f t="shared" ca="1" si="25"/>
        <v>OK</v>
      </c>
    </row>
    <row r="833" spans="1:17">
      <c r="A833" s="366" t="s">
        <v>2789</v>
      </c>
      <c r="B833" s="366" t="s">
        <v>231</v>
      </c>
      <c r="C833" s="348" t="str">
        <f>DATA_PROPERTY_MASTER!$A$6</f>
        <v>BLD_AC</v>
      </c>
      <c r="D833" s="380">
        <f>'00_PORTFOLIO ROLLUP'!S$12</f>
        <v>2039</v>
      </c>
      <c r="E833" s="366" t="s">
        <v>1721</v>
      </c>
      <c r="F833" s="366" t="s">
        <v>37</v>
      </c>
      <c r="G833" s="348" t="str">
        <f>"'"&amp;$C833&amp;"'!$E$63:$Y$63"</f>
        <v>'BLD_AC'!$E$63:$Y$63</v>
      </c>
      <c r="H833" s="381">
        <f ca="1">IF(IFERROR(INDEX(DATA_PROPERTY_MASTER!$E$5:$E$21,MATCH($C833,DATA_PROPERTY_MASTER!$A$5:$A$21,0))="Yes",FALSE),MAX(IFERROR(INDEX(INDIRECT("'"&amp;$C833&amp;"'!$E$63:$Y$63"),1,MATCH($D833,INDIRECT("'"&amp;$C833&amp;"'!$E$12:$Y$12"),0)),0),0),0)</f>
        <v>0</v>
      </c>
      <c r="I833" s="366" t="s">
        <v>1685</v>
      </c>
      <c r="J833" s="348" t="str">
        <f t="shared" ca="1" si="24"/>
        <v>OK</v>
      </c>
      <c r="K833" s="366" t="s">
        <v>1735</v>
      </c>
      <c r="L833" s="366" t="s">
        <v>2258</v>
      </c>
      <c r="M833" s="350" t="str">
        <f>IF($B833="Portfolio","Portfolio",IFERROR(INDEX(DATA_ASSET_CLASSIFICATION!$B$8:$B$24,MATCH($C833,DATA_ASSET_CLASSIFICATION!$A$8:$A$24,0)),"Review"))</f>
        <v>Antkiw Court</v>
      </c>
      <c r="N833" s="350" t="str">
        <f ca="1">IF($B833="Portfolio","Portfolio",IFERROR(INDEX(DATA_ASSET_CLASSIFICATION!$U$8:$U$24,MATCH($C833,DATA_ASSET_CLASSIFICATION!$A$8:$A$24,0)),"Review"))</f>
        <v>Stable</v>
      </c>
      <c r="O833" s="350" t="str">
        <f ca="1">IF($B833="Portfolio","Portfolio",IFERROR(INDEX(DATA_ASSET_CLASSIFICATION!$AB$8:$AB$13,MATCH($N833,DATA_ASSET_CLASSIFICATION!$AA$8:$AA$13,0)),"Review"))</f>
        <v>Bucket 2 · Legacy</v>
      </c>
      <c r="P833" s="350" t="str">
        <f>IF($B833="Portfolio","Portfolio",IFERROR(INDEX(DATA_ASSET_CLASSIFICATION!$C$8:$C$24,MATCH($C833,DATA_ASSET_CLASSIFICATION!$A$8:$A$24,0)),"Review"))</f>
        <v>Yes</v>
      </c>
      <c r="Q833" s="350" t="str">
        <f t="shared" ca="1" si="25"/>
        <v>OK</v>
      </c>
    </row>
    <row r="834" spans="1:17">
      <c r="A834" s="366" t="s">
        <v>2790</v>
      </c>
      <c r="B834" s="366" t="s">
        <v>231</v>
      </c>
      <c r="C834" s="348" t="str">
        <f>DATA_PROPERTY_MASTER!$A$6</f>
        <v>BLD_AC</v>
      </c>
      <c r="D834" s="380">
        <f>'00_PORTFOLIO ROLLUP'!S$12</f>
        <v>2039</v>
      </c>
      <c r="E834" s="366" t="s">
        <v>1721</v>
      </c>
      <c r="F834" s="366" t="s">
        <v>39</v>
      </c>
      <c r="G834" s="348" t="str">
        <f>"'"&amp;$C834&amp;"'!$E$63:$Y$63"</f>
        <v>'BLD_AC'!$E$63:$Y$63</v>
      </c>
      <c r="H834" s="381">
        <f ca="1">IF(IFERROR(INDEX(DATA_PROPERTY_MASTER!$E$5:$E$21,MATCH($C834,DATA_PROPERTY_MASTER!$A$5:$A$21,0))="Yes",FALSE),MAX(-IFERROR(INDEX(INDIRECT("'"&amp;$C834&amp;"'!$E$63:$Y$63"),1,MATCH($D834,INDIRECT("'"&amp;$C834&amp;"'!$E$12:$Y$12"),0)),0),0),0)</f>
        <v>0</v>
      </c>
      <c r="I834" s="366" t="s">
        <v>1690</v>
      </c>
      <c r="J834" s="348" t="str">
        <f t="shared" ca="1" si="24"/>
        <v>OK</v>
      </c>
      <c r="K834" s="366" t="s">
        <v>1738</v>
      </c>
      <c r="L834" s="366" t="s">
        <v>2260</v>
      </c>
      <c r="M834" s="350" t="str">
        <f>IF($B834="Portfolio","Portfolio",IFERROR(INDEX(DATA_ASSET_CLASSIFICATION!$B$8:$B$24,MATCH($C834,DATA_ASSET_CLASSIFICATION!$A$8:$A$24,0)),"Review"))</f>
        <v>Antkiw Court</v>
      </c>
      <c r="N834" s="350" t="str">
        <f ca="1">IF($B834="Portfolio","Portfolio",IFERROR(INDEX(DATA_ASSET_CLASSIFICATION!$U$8:$U$24,MATCH($C834,DATA_ASSET_CLASSIFICATION!$A$8:$A$24,0)),"Review"))</f>
        <v>Stable</v>
      </c>
      <c r="O834" s="350" t="str">
        <f ca="1">IF($B834="Portfolio","Portfolio",IFERROR(INDEX(DATA_ASSET_CLASSIFICATION!$AB$8:$AB$13,MATCH($N834,DATA_ASSET_CLASSIFICATION!$AA$8:$AA$13,0)),"Review"))</f>
        <v>Bucket 2 · Legacy</v>
      </c>
      <c r="P834" s="350" t="str">
        <f>IF($B834="Portfolio","Portfolio",IFERROR(INDEX(DATA_ASSET_CLASSIFICATION!$C$8:$C$24,MATCH($C834,DATA_ASSET_CLASSIFICATION!$A$8:$A$24,0)),"Review"))</f>
        <v>Yes</v>
      </c>
      <c r="Q834" s="350" t="str">
        <f t="shared" ca="1" si="25"/>
        <v>OK</v>
      </c>
    </row>
    <row r="835" spans="1:17">
      <c r="A835" s="366" t="s">
        <v>2791</v>
      </c>
      <c r="B835" s="366" t="s">
        <v>231</v>
      </c>
      <c r="C835" s="348" t="str">
        <f>DATA_PROPERTY_MASTER!$A$6</f>
        <v>BLD_AC</v>
      </c>
      <c r="D835" s="380">
        <f>'00_PORTFOLIO ROLLUP'!S$12</f>
        <v>2039</v>
      </c>
      <c r="E835" s="366" t="s">
        <v>1741</v>
      </c>
      <c r="F835" s="366" t="s">
        <v>41</v>
      </c>
      <c r="G835" s="348" t="str">
        <f>"'"&amp;$C835&amp;"'!rows 56 + positive row 63"</f>
        <v>'BLD_AC'!rows 56 + positive row 63</v>
      </c>
      <c r="H835" s="381">
        <f ca="1">IF(IFERROR(INDEX(DATA_PROPERTY_MASTER!$E$5:$E$21,MATCH($C835,DATA_PROPERTY_MASTER!$A$5:$A$21,0))="Yes",FALSE),IFERROR(INDEX(INDIRECT("'"&amp;$C835&amp;"'!$E$56:$Y$56"),1,MATCH($D835,INDIRECT("'"&amp;$C835&amp;"'!$E$12:$Y$12"),0)),0)+MAX(IFERROR(INDEX(INDIRECT("'"&amp;$C835&amp;"'!$E$63:$Y$63"),1,MATCH($D835,INDIRECT("'"&amp;$C835&amp;"'!$E$12:$Y$12"),0)),0),0),0)</f>
        <v>60592.900536215195</v>
      </c>
      <c r="I835" s="366" t="s">
        <v>1685</v>
      </c>
      <c r="J835" s="348" t="str">
        <f t="shared" ca="1" si="24"/>
        <v>OK</v>
      </c>
      <c r="K835" s="366" t="s">
        <v>1742</v>
      </c>
      <c r="L835" s="366" t="s">
        <v>2262</v>
      </c>
      <c r="M835" s="350" t="str">
        <f>IF($B835="Portfolio","Portfolio",IFERROR(INDEX(DATA_ASSET_CLASSIFICATION!$B$8:$B$24,MATCH($C835,DATA_ASSET_CLASSIFICATION!$A$8:$A$24,0)),"Review"))</f>
        <v>Antkiw Court</v>
      </c>
      <c r="N835" s="350" t="str">
        <f ca="1">IF($B835="Portfolio","Portfolio",IFERROR(INDEX(DATA_ASSET_CLASSIFICATION!$U$8:$U$24,MATCH($C835,DATA_ASSET_CLASSIFICATION!$A$8:$A$24,0)),"Review"))</f>
        <v>Stable</v>
      </c>
      <c r="O835" s="350" t="str">
        <f ca="1">IF($B835="Portfolio","Portfolio",IFERROR(INDEX(DATA_ASSET_CLASSIFICATION!$AB$8:$AB$13,MATCH($N835,DATA_ASSET_CLASSIFICATION!$AA$8:$AA$13,0)),"Review"))</f>
        <v>Bucket 2 · Legacy</v>
      </c>
      <c r="P835" s="350" t="str">
        <f>IF($B835="Portfolio","Portfolio",IFERROR(INDEX(DATA_ASSET_CLASSIFICATION!$C$8:$C$24,MATCH($C835,DATA_ASSET_CLASSIFICATION!$A$8:$A$24,0)),"Review"))</f>
        <v>Yes</v>
      </c>
      <c r="Q835" s="350" t="str">
        <f t="shared" ca="1" si="25"/>
        <v>OK</v>
      </c>
    </row>
    <row r="836" spans="1:17">
      <c r="A836" s="366" t="s">
        <v>2792</v>
      </c>
      <c r="B836" s="366" t="s">
        <v>231</v>
      </c>
      <c r="C836" s="348" t="str">
        <f>DATA_PROPERTY_MASTER!$A$6</f>
        <v>BLD_AC</v>
      </c>
      <c r="D836" s="380">
        <f>'00_PORTFOLIO ROLLUP'!S$12</f>
        <v>2039</v>
      </c>
      <c r="E836" s="366" t="s">
        <v>1741</v>
      </c>
      <c r="F836" s="366" t="s">
        <v>43</v>
      </c>
      <c r="G836" s="348" t="str">
        <f>"'"&amp;$C836&amp;"'!$E$68:$Y$68"</f>
        <v>'BLD_AC'!$E$68:$Y$68</v>
      </c>
      <c r="H836" s="381">
        <f ca="1">IF(IFERROR(INDEX(DATA_PROPERTY_MASTER!$E$5:$E$21,MATCH($C836,DATA_PROPERTY_MASTER!$A$5:$A$21,0))="Yes",FALSE),IFERROR(INDEX(INDIRECT("'"&amp;$C836&amp;"'!$E$68:$Y$68"),1,MATCH($D836,INDIRECT("'"&amp;$C836&amp;"'!$E$12:$Y$12"),0)),0),0)</f>
        <v>60592.900536215195</v>
      </c>
      <c r="I836" s="366" t="s">
        <v>1731</v>
      </c>
      <c r="J836" s="348" t="str">
        <f t="shared" ca="1" si="24"/>
        <v>OK</v>
      </c>
      <c r="K836" s="366" t="s">
        <v>1746</v>
      </c>
      <c r="L836" s="366" t="s">
        <v>2264</v>
      </c>
      <c r="M836" s="350" t="str">
        <f>IF($B836="Portfolio","Portfolio",IFERROR(INDEX(DATA_ASSET_CLASSIFICATION!$B$8:$B$24,MATCH($C836,DATA_ASSET_CLASSIFICATION!$A$8:$A$24,0)),"Review"))</f>
        <v>Antkiw Court</v>
      </c>
      <c r="N836" s="350" t="str">
        <f ca="1">IF($B836="Portfolio","Portfolio",IFERROR(INDEX(DATA_ASSET_CLASSIFICATION!$U$8:$U$24,MATCH($C836,DATA_ASSET_CLASSIFICATION!$A$8:$A$24,0)),"Review"))</f>
        <v>Stable</v>
      </c>
      <c r="O836" s="350" t="str">
        <f ca="1">IF($B836="Portfolio","Portfolio",IFERROR(INDEX(DATA_ASSET_CLASSIFICATION!$AB$8:$AB$13,MATCH($N836,DATA_ASSET_CLASSIFICATION!$AA$8:$AA$13,0)),"Review"))</f>
        <v>Bucket 2 · Legacy</v>
      </c>
      <c r="P836" s="350" t="str">
        <f>IF($B836="Portfolio","Portfolio",IFERROR(INDEX(DATA_ASSET_CLASSIFICATION!$C$8:$C$24,MATCH($C836,DATA_ASSET_CLASSIFICATION!$A$8:$A$24,0)),"Review"))</f>
        <v>Yes</v>
      </c>
      <c r="Q836" s="350" t="str">
        <f t="shared" ca="1" si="25"/>
        <v>OK</v>
      </c>
    </row>
    <row r="837" spans="1:17">
      <c r="A837" s="366" t="s">
        <v>2793</v>
      </c>
      <c r="B837" s="366" t="s">
        <v>231</v>
      </c>
      <c r="C837" s="348" t="str">
        <f>DATA_PROPERTY_MASTER!$A$6</f>
        <v>BLD_AC</v>
      </c>
      <c r="D837" s="380">
        <f>'00_PORTFOLIO ROLLUP'!S$12</f>
        <v>2039</v>
      </c>
      <c r="E837" s="366" t="s">
        <v>1741</v>
      </c>
      <c r="F837" s="366" t="s">
        <v>1749</v>
      </c>
      <c r="G837" s="348" t="str">
        <f>"'"&amp;$C837&amp;"'!rows 56, 63, 68"</f>
        <v>'BLD_AC'!rows 56, 63, 68</v>
      </c>
      <c r="H837" s="381">
        <f ca="1">IF(IFERROR(INDEX(DATA_PROPERTY_MASTER!$E$5:$E$21,MATCH($C837,DATA_PROPERTY_MASTER!$A$5:$A$21,0))="Yes",FALSE),(IFERROR(INDEX(INDIRECT("'"&amp;$C837&amp;"'!$E$56:$Y$56"),1,MATCH($D837,INDIRECT("'"&amp;$C837&amp;"'!$E$12:$Y$12"),0)),0)+MAX(IFERROR(INDEX(INDIRECT("'"&amp;$C837&amp;"'!$E$63:$Y$63"),1,MATCH($D837,INDIRECT("'"&amp;$C837&amp;"'!$E$12:$Y$12"),0)),0),0))-(IFERROR(INDEX(INDIRECT("'"&amp;$C837&amp;"'!$E$68:$Y$68"),1,MATCH($D837,INDIRECT("'"&amp;$C837&amp;"'!$E$12:$Y$12"),0)),0)),0)</f>
        <v>0</v>
      </c>
      <c r="I837" s="366" t="s">
        <v>1750</v>
      </c>
      <c r="J837" s="348" t="str">
        <f t="shared" ref="J837:J900" ca="1" si="26">IF($F837="Residual Funding Gap",IF($H837&gt;0,"Funding Gap","OK"),IF(AND($F837="Net Refinance Position",$H837&lt;0),"Negative net refi position","OK"))</f>
        <v>OK</v>
      </c>
      <c r="K837" s="366" t="s">
        <v>1751</v>
      </c>
      <c r="L837" s="366" t="s">
        <v>2266</v>
      </c>
      <c r="M837" s="350" t="str">
        <f>IF($B837="Portfolio","Portfolio",IFERROR(INDEX(DATA_ASSET_CLASSIFICATION!$B$8:$B$24,MATCH($C837,DATA_ASSET_CLASSIFICATION!$A$8:$A$24,0)),"Review"))</f>
        <v>Antkiw Court</v>
      </c>
      <c r="N837" s="350" t="str">
        <f ca="1">IF($B837="Portfolio","Portfolio",IFERROR(INDEX(DATA_ASSET_CLASSIFICATION!$U$8:$U$24,MATCH($C837,DATA_ASSET_CLASSIFICATION!$A$8:$A$24,0)),"Review"))</f>
        <v>Stable</v>
      </c>
      <c r="O837" s="350" t="str">
        <f ca="1">IF($B837="Portfolio","Portfolio",IFERROR(INDEX(DATA_ASSET_CLASSIFICATION!$AB$8:$AB$13,MATCH($N837,DATA_ASSET_CLASSIFICATION!$AA$8:$AA$13,0)),"Review"))</f>
        <v>Bucket 2 · Legacy</v>
      </c>
      <c r="P837" s="350" t="str">
        <f>IF($B837="Portfolio","Portfolio",IFERROR(INDEX(DATA_ASSET_CLASSIFICATION!$C$8:$C$24,MATCH($C837,DATA_ASSET_CLASSIFICATION!$A$8:$A$24,0)),"Review"))</f>
        <v>Yes</v>
      </c>
      <c r="Q837" s="350" t="str">
        <f t="shared" ref="Q837:Q900" ca="1" si="27">IF(AND($B837="Property",$F837="Residual Funding Gap",$H837&gt;0),"Property Funding Gap",IF($J837&lt;&gt;"OK",$J837,"OK"))</f>
        <v>OK</v>
      </c>
    </row>
    <row r="838" spans="1:17">
      <c r="A838" s="366" t="s">
        <v>2794</v>
      </c>
      <c r="B838" s="366" t="s">
        <v>231</v>
      </c>
      <c r="C838" s="348" t="str">
        <f>DATA_PROPERTY_MASTER!$A$6</f>
        <v>BLD_AC</v>
      </c>
      <c r="D838" s="380">
        <f>'00_PORTFOLIO ROLLUP'!T$12</f>
        <v>2040</v>
      </c>
      <c r="E838" s="366" t="s">
        <v>1683</v>
      </c>
      <c r="F838" s="366" t="s">
        <v>341</v>
      </c>
      <c r="G838" s="348" t="str">
        <f>"'"&amp;$C838&amp;"'!$E$24:$Y$24"</f>
        <v>'BLD_AC'!$E$24:$Y$24</v>
      </c>
      <c r="H838" s="381">
        <f ca="1">IF(IFERROR(INDEX(DATA_PROPERTY_MASTER!$E$5:$E$21,MATCH($C838,DATA_PROPERTY_MASTER!$A$5:$A$21,0))="Yes",FALSE),IFERROR(INDEX(INDIRECT("'"&amp;$C838&amp;"'!$E$24:$Y$24"),1,MATCH($D838,INDIRECT("'"&amp;$C838&amp;"'!$E$12:$Y$12"),0)),0),0)</f>
        <v>457246.27290397009</v>
      </c>
      <c r="I838" s="366" t="s">
        <v>1685</v>
      </c>
      <c r="J838" s="348" t="str">
        <f t="shared" ca="1" si="26"/>
        <v>OK</v>
      </c>
      <c r="K838" s="366" t="s">
        <v>1686</v>
      </c>
      <c r="L838" s="366" t="s">
        <v>2234</v>
      </c>
      <c r="M838" s="350" t="str">
        <f>IF($B838="Portfolio","Portfolio",IFERROR(INDEX(DATA_ASSET_CLASSIFICATION!$B$8:$B$24,MATCH($C838,DATA_ASSET_CLASSIFICATION!$A$8:$A$24,0)),"Review"))</f>
        <v>Antkiw Court</v>
      </c>
      <c r="N838" s="350" t="str">
        <f ca="1">IF($B838="Portfolio","Portfolio",IFERROR(INDEX(DATA_ASSET_CLASSIFICATION!$U$8:$U$24,MATCH($C838,DATA_ASSET_CLASSIFICATION!$A$8:$A$24,0)),"Review"))</f>
        <v>Stable</v>
      </c>
      <c r="O838" s="350" t="str">
        <f ca="1">IF($B838="Portfolio","Portfolio",IFERROR(INDEX(DATA_ASSET_CLASSIFICATION!$AB$8:$AB$13,MATCH($N838,DATA_ASSET_CLASSIFICATION!$AA$8:$AA$13,0)),"Review"))</f>
        <v>Bucket 2 · Legacy</v>
      </c>
      <c r="P838" s="350" t="str">
        <f>IF($B838="Portfolio","Portfolio",IFERROR(INDEX(DATA_ASSET_CLASSIFICATION!$C$8:$C$24,MATCH($C838,DATA_ASSET_CLASSIFICATION!$A$8:$A$24,0)),"Review"))</f>
        <v>Yes</v>
      </c>
      <c r="Q838" s="350" t="str">
        <f t="shared" ca="1" si="27"/>
        <v>OK</v>
      </c>
    </row>
    <row r="839" spans="1:17">
      <c r="A839" s="366" t="s">
        <v>2795</v>
      </c>
      <c r="B839" s="366" t="s">
        <v>231</v>
      </c>
      <c r="C839" s="348" t="str">
        <f>DATA_PROPERTY_MASTER!$A$6</f>
        <v>BLD_AC</v>
      </c>
      <c r="D839" s="380">
        <f>'00_PORTFOLIO ROLLUP'!T$12</f>
        <v>2040</v>
      </c>
      <c r="E839" s="366" t="s">
        <v>1683</v>
      </c>
      <c r="F839" s="366" t="s">
        <v>355</v>
      </c>
      <c r="G839" s="348" t="str">
        <f>"'"&amp;$C839&amp;"'!$E$39:$Y$39"</f>
        <v>'BLD_AC'!$E$39:$Y$39</v>
      </c>
      <c r="H839" s="381">
        <f ca="1">IF(IFERROR(INDEX(DATA_PROPERTY_MASTER!$E$5:$E$21,MATCH($C839,DATA_PROPERTY_MASTER!$A$5:$A$21,0))="Yes",FALSE),IFERROR(INDEX(INDIRECT("'"&amp;$C839&amp;"'!$E$39:$Y$39"),1,MATCH($D839,INDIRECT("'"&amp;$C839&amp;"'!$E$12:$Y$12"),0)),0),0)</f>
        <v>248529.99557846753</v>
      </c>
      <c r="I839" s="366" t="s">
        <v>1690</v>
      </c>
      <c r="J839" s="348" t="str">
        <f t="shared" ca="1" si="26"/>
        <v>OK</v>
      </c>
      <c r="K839" s="366" t="s">
        <v>1686</v>
      </c>
      <c r="L839" s="366" t="s">
        <v>2236</v>
      </c>
      <c r="M839" s="350" t="str">
        <f>IF($B839="Portfolio","Portfolio",IFERROR(INDEX(DATA_ASSET_CLASSIFICATION!$B$8:$B$24,MATCH($C839,DATA_ASSET_CLASSIFICATION!$A$8:$A$24,0)),"Review"))</f>
        <v>Antkiw Court</v>
      </c>
      <c r="N839" s="350" t="str">
        <f ca="1">IF($B839="Portfolio","Portfolio",IFERROR(INDEX(DATA_ASSET_CLASSIFICATION!$U$8:$U$24,MATCH($C839,DATA_ASSET_CLASSIFICATION!$A$8:$A$24,0)),"Review"))</f>
        <v>Stable</v>
      </c>
      <c r="O839" s="350" t="str">
        <f ca="1">IF($B839="Portfolio","Portfolio",IFERROR(INDEX(DATA_ASSET_CLASSIFICATION!$AB$8:$AB$13,MATCH($N839,DATA_ASSET_CLASSIFICATION!$AA$8:$AA$13,0)),"Review"))</f>
        <v>Bucket 2 · Legacy</v>
      </c>
      <c r="P839" s="350" t="str">
        <f>IF($B839="Portfolio","Portfolio",IFERROR(INDEX(DATA_ASSET_CLASSIFICATION!$C$8:$C$24,MATCH($C839,DATA_ASSET_CLASSIFICATION!$A$8:$A$24,0)),"Review"))</f>
        <v>Yes</v>
      </c>
      <c r="Q839" s="350" t="str">
        <f t="shared" ca="1" si="27"/>
        <v>OK</v>
      </c>
    </row>
    <row r="840" spans="1:17">
      <c r="A840" s="366" t="s">
        <v>2796</v>
      </c>
      <c r="B840" s="366" t="s">
        <v>231</v>
      </c>
      <c r="C840" s="348" t="str">
        <f>DATA_PROPERTY_MASTER!$A$6</f>
        <v>BLD_AC</v>
      </c>
      <c r="D840" s="380">
        <f>'00_PORTFOLIO ROLLUP'!T$12</f>
        <v>2040</v>
      </c>
      <c r="E840" s="366" t="s">
        <v>1683</v>
      </c>
      <c r="F840" s="366" t="s">
        <v>19</v>
      </c>
      <c r="G840" s="348" t="str">
        <f>"'"&amp;$C840&amp;"'!$E$41:$Y$41"</f>
        <v>'BLD_AC'!$E$41:$Y$41</v>
      </c>
      <c r="H840" s="381">
        <f ca="1">IF(IFERROR(INDEX(DATA_PROPERTY_MASTER!$E$5:$E$21,MATCH($C840,DATA_PROPERTY_MASTER!$A$5:$A$21,0))="Yes",FALSE),IFERROR(INDEX(INDIRECT("'"&amp;$C840&amp;"'!$E$41:$Y$41"),1,MATCH($D840,INDIRECT("'"&amp;$C840&amp;"'!$E$12:$Y$12"),0)),0),0)</f>
        <v>208716.27732550257</v>
      </c>
      <c r="I840" s="366" t="s">
        <v>1685</v>
      </c>
      <c r="J840" s="348" t="str">
        <f t="shared" ca="1" si="26"/>
        <v>OK</v>
      </c>
      <c r="K840" s="366" t="s">
        <v>1694</v>
      </c>
      <c r="L840" s="366" t="s">
        <v>2238</v>
      </c>
      <c r="M840" s="350" t="str">
        <f>IF($B840="Portfolio","Portfolio",IFERROR(INDEX(DATA_ASSET_CLASSIFICATION!$B$8:$B$24,MATCH($C840,DATA_ASSET_CLASSIFICATION!$A$8:$A$24,0)),"Review"))</f>
        <v>Antkiw Court</v>
      </c>
      <c r="N840" s="350" t="str">
        <f ca="1">IF($B840="Portfolio","Portfolio",IFERROR(INDEX(DATA_ASSET_CLASSIFICATION!$U$8:$U$24,MATCH($C840,DATA_ASSET_CLASSIFICATION!$A$8:$A$24,0)),"Review"))</f>
        <v>Stable</v>
      </c>
      <c r="O840" s="350" t="str">
        <f ca="1">IF($B840="Portfolio","Portfolio",IFERROR(INDEX(DATA_ASSET_CLASSIFICATION!$AB$8:$AB$13,MATCH($N840,DATA_ASSET_CLASSIFICATION!$AA$8:$AA$13,0)),"Review"))</f>
        <v>Bucket 2 · Legacy</v>
      </c>
      <c r="P840" s="350" t="str">
        <f>IF($B840="Portfolio","Portfolio",IFERROR(INDEX(DATA_ASSET_CLASSIFICATION!$C$8:$C$24,MATCH($C840,DATA_ASSET_CLASSIFICATION!$A$8:$A$24,0)),"Review"))</f>
        <v>Yes</v>
      </c>
      <c r="Q840" s="350" t="str">
        <f t="shared" ca="1" si="27"/>
        <v>OK</v>
      </c>
    </row>
    <row r="841" spans="1:17">
      <c r="A841" s="366" t="s">
        <v>2797</v>
      </c>
      <c r="B841" s="366" t="s">
        <v>231</v>
      </c>
      <c r="C841" s="348" t="str">
        <f>DATA_PROPERTY_MASTER!$A$6</f>
        <v>BLD_AC</v>
      </c>
      <c r="D841" s="380">
        <f>'00_PORTFOLIO ROLLUP'!T$12</f>
        <v>2040</v>
      </c>
      <c r="E841" s="366" t="s">
        <v>1683</v>
      </c>
      <c r="F841" s="366" t="s">
        <v>1697</v>
      </c>
      <c r="G841" s="348" t="str">
        <f>"'"&amp;$C841&amp;"'!$E$44:$Y$44"</f>
        <v>'BLD_AC'!$E$44:$Y$44</v>
      </c>
      <c r="H841" s="381">
        <f ca="1">IF(IFERROR(INDEX(DATA_PROPERTY_MASTER!$E$5:$E$21,MATCH($C841,DATA_PROPERTY_MASTER!$A$5:$A$21,0))="Yes",FALSE),IFERROR(INDEX(INDIRECT("'"&amp;$C841&amp;"'!$E$44:$Y$44"),1,MATCH($D841,INDIRECT("'"&amp;$C841&amp;"'!$E$12:$Y$12"),0)),0),0)</f>
        <v>4239.4852657210067</v>
      </c>
      <c r="I841" s="366" t="s">
        <v>1690</v>
      </c>
      <c r="J841" s="348" t="str">
        <f t="shared" ca="1" si="26"/>
        <v>OK</v>
      </c>
      <c r="K841" s="366" t="s">
        <v>1699</v>
      </c>
      <c r="L841" s="366" t="s">
        <v>2240</v>
      </c>
      <c r="M841" s="350" t="str">
        <f>IF($B841="Portfolio","Portfolio",IFERROR(INDEX(DATA_ASSET_CLASSIFICATION!$B$8:$B$24,MATCH($C841,DATA_ASSET_CLASSIFICATION!$A$8:$A$24,0)),"Review"))</f>
        <v>Antkiw Court</v>
      </c>
      <c r="N841" s="350" t="str">
        <f ca="1">IF($B841="Portfolio","Portfolio",IFERROR(INDEX(DATA_ASSET_CLASSIFICATION!$U$8:$U$24,MATCH($C841,DATA_ASSET_CLASSIFICATION!$A$8:$A$24,0)),"Review"))</f>
        <v>Stable</v>
      </c>
      <c r="O841" s="350" t="str">
        <f ca="1">IF($B841="Portfolio","Portfolio",IFERROR(INDEX(DATA_ASSET_CLASSIFICATION!$AB$8:$AB$13,MATCH($N841,DATA_ASSET_CLASSIFICATION!$AA$8:$AA$13,0)),"Review"))</f>
        <v>Bucket 2 · Legacy</v>
      </c>
      <c r="P841" s="350" t="str">
        <f>IF($B841="Portfolio","Portfolio",IFERROR(INDEX(DATA_ASSET_CLASSIFICATION!$C$8:$C$24,MATCH($C841,DATA_ASSET_CLASSIFICATION!$A$8:$A$24,0)),"Review"))</f>
        <v>Yes</v>
      </c>
      <c r="Q841" s="350" t="str">
        <f t="shared" ca="1" si="27"/>
        <v>OK</v>
      </c>
    </row>
    <row r="842" spans="1:17">
      <c r="A842" s="366" t="s">
        <v>2798</v>
      </c>
      <c r="B842" s="366" t="s">
        <v>231</v>
      </c>
      <c r="C842" s="348" t="str">
        <f>DATA_PROPERTY_MASTER!$A$6</f>
        <v>BLD_AC</v>
      </c>
      <c r="D842" s="380">
        <f>'00_PORTFOLIO ROLLUP'!T$12</f>
        <v>2040</v>
      </c>
      <c r="E842" s="366" t="s">
        <v>1683</v>
      </c>
      <c r="F842" s="366" t="s">
        <v>21</v>
      </c>
      <c r="G842" s="348" t="str">
        <f>"'"&amp;$C842&amp;"'!$E$45:$Y$45"</f>
        <v>'BLD_AC'!$E$45:$Y$45</v>
      </c>
      <c r="H842" s="381">
        <f ca="1">IF(IFERROR(INDEX(DATA_PROPERTY_MASTER!$E$5:$E$21,MATCH($C842,DATA_PROPERTY_MASTER!$A$5:$A$21,0))="Yes",FALSE),IFERROR(INDEX(INDIRECT("'"&amp;$C842&amp;"'!$E$45:$Y$45"),1,MATCH($D842,INDIRECT("'"&amp;$C842&amp;"'!$E$12:$Y$12"),0)),0),0)</f>
        <v>204476.79205978155</v>
      </c>
      <c r="I842" s="366" t="s">
        <v>1685</v>
      </c>
      <c r="J842" s="348" t="str">
        <f t="shared" ca="1" si="26"/>
        <v>OK</v>
      </c>
      <c r="K842" s="366" t="s">
        <v>1694</v>
      </c>
      <c r="L842" s="366" t="s">
        <v>2242</v>
      </c>
      <c r="M842" s="350" t="str">
        <f>IF($B842="Portfolio","Portfolio",IFERROR(INDEX(DATA_ASSET_CLASSIFICATION!$B$8:$B$24,MATCH($C842,DATA_ASSET_CLASSIFICATION!$A$8:$A$24,0)),"Review"))</f>
        <v>Antkiw Court</v>
      </c>
      <c r="N842" s="350" t="str">
        <f ca="1">IF($B842="Portfolio","Portfolio",IFERROR(INDEX(DATA_ASSET_CLASSIFICATION!$U$8:$U$24,MATCH($C842,DATA_ASSET_CLASSIFICATION!$A$8:$A$24,0)),"Review"))</f>
        <v>Stable</v>
      </c>
      <c r="O842" s="350" t="str">
        <f ca="1">IF($B842="Portfolio","Portfolio",IFERROR(INDEX(DATA_ASSET_CLASSIFICATION!$AB$8:$AB$13,MATCH($N842,DATA_ASSET_CLASSIFICATION!$AA$8:$AA$13,0)),"Review"))</f>
        <v>Bucket 2 · Legacy</v>
      </c>
      <c r="P842" s="350" t="str">
        <f>IF($B842="Portfolio","Portfolio",IFERROR(INDEX(DATA_ASSET_CLASSIFICATION!$C$8:$C$24,MATCH($C842,DATA_ASSET_CLASSIFICATION!$A$8:$A$24,0)),"Review"))</f>
        <v>Yes</v>
      </c>
      <c r="Q842" s="350" t="str">
        <f t="shared" ca="1" si="27"/>
        <v>OK</v>
      </c>
    </row>
    <row r="843" spans="1:17">
      <c r="A843" s="366" t="s">
        <v>2799</v>
      </c>
      <c r="B843" s="366" t="s">
        <v>231</v>
      </c>
      <c r="C843" s="348" t="str">
        <f>DATA_PROPERTY_MASTER!$A$6</f>
        <v>BLD_AC</v>
      </c>
      <c r="D843" s="380">
        <f>'00_PORTFOLIO ROLLUP'!T$12</f>
        <v>2040</v>
      </c>
      <c r="E843" s="366" t="s">
        <v>23</v>
      </c>
      <c r="F843" s="366" t="s">
        <v>23</v>
      </c>
      <c r="G843" s="348" t="str">
        <f>"'"&amp;$C843&amp;"'!$E$48:$Y$48"</f>
        <v>'BLD_AC'!$E$48:$Y$48</v>
      </c>
      <c r="H843" s="381">
        <f ca="1">IF(IFERROR(INDEX(DATA_PROPERTY_MASTER!$E$5:$E$21,MATCH($C843,DATA_PROPERTY_MASTER!$A$5:$A$21,0))="Yes",FALSE),IFERROR(INDEX(INDIRECT("'"&amp;$C843&amp;"'!$E$48:$Y$48"),1,MATCH($D843,INDIRECT("'"&amp;$C843&amp;"'!$E$12:$Y$12"),0)),0),0)</f>
        <v>54330.12000000001</v>
      </c>
      <c r="I843" s="366" t="s">
        <v>1690</v>
      </c>
      <c r="J843" s="348" t="str">
        <f t="shared" ca="1" si="26"/>
        <v>OK</v>
      </c>
      <c r="K843" s="366" t="s">
        <v>1706</v>
      </c>
      <c r="L843" s="366" t="s">
        <v>2244</v>
      </c>
      <c r="M843" s="350" t="str">
        <f>IF($B843="Portfolio","Portfolio",IFERROR(INDEX(DATA_ASSET_CLASSIFICATION!$B$8:$B$24,MATCH($C843,DATA_ASSET_CLASSIFICATION!$A$8:$A$24,0)),"Review"))</f>
        <v>Antkiw Court</v>
      </c>
      <c r="N843" s="350" t="str">
        <f ca="1">IF($B843="Portfolio","Portfolio",IFERROR(INDEX(DATA_ASSET_CLASSIFICATION!$U$8:$U$24,MATCH($C843,DATA_ASSET_CLASSIFICATION!$A$8:$A$24,0)),"Review"))</f>
        <v>Stable</v>
      </c>
      <c r="O843" s="350" t="str">
        <f ca="1">IF($B843="Portfolio","Portfolio",IFERROR(INDEX(DATA_ASSET_CLASSIFICATION!$AB$8:$AB$13,MATCH($N843,DATA_ASSET_CLASSIFICATION!$AA$8:$AA$13,0)),"Review"))</f>
        <v>Bucket 2 · Legacy</v>
      </c>
      <c r="P843" s="350" t="str">
        <f>IF($B843="Portfolio","Portfolio",IFERROR(INDEX(DATA_ASSET_CLASSIFICATION!$C$8:$C$24,MATCH($C843,DATA_ASSET_CLASSIFICATION!$A$8:$A$24,0)),"Review"))</f>
        <v>Yes</v>
      </c>
      <c r="Q843" s="350" t="str">
        <f t="shared" ca="1" si="27"/>
        <v>OK</v>
      </c>
    </row>
    <row r="844" spans="1:17">
      <c r="A844" s="366" t="s">
        <v>2800</v>
      </c>
      <c r="B844" s="366" t="s">
        <v>231</v>
      </c>
      <c r="C844" s="348" t="str">
        <f>DATA_PROPERTY_MASTER!$A$6</f>
        <v>BLD_AC</v>
      </c>
      <c r="D844" s="380">
        <f>'00_PORTFOLIO ROLLUP'!T$12</f>
        <v>2040</v>
      </c>
      <c r="E844" s="366" t="s">
        <v>1683</v>
      </c>
      <c r="F844" s="366" t="s">
        <v>25</v>
      </c>
      <c r="G844" s="348" t="str">
        <f>"'"&amp;$C844&amp;"'!$E$52:$Y$52"</f>
        <v>'BLD_AC'!$E$52:$Y$52</v>
      </c>
      <c r="H844" s="381">
        <f ca="1">IF(IFERROR(INDEX(DATA_PROPERTY_MASTER!$E$5:$E$21,MATCH($C844,DATA_PROPERTY_MASTER!$A$5:$A$21,0))="Yes",FALSE),IFERROR(INDEX(INDIRECT("'"&amp;$C844&amp;"'!$E$52:$Y$52"),1,MATCH($D844,INDIRECT("'"&amp;$C844&amp;"'!$E$12:$Y$12"),0)),0),0)</f>
        <v>154386.15732550254</v>
      </c>
      <c r="I844" s="366" t="s">
        <v>1685</v>
      </c>
      <c r="J844" s="348" t="str">
        <f t="shared" ca="1" si="26"/>
        <v>OK</v>
      </c>
      <c r="K844" s="366" t="s">
        <v>1710</v>
      </c>
      <c r="L844" s="366" t="s">
        <v>2246</v>
      </c>
      <c r="M844" s="350" t="str">
        <f>IF($B844="Portfolio","Portfolio",IFERROR(INDEX(DATA_ASSET_CLASSIFICATION!$B$8:$B$24,MATCH($C844,DATA_ASSET_CLASSIFICATION!$A$8:$A$24,0)),"Review"))</f>
        <v>Antkiw Court</v>
      </c>
      <c r="N844" s="350" t="str">
        <f ca="1">IF($B844="Portfolio","Portfolio",IFERROR(INDEX(DATA_ASSET_CLASSIFICATION!$U$8:$U$24,MATCH($C844,DATA_ASSET_CLASSIFICATION!$A$8:$A$24,0)),"Review"))</f>
        <v>Stable</v>
      </c>
      <c r="O844" s="350" t="str">
        <f ca="1">IF($B844="Portfolio","Portfolio",IFERROR(INDEX(DATA_ASSET_CLASSIFICATION!$AB$8:$AB$13,MATCH($N844,DATA_ASSET_CLASSIFICATION!$AA$8:$AA$13,0)),"Review"))</f>
        <v>Bucket 2 · Legacy</v>
      </c>
      <c r="P844" s="350" t="str">
        <f>IF($B844="Portfolio","Portfolio",IFERROR(INDEX(DATA_ASSET_CLASSIFICATION!$C$8:$C$24,MATCH($C844,DATA_ASSET_CLASSIFICATION!$A$8:$A$24,0)),"Review"))</f>
        <v>Yes</v>
      </c>
      <c r="Q844" s="350" t="str">
        <f t="shared" ca="1" si="27"/>
        <v>OK</v>
      </c>
    </row>
    <row r="845" spans="1:17">
      <c r="A845" s="366" t="s">
        <v>2801</v>
      </c>
      <c r="B845" s="366" t="s">
        <v>231</v>
      </c>
      <c r="C845" s="348" t="str">
        <f>DATA_PROPERTY_MASTER!$A$6</f>
        <v>BLD_AC</v>
      </c>
      <c r="D845" s="380">
        <f>'00_PORTFOLIO ROLLUP'!T$12</f>
        <v>2040</v>
      </c>
      <c r="E845" s="366" t="s">
        <v>1683</v>
      </c>
      <c r="F845" s="366" t="s">
        <v>27</v>
      </c>
      <c r="G845" s="348" t="str">
        <f>"'"&amp;$C845&amp;"'!$E$54:$Y$54"</f>
        <v>'BLD_AC'!$E$54:$Y$54</v>
      </c>
      <c r="H845" s="381">
        <f ca="1">IF(IFERROR(INDEX(DATA_PROPERTY_MASTER!$E$5:$E$21,MATCH($C845,DATA_PROPERTY_MASTER!$A$5:$A$21,0))="Yes",FALSE),IFERROR(INDEX(INDIRECT("'"&amp;$C845&amp;"'!$E$54:$Y$54"),1,MATCH($D845,INDIRECT("'"&amp;$C845&amp;"'!$E$12:$Y$12"),0)),0),0)</f>
        <v>92631.694395301529</v>
      </c>
      <c r="I845" s="366" t="s">
        <v>1690</v>
      </c>
      <c r="J845" s="348" t="str">
        <f t="shared" ca="1" si="26"/>
        <v>OK</v>
      </c>
      <c r="K845" s="366" t="s">
        <v>1714</v>
      </c>
      <c r="L845" s="366" t="s">
        <v>2248</v>
      </c>
      <c r="M845" s="350" t="str">
        <f>IF($B845="Portfolio","Portfolio",IFERROR(INDEX(DATA_ASSET_CLASSIFICATION!$B$8:$B$24,MATCH($C845,DATA_ASSET_CLASSIFICATION!$A$8:$A$24,0)),"Review"))</f>
        <v>Antkiw Court</v>
      </c>
      <c r="N845" s="350" t="str">
        <f ca="1">IF($B845="Portfolio","Portfolio",IFERROR(INDEX(DATA_ASSET_CLASSIFICATION!$U$8:$U$24,MATCH($C845,DATA_ASSET_CLASSIFICATION!$A$8:$A$24,0)),"Review"))</f>
        <v>Stable</v>
      </c>
      <c r="O845" s="350" t="str">
        <f ca="1">IF($B845="Portfolio","Portfolio",IFERROR(INDEX(DATA_ASSET_CLASSIFICATION!$AB$8:$AB$13,MATCH($N845,DATA_ASSET_CLASSIFICATION!$AA$8:$AA$13,0)),"Review"))</f>
        <v>Bucket 2 · Legacy</v>
      </c>
      <c r="P845" s="350" t="str">
        <f>IF($B845="Portfolio","Portfolio",IFERROR(INDEX(DATA_ASSET_CLASSIFICATION!$C$8:$C$24,MATCH($C845,DATA_ASSET_CLASSIFICATION!$A$8:$A$24,0)),"Review"))</f>
        <v>Yes</v>
      </c>
      <c r="Q845" s="350" t="str">
        <f t="shared" ca="1" si="27"/>
        <v>OK</v>
      </c>
    </row>
    <row r="846" spans="1:17">
      <c r="A846" s="366" t="s">
        <v>2802</v>
      </c>
      <c r="B846" s="366" t="s">
        <v>231</v>
      </c>
      <c r="C846" s="348" t="str">
        <f>DATA_PROPERTY_MASTER!$A$6</f>
        <v>BLD_AC</v>
      </c>
      <c r="D846" s="380">
        <f>'00_PORTFOLIO ROLLUP'!T$12</f>
        <v>2040</v>
      </c>
      <c r="E846" s="366" t="s">
        <v>1683</v>
      </c>
      <c r="F846" s="366" t="s">
        <v>29</v>
      </c>
      <c r="G846" s="348" t="str">
        <f>"'"&amp;$C846&amp;"'!$E$56:$Y$56"</f>
        <v>'BLD_AC'!$E$56:$Y$56</v>
      </c>
      <c r="H846" s="381">
        <f ca="1">IF(IFERROR(INDEX(DATA_PROPERTY_MASTER!$E$5:$E$21,MATCH($C846,DATA_PROPERTY_MASTER!$A$5:$A$21,0))="Yes",FALSE),IFERROR(INDEX(INDIRECT("'"&amp;$C846&amp;"'!$E$56:$Y$56"),1,MATCH($D846,INDIRECT("'"&amp;$C846&amp;"'!$E$12:$Y$12"),0)),0),0)</f>
        <v>61754.462930201014</v>
      </c>
      <c r="I846" s="366" t="s">
        <v>1685</v>
      </c>
      <c r="J846" s="348" t="str">
        <f t="shared" ca="1" si="26"/>
        <v>OK</v>
      </c>
      <c r="K846" s="366" t="s">
        <v>1718</v>
      </c>
      <c r="L846" s="366" t="s">
        <v>2250</v>
      </c>
      <c r="M846" s="350" t="str">
        <f>IF($B846="Portfolio","Portfolio",IFERROR(INDEX(DATA_ASSET_CLASSIFICATION!$B$8:$B$24,MATCH($C846,DATA_ASSET_CLASSIFICATION!$A$8:$A$24,0)),"Review"))</f>
        <v>Antkiw Court</v>
      </c>
      <c r="N846" s="350" t="str">
        <f ca="1">IF($B846="Portfolio","Portfolio",IFERROR(INDEX(DATA_ASSET_CLASSIFICATION!$U$8:$U$24,MATCH($C846,DATA_ASSET_CLASSIFICATION!$A$8:$A$24,0)),"Review"))</f>
        <v>Stable</v>
      </c>
      <c r="O846" s="350" t="str">
        <f ca="1">IF($B846="Portfolio","Portfolio",IFERROR(INDEX(DATA_ASSET_CLASSIFICATION!$AB$8:$AB$13,MATCH($N846,DATA_ASSET_CLASSIFICATION!$AA$8:$AA$13,0)),"Review"))</f>
        <v>Bucket 2 · Legacy</v>
      </c>
      <c r="P846" s="350" t="str">
        <f>IF($B846="Portfolio","Portfolio",IFERROR(INDEX(DATA_ASSET_CLASSIFICATION!$C$8:$C$24,MATCH($C846,DATA_ASSET_CLASSIFICATION!$A$8:$A$24,0)),"Review"))</f>
        <v>Yes</v>
      </c>
      <c r="Q846" s="350" t="str">
        <f t="shared" ca="1" si="27"/>
        <v>OK</v>
      </c>
    </row>
    <row r="847" spans="1:17">
      <c r="A847" s="366" t="s">
        <v>2803</v>
      </c>
      <c r="B847" s="366" t="s">
        <v>231</v>
      </c>
      <c r="C847" s="348" t="str">
        <f>DATA_PROPERTY_MASTER!$A$6</f>
        <v>BLD_AC</v>
      </c>
      <c r="D847" s="380">
        <f>'00_PORTFOLIO ROLLUP'!T$12</f>
        <v>2040</v>
      </c>
      <c r="E847" s="366" t="s">
        <v>1721</v>
      </c>
      <c r="F847" s="366" t="s">
        <v>31</v>
      </c>
      <c r="G847" s="348" t="str">
        <f>"'"&amp;$C847&amp;"'!$E$61:$Y$61"</f>
        <v>'BLD_AC'!$E$61:$Y$61</v>
      </c>
      <c r="H847" s="381">
        <f ca="1">IF(IFERROR(INDEX(DATA_PROPERTY_MASTER!$E$5:$E$21,MATCH($C847,DATA_PROPERTY_MASTER!$A$5:$A$21,0))="Yes",FALSE),IFERROR(INDEX(INDIRECT("'"&amp;$C847&amp;"'!$E$61:$Y$61"),1,MATCH($D847,INDIRECT("'"&amp;$C847&amp;"'!$E$12:$Y$12"),0)),0),0)</f>
        <v>0</v>
      </c>
      <c r="I847" s="366" t="s">
        <v>1690</v>
      </c>
      <c r="J847" s="348" t="str">
        <f t="shared" ca="1" si="26"/>
        <v>OK</v>
      </c>
      <c r="K847" s="366" t="s">
        <v>1723</v>
      </c>
      <c r="L847" s="366" t="s">
        <v>2252</v>
      </c>
      <c r="M847" s="350" t="str">
        <f>IF($B847="Portfolio","Portfolio",IFERROR(INDEX(DATA_ASSET_CLASSIFICATION!$B$8:$B$24,MATCH($C847,DATA_ASSET_CLASSIFICATION!$A$8:$A$24,0)),"Review"))</f>
        <v>Antkiw Court</v>
      </c>
      <c r="N847" s="350" t="str">
        <f ca="1">IF($B847="Portfolio","Portfolio",IFERROR(INDEX(DATA_ASSET_CLASSIFICATION!$U$8:$U$24,MATCH($C847,DATA_ASSET_CLASSIFICATION!$A$8:$A$24,0)),"Review"))</f>
        <v>Stable</v>
      </c>
      <c r="O847" s="350" t="str">
        <f ca="1">IF($B847="Portfolio","Portfolio",IFERROR(INDEX(DATA_ASSET_CLASSIFICATION!$AB$8:$AB$13,MATCH($N847,DATA_ASSET_CLASSIFICATION!$AA$8:$AA$13,0)),"Review"))</f>
        <v>Bucket 2 · Legacy</v>
      </c>
      <c r="P847" s="350" t="str">
        <f>IF($B847="Portfolio","Portfolio",IFERROR(INDEX(DATA_ASSET_CLASSIFICATION!$C$8:$C$24,MATCH($C847,DATA_ASSET_CLASSIFICATION!$A$8:$A$24,0)),"Review"))</f>
        <v>Yes</v>
      </c>
      <c r="Q847" s="350" t="str">
        <f t="shared" ca="1" si="27"/>
        <v>OK</v>
      </c>
    </row>
    <row r="848" spans="1:17">
      <c r="A848" s="366" t="s">
        <v>2804</v>
      </c>
      <c r="B848" s="366" t="s">
        <v>231</v>
      </c>
      <c r="C848" s="348" t="str">
        <f>DATA_PROPERTY_MASTER!$A$6</f>
        <v>BLD_AC</v>
      </c>
      <c r="D848" s="380">
        <f>'00_PORTFOLIO ROLLUP'!T$12</f>
        <v>2040</v>
      </c>
      <c r="E848" s="366" t="s">
        <v>1721</v>
      </c>
      <c r="F848" s="366" t="s">
        <v>33</v>
      </c>
      <c r="G848" s="348" t="str">
        <f>"'"&amp;$C848&amp;"'!$E$62:$Y$62"</f>
        <v>'BLD_AC'!$E$62:$Y$62</v>
      </c>
      <c r="H848" s="381">
        <f ca="1">IF(IFERROR(INDEX(DATA_PROPERTY_MASTER!$E$5:$E$21,MATCH($C848,DATA_PROPERTY_MASTER!$A$5:$A$21,0))="Yes",FALSE),IFERROR(INDEX(INDIRECT("'"&amp;$C848&amp;"'!$E$62:$Y$62"),1,MATCH($D848,INDIRECT("'"&amp;$C848&amp;"'!$E$12:$Y$12"),0)),0),0)</f>
        <v>0</v>
      </c>
      <c r="I848" s="366" t="s">
        <v>1685</v>
      </c>
      <c r="J848" s="348" t="str">
        <f t="shared" ca="1" si="26"/>
        <v>OK</v>
      </c>
      <c r="K848" s="366" t="s">
        <v>1727</v>
      </c>
      <c r="L848" s="366" t="s">
        <v>2254</v>
      </c>
      <c r="M848" s="350" t="str">
        <f>IF($B848="Portfolio","Portfolio",IFERROR(INDEX(DATA_ASSET_CLASSIFICATION!$B$8:$B$24,MATCH($C848,DATA_ASSET_CLASSIFICATION!$A$8:$A$24,0)),"Review"))</f>
        <v>Antkiw Court</v>
      </c>
      <c r="N848" s="350" t="str">
        <f ca="1">IF($B848="Portfolio","Portfolio",IFERROR(INDEX(DATA_ASSET_CLASSIFICATION!$U$8:$U$24,MATCH($C848,DATA_ASSET_CLASSIFICATION!$A$8:$A$24,0)),"Review"))</f>
        <v>Stable</v>
      </c>
      <c r="O848" s="350" t="str">
        <f ca="1">IF($B848="Portfolio","Portfolio",IFERROR(INDEX(DATA_ASSET_CLASSIFICATION!$AB$8:$AB$13,MATCH($N848,DATA_ASSET_CLASSIFICATION!$AA$8:$AA$13,0)),"Review"))</f>
        <v>Bucket 2 · Legacy</v>
      </c>
      <c r="P848" s="350" t="str">
        <f>IF($B848="Portfolio","Portfolio",IFERROR(INDEX(DATA_ASSET_CLASSIFICATION!$C$8:$C$24,MATCH($C848,DATA_ASSET_CLASSIFICATION!$A$8:$A$24,0)),"Review"))</f>
        <v>Yes</v>
      </c>
      <c r="Q848" s="350" t="str">
        <f t="shared" ca="1" si="27"/>
        <v>OK</v>
      </c>
    </row>
    <row r="849" spans="1:17">
      <c r="A849" s="366" t="s">
        <v>2805</v>
      </c>
      <c r="B849" s="366" t="s">
        <v>231</v>
      </c>
      <c r="C849" s="348" t="str">
        <f>DATA_PROPERTY_MASTER!$A$6</f>
        <v>BLD_AC</v>
      </c>
      <c r="D849" s="380">
        <f>'00_PORTFOLIO ROLLUP'!T$12</f>
        <v>2040</v>
      </c>
      <c r="E849" s="366" t="s">
        <v>1721</v>
      </c>
      <c r="F849" s="366" t="s">
        <v>35</v>
      </c>
      <c r="G849" s="348" t="str">
        <f>"'"&amp;$C849&amp;"'!$E$63:$Y$63"</f>
        <v>'BLD_AC'!$E$63:$Y$63</v>
      </c>
      <c r="H849" s="381">
        <f ca="1">IF(IFERROR(INDEX(DATA_PROPERTY_MASTER!$E$5:$E$21,MATCH($C849,DATA_PROPERTY_MASTER!$A$5:$A$21,0))="Yes",FALSE),IFERROR(INDEX(INDIRECT("'"&amp;$C849&amp;"'!$E$63:$Y$63"),1,MATCH($D849,INDIRECT("'"&amp;$C849&amp;"'!$E$12:$Y$12"),0)),0),0)</f>
        <v>0</v>
      </c>
      <c r="I849" s="366" t="s">
        <v>1731</v>
      </c>
      <c r="J849" s="348" t="str">
        <f t="shared" ca="1" si="26"/>
        <v>OK</v>
      </c>
      <c r="K849" s="366" t="s">
        <v>1732</v>
      </c>
      <c r="L849" s="366" t="s">
        <v>2256</v>
      </c>
      <c r="M849" s="350" t="str">
        <f>IF($B849="Portfolio","Portfolio",IFERROR(INDEX(DATA_ASSET_CLASSIFICATION!$B$8:$B$24,MATCH($C849,DATA_ASSET_CLASSIFICATION!$A$8:$A$24,0)),"Review"))</f>
        <v>Antkiw Court</v>
      </c>
      <c r="N849" s="350" t="str">
        <f ca="1">IF($B849="Portfolio","Portfolio",IFERROR(INDEX(DATA_ASSET_CLASSIFICATION!$U$8:$U$24,MATCH($C849,DATA_ASSET_CLASSIFICATION!$A$8:$A$24,0)),"Review"))</f>
        <v>Stable</v>
      </c>
      <c r="O849" s="350" t="str">
        <f ca="1">IF($B849="Portfolio","Portfolio",IFERROR(INDEX(DATA_ASSET_CLASSIFICATION!$AB$8:$AB$13,MATCH($N849,DATA_ASSET_CLASSIFICATION!$AA$8:$AA$13,0)),"Review"))</f>
        <v>Bucket 2 · Legacy</v>
      </c>
      <c r="P849" s="350" t="str">
        <f>IF($B849="Portfolio","Portfolio",IFERROR(INDEX(DATA_ASSET_CLASSIFICATION!$C$8:$C$24,MATCH($C849,DATA_ASSET_CLASSIFICATION!$A$8:$A$24,0)),"Review"))</f>
        <v>Yes</v>
      </c>
      <c r="Q849" s="350" t="str">
        <f t="shared" ca="1" si="27"/>
        <v>OK</v>
      </c>
    </row>
    <row r="850" spans="1:17">
      <c r="A850" s="366" t="s">
        <v>2806</v>
      </c>
      <c r="B850" s="366" t="s">
        <v>231</v>
      </c>
      <c r="C850" s="348" t="str">
        <f>DATA_PROPERTY_MASTER!$A$6</f>
        <v>BLD_AC</v>
      </c>
      <c r="D850" s="380">
        <f>'00_PORTFOLIO ROLLUP'!T$12</f>
        <v>2040</v>
      </c>
      <c r="E850" s="366" t="s">
        <v>1721</v>
      </c>
      <c r="F850" s="366" t="s">
        <v>37</v>
      </c>
      <c r="G850" s="348" t="str">
        <f>"'"&amp;$C850&amp;"'!$E$63:$Y$63"</f>
        <v>'BLD_AC'!$E$63:$Y$63</v>
      </c>
      <c r="H850" s="381">
        <f ca="1">IF(IFERROR(INDEX(DATA_PROPERTY_MASTER!$E$5:$E$21,MATCH($C850,DATA_PROPERTY_MASTER!$A$5:$A$21,0))="Yes",FALSE),MAX(IFERROR(INDEX(INDIRECT("'"&amp;$C850&amp;"'!$E$63:$Y$63"),1,MATCH($D850,INDIRECT("'"&amp;$C850&amp;"'!$E$12:$Y$12"),0)),0),0),0)</f>
        <v>0</v>
      </c>
      <c r="I850" s="366" t="s">
        <v>1685</v>
      </c>
      <c r="J850" s="348" t="str">
        <f t="shared" ca="1" si="26"/>
        <v>OK</v>
      </c>
      <c r="K850" s="366" t="s">
        <v>1735</v>
      </c>
      <c r="L850" s="366" t="s">
        <v>2258</v>
      </c>
      <c r="M850" s="350" t="str">
        <f>IF($B850="Portfolio","Portfolio",IFERROR(INDEX(DATA_ASSET_CLASSIFICATION!$B$8:$B$24,MATCH($C850,DATA_ASSET_CLASSIFICATION!$A$8:$A$24,0)),"Review"))</f>
        <v>Antkiw Court</v>
      </c>
      <c r="N850" s="350" t="str">
        <f ca="1">IF($B850="Portfolio","Portfolio",IFERROR(INDEX(DATA_ASSET_CLASSIFICATION!$U$8:$U$24,MATCH($C850,DATA_ASSET_CLASSIFICATION!$A$8:$A$24,0)),"Review"))</f>
        <v>Stable</v>
      </c>
      <c r="O850" s="350" t="str">
        <f ca="1">IF($B850="Portfolio","Portfolio",IFERROR(INDEX(DATA_ASSET_CLASSIFICATION!$AB$8:$AB$13,MATCH($N850,DATA_ASSET_CLASSIFICATION!$AA$8:$AA$13,0)),"Review"))</f>
        <v>Bucket 2 · Legacy</v>
      </c>
      <c r="P850" s="350" t="str">
        <f>IF($B850="Portfolio","Portfolio",IFERROR(INDEX(DATA_ASSET_CLASSIFICATION!$C$8:$C$24,MATCH($C850,DATA_ASSET_CLASSIFICATION!$A$8:$A$24,0)),"Review"))</f>
        <v>Yes</v>
      </c>
      <c r="Q850" s="350" t="str">
        <f t="shared" ca="1" si="27"/>
        <v>OK</v>
      </c>
    </row>
    <row r="851" spans="1:17">
      <c r="A851" s="366" t="s">
        <v>2807</v>
      </c>
      <c r="B851" s="366" t="s">
        <v>231</v>
      </c>
      <c r="C851" s="348" t="str">
        <f>DATA_PROPERTY_MASTER!$A$6</f>
        <v>BLD_AC</v>
      </c>
      <c r="D851" s="380">
        <f>'00_PORTFOLIO ROLLUP'!T$12</f>
        <v>2040</v>
      </c>
      <c r="E851" s="366" t="s">
        <v>1721</v>
      </c>
      <c r="F851" s="366" t="s">
        <v>39</v>
      </c>
      <c r="G851" s="348" t="str">
        <f>"'"&amp;$C851&amp;"'!$E$63:$Y$63"</f>
        <v>'BLD_AC'!$E$63:$Y$63</v>
      </c>
      <c r="H851" s="381">
        <f ca="1">IF(IFERROR(INDEX(DATA_PROPERTY_MASTER!$E$5:$E$21,MATCH($C851,DATA_PROPERTY_MASTER!$A$5:$A$21,0))="Yes",FALSE),MAX(-IFERROR(INDEX(INDIRECT("'"&amp;$C851&amp;"'!$E$63:$Y$63"),1,MATCH($D851,INDIRECT("'"&amp;$C851&amp;"'!$E$12:$Y$12"),0)),0),0),0)</f>
        <v>0</v>
      </c>
      <c r="I851" s="366" t="s">
        <v>1690</v>
      </c>
      <c r="J851" s="348" t="str">
        <f t="shared" ca="1" si="26"/>
        <v>OK</v>
      </c>
      <c r="K851" s="366" t="s">
        <v>1738</v>
      </c>
      <c r="L851" s="366" t="s">
        <v>2260</v>
      </c>
      <c r="M851" s="350" t="str">
        <f>IF($B851="Portfolio","Portfolio",IFERROR(INDEX(DATA_ASSET_CLASSIFICATION!$B$8:$B$24,MATCH($C851,DATA_ASSET_CLASSIFICATION!$A$8:$A$24,0)),"Review"))</f>
        <v>Antkiw Court</v>
      </c>
      <c r="N851" s="350" t="str">
        <f ca="1">IF($B851="Portfolio","Portfolio",IFERROR(INDEX(DATA_ASSET_CLASSIFICATION!$U$8:$U$24,MATCH($C851,DATA_ASSET_CLASSIFICATION!$A$8:$A$24,0)),"Review"))</f>
        <v>Stable</v>
      </c>
      <c r="O851" s="350" t="str">
        <f ca="1">IF($B851="Portfolio","Portfolio",IFERROR(INDEX(DATA_ASSET_CLASSIFICATION!$AB$8:$AB$13,MATCH($N851,DATA_ASSET_CLASSIFICATION!$AA$8:$AA$13,0)),"Review"))</f>
        <v>Bucket 2 · Legacy</v>
      </c>
      <c r="P851" s="350" t="str">
        <f>IF($B851="Portfolio","Portfolio",IFERROR(INDEX(DATA_ASSET_CLASSIFICATION!$C$8:$C$24,MATCH($C851,DATA_ASSET_CLASSIFICATION!$A$8:$A$24,0)),"Review"))</f>
        <v>Yes</v>
      </c>
      <c r="Q851" s="350" t="str">
        <f t="shared" ca="1" si="27"/>
        <v>OK</v>
      </c>
    </row>
    <row r="852" spans="1:17">
      <c r="A852" s="366" t="s">
        <v>2808</v>
      </c>
      <c r="B852" s="366" t="s">
        <v>231</v>
      </c>
      <c r="C852" s="348" t="str">
        <f>DATA_PROPERTY_MASTER!$A$6</f>
        <v>BLD_AC</v>
      </c>
      <c r="D852" s="380">
        <f>'00_PORTFOLIO ROLLUP'!T$12</f>
        <v>2040</v>
      </c>
      <c r="E852" s="366" t="s">
        <v>1741</v>
      </c>
      <c r="F852" s="366" t="s">
        <v>41</v>
      </c>
      <c r="G852" s="348" t="str">
        <f>"'"&amp;$C852&amp;"'!rows 56 + positive row 63"</f>
        <v>'BLD_AC'!rows 56 + positive row 63</v>
      </c>
      <c r="H852" s="381">
        <f ca="1">IF(IFERROR(INDEX(DATA_PROPERTY_MASTER!$E$5:$E$21,MATCH($C852,DATA_PROPERTY_MASTER!$A$5:$A$21,0))="Yes",FALSE),IFERROR(INDEX(INDIRECT("'"&amp;$C852&amp;"'!$E$56:$Y$56"),1,MATCH($D852,INDIRECT("'"&amp;$C852&amp;"'!$E$12:$Y$12"),0)),0)+MAX(IFERROR(INDEX(INDIRECT("'"&amp;$C852&amp;"'!$E$63:$Y$63"),1,MATCH($D852,INDIRECT("'"&amp;$C852&amp;"'!$E$12:$Y$12"),0)),0),0),0)</f>
        <v>61754.462930201014</v>
      </c>
      <c r="I852" s="366" t="s">
        <v>1685</v>
      </c>
      <c r="J852" s="348" t="str">
        <f t="shared" ca="1" si="26"/>
        <v>OK</v>
      </c>
      <c r="K852" s="366" t="s">
        <v>1742</v>
      </c>
      <c r="L852" s="366" t="s">
        <v>2262</v>
      </c>
      <c r="M852" s="350" t="str">
        <f>IF($B852="Portfolio","Portfolio",IFERROR(INDEX(DATA_ASSET_CLASSIFICATION!$B$8:$B$24,MATCH($C852,DATA_ASSET_CLASSIFICATION!$A$8:$A$24,0)),"Review"))</f>
        <v>Antkiw Court</v>
      </c>
      <c r="N852" s="350" t="str">
        <f ca="1">IF($B852="Portfolio","Portfolio",IFERROR(INDEX(DATA_ASSET_CLASSIFICATION!$U$8:$U$24,MATCH($C852,DATA_ASSET_CLASSIFICATION!$A$8:$A$24,0)),"Review"))</f>
        <v>Stable</v>
      </c>
      <c r="O852" s="350" t="str">
        <f ca="1">IF($B852="Portfolio","Portfolio",IFERROR(INDEX(DATA_ASSET_CLASSIFICATION!$AB$8:$AB$13,MATCH($N852,DATA_ASSET_CLASSIFICATION!$AA$8:$AA$13,0)),"Review"))</f>
        <v>Bucket 2 · Legacy</v>
      </c>
      <c r="P852" s="350" t="str">
        <f>IF($B852="Portfolio","Portfolio",IFERROR(INDEX(DATA_ASSET_CLASSIFICATION!$C$8:$C$24,MATCH($C852,DATA_ASSET_CLASSIFICATION!$A$8:$A$24,0)),"Review"))</f>
        <v>Yes</v>
      </c>
      <c r="Q852" s="350" t="str">
        <f t="shared" ca="1" si="27"/>
        <v>OK</v>
      </c>
    </row>
    <row r="853" spans="1:17">
      <c r="A853" s="366" t="s">
        <v>2809</v>
      </c>
      <c r="B853" s="366" t="s">
        <v>231</v>
      </c>
      <c r="C853" s="348" t="str">
        <f>DATA_PROPERTY_MASTER!$A$6</f>
        <v>BLD_AC</v>
      </c>
      <c r="D853" s="380">
        <f>'00_PORTFOLIO ROLLUP'!T$12</f>
        <v>2040</v>
      </c>
      <c r="E853" s="366" t="s">
        <v>1741</v>
      </c>
      <c r="F853" s="366" t="s">
        <v>43</v>
      </c>
      <c r="G853" s="348" t="str">
        <f>"'"&amp;$C853&amp;"'!$E$68:$Y$68"</f>
        <v>'BLD_AC'!$E$68:$Y$68</v>
      </c>
      <c r="H853" s="381">
        <f ca="1">IF(IFERROR(INDEX(DATA_PROPERTY_MASTER!$E$5:$E$21,MATCH($C853,DATA_PROPERTY_MASTER!$A$5:$A$21,0))="Yes",FALSE),IFERROR(INDEX(INDIRECT("'"&amp;$C853&amp;"'!$E$68:$Y$68"),1,MATCH($D853,INDIRECT("'"&amp;$C853&amp;"'!$E$12:$Y$12"),0)),0),0)</f>
        <v>61754.462930201014</v>
      </c>
      <c r="I853" s="366" t="s">
        <v>1731</v>
      </c>
      <c r="J853" s="348" t="str">
        <f t="shared" ca="1" si="26"/>
        <v>OK</v>
      </c>
      <c r="K853" s="366" t="s">
        <v>1746</v>
      </c>
      <c r="L853" s="366" t="s">
        <v>2264</v>
      </c>
      <c r="M853" s="350" t="str">
        <f>IF($B853="Portfolio","Portfolio",IFERROR(INDEX(DATA_ASSET_CLASSIFICATION!$B$8:$B$24,MATCH($C853,DATA_ASSET_CLASSIFICATION!$A$8:$A$24,0)),"Review"))</f>
        <v>Antkiw Court</v>
      </c>
      <c r="N853" s="350" t="str">
        <f ca="1">IF($B853="Portfolio","Portfolio",IFERROR(INDEX(DATA_ASSET_CLASSIFICATION!$U$8:$U$24,MATCH($C853,DATA_ASSET_CLASSIFICATION!$A$8:$A$24,0)),"Review"))</f>
        <v>Stable</v>
      </c>
      <c r="O853" s="350" t="str">
        <f ca="1">IF($B853="Portfolio","Portfolio",IFERROR(INDEX(DATA_ASSET_CLASSIFICATION!$AB$8:$AB$13,MATCH($N853,DATA_ASSET_CLASSIFICATION!$AA$8:$AA$13,0)),"Review"))</f>
        <v>Bucket 2 · Legacy</v>
      </c>
      <c r="P853" s="350" t="str">
        <f>IF($B853="Portfolio","Portfolio",IFERROR(INDEX(DATA_ASSET_CLASSIFICATION!$C$8:$C$24,MATCH($C853,DATA_ASSET_CLASSIFICATION!$A$8:$A$24,0)),"Review"))</f>
        <v>Yes</v>
      </c>
      <c r="Q853" s="350" t="str">
        <f t="shared" ca="1" si="27"/>
        <v>OK</v>
      </c>
    </row>
    <row r="854" spans="1:17">
      <c r="A854" s="366" t="s">
        <v>2810</v>
      </c>
      <c r="B854" s="366" t="s">
        <v>231</v>
      </c>
      <c r="C854" s="348" t="str">
        <f>DATA_PROPERTY_MASTER!$A$6</f>
        <v>BLD_AC</v>
      </c>
      <c r="D854" s="380">
        <f>'00_PORTFOLIO ROLLUP'!T$12</f>
        <v>2040</v>
      </c>
      <c r="E854" s="366" t="s">
        <v>1741</v>
      </c>
      <c r="F854" s="366" t="s">
        <v>1749</v>
      </c>
      <c r="G854" s="348" t="str">
        <f>"'"&amp;$C854&amp;"'!rows 56, 63, 68"</f>
        <v>'BLD_AC'!rows 56, 63, 68</v>
      </c>
      <c r="H854" s="381">
        <f ca="1">IF(IFERROR(INDEX(DATA_PROPERTY_MASTER!$E$5:$E$21,MATCH($C854,DATA_PROPERTY_MASTER!$A$5:$A$21,0))="Yes",FALSE),(IFERROR(INDEX(INDIRECT("'"&amp;$C854&amp;"'!$E$56:$Y$56"),1,MATCH($D854,INDIRECT("'"&amp;$C854&amp;"'!$E$12:$Y$12"),0)),0)+MAX(IFERROR(INDEX(INDIRECT("'"&amp;$C854&amp;"'!$E$63:$Y$63"),1,MATCH($D854,INDIRECT("'"&amp;$C854&amp;"'!$E$12:$Y$12"),0)),0),0))-(IFERROR(INDEX(INDIRECT("'"&amp;$C854&amp;"'!$E$68:$Y$68"),1,MATCH($D854,INDIRECT("'"&amp;$C854&amp;"'!$E$12:$Y$12"),0)),0)),0)</f>
        <v>0</v>
      </c>
      <c r="I854" s="366" t="s">
        <v>1750</v>
      </c>
      <c r="J854" s="348" t="str">
        <f t="shared" ca="1" si="26"/>
        <v>OK</v>
      </c>
      <c r="K854" s="366" t="s">
        <v>1751</v>
      </c>
      <c r="L854" s="366" t="s">
        <v>2266</v>
      </c>
      <c r="M854" s="350" t="str">
        <f>IF($B854="Portfolio","Portfolio",IFERROR(INDEX(DATA_ASSET_CLASSIFICATION!$B$8:$B$24,MATCH($C854,DATA_ASSET_CLASSIFICATION!$A$8:$A$24,0)),"Review"))</f>
        <v>Antkiw Court</v>
      </c>
      <c r="N854" s="350" t="str">
        <f ca="1">IF($B854="Portfolio","Portfolio",IFERROR(INDEX(DATA_ASSET_CLASSIFICATION!$U$8:$U$24,MATCH($C854,DATA_ASSET_CLASSIFICATION!$A$8:$A$24,0)),"Review"))</f>
        <v>Stable</v>
      </c>
      <c r="O854" s="350" t="str">
        <f ca="1">IF($B854="Portfolio","Portfolio",IFERROR(INDEX(DATA_ASSET_CLASSIFICATION!$AB$8:$AB$13,MATCH($N854,DATA_ASSET_CLASSIFICATION!$AA$8:$AA$13,0)),"Review"))</f>
        <v>Bucket 2 · Legacy</v>
      </c>
      <c r="P854" s="350" t="str">
        <f>IF($B854="Portfolio","Portfolio",IFERROR(INDEX(DATA_ASSET_CLASSIFICATION!$C$8:$C$24,MATCH($C854,DATA_ASSET_CLASSIFICATION!$A$8:$A$24,0)),"Review"))</f>
        <v>Yes</v>
      </c>
      <c r="Q854" s="350" t="str">
        <f t="shared" ca="1" si="27"/>
        <v>OK</v>
      </c>
    </row>
    <row r="855" spans="1:17">
      <c r="A855" s="366" t="s">
        <v>2811</v>
      </c>
      <c r="B855" s="366" t="s">
        <v>231</v>
      </c>
      <c r="C855" s="348" t="str">
        <f>DATA_PROPERTY_MASTER!$A$6</f>
        <v>BLD_AC</v>
      </c>
      <c r="D855" s="380">
        <f>'00_PORTFOLIO ROLLUP'!U$12</f>
        <v>2041</v>
      </c>
      <c r="E855" s="366" t="s">
        <v>1683</v>
      </c>
      <c r="F855" s="366" t="s">
        <v>341</v>
      </c>
      <c r="G855" s="348" t="str">
        <f>"'"&amp;$C855&amp;"'!$E$24:$Y$24"</f>
        <v>'BLD_AC'!$E$24:$Y$24</v>
      </c>
      <c r="H855" s="381">
        <f ca="1">IF(IFERROR(INDEX(DATA_PROPERTY_MASTER!$E$5:$E$21,MATCH($C855,DATA_PROPERTY_MASTER!$A$5:$A$21,0))="Yes",FALSE),IFERROR(INDEX(INDIRECT("'"&amp;$C855&amp;"'!$E$24:$Y$24"),1,MATCH($D855,INDIRECT("'"&amp;$C855&amp;"'!$E$12:$Y$12"),0)),0),0)</f>
        <v>466391.19836204947</v>
      </c>
      <c r="I855" s="366" t="s">
        <v>1685</v>
      </c>
      <c r="J855" s="348" t="str">
        <f t="shared" ca="1" si="26"/>
        <v>OK</v>
      </c>
      <c r="K855" s="366" t="s">
        <v>1686</v>
      </c>
      <c r="L855" s="366" t="s">
        <v>2234</v>
      </c>
      <c r="M855" s="350" t="str">
        <f>IF($B855="Portfolio","Portfolio",IFERROR(INDEX(DATA_ASSET_CLASSIFICATION!$B$8:$B$24,MATCH($C855,DATA_ASSET_CLASSIFICATION!$A$8:$A$24,0)),"Review"))</f>
        <v>Antkiw Court</v>
      </c>
      <c r="N855" s="350" t="str">
        <f ca="1">IF($B855="Portfolio","Portfolio",IFERROR(INDEX(DATA_ASSET_CLASSIFICATION!$U$8:$U$24,MATCH($C855,DATA_ASSET_CLASSIFICATION!$A$8:$A$24,0)),"Review"))</f>
        <v>Stable</v>
      </c>
      <c r="O855" s="350" t="str">
        <f ca="1">IF($B855="Portfolio","Portfolio",IFERROR(INDEX(DATA_ASSET_CLASSIFICATION!$AB$8:$AB$13,MATCH($N855,DATA_ASSET_CLASSIFICATION!$AA$8:$AA$13,0)),"Review"))</f>
        <v>Bucket 2 · Legacy</v>
      </c>
      <c r="P855" s="350" t="str">
        <f>IF($B855="Portfolio","Portfolio",IFERROR(INDEX(DATA_ASSET_CLASSIFICATION!$C$8:$C$24,MATCH($C855,DATA_ASSET_CLASSIFICATION!$A$8:$A$24,0)),"Review"))</f>
        <v>Yes</v>
      </c>
      <c r="Q855" s="350" t="str">
        <f t="shared" ca="1" si="27"/>
        <v>OK</v>
      </c>
    </row>
    <row r="856" spans="1:17">
      <c r="A856" s="366" t="s">
        <v>2812</v>
      </c>
      <c r="B856" s="366" t="s">
        <v>231</v>
      </c>
      <c r="C856" s="348" t="str">
        <f>DATA_PROPERTY_MASTER!$A$6</f>
        <v>BLD_AC</v>
      </c>
      <c r="D856" s="380">
        <f>'00_PORTFOLIO ROLLUP'!U$12</f>
        <v>2041</v>
      </c>
      <c r="E856" s="366" t="s">
        <v>1683</v>
      </c>
      <c r="F856" s="366" t="s">
        <v>355</v>
      </c>
      <c r="G856" s="348" t="str">
        <f>"'"&amp;$C856&amp;"'!$E$39:$Y$39"</f>
        <v>'BLD_AC'!$E$39:$Y$39</v>
      </c>
      <c r="H856" s="381">
        <f ca="1">IF(IFERROR(INDEX(DATA_PROPERTY_MASTER!$E$5:$E$21,MATCH($C856,DATA_PROPERTY_MASTER!$A$5:$A$21,0))="Yes",FALSE),IFERROR(INDEX(INDIRECT("'"&amp;$C856&amp;"'!$E$39:$Y$39"),1,MATCH($D856,INDIRECT("'"&amp;$C856&amp;"'!$E$12:$Y$12"),0)),0),0)</f>
        <v>254743.24546792917</v>
      </c>
      <c r="I856" s="366" t="s">
        <v>1690</v>
      </c>
      <c r="J856" s="348" t="str">
        <f t="shared" ca="1" si="26"/>
        <v>OK</v>
      </c>
      <c r="K856" s="366" t="s">
        <v>1686</v>
      </c>
      <c r="L856" s="366" t="s">
        <v>2236</v>
      </c>
      <c r="M856" s="350" t="str">
        <f>IF($B856="Portfolio","Portfolio",IFERROR(INDEX(DATA_ASSET_CLASSIFICATION!$B$8:$B$24,MATCH($C856,DATA_ASSET_CLASSIFICATION!$A$8:$A$24,0)),"Review"))</f>
        <v>Antkiw Court</v>
      </c>
      <c r="N856" s="350" t="str">
        <f ca="1">IF($B856="Portfolio","Portfolio",IFERROR(INDEX(DATA_ASSET_CLASSIFICATION!$U$8:$U$24,MATCH($C856,DATA_ASSET_CLASSIFICATION!$A$8:$A$24,0)),"Review"))</f>
        <v>Stable</v>
      </c>
      <c r="O856" s="350" t="str">
        <f ca="1">IF($B856="Portfolio","Portfolio",IFERROR(INDEX(DATA_ASSET_CLASSIFICATION!$AB$8:$AB$13,MATCH($N856,DATA_ASSET_CLASSIFICATION!$AA$8:$AA$13,0)),"Review"))</f>
        <v>Bucket 2 · Legacy</v>
      </c>
      <c r="P856" s="350" t="str">
        <f>IF($B856="Portfolio","Portfolio",IFERROR(INDEX(DATA_ASSET_CLASSIFICATION!$C$8:$C$24,MATCH($C856,DATA_ASSET_CLASSIFICATION!$A$8:$A$24,0)),"Review"))</f>
        <v>Yes</v>
      </c>
      <c r="Q856" s="350" t="str">
        <f t="shared" ca="1" si="27"/>
        <v>OK</v>
      </c>
    </row>
    <row r="857" spans="1:17">
      <c r="A857" s="366" t="s">
        <v>2813</v>
      </c>
      <c r="B857" s="366" t="s">
        <v>231</v>
      </c>
      <c r="C857" s="348" t="str">
        <f>DATA_PROPERTY_MASTER!$A$6</f>
        <v>BLD_AC</v>
      </c>
      <c r="D857" s="380">
        <f>'00_PORTFOLIO ROLLUP'!U$12</f>
        <v>2041</v>
      </c>
      <c r="E857" s="366" t="s">
        <v>1683</v>
      </c>
      <c r="F857" s="366" t="s">
        <v>19</v>
      </c>
      <c r="G857" s="348" t="str">
        <f>"'"&amp;$C857&amp;"'!$E$41:$Y$41"</f>
        <v>'BLD_AC'!$E$41:$Y$41</v>
      </c>
      <c r="H857" s="381">
        <f ca="1">IF(IFERROR(INDEX(DATA_PROPERTY_MASTER!$E$5:$E$21,MATCH($C857,DATA_PROPERTY_MASTER!$A$5:$A$21,0))="Yes",FALSE),IFERROR(INDEX(INDIRECT("'"&amp;$C857&amp;"'!$E$41:$Y$41"),1,MATCH($D857,INDIRECT("'"&amp;$C857&amp;"'!$E$12:$Y$12"),0)),0),0)</f>
        <v>211647.9528941203</v>
      </c>
      <c r="I857" s="366" t="s">
        <v>1685</v>
      </c>
      <c r="J857" s="348" t="str">
        <f t="shared" ca="1" si="26"/>
        <v>OK</v>
      </c>
      <c r="K857" s="366" t="s">
        <v>1694</v>
      </c>
      <c r="L857" s="366" t="s">
        <v>2238</v>
      </c>
      <c r="M857" s="350" t="str">
        <f>IF($B857="Portfolio","Portfolio",IFERROR(INDEX(DATA_ASSET_CLASSIFICATION!$B$8:$B$24,MATCH($C857,DATA_ASSET_CLASSIFICATION!$A$8:$A$24,0)),"Review"))</f>
        <v>Antkiw Court</v>
      </c>
      <c r="N857" s="350" t="str">
        <f ca="1">IF($B857="Portfolio","Portfolio",IFERROR(INDEX(DATA_ASSET_CLASSIFICATION!$U$8:$U$24,MATCH($C857,DATA_ASSET_CLASSIFICATION!$A$8:$A$24,0)),"Review"))</f>
        <v>Stable</v>
      </c>
      <c r="O857" s="350" t="str">
        <f ca="1">IF($B857="Portfolio","Portfolio",IFERROR(INDEX(DATA_ASSET_CLASSIFICATION!$AB$8:$AB$13,MATCH($N857,DATA_ASSET_CLASSIFICATION!$AA$8:$AA$13,0)),"Review"))</f>
        <v>Bucket 2 · Legacy</v>
      </c>
      <c r="P857" s="350" t="str">
        <f>IF($B857="Portfolio","Portfolio",IFERROR(INDEX(DATA_ASSET_CLASSIFICATION!$C$8:$C$24,MATCH($C857,DATA_ASSET_CLASSIFICATION!$A$8:$A$24,0)),"Review"))</f>
        <v>Yes</v>
      </c>
      <c r="Q857" s="350" t="str">
        <f t="shared" ca="1" si="27"/>
        <v>OK</v>
      </c>
    </row>
    <row r="858" spans="1:17">
      <c r="A858" s="366" t="s">
        <v>2814</v>
      </c>
      <c r="B858" s="366" t="s">
        <v>231</v>
      </c>
      <c r="C858" s="348" t="str">
        <f>DATA_PROPERTY_MASTER!$A$6</f>
        <v>BLD_AC</v>
      </c>
      <c r="D858" s="380">
        <f>'00_PORTFOLIO ROLLUP'!U$12</f>
        <v>2041</v>
      </c>
      <c r="E858" s="366" t="s">
        <v>1683</v>
      </c>
      <c r="F858" s="366" t="s">
        <v>1697</v>
      </c>
      <c r="G858" s="348" t="str">
        <f>"'"&amp;$C858&amp;"'!$E$44:$Y$44"</f>
        <v>'BLD_AC'!$E$44:$Y$44</v>
      </c>
      <c r="H858" s="381">
        <f ca="1">IF(IFERROR(INDEX(DATA_PROPERTY_MASTER!$E$5:$E$21,MATCH($C858,DATA_PROPERTY_MASTER!$A$5:$A$21,0))="Yes",FALSE),IFERROR(INDEX(INDIRECT("'"&amp;$C858&amp;"'!$E$44:$Y$44"),1,MATCH($D858,INDIRECT("'"&amp;$C858&amp;"'!$E$12:$Y$12"),0)),0),0)</f>
        <v>4324.2749710354283</v>
      </c>
      <c r="I858" s="366" t="s">
        <v>1690</v>
      </c>
      <c r="J858" s="348" t="str">
        <f t="shared" ca="1" si="26"/>
        <v>OK</v>
      </c>
      <c r="K858" s="366" t="s">
        <v>1699</v>
      </c>
      <c r="L858" s="366" t="s">
        <v>2240</v>
      </c>
      <c r="M858" s="350" t="str">
        <f>IF($B858="Portfolio","Portfolio",IFERROR(INDEX(DATA_ASSET_CLASSIFICATION!$B$8:$B$24,MATCH($C858,DATA_ASSET_CLASSIFICATION!$A$8:$A$24,0)),"Review"))</f>
        <v>Antkiw Court</v>
      </c>
      <c r="N858" s="350" t="str">
        <f ca="1">IF($B858="Portfolio","Portfolio",IFERROR(INDEX(DATA_ASSET_CLASSIFICATION!$U$8:$U$24,MATCH($C858,DATA_ASSET_CLASSIFICATION!$A$8:$A$24,0)),"Review"))</f>
        <v>Stable</v>
      </c>
      <c r="O858" s="350" t="str">
        <f ca="1">IF($B858="Portfolio","Portfolio",IFERROR(INDEX(DATA_ASSET_CLASSIFICATION!$AB$8:$AB$13,MATCH($N858,DATA_ASSET_CLASSIFICATION!$AA$8:$AA$13,0)),"Review"))</f>
        <v>Bucket 2 · Legacy</v>
      </c>
      <c r="P858" s="350" t="str">
        <f>IF($B858="Portfolio","Portfolio",IFERROR(INDEX(DATA_ASSET_CLASSIFICATION!$C$8:$C$24,MATCH($C858,DATA_ASSET_CLASSIFICATION!$A$8:$A$24,0)),"Review"))</f>
        <v>Yes</v>
      </c>
      <c r="Q858" s="350" t="str">
        <f t="shared" ca="1" si="27"/>
        <v>OK</v>
      </c>
    </row>
    <row r="859" spans="1:17">
      <c r="A859" s="366" t="s">
        <v>2815</v>
      </c>
      <c r="B859" s="366" t="s">
        <v>231</v>
      </c>
      <c r="C859" s="348" t="str">
        <f>DATA_PROPERTY_MASTER!$A$6</f>
        <v>BLD_AC</v>
      </c>
      <c r="D859" s="380">
        <f>'00_PORTFOLIO ROLLUP'!U$12</f>
        <v>2041</v>
      </c>
      <c r="E859" s="366" t="s">
        <v>1683</v>
      </c>
      <c r="F859" s="366" t="s">
        <v>21</v>
      </c>
      <c r="G859" s="348" t="str">
        <f>"'"&amp;$C859&amp;"'!$E$45:$Y$45"</f>
        <v>'BLD_AC'!$E$45:$Y$45</v>
      </c>
      <c r="H859" s="381">
        <f ca="1">IF(IFERROR(INDEX(DATA_PROPERTY_MASTER!$E$5:$E$21,MATCH($C859,DATA_PROPERTY_MASTER!$A$5:$A$21,0))="Yes",FALSE),IFERROR(INDEX(INDIRECT("'"&amp;$C859&amp;"'!$E$45:$Y$45"),1,MATCH($D859,INDIRECT("'"&amp;$C859&amp;"'!$E$12:$Y$12"),0)),0),0)</f>
        <v>207323.67792308488</v>
      </c>
      <c r="I859" s="366" t="s">
        <v>1685</v>
      </c>
      <c r="J859" s="348" t="str">
        <f t="shared" ca="1" si="26"/>
        <v>OK</v>
      </c>
      <c r="K859" s="366" t="s">
        <v>1694</v>
      </c>
      <c r="L859" s="366" t="s">
        <v>2242</v>
      </c>
      <c r="M859" s="350" t="str">
        <f>IF($B859="Portfolio","Portfolio",IFERROR(INDEX(DATA_ASSET_CLASSIFICATION!$B$8:$B$24,MATCH($C859,DATA_ASSET_CLASSIFICATION!$A$8:$A$24,0)),"Review"))</f>
        <v>Antkiw Court</v>
      </c>
      <c r="N859" s="350" t="str">
        <f ca="1">IF($B859="Portfolio","Portfolio",IFERROR(INDEX(DATA_ASSET_CLASSIFICATION!$U$8:$U$24,MATCH($C859,DATA_ASSET_CLASSIFICATION!$A$8:$A$24,0)),"Review"))</f>
        <v>Stable</v>
      </c>
      <c r="O859" s="350" t="str">
        <f ca="1">IF($B859="Portfolio","Portfolio",IFERROR(INDEX(DATA_ASSET_CLASSIFICATION!$AB$8:$AB$13,MATCH($N859,DATA_ASSET_CLASSIFICATION!$AA$8:$AA$13,0)),"Review"))</f>
        <v>Bucket 2 · Legacy</v>
      </c>
      <c r="P859" s="350" t="str">
        <f>IF($B859="Portfolio","Portfolio",IFERROR(INDEX(DATA_ASSET_CLASSIFICATION!$C$8:$C$24,MATCH($C859,DATA_ASSET_CLASSIFICATION!$A$8:$A$24,0)),"Review"))</f>
        <v>Yes</v>
      </c>
      <c r="Q859" s="350" t="str">
        <f t="shared" ca="1" si="27"/>
        <v>OK</v>
      </c>
    </row>
    <row r="860" spans="1:17">
      <c r="A860" s="366" t="s">
        <v>2816</v>
      </c>
      <c r="B860" s="366" t="s">
        <v>231</v>
      </c>
      <c r="C860" s="348" t="str">
        <f>DATA_PROPERTY_MASTER!$A$6</f>
        <v>BLD_AC</v>
      </c>
      <c r="D860" s="380">
        <f>'00_PORTFOLIO ROLLUP'!U$12</f>
        <v>2041</v>
      </c>
      <c r="E860" s="366" t="s">
        <v>23</v>
      </c>
      <c r="F860" s="366" t="s">
        <v>23</v>
      </c>
      <c r="G860" s="348" t="str">
        <f>"'"&amp;$C860&amp;"'!$E$48:$Y$48"</f>
        <v>'BLD_AC'!$E$48:$Y$48</v>
      </c>
      <c r="H860" s="381">
        <f ca="1">IF(IFERROR(INDEX(DATA_PROPERTY_MASTER!$E$5:$E$21,MATCH($C860,DATA_PROPERTY_MASTER!$A$5:$A$21,0))="Yes",FALSE),IFERROR(INDEX(INDIRECT("'"&amp;$C860&amp;"'!$E$48:$Y$48"),1,MATCH($D860,INDIRECT("'"&amp;$C860&amp;"'!$E$12:$Y$12"),0)),0),0)</f>
        <v>54330.12</v>
      </c>
      <c r="I860" s="366" t="s">
        <v>1690</v>
      </c>
      <c r="J860" s="348" t="str">
        <f t="shared" ca="1" si="26"/>
        <v>OK</v>
      </c>
      <c r="K860" s="366" t="s">
        <v>1706</v>
      </c>
      <c r="L860" s="366" t="s">
        <v>2244</v>
      </c>
      <c r="M860" s="350" t="str">
        <f>IF($B860="Portfolio","Portfolio",IFERROR(INDEX(DATA_ASSET_CLASSIFICATION!$B$8:$B$24,MATCH($C860,DATA_ASSET_CLASSIFICATION!$A$8:$A$24,0)),"Review"))</f>
        <v>Antkiw Court</v>
      </c>
      <c r="N860" s="350" t="str">
        <f ca="1">IF($B860="Portfolio","Portfolio",IFERROR(INDEX(DATA_ASSET_CLASSIFICATION!$U$8:$U$24,MATCH($C860,DATA_ASSET_CLASSIFICATION!$A$8:$A$24,0)),"Review"))</f>
        <v>Stable</v>
      </c>
      <c r="O860" s="350" t="str">
        <f ca="1">IF($B860="Portfolio","Portfolio",IFERROR(INDEX(DATA_ASSET_CLASSIFICATION!$AB$8:$AB$13,MATCH($N860,DATA_ASSET_CLASSIFICATION!$AA$8:$AA$13,0)),"Review"))</f>
        <v>Bucket 2 · Legacy</v>
      </c>
      <c r="P860" s="350" t="str">
        <f>IF($B860="Portfolio","Portfolio",IFERROR(INDEX(DATA_ASSET_CLASSIFICATION!$C$8:$C$24,MATCH($C860,DATA_ASSET_CLASSIFICATION!$A$8:$A$24,0)),"Review"))</f>
        <v>Yes</v>
      </c>
      <c r="Q860" s="350" t="str">
        <f t="shared" ca="1" si="27"/>
        <v>OK</v>
      </c>
    </row>
    <row r="861" spans="1:17">
      <c r="A861" s="366" t="s">
        <v>2817</v>
      </c>
      <c r="B861" s="366" t="s">
        <v>231</v>
      </c>
      <c r="C861" s="348" t="str">
        <f>DATA_PROPERTY_MASTER!$A$6</f>
        <v>BLD_AC</v>
      </c>
      <c r="D861" s="380">
        <f>'00_PORTFOLIO ROLLUP'!U$12</f>
        <v>2041</v>
      </c>
      <c r="E861" s="366" t="s">
        <v>1683</v>
      </c>
      <c r="F861" s="366" t="s">
        <v>25</v>
      </c>
      <c r="G861" s="348" t="str">
        <f>"'"&amp;$C861&amp;"'!$E$52:$Y$52"</f>
        <v>'BLD_AC'!$E$52:$Y$52</v>
      </c>
      <c r="H861" s="381">
        <f ca="1">IF(IFERROR(INDEX(DATA_PROPERTY_MASTER!$E$5:$E$21,MATCH($C861,DATA_PROPERTY_MASTER!$A$5:$A$21,0))="Yes",FALSE),IFERROR(INDEX(INDIRECT("'"&amp;$C861&amp;"'!$E$52:$Y$52"),1,MATCH($D861,INDIRECT("'"&amp;$C861&amp;"'!$E$12:$Y$12"),0)),0),0)</f>
        <v>157317.83289412031</v>
      </c>
      <c r="I861" s="366" t="s">
        <v>1685</v>
      </c>
      <c r="J861" s="348" t="str">
        <f t="shared" ca="1" si="26"/>
        <v>OK</v>
      </c>
      <c r="K861" s="366" t="s">
        <v>1710</v>
      </c>
      <c r="L861" s="366" t="s">
        <v>2246</v>
      </c>
      <c r="M861" s="350" t="str">
        <f>IF($B861="Portfolio","Portfolio",IFERROR(INDEX(DATA_ASSET_CLASSIFICATION!$B$8:$B$24,MATCH($C861,DATA_ASSET_CLASSIFICATION!$A$8:$A$24,0)),"Review"))</f>
        <v>Antkiw Court</v>
      </c>
      <c r="N861" s="350" t="str">
        <f ca="1">IF($B861="Portfolio","Portfolio",IFERROR(INDEX(DATA_ASSET_CLASSIFICATION!$U$8:$U$24,MATCH($C861,DATA_ASSET_CLASSIFICATION!$A$8:$A$24,0)),"Review"))</f>
        <v>Stable</v>
      </c>
      <c r="O861" s="350" t="str">
        <f ca="1">IF($B861="Portfolio","Portfolio",IFERROR(INDEX(DATA_ASSET_CLASSIFICATION!$AB$8:$AB$13,MATCH($N861,DATA_ASSET_CLASSIFICATION!$AA$8:$AA$13,0)),"Review"))</f>
        <v>Bucket 2 · Legacy</v>
      </c>
      <c r="P861" s="350" t="str">
        <f>IF($B861="Portfolio","Portfolio",IFERROR(INDEX(DATA_ASSET_CLASSIFICATION!$C$8:$C$24,MATCH($C861,DATA_ASSET_CLASSIFICATION!$A$8:$A$24,0)),"Review"))</f>
        <v>Yes</v>
      </c>
      <c r="Q861" s="350" t="str">
        <f t="shared" ca="1" si="27"/>
        <v>OK</v>
      </c>
    </row>
    <row r="862" spans="1:17">
      <c r="A862" s="366" t="s">
        <v>2818</v>
      </c>
      <c r="B862" s="366" t="s">
        <v>231</v>
      </c>
      <c r="C862" s="348" t="str">
        <f>DATA_PROPERTY_MASTER!$A$6</f>
        <v>BLD_AC</v>
      </c>
      <c r="D862" s="380">
        <f>'00_PORTFOLIO ROLLUP'!U$12</f>
        <v>2041</v>
      </c>
      <c r="E862" s="366" t="s">
        <v>1683</v>
      </c>
      <c r="F862" s="366" t="s">
        <v>27</v>
      </c>
      <c r="G862" s="348" t="str">
        <f>"'"&amp;$C862&amp;"'!$E$54:$Y$54"</f>
        <v>'BLD_AC'!$E$54:$Y$54</v>
      </c>
      <c r="H862" s="381">
        <f ca="1">IF(IFERROR(INDEX(DATA_PROPERTY_MASTER!$E$5:$E$21,MATCH($C862,DATA_PROPERTY_MASTER!$A$5:$A$21,0))="Yes",FALSE),IFERROR(INDEX(INDIRECT("'"&amp;$C862&amp;"'!$E$54:$Y$54"),1,MATCH($D862,INDIRECT("'"&amp;$C862&amp;"'!$E$12:$Y$12"),0)),0),0)</f>
        <v>94390.699736472176</v>
      </c>
      <c r="I862" s="366" t="s">
        <v>1690</v>
      </c>
      <c r="J862" s="348" t="str">
        <f t="shared" ca="1" si="26"/>
        <v>OK</v>
      </c>
      <c r="K862" s="366" t="s">
        <v>1714</v>
      </c>
      <c r="L862" s="366" t="s">
        <v>2248</v>
      </c>
      <c r="M862" s="350" t="str">
        <f>IF($B862="Portfolio","Portfolio",IFERROR(INDEX(DATA_ASSET_CLASSIFICATION!$B$8:$B$24,MATCH($C862,DATA_ASSET_CLASSIFICATION!$A$8:$A$24,0)),"Review"))</f>
        <v>Antkiw Court</v>
      </c>
      <c r="N862" s="350" t="str">
        <f ca="1">IF($B862="Portfolio","Portfolio",IFERROR(INDEX(DATA_ASSET_CLASSIFICATION!$U$8:$U$24,MATCH($C862,DATA_ASSET_CLASSIFICATION!$A$8:$A$24,0)),"Review"))</f>
        <v>Stable</v>
      </c>
      <c r="O862" s="350" t="str">
        <f ca="1">IF($B862="Portfolio","Portfolio",IFERROR(INDEX(DATA_ASSET_CLASSIFICATION!$AB$8:$AB$13,MATCH($N862,DATA_ASSET_CLASSIFICATION!$AA$8:$AA$13,0)),"Review"))</f>
        <v>Bucket 2 · Legacy</v>
      </c>
      <c r="P862" s="350" t="str">
        <f>IF($B862="Portfolio","Portfolio",IFERROR(INDEX(DATA_ASSET_CLASSIFICATION!$C$8:$C$24,MATCH($C862,DATA_ASSET_CLASSIFICATION!$A$8:$A$24,0)),"Review"))</f>
        <v>Yes</v>
      </c>
      <c r="Q862" s="350" t="str">
        <f t="shared" ca="1" si="27"/>
        <v>OK</v>
      </c>
    </row>
    <row r="863" spans="1:17">
      <c r="A863" s="366" t="s">
        <v>2819</v>
      </c>
      <c r="B863" s="366" t="s">
        <v>231</v>
      </c>
      <c r="C863" s="348" t="str">
        <f>DATA_PROPERTY_MASTER!$A$6</f>
        <v>BLD_AC</v>
      </c>
      <c r="D863" s="380">
        <f>'00_PORTFOLIO ROLLUP'!U$12</f>
        <v>2041</v>
      </c>
      <c r="E863" s="366" t="s">
        <v>1683</v>
      </c>
      <c r="F863" s="366" t="s">
        <v>29</v>
      </c>
      <c r="G863" s="348" t="str">
        <f>"'"&amp;$C863&amp;"'!$E$56:$Y$56"</f>
        <v>'BLD_AC'!$E$56:$Y$56</v>
      </c>
      <c r="H863" s="381">
        <f ca="1">IF(IFERROR(INDEX(DATA_PROPERTY_MASTER!$E$5:$E$21,MATCH($C863,DATA_PROPERTY_MASTER!$A$5:$A$21,0))="Yes",FALSE),IFERROR(INDEX(INDIRECT("'"&amp;$C863&amp;"'!$E$56:$Y$56"),1,MATCH($D863,INDIRECT("'"&amp;$C863&amp;"'!$E$12:$Y$12"),0)),0),0)</f>
        <v>62927.133157648132</v>
      </c>
      <c r="I863" s="366" t="s">
        <v>1685</v>
      </c>
      <c r="J863" s="348" t="str">
        <f t="shared" ca="1" si="26"/>
        <v>OK</v>
      </c>
      <c r="K863" s="366" t="s">
        <v>1718</v>
      </c>
      <c r="L863" s="366" t="s">
        <v>2250</v>
      </c>
      <c r="M863" s="350" t="str">
        <f>IF($B863="Portfolio","Portfolio",IFERROR(INDEX(DATA_ASSET_CLASSIFICATION!$B$8:$B$24,MATCH($C863,DATA_ASSET_CLASSIFICATION!$A$8:$A$24,0)),"Review"))</f>
        <v>Antkiw Court</v>
      </c>
      <c r="N863" s="350" t="str">
        <f ca="1">IF($B863="Portfolio","Portfolio",IFERROR(INDEX(DATA_ASSET_CLASSIFICATION!$U$8:$U$24,MATCH($C863,DATA_ASSET_CLASSIFICATION!$A$8:$A$24,0)),"Review"))</f>
        <v>Stable</v>
      </c>
      <c r="O863" s="350" t="str">
        <f ca="1">IF($B863="Portfolio","Portfolio",IFERROR(INDEX(DATA_ASSET_CLASSIFICATION!$AB$8:$AB$13,MATCH($N863,DATA_ASSET_CLASSIFICATION!$AA$8:$AA$13,0)),"Review"))</f>
        <v>Bucket 2 · Legacy</v>
      </c>
      <c r="P863" s="350" t="str">
        <f>IF($B863="Portfolio","Portfolio",IFERROR(INDEX(DATA_ASSET_CLASSIFICATION!$C$8:$C$24,MATCH($C863,DATA_ASSET_CLASSIFICATION!$A$8:$A$24,0)),"Review"))</f>
        <v>Yes</v>
      </c>
      <c r="Q863" s="350" t="str">
        <f t="shared" ca="1" si="27"/>
        <v>OK</v>
      </c>
    </row>
    <row r="864" spans="1:17">
      <c r="A864" s="366" t="s">
        <v>2820</v>
      </c>
      <c r="B864" s="366" t="s">
        <v>231</v>
      </c>
      <c r="C864" s="348" t="str">
        <f>DATA_PROPERTY_MASTER!$A$6</f>
        <v>BLD_AC</v>
      </c>
      <c r="D864" s="380">
        <f>'00_PORTFOLIO ROLLUP'!U$12</f>
        <v>2041</v>
      </c>
      <c r="E864" s="366" t="s">
        <v>1721</v>
      </c>
      <c r="F864" s="366" t="s">
        <v>31</v>
      </c>
      <c r="G864" s="348" t="str">
        <f>"'"&amp;$C864&amp;"'!$E$61:$Y$61"</f>
        <v>'BLD_AC'!$E$61:$Y$61</v>
      </c>
      <c r="H864" s="381">
        <f ca="1">IF(IFERROR(INDEX(DATA_PROPERTY_MASTER!$E$5:$E$21,MATCH($C864,DATA_PROPERTY_MASTER!$A$5:$A$21,0))="Yes",FALSE),IFERROR(INDEX(INDIRECT("'"&amp;$C864&amp;"'!$E$61:$Y$61"),1,MATCH($D864,INDIRECT("'"&amp;$C864&amp;"'!$E$12:$Y$12"),0)),0),0)</f>
        <v>0</v>
      </c>
      <c r="I864" s="366" t="s">
        <v>1690</v>
      </c>
      <c r="J864" s="348" t="str">
        <f t="shared" ca="1" si="26"/>
        <v>OK</v>
      </c>
      <c r="K864" s="366" t="s">
        <v>1723</v>
      </c>
      <c r="L864" s="366" t="s">
        <v>2252</v>
      </c>
      <c r="M864" s="350" t="str">
        <f>IF($B864="Portfolio","Portfolio",IFERROR(INDEX(DATA_ASSET_CLASSIFICATION!$B$8:$B$24,MATCH($C864,DATA_ASSET_CLASSIFICATION!$A$8:$A$24,0)),"Review"))</f>
        <v>Antkiw Court</v>
      </c>
      <c r="N864" s="350" t="str">
        <f ca="1">IF($B864="Portfolio","Portfolio",IFERROR(INDEX(DATA_ASSET_CLASSIFICATION!$U$8:$U$24,MATCH($C864,DATA_ASSET_CLASSIFICATION!$A$8:$A$24,0)),"Review"))</f>
        <v>Stable</v>
      </c>
      <c r="O864" s="350" t="str">
        <f ca="1">IF($B864="Portfolio","Portfolio",IFERROR(INDEX(DATA_ASSET_CLASSIFICATION!$AB$8:$AB$13,MATCH($N864,DATA_ASSET_CLASSIFICATION!$AA$8:$AA$13,0)),"Review"))</f>
        <v>Bucket 2 · Legacy</v>
      </c>
      <c r="P864" s="350" t="str">
        <f>IF($B864="Portfolio","Portfolio",IFERROR(INDEX(DATA_ASSET_CLASSIFICATION!$C$8:$C$24,MATCH($C864,DATA_ASSET_CLASSIFICATION!$A$8:$A$24,0)),"Review"))</f>
        <v>Yes</v>
      </c>
      <c r="Q864" s="350" t="str">
        <f t="shared" ca="1" si="27"/>
        <v>OK</v>
      </c>
    </row>
    <row r="865" spans="1:17">
      <c r="A865" s="366" t="s">
        <v>2821</v>
      </c>
      <c r="B865" s="366" t="s">
        <v>231</v>
      </c>
      <c r="C865" s="348" t="str">
        <f>DATA_PROPERTY_MASTER!$A$6</f>
        <v>BLD_AC</v>
      </c>
      <c r="D865" s="380">
        <f>'00_PORTFOLIO ROLLUP'!U$12</f>
        <v>2041</v>
      </c>
      <c r="E865" s="366" t="s">
        <v>1721</v>
      </c>
      <c r="F865" s="366" t="s">
        <v>33</v>
      </c>
      <c r="G865" s="348" t="str">
        <f>"'"&amp;$C865&amp;"'!$E$62:$Y$62"</f>
        <v>'BLD_AC'!$E$62:$Y$62</v>
      </c>
      <c r="H865" s="381">
        <f ca="1">IF(IFERROR(INDEX(DATA_PROPERTY_MASTER!$E$5:$E$21,MATCH($C865,DATA_PROPERTY_MASTER!$A$5:$A$21,0))="Yes",FALSE),IFERROR(INDEX(INDIRECT("'"&amp;$C865&amp;"'!$E$62:$Y$62"),1,MATCH($D865,INDIRECT("'"&amp;$C865&amp;"'!$E$12:$Y$12"),0)),0),0)</f>
        <v>0</v>
      </c>
      <c r="I865" s="366" t="s">
        <v>1685</v>
      </c>
      <c r="J865" s="348" t="str">
        <f t="shared" ca="1" si="26"/>
        <v>OK</v>
      </c>
      <c r="K865" s="366" t="s">
        <v>1727</v>
      </c>
      <c r="L865" s="366" t="s">
        <v>2254</v>
      </c>
      <c r="M865" s="350" t="str">
        <f>IF($B865="Portfolio","Portfolio",IFERROR(INDEX(DATA_ASSET_CLASSIFICATION!$B$8:$B$24,MATCH($C865,DATA_ASSET_CLASSIFICATION!$A$8:$A$24,0)),"Review"))</f>
        <v>Antkiw Court</v>
      </c>
      <c r="N865" s="350" t="str">
        <f ca="1">IF($B865="Portfolio","Portfolio",IFERROR(INDEX(DATA_ASSET_CLASSIFICATION!$U$8:$U$24,MATCH($C865,DATA_ASSET_CLASSIFICATION!$A$8:$A$24,0)),"Review"))</f>
        <v>Stable</v>
      </c>
      <c r="O865" s="350" t="str">
        <f ca="1">IF($B865="Portfolio","Portfolio",IFERROR(INDEX(DATA_ASSET_CLASSIFICATION!$AB$8:$AB$13,MATCH($N865,DATA_ASSET_CLASSIFICATION!$AA$8:$AA$13,0)),"Review"))</f>
        <v>Bucket 2 · Legacy</v>
      </c>
      <c r="P865" s="350" t="str">
        <f>IF($B865="Portfolio","Portfolio",IFERROR(INDEX(DATA_ASSET_CLASSIFICATION!$C$8:$C$24,MATCH($C865,DATA_ASSET_CLASSIFICATION!$A$8:$A$24,0)),"Review"))</f>
        <v>Yes</v>
      </c>
      <c r="Q865" s="350" t="str">
        <f t="shared" ca="1" si="27"/>
        <v>OK</v>
      </c>
    </row>
    <row r="866" spans="1:17">
      <c r="A866" s="366" t="s">
        <v>2822</v>
      </c>
      <c r="B866" s="366" t="s">
        <v>231</v>
      </c>
      <c r="C866" s="348" t="str">
        <f>DATA_PROPERTY_MASTER!$A$6</f>
        <v>BLD_AC</v>
      </c>
      <c r="D866" s="380">
        <f>'00_PORTFOLIO ROLLUP'!U$12</f>
        <v>2041</v>
      </c>
      <c r="E866" s="366" t="s">
        <v>1721</v>
      </c>
      <c r="F866" s="366" t="s">
        <v>35</v>
      </c>
      <c r="G866" s="348" t="str">
        <f>"'"&amp;$C866&amp;"'!$E$63:$Y$63"</f>
        <v>'BLD_AC'!$E$63:$Y$63</v>
      </c>
      <c r="H866" s="381">
        <f ca="1">IF(IFERROR(INDEX(DATA_PROPERTY_MASTER!$E$5:$E$21,MATCH($C866,DATA_PROPERTY_MASTER!$A$5:$A$21,0))="Yes",FALSE),IFERROR(INDEX(INDIRECT("'"&amp;$C866&amp;"'!$E$63:$Y$63"),1,MATCH($D866,INDIRECT("'"&amp;$C866&amp;"'!$E$12:$Y$12"),0)),0),0)</f>
        <v>0</v>
      </c>
      <c r="I866" s="366" t="s">
        <v>1731</v>
      </c>
      <c r="J866" s="348" t="str">
        <f t="shared" ca="1" si="26"/>
        <v>OK</v>
      </c>
      <c r="K866" s="366" t="s">
        <v>1732</v>
      </c>
      <c r="L866" s="366" t="s">
        <v>2256</v>
      </c>
      <c r="M866" s="350" t="str">
        <f>IF($B866="Portfolio","Portfolio",IFERROR(INDEX(DATA_ASSET_CLASSIFICATION!$B$8:$B$24,MATCH($C866,DATA_ASSET_CLASSIFICATION!$A$8:$A$24,0)),"Review"))</f>
        <v>Antkiw Court</v>
      </c>
      <c r="N866" s="350" t="str">
        <f ca="1">IF($B866="Portfolio","Portfolio",IFERROR(INDEX(DATA_ASSET_CLASSIFICATION!$U$8:$U$24,MATCH($C866,DATA_ASSET_CLASSIFICATION!$A$8:$A$24,0)),"Review"))</f>
        <v>Stable</v>
      </c>
      <c r="O866" s="350" t="str">
        <f ca="1">IF($B866="Portfolio","Portfolio",IFERROR(INDEX(DATA_ASSET_CLASSIFICATION!$AB$8:$AB$13,MATCH($N866,DATA_ASSET_CLASSIFICATION!$AA$8:$AA$13,0)),"Review"))</f>
        <v>Bucket 2 · Legacy</v>
      </c>
      <c r="P866" s="350" t="str">
        <f>IF($B866="Portfolio","Portfolio",IFERROR(INDEX(DATA_ASSET_CLASSIFICATION!$C$8:$C$24,MATCH($C866,DATA_ASSET_CLASSIFICATION!$A$8:$A$24,0)),"Review"))</f>
        <v>Yes</v>
      </c>
      <c r="Q866" s="350" t="str">
        <f t="shared" ca="1" si="27"/>
        <v>OK</v>
      </c>
    </row>
    <row r="867" spans="1:17">
      <c r="A867" s="366" t="s">
        <v>2823</v>
      </c>
      <c r="B867" s="366" t="s">
        <v>231</v>
      </c>
      <c r="C867" s="348" t="str">
        <f>DATA_PROPERTY_MASTER!$A$6</f>
        <v>BLD_AC</v>
      </c>
      <c r="D867" s="380">
        <f>'00_PORTFOLIO ROLLUP'!U$12</f>
        <v>2041</v>
      </c>
      <c r="E867" s="366" t="s">
        <v>1721</v>
      </c>
      <c r="F867" s="366" t="s">
        <v>37</v>
      </c>
      <c r="G867" s="348" t="str">
        <f>"'"&amp;$C867&amp;"'!$E$63:$Y$63"</f>
        <v>'BLD_AC'!$E$63:$Y$63</v>
      </c>
      <c r="H867" s="381">
        <f ca="1">IF(IFERROR(INDEX(DATA_PROPERTY_MASTER!$E$5:$E$21,MATCH($C867,DATA_PROPERTY_MASTER!$A$5:$A$21,0))="Yes",FALSE),MAX(IFERROR(INDEX(INDIRECT("'"&amp;$C867&amp;"'!$E$63:$Y$63"),1,MATCH($D867,INDIRECT("'"&amp;$C867&amp;"'!$E$12:$Y$12"),0)),0),0),0)</f>
        <v>0</v>
      </c>
      <c r="I867" s="366" t="s">
        <v>1685</v>
      </c>
      <c r="J867" s="348" t="str">
        <f t="shared" ca="1" si="26"/>
        <v>OK</v>
      </c>
      <c r="K867" s="366" t="s">
        <v>1735</v>
      </c>
      <c r="L867" s="366" t="s">
        <v>2258</v>
      </c>
      <c r="M867" s="350" t="str">
        <f>IF($B867="Portfolio","Portfolio",IFERROR(INDEX(DATA_ASSET_CLASSIFICATION!$B$8:$B$24,MATCH($C867,DATA_ASSET_CLASSIFICATION!$A$8:$A$24,0)),"Review"))</f>
        <v>Antkiw Court</v>
      </c>
      <c r="N867" s="350" t="str">
        <f ca="1">IF($B867="Portfolio","Portfolio",IFERROR(INDEX(DATA_ASSET_CLASSIFICATION!$U$8:$U$24,MATCH($C867,DATA_ASSET_CLASSIFICATION!$A$8:$A$24,0)),"Review"))</f>
        <v>Stable</v>
      </c>
      <c r="O867" s="350" t="str">
        <f ca="1">IF($B867="Portfolio","Portfolio",IFERROR(INDEX(DATA_ASSET_CLASSIFICATION!$AB$8:$AB$13,MATCH($N867,DATA_ASSET_CLASSIFICATION!$AA$8:$AA$13,0)),"Review"))</f>
        <v>Bucket 2 · Legacy</v>
      </c>
      <c r="P867" s="350" t="str">
        <f>IF($B867="Portfolio","Portfolio",IFERROR(INDEX(DATA_ASSET_CLASSIFICATION!$C$8:$C$24,MATCH($C867,DATA_ASSET_CLASSIFICATION!$A$8:$A$24,0)),"Review"))</f>
        <v>Yes</v>
      </c>
      <c r="Q867" s="350" t="str">
        <f t="shared" ca="1" si="27"/>
        <v>OK</v>
      </c>
    </row>
    <row r="868" spans="1:17">
      <c r="A868" s="366" t="s">
        <v>2824</v>
      </c>
      <c r="B868" s="366" t="s">
        <v>231</v>
      </c>
      <c r="C868" s="348" t="str">
        <f>DATA_PROPERTY_MASTER!$A$6</f>
        <v>BLD_AC</v>
      </c>
      <c r="D868" s="380">
        <f>'00_PORTFOLIO ROLLUP'!U$12</f>
        <v>2041</v>
      </c>
      <c r="E868" s="366" t="s">
        <v>1721</v>
      </c>
      <c r="F868" s="366" t="s">
        <v>39</v>
      </c>
      <c r="G868" s="348" t="str">
        <f>"'"&amp;$C868&amp;"'!$E$63:$Y$63"</f>
        <v>'BLD_AC'!$E$63:$Y$63</v>
      </c>
      <c r="H868" s="381">
        <f ca="1">IF(IFERROR(INDEX(DATA_PROPERTY_MASTER!$E$5:$E$21,MATCH($C868,DATA_PROPERTY_MASTER!$A$5:$A$21,0))="Yes",FALSE),MAX(-IFERROR(INDEX(INDIRECT("'"&amp;$C868&amp;"'!$E$63:$Y$63"),1,MATCH($D868,INDIRECT("'"&amp;$C868&amp;"'!$E$12:$Y$12"),0)),0),0),0)</f>
        <v>0</v>
      </c>
      <c r="I868" s="366" t="s">
        <v>1690</v>
      </c>
      <c r="J868" s="348" t="str">
        <f t="shared" ca="1" si="26"/>
        <v>OK</v>
      </c>
      <c r="K868" s="366" t="s">
        <v>1738</v>
      </c>
      <c r="L868" s="366" t="s">
        <v>2260</v>
      </c>
      <c r="M868" s="350" t="str">
        <f>IF($B868="Portfolio","Portfolio",IFERROR(INDEX(DATA_ASSET_CLASSIFICATION!$B$8:$B$24,MATCH($C868,DATA_ASSET_CLASSIFICATION!$A$8:$A$24,0)),"Review"))</f>
        <v>Antkiw Court</v>
      </c>
      <c r="N868" s="350" t="str">
        <f ca="1">IF($B868="Portfolio","Portfolio",IFERROR(INDEX(DATA_ASSET_CLASSIFICATION!$U$8:$U$24,MATCH($C868,DATA_ASSET_CLASSIFICATION!$A$8:$A$24,0)),"Review"))</f>
        <v>Stable</v>
      </c>
      <c r="O868" s="350" t="str">
        <f ca="1">IF($B868="Portfolio","Portfolio",IFERROR(INDEX(DATA_ASSET_CLASSIFICATION!$AB$8:$AB$13,MATCH($N868,DATA_ASSET_CLASSIFICATION!$AA$8:$AA$13,0)),"Review"))</f>
        <v>Bucket 2 · Legacy</v>
      </c>
      <c r="P868" s="350" t="str">
        <f>IF($B868="Portfolio","Portfolio",IFERROR(INDEX(DATA_ASSET_CLASSIFICATION!$C$8:$C$24,MATCH($C868,DATA_ASSET_CLASSIFICATION!$A$8:$A$24,0)),"Review"))</f>
        <v>Yes</v>
      </c>
      <c r="Q868" s="350" t="str">
        <f t="shared" ca="1" si="27"/>
        <v>OK</v>
      </c>
    </row>
    <row r="869" spans="1:17">
      <c r="A869" s="366" t="s">
        <v>2825</v>
      </c>
      <c r="B869" s="366" t="s">
        <v>231</v>
      </c>
      <c r="C869" s="348" t="str">
        <f>DATA_PROPERTY_MASTER!$A$6</f>
        <v>BLD_AC</v>
      </c>
      <c r="D869" s="380">
        <f>'00_PORTFOLIO ROLLUP'!U$12</f>
        <v>2041</v>
      </c>
      <c r="E869" s="366" t="s">
        <v>1741</v>
      </c>
      <c r="F869" s="366" t="s">
        <v>41</v>
      </c>
      <c r="G869" s="348" t="str">
        <f>"'"&amp;$C869&amp;"'!rows 56 + positive row 63"</f>
        <v>'BLD_AC'!rows 56 + positive row 63</v>
      </c>
      <c r="H869" s="381">
        <f ca="1">IF(IFERROR(INDEX(DATA_PROPERTY_MASTER!$E$5:$E$21,MATCH($C869,DATA_PROPERTY_MASTER!$A$5:$A$21,0))="Yes",FALSE),IFERROR(INDEX(INDIRECT("'"&amp;$C869&amp;"'!$E$56:$Y$56"),1,MATCH($D869,INDIRECT("'"&amp;$C869&amp;"'!$E$12:$Y$12"),0)),0)+MAX(IFERROR(INDEX(INDIRECT("'"&amp;$C869&amp;"'!$E$63:$Y$63"),1,MATCH($D869,INDIRECT("'"&amp;$C869&amp;"'!$E$12:$Y$12"),0)),0),0),0)</f>
        <v>62927.133157648132</v>
      </c>
      <c r="I869" s="366" t="s">
        <v>1685</v>
      </c>
      <c r="J869" s="348" t="str">
        <f t="shared" ca="1" si="26"/>
        <v>OK</v>
      </c>
      <c r="K869" s="366" t="s">
        <v>1742</v>
      </c>
      <c r="L869" s="366" t="s">
        <v>2262</v>
      </c>
      <c r="M869" s="350" t="str">
        <f>IF($B869="Portfolio","Portfolio",IFERROR(INDEX(DATA_ASSET_CLASSIFICATION!$B$8:$B$24,MATCH($C869,DATA_ASSET_CLASSIFICATION!$A$8:$A$24,0)),"Review"))</f>
        <v>Antkiw Court</v>
      </c>
      <c r="N869" s="350" t="str">
        <f ca="1">IF($B869="Portfolio","Portfolio",IFERROR(INDEX(DATA_ASSET_CLASSIFICATION!$U$8:$U$24,MATCH($C869,DATA_ASSET_CLASSIFICATION!$A$8:$A$24,0)),"Review"))</f>
        <v>Stable</v>
      </c>
      <c r="O869" s="350" t="str">
        <f ca="1">IF($B869="Portfolio","Portfolio",IFERROR(INDEX(DATA_ASSET_CLASSIFICATION!$AB$8:$AB$13,MATCH($N869,DATA_ASSET_CLASSIFICATION!$AA$8:$AA$13,0)),"Review"))</f>
        <v>Bucket 2 · Legacy</v>
      </c>
      <c r="P869" s="350" t="str">
        <f>IF($B869="Portfolio","Portfolio",IFERROR(INDEX(DATA_ASSET_CLASSIFICATION!$C$8:$C$24,MATCH($C869,DATA_ASSET_CLASSIFICATION!$A$8:$A$24,0)),"Review"))</f>
        <v>Yes</v>
      </c>
      <c r="Q869" s="350" t="str">
        <f t="shared" ca="1" si="27"/>
        <v>OK</v>
      </c>
    </row>
    <row r="870" spans="1:17">
      <c r="A870" s="366" t="s">
        <v>2826</v>
      </c>
      <c r="B870" s="366" t="s">
        <v>231</v>
      </c>
      <c r="C870" s="348" t="str">
        <f>DATA_PROPERTY_MASTER!$A$6</f>
        <v>BLD_AC</v>
      </c>
      <c r="D870" s="380">
        <f>'00_PORTFOLIO ROLLUP'!U$12</f>
        <v>2041</v>
      </c>
      <c r="E870" s="366" t="s">
        <v>1741</v>
      </c>
      <c r="F870" s="366" t="s">
        <v>43</v>
      </c>
      <c r="G870" s="348" t="str">
        <f>"'"&amp;$C870&amp;"'!$E$68:$Y$68"</f>
        <v>'BLD_AC'!$E$68:$Y$68</v>
      </c>
      <c r="H870" s="381">
        <f ca="1">IF(IFERROR(INDEX(DATA_PROPERTY_MASTER!$E$5:$E$21,MATCH($C870,DATA_PROPERTY_MASTER!$A$5:$A$21,0))="Yes",FALSE),IFERROR(INDEX(INDIRECT("'"&amp;$C870&amp;"'!$E$68:$Y$68"),1,MATCH($D870,INDIRECT("'"&amp;$C870&amp;"'!$E$12:$Y$12"),0)),0),0)</f>
        <v>62927.133157648132</v>
      </c>
      <c r="I870" s="366" t="s">
        <v>1731</v>
      </c>
      <c r="J870" s="348" t="str">
        <f t="shared" ca="1" si="26"/>
        <v>OK</v>
      </c>
      <c r="K870" s="366" t="s">
        <v>1746</v>
      </c>
      <c r="L870" s="366" t="s">
        <v>2264</v>
      </c>
      <c r="M870" s="350" t="str">
        <f>IF($B870="Portfolio","Portfolio",IFERROR(INDEX(DATA_ASSET_CLASSIFICATION!$B$8:$B$24,MATCH($C870,DATA_ASSET_CLASSIFICATION!$A$8:$A$24,0)),"Review"))</f>
        <v>Antkiw Court</v>
      </c>
      <c r="N870" s="350" t="str">
        <f ca="1">IF($B870="Portfolio","Portfolio",IFERROR(INDEX(DATA_ASSET_CLASSIFICATION!$U$8:$U$24,MATCH($C870,DATA_ASSET_CLASSIFICATION!$A$8:$A$24,0)),"Review"))</f>
        <v>Stable</v>
      </c>
      <c r="O870" s="350" t="str">
        <f ca="1">IF($B870="Portfolio","Portfolio",IFERROR(INDEX(DATA_ASSET_CLASSIFICATION!$AB$8:$AB$13,MATCH($N870,DATA_ASSET_CLASSIFICATION!$AA$8:$AA$13,0)),"Review"))</f>
        <v>Bucket 2 · Legacy</v>
      </c>
      <c r="P870" s="350" t="str">
        <f>IF($B870="Portfolio","Portfolio",IFERROR(INDEX(DATA_ASSET_CLASSIFICATION!$C$8:$C$24,MATCH($C870,DATA_ASSET_CLASSIFICATION!$A$8:$A$24,0)),"Review"))</f>
        <v>Yes</v>
      </c>
      <c r="Q870" s="350" t="str">
        <f t="shared" ca="1" si="27"/>
        <v>OK</v>
      </c>
    </row>
    <row r="871" spans="1:17">
      <c r="A871" s="366" t="s">
        <v>2827</v>
      </c>
      <c r="B871" s="366" t="s">
        <v>231</v>
      </c>
      <c r="C871" s="348" t="str">
        <f>DATA_PROPERTY_MASTER!$A$6</f>
        <v>BLD_AC</v>
      </c>
      <c r="D871" s="380">
        <f>'00_PORTFOLIO ROLLUP'!U$12</f>
        <v>2041</v>
      </c>
      <c r="E871" s="366" t="s">
        <v>1741</v>
      </c>
      <c r="F871" s="366" t="s">
        <v>1749</v>
      </c>
      <c r="G871" s="348" t="str">
        <f>"'"&amp;$C871&amp;"'!rows 56, 63, 68"</f>
        <v>'BLD_AC'!rows 56, 63, 68</v>
      </c>
      <c r="H871" s="381">
        <f ca="1">IF(IFERROR(INDEX(DATA_PROPERTY_MASTER!$E$5:$E$21,MATCH($C871,DATA_PROPERTY_MASTER!$A$5:$A$21,0))="Yes",FALSE),(IFERROR(INDEX(INDIRECT("'"&amp;$C871&amp;"'!$E$56:$Y$56"),1,MATCH($D871,INDIRECT("'"&amp;$C871&amp;"'!$E$12:$Y$12"),0)),0)+MAX(IFERROR(INDEX(INDIRECT("'"&amp;$C871&amp;"'!$E$63:$Y$63"),1,MATCH($D871,INDIRECT("'"&amp;$C871&amp;"'!$E$12:$Y$12"),0)),0),0))-(IFERROR(INDEX(INDIRECT("'"&amp;$C871&amp;"'!$E$68:$Y$68"),1,MATCH($D871,INDIRECT("'"&amp;$C871&amp;"'!$E$12:$Y$12"),0)),0)),0)</f>
        <v>0</v>
      </c>
      <c r="I871" s="366" t="s">
        <v>1750</v>
      </c>
      <c r="J871" s="348" t="str">
        <f t="shared" ca="1" si="26"/>
        <v>OK</v>
      </c>
      <c r="K871" s="366" t="s">
        <v>1751</v>
      </c>
      <c r="L871" s="366" t="s">
        <v>2266</v>
      </c>
      <c r="M871" s="350" t="str">
        <f>IF($B871="Portfolio","Portfolio",IFERROR(INDEX(DATA_ASSET_CLASSIFICATION!$B$8:$B$24,MATCH($C871,DATA_ASSET_CLASSIFICATION!$A$8:$A$24,0)),"Review"))</f>
        <v>Antkiw Court</v>
      </c>
      <c r="N871" s="350" t="str">
        <f ca="1">IF($B871="Portfolio","Portfolio",IFERROR(INDEX(DATA_ASSET_CLASSIFICATION!$U$8:$U$24,MATCH($C871,DATA_ASSET_CLASSIFICATION!$A$8:$A$24,0)),"Review"))</f>
        <v>Stable</v>
      </c>
      <c r="O871" s="350" t="str">
        <f ca="1">IF($B871="Portfolio","Portfolio",IFERROR(INDEX(DATA_ASSET_CLASSIFICATION!$AB$8:$AB$13,MATCH($N871,DATA_ASSET_CLASSIFICATION!$AA$8:$AA$13,0)),"Review"))</f>
        <v>Bucket 2 · Legacy</v>
      </c>
      <c r="P871" s="350" t="str">
        <f>IF($B871="Portfolio","Portfolio",IFERROR(INDEX(DATA_ASSET_CLASSIFICATION!$C$8:$C$24,MATCH($C871,DATA_ASSET_CLASSIFICATION!$A$8:$A$24,0)),"Review"))</f>
        <v>Yes</v>
      </c>
      <c r="Q871" s="350" t="str">
        <f t="shared" ca="1" si="27"/>
        <v>OK</v>
      </c>
    </row>
    <row r="872" spans="1:17">
      <c r="A872" s="366" t="s">
        <v>2828</v>
      </c>
      <c r="B872" s="366" t="s">
        <v>231</v>
      </c>
      <c r="C872" s="348" t="str">
        <f>DATA_PROPERTY_MASTER!$A$7</f>
        <v>BLD_BT</v>
      </c>
      <c r="D872" s="380">
        <f>'00_PORTFOLIO ROLLUP'!E$12</f>
        <v>2025</v>
      </c>
      <c r="E872" s="366" t="s">
        <v>1683</v>
      </c>
      <c r="F872" s="366" t="s">
        <v>341</v>
      </c>
      <c r="G872" s="348" t="str">
        <f>"'"&amp;$C872&amp;"'!$E$24:$Y$24"</f>
        <v>'BLD_BT'!$E$24:$Y$24</v>
      </c>
      <c r="H872" s="381">
        <f ca="1">IF(IFERROR(INDEX(DATA_PROPERTY_MASTER!$E$5:$E$21,MATCH($C872,DATA_PROPERTY_MASTER!$A$5:$A$21,0))="Yes",FALSE),IFERROR(INDEX(INDIRECT("'"&amp;$C872&amp;"'!$E$24:$Y$24"),1,MATCH($D872,INDIRECT("'"&amp;$C872&amp;"'!$E$12:$Y$12"),0)),0),0)</f>
        <v>379506.84399999998</v>
      </c>
      <c r="I872" s="366" t="s">
        <v>1685</v>
      </c>
      <c r="J872" s="348" t="str">
        <f t="shared" ca="1" si="26"/>
        <v>OK</v>
      </c>
      <c r="K872" s="366" t="s">
        <v>1686</v>
      </c>
      <c r="L872" s="366" t="s">
        <v>2234</v>
      </c>
      <c r="M872" s="350" t="str">
        <f>IF($B872="Portfolio","Portfolio",IFERROR(INDEX(DATA_ASSET_CLASSIFICATION!$B$8:$B$24,MATCH($C872,DATA_ASSET_CLASSIFICATION!$A$8:$A$24,0)),"Review"))</f>
        <v>Beatrice Terrace</v>
      </c>
      <c r="N872" s="350" t="str">
        <f ca="1">IF($B872="Portfolio","Portfolio",IFERROR(INDEX(DATA_ASSET_CLASSIFICATION!$U$8:$U$24,MATCH($C872,DATA_ASSET_CLASSIFICATION!$A$8:$A$24,0)),"Review"))</f>
        <v>Stable</v>
      </c>
      <c r="O872" s="350" t="str">
        <f ca="1">IF($B872="Portfolio","Portfolio",IFERROR(INDEX(DATA_ASSET_CLASSIFICATION!$AB$8:$AB$13,MATCH($N872,DATA_ASSET_CLASSIFICATION!$AA$8:$AA$13,0)),"Review"))</f>
        <v>Bucket 2 · Legacy</v>
      </c>
      <c r="P872" s="350" t="str">
        <f>IF($B872="Portfolio","Portfolio",IFERROR(INDEX(DATA_ASSET_CLASSIFICATION!$C$8:$C$24,MATCH($C872,DATA_ASSET_CLASSIFICATION!$A$8:$A$24,0)),"Review"))</f>
        <v>Yes</v>
      </c>
      <c r="Q872" s="350" t="str">
        <f t="shared" ca="1" si="27"/>
        <v>OK</v>
      </c>
    </row>
    <row r="873" spans="1:17">
      <c r="A873" s="366" t="s">
        <v>2829</v>
      </c>
      <c r="B873" s="366" t="s">
        <v>231</v>
      </c>
      <c r="C873" s="348" t="str">
        <f>DATA_PROPERTY_MASTER!$A$7</f>
        <v>BLD_BT</v>
      </c>
      <c r="D873" s="380">
        <f>'00_PORTFOLIO ROLLUP'!E$12</f>
        <v>2025</v>
      </c>
      <c r="E873" s="366" t="s">
        <v>1683</v>
      </c>
      <c r="F873" s="366" t="s">
        <v>355</v>
      </c>
      <c r="G873" s="348" t="str">
        <f>"'"&amp;$C873&amp;"'!$E$39:$Y$39"</f>
        <v>'BLD_BT'!$E$39:$Y$39</v>
      </c>
      <c r="H873" s="381">
        <f ca="1">IF(IFERROR(INDEX(DATA_PROPERTY_MASTER!$E$5:$E$21,MATCH($C873,DATA_PROPERTY_MASTER!$A$5:$A$21,0))="Yes",FALSE),IFERROR(INDEX(INDIRECT("'"&amp;$C873&amp;"'!$E$39:$Y$39"),1,MATCH($D873,INDIRECT("'"&amp;$C873&amp;"'!$E$12:$Y$12"),0)),0),0)</f>
        <v>120340</v>
      </c>
      <c r="I873" s="366" t="s">
        <v>1690</v>
      </c>
      <c r="J873" s="348" t="str">
        <f t="shared" ca="1" si="26"/>
        <v>OK</v>
      </c>
      <c r="K873" s="366" t="s">
        <v>1686</v>
      </c>
      <c r="L873" s="366" t="s">
        <v>2236</v>
      </c>
      <c r="M873" s="350" t="str">
        <f>IF($B873="Portfolio","Portfolio",IFERROR(INDEX(DATA_ASSET_CLASSIFICATION!$B$8:$B$24,MATCH($C873,DATA_ASSET_CLASSIFICATION!$A$8:$A$24,0)),"Review"))</f>
        <v>Beatrice Terrace</v>
      </c>
      <c r="N873" s="350" t="str">
        <f ca="1">IF($B873="Portfolio","Portfolio",IFERROR(INDEX(DATA_ASSET_CLASSIFICATION!$U$8:$U$24,MATCH($C873,DATA_ASSET_CLASSIFICATION!$A$8:$A$24,0)),"Review"))</f>
        <v>Stable</v>
      </c>
      <c r="O873" s="350" t="str">
        <f ca="1">IF($B873="Portfolio","Portfolio",IFERROR(INDEX(DATA_ASSET_CLASSIFICATION!$AB$8:$AB$13,MATCH($N873,DATA_ASSET_CLASSIFICATION!$AA$8:$AA$13,0)),"Review"))</f>
        <v>Bucket 2 · Legacy</v>
      </c>
      <c r="P873" s="350" t="str">
        <f>IF($B873="Portfolio","Portfolio",IFERROR(INDEX(DATA_ASSET_CLASSIFICATION!$C$8:$C$24,MATCH($C873,DATA_ASSET_CLASSIFICATION!$A$8:$A$24,0)),"Review"))</f>
        <v>Yes</v>
      </c>
      <c r="Q873" s="350" t="str">
        <f t="shared" ca="1" si="27"/>
        <v>OK</v>
      </c>
    </row>
    <row r="874" spans="1:17">
      <c r="A874" s="366" t="s">
        <v>2830</v>
      </c>
      <c r="B874" s="366" t="s">
        <v>231</v>
      </c>
      <c r="C874" s="348" t="str">
        <f>DATA_PROPERTY_MASTER!$A$7</f>
        <v>BLD_BT</v>
      </c>
      <c r="D874" s="380">
        <f>'00_PORTFOLIO ROLLUP'!E$12</f>
        <v>2025</v>
      </c>
      <c r="E874" s="366" t="s">
        <v>1683</v>
      </c>
      <c r="F874" s="366" t="s">
        <v>19</v>
      </c>
      <c r="G874" s="348" t="str">
        <f>"'"&amp;$C874&amp;"'!$E$41:$Y$41"</f>
        <v>'BLD_BT'!$E$41:$Y$41</v>
      </c>
      <c r="H874" s="381">
        <f ca="1">IF(IFERROR(INDEX(DATA_PROPERTY_MASTER!$E$5:$E$21,MATCH($C874,DATA_PROPERTY_MASTER!$A$5:$A$21,0))="Yes",FALSE),IFERROR(INDEX(INDIRECT("'"&amp;$C874&amp;"'!$E$41:$Y$41"),1,MATCH($D874,INDIRECT("'"&amp;$C874&amp;"'!$E$12:$Y$12"),0)),0),0)</f>
        <v>259166.84399999998</v>
      </c>
      <c r="I874" s="366" t="s">
        <v>1685</v>
      </c>
      <c r="J874" s="348" t="str">
        <f t="shared" ca="1" si="26"/>
        <v>OK</v>
      </c>
      <c r="K874" s="366" t="s">
        <v>1694</v>
      </c>
      <c r="L874" s="366" t="s">
        <v>2238</v>
      </c>
      <c r="M874" s="350" t="str">
        <f>IF($B874="Portfolio","Portfolio",IFERROR(INDEX(DATA_ASSET_CLASSIFICATION!$B$8:$B$24,MATCH($C874,DATA_ASSET_CLASSIFICATION!$A$8:$A$24,0)),"Review"))</f>
        <v>Beatrice Terrace</v>
      </c>
      <c r="N874" s="350" t="str">
        <f ca="1">IF($B874="Portfolio","Portfolio",IFERROR(INDEX(DATA_ASSET_CLASSIFICATION!$U$8:$U$24,MATCH($C874,DATA_ASSET_CLASSIFICATION!$A$8:$A$24,0)),"Review"))</f>
        <v>Stable</v>
      </c>
      <c r="O874" s="350" t="str">
        <f ca="1">IF($B874="Portfolio","Portfolio",IFERROR(INDEX(DATA_ASSET_CLASSIFICATION!$AB$8:$AB$13,MATCH($N874,DATA_ASSET_CLASSIFICATION!$AA$8:$AA$13,0)),"Review"))</f>
        <v>Bucket 2 · Legacy</v>
      </c>
      <c r="P874" s="350" t="str">
        <f>IF($B874="Portfolio","Portfolio",IFERROR(INDEX(DATA_ASSET_CLASSIFICATION!$C$8:$C$24,MATCH($C874,DATA_ASSET_CLASSIFICATION!$A$8:$A$24,0)),"Review"))</f>
        <v>Yes</v>
      </c>
      <c r="Q874" s="350" t="str">
        <f t="shared" ca="1" si="27"/>
        <v>OK</v>
      </c>
    </row>
    <row r="875" spans="1:17">
      <c r="A875" s="366" t="s">
        <v>2831</v>
      </c>
      <c r="B875" s="366" t="s">
        <v>231</v>
      </c>
      <c r="C875" s="348" t="str">
        <f>DATA_PROPERTY_MASTER!$A$7</f>
        <v>BLD_BT</v>
      </c>
      <c r="D875" s="380">
        <f>'00_PORTFOLIO ROLLUP'!E$12</f>
        <v>2025</v>
      </c>
      <c r="E875" s="366" t="s">
        <v>1683</v>
      </c>
      <c r="F875" s="366" t="s">
        <v>1697</v>
      </c>
      <c r="G875" s="348" t="str">
        <f>"'"&amp;$C875&amp;"'!$E$44:$Y$44"</f>
        <v>'BLD_BT'!$E$44:$Y$44</v>
      </c>
      <c r="H875" s="381">
        <f ca="1">IF(IFERROR(INDEX(DATA_PROPERTY_MASTER!$E$5:$E$21,MATCH($C875,DATA_PROPERTY_MASTER!$A$5:$A$21,0))="Yes",FALSE),IFERROR(INDEX(INDIRECT("'"&amp;$C875&amp;"'!$E$44:$Y$44"),1,MATCH($D875,INDIRECT("'"&amp;$C875&amp;"'!$E$12:$Y$12"),0)),0),0)</f>
        <v>2700</v>
      </c>
      <c r="I875" s="366" t="s">
        <v>1690</v>
      </c>
      <c r="J875" s="348" t="str">
        <f t="shared" ca="1" si="26"/>
        <v>OK</v>
      </c>
      <c r="K875" s="366" t="s">
        <v>1699</v>
      </c>
      <c r="L875" s="366" t="s">
        <v>2240</v>
      </c>
      <c r="M875" s="350" t="str">
        <f>IF($B875="Portfolio","Portfolio",IFERROR(INDEX(DATA_ASSET_CLASSIFICATION!$B$8:$B$24,MATCH($C875,DATA_ASSET_CLASSIFICATION!$A$8:$A$24,0)),"Review"))</f>
        <v>Beatrice Terrace</v>
      </c>
      <c r="N875" s="350" t="str">
        <f ca="1">IF($B875="Portfolio","Portfolio",IFERROR(INDEX(DATA_ASSET_CLASSIFICATION!$U$8:$U$24,MATCH($C875,DATA_ASSET_CLASSIFICATION!$A$8:$A$24,0)),"Review"))</f>
        <v>Stable</v>
      </c>
      <c r="O875" s="350" t="str">
        <f ca="1">IF($B875="Portfolio","Portfolio",IFERROR(INDEX(DATA_ASSET_CLASSIFICATION!$AB$8:$AB$13,MATCH($N875,DATA_ASSET_CLASSIFICATION!$AA$8:$AA$13,0)),"Review"))</f>
        <v>Bucket 2 · Legacy</v>
      </c>
      <c r="P875" s="350" t="str">
        <f>IF($B875="Portfolio","Portfolio",IFERROR(INDEX(DATA_ASSET_CLASSIFICATION!$C$8:$C$24,MATCH($C875,DATA_ASSET_CLASSIFICATION!$A$8:$A$24,0)),"Review"))</f>
        <v>Yes</v>
      </c>
      <c r="Q875" s="350" t="str">
        <f t="shared" ca="1" si="27"/>
        <v>OK</v>
      </c>
    </row>
    <row r="876" spans="1:17">
      <c r="A876" s="366" t="s">
        <v>2832</v>
      </c>
      <c r="B876" s="366" t="s">
        <v>231</v>
      </c>
      <c r="C876" s="348" t="str">
        <f>DATA_PROPERTY_MASTER!$A$7</f>
        <v>BLD_BT</v>
      </c>
      <c r="D876" s="380">
        <f>'00_PORTFOLIO ROLLUP'!E$12</f>
        <v>2025</v>
      </c>
      <c r="E876" s="366" t="s">
        <v>1683</v>
      </c>
      <c r="F876" s="366" t="s">
        <v>21</v>
      </c>
      <c r="G876" s="348" t="str">
        <f>"'"&amp;$C876&amp;"'!$E$45:$Y$45"</f>
        <v>'BLD_BT'!$E$45:$Y$45</v>
      </c>
      <c r="H876" s="381">
        <f ca="1">IF(IFERROR(INDEX(DATA_PROPERTY_MASTER!$E$5:$E$21,MATCH($C876,DATA_PROPERTY_MASTER!$A$5:$A$21,0))="Yes",FALSE),IFERROR(INDEX(INDIRECT("'"&amp;$C876&amp;"'!$E$45:$Y$45"),1,MATCH($D876,INDIRECT("'"&amp;$C876&amp;"'!$E$12:$Y$12"),0)),0),0)</f>
        <v>256466.84399999998</v>
      </c>
      <c r="I876" s="366" t="s">
        <v>1685</v>
      </c>
      <c r="J876" s="348" t="str">
        <f t="shared" ca="1" si="26"/>
        <v>OK</v>
      </c>
      <c r="K876" s="366" t="s">
        <v>1694</v>
      </c>
      <c r="L876" s="366" t="s">
        <v>2242</v>
      </c>
      <c r="M876" s="350" t="str">
        <f>IF($B876="Portfolio","Portfolio",IFERROR(INDEX(DATA_ASSET_CLASSIFICATION!$B$8:$B$24,MATCH($C876,DATA_ASSET_CLASSIFICATION!$A$8:$A$24,0)),"Review"))</f>
        <v>Beatrice Terrace</v>
      </c>
      <c r="N876" s="350" t="str">
        <f ca="1">IF($B876="Portfolio","Portfolio",IFERROR(INDEX(DATA_ASSET_CLASSIFICATION!$U$8:$U$24,MATCH($C876,DATA_ASSET_CLASSIFICATION!$A$8:$A$24,0)),"Review"))</f>
        <v>Stable</v>
      </c>
      <c r="O876" s="350" t="str">
        <f ca="1">IF($B876="Portfolio","Portfolio",IFERROR(INDEX(DATA_ASSET_CLASSIFICATION!$AB$8:$AB$13,MATCH($N876,DATA_ASSET_CLASSIFICATION!$AA$8:$AA$13,0)),"Review"))</f>
        <v>Bucket 2 · Legacy</v>
      </c>
      <c r="P876" s="350" t="str">
        <f>IF($B876="Portfolio","Portfolio",IFERROR(INDEX(DATA_ASSET_CLASSIFICATION!$C$8:$C$24,MATCH($C876,DATA_ASSET_CLASSIFICATION!$A$8:$A$24,0)),"Review"))</f>
        <v>Yes</v>
      </c>
      <c r="Q876" s="350" t="str">
        <f t="shared" ca="1" si="27"/>
        <v>OK</v>
      </c>
    </row>
    <row r="877" spans="1:17">
      <c r="A877" s="366" t="s">
        <v>2833</v>
      </c>
      <c r="B877" s="366" t="s">
        <v>231</v>
      </c>
      <c r="C877" s="348" t="str">
        <f>DATA_PROPERTY_MASTER!$A$7</f>
        <v>BLD_BT</v>
      </c>
      <c r="D877" s="380">
        <f>'00_PORTFOLIO ROLLUP'!E$12</f>
        <v>2025</v>
      </c>
      <c r="E877" s="366" t="s">
        <v>23</v>
      </c>
      <c r="F877" s="366" t="s">
        <v>23</v>
      </c>
      <c r="G877" s="348" t="str">
        <f>"'"&amp;$C877&amp;"'!$E$48:$Y$48"</f>
        <v>'BLD_BT'!$E$48:$Y$48</v>
      </c>
      <c r="H877" s="381">
        <f ca="1">IF(IFERROR(INDEX(DATA_PROPERTY_MASTER!$E$5:$E$21,MATCH($C877,DATA_PROPERTY_MASTER!$A$5:$A$21,0))="Yes",FALSE),IFERROR(INDEX(INDIRECT("'"&amp;$C877&amp;"'!$E$48:$Y$48"),1,MATCH($D877,INDIRECT("'"&amp;$C877&amp;"'!$E$12:$Y$12"),0)),0),0)</f>
        <v>110563.68</v>
      </c>
      <c r="I877" s="366" t="s">
        <v>1690</v>
      </c>
      <c r="J877" s="348" t="str">
        <f t="shared" ca="1" si="26"/>
        <v>OK</v>
      </c>
      <c r="K877" s="366" t="s">
        <v>1706</v>
      </c>
      <c r="L877" s="366" t="s">
        <v>2244</v>
      </c>
      <c r="M877" s="350" t="str">
        <f>IF($B877="Portfolio","Portfolio",IFERROR(INDEX(DATA_ASSET_CLASSIFICATION!$B$8:$B$24,MATCH($C877,DATA_ASSET_CLASSIFICATION!$A$8:$A$24,0)),"Review"))</f>
        <v>Beatrice Terrace</v>
      </c>
      <c r="N877" s="350" t="str">
        <f ca="1">IF($B877="Portfolio","Portfolio",IFERROR(INDEX(DATA_ASSET_CLASSIFICATION!$U$8:$U$24,MATCH($C877,DATA_ASSET_CLASSIFICATION!$A$8:$A$24,0)),"Review"))</f>
        <v>Stable</v>
      </c>
      <c r="O877" s="350" t="str">
        <f ca="1">IF($B877="Portfolio","Portfolio",IFERROR(INDEX(DATA_ASSET_CLASSIFICATION!$AB$8:$AB$13,MATCH($N877,DATA_ASSET_CLASSIFICATION!$AA$8:$AA$13,0)),"Review"))</f>
        <v>Bucket 2 · Legacy</v>
      </c>
      <c r="P877" s="350" t="str">
        <f>IF($B877="Portfolio","Portfolio",IFERROR(INDEX(DATA_ASSET_CLASSIFICATION!$C$8:$C$24,MATCH($C877,DATA_ASSET_CLASSIFICATION!$A$8:$A$24,0)),"Review"))</f>
        <v>Yes</v>
      </c>
      <c r="Q877" s="350" t="str">
        <f t="shared" ca="1" si="27"/>
        <v>OK</v>
      </c>
    </row>
    <row r="878" spans="1:17">
      <c r="A878" s="366" t="s">
        <v>2834</v>
      </c>
      <c r="B878" s="366" t="s">
        <v>231</v>
      </c>
      <c r="C878" s="348" t="str">
        <f>DATA_PROPERTY_MASTER!$A$7</f>
        <v>BLD_BT</v>
      </c>
      <c r="D878" s="380">
        <f>'00_PORTFOLIO ROLLUP'!E$12</f>
        <v>2025</v>
      </c>
      <c r="E878" s="366" t="s">
        <v>1683</v>
      </c>
      <c r="F878" s="366" t="s">
        <v>25</v>
      </c>
      <c r="G878" s="348" t="str">
        <f>"'"&amp;$C878&amp;"'!$E$52:$Y$52"</f>
        <v>'BLD_BT'!$E$52:$Y$52</v>
      </c>
      <c r="H878" s="381">
        <f ca="1">IF(IFERROR(INDEX(DATA_PROPERTY_MASTER!$E$5:$E$21,MATCH($C878,DATA_PROPERTY_MASTER!$A$5:$A$21,0))="Yes",FALSE),IFERROR(INDEX(INDIRECT("'"&amp;$C878&amp;"'!$E$52:$Y$52"),1,MATCH($D878,INDIRECT("'"&amp;$C878&amp;"'!$E$12:$Y$12"),0)),0),0)</f>
        <v>148603.16399999999</v>
      </c>
      <c r="I878" s="366" t="s">
        <v>1685</v>
      </c>
      <c r="J878" s="348" t="str">
        <f t="shared" ca="1" si="26"/>
        <v>OK</v>
      </c>
      <c r="K878" s="366" t="s">
        <v>1710</v>
      </c>
      <c r="L878" s="366" t="s">
        <v>2246</v>
      </c>
      <c r="M878" s="350" t="str">
        <f>IF($B878="Portfolio","Portfolio",IFERROR(INDEX(DATA_ASSET_CLASSIFICATION!$B$8:$B$24,MATCH($C878,DATA_ASSET_CLASSIFICATION!$A$8:$A$24,0)),"Review"))</f>
        <v>Beatrice Terrace</v>
      </c>
      <c r="N878" s="350" t="str">
        <f ca="1">IF($B878="Portfolio","Portfolio",IFERROR(INDEX(DATA_ASSET_CLASSIFICATION!$U$8:$U$24,MATCH($C878,DATA_ASSET_CLASSIFICATION!$A$8:$A$24,0)),"Review"))</f>
        <v>Stable</v>
      </c>
      <c r="O878" s="350" t="str">
        <f ca="1">IF($B878="Portfolio","Portfolio",IFERROR(INDEX(DATA_ASSET_CLASSIFICATION!$AB$8:$AB$13,MATCH($N878,DATA_ASSET_CLASSIFICATION!$AA$8:$AA$13,0)),"Review"))</f>
        <v>Bucket 2 · Legacy</v>
      </c>
      <c r="P878" s="350" t="str">
        <f>IF($B878="Portfolio","Portfolio",IFERROR(INDEX(DATA_ASSET_CLASSIFICATION!$C$8:$C$24,MATCH($C878,DATA_ASSET_CLASSIFICATION!$A$8:$A$24,0)),"Review"))</f>
        <v>Yes</v>
      </c>
      <c r="Q878" s="350" t="str">
        <f t="shared" ca="1" si="27"/>
        <v>OK</v>
      </c>
    </row>
    <row r="879" spans="1:17">
      <c r="A879" s="366" t="s">
        <v>2835</v>
      </c>
      <c r="B879" s="366" t="s">
        <v>231</v>
      </c>
      <c r="C879" s="348" t="str">
        <f>DATA_PROPERTY_MASTER!$A$7</f>
        <v>BLD_BT</v>
      </c>
      <c r="D879" s="380">
        <f>'00_PORTFOLIO ROLLUP'!E$12</f>
        <v>2025</v>
      </c>
      <c r="E879" s="366" t="s">
        <v>1683</v>
      </c>
      <c r="F879" s="366" t="s">
        <v>27</v>
      </c>
      <c r="G879" s="348" t="str">
        <f>"'"&amp;$C879&amp;"'!$E$54:$Y$54"</f>
        <v>'BLD_BT'!$E$54:$Y$54</v>
      </c>
      <c r="H879" s="381">
        <f ca="1">IF(IFERROR(INDEX(DATA_PROPERTY_MASTER!$E$5:$E$21,MATCH($C879,DATA_PROPERTY_MASTER!$A$5:$A$21,0))="Yes",FALSE),IFERROR(INDEX(INDIRECT("'"&amp;$C879&amp;"'!$E$54:$Y$54"),1,MATCH($D879,INDIRECT("'"&amp;$C879&amp;"'!$E$12:$Y$12"),0)),0),0)</f>
        <v>89161.898399999991</v>
      </c>
      <c r="I879" s="366" t="s">
        <v>1690</v>
      </c>
      <c r="J879" s="348" t="str">
        <f t="shared" ca="1" si="26"/>
        <v>OK</v>
      </c>
      <c r="K879" s="366" t="s">
        <v>1714</v>
      </c>
      <c r="L879" s="366" t="s">
        <v>2248</v>
      </c>
      <c r="M879" s="350" t="str">
        <f>IF($B879="Portfolio","Portfolio",IFERROR(INDEX(DATA_ASSET_CLASSIFICATION!$B$8:$B$24,MATCH($C879,DATA_ASSET_CLASSIFICATION!$A$8:$A$24,0)),"Review"))</f>
        <v>Beatrice Terrace</v>
      </c>
      <c r="N879" s="350" t="str">
        <f ca="1">IF($B879="Portfolio","Portfolio",IFERROR(INDEX(DATA_ASSET_CLASSIFICATION!$U$8:$U$24,MATCH($C879,DATA_ASSET_CLASSIFICATION!$A$8:$A$24,0)),"Review"))</f>
        <v>Stable</v>
      </c>
      <c r="O879" s="350" t="str">
        <f ca="1">IF($B879="Portfolio","Portfolio",IFERROR(INDEX(DATA_ASSET_CLASSIFICATION!$AB$8:$AB$13,MATCH($N879,DATA_ASSET_CLASSIFICATION!$AA$8:$AA$13,0)),"Review"))</f>
        <v>Bucket 2 · Legacy</v>
      </c>
      <c r="P879" s="350" t="str">
        <f>IF($B879="Portfolio","Portfolio",IFERROR(INDEX(DATA_ASSET_CLASSIFICATION!$C$8:$C$24,MATCH($C879,DATA_ASSET_CLASSIFICATION!$A$8:$A$24,0)),"Review"))</f>
        <v>Yes</v>
      </c>
      <c r="Q879" s="350" t="str">
        <f t="shared" ca="1" si="27"/>
        <v>OK</v>
      </c>
    </row>
    <row r="880" spans="1:17">
      <c r="A880" s="366" t="s">
        <v>2836</v>
      </c>
      <c r="B880" s="366" t="s">
        <v>231</v>
      </c>
      <c r="C880" s="348" t="str">
        <f>DATA_PROPERTY_MASTER!$A$7</f>
        <v>BLD_BT</v>
      </c>
      <c r="D880" s="380">
        <f>'00_PORTFOLIO ROLLUP'!E$12</f>
        <v>2025</v>
      </c>
      <c r="E880" s="366" t="s">
        <v>1683</v>
      </c>
      <c r="F880" s="366" t="s">
        <v>29</v>
      </c>
      <c r="G880" s="348" t="str">
        <f>"'"&amp;$C880&amp;"'!$E$56:$Y$56"</f>
        <v>'BLD_BT'!$E$56:$Y$56</v>
      </c>
      <c r="H880" s="381">
        <f ca="1">IF(IFERROR(INDEX(DATA_PROPERTY_MASTER!$E$5:$E$21,MATCH($C880,DATA_PROPERTY_MASTER!$A$5:$A$21,0))="Yes",FALSE),IFERROR(INDEX(INDIRECT("'"&amp;$C880&amp;"'!$E$56:$Y$56"),1,MATCH($D880,INDIRECT("'"&amp;$C880&amp;"'!$E$12:$Y$12"),0)),0),0)</f>
        <v>59441.265599999999</v>
      </c>
      <c r="I880" s="366" t="s">
        <v>1685</v>
      </c>
      <c r="J880" s="348" t="str">
        <f t="shared" ca="1" si="26"/>
        <v>OK</v>
      </c>
      <c r="K880" s="366" t="s">
        <v>1718</v>
      </c>
      <c r="L880" s="366" t="s">
        <v>2250</v>
      </c>
      <c r="M880" s="350" t="str">
        <f>IF($B880="Portfolio","Portfolio",IFERROR(INDEX(DATA_ASSET_CLASSIFICATION!$B$8:$B$24,MATCH($C880,DATA_ASSET_CLASSIFICATION!$A$8:$A$24,0)),"Review"))</f>
        <v>Beatrice Terrace</v>
      </c>
      <c r="N880" s="350" t="str">
        <f ca="1">IF($B880="Portfolio","Portfolio",IFERROR(INDEX(DATA_ASSET_CLASSIFICATION!$U$8:$U$24,MATCH($C880,DATA_ASSET_CLASSIFICATION!$A$8:$A$24,0)),"Review"))</f>
        <v>Stable</v>
      </c>
      <c r="O880" s="350" t="str">
        <f ca="1">IF($B880="Portfolio","Portfolio",IFERROR(INDEX(DATA_ASSET_CLASSIFICATION!$AB$8:$AB$13,MATCH($N880,DATA_ASSET_CLASSIFICATION!$AA$8:$AA$13,0)),"Review"))</f>
        <v>Bucket 2 · Legacy</v>
      </c>
      <c r="P880" s="350" t="str">
        <f>IF($B880="Portfolio","Portfolio",IFERROR(INDEX(DATA_ASSET_CLASSIFICATION!$C$8:$C$24,MATCH($C880,DATA_ASSET_CLASSIFICATION!$A$8:$A$24,0)),"Review"))</f>
        <v>Yes</v>
      </c>
      <c r="Q880" s="350" t="str">
        <f t="shared" ca="1" si="27"/>
        <v>OK</v>
      </c>
    </row>
    <row r="881" spans="1:17">
      <c r="A881" s="366" t="s">
        <v>2837</v>
      </c>
      <c r="B881" s="366" t="s">
        <v>231</v>
      </c>
      <c r="C881" s="348" t="str">
        <f>DATA_PROPERTY_MASTER!$A$7</f>
        <v>BLD_BT</v>
      </c>
      <c r="D881" s="380">
        <f>'00_PORTFOLIO ROLLUP'!E$12</f>
        <v>2025</v>
      </c>
      <c r="E881" s="366" t="s">
        <v>1721</v>
      </c>
      <c r="F881" s="366" t="s">
        <v>31</v>
      </c>
      <c r="G881" s="348" t="str">
        <f>"'"&amp;$C881&amp;"'!$E$61:$Y$61"</f>
        <v>'BLD_BT'!$E$61:$Y$61</v>
      </c>
      <c r="H881" s="381">
        <f ca="1">IF(IFERROR(INDEX(DATA_PROPERTY_MASTER!$E$5:$E$21,MATCH($C881,DATA_PROPERTY_MASTER!$A$5:$A$21,0))="Yes",FALSE),IFERROR(INDEX(INDIRECT("'"&amp;$C881&amp;"'!$E$61:$Y$61"),1,MATCH($D881,INDIRECT("'"&amp;$C881&amp;"'!$E$12:$Y$12"),0)),0),0)</f>
        <v>0</v>
      </c>
      <c r="I881" s="366" t="s">
        <v>1690</v>
      </c>
      <c r="J881" s="348" t="str">
        <f t="shared" ca="1" si="26"/>
        <v>OK</v>
      </c>
      <c r="K881" s="366" t="s">
        <v>1723</v>
      </c>
      <c r="L881" s="366" t="s">
        <v>2252</v>
      </c>
      <c r="M881" s="350" t="str">
        <f>IF($B881="Portfolio","Portfolio",IFERROR(INDEX(DATA_ASSET_CLASSIFICATION!$B$8:$B$24,MATCH($C881,DATA_ASSET_CLASSIFICATION!$A$8:$A$24,0)),"Review"))</f>
        <v>Beatrice Terrace</v>
      </c>
      <c r="N881" s="350" t="str">
        <f ca="1">IF($B881="Portfolio","Portfolio",IFERROR(INDEX(DATA_ASSET_CLASSIFICATION!$U$8:$U$24,MATCH($C881,DATA_ASSET_CLASSIFICATION!$A$8:$A$24,0)),"Review"))</f>
        <v>Stable</v>
      </c>
      <c r="O881" s="350" t="str">
        <f ca="1">IF($B881="Portfolio","Portfolio",IFERROR(INDEX(DATA_ASSET_CLASSIFICATION!$AB$8:$AB$13,MATCH($N881,DATA_ASSET_CLASSIFICATION!$AA$8:$AA$13,0)),"Review"))</f>
        <v>Bucket 2 · Legacy</v>
      </c>
      <c r="P881" s="350" t="str">
        <f>IF($B881="Portfolio","Portfolio",IFERROR(INDEX(DATA_ASSET_CLASSIFICATION!$C$8:$C$24,MATCH($C881,DATA_ASSET_CLASSIFICATION!$A$8:$A$24,0)),"Review"))</f>
        <v>Yes</v>
      </c>
      <c r="Q881" s="350" t="str">
        <f t="shared" ca="1" si="27"/>
        <v>OK</v>
      </c>
    </row>
    <row r="882" spans="1:17">
      <c r="A882" s="366" t="s">
        <v>2838</v>
      </c>
      <c r="B882" s="366" t="s">
        <v>231</v>
      </c>
      <c r="C882" s="348" t="str">
        <f>DATA_PROPERTY_MASTER!$A$7</f>
        <v>BLD_BT</v>
      </c>
      <c r="D882" s="380">
        <f>'00_PORTFOLIO ROLLUP'!E$12</f>
        <v>2025</v>
      </c>
      <c r="E882" s="366" t="s">
        <v>1721</v>
      </c>
      <c r="F882" s="366" t="s">
        <v>33</v>
      </c>
      <c r="G882" s="348" t="str">
        <f>"'"&amp;$C882&amp;"'!$E$62:$Y$62"</f>
        <v>'BLD_BT'!$E$62:$Y$62</v>
      </c>
      <c r="H882" s="381">
        <f ca="1">IF(IFERROR(INDEX(DATA_PROPERTY_MASTER!$E$5:$E$21,MATCH($C882,DATA_PROPERTY_MASTER!$A$5:$A$21,0))="Yes",FALSE),IFERROR(INDEX(INDIRECT("'"&amp;$C882&amp;"'!$E$62:$Y$62"),1,MATCH($D882,INDIRECT("'"&amp;$C882&amp;"'!$E$12:$Y$12"),0)),0),0)</f>
        <v>0</v>
      </c>
      <c r="I882" s="366" t="s">
        <v>1685</v>
      </c>
      <c r="J882" s="348" t="str">
        <f t="shared" ca="1" si="26"/>
        <v>OK</v>
      </c>
      <c r="K882" s="366" t="s">
        <v>1727</v>
      </c>
      <c r="L882" s="366" t="s">
        <v>2254</v>
      </c>
      <c r="M882" s="350" t="str">
        <f>IF($B882="Portfolio","Portfolio",IFERROR(INDEX(DATA_ASSET_CLASSIFICATION!$B$8:$B$24,MATCH($C882,DATA_ASSET_CLASSIFICATION!$A$8:$A$24,0)),"Review"))</f>
        <v>Beatrice Terrace</v>
      </c>
      <c r="N882" s="350" t="str">
        <f ca="1">IF($B882="Portfolio","Portfolio",IFERROR(INDEX(DATA_ASSET_CLASSIFICATION!$U$8:$U$24,MATCH($C882,DATA_ASSET_CLASSIFICATION!$A$8:$A$24,0)),"Review"))</f>
        <v>Stable</v>
      </c>
      <c r="O882" s="350" t="str">
        <f ca="1">IF($B882="Portfolio","Portfolio",IFERROR(INDEX(DATA_ASSET_CLASSIFICATION!$AB$8:$AB$13,MATCH($N882,DATA_ASSET_CLASSIFICATION!$AA$8:$AA$13,0)),"Review"))</f>
        <v>Bucket 2 · Legacy</v>
      </c>
      <c r="P882" s="350" t="str">
        <f>IF($B882="Portfolio","Portfolio",IFERROR(INDEX(DATA_ASSET_CLASSIFICATION!$C$8:$C$24,MATCH($C882,DATA_ASSET_CLASSIFICATION!$A$8:$A$24,0)),"Review"))</f>
        <v>Yes</v>
      </c>
      <c r="Q882" s="350" t="str">
        <f t="shared" ca="1" si="27"/>
        <v>OK</v>
      </c>
    </row>
    <row r="883" spans="1:17">
      <c r="A883" s="366" t="s">
        <v>2839</v>
      </c>
      <c r="B883" s="366" t="s">
        <v>231</v>
      </c>
      <c r="C883" s="348" t="str">
        <f>DATA_PROPERTY_MASTER!$A$7</f>
        <v>BLD_BT</v>
      </c>
      <c r="D883" s="380">
        <f>'00_PORTFOLIO ROLLUP'!E$12</f>
        <v>2025</v>
      </c>
      <c r="E883" s="366" t="s">
        <v>1721</v>
      </c>
      <c r="F883" s="366" t="s">
        <v>35</v>
      </c>
      <c r="G883" s="348" t="str">
        <f>"'"&amp;$C883&amp;"'!$E$63:$Y$63"</f>
        <v>'BLD_BT'!$E$63:$Y$63</v>
      </c>
      <c r="H883" s="381">
        <f ca="1">IF(IFERROR(INDEX(DATA_PROPERTY_MASTER!$E$5:$E$21,MATCH($C883,DATA_PROPERTY_MASTER!$A$5:$A$21,0))="Yes",FALSE),IFERROR(INDEX(INDIRECT("'"&amp;$C883&amp;"'!$E$63:$Y$63"),1,MATCH($D883,INDIRECT("'"&amp;$C883&amp;"'!$E$12:$Y$12"),0)),0),0)</f>
        <v>0</v>
      </c>
      <c r="I883" s="366" t="s">
        <v>1731</v>
      </c>
      <c r="J883" s="348" t="str">
        <f t="shared" ca="1" si="26"/>
        <v>OK</v>
      </c>
      <c r="K883" s="366" t="s">
        <v>1732</v>
      </c>
      <c r="L883" s="366" t="s">
        <v>2256</v>
      </c>
      <c r="M883" s="350" t="str">
        <f>IF($B883="Portfolio","Portfolio",IFERROR(INDEX(DATA_ASSET_CLASSIFICATION!$B$8:$B$24,MATCH($C883,DATA_ASSET_CLASSIFICATION!$A$8:$A$24,0)),"Review"))</f>
        <v>Beatrice Terrace</v>
      </c>
      <c r="N883" s="350" t="str">
        <f ca="1">IF($B883="Portfolio","Portfolio",IFERROR(INDEX(DATA_ASSET_CLASSIFICATION!$U$8:$U$24,MATCH($C883,DATA_ASSET_CLASSIFICATION!$A$8:$A$24,0)),"Review"))</f>
        <v>Stable</v>
      </c>
      <c r="O883" s="350" t="str">
        <f ca="1">IF($B883="Portfolio","Portfolio",IFERROR(INDEX(DATA_ASSET_CLASSIFICATION!$AB$8:$AB$13,MATCH($N883,DATA_ASSET_CLASSIFICATION!$AA$8:$AA$13,0)),"Review"))</f>
        <v>Bucket 2 · Legacy</v>
      </c>
      <c r="P883" s="350" t="str">
        <f>IF($B883="Portfolio","Portfolio",IFERROR(INDEX(DATA_ASSET_CLASSIFICATION!$C$8:$C$24,MATCH($C883,DATA_ASSET_CLASSIFICATION!$A$8:$A$24,0)),"Review"))</f>
        <v>Yes</v>
      </c>
      <c r="Q883" s="350" t="str">
        <f t="shared" ca="1" si="27"/>
        <v>OK</v>
      </c>
    </row>
    <row r="884" spans="1:17">
      <c r="A884" s="366" t="s">
        <v>2840</v>
      </c>
      <c r="B884" s="366" t="s">
        <v>231</v>
      </c>
      <c r="C884" s="348" t="str">
        <f>DATA_PROPERTY_MASTER!$A$7</f>
        <v>BLD_BT</v>
      </c>
      <c r="D884" s="380">
        <f>'00_PORTFOLIO ROLLUP'!E$12</f>
        <v>2025</v>
      </c>
      <c r="E884" s="366" t="s">
        <v>1721</v>
      </c>
      <c r="F884" s="366" t="s">
        <v>37</v>
      </c>
      <c r="G884" s="348" t="str">
        <f>"'"&amp;$C884&amp;"'!$E$63:$Y$63"</f>
        <v>'BLD_BT'!$E$63:$Y$63</v>
      </c>
      <c r="H884" s="381">
        <f ca="1">IF(IFERROR(INDEX(DATA_PROPERTY_MASTER!$E$5:$E$21,MATCH($C884,DATA_PROPERTY_MASTER!$A$5:$A$21,0))="Yes",FALSE),MAX(IFERROR(INDEX(INDIRECT("'"&amp;$C884&amp;"'!$E$63:$Y$63"),1,MATCH($D884,INDIRECT("'"&amp;$C884&amp;"'!$E$12:$Y$12"),0)),0),0),0)</f>
        <v>0</v>
      </c>
      <c r="I884" s="366" t="s">
        <v>1685</v>
      </c>
      <c r="J884" s="348" t="str">
        <f t="shared" ca="1" si="26"/>
        <v>OK</v>
      </c>
      <c r="K884" s="366" t="s">
        <v>1735</v>
      </c>
      <c r="L884" s="366" t="s">
        <v>2258</v>
      </c>
      <c r="M884" s="350" t="str">
        <f>IF($B884="Portfolio","Portfolio",IFERROR(INDEX(DATA_ASSET_CLASSIFICATION!$B$8:$B$24,MATCH($C884,DATA_ASSET_CLASSIFICATION!$A$8:$A$24,0)),"Review"))</f>
        <v>Beatrice Terrace</v>
      </c>
      <c r="N884" s="350" t="str">
        <f ca="1">IF($B884="Portfolio","Portfolio",IFERROR(INDEX(DATA_ASSET_CLASSIFICATION!$U$8:$U$24,MATCH($C884,DATA_ASSET_CLASSIFICATION!$A$8:$A$24,0)),"Review"))</f>
        <v>Stable</v>
      </c>
      <c r="O884" s="350" t="str">
        <f ca="1">IF($B884="Portfolio","Portfolio",IFERROR(INDEX(DATA_ASSET_CLASSIFICATION!$AB$8:$AB$13,MATCH($N884,DATA_ASSET_CLASSIFICATION!$AA$8:$AA$13,0)),"Review"))</f>
        <v>Bucket 2 · Legacy</v>
      </c>
      <c r="P884" s="350" t="str">
        <f>IF($B884="Portfolio","Portfolio",IFERROR(INDEX(DATA_ASSET_CLASSIFICATION!$C$8:$C$24,MATCH($C884,DATA_ASSET_CLASSIFICATION!$A$8:$A$24,0)),"Review"))</f>
        <v>Yes</v>
      </c>
      <c r="Q884" s="350" t="str">
        <f t="shared" ca="1" si="27"/>
        <v>OK</v>
      </c>
    </row>
    <row r="885" spans="1:17">
      <c r="A885" s="366" t="s">
        <v>2841</v>
      </c>
      <c r="B885" s="366" t="s">
        <v>231</v>
      </c>
      <c r="C885" s="348" t="str">
        <f>DATA_PROPERTY_MASTER!$A$7</f>
        <v>BLD_BT</v>
      </c>
      <c r="D885" s="380">
        <f>'00_PORTFOLIO ROLLUP'!E$12</f>
        <v>2025</v>
      </c>
      <c r="E885" s="366" t="s">
        <v>1721</v>
      </c>
      <c r="F885" s="366" t="s">
        <v>39</v>
      </c>
      <c r="G885" s="348" t="str">
        <f>"'"&amp;$C885&amp;"'!$E$63:$Y$63"</f>
        <v>'BLD_BT'!$E$63:$Y$63</v>
      </c>
      <c r="H885" s="381">
        <f ca="1">IF(IFERROR(INDEX(DATA_PROPERTY_MASTER!$E$5:$E$21,MATCH($C885,DATA_PROPERTY_MASTER!$A$5:$A$21,0))="Yes",FALSE),MAX(-IFERROR(INDEX(INDIRECT("'"&amp;$C885&amp;"'!$E$63:$Y$63"),1,MATCH($D885,INDIRECT("'"&amp;$C885&amp;"'!$E$12:$Y$12"),0)),0),0),0)</f>
        <v>0</v>
      </c>
      <c r="I885" s="366" t="s">
        <v>1690</v>
      </c>
      <c r="J885" s="348" t="str">
        <f t="shared" ca="1" si="26"/>
        <v>OK</v>
      </c>
      <c r="K885" s="366" t="s">
        <v>1738</v>
      </c>
      <c r="L885" s="366" t="s">
        <v>2260</v>
      </c>
      <c r="M885" s="350" t="str">
        <f>IF($B885="Portfolio","Portfolio",IFERROR(INDEX(DATA_ASSET_CLASSIFICATION!$B$8:$B$24,MATCH($C885,DATA_ASSET_CLASSIFICATION!$A$8:$A$24,0)),"Review"))</f>
        <v>Beatrice Terrace</v>
      </c>
      <c r="N885" s="350" t="str">
        <f ca="1">IF($B885="Portfolio","Portfolio",IFERROR(INDEX(DATA_ASSET_CLASSIFICATION!$U$8:$U$24,MATCH($C885,DATA_ASSET_CLASSIFICATION!$A$8:$A$24,0)),"Review"))</f>
        <v>Stable</v>
      </c>
      <c r="O885" s="350" t="str">
        <f ca="1">IF($B885="Portfolio","Portfolio",IFERROR(INDEX(DATA_ASSET_CLASSIFICATION!$AB$8:$AB$13,MATCH($N885,DATA_ASSET_CLASSIFICATION!$AA$8:$AA$13,0)),"Review"))</f>
        <v>Bucket 2 · Legacy</v>
      </c>
      <c r="P885" s="350" t="str">
        <f>IF($B885="Portfolio","Portfolio",IFERROR(INDEX(DATA_ASSET_CLASSIFICATION!$C$8:$C$24,MATCH($C885,DATA_ASSET_CLASSIFICATION!$A$8:$A$24,0)),"Review"))</f>
        <v>Yes</v>
      </c>
      <c r="Q885" s="350" t="str">
        <f t="shared" ca="1" si="27"/>
        <v>OK</v>
      </c>
    </row>
    <row r="886" spans="1:17">
      <c r="A886" s="366" t="s">
        <v>2842</v>
      </c>
      <c r="B886" s="366" t="s">
        <v>231</v>
      </c>
      <c r="C886" s="348" t="str">
        <f>DATA_PROPERTY_MASTER!$A$7</f>
        <v>BLD_BT</v>
      </c>
      <c r="D886" s="380">
        <f>'00_PORTFOLIO ROLLUP'!E$12</f>
        <v>2025</v>
      </c>
      <c r="E886" s="366" t="s">
        <v>1741</v>
      </c>
      <c r="F886" s="366" t="s">
        <v>41</v>
      </c>
      <c r="G886" s="348" t="str">
        <f>"'"&amp;$C886&amp;"'!rows 56 + positive row 63"</f>
        <v>'BLD_BT'!rows 56 + positive row 63</v>
      </c>
      <c r="H886" s="381">
        <f ca="1">IF(IFERROR(INDEX(DATA_PROPERTY_MASTER!$E$5:$E$21,MATCH($C886,DATA_PROPERTY_MASTER!$A$5:$A$21,0))="Yes",FALSE),IFERROR(INDEX(INDIRECT("'"&amp;$C886&amp;"'!$E$56:$Y$56"),1,MATCH($D886,INDIRECT("'"&amp;$C886&amp;"'!$E$12:$Y$12"),0)),0)+MAX(IFERROR(INDEX(INDIRECT("'"&amp;$C886&amp;"'!$E$63:$Y$63"),1,MATCH($D886,INDIRECT("'"&amp;$C886&amp;"'!$E$12:$Y$12"),0)),0),0),0)</f>
        <v>59441.265599999999</v>
      </c>
      <c r="I886" s="366" t="s">
        <v>1685</v>
      </c>
      <c r="J886" s="348" t="str">
        <f t="shared" ca="1" si="26"/>
        <v>OK</v>
      </c>
      <c r="K886" s="366" t="s">
        <v>1742</v>
      </c>
      <c r="L886" s="366" t="s">
        <v>2262</v>
      </c>
      <c r="M886" s="350" t="str">
        <f>IF($B886="Portfolio","Portfolio",IFERROR(INDEX(DATA_ASSET_CLASSIFICATION!$B$8:$B$24,MATCH($C886,DATA_ASSET_CLASSIFICATION!$A$8:$A$24,0)),"Review"))</f>
        <v>Beatrice Terrace</v>
      </c>
      <c r="N886" s="350" t="str">
        <f ca="1">IF($B886="Portfolio","Portfolio",IFERROR(INDEX(DATA_ASSET_CLASSIFICATION!$U$8:$U$24,MATCH($C886,DATA_ASSET_CLASSIFICATION!$A$8:$A$24,0)),"Review"))</f>
        <v>Stable</v>
      </c>
      <c r="O886" s="350" t="str">
        <f ca="1">IF($B886="Portfolio","Portfolio",IFERROR(INDEX(DATA_ASSET_CLASSIFICATION!$AB$8:$AB$13,MATCH($N886,DATA_ASSET_CLASSIFICATION!$AA$8:$AA$13,0)),"Review"))</f>
        <v>Bucket 2 · Legacy</v>
      </c>
      <c r="P886" s="350" t="str">
        <f>IF($B886="Portfolio","Portfolio",IFERROR(INDEX(DATA_ASSET_CLASSIFICATION!$C$8:$C$24,MATCH($C886,DATA_ASSET_CLASSIFICATION!$A$8:$A$24,0)),"Review"))</f>
        <v>Yes</v>
      </c>
      <c r="Q886" s="350" t="str">
        <f t="shared" ca="1" si="27"/>
        <v>OK</v>
      </c>
    </row>
    <row r="887" spans="1:17">
      <c r="A887" s="366" t="s">
        <v>2843</v>
      </c>
      <c r="B887" s="366" t="s">
        <v>231</v>
      </c>
      <c r="C887" s="348" t="str">
        <f>DATA_PROPERTY_MASTER!$A$7</f>
        <v>BLD_BT</v>
      </c>
      <c r="D887" s="380">
        <f>'00_PORTFOLIO ROLLUP'!E$12</f>
        <v>2025</v>
      </c>
      <c r="E887" s="366" t="s">
        <v>1741</v>
      </c>
      <c r="F887" s="366" t="s">
        <v>43</v>
      </c>
      <c r="G887" s="348" t="str">
        <f>"'"&amp;$C887&amp;"'!$E$68:$Y$68"</f>
        <v>'BLD_BT'!$E$68:$Y$68</v>
      </c>
      <c r="H887" s="381">
        <f ca="1">IF(IFERROR(INDEX(DATA_PROPERTY_MASTER!$E$5:$E$21,MATCH($C887,DATA_PROPERTY_MASTER!$A$5:$A$21,0))="Yes",FALSE),IFERROR(INDEX(INDIRECT("'"&amp;$C887&amp;"'!$E$68:$Y$68"),1,MATCH($D887,INDIRECT("'"&amp;$C887&amp;"'!$E$12:$Y$12"),0)),0),0)</f>
        <v>59441.265599999999</v>
      </c>
      <c r="I887" s="366" t="s">
        <v>1731</v>
      </c>
      <c r="J887" s="348" t="str">
        <f t="shared" ca="1" si="26"/>
        <v>OK</v>
      </c>
      <c r="K887" s="366" t="s">
        <v>1746</v>
      </c>
      <c r="L887" s="366" t="s">
        <v>2264</v>
      </c>
      <c r="M887" s="350" t="str">
        <f>IF($B887="Portfolio","Portfolio",IFERROR(INDEX(DATA_ASSET_CLASSIFICATION!$B$8:$B$24,MATCH($C887,DATA_ASSET_CLASSIFICATION!$A$8:$A$24,0)),"Review"))</f>
        <v>Beatrice Terrace</v>
      </c>
      <c r="N887" s="350" t="str">
        <f ca="1">IF($B887="Portfolio","Portfolio",IFERROR(INDEX(DATA_ASSET_CLASSIFICATION!$U$8:$U$24,MATCH($C887,DATA_ASSET_CLASSIFICATION!$A$8:$A$24,0)),"Review"))</f>
        <v>Stable</v>
      </c>
      <c r="O887" s="350" t="str">
        <f ca="1">IF($B887="Portfolio","Portfolio",IFERROR(INDEX(DATA_ASSET_CLASSIFICATION!$AB$8:$AB$13,MATCH($N887,DATA_ASSET_CLASSIFICATION!$AA$8:$AA$13,0)),"Review"))</f>
        <v>Bucket 2 · Legacy</v>
      </c>
      <c r="P887" s="350" t="str">
        <f>IF($B887="Portfolio","Portfolio",IFERROR(INDEX(DATA_ASSET_CLASSIFICATION!$C$8:$C$24,MATCH($C887,DATA_ASSET_CLASSIFICATION!$A$8:$A$24,0)),"Review"))</f>
        <v>Yes</v>
      </c>
      <c r="Q887" s="350" t="str">
        <f t="shared" ca="1" si="27"/>
        <v>OK</v>
      </c>
    </row>
    <row r="888" spans="1:17">
      <c r="A888" s="366" t="s">
        <v>2844</v>
      </c>
      <c r="B888" s="366" t="s">
        <v>231</v>
      </c>
      <c r="C888" s="348" t="str">
        <f>DATA_PROPERTY_MASTER!$A$7</f>
        <v>BLD_BT</v>
      </c>
      <c r="D888" s="380">
        <f>'00_PORTFOLIO ROLLUP'!E$12</f>
        <v>2025</v>
      </c>
      <c r="E888" s="366" t="s">
        <v>1741</v>
      </c>
      <c r="F888" s="366" t="s">
        <v>1749</v>
      </c>
      <c r="G888" s="348" t="str">
        <f>"'"&amp;$C888&amp;"'!rows 56, 63, 68"</f>
        <v>'BLD_BT'!rows 56, 63, 68</v>
      </c>
      <c r="H888" s="381">
        <f ca="1">IF(IFERROR(INDEX(DATA_PROPERTY_MASTER!$E$5:$E$21,MATCH($C888,DATA_PROPERTY_MASTER!$A$5:$A$21,0))="Yes",FALSE),(IFERROR(INDEX(INDIRECT("'"&amp;$C888&amp;"'!$E$56:$Y$56"),1,MATCH($D888,INDIRECT("'"&amp;$C888&amp;"'!$E$12:$Y$12"),0)),0)+MAX(IFERROR(INDEX(INDIRECT("'"&amp;$C888&amp;"'!$E$63:$Y$63"),1,MATCH($D888,INDIRECT("'"&amp;$C888&amp;"'!$E$12:$Y$12"),0)),0),0))-(IFERROR(INDEX(INDIRECT("'"&amp;$C888&amp;"'!$E$68:$Y$68"),1,MATCH($D888,INDIRECT("'"&amp;$C888&amp;"'!$E$12:$Y$12"),0)),0)),0)</f>
        <v>0</v>
      </c>
      <c r="I888" s="366" t="s">
        <v>1750</v>
      </c>
      <c r="J888" s="348" t="str">
        <f t="shared" ca="1" si="26"/>
        <v>OK</v>
      </c>
      <c r="K888" s="366" t="s">
        <v>1751</v>
      </c>
      <c r="L888" s="366" t="s">
        <v>2266</v>
      </c>
      <c r="M888" s="350" t="str">
        <f>IF($B888="Portfolio","Portfolio",IFERROR(INDEX(DATA_ASSET_CLASSIFICATION!$B$8:$B$24,MATCH($C888,DATA_ASSET_CLASSIFICATION!$A$8:$A$24,0)),"Review"))</f>
        <v>Beatrice Terrace</v>
      </c>
      <c r="N888" s="350" t="str">
        <f ca="1">IF($B888="Portfolio","Portfolio",IFERROR(INDEX(DATA_ASSET_CLASSIFICATION!$U$8:$U$24,MATCH($C888,DATA_ASSET_CLASSIFICATION!$A$8:$A$24,0)),"Review"))</f>
        <v>Stable</v>
      </c>
      <c r="O888" s="350" t="str">
        <f ca="1">IF($B888="Portfolio","Portfolio",IFERROR(INDEX(DATA_ASSET_CLASSIFICATION!$AB$8:$AB$13,MATCH($N888,DATA_ASSET_CLASSIFICATION!$AA$8:$AA$13,0)),"Review"))</f>
        <v>Bucket 2 · Legacy</v>
      </c>
      <c r="P888" s="350" t="str">
        <f>IF($B888="Portfolio","Portfolio",IFERROR(INDEX(DATA_ASSET_CLASSIFICATION!$C$8:$C$24,MATCH($C888,DATA_ASSET_CLASSIFICATION!$A$8:$A$24,0)),"Review"))</f>
        <v>Yes</v>
      </c>
      <c r="Q888" s="350" t="str">
        <f t="shared" ca="1" si="27"/>
        <v>OK</v>
      </c>
    </row>
    <row r="889" spans="1:17">
      <c r="A889" s="366" t="s">
        <v>2845</v>
      </c>
      <c r="B889" s="366" t="s">
        <v>231</v>
      </c>
      <c r="C889" s="348" t="str">
        <f>DATA_PROPERTY_MASTER!$A$7</f>
        <v>BLD_BT</v>
      </c>
      <c r="D889" s="380">
        <f>'00_PORTFOLIO ROLLUP'!F$12</f>
        <v>2026</v>
      </c>
      <c r="E889" s="366" t="s">
        <v>1683</v>
      </c>
      <c r="F889" s="366" t="s">
        <v>341</v>
      </c>
      <c r="G889" s="348" t="str">
        <f>"'"&amp;$C889&amp;"'!$E$24:$Y$24"</f>
        <v>'BLD_BT'!$E$24:$Y$24</v>
      </c>
      <c r="H889" s="381">
        <f ca="1">IF(IFERROR(INDEX(DATA_PROPERTY_MASTER!$E$5:$E$21,MATCH($C889,DATA_PROPERTY_MASTER!$A$5:$A$21,0))="Yes",FALSE),IFERROR(INDEX(INDIRECT("'"&amp;$C889&amp;"'!$E$24:$Y$24"),1,MATCH($D889,INDIRECT("'"&amp;$C889&amp;"'!$E$12:$Y$12"),0)),0),0)</f>
        <v>384885.70727999997</v>
      </c>
      <c r="I889" s="366" t="s">
        <v>1685</v>
      </c>
      <c r="J889" s="348" t="str">
        <f t="shared" ca="1" si="26"/>
        <v>OK</v>
      </c>
      <c r="K889" s="366" t="s">
        <v>1686</v>
      </c>
      <c r="L889" s="366" t="s">
        <v>2234</v>
      </c>
      <c r="M889" s="350" t="str">
        <f>IF($B889="Portfolio","Portfolio",IFERROR(INDEX(DATA_ASSET_CLASSIFICATION!$B$8:$B$24,MATCH($C889,DATA_ASSET_CLASSIFICATION!$A$8:$A$24,0)),"Review"))</f>
        <v>Beatrice Terrace</v>
      </c>
      <c r="N889" s="350" t="str">
        <f ca="1">IF($B889="Portfolio","Portfolio",IFERROR(INDEX(DATA_ASSET_CLASSIFICATION!$U$8:$U$24,MATCH($C889,DATA_ASSET_CLASSIFICATION!$A$8:$A$24,0)),"Review"))</f>
        <v>Stable</v>
      </c>
      <c r="O889" s="350" t="str">
        <f ca="1">IF($B889="Portfolio","Portfolio",IFERROR(INDEX(DATA_ASSET_CLASSIFICATION!$AB$8:$AB$13,MATCH($N889,DATA_ASSET_CLASSIFICATION!$AA$8:$AA$13,0)),"Review"))</f>
        <v>Bucket 2 · Legacy</v>
      </c>
      <c r="P889" s="350" t="str">
        <f>IF($B889="Portfolio","Portfolio",IFERROR(INDEX(DATA_ASSET_CLASSIFICATION!$C$8:$C$24,MATCH($C889,DATA_ASSET_CLASSIFICATION!$A$8:$A$24,0)),"Review"))</f>
        <v>Yes</v>
      </c>
      <c r="Q889" s="350" t="str">
        <f t="shared" ca="1" si="27"/>
        <v>OK</v>
      </c>
    </row>
    <row r="890" spans="1:17">
      <c r="A890" s="366" t="s">
        <v>2846</v>
      </c>
      <c r="B890" s="366" t="s">
        <v>231</v>
      </c>
      <c r="C890" s="348" t="str">
        <f>DATA_PROPERTY_MASTER!$A$7</f>
        <v>BLD_BT</v>
      </c>
      <c r="D890" s="380">
        <f>'00_PORTFOLIO ROLLUP'!F$12</f>
        <v>2026</v>
      </c>
      <c r="E890" s="366" t="s">
        <v>1683</v>
      </c>
      <c r="F890" s="366" t="s">
        <v>355</v>
      </c>
      <c r="G890" s="348" t="str">
        <f>"'"&amp;$C890&amp;"'!$E$39:$Y$39"</f>
        <v>'BLD_BT'!$E$39:$Y$39</v>
      </c>
      <c r="H890" s="381">
        <f ca="1">IF(IFERROR(INDEX(DATA_PROPERTY_MASTER!$E$5:$E$21,MATCH($C890,DATA_PROPERTY_MASTER!$A$5:$A$21,0))="Yes",FALSE),IFERROR(INDEX(INDIRECT("'"&amp;$C890&amp;"'!$E$39:$Y$39"),1,MATCH($D890,INDIRECT("'"&amp;$C890&amp;"'!$E$12:$Y$12"),0)),0),0)</f>
        <v>125153.60000000001</v>
      </c>
      <c r="I890" s="366" t="s">
        <v>1690</v>
      </c>
      <c r="J890" s="348" t="str">
        <f t="shared" ca="1" si="26"/>
        <v>OK</v>
      </c>
      <c r="K890" s="366" t="s">
        <v>1686</v>
      </c>
      <c r="L890" s="366" t="s">
        <v>2236</v>
      </c>
      <c r="M890" s="350" t="str">
        <f>IF($B890="Portfolio","Portfolio",IFERROR(INDEX(DATA_ASSET_CLASSIFICATION!$B$8:$B$24,MATCH($C890,DATA_ASSET_CLASSIFICATION!$A$8:$A$24,0)),"Review"))</f>
        <v>Beatrice Terrace</v>
      </c>
      <c r="N890" s="350" t="str">
        <f ca="1">IF($B890="Portfolio","Portfolio",IFERROR(INDEX(DATA_ASSET_CLASSIFICATION!$U$8:$U$24,MATCH($C890,DATA_ASSET_CLASSIFICATION!$A$8:$A$24,0)),"Review"))</f>
        <v>Stable</v>
      </c>
      <c r="O890" s="350" t="str">
        <f ca="1">IF($B890="Portfolio","Portfolio",IFERROR(INDEX(DATA_ASSET_CLASSIFICATION!$AB$8:$AB$13,MATCH($N890,DATA_ASSET_CLASSIFICATION!$AA$8:$AA$13,0)),"Review"))</f>
        <v>Bucket 2 · Legacy</v>
      </c>
      <c r="P890" s="350" t="str">
        <f>IF($B890="Portfolio","Portfolio",IFERROR(INDEX(DATA_ASSET_CLASSIFICATION!$C$8:$C$24,MATCH($C890,DATA_ASSET_CLASSIFICATION!$A$8:$A$24,0)),"Review"))</f>
        <v>Yes</v>
      </c>
      <c r="Q890" s="350" t="str">
        <f t="shared" ca="1" si="27"/>
        <v>OK</v>
      </c>
    </row>
    <row r="891" spans="1:17">
      <c r="A891" s="366" t="s">
        <v>2847</v>
      </c>
      <c r="B891" s="366" t="s">
        <v>231</v>
      </c>
      <c r="C891" s="348" t="str">
        <f>DATA_PROPERTY_MASTER!$A$7</f>
        <v>BLD_BT</v>
      </c>
      <c r="D891" s="380">
        <f>'00_PORTFOLIO ROLLUP'!F$12</f>
        <v>2026</v>
      </c>
      <c r="E891" s="366" t="s">
        <v>1683</v>
      </c>
      <c r="F891" s="366" t="s">
        <v>19</v>
      </c>
      <c r="G891" s="348" t="str">
        <f>"'"&amp;$C891&amp;"'!$E$41:$Y$41"</f>
        <v>'BLD_BT'!$E$41:$Y$41</v>
      </c>
      <c r="H891" s="381">
        <f ca="1">IF(IFERROR(INDEX(DATA_PROPERTY_MASTER!$E$5:$E$21,MATCH($C891,DATA_PROPERTY_MASTER!$A$5:$A$21,0))="Yes",FALSE),IFERROR(INDEX(INDIRECT("'"&amp;$C891&amp;"'!$E$41:$Y$41"),1,MATCH($D891,INDIRECT("'"&amp;$C891&amp;"'!$E$12:$Y$12"),0)),0),0)</f>
        <v>259732.10727999997</v>
      </c>
      <c r="I891" s="366" t="s">
        <v>1685</v>
      </c>
      <c r="J891" s="348" t="str">
        <f t="shared" ca="1" si="26"/>
        <v>OK</v>
      </c>
      <c r="K891" s="366" t="s">
        <v>1694</v>
      </c>
      <c r="L891" s="366" t="s">
        <v>2238</v>
      </c>
      <c r="M891" s="350" t="str">
        <f>IF($B891="Portfolio","Portfolio",IFERROR(INDEX(DATA_ASSET_CLASSIFICATION!$B$8:$B$24,MATCH($C891,DATA_ASSET_CLASSIFICATION!$A$8:$A$24,0)),"Review"))</f>
        <v>Beatrice Terrace</v>
      </c>
      <c r="N891" s="350" t="str">
        <f ca="1">IF($B891="Portfolio","Portfolio",IFERROR(INDEX(DATA_ASSET_CLASSIFICATION!$U$8:$U$24,MATCH($C891,DATA_ASSET_CLASSIFICATION!$A$8:$A$24,0)),"Review"))</f>
        <v>Stable</v>
      </c>
      <c r="O891" s="350" t="str">
        <f ca="1">IF($B891="Portfolio","Portfolio",IFERROR(INDEX(DATA_ASSET_CLASSIFICATION!$AB$8:$AB$13,MATCH($N891,DATA_ASSET_CLASSIFICATION!$AA$8:$AA$13,0)),"Review"))</f>
        <v>Bucket 2 · Legacy</v>
      </c>
      <c r="P891" s="350" t="str">
        <f>IF($B891="Portfolio","Portfolio",IFERROR(INDEX(DATA_ASSET_CLASSIFICATION!$C$8:$C$24,MATCH($C891,DATA_ASSET_CLASSIFICATION!$A$8:$A$24,0)),"Review"))</f>
        <v>Yes</v>
      </c>
      <c r="Q891" s="350" t="str">
        <f t="shared" ca="1" si="27"/>
        <v>OK</v>
      </c>
    </row>
    <row r="892" spans="1:17">
      <c r="A892" s="366" t="s">
        <v>2848</v>
      </c>
      <c r="B892" s="366" t="s">
        <v>231</v>
      </c>
      <c r="C892" s="348" t="str">
        <f>DATA_PROPERTY_MASTER!$A$7</f>
        <v>BLD_BT</v>
      </c>
      <c r="D892" s="380">
        <f>'00_PORTFOLIO ROLLUP'!F$12</f>
        <v>2026</v>
      </c>
      <c r="E892" s="366" t="s">
        <v>1683</v>
      </c>
      <c r="F892" s="366" t="s">
        <v>1697</v>
      </c>
      <c r="G892" s="348" t="str">
        <f>"'"&amp;$C892&amp;"'!$E$44:$Y$44"</f>
        <v>'BLD_BT'!$E$44:$Y$44</v>
      </c>
      <c r="H892" s="381">
        <f ca="1">IF(IFERROR(INDEX(DATA_PROPERTY_MASTER!$E$5:$E$21,MATCH($C892,DATA_PROPERTY_MASTER!$A$5:$A$21,0))="Yes",FALSE),IFERROR(INDEX(INDIRECT("'"&amp;$C892&amp;"'!$E$44:$Y$44"),1,MATCH($D892,INDIRECT("'"&amp;$C892&amp;"'!$E$12:$Y$12"),0)),0),0)</f>
        <v>2754</v>
      </c>
      <c r="I892" s="366" t="s">
        <v>1690</v>
      </c>
      <c r="J892" s="348" t="str">
        <f t="shared" ca="1" si="26"/>
        <v>OK</v>
      </c>
      <c r="K892" s="366" t="s">
        <v>1699</v>
      </c>
      <c r="L892" s="366" t="s">
        <v>2240</v>
      </c>
      <c r="M892" s="350" t="str">
        <f>IF($B892="Portfolio","Portfolio",IFERROR(INDEX(DATA_ASSET_CLASSIFICATION!$B$8:$B$24,MATCH($C892,DATA_ASSET_CLASSIFICATION!$A$8:$A$24,0)),"Review"))</f>
        <v>Beatrice Terrace</v>
      </c>
      <c r="N892" s="350" t="str">
        <f ca="1">IF($B892="Portfolio","Portfolio",IFERROR(INDEX(DATA_ASSET_CLASSIFICATION!$U$8:$U$24,MATCH($C892,DATA_ASSET_CLASSIFICATION!$A$8:$A$24,0)),"Review"))</f>
        <v>Stable</v>
      </c>
      <c r="O892" s="350" t="str">
        <f ca="1">IF($B892="Portfolio","Portfolio",IFERROR(INDEX(DATA_ASSET_CLASSIFICATION!$AB$8:$AB$13,MATCH($N892,DATA_ASSET_CLASSIFICATION!$AA$8:$AA$13,0)),"Review"))</f>
        <v>Bucket 2 · Legacy</v>
      </c>
      <c r="P892" s="350" t="str">
        <f>IF($B892="Portfolio","Portfolio",IFERROR(INDEX(DATA_ASSET_CLASSIFICATION!$C$8:$C$24,MATCH($C892,DATA_ASSET_CLASSIFICATION!$A$8:$A$24,0)),"Review"))</f>
        <v>Yes</v>
      </c>
      <c r="Q892" s="350" t="str">
        <f t="shared" ca="1" si="27"/>
        <v>OK</v>
      </c>
    </row>
    <row r="893" spans="1:17">
      <c r="A893" s="366" t="s">
        <v>2849</v>
      </c>
      <c r="B893" s="366" t="s">
        <v>231</v>
      </c>
      <c r="C893" s="348" t="str">
        <f>DATA_PROPERTY_MASTER!$A$7</f>
        <v>BLD_BT</v>
      </c>
      <c r="D893" s="380">
        <f>'00_PORTFOLIO ROLLUP'!F$12</f>
        <v>2026</v>
      </c>
      <c r="E893" s="366" t="s">
        <v>1683</v>
      </c>
      <c r="F893" s="366" t="s">
        <v>21</v>
      </c>
      <c r="G893" s="348" t="str">
        <f>"'"&amp;$C893&amp;"'!$E$45:$Y$45"</f>
        <v>'BLD_BT'!$E$45:$Y$45</v>
      </c>
      <c r="H893" s="381">
        <f ca="1">IF(IFERROR(INDEX(DATA_PROPERTY_MASTER!$E$5:$E$21,MATCH($C893,DATA_PROPERTY_MASTER!$A$5:$A$21,0))="Yes",FALSE),IFERROR(INDEX(INDIRECT("'"&amp;$C893&amp;"'!$E$45:$Y$45"),1,MATCH($D893,INDIRECT("'"&amp;$C893&amp;"'!$E$12:$Y$12"),0)),0),0)</f>
        <v>256978.10727999997</v>
      </c>
      <c r="I893" s="366" t="s">
        <v>1685</v>
      </c>
      <c r="J893" s="348" t="str">
        <f t="shared" ca="1" si="26"/>
        <v>OK</v>
      </c>
      <c r="K893" s="366" t="s">
        <v>1694</v>
      </c>
      <c r="L893" s="366" t="s">
        <v>2242</v>
      </c>
      <c r="M893" s="350" t="str">
        <f>IF($B893="Portfolio","Portfolio",IFERROR(INDEX(DATA_ASSET_CLASSIFICATION!$B$8:$B$24,MATCH($C893,DATA_ASSET_CLASSIFICATION!$A$8:$A$24,0)),"Review"))</f>
        <v>Beatrice Terrace</v>
      </c>
      <c r="N893" s="350" t="str">
        <f ca="1">IF($B893="Portfolio","Portfolio",IFERROR(INDEX(DATA_ASSET_CLASSIFICATION!$U$8:$U$24,MATCH($C893,DATA_ASSET_CLASSIFICATION!$A$8:$A$24,0)),"Review"))</f>
        <v>Stable</v>
      </c>
      <c r="O893" s="350" t="str">
        <f ca="1">IF($B893="Portfolio","Portfolio",IFERROR(INDEX(DATA_ASSET_CLASSIFICATION!$AB$8:$AB$13,MATCH($N893,DATA_ASSET_CLASSIFICATION!$AA$8:$AA$13,0)),"Review"))</f>
        <v>Bucket 2 · Legacy</v>
      </c>
      <c r="P893" s="350" t="str">
        <f>IF($B893="Portfolio","Portfolio",IFERROR(INDEX(DATA_ASSET_CLASSIFICATION!$C$8:$C$24,MATCH($C893,DATA_ASSET_CLASSIFICATION!$A$8:$A$24,0)),"Review"))</f>
        <v>Yes</v>
      </c>
      <c r="Q893" s="350" t="str">
        <f t="shared" ca="1" si="27"/>
        <v>OK</v>
      </c>
    </row>
    <row r="894" spans="1:17">
      <c r="A894" s="366" t="s">
        <v>2850</v>
      </c>
      <c r="B894" s="366" t="s">
        <v>231</v>
      </c>
      <c r="C894" s="348" t="str">
        <f>DATA_PROPERTY_MASTER!$A$7</f>
        <v>BLD_BT</v>
      </c>
      <c r="D894" s="380">
        <f>'00_PORTFOLIO ROLLUP'!F$12</f>
        <v>2026</v>
      </c>
      <c r="E894" s="366" t="s">
        <v>23</v>
      </c>
      <c r="F894" s="366" t="s">
        <v>23</v>
      </c>
      <c r="G894" s="348" t="str">
        <f>"'"&amp;$C894&amp;"'!$E$48:$Y$48"</f>
        <v>'BLD_BT'!$E$48:$Y$48</v>
      </c>
      <c r="H894" s="381">
        <f ca="1">IF(IFERROR(INDEX(DATA_PROPERTY_MASTER!$E$5:$E$21,MATCH($C894,DATA_PROPERTY_MASTER!$A$5:$A$21,0))="Yes",FALSE),IFERROR(INDEX(INDIRECT("'"&amp;$C894&amp;"'!$E$48:$Y$48"),1,MATCH($D894,INDIRECT("'"&amp;$C894&amp;"'!$E$12:$Y$12"),0)),0),0)</f>
        <v>110563.68</v>
      </c>
      <c r="I894" s="366" t="s">
        <v>1690</v>
      </c>
      <c r="J894" s="348" t="str">
        <f t="shared" ca="1" si="26"/>
        <v>OK</v>
      </c>
      <c r="K894" s="366" t="s">
        <v>1706</v>
      </c>
      <c r="L894" s="366" t="s">
        <v>2244</v>
      </c>
      <c r="M894" s="350" t="str">
        <f>IF($B894="Portfolio","Portfolio",IFERROR(INDEX(DATA_ASSET_CLASSIFICATION!$B$8:$B$24,MATCH($C894,DATA_ASSET_CLASSIFICATION!$A$8:$A$24,0)),"Review"))</f>
        <v>Beatrice Terrace</v>
      </c>
      <c r="N894" s="350" t="str">
        <f ca="1">IF($B894="Portfolio","Portfolio",IFERROR(INDEX(DATA_ASSET_CLASSIFICATION!$U$8:$U$24,MATCH($C894,DATA_ASSET_CLASSIFICATION!$A$8:$A$24,0)),"Review"))</f>
        <v>Stable</v>
      </c>
      <c r="O894" s="350" t="str">
        <f ca="1">IF($B894="Portfolio","Portfolio",IFERROR(INDEX(DATA_ASSET_CLASSIFICATION!$AB$8:$AB$13,MATCH($N894,DATA_ASSET_CLASSIFICATION!$AA$8:$AA$13,0)),"Review"))</f>
        <v>Bucket 2 · Legacy</v>
      </c>
      <c r="P894" s="350" t="str">
        <f>IF($B894="Portfolio","Portfolio",IFERROR(INDEX(DATA_ASSET_CLASSIFICATION!$C$8:$C$24,MATCH($C894,DATA_ASSET_CLASSIFICATION!$A$8:$A$24,0)),"Review"))</f>
        <v>Yes</v>
      </c>
      <c r="Q894" s="350" t="str">
        <f t="shared" ca="1" si="27"/>
        <v>OK</v>
      </c>
    </row>
    <row r="895" spans="1:17">
      <c r="A895" s="366" t="s">
        <v>2851</v>
      </c>
      <c r="B895" s="366" t="s">
        <v>231</v>
      </c>
      <c r="C895" s="348" t="str">
        <f>DATA_PROPERTY_MASTER!$A$7</f>
        <v>BLD_BT</v>
      </c>
      <c r="D895" s="380">
        <f>'00_PORTFOLIO ROLLUP'!F$12</f>
        <v>2026</v>
      </c>
      <c r="E895" s="366" t="s">
        <v>1683</v>
      </c>
      <c r="F895" s="366" t="s">
        <v>25</v>
      </c>
      <c r="G895" s="348" t="str">
        <f>"'"&amp;$C895&amp;"'!$E$52:$Y$52"</f>
        <v>'BLD_BT'!$E$52:$Y$52</v>
      </c>
      <c r="H895" s="381">
        <f ca="1">IF(IFERROR(INDEX(DATA_PROPERTY_MASTER!$E$5:$E$21,MATCH($C895,DATA_PROPERTY_MASTER!$A$5:$A$21,0))="Yes",FALSE),IFERROR(INDEX(INDIRECT("'"&amp;$C895&amp;"'!$E$52:$Y$52"),1,MATCH($D895,INDIRECT("'"&amp;$C895&amp;"'!$E$12:$Y$12"),0)),0),0)</f>
        <v>149168.42727999997</v>
      </c>
      <c r="I895" s="366" t="s">
        <v>1685</v>
      </c>
      <c r="J895" s="348" t="str">
        <f t="shared" ca="1" si="26"/>
        <v>OK</v>
      </c>
      <c r="K895" s="366" t="s">
        <v>1710</v>
      </c>
      <c r="L895" s="366" t="s">
        <v>2246</v>
      </c>
      <c r="M895" s="350" t="str">
        <f>IF($B895="Portfolio","Portfolio",IFERROR(INDEX(DATA_ASSET_CLASSIFICATION!$B$8:$B$24,MATCH($C895,DATA_ASSET_CLASSIFICATION!$A$8:$A$24,0)),"Review"))</f>
        <v>Beatrice Terrace</v>
      </c>
      <c r="N895" s="350" t="str">
        <f ca="1">IF($B895="Portfolio","Portfolio",IFERROR(INDEX(DATA_ASSET_CLASSIFICATION!$U$8:$U$24,MATCH($C895,DATA_ASSET_CLASSIFICATION!$A$8:$A$24,0)),"Review"))</f>
        <v>Stable</v>
      </c>
      <c r="O895" s="350" t="str">
        <f ca="1">IF($B895="Portfolio","Portfolio",IFERROR(INDEX(DATA_ASSET_CLASSIFICATION!$AB$8:$AB$13,MATCH($N895,DATA_ASSET_CLASSIFICATION!$AA$8:$AA$13,0)),"Review"))</f>
        <v>Bucket 2 · Legacy</v>
      </c>
      <c r="P895" s="350" t="str">
        <f>IF($B895="Portfolio","Portfolio",IFERROR(INDEX(DATA_ASSET_CLASSIFICATION!$C$8:$C$24,MATCH($C895,DATA_ASSET_CLASSIFICATION!$A$8:$A$24,0)),"Review"))</f>
        <v>Yes</v>
      </c>
      <c r="Q895" s="350" t="str">
        <f t="shared" ca="1" si="27"/>
        <v>OK</v>
      </c>
    </row>
    <row r="896" spans="1:17">
      <c r="A896" s="366" t="s">
        <v>2852</v>
      </c>
      <c r="B896" s="366" t="s">
        <v>231</v>
      </c>
      <c r="C896" s="348" t="str">
        <f>DATA_PROPERTY_MASTER!$A$7</f>
        <v>BLD_BT</v>
      </c>
      <c r="D896" s="380">
        <f>'00_PORTFOLIO ROLLUP'!F$12</f>
        <v>2026</v>
      </c>
      <c r="E896" s="366" t="s">
        <v>1683</v>
      </c>
      <c r="F896" s="366" t="s">
        <v>27</v>
      </c>
      <c r="G896" s="348" t="str">
        <f>"'"&amp;$C896&amp;"'!$E$54:$Y$54"</f>
        <v>'BLD_BT'!$E$54:$Y$54</v>
      </c>
      <c r="H896" s="381">
        <f ca="1">IF(IFERROR(INDEX(DATA_PROPERTY_MASTER!$E$5:$E$21,MATCH($C896,DATA_PROPERTY_MASTER!$A$5:$A$21,0))="Yes",FALSE),IFERROR(INDEX(INDIRECT("'"&amp;$C896&amp;"'!$E$54:$Y$54"),1,MATCH($D896,INDIRECT("'"&amp;$C896&amp;"'!$E$12:$Y$12"),0)),0),0)</f>
        <v>89501.056367999976</v>
      </c>
      <c r="I896" s="366" t="s">
        <v>1690</v>
      </c>
      <c r="J896" s="348" t="str">
        <f t="shared" ca="1" si="26"/>
        <v>OK</v>
      </c>
      <c r="K896" s="366" t="s">
        <v>1714</v>
      </c>
      <c r="L896" s="366" t="s">
        <v>2248</v>
      </c>
      <c r="M896" s="350" t="str">
        <f>IF($B896="Portfolio","Portfolio",IFERROR(INDEX(DATA_ASSET_CLASSIFICATION!$B$8:$B$24,MATCH($C896,DATA_ASSET_CLASSIFICATION!$A$8:$A$24,0)),"Review"))</f>
        <v>Beatrice Terrace</v>
      </c>
      <c r="N896" s="350" t="str">
        <f ca="1">IF($B896="Portfolio","Portfolio",IFERROR(INDEX(DATA_ASSET_CLASSIFICATION!$U$8:$U$24,MATCH($C896,DATA_ASSET_CLASSIFICATION!$A$8:$A$24,0)),"Review"))</f>
        <v>Stable</v>
      </c>
      <c r="O896" s="350" t="str">
        <f ca="1">IF($B896="Portfolio","Portfolio",IFERROR(INDEX(DATA_ASSET_CLASSIFICATION!$AB$8:$AB$13,MATCH($N896,DATA_ASSET_CLASSIFICATION!$AA$8:$AA$13,0)),"Review"))</f>
        <v>Bucket 2 · Legacy</v>
      </c>
      <c r="P896" s="350" t="str">
        <f>IF($B896="Portfolio","Portfolio",IFERROR(INDEX(DATA_ASSET_CLASSIFICATION!$C$8:$C$24,MATCH($C896,DATA_ASSET_CLASSIFICATION!$A$8:$A$24,0)),"Review"))</f>
        <v>Yes</v>
      </c>
      <c r="Q896" s="350" t="str">
        <f t="shared" ca="1" si="27"/>
        <v>OK</v>
      </c>
    </row>
    <row r="897" spans="1:17">
      <c r="A897" s="366" t="s">
        <v>2853</v>
      </c>
      <c r="B897" s="366" t="s">
        <v>231</v>
      </c>
      <c r="C897" s="348" t="str">
        <f>DATA_PROPERTY_MASTER!$A$7</f>
        <v>BLD_BT</v>
      </c>
      <c r="D897" s="380">
        <f>'00_PORTFOLIO ROLLUP'!F$12</f>
        <v>2026</v>
      </c>
      <c r="E897" s="366" t="s">
        <v>1683</v>
      </c>
      <c r="F897" s="366" t="s">
        <v>29</v>
      </c>
      <c r="G897" s="348" t="str">
        <f>"'"&amp;$C897&amp;"'!$E$56:$Y$56"</f>
        <v>'BLD_BT'!$E$56:$Y$56</v>
      </c>
      <c r="H897" s="381">
        <f ca="1">IF(IFERROR(INDEX(DATA_PROPERTY_MASTER!$E$5:$E$21,MATCH($C897,DATA_PROPERTY_MASTER!$A$5:$A$21,0))="Yes",FALSE),IFERROR(INDEX(INDIRECT("'"&amp;$C897&amp;"'!$E$56:$Y$56"),1,MATCH($D897,INDIRECT("'"&amp;$C897&amp;"'!$E$12:$Y$12"),0)),0),0)</f>
        <v>59667.370911999998</v>
      </c>
      <c r="I897" s="366" t="s">
        <v>1685</v>
      </c>
      <c r="J897" s="348" t="str">
        <f t="shared" ca="1" si="26"/>
        <v>OK</v>
      </c>
      <c r="K897" s="366" t="s">
        <v>1718</v>
      </c>
      <c r="L897" s="366" t="s">
        <v>2250</v>
      </c>
      <c r="M897" s="350" t="str">
        <f>IF($B897="Portfolio","Portfolio",IFERROR(INDEX(DATA_ASSET_CLASSIFICATION!$B$8:$B$24,MATCH($C897,DATA_ASSET_CLASSIFICATION!$A$8:$A$24,0)),"Review"))</f>
        <v>Beatrice Terrace</v>
      </c>
      <c r="N897" s="350" t="str">
        <f ca="1">IF($B897="Portfolio","Portfolio",IFERROR(INDEX(DATA_ASSET_CLASSIFICATION!$U$8:$U$24,MATCH($C897,DATA_ASSET_CLASSIFICATION!$A$8:$A$24,0)),"Review"))</f>
        <v>Stable</v>
      </c>
      <c r="O897" s="350" t="str">
        <f ca="1">IF($B897="Portfolio","Portfolio",IFERROR(INDEX(DATA_ASSET_CLASSIFICATION!$AB$8:$AB$13,MATCH($N897,DATA_ASSET_CLASSIFICATION!$AA$8:$AA$13,0)),"Review"))</f>
        <v>Bucket 2 · Legacy</v>
      </c>
      <c r="P897" s="350" t="str">
        <f>IF($B897="Portfolio","Portfolio",IFERROR(INDEX(DATA_ASSET_CLASSIFICATION!$C$8:$C$24,MATCH($C897,DATA_ASSET_CLASSIFICATION!$A$8:$A$24,0)),"Review"))</f>
        <v>Yes</v>
      </c>
      <c r="Q897" s="350" t="str">
        <f t="shared" ca="1" si="27"/>
        <v>OK</v>
      </c>
    </row>
    <row r="898" spans="1:17">
      <c r="A898" s="366" t="s">
        <v>2854</v>
      </c>
      <c r="B898" s="366" t="s">
        <v>231</v>
      </c>
      <c r="C898" s="348" t="str">
        <f>DATA_PROPERTY_MASTER!$A$7</f>
        <v>BLD_BT</v>
      </c>
      <c r="D898" s="380">
        <f>'00_PORTFOLIO ROLLUP'!F$12</f>
        <v>2026</v>
      </c>
      <c r="E898" s="366" t="s">
        <v>1721</v>
      </c>
      <c r="F898" s="366" t="s">
        <v>31</v>
      </c>
      <c r="G898" s="348" t="str">
        <f>"'"&amp;$C898&amp;"'!$E$61:$Y$61"</f>
        <v>'BLD_BT'!$E$61:$Y$61</v>
      </c>
      <c r="H898" s="381">
        <f ca="1">IF(IFERROR(INDEX(DATA_PROPERTY_MASTER!$E$5:$E$21,MATCH($C898,DATA_PROPERTY_MASTER!$A$5:$A$21,0))="Yes",FALSE),IFERROR(INDEX(INDIRECT("'"&amp;$C898&amp;"'!$E$61:$Y$61"),1,MATCH($D898,INDIRECT("'"&amp;$C898&amp;"'!$E$12:$Y$12"),0)),0),0)</f>
        <v>0</v>
      </c>
      <c r="I898" s="366" t="s">
        <v>1690</v>
      </c>
      <c r="J898" s="348" t="str">
        <f t="shared" ca="1" si="26"/>
        <v>OK</v>
      </c>
      <c r="K898" s="366" t="s">
        <v>1723</v>
      </c>
      <c r="L898" s="366" t="s">
        <v>2252</v>
      </c>
      <c r="M898" s="350" t="str">
        <f>IF($B898="Portfolio","Portfolio",IFERROR(INDEX(DATA_ASSET_CLASSIFICATION!$B$8:$B$24,MATCH($C898,DATA_ASSET_CLASSIFICATION!$A$8:$A$24,0)),"Review"))</f>
        <v>Beatrice Terrace</v>
      </c>
      <c r="N898" s="350" t="str">
        <f ca="1">IF($B898="Portfolio","Portfolio",IFERROR(INDEX(DATA_ASSET_CLASSIFICATION!$U$8:$U$24,MATCH($C898,DATA_ASSET_CLASSIFICATION!$A$8:$A$24,0)),"Review"))</f>
        <v>Stable</v>
      </c>
      <c r="O898" s="350" t="str">
        <f ca="1">IF($B898="Portfolio","Portfolio",IFERROR(INDEX(DATA_ASSET_CLASSIFICATION!$AB$8:$AB$13,MATCH($N898,DATA_ASSET_CLASSIFICATION!$AA$8:$AA$13,0)),"Review"))</f>
        <v>Bucket 2 · Legacy</v>
      </c>
      <c r="P898" s="350" t="str">
        <f>IF($B898="Portfolio","Portfolio",IFERROR(INDEX(DATA_ASSET_CLASSIFICATION!$C$8:$C$24,MATCH($C898,DATA_ASSET_CLASSIFICATION!$A$8:$A$24,0)),"Review"))</f>
        <v>Yes</v>
      </c>
      <c r="Q898" s="350" t="str">
        <f t="shared" ca="1" si="27"/>
        <v>OK</v>
      </c>
    </row>
    <row r="899" spans="1:17">
      <c r="A899" s="366" t="s">
        <v>2855</v>
      </c>
      <c r="B899" s="366" t="s">
        <v>231</v>
      </c>
      <c r="C899" s="348" t="str">
        <f>DATA_PROPERTY_MASTER!$A$7</f>
        <v>BLD_BT</v>
      </c>
      <c r="D899" s="380">
        <f>'00_PORTFOLIO ROLLUP'!F$12</f>
        <v>2026</v>
      </c>
      <c r="E899" s="366" t="s">
        <v>1721</v>
      </c>
      <c r="F899" s="366" t="s">
        <v>33</v>
      </c>
      <c r="G899" s="348" t="str">
        <f>"'"&amp;$C899&amp;"'!$E$62:$Y$62"</f>
        <v>'BLD_BT'!$E$62:$Y$62</v>
      </c>
      <c r="H899" s="381">
        <f ca="1">IF(IFERROR(INDEX(DATA_PROPERTY_MASTER!$E$5:$E$21,MATCH($C899,DATA_PROPERTY_MASTER!$A$5:$A$21,0))="Yes",FALSE),IFERROR(INDEX(INDIRECT("'"&amp;$C899&amp;"'!$E$62:$Y$62"),1,MATCH($D899,INDIRECT("'"&amp;$C899&amp;"'!$E$12:$Y$12"),0)),0),0)</f>
        <v>0</v>
      </c>
      <c r="I899" s="366" t="s">
        <v>1685</v>
      </c>
      <c r="J899" s="348" t="str">
        <f t="shared" ca="1" si="26"/>
        <v>OK</v>
      </c>
      <c r="K899" s="366" t="s">
        <v>1727</v>
      </c>
      <c r="L899" s="366" t="s">
        <v>2254</v>
      </c>
      <c r="M899" s="350" t="str">
        <f>IF($B899="Portfolio","Portfolio",IFERROR(INDEX(DATA_ASSET_CLASSIFICATION!$B$8:$B$24,MATCH($C899,DATA_ASSET_CLASSIFICATION!$A$8:$A$24,0)),"Review"))</f>
        <v>Beatrice Terrace</v>
      </c>
      <c r="N899" s="350" t="str">
        <f ca="1">IF($B899="Portfolio","Portfolio",IFERROR(INDEX(DATA_ASSET_CLASSIFICATION!$U$8:$U$24,MATCH($C899,DATA_ASSET_CLASSIFICATION!$A$8:$A$24,0)),"Review"))</f>
        <v>Stable</v>
      </c>
      <c r="O899" s="350" t="str">
        <f ca="1">IF($B899="Portfolio","Portfolio",IFERROR(INDEX(DATA_ASSET_CLASSIFICATION!$AB$8:$AB$13,MATCH($N899,DATA_ASSET_CLASSIFICATION!$AA$8:$AA$13,0)),"Review"))</f>
        <v>Bucket 2 · Legacy</v>
      </c>
      <c r="P899" s="350" t="str">
        <f>IF($B899="Portfolio","Portfolio",IFERROR(INDEX(DATA_ASSET_CLASSIFICATION!$C$8:$C$24,MATCH($C899,DATA_ASSET_CLASSIFICATION!$A$8:$A$24,0)),"Review"))</f>
        <v>Yes</v>
      </c>
      <c r="Q899" s="350" t="str">
        <f t="shared" ca="1" si="27"/>
        <v>OK</v>
      </c>
    </row>
    <row r="900" spans="1:17">
      <c r="A900" s="366" t="s">
        <v>2856</v>
      </c>
      <c r="B900" s="366" t="s">
        <v>231</v>
      </c>
      <c r="C900" s="348" t="str">
        <f>DATA_PROPERTY_MASTER!$A$7</f>
        <v>BLD_BT</v>
      </c>
      <c r="D900" s="380">
        <f>'00_PORTFOLIO ROLLUP'!F$12</f>
        <v>2026</v>
      </c>
      <c r="E900" s="366" t="s">
        <v>1721</v>
      </c>
      <c r="F900" s="366" t="s">
        <v>35</v>
      </c>
      <c r="G900" s="348" t="str">
        <f>"'"&amp;$C900&amp;"'!$E$63:$Y$63"</f>
        <v>'BLD_BT'!$E$63:$Y$63</v>
      </c>
      <c r="H900" s="381">
        <f ca="1">IF(IFERROR(INDEX(DATA_PROPERTY_MASTER!$E$5:$E$21,MATCH($C900,DATA_PROPERTY_MASTER!$A$5:$A$21,0))="Yes",FALSE),IFERROR(INDEX(INDIRECT("'"&amp;$C900&amp;"'!$E$63:$Y$63"),1,MATCH($D900,INDIRECT("'"&amp;$C900&amp;"'!$E$12:$Y$12"),0)),0),0)</f>
        <v>0</v>
      </c>
      <c r="I900" s="366" t="s">
        <v>1731</v>
      </c>
      <c r="J900" s="348" t="str">
        <f t="shared" ca="1" si="26"/>
        <v>OK</v>
      </c>
      <c r="K900" s="366" t="s">
        <v>1732</v>
      </c>
      <c r="L900" s="366" t="s">
        <v>2256</v>
      </c>
      <c r="M900" s="350" t="str">
        <f>IF($B900="Portfolio","Portfolio",IFERROR(INDEX(DATA_ASSET_CLASSIFICATION!$B$8:$B$24,MATCH($C900,DATA_ASSET_CLASSIFICATION!$A$8:$A$24,0)),"Review"))</f>
        <v>Beatrice Terrace</v>
      </c>
      <c r="N900" s="350" t="str">
        <f ca="1">IF($B900="Portfolio","Portfolio",IFERROR(INDEX(DATA_ASSET_CLASSIFICATION!$U$8:$U$24,MATCH($C900,DATA_ASSET_CLASSIFICATION!$A$8:$A$24,0)),"Review"))</f>
        <v>Stable</v>
      </c>
      <c r="O900" s="350" t="str">
        <f ca="1">IF($B900="Portfolio","Portfolio",IFERROR(INDEX(DATA_ASSET_CLASSIFICATION!$AB$8:$AB$13,MATCH($N900,DATA_ASSET_CLASSIFICATION!$AA$8:$AA$13,0)),"Review"))</f>
        <v>Bucket 2 · Legacy</v>
      </c>
      <c r="P900" s="350" t="str">
        <f>IF($B900="Portfolio","Portfolio",IFERROR(INDEX(DATA_ASSET_CLASSIFICATION!$C$8:$C$24,MATCH($C900,DATA_ASSET_CLASSIFICATION!$A$8:$A$24,0)),"Review"))</f>
        <v>Yes</v>
      </c>
      <c r="Q900" s="350" t="str">
        <f t="shared" ca="1" si="27"/>
        <v>OK</v>
      </c>
    </row>
    <row r="901" spans="1:17">
      <c r="A901" s="366" t="s">
        <v>2857</v>
      </c>
      <c r="B901" s="366" t="s">
        <v>231</v>
      </c>
      <c r="C901" s="348" t="str">
        <f>DATA_PROPERTY_MASTER!$A$7</f>
        <v>BLD_BT</v>
      </c>
      <c r="D901" s="380">
        <f>'00_PORTFOLIO ROLLUP'!F$12</f>
        <v>2026</v>
      </c>
      <c r="E901" s="366" t="s">
        <v>1721</v>
      </c>
      <c r="F901" s="366" t="s">
        <v>37</v>
      </c>
      <c r="G901" s="348" t="str">
        <f>"'"&amp;$C901&amp;"'!$E$63:$Y$63"</f>
        <v>'BLD_BT'!$E$63:$Y$63</v>
      </c>
      <c r="H901" s="381">
        <f ca="1">IF(IFERROR(INDEX(DATA_PROPERTY_MASTER!$E$5:$E$21,MATCH($C901,DATA_PROPERTY_MASTER!$A$5:$A$21,0))="Yes",FALSE),MAX(IFERROR(INDEX(INDIRECT("'"&amp;$C901&amp;"'!$E$63:$Y$63"),1,MATCH($D901,INDIRECT("'"&amp;$C901&amp;"'!$E$12:$Y$12"),0)),0),0),0)</f>
        <v>0</v>
      </c>
      <c r="I901" s="366" t="s">
        <v>1685</v>
      </c>
      <c r="J901" s="348" t="str">
        <f t="shared" ref="J901:J964" ca="1" si="28">IF($F901="Residual Funding Gap",IF($H901&gt;0,"Funding Gap","OK"),IF(AND($F901="Net Refinance Position",$H901&lt;0),"Negative net refi position","OK"))</f>
        <v>OK</v>
      </c>
      <c r="K901" s="366" t="s">
        <v>1735</v>
      </c>
      <c r="L901" s="366" t="s">
        <v>2258</v>
      </c>
      <c r="M901" s="350" t="str">
        <f>IF($B901="Portfolio","Portfolio",IFERROR(INDEX(DATA_ASSET_CLASSIFICATION!$B$8:$B$24,MATCH($C901,DATA_ASSET_CLASSIFICATION!$A$8:$A$24,0)),"Review"))</f>
        <v>Beatrice Terrace</v>
      </c>
      <c r="N901" s="350" t="str">
        <f ca="1">IF($B901="Portfolio","Portfolio",IFERROR(INDEX(DATA_ASSET_CLASSIFICATION!$U$8:$U$24,MATCH($C901,DATA_ASSET_CLASSIFICATION!$A$8:$A$24,0)),"Review"))</f>
        <v>Stable</v>
      </c>
      <c r="O901" s="350" t="str">
        <f ca="1">IF($B901="Portfolio","Portfolio",IFERROR(INDEX(DATA_ASSET_CLASSIFICATION!$AB$8:$AB$13,MATCH($N901,DATA_ASSET_CLASSIFICATION!$AA$8:$AA$13,0)),"Review"))</f>
        <v>Bucket 2 · Legacy</v>
      </c>
      <c r="P901" s="350" t="str">
        <f>IF($B901="Portfolio","Portfolio",IFERROR(INDEX(DATA_ASSET_CLASSIFICATION!$C$8:$C$24,MATCH($C901,DATA_ASSET_CLASSIFICATION!$A$8:$A$24,0)),"Review"))</f>
        <v>Yes</v>
      </c>
      <c r="Q901" s="350" t="str">
        <f t="shared" ref="Q901:Q964" ca="1" si="29">IF(AND($B901="Property",$F901="Residual Funding Gap",$H901&gt;0),"Property Funding Gap",IF($J901&lt;&gt;"OK",$J901,"OK"))</f>
        <v>OK</v>
      </c>
    </row>
    <row r="902" spans="1:17">
      <c r="A902" s="366" t="s">
        <v>2858</v>
      </c>
      <c r="B902" s="366" t="s">
        <v>231</v>
      </c>
      <c r="C902" s="348" t="str">
        <f>DATA_PROPERTY_MASTER!$A$7</f>
        <v>BLD_BT</v>
      </c>
      <c r="D902" s="380">
        <f>'00_PORTFOLIO ROLLUP'!F$12</f>
        <v>2026</v>
      </c>
      <c r="E902" s="366" t="s">
        <v>1721</v>
      </c>
      <c r="F902" s="366" t="s">
        <v>39</v>
      </c>
      <c r="G902" s="348" t="str">
        <f>"'"&amp;$C902&amp;"'!$E$63:$Y$63"</f>
        <v>'BLD_BT'!$E$63:$Y$63</v>
      </c>
      <c r="H902" s="381">
        <f ca="1">IF(IFERROR(INDEX(DATA_PROPERTY_MASTER!$E$5:$E$21,MATCH($C902,DATA_PROPERTY_MASTER!$A$5:$A$21,0))="Yes",FALSE),MAX(-IFERROR(INDEX(INDIRECT("'"&amp;$C902&amp;"'!$E$63:$Y$63"),1,MATCH($D902,INDIRECT("'"&amp;$C902&amp;"'!$E$12:$Y$12"),0)),0),0),0)</f>
        <v>0</v>
      </c>
      <c r="I902" s="366" t="s">
        <v>1690</v>
      </c>
      <c r="J902" s="348" t="str">
        <f t="shared" ca="1" si="28"/>
        <v>OK</v>
      </c>
      <c r="K902" s="366" t="s">
        <v>1738</v>
      </c>
      <c r="L902" s="366" t="s">
        <v>2260</v>
      </c>
      <c r="M902" s="350" t="str">
        <f>IF($B902="Portfolio","Portfolio",IFERROR(INDEX(DATA_ASSET_CLASSIFICATION!$B$8:$B$24,MATCH($C902,DATA_ASSET_CLASSIFICATION!$A$8:$A$24,0)),"Review"))</f>
        <v>Beatrice Terrace</v>
      </c>
      <c r="N902" s="350" t="str">
        <f ca="1">IF($B902="Portfolio","Portfolio",IFERROR(INDEX(DATA_ASSET_CLASSIFICATION!$U$8:$U$24,MATCH($C902,DATA_ASSET_CLASSIFICATION!$A$8:$A$24,0)),"Review"))</f>
        <v>Stable</v>
      </c>
      <c r="O902" s="350" t="str">
        <f ca="1">IF($B902="Portfolio","Portfolio",IFERROR(INDEX(DATA_ASSET_CLASSIFICATION!$AB$8:$AB$13,MATCH($N902,DATA_ASSET_CLASSIFICATION!$AA$8:$AA$13,0)),"Review"))</f>
        <v>Bucket 2 · Legacy</v>
      </c>
      <c r="P902" s="350" t="str">
        <f>IF($B902="Portfolio","Portfolio",IFERROR(INDEX(DATA_ASSET_CLASSIFICATION!$C$8:$C$24,MATCH($C902,DATA_ASSET_CLASSIFICATION!$A$8:$A$24,0)),"Review"))</f>
        <v>Yes</v>
      </c>
      <c r="Q902" s="350" t="str">
        <f t="shared" ca="1" si="29"/>
        <v>OK</v>
      </c>
    </row>
    <row r="903" spans="1:17">
      <c r="A903" s="366" t="s">
        <v>2859</v>
      </c>
      <c r="B903" s="366" t="s">
        <v>231</v>
      </c>
      <c r="C903" s="348" t="str">
        <f>DATA_PROPERTY_MASTER!$A$7</f>
        <v>BLD_BT</v>
      </c>
      <c r="D903" s="380">
        <f>'00_PORTFOLIO ROLLUP'!F$12</f>
        <v>2026</v>
      </c>
      <c r="E903" s="366" t="s">
        <v>1741</v>
      </c>
      <c r="F903" s="366" t="s">
        <v>41</v>
      </c>
      <c r="G903" s="348" t="str">
        <f>"'"&amp;$C903&amp;"'!rows 56 + positive row 63"</f>
        <v>'BLD_BT'!rows 56 + positive row 63</v>
      </c>
      <c r="H903" s="381">
        <f ca="1">IF(IFERROR(INDEX(DATA_PROPERTY_MASTER!$E$5:$E$21,MATCH($C903,DATA_PROPERTY_MASTER!$A$5:$A$21,0))="Yes",FALSE),IFERROR(INDEX(INDIRECT("'"&amp;$C903&amp;"'!$E$56:$Y$56"),1,MATCH($D903,INDIRECT("'"&amp;$C903&amp;"'!$E$12:$Y$12"),0)),0)+MAX(IFERROR(INDEX(INDIRECT("'"&amp;$C903&amp;"'!$E$63:$Y$63"),1,MATCH($D903,INDIRECT("'"&amp;$C903&amp;"'!$E$12:$Y$12"),0)),0),0),0)</f>
        <v>59667.370911999998</v>
      </c>
      <c r="I903" s="366" t="s">
        <v>1685</v>
      </c>
      <c r="J903" s="348" t="str">
        <f t="shared" ca="1" si="28"/>
        <v>OK</v>
      </c>
      <c r="K903" s="366" t="s">
        <v>1742</v>
      </c>
      <c r="L903" s="366" t="s">
        <v>2262</v>
      </c>
      <c r="M903" s="350" t="str">
        <f>IF($B903="Portfolio","Portfolio",IFERROR(INDEX(DATA_ASSET_CLASSIFICATION!$B$8:$B$24,MATCH($C903,DATA_ASSET_CLASSIFICATION!$A$8:$A$24,0)),"Review"))</f>
        <v>Beatrice Terrace</v>
      </c>
      <c r="N903" s="350" t="str">
        <f ca="1">IF($B903="Portfolio","Portfolio",IFERROR(INDEX(DATA_ASSET_CLASSIFICATION!$U$8:$U$24,MATCH($C903,DATA_ASSET_CLASSIFICATION!$A$8:$A$24,0)),"Review"))</f>
        <v>Stable</v>
      </c>
      <c r="O903" s="350" t="str">
        <f ca="1">IF($B903="Portfolio","Portfolio",IFERROR(INDEX(DATA_ASSET_CLASSIFICATION!$AB$8:$AB$13,MATCH($N903,DATA_ASSET_CLASSIFICATION!$AA$8:$AA$13,0)),"Review"))</f>
        <v>Bucket 2 · Legacy</v>
      </c>
      <c r="P903" s="350" t="str">
        <f>IF($B903="Portfolio","Portfolio",IFERROR(INDEX(DATA_ASSET_CLASSIFICATION!$C$8:$C$24,MATCH($C903,DATA_ASSET_CLASSIFICATION!$A$8:$A$24,0)),"Review"))</f>
        <v>Yes</v>
      </c>
      <c r="Q903" s="350" t="str">
        <f t="shared" ca="1" si="29"/>
        <v>OK</v>
      </c>
    </row>
    <row r="904" spans="1:17">
      <c r="A904" s="366" t="s">
        <v>2860</v>
      </c>
      <c r="B904" s="366" t="s">
        <v>231</v>
      </c>
      <c r="C904" s="348" t="str">
        <f>DATA_PROPERTY_MASTER!$A$7</f>
        <v>BLD_BT</v>
      </c>
      <c r="D904" s="380">
        <f>'00_PORTFOLIO ROLLUP'!F$12</f>
        <v>2026</v>
      </c>
      <c r="E904" s="366" t="s">
        <v>1741</v>
      </c>
      <c r="F904" s="366" t="s">
        <v>43</v>
      </c>
      <c r="G904" s="348" t="str">
        <f>"'"&amp;$C904&amp;"'!$E$68:$Y$68"</f>
        <v>'BLD_BT'!$E$68:$Y$68</v>
      </c>
      <c r="H904" s="381">
        <f ca="1">IF(IFERROR(INDEX(DATA_PROPERTY_MASTER!$E$5:$E$21,MATCH($C904,DATA_PROPERTY_MASTER!$A$5:$A$21,0))="Yes",FALSE),IFERROR(INDEX(INDIRECT("'"&amp;$C904&amp;"'!$E$68:$Y$68"),1,MATCH($D904,INDIRECT("'"&amp;$C904&amp;"'!$E$12:$Y$12"),0)),0),0)</f>
        <v>59667.370911999998</v>
      </c>
      <c r="I904" s="366" t="s">
        <v>1731</v>
      </c>
      <c r="J904" s="348" t="str">
        <f t="shared" ca="1" si="28"/>
        <v>OK</v>
      </c>
      <c r="K904" s="366" t="s">
        <v>1746</v>
      </c>
      <c r="L904" s="366" t="s">
        <v>2264</v>
      </c>
      <c r="M904" s="350" t="str">
        <f>IF($B904="Portfolio","Portfolio",IFERROR(INDEX(DATA_ASSET_CLASSIFICATION!$B$8:$B$24,MATCH($C904,DATA_ASSET_CLASSIFICATION!$A$8:$A$24,0)),"Review"))</f>
        <v>Beatrice Terrace</v>
      </c>
      <c r="N904" s="350" t="str">
        <f ca="1">IF($B904="Portfolio","Portfolio",IFERROR(INDEX(DATA_ASSET_CLASSIFICATION!$U$8:$U$24,MATCH($C904,DATA_ASSET_CLASSIFICATION!$A$8:$A$24,0)),"Review"))</f>
        <v>Stable</v>
      </c>
      <c r="O904" s="350" t="str">
        <f ca="1">IF($B904="Portfolio","Portfolio",IFERROR(INDEX(DATA_ASSET_CLASSIFICATION!$AB$8:$AB$13,MATCH($N904,DATA_ASSET_CLASSIFICATION!$AA$8:$AA$13,0)),"Review"))</f>
        <v>Bucket 2 · Legacy</v>
      </c>
      <c r="P904" s="350" t="str">
        <f>IF($B904="Portfolio","Portfolio",IFERROR(INDEX(DATA_ASSET_CLASSIFICATION!$C$8:$C$24,MATCH($C904,DATA_ASSET_CLASSIFICATION!$A$8:$A$24,0)),"Review"))</f>
        <v>Yes</v>
      </c>
      <c r="Q904" s="350" t="str">
        <f t="shared" ca="1" si="29"/>
        <v>OK</v>
      </c>
    </row>
    <row r="905" spans="1:17">
      <c r="A905" s="366" t="s">
        <v>2861</v>
      </c>
      <c r="B905" s="366" t="s">
        <v>231</v>
      </c>
      <c r="C905" s="348" t="str">
        <f>DATA_PROPERTY_MASTER!$A$7</f>
        <v>BLD_BT</v>
      </c>
      <c r="D905" s="380">
        <f>'00_PORTFOLIO ROLLUP'!F$12</f>
        <v>2026</v>
      </c>
      <c r="E905" s="366" t="s">
        <v>1741</v>
      </c>
      <c r="F905" s="366" t="s">
        <v>1749</v>
      </c>
      <c r="G905" s="348" t="str">
        <f>"'"&amp;$C905&amp;"'!rows 56, 63, 68"</f>
        <v>'BLD_BT'!rows 56, 63, 68</v>
      </c>
      <c r="H905" s="381">
        <f ca="1">IF(IFERROR(INDEX(DATA_PROPERTY_MASTER!$E$5:$E$21,MATCH($C905,DATA_PROPERTY_MASTER!$A$5:$A$21,0))="Yes",FALSE),(IFERROR(INDEX(INDIRECT("'"&amp;$C905&amp;"'!$E$56:$Y$56"),1,MATCH($D905,INDIRECT("'"&amp;$C905&amp;"'!$E$12:$Y$12"),0)),0)+MAX(IFERROR(INDEX(INDIRECT("'"&amp;$C905&amp;"'!$E$63:$Y$63"),1,MATCH($D905,INDIRECT("'"&amp;$C905&amp;"'!$E$12:$Y$12"),0)),0),0))-(IFERROR(INDEX(INDIRECT("'"&amp;$C905&amp;"'!$E$68:$Y$68"),1,MATCH($D905,INDIRECT("'"&amp;$C905&amp;"'!$E$12:$Y$12"),0)),0)),0)</f>
        <v>0</v>
      </c>
      <c r="I905" s="366" t="s">
        <v>1750</v>
      </c>
      <c r="J905" s="348" t="str">
        <f t="shared" ca="1" si="28"/>
        <v>OK</v>
      </c>
      <c r="K905" s="366" t="s">
        <v>1751</v>
      </c>
      <c r="L905" s="366" t="s">
        <v>2266</v>
      </c>
      <c r="M905" s="350" t="str">
        <f>IF($B905="Portfolio","Portfolio",IFERROR(INDEX(DATA_ASSET_CLASSIFICATION!$B$8:$B$24,MATCH($C905,DATA_ASSET_CLASSIFICATION!$A$8:$A$24,0)),"Review"))</f>
        <v>Beatrice Terrace</v>
      </c>
      <c r="N905" s="350" t="str">
        <f ca="1">IF($B905="Portfolio","Portfolio",IFERROR(INDEX(DATA_ASSET_CLASSIFICATION!$U$8:$U$24,MATCH($C905,DATA_ASSET_CLASSIFICATION!$A$8:$A$24,0)),"Review"))</f>
        <v>Stable</v>
      </c>
      <c r="O905" s="350" t="str">
        <f ca="1">IF($B905="Portfolio","Portfolio",IFERROR(INDEX(DATA_ASSET_CLASSIFICATION!$AB$8:$AB$13,MATCH($N905,DATA_ASSET_CLASSIFICATION!$AA$8:$AA$13,0)),"Review"))</f>
        <v>Bucket 2 · Legacy</v>
      </c>
      <c r="P905" s="350" t="str">
        <f>IF($B905="Portfolio","Portfolio",IFERROR(INDEX(DATA_ASSET_CLASSIFICATION!$C$8:$C$24,MATCH($C905,DATA_ASSET_CLASSIFICATION!$A$8:$A$24,0)),"Review"))</f>
        <v>Yes</v>
      </c>
      <c r="Q905" s="350" t="str">
        <f t="shared" ca="1" si="29"/>
        <v>OK</v>
      </c>
    </row>
    <row r="906" spans="1:17">
      <c r="A906" s="366" t="s">
        <v>2862</v>
      </c>
      <c r="B906" s="366" t="s">
        <v>231</v>
      </c>
      <c r="C906" s="348" t="str">
        <f>DATA_PROPERTY_MASTER!$A$7</f>
        <v>BLD_BT</v>
      </c>
      <c r="D906" s="380">
        <f>'00_PORTFOLIO ROLLUP'!G$12</f>
        <v>2027</v>
      </c>
      <c r="E906" s="366" t="s">
        <v>1683</v>
      </c>
      <c r="F906" s="366" t="s">
        <v>341</v>
      </c>
      <c r="G906" s="348" t="str">
        <f>"'"&amp;$C906&amp;"'!$E$24:$Y$24"</f>
        <v>'BLD_BT'!$E$24:$Y$24</v>
      </c>
      <c r="H906" s="381">
        <f ca="1">IF(IFERROR(INDEX(DATA_PROPERTY_MASTER!$E$5:$E$21,MATCH($C906,DATA_PROPERTY_MASTER!$A$5:$A$21,0))="Yes",FALSE),IFERROR(INDEX(INDIRECT("'"&amp;$C906&amp;"'!$E$24:$Y$24"),1,MATCH($D906,INDIRECT("'"&amp;$C906&amp;"'!$E$12:$Y$12"),0)),0),0)</f>
        <v>390372.1478256</v>
      </c>
      <c r="I906" s="366" t="s">
        <v>1685</v>
      </c>
      <c r="J906" s="348" t="str">
        <f t="shared" ca="1" si="28"/>
        <v>OK</v>
      </c>
      <c r="K906" s="366" t="s">
        <v>1686</v>
      </c>
      <c r="L906" s="366" t="s">
        <v>2234</v>
      </c>
      <c r="M906" s="350" t="str">
        <f>IF($B906="Portfolio","Portfolio",IFERROR(INDEX(DATA_ASSET_CLASSIFICATION!$B$8:$B$24,MATCH($C906,DATA_ASSET_CLASSIFICATION!$A$8:$A$24,0)),"Review"))</f>
        <v>Beatrice Terrace</v>
      </c>
      <c r="N906" s="350" t="str">
        <f ca="1">IF($B906="Portfolio","Portfolio",IFERROR(INDEX(DATA_ASSET_CLASSIFICATION!$U$8:$U$24,MATCH($C906,DATA_ASSET_CLASSIFICATION!$A$8:$A$24,0)),"Review"))</f>
        <v>Stable</v>
      </c>
      <c r="O906" s="350" t="str">
        <f ca="1">IF($B906="Portfolio","Portfolio",IFERROR(INDEX(DATA_ASSET_CLASSIFICATION!$AB$8:$AB$13,MATCH($N906,DATA_ASSET_CLASSIFICATION!$AA$8:$AA$13,0)),"Review"))</f>
        <v>Bucket 2 · Legacy</v>
      </c>
      <c r="P906" s="350" t="str">
        <f>IF($B906="Portfolio","Portfolio",IFERROR(INDEX(DATA_ASSET_CLASSIFICATION!$C$8:$C$24,MATCH($C906,DATA_ASSET_CLASSIFICATION!$A$8:$A$24,0)),"Review"))</f>
        <v>Yes</v>
      </c>
      <c r="Q906" s="350" t="str">
        <f t="shared" ca="1" si="29"/>
        <v>OK</v>
      </c>
    </row>
    <row r="907" spans="1:17">
      <c r="A907" s="366" t="s">
        <v>2863</v>
      </c>
      <c r="B907" s="366" t="s">
        <v>231</v>
      </c>
      <c r="C907" s="348" t="str">
        <f>DATA_PROPERTY_MASTER!$A$7</f>
        <v>BLD_BT</v>
      </c>
      <c r="D907" s="380">
        <f>'00_PORTFOLIO ROLLUP'!G$12</f>
        <v>2027</v>
      </c>
      <c r="E907" s="366" t="s">
        <v>1683</v>
      </c>
      <c r="F907" s="366" t="s">
        <v>355</v>
      </c>
      <c r="G907" s="348" t="str">
        <f>"'"&amp;$C907&amp;"'!$E$39:$Y$39"</f>
        <v>'BLD_BT'!$E$39:$Y$39</v>
      </c>
      <c r="H907" s="381">
        <f ca="1">IF(IFERROR(INDEX(DATA_PROPERTY_MASTER!$E$5:$E$21,MATCH($C907,DATA_PROPERTY_MASTER!$A$5:$A$21,0))="Yes",FALSE),IFERROR(INDEX(INDIRECT("'"&amp;$C907&amp;"'!$E$39:$Y$39"),1,MATCH($D907,INDIRECT("'"&amp;$C907&amp;"'!$E$12:$Y$12"),0)),0),0)</f>
        <v>130159.74400000002</v>
      </c>
      <c r="I907" s="366" t="s">
        <v>1690</v>
      </c>
      <c r="J907" s="348" t="str">
        <f t="shared" ca="1" si="28"/>
        <v>OK</v>
      </c>
      <c r="K907" s="366" t="s">
        <v>1686</v>
      </c>
      <c r="L907" s="366" t="s">
        <v>2236</v>
      </c>
      <c r="M907" s="350" t="str">
        <f>IF($B907="Portfolio","Portfolio",IFERROR(INDEX(DATA_ASSET_CLASSIFICATION!$B$8:$B$24,MATCH($C907,DATA_ASSET_CLASSIFICATION!$A$8:$A$24,0)),"Review"))</f>
        <v>Beatrice Terrace</v>
      </c>
      <c r="N907" s="350" t="str">
        <f ca="1">IF($B907="Portfolio","Portfolio",IFERROR(INDEX(DATA_ASSET_CLASSIFICATION!$U$8:$U$24,MATCH($C907,DATA_ASSET_CLASSIFICATION!$A$8:$A$24,0)),"Review"))</f>
        <v>Stable</v>
      </c>
      <c r="O907" s="350" t="str">
        <f ca="1">IF($B907="Portfolio","Portfolio",IFERROR(INDEX(DATA_ASSET_CLASSIFICATION!$AB$8:$AB$13,MATCH($N907,DATA_ASSET_CLASSIFICATION!$AA$8:$AA$13,0)),"Review"))</f>
        <v>Bucket 2 · Legacy</v>
      </c>
      <c r="P907" s="350" t="str">
        <f>IF($B907="Portfolio","Portfolio",IFERROR(INDEX(DATA_ASSET_CLASSIFICATION!$C$8:$C$24,MATCH($C907,DATA_ASSET_CLASSIFICATION!$A$8:$A$24,0)),"Review"))</f>
        <v>Yes</v>
      </c>
      <c r="Q907" s="350" t="str">
        <f t="shared" ca="1" si="29"/>
        <v>OK</v>
      </c>
    </row>
    <row r="908" spans="1:17">
      <c r="A908" s="366" t="s">
        <v>2864</v>
      </c>
      <c r="B908" s="366" t="s">
        <v>231</v>
      </c>
      <c r="C908" s="348" t="str">
        <f>DATA_PROPERTY_MASTER!$A$7</f>
        <v>BLD_BT</v>
      </c>
      <c r="D908" s="380">
        <f>'00_PORTFOLIO ROLLUP'!G$12</f>
        <v>2027</v>
      </c>
      <c r="E908" s="366" t="s">
        <v>1683</v>
      </c>
      <c r="F908" s="366" t="s">
        <v>19</v>
      </c>
      <c r="G908" s="348" t="str">
        <f>"'"&amp;$C908&amp;"'!$E$41:$Y$41"</f>
        <v>'BLD_BT'!$E$41:$Y$41</v>
      </c>
      <c r="H908" s="381">
        <f ca="1">IF(IFERROR(INDEX(DATA_PROPERTY_MASTER!$E$5:$E$21,MATCH($C908,DATA_PROPERTY_MASTER!$A$5:$A$21,0))="Yes",FALSE),IFERROR(INDEX(INDIRECT("'"&amp;$C908&amp;"'!$E$41:$Y$41"),1,MATCH($D908,INDIRECT("'"&amp;$C908&amp;"'!$E$12:$Y$12"),0)),0),0)</f>
        <v>260212.40382559999</v>
      </c>
      <c r="I908" s="366" t="s">
        <v>1685</v>
      </c>
      <c r="J908" s="348" t="str">
        <f t="shared" ca="1" si="28"/>
        <v>OK</v>
      </c>
      <c r="K908" s="366" t="s">
        <v>1694</v>
      </c>
      <c r="L908" s="366" t="s">
        <v>2238</v>
      </c>
      <c r="M908" s="350" t="str">
        <f>IF($B908="Portfolio","Portfolio",IFERROR(INDEX(DATA_ASSET_CLASSIFICATION!$B$8:$B$24,MATCH($C908,DATA_ASSET_CLASSIFICATION!$A$8:$A$24,0)),"Review"))</f>
        <v>Beatrice Terrace</v>
      </c>
      <c r="N908" s="350" t="str">
        <f ca="1">IF($B908="Portfolio","Portfolio",IFERROR(INDEX(DATA_ASSET_CLASSIFICATION!$U$8:$U$24,MATCH($C908,DATA_ASSET_CLASSIFICATION!$A$8:$A$24,0)),"Review"))</f>
        <v>Stable</v>
      </c>
      <c r="O908" s="350" t="str">
        <f ca="1">IF($B908="Portfolio","Portfolio",IFERROR(INDEX(DATA_ASSET_CLASSIFICATION!$AB$8:$AB$13,MATCH($N908,DATA_ASSET_CLASSIFICATION!$AA$8:$AA$13,0)),"Review"))</f>
        <v>Bucket 2 · Legacy</v>
      </c>
      <c r="P908" s="350" t="str">
        <f>IF($B908="Portfolio","Portfolio",IFERROR(INDEX(DATA_ASSET_CLASSIFICATION!$C$8:$C$24,MATCH($C908,DATA_ASSET_CLASSIFICATION!$A$8:$A$24,0)),"Review"))</f>
        <v>Yes</v>
      </c>
      <c r="Q908" s="350" t="str">
        <f t="shared" ca="1" si="29"/>
        <v>OK</v>
      </c>
    </row>
    <row r="909" spans="1:17">
      <c r="A909" s="366" t="s">
        <v>2865</v>
      </c>
      <c r="B909" s="366" t="s">
        <v>231</v>
      </c>
      <c r="C909" s="348" t="str">
        <f>DATA_PROPERTY_MASTER!$A$7</f>
        <v>BLD_BT</v>
      </c>
      <c r="D909" s="380">
        <f>'00_PORTFOLIO ROLLUP'!G$12</f>
        <v>2027</v>
      </c>
      <c r="E909" s="366" t="s">
        <v>1683</v>
      </c>
      <c r="F909" s="366" t="s">
        <v>1697</v>
      </c>
      <c r="G909" s="348" t="str">
        <f>"'"&amp;$C909&amp;"'!$E$44:$Y$44"</f>
        <v>'BLD_BT'!$E$44:$Y$44</v>
      </c>
      <c r="H909" s="381">
        <f ca="1">IF(IFERROR(INDEX(DATA_PROPERTY_MASTER!$E$5:$E$21,MATCH($C909,DATA_PROPERTY_MASTER!$A$5:$A$21,0))="Yes",FALSE),IFERROR(INDEX(INDIRECT("'"&amp;$C909&amp;"'!$E$44:$Y$44"),1,MATCH($D909,INDIRECT("'"&amp;$C909&amp;"'!$E$12:$Y$12"),0)),0),0)</f>
        <v>2809.08</v>
      </c>
      <c r="I909" s="366" t="s">
        <v>1690</v>
      </c>
      <c r="J909" s="348" t="str">
        <f t="shared" ca="1" si="28"/>
        <v>OK</v>
      </c>
      <c r="K909" s="366" t="s">
        <v>1699</v>
      </c>
      <c r="L909" s="366" t="s">
        <v>2240</v>
      </c>
      <c r="M909" s="350" t="str">
        <f>IF($B909="Portfolio","Portfolio",IFERROR(INDEX(DATA_ASSET_CLASSIFICATION!$B$8:$B$24,MATCH($C909,DATA_ASSET_CLASSIFICATION!$A$8:$A$24,0)),"Review"))</f>
        <v>Beatrice Terrace</v>
      </c>
      <c r="N909" s="350" t="str">
        <f ca="1">IF($B909="Portfolio","Portfolio",IFERROR(INDEX(DATA_ASSET_CLASSIFICATION!$U$8:$U$24,MATCH($C909,DATA_ASSET_CLASSIFICATION!$A$8:$A$24,0)),"Review"))</f>
        <v>Stable</v>
      </c>
      <c r="O909" s="350" t="str">
        <f ca="1">IF($B909="Portfolio","Portfolio",IFERROR(INDEX(DATA_ASSET_CLASSIFICATION!$AB$8:$AB$13,MATCH($N909,DATA_ASSET_CLASSIFICATION!$AA$8:$AA$13,0)),"Review"))</f>
        <v>Bucket 2 · Legacy</v>
      </c>
      <c r="P909" s="350" t="str">
        <f>IF($B909="Portfolio","Portfolio",IFERROR(INDEX(DATA_ASSET_CLASSIFICATION!$C$8:$C$24,MATCH($C909,DATA_ASSET_CLASSIFICATION!$A$8:$A$24,0)),"Review"))</f>
        <v>Yes</v>
      </c>
      <c r="Q909" s="350" t="str">
        <f t="shared" ca="1" si="29"/>
        <v>OK</v>
      </c>
    </row>
    <row r="910" spans="1:17">
      <c r="A910" s="366" t="s">
        <v>2866</v>
      </c>
      <c r="B910" s="366" t="s">
        <v>231</v>
      </c>
      <c r="C910" s="348" t="str">
        <f>DATA_PROPERTY_MASTER!$A$7</f>
        <v>BLD_BT</v>
      </c>
      <c r="D910" s="380">
        <f>'00_PORTFOLIO ROLLUP'!G$12</f>
        <v>2027</v>
      </c>
      <c r="E910" s="366" t="s">
        <v>1683</v>
      </c>
      <c r="F910" s="366" t="s">
        <v>21</v>
      </c>
      <c r="G910" s="348" t="str">
        <f>"'"&amp;$C910&amp;"'!$E$45:$Y$45"</f>
        <v>'BLD_BT'!$E$45:$Y$45</v>
      </c>
      <c r="H910" s="381">
        <f ca="1">IF(IFERROR(INDEX(DATA_PROPERTY_MASTER!$E$5:$E$21,MATCH($C910,DATA_PROPERTY_MASTER!$A$5:$A$21,0))="Yes",FALSE),IFERROR(INDEX(INDIRECT("'"&amp;$C910&amp;"'!$E$45:$Y$45"),1,MATCH($D910,INDIRECT("'"&amp;$C910&amp;"'!$E$12:$Y$12"),0)),0),0)</f>
        <v>257403.3238256</v>
      </c>
      <c r="I910" s="366" t="s">
        <v>1685</v>
      </c>
      <c r="J910" s="348" t="str">
        <f t="shared" ca="1" si="28"/>
        <v>OK</v>
      </c>
      <c r="K910" s="366" t="s">
        <v>1694</v>
      </c>
      <c r="L910" s="366" t="s">
        <v>2242</v>
      </c>
      <c r="M910" s="350" t="str">
        <f>IF($B910="Portfolio","Portfolio",IFERROR(INDEX(DATA_ASSET_CLASSIFICATION!$B$8:$B$24,MATCH($C910,DATA_ASSET_CLASSIFICATION!$A$8:$A$24,0)),"Review"))</f>
        <v>Beatrice Terrace</v>
      </c>
      <c r="N910" s="350" t="str">
        <f ca="1">IF($B910="Portfolio","Portfolio",IFERROR(INDEX(DATA_ASSET_CLASSIFICATION!$U$8:$U$24,MATCH($C910,DATA_ASSET_CLASSIFICATION!$A$8:$A$24,0)),"Review"))</f>
        <v>Stable</v>
      </c>
      <c r="O910" s="350" t="str">
        <f ca="1">IF($B910="Portfolio","Portfolio",IFERROR(INDEX(DATA_ASSET_CLASSIFICATION!$AB$8:$AB$13,MATCH($N910,DATA_ASSET_CLASSIFICATION!$AA$8:$AA$13,0)),"Review"))</f>
        <v>Bucket 2 · Legacy</v>
      </c>
      <c r="P910" s="350" t="str">
        <f>IF($B910="Portfolio","Portfolio",IFERROR(INDEX(DATA_ASSET_CLASSIFICATION!$C$8:$C$24,MATCH($C910,DATA_ASSET_CLASSIFICATION!$A$8:$A$24,0)),"Review"))</f>
        <v>Yes</v>
      </c>
      <c r="Q910" s="350" t="str">
        <f t="shared" ca="1" si="29"/>
        <v>OK</v>
      </c>
    </row>
    <row r="911" spans="1:17">
      <c r="A911" s="366" t="s">
        <v>2867</v>
      </c>
      <c r="B911" s="366" t="s">
        <v>231</v>
      </c>
      <c r="C911" s="348" t="str">
        <f>DATA_PROPERTY_MASTER!$A$7</f>
        <v>BLD_BT</v>
      </c>
      <c r="D911" s="380">
        <f>'00_PORTFOLIO ROLLUP'!G$12</f>
        <v>2027</v>
      </c>
      <c r="E911" s="366" t="s">
        <v>23</v>
      </c>
      <c r="F911" s="366" t="s">
        <v>23</v>
      </c>
      <c r="G911" s="348" t="str">
        <f>"'"&amp;$C911&amp;"'!$E$48:$Y$48"</f>
        <v>'BLD_BT'!$E$48:$Y$48</v>
      </c>
      <c r="H911" s="381">
        <f ca="1">IF(IFERROR(INDEX(DATA_PROPERTY_MASTER!$E$5:$E$21,MATCH($C911,DATA_PROPERTY_MASTER!$A$5:$A$21,0))="Yes",FALSE),IFERROR(INDEX(INDIRECT("'"&amp;$C911&amp;"'!$E$48:$Y$48"),1,MATCH($D911,INDIRECT("'"&amp;$C911&amp;"'!$E$12:$Y$12"),0)),0),0)</f>
        <v>110563.68</v>
      </c>
      <c r="I911" s="366" t="s">
        <v>1690</v>
      </c>
      <c r="J911" s="348" t="str">
        <f t="shared" ca="1" si="28"/>
        <v>OK</v>
      </c>
      <c r="K911" s="366" t="s">
        <v>1706</v>
      </c>
      <c r="L911" s="366" t="s">
        <v>2244</v>
      </c>
      <c r="M911" s="350" t="str">
        <f>IF($B911="Portfolio","Portfolio",IFERROR(INDEX(DATA_ASSET_CLASSIFICATION!$B$8:$B$24,MATCH($C911,DATA_ASSET_CLASSIFICATION!$A$8:$A$24,0)),"Review"))</f>
        <v>Beatrice Terrace</v>
      </c>
      <c r="N911" s="350" t="str">
        <f ca="1">IF($B911="Portfolio","Portfolio",IFERROR(INDEX(DATA_ASSET_CLASSIFICATION!$U$8:$U$24,MATCH($C911,DATA_ASSET_CLASSIFICATION!$A$8:$A$24,0)),"Review"))</f>
        <v>Stable</v>
      </c>
      <c r="O911" s="350" t="str">
        <f ca="1">IF($B911="Portfolio","Portfolio",IFERROR(INDEX(DATA_ASSET_CLASSIFICATION!$AB$8:$AB$13,MATCH($N911,DATA_ASSET_CLASSIFICATION!$AA$8:$AA$13,0)),"Review"))</f>
        <v>Bucket 2 · Legacy</v>
      </c>
      <c r="P911" s="350" t="str">
        <f>IF($B911="Portfolio","Portfolio",IFERROR(INDEX(DATA_ASSET_CLASSIFICATION!$C$8:$C$24,MATCH($C911,DATA_ASSET_CLASSIFICATION!$A$8:$A$24,0)),"Review"))</f>
        <v>Yes</v>
      </c>
      <c r="Q911" s="350" t="str">
        <f t="shared" ca="1" si="29"/>
        <v>OK</v>
      </c>
    </row>
    <row r="912" spans="1:17">
      <c r="A912" s="366" t="s">
        <v>2868</v>
      </c>
      <c r="B912" s="366" t="s">
        <v>231</v>
      </c>
      <c r="C912" s="348" t="str">
        <f>DATA_PROPERTY_MASTER!$A$7</f>
        <v>BLD_BT</v>
      </c>
      <c r="D912" s="380">
        <f>'00_PORTFOLIO ROLLUP'!G$12</f>
        <v>2027</v>
      </c>
      <c r="E912" s="366" t="s">
        <v>1683</v>
      </c>
      <c r="F912" s="366" t="s">
        <v>25</v>
      </c>
      <c r="G912" s="348" t="str">
        <f>"'"&amp;$C912&amp;"'!$E$52:$Y$52"</f>
        <v>'BLD_BT'!$E$52:$Y$52</v>
      </c>
      <c r="H912" s="381">
        <f ca="1">IF(IFERROR(INDEX(DATA_PROPERTY_MASTER!$E$5:$E$21,MATCH($C912,DATA_PROPERTY_MASTER!$A$5:$A$21,0))="Yes",FALSE),IFERROR(INDEX(INDIRECT("'"&amp;$C912&amp;"'!$E$52:$Y$52"),1,MATCH($D912,INDIRECT("'"&amp;$C912&amp;"'!$E$12:$Y$12"),0)),0),0)</f>
        <v>149648.7238256</v>
      </c>
      <c r="I912" s="366" t="s">
        <v>1685</v>
      </c>
      <c r="J912" s="348" t="str">
        <f t="shared" ca="1" si="28"/>
        <v>OK</v>
      </c>
      <c r="K912" s="366" t="s">
        <v>1710</v>
      </c>
      <c r="L912" s="366" t="s">
        <v>2246</v>
      </c>
      <c r="M912" s="350" t="str">
        <f>IF($B912="Portfolio","Portfolio",IFERROR(INDEX(DATA_ASSET_CLASSIFICATION!$B$8:$B$24,MATCH($C912,DATA_ASSET_CLASSIFICATION!$A$8:$A$24,0)),"Review"))</f>
        <v>Beatrice Terrace</v>
      </c>
      <c r="N912" s="350" t="str">
        <f ca="1">IF($B912="Portfolio","Portfolio",IFERROR(INDEX(DATA_ASSET_CLASSIFICATION!$U$8:$U$24,MATCH($C912,DATA_ASSET_CLASSIFICATION!$A$8:$A$24,0)),"Review"))</f>
        <v>Stable</v>
      </c>
      <c r="O912" s="350" t="str">
        <f ca="1">IF($B912="Portfolio","Portfolio",IFERROR(INDEX(DATA_ASSET_CLASSIFICATION!$AB$8:$AB$13,MATCH($N912,DATA_ASSET_CLASSIFICATION!$AA$8:$AA$13,0)),"Review"))</f>
        <v>Bucket 2 · Legacy</v>
      </c>
      <c r="P912" s="350" t="str">
        <f>IF($B912="Portfolio","Portfolio",IFERROR(INDEX(DATA_ASSET_CLASSIFICATION!$C$8:$C$24,MATCH($C912,DATA_ASSET_CLASSIFICATION!$A$8:$A$24,0)),"Review"))</f>
        <v>Yes</v>
      </c>
      <c r="Q912" s="350" t="str">
        <f t="shared" ca="1" si="29"/>
        <v>OK</v>
      </c>
    </row>
    <row r="913" spans="1:17">
      <c r="A913" s="366" t="s">
        <v>2869</v>
      </c>
      <c r="B913" s="366" t="s">
        <v>231</v>
      </c>
      <c r="C913" s="348" t="str">
        <f>DATA_PROPERTY_MASTER!$A$7</f>
        <v>BLD_BT</v>
      </c>
      <c r="D913" s="380">
        <f>'00_PORTFOLIO ROLLUP'!G$12</f>
        <v>2027</v>
      </c>
      <c r="E913" s="366" t="s">
        <v>1683</v>
      </c>
      <c r="F913" s="366" t="s">
        <v>27</v>
      </c>
      <c r="G913" s="348" t="str">
        <f>"'"&amp;$C913&amp;"'!$E$54:$Y$54"</f>
        <v>'BLD_BT'!$E$54:$Y$54</v>
      </c>
      <c r="H913" s="381">
        <f ca="1">IF(IFERROR(INDEX(DATA_PROPERTY_MASTER!$E$5:$E$21,MATCH($C913,DATA_PROPERTY_MASTER!$A$5:$A$21,0))="Yes",FALSE),IFERROR(INDEX(INDIRECT("'"&amp;$C913&amp;"'!$E$54:$Y$54"),1,MATCH($D913,INDIRECT("'"&amp;$C913&amp;"'!$E$12:$Y$12"),0)),0),0)</f>
        <v>89789.234295360002</v>
      </c>
      <c r="I913" s="366" t="s">
        <v>1690</v>
      </c>
      <c r="J913" s="348" t="str">
        <f t="shared" ca="1" si="28"/>
        <v>OK</v>
      </c>
      <c r="K913" s="366" t="s">
        <v>1714</v>
      </c>
      <c r="L913" s="366" t="s">
        <v>2248</v>
      </c>
      <c r="M913" s="350" t="str">
        <f>IF($B913="Portfolio","Portfolio",IFERROR(INDEX(DATA_ASSET_CLASSIFICATION!$B$8:$B$24,MATCH($C913,DATA_ASSET_CLASSIFICATION!$A$8:$A$24,0)),"Review"))</f>
        <v>Beatrice Terrace</v>
      </c>
      <c r="N913" s="350" t="str">
        <f ca="1">IF($B913="Portfolio","Portfolio",IFERROR(INDEX(DATA_ASSET_CLASSIFICATION!$U$8:$U$24,MATCH($C913,DATA_ASSET_CLASSIFICATION!$A$8:$A$24,0)),"Review"))</f>
        <v>Stable</v>
      </c>
      <c r="O913" s="350" t="str">
        <f ca="1">IF($B913="Portfolio","Portfolio",IFERROR(INDEX(DATA_ASSET_CLASSIFICATION!$AB$8:$AB$13,MATCH($N913,DATA_ASSET_CLASSIFICATION!$AA$8:$AA$13,0)),"Review"))</f>
        <v>Bucket 2 · Legacy</v>
      </c>
      <c r="P913" s="350" t="str">
        <f>IF($B913="Portfolio","Portfolio",IFERROR(INDEX(DATA_ASSET_CLASSIFICATION!$C$8:$C$24,MATCH($C913,DATA_ASSET_CLASSIFICATION!$A$8:$A$24,0)),"Review"))</f>
        <v>Yes</v>
      </c>
      <c r="Q913" s="350" t="str">
        <f t="shared" ca="1" si="29"/>
        <v>OK</v>
      </c>
    </row>
    <row r="914" spans="1:17">
      <c r="A914" s="366" t="s">
        <v>2870</v>
      </c>
      <c r="B914" s="366" t="s">
        <v>231</v>
      </c>
      <c r="C914" s="348" t="str">
        <f>DATA_PROPERTY_MASTER!$A$7</f>
        <v>BLD_BT</v>
      </c>
      <c r="D914" s="380">
        <f>'00_PORTFOLIO ROLLUP'!G$12</f>
        <v>2027</v>
      </c>
      <c r="E914" s="366" t="s">
        <v>1683</v>
      </c>
      <c r="F914" s="366" t="s">
        <v>29</v>
      </c>
      <c r="G914" s="348" t="str">
        <f>"'"&amp;$C914&amp;"'!$E$56:$Y$56"</f>
        <v>'BLD_BT'!$E$56:$Y$56</v>
      </c>
      <c r="H914" s="381">
        <f ca="1">IF(IFERROR(INDEX(DATA_PROPERTY_MASTER!$E$5:$E$21,MATCH($C914,DATA_PROPERTY_MASTER!$A$5:$A$21,0))="Yes",FALSE),IFERROR(INDEX(INDIRECT("'"&amp;$C914&amp;"'!$E$56:$Y$56"),1,MATCH($D914,INDIRECT("'"&amp;$C914&amp;"'!$E$12:$Y$12"),0)),0),0)</f>
        <v>59859.489530239996</v>
      </c>
      <c r="I914" s="366" t="s">
        <v>1685</v>
      </c>
      <c r="J914" s="348" t="str">
        <f t="shared" ca="1" si="28"/>
        <v>OK</v>
      </c>
      <c r="K914" s="366" t="s">
        <v>1718</v>
      </c>
      <c r="L914" s="366" t="s">
        <v>2250</v>
      </c>
      <c r="M914" s="350" t="str">
        <f>IF($B914="Portfolio","Portfolio",IFERROR(INDEX(DATA_ASSET_CLASSIFICATION!$B$8:$B$24,MATCH($C914,DATA_ASSET_CLASSIFICATION!$A$8:$A$24,0)),"Review"))</f>
        <v>Beatrice Terrace</v>
      </c>
      <c r="N914" s="350" t="str">
        <f ca="1">IF($B914="Portfolio","Portfolio",IFERROR(INDEX(DATA_ASSET_CLASSIFICATION!$U$8:$U$24,MATCH($C914,DATA_ASSET_CLASSIFICATION!$A$8:$A$24,0)),"Review"))</f>
        <v>Stable</v>
      </c>
      <c r="O914" s="350" t="str">
        <f ca="1">IF($B914="Portfolio","Portfolio",IFERROR(INDEX(DATA_ASSET_CLASSIFICATION!$AB$8:$AB$13,MATCH($N914,DATA_ASSET_CLASSIFICATION!$AA$8:$AA$13,0)),"Review"))</f>
        <v>Bucket 2 · Legacy</v>
      </c>
      <c r="P914" s="350" t="str">
        <f>IF($B914="Portfolio","Portfolio",IFERROR(INDEX(DATA_ASSET_CLASSIFICATION!$C$8:$C$24,MATCH($C914,DATA_ASSET_CLASSIFICATION!$A$8:$A$24,0)),"Review"))</f>
        <v>Yes</v>
      </c>
      <c r="Q914" s="350" t="str">
        <f t="shared" ca="1" si="29"/>
        <v>OK</v>
      </c>
    </row>
    <row r="915" spans="1:17">
      <c r="A915" s="366" t="s">
        <v>2871</v>
      </c>
      <c r="B915" s="366" t="s">
        <v>231</v>
      </c>
      <c r="C915" s="348" t="str">
        <f>DATA_PROPERTY_MASTER!$A$7</f>
        <v>BLD_BT</v>
      </c>
      <c r="D915" s="380">
        <f>'00_PORTFOLIO ROLLUP'!G$12</f>
        <v>2027</v>
      </c>
      <c r="E915" s="366" t="s">
        <v>1721</v>
      </c>
      <c r="F915" s="366" t="s">
        <v>31</v>
      </c>
      <c r="G915" s="348" t="str">
        <f>"'"&amp;$C915&amp;"'!$E$61:$Y$61"</f>
        <v>'BLD_BT'!$E$61:$Y$61</v>
      </c>
      <c r="H915" s="381">
        <f ca="1">IF(IFERROR(INDEX(DATA_PROPERTY_MASTER!$E$5:$E$21,MATCH($C915,DATA_PROPERTY_MASTER!$A$5:$A$21,0))="Yes",FALSE),IFERROR(INDEX(INDIRECT("'"&amp;$C915&amp;"'!$E$61:$Y$61"),1,MATCH($D915,INDIRECT("'"&amp;$C915&amp;"'!$E$12:$Y$12"),0)),0),0)</f>
        <v>0</v>
      </c>
      <c r="I915" s="366" t="s">
        <v>1690</v>
      </c>
      <c r="J915" s="348" t="str">
        <f t="shared" ca="1" si="28"/>
        <v>OK</v>
      </c>
      <c r="K915" s="366" t="s">
        <v>1723</v>
      </c>
      <c r="L915" s="366" t="s">
        <v>2252</v>
      </c>
      <c r="M915" s="350" t="str">
        <f>IF($B915="Portfolio","Portfolio",IFERROR(INDEX(DATA_ASSET_CLASSIFICATION!$B$8:$B$24,MATCH($C915,DATA_ASSET_CLASSIFICATION!$A$8:$A$24,0)),"Review"))</f>
        <v>Beatrice Terrace</v>
      </c>
      <c r="N915" s="350" t="str">
        <f ca="1">IF($B915="Portfolio","Portfolio",IFERROR(INDEX(DATA_ASSET_CLASSIFICATION!$U$8:$U$24,MATCH($C915,DATA_ASSET_CLASSIFICATION!$A$8:$A$24,0)),"Review"))</f>
        <v>Stable</v>
      </c>
      <c r="O915" s="350" t="str">
        <f ca="1">IF($B915="Portfolio","Portfolio",IFERROR(INDEX(DATA_ASSET_CLASSIFICATION!$AB$8:$AB$13,MATCH($N915,DATA_ASSET_CLASSIFICATION!$AA$8:$AA$13,0)),"Review"))</f>
        <v>Bucket 2 · Legacy</v>
      </c>
      <c r="P915" s="350" t="str">
        <f>IF($B915="Portfolio","Portfolio",IFERROR(INDEX(DATA_ASSET_CLASSIFICATION!$C$8:$C$24,MATCH($C915,DATA_ASSET_CLASSIFICATION!$A$8:$A$24,0)),"Review"))</f>
        <v>Yes</v>
      </c>
      <c r="Q915" s="350" t="str">
        <f t="shared" ca="1" si="29"/>
        <v>OK</v>
      </c>
    </row>
    <row r="916" spans="1:17">
      <c r="A916" s="366" t="s">
        <v>2872</v>
      </c>
      <c r="B916" s="366" t="s">
        <v>231</v>
      </c>
      <c r="C916" s="348" t="str">
        <f>DATA_PROPERTY_MASTER!$A$7</f>
        <v>BLD_BT</v>
      </c>
      <c r="D916" s="380">
        <f>'00_PORTFOLIO ROLLUP'!G$12</f>
        <v>2027</v>
      </c>
      <c r="E916" s="366" t="s">
        <v>1721</v>
      </c>
      <c r="F916" s="366" t="s">
        <v>33</v>
      </c>
      <c r="G916" s="348" t="str">
        <f>"'"&amp;$C916&amp;"'!$E$62:$Y$62"</f>
        <v>'BLD_BT'!$E$62:$Y$62</v>
      </c>
      <c r="H916" s="381">
        <f ca="1">IF(IFERROR(INDEX(DATA_PROPERTY_MASTER!$E$5:$E$21,MATCH($C916,DATA_PROPERTY_MASTER!$A$5:$A$21,0))="Yes",FALSE),IFERROR(INDEX(INDIRECT("'"&amp;$C916&amp;"'!$E$62:$Y$62"),1,MATCH($D916,INDIRECT("'"&amp;$C916&amp;"'!$E$12:$Y$12"),0)),0),0)</f>
        <v>0</v>
      </c>
      <c r="I916" s="366" t="s">
        <v>1685</v>
      </c>
      <c r="J916" s="348" t="str">
        <f t="shared" ca="1" si="28"/>
        <v>OK</v>
      </c>
      <c r="K916" s="366" t="s">
        <v>1727</v>
      </c>
      <c r="L916" s="366" t="s">
        <v>2254</v>
      </c>
      <c r="M916" s="350" t="str">
        <f>IF($B916="Portfolio","Portfolio",IFERROR(INDEX(DATA_ASSET_CLASSIFICATION!$B$8:$B$24,MATCH($C916,DATA_ASSET_CLASSIFICATION!$A$8:$A$24,0)),"Review"))</f>
        <v>Beatrice Terrace</v>
      </c>
      <c r="N916" s="350" t="str">
        <f ca="1">IF($B916="Portfolio","Portfolio",IFERROR(INDEX(DATA_ASSET_CLASSIFICATION!$U$8:$U$24,MATCH($C916,DATA_ASSET_CLASSIFICATION!$A$8:$A$24,0)),"Review"))</f>
        <v>Stable</v>
      </c>
      <c r="O916" s="350" t="str">
        <f ca="1">IF($B916="Portfolio","Portfolio",IFERROR(INDEX(DATA_ASSET_CLASSIFICATION!$AB$8:$AB$13,MATCH($N916,DATA_ASSET_CLASSIFICATION!$AA$8:$AA$13,0)),"Review"))</f>
        <v>Bucket 2 · Legacy</v>
      </c>
      <c r="P916" s="350" t="str">
        <f>IF($B916="Portfolio","Portfolio",IFERROR(INDEX(DATA_ASSET_CLASSIFICATION!$C$8:$C$24,MATCH($C916,DATA_ASSET_CLASSIFICATION!$A$8:$A$24,0)),"Review"))</f>
        <v>Yes</v>
      </c>
      <c r="Q916" s="350" t="str">
        <f t="shared" ca="1" si="29"/>
        <v>OK</v>
      </c>
    </row>
    <row r="917" spans="1:17">
      <c r="A917" s="366" t="s">
        <v>2873</v>
      </c>
      <c r="B917" s="366" t="s">
        <v>231</v>
      </c>
      <c r="C917" s="348" t="str">
        <f>DATA_PROPERTY_MASTER!$A$7</f>
        <v>BLD_BT</v>
      </c>
      <c r="D917" s="380">
        <f>'00_PORTFOLIO ROLLUP'!G$12</f>
        <v>2027</v>
      </c>
      <c r="E917" s="366" t="s">
        <v>1721</v>
      </c>
      <c r="F917" s="366" t="s">
        <v>35</v>
      </c>
      <c r="G917" s="348" t="str">
        <f>"'"&amp;$C917&amp;"'!$E$63:$Y$63"</f>
        <v>'BLD_BT'!$E$63:$Y$63</v>
      </c>
      <c r="H917" s="381">
        <f ca="1">IF(IFERROR(INDEX(DATA_PROPERTY_MASTER!$E$5:$E$21,MATCH($C917,DATA_PROPERTY_MASTER!$A$5:$A$21,0))="Yes",FALSE),IFERROR(INDEX(INDIRECT("'"&amp;$C917&amp;"'!$E$63:$Y$63"),1,MATCH($D917,INDIRECT("'"&amp;$C917&amp;"'!$E$12:$Y$12"),0)),0),0)</f>
        <v>0</v>
      </c>
      <c r="I917" s="366" t="s">
        <v>1731</v>
      </c>
      <c r="J917" s="348" t="str">
        <f t="shared" ca="1" si="28"/>
        <v>OK</v>
      </c>
      <c r="K917" s="366" t="s">
        <v>1732</v>
      </c>
      <c r="L917" s="366" t="s">
        <v>2256</v>
      </c>
      <c r="M917" s="350" t="str">
        <f>IF($B917="Portfolio","Portfolio",IFERROR(INDEX(DATA_ASSET_CLASSIFICATION!$B$8:$B$24,MATCH($C917,DATA_ASSET_CLASSIFICATION!$A$8:$A$24,0)),"Review"))</f>
        <v>Beatrice Terrace</v>
      </c>
      <c r="N917" s="350" t="str">
        <f ca="1">IF($B917="Portfolio","Portfolio",IFERROR(INDEX(DATA_ASSET_CLASSIFICATION!$U$8:$U$24,MATCH($C917,DATA_ASSET_CLASSIFICATION!$A$8:$A$24,0)),"Review"))</f>
        <v>Stable</v>
      </c>
      <c r="O917" s="350" t="str">
        <f ca="1">IF($B917="Portfolio","Portfolio",IFERROR(INDEX(DATA_ASSET_CLASSIFICATION!$AB$8:$AB$13,MATCH($N917,DATA_ASSET_CLASSIFICATION!$AA$8:$AA$13,0)),"Review"))</f>
        <v>Bucket 2 · Legacy</v>
      </c>
      <c r="P917" s="350" t="str">
        <f>IF($B917="Portfolio","Portfolio",IFERROR(INDEX(DATA_ASSET_CLASSIFICATION!$C$8:$C$24,MATCH($C917,DATA_ASSET_CLASSIFICATION!$A$8:$A$24,0)),"Review"))</f>
        <v>Yes</v>
      </c>
      <c r="Q917" s="350" t="str">
        <f t="shared" ca="1" si="29"/>
        <v>OK</v>
      </c>
    </row>
    <row r="918" spans="1:17">
      <c r="A918" s="366" t="s">
        <v>2874</v>
      </c>
      <c r="B918" s="366" t="s">
        <v>231</v>
      </c>
      <c r="C918" s="348" t="str">
        <f>DATA_PROPERTY_MASTER!$A$7</f>
        <v>BLD_BT</v>
      </c>
      <c r="D918" s="380">
        <f>'00_PORTFOLIO ROLLUP'!G$12</f>
        <v>2027</v>
      </c>
      <c r="E918" s="366" t="s">
        <v>1721</v>
      </c>
      <c r="F918" s="366" t="s">
        <v>37</v>
      </c>
      <c r="G918" s="348" t="str">
        <f>"'"&amp;$C918&amp;"'!$E$63:$Y$63"</f>
        <v>'BLD_BT'!$E$63:$Y$63</v>
      </c>
      <c r="H918" s="381">
        <f ca="1">IF(IFERROR(INDEX(DATA_PROPERTY_MASTER!$E$5:$E$21,MATCH($C918,DATA_PROPERTY_MASTER!$A$5:$A$21,0))="Yes",FALSE),MAX(IFERROR(INDEX(INDIRECT("'"&amp;$C918&amp;"'!$E$63:$Y$63"),1,MATCH($D918,INDIRECT("'"&amp;$C918&amp;"'!$E$12:$Y$12"),0)),0),0),0)</f>
        <v>0</v>
      </c>
      <c r="I918" s="366" t="s">
        <v>1685</v>
      </c>
      <c r="J918" s="348" t="str">
        <f t="shared" ca="1" si="28"/>
        <v>OK</v>
      </c>
      <c r="K918" s="366" t="s">
        <v>1735</v>
      </c>
      <c r="L918" s="366" t="s">
        <v>2258</v>
      </c>
      <c r="M918" s="350" t="str">
        <f>IF($B918="Portfolio","Portfolio",IFERROR(INDEX(DATA_ASSET_CLASSIFICATION!$B$8:$B$24,MATCH($C918,DATA_ASSET_CLASSIFICATION!$A$8:$A$24,0)),"Review"))</f>
        <v>Beatrice Terrace</v>
      </c>
      <c r="N918" s="350" t="str">
        <f ca="1">IF($B918="Portfolio","Portfolio",IFERROR(INDEX(DATA_ASSET_CLASSIFICATION!$U$8:$U$24,MATCH($C918,DATA_ASSET_CLASSIFICATION!$A$8:$A$24,0)),"Review"))</f>
        <v>Stable</v>
      </c>
      <c r="O918" s="350" t="str">
        <f ca="1">IF($B918="Portfolio","Portfolio",IFERROR(INDEX(DATA_ASSET_CLASSIFICATION!$AB$8:$AB$13,MATCH($N918,DATA_ASSET_CLASSIFICATION!$AA$8:$AA$13,0)),"Review"))</f>
        <v>Bucket 2 · Legacy</v>
      </c>
      <c r="P918" s="350" t="str">
        <f>IF($B918="Portfolio","Portfolio",IFERROR(INDEX(DATA_ASSET_CLASSIFICATION!$C$8:$C$24,MATCH($C918,DATA_ASSET_CLASSIFICATION!$A$8:$A$24,0)),"Review"))</f>
        <v>Yes</v>
      </c>
      <c r="Q918" s="350" t="str">
        <f t="shared" ca="1" si="29"/>
        <v>OK</v>
      </c>
    </row>
    <row r="919" spans="1:17">
      <c r="A919" s="366" t="s">
        <v>2875</v>
      </c>
      <c r="B919" s="366" t="s">
        <v>231</v>
      </c>
      <c r="C919" s="348" t="str">
        <f>DATA_PROPERTY_MASTER!$A$7</f>
        <v>BLD_BT</v>
      </c>
      <c r="D919" s="380">
        <f>'00_PORTFOLIO ROLLUP'!G$12</f>
        <v>2027</v>
      </c>
      <c r="E919" s="366" t="s">
        <v>1721</v>
      </c>
      <c r="F919" s="366" t="s">
        <v>39</v>
      </c>
      <c r="G919" s="348" t="str">
        <f>"'"&amp;$C919&amp;"'!$E$63:$Y$63"</f>
        <v>'BLD_BT'!$E$63:$Y$63</v>
      </c>
      <c r="H919" s="381">
        <f ca="1">IF(IFERROR(INDEX(DATA_PROPERTY_MASTER!$E$5:$E$21,MATCH($C919,DATA_PROPERTY_MASTER!$A$5:$A$21,0))="Yes",FALSE),MAX(-IFERROR(INDEX(INDIRECT("'"&amp;$C919&amp;"'!$E$63:$Y$63"),1,MATCH($D919,INDIRECT("'"&amp;$C919&amp;"'!$E$12:$Y$12"),0)),0),0),0)</f>
        <v>0</v>
      </c>
      <c r="I919" s="366" t="s">
        <v>1690</v>
      </c>
      <c r="J919" s="348" t="str">
        <f t="shared" ca="1" si="28"/>
        <v>OK</v>
      </c>
      <c r="K919" s="366" t="s">
        <v>1738</v>
      </c>
      <c r="L919" s="366" t="s">
        <v>2260</v>
      </c>
      <c r="M919" s="350" t="str">
        <f>IF($B919="Portfolio","Portfolio",IFERROR(INDEX(DATA_ASSET_CLASSIFICATION!$B$8:$B$24,MATCH($C919,DATA_ASSET_CLASSIFICATION!$A$8:$A$24,0)),"Review"))</f>
        <v>Beatrice Terrace</v>
      </c>
      <c r="N919" s="350" t="str">
        <f ca="1">IF($B919="Portfolio","Portfolio",IFERROR(INDEX(DATA_ASSET_CLASSIFICATION!$U$8:$U$24,MATCH($C919,DATA_ASSET_CLASSIFICATION!$A$8:$A$24,0)),"Review"))</f>
        <v>Stable</v>
      </c>
      <c r="O919" s="350" t="str">
        <f ca="1">IF($B919="Portfolio","Portfolio",IFERROR(INDEX(DATA_ASSET_CLASSIFICATION!$AB$8:$AB$13,MATCH($N919,DATA_ASSET_CLASSIFICATION!$AA$8:$AA$13,0)),"Review"))</f>
        <v>Bucket 2 · Legacy</v>
      </c>
      <c r="P919" s="350" t="str">
        <f>IF($B919="Portfolio","Portfolio",IFERROR(INDEX(DATA_ASSET_CLASSIFICATION!$C$8:$C$24,MATCH($C919,DATA_ASSET_CLASSIFICATION!$A$8:$A$24,0)),"Review"))</f>
        <v>Yes</v>
      </c>
      <c r="Q919" s="350" t="str">
        <f t="shared" ca="1" si="29"/>
        <v>OK</v>
      </c>
    </row>
    <row r="920" spans="1:17">
      <c r="A920" s="366" t="s">
        <v>2876</v>
      </c>
      <c r="B920" s="366" t="s">
        <v>231</v>
      </c>
      <c r="C920" s="348" t="str">
        <f>DATA_PROPERTY_MASTER!$A$7</f>
        <v>BLD_BT</v>
      </c>
      <c r="D920" s="380">
        <f>'00_PORTFOLIO ROLLUP'!G$12</f>
        <v>2027</v>
      </c>
      <c r="E920" s="366" t="s">
        <v>1741</v>
      </c>
      <c r="F920" s="366" t="s">
        <v>41</v>
      </c>
      <c r="G920" s="348" t="str">
        <f>"'"&amp;$C920&amp;"'!rows 56 + positive row 63"</f>
        <v>'BLD_BT'!rows 56 + positive row 63</v>
      </c>
      <c r="H920" s="381">
        <f ca="1">IF(IFERROR(INDEX(DATA_PROPERTY_MASTER!$E$5:$E$21,MATCH($C920,DATA_PROPERTY_MASTER!$A$5:$A$21,0))="Yes",FALSE),IFERROR(INDEX(INDIRECT("'"&amp;$C920&amp;"'!$E$56:$Y$56"),1,MATCH($D920,INDIRECT("'"&amp;$C920&amp;"'!$E$12:$Y$12"),0)),0)+MAX(IFERROR(INDEX(INDIRECT("'"&amp;$C920&amp;"'!$E$63:$Y$63"),1,MATCH($D920,INDIRECT("'"&amp;$C920&amp;"'!$E$12:$Y$12"),0)),0),0),0)</f>
        <v>59859.489530239996</v>
      </c>
      <c r="I920" s="366" t="s">
        <v>1685</v>
      </c>
      <c r="J920" s="348" t="str">
        <f t="shared" ca="1" si="28"/>
        <v>OK</v>
      </c>
      <c r="K920" s="366" t="s">
        <v>1742</v>
      </c>
      <c r="L920" s="366" t="s">
        <v>2262</v>
      </c>
      <c r="M920" s="350" t="str">
        <f>IF($B920="Portfolio","Portfolio",IFERROR(INDEX(DATA_ASSET_CLASSIFICATION!$B$8:$B$24,MATCH($C920,DATA_ASSET_CLASSIFICATION!$A$8:$A$24,0)),"Review"))</f>
        <v>Beatrice Terrace</v>
      </c>
      <c r="N920" s="350" t="str">
        <f ca="1">IF($B920="Portfolio","Portfolio",IFERROR(INDEX(DATA_ASSET_CLASSIFICATION!$U$8:$U$24,MATCH($C920,DATA_ASSET_CLASSIFICATION!$A$8:$A$24,0)),"Review"))</f>
        <v>Stable</v>
      </c>
      <c r="O920" s="350" t="str">
        <f ca="1">IF($B920="Portfolio","Portfolio",IFERROR(INDEX(DATA_ASSET_CLASSIFICATION!$AB$8:$AB$13,MATCH($N920,DATA_ASSET_CLASSIFICATION!$AA$8:$AA$13,0)),"Review"))</f>
        <v>Bucket 2 · Legacy</v>
      </c>
      <c r="P920" s="350" t="str">
        <f>IF($B920="Portfolio","Portfolio",IFERROR(INDEX(DATA_ASSET_CLASSIFICATION!$C$8:$C$24,MATCH($C920,DATA_ASSET_CLASSIFICATION!$A$8:$A$24,0)),"Review"))</f>
        <v>Yes</v>
      </c>
      <c r="Q920" s="350" t="str">
        <f t="shared" ca="1" si="29"/>
        <v>OK</v>
      </c>
    </row>
    <row r="921" spans="1:17">
      <c r="A921" s="366" t="s">
        <v>2877</v>
      </c>
      <c r="B921" s="366" t="s">
        <v>231</v>
      </c>
      <c r="C921" s="348" t="str">
        <f>DATA_PROPERTY_MASTER!$A$7</f>
        <v>BLD_BT</v>
      </c>
      <c r="D921" s="380">
        <f>'00_PORTFOLIO ROLLUP'!G$12</f>
        <v>2027</v>
      </c>
      <c r="E921" s="366" t="s">
        <v>1741</v>
      </c>
      <c r="F921" s="366" t="s">
        <v>43</v>
      </c>
      <c r="G921" s="348" t="str">
        <f>"'"&amp;$C921&amp;"'!$E$68:$Y$68"</f>
        <v>'BLD_BT'!$E$68:$Y$68</v>
      </c>
      <c r="H921" s="381">
        <f ca="1">IF(IFERROR(INDEX(DATA_PROPERTY_MASTER!$E$5:$E$21,MATCH($C921,DATA_PROPERTY_MASTER!$A$5:$A$21,0))="Yes",FALSE),IFERROR(INDEX(INDIRECT("'"&amp;$C921&amp;"'!$E$68:$Y$68"),1,MATCH($D921,INDIRECT("'"&amp;$C921&amp;"'!$E$12:$Y$12"),0)),0),0)</f>
        <v>59859.489530239996</v>
      </c>
      <c r="I921" s="366" t="s">
        <v>1731</v>
      </c>
      <c r="J921" s="348" t="str">
        <f t="shared" ca="1" si="28"/>
        <v>OK</v>
      </c>
      <c r="K921" s="366" t="s">
        <v>1746</v>
      </c>
      <c r="L921" s="366" t="s">
        <v>2264</v>
      </c>
      <c r="M921" s="350" t="str">
        <f>IF($B921="Portfolio","Portfolio",IFERROR(INDEX(DATA_ASSET_CLASSIFICATION!$B$8:$B$24,MATCH($C921,DATA_ASSET_CLASSIFICATION!$A$8:$A$24,0)),"Review"))</f>
        <v>Beatrice Terrace</v>
      </c>
      <c r="N921" s="350" t="str">
        <f ca="1">IF($B921="Portfolio","Portfolio",IFERROR(INDEX(DATA_ASSET_CLASSIFICATION!$U$8:$U$24,MATCH($C921,DATA_ASSET_CLASSIFICATION!$A$8:$A$24,0)),"Review"))</f>
        <v>Stable</v>
      </c>
      <c r="O921" s="350" t="str">
        <f ca="1">IF($B921="Portfolio","Portfolio",IFERROR(INDEX(DATA_ASSET_CLASSIFICATION!$AB$8:$AB$13,MATCH($N921,DATA_ASSET_CLASSIFICATION!$AA$8:$AA$13,0)),"Review"))</f>
        <v>Bucket 2 · Legacy</v>
      </c>
      <c r="P921" s="350" t="str">
        <f>IF($B921="Portfolio","Portfolio",IFERROR(INDEX(DATA_ASSET_CLASSIFICATION!$C$8:$C$24,MATCH($C921,DATA_ASSET_CLASSIFICATION!$A$8:$A$24,0)),"Review"))</f>
        <v>Yes</v>
      </c>
      <c r="Q921" s="350" t="str">
        <f t="shared" ca="1" si="29"/>
        <v>OK</v>
      </c>
    </row>
    <row r="922" spans="1:17">
      <c r="A922" s="366" t="s">
        <v>2878</v>
      </c>
      <c r="B922" s="366" t="s">
        <v>231</v>
      </c>
      <c r="C922" s="348" t="str">
        <f>DATA_PROPERTY_MASTER!$A$7</f>
        <v>BLD_BT</v>
      </c>
      <c r="D922" s="380">
        <f>'00_PORTFOLIO ROLLUP'!G$12</f>
        <v>2027</v>
      </c>
      <c r="E922" s="366" t="s">
        <v>1741</v>
      </c>
      <c r="F922" s="366" t="s">
        <v>1749</v>
      </c>
      <c r="G922" s="348" t="str">
        <f>"'"&amp;$C922&amp;"'!rows 56, 63, 68"</f>
        <v>'BLD_BT'!rows 56, 63, 68</v>
      </c>
      <c r="H922" s="381">
        <f ca="1">IF(IFERROR(INDEX(DATA_PROPERTY_MASTER!$E$5:$E$21,MATCH($C922,DATA_PROPERTY_MASTER!$A$5:$A$21,0))="Yes",FALSE),(IFERROR(INDEX(INDIRECT("'"&amp;$C922&amp;"'!$E$56:$Y$56"),1,MATCH($D922,INDIRECT("'"&amp;$C922&amp;"'!$E$12:$Y$12"),0)),0)+MAX(IFERROR(INDEX(INDIRECT("'"&amp;$C922&amp;"'!$E$63:$Y$63"),1,MATCH($D922,INDIRECT("'"&amp;$C922&amp;"'!$E$12:$Y$12"),0)),0),0))-(IFERROR(INDEX(INDIRECT("'"&amp;$C922&amp;"'!$E$68:$Y$68"),1,MATCH($D922,INDIRECT("'"&amp;$C922&amp;"'!$E$12:$Y$12"),0)),0)),0)</f>
        <v>0</v>
      </c>
      <c r="I922" s="366" t="s">
        <v>1750</v>
      </c>
      <c r="J922" s="348" t="str">
        <f t="shared" ca="1" si="28"/>
        <v>OK</v>
      </c>
      <c r="K922" s="366" t="s">
        <v>1751</v>
      </c>
      <c r="L922" s="366" t="s">
        <v>2266</v>
      </c>
      <c r="M922" s="350" t="str">
        <f>IF($B922="Portfolio","Portfolio",IFERROR(INDEX(DATA_ASSET_CLASSIFICATION!$B$8:$B$24,MATCH($C922,DATA_ASSET_CLASSIFICATION!$A$8:$A$24,0)),"Review"))</f>
        <v>Beatrice Terrace</v>
      </c>
      <c r="N922" s="350" t="str">
        <f ca="1">IF($B922="Portfolio","Portfolio",IFERROR(INDEX(DATA_ASSET_CLASSIFICATION!$U$8:$U$24,MATCH($C922,DATA_ASSET_CLASSIFICATION!$A$8:$A$24,0)),"Review"))</f>
        <v>Stable</v>
      </c>
      <c r="O922" s="350" t="str">
        <f ca="1">IF($B922="Portfolio","Portfolio",IFERROR(INDEX(DATA_ASSET_CLASSIFICATION!$AB$8:$AB$13,MATCH($N922,DATA_ASSET_CLASSIFICATION!$AA$8:$AA$13,0)),"Review"))</f>
        <v>Bucket 2 · Legacy</v>
      </c>
      <c r="P922" s="350" t="str">
        <f>IF($B922="Portfolio","Portfolio",IFERROR(INDEX(DATA_ASSET_CLASSIFICATION!$C$8:$C$24,MATCH($C922,DATA_ASSET_CLASSIFICATION!$A$8:$A$24,0)),"Review"))</f>
        <v>Yes</v>
      </c>
      <c r="Q922" s="350" t="str">
        <f t="shared" ca="1" si="29"/>
        <v>OK</v>
      </c>
    </row>
    <row r="923" spans="1:17">
      <c r="A923" s="366" t="s">
        <v>2879</v>
      </c>
      <c r="B923" s="366" t="s">
        <v>231</v>
      </c>
      <c r="C923" s="348" t="str">
        <f>DATA_PROPERTY_MASTER!$A$7</f>
        <v>BLD_BT</v>
      </c>
      <c r="D923" s="380">
        <f>'00_PORTFOLIO ROLLUP'!H$12</f>
        <v>2028</v>
      </c>
      <c r="E923" s="366" t="s">
        <v>1683</v>
      </c>
      <c r="F923" s="366" t="s">
        <v>341</v>
      </c>
      <c r="G923" s="348" t="str">
        <f>"'"&amp;$C923&amp;"'!$E$24:$Y$24"</f>
        <v>'BLD_BT'!$E$24:$Y$24</v>
      </c>
      <c r="H923" s="381">
        <f ca="1">IF(IFERROR(INDEX(DATA_PROPERTY_MASTER!$E$5:$E$21,MATCH($C923,DATA_PROPERTY_MASTER!$A$5:$A$21,0))="Yes",FALSE),IFERROR(INDEX(INDIRECT("'"&amp;$C923&amp;"'!$E$24:$Y$24"),1,MATCH($D923,INDIRECT("'"&amp;$C923&amp;"'!$E$12:$Y$12"),0)),0),0)</f>
        <v>456216.45300422399</v>
      </c>
      <c r="I923" s="366" t="s">
        <v>1685</v>
      </c>
      <c r="J923" s="348" t="str">
        <f t="shared" ca="1" si="28"/>
        <v>OK</v>
      </c>
      <c r="K923" s="366" t="s">
        <v>1686</v>
      </c>
      <c r="L923" s="366" t="s">
        <v>2234</v>
      </c>
      <c r="M923" s="350" t="str">
        <f>IF($B923="Portfolio","Portfolio",IFERROR(INDEX(DATA_ASSET_CLASSIFICATION!$B$8:$B$24,MATCH($C923,DATA_ASSET_CLASSIFICATION!$A$8:$A$24,0)),"Review"))</f>
        <v>Beatrice Terrace</v>
      </c>
      <c r="N923" s="350" t="str">
        <f ca="1">IF($B923="Portfolio","Portfolio",IFERROR(INDEX(DATA_ASSET_CLASSIFICATION!$U$8:$U$24,MATCH($C923,DATA_ASSET_CLASSIFICATION!$A$8:$A$24,0)),"Review"))</f>
        <v>Stable</v>
      </c>
      <c r="O923" s="350" t="str">
        <f ca="1">IF($B923="Portfolio","Portfolio",IFERROR(INDEX(DATA_ASSET_CLASSIFICATION!$AB$8:$AB$13,MATCH($N923,DATA_ASSET_CLASSIFICATION!$AA$8:$AA$13,0)),"Review"))</f>
        <v>Bucket 2 · Legacy</v>
      </c>
      <c r="P923" s="350" t="str">
        <f>IF($B923="Portfolio","Portfolio",IFERROR(INDEX(DATA_ASSET_CLASSIFICATION!$C$8:$C$24,MATCH($C923,DATA_ASSET_CLASSIFICATION!$A$8:$A$24,0)),"Review"))</f>
        <v>Yes</v>
      </c>
      <c r="Q923" s="350" t="str">
        <f t="shared" ca="1" si="29"/>
        <v>OK</v>
      </c>
    </row>
    <row r="924" spans="1:17">
      <c r="A924" s="366" t="s">
        <v>2880</v>
      </c>
      <c r="B924" s="366" t="s">
        <v>231</v>
      </c>
      <c r="C924" s="348" t="str">
        <f>DATA_PROPERTY_MASTER!$A$7</f>
        <v>BLD_BT</v>
      </c>
      <c r="D924" s="380">
        <f>'00_PORTFOLIO ROLLUP'!H$12</f>
        <v>2028</v>
      </c>
      <c r="E924" s="366" t="s">
        <v>1683</v>
      </c>
      <c r="F924" s="366" t="s">
        <v>355</v>
      </c>
      <c r="G924" s="348" t="str">
        <f>"'"&amp;$C924&amp;"'!$E$39:$Y$39"</f>
        <v>'BLD_BT'!$E$39:$Y$39</v>
      </c>
      <c r="H924" s="381">
        <f ca="1">IF(IFERROR(INDEX(DATA_PROPERTY_MASTER!$E$5:$E$21,MATCH($C924,DATA_PROPERTY_MASTER!$A$5:$A$21,0))="Yes",FALSE),IFERROR(INDEX(INDIRECT("'"&amp;$C924&amp;"'!$E$39:$Y$39"),1,MATCH($D924,INDIRECT("'"&amp;$C924&amp;"'!$E$12:$Y$12"),0)),0),0)</f>
        <v>135366.13376000003</v>
      </c>
      <c r="I924" s="366" t="s">
        <v>1690</v>
      </c>
      <c r="J924" s="348" t="str">
        <f t="shared" ca="1" si="28"/>
        <v>OK</v>
      </c>
      <c r="K924" s="366" t="s">
        <v>1686</v>
      </c>
      <c r="L924" s="366" t="s">
        <v>2236</v>
      </c>
      <c r="M924" s="350" t="str">
        <f>IF($B924="Portfolio","Portfolio",IFERROR(INDEX(DATA_ASSET_CLASSIFICATION!$B$8:$B$24,MATCH($C924,DATA_ASSET_CLASSIFICATION!$A$8:$A$24,0)),"Review"))</f>
        <v>Beatrice Terrace</v>
      </c>
      <c r="N924" s="350" t="str">
        <f ca="1">IF($B924="Portfolio","Portfolio",IFERROR(INDEX(DATA_ASSET_CLASSIFICATION!$U$8:$U$24,MATCH($C924,DATA_ASSET_CLASSIFICATION!$A$8:$A$24,0)),"Review"))</f>
        <v>Stable</v>
      </c>
      <c r="O924" s="350" t="str">
        <f ca="1">IF($B924="Portfolio","Portfolio",IFERROR(INDEX(DATA_ASSET_CLASSIFICATION!$AB$8:$AB$13,MATCH($N924,DATA_ASSET_CLASSIFICATION!$AA$8:$AA$13,0)),"Review"))</f>
        <v>Bucket 2 · Legacy</v>
      </c>
      <c r="P924" s="350" t="str">
        <f>IF($B924="Portfolio","Portfolio",IFERROR(INDEX(DATA_ASSET_CLASSIFICATION!$C$8:$C$24,MATCH($C924,DATA_ASSET_CLASSIFICATION!$A$8:$A$24,0)),"Review"))</f>
        <v>Yes</v>
      </c>
      <c r="Q924" s="350" t="str">
        <f t="shared" ca="1" si="29"/>
        <v>OK</v>
      </c>
    </row>
    <row r="925" spans="1:17">
      <c r="A925" s="366" t="s">
        <v>2881</v>
      </c>
      <c r="B925" s="366" t="s">
        <v>231</v>
      </c>
      <c r="C925" s="348" t="str">
        <f>DATA_PROPERTY_MASTER!$A$7</f>
        <v>BLD_BT</v>
      </c>
      <c r="D925" s="380">
        <f>'00_PORTFOLIO ROLLUP'!H$12</f>
        <v>2028</v>
      </c>
      <c r="E925" s="366" t="s">
        <v>1683</v>
      </c>
      <c r="F925" s="366" t="s">
        <v>19</v>
      </c>
      <c r="G925" s="348" t="str">
        <f>"'"&amp;$C925&amp;"'!$E$41:$Y$41"</f>
        <v>'BLD_BT'!$E$41:$Y$41</v>
      </c>
      <c r="H925" s="381">
        <f ca="1">IF(IFERROR(INDEX(DATA_PROPERTY_MASTER!$E$5:$E$21,MATCH($C925,DATA_PROPERTY_MASTER!$A$5:$A$21,0))="Yes",FALSE),IFERROR(INDEX(INDIRECT("'"&amp;$C925&amp;"'!$E$41:$Y$41"),1,MATCH($D925,INDIRECT("'"&amp;$C925&amp;"'!$E$12:$Y$12"),0)),0),0)</f>
        <v>320850.319244224</v>
      </c>
      <c r="I925" s="366" t="s">
        <v>1685</v>
      </c>
      <c r="J925" s="348" t="str">
        <f t="shared" ca="1" si="28"/>
        <v>OK</v>
      </c>
      <c r="K925" s="366" t="s">
        <v>1694</v>
      </c>
      <c r="L925" s="366" t="s">
        <v>2238</v>
      </c>
      <c r="M925" s="350" t="str">
        <f>IF($B925="Portfolio","Portfolio",IFERROR(INDEX(DATA_ASSET_CLASSIFICATION!$B$8:$B$24,MATCH($C925,DATA_ASSET_CLASSIFICATION!$A$8:$A$24,0)),"Review"))</f>
        <v>Beatrice Terrace</v>
      </c>
      <c r="N925" s="350" t="str">
        <f ca="1">IF($B925="Portfolio","Portfolio",IFERROR(INDEX(DATA_ASSET_CLASSIFICATION!$U$8:$U$24,MATCH($C925,DATA_ASSET_CLASSIFICATION!$A$8:$A$24,0)),"Review"))</f>
        <v>Stable</v>
      </c>
      <c r="O925" s="350" t="str">
        <f ca="1">IF($B925="Portfolio","Portfolio",IFERROR(INDEX(DATA_ASSET_CLASSIFICATION!$AB$8:$AB$13,MATCH($N925,DATA_ASSET_CLASSIFICATION!$AA$8:$AA$13,0)),"Review"))</f>
        <v>Bucket 2 · Legacy</v>
      </c>
      <c r="P925" s="350" t="str">
        <f>IF($B925="Portfolio","Portfolio",IFERROR(INDEX(DATA_ASSET_CLASSIFICATION!$C$8:$C$24,MATCH($C925,DATA_ASSET_CLASSIFICATION!$A$8:$A$24,0)),"Review"))</f>
        <v>Yes</v>
      </c>
      <c r="Q925" s="350" t="str">
        <f t="shared" ca="1" si="29"/>
        <v>OK</v>
      </c>
    </row>
    <row r="926" spans="1:17">
      <c r="A926" s="366" t="s">
        <v>2882</v>
      </c>
      <c r="B926" s="366" t="s">
        <v>231</v>
      </c>
      <c r="C926" s="348" t="str">
        <f>DATA_PROPERTY_MASTER!$A$7</f>
        <v>BLD_BT</v>
      </c>
      <c r="D926" s="380">
        <f>'00_PORTFOLIO ROLLUP'!H$12</f>
        <v>2028</v>
      </c>
      <c r="E926" s="366" t="s">
        <v>1683</v>
      </c>
      <c r="F926" s="366" t="s">
        <v>1697</v>
      </c>
      <c r="G926" s="348" t="str">
        <f>"'"&amp;$C926&amp;"'!$E$44:$Y$44"</f>
        <v>'BLD_BT'!$E$44:$Y$44</v>
      </c>
      <c r="H926" s="381">
        <f ca="1">IF(IFERROR(INDEX(DATA_PROPERTY_MASTER!$E$5:$E$21,MATCH($C926,DATA_PROPERTY_MASTER!$A$5:$A$21,0))="Yes",FALSE),IFERROR(INDEX(INDIRECT("'"&amp;$C926&amp;"'!$E$44:$Y$44"),1,MATCH($D926,INDIRECT("'"&amp;$C926&amp;"'!$E$12:$Y$12"),0)),0),0)</f>
        <v>2865.2615999999998</v>
      </c>
      <c r="I926" s="366" t="s">
        <v>1690</v>
      </c>
      <c r="J926" s="348" t="str">
        <f t="shared" ca="1" si="28"/>
        <v>OK</v>
      </c>
      <c r="K926" s="366" t="s">
        <v>1699</v>
      </c>
      <c r="L926" s="366" t="s">
        <v>2240</v>
      </c>
      <c r="M926" s="350" t="str">
        <f>IF($B926="Portfolio","Portfolio",IFERROR(INDEX(DATA_ASSET_CLASSIFICATION!$B$8:$B$24,MATCH($C926,DATA_ASSET_CLASSIFICATION!$A$8:$A$24,0)),"Review"))</f>
        <v>Beatrice Terrace</v>
      </c>
      <c r="N926" s="350" t="str">
        <f ca="1">IF($B926="Portfolio","Portfolio",IFERROR(INDEX(DATA_ASSET_CLASSIFICATION!$U$8:$U$24,MATCH($C926,DATA_ASSET_CLASSIFICATION!$A$8:$A$24,0)),"Review"))</f>
        <v>Stable</v>
      </c>
      <c r="O926" s="350" t="str">
        <f ca="1">IF($B926="Portfolio","Portfolio",IFERROR(INDEX(DATA_ASSET_CLASSIFICATION!$AB$8:$AB$13,MATCH($N926,DATA_ASSET_CLASSIFICATION!$AA$8:$AA$13,0)),"Review"))</f>
        <v>Bucket 2 · Legacy</v>
      </c>
      <c r="P926" s="350" t="str">
        <f>IF($B926="Portfolio","Portfolio",IFERROR(INDEX(DATA_ASSET_CLASSIFICATION!$C$8:$C$24,MATCH($C926,DATA_ASSET_CLASSIFICATION!$A$8:$A$24,0)),"Review"))</f>
        <v>Yes</v>
      </c>
      <c r="Q926" s="350" t="str">
        <f t="shared" ca="1" si="29"/>
        <v>OK</v>
      </c>
    </row>
    <row r="927" spans="1:17">
      <c r="A927" s="366" t="s">
        <v>2883</v>
      </c>
      <c r="B927" s="366" t="s">
        <v>231</v>
      </c>
      <c r="C927" s="348" t="str">
        <f>DATA_PROPERTY_MASTER!$A$7</f>
        <v>BLD_BT</v>
      </c>
      <c r="D927" s="380">
        <f>'00_PORTFOLIO ROLLUP'!H$12</f>
        <v>2028</v>
      </c>
      <c r="E927" s="366" t="s">
        <v>1683</v>
      </c>
      <c r="F927" s="366" t="s">
        <v>21</v>
      </c>
      <c r="G927" s="348" t="str">
        <f>"'"&amp;$C927&amp;"'!$E$45:$Y$45"</f>
        <v>'BLD_BT'!$E$45:$Y$45</v>
      </c>
      <c r="H927" s="381">
        <f ca="1">IF(IFERROR(INDEX(DATA_PROPERTY_MASTER!$E$5:$E$21,MATCH($C927,DATA_PROPERTY_MASTER!$A$5:$A$21,0))="Yes",FALSE),IFERROR(INDEX(INDIRECT("'"&amp;$C927&amp;"'!$E$45:$Y$45"),1,MATCH($D927,INDIRECT("'"&amp;$C927&amp;"'!$E$12:$Y$12"),0)),0),0)</f>
        <v>317985.05764422397</v>
      </c>
      <c r="I927" s="366" t="s">
        <v>1685</v>
      </c>
      <c r="J927" s="348" t="str">
        <f t="shared" ca="1" si="28"/>
        <v>OK</v>
      </c>
      <c r="K927" s="366" t="s">
        <v>1694</v>
      </c>
      <c r="L927" s="366" t="s">
        <v>2242</v>
      </c>
      <c r="M927" s="350" t="str">
        <f>IF($B927="Portfolio","Portfolio",IFERROR(INDEX(DATA_ASSET_CLASSIFICATION!$B$8:$B$24,MATCH($C927,DATA_ASSET_CLASSIFICATION!$A$8:$A$24,0)),"Review"))</f>
        <v>Beatrice Terrace</v>
      </c>
      <c r="N927" s="350" t="str">
        <f ca="1">IF($B927="Portfolio","Portfolio",IFERROR(INDEX(DATA_ASSET_CLASSIFICATION!$U$8:$U$24,MATCH($C927,DATA_ASSET_CLASSIFICATION!$A$8:$A$24,0)),"Review"))</f>
        <v>Stable</v>
      </c>
      <c r="O927" s="350" t="str">
        <f ca="1">IF($B927="Portfolio","Portfolio",IFERROR(INDEX(DATA_ASSET_CLASSIFICATION!$AB$8:$AB$13,MATCH($N927,DATA_ASSET_CLASSIFICATION!$AA$8:$AA$13,0)),"Review"))</f>
        <v>Bucket 2 · Legacy</v>
      </c>
      <c r="P927" s="350" t="str">
        <f>IF($B927="Portfolio","Portfolio",IFERROR(INDEX(DATA_ASSET_CLASSIFICATION!$C$8:$C$24,MATCH($C927,DATA_ASSET_CLASSIFICATION!$A$8:$A$24,0)),"Review"))</f>
        <v>Yes</v>
      </c>
      <c r="Q927" s="350" t="str">
        <f t="shared" ca="1" si="29"/>
        <v>OK</v>
      </c>
    </row>
    <row r="928" spans="1:17">
      <c r="A928" s="366" t="s">
        <v>2884</v>
      </c>
      <c r="B928" s="366" t="s">
        <v>231</v>
      </c>
      <c r="C928" s="348" t="str">
        <f>DATA_PROPERTY_MASTER!$A$7</f>
        <v>BLD_BT</v>
      </c>
      <c r="D928" s="380">
        <f>'00_PORTFOLIO ROLLUP'!H$12</f>
        <v>2028</v>
      </c>
      <c r="E928" s="366" t="s">
        <v>23</v>
      </c>
      <c r="F928" s="366" t="s">
        <v>23</v>
      </c>
      <c r="G928" s="348" t="str">
        <f>"'"&amp;$C928&amp;"'!$E$48:$Y$48"</f>
        <v>'BLD_BT'!$E$48:$Y$48</v>
      </c>
      <c r="H928" s="381">
        <f ca="1">IF(IFERROR(INDEX(DATA_PROPERTY_MASTER!$E$5:$E$21,MATCH($C928,DATA_PROPERTY_MASTER!$A$5:$A$21,0))="Yes",FALSE),IFERROR(INDEX(INDIRECT("'"&amp;$C928&amp;"'!$E$48:$Y$48"),1,MATCH($D928,INDIRECT("'"&amp;$C928&amp;"'!$E$12:$Y$12"),0)),0),0)</f>
        <v>110563.68</v>
      </c>
      <c r="I928" s="366" t="s">
        <v>1690</v>
      </c>
      <c r="J928" s="348" t="str">
        <f t="shared" ca="1" si="28"/>
        <v>OK</v>
      </c>
      <c r="K928" s="366" t="s">
        <v>1706</v>
      </c>
      <c r="L928" s="366" t="s">
        <v>2244</v>
      </c>
      <c r="M928" s="350" t="str">
        <f>IF($B928="Portfolio","Portfolio",IFERROR(INDEX(DATA_ASSET_CLASSIFICATION!$B$8:$B$24,MATCH($C928,DATA_ASSET_CLASSIFICATION!$A$8:$A$24,0)),"Review"))</f>
        <v>Beatrice Terrace</v>
      </c>
      <c r="N928" s="350" t="str">
        <f ca="1">IF($B928="Portfolio","Portfolio",IFERROR(INDEX(DATA_ASSET_CLASSIFICATION!$U$8:$U$24,MATCH($C928,DATA_ASSET_CLASSIFICATION!$A$8:$A$24,0)),"Review"))</f>
        <v>Stable</v>
      </c>
      <c r="O928" s="350" t="str">
        <f ca="1">IF($B928="Portfolio","Portfolio",IFERROR(INDEX(DATA_ASSET_CLASSIFICATION!$AB$8:$AB$13,MATCH($N928,DATA_ASSET_CLASSIFICATION!$AA$8:$AA$13,0)),"Review"))</f>
        <v>Bucket 2 · Legacy</v>
      </c>
      <c r="P928" s="350" t="str">
        <f>IF($B928="Portfolio","Portfolio",IFERROR(INDEX(DATA_ASSET_CLASSIFICATION!$C$8:$C$24,MATCH($C928,DATA_ASSET_CLASSIFICATION!$A$8:$A$24,0)),"Review"))</f>
        <v>Yes</v>
      </c>
      <c r="Q928" s="350" t="str">
        <f t="shared" ca="1" si="29"/>
        <v>OK</v>
      </c>
    </row>
    <row r="929" spans="1:17">
      <c r="A929" s="366" t="s">
        <v>2885</v>
      </c>
      <c r="B929" s="366" t="s">
        <v>231</v>
      </c>
      <c r="C929" s="348" t="str">
        <f>DATA_PROPERTY_MASTER!$A$7</f>
        <v>BLD_BT</v>
      </c>
      <c r="D929" s="380">
        <f>'00_PORTFOLIO ROLLUP'!H$12</f>
        <v>2028</v>
      </c>
      <c r="E929" s="366" t="s">
        <v>1683</v>
      </c>
      <c r="F929" s="366" t="s">
        <v>25</v>
      </c>
      <c r="G929" s="348" t="str">
        <f>"'"&amp;$C929&amp;"'!$E$52:$Y$52"</f>
        <v>'BLD_BT'!$E$52:$Y$52</v>
      </c>
      <c r="H929" s="381">
        <f ca="1">IF(IFERROR(INDEX(DATA_PROPERTY_MASTER!$E$5:$E$21,MATCH($C929,DATA_PROPERTY_MASTER!$A$5:$A$21,0))="Yes",FALSE),IFERROR(INDEX(INDIRECT("'"&amp;$C929&amp;"'!$E$52:$Y$52"),1,MATCH($D929,INDIRECT("'"&amp;$C929&amp;"'!$E$12:$Y$12"),0)),0),0)</f>
        <v>210286.639244224</v>
      </c>
      <c r="I929" s="366" t="s">
        <v>1685</v>
      </c>
      <c r="J929" s="348" t="str">
        <f t="shared" ca="1" si="28"/>
        <v>OK</v>
      </c>
      <c r="K929" s="366" t="s">
        <v>1710</v>
      </c>
      <c r="L929" s="366" t="s">
        <v>2246</v>
      </c>
      <c r="M929" s="350" t="str">
        <f>IF($B929="Portfolio","Portfolio",IFERROR(INDEX(DATA_ASSET_CLASSIFICATION!$B$8:$B$24,MATCH($C929,DATA_ASSET_CLASSIFICATION!$A$8:$A$24,0)),"Review"))</f>
        <v>Beatrice Terrace</v>
      </c>
      <c r="N929" s="350" t="str">
        <f ca="1">IF($B929="Portfolio","Portfolio",IFERROR(INDEX(DATA_ASSET_CLASSIFICATION!$U$8:$U$24,MATCH($C929,DATA_ASSET_CLASSIFICATION!$A$8:$A$24,0)),"Review"))</f>
        <v>Stable</v>
      </c>
      <c r="O929" s="350" t="str">
        <f ca="1">IF($B929="Portfolio","Portfolio",IFERROR(INDEX(DATA_ASSET_CLASSIFICATION!$AB$8:$AB$13,MATCH($N929,DATA_ASSET_CLASSIFICATION!$AA$8:$AA$13,0)),"Review"))</f>
        <v>Bucket 2 · Legacy</v>
      </c>
      <c r="P929" s="350" t="str">
        <f>IF($B929="Portfolio","Portfolio",IFERROR(INDEX(DATA_ASSET_CLASSIFICATION!$C$8:$C$24,MATCH($C929,DATA_ASSET_CLASSIFICATION!$A$8:$A$24,0)),"Review"))</f>
        <v>Yes</v>
      </c>
      <c r="Q929" s="350" t="str">
        <f t="shared" ca="1" si="29"/>
        <v>OK</v>
      </c>
    </row>
    <row r="930" spans="1:17">
      <c r="A930" s="366" t="s">
        <v>2886</v>
      </c>
      <c r="B930" s="366" t="s">
        <v>231</v>
      </c>
      <c r="C930" s="348" t="str">
        <f>DATA_PROPERTY_MASTER!$A$7</f>
        <v>BLD_BT</v>
      </c>
      <c r="D930" s="380">
        <f>'00_PORTFOLIO ROLLUP'!H$12</f>
        <v>2028</v>
      </c>
      <c r="E930" s="366" t="s">
        <v>1683</v>
      </c>
      <c r="F930" s="366" t="s">
        <v>27</v>
      </c>
      <c r="G930" s="348" t="str">
        <f>"'"&amp;$C930&amp;"'!$E$54:$Y$54"</f>
        <v>'BLD_BT'!$E$54:$Y$54</v>
      </c>
      <c r="H930" s="381">
        <f ca="1">IF(IFERROR(INDEX(DATA_PROPERTY_MASTER!$E$5:$E$21,MATCH($C930,DATA_PROPERTY_MASTER!$A$5:$A$21,0))="Yes",FALSE),IFERROR(INDEX(INDIRECT("'"&amp;$C930&amp;"'!$E$54:$Y$54"),1,MATCH($D930,INDIRECT("'"&amp;$C930&amp;"'!$E$12:$Y$12"),0)),0),0)</f>
        <v>126171.98354653439</v>
      </c>
      <c r="I930" s="366" t="s">
        <v>1690</v>
      </c>
      <c r="J930" s="348" t="str">
        <f t="shared" ca="1" si="28"/>
        <v>OK</v>
      </c>
      <c r="K930" s="366" t="s">
        <v>1714</v>
      </c>
      <c r="L930" s="366" t="s">
        <v>2248</v>
      </c>
      <c r="M930" s="350" t="str">
        <f>IF($B930="Portfolio","Portfolio",IFERROR(INDEX(DATA_ASSET_CLASSIFICATION!$B$8:$B$24,MATCH($C930,DATA_ASSET_CLASSIFICATION!$A$8:$A$24,0)),"Review"))</f>
        <v>Beatrice Terrace</v>
      </c>
      <c r="N930" s="350" t="str">
        <f ca="1">IF($B930="Portfolio","Portfolio",IFERROR(INDEX(DATA_ASSET_CLASSIFICATION!$U$8:$U$24,MATCH($C930,DATA_ASSET_CLASSIFICATION!$A$8:$A$24,0)),"Review"))</f>
        <v>Stable</v>
      </c>
      <c r="O930" s="350" t="str">
        <f ca="1">IF($B930="Portfolio","Portfolio",IFERROR(INDEX(DATA_ASSET_CLASSIFICATION!$AB$8:$AB$13,MATCH($N930,DATA_ASSET_CLASSIFICATION!$AA$8:$AA$13,0)),"Review"))</f>
        <v>Bucket 2 · Legacy</v>
      </c>
      <c r="P930" s="350" t="str">
        <f>IF($B930="Portfolio","Portfolio",IFERROR(INDEX(DATA_ASSET_CLASSIFICATION!$C$8:$C$24,MATCH($C930,DATA_ASSET_CLASSIFICATION!$A$8:$A$24,0)),"Review"))</f>
        <v>Yes</v>
      </c>
      <c r="Q930" s="350" t="str">
        <f t="shared" ca="1" si="29"/>
        <v>OK</v>
      </c>
    </row>
    <row r="931" spans="1:17">
      <c r="A931" s="366" t="s">
        <v>2887</v>
      </c>
      <c r="B931" s="366" t="s">
        <v>231</v>
      </c>
      <c r="C931" s="348" t="str">
        <f>DATA_PROPERTY_MASTER!$A$7</f>
        <v>BLD_BT</v>
      </c>
      <c r="D931" s="380">
        <f>'00_PORTFOLIO ROLLUP'!H$12</f>
        <v>2028</v>
      </c>
      <c r="E931" s="366" t="s">
        <v>1683</v>
      </c>
      <c r="F931" s="366" t="s">
        <v>29</v>
      </c>
      <c r="G931" s="348" t="str">
        <f>"'"&amp;$C931&amp;"'!$E$56:$Y$56"</f>
        <v>'BLD_BT'!$E$56:$Y$56</v>
      </c>
      <c r="H931" s="381">
        <f ca="1">IF(IFERROR(INDEX(DATA_PROPERTY_MASTER!$E$5:$E$21,MATCH($C931,DATA_PROPERTY_MASTER!$A$5:$A$21,0))="Yes",FALSE),IFERROR(INDEX(INDIRECT("'"&amp;$C931&amp;"'!$E$56:$Y$56"),1,MATCH($D931,INDIRECT("'"&amp;$C931&amp;"'!$E$12:$Y$12"),0)),0),0)</f>
        <v>84114.65569768961</v>
      </c>
      <c r="I931" s="366" t="s">
        <v>1685</v>
      </c>
      <c r="J931" s="348" t="str">
        <f t="shared" ca="1" si="28"/>
        <v>OK</v>
      </c>
      <c r="K931" s="366" t="s">
        <v>1718</v>
      </c>
      <c r="L931" s="366" t="s">
        <v>2250</v>
      </c>
      <c r="M931" s="350" t="str">
        <f>IF($B931="Portfolio","Portfolio",IFERROR(INDEX(DATA_ASSET_CLASSIFICATION!$B$8:$B$24,MATCH($C931,DATA_ASSET_CLASSIFICATION!$A$8:$A$24,0)),"Review"))</f>
        <v>Beatrice Terrace</v>
      </c>
      <c r="N931" s="350" t="str">
        <f ca="1">IF($B931="Portfolio","Portfolio",IFERROR(INDEX(DATA_ASSET_CLASSIFICATION!$U$8:$U$24,MATCH($C931,DATA_ASSET_CLASSIFICATION!$A$8:$A$24,0)),"Review"))</f>
        <v>Stable</v>
      </c>
      <c r="O931" s="350" t="str">
        <f ca="1">IF($B931="Portfolio","Portfolio",IFERROR(INDEX(DATA_ASSET_CLASSIFICATION!$AB$8:$AB$13,MATCH($N931,DATA_ASSET_CLASSIFICATION!$AA$8:$AA$13,0)),"Review"))</f>
        <v>Bucket 2 · Legacy</v>
      </c>
      <c r="P931" s="350" t="str">
        <f>IF($B931="Portfolio","Portfolio",IFERROR(INDEX(DATA_ASSET_CLASSIFICATION!$C$8:$C$24,MATCH($C931,DATA_ASSET_CLASSIFICATION!$A$8:$A$24,0)),"Review"))</f>
        <v>Yes</v>
      </c>
      <c r="Q931" s="350" t="str">
        <f t="shared" ca="1" si="29"/>
        <v>OK</v>
      </c>
    </row>
    <row r="932" spans="1:17">
      <c r="A932" s="366" t="s">
        <v>2888</v>
      </c>
      <c r="B932" s="366" t="s">
        <v>231</v>
      </c>
      <c r="C932" s="348" t="str">
        <f>DATA_PROPERTY_MASTER!$A$7</f>
        <v>BLD_BT</v>
      </c>
      <c r="D932" s="380">
        <f>'00_PORTFOLIO ROLLUP'!H$12</f>
        <v>2028</v>
      </c>
      <c r="E932" s="366" t="s">
        <v>1721</v>
      </c>
      <c r="F932" s="366" t="s">
        <v>31</v>
      </c>
      <c r="G932" s="348" t="str">
        <f>"'"&amp;$C932&amp;"'!$E$61:$Y$61"</f>
        <v>'BLD_BT'!$E$61:$Y$61</v>
      </c>
      <c r="H932" s="381">
        <f ca="1">IF(IFERROR(INDEX(DATA_PROPERTY_MASTER!$E$5:$E$21,MATCH($C932,DATA_PROPERTY_MASTER!$A$5:$A$21,0))="Yes",FALSE),IFERROR(INDEX(INDIRECT("'"&amp;$C932&amp;"'!$E$61:$Y$61"),1,MATCH($D932,INDIRECT("'"&amp;$C932&amp;"'!$E$12:$Y$12"),0)),0),0)</f>
        <v>0</v>
      </c>
      <c r="I932" s="366" t="s">
        <v>1690</v>
      </c>
      <c r="J932" s="348" t="str">
        <f t="shared" ca="1" si="28"/>
        <v>OK</v>
      </c>
      <c r="K932" s="366" t="s">
        <v>1723</v>
      </c>
      <c r="L932" s="366" t="s">
        <v>2252</v>
      </c>
      <c r="M932" s="350" t="str">
        <f>IF($B932="Portfolio","Portfolio",IFERROR(INDEX(DATA_ASSET_CLASSIFICATION!$B$8:$B$24,MATCH($C932,DATA_ASSET_CLASSIFICATION!$A$8:$A$24,0)),"Review"))</f>
        <v>Beatrice Terrace</v>
      </c>
      <c r="N932" s="350" t="str">
        <f ca="1">IF($B932="Portfolio","Portfolio",IFERROR(INDEX(DATA_ASSET_CLASSIFICATION!$U$8:$U$24,MATCH($C932,DATA_ASSET_CLASSIFICATION!$A$8:$A$24,0)),"Review"))</f>
        <v>Stable</v>
      </c>
      <c r="O932" s="350" t="str">
        <f ca="1">IF($B932="Portfolio","Portfolio",IFERROR(INDEX(DATA_ASSET_CLASSIFICATION!$AB$8:$AB$13,MATCH($N932,DATA_ASSET_CLASSIFICATION!$AA$8:$AA$13,0)),"Review"))</f>
        <v>Bucket 2 · Legacy</v>
      </c>
      <c r="P932" s="350" t="str">
        <f>IF($B932="Portfolio","Portfolio",IFERROR(INDEX(DATA_ASSET_CLASSIFICATION!$C$8:$C$24,MATCH($C932,DATA_ASSET_CLASSIFICATION!$A$8:$A$24,0)),"Review"))</f>
        <v>Yes</v>
      </c>
      <c r="Q932" s="350" t="str">
        <f t="shared" ca="1" si="29"/>
        <v>OK</v>
      </c>
    </row>
    <row r="933" spans="1:17">
      <c r="A933" s="366" t="s">
        <v>2889</v>
      </c>
      <c r="B933" s="366" t="s">
        <v>231</v>
      </c>
      <c r="C933" s="348" t="str">
        <f>DATA_PROPERTY_MASTER!$A$7</f>
        <v>BLD_BT</v>
      </c>
      <c r="D933" s="380">
        <f>'00_PORTFOLIO ROLLUP'!H$12</f>
        <v>2028</v>
      </c>
      <c r="E933" s="366" t="s">
        <v>1721</v>
      </c>
      <c r="F933" s="366" t="s">
        <v>33</v>
      </c>
      <c r="G933" s="348" t="str">
        <f>"'"&amp;$C933&amp;"'!$E$62:$Y$62"</f>
        <v>'BLD_BT'!$E$62:$Y$62</v>
      </c>
      <c r="H933" s="381">
        <f ca="1">IF(IFERROR(INDEX(DATA_PROPERTY_MASTER!$E$5:$E$21,MATCH($C933,DATA_PROPERTY_MASTER!$A$5:$A$21,0))="Yes",FALSE),IFERROR(INDEX(INDIRECT("'"&amp;$C933&amp;"'!$E$62:$Y$62"),1,MATCH($D933,INDIRECT("'"&amp;$C933&amp;"'!$E$12:$Y$12"),0)),0),0)</f>
        <v>0</v>
      </c>
      <c r="I933" s="366" t="s">
        <v>1685</v>
      </c>
      <c r="J933" s="348" t="str">
        <f t="shared" ca="1" si="28"/>
        <v>OK</v>
      </c>
      <c r="K933" s="366" t="s">
        <v>1727</v>
      </c>
      <c r="L933" s="366" t="s">
        <v>2254</v>
      </c>
      <c r="M933" s="350" t="str">
        <f>IF($B933="Portfolio","Portfolio",IFERROR(INDEX(DATA_ASSET_CLASSIFICATION!$B$8:$B$24,MATCH($C933,DATA_ASSET_CLASSIFICATION!$A$8:$A$24,0)),"Review"))</f>
        <v>Beatrice Terrace</v>
      </c>
      <c r="N933" s="350" t="str">
        <f ca="1">IF($B933="Portfolio","Portfolio",IFERROR(INDEX(DATA_ASSET_CLASSIFICATION!$U$8:$U$24,MATCH($C933,DATA_ASSET_CLASSIFICATION!$A$8:$A$24,0)),"Review"))</f>
        <v>Stable</v>
      </c>
      <c r="O933" s="350" t="str">
        <f ca="1">IF($B933="Portfolio","Portfolio",IFERROR(INDEX(DATA_ASSET_CLASSIFICATION!$AB$8:$AB$13,MATCH($N933,DATA_ASSET_CLASSIFICATION!$AA$8:$AA$13,0)),"Review"))</f>
        <v>Bucket 2 · Legacy</v>
      </c>
      <c r="P933" s="350" t="str">
        <f>IF($B933="Portfolio","Portfolio",IFERROR(INDEX(DATA_ASSET_CLASSIFICATION!$C$8:$C$24,MATCH($C933,DATA_ASSET_CLASSIFICATION!$A$8:$A$24,0)),"Review"))</f>
        <v>Yes</v>
      </c>
      <c r="Q933" s="350" t="str">
        <f t="shared" ca="1" si="29"/>
        <v>OK</v>
      </c>
    </row>
    <row r="934" spans="1:17">
      <c r="A934" s="366" t="s">
        <v>2890</v>
      </c>
      <c r="B934" s="366" t="s">
        <v>231</v>
      </c>
      <c r="C934" s="348" t="str">
        <f>DATA_PROPERTY_MASTER!$A$7</f>
        <v>BLD_BT</v>
      </c>
      <c r="D934" s="380">
        <f>'00_PORTFOLIO ROLLUP'!H$12</f>
        <v>2028</v>
      </c>
      <c r="E934" s="366" t="s">
        <v>1721</v>
      </c>
      <c r="F934" s="366" t="s">
        <v>35</v>
      </c>
      <c r="G934" s="348" t="str">
        <f>"'"&amp;$C934&amp;"'!$E$63:$Y$63"</f>
        <v>'BLD_BT'!$E$63:$Y$63</v>
      </c>
      <c r="H934" s="381">
        <f ca="1">IF(IFERROR(INDEX(DATA_PROPERTY_MASTER!$E$5:$E$21,MATCH($C934,DATA_PROPERTY_MASTER!$A$5:$A$21,0))="Yes",FALSE),IFERROR(INDEX(INDIRECT("'"&amp;$C934&amp;"'!$E$63:$Y$63"),1,MATCH($D934,INDIRECT("'"&amp;$C934&amp;"'!$E$12:$Y$12"),0)),0),0)</f>
        <v>0</v>
      </c>
      <c r="I934" s="366" t="s">
        <v>1731</v>
      </c>
      <c r="J934" s="348" t="str">
        <f t="shared" ca="1" si="28"/>
        <v>OK</v>
      </c>
      <c r="K934" s="366" t="s">
        <v>1732</v>
      </c>
      <c r="L934" s="366" t="s">
        <v>2256</v>
      </c>
      <c r="M934" s="350" t="str">
        <f>IF($B934="Portfolio","Portfolio",IFERROR(INDEX(DATA_ASSET_CLASSIFICATION!$B$8:$B$24,MATCH($C934,DATA_ASSET_CLASSIFICATION!$A$8:$A$24,0)),"Review"))</f>
        <v>Beatrice Terrace</v>
      </c>
      <c r="N934" s="350" t="str">
        <f ca="1">IF($B934="Portfolio","Portfolio",IFERROR(INDEX(DATA_ASSET_CLASSIFICATION!$U$8:$U$24,MATCH($C934,DATA_ASSET_CLASSIFICATION!$A$8:$A$24,0)),"Review"))</f>
        <v>Stable</v>
      </c>
      <c r="O934" s="350" t="str">
        <f ca="1">IF($B934="Portfolio","Portfolio",IFERROR(INDEX(DATA_ASSET_CLASSIFICATION!$AB$8:$AB$13,MATCH($N934,DATA_ASSET_CLASSIFICATION!$AA$8:$AA$13,0)),"Review"))</f>
        <v>Bucket 2 · Legacy</v>
      </c>
      <c r="P934" s="350" t="str">
        <f>IF($B934="Portfolio","Portfolio",IFERROR(INDEX(DATA_ASSET_CLASSIFICATION!$C$8:$C$24,MATCH($C934,DATA_ASSET_CLASSIFICATION!$A$8:$A$24,0)),"Review"))</f>
        <v>Yes</v>
      </c>
      <c r="Q934" s="350" t="str">
        <f t="shared" ca="1" si="29"/>
        <v>OK</v>
      </c>
    </row>
    <row r="935" spans="1:17">
      <c r="A935" s="366" t="s">
        <v>2891</v>
      </c>
      <c r="B935" s="366" t="s">
        <v>231</v>
      </c>
      <c r="C935" s="348" t="str">
        <f>DATA_PROPERTY_MASTER!$A$7</f>
        <v>BLD_BT</v>
      </c>
      <c r="D935" s="380">
        <f>'00_PORTFOLIO ROLLUP'!H$12</f>
        <v>2028</v>
      </c>
      <c r="E935" s="366" t="s">
        <v>1721</v>
      </c>
      <c r="F935" s="366" t="s">
        <v>37</v>
      </c>
      <c r="G935" s="348" t="str">
        <f>"'"&amp;$C935&amp;"'!$E$63:$Y$63"</f>
        <v>'BLD_BT'!$E$63:$Y$63</v>
      </c>
      <c r="H935" s="381">
        <f ca="1">IF(IFERROR(INDEX(DATA_PROPERTY_MASTER!$E$5:$E$21,MATCH($C935,DATA_PROPERTY_MASTER!$A$5:$A$21,0))="Yes",FALSE),MAX(IFERROR(INDEX(INDIRECT("'"&amp;$C935&amp;"'!$E$63:$Y$63"),1,MATCH($D935,INDIRECT("'"&amp;$C935&amp;"'!$E$12:$Y$12"),0)),0),0),0)</f>
        <v>0</v>
      </c>
      <c r="I935" s="366" t="s">
        <v>1685</v>
      </c>
      <c r="J935" s="348" t="str">
        <f t="shared" ca="1" si="28"/>
        <v>OK</v>
      </c>
      <c r="K935" s="366" t="s">
        <v>1735</v>
      </c>
      <c r="L935" s="366" t="s">
        <v>2258</v>
      </c>
      <c r="M935" s="350" t="str">
        <f>IF($B935="Portfolio","Portfolio",IFERROR(INDEX(DATA_ASSET_CLASSIFICATION!$B$8:$B$24,MATCH($C935,DATA_ASSET_CLASSIFICATION!$A$8:$A$24,0)),"Review"))</f>
        <v>Beatrice Terrace</v>
      </c>
      <c r="N935" s="350" t="str">
        <f ca="1">IF($B935="Portfolio","Portfolio",IFERROR(INDEX(DATA_ASSET_CLASSIFICATION!$U$8:$U$24,MATCH($C935,DATA_ASSET_CLASSIFICATION!$A$8:$A$24,0)),"Review"))</f>
        <v>Stable</v>
      </c>
      <c r="O935" s="350" t="str">
        <f ca="1">IF($B935="Portfolio","Portfolio",IFERROR(INDEX(DATA_ASSET_CLASSIFICATION!$AB$8:$AB$13,MATCH($N935,DATA_ASSET_CLASSIFICATION!$AA$8:$AA$13,0)),"Review"))</f>
        <v>Bucket 2 · Legacy</v>
      </c>
      <c r="P935" s="350" t="str">
        <f>IF($B935="Portfolio","Portfolio",IFERROR(INDEX(DATA_ASSET_CLASSIFICATION!$C$8:$C$24,MATCH($C935,DATA_ASSET_CLASSIFICATION!$A$8:$A$24,0)),"Review"))</f>
        <v>Yes</v>
      </c>
      <c r="Q935" s="350" t="str">
        <f t="shared" ca="1" si="29"/>
        <v>OK</v>
      </c>
    </row>
    <row r="936" spans="1:17">
      <c r="A936" s="366" t="s">
        <v>2892</v>
      </c>
      <c r="B936" s="366" t="s">
        <v>231</v>
      </c>
      <c r="C936" s="348" t="str">
        <f>DATA_PROPERTY_MASTER!$A$7</f>
        <v>BLD_BT</v>
      </c>
      <c r="D936" s="380">
        <f>'00_PORTFOLIO ROLLUP'!H$12</f>
        <v>2028</v>
      </c>
      <c r="E936" s="366" t="s">
        <v>1721</v>
      </c>
      <c r="F936" s="366" t="s">
        <v>39</v>
      </c>
      <c r="G936" s="348" t="str">
        <f>"'"&amp;$C936&amp;"'!$E$63:$Y$63"</f>
        <v>'BLD_BT'!$E$63:$Y$63</v>
      </c>
      <c r="H936" s="381">
        <f ca="1">IF(IFERROR(INDEX(DATA_PROPERTY_MASTER!$E$5:$E$21,MATCH($C936,DATA_PROPERTY_MASTER!$A$5:$A$21,0))="Yes",FALSE),MAX(-IFERROR(INDEX(INDIRECT("'"&amp;$C936&amp;"'!$E$63:$Y$63"),1,MATCH($D936,INDIRECT("'"&amp;$C936&amp;"'!$E$12:$Y$12"),0)),0),0),0)</f>
        <v>0</v>
      </c>
      <c r="I936" s="366" t="s">
        <v>1690</v>
      </c>
      <c r="J936" s="348" t="str">
        <f t="shared" ca="1" si="28"/>
        <v>OK</v>
      </c>
      <c r="K936" s="366" t="s">
        <v>1738</v>
      </c>
      <c r="L936" s="366" t="s">
        <v>2260</v>
      </c>
      <c r="M936" s="350" t="str">
        <f>IF($B936="Portfolio","Portfolio",IFERROR(INDEX(DATA_ASSET_CLASSIFICATION!$B$8:$B$24,MATCH($C936,DATA_ASSET_CLASSIFICATION!$A$8:$A$24,0)),"Review"))</f>
        <v>Beatrice Terrace</v>
      </c>
      <c r="N936" s="350" t="str">
        <f ca="1">IF($B936="Portfolio","Portfolio",IFERROR(INDEX(DATA_ASSET_CLASSIFICATION!$U$8:$U$24,MATCH($C936,DATA_ASSET_CLASSIFICATION!$A$8:$A$24,0)),"Review"))</f>
        <v>Stable</v>
      </c>
      <c r="O936" s="350" t="str">
        <f ca="1">IF($B936="Portfolio","Portfolio",IFERROR(INDEX(DATA_ASSET_CLASSIFICATION!$AB$8:$AB$13,MATCH($N936,DATA_ASSET_CLASSIFICATION!$AA$8:$AA$13,0)),"Review"))</f>
        <v>Bucket 2 · Legacy</v>
      </c>
      <c r="P936" s="350" t="str">
        <f>IF($B936="Portfolio","Portfolio",IFERROR(INDEX(DATA_ASSET_CLASSIFICATION!$C$8:$C$24,MATCH($C936,DATA_ASSET_CLASSIFICATION!$A$8:$A$24,0)),"Review"))</f>
        <v>Yes</v>
      </c>
      <c r="Q936" s="350" t="str">
        <f t="shared" ca="1" si="29"/>
        <v>OK</v>
      </c>
    </row>
    <row r="937" spans="1:17">
      <c r="A937" s="366" t="s">
        <v>2893</v>
      </c>
      <c r="B937" s="366" t="s">
        <v>231</v>
      </c>
      <c r="C937" s="348" t="str">
        <f>DATA_PROPERTY_MASTER!$A$7</f>
        <v>BLD_BT</v>
      </c>
      <c r="D937" s="380">
        <f>'00_PORTFOLIO ROLLUP'!H$12</f>
        <v>2028</v>
      </c>
      <c r="E937" s="366" t="s">
        <v>1741</v>
      </c>
      <c r="F937" s="366" t="s">
        <v>41</v>
      </c>
      <c r="G937" s="348" t="str">
        <f>"'"&amp;$C937&amp;"'!rows 56 + positive row 63"</f>
        <v>'BLD_BT'!rows 56 + positive row 63</v>
      </c>
      <c r="H937" s="381">
        <f ca="1">IF(IFERROR(INDEX(DATA_PROPERTY_MASTER!$E$5:$E$21,MATCH($C937,DATA_PROPERTY_MASTER!$A$5:$A$21,0))="Yes",FALSE),IFERROR(INDEX(INDIRECT("'"&amp;$C937&amp;"'!$E$56:$Y$56"),1,MATCH($D937,INDIRECT("'"&amp;$C937&amp;"'!$E$12:$Y$12"),0)),0)+MAX(IFERROR(INDEX(INDIRECT("'"&amp;$C937&amp;"'!$E$63:$Y$63"),1,MATCH($D937,INDIRECT("'"&amp;$C937&amp;"'!$E$12:$Y$12"),0)),0),0),0)</f>
        <v>84114.65569768961</v>
      </c>
      <c r="I937" s="366" t="s">
        <v>1685</v>
      </c>
      <c r="J937" s="348" t="str">
        <f t="shared" ca="1" si="28"/>
        <v>OK</v>
      </c>
      <c r="K937" s="366" t="s">
        <v>1742</v>
      </c>
      <c r="L937" s="366" t="s">
        <v>2262</v>
      </c>
      <c r="M937" s="350" t="str">
        <f>IF($B937="Portfolio","Portfolio",IFERROR(INDEX(DATA_ASSET_CLASSIFICATION!$B$8:$B$24,MATCH($C937,DATA_ASSET_CLASSIFICATION!$A$8:$A$24,0)),"Review"))</f>
        <v>Beatrice Terrace</v>
      </c>
      <c r="N937" s="350" t="str">
        <f ca="1">IF($B937="Portfolio","Portfolio",IFERROR(INDEX(DATA_ASSET_CLASSIFICATION!$U$8:$U$24,MATCH($C937,DATA_ASSET_CLASSIFICATION!$A$8:$A$24,0)),"Review"))</f>
        <v>Stable</v>
      </c>
      <c r="O937" s="350" t="str">
        <f ca="1">IF($B937="Portfolio","Portfolio",IFERROR(INDEX(DATA_ASSET_CLASSIFICATION!$AB$8:$AB$13,MATCH($N937,DATA_ASSET_CLASSIFICATION!$AA$8:$AA$13,0)),"Review"))</f>
        <v>Bucket 2 · Legacy</v>
      </c>
      <c r="P937" s="350" t="str">
        <f>IF($B937="Portfolio","Portfolio",IFERROR(INDEX(DATA_ASSET_CLASSIFICATION!$C$8:$C$24,MATCH($C937,DATA_ASSET_CLASSIFICATION!$A$8:$A$24,0)),"Review"))</f>
        <v>Yes</v>
      </c>
      <c r="Q937" s="350" t="str">
        <f t="shared" ca="1" si="29"/>
        <v>OK</v>
      </c>
    </row>
    <row r="938" spans="1:17">
      <c r="A938" s="366" t="s">
        <v>2894</v>
      </c>
      <c r="B938" s="366" t="s">
        <v>231</v>
      </c>
      <c r="C938" s="348" t="str">
        <f>DATA_PROPERTY_MASTER!$A$7</f>
        <v>BLD_BT</v>
      </c>
      <c r="D938" s="380">
        <f>'00_PORTFOLIO ROLLUP'!H$12</f>
        <v>2028</v>
      </c>
      <c r="E938" s="366" t="s">
        <v>1741</v>
      </c>
      <c r="F938" s="366" t="s">
        <v>43</v>
      </c>
      <c r="G938" s="348" t="str">
        <f>"'"&amp;$C938&amp;"'!$E$68:$Y$68"</f>
        <v>'BLD_BT'!$E$68:$Y$68</v>
      </c>
      <c r="H938" s="381">
        <f ca="1">IF(IFERROR(INDEX(DATA_PROPERTY_MASTER!$E$5:$E$21,MATCH($C938,DATA_PROPERTY_MASTER!$A$5:$A$21,0))="Yes",FALSE),IFERROR(INDEX(INDIRECT("'"&amp;$C938&amp;"'!$E$68:$Y$68"),1,MATCH($D938,INDIRECT("'"&amp;$C938&amp;"'!$E$12:$Y$12"),0)),0),0)</f>
        <v>84114.65569768961</v>
      </c>
      <c r="I938" s="366" t="s">
        <v>1731</v>
      </c>
      <c r="J938" s="348" t="str">
        <f t="shared" ca="1" si="28"/>
        <v>OK</v>
      </c>
      <c r="K938" s="366" t="s">
        <v>1746</v>
      </c>
      <c r="L938" s="366" t="s">
        <v>2264</v>
      </c>
      <c r="M938" s="350" t="str">
        <f>IF($B938="Portfolio","Portfolio",IFERROR(INDEX(DATA_ASSET_CLASSIFICATION!$B$8:$B$24,MATCH($C938,DATA_ASSET_CLASSIFICATION!$A$8:$A$24,0)),"Review"))</f>
        <v>Beatrice Terrace</v>
      </c>
      <c r="N938" s="350" t="str">
        <f ca="1">IF($B938="Portfolio","Portfolio",IFERROR(INDEX(DATA_ASSET_CLASSIFICATION!$U$8:$U$24,MATCH($C938,DATA_ASSET_CLASSIFICATION!$A$8:$A$24,0)),"Review"))</f>
        <v>Stable</v>
      </c>
      <c r="O938" s="350" t="str">
        <f ca="1">IF($B938="Portfolio","Portfolio",IFERROR(INDEX(DATA_ASSET_CLASSIFICATION!$AB$8:$AB$13,MATCH($N938,DATA_ASSET_CLASSIFICATION!$AA$8:$AA$13,0)),"Review"))</f>
        <v>Bucket 2 · Legacy</v>
      </c>
      <c r="P938" s="350" t="str">
        <f>IF($B938="Portfolio","Portfolio",IFERROR(INDEX(DATA_ASSET_CLASSIFICATION!$C$8:$C$24,MATCH($C938,DATA_ASSET_CLASSIFICATION!$A$8:$A$24,0)),"Review"))</f>
        <v>Yes</v>
      </c>
      <c r="Q938" s="350" t="str">
        <f t="shared" ca="1" si="29"/>
        <v>OK</v>
      </c>
    </row>
    <row r="939" spans="1:17">
      <c r="A939" s="366" t="s">
        <v>2895</v>
      </c>
      <c r="B939" s="366" t="s">
        <v>231</v>
      </c>
      <c r="C939" s="348" t="str">
        <f>DATA_PROPERTY_MASTER!$A$7</f>
        <v>BLD_BT</v>
      </c>
      <c r="D939" s="380">
        <f>'00_PORTFOLIO ROLLUP'!H$12</f>
        <v>2028</v>
      </c>
      <c r="E939" s="366" t="s">
        <v>1741</v>
      </c>
      <c r="F939" s="366" t="s">
        <v>1749</v>
      </c>
      <c r="G939" s="348" t="str">
        <f>"'"&amp;$C939&amp;"'!rows 56, 63, 68"</f>
        <v>'BLD_BT'!rows 56, 63, 68</v>
      </c>
      <c r="H939" s="381">
        <f ca="1">IF(IFERROR(INDEX(DATA_PROPERTY_MASTER!$E$5:$E$21,MATCH($C939,DATA_PROPERTY_MASTER!$A$5:$A$21,0))="Yes",FALSE),(IFERROR(INDEX(INDIRECT("'"&amp;$C939&amp;"'!$E$56:$Y$56"),1,MATCH($D939,INDIRECT("'"&amp;$C939&amp;"'!$E$12:$Y$12"),0)),0)+MAX(IFERROR(INDEX(INDIRECT("'"&amp;$C939&amp;"'!$E$63:$Y$63"),1,MATCH($D939,INDIRECT("'"&amp;$C939&amp;"'!$E$12:$Y$12"),0)),0),0))-(IFERROR(INDEX(INDIRECT("'"&amp;$C939&amp;"'!$E$68:$Y$68"),1,MATCH($D939,INDIRECT("'"&amp;$C939&amp;"'!$E$12:$Y$12"),0)),0)),0)</f>
        <v>0</v>
      </c>
      <c r="I939" s="366" t="s">
        <v>1750</v>
      </c>
      <c r="J939" s="348" t="str">
        <f t="shared" ca="1" si="28"/>
        <v>OK</v>
      </c>
      <c r="K939" s="366" t="s">
        <v>1751</v>
      </c>
      <c r="L939" s="366" t="s">
        <v>2266</v>
      </c>
      <c r="M939" s="350" t="str">
        <f>IF($B939="Portfolio","Portfolio",IFERROR(INDEX(DATA_ASSET_CLASSIFICATION!$B$8:$B$24,MATCH($C939,DATA_ASSET_CLASSIFICATION!$A$8:$A$24,0)),"Review"))</f>
        <v>Beatrice Terrace</v>
      </c>
      <c r="N939" s="350" t="str">
        <f ca="1">IF($B939="Portfolio","Portfolio",IFERROR(INDEX(DATA_ASSET_CLASSIFICATION!$U$8:$U$24,MATCH($C939,DATA_ASSET_CLASSIFICATION!$A$8:$A$24,0)),"Review"))</f>
        <v>Stable</v>
      </c>
      <c r="O939" s="350" t="str">
        <f ca="1">IF($B939="Portfolio","Portfolio",IFERROR(INDEX(DATA_ASSET_CLASSIFICATION!$AB$8:$AB$13,MATCH($N939,DATA_ASSET_CLASSIFICATION!$AA$8:$AA$13,0)),"Review"))</f>
        <v>Bucket 2 · Legacy</v>
      </c>
      <c r="P939" s="350" t="str">
        <f>IF($B939="Portfolio","Portfolio",IFERROR(INDEX(DATA_ASSET_CLASSIFICATION!$C$8:$C$24,MATCH($C939,DATA_ASSET_CLASSIFICATION!$A$8:$A$24,0)),"Review"))</f>
        <v>Yes</v>
      </c>
      <c r="Q939" s="350" t="str">
        <f t="shared" ca="1" si="29"/>
        <v>OK</v>
      </c>
    </row>
    <row r="940" spans="1:17">
      <c r="A940" s="366" t="s">
        <v>2896</v>
      </c>
      <c r="B940" s="366" t="s">
        <v>231</v>
      </c>
      <c r="C940" s="348" t="str">
        <f>DATA_PROPERTY_MASTER!$A$7</f>
        <v>BLD_BT</v>
      </c>
      <c r="D940" s="380">
        <f>'00_PORTFOLIO ROLLUP'!I$12</f>
        <v>2029</v>
      </c>
      <c r="E940" s="366" t="s">
        <v>1683</v>
      </c>
      <c r="F940" s="366" t="s">
        <v>341</v>
      </c>
      <c r="G940" s="348" t="str">
        <f>"'"&amp;$C940&amp;"'!$E$24:$Y$24"</f>
        <v>'BLD_BT'!$E$24:$Y$24</v>
      </c>
      <c r="H940" s="381">
        <f ca="1">IF(IFERROR(INDEX(DATA_PROPERTY_MASTER!$E$5:$E$21,MATCH($C940,DATA_PROPERTY_MASTER!$A$5:$A$21,0))="Yes",FALSE),IFERROR(INDEX(INDIRECT("'"&amp;$C940&amp;"'!$E$24:$Y$24"),1,MATCH($D940,INDIRECT("'"&amp;$C940&amp;"'!$E$12:$Y$12"),0)),0),0)</f>
        <v>463129.50846430846</v>
      </c>
      <c r="I940" s="366" t="s">
        <v>1685</v>
      </c>
      <c r="J940" s="348" t="str">
        <f t="shared" ca="1" si="28"/>
        <v>OK</v>
      </c>
      <c r="K940" s="366" t="s">
        <v>1686</v>
      </c>
      <c r="L940" s="366" t="s">
        <v>2234</v>
      </c>
      <c r="M940" s="350" t="str">
        <f>IF($B940="Portfolio","Portfolio",IFERROR(INDEX(DATA_ASSET_CLASSIFICATION!$B$8:$B$24,MATCH($C940,DATA_ASSET_CLASSIFICATION!$A$8:$A$24,0)),"Review"))</f>
        <v>Beatrice Terrace</v>
      </c>
      <c r="N940" s="350" t="str">
        <f ca="1">IF($B940="Portfolio","Portfolio",IFERROR(INDEX(DATA_ASSET_CLASSIFICATION!$U$8:$U$24,MATCH($C940,DATA_ASSET_CLASSIFICATION!$A$8:$A$24,0)),"Review"))</f>
        <v>Stable</v>
      </c>
      <c r="O940" s="350" t="str">
        <f ca="1">IF($B940="Portfolio","Portfolio",IFERROR(INDEX(DATA_ASSET_CLASSIFICATION!$AB$8:$AB$13,MATCH($N940,DATA_ASSET_CLASSIFICATION!$AA$8:$AA$13,0)),"Review"))</f>
        <v>Bucket 2 · Legacy</v>
      </c>
      <c r="P940" s="350" t="str">
        <f>IF($B940="Portfolio","Portfolio",IFERROR(INDEX(DATA_ASSET_CLASSIFICATION!$C$8:$C$24,MATCH($C940,DATA_ASSET_CLASSIFICATION!$A$8:$A$24,0)),"Review"))</f>
        <v>Yes</v>
      </c>
      <c r="Q940" s="350" t="str">
        <f t="shared" ca="1" si="29"/>
        <v>OK</v>
      </c>
    </row>
    <row r="941" spans="1:17">
      <c r="A941" s="366" t="s">
        <v>2897</v>
      </c>
      <c r="B941" s="366" t="s">
        <v>231</v>
      </c>
      <c r="C941" s="348" t="str">
        <f>DATA_PROPERTY_MASTER!$A$7</f>
        <v>BLD_BT</v>
      </c>
      <c r="D941" s="380">
        <f>'00_PORTFOLIO ROLLUP'!I$12</f>
        <v>2029</v>
      </c>
      <c r="E941" s="366" t="s">
        <v>1683</v>
      </c>
      <c r="F941" s="366" t="s">
        <v>355</v>
      </c>
      <c r="G941" s="348" t="str">
        <f>"'"&amp;$C941&amp;"'!$E$39:$Y$39"</f>
        <v>'BLD_BT'!$E$39:$Y$39</v>
      </c>
      <c r="H941" s="381">
        <f ca="1">IF(IFERROR(INDEX(DATA_PROPERTY_MASTER!$E$5:$E$21,MATCH($C941,DATA_PROPERTY_MASTER!$A$5:$A$21,0))="Yes",FALSE),IFERROR(INDEX(INDIRECT("'"&amp;$C941&amp;"'!$E$39:$Y$39"),1,MATCH($D941,INDIRECT("'"&amp;$C941&amp;"'!$E$12:$Y$12"),0)),0),0)</f>
        <v>140780.77911040001</v>
      </c>
      <c r="I941" s="366" t="s">
        <v>1690</v>
      </c>
      <c r="J941" s="348" t="str">
        <f t="shared" ca="1" si="28"/>
        <v>OK</v>
      </c>
      <c r="K941" s="366" t="s">
        <v>1686</v>
      </c>
      <c r="L941" s="366" t="s">
        <v>2236</v>
      </c>
      <c r="M941" s="350" t="str">
        <f>IF($B941="Portfolio","Portfolio",IFERROR(INDEX(DATA_ASSET_CLASSIFICATION!$B$8:$B$24,MATCH($C941,DATA_ASSET_CLASSIFICATION!$A$8:$A$24,0)),"Review"))</f>
        <v>Beatrice Terrace</v>
      </c>
      <c r="N941" s="350" t="str">
        <f ca="1">IF($B941="Portfolio","Portfolio",IFERROR(INDEX(DATA_ASSET_CLASSIFICATION!$U$8:$U$24,MATCH($C941,DATA_ASSET_CLASSIFICATION!$A$8:$A$24,0)),"Review"))</f>
        <v>Stable</v>
      </c>
      <c r="O941" s="350" t="str">
        <f ca="1">IF($B941="Portfolio","Portfolio",IFERROR(INDEX(DATA_ASSET_CLASSIFICATION!$AB$8:$AB$13,MATCH($N941,DATA_ASSET_CLASSIFICATION!$AA$8:$AA$13,0)),"Review"))</f>
        <v>Bucket 2 · Legacy</v>
      </c>
      <c r="P941" s="350" t="str">
        <f>IF($B941="Portfolio","Portfolio",IFERROR(INDEX(DATA_ASSET_CLASSIFICATION!$C$8:$C$24,MATCH($C941,DATA_ASSET_CLASSIFICATION!$A$8:$A$24,0)),"Review"))</f>
        <v>Yes</v>
      </c>
      <c r="Q941" s="350" t="str">
        <f t="shared" ca="1" si="29"/>
        <v>OK</v>
      </c>
    </row>
    <row r="942" spans="1:17">
      <c r="A942" s="366" t="s">
        <v>2898</v>
      </c>
      <c r="B942" s="366" t="s">
        <v>231</v>
      </c>
      <c r="C942" s="348" t="str">
        <f>DATA_PROPERTY_MASTER!$A$7</f>
        <v>BLD_BT</v>
      </c>
      <c r="D942" s="380">
        <f>'00_PORTFOLIO ROLLUP'!I$12</f>
        <v>2029</v>
      </c>
      <c r="E942" s="366" t="s">
        <v>1683</v>
      </c>
      <c r="F942" s="366" t="s">
        <v>19</v>
      </c>
      <c r="G942" s="348" t="str">
        <f>"'"&amp;$C942&amp;"'!$E$41:$Y$41"</f>
        <v>'BLD_BT'!$E$41:$Y$41</v>
      </c>
      <c r="H942" s="381">
        <f ca="1">IF(IFERROR(INDEX(DATA_PROPERTY_MASTER!$E$5:$E$21,MATCH($C942,DATA_PROPERTY_MASTER!$A$5:$A$21,0))="Yes",FALSE),IFERROR(INDEX(INDIRECT("'"&amp;$C942&amp;"'!$E$41:$Y$41"),1,MATCH($D942,INDIRECT("'"&amp;$C942&amp;"'!$E$12:$Y$12"),0)),0),0)</f>
        <v>322348.72935390845</v>
      </c>
      <c r="I942" s="366" t="s">
        <v>1685</v>
      </c>
      <c r="J942" s="348" t="str">
        <f t="shared" ca="1" si="28"/>
        <v>OK</v>
      </c>
      <c r="K942" s="366" t="s">
        <v>1694</v>
      </c>
      <c r="L942" s="366" t="s">
        <v>2238</v>
      </c>
      <c r="M942" s="350" t="str">
        <f>IF($B942="Portfolio","Portfolio",IFERROR(INDEX(DATA_ASSET_CLASSIFICATION!$B$8:$B$24,MATCH($C942,DATA_ASSET_CLASSIFICATION!$A$8:$A$24,0)),"Review"))</f>
        <v>Beatrice Terrace</v>
      </c>
      <c r="N942" s="350" t="str">
        <f ca="1">IF($B942="Portfolio","Portfolio",IFERROR(INDEX(DATA_ASSET_CLASSIFICATION!$U$8:$U$24,MATCH($C942,DATA_ASSET_CLASSIFICATION!$A$8:$A$24,0)),"Review"))</f>
        <v>Stable</v>
      </c>
      <c r="O942" s="350" t="str">
        <f ca="1">IF($B942="Portfolio","Portfolio",IFERROR(INDEX(DATA_ASSET_CLASSIFICATION!$AB$8:$AB$13,MATCH($N942,DATA_ASSET_CLASSIFICATION!$AA$8:$AA$13,0)),"Review"))</f>
        <v>Bucket 2 · Legacy</v>
      </c>
      <c r="P942" s="350" t="str">
        <f>IF($B942="Portfolio","Portfolio",IFERROR(INDEX(DATA_ASSET_CLASSIFICATION!$C$8:$C$24,MATCH($C942,DATA_ASSET_CLASSIFICATION!$A$8:$A$24,0)),"Review"))</f>
        <v>Yes</v>
      </c>
      <c r="Q942" s="350" t="str">
        <f t="shared" ca="1" si="29"/>
        <v>OK</v>
      </c>
    </row>
    <row r="943" spans="1:17">
      <c r="A943" s="366" t="s">
        <v>2899</v>
      </c>
      <c r="B943" s="366" t="s">
        <v>231</v>
      </c>
      <c r="C943" s="348" t="str">
        <f>DATA_PROPERTY_MASTER!$A$7</f>
        <v>BLD_BT</v>
      </c>
      <c r="D943" s="380">
        <f>'00_PORTFOLIO ROLLUP'!I$12</f>
        <v>2029</v>
      </c>
      <c r="E943" s="366" t="s">
        <v>1683</v>
      </c>
      <c r="F943" s="366" t="s">
        <v>1697</v>
      </c>
      <c r="G943" s="348" t="str">
        <f>"'"&amp;$C943&amp;"'!$E$44:$Y$44"</f>
        <v>'BLD_BT'!$E$44:$Y$44</v>
      </c>
      <c r="H943" s="381">
        <f ca="1">IF(IFERROR(INDEX(DATA_PROPERTY_MASTER!$E$5:$E$21,MATCH($C943,DATA_PROPERTY_MASTER!$A$5:$A$21,0))="Yes",FALSE),IFERROR(INDEX(INDIRECT("'"&amp;$C943&amp;"'!$E$44:$Y$44"),1,MATCH($D943,INDIRECT("'"&amp;$C943&amp;"'!$E$12:$Y$12"),0)),0),0)</f>
        <v>2922.566832</v>
      </c>
      <c r="I943" s="366" t="s">
        <v>1690</v>
      </c>
      <c r="J943" s="348" t="str">
        <f t="shared" ca="1" si="28"/>
        <v>OK</v>
      </c>
      <c r="K943" s="366" t="s">
        <v>1699</v>
      </c>
      <c r="L943" s="366" t="s">
        <v>2240</v>
      </c>
      <c r="M943" s="350" t="str">
        <f>IF($B943="Portfolio","Portfolio",IFERROR(INDEX(DATA_ASSET_CLASSIFICATION!$B$8:$B$24,MATCH($C943,DATA_ASSET_CLASSIFICATION!$A$8:$A$24,0)),"Review"))</f>
        <v>Beatrice Terrace</v>
      </c>
      <c r="N943" s="350" t="str">
        <f ca="1">IF($B943="Portfolio","Portfolio",IFERROR(INDEX(DATA_ASSET_CLASSIFICATION!$U$8:$U$24,MATCH($C943,DATA_ASSET_CLASSIFICATION!$A$8:$A$24,0)),"Review"))</f>
        <v>Stable</v>
      </c>
      <c r="O943" s="350" t="str">
        <f ca="1">IF($B943="Portfolio","Portfolio",IFERROR(INDEX(DATA_ASSET_CLASSIFICATION!$AB$8:$AB$13,MATCH($N943,DATA_ASSET_CLASSIFICATION!$AA$8:$AA$13,0)),"Review"))</f>
        <v>Bucket 2 · Legacy</v>
      </c>
      <c r="P943" s="350" t="str">
        <f>IF($B943="Portfolio","Portfolio",IFERROR(INDEX(DATA_ASSET_CLASSIFICATION!$C$8:$C$24,MATCH($C943,DATA_ASSET_CLASSIFICATION!$A$8:$A$24,0)),"Review"))</f>
        <v>Yes</v>
      </c>
      <c r="Q943" s="350" t="str">
        <f t="shared" ca="1" si="29"/>
        <v>OK</v>
      </c>
    </row>
    <row r="944" spans="1:17">
      <c r="A944" s="366" t="s">
        <v>2900</v>
      </c>
      <c r="B944" s="366" t="s">
        <v>231</v>
      </c>
      <c r="C944" s="348" t="str">
        <f>DATA_PROPERTY_MASTER!$A$7</f>
        <v>BLD_BT</v>
      </c>
      <c r="D944" s="380">
        <f>'00_PORTFOLIO ROLLUP'!I$12</f>
        <v>2029</v>
      </c>
      <c r="E944" s="366" t="s">
        <v>1683</v>
      </c>
      <c r="F944" s="366" t="s">
        <v>21</v>
      </c>
      <c r="G944" s="348" t="str">
        <f>"'"&amp;$C944&amp;"'!$E$45:$Y$45"</f>
        <v>'BLD_BT'!$E$45:$Y$45</v>
      </c>
      <c r="H944" s="381">
        <f ca="1">IF(IFERROR(INDEX(DATA_PROPERTY_MASTER!$E$5:$E$21,MATCH($C944,DATA_PROPERTY_MASTER!$A$5:$A$21,0))="Yes",FALSE),IFERROR(INDEX(INDIRECT("'"&amp;$C944&amp;"'!$E$45:$Y$45"),1,MATCH($D944,INDIRECT("'"&amp;$C944&amp;"'!$E$12:$Y$12"),0)),0),0)</f>
        <v>319426.16252190847</v>
      </c>
      <c r="I944" s="366" t="s">
        <v>1685</v>
      </c>
      <c r="J944" s="348" t="str">
        <f t="shared" ca="1" si="28"/>
        <v>OK</v>
      </c>
      <c r="K944" s="366" t="s">
        <v>1694</v>
      </c>
      <c r="L944" s="366" t="s">
        <v>2242</v>
      </c>
      <c r="M944" s="350" t="str">
        <f>IF($B944="Portfolio","Portfolio",IFERROR(INDEX(DATA_ASSET_CLASSIFICATION!$B$8:$B$24,MATCH($C944,DATA_ASSET_CLASSIFICATION!$A$8:$A$24,0)),"Review"))</f>
        <v>Beatrice Terrace</v>
      </c>
      <c r="N944" s="350" t="str">
        <f ca="1">IF($B944="Portfolio","Portfolio",IFERROR(INDEX(DATA_ASSET_CLASSIFICATION!$U$8:$U$24,MATCH($C944,DATA_ASSET_CLASSIFICATION!$A$8:$A$24,0)),"Review"))</f>
        <v>Stable</v>
      </c>
      <c r="O944" s="350" t="str">
        <f ca="1">IF($B944="Portfolio","Portfolio",IFERROR(INDEX(DATA_ASSET_CLASSIFICATION!$AB$8:$AB$13,MATCH($N944,DATA_ASSET_CLASSIFICATION!$AA$8:$AA$13,0)),"Review"))</f>
        <v>Bucket 2 · Legacy</v>
      </c>
      <c r="P944" s="350" t="str">
        <f>IF($B944="Portfolio","Portfolio",IFERROR(INDEX(DATA_ASSET_CLASSIFICATION!$C$8:$C$24,MATCH($C944,DATA_ASSET_CLASSIFICATION!$A$8:$A$24,0)),"Review"))</f>
        <v>Yes</v>
      </c>
      <c r="Q944" s="350" t="str">
        <f t="shared" ca="1" si="29"/>
        <v>OK</v>
      </c>
    </row>
    <row r="945" spans="1:17">
      <c r="A945" s="366" t="s">
        <v>2901</v>
      </c>
      <c r="B945" s="366" t="s">
        <v>231</v>
      </c>
      <c r="C945" s="348" t="str">
        <f>DATA_PROPERTY_MASTER!$A$7</f>
        <v>BLD_BT</v>
      </c>
      <c r="D945" s="380">
        <f>'00_PORTFOLIO ROLLUP'!I$12</f>
        <v>2029</v>
      </c>
      <c r="E945" s="366" t="s">
        <v>23</v>
      </c>
      <c r="F945" s="366" t="s">
        <v>23</v>
      </c>
      <c r="G945" s="348" t="str">
        <f>"'"&amp;$C945&amp;"'!$E$48:$Y$48"</f>
        <v>'BLD_BT'!$E$48:$Y$48</v>
      </c>
      <c r="H945" s="381">
        <f ca="1">IF(IFERROR(INDEX(DATA_PROPERTY_MASTER!$E$5:$E$21,MATCH($C945,DATA_PROPERTY_MASTER!$A$5:$A$21,0))="Yes",FALSE),IFERROR(INDEX(INDIRECT("'"&amp;$C945&amp;"'!$E$48:$Y$48"),1,MATCH($D945,INDIRECT("'"&amp;$C945&amp;"'!$E$12:$Y$12"),0)),0),0)</f>
        <v>110563.68</v>
      </c>
      <c r="I945" s="366" t="s">
        <v>1690</v>
      </c>
      <c r="J945" s="348" t="str">
        <f t="shared" ca="1" si="28"/>
        <v>OK</v>
      </c>
      <c r="K945" s="366" t="s">
        <v>1706</v>
      </c>
      <c r="L945" s="366" t="s">
        <v>2244</v>
      </c>
      <c r="M945" s="350" t="str">
        <f>IF($B945="Portfolio","Portfolio",IFERROR(INDEX(DATA_ASSET_CLASSIFICATION!$B$8:$B$24,MATCH($C945,DATA_ASSET_CLASSIFICATION!$A$8:$A$24,0)),"Review"))</f>
        <v>Beatrice Terrace</v>
      </c>
      <c r="N945" s="350" t="str">
        <f ca="1">IF($B945="Portfolio","Portfolio",IFERROR(INDEX(DATA_ASSET_CLASSIFICATION!$U$8:$U$24,MATCH($C945,DATA_ASSET_CLASSIFICATION!$A$8:$A$24,0)),"Review"))</f>
        <v>Stable</v>
      </c>
      <c r="O945" s="350" t="str">
        <f ca="1">IF($B945="Portfolio","Portfolio",IFERROR(INDEX(DATA_ASSET_CLASSIFICATION!$AB$8:$AB$13,MATCH($N945,DATA_ASSET_CLASSIFICATION!$AA$8:$AA$13,0)),"Review"))</f>
        <v>Bucket 2 · Legacy</v>
      </c>
      <c r="P945" s="350" t="str">
        <f>IF($B945="Portfolio","Portfolio",IFERROR(INDEX(DATA_ASSET_CLASSIFICATION!$C$8:$C$24,MATCH($C945,DATA_ASSET_CLASSIFICATION!$A$8:$A$24,0)),"Review"))</f>
        <v>Yes</v>
      </c>
      <c r="Q945" s="350" t="str">
        <f t="shared" ca="1" si="29"/>
        <v>OK</v>
      </c>
    </row>
    <row r="946" spans="1:17">
      <c r="A946" s="366" t="s">
        <v>2902</v>
      </c>
      <c r="B946" s="366" t="s">
        <v>231</v>
      </c>
      <c r="C946" s="348" t="str">
        <f>DATA_PROPERTY_MASTER!$A$7</f>
        <v>BLD_BT</v>
      </c>
      <c r="D946" s="380">
        <f>'00_PORTFOLIO ROLLUP'!I$12</f>
        <v>2029</v>
      </c>
      <c r="E946" s="366" t="s">
        <v>1683</v>
      </c>
      <c r="F946" s="366" t="s">
        <v>25</v>
      </c>
      <c r="G946" s="348" t="str">
        <f>"'"&amp;$C946&amp;"'!$E$52:$Y$52"</f>
        <v>'BLD_BT'!$E$52:$Y$52</v>
      </c>
      <c r="H946" s="381">
        <f ca="1">IF(IFERROR(INDEX(DATA_PROPERTY_MASTER!$E$5:$E$21,MATCH($C946,DATA_PROPERTY_MASTER!$A$5:$A$21,0))="Yes",FALSE),IFERROR(INDEX(INDIRECT("'"&amp;$C946&amp;"'!$E$52:$Y$52"),1,MATCH($D946,INDIRECT("'"&amp;$C946&amp;"'!$E$12:$Y$12"),0)),0),0)</f>
        <v>211785.04935390846</v>
      </c>
      <c r="I946" s="366" t="s">
        <v>1685</v>
      </c>
      <c r="J946" s="348" t="str">
        <f t="shared" ca="1" si="28"/>
        <v>OK</v>
      </c>
      <c r="K946" s="366" t="s">
        <v>1710</v>
      </c>
      <c r="L946" s="366" t="s">
        <v>2246</v>
      </c>
      <c r="M946" s="350" t="str">
        <f>IF($B946="Portfolio","Portfolio",IFERROR(INDEX(DATA_ASSET_CLASSIFICATION!$B$8:$B$24,MATCH($C946,DATA_ASSET_CLASSIFICATION!$A$8:$A$24,0)),"Review"))</f>
        <v>Beatrice Terrace</v>
      </c>
      <c r="N946" s="350" t="str">
        <f ca="1">IF($B946="Portfolio","Portfolio",IFERROR(INDEX(DATA_ASSET_CLASSIFICATION!$U$8:$U$24,MATCH($C946,DATA_ASSET_CLASSIFICATION!$A$8:$A$24,0)),"Review"))</f>
        <v>Stable</v>
      </c>
      <c r="O946" s="350" t="str">
        <f ca="1">IF($B946="Portfolio","Portfolio",IFERROR(INDEX(DATA_ASSET_CLASSIFICATION!$AB$8:$AB$13,MATCH($N946,DATA_ASSET_CLASSIFICATION!$AA$8:$AA$13,0)),"Review"))</f>
        <v>Bucket 2 · Legacy</v>
      </c>
      <c r="P946" s="350" t="str">
        <f>IF($B946="Portfolio","Portfolio",IFERROR(INDEX(DATA_ASSET_CLASSIFICATION!$C$8:$C$24,MATCH($C946,DATA_ASSET_CLASSIFICATION!$A$8:$A$24,0)),"Review"))</f>
        <v>Yes</v>
      </c>
      <c r="Q946" s="350" t="str">
        <f t="shared" ca="1" si="29"/>
        <v>OK</v>
      </c>
    </row>
    <row r="947" spans="1:17">
      <c r="A947" s="366" t="s">
        <v>2903</v>
      </c>
      <c r="B947" s="366" t="s">
        <v>231</v>
      </c>
      <c r="C947" s="348" t="str">
        <f>DATA_PROPERTY_MASTER!$A$7</f>
        <v>BLD_BT</v>
      </c>
      <c r="D947" s="380">
        <f>'00_PORTFOLIO ROLLUP'!I$12</f>
        <v>2029</v>
      </c>
      <c r="E947" s="366" t="s">
        <v>1683</v>
      </c>
      <c r="F947" s="366" t="s">
        <v>27</v>
      </c>
      <c r="G947" s="348" t="str">
        <f>"'"&amp;$C947&amp;"'!$E$54:$Y$54"</f>
        <v>'BLD_BT'!$E$54:$Y$54</v>
      </c>
      <c r="H947" s="381">
        <f ca="1">IF(IFERROR(INDEX(DATA_PROPERTY_MASTER!$E$5:$E$21,MATCH($C947,DATA_PROPERTY_MASTER!$A$5:$A$21,0))="Yes",FALSE),IFERROR(INDEX(INDIRECT("'"&amp;$C947&amp;"'!$E$54:$Y$54"),1,MATCH($D947,INDIRECT("'"&amp;$C947&amp;"'!$E$12:$Y$12"),0)),0),0)</f>
        <v>127071.02961234507</v>
      </c>
      <c r="I947" s="366" t="s">
        <v>1690</v>
      </c>
      <c r="J947" s="348" t="str">
        <f t="shared" ca="1" si="28"/>
        <v>OK</v>
      </c>
      <c r="K947" s="366" t="s">
        <v>1714</v>
      </c>
      <c r="L947" s="366" t="s">
        <v>2248</v>
      </c>
      <c r="M947" s="350" t="str">
        <f>IF($B947="Portfolio","Portfolio",IFERROR(INDEX(DATA_ASSET_CLASSIFICATION!$B$8:$B$24,MATCH($C947,DATA_ASSET_CLASSIFICATION!$A$8:$A$24,0)),"Review"))</f>
        <v>Beatrice Terrace</v>
      </c>
      <c r="N947" s="350" t="str">
        <f ca="1">IF($B947="Portfolio","Portfolio",IFERROR(INDEX(DATA_ASSET_CLASSIFICATION!$U$8:$U$24,MATCH($C947,DATA_ASSET_CLASSIFICATION!$A$8:$A$24,0)),"Review"))</f>
        <v>Stable</v>
      </c>
      <c r="O947" s="350" t="str">
        <f ca="1">IF($B947="Portfolio","Portfolio",IFERROR(INDEX(DATA_ASSET_CLASSIFICATION!$AB$8:$AB$13,MATCH($N947,DATA_ASSET_CLASSIFICATION!$AA$8:$AA$13,0)),"Review"))</f>
        <v>Bucket 2 · Legacy</v>
      </c>
      <c r="P947" s="350" t="str">
        <f>IF($B947="Portfolio","Portfolio",IFERROR(INDEX(DATA_ASSET_CLASSIFICATION!$C$8:$C$24,MATCH($C947,DATA_ASSET_CLASSIFICATION!$A$8:$A$24,0)),"Review"))</f>
        <v>Yes</v>
      </c>
      <c r="Q947" s="350" t="str">
        <f t="shared" ca="1" si="29"/>
        <v>OK</v>
      </c>
    </row>
    <row r="948" spans="1:17">
      <c r="A948" s="366" t="s">
        <v>2904</v>
      </c>
      <c r="B948" s="366" t="s">
        <v>231</v>
      </c>
      <c r="C948" s="348" t="str">
        <f>DATA_PROPERTY_MASTER!$A$7</f>
        <v>BLD_BT</v>
      </c>
      <c r="D948" s="380">
        <f>'00_PORTFOLIO ROLLUP'!I$12</f>
        <v>2029</v>
      </c>
      <c r="E948" s="366" t="s">
        <v>1683</v>
      </c>
      <c r="F948" s="366" t="s">
        <v>29</v>
      </c>
      <c r="G948" s="348" t="str">
        <f>"'"&amp;$C948&amp;"'!$E$56:$Y$56"</f>
        <v>'BLD_BT'!$E$56:$Y$56</v>
      </c>
      <c r="H948" s="381">
        <f ca="1">IF(IFERROR(INDEX(DATA_PROPERTY_MASTER!$E$5:$E$21,MATCH($C948,DATA_PROPERTY_MASTER!$A$5:$A$21,0))="Yes",FALSE),IFERROR(INDEX(INDIRECT("'"&amp;$C948&amp;"'!$E$56:$Y$56"),1,MATCH($D948,INDIRECT("'"&amp;$C948&amp;"'!$E$12:$Y$12"),0)),0),0)</f>
        <v>84714.019741563388</v>
      </c>
      <c r="I948" s="366" t="s">
        <v>1685</v>
      </c>
      <c r="J948" s="348" t="str">
        <f t="shared" ca="1" si="28"/>
        <v>OK</v>
      </c>
      <c r="K948" s="366" t="s">
        <v>1718</v>
      </c>
      <c r="L948" s="366" t="s">
        <v>2250</v>
      </c>
      <c r="M948" s="350" t="str">
        <f>IF($B948="Portfolio","Portfolio",IFERROR(INDEX(DATA_ASSET_CLASSIFICATION!$B$8:$B$24,MATCH($C948,DATA_ASSET_CLASSIFICATION!$A$8:$A$24,0)),"Review"))</f>
        <v>Beatrice Terrace</v>
      </c>
      <c r="N948" s="350" t="str">
        <f ca="1">IF($B948="Portfolio","Portfolio",IFERROR(INDEX(DATA_ASSET_CLASSIFICATION!$U$8:$U$24,MATCH($C948,DATA_ASSET_CLASSIFICATION!$A$8:$A$24,0)),"Review"))</f>
        <v>Stable</v>
      </c>
      <c r="O948" s="350" t="str">
        <f ca="1">IF($B948="Portfolio","Portfolio",IFERROR(INDEX(DATA_ASSET_CLASSIFICATION!$AB$8:$AB$13,MATCH($N948,DATA_ASSET_CLASSIFICATION!$AA$8:$AA$13,0)),"Review"))</f>
        <v>Bucket 2 · Legacy</v>
      </c>
      <c r="P948" s="350" t="str">
        <f>IF($B948="Portfolio","Portfolio",IFERROR(INDEX(DATA_ASSET_CLASSIFICATION!$C$8:$C$24,MATCH($C948,DATA_ASSET_CLASSIFICATION!$A$8:$A$24,0)),"Review"))</f>
        <v>Yes</v>
      </c>
      <c r="Q948" s="350" t="str">
        <f t="shared" ca="1" si="29"/>
        <v>OK</v>
      </c>
    </row>
    <row r="949" spans="1:17">
      <c r="A949" s="366" t="s">
        <v>2905</v>
      </c>
      <c r="B949" s="366" t="s">
        <v>231</v>
      </c>
      <c r="C949" s="348" t="str">
        <f>DATA_PROPERTY_MASTER!$A$7</f>
        <v>BLD_BT</v>
      </c>
      <c r="D949" s="380">
        <f>'00_PORTFOLIO ROLLUP'!I$12</f>
        <v>2029</v>
      </c>
      <c r="E949" s="366" t="s">
        <v>1721</v>
      </c>
      <c r="F949" s="366" t="s">
        <v>31</v>
      </c>
      <c r="G949" s="348" t="str">
        <f>"'"&amp;$C949&amp;"'!$E$61:$Y$61"</f>
        <v>'BLD_BT'!$E$61:$Y$61</v>
      </c>
      <c r="H949" s="381">
        <f ca="1">IF(IFERROR(INDEX(DATA_PROPERTY_MASTER!$E$5:$E$21,MATCH($C949,DATA_PROPERTY_MASTER!$A$5:$A$21,0))="Yes",FALSE),IFERROR(INDEX(INDIRECT("'"&amp;$C949&amp;"'!$E$61:$Y$61"),1,MATCH($D949,INDIRECT("'"&amp;$C949&amp;"'!$E$12:$Y$12"),0)),0),0)</f>
        <v>0</v>
      </c>
      <c r="I949" s="366" t="s">
        <v>1690</v>
      </c>
      <c r="J949" s="348" t="str">
        <f t="shared" ca="1" si="28"/>
        <v>OK</v>
      </c>
      <c r="K949" s="366" t="s">
        <v>1723</v>
      </c>
      <c r="L949" s="366" t="s">
        <v>2252</v>
      </c>
      <c r="M949" s="350" t="str">
        <f>IF($B949="Portfolio","Portfolio",IFERROR(INDEX(DATA_ASSET_CLASSIFICATION!$B$8:$B$24,MATCH($C949,DATA_ASSET_CLASSIFICATION!$A$8:$A$24,0)),"Review"))</f>
        <v>Beatrice Terrace</v>
      </c>
      <c r="N949" s="350" t="str">
        <f ca="1">IF($B949="Portfolio","Portfolio",IFERROR(INDEX(DATA_ASSET_CLASSIFICATION!$U$8:$U$24,MATCH($C949,DATA_ASSET_CLASSIFICATION!$A$8:$A$24,0)),"Review"))</f>
        <v>Stable</v>
      </c>
      <c r="O949" s="350" t="str">
        <f ca="1">IF($B949="Portfolio","Portfolio",IFERROR(INDEX(DATA_ASSET_CLASSIFICATION!$AB$8:$AB$13,MATCH($N949,DATA_ASSET_CLASSIFICATION!$AA$8:$AA$13,0)),"Review"))</f>
        <v>Bucket 2 · Legacy</v>
      </c>
      <c r="P949" s="350" t="str">
        <f>IF($B949="Portfolio","Portfolio",IFERROR(INDEX(DATA_ASSET_CLASSIFICATION!$C$8:$C$24,MATCH($C949,DATA_ASSET_CLASSIFICATION!$A$8:$A$24,0)),"Review"))</f>
        <v>Yes</v>
      </c>
      <c r="Q949" s="350" t="str">
        <f t="shared" ca="1" si="29"/>
        <v>OK</v>
      </c>
    </row>
    <row r="950" spans="1:17">
      <c r="A950" s="366" t="s">
        <v>2906</v>
      </c>
      <c r="B950" s="366" t="s">
        <v>231</v>
      </c>
      <c r="C950" s="348" t="str">
        <f>DATA_PROPERTY_MASTER!$A$7</f>
        <v>BLD_BT</v>
      </c>
      <c r="D950" s="380">
        <f>'00_PORTFOLIO ROLLUP'!I$12</f>
        <v>2029</v>
      </c>
      <c r="E950" s="366" t="s">
        <v>1721</v>
      </c>
      <c r="F950" s="366" t="s">
        <v>33</v>
      </c>
      <c r="G950" s="348" t="str">
        <f>"'"&amp;$C950&amp;"'!$E$62:$Y$62"</f>
        <v>'BLD_BT'!$E$62:$Y$62</v>
      </c>
      <c r="H950" s="381">
        <f ca="1">IF(IFERROR(INDEX(DATA_PROPERTY_MASTER!$E$5:$E$21,MATCH($C950,DATA_PROPERTY_MASTER!$A$5:$A$21,0))="Yes",FALSE),IFERROR(INDEX(INDIRECT("'"&amp;$C950&amp;"'!$E$62:$Y$62"),1,MATCH($D950,INDIRECT("'"&amp;$C950&amp;"'!$E$12:$Y$12"),0)),0),0)</f>
        <v>0</v>
      </c>
      <c r="I950" s="366" t="s">
        <v>1685</v>
      </c>
      <c r="J950" s="348" t="str">
        <f t="shared" ca="1" si="28"/>
        <v>OK</v>
      </c>
      <c r="K950" s="366" t="s">
        <v>1727</v>
      </c>
      <c r="L950" s="366" t="s">
        <v>2254</v>
      </c>
      <c r="M950" s="350" t="str">
        <f>IF($B950="Portfolio","Portfolio",IFERROR(INDEX(DATA_ASSET_CLASSIFICATION!$B$8:$B$24,MATCH($C950,DATA_ASSET_CLASSIFICATION!$A$8:$A$24,0)),"Review"))</f>
        <v>Beatrice Terrace</v>
      </c>
      <c r="N950" s="350" t="str">
        <f ca="1">IF($B950="Portfolio","Portfolio",IFERROR(INDEX(DATA_ASSET_CLASSIFICATION!$U$8:$U$24,MATCH($C950,DATA_ASSET_CLASSIFICATION!$A$8:$A$24,0)),"Review"))</f>
        <v>Stable</v>
      </c>
      <c r="O950" s="350" t="str">
        <f ca="1">IF($B950="Portfolio","Portfolio",IFERROR(INDEX(DATA_ASSET_CLASSIFICATION!$AB$8:$AB$13,MATCH($N950,DATA_ASSET_CLASSIFICATION!$AA$8:$AA$13,0)),"Review"))</f>
        <v>Bucket 2 · Legacy</v>
      </c>
      <c r="P950" s="350" t="str">
        <f>IF($B950="Portfolio","Portfolio",IFERROR(INDEX(DATA_ASSET_CLASSIFICATION!$C$8:$C$24,MATCH($C950,DATA_ASSET_CLASSIFICATION!$A$8:$A$24,0)),"Review"))</f>
        <v>Yes</v>
      </c>
      <c r="Q950" s="350" t="str">
        <f t="shared" ca="1" si="29"/>
        <v>OK</v>
      </c>
    </row>
    <row r="951" spans="1:17">
      <c r="A951" s="366" t="s">
        <v>2907</v>
      </c>
      <c r="B951" s="366" t="s">
        <v>231</v>
      </c>
      <c r="C951" s="348" t="str">
        <f>DATA_PROPERTY_MASTER!$A$7</f>
        <v>BLD_BT</v>
      </c>
      <c r="D951" s="380">
        <f>'00_PORTFOLIO ROLLUP'!I$12</f>
        <v>2029</v>
      </c>
      <c r="E951" s="366" t="s">
        <v>1721</v>
      </c>
      <c r="F951" s="366" t="s">
        <v>35</v>
      </c>
      <c r="G951" s="348" t="str">
        <f>"'"&amp;$C951&amp;"'!$E$63:$Y$63"</f>
        <v>'BLD_BT'!$E$63:$Y$63</v>
      </c>
      <c r="H951" s="381">
        <f ca="1">IF(IFERROR(INDEX(DATA_PROPERTY_MASTER!$E$5:$E$21,MATCH($C951,DATA_PROPERTY_MASTER!$A$5:$A$21,0))="Yes",FALSE),IFERROR(INDEX(INDIRECT("'"&amp;$C951&amp;"'!$E$63:$Y$63"),1,MATCH($D951,INDIRECT("'"&amp;$C951&amp;"'!$E$12:$Y$12"),0)),0),0)</f>
        <v>0</v>
      </c>
      <c r="I951" s="366" t="s">
        <v>1731</v>
      </c>
      <c r="J951" s="348" t="str">
        <f t="shared" ca="1" si="28"/>
        <v>OK</v>
      </c>
      <c r="K951" s="366" t="s">
        <v>1732</v>
      </c>
      <c r="L951" s="366" t="s">
        <v>2256</v>
      </c>
      <c r="M951" s="350" t="str">
        <f>IF($B951="Portfolio","Portfolio",IFERROR(INDEX(DATA_ASSET_CLASSIFICATION!$B$8:$B$24,MATCH($C951,DATA_ASSET_CLASSIFICATION!$A$8:$A$24,0)),"Review"))</f>
        <v>Beatrice Terrace</v>
      </c>
      <c r="N951" s="350" t="str">
        <f ca="1">IF($B951="Portfolio","Portfolio",IFERROR(INDEX(DATA_ASSET_CLASSIFICATION!$U$8:$U$24,MATCH($C951,DATA_ASSET_CLASSIFICATION!$A$8:$A$24,0)),"Review"))</f>
        <v>Stable</v>
      </c>
      <c r="O951" s="350" t="str">
        <f ca="1">IF($B951="Portfolio","Portfolio",IFERROR(INDEX(DATA_ASSET_CLASSIFICATION!$AB$8:$AB$13,MATCH($N951,DATA_ASSET_CLASSIFICATION!$AA$8:$AA$13,0)),"Review"))</f>
        <v>Bucket 2 · Legacy</v>
      </c>
      <c r="P951" s="350" t="str">
        <f>IF($B951="Portfolio","Portfolio",IFERROR(INDEX(DATA_ASSET_CLASSIFICATION!$C$8:$C$24,MATCH($C951,DATA_ASSET_CLASSIFICATION!$A$8:$A$24,0)),"Review"))</f>
        <v>Yes</v>
      </c>
      <c r="Q951" s="350" t="str">
        <f t="shared" ca="1" si="29"/>
        <v>OK</v>
      </c>
    </row>
    <row r="952" spans="1:17">
      <c r="A952" s="366" t="s">
        <v>2908</v>
      </c>
      <c r="B952" s="366" t="s">
        <v>231</v>
      </c>
      <c r="C952" s="348" t="str">
        <f>DATA_PROPERTY_MASTER!$A$7</f>
        <v>BLD_BT</v>
      </c>
      <c r="D952" s="380">
        <f>'00_PORTFOLIO ROLLUP'!I$12</f>
        <v>2029</v>
      </c>
      <c r="E952" s="366" t="s">
        <v>1721</v>
      </c>
      <c r="F952" s="366" t="s">
        <v>37</v>
      </c>
      <c r="G952" s="348" t="str">
        <f>"'"&amp;$C952&amp;"'!$E$63:$Y$63"</f>
        <v>'BLD_BT'!$E$63:$Y$63</v>
      </c>
      <c r="H952" s="381">
        <f ca="1">IF(IFERROR(INDEX(DATA_PROPERTY_MASTER!$E$5:$E$21,MATCH($C952,DATA_PROPERTY_MASTER!$A$5:$A$21,0))="Yes",FALSE),MAX(IFERROR(INDEX(INDIRECT("'"&amp;$C952&amp;"'!$E$63:$Y$63"),1,MATCH($D952,INDIRECT("'"&amp;$C952&amp;"'!$E$12:$Y$12"),0)),0),0),0)</f>
        <v>0</v>
      </c>
      <c r="I952" s="366" t="s">
        <v>1685</v>
      </c>
      <c r="J952" s="348" t="str">
        <f t="shared" ca="1" si="28"/>
        <v>OK</v>
      </c>
      <c r="K952" s="366" t="s">
        <v>1735</v>
      </c>
      <c r="L952" s="366" t="s">
        <v>2258</v>
      </c>
      <c r="M952" s="350" t="str">
        <f>IF($B952="Portfolio","Portfolio",IFERROR(INDEX(DATA_ASSET_CLASSIFICATION!$B$8:$B$24,MATCH($C952,DATA_ASSET_CLASSIFICATION!$A$8:$A$24,0)),"Review"))</f>
        <v>Beatrice Terrace</v>
      </c>
      <c r="N952" s="350" t="str">
        <f ca="1">IF($B952="Portfolio","Portfolio",IFERROR(INDEX(DATA_ASSET_CLASSIFICATION!$U$8:$U$24,MATCH($C952,DATA_ASSET_CLASSIFICATION!$A$8:$A$24,0)),"Review"))</f>
        <v>Stable</v>
      </c>
      <c r="O952" s="350" t="str">
        <f ca="1">IF($B952="Portfolio","Portfolio",IFERROR(INDEX(DATA_ASSET_CLASSIFICATION!$AB$8:$AB$13,MATCH($N952,DATA_ASSET_CLASSIFICATION!$AA$8:$AA$13,0)),"Review"))</f>
        <v>Bucket 2 · Legacy</v>
      </c>
      <c r="P952" s="350" t="str">
        <f>IF($B952="Portfolio","Portfolio",IFERROR(INDEX(DATA_ASSET_CLASSIFICATION!$C$8:$C$24,MATCH($C952,DATA_ASSET_CLASSIFICATION!$A$8:$A$24,0)),"Review"))</f>
        <v>Yes</v>
      </c>
      <c r="Q952" s="350" t="str">
        <f t="shared" ca="1" si="29"/>
        <v>OK</v>
      </c>
    </row>
    <row r="953" spans="1:17">
      <c r="A953" s="366" t="s">
        <v>2909</v>
      </c>
      <c r="B953" s="366" t="s">
        <v>231</v>
      </c>
      <c r="C953" s="348" t="str">
        <f>DATA_PROPERTY_MASTER!$A$7</f>
        <v>BLD_BT</v>
      </c>
      <c r="D953" s="380">
        <f>'00_PORTFOLIO ROLLUP'!I$12</f>
        <v>2029</v>
      </c>
      <c r="E953" s="366" t="s">
        <v>1721</v>
      </c>
      <c r="F953" s="366" t="s">
        <v>39</v>
      </c>
      <c r="G953" s="348" t="str">
        <f>"'"&amp;$C953&amp;"'!$E$63:$Y$63"</f>
        <v>'BLD_BT'!$E$63:$Y$63</v>
      </c>
      <c r="H953" s="381">
        <f ca="1">IF(IFERROR(INDEX(DATA_PROPERTY_MASTER!$E$5:$E$21,MATCH($C953,DATA_PROPERTY_MASTER!$A$5:$A$21,0))="Yes",FALSE),MAX(-IFERROR(INDEX(INDIRECT("'"&amp;$C953&amp;"'!$E$63:$Y$63"),1,MATCH($D953,INDIRECT("'"&amp;$C953&amp;"'!$E$12:$Y$12"),0)),0),0),0)</f>
        <v>0</v>
      </c>
      <c r="I953" s="366" t="s">
        <v>1690</v>
      </c>
      <c r="J953" s="348" t="str">
        <f t="shared" ca="1" si="28"/>
        <v>OK</v>
      </c>
      <c r="K953" s="366" t="s">
        <v>1738</v>
      </c>
      <c r="L953" s="366" t="s">
        <v>2260</v>
      </c>
      <c r="M953" s="350" t="str">
        <f>IF($B953="Portfolio","Portfolio",IFERROR(INDEX(DATA_ASSET_CLASSIFICATION!$B$8:$B$24,MATCH($C953,DATA_ASSET_CLASSIFICATION!$A$8:$A$24,0)),"Review"))</f>
        <v>Beatrice Terrace</v>
      </c>
      <c r="N953" s="350" t="str">
        <f ca="1">IF($B953="Portfolio","Portfolio",IFERROR(INDEX(DATA_ASSET_CLASSIFICATION!$U$8:$U$24,MATCH($C953,DATA_ASSET_CLASSIFICATION!$A$8:$A$24,0)),"Review"))</f>
        <v>Stable</v>
      </c>
      <c r="O953" s="350" t="str">
        <f ca="1">IF($B953="Portfolio","Portfolio",IFERROR(INDEX(DATA_ASSET_CLASSIFICATION!$AB$8:$AB$13,MATCH($N953,DATA_ASSET_CLASSIFICATION!$AA$8:$AA$13,0)),"Review"))</f>
        <v>Bucket 2 · Legacy</v>
      </c>
      <c r="P953" s="350" t="str">
        <f>IF($B953="Portfolio","Portfolio",IFERROR(INDEX(DATA_ASSET_CLASSIFICATION!$C$8:$C$24,MATCH($C953,DATA_ASSET_CLASSIFICATION!$A$8:$A$24,0)),"Review"))</f>
        <v>Yes</v>
      </c>
      <c r="Q953" s="350" t="str">
        <f t="shared" ca="1" si="29"/>
        <v>OK</v>
      </c>
    </row>
    <row r="954" spans="1:17">
      <c r="A954" s="366" t="s">
        <v>2910</v>
      </c>
      <c r="B954" s="366" t="s">
        <v>231</v>
      </c>
      <c r="C954" s="348" t="str">
        <f>DATA_PROPERTY_MASTER!$A$7</f>
        <v>BLD_BT</v>
      </c>
      <c r="D954" s="380">
        <f>'00_PORTFOLIO ROLLUP'!I$12</f>
        <v>2029</v>
      </c>
      <c r="E954" s="366" t="s">
        <v>1741</v>
      </c>
      <c r="F954" s="366" t="s">
        <v>41</v>
      </c>
      <c r="G954" s="348" t="str">
        <f>"'"&amp;$C954&amp;"'!rows 56 + positive row 63"</f>
        <v>'BLD_BT'!rows 56 + positive row 63</v>
      </c>
      <c r="H954" s="381">
        <f ca="1">IF(IFERROR(INDEX(DATA_PROPERTY_MASTER!$E$5:$E$21,MATCH($C954,DATA_PROPERTY_MASTER!$A$5:$A$21,0))="Yes",FALSE),IFERROR(INDEX(INDIRECT("'"&amp;$C954&amp;"'!$E$56:$Y$56"),1,MATCH($D954,INDIRECT("'"&amp;$C954&amp;"'!$E$12:$Y$12"),0)),0)+MAX(IFERROR(INDEX(INDIRECT("'"&amp;$C954&amp;"'!$E$63:$Y$63"),1,MATCH($D954,INDIRECT("'"&amp;$C954&amp;"'!$E$12:$Y$12"),0)),0),0),0)</f>
        <v>84714.019741563388</v>
      </c>
      <c r="I954" s="366" t="s">
        <v>1685</v>
      </c>
      <c r="J954" s="348" t="str">
        <f t="shared" ca="1" si="28"/>
        <v>OK</v>
      </c>
      <c r="K954" s="366" t="s">
        <v>1742</v>
      </c>
      <c r="L954" s="366" t="s">
        <v>2262</v>
      </c>
      <c r="M954" s="350" t="str">
        <f>IF($B954="Portfolio","Portfolio",IFERROR(INDEX(DATA_ASSET_CLASSIFICATION!$B$8:$B$24,MATCH($C954,DATA_ASSET_CLASSIFICATION!$A$8:$A$24,0)),"Review"))</f>
        <v>Beatrice Terrace</v>
      </c>
      <c r="N954" s="350" t="str">
        <f ca="1">IF($B954="Portfolio","Portfolio",IFERROR(INDEX(DATA_ASSET_CLASSIFICATION!$U$8:$U$24,MATCH($C954,DATA_ASSET_CLASSIFICATION!$A$8:$A$24,0)),"Review"))</f>
        <v>Stable</v>
      </c>
      <c r="O954" s="350" t="str">
        <f ca="1">IF($B954="Portfolio","Portfolio",IFERROR(INDEX(DATA_ASSET_CLASSIFICATION!$AB$8:$AB$13,MATCH($N954,DATA_ASSET_CLASSIFICATION!$AA$8:$AA$13,0)),"Review"))</f>
        <v>Bucket 2 · Legacy</v>
      </c>
      <c r="P954" s="350" t="str">
        <f>IF($B954="Portfolio","Portfolio",IFERROR(INDEX(DATA_ASSET_CLASSIFICATION!$C$8:$C$24,MATCH($C954,DATA_ASSET_CLASSIFICATION!$A$8:$A$24,0)),"Review"))</f>
        <v>Yes</v>
      </c>
      <c r="Q954" s="350" t="str">
        <f t="shared" ca="1" si="29"/>
        <v>OK</v>
      </c>
    </row>
    <row r="955" spans="1:17">
      <c r="A955" s="366" t="s">
        <v>2911</v>
      </c>
      <c r="B955" s="366" t="s">
        <v>231</v>
      </c>
      <c r="C955" s="348" t="str">
        <f>DATA_PROPERTY_MASTER!$A$7</f>
        <v>BLD_BT</v>
      </c>
      <c r="D955" s="380">
        <f>'00_PORTFOLIO ROLLUP'!I$12</f>
        <v>2029</v>
      </c>
      <c r="E955" s="366" t="s">
        <v>1741</v>
      </c>
      <c r="F955" s="366" t="s">
        <v>43</v>
      </c>
      <c r="G955" s="348" t="str">
        <f>"'"&amp;$C955&amp;"'!$E$68:$Y$68"</f>
        <v>'BLD_BT'!$E$68:$Y$68</v>
      </c>
      <c r="H955" s="381">
        <f ca="1">IF(IFERROR(INDEX(DATA_PROPERTY_MASTER!$E$5:$E$21,MATCH($C955,DATA_PROPERTY_MASTER!$A$5:$A$21,0))="Yes",FALSE),IFERROR(INDEX(INDIRECT("'"&amp;$C955&amp;"'!$E$68:$Y$68"),1,MATCH($D955,INDIRECT("'"&amp;$C955&amp;"'!$E$12:$Y$12"),0)),0),0)</f>
        <v>84714.019741563388</v>
      </c>
      <c r="I955" s="366" t="s">
        <v>1731</v>
      </c>
      <c r="J955" s="348" t="str">
        <f t="shared" ca="1" si="28"/>
        <v>OK</v>
      </c>
      <c r="K955" s="366" t="s">
        <v>1746</v>
      </c>
      <c r="L955" s="366" t="s">
        <v>2264</v>
      </c>
      <c r="M955" s="350" t="str">
        <f>IF($B955="Portfolio","Portfolio",IFERROR(INDEX(DATA_ASSET_CLASSIFICATION!$B$8:$B$24,MATCH($C955,DATA_ASSET_CLASSIFICATION!$A$8:$A$24,0)),"Review"))</f>
        <v>Beatrice Terrace</v>
      </c>
      <c r="N955" s="350" t="str">
        <f ca="1">IF($B955="Portfolio","Portfolio",IFERROR(INDEX(DATA_ASSET_CLASSIFICATION!$U$8:$U$24,MATCH($C955,DATA_ASSET_CLASSIFICATION!$A$8:$A$24,0)),"Review"))</f>
        <v>Stable</v>
      </c>
      <c r="O955" s="350" t="str">
        <f ca="1">IF($B955="Portfolio","Portfolio",IFERROR(INDEX(DATA_ASSET_CLASSIFICATION!$AB$8:$AB$13,MATCH($N955,DATA_ASSET_CLASSIFICATION!$AA$8:$AA$13,0)),"Review"))</f>
        <v>Bucket 2 · Legacy</v>
      </c>
      <c r="P955" s="350" t="str">
        <f>IF($B955="Portfolio","Portfolio",IFERROR(INDEX(DATA_ASSET_CLASSIFICATION!$C$8:$C$24,MATCH($C955,DATA_ASSET_CLASSIFICATION!$A$8:$A$24,0)),"Review"))</f>
        <v>Yes</v>
      </c>
      <c r="Q955" s="350" t="str">
        <f t="shared" ca="1" si="29"/>
        <v>OK</v>
      </c>
    </row>
    <row r="956" spans="1:17">
      <c r="A956" s="366" t="s">
        <v>2912</v>
      </c>
      <c r="B956" s="366" t="s">
        <v>231</v>
      </c>
      <c r="C956" s="348" t="str">
        <f>DATA_PROPERTY_MASTER!$A$7</f>
        <v>BLD_BT</v>
      </c>
      <c r="D956" s="380">
        <f>'00_PORTFOLIO ROLLUP'!I$12</f>
        <v>2029</v>
      </c>
      <c r="E956" s="366" t="s">
        <v>1741</v>
      </c>
      <c r="F956" s="366" t="s">
        <v>1749</v>
      </c>
      <c r="G956" s="348" t="str">
        <f>"'"&amp;$C956&amp;"'!rows 56, 63, 68"</f>
        <v>'BLD_BT'!rows 56, 63, 68</v>
      </c>
      <c r="H956" s="381">
        <f ca="1">IF(IFERROR(INDEX(DATA_PROPERTY_MASTER!$E$5:$E$21,MATCH($C956,DATA_PROPERTY_MASTER!$A$5:$A$21,0))="Yes",FALSE),(IFERROR(INDEX(INDIRECT("'"&amp;$C956&amp;"'!$E$56:$Y$56"),1,MATCH($D956,INDIRECT("'"&amp;$C956&amp;"'!$E$12:$Y$12"),0)),0)+MAX(IFERROR(INDEX(INDIRECT("'"&amp;$C956&amp;"'!$E$63:$Y$63"),1,MATCH($D956,INDIRECT("'"&amp;$C956&amp;"'!$E$12:$Y$12"),0)),0),0))-(IFERROR(INDEX(INDIRECT("'"&amp;$C956&amp;"'!$E$68:$Y$68"),1,MATCH($D956,INDIRECT("'"&amp;$C956&amp;"'!$E$12:$Y$12"),0)),0)),0)</f>
        <v>0</v>
      </c>
      <c r="I956" s="366" t="s">
        <v>1750</v>
      </c>
      <c r="J956" s="348" t="str">
        <f t="shared" ca="1" si="28"/>
        <v>OK</v>
      </c>
      <c r="K956" s="366" t="s">
        <v>1751</v>
      </c>
      <c r="L956" s="366" t="s">
        <v>2266</v>
      </c>
      <c r="M956" s="350" t="str">
        <f>IF($B956="Portfolio","Portfolio",IFERROR(INDEX(DATA_ASSET_CLASSIFICATION!$B$8:$B$24,MATCH($C956,DATA_ASSET_CLASSIFICATION!$A$8:$A$24,0)),"Review"))</f>
        <v>Beatrice Terrace</v>
      </c>
      <c r="N956" s="350" t="str">
        <f ca="1">IF($B956="Portfolio","Portfolio",IFERROR(INDEX(DATA_ASSET_CLASSIFICATION!$U$8:$U$24,MATCH($C956,DATA_ASSET_CLASSIFICATION!$A$8:$A$24,0)),"Review"))</f>
        <v>Stable</v>
      </c>
      <c r="O956" s="350" t="str">
        <f ca="1">IF($B956="Portfolio","Portfolio",IFERROR(INDEX(DATA_ASSET_CLASSIFICATION!$AB$8:$AB$13,MATCH($N956,DATA_ASSET_CLASSIFICATION!$AA$8:$AA$13,0)),"Review"))</f>
        <v>Bucket 2 · Legacy</v>
      </c>
      <c r="P956" s="350" t="str">
        <f>IF($B956="Portfolio","Portfolio",IFERROR(INDEX(DATA_ASSET_CLASSIFICATION!$C$8:$C$24,MATCH($C956,DATA_ASSET_CLASSIFICATION!$A$8:$A$24,0)),"Review"))</f>
        <v>Yes</v>
      </c>
      <c r="Q956" s="350" t="str">
        <f t="shared" ca="1" si="29"/>
        <v>OK</v>
      </c>
    </row>
    <row r="957" spans="1:17">
      <c r="A957" s="366" t="s">
        <v>2913</v>
      </c>
      <c r="B957" s="366" t="s">
        <v>231</v>
      </c>
      <c r="C957" s="348" t="str">
        <f>DATA_PROPERTY_MASTER!$A$7</f>
        <v>BLD_BT</v>
      </c>
      <c r="D957" s="380">
        <f>'00_PORTFOLIO ROLLUP'!J$12</f>
        <v>2030</v>
      </c>
      <c r="E957" s="366" t="s">
        <v>1683</v>
      </c>
      <c r="F957" s="366" t="s">
        <v>341</v>
      </c>
      <c r="G957" s="348" t="str">
        <f>"'"&amp;$C957&amp;"'!$E$24:$Y$24"</f>
        <v>'BLD_BT'!$E$24:$Y$24</v>
      </c>
      <c r="H957" s="381">
        <f ca="1">IF(IFERROR(INDEX(DATA_PROPERTY_MASTER!$E$5:$E$21,MATCH($C957,DATA_PROPERTY_MASTER!$A$5:$A$21,0))="Yes",FALSE),IFERROR(INDEX(INDIRECT("'"&amp;$C957&amp;"'!$E$24:$Y$24"),1,MATCH($D957,INDIRECT("'"&amp;$C957&amp;"'!$E$12:$Y$12"),0)),0),0)</f>
        <v>470180.82503359462</v>
      </c>
      <c r="I957" s="366" t="s">
        <v>1685</v>
      </c>
      <c r="J957" s="348" t="str">
        <f t="shared" ca="1" si="28"/>
        <v>OK</v>
      </c>
      <c r="K957" s="366" t="s">
        <v>1686</v>
      </c>
      <c r="L957" s="366" t="s">
        <v>2234</v>
      </c>
      <c r="M957" s="350" t="str">
        <f>IF($B957="Portfolio","Portfolio",IFERROR(INDEX(DATA_ASSET_CLASSIFICATION!$B$8:$B$24,MATCH($C957,DATA_ASSET_CLASSIFICATION!$A$8:$A$24,0)),"Review"))</f>
        <v>Beatrice Terrace</v>
      </c>
      <c r="N957" s="350" t="str">
        <f ca="1">IF($B957="Portfolio","Portfolio",IFERROR(INDEX(DATA_ASSET_CLASSIFICATION!$U$8:$U$24,MATCH($C957,DATA_ASSET_CLASSIFICATION!$A$8:$A$24,0)),"Review"))</f>
        <v>Stable</v>
      </c>
      <c r="O957" s="350" t="str">
        <f ca="1">IF($B957="Portfolio","Portfolio",IFERROR(INDEX(DATA_ASSET_CLASSIFICATION!$AB$8:$AB$13,MATCH($N957,DATA_ASSET_CLASSIFICATION!$AA$8:$AA$13,0)),"Review"))</f>
        <v>Bucket 2 · Legacy</v>
      </c>
      <c r="P957" s="350" t="str">
        <f>IF($B957="Portfolio","Portfolio",IFERROR(INDEX(DATA_ASSET_CLASSIFICATION!$C$8:$C$24,MATCH($C957,DATA_ASSET_CLASSIFICATION!$A$8:$A$24,0)),"Review"))</f>
        <v>Yes</v>
      </c>
      <c r="Q957" s="350" t="str">
        <f t="shared" ca="1" si="29"/>
        <v>OK</v>
      </c>
    </row>
    <row r="958" spans="1:17">
      <c r="A958" s="366" t="s">
        <v>2914</v>
      </c>
      <c r="B958" s="366" t="s">
        <v>231</v>
      </c>
      <c r="C958" s="348" t="str">
        <f>DATA_PROPERTY_MASTER!$A$7</f>
        <v>BLD_BT</v>
      </c>
      <c r="D958" s="380">
        <f>'00_PORTFOLIO ROLLUP'!J$12</f>
        <v>2030</v>
      </c>
      <c r="E958" s="366" t="s">
        <v>1683</v>
      </c>
      <c r="F958" s="366" t="s">
        <v>355</v>
      </c>
      <c r="G958" s="348" t="str">
        <f>"'"&amp;$C958&amp;"'!$E$39:$Y$39"</f>
        <v>'BLD_BT'!$E$39:$Y$39</v>
      </c>
      <c r="H958" s="381">
        <f ca="1">IF(IFERROR(INDEX(DATA_PROPERTY_MASTER!$E$5:$E$21,MATCH($C958,DATA_PROPERTY_MASTER!$A$5:$A$21,0))="Yes",FALSE),IFERROR(INDEX(INDIRECT("'"&amp;$C958&amp;"'!$E$39:$Y$39"),1,MATCH($D958,INDIRECT("'"&amp;$C958&amp;"'!$E$12:$Y$12"),0)),0),0)</f>
        <v>146412.01027481604</v>
      </c>
      <c r="I958" s="366" t="s">
        <v>1690</v>
      </c>
      <c r="J958" s="348" t="str">
        <f t="shared" ca="1" si="28"/>
        <v>OK</v>
      </c>
      <c r="K958" s="366" t="s">
        <v>1686</v>
      </c>
      <c r="L958" s="366" t="s">
        <v>2236</v>
      </c>
      <c r="M958" s="350" t="str">
        <f>IF($B958="Portfolio","Portfolio",IFERROR(INDEX(DATA_ASSET_CLASSIFICATION!$B$8:$B$24,MATCH($C958,DATA_ASSET_CLASSIFICATION!$A$8:$A$24,0)),"Review"))</f>
        <v>Beatrice Terrace</v>
      </c>
      <c r="N958" s="350" t="str">
        <f ca="1">IF($B958="Portfolio","Portfolio",IFERROR(INDEX(DATA_ASSET_CLASSIFICATION!$U$8:$U$24,MATCH($C958,DATA_ASSET_CLASSIFICATION!$A$8:$A$24,0)),"Review"))</f>
        <v>Stable</v>
      </c>
      <c r="O958" s="350" t="str">
        <f ca="1">IF($B958="Portfolio","Portfolio",IFERROR(INDEX(DATA_ASSET_CLASSIFICATION!$AB$8:$AB$13,MATCH($N958,DATA_ASSET_CLASSIFICATION!$AA$8:$AA$13,0)),"Review"))</f>
        <v>Bucket 2 · Legacy</v>
      </c>
      <c r="P958" s="350" t="str">
        <f>IF($B958="Portfolio","Portfolio",IFERROR(INDEX(DATA_ASSET_CLASSIFICATION!$C$8:$C$24,MATCH($C958,DATA_ASSET_CLASSIFICATION!$A$8:$A$24,0)),"Review"))</f>
        <v>Yes</v>
      </c>
      <c r="Q958" s="350" t="str">
        <f t="shared" ca="1" si="29"/>
        <v>OK</v>
      </c>
    </row>
    <row r="959" spans="1:17">
      <c r="A959" s="366" t="s">
        <v>2915</v>
      </c>
      <c r="B959" s="366" t="s">
        <v>231</v>
      </c>
      <c r="C959" s="348" t="str">
        <f>DATA_PROPERTY_MASTER!$A$7</f>
        <v>BLD_BT</v>
      </c>
      <c r="D959" s="380">
        <f>'00_PORTFOLIO ROLLUP'!J$12</f>
        <v>2030</v>
      </c>
      <c r="E959" s="366" t="s">
        <v>1683</v>
      </c>
      <c r="F959" s="366" t="s">
        <v>19</v>
      </c>
      <c r="G959" s="348" t="str">
        <f>"'"&amp;$C959&amp;"'!$E$41:$Y$41"</f>
        <v>'BLD_BT'!$E$41:$Y$41</v>
      </c>
      <c r="H959" s="381">
        <f ca="1">IF(IFERROR(INDEX(DATA_PROPERTY_MASTER!$E$5:$E$21,MATCH($C959,DATA_PROPERTY_MASTER!$A$5:$A$21,0))="Yes",FALSE),IFERROR(INDEX(INDIRECT("'"&amp;$C959&amp;"'!$E$41:$Y$41"),1,MATCH($D959,INDIRECT("'"&amp;$C959&amp;"'!$E$12:$Y$12"),0)),0),0)</f>
        <v>323768.81475877855</v>
      </c>
      <c r="I959" s="366" t="s">
        <v>1685</v>
      </c>
      <c r="J959" s="348" t="str">
        <f t="shared" ca="1" si="28"/>
        <v>OK</v>
      </c>
      <c r="K959" s="366" t="s">
        <v>1694</v>
      </c>
      <c r="L959" s="366" t="s">
        <v>2238</v>
      </c>
      <c r="M959" s="350" t="str">
        <f>IF($B959="Portfolio","Portfolio",IFERROR(INDEX(DATA_ASSET_CLASSIFICATION!$B$8:$B$24,MATCH($C959,DATA_ASSET_CLASSIFICATION!$A$8:$A$24,0)),"Review"))</f>
        <v>Beatrice Terrace</v>
      </c>
      <c r="N959" s="350" t="str">
        <f ca="1">IF($B959="Portfolio","Portfolio",IFERROR(INDEX(DATA_ASSET_CLASSIFICATION!$U$8:$U$24,MATCH($C959,DATA_ASSET_CLASSIFICATION!$A$8:$A$24,0)),"Review"))</f>
        <v>Stable</v>
      </c>
      <c r="O959" s="350" t="str">
        <f ca="1">IF($B959="Portfolio","Portfolio",IFERROR(INDEX(DATA_ASSET_CLASSIFICATION!$AB$8:$AB$13,MATCH($N959,DATA_ASSET_CLASSIFICATION!$AA$8:$AA$13,0)),"Review"))</f>
        <v>Bucket 2 · Legacy</v>
      </c>
      <c r="P959" s="350" t="str">
        <f>IF($B959="Portfolio","Portfolio",IFERROR(INDEX(DATA_ASSET_CLASSIFICATION!$C$8:$C$24,MATCH($C959,DATA_ASSET_CLASSIFICATION!$A$8:$A$24,0)),"Review"))</f>
        <v>Yes</v>
      </c>
      <c r="Q959" s="350" t="str">
        <f t="shared" ca="1" si="29"/>
        <v>OK</v>
      </c>
    </row>
    <row r="960" spans="1:17">
      <c r="A960" s="366" t="s">
        <v>2916</v>
      </c>
      <c r="B960" s="366" t="s">
        <v>231</v>
      </c>
      <c r="C960" s="348" t="str">
        <f>DATA_PROPERTY_MASTER!$A$7</f>
        <v>BLD_BT</v>
      </c>
      <c r="D960" s="380">
        <f>'00_PORTFOLIO ROLLUP'!J$12</f>
        <v>2030</v>
      </c>
      <c r="E960" s="366" t="s">
        <v>1683</v>
      </c>
      <c r="F960" s="366" t="s">
        <v>1697</v>
      </c>
      <c r="G960" s="348" t="str">
        <f>"'"&amp;$C960&amp;"'!$E$44:$Y$44"</f>
        <v>'BLD_BT'!$E$44:$Y$44</v>
      </c>
      <c r="H960" s="381">
        <f ca="1">IF(IFERROR(INDEX(DATA_PROPERTY_MASTER!$E$5:$E$21,MATCH($C960,DATA_PROPERTY_MASTER!$A$5:$A$21,0))="Yes",FALSE),IFERROR(INDEX(INDIRECT("'"&amp;$C960&amp;"'!$E$44:$Y$44"),1,MATCH($D960,INDIRECT("'"&amp;$C960&amp;"'!$E$12:$Y$12"),0)),0),0)</f>
        <v>2981.0181686400001</v>
      </c>
      <c r="I960" s="366" t="s">
        <v>1690</v>
      </c>
      <c r="J960" s="348" t="str">
        <f t="shared" ca="1" si="28"/>
        <v>OK</v>
      </c>
      <c r="K960" s="366" t="s">
        <v>1699</v>
      </c>
      <c r="L960" s="366" t="s">
        <v>2240</v>
      </c>
      <c r="M960" s="350" t="str">
        <f>IF($B960="Portfolio","Portfolio",IFERROR(INDEX(DATA_ASSET_CLASSIFICATION!$B$8:$B$24,MATCH($C960,DATA_ASSET_CLASSIFICATION!$A$8:$A$24,0)),"Review"))</f>
        <v>Beatrice Terrace</v>
      </c>
      <c r="N960" s="350" t="str">
        <f ca="1">IF($B960="Portfolio","Portfolio",IFERROR(INDEX(DATA_ASSET_CLASSIFICATION!$U$8:$U$24,MATCH($C960,DATA_ASSET_CLASSIFICATION!$A$8:$A$24,0)),"Review"))</f>
        <v>Stable</v>
      </c>
      <c r="O960" s="350" t="str">
        <f ca="1">IF($B960="Portfolio","Portfolio",IFERROR(INDEX(DATA_ASSET_CLASSIFICATION!$AB$8:$AB$13,MATCH($N960,DATA_ASSET_CLASSIFICATION!$AA$8:$AA$13,0)),"Review"))</f>
        <v>Bucket 2 · Legacy</v>
      </c>
      <c r="P960" s="350" t="str">
        <f>IF($B960="Portfolio","Portfolio",IFERROR(INDEX(DATA_ASSET_CLASSIFICATION!$C$8:$C$24,MATCH($C960,DATA_ASSET_CLASSIFICATION!$A$8:$A$24,0)),"Review"))</f>
        <v>Yes</v>
      </c>
      <c r="Q960" s="350" t="str">
        <f t="shared" ca="1" si="29"/>
        <v>OK</v>
      </c>
    </row>
    <row r="961" spans="1:17">
      <c r="A961" s="366" t="s">
        <v>2917</v>
      </c>
      <c r="B961" s="366" t="s">
        <v>231</v>
      </c>
      <c r="C961" s="348" t="str">
        <f>DATA_PROPERTY_MASTER!$A$7</f>
        <v>BLD_BT</v>
      </c>
      <c r="D961" s="380">
        <f>'00_PORTFOLIO ROLLUP'!J$12</f>
        <v>2030</v>
      </c>
      <c r="E961" s="366" t="s">
        <v>1683</v>
      </c>
      <c r="F961" s="366" t="s">
        <v>21</v>
      </c>
      <c r="G961" s="348" t="str">
        <f>"'"&amp;$C961&amp;"'!$E$45:$Y$45"</f>
        <v>'BLD_BT'!$E$45:$Y$45</v>
      </c>
      <c r="H961" s="381">
        <f ca="1">IF(IFERROR(INDEX(DATA_PROPERTY_MASTER!$E$5:$E$21,MATCH($C961,DATA_PROPERTY_MASTER!$A$5:$A$21,0))="Yes",FALSE),IFERROR(INDEX(INDIRECT("'"&amp;$C961&amp;"'!$E$45:$Y$45"),1,MATCH($D961,INDIRECT("'"&amp;$C961&amp;"'!$E$12:$Y$12"),0)),0),0)</f>
        <v>320787.79659013858</v>
      </c>
      <c r="I961" s="366" t="s">
        <v>1685</v>
      </c>
      <c r="J961" s="348" t="str">
        <f t="shared" ca="1" si="28"/>
        <v>OK</v>
      </c>
      <c r="K961" s="366" t="s">
        <v>1694</v>
      </c>
      <c r="L961" s="366" t="s">
        <v>2242</v>
      </c>
      <c r="M961" s="350" t="str">
        <f>IF($B961="Portfolio","Portfolio",IFERROR(INDEX(DATA_ASSET_CLASSIFICATION!$B$8:$B$24,MATCH($C961,DATA_ASSET_CLASSIFICATION!$A$8:$A$24,0)),"Review"))</f>
        <v>Beatrice Terrace</v>
      </c>
      <c r="N961" s="350" t="str">
        <f ca="1">IF($B961="Portfolio","Portfolio",IFERROR(INDEX(DATA_ASSET_CLASSIFICATION!$U$8:$U$24,MATCH($C961,DATA_ASSET_CLASSIFICATION!$A$8:$A$24,0)),"Review"))</f>
        <v>Stable</v>
      </c>
      <c r="O961" s="350" t="str">
        <f ca="1">IF($B961="Portfolio","Portfolio",IFERROR(INDEX(DATA_ASSET_CLASSIFICATION!$AB$8:$AB$13,MATCH($N961,DATA_ASSET_CLASSIFICATION!$AA$8:$AA$13,0)),"Review"))</f>
        <v>Bucket 2 · Legacy</v>
      </c>
      <c r="P961" s="350" t="str">
        <f>IF($B961="Portfolio","Portfolio",IFERROR(INDEX(DATA_ASSET_CLASSIFICATION!$C$8:$C$24,MATCH($C961,DATA_ASSET_CLASSIFICATION!$A$8:$A$24,0)),"Review"))</f>
        <v>Yes</v>
      </c>
      <c r="Q961" s="350" t="str">
        <f t="shared" ca="1" si="29"/>
        <v>OK</v>
      </c>
    </row>
    <row r="962" spans="1:17">
      <c r="A962" s="366" t="s">
        <v>2918</v>
      </c>
      <c r="B962" s="366" t="s">
        <v>231</v>
      </c>
      <c r="C962" s="348" t="str">
        <f>DATA_PROPERTY_MASTER!$A$7</f>
        <v>BLD_BT</v>
      </c>
      <c r="D962" s="380">
        <f>'00_PORTFOLIO ROLLUP'!J$12</f>
        <v>2030</v>
      </c>
      <c r="E962" s="366" t="s">
        <v>23</v>
      </c>
      <c r="F962" s="366" t="s">
        <v>23</v>
      </c>
      <c r="G962" s="348" t="str">
        <f>"'"&amp;$C962&amp;"'!$E$48:$Y$48"</f>
        <v>'BLD_BT'!$E$48:$Y$48</v>
      </c>
      <c r="H962" s="381">
        <f ca="1">IF(IFERROR(INDEX(DATA_PROPERTY_MASTER!$E$5:$E$21,MATCH($C962,DATA_PROPERTY_MASTER!$A$5:$A$21,0))="Yes",FALSE),IFERROR(INDEX(INDIRECT("'"&amp;$C962&amp;"'!$E$48:$Y$48"),1,MATCH($D962,INDIRECT("'"&amp;$C962&amp;"'!$E$12:$Y$12"),0)),0),0)</f>
        <v>110563.68</v>
      </c>
      <c r="I962" s="366" t="s">
        <v>1690</v>
      </c>
      <c r="J962" s="348" t="str">
        <f t="shared" ca="1" si="28"/>
        <v>OK</v>
      </c>
      <c r="K962" s="366" t="s">
        <v>1706</v>
      </c>
      <c r="L962" s="366" t="s">
        <v>2244</v>
      </c>
      <c r="M962" s="350" t="str">
        <f>IF($B962="Portfolio","Portfolio",IFERROR(INDEX(DATA_ASSET_CLASSIFICATION!$B$8:$B$24,MATCH($C962,DATA_ASSET_CLASSIFICATION!$A$8:$A$24,0)),"Review"))</f>
        <v>Beatrice Terrace</v>
      </c>
      <c r="N962" s="350" t="str">
        <f ca="1">IF($B962="Portfolio","Portfolio",IFERROR(INDEX(DATA_ASSET_CLASSIFICATION!$U$8:$U$24,MATCH($C962,DATA_ASSET_CLASSIFICATION!$A$8:$A$24,0)),"Review"))</f>
        <v>Stable</v>
      </c>
      <c r="O962" s="350" t="str">
        <f ca="1">IF($B962="Portfolio","Portfolio",IFERROR(INDEX(DATA_ASSET_CLASSIFICATION!$AB$8:$AB$13,MATCH($N962,DATA_ASSET_CLASSIFICATION!$AA$8:$AA$13,0)),"Review"))</f>
        <v>Bucket 2 · Legacy</v>
      </c>
      <c r="P962" s="350" t="str">
        <f>IF($B962="Portfolio","Portfolio",IFERROR(INDEX(DATA_ASSET_CLASSIFICATION!$C$8:$C$24,MATCH($C962,DATA_ASSET_CLASSIFICATION!$A$8:$A$24,0)),"Review"))</f>
        <v>Yes</v>
      </c>
      <c r="Q962" s="350" t="str">
        <f t="shared" ca="1" si="29"/>
        <v>OK</v>
      </c>
    </row>
    <row r="963" spans="1:17">
      <c r="A963" s="366" t="s">
        <v>2919</v>
      </c>
      <c r="B963" s="366" t="s">
        <v>231</v>
      </c>
      <c r="C963" s="348" t="str">
        <f>DATA_PROPERTY_MASTER!$A$7</f>
        <v>BLD_BT</v>
      </c>
      <c r="D963" s="380">
        <f>'00_PORTFOLIO ROLLUP'!J$12</f>
        <v>2030</v>
      </c>
      <c r="E963" s="366" t="s">
        <v>1683</v>
      </c>
      <c r="F963" s="366" t="s">
        <v>25</v>
      </c>
      <c r="G963" s="348" t="str">
        <f>"'"&amp;$C963&amp;"'!$E$52:$Y$52"</f>
        <v>'BLD_BT'!$E$52:$Y$52</v>
      </c>
      <c r="H963" s="381">
        <f ca="1">IF(IFERROR(INDEX(DATA_PROPERTY_MASTER!$E$5:$E$21,MATCH($C963,DATA_PROPERTY_MASTER!$A$5:$A$21,0))="Yes",FALSE),IFERROR(INDEX(INDIRECT("'"&amp;$C963&amp;"'!$E$52:$Y$52"),1,MATCH($D963,INDIRECT("'"&amp;$C963&amp;"'!$E$12:$Y$12"),0)),0),0)</f>
        <v>213205.13475877856</v>
      </c>
      <c r="I963" s="366" t="s">
        <v>1685</v>
      </c>
      <c r="J963" s="348" t="str">
        <f t="shared" ca="1" si="28"/>
        <v>OK</v>
      </c>
      <c r="K963" s="366" t="s">
        <v>1710</v>
      </c>
      <c r="L963" s="366" t="s">
        <v>2246</v>
      </c>
      <c r="M963" s="350" t="str">
        <f>IF($B963="Portfolio","Portfolio",IFERROR(INDEX(DATA_ASSET_CLASSIFICATION!$B$8:$B$24,MATCH($C963,DATA_ASSET_CLASSIFICATION!$A$8:$A$24,0)),"Review"))</f>
        <v>Beatrice Terrace</v>
      </c>
      <c r="N963" s="350" t="str">
        <f ca="1">IF($B963="Portfolio","Portfolio",IFERROR(INDEX(DATA_ASSET_CLASSIFICATION!$U$8:$U$24,MATCH($C963,DATA_ASSET_CLASSIFICATION!$A$8:$A$24,0)),"Review"))</f>
        <v>Stable</v>
      </c>
      <c r="O963" s="350" t="str">
        <f ca="1">IF($B963="Portfolio","Portfolio",IFERROR(INDEX(DATA_ASSET_CLASSIFICATION!$AB$8:$AB$13,MATCH($N963,DATA_ASSET_CLASSIFICATION!$AA$8:$AA$13,0)),"Review"))</f>
        <v>Bucket 2 · Legacy</v>
      </c>
      <c r="P963" s="350" t="str">
        <f>IF($B963="Portfolio","Portfolio",IFERROR(INDEX(DATA_ASSET_CLASSIFICATION!$C$8:$C$24,MATCH($C963,DATA_ASSET_CLASSIFICATION!$A$8:$A$24,0)),"Review"))</f>
        <v>Yes</v>
      </c>
      <c r="Q963" s="350" t="str">
        <f t="shared" ca="1" si="29"/>
        <v>OK</v>
      </c>
    </row>
    <row r="964" spans="1:17">
      <c r="A964" s="366" t="s">
        <v>2920</v>
      </c>
      <c r="B964" s="366" t="s">
        <v>231</v>
      </c>
      <c r="C964" s="348" t="str">
        <f>DATA_PROPERTY_MASTER!$A$7</f>
        <v>BLD_BT</v>
      </c>
      <c r="D964" s="380">
        <f>'00_PORTFOLIO ROLLUP'!J$12</f>
        <v>2030</v>
      </c>
      <c r="E964" s="366" t="s">
        <v>1683</v>
      </c>
      <c r="F964" s="366" t="s">
        <v>27</v>
      </c>
      <c r="G964" s="348" t="str">
        <f>"'"&amp;$C964&amp;"'!$E$54:$Y$54"</f>
        <v>'BLD_BT'!$E$54:$Y$54</v>
      </c>
      <c r="H964" s="381">
        <f ca="1">IF(IFERROR(INDEX(DATA_PROPERTY_MASTER!$E$5:$E$21,MATCH($C964,DATA_PROPERTY_MASTER!$A$5:$A$21,0))="Yes",FALSE),IFERROR(INDEX(INDIRECT("'"&amp;$C964&amp;"'!$E$54:$Y$54"),1,MATCH($D964,INDIRECT("'"&amp;$C964&amp;"'!$E$12:$Y$12"),0)),0),0)</f>
        <v>127923.08085526712</v>
      </c>
      <c r="I964" s="366" t="s">
        <v>1690</v>
      </c>
      <c r="J964" s="348" t="str">
        <f t="shared" ca="1" si="28"/>
        <v>OK</v>
      </c>
      <c r="K964" s="366" t="s">
        <v>1714</v>
      </c>
      <c r="L964" s="366" t="s">
        <v>2248</v>
      </c>
      <c r="M964" s="350" t="str">
        <f>IF($B964="Portfolio","Portfolio",IFERROR(INDEX(DATA_ASSET_CLASSIFICATION!$B$8:$B$24,MATCH($C964,DATA_ASSET_CLASSIFICATION!$A$8:$A$24,0)),"Review"))</f>
        <v>Beatrice Terrace</v>
      </c>
      <c r="N964" s="350" t="str">
        <f ca="1">IF($B964="Portfolio","Portfolio",IFERROR(INDEX(DATA_ASSET_CLASSIFICATION!$U$8:$U$24,MATCH($C964,DATA_ASSET_CLASSIFICATION!$A$8:$A$24,0)),"Review"))</f>
        <v>Stable</v>
      </c>
      <c r="O964" s="350" t="str">
        <f ca="1">IF($B964="Portfolio","Portfolio",IFERROR(INDEX(DATA_ASSET_CLASSIFICATION!$AB$8:$AB$13,MATCH($N964,DATA_ASSET_CLASSIFICATION!$AA$8:$AA$13,0)),"Review"))</f>
        <v>Bucket 2 · Legacy</v>
      </c>
      <c r="P964" s="350" t="str">
        <f>IF($B964="Portfolio","Portfolio",IFERROR(INDEX(DATA_ASSET_CLASSIFICATION!$C$8:$C$24,MATCH($C964,DATA_ASSET_CLASSIFICATION!$A$8:$A$24,0)),"Review"))</f>
        <v>Yes</v>
      </c>
      <c r="Q964" s="350" t="str">
        <f t="shared" ca="1" si="29"/>
        <v>OK</v>
      </c>
    </row>
    <row r="965" spans="1:17">
      <c r="A965" s="366" t="s">
        <v>2921</v>
      </c>
      <c r="B965" s="366" t="s">
        <v>231</v>
      </c>
      <c r="C965" s="348" t="str">
        <f>DATA_PROPERTY_MASTER!$A$7</f>
        <v>BLD_BT</v>
      </c>
      <c r="D965" s="380">
        <f>'00_PORTFOLIO ROLLUP'!J$12</f>
        <v>2030</v>
      </c>
      <c r="E965" s="366" t="s">
        <v>1683</v>
      </c>
      <c r="F965" s="366" t="s">
        <v>29</v>
      </c>
      <c r="G965" s="348" t="str">
        <f>"'"&amp;$C965&amp;"'!$E$56:$Y$56"</f>
        <v>'BLD_BT'!$E$56:$Y$56</v>
      </c>
      <c r="H965" s="381">
        <f ca="1">IF(IFERROR(INDEX(DATA_PROPERTY_MASTER!$E$5:$E$21,MATCH($C965,DATA_PROPERTY_MASTER!$A$5:$A$21,0))="Yes",FALSE),IFERROR(INDEX(INDIRECT("'"&amp;$C965&amp;"'!$E$56:$Y$56"),1,MATCH($D965,INDIRECT("'"&amp;$C965&amp;"'!$E$12:$Y$12"),0)),0),0)</f>
        <v>85282.053903511434</v>
      </c>
      <c r="I965" s="366" t="s">
        <v>1685</v>
      </c>
      <c r="J965" s="348" t="str">
        <f t="shared" ref="J965:J1028" ca="1" si="30">IF($F965="Residual Funding Gap",IF($H965&gt;0,"Funding Gap","OK"),IF(AND($F965="Net Refinance Position",$H965&lt;0),"Negative net refi position","OK"))</f>
        <v>OK</v>
      </c>
      <c r="K965" s="366" t="s">
        <v>1718</v>
      </c>
      <c r="L965" s="366" t="s">
        <v>2250</v>
      </c>
      <c r="M965" s="350" t="str">
        <f>IF($B965="Portfolio","Portfolio",IFERROR(INDEX(DATA_ASSET_CLASSIFICATION!$B$8:$B$24,MATCH($C965,DATA_ASSET_CLASSIFICATION!$A$8:$A$24,0)),"Review"))</f>
        <v>Beatrice Terrace</v>
      </c>
      <c r="N965" s="350" t="str">
        <f ca="1">IF($B965="Portfolio","Portfolio",IFERROR(INDEX(DATA_ASSET_CLASSIFICATION!$U$8:$U$24,MATCH($C965,DATA_ASSET_CLASSIFICATION!$A$8:$A$24,0)),"Review"))</f>
        <v>Stable</v>
      </c>
      <c r="O965" s="350" t="str">
        <f ca="1">IF($B965="Portfolio","Portfolio",IFERROR(INDEX(DATA_ASSET_CLASSIFICATION!$AB$8:$AB$13,MATCH($N965,DATA_ASSET_CLASSIFICATION!$AA$8:$AA$13,0)),"Review"))</f>
        <v>Bucket 2 · Legacy</v>
      </c>
      <c r="P965" s="350" t="str">
        <f>IF($B965="Portfolio","Portfolio",IFERROR(INDEX(DATA_ASSET_CLASSIFICATION!$C$8:$C$24,MATCH($C965,DATA_ASSET_CLASSIFICATION!$A$8:$A$24,0)),"Review"))</f>
        <v>Yes</v>
      </c>
      <c r="Q965" s="350" t="str">
        <f t="shared" ref="Q965:Q1028" ca="1" si="31">IF(AND($B965="Property",$F965="Residual Funding Gap",$H965&gt;0),"Property Funding Gap",IF($J965&lt;&gt;"OK",$J965,"OK"))</f>
        <v>OK</v>
      </c>
    </row>
    <row r="966" spans="1:17">
      <c r="A966" s="366" t="s">
        <v>2922</v>
      </c>
      <c r="B966" s="366" t="s">
        <v>231</v>
      </c>
      <c r="C966" s="348" t="str">
        <f>DATA_PROPERTY_MASTER!$A$7</f>
        <v>BLD_BT</v>
      </c>
      <c r="D966" s="380">
        <f>'00_PORTFOLIO ROLLUP'!J$12</f>
        <v>2030</v>
      </c>
      <c r="E966" s="366" t="s">
        <v>1721</v>
      </c>
      <c r="F966" s="366" t="s">
        <v>31</v>
      </c>
      <c r="G966" s="348" t="str">
        <f>"'"&amp;$C966&amp;"'!$E$61:$Y$61"</f>
        <v>'BLD_BT'!$E$61:$Y$61</v>
      </c>
      <c r="H966" s="381">
        <f ca="1">IF(IFERROR(INDEX(DATA_PROPERTY_MASTER!$E$5:$E$21,MATCH($C966,DATA_PROPERTY_MASTER!$A$5:$A$21,0))="Yes",FALSE),IFERROR(INDEX(INDIRECT("'"&amp;$C966&amp;"'!$E$61:$Y$61"),1,MATCH($D966,INDIRECT("'"&amp;$C966&amp;"'!$E$12:$Y$12"),0)),0),0)</f>
        <v>0</v>
      </c>
      <c r="I966" s="366" t="s">
        <v>1690</v>
      </c>
      <c r="J966" s="348" t="str">
        <f t="shared" ca="1" si="30"/>
        <v>OK</v>
      </c>
      <c r="K966" s="366" t="s">
        <v>1723</v>
      </c>
      <c r="L966" s="366" t="s">
        <v>2252</v>
      </c>
      <c r="M966" s="350" t="str">
        <f>IF($B966="Portfolio","Portfolio",IFERROR(INDEX(DATA_ASSET_CLASSIFICATION!$B$8:$B$24,MATCH($C966,DATA_ASSET_CLASSIFICATION!$A$8:$A$24,0)),"Review"))</f>
        <v>Beatrice Terrace</v>
      </c>
      <c r="N966" s="350" t="str">
        <f ca="1">IF($B966="Portfolio","Portfolio",IFERROR(INDEX(DATA_ASSET_CLASSIFICATION!$U$8:$U$24,MATCH($C966,DATA_ASSET_CLASSIFICATION!$A$8:$A$24,0)),"Review"))</f>
        <v>Stable</v>
      </c>
      <c r="O966" s="350" t="str">
        <f ca="1">IF($B966="Portfolio","Portfolio",IFERROR(INDEX(DATA_ASSET_CLASSIFICATION!$AB$8:$AB$13,MATCH($N966,DATA_ASSET_CLASSIFICATION!$AA$8:$AA$13,0)),"Review"))</f>
        <v>Bucket 2 · Legacy</v>
      </c>
      <c r="P966" s="350" t="str">
        <f>IF($B966="Portfolio","Portfolio",IFERROR(INDEX(DATA_ASSET_CLASSIFICATION!$C$8:$C$24,MATCH($C966,DATA_ASSET_CLASSIFICATION!$A$8:$A$24,0)),"Review"))</f>
        <v>Yes</v>
      </c>
      <c r="Q966" s="350" t="str">
        <f t="shared" ca="1" si="31"/>
        <v>OK</v>
      </c>
    </row>
    <row r="967" spans="1:17">
      <c r="A967" s="366" t="s">
        <v>2923</v>
      </c>
      <c r="B967" s="366" t="s">
        <v>231</v>
      </c>
      <c r="C967" s="348" t="str">
        <f>DATA_PROPERTY_MASTER!$A$7</f>
        <v>BLD_BT</v>
      </c>
      <c r="D967" s="380">
        <f>'00_PORTFOLIO ROLLUP'!J$12</f>
        <v>2030</v>
      </c>
      <c r="E967" s="366" t="s">
        <v>1721</v>
      </c>
      <c r="F967" s="366" t="s">
        <v>33</v>
      </c>
      <c r="G967" s="348" t="str">
        <f>"'"&amp;$C967&amp;"'!$E$62:$Y$62"</f>
        <v>'BLD_BT'!$E$62:$Y$62</v>
      </c>
      <c r="H967" s="381">
        <f ca="1">IF(IFERROR(INDEX(DATA_PROPERTY_MASTER!$E$5:$E$21,MATCH($C967,DATA_PROPERTY_MASTER!$A$5:$A$21,0))="Yes",FALSE),IFERROR(INDEX(INDIRECT("'"&amp;$C967&amp;"'!$E$62:$Y$62"),1,MATCH($D967,INDIRECT("'"&amp;$C967&amp;"'!$E$12:$Y$12"),0)),0),0)</f>
        <v>0</v>
      </c>
      <c r="I967" s="366" t="s">
        <v>1685</v>
      </c>
      <c r="J967" s="348" t="str">
        <f t="shared" ca="1" si="30"/>
        <v>OK</v>
      </c>
      <c r="K967" s="366" t="s">
        <v>1727</v>
      </c>
      <c r="L967" s="366" t="s">
        <v>2254</v>
      </c>
      <c r="M967" s="350" t="str">
        <f>IF($B967="Portfolio","Portfolio",IFERROR(INDEX(DATA_ASSET_CLASSIFICATION!$B$8:$B$24,MATCH($C967,DATA_ASSET_CLASSIFICATION!$A$8:$A$24,0)),"Review"))</f>
        <v>Beatrice Terrace</v>
      </c>
      <c r="N967" s="350" t="str">
        <f ca="1">IF($B967="Portfolio","Portfolio",IFERROR(INDEX(DATA_ASSET_CLASSIFICATION!$U$8:$U$24,MATCH($C967,DATA_ASSET_CLASSIFICATION!$A$8:$A$24,0)),"Review"))</f>
        <v>Stable</v>
      </c>
      <c r="O967" s="350" t="str">
        <f ca="1">IF($B967="Portfolio","Portfolio",IFERROR(INDEX(DATA_ASSET_CLASSIFICATION!$AB$8:$AB$13,MATCH($N967,DATA_ASSET_CLASSIFICATION!$AA$8:$AA$13,0)),"Review"))</f>
        <v>Bucket 2 · Legacy</v>
      </c>
      <c r="P967" s="350" t="str">
        <f>IF($B967="Portfolio","Portfolio",IFERROR(INDEX(DATA_ASSET_CLASSIFICATION!$C$8:$C$24,MATCH($C967,DATA_ASSET_CLASSIFICATION!$A$8:$A$24,0)),"Review"))</f>
        <v>Yes</v>
      </c>
      <c r="Q967" s="350" t="str">
        <f t="shared" ca="1" si="31"/>
        <v>OK</v>
      </c>
    </row>
    <row r="968" spans="1:17">
      <c r="A968" s="366" t="s">
        <v>2924</v>
      </c>
      <c r="B968" s="366" t="s">
        <v>231</v>
      </c>
      <c r="C968" s="348" t="str">
        <f>DATA_PROPERTY_MASTER!$A$7</f>
        <v>BLD_BT</v>
      </c>
      <c r="D968" s="380">
        <f>'00_PORTFOLIO ROLLUP'!J$12</f>
        <v>2030</v>
      </c>
      <c r="E968" s="366" t="s">
        <v>1721</v>
      </c>
      <c r="F968" s="366" t="s">
        <v>35</v>
      </c>
      <c r="G968" s="348" t="str">
        <f>"'"&amp;$C968&amp;"'!$E$63:$Y$63"</f>
        <v>'BLD_BT'!$E$63:$Y$63</v>
      </c>
      <c r="H968" s="381">
        <f ca="1">IF(IFERROR(INDEX(DATA_PROPERTY_MASTER!$E$5:$E$21,MATCH($C968,DATA_PROPERTY_MASTER!$A$5:$A$21,0))="Yes",FALSE),IFERROR(INDEX(INDIRECT("'"&amp;$C968&amp;"'!$E$63:$Y$63"),1,MATCH($D968,INDIRECT("'"&amp;$C968&amp;"'!$E$12:$Y$12"),0)),0),0)</f>
        <v>0</v>
      </c>
      <c r="I968" s="366" t="s">
        <v>1731</v>
      </c>
      <c r="J968" s="348" t="str">
        <f t="shared" ca="1" si="30"/>
        <v>OK</v>
      </c>
      <c r="K968" s="366" t="s">
        <v>1732</v>
      </c>
      <c r="L968" s="366" t="s">
        <v>2256</v>
      </c>
      <c r="M968" s="350" t="str">
        <f>IF($B968="Portfolio","Portfolio",IFERROR(INDEX(DATA_ASSET_CLASSIFICATION!$B$8:$B$24,MATCH($C968,DATA_ASSET_CLASSIFICATION!$A$8:$A$24,0)),"Review"))</f>
        <v>Beatrice Terrace</v>
      </c>
      <c r="N968" s="350" t="str">
        <f ca="1">IF($B968="Portfolio","Portfolio",IFERROR(INDEX(DATA_ASSET_CLASSIFICATION!$U$8:$U$24,MATCH($C968,DATA_ASSET_CLASSIFICATION!$A$8:$A$24,0)),"Review"))</f>
        <v>Stable</v>
      </c>
      <c r="O968" s="350" t="str">
        <f ca="1">IF($B968="Portfolio","Portfolio",IFERROR(INDEX(DATA_ASSET_CLASSIFICATION!$AB$8:$AB$13,MATCH($N968,DATA_ASSET_CLASSIFICATION!$AA$8:$AA$13,0)),"Review"))</f>
        <v>Bucket 2 · Legacy</v>
      </c>
      <c r="P968" s="350" t="str">
        <f>IF($B968="Portfolio","Portfolio",IFERROR(INDEX(DATA_ASSET_CLASSIFICATION!$C$8:$C$24,MATCH($C968,DATA_ASSET_CLASSIFICATION!$A$8:$A$24,0)),"Review"))</f>
        <v>Yes</v>
      </c>
      <c r="Q968" s="350" t="str">
        <f t="shared" ca="1" si="31"/>
        <v>OK</v>
      </c>
    </row>
    <row r="969" spans="1:17">
      <c r="A969" s="366" t="s">
        <v>2925</v>
      </c>
      <c r="B969" s="366" t="s">
        <v>231</v>
      </c>
      <c r="C969" s="348" t="str">
        <f>DATA_PROPERTY_MASTER!$A$7</f>
        <v>BLD_BT</v>
      </c>
      <c r="D969" s="380">
        <f>'00_PORTFOLIO ROLLUP'!J$12</f>
        <v>2030</v>
      </c>
      <c r="E969" s="366" t="s">
        <v>1721</v>
      </c>
      <c r="F969" s="366" t="s">
        <v>37</v>
      </c>
      <c r="G969" s="348" t="str">
        <f>"'"&amp;$C969&amp;"'!$E$63:$Y$63"</f>
        <v>'BLD_BT'!$E$63:$Y$63</v>
      </c>
      <c r="H969" s="381">
        <f ca="1">IF(IFERROR(INDEX(DATA_PROPERTY_MASTER!$E$5:$E$21,MATCH($C969,DATA_PROPERTY_MASTER!$A$5:$A$21,0))="Yes",FALSE),MAX(IFERROR(INDEX(INDIRECT("'"&amp;$C969&amp;"'!$E$63:$Y$63"),1,MATCH($D969,INDIRECT("'"&amp;$C969&amp;"'!$E$12:$Y$12"),0)),0),0),0)</f>
        <v>0</v>
      </c>
      <c r="I969" s="366" t="s">
        <v>1685</v>
      </c>
      <c r="J969" s="348" t="str">
        <f t="shared" ca="1" si="30"/>
        <v>OK</v>
      </c>
      <c r="K969" s="366" t="s">
        <v>1735</v>
      </c>
      <c r="L969" s="366" t="s">
        <v>2258</v>
      </c>
      <c r="M969" s="350" t="str">
        <f>IF($B969="Portfolio","Portfolio",IFERROR(INDEX(DATA_ASSET_CLASSIFICATION!$B$8:$B$24,MATCH($C969,DATA_ASSET_CLASSIFICATION!$A$8:$A$24,0)),"Review"))</f>
        <v>Beatrice Terrace</v>
      </c>
      <c r="N969" s="350" t="str">
        <f ca="1">IF($B969="Portfolio","Portfolio",IFERROR(INDEX(DATA_ASSET_CLASSIFICATION!$U$8:$U$24,MATCH($C969,DATA_ASSET_CLASSIFICATION!$A$8:$A$24,0)),"Review"))</f>
        <v>Stable</v>
      </c>
      <c r="O969" s="350" t="str">
        <f ca="1">IF($B969="Portfolio","Portfolio",IFERROR(INDEX(DATA_ASSET_CLASSIFICATION!$AB$8:$AB$13,MATCH($N969,DATA_ASSET_CLASSIFICATION!$AA$8:$AA$13,0)),"Review"))</f>
        <v>Bucket 2 · Legacy</v>
      </c>
      <c r="P969" s="350" t="str">
        <f>IF($B969="Portfolio","Portfolio",IFERROR(INDEX(DATA_ASSET_CLASSIFICATION!$C$8:$C$24,MATCH($C969,DATA_ASSET_CLASSIFICATION!$A$8:$A$24,0)),"Review"))</f>
        <v>Yes</v>
      </c>
      <c r="Q969" s="350" t="str">
        <f t="shared" ca="1" si="31"/>
        <v>OK</v>
      </c>
    </row>
    <row r="970" spans="1:17">
      <c r="A970" s="366" t="s">
        <v>2926</v>
      </c>
      <c r="B970" s="366" t="s">
        <v>231</v>
      </c>
      <c r="C970" s="348" t="str">
        <f>DATA_PROPERTY_MASTER!$A$7</f>
        <v>BLD_BT</v>
      </c>
      <c r="D970" s="380">
        <f>'00_PORTFOLIO ROLLUP'!J$12</f>
        <v>2030</v>
      </c>
      <c r="E970" s="366" t="s">
        <v>1721</v>
      </c>
      <c r="F970" s="366" t="s">
        <v>39</v>
      </c>
      <c r="G970" s="348" t="str">
        <f>"'"&amp;$C970&amp;"'!$E$63:$Y$63"</f>
        <v>'BLD_BT'!$E$63:$Y$63</v>
      </c>
      <c r="H970" s="381">
        <f ca="1">IF(IFERROR(INDEX(DATA_PROPERTY_MASTER!$E$5:$E$21,MATCH($C970,DATA_PROPERTY_MASTER!$A$5:$A$21,0))="Yes",FALSE),MAX(-IFERROR(INDEX(INDIRECT("'"&amp;$C970&amp;"'!$E$63:$Y$63"),1,MATCH($D970,INDIRECT("'"&amp;$C970&amp;"'!$E$12:$Y$12"),0)),0),0),0)</f>
        <v>0</v>
      </c>
      <c r="I970" s="366" t="s">
        <v>1690</v>
      </c>
      <c r="J970" s="348" t="str">
        <f t="shared" ca="1" si="30"/>
        <v>OK</v>
      </c>
      <c r="K970" s="366" t="s">
        <v>1738</v>
      </c>
      <c r="L970" s="366" t="s">
        <v>2260</v>
      </c>
      <c r="M970" s="350" t="str">
        <f>IF($B970="Portfolio","Portfolio",IFERROR(INDEX(DATA_ASSET_CLASSIFICATION!$B$8:$B$24,MATCH($C970,DATA_ASSET_CLASSIFICATION!$A$8:$A$24,0)),"Review"))</f>
        <v>Beatrice Terrace</v>
      </c>
      <c r="N970" s="350" t="str">
        <f ca="1">IF($B970="Portfolio","Portfolio",IFERROR(INDEX(DATA_ASSET_CLASSIFICATION!$U$8:$U$24,MATCH($C970,DATA_ASSET_CLASSIFICATION!$A$8:$A$24,0)),"Review"))</f>
        <v>Stable</v>
      </c>
      <c r="O970" s="350" t="str">
        <f ca="1">IF($B970="Portfolio","Portfolio",IFERROR(INDEX(DATA_ASSET_CLASSIFICATION!$AB$8:$AB$13,MATCH($N970,DATA_ASSET_CLASSIFICATION!$AA$8:$AA$13,0)),"Review"))</f>
        <v>Bucket 2 · Legacy</v>
      </c>
      <c r="P970" s="350" t="str">
        <f>IF($B970="Portfolio","Portfolio",IFERROR(INDEX(DATA_ASSET_CLASSIFICATION!$C$8:$C$24,MATCH($C970,DATA_ASSET_CLASSIFICATION!$A$8:$A$24,0)),"Review"))</f>
        <v>Yes</v>
      </c>
      <c r="Q970" s="350" t="str">
        <f t="shared" ca="1" si="31"/>
        <v>OK</v>
      </c>
    </row>
    <row r="971" spans="1:17">
      <c r="A971" s="366" t="s">
        <v>2927</v>
      </c>
      <c r="B971" s="366" t="s">
        <v>231</v>
      </c>
      <c r="C971" s="348" t="str">
        <f>DATA_PROPERTY_MASTER!$A$7</f>
        <v>BLD_BT</v>
      </c>
      <c r="D971" s="380">
        <f>'00_PORTFOLIO ROLLUP'!J$12</f>
        <v>2030</v>
      </c>
      <c r="E971" s="366" t="s">
        <v>1741</v>
      </c>
      <c r="F971" s="366" t="s">
        <v>41</v>
      </c>
      <c r="G971" s="348" t="str">
        <f>"'"&amp;$C971&amp;"'!rows 56 + positive row 63"</f>
        <v>'BLD_BT'!rows 56 + positive row 63</v>
      </c>
      <c r="H971" s="381">
        <f ca="1">IF(IFERROR(INDEX(DATA_PROPERTY_MASTER!$E$5:$E$21,MATCH($C971,DATA_PROPERTY_MASTER!$A$5:$A$21,0))="Yes",FALSE),IFERROR(INDEX(INDIRECT("'"&amp;$C971&amp;"'!$E$56:$Y$56"),1,MATCH($D971,INDIRECT("'"&amp;$C971&amp;"'!$E$12:$Y$12"),0)),0)+MAX(IFERROR(INDEX(INDIRECT("'"&amp;$C971&amp;"'!$E$63:$Y$63"),1,MATCH($D971,INDIRECT("'"&amp;$C971&amp;"'!$E$12:$Y$12"),0)),0),0),0)</f>
        <v>85282.053903511434</v>
      </c>
      <c r="I971" s="366" t="s">
        <v>1685</v>
      </c>
      <c r="J971" s="348" t="str">
        <f t="shared" ca="1" si="30"/>
        <v>OK</v>
      </c>
      <c r="K971" s="366" t="s">
        <v>1742</v>
      </c>
      <c r="L971" s="366" t="s">
        <v>2262</v>
      </c>
      <c r="M971" s="350" t="str">
        <f>IF($B971="Portfolio","Portfolio",IFERROR(INDEX(DATA_ASSET_CLASSIFICATION!$B$8:$B$24,MATCH($C971,DATA_ASSET_CLASSIFICATION!$A$8:$A$24,0)),"Review"))</f>
        <v>Beatrice Terrace</v>
      </c>
      <c r="N971" s="350" t="str">
        <f ca="1">IF($B971="Portfolio","Portfolio",IFERROR(INDEX(DATA_ASSET_CLASSIFICATION!$U$8:$U$24,MATCH($C971,DATA_ASSET_CLASSIFICATION!$A$8:$A$24,0)),"Review"))</f>
        <v>Stable</v>
      </c>
      <c r="O971" s="350" t="str">
        <f ca="1">IF($B971="Portfolio","Portfolio",IFERROR(INDEX(DATA_ASSET_CLASSIFICATION!$AB$8:$AB$13,MATCH($N971,DATA_ASSET_CLASSIFICATION!$AA$8:$AA$13,0)),"Review"))</f>
        <v>Bucket 2 · Legacy</v>
      </c>
      <c r="P971" s="350" t="str">
        <f>IF($B971="Portfolio","Portfolio",IFERROR(INDEX(DATA_ASSET_CLASSIFICATION!$C$8:$C$24,MATCH($C971,DATA_ASSET_CLASSIFICATION!$A$8:$A$24,0)),"Review"))</f>
        <v>Yes</v>
      </c>
      <c r="Q971" s="350" t="str">
        <f t="shared" ca="1" si="31"/>
        <v>OK</v>
      </c>
    </row>
    <row r="972" spans="1:17">
      <c r="A972" s="366" t="s">
        <v>2928</v>
      </c>
      <c r="B972" s="366" t="s">
        <v>231</v>
      </c>
      <c r="C972" s="348" t="str">
        <f>DATA_PROPERTY_MASTER!$A$7</f>
        <v>BLD_BT</v>
      </c>
      <c r="D972" s="380">
        <f>'00_PORTFOLIO ROLLUP'!J$12</f>
        <v>2030</v>
      </c>
      <c r="E972" s="366" t="s">
        <v>1741</v>
      </c>
      <c r="F972" s="366" t="s">
        <v>43</v>
      </c>
      <c r="G972" s="348" t="str">
        <f>"'"&amp;$C972&amp;"'!$E$68:$Y$68"</f>
        <v>'BLD_BT'!$E$68:$Y$68</v>
      </c>
      <c r="H972" s="381">
        <f ca="1">IF(IFERROR(INDEX(DATA_PROPERTY_MASTER!$E$5:$E$21,MATCH($C972,DATA_PROPERTY_MASTER!$A$5:$A$21,0))="Yes",FALSE),IFERROR(INDEX(INDIRECT("'"&amp;$C972&amp;"'!$E$68:$Y$68"),1,MATCH($D972,INDIRECT("'"&amp;$C972&amp;"'!$E$12:$Y$12"),0)),0),0)</f>
        <v>85282.053903511434</v>
      </c>
      <c r="I972" s="366" t="s">
        <v>1731</v>
      </c>
      <c r="J972" s="348" t="str">
        <f t="shared" ca="1" si="30"/>
        <v>OK</v>
      </c>
      <c r="K972" s="366" t="s">
        <v>1746</v>
      </c>
      <c r="L972" s="366" t="s">
        <v>2264</v>
      </c>
      <c r="M972" s="350" t="str">
        <f>IF($B972="Portfolio","Portfolio",IFERROR(INDEX(DATA_ASSET_CLASSIFICATION!$B$8:$B$24,MATCH($C972,DATA_ASSET_CLASSIFICATION!$A$8:$A$24,0)),"Review"))</f>
        <v>Beatrice Terrace</v>
      </c>
      <c r="N972" s="350" t="str">
        <f ca="1">IF($B972="Portfolio","Portfolio",IFERROR(INDEX(DATA_ASSET_CLASSIFICATION!$U$8:$U$24,MATCH($C972,DATA_ASSET_CLASSIFICATION!$A$8:$A$24,0)),"Review"))</f>
        <v>Stable</v>
      </c>
      <c r="O972" s="350" t="str">
        <f ca="1">IF($B972="Portfolio","Portfolio",IFERROR(INDEX(DATA_ASSET_CLASSIFICATION!$AB$8:$AB$13,MATCH($N972,DATA_ASSET_CLASSIFICATION!$AA$8:$AA$13,0)),"Review"))</f>
        <v>Bucket 2 · Legacy</v>
      </c>
      <c r="P972" s="350" t="str">
        <f>IF($B972="Portfolio","Portfolio",IFERROR(INDEX(DATA_ASSET_CLASSIFICATION!$C$8:$C$24,MATCH($C972,DATA_ASSET_CLASSIFICATION!$A$8:$A$24,0)),"Review"))</f>
        <v>Yes</v>
      </c>
      <c r="Q972" s="350" t="str">
        <f t="shared" ca="1" si="31"/>
        <v>OK</v>
      </c>
    </row>
    <row r="973" spans="1:17">
      <c r="A973" s="366" t="s">
        <v>2929</v>
      </c>
      <c r="B973" s="366" t="s">
        <v>231</v>
      </c>
      <c r="C973" s="348" t="str">
        <f>DATA_PROPERTY_MASTER!$A$7</f>
        <v>BLD_BT</v>
      </c>
      <c r="D973" s="380">
        <f>'00_PORTFOLIO ROLLUP'!J$12</f>
        <v>2030</v>
      </c>
      <c r="E973" s="366" t="s">
        <v>1741</v>
      </c>
      <c r="F973" s="366" t="s">
        <v>1749</v>
      </c>
      <c r="G973" s="348" t="str">
        <f>"'"&amp;$C973&amp;"'!rows 56, 63, 68"</f>
        <v>'BLD_BT'!rows 56, 63, 68</v>
      </c>
      <c r="H973" s="381">
        <f ca="1">IF(IFERROR(INDEX(DATA_PROPERTY_MASTER!$E$5:$E$21,MATCH($C973,DATA_PROPERTY_MASTER!$A$5:$A$21,0))="Yes",FALSE),(IFERROR(INDEX(INDIRECT("'"&amp;$C973&amp;"'!$E$56:$Y$56"),1,MATCH($D973,INDIRECT("'"&amp;$C973&amp;"'!$E$12:$Y$12"),0)),0)+MAX(IFERROR(INDEX(INDIRECT("'"&amp;$C973&amp;"'!$E$63:$Y$63"),1,MATCH($D973,INDIRECT("'"&amp;$C973&amp;"'!$E$12:$Y$12"),0)),0),0))-(IFERROR(INDEX(INDIRECT("'"&amp;$C973&amp;"'!$E$68:$Y$68"),1,MATCH($D973,INDIRECT("'"&amp;$C973&amp;"'!$E$12:$Y$12"),0)),0)),0)</f>
        <v>0</v>
      </c>
      <c r="I973" s="366" t="s">
        <v>1750</v>
      </c>
      <c r="J973" s="348" t="str">
        <f t="shared" ca="1" si="30"/>
        <v>OK</v>
      </c>
      <c r="K973" s="366" t="s">
        <v>1751</v>
      </c>
      <c r="L973" s="366" t="s">
        <v>2266</v>
      </c>
      <c r="M973" s="350" t="str">
        <f>IF($B973="Portfolio","Portfolio",IFERROR(INDEX(DATA_ASSET_CLASSIFICATION!$B$8:$B$24,MATCH($C973,DATA_ASSET_CLASSIFICATION!$A$8:$A$24,0)),"Review"))</f>
        <v>Beatrice Terrace</v>
      </c>
      <c r="N973" s="350" t="str">
        <f ca="1">IF($B973="Portfolio","Portfolio",IFERROR(INDEX(DATA_ASSET_CLASSIFICATION!$U$8:$U$24,MATCH($C973,DATA_ASSET_CLASSIFICATION!$A$8:$A$24,0)),"Review"))</f>
        <v>Stable</v>
      </c>
      <c r="O973" s="350" t="str">
        <f ca="1">IF($B973="Portfolio","Portfolio",IFERROR(INDEX(DATA_ASSET_CLASSIFICATION!$AB$8:$AB$13,MATCH($N973,DATA_ASSET_CLASSIFICATION!$AA$8:$AA$13,0)),"Review"))</f>
        <v>Bucket 2 · Legacy</v>
      </c>
      <c r="P973" s="350" t="str">
        <f>IF($B973="Portfolio","Portfolio",IFERROR(INDEX(DATA_ASSET_CLASSIFICATION!$C$8:$C$24,MATCH($C973,DATA_ASSET_CLASSIFICATION!$A$8:$A$24,0)),"Review"))</f>
        <v>Yes</v>
      </c>
      <c r="Q973" s="350" t="str">
        <f t="shared" ca="1" si="31"/>
        <v>OK</v>
      </c>
    </row>
    <row r="974" spans="1:17">
      <c r="A974" s="366" t="s">
        <v>2930</v>
      </c>
      <c r="B974" s="366" t="s">
        <v>231</v>
      </c>
      <c r="C974" s="348" t="str">
        <f>DATA_PROPERTY_MASTER!$A$7</f>
        <v>BLD_BT</v>
      </c>
      <c r="D974" s="380">
        <f>'00_PORTFOLIO ROLLUP'!K$12</f>
        <v>2031</v>
      </c>
      <c r="E974" s="366" t="s">
        <v>1683</v>
      </c>
      <c r="F974" s="366" t="s">
        <v>341</v>
      </c>
      <c r="G974" s="348" t="str">
        <f>"'"&amp;$C974&amp;"'!$E$24:$Y$24"</f>
        <v>'BLD_BT'!$E$24:$Y$24</v>
      </c>
      <c r="H974" s="381">
        <f ca="1">IF(IFERROR(INDEX(DATA_PROPERTY_MASTER!$E$5:$E$21,MATCH($C974,DATA_PROPERTY_MASTER!$A$5:$A$21,0))="Yes",FALSE),IFERROR(INDEX(INDIRECT("'"&amp;$C974&amp;"'!$E$24:$Y$24"),1,MATCH($D974,INDIRECT("'"&amp;$C974&amp;"'!$E$12:$Y$12"),0)),0),0)</f>
        <v>477373.16793426656</v>
      </c>
      <c r="I974" s="366" t="s">
        <v>1685</v>
      </c>
      <c r="J974" s="348" t="str">
        <f t="shared" ca="1" si="30"/>
        <v>OK</v>
      </c>
      <c r="K974" s="366" t="s">
        <v>1686</v>
      </c>
      <c r="L974" s="366" t="s">
        <v>2234</v>
      </c>
      <c r="M974" s="350" t="str">
        <f>IF($B974="Portfolio","Portfolio",IFERROR(INDEX(DATA_ASSET_CLASSIFICATION!$B$8:$B$24,MATCH($C974,DATA_ASSET_CLASSIFICATION!$A$8:$A$24,0)),"Review"))</f>
        <v>Beatrice Terrace</v>
      </c>
      <c r="N974" s="350" t="str">
        <f ca="1">IF($B974="Portfolio","Portfolio",IFERROR(INDEX(DATA_ASSET_CLASSIFICATION!$U$8:$U$24,MATCH($C974,DATA_ASSET_CLASSIFICATION!$A$8:$A$24,0)),"Review"))</f>
        <v>Stable</v>
      </c>
      <c r="O974" s="350" t="str">
        <f ca="1">IF($B974="Portfolio","Portfolio",IFERROR(INDEX(DATA_ASSET_CLASSIFICATION!$AB$8:$AB$13,MATCH($N974,DATA_ASSET_CLASSIFICATION!$AA$8:$AA$13,0)),"Review"))</f>
        <v>Bucket 2 · Legacy</v>
      </c>
      <c r="P974" s="350" t="str">
        <f>IF($B974="Portfolio","Portfolio",IFERROR(INDEX(DATA_ASSET_CLASSIFICATION!$C$8:$C$24,MATCH($C974,DATA_ASSET_CLASSIFICATION!$A$8:$A$24,0)),"Review"))</f>
        <v>Yes</v>
      </c>
      <c r="Q974" s="350" t="str">
        <f t="shared" ca="1" si="31"/>
        <v>OK</v>
      </c>
    </row>
    <row r="975" spans="1:17">
      <c r="A975" s="366" t="s">
        <v>2931</v>
      </c>
      <c r="B975" s="366" t="s">
        <v>231</v>
      </c>
      <c r="C975" s="348" t="str">
        <f>DATA_PROPERTY_MASTER!$A$7</f>
        <v>BLD_BT</v>
      </c>
      <c r="D975" s="380">
        <f>'00_PORTFOLIO ROLLUP'!K$12</f>
        <v>2031</v>
      </c>
      <c r="E975" s="366" t="s">
        <v>1683</v>
      </c>
      <c r="F975" s="366" t="s">
        <v>355</v>
      </c>
      <c r="G975" s="348" t="str">
        <f>"'"&amp;$C975&amp;"'!$E$39:$Y$39"</f>
        <v>'BLD_BT'!$E$39:$Y$39</v>
      </c>
      <c r="H975" s="381">
        <f ca="1">IF(IFERROR(INDEX(DATA_PROPERTY_MASTER!$E$5:$E$21,MATCH($C975,DATA_PROPERTY_MASTER!$A$5:$A$21,0))="Yes",FALSE),IFERROR(INDEX(INDIRECT("'"&amp;$C975&amp;"'!$E$39:$Y$39"),1,MATCH($D975,INDIRECT("'"&amp;$C975&amp;"'!$E$12:$Y$12"),0)),0),0)</f>
        <v>152268.49068580871</v>
      </c>
      <c r="I975" s="366" t="s">
        <v>1690</v>
      </c>
      <c r="J975" s="348" t="str">
        <f t="shared" ca="1" si="30"/>
        <v>OK</v>
      </c>
      <c r="K975" s="366" t="s">
        <v>1686</v>
      </c>
      <c r="L975" s="366" t="s">
        <v>2236</v>
      </c>
      <c r="M975" s="350" t="str">
        <f>IF($B975="Portfolio","Portfolio",IFERROR(INDEX(DATA_ASSET_CLASSIFICATION!$B$8:$B$24,MATCH($C975,DATA_ASSET_CLASSIFICATION!$A$8:$A$24,0)),"Review"))</f>
        <v>Beatrice Terrace</v>
      </c>
      <c r="N975" s="350" t="str">
        <f ca="1">IF($B975="Portfolio","Portfolio",IFERROR(INDEX(DATA_ASSET_CLASSIFICATION!$U$8:$U$24,MATCH($C975,DATA_ASSET_CLASSIFICATION!$A$8:$A$24,0)),"Review"))</f>
        <v>Stable</v>
      </c>
      <c r="O975" s="350" t="str">
        <f ca="1">IF($B975="Portfolio","Portfolio",IFERROR(INDEX(DATA_ASSET_CLASSIFICATION!$AB$8:$AB$13,MATCH($N975,DATA_ASSET_CLASSIFICATION!$AA$8:$AA$13,0)),"Review"))</f>
        <v>Bucket 2 · Legacy</v>
      </c>
      <c r="P975" s="350" t="str">
        <f>IF($B975="Portfolio","Portfolio",IFERROR(INDEX(DATA_ASSET_CLASSIFICATION!$C$8:$C$24,MATCH($C975,DATA_ASSET_CLASSIFICATION!$A$8:$A$24,0)),"Review"))</f>
        <v>Yes</v>
      </c>
      <c r="Q975" s="350" t="str">
        <f t="shared" ca="1" si="31"/>
        <v>OK</v>
      </c>
    </row>
    <row r="976" spans="1:17">
      <c r="A976" s="366" t="s">
        <v>2932</v>
      </c>
      <c r="B976" s="366" t="s">
        <v>231</v>
      </c>
      <c r="C976" s="348" t="str">
        <f>DATA_PROPERTY_MASTER!$A$7</f>
        <v>BLD_BT</v>
      </c>
      <c r="D976" s="380">
        <f>'00_PORTFOLIO ROLLUP'!K$12</f>
        <v>2031</v>
      </c>
      <c r="E976" s="366" t="s">
        <v>1683</v>
      </c>
      <c r="F976" s="366" t="s">
        <v>19</v>
      </c>
      <c r="G976" s="348" t="str">
        <f>"'"&amp;$C976&amp;"'!$E$41:$Y$41"</f>
        <v>'BLD_BT'!$E$41:$Y$41</v>
      </c>
      <c r="H976" s="381">
        <f ca="1">IF(IFERROR(INDEX(DATA_PROPERTY_MASTER!$E$5:$E$21,MATCH($C976,DATA_PROPERTY_MASTER!$A$5:$A$21,0))="Yes",FALSE),IFERROR(INDEX(INDIRECT("'"&amp;$C976&amp;"'!$E$41:$Y$41"),1,MATCH($D976,INDIRECT("'"&amp;$C976&amp;"'!$E$12:$Y$12"),0)),0),0)</f>
        <v>325104.67724845785</v>
      </c>
      <c r="I976" s="366" t="s">
        <v>1685</v>
      </c>
      <c r="J976" s="348" t="str">
        <f t="shared" ca="1" si="30"/>
        <v>OK</v>
      </c>
      <c r="K976" s="366" t="s">
        <v>1694</v>
      </c>
      <c r="L976" s="366" t="s">
        <v>2238</v>
      </c>
      <c r="M976" s="350" t="str">
        <f>IF($B976="Portfolio","Portfolio",IFERROR(INDEX(DATA_ASSET_CLASSIFICATION!$B$8:$B$24,MATCH($C976,DATA_ASSET_CLASSIFICATION!$A$8:$A$24,0)),"Review"))</f>
        <v>Beatrice Terrace</v>
      </c>
      <c r="N976" s="350" t="str">
        <f ca="1">IF($B976="Portfolio","Portfolio",IFERROR(INDEX(DATA_ASSET_CLASSIFICATION!$U$8:$U$24,MATCH($C976,DATA_ASSET_CLASSIFICATION!$A$8:$A$24,0)),"Review"))</f>
        <v>Stable</v>
      </c>
      <c r="O976" s="350" t="str">
        <f ca="1">IF($B976="Portfolio","Portfolio",IFERROR(INDEX(DATA_ASSET_CLASSIFICATION!$AB$8:$AB$13,MATCH($N976,DATA_ASSET_CLASSIFICATION!$AA$8:$AA$13,0)),"Review"))</f>
        <v>Bucket 2 · Legacy</v>
      </c>
      <c r="P976" s="350" t="str">
        <f>IF($B976="Portfolio","Portfolio",IFERROR(INDEX(DATA_ASSET_CLASSIFICATION!$C$8:$C$24,MATCH($C976,DATA_ASSET_CLASSIFICATION!$A$8:$A$24,0)),"Review"))</f>
        <v>Yes</v>
      </c>
      <c r="Q976" s="350" t="str">
        <f t="shared" ca="1" si="31"/>
        <v>OK</v>
      </c>
    </row>
    <row r="977" spans="1:17">
      <c r="A977" s="366" t="s">
        <v>2933</v>
      </c>
      <c r="B977" s="366" t="s">
        <v>231</v>
      </c>
      <c r="C977" s="348" t="str">
        <f>DATA_PROPERTY_MASTER!$A$7</f>
        <v>BLD_BT</v>
      </c>
      <c r="D977" s="380">
        <f>'00_PORTFOLIO ROLLUP'!K$12</f>
        <v>2031</v>
      </c>
      <c r="E977" s="366" t="s">
        <v>1683</v>
      </c>
      <c r="F977" s="366" t="s">
        <v>1697</v>
      </c>
      <c r="G977" s="348" t="str">
        <f>"'"&amp;$C977&amp;"'!$E$44:$Y$44"</f>
        <v>'BLD_BT'!$E$44:$Y$44</v>
      </c>
      <c r="H977" s="381">
        <f ca="1">IF(IFERROR(INDEX(DATA_PROPERTY_MASTER!$E$5:$E$21,MATCH($C977,DATA_PROPERTY_MASTER!$A$5:$A$21,0))="Yes",FALSE),IFERROR(INDEX(INDIRECT("'"&amp;$C977&amp;"'!$E$44:$Y$44"),1,MATCH($D977,INDIRECT("'"&amp;$C977&amp;"'!$E$12:$Y$12"),0)),0),0)</f>
        <v>3040.6385320128002</v>
      </c>
      <c r="I977" s="366" t="s">
        <v>1690</v>
      </c>
      <c r="J977" s="348" t="str">
        <f t="shared" ca="1" si="30"/>
        <v>OK</v>
      </c>
      <c r="K977" s="366" t="s">
        <v>1699</v>
      </c>
      <c r="L977" s="366" t="s">
        <v>2240</v>
      </c>
      <c r="M977" s="350" t="str">
        <f>IF($B977="Portfolio","Portfolio",IFERROR(INDEX(DATA_ASSET_CLASSIFICATION!$B$8:$B$24,MATCH($C977,DATA_ASSET_CLASSIFICATION!$A$8:$A$24,0)),"Review"))</f>
        <v>Beatrice Terrace</v>
      </c>
      <c r="N977" s="350" t="str">
        <f ca="1">IF($B977="Portfolio","Portfolio",IFERROR(INDEX(DATA_ASSET_CLASSIFICATION!$U$8:$U$24,MATCH($C977,DATA_ASSET_CLASSIFICATION!$A$8:$A$24,0)),"Review"))</f>
        <v>Stable</v>
      </c>
      <c r="O977" s="350" t="str">
        <f ca="1">IF($B977="Portfolio","Portfolio",IFERROR(INDEX(DATA_ASSET_CLASSIFICATION!$AB$8:$AB$13,MATCH($N977,DATA_ASSET_CLASSIFICATION!$AA$8:$AA$13,0)),"Review"))</f>
        <v>Bucket 2 · Legacy</v>
      </c>
      <c r="P977" s="350" t="str">
        <f>IF($B977="Portfolio","Portfolio",IFERROR(INDEX(DATA_ASSET_CLASSIFICATION!$C$8:$C$24,MATCH($C977,DATA_ASSET_CLASSIFICATION!$A$8:$A$24,0)),"Review"))</f>
        <v>Yes</v>
      </c>
      <c r="Q977" s="350" t="str">
        <f t="shared" ca="1" si="31"/>
        <v>OK</v>
      </c>
    </row>
    <row r="978" spans="1:17">
      <c r="A978" s="366" t="s">
        <v>2934</v>
      </c>
      <c r="B978" s="366" t="s">
        <v>231</v>
      </c>
      <c r="C978" s="348" t="str">
        <f>DATA_PROPERTY_MASTER!$A$7</f>
        <v>BLD_BT</v>
      </c>
      <c r="D978" s="380">
        <f>'00_PORTFOLIO ROLLUP'!K$12</f>
        <v>2031</v>
      </c>
      <c r="E978" s="366" t="s">
        <v>1683</v>
      </c>
      <c r="F978" s="366" t="s">
        <v>21</v>
      </c>
      <c r="G978" s="348" t="str">
        <f>"'"&amp;$C978&amp;"'!$E$45:$Y$45"</f>
        <v>'BLD_BT'!$E$45:$Y$45</v>
      </c>
      <c r="H978" s="381">
        <f ca="1">IF(IFERROR(INDEX(DATA_PROPERTY_MASTER!$E$5:$E$21,MATCH($C978,DATA_PROPERTY_MASTER!$A$5:$A$21,0))="Yes",FALSE),IFERROR(INDEX(INDIRECT("'"&amp;$C978&amp;"'!$E$45:$Y$45"),1,MATCH($D978,INDIRECT("'"&amp;$C978&amp;"'!$E$12:$Y$12"),0)),0),0)</f>
        <v>322064.03871644504</v>
      </c>
      <c r="I978" s="366" t="s">
        <v>1685</v>
      </c>
      <c r="J978" s="348" t="str">
        <f t="shared" ca="1" si="30"/>
        <v>OK</v>
      </c>
      <c r="K978" s="366" t="s">
        <v>1694</v>
      </c>
      <c r="L978" s="366" t="s">
        <v>2242</v>
      </c>
      <c r="M978" s="350" t="str">
        <f>IF($B978="Portfolio","Portfolio",IFERROR(INDEX(DATA_ASSET_CLASSIFICATION!$B$8:$B$24,MATCH($C978,DATA_ASSET_CLASSIFICATION!$A$8:$A$24,0)),"Review"))</f>
        <v>Beatrice Terrace</v>
      </c>
      <c r="N978" s="350" t="str">
        <f ca="1">IF($B978="Portfolio","Portfolio",IFERROR(INDEX(DATA_ASSET_CLASSIFICATION!$U$8:$U$24,MATCH($C978,DATA_ASSET_CLASSIFICATION!$A$8:$A$24,0)),"Review"))</f>
        <v>Stable</v>
      </c>
      <c r="O978" s="350" t="str">
        <f ca="1">IF($B978="Portfolio","Portfolio",IFERROR(INDEX(DATA_ASSET_CLASSIFICATION!$AB$8:$AB$13,MATCH($N978,DATA_ASSET_CLASSIFICATION!$AA$8:$AA$13,0)),"Review"))</f>
        <v>Bucket 2 · Legacy</v>
      </c>
      <c r="P978" s="350" t="str">
        <f>IF($B978="Portfolio","Portfolio",IFERROR(INDEX(DATA_ASSET_CLASSIFICATION!$C$8:$C$24,MATCH($C978,DATA_ASSET_CLASSIFICATION!$A$8:$A$24,0)),"Review"))</f>
        <v>Yes</v>
      </c>
      <c r="Q978" s="350" t="str">
        <f t="shared" ca="1" si="31"/>
        <v>OK</v>
      </c>
    </row>
    <row r="979" spans="1:17">
      <c r="A979" s="366" t="s">
        <v>2935</v>
      </c>
      <c r="B979" s="366" t="s">
        <v>231</v>
      </c>
      <c r="C979" s="348" t="str">
        <f>DATA_PROPERTY_MASTER!$A$7</f>
        <v>BLD_BT</v>
      </c>
      <c r="D979" s="380">
        <f>'00_PORTFOLIO ROLLUP'!K$12</f>
        <v>2031</v>
      </c>
      <c r="E979" s="366" t="s">
        <v>23</v>
      </c>
      <c r="F979" s="366" t="s">
        <v>23</v>
      </c>
      <c r="G979" s="348" t="str">
        <f>"'"&amp;$C979&amp;"'!$E$48:$Y$48"</f>
        <v>'BLD_BT'!$E$48:$Y$48</v>
      </c>
      <c r="H979" s="381">
        <f ca="1">IF(IFERROR(INDEX(DATA_PROPERTY_MASTER!$E$5:$E$21,MATCH($C979,DATA_PROPERTY_MASTER!$A$5:$A$21,0))="Yes",FALSE),IFERROR(INDEX(INDIRECT("'"&amp;$C979&amp;"'!$E$48:$Y$48"),1,MATCH($D979,INDIRECT("'"&amp;$C979&amp;"'!$E$12:$Y$12"),0)),0),0)</f>
        <v>110563.68</v>
      </c>
      <c r="I979" s="366" t="s">
        <v>1690</v>
      </c>
      <c r="J979" s="348" t="str">
        <f t="shared" ca="1" si="30"/>
        <v>OK</v>
      </c>
      <c r="K979" s="366" t="s">
        <v>1706</v>
      </c>
      <c r="L979" s="366" t="s">
        <v>2244</v>
      </c>
      <c r="M979" s="350" t="str">
        <f>IF($B979="Portfolio","Portfolio",IFERROR(INDEX(DATA_ASSET_CLASSIFICATION!$B$8:$B$24,MATCH($C979,DATA_ASSET_CLASSIFICATION!$A$8:$A$24,0)),"Review"))</f>
        <v>Beatrice Terrace</v>
      </c>
      <c r="N979" s="350" t="str">
        <f ca="1">IF($B979="Portfolio","Portfolio",IFERROR(INDEX(DATA_ASSET_CLASSIFICATION!$U$8:$U$24,MATCH($C979,DATA_ASSET_CLASSIFICATION!$A$8:$A$24,0)),"Review"))</f>
        <v>Stable</v>
      </c>
      <c r="O979" s="350" t="str">
        <f ca="1">IF($B979="Portfolio","Portfolio",IFERROR(INDEX(DATA_ASSET_CLASSIFICATION!$AB$8:$AB$13,MATCH($N979,DATA_ASSET_CLASSIFICATION!$AA$8:$AA$13,0)),"Review"))</f>
        <v>Bucket 2 · Legacy</v>
      </c>
      <c r="P979" s="350" t="str">
        <f>IF($B979="Portfolio","Portfolio",IFERROR(INDEX(DATA_ASSET_CLASSIFICATION!$C$8:$C$24,MATCH($C979,DATA_ASSET_CLASSIFICATION!$A$8:$A$24,0)),"Review"))</f>
        <v>Yes</v>
      </c>
      <c r="Q979" s="350" t="str">
        <f t="shared" ca="1" si="31"/>
        <v>OK</v>
      </c>
    </row>
    <row r="980" spans="1:17">
      <c r="A980" s="366" t="s">
        <v>2936</v>
      </c>
      <c r="B980" s="366" t="s">
        <v>231</v>
      </c>
      <c r="C980" s="348" t="str">
        <f>DATA_PROPERTY_MASTER!$A$7</f>
        <v>BLD_BT</v>
      </c>
      <c r="D980" s="380">
        <f>'00_PORTFOLIO ROLLUP'!K$12</f>
        <v>2031</v>
      </c>
      <c r="E980" s="366" t="s">
        <v>1683</v>
      </c>
      <c r="F980" s="366" t="s">
        <v>25</v>
      </c>
      <c r="G980" s="348" t="str">
        <f>"'"&amp;$C980&amp;"'!$E$52:$Y$52"</f>
        <v>'BLD_BT'!$E$52:$Y$52</v>
      </c>
      <c r="H980" s="381">
        <f ca="1">IF(IFERROR(INDEX(DATA_PROPERTY_MASTER!$E$5:$E$21,MATCH($C980,DATA_PROPERTY_MASTER!$A$5:$A$21,0))="Yes",FALSE),IFERROR(INDEX(INDIRECT("'"&amp;$C980&amp;"'!$E$52:$Y$52"),1,MATCH($D980,INDIRECT("'"&amp;$C980&amp;"'!$E$12:$Y$12"),0)),0),0)</f>
        <v>214540.99724845786</v>
      </c>
      <c r="I980" s="366" t="s">
        <v>1685</v>
      </c>
      <c r="J980" s="348" t="str">
        <f t="shared" ca="1" si="30"/>
        <v>OK</v>
      </c>
      <c r="K980" s="366" t="s">
        <v>1710</v>
      </c>
      <c r="L980" s="366" t="s">
        <v>2246</v>
      </c>
      <c r="M980" s="350" t="str">
        <f>IF($B980="Portfolio","Portfolio",IFERROR(INDEX(DATA_ASSET_CLASSIFICATION!$B$8:$B$24,MATCH($C980,DATA_ASSET_CLASSIFICATION!$A$8:$A$24,0)),"Review"))</f>
        <v>Beatrice Terrace</v>
      </c>
      <c r="N980" s="350" t="str">
        <f ca="1">IF($B980="Portfolio","Portfolio",IFERROR(INDEX(DATA_ASSET_CLASSIFICATION!$U$8:$U$24,MATCH($C980,DATA_ASSET_CLASSIFICATION!$A$8:$A$24,0)),"Review"))</f>
        <v>Stable</v>
      </c>
      <c r="O980" s="350" t="str">
        <f ca="1">IF($B980="Portfolio","Portfolio",IFERROR(INDEX(DATA_ASSET_CLASSIFICATION!$AB$8:$AB$13,MATCH($N980,DATA_ASSET_CLASSIFICATION!$AA$8:$AA$13,0)),"Review"))</f>
        <v>Bucket 2 · Legacy</v>
      </c>
      <c r="P980" s="350" t="str">
        <f>IF($B980="Portfolio","Portfolio",IFERROR(INDEX(DATA_ASSET_CLASSIFICATION!$C$8:$C$24,MATCH($C980,DATA_ASSET_CLASSIFICATION!$A$8:$A$24,0)),"Review"))</f>
        <v>Yes</v>
      </c>
      <c r="Q980" s="350" t="str">
        <f t="shared" ca="1" si="31"/>
        <v>OK</v>
      </c>
    </row>
    <row r="981" spans="1:17">
      <c r="A981" s="366" t="s">
        <v>2937</v>
      </c>
      <c r="B981" s="366" t="s">
        <v>231</v>
      </c>
      <c r="C981" s="348" t="str">
        <f>DATA_PROPERTY_MASTER!$A$7</f>
        <v>BLD_BT</v>
      </c>
      <c r="D981" s="380">
        <f>'00_PORTFOLIO ROLLUP'!K$12</f>
        <v>2031</v>
      </c>
      <c r="E981" s="366" t="s">
        <v>1683</v>
      </c>
      <c r="F981" s="366" t="s">
        <v>27</v>
      </c>
      <c r="G981" s="348" t="str">
        <f>"'"&amp;$C981&amp;"'!$E$54:$Y$54"</f>
        <v>'BLD_BT'!$E$54:$Y$54</v>
      </c>
      <c r="H981" s="381">
        <f ca="1">IF(IFERROR(INDEX(DATA_PROPERTY_MASTER!$E$5:$E$21,MATCH($C981,DATA_PROPERTY_MASTER!$A$5:$A$21,0))="Yes",FALSE),IFERROR(INDEX(INDIRECT("'"&amp;$C981&amp;"'!$E$54:$Y$54"),1,MATCH($D981,INDIRECT("'"&amp;$C981&amp;"'!$E$12:$Y$12"),0)),0),0)</f>
        <v>128724.59834907472</v>
      </c>
      <c r="I981" s="366" t="s">
        <v>1690</v>
      </c>
      <c r="J981" s="348" t="str">
        <f t="shared" ca="1" si="30"/>
        <v>OK</v>
      </c>
      <c r="K981" s="366" t="s">
        <v>1714</v>
      </c>
      <c r="L981" s="366" t="s">
        <v>2248</v>
      </c>
      <c r="M981" s="350" t="str">
        <f>IF($B981="Portfolio","Portfolio",IFERROR(INDEX(DATA_ASSET_CLASSIFICATION!$B$8:$B$24,MATCH($C981,DATA_ASSET_CLASSIFICATION!$A$8:$A$24,0)),"Review"))</f>
        <v>Beatrice Terrace</v>
      </c>
      <c r="N981" s="350" t="str">
        <f ca="1">IF($B981="Portfolio","Portfolio",IFERROR(INDEX(DATA_ASSET_CLASSIFICATION!$U$8:$U$24,MATCH($C981,DATA_ASSET_CLASSIFICATION!$A$8:$A$24,0)),"Review"))</f>
        <v>Stable</v>
      </c>
      <c r="O981" s="350" t="str">
        <f ca="1">IF($B981="Portfolio","Portfolio",IFERROR(INDEX(DATA_ASSET_CLASSIFICATION!$AB$8:$AB$13,MATCH($N981,DATA_ASSET_CLASSIFICATION!$AA$8:$AA$13,0)),"Review"))</f>
        <v>Bucket 2 · Legacy</v>
      </c>
      <c r="P981" s="350" t="str">
        <f>IF($B981="Portfolio","Portfolio",IFERROR(INDEX(DATA_ASSET_CLASSIFICATION!$C$8:$C$24,MATCH($C981,DATA_ASSET_CLASSIFICATION!$A$8:$A$24,0)),"Review"))</f>
        <v>Yes</v>
      </c>
      <c r="Q981" s="350" t="str">
        <f t="shared" ca="1" si="31"/>
        <v>OK</v>
      </c>
    </row>
    <row r="982" spans="1:17">
      <c r="A982" s="366" t="s">
        <v>2938</v>
      </c>
      <c r="B982" s="366" t="s">
        <v>231</v>
      </c>
      <c r="C982" s="348" t="str">
        <f>DATA_PROPERTY_MASTER!$A$7</f>
        <v>BLD_BT</v>
      </c>
      <c r="D982" s="380">
        <f>'00_PORTFOLIO ROLLUP'!K$12</f>
        <v>2031</v>
      </c>
      <c r="E982" s="366" t="s">
        <v>1683</v>
      </c>
      <c r="F982" s="366" t="s">
        <v>29</v>
      </c>
      <c r="G982" s="348" t="str">
        <f>"'"&amp;$C982&amp;"'!$E$56:$Y$56"</f>
        <v>'BLD_BT'!$E$56:$Y$56</v>
      </c>
      <c r="H982" s="381">
        <f ca="1">IF(IFERROR(INDEX(DATA_PROPERTY_MASTER!$E$5:$E$21,MATCH($C982,DATA_PROPERTY_MASTER!$A$5:$A$21,0))="Yes",FALSE),IFERROR(INDEX(INDIRECT("'"&amp;$C982&amp;"'!$E$56:$Y$56"),1,MATCH($D982,INDIRECT("'"&amp;$C982&amp;"'!$E$12:$Y$12"),0)),0),0)</f>
        <v>85816.398899383144</v>
      </c>
      <c r="I982" s="366" t="s">
        <v>1685</v>
      </c>
      <c r="J982" s="348" t="str">
        <f t="shared" ca="1" si="30"/>
        <v>OK</v>
      </c>
      <c r="K982" s="366" t="s">
        <v>1718</v>
      </c>
      <c r="L982" s="366" t="s">
        <v>2250</v>
      </c>
      <c r="M982" s="350" t="str">
        <f>IF($B982="Portfolio","Portfolio",IFERROR(INDEX(DATA_ASSET_CLASSIFICATION!$B$8:$B$24,MATCH($C982,DATA_ASSET_CLASSIFICATION!$A$8:$A$24,0)),"Review"))</f>
        <v>Beatrice Terrace</v>
      </c>
      <c r="N982" s="350" t="str">
        <f ca="1">IF($B982="Portfolio","Portfolio",IFERROR(INDEX(DATA_ASSET_CLASSIFICATION!$U$8:$U$24,MATCH($C982,DATA_ASSET_CLASSIFICATION!$A$8:$A$24,0)),"Review"))</f>
        <v>Stable</v>
      </c>
      <c r="O982" s="350" t="str">
        <f ca="1">IF($B982="Portfolio","Portfolio",IFERROR(INDEX(DATA_ASSET_CLASSIFICATION!$AB$8:$AB$13,MATCH($N982,DATA_ASSET_CLASSIFICATION!$AA$8:$AA$13,0)),"Review"))</f>
        <v>Bucket 2 · Legacy</v>
      </c>
      <c r="P982" s="350" t="str">
        <f>IF($B982="Portfolio","Portfolio",IFERROR(INDEX(DATA_ASSET_CLASSIFICATION!$C$8:$C$24,MATCH($C982,DATA_ASSET_CLASSIFICATION!$A$8:$A$24,0)),"Review"))</f>
        <v>Yes</v>
      </c>
      <c r="Q982" s="350" t="str">
        <f t="shared" ca="1" si="31"/>
        <v>OK</v>
      </c>
    </row>
    <row r="983" spans="1:17">
      <c r="A983" s="366" t="s">
        <v>2939</v>
      </c>
      <c r="B983" s="366" t="s">
        <v>231</v>
      </c>
      <c r="C983" s="348" t="str">
        <f>DATA_PROPERTY_MASTER!$A$7</f>
        <v>BLD_BT</v>
      </c>
      <c r="D983" s="380">
        <f>'00_PORTFOLIO ROLLUP'!K$12</f>
        <v>2031</v>
      </c>
      <c r="E983" s="366" t="s">
        <v>1721</v>
      </c>
      <c r="F983" s="366" t="s">
        <v>31</v>
      </c>
      <c r="G983" s="348" t="str">
        <f>"'"&amp;$C983&amp;"'!$E$61:$Y$61"</f>
        <v>'BLD_BT'!$E$61:$Y$61</v>
      </c>
      <c r="H983" s="381">
        <f ca="1">IF(IFERROR(INDEX(DATA_PROPERTY_MASTER!$E$5:$E$21,MATCH($C983,DATA_PROPERTY_MASTER!$A$5:$A$21,0))="Yes",FALSE),IFERROR(INDEX(INDIRECT("'"&amp;$C983&amp;"'!$E$61:$Y$61"),1,MATCH($D983,INDIRECT("'"&amp;$C983&amp;"'!$E$12:$Y$12"),0)),0),0)</f>
        <v>0</v>
      </c>
      <c r="I983" s="366" t="s">
        <v>1690</v>
      </c>
      <c r="J983" s="348" t="str">
        <f t="shared" ca="1" si="30"/>
        <v>OK</v>
      </c>
      <c r="K983" s="366" t="s">
        <v>1723</v>
      </c>
      <c r="L983" s="366" t="s">
        <v>2252</v>
      </c>
      <c r="M983" s="350" t="str">
        <f>IF($B983="Portfolio","Portfolio",IFERROR(INDEX(DATA_ASSET_CLASSIFICATION!$B$8:$B$24,MATCH($C983,DATA_ASSET_CLASSIFICATION!$A$8:$A$24,0)),"Review"))</f>
        <v>Beatrice Terrace</v>
      </c>
      <c r="N983" s="350" t="str">
        <f ca="1">IF($B983="Portfolio","Portfolio",IFERROR(INDEX(DATA_ASSET_CLASSIFICATION!$U$8:$U$24,MATCH($C983,DATA_ASSET_CLASSIFICATION!$A$8:$A$24,0)),"Review"))</f>
        <v>Stable</v>
      </c>
      <c r="O983" s="350" t="str">
        <f ca="1">IF($B983="Portfolio","Portfolio",IFERROR(INDEX(DATA_ASSET_CLASSIFICATION!$AB$8:$AB$13,MATCH($N983,DATA_ASSET_CLASSIFICATION!$AA$8:$AA$13,0)),"Review"))</f>
        <v>Bucket 2 · Legacy</v>
      </c>
      <c r="P983" s="350" t="str">
        <f>IF($B983="Portfolio","Portfolio",IFERROR(INDEX(DATA_ASSET_CLASSIFICATION!$C$8:$C$24,MATCH($C983,DATA_ASSET_CLASSIFICATION!$A$8:$A$24,0)),"Review"))</f>
        <v>Yes</v>
      </c>
      <c r="Q983" s="350" t="str">
        <f t="shared" ca="1" si="31"/>
        <v>OK</v>
      </c>
    </row>
    <row r="984" spans="1:17">
      <c r="A984" s="366" t="s">
        <v>2940</v>
      </c>
      <c r="B984" s="366" t="s">
        <v>231</v>
      </c>
      <c r="C984" s="348" t="str">
        <f>DATA_PROPERTY_MASTER!$A$7</f>
        <v>BLD_BT</v>
      </c>
      <c r="D984" s="380">
        <f>'00_PORTFOLIO ROLLUP'!K$12</f>
        <v>2031</v>
      </c>
      <c r="E984" s="366" t="s">
        <v>1721</v>
      </c>
      <c r="F984" s="366" t="s">
        <v>33</v>
      </c>
      <c r="G984" s="348" t="str">
        <f>"'"&amp;$C984&amp;"'!$E$62:$Y$62"</f>
        <v>'BLD_BT'!$E$62:$Y$62</v>
      </c>
      <c r="H984" s="381">
        <f ca="1">IF(IFERROR(INDEX(DATA_PROPERTY_MASTER!$E$5:$E$21,MATCH($C984,DATA_PROPERTY_MASTER!$A$5:$A$21,0))="Yes",FALSE),IFERROR(INDEX(INDIRECT("'"&amp;$C984&amp;"'!$E$62:$Y$62"),1,MATCH($D984,INDIRECT("'"&amp;$C984&amp;"'!$E$12:$Y$12"),0)),0),0)</f>
        <v>0</v>
      </c>
      <c r="I984" s="366" t="s">
        <v>1685</v>
      </c>
      <c r="J984" s="348" t="str">
        <f t="shared" ca="1" si="30"/>
        <v>OK</v>
      </c>
      <c r="K984" s="366" t="s">
        <v>1727</v>
      </c>
      <c r="L984" s="366" t="s">
        <v>2254</v>
      </c>
      <c r="M984" s="350" t="str">
        <f>IF($B984="Portfolio","Portfolio",IFERROR(INDEX(DATA_ASSET_CLASSIFICATION!$B$8:$B$24,MATCH($C984,DATA_ASSET_CLASSIFICATION!$A$8:$A$24,0)),"Review"))</f>
        <v>Beatrice Terrace</v>
      </c>
      <c r="N984" s="350" t="str">
        <f ca="1">IF($B984="Portfolio","Portfolio",IFERROR(INDEX(DATA_ASSET_CLASSIFICATION!$U$8:$U$24,MATCH($C984,DATA_ASSET_CLASSIFICATION!$A$8:$A$24,0)),"Review"))</f>
        <v>Stable</v>
      </c>
      <c r="O984" s="350" t="str">
        <f ca="1">IF($B984="Portfolio","Portfolio",IFERROR(INDEX(DATA_ASSET_CLASSIFICATION!$AB$8:$AB$13,MATCH($N984,DATA_ASSET_CLASSIFICATION!$AA$8:$AA$13,0)),"Review"))</f>
        <v>Bucket 2 · Legacy</v>
      </c>
      <c r="P984" s="350" t="str">
        <f>IF($B984="Portfolio","Portfolio",IFERROR(INDEX(DATA_ASSET_CLASSIFICATION!$C$8:$C$24,MATCH($C984,DATA_ASSET_CLASSIFICATION!$A$8:$A$24,0)),"Review"))</f>
        <v>Yes</v>
      </c>
      <c r="Q984" s="350" t="str">
        <f t="shared" ca="1" si="31"/>
        <v>OK</v>
      </c>
    </row>
    <row r="985" spans="1:17">
      <c r="A985" s="366" t="s">
        <v>2941</v>
      </c>
      <c r="B985" s="366" t="s">
        <v>231</v>
      </c>
      <c r="C985" s="348" t="str">
        <f>DATA_PROPERTY_MASTER!$A$7</f>
        <v>BLD_BT</v>
      </c>
      <c r="D985" s="380">
        <f>'00_PORTFOLIO ROLLUP'!K$12</f>
        <v>2031</v>
      </c>
      <c r="E985" s="366" t="s">
        <v>1721</v>
      </c>
      <c r="F985" s="366" t="s">
        <v>35</v>
      </c>
      <c r="G985" s="348" t="str">
        <f>"'"&amp;$C985&amp;"'!$E$63:$Y$63"</f>
        <v>'BLD_BT'!$E$63:$Y$63</v>
      </c>
      <c r="H985" s="381">
        <f ca="1">IF(IFERROR(INDEX(DATA_PROPERTY_MASTER!$E$5:$E$21,MATCH($C985,DATA_PROPERTY_MASTER!$A$5:$A$21,0))="Yes",FALSE),IFERROR(INDEX(INDIRECT("'"&amp;$C985&amp;"'!$E$63:$Y$63"),1,MATCH($D985,INDIRECT("'"&amp;$C985&amp;"'!$E$12:$Y$12"),0)),0),0)</f>
        <v>0</v>
      </c>
      <c r="I985" s="366" t="s">
        <v>1731</v>
      </c>
      <c r="J985" s="348" t="str">
        <f t="shared" ca="1" si="30"/>
        <v>OK</v>
      </c>
      <c r="K985" s="366" t="s">
        <v>1732</v>
      </c>
      <c r="L985" s="366" t="s">
        <v>2256</v>
      </c>
      <c r="M985" s="350" t="str">
        <f>IF($B985="Portfolio","Portfolio",IFERROR(INDEX(DATA_ASSET_CLASSIFICATION!$B$8:$B$24,MATCH($C985,DATA_ASSET_CLASSIFICATION!$A$8:$A$24,0)),"Review"))</f>
        <v>Beatrice Terrace</v>
      </c>
      <c r="N985" s="350" t="str">
        <f ca="1">IF($B985="Portfolio","Portfolio",IFERROR(INDEX(DATA_ASSET_CLASSIFICATION!$U$8:$U$24,MATCH($C985,DATA_ASSET_CLASSIFICATION!$A$8:$A$24,0)),"Review"))</f>
        <v>Stable</v>
      </c>
      <c r="O985" s="350" t="str">
        <f ca="1">IF($B985="Portfolio","Portfolio",IFERROR(INDEX(DATA_ASSET_CLASSIFICATION!$AB$8:$AB$13,MATCH($N985,DATA_ASSET_CLASSIFICATION!$AA$8:$AA$13,0)),"Review"))</f>
        <v>Bucket 2 · Legacy</v>
      </c>
      <c r="P985" s="350" t="str">
        <f>IF($B985="Portfolio","Portfolio",IFERROR(INDEX(DATA_ASSET_CLASSIFICATION!$C$8:$C$24,MATCH($C985,DATA_ASSET_CLASSIFICATION!$A$8:$A$24,0)),"Review"))</f>
        <v>Yes</v>
      </c>
      <c r="Q985" s="350" t="str">
        <f t="shared" ca="1" si="31"/>
        <v>OK</v>
      </c>
    </row>
    <row r="986" spans="1:17">
      <c r="A986" s="366" t="s">
        <v>2942</v>
      </c>
      <c r="B986" s="366" t="s">
        <v>231</v>
      </c>
      <c r="C986" s="348" t="str">
        <f>DATA_PROPERTY_MASTER!$A$7</f>
        <v>BLD_BT</v>
      </c>
      <c r="D986" s="380">
        <f>'00_PORTFOLIO ROLLUP'!K$12</f>
        <v>2031</v>
      </c>
      <c r="E986" s="366" t="s">
        <v>1721</v>
      </c>
      <c r="F986" s="366" t="s">
        <v>37</v>
      </c>
      <c r="G986" s="348" t="str">
        <f>"'"&amp;$C986&amp;"'!$E$63:$Y$63"</f>
        <v>'BLD_BT'!$E$63:$Y$63</v>
      </c>
      <c r="H986" s="381">
        <f ca="1">IF(IFERROR(INDEX(DATA_PROPERTY_MASTER!$E$5:$E$21,MATCH($C986,DATA_PROPERTY_MASTER!$A$5:$A$21,0))="Yes",FALSE),MAX(IFERROR(INDEX(INDIRECT("'"&amp;$C986&amp;"'!$E$63:$Y$63"),1,MATCH($D986,INDIRECT("'"&amp;$C986&amp;"'!$E$12:$Y$12"),0)),0),0),0)</f>
        <v>0</v>
      </c>
      <c r="I986" s="366" t="s">
        <v>1685</v>
      </c>
      <c r="J986" s="348" t="str">
        <f t="shared" ca="1" si="30"/>
        <v>OK</v>
      </c>
      <c r="K986" s="366" t="s">
        <v>1735</v>
      </c>
      <c r="L986" s="366" t="s">
        <v>2258</v>
      </c>
      <c r="M986" s="350" t="str">
        <f>IF($B986="Portfolio","Portfolio",IFERROR(INDEX(DATA_ASSET_CLASSIFICATION!$B$8:$B$24,MATCH($C986,DATA_ASSET_CLASSIFICATION!$A$8:$A$24,0)),"Review"))</f>
        <v>Beatrice Terrace</v>
      </c>
      <c r="N986" s="350" t="str">
        <f ca="1">IF($B986="Portfolio","Portfolio",IFERROR(INDEX(DATA_ASSET_CLASSIFICATION!$U$8:$U$24,MATCH($C986,DATA_ASSET_CLASSIFICATION!$A$8:$A$24,0)),"Review"))</f>
        <v>Stable</v>
      </c>
      <c r="O986" s="350" t="str">
        <f ca="1">IF($B986="Portfolio","Portfolio",IFERROR(INDEX(DATA_ASSET_CLASSIFICATION!$AB$8:$AB$13,MATCH($N986,DATA_ASSET_CLASSIFICATION!$AA$8:$AA$13,0)),"Review"))</f>
        <v>Bucket 2 · Legacy</v>
      </c>
      <c r="P986" s="350" t="str">
        <f>IF($B986="Portfolio","Portfolio",IFERROR(INDEX(DATA_ASSET_CLASSIFICATION!$C$8:$C$24,MATCH($C986,DATA_ASSET_CLASSIFICATION!$A$8:$A$24,0)),"Review"))</f>
        <v>Yes</v>
      </c>
      <c r="Q986" s="350" t="str">
        <f t="shared" ca="1" si="31"/>
        <v>OK</v>
      </c>
    </row>
    <row r="987" spans="1:17">
      <c r="A987" s="366" t="s">
        <v>2943</v>
      </c>
      <c r="B987" s="366" t="s">
        <v>231</v>
      </c>
      <c r="C987" s="348" t="str">
        <f>DATA_PROPERTY_MASTER!$A$7</f>
        <v>BLD_BT</v>
      </c>
      <c r="D987" s="380">
        <f>'00_PORTFOLIO ROLLUP'!K$12</f>
        <v>2031</v>
      </c>
      <c r="E987" s="366" t="s">
        <v>1721</v>
      </c>
      <c r="F987" s="366" t="s">
        <v>39</v>
      </c>
      <c r="G987" s="348" t="str">
        <f>"'"&amp;$C987&amp;"'!$E$63:$Y$63"</f>
        <v>'BLD_BT'!$E$63:$Y$63</v>
      </c>
      <c r="H987" s="381">
        <f ca="1">IF(IFERROR(INDEX(DATA_PROPERTY_MASTER!$E$5:$E$21,MATCH($C987,DATA_PROPERTY_MASTER!$A$5:$A$21,0))="Yes",FALSE),MAX(-IFERROR(INDEX(INDIRECT("'"&amp;$C987&amp;"'!$E$63:$Y$63"),1,MATCH($D987,INDIRECT("'"&amp;$C987&amp;"'!$E$12:$Y$12"),0)),0),0),0)</f>
        <v>0</v>
      </c>
      <c r="I987" s="366" t="s">
        <v>1690</v>
      </c>
      <c r="J987" s="348" t="str">
        <f t="shared" ca="1" si="30"/>
        <v>OK</v>
      </c>
      <c r="K987" s="366" t="s">
        <v>1738</v>
      </c>
      <c r="L987" s="366" t="s">
        <v>2260</v>
      </c>
      <c r="M987" s="350" t="str">
        <f>IF($B987="Portfolio","Portfolio",IFERROR(INDEX(DATA_ASSET_CLASSIFICATION!$B$8:$B$24,MATCH($C987,DATA_ASSET_CLASSIFICATION!$A$8:$A$24,0)),"Review"))</f>
        <v>Beatrice Terrace</v>
      </c>
      <c r="N987" s="350" t="str">
        <f ca="1">IF($B987="Portfolio","Portfolio",IFERROR(INDEX(DATA_ASSET_CLASSIFICATION!$U$8:$U$24,MATCH($C987,DATA_ASSET_CLASSIFICATION!$A$8:$A$24,0)),"Review"))</f>
        <v>Stable</v>
      </c>
      <c r="O987" s="350" t="str">
        <f ca="1">IF($B987="Portfolio","Portfolio",IFERROR(INDEX(DATA_ASSET_CLASSIFICATION!$AB$8:$AB$13,MATCH($N987,DATA_ASSET_CLASSIFICATION!$AA$8:$AA$13,0)),"Review"))</f>
        <v>Bucket 2 · Legacy</v>
      </c>
      <c r="P987" s="350" t="str">
        <f>IF($B987="Portfolio","Portfolio",IFERROR(INDEX(DATA_ASSET_CLASSIFICATION!$C$8:$C$24,MATCH($C987,DATA_ASSET_CLASSIFICATION!$A$8:$A$24,0)),"Review"))</f>
        <v>Yes</v>
      </c>
      <c r="Q987" s="350" t="str">
        <f t="shared" ca="1" si="31"/>
        <v>OK</v>
      </c>
    </row>
    <row r="988" spans="1:17">
      <c r="A988" s="366" t="s">
        <v>2944</v>
      </c>
      <c r="B988" s="366" t="s">
        <v>231</v>
      </c>
      <c r="C988" s="348" t="str">
        <f>DATA_PROPERTY_MASTER!$A$7</f>
        <v>BLD_BT</v>
      </c>
      <c r="D988" s="380">
        <f>'00_PORTFOLIO ROLLUP'!K$12</f>
        <v>2031</v>
      </c>
      <c r="E988" s="366" t="s">
        <v>1741</v>
      </c>
      <c r="F988" s="366" t="s">
        <v>41</v>
      </c>
      <c r="G988" s="348" t="str">
        <f>"'"&amp;$C988&amp;"'!rows 56 + positive row 63"</f>
        <v>'BLD_BT'!rows 56 + positive row 63</v>
      </c>
      <c r="H988" s="381">
        <f ca="1">IF(IFERROR(INDEX(DATA_PROPERTY_MASTER!$E$5:$E$21,MATCH($C988,DATA_PROPERTY_MASTER!$A$5:$A$21,0))="Yes",FALSE),IFERROR(INDEX(INDIRECT("'"&amp;$C988&amp;"'!$E$56:$Y$56"),1,MATCH($D988,INDIRECT("'"&amp;$C988&amp;"'!$E$12:$Y$12"),0)),0)+MAX(IFERROR(INDEX(INDIRECT("'"&amp;$C988&amp;"'!$E$63:$Y$63"),1,MATCH($D988,INDIRECT("'"&amp;$C988&amp;"'!$E$12:$Y$12"),0)),0),0),0)</f>
        <v>85816.398899383144</v>
      </c>
      <c r="I988" s="366" t="s">
        <v>1685</v>
      </c>
      <c r="J988" s="348" t="str">
        <f t="shared" ca="1" si="30"/>
        <v>OK</v>
      </c>
      <c r="K988" s="366" t="s">
        <v>1742</v>
      </c>
      <c r="L988" s="366" t="s">
        <v>2262</v>
      </c>
      <c r="M988" s="350" t="str">
        <f>IF($B988="Portfolio","Portfolio",IFERROR(INDEX(DATA_ASSET_CLASSIFICATION!$B$8:$B$24,MATCH($C988,DATA_ASSET_CLASSIFICATION!$A$8:$A$24,0)),"Review"))</f>
        <v>Beatrice Terrace</v>
      </c>
      <c r="N988" s="350" t="str">
        <f ca="1">IF($B988="Portfolio","Portfolio",IFERROR(INDEX(DATA_ASSET_CLASSIFICATION!$U$8:$U$24,MATCH($C988,DATA_ASSET_CLASSIFICATION!$A$8:$A$24,0)),"Review"))</f>
        <v>Stable</v>
      </c>
      <c r="O988" s="350" t="str">
        <f ca="1">IF($B988="Portfolio","Portfolio",IFERROR(INDEX(DATA_ASSET_CLASSIFICATION!$AB$8:$AB$13,MATCH($N988,DATA_ASSET_CLASSIFICATION!$AA$8:$AA$13,0)),"Review"))</f>
        <v>Bucket 2 · Legacy</v>
      </c>
      <c r="P988" s="350" t="str">
        <f>IF($B988="Portfolio","Portfolio",IFERROR(INDEX(DATA_ASSET_CLASSIFICATION!$C$8:$C$24,MATCH($C988,DATA_ASSET_CLASSIFICATION!$A$8:$A$24,0)),"Review"))</f>
        <v>Yes</v>
      </c>
      <c r="Q988" s="350" t="str">
        <f t="shared" ca="1" si="31"/>
        <v>OK</v>
      </c>
    </row>
    <row r="989" spans="1:17">
      <c r="A989" s="366" t="s">
        <v>2945</v>
      </c>
      <c r="B989" s="366" t="s">
        <v>231</v>
      </c>
      <c r="C989" s="348" t="str">
        <f>DATA_PROPERTY_MASTER!$A$7</f>
        <v>BLD_BT</v>
      </c>
      <c r="D989" s="380">
        <f>'00_PORTFOLIO ROLLUP'!K$12</f>
        <v>2031</v>
      </c>
      <c r="E989" s="366" t="s">
        <v>1741</v>
      </c>
      <c r="F989" s="366" t="s">
        <v>43</v>
      </c>
      <c r="G989" s="348" t="str">
        <f>"'"&amp;$C989&amp;"'!$E$68:$Y$68"</f>
        <v>'BLD_BT'!$E$68:$Y$68</v>
      </c>
      <c r="H989" s="381">
        <f ca="1">IF(IFERROR(INDEX(DATA_PROPERTY_MASTER!$E$5:$E$21,MATCH($C989,DATA_PROPERTY_MASTER!$A$5:$A$21,0))="Yes",FALSE),IFERROR(INDEX(INDIRECT("'"&amp;$C989&amp;"'!$E$68:$Y$68"),1,MATCH($D989,INDIRECT("'"&amp;$C989&amp;"'!$E$12:$Y$12"),0)),0),0)</f>
        <v>85816.398899383144</v>
      </c>
      <c r="I989" s="366" t="s">
        <v>1731</v>
      </c>
      <c r="J989" s="348" t="str">
        <f t="shared" ca="1" si="30"/>
        <v>OK</v>
      </c>
      <c r="K989" s="366" t="s">
        <v>1746</v>
      </c>
      <c r="L989" s="366" t="s">
        <v>2264</v>
      </c>
      <c r="M989" s="350" t="str">
        <f>IF($B989="Portfolio","Portfolio",IFERROR(INDEX(DATA_ASSET_CLASSIFICATION!$B$8:$B$24,MATCH($C989,DATA_ASSET_CLASSIFICATION!$A$8:$A$24,0)),"Review"))</f>
        <v>Beatrice Terrace</v>
      </c>
      <c r="N989" s="350" t="str">
        <f ca="1">IF($B989="Portfolio","Portfolio",IFERROR(INDEX(DATA_ASSET_CLASSIFICATION!$U$8:$U$24,MATCH($C989,DATA_ASSET_CLASSIFICATION!$A$8:$A$24,0)),"Review"))</f>
        <v>Stable</v>
      </c>
      <c r="O989" s="350" t="str">
        <f ca="1">IF($B989="Portfolio","Portfolio",IFERROR(INDEX(DATA_ASSET_CLASSIFICATION!$AB$8:$AB$13,MATCH($N989,DATA_ASSET_CLASSIFICATION!$AA$8:$AA$13,0)),"Review"))</f>
        <v>Bucket 2 · Legacy</v>
      </c>
      <c r="P989" s="350" t="str">
        <f>IF($B989="Portfolio","Portfolio",IFERROR(INDEX(DATA_ASSET_CLASSIFICATION!$C$8:$C$24,MATCH($C989,DATA_ASSET_CLASSIFICATION!$A$8:$A$24,0)),"Review"))</f>
        <v>Yes</v>
      </c>
      <c r="Q989" s="350" t="str">
        <f t="shared" ca="1" si="31"/>
        <v>OK</v>
      </c>
    </row>
    <row r="990" spans="1:17">
      <c r="A990" s="366" t="s">
        <v>2946</v>
      </c>
      <c r="B990" s="366" t="s">
        <v>231</v>
      </c>
      <c r="C990" s="348" t="str">
        <f>DATA_PROPERTY_MASTER!$A$7</f>
        <v>BLD_BT</v>
      </c>
      <c r="D990" s="380">
        <f>'00_PORTFOLIO ROLLUP'!K$12</f>
        <v>2031</v>
      </c>
      <c r="E990" s="366" t="s">
        <v>1741</v>
      </c>
      <c r="F990" s="366" t="s">
        <v>1749</v>
      </c>
      <c r="G990" s="348" t="str">
        <f>"'"&amp;$C990&amp;"'!rows 56, 63, 68"</f>
        <v>'BLD_BT'!rows 56, 63, 68</v>
      </c>
      <c r="H990" s="381">
        <f ca="1">IF(IFERROR(INDEX(DATA_PROPERTY_MASTER!$E$5:$E$21,MATCH($C990,DATA_PROPERTY_MASTER!$A$5:$A$21,0))="Yes",FALSE),(IFERROR(INDEX(INDIRECT("'"&amp;$C990&amp;"'!$E$56:$Y$56"),1,MATCH($D990,INDIRECT("'"&amp;$C990&amp;"'!$E$12:$Y$12"),0)),0)+MAX(IFERROR(INDEX(INDIRECT("'"&amp;$C990&amp;"'!$E$63:$Y$63"),1,MATCH($D990,INDIRECT("'"&amp;$C990&amp;"'!$E$12:$Y$12"),0)),0),0))-(IFERROR(INDEX(INDIRECT("'"&amp;$C990&amp;"'!$E$68:$Y$68"),1,MATCH($D990,INDIRECT("'"&amp;$C990&amp;"'!$E$12:$Y$12"),0)),0)),0)</f>
        <v>0</v>
      </c>
      <c r="I990" s="366" t="s">
        <v>1750</v>
      </c>
      <c r="J990" s="348" t="str">
        <f t="shared" ca="1" si="30"/>
        <v>OK</v>
      </c>
      <c r="K990" s="366" t="s">
        <v>1751</v>
      </c>
      <c r="L990" s="366" t="s">
        <v>2266</v>
      </c>
      <c r="M990" s="350" t="str">
        <f>IF($B990="Portfolio","Portfolio",IFERROR(INDEX(DATA_ASSET_CLASSIFICATION!$B$8:$B$24,MATCH($C990,DATA_ASSET_CLASSIFICATION!$A$8:$A$24,0)),"Review"))</f>
        <v>Beatrice Terrace</v>
      </c>
      <c r="N990" s="350" t="str">
        <f ca="1">IF($B990="Portfolio","Portfolio",IFERROR(INDEX(DATA_ASSET_CLASSIFICATION!$U$8:$U$24,MATCH($C990,DATA_ASSET_CLASSIFICATION!$A$8:$A$24,0)),"Review"))</f>
        <v>Stable</v>
      </c>
      <c r="O990" s="350" t="str">
        <f ca="1">IF($B990="Portfolio","Portfolio",IFERROR(INDEX(DATA_ASSET_CLASSIFICATION!$AB$8:$AB$13,MATCH($N990,DATA_ASSET_CLASSIFICATION!$AA$8:$AA$13,0)),"Review"))</f>
        <v>Bucket 2 · Legacy</v>
      </c>
      <c r="P990" s="350" t="str">
        <f>IF($B990="Portfolio","Portfolio",IFERROR(INDEX(DATA_ASSET_CLASSIFICATION!$C$8:$C$24,MATCH($C990,DATA_ASSET_CLASSIFICATION!$A$8:$A$24,0)),"Review"))</f>
        <v>Yes</v>
      </c>
      <c r="Q990" s="350" t="str">
        <f t="shared" ca="1" si="31"/>
        <v>OK</v>
      </c>
    </row>
    <row r="991" spans="1:17">
      <c r="A991" s="366" t="s">
        <v>2947</v>
      </c>
      <c r="B991" s="366" t="s">
        <v>231</v>
      </c>
      <c r="C991" s="348" t="str">
        <f>DATA_PROPERTY_MASTER!$A$7</f>
        <v>BLD_BT</v>
      </c>
      <c r="D991" s="380">
        <f>'00_PORTFOLIO ROLLUP'!L$12</f>
        <v>2032</v>
      </c>
      <c r="E991" s="366" t="s">
        <v>1683</v>
      </c>
      <c r="F991" s="366" t="s">
        <v>341</v>
      </c>
      <c r="G991" s="348" t="str">
        <f>"'"&amp;$C991&amp;"'!$E$24:$Y$24"</f>
        <v>'BLD_BT'!$E$24:$Y$24</v>
      </c>
      <c r="H991" s="381">
        <f ca="1">IF(IFERROR(INDEX(DATA_PROPERTY_MASTER!$E$5:$E$21,MATCH($C991,DATA_PROPERTY_MASTER!$A$5:$A$21,0))="Yes",FALSE),IFERROR(INDEX(INDIRECT("'"&amp;$C991&amp;"'!$E$24:$Y$24"),1,MATCH($D991,INDIRECT("'"&amp;$C991&amp;"'!$E$12:$Y$12"),0)),0),0)</f>
        <v>484709.35769295186</v>
      </c>
      <c r="I991" s="366" t="s">
        <v>1685</v>
      </c>
      <c r="J991" s="348" t="str">
        <f t="shared" ca="1" si="30"/>
        <v>OK</v>
      </c>
      <c r="K991" s="366" t="s">
        <v>1686</v>
      </c>
      <c r="L991" s="366" t="s">
        <v>2234</v>
      </c>
      <c r="M991" s="350" t="str">
        <f>IF($B991="Portfolio","Portfolio",IFERROR(INDEX(DATA_ASSET_CLASSIFICATION!$B$8:$B$24,MATCH($C991,DATA_ASSET_CLASSIFICATION!$A$8:$A$24,0)),"Review"))</f>
        <v>Beatrice Terrace</v>
      </c>
      <c r="N991" s="350" t="str">
        <f ca="1">IF($B991="Portfolio","Portfolio",IFERROR(INDEX(DATA_ASSET_CLASSIFICATION!$U$8:$U$24,MATCH($C991,DATA_ASSET_CLASSIFICATION!$A$8:$A$24,0)),"Review"))</f>
        <v>Stable</v>
      </c>
      <c r="O991" s="350" t="str">
        <f ca="1">IF($B991="Portfolio","Portfolio",IFERROR(INDEX(DATA_ASSET_CLASSIFICATION!$AB$8:$AB$13,MATCH($N991,DATA_ASSET_CLASSIFICATION!$AA$8:$AA$13,0)),"Review"))</f>
        <v>Bucket 2 · Legacy</v>
      </c>
      <c r="P991" s="350" t="str">
        <f>IF($B991="Portfolio","Portfolio",IFERROR(INDEX(DATA_ASSET_CLASSIFICATION!$C$8:$C$24,MATCH($C991,DATA_ASSET_CLASSIFICATION!$A$8:$A$24,0)),"Review"))</f>
        <v>Yes</v>
      </c>
      <c r="Q991" s="350" t="str">
        <f t="shared" ca="1" si="31"/>
        <v>OK</v>
      </c>
    </row>
    <row r="992" spans="1:17">
      <c r="A992" s="366" t="s">
        <v>2948</v>
      </c>
      <c r="B992" s="366" t="s">
        <v>231</v>
      </c>
      <c r="C992" s="348" t="str">
        <f>DATA_PROPERTY_MASTER!$A$7</f>
        <v>BLD_BT</v>
      </c>
      <c r="D992" s="380">
        <f>'00_PORTFOLIO ROLLUP'!L$12</f>
        <v>2032</v>
      </c>
      <c r="E992" s="366" t="s">
        <v>1683</v>
      </c>
      <c r="F992" s="366" t="s">
        <v>355</v>
      </c>
      <c r="G992" s="348" t="str">
        <f>"'"&amp;$C992&amp;"'!$E$39:$Y$39"</f>
        <v>'BLD_BT'!$E$39:$Y$39</v>
      </c>
      <c r="H992" s="381">
        <f ca="1">IF(IFERROR(INDEX(DATA_PROPERTY_MASTER!$E$5:$E$21,MATCH($C992,DATA_PROPERTY_MASTER!$A$5:$A$21,0))="Yes",FALSE),IFERROR(INDEX(INDIRECT("'"&amp;$C992&amp;"'!$E$39:$Y$39"),1,MATCH($D992,INDIRECT("'"&amp;$C992&amp;"'!$E$12:$Y$12"),0)),0),0)</f>
        <v>158359.23031324102</v>
      </c>
      <c r="I992" s="366" t="s">
        <v>1690</v>
      </c>
      <c r="J992" s="348" t="str">
        <f t="shared" ca="1" si="30"/>
        <v>OK</v>
      </c>
      <c r="K992" s="366" t="s">
        <v>1686</v>
      </c>
      <c r="L992" s="366" t="s">
        <v>2236</v>
      </c>
      <c r="M992" s="350" t="str">
        <f>IF($B992="Portfolio","Portfolio",IFERROR(INDEX(DATA_ASSET_CLASSIFICATION!$B$8:$B$24,MATCH($C992,DATA_ASSET_CLASSIFICATION!$A$8:$A$24,0)),"Review"))</f>
        <v>Beatrice Terrace</v>
      </c>
      <c r="N992" s="350" t="str">
        <f ca="1">IF($B992="Portfolio","Portfolio",IFERROR(INDEX(DATA_ASSET_CLASSIFICATION!$U$8:$U$24,MATCH($C992,DATA_ASSET_CLASSIFICATION!$A$8:$A$24,0)),"Review"))</f>
        <v>Stable</v>
      </c>
      <c r="O992" s="350" t="str">
        <f ca="1">IF($B992="Portfolio","Portfolio",IFERROR(INDEX(DATA_ASSET_CLASSIFICATION!$AB$8:$AB$13,MATCH($N992,DATA_ASSET_CLASSIFICATION!$AA$8:$AA$13,0)),"Review"))</f>
        <v>Bucket 2 · Legacy</v>
      </c>
      <c r="P992" s="350" t="str">
        <f>IF($B992="Portfolio","Portfolio",IFERROR(INDEX(DATA_ASSET_CLASSIFICATION!$C$8:$C$24,MATCH($C992,DATA_ASSET_CLASSIFICATION!$A$8:$A$24,0)),"Review"))</f>
        <v>Yes</v>
      </c>
      <c r="Q992" s="350" t="str">
        <f t="shared" ca="1" si="31"/>
        <v>OK</v>
      </c>
    </row>
    <row r="993" spans="1:17">
      <c r="A993" s="366" t="s">
        <v>2949</v>
      </c>
      <c r="B993" s="366" t="s">
        <v>231</v>
      </c>
      <c r="C993" s="348" t="str">
        <f>DATA_PROPERTY_MASTER!$A$7</f>
        <v>BLD_BT</v>
      </c>
      <c r="D993" s="380">
        <f>'00_PORTFOLIO ROLLUP'!L$12</f>
        <v>2032</v>
      </c>
      <c r="E993" s="366" t="s">
        <v>1683</v>
      </c>
      <c r="F993" s="366" t="s">
        <v>19</v>
      </c>
      <c r="G993" s="348" t="str">
        <f>"'"&amp;$C993&amp;"'!$E$41:$Y$41"</f>
        <v>'BLD_BT'!$E$41:$Y$41</v>
      </c>
      <c r="H993" s="381">
        <f ca="1">IF(IFERROR(INDEX(DATA_PROPERTY_MASTER!$E$5:$E$21,MATCH($C993,DATA_PROPERTY_MASTER!$A$5:$A$21,0))="Yes",FALSE),IFERROR(INDEX(INDIRECT("'"&amp;$C993&amp;"'!$E$41:$Y$41"),1,MATCH($D993,INDIRECT("'"&amp;$C993&amp;"'!$E$12:$Y$12"),0)),0),0)</f>
        <v>326350.12737971084</v>
      </c>
      <c r="I993" s="366" t="s">
        <v>1685</v>
      </c>
      <c r="J993" s="348" t="str">
        <f t="shared" ca="1" si="30"/>
        <v>OK</v>
      </c>
      <c r="K993" s="366" t="s">
        <v>1694</v>
      </c>
      <c r="L993" s="366" t="s">
        <v>2238</v>
      </c>
      <c r="M993" s="350" t="str">
        <f>IF($B993="Portfolio","Portfolio",IFERROR(INDEX(DATA_ASSET_CLASSIFICATION!$B$8:$B$24,MATCH($C993,DATA_ASSET_CLASSIFICATION!$A$8:$A$24,0)),"Review"))</f>
        <v>Beatrice Terrace</v>
      </c>
      <c r="N993" s="350" t="str">
        <f ca="1">IF($B993="Portfolio","Portfolio",IFERROR(INDEX(DATA_ASSET_CLASSIFICATION!$U$8:$U$24,MATCH($C993,DATA_ASSET_CLASSIFICATION!$A$8:$A$24,0)),"Review"))</f>
        <v>Stable</v>
      </c>
      <c r="O993" s="350" t="str">
        <f ca="1">IF($B993="Portfolio","Portfolio",IFERROR(INDEX(DATA_ASSET_CLASSIFICATION!$AB$8:$AB$13,MATCH($N993,DATA_ASSET_CLASSIFICATION!$AA$8:$AA$13,0)),"Review"))</f>
        <v>Bucket 2 · Legacy</v>
      </c>
      <c r="P993" s="350" t="str">
        <f>IF($B993="Portfolio","Portfolio",IFERROR(INDEX(DATA_ASSET_CLASSIFICATION!$C$8:$C$24,MATCH($C993,DATA_ASSET_CLASSIFICATION!$A$8:$A$24,0)),"Review"))</f>
        <v>Yes</v>
      </c>
      <c r="Q993" s="350" t="str">
        <f t="shared" ca="1" si="31"/>
        <v>OK</v>
      </c>
    </row>
    <row r="994" spans="1:17">
      <c r="A994" s="366" t="s">
        <v>2950</v>
      </c>
      <c r="B994" s="366" t="s">
        <v>231</v>
      </c>
      <c r="C994" s="348" t="str">
        <f>DATA_PROPERTY_MASTER!$A$7</f>
        <v>BLD_BT</v>
      </c>
      <c r="D994" s="380">
        <f>'00_PORTFOLIO ROLLUP'!L$12</f>
        <v>2032</v>
      </c>
      <c r="E994" s="366" t="s">
        <v>1683</v>
      </c>
      <c r="F994" s="366" t="s">
        <v>1697</v>
      </c>
      <c r="G994" s="348" t="str">
        <f>"'"&amp;$C994&amp;"'!$E$44:$Y$44"</f>
        <v>'BLD_BT'!$E$44:$Y$44</v>
      </c>
      <c r="H994" s="381">
        <f ca="1">IF(IFERROR(INDEX(DATA_PROPERTY_MASTER!$E$5:$E$21,MATCH($C994,DATA_PROPERTY_MASTER!$A$5:$A$21,0))="Yes",FALSE),IFERROR(INDEX(INDIRECT("'"&amp;$C994&amp;"'!$E$44:$Y$44"),1,MATCH($D994,INDIRECT("'"&amp;$C994&amp;"'!$E$12:$Y$12"),0)),0),0)</f>
        <v>3101.4513026530553</v>
      </c>
      <c r="I994" s="366" t="s">
        <v>1690</v>
      </c>
      <c r="J994" s="348" t="str">
        <f t="shared" ca="1" si="30"/>
        <v>OK</v>
      </c>
      <c r="K994" s="366" t="s">
        <v>1699</v>
      </c>
      <c r="L994" s="366" t="s">
        <v>2240</v>
      </c>
      <c r="M994" s="350" t="str">
        <f>IF($B994="Portfolio","Portfolio",IFERROR(INDEX(DATA_ASSET_CLASSIFICATION!$B$8:$B$24,MATCH($C994,DATA_ASSET_CLASSIFICATION!$A$8:$A$24,0)),"Review"))</f>
        <v>Beatrice Terrace</v>
      </c>
      <c r="N994" s="350" t="str">
        <f ca="1">IF($B994="Portfolio","Portfolio",IFERROR(INDEX(DATA_ASSET_CLASSIFICATION!$U$8:$U$24,MATCH($C994,DATA_ASSET_CLASSIFICATION!$A$8:$A$24,0)),"Review"))</f>
        <v>Stable</v>
      </c>
      <c r="O994" s="350" t="str">
        <f ca="1">IF($B994="Portfolio","Portfolio",IFERROR(INDEX(DATA_ASSET_CLASSIFICATION!$AB$8:$AB$13,MATCH($N994,DATA_ASSET_CLASSIFICATION!$AA$8:$AA$13,0)),"Review"))</f>
        <v>Bucket 2 · Legacy</v>
      </c>
      <c r="P994" s="350" t="str">
        <f>IF($B994="Portfolio","Portfolio",IFERROR(INDEX(DATA_ASSET_CLASSIFICATION!$C$8:$C$24,MATCH($C994,DATA_ASSET_CLASSIFICATION!$A$8:$A$24,0)),"Review"))</f>
        <v>Yes</v>
      </c>
      <c r="Q994" s="350" t="str">
        <f t="shared" ca="1" si="31"/>
        <v>OK</v>
      </c>
    </row>
    <row r="995" spans="1:17">
      <c r="A995" s="366" t="s">
        <v>2951</v>
      </c>
      <c r="B995" s="366" t="s">
        <v>231</v>
      </c>
      <c r="C995" s="348" t="str">
        <f>DATA_PROPERTY_MASTER!$A$7</f>
        <v>BLD_BT</v>
      </c>
      <c r="D995" s="380">
        <f>'00_PORTFOLIO ROLLUP'!L$12</f>
        <v>2032</v>
      </c>
      <c r="E995" s="366" t="s">
        <v>1683</v>
      </c>
      <c r="F995" s="366" t="s">
        <v>21</v>
      </c>
      <c r="G995" s="348" t="str">
        <f>"'"&amp;$C995&amp;"'!$E$45:$Y$45"</f>
        <v>'BLD_BT'!$E$45:$Y$45</v>
      </c>
      <c r="H995" s="381">
        <f ca="1">IF(IFERROR(INDEX(DATA_PROPERTY_MASTER!$E$5:$E$21,MATCH($C995,DATA_PROPERTY_MASTER!$A$5:$A$21,0))="Yes",FALSE),IFERROR(INDEX(INDIRECT("'"&amp;$C995&amp;"'!$E$45:$Y$45"),1,MATCH($D995,INDIRECT("'"&amp;$C995&amp;"'!$E$12:$Y$12"),0)),0),0)</f>
        <v>323248.67607705778</v>
      </c>
      <c r="I995" s="366" t="s">
        <v>1685</v>
      </c>
      <c r="J995" s="348" t="str">
        <f t="shared" ca="1" si="30"/>
        <v>OK</v>
      </c>
      <c r="K995" s="366" t="s">
        <v>1694</v>
      </c>
      <c r="L995" s="366" t="s">
        <v>2242</v>
      </c>
      <c r="M995" s="350" t="str">
        <f>IF($B995="Portfolio","Portfolio",IFERROR(INDEX(DATA_ASSET_CLASSIFICATION!$B$8:$B$24,MATCH($C995,DATA_ASSET_CLASSIFICATION!$A$8:$A$24,0)),"Review"))</f>
        <v>Beatrice Terrace</v>
      </c>
      <c r="N995" s="350" t="str">
        <f ca="1">IF($B995="Portfolio","Portfolio",IFERROR(INDEX(DATA_ASSET_CLASSIFICATION!$U$8:$U$24,MATCH($C995,DATA_ASSET_CLASSIFICATION!$A$8:$A$24,0)),"Review"))</f>
        <v>Stable</v>
      </c>
      <c r="O995" s="350" t="str">
        <f ca="1">IF($B995="Portfolio","Portfolio",IFERROR(INDEX(DATA_ASSET_CLASSIFICATION!$AB$8:$AB$13,MATCH($N995,DATA_ASSET_CLASSIFICATION!$AA$8:$AA$13,0)),"Review"))</f>
        <v>Bucket 2 · Legacy</v>
      </c>
      <c r="P995" s="350" t="str">
        <f>IF($B995="Portfolio","Portfolio",IFERROR(INDEX(DATA_ASSET_CLASSIFICATION!$C$8:$C$24,MATCH($C995,DATA_ASSET_CLASSIFICATION!$A$8:$A$24,0)),"Review"))</f>
        <v>Yes</v>
      </c>
      <c r="Q995" s="350" t="str">
        <f t="shared" ca="1" si="31"/>
        <v>OK</v>
      </c>
    </row>
    <row r="996" spans="1:17">
      <c r="A996" s="366" t="s">
        <v>2952</v>
      </c>
      <c r="B996" s="366" t="s">
        <v>231</v>
      </c>
      <c r="C996" s="348" t="str">
        <f>DATA_PROPERTY_MASTER!$A$7</f>
        <v>BLD_BT</v>
      </c>
      <c r="D996" s="380">
        <f>'00_PORTFOLIO ROLLUP'!L$12</f>
        <v>2032</v>
      </c>
      <c r="E996" s="366" t="s">
        <v>23</v>
      </c>
      <c r="F996" s="366" t="s">
        <v>23</v>
      </c>
      <c r="G996" s="348" t="str">
        <f>"'"&amp;$C996&amp;"'!$E$48:$Y$48"</f>
        <v>'BLD_BT'!$E$48:$Y$48</v>
      </c>
      <c r="H996" s="381">
        <f ca="1">IF(IFERROR(INDEX(DATA_PROPERTY_MASTER!$E$5:$E$21,MATCH($C996,DATA_PROPERTY_MASTER!$A$5:$A$21,0))="Yes",FALSE),IFERROR(INDEX(INDIRECT("'"&amp;$C996&amp;"'!$E$48:$Y$48"),1,MATCH($D996,INDIRECT("'"&amp;$C996&amp;"'!$E$12:$Y$12"),0)),0),0)</f>
        <v>110563.68</v>
      </c>
      <c r="I996" s="366" t="s">
        <v>1690</v>
      </c>
      <c r="J996" s="348" t="str">
        <f t="shared" ca="1" si="30"/>
        <v>OK</v>
      </c>
      <c r="K996" s="366" t="s">
        <v>1706</v>
      </c>
      <c r="L996" s="366" t="s">
        <v>2244</v>
      </c>
      <c r="M996" s="350" t="str">
        <f>IF($B996="Portfolio","Portfolio",IFERROR(INDEX(DATA_ASSET_CLASSIFICATION!$B$8:$B$24,MATCH($C996,DATA_ASSET_CLASSIFICATION!$A$8:$A$24,0)),"Review"))</f>
        <v>Beatrice Terrace</v>
      </c>
      <c r="N996" s="350" t="str">
        <f ca="1">IF($B996="Portfolio","Portfolio",IFERROR(INDEX(DATA_ASSET_CLASSIFICATION!$U$8:$U$24,MATCH($C996,DATA_ASSET_CLASSIFICATION!$A$8:$A$24,0)),"Review"))</f>
        <v>Stable</v>
      </c>
      <c r="O996" s="350" t="str">
        <f ca="1">IF($B996="Portfolio","Portfolio",IFERROR(INDEX(DATA_ASSET_CLASSIFICATION!$AB$8:$AB$13,MATCH($N996,DATA_ASSET_CLASSIFICATION!$AA$8:$AA$13,0)),"Review"))</f>
        <v>Bucket 2 · Legacy</v>
      </c>
      <c r="P996" s="350" t="str">
        <f>IF($B996="Portfolio","Portfolio",IFERROR(INDEX(DATA_ASSET_CLASSIFICATION!$C$8:$C$24,MATCH($C996,DATA_ASSET_CLASSIFICATION!$A$8:$A$24,0)),"Review"))</f>
        <v>Yes</v>
      </c>
      <c r="Q996" s="350" t="str">
        <f t="shared" ca="1" si="31"/>
        <v>OK</v>
      </c>
    </row>
    <row r="997" spans="1:17">
      <c r="A997" s="366" t="s">
        <v>2953</v>
      </c>
      <c r="B997" s="366" t="s">
        <v>231</v>
      </c>
      <c r="C997" s="348" t="str">
        <f>DATA_PROPERTY_MASTER!$A$7</f>
        <v>BLD_BT</v>
      </c>
      <c r="D997" s="380">
        <f>'00_PORTFOLIO ROLLUP'!L$12</f>
        <v>2032</v>
      </c>
      <c r="E997" s="366" t="s">
        <v>1683</v>
      </c>
      <c r="F997" s="366" t="s">
        <v>25</v>
      </c>
      <c r="G997" s="348" t="str">
        <f>"'"&amp;$C997&amp;"'!$E$52:$Y$52"</f>
        <v>'BLD_BT'!$E$52:$Y$52</v>
      </c>
      <c r="H997" s="381">
        <f ca="1">IF(IFERROR(INDEX(DATA_PROPERTY_MASTER!$E$5:$E$21,MATCH($C997,DATA_PROPERTY_MASTER!$A$5:$A$21,0))="Yes",FALSE),IFERROR(INDEX(INDIRECT("'"&amp;$C997&amp;"'!$E$52:$Y$52"),1,MATCH($D997,INDIRECT("'"&amp;$C997&amp;"'!$E$12:$Y$12"),0)),0),0)</f>
        <v>215786.44737971085</v>
      </c>
      <c r="I997" s="366" t="s">
        <v>1685</v>
      </c>
      <c r="J997" s="348" t="str">
        <f t="shared" ca="1" si="30"/>
        <v>OK</v>
      </c>
      <c r="K997" s="366" t="s">
        <v>1710</v>
      </c>
      <c r="L997" s="366" t="s">
        <v>2246</v>
      </c>
      <c r="M997" s="350" t="str">
        <f>IF($B997="Portfolio","Portfolio",IFERROR(INDEX(DATA_ASSET_CLASSIFICATION!$B$8:$B$24,MATCH($C997,DATA_ASSET_CLASSIFICATION!$A$8:$A$24,0)),"Review"))</f>
        <v>Beatrice Terrace</v>
      </c>
      <c r="N997" s="350" t="str">
        <f ca="1">IF($B997="Portfolio","Portfolio",IFERROR(INDEX(DATA_ASSET_CLASSIFICATION!$U$8:$U$24,MATCH($C997,DATA_ASSET_CLASSIFICATION!$A$8:$A$24,0)),"Review"))</f>
        <v>Stable</v>
      </c>
      <c r="O997" s="350" t="str">
        <f ca="1">IF($B997="Portfolio","Portfolio",IFERROR(INDEX(DATA_ASSET_CLASSIFICATION!$AB$8:$AB$13,MATCH($N997,DATA_ASSET_CLASSIFICATION!$AA$8:$AA$13,0)),"Review"))</f>
        <v>Bucket 2 · Legacy</v>
      </c>
      <c r="P997" s="350" t="str">
        <f>IF($B997="Portfolio","Portfolio",IFERROR(INDEX(DATA_ASSET_CLASSIFICATION!$C$8:$C$24,MATCH($C997,DATA_ASSET_CLASSIFICATION!$A$8:$A$24,0)),"Review"))</f>
        <v>Yes</v>
      </c>
      <c r="Q997" s="350" t="str">
        <f t="shared" ca="1" si="31"/>
        <v>OK</v>
      </c>
    </row>
    <row r="998" spans="1:17">
      <c r="A998" s="366" t="s">
        <v>2954</v>
      </c>
      <c r="B998" s="366" t="s">
        <v>231</v>
      </c>
      <c r="C998" s="348" t="str">
        <f>DATA_PROPERTY_MASTER!$A$7</f>
        <v>BLD_BT</v>
      </c>
      <c r="D998" s="380">
        <f>'00_PORTFOLIO ROLLUP'!L$12</f>
        <v>2032</v>
      </c>
      <c r="E998" s="366" t="s">
        <v>1683</v>
      </c>
      <c r="F998" s="366" t="s">
        <v>27</v>
      </c>
      <c r="G998" s="348" t="str">
        <f>"'"&amp;$C998&amp;"'!$E$54:$Y$54"</f>
        <v>'BLD_BT'!$E$54:$Y$54</v>
      </c>
      <c r="H998" s="381">
        <f ca="1">IF(IFERROR(INDEX(DATA_PROPERTY_MASTER!$E$5:$E$21,MATCH($C998,DATA_PROPERTY_MASTER!$A$5:$A$21,0))="Yes",FALSE),IFERROR(INDEX(INDIRECT("'"&amp;$C998&amp;"'!$E$54:$Y$54"),1,MATCH($D998,INDIRECT("'"&amp;$C998&amp;"'!$E$12:$Y$12"),0)),0),0)</f>
        <v>129471.8684278265</v>
      </c>
      <c r="I998" s="366" t="s">
        <v>1690</v>
      </c>
      <c r="J998" s="348" t="str">
        <f t="shared" ca="1" si="30"/>
        <v>OK</v>
      </c>
      <c r="K998" s="366" t="s">
        <v>1714</v>
      </c>
      <c r="L998" s="366" t="s">
        <v>2248</v>
      </c>
      <c r="M998" s="350" t="str">
        <f>IF($B998="Portfolio","Portfolio",IFERROR(INDEX(DATA_ASSET_CLASSIFICATION!$B$8:$B$24,MATCH($C998,DATA_ASSET_CLASSIFICATION!$A$8:$A$24,0)),"Review"))</f>
        <v>Beatrice Terrace</v>
      </c>
      <c r="N998" s="350" t="str">
        <f ca="1">IF($B998="Portfolio","Portfolio",IFERROR(INDEX(DATA_ASSET_CLASSIFICATION!$U$8:$U$24,MATCH($C998,DATA_ASSET_CLASSIFICATION!$A$8:$A$24,0)),"Review"))</f>
        <v>Stable</v>
      </c>
      <c r="O998" s="350" t="str">
        <f ca="1">IF($B998="Portfolio","Portfolio",IFERROR(INDEX(DATA_ASSET_CLASSIFICATION!$AB$8:$AB$13,MATCH($N998,DATA_ASSET_CLASSIFICATION!$AA$8:$AA$13,0)),"Review"))</f>
        <v>Bucket 2 · Legacy</v>
      </c>
      <c r="P998" s="350" t="str">
        <f>IF($B998="Portfolio","Portfolio",IFERROR(INDEX(DATA_ASSET_CLASSIFICATION!$C$8:$C$24,MATCH($C998,DATA_ASSET_CLASSIFICATION!$A$8:$A$24,0)),"Review"))</f>
        <v>Yes</v>
      </c>
      <c r="Q998" s="350" t="str">
        <f t="shared" ca="1" si="31"/>
        <v>OK</v>
      </c>
    </row>
    <row r="999" spans="1:17">
      <c r="A999" s="366" t="s">
        <v>2955</v>
      </c>
      <c r="B999" s="366" t="s">
        <v>231</v>
      </c>
      <c r="C999" s="348" t="str">
        <f>DATA_PROPERTY_MASTER!$A$7</f>
        <v>BLD_BT</v>
      </c>
      <c r="D999" s="380">
        <f>'00_PORTFOLIO ROLLUP'!L$12</f>
        <v>2032</v>
      </c>
      <c r="E999" s="366" t="s">
        <v>1683</v>
      </c>
      <c r="F999" s="366" t="s">
        <v>29</v>
      </c>
      <c r="G999" s="348" t="str">
        <f>"'"&amp;$C999&amp;"'!$E$56:$Y$56"</f>
        <v>'BLD_BT'!$E$56:$Y$56</v>
      </c>
      <c r="H999" s="381">
        <f ca="1">IF(IFERROR(INDEX(DATA_PROPERTY_MASTER!$E$5:$E$21,MATCH($C999,DATA_PROPERTY_MASTER!$A$5:$A$21,0))="Yes",FALSE),IFERROR(INDEX(INDIRECT("'"&amp;$C999&amp;"'!$E$56:$Y$56"),1,MATCH($D999,INDIRECT("'"&amp;$C999&amp;"'!$E$12:$Y$12"),0)),0),0)</f>
        <v>86314.578951884352</v>
      </c>
      <c r="I999" s="366" t="s">
        <v>1685</v>
      </c>
      <c r="J999" s="348" t="str">
        <f t="shared" ca="1" si="30"/>
        <v>OK</v>
      </c>
      <c r="K999" s="366" t="s">
        <v>1718</v>
      </c>
      <c r="L999" s="366" t="s">
        <v>2250</v>
      </c>
      <c r="M999" s="350" t="str">
        <f>IF($B999="Portfolio","Portfolio",IFERROR(INDEX(DATA_ASSET_CLASSIFICATION!$B$8:$B$24,MATCH($C999,DATA_ASSET_CLASSIFICATION!$A$8:$A$24,0)),"Review"))</f>
        <v>Beatrice Terrace</v>
      </c>
      <c r="N999" s="350" t="str">
        <f ca="1">IF($B999="Portfolio","Portfolio",IFERROR(INDEX(DATA_ASSET_CLASSIFICATION!$U$8:$U$24,MATCH($C999,DATA_ASSET_CLASSIFICATION!$A$8:$A$24,0)),"Review"))</f>
        <v>Stable</v>
      </c>
      <c r="O999" s="350" t="str">
        <f ca="1">IF($B999="Portfolio","Portfolio",IFERROR(INDEX(DATA_ASSET_CLASSIFICATION!$AB$8:$AB$13,MATCH($N999,DATA_ASSET_CLASSIFICATION!$AA$8:$AA$13,0)),"Review"))</f>
        <v>Bucket 2 · Legacy</v>
      </c>
      <c r="P999" s="350" t="str">
        <f>IF($B999="Portfolio","Portfolio",IFERROR(INDEX(DATA_ASSET_CLASSIFICATION!$C$8:$C$24,MATCH($C999,DATA_ASSET_CLASSIFICATION!$A$8:$A$24,0)),"Review"))</f>
        <v>Yes</v>
      </c>
      <c r="Q999" s="350" t="str">
        <f t="shared" ca="1" si="31"/>
        <v>OK</v>
      </c>
    </row>
    <row r="1000" spans="1:17">
      <c r="A1000" s="366" t="s">
        <v>2956</v>
      </c>
      <c r="B1000" s="366" t="s">
        <v>231</v>
      </c>
      <c r="C1000" s="348" t="str">
        <f>DATA_PROPERTY_MASTER!$A$7</f>
        <v>BLD_BT</v>
      </c>
      <c r="D1000" s="380">
        <f>'00_PORTFOLIO ROLLUP'!L$12</f>
        <v>2032</v>
      </c>
      <c r="E1000" s="366" t="s">
        <v>1721</v>
      </c>
      <c r="F1000" s="366" t="s">
        <v>31</v>
      </c>
      <c r="G1000" s="348" t="str">
        <f>"'"&amp;$C1000&amp;"'!$E$61:$Y$61"</f>
        <v>'BLD_BT'!$E$61:$Y$61</v>
      </c>
      <c r="H1000" s="381">
        <f ca="1">IF(IFERROR(INDEX(DATA_PROPERTY_MASTER!$E$5:$E$21,MATCH($C1000,DATA_PROPERTY_MASTER!$A$5:$A$21,0))="Yes",FALSE),IFERROR(INDEX(INDIRECT("'"&amp;$C1000&amp;"'!$E$61:$Y$61"),1,MATCH($D1000,INDIRECT("'"&amp;$C1000&amp;"'!$E$12:$Y$12"),0)),0),0)</f>
        <v>0</v>
      </c>
      <c r="I1000" s="366" t="s">
        <v>1690</v>
      </c>
      <c r="J1000" s="348" t="str">
        <f t="shared" ca="1" si="30"/>
        <v>OK</v>
      </c>
      <c r="K1000" s="366" t="s">
        <v>1723</v>
      </c>
      <c r="L1000" s="366" t="s">
        <v>2252</v>
      </c>
      <c r="M1000" s="350" t="str">
        <f>IF($B1000="Portfolio","Portfolio",IFERROR(INDEX(DATA_ASSET_CLASSIFICATION!$B$8:$B$24,MATCH($C1000,DATA_ASSET_CLASSIFICATION!$A$8:$A$24,0)),"Review"))</f>
        <v>Beatrice Terrace</v>
      </c>
      <c r="N1000" s="350" t="str">
        <f ca="1">IF($B1000="Portfolio","Portfolio",IFERROR(INDEX(DATA_ASSET_CLASSIFICATION!$U$8:$U$24,MATCH($C1000,DATA_ASSET_CLASSIFICATION!$A$8:$A$24,0)),"Review"))</f>
        <v>Stable</v>
      </c>
      <c r="O1000" s="350" t="str">
        <f ca="1">IF($B1000="Portfolio","Portfolio",IFERROR(INDEX(DATA_ASSET_CLASSIFICATION!$AB$8:$AB$13,MATCH($N1000,DATA_ASSET_CLASSIFICATION!$AA$8:$AA$13,0)),"Review"))</f>
        <v>Bucket 2 · Legacy</v>
      </c>
      <c r="P1000" s="350" t="str">
        <f>IF($B1000="Portfolio","Portfolio",IFERROR(INDEX(DATA_ASSET_CLASSIFICATION!$C$8:$C$24,MATCH($C1000,DATA_ASSET_CLASSIFICATION!$A$8:$A$24,0)),"Review"))</f>
        <v>Yes</v>
      </c>
      <c r="Q1000" s="350" t="str">
        <f t="shared" ca="1" si="31"/>
        <v>OK</v>
      </c>
    </row>
    <row r="1001" spans="1:17">
      <c r="A1001" s="366" t="s">
        <v>2957</v>
      </c>
      <c r="B1001" s="366" t="s">
        <v>231</v>
      </c>
      <c r="C1001" s="348" t="str">
        <f>DATA_PROPERTY_MASTER!$A$7</f>
        <v>BLD_BT</v>
      </c>
      <c r="D1001" s="380">
        <f>'00_PORTFOLIO ROLLUP'!L$12</f>
        <v>2032</v>
      </c>
      <c r="E1001" s="366" t="s">
        <v>1721</v>
      </c>
      <c r="F1001" s="366" t="s">
        <v>33</v>
      </c>
      <c r="G1001" s="348" t="str">
        <f>"'"&amp;$C1001&amp;"'!$E$62:$Y$62"</f>
        <v>'BLD_BT'!$E$62:$Y$62</v>
      </c>
      <c r="H1001" s="381">
        <f ca="1">IF(IFERROR(INDEX(DATA_PROPERTY_MASTER!$E$5:$E$21,MATCH($C1001,DATA_PROPERTY_MASTER!$A$5:$A$21,0))="Yes",FALSE),IFERROR(INDEX(INDIRECT("'"&amp;$C1001&amp;"'!$E$62:$Y$62"),1,MATCH($D1001,INDIRECT("'"&amp;$C1001&amp;"'!$E$12:$Y$12"),0)),0),0)</f>
        <v>0</v>
      </c>
      <c r="I1001" s="366" t="s">
        <v>1685</v>
      </c>
      <c r="J1001" s="348" t="str">
        <f t="shared" ca="1" si="30"/>
        <v>OK</v>
      </c>
      <c r="K1001" s="366" t="s">
        <v>1727</v>
      </c>
      <c r="L1001" s="366" t="s">
        <v>2254</v>
      </c>
      <c r="M1001" s="350" t="str">
        <f>IF($B1001="Portfolio","Portfolio",IFERROR(INDEX(DATA_ASSET_CLASSIFICATION!$B$8:$B$24,MATCH($C1001,DATA_ASSET_CLASSIFICATION!$A$8:$A$24,0)),"Review"))</f>
        <v>Beatrice Terrace</v>
      </c>
      <c r="N1001" s="350" t="str">
        <f ca="1">IF($B1001="Portfolio","Portfolio",IFERROR(INDEX(DATA_ASSET_CLASSIFICATION!$U$8:$U$24,MATCH($C1001,DATA_ASSET_CLASSIFICATION!$A$8:$A$24,0)),"Review"))</f>
        <v>Stable</v>
      </c>
      <c r="O1001" s="350" t="str">
        <f ca="1">IF($B1001="Portfolio","Portfolio",IFERROR(INDEX(DATA_ASSET_CLASSIFICATION!$AB$8:$AB$13,MATCH($N1001,DATA_ASSET_CLASSIFICATION!$AA$8:$AA$13,0)),"Review"))</f>
        <v>Bucket 2 · Legacy</v>
      </c>
      <c r="P1001" s="350" t="str">
        <f>IF($B1001="Portfolio","Portfolio",IFERROR(INDEX(DATA_ASSET_CLASSIFICATION!$C$8:$C$24,MATCH($C1001,DATA_ASSET_CLASSIFICATION!$A$8:$A$24,0)),"Review"))</f>
        <v>Yes</v>
      </c>
      <c r="Q1001" s="350" t="str">
        <f t="shared" ca="1" si="31"/>
        <v>OK</v>
      </c>
    </row>
    <row r="1002" spans="1:17">
      <c r="A1002" s="366" t="s">
        <v>2958</v>
      </c>
      <c r="B1002" s="366" t="s">
        <v>231</v>
      </c>
      <c r="C1002" s="348" t="str">
        <f>DATA_PROPERTY_MASTER!$A$7</f>
        <v>BLD_BT</v>
      </c>
      <c r="D1002" s="380">
        <f>'00_PORTFOLIO ROLLUP'!L$12</f>
        <v>2032</v>
      </c>
      <c r="E1002" s="366" t="s">
        <v>1721</v>
      </c>
      <c r="F1002" s="366" t="s">
        <v>35</v>
      </c>
      <c r="G1002" s="348" t="str">
        <f>"'"&amp;$C1002&amp;"'!$E$63:$Y$63"</f>
        <v>'BLD_BT'!$E$63:$Y$63</v>
      </c>
      <c r="H1002" s="381">
        <f ca="1">IF(IFERROR(INDEX(DATA_PROPERTY_MASTER!$E$5:$E$21,MATCH($C1002,DATA_PROPERTY_MASTER!$A$5:$A$21,0))="Yes",FALSE),IFERROR(INDEX(INDIRECT("'"&amp;$C1002&amp;"'!$E$63:$Y$63"),1,MATCH($D1002,INDIRECT("'"&amp;$C1002&amp;"'!$E$12:$Y$12"),0)),0),0)</f>
        <v>0</v>
      </c>
      <c r="I1002" s="366" t="s">
        <v>1731</v>
      </c>
      <c r="J1002" s="348" t="str">
        <f t="shared" ca="1" si="30"/>
        <v>OK</v>
      </c>
      <c r="K1002" s="366" t="s">
        <v>1732</v>
      </c>
      <c r="L1002" s="366" t="s">
        <v>2256</v>
      </c>
      <c r="M1002" s="350" t="str">
        <f>IF($B1002="Portfolio","Portfolio",IFERROR(INDEX(DATA_ASSET_CLASSIFICATION!$B$8:$B$24,MATCH($C1002,DATA_ASSET_CLASSIFICATION!$A$8:$A$24,0)),"Review"))</f>
        <v>Beatrice Terrace</v>
      </c>
      <c r="N1002" s="350" t="str">
        <f ca="1">IF($B1002="Portfolio","Portfolio",IFERROR(INDEX(DATA_ASSET_CLASSIFICATION!$U$8:$U$24,MATCH($C1002,DATA_ASSET_CLASSIFICATION!$A$8:$A$24,0)),"Review"))</f>
        <v>Stable</v>
      </c>
      <c r="O1002" s="350" t="str">
        <f ca="1">IF($B1002="Portfolio","Portfolio",IFERROR(INDEX(DATA_ASSET_CLASSIFICATION!$AB$8:$AB$13,MATCH($N1002,DATA_ASSET_CLASSIFICATION!$AA$8:$AA$13,0)),"Review"))</f>
        <v>Bucket 2 · Legacy</v>
      </c>
      <c r="P1002" s="350" t="str">
        <f>IF($B1002="Portfolio","Portfolio",IFERROR(INDEX(DATA_ASSET_CLASSIFICATION!$C$8:$C$24,MATCH($C1002,DATA_ASSET_CLASSIFICATION!$A$8:$A$24,0)),"Review"))</f>
        <v>Yes</v>
      </c>
      <c r="Q1002" s="350" t="str">
        <f t="shared" ca="1" si="31"/>
        <v>OK</v>
      </c>
    </row>
    <row r="1003" spans="1:17">
      <c r="A1003" s="366" t="s">
        <v>2959</v>
      </c>
      <c r="B1003" s="366" t="s">
        <v>231</v>
      </c>
      <c r="C1003" s="348" t="str">
        <f>DATA_PROPERTY_MASTER!$A$7</f>
        <v>BLD_BT</v>
      </c>
      <c r="D1003" s="380">
        <f>'00_PORTFOLIO ROLLUP'!L$12</f>
        <v>2032</v>
      </c>
      <c r="E1003" s="366" t="s">
        <v>1721</v>
      </c>
      <c r="F1003" s="366" t="s">
        <v>37</v>
      </c>
      <c r="G1003" s="348" t="str">
        <f>"'"&amp;$C1003&amp;"'!$E$63:$Y$63"</f>
        <v>'BLD_BT'!$E$63:$Y$63</v>
      </c>
      <c r="H1003" s="381">
        <f ca="1">IF(IFERROR(INDEX(DATA_PROPERTY_MASTER!$E$5:$E$21,MATCH($C1003,DATA_PROPERTY_MASTER!$A$5:$A$21,0))="Yes",FALSE),MAX(IFERROR(INDEX(INDIRECT("'"&amp;$C1003&amp;"'!$E$63:$Y$63"),1,MATCH($D1003,INDIRECT("'"&amp;$C1003&amp;"'!$E$12:$Y$12"),0)),0),0),0)</f>
        <v>0</v>
      </c>
      <c r="I1003" s="366" t="s">
        <v>1685</v>
      </c>
      <c r="J1003" s="348" t="str">
        <f t="shared" ca="1" si="30"/>
        <v>OK</v>
      </c>
      <c r="K1003" s="366" t="s">
        <v>1735</v>
      </c>
      <c r="L1003" s="366" t="s">
        <v>2258</v>
      </c>
      <c r="M1003" s="350" t="str">
        <f>IF($B1003="Portfolio","Portfolio",IFERROR(INDEX(DATA_ASSET_CLASSIFICATION!$B$8:$B$24,MATCH($C1003,DATA_ASSET_CLASSIFICATION!$A$8:$A$24,0)),"Review"))</f>
        <v>Beatrice Terrace</v>
      </c>
      <c r="N1003" s="350" t="str">
        <f ca="1">IF($B1003="Portfolio","Portfolio",IFERROR(INDEX(DATA_ASSET_CLASSIFICATION!$U$8:$U$24,MATCH($C1003,DATA_ASSET_CLASSIFICATION!$A$8:$A$24,0)),"Review"))</f>
        <v>Stable</v>
      </c>
      <c r="O1003" s="350" t="str">
        <f ca="1">IF($B1003="Portfolio","Portfolio",IFERROR(INDEX(DATA_ASSET_CLASSIFICATION!$AB$8:$AB$13,MATCH($N1003,DATA_ASSET_CLASSIFICATION!$AA$8:$AA$13,0)),"Review"))</f>
        <v>Bucket 2 · Legacy</v>
      </c>
      <c r="P1003" s="350" t="str">
        <f>IF($B1003="Portfolio","Portfolio",IFERROR(INDEX(DATA_ASSET_CLASSIFICATION!$C$8:$C$24,MATCH($C1003,DATA_ASSET_CLASSIFICATION!$A$8:$A$24,0)),"Review"))</f>
        <v>Yes</v>
      </c>
      <c r="Q1003" s="350" t="str">
        <f t="shared" ca="1" si="31"/>
        <v>OK</v>
      </c>
    </row>
    <row r="1004" spans="1:17">
      <c r="A1004" s="366" t="s">
        <v>2960</v>
      </c>
      <c r="B1004" s="366" t="s">
        <v>231</v>
      </c>
      <c r="C1004" s="348" t="str">
        <f>DATA_PROPERTY_MASTER!$A$7</f>
        <v>BLD_BT</v>
      </c>
      <c r="D1004" s="380">
        <f>'00_PORTFOLIO ROLLUP'!L$12</f>
        <v>2032</v>
      </c>
      <c r="E1004" s="366" t="s">
        <v>1721</v>
      </c>
      <c r="F1004" s="366" t="s">
        <v>39</v>
      </c>
      <c r="G1004" s="348" t="str">
        <f>"'"&amp;$C1004&amp;"'!$E$63:$Y$63"</f>
        <v>'BLD_BT'!$E$63:$Y$63</v>
      </c>
      <c r="H1004" s="381">
        <f ca="1">IF(IFERROR(INDEX(DATA_PROPERTY_MASTER!$E$5:$E$21,MATCH($C1004,DATA_PROPERTY_MASTER!$A$5:$A$21,0))="Yes",FALSE),MAX(-IFERROR(INDEX(INDIRECT("'"&amp;$C1004&amp;"'!$E$63:$Y$63"),1,MATCH($D1004,INDIRECT("'"&amp;$C1004&amp;"'!$E$12:$Y$12"),0)),0),0),0)</f>
        <v>0</v>
      </c>
      <c r="I1004" s="366" t="s">
        <v>1690</v>
      </c>
      <c r="J1004" s="348" t="str">
        <f t="shared" ca="1" si="30"/>
        <v>OK</v>
      </c>
      <c r="K1004" s="366" t="s">
        <v>1738</v>
      </c>
      <c r="L1004" s="366" t="s">
        <v>2260</v>
      </c>
      <c r="M1004" s="350" t="str">
        <f>IF($B1004="Portfolio","Portfolio",IFERROR(INDEX(DATA_ASSET_CLASSIFICATION!$B$8:$B$24,MATCH($C1004,DATA_ASSET_CLASSIFICATION!$A$8:$A$24,0)),"Review"))</f>
        <v>Beatrice Terrace</v>
      </c>
      <c r="N1004" s="350" t="str">
        <f ca="1">IF($B1004="Portfolio","Portfolio",IFERROR(INDEX(DATA_ASSET_CLASSIFICATION!$U$8:$U$24,MATCH($C1004,DATA_ASSET_CLASSIFICATION!$A$8:$A$24,0)),"Review"))</f>
        <v>Stable</v>
      </c>
      <c r="O1004" s="350" t="str">
        <f ca="1">IF($B1004="Portfolio","Portfolio",IFERROR(INDEX(DATA_ASSET_CLASSIFICATION!$AB$8:$AB$13,MATCH($N1004,DATA_ASSET_CLASSIFICATION!$AA$8:$AA$13,0)),"Review"))</f>
        <v>Bucket 2 · Legacy</v>
      </c>
      <c r="P1004" s="350" t="str">
        <f>IF($B1004="Portfolio","Portfolio",IFERROR(INDEX(DATA_ASSET_CLASSIFICATION!$C$8:$C$24,MATCH($C1004,DATA_ASSET_CLASSIFICATION!$A$8:$A$24,0)),"Review"))</f>
        <v>Yes</v>
      </c>
      <c r="Q1004" s="350" t="str">
        <f t="shared" ca="1" si="31"/>
        <v>OK</v>
      </c>
    </row>
    <row r="1005" spans="1:17">
      <c r="A1005" s="366" t="s">
        <v>2961</v>
      </c>
      <c r="B1005" s="366" t="s">
        <v>231</v>
      </c>
      <c r="C1005" s="348" t="str">
        <f>DATA_PROPERTY_MASTER!$A$7</f>
        <v>BLD_BT</v>
      </c>
      <c r="D1005" s="380">
        <f>'00_PORTFOLIO ROLLUP'!L$12</f>
        <v>2032</v>
      </c>
      <c r="E1005" s="366" t="s">
        <v>1741</v>
      </c>
      <c r="F1005" s="366" t="s">
        <v>41</v>
      </c>
      <c r="G1005" s="348" t="str">
        <f>"'"&amp;$C1005&amp;"'!rows 56 + positive row 63"</f>
        <v>'BLD_BT'!rows 56 + positive row 63</v>
      </c>
      <c r="H1005" s="381">
        <f ca="1">IF(IFERROR(INDEX(DATA_PROPERTY_MASTER!$E$5:$E$21,MATCH($C1005,DATA_PROPERTY_MASTER!$A$5:$A$21,0))="Yes",FALSE),IFERROR(INDEX(INDIRECT("'"&amp;$C1005&amp;"'!$E$56:$Y$56"),1,MATCH($D1005,INDIRECT("'"&amp;$C1005&amp;"'!$E$12:$Y$12"),0)),0)+MAX(IFERROR(INDEX(INDIRECT("'"&amp;$C1005&amp;"'!$E$63:$Y$63"),1,MATCH($D1005,INDIRECT("'"&amp;$C1005&amp;"'!$E$12:$Y$12"),0)),0),0),0)</f>
        <v>86314.578951884352</v>
      </c>
      <c r="I1005" s="366" t="s">
        <v>1685</v>
      </c>
      <c r="J1005" s="348" t="str">
        <f t="shared" ca="1" si="30"/>
        <v>OK</v>
      </c>
      <c r="K1005" s="366" t="s">
        <v>1742</v>
      </c>
      <c r="L1005" s="366" t="s">
        <v>2262</v>
      </c>
      <c r="M1005" s="350" t="str">
        <f>IF($B1005="Portfolio","Portfolio",IFERROR(INDEX(DATA_ASSET_CLASSIFICATION!$B$8:$B$24,MATCH($C1005,DATA_ASSET_CLASSIFICATION!$A$8:$A$24,0)),"Review"))</f>
        <v>Beatrice Terrace</v>
      </c>
      <c r="N1005" s="350" t="str">
        <f ca="1">IF($B1005="Portfolio","Portfolio",IFERROR(INDEX(DATA_ASSET_CLASSIFICATION!$U$8:$U$24,MATCH($C1005,DATA_ASSET_CLASSIFICATION!$A$8:$A$24,0)),"Review"))</f>
        <v>Stable</v>
      </c>
      <c r="O1005" s="350" t="str">
        <f ca="1">IF($B1005="Portfolio","Portfolio",IFERROR(INDEX(DATA_ASSET_CLASSIFICATION!$AB$8:$AB$13,MATCH($N1005,DATA_ASSET_CLASSIFICATION!$AA$8:$AA$13,0)),"Review"))</f>
        <v>Bucket 2 · Legacy</v>
      </c>
      <c r="P1005" s="350" t="str">
        <f>IF($B1005="Portfolio","Portfolio",IFERROR(INDEX(DATA_ASSET_CLASSIFICATION!$C$8:$C$24,MATCH($C1005,DATA_ASSET_CLASSIFICATION!$A$8:$A$24,0)),"Review"))</f>
        <v>Yes</v>
      </c>
      <c r="Q1005" s="350" t="str">
        <f t="shared" ca="1" si="31"/>
        <v>OK</v>
      </c>
    </row>
    <row r="1006" spans="1:17">
      <c r="A1006" s="366" t="s">
        <v>2962</v>
      </c>
      <c r="B1006" s="366" t="s">
        <v>231</v>
      </c>
      <c r="C1006" s="348" t="str">
        <f>DATA_PROPERTY_MASTER!$A$7</f>
        <v>BLD_BT</v>
      </c>
      <c r="D1006" s="380">
        <f>'00_PORTFOLIO ROLLUP'!L$12</f>
        <v>2032</v>
      </c>
      <c r="E1006" s="366" t="s">
        <v>1741</v>
      </c>
      <c r="F1006" s="366" t="s">
        <v>43</v>
      </c>
      <c r="G1006" s="348" t="str">
        <f>"'"&amp;$C1006&amp;"'!$E$68:$Y$68"</f>
        <v>'BLD_BT'!$E$68:$Y$68</v>
      </c>
      <c r="H1006" s="381">
        <f ca="1">IF(IFERROR(INDEX(DATA_PROPERTY_MASTER!$E$5:$E$21,MATCH($C1006,DATA_PROPERTY_MASTER!$A$5:$A$21,0))="Yes",FALSE),IFERROR(INDEX(INDIRECT("'"&amp;$C1006&amp;"'!$E$68:$Y$68"),1,MATCH($D1006,INDIRECT("'"&amp;$C1006&amp;"'!$E$12:$Y$12"),0)),0),0)</f>
        <v>86314.578951884352</v>
      </c>
      <c r="I1006" s="366" t="s">
        <v>1731</v>
      </c>
      <c r="J1006" s="348" t="str">
        <f t="shared" ca="1" si="30"/>
        <v>OK</v>
      </c>
      <c r="K1006" s="366" t="s">
        <v>1746</v>
      </c>
      <c r="L1006" s="366" t="s">
        <v>2264</v>
      </c>
      <c r="M1006" s="350" t="str">
        <f>IF($B1006="Portfolio","Portfolio",IFERROR(INDEX(DATA_ASSET_CLASSIFICATION!$B$8:$B$24,MATCH($C1006,DATA_ASSET_CLASSIFICATION!$A$8:$A$24,0)),"Review"))</f>
        <v>Beatrice Terrace</v>
      </c>
      <c r="N1006" s="350" t="str">
        <f ca="1">IF($B1006="Portfolio","Portfolio",IFERROR(INDEX(DATA_ASSET_CLASSIFICATION!$U$8:$U$24,MATCH($C1006,DATA_ASSET_CLASSIFICATION!$A$8:$A$24,0)),"Review"))</f>
        <v>Stable</v>
      </c>
      <c r="O1006" s="350" t="str">
        <f ca="1">IF($B1006="Portfolio","Portfolio",IFERROR(INDEX(DATA_ASSET_CLASSIFICATION!$AB$8:$AB$13,MATCH($N1006,DATA_ASSET_CLASSIFICATION!$AA$8:$AA$13,0)),"Review"))</f>
        <v>Bucket 2 · Legacy</v>
      </c>
      <c r="P1006" s="350" t="str">
        <f>IF($B1006="Portfolio","Portfolio",IFERROR(INDEX(DATA_ASSET_CLASSIFICATION!$C$8:$C$24,MATCH($C1006,DATA_ASSET_CLASSIFICATION!$A$8:$A$24,0)),"Review"))</f>
        <v>Yes</v>
      </c>
      <c r="Q1006" s="350" t="str">
        <f t="shared" ca="1" si="31"/>
        <v>OK</v>
      </c>
    </row>
    <row r="1007" spans="1:17">
      <c r="A1007" s="366" t="s">
        <v>2963</v>
      </c>
      <c r="B1007" s="366" t="s">
        <v>231</v>
      </c>
      <c r="C1007" s="348" t="str">
        <f>DATA_PROPERTY_MASTER!$A$7</f>
        <v>BLD_BT</v>
      </c>
      <c r="D1007" s="380">
        <f>'00_PORTFOLIO ROLLUP'!L$12</f>
        <v>2032</v>
      </c>
      <c r="E1007" s="366" t="s">
        <v>1741</v>
      </c>
      <c r="F1007" s="366" t="s">
        <v>1749</v>
      </c>
      <c r="G1007" s="348" t="str">
        <f>"'"&amp;$C1007&amp;"'!rows 56, 63, 68"</f>
        <v>'BLD_BT'!rows 56, 63, 68</v>
      </c>
      <c r="H1007" s="381">
        <f ca="1">IF(IFERROR(INDEX(DATA_PROPERTY_MASTER!$E$5:$E$21,MATCH($C1007,DATA_PROPERTY_MASTER!$A$5:$A$21,0))="Yes",FALSE),(IFERROR(INDEX(INDIRECT("'"&amp;$C1007&amp;"'!$E$56:$Y$56"),1,MATCH($D1007,INDIRECT("'"&amp;$C1007&amp;"'!$E$12:$Y$12"),0)),0)+MAX(IFERROR(INDEX(INDIRECT("'"&amp;$C1007&amp;"'!$E$63:$Y$63"),1,MATCH($D1007,INDIRECT("'"&amp;$C1007&amp;"'!$E$12:$Y$12"),0)),0),0))-(IFERROR(INDEX(INDIRECT("'"&amp;$C1007&amp;"'!$E$68:$Y$68"),1,MATCH($D1007,INDIRECT("'"&amp;$C1007&amp;"'!$E$12:$Y$12"),0)),0)),0)</f>
        <v>0</v>
      </c>
      <c r="I1007" s="366" t="s">
        <v>1750</v>
      </c>
      <c r="J1007" s="348" t="str">
        <f t="shared" ca="1" si="30"/>
        <v>OK</v>
      </c>
      <c r="K1007" s="366" t="s">
        <v>1751</v>
      </c>
      <c r="L1007" s="366" t="s">
        <v>2266</v>
      </c>
      <c r="M1007" s="350" t="str">
        <f>IF($B1007="Portfolio","Portfolio",IFERROR(INDEX(DATA_ASSET_CLASSIFICATION!$B$8:$B$24,MATCH($C1007,DATA_ASSET_CLASSIFICATION!$A$8:$A$24,0)),"Review"))</f>
        <v>Beatrice Terrace</v>
      </c>
      <c r="N1007" s="350" t="str">
        <f ca="1">IF($B1007="Portfolio","Portfolio",IFERROR(INDEX(DATA_ASSET_CLASSIFICATION!$U$8:$U$24,MATCH($C1007,DATA_ASSET_CLASSIFICATION!$A$8:$A$24,0)),"Review"))</f>
        <v>Stable</v>
      </c>
      <c r="O1007" s="350" t="str">
        <f ca="1">IF($B1007="Portfolio","Portfolio",IFERROR(INDEX(DATA_ASSET_CLASSIFICATION!$AB$8:$AB$13,MATCH($N1007,DATA_ASSET_CLASSIFICATION!$AA$8:$AA$13,0)),"Review"))</f>
        <v>Bucket 2 · Legacy</v>
      </c>
      <c r="P1007" s="350" t="str">
        <f>IF($B1007="Portfolio","Portfolio",IFERROR(INDEX(DATA_ASSET_CLASSIFICATION!$C$8:$C$24,MATCH($C1007,DATA_ASSET_CLASSIFICATION!$A$8:$A$24,0)),"Review"))</f>
        <v>Yes</v>
      </c>
      <c r="Q1007" s="350" t="str">
        <f t="shared" ca="1" si="31"/>
        <v>OK</v>
      </c>
    </row>
    <row r="1008" spans="1:17">
      <c r="A1008" s="366" t="s">
        <v>2964</v>
      </c>
      <c r="B1008" s="366" t="s">
        <v>231</v>
      </c>
      <c r="C1008" s="348" t="str">
        <f>DATA_PROPERTY_MASTER!$A$7</f>
        <v>BLD_BT</v>
      </c>
      <c r="D1008" s="380">
        <f>'00_PORTFOLIO ROLLUP'!M$12</f>
        <v>2033</v>
      </c>
      <c r="E1008" s="366" t="s">
        <v>1683</v>
      </c>
      <c r="F1008" s="366" t="s">
        <v>341</v>
      </c>
      <c r="G1008" s="348" t="str">
        <f>"'"&amp;$C1008&amp;"'!$E$24:$Y$24"</f>
        <v>'BLD_BT'!$E$24:$Y$24</v>
      </c>
      <c r="H1008" s="381">
        <f ca="1">IF(IFERROR(INDEX(DATA_PROPERTY_MASTER!$E$5:$E$21,MATCH($C1008,DATA_PROPERTY_MASTER!$A$5:$A$21,0))="Yes",FALSE),IFERROR(INDEX(INDIRECT("'"&amp;$C1008&amp;"'!$E$24:$Y$24"),1,MATCH($D1008,INDIRECT("'"&amp;$C1008&amp;"'!$E$12:$Y$12"),0)),0),0)</f>
        <v>492192.27124681097</v>
      </c>
      <c r="I1008" s="366" t="s">
        <v>1685</v>
      </c>
      <c r="J1008" s="348" t="str">
        <f t="shared" ca="1" si="30"/>
        <v>OK</v>
      </c>
      <c r="K1008" s="366" t="s">
        <v>1686</v>
      </c>
      <c r="L1008" s="366" t="s">
        <v>2234</v>
      </c>
      <c r="M1008" s="350" t="str">
        <f>IF($B1008="Portfolio","Portfolio",IFERROR(INDEX(DATA_ASSET_CLASSIFICATION!$B$8:$B$24,MATCH($C1008,DATA_ASSET_CLASSIFICATION!$A$8:$A$24,0)),"Review"))</f>
        <v>Beatrice Terrace</v>
      </c>
      <c r="N1008" s="350" t="str">
        <f ca="1">IF($B1008="Portfolio","Portfolio",IFERROR(INDEX(DATA_ASSET_CLASSIFICATION!$U$8:$U$24,MATCH($C1008,DATA_ASSET_CLASSIFICATION!$A$8:$A$24,0)),"Review"))</f>
        <v>Stable</v>
      </c>
      <c r="O1008" s="350" t="str">
        <f ca="1">IF($B1008="Portfolio","Portfolio",IFERROR(INDEX(DATA_ASSET_CLASSIFICATION!$AB$8:$AB$13,MATCH($N1008,DATA_ASSET_CLASSIFICATION!$AA$8:$AA$13,0)),"Review"))</f>
        <v>Bucket 2 · Legacy</v>
      </c>
      <c r="P1008" s="350" t="str">
        <f>IF($B1008="Portfolio","Portfolio",IFERROR(INDEX(DATA_ASSET_CLASSIFICATION!$C$8:$C$24,MATCH($C1008,DATA_ASSET_CLASSIFICATION!$A$8:$A$24,0)),"Review"))</f>
        <v>Yes</v>
      </c>
      <c r="Q1008" s="350" t="str">
        <f t="shared" ca="1" si="31"/>
        <v>OK</v>
      </c>
    </row>
    <row r="1009" spans="1:17">
      <c r="A1009" s="366" t="s">
        <v>2965</v>
      </c>
      <c r="B1009" s="366" t="s">
        <v>231</v>
      </c>
      <c r="C1009" s="348" t="str">
        <f>DATA_PROPERTY_MASTER!$A$7</f>
        <v>BLD_BT</v>
      </c>
      <c r="D1009" s="380">
        <f>'00_PORTFOLIO ROLLUP'!M$12</f>
        <v>2033</v>
      </c>
      <c r="E1009" s="366" t="s">
        <v>1683</v>
      </c>
      <c r="F1009" s="366" t="s">
        <v>355</v>
      </c>
      <c r="G1009" s="348" t="str">
        <f>"'"&amp;$C1009&amp;"'!$E$39:$Y$39"</f>
        <v>'BLD_BT'!$E$39:$Y$39</v>
      </c>
      <c r="H1009" s="381">
        <f ca="1">IF(IFERROR(INDEX(DATA_PROPERTY_MASTER!$E$5:$E$21,MATCH($C1009,DATA_PROPERTY_MASTER!$A$5:$A$21,0))="Yes",FALSE),IFERROR(INDEX(INDIRECT("'"&amp;$C1009&amp;"'!$E$39:$Y$39"),1,MATCH($D1009,INDIRECT("'"&amp;$C1009&amp;"'!$E$12:$Y$12"),0)),0),0)</f>
        <v>164693.59952577067</v>
      </c>
      <c r="I1009" s="366" t="s">
        <v>1690</v>
      </c>
      <c r="J1009" s="348" t="str">
        <f t="shared" ca="1" si="30"/>
        <v>OK</v>
      </c>
      <c r="K1009" s="366" t="s">
        <v>1686</v>
      </c>
      <c r="L1009" s="366" t="s">
        <v>2236</v>
      </c>
      <c r="M1009" s="350" t="str">
        <f>IF($B1009="Portfolio","Portfolio",IFERROR(INDEX(DATA_ASSET_CLASSIFICATION!$B$8:$B$24,MATCH($C1009,DATA_ASSET_CLASSIFICATION!$A$8:$A$24,0)),"Review"))</f>
        <v>Beatrice Terrace</v>
      </c>
      <c r="N1009" s="350" t="str">
        <f ca="1">IF($B1009="Portfolio","Portfolio",IFERROR(INDEX(DATA_ASSET_CLASSIFICATION!$U$8:$U$24,MATCH($C1009,DATA_ASSET_CLASSIFICATION!$A$8:$A$24,0)),"Review"))</f>
        <v>Stable</v>
      </c>
      <c r="O1009" s="350" t="str">
        <f ca="1">IF($B1009="Portfolio","Portfolio",IFERROR(INDEX(DATA_ASSET_CLASSIFICATION!$AB$8:$AB$13,MATCH($N1009,DATA_ASSET_CLASSIFICATION!$AA$8:$AA$13,0)),"Review"))</f>
        <v>Bucket 2 · Legacy</v>
      </c>
      <c r="P1009" s="350" t="str">
        <f>IF($B1009="Portfolio","Portfolio",IFERROR(INDEX(DATA_ASSET_CLASSIFICATION!$C$8:$C$24,MATCH($C1009,DATA_ASSET_CLASSIFICATION!$A$8:$A$24,0)),"Review"))</f>
        <v>Yes</v>
      </c>
      <c r="Q1009" s="350" t="str">
        <f t="shared" ca="1" si="31"/>
        <v>OK</v>
      </c>
    </row>
    <row r="1010" spans="1:17">
      <c r="A1010" s="366" t="s">
        <v>2966</v>
      </c>
      <c r="B1010" s="366" t="s">
        <v>231</v>
      </c>
      <c r="C1010" s="348" t="str">
        <f>DATA_PROPERTY_MASTER!$A$7</f>
        <v>BLD_BT</v>
      </c>
      <c r="D1010" s="380">
        <f>'00_PORTFOLIO ROLLUP'!M$12</f>
        <v>2033</v>
      </c>
      <c r="E1010" s="366" t="s">
        <v>1683</v>
      </c>
      <c r="F1010" s="366" t="s">
        <v>19</v>
      </c>
      <c r="G1010" s="348" t="str">
        <f>"'"&amp;$C1010&amp;"'!$E$41:$Y$41"</f>
        <v>'BLD_BT'!$E$41:$Y$41</v>
      </c>
      <c r="H1010" s="381">
        <f ca="1">IF(IFERROR(INDEX(DATA_PROPERTY_MASTER!$E$5:$E$21,MATCH($C1010,DATA_PROPERTY_MASTER!$A$5:$A$21,0))="Yes",FALSE),IFERROR(INDEX(INDIRECT("'"&amp;$C1010&amp;"'!$E$41:$Y$41"),1,MATCH($D1010,INDIRECT("'"&amp;$C1010&amp;"'!$E$12:$Y$12"),0)),0),0)</f>
        <v>327498.67172104027</v>
      </c>
      <c r="I1010" s="366" t="s">
        <v>1685</v>
      </c>
      <c r="J1010" s="348" t="str">
        <f t="shared" ca="1" si="30"/>
        <v>OK</v>
      </c>
      <c r="K1010" s="366" t="s">
        <v>1694</v>
      </c>
      <c r="L1010" s="366" t="s">
        <v>2238</v>
      </c>
      <c r="M1010" s="350" t="str">
        <f>IF($B1010="Portfolio","Portfolio",IFERROR(INDEX(DATA_ASSET_CLASSIFICATION!$B$8:$B$24,MATCH($C1010,DATA_ASSET_CLASSIFICATION!$A$8:$A$24,0)),"Review"))</f>
        <v>Beatrice Terrace</v>
      </c>
      <c r="N1010" s="350" t="str">
        <f ca="1">IF($B1010="Portfolio","Portfolio",IFERROR(INDEX(DATA_ASSET_CLASSIFICATION!$U$8:$U$24,MATCH($C1010,DATA_ASSET_CLASSIFICATION!$A$8:$A$24,0)),"Review"))</f>
        <v>Stable</v>
      </c>
      <c r="O1010" s="350" t="str">
        <f ca="1">IF($B1010="Portfolio","Portfolio",IFERROR(INDEX(DATA_ASSET_CLASSIFICATION!$AB$8:$AB$13,MATCH($N1010,DATA_ASSET_CLASSIFICATION!$AA$8:$AA$13,0)),"Review"))</f>
        <v>Bucket 2 · Legacy</v>
      </c>
      <c r="P1010" s="350" t="str">
        <f>IF($B1010="Portfolio","Portfolio",IFERROR(INDEX(DATA_ASSET_CLASSIFICATION!$C$8:$C$24,MATCH($C1010,DATA_ASSET_CLASSIFICATION!$A$8:$A$24,0)),"Review"))</f>
        <v>Yes</v>
      </c>
      <c r="Q1010" s="350" t="str">
        <f t="shared" ca="1" si="31"/>
        <v>OK</v>
      </c>
    </row>
    <row r="1011" spans="1:17">
      <c r="A1011" s="366" t="s">
        <v>2967</v>
      </c>
      <c r="B1011" s="366" t="s">
        <v>231</v>
      </c>
      <c r="C1011" s="348" t="str">
        <f>DATA_PROPERTY_MASTER!$A$7</f>
        <v>BLD_BT</v>
      </c>
      <c r="D1011" s="380">
        <f>'00_PORTFOLIO ROLLUP'!M$12</f>
        <v>2033</v>
      </c>
      <c r="E1011" s="366" t="s">
        <v>1683</v>
      </c>
      <c r="F1011" s="366" t="s">
        <v>1697</v>
      </c>
      <c r="G1011" s="348" t="str">
        <f>"'"&amp;$C1011&amp;"'!$E$44:$Y$44"</f>
        <v>'BLD_BT'!$E$44:$Y$44</v>
      </c>
      <c r="H1011" s="381">
        <f ca="1">IF(IFERROR(INDEX(DATA_PROPERTY_MASTER!$E$5:$E$21,MATCH($C1011,DATA_PROPERTY_MASTER!$A$5:$A$21,0))="Yes",FALSE),IFERROR(INDEX(INDIRECT("'"&amp;$C1011&amp;"'!$E$44:$Y$44"),1,MATCH($D1011,INDIRECT("'"&amp;$C1011&amp;"'!$E$12:$Y$12"),0)),0),0)</f>
        <v>3163.4803287061168</v>
      </c>
      <c r="I1011" s="366" t="s">
        <v>1690</v>
      </c>
      <c r="J1011" s="348" t="str">
        <f t="shared" ca="1" si="30"/>
        <v>OK</v>
      </c>
      <c r="K1011" s="366" t="s">
        <v>1699</v>
      </c>
      <c r="L1011" s="366" t="s">
        <v>2240</v>
      </c>
      <c r="M1011" s="350" t="str">
        <f>IF($B1011="Portfolio","Portfolio",IFERROR(INDEX(DATA_ASSET_CLASSIFICATION!$B$8:$B$24,MATCH($C1011,DATA_ASSET_CLASSIFICATION!$A$8:$A$24,0)),"Review"))</f>
        <v>Beatrice Terrace</v>
      </c>
      <c r="N1011" s="350" t="str">
        <f ca="1">IF($B1011="Portfolio","Portfolio",IFERROR(INDEX(DATA_ASSET_CLASSIFICATION!$U$8:$U$24,MATCH($C1011,DATA_ASSET_CLASSIFICATION!$A$8:$A$24,0)),"Review"))</f>
        <v>Stable</v>
      </c>
      <c r="O1011" s="350" t="str">
        <f ca="1">IF($B1011="Portfolio","Portfolio",IFERROR(INDEX(DATA_ASSET_CLASSIFICATION!$AB$8:$AB$13,MATCH($N1011,DATA_ASSET_CLASSIFICATION!$AA$8:$AA$13,0)),"Review"))</f>
        <v>Bucket 2 · Legacy</v>
      </c>
      <c r="P1011" s="350" t="str">
        <f>IF($B1011="Portfolio","Portfolio",IFERROR(INDEX(DATA_ASSET_CLASSIFICATION!$C$8:$C$24,MATCH($C1011,DATA_ASSET_CLASSIFICATION!$A$8:$A$24,0)),"Review"))</f>
        <v>Yes</v>
      </c>
      <c r="Q1011" s="350" t="str">
        <f t="shared" ca="1" si="31"/>
        <v>OK</v>
      </c>
    </row>
    <row r="1012" spans="1:17">
      <c r="A1012" s="366" t="s">
        <v>2968</v>
      </c>
      <c r="B1012" s="366" t="s">
        <v>231</v>
      </c>
      <c r="C1012" s="348" t="str">
        <f>DATA_PROPERTY_MASTER!$A$7</f>
        <v>BLD_BT</v>
      </c>
      <c r="D1012" s="380">
        <f>'00_PORTFOLIO ROLLUP'!M$12</f>
        <v>2033</v>
      </c>
      <c r="E1012" s="366" t="s">
        <v>1683</v>
      </c>
      <c r="F1012" s="366" t="s">
        <v>21</v>
      </c>
      <c r="G1012" s="348" t="str">
        <f>"'"&amp;$C1012&amp;"'!$E$45:$Y$45"</f>
        <v>'BLD_BT'!$E$45:$Y$45</v>
      </c>
      <c r="H1012" s="381">
        <f ca="1">IF(IFERROR(INDEX(DATA_PROPERTY_MASTER!$E$5:$E$21,MATCH($C1012,DATA_PROPERTY_MASTER!$A$5:$A$21,0))="Yes",FALSE),IFERROR(INDEX(INDIRECT("'"&amp;$C1012&amp;"'!$E$45:$Y$45"),1,MATCH($D1012,INDIRECT("'"&amp;$C1012&amp;"'!$E$12:$Y$12"),0)),0),0)</f>
        <v>324335.19139233418</v>
      </c>
      <c r="I1012" s="366" t="s">
        <v>1685</v>
      </c>
      <c r="J1012" s="348" t="str">
        <f t="shared" ca="1" si="30"/>
        <v>OK</v>
      </c>
      <c r="K1012" s="366" t="s">
        <v>1694</v>
      </c>
      <c r="L1012" s="366" t="s">
        <v>2242</v>
      </c>
      <c r="M1012" s="350" t="str">
        <f>IF($B1012="Portfolio","Portfolio",IFERROR(INDEX(DATA_ASSET_CLASSIFICATION!$B$8:$B$24,MATCH($C1012,DATA_ASSET_CLASSIFICATION!$A$8:$A$24,0)),"Review"))</f>
        <v>Beatrice Terrace</v>
      </c>
      <c r="N1012" s="350" t="str">
        <f ca="1">IF($B1012="Portfolio","Portfolio",IFERROR(INDEX(DATA_ASSET_CLASSIFICATION!$U$8:$U$24,MATCH($C1012,DATA_ASSET_CLASSIFICATION!$A$8:$A$24,0)),"Review"))</f>
        <v>Stable</v>
      </c>
      <c r="O1012" s="350" t="str">
        <f ca="1">IF($B1012="Portfolio","Portfolio",IFERROR(INDEX(DATA_ASSET_CLASSIFICATION!$AB$8:$AB$13,MATCH($N1012,DATA_ASSET_CLASSIFICATION!$AA$8:$AA$13,0)),"Review"))</f>
        <v>Bucket 2 · Legacy</v>
      </c>
      <c r="P1012" s="350" t="str">
        <f>IF($B1012="Portfolio","Portfolio",IFERROR(INDEX(DATA_ASSET_CLASSIFICATION!$C$8:$C$24,MATCH($C1012,DATA_ASSET_CLASSIFICATION!$A$8:$A$24,0)),"Review"))</f>
        <v>Yes</v>
      </c>
      <c r="Q1012" s="350" t="str">
        <f t="shared" ca="1" si="31"/>
        <v>OK</v>
      </c>
    </row>
    <row r="1013" spans="1:17">
      <c r="A1013" s="366" t="s">
        <v>2969</v>
      </c>
      <c r="B1013" s="366" t="s">
        <v>231</v>
      </c>
      <c r="C1013" s="348" t="str">
        <f>DATA_PROPERTY_MASTER!$A$7</f>
        <v>BLD_BT</v>
      </c>
      <c r="D1013" s="380">
        <f>'00_PORTFOLIO ROLLUP'!M$12</f>
        <v>2033</v>
      </c>
      <c r="E1013" s="366" t="s">
        <v>23</v>
      </c>
      <c r="F1013" s="366" t="s">
        <v>23</v>
      </c>
      <c r="G1013" s="348" t="str">
        <f>"'"&amp;$C1013&amp;"'!$E$48:$Y$48"</f>
        <v>'BLD_BT'!$E$48:$Y$48</v>
      </c>
      <c r="H1013" s="381">
        <f ca="1">IF(IFERROR(INDEX(DATA_PROPERTY_MASTER!$E$5:$E$21,MATCH($C1013,DATA_PROPERTY_MASTER!$A$5:$A$21,0))="Yes",FALSE),IFERROR(INDEX(INDIRECT("'"&amp;$C1013&amp;"'!$E$48:$Y$48"),1,MATCH($D1013,INDIRECT("'"&amp;$C1013&amp;"'!$E$12:$Y$12"),0)),0),0)</f>
        <v>110563.68</v>
      </c>
      <c r="I1013" s="366" t="s">
        <v>1690</v>
      </c>
      <c r="J1013" s="348" t="str">
        <f t="shared" ca="1" si="30"/>
        <v>OK</v>
      </c>
      <c r="K1013" s="366" t="s">
        <v>1706</v>
      </c>
      <c r="L1013" s="366" t="s">
        <v>2244</v>
      </c>
      <c r="M1013" s="350" t="str">
        <f>IF($B1013="Portfolio","Portfolio",IFERROR(INDEX(DATA_ASSET_CLASSIFICATION!$B$8:$B$24,MATCH($C1013,DATA_ASSET_CLASSIFICATION!$A$8:$A$24,0)),"Review"))</f>
        <v>Beatrice Terrace</v>
      </c>
      <c r="N1013" s="350" t="str">
        <f ca="1">IF($B1013="Portfolio","Portfolio",IFERROR(INDEX(DATA_ASSET_CLASSIFICATION!$U$8:$U$24,MATCH($C1013,DATA_ASSET_CLASSIFICATION!$A$8:$A$24,0)),"Review"))</f>
        <v>Stable</v>
      </c>
      <c r="O1013" s="350" t="str">
        <f ca="1">IF($B1013="Portfolio","Portfolio",IFERROR(INDEX(DATA_ASSET_CLASSIFICATION!$AB$8:$AB$13,MATCH($N1013,DATA_ASSET_CLASSIFICATION!$AA$8:$AA$13,0)),"Review"))</f>
        <v>Bucket 2 · Legacy</v>
      </c>
      <c r="P1013" s="350" t="str">
        <f>IF($B1013="Portfolio","Portfolio",IFERROR(INDEX(DATA_ASSET_CLASSIFICATION!$C$8:$C$24,MATCH($C1013,DATA_ASSET_CLASSIFICATION!$A$8:$A$24,0)),"Review"))</f>
        <v>Yes</v>
      </c>
      <c r="Q1013" s="350" t="str">
        <f t="shared" ca="1" si="31"/>
        <v>OK</v>
      </c>
    </row>
    <row r="1014" spans="1:17">
      <c r="A1014" s="366" t="s">
        <v>2970</v>
      </c>
      <c r="B1014" s="366" t="s">
        <v>231</v>
      </c>
      <c r="C1014" s="348" t="str">
        <f>DATA_PROPERTY_MASTER!$A$7</f>
        <v>BLD_BT</v>
      </c>
      <c r="D1014" s="380">
        <f>'00_PORTFOLIO ROLLUP'!M$12</f>
        <v>2033</v>
      </c>
      <c r="E1014" s="366" t="s">
        <v>1683</v>
      </c>
      <c r="F1014" s="366" t="s">
        <v>25</v>
      </c>
      <c r="G1014" s="348" t="str">
        <f>"'"&amp;$C1014&amp;"'!$E$52:$Y$52"</f>
        <v>'BLD_BT'!$E$52:$Y$52</v>
      </c>
      <c r="H1014" s="381">
        <f ca="1">IF(IFERROR(INDEX(DATA_PROPERTY_MASTER!$E$5:$E$21,MATCH($C1014,DATA_PROPERTY_MASTER!$A$5:$A$21,0))="Yes",FALSE),IFERROR(INDEX(INDIRECT("'"&amp;$C1014&amp;"'!$E$52:$Y$52"),1,MATCH($D1014,INDIRECT("'"&amp;$C1014&amp;"'!$E$12:$Y$12"),0)),0),0)</f>
        <v>216934.99172104028</v>
      </c>
      <c r="I1014" s="366" t="s">
        <v>1685</v>
      </c>
      <c r="J1014" s="348" t="str">
        <f t="shared" ca="1" si="30"/>
        <v>OK</v>
      </c>
      <c r="K1014" s="366" t="s">
        <v>1710</v>
      </c>
      <c r="L1014" s="366" t="s">
        <v>2246</v>
      </c>
      <c r="M1014" s="350" t="str">
        <f>IF($B1014="Portfolio","Portfolio",IFERROR(INDEX(DATA_ASSET_CLASSIFICATION!$B$8:$B$24,MATCH($C1014,DATA_ASSET_CLASSIFICATION!$A$8:$A$24,0)),"Review"))</f>
        <v>Beatrice Terrace</v>
      </c>
      <c r="N1014" s="350" t="str">
        <f ca="1">IF($B1014="Portfolio","Portfolio",IFERROR(INDEX(DATA_ASSET_CLASSIFICATION!$U$8:$U$24,MATCH($C1014,DATA_ASSET_CLASSIFICATION!$A$8:$A$24,0)),"Review"))</f>
        <v>Stable</v>
      </c>
      <c r="O1014" s="350" t="str">
        <f ca="1">IF($B1014="Portfolio","Portfolio",IFERROR(INDEX(DATA_ASSET_CLASSIFICATION!$AB$8:$AB$13,MATCH($N1014,DATA_ASSET_CLASSIFICATION!$AA$8:$AA$13,0)),"Review"))</f>
        <v>Bucket 2 · Legacy</v>
      </c>
      <c r="P1014" s="350" t="str">
        <f>IF($B1014="Portfolio","Portfolio",IFERROR(INDEX(DATA_ASSET_CLASSIFICATION!$C$8:$C$24,MATCH($C1014,DATA_ASSET_CLASSIFICATION!$A$8:$A$24,0)),"Review"))</f>
        <v>Yes</v>
      </c>
      <c r="Q1014" s="350" t="str">
        <f t="shared" ca="1" si="31"/>
        <v>OK</v>
      </c>
    </row>
    <row r="1015" spans="1:17">
      <c r="A1015" s="366" t="s">
        <v>2971</v>
      </c>
      <c r="B1015" s="366" t="s">
        <v>231</v>
      </c>
      <c r="C1015" s="348" t="str">
        <f>DATA_PROPERTY_MASTER!$A$7</f>
        <v>BLD_BT</v>
      </c>
      <c r="D1015" s="380">
        <f>'00_PORTFOLIO ROLLUP'!M$12</f>
        <v>2033</v>
      </c>
      <c r="E1015" s="366" t="s">
        <v>1683</v>
      </c>
      <c r="F1015" s="366" t="s">
        <v>27</v>
      </c>
      <c r="G1015" s="348" t="str">
        <f>"'"&amp;$C1015&amp;"'!$E$54:$Y$54"</f>
        <v>'BLD_BT'!$E$54:$Y$54</v>
      </c>
      <c r="H1015" s="381">
        <f ca="1">IF(IFERROR(INDEX(DATA_PROPERTY_MASTER!$E$5:$E$21,MATCH($C1015,DATA_PROPERTY_MASTER!$A$5:$A$21,0))="Yes",FALSE),IFERROR(INDEX(INDIRECT("'"&amp;$C1015&amp;"'!$E$54:$Y$54"),1,MATCH($D1015,INDIRECT("'"&amp;$C1015&amp;"'!$E$12:$Y$12"),0)),0),0)</f>
        <v>130160.99503262417</v>
      </c>
      <c r="I1015" s="366" t="s">
        <v>1690</v>
      </c>
      <c r="J1015" s="348" t="str">
        <f t="shared" ca="1" si="30"/>
        <v>OK</v>
      </c>
      <c r="K1015" s="366" t="s">
        <v>1714</v>
      </c>
      <c r="L1015" s="366" t="s">
        <v>2248</v>
      </c>
      <c r="M1015" s="350" t="str">
        <f>IF($B1015="Portfolio","Portfolio",IFERROR(INDEX(DATA_ASSET_CLASSIFICATION!$B$8:$B$24,MATCH($C1015,DATA_ASSET_CLASSIFICATION!$A$8:$A$24,0)),"Review"))</f>
        <v>Beatrice Terrace</v>
      </c>
      <c r="N1015" s="350" t="str">
        <f ca="1">IF($B1015="Portfolio","Portfolio",IFERROR(INDEX(DATA_ASSET_CLASSIFICATION!$U$8:$U$24,MATCH($C1015,DATA_ASSET_CLASSIFICATION!$A$8:$A$24,0)),"Review"))</f>
        <v>Stable</v>
      </c>
      <c r="O1015" s="350" t="str">
        <f ca="1">IF($B1015="Portfolio","Portfolio",IFERROR(INDEX(DATA_ASSET_CLASSIFICATION!$AB$8:$AB$13,MATCH($N1015,DATA_ASSET_CLASSIFICATION!$AA$8:$AA$13,0)),"Review"))</f>
        <v>Bucket 2 · Legacy</v>
      </c>
      <c r="P1015" s="350" t="str">
        <f>IF($B1015="Portfolio","Portfolio",IFERROR(INDEX(DATA_ASSET_CLASSIFICATION!$C$8:$C$24,MATCH($C1015,DATA_ASSET_CLASSIFICATION!$A$8:$A$24,0)),"Review"))</f>
        <v>Yes</v>
      </c>
      <c r="Q1015" s="350" t="str">
        <f t="shared" ca="1" si="31"/>
        <v>OK</v>
      </c>
    </row>
    <row r="1016" spans="1:17">
      <c r="A1016" s="366" t="s">
        <v>2972</v>
      </c>
      <c r="B1016" s="366" t="s">
        <v>231</v>
      </c>
      <c r="C1016" s="348" t="str">
        <f>DATA_PROPERTY_MASTER!$A$7</f>
        <v>BLD_BT</v>
      </c>
      <c r="D1016" s="380">
        <f>'00_PORTFOLIO ROLLUP'!M$12</f>
        <v>2033</v>
      </c>
      <c r="E1016" s="366" t="s">
        <v>1683</v>
      </c>
      <c r="F1016" s="366" t="s">
        <v>29</v>
      </c>
      <c r="G1016" s="348" t="str">
        <f>"'"&amp;$C1016&amp;"'!$E$56:$Y$56"</f>
        <v>'BLD_BT'!$E$56:$Y$56</v>
      </c>
      <c r="H1016" s="381">
        <f ca="1">IF(IFERROR(INDEX(DATA_PROPERTY_MASTER!$E$5:$E$21,MATCH($C1016,DATA_PROPERTY_MASTER!$A$5:$A$21,0))="Yes",FALSE),IFERROR(INDEX(INDIRECT("'"&amp;$C1016&amp;"'!$E$56:$Y$56"),1,MATCH($D1016,INDIRECT("'"&amp;$C1016&amp;"'!$E$12:$Y$12"),0)),0),0)</f>
        <v>86773.996688416111</v>
      </c>
      <c r="I1016" s="366" t="s">
        <v>1685</v>
      </c>
      <c r="J1016" s="348" t="str">
        <f t="shared" ca="1" si="30"/>
        <v>OK</v>
      </c>
      <c r="K1016" s="366" t="s">
        <v>1718</v>
      </c>
      <c r="L1016" s="366" t="s">
        <v>2250</v>
      </c>
      <c r="M1016" s="350" t="str">
        <f>IF($B1016="Portfolio","Portfolio",IFERROR(INDEX(DATA_ASSET_CLASSIFICATION!$B$8:$B$24,MATCH($C1016,DATA_ASSET_CLASSIFICATION!$A$8:$A$24,0)),"Review"))</f>
        <v>Beatrice Terrace</v>
      </c>
      <c r="N1016" s="350" t="str">
        <f ca="1">IF($B1016="Portfolio","Portfolio",IFERROR(INDEX(DATA_ASSET_CLASSIFICATION!$U$8:$U$24,MATCH($C1016,DATA_ASSET_CLASSIFICATION!$A$8:$A$24,0)),"Review"))</f>
        <v>Stable</v>
      </c>
      <c r="O1016" s="350" t="str">
        <f ca="1">IF($B1016="Portfolio","Portfolio",IFERROR(INDEX(DATA_ASSET_CLASSIFICATION!$AB$8:$AB$13,MATCH($N1016,DATA_ASSET_CLASSIFICATION!$AA$8:$AA$13,0)),"Review"))</f>
        <v>Bucket 2 · Legacy</v>
      </c>
      <c r="P1016" s="350" t="str">
        <f>IF($B1016="Portfolio","Portfolio",IFERROR(INDEX(DATA_ASSET_CLASSIFICATION!$C$8:$C$24,MATCH($C1016,DATA_ASSET_CLASSIFICATION!$A$8:$A$24,0)),"Review"))</f>
        <v>Yes</v>
      </c>
      <c r="Q1016" s="350" t="str">
        <f t="shared" ca="1" si="31"/>
        <v>OK</v>
      </c>
    </row>
    <row r="1017" spans="1:17">
      <c r="A1017" s="366" t="s">
        <v>2973</v>
      </c>
      <c r="B1017" s="366" t="s">
        <v>231</v>
      </c>
      <c r="C1017" s="348" t="str">
        <f>DATA_PROPERTY_MASTER!$A$7</f>
        <v>BLD_BT</v>
      </c>
      <c r="D1017" s="380">
        <f>'00_PORTFOLIO ROLLUP'!M$12</f>
        <v>2033</v>
      </c>
      <c r="E1017" s="366" t="s">
        <v>1721</v>
      </c>
      <c r="F1017" s="366" t="s">
        <v>31</v>
      </c>
      <c r="G1017" s="348" t="str">
        <f>"'"&amp;$C1017&amp;"'!$E$61:$Y$61"</f>
        <v>'BLD_BT'!$E$61:$Y$61</v>
      </c>
      <c r="H1017" s="381">
        <f ca="1">IF(IFERROR(INDEX(DATA_PROPERTY_MASTER!$E$5:$E$21,MATCH($C1017,DATA_PROPERTY_MASTER!$A$5:$A$21,0))="Yes",FALSE),IFERROR(INDEX(INDIRECT("'"&amp;$C1017&amp;"'!$E$61:$Y$61"),1,MATCH($D1017,INDIRECT("'"&amp;$C1017&amp;"'!$E$12:$Y$12"),0)),0),0)</f>
        <v>0</v>
      </c>
      <c r="I1017" s="366" t="s">
        <v>1690</v>
      </c>
      <c r="J1017" s="348" t="str">
        <f t="shared" ca="1" si="30"/>
        <v>OK</v>
      </c>
      <c r="K1017" s="366" t="s">
        <v>1723</v>
      </c>
      <c r="L1017" s="366" t="s">
        <v>2252</v>
      </c>
      <c r="M1017" s="350" t="str">
        <f>IF($B1017="Portfolio","Portfolio",IFERROR(INDEX(DATA_ASSET_CLASSIFICATION!$B$8:$B$24,MATCH($C1017,DATA_ASSET_CLASSIFICATION!$A$8:$A$24,0)),"Review"))</f>
        <v>Beatrice Terrace</v>
      </c>
      <c r="N1017" s="350" t="str">
        <f ca="1">IF($B1017="Portfolio","Portfolio",IFERROR(INDEX(DATA_ASSET_CLASSIFICATION!$U$8:$U$24,MATCH($C1017,DATA_ASSET_CLASSIFICATION!$A$8:$A$24,0)),"Review"))</f>
        <v>Stable</v>
      </c>
      <c r="O1017" s="350" t="str">
        <f ca="1">IF($B1017="Portfolio","Portfolio",IFERROR(INDEX(DATA_ASSET_CLASSIFICATION!$AB$8:$AB$13,MATCH($N1017,DATA_ASSET_CLASSIFICATION!$AA$8:$AA$13,0)),"Review"))</f>
        <v>Bucket 2 · Legacy</v>
      </c>
      <c r="P1017" s="350" t="str">
        <f>IF($B1017="Portfolio","Portfolio",IFERROR(INDEX(DATA_ASSET_CLASSIFICATION!$C$8:$C$24,MATCH($C1017,DATA_ASSET_CLASSIFICATION!$A$8:$A$24,0)),"Review"))</f>
        <v>Yes</v>
      </c>
      <c r="Q1017" s="350" t="str">
        <f t="shared" ca="1" si="31"/>
        <v>OK</v>
      </c>
    </row>
    <row r="1018" spans="1:17">
      <c r="A1018" s="366" t="s">
        <v>2974</v>
      </c>
      <c r="B1018" s="366" t="s">
        <v>231</v>
      </c>
      <c r="C1018" s="348" t="str">
        <f>DATA_PROPERTY_MASTER!$A$7</f>
        <v>BLD_BT</v>
      </c>
      <c r="D1018" s="380">
        <f>'00_PORTFOLIO ROLLUP'!M$12</f>
        <v>2033</v>
      </c>
      <c r="E1018" s="366" t="s">
        <v>1721</v>
      </c>
      <c r="F1018" s="366" t="s">
        <v>33</v>
      </c>
      <c r="G1018" s="348" t="str">
        <f>"'"&amp;$C1018&amp;"'!$E$62:$Y$62"</f>
        <v>'BLD_BT'!$E$62:$Y$62</v>
      </c>
      <c r="H1018" s="381">
        <f ca="1">IF(IFERROR(INDEX(DATA_PROPERTY_MASTER!$E$5:$E$21,MATCH($C1018,DATA_PROPERTY_MASTER!$A$5:$A$21,0))="Yes",FALSE),IFERROR(INDEX(INDIRECT("'"&amp;$C1018&amp;"'!$E$62:$Y$62"),1,MATCH($D1018,INDIRECT("'"&amp;$C1018&amp;"'!$E$12:$Y$12"),0)),0),0)</f>
        <v>0</v>
      </c>
      <c r="I1018" s="366" t="s">
        <v>1685</v>
      </c>
      <c r="J1018" s="348" t="str">
        <f t="shared" ca="1" si="30"/>
        <v>OK</v>
      </c>
      <c r="K1018" s="366" t="s">
        <v>1727</v>
      </c>
      <c r="L1018" s="366" t="s">
        <v>2254</v>
      </c>
      <c r="M1018" s="350" t="str">
        <f>IF($B1018="Portfolio","Portfolio",IFERROR(INDEX(DATA_ASSET_CLASSIFICATION!$B$8:$B$24,MATCH($C1018,DATA_ASSET_CLASSIFICATION!$A$8:$A$24,0)),"Review"))</f>
        <v>Beatrice Terrace</v>
      </c>
      <c r="N1018" s="350" t="str">
        <f ca="1">IF($B1018="Portfolio","Portfolio",IFERROR(INDEX(DATA_ASSET_CLASSIFICATION!$U$8:$U$24,MATCH($C1018,DATA_ASSET_CLASSIFICATION!$A$8:$A$24,0)),"Review"))</f>
        <v>Stable</v>
      </c>
      <c r="O1018" s="350" t="str">
        <f ca="1">IF($B1018="Portfolio","Portfolio",IFERROR(INDEX(DATA_ASSET_CLASSIFICATION!$AB$8:$AB$13,MATCH($N1018,DATA_ASSET_CLASSIFICATION!$AA$8:$AA$13,0)),"Review"))</f>
        <v>Bucket 2 · Legacy</v>
      </c>
      <c r="P1018" s="350" t="str">
        <f>IF($B1018="Portfolio","Portfolio",IFERROR(INDEX(DATA_ASSET_CLASSIFICATION!$C$8:$C$24,MATCH($C1018,DATA_ASSET_CLASSIFICATION!$A$8:$A$24,0)),"Review"))</f>
        <v>Yes</v>
      </c>
      <c r="Q1018" s="350" t="str">
        <f t="shared" ca="1" si="31"/>
        <v>OK</v>
      </c>
    </row>
    <row r="1019" spans="1:17">
      <c r="A1019" s="366" t="s">
        <v>2975</v>
      </c>
      <c r="B1019" s="366" t="s">
        <v>231</v>
      </c>
      <c r="C1019" s="348" t="str">
        <f>DATA_PROPERTY_MASTER!$A$7</f>
        <v>BLD_BT</v>
      </c>
      <c r="D1019" s="380">
        <f>'00_PORTFOLIO ROLLUP'!M$12</f>
        <v>2033</v>
      </c>
      <c r="E1019" s="366" t="s">
        <v>1721</v>
      </c>
      <c r="F1019" s="366" t="s">
        <v>35</v>
      </c>
      <c r="G1019" s="348" t="str">
        <f>"'"&amp;$C1019&amp;"'!$E$63:$Y$63"</f>
        <v>'BLD_BT'!$E$63:$Y$63</v>
      </c>
      <c r="H1019" s="381">
        <f ca="1">IF(IFERROR(INDEX(DATA_PROPERTY_MASTER!$E$5:$E$21,MATCH($C1019,DATA_PROPERTY_MASTER!$A$5:$A$21,0))="Yes",FALSE),IFERROR(INDEX(INDIRECT("'"&amp;$C1019&amp;"'!$E$63:$Y$63"),1,MATCH($D1019,INDIRECT("'"&amp;$C1019&amp;"'!$E$12:$Y$12"),0)),0),0)</f>
        <v>0</v>
      </c>
      <c r="I1019" s="366" t="s">
        <v>1731</v>
      </c>
      <c r="J1019" s="348" t="str">
        <f t="shared" ca="1" si="30"/>
        <v>OK</v>
      </c>
      <c r="K1019" s="366" t="s">
        <v>1732</v>
      </c>
      <c r="L1019" s="366" t="s">
        <v>2256</v>
      </c>
      <c r="M1019" s="350" t="str">
        <f>IF($B1019="Portfolio","Portfolio",IFERROR(INDEX(DATA_ASSET_CLASSIFICATION!$B$8:$B$24,MATCH($C1019,DATA_ASSET_CLASSIFICATION!$A$8:$A$24,0)),"Review"))</f>
        <v>Beatrice Terrace</v>
      </c>
      <c r="N1019" s="350" t="str">
        <f ca="1">IF($B1019="Portfolio","Portfolio",IFERROR(INDEX(DATA_ASSET_CLASSIFICATION!$U$8:$U$24,MATCH($C1019,DATA_ASSET_CLASSIFICATION!$A$8:$A$24,0)),"Review"))</f>
        <v>Stable</v>
      </c>
      <c r="O1019" s="350" t="str">
        <f ca="1">IF($B1019="Portfolio","Portfolio",IFERROR(INDEX(DATA_ASSET_CLASSIFICATION!$AB$8:$AB$13,MATCH($N1019,DATA_ASSET_CLASSIFICATION!$AA$8:$AA$13,0)),"Review"))</f>
        <v>Bucket 2 · Legacy</v>
      </c>
      <c r="P1019" s="350" t="str">
        <f>IF($B1019="Portfolio","Portfolio",IFERROR(INDEX(DATA_ASSET_CLASSIFICATION!$C$8:$C$24,MATCH($C1019,DATA_ASSET_CLASSIFICATION!$A$8:$A$24,0)),"Review"))</f>
        <v>Yes</v>
      </c>
      <c r="Q1019" s="350" t="str">
        <f t="shared" ca="1" si="31"/>
        <v>OK</v>
      </c>
    </row>
    <row r="1020" spans="1:17">
      <c r="A1020" s="366" t="s">
        <v>2976</v>
      </c>
      <c r="B1020" s="366" t="s">
        <v>231</v>
      </c>
      <c r="C1020" s="348" t="str">
        <f>DATA_PROPERTY_MASTER!$A$7</f>
        <v>BLD_BT</v>
      </c>
      <c r="D1020" s="380">
        <f>'00_PORTFOLIO ROLLUP'!M$12</f>
        <v>2033</v>
      </c>
      <c r="E1020" s="366" t="s">
        <v>1721</v>
      </c>
      <c r="F1020" s="366" t="s">
        <v>37</v>
      </c>
      <c r="G1020" s="348" t="str">
        <f>"'"&amp;$C1020&amp;"'!$E$63:$Y$63"</f>
        <v>'BLD_BT'!$E$63:$Y$63</v>
      </c>
      <c r="H1020" s="381">
        <f ca="1">IF(IFERROR(INDEX(DATA_PROPERTY_MASTER!$E$5:$E$21,MATCH($C1020,DATA_PROPERTY_MASTER!$A$5:$A$21,0))="Yes",FALSE),MAX(IFERROR(INDEX(INDIRECT("'"&amp;$C1020&amp;"'!$E$63:$Y$63"),1,MATCH($D1020,INDIRECT("'"&amp;$C1020&amp;"'!$E$12:$Y$12"),0)),0),0),0)</f>
        <v>0</v>
      </c>
      <c r="I1020" s="366" t="s">
        <v>1685</v>
      </c>
      <c r="J1020" s="348" t="str">
        <f t="shared" ca="1" si="30"/>
        <v>OK</v>
      </c>
      <c r="K1020" s="366" t="s">
        <v>1735</v>
      </c>
      <c r="L1020" s="366" t="s">
        <v>2258</v>
      </c>
      <c r="M1020" s="350" t="str">
        <f>IF($B1020="Portfolio","Portfolio",IFERROR(INDEX(DATA_ASSET_CLASSIFICATION!$B$8:$B$24,MATCH($C1020,DATA_ASSET_CLASSIFICATION!$A$8:$A$24,0)),"Review"))</f>
        <v>Beatrice Terrace</v>
      </c>
      <c r="N1020" s="350" t="str">
        <f ca="1">IF($B1020="Portfolio","Portfolio",IFERROR(INDEX(DATA_ASSET_CLASSIFICATION!$U$8:$U$24,MATCH($C1020,DATA_ASSET_CLASSIFICATION!$A$8:$A$24,0)),"Review"))</f>
        <v>Stable</v>
      </c>
      <c r="O1020" s="350" t="str">
        <f ca="1">IF($B1020="Portfolio","Portfolio",IFERROR(INDEX(DATA_ASSET_CLASSIFICATION!$AB$8:$AB$13,MATCH($N1020,DATA_ASSET_CLASSIFICATION!$AA$8:$AA$13,0)),"Review"))</f>
        <v>Bucket 2 · Legacy</v>
      </c>
      <c r="P1020" s="350" t="str">
        <f>IF($B1020="Portfolio","Portfolio",IFERROR(INDEX(DATA_ASSET_CLASSIFICATION!$C$8:$C$24,MATCH($C1020,DATA_ASSET_CLASSIFICATION!$A$8:$A$24,0)),"Review"))</f>
        <v>Yes</v>
      </c>
      <c r="Q1020" s="350" t="str">
        <f t="shared" ca="1" si="31"/>
        <v>OK</v>
      </c>
    </row>
    <row r="1021" spans="1:17">
      <c r="A1021" s="366" t="s">
        <v>2977</v>
      </c>
      <c r="B1021" s="366" t="s">
        <v>231</v>
      </c>
      <c r="C1021" s="348" t="str">
        <f>DATA_PROPERTY_MASTER!$A$7</f>
        <v>BLD_BT</v>
      </c>
      <c r="D1021" s="380">
        <f>'00_PORTFOLIO ROLLUP'!M$12</f>
        <v>2033</v>
      </c>
      <c r="E1021" s="366" t="s">
        <v>1721</v>
      </c>
      <c r="F1021" s="366" t="s">
        <v>39</v>
      </c>
      <c r="G1021" s="348" t="str">
        <f>"'"&amp;$C1021&amp;"'!$E$63:$Y$63"</f>
        <v>'BLD_BT'!$E$63:$Y$63</v>
      </c>
      <c r="H1021" s="381">
        <f ca="1">IF(IFERROR(INDEX(DATA_PROPERTY_MASTER!$E$5:$E$21,MATCH($C1021,DATA_PROPERTY_MASTER!$A$5:$A$21,0))="Yes",FALSE),MAX(-IFERROR(INDEX(INDIRECT("'"&amp;$C1021&amp;"'!$E$63:$Y$63"),1,MATCH($D1021,INDIRECT("'"&amp;$C1021&amp;"'!$E$12:$Y$12"),0)),0),0),0)</f>
        <v>0</v>
      </c>
      <c r="I1021" s="366" t="s">
        <v>1690</v>
      </c>
      <c r="J1021" s="348" t="str">
        <f t="shared" ca="1" si="30"/>
        <v>OK</v>
      </c>
      <c r="K1021" s="366" t="s">
        <v>1738</v>
      </c>
      <c r="L1021" s="366" t="s">
        <v>2260</v>
      </c>
      <c r="M1021" s="350" t="str">
        <f>IF($B1021="Portfolio","Portfolio",IFERROR(INDEX(DATA_ASSET_CLASSIFICATION!$B$8:$B$24,MATCH($C1021,DATA_ASSET_CLASSIFICATION!$A$8:$A$24,0)),"Review"))</f>
        <v>Beatrice Terrace</v>
      </c>
      <c r="N1021" s="350" t="str">
        <f ca="1">IF($B1021="Portfolio","Portfolio",IFERROR(INDEX(DATA_ASSET_CLASSIFICATION!$U$8:$U$24,MATCH($C1021,DATA_ASSET_CLASSIFICATION!$A$8:$A$24,0)),"Review"))</f>
        <v>Stable</v>
      </c>
      <c r="O1021" s="350" t="str">
        <f ca="1">IF($B1021="Portfolio","Portfolio",IFERROR(INDEX(DATA_ASSET_CLASSIFICATION!$AB$8:$AB$13,MATCH($N1021,DATA_ASSET_CLASSIFICATION!$AA$8:$AA$13,0)),"Review"))</f>
        <v>Bucket 2 · Legacy</v>
      </c>
      <c r="P1021" s="350" t="str">
        <f>IF($B1021="Portfolio","Portfolio",IFERROR(INDEX(DATA_ASSET_CLASSIFICATION!$C$8:$C$24,MATCH($C1021,DATA_ASSET_CLASSIFICATION!$A$8:$A$24,0)),"Review"))</f>
        <v>Yes</v>
      </c>
      <c r="Q1021" s="350" t="str">
        <f t="shared" ca="1" si="31"/>
        <v>OK</v>
      </c>
    </row>
    <row r="1022" spans="1:17">
      <c r="A1022" s="366" t="s">
        <v>2978</v>
      </c>
      <c r="B1022" s="366" t="s">
        <v>231</v>
      </c>
      <c r="C1022" s="348" t="str">
        <f>DATA_PROPERTY_MASTER!$A$7</f>
        <v>BLD_BT</v>
      </c>
      <c r="D1022" s="380">
        <f>'00_PORTFOLIO ROLLUP'!M$12</f>
        <v>2033</v>
      </c>
      <c r="E1022" s="366" t="s">
        <v>1741</v>
      </c>
      <c r="F1022" s="366" t="s">
        <v>41</v>
      </c>
      <c r="G1022" s="348" t="str">
        <f>"'"&amp;$C1022&amp;"'!rows 56 + positive row 63"</f>
        <v>'BLD_BT'!rows 56 + positive row 63</v>
      </c>
      <c r="H1022" s="381">
        <f ca="1">IF(IFERROR(INDEX(DATA_PROPERTY_MASTER!$E$5:$E$21,MATCH($C1022,DATA_PROPERTY_MASTER!$A$5:$A$21,0))="Yes",FALSE),IFERROR(INDEX(INDIRECT("'"&amp;$C1022&amp;"'!$E$56:$Y$56"),1,MATCH($D1022,INDIRECT("'"&amp;$C1022&amp;"'!$E$12:$Y$12"),0)),0)+MAX(IFERROR(INDEX(INDIRECT("'"&amp;$C1022&amp;"'!$E$63:$Y$63"),1,MATCH($D1022,INDIRECT("'"&amp;$C1022&amp;"'!$E$12:$Y$12"),0)),0),0),0)</f>
        <v>86773.996688416111</v>
      </c>
      <c r="I1022" s="366" t="s">
        <v>1685</v>
      </c>
      <c r="J1022" s="348" t="str">
        <f t="shared" ca="1" si="30"/>
        <v>OK</v>
      </c>
      <c r="K1022" s="366" t="s">
        <v>1742</v>
      </c>
      <c r="L1022" s="366" t="s">
        <v>2262</v>
      </c>
      <c r="M1022" s="350" t="str">
        <f>IF($B1022="Portfolio","Portfolio",IFERROR(INDEX(DATA_ASSET_CLASSIFICATION!$B$8:$B$24,MATCH($C1022,DATA_ASSET_CLASSIFICATION!$A$8:$A$24,0)),"Review"))</f>
        <v>Beatrice Terrace</v>
      </c>
      <c r="N1022" s="350" t="str">
        <f ca="1">IF($B1022="Portfolio","Portfolio",IFERROR(INDEX(DATA_ASSET_CLASSIFICATION!$U$8:$U$24,MATCH($C1022,DATA_ASSET_CLASSIFICATION!$A$8:$A$24,0)),"Review"))</f>
        <v>Stable</v>
      </c>
      <c r="O1022" s="350" t="str">
        <f ca="1">IF($B1022="Portfolio","Portfolio",IFERROR(INDEX(DATA_ASSET_CLASSIFICATION!$AB$8:$AB$13,MATCH($N1022,DATA_ASSET_CLASSIFICATION!$AA$8:$AA$13,0)),"Review"))</f>
        <v>Bucket 2 · Legacy</v>
      </c>
      <c r="P1022" s="350" t="str">
        <f>IF($B1022="Portfolio","Portfolio",IFERROR(INDEX(DATA_ASSET_CLASSIFICATION!$C$8:$C$24,MATCH($C1022,DATA_ASSET_CLASSIFICATION!$A$8:$A$24,0)),"Review"))</f>
        <v>Yes</v>
      </c>
      <c r="Q1022" s="350" t="str">
        <f t="shared" ca="1" si="31"/>
        <v>OK</v>
      </c>
    </row>
    <row r="1023" spans="1:17">
      <c r="A1023" s="366" t="s">
        <v>2979</v>
      </c>
      <c r="B1023" s="366" t="s">
        <v>231</v>
      </c>
      <c r="C1023" s="348" t="str">
        <f>DATA_PROPERTY_MASTER!$A$7</f>
        <v>BLD_BT</v>
      </c>
      <c r="D1023" s="380">
        <f>'00_PORTFOLIO ROLLUP'!M$12</f>
        <v>2033</v>
      </c>
      <c r="E1023" s="366" t="s">
        <v>1741</v>
      </c>
      <c r="F1023" s="366" t="s">
        <v>43</v>
      </c>
      <c r="G1023" s="348" t="str">
        <f>"'"&amp;$C1023&amp;"'!$E$68:$Y$68"</f>
        <v>'BLD_BT'!$E$68:$Y$68</v>
      </c>
      <c r="H1023" s="381">
        <f ca="1">IF(IFERROR(INDEX(DATA_PROPERTY_MASTER!$E$5:$E$21,MATCH($C1023,DATA_PROPERTY_MASTER!$A$5:$A$21,0))="Yes",FALSE),IFERROR(INDEX(INDIRECT("'"&amp;$C1023&amp;"'!$E$68:$Y$68"),1,MATCH($D1023,INDIRECT("'"&amp;$C1023&amp;"'!$E$12:$Y$12"),0)),0),0)</f>
        <v>86773.996688416111</v>
      </c>
      <c r="I1023" s="366" t="s">
        <v>1731</v>
      </c>
      <c r="J1023" s="348" t="str">
        <f t="shared" ca="1" si="30"/>
        <v>OK</v>
      </c>
      <c r="K1023" s="366" t="s">
        <v>1746</v>
      </c>
      <c r="L1023" s="366" t="s">
        <v>2264</v>
      </c>
      <c r="M1023" s="350" t="str">
        <f>IF($B1023="Portfolio","Portfolio",IFERROR(INDEX(DATA_ASSET_CLASSIFICATION!$B$8:$B$24,MATCH($C1023,DATA_ASSET_CLASSIFICATION!$A$8:$A$24,0)),"Review"))</f>
        <v>Beatrice Terrace</v>
      </c>
      <c r="N1023" s="350" t="str">
        <f ca="1">IF($B1023="Portfolio","Portfolio",IFERROR(INDEX(DATA_ASSET_CLASSIFICATION!$U$8:$U$24,MATCH($C1023,DATA_ASSET_CLASSIFICATION!$A$8:$A$24,0)),"Review"))</f>
        <v>Stable</v>
      </c>
      <c r="O1023" s="350" t="str">
        <f ca="1">IF($B1023="Portfolio","Portfolio",IFERROR(INDEX(DATA_ASSET_CLASSIFICATION!$AB$8:$AB$13,MATCH($N1023,DATA_ASSET_CLASSIFICATION!$AA$8:$AA$13,0)),"Review"))</f>
        <v>Bucket 2 · Legacy</v>
      </c>
      <c r="P1023" s="350" t="str">
        <f>IF($B1023="Portfolio","Portfolio",IFERROR(INDEX(DATA_ASSET_CLASSIFICATION!$C$8:$C$24,MATCH($C1023,DATA_ASSET_CLASSIFICATION!$A$8:$A$24,0)),"Review"))</f>
        <v>Yes</v>
      </c>
      <c r="Q1023" s="350" t="str">
        <f t="shared" ca="1" si="31"/>
        <v>OK</v>
      </c>
    </row>
    <row r="1024" spans="1:17">
      <c r="A1024" s="366" t="s">
        <v>2980</v>
      </c>
      <c r="B1024" s="366" t="s">
        <v>231</v>
      </c>
      <c r="C1024" s="348" t="str">
        <f>DATA_PROPERTY_MASTER!$A$7</f>
        <v>BLD_BT</v>
      </c>
      <c r="D1024" s="380">
        <f>'00_PORTFOLIO ROLLUP'!M$12</f>
        <v>2033</v>
      </c>
      <c r="E1024" s="366" t="s">
        <v>1741</v>
      </c>
      <c r="F1024" s="366" t="s">
        <v>1749</v>
      </c>
      <c r="G1024" s="348" t="str">
        <f>"'"&amp;$C1024&amp;"'!rows 56, 63, 68"</f>
        <v>'BLD_BT'!rows 56, 63, 68</v>
      </c>
      <c r="H1024" s="381">
        <f ca="1">IF(IFERROR(INDEX(DATA_PROPERTY_MASTER!$E$5:$E$21,MATCH($C1024,DATA_PROPERTY_MASTER!$A$5:$A$21,0))="Yes",FALSE),(IFERROR(INDEX(INDIRECT("'"&amp;$C1024&amp;"'!$E$56:$Y$56"),1,MATCH($D1024,INDIRECT("'"&amp;$C1024&amp;"'!$E$12:$Y$12"),0)),0)+MAX(IFERROR(INDEX(INDIRECT("'"&amp;$C1024&amp;"'!$E$63:$Y$63"),1,MATCH($D1024,INDIRECT("'"&amp;$C1024&amp;"'!$E$12:$Y$12"),0)),0),0))-(IFERROR(INDEX(INDIRECT("'"&amp;$C1024&amp;"'!$E$68:$Y$68"),1,MATCH($D1024,INDIRECT("'"&amp;$C1024&amp;"'!$E$12:$Y$12"),0)),0)),0)</f>
        <v>0</v>
      </c>
      <c r="I1024" s="366" t="s">
        <v>1750</v>
      </c>
      <c r="J1024" s="348" t="str">
        <f t="shared" ca="1" si="30"/>
        <v>OK</v>
      </c>
      <c r="K1024" s="366" t="s">
        <v>1751</v>
      </c>
      <c r="L1024" s="366" t="s">
        <v>2266</v>
      </c>
      <c r="M1024" s="350" t="str">
        <f>IF($B1024="Portfolio","Portfolio",IFERROR(INDEX(DATA_ASSET_CLASSIFICATION!$B$8:$B$24,MATCH($C1024,DATA_ASSET_CLASSIFICATION!$A$8:$A$24,0)),"Review"))</f>
        <v>Beatrice Terrace</v>
      </c>
      <c r="N1024" s="350" t="str">
        <f ca="1">IF($B1024="Portfolio","Portfolio",IFERROR(INDEX(DATA_ASSET_CLASSIFICATION!$U$8:$U$24,MATCH($C1024,DATA_ASSET_CLASSIFICATION!$A$8:$A$24,0)),"Review"))</f>
        <v>Stable</v>
      </c>
      <c r="O1024" s="350" t="str">
        <f ca="1">IF($B1024="Portfolio","Portfolio",IFERROR(INDEX(DATA_ASSET_CLASSIFICATION!$AB$8:$AB$13,MATCH($N1024,DATA_ASSET_CLASSIFICATION!$AA$8:$AA$13,0)),"Review"))</f>
        <v>Bucket 2 · Legacy</v>
      </c>
      <c r="P1024" s="350" t="str">
        <f>IF($B1024="Portfolio","Portfolio",IFERROR(INDEX(DATA_ASSET_CLASSIFICATION!$C$8:$C$24,MATCH($C1024,DATA_ASSET_CLASSIFICATION!$A$8:$A$24,0)),"Review"))</f>
        <v>Yes</v>
      </c>
      <c r="Q1024" s="350" t="str">
        <f t="shared" ca="1" si="31"/>
        <v>OK</v>
      </c>
    </row>
    <row r="1025" spans="1:17">
      <c r="A1025" s="366" t="s">
        <v>2981</v>
      </c>
      <c r="B1025" s="366" t="s">
        <v>231</v>
      </c>
      <c r="C1025" s="348" t="str">
        <f>DATA_PROPERTY_MASTER!$A$7</f>
        <v>BLD_BT</v>
      </c>
      <c r="D1025" s="380">
        <f>'00_PORTFOLIO ROLLUP'!N$12</f>
        <v>2034</v>
      </c>
      <c r="E1025" s="366" t="s">
        <v>1683</v>
      </c>
      <c r="F1025" s="366" t="s">
        <v>341</v>
      </c>
      <c r="G1025" s="348" t="str">
        <f>"'"&amp;$C1025&amp;"'!$E$24:$Y$24"</f>
        <v>'BLD_BT'!$E$24:$Y$24</v>
      </c>
      <c r="H1025" s="381">
        <f ca="1">IF(IFERROR(INDEX(DATA_PROPERTY_MASTER!$E$5:$E$21,MATCH($C1025,DATA_PROPERTY_MASTER!$A$5:$A$21,0))="Yes",FALSE),IFERROR(INDEX(INDIRECT("'"&amp;$C1025&amp;"'!$E$24:$Y$24"),1,MATCH($D1025,INDIRECT("'"&amp;$C1025&amp;"'!$E$12:$Y$12"),0)),0),0)</f>
        <v>499824.84307174699</v>
      </c>
      <c r="I1025" s="366" t="s">
        <v>1685</v>
      </c>
      <c r="J1025" s="348" t="str">
        <f t="shared" ca="1" si="30"/>
        <v>OK</v>
      </c>
      <c r="K1025" s="366" t="s">
        <v>1686</v>
      </c>
      <c r="L1025" s="366" t="s">
        <v>2234</v>
      </c>
      <c r="M1025" s="350" t="str">
        <f>IF($B1025="Portfolio","Portfolio",IFERROR(INDEX(DATA_ASSET_CLASSIFICATION!$B$8:$B$24,MATCH($C1025,DATA_ASSET_CLASSIFICATION!$A$8:$A$24,0)),"Review"))</f>
        <v>Beatrice Terrace</v>
      </c>
      <c r="N1025" s="350" t="str">
        <f ca="1">IF($B1025="Portfolio","Portfolio",IFERROR(INDEX(DATA_ASSET_CLASSIFICATION!$U$8:$U$24,MATCH($C1025,DATA_ASSET_CLASSIFICATION!$A$8:$A$24,0)),"Review"))</f>
        <v>Stable</v>
      </c>
      <c r="O1025" s="350" t="str">
        <f ca="1">IF($B1025="Portfolio","Portfolio",IFERROR(INDEX(DATA_ASSET_CLASSIFICATION!$AB$8:$AB$13,MATCH($N1025,DATA_ASSET_CLASSIFICATION!$AA$8:$AA$13,0)),"Review"))</f>
        <v>Bucket 2 · Legacy</v>
      </c>
      <c r="P1025" s="350" t="str">
        <f>IF($B1025="Portfolio","Portfolio",IFERROR(INDEX(DATA_ASSET_CLASSIFICATION!$C$8:$C$24,MATCH($C1025,DATA_ASSET_CLASSIFICATION!$A$8:$A$24,0)),"Review"))</f>
        <v>Yes</v>
      </c>
      <c r="Q1025" s="350" t="str">
        <f t="shared" ca="1" si="31"/>
        <v>OK</v>
      </c>
    </row>
    <row r="1026" spans="1:17">
      <c r="A1026" s="366" t="s">
        <v>2982</v>
      </c>
      <c r="B1026" s="366" t="s">
        <v>231</v>
      </c>
      <c r="C1026" s="348" t="str">
        <f>DATA_PROPERTY_MASTER!$A$7</f>
        <v>BLD_BT</v>
      </c>
      <c r="D1026" s="380">
        <f>'00_PORTFOLIO ROLLUP'!N$12</f>
        <v>2034</v>
      </c>
      <c r="E1026" s="366" t="s">
        <v>1683</v>
      </c>
      <c r="F1026" s="366" t="s">
        <v>355</v>
      </c>
      <c r="G1026" s="348" t="str">
        <f>"'"&amp;$C1026&amp;"'!$E$39:$Y$39"</f>
        <v>'BLD_BT'!$E$39:$Y$39</v>
      </c>
      <c r="H1026" s="381">
        <f ca="1">IF(IFERROR(INDEX(DATA_PROPERTY_MASTER!$E$5:$E$21,MATCH($C1026,DATA_PROPERTY_MASTER!$A$5:$A$21,0))="Yes",FALSE),IFERROR(INDEX(INDIRECT("'"&amp;$C1026&amp;"'!$E$39:$Y$39"),1,MATCH($D1026,INDIRECT("'"&amp;$C1026&amp;"'!$E$12:$Y$12"),0)),0),0)</f>
        <v>171281.34350680155</v>
      </c>
      <c r="I1026" s="366" t="s">
        <v>1690</v>
      </c>
      <c r="J1026" s="348" t="str">
        <f t="shared" ca="1" si="30"/>
        <v>OK</v>
      </c>
      <c r="K1026" s="366" t="s">
        <v>1686</v>
      </c>
      <c r="L1026" s="366" t="s">
        <v>2236</v>
      </c>
      <c r="M1026" s="350" t="str">
        <f>IF($B1026="Portfolio","Portfolio",IFERROR(INDEX(DATA_ASSET_CLASSIFICATION!$B$8:$B$24,MATCH($C1026,DATA_ASSET_CLASSIFICATION!$A$8:$A$24,0)),"Review"))</f>
        <v>Beatrice Terrace</v>
      </c>
      <c r="N1026" s="350" t="str">
        <f ca="1">IF($B1026="Portfolio","Portfolio",IFERROR(INDEX(DATA_ASSET_CLASSIFICATION!$U$8:$U$24,MATCH($C1026,DATA_ASSET_CLASSIFICATION!$A$8:$A$24,0)),"Review"))</f>
        <v>Stable</v>
      </c>
      <c r="O1026" s="350" t="str">
        <f ca="1">IF($B1026="Portfolio","Portfolio",IFERROR(INDEX(DATA_ASSET_CLASSIFICATION!$AB$8:$AB$13,MATCH($N1026,DATA_ASSET_CLASSIFICATION!$AA$8:$AA$13,0)),"Review"))</f>
        <v>Bucket 2 · Legacy</v>
      </c>
      <c r="P1026" s="350" t="str">
        <f>IF($B1026="Portfolio","Portfolio",IFERROR(INDEX(DATA_ASSET_CLASSIFICATION!$C$8:$C$24,MATCH($C1026,DATA_ASSET_CLASSIFICATION!$A$8:$A$24,0)),"Review"))</f>
        <v>Yes</v>
      </c>
      <c r="Q1026" s="350" t="str">
        <f t="shared" ca="1" si="31"/>
        <v>OK</v>
      </c>
    </row>
    <row r="1027" spans="1:17">
      <c r="A1027" s="366" t="s">
        <v>2983</v>
      </c>
      <c r="B1027" s="366" t="s">
        <v>231</v>
      </c>
      <c r="C1027" s="348" t="str">
        <f>DATA_PROPERTY_MASTER!$A$7</f>
        <v>BLD_BT</v>
      </c>
      <c r="D1027" s="380">
        <f>'00_PORTFOLIO ROLLUP'!N$12</f>
        <v>2034</v>
      </c>
      <c r="E1027" s="366" t="s">
        <v>1683</v>
      </c>
      <c r="F1027" s="366" t="s">
        <v>19</v>
      </c>
      <c r="G1027" s="348" t="str">
        <f>"'"&amp;$C1027&amp;"'!$E$41:$Y$41"</f>
        <v>'BLD_BT'!$E$41:$Y$41</v>
      </c>
      <c r="H1027" s="381">
        <f ca="1">IF(IFERROR(INDEX(DATA_PROPERTY_MASTER!$E$5:$E$21,MATCH($C1027,DATA_PROPERTY_MASTER!$A$5:$A$21,0))="Yes",FALSE),IFERROR(INDEX(INDIRECT("'"&amp;$C1027&amp;"'!$E$41:$Y$41"),1,MATCH($D1027,INDIRECT("'"&amp;$C1027&amp;"'!$E$12:$Y$12"),0)),0),0)</f>
        <v>328543.49956494546</v>
      </c>
      <c r="I1027" s="366" t="s">
        <v>1685</v>
      </c>
      <c r="J1027" s="348" t="str">
        <f t="shared" ca="1" si="30"/>
        <v>OK</v>
      </c>
      <c r="K1027" s="366" t="s">
        <v>1694</v>
      </c>
      <c r="L1027" s="366" t="s">
        <v>2238</v>
      </c>
      <c r="M1027" s="350" t="str">
        <f>IF($B1027="Portfolio","Portfolio",IFERROR(INDEX(DATA_ASSET_CLASSIFICATION!$B$8:$B$24,MATCH($C1027,DATA_ASSET_CLASSIFICATION!$A$8:$A$24,0)),"Review"))</f>
        <v>Beatrice Terrace</v>
      </c>
      <c r="N1027" s="350" t="str">
        <f ca="1">IF($B1027="Portfolio","Portfolio",IFERROR(INDEX(DATA_ASSET_CLASSIFICATION!$U$8:$U$24,MATCH($C1027,DATA_ASSET_CLASSIFICATION!$A$8:$A$24,0)),"Review"))</f>
        <v>Stable</v>
      </c>
      <c r="O1027" s="350" t="str">
        <f ca="1">IF($B1027="Portfolio","Portfolio",IFERROR(INDEX(DATA_ASSET_CLASSIFICATION!$AB$8:$AB$13,MATCH($N1027,DATA_ASSET_CLASSIFICATION!$AA$8:$AA$13,0)),"Review"))</f>
        <v>Bucket 2 · Legacy</v>
      </c>
      <c r="P1027" s="350" t="str">
        <f>IF($B1027="Portfolio","Portfolio",IFERROR(INDEX(DATA_ASSET_CLASSIFICATION!$C$8:$C$24,MATCH($C1027,DATA_ASSET_CLASSIFICATION!$A$8:$A$24,0)),"Review"))</f>
        <v>Yes</v>
      </c>
      <c r="Q1027" s="350" t="str">
        <f t="shared" ca="1" si="31"/>
        <v>OK</v>
      </c>
    </row>
    <row r="1028" spans="1:17">
      <c r="A1028" s="366" t="s">
        <v>2984</v>
      </c>
      <c r="B1028" s="366" t="s">
        <v>231</v>
      </c>
      <c r="C1028" s="348" t="str">
        <f>DATA_PROPERTY_MASTER!$A$7</f>
        <v>BLD_BT</v>
      </c>
      <c r="D1028" s="380">
        <f>'00_PORTFOLIO ROLLUP'!N$12</f>
        <v>2034</v>
      </c>
      <c r="E1028" s="366" t="s">
        <v>1683</v>
      </c>
      <c r="F1028" s="366" t="s">
        <v>1697</v>
      </c>
      <c r="G1028" s="348" t="str">
        <f>"'"&amp;$C1028&amp;"'!$E$44:$Y$44"</f>
        <v>'BLD_BT'!$E$44:$Y$44</v>
      </c>
      <c r="H1028" s="381">
        <f ca="1">IF(IFERROR(INDEX(DATA_PROPERTY_MASTER!$E$5:$E$21,MATCH($C1028,DATA_PROPERTY_MASTER!$A$5:$A$21,0))="Yes",FALSE),IFERROR(INDEX(INDIRECT("'"&amp;$C1028&amp;"'!$E$44:$Y$44"),1,MATCH($D1028,INDIRECT("'"&amp;$C1028&amp;"'!$E$12:$Y$12"),0)),0),0)</f>
        <v>3226.7499352802392</v>
      </c>
      <c r="I1028" s="366" t="s">
        <v>1690</v>
      </c>
      <c r="J1028" s="348" t="str">
        <f t="shared" ca="1" si="30"/>
        <v>OK</v>
      </c>
      <c r="K1028" s="366" t="s">
        <v>1699</v>
      </c>
      <c r="L1028" s="366" t="s">
        <v>2240</v>
      </c>
      <c r="M1028" s="350" t="str">
        <f>IF($B1028="Portfolio","Portfolio",IFERROR(INDEX(DATA_ASSET_CLASSIFICATION!$B$8:$B$24,MATCH($C1028,DATA_ASSET_CLASSIFICATION!$A$8:$A$24,0)),"Review"))</f>
        <v>Beatrice Terrace</v>
      </c>
      <c r="N1028" s="350" t="str">
        <f ca="1">IF($B1028="Portfolio","Portfolio",IFERROR(INDEX(DATA_ASSET_CLASSIFICATION!$U$8:$U$24,MATCH($C1028,DATA_ASSET_CLASSIFICATION!$A$8:$A$24,0)),"Review"))</f>
        <v>Stable</v>
      </c>
      <c r="O1028" s="350" t="str">
        <f ca="1">IF($B1028="Portfolio","Portfolio",IFERROR(INDEX(DATA_ASSET_CLASSIFICATION!$AB$8:$AB$13,MATCH($N1028,DATA_ASSET_CLASSIFICATION!$AA$8:$AA$13,0)),"Review"))</f>
        <v>Bucket 2 · Legacy</v>
      </c>
      <c r="P1028" s="350" t="str">
        <f>IF($B1028="Portfolio","Portfolio",IFERROR(INDEX(DATA_ASSET_CLASSIFICATION!$C$8:$C$24,MATCH($C1028,DATA_ASSET_CLASSIFICATION!$A$8:$A$24,0)),"Review"))</f>
        <v>Yes</v>
      </c>
      <c r="Q1028" s="350" t="str">
        <f t="shared" ca="1" si="31"/>
        <v>OK</v>
      </c>
    </row>
    <row r="1029" spans="1:17">
      <c r="A1029" s="366" t="s">
        <v>2985</v>
      </c>
      <c r="B1029" s="366" t="s">
        <v>231</v>
      </c>
      <c r="C1029" s="348" t="str">
        <f>DATA_PROPERTY_MASTER!$A$7</f>
        <v>BLD_BT</v>
      </c>
      <c r="D1029" s="380">
        <f>'00_PORTFOLIO ROLLUP'!N$12</f>
        <v>2034</v>
      </c>
      <c r="E1029" s="366" t="s">
        <v>1683</v>
      </c>
      <c r="F1029" s="366" t="s">
        <v>21</v>
      </c>
      <c r="G1029" s="348" t="str">
        <f>"'"&amp;$C1029&amp;"'!$E$45:$Y$45"</f>
        <v>'BLD_BT'!$E$45:$Y$45</v>
      </c>
      <c r="H1029" s="381">
        <f ca="1">IF(IFERROR(INDEX(DATA_PROPERTY_MASTER!$E$5:$E$21,MATCH($C1029,DATA_PROPERTY_MASTER!$A$5:$A$21,0))="Yes",FALSE),IFERROR(INDEX(INDIRECT("'"&amp;$C1029&amp;"'!$E$45:$Y$45"),1,MATCH($D1029,INDIRECT("'"&amp;$C1029&amp;"'!$E$12:$Y$12"),0)),0),0)</f>
        <v>325316.74962966522</v>
      </c>
      <c r="I1029" s="366" t="s">
        <v>1685</v>
      </c>
      <c r="J1029" s="348" t="str">
        <f t="shared" ref="J1029:J1092" ca="1" si="32">IF($F1029="Residual Funding Gap",IF($H1029&gt;0,"Funding Gap","OK"),IF(AND($F1029="Net Refinance Position",$H1029&lt;0),"Negative net refi position","OK"))</f>
        <v>OK</v>
      </c>
      <c r="K1029" s="366" t="s">
        <v>1694</v>
      </c>
      <c r="L1029" s="366" t="s">
        <v>2242</v>
      </c>
      <c r="M1029" s="350" t="str">
        <f>IF($B1029="Portfolio","Portfolio",IFERROR(INDEX(DATA_ASSET_CLASSIFICATION!$B$8:$B$24,MATCH($C1029,DATA_ASSET_CLASSIFICATION!$A$8:$A$24,0)),"Review"))</f>
        <v>Beatrice Terrace</v>
      </c>
      <c r="N1029" s="350" t="str">
        <f ca="1">IF($B1029="Portfolio","Portfolio",IFERROR(INDEX(DATA_ASSET_CLASSIFICATION!$U$8:$U$24,MATCH($C1029,DATA_ASSET_CLASSIFICATION!$A$8:$A$24,0)),"Review"))</f>
        <v>Stable</v>
      </c>
      <c r="O1029" s="350" t="str">
        <f ca="1">IF($B1029="Portfolio","Portfolio",IFERROR(INDEX(DATA_ASSET_CLASSIFICATION!$AB$8:$AB$13,MATCH($N1029,DATA_ASSET_CLASSIFICATION!$AA$8:$AA$13,0)),"Review"))</f>
        <v>Bucket 2 · Legacy</v>
      </c>
      <c r="P1029" s="350" t="str">
        <f>IF($B1029="Portfolio","Portfolio",IFERROR(INDEX(DATA_ASSET_CLASSIFICATION!$C$8:$C$24,MATCH($C1029,DATA_ASSET_CLASSIFICATION!$A$8:$A$24,0)),"Review"))</f>
        <v>Yes</v>
      </c>
      <c r="Q1029" s="350" t="str">
        <f t="shared" ref="Q1029:Q1092" ca="1" si="33">IF(AND($B1029="Property",$F1029="Residual Funding Gap",$H1029&gt;0),"Property Funding Gap",IF($J1029&lt;&gt;"OK",$J1029,"OK"))</f>
        <v>OK</v>
      </c>
    </row>
    <row r="1030" spans="1:17">
      <c r="A1030" s="366" t="s">
        <v>2986</v>
      </c>
      <c r="B1030" s="366" t="s">
        <v>231</v>
      </c>
      <c r="C1030" s="348" t="str">
        <f>DATA_PROPERTY_MASTER!$A$7</f>
        <v>BLD_BT</v>
      </c>
      <c r="D1030" s="380">
        <f>'00_PORTFOLIO ROLLUP'!N$12</f>
        <v>2034</v>
      </c>
      <c r="E1030" s="366" t="s">
        <v>23</v>
      </c>
      <c r="F1030" s="366" t="s">
        <v>23</v>
      </c>
      <c r="G1030" s="348" t="str">
        <f>"'"&amp;$C1030&amp;"'!$E$48:$Y$48"</f>
        <v>'BLD_BT'!$E$48:$Y$48</v>
      </c>
      <c r="H1030" s="381">
        <f ca="1">IF(IFERROR(INDEX(DATA_PROPERTY_MASTER!$E$5:$E$21,MATCH($C1030,DATA_PROPERTY_MASTER!$A$5:$A$21,0))="Yes",FALSE),IFERROR(INDEX(INDIRECT("'"&amp;$C1030&amp;"'!$E$48:$Y$48"),1,MATCH($D1030,INDIRECT("'"&amp;$C1030&amp;"'!$E$12:$Y$12"),0)),0),0)</f>
        <v>110563.68</v>
      </c>
      <c r="I1030" s="366" t="s">
        <v>1690</v>
      </c>
      <c r="J1030" s="348" t="str">
        <f t="shared" ca="1" si="32"/>
        <v>OK</v>
      </c>
      <c r="K1030" s="366" t="s">
        <v>1706</v>
      </c>
      <c r="L1030" s="366" t="s">
        <v>2244</v>
      </c>
      <c r="M1030" s="350" t="str">
        <f>IF($B1030="Portfolio","Portfolio",IFERROR(INDEX(DATA_ASSET_CLASSIFICATION!$B$8:$B$24,MATCH($C1030,DATA_ASSET_CLASSIFICATION!$A$8:$A$24,0)),"Review"))</f>
        <v>Beatrice Terrace</v>
      </c>
      <c r="N1030" s="350" t="str">
        <f ca="1">IF($B1030="Portfolio","Portfolio",IFERROR(INDEX(DATA_ASSET_CLASSIFICATION!$U$8:$U$24,MATCH($C1030,DATA_ASSET_CLASSIFICATION!$A$8:$A$24,0)),"Review"))</f>
        <v>Stable</v>
      </c>
      <c r="O1030" s="350" t="str">
        <f ca="1">IF($B1030="Portfolio","Portfolio",IFERROR(INDEX(DATA_ASSET_CLASSIFICATION!$AB$8:$AB$13,MATCH($N1030,DATA_ASSET_CLASSIFICATION!$AA$8:$AA$13,0)),"Review"))</f>
        <v>Bucket 2 · Legacy</v>
      </c>
      <c r="P1030" s="350" t="str">
        <f>IF($B1030="Portfolio","Portfolio",IFERROR(INDEX(DATA_ASSET_CLASSIFICATION!$C$8:$C$24,MATCH($C1030,DATA_ASSET_CLASSIFICATION!$A$8:$A$24,0)),"Review"))</f>
        <v>Yes</v>
      </c>
      <c r="Q1030" s="350" t="str">
        <f t="shared" ca="1" si="33"/>
        <v>OK</v>
      </c>
    </row>
    <row r="1031" spans="1:17">
      <c r="A1031" s="366" t="s">
        <v>2987</v>
      </c>
      <c r="B1031" s="366" t="s">
        <v>231</v>
      </c>
      <c r="C1031" s="348" t="str">
        <f>DATA_PROPERTY_MASTER!$A$7</f>
        <v>BLD_BT</v>
      </c>
      <c r="D1031" s="380">
        <f>'00_PORTFOLIO ROLLUP'!N$12</f>
        <v>2034</v>
      </c>
      <c r="E1031" s="366" t="s">
        <v>1683</v>
      </c>
      <c r="F1031" s="366" t="s">
        <v>25</v>
      </c>
      <c r="G1031" s="348" t="str">
        <f>"'"&amp;$C1031&amp;"'!$E$52:$Y$52"</f>
        <v>'BLD_BT'!$E$52:$Y$52</v>
      </c>
      <c r="H1031" s="381">
        <f ca="1">IF(IFERROR(INDEX(DATA_PROPERTY_MASTER!$E$5:$E$21,MATCH($C1031,DATA_PROPERTY_MASTER!$A$5:$A$21,0))="Yes",FALSE),IFERROR(INDEX(INDIRECT("'"&amp;$C1031&amp;"'!$E$52:$Y$52"),1,MATCH($D1031,INDIRECT("'"&amp;$C1031&amp;"'!$E$12:$Y$12"),0)),0),0)</f>
        <v>217979.81956494547</v>
      </c>
      <c r="I1031" s="366" t="s">
        <v>1685</v>
      </c>
      <c r="J1031" s="348" t="str">
        <f t="shared" ca="1" si="32"/>
        <v>OK</v>
      </c>
      <c r="K1031" s="366" t="s">
        <v>1710</v>
      </c>
      <c r="L1031" s="366" t="s">
        <v>2246</v>
      </c>
      <c r="M1031" s="350" t="str">
        <f>IF($B1031="Portfolio","Portfolio",IFERROR(INDEX(DATA_ASSET_CLASSIFICATION!$B$8:$B$24,MATCH($C1031,DATA_ASSET_CLASSIFICATION!$A$8:$A$24,0)),"Review"))</f>
        <v>Beatrice Terrace</v>
      </c>
      <c r="N1031" s="350" t="str">
        <f ca="1">IF($B1031="Portfolio","Portfolio",IFERROR(INDEX(DATA_ASSET_CLASSIFICATION!$U$8:$U$24,MATCH($C1031,DATA_ASSET_CLASSIFICATION!$A$8:$A$24,0)),"Review"))</f>
        <v>Stable</v>
      </c>
      <c r="O1031" s="350" t="str">
        <f ca="1">IF($B1031="Portfolio","Portfolio",IFERROR(INDEX(DATA_ASSET_CLASSIFICATION!$AB$8:$AB$13,MATCH($N1031,DATA_ASSET_CLASSIFICATION!$AA$8:$AA$13,0)),"Review"))</f>
        <v>Bucket 2 · Legacy</v>
      </c>
      <c r="P1031" s="350" t="str">
        <f>IF($B1031="Portfolio","Portfolio",IFERROR(INDEX(DATA_ASSET_CLASSIFICATION!$C$8:$C$24,MATCH($C1031,DATA_ASSET_CLASSIFICATION!$A$8:$A$24,0)),"Review"))</f>
        <v>Yes</v>
      </c>
      <c r="Q1031" s="350" t="str">
        <f t="shared" ca="1" si="33"/>
        <v>OK</v>
      </c>
    </row>
    <row r="1032" spans="1:17">
      <c r="A1032" s="366" t="s">
        <v>2988</v>
      </c>
      <c r="B1032" s="366" t="s">
        <v>231</v>
      </c>
      <c r="C1032" s="348" t="str">
        <f>DATA_PROPERTY_MASTER!$A$7</f>
        <v>BLD_BT</v>
      </c>
      <c r="D1032" s="380">
        <f>'00_PORTFOLIO ROLLUP'!N$12</f>
        <v>2034</v>
      </c>
      <c r="E1032" s="366" t="s">
        <v>1683</v>
      </c>
      <c r="F1032" s="366" t="s">
        <v>27</v>
      </c>
      <c r="G1032" s="348" t="str">
        <f>"'"&amp;$C1032&amp;"'!$E$54:$Y$54"</f>
        <v>'BLD_BT'!$E$54:$Y$54</v>
      </c>
      <c r="H1032" s="381">
        <f ca="1">IF(IFERROR(INDEX(DATA_PROPERTY_MASTER!$E$5:$E$21,MATCH($C1032,DATA_PROPERTY_MASTER!$A$5:$A$21,0))="Yes",FALSE),IFERROR(INDEX(INDIRECT("'"&amp;$C1032&amp;"'!$E$54:$Y$54"),1,MATCH($D1032,INDIRECT("'"&amp;$C1032&amp;"'!$E$12:$Y$12"),0)),0),0)</f>
        <v>130787.89173896727</v>
      </c>
      <c r="I1032" s="366" t="s">
        <v>1690</v>
      </c>
      <c r="J1032" s="348" t="str">
        <f t="shared" ca="1" si="32"/>
        <v>OK</v>
      </c>
      <c r="K1032" s="366" t="s">
        <v>1714</v>
      </c>
      <c r="L1032" s="366" t="s">
        <v>2248</v>
      </c>
      <c r="M1032" s="350" t="str">
        <f>IF($B1032="Portfolio","Portfolio",IFERROR(INDEX(DATA_ASSET_CLASSIFICATION!$B$8:$B$24,MATCH($C1032,DATA_ASSET_CLASSIFICATION!$A$8:$A$24,0)),"Review"))</f>
        <v>Beatrice Terrace</v>
      </c>
      <c r="N1032" s="350" t="str">
        <f ca="1">IF($B1032="Portfolio","Portfolio",IFERROR(INDEX(DATA_ASSET_CLASSIFICATION!$U$8:$U$24,MATCH($C1032,DATA_ASSET_CLASSIFICATION!$A$8:$A$24,0)),"Review"))</f>
        <v>Stable</v>
      </c>
      <c r="O1032" s="350" t="str">
        <f ca="1">IF($B1032="Portfolio","Portfolio",IFERROR(INDEX(DATA_ASSET_CLASSIFICATION!$AB$8:$AB$13,MATCH($N1032,DATA_ASSET_CLASSIFICATION!$AA$8:$AA$13,0)),"Review"))</f>
        <v>Bucket 2 · Legacy</v>
      </c>
      <c r="P1032" s="350" t="str">
        <f>IF($B1032="Portfolio","Portfolio",IFERROR(INDEX(DATA_ASSET_CLASSIFICATION!$C$8:$C$24,MATCH($C1032,DATA_ASSET_CLASSIFICATION!$A$8:$A$24,0)),"Review"))</f>
        <v>Yes</v>
      </c>
      <c r="Q1032" s="350" t="str">
        <f t="shared" ca="1" si="33"/>
        <v>OK</v>
      </c>
    </row>
    <row r="1033" spans="1:17">
      <c r="A1033" s="366" t="s">
        <v>2989</v>
      </c>
      <c r="B1033" s="366" t="s">
        <v>231</v>
      </c>
      <c r="C1033" s="348" t="str">
        <f>DATA_PROPERTY_MASTER!$A$7</f>
        <v>BLD_BT</v>
      </c>
      <c r="D1033" s="380">
        <f>'00_PORTFOLIO ROLLUP'!N$12</f>
        <v>2034</v>
      </c>
      <c r="E1033" s="366" t="s">
        <v>1683</v>
      </c>
      <c r="F1033" s="366" t="s">
        <v>29</v>
      </c>
      <c r="G1033" s="348" t="str">
        <f>"'"&amp;$C1033&amp;"'!$E$56:$Y$56"</f>
        <v>'BLD_BT'!$E$56:$Y$56</v>
      </c>
      <c r="H1033" s="381">
        <f ca="1">IF(IFERROR(INDEX(DATA_PROPERTY_MASTER!$E$5:$E$21,MATCH($C1033,DATA_PROPERTY_MASTER!$A$5:$A$21,0))="Yes",FALSE),IFERROR(INDEX(INDIRECT("'"&amp;$C1033&amp;"'!$E$56:$Y$56"),1,MATCH($D1033,INDIRECT("'"&amp;$C1033&amp;"'!$E$12:$Y$12"),0)),0),0)</f>
        <v>87191.9278259782</v>
      </c>
      <c r="I1033" s="366" t="s">
        <v>1685</v>
      </c>
      <c r="J1033" s="348" t="str">
        <f t="shared" ca="1" si="32"/>
        <v>OK</v>
      </c>
      <c r="K1033" s="366" t="s">
        <v>1718</v>
      </c>
      <c r="L1033" s="366" t="s">
        <v>2250</v>
      </c>
      <c r="M1033" s="350" t="str">
        <f>IF($B1033="Portfolio","Portfolio",IFERROR(INDEX(DATA_ASSET_CLASSIFICATION!$B$8:$B$24,MATCH($C1033,DATA_ASSET_CLASSIFICATION!$A$8:$A$24,0)),"Review"))</f>
        <v>Beatrice Terrace</v>
      </c>
      <c r="N1033" s="350" t="str">
        <f ca="1">IF($B1033="Portfolio","Portfolio",IFERROR(INDEX(DATA_ASSET_CLASSIFICATION!$U$8:$U$24,MATCH($C1033,DATA_ASSET_CLASSIFICATION!$A$8:$A$24,0)),"Review"))</f>
        <v>Stable</v>
      </c>
      <c r="O1033" s="350" t="str">
        <f ca="1">IF($B1033="Portfolio","Portfolio",IFERROR(INDEX(DATA_ASSET_CLASSIFICATION!$AB$8:$AB$13,MATCH($N1033,DATA_ASSET_CLASSIFICATION!$AA$8:$AA$13,0)),"Review"))</f>
        <v>Bucket 2 · Legacy</v>
      </c>
      <c r="P1033" s="350" t="str">
        <f>IF($B1033="Portfolio","Portfolio",IFERROR(INDEX(DATA_ASSET_CLASSIFICATION!$C$8:$C$24,MATCH($C1033,DATA_ASSET_CLASSIFICATION!$A$8:$A$24,0)),"Review"))</f>
        <v>Yes</v>
      </c>
      <c r="Q1033" s="350" t="str">
        <f t="shared" ca="1" si="33"/>
        <v>OK</v>
      </c>
    </row>
    <row r="1034" spans="1:17">
      <c r="A1034" s="366" t="s">
        <v>2990</v>
      </c>
      <c r="B1034" s="366" t="s">
        <v>231</v>
      </c>
      <c r="C1034" s="348" t="str">
        <f>DATA_PROPERTY_MASTER!$A$7</f>
        <v>BLD_BT</v>
      </c>
      <c r="D1034" s="380">
        <f>'00_PORTFOLIO ROLLUP'!N$12</f>
        <v>2034</v>
      </c>
      <c r="E1034" s="366" t="s">
        <v>1721</v>
      </c>
      <c r="F1034" s="366" t="s">
        <v>31</v>
      </c>
      <c r="G1034" s="348" t="str">
        <f>"'"&amp;$C1034&amp;"'!$E$61:$Y$61"</f>
        <v>'BLD_BT'!$E$61:$Y$61</v>
      </c>
      <c r="H1034" s="381">
        <f ca="1">IF(IFERROR(INDEX(DATA_PROPERTY_MASTER!$E$5:$E$21,MATCH($C1034,DATA_PROPERTY_MASTER!$A$5:$A$21,0))="Yes",FALSE),IFERROR(INDEX(INDIRECT("'"&amp;$C1034&amp;"'!$E$61:$Y$61"),1,MATCH($D1034,INDIRECT("'"&amp;$C1034&amp;"'!$E$12:$Y$12"),0)),0),0)</f>
        <v>0</v>
      </c>
      <c r="I1034" s="366" t="s">
        <v>1690</v>
      </c>
      <c r="J1034" s="348" t="str">
        <f t="shared" ca="1" si="32"/>
        <v>OK</v>
      </c>
      <c r="K1034" s="366" t="s">
        <v>1723</v>
      </c>
      <c r="L1034" s="366" t="s">
        <v>2252</v>
      </c>
      <c r="M1034" s="350" t="str">
        <f>IF($B1034="Portfolio","Portfolio",IFERROR(INDEX(DATA_ASSET_CLASSIFICATION!$B$8:$B$24,MATCH($C1034,DATA_ASSET_CLASSIFICATION!$A$8:$A$24,0)),"Review"))</f>
        <v>Beatrice Terrace</v>
      </c>
      <c r="N1034" s="350" t="str">
        <f ca="1">IF($B1034="Portfolio","Portfolio",IFERROR(INDEX(DATA_ASSET_CLASSIFICATION!$U$8:$U$24,MATCH($C1034,DATA_ASSET_CLASSIFICATION!$A$8:$A$24,0)),"Review"))</f>
        <v>Stable</v>
      </c>
      <c r="O1034" s="350" t="str">
        <f ca="1">IF($B1034="Portfolio","Portfolio",IFERROR(INDEX(DATA_ASSET_CLASSIFICATION!$AB$8:$AB$13,MATCH($N1034,DATA_ASSET_CLASSIFICATION!$AA$8:$AA$13,0)),"Review"))</f>
        <v>Bucket 2 · Legacy</v>
      </c>
      <c r="P1034" s="350" t="str">
        <f>IF($B1034="Portfolio","Portfolio",IFERROR(INDEX(DATA_ASSET_CLASSIFICATION!$C$8:$C$24,MATCH($C1034,DATA_ASSET_CLASSIFICATION!$A$8:$A$24,0)),"Review"))</f>
        <v>Yes</v>
      </c>
      <c r="Q1034" s="350" t="str">
        <f t="shared" ca="1" si="33"/>
        <v>OK</v>
      </c>
    </row>
    <row r="1035" spans="1:17">
      <c r="A1035" s="366" t="s">
        <v>2991</v>
      </c>
      <c r="B1035" s="366" t="s">
        <v>231</v>
      </c>
      <c r="C1035" s="348" t="str">
        <f>DATA_PROPERTY_MASTER!$A$7</f>
        <v>BLD_BT</v>
      </c>
      <c r="D1035" s="380">
        <f>'00_PORTFOLIO ROLLUP'!N$12</f>
        <v>2034</v>
      </c>
      <c r="E1035" s="366" t="s">
        <v>1721</v>
      </c>
      <c r="F1035" s="366" t="s">
        <v>33</v>
      </c>
      <c r="G1035" s="348" t="str">
        <f>"'"&amp;$C1035&amp;"'!$E$62:$Y$62"</f>
        <v>'BLD_BT'!$E$62:$Y$62</v>
      </c>
      <c r="H1035" s="381">
        <f ca="1">IF(IFERROR(INDEX(DATA_PROPERTY_MASTER!$E$5:$E$21,MATCH($C1035,DATA_PROPERTY_MASTER!$A$5:$A$21,0))="Yes",FALSE),IFERROR(INDEX(INDIRECT("'"&amp;$C1035&amp;"'!$E$62:$Y$62"),1,MATCH($D1035,INDIRECT("'"&amp;$C1035&amp;"'!$E$12:$Y$12"),0)),0),0)</f>
        <v>0</v>
      </c>
      <c r="I1035" s="366" t="s">
        <v>1685</v>
      </c>
      <c r="J1035" s="348" t="str">
        <f t="shared" ca="1" si="32"/>
        <v>OK</v>
      </c>
      <c r="K1035" s="366" t="s">
        <v>1727</v>
      </c>
      <c r="L1035" s="366" t="s">
        <v>2254</v>
      </c>
      <c r="M1035" s="350" t="str">
        <f>IF($B1035="Portfolio","Portfolio",IFERROR(INDEX(DATA_ASSET_CLASSIFICATION!$B$8:$B$24,MATCH($C1035,DATA_ASSET_CLASSIFICATION!$A$8:$A$24,0)),"Review"))</f>
        <v>Beatrice Terrace</v>
      </c>
      <c r="N1035" s="350" t="str">
        <f ca="1">IF($B1035="Portfolio","Portfolio",IFERROR(INDEX(DATA_ASSET_CLASSIFICATION!$U$8:$U$24,MATCH($C1035,DATA_ASSET_CLASSIFICATION!$A$8:$A$24,0)),"Review"))</f>
        <v>Stable</v>
      </c>
      <c r="O1035" s="350" t="str">
        <f ca="1">IF($B1035="Portfolio","Portfolio",IFERROR(INDEX(DATA_ASSET_CLASSIFICATION!$AB$8:$AB$13,MATCH($N1035,DATA_ASSET_CLASSIFICATION!$AA$8:$AA$13,0)),"Review"))</f>
        <v>Bucket 2 · Legacy</v>
      </c>
      <c r="P1035" s="350" t="str">
        <f>IF($B1035="Portfolio","Portfolio",IFERROR(INDEX(DATA_ASSET_CLASSIFICATION!$C$8:$C$24,MATCH($C1035,DATA_ASSET_CLASSIFICATION!$A$8:$A$24,0)),"Review"))</f>
        <v>Yes</v>
      </c>
      <c r="Q1035" s="350" t="str">
        <f t="shared" ca="1" si="33"/>
        <v>OK</v>
      </c>
    </row>
    <row r="1036" spans="1:17">
      <c r="A1036" s="366" t="s">
        <v>2992</v>
      </c>
      <c r="B1036" s="366" t="s">
        <v>231</v>
      </c>
      <c r="C1036" s="348" t="str">
        <f>DATA_PROPERTY_MASTER!$A$7</f>
        <v>BLD_BT</v>
      </c>
      <c r="D1036" s="380">
        <f>'00_PORTFOLIO ROLLUP'!N$12</f>
        <v>2034</v>
      </c>
      <c r="E1036" s="366" t="s">
        <v>1721</v>
      </c>
      <c r="F1036" s="366" t="s">
        <v>35</v>
      </c>
      <c r="G1036" s="348" t="str">
        <f>"'"&amp;$C1036&amp;"'!$E$63:$Y$63"</f>
        <v>'BLD_BT'!$E$63:$Y$63</v>
      </c>
      <c r="H1036" s="381">
        <f ca="1">IF(IFERROR(INDEX(DATA_PROPERTY_MASTER!$E$5:$E$21,MATCH($C1036,DATA_PROPERTY_MASTER!$A$5:$A$21,0))="Yes",FALSE),IFERROR(INDEX(INDIRECT("'"&amp;$C1036&amp;"'!$E$63:$Y$63"),1,MATCH($D1036,INDIRECT("'"&amp;$C1036&amp;"'!$E$12:$Y$12"),0)),0),0)</f>
        <v>0</v>
      </c>
      <c r="I1036" s="366" t="s">
        <v>1731</v>
      </c>
      <c r="J1036" s="348" t="str">
        <f t="shared" ca="1" si="32"/>
        <v>OK</v>
      </c>
      <c r="K1036" s="366" t="s">
        <v>1732</v>
      </c>
      <c r="L1036" s="366" t="s">
        <v>2256</v>
      </c>
      <c r="M1036" s="350" t="str">
        <f>IF($B1036="Portfolio","Portfolio",IFERROR(INDEX(DATA_ASSET_CLASSIFICATION!$B$8:$B$24,MATCH($C1036,DATA_ASSET_CLASSIFICATION!$A$8:$A$24,0)),"Review"))</f>
        <v>Beatrice Terrace</v>
      </c>
      <c r="N1036" s="350" t="str">
        <f ca="1">IF($B1036="Portfolio","Portfolio",IFERROR(INDEX(DATA_ASSET_CLASSIFICATION!$U$8:$U$24,MATCH($C1036,DATA_ASSET_CLASSIFICATION!$A$8:$A$24,0)),"Review"))</f>
        <v>Stable</v>
      </c>
      <c r="O1036" s="350" t="str">
        <f ca="1">IF($B1036="Portfolio","Portfolio",IFERROR(INDEX(DATA_ASSET_CLASSIFICATION!$AB$8:$AB$13,MATCH($N1036,DATA_ASSET_CLASSIFICATION!$AA$8:$AA$13,0)),"Review"))</f>
        <v>Bucket 2 · Legacy</v>
      </c>
      <c r="P1036" s="350" t="str">
        <f>IF($B1036="Portfolio","Portfolio",IFERROR(INDEX(DATA_ASSET_CLASSIFICATION!$C$8:$C$24,MATCH($C1036,DATA_ASSET_CLASSIFICATION!$A$8:$A$24,0)),"Review"))</f>
        <v>Yes</v>
      </c>
      <c r="Q1036" s="350" t="str">
        <f t="shared" ca="1" si="33"/>
        <v>OK</v>
      </c>
    </row>
    <row r="1037" spans="1:17">
      <c r="A1037" s="366" t="s">
        <v>2993</v>
      </c>
      <c r="B1037" s="366" t="s">
        <v>231</v>
      </c>
      <c r="C1037" s="348" t="str">
        <f>DATA_PROPERTY_MASTER!$A$7</f>
        <v>BLD_BT</v>
      </c>
      <c r="D1037" s="380">
        <f>'00_PORTFOLIO ROLLUP'!N$12</f>
        <v>2034</v>
      </c>
      <c r="E1037" s="366" t="s">
        <v>1721</v>
      </c>
      <c r="F1037" s="366" t="s">
        <v>37</v>
      </c>
      <c r="G1037" s="348" t="str">
        <f>"'"&amp;$C1037&amp;"'!$E$63:$Y$63"</f>
        <v>'BLD_BT'!$E$63:$Y$63</v>
      </c>
      <c r="H1037" s="381">
        <f ca="1">IF(IFERROR(INDEX(DATA_PROPERTY_MASTER!$E$5:$E$21,MATCH($C1037,DATA_PROPERTY_MASTER!$A$5:$A$21,0))="Yes",FALSE),MAX(IFERROR(INDEX(INDIRECT("'"&amp;$C1037&amp;"'!$E$63:$Y$63"),1,MATCH($D1037,INDIRECT("'"&amp;$C1037&amp;"'!$E$12:$Y$12"),0)),0),0),0)</f>
        <v>0</v>
      </c>
      <c r="I1037" s="366" t="s">
        <v>1685</v>
      </c>
      <c r="J1037" s="348" t="str">
        <f t="shared" ca="1" si="32"/>
        <v>OK</v>
      </c>
      <c r="K1037" s="366" t="s">
        <v>1735</v>
      </c>
      <c r="L1037" s="366" t="s">
        <v>2258</v>
      </c>
      <c r="M1037" s="350" t="str">
        <f>IF($B1037="Portfolio","Portfolio",IFERROR(INDEX(DATA_ASSET_CLASSIFICATION!$B$8:$B$24,MATCH($C1037,DATA_ASSET_CLASSIFICATION!$A$8:$A$24,0)),"Review"))</f>
        <v>Beatrice Terrace</v>
      </c>
      <c r="N1037" s="350" t="str">
        <f ca="1">IF($B1037="Portfolio","Portfolio",IFERROR(INDEX(DATA_ASSET_CLASSIFICATION!$U$8:$U$24,MATCH($C1037,DATA_ASSET_CLASSIFICATION!$A$8:$A$24,0)),"Review"))</f>
        <v>Stable</v>
      </c>
      <c r="O1037" s="350" t="str">
        <f ca="1">IF($B1037="Portfolio","Portfolio",IFERROR(INDEX(DATA_ASSET_CLASSIFICATION!$AB$8:$AB$13,MATCH($N1037,DATA_ASSET_CLASSIFICATION!$AA$8:$AA$13,0)),"Review"))</f>
        <v>Bucket 2 · Legacy</v>
      </c>
      <c r="P1037" s="350" t="str">
        <f>IF($B1037="Portfolio","Portfolio",IFERROR(INDEX(DATA_ASSET_CLASSIFICATION!$C$8:$C$24,MATCH($C1037,DATA_ASSET_CLASSIFICATION!$A$8:$A$24,0)),"Review"))</f>
        <v>Yes</v>
      </c>
      <c r="Q1037" s="350" t="str">
        <f t="shared" ca="1" si="33"/>
        <v>OK</v>
      </c>
    </row>
    <row r="1038" spans="1:17">
      <c r="A1038" s="366" t="s">
        <v>2994</v>
      </c>
      <c r="B1038" s="366" t="s">
        <v>231</v>
      </c>
      <c r="C1038" s="348" t="str">
        <f>DATA_PROPERTY_MASTER!$A$7</f>
        <v>BLD_BT</v>
      </c>
      <c r="D1038" s="380">
        <f>'00_PORTFOLIO ROLLUP'!N$12</f>
        <v>2034</v>
      </c>
      <c r="E1038" s="366" t="s">
        <v>1721</v>
      </c>
      <c r="F1038" s="366" t="s">
        <v>39</v>
      </c>
      <c r="G1038" s="348" t="str">
        <f>"'"&amp;$C1038&amp;"'!$E$63:$Y$63"</f>
        <v>'BLD_BT'!$E$63:$Y$63</v>
      </c>
      <c r="H1038" s="381">
        <f ca="1">IF(IFERROR(INDEX(DATA_PROPERTY_MASTER!$E$5:$E$21,MATCH($C1038,DATA_PROPERTY_MASTER!$A$5:$A$21,0))="Yes",FALSE),MAX(-IFERROR(INDEX(INDIRECT("'"&amp;$C1038&amp;"'!$E$63:$Y$63"),1,MATCH($D1038,INDIRECT("'"&amp;$C1038&amp;"'!$E$12:$Y$12"),0)),0),0),0)</f>
        <v>0</v>
      </c>
      <c r="I1038" s="366" t="s">
        <v>1690</v>
      </c>
      <c r="J1038" s="348" t="str">
        <f t="shared" ca="1" si="32"/>
        <v>OK</v>
      </c>
      <c r="K1038" s="366" t="s">
        <v>1738</v>
      </c>
      <c r="L1038" s="366" t="s">
        <v>2260</v>
      </c>
      <c r="M1038" s="350" t="str">
        <f>IF($B1038="Portfolio","Portfolio",IFERROR(INDEX(DATA_ASSET_CLASSIFICATION!$B$8:$B$24,MATCH($C1038,DATA_ASSET_CLASSIFICATION!$A$8:$A$24,0)),"Review"))</f>
        <v>Beatrice Terrace</v>
      </c>
      <c r="N1038" s="350" t="str">
        <f ca="1">IF($B1038="Portfolio","Portfolio",IFERROR(INDEX(DATA_ASSET_CLASSIFICATION!$U$8:$U$24,MATCH($C1038,DATA_ASSET_CLASSIFICATION!$A$8:$A$24,0)),"Review"))</f>
        <v>Stable</v>
      </c>
      <c r="O1038" s="350" t="str">
        <f ca="1">IF($B1038="Portfolio","Portfolio",IFERROR(INDEX(DATA_ASSET_CLASSIFICATION!$AB$8:$AB$13,MATCH($N1038,DATA_ASSET_CLASSIFICATION!$AA$8:$AA$13,0)),"Review"))</f>
        <v>Bucket 2 · Legacy</v>
      </c>
      <c r="P1038" s="350" t="str">
        <f>IF($B1038="Portfolio","Portfolio",IFERROR(INDEX(DATA_ASSET_CLASSIFICATION!$C$8:$C$24,MATCH($C1038,DATA_ASSET_CLASSIFICATION!$A$8:$A$24,0)),"Review"))</f>
        <v>Yes</v>
      </c>
      <c r="Q1038" s="350" t="str">
        <f t="shared" ca="1" si="33"/>
        <v>OK</v>
      </c>
    </row>
    <row r="1039" spans="1:17">
      <c r="A1039" s="366" t="s">
        <v>2995</v>
      </c>
      <c r="B1039" s="366" t="s">
        <v>231</v>
      </c>
      <c r="C1039" s="348" t="str">
        <f>DATA_PROPERTY_MASTER!$A$7</f>
        <v>BLD_BT</v>
      </c>
      <c r="D1039" s="380">
        <f>'00_PORTFOLIO ROLLUP'!N$12</f>
        <v>2034</v>
      </c>
      <c r="E1039" s="366" t="s">
        <v>1741</v>
      </c>
      <c r="F1039" s="366" t="s">
        <v>41</v>
      </c>
      <c r="G1039" s="348" t="str">
        <f>"'"&amp;$C1039&amp;"'!rows 56 + positive row 63"</f>
        <v>'BLD_BT'!rows 56 + positive row 63</v>
      </c>
      <c r="H1039" s="381">
        <f ca="1">IF(IFERROR(INDEX(DATA_PROPERTY_MASTER!$E$5:$E$21,MATCH($C1039,DATA_PROPERTY_MASTER!$A$5:$A$21,0))="Yes",FALSE),IFERROR(INDEX(INDIRECT("'"&amp;$C1039&amp;"'!$E$56:$Y$56"),1,MATCH($D1039,INDIRECT("'"&amp;$C1039&amp;"'!$E$12:$Y$12"),0)),0)+MAX(IFERROR(INDEX(INDIRECT("'"&amp;$C1039&amp;"'!$E$63:$Y$63"),1,MATCH($D1039,INDIRECT("'"&amp;$C1039&amp;"'!$E$12:$Y$12"),0)),0),0),0)</f>
        <v>87191.9278259782</v>
      </c>
      <c r="I1039" s="366" t="s">
        <v>1685</v>
      </c>
      <c r="J1039" s="348" t="str">
        <f t="shared" ca="1" si="32"/>
        <v>OK</v>
      </c>
      <c r="K1039" s="366" t="s">
        <v>1742</v>
      </c>
      <c r="L1039" s="366" t="s">
        <v>2262</v>
      </c>
      <c r="M1039" s="350" t="str">
        <f>IF($B1039="Portfolio","Portfolio",IFERROR(INDEX(DATA_ASSET_CLASSIFICATION!$B$8:$B$24,MATCH($C1039,DATA_ASSET_CLASSIFICATION!$A$8:$A$24,0)),"Review"))</f>
        <v>Beatrice Terrace</v>
      </c>
      <c r="N1039" s="350" t="str">
        <f ca="1">IF($B1039="Portfolio","Portfolio",IFERROR(INDEX(DATA_ASSET_CLASSIFICATION!$U$8:$U$24,MATCH($C1039,DATA_ASSET_CLASSIFICATION!$A$8:$A$24,0)),"Review"))</f>
        <v>Stable</v>
      </c>
      <c r="O1039" s="350" t="str">
        <f ca="1">IF($B1039="Portfolio","Portfolio",IFERROR(INDEX(DATA_ASSET_CLASSIFICATION!$AB$8:$AB$13,MATCH($N1039,DATA_ASSET_CLASSIFICATION!$AA$8:$AA$13,0)),"Review"))</f>
        <v>Bucket 2 · Legacy</v>
      </c>
      <c r="P1039" s="350" t="str">
        <f>IF($B1039="Portfolio","Portfolio",IFERROR(INDEX(DATA_ASSET_CLASSIFICATION!$C$8:$C$24,MATCH($C1039,DATA_ASSET_CLASSIFICATION!$A$8:$A$24,0)),"Review"))</f>
        <v>Yes</v>
      </c>
      <c r="Q1039" s="350" t="str">
        <f t="shared" ca="1" si="33"/>
        <v>OK</v>
      </c>
    </row>
    <row r="1040" spans="1:17">
      <c r="A1040" s="366" t="s">
        <v>2996</v>
      </c>
      <c r="B1040" s="366" t="s">
        <v>231</v>
      </c>
      <c r="C1040" s="348" t="str">
        <f>DATA_PROPERTY_MASTER!$A$7</f>
        <v>BLD_BT</v>
      </c>
      <c r="D1040" s="380">
        <f>'00_PORTFOLIO ROLLUP'!N$12</f>
        <v>2034</v>
      </c>
      <c r="E1040" s="366" t="s">
        <v>1741</v>
      </c>
      <c r="F1040" s="366" t="s">
        <v>43</v>
      </c>
      <c r="G1040" s="348" t="str">
        <f>"'"&amp;$C1040&amp;"'!$E$68:$Y$68"</f>
        <v>'BLD_BT'!$E$68:$Y$68</v>
      </c>
      <c r="H1040" s="381">
        <f ca="1">IF(IFERROR(INDEX(DATA_PROPERTY_MASTER!$E$5:$E$21,MATCH($C1040,DATA_PROPERTY_MASTER!$A$5:$A$21,0))="Yes",FALSE),IFERROR(INDEX(INDIRECT("'"&amp;$C1040&amp;"'!$E$68:$Y$68"),1,MATCH($D1040,INDIRECT("'"&amp;$C1040&amp;"'!$E$12:$Y$12"),0)),0),0)</f>
        <v>87191.9278259782</v>
      </c>
      <c r="I1040" s="366" t="s">
        <v>1731</v>
      </c>
      <c r="J1040" s="348" t="str">
        <f t="shared" ca="1" si="32"/>
        <v>OK</v>
      </c>
      <c r="K1040" s="366" t="s">
        <v>1746</v>
      </c>
      <c r="L1040" s="366" t="s">
        <v>2264</v>
      </c>
      <c r="M1040" s="350" t="str">
        <f>IF($B1040="Portfolio","Portfolio",IFERROR(INDEX(DATA_ASSET_CLASSIFICATION!$B$8:$B$24,MATCH($C1040,DATA_ASSET_CLASSIFICATION!$A$8:$A$24,0)),"Review"))</f>
        <v>Beatrice Terrace</v>
      </c>
      <c r="N1040" s="350" t="str">
        <f ca="1">IF($B1040="Portfolio","Portfolio",IFERROR(INDEX(DATA_ASSET_CLASSIFICATION!$U$8:$U$24,MATCH($C1040,DATA_ASSET_CLASSIFICATION!$A$8:$A$24,0)),"Review"))</f>
        <v>Stable</v>
      </c>
      <c r="O1040" s="350" t="str">
        <f ca="1">IF($B1040="Portfolio","Portfolio",IFERROR(INDEX(DATA_ASSET_CLASSIFICATION!$AB$8:$AB$13,MATCH($N1040,DATA_ASSET_CLASSIFICATION!$AA$8:$AA$13,0)),"Review"))</f>
        <v>Bucket 2 · Legacy</v>
      </c>
      <c r="P1040" s="350" t="str">
        <f>IF($B1040="Portfolio","Portfolio",IFERROR(INDEX(DATA_ASSET_CLASSIFICATION!$C$8:$C$24,MATCH($C1040,DATA_ASSET_CLASSIFICATION!$A$8:$A$24,0)),"Review"))</f>
        <v>Yes</v>
      </c>
      <c r="Q1040" s="350" t="str">
        <f t="shared" ca="1" si="33"/>
        <v>OK</v>
      </c>
    </row>
    <row r="1041" spans="1:17">
      <c r="A1041" s="366" t="s">
        <v>2997</v>
      </c>
      <c r="B1041" s="366" t="s">
        <v>231</v>
      </c>
      <c r="C1041" s="348" t="str">
        <f>DATA_PROPERTY_MASTER!$A$7</f>
        <v>BLD_BT</v>
      </c>
      <c r="D1041" s="380">
        <f>'00_PORTFOLIO ROLLUP'!N$12</f>
        <v>2034</v>
      </c>
      <c r="E1041" s="366" t="s">
        <v>1741</v>
      </c>
      <c r="F1041" s="366" t="s">
        <v>1749</v>
      </c>
      <c r="G1041" s="348" t="str">
        <f>"'"&amp;$C1041&amp;"'!rows 56, 63, 68"</f>
        <v>'BLD_BT'!rows 56, 63, 68</v>
      </c>
      <c r="H1041" s="381">
        <f ca="1">IF(IFERROR(INDEX(DATA_PROPERTY_MASTER!$E$5:$E$21,MATCH($C1041,DATA_PROPERTY_MASTER!$A$5:$A$21,0))="Yes",FALSE),(IFERROR(INDEX(INDIRECT("'"&amp;$C1041&amp;"'!$E$56:$Y$56"),1,MATCH($D1041,INDIRECT("'"&amp;$C1041&amp;"'!$E$12:$Y$12"),0)),0)+MAX(IFERROR(INDEX(INDIRECT("'"&amp;$C1041&amp;"'!$E$63:$Y$63"),1,MATCH($D1041,INDIRECT("'"&amp;$C1041&amp;"'!$E$12:$Y$12"),0)),0),0))-(IFERROR(INDEX(INDIRECT("'"&amp;$C1041&amp;"'!$E$68:$Y$68"),1,MATCH($D1041,INDIRECT("'"&amp;$C1041&amp;"'!$E$12:$Y$12"),0)),0)),0)</f>
        <v>0</v>
      </c>
      <c r="I1041" s="366" t="s">
        <v>1750</v>
      </c>
      <c r="J1041" s="348" t="str">
        <f t="shared" ca="1" si="32"/>
        <v>OK</v>
      </c>
      <c r="K1041" s="366" t="s">
        <v>1751</v>
      </c>
      <c r="L1041" s="366" t="s">
        <v>2266</v>
      </c>
      <c r="M1041" s="350" t="str">
        <f>IF($B1041="Portfolio","Portfolio",IFERROR(INDEX(DATA_ASSET_CLASSIFICATION!$B$8:$B$24,MATCH($C1041,DATA_ASSET_CLASSIFICATION!$A$8:$A$24,0)),"Review"))</f>
        <v>Beatrice Terrace</v>
      </c>
      <c r="N1041" s="350" t="str">
        <f ca="1">IF($B1041="Portfolio","Portfolio",IFERROR(INDEX(DATA_ASSET_CLASSIFICATION!$U$8:$U$24,MATCH($C1041,DATA_ASSET_CLASSIFICATION!$A$8:$A$24,0)),"Review"))</f>
        <v>Stable</v>
      </c>
      <c r="O1041" s="350" t="str">
        <f ca="1">IF($B1041="Portfolio","Portfolio",IFERROR(INDEX(DATA_ASSET_CLASSIFICATION!$AB$8:$AB$13,MATCH($N1041,DATA_ASSET_CLASSIFICATION!$AA$8:$AA$13,0)),"Review"))</f>
        <v>Bucket 2 · Legacy</v>
      </c>
      <c r="P1041" s="350" t="str">
        <f>IF($B1041="Portfolio","Portfolio",IFERROR(INDEX(DATA_ASSET_CLASSIFICATION!$C$8:$C$24,MATCH($C1041,DATA_ASSET_CLASSIFICATION!$A$8:$A$24,0)),"Review"))</f>
        <v>Yes</v>
      </c>
      <c r="Q1041" s="350" t="str">
        <f t="shared" ca="1" si="33"/>
        <v>OK</v>
      </c>
    </row>
    <row r="1042" spans="1:17">
      <c r="A1042" s="366" t="s">
        <v>2998</v>
      </c>
      <c r="B1042" s="366" t="s">
        <v>231</v>
      </c>
      <c r="C1042" s="348" t="str">
        <f>DATA_PROPERTY_MASTER!$A$7</f>
        <v>BLD_BT</v>
      </c>
      <c r="D1042" s="380">
        <f>'00_PORTFOLIO ROLLUP'!O$12</f>
        <v>2035</v>
      </c>
      <c r="E1042" s="366" t="s">
        <v>1683</v>
      </c>
      <c r="F1042" s="366" t="s">
        <v>341</v>
      </c>
      <c r="G1042" s="348" t="str">
        <f>"'"&amp;$C1042&amp;"'!$E$24:$Y$24"</f>
        <v>'BLD_BT'!$E$24:$Y$24</v>
      </c>
      <c r="H1042" s="381">
        <f ca="1">IF(IFERROR(INDEX(DATA_PROPERTY_MASTER!$E$5:$E$21,MATCH($C1042,DATA_PROPERTY_MASTER!$A$5:$A$21,0))="Yes",FALSE),IFERROR(INDEX(INDIRECT("'"&amp;$C1042&amp;"'!$E$24:$Y$24"),1,MATCH($D1042,INDIRECT("'"&amp;$C1042&amp;"'!$E$12:$Y$12"),0)),0),0)</f>
        <v>507610.06633318198</v>
      </c>
      <c r="I1042" s="366" t="s">
        <v>1685</v>
      </c>
      <c r="J1042" s="348" t="str">
        <f t="shared" ca="1" si="32"/>
        <v>OK</v>
      </c>
      <c r="K1042" s="366" t="s">
        <v>1686</v>
      </c>
      <c r="L1042" s="366" t="s">
        <v>2234</v>
      </c>
      <c r="M1042" s="350" t="str">
        <f>IF($B1042="Portfolio","Portfolio",IFERROR(INDEX(DATA_ASSET_CLASSIFICATION!$B$8:$B$24,MATCH($C1042,DATA_ASSET_CLASSIFICATION!$A$8:$A$24,0)),"Review"))</f>
        <v>Beatrice Terrace</v>
      </c>
      <c r="N1042" s="350" t="str">
        <f ca="1">IF($B1042="Portfolio","Portfolio",IFERROR(INDEX(DATA_ASSET_CLASSIFICATION!$U$8:$U$24,MATCH($C1042,DATA_ASSET_CLASSIFICATION!$A$8:$A$24,0)),"Review"))</f>
        <v>Stable</v>
      </c>
      <c r="O1042" s="350" t="str">
        <f ca="1">IF($B1042="Portfolio","Portfolio",IFERROR(INDEX(DATA_ASSET_CLASSIFICATION!$AB$8:$AB$13,MATCH($N1042,DATA_ASSET_CLASSIFICATION!$AA$8:$AA$13,0)),"Review"))</f>
        <v>Bucket 2 · Legacy</v>
      </c>
      <c r="P1042" s="350" t="str">
        <f>IF($B1042="Portfolio","Portfolio",IFERROR(INDEX(DATA_ASSET_CLASSIFICATION!$C$8:$C$24,MATCH($C1042,DATA_ASSET_CLASSIFICATION!$A$8:$A$24,0)),"Review"))</f>
        <v>Yes</v>
      </c>
      <c r="Q1042" s="350" t="str">
        <f t="shared" ca="1" si="33"/>
        <v>OK</v>
      </c>
    </row>
    <row r="1043" spans="1:17">
      <c r="A1043" s="366" t="s">
        <v>2999</v>
      </c>
      <c r="B1043" s="366" t="s">
        <v>231</v>
      </c>
      <c r="C1043" s="348" t="str">
        <f>DATA_PROPERTY_MASTER!$A$7</f>
        <v>BLD_BT</v>
      </c>
      <c r="D1043" s="380">
        <f>'00_PORTFOLIO ROLLUP'!O$12</f>
        <v>2035</v>
      </c>
      <c r="E1043" s="366" t="s">
        <v>1683</v>
      </c>
      <c r="F1043" s="366" t="s">
        <v>355</v>
      </c>
      <c r="G1043" s="348" t="str">
        <f>"'"&amp;$C1043&amp;"'!$E$39:$Y$39"</f>
        <v>'BLD_BT'!$E$39:$Y$39</v>
      </c>
      <c r="H1043" s="381">
        <f ca="1">IF(IFERROR(INDEX(DATA_PROPERTY_MASTER!$E$5:$E$21,MATCH($C1043,DATA_PROPERTY_MASTER!$A$5:$A$21,0))="Yes",FALSE),IFERROR(INDEX(INDIRECT("'"&amp;$C1043&amp;"'!$E$39:$Y$39"),1,MATCH($D1043,INDIRECT("'"&amp;$C1043&amp;"'!$E$12:$Y$12"),0)),0),0)</f>
        <v>175563.37709447151</v>
      </c>
      <c r="I1043" s="366" t="s">
        <v>1690</v>
      </c>
      <c r="J1043" s="348" t="str">
        <f t="shared" ca="1" si="32"/>
        <v>OK</v>
      </c>
      <c r="K1043" s="366" t="s">
        <v>1686</v>
      </c>
      <c r="L1043" s="366" t="s">
        <v>2236</v>
      </c>
      <c r="M1043" s="350" t="str">
        <f>IF($B1043="Portfolio","Portfolio",IFERROR(INDEX(DATA_ASSET_CLASSIFICATION!$B$8:$B$24,MATCH($C1043,DATA_ASSET_CLASSIFICATION!$A$8:$A$24,0)),"Review"))</f>
        <v>Beatrice Terrace</v>
      </c>
      <c r="N1043" s="350" t="str">
        <f ca="1">IF($B1043="Portfolio","Portfolio",IFERROR(INDEX(DATA_ASSET_CLASSIFICATION!$U$8:$U$24,MATCH($C1043,DATA_ASSET_CLASSIFICATION!$A$8:$A$24,0)),"Review"))</f>
        <v>Stable</v>
      </c>
      <c r="O1043" s="350" t="str">
        <f ca="1">IF($B1043="Portfolio","Portfolio",IFERROR(INDEX(DATA_ASSET_CLASSIFICATION!$AB$8:$AB$13,MATCH($N1043,DATA_ASSET_CLASSIFICATION!$AA$8:$AA$13,0)),"Review"))</f>
        <v>Bucket 2 · Legacy</v>
      </c>
      <c r="P1043" s="350" t="str">
        <f>IF($B1043="Portfolio","Portfolio",IFERROR(INDEX(DATA_ASSET_CLASSIFICATION!$C$8:$C$24,MATCH($C1043,DATA_ASSET_CLASSIFICATION!$A$8:$A$24,0)),"Review"))</f>
        <v>Yes</v>
      </c>
      <c r="Q1043" s="350" t="str">
        <f t="shared" ca="1" si="33"/>
        <v>OK</v>
      </c>
    </row>
    <row r="1044" spans="1:17">
      <c r="A1044" s="366" t="s">
        <v>3000</v>
      </c>
      <c r="B1044" s="366" t="s">
        <v>231</v>
      </c>
      <c r="C1044" s="348" t="str">
        <f>DATA_PROPERTY_MASTER!$A$7</f>
        <v>BLD_BT</v>
      </c>
      <c r="D1044" s="380">
        <f>'00_PORTFOLIO ROLLUP'!O$12</f>
        <v>2035</v>
      </c>
      <c r="E1044" s="366" t="s">
        <v>1683</v>
      </c>
      <c r="F1044" s="366" t="s">
        <v>19</v>
      </c>
      <c r="G1044" s="348" t="str">
        <f>"'"&amp;$C1044&amp;"'!$E$41:$Y$41"</f>
        <v>'BLD_BT'!$E$41:$Y$41</v>
      </c>
      <c r="H1044" s="381">
        <f ca="1">IF(IFERROR(INDEX(DATA_PROPERTY_MASTER!$E$5:$E$21,MATCH($C1044,DATA_PROPERTY_MASTER!$A$5:$A$21,0))="Yes",FALSE),IFERROR(INDEX(INDIRECT("'"&amp;$C1044&amp;"'!$E$41:$Y$41"),1,MATCH($D1044,INDIRECT("'"&amp;$C1044&amp;"'!$E$12:$Y$12"),0)),0),0)</f>
        <v>332046.68923871045</v>
      </c>
      <c r="I1044" s="366" t="s">
        <v>1685</v>
      </c>
      <c r="J1044" s="348" t="str">
        <f t="shared" ca="1" si="32"/>
        <v>OK</v>
      </c>
      <c r="K1044" s="366" t="s">
        <v>1694</v>
      </c>
      <c r="L1044" s="366" t="s">
        <v>2238</v>
      </c>
      <c r="M1044" s="350" t="str">
        <f>IF($B1044="Portfolio","Portfolio",IFERROR(INDEX(DATA_ASSET_CLASSIFICATION!$B$8:$B$24,MATCH($C1044,DATA_ASSET_CLASSIFICATION!$A$8:$A$24,0)),"Review"))</f>
        <v>Beatrice Terrace</v>
      </c>
      <c r="N1044" s="350" t="str">
        <f ca="1">IF($B1044="Portfolio","Portfolio",IFERROR(INDEX(DATA_ASSET_CLASSIFICATION!$U$8:$U$24,MATCH($C1044,DATA_ASSET_CLASSIFICATION!$A$8:$A$24,0)),"Review"))</f>
        <v>Stable</v>
      </c>
      <c r="O1044" s="350" t="str">
        <f ca="1">IF($B1044="Portfolio","Portfolio",IFERROR(INDEX(DATA_ASSET_CLASSIFICATION!$AB$8:$AB$13,MATCH($N1044,DATA_ASSET_CLASSIFICATION!$AA$8:$AA$13,0)),"Review"))</f>
        <v>Bucket 2 · Legacy</v>
      </c>
      <c r="P1044" s="350" t="str">
        <f>IF($B1044="Portfolio","Portfolio",IFERROR(INDEX(DATA_ASSET_CLASSIFICATION!$C$8:$C$24,MATCH($C1044,DATA_ASSET_CLASSIFICATION!$A$8:$A$24,0)),"Review"))</f>
        <v>Yes</v>
      </c>
      <c r="Q1044" s="350" t="str">
        <f t="shared" ca="1" si="33"/>
        <v>OK</v>
      </c>
    </row>
    <row r="1045" spans="1:17">
      <c r="A1045" s="366" t="s">
        <v>3001</v>
      </c>
      <c r="B1045" s="366" t="s">
        <v>231</v>
      </c>
      <c r="C1045" s="348" t="str">
        <f>DATA_PROPERTY_MASTER!$A$7</f>
        <v>BLD_BT</v>
      </c>
      <c r="D1045" s="380">
        <f>'00_PORTFOLIO ROLLUP'!O$12</f>
        <v>2035</v>
      </c>
      <c r="E1045" s="366" t="s">
        <v>1683</v>
      </c>
      <c r="F1045" s="366" t="s">
        <v>1697</v>
      </c>
      <c r="G1045" s="348" t="str">
        <f>"'"&amp;$C1045&amp;"'!$E$44:$Y$44"</f>
        <v>'BLD_BT'!$E$44:$Y$44</v>
      </c>
      <c r="H1045" s="381">
        <f ca="1">IF(IFERROR(INDEX(DATA_PROPERTY_MASTER!$E$5:$E$21,MATCH($C1045,DATA_PROPERTY_MASTER!$A$5:$A$21,0))="Yes",FALSE),IFERROR(INDEX(INDIRECT("'"&amp;$C1045&amp;"'!$E$44:$Y$44"),1,MATCH($D1045,INDIRECT("'"&amp;$C1045&amp;"'!$E$12:$Y$12"),0)),0),0)</f>
        <v>3291.284933985844</v>
      </c>
      <c r="I1045" s="366" t="s">
        <v>1690</v>
      </c>
      <c r="J1045" s="348" t="str">
        <f t="shared" ca="1" si="32"/>
        <v>OK</v>
      </c>
      <c r="K1045" s="366" t="s">
        <v>1699</v>
      </c>
      <c r="L1045" s="366" t="s">
        <v>2240</v>
      </c>
      <c r="M1045" s="350" t="str">
        <f>IF($B1045="Portfolio","Portfolio",IFERROR(INDEX(DATA_ASSET_CLASSIFICATION!$B$8:$B$24,MATCH($C1045,DATA_ASSET_CLASSIFICATION!$A$8:$A$24,0)),"Review"))</f>
        <v>Beatrice Terrace</v>
      </c>
      <c r="N1045" s="350" t="str">
        <f ca="1">IF($B1045="Portfolio","Portfolio",IFERROR(INDEX(DATA_ASSET_CLASSIFICATION!$U$8:$U$24,MATCH($C1045,DATA_ASSET_CLASSIFICATION!$A$8:$A$24,0)),"Review"))</f>
        <v>Stable</v>
      </c>
      <c r="O1045" s="350" t="str">
        <f ca="1">IF($B1045="Portfolio","Portfolio",IFERROR(INDEX(DATA_ASSET_CLASSIFICATION!$AB$8:$AB$13,MATCH($N1045,DATA_ASSET_CLASSIFICATION!$AA$8:$AA$13,0)),"Review"))</f>
        <v>Bucket 2 · Legacy</v>
      </c>
      <c r="P1045" s="350" t="str">
        <f>IF($B1045="Portfolio","Portfolio",IFERROR(INDEX(DATA_ASSET_CLASSIFICATION!$C$8:$C$24,MATCH($C1045,DATA_ASSET_CLASSIFICATION!$A$8:$A$24,0)),"Review"))</f>
        <v>Yes</v>
      </c>
      <c r="Q1045" s="350" t="str">
        <f t="shared" ca="1" si="33"/>
        <v>OK</v>
      </c>
    </row>
    <row r="1046" spans="1:17">
      <c r="A1046" s="366" t="s">
        <v>3002</v>
      </c>
      <c r="B1046" s="366" t="s">
        <v>231</v>
      </c>
      <c r="C1046" s="348" t="str">
        <f>DATA_PROPERTY_MASTER!$A$7</f>
        <v>BLD_BT</v>
      </c>
      <c r="D1046" s="380">
        <f>'00_PORTFOLIO ROLLUP'!O$12</f>
        <v>2035</v>
      </c>
      <c r="E1046" s="366" t="s">
        <v>1683</v>
      </c>
      <c r="F1046" s="366" t="s">
        <v>21</v>
      </c>
      <c r="G1046" s="348" t="str">
        <f>"'"&amp;$C1046&amp;"'!$E$45:$Y$45"</f>
        <v>'BLD_BT'!$E$45:$Y$45</v>
      </c>
      <c r="H1046" s="381">
        <f ca="1">IF(IFERROR(INDEX(DATA_PROPERTY_MASTER!$E$5:$E$21,MATCH($C1046,DATA_PROPERTY_MASTER!$A$5:$A$21,0))="Yes",FALSE),IFERROR(INDEX(INDIRECT("'"&amp;$C1046&amp;"'!$E$45:$Y$45"),1,MATCH($D1046,INDIRECT("'"&amp;$C1046&amp;"'!$E$12:$Y$12"),0)),0),0)</f>
        <v>328755.40430472459</v>
      </c>
      <c r="I1046" s="366" t="s">
        <v>1685</v>
      </c>
      <c r="J1046" s="348" t="str">
        <f t="shared" ca="1" si="32"/>
        <v>OK</v>
      </c>
      <c r="K1046" s="366" t="s">
        <v>1694</v>
      </c>
      <c r="L1046" s="366" t="s">
        <v>2242</v>
      </c>
      <c r="M1046" s="350" t="str">
        <f>IF($B1046="Portfolio","Portfolio",IFERROR(INDEX(DATA_ASSET_CLASSIFICATION!$B$8:$B$24,MATCH($C1046,DATA_ASSET_CLASSIFICATION!$A$8:$A$24,0)),"Review"))</f>
        <v>Beatrice Terrace</v>
      </c>
      <c r="N1046" s="350" t="str">
        <f ca="1">IF($B1046="Portfolio","Portfolio",IFERROR(INDEX(DATA_ASSET_CLASSIFICATION!$U$8:$U$24,MATCH($C1046,DATA_ASSET_CLASSIFICATION!$A$8:$A$24,0)),"Review"))</f>
        <v>Stable</v>
      </c>
      <c r="O1046" s="350" t="str">
        <f ca="1">IF($B1046="Portfolio","Portfolio",IFERROR(INDEX(DATA_ASSET_CLASSIFICATION!$AB$8:$AB$13,MATCH($N1046,DATA_ASSET_CLASSIFICATION!$AA$8:$AA$13,0)),"Review"))</f>
        <v>Bucket 2 · Legacy</v>
      </c>
      <c r="P1046" s="350" t="str">
        <f>IF($B1046="Portfolio","Portfolio",IFERROR(INDEX(DATA_ASSET_CLASSIFICATION!$C$8:$C$24,MATCH($C1046,DATA_ASSET_CLASSIFICATION!$A$8:$A$24,0)),"Review"))</f>
        <v>Yes</v>
      </c>
      <c r="Q1046" s="350" t="str">
        <f t="shared" ca="1" si="33"/>
        <v>OK</v>
      </c>
    </row>
    <row r="1047" spans="1:17">
      <c r="A1047" s="366" t="s">
        <v>3003</v>
      </c>
      <c r="B1047" s="366" t="s">
        <v>231</v>
      </c>
      <c r="C1047" s="348" t="str">
        <f>DATA_PROPERTY_MASTER!$A$7</f>
        <v>BLD_BT</v>
      </c>
      <c r="D1047" s="380">
        <f>'00_PORTFOLIO ROLLUP'!O$12</f>
        <v>2035</v>
      </c>
      <c r="E1047" s="366" t="s">
        <v>23</v>
      </c>
      <c r="F1047" s="366" t="s">
        <v>23</v>
      </c>
      <c r="G1047" s="348" t="str">
        <f>"'"&amp;$C1047&amp;"'!$E$48:$Y$48"</f>
        <v>'BLD_BT'!$E$48:$Y$48</v>
      </c>
      <c r="H1047" s="381">
        <f ca="1">IF(IFERROR(INDEX(DATA_PROPERTY_MASTER!$E$5:$E$21,MATCH($C1047,DATA_PROPERTY_MASTER!$A$5:$A$21,0))="Yes",FALSE),IFERROR(INDEX(INDIRECT("'"&amp;$C1047&amp;"'!$E$48:$Y$48"),1,MATCH($D1047,INDIRECT("'"&amp;$C1047&amp;"'!$E$12:$Y$12"),0)),0),0)</f>
        <v>110563.68</v>
      </c>
      <c r="I1047" s="366" t="s">
        <v>1690</v>
      </c>
      <c r="J1047" s="348" t="str">
        <f t="shared" ca="1" si="32"/>
        <v>OK</v>
      </c>
      <c r="K1047" s="366" t="s">
        <v>1706</v>
      </c>
      <c r="L1047" s="366" t="s">
        <v>2244</v>
      </c>
      <c r="M1047" s="350" t="str">
        <f>IF($B1047="Portfolio","Portfolio",IFERROR(INDEX(DATA_ASSET_CLASSIFICATION!$B$8:$B$24,MATCH($C1047,DATA_ASSET_CLASSIFICATION!$A$8:$A$24,0)),"Review"))</f>
        <v>Beatrice Terrace</v>
      </c>
      <c r="N1047" s="350" t="str">
        <f ca="1">IF($B1047="Portfolio","Portfolio",IFERROR(INDEX(DATA_ASSET_CLASSIFICATION!$U$8:$U$24,MATCH($C1047,DATA_ASSET_CLASSIFICATION!$A$8:$A$24,0)),"Review"))</f>
        <v>Stable</v>
      </c>
      <c r="O1047" s="350" t="str">
        <f ca="1">IF($B1047="Portfolio","Portfolio",IFERROR(INDEX(DATA_ASSET_CLASSIFICATION!$AB$8:$AB$13,MATCH($N1047,DATA_ASSET_CLASSIFICATION!$AA$8:$AA$13,0)),"Review"))</f>
        <v>Bucket 2 · Legacy</v>
      </c>
      <c r="P1047" s="350" t="str">
        <f>IF($B1047="Portfolio","Portfolio",IFERROR(INDEX(DATA_ASSET_CLASSIFICATION!$C$8:$C$24,MATCH($C1047,DATA_ASSET_CLASSIFICATION!$A$8:$A$24,0)),"Review"))</f>
        <v>Yes</v>
      </c>
      <c r="Q1047" s="350" t="str">
        <f t="shared" ca="1" si="33"/>
        <v>OK</v>
      </c>
    </row>
    <row r="1048" spans="1:17">
      <c r="A1048" s="366" t="s">
        <v>3004</v>
      </c>
      <c r="B1048" s="366" t="s">
        <v>231</v>
      </c>
      <c r="C1048" s="348" t="str">
        <f>DATA_PROPERTY_MASTER!$A$7</f>
        <v>BLD_BT</v>
      </c>
      <c r="D1048" s="380">
        <f>'00_PORTFOLIO ROLLUP'!O$12</f>
        <v>2035</v>
      </c>
      <c r="E1048" s="366" t="s">
        <v>1683</v>
      </c>
      <c r="F1048" s="366" t="s">
        <v>25</v>
      </c>
      <c r="G1048" s="348" t="str">
        <f>"'"&amp;$C1048&amp;"'!$E$52:$Y$52"</f>
        <v>'BLD_BT'!$E$52:$Y$52</v>
      </c>
      <c r="H1048" s="381">
        <f ca="1">IF(IFERROR(INDEX(DATA_PROPERTY_MASTER!$E$5:$E$21,MATCH($C1048,DATA_PROPERTY_MASTER!$A$5:$A$21,0))="Yes",FALSE),IFERROR(INDEX(INDIRECT("'"&amp;$C1048&amp;"'!$E$52:$Y$52"),1,MATCH($D1048,INDIRECT("'"&amp;$C1048&amp;"'!$E$12:$Y$12"),0)),0),0)</f>
        <v>221483.00923871045</v>
      </c>
      <c r="I1048" s="366" t="s">
        <v>1685</v>
      </c>
      <c r="J1048" s="348" t="str">
        <f t="shared" ca="1" si="32"/>
        <v>OK</v>
      </c>
      <c r="K1048" s="366" t="s">
        <v>1710</v>
      </c>
      <c r="L1048" s="366" t="s">
        <v>2246</v>
      </c>
      <c r="M1048" s="350" t="str">
        <f>IF($B1048="Portfolio","Portfolio",IFERROR(INDEX(DATA_ASSET_CLASSIFICATION!$B$8:$B$24,MATCH($C1048,DATA_ASSET_CLASSIFICATION!$A$8:$A$24,0)),"Review"))</f>
        <v>Beatrice Terrace</v>
      </c>
      <c r="N1048" s="350" t="str">
        <f ca="1">IF($B1048="Portfolio","Portfolio",IFERROR(INDEX(DATA_ASSET_CLASSIFICATION!$U$8:$U$24,MATCH($C1048,DATA_ASSET_CLASSIFICATION!$A$8:$A$24,0)),"Review"))</f>
        <v>Stable</v>
      </c>
      <c r="O1048" s="350" t="str">
        <f ca="1">IF($B1048="Portfolio","Portfolio",IFERROR(INDEX(DATA_ASSET_CLASSIFICATION!$AB$8:$AB$13,MATCH($N1048,DATA_ASSET_CLASSIFICATION!$AA$8:$AA$13,0)),"Review"))</f>
        <v>Bucket 2 · Legacy</v>
      </c>
      <c r="P1048" s="350" t="str">
        <f>IF($B1048="Portfolio","Portfolio",IFERROR(INDEX(DATA_ASSET_CLASSIFICATION!$C$8:$C$24,MATCH($C1048,DATA_ASSET_CLASSIFICATION!$A$8:$A$24,0)),"Review"))</f>
        <v>Yes</v>
      </c>
      <c r="Q1048" s="350" t="str">
        <f t="shared" ca="1" si="33"/>
        <v>OK</v>
      </c>
    </row>
    <row r="1049" spans="1:17">
      <c r="A1049" s="366" t="s">
        <v>3005</v>
      </c>
      <c r="B1049" s="366" t="s">
        <v>231</v>
      </c>
      <c r="C1049" s="348" t="str">
        <f>DATA_PROPERTY_MASTER!$A$7</f>
        <v>BLD_BT</v>
      </c>
      <c r="D1049" s="380">
        <f>'00_PORTFOLIO ROLLUP'!O$12</f>
        <v>2035</v>
      </c>
      <c r="E1049" s="366" t="s">
        <v>1683</v>
      </c>
      <c r="F1049" s="366" t="s">
        <v>27</v>
      </c>
      <c r="G1049" s="348" t="str">
        <f>"'"&amp;$C1049&amp;"'!$E$54:$Y$54"</f>
        <v>'BLD_BT'!$E$54:$Y$54</v>
      </c>
      <c r="H1049" s="381">
        <f ca="1">IF(IFERROR(INDEX(DATA_PROPERTY_MASTER!$E$5:$E$21,MATCH($C1049,DATA_PROPERTY_MASTER!$A$5:$A$21,0))="Yes",FALSE),IFERROR(INDEX(INDIRECT("'"&amp;$C1049&amp;"'!$E$54:$Y$54"),1,MATCH($D1049,INDIRECT("'"&amp;$C1049&amp;"'!$E$12:$Y$12"),0)),0),0)</f>
        <v>132889.80554322628</v>
      </c>
      <c r="I1049" s="366" t="s">
        <v>1690</v>
      </c>
      <c r="J1049" s="348" t="str">
        <f t="shared" ca="1" si="32"/>
        <v>OK</v>
      </c>
      <c r="K1049" s="366" t="s">
        <v>1714</v>
      </c>
      <c r="L1049" s="366" t="s">
        <v>2248</v>
      </c>
      <c r="M1049" s="350" t="str">
        <f>IF($B1049="Portfolio","Portfolio",IFERROR(INDEX(DATA_ASSET_CLASSIFICATION!$B$8:$B$24,MATCH($C1049,DATA_ASSET_CLASSIFICATION!$A$8:$A$24,0)),"Review"))</f>
        <v>Beatrice Terrace</v>
      </c>
      <c r="N1049" s="350" t="str">
        <f ca="1">IF($B1049="Portfolio","Portfolio",IFERROR(INDEX(DATA_ASSET_CLASSIFICATION!$U$8:$U$24,MATCH($C1049,DATA_ASSET_CLASSIFICATION!$A$8:$A$24,0)),"Review"))</f>
        <v>Stable</v>
      </c>
      <c r="O1049" s="350" t="str">
        <f ca="1">IF($B1049="Portfolio","Portfolio",IFERROR(INDEX(DATA_ASSET_CLASSIFICATION!$AB$8:$AB$13,MATCH($N1049,DATA_ASSET_CLASSIFICATION!$AA$8:$AA$13,0)),"Review"))</f>
        <v>Bucket 2 · Legacy</v>
      </c>
      <c r="P1049" s="350" t="str">
        <f>IF($B1049="Portfolio","Portfolio",IFERROR(INDEX(DATA_ASSET_CLASSIFICATION!$C$8:$C$24,MATCH($C1049,DATA_ASSET_CLASSIFICATION!$A$8:$A$24,0)),"Review"))</f>
        <v>Yes</v>
      </c>
      <c r="Q1049" s="350" t="str">
        <f t="shared" ca="1" si="33"/>
        <v>OK</v>
      </c>
    </row>
    <row r="1050" spans="1:17">
      <c r="A1050" s="366" t="s">
        <v>3006</v>
      </c>
      <c r="B1050" s="366" t="s">
        <v>231</v>
      </c>
      <c r="C1050" s="348" t="str">
        <f>DATA_PROPERTY_MASTER!$A$7</f>
        <v>BLD_BT</v>
      </c>
      <c r="D1050" s="380">
        <f>'00_PORTFOLIO ROLLUP'!O$12</f>
        <v>2035</v>
      </c>
      <c r="E1050" s="366" t="s">
        <v>1683</v>
      </c>
      <c r="F1050" s="366" t="s">
        <v>29</v>
      </c>
      <c r="G1050" s="348" t="str">
        <f>"'"&amp;$C1050&amp;"'!$E$56:$Y$56"</f>
        <v>'BLD_BT'!$E$56:$Y$56</v>
      </c>
      <c r="H1050" s="381">
        <f ca="1">IF(IFERROR(INDEX(DATA_PROPERTY_MASTER!$E$5:$E$21,MATCH($C1050,DATA_PROPERTY_MASTER!$A$5:$A$21,0))="Yes",FALSE),IFERROR(INDEX(INDIRECT("'"&amp;$C1050&amp;"'!$E$56:$Y$56"),1,MATCH($D1050,INDIRECT("'"&amp;$C1050&amp;"'!$E$12:$Y$12"),0)),0),0)</f>
        <v>88593.203695484175</v>
      </c>
      <c r="I1050" s="366" t="s">
        <v>1685</v>
      </c>
      <c r="J1050" s="348" t="str">
        <f t="shared" ca="1" si="32"/>
        <v>OK</v>
      </c>
      <c r="K1050" s="366" t="s">
        <v>1718</v>
      </c>
      <c r="L1050" s="366" t="s">
        <v>2250</v>
      </c>
      <c r="M1050" s="350" t="str">
        <f>IF($B1050="Portfolio","Portfolio",IFERROR(INDEX(DATA_ASSET_CLASSIFICATION!$B$8:$B$24,MATCH($C1050,DATA_ASSET_CLASSIFICATION!$A$8:$A$24,0)),"Review"))</f>
        <v>Beatrice Terrace</v>
      </c>
      <c r="N1050" s="350" t="str">
        <f ca="1">IF($B1050="Portfolio","Portfolio",IFERROR(INDEX(DATA_ASSET_CLASSIFICATION!$U$8:$U$24,MATCH($C1050,DATA_ASSET_CLASSIFICATION!$A$8:$A$24,0)),"Review"))</f>
        <v>Stable</v>
      </c>
      <c r="O1050" s="350" t="str">
        <f ca="1">IF($B1050="Portfolio","Portfolio",IFERROR(INDEX(DATA_ASSET_CLASSIFICATION!$AB$8:$AB$13,MATCH($N1050,DATA_ASSET_CLASSIFICATION!$AA$8:$AA$13,0)),"Review"))</f>
        <v>Bucket 2 · Legacy</v>
      </c>
      <c r="P1050" s="350" t="str">
        <f>IF($B1050="Portfolio","Portfolio",IFERROR(INDEX(DATA_ASSET_CLASSIFICATION!$C$8:$C$24,MATCH($C1050,DATA_ASSET_CLASSIFICATION!$A$8:$A$24,0)),"Review"))</f>
        <v>Yes</v>
      </c>
      <c r="Q1050" s="350" t="str">
        <f t="shared" ca="1" si="33"/>
        <v>OK</v>
      </c>
    </row>
    <row r="1051" spans="1:17">
      <c r="A1051" s="366" t="s">
        <v>3007</v>
      </c>
      <c r="B1051" s="366" t="s">
        <v>231</v>
      </c>
      <c r="C1051" s="348" t="str">
        <f>DATA_PROPERTY_MASTER!$A$7</f>
        <v>BLD_BT</v>
      </c>
      <c r="D1051" s="380">
        <f>'00_PORTFOLIO ROLLUP'!O$12</f>
        <v>2035</v>
      </c>
      <c r="E1051" s="366" t="s">
        <v>1721</v>
      </c>
      <c r="F1051" s="366" t="s">
        <v>31</v>
      </c>
      <c r="G1051" s="348" t="str">
        <f>"'"&amp;$C1051&amp;"'!$E$61:$Y$61"</f>
        <v>'BLD_BT'!$E$61:$Y$61</v>
      </c>
      <c r="H1051" s="381">
        <f ca="1">IF(IFERROR(INDEX(DATA_PROPERTY_MASTER!$E$5:$E$21,MATCH($C1051,DATA_PROPERTY_MASTER!$A$5:$A$21,0))="Yes",FALSE),IFERROR(INDEX(INDIRECT("'"&amp;$C1051&amp;"'!$E$61:$Y$61"),1,MATCH($D1051,INDIRECT("'"&amp;$C1051&amp;"'!$E$12:$Y$12"),0)),0),0)</f>
        <v>0</v>
      </c>
      <c r="I1051" s="366" t="s">
        <v>1690</v>
      </c>
      <c r="J1051" s="348" t="str">
        <f t="shared" ca="1" si="32"/>
        <v>OK</v>
      </c>
      <c r="K1051" s="366" t="s">
        <v>1723</v>
      </c>
      <c r="L1051" s="366" t="s">
        <v>2252</v>
      </c>
      <c r="M1051" s="350" t="str">
        <f>IF($B1051="Portfolio","Portfolio",IFERROR(INDEX(DATA_ASSET_CLASSIFICATION!$B$8:$B$24,MATCH($C1051,DATA_ASSET_CLASSIFICATION!$A$8:$A$24,0)),"Review"))</f>
        <v>Beatrice Terrace</v>
      </c>
      <c r="N1051" s="350" t="str">
        <f ca="1">IF($B1051="Portfolio","Portfolio",IFERROR(INDEX(DATA_ASSET_CLASSIFICATION!$U$8:$U$24,MATCH($C1051,DATA_ASSET_CLASSIFICATION!$A$8:$A$24,0)),"Review"))</f>
        <v>Stable</v>
      </c>
      <c r="O1051" s="350" t="str">
        <f ca="1">IF($B1051="Portfolio","Portfolio",IFERROR(INDEX(DATA_ASSET_CLASSIFICATION!$AB$8:$AB$13,MATCH($N1051,DATA_ASSET_CLASSIFICATION!$AA$8:$AA$13,0)),"Review"))</f>
        <v>Bucket 2 · Legacy</v>
      </c>
      <c r="P1051" s="350" t="str">
        <f>IF($B1051="Portfolio","Portfolio",IFERROR(INDEX(DATA_ASSET_CLASSIFICATION!$C$8:$C$24,MATCH($C1051,DATA_ASSET_CLASSIFICATION!$A$8:$A$24,0)),"Review"))</f>
        <v>Yes</v>
      </c>
      <c r="Q1051" s="350" t="str">
        <f t="shared" ca="1" si="33"/>
        <v>OK</v>
      </c>
    </row>
    <row r="1052" spans="1:17">
      <c r="A1052" s="366" t="s">
        <v>3008</v>
      </c>
      <c r="B1052" s="366" t="s">
        <v>231</v>
      </c>
      <c r="C1052" s="348" t="str">
        <f>DATA_PROPERTY_MASTER!$A$7</f>
        <v>BLD_BT</v>
      </c>
      <c r="D1052" s="380">
        <f>'00_PORTFOLIO ROLLUP'!O$12</f>
        <v>2035</v>
      </c>
      <c r="E1052" s="366" t="s">
        <v>1721</v>
      </c>
      <c r="F1052" s="366" t="s">
        <v>33</v>
      </c>
      <c r="G1052" s="348" t="str">
        <f>"'"&amp;$C1052&amp;"'!$E$62:$Y$62"</f>
        <v>'BLD_BT'!$E$62:$Y$62</v>
      </c>
      <c r="H1052" s="381">
        <f ca="1">IF(IFERROR(INDEX(DATA_PROPERTY_MASTER!$E$5:$E$21,MATCH($C1052,DATA_PROPERTY_MASTER!$A$5:$A$21,0))="Yes",FALSE),IFERROR(INDEX(INDIRECT("'"&amp;$C1052&amp;"'!$E$62:$Y$62"),1,MATCH($D1052,INDIRECT("'"&amp;$C1052&amp;"'!$E$12:$Y$12"),0)),0),0)</f>
        <v>0</v>
      </c>
      <c r="I1052" s="366" t="s">
        <v>1685</v>
      </c>
      <c r="J1052" s="348" t="str">
        <f t="shared" ca="1" si="32"/>
        <v>OK</v>
      </c>
      <c r="K1052" s="366" t="s">
        <v>1727</v>
      </c>
      <c r="L1052" s="366" t="s">
        <v>2254</v>
      </c>
      <c r="M1052" s="350" t="str">
        <f>IF($B1052="Portfolio","Portfolio",IFERROR(INDEX(DATA_ASSET_CLASSIFICATION!$B$8:$B$24,MATCH($C1052,DATA_ASSET_CLASSIFICATION!$A$8:$A$24,0)),"Review"))</f>
        <v>Beatrice Terrace</v>
      </c>
      <c r="N1052" s="350" t="str">
        <f ca="1">IF($B1052="Portfolio","Portfolio",IFERROR(INDEX(DATA_ASSET_CLASSIFICATION!$U$8:$U$24,MATCH($C1052,DATA_ASSET_CLASSIFICATION!$A$8:$A$24,0)),"Review"))</f>
        <v>Stable</v>
      </c>
      <c r="O1052" s="350" t="str">
        <f ca="1">IF($B1052="Portfolio","Portfolio",IFERROR(INDEX(DATA_ASSET_CLASSIFICATION!$AB$8:$AB$13,MATCH($N1052,DATA_ASSET_CLASSIFICATION!$AA$8:$AA$13,0)),"Review"))</f>
        <v>Bucket 2 · Legacy</v>
      </c>
      <c r="P1052" s="350" t="str">
        <f>IF($B1052="Portfolio","Portfolio",IFERROR(INDEX(DATA_ASSET_CLASSIFICATION!$C$8:$C$24,MATCH($C1052,DATA_ASSET_CLASSIFICATION!$A$8:$A$24,0)),"Review"))</f>
        <v>Yes</v>
      </c>
      <c r="Q1052" s="350" t="str">
        <f t="shared" ca="1" si="33"/>
        <v>OK</v>
      </c>
    </row>
    <row r="1053" spans="1:17">
      <c r="A1053" s="366" t="s">
        <v>3009</v>
      </c>
      <c r="B1053" s="366" t="s">
        <v>231</v>
      </c>
      <c r="C1053" s="348" t="str">
        <f>DATA_PROPERTY_MASTER!$A$7</f>
        <v>BLD_BT</v>
      </c>
      <c r="D1053" s="380">
        <f>'00_PORTFOLIO ROLLUP'!O$12</f>
        <v>2035</v>
      </c>
      <c r="E1053" s="366" t="s">
        <v>1721</v>
      </c>
      <c r="F1053" s="366" t="s">
        <v>35</v>
      </c>
      <c r="G1053" s="348" t="str">
        <f>"'"&amp;$C1053&amp;"'!$E$63:$Y$63"</f>
        <v>'BLD_BT'!$E$63:$Y$63</v>
      </c>
      <c r="H1053" s="381">
        <f ca="1">IF(IFERROR(INDEX(DATA_PROPERTY_MASTER!$E$5:$E$21,MATCH($C1053,DATA_PROPERTY_MASTER!$A$5:$A$21,0))="Yes",FALSE),IFERROR(INDEX(INDIRECT("'"&amp;$C1053&amp;"'!$E$63:$Y$63"),1,MATCH($D1053,INDIRECT("'"&amp;$C1053&amp;"'!$E$12:$Y$12"),0)),0),0)</f>
        <v>0</v>
      </c>
      <c r="I1053" s="366" t="s">
        <v>1731</v>
      </c>
      <c r="J1053" s="348" t="str">
        <f t="shared" ca="1" si="32"/>
        <v>OK</v>
      </c>
      <c r="K1053" s="366" t="s">
        <v>1732</v>
      </c>
      <c r="L1053" s="366" t="s">
        <v>2256</v>
      </c>
      <c r="M1053" s="350" t="str">
        <f>IF($B1053="Portfolio","Portfolio",IFERROR(INDEX(DATA_ASSET_CLASSIFICATION!$B$8:$B$24,MATCH($C1053,DATA_ASSET_CLASSIFICATION!$A$8:$A$24,0)),"Review"))</f>
        <v>Beatrice Terrace</v>
      </c>
      <c r="N1053" s="350" t="str">
        <f ca="1">IF($B1053="Portfolio","Portfolio",IFERROR(INDEX(DATA_ASSET_CLASSIFICATION!$U$8:$U$24,MATCH($C1053,DATA_ASSET_CLASSIFICATION!$A$8:$A$24,0)),"Review"))</f>
        <v>Stable</v>
      </c>
      <c r="O1053" s="350" t="str">
        <f ca="1">IF($B1053="Portfolio","Portfolio",IFERROR(INDEX(DATA_ASSET_CLASSIFICATION!$AB$8:$AB$13,MATCH($N1053,DATA_ASSET_CLASSIFICATION!$AA$8:$AA$13,0)),"Review"))</f>
        <v>Bucket 2 · Legacy</v>
      </c>
      <c r="P1053" s="350" t="str">
        <f>IF($B1053="Portfolio","Portfolio",IFERROR(INDEX(DATA_ASSET_CLASSIFICATION!$C$8:$C$24,MATCH($C1053,DATA_ASSET_CLASSIFICATION!$A$8:$A$24,0)),"Review"))</f>
        <v>Yes</v>
      </c>
      <c r="Q1053" s="350" t="str">
        <f t="shared" ca="1" si="33"/>
        <v>OK</v>
      </c>
    </row>
    <row r="1054" spans="1:17">
      <c r="A1054" s="366" t="s">
        <v>3010</v>
      </c>
      <c r="B1054" s="366" t="s">
        <v>231</v>
      </c>
      <c r="C1054" s="348" t="str">
        <f>DATA_PROPERTY_MASTER!$A$7</f>
        <v>BLD_BT</v>
      </c>
      <c r="D1054" s="380">
        <f>'00_PORTFOLIO ROLLUP'!O$12</f>
        <v>2035</v>
      </c>
      <c r="E1054" s="366" t="s">
        <v>1721</v>
      </c>
      <c r="F1054" s="366" t="s">
        <v>37</v>
      </c>
      <c r="G1054" s="348" t="str">
        <f>"'"&amp;$C1054&amp;"'!$E$63:$Y$63"</f>
        <v>'BLD_BT'!$E$63:$Y$63</v>
      </c>
      <c r="H1054" s="381">
        <f ca="1">IF(IFERROR(INDEX(DATA_PROPERTY_MASTER!$E$5:$E$21,MATCH($C1054,DATA_PROPERTY_MASTER!$A$5:$A$21,0))="Yes",FALSE),MAX(IFERROR(INDEX(INDIRECT("'"&amp;$C1054&amp;"'!$E$63:$Y$63"),1,MATCH($D1054,INDIRECT("'"&amp;$C1054&amp;"'!$E$12:$Y$12"),0)),0),0),0)</f>
        <v>0</v>
      </c>
      <c r="I1054" s="366" t="s">
        <v>1685</v>
      </c>
      <c r="J1054" s="348" t="str">
        <f t="shared" ca="1" si="32"/>
        <v>OK</v>
      </c>
      <c r="K1054" s="366" t="s">
        <v>1735</v>
      </c>
      <c r="L1054" s="366" t="s">
        <v>2258</v>
      </c>
      <c r="M1054" s="350" t="str">
        <f>IF($B1054="Portfolio","Portfolio",IFERROR(INDEX(DATA_ASSET_CLASSIFICATION!$B$8:$B$24,MATCH($C1054,DATA_ASSET_CLASSIFICATION!$A$8:$A$24,0)),"Review"))</f>
        <v>Beatrice Terrace</v>
      </c>
      <c r="N1054" s="350" t="str">
        <f ca="1">IF($B1054="Portfolio","Portfolio",IFERROR(INDEX(DATA_ASSET_CLASSIFICATION!$U$8:$U$24,MATCH($C1054,DATA_ASSET_CLASSIFICATION!$A$8:$A$24,0)),"Review"))</f>
        <v>Stable</v>
      </c>
      <c r="O1054" s="350" t="str">
        <f ca="1">IF($B1054="Portfolio","Portfolio",IFERROR(INDEX(DATA_ASSET_CLASSIFICATION!$AB$8:$AB$13,MATCH($N1054,DATA_ASSET_CLASSIFICATION!$AA$8:$AA$13,0)),"Review"))</f>
        <v>Bucket 2 · Legacy</v>
      </c>
      <c r="P1054" s="350" t="str">
        <f>IF($B1054="Portfolio","Portfolio",IFERROR(INDEX(DATA_ASSET_CLASSIFICATION!$C$8:$C$24,MATCH($C1054,DATA_ASSET_CLASSIFICATION!$A$8:$A$24,0)),"Review"))</f>
        <v>Yes</v>
      </c>
      <c r="Q1054" s="350" t="str">
        <f t="shared" ca="1" si="33"/>
        <v>OK</v>
      </c>
    </row>
    <row r="1055" spans="1:17">
      <c r="A1055" s="366" t="s">
        <v>3011</v>
      </c>
      <c r="B1055" s="366" t="s">
        <v>231</v>
      </c>
      <c r="C1055" s="348" t="str">
        <f>DATA_PROPERTY_MASTER!$A$7</f>
        <v>BLD_BT</v>
      </c>
      <c r="D1055" s="380">
        <f>'00_PORTFOLIO ROLLUP'!O$12</f>
        <v>2035</v>
      </c>
      <c r="E1055" s="366" t="s">
        <v>1721</v>
      </c>
      <c r="F1055" s="366" t="s">
        <v>39</v>
      </c>
      <c r="G1055" s="348" t="str">
        <f>"'"&amp;$C1055&amp;"'!$E$63:$Y$63"</f>
        <v>'BLD_BT'!$E$63:$Y$63</v>
      </c>
      <c r="H1055" s="381">
        <f ca="1">IF(IFERROR(INDEX(DATA_PROPERTY_MASTER!$E$5:$E$21,MATCH($C1055,DATA_PROPERTY_MASTER!$A$5:$A$21,0))="Yes",FALSE),MAX(-IFERROR(INDEX(INDIRECT("'"&amp;$C1055&amp;"'!$E$63:$Y$63"),1,MATCH($D1055,INDIRECT("'"&amp;$C1055&amp;"'!$E$12:$Y$12"),0)),0),0),0)</f>
        <v>0</v>
      </c>
      <c r="I1055" s="366" t="s">
        <v>1690</v>
      </c>
      <c r="J1055" s="348" t="str">
        <f t="shared" ca="1" si="32"/>
        <v>OK</v>
      </c>
      <c r="K1055" s="366" t="s">
        <v>1738</v>
      </c>
      <c r="L1055" s="366" t="s">
        <v>2260</v>
      </c>
      <c r="M1055" s="350" t="str">
        <f>IF($B1055="Portfolio","Portfolio",IFERROR(INDEX(DATA_ASSET_CLASSIFICATION!$B$8:$B$24,MATCH($C1055,DATA_ASSET_CLASSIFICATION!$A$8:$A$24,0)),"Review"))</f>
        <v>Beatrice Terrace</v>
      </c>
      <c r="N1055" s="350" t="str">
        <f ca="1">IF($B1055="Portfolio","Portfolio",IFERROR(INDEX(DATA_ASSET_CLASSIFICATION!$U$8:$U$24,MATCH($C1055,DATA_ASSET_CLASSIFICATION!$A$8:$A$24,0)),"Review"))</f>
        <v>Stable</v>
      </c>
      <c r="O1055" s="350" t="str">
        <f ca="1">IF($B1055="Portfolio","Portfolio",IFERROR(INDEX(DATA_ASSET_CLASSIFICATION!$AB$8:$AB$13,MATCH($N1055,DATA_ASSET_CLASSIFICATION!$AA$8:$AA$13,0)),"Review"))</f>
        <v>Bucket 2 · Legacy</v>
      </c>
      <c r="P1055" s="350" t="str">
        <f>IF($B1055="Portfolio","Portfolio",IFERROR(INDEX(DATA_ASSET_CLASSIFICATION!$C$8:$C$24,MATCH($C1055,DATA_ASSET_CLASSIFICATION!$A$8:$A$24,0)),"Review"))</f>
        <v>Yes</v>
      </c>
      <c r="Q1055" s="350" t="str">
        <f t="shared" ca="1" si="33"/>
        <v>OK</v>
      </c>
    </row>
    <row r="1056" spans="1:17">
      <c r="A1056" s="366" t="s">
        <v>3012</v>
      </c>
      <c r="B1056" s="366" t="s">
        <v>231</v>
      </c>
      <c r="C1056" s="348" t="str">
        <f>DATA_PROPERTY_MASTER!$A$7</f>
        <v>BLD_BT</v>
      </c>
      <c r="D1056" s="380">
        <f>'00_PORTFOLIO ROLLUP'!O$12</f>
        <v>2035</v>
      </c>
      <c r="E1056" s="366" t="s">
        <v>1741</v>
      </c>
      <c r="F1056" s="366" t="s">
        <v>41</v>
      </c>
      <c r="G1056" s="348" t="str">
        <f>"'"&amp;$C1056&amp;"'!rows 56 + positive row 63"</f>
        <v>'BLD_BT'!rows 56 + positive row 63</v>
      </c>
      <c r="H1056" s="381">
        <f ca="1">IF(IFERROR(INDEX(DATA_PROPERTY_MASTER!$E$5:$E$21,MATCH($C1056,DATA_PROPERTY_MASTER!$A$5:$A$21,0))="Yes",FALSE),IFERROR(INDEX(INDIRECT("'"&amp;$C1056&amp;"'!$E$56:$Y$56"),1,MATCH($D1056,INDIRECT("'"&amp;$C1056&amp;"'!$E$12:$Y$12"),0)),0)+MAX(IFERROR(INDEX(INDIRECT("'"&amp;$C1056&amp;"'!$E$63:$Y$63"),1,MATCH($D1056,INDIRECT("'"&amp;$C1056&amp;"'!$E$12:$Y$12"),0)),0),0),0)</f>
        <v>88593.203695484175</v>
      </c>
      <c r="I1056" s="366" t="s">
        <v>1685</v>
      </c>
      <c r="J1056" s="348" t="str">
        <f t="shared" ca="1" si="32"/>
        <v>OK</v>
      </c>
      <c r="K1056" s="366" t="s">
        <v>1742</v>
      </c>
      <c r="L1056" s="366" t="s">
        <v>2262</v>
      </c>
      <c r="M1056" s="350" t="str">
        <f>IF($B1056="Portfolio","Portfolio",IFERROR(INDEX(DATA_ASSET_CLASSIFICATION!$B$8:$B$24,MATCH($C1056,DATA_ASSET_CLASSIFICATION!$A$8:$A$24,0)),"Review"))</f>
        <v>Beatrice Terrace</v>
      </c>
      <c r="N1056" s="350" t="str">
        <f ca="1">IF($B1056="Portfolio","Portfolio",IFERROR(INDEX(DATA_ASSET_CLASSIFICATION!$U$8:$U$24,MATCH($C1056,DATA_ASSET_CLASSIFICATION!$A$8:$A$24,0)),"Review"))</f>
        <v>Stable</v>
      </c>
      <c r="O1056" s="350" t="str">
        <f ca="1">IF($B1056="Portfolio","Portfolio",IFERROR(INDEX(DATA_ASSET_CLASSIFICATION!$AB$8:$AB$13,MATCH($N1056,DATA_ASSET_CLASSIFICATION!$AA$8:$AA$13,0)),"Review"))</f>
        <v>Bucket 2 · Legacy</v>
      </c>
      <c r="P1056" s="350" t="str">
        <f>IF($B1056="Portfolio","Portfolio",IFERROR(INDEX(DATA_ASSET_CLASSIFICATION!$C$8:$C$24,MATCH($C1056,DATA_ASSET_CLASSIFICATION!$A$8:$A$24,0)),"Review"))</f>
        <v>Yes</v>
      </c>
      <c r="Q1056" s="350" t="str">
        <f t="shared" ca="1" si="33"/>
        <v>OK</v>
      </c>
    </row>
    <row r="1057" spans="1:17">
      <c r="A1057" s="366" t="s">
        <v>3013</v>
      </c>
      <c r="B1057" s="366" t="s">
        <v>231</v>
      </c>
      <c r="C1057" s="348" t="str">
        <f>DATA_PROPERTY_MASTER!$A$7</f>
        <v>BLD_BT</v>
      </c>
      <c r="D1057" s="380">
        <f>'00_PORTFOLIO ROLLUP'!O$12</f>
        <v>2035</v>
      </c>
      <c r="E1057" s="366" t="s">
        <v>1741</v>
      </c>
      <c r="F1057" s="366" t="s">
        <v>43</v>
      </c>
      <c r="G1057" s="348" t="str">
        <f>"'"&amp;$C1057&amp;"'!$E$68:$Y$68"</f>
        <v>'BLD_BT'!$E$68:$Y$68</v>
      </c>
      <c r="H1057" s="381">
        <f ca="1">IF(IFERROR(INDEX(DATA_PROPERTY_MASTER!$E$5:$E$21,MATCH($C1057,DATA_PROPERTY_MASTER!$A$5:$A$21,0))="Yes",FALSE),IFERROR(INDEX(INDIRECT("'"&amp;$C1057&amp;"'!$E$68:$Y$68"),1,MATCH($D1057,INDIRECT("'"&amp;$C1057&amp;"'!$E$12:$Y$12"),0)),0),0)</f>
        <v>88593.203695484175</v>
      </c>
      <c r="I1057" s="366" t="s">
        <v>1731</v>
      </c>
      <c r="J1057" s="348" t="str">
        <f t="shared" ca="1" si="32"/>
        <v>OK</v>
      </c>
      <c r="K1057" s="366" t="s">
        <v>1746</v>
      </c>
      <c r="L1057" s="366" t="s">
        <v>2264</v>
      </c>
      <c r="M1057" s="350" t="str">
        <f>IF($B1057="Portfolio","Portfolio",IFERROR(INDEX(DATA_ASSET_CLASSIFICATION!$B$8:$B$24,MATCH($C1057,DATA_ASSET_CLASSIFICATION!$A$8:$A$24,0)),"Review"))</f>
        <v>Beatrice Terrace</v>
      </c>
      <c r="N1057" s="350" t="str">
        <f ca="1">IF($B1057="Portfolio","Portfolio",IFERROR(INDEX(DATA_ASSET_CLASSIFICATION!$U$8:$U$24,MATCH($C1057,DATA_ASSET_CLASSIFICATION!$A$8:$A$24,0)),"Review"))</f>
        <v>Stable</v>
      </c>
      <c r="O1057" s="350" t="str">
        <f ca="1">IF($B1057="Portfolio","Portfolio",IFERROR(INDEX(DATA_ASSET_CLASSIFICATION!$AB$8:$AB$13,MATCH($N1057,DATA_ASSET_CLASSIFICATION!$AA$8:$AA$13,0)),"Review"))</f>
        <v>Bucket 2 · Legacy</v>
      </c>
      <c r="P1057" s="350" t="str">
        <f>IF($B1057="Portfolio","Portfolio",IFERROR(INDEX(DATA_ASSET_CLASSIFICATION!$C$8:$C$24,MATCH($C1057,DATA_ASSET_CLASSIFICATION!$A$8:$A$24,0)),"Review"))</f>
        <v>Yes</v>
      </c>
      <c r="Q1057" s="350" t="str">
        <f t="shared" ca="1" si="33"/>
        <v>OK</v>
      </c>
    </row>
    <row r="1058" spans="1:17">
      <c r="A1058" s="366" t="s">
        <v>3014</v>
      </c>
      <c r="B1058" s="366" t="s">
        <v>231</v>
      </c>
      <c r="C1058" s="348" t="str">
        <f>DATA_PROPERTY_MASTER!$A$7</f>
        <v>BLD_BT</v>
      </c>
      <c r="D1058" s="380">
        <f>'00_PORTFOLIO ROLLUP'!O$12</f>
        <v>2035</v>
      </c>
      <c r="E1058" s="366" t="s">
        <v>1741</v>
      </c>
      <c r="F1058" s="366" t="s">
        <v>1749</v>
      </c>
      <c r="G1058" s="348" t="str">
        <f>"'"&amp;$C1058&amp;"'!rows 56, 63, 68"</f>
        <v>'BLD_BT'!rows 56, 63, 68</v>
      </c>
      <c r="H1058" s="381">
        <f ca="1">IF(IFERROR(INDEX(DATA_PROPERTY_MASTER!$E$5:$E$21,MATCH($C1058,DATA_PROPERTY_MASTER!$A$5:$A$21,0))="Yes",FALSE),(IFERROR(INDEX(INDIRECT("'"&amp;$C1058&amp;"'!$E$56:$Y$56"),1,MATCH($D1058,INDIRECT("'"&amp;$C1058&amp;"'!$E$12:$Y$12"),0)),0)+MAX(IFERROR(INDEX(INDIRECT("'"&amp;$C1058&amp;"'!$E$63:$Y$63"),1,MATCH($D1058,INDIRECT("'"&amp;$C1058&amp;"'!$E$12:$Y$12"),0)),0),0))-(IFERROR(INDEX(INDIRECT("'"&amp;$C1058&amp;"'!$E$68:$Y$68"),1,MATCH($D1058,INDIRECT("'"&amp;$C1058&amp;"'!$E$12:$Y$12"),0)),0)),0)</f>
        <v>0</v>
      </c>
      <c r="I1058" s="366" t="s">
        <v>1750</v>
      </c>
      <c r="J1058" s="348" t="str">
        <f t="shared" ca="1" si="32"/>
        <v>OK</v>
      </c>
      <c r="K1058" s="366" t="s">
        <v>1751</v>
      </c>
      <c r="L1058" s="366" t="s">
        <v>2266</v>
      </c>
      <c r="M1058" s="350" t="str">
        <f>IF($B1058="Portfolio","Portfolio",IFERROR(INDEX(DATA_ASSET_CLASSIFICATION!$B$8:$B$24,MATCH($C1058,DATA_ASSET_CLASSIFICATION!$A$8:$A$24,0)),"Review"))</f>
        <v>Beatrice Terrace</v>
      </c>
      <c r="N1058" s="350" t="str">
        <f ca="1">IF($B1058="Portfolio","Portfolio",IFERROR(INDEX(DATA_ASSET_CLASSIFICATION!$U$8:$U$24,MATCH($C1058,DATA_ASSET_CLASSIFICATION!$A$8:$A$24,0)),"Review"))</f>
        <v>Stable</v>
      </c>
      <c r="O1058" s="350" t="str">
        <f ca="1">IF($B1058="Portfolio","Portfolio",IFERROR(INDEX(DATA_ASSET_CLASSIFICATION!$AB$8:$AB$13,MATCH($N1058,DATA_ASSET_CLASSIFICATION!$AA$8:$AA$13,0)),"Review"))</f>
        <v>Bucket 2 · Legacy</v>
      </c>
      <c r="P1058" s="350" t="str">
        <f>IF($B1058="Portfolio","Portfolio",IFERROR(INDEX(DATA_ASSET_CLASSIFICATION!$C$8:$C$24,MATCH($C1058,DATA_ASSET_CLASSIFICATION!$A$8:$A$24,0)),"Review"))</f>
        <v>Yes</v>
      </c>
      <c r="Q1058" s="350" t="str">
        <f t="shared" ca="1" si="33"/>
        <v>OK</v>
      </c>
    </row>
    <row r="1059" spans="1:17">
      <c r="A1059" s="366" t="s">
        <v>3015</v>
      </c>
      <c r="B1059" s="366" t="s">
        <v>231</v>
      </c>
      <c r="C1059" s="348" t="str">
        <f>DATA_PROPERTY_MASTER!$A$7</f>
        <v>BLD_BT</v>
      </c>
      <c r="D1059" s="380">
        <f>'00_PORTFOLIO ROLLUP'!P$12</f>
        <v>2036</v>
      </c>
      <c r="E1059" s="366" t="s">
        <v>1683</v>
      </c>
      <c r="F1059" s="366" t="s">
        <v>341</v>
      </c>
      <c r="G1059" s="348" t="str">
        <f>"'"&amp;$C1059&amp;"'!$E$24:$Y$24"</f>
        <v>'BLD_BT'!$E$24:$Y$24</v>
      </c>
      <c r="H1059" s="381">
        <f ca="1">IF(IFERROR(INDEX(DATA_PROPERTY_MASTER!$E$5:$E$21,MATCH($C1059,DATA_PROPERTY_MASTER!$A$5:$A$21,0))="Yes",FALSE),IFERROR(INDEX(INDIRECT("'"&amp;$C1059&amp;"'!$E$24:$Y$24"),1,MATCH($D1059,INDIRECT("'"&amp;$C1059&amp;"'!$E$12:$Y$12"),0)),0),0)</f>
        <v>404987.31405984575</v>
      </c>
      <c r="I1059" s="366" t="s">
        <v>1685</v>
      </c>
      <c r="J1059" s="348" t="str">
        <f t="shared" ca="1" si="32"/>
        <v>OK</v>
      </c>
      <c r="K1059" s="366" t="s">
        <v>1686</v>
      </c>
      <c r="L1059" s="366" t="s">
        <v>2234</v>
      </c>
      <c r="M1059" s="350" t="str">
        <f>IF($B1059="Portfolio","Portfolio",IFERROR(INDEX(DATA_ASSET_CLASSIFICATION!$B$8:$B$24,MATCH($C1059,DATA_ASSET_CLASSIFICATION!$A$8:$A$24,0)),"Review"))</f>
        <v>Beatrice Terrace</v>
      </c>
      <c r="N1059" s="350" t="str">
        <f ca="1">IF($B1059="Portfolio","Portfolio",IFERROR(INDEX(DATA_ASSET_CLASSIFICATION!$U$8:$U$24,MATCH($C1059,DATA_ASSET_CLASSIFICATION!$A$8:$A$24,0)),"Review"))</f>
        <v>Stable</v>
      </c>
      <c r="O1059" s="350" t="str">
        <f ca="1">IF($B1059="Portfolio","Portfolio",IFERROR(INDEX(DATA_ASSET_CLASSIFICATION!$AB$8:$AB$13,MATCH($N1059,DATA_ASSET_CLASSIFICATION!$AA$8:$AA$13,0)),"Review"))</f>
        <v>Bucket 2 · Legacy</v>
      </c>
      <c r="P1059" s="350" t="str">
        <f>IF($B1059="Portfolio","Portfolio",IFERROR(INDEX(DATA_ASSET_CLASSIFICATION!$C$8:$C$24,MATCH($C1059,DATA_ASSET_CLASSIFICATION!$A$8:$A$24,0)),"Review"))</f>
        <v>Yes</v>
      </c>
      <c r="Q1059" s="350" t="str">
        <f t="shared" ca="1" si="33"/>
        <v>OK</v>
      </c>
    </row>
    <row r="1060" spans="1:17">
      <c r="A1060" s="366" t="s">
        <v>3016</v>
      </c>
      <c r="B1060" s="366" t="s">
        <v>231</v>
      </c>
      <c r="C1060" s="348" t="str">
        <f>DATA_PROPERTY_MASTER!$A$7</f>
        <v>BLD_BT</v>
      </c>
      <c r="D1060" s="380">
        <f>'00_PORTFOLIO ROLLUP'!P$12</f>
        <v>2036</v>
      </c>
      <c r="E1060" s="366" t="s">
        <v>1683</v>
      </c>
      <c r="F1060" s="366" t="s">
        <v>355</v>
      </c>
      <c r="G1060" s="348" t="str">
        <f>"'"&amp;$C1060&amp;"'!$E$39:$Y$39"</f>
        <v>'BLD_BT'!$E$39:$Y$39</v>
      </c>
      <c r="H1060" s="381">
        <f ca="1">IF(IFERROR(INDEX(DATA_PROPERTY_MASTER!$E$5:$E$21,MATCH($C1060,DATA_PROPERTY_MASTER!$A$5:$A$21,0))="Yes",FALSE),IFERROR(INDEX(INDIRECT("'"&amp;$C1060&amp;"'!$E$39:$Y$39"),1,MATCH($D1060,INDIRECT("'"&amp;$C1060&amp;"'!$E$12:$Y$12"),0)),0),0)</f>
        <v>179952.46152183335</v>
      </c>
      <c r="I1060" s="366" t="s">
        <v>1690</v>
      </c>
      <c r="J1060" s="348" t="str">
        <f t="shared" ca="1" si="32"/>
        <v>OK</v>
      </c>
      <c r="K1060" s="366" t="s">
        <v>1686</v>
      </c>
      <c r="L1060" s="366" t="s">
        <v>2236</v>
      </c>
      <c r="M1060" s="350" t="str">
        <f>IF($B1060="Portfolio","Portfolio",IFERROR(INDEX(DATA_ASSET_CLASSIFICATION!$B$8:$B$24,MATCH($C1060,DATA_ASSET_CLASSIFICATION!$A$8:$A$24,0)),"Review"))</f>
        <v>Beatrice Terrace</v>
      </c>
      <c r="N1060" s="350" t="str">
        <f ca="1">IF($B1060="Portfolio","Portfolio",IFERROR(INDEX(DATA_ASSET_CLASSIFICATION!$U$8:$U$24,MATCH($C1060,DATA_ASSET_CLASSIFICATION!$A$8:$A$24,0)),"Review"))</f>
        <v>Stable</v>
      </c>
      <c r="O1060" s="350" t="str">
        <f ca="1">IF($B1060="Portfolio","Portfolio",IFERROR(INDEX(DATA_ASSET_CLASSIFICATION!$AB$8:$AB$13,MATCH($N1060,DATA_ASSET_CLASSIFICATION!$AA$8:$AA$13,0)),"Review"))</f>
        <v>Bucket 2 · Legacy</v>
      </c>
      <c r="P1060" s="350" t="str">
        <f>IF($B1060="Portfolio","Portfolio",IFERROR(INDEX(DATA_ASSET_CLASSIFICATION!$C$8:$C$24,MATCH($C1060,DATA_ASSET_CLASSIFICATION!$A$8:$A$24,0)),"Review"))</f>
        <v>Yes</v>
      </c>
      <c r="Q1060" s="350" t="str">
        <f t="shared" ca="1" si="33"/>
        <v>OK</v>
      </c>
    </row>
    <row r="1061" spans="1:17">
      <c r="A1061" s="366" t="s">
        <v>3017</v>
      </c>
      <c r="B1061" s="366" t="s">
        <v>231</v>
      </c>
      <c r="C1061" s="348" t="str">
        <f>DATA_PROPERTY_MASTER!$A$7</f>
        <v>BLD_BT</v>
      </c>
      <c r="D1061" s="380">
        <f>'00_PORTFOLIO ROLLUP'!P$12</f>
        <v>2036</v>
      </c>
      <c r="E1061" s="366" t="s">
        <v>1683</v>
      </c>
      <c r="F1061" s="366" t="s">
        <v>19</v>
      </c>
      <c r="G1061" s="348" t="str">
        <f>"'"&amp;$C1061&amp;"'!$E$41:$Y$41"</f>
        <v>'BLD_BT'!$E$41:$Y$41</v>
      </c>
      <c r="H1061" s="381">
        <f ca="1">IF(IFERROR(INDEX(DATA_PROPERTY_MASTER!$E$5:$E$21,MATCH($C1061,DATA_PROPERTY_MASTER!$A$5:$A$21,0))="Yes",FALSE),IFERROR(INDEX(INDIRECT("'"&amp;$C1061&amp;"'!$E$41:$Y$41"),1,MATCH($D1061,INDIRECT("'"&amp;$C1061&amp;"'!$E$12:$Y$12"),0)),0),0)</f>
        <v>225034.8525380124</v>
      </c>
      <c r="I1061" s="366" t="s">
        <v>1685</v>
      </c>
      <c r="J1061" s="348" t="str">
        <f t="shared" ca="1" si="32"/>
        <v>OK</v>
      </c>
      <c r="K1061" s="366" t="s">
        <v>1694</v>
      </c>
      <c r="L1061" s="366" t="s">
        <v>2238</v>
      </c>
      <c r="M1061" s="350" t="str">
        <f>IF($B1061="Portfolio","Portfolio",IFERROR(INDEX(DATA_ASSET_CLASSIFICATION!$B$8:$B$24,MATCH($C1061,DATA_ASSET_CLASSIFICATION!$A$8:$A$24,0)),"Review"))</f>
        <v>Beatrice Terrace</v>
      </c>
      <c r="N1061" s="350" t="str">
        <f ca="1">IF($B1061="Portfolio","Portfolio",IFERROR(INDEX(DATA_ASSET_CLASSIFICATION!$U$8:$U$24,MATCH($C1061,DATA_ASSET_CLASSIFICATION!$A$8:$A$24,0)),"Review"))</f>
        <v>Stable</v>
      </c>
      <c r="O1061" s="350" t="str">
        <f ca="1">IF($B1061="Portfolio","Portfolio",IFERROR(INDEX(DATA_ASSET_CLASSIFICATION!$AB$8:$AB$13,MATCH($N1061,DATA_ASSET_CLASSIFICATION!$AA$8:$AA$13,0)),"Review"))</f>
        <v>Bucket 2 · Legacy</v>
      </c>
      <c r="P1061" s="350" t="str">
        <f>IF($B1061="Portfolio","Portfolio",IFERROR(INDEX(DATA_ASSET_CLASSIFICATION!$C$8:$C$24,MATCH($C1061,DATA_ASSET_CLASSIFICATION!$A$8:$A$24,0)),"Review"))</f>
        <v>Yes</v>
      </c>
      <c r="Q1061" s="350" t="str">
        <f t="shared" ca="1" si="33"/>
        <v>OK</v>
      </c>
    </row>
    <row r="1062" spans="1:17">
      <c r="A1062" s="366" t="s">
        <v>3018</v>
      </c>
      <c r="B1062" s="366" t="s">
        <v>231</v>
      </c>
      <c r="C1062" s="348" t="str">
        <f>DATA_PROPERTY_MASTER!$A$7</f>
        <v>BLD_BT</v>
      </c>
      <c r="D1062" s="380">
        <f>'00_PORTFOLIO ROLLUP'!P$12</f>
        <v>2036</v>
      </c>
      <c r="E1062" s="366" t="s">
        <v>1683</v>
      </c>
      <c r="F1062" s="366" t="s">
        <v>1697</v>
      </c>
      <c r="G1062" s="348" t="str">
        <f>"'"&amp;$C1062&amp;"'!$E$44:$Y$44"</f>
        <v>'BLD_BT'!$E$44:$Y$44</v>
      </c>
      <c r="H1062" s="381">
        <f ca="1">IF(IFERROR(INDEX(DATA_PROPERTY_MASTER!$E$5:$E$21,MATCH($C1062,DATA_PROPERTY_MASTER!$A$5:$A$21,0))="Yes",FALSE),IFERROR(INDEX(INDIRECT("'"&amp;$C1062&amp;"'!$E$44:$Y$44"),1,MATCH($D1062,INDIRECT("'"&amp;$C1062&amp;"'!$E$12:$Y$12"),0)),0),0)</f>
        <v>3357.1106326655604</v>
      </c>
      <c r="I1062" s="366" t="s">
        <v>1690</v>
      </c>
      <c r="J1062" s="348" t="str">
        <f t="shared" ca="1" si="32"/>
        <v>OK</v>
      </c>
      <c r="K1062" s="366" t="s">
        <v>1699</v>
      </c>
      <c r="L1062" s="366" t="s">
        <v>2240</v>
      </c>
      <c r="M1062" s="350" t="str">
        <f>IF($B1062="Portfolio","Portfolio",IFERROR(INDEX(DATA_ASSET_CLASSIFICATION!$B$8:$B$24,MATCH($C1062,DATA_ASSET_CLASSIFICATION!$A$8:$A$24,0)),"Review"))</f>
        <v>Beatrice Terrace</v>
      </c>
      <c r="N1062" s="350" t="str">
        <f ca="1">IF($B1062="Portfolio","Portfolio",IFERROR(INDEX(DATA_ASSET_CLASSIFICATION!$U$8:$U$24,MATCH($C1062,DATA_ASSET_CLASSIFICATION!$A$8:$A$24,0)),"Review"))</f>
        <v>Stable</v>
      </c>
      <c r="O1062" s="350" t="str">
        <f ca="1">IF($B1062="Portfolio","Portfolio",IFERROR(INDEX(DATA_ASSET_CLASSIFICATION!$AB$8:$AB$13,MATCH($N1062,DATA_ASSET_CLASSIFICATION!$AA$8:$AA$13,0)),"Review"))</f>
        <v>Bucket 2 · Legacy</v>
      </c>
      <c r="P1062" s="350" t="str">
        <f>IF($B1062="Portfolio","Portfolio",IFERROR(INDEX(DATA_ASSET_CLASSIFICATION!$C$8:$C$24,MATCH($C1062,DATA_ASSET_CLASSIFICATION!$A$8:$A$24,0)),"Review"))</f>
        <v>Yes</v>
      </c>
      <c r="Q1062" s="350" t="str">
        <f t="shared" ca="1" si="33"/>
        <v>OK</v>
      </c>
    </row>
    <row r="1063" spans="1:17">
      <c r="A1063" s="366" t="s">
        <v>3019</v>
      </c>
      <c r="B1063" s="366" t="s">
        <v>231</v>
      </c>
      <c r="C1063" s="348" t="str">
        <f>DATA_PROPERTY_MASTER!$A$7</f>
        <v>BLD_BT</v>
      </c>
      <c r="D1063" s="380">
        <f>'00_PORTFOLIO ROLLUP'!P$12</f>
        <v>2036</v>
      </c>
      <c r="E1063" s="366" t="s">
        <v>1683</v>
      </c>
      <c r="F1063" s="366" t="s">
        <v>21</v>
      </c>
      <c r="G1063" s="348" t="str">
        <f>"'"&amp;$C1063&amp;"'!$E$45:$Y$45"</f>
        <v>'BLD_BT'!$E$45:$Y$45</v>
      </c>
      <c r="H1063" s="381">
        <f ca="1">IF(IFERROR(INDEX(DATA_PROPERTY_MASTER!$E$5:$E$21,MATCH($C1063,DATA_PROPERTY_MASTER!$A$5:$A$21,0))="Yes",FALSE),IFERROR(INDEX(INDIRECT("'"&amp;$C1063&amp;"'!$E$45:$Y$45"),1,MATCH($D1063,INDIRECT("'"&amp;$C1063&amp;"'!$E$12:$Y$12"),0)),0),0)</f>
        <v>221677.74190534683</v>
      </c>
      <c r="I1063" s="366" t="s">
        <v>1685</v>
      </c>
      <c r="J1063" s="348" t="str">
        <f t="shared" ca="1" si="32"/>
        <v>OK</v>
      </c>
      <c r="K1063" s="366" t="s">
        <v>1694</v>
      </c>
      <c r="L1063" s="366" t="s">
        <v>2242</v>
      </c>
      <c r="M1063" s="350" t="str">
        <f>IF($B1063="Portfolio","Portfolio",IFERROR(INDEX(DATA_ASSET_CLASSIFICATION!$B$8:$B$24,MATCH($C1063,DATA_ASSET_CLASSIFICATION!$A$8:$A$24,0)),"Review"))</f>
        <v>Beatrice Terrace</v>
      </c>
      <c r="N1063" s="350" t="str">
        <f ca="1">IF($B1063="Portfolio","Portfolio",IFERROR(INDEX(DATA_ASSET_CLASSIFICATION!$U$8:$U$24,MATCH($C1063,DATA_ASSET_CLASSIFICATION!$A$8:$A$24,0)),"Review"))</f>
        <v>Stable</v>
      </c>
      <c r="O1063" s="350" t="str">
        <f ca="1">IF($B1063="Portfolio","Portfolio",IFERROR(INDEX(DATA_ASSET_CLASSIFICATION!$AB$8:$AB$13,MATCH($N1063,DATA_ASSET_CLASSIFICATION!$AA$8:$AA$13,0)),"Review"))</f>
        <v>Bucket 2 · Legacy</v>
      </c>
      <c r="P1063" s="350" t="str">
        <f>IF($B1063="Portfolio","Portfolio",IFERROR(INDEX(DATA_ASSET_CLASSIFICATION!$C$8:$C$24,MATCH($C1063,DATA_ASSET_CLASSIFICATION!$A$8:$A$24,0)),"Review"))</f>
        <v>Yes</v>
      </c>
      <c r="Q1063" s="350" t="str">
        <f t="shared" ca="1" si="33"/>
        <v>OK</v>
      </c>
    </row>
    <row r="1064" spans="1:17">
      <c r="A1064" s="366" t="s">
        <v>3020</v>
      </c>
      <c r="B1064" s="366" t="s">
        <v>231</v>
      </c>
      <c r="C1064" s="348" t="str">
        <f>DATA_PROPERTY_MASTER!$A$7</f>
        <v>BLD_BT</v>
      </c>
      <c r="D1064" s="380">
        <f>'00_PORTFOLIO ROLLUP'!P$12</f>
        <v>2036</v>
      </c>
      <c r="E1064" s="366" t="s">
        <v>23</v>
      </c>
      <c r="F1064" s="366" t="s">
        <v>23</v>
      </c>
      <c r="G1064" s="348" t="str">
        <f>"'"&amp;$C1064&amp;"'!$E$48:$Y$48"</f>
        <v>'BLD_BT'!$E$48:$Y$48</v>
      </c>
      <c r="H1064" s="381">
        <f ca="1">IF(IFERROR(INDEX(DATA_PROPERTY_MASTER!$E$5:$E$21,MATCH($C1064,DATA_PROPERTY_MASTER!$A$5:$A$21,0))="Yes",FALSE),IFERROR(INDEX(INDIRECT("'"&amp;$C1064&amp;"'!$E$48:$Y$48"),1,MATCH($D1064,INDIRECT("'"&amp;$C1064&amp;"'!$E$12:$Y$12"),0)),0),0)</f>
        <v>110563.68</v>
      </c>
      <c r="I1064" s="366" t="s">
        <v>1690</v>
      </c>
      <c r="J1064" s="348" t="str">
        <f t="shared" ca="1" si="32"/>
        <v>OK</v>
      </c>
      <c r="K1064" s="366" t="s">
        <v>1706</v>
      </c>
      <c r="L1064" s="366" t="s">
        <v>2244</v>
      </c>
      <c r="M1064" s="350" t="str">
        <f>IF($B1064="Portfolio","Portfolio",IFERROR(INDEX(DATA_ASSET_CLASSIFICATION!$B$8:$B$24,MATCH($C1064,DATA_ASSET_CLASSIFICATION!$A$8:$A$24,0)),"Review"))</f>
        <v>Beatrice Terrace</v>
      </c>
      <c r="N1064" s="350" t="str">
        <f ca="1">IF($B1064="Portfolio","Portfolio",IFERROR(INDEX(DATA_ASSET_CLASSIFICATION!$U$8:$U$24,MATCH($C1064,DATA_ASSET_CLASSIFICATION!$A$8:$A$24,0)),"Review"))</f>
        <v>Stable</v>
      </c>
      <c r="O1064" s="350" t="str">
        <f ca="1">IF($B1064="Portfolio","Portfolio",IFERROR(INDEX(DATA_ASSET_CLASSIFICATION!$AB$8:$AB$13,MATCH($N1064,DATA_ASSET_CLASSIFICATION!$AA$8:$AA$13,0)),"Review"))</f>
        <v>Bucket 2 · Legacy</v>
      </c>
      <c r="P1064" s="350" t="str">
        <f>IF($B1064="Portfolio","Portfolio",IFERROR(INDEX(DATA_ASSET_CLASSIFICATION!$C$8:$C$24,MATCH($C1064,DATA_ASSET_CLASSIFICATION!$A$8:$A$24,0)),"Review"))</f>
        <v>Yes</v>
      </c>
      <c r="Q1064" s="350" t="str">
        <f t="shared" ca="1" si="33"/>
        <v>OK</v>
      </c>
    </row>
    <row r="1065" spans="1:17">
      <c r="A1065" s="366" t="s">
        <v>3021</v>
      </c>
      <c r="B1065" s="366" t="s">
        <v>231</v>
      </c>
      <c r="C1065" s="348" t="str">
        <f>DATA_PROPERTY_MASTER!$A$7</f>
        <v>BLD_BT</v>
      </c>
      <c r="D1065" s="380">
        <f>'00_PORTFOLIO ROLLUP'!P$12</f>
        <v>2036</v>
      </c>
      <c r="E1065" s="366" t="s">
        <v>1683</v>
      </c>
      <c r="F1065" s="366" t="s">
        <v>25</v>
      </c>
      <c r="G1065" s="348" t="str">
        <f>"'"&amp;$C1065&amp;"'!$E$52:$Y$52"</f>
        <v>'BLD_BT'!$E$52:$Y$52</v>
      </c>
      <c r="H1065" s="381">
        <f ca="1">IF(IFERROR(INDEX(DATA_PROPERTY_MASTER!$E$5:$E$21,MATCH($C1065,DATA_PROPERTY_MASTER!$A$5:$A$21,0))="Yes",FALSE),IFERROR(INDEX(INDIRECT("'"&amp;$C1065&amp;"'!$E$52:$Y$52"),1,MATCH($D1065,INDIRECT("'"&amp;$C1065&amp;"'!$E$12:$Y$12"),0)),0),0)</f>
        <v>114471.17253801241</v>
      </c>
      <c r="I1065" s="366" t="s">
        <v>1685</v>
      </c>
      <c r="J1065" s="348" t="str">
        <f t="shared" ca="1" si="32"/>
        <v>OK</v>
      </c>
      <c r="K1065" s="366" t="s">
        <v>1710</v>
      </c>
      <c r="L1065" s="366" t="s">
        <v>2246</v>
      </c>
      <c r="M1065" s="350" t="str">
        <f>IF($B1065="Portfolio","Portfolio",IFERROR(INDEX(DATA_ASSET_CLASSIFICATION!$B$8:$B$24,MATCH($C1065,DATA_ASSET_CLASSIFICATION!$A$8:$A$24,0)),"Review"))</f>
        <v>Beatrice Terrace</v>
      </c>
      <c r="N1065" s="350" t="str">
        <f ca="1">IF($B1065="Portfolio","Portfolio",IFERROR(INDEX(DATA_ASSET_CLASSIFICATION!$U$8:$U$24,MATCH($C1065,DATA_ASSET_CLASSIFICATION!$A$8:$A$24,0)),"Review"))</f>
        <v>Stable</v>
      </c>
      <c r="O1065" s="350" t="str">
        <f ca="1">IF($B1065="Portfolio","Portfolio",IFERROR(INDEX(DATA_ASSET_CLASSIFICATION!$AB$8:$AB$13,MATCH($N1065,DATA_ASSET_CLASSIFICATION!$AA$8:$AA$13,0)),"Review"))</f>
        <v>Bucket 2 · Legacy</v>
      </c>
      <c r="P1065" s="350" t="str">
        <f>IF($B1065="Portfolio","Portfolio",IFERROR(INDEX(DATA_ASSET_CLASSIFICATION!$C$8:$C$24,MATCH($C1065,DATA_ASSET_CLASSIFICATION!$A$8:$A$24,0)),"Review"))</f>
        <v>Yes</v>
      </c>
      <c r="Q1065" s="350" t="str">
        <f t="shared" ca="1" si="33"/>
        <v>OK</v>
      </c>
    </row>
    <row r="1066" spans="1:17">
      <c r="A1066" s="366" t="s">
        <v>3022</v>
      </c>
      <c r="B1066" s="366" t="s">
        <v>231</v>
      </c>
      <c r="C1066" s="348" t="str">
        <f>DATA_PROPERTY_MASTER!$A$7</f>
        <v>BLD_BT</v>
      </c>
      <c r="D1066" s="380">
        <f>'00_PORTFOLIO ROLLUP'!P$12</f>
        <v>2036</v>
      </c>
      <c r="E1066" s="366" t="s">
        <v>1683</v>
      </c>
      <c r="F1066" s="366" t="s">
        <v>27</v>
      </c>
      <c r="G1066" s="348" t="str">
        <f>"'"&amp;$C1066&amp;"'!$E$54:$Y$54"</f>
        <v>'BLD_BT'!$E$54:$Y$54</v>
      </c>
      <c r="H1066" s="381">
        <f ca="1">IF(IFERROR(INDEX(DATA_PROPERTY_MASTER!$E$5:$E$21,MATCH($C1066,DATA_PROPERTY_MASTER!$A$5:$A$21,0))="Yes",FALSE),IFERROR(INDEX(INDIRECT("'"&amp;$C1066&amp;"'!$E$54:$Y$54"),1,MATCH($D1066,INDIRECT("'"&amp;$C1066&amp;"'!$E$12:$Y$12"),0)),0),0)</f>
        <v>68682.703522807438</v>
      </c>
      <c r="I1066" s="366" t="s">
        <v>1690</v>
      </c>
      <c r="J1066" s="348" t="str">
        <f t="shared" ca="1" si="32"/>
        <v>OK</v>
      </c>
      <c r="K1066" s="366" t="s">
        <v>1714</v>
      </c>
      <c r="L1066" s="366" t="s">
        <v>2248</v>
      </c>
      <c r="M1066" s="350" t="str">
        <f>IF($B1066="Portfolio","Portfolio",IFERROR(INDEX(DATA_ASSET_CLASSIFICATION!$B$8:$B$24,MATCH($C1066,DATA_ASSET_CLASSIFICATION!$A$8:$A$24,0)),"Review"))</f>
        <v>Beatrice Terrace</v>
      </c>
      <c r="N1066" s="350" t="str">
        <f ca="1">IF($B1066="Portfolio","Portfolio",IFERROR(INDEX(DATA_ASSET_CLASSIFICATION!$U$8:$U$24,MATCH($C1066,DATA_ASSET_CLASSIFICATION!$A$8:$A$24,0)),"Review"))</f>
        <v>Stable</v>
      </c>
      <c r="O1066" s="350" t="str">
        <f ca="1">IF($B1066="Portfolio","Portfolio",IFERROR(INDEX(DATA_ASSET_CLASSIFICATION!$AB$8:$AB$13,MATCH($N1066,DATA_ASSET_CLASSIFICATION!$AA$8:$AA$13,0)),"Review"))</f>
        <v>Bucket 2 · Legacy</v>
      </c>
      <c r="P1066" s="350" t="str">
        <f>IF($B1066="Portfolio","Portfolio",IFERROR(INDEX(DATA_ASSET_CLASSIFICATION!$C$8:$C$24,MATCH($C1066,DATA_ASSET_CLASSIFICATION!$A$8:$A$24,0)),"Review"))</f>
        <v>Yes</v>
      </c>
      <c r="Q1066" s="350" t="str">
        <f t="shared" ca="1" si="33"/>
        <v>OK</v>
      </c>
    </row>
    <row r="1067" spans="1:17">
      <c r="A1067" s="366" t="s">
        <v>3023</v>
      </c>
      <c r="B1067" s="366" t="s">
        <v>231</v>
      </c>
      <c r="C1067" s="348" t="str">
        <f>DATA_PROPERTY_MASTER!$A$7</f>
        <v>BLD_BT</v>
      </c>
      <c r="D1067" s="380">
        <f>'00_PORTFOLIO ROLLUP'!P$12</f>
        <v>2036</v>
      </c>
      <c r="E1067" s="366" t="s">
        <v>1683</v>
      </c>
      <c r="F1067" s="366" t="s">
        <v>29</v>
      </c>
      <c r="G1067" s="348" t="str">
        <f>"'"&amp;$C1067&amp;"'!$E$56:$Y$56"</f>
        <v>'BLD_BT'!$E$56:$Y$56</v>
      </c>
      <c r="H1067" s="381">
        <f ca="1">IF(IFERROR(INDEX(DATA_PROPERTY_MASTER!$E$5:$E$21,MATCH($C1067,DATA_PROPERTY_MASTER!$A$5:$A$21,0))="Yes",FALSE),IFERROR(INDEX(INDIRECT("'"&amp;$C1067&amp;"'!$E$56:$Y$56"),1,MATCH($D1067,INDIRECT("'"&amp;$C1067&amp;"'!$E$12:$Y$12"),0)),0),0)</f>
        <v>45788.469015204973</v>
      </c>
      <c r="I1067" s="366" t="s">
        <v>1685</v>
      </c>
      <c r="J1067" s="348" t="str">
        <f t="shared" ca="1" si="32"/>
        <v>OK</v>
      </c>
      <c r="K1067" s="366" t="s">
        <v>1718</v>
      </c>
      <c r="L1067" s="366" t="s">
        <v>2250</v>
      </c>
      <c r="M1067" s="350" t="str">
        <f>IF($B1067="Portfolio","Portfolio",IFERROR(INDEX(DATA_ASSET_CLASSIFICATION!$B$8:$B$24,MATCH($C1067,DATA_ASSET_CLASSIFICATION!$A$8:$A$24,0)),"Review"))</f>
        <v>Beatrice Terrace</v>
      </c>
      <c r="N1067" s="350" t="str">
        <f ca="1">IF($B1067="Portfolio","Portfolio",IFERROR(INDEX(DATA_ASSET_CLASSIFICATION!$U$8:$U$24,MATCH($C1067,DATA_ASSET_CLASSIFICATION!$A$8:$A$24,0)),"Review"))</f>
        <v>Stable</v>
      </c>
      <c r="O1067" s="350" t="str">
        <f ca="1">IF($B1067="Portfolio","Portfolio",IFERROR(INDEX(DATA_ASSET_CLASSIFICATION!$AB$8:$AB$13,MATCH($N1067,DATA_ASSET_CLASSIFICATION!$AA$8:$AA$13,0)),"Review"))</f>
        <v>Bucket 2 · Legacy</v>
      </c>
      <c r="P1067" s="350" t="str">
        <f>IF($B1067="Portfolio","Portfolio",IFERROR(INDEX(DATA_ASSET_CLASSIFICATION!$C$8:$C$24,MATCH($C1067,DATA_ASSET_CLASSIFICATION!$A$8:$A$24,0)),"Review"))</f>
        <v>Yes</v>
      </c>
      <c r="Q1067" s="350" t="str">
        <f t="shared" ca="1" si="33"/>
        <v>OK</v>
      </c>
    </row>
    <row r="1068" spans="1:17">
      <c r="A1068" s="366" t="s">
        <v>3024</v>
      </c>
      <c r="B1068" s="366" t="s">
        <v>231</v>
      </c>
      <c r="C1068" s="348" t="str">
        <f>DATA_PROPERTY_MASTER!$A$7</f>
        <v>BLD_BT</v>
      </c>
      <c r="D1068" s="380">
        <f>'00_PORTFOLIO ROLLUP'!P$12</f>
        <v>2036</v>
      </c>
      <c r="E1068" s="366" t="s">
        <v>1721</v>
      </c>
      <c r="F1068" s="366" t="s">
        <v>31</v>
      </c>
      <c r="G1068" s="348" t="str">
        <f>"'"&amp;$C1068&amp;"'!$E$61:$Y$61"</f>
        <v>'BLD_BT'!$E$61:$Y$61</v>
      </c>
      <c r="H1068" s="381">
        <f ca="1">IF(IFERROR(INDEX(DATA_PROPERTY_MASTER!$E$5:$E$21,MATCH($C1068,DATA_PROPERTY_MASTER!$A$5:$A$21,0))="Yes",FALSE),IFERROR(INDEX(INDIRECT("'"&amp;$C1068&amp;"'!$E$61:$Y$61"),1,MATCH($D1068,INDIRECT("'"&amp;$C1068&amp;"'!$E$12:$Y$12"),0)),0),0)</f>
        <v>0</v>
      </c>
      <c r="I1068" s="366" t="s">
        <v>1690</v>
      </c>
      <c r="J1068" s="348" t="str">
        <f t="shared" ca="1" si="32"/>
        <v>OK</v>
      </c>
      <c r="K1068" s="366" t="s">
        <v>1723</v>
      </c>
      <c r="L1068" s="366" t="s">
        <v>2252</v>
      </c>
      <c r="M1068" s="350" t="str">
        <f>IF($B1068="Portfolio","Portfolio",IFERROR(INDEX(DATA_ASSET_CLASSIFICATION!$B$8:$B$24,MATCH($C1068,DATA_ASSET_CLASSIFICATION!$A$8:$A$24,0)),"Review"))</f>
        <v>Beatrice Terrace</v>
      </c>
      <c r="N1068" s="350" t="str">
        <f ca="1">IF($B1068="Portfolio","Portfolio",IFERROR(INDEX(DATA_ASSET_CLASSIFICATION!$U$8:$U$24,MATCH($C1068,DATA_ASSET_CLASSIFICATION!$A$8:$A$24,0)),"Review"))</f>
        <v>Stable</v>
      </c>
      <c r="O1068" s="350" t="str">
        <f ca="1">IF($B1068="Portfolio","Portfolio",IFERROR(INDEX(DATA_ASSET_CLASSIFICATION!$AB$8:$AB$13,MATCH($N1068,DATA_ASSET_CLASSIFICATION!$AA$8:$AA$13,0)),"Review"))</f>
        <v>Bucket 2 · Legacy</v>
      </c>
      <c r="P1068" s="350" t="str">
        <f>IF($B1068="Portfolio","Portfolio",IFERROR(INDEX(DATA_ASSET_CLASSIFICATION!$C$8:$C$24,MATCH($C1068,DATA_ASSET_CLASSIFICATION!$A$8:$A$24,0)),"Review"))</f>
        <v>Yes</v>
      </c>
      <c r="Q1068" s="350" t="str">
        <f t="shared" ca="1" si="33"/>
        <v>OK</v>
      </c>
    </row>
    <row r="1069" spans="1:17">
      <c r="A1069" s="366" t="s">
        <v>3025</v>
      </c>
      <c r="B1069" s="366" t="s">
        <v>231</v>
      </c>
      <c r="C1069" s="348" t="str">
        <f>DATA_PROPERTY_MASTER!$A$7</f>
        <v>BLD_BT</v>
      </c>
      <c r="D1069" s="380">
        <f>'00_PORTFOLIO ROLLUP'!P$12</f>
        <v>2036</v>
      </c>
      <c r="E1069" s="366" t="s">
        <v>1721</v>
      </c>
      <c r="F1069" s="366" t="s">
        <v>33</v>
      </c>
      <c r="G1069" s="348" t="str">
        <f>"'"&amp;$C1069&amp;"'!$E$62:$Y$62"</f>
        <v>'BLD_BT'!$E$62:$Y$62</v>
      </c>
      <c r="H1069" s="381">
        <f ca="1">IF(IFERROR(INDEX(DATA_PROPERTY_MASTER!$E$5:$E$21,MATCH($C1069,DATA_PROPERTY_MASTER!$A$5:$A$21,0))="Yes",FALSE),IFERROR(INDEX(INDIRECT("'"&amp;$C1069&amp;"'!$E$62:$Y$62"),1,MATCH($D1069,INDIRECT("'"&amp;$C1069&amp;"'!$E$12:$Y$12"),0)),0),0)</f>
        <v>0</v>
      </c>
      <c r="I1069" s="366" t="s">
        <v>1685</v>
      </c>
      <c r="J1069" s="348" t="str">
        <f t="shared" ca="1" si="32"/>
        <v>OK</v>
      </c>
      <c r="K1069" s="366" t="s">
        <v>1727</v>
      </c>
      <c r="L1069" s="366" t="s">
        <v>2254</v>
      </c>
      <c r="M1069" s="350" t="str">
        <f>IF($B1069="Portfolio","Portfolio",IFERROR(INDEX(DATA_ASSET_CLASSIFICATION!$B$8:$B$24,MATCH($C1069,DATA_ASSET_CLASSIFICATION!$A$8:$A$24,0)),"Review"))</f>
        <v>Beatrice Terrace</v>
      </c>
      <c r="N1069" s="350" t="str">
        <f ca="1">IF($B1069="Portfolio","Portfolio",IFERROR(INDEX(DATA_ASSET_CLASSIFICATION!$U$8:$U$24,MATCH($C1069,DATA_ASSET_CLASSIFICATION!$A$8:$A$24,0)),"Review"))</f>
        <v>Stable</v>
      </c>
      <c r="O1069" s="350" t="str">
        <f ca="1">IF($B1069="Portfolio","Portfolio",IFERROR(INDEX(DATA_ASSET_CLASSIFICATION!$AB$8:$AB$13,MATCH($N1069,DATA_ASSET_CLASSIFICATION!$AA$8:$AA$13,0)),"Review"))</f>
        <v>Bucket 2 · Legacy</v>
      </c>
      <c r="P1069" s="350" t="str">
        <f>IF($B1069="Portfolio","Portfolio",IFERROR(INDEX(DATA_ASSET_CLASSIFICATION!$C$8:$C$24,MATCH($C1069,DATA_ASSET_CLASSIFICATION!$A$8:$A$24,0)),"Review"))</f>
        <v>Yes</v>
      </c>
      <c r="Q1069" s="350" t="str">
        <f t="shared" ca="1" si="33"/>
        <v>OK</v>
      </c>
    </row>
    <row r="1070" spans="1:17">
      <c r="A1070" s="366" t="s">
        <v>3026</v>
      </c>
      <c r="B1070" s="366" t="s">
        <v>231</v>
      </c>
      <c r="C1070" s="348" t="str">
        <f>DATA_PROPERTY_MASTER!$A$7</f>
        <v>BLD_BT</v>
      </c>
      <c r="D1070" s="380">
        <f>'00_PORTFOLIO ROLLUP'!P$12</f>
        <v>2036</v>
      </c>
      <c r="E1070" s="366" t="s">
        <v>1721</v>
      </c>
      <c r="F1070" s="366" t="s">
        <v>35</v>
      </c>
      <c r="G1070" s="348" t="str">
        <f>"'"&amp;$C1070&amp;"'!$E$63:$Y$63"</f>
        <v>'BLD_BT'!$E$63:$Y$63</v>
      </c>
      <c r="H1070" s="381">
        <f ca="1">IF(IFERROR(INDEX(DATA_PROPERTY_MASTER!$E$5:$E$21,MATCH($C1070,DATA_PROPERTY_MASTER!$A$5:$A$21,0))="Yes",FALSE),IFERROR(INDEX(INDIRECT("'"&amp;$C1070&amp;"'!$E$63:$Y$63"),1,MATCH($D1070,INDIRECT("'"&amp;$C1070&amp;"'!$E$12:$Y$12"),0)),0),0)</f>
        <v>0</v>
      </c>
      <c r="I1070" s="366" t="s">
        <v>1731</v>
      </c>
      <c r="J1070" s="348" t="str">
        <f t="shared" ca="1" si="32"/>
        <v>OK</v>
      </c>
      <c r="K1070" s="366" t="s">
        <v>1732</v>
      </c>
      <c r="L1070" s="366" t="s">
        <v>2256</v>
      </c>
      <c r="M1070" s="350" t="str">
        <f>IF($B1070="Portfolio","Portfolio",IFERROR(INDEX(DATA_ASSET_CLASSIFICATION!$B$8:$B$24,MATCH($C1070,DATA_ASSET_CLASSIFICATION!$A$8:$A$24,0)),"Review"))</f>
        <v>Beatrice Terrace</v>
      </c>
      <c r="N1070" s="350" t="str">
        <f ca="1">IF($B1070="Portfolio","Portfolio",IFERROR(INDEX(DATA_ASSET_CLASSIFICATION!$U$8:$U$24,MATCH($C1070,DATA_ASSET_CLASSIFICATION!$A$8:$A$24,0)),"Review"))</f>
        <v>Stable</v>
      </c>
      <c r="O1070" s="350" t="str">
        <f ca="1">IF($B1070="Portfolio","Portfolio",IFERROR(INDEX(DATA_ASSET_CLASSIFICATION!$AB$8:$AB$13,MATCH($N1070,DATA_ASSET_CLASSIFICATION!$AA$8:$AA$13,0)),"Review"))</f>
        <v>Bucket 2 · Legacy</v>
      </c>
      <c r="P1070" s="350" t="str">
        <f>IF($B1070="Portfolio","Portfolio",IFERROR(INDEX(DATA_ASSET_CLASSIFICATION!$C$8:$C$24,MATCH($C1070,DATA_ASSET_CLASSIFICATION!$A$8:$A$24,0)),"Review"))</f>
        <v>Yes</v>
      </c>
      <c r="Q1070" s="350" t="str">
        <f t="shared" ca="1" si="33"/>
        <v>OK</v>
      </c>
    </row>
    <row r="1071" spans="1:17">
      <c r="A1071" s="366" t="s">
        <v>3027</v>
      </c>
      <c r="B1071" s="366" t="s">
        <v>231</v>
      </c>
      <c r="C1071" s="348" t="str">
        <f>DATA_PROPERTY_MASTER!$A$7</f>
        <v>BLD_BT</v>
      </c>
      <c r="D1071" s="380">
        <f>'00_PORTFOLIO ROLLUP'!P$12</f>
        <v>2036</v>
      </c>
      <c r="E1071" s="366" t="s">
        <v>1721</v>
      </c>
      <c r="F1071" s="366" t="s">
        <v>37</v>
      </c>
      <c r="G1071" s="348" t="str">
        <f>"'"&amp;$C1071&amp;"'!$E$63:$Y$63"</f>
        <v>'BLD_BT'!$E$63:$Y$63</v>
      </c>
      <c r="H1071" s="381">
        <f ca="1">IF(IFERROR(INDEX(DATA_PROPERTY_MASTER!$E$5:$E$21,MATCH($C1071,DATA_PROPERTY_MASTER!$A$5:$A$21,0))="Yes",FALSE),MAX(IFERROR(INDEX(INDIRECT("'"&amp;$C1071&amp;"'!$E$63:$Y$63"),1,MATCH($D1071,INDIRECT("'"&amp;$C1071&amp;"'!$E$12:$Y$12"),0)),0),0),0)</f>
        <v>0</v>
      </c>
      <c r="I1071" s="366" t="s">
        <v>1685</v>
      </c>
      <c r="J1071" s="348" t="str">
        <f t="shared" ca="1" si="32"/>
        <v>OK</v>
      </c>
      <c r="K1071" s="366" t="s">
        <v>1735</v>
      </c>
      <c r="L1071" s="366" t="s">
        <v>2258</v>
      </c>
      <c r="M1071" s="350" t="str">
        <f>IF($B1071="Portfolio","Portfolio",IFERROR(INDEX(DATA_ASSET_CLASSIFICATION!$B$8:$B$24,MATCH($C1071,DATA_ASSET_CLASSIFICATION!$A$8:$A$24,0)),"Review"))</f>
        <v>Beatrice Terrace</v>
      </c>
      <c r="N1071" s="350" t="str">
        <f ca="1">IF($B1071="Portfolio","Portfolio",IFERROR(INDEX(DATA_ASSET_CLASSIFICATION!$U$8:$U$24,MATCH($C1071,DATA_ASSET_CLASSIFICATION!$A$8:$A$24,0)),"Review"))</f>
        <v>Stable</v>
      </c>
      <c r="O1071" s="350" t="str">
        <f ca="1">IF($B1071="Portfolio","Portfolio",IFERROR(INDEX(DATA_ASSET_CLASSIFICATION!$AB$8:$AB$13,MATCH($N1071,DATA_ASSET_CLASSIFICATION!$AA$8:$AA$13,0)),"Review"))</f>
        <v>Bucket 2 · Legacy</v>
      </c>
      <c r="P1071" s="350" t="str">
        <f>IF($B1071="Portfolio","Portfolio",IFERROR(INDEX(DATA_ASSET_CLASSIFICATION!$C$8:$C$24,MATCH($C1071,DATA_ASSET_CLASSIFICATION!$A$8:$A$24,0)),"Review"))</f>
        <v>Yes</v>
      </c>
      <c r="Q1071" s="350" t="str">
        <f t="shared" ca="1" si="33"/>
        <v>OK</v>
      </c>
    </row>
    <row r="1072" spans="1:17">
      <c r="A1072" s="366" t="s">
        <v>3028</v>
      </c>
      <c r="B1072" s="366" t="s">
        <v>231</v>
      </c>
      <c r="C1072" s="348" t="str">
        <f>DATA_PROPERTY_MASTER!$A$7</f>
        <v>BLD_BT</v>
      </c>
      <c r="D1072" s="380">
        <f>'00_PORTFOLIO ROLLUP'!P$12</f>
        <v>2036</v>
      </c>
      <c r="E1072" s="366" t="s">
        <v>1721</v>
      </c>
      <c r="F1072" s="366" t="s">
        <v>39</v>
      </c>
      <c r="G1072" s="348" t="str">
        <f>"'"&amp;$C1072&amp;"'!$E$63:$Y$63"</f>
        <v>'BLD_BT'!$E$63:$Y$63</v>
      </c>
      <c r="H1072" s="381">
        <f ca="1">IF(IFERROR(INDEX(DATA_PROPERTY_MASTER!$E$5:$E$21,MATCH($C1072,DATA_PROPERTY_MASTER!$A$5:$A$21,0))="Yes",FALSE),MAX(-IFERROR(INDEX(INDIRECT("'"&amp;$C1072&amp;"'!$E$63:$Y$63"),1,MATCH($D1072,INDIRECT("'"&amp;$C1072&amp;"'!$E$12:$Y$12"),0)),0),0),0)</f>
        <v>0</v>
      </c>
      <c r="I1072" s="366" t="s">
        <v>1690</v>
      </c>
      <c r="J1072" s="348" t="str">
        <f t="shared" ca="1" si="32"/>
        <v>OK</v>
      </c>
      <c r="K1072" s="366" t="s">
        <v>1738</v>
      </c>
      <c r="L1072" s="366" t="s">
        <v>2260</v>
      </c>
      <c r="M1072" s="350" t="str">
        <f>IF($B1072="Portfolio","Portfolio",IFERROR(INDEX(DATA_ASSET_CLASSIFICATION!$B$8:$B$24,MATCH($C1072,DATA_ASSET_CLASSIFICATION!$A$8:$A$24,0)),"Review"))</f>
        <v>Beatrice Terrace</v>
      </c>
      <c r="N1072" s="350" t="str">
        <f ca="1">IF($B1072="Portfolio","Portfolio",IFERROR(INDEX(DATA_ASSET_CLASSIFICATION!$U$8:$U$24,MATCH($C1072,DATA_ASSET_CLASSIFICATION!$A$8:$A$24,0)),"Review"))</f>
        <v>Stable</v>
      </c>
      <c r="O1072" s="350" t="str">
        <f ca="1">IF($B1072="Portfolio","Portfolio",IFERROR(INDEX(DATA_ASSET_CLASSIFICATION!$AB$8:$AB$13,MATCH($N1072,DATA_ASSET_CLASSIFICATION!$AA$8:$AA$13,0)),"Review"))</f>
        <v>Bucket 2 · Legacy</v>
      </c>
      <c r="P1072" s="350" t="str">
        <f>IF($B1072="Portfolio","Portfolio",IFERROR(INDEX(DATA_ASSET_CLASSIFICATION!$C$8:$C$24,MATCH($C1072,DATA_ASSET_CLASSIFICATION!$A$8:$A$24,0)),"Review"))</f>
        <v>Yes</v>
      </c>
      <c r="Q1072" s="350" t="str">
        <f t="shared" ca="1" si="33"/>
        <v>OK</v>
      </c>
    </row>
    <row r="1073" spans="1:17">
      <c r="A1073" s="366" t="s">
        <v>3029</v>
      </c>
      <c r="B1073" s="366" t="s">
        <v>231</v>
      </c>
      <c r="C1073" s="348" t="str">
        <f>DATA_PROPERTY_MASTER!$A$7</f>
        <v>BLD_BT</v>
      </c>
      <c r="D1073" s="380">
        <f>'00_PORTFOLIO ROLLUP'!P$12</f>
        <v>2036</v>
      </c>
      <c r="E1073" s="366" t="s">
        <v>1741</v>
      </c>
      <c r="F1073" s="366" t="s">
        <v>41</v>
      </c>
      <c r="G1073" s="348" t="str">
        <f>"'"&amp;$C1073&amp;"'!rows 56 + positive row 63"</f>
        <v>'BLD_BT'!rows 56 + positive row 63</v>
      </c>
      <c r="H1073" s="381">
        <f ca="1">IF(IFERROR(INDEX(DATA_PROPERTY_MASTER!$E$5:$E$21,MATCH($C1073,DATA_PROPERTY_MASTER!$A$5:$A$21,0))="Yes",FALSE),IFERROR(INDEX(INDIRECT("'"&amp;$C1073&amp;"'!$E$56:$Y$56"),1,MATCH($D1073,INDIRECT("'"&amp;$C1073&amp;"'!$E$12:$Y$12"),0)),0)+MAX(IFERROR(INDEX(INDIRECT("'"&amp;$C1073&amp;"'!$E$63:$Y$63"),1,MATCH($D1073,INDIRECT("'"&amp;$C1073&amp;"'!$E$12:$Y$12"),0)),0),0),0)</f>
        <v>45788.469015204973</v>
      </c>
      <c r="I1073" s="366" t="s">
        <v>1685</v>
      </c>
      <c r="J1073" s="348" t="str">
        <f t="shared" ca="1" si="32"/>
        <v>OK</v>
      </c>
      <c r="K1073" s="366" t="s">
        <v>1742</v>
      </c>
      <c r="L1073" s="366" t="s">
        <v>2262</v>
      </c>
      <c r="M1073" s="350" t="str">
        <f>IF($B1073="Portfolio","Portfolio",IFERROR(INDEX(DATA_ASSET_CLASSIFICATION!$B$8:$B$24,MATCH($C1073,DATA_ASSET_CLASSIFICATION!$A$8:$A$24,0)),"Review"))</f>
        <v>Beatrice Terrace</v>
      </c>
      <c r="N1073" s="350" t="str">
        <f ca="1">IF($B1073="Portfolio","Portfolio",IFERROR(INDEX(DATA_ASSET_CLASSIFICATION!$U$8:$U$24,MATCH($C1073,DATA_ASSET_CLASSIFICATION!$A$8:$A$24,0)),"Review"))</f>
        <v>Stable</v>
      </c>
      <c r="O1073" s="350" t="str">
        <f ca="1">IF($B1073="Portfolio","Portfolio",IFERROR(INDEX(DATA_ASSET_CLASSIFICATION!$AB$8:$AB$13,MATCH($N1073,DATA_ASSET_CLASSIFICATION!$AA$8:$AA$13,0)),"Review"))</f>
        <v>Bucket 2 · Legacy</v>
      </c>
      <c r="P1073" s="350" t="str">
        <f>IF($B1073="Portfolio","Portfolio",IFERROR(INDEX(DATA_ASSET_CLASSIFICATION!$C$8:$C$24,MATCH($C1073,DATA_ASSET_CLASSIFICATION!$A$8:$A$24,0)),"Review"))</f>
        <v>Yes</v>
      </c>
      <c r="Q1073" s="350" t="str">
        <f t="shared" ca="1" si="33"/>
        <v>OK</v>
      </c>
    </row>
    <row r="1074" spans="1:17">
      <c r="A1074" s="366" t="s">
        <v>3030</v>
      </c>
      <c r="B1074" s="366" t="s">
        <v>231</v>
      </c>
      <c r="C1074" s="348" t="str">
        <f>DATA_PROPERTY_MASTER!$A$7</f>
        <v>BLD_BT</v>
      </c>
      <c r="D1074" s="380">
        <f>'00_PORTFOLIO ROLLUP'!P$12</f>
        <v>2036</v>
      </c>
      <c r="E1074" s="366" t="s">
        <v>1741</v>
      </c>
      <c r="F1074" s="366" t="s">
        <v>43</v>
      </c>
      <c r="G1074" s="348" t="str">
        <f>"'"&amp;$C1074&amp;"'!$E$68:$Y$68"</f>
        <v>'BLD_BT'!$E$68:$Y$68</v>
      </c>
      <c r="H1074" s="381">
        <f ca="1">IF(IFERROR(INDEX(DATA_PROPERTY_MASTER!$E$5:$E$21,MATCH($C1074,DATA_PROPERTY_MASTER!$A$5:$A$21,0))="Yes",FALSE),IFERROR(INDEX(INDIRECT("'"&amp;$C1074&amp;"'!$E$68:$Y$68"),1,MATCH($D1074,INDIRECT("'"&amp;$C1074&amp;"'!$E$12:$Y$12"),0)),0),0)</f>
        <v>45788.469015204973</v>
      </c>
      <c r="I1074" s="366" t="s">
        <v>1731</v>
      </c>
      <c r="J1074" s="348" t="str">
        <f t="shared" ca="1" si="32"/>
        <v>OK</v>
      </c>
      <c r="K1074" s="366" t="s">
        <v>1746</v>
      </c>
      <c r="L1074" s="366" t="s">
        <v>2264</v>
      </c>
      <c r="M1074" s="350" t="str">
        <f>IF($B1074="Portfolio","Portfolio",IFERROR(INDEX(DATA_ASSET_CLASSIFICATION!$B$8:$B$24,MATCH($C1074,DATA_ASSET_CLASSIFICATION!$A$8:$A$24,0)),"Review"))</f>
        <v>Beatrice Terrace</v>
      </c>
      <c r="N1074" s="350" t="str">
        <f ca="1">IF($B1074="Portfolio","Portfolio",IFERROR(INDEX(DATA_ASSET_CLASSIFICATION!$U$8:$U$24,MATCH($C1074,DATA_ASSET_CLASSIFICATION!$A$8:$A$24,0)),"Review"))</f>
        <v>Stable</v>
      </c>
      <c r="O1074" s="350" t="str">
        <f ca="1">IF($B1074="Portfolio","Portfolio",IFERROR(INDEX(DATA_ASSET_CLASSIFICATION!$AB$8:$AB$13,MATCH($N1074,DATA_ASSET_CLASSIFICATION!$AA$8:$AA$13,0)),"Review"))</f>
        <v>Bucket 2 · Legacy</v>
      </c>
      <c r="P1074" s="350" t="str">
        <f>IF($B1074="Portfolio","Portfolio",IFERROR(INDEX(DATA_ASSET_CLASSIFICATION!$C$8:$C$24,MATCH($C1074,DATA_ASSET_CLASSIFICATION!$A$8:$A$24,0)),"Review"))</f>
        <v>Yes</v>
      </c>
      <c r="Q1074" s="350" t="str">
        <f t="shared" ca="1" si="33"/>
        <v>OK</v>
      </c>
    </row>
    <row r="1075" spans="1:17">
      <c r="A1075" s="366" t="s">
        <v>3031</v>
      </c>
      <c r="B1075" s="366" t="s">
        <v>231</v>
      </c>
      <c r="C1075" s="348" t="str">
        <f>DATA_PROPERTY_MASTER!$A$7</f>
        <v>BLD_BT</v>
      </c>
      <c r="D1075" s="380">
        <f>'00_PORTFOLIO ROLLUP'!P$12</f>
        <v>2036</v>
      </c>
      <c r="E1075" s="366" t="s">
        <v>1741</v>
      </c>
      <c r="F1075" s="366" t="s">
        <v>1749</v>
      </c>
      <c r="G1075" s="348" t="str">
        <f>"'"&amp;$C1075&amp;"'!rows 56, 63, 68"</f>
        <v>'BLD_BT'!rows 56, 63, 68</v>
      </c>
      <c r="H1075" s="381">
        <f ca="1">IF(IFERROR(INDEX(DATA_PROPERTY_MASTER!$E$5:$E$21,MATCH($C1075,DATA_PROPERTY_MASTER!$A$5:$A$21,0))="Yes",FALSE),(IFERROR(INDEX(INDIRECT("'"&amp;$C1075&amp;"'!$E$56:$Y$56"),1,MATCH($D1075,INDIRECT("'"&amp;$C1075&amp;"'!$E$12:$Y$12"),0)),0)+MAX(IFERROR(INDEX(INDIRECT("'"&amp;$C1075&amp;"'!$E$63:$Y$63"),1,MATCH($D1075,INDIRECT("'"&amp;$C1075&amp;"'!$E$12:$Y$12"),0)),0),0))-(IFERROR(INDEX(INDIRECT("'"&amp;$C1075&amp;"'!$E$68:$Y$68"),1,MATCH($D1075,INDIRECT("'"&amp;$C1075&amp;"'!$E$12:$Y$12"),0)),0)),0)</f>
        <v>0</v>
      </c>
      <c r="I1075" s="366" t="s">
        <v>1750</v>
      </c>
      <c r="J1075" s="348" t="str">
        <f t="shared" ca="1" si="32"/>
        <v>OK</v>
      </c>
      <c r="K1075" s="366" t="s">
        <v>1751</v>
      </c>
      <c r="L1075" s="366" t="s">
        <v>2266</v>
      </c>
      <c r="M1075" s="350" t="str">
        <f>IF($B1075="Portfolio","Portfolio",IFERROR(INDEX(DATA_ASSET_CLASSIFICATION!$B$8:$B$24,MATCH($C1075,DATA_ASSET_CLASSIFICATION!$A$8:$A$24,0)),"Review"))</f>
        <v>Beatrice Terrace</v>
      </c>
      <c r="N1075" s="350" t="str">
        <f ca="1">IF($B1075="Portfolio","Portfolio",IFERROR(INDEX(DATA_ASSET_CLASSIFICATION!$U$8:$U$24,MATCH($C1075,DATA_ASSET_CLASSIFICATION!$A$8:$A$24,0)),"Review"))</f>
        <v>Stable</v>
      </c>
      <c r="O1075" s="350" t="str">
        <f ca="1">IF($B1075="Portfolio","Portfolio",IFERROR(INDEX(DATA_ASSET_CLASSIFICATION!$AB$8:$AB$13,MATCH($N1075,DATA_ASSET_CLASSIFICATION!$AA$8:$AA$13,0)),"Review"))</f>
        <v>Bucket 2 · Legacy</v>
      </c>
      <c r="P1075" s="350" t="str">
        <f>IF($B1075="Portfolio","Portfolio",IFERROR(INDEX(DATA_ASSET_CLASSIFICATION!$C$8:$C$24,MATCH($C1075,DATA_ASSET_CLASSIFICATION!$A$8:$A$24,0)),"Review"))</f>
        <v>Yes</v>
      </c>
      <c r="Q1075" s="350" t="str">
        <f t="shared" ca="1" si="33"/>
        <v>OK</v>
      </c>
    </row>
    <row r="1076" spans="1:17">
      <c r="A1076" s="366" t="s">
        <v>3032</v>
      </c>
      <c r="B1076" s="366" t="s">
        <v>231</v>
      </c>
      <c r="C1076" s="348" t="str">
        <f>DATA_PROPERTY_MASTER!$A$7</f>
        <v>BLD_BT</v>
      </c>
      <c r="D1076" s="380">
        <f>'00_PORTFOLIO ROLLUP'!Q$12</f>
        <v>2037</v>
      </c>
      <c r="E1076" s="366" t="s">
        <v>1683</v>
      </c>
      <c r="F1076" s="366" t="s">
        <v>341</v>
      </c>
      <c r="G1076" s="348" t="str">
        <f>"'"&amp;$C1076&amp;"'!$E$24:$Y$24"</f>
        <v>'BLD_BT'!$E$24:$Y$24</v>
      </c>
      <c r="H1076" s="381">
        <f ca="1">IF(IFERROR(INDEX(DATA_PROPERTY_MASTER!$E$5:$E$21,MATCH($C1076,DATA_PROPERTY_MASTER!$A$5:$A$21,0))="Yes",FALSE),IFERROR(INDEX(INDIRECT("'"&amp;$C1076&amp;"'!$E$24:$Y$24"),1,MATCH($D1076,INDIRECT("'"&amp;$C1076&amp;"'!$E$12:$Y$12"),0)),0),0)</f>
        <v>413087.0603410427</v>
      </c>
      <c r="I1076" s="366" t="s">
        <v>1685</v>
      </c>
      <c r="J1076" s="348" t="str">
        <f t="shared" ca="1" si="32"/>
        <v>OK</v>
      </c>
      <c r="K1076" s="366" t="s">
        <v>1686</v>
      </c>
      <c r="L1076" s="366" t="s">
        <v>2234</v>
      </c>
      <c r="M1076" s="350" t="str">
        <f>IF($B1076="Portfolio","Portfolio",IFERROR(INDEX(DATA_ASSET_CLASSIFICATION!$B$8:$B$24,MATCH($C1076,DATA_ASSET_CLASSIFICATION!$A$8:$A$24,0)),"Review"))</f>
        <v>Beatrice Terrace</v>
      </c>
      <c r="N1076" s="350" t="str">
        <f ca="1">IF($B1076="Portfolio","Portfolio",IFERROR(INDEX(DATA_ASSET_CLASSIFICATION!$U$8:$U$24,MATCH($C1076,DATA_ASSET_CLASSIFICATION!$A$8:$A$24,0)),"Review"))</f>
        <v>Stable</v>
      </c>
      <c r="O1076" s="350" t="str">
        <f ca="1">IF($B1076="Portfolio","Portfolio",IFERROR(INDEX(DATA_ASSET_CLASSIFICATION!$AB$8:$AB$13,MATCH($N1076,DATA_ASSET_CLASSIFICATION!$AA$8:$AA$13,0)),"Review"))</f>
        <v>Bucket 2 · Legacy</v>
      </c>
      <c r="P1076" s="350" t="str">
        <f>IF($B1076="Portfolio","Portfolio",IFERROR(INDEX(DATA_ASSET_CLASSIFICATION!$C$8:$C$24,MATCH($C1076,DATA_ASSET_CLASSIFICATION!$A$8:$A$24,0)),"Review"))</f>
        <v>Yes</v>
      </c>
      <c r="Q1076" s="350" t="str">
        <f t="shared" ca="1" si="33"/>
        <v>OK</v>
      </c>
    </row>
    <row r="1077" spans="1:17">
      <c r="A1077" s="366" t="s">
        <v>3033</v>
      </c>
      <c r="B1077" s="366" t="s">
        <v>231</v>
      </c>
      <c r="C1077" s="348" t="str">
        <f>DATA_PROPERTY_MASTER!$A$7</f>
        <v>BLD_BT</v>
      </c>
      <c r="D1077" s="380">
        <f>'00_PORTFOLIO ROLLUP'!Q$12</f>
        <v>2037</v>
      </c>
      <c r="E1077" s="366" t="s">
        <v>1683</v>
      </c>
      <c r="F1077" s="366" t="s">
        <v>355</v>
      </c>
      <c r="G1077" s="348" t="str">
        <f>"'"&amp;$C1077&amp;"'!$E$39:$Y$39"</f>
        <v>'BLD_BT'!$E$39:$Y$39</v>
      </c>
      <c r="H1077" s="381">
        <f ca="1">IF(IFERROR(INDEX(DATA_PROPERTY_MASTER!$E$5:$E$21,MATCH($C1077,DATA_PROPERTY_MASTER!$A$5:$A$21,0))="Yes",FALSE),IFERROR(INDEX(INDIRECT("'"&amp;$C1077&amp;"'!$E$39:$Y$39"),1,MATCH($D1077,INDIRECT("'"&amp;$C1077&amp;"'!$E$12:$Y$12"),0)),0),0)</f>
        <v>184451.27305987914</v>
      </c>
      <c r="I1077" s="366" t="s">
        <v>1690</v>
      </c>
      <c r="J1077" s="348" t="str">
        <f t="shared" ca="1" si="32"/>
        <v>OK</v>
      </c>
      <c r="K1077" s="366" t="s">
        <v>1686</v>
      </c>
      <c r="L1077" s="366" t="s">
        <v>2236</v>
      </c>
      <c r="M1077" s="350" t="str">
        <f>IF($B1077="Portfolio","Portfolio",IFERROR(INDEX(DATA_ASSET_CLASSIFICATION!$B$8:$B$24,MATCH($C1077,DATA_ASSET_CLASSIFICATION!$A$8:$A$24,0)),"Review"))</f>
        <v>Beatrice Terrace</v>
      </c>
      <c r="N1077" s="350" t="str">
        <f ca="1">IF($B1077="Portfolio","Portfolio",IFERROR(INDEX(DATA_ASSET_CLASSIFICATION!$U$8:$U$24,MATCH($C1077,DATA_ASSET_CLASSIFICATION!$A$8:$A$24,0)),"Review"))</f>
        <v>Stable</v>
      </c>
      <c r="O1077" s="350" t="str">
        <f ca="1">IF($B1077="Portfolio","Portfolio",IFERROR(INDEX(DATA_ASSET_CLASSIFICATION!$AB$8:$AB$13,MATCH($N1077,DATA_ASSET_CLASSIFICATION!$AA$8:$AA$13,0)),"Review"))</f>
        <v>Bucket 2 · Legacy</v>
      </c>
      <c r="P1077" s="350" t="str">
        <f>IF($B1077="Portfolio","Portfolio",IFERROR(INDEX(DATA_ASSET_CLASSIFICATION!$C$8:$C$24,MATCH($C1077,DATA_ASSET_CLASSIFICATION!$A$8:$A$24,0)),"Review"))</f>
        <v>Yes</v>
      </c>
      <c r="Q1077" s="350" t="str">
        <f t="shared" ca="1" si="33"/>
        <v>OK</v>
      </c>
    </row>
    <row r="1078" spans="1:17">
      <c r="A1078" s="366" t="s">
        <v>3034</v>
      </c>
      <c r="B1078" s="366" t="s">
        <v>231</v>
      </c>
      <c r="C1078" s="348" t="str">
        <f>DATA_PROPERTY_MASTER!$A$7</f>
        <v>BLD_BT</v>
      </c>
      <c r="D1078" s="380">
        <f>'00_PORTFOLIO ROLLUP'!Q$12</f>
        <v>2037</v>
      </c>
      <c r="E1078" s="366" t="s">
        <v>1683</v>
      </c>
      <c r="F1078" s="366" t="s">
        <v>19</v>
      </c>
      <c r="G1078" s="348" t="str">
        <f>"'"&amp;$C1078&amp;"'!$E$41:$Y$41"</f>
        <v>'BLD_BT'!$E$41:$Y$41</v>
      </c>
      <c r="H1078" s="381">
        <f ca="1">IF(IFERROR(INDEX(DATA_PROPERTY_MASTER!$E$5:$E$21,MATCH($C1078,DATA_PROPERTY_MASTER!$A$5:$A$21,0))="Yes",FALSE),IFERROR(INDEX(INDIRECT("'"&amp;$C1078&amp;"'!$E$41:$Y$41"),1,MATCH($D1078,INDIRECT("'"&amp;$C1078&amp;"'!$E$12:$Y$12"),0)),0),0)</f>
        <v>228635.78728116356</v>
      </c>
      <c r="I1078" s="366" t="s">
        <v>1685</v>
      </c>
      <c r="J1078" s="348" t="str">
        <f t="shared" ca="1" si="32"/>
        <v>OK</v>
      </c>
      <c r="K1078" s="366" t="s">
        <v>1694</v>
      </c>
      <c r="L1078" s="366" t="s">
        <v>2238</v>
      </c>
      <c r="M1078" s="350" t="str">
        <f>IF($B1078="Portfolio","Portfolio",IFERROR(INDEX(DATA_ASSET_CLASSIFICATION!$B$8:$B$24,MATCH($C1078,DATA_ASSET_CLASSIFICATION!$A$8:$A$24,0)),"Review"))</f>
        <v>Beatrice Terrace</v>
      </c>
      <c r="N1078" s="350" t="str">
        <f ca="1">IF($B1078="Portfolio","Portfolio",IFERROR(INDEX(DATA_ASSET_CLASSIFICATION!$U$8:$U$24,MATCH($C1078,DATA_ASSET_CLASSIFICATION!$A$8:$A$24,0)),"Review"))</f>
        <v>Stable</v>
      </c>
      <c r="O1078" s="350" t="str">
        <f ca="1">IF($B1078="Portfolio","Portfolio",IFERROR(INDEX(DATA_ASSET_CLASSIFICATION!$AB$8:$AB$13,MATCH($N1078,DATA_ASSET_CLASSIFICATION!$AA$8:$AA$13,0)),"Review"))</f>
        <v>Bucket 2 · Legacy</v>
      </c>
      <c r="P1078" s="350" t="str">
        <f>IF($B1078="Portfolio","Portfolio",IFERROR(INDEX(DATA_ASSET_CLASSIFICATION!$C$8:$C$24,MATCH($C1078,DATA_ASSET_CLASSIFICATION!$A$8:$A$24,0)),"Review"))</f>
        <v>Yes</v>
      </c>
      <c r="Q1078" s="350" t="str">
        <f t="shared" ca="1" si="33"/>
        <v>OK</v>
      </c>
    </row>
    <row r="1079" spans="1:17">
      <c r="A1079" s="366" t="s">
        <v>3035</v>
      </c>
      <c r="B1079" s="366" t="s">
        <v>231</v>
      </c>
      <c r="C1079" s="348" t="str">
        <f>DATA_PROPERTY_MASTER!$A$7</f>
        <v>BLD_BT</v>
      </c>
      <c r="D1079" s="380">
        <f>'00_PORTFOLIO ROLLUP'!Q$12</f>
        <v>2037</v>
      </c>
      <c r="E1079" s="366" t="s">
        <v>1683</v>
      </c>
      <c r="F1079" s="366" t="s">
        <v>1697</v>
      </c>
      <c r="G1079" s="348" t="str">
        <f>"'"&amp;$C1079&amp;"'!$E$44:$Y$44"</f>
        <v>'BLD_BT'!$E$44:$Y$44</v>
      </c>
      <c r="H1079" s="381">
        <f ca="1">IF(IFERROR(INDEX(DATA_PROPERTY_MASTER!$E$5:$E$21,MATCH($C1079,DATA_PROPERTY_MASTER!$A$5:$A$21,0))="Yes",FALSE),IFERROR(INDEX(INDIRECT("'"&amp;$C1079&amp;"'!$E$44:$Y$44"),1,MATCH($D1079,INDIRECT("'"&amp;$C1079&amp;"'!$E$12:$Y$12"),0)),0),0)</f>
        <v>3424.252845318872</v>
      </c>
      <c r="I1079" s="366" t="s">
        <v>1690</v>
      </c>
      <c r="J1079" s="348" t="str">
        <f t="shared" ca="1" si="32"/>
        <v>OK</v>
      </c>
      <c r="K1079" s="366" t="s">
        <v>1699</v>
      </c>
      <c r="L1079" s="366" t="s">
        <v>2240</v>
      </c>
      <c r="M1079" s="350" t="str">
        <f>IF($B1079="Portfolio","Portfolio",IFERROR(INDEX(DATA_ASSET_CLASSIFICATION!$B$8:$B$24,MATCH($C1079,DATA_ASSET_CLASSIFICATION!$A$8:$A$24,0)),"Review"))</f>
        <v>Beatrice Terrace</v>
      </c>
      <c r="N1079" s="350" t="str">
        <f ca="1">IF($B1079="Portfolio","Portfolio",IFERROR(INDEX(DATA_ASSET_CLASSIFICATION!$U$8:$U$24,MATCH($C1079,DATA_ASSET_CLASSIFICATION!$A$8:$A$24,0)),"Review"))</f>
        <v>Stable</v>
      </c>
      <c r="O1079" s="350" t="str">
        <f ca="1">IF($B1079="Portfolio","Portfolio",IFERROR(INDEX(DATA_ASSET_CLASSIFICATION!$AB$8:$AB$13,MATCH($N1079,DATA_ASSET_CLASSIFICATION!$AA$8:$AA$13,0)),"Review"))</f>
        <v>Bucket 2 · Legacy</v>
      </c>
      <c r="P1079" s="350" t="str">
        <f>IF($B1079="Portfolio","Portfolio",IFERROR(INDEX(DATA_ASSET_CLASSIFICATION!$C$8:$C$24,MATCH($C1079,DATA_ASSET_CLASSIFICATION!$A$8:$A$24,0)),"Review"))</f>
        <v>Yes</v>
      </c>
      <c r="Q1079" s="350" t="str">
        <f t="shared" ca="1" si="33"/>
        <v>OK</v>
      </c>
    </row>
    <row r="1080" spans="1:17">
      <c r="A1080" s="366" t="s">
        <v>3036</v>
      </c>
      <c r="B1080" s="366" t="s">
        <v>231</v>
      </c>
      <c r="C1080" s="348" t="str">
        <f>DATA_PROPERTY_MASTER!$A$7</f>
        <v>BLD_BT</v>
      </c>
      <c r="D1080" s="380">
        <f>'00_PORTFOLIO ROLLUP'!Q$12</f>
        <v>2037</v>
      </c>
      <c r="E1080" s="366" t="s">
        <v>1683</v>
      </c>
      <c r="F1080" s="366" t="s">
        <v>21</v>
      </c>
      <c r="G1080" s="348" t="str">
        <f>"'"&amp;$C1080&amp;"'!$E$45:$Y$45"</f>
        <v>'BLD_BT'!$E$45:$Y$45</v>
      </c>
      <c r="H1080" s="381">
        <f ca="1">IF(IFERROR(INDEX(DATA_PROPERTY_MASTER!$E$5:$E$21,MATCH($C1080,DATA_PROPERTY_MASTER!$A$5:$A$21,0))="Yes",FALSE),IFERROR(INDEX(INDIRECT("'"&amp;$C1080&amp;"'!$E$45:$Y$45"),1,MATCH($D1080,INDIRECT("'"&amp;$C1080&amp;"'!$E$12:$Y$12"),0)),0),0)</f>
        <v>225211.53443584469</v>
      </c>
      <c r="I1080" s="366" t="s">
        <v>1685</v>
      </c>
      <c r="J1080" s="348" t="str">
        <f t="shared" ca="1" si="32"/>
        <v>OK</v>
      </c>
      <c r="K1080" s="366" t="s">
        <v>1694</v>
      </c>
      <c r="L1080" s="366" t="s">
        <v>2242</v>
      </c>
      <c r="M1080" s="350" t="str">
        <f>IF($B1080="Portfolio","Portfolio",IFERROR(INDEX(DATA_ASSET_CLASSIFICATION!$B$8:$B$24,MATCH($C1080,DATA_ASSET_CLASSIFICATION!$A$8:$A$24,0)),"Review"))</f>
        <v>Beatrice Terrace</v>
      </c>
      <c r="N1080" s="350" t="str">
        <f ca="1">IF($B1080="Portfolio","Portfolio",IFERROR(INDEX(DATA_ASSET_CLASSIFICATION!$U$8:$U$24,MATCH($C1080,DATA_ASSET_CLASSIFICATION!$A$8:$A$24,0)),"Review"))</f>
        <v>Stable</v>
      </c>
      <c r="O1080" s="350" t="str">
        <f ca="1">IF($B1080="Portfolio","Portfolio",IFERROR(INDEX(DATA_ASSET_CLASSIFICATION!$AB$8:$AB$13,MATCH($N1080,DATA_ASSET_CLASSIFICATION!$AA$8:$AA$13,0)),"Review"))</f>
        <v>Bucket 2 · Legacy</v>
      </c>
      <c r="P1080" s="350" t="str">
        <f>IF($B1080="Portfolio","Portfolio",IFERROR(INDEX(DATA_ASSET_CLASSIFICATION!$C$8:$C$24,MATCH($C1080,DATA_ASSET_CLASSIFICATION!$A$8:$A$24,0)),"Review"))</f>
        <v>Yes</v>
      </c>
      <c r="Q1080" s="350" t="str">
        <f t="shared" ca="1" si="33"/>
        <v>OK</v>
      </c>
    </row>
    <row r="1081" spans="1:17">
      <c r="A1081" s="366" t="s">
        <v>3037</v>
      </c>
      <c r="B1081" s="366" t="s">
        <v>231</v>
      </c>
      <c r="C1081" s="348" t="str">
        <f>DATA_PROPERTY_MASTER!$A$7</f>
        <v>BLD_BT</v>
      </c>
      <c r="D1081" s="380">
        <f>'00_PORTFOLIO ROLLUP'!Q$12</f>
        <v>2037</v>
      </c>
      <c r="E1081" s="366" t="s">
        <v>23</v>
      </c>
      <c r="F1081" s="366" t="s">
        <v>23</v>
      </c>
      <c r="G1081" s="348" t="str">
        <f>"'"&amp;$C1081&amp;"'!$E$48:$Y$48"</f>
        <v>'BLD_BT'!$E$48:$Y$48</v>
      </c>
      <c r="H1081" s="381">
        <f ca="1">IF(IFERROR(INDEX(DATA_PROPERTY_MASTER!$E$5:$E$21,MATCH($C1081,DATA_PROPERTY_MASTER!$A$5:$A$21,0))="Yes",FALSE),IFERROR(INDEX(INDIRECT("'"&amp;$C1081&amp;"'!$E$48:$Y$48"),1,MATCH($D1081,INDIRECT("'"&amp;$C1081&amp;"'!$E$12:$Y$12"),0)),0),0)</f>
        <v>110563.68</v>
      </c>
      <c r="I1081" s="366" t="s">
        <v>1690</v>
      </c>
      <c r="J1081" s="348" t="str">
        <f t="shared" ca="1" si="32"/>
        <v>OK</v>
      </c>
      <c r="K1081" s="366" t="s">
        <v>1706</v>
      </c>
      <c r="L1081" s="366" t="s">
        <v>2244</v>
      </c>
      <c r="M1081" s="350" t="str">
        <f>IF($B1081="Portfolio","Portfolio",IFERROR(INDEX(DATA_ASSET_CLASSIFICATION!$B$8:$B$24,MATCH($C1081,DATA_ASSET_CLASSIFICATION!$A$8:$A$24,0)),"Review"))</f>
        <v>Beatrice Terrace</v>
      </c>
      <c r="N1081" s="350" t="str">
        <f ca="1">IF($B1081="Portfolio","Portfolio",IFERROR(INDEX(DATA_ASSET_CLASSIFICATION!$U$8:$U$24,MATCH($C1081,DATA_ASSET_CLASSIFICATION!$A$8:$A$24,0)),"Review"))</f>
        <v>Stable</v>
      </c>
      <c r="O1081" s="350" t="str">
        <f ca="1">IF($B1081="Portfolio","Portfolio",IFERROR(INDEX(DATA_ASSET_CLASSIFICATION!$AB$8:$AB$13,MATCH($N1081,DATA_ASSET_CLASSIFICATION!$AA$8:$AA$13,0)),"Review"))</f>
        <v>Bucket 2 · Legacy</v>
      </c>
      <c r="P1081" s="350" t="str">
        <f>IF($B1081="Portfolio","Portfolio",IFERROR(INDEX(DATA_ASSET_CLASSIFICATION!$C$8:$C$24,MATCH($C1081,DATA_ASSET_CLASSIFICATION!$A$8:$A$24,0)),"Review"))</f>
        <v>Yes</v>
      </c>
      <c r="Q1081" s="350" t="str">
        <f t="shared" ca="1" si="33"/>
        <v>OK</v>
      </c>
    </row>
    <row r="1082" spans="1:17">
      <c r="A1082" s="366" t="s">
        <v>3038</v>
      </c>
      <c r="B1082" s="366" t="s">
        <v>231</v>
      </c>
      <c r="C1082" s="348" t="str">
        <f>DATA_PROPERTY_MASTER!$A$7</f>
        <v>BLD_BT</v>
      </c>
      <c r="D1082" s="380">
        <f>'00_PORTFOLIO ROLLUP'!Q$12</f>
        <v>2037</v>
      </c>
      <c r="E1082" s="366" t="s">
        <v>1683</v>
      </c>
      <c r="F1082" s="366" t="s">
        <v>25</v>
      </c>
      <c r="G1082" s="348" t="str">
        <f>"'"&amp;$C1082&amp;"'!$E$52:$Y$52"</f>
        <v>'BLD_BT'!$E$52:$Y$52</v>
      </c>
      <c r="H1082" s="381">
        <f ca="1">IF(IFERROR(INDEX(DATA_PROPERTY_MASTER!$E$5:$E$21,MATCH($C1082,DATA_PROPERTY_MASTER!$A$5:$A$21,0))="Yes",FALSE),IFERROR(INDEX(INDIRECT("'"&amp;$C1082&amp;"'!$E$52:$Y$52"),1,MATCH($D1082,INDIRECT("'"&amp;$C1082&amp;"'!$E$12:$Y$12"),0)),0),0)</f>
        <v>118072.10728116357</v>
      </c>
      <c r="I1082" s="366" t="s">
        <v>1685</v>
      </c>
      <c r="J1082" s="348" t="str">
        <f t="shared" ca="1" si="32"/>
        <v>OK</v>
      </c>
      <c r="K1082" s="366" t="s">
        <v>1710</v>
      </c>
      <c r="L1082" s="366" t="s">
        <v>2246</v>
      </c>
      <c r="M1082" s="350" t="str">
        <f>IF($B1082="Portfolio","Portfolio",IFERROR(INDEX(DATA_ASSET_CLASSIFICATION!$B$8:$B$24,MATCH($C1082,DATA_ASSET_CLASSIFICATION!$A$8:$A$24,0)),"Review"))</f>
        <v>Beatrice Terrace</v>
      </c>
      <c r="N1082" s="350" t="str">
        <f ca="1">IF($B1082="Portfolio","Portfolio",IFERROR(INDEX(DATA_ASSET_CLASSIFICATION!$U$8:$U$24,MATCH($C1082,DATA_ASSET_CLASSIFICATION!$A$8:$A$24,0)),"Review"))</f>
        <v>Stable</v>
      </c>
      <c r="O1082" s="350" t="str">
        <f ca="1">IF($B1082="Portfolio","Portfolio",IFERROR(INDEX(DATA_ASSET_CLASSIFICATION!$AB$8:$AB$13,MATCH($N1082,DATA_ASSET_CLASSIFICATION!$AA$8:$AA$13,0)),"Review"))</f>
        <v>Bucket 2 · Legacy</v>
      </c>
      <c r="P1082" s="350" t="str">
        <f>IF($B1082="Portfolio","Portfolio",IFERROR(INDEX(DATA_ASSET_CLASSIFICATION!$C$8:$C$24,MATCH($C1082,DATA_ASSET_CLASSIFICATION!$A$8:$A$24,0)),"Review"))</f>
        <v>Yes</v>
      </c>
      <c r="Q1082" s="350" t="str">
        <f t="shared" ca="1" si="33"/>
        <v>OK</v>
      </c>
    </row>
    <row r="1083" spans="1:17">
      <c r="A1083" s="366" t="s">
        <v>3039</v>
      </c>
      <c r="B1083" s="366" t="s">
        <v>231</v>
      </c>
      <c r="C1083" s="348" t="str">
        <f>DATA_PROPERTY_MASTER!$A$7</f>
        <v>BLD_BT</v>
      </c>
      <c r="D1083" s="380">
        <f>'00_PORTFOLIO ROLLUP'!Q$12</f>
        <v>2037</v>
      </c>
      <c r="E1083" s="366" t="s">
        <v>1683</v>
      </c>
      <c r="F1083" s="366" t="s">
        <v>27</v>
      </c>
      <c r="G1083" s="348" t="str">
        <f>"'"&amp;$C1083&amp;"'!$E$54:$Y$54"</f>
        <v>'BLD_BT'!$E$54:$Y$54</v>
      </c>
      <c r="H1083" s="381">
        <f ca="1">IF(IFERROR(INDEX(DATA_PROPERTY_MASTER!$E$5:$E$21,MATCH($C1083,DATA_PROPERTY_MASTER!$A$5:$A$21,0))="Yes",FALSE),IFERROR(INDEX(INDIRECT("'"&amp;$C1083&amp;"'!$E$54:$Y$54"),1,MATCH($D1083,INDIRECT("'"&amp;$C1083&amp;"'!$E$12:$Y$12"),0)),0),0)</f>
        <v>70843.264368698132</v>
      </c>
      <c r="I1083" s="366" t="s">
        <v>1690</v>
      </c>
      <c r="J1083" s="348" t="str">
        <f t="shared" ca="1" si="32"/>
        <v>OK</v>
      </c>
      <c r="K1083" s="366" t="s">
        <v>1714</v>
      </c>
      <c r="L1083" s="366" t="s">
        <v>2248</v>
      </c>
      <c r="M1083" s="350" t="str">
        <f>IF($B1083="Portfolio","Portfolio",IFERROR(INDEX(DATA_ASSET_CLASSIFICATION!$B$8:$B$24,MATCH($C1083,DATA_ASSET_CLASSIFICATION!$A$8:$A$24,0)),"Review"))</f>
        <v>Beatrice Terrace</v>
      </c>
      <c r="N1083" s="350" t="str">
        <f ca="1">IF($B1083="Portfolio","Portfolio",IFERROR(INDEX(DATA_ASSET_CLASSIFICATION!$U$8:$U$24,MATCH($C1083,DATA_ASSET_CLASSIFICATION!$A$8:$A$24,0)),"Review"))</f>
        <v>Stable</v>
      </c>
      <c r="O1083" s="350" t="str">
        <f ca="1">IF($B1083="Portfolio","Portfolio",IFERROR(INDEX(DATA_ASSET_CLASSIFICATION!$AB$8:$AB$13,MATCH($N1083,DATA_ASSET_CLASSIFICATION!$AA$8:$AA$13,0)),"Review"))</f>
        <v>Bucket 2 · Legacy</v>
      </c>
      <c r="P1083" s="350" t="str">
        <f>IF($B1083="Portfolio","Portfolio",IFERROR(INDEX(DATA_ASSET_CLASSIFICATION!$C$8:$C$24,MATCH($C1083,DATA_ASSET_CLASSIFICATION!$A$8:$A$24,0)),"Review"))</f>
        <v>Yes</v>
      </c>
      <c r="Q1083" s="350" t="str">
        <f t="shared" ca="1" si="33"/>
        <v>OK</v>
      </c>
    </row>
    <row r="1084" spans="1:17">
      <c r="A1084" s="366" t="s">
        <v>3040</v>
      </c>
      <c r="B1084" s="366" t="s">
        <v>231</v>
      </c>
      <c r="C1084" s="348" t="str">
        <f>DATA_PROPERTY_MASTER!$A$7</f>
        <v>BLD_BT</v>
      </c>
      <c r="D1084" s="380">
        <f>'00_PORTFOLIO ROLLUP'!Q$12</f>
        <v>2037</v>
      </c>
      <c r="E1084" s="366" t="s">
        <v>1683</v>
      </c>
      <c r="F1084" s="366" t="s">
        <v>29</v>
      </c>
      <c r="G1084" s="348" t="str">
        <f>"'"&amp;$C1084&amp;"'!$E$56:$Y$56"</f>
        <v>'BLD_BT'!$E$56:$Y$56</v>
      </c>
      <c r="H1084" s="381">
        <f ca="1">IF(IFERROR(INDEX(DATA_PROPERTY_MASTER!$E$5:$E$21,MATCH($C1084,DATA_PROPERTY_MASTER!$A$5:$A$21,0))="Yes",FALSE),IFERROR(INDEX(INDIRECT("'"&amp;$C1084&amp;"'!$E$56:$Y$56"),1,MATCH($D1084,INDIRECT("'"&amp;$C1084&amp;"'!$E$12:$Y$12"),0)),0),0)</f>
        <v>47228.842912465436</v>
      </c>
      <c r="I1084" s="366" t="s">
        <v>1685</v>
      </c>
      <c r="J1084" s="348" t="str">
        <f t="shared" ca="1" si="32"/>
        <v>OK</v>
      </c>
      <c r="K1084" s="366" t="s">
        <v>1718</v>
      </c>
      <c r="L1084" s="366" t="s">
        <v>2250</v>
      </c>
      <c r="M1084" s="350" t="str">
        <f>IF($B1084="Portfolio","Portfolio",IFERROR(INDEX(DATA_ASSET_CLASSIFICATION!$B$8:$B$24,MATCH($C1084,DATA_ASSET_CLASSIFICATION!$A$8:$A$24,0)),"Review"))</f>
        <v>Beatrice Terrace</v>
      </c>
      <c r="N1084" s="350" t="str">
        <f ca="1">IF($B1084="Portfolio","Portfolio",IFERROR(INDEX(DATA_ASSET_CLASSIFICATION!$U$8:$U$24,MATCH($C1084,DATA_ASSET_CLASSIFICATION!$A$8:$A$24,0)),"Review"))</f>
        <v>Stable</v>
      </c>
      <c r="O1084" s="350" t="str">
        <f ca="1">IF($B1084="Portfolio","Portfolio",IFERROR(INDEX(DATA_ASSET_CLASSIFICATION!$AB$8:$AB$13,MATCH($N1084,DATA_ASSET_CLASSIFICATION!$AA$8:$AA$13,0)),"Review"))</f>
        <v>Bucket 2 · Legacy</v>
      </c>
      <c r="P1084" s="350" t="str">
        <f>IF($B1084="Portfolio","Portfolio",IFERROR(INDEX(DATA_ASSET_CLASSIFICATION!$C$8:$C$24,MATCH($C1084,DATA_ASSET_CLASSIFICATION!$A$8:$A$24,0)),"Review"))</f>
        <v>Yes</v>
      </c>
      <c r="Q1084" s="350" t="str">
        <f t="shared" ca="1" si="33"/>
        <v>OK</v>
      </c>
    </row>
    <row r="1085" spans="1:17">
      <c r="A1085" s="366" t="s">
        <v>3041</v>
      </c>
      <c r="B1085" s="366" t="s">
        <v>231</v>
      </c>
      <c r="C1085" s="348" t="str">
        <f>DATA_PROPERTY_MASTER!$A$7</f>
        <v>BLD_BT</v>
      </c>
      <c r="D1085" s="380">
        <f>'00_PORTFOLIO ROLLUP'!Q$12</f>
        <v>2037</v>
      </c>
      <c r="E1085" s="366" t="s">
        <v>1721</v>
      </c>
      <c r="F1085" s="366" t="s">
        <v>31</v>
      </c>
      <c r="G1085" s="348" t="str">
        <f>"'"&amp;$C1085&amp;"'!$E$61:$Y$61"</f>
        <v>'BLD_BT'!$E$61:$Y$61</v>
      </c>
      <c r="H1085" s="381">
        <f ca="1">IF(IFERROR(INDEX(DATA_PROPERTY_MASTER!$E$5:$E$21,MATCH($C1085,DATA_PROPERTY_MASTER!$A$5:$A$21,0))="Yes",FALSE),IFERROR(INDEX(INDIRECT("'"&amp;$C1085&amp;"'!$E$61:$Y$61"),1,MATCH($D1085,INDIRECT("'"&amp;$C1085&amp;"'!$E$12:$Y$12"),0)),0),0)</f>
        <v>0</v>
      </c>
      <c r="I1085" s="366" t="s">
        <v>1690</v>
      </c>
      <c r="J1085" s="348" t="str">
        <f t="shared" ca="1" si="32"/>
        <v>OK</v>
      </c>
      <c r="K1085" s="366" t="s">
        <v>1723</v>
      </c>
      <c r="L1085" s="366" t="s">
        <v>2252</v>
      </c>
      <c r="M1085" s="350" t="str">
        <f>IF($B1085="Portfolio","Portfolio",IFERROR(INDEX(DATA_ASSET_CLASSIFICATION!$B$8:$B$24,MATCH($C1085,DATA_ASSET_CLASSIFICATION!$A$8:$A$24,0)),"Review"))</f>
        <v>Beatrice Terrace</v>
      </c>
      <c r="N1085" s="350" t="str">
        <f ca="1">IF($B1085="Portfolio","Portfolio",IFERROR(INDEX(DATA_ASSET_CLASSIFICATION!$U$8:$U$24,MATCH($C1085,DATA_ASSET_CLASSIFICATION!$A$8:$A$24,0)),"Review"))</f>
        <v>Stable</v>
      </c>
      <c r="O1085" s="350" t="str">
        <f ca="1">IF($B1085="Portfolio","Portfolio",IFERROR(INDEX(DATA_ASSET_CLASSIFICATION!$AB$8:$AB$13,MATCH($N1085,DATA_ASSET_CLASSIFICATION!$AA$8:$AA$13,0)),"Review"))</f>
        <v>Bucket 2 · Legacy</v>
      </c>
      <c r="P1085" s="350" t="str">
        <f>IF($B1085="Portfolio","Portfolio",IFERROR(INDEX(DATA_ASSET_CLASSIFICATION!$C$8:$C$24,MATCH($C1085,DATA_ASSET_CLASSIFICATION!$A$8:$A$24,0)),"Review"))</f>
        <v>Yes</v>
      </c>
      <c r="Q1085" s="350" t="str">
        <f t="shared" ca="1" si="33"/>
        <v>OK</v>
      </c>
    </row>
    <row r="1086" spans="1:17">
      <c r="A1086" s="366" t="s">
        <v>3042</v>
      </c>
      <c r="B1086" s="366" t="s">
        <v>231</v>
      </c>
      <c r="C1086" s="348" t="str">
        <f>DATA_PROPERTY_MASTER!$A$7</f>
        <v>BLD_BT</v>
      </c>
      <c r="D1086" s="380">
        <f>'00_PORTFOLIO ROLLUP'!Q$12</f>
        <v>2037</v>
      </c>
      <c r="E1086" s="366" t="s">
        <v>1721</v>
      </c>
      <c r="F1086" s="366" t="s">
        <v>33</v>
      </c>
      <c r="G1086" s="348" t="str">
        <f>"'"&amp;$C1086&amp;"'!$E$62:$Y$62"</f>
        <v>'BLD_BT'!$E$62:$Y$62</v>
      </c>
      <c r="H1086" s="381">
        <f ca="1">IF(IFERROR(INDEX(DATA_PROPERTY_MASTER!$E$5:$E$21,MATCH($C1086,DATA_PROPERTY_MASTER!$A$5:$A$21,0))="Yes",FALSE),IFERROR(INDEX(INDIRECT("'"&amp;$C1086&amp;"'!$E$62:$Y$62"),1,MATCH($D1086,INDIRECT("'"&amp;$C1086&amp;"'!$E$12:$Y$12"),0)),0),0)</f>
        <v>0</v>
      </c>
      <c r="I1086" s="366" t="s">
        <v>1685</v>
      </c>
      <c r="J1086" s="348" t="str">
        <f t="shared" ca="1" si="32"/>
        <v>OK</v>
      </c>
      <c r="K1086" s="366" t="s">
        <v>1727</v>
      </c>
      <c r="L1086" s="366" t="s">
        <v>2254</v>
      </c>
      <c r="M1086" s="350" t="str">
        <f>IF($B1086="Portfolio","Portfolio",IFERROR(INDEX(DATA_ASSET_CLASSIFICATION!$B$8:$B$24,MATCH($C1086,DATA_ASSET_CLASSIFICATION!$A$8:$A$24,0)),"Review"))</f>
        <v>Beatrice Terrace</v>
      </c>
      <c r="N1086" s="350" t="str">
        <f ca="1">IF($B1086="Portfolio","Portfolio",IFERROR(INDEX(DATA_ASSET_CLASSIFICATION!$U$8:$U$24,MATCH($C1086,DATA_ASSET_CLASSIFICATION!$A$8:$A$24,0)),"Review"))</f>
        <v>Stable</v>
      </c>
      <c r="O1086" s="350" t="str">
        <f ca="1">IF($B1086="Portfolio","Portfolio",IFERROR(INDEX(DATA_ASSET_CLASSIFICATION!$AB$8:$AB$13,MATCH($N1086,DATA_ASSET_CLASSIFICATION!$AA$8:$AA$13,0)),"Review"))</f>
        <v>Bucket 2 · Legacy</v>
      </c>
      <c r="P1086" s="350" t="str">
        <f>IF($B1086="Portfolio","Portfolio",IFERROR(INDEX(DATA_ASSET_CLASSIFICATION!$C$8:$C$24,MATCH($C1086,DATA_ASSET_CLASSIFICATION!$A$8:$A$24,0)),"Review"))</f>
        <v>Yes</v>
      </c>
      <c r="Q1086" s="350" t="str">
        <f t="shared" ca="1" si="33"/>
        <v>OK</v>
      </c>
    </row>
    <row r="1087" spans="1:17">
      <c r="A1087" s="366" t="s">
        <v>3043</v>
      </c>
      <c r="B1087" s="366" t="s">
        <v>231</v>
      </c>
      <c r="C1087" s="348" t="str">
        <f>DATA_PROPERTY_MASTER!$A$7</f>
        <v>BLD_BT</v>
      </c>
      <c r="D1087" s="380">
        <f>'00_PORTFOLIO ROLLUP'!Q$12</f>
        <v>2037</v>
      </c>
      <c r="E1087" s="366" t="s">
        <v>1721</v>
      </c>
      <c r="F1087" s="366" t="s">
        <v>35</v>
      </c>
      <c r="G1087" s="348" t="str">
        <f>"'"&amp;$C1087&amp;"'!$E$63:$Y$63"</f>
        <v>'BLD_BT'!$E$63:$Y$63</v>
      </c>
      <c r="H1087" s="381">
        <f ca="1">IF(IFERROR(INDEX(DATA_PROPERTY_MASTER!$E$5:$E$21,MATCH($C1087,DATA_PROPERTY_MASTER!$A$5:$A$21,0))="Yes",FALSE),IFERROR(INDEX(INDIRECT("'"&amp;$C1087&amp;"'!$E$63:$Y$63"),1,MATCH($D1087,INDIRECT("'"&amp;$C1087&amp;"'!$E$12:$Y$12"),0)),0),0)</f>
        <v>0</v>
      </c>
      <c r="I1087" s="366" t="s">
        <v>1731</v>
      </c>
      <c r="J1087" s="348" t="str">
        <f t="shared" ca="1" si="32"/>
        <v>OK</v>
      </c>
      <c r="K1087" s="366" t="s">
        <v>1732</v>
      </c>
      <c r="L1087" s="366" t="s">
        <v>2256</v>
      </c>
      <c r="M1087" s="350" t="str">
        <f>IF($B1087="Portfolio","Portfolio",IFERROR(INDEX(DATA_ASSET_CLASSIFICATION!$B$8:$B$24,MATCH($C1087,DATA_ASSET_CLASSIFICATION!$A$8:$A$24,0)),"Review"))</f>
        <v>Beatrice Terrace</v>
      </c>
      <c r="N1087" s="350" t="str">
        <f ca="1">IF($B1087="Portfolio","Portfolio",IFERROR(INDEX(DATA_ASSET_CLASSIFICATION!$U$8:$U$24,MATCH($C1087,DATA_ASSET_CLASSIFICATION!$A$8:$A$24,0)),"Review"))</f>
        <v>Stable</v>
      </c>
      <c r="O1087" s="350" t="str">
        <f ca="1">IF($B1087="Portfolio","Portfolio",IFERROR(INDEX(DATA_ASSET_CLASSIFICATION!$AB$8:$AB$13,MATCH($N1087,DATA_ASSET_CLASSIFICATION!$AA$8:$AA$13,0)),"Review"))</f>
        <v>Bucket 2 · Legacy</v>
      </c>
      <c r="P1087" s="350" t="str">
        <f>IF($B1087="Portfolio","Portfolio",IFERROR(INDEX(DATA_ASSET_CLASSIFICATION!$C$8:$C$24,MATCH($C1087,DATA_ASSET_CLASSIFICATION!$A$8:$A$24,0)),"Review"))</f>
        <v>Yes</v>
      </c>
      <c r="Q1087" s="350" t="str">
        <f t="shared" ca="1" si="33"/>
        <v>OK</v>
      </c>
    </row>
    <row r="1088" spans="1:17">
      <c r="A1088" s="366" t="s">
        <v>3044</v>
      </c>
      <c r="B1088" s="366" t="s">
        <v>231</v>
      </c>
      <c r="C1088" s="348" t="str">
        <f>DATA_PROPERTY_MASTER!$A$7</f>
        <v>BLD_BT</v>
      </c>
      <c r="D1088" s="380">
        <f>'00_PORTFOLIO ROLLUP'!Q$12</f>
        <v>2037</v>
      </c>
      <c r="E1088" s="366" t="s">
        <v>1721</v>
      </c>
      <c r="F1088" s="366" t="s">
        <v>37</v>
      </c>
      <c r="G1088" s="348" t="str">
        <f>"'"&amp;$C1088&amp;"'!$E$63:$Y$63"</f>
        <v>'BLD_BT'!$E$63:$Y$63</v>
      </c>
      <c r="H1088" s="381">
        <f ca="1">IF(IFERROR(INDEX(DATA_PROPERTY_MASTER!$E$5:$E$21,MATCH($C1088,DATA_PROPERTY_MASTER!$A$5:$A$21,0))="Yes",FALSE),MAX(IFERROR(INDEX(INDIRECT("'"&amp;$C1088&amp;"'!$E$63:$Y$63"),1,MATCH($D1088,INDIRECT("'"&amp;$C1088&amp;"'!$E$12:$Y$12"),0)),0),0),0)</f>
        <v>0</v>
      </c>
      <c r="I1088" s="366" t="s">
        <v>1685</v>
      </c>
      <c r="J1088" s="348" t="str">
        <f t="shared" ca="1" si="32"/>
        <v>OK</v>
      </c>
      <c r="K1088" s="366" t="s">
        <v>1735</v>
      </c>
      <c r="L1088" s="366" t="s">
        <v>2258</v>
      </c>
      <c r="M1088" s="350" t="str">
        <f>IF($B1088="Portfolio","Portfolio",IFERROR(INDEX(DATA_ASSET_CLASSIFICATION!$B$8:$B$24,MATCH($C1088,DATA_ASSET_CLASSIFICATION!$A$8:$A$24,0)),"Review"))</f>
        <v>Beatrice Terrace</v>
      </c>
      <c r="N1088" s="350" t="str">
        <f ca="1">IF($B1088="Portfolio","Portfolio",IFERROR(INDEX(DATA_ASSET_CLASSIFICATION!$U$8:$U$24,MATCH($C1088,DATA_ASSET_CLASSIFICATION!$A$8:$A$24,0)),"Review"))</f>
        <v>Stable</v>
      </c>
      <c r="O1088" s="350" t="str">
        <f ca="1">IF($B1088="Portfolio","Portfolio",IFERROR(INDEX(DATA_ASSET_CLASSIFICATION!$AB$8:$AB$13,MATCH($N1088,DATA_ASSET_CLASSIFICATION!$AA$8:$AA$13,0)),"Review"))</f>
        <v>Bucket 2 · Legacy</v>
      </c>
      <c r="P1088" s="350" t="str">
        <f>IF($B1088="Portfolio","Portfolio",IFERROR(INDEX(DATA_ASSET_CLASSIFICATION!$C$8:$C$24,MATCH($C1088,DATA_ASSET_CLASSIFICATION!$A$8:$A$24,0)),"Review"))</f>
        <v>Yes</v>
      </c>
      <c r="Q1088" s="350" t="str">
        <f t="shared" ca="1" si="33"/>
        <v>OK</v>
      </c>
    </row>
    <row r="1089" spans="1:17">
      <c r="A1089" s="366" t="s">
        <v>3045</v>
      </c>
      <c r="B1089" s="366" t="s">
        <v>231</v>
      </c>
      <c r="C1089" s="348" t="str">
        <f>DATA_PROPERTY_MASTER!$A$7</f>
        <v>BLD_BT</v>
      </c>
      <c r="D1089" s="380">
        <f>'00_PORTFOLIO ROLLUP'!Q$12</f>
        <v>2037</v>
      </c>
      <c r="E1089" s="366" t="s">
        <v>1721</v>
      </c>
      <c r="F1089" s="366" t="s">
        <v>39</v>
      </c>
      <c r="G1089" s="348" t="str">
        <f>"'"&amp;$C1089&amp;"'!$E$63:$Y$63"</f>
        <v>'BLD_BT'!$E$63:$Y$63</v>
      </c>
      <c r="H1089" s="381">
        <f ca="1">IF(IFERROR(INDEX(DATA_PROPERTY_MASTER!$E$5:$E$21,MATCH($C1089,DATA_PROPERTY_MASTER!$A$5:$A$21,0))="Yes",FALSE),MAX(-IFERROR(INDEX(INDIRECT("'"&amp;$C1089&amp;"'!$E$63:$Y$63"),1,MATCH($D1089,INDIRECT("'"&amp;$C1089&amp;"'!$E$12:$Y$12"),0)),0),0),0)</f>
        <v>0</v>
      </c>
      <c r="I1089" s="366" t="s">
        <v>1690</v>
      </c>
      <c r="J1089" s="348" t="str">
        <f t="shared" ca="1" si="32"/>
        <v>OK</v>
      </c>
      <c r="K1089" s="366" t="s">
        <v>1738</v>
      </c>
      <c r="L1089" s="366" t="s">
        <v>2260</v>
      </c>
      <c r="M1089" s="350" t="str">
        <f>IF($B1089="Portfolio","Portfolio",IFERROR(INDEX(DATA_ASSET_CLASSIFICATION!$B$8:$B$24,MATCH($C1089,DATA_ASSET_CLASSIFICATION!$A$8:$A$24,0)),"Review"))</f>
        <v>Beatrice Terrace</v>
      </c>
      <c r="N1089" s="350" t="str">
        <f ca="1">IF($B1089="Portfolio","Portfolio",IFERROR(INDEX(DATA_ASSET_CLASSIFICATION!$U$8:$U$24,MATCH($C1089,DATA_ASSET_CLASSIFICATION!$A$8:$A$24,0)),"Review"))</f>
        <v>Stable</v>
      </c>
      <c r="O1089" s="350" t="str">
        <f ca="1">IF($B1089="Portfolio","Portfolio",IFERROR(INDEX(DATA_ASSET_CLASSIFICATION!$AB$8:$AB$13,MATCH($N1089,DATA_ASSET_CLASSIFICATION!$AA$8:$AA$13,0)),"Review"))</f>
        <v>Bucket 2 · Legacy</v>
      </c>
      <c r="P1089" s="350" t="str">
        <f>IF($B1089="Portfolio","Portfolio",IFERROR(INDEX(DATA_ASSET_CLASSIFICATION!$C$8:$C$24,MATCH($C1089,DATA_ASSET_CLASSIFICATION!$A$8:$A$24,0)),"Review"))</f>
        <v>Yes</v>
      </c>
      <c r="Q1089" s="350" t="str">
        <f t="shared" ca="1" si="33"/>
        <v>OK</v>
      </c>
    </row>
    <row r="1090" spans="1:17">
      <c r="A1090" s="366" t="s">
        <v>3046</v>
      </c>
      <c r="B1090" s="366" t="s">
        <v>231</v>
      </c>
      <c r="C1090" s="348" t="str">
        <f>DATA_PROPERTY_MASTER!$A$7</f>
        <v>BLD_BT</v>
      </c>
      <c r="D1090" s="380">
        <f>'00_PORTFOLIO ROLLUP'!Q$12</f>
        <v>2037</v>
      </c>
      <c r="E1090" s="366" t="s">
        <v>1741</v>
      </c>
      <c r="F1090" s="366" t="s">
        <v>41</v>
      </c>
      <c r="G1090" s="348" t="str">
        <f>"'"&amp;$C1090&amp;"'!rows 56 + positive row 63"</f>
        <v>'BLD_BT'!rows 56 + positive row 63</v>
      </c>
      <c r="H1090" s="381">
        <f ca="1">IF(IFERROR(INDEX(DATA_PROPERTY_MASTER!$E$5:$E$21,MATCH($C1090,DATA_PROPERTY_MASTER!$A$5:$A$21,0))="Yes",FALSE),IFERROR(INDEX(INDIRECT("'"&amp;$C1090&amp;"'!$E$56:$Y$56"),1,MATCH($D1090,INDIRECT("'"&amp;$C1090&amp;"'!$E$12:$Y$12"),0)),0)+MAX(IFERROR(INDEX(INDIRECT("'"&amp;$C1090&amp;"'!$E$63:$Y$63"),1,MATCH($D1090,INDIRECT("'"&amp;$C1090&amp;"'!$E$12:$Y$12"),0)),0),0),0)</f>
        <v>47228.842912465436</v>
      </c>
      <c r="I1090" s="366" t="s">
        <v>1685</v>
      </c>
      <c r="J1090" s="348" t="str">
        <f t="shared" ca="1" si="32"/>
        <v>OK</v>
      </c>
      <c r="K1090" s="366" t="s">
        <v>1742</v>
      </c>
      <c r="L1090" s="366" t="s">
        <v>2262</v>
      </c>
      <c r="M1090" s="350" t="str">
        <f>IF($B1090="Portfolio","Portfolio",IFERROR(INDEX(DATA_ASSET_CLASSIFICATION!$B$8:$B$24,MATCH($C1090,DATA_ASSET_CLASSIFICATION!$A$8:$A$24,0)),"Review"))</f>
        <v>Beatrice Terrace</v>
      </c>
      <c r="N1090" s="350" t="str">
        <f ca="1">IF($B1090="Portfolio","Portfolio",IFERROR(INDEX(DATA_ASSET_CLASSIFICATION!$U$8:$U$24,MATCH($C1090,DATA_ASSET_CLASSIFICATION!$A$8:$A$24,0)),"Review"))</f>
        <v>Stable</v>
      </c>
      <c r="O1090" s="350" t="str">
        <f ca="1">IF($B1090="Portfolio","Portfolio",IFERROR(INDEX(DATA_ASSET_CLASSIFICATION!$AB$8:$AB$13,MATCH($N1090,DATA_ASSET_CLASSIFICATION!$AA$8:$AA$13,0)),"Review"))</f>
        <v>Bucket 2 · Legacy</v>
      </c>
      <c r="P1090" s="350" t="str">
        <f>IF($B1090="Portfolio","Portfolio",IFERROR(INDEX(DATA_ASSET_CLASSIFICATION!$C$8:$C$24,MATCH($C1090,DATA_ASSET_CLASSIFICATION!$A$8:$A$24,0)),"Review"))</f>
        <v>Yes</v>
      </c>
      <c r="Q1090" s="350" t="str">
        <f t="shared" ca="1" si="33"/>
        <v>OK</v>
      </c>
    </row>
    <row r="1091" spans="1:17">
      <c r="A1091" s="366" t="s">
        <v>3047</v>
      </c>
      <c r="B1091" s="366" t="s">
        <v>231</v>
      </c>
      <c r="C1091" s="348" t="str">
        <f>DATA_PROPERTY_MASTER!$A$7</f>
        <v>BLD_BT</v>
      </c>
      <c r="D1091" s="380">
        <f>'00_PORTFOLIO ROLLUP'!Q$12</f>
        <v>2037</v>
      </c>
      <c r="E1091" s="366" t="s">
        <v>1741</v>
      </c>
      <c r="F1091" s="366" t="s">
        <v>43</v>
      </c>
      <c r="G1091" s="348" t="str">
        <f>"'"&amp;$C1091&amp;"'!$E$68:$Y$68"</f>
        <v>'BLD_BT'!$E$68:$Y$68</v>
      </c>
      <c r="H1091" s="381">
        <f ca="1">IF(IFERROR(INDEX(DATA_PROPERTY_MASTER!$E$5:$E$21,MATCH($C1091,DATA_PROPERTY_MASTER!$A$5:$A$21,0))="Yes",FALSE),IFERROR(INDEX(INDIRECT("'"&amp;$C1091&amp;"'!$E$68:$Y$68"),1,MATCH($D1091,INDIRECT("'"&amp;$C1091&amp;"'!$E$12:$Y$12"),0)),0),0)</f>
        <v>47228.842912465436</v>
      </c>
      <c r="I1091" s="366" t="s">
        <v>1731</v>
      </c>
      <c r="J1091" s="348" t="str">
        <f t="shared" ca="1" si="32"/>
        <v>OK</v>
      </c>
      <c r="K1091" s="366" t="s">
        <v>1746</v>
      </c>
      <c r="L1091" s="366" t="s">
        <v>2264</v>
      </c>
      <c r="M1091" s="350" t="str">
        <f>IF($B1091="Portfolio","Portfolio",IFERROR(INDEX(DATA_ASSET_CLASSIFICATION!$B$8:$B$24,MATCH($C1091,DATA_ASSET_CLASSIFICATION!$A$8:$A$24,0)),"Review"))</f>
        <v>Beatrice Terrace</v>
      </c>
      <c r="N1091" s="350" t="str">
        <f ca="1">IF($B1091="Portfolio","Portfolio",IFERROR(INDEX(DATA_ASSET_CLASSIFICATION!$U$8:$U$24,MATCH($C1091,DATA_ASSET_CLASSIFICATION!$A$8:$A$24,0)),"Review"))</f>
        <v>Stable</v>
      </c>
      <c r="O1091" s="350" t="str">
        <f ca="1">IF($B1091="Portfolio","Portfolio",IFERROR(INDEX(DATA_ASSET_CLASSIFICATION!$AB$8:$AB$13,MATCH($N1091,DATA_ASSET_CLASSIFICATION!$AA$8:$AA$13,0)),"Review"))</f>
        <v>Bucket 2 · Legacy</v>
      </c>
      <c r="P1091" s="350" t="str">
        <f>IF($B1091="Portfolio","Portfolio",IFERROR(INDEX(DATA_ASSET_CLASSIFICATION!$C$8:$C$24,MATCH($C1091,DATA_ASSET_CLASSIFICATION!$A$8:$A$24,0)),"Review"))</f>
        <v>Yes</v>
      </c>
      <c r="Q1091" s="350" t="str">
        <f t="shared" ca="1" si="33"/>
        <v>OK</v>
      </c>
    </row>
    <row r="1092" spans="1:17">
      <c r="A1092" s="366" t="s">
        <v>3048</v>
      </c>
      <c r="B1092" s="366" t="s">
        <v>231</v>
      </c>
      <c r="C1092" s="348" t="str">
        <f>DATA_PROPERTY_MASTER!$A$7</f>
        <v>BLD_BT</v>
      </c>
      <c r="D1092" s="380">
        <f>'00_PORTFOLIO ROLLUP'!Q$12</f>
        <v>2037</v>
      </c>
      <c r="E1092" s="366" t="s">
        <v>1741</v>
      </c>
      <c r="F1092" s="366" t="s">
        <v>1749</v>
      </c>
      <c r="G1092" s="348" t="str">
        <f>"'"&amp;$C1092&amp;"'!rows 56, 63, 68"</f>
        <v>'BLD_BT'!rows 56, 63, 68</v>
      </c>
      <c r="H1092" s="381">
        <f ca="1">IF(IFERROR(INDEX(DATA_PROPERTY_MASTER!$E$5:$E$21,MATCH($C1092,DATA_PROPERTY_MASTER!$A$5:$A$21,0))="Yes",FALSE),(IFERROR(INDEX(INDIRECT("'"&amp;$C1092&amp;"'!$E$56:$Y$56"),1,MATCH($D1092,INDIRECT("'"&amp;$C1092&amp;"'!$E$12:$Y$12"),0)),0)+MAX(IFERROR(INDEX(INDIRECT("'"&amp;$C1092&amp;"'!$E$63:$Y$63"),1,MATCH($D1092,INDIRECT("'"&amp;$C1092&amp;"'!$E$12:$Y$12"),0)),0),0))-(IFERROR(INDEX(INDIRECT("'"&amp;$C1092&amp;"'!$E$68:$Y$68"),1,MATCH($D1092,INDIRECT("'"&amp;$C1092&amp;"'!$E$12:$Y$12"),0)),0)),0)</f>
        <v>0</v>
      </c>
      <c r="I1092" s="366" t="s">
        <v>1750</v>
      </c>
      <c r="J1092" s="348" t="str">
        <f t="shared" ca="1" si="32"/>
        <v>OK</v>
      </c>
      <c r="K1092" s="366" t="s">
        <v>1751</v>
      </c>
      <c r="L1092" s="366" t="s">
        <v>2266</v>
      </c>
      <c r="M1092" s="350" t="str">
        <f>IF($B1092="Portfolio","Portfolio",IFERROR(INDEX(DATA_ASSET_CLASSIFICATION!$B$8:$B$24,MATCH($C1092,DATA_ASSET_CLASSIFICATION!$A$8:$A$24,0)),"Review"))</f>
        <v>Beatrice Terrace</v>
      </c>
      <c r="N1092" s="350" t="str">
        <f ca="1">IF($B1092="Portfolio","Portfolio",IFERROR(INDEX(DATA_ASSET_CLASSIFICATION!$U$8:$U$24,MATCH($C1092,DATA_ASSET_CLASSIFICATION!$A$8:$A$24,0)),"Review"))</f>
        <v>Stable</v>
      </c>
      <c r="O1092" s="350" t="str">
        <f ca="1">IF($B1092="Portfolio","Portfolio",IFERROR(INDEX(DATA_ASSET_CLASSIFICATION!$AB$8:$AB$13,MATCH($N1092,DATA_ASSET_CLASSIFICATION!$AA$8:$AA$13,0)),"Review"))</f>
        <v>Bucket 2 · Legacy</v>
      </c>
      <c r="P1092" s="350" t="str">
        <f>IF($B1092="Portfolio","Portfolio",IFERROR(INDEX(DATA_ASSET_CLASSIFICATION!$C$8:$C$24,MATCH($C1092,DATA_ASSET_CLASSIFICATION!$A$8:$A$24,0)),"Review"))</f>
        <v>Yes</v>
      </c>
      <c r="Q1092" s="350" t="str">
        <f t="shared" ca="1" si="33"/>
        <v>OK</v>
      </c>
    </row>
    <row r="1093" spans="1:17">
      <c r="A1093" s="366" t="s">
        <v>3049</v>
      </c>
      <c r="B1093" s="366" t="s">
        <v>231</v>
      </c>
      <c r="C1093" s="348" t="str">
        <f>DATA_PROPERTY_MASTER!$A$7</f>
        <v>BLD_BT</v>
      </c>
      <c r="D1093" s="380">
        <f>'00_PORTFOLIO ROLLUP'!R$12</f>
        <v>2038</v>
      </c>
      <c r="E1093" s="366" t="s">
        <v>1683</v>
      </c>
      <c r="F1093" s="366" t="s">
        <v>341</v>
      </c>
      <c r="G1093" s="348" t="str">
        <f>"'"&amp;$C1093&amp;"'!$E$24:$Y$24"</f>
        <v>'BLD_BT'!$E$24:$Y$24</v>
      </c>
      <c r="H1093" s="381">
        <f ca="1">IF(IFERROR(INDEX(DATA_PROPERTY_MASTER!$E$5:$E$21,MATCH($C1093,DATA_PROPERTY_MASTER!$A$5:$A$21,0))="Yes",FALSE),IFERROR(INDEX(INDIRECT("'"&amp;$C1093&amp;"'!$E$24:$Y$24"),1,MATCH($D1093,INDIRECT("'"&amp;$C1093&amp;"'!$E$12:$Y$12"),0)),0),0)</f>
        <v>421348.80154786335</v>
      </c>
      <c r="I1093" s="366" t="s">
        <v>1685</v>
      </c>
      <c r="J1093" s="348" t="str">
        <f t="shared" ref="J1093:J1156" ca="1" si="34">IF($F1093="Residual Funding Gap",IF($H1093&gt;0,"Funding Gap","OK"),IF(AND($F1093="Net Refinance Position",$H1093&lt;0),"Negative net refi position","OK"))</f>
        <v>OK</v>
      </c>
      <c r="K1093" s="366" t="s">
        <v>1686</v>
      </c>
      <c r="L1093" s="366" t="s">
        <v>2234</v>
      </c>
      <c r="M1093" s="350" t="str">
        <f>IF($B1093="Portfolio","Portfolio",IFERROR(INDEX(DATA_ASSET_CLASSIFICATION!$B$8:$B$24,MATCH($C1093,DATA_ASSET_CLASSIFICATION!$A$8:$A$24,0)),"Review"))</f>
        <v>Beatrice Terrace</v>
      </c>
      <c r="N1093" s="350" t="str">
        <f ca="1">IF($B1093="Portfolio","Portfolio",IFERROR(INDEX(DATA_ASSET_CLASSIFICATION!$U$8:$U$24,MATCH($C1093,DATA_ASSET_CLASSIFICATION!$A$8:$A$24,0)),"Review"))</f>
        <v>Stable</v>
      </c>
      <c r="O1093" s="350" t="str">
        <f ca="1">IF($B1093="Portfolio","Portfolio",IFERROR(INDEX(DATA_ASSET_CLASSIFICATION!$AB$8:$AB$13,MATCH($N1093,DATA_ASSET_CLASSIFICATION!$AA$8:$AA$13,0)),"Review"))</f>
        <v>Bucket 2 · Legacy</v>
      </c>
      <c r="P1093" s="350" t="str">
        <f>IF($B1093="Portfolio","Portfolio",IFERROR(INDEX(DATA_ASSET_CLASSIFICATION!$C$8:$C$24,MATCH($C1093,DATA_ASSET_CLASSIFICATION!$A$8:$A$24,0)),"Review"))</f>
        <v>Yes</v>
      </c>
      <c r="Q1093" s="350" t="str">
        <f t="shared" ref="Q1093:Q1156" ca="1" si="35">IF(AND($B1093="Property",$F1093="Residual Funding Gap",$H1093&gt;0),"Property Funding Gap",IF($J1093&lt;&gt;"OK",$J1093,"OK"))</f>
        <v>OK</v>
      </c>
    </row>
    <row r="1094" spans="1:17">
      <c r="A1094" s="366" t="s">
        <v>3050</v>
      </c>
      <c r="B1094" s="366" t="s">
        <v>231</v>
      </c>
      <c r="C1094" s="348" t="str">
        <f>DATA_PROPERTY_MASTER!$A$7</f>
        <v>BLD_BT</v>
      </c>
      <c r="D1094" s="380">
        <f>'00_PORTFOLIO ROLLUP'!R$12</f>
        <v>2038</v>
      </c>
      <c r="E1094" s="366" t="s">
        <v>1683</v>
      </c>
      <c r="F1094" s="366" t="s">
        <v>355</v>
      </c>
      <c r="G1094" s="348" t="str">
        <f>"'"&amp;$C1094&amp;"'!$E$39:$Y$39"</f>
        <v>'BLD_BT'!$E$39:$Y$39</v>
      </c>
      <c r="H1094" s="381">
        <f ca="1">IF(IFERROR(INDEX(DATA_PROPERTY_MASTER!$E$5:$E$21,MATCH($C1094,DATA_PROPERTY_MASTER!$A$5:$A$21,0))="Yes",FALSE),IFERROR(INDEX(INDIRECT("'"&amp;$C1094&amp;"'!$E$39:$Y$39"),1,MATCH($D1094,INDIRECT("'"&amp;$C1094&amp;"'!$E$12:$Y$12"),0)),0),0)</f>
        <v>189062.55488637614</v>
      </c>
      <c r="I1094" s="366" t="s">
        <v>1690</v>
      </c>
      <c r="J1094" s="348" t="str">
        <f t="shared" ca="1" si="34"/>
        <v>OK</v>
      </c>
      <c r="K1094" s="366" t="s">
        <v>1686</v>
      </c>
      <c r="L1094" s="366" t="s">
        <v>2236</v>
      </c>
      <c r="M1094" s="350" t="str">
        <f>IF($B1094="Portfolio","Portfolio",IFERROR(INDEX(DATA_ASSET_CLASSIFICATION!$B$8:$B$24,MATCH($C1094,DATA_ASSET_CLASSIFICATION!$A$8:$A$24,0)),"Review"))</f>
        <v>Beatrice Terrace</v>
      </c>
      <c r="N1094" s="350" t="str">
        <f ca="1">IF($B1094="Portfolio","Portfolio",IFERROR(INDEX(DATA_ASSET_CLASSIFICATION!$U$8:$U$24,MATCH($C1094,DATA_ASSET_CLASSIFICATION!$A$8:$A$24,0)),"Review"))</f>
        <v>Stable</v>
      </c>
      <c r="O1094" s="350" t="str">
        <f ca="1">IF($B1094="Portfolio","Portfolio",IFERROR(INDEX(DATA_ASSET_CLASSIFICATION!$AB$8:$AB$13,MATCH($N1094,DATA_ASSET_CLASSIFICATION!$AA$8:$AA$13,0)),"Review"))</f>
        <v>Bucket 2 · Legacy</v>
      </c>
      <c r="P1094" s="350" t="str">
        <f>IF($B1094="Portfolio","Portfolio",IFERROR(INDEX(DATA_ASSET_CLASSIFICATION!$C$8:$C$24,MATCH($C1094,DATA_ASSET_CLASSIFICATION!$A$8:$A$24,0)),"Review"))</f>
        <v>Yes</v>
      </c>
      <c r="Q1094" s="350" t="str">
        <f t="shared" ca="1" si="35"/>
        <v>OK</v>
      </c>
    </row>
    <row r="1095" spans="1:17">
      <c r="A1095" s="366" t="s">
        <v>3051</v>
      </c>
      <c r="B1095" s="366" t="s">
        <v>231</v>
      </c>
      <c r="C1095" s="348" t="str">
        <f>DATA_PROPERTY_MASTER!$A$7</f>
        <v>BLD_BT</v>
      </c>
      <c r="D1095" s="380">
        <f>'00_PORTFOLIO ROLLUP'!R$12</f>
        <v>2038</v>
      </c>
      <c r="E1095" s="366" t="s">
        <v>1683</v>
      </c>
      <c r="F1095" s="366" t="s">
        <v>19</v>
      </c>
      <c r="G1095" s="348" t="str">
        <f>"'"&amp;$C1095&amp;"'!$E$41:$Y$41"</f>
        <v>'BLD_BT'!$E$41:$Y$41</v>
      </c>
      <c r="H1095" s="381">
        <f ca="1">IF(IFERROR(INDEX(DATA_PROPERTY_MASTER!$E$5:$E$21,MATCH($C1095,DATA_PROPERTY_MASTER!$A$5:$A$21,0))="Yes",FALSE),IFERROR(INDEX(INDIRECT("'"&amp;$C1095&amp;"'!$E$41:$Y$41"),1,MATCH($D1095,INDIRECT("'"&amp;$C1095&amp;"'!$E$12:$Y$12"),0)),0),0)</f>
        <v>232286.24666148721</v>
      </c>
      <c r="I1095" s="366" t="s">
        <v>1685</v>
      </c>
      <c r="J1095" s="348" t="str">
        <f t="shared" ca="1" si="34"/>
        <v>OK</v>
      </c>
      <c r="K1095" s="366" t="s">
        <v>1694</v>
      </c>
      <c r="L1095" s="366" t="s">
        <v>2238</v>
      </c>
      <c r="M1095" s="350" t="str">
        <f>IF($B1095="Portfolio","Portfolio",IFERROR(INDEX(DATA_ASSET_CLASSIFICATION!$B$8:$B$24,MATCH($C1095,DATA_ASSET_CLASSIFICATION!$A$8:$A$24,0)),"Review"))</f>
        <v>Beatrice Terrace</v>
      </c>
      <c r="N1095" s="350" t="str">
        <f ca="1">IF($B1095="Portfolio","Portfolio",IFERROR(INDEX(DATA_ASSET_CLASSIFICATION!$U$8:$U$24,MATCH($C1095,DATA_ASSET_CLASSIFICATION!$A$8:$A$24,0)),"Review"))</f>
        <v>Stable</v>
      </c>
      <c r="O1095" s="350" t="str">
        <f ca="1">IF($B1095="Portfolio","Portfolio",IFERROR(INDEX(DATA_ASSET_CLASSIFICATION!$AB$8:$AB$13,MATCH($N1095,DATA_ASSET_CLASSIFICATION!$AA$8:$AA$13,0)),"Review"))</f>
        <v>Bucket 2 · Legacy</v>
      </c>
      <c r="P1095" s="350" t="str">
        <f>IF($B1095="Portfolio","Portfolio",IFERROR(INDEX(DATA_ASSET_CLASSIFICATION!$C$8:$C$24,MATCH($C1095,DATA_ASSET_CLASSIFICATION!$A$8:$A$24,0)),"Review"))</f>
        <v>Yes</v>
      </c>
      <c r="Q1095" s="350" t="str">
        <f t="shared" ca="1" si="35"/>
        <v>OK</v>
      </c>
    </row>
    <row r="1096" spans="1:17">
      <c r="A1096" s="366" t="s">
        <v>3052</v>
      </c>
      <c r="B1096" s="366" t="s">
        <v>231</v>
      </c>
      <c r="C1096" s="348" t="str">
        <f>DATA_PROPERTY_MASTER!$A$7</f>
        <v>BLD_BT</v>
      </c>
      <c r="D1096" s="380">
        <f>'00_PORTFOLIO ROLLUP'!R$12</f>
        <v>2038</v>
      </c>
      <c r="E1096" s="366" t="s">
        <v>1683</v>
      </c>
      <c r="F1096" s="366" t="s">
        <v>1697</v>
      </c>
      <c r="G1096" s="348" t="str">
        <f>"'"&amp;$C1096&amp;"'!$E$44:$Y$44"</f>
        <v>'BLD_BT'!$E$44:$Y$44</v>
      </c>
      <c r="H1096" s="381">
        <f ca="1">IF(IFERROR(INDEX(DATA_PROPERTY_MASTER!$E$5:$E$21,MATCH($C1096,DATA_PROPERTY_MASTER!$A$5:$A$21,0))="Yes",FALSE),IFERROR(INDEX(INDIRECT("'"&amp;$C1096&amp;"'!$E$44:$Y$44"),1,MATCH($D1096,INDIRECT("'"&amp;$C1096&amp;"'!$E$12:$Y$12"),0)),0),0)</f>
        <v>3492.7379022252494</v>
      </c>
      <c r="I1096" s="366" t="s">
        <v>1690</v>
      </c>
      <c r="J1096" s="348" t="str">
        <f t="shared" ca="1" si="34"/>
        <v>OK</v>
      </c>
      <c r="K1096" s="366" t="s">
        <v>1699</v>
      </c>
      <c r="L1096" s="366" t="s">
        <v>2240</v>
      </c>
      <c r="M1096" s="350" t="str">
        <f>IF($B1096="Portfolio","Portfolio",IFERROR(INDEX(DATA_ASSET_CLASSIFICATION!$B$8:$B$24,MATCH($C1096,DATA_ASSET_CLASSIFICATION!$A$8:$A$24,0)),"Review"))</f>
        <v>Beatrice Terrace</v>
      </c>
      <c r="N1096" s="350" t="str">
        <f ca="1">IF($B1096="Portfolio","Portfolio",IFERROR(INDEX(DATA_ASSET_CLASSIFICATION!$U$8:$U$24,MATCH($C1096,DATA_ASSET_CLASSIFICATION!$A$8:$A$24,0)),"Review"))</f>
        <v>Stable</v>
      </c>
      <c r="O1096" s="350" t="str">
        <f ca="1">IF($B1096="Portfolio","Portfolio",IFERROR(INDEX(DATA_ASSET_CLASSIFICATION!$AB$8:$AB$13,MATCH($N1096,DATA_ASSET_CLASSIFICATION!$AA$8:$AA$13,0)),"Review"))</f>
        <v>Bucket 2 · Legacy</v>
      </c>
      <c r="P1096" s="350" t="str">
        <f>IF($B1096="Portfolio","Portfolio",IFERROR(INDEX(DATA_ASSET_CLASSIFICATION!$C$8:$C$24,MATCH($C1096,DATA_ASSET_CLASSIFICATION!$A$8:$A$24,0)),"Review"))</f>
        <v>Yes</v>
      </c>
      <c r="Q1096" s="350" t="str">
        <f t="shared" ca="1" si="35"/>
        <v>OK</v>
      </c>
    </row>
    <row r="1097" spans="1:17">
      <c r="A1097" s="366" t="s">
        <v>3053</v>
      </c>
      <c r="B1097" s="366" t="s">
        <v>231</v>
      </c>
      <c r="C1097" s="348" t="str">
        <f>DATA_PROPERTY_MASTER!$A$7</f>
        <v>BLD_BT</v>
      </c>
      <c r="D1097" s="380">
        <f>'00_PORTFOLIO ROLLUP'!R$12</f>
        <v>2038</v>
      </c>
      <c r="E1097" s="366" t="s">
        <v>1683</v>
      </c>
      <c r="F1097" s="366" t="s">
        <v>21</v>
      </c>
      <c r="G1097" s="348" t="str">
        <f>"'"&amp;$C1097&amp;"'!$E$45:$Y$45"</f>
        <v>'BLD_BT'!$E$45:$Y$45</v>
      </c>
      <c r="H1097" s="381">
        <f ca="1">IF(IFERROR(INDEX(DATA_PROPERTY_MASTER!$E$5:$E$21,MATCH($C1097,DATA_PROPERTY_MASTER!$A$5:$A$21,0))="Yes",FALSE),IFERROR(INDEX(INDIRECT("'"&amp;$C1097&amp;"'!$E$45:$Y$45"),1,MATCH($D1097,INDIRECT("'"&amp;$C1097&amp;"'!$E$12:$Y$12"),0)),0),0)</f>
        <v>228793.50875926195</v>
      </c>
      <c r="I1097" s="366" t="s">
        <v>1685</v>
      </c>
      <c r="J1097" s="348" t="str">
        <f t="shared" ca="1" si="34"/>
        <v>OK</v>
      </c>
      <c r="K1097" s="366" t="s">
        <v>1694</v>
      </c>
      <c r="L1097" s="366" t="s">
        <v>2242</v>
      </c>
      <c r="M1097" s="350" t="str">
        <f>IF($B1097="Portfolio","Portfolio",IFERROR(INDEX(DATA_ASSET_CLASSIFICATION!$B$8:$B$24,MATCH($C1097,DATA_ASSET_CLASSIFICATION!$A$8:$A$24,0)),"Review"))</f>
        <v>Beatrice Terrace</v>
      </c>
      <c r="N1097" s="350" t="str">
        <f ca="1">IF($B1097="Portfolio","Portfolio",IFERROR(INDEX(DATA_ASSET_CLASSIFICATION!$U$8:$U$24,MATCH($C1097,DATA_ASSET_CLASSIFICATION!$A$8:$A$24,0)),"Review"))</f>
        <v>Stable</v>
      </c>
      <c r="O1097" s="350" t="str">
        <f ca="1">IF($B1097="Portfolio","Portfolio",IFERROR(INDEX(DATA_ASSET_CLASSIFICATION!$AB$8:$AB$13,MATCH($N1097,DATA_ASSET_CLASSIFICATION!$AA$8:$AA$13,0)),"Review"))</f>
        <v>Bucket 2 · Legacy</v>
      </c>
      <c r="P1097" s="350" t="str">
        <f>IF($B1097="Portfolio","Portfolio",IFERROR(INDEX(DATA_ASSET_CLASSIFICATION!$C$8:$C$24,MATCH($C1097,DATA_ASSET_CLASSIFICATION!$A$8:$A$24,0)),"Review"))</f>
        <v>Yes</v>
      </c>
      <c r="Q1097" s="350" t="str">
        <f t="shared" ca="1" si="35"/>
        <v>OK</v>
      </c>
    </row>
    <row r="1098" spans="1:17">
      <c r="A1098" s="366" t="s">
        <v>3054</v>
      </c>
      <c r="B1098" s="366" t="s">
        <v>231</v>
      </c>
      <c r="C1098" s="348" t="str">
        <f>DATA_PROPERTY_MASTER!$A$7</f>
        <v>BLD_BT</v>
      </c>
      <c r="D1098" s="380">
        <f>'00_PORTFOLIO ROLLUP'!R$12</f>
        <v>2038</v>
      </c>
      <c r="E1098" s="366" t="s">
        <v>23</v>
      </c>
      <c r="F1098" s="366" t="s">
        <v>23</v>
      </c>
      <c r="G1098" s="348" t="str">
        <f>"'"&amp;$C1098&amp;"'!$E$48:$Y$48"</f>
        <v>'BLD_BT'!$E$48:$Y$48</v>
      </c>
      <c r="H1098" s="381">
        <f ca="1">IF(IFERROR(INDEX(DATA_PROPERTY_MASTER!$E$5:$E$21,MATCH($C1098,DATA_PROPERTY_MASTER!$A$5:$A$21,0))="Yes",FALSE),IFERROR(INDEX(INDIRECT("'"&amp;$C1098&amp;"'!$E$48:$Y$48"),1,MATCH($D1098,INDIRECT("'"&amp;$C1098&amp;"'!$E$12:$Y$12"),0)),0),0)</f>
        <v>110563.68</v>
      </c>
      <c r="I1098" s="366" t="s">
        <v>1690</v>
      </c>
      <c r="J1098" s="348" t="str">
        <f t="shared" ca="1" si="34"/>
        <v>OK</v>
      </c>
      <c r="K1098" s="366" t="s">
        <v>1706</v>
      </c>
      <c r="L1098" s="366" t="s">
        <v>2244</v>
      </c>
      <c r="M1098" s="350" t="str">
        <f>IF($B1098="Portfolio","Portfolio",IFERROR(INDEX(DATA_ASSET_CLASSIFICATION!$B$8:$B$24,MATCH($C1098,DATA_ASSET_CLASSIFICATION!$A$8:$A$24,0)),"Review"))</f>
        <v>Beatrice Terrace</v>
      </c>
      <c r="N1098" s="350" t="str">
        <f ca="1">IF($B1098="Portfolio","Portfolio",IFERROR(INDEX(DATA_ASSET_CLASSIFICATION!$U$8:$U$24,MATCH($C1098,DATA_ASSET_CLASSIFICATION!$A$8:$A$24,0)),"Review"))</f>
        <v>Stable</v>
      </c>
      <c r="O1098" s="350" t="str">
        <f ca="1">IF($B1098="Portfolio","Portfolio",IFERROR(INDEX(DATA_ASSET_CLASSIFICATION!$AB$8:$AB$13,MATCH($N1098,DATA_ASSET_CLASSIFICATION!$AA$8:$AA$13,0)),"Review"))</f>
        <v>Bucket 2 · Legacy</v>
      </c>
      <c r="P1098" s="350" t="str">
        <f>IF($B1098="Portfolio","Portfolio",IFERROR(INDEX(DATA_ASSET_CLASSIFICATION!$C$8:$C$24,MATCH($C1098,DATA_ASSET_CLASSIFICATION!$A$8:$A$24,0)),"Review"))</f>
        <v>Yes</v>
      </c>
      <c r="Q1098" s="350" t="str">
        <f t="shared" ca="1" si="35"/>
        <v>OK</v>
      </c>
    </row>
    <row r="1099" spans="1:17">
      <c r="A1099" s="366" t="s">
        <v>3055</v>
      </c>
      <c r="B1099" s="366" t="s">
        <v>231</v>
      </c>
      <c r="C1099" s="348" t="str">
        <f>DATA_PROPERTY_MASTER!$A$7</f>
        <v>BLD_BT</v>
      </c>
      <c r="D1099" s="380">
        <f>'00_PORTFOLIO ROLLUP'!R$12</f>
        <v>2038</v>
      </c>
      <c r="E1099" s="366" t="s">
        <v>1683</v>
      </c>
      <c r="F1099" s="366" t="s">
        <v>25</v>
      </c>
      <c r="G1099" s="348" t="str">
        <f>"'"&amp;$C1099&amp;"'!$E$52:$Y$52"</f>
        <v>'BLD_BT'!$E$52:$Y$52</v>
      </c>
      <c r="H1099" s="381">
        <f ca="1">IF(IFERROR(INDEX(DATA_PROPERTY_MASTER!$E$5:$E$21,MATCH($C1099,DATA_PROPERTY_MASTER!$A$5:$A$21,0))="Yes",FALSE),IFERROR(INDEX(INDIRECT("'"&amp;$C1099&amp;"'!$E$52:$Y$52"),1,MATCH($D1099,INDIRECT("'"&amp;$C1099&amp;"'!$E$12:$Y$12"),0)),0),0)</f>
        <v>121722.56666148722</v>
      </c>
      <c r="I1099" s="366" t="s">
        <v>1685</v>
      </c>
      <c r="J1099" s="348" t="str">
        <f t="shared" ca="1" si="34"/>
        <v>OK</v>
      </c>
      <c r="K1099" s="366" t="s">
        <v>1710</v>
      </c>
      <c r="L1099" s="366" t="s">
        <v>2246</v>
      </c>
      <c r="M1099" s="350" t="str">
        <f>IF($B1099="Portfolio","Portfolio",IFERROR(INDEX(DATA_ASSET_CLASSIFICATION!$B$8:$B$24,MATCH($C1099,DATA_ASSET_CLASSIFICATION!$A$8:$A$24,0)),"Review"))</f>
        <v>Beatrice Terrace</v>
      </c>
      <c r="N1099" s="350" t="str">
        <f ca="1">IF($B1099="Portfolio","Portfolio",IFERROR(INDEX(DATA_ASSET_CLASSIFICATION!$U$8:$U$24,MATCH($C1099,DATA_ASSET_CLASSIFICATION!$A$8:$A$24,0)),"Review"))</f>
        <v>Stable</v>
      </c>
      <c r="O1099" s="350" t="str">
        <f ca="1">IF($B1099="Portfolio","Portfolio",IFERROR(INDEX(DATA_ASSET_CLASSIFICATION!$AB$8:$AB$13,MATCH($N1099,DATA_ASSET_CLASSIFICATION!$AA$8:$AA$13,0)),"Review"))</f>
        <v>Bucket 2 · Legacy</v>
      </c>
      <c r="P1099" s="350" t="str">
        <f>IF($B1099="Portfolio","Portfolio",IFERROR(INDEX(DATA_ASSET_CLASSIFICATION!$C$8:$C$24,MATCH($C1099,DATA_ASSET_CLASSIFICATION!$A$8:$A$24,0)),"Review"))</f>
        <v>Yes</v>
      </c>
      <c r="Q1099" s="350" t="str">
        <f t="shared" ca="1" si="35"/>
        <v>OK</v>
      </c>
    </row>
    <row r="1100" spans="1:17">
      <c r="A1100" s="366" t="s">
        <v>3056</v>
      </c>
      <c r="B1100" s="366" t="s">
        <v>231</v>
      </c>
      <c r="C1100" s="348" t="str">
        <f>DATA_PROPERTY_MASTER!$A$7</f>
        <v>BLD_BT</v>
      </c>
      <c r="D1100" s="380">
        <f>'00_PORTFOLIO ROLLUP'!R$12</f>
        <v>2038</v>
      </c>
      <c r="E1100" s="366" t="s">
        <v>1683</v>
      </c>
      <c r="F1100" s="366" t="s">
        <v>27</v>
      </c>
      <c r="G1100" s="348" t="str">
        <f>"'"&amp;$C1100&amp;"'!$E$54:$Y$54"</f>
        <v>'BLD_BT'!$E$54:$Y$54</v>
      </c>
      <c r="H1100" s="381">
        <f ca="1">IF(IFERROR(INDEX(DATA_PROPERTY_MASTER!$E$5:$E$21,MATCH($C1100,DATA_PROPERTY_MASTER!$A$5:$A$21,0))="Yes",FALSE),IFERROR(INDEX(INDIRECT("'"&amp;$C1100&amp;"'!$E$54:$Y$54"),1,MATCH($D1100,INDIRECT("'"&amp;$C1100&amp;"'!$E$12:$Y$12"),0)),0),0)</f>
        <v>73033.53999689233</v>
      </c>
      <c r="I1100" s="366" t="s">
        <v>1690</v>
      </c>
      <c r="J1100" s="348" t="str">
        <f t="shared" ca="1" si="34"/>
        <v>OK</v>
      </c>
      <c r="K1100" s="366" t="s">
        <v>1714</v>
      </c>
      <c r="L1100" s="366" t="s">
        <v>2248</v>
      </c>
      <c r="M1100" s="350" t="str">
        <f>IF($B1100="Portfolio","Portfolio",IFERROR(INDEX(DATA_ASSET_CLASSIFICATION!$B$8:$B$24,MATCH($C1100,DATA_ASSET_CLASSIFICATION!$A$8:$A$24,0)),"Review"))</f>
        <v>Beatrice Terrace</v>
      </c>
      <c r="N1100" s="350" t="str">
        <f ca="1">IF($B1100="Portfolio","Portfolio",IFERROR(INDEX(DATA_ASSET_CLASSIFICATION!$U$8:$U$24,MATCH($C1100,DATA_ASSET_CLASSIFICATION!$A$8:$A$24,0)),"Review"))</f>
        <v>Stable</v>
      </c>
      <c r="O1100" s="350" t="str">
        <f ca="1">IF($B1100="Portfolio","Portfolio",IFERROR(INDEX(DATA_ASSET_CLASSIFICATION!$AB$8:$AB$13,MATCH($N1100,DATA_ASSET_CLASSIFICATION!$AA$8:$AA$13,0)),"Review"))</f>
        <v>Bucket 2 · Legacy</v>
      </c>
      <c r="P1100" s="350" t="str">
        <f>IF($B1100="Portfolio","Portfolio",IFERROR(INDEX(DATA_ASSET_CLASSIFICATION!$C$8:$C$24,MATCH($C1100,DATA_ASSET_CLASSIFICATION!$A$8:$A$24,0)),"Review"))</f>
        <v>Yes</v>
      </c>
      <c r="Q1100" s="350" t="str">
        <f t="shared" ca="1" si="35"/>
        <v>OK</v>
      </c>
    </row>
    <row r="1101" spans="1:17">
      <c r="A1101" s="366" t="s">
        <v>3057</v>
      </c>
      <c r="B1101" s="366" t="s">
        <v>231</v>
      </c>
      <c r="C1101" s="348" t="str">
        <f>DATA_PROPERTY_MASTER!$A$7</f>
        <v>BLD_BT</v>
      </c>
      <c r="D1101" s="380">
        <f>'00_PORTFOLIO ROLLUP'!R$12</f>
        <v>2038</v>
      </c>
      <c r="E1101" s="366" t="s">
        <v>1683</v>
      </c>
      <c r="F1101" s="366" t="s">
        <v>29</v>
      </c>
      <c r="G1101" s="348" t="str">
        <f>"'"&amp;$C1101&amp;"'!$E$56:$Y$56"</f>
        <v>'BLD_BT'!$E$56:$Y$56</v>
      </c>
      <c r="H1101" s="381">
        <f ca="1">IF(IFERROR(INDEX(DATA_PROPERTY_MASTER!$E$5:$E$21,MATCH($C1101,DATA_PROPERTY_MASTER!$A$5:$A$21,0))="Yes",FALSE),IFERROR(INDEX(INDIRECT("'"&amp;$C1101&amp;"'!$E$56:$Y$56"),1,MATCH($D1101,INDIRECT("'"&amp;$C1101&amp;"'!$E$12:$Y$12"),0)),0),0)</f>
        <v>48689.026664594887</v>
      </c>
      <c r="I1101" s="366" t="s">
        <v>1685</v>
      </c>
      <c r="J1101" s="348" t="str">
        <f t="shared" ca="1" si="34"/>
        <v>OK</v>
      </c>
      <c r="K1101" s="366" t="s">
        <v>1718</v>
      </c>
      <c r="L1101" s="366" t="s">
        <v>2250</v>
      </c>
      <c r="M1101" s="350" t="str">
        <f>IF($B1101="Portfolio","Portfolio",IFERROR(INDEX(DATA_ASSET_CLASSIFICATION!$B$8:$B$24,MATCH($C1101,DATA_ASSET_CLASSIFICATION!$A$8:$A$24,0)),"Review"))</f>
        <v>Beatrice Terrace</v>
      </c>
      <c r="N1101" s="350" t="str">
        <f ca="1">IF($B1101="Portfolio","Portfolio",IFERROR(INDEX(DATA_ASSET_CLASSIFICATION!$U$8:$U$24,MATCH($C1101,DATA_ASSET_CLASSIFICATION!$A$8:$A$24,0)),"Review"))</f>
        <v>Stable</v>
      </c>
      <c r="O1101" s="350" t="str">
        <f ca="1">IF($B1101="Portfolio","Portfolio",IFERROR(INDEX(DATA_ASSET_CLASSIFICATION!$AB$8:$AB$13,MATCH($N1101,DATA_ASSET_CLASSIFICATION!$AA$8:$AA$13,0)),"Review"))</f>
        <v>Bucket 2 · Legacy</v>
      </c>
      <c r="P1101" s="350" t="str">
        <f>IF($B1101="Portfolio","Portfolio",IFERROR(INDEX(DATA_ASSET_CLASSIFICATION!$C$8:$C$24,MATCH($C1101,DATA_ASSET_CLASSIFICATION!$A$8:$A$24,0)),"Review"))</f>
        <v>Yes</v>
      </c>
      <c r="Q1101" s="350" t="str">
        <f t="shared" ca="1" si="35"/>
        <v>OK</v>
      </c>
    </row>
    <row r="1102" spans="1:17">
      <c r="A1102" s="366" t="s">
        <v>3058</v>
      </c>
      <c r="B1102" s="366" t="s">
        <v>231</v>
      </c>
      <c r="C1102" s="348" t="str">
        <f>DATA_PROPERTY_MASTER!$A$7</f>
        <v>BLD_BT</v>
      </c>
      <c r="D1102" s="380">
        <f>'00_PORTFOLIO ROLLUP'!R$12</f>
        <v>2038</v>
      </c>
      <c r="E1102" s="366" t="s">
        <v>1721</v>
      </c>
      <c r="F1102" s="366" t="s">
        <v>31</v>
      </c>
      <c r="G1102" s="348" t="str">
        <f>"'"&amp;$C1102&amp;"'!$E$61:$Y$61"</f>
        <v>'BLD_BT'!$E$61:$Y$61</v>
      </c>
      <c r="H1102" s="381">
        <f ca="1">IF(IFERROR(INDEX(DATA_PROPERTY_MASTER!$E$5:$E$21,MATCH($C1102,DATA_PROPERTY_MASTER!$A$5:$A$21,0))="Yes",FALSE),IFERROR(INDEX(INDIRECT("'"&amp;$C1102&amp;"'!$E$61:$Y$61"),1,MATCH($D1102,INDIRECT("'"&amp;$C1102&amp;"'!$E$12:$Y$12"),0)),0),0)</f>
        <v>0</v>
      </c>
      <c r="I1102" s="366" t="s">
        <v>1690</v>
      </c>
      <c r="J1102" s="348" t="str">
        <f t="shared" ca="1" si="34"/>
        <v>OK</v>
      </c>
      <c r="K1102" s="366" t="s">
        <v>1723</v>
      </c>
      <c r="L1102" s="366" t="s">
        <v>2252</v>
      </c>
      <c r="M1102" s="350" t="str">
        <f>IF($B1102="Portfolio","Portfolio",IFERROR(INDEX(DATA_ASSET_CLASSIFICATION!$B$8:$B$24,MATCH($C1102,DATA_ASSET_CLASSIFICATION!$A$8:$A$24,0)),"Review"))</f>
        <v>Beatrice Terrace</v>
      </c>
      <c r="N1102" s="350" t="str">
        <f ca="1">IF($B1102="Portfolio","Portfolio",IFERROR(INDEX(DATA_ASSET_CLASSIFICATION!$U$8:$U$24,MATCH($C1102,DATA_ASSET_CLASSIFICATION!$A$8:$A$24,0)),"Review"))</f>
        <v>Stable</v>
      </c>
      <c r="O1102" s="350" t="str">
        <f ca="1">IF($B1102="Portfolio","Portfolio",IFERROR(INDEX(DATA_ASSET_CLASSIFICATION!$AB$8:$AB$13,MATCH($N1102,DATA_ASSET_CLASSIFICATION!$AA$8:$AA$13,0)),"Review"))</f>
        <v>Bucket 2 · Legacy</v>
      </c>
      <c r="P1102" s="350" t="str">
        <f>IF($B1102="Portfolio","Portfolio",IFERROR(INDEX(DATA_ASSET_CLASSIFICATION!$C$8:$C$24,MATCH($C1102,DATA_ASSET_CLASSIFICATION!$A$8:$A$24,0)),"Review"))</f>
        <v>Yes</v>
      </c>
      <c r="Q1102" s="350" t="str">
        <f t="shared" ca="1" si="35"/>
        <v>OK</v>
      </c>
    </row>
    <row r="1103" spans="1:17">
      <c r="A1103" s="366" t="s">
        <v>3059</v>
      </c>
      <c r="B1103" s="366" t="s">
        <v>231</v>
      </c>
      <c r="C1103" s="348" t="str">
        <f>DATA_PROPERTY_MASTER!$A$7</f>
        <v>BLD_BT</v>
      </c>
      <c r="D1103" s="380">
        <f>'00_PORTFOLIO ROLLUP'!R$12</f>
        <v>2038</v>
      </c>
      <c r="E1103" s="366" t="s">
        <v>1721</v>
      </c>
      <c r="F1103" s="366" t="s">
        <v>33</v>
      </c>
      <c r="G1103" s="348" t="str">
        <f>"'"&amp;$C1103&amp;"'!$E$62:$Y$62"</f>
        <v>'BLD_BT'!$E$62:$Y$62</v>
      </c>
      <c r="H1103" s="381">
        <f ca="1">IF(IFERROR(INDEX(DATA_PROPERTY_MASTER!$E$5:$E$21,MATCH($C1103,DATA_PROPERTY_MASTER!$A$5:$A$21,0))="Yes",FALSE),IFERROR(INDEX(INDIRECT("'"&amp;$C1103&amp;"'!$E$62:$Y$62"),1,MATCH($D1103,INDIRECT("'"&amp;$C1103&amp;"'!$E$12:$Y$12"),0)),0),0)</f>
        <v>0</v>
      </c>
      <c r="I1103" s="366" t="s">
        <v>1685</v>
      </c>
      <c r="J1103" s="348" t="str">
        <f t="shared" ca="1" si="34"/>
        <v>OK</v>
      </c>
      <c r="K1103" s="366" t="s">
        <v>1727</v>
      </c>
      <c r="L1103" s="366" t="s">
        <v>2254</v>
      </c>
      <c r="M1103" s="350" t="str">
        <f>IF($B1103="Portfolio","Portfolio",IFERROR(INDEX(DATA_ASSET_CLASSIFICATION!$B$8:$B$24,MATCH($C1103,DATA_ASSET_CLASSIFICATION!$A$8:$A$24,0)),"Review"))</f>
        <v>Beatrice Terrace</v>
      </c>
      <c r="N1103" s="350" t="str">
        <f ca="1">IF($B1103="Portfolio","Portfolio",IFERROR(INDEX(DATA_ASSET_CLASSIFICATION!$U$8:$U$24,MATCH($C1103,DATA_ASSET_CLASSIFICATION!$A$8:$A$24,0)),"Review"))</f>
        <v>Stable</v>
      </c>
      <c r="O1103" s="350" t="str">
        <f ca="1">IF($B1103="Portfolio","Portfolio",IFERROR(INDEX(DATA_ASSET_CLASSIFICATION!$AB$8:$AB$13,MATCH($N1103,DATA_ASSET_CLASSIFICATION!$AA$8:$AA$13,0)),"Review"))</f>
        <v>Bucket 2 · Legacy</v>
      </c>
      <c r="P1103" s="350" t="str">
        <f>IF($B1103="Portfolio","Portfolio",IFERROR(INDEX(DATA_ASSET_CLASSIFICATION!$C$8:$C$24,MATCH($C1103,DATA_ASSET_CLASSIFICATION!$A$8:$A$24,0)),"Review"))</f>
        <v>Yes</v>
      </c>
      <c r="Q1103" s="350" t="str">
        <f t="shared" ca="1" si="35"/>
        <v>OK</v>
      </c>
    </row>
    <row r="1104" spans="1:17">
      <c r="A1104" s="366" t="s">
        <v>3060</v>
      </c>
      <c r="B1104" s="366" t="s">
        <v>231</v>
      </c>
      <c r="C1104" s="348" t="str">
        <f>DATA_PROPERTY_MASTER!$A$7</f>
        <v>BLD_BT</v>
      </c>
      <c r="D1104" s="380">
        <f>'00_PORTFOLIO ROLLUP'!R$12</f>
        <v>2038</v>
      </c>
      <c r="E1104" s="366" t="s">
        <v>1721</v>
      </c>
      <c r="F1104" s="366" t="s">
        <v>35</v>
      </c>
      <c r="G1104" s="348" t="str">
        <f>"'"&amp;$C1104&amp;"'!$E$63:$Y$63"</f>
        <v>'BLD_BT'!$E$63:$Y$63</v>
      </c>
      <c r="H1104" s="381">
        <f ca="1">IF(IFERROR(INDEX(DATA_PROPERTY_MASTER!$E$5:$E$21,MATCH($C1104,DATA_PROPERTY_MASTER!$A$5:$A$21,0))="Yes",FALSE),IFERROR(INDEX(INDIRECT("'"&amp;$C1104&amp;"'!$E$63:$Y$63"),1,MATCH($D1104,INDIRECT("'"&amp;$C1104&amp;"'!$E$12:$Y$12"),0)),0),0)</f>
        <v>0</v>
      </c>
      <c r="I1104" s="366" t="s">
        <v>1731</v>
      </c>
      <c r="J1104" s="348" t="str">
        <f t="shared" ca="1" si="34"/>
        <v>OK</v>
      </c>
      <c r="K1104" s="366" t="s">
        <v>1732</v>
      </c>
      <c r="L1104" s="366" t="s">
        <v>2256</v>
      </c>
      <c r="M1104" s="350" t="str">
        <f>IF($B1104="Portfolio","Portfolio",IFERROR(INDEX(DATA_ASSET_CLASSIFICATION!$B$8:$B$24,MATCH($C1104,DATA_ASSET_CLASSIFICATION!$A$8:$A$24,0)),"Review"))</f>
        <v>Beatrice Terrace</v>
      </c>
      <c r="N1104" s="350" t="str">
        <f ca="1">IF($B1104="Portfolio","Portfolio",IFERROR(INDEX(DATA_ASSET_CLASSIFICATION!$U$8:$U$24,MATCH($C1104,DATA_ASSET_CLASSIFICATION!$A$8:$A$24,0)),"Review"))</f>
        <v>Stable</v>
      </c>
      <c r="O1104" s="350" t="str">
        <f ca="1">IF($B1104="Portfolio","Portfolio",IFERROR(INDEX(DATA_ASSET_CLASSIFICATION!$AB$8:$AB$13,MATCH($N1104,DATA_ASSET_CLASSIFICATION!$AA$8:$AA$13,0)),"Review"))</f>
        <v>Bucket 2 · Legacy</v>
      </c>
      <c r="P1104" s="350" t="str">
        <f>IF($B1104="Portfolio","Portfolio",IFERROR(INDEX(DATA_ASSET_CLASSIFICATION!$C$8:$C$24,MATCH($C1104,DATA_ASSET_CLASSIFICATION!$A$8:$A$24,0)),"Review"))</f>
        <v>Yes</v>
      </c>
      <c r="Q1104" s="350" t="str">
        <f t="shared" ca="1" si="35"/>
        <v>OK</v>
      </c>
    </row>
    <row r="1105" spans="1:17">
      <c r="A1105" s="366" t="s">
        <v>3061</v>
      </c>
      <c r="B1105" s="366" t="s">
        <v>231</v>
      </c>
      <c r="C1105" s="348" t="str">
        <f>DATA_PROPERTY_MASTER!$A$7</f>
        <v>BLD_BT</v>
      </c>
      <c r="D1105" s="380">
        <f>'00_PORTFOLIO ROLLUP'!R$12</f>
        <v>2038</v>
      </c>
      <c r="E1105" s="366" t="s">
        <v>1721</v>
      </c>
      <c r="F1105" s="366" t="s">
        <v>37</v>
      </c>
      <c r="G1105" s="348" t="str">
        <f>"'"&amp;$C1105&amp;"'!$E$63:$Y$63"</f>
        <v>'BLD_BT'!$E$63:$Y$63</v>
      </c>
      <c r="H1105" s="381">
        <f ca="1">IF(IFERROR(INDEX(DATA_PROPERTY_MASTER!$E$5:$E$21,MATCH($C1105,DATA_PROPERTY_MASTER!$A$5:$A$21,0))="Yes",FALSE),MAX(IFERROR(INDEX(INDIRECT("'"&amp;$C1105&amp;"'!$E$63:$Y$63"),1,MATCH($D1105,INDIRECT("'"&amp;$C1105&amp;"'!$E$12:$Y$12"),0)),0),0),0)</f>
        <v>0</v>
      </c>
      <c r="I1105" s="366" t="s">
        <v>1685</v>
      </c>
      <c r="J1105" s="348" t="str">
        <f t="shared" ca="1" si="34"/>
        <v>OK</v>
      </c>
      <c r="K1105" s="366" t="s">
        <v>1735</v>
      </c>
      <c r="L1105" s="366" t="s">
        <v>2258</v>
      </c>
      <c r="M1105" s="350" t="str">
        <f>IF($B1105="Portfolio","Portfolio",IFERROR(INDEX(DATA_ASSET_CLASSIFICATION!$B$8:$B$24,MATCH($C1105,DATA_ASSET_CLASSIFICATION!$A$8:$A$24,0)),"Review"))</f>
        <v>Beatrice Terrace</v>
      </c>
      <c r="N1105" s="350" t="str">
        <f ca="1">IF($B1105="Portfolio","Portfolio",IFERROR(INDEX(DATA_ASSET_CLASSIFICATION!$U$8:$U$24,MATCH($C1105,DATA_ASSET_CLASSIFICATION!$A$8:$A$24,0)),"Review"))</f>
        <v>Stable</v>
      </c>
      <c r="O1105" s="350" t="str">
        <f ca="1">IF($B1105="Portfolio","Portfolio",IFERROR(INDEX(DATA_ASSET_CLASSIFICATION!$AB$8:$AB$13,MATCH($N1105,DATA_ASSET_CLASSIFICATION!$AA$8:$AA$13,0)),"Review"))</f>
        <v>Bucket 2 · Legacy</v>
      </c>
      <c r="P1105" s="350" t="str">
        <f>IF($B1105="Portfolio","Portfolio",IFERROR(INDEX(DATA_ASSET_CLASSIFICATION!$C$8:$C$24,MATCH($C1105,DATA_ASSET_CLASSIFICATION!$A$8:$A$24,0)),"Review"))</f>
        <v>Yes</v>
      </c>
      <c r="Q1105" s="350" t="str">
        <f t="shared" ca="1" si="35"/>
        <v>OK</v>
      </c>
    </row>
    <row r="1106" spans="1:17">
      <c r="A1106" s="366" t="s">
        <v>3062</v>
      </c>
      <c r="B1106" s="366" t="s">
        <v>231</v>
      </c>
      <c r="C1106" s="348" t="str">
        <f>DATA_PROPERTY_MASTER!$A$7</f>
        <v>BLD_BT</v>
      </c>
      <c r="D1106" s="380">
        <f>'00_PORTFOLIO ROLLUP'!R$12</f>
        <v>2038</v>
      </c>
      <c r="E1106" s="366" t="s">
        <v>1721</v>
      </c>
      <c r="F1106" s="366" t="s">
        <v>39</v>
      </c>
      <c r="G1106" s="348" t="str">
        <f>"'"&amp;$C1106&amp;"'!$E$63:$Y$63"</f>
        <v>'BLD_BT'!$E$63:$Y$63</v>
      </c>
      <c r="H1106" s="381">
        <f ca="1">IF(IFERROR(INDEX(DATA_PROPERTY_MASTER!$E$5:$E$21,MATCH($C1106,DATA_PROPERTY_MASTER!$A$5:$A$21,0))="Yes",FALSE),MAX(-IFERROR(INDEX(INDIRECT("'"&amp;$C1106&amp;"'!$E$63:$Y$63"),1,MATCH($D1106,INDIRECT("'"&amp;$C1106&amp;"'!$E$12:$Y$12"),0)),0),0),0)</f>
        <v>0</v>
      </c>
      <c r="I1106" s="366" t="s">
        <v>1690</v>
      </c>
      <c r="J1106" s="348" t="str">
        <f t="shared" ca="1" si="34"/>
        <v>OK</v>
      </c>
      <c r="K1106" s="366" t="s">
        <v>1738</v>
      </c>
      <c r="L1106" s="366" t="s">
        <v>2260</v>
      </c>
      <c r="M1106" s="350" t="str">
        <f>IF($B1106="Portfolio","Portfolio",IFERROR(INDEX(DATA_ASSET_CLASSIFICATION!$B$8:$B$24,MATCH($C1106,DATA_ASSET_CLASSIFICATION!$A$8:$A$24,0)),"Review"))</f>
        <v>Beatrice Terrace</v>
      </c>
      <c r="N1106" s="350" t="str">
        <f ca="1">IF($B1106="Portfolio","Portfolio",IFERROR(INDEX(DATA_ASSET_CLASSIFICATION!$U$8:$U$24,MATCH($C1106,DATA_ASSET_CLASSIFICATION!$A$8:$A$24,0)),"Review"))</f>
        <v>Stable</v>
      </c>
      <c r="O1106" s="350" t="str">
        <f ca="1">IF($B1106="Portfolio","Portfolio",IFERROR(INDEX(DATA_ASSET_CLASSIFICATION!$AB$8:$AB$13,MATCH($N1106,DATA_ASSET_CLASSIFICATION!$AA$8:$AA$13,0)),"Review"))</f>
        <v>Bucket 2 · Legacy</v>
      </c>
      <c r="P1106" s="350" t="str">
        <f>IF($B1106="Portfolio","Portfolio",IFERROR(INDEX(DATA_ASSET_CLASSIFICATION!$C$8:$C$24,MATCH($C1106,DATA_ASSET_CLASSIFICATION!$A$8:$A$24,0)),"Review"))</f>
        <v>Yes</v>
      </c>
      <c r="Q1106" s="350" t="str">
        <f t="shared" ca="1" si="35"/>
        <v>OK</v>
      </c>
    </row>
    <row r="1107" spans="1:17">
      <c r="A1107" s="366" t="s">
        <v>3063</v>
      </c>
      <c r="B1107" s="366" t="s">
        <v>231</v>
      </c>
      <c r="C1107" s="348" t="str">
        <f>DATA_PROPERTY_MASTER!$A$7</f>
        <v>BLD_BT</v>
      </c>
      <c r="D1107" s="380">
        <f>'00_PORTFOLIO ROLLUP'!R$12</f>
        <v>2038</v>
      </c>
      <c r="E1107" s="366" t="s">
        <v>1741</v>
      </c>
      <c r="F1107" s="366" t="s">
        <v>41</v>
      </c>
      <c r="G1107" s="348" t="str">
        <f>"'"&amp;$C1107&amp;"'!rows 56 + positive row 63"</f>
        <v>'BLD_BT'!rows 56 + positive row 63</v>
      </c>
      <c r="H1107" s="381">
        <f ca="1">IF(IFERROR(INDEX(DATA_PROPERTY_MASTER!$E$5:$E$21,MATCH($C1107,DATA_PROPERTY_MASTER!$A$5:$A$21,0))="Yes",FALSE),IFERROR(INDEX(INDIRECT("'"&amp;$C1107&amp;"'!$E$56:$Y$56"),1,MATCH($D1107,INDIRECT("'"&amp;$C1107&amp;"'!$E$12:$Y$12"),0)),0)+MAX(IFERROR(INDEX(INDIRECT("'"&amp;$C1107&amp;"'!$E$63:$Y$63"),1,MATCH($D1107,INDIRECT("'"&amp;$C1107&amp;"'!$E$12:$Y$12"),0)),0),0),0)</f>
        <v>48689.026664594887</v>
      </c>
      <c r="I1107" s="366" t="s">
        <v>1685</v>
      </c>
      <c r="J1107" s="348" t="str">
        <f t="shared" ca="1" si="34"/>
        <v>OK</v>
      </c>
      <c r="K1107" s="366" t="s">
        <v>1742</v>
      </c>
      <c r="L1107" s="366" t="s">
        <v>2262</v>
      </c>
      <c r="M1107" s="350" t="str">
        <f>IF($B1107="Portfolio","Portfolio",IFERROR(INDEX(DATA_ASSET_CLASSIFICATION!$B$8:$B$24,MATCH($C1107,DATA_ASSET_CLASSIFICATION!$A$8:$A$24,0)),"Review"))</f>
        <v>Beatrice Terrace</v>
      </c>
      <c r="N1107" s="350" t="str">
        <f ca="1">IF($B1107="Portfolio","Portfolio",IFERROR(INDEX(DATA_ASSET_CLASSIFICATION!$U$8:$U$24,MATCH($C1107,DATA_ASSET_CLASSIFICATION!$A$8:$A$24,0)),"Review"))</f>
        <v>Stable</v>
      </c>
      <c r="O1107" s="350" t="str">
        <f ca="1">IF($B1107="Portfolio","Portfolio",IFERROR(INDEX(DATA_ASSET_CLASSIFICATION!$AB$8:$AB$13,MATCH($N1107,DATA_ASSET_CLASSIFICATION!$AA$8:$AA$13,0)),"Review"))</f>
        <v>Bucket 2 · Legacy</v>
      </c>
      <c r="P1107" s="350" t="str">
        <f>IF($B1107="Portfolio","Portfolio",IFERROR(INDEX(DATA_ASSET_CLASSIFICATION!$C$8:$C$24,MATCH($C1107,DATA_ASSET_CLASSIFICATION!$A$8:$A$24,0)),"Review"))</f>
        <v>Yes</v>
      </c>
      <c r="Q1107" s="350" t="str">
        <f t="shared" ca="1" si="35"/>
        <v>OK</v>
      </c>
    </row>
    <row r="1108" spans="1:17">
      <c r="A1108" s="366" t="s">
        <v>3064</v>
      </c>
      <c r="B1108" s="366" t="s">
        <v>231</v>
      </c>
      <c r="C1108" s="348" t="str">
        <f>DATA_PROPERTY_MASTER!$A$7</f>
        <v>BLD_BT</v>
      </c>
      <c r="D1108" s="380">
        <f>'00_PORTFOLIO ROLLUP'!R$12</f>
        <v>2038</v>
      </c>
      <c r="E1108" s="366" t="s">
        <v>1741</v>
      </c>
      <c r="F1108" s="366" t="s">
        <v>43</v>
      </c>
      <c r="G1108" s="348" t="str">
        <f>"'"&amp;$C1108&amp;"'!$E$68:$Y$68"</f>
        <v>'BLD_BT'!$E$68:$Y$68</v>
      </c>
      <c r="H1108" s="381">
        <f ca="1">IF(IFERROR(INDEX(DATA_PROPERTY_MASTER!$E$5:$E$21,MATCH($C1108,DATA_PROPERTY_MASTER!$A$5:$A$21,0))="Yes",FALSE),IFERROR(INDEX(INDIRECT("'"&amp;$C1108&amp;"'!$E$68:$Y$68"),1,MATCH($D1108,INDIRECT("'"&amp;$C1108&amp;"'!$E$12:$Y$12"),0)),0),0)</f>
        <v>48689.026664594887</v>
      </c>
      <c r="I1108" s="366" t="s">
        <v>1731</v>
      </c>
      <c r="J1108" s="348" t="str">
        <f t="shared" ca="1" si="34"/>
        <v>OK</v>
      </c>
      <c r="K1108" s="366" t="s">
        <v>1746</v>
      </c>
      <c r="L1108" s="366" t="s">
        <v>2264</v>
      </c>
      <c r="M1108" s="350" t="str">
        <f>IF($B1108="Portfolio","Portfolio",IFERROR(INDEX(DATA_ASSET_CLASSIFICATION!$B$8:$B$24,MATCH($C1108,DATA_ASSET_CLASSIFICATION!$A$8:$A$24,0)),"Review"))</f>
        <v>Beatrice Terrace</v>
      </c>
      <c r="N1108" s="350" t="str">
        <f ca="1">IF($B1108="Portfolio","Portfolio",IFERROR(INDEX(DATA_ASSET_CLASSIFICATION!$U$8:$U$24,MATCH($C1108,DATA_ASSET_CLASSIFICATION!$A$8:$A$24,0)),"Review"))</f>
        <v>Stable</v>
      </c>
      <c r="O1108" s="350" t="str">
        <f ca="1">IF($B1108="Portfolio","Portfolio",IFERROR(INDEX(DATA_ASSET_CLASSIFICATION!$AB$8:$AB$13,MATCH($N1108,DATA_ASSET_CLASSIFICATION!$AA$8:$AA$13,0)),"Review"))</f>
        <v>Bucket 2 · Legacy</v>
      </c>
      <c r="P1108" s="350" t="str">
        <f>IF($B1108="Portfolio","Portfolio",IFERROR(INDEX(DATA_ASSET_CLASSIFICATION!$C$8:$C$24,MATCH($C1108,DATA_ASSET_CLASSIFICATION!$A$8:$A$24,0)),"Review"))</f>
        <v>Yes</v>
      </c>
      <c r="Q1108" s="350" t="str">
        <f t="shared" ca="1" si="35"/>
        <v>OK</v>
      </c>
    </row>
    <row r="1109" spans="1:17">
      <c r="A1109" s="366" t="s">
        <v>3065</v>
      </c>
      <c r="B1109" s="366" t="s">
        <v>231</v>
      </c>
      <c r="C1109" s="348" t="str">
        <f>DATA_PROPERTY_MASTER!$A$7</f>
        <v>BLD_BT</v>
      </c>
      <c r="D1109" s="380">
        <f>'00_PORTFOLIO ROLLUP'!R$12</f>
        <v>2038</v>
      </c>
      <c r="E1109" s="366" t="s">
        <v>1741</v>
      </c>
      <c r="F1109" s="366" t="s">
        <v>1749</v>
      </c>
      <c r="G1109" s="348" t="str">
        <f>"'"&amp;$C1109&amp;"'!rows 56, 63, 68"</f>
        <v>'BLD_BT'!rows 56, 63, 68</v>
      </c>
      <c r="H1109" s="381">
        <f ca="1">IF(IFERROR(INDEX(DATA_PROPERTY_MASTER!$E$5:$E$21,MATCH($C1109,DATA_PROPERTY_MASTER!$A$5:$A$21,0))="Yes",FALSE),(IFERROR(INDEX(INDIRECT("'"&amp;$C1109&amp;"'!$E$56:$Y$56"),1,MATCH($D1109,INDIRECT("'"&amp;$C1109&amp;"'!$E$12:$Y$12"),0)),0)+MAX(IFERROR(INDEX(INDIRECT("'"&amp;$C1109&amp;"'!$E$63:$Y$63"),1,MATCH($D1109,INDIRECT("'"&amp;$C1109&amp;"'!$E$12:$Y$12"),0)),0),0))-(IFERROR(INDEX(INDIRECT("'"&amp;$C1109&amp;"'!$E$68:$Y$68"),1,MATCH($D1109,INDIRECT("'"&amp;$C1109&amp;"'!$E$12:$Y$12"),0)),0)),0)</f>
        <v>0</v>
      </c>
      <c r="I1109" s="366" t="s">
        <v>1750</v>
      </c>
      <c r="J1109" s="348" t="str">
        <f t="shared" ca="1" si="34"/>
        <v>OK</v>
      </c>
      <c r="K1109" s="366" t="s">
        <v>1751</v>
      </c>
      <c r="L1109" s="366" t="s">
        <v>2266</v>
      </c>
      <c r="M1109" s="350" t="str">
        <f>IF($B1109="Portfolio","Portfolio",IFERROR(INDEX(DATA_ASSET_CLASSIFICATION!$B$8:$B$24,MATCH($C1109,DATA_ASSET_CLASSIFICATION!$A$8:$A$24,0)),"Review"))</f>
        <v>Beatrice Terrace</v>
      </c>
      <c r="N1109" s="350" t="str">
        <f ca="1">IF($B1109="Portfolio","Portfolio",IFERROR(INDEX(DATA_ASSET_CLASSIFICATION!$U$8:$U$24,MATCH($C1109,DATA_ASSET_CLASSIFICATION!$A$8:$A$24,0)),"Review"))</f>
        <v>Stable</v>
      </c>
      <c r="O1109" s="350" t="str">
        <f ca="1">IF($B1109="Portfolio","Portfolio",IFERROR(INDEX(DATA_ASSET_CLASSIFICATION!$AB$8:$AB$13,MATCH($N1109,DATA_ASSET_CLASSIFICATION!$AA$8:$AA$13,0)),"Review"))</f>
        <v>Bucket 2 · Legacy</v>
      </c>
      <c r="P1109" s="350" t="str">
        <f>IF($B1109="Portfolio","Portfolio",IFERROR(INDEX(DATA_ASSET_CLASSIFICATION!$C$8:$C$24,MATCH($C1109,DATA_ASSET_CLASSIFICATION!$A$8:$A$24,0)),"Review"))</f>
        <v>Yes</v>
      </c>
      <c r="Q1109" s="350" t="str">
        <f t="shared" ca="1" si="35"/>
        <v>OK</v>
      </c>
    </row>
    <row r="1110" spans="1:17">
      <c r="A1110" s="366" t="s">
        <v>3066</v>
      </c>
      <c r="B1110" s="366" t="s">
        <v>231</v>
      </c>
      <c r="C1110" s="348" t="str">
        <f>DATA_PROPERTY_MASTER!$A$7</f>
        <v>BLD_BT</v>
      </c>
      <c r="D1110" s="380">
        <f>'00_PORTFOLIO ROLLUP'!S$12</f>
        <v>2039</v>
      </c>
      <c r="E1110" s="366" t="s">
        <v>1683</v>
      </c>
      <c r="F1110" s="366" t="s">
        <v>341</v>
      </c>
      <c r="G1110" s="348" t="str">
        <f>"'"&amp;$C1110&amp;"'!$E$24:$Y$24"</f>
        <v>'BLD_BT'!$E$24:$Y$24</v>
      </c>
      <c r="H1110" s="381">
        <f ca="1">IF(IFERROR(INDEX(DATA_PROPERTY_MASTER!$E$5:$E$21,MATCH($C1110,DATA_PROPERTY_MASTER!$A$5:$A$21,0))="Yes",FALSE),IFERROR(INDEX(INDIRECT("'"&amp;$C1110&amp;"'!$E$24:$Y$24"),1,MATCH($D1110,INDIRECT("'"&amp;$C1110&amp;"'!$E$12:$Y$12"),0)),0),0)</f>
        <v>429775.77757882071</v>
      </c>
      <c r="I1110" s="366" t="s">
        <v>1685</v>
      </c>
      <c r="J1110" s="348" t="str">
        <f t="shared" ca="1" si="34"/>
        <v>OK</v>
      </c>
      <c r="K1110" s="366" t="s">
        <v>1686</v>
      </c>
      <c r="L1110" s="366" t="s">
        <v>2234</v>
      </c>
      <c r="M1110" s="350" t="str">
        <f>IF($B1110="Portfolio","Portfolio",IFERROR(INDEX(DATA_ASSET_CLASSIFICATION!$B$8:$B$24,MATCH($C1110,DATA_ASSET_CLASSIFICATION!$A$8:$A$24,0)),"Review"))</f>
        <v>Beatrice Terrace</v>
      </c>
      <c r="N1110" s="350" t="str">
        <f ca="1">IF($B1110="Portfolio","Portfolio",IFERROR(INDEX(DATA_ASSET_CLASSIFICATION!$U$8:$U$24,MATCH($C1110,DATA_ASSET_CLASSIFICATION!$A$8:$A$24,0)),"Review"))</f>
        <v>Stable</v>
      </c>
      <c r="O1110" s="350" t="str">
        <f ca="1">IF($B1110="Portfolio","Portfolio",IFERROR(INDEX(DATA_ASSET_CLASSIFICATION!$AB$8:$AB$13,MATCH($N1110,DATA_ASSET_CLASSIFICATION!$AA$8:$AA$13,0)),"Review"))</f>
        <v>Bucket 2 · Legacy</v>
      </c>
      <c r="P1110" s="350" t="str">
        <f>IF($B1110="Portfolio","Portfolio",IFERROR(INDEX(DATA_ASSET_CLASSIFICATION!$C$8:$C$24,MATCH($C1110,DATA_ASSET_CLASSIFICATION!$A$8:$A$24,0)),"Review"))</f>
        <v>Yes</v>
      </c>
      <c r="Q1110" s="350" t="str">
        <f t="shared" ca="1" si="35"/>
        <v>OK</v>
      </c>
    </row>
    <row r="1111" spans="1:17">
      <c r="A1111" s="366" t="s">
        <v>3067</v>
      </c>
      <c r="B1111" s="366" t="s">
        <v>231</v>
      </c>
      <c r="C1111" s="348" t="str">
        <f>DATA_PROPERTY_MASTER!$A$7</f>
        <v>BLD_BT</v>
      </c>
      <c r="D1111" s="380">
        <f>'00_PORTFOLIO ROLLUP'!S$12</f>
        <v>2039</v>
      </c>
      <c r="E1111" s="366" t="s">
        <v>1683</v>
      </c>
      <c r="F1111" s="366" t="s">
        <v>355</v>
      </c>
      <c r="G1111" s="348" t="str">
        <f>"'"&amp;$C1111&amp;"'!$E$39:$Y$39"</f>
        <v>'BLD_BT'!$E$39:$Y$39</v>
      </c>
      <c r="H1111" s="381">
        <f ca="1">IF(IFERROR(INDEX(DATA_PROPERTY_MASTER!$E$5:$E$21,MATCH($C1111,DATA_PROPERTY_MASTER!$A$5:$A$21,0))="Yes",FALSE),IFERROR(INDEX(INDIRECT("'"&amp;$C1111&amp;"'!$E$39:$Y$39"),1,MATCH($D1111,INDIRECT("'"&amp;$C1111&amp;"'!$E$12:$Y$12"),0)),0),0)</f>
        <v>193789.11875853551</v>
      </c>
      <c r="I1111" s="366" t="s">
        <v>1690</v>
      </c>
      <c r="J1111" s="348" t="str">
        <f t="shared" ca="1" si="34"/>
        <v>OK</v>
      </c>
      <c r="K1111" s="366" t="s">
        <v>1686</v>
      </c>
      <c r="L1111" s="366" t="s">
        <v>2236</v>
      </c>
      <c r="M1111" s="350" t="str">
        <f>IF($B1111="Portfolio","Portfolio",IFERROR(INDEX(DATA_ASSET_CLASSIFICATION!$B$8:$B$24,MATCH($C1111,DATA_ASSET_CLASSIFICATION!$A$8:$A$24,0)),"Review"))</f>
        <v>Beatrice Terrace</v>
      </c>
      <c r="N1111" s="350" t="str">
        <f ca="1">IF($B1111="Portfolio","Portfolio",IFERROR(INDEX(DATA_ASSET_CLASSIFICATION!$U$8:$U$24,MATCH($C1111,DATA_ASSET_CLASSIFICATION!$A$8:$A$24,0)),"Review"))</f>
        <v>Stable</v>
      </c>
      <c r="O1111" s="350" t="str">
        <f ca="1">IF($B1111="Portfolio","Portfolio",IFERROR(INDEX(DATA_ASSET_CLASSIFICATION!$AB$8:$AB$13,MATCH($N1111,DATA_ASSET_CLASSIFICATION!$AA$8:$AA$13,0)),"Review"))</f>
        <v>Bucket 2 · Legacy</v>
      </c>
      <c r="P1111" s="350" t="str">
        <f>IF($B1111="Portfolio","Portfolio",IFERROR(INDEX(DATA_ASSET_CLASSIFICATION!$C$8:$C$24,MATCH($C1111,DATA_ASSET_CLASSIFICATION!$A$8:$A$24,0)),"Review"))</f>
        <v>Yes</v>
      </c>
      <c r="Q1111" s="350" t="str">
        <f t="shared" ca="1" si="35"/>
        <v>OK</v>
      </c>
    </row>
    <row r="1112" spans="1:17">
      <c r="A1112" s="366" t="s">
        <v>3068</v>
      </c>
      <c r="B1112" s="366" t="s">
        <v>231</v>
      </c>
      <c r="C1112" s="348" t="str">
        <f>DATA_PROPERTY_MASTER!$A$7</f>
        <v>BLD_BT</v>
      </c>
      <c r="D1112" s="380">
        <f>'00_PORTFOLIO ROLLUP'!S$12</f>
        <v>2039</v>
      </c>
      <c r="E1112" s="366" t="s">
        <v>1683</v>
      </c>
      <c r="F1112" s="366" t="s">
        <v>19</v>
      </c>
      <c r="G1112" s="348" t="str">
        <f>"'"&amp;$C1112&amp;"'!$E$41:$Y$41"</f>
        <v>'BLD_BT'!$E$41:$Y$41</v>
      </c>
      <c r="H1112" s="381">
        <f ca="1">IF(IFERROR(INDEX(DATA_PROPERTY_MASTER!$E$5:$E$21,MATCH($C1112,DATA_PROPERTY_MASTER!$A$5:$A$21,0))="Yes",FALSE),IFERROR(INDEX(INDIRECT("'"&amp;$C1112&amp;"'!$E$41:$Y$41"),1,MATCH($D1112,INDIRECT("'"&amp;$C1112&amp;"'!$E$12:$Y$12"),0)),0),0)</f>
        <v>235986.6588202852</v>
      </c>
      <c r="I1112" s="366" t="s">
        <v>1685</v>
      </c>
      <c r="J1112" s="348" t="str">
        <f t="shared" ca="1" si="34"/>
        <v>OK</v>
      </c>
      <c r="K1112" s="366" t="s">
        <v>1694</v>
      </c>
      <c r="L1112" s="366" t="s">
        <v>2238</v>
      </c>
      <c r="M1112" s="350" t="str">
        <f>IF($B1112="Portfolio","Portfolio",IFERROR(INDEX(DATA_ASSET_CLASSIFICATION!$B$8:$B$24,MATCH($C1112,DATA_ASSET_CLASSIFICATION!$A$8:$A$24,0)),"Review"))</f>
        <v>Beatrice Terrace</v>
      </c>
      <c r="N1112" s="350" t="str">
        <f ca="1">IF($B1112="Portfolio","Portfolio",IFERROR(INDEX(DATA_ASSET_CLASSIFICATION!$U$8:$U$24,MATCH($C1112,DATA_ASSET_CLASSIFICATION!$A$8:$A$24,0)),"Review"))</f>
        <v>Stable</v>
      </c>
      <c r="O1112" s="350" t="str">
        <f ca="1">IF($B1112="Portfolio","Portfolio",IFERROR(INDEX(DATA_ASSET_CLASSIFICATION!$AB$8:$AB$13,MATCH($N1112,DATA_ASSET_CLASSIFICATION!$AA$8:$AA$13,0)),"Review"))</f>
        <v>Bucket 2 · Legacy</v>
      </c>
      <c r="P1112" s="350" t="str">
        <f>IF($B1112="Portfolio","Portfolio",IFERROR(INDEX(DATA_ASSET_CLASSIFICATION!$C$8:$C$24,MATCH($C1112,DATA_ASSET_CLASSIFICATION!$A$8:$A$24,0)),"Review"))</f>
        <v>Yes</v>
      </c>
      <c r="Q1112" s="350" t="str">
        <f t="shared" ca="1" si="35"/>
        <v>OK</v>
      </c>
    </row>
    <row r="1113" spans="1:17">
      <c r="A1113" s="366" t="s">
        <v>3069</v>
      </c>
      <c r="B1113" s="366" t="s">
        <v>231</v>
      </c>
      <c r="C1113" s="348" t="str">
        <f>DATA_PROPERTY_MASTER!$A$7</f>
        <v>BLD_BT</v>
      </c>
      <c r="D1113" s="380">
        <f>'00_PORTFOLIO ROLLUP'!S$12</f>
        <v>2039</v>
      </c>
      <c r="E1113" s="366" t="s">
        <v>1683</v>
      </c>
      <c r="F1113" s="366" t="s">
        <v>1697</v>
      </c>
      <c r="G1113" s="348" t="str">
        <f>"'"&amp;$C1113&amp;"'!$E$44:$Y$44"</f>
        <v>'BLD_BT'!$E$44:$Y$44</v>
      </c>
      <c r="H1113" s="381">
        <f ca="1">IF(IFERROR(INDEX(DATA_PROPERTY_MASTER!$E$5:$E$21,MATCH($C1113,DATA_PROPERTY_MASTER!$A$5:$A$21,0))="Yes",FALSE),IFERROR(INDEX(INDIRECT("'"&amp;$C1113&amp;"'!$E$44:$Y$44"),1,MATCH($D1113,INDIRECT("'"&amp;$C1113&amp;"'!$E$12:$Y$12"),0)),0),0)</f>
        <v>3562.592660269755</v>
      </c>
      <c r="I1113" s="366" t="s">
        <v>1690</v>
      </c>
      <c r="J1113" s="348" t="str">
        <f t="shared" ca="1" si="34"/>
        <v>OK</v>
      </c>
      <c r="K1113" s="366" t="s">
        <v>1699</v>
      </c>
      <c r="L1113" s="366" t="s">
        <v>2240</v>
      </c>
      <c r="M1113" s="350" t="str">
        <f>IF($B1113="Portfolio","Portfolio",IFERROR(INDEX(DATA_ASSET_CLASSIFICATION!$B$8:$B$24,MATCH($C1113,DATA_ASSET_CLASSIFICATION!$A$8:$A$24,0)),"Review"))</f>
        <v>Beatrice Terrace</v>
      </c>
      <c r="N1113" s="350" t="str">
        <f ca="1">IF($B1113="Portfolio","Portfolio",IFERROR(INDEX(DATA_ASSET_CLASSIFICATION!$U$8:$U$24,MATCH($C1113,DATA_ASSET_CLASSIFICATION!$A$8:$A$24,0)),"Review"))</f>
        <v>Stable</v>
      </c>
      <c r="O1113" s="350" t="str">
        <f ca="1">IF($B1113="Portfolio","Portfolio",IFERROR(INDEX(DATA_ASSET_CLASSIFICATION!$AB$8:$AB$13,MATCH($N1113,DATA_ASSET_CLASSIFICATION!$AA$8:$AA$13,0)),"Review"))</f>
        <v>Bucket 2 · Legacy</v>
      </c>
      <c r="P1113" s="350" t="str">
        <f>IF($B1113="Portfolio","Portfolio",IFERROR(INDEX(DATA_ASSET_CLASSIFICATION!$C$8:$C$24,MATCH($C1113,DATA_ASSET_CLASSIFICATION!$A$8:$A$24,0)),"Review"))</f>
        <v>Yes</v>
      </c>
      <c r="Q1113" s="350" t="str">
        <f t="shared" ca="1" si="35"/>
        <v>OK</v>
      </c>
    </row>
    <row r="1114" spans="1:17">
      <c r="A1114" s="366" t="s">
        <v>3070</v>
      </c>
      <c r="B1114" s="366" t="s">
        <v>231</v>
      </c>
      <c r="C1114" s="348" t="str">
        <f>DATA_PROPERTY_MASTER!$A$7</f>
        <v>BLD_BT</v>
      </c>
      <c r="D1114" s="380">
        <f>'00_PORTFOLIO ROLLUP'!S$12</f>
        <v>2039</v>
      </c>
      <c r="E1114" s="366" t="s">
        <v>1683</v>
      </c>
      <c r="F1114" s="366" t="s">
        <v>21</v>
      </c>
      <c r="G1114" s="348" t="str">
        <f>"'"&amp;$C1114&amp;"'!$E$45:$Y$45"</f>
        <v>'BLD_BT'!$E$45:$Y$45</v>
      </c>
      <c r="H1114" s="381">
        <f ca="1">IF(IFERROR(INDEX(DATA_PROPERTY_MASTER!$E$5:$E$21,MATCH($C1114,DATA_PROPERTY_MASTER!$A$5:$A$21,0))="Yes",FALSE),IFERROR(INDEX(INDIRECT("'"&amp;$C1114&amp;"'!$E$45:$Y$45"),1,MATCH($D1114,INDIRECT("'"&amp;$C1114&amp;"'!$E$12:$Y$12"),0)),0),0)</f>
        <v>232424.06616001544</v>
      </c>
      <c r="I1114" s="366" t="s">
        <v>1685</v>
      </c>
      <c r="J1114" s="348" t="str">
        <f t="shared" ca="1" si="34"/>
        <v>OK</v>
      </c>
      <c r="K1114" s="366" t="s">
        <v>1694</v>
      </c>
      <c r="L1114" s="366" t="s">
        <v>2242</v>
      </c>
      <c r="M1114" s="350" t="str">
        <f>IF($B1114="Portfolio","Portfolio",IFERROR(INDEX(DATA_ASSET_CLASSIFICATION!$B$8:$B$24,MATCH($C1114,DATA_ASSET_CLASSIFICATION!$A$8:$A$24,0)),"Review"))</f>
        <v>Beatrice Terrace</v>
      </c>
      <c r="N1114" s="350" t="str">
        <f ca="1">IF($B1114="Portfolio","Portfolio",IFERROR(INDEX(DATA_ASSET_CLASSIFICATION!$U$8:$U$24,MATCH($C1114,DATA_ASSET_CLASSIFICATION!$A$8:$A$24,0)),"Review"))</f>
        <v>Stable</v>
      </c>
      <c r="O1114" s="350" t="str">
        <f ca="1">IF($B1114="Portfolio","Portfolio",IFERROR(INDEX(DATA_ASSET_CLASSIFICATION!$AB$8:$AB$13,MATCH($N1114,DATA_ASSET_CLASSIFICATION!$AA$8:$AA$13,0)),"Review"))</f>
        <v>Bucket 2 · Legacy</v>
      </c>
      <c r="P1114" s="350" t="str">
        <f>IF($B1114="Portfolio","Portfolio",IFERROR(INDEX(DATA_ASSET_CLASSIFICATION!$C$8:$C$24,MATCH($C1114,DATA_ASSET_CLASSIFICATION!$A$8:$A$24,0)),"Review"))</f>
        <v>Yes</v>
      </c>
      <c r="Q1114" s="350" t="str">
        <f t="shared" ca="1" si="35"/>
        <v>OK</v>
      </c>
    </row>
    <row r="1115" spans="1:17">
      <c r="A1115" s="366" t="s">
        <v>3071</v>
      </c>
      <c r="B1115" s="366" t="s">
        <v>231</v>
      </c>
      <c r="C1115" s="348" t="str">
        <f>DATA_PROPERTY_MASTER!$A$7</f>
        <v>BLD_BT</v>
      </c>
      <c r="D1115" s="380">
        <f>'00_PORTFOLIO ROLLUP'!S$12</f>
        <v>2039</v>
      </c>
      <c r="E1115" s="366" t="s">
        <v>23</v>
      </c>
      <c r="F1115" s="366" t="s">
        <v>23</v>
      </c>
      <c r="G1115" s="348" t="str">
        <f>"'"&amp;$C1115&amp;"'!$E$48:$Y$48"</f>
        <v>'BLD_BT'!$E$48:$Y$48</v>
      </c>
      <c r="H1115" s="381">
        <f ca="1">IF(IFERROR(INDEX(DATA_PROPERTY_MASTER!$E$5:$E$21,MATCH($C1115,DATA_PROPERTY_MASTER!$A$5:$A$21,0))="Yes",FALSE),IFERROR(INDEX(INDIRECT("'"&amp;$C1115&amp;"'!$E$48:$Y$48"),1,MATCH($D1115,INDIRECT("'"&amp;$C1115&amp;"'!$E$12:$Y$12"),0)),0),0)</f>
        <v>110563.68</v>
      </c>
      <c r="I1115" s="366" t="s">
        <v>1690</v>
      </c>
      <c r="J1115" s="348" t="str">
        <f t="shared" ca="1" si="34"/>
        <v>OK</v>
      </c>
      <c r="K1115" s="366" t="s">
        <v>1706</v>
      </c>
      <c r="L1115" s="366" t="s">
        <v>2244</v>
      </c>
      <c r="M1115" s="350" t="str">
        <f>IF($B1115="Portfolio","Portfolio",IFERROR(INDEX(DATA_ASSET_CLASSIFICATION!$B$8:$B$24,MATCH($C1115,DATA_ASSET_CLASSIFICATION!$A$8:$A$24,0)),"Review"))</f>
        <v>Beatrice Terrace</v>
      </c>
      <c r="N1115" s="350" t="str">
        <f ca="1">IF($B1115="Portfolio","Portfolio",IFERROR(INDEX(DATA_ASSET_CLASSIFICATION!$U$8:$U$24,MATCH($C1115,DATA_ASSET_CLASSIFICATION!$A$8:$A$24,0)),"Review"))</f>
        <v>Stable</v>
      </c>
      <c r="O1115" s="350" t="str">
        <f ca="1">IF($B1115="Portfolio","Portfolio",IFERROR(INDEX(DATA_ASSET_CLASSIFICATION!$AB$8:$AB$13,MATCH($N1115,DATA_ASSET_CLASSIFICATION!$AA$8:$AA$13,0)),"Review"))</f>
        <v>Bucket 2 · Legacy</v>
      </c>
      <c r="P1115" s="350" t="str">
        <f>IF($B1115="Portfolio","Portfolio",IFERROR(INDEX(DATA_ASSET_CLASSIFICATION!$C$8:$C$24,MATCH($C1115,DATA_ASSET_CLASSIFICATION!$A$8:$A$24,0)),"Review"))</f>
        <v>Yes</v>
      </c>
      <c r="Q1115" s="350" t="str">
        <f t="shared" ca="1" si="35"/>
        <v>OK</v>
      </c>
    </row>
    <row r="1116" spans="1:17">
      <c r="A1116" s="366" t="s">
        <v>3072</v>
      </c>
      <c r="B1116" s="366" t="s">
        <v>231</v>
      </c>
      <c r="C1116" s="348" t="str">
        <f>DATA_PROPERTY_MASTER!$A$7</f>
        <v>BLD_BT</v>
      </c>
      <c r="D1116" s="380">
        <f>'00_PORTFOLIO ROLLUP'!S$12</f>
        <v>2039</v>
      </c>
      <c r="E1116" s="366" t="s">
        <v>1683</v>
      </c>
      <c r="F1116" s="366" t="s">
        <v>25</v>
      </c>
      <c r="G1116" s="348" t="str">
        <f>"'"&amp;$C1116&amp;"'!$E$52:$Y$52"</f>
        <v>'BLD_BT'!$E$52:$Y$52</v>
      </c>
      <c r="H1116" s="381">
        <f ca="1">IF(IFERROR(INDEX(DATA_PROPERTY_MASTER!$E$5:$E$21,MATCH($C1116,DATA_PROPERTY_MASTER!$A$5:$A$21,0))="Yes",FALSE),IFERROR(INDEX(INDIRECT("'"&amp;$C1116&amp;"'!$E$52:$Y$52"),1,MATCH($D1116,INDIRECT("'"&amp;$C1116&amp;"'!$E$12:$Y$12"),0)),0),0)</f>
        <v>125422.97882028521</v>
      </c>
      <c r="I1116" s="366" t="s">
        <v>1685</v>
      </c>
      <c r="J1116" s="348" t="str">
        <f t="shared" ca="1" si="34"/>
        <v>OK</v>
      </c>
      <c r="K1116" s="366" t="s">
        <v>1710</v>
      </c>
      <c r="L1116" s="366" t="s">
        <v>2246</v>
      </c>
      <c r="M1116" s="350" t="str">
        <f>IF($B1116="Portfolio","Portfolio",IFERROR(INDEX(DATA_ASSET_CLASSIFICATION!$B$8:$B$24,MATCH($C1116,DATA_ASSET_CLASSIFICATION!$A$8:$A$24,0)),"Review"))</f>
        <v>Beatrice Terrace</v>
      </c>
      <c r="N1116" s="350" t="str">
        <f ca="1">IF($B1116="Portfolio","Portfolio",IFERROR(INDEX(DATA_ASSET_CLASSIFICATION!$U$8:$U$24,MATCH($C1116,DATA_ASSET_CLASSIFICATION!$A$8:$A$24,0)),"Review"))</f>
        <v>Stable</v>
      </c>
      <c r="O1116" s="350" t="str">
        <f ca="1">IF($B1116="Portfolio","Portfolio",IFERROR(INDEX(DATA_ASSET_CLASSIFICATION!$AB$8:$AB$13,MATCH($N1116,DATA_ASSET_CLASSIFICATION!$AA$8:$AA$13,0)),"Review"))</f>
        <v>Bucket 2 · Legacy</v>
      </c>
      <c r="P1116" s="350" t="str">
        <f>IF($B1116="Portfolio","Portfolio",IFERROR(INDEX(DATA_ASSET_CLASSIFICATION!$C$8:$C$24,MATCH($C1116,DATA_ASSET_CLASSIFICATION!$A$8:$A$24,0)),"Review"))</f>
        <v>Yes</v>
      </c>
      <c r="Q1116" s="350" t="str">
        <f t="shared" ca="1" si="35"/>
        <v>OK</v>
      </c>
    </row>
    <row r="1117" spans="1:17">
      <c r="A1117" s="366" t="s">
        <v>3073</v>
      </c>
      <c r="B1117" s="366" t="s">
        <v>231</v>
      </c>
      <c r="C1117" s="348" t="str">
        <f>DATA_PROPERTY_MASTER!$A$7</f>
        <v>BLD_BT</v>
      </c>
      <c r="D1117" s="380">
        <f>'00_PORTFOLIO ROLLUP'!S$12</f>
        <v>2039</v>
      </c>
      <c r="E1117" s="366" t="s">
        <v>1683</v>
      </c>
      <c r="F1117" s="366" t="s">
        <v>27</v>
      </c>
      <c r="G1117" s="348" t="str">
        <f>"'"&amp;$C1117&amp;"'!$E$54:$Y$54"</f>
        <v>'BLD_BT'!$E$54:$Y$54</v>
      </c>
      <c r="H1117" s="381">
        <f ca="1">IF(IFERROR(INDEX(DATA_PROPERTY_MASTER!$E$5:$E$21,MATCH($C1117,DATA_PROPERTY_MASTER!$A$5:$A$21,0))="Yes",FALSE),IFERROR(INDEX(INDIRECT("'"&amp;$C1117&amp;"'!$E$54:$Y$54"),1,MATCH($D1117,INDIRECT("'"&amp;$C1117&amp;"'!$E$12:$Y$12"),0)),0),0)</f>
        <v>75253.787292171124</v>
      </c>
      <c r="I1117" s="366" t="s">
        <v>1690</v>
      </c>
      <c r="J1117" s="348" t="str">
        <f t="shared" ca="1" si="34"/>
        <v>OK</v>
      </c>
      <c r="K1117" s="366" t="s">
        <v>1714</v>
      </c>
      <c r="L1117" s="366" t="s">
        <v>2248</v>
      </c>
      <c r="M1117" s="350" t="str">
        <f>IF($B1117="Portfolio","Portfolio",IFERROR(INDEX(DATA_ASSET_CLASSIFICATION!$B$8:$B$24,MATCH($C1117,DATA_ASSET_CLASSIFICATION!$A$8:$A$24,0)),"Review"))</f>
        <v>Beatrice Terrace</v>
      </c>
      <c r="N1117" s="350" t="str">
        <f ca="1">IF($B1117="Portfolio","Portfolio",IFERROR(INDEX(DATA_ASSET_CLASSIFICATION!$U$8:$U$24,MATCH($C1117,DATA_ASSET_CLASSIFICATION!$A$8:$A$24,0)),"Review"))</f>
        <v>Stable</v>
      </c>
      <c r="O1117" s="350" t="str">
        <f ca="1">IF($B1117="Portfolio","Portfolio",IFERROR(INDEX(DATA_ASSET_CLASSIFICATION!$AB$8:$AB$13,MATCH($N1117,DATA_ASSET_CLASSIFICATION!$AA$8:$AA$13,0)),"Review"))</f>
        <v>Bucket 2 · Legacy</v>
      </c>
      <c r="P1117" s="350" t="str">
        <f>IF($B1117="Portfolio","Portfolio",IFERROR(INDEX(DATA_ASSET_CLASSIFICATION!$C$8:$C$24,MATCH($C1117,DATA_ASSET_CLASSIFICATION!$A$8:$A$24,0)),"Review"))</f>
        <v>Yes</v>
      </c>
      <c r="Q1117" s="350" t="str">
        <f t="shared" ca="1" si="35"/>
        <v>OK</v>
      </c>
    </row>
    <row r="1118" spans="1:17">
      <c r="A1118" s="366" t="s">
        <v>3074</v>
      </c>
      <c r="B1118" s="366" t="s">
        <v>231</v>
      </c>
      <c r="C1118" s="348" t="str">
        <f>DATA_PROPERTY_MASTER!$A$7</f>
        <v>BLD_BT</v>
      </c>
      <c r="D1118" s="380">
        <f>'00_PORTFOLIO ROLLUP'!S$12</f>
        <v>2039</v>
      </c>
      <c r="E1118" s="366" t="s">
        <v>1683</v>
      </c>
      <c r="F1118" s="366" t="s">
        <v>29</v>
      </c>
      <c r="G1118" s="348" t="str">
        <f>"'"&amp;$C1118&amp;"'!$E$56:$Y$56"</f>
        <v>'BLD_BT'!$E$56:$Y$56</v>
      </c>
      <c r="H1118" s="381">
        <f ca="1">IF(IFERROR(INDEX(DATA_PROPERTY_MASTER!$E$5:$E$21,MATCH($C1118,DATA_PROPERTY_MASTER!$A$5:$A$21,0))="Yes",FALSE),IFERROR(INDEX(INDIRECT("'"&amp;$C1118&amp;"'!$E$56:$Y$56"),1,MATCH($D1118,INDIRECT("'"&amp;$C1118&amp;"'!$E$12:$Y$12"),0)),0),0)</f>
        <v>50169.191528114083</v>
      </c>
      <c r="I1118" s="366" t="s">
        <v>1685</v>
      </c>
      <c r="J1118" s="348" t="str">
        <f t="shared" ca="1" si="34"/>
        <v>OK</v>
      </c>
      <c r="K1118" s="366" t="s">
        <v>1718</v>
      </c>
      <c r="L1118" s="366" t="s">
        <v>2250</v>
      </c>
      <c r="M1118" s="350" t="str">
        <f>IF($B1118="Portfolio","Portfolio",IFERROR(INDEX(DATA_ASSET_CLASSIFICATION!$B$8:$B$24,MATCH($C1118,DATA_ASSET_CLASSIFICATION!$A$8:$A$24,0)),"Review"))</f>
        <v>Beatrice Terrace</v>
      </c>
      <c r="N1118" s="350" t="str">
        <f ca="1">IF($B1118="Portfolio","Portfolio",IFERROR(INDEX(DATA_ASSET_CLASSIFICATION!$U$8:$U$24,MATCH($C1118,DATA_ASSET_CLASSIFICATION!$A$8:$A$24,0)),"Review"))</f>
        <v>Stable</v>
      </c>
      <c r="O1118" s="350" t="str">
        <f ca="1">IF($B1118="Portfolio","Portfolio",IFERROR(INDEX(DATA_ASSET_CLASSIFICATION!$AB$8:$AB$13,MATCH($N1118,DATA_ASSET_CLASSIFICATION!$AA$8:$AA$13,0)),"Review"))</f>
        <v>Bucket 2 · Legacy</v>
      </c>
      <c r="P1118" s="350" t="str">
        <f>IF($B1118="Portfolio","Portfolio",IFERROR(INDEX(DATA_ASSET_CLASSIFICATION!$C$8:$C$24,MATCH($C1118,DATA_ASSET_CLASSIFICATION!$A$8:$A$24,0)),"Review"))</f>
        <v>Yes</v>
      </c>
      <c r="Q1118" s="350" t="str">
        <f t="shared" ca="1" si="35"/>
        <v>OK</v>
      </c>
    </row>
    <row r="1119" spans="1:17">
      <c r="A1119" s="366" t="s">
        <v>3075</v>
      </c>
      <c r="B1119" s="366" t="s">
        <v>231</v>
      </c>
      <c r="C1119" s="348" t="str">
        <f>DATA_PROPERTY_MASTER!$A$7</f>
        <v>BLD_BT</v>
      </c>
      <c r="D1119" s="380">
        <f>'00_PORTFOLIO ROLLUP'!S$12</f>
        <v>2039</v>
      </c>
      <c r="E1119" s="366" t="s">
        <v>1721</v>
      </c>
      <c r="F1119" s="366" t="s">
        <v>31</v>
      </c>
      <c r="G1119" s="348" t="str">
        <f>"'"&amp;$C1119&amp;"'!$E$61:$Y$61"</f>
        <v>'BLD_BT'!$E$61:$Y$61</v>
      </c>
      <c r="H1119" s="381">
        <f ca="1">IF(IFERROR(INDEX(DATA_PROPERTY_MASTER!$E$5:$E$21,MATCH($C1119,DATA_PROPERTY_MASTER!$A$5:$A$21,0))="Yes",FALSE),IFERROR(INDEX(INDIRECT("'"&amp;$C1119&amp;"'!$E$61:$Y$61"),1,MATCH($D1119,INDIRECT("'"&amp;$C1119&amp;"'!$E$12:$Y$12"),0)),0),0)</f>
        <v>0</v>
      </c>
      <c r="I1119" s="366" t="s">
        <v>1690</v>
      </c>
      <c r="J1119" s="348" t="str">
        <f t="shared" ca="1" si="34"/>
        <v>OK</v>
      </c>
      <c r="K1119" s="366" t="s">
        <v>1723</v>
      </c>
      <c r="L1119" s="366" t="s">
        <v>2252</v>
      </c>
      <c r="M1119" s="350" t="str">
        <f>IF($B1119="Portfolio","Portfolio",IFERROR(INDEX(DATA_ASSET_CLASSIFICATION!$B$8:$B$24,MATCH($C1119,DATA_ASSET_CLASSIFICATION!$A$8:$A$24,0)),"Review"))</f>
        <v>Beatrice Terrace</v>
      </c>
      <c r="N1119" s="350" t="str">
        <f ca="1">IF($B1119="Portfolio","Portfolio",IFERROR(INDEX(DATA_ASSET_CLASSIFICATION!$U$8:$U$24,MATCH($C1119,DATA_ASSET_CLASSIFICATION!$A$8:$A$24,0)),"Review"))</f>
        <v>Stable</v>
      </c>
      <c r="O1119" s="350" t="str">
        <f ca="1">IF($B1119="Portfolio","Portfolio",IFERROR(INDEX(DATA_ASSET_CLASSIFICATION!$AB$8:$AB$13,MATCH($N1119,DATA_ASSET_CLASSIFICATION!$AA$8:$AA$13,0)),"Review"))</f>
        <v>Bucket 2 · Legacy</v>
      </c>
      <c r="P1119" s="350" t="str">
        <f>IF($B1119="Portfolio","Portfolio",IFERROR(INDEX(DATA_ASSET_CLASSIFICATION!$C$8:$C$24,MATCH($C1119,DATA_ASSET_CLASSIFICATION!$A$8:$A$24,0)),"Review"))</f>
        <v>Yes</v>
      </c>
      <c r="Q1119" s="350" t="str">
        <f t="shared" ca="1" si="35"/>
        <v>OK</v>
      </c>
    </row>
    <row r="1120" spans="1:17">
      <c r="A1120" s="366" t="s">
        <v>3076</v>
      </c>
      <c r="B1120" s="366" t="s">
        <v>231</v>
      </c>
      <c r="C1120" s="348" t="str">
        <f>DATA_PROPERTY_MASTER!$A$7</f>
        <v>BLD_BT</v>
      </c>
      <c r="D1120" s="380">
        <f>'00_PORTFOLIO ROLLUP'!S$12</f>
        <v>2039</v>
      </c>
      <c r="E1120" s="366" t="s">
        <v>1721</v>
      </c>
      <c r="F1120" s="366" t="s">
        <v>33</v>
      </c>
      <c r="G1120" s="348" t="str">
        <f>"'"&amp;$C1120&amp;"'!$E$62:$Y$62"</f>
        <v>'BLD_BT'!$E$62:$Y$62</v>
      </c>
      <c r="H1120" s="381">
        <f ca="1">IF(IFERROR(INDEX(DATA_PROPERTY_MASTER!$E$5:$E$21,MATCH($C1120,DATA_PROPERTY_MASTER!$A$5:$A$21,0))="Yes",FALSE),IFERROR(INDEX(INDIRECT("'"&amp;$C1120&amp;"'!$E$62:$Y$62"),1,MATCH($D1120,INDIRECT("'"&amp;$C1120&amp;"'!$E$12:$Y$12"),0)),0),0)</f>
        <v>0</v>
      </c>
      <c r="I1120" s="366" t="s">
        <v>1685</v>
      </c>
      <c r="J1120" s="348" t="str">
        <f t="shared" ca="1" si="34"/>
        <v>OK</v>
      </c>
      <c r="K1120" s="366" t="s">
        <v>1727</v>
      </c>
      <c r="L1120" s="366" t="s">
        <v>2254</v>
      </c>
      <c r="M1120" s="350" t="str">
        <f>IF($B1120="Portfolio","Portfolio",IFERROR(INDEX(DATA_ASSET_CLASSIFICATION!$B$8:$B$24,MATCH($C1120,DATA_ASSET_CLASSIFICATION!$A$8:$A$24,0)),"Review"))</f>
        <v>Beatrice Terrace</v>
      </c>
      <c r="N1120" s="350" t="str">
        <f ca="1">IF($B1120="Portfolio","Portfolio",IFERROR(INDEX(DATA_ASSET_CLASSIFICATION!$U$8:$U$24,MATCH($C1120,DATA_ASSET_CLASSIFICATION!$A$8:$A$24,0)),"Review"))</f>
        <v>Stable</v>
      </c>
      <c r="O1120" s="350" t="str">
        <f ca="1">IF($B1120="Portfolio","Portfolio",IFERROR(INDEX(DATA_ASSET_CLASSIFICATION!$AB$8:$AB$13,MATCH($N1120,DATA_ASSET_CLASSIFICATION!$AA$8:$AA$13,0)),"Review"))</f>
        <v>Bucket 2 · Legacy</v>
      </c>
      <c r="P1120" s="350" t="str">
        <f>IF($B1120="Portfolio","Portfolio",IFERROR(INDEX(DATA_ASSET_CLASSIFICATION!$C$8:$C$24,MATCH($C1120,DATA_ASSET_CLASSIFICATION!$A$8:$A$24,0)),"Review"))</f>
        <v>Yes</v>
      </c>
      <c r="Q1120" s="350" t="str">
        <f t="shared" ca="1" si="35"/>
        <v>OK</v>
      </c>
    </row>
    <row r="1121" spans="1:17">
      <c r="A1121" s="366" t="s">
        <v>3077</v>
      </c>
      <c r="B1121" s="366" t="s">
        <v>231</v>
      </c>
      <c r="C1121" s="348" t="str">
        <f>DATA_PROPERTY_MASTER!$A$7</f>
        <v>BLD_BT</v>
      </c>
      <c r="D1121" s="380">
        <f>'00_PORTFOLIO ROLLUP'!S$12</f>
        <v>2039</v>
      </c>
      <c r="E1121" s="366" t="s">
        <v>1721</v>
      </c>
      <c r="F1121" s="366" t="s">
        <v>35</v>
      </c>
      <c r="G1121" s="348" t="str">
        <f>"'"&amp;$C1121&amp;"'!$E$63:$Y$63"</f>
        <v>'BLD_BT'!$E$63:$Y$63</v>
      </c>
      <c r="H1121" s="381">
        <f ca="1">IF(IFERROR(INDEX(DATA_PROPERTY_MASTER!$E$5:$E$21,MATCH($C1121,DATA_PROPERTY_MASTER!$A$5:$A$21,0))="Yes",FALSE),IFERROR(INDEX(INDIRECT("'"&amp;$C1121&amp;"'!$E$63:$Y$63"),1,MATCH($D1121,INDIRECT("'"&amp;$C1121&amp;"'!$E$12:$Y$12"),0)),0),0)</f>
        <v>0</v>
      </c>
      <c r="I1121" s="366" t="s">
        <v>1731</v>
      </c>
      <c r="J1121" s="348" t="str">
        <f t="shared" ca="1" si="34"/>
        <v>OK</v>
      </c>
      <c r="K1121" s="366" t="s">
        <v>1732</v>
      </c>
      <c r="L1121" s="366" t="s">
        <v>2256</v>
      </c>
      <c r="M1121" s="350" t="str">
        <f>IF($B1121="Portfolio","Portfolio",IFERROR(INDEX(DATA_ASSET_CLASSIFICATION!$B$8:$B$24,MATCH($C1121,DATA_ASSET_CLASSIFICATION!$A$8:$A$24,0)),"Review"))</f>
        <v>Beatrice Terrace</v>
      </c>
      <c r="N1121" s="350" t="str">
        <f ca="1">IF($B1121="Portfolio","Portfolio",IFERROR(INDEX(DATA_ASSET_CLASSIFICATION!$U$8:$U$24,MATCH($C1121,DATA_ASSET_CLASSIFICATION!$A$8:$A$24,0)),"Review"))</f>
        <v>Stable</v>
      </c>
      <c r="O1121" s="350" t="str">
        <f ca="1">IF($B1121="Portfolio","Portfolio",IFERROR(INDEX(DATA_ASSET_CLASSIFICATION!$AB$8:$AB$13,MATCH($N1121,DATA_ASSET_CLASSIFICATION!$AA$8:$AA$13,0)),"Review"))</f>
        <v>Bucket 2 · Legacy</v>
      </c>
      <c r="P1121" s="350" t="str">
        <f>IF($B1121="Portfolio","Portfolio",IFERROR(INDEX(DATA_ASSET_CLASSIFICATION!$C$8:$C$24,MATCH($C1121,DATA_ASSET_CLASSIFICATION!$A$8:$A$24,0)),"Review"))</f>
        <v>Yes</v>
      </c>
      <c r="Q1121" s="350" t="str">
        <f t="shared" ca="1" si="35"/>
        <v>OK</v>
      </c>
    </row>
    <row r="1122" spans="1:17">
      <c r="A1122" s="366" t="s">
        <v>3078</v>
      </c>
      <c r="B1122" s="366" t="s">
        <v>231</v>
      </c>
      <c r="C1122" s="348" t="str">
        <f>DATA_PROPERTY_MASTER!$A$7</f>
        <v>BLD_BT</v>
      </c>
      <c r="D1122" s="380">
        <f>'00_PORTFOLIO ROLLUP'!S$12</f>
        <v>2039</v>
      </c>
      <c r="E1122" s="366" t="s">
        <v>1721</v>
      </c>
      <c r="F1122" s="366" t="s">
        <v>37</v>
      </c>
      <c r="G1122" s="348" t="str">
        <f>"'"&amp;$C1122&amp;"'!$E$63:$Y$63"</f>
        <v>'BLD_BT'!$E$63:$Y$63</v>
      </c>
      <c r="H1122" s="381">
        <f ca="1">IF(IFERROR(INDEX(DATA_PROPERTY_MASTER!$E$5:$E$21,MATCH($C1122,DATA_PROPERTY_MASTER!$A$5:$A$21,0))="Yes",FALSE),MAX(IFERROR(INDEX(INDIRECT("'"&amp;$C1122&amp;"'!$E$63:$Y$63"),1,MATCH($D1122,INDIRECT("'"&amp;$C1122&amp;"'!$E$12:$Y$12"),0)),0),0),0)</f>
        <v>0</v>
      </c>
      <c r="I1122" s="366" t="s">
        <v>1685</v>
      </c>
      <c r="J1122" s="348" t="str">
        <f t="shared" ca="1" si="34"/>
        <v>OK</v>
      </c>
      <c r="K1122" s="366" t="s">
        <v>1735</v>
      </c>
      <c r="L1122" s="366" t="s">
        <v>2258</v>
      </c>
      <c r="M1122" s="350" t="str">
        <f>IF($B1122="Portfolio","Portfolio",IFERROR(INDEX(DATA_ASSET_CLASSIFICATION!$B$8:$B$24,MATCH($C1122,DATA_ASSET_CLASSIFICATION!$A$8:$A$24,0)),"Review"))</f>
        <v>Beatrice Terrace</v>
      </c>
      <c r="N1122" s="350" t="str">
        <f ca="1">IF($B1122="Portfolio","Portfolio",IFERROR(INDEX(DATA_ASSET_CLASSIFICATION!$U$8:$U$24,MATCH($C1122,DATA_ASSET_CLASSIFICATION!$A$8:$A$24,0)),"Review"))</f>
        <v>Stable</v>
      </c>
      <c r="O1122" s="350" t="str">
        <f ca="1">IF($B1122="Portfolio","Portfolio",IFERROR(INDEX(DATA_ASSET_CLASSIFICATION!$AB$8:$AB$13,MATCH($N1122,DATA_ASSET_CLASSIFICATION!$AA$8:$AA$13,0)),"Review"))</f>
        <v>Bucket 2 · Legacy</v>
      </c>
      <c r="P1122" s="350" t="str">
        <f>IF($B1122="Portfolio","Portfolio",IFERROR(INDEX(DATA_ASSET_CLASSIFICATION!$C$8:$C$24,MATCH($C1122,DATA_ASSET_CLASSIFICATION!$A$8:$A$24,0)),"Review"))</f>
        <v>Yes</v>
      </c>
      <c r="Q1122" s="350" t="str">
        <f t="shared" ca="1" si="35"/>
        <v>OK</v>
      </c>
    </row>
    <row r="1123" spans="1:17">
      <c r="A1123" s="366" t="s">
        <v>3079</v>
      </c>
      <c r="B1123" s="366" t="s">
        <v>231</v>
      </c>
      <c r="C1123" s="348" t="str">
        <f>DATA_PROPERTY_MASTER!$A$7</f>
        <v>BLD_BT</v>
      </c>
      <c r="D1123" s="380">
        <f>'00_PORTFOLIO ROLLUP'!S$12</f>
        <v>2039</v>
      </c>
      <c r="E1123" s="366" t="s">
        <v>1721</v>
      </c>
      <c r="F1123" s="366" t="s">
        <v>39</v>
      </c>
      <c r="G1123" s="348" t="str">
        <f>"'"&amp;$C1123&amp;"'!$E$63:$Y$63"</f>
        <v>'BLD_BT'!$E$63:$Y$63</v>
      </c>
      <c r="H1123" s="381">
        <f ca="1">IF(IFERROR(INDEX(DATA_PROPERTY_MASTER!$E$5:$E$21,MATCH($C1123,DATA_PROPERTY_MASTER!$A$5:$A$21,0))="Yes",FALSE),MAX(-IFERROR(INDEX(INDIRECT("'"&amp;$C1123&amp;"'!$E$63:$Y$63"),1,MATCH($D1123,INDIRECT("'"&amp;$C1123&amp;"'!$E$12:$Y$12"),0)),0),0),0)</f>
        <v>0</v>
      </c>
      <c r="I1123" s="366" t="s">
        <v>1690</v>
      </c>
      <c r="J1123" s="348" t="str">
        <f t="shared" ca="1" si="34"/>
        <v>OK</v>
      </c>
      <c r="K1123" s="366" t="s">
        <v>1738</v>
      </c>
      <c r="L1123" s="366" t="s">
        <v>2260</v>
      </c>
      <c r="M1123" s="350" t="str">
        <f>IF($B1123="Portfolio","Portfolio",IFERROR(INDEX(DATA_ASSET_CLASSIFICATION!$B$8:$B$24,MATCH($C1123,DATA_ASSET_CLASSIFICATION!$A$8:$A$24,0)),"Review"))</f>
        <v>Beatrice Terrace</v>
      </c>
      <c r="N1123" s="350" t="str">
        <f ca="1">IF($B1123="Portfolio","Portfolio",IFERROR(INDEX(DATA_ASSET_CLASSIFICATION!$U$8:$U$24,MATCH($C1123,DATA_ASSET_CLASSIFICATION!$A$8:$A$24,0)),"Review"))</f>
        <v>Stable</v>
      </c>
      <c r="O1123" s="350" t="str">
        <f ca="1">IF($B1123="Portfolio","Portfolio",IFERROR(INDEX(DATA_ASSET_CLASSIFICATION!$AB$8:$AB$13,MATCH($N1123,DATA_ASSET_CLASSIFICATION!$AA$8:$AA$13,0)),"Review"))</f>
        <v>Bucket 2 · Legacy</v>
      </c>
      <c r="P1123" s="350" t="str">
        <f>IF($B1123="Portfolio","Portfolio",IFERROR(INDEX(DATA_ASSET_CLASSIFICATION!$C$8:$C$24,MATCH($C1123,DATA_ASSET_CLASSIFICATION!$A$8:$A$24,0)),"Review"))</f>
        <v>Yes</v>
      </c>
      <c r="Q1123" s="350" t="str">
        <f t="shared" ca="1" si="35"/>
        <v>OK</v>
      </c>
    </row>
    <row r="1124" spans="1:17">
      <c r="A1124" s="366" t="s">
        <v>3080</v>
      </c>
      <c r="B1124" s="366" t="s">
        <v>231</v>
      </c>
      <c r="C1124" s="348" t="str">
        <f>DATA_PROPERTY_MASTER!$A$7</f>
        <v>BLD_BT</v>
      </c>
      <c r="D1124" s="380">
        <f>'00_PORTFOLIO ROLLUP'!S$12</f>
        <v>2039</v>
      </c>
      <c r="E1124" s="366" t="s">
        <v>1741</v>
      </c>
      <c r="F1124" s="366" t="s">
        <v>41</v>
      </c>
      <c r="G1124" s="348" t="str">
        <f>"'"&amp;$C1124&amp;"'!rows 56 + positive row 63"</f>
        <v>'BLD_BT'!rows 56 + positive row 63</v>
      </c>
      <c r="H1124" s="381">
        <f ca="1">IF(IFERROR(INDEX(DATA_PROPERTY_MASTER!$E$5:$E$21,MATCH($C1124,DATA_PROPERTY_MASTER!$A$5:$A$21,0))="Yes",FALSE),IFERROR(INDEX(INDIRECT("'"&amp;$C1124&amp;"'!$E$56:$Y$56"),1,MATCH($D1124,INDIRECT("'"&amp;$C1124&amp;"'!$E$12:$Y$12"),0)),0)+MAX(IFERROR(INDEX(INDIRECT("'"&amp;$C1124&amp;"'!$E$63:$Y$63"),1,MATCH($D1124,INDIRECT("'"&amp;$C1124&amp;"'!$E$12:$Y$12"),0)),0),0),0)</f>
        <v>50169.191528114083</v>
      </c>
      <c r="I1124" s="366" t="s">
        <v>1685</v>
      </c>
      <c r="J1124" s="348" t="str">
        <f t="shared" ca="1" si="34"/>
        <v>OK</v>
      </c>
      <c r="K1124" s="366" t="s">
        <v>1742</v>
      </c>
      <c r="L1124" s="366" t="s">
        <v>2262</v>
      </c>
      <c r="M1124" s="350" t="str">
        <f>IF($B1124="Portfolio","Portfolio",IFERROR(INDEX(DATA_ASSET_CLASSIFICATION!$B$8:$B$24,MATCH($C1124,DATA_ASSET_CLASSIFICATION!$A$8:$A$24,0)),"Review"))</f>
        <v>Beatrice Terrace</v>
      </c>
      <c r="N1124" s="350" t="str">
        <f ca="1">IF($B1124="Portfolio","Portfolio",IFERROR(INDEX(DATA_ASSET_CLASSIFICATION!$U$8:$U$24,MATCH($C1124,DATA_ASSET_CLASSIFICATION!$A$8:$A$24,0)),"Review"))</f>
        <v>Stable</v>
      </c>
      <c r="O1124" s="350" t="str">
        <f ca="1">IF($B1124="Portfolio","Portfolio",IFERROR(INDEX(DATA_ASSET_CLASSIFICATION!$AB$8:$AB$13,MATCH($N1124,DATA_ASSET_CLASSIFICATION!$AA$8:$AA$13,0)),"Review"))</f>
        <v>Bucket 2 · Legacy</v>
      </c>
      <c r="P1124" s="350" t="str">
        <f>IF($B1124="Portfolio","Portfolio",IFERROR(INDEX(DATA_ASSET_CLASSIFICATION!$C$8:$C$24,MATCH($C1124,DATA_ASSET_CLASSIFICATION!$A$8:$A$24,0)),"Review"))</f>
        <v>Yes</v>
      </c>
      <c r="Q1124" s="350" t="str">
        <f t="shared" ca="1" si="35"/>
        <v>OK</v>
      </c>
    </row>
    <row r="1125" spans="1:17">
      <c r="A1125" s="366" t="s">
        <v>3081</v>
      </c>
      <c r="B1125" s="366" t="s">
        <v>231</v>
      </c>
      <c r="C1125" s="348" t="str">
        <f>DATA_PROPERTY_MASTER!$A$7</f>
        <v>BLD_BT</v>
      </c>
      <c r="D1125" s="380">
        <f>'00_PORTFOLIO ROLLUP'!S$12</f>
        <v>2039</v>
      </c>
      <c r="E1125" s="366" t="s">
        <v>1741</v>
      </c>
      <c r="F1125" s="366" t="s">
        <v>43</v>
      </c>
      <c r="G1125" s="348" t="str">
        <f>"'"&amp;$C1125&amp;"'!$E$68:$Y$68"</f>
        <v>'BLD_BT'!$E$68:$Y$68</v>
      </c>
      <c r="H1125" s="381">
        <f ca="1">IF(IFERROR(INDEX(DATA_PROPERTY_MASTER!$E$5:$E$21,MATCH($C1125,DATA_PROPERTY_MASTER!$A$5:$A$21,0))="Yes",FALSE),IFERROR(INDEX(INDIRECT("'"&amp;$C1125&amp;"'!$E$68:$Y$68"),1,MATCH($D1125,INDIRECT("'"&amp;$C1125&amp;"'!$E$12:$Y$12"),0)),0),0)</f>
        <v>50169.191528114083</v>
      </c>
      <c r="I1125" s="366" t="s">
        <v>1731</v>
      </c>
      <c r="J1125" s="348" t="str">
        <f t="shared" ca="1" si="34"/>
        <v>OK</v>
      </c>
      <c r="K1125" s="366" t="s">
        <v>1746</v>
      </c>
      <c r="L1125" s="366" t="s">
        <v>2264</v>
      </c>
      <c r="M1125" s="350" t="str">
        <f>IF($B1125="Portfolio","Portfolio",IFERROR(INDEX(DATA_ASSET_CLASSIFICATION!$B$8:$B$24,MATCH($C1125,DATA_ASSET_CLASSIFICATION!$A$8:$A$24,0)),"Review"))</f>
        <v>Beatrice Terrace</v>
      </c>
      <c r="N1125" s="350" t="str">
        <f ca="1">IF($B1125="Portfolio","Portfolio",IFERROR(INDEX(DATA_ASSET_CLASSIFICATION!$U$8:$U$24,MATCH($C1125,DATA_ASSET_CLASSIFICATION!$A$8:$A$24,0)),"Review"))</f>
        <v>Stable</v>
      </c>
      <c r="O1125" s="350" t="str">
        <f ca="1">IF($B1125="Portfolio","Portfolio",IFERROR(INDEX(DATA_ASSET_CLASSIFICATION!$AB$8:$AB$13,MATCH($N1125,DATA_ASSET_CLASSIFICATION!$AA$8:$AA$13,0)),"Review"))</f>
        <v>Bucket 2 · Legacy</v>
      </c>
      <c r="P1125" s="350" t="str">
        <f>IF($B1125="Portfolio","Portfolio",IFERROR(INDEX(DATA_ASSET_CLASSIFICATION!$C$8:$C$24,MATCH($C1125,DATA_ASSET_CLASSIFICATION!$A$8:$A$24,0)),"Review"))</f>
        <v>Yes</v>
      </c>
      <c r="Q1125" s="350" t="str">
        <f t="shared" ca="1" si="35"/>
        <v>OK</v>
      </c>
    </row>
    <row r="1126" spans="1:17">
      <c r="A1126" s="366" t="s">
        <v>3082</v>
      </c>
      <c r="B1126" s="366" t="s">
        <v>231</v>
      </c>
      <c r="C1126" s="348" t="str">
        <f>DATA_PROPERTY_MASTER!$A$7</f>
        <v>BLD_BT</v>
      </c>
      <c r="D1126" s="380">
        <f>'00_PORTFOLIO ROLLUP'!S$12</f>
        <v>2039</v>
      </c>
      <c r="E1126" s="366" t="s">
        <v>1741</v>
      </c>
      <c r="F1126" s="366" t="s">
        <v>1749</v>
      </c>
      <c r="G1126" s="348" t="str">
        <f>"'"&amp;$C1126&amp;"'!rows 56, 63, 68"</f>
        <v>'BLD_BT'!rows 56, 63, 68</v>
      </c>
      <c r="H1126" s="381">
        <f ca="1">IF(IFERROR(INDEX(DATA_PROPERTY_MASTER!$E$5:$E$21,MATCH($C1126,DATA_PROPERTY_MASTER!$A$5:$A$21,0))="Yes",FALSE),(IFERROR(INDEX(INDIRECT("'"&amp;$C1126&amp;"'!$E$56:$Y$56"),1,MATCH($D1126,INDIRECT("'"&amp;$C1126&amp;"'!$E$12:$Y$12"),0)),0)+MAX(IFERROR(INDEX(INDIRECT("'"&amp;$C1126&amp;"'!$E$63:$Y$63"),1,MATCH($D1126,INDIRECT("'"&amp;$C1126&amp;"'!$E$12:$Y$12"),0)),0),0))-(IFERROR(INDEX(INDIRECT("'"&amp;$C1126&amp;"'!$E$68:$Y$68"),1,MATCH($D1126,INDIRECT("'"&amp;$C1126&amp;"'!$E$12:$Y$12"),0)),0)),0)</f>
        <v>0</v>
      </c>
      <c r="I1126" s="366" t="s">
        <v>1750</v>
      </c>
      <c r="J1126" s="348" t="str">
        <f t="shared" ca="1" si="34"/>
        <v>OK</v>
      </c>
      <c r="K1126" s="366" t="s">
        <v>1751</v>
      </c>
      <c r="L1126" s="366" t="s">
        <v>2266</v>
      </c>
      <c r="M1126" s="350" t="str">
        <f>IF($B1126="Portfolio","Portfolio",IFERROR(INDEX(DATA_ASSET_CLASSIFICATION!$B$8:$B$24,MATCH($C1126,DATA_ASSET_CLASSIFICATION!$A$8:$A$24,0)),"Review"))</f>
        <v>Beatrice Terrace</v>
      </c>
      <c r="N1126" s="350" t="str">
        <f ca="1">IF($B1126="Portfolio","Portfolio",IFERROR(INDEX(DATA_ASSET_CLASSIFICATION!$U$8:$U$24,MATCH($C1126,DATA_ASSET_CLASSIFICATION!$A$8:$A$24,0)),"Review"))</f>
        <v>Stable</v>
      </c>
      <c r="O1126" s="350" t="str">
        <f ca="1">IF($B1126="Portfolio","Portfolio",IFERROR(INDEX(DATA_ASSET_CLASSIFICATION!$AB$8:$AB$13,MATCH($N1126,DATA_ASSET_CLASSIFICATION!$AA$8:$AA$13,0)),"Review"))</f>
        <v>Bucket 2 · Legacy</v>
      </c>
      <c r="P1126" s="350" t="str">
        <f>IF($B1126="Portfolio","Portfolio",IFERROR(INDEX(DATA_ASSET_CLASSIFICATION!$C$8:$C$24,MATCH($C1126,DATA_ASSET_CLASSIFICATION!$A$8:$A$24,0)),"Review"))</f>
        <v>Yes</v>
      </c>
      <c r="Q1126" s="350" t="str">
        <f t="shared" ca="1" si="35"/>
        <v>OK</v>
      </c>
    </row>
    <row r="1127" spans="1:17">
      <c r="A1127" s="366" t="s">
        <v>3083</v>
      </c>
      <c r="B1127" s="366" t="s">
        <v>231</v>
      </c>
      <c r="C1127" s="348" t="str">
        <f>DATA_PROPERTY_MASTER!$A$7</f>
        <v>BLD_BT</v>
      </c>
      <c r="D1127" s="380">
        <f>'00_PORTFOLIO ROLLUP'!T$12</f>
        <v>2040</v>
      </c>
      <c r="E1127" s="366" t="s">
        <v>1683</v>
      </c>
      <c r="F1127" s="366" t="s">
        <v>341</v>
      </c>
      <c r="G1127" s="348" t="str">
        <f>"'"&amp;$C1127&amp;"'!$E$24:$Y$24"</f>
        <v>'BLD_BT'!$E$24:$Y$24</v>
      </c>
      <c r="H1127" s="381">
        <f ca="1">IF(IFERROR(INDEX(DATA_PROPERTY_MASTER!$E$5:$E$21,MATCH($C1127,DATA_PROPERTY_MASTER!$A$5:$A$21,0))="Yes",FALSE),IFERROR(INDEX(INDIRECT("'"&amp;$C1127&amp;"'!$E$24:$Y$24"),1,MATCH($D1127,INDIRECT("'"&amp;$C1127&amp;"'!$E$12:$Y$12"),0)),0),0)</f>
        <v>438371.29313039716</v>
      </c>
      <c r="I1127" s="366" t="s">
        <v>1685</v>
      </c>
      <c r="J1127" s="348" t="str">
        <f t="shared" ca="1" si="34"/>
        <v>OK</v>
      </c>
      <c r="K1127" s="366" t="s">
        <v>1686</v>
      </c>
      <c r="L1127" s="366" t="s">
        <v>2234</v>
      </c>
      <c r="M1127" s="350" t="str">
        <f>IF($B1127="Portfolio","Portfolio",IFERROR(INDEX(DATA_ASSET_CLASSIFICATION!$B$8:$B$24,MATCH($C1127,DATA_ASSET_CLASSIFICATION!$A$8:$A$24,0)),"Review"))</f>
        <v>Beatrice Terrace</v>
      </c>
      <c r="N1127" s="350" t="str">
        <f ca="1">IF($B1127="Portfolio","Portfolio",IFERROR(INDEX(DATA_ASSET_CLASSIFICATION!$U$8:$U$24,MATCH($C1127,DATA_ASSET_CLASSIFICATION!$A$8:$A$24,0)),"Review"))</f>
        <v>Stable</v>
      </c>
      <c r="O1127" s="350" t="str">
        <f ca="1">IF($B1127="Portfolio","Portfolio",IFERROR(INDEX(DATA_ASSET_CLASSIFICATION!$AB$8:$AB$13,MATCH($N1127,DATA_ASSET_CLASSIFICATION!$AA$8:$AA$13,0)),"Review"))</f>
        <v>Bucket 2 · Legacy</v>
      </c>
      <c r="P1127" s="350" t="str">
        <f>IF($B1127="Portfolio","Portfolio",IFERROR(INDEX(DATA_ASSET_CLASSIFICATION!$C$8:$C$24,MATCH($C1127,DATA_ASSET_CLASSIFICATION!$A$8:$A$24,0)),"Review"))</f>
        <v>Yes</v>
      </c>
      <c r="Q1127" s="350" t="str">
        <f t="shared" ca="1" si="35"/>
        <v>OK</v>
      </c>
    </row>
    <row r="1128" spans="1:17">
      <c r="A1128" s="366" t="s">
        <v>3084</v>
      </c>
      <c r="B1128" s="366" t="s">
        <v>231</v>
      </c>
      <c r="C1128" s="348" t="str">
        <f>DATA_PROPERTY_MASTER!$A$7</f>
        <v>BLD_BT</v>
      </c>
      <c r="D1128" s="380">
        <f>'00_PORTFOLIO ROLLUP'!T$12</f>
        <v>2040</v>
      </c>
      <c r="E1128" s="366" t="s">
        <v>1683</v>
      </c>
      <c r="F1128" s="366" t="s">
        <v>355</v>
      </c>
      <c r="G1128" s="348" t="str">
        <f>"'"&amp;$C1128&amp;"'!$E$39:$Y$39"</f>
        <v>'BLD_BT'!$E$39:$Y$39</v>
      </c>
      <c r="H1128" s="381">
        <f ca="1">IF(IFERROR(INDEX(DATA_PROPERTY_MASTER!$E$5:$E$21,MATCH($C1128,DATA_PROPERTY_MASTER!$A$5:$A$21,0))="Yes",FALSE),IFERROR(INDEX(INDIRECT("'"&amp;$C1128&amp;"'!$E$39:$Y$39"),1,MATCH($D1128,INDIRECT("'"&amp;$C1128&amp;"'!$E$12:$Y$12"),0)),0),0)</f>
        <v>198633.84672749892</v>
      </c>
      <c r="I1128" s="366" t="s">
        <v>1690</v>
      </c>
      <c r="J1128" s="348" t="str">
        <f t="shared" ca="1" si="34"/>
        <v>OK</v>
      </c>
      <c r="K1128" s="366" t="s">
        <v>1686</v>
      </c>
      <c r="L1128" s="366" t="s">
        <v>2236</v>
      </c>
      <c r="M1128" s="350" t="str">
        <f>IF($B1128="Portfolio","Portfolio",IFERROR(INDEX(DATA_ASSET_CLASSIFICATION!$B$8:$B$24,MATCH($C1128,DATA_ASSET_CLASSIFICATION!$A$8:$A$24,0)),"Review"))</f>
        <v>Beatrice Terrace</v>
      </c>
      <c r="N1128" s="350" t="str">
        <f ca="1">IF($B1128="Portfolio","Portfolio",IFERROR(INDEX(DATA_ASSET_CLASSIFICATION!$U$8:$U$24,MATCH($C1128,DATA_ASSET_CLASSIFICATION!$A$8:$A$24,0)),"Review"))</f>
        <v>Stable</v>
      </c>
      <c r="O1128" s="350" t="str">
        <f ca="1">IF($B1128="Portfolio","Portfolio",IFERROR(INDEX(DATA_ASSET_CLASSIFICATION!$AB$8:$AB$13,MATCH($N1128,DATA_ASSET_CLASSIFICATION!$AA$8:$AA$13,0)),"Review"))</f>
        <v>Bucket 2 · Legacy</v>
      </c>
      <c r="P1128" s="350" t="str">
        <f>IF($B1128="Portfolio","Portfolio",IFERROR(INDEX(DATA_ASSET_CLASSIFICATION!$C$8:$C$24,MATCH($C1128,DATA_ASSET_CLASSIFICATION!$A$8:$A$24,0)),"Review"))</f>
        <v>Yes</v>
      </c>
      <c r="Q1128" s="350" t="str">
        <f t="shared" ca="1" si="35"/>
        <v>OK</v>
      </c>
    </row>
    <row r="1129" spans="1:17">
      <c r="A1129" s="366" t="s">
        <v>3085</v>
      </c>
      <c r="B1129" s="366" t="s">
        <v>231</v>
      </c>
      <c r="C1129" s="348" t="str">
        <f>DATA_PROPERTY_MASTER!$A$7</f>
        <v>BLD_BT</v>
      </c>
      <c r="D1129" s="380">
        <f>'00_PORTFOLIO ROLLUP'!T$12</f>
        <v>2040</v>
      </c>
      <c r="E1129" s="366" t="s">
        <v>1683</v>
      </c>
      <c r="F1129" s="366" t="s">
        <v>19</v>
      </c>
      <c r="G1129" s="348" t="str">
        <f>"'"&amp;$C1129&amp;"'!$E$41:$Y$41"</f>
        <v>'BLD_BT'!$E$41:$Y$41</v>
      </c>
      <c r="H1129" s="381">
        <f ca="1">IF(IFERROR(INDEX(DATA_PROPERTY_MASTER!$E$5:$E$21,MATCH($C1129,DATA_PROPERTY_MASTER!$A$5:$A$21,0))="Yes",FALSE),IFERROR(INDEX(INDIRECT("'"&amp;$C1129&amp;"'!$E$41:$Y$41"),1,MATCH($D1129,INDIRECT("'"&amp;$C1129&amp;"'!$E$12:$Y$12"),0)),0),0)</f>
        <v>239737.44640289823</v>
      </c>
      <c r="I1129" s="366" t="s">
        <v>1685</v>
      </c>
      <c r="J1129" s="348" t="str">
        <f t="shared" ca="1" si="34"/>
        <v>OK</v>
      </c>
      <c r="K1129" s="366" t="s">
        <v>1694</v>
      </c>
      <c r="L1129" s="366" t="s">
        <v>2238</v>
      </c>
      <c r="M1129" s="350" t="str">
        <f>IF($B1129="Portfolio","Portfolio",IFERROR(INDEX(DATA_ASSET_CLASSIFICATION!$B$8:$B$24,MATCH($C1129,DATA_ASSET_CLASSIFICATION!$A$8:$A$24,0)),"Review"))</f>
        <v>Beatrice Terrace</v>
      </c>
      <c r="N1129" s="350" t="str">
        <f ca="1">IF($B1129="Portfolio","Portfolio",IFERROR(INDEX(DATA_ASSET_CLASSIFICATION!$U$8:$U$24,MATCH($C1129,DATA_ASSET_CLASSIFICATION!$A$8:$A$24,0)),"Review"))</f>
        <v>Stable</v>
      </c>
      <c r="O1129" s="350" t="str">
        <f ca="1">IF($B1129="Portfolio","Portfolio",IFERROR(INDEX(DATA_ASSET_CLASSIFICATION!$AB$8:$AB$13,MATCH($N1129,DATA_ASSET_CLASSIFICATION!$AA$8:$AA$13,0)),"Review"))</f>
        <v>Bucket 2 · Legacy</v>
      </c>
      <c r="P1129" s="350" t="str">
        <f>IF($B1129="Portfolio","Portfolio",IFERROR(INDEX(DATA_ASSET_CLASSIFICATION!$C$8:$C$24,MATCH($C1129,DATA_ASSET_CLASSIFICATION!$A$8:$A$24,0)),"Review"))</f>
        <v>Yes</v>
      </c>
      <c r="Q1129" s="350" t="str">
        <f t="shared" ca="1" si="35"/>
        <v>OK</v>
      </c>
    </row>
    <row r="1130" spans="1:17">
      <c r="A1130" s="366" t="s">
        <v>3086</v>
      </c>
      <c r="B1130" s="366" t="s">
        <v>231</v>
      </c>
      <c r="C1130" s="348" t="str">
        <f>DATA_PROPERTY_MASTER!$A$7</f>
        <v>BLD_BT</v>
      </c>
      <c r="D1130" s="380">
        <f>'00_PORTFOLIO ROLLUP'!T$12</f>
        <v>2040</v>
      </c>
      <c r="E1130" s="366" t="s">
        <v>1683</v>
      </c>
      <c r="F1130" s="366" t="s">
        <v>1697</v>
      </c>
      <c r="G1130" s="348" t="str">
        <f>"'"&amp;$C1130&amp;"'!$E$44:$Y$44"</f>
        <v>'BLD_BT'!$E$44:$Y$44</v>
      </c>
      <c r="H1130" s="381">
        <f ca="1">IF(IFERROR(INDEX(DATA_PROPERTY_MASTER!$E$5:$E$21,MATCH($C1130,DATA_PROPERTY_MASTER!$A$5:$A$21,0))="Yes",FALSE),IFERROR(INDEX(INDIRECT("'"&amp;$C1130&amp;"'!$E$44:$Y$44"),1,MATCH($D1130,INDIRECT("'"&amp;$C1130&amp;"'!$E$12:$Y$12"),0)),0),0)</f>
        <v>3633.8445134751487</v>
      </c>
      <c r="I1130" s="366" t="s">
        <v>1690</v>
      </c>
      <c r="J1130" s="348" t="str">
        <f t="shared" ca="1" si="34"/>
        <v>OK</v>
      </c>
      <c r="K1130" s="366" t="s">
        <v>1699</v>
      </c>
      <c r="L1130" s="366" t="s">
        <v>2240</v>
      </c>
      <c r="M1130" s="350" t="str">
        <f>IF($B1130="Portfolio","Portfolio",IFERROR(INDEX(DATA_ASSET_CLASSIFICATION!$B$8:$B$24,MATCH($C1130,DATA_ASSET_CLASSIFICATION!$A$8:$A$24,0)),"Review"))</f>
        <v>Beatrice Terrace</v>
      </c>
      <c r="N1130" s="350" t="str">
        <f ca="1">IF($B1130="Portfolio","Portfolio",IFERROR(INDEX(DATA_ASSET_CLASSIFICATION!$U$8:$U$24,MATCH($C1130,DATA_ASSET_CLASSIFICATION!$A$8:$A$24,0)),"Review"))</f>
        <v>Stable</v>
      </c>
      <c r="O1130" s="350" t="str">
        <f ca="1">IF($B1130="Portfolio","Portfolio",IFERROR(INDEX(DATA_ASSET_CLASSIFICATION!$AB$8:$AB$13,MATCH($N1130,DATA_ASSET_CLASSIFICATION!$AA$8:$AA$13,0)),"Review"))</f>
        <v>Bucket 2 · Legacy</v>
      </c>
      <c r="P1130" s="350" t="str">
        <f>IF($B1130="Portfolio","Portfolio",IFERROR(INDEX(DATA_ASSET_CLASSIFICATION!$C$8:$C$24,MATCH($C1130,DATA_ASSET_CLASSIFICATION!$A$8:$A$24,0)),"Review"))</f>
        <v>Yes</v>
      </c>
      <c r="Q1130" s="350" t="str">
        <f t="shared" ca="1" si="35"/>
        <v>OK</v>
      </c>
    </row>
    <row r="1131" spans="1:17">
      <c r="A1131" s="366" t="s">
        <v>3087</v>
      </c>
      <c r="B1131" s="366" t="s">
        <v>231</v>
      </c>
      <c r="C1131" s="348" t="str">
        <f>DATA_PROPERTY_MASTER!$A$7</f>
        <v>BLD_BT</v>
      </c>
      <c r="D1131" s="380">
        <f>'00_PORTFOLIO ROLLUP'!T$12</f>
        <v>2040</v>
      </c>
      <c r="E1131" s="366" t="s">
        <v>1683</v>
      </c>
      <c r="F1131" s="366" t="s">
        <v>21</v>
      </c>
      <c r="G1131" s="348" t="str">
        <f>"'"&amp;$C1131&amp;"'!$E$45:$Y$45"</f>
        <v>'BLD_BT'!$E$45:$Y$45</v>
      </c>
      <c r="H1131" s="381">
        <f ca="1">IF(IFERROR(INDEX(DATA_PROPERTY_MASTER!$E$5:$E$21,MATCH($C1131,DATA_PROPERTY_MASTER!$A$5:$A$21,0))="Yes",FALSE),IFERROR(INDEX(INDIRECT("'"&amp;$C1131&amp;"'!$E$45:$Y$45"),1,MATCH($D1131,INDIRECT("'"&amp;$C1131&amp;"'!$E$12:$Y$12"),0)),0),0)</f>
        <v>236103.60188942309</v>
      </c>
      <c r="I1131" s="366" t="s">
        <v>1685</v>
      </c>
      <c r="J1131" s="348" t="str">
        <f t="shared" ca="1" si="34"/>
        <v>OK</v>
      </c>
      <c r="K1131" s="366" t="s">
        <v>1694</v>
      </c>
      <c r="L1131" s="366" t="s">
        <v>2242</v>
      </c>
      <c r="M1131" s="350" t="str">
        <f>IF($B1131="Portfolio","Portfolio",IFERROR(INDEX(DATA_ASSET_CLASSIFICATION!$B$8:$B$24,MATCH($C1131,DATA_ASSET_CLASSIFICATION!$A$8:$A$24,0)),"Review"))</f>
        <v>Beatrice Terrace</v>
      </c>
      <c r="N1131" s="350" t="str">
        <f ca="1">IF($B1131="Portfolio","Portfolio",IFERROR(INDEX(DATA_ASSET_CLASSIFICATION!$U$8:$U$24,MATCH($C1131,DATA_ASSET_CLASSIFICATION!$A$8:$A$24,0)),"Review"))</f>
        <v>Stable</v>
      </c>
      <c r="O1131" s="350" t="str">
        <f ca="1">IF($B1131="Portfolio","Portfolio",IFERROR(INDEX(DATA_ASSET_CLASSIFICATION!$AB$8:$AB$13,MATCH($N1131,DATA_ASSET_CLASSIFICATION!$AA$8:$AA$13,0)),"Review"))</f>
        <v>Bucket 2 · Legacy</v>
      </c>
      <c r="P1131" s="350" t="str">
        <f>IF($B1131="Portfolio","Portfolio",IFERROR(INDEX(DATA_ASSET_CLASSIFICATION!$C$8:$C$24,MATCH($C1131,DATA_ASSET_CLASSIFICATION!$A$8:$A$24,0)),"Review"))</f>
        <v>Yes</v>
      </c>
      <c r="Q1131" s="350" t="str">
        <f t="shared" ca="1" si="35"/>
        <v>OK</v>
      </c>
    </row>
    <row r="1132" spans="1:17">
      <c r="A1132" s="366" t="s">
        <v>3088</v>
      </c>
      <c r="B1132" s="366" t="s">
        <v>231</v>
      </c>
      <c r="C1132" s="348" t="str">
        <f>DATA_PROPERTY_MASTER!$A$7</f>
        <v>BLD_BT</v>
      </c>
      <c r="D1132" s="380">
        <f>'00_PORTFOLIO ROLLUP'!T$12</f>
        <v>2040</v>
      </c>
      <c r="E1132" s="366" t="s">
        <v>23</v>
      </c>
      <c r="F1132" s="366" t="s">
        <v>23</v>
      </c>
      <c r="G1132" s="348" t="str">
        <f>"'"&amp;$C1132&amp;"'!$E$48:$Y$48"</f>
        <v>'BLD_BT'!$E$48:$Y$48</v>
      </c>
      <c r="H1132" s="381">
        <f ca="1">IF(IFERROR(INDEX(DATA_PROPERTY_MASTER!$E$5:$E$21,MATCH($C1132,DATA_PROPERTY_MASTER!$A$5:$A$21,0))="Yes",FALSE),IFERROR(INDEX(INDIRECT("'"&amp;$C1132&amp;"'!$E$48:$Y$48"),1,MATCH($D1132,INDIRECT("'"&amp;$C1132&amp;"'!$E$12:$Y$12"),0)),0),0)</f>
        <v>110563.68</v>
      </c>
      <c r="I1132" s="366" t="s">
        <v>1690</v>
      </c>
      <c r="J1132" s="348" t="str">
        <f t="shared" ca="1" si="34"/>
        <v>OK</v>
      </c>
      <c r="K1132" s="366" t="s">
        <v>1706</v>
      </c>
      <c r="L1132" s="366" t="s">
        <v>2244</v>
      </c>
      <c r="M1132" s="350" t="str">
        <f>IF($B1132="Portfolio","Portfolio",IFERROR(INDEX(DATA_ASSET_CLASSIFICATION!$B$8:$B$24,MATCH($C1132,DATA_ASSET_CLASSIFICATION!$A$8:$A$24,0)),"Review"))</f>
        <v>Beatrice Terrace</v>
      </c>
      <c r="N1132" s="350" t="str">
        <f ca="1">IF($B1132="Portfolio","Portfolio",IFERROR(INDEX(DATA_ASSET_CLASSIFICATION!$U$8:$U$24,MATCH($C1132,DATA_ASSET_CLASSIFICATION!$A$8:$A$24,0)),"Review"))</f>
        <v>Stable</v>
      </c>
      <c r="O1132" s="350" t="str">
        <f ca="1">IF($B1132="Portfolio","Portfolio",IFERROR(INDEX(DATA_ASSET_CLASSIFICATION!$AB$8:$AB$13,MATCH($N1132,DATA_ASSET_CLASSIFICATION!$AA$8:$AA$13,0)),"Review"))</f>
        <v>Bucket 2 · Legacy</v>
      </c>
      <c r="P1132" s="350" t="str">
        <f>IF($B1132="Portfolio","Portfolio",IFERROR(INDEX(DATA_ASSET_CLASSIFICATION!$C$8:$C$24,MATCH($C1132,DATA_ASSET_CLASSIFICATION!$A$8:$A$24,0)),"Review"))</f>
        <v>Yes</v>
      </c>
      <c r="Q1132" s="350" t="str">
        <f t="shared" ca="1" si="35"/>
        <v>OK</v>
      </c>
    </row>
    <row r="1133" spans="1:17">
      <c r="A1133" s="366" t="s">
        <v>3089</v>
      </c>
      <c r="B1133" s="366" t="s">
        <v>231</v>
      </c>
      <c r="C1133" s="348" t="str">
        <f>DATA_PROPERTY_MASTER!$A$7</f>
        <v>BLD_BT</v>
      </c>
      <c r="D1133" s="380">
        <f>'00_PORTFOLIO ROLLUP'!T$12</f>
        <v>2040</v>
      </c>
      <c r="E1133" s="366" t="s">
        <v>1683</v>
      </c>
      <c r="F1133" s="366" t="s">
        <v>25</v>
      </c>
      <c r="G1133" s="348" t="str">
        <f>"'"&amp;$C1133&amp;"'!$E$52:$Y$52"</f>
        <v>'BLD_BT'!$E$52:$Y$52</v>
      </c>
      <c r="H1133" s="381">
        <f ca="1">IF(IFERROR(INDEX(DATA_PROPERTY_MASTER!$E$5:$E$21,MATCH($C1133,DATA_PROPERTY_MASTER!$A$5:$A$21,0))="Yes",FALSE),IFERROR(INDEX(INDIRECT("'"&amp;$C1133&amp;"'!$E$52:$Y$52"),1,MATCH($D1133,INDIRECT("'"&amp;$C1133&amp;"'!$E$12:$Y$12"),0)),0),0)</f>
        <v>129173.76640289824</v>
      </c>
      <c r="I1133" s="366" t="s">
        <v>1685</v>
      </c>
      <c r="J1133" s="348" t="str">
        <f t="shared" ca="1" si="34"/>
        <v>OK</v>
      </c>
      <c r="K1133" s="366" t="s">
        <v>1710</v>
      </c>
      <c r="L1133" s="366" t="s">
        <v>2246</v>
      </c>
      <c r="M1133" s="350" t="str">
        <f>IF($B1133="Portfolio","Portfolio",IFERROR(INDEX(DATA_ASSET_CLASSIFICATION!$B$8:$B$24,MATCH($C1133,DATA_ASSET_CLASSIFICATION!$A$8:$A$24,0)),"Review"))</f>
        <v>Beatrice Terrace</v>
      </c>
      <c r="N1133" s="350" t="str">
        <f ca="1">IF($B1133="Portfolio","Portfolio",IFERROR(INDEX(DATA_ASSET_CLASSIFICATION!$U$8:$U$24,MATCH($C1133,DATA_ASSET_CLASSIFICATION!$A$8:$A$24,0)),"Review"))</f>
        <v>Stable</v>
      </c>
      <c r="O1133" s="350" t="str">
        <f ca="1">IF($B1133="Portfolio","Portfolio",IFERROR(INDEX(DATA_ASSET_CLASSIFICATION!$AB$8:$AB$13,MATCH($N1133,DATA_ASSET_CLASSIFICATION!$AA$8:$AA$13,0)),"Review"))</f>
        <v>Bucket 2 · Legacy</v>
      </c>
      <c r="P1133" s="350" t="str">
        <f>IF($B1133="Portfolio","Portfolio",IFERROR(INDEX(DATA_ASSET_CLASSIFICATION!$C$8:$C$24,MATCH($C1133,DATA_ASSET_CLASSIFICATION!$A$8:$A$24,0)),"Review"))</f>
        <v>Yes</v>
      </c>
      <c r="Q1133" s="350" t="str">
        <f t="shared" ca="1" si="35"/>
        <v>OK</v>
      </c>
    </row>
    <row r="1134" spans="1:17">
      <c r="A1134" s="366" t="s">
        <v>3090</v>
      </c>
      <c r="B1134" s="366" t="s">
        <v>231</v>
      </c>
      <c r="C1134" s="348" t="str">
        <f>DATA_PROPERTY_MASTER!$A$7</f>
        <v>BLD_BT</v>
      </c>
      <c r="D1134" s="380">
        <f>'00_PORTFOLIO ROLLUP'!T$12</f>
        <v>2040</v>
      </c>
      <c r="E1134" s="366" t="s">
        <v>1683</v>
      </c>
      <c r="F1134" s="366" t="s">
        <v>27</v>
      </c>
      <c r="G1134" s="348" t="str">
        <f>"'"&amp;$C1134&amp;"'!$E$54:$Y$54"</f>
        <v>'BLD_BT'!$E$54:$Y$54</v>
      </c>
      <c r="H1134" s="381">
        <f ca="1">IF(IFERROR(INDEX(DATA_PROPERTY_MASTER!$E$5:$E$21,MATCH($C1134,DATA_PROPERTY_MASTER!$A$5:$A$21,0))="Yes",FALSE),IFERROR(INDEX(INDIRECT("'"&amp;$C1134&amp;"'!$E$54:$Y$54"),1,MATCH($D1134,INDIRECT("'"&amp;$C1134&amp;"'!$E$12:$Y$12"),0)),0),0)</f>
        <v>77504.259841738938</v>
      </c>
      <c r="I1134" s="366" t="s">
        <v>1690</v>
      </c>
      <c r="J1134" s="348" t="str">
        <f t="shared" ca="1" si="34"/>
        <v>OK</v>
      </c>
      <c r="K1134" s="366" t="s">
        <v>1714</v>
      </c>
      <c r="L1134" s="366" t="s">
        <v>2248</v>
      </c>
      <c r="M1134" s="350" t="str">
        <f>IF($B1134="Portfolio","Portfolio",IFERROR(INDEX(DATA_ASSET_CLASSIFICATION!$B$8:$B$24,MATCH($C1134,DATA_ASSET_CLASSIFICATION!$A$8:$A$24,0)),"Review"))</f>
        <v>Beatrice Terrace</v>
      </c>
      <c r="N1134" s="350" t="str">
        <f ca="1">IF($B1134="Portfolio","Portfolio",IFERROR(INDEX(DATA_ASSET_CLASSIFICATION!$U$8:$U$24,MATCH($C1134,DATA_ASSET_CLASSIFICATION!$A$8:$A$24,0)),"Review"))</f>
        <v>Stable</v>
      </c>
      <c r="O1134" s="350" t="str">
        <f ca="1">IF($B1134="Portfolio","Portfolio",IFERROR(INDEX(DATA_ASSET_CLASSIFICATION!$AB$8:$AB$13,MATCH($N1134,DATA_ASSET_CLASSIFICATION!$AA$8:$AA$13,0)),"Review"))</f>
        <v>Bucket 2 · Legacy</v>
      </c>
      <c r="P1134" s="350" t="str">
        <f>IF($B1134="Portfolio","Portfolio",IFERROR(INDEX(DATA_ASSET_CLASSIFICATION!$C$8:$C$24,MATCH($C1134,DATA_ASSET_CLASSIFICATION!$A$8:$A$24,0)),"Review"))</f>
        <v>Yes</v>
      </c>
      <c r="Q1134" s="350" t="str">
        <f t="shared" ca="1" si="35"/>
        <v>OK</v>
      </c>
    </row>
    <row r="1135" spans="1:17">
      <c r="A1135" s="366" t="s">
        <v>3091</v>
      </c>
      <c r="B1135" s="366" t="s">
        <v>231</v>
      </c>
      <c r="C1135" s="348" t="str">
        <f>DATA_PROPERTY_MASTER!$A$7</f>
        <v>BLD_BT</v>
      </c>
      <c r="D1135" s="380">
        <f>'00_PORTFOLIO ROLLUP'!T$12</f>
        <v>2040</v>
      </c>
      <c r="E1135" s="366" t="s">
        <v>1683</v>
      </c>
      <c r="F1135" s="366" t="s">
        <v>29</v>
      </c>
      <c r="G1135" s="348" t="str">
        <f>"'"&amp;$C1135&amp;"'!$E$56:$Y$56"</f>
        <v>'BLD_BT'!$E$56:$Y$56</v>
      </c>
      <c r="H1135" s="381">
        <f ca="1">IF(IFERROR(INDEX(DATA_PROPERTY_MASTER!$E$5:$E$21,MATCH($C1135,DATA_PROPERTY_MASTER!$A$5:$A$21,0))="Yes",FALSE),IFERROR(INDEX(INDIRECT("'"&amp;$C1135&amp;"'!$E$56:$Y$56"),1,MATCH($D1135,INDIRECT("'"&amp;$C1135&amp;"'!$E$12:$Y$12"),0)),0),0)</f>
        <v>51669.506561159302</v>
      </c>
      <c r="I1135" s="366" t="s">
        <v>1685</v>
      </c>
      <c r="J1135" s="348" t="str">
        <f t="shared" ca="1" si="34"/>
        <v>OK</v>
      </c>
      <c r="K1135" s="366" t="s">
        <v>1718</v>
      </c>
      <c r="L1135" s="366" t="s">
        <v>2250</v>
      </c>
      <c r="M1135" s="350" t="str">
        <f>IF($B1135="Portfolio","Portfolio",IFERROR(INDEX(DATA_ASSET_CLASSIFICATION!$B$8:$B$24,MATCH($C1135,DATA_ASSET_CLASSIFICATION!$A$8:$A$24,0)),"Review"))</f>
        <v>Beatrice Terrace</v>
      </c>
      <c r="N1135" s="350" t="str">
        <f ca="1">IF($B1135="Portfolio","Portfolio",IFERROR(INDEX(DATA_ASSET_CLASSIFICATION!$U$8:$U$24,MATCH($C1135,DATA_ASSET_CLASSIFICATION!$A$8:$A$24,0)),"Review"))</f>
        <v>Stable</v>
      </c>
      <c r="O1135" s="350" t="str">
        <f ca="1">IF($B1135="Portfolio","Portfolio",IFERROR(INDEX(DATA_ASSET_CLASSIFICATION!$AB$8:$AB$13,MATCH($N1135,DATA_ASSET_CLASSIFICATION!$AA$8:$AA$13,0)),"Review"))</f>
        <v>Bucket 2 · Legacy</v>
      </c>
      <c r="P1135" s="350" t="str">
        <f>IF($B1135="Portfolio","Portfolio",IFERROR(INDEX(DATA_ASSET_CLASSIFICATION!$C$8:$C$24,MATCH($C1135,DATA_ASSET_CLASSIFICATION!$A$8:$A$24,0)),"Review"))</f>
        <v>Yes</v>
      </c>
      <c r="Q1135" s="350" t="str">
        <f t="shared" ca="1" si="35"/>
        <v>OK</v>
      </c>
    </row>
    <row r="1136" spans="1:17">
      <c r="A1136" s="366" t="s">
        <v>3092</v>
      </c>
      <c r="B1136" s="366" t="s">
        <v>231</v>
      </c>
      <c r="C1136" s="348" t="str">
        <f>DATA_PROPERTY_MASTER!$A$7</f>
        <v>BLD_BT</v>
      </c>
      <c r="D1136" s="380">
        <f>'00_PORTFOLIO ROLLUP'!T$12</f>
        <v>2040</v>
      </c>
      <c r="E1136" s="366" t="s">
        <v>1721</v>
      </c>
      <c r="F1136" s="366" t="s">
        <v>31</v>
      </c>
      <c r="G1136" s="348" t="str">
        <f>"'"&amp;$C1136&amp;"'!$E$61:$Y$61"</f>
        <v>'BLD_BT'!$E$61:$Y$61</v>
      </c>
      <c r="H1136" s="381">
        <f ca="1">IF(IFERROR(INDEX(DATA_PROPERTY_MASTER!$E$5:$E$21,MATCH($C1136,DATA_PROPERTY_MASTER!$A$5:$A$21,0))="Yes",FALSE),IFERROR(INDEX(INDIRECT("'"&amp;$C1136&amp;"'!$E$61:$Y$61"),1,MATCH($D1136,INDIRECT("'"&amp;$C1136&amp;"'!$E$12:$Y$12"),0)),0),0)</f>
        <v>0</v>
      </c>
      <c r="I1136" s="366" t="s">
        <v>1690</v>
      </c>
      <c r="J1136" s="348" t="str">
        <f t="shared" ca="1" si="34"/>
        <v>OK</v>
      </c>
      <c r="K1136" s="366" t="s">
        <v>1723</v>
      </c>
      <c r="L1136" s="366" t="s">
        <v>2252</v>
      </c>
      <c r="M1136" s="350" t="str">
        <f>IF($B1136="Portfolio","Portfolio",IFERROR(INDEX(DATA_ASSET_CLASSIFICATION!$B$8:$B$24,MATCH($C1136,DATA_ASSET_CLASSIFICATION!$A$8:$A$24,0)),"Review"))</f>
        <v>Beatrice Terrace</v>
      </c>
      <c r="N1136" s="350" t="str">
        <f ca="1">IF($B1136="Portfolio","Portfolio",IFERROR(INDEX(DATA_ASSET_CLASSIFICATION!$U$8:$U$24,MATCH($C1136,DATA_ASSET_CLASSIFICATION!$A$8:$A$24,0)),"Review"))</f>
        <v>Stable</v>
      </c>
      <c r="O1136" s="350" t="str">
        <f ca="1">IF($B1136="Portfolio","Portfolio",IFERROR(INDEX(DATA_ASSET_CLASSIFICATION!$AB$8:$AB$13,MATCH($N1136,DATA_ASSET_CLASSIFICATION!$AA$8:$AA$13,0)),"Review"))</f>
        <v>Bucket 2 · Legacy</v>
      </c>
      <c r="P1136" s="350" t="str">
        <f>IF($B1136="Portfolio","Portfolio",IFERROR(INDEX(DATA_ASSET_CLASSIFICATION!$C$8:$C$24,MATCH($C1136,DATA_ASSET_CLASSIFICATION!$A$8:$A$24,0)),"Review"))</f>
        <v>Yes</v>
      </c>
      <c r="Q1136" s="350" t="str">
        <f t="shared" ca="1" si="35"/>
        <v>OK</v>
      </c>
    </row>
    <row r="1137" spans="1:17">
      <c r="A1137" s="366" t="s">
        <v>3093</v>
      </c>
      <c r="B1137" s="366" t="s">
        <v>231</v>
      </c>
      <c r="C1137" s="348" t="str">
        <f>DATA_PROPERTY_MASTER!$A$7</f>
        <v>BLD_BT</v>
      </c>
      <c r="D1137" s="380">
        <f>'00_PORTFOLIO ROLLUP'!T$12</f>
        <v>2040</v>
      </c>
      <c r="E1137" s="366" t="s">
        <v>1721</v>
      </c>
      <c r="F1137" s="366" t="s">
        <v>33</v>
      </c>
      <c r="G1137" s="348" t="str">
        <f>"'"&amp;$C1137&amp;"'!$E$62:$Y$62"</f>
        <v>'BLD_BT'!$E$62:$Y$62</v>
      </c>
      <c r="H1137" s="381">
        <f ca="1">IF(IFERROR(INDEX(DATA_PROPERTY_MASTER!$E$5:$E$21,MATCH($C1137,DATA_PROPERTY_MASTER!$A$5:$A$21,0))="Yes",FALSE),IFERROR(INDEX(INDIRECT("'"&amp;$C1137&amp;"'!$E$62:$Y$62"),1,MATCH($D1137,INDIRECT("'"&amp;$C1137&amp;"'!$E$12:$Y$12"),0)),0),0)</f>
        <v>0</v>
      </c>
      <c r="I1137" s="366" t="s">
        <v>1685</v>
      </c>
      <c r="J1137" s="348" t="str">
        <f t="shared" ca="1" si="34"/>
        <v>OK</v>
      </c>
      <c r="K1137" s="366" t="s">
        <v>1727</v>
      </c>
      <c r="L1137" s="366" t="s">
        <v>2254</v>
      </c>
      <c r="M1137" s="350" t="str">
        <f>IF($B1137="Portfolio","Portfolio",IFERROR(INDEX(DATA_ASSET_CLASSIFICATION!$B$8:$B$24,MATCH($C1137,DATA_ASSET_CLASSIFICATION!$A$8:$A$24,0)),"Review"))</f>
        <v>Beatrice Terrace</v>
      </c>
      <c r="N1137" s="350" t="str">
        <f ca="1">IF($B1137="Portfolio","Portfolio",IFERROR(INDEX(DATA_ASSET_CLASSIFICATION!$U$8:$U$24,MATCH($C1137,DATA_ASSET_CLASSIFICATION!$A$8:$A$24,0)),"Review"))</f>
        <v>Stable</v>
      </c>
      <c r="O1137" s="350" t="str">
        <f ca="1">IF($B1137="Portfolio","Portfolio",IFERROR(INDEX(DATA_ASSET_CLASSIFICATION!$AB$8:$AB$13,MATCH($N1137,DATA_ASSET_CLASSIFICATION!$AA$8:$AA$13,0)),"Review"))</f>
        <v>Bucket 2 · Legacy</v>
      </c>
      <c r="P1137" s="350" t="str">
        <f>IF($B1137="Portfolio","Portfolio",IFERROR(INDEX(DATA_ASSET_CLASSIFICATION!$C$8:$C$24,MATCH($C1137,DATA_ASSET_CLASSIFICATION!$A$8:$A$24,0)),"Review"))</f>
        <v>Yes</v>
      </c>
      <c r="Q1137" s="350" t="str">
        <f t="shared" ca="1" si="35"/>
        <v>OK</v>
      </c>
    </row>
    <row r="1138" spans="1:17">
      <c r="A1138" s="366" t="s">
        <v>3094</v>
      </c>
      <c r="B1138" s="366" t="s">
        <v>231</v>
      </c>
      <c r="C1138" s="348" t="str">
        <f>DATA_PROPERTY_MASTER!$A$7</f>
        <v>BLD_BT</v>
      </c>
      <c r="D1138" s="380">
        <f>'00_PORTFOLIO ROLLUP'!T$12</f>
        <v>2040</v>
      </c>
      <c r="E1138" s="366" t="s">
        <v>1721</v>
      </c>
      <c r="F1138" s="366" t="s">
        <v>35</v>
      </c>
      <c r="G1138" s="348" t="str">
        <f>"'"&amp;$C1138&amp;"'!$E$63:$Y$63"</f>
        <v>'BLD_BT'!$E$63:$Y$63</v>
      </c>
      <c r="H1138" s="381">
        <f ca="1">IF(IFERROR(INDEX(DATA_PROPERTY_MASTER!$E$5:$E$21,MATCH($C1138,DATA_PROPERTY_MASTER!$A$5:$A$21,0))="Yes",FALSE),IFERROR(INDEX(INDIRECT("'"&amp;$C1138&amp;"'!$E$63:$Y$63"),1,MATCH($D1138,INDIRECT("'"&amp;$C1138&amp;"'!$E$12:$Y$12"),0)),0),0)</f>
        <v>0</v>
      </c>
      <c r="I1138" s="366" t="s">
        <v>1731</v>
      </c>
      <c r="J1138" s="348" t="str">
        <f t="shared" ca="1" si="34"/>
        <v>OK</v>
      </c>
      <c r="K1138" s="366" t="s">
        <v>1732</v>
      </c>
      <c r="L1138" s="366" t="s">
        <v>2256</v>
      </c>
      <c r="M1138" s="350" t="str">
        <f>IF($B1138="Portfolio","Portfolio",IFERROR(INDEX(DATA_ASSET_CLASSIFICATION!$B$8:$B$24,MATCH($C1138,DATA_ASSET_CLASSIFICATION!$A$8:$A$24,0)),"Review"))</f>
        <v>Beatrice Terrace</v>
      </c>
      <c r="N1138" s="350" t="str">
        <f ca="1">IF($B1138="Portfolio","Portfolio",IFERROR(INDEX(DATA_ASSET_CLASSIFICATION!$U$8:$U$24,MATCH($C1138,DATA_ASSET_CLASSIFICATION!$A$8:$A$24,0)),"Review"))</f>
        <v>Stable</v>
      </c>
      <c r="O1138" s="350" t="str">
        <f ca="1">IF($B1138="Portfolio","Portfolio",IFERROR(INDEX(DATA_ASSET_CLASSIFICATION!$AB$8:$AB$13,MATCH($N1138,DATA_ASSET_CLASSIFICATION!$AA$8:$AA$13,0)),"Review"))</f>
        <v>Bucket 2 · Legacy</v>
      </c>
      <c r="P1138" s="350" t="str">
        <f>IF($B1138="Portfolio","Portfolio",IFERROR(INDEX(DATA_ASSET_CLASSIFICATION!$C$8:$C$24,MATCH($C1138,DATA_ASSET_CLASSIFICATION!$A$8:$A$24,0)),"Review"))</f>
        <v>Yes</v>
      </c>
      <c r="Q1138" s="350" t="str">
        <f t="shared" ca="1" si="35"/>
        <v>OK</v>
      </c>
    </row>
    <row r="1139" spans="1:17">
      <c r="A1139" s="366" t="s">
        <v>3095</v>
      </c>
      <c r="B1139" s="366" t="s">
        <v>231</v>
      </c>
      <c r="C1139" s="348" t="str">
        <f>DATA_PROPERTY_MASTER!$A$7</f>
        <v>BLD_BT</v>
      </c>
      <c r="D1139" s="380">
        <f>'00_PORTFOLIO ROLLUP'!T$12</f>
        <v>2040</v>
      </c>
      <c r="E1139" s="366" t="s">
        <v>1721</v>
      </c>
      <c r="F1139" s="366" t="s">
        <v>37</v>
      </c>
      <c r="G1139" s="348" t="str">
        <f>"'"&amp;$C1139&amp;"'!$E$63:$Y$63"</f>
        <v>'BLD_BT'!$E$63:$Y$63</v>
      </c>
      <c r="H1139" s="381">
        <f ca="1">IF(IFERROR(INDEX(DATA_PROPERTY_MASTER!$E$5:$E$21,MATCH($C1139,DATA_PROPERTY_MASTER!$A$5:$A$21,0))="Yes",FALSE),MAX(IFERROR(INDEX(INDIRECT("'"&amp;$C1139&amp;"'!$E$63:$Y$63"),1,MATCH($D1139,INDIRECT("'"&amp;$C1139&amp;"'!$E$12:$Y$12"),0)),0),0),0)</f>
        <v>0</v>
      </c>
      <c r="I1139" s="366" t="s">
        <v>1685</v>
      </c>
      <c r="J1139" s="348" t="str">
        <f t="shared" ca="1" si="34"/>
        <v>OK</v>
      </c>
      <c r="K1139" s="366" t="s">
        <v>1735</v>
      </c>
      <c r="L1139" s="366" t="s">
        <v>2258</v>
      </c>
      <c r="M1139" s="350" t="str">
        <f>IF($B1139="Portfolio","Portfolio",IFERROR(INDEX(DATA_ASSET_CLASSIFICATION!$B$8:$B$24,MATCH($C1139,DATA_ASSET_CLASSIFICATION!$A$8:$A$24,0)),"Review"))</f>
        <v>Beatrice Terrace</v>
      </c>
      <c r="N1139" s="350" t="str">
        <f ca="1">IF($B1139="Portfolio","Portfolio",IFERROR(INDEX(DATA_ASSET_CLASSIFICATION!$U$8:$U$24,MATCH($C1139,DATA_ASSET_CLASSIFICATION!$A$8:$A$24,0)),"Review"))</f>
        <v>Stable</v>
      </c>
      <c r="O1139" s="350" t="str">
        <f ca="1">IF($B1139="Portfolio","Portfolio",IFERROR(INDEX(DATA_ASSET_CLASSIFICATION!$AB$8:$AB$13,MATCH($N1139,DATA_ASSET_CLASSIFICATION!$AA$8:$AA$13,0)),"Review"))</f>
        <v>Bucket 2 · Legacy</v>
      </c>
      <c r="P1139" s="350" t="str">
        <f>IF($B1139="Portfolio","Portfolio",IFERROR(INDEX(DATA_ASSET_CLASSIFICATION!$C$8:$C$24,MATCH($C1139,DATA_ASSET_CLASSIFICATION!$A$8:$A$24,0)),"Review"))</f>
        <v>Yes</v>
      </c>
      <c r="Q1139" s="350" t="str">
        <f t="shared" ca="1" si="35"/>
        <v>OK</v>
      </c>
    </row>
    <row r="1140" spans="1:17">
      <c r="A1140" s="366" t="s">
        <v>3096</v>
      </c>
      <c r="B1140" s="366" t="s">
        <v>231</v>
      </c>
      <c r="C1140" s="348" t="str">
        <f>DATA_PROPERTY_MASTER!$A$7</f>
        <v>BLD_BT</v>
      </c>
      <c r="D1140" s="380">
        <f>'00_PORTFOLIO ROLLUP'!T$12</f>
        <v>2040</v>
      </c>
      <c r="E1140" s="366" t="s">
        <v>1721</v>
      </c>
      <c r="F1140" s="366" t="s">
        <v>39</v>
      </c>
      <c r="G1140" s="348" t="str">
        <f>"'"&amp;$C1140&amp;"'!$E$63:$Y$63"</f>
        <v>'BLD_BT'!$E$63:$Y$63</v>
      </c>
      <c r="H1140" s="381">
        <f ca="1">IF(IFERROR(INDEX(DATA_PROPERTY_MASTER!$E$5:$E$21,MATCH($C1140,DATA_PROPERTY_MASTER!$A$5:$A$21,0))="Yes",FALSE),MAX(-IFERROR(INDEX(INDIRECT("'"&amp;$C1140&amp;"'!$E$63:$Y$63"),1,MATCH($D1140,INDIRECT("'"&amp;$C1140&amp;"'!$E$12:$Y$12"),0)),0),0),0)</f>
        <v>0</v>
      </c>
      <c r="I1140" s="366" t="s">
        <v>1690</v>
      </c>
      <c r="J1140" s="348" t="str">
        <f t="shared" ca="1" si="34"/>
        <v>OK</v>
      </c>
      <c r="K1140" s="366" t="s">
        <v>1738</v>
      </c>
      <c r="L1140" s="366" t="s">
        <v>2260</v>
      </c>
      <c r="M1140" s="350" t="str">
        <f>IF($B1140="Portfolio","Portfolio",IFERROR(INDEX(DATA_ASSET_CLASSIFICATION!$B$8:$B$24,MATCH($C1140,DATA_ASSET_CLASSIFICATION!$A$8:$A$24,0)),"Review"))</f>
        <v>Beatrice Terrace</v>
      </c>
      <c r="N1140" s="350" t="str">
        <f ca="1">IF($B1140="Portfolio","Portfolio",IFERROR(INDEX(DATA_ASSET_CLASSIFICATION!$U$8:$U$24,MATCH($C1140,DATA_ASSET_CLASSIFICATION!$A$8:$A$24,0)),"Review"))</f>
        <v>Stable</v>
      </c>
      <c r="O1140" s="350" t="str">
        <f ca="1">IF($B1140="Portfolio","Portfolio",IFERROR(INDEX(DATA_ASSET_CLASSIFICATION!$AB$8:$AB$13,MATCH($N1140,DATA_ASSET_CLASSIFICATION!$AA$8:$AA$13,0)),"Review"))</f>
        <v>Bucket 2 · Legacy</v>
      </c>
      <c r="P1140" s="350" t="str">
        <f>IF($B1140="Portfolio","Portfolio",IFERROR(INDEX(DATA_ASSET_CLASSIFICATION!$C$8:$C$24,MATCH($C1140,DATA_ASSET_CLASSIFICATION!$A$8:$A$24,0)),"Review"))</f>
        <v>Yes</v>
      </c>
      <c r="Q1140" s="350" t="str">
        <f t="shared" ca="1" si="35"/>
        <v>OK</v>
      </c>
    </row>
    <row r="1141" spans="1:17">
      <c r="A1141" s="366" t="s">
        <v>3097</v>
      </c>
      <c r="B1141" s="366" t="s">
        <v>231</v>
      </c>
      <c r="C1141" s="348" t="str">
        <f>DATA_PROPERTY_MASTER!$A$7</f>
        <v>BLD_BT</v>
      </c>
      <c r="D1141" s="380">
        <f>'00_PORTFOLIO ROLLUP'!T$12</f>
        <v>2040</v>
      </c>
      <c r="E1141" s="366" t="s">
        <v>1741</v>
      </c>
      <c r="F1141" s="366" t="s">
        <v>41</v>
      </c>
      <c r="G1141" s="348" t="str">
        <f>"'"&amp;$C1141&amp;"'!rows 56 + positive row 63"</f>
        <v>'BLD_BT'!rows 56 + positive row 63</v>
      </c>
      <c r="H1141" s="381">
        <f ca="1">IF(IFERROR(INDEX(DATA_PROPERTY_MASTER!$E$5:$E$21,MATCH($C1141,DATA_PROPERTY_MASTER!$A$5:$A$21,0))="Yes",FALSE),IFERROR(INDEX(INDIRECT("'"&amp;$C1141&amp;"'!$E$56:$Y$56"),1,MATCH($D1141,INDIRECT("'"&amp;$C1141&amp;"'!$E$12:$Y$12"),0)),0)+MAX(IFERROR(INDEX(INDIRECT("'"&amp;$C1141&amp;"'!$E$63:$Y$63"),1,MATCH($D1141,INDIRECT("'"&amp;$C1141&amp;"'!$E$12:$Y$12"),0)),0),0),0)</f>
        <v>51669.506561159302</v>
      </c>
      <c r="I1141" s="366" t="s">
        <v>1685</v>
      </c>
      <c r="J1141" s="348" t="str">
        <f t="shared" ca="1" si="34"/>
        <v>OK</v>
      </c>
      <c r="K1141" s="366" t="s">
        <v>1742</v>
      </c>
      <c r="L1141" s="366" t="s">
        <v>2262</v>
      </c>
      <c r="M1141" s="350" t="str">
        <f>IF($B1141="Portfolio","Portfolio",IFERROR(INDEX(DATA_ASSET_CLASSIFICATION!$B$8:$B$24,MATCH($C1141,DATA_ASSET_CLASSIFICATION!$A$8:$A$24,0)),"Review"))</f>
        <v>Beatrice Terrace</v>
      </c>
      <c r="N1141" s="350" t="str">
        <f ca="1">IF($B1141="Portfolio","Portfolio",IFERROR(INDEX(DATA_ASSET_CLASSIFICATION!$U$8:$U$24,MATCH($C1141,DATA_ASSET_CLASSIFICATION!$A$8:$A$24,0)),"Review"))</f>
        <v>Stable</v>
      </c>
      <c r="O1141" s="350" t="str">
        <f ca="1">IF($B1141="Portfolio","Portfolio",IFERROR(INDEX(DATA_ASSET_CLASSIFICATION!$AB$8:$AB$13,MATCH($N1141,DATA_ASSET_CLASSIFICATION!$AA$8:$AA$13,0)),"Review"))</f>
        <v>Bucket 2 · Legacy</v>
      </c>
      <c r="P1141" s="350" t="str">
        <f>IF($B1141="Portfolio","Portfolio",IFERROR(INDEX(DATA_ASSET_CLASSIFICATION!$C$8:$C$24,MATCH($C1141,DATA_ASSET_CLASSIFICATION!$A$8:$A$24,0)),"Review"))</f>
        <v>Yes</v>
      </c>
      <c r="Q1141" s="350" t="str">
        <f t="shared" ca="1" si="35"/>
        <v>OK</v>
      </c>
    </row>
    <row r="1142" spans="1:17">
      <c r="A1142" s="366" t="s">
        <v>3098</v>
      </c>
      <c r="B1142" s="366" t="s">
        <v>231</v>
      </c>
      <c r="C1142" s="348" t="str">
        <f>DATA_PROPERTY_MASTER!$A$7</f>
        <v>BLD_BT</v>
      </c>
      <c r="D1142" s="380">
        <f>'00_PORTFOLIO ROLLUP'!T$12</f>
        <v>2040</v>
      </c>
      <c r="E1142" s="366" t="s">
        <v>1741</v>
      </c>
      <c r="F1142" s="366" t="s">
        <v>43</v>
      </c>
      <c r="G1142" s="348" t="str">
        <f>"'"&amp;$C1142&amp;"'!$E$68:$Y$68"</f>
        <v>'BLD_BT'!$E$68:$Y$68</v>
      </c>
      <c r="H1142" s="381">
        <f ca="1">IF(IFERROR(INDEX(DATA_PROPERTY_MASTER!$E$5:$E$21,MATCH($C1142,DATA_PROPERTY_MASTER!$A$5:$A$21,0))="Yes",FALSE),IFERROR(INDEX(INDIRECT("'"&amp;$C1142&amp;"'!$E$68:$Y$68"),1,MATCH($D1142,INDIRECT("'"&amp;$C1142&amp;"'!$E$12:$Y$12"),0)),0),0)</f>
        <v>51669.506561159302</v>
      </c>
      <c r="I1142" s="366" t="s">
        <v>1731</v>
      </c>
      <c r="J1142" s="348" t="str">
        <f t="shared" ca="1" si="34"/>
        <v>OK</v>
      </c>
      <c r="K1142" s="366" t="s">
        <v>1746</v>
      </c>
      <c r="L1142" s="366" t="s">
        <v>2264</v>
      </c>
      <c r="M1142" s="350" t="str">
        <f>IF($B1142="Portfolio","Portfolio",IFERROR(INDEX(DATA_ASSET_CLASSIFICATION!$B$8:$B$24,MATCH($C1142,DATA_ASSET_CLASSIFICATION!$A$8:$A$24,0)),"Review"))</f>
        <v>Beatrice Terrace</v>
      </c>
      <c r="N1142" s="350" t="str">
        <f ca="1">IF($B1142="Portfolio","Portfolio",IFERROR(INDEX(DATA_ASSET_CLASSIFICATION!$U$8:$U$24,MATCH($C1142,DATA_ASSET_CLASSIFICATION!$A$8:$A$24,0)),"Review"))</f>
        <v>Stable</v>
      </c>
      <c r="O1142" s="350" t="str">
        <f ca="1">IF($B1142="Portfolio","Portfolio",IFERROR(INDEX(DATA_ASSET_CLASSIFICATION!$AB$8:$AB$13,MATCH($N1142,DATA_ASSET_CLASSIFICATION!$AA$8:$AA$13,0)),"Review"))</f>
        <v>Bucket 2 · Legacy</v>
      </c>
      <c r="P1142" s="350" t="str">
        <f>IF($B1142="Portfolio","Portfolio",IFERROR(INDEX(DATA_ASSET_CLASSIFICATION!$C$8:$C$24,MATCH($C1142,DATA_ASSET_CLASSIFICATION!$A$8:$A$24,0)),"Review"))</f>
        <v>Yes</v>
      </c>
      <c r="Q1142" s="350" t="str">
        <f t="shared" ca="1" si="35"/>
        <v>OK</v>
      </c>
    </row>
    <row r="1143" spans="1:17">
      <c r="A1143" s="366" t="s">
        <v>3099</v>
      </c>
      <c r="B1143" s="366" t="s">
        <v>231</v>
      </c>
      <c r="C1143" s="348" t="str">
        <f>DATA_PROPERTY_MASTER!$A$7</f>
        <v>BLD_BT</v>
      </c>
      <c r="D1143" s="380">
        <f>'00_PORTFOLIO ROLLUP'!T$12</f>
        <v>2040</v>
      </c>
      <c r="E1143" s="366" t="s">
        <v>1741</v>
      </c>
      <c r="F1143" s="366" t="s">
        <v>1749</v>
      </c>
      <c r="G1143" s="348" t="str">
        <f>"'"&amp;$C1143&amp;"'!rows 56, 63, 68"</f>
        <v>'BLD_BT'!rows 56, 63, 68</v>
      </c>
      <c r="H1143" s="381">
        <f ca="1">IF(IFERROR(INDEX(DATA_PROPERTY_MASTER!$E$5:$E$21,MATCH($C1143,DATA_PROPERTY_MASTER!$A$5:$A$21,0))="Yes",FALSE),(IFERROR(INDEX(INDIRECT("'"&amp;$C1143&amp;"'!$E$56:$Y$56"),1,MATCH($D1143,INDIRECT("'"&amp;$C1143&amp;"'!$E$12:$Y$12"),0)),0)+MAX(IFERROR(INDEX(INDIRECT("'"&amp;$C1143&amp;"'!$E$63:$Y$63"),1,MATCH($D1143,INDIRECT("'"&amp;$C1143&amp;"'!$E$12:$Y$12"),0)),0),0))-(IFERROR(INDEX(INDIRECT("'"&amp;$C1143&amp;"'!$E$68:$Y$68"),1,MATCH($D1143,INDIRECT("'"&amp;$C1143&amp;"'!$E$12:$Y$12"),0)),0)),0)</f>
        <v>0</v>
      </c>
      <c r="I1143" s="366" t="s">
        <v>1750</v>
      </c>
      <c r="J1143" s="348" t="str">
        <f t="shared" ca="1" si="34"/>
        <v>OK</v>
      </c>
      <c r="K1143" s="366" t="s">
        <v>1751</v>
      </c>
      <c r="L1143" s="366" t="s">
        <v>2266</v>
      </c>
      <c r="M1143" s="350" t="str">
        <f>IF($B1143="Portfolio","Portfolio",IFERROR(INDEX(DATA_ASSET_CLASSIFICATION!$B$8:$B$24,MATCH($C1143,DATA_ASSET_CLASSIFICATION!$A$8:$A$24,0)),"Review"))</f>
        <v>Beatrice Terrace</v>
      </c>
      <c r="N1143" s="350" t="str">
        <f ca="1">IF($B1143="Portfolio","Portfolio",IFERROR(INDEX(DATA_ASSET_CLASSIFICATION!$U$8:$U$24,MATCH($C1143,DATA_ASSET_CLASSIFICATION!$A$8:$A$24,0)),"Review"))</f>
        <v>Stable</v>
      </c>
      <c r="O1143" s="350" t="str">
        <f ca="1">IF($B1143="Portfolio","Portfolio",IFERROR(INDEX(DATA_ASSET_CLASSIFICATION!$AB$8:$AB$13,MATCH($N1143,DATA_ASSET_CLASSIFICATION!$AA$8:$AA$13,0)),"Review"))</f>
        <v>Bucket 2 · Legacy</v>
      </c>
      <c r="P1143" s="350" t="str">
        <f>IF($B1143="Portfolio","Portfolio",IFERROR(INDEX(DATA_ASSET_CLASSIFICATION!$C$8:$C$24,MATCH($C1143,DATA_ASSET_CLASSIFICATION!$A$8:$A$24,0)),"Review"))</f>
        <v>Yes</v>
      </c>
      <c r="Q1143" s="350" t="str">
        <f t="shared" ca="1" si="35"/>
        <v>OK</v>
      </c>
    </row>
    <row r="1144" spans="1:17">
      <c r="A1144" s="366" t="s">
        <v>3100</v>
      </c>
      <c r="B1144" s="366" t="s">
        <v>231</v>
      </c>
      <c r="C1144" s="348" t="str">
        <f>DATA_PROPERTY_MASTER!$A$7</f>
        <v>BLD_BT</v>
      </c>
      <c r="D1144" s="380">
        <f>'00_PORTFOLIO ROLLUP'!U$12</f>
        <v>2041</v>
      </c>
      <c r="E1144" s="366" t="s">
        <v>1683</v>
      </c>
      <c r="F1144" s="366" t="s">
        <v>341</v>
      </c>
      <c r="G1144" s="348" t="str">
        <f>"'"&amp;$C1144&amp;"'!$E$24:$Y$24"</f>
        <v>'BLD_BT'!$E$24:$Y$24</v>
      </c>
      <c r="H1144" s="381">
        <f ca="1">IF(IFERROR(INDEX(DATA_PROPERTY_MASTER!$E$5:$E$21,MATCH($C1144,DATA_PROPERTY_MASTER!$A$5:$A$21,0))="Yes",FALSE),IFERROR(INDEX(INDIRECT("'"&amp;$C1144&amp;"'!$E$24:$Y$24"),1,MATCH($D1144,INDIRECT("'"&amp;$C1144&amp;"'!$E$12:$Y$12"),0)),0),0)</f>
        <v>447138.71899300517</v>
      </c>
      <c r="I1144" s="366" t="s">
        <v>1685</v>
      </c>
      <c r="J1144" s="348" t="str">
        <f t="shared" ca="1" si="34"/>
        <v>OK</v>
      </c>
      <c r="K1144" s="366" t="s">
        <v>1686</v>
      </c>
      <c r="L1144" s="366" t="s">
        <v>2234</v>
      </c>
      <c r="M1144" s="350" t="str">
        <f>IF($B1144="Portfolio","Portfolio",IFERROR(INDEX(DATA_ASSET_CLASSIFICATION!$B$8:$B$24,MATCH($C1144,DATA_ASSET_CLASSIFICATION!$A$8:$A$24,0)),"Review"))</f>
        <v>Beatrice Terrace</v>
      </c>
      <c r="N1144" s="350" t="str">
        <f ca="1">IF($B1144="Portfolio","Portfolio",IFERROR(INDEX(DATA_ASSET_CLASSIFICATION!$U$8:$U$24,MATCH($C1144,DATA_ASSET_CLASSIFICATION!$A$8:$A$24,0)),"Review"))</f>
        <v>Stable</v>
      </c>
      <c r="O1144" s="350" t="str">
        <f ca="1">IF($B1144="Portfolio","Portfolio",IFERROR(INDEX(DATA_ASSET_CLASSIFICATION!$AB$8:$AB$13,MATCH($N1144,DATA_ASSET_CLASSIFICATION!$AA$8:$AA$13,0)),"Review"))</f>
        <v>Bucket 2 · Legacy</v>
      </c>
      <c r="P1144" s="350" t="str">
        <f>IF($B1144="Portfolio","Portfolio",IFERROR(INDEX(DATA_ASSET_CLASSIFICATION!$C$8:$C$24,MATCH($C1144,DATA_ASSET_CLASSIFICATION!$A$8:$A$24,0)),"Review"))</f>
        <v>Yes</v>
      </c>
      <c r="Q1144" s="350" t="str">
        <f t="shared" ca="1" si="35"/>
        <v>OK</v>
      </c>
    </row>
    <row r="1145" spans="1:17">
      <c r="A1145" s="366" t="s">
        <v>3101</v>
      </c>
      <c r="B1145" s="366" t="s">
        <v>231</v>
      </c>
      <c r="C1145" s="348" t="str">
        <f>DATA_PROPERTY_MASTER!$A$7</f>
        <v>BLD_BT</v>
      </c>
      <c r="D1145" s="380">
        <f>'00_PORTFOLIO ROLLUP'!U$12</f>
        <v>2041</v>
      </c>
      <c r="E1145" s="366" t="s">
        <v>1683</v>
      </c>
      <c r="F1145" s="366" t="s">
        <v>355</v>
      </c>
      <c r="G1145" s="348" t="str">
        <f>"'"&amp;$C1145&amp;"'!$E$39:$Y$39"</f>
        <v>'BLD_BT'!$E$39:$Y$39</v>
      </c>
      <c r="H1145" s="381">
        <f ca="1">IF(IFERROR(INDEX(DATA_PROPERTY_MASTER!$E$5:$E$21,MATCH($C1145,DATA_PROPERTY_MASTER!$A$5:$A$21,0))="Yes",FALSE),IFERROR(INDEX(INDIRECT("'"&amp;$C1145&amp;"'!$E$39:$Y$39"),1,MATCH($D1145,INDIRECT("'"&amp;$C1145&amp;"'!$E$12:$Y$12"),0)),0),0)</f>
        <v>203599.6928956864</v>
      </c>
      <c r="I1145" s="366" t="s">
        <v>1690</v>
      </c>
      <c r="J1145" s="348" t="str">
        <f t="shared" ca="1" si="34"/>
        <v>OK</v>
      </c>
      <c r="K1145" s="366" t="s">
        <v>1686</v>
      </c>
      <c r="L1145" s="366" t="s">
        <v>2236</v>
      </c>
      <c r="M1145" s="350" t="str">
        <f>IF($B1145="Portfolio","Portfolio",IFERROR(INDEX(DATA_ASSET_CLASSIFICATION!$B$8:$B$24,MATCH($C1145,DATA_ASSET_CLASSIFICATION!$A$8:$A$24,0)),"Review"))</f>
        <v>Beatrice Terrace</v>
      </c>
      <c r="N1145" s="350" t="str">
        <f ca="1">IF($B1145="Portfolio","Portfolio",IFERROR(INDEX(DATA_ASSET_CLASSIFICATION!$U$8:$U$24,MATCH($C1145,DATA_ASSET_CLASSIFICATION!$A$8:$A$24,0)),"Review"))</f>
        <v>Stable</v>
      </c>
      <c r="O1145" s="350" t="str">
        <f ca="1">IF($B1145="Portfolio","Portfolio",IFERROR(INDEX(DATA_ASSET_CLASSIFICATION!$AB$8:$AB$13,MATCH($N1145,DATA_ASSET_CLASSIFICATION!$AA$8:$AA$13,0)),"Review"))</f>
        <v>Bucket 2 · Legacy</v>
      </c>
      <c r="P1145" s="350" t="str">
        <f>IF($B1145="Portfolio","Portfolio",IFERROR(INDEX(DATA_ASSET_CLASSIFICATION!$C$8:$C$24,MATCH($C1145,DATA_ASSET_CLASSIFICATION!$A$8:$A$24,0)),"Review"))</f>
        <v>Yes</v>
      </c>
      <c r="Q1145" s="350" t="str">
        <f t="shared" ca="1" si="35"/>
        <v>OK</v>
      </c>
    </row>
    <row r="1146" spans="1:17">
      <c r="A1146" s="366" t="s">
        <v>3102</v>
      </c>
      <c r="B1146" s="366" t="s">
        <v>231</v>
      </c>
      <c r="C1146" s="348" t="str">
        <f>DATA_PROPERTY_MASTER!$A$7</f>
        <v>BLD_BT</v>
      </c>
      <c r="D1146" s="380">
        <f>'00_PORTFOLIO ROLLUP'!U$12</f>
        <v>2041</v>
      </c>
      <c r="E1146" s="366" t="s">
        <v>1683</v>
      </c>
      <c r="F1146" s="366" t="s">
        <v>19</v>
      </c>
      <c r="G1146" s="348" t="str">
        <f>"'"&amp;$C1146&amp;"'!$E$41:$Y$41"</f>
        <v>'BLD_BT'!$E$41:$Y$41</v>
      </c>
      <c r="H1146" s="381">
        <f ca="1">IF(IFERROR(INDEX(DATA_PROPERTY_MASTER!$E$5:$E$21,MATCH($C1146,DATA_PROPERTY_MASTER!$A$5:$A$21,0))="Yes",FALSE),IFERROR(INDEX(INDIRECT("'"&amp;$C1146&amp;"'!$E$41:$Y$41"),1,MATCH($D1146,INDIRECT("'"&amp;$C1146&amp;"'!$E$12:$Y$12"),0)),0),0)</f>
        <v>243539.02609731877</v>
      </c>
      <c r="I1146" s="366" t="s">
        <v>1685</v>
      </c>
      <c r="J1146" s="348" t="str">
        <f t="shared" ca="1" si="34"/>
        <v>OK</v>
      </c>
      <c r="K1146" s="366" t="s">
        <v>1694</v>
      </c>
      <c r="L1146" s="366" t="s">
        <v>2238</v>
      </c>
      <c r="M1146" s="350" t="str">
        <f>IF($B1146="Portfolio","Portfolio",IFERROR(INDEX(DATA_ASSET_CLASSIFICATION!$B$8:$B$24,MATCH($C1146,DATA_ASSET_CLASSIFICATION!$A$8:$A$24,0)),"Review"))</f>
        <v>Beatrice Terrace</v>
      </c>
      <c r="N1146" s="350" t="str">
        <f ca="1">IF($B1146="Portfolio","Portfolio",IFERROR(INDEX(DATA_ASSET_CLASSIFICATION!$U$8:$U$24,MATCH($C1146,DATA_ASSET_CLASSIFICATION!$A$8:$A$24,0)),"Review"))</f>
        <v>Stable</v>
      </c>
      <c r="O1146" s="350" t="str">
        <f ca="1">IF($B1146="Portfolio","Portfolio",IFERROR(INDEX(DATA_ASSET_CLASSIFICATION!$AB$8:$AB$13,MATCH($N1146,DATA_ASSET_CLASSIFICATION!$AA$8:$AA$13,0)),"Review"))</f>
        <v>Bucket 2 · Legacy</v>
      </c>
      <c r="P1146" s="350" t="str">
        <f>IF($B1146="Portfolio","Portfolio",IFERROR(INDEX(DATA_ASSET_CLASSIFICATION!$C$8:$C$24,MATCH($C1146,DATA_ASSET_CLASSIFICATION!$A$8:$A$24,0)),"Review"))</f>
        <v>Yes</v>
      </c>
      <c r="Q1146" s="350" t="str">
        <f t="shared" ca="1" si="35"/>
        <v>OK</v>
      </c>
    </row>
    <row r="1147" spans="1:17">
      <c r="A1147" s="366" t="s">
        <v>3103</v>
      </c>
      <c r="B1147" s="366" t="s">
        <v>231</v>
      </c>
      <c r="C1147" s="348" t="str">
        <f>DATA_PROPERTY_MASTER!$A$7</f>
        <v>BLD_BT</v>
      </c>
      <c r="D1147" s="380">
        <f>'00_PORTFOLIO ROLLUP'!U$12</f>
        <v>2041</v>
      </c>
      <c r="E1147" s="366" t="s">
        <v>1683</v>
      </c>
      <c r="F1147" s="366" t="s">
        <v>1697</v>
      </c>
      <c r="G1147" s="348" t="str">
        <f>"'"&amp;$C1147&amp;"'!$E$44:$Y$44"</f>
        <v>'BLD_BT'!$E$44:$Y$44</v>
      </c>
      <c r="H1147" s="381">
        <f ca="1">IF(IFERROR(INDEX(DATA_PROPERTY_MASTER!$E$5:$E$21,MATCH($C1147,DATA_PROPERTY_MASTER!$A$5:$A$21,0))="Yes",FALSE),IFERROR(INDEX(INDIRECT("'"&amp;$C1147&amp;"'!$E$44:$Y$44"),1,MATCH($D1147,INDIRECT("'"&amp;$C1147&amp;"'!$E$12:$Y$12"),0)),0),0)</f>
        <v>3706.5214037446526</v>
      </c>
      <c r="I1147" s="366" t="s">
        <v>1690</v>
      </c>
      <c r="J1147" s="348" t="str">
        <f t="shared" ca="1" si="34"/>
        <v>OK</v>
      </c>
      <c r="K1147" s="366" t="s">
        <v>1699</v>
      </c>
      <c r="L1147" s="366" t="s">
        <v>2240</v>
      </c>
      <c r="M1147" s="350" t="str">
        <f>IF($B1147="Portfolio","Portfolio",IFERROR(INDEX(DATA_ASSET_CLASSIFICATION!$B$8:$B$24,MATCH($C1147,DATA_ASSET_CLASSIFICATION!$A$8:$A$24,0)),"Review"))</f>
        <v>Beatrice Terrace</v>
      </c>
      <c r="N1147" s="350" t="str">
        <f ca="1">IF($B1147="Portfolio","Portfolio",IFERROR(INDEX(DATA_ASSET_CLASSIFICATION!$U$8:$U$24,MATCH($C1147,DATA_ASSET_CLASSIFICATION!$A$8:$A$24,0)),"Review"))</f>
        <v>Stable</v>
      </c>
      <c r="O1147" s="350" t="str">
        <f ca="1">IF($B1147="Portfolio","Portfolio",IFERROR(INDEX(DATA_ASSET_CLASSIFICATION!$AB$8:$AB$13,MATCH($N1147,DATA_ASSET_CLASSIFICATION!$AA$8:$AA$13,0)),"Review"))</f>
        <v>Bucket 2 · Legacy</v>
      </c>
      <c r="P1147" s="350" t="str">
        <f>IF($B1147="Portfolio","Portfolio",IFERROR(INDEX(DATA_ASSET_CLASSIFICATION!$C$8:$C$24,MATCH($C1147,DATA_ASSET_CLASSIFICATION!$A$8:$A$24,0)),"Review"))</f>
        <v>Yes</v>
      </c>
      <c r="Q1147" s="350" t="str">
        <f t="shared" ca="1" si="35"/>
        <v>OK</v>
      </c>
    </row>
    <row r="1148" spans="1:17">
      <c r="A1148" s="366" t="s">
        <v>3104</v>
      </c>
      <c r="B1148" s="366" t="s">
        <v>231</v>
      </c>
      <c r="C1148" s="348" t="str">
        <f>DATA_PROPERTY_MASTER!$A$7</f>
        <v>BLD_BT</v>
      </c>
      <c r="D1148" s="380">
        <f>'00_PORTFOLIO ROLLUP'!U$12</f>
        <v>2041</v>
      </c>
      <c r="E1148" s="366" t="s">
        <v>1683</v>
      </c>
      <c r="F1148" s="366" t="s">
        <v>21</v>
      </c>
      <c r="G1148" s="348" t="str">
        <f>"'"&amp;$C1148&amp;"'!$E$45:$Y$45"</f>
        <v>'BLD_BT'!$E$45:$Y$45</v>
      </c>
      <c r="H1148" s="381">
        <f ca="1">IF(IFERROR(INDEX(DATA_PROPERTY_MASTER!$E$5:$E$21,MATCH($C1148,DATA_PROPERTY_MASTER!$A$5:$A$21,0))="Yes",FALSE),IFERROR(INDEX(INDIRECT("'"&amp;$C1148&amp;"'!$E$45:$Y$45"),1,MATCH($D1148,INDIRECT("'"&amp;$C1148&amp;"'!$E$12:$Y$12"),0)),0),0)</f>
        <v>239832.50469357413</v>
      </c>
      <c r="I1148" s="366" t="s">
        <v>1685</v>
      </c>
      <c r="J1148" s="348" t="str">
        <f t="shared" ca="1" si="34"/>
        <v>OK</v>
      </c>
      <c r="K1148" s="366" t="s">
        <v>1694</v>
      </c>
      <c r="L1148" s="366" t="s">
        <v>2242</v>
      </c>
      <c r="M1148" s="350" t="str">
        <f>IF($B1148="Portfolio","Portfolio",IFERROR(INDEX(DATA_ASSET_CLASSIFICATION!$B$8:$B$24,MATCH($C1148,DATA_ASSET_CLASSIFICATION!$A$8:$A$24,0)),"Review"))</f>
        <v>Beatrice Terrace</v>
      </c>
      <c r="N1148" s="350" t="str">
        <f ca="1">IF($B1148="Portfolio","Portfolio",IFERROR(INDEX(DATA_ASSET_CLASSIFICATION!$U$8:$U$24,MATCH($C1148,DATA_ASSET_CLASSIFICATION!$A$8:$A$24,0)),"Review"))</f>
        <v>Stable</v>
      </c>
      <c r="O1148" s="350" t="str">
        <f ca="1">IF($B1148="Portfolio","Portfolio",IFERROR(INDEX(DATA_ASSET_CLASSIFICATION!$AB$8:$AB$13,MATCH($N1148,DATA_ASSET_CLASSIFICATION!$AA$8:$AA$13,0)),"Review"))</f>
        <v>Bucket 2 · Legacy</v>
      </c>
      <c r="P1148" s="350" t="str">
        <f>IF($B1148="Portfolio","Portfolio",IFERROR(INDEX(DATA_ASSET_CLASSIFICATION!$C$8:$C$24,MATCH($C1148,DATA_ASSET_CLASSIFICATION!$A$8:$A$24,0)),"Review"))</f>
        <v>Yes</v>
      </c>
      <c r="Q1148" s="350" t="str">
        <f t="shared" ca="1" si="35"/>
        <v>OK</v>
      </c>
    </row>
    <row r="1149" spans="1:17">
      <c r="A1149" s="366" t="s">
        <v>3105</v>
      </c>
      <c r="B1149" s="366" t="s">
        <v>231</v>
      </c>
      <c r="C1149" s="348" t="str">
        <f>DATA_PROPERTY_MASTER!$A$7</f>
        <v>BLD_BT</v>
      </c>
      <c r="D1149" s="380">
        <f>'00_PORTFOLIO ROLLUP'!U$12</f>
        <v>2041</v>
      </c>
      <c r="E1149" s="366" t="s">
        <v>23</v>
      </c>
      <c r="F1149" s="366" t="s">
        <v>23</v>
      </c>
      <c r="G1149" s="348" t="str">
        <f>"'"&amp;$C1149&amp;"'!$E$48:$Y$48"</f>
        <v>'BLD_BT'!$E$48:$Y$48</v>
      </c>
      <c r="H1149" s="381">
        <f ca="1">IF(IFERROR(INDEX(DATA_PROPERTY_MASTER!$E$5:$E$21,MATCH($C1149,DATA_PROPERTY_MASTER!$A$5:$A$21,0))="Yes",FALSE),IFERROR(INDEX(INDIRECT("'"&amp;$C1149&amp;"'!$E$48:$Y$48"),1,MATCH($D1149,INDIRECT("'"&amp;$C1149&amp;"'!$E$12:$Y$12"),0)),0),0)</f>
        <v>110563.68</v>
      </c>
      <c r="I1149" s="366" t="s">
        <v>1690</v>
      </c>
      <c r="J1149" s="348" t="str">
        <f t="shared" ca="1" si="34"/>
        <v>OK</v>
      </c>
      <c r="K1149" s="366" t="s">
        <v>1706</v>
      </c>
      <c r="L1149" s="366" t="s">
        <v>2244</v>
      </c>
      <c r="M1149" s="350" t="str">
        <f>IF($B1149="Portfolio","Portfolio",IFERROR(INDEX(DATA_ASSET_CLASSIFICATION!$B$8:$B$24,MATCH($C1149,DATA_ASSET_CLASSIFICATION!$A$8:$A$24,0)),"Review"))</f>
        <v>Beatrice Terrace</v>
      </c>
      <c r="N1149" s="350" t="str">
        <f ca="1">IF($B1149="Portfolio","Portfolio",IFERROR(INDEX(DATA_ASSET_CLASSIFICATION!$U$8:$U$24,MATCH($C1149,DATA_ASSET_CLASSIFICATION!$A$8:$A$24,0)),"Review"))</f>
        <v>Stable</v>
      </c>
      <c r="O1149" s="350" t="str">
        <f ca="1">IF($B1149="Portfolio","Portfolio",IFERROR(INDEX(DATA_ASSET_CLASSIFICATION!$AB$8:$AB$13,MATCH($N1149,DATA_ASSET_CLASSIFICATION!$AA$8:$AA$13,0)),"Review"))</f>
        <v>Bucket 2 · Legacy</v>
      </c>
      <c r="P1149" s="350" t="str">
        <f>IF($B1149="Portfolio","Portfolio",IFERROR(INDEX(DATA_ASSET_CLASSIFICATION!$C$8:$C$24,MATCH($C1149,DATA_ASSET_CLASSIFICATION!$A$8:$A$24,0)),"Review"))</f>
        <v>Yes</v>
      </c>
      <c r="Q1149" s="350" t="str">
        <f t="shared" ca="1" si="35"/>
        <v>OK</v>
      </c>
    </row>
    <row r="1150" spans="1:17">
      <c r="A1150" s="366" t="s">
        <v>3106</v>
      </c>
      <c r="B1150" s="366" t="s">
        <v>231</v>
      </c>
      <c r="C1150" s="348" t="str">
        <f>DATA_PROPERTY_MASTER!$A$7</f>
        <v>BLD_BT</v>
      </c>
      <c r="D1150" s="380">
        <f>'00_PORTFOLIO ROLLUP'!U$12</f>
        <v>2041</v>
      </c>
      <c r="E1150" s="366" t="s">
        <v>1683</v>
      </c>
      <c r="F1150" s="366" t="s">
        <v>25</v>
      </c>
      <c r="G1150" s="348" t="str">
        <f>"'"&amp;$C1150&amp;"'!$E$52:$Y$52"</f>
        <v>'BLD_BT'!$E$52:$Y$52</v>
      </c>
      <c r="H1150" s="381">
        <f ca="1">IF(IFERROR(INDEX(DATA_PROPERTY_MASTER!$E$5:$E$21,MATCH($C1150,DATA_PROPERTY_MASTER!$A$5:$A$21,0))="Yes",FALSE),IFERROR(INDEX(INDIRECT("'"&amp;$C1150&amp;"'!$E$52:$Y$52"),1,MATCH($D1150,INDIRECT("'"&amp;$C1150&amp;"'!$E$12:$Y$12"),0)),0),0)</f>
        <v>132975.34609731878</v>
      </c>
      <c r="I1150" s="366" t="s">
        <v>1685</v>
      </c>
      <c r="J1150" s="348" t="str">
        <f t="shared" ca="1" si="34"/>
        <v>OK</v>
      </c>
      <c r="K1150" s="366" t="s">
        <v>1710</v>
      </c>
      <c r="L1150" s="366" t="s">
        <v>2246</v>
      </c>
      <c r="M1150" s="350" t="str">
        <f>IF($B1150="Portfolio","Portfolio",IFERROR(INDEX(DATA_ASSET_CLASSIFICATION!$B$8:$B$24,MATCH($C1150,DATA_ASSET_CLASSIFICATION!$A$8:$A$24,0)),"Review"))</f>
        <v>Beatrice Terrace</v>
      </c>
      <c r="N1150" s="350" t="str">
        <f ca="1">IF($B1150="Portfolio","Portfolio",IFERROR(INDEX(DATA_ASSET_CLASSIFICATION!$U$8:$U$24,MATCH($C1150,DATA_ASSET_CLASSIFICATION!$A$8:$A$24,0)),"Review"))</f>
        <v>Stable</v>
      </c>
      <c r="O1150" s="350" t="str">
        <f ca="1">IF($B1150="Portfolio","Portfolio",IFERROR(INDEX(DATA_ASSET_CLASSIFICATION!$AB$8:$AB$13,MATCH($N1150,DATA_ASSET_CLASSIFICATION!$AA$8:$AA$13,0)),"Review"))</f>
        <v>Bucket 2 · Legacy</v>
      </c>
      <c r="P1150" s="350" t="str">
        <f>IF($B1150="Portfolio","Portfolio",IFERROR(INDEX(DATA_ASSET_CLASSIFICATION!$C$8:$C$24,MATCH($C1150,DATA_ASSET_CLASSIFICATION!$A$8:$A$24,0)),"Review"))</f>
        <v>Yes</v>
      </c>
      <c r="Q1150" s="350" t="str">
        <f t="shared" ca="1" si="35"/>
        <v>OK</v>
      </c>
    </row>
    <row r="1151" spans="1:17">
      <c r="A1151" s="366" t="s">
        <v>3107</v>
      </c>
      <c r="B1151" s="366" t="s">
        <v>231</v>
      </c>
      <c r="C1151" s="348" t="str">
        <f>DATA_PROPERTY_MASTER!$A$7</f>
        <v>BLD_BT</v>
      </c>
      <c r="D1151" s="380">
        <f>'00_PORTFOLIO ROLLUP'!U$12</f>
        <v>2041</v>
      </c>
      <c r="E1151" s="366" t="s">
        <v>1683</v>
      </c>
      <c r="F1151" s="366" t="s">
        <v>27</v>
      </c>
      <c r="G1151" s="348" t="str">
        <f>"'"&amp;$C1151&amp;"'!$E$54:$Y$54"</f>
        <v>'BLD_BT'!$E$54:$Y$54</v>
      </c>
      <c r="H1151" s="381">
        <f ca="1">IF(IFERROR(INDEX(DATA_PROPERTY_MASTER!$E$5:$E$21,MATCH($C1151,DATA_PROPERTY_MASTER!$A$5:$A$21,0))="Yes",FALSE),IFERROR(INDEX(INDIRECT("'"&amp;$C1151&amp;"'!$E$54:$Y$54"),1,MATCH($D1151,INDIRECT("'"&amp;$C1151&amp;"'!$E$12:$Y$12"),0)),0),0)</f>
        <v>79785.207658391257</v>
      </c>
      <c r="I1151" s="366" t="s">
        <v>1690</v>
      </c>
      <c r="J1151" s="348" t="str">
        <f t="shared" ca="1" si="34"/>
        <v>OK</v>
      </c>
      <c r="K1151" s="366" t="s">
        <v>1714</v>
      </c>
      <c r="L1151" s="366" t="s">
        <v>2248</v>
      </c>
      <c r="M1151" s="350" t="str">
        <f>IF($B1151="Portfolio","Portfolio",IFERROR(INDEX(DATA_ASSET_CLASSIFICATION!$B$8:$B$24,MATCH($C1151,DATA_ASSET_CLASSIFICATION!$A$8:$A$24,0)),"Review"))</f>
        <v>Beatrice Terrace</v>
      </c>
      <c r="N1151" s="350" t="str">
        <f ca="1">IF($B1151="Portfolio","Portfolio",IFERROR(INDEX(DATA_ASSET_CLASSIFICATION!$U$8:$U$24,MATCH($C1151,DATA_ASSET_CLASSIFICATION!$A$8:$A$24,0)),"Review"))</f>
        <v>Stable</v>
      </c>
      <c r="O1151" s="350" t="str">
        <f ca="1">IF($B1151="Portfolio","Portfolio",IFERROR(INDEX(DATA_ASSET_CLASSIFICATION!$AB$8:$AB$13,MATCH($N1151,DATA_ASSET_CLASSIFICATION!$AA$8:$AA$13,0)),"Review"))</f>
        <v>Bucket 2 · Legacy</v>
      </c>
      <c r="P1151" s="350" t="str">
        <f>IF($B1151="Portfolio","Portfolio",IFERROR(INDEX(DATA_ASSET_CLASSIFICATION!$C$8:$C$24,MATCH($C1151,DATA_ASSET_CLASSIFICATION!$A$8:$A$24,0)),"Review"))</f>
        <v>Yes</v>
      </c>
      <c r="Q1151" s="350" t="str">
        <f t="shared" ca="1" si="35"/>
        <v>OK</v>
      </c>
    </row>
    <row r="1152" spans="1:17">
      <c r="A1152" s="366" t="s">
        <v>3108</v>
      </c>
      <c r="B1152" s="366" t="s">
        <v>231</v>
      </c>
      <c r="C1152" s="348" t="str">
        <f>DATA_PROPERTY_MASTER!$A$7</f>
        <v>BLD_BT</v>
      </c>
      <c r="D1152" s="380">
        <f>'00_PORTFOLIO ROLLUP'!U$12</f>
        <v>2041</v>
      </c>
      <c r="E1152" s="366" t="s">
        <v>1683</v>
      </c>
      <c r="F1152" s="366" t="s">
        <v>29</v>
      </c>
      <c r="G1152" s="348" t="str">
        <f>"'"&amp;$C1152&amp;"'!$E$56:$Y$56"</f>
        <v>'BLD_BT'!$E$56:$Y$56</v>
      </c>
      <c r="H1152" s="381">
        <f ca="1">IF(IFERROR(INDEX(DATA_PROPERTY_MASTER!$E$5:$E$21,MATCH($C1152,DATA_PROPERTY_MASTER!$A$5:$A$21,0))="Yes",FALSE),IFERROR(INDEX(INDIRECT("'"&amp;$C1152&amp;"'!$E$56:$Y$56"),1,MATCH($D1152,INDIRECT("'"&amp;$C1152&amp;"'!$E$12:$Y$12"),0)),0),0)</f>
        <v>53190.138438927519</v>
      </c>
      <c r="I1152" s="366" t="s">
        <v>1685</v>
      </c>
      <c r="J1152" s="348" t="str">
        <f t="shared" ca="1" si="34"/>
        <v>OK</v>
      </c>
      <c r="K1152" s="366" t="s">
        <v>1718</v>
      </c>
      <c r="L1152" s="366" t="s">
        <v>2250</v>
      </c>
      <c r="M1152" s="350" t="str">
        <f>IF($B1152="Portfolio","Portfolio",IFERROR(INDEX(DATA_ASSET_CLASSIFICATION!$B$8:$B$24,MATCH($C1152,DATA_ASSET_CLASSIFICATION!$A$8:$A$24,0)),"Review"))</f>
        <v>Beatrice Terrace</v>
      </c>
      <c r="N1152" s="350" t="str">
        <f ca="1">IF($B1152="Portfolio","Portfolio",IFERROR(INDEX(DATA_ASSET_CLASSIFICATION!$U$8:$U$24,MATCH($C1152,DATA_ASSET_CLASSIFICATION!$A$8:$A$24,0)),"Review"))</f>
        <v>Stable</v>
      </c>
      <c r="O1152" s="350" t="str">
        <f ca="1">IF($B1152="Portfolio","Portfolio",IFERROR(INDEX(DATA_ASSET_CLASSIFICATION!$AB$8:$AB$13,MATCH($N1152,DATA_ASSET_CLASSIFICATION!$AA$8:$AA$13,0)),"Review"))</f>
        <v>Bucket 2 · Legacy</v>
      </c>
      <c r="P1152" s="350" t="str">
        <f>IF($B1152="Portfolio","Portfolio",IFERROR(INDEX(DATA_ASSET_CLASSIFICATION!$C$8:$C$24,MATCH($C1152,DATA_ASSET_CLASSIFICATION!$A$8:$A$24,0)),"Review"))</f>
        <v>Yes</v>
      </c>
      <c r="Q1152" s="350" t="str">
        <f t="shared" ca="1" si="35"/>
        <v>OK</v>
      </c>
    </row>
    <row r="1153" spans="1:17">
      <c r="A1153" s="366" t="s">
        <v>3109</v>
      </c>
      <c r="B1153" s="366" t="s">
        <v>231</v>
      </c>
      <c r="C1153" s="348" t="str">
        <f>DATA_PROPERTY_MASTER!$A$7</f>
        <v>BLD_BT</v>
      </c>
      <c r="D1153" s="380">
        <f>'00_PORTFOLIO ROLLUP'!U$12</f>
        <v>2041</v>
      </c>
      <c r="E1153" s="366" t="s">
        <v>1721</v>
      </c>
      <c r="F1153" s="366" t="s">
        <v>31</v>
      </c>
      <c r="G1153" s="348" t="str">
        <f>"'"&amp;$C1153&amp;"'!$E$61:$Y$61"</f>
        <v>'BLD_BT'!$E$61:$Y$61</v>
      </c>
      <c r="H1153" s="381">
        <f ca="1">IF(IFERROR(INDEX(DATA_PROPERTY_MASTER!$E$5:$E$21,MATCH($C1153,DATA_PROPERTY_MASTER!$A$5:$A$21,0))="Yes",FALSE),IFERROR(INDEX(INDIRECT("'"&amp;$C1153&amp;"'!$E$61:$Y$61"),1,MATCH($D1153,INDIRECT("'"&amp;$C1153&amp;"'!$E$12:$Y$12"),0)),0),0)</f>
        <v>0</v>
      </c>
      <c r="I1153" s="366" t="s">
        <v>1690</v>
      </c>
      <c r="J1153" s="348" t="str">
        <f t="shared" ca="1" si="34"/>
        <v>OK</v>
      </c>
      <c r="K1153" s="366" t="s">
        <v>1723</v>
      </c>
      <c r="L1153" s="366" t="s">
        <v>2252</v>
      </c>
      <c r="M1153" s="350" t="str">
        <f>IF($B1153="Portfolio","Portfolio",IFERROR(INDEX(DATA_ASSET_CLASSIFICATION!$B$8:$B$24,MATCH($C1153,DATA_ASSET_CLASSIFICATION!$A$8:$A$24,0)),"Review"))</f>
        <v>Beatrice Terrace</v>
      </c>
      <c r="N1153" s="350" t="str">
        <f ca="1">IF($B1153="Portfolio","Portfolio",IFERROR(INDEX(DATA_ASSET_CLASSIFICATION!$U$8:$U$24,MATCH($C1153,DATA_ASSET_CLASSIFICATION!$A$8:$A$24,0)),"Review"))</f>
        <v>Stable</v>
      </c>
      <c r="O1153" s="350" t="str">
        <f ca="1">IF($B1153="Portfolio","Portfolio",IFERROR(INDEX(DATA_ASSET_CLASSIFICATION!$AB$8:$AB$13,MATCH($N1153,DATA_ASSET_CLASSIFICATION!$AA$8:$AA$13,0)),"Review"))</f>
        <v>Bucket 2 · Legacy</v>
      </c>
      <c r="P1153" s="350" t="str">
        <f>IF($B1153="Portfolio","Portfolio",IFERROR(INDEX(DATA_ASSET_CLASSIFICATION!$C$8:$C$24,MATCH($C1153,DATA_ASSET_CLASSIFICATION!$A$8:$A$24,0)),"Review"))</f>
        <v>Yes</v>
      </c>
      <c r="Q1153" s="350" t="str">
        <f t="shared" ca="1" si="35"/>
        <v>OK</v>
      </c>
    </row>
    <row r="1154" spans="1:17">
      <c r="A1154" s="366" t="s">
        <v>3110</v>
      </c>
      <c r="B1154" s="366" t="s">
        <v>231</v>
      </c>
      <c r="C1154" s="348" t="str">
        <f>DATA_PROPERTY_MASTER!$A$7</f>
        <v>BLD_BT</v>
      </c>
      <c r="D1154" s="380">
        <f>'00_PORTFOLIO ROLLUP'!U$12</f>
        <v>2041</v>
      </c>
      <c r="E1154" s="366" t="s">
        <v>1721</v>
      </c>
      <c r="F1154" s="366" t="s">
        <v>33</v>
      </c>
      <c r="G1154" s="348" t="str">
        <f>"'"&amp;$C1154&amp;"'!$E$62:$Y$62"</f>
        <v>'BLD_BT'!$E$62:$Y$62</v>
      </c>
      <c r="H1154" s="381">
        <f ca="1">IF(IFERROR(INDEX(DATA_PROPERTY_MASTER!$E$5:$E$21,MATCH($C1154,DATA_PROPERTY_MASTER!$A$5:$A$21,0))="Yes",FALSE),IFERROR(INDEX(INDIRECT("'"&amp;$C1154&amp;"'!$E$62:$Y$62"),1,MATCH($D1154,INDIRECT("'"&amp;$C1154&amp;"'!$E$12:$Y$12"),0)),0),0)</f>
        <v>0</v>
      </c>
      <c r="I1154" s="366" t="s">
        <v>1685</v>
      </c>
      <c r="J1154" s="348" t="str">
        <f t="shared" ca="1" si="34"/>
        <v>OK</v>
      </c>
      <c r="K1154" s="366" t="s">
        <v>1727</v>
      </c>
      <c r="L1154" s="366" t="s">
        <v>2254</v>
      </c>
      <c r="M1154" s="350" t="str">
        <f>IF($B1154="Portfolio","Portfolio",IFERROR(INDEX(DATA_ASSET_CLASSIFICATION!$B$8:$B$24,MATCH($C1154,DATA_ASSET_CLASSIFICATION!$A$8:$A$24,0)),"Review"))</f>
        <v>Beatrice Terrace</v>
      </c>
      <c r="N1154" s="350" t="str">
        <f ca="1">IF($B1154="Portfolio","Portfolio",IFERROR(INDEX(DATA_ASSET_CLASSIFICATION!$U$8:$U$24,MATCH($C1154,DATA_ASSET_CLASSIFICATION!$A$8:$A$24,0)),"Review"))</f>
        <v>Stable</v>
      </c>
      <c r="O1154" s="350" t="str">
        <f ca="1">IF($B1154="Portfolio","Portfolio",IFERROR(INDEX(DATA_ASSET_CLASSIFICATION!$AB$8:$AB$13,MATCH($N1154,DATA_ASSET_CLASSIFICATION!$AA$8:$AA$13,0)),"Review"))</f>
        <v>Bucket 2 · Legacy</v>
      </c>
      <c r="P1154" s="350" t="str">
        <f>IF($B1154="Portfolio","Portfolio",IFERROR(INDEX(DATA_ASSET_CLASSIFICATION!$C$8:$C$24,MATCH($C1154,DATA_ASSET_CLASSIFICATION!$A$8:$A$24,0)),"Review"))</f>
        <v>Yes</v>
      </c>
      <c r="Q1154" s="350" t="str">
        <f t="shared" ca="1" si="35"/>
        <v>OK</v>
      </c>
    </row>
    <row r="1155" spans="1:17">
      <c r="A1155" s="366" t="s">
        <v>3111</v>
      </c>
      <c r="B1155" s="366" t="s">
        <v>231</v>
      </c>
      <c r="C1155" s="348" t="str">
        <f>DATA_PROPERTY_MASTER!$A$7</f>
        <v>BLD_BT</v>
      </c>
      <c r="D1155" s="380">
        <f>'00_PORTFOLIO ROLLUP'!U$12</f>
        <v>2041</v>
      </c>
      <c r="E1155" s="366" t="s">
        <v>1721</v>
      </c>
      <c r="F1155" s="366" t="s">
        <v>35</v>
      </c>
      <c r="G1155" s="348" t="str">
        <f>"'"&amp;$C1155&amp;"'!$E$63:$Y$63"</f>
        <v>'BLD_BT'!$E$63:$Y$63</v>
      </c>
      <c r="H1155" s="381">
        <f ca="1">IF(IFERROR(INDEX(DATA_PROPERTY_MASTER!$E$5:$E$21,MATCH($C1155,DATA_PROPERTY_MASTER!$A$5:$A$21,0))="Yes",FALSE),IFERROR(INDEX(INDIRECT("'"&amp;$C1155&amp;"'!$E$63:$Y$63"),1,MATCH($D1155,INDIRECT("'"&amp;$C1155&amp;"'!$E$12:$Y$12"),0)),0),0)</f>
        <v>0</v>
      </c>
      <c r="I1155" s="366" t="s">
        <v>1731</v>
      </c>
      <c r="J1155" s="348" t="str">
        <f t="shared" ca="1" si="34"/>
        <v>OK</v>
      </c>
      <c r="K1155" s="366" t="s">
        <v>1732</v>
      </c>
      <c r="L1155" s="366" t="s">
        <v>2256</v>
      </c>
      <c r="M1155" s="350" t="str">
        <f>IF($B1155="Portfolio","Portfolio",IFERROR(INDEX(DATA_ASSET_CLASSIFICATION!$B$8:$B$24,MATCH($C1155,DATA_ASSET_CLASSIFICATION!$A$8:$A$24,0)),"Review"))</f>
        <v>Beatrice Terrace</v>
      </c>
      <c r="N1155" s="350" t="str">
        <f ca="1">IF($B1155="Portfolio","Portfolio",IFERROR(INDEX(DATA_ASSET_CLASSIFICATION!$U$8:$U$24,MATCH($C1155,DATA_ASSET_CLASSIFICATION!$A$8:$A$24,0)),"Review"))</f>
        <v>Stable</v>
      </c>
      <c r="O1155" s="350" t="str">
        <f ca="1">IF($B1155="Portfolio","Portfolio",IFERROR(INDEX(DATA_ASSET_CLASSIFICATION!$AB$8:$AB$13,MATCH($N1155,DATA_ASSET_CLASSIFICATION!$AA$8:$AA$13,0)),"Review"))</f>
        <v>Bucket 2 · Legacy</v>
      </c>
      <c r="P1155" s="350" t="str">
        <f>IF($B1155="Portfolio","Portfolio",IFERROR(INDEX(DATA_ASSET_CLASSIFICATION!$C$8:$C$24,MATCH($C1155,DATA_ASSET_CLASSIFICATION!$A$8:$A$24,0)),"Review"))</f>
        <v>Yes</v>
      </c>
      <c r="Q1155" s="350" t="str">
        <f t="shared" ca="1" si="35"/>
        <v>OK</v>
      </c>
    </row>
    <row r="1156" spans="1:17">
      <c r="A1156" s="366" t="s">
        <v>3112</v>
      </c>
      <c r="B1156" s="366" t="s">
        <v>231</v>
      </c>
      <c r="C1156" s="348" t="str">
        <f>DATA_PROPERTY_MASTER!$A$7</f>
        <v>BLD_BT</v>
      </c>
      <c r="D1156" s="380">
        <f>'00_PORTFOLIO ROLLUP'!U$12</f>
        <v>2041</v>
      </c>
      <c r="E1156" s="366" t="s">
        <v>1721</v>
      </c>
      <c r="F1156" s="366" t="s">
        <v>37</v>
      </c>
      <c r="G1156" s="348" t="str">
        <f>"'"&amp;$C1156&amp;"'!$E$63:$Y$63"</f>
        <v>'BLD_BT'!$E$63:$Y$63</v>
      </c>
      <c r="H1156" s="381">
        <f ca="1">IF(IFERROR(INDEX(DATA_PROPERTY_MASTER!$E$5:$E$21,MATCH($C1156,DATA_PROPERTY_MASTER!$A$5:$A$21,0))="Yes",FALSE),MAX(IFERROR(INDEX(INDIRECT("'"&amp;$C1156&amp;"'!$E$63:$Y$63"),1,MATCH($D1156,INDIRECT("'"&amp;$C1156&amp;"'!$E$12:$Y$12"),0)),0),0),0)</f>
        <v>0</v>
      </c>
      <c r="I1156" s="366" t="s">
        <v>1685</v>
      </c>
      <c r="J1156" s="348" t="str">
        <f t="shared" ca="1" si="34"/>
        <v>OK</v>
      </c>
      <c r="K1156" s="366" t="s">
        <v>1735</v>
      </c>
      <c r="L1156" s="366" t="s">
        <v>2258</v>
      </c>
      <c r="M1156" s="350" t="str">
        <f>IF($B1156="Portfolio","Portfolio",IFERROR(INDEX(DATA_ASSET_CLASSIFICATION!$B$8:$B$24,MATCH($C1156,DATA_ASSET_CLASSIFICATION!$A$8:$A$24,0)),"Review"))</f>
        <v>Beatrice Terrace</v>
      </c>
      <c r="N1156" s="350" t="str">
        <f ca="1">IF($B1156="Portfolio","Portfolio",IFERROR(INDEX(DATA_ASSET_CLASSIFICATION!$U$8:$U$24,MATCH($C1156,DATA_ASSET_CLASSIFICATION!$A$8:$A$24,0)),"Review"))</f>
        <v>Stable</v>
      </c>
      <c r="O1156" s="350" t="str">
        <f ca="1">IF($B1156="Portfolio","Portfolio",IFERROR(INDEX(DATA_ASSET_CLASSIFICATION!$AB$8:$AB$13,MATCH($N1156,DATA_ASSET_CLASSIFICATION!$AA$8:$AA$13,0)),"Review"))</f>
        <v>Bucket 2 · Legacy</v>
      </c>
      <c r="P1156" s="350" t="str">
        <f>IF($B1156="Portfolio","Portfolio",IFERROR(INDEX(DATA_ASSET_CLASSIFICATION!$C$8:$C$24,MATCH($C1156,DATA_ASSET_CLASSIFICATION!$A$8:$A$24,0)),"Review"))</f>
        <v>Yes</v>
      </c>
      <c r="Q1156" s="350" t="str">
        <f t="shared" ca="1" si="35"/>
        <v>OK</v>
      </c>
    </row>
    <row r="1157" spans="1:17">
      <c r="A1157" s="366" t="s">
        <v>3113</v>
      </c>
      <c r="B1157" s="366" t="s">
        <v>231</v>
      </c>
      <c r="C1157" s="348" t="str">
        <f>DATA_PROPERTY_MASTER!$A$7</f>
        <v>BLD_BT</v>
      </c>
      <c r="D1157" s="380">
        <f>'00_PORTFOLIO ROLLUP'!U$12</f>
        <v>2041</v>
      </c>
      <c r="E1157" s="366" t="s">
        <v>1721</v>
      </c>
      <c r="F1157" s="366" t="s">
        <v>39</v>
      </c>
      <c r="G1157" s="348" t="str">
        <f>"'"&amp;$C1157&amp;"'!$E$63:$Y$63"</f>
        <v>'BLD_BT'!$E$63:$Y$63</v>
      </c>
      <c r="H1157" s="381">
        <f ca="1">IF(IFERROR(INDEX(DATA_PROPERTY_MASTER!$E$5:$E$21,MATCH($C1157,DATA_PROPERTY_MASTER!$A$5:$A$21,0))="Yes",FALSE),MAX(-IFERROR(INDEX(INDIRECT("'"&amp;$C1157&amp;"'!$E$63:$Y$63"),1,MATCH($D1157,INDIRECT("'"&amp;$C1157&amp;"'!$E$12:$Y$12"),0)),0),0),0)</f>
        <v>0</v>
      </c>
      <c r="I1157" s="366" t="s">
        <v>1690</v>
      </c>
      <c r="J1157" s="348" t="str">
        <f t="shared" ref="J1157:J1220" ca="1" si="36">IF($F1157="Residual Funding Gap",IF($H1157&gt;0,"Funding Gap","OK"),IF(AND($F1157="Net Refinance Position",$H1157&lt;0),"Negative net refi position","OK"))</f>
        <v>OK</v>
      </c>
      <c r="K1157" s="366" t="s">
        <v>1738</v>
      </c>
      <c r="L1157" s="366" t="s">
        <v>2260</v>
      </c>
      <c r="M1157" s="350" t="str">
        <f>IF($B1157="Portfolio","Portfolio",IFERROR(INDEX(DATA_ASSET_CLASSIFICATION!$B$8:$B$24,MATCH($C1157,DATA_ASSET_CLASSIFICATION!$A$8:$A$24,0)),"Review"))</f>
        <v>Beatrice Terrace</v>
      </c>
      <c r="N1157" s="350" t="str">
        <f ca="1">IF($B1157="Portfolio","Portfolio",IFERROR(INDEX(DATA_ASSET_CLASSIFICATION!$U$8:$U$24,MATCH($C1157,DATA_ASSET_CLASSIFICATION!$A$8:$A$24,0)),"Review"))</f>
        <v>Stable</v>
      </c>
      <c r="O1157" s="350" t="str">
        <f ca="1">IF($B1157="Portfolio","Portfolio",IFERROR(INDEX(DATA_ASSET_CLASSIFICATION!$AB$8:$AB$13,MATCH($N1157,DATA_ASSET_CLASSIFICATION!$AA$8:$AA$13,0)),"Review"))</f>
        <v>Bucket 2 · Legacy</v>
      </c>
      <c r="P1157" s="350" t="str">
        <f>IF($B1157="Portfolio","Portfolio",IFERROR(INDEX(DATA_ASSET_CLASSIFICATION!$C$8:$C$24,MATCH($C1157,DATA_ASSET_CLASSIFICATION!$A$8:$A$24,0)),"Review"))</f>
        <v>Yes</v>
      </c>
      <c r="Q1157" s="350" t="str">
        <f t="shared" ref="Q1157:Q1220" ca="1" si="37">IF(AND($B1157="Property",$F1157="Residual Funding Gap",$H1157&gt;0),"Property Funding Gap",IF($J1157&lt;&gt;"OK",$J1157,"OK"))</f>
        <v>OK</v>
      </c>
    </row>
    <row r="1158" spans="1:17">
      <c r="A1158" s="366" t="s">
        <v>3114</v>
      </c>
      <c r="B1158" s="366" t="s">
        <v>231</v>
      </c>
      <c r="C1158" s="348" t="str">
        <f>DATA_PROPERTY_MASTER!$A$7</f>
        <v>BLD_BT</v>
      </c>
      <c r="D1158" s="380">
        <f>'00_PORTFOLIO ROLLUP'!U$12</f>
        <v>2041</v>
      </c>
      <c r="E1158" s="366" t="s">
        <v>1741</v>
      </c>
      <c r="F1158" s="366" t="s">
        <v>41</v>
      </c>
      <c r="G1158" s="348" t="str">
        <f>"'"&amp;$C1158&amp;"'!rows 56 + positive row 63"</f>
        <v>'BLD_BT'!rows 56 + positive row 63</v>
      </c>
      <c r="H1158" s="381">
        <f ca="1">IF(IFERROR(INDEX(DATA_PROPERTY_MASTER!$E$5:$E$21,MATCH($C1158,DATA_PROPERTY_MASTER!$A$5:$A$21,0))="Yes",FALSE),IFERROR(INDEX(INDIRECT("'"&amp;$C1158&amp;"'!$E$56:$Y$56"),1,MATCH($D1158,INDIRECT("'"&amp;$C1158&amp;"'!$E$12:$Y$12"),0)),0)+MAX(IFERROR(INDEX(INDIRECT("'"&amp;$C1158&amp;"'!$E$63:$Y$63"),1,MATCH($D1158,INDIRECT("'"&amp;$C1158&amp;"'!$E$12:$Y$12"),0)),0),0),0)</f>
        <v>53190.138438927519</v>
      </c>
      <c r="I1158" s="366" t="s">
        <v>1685</v>
      </c>
      <c r="J1158" s="348" t="str">
        <f t="shared" ca="1" si="36"/>
        <v>OK</v>
      </c>
      <c r="K1158" s="366" t="s">
        <v>1742</v>
      </c>
      <c r="L1158" s="366" t="s">
        <v>2262</v>
      </c>
      <c r="M1158" s="350" t="str">
        <f>IF($B1158="Portfolio","Portfolio",IFERROR(INDEX(DATA_ASSET_CLASSIFICATION!$B$8:$B$24,MATCH($C1158,DATA_ASSET_CLASSIFICATION!$A$8:$A$24,0)),"Review"))</f>
        <v>Beatrice Terrace</v>
      </c>
      <c r="N1158" s="350" t="str">
        <f ca="1">IF($B1158="Portfolio","Portfolio",IFERROR(INDEX(DATA_ASSET_CLASSIFICATION!$U$8:$U$24,MATCH($C1158,DATA_ASSET_CLASSIFICATION!$A$8:$A$24,0)),"Review"))</f>
        <v>Stable</v>
      </c>
      <c r="O1158" s="350" t="str">
        <f ca="1">IF($B1158="Portfolio","Portfolio",IFERROR(INDEX(DATA_ASSET_CLASSIFICATION!$AB$8:$AB$13,MATCH($N1158,DATA_ASSET_CLASSIFICATION!$AA$8:$AA$13,0)),"Review"))</f>
        <v>Bucket 2 · Legacy</v>
      </c>
      <c r="P1158" s="350" t="str">
        <f>IF($B1158="Portfolio","Portfolio",IFERROR(INDEX(DATA_ASSET_CLASSIFICATION!$C$8:$C$24,MATCH($C1158,DATA_ASSET_CLASSIFICATION!$A$8:$A$24,0)),"Review"))</f>
        <v>Yes</v>
      </c>
      <c r="Q1158" s="350" t="str">
        <f t="shared" ca="1" si="37"/>
        <v>OK</v>
      </c>
    </row>
    <row r="1159" spans="1:17">
      <c r="A1159" s="366" t="s">
        <v>3115</v>
      </c>
      <c r="B1159" s="366" t="s">
        <v>231</v>
      </c>
      <c r="C1159" s="348" t="str">
        <f>DATA_PROPERTY_MASTER!$A$7</f>
        <v>BLD_BT</v>
      </c>
      <c r="D1159" s="380">
        <f>'00_PORTFOLIO ROLLUP'!U$12</f>
        <v>2041</v>
      </c>
      <c r="E1159" s="366" t="s">
        <v>1741</v>
      </c>
      <c r="F1159" s="366" t="s">
        <v>43</v>
      </c>
      <c r="G1159" s="348" t="str">
        <f>"'"&amp;$C1159&amp;"'!$E$68:$Y$68"</f>
        <v>'BLD_BT'!$E$68:$Y$68</v>
      </c>
      <c r="H1159" s="381">
        <f ca="1">IF(IFERROR(INDEX(DATA_PROPERTY_MASTER!$E$5:$E$21,MATCH($C1159,DATA_PROPERTY_MASTER!$A$5:$A$21,0))="Yes",FALSE),IFERROR(INDEX(INDIRECT("'"&amp;$C1159&amp;"'!$E$68:$Y$68"),1,MATCH($D1159,INDIRECT("'"&amp;$C1159&amp;"'!$E$12:$Y$12"),0)),0),0)</f>
        <v>53190.138438927519</v>
      </c>
      <c r="I1159" s="366" t="s">
        <v>1731</v>
      </c>
      <c r="J1159" s="348" t="str">
        <f t="shared" ca="1" si="36"/>
        <v>OK</v>
      </c>
      <c r="K1159" s="366" t="s">
        <v>1746</v>
      </c>
      <c r="L1159" s="366" t="s">
        <v>2264</v>
      </c>
      <c r="M1159" s="350" t="str">
        <f>IF($B1159="Portfolio","Portfolio",IFERROR(INDEX(DATA_ASSET_CLASSIFICATION!$B$8:$B$24,MATCH($C1159,DATA_ASSET_CLASSIFICATION!$A$8:$A$24,0)),"Review"))</f>
        <v>Beatrice Terrace</v>
      </c>
      <c r="N1159" s="350" t="str">
        <f ca="1">IF($B1159="Portfolio","Portfolio",IFERROR(INDEX(DATA_ASSET_CLASSIFICATION!$U$8:$U$24,MATCH($C1159,DATA_ASSET_CLASSIFICATION!$A$8:$A$24,0)),"Review"))</f>
        <v>Stable</v>
      </c>
      <c r="O1159" s="350" t="str">
        <f ca="1">IF($B1159="Portfolio","Portfolio",IFERROR(INDEX(DATA_ASSET_CLASSIFICATION!$AB$8:$AB$13,MATCH($N1159,DATA_ASSET_CLASSIFICATION!$AA$8:$AA$13,0)),"Review"))</f>
        <v>Bucket 2 · Legacy</v>
      </c>
      <c r="P1159" s="350" t="str">
        <f>IF($B1159="Portfolio","Portfolio",IFERROR(INDEX(DATA_ASSET_CLASSIFICATION!$C$8:$C$24,MATCH($C1159,DATA_ASSET_CLASSIFICATION!$A$8:$A$24,0)),"Review"))</f>
        <v>Yes</v>
      </c>
      <c r="Q1159" s="350" t="str">
        <f t="shared" ca="1" si="37"/>
        <v>OK</v>
      </c>
    </row>
    <row r="1160" spans="1:17">
      <c r="A1160" s="366" t="s">
        <v>3116</v>
      </c>
      <c r="B1160" s="366" t="s">
        <v>231</v>
      </c>
      <c r="C1160" s="348" t="str">
        <f>DATA_PROPERTY_MASTER!$A$7</f>
        <v>BLD_BT</v>
      </c>
      <c r="D1160" s="380">
        <f>'00_PORTFOLIO ROLLUP'!U$12</f>
        <v>2041</v>
      </c>
      <c r="E1160" s="366" t="s">
        <v>1741</v>
      </c>
      <c r="F1160" s="366" t="s">
        <v>1749</v>
      </c>
      <c r="G1160" s="348" t="str">
        <f>"'"&amp;$C1160&amp;"'!rows 56, 63, 68"</f>
        <v>'BLD_BT'!rows 56, 63, 68</v>
      </c>
      <c r="H1160" s="381">
        <f ca="1">IF(IFERROR(INDEX(DATA_PROPERTY_MASTER!$E$5:$E$21,MATCH($C1160,DATA_PROPERTY_MASTER!$A$5:$A$21,0))="Yes",FALSE),(IFERROR(INDEX(INDIRECT("'"&amp;$C1160&amp;"'!$E$56:$Y$56"),1,MATCH($D1160,INDIRECT("'"&amp;$C1160&amp;"'!$E$12:$Y$12"),0)),0)+MAX(IFERROR(INDEX(INDIRECT("'"&amp;$C1160&amp;"'!$E$63:$Y$63"),1,MATCH($D1160,INDIRECT("'"&amp;$C1160&amp;"'!$E$12:$Y$12"),0)),0),0))-(IFERROR(INDEX(INDIRECT("'"&amp;$C1160&amp;"'!$E$68:$Y$68"),1,MATCH($D1160,INDIRECT("'"&amp;$C1160&amp;"'!$E$12:$Y$12"),0)),0)),0)</f>
        <v>0</v>
      </c>
      <c r="I1160" s="366" t="s">
        <v>1750</v>
      </c>
      <c r="J1160" s="348" t="str">
        <f t="shared" ca="1" si="36"/>
        <v>OK</v>
      </c>
      <c r="K1160" s="366" t="s">
        <v>1751</v>
      </c>
      <c r="L1160" s="366" t="s">
        <v>2266</v>
      </c>
      <c r="M1160" s="350" t="str">
        <f>IF($B1160="Portfolio","Portfolio",IFERROR(INDEX(DATA_ASSET_CLASSIFICATION!$B$8:$B$24,MATCH($C1160,DATA_ASSET_CLASSIFICATION!$A$8:$A$24,0)),"Review"))</f>
        <v>Beatrice Terrace</v>
      </c>
      <c r="N1160" s="350" t="str">
        <f ca="1">IF($B1160="Portfolio","Portfolio",IFERROR(INDEX(DATA_ASSET_CLASSIFICATION!$U$8:$U$24,MATCH($C1160,DATA_ASSET_CLASSIFICATION!$A$8:$A$24,0)),"Review"))</f>
        <v>Stable</v>
      </c>
      <c r="O1160" s="350" t="str">
        <f ca="1">IF($B1160="Portfolio","Portfolio",IFERROR(INDEX(DATA_ASSET_CLASSIFICATION!$AB$8:$AB$13,MATCH($N1160,DATA_ASSET_CLASSIFICATION!$AA$8:$AA$13,0)),"Review"))</f>
        <v>Bucket 2 · Legacy</v>
      </c>
      <c r="P1160" s="350" t="str">
        <f>IF($B1160="Portfolio","Portfolio",IFERROR(INDEX(DATA_ASSET_CLASSIFICATION!$C$8:$C$24,MATCH($C1160,DATA_ASSET_CLASSIFICATION!$A$8:$A$24,0)),"Review"))</f>
        <v>Yes</v>
      </c>
      <c r="Q1160" s="350" t="str">
        <f t="shared" ca="1" si="37"/>
        <v>OK</v>
      </c>
    </row>
    <row r="1161" spans="1:17">
      <c r="A1161" s="366" t="s">
        <v>3117</v>
      </c>
      <c r="B1161" s="366" t="s">
        <v>231</v>
      </c>
      <c r="C1161" s="348" t="str">
        <f>DATA_PROPERTY_MASTER!$A$8</f>
        <v>BLD_CH</v>
      </c>
      <c r="D1161" s="380">
        <f>'00_PORTFOLIO ROLLUP'!E$12</f>
        <v>2025</v>
      </c>
      <c r="E1161" s="366" t="s">
        <v>1683</v>
      </c>
      <c r="F1161" s="366" t="s">
        <v>341</v>
      </c>
      <c r="G1161" s="348" t="str">
        <f>"'"&amp;$C1161&amp;"'!$E$24:$Y$24"</f>
        <v>'BLD_CH'!$E$24:$Y$24</v>
      </c>
      <c r="H1161" s="381">
        <f ca="1">IF(IFERROR(INDEX(DATA_PROPERTY_MASTER!$E$5:$E$21,MATCH($C1161,DATA_PROPERTY_MASTER!$A$5:$A$21,0))="Yes",FALSE),IFERROR(INDEX(INDIRECT("'"&amp;$C1161&amp;"'!$E$24:$Y$24"),1,MATCH($D1161,INDIRECT("'"&amp;$C1161&amp;"'!$E$12:$Y$12"),0)),0),0)</f>
        <v>714430.19199999992</v>
      </c>
      <c r="I1161" s="366" t="s">
        <v>1685</v>
      </c>
      <c r="J1161" s="348" t="str">
        <f t="shared" ca="1" si="36"/>
        <v>OK</v>
      </c>
      <c r="K1161" s="366" t="s">
        <v>1686</v>
      </c>
      <c r="L1161" s="366" t="s">
        <v>2234</v>
      </c>
      <c r="M1161" s="350" t="str">
        <f>IF($B1161="Portfolio","Portfolio",IFERROR(INDEX(DATA_ASSET_CLASSIFICATION!$B$8:$B$24,MATCH($C1161,DATA_ASSET_CLASSIFICATION!$A$8:$A$24,0)),"Review"))</f>
        <v>Capilano House</v>
      </c>
      <c r="N1161" s="350" t="str">
        <f ca="1">IF($B1161="Portfolio","Portfolio",IFERROR(INDEX(DATA_ASSET_CLASSIFICATION!$U$8:$U$24,MATCH($C1161,DATA_ASSET_CLASSIFICATION!$A$8:$A$24,0)),"Review"))</f>
        <v>Stable</v>
      </c>
      <c r="O1161" s="350" t="str">
        <f ca="1">IF($B1161="Portfolio","Portfolio",IFERROR(INDEX(DATA_ASSET_CLASSIFICATION!$AB$8:$AB$13,MATCH($N1161,DATA_ASSET_CLASSIFICATION!$AA$8:$AA$13,0)),"Review"))</f>
        <v>Bucket 2 · Legacy</v>
      </c>
      <c r="P1161" s="350" t="str">
        <f>IF($B1161="Portfolio","Portfolio",IFERROR(INDEX(DATA_ASSET_CLASSIFICATION!$C$8:$C$24,MATCH($C1161,DATA_ASSET_CLASSIFICATION!$A$8:$A$24,0)),"Review"))</f>
        <v>Yes</v>
      </c>
      <c r="Q1161" s="350" t="str">
        <f t="shared" ca="1" si="37"/>
        <v>OK</v>
      </c>
    </row>
    <row r="1162" spans="1:17">
      <c r="A1162" s="366" t="s">
        <v>3118</v>
      </c>
      <c r="B1162" s="366" t="s">
        <v>231</v>
      </c>
      <c r="C1162" s="348" t="str">
        <f>DATA_PROPERTY_MASTER!$A$8</f>
        <v>BLD_CH</v>
      </c>
      <c r="D1162" s="380">
        <f>'00_PORTFOLIO ROLLUP'!E$12</f>
        <v>2025</v>
      </c>
      <c r="E1162" s="366" t="s">
        <v>1683</v>
      </c>
      <c r="F1162" s="366" t="s">
        <v>355</v>
      </c>
      <c r="G1162" s="348" t="str">
        <f>"'"&amp;$C1162&amp;"'!$E$39:$Y$39"</f>
        <v>'BLD_CH'!$E$39:$Y$39</v>
      </c>
      <c r="H1162" s="381">
        <f ca="1">IF(IFERROR(INDEX(DATA_PROPERTY_MASTER!$E$5:$E$21,MATCH($C1162,DATA_PROPERTY_MASTER!$A$5:$A$21,0))="Yes",FALSE),IFERROR(INDEX(INDIRECT("'"&amp;$C1162&amp;"'!$E$39:$Y$39"),1,MATCH($D1162,INDIRECT("'"&amp;$C1162&amp;"'!$E$12:$Y$12"),0)),0),0)</f>
        <v>488744</v>
      </c>
      <c r="I1162" s="366" t="s">
        <v>1690</v>
      </c>
      <c r="J1162" s="348" t="str">
        <f t="shared" ca="1" si="36"/>
        <v>OK</v>
      </c>
      <c r="K1162" s="366" t="s">
        <v>1686</v>
      </c>
      <c r="L1162" s="366" t="s">
        <v>2236</v>
      </c>
      <c r="M1162" s="350" t="str">
        <f>IF($B1162="Portfolio","Portfolio",IFERROR(INDEX(DATA_ASSET_CLASSIFICATION!$B$8:$B$24,MATCH($C1162,DATA_ASSET_CLASSIFICATION!$A$8:$A$24,0)),"Review"))</f>
        <v>Capilano House</v>
      </c>
      <c r="N1162" s="350" t="str">
        <f ca="1">IF($B1162="Portfolio","Portfolio",IFERROR(INDEX(DATA_ASSET_CLASSIFICATION!$U$8:$U$24,MATCH($C1162,DATA_ASSET_CLASSIFICATION!$A$8:$A$24,0)),"Review"))</f>
        <v>Stable</v>
      </c>
      <c r="O1162" s="350" t="str">
        <f ca="1">IF($B1162="Portfolio","Portfolio",IFERROR(INDEX(DATA_ASSET_CLASSIFICATION!$AB$8:$AB$13,MATCH($N1162,DATA_ASSET_CLASSIFICATION!$AA$8:$AA$13,0)),"Review"))</f>
        <v>Bucket 2 · Legacy</v>
      </c>
      <c r="P1162" s="350" t="str">
        <f>IF($B1162="Portfolio","Portfolio",IFERROR(INDEX(DATA_ASSET_CLASSIFICATION!$C$8:$C$24,MATCH($C1162,DATA_ASSET_CLASSIFICATION!$A$8:$A$24,0)),"Review"))</f>
        <v>Yes</v>
      </c>
      <c r="Q1162" s="350" t="str">
        <f t="shared" ca="1" si="37"/>
        <v>OK</v>
      </c>
    </row>
    <row r="1163" spans="1:17">
      <c r="A1163" s="366" t="s">
        <v>3119</v>
      </c>
      <c r="B1163" s="366" t="s">
        <v>231</v>
      </c>
      <c r="C1163" s="348" t="str">
        <f>DATA_PROPERTY_MASTER!$A$8</f>
        <v>BLD_CH</v>
      </c>
      <c r="D1163" s="380">
        <f>'00_PORTFOLIO ROLLUP'!E$12</f>
        <v>2025</v>
      </c>
      <c r="E1163" s="366" t="s">
        <v>1683</v>
      </c>
      <c r="F1163" s="366" t="s">
        <v>19</v>
      </c>
      <c r="G1163" s="348" t="str">
        <f>"'"&amp;$C1163&amp;"'!$E$41:$Y$41"</f>
        <v>'BLD_CH'!$E$41:$Y$41</v>
      </c>
      <c r="H1163" s="381">
        <f ca="1">IF(IFERROR(INDEX(DATA_PROPERTY_MASTER!$E$5:$E$21,MATCH($C1163,DATA_PROPERTY_MASTER!$A$5:$A$21,0))="Yes",FALSE),IFERROR(INDEX(INDIRECT("'"&amp;$C1163&amp;"'!$E$41:$Y$41"),1,MATCH($D1163,INDIRECT("'"&amp;$C1163&amp;"'!$E$12:$Y$12"),0)),0),0)</f>
        <v>225686.19199999992</v>
      </c>
      <c r="I1163" s="366" t="s">
        <v>1685</v>
      </c>
      <c r="J1163" s="348" t="str">
        <f t="shared" ca="1" si="36"/>
        <v>OK</v>
      </c>
      <c r="K1163" s="366" t="s">
        <v>1694</v>
      </c>
      <c r="L1163" s="366" t="s">
        <v>2238</v>
      </c>
      <c r="M1163" s="350" t="str">
        <f>IF($B1163="Portfolio","Portfolio",IFERROR(INDEX(DATA_ASSET_CLASSIFICATION!$B$8:$B$24,MATCH($C1163,DATA_ASSET_CLASSIFICATION!$A$8:$A$24,0)),"Review"))</f>
        <v>Capilano House</v>
      </c>
      <c r="N1163" s="350" t="str">
        <f ca="1">IF($B1163="Portfolio","Portfolio",IFERROR(INDEX(DATA_ASSET_CLASSIFICATION!$U$8:$U$24,MATCH($C1163,DATA_ASSET_CLASSIFICATION!$A$8:$A$24,0)),"Review"))</f>
        <v>Stable</v>
      </c>
      <c r="O1163" s="350" t="str">
        <f ca="1">IF($B1163="Portfolio","Portfolio",IFERROR(INDEX(DATA_ASSET_CLASSIFICATION!$AB$8:$AB$13,MATCH($N1163,DATA_ASSET_CLASSIFICATION!$AA$8:$AA$13,0)),"Review"))</f>
        <v>Bucket 2 · Legacy</v>
      </c>
      <c r="P1163" s="350" t="str">
        <f>IF($B1163="Portfolio","Portfolio",IFERROR(INDEX(DATA_ASSET_CLASSIFICATION!$C$8:$C$24,MATCH($C1163,DATA_ASSET_CLASSIFICATION!$A$8:$A$24,0)),"Review"))</f>
        <v>Yes</v>
      </c>
      <c r="Q1163" s="350" t="str">
        <f t="shared" ca="1" si="37"/>
        <v>OK</v>
      </c>
    </row>
    <row r="1164" spans="1:17">
      <c r="A1164" s="366" t="s">
        <v>3120</v>
      </c>
      <c r="B1164" s="366" t="s">
        <v>231</v>
      </c>
      <c r="C1164" s="348" t="str">
        <f>DATA_PROPERTY_MASTER!$A$8</f>
        <v>BLD_CH</v>
      </c>
      <c r="D1164" s="380">
        <f>'00_PORTFOLIO ROLLUP'!E$12</f>
        <v>2025</v>
      </c>
      <c r="E1164" s="366" t="s">
        <v>1683</v>
      </c>
      <c r="F1164" s="366" t="s">
        <v>1697</v>
      </c>
      <c r="G1164" s="348" t="str">
        <f>"'"&amp;$C1164&amp;"'!$E$44:$Y$44"</f>
        <v>'BLD_CH'!$E$44:$Y$44</v>
      </c>
      <c r="H1164" s="381">
        <f ca="1">IF(IFERROR(INDEX(DATA_PROPERTY_MASTER!$E$5:$E$21,MATCH($C1164,DATA_PROPERTY_MASTER!$A$5:$A$21,0))="Yes",FALSE),IFERROR(INDEX(INDIRECT("'"&amp;$C1164&amp;"'!$E$44:$Y$44"),1,MATCH($D1164,INDIRECT("'"&amp;$C1164&amp;"'!$E$12:$Y$12"),0)),0),0)</f>
        <v>9600</v>
      </c>
      <c r="I1164" s="366" t="s">
        <v>1690</v>
      </c>
      <c r="J1164" s="348" t="str">
        <f t="shared" ca="1" si="36"/>
        <v>OK</v>
      </c>
      <c r="K1164" s="366" t="s">
        <v>1699</v>
      </c>
      <c r="L1164" s="366" t="s">
        <v>2240</v>
      </c>
      <c r="M1164" s="350" t="str">
        <f>IF($B1164="Portfolio","Portfolio",IFERROR(INDEX(DATA_ASSET_CLASSIFICATION!$B$8:$B$24,MATCH($C1164,DATA_ASSET_CLASSIFICATION!$A$8:$A$24,0)),"Review"))</f>
        <v>Capilano House</v>
      </c>
      <c r="N1164" s="350" t="str">
        <f ca="1">IF($B1164="Portfolio","Portfolio",IFERROR(INDEX(DATA_ASSET_CLASSIFICATION!$U$8:$U$24,MATCH($C1164,DATA_ASSET_CLASSIFICATION!$A$8:$A$24,0)),"Review"))</f>
        <v>Stable</v>
      </c>
      <c r="O1164" s="350" t="str">
        <f ca="1">IF($B1164="Portfolio","Portfolio",IFERROR(INDEX(DATA_ASSET_CLASSIFICATION!$AB$8:$AB$13,MATCH($N1164,DATA_ASSET_CLASSIFICATION!$AA$8:$AA$13,0)),"Review"))</f>
        <v>Bucket 2 · Legacy</v>
      </c>
      <c r="P1164" s="350" t="str">
        <f>IF($B1164="Portfolio","Portfolio",IFERROR(INDEX(DATA_ASSET_CLASSIFICATION!$C$8:$C$24,MATCH($C1164,DATA_ASSET_CLASSIFICATION!$A$8:$A$24,0)),"Review"))</f>
        <v>Yes</v>
      </c>
      <c r="Q1164" s="350" t="str">
        <f t="shared" ca="1" si="37"/>
        <v>OK</v>
      </c>
    </row>
    <row r="1165" spans="1:17">
      <c r="A1165" s="366" t="s">
        <v>3121</v>
      </c>
      <c r="B1165" s="366" t="s">
        <v>231</v>
      </c>
      <c r="C1165" s="348" t="str">
        <f>DATA_PROPERTY_MASTER!$A$8</f>
        <v>BLD_CH</v>
      </c>
      <c r="D1165" s="380">
        <f>'00_PORTFOLIO ROLLUP'!E$12</f>
        <v>2025</v>
      </c>
      <c r="E1165" s="366" t="s">
        <v>1683</v>
      </c>
      <c r="F1165" s="366" t="s">
        <v>21</v>
      </c>
      <c r="G1165" s="348" t="str">
        <f>"'"&amp;$C1165&amp;"'!$E$45:$Y$45"</f>
        <v>'BLD_CH'!$E$45:$Y$45</v>
      </c>
      <c r="H1165" s="381">
        <f ca="1">IF(IFERROR(INDEX(DATA_PROPERTY_MASTER!$E$5:$E$21,MATCH($C1165,DATA_PROPERTY_MASTER!$A$5:$A$21,0))="Yes",FALSE),IFERROR(INDEX(INDIRECT("'"&amp;$C1165&amp;"'!$E$45:$Y$45"),1,MATCH($D1165,INDIRECT("'"&amp;$C1165&amp;"'!$E$12:$Y$12"),0)),0),0)</f>
        <v>216086.19199999992</v>
      </c>
      <c r="I1165" s="366" t="s">
        <v>1685</v>
      </c>
      <c r="J1165" s="348" t="str">
        <f t="shared" ca="1" si="36"/>
        <v>OK</v>
      </c>
      <c r="K1165" s="366" t="s">
        <v>1694</v>
      </c>
      <c r="L1165" s="366" t="s">
        <v>2242</v>
      </c>
      <c r="M1165" s="350" t="str">
        <f>IF($B1165="Portfolio","Portfolio",IFERROR(INDEX(DATA_ASSET_CLASSIFICATION!$B$8:$B$24,MATCH($C1165,DATA_ASSET_CLASSIFICATION!$A$8:$A$24,0)),"Review"))</f>
        <v>Capilano House</v>
      </c>
      <c r="N1165" s="350" t="str">
        <f ca="1">IF($B1165="Portfolio","Portfolio",IFERROR(INDEX(DATA_ASSET_CLASSIFICATION!$U$8:$U$24,MATCH($C1165,DATA_ASSET_CLASSIFICATION!$A$8:$A$24,0)),"Review"))</f>
        <v>Stable</v>
      </c>
      <c r="O1165" s="350" t="str">
        <f ca="1">IF($B1165="Portfolio","Portfolio",IFERROR(INDEX(DATA_ASSET_CLASSIFICATION!$AB$8:$AB$13,MATCH($N1165,DATA_ASSET_CLASSIFICATION!$AA$8:$AA$13,0)),"Review"))</f>
        <v>Bucket 2 · Legacy</v>
      </c>
      <c r="P1165" s="350" t="str">
        <f>IF($B1165="Portfolio","Portfolio",IFERROR(INDEX(DATA_ASSET_CLASSIFICATION!$C$8:$C$24,MATCH($C1165,DATA_ASSET_CLASSIFICATION!$A$8:$A$24,0)),"Review"))</f>
        <v>Yes</v>
      </c>
      <c r="Q1165" s="350" t="str">
        <f t="shared" ca="1" si="37"/>
        <v>OK</v>
      </c>
    </row>
    <row r="1166" spans="1:17">
      <c r="A1166" s="366" t="s">
        <v>3122</v>
      </c>
      <c r="B1166" s="366" t="s">
        <v>231</v>
      </c>
      <c r="C1166" s="348" t="str">
        <f>DATA_PROPERTY_MASTER!$A$8</f>
        <v>BLD_CH</v>
      </c>
      <c r="D1166" s="380">
        <f>'00_PORTFOLIO ROLLUP'!E$12</f>
        <v>2025</v>
      </c>
      <c r="E1166" s="366" t="s">
        <v>23</v>
      </c>
      <c r="F1166" s="366" t="s">
        <v>23</v>
      </c>
      <c r="G1166" s="348" t="str">
        <f>"'"&amp;$C1166&amp;"'!$E$48:$Y$48"</f>
        <v>'BLD_CH'!$E$48:$Y$48</v>
      </c>
      <c r="H1166" s="381">
        <f ca="1">IF(IFERROR(INDEX(DATA_PROPERTY_MASTER!$E$5:$E$21,MATCH($C1166,DATA_PROPERTY_MASTER!$A$5:$A$21,0))="Yes",FALSE),IFERROR(INDEX(INDIRECT("'"&amp;$C1166&amp;"'!$E$48:$Y$48"),1,MATCH($D1166,INDIRECT("'"&amp;$C1166&amp;"'!$E$12:$Y$12"),0)),0),0)</f>
        <v>0</v>
      </c>
      <c r="I1166" s="366" t="s">
        <v>1690</v>
      </c>
      <c r="J1166" s="348" t="str">
        <f t="shared" ca="1" si="36"/>
        <v>OK</v>
      </c>
      <c r="K1166" s="366" t="s">
        <v>1706</v>
      </c>
      <c r="L1166" s="366" t="s">
        <v>2244</v>
      </c>
      <c r="M1166" s="350" t="str">
        <f>IF($B1166="Portfolio","Portfolio",IFERROR(INDEX(DATA_ASSET_CLASSIFICATION!$B$8:$B$24,MATCH($C1166,DATA_ASSET_CLASSIFICATION!$A$8:$A$24,0)),"Review"))</f>
        <v>Capilano House</v>
      </c>
      <c r="N1166" s="350" t="str">
        <f ca="1">IF($B1166="Portfolio","Portfolio",IFERROR(INDEX(DATA_ASSET_CLASSIFICATION!$U$8:$U$24,MATCH($C1166,DATA_ASSET_CLASSIFICATION!$A$8:$A$24,0)),"Review"))</f>
        <v>Stable</v>
      </c>
      <c r="O1166" s="350" t="str">
        <f ca="1">IF($B1166="Portfolio","Portfolio",IFERROR(INDEX(DATA_ASSET_CLASSIFICATION!$AB$8:$AB$13,MATCH($N1166,DATA_ASSET_CLASSIFICATION!$AA$8:$AA$13,0)),"Review"))</f>
        <v>Bucket 2 · Legacy</v>
      </c>
      <c r="P1166" s="350" t="str">
        <f>IF($B1166="Portfolio","Portfolio",IFERROR(INDEX(DATA_ASSET_CLASSIFICATION!$C$8:$C$24,MATCH($C1166,DATA_ASSET_CLASSIFICATION!$A$8:$A$24,0)),"Review"))</f>
        <v>Yes</v>
      </c>
      <c r="Q1166" s="350" t="str">
        <f t="shared" ca="1" si="37"/>
        <v>OK</v>
      </c>
    </row>
    <row r="1167" spans="1:17">
      <c r="A1167" s="366" t="s">
        <v>3123</v>
      </c>
      <c r="B1167" s="366" t="s">
        <v>231</v>
      </c>
      <c r="C1167" s="348" t="str">
        <f>DATA_PROPERTY_MASTER!$A$8</f>
        <v>BLD_CH</v>
      </c>
      <c r="D1167" s="380">
        <f>'00_PORTFOLIO ROLLUP'!E$12</f>
        <v>2025</v>
      </c>
      <c r="E1167" s="366" t="s">
        <v>1683</v>
      </c>
      <c r="F1167" s="366" t="s">
        <v>25</v>
      </c>
      <c r="G1167" s="348" t="str">
        <f>"'"&amp;$C1167&amp;"'!$E$52:$Y$52"</f>
        <v>'BLD_CH'!$E$52:$Y$52</v>
      </c>
      <c r="H1167" s="381">
        <f ca="1">IF(IFERROR(INDEX(DATA_PROPERTY_MASTER!$E$5:$E$21,MATCH($C1167,DATA_PROPERTY_MASTER!$A$5:$A$21,0))="Yes",FALSE),IFERROR(INDEX(INDIRECT("'"&amp;$C1167&amp;"'!$E$52:$Y$52"),1,MATCH($D1167,INDIRECT("'"&amp;$C1167&amp;"'!$E$12:$Y$12"),0)),0),0)</f>
        <v>225686.19199999992</v>
      </c>
      <c r="I1167" s="366" t="s">
        <v>1685</v>
      </c>
      <c r="J1167" s="348" t="str">
        <f t="shared" ca="1" si="36"/>
        <v>OK</v>
      </c>
      <c r="K1167" s="366" t="s">
        <v>1710</v>
      </c>
      <c r="L1167" s="366" t="s">
        <v>2246</v>
      </c>
      <c r="M1167" s="350" t="str">
        <f>IF($B1167="Portfolio","Portfolio",IFERROR(INDEX(DATA_ASSET_CLASSIFICATION!$B$8:$B$24,MATCH($C1167,DATA_ASSET_CLASSIFICATION!$A$8:$A$24,0)),"Review"))</f>
        <v>Capilano House</v>
      </c>
      <c r="N1167" s="350" t="str">
        <f ca="1">IF($B1167="Portfolio","Portfolio",IFERROR(INDEX(DATA_ASSET_CLASSIFICATION!$U$8:$U$24,MATCH($C1167,DATA_ASSET_CLASSIFICATION!$A$8:$A$24,0)),"Review"))</f>
        <v>Stable</v>
      </c>
      <c r="O1167" s="350" t="str">
        <f ca="1">IF($B1167="Portfolio","Portfolio",IFERROR(INDEX(DATA_ASSET_CLASSIFICATION!$AB$8:$AB$13,MATCH($N1167,DATA_ASSET_CLASSIFICATION!$AA$8:$AA$13,0)),"Review"))</f>
        <v>Bucket 2 · Legacy</v>
      </c>
      <c r="P1167" s="350" t="str">
        <f>IF($B1167="Portfolio","Portfolio",IFERROR(INDEX(DATA_ASSET_CLASSIFICATION!$C$8:$C$24,MATCH($C1167,DATA_ASSET_CLASSIFICATION!$A$8:$A$24,0)),"Review"))</f>
        <v>Yes</v>
      </c>
      <c r="Q1167" s="350" t="str">
        <f t="shared" ca="1" si="37"/>
        <v>OK</v>
      </c>
    </row>
    <row r="1168" spans="1:17">
      <c r="A1168" s="366" t="s">
        <v>3124</v>
      </c>
      <c r="B1168" s="366" t="s">
        <v>231</v>
      </c>
      <c r="C1168" s="348" t="str">
        <f>DATA_PROPERTY_MASTER!$A$8</f>
        <v>BLD_CH</v>
      </c>
      <c r="D1168" s="380">
        <f>'00_PORTFOLIO ROLLUP'!E$12</f>
        <v>2025</v>
      </c>
      <c r="E1168" s="366" t="s">
        <v>1683</v>
      </c>
      <c r="F1168" s="366" t="s">
        <v>27</v>
      </c>
      <c r="G1168" s="348" t="str">
        <f>"'"&amp;$C1168&amp;"'!$E$54:$Y$54"</f>
        <v>'BLD_CH'!$E$54:$Y$54</v>
      </c>
      <c r="H1168" s="381">
        <f ca="1">IF(IFERROR(INDEX(DATA_PROPERTY_MASTER!$E$5:$E$21,MATCH($C1168,DATA_PROPERTY_MASTER!$A$5:$A$21,0))="Yes",FALSE),IFERROR(INDEX(INDIRECT("'"&amp;$C1168&amp;"'!$E$54:$Y$54"),1,MATCH($D1168,INDIRECT("'"&amp;$C1168&amp;"'!$E$12:$Y$12"),0)),0),0)</f>
        <v>135411.71519999995</v>
      </c>
      <c r="I1168" s="366" t="s">
        <v>1690</v>
      </c>
      <c r="J1168" s="348" t="str">
        <f t="shared" ca="1" si="36"/>
        <v>OK</v>
      </c>
      <c r="K1168" s="366" t="s">
        <v>1714</v>
      </c>
      <c r="L1168" s="366" t="s">
        <v>2248</v>
      </c>
      <c r="M1168" s="350" t="str">
        <f>IF($B1168="Portfolio","Portfolio",IFERROR(INDEX(DATA_ASSET_CLASSIFICATION!$B$8:$B$24,MATCH($C1168,DATA_ASSET_CLASSIFICATION!$A$8:$A$24,0)),"Review"))</f>
        <v>Capilano House</v>
      </c>
      <c r="N1168" s="350" t="str">
        <f ca="1">IF($B1168="Portfolio","Portfolio",IFERROR(INDEX(DATA_ASSET_CLASSIFICATION!$U$8:$U$24,MATCH($C1168,DATA_ASSET_CLASSIFICATION!$A$8:$A$24,0)),"Review"))</f>
        <v>Stable</v>
      </c>
      <c r="O1168" s="350" t="str">
        <f ca="1">IF($B1168="Portfolio","Portfolio",IFERROR(INDEX(DATA_ASSET_CLASSIFICATION!$AB$8:$AB$13,MATCH($N1168,DATA_ASSET_CLASSIFICATION!$AA$8:$AA$13,0)),"Review"))</f>
        <v>Bucket 2 · Legacy</v>
      </c>
      <c r="P1168" s="350" t="str">
        <f>IF($B1168="Portfolio","Portfolio",IFERROR(INDEX(DATA_ASSET_CLASSIFICATION!$C$8:$C$24,MATCH($C1168,DATA_ASSET_CLASSIFICATION!$A$8:$A$24,0)),"Review"))</f>
        <v>Yes</v>
      </c>
      <c r="Q1168" s="350" t="str">
        <f t="shared" ca="1" si="37"/>
        <v>OK</v>
      </c>
    </row>
    <row r="1169" spans="1:17">
      <c r="A1169" s="366" t="s">
        <v>3125</v>
      </c>
      <c r="B1169" s="366" t="s">
        <v>231</v>
      </c>
      <c r="C1169" s="348" t="str">
        <f>DATA_PROPERTY_MASTER!$A$8</f>
        <v>BLD_CH</v>
      </c>
      <c r="D1169" s="380">
        <f>'00_PORTFOLIO ROLLUP'!E$12</f>
        <v>2025</v>
      </c>
      <c r="E1169" s="366" t="s">
        <v>1683</v>
      </c>
      <c r="F1169" s="366" t="s">
        <v>29</v>
      </c>
      <c r="G1169" s="348" t="str">
        <f>"'"&amp;$C1169&amp;"'!$E$56:$Y$56"</f>
        <v>'BLD_CH'!$E$56:$Y$56</v>
      </c>
      <c r="H1169" s="381">
        <f ca="1">IF(IFERROR(INDEX(DATA_PROPERTY_MASTER!$E$5:$E$21,MATCH($C1169,DATA_PROPERTY_MASTER!$A$5:$A$21,0))="Yes",FALSE),IFERROR(INDEX(INDIRECT("'"&amp;$C1169&amp;"'!$E$56:$Y$56"),1,MATCH($D1169,INDIRECT("'"&amp;$C1169&amp;"'!$E$12:$Y$12"),0)),0),0)</f>
        <v>90274.476799999975</v>
      </c>
      <c r="I1169" s="366" t="s">
        <v>1685</v>
      </c>
      <c r="J1169" s="348" t="str">
        <f t="shared" ca="1" si="36"/>
        <v>OK</v>
      </c>
      <c r="K1169" s="366" t="s">
        <v>1718</v>
      </c>
      <c r="L1169" s="366" t="s">
        <v>2250</v>
      </c>
      <c r="M1169" s="350" t="str">
        <f>IF($B1169="Portfolio","Portfolio",IFERROR(INDEX(DATA_ASSET_CLASSIFICATION!$B$8:$B$24,MATCH($C1169,DATA_ASSET_CLASSIFICATION!$A$8:$A$24,0)),"Review"))</f>
        <v>Capilano House</v>
      </c>
      <c r="N1169" s="350" t="str">
        <f ca="1">IF($B1169="Portfolio","Portfolio",IFERROR(INDEX(DATA_ASSET_CLASSIFICATION!$U$8:$U$24,MATCH($C1169,DATA_ASSET_CLASSIFICATION!$A$8:$A$24,0)),"Review"))</f>
        <v>Stable</v>
      </c>
      <c r="O1169" s="350" t="str">
        <f ca="1">IF($B1169="Portfolio","Portfolio",IFERROR(INDEX(DATA_ASSET_CLASSIFICATION!$AB$8:$AB$13,MATCH($N1169,DATA_ASSET_CLASSIFICATION!$AA$8:$AA$13,0)),"Review"))</f>
        <v>Bucket 2 · Legacy</v>
      </c>
      <c r="P1169" s="350" t="str">
        <f>IF($B1169="Portfolio","Portfolio",IFERROR(INDEX(DATA_ASSET_CLASSIFICATION!$C$8:$C$24,MATCH($C1169,DATA_ASSET_CLASSIFICATION!$A$8:$A$24,0)),"Review"))</f>
        <v>Yes</v>
      </c>
      <c r="Q1169" s="350" t="str">
        <f t="shared" ca="1" si="37"/>
        <v>OK</v>
      </c>
    </row>
    <row r="1170" spans="1:17">
      <c r="A1170" s="366" t="s">
        <v>3126</v>
      </c>
      <c r="B1170" s="366" t="s">
        <v>231</v>
      </c>
      <c r="C1170" s="348" t="str">
        <f>DATA_PROPERTY_MASTER!$A$8</f>
        <v>BLD_CH</v>
      </c>
      <c r="D1170" s="380">
        <f>'00_PORTFOLIO ROLLUP'!E$12</f>
        <v>2025</v>
      </c>
      <c r="E1170" s="366" t="s">
        <v>1721</v>
      </c>
      <c r="F1170" s="366" t="s">
        <v>31</v>
      </c>
      <c r="G1170" s="348" t="str">
        <f>"'"&amp;$C1170&amp;"'!$E$61:$Y$61"</f>
        <v>'BLD_CH'!$E$61:$Y$61</v>
      </c>
      <c r="H1170" s="381">
        <f ca="1">IF(IFERROR(INDEX(DATA_PROPERTY_MASTER!$E$5:$E$21,MATCH($C1170,DATA_PROPERTY_MASTER!$A$5:$A$21,0))="Yes",FALSE),IFERROR(INDEX(INDIRECT("'"&amp;$C1170&amp;"'!$E$61:$Y$61"),1,MATCH($D1170,INDIRECT("'"&amp;$C1170&amp;"'!$E$12:$Y$12"),0)),0),0)</f>
        <v>0</v>
      </c>
      <c r="I1170" s="366" t="s">
        <v>1690</v>
      </c>
      <c r="J1170" s="348" t="str">
        <f t="shared" ca="1" si="36"/>
        <v>OK</v>
      </c>
      <c r="K1170" s="366" t="s">
        <v>1723</v>
      </c>
      <c r="L1170" s="366" t="s">
        <v>2252</v>
      </c>
      <c r="M1170" s="350" t="str">
        <f>IF($B1170="Portfolio","Portfolio",IFERROR(INDEX(DATA_ASSET_CLASSIFICATION!$B$8:$B$24,MATCH($C1170,DATA_ASSET_CLASSIFICATION!$A$8:$A$24,0)),"Review"))</f>
        <v>Capilano House</v>
      </c>
      <c r="N1170" s="350" t="str">
        <f ca="1">IF($B1170="Portfolio","Portfolio",IFERROR(INDEX(DATA_ASSET_CLASSIFICATION!$U$8:$U$24,MATCH($C1170,DATA_ASSET_CLASSIFICATION!$A$8:$A$24,0)),"Review"))</f>
        <v>Stable</v>
      </c>
      <c r="O1170" s="350" t="str">
        <f ca="1">IF($B1170="Portfolio","Portfolio",IFERROR(INDEX(DATA_ASSET_CLASSIFICATION!$AB$8:$AB$13,MATCH($N1170,DATA_ASSET_CLASSIFICATION!$AA$8:$AA$13,0)),"Review"))</f>
        <v>Bucket 2 · Legacy</v>
      </c>
      <c r="P1170" s="350" t="str">
        <f>IF($B1170="Portfolio","Portfolio",IFERROR(INDEX(DATA_ASSET_CLASSIFICATION!$C$8:$C$24,MATCH($C1170,DATA_ASSET_CLASSIFICATION!$A$8:$A$24,0)),"Review"))</f>
        <v>Yes</v>
      </c>
      <c r="Q1170" s="350" t="str">
        <f t="shared" ca="1" si="37"/>
        <v>OK</v>
      </c>
    </row>
    <row r="1171" spans="1:17">
      <c r="A1171" s="366" t="s">
        <v>3127</v>
      </c>
      <c r="B1171" s="366" t="s">
        <v>231</v>
      </c>
      <c r="C1171" s="348" t="str">
        <f>DATA_PROPERTY_MASTER!$A$8</f>
        <v>BLD_CH</v>
      </c>
      <c r="D1171" s="380">
        <f>'00_PORTFOLIO ROLLUP'!E$12</f>
        <v>2025</v>
      </c>
      <c r="E1171" s="366" t="s">
        <v>1721</v>
      </c>
      <c r="F1171" s="366" t="s">
        <v>33</v>
      </c>
      <c r="G1171" s="348" t="str">
        <f>"'"&amp;$C1171&amp;"'!$E$62:$Y$62"</f>
        <v>'BLD_CH'!$E$62:$Y$62</v>
      </c>
      <c r="H1171" s="381">
        <f ca="1">IF(IFERROR(INDEX(DATA_PROPERTY_MASTER!$E$5:$E$21,MATCH($C1171,DATA_PROPERTY_MASTER!$A$5:$A$21,0))="Yes",FALSE),IFERROR(INDEX(INDIRECT("'"&amp;$C1171&amp;"'!$E$62:$Y$62"),1,MATCH($D1171,INDIRECT("'"&amp;$C1171&amp;"'!$E$12:$Y$12"),0)),0),0)</f>
        <v>0</v>
      </c>
      <c r="I1171" s="366" t="s">
        <v>1685</v>
      </c>
      <c r="J1171" s="348" t="str">
        <f t="shared" ca="1" si="36"/>
        <v>OK</v>
      </c>
      <c r="K1171" s="366" t="s">
        <v>1727</v>
      </c>
      <c r="L1171" s="366" t="s">
        <v>2254</v>
      </c>
      <c r="M1171" s="350" t="str">
        <f>IF($B1171="Portfolio","Portfolio",IFERROR(INDEX(DATA_ASSET_CLASSIFICATION!$B$8:$B$24,MATCH($C1171,DATA_ASSET_CLASSIFICATION!$A$8:$A$24,0)),"Review"))</f>
        <v>Capilano House</v>
      </c>
      <c r="N1171" s="350" t="str">
        <f ca="1">IF($B1171="Portfolio","Portfolio",IFERROR(INDEX(DATA_ASSET_CLASSIFICATION!$U$8:$U$24,MATCH($C1171,DATA_ASSET_CLASSIFICATION!$A$8:$A$24,0)),"Review"))</f>
        <v>Stable</v>
      </c>
      <c r="O1171" s="350" t="str">
        <f ca="1">IF($B1171="Portfolio","Portfolio",IFERROR(INDEX(DATA_ASSET_CLASSIFICATION!$AB$8:$AB$13,MATCH($N1171,DATA_ASSET_CLASSIFICATION!$AA$8:$AA$13,0)),"Review"))</f>
        <v>Bucket 2 · Legacy</v>
      </c>
      <c r="P1171" s="350" t="str">
        <f>IF($B1171="Portfolio","Portfolio",IFERROR(INDEX(DATA_ASSET_CLASSIFICATION!$C$8:$C$24,MATCH($C1171,DATA_ASSET_CLASSIFICATION!$A$8:$A$24,0)),"Review"))</f>
        <v>Yes</v>
      </c>
      <c r="Q1171" s="350" t="str">
        <f t="shared" ca="1" si="37"/>
        <v>OK</v>
      </c>
    </row>
    <row r="1172" spans="1:17">
      <c r="A1172" s="366" t="s">
        <v>3128</v>
      </c>
      <c r="B1172" s="366" t="s">
        <v>231</v>
      </c>
      <c r="C1172" s="348" t="str">
        <f>DATA_PROPERTY_MASTER!$A$8</f>
        <v>BLD_CH</v>
      </c>
      <c r="D1172" s="380">
        <f>'00_PORTFOLIO ROLLUP'!E$12</f>
        <v>2025</v>
      </c>
      <c r="E1172" s="366" t="s">
        <v>1721</v>
      </c>
      <c r="F1172" s="366" t="s">
        <v>35</v>
      </c>
      <c r="G1172" s="348" t="str">
        <f>"'"&amp;$C1172&amp;"'!$E$63:$Y$63"</f>
        <v>'BLD_CH'!$E$63:$Y$63</v>
      </c>
      <c r="H1172" s="381">
        <f ca="1">IF(IFERROR(INDEX(DATA_PROPERTY_MASTER!$E$5:$E$21,MATCH($C1172,DATA_PROPERTY_MASTER!$A$5:$A$21,0))="Yes",FALSE),IFERROR(INDEX(INDIRECT("'"&amp;$C1172&amp;"'!$E$63:$Y$63"),1,MATCH($D1172,INDIRECT("'"&amp;$C1172&amp;"'!$E$12:$Y$12"),0)),0),0)</f>
        <v>0</v>
      </c>
      <c r="I1172" s="366" t="s">
        <v>1731</v>
      </c>
      <c r="J1172" s="348" t="str">
        <f t="shared" ca="1" si="36"/>
        <v>OK</v>
      </c>
      <c r="K1172" s="366" t="s">
        <v>1732</v>
      </c>
      <c r="L1172" s="366" t="s">
        <v>2256</v>
      </c>
      <c r="M1172" s="350" t="str">
        <f>IF($B1172="Portfolio","Portfolio",IFERROR(INDEX(DATA_ASSET_CLASSIFICATION!$B$8:$B$24,MATCH($C1172,DATA_ASSET_CLASSIFICATION!$A$8:$A$24,0)),"Review"))</f>
        <v>Capilano House</v>
      </c>
      <c r="N1172" s="350" t="str">
        <f ca="1">IF($B1172="Portfolio","Portfolio",IFERROR(INDEX(DATA_ASSET_CLASSIFICATION!$U$8:$U$24,MATCH($C1172,DATA_ASSET_CLASSIFICATION!$A$8:$A$24,0)),"Review"))</f>
        <v>Stable</v>
      </c>
      <c r="O1172" s="350" t="str">
        <f ca="1">IF($B1172="Portfolio","Portfolio",IFERROR(INDEX(DATA_ASSET_CLASSIFICATION!$AB$8:$AB$13,MATCH($N1172,DATA_ASSET_CLASSIFICATION!$AA$8:$AA$13,0)),"Review"))</f>
        <v>Bucket 2 · Legacy</v>
      </c>
      <c r="P1172" s="350" t="str">
        <f>IF($B1172="Portfolio","Portfolio",IFERROR(INDEX(DATA_ASSET_CLASSIFICATION!$C$8:$C$24,MATCH($C1172,DATA_ASSET_CLASSIFICATION!$A$8:$A$24,0)),"Review"))</f>
        <v>Yes</v>
      </c>
      <c r="Q1172" s="350" t="str">
        <f t="shared" ca="1" si="37"/>
        <v>OK</v>
      </c>
    </row>
    <row r="1173" spans="1:17">
      <c r="A1173" s="366" t="s">
        <v>3129</v>
      </c>
      <c r="B1173" s="366" t="s">
        <v>231</v>
      </c>
      <c r="C1173" s="348" t="str">
        <f>DATA_PROPERTY_MASTER!$A$8</f>
        <v>BLD_CH</v>
      </c>
      <c r="D1173" s="380">
        <f>'00_PORTFOLIO ROLLUP'!E$12</f>
        <v>2025</v>
      </c>
      <c r="E1173" s="366" t="s">
        <v>1721</v>
      </c>
      <c r="F1173" s="366" t="s">
        <v>37</v>
      </c>
      <c r="G1173" s="348" t="str">
        <f>"'"&amp;$C1173&amp;"'!$E$63:$Y$63"</f>
        <v>'BLD_CH'!$E$63:$Y$63</v>
      </c>
      <c r="H1173" s="381">
        <f ca="1">IF(IFERROR(INDEX(DATA_PROPERTY_MASTER!$E$5:$E$21,MATCH($C1173,DATA_PROPERTY_MASTER!$A$5:$A$21,0))="Yes",FALSE),MAX(IFERROR(INDEX(INDIRECT("'"&amp;$C1173&amp;"'!$E$63:$Y$63"),1,MATCH($D1173,INDIRECT("'"&amp;$C1173&amp;"'!$E$12:$Y$12"),0)),0),0),0)</f>
        <v>0</v>
      </c>
      <c r="I1173" s="366" t="s">
        <v>1685</v>
      </c>
      <c r="J1173" s="348" t="str">
        <f t="shared" ca="1" si="36"/>
        <v>OK</v>
      </c>
      <c r="K1173" s="366" t="s">
        <v>1735</v>
      </c>
      <c r="L1173" s="366" t="s">
        <v>2258</v>
      </c>
      <c r="M1173" s="350" t="str">
        <f>IF($B1173="Portfolio","Portfolio",IFERROR(INDEX(DATA_ASSET_CLASSIFICATION!$B$8:$B$24,MATCH($C1173,DATA_ASSET_CLASSIFICATION!$A$8:$A$24,0)),"Review"))</f>
        <v>Capilano House</v>
      </c>
      <c r="N1173" s="350" t="str">
        <f ca="1">IF($B1173="Portfolio","Portfolio",IFERROR(INDEX(DATA_ASSET_CLASSIFICATION!$U$8:$U$24,MATCH($C1173,DATA_ASSET_CLASSIFICATION!$A$8:$A$24,0)),"Review"))</f>
        <v>Stable</v>
      </c>
      <c r="O1173" s="350" t="str">
        <f ca="1">IF($B1173="Portfolio","Portfolio",IFERROR(INDEX(DATA_ASSET_CLASSIFICATION!$AB$8:$AB$13,MATCH($N1173,DATA_ASSET_CLASSIFICATION!$AA$8:$AA$13,0)),"Review"))</f>
        <v>Bucket 2 · Legacy</v>
      </c>
      <c r="P1173" s="350" t="str">
        <f>IF($B1173="Portfolio","Portfolio",IFERROR(INDEX(DATA_ASSET_CLASSIFICATION!$C$8:$C$24,MATCH($C1173,DATA_ASSET_CLASSIFICATION!$A$8:$A$24,0)),"Review"))</f>
        <v>Yes</v>
      </c>
      <c r="Q1173" s="350" t="str">
        <f t="shared" ca="1" si="37"/>
        <v>OK</v>
      </c>
    </row>
    <row r="1174" spans="1:17">
      <c r="A1174" s="366" t="s">
        <v>3130</v>
      </c>
      <c r="B1174" s="366" t="s">
        <v>231</v>
      </c>
      <c r="C1174" s="348" t="str">
        <f>DATA_PROPERTY_MASTER!$A$8</f>
        <v>BLD_CH</v>
      </c>
      <c r="D1174" s="380">
        <f>'00_PORTFOLIO ROLLUP'!E$12</f>
        <v>2025</v>
      </c>
      <c r="E1174" s="366" t="s">
        <v>1721</v>
      </c>
      <c r="F1174" s="366" t="s">
        <v>39</v>
      </c>
      <c r="G1174" s="348" t="str">
        <f>"'"&amp;$C1174&amp;"'!$E$63:$Y$63"</f>
        <v>'BLD_CH'!$E$63:$Y$63</v>
      </c>
      <c r="H1174" s="381">
        <f ca="1">IF(IFERROR(INDEX(DATA_PROPERTY_MASTER!$E$5:$E$21,MATCH($C1174,DATA_PROPERTY_MASTER!$A$5:$A$21,0))="Yes",FALSE),MAX(-IFERROR(INDEX(INDIRECT("'"&amp;$C1174&amp;"'!$E$63:$Y$63"),1,MATCH($D1174,INDIRECT("'"&amp;$C1174&amp;"'!$E$12:$Y$12"),0)),0),0),0)</f>
        <v>0</v>
      </c>
      <c r="I1174" s="366" t="s">
        <v>1690</v>
      </c>
      <c r="J1174" s="348" t="str">
        <f t="shared" ca="1" si="36"/>
        <v>OK</v>
      </c>
      <c r="K1174" s="366" t="s">
        <v>1738</v>
      </c>
      <c r="L1174" s="366" t="s">
        <v>2260</v>
      </c>
      <c r="M1174" s="350" t="str">
        <f>IF($B1174="Portfolio","Portfolio",IFERROR(INDEX(DATA_ASSET_CLASSIFICATION!$B$8:$B$24,MATCH($C1174,DATA_ASSET_CLASSIFICATION!$A$8:$A$24,0)),"Review"))</f>
        <v>Capilano House</v>
      </c>
      <c r="N1174" s="350" t="str">
        <f ca="1">IF($B1174="Portfolio","Portfolio",IFERROR(INDEX(DATA_ASSET_CLASSIFICATION!$U$8:$U$24,MATCH($C1174,DATA_ASSET_CLASSIFICATION!$A$8:$A$24,0)),"Review"))</f>
        <v>Stable</v>
      </c>
      <c r="O1174" s="350" t="str">
        <f ca="1">IF($B1174="Portfolio","Portfolio",IFERROR(INDEX(DATA_ASSET_CLASSIFICATION!$AB$8:$AB$13,MATCH($N1174,DATA_ASSET_CLASSIFICATION!$AA$8:$AA$13,0)),"Review"))</f>
        <v>Bucket 2 · Legacy</v>
      </c>
      <c r="P1174" s="350" t="str">
        <f>IF($B1174="Portfolio","Portfolio",IFERROR(INDEX(DATA_ASSET_CLASSIFICATION!$C$8:$C$24,MATCH($C1174,DATA_ASSET_CLASSIFICATION!$A$8:$A$24,0)),"Review"))</f>
        <v>Yes</v>
      </c>
      <c r="Q1174" s="350" t="str">
        <f t="shared" ca="1" si="37"/>
        <v>OK</v>
      </c>
    </row>
    <row r="1175" spans="1:17">
      <c r="A1175" s="366" t="s">
        <v>3131</v>
      </c>
      <c r="B1175" s="366" t="s">
        <v>231</v>
      </c>
      <c r="C1175" s="348" t="str">
        <f>DATA_PROPERTY_MASTER!$A$8</f>
        <v>BLD_CH</v>
      </c>
      <c r="D1175" s="380">
        <f>'00_PORTFOLIO ROLLUP'!E$12</f>
        <v>2025</v>
      </c>
      <c r="E1175" s="366" t="s">
        <v>1741</v>
      </c>
      <c r="F1175" s="366" t="s">
        <v>41</v>
      </c>
      <c r="G1175" s="348" t="str">
        <f>"'"&amp;$C1175&amp;"'!rows 56 + positive row 63"</f>
        <v>'BLD_CH'!rows 56 + positive row 63</v>
      </c>
      <c r="H1175" s="381">
        <f ca="1">IF(IFERROR(INDEX(DATA_PROPERTY_MASTER!$E$5:$E$21,MATCH($C1175,DATA_PROPERTY_MASTER!$A$5:$A$21,0))="Yes",FALSE),IFERROR(INDEX(INDIRECT("'"&amp;$C1175&amp;"'!$E$56:$Y$56"),1,MATCH($D1175,INDIRECT("'"&amp;$C1175&amp;"'!$E$12:$Y$12"),0)),0)+MAX(IFERROR(INDEX(INDIRECT("'"&amp;$C1175&amp;"'!$E$63:$Y$63"),1,MATCH($D1175,INDIRECT("'"&amp;$C1175&amp;"'!$E$12:$Y$12"),0)),0),0),0)</f>
        <v>90274.476799999975</v>
      </c>
      <c r="I1175" s="366" t="s">
        <v>1685</v>
      </c>
      <c r="J1175" s="348" t="str">
        <f t="shared" ca="1" si="36"/>
        <v>OK</v>
      </c>
      <c r="K1175" s="366" t="s">
        <v>1742</v>
      </c>
      <c r="L1175" s="366" t="s">
        <v>2262</v>
      </c>
      <c r="M1175" s="350" t="str">
        <f>IF($B1175="Portfolio","Portfolio",IFERROR(INDEX(DATA_ASSET_CLASSIFICATION!$B$8:$B$24,MATCH($C1175,DATA_ASSET_CLASSIFICATION!$A$8:$A$24,0)),"Review"))</f>
        <v>Capilano House</v>
      </c>
      <c r="N1175" s="350" t="str">
        <f ca="1">IF($B1175="Portfolio","Portfolio",IFERROR(INDEX(DATA_ASSET_CLASSIFICATION!$U$8:$U$24,MATCH($C1175,DATA_ASSET_CLASSIFICATION!$A$8:$A$24,0)),"Review"))</f>
        <v>Stable</v>
      </c>
      <c r="O1175" s="350" t="str">
        <f ca="1">IF($B1175="Portfolio","Portfolio",IFERROR(INDEX(DATA_ASSET_CLASSIFICATION!$AB$8:$AB$13,MATCH($N1175,DATA_ASSET_CLASSIFICATION!$AA$8:$AA$13,0)),"Review"))</f>
        <v>Bucket 2 · Legacy</v>
      </c>
      <c r="P1175" s="350" t="str">
        <f>IF($B1175="Portfolio","Portfolio",IFERROR(INDEX(DATA_ASSET_CLASSIFICATION!$C$8:$C$24,MATCH($C1175,DATA_ASSET_CLASSIFICATION!$A$8:$A$24,0)),"Review"))</f>
        <v>Yes</v>
      </c>
      <c r="Q1175" s="350" t="str">
        <f t="shared" ca="1" si="37"/>
        <v>OK</v>
      </c>
    </row>
    <row r="1176" spans="1:17">
      <c r="A1176" s="366" t="s">
        <v>3132</v>
      </c>
      <c r="B1176" s="366" t="s">
        <v>231</v>
      </c>
      <c r="C1176" s="348" t="str">
        <f>DATA_PROPERTY_MASTER!$A$8</f>
        <v>BLD_CH</v>
      </c>
      <c r="D1176" s="380">
        <f>'00_PORTFOLIO ROLLUP'!E$12</f>
        <v>2025</v>
      </c>
      <c r="E1176" s="366" t="s">
        <v>1741</v>
      </c>
      <c r="F1176" s="366" t="s">
        <v>43</v>
      </c>
      <c r="G1176" s="348" t="str">
        <f>"'"&amp;$C1176&amp;"'!$E$68:$Y$68"</f>
        <v>'BLD_CH'!$E$68:$Y$68</v>
      </c>
      <c r="H1176" s="381">
        <f ca="1">IF(IFERROR(INDEX(DATA_PROPERTY_MASTER!$E$5:$E$21,MATCH($C1176,DATA_PROPERTY_MASTER!$A$5:$A$21,0))="Yes",FALSE),IFERROR(INDEX(INDIRECT("'"&amp;$C1176&amp;"'!$E$68:$Y$68"),1,MATCH($D1176,INDIRECT("'"&amp;$C1176&amp;"'!$E$12:$Y$12"),0)),0),0)</f>
        <v>90274.476799999975</v>
      </c>
      <c r="I1176" s="366" t="s">
        <v>1731</v>
      </c>
      <c r="J1176" s="348" t="str">
        <f t="shared" ca="1" si="36"/>
        <v>OK</v>
      </c>
      <c r="K1176" s="366" t="s">
        <v>1746</v>
      </c>
      <c r="L1176" s="366" t="s">
        <v>2264</v>
      </c>
      <c r="M1176" s="350" t="str">
        <f>IF($B1176="Portfolio","Portfolio",IFERROR(INDEX(DATA_ASSET_CLASSIFICATION!$B$8:$B$24,MATCH($C1176,DATA_ASSET_CLASSIFICATION!$A$8:$A$24,0)),"Review"))</f>
        <v>Capilano House</v>
      </c>
      <c r="N1176" s="350" t="str">
        <f ca="1">IF($B1176="Portfolio","Portfolio",IFERROR(INDEX(DATA_ASSET_CLASSIFICATION!$U$8:$U$24,MATCH($C1176,DATA_ASSET_CLASSIFICATION!$A$8:$A$24,0)),"Review"))</f>
        <v>Stable</v>
      </c>
      <c r="O1176" s="350" t="str">
        <f ca="1">IF($B1176="Portfolio","Portfolio",IFERROR(INDEX(DATA_ASSET_CLASSIFICATION!$AB$8:$AB$13,MATCH($N1176,DATA_ASSET_CLASSIFICATION!$AA$8:$AA$13,0)),"Review"))</f>
        <v>Bucket 2 · Legacy</v>
      </c>
      <c r="P1176" s="350" t="str">
        <f>IF($B1176="Portfolio","Portfolio",IFERROR(INDEX(DATA_ASSET_CLASSIFICATION!$C$8:$C$24,MATCH($C1176,DATA_ASSET_CLASSIFICATION!$A$8:$A$24,0)),"Review"))</f>
        <v>Yes</v>
      </c>
      <c r="Q1176" s="350" t="str">
        <f t="shared" ca="1" si="37"/>
        <v>OK</v>
      </c>
    </row>
    <row r="1177" spans="1:17">
      <c r="A1177" s="366" t="s">
        <v>3133</v>
      </c>
      <c r="B1177" s="366" t="s">
        <v>231</v>
      </c>
      <c r="C1177" s="348" t="str">
        <f>DATA_PROPERTY_MASTER!$A$8</f>
        <v>BLD_CH</v>
      </c>
      <c r="D1177" s="380">
        <f>'00_PORTFOLIO ROLLUP'!E$12</f>
        <v>2025</v>
      </c>
      <c r="E1177" s="366" t="s">
        <v>1741</v>
      </c>
      <c r="F1177" s="366" t="s">
        <v>1749</v>
      </c>
      <c r="G1177" s="348" t="str">
        <f>"'"&amp;$C1177&amp;"'!rows 56, 63, 68"</f>
        <v>'BLD_CH'!rows 56, 63, 68</v>
      </c>
      <c r="H1177" s="381">
        <f ca="1">IF(IFERROR(INDEX(DATA_PROPERTY_MASTER!$E$5:$E$21,MATCH($C1177,DATA_PROPERTY_MASTER!$A$5:$A$21,0))="Yes",FALSE),(IFERROR(INDEX(INDIRECT("'"&amp;$C1177&amp;"'!$E$56:$Y$56"),1,MATCH($D1177,INDIRECT("'"&amp;$C1177&amp;"'!$E$12:$Y$12"),0)),0)+MAX(IFERROR(INDEX(INDIRECT("'"&amp;$C1177&amp;"'!$E$63:$Y$63"),1,MATCH($D1177,INDIRECT("'"&amp;$C1177&amp;"'!$E$12:$Y$12"),0)),0),0))-(IFERROR(INDEX(INDIRECT("'"&amp;$C1177&amp;"'!$E$68:$Y$68"),1,MATCH($D1177,INDIRECT("'"&amp;$C1177&amp;"'!$E$12:$Y$12"),0)),0)),0)</f>
        <v>0</v>
      </c>
      <c r="I1177" s="366" t="s">
        <v>1750</v>
      </c>
      <c r="J1177" s="348" t="str">
        <f t="shared" ca="1" si="36"/>
        <v>OK</v>
      </c>
      <c r="K1177" s="366" t="s">
        <v>1751</v>
      </c>
      <c r="L1177" s="366" t="s">
        <v>2266</v>
      </c>
      <c r="M1177" s="350" t="str">
        <f>IF($B1177="Portfolio","Portfolio",IFERROR(INDEX(DATA_ASSET_CLASSIFICATION!$B$8:$B$24,MATCH($C1177,DATA_ASSET_CLASSIFICATION!$A$8:$A$24,0)),"Review"))</f>
        <v>Capilano House</v>
      </c>
      <c r="N1177" s="350" t="str">
        <f ca="1">IF($B1177="Portfolio","Portfolio",IFERROR(INDEX(DATA_ASSET_CLASSIFICATION!$U$8:$U$24,MATCH($C1177,DATA_ASSET_CLASSIFICATION!$A$8:$A$24,0)),"Review"))</f>
        <v>Stable</v>
      </c>
      <c r="O1177" s="350" t="str">
        <f ca="1">IF($B1177="Portfolio","Portfolio",IFERROR(INDEX(DATA_ASSET_CLASSIFICATION!$AB$8:$AB$13,MATCH($N1177,DATA_ASSET_CLASSIFICATION!$AA$8:$AA$13,0)),"Review"))</f>
        <v>Bucket 2 · Legacy</v>
      </c>
      <c r="P1177" s="350" t="str">
        <f>IF($B1177="Portfolio","Portfolio",IFERROR(INDEX(DATA_ASSET_CLASSIFICATION!$C$8:$C$24,MATCH($C1177,DATA_ASSET_CLASSIFICATION!$A$8:$A$24,0)),"Review"))</f>
        <v>Yes</v>
      </c>
      <c r="Q1177" s="350" t="str">
        <f t="shared" ca="1" si="37"/>
        <v>OK</v>
      </c>
    </row>
    <row r="1178" spans="1:17">
      <c r="A1178" s="366" t="s">
        <v>3134</v>
      </c>
      <c r="B1178" s="366" t="s">
        <v>231</v>
      </c>
      <c r="C1178" s="348" t="str">
        <f>DATA_PROPERTY_MASTER!$A$8</f>
        <v>BLD_CH</v>
      </c>
      <c r="D1178" s="380">
        <f>'00_PORTFOLIO ROLLUP'!F$12</f>
        <v>2026</v>
      </c>
      <c r="E1178" s="366" t="s">
        <v>1683</v>
      </c>
      <c r="F1178" s="366" t="s">
        <v>341</v>
      </c>
      <c r="G1178" s="348" t="str">
        <f>"'"&amp;$C1178&amp;"'!$E$24:$Y$24"</f>
        <v>'BLD_CH'!$E$24:$Y$24</v>
      </c>
      <c r="H1178" s="381">
        <f ca="1">IF(IFERROR(INDEX(DATA_PROPERTY_MASTER!$E$5:$E$21,MATCH($C1178,DATA_PROPERTY_MASTER!$A$5:$A$21,0))="Yes",FALSE),IFERROR(INDEX(INDIRECT("'"&amp;$C1178&amp;"'!$E$24:$Y$24"),1,MATCH($D1178,INDIRECT("'"&amp;$C1178&amp;"'!$E$12:$Y$12"),0)),0),0)</f>
        <v>728718.79584000004</v>
      </c>
      <c r="I1178" s="366" t="s">
        <v>1685</v>
      </c>
      <c r="J1178" s="348" t="str">
        <f t="shared" ca="1" si="36"/>
        <v>OK</v>
      </c>
      <c r="K1178" s="366" t="s">
        <v>1686</v>
      </c>
      <c r="L1178" s="366" t="s">
        <v>2234</v>
      </c>
      <c r="M1178" s="350" t="str">
        <f>IF($B1178="Portfolio","Portfolio",IFERROR(INDEX(DATA_ASSET_CLASSIFICATION!$B$8:$B$24,MATCH($C1178,DATA_ASSET_CLASSIFICATION!$A$8:$A$24,0)),"Review"))</f>
        <v>Capilano House</v>
      </c>
      <c r="N1178" s="350" t="str">
        <f ca="1">IF($B1178="Portfolio","Portfolio",IFERROR(INDEX(DATA_ASSET_CLASSIFICATION!$U$8:$U$24,MATCH($C1178,DATA_ASSET_CLASSIFICATION!$A$8:$A$24,0)),"Review"))</f>
        <v>Stable</v>
      </c>
      <c r="O1178" s="350" t="str">
        <f ca="1">IF($B1178="Portfolio","Portfolio",IFERROR(INDEX(DATA_ASSET_CLASSIFICATION!$AB$8:$AB$13,MATCH($N1178,DATA_ASSET_CLASSIFICATION!$AA$8:$AA$13,0)),"Review"))</f>
        <v>Bucket 2 · Legacy</v>
      </c>
      <c r="P1178" s="350" t="str">
        <f>IF($B1178="Portfolio","Portfolio",IFERROR(INDEX(DATA_ASSET_CLASSIFICATION!$C$8:$C$24,MATCH($C1178,DATA_ASSET_CLASSIFICATION!$A$8:$A$24,0)),"Review"))</f>
        <v>Yes</v>
      </c>
      <c r="Q1178" s="350" t="str">
        <f t="shared" ca="1" si="37"/>
        <v>OK</v>
      </c>
    </row>
    <row r="1179" spans="1:17">
      <c r="A1179" s="366" t="s">
        <v>3135</v>
      </c>
      <c r="B1179" s="366" t="s">
        <v>231</v>
      </c>
      <c r="C1179" s="348" t="str">
        <f>DATA_PROPERTY_MASTER!$A$8</f>
        <v>BLD_CH</v>
      </c>
      <c r="D1179" s="380">
        <f>'00_PORTFOLIO ROLLUP'!F$12</f>
        <v>2026</v>
      </c>
      <c r="E1179" s="366" t="s">
        <v>1683</v>
      </c>
      <c r="F1179" s="366" t="s">
        <v>355</v>
      </c>
      <c r="G1179" s="348" t="str">
        <f>"'"&amp;$C1179&amp;"'!$E$39:$Y$39"</f>
        <v>'BLD_CH'!$E$39:$Y$39</v>
      </c>
      <c r="H1179" s="381">
        <f ca="1">IF(IFERROR(INDEX(DATA_PROPERTY_MASTER!$E$5:$E$21,MATCH($C1179,DATA_PROPERTY_MASTER!$A$5:$A$21,0))="Yes",FALSE),IFERROR(INDEX(INDIRECT("'"&amp;$C1179&amp;"'!$E$39:$Y$39"),1,MATCH($D1179,INDIRECT("'"&amp;$C1179&amp;"'!$E$12:$Y$12"),0)),0),0)</f>
        <v>508293.75999999995</v>
      </c>
      <c r="I1179" s="366" t="s">
        <v>1690</v>
      </c>
      <c r="J1179" s="348" t="str">
        <f t="shared" ca="1" si="36"/>
        <v>OK</v>
      </c>
      <c r="K1179" s="366" t="s">
        <v>1686</v>
      </c>
      <c r="L1179" s="366" t="s">
        <v>2236</v>
      </c>
      <c r="M1179" s="350" t="str">
        <f>IF($B1179="Portfolio","Portfolio",IFERROR(INDEX(DATA_ASSET_CLASSIFICATION!$B$8:$B$24,MATCH($C1179,DATA_ASSET_CLASSIFICATION!$A$8:$A$24,0)),"Review"))</f>
        <v>Capilano House</v>
      </c>
      <c r="N1179" s="350" t="str">
        <f ca="1">IF($B1179="Portfolio","Portfolio",IFERROR(INDEX(DATA_ASSET_CLASSIFICATION!$U$8:$U$24,MATCH($C1179,DATA_ASSET_CLASSIFICATION!$A$8:$A$24,0)),"Review"))</f>
        <v>Stable</v>
      </c>
      <c r="O1179" s="350" t="str">
        <f ca="1">IF($B1179="Portfolio","Portfolio",IFERROR(INDEX(DATA_ASSET_CLASSIFICATION!$AB$8:$AB$13,MATCH($N1179,DATA_ASSET_CLASSIFICATION!$AA$8:$AA$13,0)),"Review"))</f>
        <v>Bucket 2 · Legacy</v>
      </c>
      <c r="P1179" s="350" t="str">
        <f>IF($B1179="Portfolio","Portfolio",IFERROR(INDEX(DATA_ASSET_CLASSIFICATION!$C$8:$C$24,MATCH($C1179,DATA_ASSET_CLASSIFICATION!$A$8:$A$24,0)),"Review"))</f>
        <v>Yes</v>
      </c>
      <c r="Q1179" s="350" t="str">
        <f t="shared" ca="1" si="37"/>
        <v>OK</v>
      </c>
    </row>
    <row r="1180" spans="1:17">
      <c r="A1180" s="366" t="s">
        <v>3136</v>
      </c>
      <c r="B1180" s="366" t="s">
        <v>231</v>
      </c>
      <c r="C1180" s="348" t="str">
        <f>DATA_PROPERTY_MASTER!$A$8</f>
        <v>BLD_CH</v>
      </c>
      <c r="D1180" s="380">
        <f>'00_PORTFOLIO ROLLUP'!F$12</f>
        <v>2026</v>
      </c>
      <c r="E1180" s="366" t="s">
        <v>1683</v>
      </c>
      <c r="F1180" s="366" t="s">
        <v>19</v>
      </c>
      <c r="G1180" s="348" t="str">
        <f>"'"&amp;$C1180&amp;"'!$E$41:$Y$41"</f>
        <v>'BLD_CH'!$E$41:$Y$41</v>
      </c>
      <c r="H1180" s="381">
        <f ca="1">IF(IFERROR(INDEX(DATA_PROPERTY_MASTER!$E$5:$E$21,MATCH($C1180,DATA_PROPERTY_MASTER!$A$5:$A$21,0))="Yes",FALSE),IFERROR(INDEX(INDIRECT("'"&amp;$C1180&amp;"'!$E$41:$Y$41"),1,MATCH($D1180,INDIRECT("'"&amp;$C1180&amp;"'!$E$12:$Y$12"),0)),0),0)</f>
        <v>220425.03584000008</v>
      </c>
      <c r="I1180" s="366" t="s">
        <v>1685</v>
      </c>
      <c r="J1180" s="348" t="str">
        <f t="shared" ca="1" si="36"/>
        <v>OK</v>
      </c>
      <c r="K1180" s="366" t="s">
        <v>1694</v>
      </c>
      <c r="L1180" s="366" t="s">
        <v>2238</v>
      </c>
      <c r="M1180" s="350" t="str">
        <f>IF($B1180="Portfolio","Portfolio",IFERROR(INDEX(DATA_ASSET_CLASSIFICATION!$B$8:$B$24,MATCH($C1180,DATA_ASSET_CLASSIFICATION!$A$8:$A$24,0)),"Review"))</f>
        <v>Capilano House</v>
      </c>
      <c r="N1180" s="350" t="str">
        <f ca="1">IF($B1180="Portfolio","Portfolio",IFERROR(INDEX(DATA_ASSET_CLASSIFICATION!$U$8:$U$24,MATCH($C1180,DATA_ASSET_CLASSIFICATION!$A$8:$A$24,0)),"Review"))</f>
        <v>Stable</v>
      </c>
      <c r="O1180" s="350" t="str">
        <f ca="1">IF($B1180="Portfolio","Portfolio",IFERROR(INDEX(DATA_ASSET_CLASSIFICATION!$AB$8:$AB$13,MATCH($N1180,DATA_ASSET_CLASSIFICATION!$AA$8:$AA$13,0)),"Review"))</f>
        <v>Bucket 2 · Legacy</v>
      </c>
      <c r="P1180" s="350" t="str">
        <f>IF($B1180="Portfolio","Portfolio",IFERROR(INDEX(DATA_ASSET_CLASSIFICATION!$C$8:$C$24,MATCH($C1180,DATA_ASSET_CLASSIFICATION!$A$8:$A$24,0)),"Review"))</f>
        <v>Yes</v>
      </c>
      <c r="Q1180" s="350" t="str">
        <f t="shared" ca="1" si="37"/>
        <v>OK</v>
      </c>
    </row>
    <row r="1181" spans="1:17">
      <c r="A1181" s="366" t="s">
        <v>3137</v>
      </c>
      <c r="B1181" s="366" t="s">
        <v>231</v>
      </c>
      <c r="C1181" s="348" t="str">
        <f>DATA_PROPERTY_MASTER!$A$8</f>
        <v>BLD_CH</v>
      </c>
      <c r="D1181" s="380">
        <f>'00_PORTFOLIO ROLLUP'!F$12</f>
        <v>2026</v>
      </c>
      <c r="E1181" s="366" t="s">
        <v>1683</v>
      </c>
      <c r="F1181" s="366" t="s">
        <v>1697</v>
      </c>
      <c r="G1181" s="348" t="str">
        <f>"'"&amp;$C1181&amp;"'!$E$44:$Y$44"</f>
        <v>'BLD_CH'!$E$44:$Y$44</v>
      </c>
      <c r="H1181" s="381">
        <f ca="1">IF(IFERROR(INDEX(DATA_PROPERTY_MASTER!$E$5:$E$21,MATCH($C1181,DATA_PROPERTY_MASTER!$A$5:$A$21,0))="Yes",FALSE),IFERROR(INDEX(INDIRECT("'"&amp;$C1181&amp;"'!$E$44:$Y$44"),1,MATCH($D1181,INDIRECT("'"&amp;$C1181&amp;"'!$E$12:$Y$12"),0)),0),0)</f>
        <v>9792</v>
      </c>
      <c r="I1181" s="366" t="s">
        <v>1690</v>
      </c>
      <c r="J1181" s="348" t="str">
        <f t="shared" ca="1" si="36"/>
        <v>OK</v>
      </c>
      <c r="K1181" s="366" t="s">
        <v>1699</v>
      </c>
      <c r="L1181" s="366" t="s">
        <v>2240</v>
      </c>
      <c r="M1181" s="350" t="str">
        <f>IF($B1181="Portfolio","Portfolio",IFERROR(INDEX(DATA_ASSET_CLASSIFICATION!$B$8:$B$24,MATCH($C1181,DATA_ASSET_CLASSIFICATION!$A$8:$A$24,0)),"Review"))</f>
        <v>Capilano House</v>
      </c>
      <c r="N1181" s="350" t="str">
        <f ca="1">IF($B1181="Portfolio","Portfolio",IFERROR(INDEX(DATA_ASSET_CLASSIFICATION!$U$8:$U$24,MATCH($C1181,DATA_ASSET_CLASSIFICATION!$A$8:$A$24,0)),"Review"))</f>
        <v>Stable</v>
      </c>
      <c r="O1181" s="350" t="str">
        <f ca="1">IF($B1181="Portfolio","Portfolio",IFERROR(INDEX(DATA_ASSET_CLASSIFICATION!$AB$8:$AB$13,MATCH($N1181,DATA_ASSET_CLASSIFICATION!$AA$8:$AA$13,0)),"Review"))</f>
        <v>Bucket 2 · Legacy</v>
      </c>
      <c r="P1181" s="350" t="str">
        <f>IF($B1181="Portfolio","Portfolio",IFERROR(INDEX(DATA_ASSET_CLASSIFICATION!$C$8:$C$24,MATCH($C1181,DATA_ASSET_CLASSIFICATION!$A$8:$A$24,0)),"Review"))</f>
        <v>Yes</v>
      </c>
      <c r="Q1181" s="350" t="str">
        <f t="shared" ca="1" si="37"/>
        <v>OK</v>
      </c>
    </row>
    <row r="1182" spans="1:17">
      <c r="A1182" s="366" t="s">
        <v>3138</v>
      </c>
      <c r="B1182" s="366" t="s">
        <v>231</v>
      </c>
      <c r="C1182" s="348" t="str">
        <f>DATA_PROPERTY_MASTER!$A$8</f>
        <v>BLD_CH</v>
      </c>
      <c r="D1182" s="380">
        <f>'00_PORTFOLIO ROLLUP'!F$12</f>
        <v>2026</v>
      </c>
      <c r="E1182" s="366" t="s">
        <v>1683</v>
      </c>
      <c r="F1182" s="366" t="s">
        <v>21</v>
      </c>
      <c r="G1182" s="348" t="str">
        <f>"'"&amp;$C1182&amp;"'!$E$45:$Y$45"</f>
        <v>'BLD_CH'!$E$45:$Y$45</v>
      </c>
      <c r="H1182" s="381">
        <f ca="1">IF(IFERROR(INDEX(DATA_PROPERTY_MASTER!$E$5:$E$21,MATCH($C1182,DATA_PROPERTY_MASTER!$A$5:$A$21,0))="Yes",FALSE),IFERROR(INDEX(INDIRECT("'"&amp;$C1182&amp;"'!$E$45:$Y$45"),1,MATCH($D1182,INDIRECT("'"&amp;$C1182&amp;"'!$E$12:$Y$12"),0)),0),0)</f>
        <v>210633.03584000008</v>
      </c>
      <c r="I1182" s="366" t="s">
        <v>1685</v>
      </c>
      <c r="J1182" s="348" t="str">
        <f t="shared" ca="1" si="36"/>
        <v>OK</v>
      </c>
      <c r="K1182" s="366" t="s">
        <v>1694</v>
      </c>
      <c r="L1182" s="366" t="s">
        <v>2242</v>
      </c>
      <c r="M1182" s="350" t="str">
        <f>IF($B1182="Portfolio","Portfolio",IFERROR(INDEX(DATA_ASSET_CLASSIFICATION!$B$8:$B$24,MATCH($C1182,DATA_ASSET_CLASSIFICATION!$A$8:$A$24,0)),"Review"))</f>
        <v>Capilano House</v>
      </c>
      <c r="N1182" s="350" t="str">
        <f ca="1">IF($B1182="Portfolio","Portfolio",IFERROR(INDEX(DATA_ASSET_CLASSIFICATION!$U$8:$U$24,MATCH($C1182,DATA_ASSET_CLASSIFICATION!$A$8:$A$24,0)),"Review"))</f>
        <v>Stable</v>
      </c>
      <c r="O1182" s="350" t="str">
        <f ca="1">IF($B1182="Portfolio","Portfolio",IFERROR(INDEX(DATA_ASSET_CLASSIFICATION!$AB$8:$AB$13,MATCH($N1182,DATA_ASSET_CLASSIFICATION!$AA$8:$AA$13,0)),"Review"))</f>
        <v>Bucket 2 · Legacy</v>
      </c>
      <c r="P1182" s="350" t="str">
        <f>IF($B1182="Portfolio","Portfolio",IFERROR(INDEX(DATA_ASSET_CLASSIFICATION!$C$8:$C$24,MATCH($C1182,DATA_ASSET_CLASSIFICATION!$A$8:$A$24,0)),"Review"))</f>
        <v>Yes</v>
      </c>
      <c r="Q1182" s="350" t="str">
        <f t="shared" ca="1" si="37"/>
        <v>OK</v>
      </c>
    </row>
    <row r="1183" spans="1:17">
      <c r="A1183" s="366" t="s">
        <v>3139</v>
      </c>
      <c r="B1183" s="366" t="s">
        <v>231</v>
      </c>
      <c r="C1183" s="348" t="str">
        <f>DATA_PROPERTY_MASTER!$A$8</f>
        <v>BLD_CH</v>
      </c>
      <c r="D1183" s="380">
        <f>'00_PORTFOLIO ROLLUP'!F$12</f>
        <v>2026</v>
      </c>
      <c r="E1183" s="366" t="s">
        <v>23</v>
      </c>
      <c r="F1183" s="366" t="s">
        <v>23</v>
      </c>
      <c r="G1183" s="348" t="str">
        <f>"'"&amp;$C1183&amp;"'!$E$48:$Y$48"</f>
        <v>'BLD_CH'!$E$48:$Y$48</v>
      </c>
      <c r="H1183" s="381">
        <f ca="1">IF(IFERROR(INDEX(DATA_PROPERTY_MASTER!$E$5:$E$21,MATCH($C1183,DATA_PROPERTY_MASTER!$A$5:$A$21,0))="Yes",FALSE),IFERROR(INDEX(INDIRECT("'"&amp;$C1183&amp;"'!$E$48:$Y$48"),1,MATCH($D1183,INDIRECT("'"&amp;$C1183&amp;"'!$E$12:$Y$12"),0)),0),0)</f>
        <v>0</v>
      </c>
      <c r="I1183" s="366" t="s">
        <v>1690</v>
      </c>
      <c r="J1183" s="348" t="str">
        <f t="shared" ca="1" si="36"/>
        <v>OK</v>
      </c>
      <c r="K1183" s="366" t="s">
        <v>1706</v>
      </c>
      <c r="L1183" s="366" t="s">
        <v>2244</v>
      </c>
      <c r="M1183" s="350" t="str">
        <f>IF($B1183="Portfolio","Portfolio",IFERROR(INDEX(DATA_ASSET_CLASSIFICATION!$B$8:$B$24,MATCH($C1183,DATA_ASSET_CLASSIFICATION!$A$8:$A$24,0)),"Review"))</f>
        <v>Capilano House</v>
      </c>
      <c r="N1183" s="350" t="str">
        <f ca="1">IF($B1183="Portfolio","Portfolio",IFERROR(INDEX(DATA_ASSET_CLASSIFICATION!$U$8:$U$24,MATCH($C1183,DATA_ASSET_CLASSIFICATION!$A$8:$A$24,0)),"Review"))</f>
        <v>Stable</v>
      </c>
      <c r="O1183" s="350" t="str">
        <f ca="1">IF($B1183="Portfolio","Portfolio",IFERROR(INDEX(DATA_ASSET_CLASSIFICATION!$AB$8:$AB$13,MATCH($N1183,DATA_ASSET_CLASSIFICATION!$AA$8:$AA$13,0)),"Review"))</f>
        <v>Bucket 2 · Legacy</v>
      </c>
      <c r="P1183" s="350" t="str">
        <f>IF($B1183="Portfolio","Portfolio",IFERROR(INDEX(DATA_ASSET_CLASSIFICATION!$C$8:$C$24,MATCH($C1183,DATA_ASSET_CLASSIFICATION!$A$8:$A$24,0)),"Review"))</f>
        <v>Yes</v>
      </c>
      <c r="Q1183" s="350" t="str">
        <f t="shared" ca="1" si="37"/>
        <v>OK</v>
      </c>
    </row>
    <row r="1184" spans="1:17">
      <c r="A1184" s="366" t="s">
        <v>3140</v>
      </c>
      <c r="B1184" s="366" t="s">
        <v>231</v>
      </c>
      <c r="C1184" s="348" t="str">
        <f>DATA_PROPERTY_MASTER!$A$8</f>
        <v>BLD_CH</v>
      </c>
      <c r="D1184" s="380">
        <f>'00_PORTFOLIO ROLLUP'!F$12</f>
        <v>2026</v>
      </c>
      <c r="E1184" s="366" t="s">
        <v>1683</v>
      </c>
      <c r="F1184" s="366" t="s">
        <v>25</v>
      </c>
      <c r="G1184" s="348" t="str">
        <f>"'"&amp;$C1184&amp;"'!$E$52:$Y$52"</f>
        <v>'BLD_CH'!$E$52:$Y$52</v>
      </c>
      <c r="H1184" s="381">
        <f ca="1">IF(IFERROR(INDEX(DATA_PROPERTY_MASTER!$E$5:$E$21,MATCH($C1184,DATA_PROPERTY_MASTER!$A$5:$A$21,0))="Yes",FALSE),IFERROR(INDEX(INDIRECT("'"&amp;$C1184&amp;"'!$E$52:$Y$52"),1,MATCH($D1184,INDIRECT("'"&amp;$C1184&amp;"'!$E$12:$Y$12"),0)),0),0)</f>
        <v>220425.03584000008</v>
      </c>
      <c r="I1184" s="366" t="s">
        <v>1685</v>
      </c>
      <c r="J1184" s="348" t="str">
        <f t="shared" ca="1" si="36"/>
        <v>OK</v>
      </c>
      <c r="K1184" s="366" t="s">
        <v>1710</v>
      </c>
      <c r="L1184" s="366" t="s">
        <v>2246</v>
      </c>
      <c r="M1184" s="350" t="str">
        <f>IF($B1184="Portfolio","Portfolio",IFERROR(INDEX(DATA_ASSET_CLASSIFICATION!$B$8:$B$24,MATCH($C1184,DATA_ASSET_CLASSIFICATION!$A$8:$A$24,0)),"Review"))</f>
        <v>Capilano House</v>
      </c>
      <c r="N1184" s="350" t="str">
        <f ca="1">IF($B1184="Portfolio","Portfolio",IFERROR(INDEX(DATA_ASSET_CLASSIFICATION!$U$8:$U$24,MATCH($C1184,DATA_ASSET_CLASSIFICATION!$A$8:$A$24,0)),"Review"))</f>
        <v>Stable</v>
      </c>
      <c r="O1184" s="350" t="str">
        <f ca="1">IF($B1184="Portfolio","Portfolio",IFERROR(INDEX(DATA_ASSET_CLASSIFICATION!$AB$8:$AB$13,MATCH($N1184,DATA_ASSET_CLASSIFICATION!$AA$8:$AA$13,0)),"Review"))</f>
        <v>Bucket 2 · Legacy</v>
      </c>
      <c r="P1184" s="350" t="str">
        <f>IF($B1184="Portfolio","Portfolio",IFERROR(INDEX(DATA_ASSET_CLASSIFICATION!$C$8:$C$24,MATCH($C1184,DATA_ASSET_CLASSIFICATION!$A$8:$A$24,0)),"Review"))</f>
        <v>Yes</v>
      </c>
      <c r="Q1184" s="350" t="str">
        <f t="shared" ca="1" si="37"/>
        <v>OK</v>
      </c>
    </row>
    <row r="1185" spans="1:17">
      <c r="A1185" s="366" t="s">
        <v>3141</v>
      </c>
      <c r="B1185" s="366" t="s">
        <v>231</v>
      </c>
      <c r="C1185" s="348" t="str">
        <f>DATA_PROPERTY_MASTER!$A$8</f>
        <v>BLD_CH</v>
      </c>
      <c r="D1185" s="380">
        <f>'00_PORTFOLIO ROLLUP'!F$12</f>
        <v>2026</v>
      </c>
      <c r="E1185" s="366" t="s">
        <v>1683</v>
      </c>
      <c r="F1185" s="366" t="s">
        <v>27</v>
      </c>
      <c r="G1185" s="348" t="str">
        <f>"'"&amp;$C1185&amp;"'!$E$54:$Y$54"</f>
        <v>'BLD_CH'!$E$54:$Y$54</v>
      </c>
      <c r="H1185" s="381">
        <f ca="1">IF(IFERROR(INDEX(DATA_PROPERTY_MASTER!$E$5:$E$21,MATCH($C1185,DATA_PROPERTY_MASTER!$A$5:$A$21,0))="Yes",FALSE),IFERROR(INDEX(INDIRECT("'"&amp;$C1185&amp;"'!$E$54:$Y$54"),1,MATCH($D1185,INDIRECT("'"&amp;$C1185&amp;"'!$E$12:$Y$12"),0)),0),0)</f>
        <v>132255.02150400003</v>
      </c>
      <c r="I1185" s="366" t="s">
        <v>1690</v>
      </c>
      <c r="J1185" s="348" t="str">
        <f t="shared" ca="1" si="36"/>
        <v>OK</v>
      </c>
      <c r="K1185" s="366" t="s">
        <v>1714</v>
      </c>
      <c r="L1185" s="366" t="s">
        <v>2248</v>
      </c>
      <c r="M1185" s="350" t="str">
        <f>IF($B1185="Portfolio","Portfolio",IFERROR(INDEX(DATA_ASSET_CLASSIFICATION!$B$8:$B$24,MATCH($C1185,DATA_ASSET_CLASSIFICATION!$A$8:$A$24,0)),"Review"))</f>
        <v>Capilano House</v>
      </c>
      <c r="N1185" s="350" t="str">
        <f ca="1">IF($B1185="Portfolio","Portfolio",IFERROR(INDEX(DATA_ASSET_CLASSIFICATION!$U$8:$U$24,MATCH($C1185,DATA_ASSET_CLASSIFICATION!$A$8:$A$24,0)),"Review"))</f>
        <v>Stable</v>
      </c>
      <c r="O1185" s="350" t="str">
        <f ca="1">IF($B1185="Portfolio","Portfolio",IFERROR(INDEX(DATA_ASSET_CLASSIFICATION!$AB$8:$AB$13,MATCH($N1185,DATA_ASSET_CLASSIFICATION!$AA$8:$AA$13,0)),"Review"))</f>
        <v>Bucket 2 · Legacy</v>
      </c>
      <c r="P1185" s="350" t="str">
        <f>IF($B1185="Portfolio","Portfolio",IFERROR(INDEX(DATA_ASSET_CLASSIFICATION!$C$8:$C$24,MATCH($C1185,DATA_ASSET_CLASSIFICATION!$A$8:$A$24,0)),"Review"))</f>
        <v>Yes</v>
      </c>
      <c r="Q1185" s="350" t="str">
        <f t="shared" ca="1" si="37"/>
        <v>OK</v>
      </c>
    </row>
    <row r="1186" spans="1:17">
      <c r="A1186" s="366" t="s">
        <v>3142</v>
      </c>
      <c r="B1186" s="366" t="s">
        <v>231</v>
      </c>
      <c r="C1186" s="348" t="str">
        <f>DATA_PROPERTY_MASTER!$A$8</f>
        <v>BLD_CH</v>
      </c>
      <c r="D1186" s="380">
        <f>'00_PORTFOLIO ROLLUP'!F$12</f>
        <v>2026</v>
      </c>
      <c r="E1186" s="366" t="s">
        <v>1683</v>
      </c>
      <c r="F1186" s="366" t="s">
        <v>29</v>
      </c>
      <c r="G1186" s="348" t="str">
        <f>"'"&amp;$C1186&amp;"'!$E$56:$Y$56"</f>
        <v>'BLD_CH'!$E$56:$Y$56</v>
      </c>
      <c r="H1186" s="381">
        <f ca="1">IF(IFERROR(INDEX(DATA_PROPERTY_MASTER!$E$5:$E$21,MATCH($C1186,DATA_PROPERTY_MASTER!$A$5:$A$21,0))="Yes",FALSE),IFERROR(INDEX(INDIRECT("'"&amp;$C1186&amp;"'!$E$56:$Y$56"),1,MATCH($D1186,INDIRECT("'"&amp;$C1186&amp;"'!$E$12:$Y$12"),0)),0),0)</f>
        <v>88170.014336000051</v>
      </c>
      <c r="I1186" s="366" t="s">
        <v>1685</v>
      </c>
      <c r="J1186" s="348" t="str">
        <f t="shared" ca="1" si="36"/>
        <v>OK</v>
      </c>
      <c r="K1186" s="366" t="s">
        <v>1718</v>
      </c>
      <c r="L1186" s="366" t="s">
        <v>2250</v>
      </c>
      <c r="M1186" s="350" t="str">
        <f>IF($B1186="Portfolio","Portfolio",IFERROR(INDEX(DATA_ASSET_CLASSIFICATION!$B$8:$B$24,MATCH($C1186,DATA_ASSET_CLASSIFICATION!$A$8:$A$24,0)),"Review"))</f>
        <v>Capilano House</v>
      </c>
      <c r="N1186" s="350" t="str">
        <f ca="1">IF($B1186="Portfolio","Portfolio",IFERROR(INDEX(DATA_ASSET_CLASSIFICATION!$U$8:$U$24,MATCH($C1186,DATA_ASSET_CLASSIFICATION!$A$8:$A$24,0)),"Review"))</f>
        <v>Stable</v>
      </c>
      <c r="O1186" s="350" t="str">
        <f ca="1">IF($B1186="Portfolio","Portfolio",IFERROR(INDEX(DATA_ASSET_CLASSIFICATION!$AB$8:$AB$13,MATCH($N1186,DATA_ASSET_CLASSIFICATION!$AA$8:$AA$13,0)),"Review"))</f>
        <v>Bucket 2 · Legacy</v>
      </c>
      <c r="P1186" s="350" t="str">
        <f>IF($B1186="Portfolio","Portfolio",IFERROR(INDEX(DATA_ASSET_CLASSIFICATION!$C$8:$C$24,MATCH($C1186,DATA_ASSET_CLASSIFICATION!$A$8:$A$24,0)),"Review"))</f>
        <v>Yes</v>
      </c>
      <c r="Q1186" s="350" t="str">
        <f t="shared" ca="1" si="37"/>
        <v>OK</v>
      </c>
    </row>
    <row r="1187" spans="1:17">
      <c r="A1187" s="366" t="s">
        <v>3143</v>
      </c>
      <c r="B1187" s="366" t="s">
        <v>231</v>
      </c>
      <c r="C1187" s="348" t="str">
        <f>DATA_PROPERTY_MASTER!$A$8</f>
        <v>BLD_CH</v>
      </c>
      <c r="D1187" s="380">
        <f>'00_PORTFOLIO ROLLUP'!F$12</f>
        <v>2026</v>
      </c>
      <c r="E1187" s="366" t="s">
        <v>1721</v>
      </c>
      <c r="F1187" s="366" t="s">
        <v>31</v>
      </c>
      <c r="G1187" s="348" t="str">
        <f>"'"&amp;$C1187&amp;"'!$E$61:$Y$61"</f>
        <v>'BLD_CH'!$E$61:$Y$61</v>
      </c>
      <c r="H1187" s="381">
        <f ca="1">IF(IFERROR(INDEX(DATA_PROPERTY_MASTER!$E$5:$E$21,MATCH($C1187,DATA_PROPERTY_MASTER!$A$5:$A$21,0))="Yes",FALSE),IFERROR(INDEX(INDIRECT("'"&amp;$C1187&amp;"'!$E$61:$Y$61"),1,MATCH($D1187,INDIRECT("'"&amp;$C1187&amp;"'!$E$12:$Y$12"),0)),0),0)</f>
        <v>0</v>
      </c>
      <c r="I1187" s="366" t="s">
        <v>1690</v>
      </c>
      <c r="J1187" s="348" t="str">
        <f t="shared" ca="1" si="36"/>
        <v>OK</v>
      </c>
      <c r="K1187" s="366" t="s">
        <v>1723</v>
      </c>
      <c r="L1187" s="366" t="s">
        <v>2252</v>
      </c>
      <c r="M1187" s="350" t="str">
        <f>IF($B1187="Portfolio","Portfolio",IFERROR(INDEX(DATA_ASSET_CLASSIFICATION!$B$8:$B$24,MATCH($C1187,DATA_ASSET_CLASSIFICATION!$A$8:$A$24,0)),"Review"))</f>
        <v>Capilano House</v>
      </c>
      <c r="N1187" s="350" t="str">
        <f ca="1">IF($B1187="Portfolio","Portfolio",IFERROR(INDEX(DATA_ASSET_CLASSIFICATION!$U$8:$U$24,MATCH($C1187,DATA_ASSET_CLASSIFICATION!$A$8:$A$24,0)),"Review"))</f>
        <v>Stable</v>
      </c>
      <c r="O1187" s="350" t="str">
        <f ca="1">IF($B1187="Portfolio","Portfolio",IFERROR(INDEX(DATA_ASSET_CLASSIFICATION!$AB$8:$AB$13,MATCH($N1187,DATA_ASSET_CLASSIFICATION!$AA$8:$AA$13,0)),"Review"))</f>
        <v>Bucket 2 · Legacy</v>
      </c>
      <c r="P1187" s="350" t="str">
        <f>IF($B1187="Portfolio","Portfolio",IFERROR(INDEX(DATA_ASSET_CLASSIFICATION!$C$8:$C$24,MATCH($C1187,DATA_ASSET_CLASSIFICATION!$A$8:$A$24,0)),"Review"))</f>
        <v>Yes</v>
      </c>
      <c r="Q1187" s="350" t="str">
        <f t="shared" ca="1" si="37"/>
        <v>OK</v>
      </c>
    </row>
    <row r="1188" spans="1:17">
      <c r="A1188" s="366" t="s">
        <v>3144</v>
      </c>
      <c r="B1188" s="366" t="s">
        <v>231</v>
      </c>
      <c r="C1188" s="348" t="str">
        <f>DATA_PROPERTY_MASTER!$A$8</f>
        <v>BLD_CH</v>
      </c>
      <c r="D1188" s="380">
        <f>'00_PORTFOLIO ROLLUP'!F$12</f>
        <v>2026</v>
      </c>
      <c r="E1188" s="366" t="s">
        <v>1721</v>
      </c>
      <c r="F1188" s="366" t="s">
        <v>33</v>
      </c>
      <c r="G1188" s="348" t="str">
        <f>"'"&amp;$C1188&amp;"'!$E$62:$Y$62"</f>
        <v>'BLD_CH'!$E$62:$Y$62</v>
      </c>
      <c r="H1188" s="381">
        <f ca="1">IF(IFERROR(INDEX(DATA_PROPERTY_MASTER!$E$5:$E$21,MATCH($C1188,DATA_PROPERTY_MASTER!$A$5:$A$21,0))="Yes",FALSE),IFERROR(INDEX(INDIRECT("'"&amp;$C1188&amp;"'!$E$62:$Y$62"),1,MATCH($D1188,INDIRECT("'"&amp;$C1188&amp;"'!$E$12:$Y$12"),0)),0),0)</f>
        <v>0</v>
      </c>
      <c r="I1188" s="366" t="s">
        <v>1685</v>
      </c>
      <c r="J1188" s="348" t="str">
        <f t="shared" ca="1" si="36"/>
        <v>OK</v>
      </c>
      <c r="K1188" s="366" t="s">
        <v>1727</v>
      </c>
      <c r="L1188" s="366" t="s">
        <v>2254</v>
      </c>
      <c r="M1188" s="350" t="str">
        <f>IF($B1188="Portfolio","Portfolio",IFERROR(INDEX(DATA_ASSET_CLASSIFICATION!$B$8:$B$24,MATCH($C1188,DATA_ASSET_CLASSIFICATION!$A$8:$A$24,0)),"Review"))</f>
        <v>Capilano House</v>
      </c>
      <c r="N1188" s="350" t="str">
        <f ca="1">IF($B1188="Portfolio","Portfolio",IFERROR(INDEX(DATA_ASSET_CLASSIFICATION!$U$8:$U$24,MATCH($C1188,DATA_ASSET_CLASSIFICATION!$A$8:$A$24,0)),"Review"))</f>
        <v>Stable</v>
      </c>
      <c r="O1188" s="350" t="str">
        <f ca="1">IF($B1188="Portfolio","Portfolio",IFERROR(INDEX(DATA_ASSET_CLASSIFICATION!$AB$8:$AB$13,MATCH($N1188,DATA_ASSET_CLASSIFICATION!$AA$8:$AA$13,0)),"Review"))</f>
        <v>Bucket 2 · Legacy</v>
      </c>
      <c r="P1188" s="350" t="str">
        <f>IF($B1188="Portfolio","Portfolio",IFERROR(INDEX(DATA_ASSET_CLASSIFICATION!$C$8:$C$24,MATCH($C1188,DATA_ASSET_CLASSIFICATION!$A$8:$A$24,0)),"Review"))</f>
        <v>Yes</v>
      </c>
      <c r="Q1188" s="350" t="str">
        <f t="shared" ca="1" si="37"/>
        <v>OK</v>
      </c>
    </row>
    <row r="1189" spans="1:17">
      <c r="A1189" s="366" t="s">
        <v>3145</v>
      </c>
      <c r="B1189" s="366" t="s">
        <v>231</v>
      </c>
      <c r="C1189" s="348" t="str">
        <f>DATA_PROPERTY_MASTER!$A$8</f>
        <v>BLD_CH</v>
      </c>
      <c r="D1189" s="380">
        <f>'00_PORTFOLIO ROLLUP'!F$12</f>
        <v>2026</v>
      </c>
      <c r="E1189" s="366" t="s">
        <v>1721</v>
      </c>
      <c r="F1189" s="366" t="s">
        <v>35</v>
      </c>
      <c r="G1189" s="348" t="str">
        <f>"'"&amp;$C1189&amp;"'!$E$63:$Y$63"</f>
        <v>'BLD_CH'!$E$63:$Y$63</v>
      </c>
      <c r="H1189" s="381">
        <f ca="1">IF(IFERROR(INDEX(DATA_PROPERTY_MASTER!$E$5:$E$21,MATCH($C1189,DATA_PROPERTY_MASTER!$A$5:$A$21,0))="Yes",FALSE),IFERROR(INDEX(INDIRECT("'"&amp;$C1189&amp;"'!$E$63:$Y$63"),1,MATCH($D1189,INDIRECT("'"&amp;$C1189&amp;"'!$E$12:$Y$12"),0)),0),0)</f>
        <v>0</v>
      </c>
      <c r="I1189" s="366" t="s">
        <v>1731</v>
      </c>
      <c r="J1189" s="348" t="str">
        <f t="shared" ca="1" si="36"/>
        <v>OK</v>
      </c>
      <c r="K1189" s="366" t="s">
        <v>1732</v>
      </c>
      <c r="L1189" s="366" t="s">
        <v>2256</v>
      </c>
      <c r="M1189" s="350" t="str">
        <f>IF($B1189="Portfolio","Portfolio",IFERROR(INDEX(DATA_ASSET_CLASSIFICATION!$B$8:$B$24,MATCH($C1189,DATA_ASSET_CLASSIFICATION!$A$8:$A$24,0)),"Review"))</f>
        <v>Capilano House</v>
      </c>
      <c r="N1189" s="350" t="str">
        <f ca="1">IF($B1189="Portfolio","Portfolio",IFERROR(INDEX(DATA_ASSET_CLASSIFICATION!$U$8:$U$24,MATCH($C1189,DATA_ASSET_CLASSIFICATION!$A$8:$A$24,0)),"Review"))</f>
        <v>Stable</v>
      </c>
      <c r="O1189" s="350" t="str">
        <f ca="1">IF($B1189="Portfolio","Portfolio",IFERROR(INDEX(DATA_ASSET_CLASSIFICATION!$AB$8:$AB$13,MATCH($N1189,DATA_ASSET_CLASSIFICATION!$AA$8:$AA$13,0)),"Review"))</f>
        <v>Bucket 2 · Legacy</v>
      </c>
      <c r="P1189" s="350" t="str">
        <f>IF($B1189="Portfolio","Portfolio",IFERROR(INDEX(DATA_ASSET_CLASSIFICATION!$C$8:$C$24,MATCH($C1189,DATA_ASSET_CLASSIFICATION!$A$8:$A$24,0)),"Review"))</f>
        <v>Yes</v>
      </c>
      <c r="Q1189" s="350" t="str">
        <f t="shared" ca="1" si="37"/>
        <v>OK</v>
      </c>
    </row>
    <row r="1190" spans="1:17">
      <c r="A1190" s="366" t="s">
        <v>3146</v>
      </c>
      <c r="B1190" s="366" t="s">
        <v>231</v>
      </c>
      <c r="C1190" s="348" t="str">
        <f>DATA_PROPERTY_MASTER!$A$8</f>
        <v>BLD_CH</v>
      </c>
      <c r="D1190" s="380">
        <f>'00_PORTFOLIO ROLLUP'!F$12</f>
        <v>2026</v>
      </c>
      <c r="E1190" s="366" t="s">
        <v>1721</v>
      </c>
      <c r="F1190" s="366" t="s">
        <v>37</v>
      </c>
      <c r="G1190" s="348" t="str">
        <f>"'"&amp;$C1190&amp;"'!$E$63:$Y$63"</f>
        <v>'BLD_CH'!$E$63:$Y$63</v>
      </c>
      <c r="H1190" s="381">
        <f ca="1">IF(IFERROR(INDEX(DATA_PROPERTY_MASTER!$E$5:$E$21,MATCH($C1190,DATA_PROPERTY_MASTER!$A$5:$A$21,0))="Yes",FALSE),MAX(IFERROR(INDEX(INDIRECT("'"&amp;$C1190&amp;"'!$E$63:$Y$63"),1,MATCH($D1190,INDIRECT("'"&amp;$C1190&amp;"'!$E$12:$Y$12"),0)),0),0),0)</f>
        <v>0</v>
      </c>
      <c r="I1190" s="366" t="s">
        <v>1685</v>
      </c>
      <c r="J1190" s="348" t="str">
        <f t="shared" ca="1" si="36"/>
        <v>OK</v>
      </c>
      <c r="K1190" s="366" t="s">
        <v>1735</v>
      </c>
      <c r="L1190" s="366" t="s">
        <v>2258</v>
      </c>
      <c r="M1190" s="350" t="str">
        <f>IF($B1190="Portfolio","Portfolio",IFERROR(INDEX(DATA_ASSET_CLASSIFICATION!$B$8:$B$24,MATCH($C1190,DATA_ASSET_CLASSIFICATION!$A$8:$A$24,0)),"Review"))</f>
        <v>Capilano House</v>
      </c>
      <c r="N1190" s="350" t="str">
        <f ca="1">IF($B1190="Portfolio","Portfolio",IFERROR(INDEX(DATA_ASSET_CLASSIFICATION!$U$8:$U$24,MATCH($C1190,DATA_ASSET_CLASSIFICATION!$A$8:$A$24,0)),"Review"))</f>
        <v>Stable</v>
      </c>
      <c r="O1190" s="350" t="str">
        <f ca="1">IF($B1190="Portfolio","Portfolio",IFERROR(INDEX(DATA_ASSET_CLASSIFICATION!$AB$8:$AB$13,MATCH($N1190,DATA_ASSET_CLASSIFICATION!$AA$8:$AA$13,0)),"Review"))</f>
        <v>Bucket 2 · Legacy</v>
      </c>
      <c r="P1190" s="350" t="str">
        <f>IF($B1190="Portfolio","Portfolio",IFERROR(INDEX(DATA_ASSET_CLASSIFICATION!$C$8:$C$24,MATCH($C1190,DATA_ASSET_CLASSIFICATION!$A$8:$A$24,0)),"Review"))</f>
        <v>Yes</v>
      </c>
      <c r="Q1190" s="350" t="str">
        <f t="shared" ca="1" si="37"/>
        <v>OK</v>
      </c>
    </row>
    <row r="1191" spans="1:17">
      <c r="A1191" s="366" t="s">
        <v>3147</v>
      </c>
      <c r="B1191" s="366" t="s">
        <v>231</v>
      </c>
      <c r="C1191" s="348" t="str">
        <f>DATA_PROPERTY_MASTER!$A$8</f>
        <v>BLD_CH</v>
      </c>
      <c r="D1191" s="380">
        <f>'00_PORTFOLIO ROLLUP'!F$12</f>
        <v>2026</v>
      </c>
      <c r="E1191" s="366" t="s">
        <v>1721</v>
      </c>
      <c r="F1191" s="366" t="s">
        <v>39</v>
      </c>
      <c r="G1191" s="348" t="str">
        <f>"'"&amp;$C1191&amp;"'!$E$63:$Y$63"</f>
        <v>'BLD_CH'!$E$63:$Y$63</v>
      </c>
      <c r="H1191" s="381">
        <f ca="1">IF(IFERROR(INDEX(DATA_PROPERTY_MASTER!$E$5:$E$21,MATCH($C1191,DATA_PROPERTY_MASTER!$A$5:$A$21,0))="Yes",FALSE),MAX(-IFERROR(INDEX(INDIRECT("'"&amp;$C1191&amp;"'!$E$63:$Y$63"),1,MATCH($D1191,INDIRECT("'"&amp;$C1191&amp;"'!$E$12:$Y$12"),0)),0),0),0)</f>
        <v>0</v>
      </c>
      <c r="I1191" s="366" t="s">
        <v>1690</v>
      </c>
      <c r="J1191" s="348" t="str">
        <f t="shared" ca="1" si="36"/>
        <v>OK</v>
      </c>
      <c r="K1191" s="366" t="s">
        <v>1738</v>
      </c>
      <c r="L1191" s="366" t="s">
        <v>2260</v>
      </c>
      <c r="M1191" s="350" t="str">
        <f>IF($B1191="Portfolio","Portfolio",IFERROR(INDEX(DATA_ASSET_CLASSIFICATION!$B$8:$B$24,MATCH($C1191,DATA_ASSET_CLASSIFICATION!$A$8:$A$24,0)),"Review"))</f>
        <v>Capilano House</v>
      </c>
      <c r="N1191" s="350" t="str">
        <f ca="1">IF($B1191="Portfolio","Portfolio",IFERROR(INDEX(DATA_ASSET_CLASSIFICATION!$U$8:$U$24,MATCH($C1191,DATA_ASSET_CLASSIFICATION!$A$8:$A$24,0)),"Review"))</f>
        <v>Stable</v>
      </c>
      <c r="O1191" s="350" t="str">
        <f ca="1">IF($B1191="Portfolio","Portfolio",IFERROR(INDEX(DATA_ASSET_CLASSIFICATION!$AB$8:$AB$13,MATCH($N1191,DATA_ASSET_CLASSIFICATION!$AA$8:$AA$13,0)),"Review"))</f>
        <v>Bucket 2 · Legacy</v>
      </c>
      <c r="P1191" s="350" t="str">
        <f>IF($B1191="Portfolio","Portfolio",IFERROR(INDEX(DATA_ASSET_CLASSIFICATION!$C$8:$C$24,MATCH($C1191,DATA_ASSET_CLASSIFICATION!$A$8:$A$24,0)),"Review"))</f>
        <v>Yes</v>
      </c>
      <c r="Q1191" s="350" t="str">
        <f t="shared" ca="1" si="37"/>
        <v>OK</v>
      </c>
    </row>
    <row r="1192" spans="1:17">
      <c r="A1192" s="366" t="s">
        <v>3148</v>
      </c>
      <c r="B1192" s="366" t="s">
        <v>231</v>
      </c>
      <c r="C1192" s="348" t="str">
        <f>DATA_PROPERTY_MASTER!$A$8</f>
        <v>BLD_CH</v>
      </c>
      <c r="D1192" s="380">
        <f>'00_PORTFOLIO ROLLUP'!F$12</f>
        <v>2026</v>
      </c>
      <c r="E1192" s="366" t="s">
        <v>1741</v>
      </c>
      <c r="F1192" s="366" t="s">
        <v>41</v>
      </c>
      <c r="G1192" s="348" t="str">
        <f>"'"&amp;$C1192&amp;"'!rows 56 + positive row 63"</f>
        <v>'BLD_CH'!rows 56 + positive row 63</v>
      </c>
      <c r="H1192" s="381">
        <f ca="1">IF(IFERROR(INDEX(DATA_PROPERTY_MASTER!$E$5:$E$21,MATCH($C1192,DATA_PROPERTY_MASTER!$A$5:$A$21,0))="Yes",FALSE),IFERROR(INDEX(INDIRECT("'"&amp;$C1192&amp;"'!$E$56:$Y$56"),1,MATCH($D1192,INDIRECT("'"&amp;$C1192&amp;"'!$E$12:$Y$12"),0)),0)+MAX(IFERROR(INDEX(INDIRECT("'"&amp;$C1192&amp;"'!$E$63:$Y$63"),1,MATCH($D1192,INDIRECT("'"&amp;$C1192&amp;"'!$E$12:$Y$12"),0)),0),0),0)</f>
        <v>88170.014336000051</v>
      </c>
      <c r="I1192" s="366" t="s">
        <v>1685</v>
      </c>
      <c r="J1192" s="348" t="str">
        <f t="shared" ca="1" si="36"/>
        <v>OK</v>
      </c>
      <c r="K1192" s="366" t="s">
        <v>1742</v>
      </c>
      <c r="L1192" s="366" t="s">
        <v>2262</v>
      </c>
      <c r="M1192" s="350" t="str">
        <f>IF($B1192="Portfolio","Portfolio",IFERROR(INDEX(DATA_ASSET_CLASSIFICATION!$B$8:$B$24,MATCH($C1192,DATA_ASSET_CLASSIFICATION!$A$8:$A$24,0)),"Review"))</f>
        <v>Capilano House</v>
      </c>
      <c r="N1192" s="350" t="str">
        <f ca="1">IF($B1192="Portfolio","Portfolio",IFERROR(INDEX(DATA_ASSET_CLASSIFICATION!$U$8:$U$24,MATCH($C1192,DATA_ASSET_CLASSIFICATION!$A$8:$A$24,0)),"Review"))</f>
        <v>Stable</v>
      </c>
      <c r="O1192" s="350" t="str">
        <f ca="1">IF($B1192="Portfolio","Portfolio",IFERROR(INDEX(DATA_ASSET_CLASSIFICATION!$AB$8:$AB$13,MATCH($N1192,DATA_ASSET_CLASSIFICATION!$AA$8:$AA$13,0)),"Review"))</f>
        <v>Bucket 2 · Legacy</v>
      </c>
      <c r="P1192" s="350" t="str">
        <f>IF($B1192="Portfolio","Portfolio",IFERROR(INDEX(DATA_ASSET_CLASSIFICATION!$C$8:$C$24,MATCH($C1192,DATA_ASSET_CLASSIFICATION!$A$8:$A$24,0)),"Review"))</f>
        <v>Yes</v>
      </c>
      <c r="Q1192" s="350" t="str">
        <f t="shared" ca="1" si="37"/>
        <v>OK</v>
      </c>
    </row>
    <row r="1193" spans="1:17">
      <c r="A1193" s="366" t="s">
        <v>3149</v>
      </c>
      <c r="B1193" s="366" t="s">
        <v>231</v>
      </c>
      <c r="C1193" s="348" t="str">
        <f>DATA_PROPERTY_MASTER!$A$8</f>
        <v>BLD_CH</v>
      </c>
      <c r="D1193" s="380">
        <f>'00_PORTFOLIO ROLLUP'!F$12</f>
        <v>2026</v>
      </c>
      <c r="E1193" s="366" t="s">
        <v>1741</v>
      </c>
      <c r="F1193" s="366" t="s">
        <v>43</v>
      </c>
      <c r="G1193" s="348" t="str">
        <f>"'"&amp;$C1193&amp;"'!$E$68:$Y$68"</f>
        <v>'BLD_CH'!$E$68:$Y$68</v>
      </c>
      <c r="H1193" s="381">
        <f ca="1">IF(IFERROR(INDEX(DATA_PROPERTY_MASTER!$E$5:$E$21,MATCH($C1193,DATA_PROPERTY_MASTER!$A$5:$A$21,0))="Yes",FALSE),IFERROR(INDEX(INDIRECT("'"&amp;$C1193&amp;"'!$E$68:$Y$68"),1,MATCH($D1193,INDIRECT("'"&amp;$C1193&amp;"'!$E$12:$Y$12"),0)),0),0)</f>
        <v>88170.014336000051</v>
      </c>
      <c r="I1193" s="366" t="s">
        <v>1731</v>
      </c>
      <c r="J1193" s="348" t="str">
        <f t="shared" ca="1" si="36"/>
        <v>OK</v>
      </c>
      <c r="K1193" s="366" t="s">
        <v>1746</v>
      </c>
      <c r="L1193" s="366" t="s">
        <v>2264</v>
      </c>
      <c r="M1193" s="350" t="str">
        <f>IF($B1193="Portfolio","Portfolio",IFERROR(INDEX(DATA_ASSET_CLASSIFICATION!$B$8:$B$24,MATCH($C1193,DATA_ASSET_CLASSIFICATION!$A$8:$A$24,0)),"Review"))</f>
        <v>Capilano House</v>
      </c>
      <c r="N1193" s="350" t="str">
        <f ca="1">IF($B1193="Portfolio","Portfolio",IFERROR(INDEX(DATA_ASSET_CLASSIFICATION!$U$8:$U$24,MATCH($C1193,DATA_ASSET_CLASSIFICATION!$A$8:$A$24,0)),"Review"))</f>
        <v>Stable</v>
      </c>
      <c r="O1193" s="350" t="str">
        <f ca="1">IF($B1193="Portfolio","Portfolio",IFERROR(INDEX(DATA_ASSET_CLASSIFICATION!$AB$8:$AB$13,MATCH($N1193,DATA_ASSET_CLASSIFICATION!$AA$8:$AA$13,0)),"Review"))</f>
        <v>Bucket 2 · Legacy</v>
      </c>
      <c r="P1193" s="350" t="str">
        <f>IF($B1193="Portfolio","Portfolio",IFERROR(INDEX(DATA_ASSET_CLASSIFICATION!$C$8:$C$24,MATCH($C1193,DATA_ASSET_CLASSIFICATION!$A$8:$A$24,0)),"Review"))</f>
        <v>Yes</v>
      </c>
      <c r="Q1193" s="350" t="str">
        <f t="shared" ca="1" si="37"/>
        <v>OK</v>
      </c>
    </row>
    <row r="1194" spans="1:17">
      <c r="A1194" s="366" t="s">
        <v>3150</v>
      </c>
      <c r="B1194" s="366" t="s">
        <v>231</v>
      </c>
      <c r="C1194" s="348" t="str">
        <f>DATA_PROPERTY_MASTER!$A$8</f>
        <v>BLD_CH</v>
      </c>
      <c r="D1194" s="380">
        <f>'00_PORTFOLIO ROLLUP'!F$12</f>
        <v>2026</v>
      </c>
      <c r="E1194" s="366" t="s">
        <v>1741</v>
      </c>
      <c r="F1194" s="366" t="s">
        <v>1749</v>
      </c>
      <c r="G1194" s="348" t="str">
        <f>"'"&amp;$C1194&amp;"'!rows 56, 63, 68"</f>
        <v>'BLD_CH'!rows 56, 63, 68</v>
      </c>
      <c r="H1194" s="381">
        <f ca="1">IF(IFERROR(INDEX(DATA_PROPERTY_MASTER!$E$5:$E$21,MATCH($C1194,DATA_PROPERTY_MASTER!$A$5:$A$21,0))="Yes",FALSE),(IFERROR(INDEX(INDIRECT("'"&amp;$C1194&amp;"'!$E$56:$Y$56"),1,MATCH($D1194,INDIRECT("'"&amp;$C1194&amp;"'!$E$12:$Y$12"),0)),0)+MAX(IFERROR(INDEX(INDIRECT("'"&amp;$C1194&amp;"'!$E$63:$Y$63"),1,MATCH($D1194,INDIRECT("'"&amp;$C1194&amp;"'!$E$12:$Y$12"),0)),0),0))-(IFERROR(INDEX(INDIRECT("'"&amp;$C1194&amp;"'!$E$68:$Y$68"),1,MATCH($D1194,INDIRECT("'"&amp;$C1194&amp;"'!$E$12:$Y$12"),0)),0)),0)</f>
        <v>0</v>
      </c>
      <c r="I1194" s="366" t="s">
        <v>1750</v>
      </c>
      <c r="J1194" s="348" t="str">
        <f t="shared" ca="1" si="36"/>
        <v>OK</v>
      </c>
      <c r="K1194" s="366" t="s">
        <v>1751</v>
      </c>
      <c r="L1194" s="366" t="s">
        <v>2266</v>
      </c>
      <c r="M1194" s="350" t="str">
        <f>IF($B1194="Portfolio","Portfolio",IFERROR(INDEX(DATA_ASSET_CLASSIFICATION!$B$8:$B$24,MATCH($C1194,DATA_ASSET_CLASSIFICATION!$A$8:$A$24,0)),"Review"))</f>
        <v>Capilano House</v>
      </c>
      <c r="N1194" s="350" t="str">
        <f ca="1">IF($B1194="Portfolio","Portfolio",IFERROR(INDEX(DATA_ASSET_CLASSIFICATION!$U$8:$U$24,MATCH($C1194,DATA_ASSET_CLASSIFICATION!$A$8:$A$24,0)),"Review"))</f>
        <v>Stable</v>
      </c>
      <c r="O1194" s="350" t="str">
        <f ca="1">IF($B1194="Portfolio","Portfolio",IFERROR(INDEX(DATA_ASSET_CLASSIFICATION!$AB$8:$AB$13,MATCH($N1194,DATA_ASSET_CLASSIFICATION!$AA$8:$AA$13,0)),"Review"))</f>
        <v>Bucket 2 · Legacy</v>
      </c>
      <c r="P1194" s="350" t="str">
        <f>IF($B1194="Portfolio","Portfolio",IFERROR(INDEX(DATA_ASSET_CLASSIFICATION!$C$8:$C$24,MATCH($C1194,DATA_ASSET_CLASSIFICATION!$A$8:$A$24,0)),"Review"))</f>
        <v>Yes</v>
      </c>
      <c r="Q1194" s="350" t="str">
        <f t="shared" ca="1" si="37"/>
        <v>OK</v>
      </c>
    </row>
    <row r="1195" spans="1:17">
      <c r="A1195" s="366" t="s">
        <v>3151</v>
      </c>
      <c r="B1195" s="366" t="s">
        <v>231</v>
      </c>
      <c r="C1195" s="348" t="str">
        <f>DATA_PROPERTY_MASTER!$A$8</f>
        <v>BLD_CH</v>
      </c>
      <c r="D1195" s="380">
        <f>'00_PORTFOLIO ROLLUP'!G$12</f>
        <v>2027</v>
      </c>
      <c r="E1195" s="366" t="s">
        <v>1683</v>
      </c>
      <c r="F1195" s="366" t="s">
        <v>341</v>
      </c>
      <c r="G1195" s="348" t="str">
        <f>"'"&amp;$C1195&amp;"'!$E$24:$Y$24"</f>
        <v>'BLD_CH'!$E$24:$Y$24</v>
      </c>
      <c r="H1195" s="381">
        <f ca="1">IF(IFERROR(INDEX(DATA_PROPERTY_MASTER!$E$5:$E$21,MATCH($C1195,DATA_PROPERTY_MASTER!$A$5:$A$21,0))="Yes",FALSE),IFERROR(INDEX(INDIRECT("'"&amp;$C1195&amp;"'!$E$24:$Y$24"),1,MATCH($D1195,INDIRECT("'"&amp;$C1195&amp;"'!$E$12:$Y$12"),0)),0),0)</f>
        <v>1004600.7349056</v>
      </c>
      <c r="I1195" s="366" t="s">
        <v>1685</v>
      </c>
      <c r="J1195" s="348" t="str">
        <f t="shared" ca="1" si="36"/>
        <v>OK</v>
      </c>
      <c r="K1195" s="366" t="s">
        <v>1686</v>
      </c>
      <c r="L1195" s="366" t="s">
        <v>2234</v>
      </c>
      <c r="M1195" s="350" t="str">
        <f>IF($B1195="Portfolio","Portfolio",IFERROR(INDEX(DATA_ASSET_CLASSIFICATION!$B$8:$B$24,MATCH($C1195,DATA_ASSET_CLASSIFICATION!$A$8:$A$24,0)),"Review"))</f>
        <v>Capilano House</v>
      </c>
      <c r="N1195" s="350" t="str">
        <f ca="1">IF($B1195="Portfolio","Portfolio",IFERROR(INDEX(DATA_ASSET_CLASSIFICATION!$U$8:$U$24,MATCH($C1195,DATA_ASSET_CLASSIFICATION!$A$8:$A$24,0)),"Review"))</f>
        <v>Stable</v>
      </c>
      <c r="O1195" s="350" t="str">
        <f ca="1">IF($B1195="Portfolio","Portfolio",IFERROR(INDEX(DATA_ASSET_CLASSIFICATION!$AB$8:$AB$13,MATCH($N1195,DATA_ASSET_CLASSIFICATION!$AA$8:$AA$13,0)),"Review"))</f>
        <v>Bucket 2 · Legacy</v>
      </c>
      <c r="P1195" s="350" t="str">
        <f>IF($B1195="Portfolio","Portfolio",IFERROR(INDEX(DATA_ASSET_CLASSIFICATION!$C$8:$C$24,MATCH($C1195,DATA_ASSET_CLASSIFICATION!$A$8:$A$24,0)),"Review"))</f>
        <v>Yes</v>
      </c>
      <c r="Q1195" s="350" t="str">
        <f t="shared" ca="1" si="37"/>
        <v>OK</v>
      </c>
    </row>
    <row r="1196" spans="1:17">
      <c r="A1196" s="366" t="s">
        <v>3152</v>
      </c>
      <c r="B1196" s="366" t="s">
        <v>231</v>
      </c>
      <c r="C1196" s="348" t="str">
        <f>DATA_PROPERTY_MASTER!$A$8</f>
        <v>BLD_CH</v>
      </c>
      <c r="D1196" s="380">
        <f>'00_PORTFOLIO ROLLUP'!G$12</f>
        <v>2027</v>
      </c>
      <c r="E1196" s="366" t="s">
        <v>1683</v>
      </c>
      <c r="F1196" s="366" t="s">
        <v>355</v>
      </c>
      <c r="G1196" s="348" t="str">
        <f>"'"&amp;$C1196&amp;"'!$E$39:$Y$39"</f>
        <v>'BLD_CH'!$E$39:$Y$39</v>
      </c>
      <c r="H1196" s="381">
        <f ca="1">IF(IFERROR(INDEX(DATA_PROPERTY_MASTER!$E$5:$E$21,MATCH($C1196,DATA_PROPERTY_MASTER!$A$5:$A$21,0))="Yes",FALSE),IFERROR(INDEX(INDIRECT("'"&amp;$C1196&amp;"'!$E$39:$Y$39"),1,MATCH($D1196,INDIRECT("'"&amp;$C1196&amp;"'!$E$12:$Y$12"),0)),0),0)</f>
        <v>528625.51040000003</v>
      </c>
      <c r="I1196" s="366" t="s">
        <v>1690</v>
      </c>
      <c r="J1196" s="348" t="str">
        <f t="shared" ca="1" si="36"/>
        <v>OK</v>
      </c>
      <c r="K1196" s="366" t="s">
        <v>1686</v>
      </c>
      <c r="L1196" s="366" t="s">
        <v>2236</v>
      </c>
      <c r="M1196" s="350" t="str">
        <f>IF($B1196="Portfolio","Portfolio",IFERROR(INDEX(DATA_ASSET_CLASSIFICATION!$B$8:$B$24,MATCH($C1196,DATA_ASSET_CLASSIFICATION!$A$8:$A$24,0)),"Review"))</f>
        <v>Capilano House</v>
      </c>
      <c r="N1196" s="350" t="str">
        <f ca="1">IF($B1196="Portfolio","Portfolio",IFERROR(INDEX(DATA_ASSET_CLASSIFICATION!$U$8:$U$24,MATCH($C1196,DATA_ASSET_CLASSIFICATION!$A$8:$A$24,0)),"Review"))</f>
        <v>Stable</v>
      </c>
      <c r="O1196" s="350" t="str">
        <f ca="1">IF($B1196="Portfolio","Portfolio",IFERROR(INDEX(DATA_ASSET_CLASSIFICATION!$AB$8:$AB$13,MATCH($N1196,DATA_ASSET_CLASSIFICATION!$AA$8:$AA$13,0)),"Review"))</f>
        <v>Bucket 2 · Legacy</v>
      </c>
      <c r="P1196" s="350" t="str">
        <f>IF($B1196="Portfolio","Portfolio",IFERROR(INDEX(DATA_ASSET_CLASSIFICATION!$C$8:$C$24,MATCH($C1196,DATA_ASSET_CLASSIFICATION!$A$8:$A$24,0)),"Review"))</f>
        <v>Yes</v>
      </c>
      <c r="Q1196" s="350" t="str">
        <f t="shared" ca="1" si="37"/>
        <v>OK</v>
      </c>
    </row>
    <row r="1197" spans="1:17">
      <c r="A1197" s="366" t="s">
        <v>3153</v>
      </c>
      <c r="B1197" s="366" t="s">
        <v>231</v>
      </c>
      <c r="C1197" s="348" t="str">
        <f>DATA_PROPERTY_MASTER!$A$8</f>
        <v>BLD_CH</v>
      </c>
      <c r="D1197" s="380">
        <f>'00_PORTFOLIO ROLLUP'!G$12</f>
        <v>2027</v>
      </c>
      <c r="E1197" s="366" t="s">
        <v>1683</v>
      </c>
      <c r="F1197" s="366" t="s">
        <v>19</v>
      </c>
      <c r="G1197" s="348" t="str">
        <f>"'"&amp;$C1197&amp;"'!$E$41:$Y$41"</f>
        <v>'BLD_CH'!$E$41:$Y$41</v>
      </c>
      <c r="H1197" s="381">
        <f ca="1">IF(IFERROR(INDEX(DATA_PROPERTY_MASTER!$E$5:$E$21,MATCH($C1197,DATA_PROPERTY_MASTER!$A$5:$A$21,0))="Yes",FALSE),IFERROR(INDEX(INDIRECT("'"&amp;$C1197&amp;"'!$E$41:$Y$41"),1,MATCH($D1197,INDIRECT("'"&amp;$C1197&amp;"'!$E$12:$Y$12"),0)),0),0)</f>
        <v>475975.22450559994</v>
      </c>
      <c r="I1197" s="366" t="s">
        <v>1685</v>
      </c>
      <c r="J1197" s="348" t="str">
        <f t="shared" ca="1" si="36"/>
        <v>OK</v>
      </c>
      <c r="K1197" s="366" t="s">
        <v>1694</v>
      </c>
      <c r="L1197" s="366" t="s">
        <v>2238</v>
      </c>
      <c r="M1197" s="350" t="str">
        <f>IF($B1197="Portfolio","Portfolio",IFERROR(INDEX(DATA_ASSET_CLASSIFICATION!$B$8:$B$24,MATCH($C1197,DATA_ASSET_CLASSIFICATION!$A$8:$A$24,0)),"Review"))</f>
        <v>Capilano House</v>
      </c>
      <c r="N1197" s="350" t="str">
        <f ca="1">IF($B1197="Portfolio","Portfolio",IFERROR(INDEX(DATA_ASSET_CLASSIFICATION!$U$8:$U$24,MATCH($C1197,DATA_ASSET_CLASSIFICATION!$A$8:$A$24,0)),"Review"))</f>
        <v>Stable</v>
      </c>
      <c r="O1197" s="350" t="str">
        <f ca="1">IF($B1197="Portfolio","Portfolio",IFERROR(INDEX(DATA_ASSET_CLASSIFICATION!$AB$8:$AB$13,MATCH($N1197,DATA_ASSET_CLASSIFICATION!$AA$8:$AA$13,0)),"Review"))</f>
        <v>Bucket 2 · Legacy</v>
      </c>
      <c r="P1197" s="350" t="str">
        <f>IF($B1197="Portfolio","Portfolio",IFERROR(INDEX(DATA_ASSET_CLASSIFICATION!$C$8:$C$24,MATCH($C1197,DATA_ASSET_CLASSIFICATION!$A$8:$A$24,0)),"Review"))</f>
        <v>Yes</v>
      </c>
      <c r="Q1197" s="350" t="str">
        <f t="shared" ca="1" si="37"/>
        <v>OK</v>
      </c>
    </row>
    <row r="1198" spans="1:17">
      <c r="A1198" s="366" t="s">
        <v>3154</v>
      </c>
      <c r="B1198" s="366" t="s">
        <v>231</v>
      </c>
      <c r="C1198" s="348" t="str">
        <f>DATA_PROPERTY_MASTER!$A$8</f>
        <v>BLD_CH</v>
      </c>
      <c r="D1198" s="380">
        <f>'00_PORTFOLIO ROLLUP'!G$12</f>
        <v>2027</v>
      </c>
      <c r="E1198" s="366" t="s">
        <v>1683</v>
      </c>
      <c r="F1198" s="366" t="s">
        <v>1697</v>
      </c>
      <c r="G1198" s="348" t="str">
        <f>"'"&amp;$C1198&amp;"'!$E$44:$Y$44"</f>
        <v>'BLD_CH'!$E$44:$Y$44</v>
      </c>
      <c r="H1198" s="381">
        <f ca="1">IF(IFERROR(INDEX(DATA_PROPERTY_MASTER!$E$5:$E$21,MATCH($C1198,DATA_PROPERTY_MASTER!$A$5:$A$21,0))="Yes",FALSE),IFERROR(INDEX(INDIRECT("'"&amp;$C1198&amp;"'!$E$44:$Y$44"),1,MATCH($D1198,INDIRECT("'"&amp;$C1198&amp;"'!$E$12:$Y$12"),0)),0),0)</f>
        <v>9987.84</v>
      </c>
      <c r="I1198" s="366" t="s">
        <v>1690</v>
      </c>
      <c r="J1198" s="348" t="str">
        <f t="shared" ca="1" si="36"/>
        <v>OK</v>
      </c>
      <c r="K1198" s="366" t="s">
        <v>1699</v>
      </c>
      <c r="L1198" s="366" t="s">
        <v>2240</v>
      </c>
      <c r="M1198" s="350" t="str">
        <f>IF($B1198="Portfolio","Portfolio",IFERROR(INDEX(DATA_ASSET_CLASSIFICATION!$B$8:$B$24,MATCH($C1198,DATA_ASSET_CLASSIFICATION!$A$8:$A$24,0)),"Review"))</f>
        <v>Capilano House</v>
      </c>
      <c r="N1198" s="350" t="str">
        <f ca="1">IF($B1198="Portfolio","Portfolio",IFERROR(INDEX(DATA_ASSET_CLASSIFICATION!$U$8:$U$24,MATCH($C1198,DATA_ASSET_CLASSIFICATION!$A$8:$A$24,0)),"Review"))</f>
        <v>Stable</v>
      </c>
      <c r="O1198" s="350" t="str">
        <f ca="1">IF($B1198="Portfolio","Portfolio",IFERROR(INDEX(DATA_ASSET_CLASSIFICATION!$AB$8:$AB$13,MATCH($N1198,DATA_ASSET_CLASSIFICATION!$AA$8:$AA$13,0)),"Review"))</f>
        <v>Bucket 2 · Legacy</v>
      </c>
      <c r="P1198" s="350" t="str">
        <f>IF($B1198="Portfolio","Portfolio",IFERROR(INDEX(DATA_ASSET_CLASSIFICATION!$C$8:$C$24,MATCH($C1198,DATA_ASSET_CLASSIFICATION!$A$8:$A$24,0)),"Review"))</f>
        <v>Yes</v>
      </c>
      <c r="Q1198" s="350" t="str">
        <f t="shared" ca="1" si="37"/>
        <v>OK</v>
      </c>
    </row>
    <row r="1199" spans="1:17">
      <c r="A1199" s="366" t="s">
        <v>3155</v>
      </c>
      <c r="B1199" s="366" t="s">
        <v>231</v>
      </c>
      <c r="C1199" s="348" t="str">
        <f>DATA_PROPERTY_MASTER!$A$8</f>
        <v>BLD_CH</v>
      </c>
      <c r="D1199" s="380">
        <f>'00_PORTFOLIO ROLLUP'!G$12</f>
        <v>2027</v>
      </c>
      <c r="E1199" s="366" t="s">
        <v>1683</v>
      </c>
      <c r="F1199" s="366" t="s">
        <v>21</v>
      </c>
      <c r="G1199" s="348" t="str">
        <f>"'"&amp;$C1199&amp;"'!$E$45:$Y$45"</f>
        <v>'BLD_CH'!$E$45:$Y$45</v>
      </c>
      <c r="H1199" s="381">
        <f ca="1">IF(IFERROR(INDEX(DATA_PROPERTY_MASTER!$E$5:$E$21,MATCH($C1199,DATA_PROPERTY_MASTER!$A$5:$A$21,0))="Yes",FALSE),IFERROR(INDEX(INDIRECT("'"&amp;$C1199&amp;"'!$E$45:$Y$45"),1,MATCH($D1199,INDIRECT("'"&amp;$C1199&amp;"'!$E$12:$Y$12"),0)),0),0)</f>
        <v>465987.38450559991</v>
      </c>
      <c r="I1199" s="366" t="s">
        <v>1685</v>
      </c>
      <c r="J1199" s="348" t="str">
        <f t="shared" ca="1" si="36"/>
        <v>OK</v>
      </c>
      <c r="K1199" s="366" t="s">
        <v>1694</v>
      </c>
      <c r="L1199" s="366" t="s">
        <v>2242</v>
      </c>
      <c r="M1199" s="350" t="str">
        <f>IF($B1199="Portfolio","Portfolio",IFERROR(INDEX(DATA_ASSET_CLASSIFICATION!$B$8:$B$24,MATCH($C1199,DATA_ASSET_CLASSIFICATION!$A$8:$A$24,0)),"Review"))</f>
        <v>Capilano House</v>
      </c>
      <c r="N1199" s="350" t="str">
        <f ca="1">IF($B1199="Portfolio","Portfolio",IFERROR(INDEX(DATA_ASSET_CLASSIFICATION!$U$8:$U$24,MATCH($C1199,DATA_ASSET_CLASSIFICATION!$A$8:$A$24,0)),"Review"))</f>
        <v>Stable</v>
      </c>
      <c r="O1199" s="350" t="str">
        <f ca="1">IF($B1199="Portfolio","Portfolio",IFERROR(INDEX(DATA_ASSET_CLASSIFICATION!$AB$8:$AB$13,MATCH($N1199,DATA_ASSET_CLASSIFICATION!$AA$8:$AA$13,0)),"Review"))</f>
        <v>Bucket 2 · Legacy</v>
      </c>
      <c r="P1199" s="350" t="str">
        <f>IF($B1199="Portfolio","Portfolio",IFERROR(INDEX(DATA_ASSET_CLASSIFICATION!$C$8:$C$24,MATCH($C1199,DATA_ASSET_CLASSIFICATION!$A$8:$A$24,0)),"Review"))</f>
        <v>Yes</v>
      </c>
      <c r="Q1199" s="350" t="str">
        <f t="shared" ca="1" si="37"/>
        <v>OK</v>
      </c>
    </row>
    <row r="1200" spans="1:17">
      <c r="A1200" s="366" t="s">
        <v>3156</v>
      </c>
      <c r="B1200" s="366" t="s">
        <v>231</v>
      </c>
      <c r="C1200" s="348" t="str">
        <f>DATA_PROPERTY_MASTER!$A$8</f>
        <v>BLD_CH</v>
      </c>
      <c r="D1200" s="380">
        <f>'00_PORTFOLIO ROLLUP'!G$12</f>
        <v>2027</v>
      </c>
      <c r="E1200" s="366" t="s">
        <v>23</v>
      </c>
      <c r="F1200" s="366" t="s">
        <v>23</v>
      </c>
      <c r="G1200" s="348" t="str">
        <f>"'"&amp;$C1200&amp;"'!$E$48:$Y$48"</f>
        <v>'BLD_CH'!$E$48:$Y$48</v>
      </c>
      <c r="H1200" s="381">
        <f ca="1">IF(IFERROR(INDEX(DATA_PROPERTY_MASTER!$E$5:$E$21,MATCH($C1200,DATA_PROPERTY_MASTER!$A$5:$A$21,0))="Yes",FALSE),IFERROR(INDEX(INDIRECT("'"&amp;$C1200&amp;"'!$E$48:$Y$48"),1,MATCH($D1200,INDIRECT("'"&amp;$C1200&amp;"'!$E$12:$Y$12"),0)),0),0)</f>
        <v>0</v>
      </c>
      <c r="I1200" s="366" t="s">
        <v>1690</v>
      </c>
      <c r="J1200" s="348" t="str">
        <f t="shared" ca="1" si="36"/>
        <v>OK</v>
      </c>
      <c r="K1200" s="366" t="s">
        <v>1706</v>
      </c>
      <c r="L1200" s="366" t="s">
        <v>2244</v>
      </c>
      <c r="M1200" s="350" t="str">
        <f>IF($B1200="Portfolio","Portfolio",IFERROR(INDEX(DATA_ASSET_CLASSIFICATION!$B$8:$B$24,MATCH($C1200,DATA_ASSET_CLASSIFICATION!$A$8:$A$24,0)),"Review"))</f>
        <v>Capilano House</v>
      </c>
      <c r="N1200" s="350" t="str">
        <f ca="1">IF($B1200="Portfolio","Portfolio",IFERROR(INDEX(DATA_ASSET_CLASSIFICATION!$U$8:$U$24,MATCH($C1200,DATA_ASSET_CLASSIFICATION!$A$8:$A$24,0)),"Review"))</f>
        <v>Stable</v>
      </c>
      <c r="O1200" s="350" t="str">
        <f ca="1">IF($B1200="Portfolio","Portfolio",IFERROR(INDEX(DATA_ASSET_CLASSIFICATION!$AB$8:$AB$13,MATCH($N1200,DATA_ASSET_CLASSIFICATION!$AA$8:$AA$13,0)),"Review"))</f>
        <v>Bucket 2 · Legacy</v>
      </c>
      <c r="P1200" s="350" t="str">
        <f>IF($B1200="Portfolio","Portfolio",IFERROR(INDEX(DATA_ASSET_CLASSIFICATION!$C$8:$C$24,MATCH($C1200,DATA_ASSET_CLASSIFICATION!$A$8:$A$24,0)),"Review"))</f>
        <v>Yes</v>
      </c>
      <c r="Q1200" s="350" t="str">
        <f t="shared" ca="1" si="37"/>
        <v>OK</v>
      </c>
    </row>
    <row r="1201" spans="1:17">
      <c r="A1201" s="366" t="s">
        <v>3157</v>
      </c>
      <c r="B1201" s="366" t="s">
        <v>231</v>
      </c>
      <c r="C1201" s="348" t="str">
        <f>DATA_PROPERTY_MASTER!$A$8</f>
        <v>BLD_CH</v>
      </c>
      <c r="D1201" s="380">
        <f>'00_PORTFOLIO ROLLUP'!G$12</f>
        <v>2027</v>
      </c>
      <c r="E1201" s="366" t="s">
        <v>1683</v>
      </c>
      <c r="F1201" s="366" t="s">
        <v>25</v>
      </c>
      <c r="G1201" s="348" t="str">
        <f>"'"&amp;$C1201&amp;"'!$E$52:$Y$52"</f>
        <v>'BLD_CH'!$E$52:$Y$52</v>
      </c>
      <c r="H1201" s="381">
        <f ca="1">IF(IFERROR(INDEX(DATA_PROPERTY_MASTER!$E$5:$E$21,MATCH($C1201,DATA_PROPERTY_MASTER!$A$5:$A$21,0))="Yes",FALSE),IFERROR(INDEX(INDIRECT("'"&amp;$C1201&amp;"'!$E$52:$Y$52"),1,MATCH($D1201,INDIRECT("'"&amp;$C1201&amp;"'!$E$12:$Y$12"),0)),0),0)</f>
        <v>475975.22450559994</v>
      </c>
      <c r="I1201" s="366" t="s">
        <v>1685</v>
      </c>
      <c r="J1201" s="348" t="str">
        <f t="shared" ca="1" si="36"/>
        <v>OK</v>
      </c>
      <c r="K1201" s="366" t="s">
        <v>1710</v>
      </c>
      <c r="L1201" s="366" t="s">
        <v>2246</v>
      </c>
      <c r="M1201" s="350" t="str">
        <f>IF($B1201="Portfolio","Portfolio",IFERROR(INDEX(DATA_ASSET_CLASSIFICATION!$B$8:$B$24,MATCH($C1201,DATA_ASSET_CLASSIFICATION!$A$8:$A$24,0)),"Review"))</f>
        <v>Capilano House</v>
      </c>
      <c r="N1201" s="350" t="str">
        <f ca="1">IF($B1201="Portfolio","Portfolio",IFERROR(INDEX(DATA_ASSET_CLASSIFICATION!$U$8:$U$24,MATCH($C1201,DATA_ASSET_CLASSIFICATION!$A$8:$A$24,0)),"Review"))</f>
        <v>Stable</v>
      </c>
      <c r="O1201" s="350" t="str">
        <f ca="1">IF($B1201="Portfolio","Portfolio",IFERROR(INDEX(DATA_ASSET_CLASSIFICATION!$AB$8:$AB$13,MATCH($N1201,DATA_ASSET_CLASSIFICATION!$AA$8:$AA$13,0)),"Review"))</f>
        <v>Bucket 2 · Legacy</v>
      </c>
      <c r="P1201" s="350" t="str">
        <f>IF($B1201="Portfolio","Portfolio",IFERROR(INDEX(DATA_ASSET_CLASSIFICATION!$C$8:$C$24,MATCH($C1201,DATA_ASSET_CLASSIFICATION!$A$8:$A$24,0)),"Review"))</f>
        <v>Yes</v>
      </c>
      <c r="Q1201" s="350" t="str">
        <f t="shared" ca="1" si="37"/>
        <v>OK</v>
      </c>
    </row>
    <row r="1202" spans="1:17">
      <c r="A1202" s="366" t="s">
        <v>3158</v>
      </c>
      <c r="B1202" s="366" t="s">
        <v>231</v>
      </c>
      <c r="C1202" s="348" t="str">
        <f>DATA_PROPERTY_MASTER!$A$8</f>
        <v>BLD_CH</v>
      </c>
      <c r="D1202" s="380">
        <f>'00_PORTFOLIO ROLLUP'!G$12</f>
        <v>2027</v>
      </c>
      <c r="E1202" s="366" t="s">
        <v>1683</v>
      </c>
      <c r="F1202" s="366" t="s">
        <v>27</v>
      </c>
      <c r="G1202" s="348" t="str">
        <f>"'"&amp;$C1202&amp;"'!$E$54:$Y$54"</f>
        <v>'BLD_CH'!$E$54:$Y$54</v>
      </c>
      <c r="H1202" s="381">
        <f ca="1">IF(IFERROR(INDEX(DATA_PROPERTY_MASTER!$E$5:$E$21,MATCH($C1202,DATA_PROPERTY_MASTER!$A$5:$A$21,0))="Yes",FALSE),IFERROR(INDEX(INDIRECT("'"&amp;$C1202&amp;"'!$E$54:$Y$54"),1,MATCH($D1202,INDIRECT("'"&amp;$C1202&amp;"'!$E$12:$Y$12"),0)),0),0)</f>
        <v>285585.13470335997</v>
      </c>
      <c r="I1202" s="366" t="s">
        <v>1690</v>
      </c>
      <c r="J1202" s="348" t="str">
        <f t="shared" ca="1" si="36"/>
        <v>OK</v>
      </c>
      <c r="K1202" s="366" t="s">
        <v>1714</v>
      </c>
      <c r="L1202" s="366" t="s">
        <v>2248</v>
      </c>
      <c r="M1202" s="350" t="str">
        <f>IF($B1202="Portfolio","Portfolio",IFERROR(INDEX(DATA_ASSET_CLASSIFICATION!$B$8:$B$24,MATCH($C1202,DATA_ASSET_CLASSIFICATION!$A$8:$A$24,0)),"Review"))</f>
        <v>Capilano House</v>
      </c>
      <c r="N1202" s="350" t="str">
        <f ca="1">IF($B1202="Portfolio","Portfolio",IFERROR(INDEX(DATA_ASSET_CLASSIFICATION!$U$8:$U$24,MATCH($C1202,DATA_ASSET_CLASSIFICATION!$A$8:$A$24,0)),"Review"))</f>
        <v>Stable</v>
      </c>
      <c r="O1202" s="350" t="str">
        <f ca="1">IF($B1202="Portfolio","Portfolio",IFERROR(INDEX(DATA_ASSET_CLASSIFICATION!$AB$8:$AB$13,MATCH($N1202,DATA_ASSET_CLASSIFICATION!$AA$8:$AA$13,0)),"Review"))</f>
        <v>Bucket 2 · Legacy</v>
      </c>
      <c r="P1202" s="350" t="str">
        <f>IF($B1202="Portfolio","Portfolio",IFERROR(INDEX(DATA_ASSET_CLASSIFICATION!$C$8:$C$24,MATCH($C1202,DATA_ASSET_CLASSIFICATION!$A$8:$A$24,0)),"Review"))</f>
        <v>Yes</v>
      </c>
      <c r="Q1202" s="350" t="str">
        <f t="shared" ca="1" si="37"/>
        <v>OK</v>
      </c>
    </row>
    <row r="1203" spans="1:17">
      <c r="A1203" s="366" t="s">
        <v>3159</v>
      </c>
      <c r="B1203" s="366" t="s">
        <v>231</v>
      </c>
      <c r="C1203" s="348" t="str">
        <f>DATA_PROPERTY_MASTER!$A$8</f>
        <v>BLD_CH</v>
      </c>
      <c r="D1203" s="380">
        <f>'00_PORTFOLIO ROLLUP'!G$12</f>
        <v>2027</v>
      </c>
      <c r="E1203" s="366" t="s">
        <v>1683</v>
      </c>
      <c r="F1203" s="366" t="s">
        <v>29</v>
      </c>
      <c r="G1203" s="348" t="str">
        <f>"'"&amp;$C1203&amp;"'!$E$56:$Y$56"</f>
        <v>'BLD_CH'!$E$56:$Y$56</v>
      </c>
      <c r="H1203" s="381">
        <f ca="1">IF(IFERROR(INDEX(DATA_PROPERTY_MASTER!$E$5:$E$21,MATCH($C1203,DATA_PROPERTY_MASTER!$A$5:$A$21,0))="Yes",FALSE),IFERROR(INDEX(INDIRECT("'"&amp;$C1203&amp;"'!$E$56:$Y$56"),1,MATCH($D1203,INDIRECT("'"&amp;$C1203&amp;"'!$E$12:$Y$12"),0)),0),0)</f>
        <v>190390.08980223996</v>
      </c>
      <c r="I1203" s="366" t="s">
        <v>1685</v>
      </c>
      <c r="J1203" s="348" t="str">
        <f t="shared" ca="1" si="36"/>
        <v>OK</v>
      </c>
      <c r="K1203" s="366" t="s">
        <v>1718</v>
      </c>
      <c r="L1203" s="366" t="s">
        <v>2250</v>
      </c>
      <c r="M1203" s="350" t="str">
        <f>IF($B1203="Portfolio","Portfolio",IFERROR(INDEX(DATA_ASSET_CLASSIFICATION!$B$8:$B$24,MATCH($C1203,DATA_ASSET_CLASSIFICATION!$A$8:$A$24,0)),"Review"))</f>
        <v>Capilano House</v>
      </c>
      <c r="N1203" s="350" t="str">
        <f ca="1">IF($B1203="Portfolio","Portfolio",IFERROR(INDEX(DATA_ASSET_CLASSIFICATION!$U$8:$U$24,MATCH($C1203,DATA_ASSET_CLASSIFICATION!$A$8:$A$24,0)),"Review"))</f>
        <v>Stable</v>
      </c>
      <c r="O1203" s="350" t="str">
        <f ca="1">IF($B1203="Portfolio","Portfolio",IFERROR(INDEX(DATA_ASSET_CLASSIFICATION!$AB$8:$AB$13,MATCH($N1203,DATA_ASSET_CLASSIFICATION!$AA$8:$AA$13,0)),"Review"))</f>
        <v>Bucket 2 · Legacy</v>
      </c>
      <c r="P1203" s="350" t="str">
        <f>IF($B1203="Portfolio","Portfolio",IFERROR(INDEX(DATA_ASSET_CLASSIFICATION!$C$8:$C$24,MATCH($C1203,DATA_ASSET_CLASSIFICATION!$A$8:$A$24,0)),"Review"))</f>
        <v>Yes</v>
      </c>
      <c r="Q1203" s="350" t="str">
        <f t="shared" ca="1" si="37"/>
        <v>OK</v>
      </c>
    </row>
    <row r="1204" spans="1:17">
      <c r="A1204" s="366" t="s">
        <v>3160</v>
      </c>
      <c r="B1204" s="366" t="s">
        <v>231</v>
      </c>
      <c r="C1204" s="348" t="str">
        <f>DATA_PROPERTY_MASTER!$A$8</f>
        <v>BLD_CH</v>
      </c>
      <c r="D1204" s="380">
        <f>'00_PORTFOLIO ROLLUP'!G$12</f>
        <v>2027</v>
      </c>
      <c r="E1204" s="366" t="s">
        <v>1721</v>
      </c>
      <c r="F1204" s="366" t="s">
        <v>31</v>
      </c>
      <c r="G1204" s="348" t="str">
        <f>"'"&amp;$C1204&amp;"'!$E$61:$Y$61"</f>
        <v>'BLD_CH'!$E$61:$Y$61</v>
      </c>
      <c r="H1204" s="381">
        <f ca="1">IF(IFERROR(INDEX(DATA_PROPERTY_MASTER!$E$5:$E$21,MATCH($C1204,DATA_PROPERTY_MASTER!$A$5:$A$21,0))="Yes",FALSE),IFERROR(INDEX(INDIRECT("'"&amp;$C1204&amp;"'!$E$61:$Y$61"),1,MATCH($D1204,INDIRECT("'"&amp;$C1204&amp;"'!$E$12:$Y$12"),0)),0),0)</f>
        <v>0</v>
      </c>
      <c r="I1204" s="366" t="s">
        <v>1690</v>
      </c>
      <c r="J1204" s="348" t="str">
        <f t="shared" ca="1" si="36"/>
        <v>OK</v>
      </c>
      <c r="K1204" s="366" t="s">
        <v>1723</v>
      </c>
      <c r="L1204" s="366" t="s">
        <v>2252</v>
      </c>
      <c r="M1204" s="350" t="str">
        <f>IF($B1204="Portfolio","Portfolio",IFERROR(INDEX(DATA_ASSET_CLASSIFICATION!$B$8:$B$24,MATCH($C1204,DATA_ASSET_CLASSIFICATION!$A$8:$A$24,0)),"Review"))</f>
        <v>Capilano House</v>
      </c>
      <c r="N1204" s="350" t="str">
        <f ca="1">IF($B1204="Portfolio","Portfolio",IFERROR(INDEX(DATA_ASSET_CLASSIFICATION!$U$8:$U$24,MATCH($C1204,DATA_ASSET_CLASSIFICATION!$A$8:$A$24,0)),"Review"))</f>
        <v>Stable</v>
      </c>
      <c r="O1204" s="350" t="str">
        <f ca="1">IF($B1204="Portfolio","Portfolio",IFERROR(INDEX(DATA_ASSET_CLASSIFICATION!$AB$8:$AB$13,MATCH($N1204,DATA_ASSET_CLASSIFICATION!$AA$8:$AA$13,0)),"Review"))</f>
        <v>Bucket 2 · Legacy</v>
      </c>
      <c r="P1204" s="350" t="str">
        <f>IF($B1204="Portfolio","Portfolio",IFERROR(INDEX(DATA_ASSET_CLASSIFICATION!$C$8:$C$24,MATCH($C1204,DATA_ASSET_CLASSIFICATION!$A$8:$A$24,0)),"Review"))</f>
        <v>Yes</v>
      </c>
      <c r="Q1204" s="350" t="str">
        <f t="shared" ca="1" si="37"/>
        <v>OK</v>
      </c>
    </row>
    <row r="1205" spans="1:17">
      <c r="A1205" s="366" t="s">
        <v>3161</v>
      </c>
      <c r="B1205" s="366" t="s">
        <v>231</v>
      </c>
      <c r="C1205" s="348" t="str">
        <f>DATA_PROPERTY_MASTER!$A$8</f>
        <v>BLD_CH</v>
      </c>
      <c r="D1205" s="380">
        <f>'00_PORTFOLIO ROLLUP'!G$12</f>
        <v>2027</v>
      </c>
      <c r="E1205" s="366" t="s">
        <v>1721</v>
      </c>
      <c r="F1205" s="366" t="s">
        <v>33</v>
      </c>
      <c r="G1205" s="348" t="str">
        <f>"'"&amp;$C1205&amp;"'!$E$62:$Y$62"</f>
        <v>'BLD_CH'!$E$62:$Y$62</v>
      </c>
      <c r="H1205" s="381">
        <f ca="1">IF(IFERROR(INDEX(DATA_PROPERTY_MASTER!$E$5:$E$21,MATCH($C1205,DATA_PROPERTY_MASTER!$A$5:$A$21,0))="Yes",FALSE),IFERROR(INDEX(INDIRECT("'"&amp;$C1205&amp;"'!$E$62:$Y$62"),1,MATCH($D1205,INDIRECT("'"&amp;$C1205&amp;"'!$E$12:$Y$12"),0)),0),0)</f>
        <v>0</v>
      </c>
      <c r="I1205" s="366" t="s">
        <v>1685</v>
      </c>
      <c r="J1205" s="348" t="str">
        <f t="shared" ca="1" si="36"/>
        <v>OK</v>
      </c>
      <c r="K1205" s="366" t="s">
        <v>1727</v>
      </c>
      <c r="L1205" s="366" t="s">
        <v>2254</v>
      </c>
      <c r="M1205" s="350" t="str">
        <f>IF($B1205="Portfolio","Portfolio",IFERROR(INDEX(DATA_ASSET_CLASSIFICATION!$B$8:$B$24,MATCH($C1205,DATA_ASSET_CLASSIFICATION!$A$8:$A$24,0)),"Review"))</f>
        <v>Capilano House</v>
      </c>
      <c r="N1205" s="350" t="str">
        <f ca="1">IF($B1205="Portfolio","Portfolio",IFERROR(INDEX(DATA_ASSET_CLASSIFICATION!$U$8:$U$24,MATCH($C1205,DATA_ASSET_CLASSIFICATION!$A$8:$A$24,0)),"Review"))</f>
        <v>Stable</v>
      </c>
      <c r="O1205" s="350" t="str">
        <f ca="1">IF($B1205="Portfolio","Portfolio",IFERROR(INDEX(DATA_ASSET_CLASSIFICATION!$AB$8:$AB$13,MATCH($N1205,DATA_ASSET_CLASSIFICATION!$AA$8:$AA$13,0)),"Review"))</f>
        <v>Bucket 2 · Legacy</v>
      </c>
      <c r="P1205" s="350" t="str">
        <f>IF($B1205="Portfolio","Portfolio",IFERROR(INDEX(DATA_ASSET_CLASSIFICATION!$C$8:$C$24,MATCH($C1205,DATA_ASSET_CLASSIFICATION!$A$8:$A$24,0)),"Review"))</f>
        <v>Yes</v>
      </c>
      <c r="Q1205" s="350" t="str">
        <f t="shared" ca="1" si="37"/>
        <v>OK</v>
      </c>
    </row>
    <row r="1206" spans="1:17">
      <c r="A1206" s="366" t="s">
        <v>3162</v>
      </c>
      <c r="B1206" s="366" t="s">
        <v>231</v>
      </c>
      <c r="C1206" s="348" t="str">
        <f>DATA_PROPERTY_MASTER!$A$8</f>
        <v>BLD_CH</v>
      </c>
      <c r="D1206" s="380">
        <f>'00_PORTFOLIO ROLLUP'!G$12</f>
        <v>2027</v>
      </c>
      <c r="E1206" s="366" t="s">
        <v>1721</v>
      </c>
      <c r="F1206" s="366" t="s">
        <v>35</v>
      </c>
      <c r="G1206" s="348" t="str">
        <f>"'"&amp;$C1206&amp;"'!$E$63:$Y$63"</f>
        <v>'BLD_CH'!$E$63:$Y$63</v>
      </c>
      <c r="H1206" s="381">
        <f ca="1">IF(IFERROR(INDEX(DATA_PROPERTY_MASTER!$E$5:$E$21,MATCH($C1206,DATA_PROPERTY_MASTER!$A$5:$A$21,0))="Yes",FALSE),IFERROR(INDEX(INDIRECT("'"&amp;$C1206&amp;"'!$E$63:$Y$63"),1,MATCH($D1206,INDIRECT("'"&amp;$C1206&amp;"'!$E$12:$Y$12"),0)),0),0)</f>
        <v>0</v>
      </c>
      <c r="I1206" s="366" t="s">
        <v>1731</v>
      </c>
      <c r="J1206" s="348" t="str">
        <f t="shared" ca="1" si="36"/>
        <v>OK</v>
      </c>
      <c r="K1206" s="366" t="s">
        <v>1732</v>
      </c>
      <c r="L1206" s="366" t="s">
        <v>2256</v>
      </c>
      <c r="M1206" s="350" t="str">
        <f>IF($B1206="Portfolio","Portfolio",IFERROR(INDEX(DATA_ASSET_CLASSIFICATION!$B$8:$B$24,MATCH($C1206,DATA_ASSET_CLASSIFICATION!$A$8:$A$24,0)),"Review"))</f>
        <v>Capilano House</v>
      </c>
      <c r="N1206" s="350" t="str">
        <f ca="1">IF($B1206="Portfolio","Portfolio",IFERROR(INDEX(DATA_ASSET_CLASSIFICATION!$U$8:$U$24,MATCH($C1206,DATA_ASSET_CLASSIFICATION!$A$8:$A$24,0)),"Review"))</f>
        <v>Stable</v>
      </c>
      <c r="O1206" s="350" t="str">
        <f ca="1">IF($B1206="Portfolio","Portfolio",IFERROR(INDEX(DATA_ASSET_CLASSIFICATION!$AB$8:$AB$13,MATCH($N1206,DATA_ASSET_CLASSIFICATION!$AA$8:$AA$13,0)),"Review"))</f>
        <v>Bucket 2 · Legacy</v>
      </c>
      <c r="P1206" s="350" t="str">
        <f>IF($B1206="Portfolio","Portfolio",IFERROR(INDEX(DATA_ASSET_CLASSIFICATION!$C$8:$C$24,MATCH($C1206,DATA_ASSET_CLASSIFICATION!$A$8:$A$24,0)),"Review"))</f>
        <v>Yes</v>
      </c>
      <c r="Q1206" s="350" t="str">
        <f t="shared" ca="1" si="37"/>
        <v>OK</v>
      </c>
    </row>
    <row r="1207" spans="1:17">
      <c r="A1207" s="366" t="s">
        <v>3163</v>
      </c>
      <c r="B1207" s="366" t="s">
        <v>231</v>
      </c>
      <c r="C1207" s="348" t="str">
        <f>DATA_PROPERTY_MASTER!$A$8</f>
        <v>BLD_CH</v>
      </c>
      <c r="D1207" s="380">
        <f>'00_PORTFOLIO ROLLUP'!G$12</f>
        <v>2027</v>
      </c>
      <c r="E1207" s="366" t="s">
        <v>1721</v>
      </c>
      <c r="F1207" s="366" t="s">
        <v>37</v>
      </c>
      <c r="G1207" s="348" t="str">
        <f>"'"&amp;$C1207&amp;"'!$E$63:$Y$63"</f>
        <v>'BLD_CH'!$E$63:$Y$63</v>
      </c>
      <c r="H1207" s="381">
        <f ca="1">IF(IFERROR(INDEX(DATA_PROPERTY_MASTER!$E$5:$E$21,MATCH($C1207,DATA_PROPERTY_MASTER!$A$5:$A$21,0))="Yes",FALSE),MAX(IFERROR(INDEX(INDIRECT("'"&amp;$C1207&amp;"'!$E$63:$Y$63"),1,MATCH($D1207,INDIRECT("'"&amp;$C1207&amp;"'!$E$12:$Y$12"),0)),0),0),0)</f>
        <v>0</v>
      </c>
      <c r="I1207" s="366" t="s">
        <v>1685</v>
      </c>
      <c r="J1207" s="348" t="str">
        <f t="shared" ca="1" si="36"/>
        <v>OK</v>
      </c>
      <c r="K1207" s="366" t="s">
        <v>1735</v>
      </c>
      <c r="L1207" s="366" t="s">
        <v>2258</v>
      </c>
      <c r="M1207" s="350" t="str">
        <f>IF($B1207="Portfolio","Portfolio",IFERROR(INDEX(DATA_ASSET_CLASSIFICATION!$B$8:$B$24,MATCH($C1207,DATA_ASSET_CLASSIFICATION!$A$8:$A$24,0)),"Review"))</f>
        <v>Capilano House</v>
      </c>
      <c r="N1207" s="350" t="str">
        <f ca="1">IF($B1207="Portfolio","Portfolio",IFERROR(INDEX(DATA_ASSET_CLASSIFICATION!$U$8:$U$24,MATCH($C1207,DATA_ASSET_CLASSIFICATION!$A$8:$A$24,0)),"Review"))</f>
        <v>Stable</v>
      </c>
      <c r="O1207" s="350" t="str">
        <f ca="1">IF($B1207="Portfolio","Portfolio",IFERROR(INDEX(DATA_ASSET_CLASSIFICATION!$AB$8:$AB$13,MATCH($N1207,DATA_ASSET_CLASSIFICATION!$AA$8:$AA$13,0)),"Review"))</f>
        <v>Bucket 2 · Legacy</v>
      </c>
      <c r="P1207" s="350" t="str">
        <f>IF($B1207="Portfolio","Portfolio",IFERROR(INDEX(DATA_ASSET_CLASSIFICATION!$C$8:$C$24,MATCH($C1207,DATA_ASSET_CLASSIFICATION!$A$8:$A$24,0)),"Review"))</f>
        <v>Yes</v>
      </c>
      <c r="Q1207" s="350" t="str">
        <f t="shared" ca="1" si="37"/>
        <v>OK</v>
      </c>
    </row>
    <row r="1208" spans="1:17">
      <c r="A1208" s="366" t="s">
        <v>3164</v>
      </c>
      <c r="B1208" s="366" t="s">
        <v>231</v>
      </c>
      <c r="C1208" s="348" t="str">
        <f>DATA_PROPERTY_MASTER!$A$8</f>
        <v>BLD_CH</v>
      </c>
      <c r="D1208" s="380">
        <f>'00_PORTFOLIO ROLLUP'!G$12</f>
        <v>2027</v>
      </c>
      <c r="E1208" s="366" t="s">
        <v>1721</v>
      </c>
      <c r="F1208" s="366" t="s">
        <v>39</v>
      </c>
      <c r="G1208" s="348" t="str">
        <f>"'"&amp;$C1208&amp;"'!$E$63:$Y$63"</f>
        <v>'BLD_CH'!$E$63:$Y$63</v>
      </c>
      <c r="H1208" s="381">
        <f ca="1">IF(IFERROR(INDEX(DATA_PROPERTY_MASTER!$E$5:$E$21,MATCH($C1208,DATA_PROPERTY_MASTER!$A$5:$A$21,0))="Yes",FALSE),MAX(-IFERROR(INDEX(INDIRECT("'"&amp;$C1208&amp;"'!$E$63:$Y$63"),1,MATCH($D1208,INDIRECT("'"&amp;$C1208&amp;"'!$E$12:$Y$12"),0)),0),0),0)</f>
        <v>0</v>
      </c>
      <c r="I1208" s="366" t="s">
        <v>1690</v>
      </c>
      <c r="J1208" s="348" t="str">
        <f t="shared" ca="1" si="36"/>
        <v>OK</v>
      </c>
      <c r="K1208" s="366" t="s">
        <v>1738</v>
      </c>
      <c r="L1208" s="366" t="s">
        <v>2260</v>
      </c>
      <c r="M1208" s="350" t="str">
        <f>IF($B1208="Portfolio","Portfolio",IFERROR(INDEX(DATA_ASSET_CLASSIFICATION!$B$8:$B$24,MATCH($C1208,DATA_ASSET_CLASSIFICATION!$A$8:$A$24,0)),"Review"))</f>
        <v>Capilano House</v>
      </c>
      <c r="N1208" s="350" t="str">
        <f ca="1">IF($B1208="Portfolio","Portfolio",IFERROR(INDEX(DATA_ASSET_CLASSIFICATION!$U$8:$U$24,MATCH($C1208,DATA_ASSET_CLASSIFICATION!$A$8:$A$24,0)),"Review"))</f>
        <v>Stable</v>
      </c>
      <c r="O1208" s="350" t="str">
        <f ca="1">IF($B1208="Portfolio","Portfolio",IFERROR(INDEX(DATA_ASSET_CLASSIFICATION!$AB$8:$AB$13,MATCH($N1208,DATA_ASSET_CLASSIFICATION!$AA$8:$AA$13,0)),"Review"))</f>
        <v>Bucket 2 · Legacy</v>
      </c>
      <c r="P1208" s="350" t="str">
        <f>IF($B1208="Portfolio","Portfolio",IFERROR(INDEX(DATA_ASSET_CLASSIFICATION!$C$8:$C$24,MATCH($C1208,DATA_ASSET_CLASSIFICATION!$A$8:$A$24,0)),"Review"))</f>
        <v>Yes</v>
      </c>
      <c r="Q1208" s="350" t="str">
        <f t="shared" ca="1" si="37"/>
        <v>OK</v>
      </c>
    </row>
    <row r="1209" spans="1:17">
      <c r="A1209" s="366" t="s">
        <v>3165</v>
      </c>
      <c r="B1209" s="366" t="s">
        <v>231</v>
      </c>
      <c r="C1209" s="348" t="str">
        <f>DATA_PROPERTY_MASTER!$A$8</f>
        <v>BLD_CH</v>
      </c>
      <c r="D1209" s="380">
        <f>'00_PORTFOLIO ROLLUP'!G$12</f>
        <v>2027</v>
      </c>
      <c r="E1209" s="366" t="s">
        <v>1741</v>
      </c>
      <c r="F1209" s="366" t="s">
        <v>41</v>
      </c>
      <c r="G1209" s="348" t="str">
        <f>"'"&amp;$C1209&amp;"'!rows 56 + positive row 63"</f>
        <v>'BLD_CH'!rows 56 + positive row 63</v>
      </c>
      <c r="H1209" s="381">
        <f ca="1">IF(IFERROR(INDEX(DATA_PROPERTY_MASTER!$E$5:$E$21,MATCH($C1209,DATA_PROPERTY_MASTER!$A$5:$A$21,0))="Yes",FALSE),IFERROR(INDEX(INDIRECT("'"&amp;$C1209&amp;"'!$E$56:$Y$56"),1,MATCH($D1209,INDIRECT("'"&amp;$C1209&amp;"'!$E$12:$Y$12"),0)),0)+MAX(IFERROR(INDEX(INDIRECT("'"&amp;$C1209&amp;"'!$E$63:$Y$63"),1,MATCH($D1209,INDIRECT("'"&amp;$C1209&amp;"'!$E$12:$Y$12"),0)),0),0),0)</f>
        <v>190390.08980223996</v>
      </c>
      <c r="I1209" s="366" t="s">
        <v>1685</v>
      </c>
      <c r="J1209" s="348" t="str">
        <f t="shared" ca="1" si="36"/>
        <v>OK</v>
      </c>
      <c r="K1209" s="366" t="s">
        <v>1742</v>
      </c>
      <c r="L1209" s="366" t="s">
        <v>2262</v>
      </c>
      <c r="M1209" s="350" t="str">
        <f>IF($B1209="Portfolio","Portfolio",IFERROR(INDEX(DATA_ASSET_CLASSIFICATION!$B$8:$B$24,MATCH($C1209,DATA_ASSET_CLASSIFICATION!$A$8:$A$24,0)),"Review"))</f>
        <v>Capilano House</v>
      </c>
      <c r="N1209" s="350" t="str">
        <f ca="1">IF($B1209="Portfolio","Portfolio",IFERROR(INDEX(DATA_ASSET_CLASSIFICATION!$U$8:$U$24,MATCH($C1209,DATA_ASSET_CLASSIFICATION!$A$8:$A$24,0)),"Review"))</f>
        <v>Stable</v>
      </c>
      <c r="O1209" s="350" t="str">
        <f ca="1">IF($B1209="Portfolio","Portfolio",IFERROR(INDEX(DATA_ASSET_CLASSIFICATION!$AB$8:$AB$13,MATCH($N1209,DATA_ASSET_CLASSIFICATION!$AA$8:$AA$13,0)),"Review"))</f>
        <v>Bucket 2 · Legacy</v>
      </c>
      <c r="P1209" s="350" t="str">
        <f>IF($B1209="Portfolio","Portfolio",IFERROR(INDEX(DATA_ASSET_CLASSIFICATION!$C$8:$C$24,MATCH($C1209,DATA_ASSET_CLASSIFICATION!$A$8:$A$24,0)),"Review"))</f>
        <v>Yes</v>
      </c>
      <c r="Q1209" s="350" t="str">
        <f t="shared" ca="1" si="37"/>
        <v>OK</v>
      </c>
    </row>
    <row r="1210" spans="1:17">
      <c r="A1210" s="366" t="s">
        <v>3166</v>
      </c>
      <c r="B1210" s="366" t="s">
        <v>231</v>
      </c>
      <c r="C1210" s="348" t="str">
        <f>DATA_PROPERTY_MASTER!$A$8</f>
        <v>BLD_CH</v>
      </c>
      <c r="D1210" s="380">
        <f>'00_PORTFOLIO ROLLUP'!G$12</f>
        <v>2027</v>
      </c>
      <c r="E1210" s="366" t="s">
        <v>1741</v>
      </c>
      <c r="F1210" s="366" t="s">
        <v>43</v>
      </c>
      <c r="G1210" s="348" t="str">
        <f>"'"&amp;$C1210&amp;"'!$E$68:$Y$68"</f>
        <v>'BLD_CH'!$E$68:$Y$68</v>
      </c>
      <c r="H1210" s="381">
        <f ca="1">IF(IFERROR(INDEX(DATA_PROPERTY_MASTER!$E$5:$E$21,MATCH($C1210,DATA_PROPERTY_MASTER!$A$5:$A$21,0))="Yes",FALSE),IFERROR(INDEX(INDIRECT("'"&amp;$C1210&amp;"'!$E$68:$Y$68"),1,MATCH($D1210,INDIRECT("'"&amp;$C1210&amp;"'!$E$12:$Y$12"),0)),0),0)</f>
        <v>190390.08980223996</v>
      </c>
      <c r="I1210" s="366" t="s">
        <v>1731</v>
      </c>
      <c r="J1210" s="348" t="str">
        <f t="shared" ca="1" si="36"/>
        <v>OK</v>
      </c>
      <c r="K1210" s="366" t="s">
        <v>1746</v>
      </c>
      <c r="L1210" s="366" t="s">
        <v>2264</v>
      </c>
      <c r="M1210" s="350" t="str">
        <f>IF($B1210="Portfolio","Portfolio",IFERROR(INDEX(DATA_ASSET_CLASSIFICATION!$B$8:$B$24,MATCH($C1210,DATA_ASSET_CLASSIFICATION!$A$8:$A$24,0)),"Review"))</f>
        <v>Capilano House</v>
      </c>
      <c r="N1210" s="350" t="str">
        <f ca="1">IF($B1210="Portfolio","Portfolio",IFERROR(INDEX(DATA_ASSET_CLASSIFICATION!$U$8:$U$24,MATCH($C1210,DATA_ASSET_CLASSIFICATION!$A$8:$A$24,0)),"Review"))</f>
        <v>Stable</v>
      </c>
      <c r="O1210" s="350" t="str">
        <f ca="1">IF($B1210="Portfolio","Portfolio",IFERROR(INDEX(DATA_ASSET_CLASSIFICATION!$AB$8:$AB$13,MATCH($N1210,DATA_ASSET_CLASSIFICATION!$AA$8:$AA$13,0)),"Review"))</f>
        <v>Bucket 2 · Legacy</v>
      </c>
      <c r="P1210" s="350" t="str">
        <f>IF($B1210="Portfolio","Portfolio",IFERROR(INDEX(DATA_ASSET_CLASSIFICATION!$C$8:$C$24,MATCH($C1210,DATA_ASSET_CLASSIFICATION!$A$8:$A$24,0)),"Review"))</f>
        <v>Yes</v>
      </c>
      <c r="Q1210" s="350" t="str">
        <f t="shared" ca="1" si="37"/>
        <v>OK</v>
      </c>
    </row>
    <row r="1211" spans="1:17">
      <c r="A1211" s="366" t="s">
        <v>3167</v>
      </c>
      <c r="B1211" s="366" t="s">
        <v>231</v>
      </c>
      <c r="C1211" s="348" t="str">
        <f>DATA_PROPERTY_MASTER!$A$8</f>
        <v>BLD_CH</v>
      </c>
      <c r="D1211" s="380">
        <f>'00_PORTFOLIO ROLLUP'!G$12</f>
        <v>2027</v>
      </c>
      <c r="E1211" s="366" t="s">
        <v>1741</v>
      </c>
      <c r="F1211" s="366" t="s">
        <v>1749</v>
      </c>
      <c r="G1211" s="348" t="str">
        <f>"'"&amp;$C1211&amp;"'!rows 56, 63, 68"</f>
        <v>'BLD_CH'!rows 56, 63, 68</v>
      </c>
      <c r="H1211" s="381">
        <f ca="1">IF(IFERROR(INDEX(DATA_PROPERTY_MASTER!$E$5:$E$21,MATCH($C1211,DATA_PROPERTY_MASTER!$A$5:$A$21,0))="Yes",FALSE),(IFERROR(INDEX(INDIRECT("'"&amp;$C1211&amp;"'!$E$56:$Y$56"),1,MATCH($D1211,INDIRECT("'"&amp;$C1211&amp;"'!$E$12:$Y$12"),0)),0)+MAX(IFERROR(INDEX(INDIRECT("'"&amp;$C1211&amp;"'!$E$63:$Y$63"),1,MATCH($D1211,INDIRECT("'"&amp;$C1211&amp;"'!$E$12:$Y$12"),0)),0),0))-(IFERROR(INDEX(INDIRECT("'"&amp;$C1211&amp;"'!$E$68:$Y$68"),1,MATCH($D1211,INDIRECT("'"&amp;$C1211&amp;"'!$E$12:$Y$12"),0)),0)),0)</f>
        <v>0</v>
      </c>
      <c r="I1211" s="366" t="s">
        <v>1750</v>
      </c>
      <c r="J1211" s="348" t="str">
        <f t="shared" ca="1" si="36"/>
        <v>OK</v>
      </c>
      <c r="K1211" s="366" t="s">
        <v>1751</v>
      </c>
      <c r="L1211" s="366" t="s">
        <v>2266</v>
      </c>
      <c r="M1211" s="350" t="str">
        <f>IF($B1211="Portfolio","Portfolio",IFERROR(INDEX(DATA_ASSET_CLASSIFICATION!$B$8:$B$24,MATCH($C1211,DATA_ASSET_CLASSIFICATION!$A$8:$A$24,0)),"Review"))</f>
        <v>Capilano House</v>
      </c>
      <c r="N1211" s="350" t="str">
        <f ca="1">IF($B1211="Portfolio","Portfolio",IFERROR(INDEX(DATA_ASSET_CLASSIFICATION!$U$8:$U$24,MATCH($C1211,DATA_ASSET_CLASSIFICATION!$A$8:$A$24,0)),"Review"))</f>
        <v>Stable</v>
      </c>
      <c r="O1211" s="350" t="str">
        <f ca="1">IF($B1211="Portfolio","Portfolio",IFERROR(INDEX(DATA_ASSET_CLASSIFICATION!$AB$8:$AB$13,MATCH($N1211,DATA_ASSET_CLASSIFICATION!$AA$8:$AA$13,0)),"Review"))</f>
        <v>Bucket 2 · Legacy</v>
      </c>
      <c r="P1211" s="350" t="str">
        <f>IF($B1211="Portfolio","Portfolio",IFERROR(INDEX(DATA_ASSET_CLASSIFICATION!$C$8:$C$24,MATCH($C1211,DATA_ASSET_CLASSIFICATION!$A$8:$A$24,0)),"Review"))</f>
        <v>Yes</v>
      </c>
      <c r="Q1211" s="350" t="str">
        <f t="shared" ca="1" si="37"/>
        <v>OK</v>
      </c>
    </row>
    <row r="1212" spans="1:17">
      <c r="A1212" s="366" t="s">
        <v>3168</v>
      </c>
      <c r="B1212" s="366" t="s">
        <v>231</v>
      </c>
      <c r="C1212" s="348" t="str">
        <f>DATA_PROPERTY_MASTER!$A$8</f>
        <v>BLD_CH</v>
      </c>
      <c r="D1212" s="380">
        <f>'00_PORTFOLIO ROLLUP'!H$12</f>
        <v>2028</v>
      </c>
      <c r="E1212" s="366" t="s">
        <v>1683</v>
      </c>
      <c r="F1212" s="366" t="s">
        <v>341</v>
      </c>
      <c r="G1212" s="348" t="str">
        <f>"'"&amp;$C1212&amp;"'!$E$24:$Y$24"</f>
        <v>'BLD_CH'!$E$24:$Y$24</v>
      </c>
      <c r="H1212" s="381">
        <f ca="1">IF(IFERROR(INDEX(DATA_PROPERTY_MASTER!$E$5:$E$21,MATCH($C1212,DATA_PROPERTY_MASTER!$A$5:$A$21,0))="Yes",FALSE),IFERROR(INDEX(INDIRECT("'"&amp;$C1212&amp;"'!$E$24:$Y$24"),1,MATCH($D1212,INDIRECT("'"&amp;$C1212&amp;"'!$E$12:$Y$12"),0)),0),0)</f>
        <v>1024692.7496037119</v>
      </c>
      <c r="I1212" s="366" t="s">
        <v>1685</v>
      </c>
      <c r="J1212" s="348" t="str">
        <f t="shared" ca="1" si="36"/>
        <v>OK</v>
      </c>
      <c r="K1212" s="366" t="s">
        <v>1686</v>
      </c>
      <c r="L1212" s="366" t="s">
        <v>2234</v>
      </c>
      <c r="M1212" s="350" t="str">
        <f>IF($B1212="Portfolio","Portfolio",IFERROR(INDEX(DATA_ASSET_CLASSIFICATION!$B$8:$B$24,MATCH($C1212,DATA_ASSET_CLASSIFICATION!$A$8:$A$24,0)),"Review"))</f>
        <v>Capilano House</v>
      </c>
      <c r="N1212" s="350" t="str">
        <f ca="1">IF($B1212="Portfolio","Portfolio",IFERROR(INDEX(DATA_ASSET_CLASSIFICATION!$U$8:$U$24,MATCH($C1212,DATA_ASSET_CLASSIFICATION!$A$8:$A$24,0)),"Review"))</f>
        <v>Stable</v>
      </c>
      <c r="O1212" s="350" t="str">
        <f ca="1">IF($B1212="Portfolio","Portfolio",IFERROR(INDEX(DATA_ASSET_CLASSIFICATION!$AB$8:$AB$13,MATCH($N1212,DATA_ASSET_CLASSIFICATION!$AA$8:$AA$13,0)),"Review"))</f>
        <v>Bucket 2 · Legacy</v>
      </c>
      <c r="P1212" s="350" t="str">
        <f>IF($B1212="Portfolio","Portfolio",IFERROR(INDEX(DATA_ASSET_CLASSIFICATION!$C$8:$C$24,MATCH($C1212,DATA_ASSET_CLASSIFICATION!$A$8:$A$24,0)),"Review"))</f>
        <v>Yes</v>
      </c>
      <c r="Q1212" s="350" t="str">
        <f t="shared" ca="1" si="37"/>
        <v>OK</v>
      </c>
    </row>
    <row r="1213" spans="1:17">
      <c r="A1213" s="366" t="s">
        <v>3169</v>
      </c>
      <c r="B1213" s="366" t="s">
        <v>231</v>
      </c>
      <c r="C1213" s="348" t="str">
        <f>DATA_PROPERTY_MASTER!$A$8</f>
        <v>BLD_CH</v>
      </c>
      <c r="D1213" s="380">
        <f>'00_PORTFOLIO ROLLUP'!H$12</f>
        <v>2028</v>
      </c>
      <c r="E1213" s="366" t="s">
        <v>1683</v>
      </c>
      <c r="F1213" s="366" t="s">
        <v>355</v>
      </c>
      <c r="G1213" s="348" t="str">
        <f>"'"&amp;$C1213&amp;"'!$E$39:$Y$39"</f>
        <v>'BLD_CH'!$E$39:$Y$39</v>
      </c>
      <c r="H1213" s="381">
        <f ca="1">IF(IFERROR(INDEX(DATA_PROPERTY_MASTER!$E$5:$E$21,MATCH($C1213,DATA_PROPERTY_MASTER!$A$5:$A$21,0))="Yes",FALSE),IFERROR(INDEX(INDIRECT("'"&amp;$C1213&amp;"'!$E$39:$Y$39"),1,MATCH($D1213,INDIRECT("'"&amp;$C1213&amp;"'!$E$12:$Y$12"),0)),0),0)</f>
        <v>549770.53081600007</v>
      </c>
      <c r="I1213" s="366" t="s">
        <v>1690</v>
      </c>
      <c r="J1213" s="348" t="str">
        <f t="shared" ca="1" si="36"/>
        <v>OK</v>
      </c>
      <c r="K1213" s="366" t="s">
        <v>1686</v>
      </c>
      <c r="L1213" s="366" t="s">
        <v>2236</v>
      </c>
      <c r="M1213" s="350" t="str">
        <f>IF($B1213="Portfolio","Portfolio",IFERROR(INDEX(DATA_ASSET_CLASSIFICATION!$B$8:$B$24,MATCH($C1213,DATA_ASSET_CLASSIFICATION!$A$8:$A$24,0)),"Review"))</f>
        <v>Capilano House</v>
      </c>
      <c r="N1213" s="350" t="str">
        <f ca="1">IF($B1213="Portfolio","Portfolio",IFERROR(INDEX(DATA_ASSET_CLASSIFICATION!$U$8:$U$24,MATCH($C1213,DATA_ASSET_CLASSIFICATION!$A$8:$A$24,0)),"Review"))</f>
        <v>Stable</v>
      </c>
      <c r="O1213" s="350" t="str">
        <f ca="1">IF($B1213="Portfolio","Portfolio",IFERROR(INDEX(DATA_ASSET_CLASSIFICATION!$AB$8:$AB$13,MATCH($N1213,DATA_ASSET_CLASSIFICATION!$AA$8:$AA$13,0)),"Review"))</f>
        <v>Bucket 2 · Legacy</v>
      </c>
      <c r="P1213" s="350" t="str">
        <f>IF($B1213="Portfolio","Portfolio",IFERROR(INDEX(DATA_ASSET_CLASSIFICATION!$C$8:$C$24,MATCH($C1213,DATA_ASSET_CLASSIFICATION!$A$8:$A$24,0)),"Review"))</f>
        <v>Yes</v>
      </c>
      <c r="Q1213" s="350" t="str">
        <f t="shared" ca="1" si="37"/>
        <v>OK</v>
      </c>
    </row>
    <row r="1214" spans="1:17">
      <c r="A1214" s="366" t="s">
        <v>3170</v>
      </c>
      <c r="B1214" s="366" t="s">
        <v>231</v>
      </c>
      <c r="C1214" s="348" t="str">
        <f>DATA_PROPERTY_MASTER!$A$8</f>
        <v>BLD_CH</v>
      </c>
      <c r="D1214" s="380">
        <f>'00_PORTFOLIO ROLLUP'!H$12</f>
        <v>2028</v>
      </c>
      <c r="E1214" s="366" t="s">
        <v>1683</v>
      </c>
      <c r="F1214" s="366" t="s">
        <v>19</v>
      </c>
      <c r="G1214" s="348" t="str">
        <f>"'"&amp;$C1214&amp;"'!$E$41:$Y$41"</f>
        <v>'BLD_CH'!$E$41:$Y$41</v>
      </c>
      <c r="H1214" s="381">
        <f ca="1">IF(IFERROR(INDEX(DATA_PROPERTY_MASTER!$E$5:$E$21,MATCH($C1214,DATA_PROPERTY_MASTER!$A$5:$A$21,0))="Yes",FALSE),IFERROR(INDEX(INDIRECT("'"&amp;$C1214&amp;"'!$E$41:$Y$41"),1,MATCH($D1214,INDIRECT("'"&amp;$C1214&amp;"'!$E$12:$Y$12"),0)),0),0)</f>
        <v>474922.21878771181</v>
      </c>
      <c r="I1214" s="366" t="s">
        <v>1685</v>
      </c>
      <c r="J1214" s="348" t="str">
        <f t="shared" ca="1" si="36"/>
        <v>OK</v>
      </c>
      <c r="K1214" s="366" t="s">
        <v>1694</v>
      </c>
      <c r="L1214" s="366" t="s">
        <v>2238</v>
      </c>
      <c r="M1214" s="350" t="str">
        <f>IF($B1214="Portfolio","Portfolio",IFERROR(INDEX(DATA_ASSET_CLASSIFICATION!$B$8:$B$24,MATCH($C1214,DATA_ASSET_CLASSIFICATION!$A$8:$A$24,0)),"Review"))</f>
        <v>Capilano House</v>
      </c>
      <c r="N1214" s="350" t="str">
        <f ca="1">IF($B1214="Portfolio","Portfolio",IFERROR(INDEX(DATA_ASSET_CLASSIFICATION!$U$8:$U$24,MATCH($C1214,DATA_ASSET_CLASSIFICATION!$A$8:$A$24,0)),"Review"))</f>
        <v>Stable</v>
      </c>
      <c r="O1214" s="350" t="str">
        <f ca="1">IF($B1214="Portfolio","Portfolio",IFERROR(INDEX(DATA_ASSET_CLASSIFICATION!$AB$8:$AB$13,MATCH($N1214,DATA_ASSET_CLASSIFICATION!$AA$8:$AA$13,0)),"Review"))</f>
        <v>Bucket 2 · Legacy</v>
      </c>
      <c r="P1214" s="350" t="str">
        <f>IF($B1214="Portfolio","Portfolio",IFERROR(INDEX(DATA_ASSET_CLASSIFICATION!$C$8:$C$24,MATCH($C1214,DATA_ASSET_CLASSIFICATION!$A$8:$A$24,0)),"Review"))</f>
        <v>Yes</v>
      </c>
      <c r="Q1214" s="350" t="str">
        <f t="shared" ca="1" si="37"/>
        <v>OK</v>
      </c>
    </row>
    <row r="1215" spans="1:17">
      <c r="A1215" s="366" t="s">
        <v>3171</v>
      </c>
      <c r="B1215" s="366" t="s">
        <v>231</v>
      </c>
      <c r="C1215" s="348" t="str">
        <f>DATA_PROPERTY_MASTER!$A$8</f>
        <v>BLD_CH</v>
      </c>
      <c r="D1215" s="380">
        <f>'00_PORTFOLIO ROLLUP'!H$12</f>
        <v>2028</v>
      </c>
      <c r="E1215" s="366" t="s">
        <v>1683</v>
      </c>
      <c r="F1215" s="366" t="s">
        <v>1697</v>
      </c>
      <c r="G1215" s="348" t="str">
        <f>"'"&amp;$C1215&amp;"'!$E$44:$Y$44"</f>
        <v>'BLD_CH'!$E$44:$Y$44</v>
      </c>
      <c r="H1215" s="381">
        <f ca="1">IF(IFERROR(INDEX(DATA_PROPERTY_MASTER!$E$5:$E$21,MATCH($C1215,DATA_PROPERTY_MASTER!$A$5:$A$21,0))="Yes",FALSE),IFERROR(INDEX(INDIRECT("'"&amp;$C1215&amp;"'!$E$44:$Y$44"),1,MATCH($D1215,INDIRECT("'"&amp;$C1215&amp;"'!$E$12:$Y$12"),0)),0),0)</f>
        <v>10187.596799999999</v>
      </c>
      <c r="I1215" s="366" t="s">
        <v>1690</v>
      </c>
      <c r="J1215" s="348" t="str">
        <f t="shared" ca="1" si="36"/>
        <v>OK</v>
      </c>
      <c r="K1215" s="366" t="s">
        <v>1699</v>
      </c>
      <c r="L1215" s="366" t="s">
        <v>2240</v>
      </c>
      <c r="M1215" s="350" t="str">
        <f>IF($B1215="Portfolio","Portfolio",IFERROR(INDEX(DATA_ASSET_CLASSIFICATION!$B$8:$B$24,MATCH($C1215,DATA_ASSET_CLASSIFICATION!$A$8:$A$24,0)),"Review"))</f>
        <v>Capilano House</v>
      </c>
      <c r="N1215" s="350" t="str">
        <f ca="1">IF($B1215="Portfolio","Portfolio",IFERROR(INDEX(DATA_ASSET_CLASSIFICATION!$U$8:$U$24,MATCH($C1215,DATA_ASSET_CLASSIFICATION!$A$8:$A$24,0)),"Review"))</f>
        <v>Stable</v>
      </c>
      <c r="O1215" s="350" t="str">
        <f ca="1">IF($B1215="Portfolio","Portfolio",IFERROR(INDEX(DATA_ASSET_CLASSIFICATION!$AB$8:$AB$13,MATCH($N1215,DATA_ASSET_CLASSIFICATION!$AA$8:$AA$13,0)),"Review"))</f>
        <v>Bucket 2 · Legacy</v>
      </c>
      <c r="P1215" s="350" t="str">
        <f>IF($B1215="Portfolio","Portfolio",IFERROR(INDEX(DATA_ASSET_CLASSIFICATION!$C$8:$C$24,MATCH($C1215,DATA_ASSET_CLASSIFICATION!$A$8:$A$24,0)),"Review"))</f>
        <v>Yes</v>
      </c>
      <c r="Q1215" s="350" t="str">
        <f t="shared" ca="1" si="37"/>
        <v>OK</v>
      </c>
    </row>
    <row r="1216" spans="1:17">
      <c r="A1216" s="366" t="s">
        <v>3172</v>
      </c>
      <c r="B1216" s="366" t="s">
        <v>231</v>
      </c>
      <c r="C1216" s="348" t="str">
        <f>DATA_PROPERTY_MASTER!$A$8</f>
        <v>BLD_CH</v>
      </c>
      <c r="D1216" s="380">
        <f>'00_PORTFOLIO ROLLUP'!H$12</f>
        <v>2028</v>
      </c>
      <c r="E1216" s="366" t="s">
        <v>1683</v>
      </c>
      <c r="F1216" s="366" t="s">
        <v>21</v>
      </c>
      <c r="G1216" s="348" t="str">
        <f>"'"&amp;$C1216&amp;"'!$E$45:$Y$45"</f>
        <v>'BLD_CH'!$E$45:$Y$45</v>
      </c>
      <c r="H1216" s="381">
        <f ca="1">IF(IFERROR(INDEX(DATA_PROPERTY_MASTER!$E$5:$E$21,MATCH($C1216,DATA_PROPERTY_MASTER!$A$5:$A$21,0))="Yes",FALSE),IFERROR(INDEX(INDIRECT("'"&amp;$C1216&amp;"'!$E$45:$Y$45"),1,MATCH($D1216,INDIRECT("'"&amp;$C1216&amp;"'!$E$12:$Y$12"),0)),0),0)</f>
        <v>464734.62198771181</v>
      </c>
      <c r="I1216" s="366" t="s">
        <v>1685</v>
      </c>
      <c r="J1216" s="348" t="str">
        <f t="shared" ca="1" si="36"/>
        <v>OK</v>
      </c>
      <c r="K1216" s="366" t="s">
        <v>1694</v>
      </c>
      <c r="L1216" s="366" t="s">
        <v>2242</v>
      </c>
      <c r="M1216" s="350" t="str">
        <f>IF($B1216="Portfolio","Portfolio",IFERROR(INDEX(DATA_ASSET_CLASSIFICATION!$B$8:$B$24,MATCH($C1216,DATA_ASSET_CLASSIFICATION!$A$8:$A$24,0)),"Review"))</f>
        <v>Capilano House</v>
      </c>
      <c r="N1216" s="350" t="str">
        <f ca="1">IF($B1216="Portfolio","Portfolio",IFERROR(INDEX(DATA_ASSET_CLASSIFICATION!$U$8:$U$24,MATCH($C1216,DATA_ASSET_CLASSIFICATION!$A$8:$A$24,0)),"Review"))</f>
        <v>Stable</v>
      </c>
      <c r="O1216" s="350" t="str">
        <f ca="1">IF($B1216="Portfolio","Portfolio",IFERROR(INDEX(DATA_ASSET_CLASSIFICATION!$AB$8:$AB$13,MATCH($N1216,DATA_ASSET_CLASSIFICATION!$AA$8:$AA$13,0)),"Review"))</f>
        <v>Bucket 2 · Legacy</v>
      </c>
      <c r="P1216" s="350" t="str">
        <f>IF($B1216="Portfolio","Portfolio",IFERROR(INDEX(DATA_ASSET_CLASSIFICATION!$C$8:$C$24,MATCH($C1216,DATA_ASSET_CLASSIFICATION!$A$8:$A$24,0)),"Review"))</f>
        <v>Yes</v>
      </c>
      <c r="Q1216" s="350" t="str">
        <f t="shared" ca="1" si="37"/>
        <v>OK</v>
      </c>
    </row>
    <row r="1217" spans="1:17">
      <c r="A1217" s="366" t="s">
        <v>3173</v>
      </c>
      <c r="B1217" s="366" t="s">
        <v>231</v>
      </c>
      <c r="C1217" s="348" t="str">
        <f>DATA_PROPERTY_MASTER!$A$8</f>
        <v>BLD_CH</v>
      </c>
      <c r="D1217" s="380">
        <f>'00_PORTFOLIO ROLLUP'!H$12</f>
        <v>2028</v>
      </c>
      <c r="E1217" s="366" t="s">
        <v>23</v>
      </c>
      <c r="F1217" s="366" t="s">
        <v>23</v>
      </c>
      <c r="G1217" s="348" t="str">
        <f>"'"&amp;$C1217&amp;"'!$E$48:$Y$48"</f>
        <v>'BLD_CH'!$E$48:$Y$48</v>
      </c>
      <c r="H1217" s="381">
        <f ca="1">IF(IFERROR(INDEX(DATA_PROPERTY_MASTER!$E$5:$E$21,MATCH($C1217,DATA_PROPERTY_MASTER!$A$5:$A$21,0))="Yes",FALSE),IFERROR(INDEX(INDIRECT("'"&amp;$C1217&amp;"'!$E$48:$Y$48"),1,MATCH($D1217,INDIRECT("'"&amp;$C1217&amp;"'!$E$12:$Y$12"),0)),0),0)</f>
        <v>0</v>
      </c>
      <c r="I1217" s="366" t="s">
        <v>1690</v>
      </c>
      <c r="J1217" s="348" t="str">
        <f t="shared" ca="1" si="36"/>
        <v>OK</v>
      </c>
      <c r="K1217" s="366" t="s">
        <v>1706</v>
      </c>
      <c r="L1217" s="366" t="s">
        <v>2244</v>
      </c>
      <c r="M1217" s="350" t="str">
        <f>IF($B1217="Portfolio","Portfolio",IFERROR(INDEX(DATA_ASSET_CLASSIFICATION!$B$8:$B$24,MATCH($C1217,DATA_ASSET_CLASSIFICATION!$A$8:$A$24,0)),"Review"))</f>
        <v>Capilano House</v>
      </c>
      <c r="N1217" s="350" t="str">
        <f ca="1">IF($B1217="Portfolio","Portfolio",IFERROR(INDEX(DATA_ASSET_CLASSIFICATION!$U$8:$U$24,MATCH($C1217,DATA_ASSET_CLASSIFICATION!$A$8:$A$24,0)),"Review"))</f>
        <v>Stable</v>
      </c>
      <c r="O1217" s="350" t="str">
        <f ca="1">IF($B1217="Portfolio","Portfolio",IFERROR(INDEX(DATA_ASSET_CLASSIFICATION!$AB$8:$AB$13,MATCH($N1217,DATA_ASSET_CLASSIFICATION!$AA$8:$AA$13,0)),"Review"))</f>
        <v>Bucket 2 · Legacy</v>
      </c>
      <c r="P1217" s="350" t="str">
        <f>IF($B1217="Portfolio","Portfolio",IFERROR(INDEX(DATA_ASSET_CLASSIFICATION!$C$8:$C$24,MATCH($C1217,DATA_ASSET_CLASSIFICATION!$A$8:$A$24,0)),"Review"))</f>
        <v>Yes</v>
      </c>
      <c r="Q1217" s="350" t="str">
        <f t="shared" ca="1" si="37"/>
        <v>OK</v>
      </c>
    </row>
    <row r="1218" spans="1:17">
      <c r="A1218" s="366" t="s">
        <v>3174</v>
      </c>
      <c r="B1218" s="366" t="s">
        <v>231</v>
      </c>
      <c r="C1218" s="348" t="str">
        <f>DATA_PROPERTY_MASTER!$A$8</f>
        <v>BLD_CH</v>
      </c>
      <c r="D1218" s="380">
        <f>'00_PORTFOLIO ROLLUP'!H$12</f>
        <v>2028</v>
      </c>
      <c r="E1218" s="366" t="s">
        <v>1683</v>
      </c>
      <c r="F1218" s="366" t="s">
        <v>25</v>
      </c>
      <c r="G1218" s="348" t="str">
        <f>"'"&amp;$C1218&amp;"'!$E$52:$Y$52"</f>
        <v>'BLD_CH'!$E$52:$Y$52</v>
      </c>
      <c r="H1218" s="381">
        <f ca="1">IF(IFERROR(INDEX(DATA_PROPERTY_MASTER!$E$5:$E$21,MATCH($C1218,DATA_PROPERTY_MASTER!$A$5:$A$21,0))="Yes",FALSE),IFERROR(INDEX(INDIRECT("'"&amp;$C1218&amp;"'!$E$52:$Y$52"),1,MATCH($D1218,INDIRECT("'"&amp;$C1218&amp;"'!$E$12:$Y$12"),0)),0),0)</f>
        <v>474922.21878771181</v>
      </c>
      <c r="I1218" s="366" t="s">
        <v>1685</v>
      </c>
      <c r="J1218" s="348" t="str">
        <f t="shared" ca="1" si="36"/>
        <v>OK</v>
      </c>
      <c r="K1218" s="366" t="s">
        <v>1710</v>
      </c>
      <c r="L1218" s="366" t="s">
        <v>2246</v>
      </c>
      <c r="M1218" s="350" t="str">
        <f>IF($B1218="Portfolio","Portfolio",IFERROR(INDEX(DATA_ASSET_CLASSIFICATION!$B$8:$B$24,MATCH($C1218,DATA_ASSET_CLASSIFICATION!$A$8:$A$24,0)),"Review"))</f>
        <v>Capilano House</v>
      </c>
      <c r="N1218" s="350" t="str">
        <f ca="1">IF($B1218="Portfolio","Portfolio",IFERROR(INDEX(DATA_ASSET_CLASSIFICATION!$U$8:$U$24,MATCH($C1218,DATA_ASSET_CLASSIFICATION!$A$8:$A$24,0)),"Review"))</f>
        <v>Stable</v>
      </c>
      <c r="O1218" s="350" t="str">
        <f ca="1">IF($B1218="Portfolio","Portfolio",IFERROR(INDEX(DATA_ASSET_CLASSIFICATION!$AB$8:$AB$13,MATCH($N1218,DATA_ASSET_CLASSIFICATION!$AA$8:$AA$13,0)),"Review"))</f>
        <v>Bucket 2 · Legacy</v>
      </c>
      <c r="P1218" s="350" t="str">
        <f>IF($B1218="Portfolio","Portfolio",IFERROR(INDEX(DATA_ASSET_CLASSIFICATION!$C$8:$C$24,MATCH($C1218,DATA_ASSET_CLASSIFICATION!$A$8:$A$24,0)),"Review"))</f>
        <v>Yes</v>
      </c>
      <c r="Q1218" s="350" t="str">
        <f t="shared" ca="1" si="37"/>
        <v>OK</v>
      </c>
    </row>
    <row r="1219" spans="1:17">
      <c r="A1219" s="366" t="s">
        <v>3175</v>
      </c>
      <c r="B1219" s="366" t="s">
        <v>231</v>
      </c>
      <c r="C1219" s="348" t="str">
        <f>DATA_PROPERTY_MASTER!$A$8</f>
        <v>BLD_CH</v>
      </c>
      <c r="D1219" s="380">
        <f>'00_PORTFOLIO ROLLUP'!H$12</f>
        <v>2028</v>
      </c>
      <c r="E1219" s="366" t="s">
        <v>1683</v>
      </c>
      <c r="F1219" s="366" t="s">
        <v>27</v>
      </c>
      <c r="G1219" s="348" t="str">
        <f>"'"&amp;$C1219&amp;"'!$E$54:$Y$54"</f>
        <v>'BLD_CH'!$E$54:$Y$54</v>
      </c>
      <c r="H1219" s="381">
        <f ca="1">IF(IFERROR(INDEX(DATA_PROPERTY_MASTER!$E$5:$E$21,MATCH($C1219,DATA_PROPERTY_MASTER!$A$5:$A$21,0))="Yes",FALSE),IFERROR(INDEX(INDIRECT("'"&amp;$C1219&amp;"'!$E$54:$Y$54"),1,MATCH($D1219,INDIRECT("'"&amp;$C1219&amp;"'!$E$12:$Y$12"),0)),0),0)</f>
        <v>284953.33127262705</v>
      </c>
      <c r="I1219" s="366" t="s">
        <v>1690</v>
      </c>
      <c r="J1219" s="348" t="str">
        <f t="shared" ca="1" si="36"/>
        <v>OK</v>
      </c>
      <c r="K1219" s="366" t="s">
        <v>1714</v>
      </c>
      <c r="L1219" s="366" t="s">
        <v>2248</v>
      </c>
      <c r="M1219" s="350" t="str">
        <f>IF($B1219="Portfolio","Portfolio",IFERROR(INDEX(DATA_ASSET_CLASSIFICATION!$B$8:$B$24,MATCH($C1219,DATA_ASSET_CLASSIFICATION!$A$8:$A$24,0)),"Review"))</f>
        <v>Capilano House</v>
      </c>
      <c r="N1219" s="350" t="str">
        <f ca="1">IF($B1219="Portfolio","Portfolio",IFERROR(INDEX(DATA_ASSET_CLASSIFICATION!$U$8:$U$24,MATCH($C1219,DATA_ASSET_CLASSIFICATION!$A$8:$A$24,0)),"Review"))</f>
        <v>Stable</v>
      </c>
      <c r="O1219" s="350" t="str">
        <f ca="1">IF($B1219="Portfolio","Portfolio",IFERROR(INDEX(DATA_ASSET_CLASSIFICATION!$AB$8:$AB$13,MATCH($N1219,DATA_ASSET_CLASSIFICATION!$AA$8:$AA$13,0)),"Review"))</f>
        <v>Bucket 2 · Legacy</v>
      </c>
      <c r="P1219" s="350" t="str">
        <f>IF($B1219="Portfolio","Portfolio",IFERROR(INDEX(DATA_ASSET_CLASSIFICATION!$C$8:$C$24,MATCH($C1219,DATA_ASSET_CLASSIFICATION!$A$8:$A$24,0)),"Review"))</f>
        <v>Yes</v>
      </c>
      <c r="Q1219" s="350" t="str">
        <f t="shared" ca="1" si="37"/>
        <v>OK</v>
      </c>
    </row>
    <row r="1220" spans="1:17">
      <c r="A1220" s="366" t="s">
        <v>3176</v>
      </c>
      <c r="B1220" s="366" t="s">
        <v>231</v>
      </c>
      <c r="C1220" s="348" t="str">
        <f>DATA_PROPERTY_MASTER!$A$8</f>
        <v>BLD_CH</v>
      </c>
      <c r="D1220" s="380">
        <f>'00_PORTFOLIO ROLLUP'!H$12</f>
        <v>2028</v>
      </c>
      <c r="E1220" s="366" t="s">
        <v>1683</v>
      </c>
      <c r="F1220" s="366" t="s">
        <v>29</v>
      </c>
      <c r="G1220" s="348" t="str">
        <f>"'"&amp;$C1220&amp;"'!$E$56:$Y$56"</f>
        <v>'BLD_CH'!$E$56:$Y$56</v>
      </c>
      <c r="H1220" s="381">
        <f ca="1">IF(IFERROR(INDEX(DATA_PROPERTY_MASTER!$E$5:$E$21,MATCH($C1220,DATA_PROPERTY_MASTER!$A$5:$A$21,0))="Yes",FALSE),IFERROR(INDEX(INDIRECT("'"&amp;$C1220&amp;"'!$E$56:$Y$56"),1,MATCH($D1220,INDIRECT("'"&amp;$C1220&amp;"'!$E$12:$Y$12"),0)),0),0)</f>
        <v>189968.88751508476</v>
      </c>
      <c r="I1220" s="366" t="s">
        <v>1685</v>
      </c>
      <c r="J1220" s="348" t="str">
        <f t="shared" ca="1" si="36"/>
        <v>OK</v>
      </c>
      <c r="K1220" s="366" t="s">
        <v>1718</v>
      </c>
      <c r="L1220" s="366" t="s">
        <v>2250</v>
      </c>
      <c r="M1220" s="350" t="str">
        <f>IF($B1220="Portfolio","Portfolio",IFERROR(INDEX(DATA_ASSET_CLASSIFICATION!$B$8:$B$24,MATCH($C1220,DATA_ASSET_CLASSIFICATION!$A$8:$A$24,0)),"Review"))</f>
        <v>Capilano House</v>
      </c>
      <c r="N1220" s="350" t="str">
        <f ca="1">IF($B1220="Portfolio","Portfolio",IFERROR(INDEX(DATA_ASSET_CLASSIFICATION!$U$8:$U$24,MATCH($C1220,DATA_ASSET_CLASSIFICATION!$A$8:$A$24,0)),"Review"))</f>
        <v>Stable</v>
      </c>
      <c r="O1220" s="350" t="str">
        <f ca="1">IF($B1220="Portfolio","Portfolio",IFERROR(INDEX(DATA_ASSET_CLASSIFICATION!$AB$8:$AB$13,MATCH($N1220,DATA_ASSET_CLASSIFICATION!$AA$8:$AA$13,0)),"Review"))</f>
        <v>Bucket 2 · Legacy</v>
      </c>
      <c r="P1220" s="350" t="str">
        <f>IF($B1220="Portfolio","Portfolio",IFERROR(INDEX(DATA_ASSET_CLASSIFICATION!$C$8:$C$24,MATCH($C1220,DATA_ASSET_CLASSIFICATION!$A$8:$A$24,0)),"Review"))</f>
        <v>Yes</v>
      </c>
      <c r="Q1220" s="350" t="str">
        <f t="shared" ca="1" si="37"/>
        <v>OK</v>
      </c>
    </row>
    <row r="1221" spans="1:17">
      <c r="A1221" s="366" t="s">
        <v>3177</v>
      </c>
      <c r="B1221" s="366" t="s">
        <v>231</v>
      </c>
      <c r="C1221" s="348" t="str">
        <f>DATA_PROPERTY_MASTER!$A$8</f>
        <v>BLD_CH</v>
      </c>
      <c r="D1221" s="380">
        <f>'00_PORTFOLIO ROLLUP'!H$12</f>
        <v>2028</v>
      </c>
      <c r="E1221" s="366" t="s">
        <v>1721</v>
      </c>
      <c r="F1221" s="366" t="s">
        <v>31</v>
      </c>
      <c r="G1221" s="348" t="str">
        <f>"'"&amp;$C1221&amp;"'!$E$61:$Y$61"</f>
        <v>'BLD_CH'!$E$61:$Y$61</v>
      </c>
      <c r="H1221" s="381">
        <f ca="1">IF(IFERROR(INDEX(DATA_PROPERTY_MASTER!$E$5:$E$21,MATCH($C1221,DATA_PROPERTY_MASTER!$A$5:$A$21,0))="Yes",FALSE),IFERROR(INDEX(INDIRECT("'"&amp;$C1221&amp;"'!$E$61:$Y$61"),1,MATCH($D1221,INDIRECT("'"&amp;$C1221&amp;"'!$E$12:$Y$12"),0)),0),0)</f>
        <v>0</v>
      </c>
      <c r="I1221" s="366" t="s">
        <v>1690</v>
      </c>
      <c r="J1221" s="348" t="str">
        <f t="shared" ref="J1221:J1284" ca="1" si="38">IF($F1221="Residual Funding Gap",IF($H1221&gt;0,"Funding Gap","OK"),IF(AND($F1221="Net Refinance Position",$H1221&lt;0),"Negative net refi position","OK"))</f>
        <v>OK</v>
      </c>
      <c r="K1221" s="366" t="s">
        <v>1723</v>
      </c>
      <c r="L1221" s="366" t="s">
        <v>2252</v>
      </c>
      <c r="M1221" s="350" t="str">
        <f>IF($B1221="Portfolio","Portfolio",IFERROR(INDEX(DATA_ASSET_CLASSIFICATION!$B$8:$B$24,MATCH($C1221,DATA_ASSET_CLASSIFICATION!$A$8:$A$24,0)),"Review"))</f>
        <v>Capilano House</v>
      </c>
      <c r="N1221" s="350" t="str">
        <f ca="1">IF($B1221="Portfolio","Portfolio",IFERROR(INDEX(DATA_ASSET_CLASSIFICATION!$U$8:$U$24,MATCH($C1221,DATA_ASSET_CLASSIFICATION!$A$8:$A$24,0)),"Review"))</f>
        <v>Stable</v>
      </c>
      <c r="O1221" s="350" t="str">
        <f ca="1">IF($B1221="Portfolio","Portfolio",IFERROR(INDEX(DATA_ASSET_CLASSIFICATION!$AB$8:$AB$13,MATCH($N1221,DATA_ASSET_CLASSIFICATION!$AA$8:$AA$13,0)),"Review"))</f>
        <v>Bucket 2 · Legacy</v>
      </c>
      <c r="P1221" s="350" t="str">
        <f>IF($B1221="Portfolio","Portfolio",IFERROR(INDEX(DATA_ASSET_CLASSIFICATION!$C$8:$C$24,MATCH($C1221,DATA_ASSET_CLASSIFICATION!$A$8:$A$24,0)),"Review"))</f>
        <v>Yes</v>
      </c>
      <c r="Q1221" s="350" t="str">
        <f t="shared" ref="Q1221:Q1284" ca="1" si="39">IF(AND($B1221="Property",$F1221="Residual Funding Gap",$H1221&gt;0),"Property Funding Gap",IF($J1221&lt;&gt;"OK",$J1221,"OK"))</f>
        <v>OK</v>
      </c>
    </row>
    <row r="1222" spans="1:17">
      <c r="A1222" s="366" t="s">
        <v>3178</v>
      </c>
      <c r="B1222" s="366" t="s">
        <v>231</v>
      </c>
      <c r="C1222" s="348" t="str">
        <f>DATA_PROPERTY_MASTER!$A$8</f>
        <v>BLD_CH</v>
      </c>
      <c r="D1222" s="380">
        <f>'00_PORTFOLIO ROLLUP'!H$12</f>
        <v>2028</v>
      </c>
      <c r="E1222" s="366" t="s">
        <v>1721</v>
      </c>
      <c r="F1222" s="366" t="s">
        <v>33</v>
      </c>
      <c r="G1222" s="348" t="str">
        <f>"'"&amp;$C1222&amp;"'!$E$62:$Y$62"</f>
        <v>'BLD_CH'!$E$62:$Y$62</v>
      </c>
      <c r="H1222" s="381">
        <f ca="1">IF(IFERROR(INDEX(DATA_PROPERTY_MASTER!$E$5:$E$21,MATCH($C1222,DATA_PROPERTY_MASTER!$A$5:$A$21,0))="Yes",FALSE),IFERROR(INDEX(INDIRECT("'"&amp;$C1222&amp;"'!$E$62:$Y$62"),1,MATCH($D1222,INDIRECT("'"&amp;$C1222&amp;"'!$E$12:$Y$12"),0)),0),0)</f>
        <v>0</v>
      </c>
      <c r="I1222" s="366" t="s">
        <v>1685</v>
      </c>
      <c r="J1222" s="348" t="str">
        <f t="shared" ca="1" si="38"/>
        <v>OK</v>
      </c>
      <c r="K1222" s="366" t="s">
        <v>1727</v>
      </c>
      <c r="L1222" s="366" t="s">
        <v>2254</v>
      </c>
      <c r="M1222" s="350" t="str">
        <f>IF($B1222="Portfolio","Portfolio",IFERROR(INDEX(DATA_ASSET_CLASSIFICATION!$B$8:$B$24,MATCH($C1222,DATA_ASSET_CLASSIFICATION!$A$8:$A$24,0)),"Review"))</f>
        <v>Capilano House</v>
      </c>
      <c r="N1222" s="350" t="str">
        <f ca="1">IF($B1222="Portfolio","Portfolio",IFERROR(INDEX(DATA_ASSET_CLASSIFICATION!$U$8:$U$24,MATCH($C1222,DATA_ASSET_CLASSIFICATION!$A$8:$A$24,0)),"Review"))</f>
        <v>Stable</v>
      </c>
      <c r="O1222" s="350" t="str">
        <f ca="1">IF($B1222="Portfolio","Portfolio",IFERROR(INDEX(DATA_ASSET_CLASSIFICATION!$AB$8:$AB$13,MATCH($N1222,DATA_ASSET_CLASSIFICATION!$AA$8:$AA$13,0)),"Review"))</f>
        <v>Bucket 2 · Legacy</v>
      </c>
      <c r="P1222" s="350" t="str">
        <f>IF($B1222="Portfolio","Portfolio",IFERROR(INDEX(DATA_ASSET_CLASSIFICATION!$C$8:$C$24,MATCH($C1222,DATA_ASSET_CLASSIFICATION!$A$8:$A$24,0)),"Review"))</f>
        <v>Yes</v>
      </c>
      <c r="Q1222" s="350" t="str">
        <f t="shared" ca="1" si="39"/>
        <v>OK</v>
      </c>
    </row>
    <row r="1223" spans="1:17">
      <c r="A1223" s="366" t="s">
        <v>3179</v>
      </c>
      <c r="B1223" s="366" t="s">
        <v>231</v>
      </c>
      <c r="C1223" s="348" t="str">
        <f>DATA_PROPERTY_MASTER!$A$8</f>
        <v>BLD_CH</v>
      </c>
      <c r="D1223" s="380">
        <f>'00_PORTFOLIO ROLLUP'!H$12</f>
        <v>2028</v>
      </c>
      <c r="E1223" s="366" t="s">
        <v>1721</v>
      </c>
      <c r="F1223" s="366" t="s">
        <v>35</v>
      </c>
      <c r="G1223" s="348" t="str">
        <f>"'"&amp;$C1223&amp;"'!$E$63:$Y$63"</f>
        <v>'BLD_CH'!$E$63:$Y$63</v>
      </c>
      <c r="H1223" s="381">
        <f ca="1">IF(IFERROR(INDEX(DATA_PROPERTY_MASTER!$E$5:$E$21,MATCH($C1223,DATA_PROPERTY_MASTER!$A$5:$A$21,0))="Yes",FALSE),IFERROR(INDEX(INDIRECT("'"&amp;$C1223&amp;"'!$E$63:$Y$63"),1,MATCH($D1223,INDIRECT("'"&amp;$C1223&amp;"'!$E$12:$Y$12"),0)),0),0)</f>
        <v>0</v>
      </c>
      <c r="I1223" s="366" t="s">
        <v>1731</v>
      </c>
      <c r="J1223" s="348" t="str">
        <f t="shared" ca="1" si="38"/>
        <v>OK</v>
      </c>
      <c r="K1223" s="366" t="s">
        <v>1732</v>
      </c>
      <c r="L1223" s="366" t="s">
        <v>2256</v>
      </c>
      <c r="M1223" s="350" t="str">
        <f>IF($B1223="Portfolio","Portfolio",IFERROR(INDEX(DATA_ASSET_CLASSIFICATION!$B$8:$B$24,MATCH($C1223,DATA_ASSET_CLASSIFICATION!$A$8:$A$24,0)),"Review"))</f>
        <v>Capilano House</v>
      </c>
      <c r="N1223" s="350" t="str">
        <f ca="1">IF($B1223="Portfolio","Portfolio",IFERROR(INDEX(DATA_ASSET_CLASSIFICATION!$U$8:$U$24,MATCH($C1223,DATA_ASSET_CLASSIFICATION!$A$8:$A$24,0)),"Review"))</f>
        <v>Stable</v>
      </c>
      <c r="O1223" s="350" t="str">
        <f ca="1">IF($B1223="Portfolio","Portfolio",IFERROR(INDEX(DATA_ASSET_CLASSIFICATION!$AB$8:$AB$13,MATCH($N1223,DATA_ASSET_CLASSIFICATION!$AA$8:$AA$13,0)),"Review"))</f>
        <v>Bucket 2 · Legacy</v>
      </c>
      <c r="P1223" s="350" t="str">
        <f>IF($B1223="Portfolio","Portfolio",IFERROR(INDEX(DATA_ASSET_CLASSIFICATION!$C$8:$C$24,MATCH($C1223,DATA_ASSET_CLASSIFICATION!$A$8:$A$24,0)),"Review"))</f>
        <v>Yes</v>
      </c>
      <c r="Q1223" s="350" t="str">
        <f t="shared" ca="1" si="39"/>
        <v>OK</v>
      </c>
    </row>
    <row r="1224" spans="1:17">
      <c r="A1224" s="366" t="s">
        <v>3180</v>
      </c>
      <c r="B1224" s="366" t="s">
        <v>231</v>
      </c>
      <c r="C1224" s="348" t="str">
        <f>DATA_PROPERTY_MASTER!$A$8</f>
        <v>BLD_CH</v>
      </c>
      <c r="D1224" s="380">
        <f>'00_PORTFOLIO ROLLUP'!H$12</f>
        <v>2028</v>
      </c>
      <c r="E1224" s="366" t="s">
        <v>1721</v>
      </c>
      <c r="F1224" s="366" t="s">
        <v>37</v>
      </c>
      <c r="G1224" s="348" t="str">
        <f>"'"&amp;$C1224&amp;"'!$E$63:$Y$63"</f>
        <v>'BLD_CH'!$E$63:$Y$63</v>
      </c>
      <c r="H1224" s="381">
        <f ca="1">IF(IFERROR(INDEX(DATA_PROPERTY_MASTER!$E$5:$E$21,MATCH($C1224,DATA_PROPERTY_MASTER!$A$5:$A$21,0))="Yes",FALSE),MAX(IFERROR(INDEX(INDIRECT("'"&amp;$C1224&amp;"'!$E$63:$Y$63"),1,MATCH($D1224,INDIRECT("'"&amp;$C1224&amp;"'!$E$12:$Y$12"),0)),0),0),0)</f>
        <v>0</v>
      </c>
      <c r="I1224" s="366" t="s">
        <v>1685</v>
      </c>
      <c r="J1224" s="348" t="str">
        <f t="shared" ca="1" si="38"/>
        <v>OK</v>
      </c>
      <c r="K1224" s="366" t="s">
        <v>1735</v>
      </c>
      <c r="L1224" s="366" t="s">
        <v>2258</v>
      </c>
      <c r="M1224" s="350" t="str">
        <f>IF($B1224="Portfolio","Portfolio",IFERROR(INDEX(DATA_ASSET_CLASSIFICATION!$B$8:$B$24,MATCH($C1224,DATA_ASSET_CLASSIFICATION!$A$8:$A$24,0)),"Review"))</f>
        <v>Capilano House</v>
      </c>
      <c r="N1224" s="350" t="str">
        <f ca="1">IF($B1224="Portfolio","Portfolio",IFERROR(INDEX(DATA_ASSET_CLASSIFICATION!$U$8:$U$24,MATCH($C1224,DATA_ASSET_CLASSIFICATION!$A$8:$A$24,0)),"Review"))</f>
        <v>Stable</v>
      </c>
      <c r="O1224" s="350" t="str">
        <f ca="1">IF($B1224="Portfolio","Portfolio",IFERROR(INDEX(DATA_ASSET_CLASSIFICATION!$AB$8:$AB$13,MATCH($N1224,DATA_ASSET_CLASSIFICATION!$AA$8:$AA$13,0)),"Review"))</f>
        <v>Bucket 2 · Legacy</v>
      </c>
      <c r="P1224" s="350" t="str">
        <f>IF($B1224="Portfolio","Portfolio",IFERROR(INDEX(DATA_ASSET_CLASSIFICATION!$C$8:$C$24,MATCH($C1224,DATA_ASSET_CLASSIFICATION!$A$8:$A$24,0)),"Review"))</f>
        <v>Yes</v>
      </c>
      <c r="Q1224" s="350" t="str">
        <f t="shared" ca="1" si="39"/>
        <v>OK</v>
      </c>
    </row>
    <row r="1225" spans="1:17">
      <c r="A1225" s="366" t="s">
        <v>3181</v>
      </c>
      <c r="B1225" s="366" t="s">
        <v>231</v>
      </c>
      <c r="C1225" s="348" t="str">
        <f>DATA_PROPERTY_MASTER!$A$8</f>
        <v>BLD_CH</v>
      </c>
      <c r="D1225" s="380">
        <f>'00_PORTFOLIO ROLLUP'!H$12</f>
        <v>2028</v>
      </c>
      <c r="E1225" s="366" t="s">
        <v>1721</v>
      </c>
      <c r="F1225" s="366" t="s">
        <v>39</v>
      </c>
      <c r="G1225" s="348" t="str">
        <f>"'"&amp;$C1225&amp;"'!$E$63:$Y$63"</f>
        <v>'BLD_CH'!$E$63:$Y$63</v>
      </c>
      <c r="H1225" s="381">
        <f ca="1">IF(IFERROR(INDEX(DATA_PROPERTY_MASTER!$E$5:$E$21,MATCH($C1225,DATA_PROPERTY_MASTER!$A$5:$A$21,0))="Yes",FALSE),MAX(-IFERROR(INDEX(INDIRECT("'"&amp;$C1225&amp;"'!$E$63:$Y$63"),1,MATCH($D1225,INDIRECT("'"&amp;$C1225&amp;"'!$E$12:$Y$12"),0)),0),0),0)</f>
        <v>0</v>
      </c>
      <c r="I1225" s="366" t="s">
        <v>1690</v>
      </c>
      <c r="J1225" s="348" t="str">
        <f t="shared" ca="1" si="38"/>
        <v>OK</v>
      </c>
      <c r="K1225" s="366" t="s">
        <v>1738</v>
      </c>
      <c r="L1225" s="366" t="s">
        <v>2260</v>
      </c>
      <c r="M1225" s="350" t="str">
        <f>IF($B1225="Portfolio","Portfolio",IFERROR(INDEX(DATA_ASSET_CLASSIFICATION!$B$8:$B$24,MATCH($C1225,DATA_ASSET_CLASSIFICATION!$A$8:$A$24,0)),"Review"))</f>
        <v>Capilano House</v>
      </c>
      <c r="N1225" s="350" t="str">
        <f ca="1">IF($B1225="Portfolio","Portfolio",IFERROR(INDEX(DATA_ASSET_CLASSIFICATION!$U$8:$U$24,MATCH($C1225,DATA_ASSET_CLASSIFICATION!$A$8:$A$24,0)),"Review"))</f>
        <v>Stable</v>
      </c>
      <c r="O1225" s="350" t="str">
        <f ca="1">IF($B1225="Portfolio","Portfolio",IFERROR(INDEX(DATA_ASSET_CLASSIFICATION!$AB$8:$AB$13,MATCH($N1225,DATA_ASSET_CLASSIFICATION!$AA$8:$AA$13,0)),"Review"))</f>
        <v>Bucket 2 · Legacy</v>
      </c>
      <c r="P1225" s="350" t="str">
        <f>IF($B1225="Portfolio","Portfolio",IFERROR(INDEX(DATA_ASSET_CLASSIFICATION!$C$8:$C$24,MATCH($C1225,DATA_ASSET_CLASSIFICATION!$A$8:$A$24,0)),"Review"))</f>
        <v>Yes</v>
      </c>
      <c r="Q1225" s="350" t="str">
        <f t="shared" ca="1" si="39"/>
        <v>OK</v>
      </c>
    </row>
    <row r="1226" spans="1:17">
      <c r="A1226" s="366" t="s">
        <v>3182</v>
      </c>
      <c r="B1226" s="366" t="s">
        <v>231</v>
      </c>
      <c r="C1226" s="348" t="str">
        <f>DATA_PROPERTY_MASTER!$A$8</f>
        <v>BLD_CH</v>
      </c>
      <c r="D1226" s="380">
        <f>'00_PORTFOLIO ROLLUP'!H$12</f>
        <v>2028</v>
      </c>
      <c r="E1226" s="366" t="s">
        <v>1741</v>
      </c>
      <c r="F1226" s="366" t="s">
        <v>41</v>
      </c>
      <c r="G1226" s="348" t="str">
        <f>"'"&amp;$C1226&amp;"'!rows 56 + positive row 63"</f>
        <v>'BLD_CH'!rows 56 + positive row 63</v>
      </c>
      <c r="H1226" s="381">
        <f ca="1">IF(IFERROR(INDEX(DATA_PROPERTY_MASTER!$E$5:$E$21,MATCH($C1226,DATA_PROPERTY_MASTER!$A$5:$A$21,0))="Yes",FALSE),IFERROR(INDEX(INDIRECT("'"&amp;$C1226&amp;"'!$E$56:$Y$56"),1,MATCH($D1226,INDIRECT("'"&amp;$C1226&amp;"'!$E$12:$Y$12"),0)),0)+MAX(IFERROR(INDEX(INDIRECT("'"&amp;$C1226&amp;"'!$E$63:$Y$63"),1,MATCH($D1226,INDIRECT("'"&amp;$C1226&amp;"'!$E$12:$Y$12"),0)),0),0),0)</f>
        <v>189968.88751508476</v>
      </c>
      <c r="I1226" s="366" t="s">
        <v>1685</v>
      </c>
      <c r="J1226" s="348" t="str">
        <f t="shared" ca="1" si="38"/>
        <v>OK</v>
      </c>
      <c r="K1226" s="366" t="s">
        <v>1742</v>
      </c>
      <c r="L1226" s="366" t="s">
        <v>2262</v>
      </c>
      <c r="M1226" s="350" t="str">
        <f>IF($B1226="Portfolio","Portfolio",IFERROR(INDEX(DATA_ASSET_CLASSIFICATION!$B$8:$B$24,MATCH($C1226,DATA_ASSET_CLASSIFICATION!$A$8:$A$24,0)),"Review"))</f>
        <v>Capilano House</v>
      </c>
      <c r="N1226" s="350" t="str">
        <f ca="1">IF($B1226="Portfolio","Portfolio",IFERROR(INDEX(DATA_ASSET_CLASSIFICATION!$U$8:$U$24,MATCH($C1226,DATA_ASSET_CLASSIFICATION!$A$8:$A$24,0)),"Review"))</f>
        <v>Stable</v>
      </c>
      <c r="O1226" s="350" t="str">
        <f ca="1">IF($B1226="Portfolio","Portfolio",IFERROR(INDEX(DATA_ASSET_CLASSIFICATION!$AB$8:$AB$13,MATCH($N1226,DATA_ASSET_CLASSIFICATION!$AA$8:$AA$13,0)),"Review"))</f>
        <v>Bucket 2 · Legacy</v>
      </c>
      <c r="P1226" s="350" t="str">
        <f>IF($B1226="Portfolio","Portfolio",IFERROR(INDEX(DATA_ASSET_CLASSIFICATION!$C$8:$C$24,MATCH($C1226,DATA_ASSET_CLASSIFICATION!$A$8:$A$24,0)),"Review"))</f>
        <v>Yes</v>
      </c>
      <c r="Q1226" s="350" t="str">
        <f t="shared" ca="1" si="39"/>
        <v>OK</v>
      </c>
    </row>
    <row r="1227" spans="1:17">
      <c r="A1227" s="366" t="s">
        <v>3183</v>
      </c>
      <c r="B1227" s="366" t="s">
        <v>231</v>
      </c>
      <c r="C1227" s="348" t="str">
        <f>DATA_PROPERTY_MASTER!$A$8</f>
        <v>BLD_CH</v>
      </c>
      <c r="D1227" s="380">
        <f>'00_PORTFOLIO ROLLUP'!H$12</f>
        <v>2028</v>
      </c>
      <c r="E1227" s="366" t="s">
        <v>1741</v>
      </c>
      <c r="F1227" s="366" t="s">
        <v>43</v>
      </c>
      <c r="G1227" s="348" t="str">
        <f>"'"&amp;$C1227&amp;"'!$E$68:$Y$68"</f>
        <v>'BLD_CH'!$E$68:$Y$68</v>
      </c>
      <c r="H1227" s="381">
        <f ca="1">IF(IFERROR(INDEX(DATA_PROPERTY_MASTER!$E$5:$E$21,MATCH($C1227,DATA_PROPERTY_MASTER!$A$5:$A$21,0))="Yes",FALSE),IFERROR(INDEX(INDIRECT("'"&amp;$C1227&amp;"'!$E$68:$Y$68"),1,MATCH($D1227,INDIRECT("'"&amp;$C1227&amp;"'!$E$12:$Y$12"),0)),0),0)</f>
        <v>189968.88751508476</v>
      </c>
      <c r="I1227" s="366" t="s">
        <v>1731</v>
      </c>
      <c r="J1227" s="348" t="str">
        <f t="shared" ca="1" si="38"/>
        <v>OK</v>
      </c>
      <c r="K1227" s="366" t="s">
        <v>1746</v>
      </c>
      <c r="L1227" s="366" t="s">
        <v>2264</v>
      </c>
      <c r="M1227" s="350" t="str">
        <f>IF($B1227="Portfolio","Portfolio",IFERROR(INDEX(DATA_ASSET_CLASSIFICATION!$B$8:$B$24,MATCH($C1227,DATA_ASSET_CLASSIFICATION!$A$8:$A$24,0)),"Review"))</f>
        <v>Capilano House</v>
      </c>
      <c r="N1227" s="350" t="str">
        <f ca="1">IF($B1227="Portfolio","Portfolio",IFERROR(INDEX(DATA_ASSET_CLASSIFICATION!$U$8:$U$24,MATCH($C1227,DATA_ASSET_CLASSIFICATION!$A$8:$A$24,0)),"Review"))</f>
        <v>Stable</v>
      </c>
      <c r="O1227" s="350" t="str">
        <f ca="1">IF($B1227="Portfolio","Portfolio",IFERROR(INDEX(DATA_ASSET_CLASSIFICATION!$AB$8:$AB$13,MATCH($N1227,DATA_ASSET_CLASSIFICATION!$AA$8:$AA$13,0)),"Review"))</f>
        <v>Bucket 2 · Legacy</v>
      </c>
      <c r="P1227" s="350" t="str">
        <f>IF($B1227="Portfolio","Portfolio",IFERROR(INDEX(DATA_ASSET_CLASSIFICATION!$C$8:$C$24,MATCH($C1227,DATA_ASSET_CLASSIFICATION!$A$8:$A$24,0)),"Review"))</f>
        <v>Yes</v>
      </c>
      <c r="Q1227" s="350" t="str">
        <f t="shared" ca="1" si="39"/>
        <v>OK</v>
      </c>
    </row>
    <row r="1228" spans="1:17">
      <c r="A1228" s="366" t="s">
        <v>3184</v>
      </c>
      <c r="B1228" s="366" t="s">
        <v>231</v>
      </c>
      <c r="C1228" s="348" t="str">
        <f>DATA_PROPERTY_MASTER!$A$8</f>
        <v>BLD_CH</v>
      </c>
      <c r="D1228" s="380">
        <f>'00_PORTFOLIO ROLLUP'!H$12</f>
        <v>2028</v>
      </c>
      <c r="E1228" s="366" t="s">
        <v>1741</v>
      </c>
      <c r="F1228" s="366" t="s">
        <v>1749</v>
      </c>
      <c r="G1228" s="348" t="str">
        <f>"'"&amp;$C1228&amp;"'!rows 56, 63, 68"</f>
        <v>'BLD_CH'!rows 56, 63, 68</v>
      </c>
      <c r="H1228" s="381">
        <f ca="1">IF(IFERROR(INDEX(DATA_PROPERTY_MASTER!$E$5:$E$21,MATCH($C1228,DATA_PROPERTY_MASTER!$A$5:$A$21,0))="Yes",FALSE),(IFERROR(INDEX(INDIRECT("'"&amp;$C1228&amp;"'!$E$56:$Y$56"),1,MATCH($D1228,INDIRECT("'"&amp;$C1228&amp;"'!$E$12:$Y$12"),0)),0)+MAX(IFERROR(INDEX(INDIRECT("'"&amp;$C1228&amp;"'!$E$63:$Y$63"),1,MATCH($D1228,INDIRECT("'"&amp;$C1228&amp;"'!$E$12:$Y$12"),0)),0),0))-(IFERROR(INDEX(INDIRECT("'"&amp;$C1228&amp;"'!$E$68:$Y$68"),1,MATCH($D1228,INDIRECT("'"&amp;$C1228&amp;"'!$E$12:$Y$12"),0)),0)),0)</f>
        <v>0</v>
      </c>
      <c r="I1228" s="366" t="s">
        <v>1750</v>
      </c>
      <c r="J1228" s="348" t="str">
        <f t="shared" ca="1" si="38"/>
        <v>OK</v>
      </c>
      <c r="K1228" s="366" t="s">
        <v>1751</v>
      </c>
      <c r="L1228" s="366" t="s">
        <v>2266</v>
      </c>
      <c r="M1228" s="350" t="str">
        <f>IF($B1228="Portfolio","Portfolio",IFERROR(INDEX(DATA_ASSET_CLASSIFICATION!$B$8:$B$24,MATCH($C1228,DATA_ASSET_CLASSIFICATION!$A$8:$A$24,0)),"Review"))</f>
        <v>Capilano House</v>
      </c>
      <c r="N1228" s="350" t="str">
        <f ca="1">IF($B1228="Portfolio","Portfolio",IFERROR(INDEX(DATA_ASSET_CLASSIFICATION!$U$8:$U$24,MATCH($C1228,DATA_ASSET_CLASSIFICATION!$A$8:$A$24,0)),"Review"))</f>
        <v>Stable</v>
      </c>
      <c r="O1228" s="350" t="str">
        <f ca="1">IF($B1228="Portfolio","Portfolio",IFERROR(INDEX(DATA_ASSET_CLASSIFICATION!$AB$8:$AB$13,MATCH($N1228,DATA_ASSET_CLASSIFICATION!$AA$8:$AA$13,0)),"Review"))</f>
        <v>Bucket 2 · Legacy</v>
      </c>
      <c r="P1228" s="350" t="str">
        <f>IF($B1228="Portfolio","Portfolio",IFERROR(INDEX(DATA_ASSET_CLASSIFICATION!$C$8:$C$24,MATCH($C1228,DATA_ASSET_CLASSIFICATION!$A$8:$A$24,0)),"Review"))</f>
        <v>Yes</v>
      </c>
      <c r="Q1228" s="350" t="str">
        <f t="shared" ca="1" si="39"/>
        <v>OK</v>
      </c>
    </row>
    <row r="1229" spans="1:17">
      <c r="A1229" s="366" t="s">
        <v>3185</v>
      </c>
      <c r="B1229" s="366" t="s">
        <v>231</v>
      </c>
      <c r="C1229" s="348" t="str">
        <f>DATA_PROPERTY_MASTER!$A$8</f>
        <v>BLD_CH</v>
      </c>
      <c r="D1229" s="380">
        <f>'00_PORTFOLIO ROLLUP'!I$12</f>
        <v>2029</v>
      </c>
      <c r="E1229" s="366" t="s">
        <v>1683</v>
      </c>
      <c r="F1229" s="366" t="s">
        <v>341</v>
      </c>
      <c r="G1229" s="348" t="str">
        <f>"'"&amp;$C1229&amp;"'!$E$24:$Y$24"</f>
        <v>'BLD_CH'!$E$24:$Y$24</v>
      </c>
      <c r="H1229" s="381">
        <f ca="1">IF(IFERROR(INDEX(DATA_PROPERTY_MASTER!$E$5:$E$21,MATCH($C1229,DATA_PROPERTY_MASTER!$A$5:$A$21,0))="Yes",FALSE),IFERROR(INDEX(INDIRECT("'"&amp;$C1229&amp;"'!$E$24:$Y$24"),1,MATCH($D1229,INDIRECT("'"&amp;$C1229&amp;"'!$E$12:$Y$12"),0)),0),0)</f>
        <v>1045186.6045957861</v>
      </c>
      <c r="I1229" s="366" t="s">
        <v>1685</v>
      </c>
      <c r="J1229" s="348" t="str">
        <f t="shared" ca="1" si="38"/>
        <v>OK</v>
      </c>
      <c r="K1229" s="366" t="s">
        <v>1686</v>
      </c>
      <c r="L1229" s="366" t="s">
        <v>2234</v>
      </c>
      <c r="M1229" s="350" t="str">
        <f>IF($B1229="Portfolio","Portfolio",IFERROR(INDEX(DATA_ASSET_CLASSIFICATION!$B$8:$B$24,MATCH($C1229,DATA_ASSET_CLASSIFICATION!$A$8:$A$24,0)),"Review"))</f>
        <v>Capilano House</v>
      </c>
      <c r="N1229" s="350" t="str">
        <f ca="1">IF($B1229="Portfolio","Portfolio",IFERROR(INDEX(DATA_ASSET_CLASSIFICATION!$U$8:$U$24,MATCH($C1229,DATA_ASSET_CLASSIFICATION!$A$8:$A$24,0)),"Review"))</f>
        <v>Stable</v>
      </c>
      <c r="O1229" s="350" t="str">
        <f ca="1">IF($B1229="Portfolio","Portfolio",IFERROR(INDEX(DATA_ASSET_CLASSIFICATION!$AB$8:$AB$13,MATCH($N1229,DATA_ASSET_CLASSIFICATION!$AA$8:$AA$13,0)),"Review"))</f>
        <v>Bucket 2 · Legacy</v>
      </c>
      <c r="P1229" s="350" t="str">
        <f>IF($B1229="Portfolio","Portfolio",IFERROR(INDEX(DATA_ASSET_CLASSIFICATION!$C$8:$C$24,MATCH($C1229,DATA_ASSET_CLASSIFICATION!$A$8:$A$24,0)),"Review"))</f>
        <v>Yes</v>
      </c>
      <c r="Q1229" s="350" t="str">
        <f t="shared" ca="1" si="39"/>
        <v>OK</v>
      </c>
    </row>
    <row r="1230" spans="1:17">
      <c r="A1230" s="366" t="s">
        <v>3186</v>
      </c>
      <c r="B1230" s="366" t="s">
        <v>231</v>
      </c>
      <c r="C1230" s="348" t="str">
        <f>DATA_PROPERTY_MASTER!$A$8</f>
        <v>BLD_CH</v>
      </c>
      <c r="D1230" s="380">
        <f>'00_PORTFOLIO ROLLUP'!I$12</f>
        <v>2029</v>
      </c>
      <c r="E1230" s="366" t="s">
        <v>1683</v>
      </c>
      <c r="F1230" s="366" t="s">
        <v>355</v>
      </c>
      <c r="G1230" s="348" t="str">
        <f>"'"&amp;$C1230&amp;"'!$E$39:$Y$39"</f>
        <v>'BLD_CH'!$E$39:$Y$39</v>
      </c>
      <c r="H1230" s="381">
        <f ca="1">IF(IFERROR(INDEX(DATA_PROPERTY_MASTER!$E$5:$E$21,MATCH($C1230,DATA_PROPERTY_MASTER!$A$5:$A$21,0))="Yes",FALSE),IFERROR(INDEX(INDIRECT("'"&amp;$C1230&amp;"'!$E$39:$Y$39"),1,MATCH($D1230,INDIRECT("'"&amp;$C1230&amp;"'!$E$12:$Y$12"),0)),0),0)</f>
        <v>571761.35204864014</v>
      </c>
      <c r="I1230" s="366" t="s">
        <v>1690</v>
      </c>
      <c r="J1230" s="348" t="str">
        <f t="shared" ca="1" si="38"/>
        <v>OK</v>
      </c>
      <c r="K1230" s="366" t="s">
        <v>1686</v>
      </c>
      <c r="L1230" s="366" t="s">
        <v>2236</v>
      </c>
      <c r="M1230" s="350" t="str">
        <f>IF($B1230="Portfolio","Portfolio",IFERROR(INDEX(DATA_ASSET_CLASSIFICATION!$B$8:$B$24,MATCH($C1230,DATA_ASSET_CLASSIFICATION!$A$8:$A$24,0)),"Review"))</f>
        <v>Capilano House</v>
      </c>
      <c r="N1230" s="350" t="str">
        <f ca="1">IF($B1230="Portfolio","Portfolio",IFERROR(INDEX(DATA_ASSET_CLASSIFICATION!$U$8:$U$24,MATCH($C1230,DATA_ASSET_CLASSIFICATION!$A$8:$A$24,0)),"Review"))</f>
        <v>Stable</v>
      </c>
      <c r="O1230" s="350" t="str">
        <f ca="1">IF($B1230="Portfolio","Portfolio",IFERROR(INDEX(DATA_ASSET_CLASSIFICATION!$AB$8:$AB$13,MATCH($N1230,DATA_ASSET_CLASSIFICATION!$AA$8:$AA$13,0)),"Review"))</f>
        <v>Bucket 2 · Legacy</v>
      </c>
      <c r="P1230" s="350" t="str">
        <f>IF($B1230="Portfolio","Portfolio",IFERROR(INDEX(DATA_ASSET_CLASSIFICATION!$C$8:$C$24,MATCH($C1230,DATA_ASSET_CLASSIFICATION!$A$8:$A$24,0)),"Review"))</f>
        <v>Yes</v>
      </c>
      <c r="Q1230" s="350" t="str">
        <f t="shared" ca="1" si="39"/>
        <v>OK</v>
      </c>
    </row>
    <row r="1231" spans="1:17">
      <c r="A1231" s="366" t="s">
        <v>3187</v>
      </c>
      <c r="B1231" s="366" t="s">
        <v>231</v>
      </c>
      <c r="C1231" s="348" t="str">
        <f>DATA_PROPERTY_MASTER!$A$8</f>
        <v>BLD_CH</v>
      </c>
      <c r="D1231" s="380">
        <f>'00_PORTFOLIO ROLLUP'!I$12</f>
        <v>2029</v>
      </c>
      <c r="E1231" s="366" t="s">
        <v>1683</v>
      </c>
      <c r="F1231" s="366" t="s">
        <v>19</v>
      </c>
      <c r="G1231" s="348" t="str">
        <f>"'"&amp;$C1231&amp;"'!$E$41:$Y$41"</f>
        <v>'BLD_CH'!$E$41:$Y$41</v>
      </c>
      <c r="H1231" s="381">
        <f ca="1">IF(IFERROR(INDEX(DATA_PROPERTY_MASTER!$E$5:$E$21,MATCH($C1231,DATA_PROPERTY_MASTER!$A$5:$A$21,0))="Yes",FALSE),IFERROR(INDEX(INDIRECT("'"&amp;$C1231&amp;"'!$E$41:$Y$41"),1,MATCH($D1231,INDIRECT("'"&amp;$C1231&amp;"'!$E$12:$Y$12"),0)),0),0)</f>
        <v>473425.25254714594</v>
      </c>
      <c r="I1231" s="366" t="s">
        <v>1685</v>
      </c>
      <c r="J1231" s="348" t="str">
        <f t="shared" ca="1" si="38"/>
        <v>OK</v>
      </c>
      <c r="K1231" s="366" t="s">
        <v>1694</v>
      </c>
      <c r="L1231" s="366" t="s">
        <v>2238</v>
      </c>
      <c r="M1231" s="350" t="str">
        <f>IF($B1231="Portfolio","Portfolio",IFERROR(INDEX(DATA_ASSET_CLASSIFICATION!$B$8:$B$24,MATCH($C1231,DATA_ASSET_CLASSIFICATION!$A$8:$A$24,0)),"Review"))</f>
        <v>Capilano House</v>
      </c>
      <c r="N1231" s="350" t="str">
        <f ca="1">IF($B1231="Portfolio","Portfolio",IFERROR(INDEX(DATA_ASSET_CLASSIFICATION!$U$8:$U$24,MATCH($C1231,DATA_ASSET_CLASSIFICATION!$A$8:$A$24,0)),"Review"))</f>
        <v>Stable</v>
      </c>
      <c r="O1231" s="350" t="str">
        <f ca="1">IF($B1231="Portfolio","Portfolio",IFERROR(INDEX(DATA_ASSET_CLASSIFICATION!$AB$8:$AB$13,MATCH($N1231,DATA_ASSET_CLASSIFICATION!$AA$8:$AA$13,0)),"Review"))</f>
        <v>Bucket 2 · Legacy</v>
      </c>
      <c r="P1231" s="350" t="str">
        <f>IF($B1231="Portfolio","Portfolio",IFERROR(INDEX(DATA_ASSET_CLASSIFICATION!$C$8:$C$24,MATCH($C1231,DATA_ASSET_CLASSIFICATION!$A$8:$A$24,0)),"Review"))</f>
        <v>Yes</v>
      </c>
      <c r="Q1231" s="350" t="str">
        <f t="shared" ca="1" si="39"/>
        <v>OK</v>
      </c>
    </row>
    <row r="1232" spans="1:17">
      <c r="A1232" s="366" t="s">
        <v>3188</v>
      </c>
      <c r="B1232" s="366" t="s">
        <v>231</v>
      </c>
      <c r="C1232" s="348" t="str">
        <f>DATA_PROPERTY_MASTER!$A$8</f>
        <v>BLD_CH</v>
      </c>
      <c r="D1232" s="380">
        <f>'00_PORTFOLIO ROLLUP'!I$12</f>
        <v>2029</v>
      </c>
      <c r="E1232" s="366" t="s">
        <v>1683</v>
      </c>
      <c r="F1232" s="366" t="s">
        <v>1697</v>
      </c>
      <c r="G1232" s="348" t="str">
        <f>"'"&amp;$C1232&amp;"'!$E$44:$Y$44"</f>
        <v>'BLD_CH'!$E$44:$Y$44</v>
      </c>
      <c r="H1232" s="381">
        <f ca="1">IF(IFERROR(INDEX(DATA_PROPERTY_MASTER!$E$5:$E$21,MATCH($C1232,DATA_PROPERTY_MASTER!$A$5:$A$21,0))="Yes",FALSE),IFERROR(INDEX(INDIRECT("'"&amp;$C1232&amp;"'!$E$44:$Y$44"),1,MATCH($D1232,INDIRECT("'"&amp;$C1232&amp;"'!$E$12:$Y$12"),0)),0),0)</f>
        <v>10391.348736</v>
      </c>
      <c r="I1232" s="366" t="s">
        <v>1690</v>
      </c>
      <c r="J1232" s="348" t="str">
        <f t="shared" ca="1" si="38"/>
        <v>OK</v>
      </c>
      <c r="K1232" s="366" t="s">
        <v>1699</v>
      </c>
      <c r="L1232" s="366" t="s">
        <v>2240</v>
      </c>
      <c r="M1232" s="350" t="str">
        <f>IF($B1232="Portfolio","Portfolio",IFERROR(INDEX(DATA_ASSET_CLASSIFICATION!$B$8:$B$24,MATCH($C1232,DATA_ASSET_CLASSIFICATION!$A$8:$A$24,0)),"Review"))</f>
        <v>Capilano House</v>
      </c>
      <c r="N1232" s="350" t="str">
        <f ca="1">IF($B1232="Portfolio","Portfolio",IFERROR(INDEX(DATA_ASSET_CLASSIFICATION!$U$8:$U$24,MATCH($C1232,DATA_ASSET_CLASSIFICATION!$A$8:$A$24,0)),"Review"))</f>
        <v>Stable</v>
      </c>
      <c r="O1232" s="350" t="str">
        <f ca="1">IF($B1232="Portfolio","Portfolio",IFERROR(INDEX(DATA_ASSET_CLASSIFICATION!$AB$8:$AB$13,MATCH($N1232,DATA_ASSET_CLASSIFICATION!$AA$8:$AA$13,0)),"Review"))</f>
        <v>Bucket 2 · Legacy</v>
      </c>
      <c r="P1232" s="350" t="str">
        <f>IF($B1232="Portfolio","Portfolio",IFERROR(INDEX(DATA_ASSET_CLASSIFICATION!$C$8:$C$24,MATCH($C1232,DATA_ASSET_CLASSIFICATION!$A$8:$A$24,0)),"Review"))</f>
        <v>Yes</v>
      </c>
      <c r="Q1232" s="350" t="str">
        <f t="shared" ca="1" si="39"/>
        <v>OK</v>
      </c>
    </row>
    <row r="1233" spans="1:17">
      <c r="A1233" s="366" t="s">
        <v>3189</v>
      </c>
      <c r="B1233" s="366" t="s">
        <v>231</v>
      </c>
      <c r="C1233" s="348" t="str">
        <f>DATA_PROPERTY_MASTER!$A$8</f>
        <v>BLD_CH</v>
      </c>
      <c r="D1233" s="380">
        <f>'00_PORTFOLIO ROLLUP'!I$12</f>
        <v>2029</v>
      </c>
      <c r="E1233" s="366" t="s">
        <v>1683</v>
      </c>
      <c r="F1233" s="366" t="s">
        <v>21</v>
      </c>
      <c r="G1233" s="348" t="str">
        <f>"'"&amp;$C1233&amp;"'!$E$45:$Y$45"</f>
        <v>'BLD_CH'!$E$45:$Y$45</v>
      </c>
      <c r="H1233" s="381">
        <f ca="1">IF(IFERROR(INDEX(DATA_PROPERTY_MASTER!$E$5:$E$21,MATCH($C1233,DATA_PROPERTY_MASTER!$A$5:$A$21,0))="Yes",FALSE),IFERROR(INDEX(INDIRECT("'"&amp;$C1233&amp;"'!$E$45:$Y$45"),1,MATCH($D1233,INDIRECT("'"&amp;$C1233&amp;"'!$E$12:$Y$12"),0)),0),0)</f>
        <v>463033.90381114592</v>
      </c>
      <c r="I1233" s="366" t="s">
        <v>1685</v>
      </c>
      <c r="J1233" s="348" t="str">
        <f t="shared" ca="1" si="38"/>
        <v>OK</v>
      </c>
      <c r="K1233" s="366" t="s">
        <v>1694</v>
      </c>
      <c r="L1233" s="366" t="s">
        <v>2242</v>
      </c>
      <c r="M1233" s="350" t="str">
        <f>IF($B1233="Portfolio","Portfolio",IFERROR(INDEX(DATA_ASSET_CLASSIFICATION!$B$8:$B$24,MATCH($C1233,DATA_ASSET_CLASSIFICATION!$A$8:$A$24,0)),"Review"))</f>
        <v>Capilano House</v>
      </c>
      <c r="N1233" s="350" t="str">
        <f ca="1">IF($B1233="Portfolio","Portfolio",IFERROR(INDEX(DATA_ASSET_CLASSIFICATION!$U$8:$U$24,MATCH($C1233,DATA_ASSET_CLASSIFICATION!$A$8:$A$24,0)),"Review"))</f>
        <v>Stable</v>
      </c>
      <c r="O1233" s="350" t="str">
        <f ca="1">IF($B1233="Portfolio","Portfolio",IFERROR(INDEX(DATA_ASSET_CLASSIFICATION!$AB$8:$AB$13,MATCH($N1233,DATA_ASSET_CLASSIFICATION!$AA$8:$AA$13,0)),"Review"))</f>
        <v>Bucket 2 · Legacy</v>
      </c>
      <c r="P1233" s="350" t="str">
        <f>IF($B1233="Portfolio","Portfolio",IFERROR(INDEX(DATA_ASSET_CLASSIFICATION!$C$8:$C$24,MATCH($C1233,DATA_ASSET_CLASSIFICATION!$A$8:$A$24,0)),"Review"))</f>
        <v>Yes</v>
      </c>
      <c r="Q1233" s="350" t="str">
        <f t="shared" ca="1" si="39"/>
        <v>OK</v>
      </c>
    </row>
    <row r="1234" spans="1:17">
      <c r="A1234" s="366" t="s">
        <v>3190</v>
      </c>
      <c r="B1234" s="366" t="s">
        <v>231</v>
      </c>
      <c r="C1234" s="348" t="str">
        <f>DATA_PROPERTY_MASTER!$A$8</f>
        <v>BLD_CH</v>
      </c>
      <c r="D1234" s="380">
        <f>'00_PORTFOLIO ROLLUP'!I$12</f>
        <v>2029</v>
      </c>
      <c r="E1234" s="366" t="s">
        <v>23</v>
      </c>
      <c r="F1234" s="366" t="s">
        <v>23</v>
      </c>
      <c r="G1234" s="348" t="str">
        <f>"'"&amp;$C1234&amp;"'!$E$48:$Y$48"</f>
        <v>'BLD_CH'!$E$48:$Y$48</v>
      </c>
      <c r="H1234" s="381">
        <f ca="1">IF(IFERROR(INDEX(DATA_PROPERTY_MASTER!$E$5:$E$21,MATCH($C1234,DATA_PROPERTY_MASTER!$A$5:$A$21,0))="Yes",FALSE),IFERROR(INDEX(INDIRECT("'"&amp;$C1234&amp;"'!$E$48:$Y$48"),1,MATCH($D1234,INDIRECT("'"&amp;$C1234&amp;"'!$E$12:$Y$12"),0)),0),0)</f>
        <v>0</v>
      </c>
      <c r="I1234" s="366" t="s">
        <v>1690</v>
      </c>
      <c r="J1234" s="348" t="str">
        <f t="shared" ca="1" si="38"/>
        <v>OK</v>
      </c>
      <c r="K1234" s="366" t="s">
        <v>1706</v>
      </c>
      <c r="L1234" s="366" t="s">
        <v>2244</v>
      </c>
      <c r="M1234" s="350" t="str">
        <f>IF($B1234="Portfolio","Portfolio",IFERROR(INDEX(DATA_ASSET_CLASSIFICATION!$B$8:$B$24,MATCH($C1234,DATA_ASSET_CLASSIFICATION!$A$8:$A$24,0)),"Review"))</f>
        <v>Capilano House</v>
      </c>
      <c r="N1234" s="350" t="str">
        <f ca="1">IF($B1234="Portfolio","Portfolio",IFERROR(INDEX(DATA_ASSET_CLASSIFICATION!$U$8:$U$24,MATCH($C1234,DATA_ASSET_CLASSIFICATION!$A$8:$A$24,0)),"Review"))</f>
        <v>Stable</v>
      </c>
      <c r="O1234" s="350" t="str">
        <f ca="1">IF($B1234="Portfolio","Portfolio",IFERROR(INDEX(DATA_ASSET_CLASSIFICATION!$AB$8:$AB$13,MATCH($N1234,DATA_ASSET_CLASSIFICATION!$AA$8:$AA$13,0)),"Review"))</f>
        <v>Bucket 2 · Legacy</v>
      </c>
      <c r="P1234" s="350" t="str">
        <f>IF($B1234="Portfolio","Portfolio",IFERROR(INDEX(DATA_ASSET_CLASSIFICATION!$C$8:$C$24,MATCH($C1234,DATA_ASSET_CLASSIFICATION!$A$8:$A$24,0)),"Review"))</f>
        <v>Yes</v>
      </c>
      <c r="Q1234" s="350" t="str">
        <f t="shared" ca="1" si="39"/>
        <v>OK</v>
      </c>
    </row>
    <row r="1235" spans="1:17">
      <c r="A1235" s="366" t="s">
        <v>3191</v>
      </c>
      <c r="B1235" s="366" t="s">
        <v>231</v>
      </c>
      <c r="C1235" s="348" t="str">
        <f>DATA_PROPERTY_MASTER!$A$8</f>
        <v>BLD_CH</v>
      </c>
      <c r="D1235" s="380">
        <f>'00_PORTFOLIO ROLLUP'!I$12</f>
        <v>2029</v>
      </c>
      <c r="E1235" s="366" t="s">
        <v>1683</v>
      </c>
      <c r="F1235" s="366" t="s">
        <v>25</v>
      </c>
      <c r="G1235" s="348" t="str">
        <f>"'"&amp;$C1235&amp;"'!$E$52:$Y$52"</f>
        <v>'BLD_CH'!$E$52:$Y$52</v>
      </c>
      <c r="H1235" s="381">
        <f ca="1">IF(IFERROR(INDEX(DATA_PROPERTY_MASTER!$E$5:$E$21,MATCH($C1235,DATA_PROPERTY_MASTER!$A$5:$A$21,0))="Yes",FALSE),IFERROR(INDEX(INDIRECT("'"&amp;$C1235&amp;"'!$E$52:$Y$52"),1,MATCH($D1235,INDIRECT("'"&amp;$C1235&amp;"'!$E$12:$Y$12"),0)),0),0)</f>
        <v>473425.25254714594</v>
      </c>
      <c r="I1235" s="366" t="s">
        <v>1685</v>
      </c>
      <c r="J1235" s="348" t="str">
        <f t="shared" ca="1" si="38"/>
        <v>OK</v>
      </c>
      <c r="K1235" s="366" t="s">
        <v>1710</v>
      </c>
      <c r="L1235" s="366" t="s">
        <v>2246</v>
      </c>
      <c r="M1235" s="350" t="str">
        <f>IF($B1235="Portfolio","Portfolio",IFERROR(INDEX(DATA_ASSET_CLASSIFICATION!$B$8:$B$24,MATCH($C1235,DATA_ASSET_CLASSIFICATION!$A$8:$A$24,0)),"Review"))</f>
        <v>Capilano House</v>
      </c>
      <c r="N1235" s="350" t="str">
        <f ca="1">IF($B1235="Portfolio","Portfolio",IFERROR(INDEX(DATA_ASSET_CLASSIFICATION!$U$8:$U$24,MATCH($C1235,DATA_ASSET_CLASSIFICATION!$A$8:$A$24,0)),"Review"))</f>
        <v>Stable</v>
      </c>
      <c r="O1235" s="350" t="str">
        <f ca="1">IF($B1235="Portfolio","Portfolio",IFERROR(INDEX(DATA_ASSET_CLASSIFICATION!$AB$8:$AB$13,MATCH($N1235,DATA_ASSET_CLASSIFICATION!$AA$8:$AA$13,0)),"Review"))</f>
        <v>Bucket 2 · Legacy</v>
      </c>
      <c r="P1235" s="350" t="str">
        <f>IF($B1235="Portfolio","Portfolio",IFERROR(INDEX(DATA_ASSET_CLASSIFICATION!$C$8:$C$24,MATCH($C1235,DATA_ASSET_CLASSIFICATION!$A$8:$A$24,0)),"Review"))</f>
        <v>Yes</v>
      </c>
      <c r="Q1235" s="350" t="str">
        <f t="shared" ca="1" si="39"/>
        <v>OK</v>
      </c>
    </row>
    <row r="1236" spans="1:17">
      <c r="A1236" s="366" t="s">
        <v>3192</v>
      </c>
      <c r="B1236" s="366" t="s">
        <v>231</v>
      </c>
      <c r="C1236" s="348" t="str">
        <f>DATA_PROPERTY_MASTER!$A$8</f>
        <v>BLD_CH</v>
      </c>
      <c r="D1236" s="380">
        <f>'00_PORTFOLIO ROLLUP'!I$12</f>
        <v>2029</v>
      </c>
      <c r="E1236" s="366" t="s">
        <v>1683</v>
      </c>
      <c r="F1236" s="366" t="s">
        <v>27</v>
      </c>
      <c r="G1236" s="348" t="str">
        <f>"'"&amp;$C1236&amp;"'!$E$54:$Y$54"</f>
        <v>'BLD_CH'!$E$54:$Y$54</v>
      </c>
      <c r="H1236" s="381">
        <f ca="1">IF(IFERROR(INDEX(DATA_PROPERTY_MASTER!$E$5:$E$21,MATCH($C1236,DATA_PROPERTY_MASTER!$A$5:$A$21,0))="Yes",FALSE),IFERROR(INDEX(INDIRECT("'"&amp;$C1236&amp;"'!$E$54:$Y$54"),1,MATCH($D1236,INDIRECT("'"&amp;$C1236&amp;"'!$E$12:$Y$12"),0)),0),0)</f>
        <v>284055.15152828756</v>
      </c>
      <c r="I1236" s="366" t="s">
        <v>1690</v>
      </c>
      <c r="J1236" s="348" t="str">
        <f t="shared" ca="1" si="38"/>
        <v>OK</v>
      </c>
      <c r="K1236" s="366" t="s">
        <v>1714</v>
      </c>
      <c r="L1236" s="366" t="s">
        <v>2248</v>
      </c>
      <c r="M1236" s="350" t="str">
        <f>IF($B1236="Portfolio","Portfolio",IFERROR(INDEX(DATA_ASSET_CLASSIFICATION!$B$8:$B$24,MATCH($C1236,DATA_ASSET_CLASSIFICATION!$A$8:$A$24,0)),"Review"))</f>
        <v>Capilano House</v>
      </c>
      <c r="N1236" s="350" t="str">
        <f ca="1">IF($B1236="Portfolio","Portfolio",IFERROR(INDEX(DATA_ASSET_CLASSIFICATION!$U$8:$U$24,MATCH($C1236,DATA_ASSET_CLASSIFICATION!$A$8:$A$24,0)),"Review"))</f>
        <v>Stable</v>
      </c>
      <c r="O1236" s="350" t="str">
        <f ca="1">IF($B1236="Portfolio","Portfolio",IFERROR(INDEX(DATA_ASSET_CLASSIFICATION!$AB$8:$AB$13,MATCH($N1236,DATA_ASSET_CLASSIFICATION!$AA$8:$AA$13,0)),"Review"))</f>
        <v>Bucket 2 · Legacy</v>
      </c>
      <c r="P1236" s="350" t="str">
        <f>IF($B1236="Portfolio","Portfolio",IFERROR(INDEX(DATA_ASSET_CLASSIFICATION!$C$8:$C$24,MATCH($C1236,DATA_ASSET_CLASSIFICATION!$A$8:$A$24,0)),"Review"))</f>
        <v>Yes</v>
      </c>
      <c r="Q1236" s="350" t="str">
        <f t="shared" ca="1" si="39"/>
        <v>OK</v>
      </c>
    </row>
    <row r="1237" spans="1:17">
      <c r="A1237" s="366" t="s">
        <v>3193</v>
      </c>
      <c r="B1237" s="366" t="s">
        <v>231</v>
      </c>
      <c r="C1237" s="348" t="str">
        <f>DATA_PROPERTY_MASTER!$A$8</f>
        <v>BLD_CH</v>
      </c>
      <c r="D1237" s="380">
        <f>'00_PORTFOLIO ROLLUP'!I$12</f>
        <v>2029</v>
      </c>
      <c r="E1237" s="366" t="s">
        <v>1683</v>
      </c>
      <c r="F1237" s="366" t="s">
        <v>29</v>
      </c>
      <c r="G1237" s="348" t="str">
        <f>"'"&amp;$C1237&amp;"'!$E$56:$Y$56"</f>
        <v>'BLD_CH'!$E$56:$Y$56</v>
      </c>
      <c r="H1237" s="381">
        <f ca="1">IF(IFERROR(INDEX(DATA_PROPERTY_MASTER!$E$5:$E$21,MATCH($C1237,DATA_PROPERTY_MASTER!$A$5:$A$21,0))="Yes",FALSE),IFERROR(INDEX(INDIRECT("'"&amp;$C1237&amp;"'!$E$56:$Y$56"),1,MATCH($D1237,INDIRECT("'"&amp;$C1237&amp;"'!$E$12:$Y$12"),0)),0),0)</f>
        <v>189370.10101885838</v>
      </c>
      <c r="I1237" s="366" t="s">
        <v>1685</v>
      </c>
      <c r="J1237" s="348" t="str">
        <f t="shared" ca="1" si="38"/>
        <v>OK</v>
      </c>
      <c r="K1237" s="366" t="s">
        <v>1718</v>
      </c>
      <c r="L1237" s="366" t="s">
        <v>2250</v>
      </c>
      <c r="M1237" s="350" t="str">
        <f>IF($B1237="Portfolio","Portfolio",IFERROR(INDEX(DATA_ASSET_CLASSIFICATION!$B$8:$B$24,MATCH($C1237,DATA_ASSET_CLASSIFICATION!$A$8:$A$24,0)),"Review"))</f>
        <v>Capilano House</v>
      </c>
      <c r="N1237" s="350" t="str">
        <f ca="1">IF($B1237="Portfolio","Portfolio",IFERROR(INDEX(DATA_ASSET_CLASSIFICATION!$U$8:$U$24,MATCH($C1237,DATA_ASSET_CLASSIFICATION!$A$8:$A$24,0)),"Review"))</f>
        <v>Stable</v>
      </c>
      <c r="O1237" s="350" t="str">
        <f ca="1">IF($B1237="Portfolio","Portfolio",IFERROR(INDEX(DATA_ASSET_CLASSIFICATION!$AB$8:$AB$13,MATCH($N1237,DATA_ASSET_CLASSIFICATION!$AA$8:$AA$13,0)),"Review"))</f>
        <v>Bucket 2 · Legacy</v>
      </c>
      <c r="P1237" s="350" t="str">
        <f>IF($B1237="Portfolio","Portfolio",IFERROR(INDEX(DATA_ASSET_CLASSIFICATION!$C$8:$C$24,MATCH($C1237,DATA_ASSET_CLASSIFICATION!$A$8:$A$24,0)),"Review"))</f>
        <v>Yes</v>
      </c>
      <c r="Q1237" s="350" t="str">
        <f t="shared" ca="1" si="39"/>
        <v>OK</v>
      </c>
    </row>
    <row r="1238" spans="1:17">
      <c r="A1238" s="366" t="s">
        <v>3194</v>
      </c>
      <c r="B1238" s="366" t="s">
        <v>231</v>
      </c>
      <c r="C1238" s="348" t="str">
        <f>DATA_PROPERTY_MASTER!$A$8</f>
        <v>BLD_CH</v>
      </c>
      <c r="D1238" s="380">
        <f>'00_PORTFOLIO ROLLUP'!I$12</f>
        <v>2029</v>
      </c>
      <c r="E1238" s="366" t="s">
        <v>1721</v>
      </c>
      <c r="F1238" s="366" t="s">
        <v>31</v>
      </c>
      <c r="G1238" s="348" t="str">
        <f>"'"&amp;$C1238&amp;"'!$E$61:$Y$61"</f>
        <v>'BLD_CH'!$E$61:$Y$61</v>
      </c>
      <c r="H1238" s="381">
        <f ca="1">IF(IFERROR(INDEX(DATA_PROPERTY_MASTER!$E$5:$E$21,MATCH($C1238,DATA_PROPERTY_MASTER!$A$5:$A$21,0))="Yes",FALSE),IFERROR(INDEX(INDIRECT("'"&amp;$C1238&amp;"'!$E$61:$Y$61"),1,MATCH($D1238,INDIRECT("'"&amp;$C1238&amp;"'!$E$12:$Y$12"),0)),0),0)</f>
        <v>0</v>
      </c>
      <c r="I1238" s="366" t="s">
        <v>1690</v>
      </c>
      <c r="J1238" s="348" t="str">
        <f t="shared" ca="1" si="38"/>
        <v>OK</v>
      </c>
      <c r="K1238" s="366" t="s">
        <v>1723</v>
      </c>
      <c r="L1238" s="366" t="s">
        <v>2252</v>
      </c>
      <c r="M1238" s="350" t="str">
        <f>IF($B1238="Portfolio","Portfolio",IFERROR(INDEX(DATA_ASSET_CLASSIFICATION!$B$8:$B$24,MATCH($C1238,DATA_ASSET_CLASSIFICATION!$A$8:$A$24,0)),"Review"))</f>
        <v>Capilano House</v>
      </c>
      <c r="N1238" s="350" t="str">
        <f ca="1">IF($B1238="Portfolio","Portfolio",IFERROR(INDEX(DATA_ASSET_CLASSIFICATION!$U$8:$U$24,MATCH($C1238,DATA_ASSET_CLASSIFICATION!$A$8:$A$24,0)),"Review"))</f>
        <v>Stable</v>
      </c>
      <c r="O1238" s="350" t="str">
        <f ca="1">IF($B1238="Portfolio","Portfolio",IFERROR(INDEX(DATA_ASSET_CLASSIFICATION!$AB$8:$AB$13,MATCH($N1238,DATA_ASSET_CLASSIFICATION!$AA$8:$AA$13,0)),"Review"))</f>
        <v>Bucket 2 · Legacy</v>
      </c>
      <c r="P1238" s="350" t="str">
        <f>IF($B1238="Portfolio","Portfolio",IFERROR(INDEX(DATA_ASSET_CLASSIFICATION!$C$8:$C$24,MATCH($C1238,DATA_ASSET_CLASSIFICATION!$A$8:$A$24,0)),"Review"))</f>
        <v>Yes</v>
      </c>
      <c r="Q1238" s="350" t="str">
        <f t="shared" ca="1" si="39"/>
        <v>OK</v>
      </c>
    </row>
    <row r="1239" spans="1:17">
      <c r="A1239" s="366" t="s">
        <v>3195</v>
      </c>
      <c r="B1239" s="366" t="s">
        <v>231</v>
      </c>
      <c r="C1239" s="348" t="str">
        <f>DATA_PROPERTY_MASTER!$A$8</f>
        <v>BLD_CH</v>
      </c>
      <c r="D1239" s="380">
        <f>'00_PORTFOLIO ROLLUP'!I$12</f>
        <v>2029</v>
      </c>
      <c r="E1239" s="366" t="s">
        <v>1721</v>
      </c>
      <c r="F1239" s="366" t="s">
        <v>33</v>
      </c>
      <c r="G1239" s="348" t="str">
        <f>"'"&amp;$C1239&amp;"'!$E$62:$Y$62"</f>
        <v>'BLD_CH'!$E$62:$Y$62</v>
      </c>
      <c r="H1239" s="381">
        <f ca="1">IF(IFERROR(INDEX(DATA_PROPERTY_MASTER!$E$5:$E$21,MATCH($C1239,DATA_PROPERTY_MASTER!$A$5:$A$21,0))="Yes",FALSE),IFERROR(INDEX(INDIRECT("'"&amp;$C1239&amp;"'!$E$62:$Y$62"),1,MATCH($D1239,INDIRECT("'"&amp;$C1239&amp;"'!$E$12:$Y$12"),0)),0),0)</f>
        <v>0</v>
      </c>
      <c r="I1239" s="366" t="s">
        <v>1685</v>
      </c>
      <c r="J1239" s="348" t="str">
        <f t="shared" ca="1" si="38"/>
        <v>OK</v>
      </c>
      <c r="K1239" s="366" t="s">
        <v>1727</v>
      </c>
      <c r="L1239" s="366" t="s">
        <v>2254</v>
      </c>
      <c r="M1239" s="350" t="str">
        <f>IF($B1239="Portfolio","Portfolio",IFERROR(INDEX(DATA_ASSET_CLASSIFICATION!$B$8:$B$24,MATCH($C1239,DATA_ASSET_CLASSIFICATION!$A$8:$A$24,0)),"Review"))</f>
        <v>Capilano House</v>
      </c>
      <c r="N1239" s="350" t="str">
        <f ca="1">IF($B1239="Portfolio","Portfolio",IFERROR(INDEX(DATA_ASSET_CLASSIFICATION!$U$8:$U$24,MATCH($C1239,DATA_ASSET_CLASSIFICATION!$A$8:$A$24,0)),"Review"))</f>
        <v>Stable</v>
      </c>
      <c r="O1239" s="350" t="str">
        <f ca="1">IF($B1239="Portfolio","Portfolio",IFERROR(INDEX(DATA_ASSET_CLASSIFICATION!$AB$8:$AB$13,MATCH($N1239,DATA_ASSET_CLASSIFICATION!$AA$8:$AA$13,0)),"Review"))</f>
        <v>Bucket 2 · Legacy</v>
      </c>
      <c r="P1239" s="350" t="str">
        <f>IF($B1239="Portfolio","Portfolio",IFERROR(INDEX(DATA_ASSET_CLASSIFICATION!$C$8:$C$24,MATCH($C1239,DATA_ASSET_CLASSIFICATION!$A$8:$A$24,0)),"Review"))</f>
        <v>Yes</v>
      </c>
      <c r="Q1239" s="350" t="str">
        <f t="shared" ca="1" si="39"/>
        <v>OK</v>
      </c>
    </row>
    <row r="1240" spans="1:17">
      <c r="A1240" s="366" t="s">
        <v>3196</v>
      </c>
      <c r="B1240" s="366" t="s">
        <v>231</v>
      </c>
      <c r="C1240" s="348" t="str">
        <f>DATA_PROPERTY_MASTER!$A$8</f>
        <v>BLD_CH</v>
      </c>
      <c r="D1240" s="380">
        <f>'00_PORTFOLIO ROLLUP'!I$12</f>
        <v>2029</v>
      </c>
      <c r="E1240" s="366" t="s">
        <v>1721</v>
      </c>
      <c r="F1240" s="366" t="s">
        <v>35</v>
      </c>
      <c r="G1240" s="348" t="str">
        <f>"'"&amp;$C1240&amp;"'!$E$63:$Y$63"</f>
        <v>'BLD_CH'!$E$63:$Y$63</v>
      </c>
      <c r="H1240" s="381">
        <f ca="1">IF(IFERROR(INDEX(DATA_PROPERTY_MASTER!$E$5:$E$21,MATCH($C1240,DATA_PROPERTY_MASTER!$A$5:$A$21,0))="Yes",FALSE),IFERROR(INDEX(INDIRECT("'"&amp;$C1240&amp;"'!$E$63:$Y$63"),1,MATCH($D1240,INDIRECT("'"&amp;$C1240&amp;"'!$E$12:$Y$12"),0)),0),0)</f>
        <v>0</v>
      </c>
      <c r="I1240" s="366" t="s">
        <v>1731</v>
      </c>
      <c r="J1240" s="348" t="str">
        <f t="shared" ca="1" si="38"/>
        <v>OK</v>
      </c>
      <c r="K1240" s="366" t="s">
        <v>1732</v>
      </c>
      <c r="L1240" s="366" t="s">
        <v>2256</v>
      </c>
      <c r="M1240" s="350" t="str">
        <f>IF($B1240="Portfolio","Portfolio",IFERROR(INDEX(DATA_ASSET_CLASSIFICATION!$B$8:$B$24,MATCH($C1240,DATA_ASSET_CLASSIFICATION!$A$8:$A$24,0)),"Review"))</f>
        <v>Capilano House</v>
      </c>
      <c r="N1240" s="350" t="str">
        <f ca="1">IF($B1240="Portfolio","Portfolio",IFERROR(INDEX(DATA_ASSET_CLASSIFICATION!$U$8:$U$24,MATCH($C1240,DATA_ASSET_CLASSIFICATION!$A$8:$A$24,0)),"Review"))</f>
        <v>Stable</v>
      </c>
      <c r="O1240" s="350" t="str">
        <f ca="1">IF($B1240="Portfolio","Portfolio",IFERROR(INDEX(DATA_ASSET_CLASSIFICATION!$AB$8:$AB$13,MATCH($N1240,DATA_ASSET_CLASSIFICATION!$AA$8:$AA$13,0)),"Review"))</f>
        <v>Bucket 2 · Legacy</v>
      </c>
      <c r="P1240" s="350" t="str">
        <f>IF($B1240="Portfolio","Portfolio",IFERROR(INDEX(DATA_ASSET_CLASSIFICATION!$C$8:$C$24,MATCH($C1240,DATA_ASSET_CLASSIFICATION!$A$8:$A$24,0)),"Review"))</f>
        <v>Yes</v>
      </c>
      <c r="Q1240" s="350" t="str">
        <f t="shared" ca="1" si="39"/>
        <v>OK</v>
      </c>
    </row>
    <row r="1241" spans="1:17">
      <c r="A1241" s="366" t="s">
        <v>3197</v>
      </c>
      <c r="B1241" s="366" t="s">
        <v>231</v>
      </c>
      <c r="C1241" s="348" t="str">
        <f>DATA_PROPERTY_MASTER!$A$8</f>
        <v>BLD_CH</v>
      </c>
      <c r="D1241" s="380">
        <f>'00_PORTFOLIO ROLLUP'!I$12</f>
        <v>2029</v>
      </c>
      <c r="E1241" s="366" t="s">
        <v>1721</v>
      </c>
      <c r="F1241" s="366" t="s">
        <v>37</v>
      </c>
      <c r="G1241" s="348" t="str">
        <f>"'"&amp;$C1241&amp;"'!$E$63:$Y$63"</f>
        <v>'BLD_CH'!$E$63:$Y$63</v>
      </c>
      <c r="H1241" s="381">
        <f ca="1">IF(IFERROR(INDEX(DATA_PROPERTY_MASTER!$E$5:$E$21,MATCH($C1241,DATA_PROPERTY_MASTER!$A$5:$A$21,0))="Yes",FALSE),MAX(IFERROR(INDEX(INDIRECT("'"&amp;$C1241&amp;"'!$E$63:$Y$63"),1,MATCH($D1241,INDIRECT("'"&amp;$C1241&amp;"'!$E$12:$Y$12"),0)),0),0),0)</f>
        <v>0</v>
      </c>
      <c r="I1241" s="366" t="s">
        <v>1685</v>
      </c>
      <c r="J1241" s="348" t="str">
        <f t="shared" ca="1" si="38"/>
        <v>OK</v>
      </c>
      <c r="K1241" s="366" t="s">
        <v>1735</v>
      </c>
      <c r="L1241" s="366" t="s">
        <v>2258</v>
      </c>
      <c r="M1241" s="350" t="str">
        <f>IF($B1241="Portfolio","Portfolio",IFERROR(INDEX(DATA_ASSET_CLASSIFICATION!$B$8:$B$24,MATCH($C1241,DATA_ASSET_CLASSIFICATION!$A$8:$A$24,0)),"Review"))</f>
        <v>Capilano House</v>
      </c>
      <c r="N1241" s="350" t="str">
        <f ca="1">IF($B1241="Portfolio","Portfolio",IFERROR(INDEX(DATA_ASSET_CLASSIFICATION!$U$8:$U$24,MATCH($C1241,DATA_ASSET_CLASSIFICATION!$A$8:$A$24,0)),"Review"))</f>
        <v>Stable</v>
      </c>
      <c r="O1241" s="350" t="str">
        <f ca="1">IF($B1241="Portfolio","Portfolio",IFERROR(INDEX(DATA_ASSET_CLASSIFICATION!$AB$8:$AB$13,MATCH($N1241,DATA_ASSET_CLASSIFICATION!$AA$8:$AA$13,0)),"Review"))</f>
        <v>Bucket 2 · Legacy</v>
      </c>
      <c r="P1241" s="350" t="str">
        <f>IF($B1241="Portfolio","Portfolio",IFERROR(INDEX(DATA_ASSET_CLASSIFICATION!$C$8:$C$24,MATCH($C1241,DATA_ASSET_CLASSIFICATION!$A$8:$A$24,0)),"Review"))</f>
        <v>Yes</v>
      </c>
      <c r="Q1241" s="350" t="str">
        <f t="shared" ca="1" si="39"/>
        <v>OK</v>
      </c>
    </row>
    <row r="1242" spans="1:17">
      <c r="A1242" s="366" t="s">
        <v>3198</v>
      </c>
      <c r="B1242" s="366" t="s">
        <v>231</v>
      </c>
      <c r="C1242" s="348" t="str">
        <f>DATA_PROPERTY_MASTER!$A$8</f>
        <v>BLD_CH</v>
      </c>
      <c r="D1242" s="380">
        <f>'00_PORTFOLIO ROLLUP'!I$12</f>
        <v>2029</v>
      </c>
      <c r="E1242" s="366" t="s">
        <v>1721</v>
      </c>
      <c r="F1242" s="366" t="s">
        <v>39</v>
      </c>
      <c r="G1242" s="348" t="str">
        <f>"'"&amp;$C1242&amp;"'!$E$63:$Y$63"</f>
        <v>'BLD_CH'!$E$63:$Y$63</v>
      </c>
      <c r="H1242" s="381">
        <f ca="1">IF(IFERROR(INDEX(DATA_PROPERTY_MASTER!$E$5:$E$21,MATCH($C1242,DATA_PROPERTY_MASTER!$A$5:$A$21,0))="Yes",FALSE),MAX(-IFERROR(INDEX(INDIRECT("'"&amp;$C1242&amp;"'!$E$63:$Y$63"),1,MATCH($D1242,INDIRECT("'"&amp;$C1242&amp;"'!$E$12:$Y$12"),0)),0),0),0)</f>
        <v>0</v>
      </c>
      <c r="I1242" s="366" t="s">
        <v>1690</v>
      </c>
      <c r="J1242" s="348" t="str">
        <f t="shared" ca="1" si="38"/>
        <v>OK</v>
      </c>
      <c r="K1242" s="366" t="s">
        <v>1738</v>
      </c>
      <c r="L1242" s="366" t="s">
        <v>2260</v>
      </c>
      <c r="M1242" s="350" t="str">
        <f>IF($B1242="Portfolio","Portfolio",IFERROR(INDEX(DATA_ASSET_CLASSIFICATION!$B$8:$B$24,MATCH($C1242,DATA_ASSET_CLASSIFICATION!$A$8:$A$24,0)),"Review"))</f>
        <v>Capilano House</v>
      </c>
      <c r="N1242" s="350" t="str">
        <f ca="1">IF($B1242="Portfolio","Portfolio",IFERROR(INDEX(DATA_ASSET_CLASSIFICATION!$U$8:$U$24,MATCH($C1242,DATA_ASSET_CLASSIFICATION!$A$8:$A$24,0)),"Review"))</f>
        <v>Stable</v>
      </c>
      <c r="O1242" s="350" t="str">
        <f ca="1">IF($B1242="Portfolio","Portfolio",IFERROR(INDEX(DATA_ASSET_CLASSIFICATION!$AB$8:$AB$13,MATCH($N1242,DATA_ASSET_CLASSIFICATION!$AA$8:$AA$13,0)),"Review"))</f>
        <v>Bucket 2 · Legacy</v>
      </c>
      <c r="P1242" s="350" t="str">
        <f>IF($B1242="Portfolio","Portfolio",IFERROR(INDEX(DATA_ASSET_CLASSIFICATION!$C$8:$C$24,MATCH($C1242,DATA_ASSET_CLASSIFICATION!$A$8:$A$24,0)),"Review"))</f>
        <v>Yes</v>
      </c>
      <c r="Q1242" s="350" t="str">
        <f t="shared" ca="1" si="39"/>
        <v>OK</v>
      </c>
    </row>
    <row r="1243" spans="1:17">
      <c r="A1243" s="366" t="s">
        <v>3199</v>
      </c>
      <c r="B1243" s="366" t="s">
        <v>231</v>
      </c>
      <c r="C1243" s="348" t="str">
        <f>DATA_PROPERTY_MASTER!$A$8</f>
        <v>BLD_CH</v>
      </c>
      <c r="D1243" s="380">
        <f>'00_PORTFOLIO ROLLUP'!I$12</f>
        <v>2029</v>
      </c>
      <c r="E1243" s="366" t="s">
        <v>1741</v>
      </c>
      <c r="F1243" s="366" t="s">
        <v>41</v>
      </c>
      <c r="G1243" s="348" t="str">
        <f>"'"&amp;$C1243&amp;"'!rows 56 + positive row 63"</f>
        <v>'BLD_CH'!rows 56 + positive row 63</v>
      </c>
      <c r="H1243" s="381">
        <f ca="1">IF(IFERROR(INDEX(DATA_PROPERTY_MASTER!$E$5:$E$21,MATCH($C1243,DATA_PROPERTY_MASTER!$A$5:$A$21,0))="Yes",FALSE),IFERROR(INDEX(INDIRECT("'"&amp;$C1243&amp;"'!$E$56:$Y$56"),1,MATCH($D1243,INDIRECT("'"&amp;$C1243&amp;"'!$E$12:$Y$12"),0)),0)+MAX(IFERROR(INDEX(INDIRECT("'"&amp;$C1243&amp;"'!$E$63:$Y$63"),1,MATCH($D1243,INDIRECT("'"&amp;$C1243&amp;"'!$E$12:$Y$12"),0)),0),0),0)</f>
        <v>189370.10101885838</v>
      </c>
      <c r="I1243" s="366" t="s">
        <v>1685</v>
      </c>
      <c r="J1243" s="348" t="str">
        <f t="shared" ca="1" si="38"/>
        <v>OK</v>
      </c>
      <c r="K1243" s="366" t="s">
        <v>1742</v>
      </c>
      <c r="L1243" s="366" t="s">
        <v>2262</v>
      </c>
      <c r="M1243" s="350" t="str">
        <f>IF($B1243="Portfolio","Portfolio",IFERROR(INDEX(DATA_ASSET_CLASSIFICATION!$B$8:$B$24,MATCH($C1243,DATA_ASSET_CLASSIFICATION!$A$8:$A$24,0)),"Review"))</f>
        <v>Capilano House</v>
      </c>
      <c r="N1243" s="350" t="str">
        <f ca="1">IF($B1243="Portfolio","Portfolio",IFERROR(INDEX(DATA_ASSET_CLASSIFICATION!$U$8:$U$24,MATCH($C1243,DATA_ASSET_CLASSIFICATION!$A$8:$A$24,0)),"Review"))</f>
        <v>Stable</v>
      </c>
      <c r="O1243" s="350" t="str">
        <f ca="1">IF($B1243="Portfolio","Portfolio",IFERROR(INDEX(DATA_ASSET_CLASSIFICATION!$AB$8:$AB$13,MATCH($N1243,DATA_ASSET_CLASSIFICATION!$AA$8:$AA$13,0)),"Review"))</f>
        <v>Bucket 2 · Legacy</v>
      </c>
      <c r="P1243" s="350" t="str">
        <f>IF($B1243="Portfolio","Portfolio",IFERROR(INDEX(DATA_ASSET_CLASSIFICATION!$C$8:$C$24,MATCH($C1243,DATA_ASSET_CLASSIFICATION!$A$8:$A$24,0)),"Review"))</f>
        <v>Yes</v>
      </c>
      <c r="Q1243" s="350" t="str">
        <f t="shared" ca="1" si="39"/>
        <v>OK</v>
      </c>
    </row>
    <row r="1244" spans="1:17">
      <c r="A1244" s="366" t="s">
        <v>3200</v>
      </c>
      <c r="B1244" s="366" t="s">
        <v>231</v>
      </c>
      <c r="C1244" s="348" t="str">
        <f>DATA_PROPERTY_MASTER!$A$8</f>
        <v>BLD_CH</v>
      </c>
      <c r="D1244" s="380">
        <f>'00_PORTFOLIO ROLLUP'!I$12</f>
        <v>2029</v>
      </c>
      <c r="E1244" s="366" t="s">
        <v>1741</v>
      </c>
      <c r="F1244" s="366" t="s">
        <v>43</v>
      </c>
      <c r="G1244" s="348" t="str">
        <f>"'"&amp;$C1244&amp;"'!$E$68:$Y$68"</f>
        <v>'BLD_CH'!$E$68:$Y$68</v>
      </c>
      <c r="H1244" s="381">
        <f ca="1">IF(IFERROR(INDEX(DATA_PROPERTY_MASTER!$E$5:$E$21,MATCH($C1244,DATA_PROPERTY_MASTER!$A$5:$A$21,0))="Yes",FALSE),IFERROR(INDEX(INDIRECT("'"&amp;$C1244&amp;"'!$E$68:$Y$68"),1,MATCH($D1244,INDIRECT("'"&amp;$C1244&amp;"'!$E$12:$Y$12"),0)),0),0)</f>
        <v>189370.10101885838</v>
      </c>
      <c r="I1244" s="366" t="s">
        <v>1731</v>
      </c>
      <c r="J1244" s="348" t="str">
        <f t="shared" ca="1" si="38"/>
        <v>OK</v>
      </c>
      <c r="K1244" s="366" t="s">
        <v>1746</v>
      </c>
      <c r="L1244" s="366" t="s">
        <v>2264</v>
      </c>
      <c r="M1244" s="350" t="str">
        <f>IF($B1244="Portfolio","Portfolio",IFERROR(INDEX(DATA_ASSET_CLASSIFICATION!$B$8:$B$24,MATCH($C1244,DATA_ASSET_CLASSIFICATION!$A$8:$A$24,0)),"Review"))</f>
        <v>Capilano House</v>
      </c>
      <c r="N1244" s="350" t="str">
        <f ca="1">IF($B1244="Portfolio","Portfolio",IFERROR(INDEX(DATA_ASSET_CLASSIFICATION!$U$8:$U$24,MATCH($C1244,DATA_ASSET_CLASSIFICATION!$A$8:$A$24,0)),"Review"))</f>
        <v>Stable</v>
      </c>
      <c r="O1244" s="350" t="str">
        <f ca="1">IF($B1244="Portfolio","Portfolio",IFERROR(INDEX(DATA_ASSET_CLASSIFICATION!$AB$8:$AB$13,MATCH($N1244,DATA_ASSET_CLASSIFICATION!$AA$8:$AA$13,0)),"Review"))</f>
        <v>Bucket 2 · Legacy</v>
      </c>
      <c r="P1244" s="350" t="str">
        <f>IF($B1244="Portfolio","Portfolio",IFERROR(INDEX(DATA_ASSET_CLASSIFICATION!$C$8:$C$24,MATCH($C1244,DATA_ASSET_CLASSIFICATION!$A$8:$A$24,0)),"Review"))</f>
        <v>Yes</v>
      </c>
      <c r="Q1244" s="350" t="str">
        <f t="shared" ca="1" si="39"/>
        <v>OK</v>
      </c>
    </row>
    <row r="1245" spans="1:17">
      <c r="A1245" s="366" t="s">
        <v>3201</v>
      </c>
      <c r="B1245" s="366" t="s">
        <v>231</v>
      </c>
      <c r="C1245" s="348" t="str">
        <f>DATA_PROPERTY_MASTER!$A$8</f>
        <v>BLD_CH</v>
      </c>
      <c r="D1245" s="380">
        <f>'00_PORTFOLIO ROLLUP'!I$12</f>
        <v>2029</v>
      </c>
      <c r="E1245" s="366" t="s">
        <v>1741</v>
      </c>
      <c r="F1245" s="366" t="s">
        <v>1749</v>
      </c>
      <c r="G1245" s="348" t="str">
        <f>"'"&amp;$C1245&amp;"'!rows 56, 63, 68"</f>
        <v>'BLD_CH'!rows 56, 63, 68</v>
      </c>
      <c r="H1245" s="381">
        <f ca="1">IF(IFERROR(INDEX(DATA_PROPERTY_MASTER!$E$5:$E$21,MATCH($C1245,DATA_PROPERTY_MASTER!$A$5:$A$21,0))="Yes",FALSE),(IFERROR(INDEX(INDIRECT("'"&amp;$C1245&amp;"'!$E$56:$Y$56"),1,MATCH($D1245,INDIRECT("'"&amp;$C1245&amp;"'!$E$12:$Y$12"),0)),0)+MAX(IFERROR(INDEX(INDIRECT("'"&amp;$C1245&amp;"'!$E$63:$Y$63"),1,MATCH($D1245,INDIRECT("'"&amp;$C1245&amp;"'!$E$12:$Y$12"),0)),0),0))-(IFERROR(INDEX(INDIRECT("'"&amp;$C1245&amp;"'!$E$68:$Y$68"),1,MATCH($D1245,INDIRECT("'"&amp;$C1245&amp;"'!$E$12:$Y$12"),0)),0)),0)</f>
        <v>0</v>
      </c>
      <c r="I1245" s="366" t="s">
        <v>1750</v>
      </c>
      <c r="J1245" s="348" t="str">
        <f t="shared" ca="1" si="38"/>
        <v>OK</v>
      </c>
      <c r="K1245" s="366" t="s">
        <v>1751</v>
      </c>
      <c r="L1245" s="366" t="s">
        <v>2266</v>
      </c>
      <c r="M1245" s="350" t="str">
        <f>IF($B1245="Portfolio","Portfolio",IFERROR(INDEX(DATA_ASSET_CLASSIFICATION!$B$8:$B$24,MATCH($C1245,DATA_ASSET_CLASSIFICATION!$A$8:$A$24,0)),"Review"))</f>
        <v>Capilano House</v>
      </c>
      <c r="N1245" s="350" t="str">
        <f ca="1">IF($B1245="Portfolio","Portfolio",IFERROR(INDEX(DATA_ASSET_CLASSIFICATION!$U$8:$U$24,MATCH($C1245,DATA_ASSET_CLASSIFICATION!$A$8:$A$24,0)),"Review"))</f>
        <v>Stable</v>
      </c>
      <c r="O1245" s="350" t="str">
        <f ca="1">IF($B1245="Portfolio","Portfolio",IFERROR(INDEX(DATA_ASSET_CLASSIFICATION!$AB$8:$AB$13,MATCH($N1245,DATA_ASSET_CLASSIFICATION!$AA$8:$AA$13,0)),"Review"))</f>
        <v>Bucket 2 · Legacy</v>
      </c>
      <c r="P1245" s="350" t="str">
        <f>IF($B1245="Portfolio","Portfolio",IFERROR(INDEX(DATA_ASSET_CLASSIFICATION!$C$8:$C$24,MATCH($C1245,DATA_ASSET_CLASSIFICATION!$A$8:$A$24,0)),"Review"))</f>
        <v>Yes</v>
      </c>
      <c r="Q1245" s="350" t="str">
        <f t="shared" ca="1" si="39"/>
        <v>OK</v>
      </c>
    </row>
    <row r="1246" spans="1:17">
      <c r="A1246" s="366" t="s">
        <v>3202</v>
      </c>
      <c r="B1246" s="366" t="s">
        <v>231</v>
      </c>
      <c r="C1246" s="348" t="str">
        <f>DATA_PROPERTY_MASTER!$A$8</f>
        <v>BLD_CH</v>
      </c>
      <c r="D1246" s="380">
        <f>'00_PORTFOLIO ROLLUP'!J$12</f>
        <v>2030</v>
      </c>
      <c r="E1246" s="366" t="s">
        <v>1683</v>
      </c>
      <c r="F1246" s="366" t="s">
        <v>341</v>
      </c>
      <c r="G1246" s="348" t="str">
        <f>"'"&amp;$C1246&amp;"'!$E$24:$Y$24"</f>
        <v>'BLD_CH'!$E$24:$Y$24</v>
      </c>
      <c r="H1246" s="381">
        <f ca="1">IF(IFERROR(INDEX(DATA_PROPERTY_MASTER!$E$5:$E$21,MATCH($C1246,DATA_PROPERTY_MASTER!$A$5:$A$21,0))="Yes",FALSE),IFERROR(INDEX(INDIRECT("'"&amp;$C1246&amp;"'!$E$24:$Y$24"),1,MATCH($D1246,INDIRECT("'"&amp;$C1246&amp;"'!$E$12:$Y$12"),0)),0),0)</f>
        <v>1066090.3366877018</v>
      </c>
      <c r="I1246" s="366" t="s">
        <v>1685</v>
      </c>
      <c r="J1246" s="348" t="str">
        <f t="shared" ca="1" si="38"/>
        <v>OK</v>
      </c>
      <c r="K1246" s="366" t="s">
        <v>1686</v>
      </c>
      <c r="L1246" s="366" t="s">
        <v>2234</v>
      </c>
      <c r="M1246" s="350" t="str">
        <f>IF($B1246="Portfolio","Portfolio",IFERROR(INDEX(DATA_ASSET_CLASSIFICATION!$B$8:$B$24,MATCH($C1246,DATA_ASSET_CLASSIFICATION!$A$8:$A$24,0)),"Review"))</f>
        <v>Capilano House</v>
      </c>
      <c r="N1246" s="350" t="str">
        <f ca="1">IF($B1246="Portfolio","Portfolio",IFERROR(INDEX(DATA_ASSET_CLASSIFICATION!$U$8:$U$24,MATCH($C1246,DATA_ASSET_CLASSIFICATION!$A$8:$A$24,0)),"Review"))</f>
        <v>Stable</v>
      </c>
      <c r="O1246" s="350" t="str">
        <f ca="1">IF($B1246="Portfolio","Portfolio",IFERROR(INDEX(DATA_ASSET_CLASSIFICATION!$AB$8:$AB$13,MATCH($N1246,DATA_ASSET_CLASSIFICATION!$AA$8:$AA$13,0)),"Review"))</f>
        <v>Bucket 2 · Legacy</v>
      </c>
      <c r="P1246" s="350" t="str">
        <f>IF($B1246="Portfolio","Portfolio",IFERROR(INDEX(DATA_ASSET_CLASSIFICATION!$C$8:$C$24,MATCH($C1246,DATA_ASSET_CLASSIFICATION!$A$8:$A$24,0)),"Review"))</f>
        <v>Yes</v>
      </c>
      <c r="Q1246" s="350" t="str">
        <f t="shared" ca="1" si="39"/>
        <v>OK</v>
      </c>
    </row>
    <row r="1247" spans="1:17">
      <c r="A1247" s="366" t="s">
        <v>3203</v>
      </c>
      <c r="B1247" s="366" t="s">
        <v>231</v>
      </c>
      <c r="C1247" s="348" t="str">
        <f>DATA_PROPERTY_MASTER!$A$8</f>
        <v>BLD_CH</v>
      </c>
      <c r="D1247" s="380">
        <f>'00_PORTFOLIO ROLLUP'!J$12</f>
        <v>2030</v>
      </c>
      <c r="E1247" s="366" t="s">
        <v>1683</v>
      </c>
      <c r="F1247" s="366" t="s">
        <v>355</v>
      </c>
      <c r="G1247" s="348" t="str">
        <f>"'"&amp;$C1247&amp;"'!$E$39:$Y$39"</f>
        <v>'BLD_CH'!$E$39:$Y$39</v>
      </c>
      <c r="H1247" s="381">
        <f ca="1">IF(IFERROR(INDEX(DATA_PROPERTY_MASTER!$E$5:$E$21,MATCH($C1247,DATA_PROPERTY_MASTER!$A$5:$A$21,0))="Yes",FALSE),IFERROR(INDEX(INDIRECT("'"&amp;$C1247&amp;"'!$E$39:$Y$39"),1,MATCH($D1247,INDIRECT("'"&amp;$C1247&amp;"'!$E$12:$Y$12"),0)),0),0)</f>
        <v>594631.80613058573</v>
      </c>
      <c r="I1247" s="366" t="s">
        <v>1690</v>
      </c>
      <c r="J1247" s="348" t="str">
        <f t="shared" ca="1" si="38"/>
        <v>OK</v>
      </c>
      <c r="K1247" s="366" t="s">
        <v>1686</v>
      </c>
      <c r="L1247" s="366" t="s">
        <v>2236</v>
      </c>
      <c r="M1247" s="350" t="str">
        <f>IF($B1247="Portfolio","Portfolio",IFERROR(INDEX(DATA_ASSET_CLASSIFICATION!$B$8:$B$24,MATCH($C1247,DATA_ASSET_CLASSIFICATION!$A$8:$A$24,0)),"Review"))</f>
        <v>Capilano House</v>
      </c>
      <c r="N1247" s="350" t="str">
        <f ca="1">IF($B1247="Portfolio","Portfolio",IFERROR(INDEX(DATA_ASSET_CLASSIFICATION!$U$8:$U$24,MATCH($C1247,DATA_ASSET_CLASSIFICATION!$A$8:$A$24,0)),"Review"))</f>
        <v>Stable</v>
      </c>
      <c r="O1247" s="350" t="str">
        <f ca="1">IF($B1247="Portfolio","Portfolio",IFERROR(INDEX(DATA_ASSET_CLASSIFICATION!$AB$8:$AB$13,MATCH($N1247,DATA_ASSET_CLASSIFICATION!$AA$8:$AA$13,0)),"Review"))</f>
        <v>Bucket 2 · Legacy</v>
      </c>
      <c r="P1247" s="350" t="str">
        <f>IF($B1247="Portfolio","Portfolio",IFERROR(INDEX(DATA_ASSET_CLASSIFICATION!$C$8:$C$24,MATCH($C1247,DATA_ASSET_CLASSIFICATION!$A$8:$A$24,0)),"Review"))</f>
        <v>Yes</v>
      </c>
      <c r="Q1247" s="350" t="str">
        <f t="shared" ca="1" si="39"/>
        <v>OK</v>
      </c>
    </row>
    <row r="1248" spans="1:17">
      <c r="A1248" s="366" t="s">
        <v>3204</v>
      </c>
      <c r="B1248" s="366" t="s">
        <v>231</v>
      </c>
      <c r="C1248" s="348" t="str">
        <f>DATA_PROPERTY_MASTER!$A$8</f>
        <v>BLD_CH</v>
      </c>
      <c r="D1248" s="380">
        <f>'00_PORTFOLIO ROLLUP'!J$12</f>
        <v>2030</v>
      </c>
      <c r="E1248" s="366" t="s">
        <v>1683</v>
      </c>
      <c r="F1248" s="366" t="s">
        <v>19</v>
      </c>
      <c r="G1248" s="348" t="str">
        <f>"'"&amp;$C1248&amp;"'!$E$41:$Y$41"</f>
        <v>'BLD_CH'!$E$41:$Y$41</v>
      </c>
      <c r="H1248" s="381">
        <f ca="1">IF(IFERROR(INDEX(DATA_PROPERTY_MASTER!$E$5:$E$21,MATCH($C1248,DATA_PROPERTY_MASTER!$A$5:$A$21,0))="Yes",FALSE),IFERROR(INDEX(INDIRECT("'"&amp;$C1248&amp;"'!$E$41:$Y$41"),1,MATCH($D1248,INDIRECT("'"&amp;$C1248&amp;"'!$E$12:$Y$12"),0)),0),0)</f>
        <v>471458.53055711603</v>
      </c>
      <c r="I1248" s="366" t="s">
        <v>1685</v>
      </c>
      <c r="J1248" s="348" t="str">
        <f t="shared" ca="1" si="38"/>
        <v>OK</v>
      </c>
      <c r="K1248" s="366" t="s">
        <v>1694</v>
      </c>
      <c r="L1248" s="366" t="s">
        <v>2238</v>
      </c>
      <c r="M1248" s="350" t="str">
        <f>IF($B1248="Portfolio","Portfolio",IFERROR(INDEX(DATA_ASSET_CLASSIFICATION!$B$8:$B$24,MATCH($C1248,DATA_ASSET_CLASSIFICATION!$A$8:$A$24,0)),"Review"))</f>
        <v>Capilano House</v>
      </c>
      <c r="N1248" s="350" t="str">
        <f ca="1">IF($B1248="Portfolio","Portfolio",IFERROR(INDEX(DATA_ASSET_CLASSIFICATION!$U$8:$U$24,MATCH($C1248,DATA_ASSET_CLASSIFICATION!$A$8:$A$24,0)),"Review"))</f>
        <v>Stable</v>
      </c>
      <c r="O1248" s="350" t="str">
        <f ca="1">IF($B1248="Portfolio","Portfolio",IFERROR(INDEX(DATA_ASSET_CLASSIFICATION!$AB$8:$AB$13,MATCH($N1248,DATA_ASSET_CLASSIFICATION!$AA$8:$AA$13,0)),"Review"))</f>
        <v>Bucket 2 · Legacy</v>
      </c>
      <c r="P1248" s="350" t="str">
        <f>IF($B1248="Portfolio","Portfolio",IFERROR(INDEX(DATA_ASSET_CLASSIFICATION!$C$8:$C$24,MATCH($C1248,DATA_ASSET_CLASSIFICATION!$A$8:$A$24,0)),"Review"))</f>
        <v>Yes</v>
      </c>
      <c r="Q1248" s="350" t="str">
        <f t="shared" ca="1" si="39"/>
        <v>OK</v>
      </c>
    </row>
    <row r="1249" spans="1:17">
      <c r="A1249" s="366" t="s">
        <v>3205</v>
      </c>
      <c r="B1249" s="366" t="s">
        <v>231</v>
      </c>
      <c r="C1249" s="348" t="str">
        <f>DATA_PROPERTY_MASTER!$A$8</f>
        <v>BLD_CH</v>
      </c>
      <c r="D1249" s="380">
        <f>'00_PORTFOLIO ROLLUP'!J$12</f>
        <v>2030</v>
      </c>
      <c r="E1249" s="366" t="s">
        <v>1683</v>
      </c>
      <c r="F1249" s="366" t="s">
        <v>1697</v>
      </c>
      <c r="G1249" s="348" t="str">
        <f>"'"&amp;$C1249&amp;"'!$E$44:$Y$44"</f>
        <v>'BLD_CH'!$E$44:$Y$44</v>
      </c>
      <c r="H1249" s="381">
        <f ca="1">IF(IFERROR(INDEX(DATA_PROPERTY_MASTER!$E$5:$E$21,MATCH($C1249,DATA_PROPERTY_MASTER!$A$5:$A$21,0))="Yes",FALSE),IFERROR(INDEX(INDIRECT("'"&amp;$C1249&amp;"'!$E$44:$Y$44"),1,MATCH($D1249,INDIRECT("'"&amp;$C1249&amp;"'!$E$12:$Y$12"),0)),0),0)</f>
        <v>10599.175710720001</v>
      </c>
      <c r="I1249" s="366" t="s">
        <v>1690</v>
      </c>
      <c r="J1249" s="348" t="str">
        <f t="shared" ca="1" si="38"/>
        <v>OK</v>
      </c>
      <c r="K1249" s="366" t="s">
        <v>1699</v>
      </c>
      <c r="L1249" s="366" t="s">
        <v>2240</v>
      </c>
      <c r="M1249" s="350" t="str">
        <f>IF($B1249="Portfolio","Portfolio",IFERROR(INDEX(DATA_ASSET_CLASSIFICATION!$B$8:$B$24,MATCH($C1249,DATA_ASSET_CLASSIFICATION!$A$8:$A$24,0)),"Review"))</f>
        <v>Capilano House</v>
      </c>
      <c r="N1249" s="350" t="str">
        <f ca="1">IF($B1249="Portfolio","Portfolio",IFERROR(INDEX(DATA_ASSET_CLASSIFICATION!$U$8:$U$24,MATCH($C1249,DATA_ASSET_CLASSIFICATION!$A$8:$A$24,0)),"Review"))</f>
        <v>Stable</v>
      </c>
      <c r="O1249" s="350" t="str">
        <f ca="1">IF($B1249="Portfolio","Portfolio",IFERROR(INDEX(DATA_ASSET_CLASSIFICATION!$AB$8:$AB$13,MATCH($N1249,DATA_ASSET_CLASSIFICATION!$AA$8:$AA$13,0)),"Review"))</f>
        <v>Bucket 2 · Legacy</v>
      </c>
      <c r="P1249" s="350" t="str">
        <f>IF($B1249="Portfolio","Portfolio",IFERROR(INDEX(DATA_ASSET_CLASSIFICATION!$C$8:$C$24,MATCH($C1249,DATA_ASSET_CLASSIFICATION!$A$8:$A$24,0)),"Review"))</f>
        <v>Yes</v>
      </c>
      <c r="Q1249" s="350" t="str">
        <f t="shared" ca="1" si="39"/>
        <v>OK</v>
      </c>
    </row>
    <row r="1250" spans="1:17">
      <c r="A1250" s="366" t="s">
        <v>3206</v>
      </c>
      <c r="B1250" s="366" t="s">
        <v>231</v>
      </c>
      <c r="C1250" s="348" t="str">
        <f>DATA_PROPERTY_MASTER!$A$8</f>
        <v>BLD_CH</v>
      </c>
      <c r="D1250" s="380">
        <f>'00_PORTFOLIO ROLLUP'!J$12</f>
        <v>2030</v>
      </c>
      <c r="E1250" s="366" t="s">
        <v>1683</v>
      </c>
      <c r="F1250" s="366" t="s">
        <v>21</v>
      </c>
      <c r="G1250" s="348" t="str">
        <f>"'"&amp;$C1250&amp;"'!$E$45:$Y$45"</f>
        <v>'BLD_CH'!$E$45:$Y$45</v>
      </c>
      <c r="H1250" s="381">
        <f ca="1">IF(IFERROR(INDEX(DATA_PROPERTY_MASTER!$E$5:$E$21,MATCH($C1250,DATA_PROPERTY_MASTER!$A$5:$A$21,0))="Yes",FALSE),IFERROR(INDEX(INDIRECT("'"&amp;$C1250&amp;"'!$E$45:$Y$45"),1,MATCH($D1250,INDIRECT("'"&amp;$C1250&amp;"'!$E$12:$Y$12"),0)),0),0)</f>
        <v>460859.35484639602</v>
      </c>
      <c r="I1250" s="366" t="s">
        <v>1685</v>
      </c>
      <c r="J1250" s="348" t="str">
        <f t="shared" ca="1" si="38"/>
        <v>OK</v>
      </c>
      <c r="K1250" s="366" t="s">
        <v>1694</v>
      </c>
      <c r="L1250" s="366" t="s">
        <v>2242</v>
      </c>
      <c r="M1250" s="350" t="str">
        <f>IF($B1250="Portfolio","Portfolio",IFERROR(INDEX(DATA_ASSET_CLASSIFICATION!$B$8:$B$24,MATCH($C1250,DATA_ASSET_CLASSIFICATION!$A$8:$A$24,0)),"Review"))</f>
        <v>Capilano House</v>
      </c>
      <c r="N1250" s="350" t="str">
        <f ca="1">IF($B1250="Portfolio","Portfolio",IFERROR(INDEX(DATA_ASSET_CLASSIFICATION!$U$8:$U$24,MATCH($C1250,DATA_ASSET_CLASSIFICATION!$A$8:$A$24,0)),"Review"))</f>
        <v>Stable</v>
      </c>
      <c r="O1250" s="350" t="str">
        <f ca="1">IF($B1250="Portfolio","Portfolio",IFERROR(INDEX(DATA_ASSET_CLASSIFICATION!$AB$8:$AB$13,MATCH($N1250,DATA_ASSET_CLASSIFICATION!$AA$8:$AA$13,0)),"Review"))</f>
        <v>Bucket 2 · Legacy</v>
      </c>
      <c r="P1250" s="350" t="str">
        <f>IF($B1250="Portfolio","Portfolio",IFERROR(INDEX(DATA_ASSET_CLASSIFICATION!$C$8:$C$24,MATCH($C1250,DATA_ASSET_CLASSIFICATION!$A$8:$A$24,0)),"Review"))</f>
        <v>Yes</v>
      </c>
      <c r="Q1250" s="350" t="str">
        <f t="shared" ca="1" si="39"/>
        <v>OK</v>
      </c>
    </row>
    <row r="1251" spans="1:17">
      <c r="A1251" s="366" t="s">
        <v>3207</v>
      </c>
      <c r="B1251" s="366" t="s">
        <v>231</v>
      </c>
      <c r="C1251" s="348" t="str">
        <f>DATA_PROPERTY_MASTER!$A$8</f>
        <v>BLD_CH</v>
      </c>
      <c r="D1251" s="380">
        <f>'00_PORTFOLIO ROLLUP'!J$12</f>
        <v>2030</v>
      </c>
      <c r="E1251" s="366" t="s">
        <v>23</v>
      </c>
      <c r="F1251" s="366" t="s">
        <v>23</v>
      </c>
      <c r="G1251" s="348" t="str">
        <f>"'"&amp;$C1251&amp;"'!$E$48:$Y$48"</f>
        <v>'BLD_CH'!$E$48:$Y$48</v>
      </c>
      <c r="H1251" s="381">
        <f ca="1">IF(IFERROR(INDEX(DATA_PROPERTY_MASTER!$E$5:$E$21,MATCH($C1251,DATA_PROPERTY_MASTER!$A$5:$A$21,0))="Yes",FALSE),IFERROR(INDEX(INDIRECT("'"&amp;$C1251&amp;"'!$E$48:$Y$48"),1,MATCH($D1251,INDIRECT("'"&amp;$C1251&amp;"'!$E$12:$Y$12"),0)),0),0)</f>
        <v>0</v>
      </c>
      <c r="I1251" s="366" t="s">
        <v>1690</v>
      </c>
      <c r="J1251" s="348" t="str">
        <f t="shared" ca="1" si="38"/>
        <v>OK</v>
      </c>
      <c r="K1251" s="366" t="s">
        <v>1706</v>
      </c>
      <c r="L1251" s="366" t="s">
        <v>2244</v>
      </c>
      <c r="M1251" s="350" t="str">
        <f>IF($B1251="Portfolio","Portfolio",IFERROR(INDEX(DATA_ASSET_CLASSIFICATION!$B$8:$B$24,MATCH($C1251,DATA_ASSET_CLASSIFICATION!$A$8:$A$24,0)),"Review"))</f>
        <v>Capilano House</v>
      </c>
      <c r="N1251" s="350" t="str">
        <f ca="1">IF($B1251="Portfolio","Portfolio",IFERROR(INDEX(DATA_ASSET_CLASSIFICATION!$U$8:$U$24,MATCH($C1251,DATA_ASSET_CLASSIFICATION!$A$8:$A$24,0)),"Review"))</f>
        <v>Stable</v>
      </c>
      <c r="O1251" s="350" t="str">
        <f ca="1">IF($B1251="Portfolio","Portfolio",IFERROR(INDEX(DATA_ASSET_CLASSIFICATION!$AB$8:$AB$13,MATCH($N1251,DATA_ASSET_CLASSIFICATION!$AA$8:$AA$13,0)),"Review"))</f>
        <v>Bucket 2 · Legacy</v>
      </c>
      <c r="P1251" s="350" t="str">
        <f>IF($B1251="Portfolio","Portfolio",IFERROR(INDEX(DATA_ASSET_CLASSIFICATION!$C$8:$C$24,MATCH($C1251,DATA_ASSET_CLASSIFICATION!$A$8:$A$24,0)),"Review"))</f>
        <v>Yes</v>
      </c>
      <c r="Q1251" s="350" t="str">
        <f t="shared" ca="1" si="39"/>
        <v>OK</v>
      </c>
    </row>
    <row r="1252" spans="1:17">
      <c r="A1252" s="366" t="s">
        <v>3208</v>
      </c>
      <c r="B1252" s="366" t="s">
        <v>231</v>
      </c>
      <c r="C1252" s="348" t="str">
        <f>DATA_PROPERTY_MASTER!$A$8</f>
        <v>BLD_CH</v>
      </c>
      <c r="D1252" s="380">
        <f>'00_PORTFOLIO ROLLUP'!J$12</f>
        <v>2030</v>
      </c>
      <c r="E1252" s="366" t="s">
        <v>1683</v>
      </c>
      <c r="F1252" s="366" t="s">
        <v>25</v>
      </c>
      <c r="G1252" s="348" t="str">
        <f>"'"&amp;$C1252&amp;"'!$E$52:$Y$52"</f>
        <v>'BLD_CH'!$E$52:$Y$52</v>
      </c>
      <c r="H1252" s="381">
        <f ca="1">IF(IFERROR(INDEX(DATA_PROPERTY_MASTER!$E$5:$E$21,MATCH($C1252,DATA_PROPERTY_MASTER!$A$5:$A$21,0))="Yes",FALSE),IFERROR(INDEX(INDIRECT("'"&amp;$C1252&amp;"'!$E$52:$Y$52"),1,MATCH($D1252,INDIRECT("'"&amp;$C1252&amp;"'!$E$12:$Y$12"),0)),0),0)</f>
        <v>471458.53055711603</v>
      </c>
      <c r="I1252" s="366" t="s">
        <v>1685</v>
      </c>
      <c r="J1252" s="348" t="str">
        <f t="shared" ca="1" si="38"/>
        <v>OK</v>
      </c>
      <c r="K1252" s="366" t="s">
        <v>1710</v>
      </c>
      <c r="L1252" s="366" t="s">
        <v>2246</v>
      </c>
      <c r="M1252" s="350" t="str">
        <f>IF($B1252="Portfolio","Portfolio",IFERROR(INDEX(DATA_ASSET_CLASSIFICATION!$B$8:$B$24,MATCH($C1252,DATA_ASSET_CLASSIFICATION!$A$8:$A$24,0)),"Review"))</f>
        <v>Capilano House</v>
      </c>
      <c r="N1252" s="350" t="str">
        <f ca="1">IF($B1252="Portfolio","Portfolio",IFERROR(INDEX(DATA_ASSET_CLASSIFICATION!$U$8:$U$24,MATCH($C1252,DATA_ASSET_CLASSIFICATION!$A$8:$A$24,0)),"Review"))</f>
        <v>Stable</v>
      </c>
      <c r="O1252" s="350" t="str">
        <f ca="1">IF($B1252="Portfolio","Portfolio",IFERROR(INDEX(DATA_ASSET_CLASSIFICATION!$AB$8:$AB$13,MATCH($N1252,DATA_ASSET_CLASSIFICATION!$AA$8:$AA$13,0)),"Review"))</f>
        <v>Bucket 2 · Legacy</v>
      </c>
      <c r="P1252" s="350" t="str">
        <f>IF($B1252="Portfolio","Portfolio",IFERROR(INDEX(DATA_ASSET_CLASSIFICATION!$C$8:$C$24,MATCH($C1252,DATA_ASSET_CLASSIFICATION!$A$8:$A$24,0)),"Review"))</f>
        <v>Yes</v>
      </c>
      <c r="Q1252" s="350" t="str">
        <f t="shared" ca="1" si="39"/>
        <v>OK</v>
      </c>
    </row>
    <row r="1253" spans="1:17">
      <c r="A1253" s="366" t="s">
        <v>3209</v>
      </c>
      <c r="B1253" s="366" t="s">
        <v>231</v>
      </c>
      <c r="C1253" s="348" t="str">
        <f>DATA_PROPERTY_MASTER!$A$8</f>
        <v>BLD_CH</v>
      </c>
      <c r="D1253" s="380">
        <f>'00_PORTFOLIO ROLLUP'!J$12</f>
        <v>2030</v>
      </c>
      <c r="E1253" s="366" t="s">
        <v>1683</v>
      </c>
      <c r="F1253" s="366" t="s">
        <v>27</v>
      </c>
      <c r="G1253" s="348" t="str">
        <f>"'"&amp;$C1253&amp;"'!$E$54:$Y$54"</f>
        <v>'BLD_CH'!$E$54:$Y$54</v>
      </c>
      <c r="H1253" s="381">
        <f ca="1">IF(IFERROR(INDEX(DATA_PROPERTY_MASTER!$E$5:$E$21,MATCH($C1253,DATA_PROPERTY_MASTER!$A$5:$A$21,0))="Yes",FALSE),IFERROR(INDEX(INDIRECT("'"&amp;$C1253&amp;"'!$E$54:$Y$54"),1,MATCH($D1253,INDIRECT("'"&amp;$C1253&amp;"'!$E$12:$Y$12"),0)),0),0)</f>
        <v>282875.11833426962</v>
      </c>
      <c r="I1253" s="366" t="s">
        <v>1690</v>
      </c>
      <c r="J1253" s="348" t="str">
        <f t="shared" ca="1" si="38"/>
        <v>OK</v>
      </c>
      <c r="K1253" s="366" t="s">
        <v>1714</v>
      </c>
      <c r="L1253" s="366" t="s">
        <v>2248</v>
      </c>
      <c r="M1253" s="350" t="str">
        <f>IF($B1253="Portfolio","Portfolio",IFERROR(INDEX(DATA_ASSET_CLASSIFICATION!$B$8:$B$24,MATCH($C1253,DATA_ASSET_CLASSIFICATION!$A$8:$A$24,0)),"Review"))</f>
        <v>Capilano House</v>
      </c>
      <c r="N1253" s="350" t="str">
        <f ca="1">IF($B1253="Portfolio","Portfolio",IFERROR(INDEX(DATA_ASSET_CLASSIFICATION!$U$8:$U$24,MATCH($C1253,DATA_ASSET_CLASSIFICATION!$A$8:$A$24,0)),"Review"))</f>
        <v>Stable</v>
      </c>
      <c r="O1253" s="350" t="str">
        <f ca="1">IF($B1253="Portfolio","Portfolio",IFERROR(INDEX(DATA_ASSET_CLASSIFICATION!$AB$8:$AB$13,MATCH($N1253,DATA_ASSET_CLASSIFICATION!$AA$8:$AA$13,0)),"Review"))</f>
        <v>Bucket 2 · Legacy</v>
      </c>
      <c r="P1253" s="350" t="str">
        <f>IF($B1253="Portfolio","Portfolio",IFERROR(INDEX(DATA_ASSET_CLASSIFICATION!$C$8:$C$24,MATCH($C1253,DATA_ASSET_CLASSIFICATION!$A$8:$A$24,0)),"Review"))</f>
        <v>Yes</v>
      </c>
      <c r="Q1253" s="350" t="str">
        <f t="shared" ca="1" si="39"/>
        <v>OK</v>
      </c>
    </row>
    <row r="1254" spans="1:17">
      <c r="A1254" s="366" t="s">
        <v>3210</v>
      </c>
      <c r="B1254" s="366" t="s">
        <v>231</v>
      </c>
      <c r="C1254" s="348" t="str">
        <f>DATA_PROPERTY_MASTER!$A$8</f>
        <v>BLD_CH</v>
      </c>
      <c r="D1254" s="380">
        <f>'00_PORTFOLIO ROLLUP'!J$12</f>
        <v>2030</v>
      </c>
      <c r="E1254" s="366" t="s">
        <v>1683</v>
      </c>
      <c r="F1254" s="366" t="s">
        <v>29</v>
      </c>
      <c r="G1254" s="348" t="str">
        <f>"'"&amp;$C1254&amp;"'!$E$56:$Y$56"</f>
        <v>'BLD_CH'!$E$56:$Y$56</v>
      </c>
      <c r="H1254" s="381">
        <f ca="1">IF(IFERROR(INDEX(DATA_PROPERTY_MASTER!$E$5:$E$21,MATCH($C1254,DATA_PROPERTY_MASTER!$A$5:$A$21,0))="Yes",FALSE),IFERROR(INDEX(INDIRECT("'"&amp;$C1254&amp;"'!$E$56:$Y$56"),1,MATCH($D1254,INDIRECT("'"&amp;$C1254&amp;"'!$E$12:$Y$12"),0)),0),0)</f>
        <v>188583.41222284641</v>
      </c>
      <c r="I1254" s="366" t="s">
        <v>1685</v>
      </c>
      <c r="J1254" s="348" t="str">
        <f t="shared" ca="1" si="38"/>
        <v>OK</v>
      </c>
      <c r="K1254" s="366" t="s">
        <v>1718</v>
      </c>
      <c r="L1254" s="366" t="s">
        <v>2250</v>
      </c>
      <c r="M1254" s="350" t="str">
        <f>IF($B1254="Portfolio","Portfolio",IFERROR(INDEX(DATA_ASSET_CLASSIFICATION!$B$8:$B$24,MATCH($C1254,DATA_ASSET_CLASSIFICATION!$A$8:$A$24,0)),"Review"))</f>
        <v>Capilano House</v>
      </c>
      <c r="N1254" s="350" t="str">
        <f ca="1">IF($B1254="Portfolio","Portfolio",IFERROR(INDEX(DATA_ASSET_CLASSIFICATION!$U$8:$U$24,MATCH($C1254,DATA_ASSET_CLASSIFICATION!$A$8:$A$24,0)),"Review"))</f>
        <v>Stable</v>
      </c>
      <c r="O1254" s="350" t="str">
        <f ca="1">IF($B1254="Portfolio","Portfolio",IFERROR(INDEX(DATA_ASSET_CLASSIFICATION!$AB$8:$AB$13,MATCH($N1254,DATA_ASSET_CLASSIFICATION!$AA$8:$AA$13,0)),"Review"))</f>
        <v>Bucket 2 · Legacy</v>
      </c>
      <c r="P1254" s="350" t="str">
        <f>IF($B1254="Portfolio","Portfolio",IFERROR(INDEX(DATA_ASSET_CLASSIFICATION!$C$8:$C$24,MATCH($C1254,DATA_ASSET_CLASSIFICATION!$A$8:$A$24,0)),"Review"))</f>
        <v>Yes</v>
      </c>
      <c r="Q1254" s="350" t="str">
        <f t="shared" ca="1" si="39"/>
        <v>OK</v>
      </c>
    </row>
    <row r="1255" spans="1:17">
      <c r="A1255" s="366" t="s">
        <v>3211</v>
      </c>
      <c r="B1255" s="366" t="s">
        <v>231</v>
      </c>
      <c r="C1255" s="348" t="str">
        <f>DATA_PROPERTY_MASTER!$A$8</f>
        <v>BLD_CH</v>
      </c>
      <c r="D1255" s="380">
        <f>'00_PORTFOLIO ROLLUP'!J$12</f>
        <v>2030</v>
      </c>
      <c r="E1255" s="366" t="s">
        <v>1721</v>
      </c>
      <c r="F1255" s="366" t="s">
        <v>31</v>
      </c>
      <c r="G1255" s="348" t="str">
        <f>"'"&amp;$C1255&amp;"'!$E$61:$Y$61"</f>
        <v>'BLD_CH'!$E$61:$Y$61</v>
      </c>
      <c r="H1255" s="381">
        <f ca="1">IF(IFERROR(INDEX(DATA_PROPERTY_MASTER!$E$5:$E$21,MATCH($C1255,DATA_PROPERTY_MASTER!$A$5:$A$21,0))="Yes",FALSE),IFERROR(INDEX(INDIRECT("'"&amp;$C1255&amp;"'!$E$61:$Y$61"),1,MATCH($D1255,INDIRECT("'"&amp;$C1255&amp;"'!$E$12:$Y$12"),0)),0),0)</f>
        <v>0</v>
      </c>
      <c r="I1255" s="366" t="s">
        <v>1690</v>
      </c>
      <c r="J1255" s="348" t="str">
        <f t="shared" ca="1" si="38"/>
        <v>OK</v>
      </c>
      <c r="K1255" s="366" t="s">
        <v>1723</v>
      </c>
      <c r="L1255" s="366" t="s">
        <v>2252</v>
      </c>
      <c r="M1255" s="350" t="str">
        <f>IF($B1255="Portfolio","Portfolio",IFERROR(INDEX(DATA_ASSET_CLASSIFICATION!$B$8:$B$24,MATCH($C1255,DATA_ASSET_CLASSIFICATION!$A$8:$A$24,0)),"Review"))</f>
        <v>Capilano House</v>
      </c>
      <c r="N1255" s="350" t="str">
        <f ca="1">IF($B1255="Portfolio","Portfolio",IFERROR(INDEX(DATA_ASSET_CLASSIFICATION!$U$8:$U$24,MATCH($C1255,DATA_ASSET_CLASSIFICATION!$A$8:$A$24,0)),"Review"))</f>
        <v>Stable</v>
      </c>
      <c r="O1255" s="350" t="str">
        <f ca="1">IF($B1255="Portfolio","Portfolio",IFERROR(INDEX(DATA_ASSET_CLASSIFICATION!$AB$8:$AB$13,MATCH($N1255,DATA_ASSET_CLASSIFICATION!$AA$8:$AA$13,0)),"Review"))</f>
        <v>Bucket 2 · Legacy</v>
      </c>
      <c r="P1255" s="350" t="str">
        <f>IF($B1255="Portfolio","Portfolio",IFERROR(INDEX(DATA_ASSET_CLASSIFICATION!$C$8:$C$24,MATCH($C1255,DATA_ASSET_CLASSIFICATION!$A$8:$A$24,0)),"Review"))</f>
        <v>Yes</v>
      </c>
      <c r="Q1255" s="350" t="str">
        <f t="shared" ca="1" si="39"/>
        <v>OK</v>
      </c>
    </row>
    <row r="1256" spans="1:17">
      <c r="A1256" s="366" t="s">
        <v>3212</v>
      </c>
      <c r="B1256" s="366" t="s">
        <v>231</v>
      </c>
      <c r="C1256" s="348" t="str">
        <f>DATA_PROPERTY_MASTER!$A$8</f>
        <v>BLD_CH</v>
      </c>
      <c r="D1256" s="380">
        <f>'00_PORTFOLIO ROLLUP'!J$12</f>
        <v>2030</v>
      </c>
      <c r="E1256" s="366" t="s">
        <v>1721</v>
      </c>
      <c r="F1256" s="366" t="s">
        <v>33</v>
      </c>
      <c r="G1256" s="348" t="str">
        <f>"'"&amp;$C1256&amp;"'!$E$62:$Y$62"</f>
        <v>'BLD_CH'!$E$62:$Y$62</v>
      </c>
      <c r="H1256" s="381">
        <f ca="1">IF(IFERROR(INDEX(DATA_PROPERTY_MASTER!$E$5:$E$21,MATCH($C1256,DATA_PROPERTY_MASTER!$A$5:$A$21,0))="Yes",FALSE),IFERROR(INDEX(INDIRECT("'"&amp;$C1256&amp;"'!$E$62:$Y$62"),1,MATCH($D1256,INDIRECT("'"&amp;$C1256&amp;"'!$E$12:$Y$12"),0)),0),0)</f>
        <v>0</v>
      </c>
      <c r="I1256" s="366" t="s">
        <v>1685</v>
      </c>
      <c r="J1256" s="348" t="str">
        <f t="shared" ca="1" si="38"/>
        <v>OK</v>
      </c>
      <c r="K1256" s="366" t="s">
        <v>1727</v>
      </c>
      <c r="L1256" s="366" t="s">
        <v>2254</v>
      </c>
      <c r="M1256" s="350" t="str">
        <f>IF($B1256="Portfolio","Portfolio",IFERROR(INDEX(DATA_ASSET_CLASSIFICATION!$B$8:$B$24,MATCH($C1256,DATA_ASSET_CLASSIFICATION!$A$8:$A$24,0)),"Review"))</f>
        <v>Capilano House</v>
      </c>
      <c r="N1256" s="350" t="str">
        <f ca="1">IF($B1256="Portfolio","Portfolio",IFERROR(INDEX(DATA_ASSET_CLASSIFICATION!$U$8:$U$24,MATCH($C1256,DATA_ASSET_CLASSIFICATION!$A$8:$A$24,0)),"Review"))</f>
        <v>Stable</v>
      </c>
      <c r="O1256" s="350" t="str">
        <f ca="1">IF($B1256="Portfolio","Portfolio",IFERROR(INDEX(DATA_ASSET_CLASSIFICATION!$AB$8:$AB$13,MATCH($N1256,DATA_ASSET_CLASSIFICATION!$AA$8:$AA$13,0)),"Review"))</f>
        <v>Bucket 2 · Legacy</v>
      </c>
      <c r="P1256" s="350" t="str">
        <f>IF($B1256="Portfolio","Portfolio",IFERROR(INDEX(DATA_ASSET_CLASSIFICATION!$C$8:$C$24,MATCH($C1256,DATA_ASSET_CLASSIFICATION!$A$8:$A$24,0)),"Review"))</f>
        <v>Yes</v>
      </c>
      <c r="Q1256" s="350" t="str">
        <f t="shared" ca="1" si="39"/>
        <v>OK</v>
      </c>
    </row>
    <row r="1257" spans="1:17">
      <c r="A1257" s="366" t="s">
        <v>3213</v>
      </c>
      <c r="B1257" s="366" t="s">
        <v>231</v>
      </c>
      <c r="C1257" s="348" t="str">
        <f>DATA_PROPERTY_MASTER!$A$8</f>
        <v>BLD_CH</v>
      </c>
      <c r="D1257" s="380">
        <f>'00_PORTFOLIO ROLLUP'!J$12</f>
        <v>2030</v>
      </c>
      <c r="E1257" s="366" t="s">
        <v>1721</v>
      </c>
      <c r="F1257" s="366" t="s">
        <v>35</v>
      </c>
      <c r="G1257" s="348" t="str">
        <f>"'"&amp;$C1257&amp;"'!$E$63:$Y$63"</f>
        <v>'BLD_CH'!$E$63:$Y$63</v>
      </c>
      <c r="H1257" s="381">
        <f ca="1">IF(IFERROR(INDEX(DATA_PROPERTY_MASTER!$E$5:$E$21,MATCH($C1257,DATA_PROPERTY_MASTER!$A$5:$A$21,0))="Yes",FALSE),IFERROR(INDEX(INDIRECT("'"&amp;$C1257&amp;"'!$E$63:$Y$63"),1,MATCH($D1257,INDIRECT("'"&amp;$C1257&amp;"'!$E$12:$Y$12"),0)),0),0)</f>
        <v>0</v>
      </c>
      <c r="I1257" s="366" t="s">
        <v>1731</v>
      </c>
      <c r="J1257" s="348" t="str">
        <f t="shared" ca="1" si="38"/>
        <v>OK</v>
      </c>
      <c r="K1257" s="366" t="s">
        <v>1732</v>
      </c>
      <c r="L1257" s="366" t="s">
        <v>2256</v>
      </c>
      <c r="M1257" s="350" t="str">
        <f>IF($B1257="Portfolio","Portfolio",IFERROR(INDEX(DATA_ASSET_CLASSIFICATION!$B$8:$B$24,MATCH($C1257,DATA_ASSET_CLASSIFICATION!$A$8:$A$24,0)),"Review"))</f>
        <v>Capilano House</v>
      </c>
      <c r="N1257" s="350" t="str">
        <f ca="1">IF($B1257="Portfolio","Portfolio",IFERROR(INDEX(DATA_ASSET_CLASSIFICATION!$U$8:$U$24,MATCH($C1257,DATA_ASSET_CLASSIFICATION!$A$8:$A$24,0)),"Review"))</f>
        <v>Stable</v>
      </c>
      <c r="O1257" s="350" t="str">
        <f ca="1">IF($B1257="Portfolio","Portfolio",IFERROR(INDEX(DATA_ASSET_CLASSIFICATION!$AB$8:$AB$13,MATCH($N1257,DATA_ASSET_CLASSIFICATION!$AA$8:$AA$13,0)),"Review"))</f>
        <v>Bucket 2 · Legacy</v>
      </c>
      <c r="P1257" s="350" t="str">
        <f>IF($B1257="Portfolio","Portfolio",IFERROR(INDEX(DATA_ASSET_CLASSIFICATION!$C$8:$C$24,MATCH($C1257,DATA_ASSET_CLASSIFICATION!$A$8:$A$24,0)),"Review"))</f>
        <v>Yes</v>
      </c>
      <c r="Q1257" s="350" t="str">
        <f t="shared" ca="1" si="39"/>
        <v>OK</v>
      </c>
    </row>
    <row r="1258" spans="1:17">
      <c r="A1258" s="366" t="s">
        <v>3214</v>
      </c>
      <c r="B1258" s="366" t="s">
        <v>231</v>
      </c>
      <c r="C1258" s="348" t="str">
        <f>DATA_PROPERTY_MASTER!$A$8</f>
        <v>BLD_CH</v>
      </c>
      <c r="D1258" s="380">
        <f>'00_PORTFOLIO ROLLUP'!J$12</f>
        <v>2030</v>
      </c>
      <c r="E1258" s="366" t="s">
        <v>1721</v>
      </c>
      <c r="F1258" s="366" t="s">
        <v>37</v>
      </c>
      <c r="G1258" s="348" t="str">
        <f>"'"&amp;$C1258&amp;"'!$E$63:$Y$63"</f>
        <v>'BLD_CH'!$E$63:$Y$63</v>
      </c>
      <c r="H1258" s="381">
        <f ca="1">IF(IFERROR(INDEX(DATA_PROPERTY_MASTER!$E$5:$E$21,MATCH($C1258,DATA_PROPERTY_MASTER!$A$5:$A$21,0))="Yes",FALSE),MAX(IFERROR(INDEX(INDIRECT("'"&amp;$C1258&amp;"'!$E$63:$Y$63"),1,MATCH($D1258,INDIRECT("'"&amp;$C1258&amp;"'!$E$12:$Y$12"),0)),0),0),0)</f>
        <v>0</v>
      </c>
      <c r="I1258" s="366" t="s">
        <v>1685</v>
      </c>
      <c r="J1258" s="348" t="str">
        <f t="shared" ca="1" si="38"/>
        <v>OK</v>
      </c>
      <c r="K1258" s="366" t="s">
        <v>1735</v>
      </c>
      <c r="L1258" s="366" t="s">
        <v>2258</v>
      </c>
      <c r="M1258" s="350" t="str">
        <f>IF($B1258="Portfolio","Portfolio",IFERROR(INDEX(DATA_ASSET_CLASSIFICATION!$B$8:$B$24,MATCH($C1258,DATA_ASSET_CLASSIFICATION!$A$8:$A$24,0)),"Review"))</f>
        <v>Capilano House</v>
      </c>
      <c r="N1258" s="350" t="str">
        <f ca="1">IF($B1258="Portfolio","Portfolio",IFERROR(INDEX(DATA_ASSET_CLASSIFICATION!$U$8:$U$24,MATCH($C1258,DATA_ASSET_CLASSIFICATION!$A$8:$A$24,0)),"Review"))</f>
        <v>Stable</v>
      </c>
      <c r="O1258" s="350" t="str">
        <f ca="1">IF($B1258="Portfolio","Portfolio",IFERROR(INDEX(DATA_ASSET_CLASSIFICATION!$AB$8:$AB$13,MATCH($N1258,DATA_ASSET_CLASSIFICATION!$AA$8:$AA$13,0)),"Review"))</f>
        <v>Bucket 2 · Legacy</v>
      </c>
      <c r="P1258" s="350" t="str">
        <f>IF($B1258="Portfolio","Portfolio",IFERROR(INDEX(DATA_ASSET_CLASSIFICATION!$C$8:$C$24,MATCH($C1258,DATA_ASSET_CLASSIFICATION!$A$8:$A$24,0)),"Review"))</f>
        <v>Yes</v>
      </c>
      <c r="Q1258" s="350" t="str">
        <f t="shared" ca="1" si="39"/>
        <v>OK</v>
      </c>
    </row>
    <row r="1259" spans="1:17">
      <c r="A1259" s="366" t="s">
        <v>3215</v>
      </c>
      <c r="B1259" s="366" t="s">
        <v>231</v>
      </c>
      <c r="C1259" s="348" t="str">
        <f>DATA_PROPERTY_MASTER!$A$8</f>
        <v>BLD_CH</v>
      </c>
      <c r="D1259" s="380">
        <f>'00_PORTFOLIO ROLLUP'!J$12</f>
        <v>2030</v>
      </c>
      <c r="E1259" s="366" t="s">
        <v>1721</v>
      </c>
      <c r="F1259" s="366" t="s">
        <v>39</v>
      </c>
      <c r="G1259" s="348" t="str">
        <f>"'"&amp;$C1259&amp;"'!$E$63:$Y$63"</f>
        <v>'BLD_CH'!$E$63:$Y$63</v>
      </c>
      <c r="H1259" s="381">
        <f ca="1">IF(IFERROR(INDEX(DATA_PROPERTY_MASTER!$E$5:$E$21,MATCH($C1259,DATA_PROPERTY_MASTER!$A$5:$A$21,0))="Yes",FALSE),MAX(-IFERROR(INDEX(INDIRECT("'"&amp;$C1259&amp;"'!$E$63:$Y$63"),1,MATCH($D1259,INDIRECT("'"&amp;$C1259&amp;"'!$E$12:$Y$12"),0)),0),0),0)</f>
        <v>0</v>
      </c>
      <c r="I1259" s="366" t="s">
        <v>1690</v>
      </c>
      <c r="J1259" s="348" t="str">
        <f t="shared" ca="1" si="38"/>
        <v>OK</v>
      </c>
      <c r="K1259" s="366" t="s">
        <v>1738</v>
      </c>
      <c r="L1259" s="366" t="s">
        <v>2260</v>
      </c>
      <c r="M1259" s="350" t="str">
        <f>IF($B1259="Portfolio","Portfolio",IFERROR(INDEX(DATA_ASSET_CLASSIFICATION!$B$8:$B$24,MATCH($C1259,DATA_ASSET_CLASSIFICATION!$A$8:$A$24,0)),"Review"))</f>
        <v>Capilano House</v>
      </c>
      <c r="N1259" s="350" t="str">
        <f ca="1">IF($B1259="Portfolio","Portfolio",IFERROR(INDEX(DATA_ASSET_CLASSIFICATION!$U$8:$U$24,MATCH($C1259,DATA_ASSET_CLASSIFICATION!$A$8:$A$24,0)),"Review"))</f>
        <v>Stable</v>
      </c>
      <c r="O1259" s="350" t="str">
        <f ca="1">IF($B1259="Portfolio","Portfolio",IFERROR(INDEX(DATA_ASSET_CLASSIFICATION!$AB$8:$AB$13,MATCH($N1259,DATA_ASSET_CLASSIFICATION!$AA$8:$AA$13,0)),"Review"))</f>
        <v>Bucket 2 · Legacy</v>
      </c>
      <c r="P1259" s="350" t="str">
        <f>IF($B1259="Portfolio","Portfolio",IFERROR(INDEX(DATA_ASSET_CLASSIFICATION!$C$8:$C$24,MATCH($C1259,DATA_ASSET_CLASSIFICATION!$A$8:$A$24,0)),"Review"))</f>
        <v>Yes</v>
      </c>
      <c r="Q1259" s="350" t="str">
        <f t="shared" ca="1" si="39"/>
        <v>OK</v>
      </c>
    </row>
    <row r="1260" spans="1:17">
      <c r="A1260" s="366" t="s">
        <v>3216</v>
      </c>
      <c r="B1260" s="366" t="s">
        <v>231</v>
      </c>
      <c r="C1260" s="348" t="str">
        <f>DATA_PROPERTY_MASTER!$A$8</f>
        <v>BLD_CH</v>
      </c>
      <c r="D1260" s="380">
        <f>'00_PORTFOLIO ROLLUP'!J$12</f>
        <v>2030</v>
      </c>
      <c r="E1260" s="366" t="s">
        <v>1741</v>
      </c>
      <c r="F1260" s="366" t="s">
        <v>41</v>
      </c>
      <c r="G1260" s="348" t="str">
        <f>"'"&amp;$C1260&amp;"'!rows 56 + positive row 63"</f>
        <v>'BLD_CH'!rows 56 + positive row 63</v>
      </c>
      <c r="H1260" s="381">
        <f ca="1">IF(IFERROR(INDEX(DATA_PROPERTY_MASTER!$E$5:$E$21,MATCH($C1260,DATA_PROPERTY_MASTER!$A$5:$A$21,0))="Yes",FALSE),IFERROR(INDEX(INDIRECT("'"&amp;$C1260&amp;"'!$E$56:$Y$56"),1,MATCH($D1260,INDIRECT("'"&amp;$C1260&amp;"'!$E$12:$Y$12"),0)),0)+MAX(IFERROR(INDEX(INDIRECT("'"&amp;$C1260&amp;"'!$E$63:$Y$63"),1,MATCH($D1260,INDIRECT("'"&amp;$C1260&amp;"'!$E$12:$Y$12"),0)),0),0),0)</f>
        <v>188583.41222284641</v>
      </c>
      <c r="I1260" s="366" t="s">
        <v>1685</v>
      </c>
      <c r="J1260" s="348" t="str">
        <f t="shared" ca="1" si="38"/>
        <v>OK</v>
      </c>
      <c r="K1260" s="366" t="s">
        <v>1742</v>
      </c>
      <c r="L1260" s="366" t="s">
        <v>2262</v>
      </c>
      <c r="M1260" s="350" t="str">
        <f>IF($B1260="Portfolio","Portfolio",IFERROR(INDEX(DATA_ASSET_CLASSIFICATION!$B$8:$B$24,MATCH($C1260,DATA_ASSET_CLASSIFICATION!$A$8:$A$24,0)),"Review"))</f>
        <v>Capilano House</v>
      </c>
      <c r="N1260" s="350" t="str">
        <f ca="1">IF($B1260="Portfolio","Portfolio",IFERROR(INDEX(DATA_ASSET_CLASSIFICATION!$U$8:$U$24,MATCH($C1260,DATA_ASSET_CLASSIFICATION!$A$8:$A$24,0)),"Review"))</f>
        <v>Stable</v>
      </c>
      <c r="O1260" s="350" t="str">
        <f ca="1">IF($B1260="Portfolio","Portfolio",IFERROR(INDEX(DATA_ASSET_CLASSIFICATION!$AB$8:$AB$13,MATCH($N1260,DATA_ASSET_CLASSIFICATION!$AA$8:$AA$13,0)),"Review"))</f>
        <v>Bucket 2 · Legacy</v>
      </c>
      <c r="P1260" s="350" t="str">
        <f>IF($B1260="Portfolio","Portfolio",IFERROR(INDEX(DATA_ASSET_CLASSIFICATION!$C$8:$C$24,MATCH($C1260,DATA_ASSET_CLASSIFICATION!$A$8:$A$24,0)),"Review"))</f>
        <v>Yes</v>
      </c>
      <c r="Q1260" s="350" t="str">
        <f t="shared" ca="1" si="39"/>
        <v>OK</v>
      </c>
    </row>
    <row r="1261" spans="1:17">
      <c r="A1261" s="366" t="s">
        <v>3217</v>
      </c>
      <c r="B1261" s="366" t="s">
        <v>231</v>
      </c>
      <c r="C1261" s="348" t="str">
        <f>DATA_PROPERTY_MASTER!$A$8</f>
        <v>BLD_CH</v>
      </c>
      <c r="D1261" s="380">
        <f>'00_PORTFOLIO ROLLUP'!J$12</f>
        <v>2030</v>
      </c>
      <c r="E1261" s="366" t="s">
        <v>1741</v>
      </c>
      <c r="F1261" s="366" t="s">
        <v>43</v>
      </c>
      <c r="G1261" s="348" t="str">
        <f>"'"&amp;$C1261&amp;"'!$E$68:$Y$68"</f>
        <v>'BLD_CH'!$E$68:$Y$68</v>
      </c>
      <c r="H1261" s="381">
        <f ca="1">IF(IFERROR(INDEX(DATA_PROPERTY_MASTER!$E$5:$E$21,MATCH($C1261,DATA_PROPERTY_MASTER!$A$5:$A$21,0))="Yes",FALSE),IFERROR(INDEX(INDIRECT("'"&amp;$C1261&amp;"'!$E$68:$Y$68"),1,MATCH($D1261,INDIRECT("'"&amp;$C1261&amp;"'!$E$12:$Y$12"),0)),0),0)</f>
        <v>188583.41222284641</v>
      </c>
      <c r="I1261" s="366" t="s">
        <v>1731</v>
      </c>
      <c r="J1261" s="348" t="str">
        <f t="shared" ca="1" si="38"/>
        <v>OK</v>
      </c>
      <c r="K1261" s="366" t="s">
        <v>1746</v>
      </c>
      <c r="L1261" s="366" t="s">
        <v>2264</v>
      </c>
      <c r="M1261" s="350" t="str">
        <f>IF($B1261="Portfolio","Portfolio",IFERROR(INDEX(DATA_ASSET_CLASSIFICATION!$B$8:$B$24,MATCH($C1261,DATA_ASSET_CLASSIFICATION!$A$8:$A$24,0)),"Review"))</f>
        <v>Capilano House</v>
      </c>
      <c r="N1261" s="350" t="str">
        <f ca="1">IF($B1261="Portfolio","Portfolio",IFERROR(INDEX(DATA_ASSET_CLASSIFICATION!$U$8:$U$24,MATCH($C1261,DATA_ASSET_CLASSIFICATION!$A$8:$A$24,0)),"Review"))</f>
        <v>Stable</v>
      </c>
      <c r="O1261" s="350" t="str">
        <f ca="1">IF($B1261="Portfolio","Portfolio",IFERROR(INDEX(DATA_ASSET_CLASSIFICATION!$AB$8:$AB$13,MATCH($N1261,DATA_ASSET_CLASSIFICATION!$AA$8:$AA$13,0)),"Review"))</f>
        <v>Bucket 2 · Legacy</v>
      </c>
      <c r="P1261" s="350" t="str">
        <f>IF($B1261="Portfolio","Portfolio",IFERROR(INDEX(DATA_ASSET_CLASSIFICATION!$C$8:$C$24,MATCH($C1261,DATA_ASSET_CLASSIFICATION!$A$8:$A$24,0)),"Review"))</f>
        <v>Yes</v>
      </c>
      <c r="Q1261" s="350" t="str">
        <f t="shared" ca="1" si="39"/>
        <v>OK</v>
      </c>
    </row>
    <row r="1262" spans="1:17">
      <c r="A1262" s="366" t="s">
        <v>3218</v>
      </c>
      <c r="B1262" s="366" t="s">
        <v>231</v>
      </c>
      <c r="C1262" s="348" t="str">
        <f>DATA_PROPERTY_MASTER!$A$8</f>
        <v>BLD_CH</v>
      </c>
      <c r="D1262" s="380">
        <f>'00_PORTFOLIO ROLLUP'!J$12</f>
        <v>2030</v>
      </c>
      <c r="E1262" s="366" t="s">
        <v>1741</v>
      </c>
      <c r="F1262" s="366" t="s">
        <v>1749</v>
      </c>
      <c r="G1262" s="348" t="str">
        <f>"'"&amp;$C1262&amp;"'!rows 56, 63, 68"</f>
        <v>'BLD_CH'!rows 56, 63, 68</v>
      </c>
      <c r="H1262" s="381">
        <f ca="1">IF(IFERROR(INDEX(DATA_PROPERTY_MASTER!$E$5:$E$21,MATCH($C1262,DATA_PROPERTY_MASTER!$A$5:$A$21,0))="Yes",FALSE),(IFERROR(INDEX(INDIRECT("'"&amp;$C1262&amp;"'!$E$56:$Y$56"),1,MATCH($D1262,INDIRECT("'"&amp;$C1262&amp;"'!$E$12:$Y$12"),0)),0)+MAX(IFERROR(INDEX(INDIRECT("'"&amp;$C1262&amp;"'!$E$63:$Y$63"),1,MATCH($D1262,INDIRECT("'"&amp;$C1262&amp;"'!$E$12:$Y$12"),0)),0),0))-(IFERROR(INDEX(INDIRECT("'"&amp;$C1262&amp;"'!$E$68:$Y$68"),1,MATCH($D1262,INDIRECT("'"&amp;$C1262&amp;"'!$E$12:$Y$12"),0)),0)),0)</f>
        <v>0</v>
      </c>
      <c r="I1262" s="366" t="s">
        <v>1750</v>
      </c>
      <c r="J1262" s="348" t="str">
        <f t="shared" ca="1" si="38"/>
        <v>OK</v>
      </c>
      <c r="K1262" s="366" t="s">
        <v>1751</v>
      </c>
      <c r="L1262" s="366" t="s">
        <v>2266</v>
      </c>
      <c r="M1262" s="350" t="str">
        <f>IF($B1262="Portfolio","Portfolio",IFERROR(INDEX(DATA_ASSET_CLASSIFICATION!$B$8:$B$24,MATCH($C1262,DATA_ASSET_CLASSIFICATION!$A$8:$A$24,0)),"Review"))</f>
        <v>Capilano House</v>
      </c>
      <c r="N1262" s="350" t="str">
        <f ca="1">IF($B1262="Portfolio","Portfolio",IFERROR(INDEX(DATA_ASSET_CLASSIFICATION!$U$8:$U$24,MATCH($C1262,DATA_ASSET_CLASSIFICATION!$A$8:$A$24,0)),"Review"))</f>
        <v>Stable</v>
      </c>
      <c r="O1262" s="350" t="str">
        <f ca="1">IF($B1262="Portfolio","Portfolio",IFERROR(INDEX(DATA_ASSET_CLASSIFICATION!$AB$8:$AB$13,MATCH($N1262,DATA_ASSET_CLASSIFICATION!$AA$8:$AA$13,0)),"Review"))</f>
        <v>Bucket 2 · Legacy</v>
      </c>
      <c r="P1262" s="350" t="str">
        <f>IF($B1262="Portfolio","Portfolio",IFERROR(INDEX(DATA_ASSET_CLASSIFICATION!$C$8:$C$24,MATCH($C1262,DATA_ASSET_CLASSIFICATION!$A$8:$A$24,0)),"Review"))</f>
        <v>Yes</v>
      </c>
      <c r="Q1262" s="350" t="str">
        <f t="shared" ca="1" si="39"/>
        <v>OK</v>
      </c>
    </row>
    <row r="1263" spans="1:17">
      <c r="A1263" s="366" t="s">
        <v>3219</v>
      </c>
      <c r="B1263" s="366" t="s">
        <v>231</v>
      </c>
      <c r="C1263" s="348" t="str">
        <f>DATA_PROPERTY_MASTER!$A$8</f>
        <v>BLD_CH</v>
      </c>
      <c r="D1263" s="380">
        <f>'00_PORTFOLIO ROLLUP'!K$12</f>
        <v>2031</v>
      </c>
      <c r="E1263" s="366" t="s">
        <v>1683</v>
      </c>
      <c r="F1263" s="366" t="s">
        <v>341</v>
      </c>
      <c r="G1263" s="348" t="str">
        <f>"'"&amp;$C1263&amp;"'!$E$24:$Y$24"</f>
        <v>'BLD_CH'!$E$24:$Y$24</v>
      </c>
      <c r="H1263" s="381">
        <f ca="1">IF(IFERROR(INDEX(DATA_PROPERTY_MASTER!$E$5:$E$21,MATCH($C1263,DATA_PROPERTY_MASTER!$A$5:$A$21,0))="Yes",FALSE),IFERROR(INDEX(INDIRECT("'"&amp;$C1263&amp;"'!$E$24:$Y$24"),1,MATCH($D1263,INDIRECT("'"&amp;$C1263&amp;"'!$E$12:$Y$12"),0)),0),0)</f>
        <v>1087412.143421456</v>
      </c>
      <c r="I1263" s="366" t="s">
        <v>1685</v>
      </c>
      <c r="J1263" s="348" t="str">
        <f t="shared" ca="1" si="38"/>
        <v>OK</v>
      </c>
      <c r="K1263" s="366" t="s">
        <v>1686</v>
      </c>
      <c r="L1263" s="366" t="s">
        <v>2234</v>
      </c>
      <c r="M1263" s="350" t="str">
        <f>IF($B1263="Portfolio","Portfolio",IFERROR(INDEX(DATA_ASSET_CLASSIFICATION!$B$8:$B$24,MATCH($C1263,DATA_ASSET_CLASSIFICATION!$A$8:$A$24,0)),"Review"))</f>
        <v>Capilano House</v>
      </c>
      <c r="N1263" s="350" t="str">
        <f ca="1">IF($B1263="Portfolio","Portfolio",IFERROR(INDEX(DATA_ASSET_CLASSIFICATION!$U$8:$U$24,MATCH($C1263,DATA_ASSET_CLASSIFICATION!$A$8:$A$24,0)),"Review"))</f>
        <v>Stable</v>
      </c>
      <c r="O1263" s="350" t="str">
        <f ca="1">IF($B1263="Portfolio","Portfolio",IFERROR(INDEX(DATA_ASSET_CLASSIFICATION!$AB$8:$AB$13,MATCH($N1263,DATA_ASSET_CLASSIFICATION!$AA$8:$AA$13,0)),"Review"))</f>
        <v>Bucket 2 · Legacy</v>
      </c>
      <c r="P1263" s="350" t="str">
        <f>IF($B1263="Portfolio","Portfolio",IFERROR(INDEX(DATA_ASSET_CLASSIFICATION!$C$8:$C$24,MATCH($C1263,DATA_ASSET_CLASSIFICATION!$A$8:$A$24,0)),"Review"))</f>
        <v>Yes</v>
      </c>
      <c r="Q1263" s="350" t="str">
        <f t="shared" ca="1" si="39"/>
        <v>OK</v>
      </c>
    </row>
    <row r="1264" spans="1:17">
      <c r="A1264" s="366" t="s">
        <v>3220</v>
      </c>
      <c r="B1264" s="366" t="s">
        <v>231</v>
      </c>
      <c r="C1264" s="348" t="str">
        <f>DATA_PROPERTY_MASTER!$A$8</f>
        <v>BLD_CH</v>
      </c>
      <c r="D1264" s="380">
        <f>'00_PORTFOLIO ROLLUP'!K$12</f>
        <v>2031</v>
      </c>
      <c r="E1264" s="366" t="s">
        <v>1683</v>
      </c>
      <c r="F1264" s="366" t="s">
        <v>355</v>
      </c>
      <c r="G1264" s="348" t="str">
        <f>"'"&amp;$C1264&amp;"'!$E$39:$Y$39"</f>
        <v>'BLD_CH'!$E$39:$Y$39</v>
      </c>
      <c r="H1264" s="381">
        <f ca="1">IF(IFERROR(INDEX(DATA_PROPERTY_MASTER!$E$5:$E$21,MATCH($C1264,DATA_PROPERTY_MASTER!$A$5:$A$21,0))="Yes",FALSE),IFERROR(INDEX(INDIRECT("'"&amp;$C1264&amp;"'!$E$39:$Y$39"),1,MATCH($D1264,INDIRECT("'"&amp;$C1264&amp;"'!$E$12:$Y$12"),0)),0),0)</f>
        <v>618417.07837580913</v>
      </c>
      <c r="I1264" s="366" t="s">
        <v>1690</v>
      </c>
      <c r="J1264" s="348" t="str">
        <f t="shared" ca="1" si="38"/>
        <v>OK</v>
      </c>
      <c r="K1264" s="366" t="s">
        <v>1686</v>
      </c>
      <c r="L1264" s="366" t="s">
        <v>2236</v>
      </c>
      <c r="M1264" s="350" t="str">
        <f>IF($B1264="Portfolio","Portfolio",IFERROR(INDEX(DATA_ASSET_CLASSIFICATION!$B$8:$B$24,MATCH($C1264,DATA_ASSET_CLASSIFICATION!$A$8:$A$24,0)),"Review"))</f>
        <v>Capilano House</v>
      </c>
      <c r="N1264" s="350" t="str">
        <f ca="1">IF($B1264="Portfolio","Portfolio",IFERROR(INDEX(DATA_ASSET_CLASSIFICATION!$U$8:$U$24,MATCH($C1264,DATA_ASSET_CLASSIFICATION!$A$8:$A$24,0)),"Review"))</f>
        <v>Stable</v>
      </c>
      <c r="O1264" s="350" t="str">
        <f ca="1">IF($B1264="Portfolio","Portfolio",IFERROR(INDEX(DATA_ASSET_CLASSIFICATION!$AB$8:$AB$13,MATCH($N1264,DATA_ASSET_CLASSIFICATION!$AA$8:$AA$13,0)),"Review"))</f>
        <v>Bucket 2 · Legacy</v>
      </c>
      <c r="P1264" s="350" t="str">
        <f>IF($B1264="Portfolio","Portfolio",IFERROR(INDEX(DATA_ASSET_CLASSIFICATION!$C$8:$C$24,MATCH($C1264,DATA_ASSET_CLASSIFICATION!$A$8:$A$24,0)),"Review"))</f>
        <v>Yes</v>
      </c>
      <c r="Q1264" s="350" t="str">
        <f t="shared" ca="1" si="39"/>
        <v>OK</v>
      </c>
    </row>
    <row r="1265" spans="1:17">
      <c r="A1265" s="366" t="s">
        <v>3221</v>
      </c>
      <c r="B1265" s="366" t="s">
        <v>231</v>
      </c>
      <c r="C1265" s="348" t="str">
        <f>DATA_PROPERTY_MASTER!$A$8</f>
        <v>BLD_CH</v>
      </c>
      <c r="D1265" s="380">
        <f>'00_PORTFOLIO ROLLUP'!K$12</f>
        <v>2031</v>
      </c>
      <c r="E1265" s="366" t="s">
        <v>1683</v>
      </c>
      <c r="F1265" s="366" t="s">
        <v>19</v>
      </c>
      <c r="G1265" s="348" t="str">
        <f>"'"&amp;$C1265&amp;"'!$E$41:$Y$41"</f>
        <v>'BLD_CH'!$E$41:$Y$41</v>
      </c>
      <c r="H1265" s="381">
        <f ca="1">IF(IFERROR(INDEX(DATA_PROPERTY_MASTER!$E$5:$E$21,MATCH($C1265,DATA_PROPERTY_MASTER!$A$5:$A$21,0))="Yes",FALSE),IFERROR(INDEX(INDIRECT("'"&amp;$C1265&amp;"'!$E$41:$Y$41"),1,MATCH($D1265,INDIRECT("'"&amp;$C1265&amp;"'!$E$12:$Y$12"),0)),0),0)</f>
        <v>468995.06504564686</v>
      </c>
      <c r="I1265" s="366" t="s">
        <v>1685</v>
      </c>
      <c r="J1265" s="348" t="str">
        <f t="shared" ca="1" si="38"/>
        <v>OK</v>
      </c>
      <c r="K1265" s="366" t="s">
        <v>1694</v>
      </c>
      <c r="L1265" s="366" t="s">
        <v>2238</v>
      </c>
      <c r="M1265" s="350" t="str">
        <f>IF($B1265="Portfolio","Portfolio",IFERROR(INDEX(DATA_ASSET_CLASSIFICATION!$B$8:$B$24,MATCH($C1265,DATA_ASSET_CLASSIFICATION!$A$8:$A$24,0)),"Review"))</f>
        <v>Capilano House</v>
      </c>
      <c r="N1265" s="350" t="str">
        <f ca="1">IF($B1265="Portfolio","Portfolio",IFERROR(INDEX(DATA_ASSET_CLASSIFICATION!$U$8:$U$24,MATCH($C1265,DATA_ASSET_CLASSIFICATION!$A$8:$A$24,0)),"Review"))</f>
        <v>Stable</v>
      </c>
      <c r="O1265" s="350" t="str">
        <f ca="1">IF($B1265="Portfolio","Portfolio",IFERROR(INDEX(DATA_ASSET_CLASSIFICATION!$AB$8:$AB$13,MATCH($N1265,DATA_ASSET_CLASSIFICATION!$AA$8:$AA$13,0)),"Review"))</f>
        <v>Bucket 2 · Legacy</v>
      </c>
      <c r="P1265" s="350" t="str">
        <f>IF($B1265="Portfolio","Portfolio",IFERROR(INDEX(DATA_ASSET_CLASSIFICATION!$C$8:$C$24,MATCH($C1265,DATA_ASSET_CLASSIFICATION!$A$8:$A$24,0)),"Review"))</f>
        <v>Yes</v>
      </c>
      <c r="Q1265" s="350" t="str">
        <f t="shared" ca="1" si="39"/>
        <v>OK</v>
      </c>
    </row>
    <row r="1266" spans="1:17">
      <c r="A1266" s="366" t="s">
        <v>3222</v>
      </c>
      <c r="B1266" s="366" t="s">
        <v>231</v>
      </c>
      <c r="C1266" s="348" t="str">
        <f>DATA_PROPERTY_MASTER!$A$8</f>
        <v>BLD_CH</v>
      </c>
      <c r="D1266" s="380">
        <f>'00_PORTFOLIO ROLLUP'!K$12</f>
        <v>2031</v>
      </c>
      <c r="E1266" s="366" t="s">
        <v>1683</v>
      </c>
      <c r="F1266" s="366" t="s">
        <v>1697</v>
      </c>
      <c r="G1266" s="348" t="str">
        <f>"'"&amp;$C1266&amp;"'!$E$44:$Y$44"</f>
        <v>'BLD_CH'!$E$44:$Y$44</v>
      </c>
      <c r="H1266" s="381">
        <f ca="1">IF(IFERROR(INDEX(DATA_PROPERTY_MASTER!$E$5:$E$21,MATCH($C1266,DATA_PROPERTY_MASTER!$A$5:$A$21,0))="Yes",FALSE),IFERROR(INDEX(INDIRECT("'"&amp;$C1266&amp;"'!$E$44:$Y$44"),1,MATCH($D1266,INDIRECT("'"&amp;$C1266&amp;"'!$E$12:$Y$12"),0)),0),0)</f>
        <v>10811.159224934401</v>
      </c>
      <c r="I1266" s="366" t="s">
        <v>1690</v>
      </c>
      <c r="J1266" s="348" t="str">
        <f t="shared" ca="1" si="38"/>
        <v>OK</v>
      </c>
      <c r="K1266" s="366" t="s">
        <v>1699</v>
      </c>
      <c r="L1266" s="366" t="s">
        <v>2240</v>
      </c>
      <c r="M1266" s="350" t="str">
        <f>IF($B1266="Portfolio","Portfolio",IFERROR(INDEX(DATA_ASSET_CLASSIFICATION!$B$8:$B$24,MATCH($C1266,DATA_ASSET_CLASSIFICATION!$A$8:$A$24,0)),"Review"))</f>
        <v>Capilano House</v>
      </c>
      <c r="N1266" s="350" t="str">
        <f ca="1">IF($B1266="Portfolio","Portfolio",IFERROR(INDEX(DATA_ASSET_CLASSIFICATION!$U$8:$U$24,MATCH($C1266,DATA_ASSET_CLASSIFICATION!$A$8:$A$24,0)),"Review"))</f>
        <v>Stable</v>
      </c>
      <c r="O1266" s="350" t="str">
        <f ca="1">IF($B1266="Portfolio","Portfolio",IFERROR(INDEX(DATA_ASSET_CLASSIFICATION!$AB$8:$AB$13,MATCH($N1266,DATA_ASSET_CLASSIFICATION!$AA$8:$AA$13,0)),"Review"))</f>
        <v>Bucket 2 · Legacy</v>
      </c>
      <c r="P1266" s="350" t="str">
        <f>IF($B1266="Portfolio","Portfolio",IFERROR(INDEX(DATA_ASSET_CLASSIFICATION!$C$8:$C$24,MATCH($C1266,DATA_ASSET_CLASSIFICATION!$A$8:$A$24,0)),"Review"))</f>
        <v>Yes</v>
      </c>
      <c r="Q1266" s="350" t="str">
        <f t="shared" ca="1" si="39"/>
        <v>OK</v>
      </c>
    </row>
    <row r="1267" spans="1:17">
      <c r="A1267" s="366" t="s">
        <v>3223</v>
      </c>
      <c r="B1267" s="366" t="s">
        <v>231</v>
      </c>
      <c r="C1267" s="348" t="str">
        <f>DATA_PROPERTY_MASTER!$A$8</f>
        <v>BLD_CH</v>
      </c>
      <c r="D1267" s="380">
        <f>'00_PORTFOLIO ROLLUP'!K$12</f>
        <v>2031</v>
      </c>
      <c r="E1267" s="366" t="s">
        <v>1683</v>
      </c>
      <c r="F1267" s="366" t="s">
        <v>21</v>
      </c>
      <c r="G1267" s="348" t="str">
        <f>"'"&amp;$C1267&amp;"'!$E$45:$Y$45"</f>
        <v>'BLD_CH'!$E$45:$Y$45</v>
      </c>
      <c r="H1267" s="381">
        <f ca="1">IF(IFERROR(INDEX(DATA_PROPERTY_MASTER!$E$5:$E$21,MATCH($C1267,DATA_PROPERTY_MASTER!$A$5:$A$21,0))="Yes",FALSE),IFERROR(INDEX(INDIRECT("'"&amp;$C1267&amp;"'!$E$45:$Y$45"),1,MATCH($D1267,INDIRECT("'"&amp;$C1267&amp;"'!$E$12:$Y$12"),0)),0),0)</f>
        <v>458183.90582071245</v>
      </c>
      <c r="I1267" s="366" t="s">
        <v>1685</v>
      </c>
      <c r="J1267" s="348" t="str">
        <f t="shared" ca="1" si="38"/>
        <v>OK</v>
      </c>
      <c r="K1267" s="366" t="s">
        <v>1694</v>
      </c>
      <c r="L1267" s="366" t="s">
        <v>2242</v>
      </c>
      <c r="M1267" s="350" t="str">
        <f>IF($B1267="Portfolio","Portfolio",IFERROR(INDEX(DATA_ASSET_CLASSIFICATION!$B$8:$B$24,MATCH($C1267,DATA_ASSET_CLASSIFICATION!$A$8:$A$24,0)),"Review"))</f>
        <v>Capilano House</v>
      </c>
      <c r="N1267" s="350" t="str">
        <f ca="1">IF($B1267="Portfolio","Portfolio",IFERROR(INDEX(DATA_ASSET_CLASSIFICATION!$U$8:$U$24,MATCH($C1267,DATA_ASSET_CLASSIFICATION!$A$8:$A$24,0)),"Review"))</f>
        <v>Stable</v>
      </c>
      <c r="O1267" s="350" t="str">
        <f ca="1">IF($B1267="Portfolio","Portfolio",IFERROR(INDEX(DATA_ASSET_CLASSIFICATION!$AB$8:$AB$13,MATCH($N1267,DATA_ASSET_CLASSIFICATION!$AA$8:$AA$13,0)),"Review"))</f>
        <v>Bucket 2 · Legacy</v>
      </c>
      <c r="P1267" s="350" t="str">
        <f>IF($B1267="Portfolio","Portfolio",IFERROR(INDEX(DATA_ASSET_CLASSIFICATION!$C$8:$C$24,MATCH($C1267,DATA_ASSET_CLASSIFICATION!$A$8:$A$24,0)),"Review"))</f>
        <v>Yes</v>
      </c>
      <c r="Q1267" s="350" t="str">
        <f t="shared" ca="1" si="39"/>
        <v>OK</v>
      </c>
    </row>
    <row r="1268" spans="1:17">
      <c r="A1268" s="366" t="s">
        <v>3224</v>
      </c>
      <c r="B1268" s="366" t="s">
        <v>231</v>
      </c>
      <c r="C1268" s="348" t="str">
        <f>DATA_PROPERTY_MASTER!$A$8</f>
        <v>BLD_CH</v>
      </c>
      <c r="D1268" s="380">
        <f>'00_PORTFOLIO ROLLUP'!K$12</f>
        <v>2031</v>
      </c>
      <c r="E1268" s="366" t="s">
        <v>23</v>
      </c>
      <c r="F1268" s="366" t="s">
        <v>23</v>
      </c>
      <c r="G1268" s="348" t="str">
        <f>"'"&amp;$C1268&amp;"'!$E$48:$Y$48"</f>
        <v>'BLD_CH'!$E$48:$Y$48</v>
      </c>
      <c r="H1268" s="381">
        <f ca="1">IF(IFERROR(INDEX(DATA_PROPERTY_MASTER!$E$5:$E$21,MATCH($C1268,DATA_PROPERTY_MASTER!$A$5:$A$21,0))="Yes",FALSE),IFERROR(INDEX(INDIRECT("'"&amp;$C1268&amp;"'!$E$48:$Y$48"),1,MATCH($D1268,INDIRECT("'"&amp;$C1268&amp;"'!$E$12:$Y$12"),0)),0),0)</f>
        <v>0</v>
      </c>
      <c r="I1268" s="366" t="s">
        <v>1690</v>
      </c>
      <c r="J1268" s="348" t="str">
        <f t="shared" ca="1" si="38"/>
        <v>OK</v>
      </c>
      <c r="K1268" s="366" t="s">
        <v>1706</v>
      </c>
      <c r="L1268" s="366" t="s">
        <v>2244</v>
      </c>
      <c r="M1268" s="350" t="str">
        <f>IF($B1268="Portfolio","Portfolio",IFERROR(INDEX(DATA_ASSET_CLASSIFICATION!$B$8:$B$24,MATCH($C1268,DATA_ASSET_CLASSIFICATION!$A$8:$A$24,0)),"Review"))</f>
        <v>Capilano House</v>
      </c>
      <c r="N1268" s="350" t="str">
        <f ca="1">IF($B1268="Portfolio","Portfolio",IFERROR(INDEX(DATA_ASSET_CLASSIFICATION!$U$8:$U$24,MATCH($C1268,DATA_ASSET_CLASSIFICATION!$A$8:$A$24,0)),"Review"))</f>
        <v>Stable</v>
      </c>
      <c r="O1268" s="350" t="str">
        <f ca="1">IF($B1268="Portfolio","Portfolio",IFERROR(INDEX(DATA_ASSET_CLASSIFICATION!$AB$8:$AB$13,MATCH($N1268,DATA_ASSET_CLASSIFICATION!$AA$8:$AA$13,0)),"Review"))</f>
        <v>Bucket 2 · Legacy</v>
      </c>
      <c r="P1268" s="350" t="str">
        <f>IF($B1268="Portfolio","Portfolio",IFERROR(INDEX(DATA_ASSET_CLASSIFICATION!$C$8:$C$24,MATCH($C1268,DATA_ASSET_CLASSIFICATION!$A$8:$A$24,0)),"Review"))</f>
        <v>Yes</v>
      </c>
      <c r="Q1268" s="350" t="str">
        <f t="shared" ca="1" si="39"/>
        <v>OK</v>
      </c>
    </row>
    <row r="1269" spans="1:17">
      <c r="A1269" s="366" t="s">
        <v>3225</v>
      </c>
      <c r="B1269" s="366" t="s">
        <v>231</v>
      </c>
      <c r="C1269" s="348" t="str">
        <f>DATA_PROPERTY_MASTER!$A$8</f>
        <v>BLD_CH</v>
      </c>
      <c r="D1269" s="380">
        <f>'00_PORTFOLIO ROLLUP'!K$12</f>
        <v>2031</v>
      </c>
      <c r="E1269" s="366" t="s">
        <v>1683</v>
      </c>
      <c r="F1269" s="366" t="s">
        <v>25</v>
      </c>
      <c r="G1269" s="348" t="str">
        <f>"'"&amp;$C1269&amp;"'!$E$52:$Y$52"</f>
        <v>'BLD_CH'!$E$52:$Y$52</v>
      </c>
      <c r="H1269" s="381">
        <f ca="1">IF(IFERROR(INDEX(DATA_PROPERTY_MASTER!$E$5:$E$21,MATCH($C1269,DATA_PROPERTY_MASTER!$A$5:$A$21,0))="Yes",FALSE),IFERROR(INDEX(INDIRECT("'"&amp;$C1269&amp;"'!$E$52:$Y$52"),1,MATCH($D1269,INDIRECT("'"&amp;$C1269&amp;"'!$E$12:$Y$12"),0)),0),0)</f>
        <v>468995.06504564686</v>
      </c>
      <c r="I1269" s="366" t="s">
        <v>1685</v>
      </c>
      <c r="J1269" s="348" t="str">
        <f t="shared" ca="1" si="38"/>
        <v>OK</v>
      </c>
      <c r="K1269" s="366" t="s">
        <v>1710</v>
      </c>
      <c r="L1269" s="366" t="s">
        <v>2246</v>
      </c>
      <c r="M1269" s="350" t="str">
        <f>IF($B1269="Portfolio","Portfolio",IFERROR(INDEX(DATA_ASSET_CLASSIFICATION!$B$8:$B$24,MATCH($C1269,DATA_ASSET_CLASSIFICATION!$A$8:$A$24,0)),"Review"))</f>
        <v>Capilano House</v>
      </c>
      <c r="N1269" s="350" t="str">
        <f ca="1">IF($B1269="Portfolio","Portfolio",IFERROR(INDEX(DATA_ASSET_CLASSIFICATION!$U$8:$U$24,MATCH($C1269,DATA_ASSET_CLASSIFICATION!$A$8:$A$24,0)),"Review"))</f>
        <v>Stable</v>
      </c>
      <c r="O1269" s="350" t="str">
        <f ca="1">IF($B1269="Portfolio","Portfolio",IFERROR(INDEX(DATA_ASSET_CLASSIFICATION!$AB$8:$AB$13,MATCH($N1269,DATA_ASSET_CLASSIFICATION!$AA$8:$AA$13,0)),"Review"))</f>
        <v>Bucket 2 · Legacy</v>
      </c>
      <c r="P1269" s="350" t="str">
        <f>IF($B1269="Portfolio","Portfolio",IFERROR(INDEX(DATA_ASSET_CLASSIFICATION!$C$8:$C$24,MATCH($C1269,DATA_ASSET_CLASSIFICATION!$A$8:$A$24,0)),"Review"))</f>
        <v>Yes</v>
      </c>
      <c r="Q1269" s="350" t="str">
        <f t="shared" ca="1" si="39"/>
        <v>OK</v>
      </c>
    </row>
    <row r="1270" spans="1:17">
      <c r="A1270" s="366" t="s">
        <v>3226</v>
      </c>
      <c r="B1270" s="366" t="s">
        <v>231</v>
      </c>
      <c r="C1270" s="348" t="str">
        <f>DATA_PROPERTY_MASTER!$A$8</f>
        <v>BLD_CH</v>
      </c>
      <c r="D1270" s="380">
        <f>'00_PORTFOLIO ROLLUP'!K$12</f>
        <v>2031</v>
      </c>
      <c r="E1270" s="366" t="s">
        <v>1683</v>
      </c>
      <c r="F1270" s="366" t="s">
        <v>27</v>
      </c>
      <c r="G1270" s="348" t="str">
        <f>"'"&amp;$C1270&amp;"'!$E$54:$Y$54"</f>
        <v>'BLD_CH'!$E$54:$Y$54</v>
      </c>
      <c r="H1270" s="381">
        <f ca="1">IF(IFERROR(INDEX(DATA_PROPERTY_MASTER!$E$5:$E$21,MATCH($C1270,DATA_PROPERTY_MASTER!$A$5:$A$21,0))="Yes",FALSE),IFERROR(INDEX(INDIRECT("'"&amp;$C1270&amp;"'!$E$54:$Y$54"),1,MATCH($D1270,INDIRECT("'"&amp;$C1270&amp;"'!$E$12:$Y$12"),0)),0),0)</f>
        <v>281397.03902738809</v>
      </c>
      <c r="I1270" s="366" t="s">
        <v>1690</v>
      </c>
      <c r="J1270" s="348" t="str">
        <f t="shared" ca="1" si="38"/>
        <v>OK</v>
      </c>
      <c r="K1270" s="366" t="s">
        <v>1714</v>
      </c>
      <c r="L1270" s="366" t="s">
        <v>2248</v>
      </c>
      <c r="M1270" s="350" t="str">
        <f>IF($B1270="Portfolio","Portfolio",IFERROR(INDEX(DATA_ASSET_CLASSIFICATION!$B$8:$B$24,MATCH($C1270,DATA_ASSET_CLASSIFICATION!$A$8:$A$24,0)),"Review"))</f>
        <v>Capilano House</v>
      </c>
      <c r="N1270" s="350" t="str">
        <f ca="1">IF($B1270="Portfolio","Portfolio",IFERROR(INDEX(DATA_ASSET_CLASSIFICATION!$U$8:$U$24,MATCH($C1270,DATA_ASSET_CLASSIFICATION!$A$8:$A$24,0)),"Review"))</f>
        <v>Stable</v>
      </c>
      <c r="O1270" s="350" t="str">
        <f ca="1">IF($B1270="Portfolio","Portfolio",IFERROR(INDEX(DATA_ASSET_CLASSIFICATION!$AB$8:$AB$13,MATCH($N1270,DATA_ASSET_CLASSIFICATION!$AA$8:$AA$13,0)),"Review"))</f>
        <v>Bucket 2 · Legacy</v>
      </c>
      <c r="P1270" s="350" t="str">
        <f>IF($B1270="Portfolio","Portfolio",IFERROR(INDEX(DATA_ASSET_CLASSIFICATION!$C$8:$C$24,MATCH($C1270,DATA_ASSET_CLASSIFICATION!$A$8:$A$24,0)),"Review"))</f>
        <v>Yes</v>
      </c>
      <c r="Q1270" s="350" t="str">
        <f t="shared" ca="1" si="39"/>
        <v>OK</v>
      </c>
    </row>
    <row r="1271" spans="1:17">
      <c r="A1271" s="366" t="s">
        <v>3227</v>
      </c>
      <c r="B1271" s="366" t="s">
        <v>231</v>
      </c>
      <c r="C1271" s="348" t="str">
        <f>DATA_PROPERTY_MASTER!$A$8</f>
        <v>BLD_CH</v>
      </c>
      <c r="D1271" s="380">
        <f>'00_PORTFOLIO ROLLUP'!K$12</f>
        <v>2031</v>
      </c>
      <c r="E1271" s="366" t="s">
        <v>1683</v>
      </c>
      <c r="F1271" s="366" t="s">
        <v>29</v>
      </c>
      <c r="G1271" s="348" t="str">
        <f>"'"&amp;$C1271&amp;"'!$E$56:$Y$56"</f>
        <v>'BLD_CH'!$E$56:$Y$56</v>
      </c>
      <c r="H1271" s="381">
        <f ca="1">IF(IFERROR(INDEX(DATA_PROPERTY_MASTER!$E$5:$E$21,MATCH($C1271,DATA_PROPERTY_MASTER!$A$5:$A$21,0))="Yes",FALSE),IFERROR(INDEX(INDIRECT("'"&amp;$C1271&amp;"'!$E$56:$Y$56"),1,MATCH($D1271,INDIRECT("'"&amp;$C1271&amp;"'!$E$12:$Y$12"),0)),0),0)</f>
        <v>187598.02601825877</v>
      </c>
      <c r="I1271" s="366" t="s">
        <v>1685</v>
      </c>
      <c r="J1271" s="348" t="str">
        <f t="shared" ca="1" si="38"/>
        <v>OK</v>
      </c>
      <c r="K1271" s="366" t="s">
        <v>1718</v>
      </c>
      <c r="L1271" s="366" t="s">
        <v>2250</v>
      </c>
      <c r="M1271" s="350" t="str">
        <f>IF($B1271="Portfolio","Portfolio",IFERROR(INDEX(DATA_ASSET_CLASSIFICATION!$B$8:$B$24,MATCH($C1271,DATA_ASSET_CLASSIFICATION!$A$8:$A$24,0)),"Review"))</f>
        <v>Capilano House</v>
      </c>
      <c r="N1271" s="350" t="str">
        <f ca="1">IF($B1271="Portfolio","Portfolio",IFERROR(INDEX(DATA_ASSET_CLASSIFICATION!$U$8:$U$24,MATCH($C1271,DATA_ASSET_CLASSIFICATION!$A$8:$A$24,0)),"Review"))</f>
        <v>Stable</v>
      </c>
      <c r="O1271" s="350" t="str">
        <f ca="1">IF($B1271="Portfolio","Portfolio",IFERROR(INDEX(DATA_ASSET_CLASSIFICATION!$AB$8:$AB$13,MATCH($N1271,DATA_ASSET_CLASSIFICATION!$AA$8:$AA$13,0)),"Review"))</f>
        <v>Bucket 2 · Legacy</v>
      </c>
      <c r="P1271" s="350" t="str">
        <f>IF($B1271="Portfolio","Portfolio",IFERROR(INDEX(DATA_ASSET_CLASSIFICATION!$C$8:$C$24,MATCH($C1271,DATA_ASSET_CLASSIFICATION!$A$8:$A$24,0)),"Review"))</f>
        <v>Yes</v>
      </c>
      <c r="Q1271" s="350" t="str">
        <f t="shared" ca="1" si="39"/>
        <v>OK</v>
      </c>
    </row>
    <row r="1272" spans="1:17">
      <c r="A1272" s="366" t="s">
        <v>3228</v>
      </c>
      <c r="B1272" s="366" t="s">
        <v>231</v>
      </c>
      <c r="C1272" s="348" t="str">
        <f>DATA_PROPERTY_MASTER!$A$8</f>
        <v>BLD_CH</v>
      </c>
      <c r="D1272" s="380">
        <f>'00_PORTFOLIO ROLLUP'!K$12</f>
        <v>2031</v>
      </c>
      <c r="E1272" s="366" t="s">
        <v>1721</v>
      </c>
      <c r="F1272" s="366" t="s">
        <v>31</v>
      </c>
      <c r="G1272" s="348" t="str">
        <f>"'"&amp;$C1272&amp;"'!$E$61:$Y$61"</f>
        <v>'BLD_CH'!$E$61:$Y$61</v>
      </c>
      <c r="H1272" s="381">
        <f ca="1">IF(IFERROR(INDEX(DATA_PROPERTY_MASTER!$E$5:$E$21,MATCH($C1272,DATA_PROPERTY_MASTER!$A$5:$A$21,0))="Yes",FALSE),IFERROR(INDEX(INDIRECT("'"&amp;$C1272&amp;"'!$E$61:$Y$61"),1,MATCH($D1272,INDIRECT("'"&amp;$C1272&amp;"'!$E$12:$Y$12"),0)),0),0)</f>
        <v>0</v>
      </c>
      <c r="I1272" s="366" t="s">
        <v>1690</v>
      </c>
      <c r="J1272" s="348" t="str">
        <f t="shared" ca="1" si="38"/>
        <v>OK</v>
      </c>
      <c r="K1272" s="366" t="s">
        <v>1723</v>
      </c>
      <c r="L1272" s="366" t="s">
        <v>2252</v>
      </c>
      <c r="M1272" s="350" t="str">
        <f>IF($B1272="Portfolio","Portfolio",IFERROR(INDEX(DATA_ASSET_CLASSIFICATION!$B$8:$B$24,MATCH($C1272,DATA_ASSET_CLASSIFICATION!$A$8:$A$24,0)),"Review"))</f>
        <v>Capilano House</v>
      </c>
      <c r="N1272" s="350" t="str">
        <f ca="1">IF($B1272="Portfolio","Portfolio",IFERROR(INDEX(DATA_ASSET_CLASSIFICATION!$U$8:$U$24,MATCH($C1272,DATA_ASSET_CLASSIFICATION!$A$8:$A$24,0)),"Review"))</f>
        <v>Stable</v>
      </c>
      <c r="O1272" s="350" t="str">
        <f ca="1">IF($B1272="Portfolio","Portfolio",IFERROR(INDEX(DATA_ASSET_CLASSIFICATION!$AB$8:$AB$13,MATCH($N1272,DATA_ASSET_CLASSIFICATION!$AA$8:$AA$13,0)),"Review"))</f>
        <v>Bucket 2 · Legacy</v>
      </c>
      <c r="P1272" s="350" t="str">
        <f>IF($B1272="Portfolio","Portfolio",IFERROR(INDEX(DATA_ASSET_CLASSIFICATION!$C$8:$C$24,MATCH($C1272,DATA_ASSET_CLASSIFICATION!$A$8:$A$24,0)),"Review"))</f>
        <v>Yes</v>
      </c>
      <c r="Q1272" s="350" t="str">
        <f t="shared" ca="1" si="39"/>
        <v>OK</v>
      </c>
    </row>
    <row r="1273" spans="1:17">
      <c r="A1273" s="366" t="s">
        <v>3229</v>
      </c>
      <c r="B1273" s="366" t="s">
        <v>231</v>
      </c>
      <c r="C1273" s="348" t="str">
        <f>DATA_PROPERTY_MASTER!$A$8</f>
        <v>BLD_CH</v>
      </c>
      <c r="D1273" s="380">
        <f>'00_PORTFOLIO ROLLUP'!K$12</f>
        <v>2031</v>
      </c>
      <c r="E1273" s="366" t="s">
        <v>1721</v>
      </c>
      <c r="F1273" s="366" t="s">
        <v>33</v>
      </c>
      <c r="G1273" s="348" t="str">
        <f>"'"&amp;$C1273&amp;"'!$E$62:$Y$62"</f>
        <v>'BLD_CH'!$E$62:$Y$62</v>
      </c>
      <c r="H1273" s="381">
        <f ca="1">IF(IFERROR(INDEX(DATA_PROPERTY_MASTER!$E$5:$E$21,MATCH($C1273,DATA_PROPERTY_MASTER!$A$5:$A$21,0))="Yes",FALSE),IFERROR(INDEX(INDIRECT("'"&amp;$C1273&amp;"'!$E$62:$Y$62"),1,MATCH($D1273,INDIRECT("'"&amp;$C1273&amp;"'!$E$12:$Y$12"),0)),0),0)</f>
        <v>0</v>
      </c>
      <c r="I1273" s="366" t="s">
        <v>1685</v>
      </c>
      <c r="J1273" s="348" t="str">
        <f t="shared" ca="1" si="38"/>
        <v>OK</v>
      </c>
      <c r="K1273" s="366" t="s">
        <v>1727</v>
      </c>
      <c r="L1273" s="366" t="s">
        <v>2254</v>
      </c>
      <c r="M1273" s="350" t="str">
        <f>IF($B1273="Portfolio","Portfolio",IFERROR(INDEX(DATA_ASSET_CLASSIFICATION!$B$8:$B$24,MATCH($C1273,DATA_ASSET_CLASSIFICATION!$A$8:$A$24,0)),"Review"))</f>
        <v>Capilano House</v>
      </c>
      <c r="N1273" s="350" t="str">
        <f ca="1">IF($B1273="Portfolio","Portfolio",IFERROR(INDEX(DATA_ASSET_CLASSIFICATION!$U$8:$U$24,MATCH($C1273,DATA_ASSET_CLASSIFICATION!$A$8:$A$24,0)),"Review"))</f>
        <v>Stable</v>
      </c>
      <c r="O1273" s="350" t="str">
        <f ca="1">IF($B1273="Portfolio","Portfolio",IFERROR(INDEX(DATA_ASSET_CLASSIFICATION!$AB$8:$AB$13,MATCH($N1273,DATA_ASSET_CLASSIFICATION!$AA$8:$AA$13,0)),"Review"))</f>
        <v>Bucket 2 · Legacy</v>
      </c>
      <c r="P1273" s="350" t="str">
        <f>IF($B1273="Portfolio","Portfolio",IFERROR(INDEX(DATA_ASSET_CLASSIFICATION!$C$8:$C$24,MATCH($C1273,DATA_ASSET_CLASSIFICATION!$A$8:$A$24,0)),"Review"))</f>
        <v>Yes</v>
      </c>
      <c r="Q1273" s="350" t="str">
        <f t="shared" ca="1" si="39"/>
        <v>OK</v>
      </c>
    </row>
    <row r="1274" spans="1:17">
      <c r="A1274" s="366" t="s">
        <v>3230</v>
      </c>
      <c r="B1274" s="366" t="s">
        <v>231</v>
      </c>
      <c r="C1274" s="348" t="str">
        <f>DATA_PROPERTY_MASTER!$A$8</f>
        <v>BLD_CH</v>
      </c>
      <c r="D1274" s="380">
        <f>'00_PORTFOLIO ROLLUP'!K$12</f>
        <v>2031</v>
      </c>
      <c r="E1274" s="366" t="s">
        <v>1721</v>
      </c>
      <c r="F1274" s="366" t="s">
        <v>35</v>
      </c>
      <c r="G1274" s="348" t="str">
        <f>"'"&amp;$C1274&amp;"'!$E$63:$Y$63"</f>
        <v>'BLD_CH'!$E$63:$Y$63</v>
      </c>
      <c r="H1274" s="381">
        <f ca="1">IF(IFERROR(INDEX(DATA_PROPERTY_MASTER!$E$5:$E$21,MATCH($C1274,DATA_PROPERTY_MASTER!$A$5:$A$21,0))="Yes",FALSE),IFERROR(INDEX(INDIRECT("'"&amp;$C1274&amp;"'!$E$63:$Y$63"),1,MATCH($D1274,INDIRECT("'"&amp;$C1274&amp;"'!$E$12:$Y$12"),0)),0),0)</f>
        <v>0</v>
      </c>
      <c r="I1274" s="366" t="s">
        <v>1731</v>
      </c>
      <c r="J1274" s="348" t="str">
        <f t="shared" ca="1" si="38"/>
        <v>OK</v>
      </c>
      <c r="K1274" s="366" t="s">
        <v>1732</v>
      </c>
      <c r="L1274" s="366" t="s">
        <v>2256</v>
      </c>
      <c r="M1274" s="350" t="str">
        <f>IF($B1274="Portfolio","Portfolio",IFERROR(INDEX(DATA_ASSET_CLASSIFICATION!$B$8:$B$24,MATCH($C1274,DATA_ASSET_CLASSIFICATION!$A$8:$A$24,0)),"Review"))</f>
        <v>Capilano House</v>
      </c>
      <c r="N1274" s="350" t="str">
        <f ca="1">IF($B1274="Portfolio","Portfolio",IFERROR(INDEX(DATA_ASSET_CLASSIFICATION!$U$8:$U$24,MATCH($C1274,DATA_ASSET_CLASSIFICATION!$A$8:$A$24,0)),"Review"))</f>
        <v>Stable</v>
      </c>
      <c r="O1274" s="350" t="str">
        <f ca="1">IF($B1274="Portfolio","Portfolio",IFERROR(INDEX(DATA_ASSET_CLASSIFICATION!$AB$8:$AB$13,MATCH($N1274,DATA_ASSET_CLASSIFICATION!$AA$8:$AA$13,0)),"Review"))</f>
        <v>Bucket 2 · Legacy</v>
      </c>
      <c r="P1274" s="350" t="str">
        <f>IF($B1274="Portfolio","Portfolio",IFERROR(INDEX(DATA_ASSET_CLASSIFICATION!$C$8:$C$24,MATCH($C1274,DATA_ASSET_CLASSIFICATION!$A$8:$A$24,0)),"Review"))</f>
        <v>Yes</v>
      </c>
      <c r="Q1274" s="350" t="str">
        <f t="shared" ca="1" si="39"/>
        <v>OK</v>
      </c>
    </row>
    <row r="1275" spans="1:17">
      <c r="A1275" s="366" t="s">
        <v>3231</v>
      </c>
      <c r="B1275" s="366" t="s">
        <v>231</v>
      </c>
      <c r="C1275" s="348" t="str">
        <f>DATA_PROPERTY_MASTER!$A$8</f>
        <v>BLD_CH</v>
      </c>
      <c r="D1275" s="380">
        <f>'00_PORTFOLIO ROLLUP'!K$12</f>
        <v>2031</v>
      </c>
      <c r="E1275" s="366" t="s">
        <v>1721</v>
      </c>
      <c r="F1275" s="366" t="s">
        <v>37</v>
      </c>
      <c r="G1275" s="348" t="str">
        <f>"'"&amp;$C1275&amp;"'!$E$63:$Y$63"</f>
        <v>'BLD_CH'!$E$63:$Y$63</v>
      </c>
      <c r="H1275" s="381">
        <f ca="1">IF(IFERROR(INDEX(DATA_PROPERTY_MASTER!$E$5:$E$21,MATCH($C1275,DATA_PROPERTY_MASTER!$A$5:$A$21,0))="Yes",FALSE),MAX(IFERROR(INDEX(INDIRECT("'"&amp;$C1275&amp;"'!$E$63:$Y$63"),1,MATCH($D1275,INDIRECT("'"&amp;$C1275&amp;"'!$E$12:$Y$12"),0)),0),0),0)</f>
        <v>0</v>
      </c>
      <c r="I1275" s="366" t="s">
        <v>1685</v>
      </c>
      <c r="J1275" s="348" t="str">
        <f t="shared" ca="1" si="38"/>
        <v>OK</v>
      </c>
      <c r="K1275" s="366" t="s">
        <v>1735</v>
      </c>
      <c r="L1275" s="366" t="s">
        <v>2258</v>
      </c>
      <c r="M1275" s="350" t="str">
        <f>IF($B1275="Portfolio","Portfolio",IFERROR(INDEX(DATA_ASSET_CLASSIFICATION!$B$8:$B$24,MATCH($C1275,DATA_ASSET_CLASSIFICATION!$A$8:$A$24,0)),"Review"))</f>
        <v>Capilano House</v>
      </c>
      <c r="N1275" s="350" t="str">
        <f ca="1">IF($B1275="Portfolio","Portfolio",IFERROR(INDEX(DATA_ASSET_CLASSIFICATION!$U$8:$U$24,MATCH($C1275,DATA_ASSET_CLASSIFICATION!$A$8:$A$24,0)),"Review"))</f>
        <v>Stable</v>
      </c>
      <c r="O1275" s="350" t="str">
        <f ca="1">IF($B1275="Portfolio","Portfolio",IFERROR(INDEX(DATA_ASSET_CLASSIFICATION!$AB$8:$AB$13,MATCH($N1275,DATA_ASSET_CLASSIFICATION!$AA$8:$AA$13,0)),"Review"))</f>
        <v>Bucket 2 · Legacy</v>
      </c>
      <c r="P1275" s="350" t="str">
        <f>IF($B1275="Portfolio","Portfolio",IFERROR(INDEX(DATA_ASSET_CLASSIFICATION!$C$8:$C$24,MATCH($C1275,DATA_ASSET_CLASSIFICATION!$A$8:$A$24,0)),"Review"))</f>
        <v>Yes</v>
      </c>
      <c r="Q1275" s="350" t="str">
        <f t="shared" ca="1" si="39"/>
        <v>OK</v>
      </c>
    </row>
    <row r="1276" spans="1:17">
      <c r="A1276" s="366" t="s">
        <v>3232</v>
      </c>
      <c r="B1276" s="366" t="s">
        <v>231</v>
      </c>
      <c r="C1276" s="348" t="str">
        <f>DATA_PROPERTY_MASTER!$A$8</f>
        <v>BLD_CH</v>
      </c>
      <c r="D1276" s="380">
        <f>'00_PORTFOLIO ROLLUP'!K$12</f>
        <v>2031</v>
      </c>
      <c r="E1276" s="366" t="s">
        <v>1721</v>
      </c>
      <c r="F1276" s="366" t="s">
        <v>39</v>
      </c>
      <c r="G1276" s="348" t="str">
        <f>"'"&amp;$C1276&amp;"'!$E$63:$Y$63"</f>
        <v>'BLD_CH'!$E$63:$Y$63</v>
      </c>
      <c r="H1276" s="381">
        <f ca="1">IF(IFERROR(INDEX(DATA_PROPERTY_MASTER!$E$5:$E$21,MATCH($C1276,DATA_PROPERTY_MASTER!$A$5:$A$21,0))="Yes",FALSE),MAX(-IFERROR(INDEX(INDIRECT("'"&amp;$C1276&amp;"'!$E$63:$Y$63"),1,MATCH($D1276,INDIRECT("'"&amp;$C1276&amp;"'!$E$12:$Y$12"),0)),0),0),0)</f>
        <v>0</v>
      </c>
      <c r="I1276" s="366" t="s">
        <v>1690</v>
      </c>
      <c r="J1276" s="348" t="str">
        <f t="shared" ca="1" si="38"/>
        <v>OK</v>
      </c>
      <c r="K1276" s="366" t="s">
        <v>1738</v>
      </c>
      <c r="L1276" s="366" t="s">
        <v>2260</v>
      </c>
      <c r="M1276" s="350" t="str">
        <f>IF($B1276="Portfolio","Portfolio",IFERROR(INDEX(DATA_ASSET_CLASSIFICATION!$B$8:$B$24,MATCH($C1276,DATA_ASSET_CLASSIFICATION!$A$8:$A$24,0)),"Review"))</f>
        <v>Capilano House</v>
      </c>
      <c r="N1276" s="350" t="str">
        <f ca="1">IF($B1276="Portfolio","Portfolio",IFERROR(INDEX(DATA_ASSET_CLASSIFICATION!$U$8:$U$24,MATCH($C1276,DATA_ASSET_CLASSIFICATION!$A$8:$A$24,0)),"Review"))</f>
        <v>Stable</v>
      </c>
      <c r="O1276" s="350" t="str">
        <f ca="1">IF($B1276="Portfolio","Portfolio",IFERROR(INDEX(DATA_ASSET_CLASSIFICATION!$AB$8:$AB$13,MATCH($N1276,DATA_ASSET_CLASSIFICATION!$AA$8:$AA$13,0)),"Review"))</f>
        <v>Bucket 2 · Legacy</v>
      </c>
      <c r="P1276" s="350" t="str">
        <f>IF($B1276="Portfolio","Portfolio",IFERROR(INDEX(DATA_ASSET_CLASSIFICATION!$C$8:$C$24,MATCH($C1276,DATA_ASSET_CLASSIFICATION!$A$8:$A$24,0)),"Review"))</f>
        <v>Yes</v>
      </c>
      <c r="Q1276" s="350" t="str">
        <f t="shared" ca="1" si="39"/>
        <v>OK</v>
      </c>
    </row>
    <row r="1277" spans="1:17">
      <c r="A1277" s="366" t="s">
        <v>3233</v>
      </c>
      <c r="B1277" s="366" t="s">
        <v>231</v>
      </c>
      <c r="C1277" s="348" t="str">
        <f>DATA_PROPERTY_MASTER!$A$8</f>
        <v>BLD_CH</v>
      </c>
      <c r="D1277" s="380">
        <f>'00_PORTFOLIO ROLLUP'!K$12</f>
        <v>2031</v>
      </c>
      <c r="E1277" s="366" t="s">
        <v>1741</v>
      </c>
      <c r="F1277" s="366" t="s">
        <v>41</v>
      </c>
      <c r="G1277" s="348" t="str">
        <f>"'"&amp;$C1277&amp;"'!rows 56 + positive row 63"</f>
        <v>'BLD_CH'!rows 56 + positive row 63</v>
      </c>
      <c r="H1277" s="381">
        <f ca="1">IF(IFERROR(INDEX(DATA_PROPERTY_MASTER!$E$5:$E$21,MATCH($C1277,DATA_PROPERTY_MASTER!$A$5:$A$21,0))="Yes",FALSE),IFERROR(INDEX(INDIRECT("'"&amp;$C1277&amp;"'!$E$56:$Y$56"),1,MATCH($D1277,INDIRECT("'"&amp;$C1277&amp;"'!$E$12:$Y$12"),0)),0)+MAX(IFERROR(INDEX(INDIRECT("'"&amp;$C1277&amp;"'!$E$63:$Y$63"),1,MATCH($D1277,INDIRECT("'"&amp;$C1277&amp;"'!$E$12:$Y$12"),0)),0),0),0)</f>
        <v>187598.02601825877</v>
      </c>
      <c r="I1277" s="366" t="s">
        <v>1685</v>
      </c>
      <c r="J1277" s="348" t="str">
        <f t="shared" ca="1" si="38"/>
        <v>OK</v>
      </c>
      <c r="K1277" s="366" t="s">
        <v>1742</v>
      </c>
      <c r="L1277" s="366" t="s">
        <v>2262</v>
      </c>
      <c r="M1277" s="350" t="str">
        <f>IF($B1277="Portfolio","Portfolio",IFERROR(INDEX(DATA_ASSET_CLASSIFICATION!$B$8:$B$24,MATCH($C1277,DATA_ASSET_CLASSIFICATION!$A$8:$A$24,0)),"Review"))</f>
        <v>Capilano House</v>
      </c>
      <c r="N1277" s="350" t="str">
        <f ca="1">IF($B1277="Portfolio","Portfolio",IFERROR(INDEX(DATA_ASSET_CLASSIFICATION!$U$8:$U$24,MATCH($C1277,DATA_ASSET_CLASSIFICATION!$A$8:$A$24,0)),"Review"))</f>
        <v>Stable</v>
      </c>
      <c r="O1277" s="350" t="str">
        <f ca="1">IF($B1277="Portfolio","Portfolio",IFERROR(INDEX(DATA_ASSET_CLASSIFICATION!$AB$8:$AB$13,MATCH($N1277,DATA_ASSET_CLASSIFICATION!$AA$8:$AA$13,0)),"Review"))</f>
        <v>Bucket 2 · Legacy</v>
      </c>
      <c r="P1277" s="350" t="str">
        <f>IF($B1277="Portfolio","Portfolio",IFERROR(INDEX(DATA_ASSET_CLASSIFICATION!$C$8:$C$24,MATCH($C1277,DATA_ASSET_CLASSIFICATION!$A$8:$A$24,0)),"Review"))</f>
        <v>Yes</v>
      </c>
      <c r="Q1277" s="350" t="str">
        <f t="shared" ca="1" si="39"/>
        <v>OK</v>
      </c>
    </row>
    <row r="1278" spans="1:17">
      <c r="A1278" s="366" t="s">
        <v>3234</v>
      </c>
      <c r="B1278" s="366" t="s">
        <v>231</v>
      </c>
      <c r="C1278" s="348" t="str">
        <f>DATA_PROPERTY_MASTER!$A$8</f>
        <v>BLD_CH</v>
      </c>
      <c r="D1278" s="380">
        <f>'00_PORTFOLIO ROLLUP'!K$12</f>
        <v>2031</v>
      </c>
      <c r="E1278" s="366" t="s">
        <v>1741</v>
      </c>
      <c r="F1278" s="366" t="s">
        <v>43</v>
      </c>
      <c r="G1278" s="348" t="str">
        <f>"'"&amp;$C1278&amp;"'!$E$68:$Y$68"</f>
        <v>'BLD_CH'!$E$68:$Y$68</v>
      </c>
      <c r="H1278" s="381">
        <f ca="1">IF(IFERROR(INDEX(DATA_PROPERTY_MASTER!$E$5:$E$21,MATCH($C1278,DATA_PROPERTY_MASTER!$A$5:$A$21,0))="Yes",FALSE),IFERROR(INDEX(INDIRECT("'"&amp;$C1278&amp;"'!$E$68:$Y$68"),1,MATCH($D1278,INDIRECT("'"&amp;$C1278&amp;"'!$E$12:$Y$12"),0)),0),0)</f>
        <v>187598.02601825877</v>
      </c>
      <c r="I1278" s="366" t="s">
        <v>1731</v>
      </c>
      <c r="J1278" s="348" t="str">
        <f t="shared" ca="1" si="38"/>
        <v>OK</v>
      </c>
      <c r="K1278" s="366" t="s">
        <v>1746</v>
      </c>
      <c r="L1278" s="366" t="s">
        <v>2264</v>
      </c>
      <c r="M1278" s="350" t="str">
        <f>IF($B1278="Portfolio","Portfolio",IFERROR(INDEX(DATA_ASSET_CLASSIFICATION!$B$8:$B$24,MATCH($C1278,DATA_ASSET_CLASSIFICATION!$A$8:$A$24,0)),"Review"))</f>
        <v>Capilano House</v>
      </c>
      <c r="N1278" s="350" t="str">
        <f ca="1">IF($B1278="Portfolio","Portfolio",IFERROR(INDEX(DATA_ASSET_CLASSIFICATION!$U$8:$U$24,MATCH($C1278,DATA_ASSET_CLASSIFICATION!$A$8:$A$24,0)),"Review"))</f>
        <v>Stable</v>
      </c>
      <c r="O1278" s="350" t="str">
        <f ca="1">IF($B1278="Portfolio","Portfolio",IFERROR(INDEX(DATA_ASSET_CLASSIFICATION!$AB$8:$AB$13,MATCH($N1278,DATA_ASSET_CLASSIFICATION!$AA$8:$AA$13,0)),"Review"))</f>
        <v>Bucket 2 · Legacy</v>
      </c>
      <c r="P1278" s="350" t="str">
        <f>IF($B1278="Portfolio","Portfolio",IFERROR(INDEX(DATA_ASSET_CLASSIFICATION!$C$8:$C$24,MATCH($C1278,DATA_ASSET_CLASSIFICATION!$A$8:$A$24,0)),"Review"))</f>
        <v>Yes</v>
      </c>
      <c r="Q1278" s="350" t="str">
        <f t="shared" ca="1" si="39"/>
        <v>OK</v>
      </c>
    </row>
    <row r="1279" spans="1:17">
      <c r="A1279" s="366" t="s">
        <v>3235</v>
      </c>
      <c r="B1279" s="366" t="s">
        <v>231</v>
      </c>
      <c r="C1279" s="348" t="str">
        <f>DATA_PROPERTY_MASTER!$A$8</f>
        <v>BLD_CH</v>
      </c>
      <c r="D1279" s="380">
        <f>'00_PORTFOLIO ROLLUP'!K$12</f>
        <v>2031</v>
      </c>
      <c r="E1279" s="366" t="s">
        <v>1741</v>
      </c>
      <c r="F1279" s="366" t="s">
        <v>1749</v>
      </c>
      <c r="G1279" s="348" t="str">
        <f>"'"&amp;$C1279&amp;"'!rows 56, 63, 68"</f>
        <v>'BLD_CH'!rows 56, 63, 68</v>
      </c>
      <c r="H1279" s="381">
        <f ca="1">IF(IFERROR(INDEX(DATA_PROPERTY_MASTER!$E$5:$E$21,MATCH($C1279,DATA_PROPERTY_MASTER!$A$5:$A$21,0))="Yes",FALSE),(IFERROR(INDEX(INDIRECT("'"&amp;$C1279&amp;"'!$E$56:$Y$56"),1,MATCH($D1279,INDIRECT("'"&amp;$C1279&amp;"'!$E$12:$Y$12"),0)),0)+MAX(IFERROR(INDEX(INDIRECT("'"&amp;$C1279&amp;"'!$E$63:$Y$63"),1,MATCH($D1279,INDIRECT("'"&amp;$C1279&amp;"'!$E$12:$Y$12"),0)),0),0))-(IFERROR(INDEX(INDIRECT("'"&amp;$C1279&amp;"'!$E$68:$Y$68"),1,MATCH($D1279,INDIRECT("'"&amp;$C1279&amp;"'!$E$12:$Y$12"),0)),0)),0)</f>
        <v>0</v>
      </c>
      <c r="I1279" s="366" t="s">
        <v>1750</v>
      </c>
      <c r="J1279" s="348" t="str">
        <f t="shared" ca="1" si="38"/>
        <v>OK</v>
      </c>
      <c r="K1279" s="366" t="s">
        <v>1751</v>
      </c>
      <c r="L1279" s="366" t="s">
        <v>2266</v>
      </c>
      <c r="M1279" s="350" t="str">
        <f>IF($B1279="Portfolio","Portfolio",IFERROR(INDEX(DATA_ASSET_CLASSIFICATION!$B$8:$B$24,MATCH($C1279,DATA_ASSET_CLASSIFICATION!$A$8:$A$24,0)),"Review"))</f>
        <v>Capilano House</v>
      </c>
      <c r="N1279" s="350" t="str">
        <f ca="1">IF($B1279="Portfolio","Portfolio",IFERROR(INDEX(DATA_ASSET_CLASSIFICATION!$U$8:$U$24,MATCH($C1279,DATA_ASSET_CLASSIFICATION!$A$8:$A$24,0)),"Review"))</f>
        <v>Stable</v>
      </c>
      <c r="O1279" s="350" t="str">
        <f ca="1">IF($B1279="Portfolio","Portfolio",IFERROR(INDEX(DATA_ASSET_CLASSIFICATION!$AB$8:$AB$13,MATCH($N1279,DATA_ASSET_CLASSIFICATION!$AA$8:$AA$13,0)),"Review"))</f>
        <v>Bucket 2 · Legacy</v>
      </c>
      <c r="P1279" s="350" t="str">
        <f>IF($B1279="Portfolio","Portfolio",IFERROR(INDEX(DATA_ASSET_CLASSIFICATION!$C$8:$C$24,MATCH($C1279,DATA_ASSET_CLASSIFICATION!$A$8:$A$24,0)),"Review"))</f>
        <v>Yes</v>
      </c>
      <c r="Q1279" s="350" t="str">
        <f t="shared" ca="1" si="39"/>
        <v>OK</v>
      </c>
    </row>
    <row r="1280" spans="1:17">
      <c r="A1280" s="366" t="s">
        <v>3236</v>
      </c>
      <c r="B1280" s="366" t="s">
        <v>231</v>
      </c>
      <c r="C1280" s="348" t="str">
        <f>DATA_PROPERTY_MASTER!$A$8</f>
        <v>BLD_CH</v>
      </c>
      <c r="D1280" s="380">
        <f>'00_PORTFOLIO ROLLUP'!L$12</f>
        <v>2032</v>
      </c>
      <c r="E1280" s="366" t="s">
        <v>1683</v>
      </c>
      <c r="F1280" s="366" t="s">
        <v>341</v>
      </c>
      <c r="G1280" s="348" t="str">
        <f>"'"&amp;$C1280&amp;"'!$E$24:$Y$24"</f>
        <v>'BLD_CH'!$E$24:$Y$24</v>
      </c>
      <c r="H1280" s="381">
        <f ca="1">IF(IFERROR(INDEX(DATA_PROPERTY_MASTER!$E$5:$E$21,MATCH($C1280,DATA_PROPERTY_MASTER!$A$5:$A$21,0))="Yes",FALSE),IFERROR(INDEX(INDIRECT("'"&amp;$C1280&amp;"'!$E$24:$Y$24"),1,MATCH($D1280,INDIRECT("'"&amp;$C1280&amp;"'!$E$12:$Y$12"),0)),0),0)</f>
        <v>1109160.3862898853</v>
      </c>
      <c r="I1280" s="366" t="s">
        <v>1685</v>
      </c>
      <c r="J1280" s="348" t="str">
        <f t="shared" ca="1" si="38"/>
        <v>OK</v>
      </c>
      <c r="K1280" s="366" t="s">
        <v>1686</v>
      </c>
      <c r="L1280" s="366" t="s">
        <v>2234</v>
      </c>
      <c r="M1280" s="350" t="str">
        <f>IF($B1280="Portfolio","Portfolio",IFERROR(INDEX(DATA_ASSET_CLASSIFICATION!$B$8:$B$24,MATCH($C1280,DATA_ASSET_CLASSIFICATION!$A$8:$A$24,0)),"Review"))</f>
        <v>Capilano House</v>
      </c>
      <c r="N1280" s="350" t="str">
        <f ca="1">IF($B1280="Portfolio","Portfolio",IFERROR(INDEX(DATA_ASSET_CLASSIFICATION!$U$8:$U$24,MATCH($C1280,DATA_ASSET_CLASSIFICATION!$A$8:$A$24,0)),"Review"))</f>
        <v>Stable</v>
      </c>
      <c r="O1280" s="350" t="str">
        <f ca="1">IF($B1280="Portfolio","Portfolio",IFERROR(INDEX(DATA_ASSET_CLASSIFICATION!$AB$8:$AB$13,MATCH($N1280,DATA_ASSET_CLASSIFICATION!$AA$8:$AA$13,0)),"Review"))</f>
        <v>Bucket 2 · Legacy</v>
      </c>
      <c r="P1280" s="350" t="str">
        <f>IF($B1280="Portfolio","Portfolio",IFERROR(INDEX(DATA_ASSET_CLASSIFICATION!$C$8:$C$24,MATCH($C1280,DATA_ASSET_CLASSIFICATION!$A$8:$A$24,0)),"Review"))</f>
        <v>Yes</v>
      </c>
      <c r="Q1280" s="350" t="str">
        <f t="shared" ca="1" si="39"/>
        <v>OK</v>
      </c>
    </row>
    <row r="1281" spans="1:17">
      <c r="A1281" s="366" t="s">
        <v>3237</v>
      </c>
      <c r="B1281" s="366" t="s">
        <v>231</v>
      </c>
      <c r="C1281" s="348" t="str">
        <f>DATA_PROPERTY_MASTER!$A$8</f>
        <v>BLD_CH</v>
      </c>
      <c r="D1281" s="380">
        <f>'00_PORTFOLIO ROLLUP'!L$12</f>
        <v>2032</v>
      </c>
      <c r="E1281" s="366" t="s">
        <v>1683</v>
      </c>
      <c r="F1281" s="366" t="s">
        <v>355</v>
      </c>
      <c r="G1281" s="348" t="str">
        <f>"'"&amp;$C1281&amp;"'!$E$39:$Y$39"</f>
        <v>'BLD_CH'!$E$39:$Y$39</v>
      </c>
      <c r="H1281" s="381">
        <f ca="1">IF(IFERROR(INDEX(DATA_PROPERTY_MASTER!$E$5:$E$21,MATCH($C1281,DATA_PROPERTY_MASTER!$A$5:$A$21,0))="Yes",FALSE),IFERROR(INDEX(INDIRECT("'"&amp;$C1281&amp;"'!$E$39:$Y$39"),1,MATCH($D1281,INDIRECT("'"&amp;$C1281&amp;"'!$E$12:$Y$12"),0)),0),0)</f>
        <v>643153.76151084155</v>
      </c>
      <c r="I1281" s="366" t="s">
        <v>1690</v>
      </c>
      <c r="J1281" s="348" t="str">
        <f t="shared" ca="1" si="38"/>
        <v>OK</v>
      </c>
      <c r="K1281" s="366" t="s">
        <v>1686</v>
      </c>
      <c r="L1281" s="366" t="s">
        <v>2236</v>
      </c>
      <c r="M1281" s="350" t="str">
        <f>IF($B1281="Portfolio","Portfolio",IFERROR(INDEX(DATA_ASSET_CLASSIFICATION!$B$8:$B$24,MATCH($C1281,DATA_ASSET_CLASSIFICATION!$A$8:$A$24,0)),"Review"))</f>
        <v>Capilano House</v>
      </c>
      <c r="N1281" s="350" t="str">
        <f ca="1">IF($B1281="Portfolio","Portfolio",IFERROR(INDEX(DATA_ASSET_CLASSIFICATION!$U$8:$U$24,MATCH($C1281,DATA_ASSET_CLASSIFICATION!$A$8:$A$24,0)),"Review"))</f>
        <v>Stable</v>
      </c>
      <c r="O1281" s="350" t="str">
        <f ca="1">IF($B1281="Portfolio","Portfolio",IFERROR(INDEX(DATA_ASSET_CLASSIFICATION!$AB$8:$AB$13,MATCH($N1281,DATA_ASSET_CLASSIFICATION!$AA$8:$AA$13,0)),"Review"))</f>
        <v>Bucket 2 · Legacy</v>
      </c>
      <c r="P1281" s="350" t="str">
        <f>IF($B1281="Portfolio","Portfolio",IFERROR(INDEX(DATA_ASSET_CLASSIFICATION!$C$8:$C$24,MATCH($C1281,DATA_ASSET_CLASSIFICATION!$A$8:$A$24,0)),"Review"))</f>
        <v>Yes</v>
      </c>
      <c r="Q1281" s="350" t="str">
        <f t="shared" ca="1" si="39"/>
        <v>OK</v>
      </c>
    </row>
    <row r="1282" spans="1:17">
      <c r="A1282" s="366" t="s">
        <v>3238</v>
      </c>
      <c r="B1282" s="366" t="s">
        <v>231</v>
      </c>
      <c r="C1282" s="348" t="str">
        <f>DATA_PROPERTY_MASTER!$A$8</f>
        <v>BLD_CH</v>
      </c>
      <c r="D1282" s="380">
        <f>'00_PORTFOLIO ROLLUP'!L$12</f>
        <v>2032</v>
      </c>
      <c r="E1282" s="366" t="s">
        <v>1683</v>
      </c>
      <c r="F1282" s="366" t="s">
        <v>19</v>
      </c>
      <c r="G1282" s="348" t="str">
        <f>"'"&amp;$C1282&amp;"'!$E$41:$Y$41"</f>
        <v>'BLD_CH'!$E$41:$Y$41</v>
      </c>
      <c r="H1282" s="381">
        <f ca="1">IF(IFERROR(INDEX(DATA_PROPERTY_MASTER!$E$5:$E$21,MATCH($C1282,DATA_PROPERTY_MASTER!$A$5:$A$21,0))="Yes",FALSE),IFERROR(INDEX(INDIRECT("'"&amp;$C1282&amp;"'!$E$41:$Y$41"),1,MATCH($D1282,INDIRECT("'"&amp;$C1282&amp;"'!$E$12:$Y$12"),0)),0),0)</f>
        <v>466006.62477904372</v>
      </c>
      <c r="I1282" s="366" t="s">
        <v>1685</v>
      </c>
      <c r="J1282" s="348" t="str">
        <f t="shared" ca="1" si="38"/>
        <v>OK</v>
      </c>
      <c r="K1282" s="366" t="s">
        <v>1694</v>
      </c>
      <c r="L1282" s="366" t="s">
        <v>2238</v>
      </c>
      <c r="M1282" s="350" t="str">
        <f>IF($B1282="Portfolio","Portfolio",IFERROR(INDEX(DATA_ASSET_CLASSIFICATION!$B$8:$B$24,MATCH($C1282,DATA_ASSET_CLASSIFICATION!$A$8:$A$24,0)),"Review"))</f>
        <v>Capilano House</v>
      </c>
      <c r="N1282" s="350" t="str">
        <f ca="1">IF($B1282="Portfolio","Portfolio",IFERROR(INDEX(DATA_ASSET_CLASSIFICATION!$U$8:$U$24,MATCH($C1282,DATA_ASSET_CLASSIFICATION!$A$8:$A$24,0)),"Review"))</f>
        <v>Stable</v>
      </c>
      <c r="O1282" s="350" t="str">
        <f ca="1">IF($B1282="Portfolio","Portfolio",IFERROR(INDEX(DATA_ASSET_CLASSIFICATION!$AB$8:$AB$13,MATCH($N1282,DATA_ASSET_CLASSIFICATION!$AA$8:$AA$13,0)),"Review"))</f>
        <v>Bucket 2 · Legacy</v>
      </c>
      <c r="P1282" s="350" t="str">
        <f>IF($B1282="Portfolio","Portfolio",IFERROR(INDEX(DATA_ASSET_CLASSIFICATION!$C$8:$C$24,MATCH($C1282,DATA_ASSET_CLASSIFICATION!$A$8:$A$24,0)),"Review"))</f>
        <v>Yes</v>
      </c>
      <c r="Q1282" s="350" t="str">
        <f t="shared" ca="1" si="39"/>
        <v>OK</v>
      </c>
    </row>
    <row r="1283" spans="1:17">
      <c r="A1283" s="366" t="s">
        <v>3239</v>
      </c>
      <c r="B1283" s="366" t="s">
        <v>231</v>
      </c>
      <c r="C1283" s="348" t="str">
        <f>DATA_PROPERTY_MASTER!$A$8</f>
        <v>BLD_CH</v>
      </c>
      <c r="D1283" s="380">
        <f>'00_PORTFOLIO ROLLUP'!L$12</f>
        <v>2032</v>
      </c>
      <c r="E1283" s="366" t="s">
        <v>1683</v>
      </c>
      <c r="F1283" s="366" t="s">
        <v>1697</v>
      </c>
      <c r="G1283" s="348" t="str">
        <f>"'"&amp;$C1283&amp;"'!$E$44:$Y$44"</f>
        <v>'BLD_CH'!$E$44:$Y$44</v>
      </c>
      <c r="H1283" s="381">
        <f ca="1">IF(IFERROR(INDEX(DATA_PROPERTY_MASTER!$E$5:$E$21,MATCH($C1283,DATA_PROPERTY_MASTER!$A$5:$A$21,0))="Yes",FALSE),IFERROR(INDEX(INDIRECT("'"&amp;$C1283&amp;"'!$E$44:$Y$44"),1,MATCH($D1283,INDIRECT("'"&amp;$C1283&amp;"'!$E$12:$Y$12"),0)),0),0)</f>
        <v>11027.382409433087</v>
      </c>
      <c r="I1283" s="366" t="s">
        <v>1690</v>
      </c>
      <c r="J1283" s="348" t="str">
        <f t="shared" ca="1" si="38"/>
        <v>OK</v>
      </c>
      <c r="K1283" s="366" t="s">
        <v>1699</v>
      </c>
      <c r="L1283" s="366" t="s">
        <v>2240</v>
      </c>
      <c r="M1283" s="350" t="str">
        <f>IF($B1283="Portfolio","Portfolio",IFERROR(INDEX(DATA_ASSET_CLASSIFICATION!$B$8:$B$24,MATCH($C1283,DATA_ASSET_CLASSIFICATION!$A$8:$A$24,0)),"Review"))</f>
        <v>Capilano House</v>
      </c>
      <c r="N1283" s="350" t="str">
        <f ca="1">IF($B1283="Portfolio","Portfolio",IFERROR(INDEX(DATA_ASSET_CLASSIFICATION!$U$8:$U$24,MATCH($C1283,DATA_ASSET_CLASSIFICATION!$A$8:$A$24,0)),"Review"))</f>
        <v>Stable</v>
      </c>
      <c r="O1283" s="350" t="str">
        <f ca="1">IF($B1283="Portfolio","Portfolio",IFERROR(INDEX(DATA_ASSET_CLASSIFICATION!$AB$8:$AB$13,MATCH($N1283,DATA_ASSET_CLASSIFICATION!$AA$8:$AA$13,0)),"Review"))</f>
        <v>Bucket 2 · Legacy</v>
      </c>
      <c r="P1283" s="350" t="str">
        <f>IF($B1283="Portfolio","Portfolio",IFERROR(INDEX(DATA_ASSET_CLASSIFICATION!$C$8:$C$24,MATCH($C1283,DATA_ASSET_CLASSIFICATION!$A$8:$A$24,0)),"Review"))</f>
        <v>Yes</v>
      </c>
      <c r="Q1283" s="350" t="str">
        <f t="shared" ca="1" si="39"/>
        <v>OK</v>
      </c>
    </row>
    <row r="1284" spans="1:17">
      <c r="A1284" s="366" t="s">
        <v>3240</v>
      </c>
      <c r="B1284" s="366" t="s">
        <v>231</v>
      </c>
      <c r="C1284" s="348" t="str">
        <f>DATA_PROPERTY_MASTER!$A$8</f>
        <v>BLD_CH</v>
      </c>
      <c r="D1284" s="380">
        <f>'00_PORTFOLIO ROLLUP'!L$12</f>
        <v>2032</v>
      </c>
      <c r="E1284" s="366" t="s">
        <v>1683</v>
      </c>
      <c r="F1284" s="366" t="s">
        <v>21</v>
      </c>
      <c r="G1284" s="348" t="str">
        <f>"'"&amp;$C1284&amp;"'!$E$45:$Y$45"</f>
        <v>'BLD_CH'!$E$45:$Y$45</v>
      </c>
      <c r="H1284" s="381">
        <f ca="1">IF(IFERROR(INDEX(DATA_PROPERTY_MASTER!$E$5:$E$21,MATCH($C1284,DATA_PROPERTY_MASTER!$A$5:$A$21,0))="Yes",FALSE),IFERROR(INDEX(INDIRECT("'"&amp;$C1284&amp;"'!$E$45:$Y$45"),1,MATCH($D1284,INDIRECT("'"&amp;$C1284&amp;"'!$E$12:$Y$12"),0)),0),0)</f>
        <v>454979.24236961064</v>
      </c>
      <c r="I1284" s="366" t="s">
        <v>1685</v>
      </c>
      <c r="J1284" s="348" t="str">
        <f t="shared" ca="1" si="38"/>
        <v>OK</v>
      </c>
      <c r="K1284" s="366" t="s">
        <v>1694</v>
      </c>
      <c r="L1284" s="366" t="s">
        <v>2242</v>
      </c>
      <c r="M1284" s="350" t="str">
        <f>IF($B1284="Portfolio","Portfolio",IFERROR(INDEX(DATA_ASSET_CLASSIFICATION!$B$8:$B$24,MATCH($C1284,DATA_ASSET_CLASSIFICATION!$A$8:$A$24,0)),"Review"))</f>
        <v>Capilano House</v>
      </c>
      <c r="N1284" s="350" t="str">
        <f ca="1">IF($B1284="Portfolio","Portfolio",IFERROR(INDEX(DATA_ASSET_CLASSIFICATION!$U$8:$U$24,MATCH($C1284,DATA_ASSET_CLASSIFICATION!$A$8:$A$24,0)),"Review"))</f>
        <v>Stable</v>
      </c>
      <c r="O1284" s="350" t="str">
        <f ca="1">IF($B1284="Portfolio","Portfolio",IFERROR(INDEX(DATA_ASSET_CLASSIFICATION!$AB$8:$AB$13,MATCH($N1284,DATA_ASSET_CLASSIFICATION!$AA$8:$AA$13,0)),"Review"))</f>
        <v>Bucket 2 · Legacy</v>
      </c>
      <c r="P1284" s="350" t="str">
        <f>IF($B1284="Portfolio","Portfolio",IFERROR(INDEX(DATA_ASSET_CLASSIFICATION!$C$8:$C$24,MATCH($C1284,DATA_ASSET_CLASSIFICATION!$A$8:$A$24,0)),"Review"))</f>
        <v>Yes</v>
      </c>
      <c r="Q1284" s="350" t="str">
        <f t="shared" ca="1" si="39"/>
        <v>OK</v>
      </c>
    </row>
    <row r="1285" spans="1:17">
      <c r="A1285" s="366" t="s">
        <v>3241</v>
      </c>
      <c r="B1285" s="366" t="s">
        <v>231</v>
      </c>
      <c r="C1285" s="348" t="str">
        <f>DATA_PROPERTY_MASTER!$A$8</f>
        <v>BLD_CH</v>
      </c>
      <c r="D1285" s="380">
        <f>'00_PORTFOLIO ROLLUP'!L$12</f>
        <v>2032</v>
      </c>
      <c r="E1285" s="366" t="s">
        <v>23</v>
      </c>
      <c r="F1285" s="366" t="s">
        <v>23</v>
      </c>
      <c r="G1285" s="348" t="str">
        <f>"'"&amp;$C1285&amp;"'!$E$48:$Y$48"</f>
        <v>'BLD_CH'!$E$48:$Y$48</v>
      </c>
      <c r="H1285" s="381">
        <f ca="1">IF(IFERROR(INDEX(DATA_PROPERTY_MASTER!$E$5:$E$21,MATCH($C1285,DATA_PROPERTY_MASTER!$A$5:$A$21,0))="Yes",FALSE),IFERROR(INDEX(INDIRECT("'"&amp;$C1285&amp;"'!$E$48:$Y$48"),1,MATCH($D1285,INDIRECT("'"&amp;$C1285&amp;"'!$E$12:$Y$12"),0)),0),0)</f>
        <v>0</v>
      </c>
      <c r="I1285" s="366" t="s">
        <v>1690</v>
      </c>
      <c r="J1285" s="348" t="str">
        <f t="shared" ref="J1285:J1348" ca="1" si="40">IF($F1285="Residual Funding Gap",IF($H1285&gt;0,"Funding Gap","OK"),IF(AND($F1285="Net Refinance Position",$H1285&lt;0),"Negative net refi position","OK"))</f>
        <v>OK</v>
      </c>
      <c r="K1285" s="366" t="s">
        <v>1706</v>
      </c>
      <c r="L1285" s="366" t="s">
        <v>2244</v>
      </c>
      <c r="M1285" s="350" t="str">
        <f>IF($B1285="Portfolio","Portfolio",IFERROR(INDEX(DATA_ASSET_CLASSIFICATION!$B$8:$B$24,MATCH($C1285,DATA_ASSET_CLASSIFICATION!$A$8:$A$24,0)),"Review"))</f>
        <v>Capilano House</v>
      </c>
      <c r="N1285" s="350" t="str">
        <f ca="1">IF($B1285="Portfolio","Portfolio",IFERROR(INDEX(DATA_ASSET_CLASSIFICATION!$U$8:$U$24,MATCH($C1285,DATA_ASSET_CLASSIFICATION!$A$8:$A$24,0)),"Review"))</f>
        <v>Stable</v>
      </c>
      <c r="O1285" s="350" t="str">
        <f ca="1">IF($B1285="Portfolio","Portfolio",IFERROR(INDEX(DATA_ASSET_CLASSIFICATION!$AB$8:$AB$13,MATCH($N1285,DATA_ASSET_CLASSIFICATION!$AA$8:$AA$13,0)),"Review"))</f>
        <v>Bucket 2 · Legacy</v>
      </c>
      <c r="P1285" s="350" t="str">
        <f>IF($B1285="Portfolio","Portfolio",IFERROR(INDEX(DATA_ASSET_CLASSIFICATION!$C$8:$C$24,MATCH($C1285,DATA_ASSET_CLASSIFICATION!$A$8:$A$24,0)),"Review"))</f>
        <v>Yes</v>
      </c>
      <c r="Q1285" s="350" t="str">
        <f t="shared" ref="Q1285:Q1348" ca="1" si="41">IF(AND($B1285="Property",$F1285="Residual Funding Gap",$H1285&gt;0),"Property Funding Gap",IF($J1285&lt;&gt;"OK",$J1285,"OK"))</f>
        <v>OK</v>
      </c>
    </row>
    <row r="1286" spans="1:17">
      <c r="A1286" s="366" t="s">
        <v>3242</v>
      </c>
      <c r="B1286" s="366" t="s">
        <v>231</v>
      </c>
      <c r="C1286" s="348" t="str">
        <f>DATA_PROPERTY_MASTER!$A$8</f>
        <v>BLD_CH</v>
      </c>
      <c r="D1286" s="380">
        <f>'00_PORTFOLIO ROLLUP'!L$12</f>
        <v>2032</v>
      </c>
      <c r="E1286" s="366" t="s">
        <v>1683</v>
      </c>
      <c r="F1286" s="366" t="s">
        <v>25</v>
      </c>
      <c r="G1286" s="348" t="str">
        <f>"'"&amp;$C1286&amp;"'!$E$52:$Y$52"</f>
        <v>'BLD_CH'!$E$52:$Y$52</v>
      </c>
      <c r="H1286" s="381">
        <f ca="1">IF(IFERROR(INDEX(DATA_PROPERTY_MASTER!$E$5:$E$21,MATCH($C1286,DATA_PROPERTY_MASTER!$A$5:$A$21,0))="Yes",FALSE),IFERROR(INDEX(INDIRECT("'"&amp;$C1286&amp;"'!$E$52:$Y$52"),1,MATCH($D1286,INDIRECT("'"&amp;$C1286&amp;"'!$E$12:$Y$12"),0)),0),0)</f>
        <v>466006.62477904372</v>
      </c>
      <c r="I1286" s="366" t="s">
        <v>1685</v>
      </c>
      <c r="J1286" s="348" t="str">
        <f t="shared" ca="1" si="40"/>
        <v>OK</v>
      </c>
      <c r="K1286" s="366" t="s">
        <v>1710</v>
      </c>
      <c r="L1286" s="366" t="s">
        <v>2246</v>
      </c>
      <c r="M1286" s="350" t="str">
        <f>IF($B1286="Portfolio","Portfolio",IFERROR(INDEX(DATA_ASSET_CLASSIFICATION!$B$8:$B$24,MATCH($C1286,DATA_ASSET_CLASSIFICATION!$A$8:$A$24,0)),"Review"))</f>
        <v>Capilano House</v>
      </c>
      <c r="N1286" s="350" t="str">
        <f ca="1">IF($B1286="Portfolio","Portfolio",IFERROR(INDEX(DATA_ASSET_CLASSIFICATION!$U$8:$U$24,MATCH($C1286,DATA_ASSET_CLASSIFICATION!$A$8:$A$24,0)),"Review"))</f>
        <v>Stable</v>
      </c>
      <c r="O1286" s="350" t="str">
        <f ca="1">IF($B1286="Portfolio","Portfolio",IFERROR(INDEX(DATA_ASSET_CLASSIFICATION!$AB$8:$AB$13,MATCH($N1286,DATA_ASSET_CLASSIFICATION!$AA$8:$AA$13,0)),"Review"))</f>
        <v>Bucket 2 · Legacy</v>
      </c>
      <c r="P1286" s="350" t="str">
        <f>IF($B1286="Portfolio","Portfolio",IFERROR(INDEX(DATA_ASSET_CLASSIFICATION!$C$8:$C$24,MATCH($C1286,DATA_ASSET_CLASSIFICATION!$A$8:$A$24,0)),"Review"))</f>
        <v>Yes</v>
      </c>
      <c r="Q1286" s="350" t="str">
        <f t="shared" ca="1" si="41"/>
        <v>OK</v>
      </c>
    </row>
    <row r="1287" spans="1:17">
      <c r="A1287" s="366" t="s">
        <v>3243</v>
      </c>
      <c r="B1287" s="366" t="s">
        <v>231</v>
      </c>
      <c r="C1287" s="348" t="str">
        <f>DATA_PROPERTY_MASTER!$A$8</f>
        <v>BLD_CH</v>
      </c>
      <c r="D1287" s="380">
        <f>'00_PORTFOLIO ROLLUP'!L$12</f>
        <v>2032</v>
      </c>
      <c r="E1287" s="366" t="s">
        <v>1683</v>
      </c>
      <c r="F1287" s="366" t="s">
        <v>27</v>
      </c>
      <c r="G1287" s="348" t="str">
        <f>"'"&amp;$C1287&amp;"'!$E$54:$Y$54"</f>
        <v>'BLD_CH'!$E$54:$Y$54</v>
      </c>
      <c r="H1287" s="381">
        <f ca="1">IF(IFERROR(INDEX(DATA_PROPERTY_MASTER!$E$5:$E$21,MATCH($C1287,DATA_PROPERTY_MASTER!$A$5:$A$21,0))="Yes",FALSE),IFERROR(INDEX(INDIRECT("'"&amp;$C1287&amp;"'!$E$54:$Y$54"),1,MATCH($D1287,INDIRECT("'"&amp;$C1287&amp;"'!$E$12:$Y$12"),0)),0),0)</f>
        <v>279603.97486742621</v>
      </c>
      <c r="I1287" s="366" t="s">
        <v>1690</v>
      </c>
      <c r="J1287" s="348" t="str">
        <f t="shared" ca="1" si="40"/>
        <v>OK</v>
      </c>
      <c r="K1287" s="366" t="s">
        <v>1714</v>
      </c>
      <c r="L1287" s="366" t="s">
        <v>2248</v>
      </c>
      <c r="M1287" s="350" t="str">
        <f>IF($B1287="Portfolio","Portfolio",IFERROR(INDEX(DATA_ASSET_CLASSIFICATION!$B$8:$B$24,MATCH($C1287,DATA_ASSET_CLASSIFICATION!$A$8:$A$24,0)),"Review"))</f>
        <v>Capilano House</v>
      </c>
      <c r="N1287" s="350" t="str">
        <f ca="1">IF($B1287="Portfolio","Portfolio",IFERROR(INDEX(DATA_ASSET_CLASSIFICATION!$U$8:$U$24,MATCH($C1287,DATA_ASSET_CLASSIFICATION!$A$8:$A$24,0)),"Review"))</f>
        <v>Stable</v>
      </c>
      <c r="O1287" s="350" t="str">
        <f ca="1">IF($B1287="Portfolio","Portfolio",IFERROR(INDEX(DATA_ASSET_CLASSIFICATION!$AB$8:$AB$13,MATCH($N1287,DATA_ASSET_CLASSIFICATION!$AA$8:$AA$13,0)),"Review"))</f>
        <v>Bucket 2 · Legacy</v>
      </c>
      <c r="P1287" s="350" t="str">
        <f>IF($B1287="Portfolio","Portfolio",IFERROR(INDEX(DATA_ASSET_CLASSIFICATION!$C$8:$C$24,MATCH($C1287,DATA_ASSET_CLASSIFICATION!$A$8:$A$24,0)),"Review"))</f>
        <v>Yes</v>
      </c>
      <c r="Q1287" s="350" t="str">
        <f t="shared" ca="1" si="41"/>
        <v>OK</v>
      </c>
    </row>
    <row r="1288" spans="1:17">
      <c r="A1288" s="366" t="s">
        <v>3244</v>
      </c>
      <c r="B1288" s="366" t="s">
        <v>231</v>
      </c>
      <c r="C1288" s="348" t="str">
        <f>DATA_PROPERTY_MASTER!$A$8</f>
        <v>BLD_CH</v>
      </c>
      <c r="D1288" s="380">
        <f>'00_PORTFOLIO ROLLUP'!L$12</f>
        <v>2032</v>
      </c>
      <c r="E1288" s="366" t="s">
        <v>1683</v>
      </c>
      <c r="F1288" s="366" t="s">
        <v>29</v>
      </c>
      <c r="G1288" s="348" t="str">
        <f>"'"&amp;$C1288&amp;"'!$E$56:$Y$56"</f>
        <v>'BLD_CH'!$E$56:$Y$56</v>
      </c>
      <c r="H1288" s="381">
        <f ca="1">IF(IFERROR(INDEX(DATA_PROPERTY_MASTER!$E$5:$E$21,MATCH($C1288,DATA_PROPERTY_MASTER!$A$5:$A$21,0))="Yes",FALSE),IFERROR(INDEX(INDIRECT("'"&amp;$C1288&amp;"'!$E$56:$Y$56"),1,MATCH($D1288,INDIRECT("'"&amp;$C1288&amp;"'!$E$12:$Y$12"),0)),0),0)</f>
        <v>186402.64991161751</v>
      </c>
      <c r="I1288" s="366" t="s">
        <v>1685</v>
      </c>
      <c r="J1288" s="348" t="str">
        <f t="shared" ca="1" si="40"/>
        <v>OK</v>
      </c>
      <c r="K1288" s="366" t="s">
        <v>1718</v>
      </c>
      <c r="L1288" s="366" t="s">
        <v>2250</v>
      </c>
      <c r="M1288" s="350" t="str">
        <f>IF($B1288="Portfolio","Portfolio",IFERROR(INDEX(DATA_ASSET_CLASSIFICATION!$B$8:$B$24,MATCH($C1288,DATA_ASSET_CLASSIFICATION!$A$8:$A$24,0)),"Review"))</f>
        <v>Capilano House</v>
      </c>
      <c r="N1288" s="350" t="str">
        <f ca="1">IF($B1288="Portfolio","Portfolio",IFERROR(INDEX(DATA_ASSET_CLASSIFICATION!$U$8:$U$24,MATCH($C1288,DATA_ASSET_CLASSIFICATION!$A$8:$A$24,0)),"Review"))</f>
        <v>Stable</v>
      </c>
      <c r="O1288" s="350" t="str">
        <f ca="1">IF($B1288="Portfolio","Portfolio",IFERROR(INDEX(DATA_ASSET_CLASSIFICATION!$AB$8:$AB$13,MATCH($N1288,DATA_ASSET_CLASSIFICATION!$AA$8:$AA$13,0)),"Review"))</f>
        <v>Bucket 2 · Legacy</v>
      </c>
      <c r="P1288" s="350" t="str">
        <f>IF($B1288="Portfolio","Portfolio",IFERROR(INDEX(DATA_ASSET_CLASSIFICATION!$C$8:$C$24,MATCH($C1288,DATA_ASSET_CLASSIFICATION!$A$8:$A$24,0)),"Review"))</f>
        <v>Yes</v>
      </c>
      <c r="Q1288" s="350" t="str">
        <f t="shared" ca="1" si="41"/>
        <v>OK</v>
      </c>
    </row>
    <row r="1289" spans="1:17">
      <c r="A1289" s="366" t="s">
        <v>3245</v>
      </c>
      <c r="B1289" s="366" t="s">
        <v>231</v>
      </c>
      <c r="C1289" s="348" t="str">
        <f>DATA_PROPERTY_MASTER!$A$8</f>
        <v>BLD_CH</v>
      </c>
      <c r="D1289" s="380">
        <f>'00_PORTFOLIO ROLLUP'!L$12</f>
        <v>2032</v>
      </c>
      <c r="E1289" s="366" t="s">
        <v>1721</v>
      </c>
      <c r="F1289" s="366" t="s">
        <v>31</v>
      </c>
      <c r="G1289" s="348" t="str">
        <f>"'"&amp;$C1289&amp;"'!$E$61:$Y$61"</f>
        <v>'BLD_CH'!$E$61:$Y$61</v>
      </c>
      <c r="H1289" s="381">
        <f ca="1">IF(IFERROR(INDEX(DATA_PROPERTY_MASTER!$E$5:$E$21,MATCH($C1289,DATA_PROPERTY_MASTER!$A$5:$A$21,0))="Yes",FALSE),IFERROR(INDEX(INDIRECT("'"&amp;$C1289&amp;"'!$E$61:$Y$61"),1,MATCH($D1289,INDIRECT("'"&amp;$C1289&amp;"'!$E$12:$Y$12"),0)),0),0)</f>
        <v>0</v>
      </c>
      <c r="I1289" s="366" t="s">
        <v>1690</v>
      </c>
      <c r="J1289" s="348" t="str">
        <f t="shared" ca="1" si="40"/>
        <v>OK</v>
      </c>
      <c r="K1289" s="366" t="s">
        <v>1723</v>
      </c>
      <c r="L1289" s="366" t="s">
        <v>2252</v>
      </c>
      <c r="M1289" s="350" t="str">
        <f>IF($B1289="Portfolio","Portfolio",IFERROR(INDEX(DATA_ASSET_CLASSIFICATION!$B$8:$B$24,MATCH($C1289,DATA_ASSET_CLASSIFICATION!$A$8:$A$24,0)),"Review"))</f>
        <v>Capilano House</v>
      </c>
      <c r="N1289" s="350" t="str">
        <f ca="1">IF($B1289="Portfolio","Portfolio",IFERROR(INDEX(DATA_ASSET_CLASSIFICATION!$U$8:$U$24,MATCH($C1289,DATA_ASSET_CLASSIFICATION!$A$8:$A$24,0)),"Review"))</f>
        <v>Stable</v>
      </c>
      <c r="O1289" s="350" t="str">
        <f ca="1">IF($B1289="Portfolio","Portfolio",IFERROR(INDEX(DATA_ASSET_CLASSIFICATION!$AB$8:$AB$13,MATCH($N1289,DATA_ASSET_CLASSIFICATION!$AA$8:$AA$13,0)),"Review"))</f>
        <v>Bucket 2 · Legacy</v>
      </c>
      <c r="P1289" s="350" t="str">
        <f>IF($B1289="Portfolio","Portfolio",IFERROR(INDEX(DATA_ASSET_CLASSIFICATION!$C$8:$C$24,MATCH($C1289,DATA_ASSET_CLASSIFICATION!$A$8:$A$24,0)),"Review"))</f>
        <v>Yes</v>
      </c>
      <c r="Q1289" s="350" t="str">
        <f t="shared" ca="1" si="41"/>
        <v>OK</v>
      </c>
    </row>
    <row r="1290" spans="1:17">
      <c r="A1290" s="366" t="s">
        <v>3246</v>
      </c>
      <c r="B1290" s="366" t="s">
        <v>231</v>
      </c>
      <c r="C1290" s="348" t="str">
        <f>DATA_PROPERTY_MASTER!$A$8</f>
        <v>BLD_CH</v>
      </c>
      <c r="D1290" s="380">
        <f>'00_PORTFOLIO ROLLUP'!L$12</f>
        <v>2032</v>
      </c>
      <c r="E1290" s="366" t="s">
        <v>1721</v>
      </c>
      <c r="F1290" s="366" t="s">
        <v>33</v>
      </c>
      <c r="G1290" s="348" t="str">
        <f>"'"&amp;$C1290&amp;"'!$E$62:$Y$62"</f>
        <v>'BLD_CH'!$E$62:$Y$62</v>
      </c>
      <c r="H1290" s="381">
        <f ca="1">IF(IFERROR(INDEX(DATA_PROPERTY_MASTER!$E$5:$E$21,MATCH($C1290,DATA_PROPERTY_MASTER!$A$5:$A$21,0))="Yes",FALSE),IFERROR(INDEX(INDIRECT("'"&amp;$C1290&amp;"'!$E$62:$Y$62"),1,MATCH($D1290,INDIRECT("'"&amp;$C1290&amp;"'!$E$12:$Y$12"),0)),0),0)</f>
        <v>0</v>
      </c>
      <c r="I1290" s="366" t="s">
        <v>1685</v>
      </c>
      <c r="J1290" s="348" t="str">
        <f t="shared" ca="1" si="40"/>
        <v>OK</v>
      </c>
      <c r="K1290" s="366" t="s">
        <v>1727</v>
      </c>
      <c r="L1290" s="366" t="s">
        <v>2254</v>
      </c>
      <c r="M1290" s="350" t="str">
        <f>IF($B1290="Portfolio","Portfolio",IFERROR(INDEX(DATA_ASSET_CLASSIFICATION!$B$8:$B$24,MATCH($C1290,DATA_ASSET_CLASSIFICATION!$A$8:$A$24,0)),"Review"))</f>
        <v>Capilano House</v>
      </c>
      <c r="N1290" s="350" t="str">
        <f ca="1">IF($B1290="Portfolio","Portfolio",IFERROR(INDEX(DATA_ASSET_CLASSIFICATION!$U$8:$U$24,MATCH($C1290,DATA_ASSET_CLASSIFICATION!$A$8:$A$24,0)),"Review"))</f>
        <v>Stable</v>
      </c>
      <c r="O1290" s="350" t="str">
        <f ca="1">IF($B1290="Portfolio","Portfolio",IFERROR(INDEX(DATA_ASSET_CLASSIFICATION!$AB$8:$AB$13,MATCH($N1290,DATA_ASSET_CLASSIFICATION!$AA$8:$AA$13,0)),"Review"))</f>
        <v>Bucket 2 · Legacy</v>
      </c>
      <c r="P1290" s="350" t="str">
        <f>IF($B1290="Portfolio","Portfolio",IFERROR(INDEX(DATA_ASSET_CLASSIFICATION!$C$8:$C$24,MATCH($C1290,DATA_ASSET_CLASSIFICATION!$A$8:$A$24,0)),"Review"))</f>
        <v>Yes</v>
      </c>
      <c r="Q1290" s="350" t="str">
        <f t="shared" ca="1" si="41"/>
        <v>OK</v>
      </c>
    </row>
    <row r="1291" spans="1:17">
      <c r="A1291" s="366" t="s">
        <v>3247</v>
      </c>
      <c r="B1291" s="366" t="s">
        <v>231</v>
      </c>
      <c r="C1291" s="348" t="str">
        <f>DATA_PROPERTY_MASTER!$A$8</f>
        <v>BLD_CH</v>
      </c>
      <c r="D1291" s="380">
        <f>'00_PORTFOLIO ROLLUP'!L$12</f>
        <v>2032</v>
      </c>
      <c r="E1291" s="366" t="s">
        <v>1721</v>
      </c>
      <c r="F1291" s="366" t="s">
        <v>35</v>
      </c>
      <c r="G1291" s="348" t="str">
        <f>"'"&amp;$C1291&amp;"'!$E$63:$Y$63"</f>
        <v>'BLD_CH'!$E$63:$Y$63</v>
      </c>
      <c r="H1291" s="381">
        <f ca="1">IF(IFERROR(INDEX(DATA_PROPERTY_MASTER!$E$5:$E$21,MATCH($C1291,DATA_PROPERTY_MASTER!$A$5:$A$21,0))="Yes",FALSE),IFERROR(INDEX(INDIRECT("'"&amp;$C1291&amp;"'!$E$63:$Y$63"),1,MATCH($D1291,INDIRECT("'"&amp;$C1291&amp;"'!$E$12:$Y$12"),0)),0),0)</f>
        <v>0</v>
      </c>
      <c r="I1291" s="366" t="s">
        <v>1731</v>
      </c>
      <c r="J1291" s="348" t="str">
        <f t="shared" ca="1" si="40"/>
        <v>OK</v>
      </c>
      <c r="K1291" s="366" t="s">
        <v>1732</v>
      </c>
      <c r="L1291" s="366" t="s">
        <v>2256</v>
      </c>
      <c r="M1291" s="350" t="str">
        <f>IF($B1291="Portfolio","Portfolio",IFERROR(INDEX(DATA_ASSET_CLASSIFICATION!$B$8:$B$24,MATCH($C1291,DATA_ASSET_CLASSIFICATION!$A$8:$A$24,0)),"Review"))</f>
        <v>Capilano House</v>
      </c>
      <c r="N1291" s="350" t="str">
        <f ca="1">IF($B1291="Portfolio","Portfolio",IFERROR(INDEX(DATA_ASSET_CLASSIFICATION!$U$8:$U$24,MATCH($C1291,DATA_ASSET_CLASSIFICATION!$A$8:$A$24,0)),"Review"))</f>
        <v>Stable</v>
      </c>
      <c r="O1291" s="350" t="str">
        <f ca="1">IF($B1291="Portfolio","Portfolio",IFERROR(INDEX(DATA_ASSET_CLASSIFICATION!$AB$8:$AB$13,MATCH($N1291,DATA_ASSET_CLASSIFICATION!$AA$8:$AA$13,0)),"Review"))</f>
        <v>Bucket 2 · Legacy</v>
      </c>
      <c r="P1291" s="350" t="str">
        <f>IF($B1291="Portfolio","Portfolio",IFERROR(INDEX(DATA_ASSET_CLASSIFICATION!$C$8:$C$24,MATCH($C1291,DATA_ASSET_CLASSIFICATION!$A$8:$A$24,0)),"Review"))</f>
        <v>Yes</v>
      </c>
      <c r="Q1291" s="350" t="str">
        <f t="shared" ca="1" si="41"/>
        <v>OK</v>
      </c>
    </row>
    <row r="1292" spans="1:17">
      <c r="A1292" s="366" t="s">
        <v>3248</v>
      </c>
      <c r="B1292" s="366" t="s">
        <v>231</v>
      </c>
      <c r="C1292" s="348" t="str">
        <f>DATA_PROPERTY_MASTER!$A$8</f>
        <v>BLD_CH</v>
      </c>
      <c r="D1292" s="380">
        <f>'00_PORTFOLIO ROLLUP'!L$12</f>
        <v>2032</v>
      </c>
      <c r="E1292" s="366" t="s">
        <v>1721</v>
      </c>
      <c r="F1292" s="366" t="s">
        <v>37</v>
      </c>
      <c r="G1292" s="348" t="str">
        <f>"'"&amp;$C1292&amp;"'!$E$63:$Y$63"</f>
        <v>'BLD_CH'!$E$63:$Y$63</v>
      </c>
      <c r="H1292" s="381">
        <f ca="1">IF(IFERROR(INDEX(DATA_PROPERTY_MASTER!$E$5:$E$21,MATCH($C1292,DATA_PROPERTY_MASTER!$A$5:$A$21,0))="Yes",FALSE),MAX(IFERROR(INDEX(INDIRECT("'"&amp;$C1292&amp;"'!$E$63:$Y$63"),1,MATCH($D1292,INDIRECT("'"&amp;$C1292&amp;"'!$E$12:$Y$12"),0)),0),0),0)</f>
        <v>0</v>
      </c>
      <c r="I1292" s="366" t="s">
        <v>1685</v>
      </c>
      <c r="J1292" s="348" t="str">
        <f t="shared" ca="1" si="40"/>
        <v>OK</v>
      </c>
      <c r="K1292" s="366" t="s">
        <v>1735</v>
      </c>
      <c r="L1292" s="366" t="s">
        <v>2258</v>
      </c>
      <c r="M1292" s="350" t="str">
        <f>IF($B1292="Portfolio","Portfolio",IFERROR(INDEX(DATA_ASSET_CLASSIFICATION!$B$8:$B$24,MATCH($C1292,DATA_ASSET_CLASSIFICATION!$A$8:$A$24,0)),"Review"))</f>
        <v>Capilano House</v>
      </c>
      <c r="N1292" s="350" t="str">
        <f ca="1">IF($B1292="Portfolio","Portfolio",IFERROR(INDEX(DATA_ASSET_CLASSIFICATION!$U$8:$U$24,MATCH($C1292,DATA_ASSET_CLASSIFICATION!$A$8:$A$24,0)),"Review"))</f>
        <v>Stable</v>
      </c>
      <c r="O1292" s="350" t="str">
        <f ca="1">IF($B1292="Portfolio","Portfolio",IFERROR(INDEX(DATA_ASSET_CLASSIFICATION!$AB$8:$AB$13,MATCH($N1292,DATA_ASSET_CLASSIFICATION!$AA$8:$AA$13,0)),"Review"))</f>
        <v>Bucket 2 · Legacy</v>
      </c>
      <c r="P1292" s="350" t="str">
        <f>IF($B1292="Portfolio","Portfolio",IFERROR(INDEX(DATA_ASSET_CLASSIFICATION!$C$8:$C$24,MATCH($C1292,DATA_ASSET_CLASSIFICATION!$A$8:$A$24,0)),"Review"))</f>
        <v>Yes</v>
      </c>
      <c r="Q1292" s="350" t="str">
        <f t="shared" ca="1" si="41"/>
        <v>OK</v>
      </c>
    </row>
    <row r="1293" spans="1:17">
      <c r="A1293" s="366" t="s">
        <v>3249</v>
      </c>
      <c r="B1293" s="366" t="s">
        <v>231</v>
      </c>
      <c r="C1293" s="348" t="str">
        <f>DATA_PROPERTY_MASTER!$A$8</f>
        <v>BLD_CH</v>
      </c>
      <c r="D1293" s="380">
        <f>'00_PORTFOLIO ROLLUP'!L$12</f>
        <v>2032</v>
      </c>
      <c r="E1293" s="366" t="s">
        <v>1721</v>
      </c>
      <c r="F1293" s="366" t="s">
        <v>39</v>
      </c>
      <c r="G1293" s="348" t="str">
        <f>"'"&amp;$C1293&amp;"'!$E$63:$Y$63"</f>
        <v>'BLD_CH'!$E$63:$Y$63</v>
      </c>
      <c r="H1293" s="381">
        <f ca="1">IF(IFERROR(INDEX(DATA_PROPERTY_MASTER!$E$5:$E$21,MATCH($C1293,DATA_PROPERTY_MASTER!$A$5:$A$21,0))="Yes",FALSE),MAX(-IFERROR(INDEX(INDIRECT("'"&amp;$C1293&amp;"'!$E$63:$Y$63"),1,MATCH($D1293,INDIRECT("'"&amp;$C1293&amp;"'!$E$12:$Y$12"),0)),0),0),0)</f>
        <v>0</v>
      </c>
      <c r="I1293" s="366" t="s">
        <v>1690</v>
      </c>
      <c r="J1293" s="348" t="str">
        <f t="shared" ca="1" si="40"/>
        <v>OK</v>
      </c>
      <c r="K1293" s="366" t="s">
        <v>1738</v>
      </c>
      <c r="L1293" s="366" t="s">
        <v>2260</v>
      </c>
      <c r="M1293" s="350" t="str">
        <f>IF($B1293="Portfolio","Portfolio",IFERROR(INDEX(DATA_ASSET_CLASSIFICATION!$B$8:$B$24,MATCH($C1293,DATA_ASSET_CLASSIFICATION!$A$8:$A$24,0)),"Review"))</f>
        <v>Capilano House</v>
      </c>
      <c r="N1293" s="350" t="str">
        <f ca="1">IF($B1293="Portfolio","Portfolio",IFERROR(INDEX(DATA_ASSET_CLASSIFICATION!$U$8:$U$24,MATCH($C1293,DATA_ASSET_CLASSIFICATION!$A$8:$A$24,0)),"Review"))</f>
        <v>Stable</v>
      </c>
      <c r="O1293" s="350" t="str">
        <f ca="1">IF($B1293="Portfolio","Portfolio",IFERROR(INDEX(DATA_ASSET_CLASSIFICATION!$AB$8:$AB$13,MATCH($N1293,DATA_ASSET_CLASSIFICATION!$AA$8:$AA$13,0)),"Review"))</f>
        <v>Bucket 2 · Legacy</v>
      </c>
      <c r="P1293" s="350" t="str">
        <f>IF($B1293="Portfolio","Portfolio",IFERROR(INDEX(DATA_ASSET_CLASSIFICATION!$C$8:$C$24,MATCH($C1293,DATA_ASSET_CLASSIFICATION!$A$8:$A$24,0)),"Review"))</f>
        <v>Yes</v>
      </c>
      <c r="Q1293" s="350" t="str">
        <f t="shared" ca="1" si="41"/>
        <v>OK</v>
      </c>
    </row>
    <row r="1294" spans="1:17">
      <c r="A1294" s="366" t="s">
        <v>3250</v>
      </c>
      <c r="B1294" s="366" t="s">
        <v>231</v>
      </c>
      <c r="C1294" s="348" t="str">
        <f>DATA_PROPERTY_MASTER!$A$8</f>
        <v>BLD_CH</v>
      </c>
      <c r="D1294" s="380">
        <f>'00_PORTFOLIO ROLLUP'!L$12</f>
        <v>2032</v>
      </c>
      <c r="E1294" s="366" t="s">
        <v>1741</v>
      </c>
      <c r="F1294" s="366" t="s">
        <v>41</v>
      </c>
      <c r="G1294" s="348" t="str">
        <f>"'"&amp;$C1294&amp;"'!rows 56 + positive row 63"</f>
        <v>'BLD_CH'!rows 56 + positive row 63</v>
      </c>
      <c r="H1294" s="381">
        <f ca="1">IF(IFERROR(INDEX(DATA_PROPERTY_MASTER!$E$5:$E$21,MATCH($C1294,DATA_PROPERTY_MASTER!$A$5:$A$21,0))="Yes",FALSE),IFERROR(INDEX(INDIRECT("'"&amp;$C1294&amp;"'!$E$56:$Y$56"),1,MATCH($D1294,INDIRECT("'"&amp;$C1294&amp;"'!$E$12:$Y$12"),0)),0)+MAX(IFERROR(INDEX(INDIRECT("'"&amp;$C1294&amp;"'!$E$63:$Y$63"),1,MATCH($D1294,INDIRECT("'"&amp;$C1294&amp;"'!$E$12:$Y$12"),0)),0),0),0)</f>
        <v>186402.64991161751</v>
      </c>
      <c r="I1294" s="366" t="s">
        <v>1685</v>
      </c>
      <c r="J1294" s="348" t="str">
        <f t="shared" ca="1" si="40"/>
        <v>OK</v>
      </c>
      <c r="K1294" s="366" t="s">
        <v>1742</v>
      </c>
      <c r="L1294" s="366" t="s">
        <v>2262</v>
      </c>
      <c r="M1294" s="350" t="str">
        <f>IF($B1294="Portfolio","Portfolio",IFERROR(INDEX(DATA_ASSET_CLASSIFICATION!$B$8:$B$24,MATCH($C1294,DATA_ASSET_CLASSIFICATION!$A$8:$A$24,0)),"Review"))</f>
        <v>Capilano House</v>
      </c>
      <c r="N1294" s="350" t="str">
        <f ca="1">IF($B1294="Portfolio","Portfolio",IFERROR(INDEX(DATA_ASSET_CLASSIFICATION!$U$8:$U$24,MATCH($C1294,DATA_ASSET_CLASSIFICATION!$A$8:$A$24,0)),"Review"))</f>
        <v>Stable</v>
      </c>
      <c r="O1294" s="350" t="str">
        <f ca="1">IF($B1294="Portfolio","Portfolio",IFERROR(INDEX(DATA_ASSET_CLASSIFICATION!$AB$8:$AB$13,MATCH($N1294,DATA_ASSET_CLASSIFICATION!$AA$8:$AA$13,0)),"Review"))</f>
        <v>Bucket 2 · Legacy</v>
      </c>
      <c r="P1294" s="350" t="str">
        <f>IF($B1294="Portfolio","Portfolio",IFERROR(INDEX(DATA_ASSET_CLASSIFICATION!$C$8:$C$24,MATCH($C1294,DATA_ASSET_CLASSIFICATION!$A$8:$A$24,0)),"Review"))</f>
        <v>Yes</v>
      </c>
      <c r="Q1294" s="350" t="str">
        <f t="shared" ca="1" si="41"/>
        <v>OK</v>
      </c>
    </row>
    <row r="1295" spans="1:17">
      <c r="A1295" s="366" t="s">
        <v>3251</v>
      </c>
      <c r="B1295" s="366" t="s">
        <v>231</v>
      </c>
      <c r="C1295" s="348" t="str">
        <f>DATA_PROPERTY_MASTER!$A$8</f>
        <v>BLD_CH</v>
      </c>
      <c r="D1295" s="380">
        <f>'00_PORTFOLIO ROLLUP'!L$12</f>
        <v>2032</v>
      </c>
      <c r="E1295" s="366" t="s">
        <v>1741</v>
      </c>
      <c r="F1295" s="366" t="s">
        <v>43</v>
      </c>
      <c r="G1295" s="348" t="str">
        <f>"'"&amp;$C1295&amp;"'!$E$68:$Y$68"</f>
        <v>'BLD_CH'!$E$68:$Y$68</v>
      </c>
      <c r="H1295" s="381">
        <f ca="1">IF(IFERROR(INDEX(DATA_PROPERTY_MASTER!$E$5:$E$21,MATCH($C1295,DATA_PROPERTY_MASTER!$A$5:$A$21,0))="Yes",FALSE),IFERROR(INDEX(INDIRECT("'"&amp;$C1295&amp;"'!$E$68:$Y$68"),1,MATCH($D1295,INDIRECT("'"&amp;$C1295&amp;"'!$E$12:$Y$12"),0)),0),0)</f>
        <v>186402.64991161751</v>
      </c>
      <c r="I1295" s="366" t="s">
        <v>1731</v>
      </c>
      <c r="J1295" s="348" t="str">
        <f t="shared" ca="1" si="40"/>
        <v>OK</v>
      </c>
      <c r="K1295" s="366" t="s">
        <v>1746</v>
      </c>
      <c r="L1295" s="366" t="s">
        <v>2264</v>
      </c>
      <c r="M1295" s="350" t="str">
        <f>IF($B1295="Portfolio","Portfolio",IFERROR(INDEX(DATA_ASSET_CLASSIFICATION!$B$8:$B$24,MATCH($C1295,DATA_ASSET_CLASSIFICATION!$A$8:$A$24,0)),"Review"))</f>
        <v>Capilano House</v>
      </c>
      <c r="N1295" s="350" t="str">
        <f ca="1">IF($B1295="Portfolio","Portfolio",IFERROR(INDEX(DATA_ASSET_CLASSIFICATION!$U$8:$U$24,MATCH($C1295,DATA_ASSET_CLASSIFICATION!$A$8:$A$24,0)),"Review"))</f>
        <v>Stable</v>
      </c>
      <c r="O1295" s="350" t="str">
        <f ca="1">IF($B1295="Portfolio","Portfolio",IFERROR(INDEX(DATA_ASSET_CLASSIFICATION!$AB$8:$AB$13,MATCH($N1295,DATA_ASSET_CLASSIFICATION!$AA$8:$AA$13,0)),"Review"))</f>
        <v>Bucket 2 · Legacy</v>
      </c>
      <c r="P1295" s="350" t="str">
        <f>IF($B1295="Portfolio","Portfolio",IFERROR(INDEX(DATA_ASSET_CLASSIFICATION!$C$8:$C$24,MATCH($C1295,DATA_ASSET_CLASSIFICATION!$A$8:$A$24,0)),"Review"))</f>
        <v>Yes</v>
      </c>
      <c r="Q1295" s="350" t="str">
        <f t="shared" ca="1" si="41"/>
        <v>OK</v>
      </c>
    </row>
    <row r="1296" spans="1:17">
      <c r="A1296" s="366" t="s">
        <v>3252</v>
      </c>
      <c r="B1296" s="366" t="s">
        <v>231</v>
      </c>
      <c r="C1296" s="348" t="str">
        <f>DATA_PROPERTY_MASTER!$A$8</f>
        <v>BLD_CH</v>
      </c>
      <c r="D1296" s="380">
        <f>'00_PORTFOLIO ROLLUP'!L$12</f>
        <v>2032</v>
      </c>
      <c r="E1296" s="366" t="s">
        <v>1741</v>
      </c>
      <c r="F1296" s="366" t="s">
        <v>1749</v>
      </c>
      <c r="G1296" s="348" t="str">
        <f>"'"&amp;$C1296&amp;"'!rows 56, 63, 68"</f>
        <v>'BLD_CH'!rows 56, 63, 68</v>
      </c>
      <c r="H1296" s="381">
        <f ca="1">IF(IFERROR(INDEX(DATA_PROPERTY_MASTER!$E$5:$E$21,MATCH($C1296,DATA_PROPERTY_MASTER!$A$5:$A$21,0))="Yes",FALSE),(IFERROR(INDEX(INDIRECT("'"&amp;$C1296&amp;"'!$E$56:$Y$56"),1,MATCH($D1296,INDIRECT("'"&amp;$C1296&amp;"'!$E$12:$Y$12"),0)),0)+MAX(IFERROR(INDEX(INDIRECT("'"&amp;$C1296&amp;"'!$E$63:$Y$63"),1,MATCH($D1296,INDIRECT("'"&amp;$C1296&amp;"'!$E$12:$Y$12"),0)),0),0))-(IFERROR(INDEX(INDIRECT("'"&amp;$C1296&amp;"'!$E$68:$Y$68"),1,MATCH($D1296,INDIRECT("'"&amp;$C1296&amp;"'!$E$12:$Y$12"),0)),0)),0)</f>
        <v>0</v>
      </c>
      <c r="I1296" s="366" t="s">
        <v>1750</v>
      </c>
      <c r="J1296" s="348" t="str">
        <f t="shared" ca="1" si="40"/>
        <v>OK</v>
      </c>
      <c r="K1296" s="366" t="s">
        <v>1751</v>
      </c>
      <c r="L1296" s="366" t="s">
        <v>2266</v>
      </c>
      <c r="M1296" s="350" t="str">
        <f>IF($B1296="Portfolio","Portfolio",IFERROR(INDEX(DATA_ASSET_CLASSIFICATION!$B$8:$B$24,MATCH($C1296,DATA_ASSET_CLASSIFICATION!$A$8:$A$24,0)),"Review"))</f>
        <v>Capilano House</v>
      </c>
      <c r="N1296" s="350" t="str">
        <f ca="1">IF($B1296="Portfolio","Portfolio",IFERROR(INDEX(DATA_ASSET_CLASSIFICATION!$U$8:$U$24,MATCH($C1296,DATA_ASSET_CLASSIFICATION!$A$8:$A$24,0)),"Review"))</f>
        <v>Stable</v>
      </c>
      <c r="O1296" s="350" t="str">
        <f ca="1">IF($B1296="Portfolio","Portfolio",IFERROR(INDEX(DATA_ASSET_CLASSIFICATION!$AB$8:$AB$13,MATCH($N1296,DATA_ASSET_CLASSIFICATION!$AA$8:$AA$13,0)),"Review"))</f>
        <v>Bucket 2 · Legacy</v>
      </c>
      <c r="P1296" s="350" t="str">
        <f>IF($B1296="Portfolio","Portfolio",IFERROR(INDEX(DATA_ASSET_CLASSIFICATION!$C$8:$C$24,MATCH($C1296,DATA_ASSET_CLASSIFICATION!$A$8:$A$24,0)),"Review"))</f>
        <v>Yes</v>
      </c>
      <c r="Q1296" s="350" t="str">
        <f t="shared" ca="1" si="41"/>
        <v>OK</v>
      </c>
    </row>
    <row r="1297" spans="1:17">
      <c r="A1297" s="366" t="s">
        <v>3253</v>
      </c>
      <c r="B1297" s="366" t="s">
        <v>231</v>
      </c>
      <c r="C1297" s="348" t="str">
        <f>DATA_PROPERTY_MASTER!$A$8</f>
        <v>BLD_CH</v>
      </c>
      <c r="D1297" s="380">
        <f>'00_PORTFOLIO ROLLUP'!M$12</f>
        <v>2033</v>
      </c>
      <c r="E1297" s="366" t="s">
        <v>1683</v>
      </c>
      <c r="F1297" s="366" t="s">
        <v>341</v>
      </c>
      <c r="G1297" s="348" t="str">
        <f>"'"&amp;$C1297&amp;"'!$E$24:$Y$24"</f>
        <v>'BLD_CH'!$E$24:$Y$24</v>
      </c>
      <c r="H1297" s="381">
        <f ca="1">IF(IFERROR(INDEX(DATA_PROPERTY_MASTER!$E$5:$E$21,MATCH($C1297,DATA_PROPERTY_MASTER!$A$5:$A$21,0))="Yes",FALSE),IFERROR(INDEX(INDIRECT("'"&amp;$C1297&amp;"'!$E$24:$Y$24"),1,MATCH($D1297,INDIRECT("'"&amp;$C1297&amp;"'!$E$12:$Y$12"),0)),0),0)</f>
        <v>1131343.5940156828</v>
      </c>
      <c r="I1297" s="366" t="s">
        <v>1685</v>
      </c>
      <c r="J1297" s="348" t="str">
        <f t="shared" ca="1" si="40"/>
        <v>OK</v>
      </c>
      <c r="K1297" s="366" t="s">
        <v>1686</v>
      </c>
      <c r="L1297" s="366" t="s">
        <v>2234</v>
      </c>
      <c r="M1297" s="350" t="str">
        <f>IF($B1297="Portfolio","Portfolio",IFERROR(INDEX(DATA_ASSET_CLASSIFICATION!$B$8:$B$24,MATCH($C1297,DATA_ASSET_CLASSIFICATION!$A$8:$A$24,0)),"Review"))</f>
        <v>Capilano House</v>
      </c>
      <c r="N1297" s="350" t="str">
        <f ca="1">IF($B1297="Portfolio","Portfolio",IFERROR(INDEX(DATA_ASSET_CLASSIFICATION!$U$8:$U$24,MATCH($C1297,DATA_ASSET_CLASSIFICATION!$A$8:$A$24,0)),"Review"))</f>
        <v>Stable</v>
      </c>
      <c r="O1297" s="350" t="str">
        <f ca="1">IF($B1297="Portfolio","Portfolio",IFERROR(INDEX(DATA_ASSET_CLASSIFICATION!$AB$8:$AB$13,MATCH($N1297,DATA_ASSET_CLASSIFICATION!$AA$8:$AA$13,0)),"Review"))</f>
        <v>Bucket 2 · Legacy</v>
      </c>
      <c r="P1297" s="350" t="str">
        <f>IF($B1297="Portfolio","Portfolio",IFERROR(INDEX(DATA_ASSET_CLASSIFICATION!$C$8:$C$24,MATCH($C1297,DATA_ASSET_CLASSIFICATION!$A$8:$A$24,0)),"Review"))</f>
        <v>Yes</v>
      </c>
      <c r="Q1297" s="350" t="str">
        <f t="shared" ca="1" si="41"/>
        <v>OK</v>
      </c>
    </row>
    <row r="1298" spans="1:17">
      <c r="A1298" s="366" t="s">
        <v>3254</v>
      </c>
      <c r="B1298" s="366" t="s">
        <v>231</v>
      </c>
      <c r="C1298" s="348" t="str">
        <f>DATA_PROPERTY_MASTER!$A$8</f>
        <v>BLD_CH</v>
      </c>
      <c r="D1298" s="380">
        <f>'00_PORTFOLIO ROLLUP'!M$12</f>
        <v>2033</v>
      </c>
      <c r="E1298" s="366" t="s">
        <v>1683</v>
      </c>
      <c r="F1298" s="366" t="s">
        <v>355</v>
      </c>
      <c r="G1298" s="348" t="str">
        <f>"'"&amp;$C1298&amp;"'!$E$39:$Y$39"</f>
        <v>'BLD_CH'!$E$39:$Y$39</v>
      </c>
      <c r="H1298" s="381">
        <f ca="1">IF(IFERROR(INDEX(DATA_PROPERTY_MASTER!$E$5:$E$21,MATCH($C1298,DATA_PROPERTY_MASTER!$A$5:$A$21,0))="Yes",FALSE),IFERROR(INDEX(INDIRECT("'"&amp;$C1298&amp;"'!$E$39:$Y$39"),1,MATCH($D1298,INDIRECT("'"&amp;$C1298&amp;"'!$E$12:$Y$12"),0)),0),0)</f>
        <v>668879.91197127523</v>
      </c>
      <c r="I1298" s="366" t="s">
        <v>1690</v>
      </c>
      <c r="J1298" s="348" t="str">
        <f t="shared" ca="1" si="40"/>
        <v>OK</v>
      </c>
      <c r="K1298" s="366" t="s">
        <v>1686</v>
      </c>
      <c r="L1298" s="366" t="s">
        <v>2236</v>
      </c>
      <c r="M1298" s="350" t="str">
        <f>IF($B1298="Portfolio","Portfolio",IFERROR(INDEX(DATA_ASSET_CLASSIFICATION!$B$8:$B$24,MATCH($C1298,DATA_ASSET_CLASSIFICATION!$A$8:$A$24,0)),"Review"))</f>
        <v>Capilano House</v>
      </c>
      <c r="N1298" s="350" t="str">
        <f ca="1">IF($B1298="Portfolio","Portfolio",IFERROR(INDEX(DATA_ASSET_CLASSIFICATION!$U$8:$U$24,MATCH($C1298,DATA_ASSET_CLASSIFICATION!$A$8:$A$24,0)),"Review"))</f>
        <v>Stable</v>
      </c>
      <c r="O1298" s="350" t="str">
        <f ca="1">IF($B1298="Portfolio","Portfolio",IFERROR(INDEX(DATA_ASSET_CLASSIFICATION!$AB$8:$AB$13,MATCH($N1298,DATA_ASSET_CLASSIFICATION!$AA$8:$AA$13,0)),"Review"))</f>
        <v>Bucket 2 · Legacy</v>
      </c>
      <c r="P1298" s="350" t="str">
        <f>IF($B1298="Portfolio","Portfolio",IFERROR(INDEX(DATA_ASSET_CLASSIFICATION!$C$8:$C$24,MATCH($C1298,DATA_ASSET_CLASSIFICATION!$A$8:$A$24,0)),"Review"))</f>
        <v>Yes</v>
      </c>
      <c r="Q1298" s="350" t="str">
        <f t="shared" ca="1" si="41"/>
        <v>OK</v>
      </c>
    </row>
    <row r="1299" spans="1:17">
      <c r="A1299" s="366" t="s">
        <v>3255</v>
      </c>
      <c r="B1299" s="366" t="s">
        <v>231</v>
      </c>
      <c r="C1299" s="348" t="str">
        <f>DATA_PROPERTY_MASTER!$A$8</f>
        <v>BLD_CH</v>
      </c>
      <c r="D1299" s="380">
        <f>'00_PORTFOLIO ROLLUP'!M$12</f>
        <v>2033</v>
      </c>
      <c r="E1299" s="366" t="s">
        <v>1683</v>
      </c>
      <c r="F1299" s="366" t="s">
        <v>19</v>
      </c>
      <c r="G1299" s="348" t="str">
        <f>"'"&amp;$C1299&amp;"'!$E$41:$Y$41"</f>
        <v>'BLD_CH'!$E$41:$Y$41</v>
      </c>
      <c r="H1299" s="381">
        <f ca="1">IF(IFERROR(INDEX(DATA_PROPERTY_MASTER!$E$5:$E$21,MATCH($C1299,DATA_PROPERTY_MASTER!$A$5:$A$21,0))="Yes",FALSE),IFERROR(INDEX(INDIRECT("'"&amp;$C1299&amp;"'!$E$41:$Y$41"),1,MATCH($D1299,INDIRECT("'"&amp;$C1299&amp;"'!$E$12:$Y$12"),0)),0),0)</f>
        <v>462463.68204440759</v>
      </c>
      <c r="I1299" s="366" t="s">
        <v>1685</v>
      </c>
      <c r="J1299" s="348" t="str">
        <f t="shared" ca="1" si="40"/>
        <v>OK</v>
      </c>
      <c r="K1299" s="366" t="s">
        <v>1694</v>
      </c>
      <c r="L1299" s="366" t="s">
        <v>2238</v>
      </c>
      <c r="M1299" s="350" t="str">
        <f>IF($B1299="Portfolio","Portfolio",IFERROR(INDEX(DATA_ASSET_CLASSIFICATION!$B$8:$B$24,MATCH($C1299,DATA_ASSET_CLASSIFICATION!$A$8:$A$24,0)),"Review"))</f>
        <v>Capilano House</v>
      </c>
      <c r="N1299" s="350" t="str">
        <f ca="1">IF($B1299="Portfolio","Portfolio",IFERROR(INDEX(DATA_ASSET_CLASSIFICATION!$U$8:$U$24,MATCH($C1299,DATA_ASSET_CLASSIFICATION!$A$8:$A$24,0)),"Review"))</f>
        <v>Stable</v>
      </c>
      <c r="O1299" s="350" t="str">
        <f ca="1">IF($B1299="Portfolio","Portfolio",IFERROR(INDEX(DATA_ASSET_CLASSIFICATION!$AB$8:$AB$13,MATCH($N1299,DATA_ASSET_CLASSIFICATION!$AA$8:$AA$13,0)),"Review"))</f>
        <v>Bucket 2 · Legacy</v>
      </c>
      <c r="P1299" s="350" t="str">
        <f>IF($B1299="Portfolio","Portfolio",IFERROR(INDEX(DATA_ASSET_CLASSIFICATION!$C$8:$C$24,MATCH($C1299,DATA_ASSET_CLASSIFICATION!$A$8:$A$24,0)),"Review"))</f>
        <v>Yes</v>
      </c>
      <c r="Q1299" s="350" t="str">
        <f t="shared" ca="1" si="41"/>
        <v>OK</v>
      </c>
    </row>
    <row r="1300" spans="1:17">
      <c r="A1300" s="366" t="s">
        <v>3256</v>
      </c>
      <c r="B1300" s="366" t="s">
        <v>231</v>
      </c>
      <c r="C1300" s="348" t="str">
        <f>DATA_PROPERTY_MASTER!$A$8</f>
        <v>BLD_CH</v>
      </c>
      <c r="D1300" s="380">
        <f>'00_PORTFOLIO ROLLUP'!M$12</f>
        <v>2033</v>
      </c>
      <c r="E1300" s="366" t="s">
        <v>1683</v>
      </c>
      <c r="F1300" s="366" t="s">
        <v>1697</v>
      </c>
      <c r="G1300" s="348" t="str">
        <f>"'"&amp;$C1300&amp;"'!$E$44:$Y$44"</f>
        <v>'BLD_CH'!$E$44:$Y$44</v>
      </c>
      <c r="H1300" s="381">
        <f ca="1">IF(IFERROR(INDEX(DATA_PROPERTY_MASTER!$E$5:$E$21,MATCH($C1300,DATA_PROPERTY_MASTER!$A$5:$A$21,0))="Yes",FALSE),IFERROR(INDEX(INDIRECT("'"&amp;$C1300&amp;"'!$E$44:$Y$44"),1,MATCH($D1300,INDIRECT("'"&amp;$C1300&amp;"'!$E$12:$Y$12"),0)),0),0)</f>
        <v>11247.930057621748</v>
      </c>
      <c r="I1300" s="366" t="s">
        <v>1690</v>
      </c>
      <c r="J1300" s="348" t="str">
        <f t="shared" ca="1" si="40"/>
        <v>OK</v>
      </c>
      <c r="K1300" s="366" t="s">
        <v>1699</v>
      </c>
      <c r="L1300" s="366" t="s">
        <v>2240</v>
      </c>
      <c r="M1300" s="350" t="str">
        <f>IF($B1300="Portfolio","Portfolio",IFERROR(INDEX(DATA_ASSET_CLASSIFICATION!$B$8:$B$24,MATCH($C1300,DATA_ASSET_CLASSIFICATION!$A$8:$A$24,0)),"Review"))</f>
        <v>Capilano House</v>
      </c>
      <c r="N1300" s="350" t="str">
        <f ca="1">IF($B1300="Portfolio","Portfolio",IFERROR(INDEX(DATA_ASSET_CLASSIFICATION!$U$8:$U$24,MATCH($C1300,DATA_ASSET_CLASSIFICATION!$A$8:$A$24,0)),"Review"))</f>
        <v>Stable</v>
      </c>
      <c r="O1300" s="350" t="str">
        <f ca="1">IF($B1300="Portfolio","Portfolio",IFERROR(INDEX(DATA_ASSET_CLASSIFICATION!$AB$8:$AB$13,MATCH($N1300,DATA_ASSET_CLASSIFICATION!$AA$8:$AA$13,0)),"Review"))</f>
        <v>Bucket 2 · Legacy</v>
      </c>
      <c r="P1300" s="350" t="str">
        <f>IF($B1300="Portfolio","Portfolio",IFERROR(INDEX(DATA_ASSET_CLASSIFICATION!$C$8:$C$24,MATCH($C1300,DATA_ASSET_CLASSIFICATION!$A$8:$A$24,0)),"Review"))</f>
        <v>Yes</v>
      </c>
      <c r="Q1300" s="350" t="str">
        <f t="shared" ca="1" si="41"/>
        <v>OK</v>
      </c>
    </row>
    <row r="1301" spans="1:17">
      <c r="A1301" s="366" t="s">
        <v>3257</v>
      </c>
      <c r="B1301" s="366" t="s">
        <v>231</v>
      </c>
      <c r="C1301" s="348" t="str">
        <f>DATA_PROPERTY_MASTER!$A$8</f>
        <v>BLD_CH</v>
      </c>
      <c r="D1301" s="380">
        <f>'00_PORTFOLIO ROLLUP'!M$12</f>
        <v>2033</v>
      </c>
      <c r="E1301" s="366" t="s">
        <v>1683</v>
      </c>
      <c r="F1301" s="366" t="s">
        <v>21</v>
      </c>
      <c r="G1301" s="348" t="str">
        <f>"'"&amp;$C1301&amp;"'!$E$45:$Y$45"</f>
        <v>'BLD_CH'!$E$45:$Y$45</v>
      </c>
      <c r="H1301" s="381">
        <f ca="1">IF(IFERROR(INDEX(DATA_PROPERTY_MASTER!$E$5:$E$21,MATCH($C1301,DATA_PROPERTY_MASTER!$A$5:$A$21,0))="Yes",FALSE),IFERROR(INDEX(INDIRECT("'"&amp;$C1301&amp;"'!$E$45:$Y$45"),1,MATCH($D1301,INDIRECT("'"&amp;$C1301&amp;"'!$E$12:$Y$12"),0)),0),0)</f>
        <v>451215.75198678585</v>
      </c>
      <c r="I1301" s="366" t="s">
        <v>1685</v>
      </c>
      <c r="J1301" s="348" t="str">
        <f t="shared" ca="1" si="40"/>
        <v>OK</v>
      </c>
      <c r="K1301" s="366" t="s">
        <v>1694</v>
      </c>
      <c r="L1301" s="366" t="s">
        <v>2242</v>
      </c>
      <c r="M1301" s="350" t="str">
        <f>IF($B1301="Portfolio","Portfolio",IFERROR(INDEX(DATA_ASSET_CLASSIFICATION!$B$8:$B$24,MATCH($C1301,DATA_ASSET_CLASSIFICATION!$A$8:$A$24,0)),"Review"))</f>
        <v>Capilano House</v>
      </c>
      <c r="N1301" s="350" t="str">
        <f ca="1">IF($B1301="Portfolio","Portfolio",IFERROR(INDEX(DATA_ASSET_CLASSIFICATION!$U$8:$U$24,MATCH($C1301,DATA_ASSET_CLASSIFICATION!$A$8:$A$24,0)),"Review"))</f>
        <v>Stable</v>
      </c>
      <c r="O1301" s="350" t="str">
        <f ca="1">IF($B1301="Portfolio","Portfolio",IFERROR(INDEX(DATA_ASSET_CLASSIFICATION!$AB$8:$AB$13,MATCH($N1301,DATA_ASSET_CLASSIFICATION!$AA$8:$AA$13,0)),"Review"))</f>
        <v>Bucket 2 · Legacy</v>
      </c>
      <c r="P1301" s="350" t="str">
        <f>IF($B1301="Portfolio","Portfolio",IFERROR(INDEX(DATA_ASSET_CLASSIFICATION!$C$8:$C$24,MATCH($C1301,DATA_ASSET_CLASSIFICATION!$A$8:$A$24,0)),"Review"))</f>
        <v>Yes</v>
      </c>
      <c r="Q1301" s="350" t="str">
        <f t="shared" ca="1" si="41"/>
        <v>OK</v>
      </c>
    </row>
    <row r="1302" spans="1:17">
      <c r="A1302" s="366" t="s">
        <v>3258</v>
      </c>
      <c r="B1302" s="366" t="s">
        <v>231</v>
      </c>
      <c r="C1302" s="348" t="str">
        <f>DATA_PROPERTY_MASTER!$A$8</f>
        <v>BLD_CH</v>
      </c>
      <c r="D1302" s="380">
        <f>'00_PORTFOLIO ROLLUP'!M$12</f>
        <v>2033</v>
      </c>
      <c r="E1302" s="366" t="s">
        <v>23</v>
      </c>
      <c r="F1302" s="366" t="s">
        <v>23</v>
      </c>
      <c r="G1302" s="348" t="str">
        <f>"'"&amp;$C1302&amp;"'!$E$48:$Y$48"</f>
        <v>'BLD_CH'!$E$48:$Y$48</v>
      </c>
      <c r="H1302" s="381">
        <f ca="1">IF(IFERROR(INDEX(DATA_PROPERTY_MASTER!$E$5:$E$21,MATCH($C1302,DATA_PROPERTY_MASTER!$A$5:$A$21,0))="Yes",FALSE),IFERROR(INDEX(INDIRECT("'"&amp;$C1302&amp;"'!$E$48:$Y$48"),1,MATCH($D1302,INDIRECT("'"&amp;$C1302&amp;"'!$E$12:$Y$12"),0)),0),0)</f>
        <v>0</v>
      </c>
      <c r="I1302" s="366" t="s">
        <v>1690</v>
      </c>
      <c r="J1302" s="348" t="str">
        <f t="shared" ca="1" si="40"/>
        <v>OK</v>
      </c>
      <c r="K1302" s="366" t="s">
        <v>1706</v>
      </c>
      <c r="L1302" s="366" t="s">
        <v>2244</v>
      </c>
      <c r="M1302" s="350" t="str">
        <f>IF($B1302="Portfolio","Portfolio",IFERROR(INDEX(DATA_ASSET_CLASSIFICATION!$B$8:$B$24,MATCH($C1302,DATA_ASSET_CLASSIFICATION!$A$8:$A$24,0)),"Review"))</f>
        <v>Capilano House</v>
      </c>
      <c r="N1302" s="350" t="str">
        <f ca="1">IF($B1302="Portfolio","Portfolio",IFERROR(INDEX(DATA_ASSET_CLASSIFICATION!$U$8:$U$24,MATCH($C1302,DATA_ASSET_CLASSIFICATION!$A$8:$A$24,0)),"Review"))</f>
        <v>Stable</v>
      </c>
      <c r="O1302" s="350" t="str">
        <f ca="1">IF($B1302="Portfolio","Portfolio",IFERROR(INDEX(DATA_ASSET_CLASSIFICATION!$AB$8:$AB$13,MATCH($N1302,DATA_ASSET_CLASSIFICATION!$AA$8:$AA$13,0)),"Review"))</f>
        <v>Bucket 2 · Legacy</v>
      </c>
      <c r="P1302" s="350" t="str">
        <f>IF($B1302="Portfolio","Portfolio",IFERROR(INDEX(DATA_ASSET_CLASSIFICATION!$C$8:$C$24,MATCH($C1302,DATA_ASSET_CLASSIFICATION!$A$8:$A$24,0)),"Review"))</f>
        <v>Yes</v>
      </c>
      <c r="Q1302" s="350" t="str">
        <f t="shared" ca="1" si="41"/>
        <v>OK</v>
      </c>
    </row>
    <row r="1303" spans="1:17">
      <c r="A1303" s="366" t="s">
        <v>3259</v>
      </c>
      <c r="B1303" s="366" t="s">
        <v>231</v>
      </c>
      <c r="C1303" s="348" t="str">
        <f>DATA_PROPERTY_MASTER!$A$8</f>
        <v>BLD_CH</v>
      </c>
      <c r="D1303" s="380">
        <f>'00_PORTFOLIO ROLLUP'!M$12</f>
        <v>2033</v>
      </c>
      <c r="E1303" s="366" t="s">
        <v>1683</v>
      </c>
      <c r="F1303" s="366" t="s">
        <v>25</v>
      </c>
      <c r="G1303" s="348" t="str">
        <f>"'"&amp;$C1303&amp;"'!$E$52:$Y$52"</f>
        <v>'BLD_CH'!$E$52:$Y$52</v>
      </c>
      <c r="H1303" s="381">
        <f ca="1">IF(IFERROR(INDEX(DATA_PROPERTY_MASTER!$E$5:$E$21,MATCH($C1303,DATA_PROPERTY_MASTER!$A$5:$A$21,0))="Yes",FALSE),IFERROR(INDEX(INDIRECT("'"&amp;$C1303&amp;"'!$E$52:$Y$52"),1,MATCH($D1303,INDIRECT("'"&amp;$C1303&amp;"'!$E$12:$Y$12"),0)),0),0)</f>
        <v>462463.68204440759</v>
      </c>
      <c r="I1303" s="366" t="s">
        <v>1685</v>
      </c>
      <c r="J1303" s="348" t="str">
        <f t="shared" ca="1" si="40"/>
        <v>OK</v>
      </c>
      <c r="K1303" s="366" t="s">
        <v>1710</v>
      </c>
      <c r="L1303" s="366" t="s">
        <v>2246</v>
      </c>
      <c r="M1303" s="350" t="str">
        <f>IF($B1303="Portfolio","Portfolio",IFERROR(INDEX(DATA_ASSET_CLASSIFICATION!$B$8:$B$24,MATCH($C1303,DATA_ASSET_CLASSIFICATION!$A$8:$A$24,0)),"Review"))</f>
        <v>Capilano House</v>
      </c>
      <c r="N1303" s="350" t="str">
        <f ca="1">IF($B1303="Portfolio","Portfolio",IFERROR(INDEX(DATA_ASSET_CLASSIFICATION!$U$8:$U$24,MATCH($C1303,DATA_ASSET_CLASSIFICATION!$A$8:$A$24,0)),"Review"))</f>
        <v>Stable</v>
      </c>
      <c r="O1303" s="350" t="str">
        <f ca="1">IF($B1303="Portfolio","Portfolio",IFERROR(INDEX(DATA_ASSET_CLASSIFICATION!$AB$8:$AB$13,MATCH($N1303,DATA_ASSET_CLASSIFICATION!$AA$8:$AA$13,0)),"Review"))</f>
        <v>Bucket 2 · Legacy</v>
      </c>
      <c r="P1303" s="350" t="str">
        <f>IF($B1303="Portfolio","Portfolio",IFERROR(INDEX(DATA_ASSET_CLASSIFICATION!$C$8:$C$24,MATCH($C1303,DATA_ASSET_CLASSIFICATION!$A$8:$A$24,0)),"Review"))</f>
        <v>Yes</v>
      </c>
      <c r="Q1303" s="350" t="str">
        <f t="shared" ca="1" si="41"/>
        <v>OK</v>
      </c>
    </row>
    <row r="1304" spans="1:17">
      <c r="A1304" s="366" t="s">
        <v>3260</v>
      </c>
      <c r="B1304" s="366" t="s">
        <v>231</v>
      </c>
      <c r="C1304" s="348" t="str">
        <f>DATA_PROPERTY_MASTER!$A$8</f>
        <v>BLD_CH</v>
      </c>
      <c r="D1304" s="380">
        <f>'00_PORTFOLIO ROLLUP'!M$12</f>
        <v>2033</v>
      </c>
      <c r="E1304" s="366" t="s">
        <v>1683</v>
      </c>
      <c r="F1304" s="366" t="s">
        <v>27</v>
      </c>
      <c r="G1304" s="348" t="str">
        <f>"'"&amp;$C1304&amp;"'!$E$54:$Y$54"</f>
        <v>'BLD_CH'!$E$54:$Y$54</v>
      </c>
      <c r="H1304" s="381">
        <f ca="1">IF(IFERROR(INDEX(DATA_PROPERTY_MASTER!$E$5:$E$21,MATCH($C1304,DATA_PROPERTY_MASTER!$A$5:$A$21,0))="Yes",FALSE),IFERROR(INDEX(INDIRECT("'"&amp;$C1304&amp;"'!$E$54:$Y$54"),1,MATCH($D1304,INDIRECT("'"&amp;$C1304&amp;"'!$E$12:$Y$12"),0)),0),0)</f>
        <v>277478.20922664454</v>
      </c>
      <c r="I1304" s="366" t="s">
        <v>1690</v>
      </c>
      <c r="J1304" s="348" t="str">
        <f t="shared" ca="1" si="40"/>
        <v>OK</v>
      </c>
      <c r="K1304" s="366" t="s">
        <v>1714</v>
      </c>
      <c r="L1304" s="366" t="s">
        <v>2248</v>
      </c>
      <c r="M1304" s="350" t="str">
        <f>IF($B1304="Portfolio","Portfolio",IFERROR(INDEX(DATA_ASSET_CLASSIFICATION!$B$8:$B$24,MATCH($C1304,DATA_ASSET_CLASSIFICATION!$A$8:$A$24,0)),"Review"))</f>
        <v>Capilano House</v>
      </c>
      <c r="N1304" s="350" t="str">
        <f ca="1">IF($B1304="Portfolio","Portfolio",IFERROR(INDEX(DATA_ASSET_CLASSIFICATION!$U$8:$U$24,MATCH($C1304,DATA_ASSET_CLASSIFICATION!$A$8:$A$24,0)),"Review"))</f>
        <v>Stable</v>
      </c>
      <c r="O1304" s="350" t="str">
        <f ca="1">IF($B1304="Portfolio","Portfolio",IFERROR(INDEX(DATA_ASSET_CLASSIFICATION!$AB$8:$AB$13,MATCH($N1304,DATA_ASSET_CLASSIFICATION!$AA$8:$AA$13,0)),"Review"))</f>
        <v>Bucket 2 · Legacy</v>
      </c>
      <c r="P1304" s="350" t="str">
        <f>IF($B1304="Portfolio","Portfolio",IFERROR(INDEX(DATA_ASSET_CLASSIFICATION!$C$8:$C$24,MATCH($C1304,DATA_ASSET_CLASSIFICATION!$A$8:$A$24,0)),"Review"))</f>
        <v>Yes</v>
      </c>
      <c r="Q1304" s="350" t="str">
        <f t="shared" ca="1" si="41"/>
        <v>OK</v>
      </c>
    </row>
    <row r="1305" spans="1:17">
      <c r="A1305" s="366" t="s">
        <v>3261</v>
      </c>
      <c r="B1305" s="366" t="s">
        <v>231</v>
      </c>
      <c r="C1305" s="348" t="str">
        <f>DATA_PROPERTY_MASTER!$A$8</f>
        <v>BLD_CH</v>
      </c>
      <c r="D1305" s="380">
        <f>'00_PORTFOLIO ROLLUP'!M$12</f>
        <v>2033</v>
      </c>
      <c r="E1305" s="366" t="s">
        <v>1683</v>
      </c>
      <c r="F1305" s="366" t="s">
        <v>29</v>
      </c>
      <c r="G1305" s="348" t="str">
        <f>"'"&amp;$C1305&amp;"'!$E$56:$Y$56"</f>
        <v>'BLD_CH'!$E$56:$Y$56</v>
      </c>
      <c r="H1305" s="381">
        <f ca="1">IF(IFERROR(INDEX(DATA_PROPERTY_MASTER!$E$5:$E$21,MATCH($C1305,DATA_PROPERTY_MASTER!$A$5:$A$21,0))="Yes",FALSE),IFERROR(INDEX(INDIRECT("'"&amp;$C1305&amp;"'!$E$56:$Y$56"),1,MATCH($D1305,INDIRECT("'"&amp;$C1305&amp;"'!$E$12:$Y$12"),0)),0),0)</f>
        <v>184985.47281776305</v>
      </c>
      <c r="I1305" s="366" t="s">
        <v>1685</v>
      </c>
      <c r="J1305" s="348" t="str">
        <f t="shared" ca="1" si="40"/>
        <v>OK</v>
      </c>
      <c r="K1305" s="366" t="s">
        <v>1718</v>
      </c>
      <c r="L1305" s="366" t="s">
        <v>2250</v>
      </c>
      <c r="M1305" s="350" t="str">
        <f>IF($B1305="Portfolio","Portfolio",IFERROR(INDEX(DATA_ASSET_CLASSIFICATION!$B$8:$B$24,MATCH($C1305,DATA_ASSET_CLASSIFICATION!$A$8:$A$24,0)),"Review"))</f>
        <v>Capilano House</v>
      </c>
      <c r="N1305" s="350" t="str">
        <f ca="1">IF($B1305="Portfolio","Portfolio",IFERROR(INDEX(DATA_ASSET_CLASSIFICATION!$U$8:$U$24,MATCH($C1305,DATA_ASSET_CLASSIFICATION!$A$8:$A$24,0)),"Review"))</f>
        <v>Stable</v>
      </c>
      <c r="O1305" s="350" t="str">
        <f ca="1">IF($B1305="Portfolio","Portfolio",IFERROR(INDEX(DATA_ASSET_CLASSIFICATION!$AB$8:$AB$13,MATCH($N1305,DATA_ASSET_CLASSIFICATION!$AA$8:$AA$13,0)),"Review"))</f>
        <v>Bucket 2 · Legacy</v>
      </c>
      <c r="P1305" s="350" t="str">
        <f>IF($B1305="Portfolio","Portfolio",IFERROR(INDEX(DATA_ASSET_CLASSIFICATION!$C$8:$C$24,MATCH($C1305,DATA_ASSET_CLASSIFICATION!$A$8:$A$24,0)),"Review"))</f>
        <v>Yes</v>
      </c>
      <c r="Q1305" s="350" t="str">
        <f t="shared" ca="1" si="41"/>
        <v>OK</v>
      </c>
    </row>
    <row r="1306" spans="1:17">
      <c r="A1306" s="366" t="s">
        <v>3262</v>
      </c>
      <c r="B1306" s="366" t="s">
        <v>231</v>
      </c>
      <c r="C1306" s="348" t="str">
        <f>DATA_PROPERTY_MASTER!$A$8</f>
        <v>BLD_CH</v>
      </c>
      <c r="D1306" s="380">
        <f>'00_PORTFOLIO ROLLUP'!M$12</f>
        <v>2033</v>
      </c>
      <c r="E1306" s="366" t="s">
        <v>1721</v>
      </c>
      <c r="F1306" s="366" t="s">
        <v>31</v>
      </c>
      <c r="G1306" s="348" t="str">
        <f>"'"&amp;$C1306&amp;"'!$E$61:$Y$61"</f>
        <v>'BLD_CH'!$E$61:$Y$61</v>
      </c>
      <c r="H1306" s="381">
        <f ca="1">IF(IFERROR(INDEX(DATA_PROPERTY_MASTER!$E$5:$E$21,MATCH($C1306,DATA_PROPERTY_MASTER!$A$5:$A$21,0))="Yes",FALSE),IFERROR(INDEX(INDIRECT("'"&amp;$C1306&amp;"'!$E$61:$Y$61"),1,MATCH($D1306,INDIRECT("'"&amp;$C1306&amp;"'!$E$12:$Y$12"),0)),0),0)</f>
        <v>0</v>
      </c>
      <c r="I1306" s="366" t="s">
        <v>1690</v>
      </c>
      <c r="J1306" s="348" t="str">
        <f t="shared" ca="1" si="40"/>
        <v>OK</v>
      </c>
      <c r="K1306" s="366" t="s">
        <v>1723</v>
      </c>
      <c r="L1306" s="366" t="s">
        <v>2252</v>
      </c>
      <c r="M1306" s="350" t="str">
        <f>IF($B1306="Portfolio","Portfolio",IFERROR(INDEX(DATA_ASSET_CLASSIFICATION!$B$8:$B$24,MATCH($C1306,DATA_ASSET_CLASSIFICATION!$A$8:$A$24,0)),"Review"))</f>
        <v>Capilano House</v>
      </c>
      <c r="N1306" s="350" t="str">
        <f ca="1">IF($B1306="Portfolio","Portfolio",IFERROR(INDEX(DATA_ASSET_CLASSIFICATION!$U$8:$U$24,MATCH($C1306,DATA_ASSET_CLASSIFICATION!$A$8:$A$24,0)),"Review"))</f>
        <v>Stable</v>
      </c>
      <c r="O1306" s="350" t="str">
        <f ca="1">IF($B1306="Portfolio","Portfolio",IFERROR(INDEX(DATA_ASSET_CLASSIFICATION!$AB$8:$AB$13,MATCH($N1306,DATA_ASSET_CLASSIFICATION!$AA$8:$AA$13,0)),"Review"))</f>
        <v>Bucket 2 · Legacy</v>
      </c>
      <c r="P1306" s="350" t="str">
        <f>IF($B1306="Portfolio","Portfolio",IFERROR(INDEX(DATA_ASSET_CLASSIFICATION!$C$8:$C$24,MATCH($C1306,DATA_ASSET_CLASSIFICATION!$A$8:$A$24,0)),"Review"))</f>
        <v>Yes</v>
      </c>
      <c r="Q1306" s="350" t="str">
        <f t="shared" ca="1" si="41"/>
        <v>OK</v>
      </c>
    </row>
    <row r="1307" spans="1:17">
      <c r="A1307" s="366" t="s">
        <v>3263</v>
      </c>
      <c r="B1307" s="366" t="s">
        <v>231</v>
      </c>
      <c r="C1307" s="348" t="str">
        <f>DATA_PROPERTY_MASTER!$A$8</f>
        <v>BLD_CH</v>
      </c>
      <c r="D1307" s="380">
        <f>'00_PORTFOLIO ROLLUP'!M$12</f>
        <v>2033</v>
      </c>
      <c r="E1307" s="366" t="s">
        <v>1721</v>
      </c>
      <c r="F1307" s="366" t="s">
        <v>33</v>
      </c>
      <c r="G1307" s="348" t="str">
        <f>"'"&amp;$C1307&amp;"'!$E$62:$Y$62"</f>
        <v>'BLD_CH'!$E$62:$Y$62</v>
      </c>
      <c r="H1307" s="381">
        <f ca="1">IF(IFERROR(INDEX(DATA_PROPERTY_MASTER!$E$5:$E$21,MATCH($C1307,DATA_PROPERTY_MASTER!$A$5:$A$21,0))="Yes",FALSE),IFERROR(INDEX(INDIRECT("'"&amp;$C1307&amp;"'!$E$62:$Y$62"),1,MATCH($D1307,INDIRECT("'"&amp;$C1307&amp;"'!$E$12:$Y$12"),0)),0),0)</f>
        <v>0</v>
      </c>
      <c r="I1307" s="366" t="s">
        <v>1685</v>
      </c>
      <c r="J1307" s="348" t="str">
        <f t="shared" ca="1" si="40"/>
        <v>OK</v>
      </c>
      <c r="K1307" s="366" t="s">
        <v>1727</v>
      </c>
      <c r="L1307" s="366" t="s">
        <v>2254</v>
      </c>
      <c r="M1307" s="350" t="str">
        <f>IF($B1307="Portfolio","Portfolio",IFERROR(INDEX(DATA_ASSET_CLASSIFICATION!$B$8:$B$24,MATCH($C1307,DATA_ASSET_CLASSIFICATION!$A$8:$A$24,0)),"Review"))</f>
        <v>Capilano House</v>
      </c>
      <c r="N1307" s="350" t="str">
        <f ca="1">IF($B1307="Portfolio","Portfolio",IFERROR(INDEX(DATA_ASSET_CLASSIFICATION!$U$8:$U$24,MATCH($C1307,DATA_ASSET_CLASSIFICATION!$A$8:$A$24,0)),"Review"))</f>
        <v>Stable</v>
      </c>
      <c r="O1307" s="350" t="str">
        <f ca="1">IF($B1307="Portfolio","Portfolio",IFERROR(INDEX(DATA_ASSET_CLASSIFICATION!$AB$8:$AB$13,MATCH($N1307,DATA_ASSET_CLASSIFICATION!$AA$8:$AA$13,0)),"Review"))</f>
        <v>Bucket 2 · Legacy</v>
      </c>
      <c r="P1307" s="350" t="str">
        <f>IF($B1307="Portfolio","Portfolio",IFERROR(INDEX(DATA_ASSET_CLASSIFICATION!$C$8:$C$24,MATCH($C1307,DATA_ASSET_CLASSIFICATION!$A$8:$A$24,0)),"Review"))</f>
        <v>Yes</v>
      </c>
      <c r="Q1307" s="350" t="str">
        <f t="shared" ca="1" si="41"/>
        <v>OK</v>
      </c>
    </row>
    <row r="1308" spans="1:17">
      <c r="A1308" s="366" t="s">
        <v>3264</v>
      </c>
      <c r="B1308" s="366" t="s">
        <v>231</v>
      </c>
      <c r="C1308" s="348" t="str">
        <f>DATA_PROPERTY_MASTER!$A$8</f>
        <v>BLD_CH</v>
      </c>
      <c r="D1308" s="380">
        <f>'00_PORTFOLIO ROLLUP'!M$12</f>
        <v>2033</v>
      </c>
      <c r="E1308" s="366" t="s">
        <v>1721</v>
      </c>
      <c r="F1308" s="366" t="s">
        <v>35</v>
      </c>
      <c r="G1308" s="348" t="str">
        <f>"'"&amp;$C1308&amp;"'!$E$63:$Y$63"</f>
        <v>'BLD_CH'!$E$63:$Y$63</v>
      </c>
      <c r="H1308" s="381">
        <f ca="1">IF(IFERROR(INDEX(DATA_PROPERTY_MASTER!$E$5:$E$21,MATCH($C1308,DATA_PROPERTY_MASTER!$A$5:$A$21,0))="Yes",FALSE),IFERROR(INDEX(INDIRECT("'"&amp;$C1308&amp;"'!$E$63:$Y$63"),1,MATCH($D1308,INDIRECT("'"&amp;$C1308&amp;"'!$E$12:$Y$12"),0)),0),0)</f>
        <v>0</v>
      </c>
      <c r="I1308" s="366" t="s">
        <v>1731</v>
      </c>
      <c r="J1308" s="348" t="str">
        <f t="shared" ca="1" si="40"/>
        <v>OK</v>
      </c>
      <c r="K1308" s="366" t="s">
        <v>1732</v>
      </c>
      <c r="L1308" s="366" t="s">
        <v>2256</v>
      </c>
      <c r="M1308" s="350" t="str">
        <f>IF($B1308="Portfolio","Portfolio",IFERROR(INDEX(DATA_ASSET_CLASSIFICATION!$B$8:$B$24,MATCH($C1308,DATA_ASSET_CLASSIFICATION!$A$8:$A$24,0)),"Review"))</f>
        <v>Capilano House</v>
      </c>
      <c r="N1308" s="350" t="str">
        <f ca="1">IF($B1308="Portfolio","Portfolio",IFERROR(INDEX(DATA_ASSET_CLASSIFICATION!$U$8:$U$24,MATCH($C1308,DATA_ASSET_CLASSIFICATION!$A$8:$A$24,0)),"Review"))</f>
        <v>Stable</v>
      </c>
      <c r="O1308" s="350" t="str">
        <f ca="1">IF($B1308="Portfolio","Portfolio",IFERROR(INDEX(DATA_ASSET_CLASSIFICATION!$AB$8:$AB$13,MATCH($N1308,DATA_ASSET_CLASSIFICATION!$AA$8:$AA$13,0)),"Review"))</f>
        <v>Bucket 2 · Legacy</v>
      </c>
      <c r="P1308" s="350" t="str">
        <f>IF($B1308="Portfolio","Portfolio",IFERROR(INDEX(DATA_ASSET_CLASSIFICATION!$C$8:$C$24,MATCH($C1308,DATA_ASSET_CLASSIFICATION!$A$8:$A$24,0)),"Review"))</f>
        <v>Yes</v>
      </c>
      <c r="Q1308" s="350" t="str">
        <f t="shared" ca="1" si="41"/>
        <v>OK</v>
      </c>
    </row>
    <row r="1309" spans="1:17">
      <c r="A1309" s="366" t="s">
        <v>3265</v>
      </c>
      <c r="B1309" s="366" t="s">
        <v>231</v>
      </c>
      <c r="C1309" s="348" t="str">
        <f>DATA_PROPERTY_MASTER!$A$8</f>
        <v>BLD_CH</v>
      </c>
      <c r="D1309" s="380">
        <f>'00_PORTFOLIO ROLLUP'!M$12</f>
        <v>2033</v>
      </c>
      <c r="E1309" s="366" t="s">
        <v>1721</v>
      </c>
      <c r="F1309" s="366" t="s">
        <v>37</v>
      </c>
      <c r="G1309" s="348" t="str">
        <f>"'"&amp;$C1309&amp;"'!$E$63:$Y$63"</f>
        <v>'BLD_CH'!$E$63:$Y$63</v>
      </c>
      <c r="H1309" s="381">
        <f ca="1">IF(IFERROR(INDEX(DATA_PROPERTY_MASTER!$E$5:$E$21,MATCH($C1309,DATA_PROPERTY_MASTER!$A$5:$A$21,0))="Yes",FALSE),MAX(IFERROR(INDEX(INDIRECT("'"&amp;$C1309&amp;"'!$E$63:$Y$63"),1,MATCH($D1309,INDIRECT("'"&amp;$C1309&amp;"'!$E$12:$Y$12"),0)),0),0),0)</f>
        <v>0</v>
      </c>
      <c r="I1309" s="366" t="s">
        <v>1685</v>
      </c>
      <c r="J1309" s="348" t="str">
        <f t="shared" ca="1" si="40"/>
        <v>OK</v>
      </c>
      <c r="K1309" s="366" t="s">
        <v>1735</v>
      </c>
      <c r="L1309" s="366" t="s">
        <v>2258</v>
      </c>
      <c r="M1309" s="350" t="str">
        <f>IF($B1309="Portfolio","Portfolio",IFERROR(INDEX(DATA_ASSET_CLASSIFICATION!$B$8:$B$24,MATCH($C1309,DATA_ASSET_CLASSIFICATION!$A$8:$A$24,0)),"Review"))</f>
        <v>Capilano House</v>
      </c>
      <c r="N1309" s="350" t="str">
        <f ca="1">IF($B1309="Portfolio","Portfolio",IFERROR(INDEX(DATA_ASSET_CLASSIFICATION!$U$8:$U$24,MATCH($C1309,DATA_ASSET_CLASSIFICATION!$A$8:$A$24,0)),"Review"))</f>
        <v>Stable</v>
      </c>
      <c r="O1309" s="350" t="str">
        <f ca="1">IF($B1309="Portfolio","Portfolio",IFERROR(INDEX(DATA_ASSET_CLASSIFICATION!$AB$8:$AB$13,MATCH($N1309,DATA_ASSET_CLASSIFICATION!$AA$8:$AA$13,0)),"Review"))</f>
        <v>Bucket 2 · Legacy</v>
      </c>
      <c r="P1309" s="350" t="str">
        <f>IF($B1309="Portfolio","Portfolio",IFERROR(INDEX(DATA_ASSET_CLASSIFICATION!$C$8:$C$24,MATCH($C1309,DATA_ASSET_CLASSIFICATION!$A$8:$A$24,0)),"Review"))</f>
        <v>Yes</v>
      </c>
      <c r="Q1309" s="350" t="str">
        <f t="shared" ca="1" si="41"/>
        <v>OK</v>
      </c>
    </row>
    <row r="1310" spans="1:17">
      <c r="A1310" s="366" t="s">
        <v>3266</v>
      </c>
      <c r="B1310" s="366" t="s">
        <v>231</v>
      </c>
      <c r="C1310" s="348" t="str">
        <f>DATA_PROPERTY_MASTER!$A$8</f>
        <v>BLD_CH</v>
      </c>
      <c r="D1310" s="380">
        <f>'00_PORTFOLIO ROLLUP'!M$12</f>
        <v>2033</v>
      </c>
      <c r="E1310" s="366" t="s">
        <v>1721</v>
      </c>
      <c r="F1310" s="366" t="s">
        <v>39</v>
      </c>
      <c r="G1310" s="348" t="str">
        <f>"'"&amp;$C1310&amp;"'!$E$63:$Y$63"</f>
        <v>'BLD_CH'!$E$63:$Y$63</v>
      </c>
      <c r="H1310" s="381">
        <f ca="1">IF(IFERROR(INDEX(DATA_PROPERTY_MASTER!$E$5:$E$21,MATCH($C1310,DATA_PROPERTY_MASTER!$A$5:$A$21,0))="Yes",FALSE),MAX(-IFERROR(INDEX(INDIRECT("'"&amp;$C1310&amp;"'!$E$63:$Y$63"),1,MATCH($D1310,INDIRECT("'"&amp;$C1310&amp;"'!$E$12:$Y$12"),0)),0),0),0)</f>
        <v>0</v>
      </c>
      <c r="I1310" s="366" t="s">
        <v>1690</v>
      </c>
      <c r="J1310" s="348" t="str">
        <f t="shared" ca="1" si="40"/>
        <v>OK</v>
      </c>
      <c r="K1310" s="366" t="s">
        <v>1738</v>
      </c>
      <c r="L1310" s="366" t="s">
        <v>2260</v>
      </c>
      <c r="M1310" s="350" t="str">
        <f>IF($B1310="Portfolio","Portfolio",IFERROR(INDEX(DATA_ASSET_CLASSIFICATION!$B$8:$B$24,MATCH($C1310,DATA_ASSET_CLASSIFICATION!$A$8:$A$24,0)),"Review"))</f>
        <v>Capilano House</v>
      </c>
      <c r="N1310" s="350" t="str">
        <f ca="1">IF($B1310="Portfolio","Portfolio",IFERROR(INDEX(DATA_ASSET_CLASSIFICATION!$U$8:$U$24,MATCH($C1310,DATA_ASSET_CLASSIFICATION!$A$8:$A$24,0)),"Review"))</f>
        <v>Stable</v>
      </c>
      <c r="O1310" s="350" t="str">
        <f ca="1">IF($B1310="Portfolio","Portfolio",IFERROR(INDEX(DATA_ASSET_CLASSIFICATION!$AB$8:$AB$13,MATCH($N1310,DATA_ASSET_CLASSIFICATION!$AA$8:$AA$13,0)),"Review"))</f>
        <v>Bucket 2 · Legacy</v>
      </c>
      <c r="P1310" s="350" t="str">
        <f>IF($B1310="Portfolio","Portfolio",IFERROR(INDEX(DATA_ASSET_CLASSIFICATION!$C$8:$C$24,MATCH($C1310,DATA_ASSET_CLASSIFICATION!$A$8:$A$24,0)),"Review"))</f>
        <v>Yes</v>
      </c>
      <c r="Q1310" s="350" t="str">
        <f t="shared" ca="1" si="41"/>
        <v>OK</v>
      </c>
    </row>
    <row r="1311" spans="1:17">
      <c r="A1311" s="366" t="s">
        <v>3267</v>
      </c>
      <c r="B1311" s="366" t="s">
        <v>231</v>
      </c>
      <c r="C1311" s="348" t="str">
        <f>DATA_PROPERTY_MASTER!$A$8</f>
        <v>BLD_CH</v>
      </c>
      <c r="D1311" s="380">
        <f>'00_PORTFOLIO ROLLUP'!M$12</f>
        <v>2033</v>
      </c>
      <c r="E1311" s="366" t="s">
        <v>1741</v>
      </c>
      <c r="F1311" s="366" t="s">
        <v>41</v>
      </c>
      <c r="G1311" s="348" t="str">
        <f>"'"&amp;$C1311&amp;"'!rows 56 + positive row 63"</f>
        <v>'BLD_CH'!rows 56 + positive row 63</v>
      </c>
      <c r="H1311" s="381">
        <f ca="1">IF(IFERROR(INDEX(DATA_PROPERTY_MASTER!$E$5:$E$21,MATCH($C1311,DATA_PROPERTY_MASTER!$A$5:$A$21,0))="Yes",FALSE),IFERROR(INDEX(INDIRECT("'"&amp;$C1311&amp;"'!$E$56:$Y$56"),1,MATCH($D1311,INDIRECT("'"&amp;$C1311&amp;"'!$E$12:$Y$12"),0)),0)+MAX(IFERROR(INDEX(INDIRECT("'"&amp;$C1311&amp;"'!$E$63:$Y$63"),1,MATCH($D1311,INDIRECT("'"&amp;$C1311&amp;"'!$E$12:$Y$12"),0)),0),0),0)</f>
        <v>184985.47281776305</v>
      </c>
      <c r="I1311" s="366" t="s">
        <v>1685</v>
      </c>
      <c r="J1311" s="348" t="str">
        <f t="shared" ca="1" si="40"/>
        <v>OK</v>
      </c>
      <c r="K1311" s="366" t="s">
        <v>1742</v>
      </c>
      <c r="L1311" s="366" t="s">
        <v>2262</v>
      </c>
      <c r="M1311" s="350" t="str">
        <f>IF($B1311="Portfolio","Portfolio",IFERROR(INDEX(DATA_ASSET_CLASSIFICATION!$B$8:$B$24,MATCH($C1311,DATA_ASSET_CLASSIFICATION!$A$8:$A$24,0)),"Review"))</f>
        <v>Capilano House</v>
      </c>
      <c r="N1311" s="350" t="str">
        <f ca="1">IF($B1311="Portfolio","Portfolio",IFERROR(INDEX(DATA_ASSET_CLASSIFICATION!$U$8:$U$24,MATCH($C1311,DATA_ASSET_CLASSIFICATION!$A$8:$A$24,0)),"Review"))</f>
        <v>Stable</v>
      </c>
      <c r="O1311" s="350" t="str">
        <f ca="1">IF($B1311="Portfolio","Portfolio",IFERROR(INDEX(DATA_ASSET_CLASSIFICATION!$AB$8:$AB$13,MATCH($N1311,DATA_ASSET_CLASSIFICATION!$AA$8:$AA$13,0)),"Review"))</f>
        <v>Bucket 2 · Legacy</v>
      </c>
      <c r="P1311" s="350" t="str">
        <f>IF($B1311="Portfolio","Portfolio",IFERROR(INDEX(DATA_ASSET_CLASSIFICATION!$C$8:$C$24,MATCH($C1311,DATA_ASSET_CLASSIFICATION!$A$8:$A$24,0)),"Review"))</f>
        <v>Yes</v>
      </c>
      <c r="Q1311" s="350" t="str">
        <f t="shared" ca="1" si="41"/>
        <v>OK</v>
      </c>
    </row>
    <row r="1312" spans="1:17">
      <c r="A1312" s="366" t="s">
        <v>3268</v>
      </c>
      <c r="B1312" s="366" t="s">
        <v>231</v>
      </c>
      <c r="C1312" s="348" t="str">
        <f>DATA_PROPERTY_MASTER!$A$8</f>
        <v>BLD_CH</v>
      </c>
      <c r="D1312" s="380">
        <f>'00_PORTFOLIO ROLLUP'!M$12</f>
        <v>2033</v>
      </c>
      <c r="E1312" s="366" t="s">
        <v>1741</v>
      </c>
      <c r="F1312" s="366" t="s">
        <v>43</v>
      </c>
      <c r="G1312" s="348" t="str">
        <f>"'"&amp;$C1312&amp;"'!$E$68:$Y$68"</f>
        <v>'BLD_CH'!$E$68:$Y$68</v>
      </c>
      <c r="H1312" s="381">
        <f ca="1">IF(IFERROR(INDEX(DATA_PROPERTY_MASTER!$E$5:$E$21,MATCH($C1312,DATA_PROPERTY_MASTER!$A$5:$A$21,0))="Yes",FALSE),IFERROR(INDEX(INDIRECT("'"&amp;$C1312&amp;"'!$E$68:$Y$68"),1,MATCH($D1312,INDIRECT("'"&amp;$C1312&amp;"'!$E$12:$Y$12"),0)),0),0)</f>
        <v>184985.47281776305</v>
      </c>
      <c r="I1312" s="366" t="s">
        <v>1731</v>
      </c>
      <c r="J1312" s="348" t="str">
        <f t="shared" ca="1" si="40"/>
        <v>OK</v>
      </c>
      <c r="K1312" s="366" t="s">
        <v>1746</v>
      </c>
      <c r="L1312" s="366" t="s">
        <v>2264</v>
      </c>
      <c r="M1312" s="350" t="str">
        <f>IF($B1312="Portfolio","Portfolio",IFERROR(INDEX(DATA_ASSET_CLASSIFICATION!$B$8:$B$24,MATCH($C1312,DATA_ASSET_CLASSIFICATION!$A$8:$A$24,0)),"Review"))</f>
        <v>Capilano House</v>
      </c>
      <c r="N1312" s="350" t="str">
        <f ca="1">IF($B1312="Portfolio","Portfolio",IFERROR(INDEX(DATA_ASSET_CLASSIFICATION!$U$8:$U$24,MATCH($C1312,DATA_ASSET_CLASSIFICATION!$A$8:$A$24,0)),"Review"))</f>
        <v>Stable</v>
      </c>
      <c r="O1312" s="350" t="str">
        <f ca="1">IF($B1312="Portfolio","Portfolio",IFERROR(INDEX(DATA_ASSET_CLASSIFICATION!$AB$8:$AB$13,MATCH($N1312,DATA_ASSET_CLASSIFICATION!$AA$8:$AA$13,0)),"Review"))</f>
        <v>Bucket 2 · Legacy</v>
      </c>
      <c r="P1312" s="350" t="str">
        <f>IF($B1312="Portfolio","Portfolio",IFERROR(INDEX(DATA_ASSET_CLASSIFICATION!$C$8:$C$24,MATCH($C1312,DATA_ASSET_CLASSIFICATION!$A$8:$A$24,0)),"Review"))</f>
        <v>Yes</v>
      </c>
      <c r="Q1312" s="350" t="str">
        <f t="shared" ca="1" si="41"/>
        <v>OK</v>
      </c>
    </row>
    <row r="1313" spans="1:17">
      <c r="A1313" s="366" t="s">
        <v>3269</v>
      </c>
      <c r="B1313" s="366" t="s">
        <v>231</v>
      </c>
      <c r="C1313" s="348" t="str">
        <f>DATA_PROPERTY_MASTER!$A$8</f>
        <v>BLD_CH</v>
      </c>
      <c r="D1313" s="380">
        <f>'00_PORTFOLIO ROLLUP'!M$12</f>
        <v>2033</v>
      </c>
      <c r="E1313" s="366" t="s">
        <v>1741</v>
      </c>
      <c r="F1313" s="366" t="s">
        <v>1749</v>
      </c>
      <c r="G1313" s="348" t="str">
        <f>"'"&amp;$C1313&amp;"'!rows 56, 63, 68"</f>
        <v>'BLD_CH'!rows 56, 63, 68</v>
      </c>
      <c r="H1313" s="381">
        <f ca="1">IF(IFERROR(INDEX(DATA_PROPERTY_MASTER!$E$5:$E$21,MATCH($C1313,DATA_PROPERTY_MASTER!$A$5:$A$21,0))="Yes",FALSE),(IFERROR(INDEX(INDIRECT("'"&amp;$C1313&amp;"'!$E$56:$Y$56"),1,MATCH($D1313,INDIRECT("'"&amp;$C1313&amp;"'!$E$12:$Y$12"),0)),0)+MAX(IFERROR(INDEX(INDIRECT("'"&amp;$C1313&amp;"'!$E$63:$Y$63"),1,MATCH($D1313,INDIRECT("'"&amp;$C1313&amp;"'!$E$12:$Y$12"),0)),0),0))-(IFERROR(INDEX(INDIRECT("'"&amp;$C1313&amp;"'!$E$68:$Y$68"),1,MATCH($D1313,INDIRECT("'"&amp;$C1313&amp;"'!$E$12:$Y$12"),0)),0)),0)</f>
        <v>0</v>
      </c>
      <c r="I1313" s="366" t="s">
        <v>1750</v>
      </c>
      <c r="J1313" s="348" t="str">
        <f t="shared" ca="1" si="40"/>
        <v>OK</v>
      </c>
      <c r="K1313" s="366" t="s">
        <v>1751</v>
      </c>
      <c r="L1313" s="366" t="s">
        <v>2266</v>
      </c>
      <c r="M1313" s="350" t="str">
        <f>IF($B1313="Portfolio","Portfolio",IFERROR(INDEX(DATA_ASSET_CLASSIFICATION!$B$8:$B$24,MATCH($C1313,DATA_ASSET_CLASSIFICATION!$A$8:$A$24,0)),"Review"))</f>
        <v>Capilano House</v>
      </c>
      <c r="N1313" s="350" t="str">
        <f ca="1">IF($B1313="Portfolio","Portfolio",IFERROR(INDEX(DATA_ASSET_CLASSIFICATION!$U$8:$U$24,MATCH($C1313,DATA_ASSET_CLASSIFICATION!$A$8:$A$24,0)),"Review"))</f>
        <v>Stable</v>
      </c>
      <c r="O1313" s="350" t="str">
        <f ca="1">IF($B1313="Portfolio","Portfolio",IFERROR(INDEX(DATA_ASSET_CLASSIFICATION!$AB$8:$AB$13,MATCH($N1313,DATA_ASSET_CLASSIFICATION!$AA$8:$AA$13,0)),"Review"))</f>
        <v>Bucket 2 · Legacy</v>
      </c>
      <c r="P1313" s="350" t="str">
        <f>IF($B1313="Portfolio","Portfolio",IFERROR(INDEX(DATA_ASSET_CLASSIFICATION!$C$8:$C$24,MATCH($C1313,DATA_ASSET_CLASSIFICATION!$A$8:$A$24,0)),"Review"))</f>
        <v>Yes</v>
      </c>
      <c r="Q1313" s="350" t="str">
        <f t="shared" ca="1" si="41"/>
        <v>OK</v>
      </c>
    </row>
    <row r="1314" spans="1:17">
      <c r="A1314" s="366" t="s">
        <v>3270</v>
      </c>
      <c r="B1314" s="366" t="s">
        <v>231</v>
      </c>
      <c r="C1314" s="348" t="str">
        <f>DATA_PROPERTY_MASTER!$A$8</f>
        <v>BLD_CH</v>
      </c>
      <c r="D1314" s="380">
        <f>'00_PORTFOLIO ROLLUP'!N$12</f>
        <v>2034</v>
      </c>
      <c r="E1314" s="366" t="s">
        <v>1683</v>
      </c>
      <c r="F1314" s="366" t="s">
        <v>341</v>
      </c>
      <c r="G1314" s="348" t="str">
        <f>"'"&amp;$C1314&amp;"'!$E$24:$Y$24"</f>
        <v>'BLD_CH'!$E$24:$Y$24</v>
      </c>
      <c r="H1314" s="381">
        <f ca="1">IF(IFERROR(INDEX(DATA_PROPERTY_MASTER!$E$5:$E$21,MATCH($C1314,DATA_PROPERTY_MASTER!$A$5:$A$21,0))="Yes",FALSE),IFERROR(INDEX(INDIRECT("'"&amp;$C1314&amp;"'!$E$24:$Y$24"),1,MATCH($D1314,INDIRECT("'"&amp;$C1314&amp;"'!$E$12:$Y$12"),0)),0),0)</f>
        <v>1153970.4658959964</v>
      </c>
      <c r="I1314" s="366" t="s">
        <v>1685</v>
      </c>
      <c r="J1314" s="348" t="str">
        <f t="shared" ca="1" si="40"/>
        <v>OK</v>
      </c>
      <c r="K1314" s="366" t="s">
        <v>1686</v>
      </c>
      <c r="L1314" s="366" t="s">
        <v>2234</v>
      </c>
      <c r="M1314" s="350" t="str">
        <f>IF($B1314="Portfolio","Portfolio",IFERROR(INDEX(DATA_ASSET_CLASSIFICATION!$B$8:$B$24,MATCH($C1314,DATA_ASSET_CLASSIFICATION!$A$8:$A$24,0)),"Review"))</f>
        <v>Capilano House</v>
      </c>
      <c r="N1314" s="350" t="str">
        <f ca="1">IF($B1314="Portfolio","Portfolio",IFERROR(INDEX(DATA_ASSET_CLASSIFICATION!$U$8:$U$24,MATCH($C1314,DATA_ASSET_CLASSIFICATION!$A$8:$A$24,0)),"Review"))</f>
        <v>Stable</v>
      </c>
      <c r="O1314" s="350" t="str">
        <f ca="1">IF($B1314="Portfolio","Portfolio",IFERROR(INDEX(DATA_ASSET_CLASSIFICATION!$AB$8:$AB$13,MATCH($N1314,DATA_ASSET_CLASSIFICATION!$AA$8:$AA$13,0)),"Review"))</f>
        <v>Bucket 2 · Legacy</v>
      </c>
      <c r="P1314" s="350" t="str">
        <f>IF($B1314="Portfolio","Portfolio",IFERROR(INDEX(DATA_ASSET_CLASSIFICATION!$C$8:$C$24,MATCH($C1314,DATA_ASSET_CLASSIFICATION!$A$8:$A$24,0)),"Review"))</f>
        <v>Yes</v>
      </c>
      <c r="Q1314" s="350" t="str">
        <f t="shared" ca="1" si="41"/>
        <v>OK</v>
      </c>
    </row>
    <row r="1315" spans="1:17">
      <c r="A1315" s="366" t="s">
        <v>3271</v>
      </c>
      <c r="B1315" s="366" t="s">
        <v>231</v>
      </c>
      <c r="C1315" s="348" t="str">
        <f>DATA_PROPERTY_MASTER!$A$8</f>
        <v>BLD_CH</v>
      </c>
      <c r="D1315" s="380">
        <f>'00_PORTFOLIO ROLLUP'!N$12</f>
        <v>2034</v>
      </c>
      <c r="E1315" s="366" t="s">
        <v>1683</v>
      </c>
      <c r="F1315" s="366" t="s">
        <v>355</v>
      </c>
      <c r="G1315" s="348" t="str">
        <f>"'"&amp;$C1315&amp;"'!$E$39:$Y$39"</f>
        <v>'BLD_CH'!$E$39:$Y$39</v>
      </c>
      <c r="H1315" s="381">
        <f ca="1">IF(IFERROR(INDEX(DATA_PROPERTY_MASTER!$E$5:$E$21,MATCH($C1315,DATA_PROPERTY_MASTER!$A$5:$A$21,0))="Yes",FALSE),IFERROR(INDEX(INDIRECT("'"&amp;$C1315&amp;"'!$E$39:$Y$39"),1,MATCH($D1315,INDIRECT("'"&amp;$C1315&amp;"'!$E$12:$Y$12"),0)),0),0)</f>
        <v>695635.10845012625</v>
      </c>
      <c r="I1315" s="366" t="s">
        <v>1690</v>
      </c>
      <c r="J1315" s="348" t="str">
        <f t="shared" ca="1" si="40"/>
        <v>OK</v>
      </c>
      <c r="K1315" s="366" t="s">
        <v>1686</v>
      </c>
      <c r="L1315" s="366" t="s">
        <v>2236</v>
      </c>
      <c r="M1315" s="350" t="str">
        <f>IF($B1315="Portfolio","Portfolio",IFERROR(INDEX(DATA_ASSET_CLASSIFICATION!$B$8:$B$24,MATCH($C1315,DATA_ASSET_CLASSIFICATION!$A$8:$A$24,0)),"Review"))</f>
        <v>Capilano House</v>
      </c>
      <c r="N1315" s="350" t="str">
        <f ca="1">IF($B1315="Portfolio","Portfolio",IFERROR(INDEX(DATA_ASSET_CLASSIFICATION!$U$8:$U$24,MATCH($C1315,DATA_ASSET_CLASSIFICATION!$A$8:$A$24,0)),"Review"))</f>
        <v>Stable</v>
      </c>
      <c r="O1315" s="350" t="str">
        <f ca="1">IF($B1315="Portfolio","Portfolio",IFERROR(INDEX(DATA_ASSET_CLASSIFICATION!$AB$8:$AB$13,MATCH($N1315,DATA_ASSET_CLASSIFICATION!$AA$8:$AA$13,0)),"Review"))</f>
        <v>Bucket 2 · Legacy</v>
      </c>
      <c r="P1315" s="350" t="str">
        <f>IF($B1315="Portfolio","Portfolio",IFERROR(INDEX(DATA_ASSET_CLASSIFICATION!$C$8:$C$24,MATCH($C1315,DATA_ASSET_CLASSIFICATION!$A$8:$A$24,0)),"Review"))</f>
        <v>Yes</v>
      </c>
      <c r="Q1315" s="350" t="str">
        <f t="shared" ca="1" si="41"/>
        <v>OK</v>
      </c>
    </row>
    <row r="1316" spans="1:17">
      <c r="A1316" s="366" t="s">
        <v>3272</v>
      </c>
      <c r="B1316" s="366" t="s">
        <v>231</v>
      </c>
      <c r="C1316" s="348" t="str">
        <f>DATA_PROPERTY_MASTER!$A$8</f>
        <v>BLD_CH</v>
      </c>
      <c r="D1316" s="380">
        <f>'00_PORTFOLIO ROLLUP'!N$12</f>
        <v>2034</v>
      </c>
      <c r="E1316" s="366" t="s">
        <v>1683</v>
      </c>
      <c r="F1316" s="366" t="s">
        <v>19</v>
      </c>
      <c r="G1316" s="348" t="str">
        <f>"'"&amp;$C1316&amp;"'!$E$41:$Y$41"</f>
        <v>'BLD_CH'!$E$41:$Y$41</v>
      </c>
      <c r="H1316" s="381">
        <f ca="1">IF(IFERROR(INDEX(DATA_PROPERTY_MASTER!$E$5:$E$21,MATCH($C1316,DATA_PROPERTY_MASTER!$A$5:$A$21,0))="Yes",FALSE),IFERROR(INDEX(INDIRECT("'"&amp;$C1316&amp;"'!$E$41:$Y$41"),1,MATCH($D1316,INDIRECT("'"&amp;$C1316&amp;"'!$E$12:$Y$12"),0)),0),0)</f>
        <v>458335.35744587018</v>
      </c>
      <c r="I1316" s="366" t="s">
        <v>1685</v>
      </c>
      <c r="J1316" s="348" t="str">
        <f t="shared" ca="1" si="40"/>
        <v>OK</v>
      </c>
      <c r="K1316" s="366" t="s">
        <v>1694</v>
      </c>
      <c r="L1316" s="366" t="s">
        <v>2238</v>
      </c>
      <c r="M1316" s="350" t="str">
        <f>IF($B1316="Portfolio","Portfolio",IFERROR(INDEX(DATA_ASSET_CLASSIFICATION!$B$8:$B$24,MATCH($C1316,DATA_ASSET_CLASSIFICATION!$A$8:$A$24,0)),"Review"))</f>
        <v>Capilano House</v>
      </c>
      <c r="N1316" s="350" t="str">
        <f ca="1">IF($B1316="Portfolio","Portfolio",IFERROR(INDEX(DATA_ASSET_CLASSIFICATION!$U$8:$U$24,MATCH($C1316,DATA_ASSET_CLASSIFICATION!$A$8:$A$24,0)),"Review"))</f>
        <v>Stable</v>
      </c>
      <c r="O1316" s="350" t="str">
        <f ca="1">IF($B1316="Portfolio","Portfolio",IFERROR(INDEX(DATA_ASSET_CLASSIFICATION!$AB$8:$AB$13,MATCH($N1316,DATA_ASSET_CLASSIFICATION!$AA$8:$AA$13,0)),"Review"))</f>
        <v>Bucket 2 · Legacy</v>
      </c>
      <c r="P1316" s="350" t="str">
        <f>IF($B1316="Portfolio","Portfolio",IFERROR(INDEX(DATA_ASSET_CLASSIFICATION!$C$8:$C$24,MATCH($C1316,DATA_ASSET_CLASSIFICATION!$A$8:$A$24,0)),"Review"))</f>
        <v>Yes</v>
      </c>
      <c r="Q1316" s="350" t="str">
        <f t="shared" ca="1" si="41"/>
        <v>OK</v>
      </c>
    </row>
    <row r="1317" spans="1:17">
      <c r="A1317" s="366" t="s">
        <v>3273</v>
      </c>
      <c r="B1317" s="366" t="s">
        <v>231</v>
      </c>
      <c r="C1317" s="348" t="str">
        <f>DATA_PROPERTY_MASTER!$A$8</f>
        <v>BLD_CH</v>
      </c>
      <c r="D1317" s="380">
        <f>'00_PORTFOLIO ROLLUP'!N$12</f>
        <v>2034</v>
      </c>
      <c r="E1317" s="366" t="s">
        <v>1683</v>
      </c>
      <c r="F1317" s="366" t="s">
        <v>1697</v>
      </c>
      <c r="G1317" s="348" t="str">
        <f>"'"&amp;$C1317&amp;"'!$E$44:$Y$44"</f>
        <v>'BLD_CH'!$E$44:$Y$44</v>
      </c>
      <c r="H1317" s="381">
        <f ca="1">IF(IFERROR(INDEX(DATA_PROPERTY_MASTER!$E$5:$E$21,MATCH($C1317,DATA_PROPERTY_MASTER!$A$5:$A$21,0))="Yes",FALSE),IFERROR(INDEX(INDIRECT("'"&amp;$C1317&amp;"'!$E$44:$Y$44"),1,MATCH($D1317,INDIRECT("'"&amp;$C1317&amp;"'!$E$12:$Y$12"),0)),0),0)</f>
        <v>11472.888658774184</v>
      </c>
      <c r="I1317" s="366" t="s">
        <v>1690</v>
      </c>
      <c r="J1317" s="348" t="str">
        <f t="shared" ca="1" si="40"/>
        <v>OK</v>
      </c>
      <c r="K1317" s="366" t="s">
        <v>1699</v>
      </c>
      <c r="L1317" s="366" t="s">
        <v>2240</v>
      </c>
      <c r="M1317" s="350" t="str">
        <f>IF($B1317="Portfolio","Portfolio",IFERROR(INDEX(DATA_ASSET_CLASSIFICATION!$B$8:$B$24,MATCH($C1317,DATA_ASSET_CLASSIFICATION!$A$8:$A$24,0)),"Review"))</f>
        <v>Capilano House</v>
      </c>
      <c r="N1317" s="350" t="str">
        <f ca="1">IF($B1317="Portfolio","Portfolio",IFERROR(INDEX(DATA_ASSET_CLASSIFICATION!$U$8:$U$24,MATCH($C1317,DATA_ASSET_CLASSIFICATION!$A$8:$A$24,0)),"Review"))</f>
        <v>Stable</v>
      </c>
      <c r="O1317" s="350" t="str">
        <f ca="1">IF($B1317="Portfolio","Portfolio",IFERROR(INDEX(DATA_ASSET_CLASSIFICATION!$AB$8:$AB$13,MATCH($N1317,DATA_ASSET_CLASSIFICATION!$AA$8:$AA$13,0)),"Review"))</f>
        <v>Bucket 2 · Legacy</v>
      </c>
      <c r="P1317" s="350" t="str">
        <f>IF($B1317="Portfolio","Portfolio",IFERROR(INDEX(DATA_ASSET_CLASSIFICATION!$C$8:$C$24,MATCH($C1317,DATA_ASSET_CLASSIFICATION!$A$8:$A$24,0)),"Review"))</f>
        <v>Yes</v>
      </c>
      <c r="Q1317" s="350" t="str">
        <f t="shared" ca="1" si="41"/>
        <v>OK</v>
      </c>
    </row>
    <row r="1318" spans="1:17">
      <c r="A1318" s="366" t="s">
        <v>3274</v>
      </c>
      <c r="B1318" s="366" t="s">
        <v>231</v>
      </c>
      <c r="C1318" s="348" t="str">
        <f>DATA_PROPERTY_MASTER!$A$8</f>
        <v>BLD_CH</v>
      </c>
      <c r="D1318" s="380">
        <f>'00_PORTFOLIO ROLLUP'!N$12</f>
        <v>2034</v>
      </c>
      <c r="E1318" s="366" t="s">
        <v>1683</v>
      </c>
      <c r="F1318" s="366" t="s">
        <v>21</v>
      </c>
      <c r="G1318" s="348" t="str">
        <f>"'"&amp;$C1318&amp;"'!$E$45:$Y$45"</f>
        <v>'BLD_CH'!$E$45:$Y$45</v>
      </c>
      <c r="H1318" s="381">
        <f ca="1">IF(IFERROR(INDEX(DATA_PROPERTY_MASTER!$E$5:$E$21,MATCH($C1318,DATA_PROPERTY_MASTER!$A$5:$A$21,0))="Yes",FALSE),IFERROR(INDEX(INDIRECT("'"&amp;$C1318&amp;"'!$E$45:$Y$45"),1,MATCH($D1318,INDIRECT("'"&amp;$C1318&amp;"'!$E$12:$Y$12"),0)),0),0)</f>
        <v>446862.46878709598</v>
      </c>
      <c r="I1318" s="366" t="s">
        <v>1685</v>
      </c>
      <c r="J1318" s="348" t="str">
        <f t="shared" ca="1" si="40"/>
        <v>OK</v>
      </c>
      <c r="K1318" s="366" t="s">
        <v>1694</v>
      </c>
      <c r="L1318" s="366" t="s">
        <v>2242</v>
      </c>
      <c r="M1318" s="350" t="str">
        <f>IF($B1318="Portfolio","Portfolio",IFERROR(INDEX(DATA_ASSET_CLASSIFICATION!$B$8:$B$24,MATCH($C1318,DATA_ASSET_CLASSIFICATION!$A$8:$A$24,0)),"Review"))</f>
        <v>Capilano House</v>
      </c>
      <c r="N1318" s="350" t="str">
        <f ca="1">IF($B1318="Portfolio","Portfolio",IFERROR(INDEX(DATA_ASSET_CLASSIFICATION!$U$8:$U$24,MATCH($C1318,DATA_ASSET_CLASSIFICATION!$A$8:$A$24,0)),"Review"))</f>
        <v>Stable</v>
      </c>
      <c r="O1318" s="350" t="str">
        <f ca="1">IF($B1318="Portfolio","Portfolio",IFERROR(INDEX(DATA_ASSET_CLASSIFICATION!$AB$8:$AB$13,MATCH($N1318,DATA_ASSET_CLASSIFICATION!$AA$8:$AA$13,0)),"Review"))</f>
        <v>Bucket 2 · Legacy</v>
      </c>
      <c r="P1318" s="350" t="str">
        <f>IF($B1318="Portfolio","Portfolio",IFERROR(INDEX(DATA_ASSET_CLASSIFICATION!$C$8:$C$24,MATCH($C1318,DATA_ASSET_CLASSIFICATION!$A$8:$A$24,0)),"Review"))</f>
        <v>Yes</v>
      </c>
      <c r="Q1318" s="350" t="str">
        <f t="shared" ca="1" si="41"/>
        <v>OK</v>
      </c>
    </row>
    <row r="1319" spans="1:17">
      <c r="A1319" s="366" t="s">
        <v>3275</v>
      </c>
      <c r="B1319" s="366" t="s">
        <v>231</v>
      </c>
      <c r="C1319" s="348" t="str">
        <f>DATA_PROPERTY_MASTER!$A$8</f>
        <v>BLD_CH</v>
      </c>
      <c r="D1319" s="380">
        <f>'00_PORTFOLIO ROLLUP'!N$12</f>
        <v>2034</v>
      </c>
      <c r="E1319" s="366" t="s">
        <v>23</v>
      </c>
      <c r="F1319" s="366" t="s">
        <v>23</v>
      </c>
      <c r="G1319" s="348" t="str">
        <f>"'"&amp;$C1319&amp;"'!$E$48:$Y$48"</f>
        <v>'BLD_CH'!$E$48:$Y$48</v>
      </c>
      <c r="H1319" s="381">
        <f ca="1">IF(IFERROR(INDEX(DATA_PROPERTY_MASTER!$E$5:$E$21,MATCH($C1319,DATA_PROPERTY_MASTER!$A$5:$A$21,0))="Yes",FALSE),IFERROR(INDEX(INDIRECT("'"&amp;$C1319&amp;"'!$E$48:$Y$48"),1,MATCH($D1319,INDIRECT("'"&amp;$C1319&amp;"'!$E$12:$Y$12"),0)),0),0)</f>
        <v>0</v>
      </c>
      <c r="I1319" s="366" t="s">
        <v>1690</v>
      </c>
      <c r="J1319" s="348" t="str">
        <f t="shared" ca="1" si="40"/>
        <v>OK</v>
      </c>
      <c r="K1319" s="366" t="s">
        <v>1706</v>
      </c>
      <c r="L1319" s="366" t="s">
        <v>2244</v>
      </c>
      <c r="M1319" s="350" t="str">
        <f>IF($B1319="Portfolio","Portfolio",IFERROR(INDEX(DATA_ASSET_CLASSIFICATION!$B$8:$B$24,MATCH($C1319,DATA_ASSET_CLASSIFICATION!$A$8:$A$24,0)),"Review"))</f>
        <v>Capilano House</v>
      </c>
      <c r="N1319" s="350" t="str">
        <f ca="1">IF($B1319="Portfolio","Portfolio",IFERROR(INDEX(DATA_ASSET_CLASSIFICATION!$U$8:$U$24,MATCH($C1319,DATA_ASSET_CLASSIFICATION!$A$8:$A$24,0)),"Review"))</f>
        <v>Stable</v>
      </c>
      <c r="O1319" s="350" t="str">
        <f ca="1">IF($B1319="Portfolio","Portfolio",IFERROR(INDEX(DATA_ASSET_CLASSIFICATION!$AB$8:$AB$13,MATCH($N1319,DATA_ASSET_CLASSIFICATION!$AA$8:$AA$13,0)),"Review"))</f>
        <v>Bucket 2 · Legacy</v>
      </c>
      <c r="P1319" s="350" t="str">
        <f>IF($B1319="Portfolio","Portfolio",IFERROR(INDEX(DATA_ASSET_CLASSIFICATION!$C$8:$C$24,MATCH($C1319,DATA_ASSET_CLASSIFICATION!$A$8:$A$24,0)),"Review"))</f>
        <v>Yes</v>
      </c>
      <c r="Q1319" s="350" t="str">
        <f t="shared" ca="1" si="41"/>
        <v>OK</v>
      </c>
    </row>
    <row r="1320" spans="1:17">
      <c r="A1320" s="366" t="s">
        <v>3276</v>
      </c>
      <c r="B1320" s="366" t="s">
        <v>231</v>
      </c>
      <c r="C1320" s="348" t="str">
        <f>DATA_PROPERTY_MASTER!$A$8</f>
        <v>BLD_CH</v>
      </c>
      <c r="D1320" s="380">
        <f>'00_PORTFOLIO ROLLUP'!N$12</f>
        <v>2034</v>
      </c>
      <c r="E1320" s="366" t="s">
        <v>1683</v>
      </c>
      <c r="F1320" s="366" t="s">
        <v>25</v>
      </c>
      <c r="G1320" s="348" t="str">
        <f>"'"&amp;$C1320&amp;"'!$E$52:$Y$52"</f>
        <v>'BLD_CH'!$E$52:$Y$52</v>
      </c>
      <c r="H1320" s="381">
        <f ca="1">IF(IFERROR(INDEX(DATA_PROPERTY_MASTER!$E$5:$E$21,MATCH($C1320,DATA_PROPERTY_MASTER!$A$5:$A$21,0))="Yes",FALSE),IFERROR(INDEX(INDIRECT("'"&amp;$C1320&amp;"'!$E$52:$Y$52"),1,MATCH($D1320,INDIRECT("'"&amp;$C1320&amp;"'!$E$12:$Y$12"),0)),0),0)</f>
        <v>458335.35744587018</v>
      </c>
      <c r="I1320" s="366" t="s">
        <v>1685</v>
      </c>
      <c r="J1320" s="348" t="str">
        <f t="shared" ca="1" si="40"/>
        <v>OK</v>
      </c>
      <c r="K1320" s="366" t="s">
        <v>1710</v>
      </c>
      <c r="L1320" s="366" t="s">
        <v>2246</v>
      </c>
      <c r="M1320" s="350" t="str">
        <f>IF($B1320="Portfolio","Portfolio",IFERROR(INDEX(DATA_ASSET_CLASSIFICATION!$B$8:$B$24,MATCH($C1320,DATA_ASSET_CLASSIFICATION!$A$8:$A$24,0)),"Review"))</f>
        <v>Capilano House</v>
      </c>
      <c r="N1320" s="350" t="str">
        <f ca="1">IF($B1320="Portfolio","Portfolio",IFERROR(INDEX(DATA_ASSET_CLASSIFICATION!$U$8:$U$24,MATCH($C1320,DATA_ASSET_CLASSIFICATION!$A$8:$A$24,0)),"Review"))</f>
        <v>Stable</v>
      </c>
      <c r="O1320" s="350" t="str">
        <f ca="1">IF($B1320="Portfolio","Portfolio",IFERROR(INDEX(DATA_ASSET_CLASSIFICATION!$AB$8:$AB$13,MATCH($N1320,DATA_ASSET_CLASSIFICATION!$AA$8:$AA$13,0)),"Review"))</f>
        <v>Bucket 2 · Legacy</v>
      </c>
      <c r="P1320" s="350" t="str">
        <f>IF($B1320="Portfolio","Portfolio",IFERROR(INDEX(DATA_ASSET_CLASSIFICATION!$C$8:$C$24,MATCH($C1320,DATA_ASSET_CLASSIFICATION!$A$8:$A$24,0)),"Review"))</f>
        <v>Yes</v>
      </c>
      <c r="Q1320" s="350" t="str">
        <f t="shared" ca="1" si="41"/>
        <v>OK</v>
      </c>
    </row>
    <row r="1321" spans="1:17">
      <c r="A1321" s="366" t="s">
        <v>3277</v>
      </c>
      <c r="B1321" s="366" t="s">
        <v>231</v>
      </c>
      <c r="C1321" s="348" t="str">
        <f>DATA_PROPERTY_MASTER!$A$8</f>
        <v>BLD_CH</v>
      </c>
      <c r="D1321" s="380">
        <f>'00_PORTFOLIO ROLLUP'!N$12</f>
        <v>2034</v>
      </c>
      <c r="E1321" s="366" t="s">
        <v>1683</v>
      </c>
      <c r="F1321" s="366" t="s">
        <v>27</v>
      </c>
      <c r="G1321" s="348" t="str">
        <f>"'"&amp;$C1321&amp;"'!$E$54:$Y$54"</f>
        <v>'BLD_CH'!$E$54:$Y$54</v>
      </c>
      <c r="H1321" s="381">
        <f ca="1">IF(IFERROR(INDEX(DATA_PROPERTY_MASTER!$E$5:$E$21,MATCH($C1321,DATA_PROPERTY_MASTER!$A$5:$A$21,0))="Yes",FALSE),IFERROR(INDEX(INDIRECT("'"&amp;$C1321&amp;"'!$E$54:$Y$54"),1,MATCH($D1321,INDIRECT("'"&amp;$C1321&amp;"'!$E$12:$Y$12"),0)),0),0)</f>
        <v>275001.21446752211</v>
      </c>
      <c r="I1321" s="366" t="s">
        <v>1690</v>
      </c>
      <c r="J1321" s="348" t="str">
        <f t="shared" ca="1" si="40"/>
        <v>OK</v>
      </c>
      <c r="K1321" s="366" t="s">
        <v>1714</v>
      </c>
      <c r="L1321" s="366" t="s">
        <v>2248</v>
      </c>
      <c r="M1321" s="350" t="str">
        <f>IF($B1321="Portfolio","Portfolio",IFERROR(INDEX(DATA_ASSET_CLASSIFICATION!$B$8:$B$24,MATCH($C1321,DATA_ASSET_CLASSIFICATION!$A$8:$A$24,0)),"Review"))</f>
        <v>Capilano House</v>
      </c>
      <c r="N1321" s="350" t="str">
        <f ca="1">IF($B1321="Portfolio","Portfolio",IFERROR(INDEX(DATA_ASSET_CLASSIFICATION!$U$8:$U$24,MATCH($C1321,DATA_ASSET_CLASSIFICATION!$A$8:$A$24,0)),"Review"))</f>
        <v>Stable</v>
      </c>
      <c r="O1321" s="350" t="str">
        <f ca="1">IF($B1321="Portfolio","Portfolio",IFERROR(INDEX(DATA_ASSET_CLASSIFICATION!$AB$8:$AB$13,MATCH($N1321,DATA_ASSET_CLASSIFICATION!$AA$8:$AA$13,0)),"Review"))</f>
        <v>Bucket 2 · Legacy</v>
      </c>
      <c r="P1321" s="350" t="str">
        <f>IF($B1321="Portfolio","Portfolio",IFERROR(INDEX(DATA_ASSET_CLASSIFICATION!$C$8:$C$24,MATCH($C1321,DATA_ASSET_CLASSIFICATION!$A$8:$A$24,0)),"Review"))</f>
        <v>Yes</v>
      </c>
      <c r="Q1321" s="350" t="str">
        <f t="shared" ca="1" si="41"/>
        <v>OK</v>
      </c>
    </row>
    <row r="1322" spans="1:17">
      <c r="A1322" s="366" t="s">
        <v>3278</v>
      </c>
      <c r="B1322" s="366" t="s">
        <v>231</v>
      </c>
      <c r="C1322" s="348" t="str">
        <f>DATA_PROPERTY_MASTER!$A$8</f>
        <v>BLD_CH</v>
      </c>
      <c r="D1322" s="380">
        <f>'00_PORTFOLIO ROLLUP'!N$12</f>
        <v>2034</v>
      </c>
      <c r="E1322" s="366" t="s">
        <v>1683</v>
      </c>
      <c r="F1322" s="366" t="s">
        <v>29</v>
      </c>
      <c r="G1322" s="348" t="str">
        <f>"'"&amp;$C1322&amp;"'!$E$56:$Y$56"</f>
        <v>'BLD_CH'!$E$56:$Y$56</v>
      </c>
      <c r="H1322" s="381">
        <f ca="1">IF(IFERROR(INDEX(DATA_PROPERTY_MASTER!$E$5:$E$21,MATCH($C1322,DATA_PROPERTY_MASTER!$A$5:$A$21,0))="Yes",FALSE),IFERROR(INDEX(INDIRECT("'"&amp;$C1322&amp;"'!$E$56:$Y$56"),1,MATCH($D1322,INDIRECT("'"&amp;$C1322&amp;"'!$E$12:$Y$12"),0)),0),0)</f>
        <v>183334.14297834807</v>
      </c>
      <c r="I1322" s="366" t="s">
        <v>1685</v>
      </c>
      <c r="J1322" s="348" t="str">
        <f t="shared" ca="1" si="40"/>
        <v>OK</v>
      </c>
      <c r="K1322" s="366" t="s">
        <v>1718</v>
      </c>
      <c r="L1322" s="366" t="s">
        <v>2250</v>
      </c>
      <c r="M1322" s="350" t="str">
        <f>IF($B1322="Portfolio","Portfolio",IFERROR(INDEX(DATA_ASSET_CLASSIFICATION!$B$8:$B$24,MATCH($C1322,DATA_ASSET_CLASSIFICATION!$A$8:$A$24,0)),"Review"))</f>
        <v>Capilano House</v>
      </c>
      <c r="N1322" s="350" t="str">
        <f ca="1">IF($B1322="Portfolio","Portfolio",IFERROR(INDEX(DATA_ASSET_CLASSIFICATION!$U$8:$U$24,MATCH($C1322,DATA_ASSET_CLASSIFICATION!$A$8:$A$24,0)),"Review"))</f>
        <v>Stable</v>
      </c>
      <c r="O1322" s="350" t="str">
        <f ca="1">IF($B1322="Portfolio","Portfolio",IFERROR(INDEX(DATA_ASSET_CLASSIFICATION!$AB$8:$AB$13,MATCH($N1322,DATA_ASSET_CLASSIFICATION!$AA$8:$AA$13,0)),"Review"))</f>
        <v>Bucket 2 · Legacy</v>
      </c>
      <c r="P1322" s="350" t="str">
        <f>IF($B1322="Portfolio","Portfolio",IFERROR(INDEX(DATA_ASSET_CLASSIFICATION!$C$8:$C$24,MATCH($C1322,DATA_ASSET_CLASSIFICATION!$A$8:$A$24,0)),"Review"))</f>
        <v>Yes</v>
      </c>
      <c r="Q1322" s="350" t="str">
        <f t="shared" ca="1" si="41"/>
        <v>OK</v>
      </c>
    </row>
    <row r="1323" spans="1:17">
      <c r="A1323" s="366" t="s">
        <v>3279</v>
      </c>
      <c r="B1323" s="366" t="s">
        <v>231</v>
      </c>
      <c r="C1323" s="348" t="str">
        <f>DATA_PROPERTY_MASTER!$A$8</f>
        <v>BLD_CH</v>
      </c>
      <c r="D1323" s="380">
        <f>'00_PORTFOLIO ROLLUP'!N$12</f>
        <v>2034</v>
      </c>
      <c r="E1323" s="366" t="s">
        <v>1721</v>
      </c>
      <c r="F1323" s="366" t="s">
        <v>31</v>
      </c>
      <c r="G1323" s="348" t="str">
        <f>"'"&amp;$C1323&amp;"'!$E$61:$Y$61"</f>
        <v>'BLD_CH'!$E$61:$Y$61</v>
      </c>
      <c r="H1323" s="381">
        <f ca="1">IF(IFERROR(INDEX(DATA_PROPERTY_MASTER!$E$5:$E$21,MATCH($C1323,DATA_PROPERTY_MASTER!$A$5:$A$21,0))="Yes",FALSE),IFERROR(INDEX(INDIRECT("'"&amp;$C1323&amp;"'!$E$61:$Y$61"),1,MATCH($D1323,INDIRECT("'"&amp;$C1323&amp;"'!$E$12:$Y$12"),0)),0),0)</f>
        <v>0</v>
      </c>
      <c r="I1323" s="366" t="s">
        <v>1690</v>
      </c>
      <c r="J1323" s="348" t="str">
        <f t="shared" ca="1" si="40"/>
        <v>OK</v>
      </c>
      <c r="K1323" s="366" t="s">
        <v>1723</v>
      </c>
      <c r="L1323" s="366" t="s">
        <v>2252</v>
      </c>
      <c r="M1323" s="350" t="str">
        <f>IF($B1323="Portfolio","Portfolio",IFERROR(INDEX(DATA_ASSET_CLASSIFICATION!$B$8:$B$24,MATCH($C1323,DATA_ASSET_CLASSIFICATION!$A$8:$A$24,0)),"Review"))</f>
        <v>Capilano House</v>
      </c>
      <c r="N1323" s="350" t="str">
        <f ca="1">IF($B1323="Portfolio","Portfolio",IFERROR(INDEX(DATA_ASSET_CLASSIFICATION!$U$8:$U$24,MATCH($C1323,DATA_ASSET_CLASSIFICATION!$A$8:$A$24,0)),"Review"))</f>
        <v>Stable</v>
      </c>
      <c r="O1323" s="350" t="str">
        <f ca="1">IF($B1323="Portfolio","Portfolio",IFERROR(INDEX(DATA_ASSET_CLASSIFICATION!$AB$8:$AB$13,MATCH($N1323,DATA_ASSET_CLASSIFICATION!$AA$8:$AA$13,0)),"Review"))</f>
        <v>Bucket 2 · Legacy</v>
      </c>
      <c r="P1323" s="350" t="str">
        <f>IF($B1323="Portfolio","Portfolio",IFERROR(INDEX(DATA_ASSET_CLASSIFICATION!$C$8:$C$24,MATCH($C1323,DATA_ASSET_CLASSIFICATION!$A$8:$A$24,0)),"Review"))</f>
        <v>Yes</v>
      </c>
      <c r="Q1323" s="350" t="str">
        <f t="shared" ca="1" si="41"/>
        <v>OK</v>
      </c>
    </row>
    <row r="1324" spans="1:17">
      <c r="A1324" s="366" t="s">
        <v>3280</v>
      </c>
      <c r="B1324" s="366" t="s">
        <v>231</v>
      </c>
      <c r="C1324" s="348" t="str">
        <f>DATA_PROPERTY_MASTER!$A$8</f>
        <v>BLD_CH</v>
      </c>
      <c r="D1324" s="380">
        <f>'00_PORTFOLIO ROLLUP'!N$12</f>
        <v>2034</v>
      </c>
      <c r="E1324" s="366" t="s">
        <v>1721</v>
      </c>
      <c r="F1324" s="366" t="s">
        <v>33</v>
      </c>
      <c r="G1324" s="348" t="str">
        <f>"'"&amp;$C1324&amp;"'!$E$62:$Y$62"</f>
        <v>'BLD_CH'!$E$62:$Y$62</v>
      </c>
      <c r="H1324" s="381">
        <f ca="1">IF(IFERROR(INDEX(DATA_PROPERTY_MASTER!$E$5:$E$21,MATCH($C1324,DATA_PROPERTY_MASTER!$A$5:$A$21,0))="Yes",FALSE),IFERROR(INDEX(INDIRECT("'"&amp;$C1324&amp;"'!$E$62:$Y$62"),1,MATCH($D1324,INDIRECT("'"&amp;$C1324&amp;"'!$E$12:$Y$12"),0)),0),0)</f>
        <v>0</v>
      </c>
      <c r="I1324" s="366" t="s">
        <v>1685</v>
      </c>
      <c r="J1324" s="348" t="str">
        <f t="shared" ca="1" si="40"/>
        <v>OK</v>
      </c>
      <c r="K1324" s="366" t="s">
        <v>1727</v>
      </c>
      <c r="L1324" s="366" t="s">
        <v>2254</v>
      </c>
      <c r="M1324" s="350" t="str">
        <f>IF($B1324="Portfolio","Portfolio",IFERROR(INDEX(DATA_ASSET_CLASSIFICATION!$B$8:$B$24,MATCH($C1324,DATA_ASSET_CLASSIFICATION!$A$8:$A$24,0)),"Review"))</f>
        <v>Capilano House</v>
      </c>
      <c r="N1324" s="350" t="str">
        <f ca="1">IF($B1324="Portfolio","Portfolio",IFERROR(INDEX(DATA_ASSET_CLASSIFICATION!$U$8:$U$24,MATCH($C1324,DATA_ASSET_CLASSIFICATION!$A$8:$A$24,0)),"Review"))</f>
        <v>Stable</v>
      </c>
      <c r="O1324" s="350" t="str">
        <f ca="1">IF($B1324="Portfolio","Portfolio",IFERROR(INDEX(DATA_ASSET_CLASSIFICATION!$AB$8:$AB$13,MATCH($N1324,DATA_ASSET_CLASSIFICATION!$AA$8:$AA$13,0)),"Review"))</f>
        <v>Bucket 2 · Legacy</v>
      </c>
      <c r="P1324" s="350" t="str">
        <f>IF($B1324="Portfolio","Portfolio",IFERROR(INDEX(DATA_ASSET_CLASSIFICATION!$C$8:$C$24,MATCH($C1324,DATA_ASSET_CLASSIFICATION!$A$8:$A$24,0)),"Review"))</f>
        <v>Yes</v>
      </c>
      <c r="Q1324" s="350" t="str">
        <f t="shared" ca="1" si="41"/>
        <v>OK</v>
      </c>
    </row>
    <row r="1325" spans="1:17">
      <c r="A1325" s="366" t="s">
        <v>3281</v>
      </c>
      <c r="B1325" s="366" t="s">
        <v>231</v>
      </c>
      <c r="C1325" s="348" t="str">
        <f>DATA_PROPERTY_MASTER!$A$8</f>
        <v>BLD_CH</v>
      </c>
      <c r="D1325" s="380">
        <f>'00_PORTFOLIO ROLLUP'!N$12</f>
        <v>2034</v>
      </c>
      <c r="E1325" s="366" t="s">
        <v>1721</v>
      </c>
      <c r="F1325" s="366" t="s">
        <v>35</v>
      </c>
      <c r="G1325" s="348" t="str">
        <f>"'"&amp;$C1325&amp;"'!$E$63:$Y$63"</f>
        <v>'BLD_CH'!$E$63:$Y$63</v>
      </c>
      <c r="H1325" s="381">
        <f ca="1">IF(IFERROR(INDEX(DATA_PROPERTY_MASTER!$E$5:$E$21,MATCH($C1325,DATA_PROPERTY_MASTER!$A$5:$A$21,0))="Yes",FALSE),IFERROR(INDEX(INDIRECT("'"&amp;$C1325&amp;"'!$E$63:$Y$63"),1,MATCH($D1325,INDIRECT("'"&amp;$C1325&amp;"'!$E$12:$Y$12"),0)),0),0)</f>
        <v>0</v>
      </c>
      <c r="I1325" s="366" t="s">
        <v>1731</v>
      </c>
      <c r="J1325" s="348" t="str">
        <f t="shared" ca="1" si="40"/>
        <v>OK</v>
      </c>
      <c r="K1325" s="366" t="s">
        <v>1732</v>
      </c>
      <c r="L1325" s="366" t="s">
        <v>2256</v>
      </c>
      <c r="M1325" s="350" t="str">
        <f>IF($B1325="Portfolio","Portfolio",IFERROR(INDEX(DATA_ASSET_CLASSIFICATION!$B$8:$B$24,MATCH($C1325,DATA_ASSET_CLASSIFICATION!$A$8:$A$24,0)),"Review"))</f>
        <v>Capilano House</v>
      </c>
      <c r="N1325" s="350" t="str">
        <f ca="1">IF($B1325="Portfolio","Portfolio",IFERROR(INDEX(DATA_ASSET_CLASSIFICATION!$U$8:$U$24,MATCH($C1325,DATA_ASSET_CLASSIFICATION!$A$8:$A$24,0)),"Review"))</f>
        <v>Stable</v>
      </c>
      <c r="O1325" s="350" t="str">
        <f ca="1">IF($B1325="Portfolio","Portfolio",IFERROR(INDEX(DATA_ASSET_CLASSIFICATION!$AB$8:$AB$13,MATCH($N1325,DATA_ASSET_CLASSIFICATION!$AA$8:$AA$13,0)),"Review"))</f>
        <v>Bucket 2 · Legacy</v>
      </c>
      <c r="P1325" s="350" t="str">
        <f>IF($B1325="Portfolio","Portfolio",IFERROR(INDEX(DATA_ASSET_CLASSIFICATION!$C$8:$C$24,MATCH($C1325,DATA_ASSET_CLASSIFICATION!$A$8:$A$24,0)),"Review"))</f>
        <v>Yes</v>
      </c>
      <c r="Q1325" s="350" t="str">
        <f t="shared" ca="1" si="41"/>
        <v>OK</v>
      </c>
    </row>
    <row r="1326" spans="1:17">
      <c r="A1326" s="366" t="s">
        <v>3282</v>
      </c>
      <c r="B1326" s="366" t="s">
        <v>231</v>
      </c>
      <c r="C1326" s="348" t="str">
        <f>DATA_PROPERTY_MASTER!$A$8</f>
        <v>BLD_CH</v>
      </c>
      <c r="D1326" s="380">
        <f>'00_PORTFOLIO ROLLUP'!N$12</f>
        <v>2034</v>
      </c>
      <c r="E1326" s="366" t="s">
        <v>1721</v>
      </c>
      <c r="F1326" s="366" t="s">
        <v>37</v>
      </c>
      <c r="G1326" s="348" t="str">
        <f>"'"&amp;$C1326&amp;"'!$E$63:$Y$63"</f>
        <v>'BLD_CH'!$E$63:$Y$63</v>
      </c>
      <c r="H1326" s="381">
        <f ca="1">IF(IFERROR(INDEX(DATA_PROPERTY_MASTER!$E$5:$E$21,MATCH($C1326,DATA_PROPERTY_MASTER!$A$5:$A$21,0))="Yes",FALSE),MAX(IFERROR(INDEX(INDIRECT("'"&amp;$C1326&amp;"'!$E$63:$Y$63"),1,MATCH($D1326,INDIRECT("'"&amp;$C1326&amp;"'!$E$12:$Y$12"),0)),0),0),0)</f>
        <v>0</v>
      </c>
      <c r="I1326" s="366" t="s">
        <v>1685</v>
      </c>
      <c r="J1326" s="348" t="str">
        <f t="shared" ca="1" si="40"/>
        <v>OK</v>
      </c>
      <c r="K1326" s="366" t="s">
        <v>1735</v>
      </c>
      <c r="L1326" s="366" t="s">
        <v>2258</v>
      </c>
      <c r="M1326" s="350" t="str">
        <f>IF($B1326="Portfolio","Portfolio",IFERROR(INDEX(DATA_ASSET_CLASSIFICATION!$B$8:$B$24,MATCH($C1326,DATA_ASSET_CLASSIFICATION!$A$8:$A$24,0)),"Review"))</f>
        <v>Capilano House</v>
      </c>
      <c r="N1326" s="350" t="str">
        <f ca="1">IF($B1326="Portfolio","Portfolio",IFERROR(INDEX(DATA_ASSET_CLASSIFICATION!$U$8:$U$24,MATCH($C1326,DATA_ASSET_CLASSIFICATION!$A$8:$A$24,0)),"Review"))</f>
        <v>Stable</v>
      </c>
      <c r="O1326" s="350" t="str">
        <f ca="1">IF($B1326="Portfolio","Portfolio",IFERROR(INDEX(DATA_ASSET_CLASSIFICATION!$AB$8:$AB$13,MATCH($N1326,DATA_ASSET_CLASSIFICATION!$AA$8:$AA$13,0)),"Review"))</f>
        <v>Bucket 2 · Legacy</v>
      </c>
      <c r="P1326" s="350" t="str">
        <f>IF($B1326="Portfolio","Portfolio",IFERROR(INDEX(DATA_ASSET_CLASSIFICATION!$C$8:$C$24,MATCH($C1326,DATA_ASSET_CLASSIFICATION!$A$8:$A$24,0)),"Review"))</f>
        <v>Yes</v>
      </c>
      <c r="Q1326" s="350" t="str">
        <f t="shared" ca="1" si="41"/>
        <v>OK</v>
      </c>
    </row>
    <row r="1327" spans="1:17">
      <c r="A1327" s="366" t="s">
        <v>3283</v>
      </c>
      <c r="B1327" s="366" t="s">
        <v>231</v>
      </c>
      <c r="C1327" s="348" t="str">
        <f>DATA_PROPERTY_MASTER!$A$8</f>
        <v>BLD_CH</v>
      </c>
      <c r="D1327" s="380">
        <f>'00_PORTFOLIO ROLLUP'!N$12</f>
        <v>2034</v>
      </c>
      <c r="E1327" s="366" t="s">
        <v>1721</v>
      </c>
      <c r="F1327" s="366" t="s">
        <v>39</v>
      </c>
      <c r="G1327" s="348" t="str">
        <f>"'"&amp;$C1327&amp;"'!$E$63:$Y$63"</f>
        <v>'BLD_CH'!$E$63:$Y$63</v>
      </c>
      <c r="H1327" s="381">
        <f ca="1">IF(IFERROR(INDEX(DATA_PROPERTY_MASTER!$E$5:$E$21,MATCH($C1327,DATA_PROPERTY_MASTER!$A$5:$A$21,0))="Yes",FALSE),MAX(-IFERROR(INDEX(INDIRECT("'"&amp;$C1327&amp;"'!$E$63:$Y$63"),1,MATCH($D1327,INDIRECT("'"&amp;$C1327&amp;"'!$E$12:$Y$12"),0)),0),0),0)</f>
        <v>0</v>
      </c>
      <c r="I1327" s="366" t="s">
        <v>1690</v>
      </c>
      <c r="J1327" s="348" t="str">
        <f t="shared" ca="1" si="40"/>
        <v>OK</v>
      </c>
      <c r="K1327" s="366" t="s">
        <v>1738</v>
      </c>
      <c r="L1327" s="366" t="s">
        <v>2260</v>
      </c>
      <c r="M1327" s="350" t="str">
        <f>IF($B1327="Portfolio","Portfolio",IFERROR(INDEX(DATA_ASSET_CLASSIFICATION!$B$8:$B$24,MATCH($C1327,DATA_ASSET_CLASSIFICATION!$A$8:$A$24,0)),"Review"))</f>
        <v>Capilano House</v>
      </c>
      <c r="N1327" s="350" t="str">
        <f ca="1">IF($B1327="Portfolio","Portfolio",IFERROR(INDEX(DATA_ASSET_CLASSIFICATION!$U$8:$U$24,MATCH($C1327,DATA_ASSET_CLASSIFICATION!$A$8:$A$24,0)),"Review"))</f>
        <v>Stable</v>
      </c>
      <c r="O1327" s="350" t="str">
        <f ca="1">IF($B1327="Portfolio","Portfolio",IFERROR(INDEX(DATA_ASSET_CLASSIFICATION!$AB$8:$AB$13,MATCH($N1327,DATA_ASSET_CLASSIFICATION!$AA$8:$AA$13,0)),"Review"))</f>
        <v>Bucket 2 · Legacy</v>
      </c>
      <c r="P1327" s="350" t="str">
        <f>IF($B1327="Portfolio","Portfolio",IFERROR(INDEX(DATA_ASSET_CLASSIFICATION!$C$8:$C$24,MATCH($C1327,DATA_ASSET_CLASSIFICATION!$A$8:$A$24,0)),"Review"))</f>
        <v>Yes</v>
      </c>
      <c r="Q1327" s="350" t="str">
        <f t="shared" ca="1" si="41"/>
        <v>OK</v>
      </c>
    </row>
    <row r="1328" spans="1:17">
      <c r="A1328" s="366" t="s">
        <v>3284</v>
      </c>
      <c r="B1328" s="366" t="s">
        <v>231</v>
      </c>
      <c r="C1328" s="348" t="str">
        <f>DATA_PROPERTY_MASTER!$A$8</f>
        <v>BLD_CH</v>
      </c>
      <c r="D1328" s="380">
        <f>'00_PORTFOLIO ROLLUP'!N$12</f>
        <v>2034</v>
      </c>
      <c r="E1328" s="366" t="s">
        <v>1741</v>
      </c>
      <c r="F1328" s="366" t="s">
        <v>41</v>
      </c>
      <c r="G1328" s="348" t="str">
        <f>"'"&amp;$C1328&amp;"'!rows 56 + positive row 63"</f>
        <v>'BLD_CH'!rows 56 + positive row 63</v>
      </c>
      <c r="H1328" s="381">
        <f ca="1">IF(IFERROR(INDEX(DATA_PROPERTY_MASTER!$E$5:$E$21,MATCH($C1328,DATA_PROPERTY_MASTER!$A$5:$A$21,0))="Yes",FALSE),IFERROR(INDEX(INDIRECT("'"&amp;$C1328&amp;"'!$E$56:$Y$56"),1,MATCH($D1328,INDIRECT("'"&amp;$C1328&amp;"'!$E$12:$Y$12"),0)),0)+MAX(IFERROR(INDEX(INDIRECT("'"&amp;$C1328&amp;"'!$E$63:$Y$63"),1,MATCH($D1328,INDIRECT("'"&amp;$C1328&amp;"'!$E$12:$Y$12"),0)),0),0),0)</f>
        <v>183334.14297834807</v>
      </c>
      <c r="I1328" s="366" t="s">
        <v>1685</v>
      </c>
      <c r="J1328" s="348" t="str">
        <f t="shared" ca="1" si="40"/>
        <v>OK</v>
      </c>
      <c r="K1328" s="366" t="s">
        <v>1742</v>
      </c>
      <c r="L1328" s="366" t="s">
        <v>2262</v>
      </c>
      <c r="M1328" s="350" t="str">
        <f>IF($B1328="Portfolio","Portfolio",IFERROR(INDEX(DATA_ASSET_CLASSIFICATION!$B$8:$B$24,MATCH($C1328,DATA_ASSET_CLASSIFICATION!$A$8:$A$24,0)),"Review"))</f>
        <v>Capilano House</v>
      </c>
      <c r="N1328" s="350" t="str">
        <f ca="1">IF($B1328="Portfolio","Portfolio",IFERROR(INDEX(DATA_ASSET_CLASSIFICATION!$U$8:$U$24,MATCH($C1328,DATA_ASSET_CLASSIFICATION!$A$8:$A$24,0)),"Review"))</f>
        <v>Stable</v>
      </c>
      <c r="O1328" s="350" t="str">
        <f ca="1">IF($B1328="Portfolio","Portfolio",IFERROR(INDEX(DATA_ASSET_CLASSIFICATION!$AB$8:$AB$13,MATCH($N1328,DATA_ASSET_CLASSIFICATION!$AA$8:$AA$13,0)),"Review"))</f>
        <v>Bucket 2 · Legacy</v>
      </c>
      <c r="P1328" s="350" t="str">
        <f>IF($B1328="Portfolio","Portfolio",IFERROR(INDEX(DATA_ASSET_CLASSIFICATION!$C$8:$C$24,MATCH($C1328,DATA_ASSET_CLASSIFICATION!$A$8:$A$24,0)),"Review"))</f>
        <v>Yes</v>
      </c>
      <c r="Q1328" s="350" t="str">
        <f t="shared" ca="1" si="41"/>
        <v>OK</v>
      </c>
    </row>
    <row r="1329" spans="1:17">
      <c r="A1329" s="366" t="s">
        <v>3285</v>
      </c>
      <c r="B1329" s="366" t="s">
        <v>231</v>
      </c>
      <c r="C1329" s="348" t="str">
        <f>DATA_PROPERTY_MASTER!$A$8</f>
        <v>BLD_CH</v>
      </c>
      <c r="D1329" s="380">
        <f>'00_PORTFOLIO ROLLUP'!N$12</f>
        <v>2034</v>
      </c>
      <c r="E1329" s="366" t="s">
        <v>1741</v>
      </c>
      <c r="F1329" s="366" t="s">
        <v>43</v>
      </c>
      <c r="G1329" s="348" t="str">
        <f>"'"&amp;$C1329&amp;"'!$E$68:$Y$68"</f>
        <v>'BLD_CH'!$E$68:$Y$68</v>
      </c>
      <c r="H1329" s="381">
        <f ca="1">IF(IFERROR(INDEX(DATA_PROPERTY_MASTER!$E$5:$E$21,MATCH($C1329,DATA_PROPERTY_MASTER!$A$5:$A$21,0))="Yes",FALSE),IFERROR(INDEX(INDIRECT("'"&amp;$C1329&amp;"'!$E$68:$Y$68"),1,MATCH($D1329,INDIRECT("'"&amp;$C1329&amp;"'!$E$12:$Y$12"),0)),0),0)</f>
        <v>183334.14297834807</v>
      </c>
      <c r="I1329" s="366" t="s">
        <v>1731</v>
      </c>
      <c r="J1329" s="348" t="str">
        <f t="shared" ca="1" si="40"/>
        <v>OK</v>
      </c>
      <c r="K1329" s="366" t="s">
        <v>1746</v>
      </c>
      <c r="L1329" s="366" t="s">
        <v>2264</v>
      </c>
      <c r="M1329" s="350" t="str">
        <f>IF($B1329="Portfolio","Portfolio",IFERROR(INDEX(DATA_ASSET_CLASSIFICATION!$B$8:$B$24,MATCH($C1329,DATA_ASSET_CLASSIFICATION!$A$8:$A$24,0)),"Review"))</f>
        <v>Capilano House</v>
      </c>
      <c r="N1329" s="350" t="str">
        <f ca="1">IF($B1329="Portfolio","Portfolio",IFERROR(INDEX(DATA_ASSET_CLASSIFICATION!$U$8:$U$24,MATCH($C1329,DATA_ASSET_CLASSIFICATION!$A$8:$A$24,0)),"Review"))</f>
        <v>Stable</v>
      </c>
      <c r="O1329" s="350" t="str">
        <f ca="1">IF($B1329="Portfolio","Portfolio",IFERROR(INDEX(DATA_ASSET_CLASSIFICATION!$AB$8:$AB$13,MATCH($N1329,DATA_ASSET_CLASSIFICATION!$AA$8:$AA$13,0)),"Review"))</f>
        <v>Bucket 2 · Legacy</v>
      </c>
      <c r="P1329" s="350" t="str">
        <f>IF($B1329="Portfolio","Portfolio",IFERROR(INDEX(DATA_ASSET_CLASSIFICATION!$C$8:$C$24,MATCH($C1329,DATA_ASSET_CLASSIFICATION!$A$8:$A$24,0)),"Review"))</f>
        <v>Yes</v>
      </c>
      <c r="Q1329" s="350" t="str">
        <f t="shared" ca="1" si="41"/>
        <v>OK</v>
      </c>
    </row>
    <row r="1330" spans="1:17">
      <c r="A1330" s="366" t="s">
        <v>3286</v>
      </c>
      <c r="B1330" s="366" t="s">
        <v>231</v>
      </c>
      <c r="C1330" s="348" t="str">
        <f>DATA_PROPERTY_MASTER!$A$8</f>
        <v>BLD_CH</v>
      </c>
      <c r="D1330" s="380">
        <f>'00_PORTFOLIO ROLLUP'!N$12</f>
        <v>2034</v>
      </c>
      <c r="E1330" s="366" t="s">
        <v>1741</v>
      </c>
      <c r="F1330" s="366" t="s">
        <v>1749</v>
      </c>
      <c r="G1330" s="348" t="str">
        <f>"'"&amp;$C1330&amp;"'!rows 56, 63, 68"</f>
        <v>'BLD_CH'!rows 56, 63, 68</v>
      </c>
      <c r="H1330" s="381">
        <f ca="1">IF(IFERROR(INDEX(DATA_PROPERTY_MASTER!$E$5:$E$21,MATCH($C1330,DATA_PROPERTY_MASTER!$A$5:$A$21,0))="Yes",FALSE),(IFERROR(INDEX(INDIRECT("'"&amp;$C1330&amp;"'!$E$56:$Y$56"),1,MATCH($D1330,INDIRECT("'"&amp;$C1330&amp;"'!$E$12:$Y$12"),0)),0)+MAX(IFERROR(INDEX(INDIRECT("'"&amp;$C1330&amp;"'!$E$63:$Y$63"),1,MATCH($D1330,INDIRECT("'"&amp;$C1330&amp;"'!$E$12:$Y$12"),0)),0),0))-(IFERROR(INDEX(INDIRECT("'"&amp;$C1330&amp;"'!$E$68:$Y$68"),1,MATCH($D1330,INDIRECT("'"&amp;$C1330&amp;"'!$E$12:$Y$12"),0)),0)),0)</f>
        <v>0</v>
      </c>
      <c r="I1330" s="366" t="s">
        <v>1750</v>
      </c>
      <c r="J1330" s="348" t="str">
        <f t="shared" ca="1" si="40"/>
        <v>OK</v>
      </c>
      <c r="K1330" s="366" t="s">
        <v>1751</v>
      </c>
      <c r="L1330" s="366" t="s">
        <v>2266</v>
      </c>
      <c r="M1330" s="350" t="str">
        <f>IF($B1330="Portfolio","Portfolio",IFERROR(INDEX(DATA_ASSET_CLASSIFICATION!$B$8:$B$24,MATCH($C1330,DATA_ASSET_CLASSIFICATION!$A$8:$A$24,0)),"Review"))</f>
        <v>Capilano House</v>
      </c>
      <c r="N1330" s="350" t="str">
        <f ca="1">IF($B1330="Portfolio","Portfolio",IFERROR(INDEX(DATA_ASSET_CLASSIFICATION!$U$8:$U$24,MATCH($C1330,DATA_ASSET_CLASSIFICATION!$A$8:$A$24,0)),"Review"))</f>
        <v>Stable</v>
      </c>
      <c r="O1330" s="350" t="str">
        <f ca="1">IF($B1330="Portfolio","Portfolio",IFERROR(INDEX(DATA_ASSET_CLASSIFICATION!$AB$8:$AB$13,MATCH($N1330,DATA_ASSET_CLASSIFICATION!$AA$8:$AA$13,0)),"Review"))</f>
        <v>Bucket 2 · Legacy</v>
      </c>
      <c r="P1330" s="350" t="str">
        <f>IF($B1330="Portfolio","Portfolio",IFERROR(INDEX(DATA_ASSET_CLASSIFICATION!$C$8:$C$24,MATCH($C1330,DATA_ASSET_CLASSIFICATION!$A$8:$A$24,0)),"Review"))</f>
        <v>Yes</v>
      </c>
      <c r="Q1330" s="350" t="str">
        <f t="shared" ca="1" si="41"/>
        <v>OK</v>
      </c>
    </row>
    <row r="1331" spans="1:17">
      <c r="A1331" s="366" t="s">
        <v>3287</v>
      </c>
      <c r="B1331" s="366" t="s">
        <v>231</v>
      </c>
      <c r="C1331" s="348" t="str">
        <f>DATA_PROPERTY_MASTER!$A$8</f>
        <v>BLD_CH</v>
      </c>
      <c r="D1331" s="380">
        <f>'00_PORTFOLIO ROLLUP'!O$12</f>
        <v>2035</v>
      </c>
      <c r="E1331" s="366" t="s">
        <v>1683</v>
      </c>
      <c r="F1331" s="366" t="s">
        <v>341</v>
      </c>
      <c r="G1331" s="348" t="str">
        <f>"'"&amp;$C1331&amp;"'!$E$24:$Y$24"</f>
        <v>'BLD_CH'!$E$24:$Y$24</v>
      </c>
      <c r="H1331" s="381">
        <f ca="1">IF(IFERROR(INDEX(DATA_PROPERTY_MASTER!$E$5:$E$21,MATCH($C1331,DATA_PROPERTY_MASTER!$A$5:$A$21,0))="Yes",FALSE),IFERROR(INDEX(INDIRECT("'"&amp;$C1331&amp;"'!$E$24:$Y$24"),1,MATCH($D1331,INDIRECT("'"&amp;$C1331&amp;"'!$E$12:$Y$12"),0)),0),0)</f>
        <v>1177049.8752139162</v>
      </c>
      <c r="I1331" s="366" t="s">
        <v>1685</v>
      </c>
      <c r="J1331" s="348" t="str">
        <f t="shared" ca="1" si="40"/>
        <v>OK</v>
      </c>
      <c r="K1331" s="366" t="s">
        <v>1686</v>
      </c>
      <c r="L1331" s="366" t="s">
        <v>2234</v>
      </c>
      <c r="M1331" s="350" t="str">
        <f>IF($B1331="Portfolio","Portfolio",IFERROR(INDEX(DATA_ASSET_CLASSIFICATION!$B$8:$B$24,MATCH($C1331,DATA_ASSET_CLASSIFICATION!$A$8:$A$24,0)),"Review"))</f>
        <v>Capilano House</v>
      </c>
      <c r="N1331" s="350" t="str">
        <f ca="1">IF($B1331="Portfolio","Portfolio",IFERROR(INDEX(DATA_ASSET_CLASSIFICATION!$U$8:$U$24,MATCH($C1331,DATA_ASSET_CLASSIFICATION!$A$8:$A$24,0)),"Review"))</f>
        <v>Stable</v>
      </c>
      <c r="O1331" s="350" t="str">
        <f ca="1">IF($B1331="Portfolio","Portfolio",IFERROR(INDEX(DATA_ASSET_CLASSIFICATION!$AB$8:$AB$13,MATCH($N1331,DATA_ASSET_CLASSIFICATION!$AA$8:$AA$13,0)),"Review"))</f>
        <v>Bucket 2 · Legacy</v>
      </c>
      <c r="P1331" s="350" t="str">
        <f>IF($B1331="Portfolio","Portfolio",IFERROR(INDEX(DATA_ASSET_CLASSIFICATION!$C$8:$C$24,MATCH($C1331,DATA_ASSET_CLASSIFICATION!$A$8:$A$24,0)),"Review"))</f>
        <v>Yes</v>
      </c>
      <c r="Q1331" s="350" t="str">
        <f t="shared" ca="1" si="41"/>
        <v>OK</v>
      </c>
    </row>
    <row r="1332" spans="1:17">
      <c r="A1332" s="366" t="s">
        <v>3288</v>
      </c>
      <c r="B1332" s="366" t="s">
        <v>231</v>
      </c>
      <c r="C1332" s="348" t="str">
        <f>DATA_PROPERTY_MASTER!$A$8</f>
        <v>BLD_CH</v>
      </c>
      <c r="D1332" s="380">
        <f>'00_PORTFOLIO ROLLUP'!O$12</f>
        <v>2035</v>
      </c>
      <c r="E1332" s="366" t="s">
        <v>1683</v>
      </c>
      <c r="F1332" s="366" t="s">
        <v>355</v>
      </c>
      <c r="G1332" s="348" t="str">
        <f>"'"&amp;$C1332&amp;"'!$E$39:$Y$39"</f>
        <v>'BLD_CH'!$E$39:$Y$39</v>
      </c>
      <c r="H1332" s="381">
        <f ca="1">IF(IFERROR(INDEX(DATA_PROPERTY_MASTER!$E$5:$E$21,MATCH($C1332,DATA_PROPERTY_MASTER!$A$5:$A$21,0))="Yes",FALSE),IFERROR(INDEX(INDIRECT("'"&amp;$C1332&amp;"'!$E$39:$Y$39"),1,MATCH($D1332,INDIRECT("'"&amp;$C1332&amp;"'!$E$12:$Y$12"),0)),0),0)</f>
        <v>713025.98616137938</v>
      </c>
      <c r="I1332" s="366" t="s">
        <v>1690</v>
      </c>
      <c r="J1332" s="348" t="str">
        <f t="shared" ca="1" si="40"/>
        <v>OK</v>
      </c>
      <c r="K1332" s="366" t="s">
        <v>1686</v>
      </c>
      <c r="L1332" s="366" t="s">
        <v>2236</v>
      </c>
      <c r="M1332" s="350" t="str">
        <f>IF($B1332="Portfolio","Portfolio",IFERROR(INDEX(DATA_ASSET_CLASSIFICATION!$B$8:$B$24,MATCH($C1332,DATA_ASSET_CLASSIFICATION!$A$8:$A$24,0)),"Review"))</f>
        <v>Capilano House</v>
      </c>
      <c r="N1332" s="350" t="str">
        <f ca="1">IF($B1332="Portfolio","Portfolio",IFERROR(INDEX(DATA_ASSET_CLASSIFICATION!$U$8:$U$24,MATCH($C1332,DATA_ASSET_CLASSIFICATION!$A$8:$A$24,0)),"Review"))</f>
        <v>Stable</v>
      </c>
      <c r="O1332" s="350" t="str">
        <f ca="1">IF($B1332="Portfolio","Portfolio",IFERROR(INDEX(DATA_ASSET_CLASSIFICATION!$AB$8:$AB$13,MATCH($N1332,DATA_ASSET_CLASSIFICATION!$AA$8:$AA$13,0)),"Review"))</f>
        <v>Bucket 2 · Legacy</v>
      </c>
      <c r="P1332" s="350" t="str">
        <f>IF($B1332="Portfolio","Portfolio",IFERROR(INDEX(DATA_ASSET_CLASSIFICATION!$C$8:$C$24,MATCH($C1332,DATA_ASSET_CLASSIFICATION!$A$8:$A$24,0)),"Review"))</f>
        <v>Yes</v>
      </c>
      <c r="Q1332" s="350" t="str">
        <f t="shared" ca="1" si="41"/>
        <v>OK</v>
      </c>
    </row>
    <row r="1333" spans="1:17">
      <c r="A1333" s="366" t="s">
        <v>3289</v>
      </c>
      <c r="B1333" s="366" t="s">
        <v>231</v>
      </c>
      <c r="C1333" s="348" t="str">
        <f>DATA_PROPERTY_MASTER!$A$8</f>
        <v>BLD_CH</v>
      </c>
      <c r="D1333" s="380">
        <f>'00_PORTFOLIO ROLLUP'!O$12</f>
        <v>2035</v>
      </c>
      <c r="E1333" s="366" t="s">
        <v>1683</v>
      </c>
      <c r="F1333" s="366" t="s">
        <v>19</v>
      </c>
      <c r="G1333" s="348" t="str">
        <f>"'"&amp;$C1333&amp;"'!$E$41:$Y$41"</f>
        <v>'BLD_CH'!$E$41:$Y$41</v>
      </c>
      <c r="H1333" s="381">
        <f ca="1">IF(IFERROR(INDEX(DATA_PROPERTY_MASTER!$E$5:$E$21,MATCH($C1333,DATA_PROPERTY_MASTER!$A$5:$A$21,0))="Yes",FALSE),IFERROR(INDEX(INDIRECT("'"&amp;$C1333&amp;"'!$E$41:$Y$41"),1,MATCH($D1333,INDIRECT("'"&amp;$C1333&amp;"'!$E$12:$Y$12"),0)),0),0)</f>
        <v>464023.8890525368</v>
      </c>
      <c r="I1333" s="366" t="s">
        <v>1685</v>
      </c>
      <c r="J1333" s="348" t="str">
        <f t="shared" ca="1" si="40"/>
        <v>OK</v>
      </c>
      <c r="K1333" s="366" t="s">
        <v>1694</v>
      </c>
      <c r="L1333" s="366" t="s">
        <v>2238</v>
      </c>
      <c r="M1333" s="350" t="str">
        <f>IF($B1333="Portfolio","Portfolio",IFERROR(INDEX(DATA_ASSET_CLASSIFICATION!$B$8:$B$24,MATCH($C1333,DATA_ASSET_CLASSIFICATION!$A$8:$A$24,0)),"Review"))</f>
        <v>Capilano House</v>
      </c>
      <c r="N1333" s="350" t="str">
        <f ca="1">IF($B1333="Portfolio","Portfolio",IFERROR(INDEX(DATA_ASSET_CLASSIFICATION!$U$8:$U$24,MATCH($C1333,DATA_ASSET_CLASSIFICATION!$A$8:$A$24,0)),"Review"))</f>
        <v>Stable</v>
      </c>
      <c r="O1333" s="350" t="str">
        <f ca="1">IF($B1333="Portfolio","Portfolio",IFERROR(INDEX(DATA_ASSET_CLASSIFICATION!$AB$8:$AB$13,MATCH($N1333,DATA_ASSET_CLASSIFICATION!$AA$8:$AA$13,0)),"Review"))</f>
        <v>Bucket 2 · Legacy</v>
      </c>
      <c r="P1333" s="350" t="str">
        <f>IF($B1333="Portfolio","Portfolio",IFERROR(INDEX(DATA_ASSET_CLASSIFICATION!$C$8:$C$24,MATCH($C1333,DATA_ASSET_CLASSIFICATION!$A$8:$A$24,0)),"Review"))</f>
        <v>Yes</v>
      </c>
      <c r="Q1333" s="350" t="str">
        <f t="shared" ca="1" si="41"/>
        <v>OK</v>
      </c>
    </row>
    <row r="1334" spans="1:17">
      <c r="A1334" s="366" t="s">
        <v>3290</v>
      </c>
      <c r="B1334" s="366" t="s">
        <v>231</v>
      </c>
      <c r="C1334" s="348" t="str">
        <f>DATA_PROPERTY_MASTER!$A$8</f>
        <v>BLD_CH</v>
      </c>
      <c r="D1334" s="380">
        <f>'00_PORTFOLIO ROLLUP'!O$12</f>
        <v>2035</v>
      </c>
      <c r="E1334" s="366" t="s">
        <v>1683</v>
      </c>
      <c r="F1334" s="366" t="s">
        <v>1697</v>
      </c>
      <c r="G1334" s="348" t="str">
        <f>"'"&amp;$C1334&amp;"'!$E$44:$Y$44"</f>
        <v>'BLD_CH'!$E$44:$Y$44</v>
      </c>
      <c r="H1334" s="381">
        <f ca="1">IF(IFERROR(INDEX(DATA_PROPERTY_MASTER!$E$5:$E$21,MATCH($C1334,DATA_PROPERTY_MASTER!$A$5:$A$21,0))="Yes",FALSE),IFERROR(INDEX(INDIRECT("'"&amp;$C1334&amp;"'!$E$44:$Y$44"),1,MATCH($D1334,INDIRECT("'"&amp;$C1334&amp;"'!$E$12:$Y$12"),0)),0),0)</f>
        <v>11702.346431949669</v>
      </c>
      <c r="I1334" s="366" t="s">
        <v>1690</v>
      </c>
      <c r="J1334" s="348" t="str">
        <f t="shared" ca="1" si="40"/>
        <v>OK</v>
      </c>
      <c r="K1334" s="366" t="s">
        <v>1699</v>
      </c>
      <c r="L1334" s="366" t="s">
        <v>2240</v>
      </c>
      <c r="M1334" s="350" t="str">
        <f>IF($B1334="Portfolio","Portfolio",IFERROR(INDEX(DATA_ASSET_CLASSIFICATION!$B$8:$B$24,MATCH($C1334,DATA_ASSET_CLASSIFICATION!$A$8:$A$24,0)),"Review"))</f>
        <v>Capilano House</v>
      </c>
      <c r="N1334" s="350" t="str">
        <f ca="1">IF($B1334="Portfolio","Portfolio",IFERROR(INDEX(DATA_ASSET_CLASSIFICATION!$U$8:$U$24,MATCH($C1334,DATA_ASSET_CLASSIFICATION!$A$8:$A$24,0)),"Review"))</f>
        <v>Stable</v>
      </c>
      <c r="O1334" s="350" t="str">
        <f ca="1">IF($B1334="Portfolio","Portfolio",IFERROR(INDEX(DATA_ASSET_CLASSIFICATION!$AB$8:$AB$13,MATCH($N1334,DATA_ASSET_CLASSIFICATION!$AA$8:$AA$13,0)),"Review"))</f>
        <v>Bucket 2 · Legacy</v>
      </c>
      <c r="P1334" s="350" t="str">
        <f>IF($B1334="Portfolio","Portfolio",IFERROR(INDEX(DATA_ASSET_CLASSIFICATION!$C$8:$C$24,MATCH($C1334,DATA_ASSET_CLASSIFICATION!$A$8:$A$24,0)),"Review"))</f>
        <v>Yes</v>
      </c>
      <c r="Q1334" s="350" t="str">
        <f t="shared" ca="1" si="41"/>
        <v>OK</v>
      </c>
    </row>
    <row r="1335" spans="1:17">
      <c r="A1335" s="366" t="s">
        <v>3291</v>
      </c>
      <c r="B1335" s="366" t="s">
        <v>231</v>
      </c>
      <c r="C1335" s="348" t="str">
        <f>DATA_PROPERTY_MASTER!$A$8</f>
        <v>BLD_CH</v>
      </c>
      <c r="D1335" s="380">
        <f>'00_PORTFOLIO ROLLUP'!O$12</f>
        <v>2035</v>
      </c>
      <c r="E1335" s="366" t="s">
        <v>1683</v>
      </c>
      <c r="F1335" s="366" t="s">
        <v>21</v>
      </c>
      <c r="G1335" s="348" t="str">
        <f>"'"&amp;$C1335&amp;"'!$E$45:$Y$45"</f>
        <v>'BLD_CH'!$E$45:$Y$45</v>
      </c>
      <c r="H1335" s="381">
        <f ca="1">IF(IFERROR(INDEX(DATA_PROPERTY_MASTER!$E$5:$E$21,MATCH($C1335,DATA_PROPERTY_MASTER!$A$5:$A$21,0))="Yes",FALSE),IFERROR(INDEX(INDIRECT("'"&amp;$C1335&amp;"'!$E$45:$Y$45"),1,MATCH($D1335,INDIRECT("'"&amp;$C1335&amp;"'!$E$12:$Y$12"),0)),0),0)</f>
        <v>452321.54262058716</v>
      </c>
      <c r="I1335" s="366" t="s">
        <v>1685</v>
      </c>
      <c r="J1335" s="348" t="str">
        <f t="shared" ca="1" si="40"/>
        <v>OK</v>
      </c>
      <c r="K1335" s="366" t="s">
        <v>1694</v>
      </c>
      <c r="L1335" s="366" t="s">
        <v>2242</v>
      </c>
      <c r="M1335" s="350" t="str">
        <f>IF($B1335="Portfolio","Portfolio",IFERROR(INDEX(DATA_ASSET_CLASSIFICATION!$B$8:$B$24,MATCH($C1335,DATA_ASSET_CLASSIFICATION!$A$8:$A$24,0)),"Review"))</f>
        <v>Capilano House</v>
      </c>
      <c r="N1335" s="350" t="str">
        <f ca="1">IF($B1335="Portfolio","Portfolio",IFERROR(INDEX(DATA_ASSET_CLASSIFICATION!$U$8:$U$24,MATCH($C1335,DATA_ASSET_CLASSIFICATION!$A$8:$A$24,0)),"Review"))</f>
        <v>Stable</v>
      </c>
      <c r="O1335" s="350" t="str">
        <f ca="1">IF($B1335="Portfolio","Portfolio",IFERROR(INDEX(DATA_ASSET_CLASSIFICATION!$AB$8:$AB$13,MATCH($N1335,DATA_ASSET_CLASSIFICATION!$AA$8:$AA$13,0)),"Review"))</f>
        <v>Bucket 2 · Legacy</v>
      </c>
      <c r="P1335" s="350" t="str">
        <f>IF($B1335="Portfolio","Portfolio",IFERROR(INDEX(DATA_ASSET_CLASSIFICATION!$C$8:$C$24,MATCH($C1335,DATA_ASSET_CLASSIFICATION!$A$8:$A$24,0)),"Review"))</f>
        <v>Yes</v>
      </c>
      <c r="Q1335" s="350" t="str">
        <f t="shared" ca="1" si="41"/>
        <v>OK</v>
      </c>
    </row>
    <row r="1336" spans="1:17">
      <c r="A1336" s="366" t="s">
        <v>3292</v>
      </c>
      <c r="B1336" s="366" t="s">
        <v>231</v>
      </c>
      <c r="C1336" s="348" t="str">
        <f>DATA_PROPERTY_MASTER!$A$8</f>
        <v>BLD_CH</v>
      </c>
      <c r="D1336" s="380">
        <f>'00_PORTFOLIO ROLLUP'!O$12</f>
        <v>2035</v>
      </c>
      <c r="E1336" s="366" t="s">
        <v>23</v>
      </c>
      <c r="F1336" s="366" t="s">
        <v>23</v>
      </c>
      <c r="G1336" s="348" t="str">
        <f>"'"&amp;$C1336&amp;"'!$E$48:$Y$48"</f>
        <v>'BLD_CH'!$E$48:$Y$48</v>
      </c>
      <c r="H1336" s="381">
        <f ca="1">IF(IFERROR(INDEX(DATA_PROPERTY_MASTER!$E$5:$E$21,MATCH($C1336,DATA_PROPERTY_MASTER!$A$5:$A$21,0))="Yes",FALSE),IFERROR(INDEX(INDIRECT("'"&amp;$C1336&amp;"'!$E$48:$Y$48"),1,MATCH($D1336,INDIRECT("'"&amp;$C1336&amp;"'!$E$12:$Y$12"),0)),0),0)</f>
        <v>0</v>
      </c>
      <c r="I1336" s="366" t="s">
        <v>1690</v>
      </c>
      <c r="J1336" s="348" t="str">
        <f t="shared" ca="1" si="40"/>
        <v>OK</v>
      </c>
      <c r="K1336" s="366" t="s">
        <v>1706</v>
      </c>
      <c r="L1336" s="366" t="s">
        <v>2244</v>
      </c>
      <c r="M1336" s="350" t="str">
        <f>IF($B1336="Portfolio","Portfolio",IFERROR(INDEX(DATA_ASSET_CLASSIFICATION!$B$8:$B$24,MATCH($C1336,DATA_ASSET_CLASSIFICATION!$A$8:$A$24,0)),"Review"))</f>
        <v>Capilano House</v>
      </c>
      <c r="N1336" s="350" t="str">
        <f ca="1">IF($B1336="Portfolio","Portfolio",IFERROR(INDEX(DATA_ASSET_CLASSIFICATION!$U$8:$U$24,MATCH($C1336,DATA_ASSET_CLASSIFICATION!$A$8:$A$24,0)),"Review"))</f>
        <v>Stable</v>
      </c>
      <c r="O1336" s="350" t="str">
        <f ca="1">IF($B1336="Portfolio","Portfolio",IFERROR(INDEX(DATA_ASSET_CLASSIFICATION!$AB$8:$AB$13,MATCH($N1336,DATA_ASSET_CLASSIFICATION!$AA$8:$AA$13,0)),"Review"))</f>
        <v>Bucket 2 · Legacy</v>
      </c>
      <c r="P1336" s="350" t="str">
        <f>IF($B1336="Portfolio","Portfolio",IFERROR(INDEX(DATA_ASSET_CLASSIFICATION!$C$8:$C$24,MATCH($C1336,DATA_ASSET_CLASSIFICATION!$A$8:$A$24,0)),"Review"))</f>
        <v>Yes</v>
      </c>
      <c r="Q1336" s="350" t="str">
        <f t="shared" ca="1" si="41"/>
        <v>OK</v>
      </c>
    </row>
    <row r="1337" spans="1:17">
      <c r="A1337" s="366" t="s">
        <v>3293</v>
      </c>
      <c r="B1337" s="366" t="s">
        <v>231</v>
      </c>
      <c r="C1337" s="348" t="str">
        <f>DATA_PROPERTY_MASTER!$A$8</f>
        <v>BLD_CH</v>
      </c>
      <c r="D1337" s="380">
        <f>'00_PORTFOLIO ROLLUP'!O$12</f>
        <v>2035</v>
      </c>
      <c r="E1337" s="366" t="s">
        <v>1683</v>
      </c>
      <c r="F1337" s="366" t="s">
        <v>25</v>
      </c>
      <c r="G1337" s="348" t="str">
        <f>"'"&amp;$C1337&amp;"'!$E$52:$Y$52"</f>
        <v>'BLD_CH'!$E$52:$Y$52</v>
      </c>
      <c r="H1337" s="381">
        <f ca="1">IF(IFERROR(INDEX(DATA_PROPERTY_MASTER!$E$5:$E$21,MATCH($C1337,DATA_PROPERTY_MASTER!$A$5:$A$21,0))="Yes",FALSE),IFERROR(INDEX(INDIRECT("'"&amp;$C1337&amp;"'!$E$52:$Y$52"),1,MATCH($D1337,INDIRECT("'"&amp;$C1337&amp;"'!$E$12:$Y$12"),0)),0),0)</f>
        <v>464023.8890525368</v>
      </c>
      <c r="I1337" s="366" t="s">
        <v>1685</v>
      </c>
      <c r="J1337" s="348" t="str">
        <f t="shared" ca="1" si="40"/>
        <v>OK</v>
      </c>
      <c r="K1337" s="366" t="s">
        <v>1710</v>
      </c>
      <c r="L1337" s="366" t="s">
        <v>2246</v>
      </c>
      <c r="M1337" s="350" t="str">
        <f>IF($B1337="Portfolio","Portfolio",IFERROR(INDEX(DATA_ASSET_CLASSIFICATION!$B$8:$B$24,MATCH($C1337,DATA_ASSET_CLASSIFICATION!$A$8:$A$24,0)),"Review"))</f>
        <v>Capilano House</v>
      </c>
      <c r="N1337" s="350" t="str">
        <f ca="1">IF($B1337="Portfolio","Portfolio",IFERROR(INDEX(DATA_ASSET_CLASSIFICATION!$U$8:$U$24,MATCH($C1337,DATA_ASSET_CLASSIFICATION!$A$8:$A$24,0)),"Review"))</f>
        <v>Stable</v>
      </c>
      <c r="O1337" s="350" t="str">
        <f ca="1">IF($B1337="Portfolio","Portfolio",IFERROR(INDEX(DATA_ASSET_CLASSIFICATION!$AB$8:$AB$13,MATCH($N1337,DATA_ASSET_CLASSIFICATION!$AA$8:$AA$13,0)),"Review"))</f>
        <v>Bucket 2 · Legacy</v>
      </c>
      <c r="P1337" s="350" t="str">
        <f>IF($B1337="Portfolio","Portfolio",IFERROR(INDEX(DATA_ASSET_CLASSIFICATION!$C$8:$C$24,MATCH($C1337,DATA_ASSET_CLASSIFICATION!$A$8:$A$24,0)),"Review"))</f>
        <v>Yes</v>
      </c>
      <c r="Q1337" s="350" t="str">
        <f t="shared" ca="1" si="41"/>
        <v>OK</v>
      </c>
    </row>
    <row r="1338" spans="1:17">
      <c r="A1338" s="366" t="s">
        <v>3294</v>
      </c>
      <c r="B1338" s="366" t="s">
        <v>231</v>
      </c>
      <c r="C1338" s="348" t="str">
        <f>DATA_PROPERTY_MASTER!$A$8</f>
        <v>BLD_CH</v>
      </c>
      <c r="D1338" s="380">
        <f>'00_PORTFOLIO ROLLUP'!O$12</f>
        <v>2035</v>
      </c>
      <c r="E1338" s="366" t="s">
        <v>1683</v>
      </c>
      <c r="F1338" s="366" t="s">
        <v>27</v>
      </c>
      <c r="G1338" s="348" t="str">
        <f>"'"&amp;$C1338&amp;"'!$E$54:$Y$54"</f>
        <v>'BLD_CH'!$E$54:$Y$54</v>
      </c>
      <c r="H1338" s="381">
        <f ca="1">IF(IFERROR(INDEX(DATA_PROPERTY_MASTER!$E$5:$E$21,MATCH($C1338,DATA_PROPERTY_MASTER!$A$5:$A$21,0))="Yes",FALSE),IFERROR(INDEX(INDIRECT("'"&amp;$C1338&amp;"'!$E$54:$Y$54"),1,MATCH($D1338,INDIRECT("'"&amp;$C1338&amp;"'!$E$12:$Y$12"),0)),0),0)</f>
        <v>278414.33343152207</v>
      </c>
      <c r="I1338" s="366" t="s">
        <v>1690</v>
      </c>
      <c r="J1338" s="348" t="str">
        <f t="shared" ca="1" si="40"/>
        <v>OK</v>
      </c>
      <c r="K1338" s="366" t="s">
        <v>1714</v>
      </c>
      <c r="L1338" s="366" t="s">
        <v>2248</v>
      </c>
      <c r="M1338" s="350" t="str">
        <f>IF($B1338="Portfolio","Portfolio",IFERROR(INDEX(DATA_ASSET_CLASSIFICATION!$B$8:$B$24,MATCH($C1338,DATA_ASSET_CLASSIFICATION!$A$8:$A$24,0)),"Review"))</f>
        <v>Capilano House</v>
      </c>
      <c r="N1338" s="350" t="str">
        <f ca="1">IF($B1338="Portfolio","Portfolio",IFERROR(INDEX(DATA_ASSET_CLASSIFICATION!$U$8:$U$24,MATCH($C1338,DATA_ASSET_CLASSIFICATION!$A$8:$A$24,0)),"Review"))</f>
        <v>Stable</v>
      </c>
      <c r="O1338" s="350" t="str">
        <f ca="1">IF($B1338="Portfolio","Portfolio",IFERROR(INDEX(DATA_ASSET_CLASSIFICATION!$AB$8:$AB$13,MATCH($N1338,DATA_ASSET_CLASSIFICATION!$AA$8:$AA$13,0)),"Review"))</f>
        <v>Bucket 2 · Legacy</v>
      </c>
      <c r="P1338" s="350" t="str">
        <f>IF($B1338="Portfolio","Portfolio",IFERROR(INDEX(DATA_ASSET_CLASSIFICATION!$C$8:$C$24,MATCH($C1338,DATA_ASSET_CLASSIFICATION!$A$8:$A$24,0)),"Review"))</f>
        <v>Yes</v>
      </c>
      <c r="Q1338" s="350" t="str">
        <f t="shared" ca="1" si="41"/>
        <v>OK</v>
      </c>
    </row>
    <row r="1339" spans="1:17">
      <c r="A1339" s="366" t="s">
        <v>3295</v>
      </c>
      <c r="B1339" s="366" t="s">
        <v>231</v>
      </c>
      <c r="C1339" s="348" t="str">
        <f>DATA_PROPERTY_MASTER!$A$8</f>
        <v>BLD_CH</v>
      </c>
      <c r="D1339" s="380">
        <f>'00_PORTFOLIO ROLLUP'!O$12</f>
        <v>2035</v>
      </c>
      <c r="E1339" s="366" t="s">
        <v>1683</v>
      </c>
      <c r="F1339" s="366" t="s">
        <v>29</v>
      </c>
      <c r="G1339" s="348" t="str">
        <f>"'"&amp;$C1339&amp;"'!$E$56:$Y$56"</f>
        <v>'BLD_CH'!$E$56:$Y$56</v>
      </c>
      <c r="H1339" s="381">
        <f ca="1">IF(IFERROR(INDEX(DATA_PROPERTY_MASTER!$E$5:$E$21,MATCH($C1339,DATA_PROPERTY_MASTER!$A$5:$A$21,0))="Yes",FALSE),IFERROR(INDEX(INDIRECT("'"&amp;$C1339&amp;"'!$E$56:$Y$56"),1,MATCH($D1339,INDIRECT("'"&amp;$C1339&amp;"'!$E$12:$Y$12"),0)),0),0)</f>
        <v>185609.55562101473</v>
      </c>
      <c r="I1339" s="366" t="s">
        <v>1685</v>
      </c>
      <c r="J1339" s="348" t="str">
        <f t="shared" ca="1" si="40"/>
        <v>OK</v>
      </c>
      <c r="K1339" s="366" t="s">
        <v>1718</v>
      </c>
      <c r="L1339" s="366" t="s">
        <v>2250</v>
      </c>
      <c r="M1339" s="350" t="str">
        <f>IF($B1339="Portfolio","Portfolio",IFERROR(INDEX(DATA_ASSET_CLASSIFICATION!$B$8:$B$24,MATCH($C1339,DATA_ASSET_CLASSIFICATION!$A$8:$A$24,0)),"Review"))</f>
        <v>Capilano House</v>
      </c>
      <c r="N1339" s="350" t="str">
        <f ca="1">IF($B1339="Portfolio","Portfolio",IFERROR(INDEX(DATA_ASSET_CLASSIFICATION!$U$8:$U$24,MATCH($C1339,DATA_ASSET_CLASSIFICATION!$A$8:$A$24,0)),"Review"))</f>
        <v>Stable</v>
      </c>
      <c r="O1339" s="350" t="str">
        <f ca="1">IF($B1339="Portfolio","Portfolio",IFERROR(INDEX(DATA_ASSET_CLASSIFICATION!$AB$8:$AB$13,MATCH($N1339,DATA_ASSET_CLASSIFICATION!$AA$8:$AA$13,0)),"Review"))</f>
        <v>Bucket 2 · Legacy</v>
      </c>
      <c r="P1339" s="350" t="str">
        <f>IF($B1339="Portfolio","Portfolio",IFERROR(INDEX(DATA_ASSET_CLASSIFICATION!$C$8:$C$24,MATCH($C1339,DATA_ASSET_CLASSIFICATION!$A$8:$A$24,0)),"Review"))</f>
        <v>Yes</v>
      </c>
      <c r="Q1339" s="350" t="str">
        <f t="shared" ca="1" si="41"/>
        <v>OK</v>
      </c>
    </row>
    <row r="1340" spans="1:17">
      <c r="A1340" s="366" t="s">
        <v>3296</v>
      </c>
      <c r="B1340" s="366" t="s">
        <v>231</v>
      </c>
      <c r="C1340" s="348" t="str">
        <f>DATA_PROPERTY_MASTER!$A$8</f>
        <v>BLD_CH</v>
      </c>
      <c r="D1340" s="380">
        <f>'00_PORTFOLIO ROLLUP'!O$12</f>
        <v>2035</v>
      </c>
      <c r="E1340" s="366" t="s">
        <v>1721</v>
      </c>
      <c r="F1340" s="366" t="s">
        <v>31</v>
      </c>
      <c r="G1340" s="348" t="str">
        <f>"'"&amp;$C1340&amp;"'!$E$61:$Y$61"</f>
        <v>'BLD_CH'!$E$61:$Y$61</v>
      </c>
      <c r="H1340" s="381">
        <f ca="1">IF(IFERROR(INDEX(DATA_PROPERTY_MASTER!$E$5:$E$21,MATCH($C1340,DATA_PROPERTY_MASTER!$A$5:$A$21,0))="Yes",FALSE),IFERROR(INDEX(INDIRECT("'"&amp;$C1340&amp;"'!$E$61:$Y$61"),1,MATCH($D1340,INDIRECT("'"&amp;$C1340&amp;"'!$E$12:$Y$12"),0)),0),0)</f>
        <v>0</v>
      </c>
      <c r="I1340" s="366" t="s">
        <v>1690</v>
      </c>
      <c r="J1340" s="348" t="str">
        <f t="shared" ca="1" si="40"/>
        <v>OK</v>
      </c>
      <c r="K1340" s="366" t="s">
        <v>1723</v>
      </c>
      <c r="L1340" s="366" t="s">
        <v>2252</v>
      </c>
      <c r="M1340" s="350" t="str">
        <f>IF($B1340="Portfolio","Portfolio",IFERROR(INDEX(DATA_ASSET_CLASSIFICATION!$B$8:$B$24,MATCH($C1340,DATA_ASSET_CLASSIFICATION!$A$8:$A$24,0)),"Review"))</f>
        <v>Capilano House</v>
      </c>
      <c r="N1340" s="350" t="str">
        <f ca="1">IF($B1340="Portfolio","Portfolio",IFERROR(INDEX(DATA_ASSET_CLASSIFICATION!$U$8:$U$24,MATCH($C1340,DATA_ASSET_CLASSIFICATION!$A$8:$A$24,0)),"Review"))</f>
        <v>Stable</v>
      </c>
      <c r="O1340" s="350" t="str">
        <f ca="1">IF($B1340="Portfolio","Portfolio",IFERROR(INDEX(DATA_ASSET_CLASSIFICATION!$AB$8:$AB$13,MATCH($N1340,DATA_ASSET_CLASSIFICATION!$AA$8:$AA$13,0)),"Review"))</f>
        <v>Bucket 2 · Legacy</v>
      </c>
      <c r="P1340" s="350" t="str">
        <f>IF($B1340="Portfolio","Portfolio",IFERROR(INDEX(DATA_ASSET_CLASSIFICATION!$C$8:$C$24,MATCH($C1340,DATA_ASSET_CLASSIFICATION!$A$8:$A$24,0)),"Review"))</f>
        <v>Yes</v>
      </c>
      <c r="Q1340" s="350" t="str">
        <f t="shared" ca="1" si="41"/>
        <v>OK</v>
      </c>
    </row>
    <row r="1341" spans="1:17">
      <c r="A1341" s="366" t="s">
        <v>3297</v>
      </c>
      <c r="B1341" s="366" t="s">
        <v>231</v>
      </c>
      <c r="C1341" s="348" t="str">
        <f>DATA_PROPERTY_MASTER!$A$8</f>
        <v>BLD_CH</v>
      </c>
      <c r="D1341" s="380">
        <f>'00_PORTFOLIO ROLLUP'!O$12</f>
        <v>2035</v>
      </c>
      <c r="E1341" s="366" t="s">
        <v>1721</v>
      </c>
      <c r="F1341" s="366" t="s">
        <v>33</v>
      </c>
      <c r="G1341" s="348" t="str">
        <f>"'"&amp;$C1341&amp;"'!$E$62:$Y$62"</f>
        <v>'BLD_CH'!$E$62:$Y$62</v>
      </c>
      <c r="H1341" s="381">
        <f ca="1">IF(IFERROR(INDEX(DATA_PROPERTY_MASTER!$E$5:$E$21,MATCH($C1341,DATA_PROPERTY_MASTER!$A$5:$A$21,0))="Yes",FALSE),IFERROR(INDEX(INDIRECT("'"&amp;$C1341&amp;"'!$E$62:$Y$62"),1,MATCH($D1341,INDIRECT("'"&amp;$C1341&amp;"'!$E$12:$Y$12"),0)),0),0)</f>
        <v>0</v>
      </c>
      <c r="I1341" s="366" t="s">
        <v>1685</v>
      </c>
      <c r="J1341" s="348" t="str">
        <f t="shared" ca="1" si="40"/>
        <v>OK</v>
      </c>
      <c r="K1341" s="366" t="s">
        <v>1727</v>
      </c>
      <c r="L1341" s="366" t="s">
        <v>2254</v>
      </c>
      <c r="M1341" s="350" t="str">
        <f>IF($B1341="Portfolio","Portfolio",IFERROR(INDEX(DATA_ASSET_CLASSIFICATION!$B$8:$B$24,MATCH($C1341,DATA_ASSET_CLASSIFICATION!$A$8:$A$24,0)),"Review"))</f>
        <v>Capilano House</v>
      </c>
      <c r="N1341" s="350" t="str">
        <f ca="1">IF($B1341="Portfolio","Portfolio",IFERROR(INDEX(DATA_ASSET_CLASSIFICATION!$U$8:$U$24,MATCH($C1341,DATA_ASSET_CLASSIFICATION!$A$8:$A$24,0)),"Review"))</f>
        <v>Stable</v>
      </c>
      <c r="O1341" s="350" t="str">
        <f ca="1">IF($B1341="Portfolio","Portfolio",IFERROR(INDEX(DATA_ASSET_CLASSIFICATION!$AB$8:$AB$13,MATCH($N1341,DATA_ASSET_CLASSIFICATION!$AA$8:$AA$13,0)),"Review"))</f>
        <v>Bucket 2 · Legacy</v>
      </c>
      <c r="P1341" s="350" t="str">
        <f>IF($B1341="Portfolio","Portfolio",IFERROR(INDEX(DATA_ASSET_CLASSIFICATION!$C$8:$C$24,MATCH($C1341,DATA_ASSET_CLASSIFICATION!$A$8:$A$24,0)),"Review"))</f>
        <v>Yes</v>
      </c>
      <c r="Q1341" s="350" t="str">
        <f t="shared" ca="1" si="41"/>
        <v>OK</v>
      </c>
    </row>
    <row r="1342" spans="1:17">
      <c r="A1342" s="366" t="s">
        <v>3298</v>
      </c>
      <c r="B1342" s="366" t="s">
        <v>231</v>
      </c>
      <c r="C1342" s="348" t="str">
        <f>DATA_PROPERTY_MASTER!$A$8</f>
        <v>BLD_CH</v>
      </c>
      <c r="D1342" s="380">
        <f>'00_PORTFOLIO ROLLUP'!O$12</f>
        <v>2035</v>
      </c>
      <c r="E1342" s="366" t="s">
        <v>1721</v>
      </c>
      <c r="F1342" s="366" t="s">
        <v>35</v>
      </c>
      <c r="G1342" s="348" t="str">
        <f>"'"&amp;$C1342&amp;"'!$E$63:$Y$63"</f>
        <v>'BLD_CH'!$E$63:$Y$63</v>
      </c>
      <c r="H1342" s="381">
        <f ca="1">IF(IFERROR(INDEX(DATA_PROPERTY_MASTER!$E$5:$E$21,MATCH($C1342,DATA_PROPERTY_MASTER!$A$5:$A$21,0))="Yes",FALSE),IFERROR(INDEX(INDIRECT("'"&amp;$C1342&amp;"'!$E$63:$Y$63"),1,MATCH($D1342,INDIRECT("'"&amp;$C1342&amp;"'!$E$12:$Y$12"),0)),0),0)</f>
        <v>0</v>
      </c>
      <c r="I1342" s="366" t="s">
        <v>1731</v>
      </c>
      <c r="J1342" s="348" t="str">
        <f t="shared" ca="1" si="40"/>
        <v>OK</v>
      </c>
      <c r="K1342" s="366" t="s">
        <v>1732</v>
      </c>
      <c r="L1342" s="366" t="s">
        <v>2256</v>
      </c>
      <c r="M1342" s="350" t="str">
        <f>IF($B1342="Portfolio","Portfolio",IFERROR(INDEX(DATA_ASSET_CLASSIFICATION!$B$8:$B$24,MATCH($C1342,DATA_ASSET_CLASSIFICATION!$A$8:$A$24,0)),"Review"))</f>
        <v>Capilano House</v>
      </c>
      <c r="N1342" s="350" t="str">
        <f ca="1">IF($B1342="Portfolio","Portfolio",IFERROR(INDEX(DATA_ASSET_CLASSIFICATION!$U$8:$U$24,MATCH($C1342,DATA_ASSET_CLASSIFICATION!$A$8:$A$24,0)),"Review"))</f>
        <v>Stable</v>
      </c>
      <c r="O1342" s="350" t="str">
        <f ca="1">IF($B1342="Portfolio","Portfolio",IFERROR(INDEX(DATA_ASSET_CLASSIFICATION!$AB$8:$AB$13,MATCH($N1342,DATA_ASSET_CLASSIFICATION!$AA$8:$AA$13,0)),"Review"))</f>
        <v>Bucket 2 · Legacy</v>
      </c>
      <c r="P1342" s="350" t="str">
        <f>IF($B1342="Portfolio","Portfolio",IFERROR(INDEX(DATA_ASSET_CLASSIFICATION!$C$8:$C$24,MATCH($C1342,DATA_ASSET_CLASSIFICATION!$A$8:$A$24,0)),"Review"))</f>
        <v>Yes</v>
      </c>
      <c r="Q1342" s="350" t="str">
        <f t="shared" ca="1" si="41"/>
        <v>OK</v>
      </c>
    </row>
    <row r="1343" spans="1:17">
      <c r="A1343" s="366" t="s">
        <v>3299</v>
      </c>
      <c r="B1343" s="366" t="s">
        <v>231</v>
      </c>
      <c r="C1343" s="348" t="str">
        <f>DATA_PROPERTY_MASTER!$A$8</f>
        <v>BLD_CH</v>
      </c>
      <c r="D1343" s="380">
        <f>'00_PORTFOLIO ROLLUP'!O$12</f>
        <v>2035</v>
      </c>
      <c r="E1343" s="366" t="s">
        <v>1721</v>
      </c>
      <c r="F1343" s="366" t="s">
        <v>37</v>
      </c>
      <c r="G1343" s="348" t="str">
        <f>"'"&amp;$C1343&amp;"'!$E$63:$Y$63"</f>
        <v>'BLD_CH'!$E$63:$Y$63</v>
      </c>
      <c r="H1343" s="381">
        <f ca="1">IF(IFERROR(INDEX(DATA_PROPERTY_MASTER!$E$5:$E$21,MATCH($C1343,DATA_PROPERTY_MASTER!$A$5:$A$21,0))="Yes",FALSE),MAX(IFERROR(INDEX(INDIRECT("'"&amp;$C1343&amp;"'!$E$63:$Y$63"),1,MATCH($D1343,INDIRECT("'"&amp;$C1343&amp;"'!$E$12:$Y$12"),0)),0),0),0)</f>
        <v>0</v>
      </c>
      <c r="I1343" s="366" t="s">
        <v>1685</v>
      </c>
      <c r="J1343" s="348" t="str">
        <f t="shared" ca="1" si="40"/>
        <v>OK</v>
      </c>
      <c r="K1343" s="366" t="s">
        <v>1735</v>
      </c>
      <c r="L1343" s="366" t="s">
        <v>2258</v>
      </c>
      <c r="M1343" s="350" t="str">
        <f>IF($B1343="Portfolio","Portfolio",IFERROR(INDEX(DATA_ASSET_CLASSIFICATION!$B$8:$B$24,MATCH($C1343,DATA_ASSET_CLASSIFICATION!$A$8:$A$24,0)),"Review"))</f>
        <v>Capilano House</v>
      </c>
      <c r="N1343" s="350" t="str">
        <f ca="1">IF($B1343="Portfolio","Portfolio",IFERROR(INDEX(DATA_ASSET_CLASSIFICATION!$U$8:$U$24,MATCH($C1343,DATA_ASSET_CLASSIFICATION!$A$8:$A$24,0)),"Review"))</f>
        <v>Stable</v>
      </c>
      <c r="O1343" s="350" t="str">
        <f ca="1">IF($B1343="Portfolio","Portfolio",IFERROR(INDEX(DATA_ASSET_CLASSIFICATION!$AB$8:$AB$13,MATCH($N1343,DATA_ASSET_CLASSIFICATION!$AA$8:$AA$13,0)),"Review"))</f>
        <v>Bucket 2 · Legacy</v>
      </c>
      <c r="P1343" s="350" t="str">
        <f>IF($B1343="Portfolio","Portfolio",IFERROR(INDEX(DATA_ASSET_CLASSIFICATION!$C$8:$C$24,MATCH($C1343,DATA_ASSET_CLASSIFICATION!$A$8:$A$24,0)),"Review"))</f>
        <v>Yes</v>
      </c>
      <c r="Q1343" s="350" t="str">
        <f t="shared" ca="1" si="41"/>
        <v>OK</v>
      </c>
    </row>
    <row r="1344" spans="1:17">
      <c r="A1344" s="366" t="s">
        <v>3300</v>
      </c>
      <c r="B1344" s="366" t="s">
        <v>231</v>
      </c>
      <c r="C1344" s="348" t="str">
        <f>DATA_PROPERTY_MASTER!$A$8</f>
        <v>BLD_CH</v>
      </c>
      <c r="D1344" s="380">
        <f>'00_PORTFOLIO ROLLUP'!O$12</f>
        <v>2035</v>
      </c>
      <c r="E1344" s="366" t="s">
        <v>1721</v>
      </c>
      <c r="F1344" s="366" t="s">
        <v>39</v>
      </c>
      <c r="G1344" s="348" t="str">
        <f>"'"&amp;$C1344&amp;"'!$E$63:$Y$63"</f>
        <v>'BLD_CH'!$E$63:$Y$63</v>
      </c>
      <c r="H1344" s="381">
        <f ca="1">IF(IFERROR(INDEX(DATA_PROPERTY_MASTER!$E$5:$E$21,MATCH($C1344,DATA_PROPERTY_MASTER!$A$5:$A$21,0))="Yes",FALSE),MAX(-IFERROR(INDEX(INDIRECT("'"&amp;$C1344&amp;"'!$E$63:$Y$63"),1,MATCH($D1344,INDIRECT("'"&amp;$C1344&amp;"'!$E$12:$Y$12"),0)),0),0),0)</f>
        <v>0</v>
      </c>
      <c r="I1344" s="366" t="s">
        <v>1690</v>
      </c>
      <c r="J1344" s="348" t="str">
        <f t="shared" ca="1" si="40"/>
        <v>OK</v>
      </c>
      <c r="K1344" s="366" t="s">
        <v>1738</v>
      </c>
      <c r="L1344" s="366" t="s">
        <v>2260</v>
      </c>
      <c r="M1344" s="350" t="str">
        <f>IF($B1344="Portfolio","Portfolio",IFERROR(INDEX(DATA_ASSET_CLASSIFICATION!$B$8:$B$24,MATCH($C1344,DATA_ASSET_CLASSIFICATION!$A$8:$A$24,0)),"Review"))</f>
        <v>Capilano House</v>
      </c>
      <c r="N1344" s="350" t="str">
        <f ca="1">IF($B1344="Portfolio","Portfolio",IFERROR(INDEX(DATA_ASSET_CLASSIFICATION!$U$8:$U$24,MATCH($C1344,DATA_ASSET_CLASSIFICATION!$A$8:$A$24,0)),"Review"))</f>
        <v>Stable</v>
      </c>
      <c r="O1344" s="350" t="str">
        <f ca="1">IF($B1344="Portfolio","Portfolio",IFERROR(INDEX(DATA_ASSET_CLASSIFICATION!$AB$8:$AB$13,MATCH($N1344,DATA_ASSET_CLASSIFICATION!$AA$8:$AA$13,0)),"Review"))</f>
        <v>Bucket 2 · Legacy</v>
      </c>
      <c r="P1344" s="350" t="str">
        <f>IF($B1344="Portfolio","Portfolio",IFERROR(INDEX(DATA_ASSET_CLASSIFICATION!$C$8:$C$24,MATCH($C1344,DATA_ASSET_CLASSIFICATION!$A$8:$A$24,0)),"Review"))</f>
        <v>Yes</v>
      </c>
      <c r="Q1344" s="350" t="str">
        <f t="shared" ca="1" si="41"/>
        <v>OK</v>
      </c>
    </row>
    <row r="1345" spans="1:17">
      <c r="A1345" s="366" t="s">
        <v>3301</v>
      </c>
      <c r="B1345" s="366" t="s">
        <v>231</v>
      </c>
      <c r="C1345" s="348" t="str">
        <f>DATA_PROPERTY_MASTER!$A$8</f>
        <v>BLD_CH</v>
      </c>
      <c r="D1345" s="380">
        <f>'00_PORTFOLIO ROLLUP'!O$12</f>
        <v>2035</v>
      </c>
      <c r="E1345" s="366" t="s">
        <v>1741</v>
      </c>
      <c r="F1345" s="366" t="s">
        <v>41</v>
      </c>
      <c r="G1345" s="348" t="str">
        <f>"'"&amp;$C1345&amp;"'!rows 56 + positive row 63"</f>
        <v>'BLD_CH'!rows 56 + positive row 63</v>
      </c>
      <c r="H1345" s="381">
        <f ca="1">IF(IFERROR(INDEX(DATA_PROPERTY_MASTER!$E$5:$E$21,MATCH($C1345,DATA_PROPERTY_MASTER!$A$5:$A$21,0))="Yes",FALSE),IFERROR(INDEX(INDIRECT("'"&amp;$C1345&amp;"'!$E$56:$Y$56"),1,MATCH($D1345,INDIRECT("'"&amp;$C1345&amp;"'!$E$12:$Y$12"),0)),0)+MAX(IFERROR(INDEX(INDIRECT("'"&amp;$C1345&amp;"'!$E$63:$Y$63"),1,MATCH($D1345,INDIRECT("'"&amp;$C1345&amp;"'!$E$12:$Y$12"),0)),0),0),0)</f>
        <v>185609.55562101473</v>
      </c>
      <c r="I1345" s="366" t="s">
        <v>1685</v>
      </c>
      <c r="J1345" s="348" t="str">
        <f t="shared" ca="1" si="40"/>
        <v>OK</v>
      </c>
      <c r="K1345" s="366" t="s">
        <v>1742</v>
      </c>
      <c r="L1345" s="366" t="s">
        <v>2262</v>
      </c>
      <c r="M1345" s="350" t="str">
        <f>IF($B1345="Portfolio","Portfolio",IFERROR(INDEX(DATA_ASSET_CLASSIFICATION!$B$8:$B$24,MATCH($C1345,DATA_ASSET_CLASSIFICATION!$A$8:$A$24,0)),"Review"))</f>
        <v>Capilano House</v>
      </c>
      <c r="N1345" s="350" t="str">
        <f ca="1">IF($B1345="Portfolio","Portfolio",IFERROR(INDEX(DATA_ASSET_CLASSIFICATION!$U$8:$U$24,MATCH($C1345,DATA_ASSET_CLASSIFICATION!$A$8:$A$24,0)),"Review"))</f>
        <v>Stable</v>
      </c>
      <c r="O1345" s="350" t="str">
        <f ca="1">IF($B1345="Portfolio","Portfolio",IFERROR(INDEX(DATA_ASSET_CLASSIFICATION!$AB$8:$AB$13,MATCH($N1345,DATA_ASSET_CLASSIFICATION!$AA$8:$AA$13,0)),"Review"))</f>
        <v>Bucket 2 · Legacy</v>
      </c>
      <c r="P1345" s="350" t="str">
        <f>IF($B1345="Portfolio","Portfolio",IFERROR(INDEX(DATA_ASSET_CLASSIFICATION!$C$8:$C$24,MATCH($C1345,DATA_ASSET_CLASSIFICATION!$A$8:$A$24,0)),"Review"))</f>
        <v>Yes</v>
      </c>
      <c r="Q1345" s="350" t="str">
        <f t="shared" ca="1" si="41"/>
        <v>OK</v>
      </c>
    </row>
    <row r="1346" spans="1:17">
      <c r="A1346" s="366" t="s">
        <v>3302</v>
      </c>
      <c r="B1346" s="366" t="s">
        <v>231</v>
      </c>
      <c r="C1346" s="348" t="str">
        <f>DATA_PROPERTY_MASTER!$A$8</f>
        <v>BLD_CH</v>
      </c>
      <c r="D1346" s="380">
        <f>'00_PORTFOLIO ROLLUP'!O$12</f>
        <v>2035</v>
      </c>
      <c r="E1346" s="366" t="s">
        <v>1741</v>
      </c>
      <c r="F1346" s="366" t="s">
        <v>43</v>
      </c>
      <c r="G1346" s="348" t="str">
        <f>"'"&amp;$C1346&amp;"'!$E$68:$Y$68"</f>
        <v>'BLD_CH'!$E$68:$Y$68</v>
      </c>
      <c r="H1346" s="381">
        <f ca="1">IF(IFERROR(INDEX(DATA_PROPERTY_MASTER!$E$5:$E$21,MATCH($C1346,DATA_PROPERTY_MASTER!$A$5:$A$21,0))="Yes",FALSE),IFERROR(INDEX(INDIRECT("'"&amp;$C1346&amp;"'!$E$68:$Y$68"),1,MATCH($D1346,INDIRECT("'"&amp;$C1346&amp;"'!$E$12:$Y$12"),0)),0),0)</f>
        <v>185609.55562101473</v>
      </c>
      <c r="I1346" s="366" t="s">
        <v>1731</v>
      </c>
      <c r="J1346" s="348" t="str">
        <f t="shared" ca="1" si="40"/>
        <v>OK</v>
      </c>
      <c r="K1346" s="366" t="s">
        <v>1746</v>
      </c>
      <c r="L1346" s="366" t="s">
        <v>2264</v>
      </c>
      <c r="M1346" s="350" t="str">
        <f>IF($B1346="Portfolio","Portfolio",IFERROR(INDEX(DATA_ASSET_CLASSIFICATION!$B$8:$B$24,MATCH($C1346,DATA_ASSET_CLASSIFICATION!$A$8:$A$24,0)),"Review"))</f>
        <v>Capilano House</v>
      </c>
      <c r="N1346" s="350" t="str">
        <f ca="1">IF($B1346="Portfolio","Portfolio",IFERROR(INDEX(DATA_ASSET_CLASSIFICATION!$U$8:$U$24,MATCH($C1346,DATA_ASSET_CLASSIFICATION!$A$8:$A$24,0)),"Review"))</f>
        <v>Stable</v>
      </c>
      <c r="O1346" s="350" t="str">
        <f ca="1">IF($B1346="Portfolio","Portfolio",IFERROR(INDEX(DATA_ASSET_CLASSIFICATION!$AB$8:$AB$13,MATCH($N1346,DATA_ASSET_CLASSIFICATION!$AA$8:$AA$13,0)),"Review"))</f>
        <v>Bucket 2 · Legacy</v>
      </c>
      <c r="P1346" s="350" t="str">
        <f>IF($B1346="Portfolio","Portfolio",IFERROR(INDEX(DATA_ASSET_CLASSIFICATION!$C$8:$C$24,MATCH($C1346,DATA_ASSET_CLASSIFICATION!$A$8:$A$24,0)),"Review"))</f>
        <v>Yes</v>
      </c>
      <c r="Q1346" s="350" t="str">
        <f t="shared" ca="1" si="41"/>
        <v>OK</v>
      </c>
    </row>
    <row r="1347" spans="1:17">
      <c r="A1347" s="366" t="s">
        <v>3303</v>
      </c>
      <c r="B1347" s="366" t="s">
        <v>231</v>
      </c>
      <c r="C1347" s="348" t="str">
        <f>DATA_PROPERTY_MASTER!$A$8</f>
        <v>BLD_CH</v>
      </c>
      <c r="D1347" s="380">
        <f>'00_PORTFOLIO ROLLUP'!O$12</f>
        <v>2035</v>
      </c>
      <c r="E1347" s="366" t="s">
        <v>1741</v>
      </c>
      <c r="F1347" s="366" t="s">
        <v>1749</v>
      </c>
      <c r="G1347" s="348" t="str">
        <f>"'"&amp;$C1347&amp;"'!rows 56, 63, 68"</f>
        <v>'BLD_CH'!rows 56, 63, 68</v>
      </c>
      <c r="H1347" s="381">
        <f ca="1">IF(IFERROR(INDEX(DATA_PROPERTY_MASTER!$E$5:$E$21,MATCH($C1347,DATA_PROPERTY_MASTER!$A$5:$A$21,0))="Yes",FALSE),(IFERROR(INDEX(INDIRECT("'"&amp;$C1347&amp;"'!$E$56:$Y$56"),1,MATCH($D1347,INDIRECT("'"&amp;$C1347&amp;"'!$E$12:$Y$12"),0)),0)+MAX(IFERROR(INDEX(INDIRECT("'"&amp;$C1347&amp;"'!$E$63:$Y$63"),1,MATCH($D1347,INDIRECT("'"&amp;$C1347&amp;"'!$E$12:$Y$12"),0)),0),0))-(IFERROR(INDEX(INDIRECT("'"&amp;$C1347&amp;"'!$E$68:$Y$68"),1,MATCH($D1347,INDIRECT("'"&amp;$C1347&amp;"'!$E$12:$Y$12"),0)),0)),0)</f>
        <v>0</v>
      </c>
      <c r="I1347" s="366" t="s">
        <v>1750</v>
      </c>
      <c r="J1347" s="348" t="str">
        <f t="shared" ca="1" si="40"/>
        <v>OK</v>
      </c>
      <c r="K1347" s="366" t="s">
        <v>1751</v>
      </c>
      <c r="L1347" s="366" t="s">
        <v>2266</v>
      </c>
      <c r="M1347" s="350" t="str">
        <f>IF($B1347="Portfolio","Portfolio",IFERROR(INDEX(DATA_ASSET_CLASSIFICATION!$B$8:$B$24,MATCH($C1347,DATA_ASSET_CLASSIFICATION!$A$8:$A$24,0)),"Review"))</f>
        <v>Capilano House</v>
      </c>
      <c r="N1347" s="350" t="str">
        <f ca="1">IF($B1347="Portfolio","Portfolio",IFERROR(INDEX(DATA_ASSET_CLASSIFICATION!$U$8:$U$24,MATCH($C1347,DATA_ASSET_CLASSIFICATION!$A$8:$A$24,0)),"Review"))</f>
        <v>Stable</v>
      </c>
      <c r="O1347" s="350" t="str">
        <f ca="1">IF($B1347="Portfolio","Portfolio",IFERROR(INDEX(DATA_ASSET_CLASSIFICATION!$AB$8:$AB$13,MATCH($N1347,DATA_ASSET_CLASSIFICATION!$AA$8:$AA$13,0)),"Review"))</f>
        <v>Bucket 2 · Legacy</v>
      </c>
      <c r="P1347" s="350" t="str">
        <f>IF($B1347="Portfolio","Portfolio",IFERROR(INDEX(DATA_ASSET_CLASSIFICATION!$C$8:$C$24,MATCH($C1347,DATA_ASSET_CLASSIFICATION!$A$8:$A$24,0)),"Review"))</f>
        <v>Yes</v>
      </c>
      <c r="Q1347" s="350" t="str">
        <f t="shared" ca="1" si="41"/>
        <v>OK</v>
      </c>
    </row>
    <row r="1348" spans="1:17">
      <c r="A1348" s="366" t="s">
        <v>3304</v>
      </c>
      <c r="B1348" s="366" t="s">
        <v>231</v>
      </c>
      <c r="C1348" s="348" t="str">
        <f>DATA_PROPERTY_MASTER!$A$8</f>
        <v>BLD_CH</v>
      </c>
      <c r="D1348" s="380">
        <f>'00_PORTFOLIO ROLLUP'!P$12</f>
        <v>2036</v>
      </c>
      <c r="E1348" s="366" t="s">
        <v>1683</v>
      </c>
      <c r="F1348" s="366" t="s">
        <v>341</v>
      </c>
      <c r="G1348" s="348" t="str">
        <f>"'"&amp;$C1348&amp;"'!$E$24:$Y$24"</f>
        <v>'BLD_CH'!$E$24:$Y$24</v>
      </c>
      <c r="H1348" s="381">
        <f ca="1">IF(IFERROR(INDEX(DATA_PROPERTY_MASTER!$E$5:$E$21,MATCH($C1348,DATA_PROPERTY_MASTER!$A$5:$A$21,0))="Yes",FALSE),IFERROR(INDEX(INDIRECT("'"&amp;$C1348&amp;"'!$E$24:$Y$24"),1,MATCH($D1348,INDIRECT("'"&amp;$C1348&amp;"'!$E$12:$Y$12"),0)),0),0)</f>
        <v>1200590.8727181945</v>
      </c>
      <c r="I1348" s="366" t="s">
        <v>1685</v>
      </c>
      <c r="J1348" s="348" t="str">
        <f t="shared" ca="1" si="40"/>
        <v>OK</v>
      </c>
      <c r="K1348" s="366" t="s">
        <v>1686</v>
      </c>
      <c r="L1348" s="366" t="s">
        <v>2234</v>
      </c>
      <c r="M1348" s="350" t="str">
        <f>IF($B1348="Portfolio","Portfolio",IFERROR(INDEX(DATA_ASSET_CLASSIFICATION!$B$8:$B$24,MATCH($C1348,DATA_ASSET_CLASSIFICATION!$A$8:$A$24,0)),"Review"))</f>
        <v>Capilano House</v>
      </c>
      <c r="N1348" s="350" t="str">
        <f ca="1">IF($B1348="Portfolio","Portfolio",IFERROR(INDEX(DATA_ASSET_CLASSIFICATION!$U$8:$U$24,MATCH($C1348,DATA_ASSET_CLASSIFICATION!$A$8:$A$24,0)),"Review"))</f>
        <v>Stable</v>
      </c>
      <c r="O1348" s="350" t="str">
        <f ca="1">IF($B1348="Portfolio","Portfolio",IFERROR(INDEX(DATA_ASSET_CLASSIFICATION!$AB$8:$AB$13,MATCH($N1348,DATA_ASSET_CLASSIFICATION!$AA$8:$AA$13,0)),"Review"))</f>
        <v>Bucket 2 · Legacy</v>
      </c>
      <c r="P1348" s="350" t="str">
        <f>IF($B1348="Portfolio","Portfolio",IFERROR(INDEX(DATA_ASSET_CLASSIFICATION!$C$8:$C$24,MATCH($C1348,DATA_ASSET_CLASSIFICATION!$A$8:$A$24,0)),"Review"))</f>
        <v>Yes</v>
      </c>
      <c r="Q1348" s="350" t="str">
        <f t="shared" ca="1" si="41"/>
        <v>OK</v>
      </c>
    </row>
    <row r="1349" spans="1:17">
      <c r="A1349" s="366" t="s">
        <v>3305</v>
      </c>
      <c r="B1349" s="366" t="s">
        <v>231</v>
      </c>
      <c r="C1349" s="348" t="str">
        <f>DATA_PROPERTY_MASTER!$A$8</f>
        <v>BLD_CH</v>
      </c>
      <c r="D1349" s="380">
        <f>'00_PORTFOLIO ROLLUP'!P$12</f>
        <v>2036</v>
      </c>
      <c r="E1349" s="366" t="s">
        <v>1683</v>
      </c>
      <c r="F1349" s="366" t="s">
        <v>355</v>
      </c>
      <c r="G1349" s="348" t="str">
        <f>"'"&amp;$C1349&amp;"'!$E$39:$Y$39"</f>
        <v>'BLD_CH'!$E$39:$Y$39</v>
      </c>
      <c r="H1349" s="381">
        <f ca="1">IF(IFERROR(INDEX(DATA_PROPERTY_MASTER!$E$5:$E$21,MATCH($C1349,DATA_PROPERTY_MASTER!$A$5:$A$21,0))="Yes",FALSE),IFERROR(INDEX(INDIRECT("'"&amp;$C1349&amp;"'!$E$39:$Y$39"),1,MATCH($D1349,INDIRECT("'"&amp;$C1349&amp;"'!$E$12:$Y$12"),0)),0),0)</f>
        <v>730851.6358154139</v>
      </c>
      <c r="I1349" s="366" t="s">
        <v>1690</v>
      </c>
      <c r="J1349" s="348" t="str">
        <f t="shared" ref="J1349:J1412" ca="1" si="42">IF($F1349="Residual Funding Gap",IF($H1349&gt;0,"Funding Gap","OK"),IF(AND($F1349="Net Refinance Position",$H1349&lt;0),"Negative net refi position","OK"))</f>
        <v>OK</v>
      </c>
      <c r="K1349" s="366" t="s">
        <v>1686</v>
      </c>
      <c r="L1349" s="366" t="s">
        <v>2236</v>
      </c>
      <c r="M1349" s="350" t="str">
        <f>IF($B1349="Portfolio","Portfolio",IFERROR(INDEX(DATA_ASSET_CLASSIFICATION!$B$8:$B$24,MATCH($C1349,DATA_ASSET_CLASSIFICATION!$A$8:$A$24,0)),"Review"))</f>
        <v>Capilano House</v>
      </c>
      <c r="N1349" s="350" t="str">
        <f ca="1">IF($B1349="Portfolio","Portfolio",IFERROR(INDEX(DATA_ASSET_CLASSIFICATION!$U$8:$U$24,MATCH($C1349,DATA_ASSET_CLASSIFICATION!$A$8:$A$24,0)),"Review"))</f>
        <v>Stable</v>
      </c>
      <c r="O1349" s="350" t="str">
        <f ca="1">IF($B1349="Portfolio","Portfolio",IFERROR(INDEX(DATA_ASSET_CLASSIFICATION!$AB$8:$AB$13,MATCH($N1349,DATA_ASSET_CLASSIFICATION!$AA$8:$AA$13,0)),"Review"))</f>
        <v>Bucket 2 · Legacy</v>
      </c>
      <c r="P1349" s="350" t="str">
        <f>IF($B1349="Portfolio","Portfolio",IFERROR(INDEX(DATA_ASSET_CLASSIFICATION!$C$8:$C$24,MATCH($C1349,DATA_ASSET_CLASSIFICATION!$A$8:$A$24,0)),"Review"))</f>
        <v>Yes</v>
      </c>
      <c r="Q1349" s="350" t="str">
        <f t="shared" ref="Q1349:Q1412" ca="1" si="43">IF(AND($B1349="Property",$F1349="Residual Funding Gap",$H1349&gt;0),"Property Funding Gap",IF($J1349&lt;&gt;"OK",$J1349,"OK"))</f>
        <v>OK</v>
      </c>
    </row>
    <row r="1350" spans="1:17">
      <c r="A1350" s="366" t="s">
        <v>3306</v>
      </c>
      <c r="B1350" s="366" t="s">
        <v>231</v>
      </c>
      <c r="C1350" s="348" t="str">
        <f>DATA_PROPERTY_MASTER!$A$8</f>
        <v>BLD_CH</v>
      </c>
      <c r="D1350" s="380">
        <f>'00_PORTFOLIO ROLLUP'!P$12</f>
        <v>2036</v>
      </c>
      <c r="E1350" s="366" t="s">
        <v>1683</v>
      </c>
      <c r="F1350" s="366" t="s">
        <v>19</v>
      </c>
      <c r="G1350" s="348" t="str">
        <f>"'"&amp;$C1350&amp;"'!$E$41:$Y$41"</f>
        <v>'BLD_CH'!$E$41:$Y$41</v>
      </c>
      <c r="H1350" s="381">
        <f ca="1">IF(IFERROR(INDEX(DATA_PROPERTY_MASTER!$E$5:$E$21,MATCH($C1350,DATA_PROPERTY_MASTER!$A$5:$A$21,0))="Yes",FALSE),IFERROR(INDEX(INDIRECT("'"&amp;$C1350&amp;"'!$E$41:$Y$41"),1,MATCH($D1350,INDIRECT("'"&amp;$C1350&amp;"'!$E$12:$Y$12"),0)),0),0)</f>
        <v>469739.2369027806</v>
      </c>
      <c r="I1350" s="366" t="s">
        <v>1685</v>
      </c>
      <c r="J1350" s="348" t="str">
        <f t="shared" ca="1" si="42"/>
        <v>OK</v>
      </c>
      <c r="K1350" s="366" t="s">
        <v>1694</v>
      </c>
      <c r="L1350" s="366" t="s">
        <v>2238</v>
      </c>
      <c r="M1350" s="350" t="str">
        <f>IF($B1350="Portfolio","Portfolio",IFERROR(INDEX(DATA_ASSET_CLASSIFICATION!$B$8:$B$24,MATCH($C1350,DATA_ASSET_CLASSIFICATION!$A$8:$A$24,0)),"Review"))</f>
        <v>Capilano House</v>
      </c>
      <c r="N1350" s="350" t="str">
        <f ca="1">IF($B1350="Portfolio","Portfolio",IFERROR(INDEX(DATA_ASSET_CLASSIFICATION!$U$8:$U$24,MATCH($C1350,DATA_ASSET_CLASSIFICATION!$A$8:$A$24,0)),"Review"))</f>
        <v>Stable</v>
      </c>
      <c r="O1350" s="350" t="str">
        <f ca="1">IF($B1350="Portfolio","Portfolio",IFERROR(INDEX(DATA_ASSET_CLASSIFICATION!$AB$8:$AB$13,MATCH($N1350,DATA_ASSET_CLASSIFICATION!$AA$8:$AA$13,0)),"Review"))</f>
        <v>Bucket 2 · Legacy</v>
      </c>
      <c r="P1350" s="350" t="str">
        <f>IF($B1350="Portfolio","Portfolio",IFERROR(INDEX(DATA_ASSET_CLASSIFICATION!$C$8:$C$24,MATCH($C1350,DATA_ASSET_CLASSIFICATION!$A$8:$A$24,0)),"Review"))</f>
        <v>Yes</v>
      </c>
      <c r="Q1350" s="350" t="str">
        <f t="shared" ca="1" si="43"/>
        <v>OK</v>
      </c>
    </row>
    <row r="1351" spans="1:17">
      <c r="A1351" s="366" t="s">
        <v>3307</v>
      </c>
      <c r="B1351" s="366" t="s">
        <v>231</v>
      </c>
      <c r="C1351" s="348" t="str">
        <f>DATA_PROPERTY_MASTER!$A$8</f>
        <v>BLD_CH</v>
      </c>
      <c r="D1351" s="380">
        <f>'00_PORTFOLIO ROLLUP'!P$12</f>
        <v>2036</v>
      </c>
      <c r="E1351" s="366" t="s">
        <v>1683</v>
      </c>
      <c r="F1351" s="366" t="s">
        <v>1697</v>
      </c>
      <c r="G1351" s="348" t="str">
        <f>"'"&amp;$C1351&amp;"'!$E$44:$Y$44"</f>
        <v>'BLD_CH'!$E$44:$Y$44</v>
      </c>
      <c r="H1351" s="381">
        <f ca="1">IF(IFERROR(INDEX(DATA_PROPERTY_MASTER!$E$5:$E$21,MATCH($C1351,DATA_PROPERTY_MASTER!$A$5:$A$21,0))="Yes",FALSE),IFERROR(INDEX(INDIRECT("'"&amp;$C1351&amp;"'!$E$44:$Y$44"),1,MATCH($D1351,INDIRECT("'"&amp;$C1351&amp;"'!$E$12:$Y$12"),0)),0),0)</f>
        <v>11936.39336058866</v>
      </c>
      <c r="I1351" s="366" t="s">
        <v>1690</v>
      </c>
      <c r="J1351" s="348" t="str">
        <f t="shared" ca="1" si="42"/>
        <v>OK</v>
      </c>
      <c r="K1351" s="366" t="s">
        <v>1699</v>
      </c>
      <c r="L1351" s="366" t="s">
        <v>2240</v>
      </c>
      <c r="M1351" s="350" t="str">
        <f>IF($B1351="Portfolio","Portfolio",IFERROR(INDEX(DATA_ASSET_CLASSIFICATION!$B$8:$B$24,MATCH($C1351,DATA_ASSET_CLASSIFICATION!$A$8:$A$24,0)),"Review"))</f>
        <v>Capilano House</v>
      </c>
      <c r="N1351" s="350" t="str">
        <f ca="1">IF($B1351="Portfolio","Portfolio",IFERROR(INDEX(DATA_ASSET_CLASSIFICATION!$U$8:$U$24,MATCH($C1351,DATA_ASSET_CLASSIFICATION!$A$8:$A$24,0)),"Review"))</f>
        <v>Stable</v>
      </c>
      <c r="O1351" s="350" t="str">
        <f ca="1">IF($B1351="Portfolio","Portfolio",IFERROR(INDEX(DATA_ASSET_CLASSIFICATION!$AB$8:$AB$13,MATCH($N1351,DATA_ASSET_CLASSIFICATION!$AA$8:$AA$13,0)),"Review"))</f>
        <v>Bucket 2 · Legacy</v>
      </c>
      <c r="P1351" s="350" t="str">
        <f>IF($B1351="Portfolio","Portfolio",IFERROR(INDEX(DATA_ASSET_CLASSIFICATION!$C$8:$C$24,MATCH($C1351,DATA_ASSET_CLASSIFICATION!$A$8:$A$24,0)),"Review"))</f>
        <v>Yes</v>
      </c>
      <c r="Q1351" s="350" t="str">
        <f t="shared" ca="1" si="43"/>
        <v>OK</v>
      </c>
    </row>
    <row r="1352" spans="1:17">
      <c r="A1352" s="366" t="s">
        <v>3308</v>
      </c>
      <c r="B1352" s="366" t="s">
        <v>231</v>
      </c>
      <c r="C1352" s="348" t="str">
        <f>DATA_PROPERTY_MASTER!$A$8</f>
        <v>BLD_CH</v>
      </c>
      <c r="D1352" s="380">
        <f>'00_PORTFOLIO ROLLUP'!P$12</f>
        <v>2036</v>
      </c>
      <c r="E1352" s="366" t="s">
        <v>1683</v>
      </c>
      <c r="F1352" s="366" t="s">
        <v>21</v>
      </c>
      <c r="G1352" s="348" t="str">
        <f>"'"&amp;$C1352&amp;"'!$E$45:$Y$45"</f>
        <v>'BLD_CH'!$E$45:$Y$45</v>
      </c>
      <c r="H1352" s="381">
        <f ca="1">IF(IFERROR(INDEX(DATA_PROPERTY_MASTER!$E$5:$E$21,MATCH($C1352,DATA_PROPERTY_MASTER!$A$5:$A$21,0))="Yes",FALSE),IFERROR(INDEX(INDIRECT("'"&amp;$C1352&amp;"'!$E$45:$Y$45"),1,MATCH($D1352,INDIRECT("'"&amp;$C1352&amp;"'!$E$12:$Y$12"),0)),0),0)</f>
        <v>457802.84354219196</v>
      </c>
      <c r="I1352" s="366" t="s">
        <v>1685</v>
      </c>
      <c r="J1352" s="348" t="str">
        <f t="shared" ca="1" si="42"/>
        <v>OK</v>
      </c>
      <c r="K1352" s="366" t="s">
        <v>1694</v>
      </c>
      <c r="L1352" s="366" t="s">
        <v>2242</v>
      </c>
      <c r="M1352" s="350" t="str">
        <f>IF($B1352="Portfolio","Portfolio",IFERROR(INDEX(DATA_ASSET_CLASSIFICATION!$B$8:$B$24,MATCH($C1352,DATA_ASSET_CLASSIFICATION!$A$8:$A$24,0)),"Review"))</f>
        <v>Capilano House</v>
      </c>
      <c r="N1352" s="350" t="str">
        <f ca="1">IF($B1352="Portfolio","Portfolio",IFERROR(INDEX(DATA_ASSET_CLASSIFICATION!$U$8:$U$24,MATCH($C1352,DATA_ASSET_CLASSIFICATION!$A$8:$A$24,0)),"Review"))</f>
        <v>Stable</v>
      </c>
      <c r="O1352" s="350" t="str">
        <f ca="1">IF($B1352="Portfolio","Portfolio",IFERROR(INDEX(DATA_ASSET_CLASSIFICATION!$AB$8:$AB$13,MATCH($N1352,DATA_ASSET_CLASSIFICATION!$AA$8:$AA$13,0)),"Review"))</f>
        <v>Bucket 2 · Legacy</v>
      </c>
      <c r="P1352" s="350" t="str">
        <f>IF($B1352="Portfolio","Portfolio",IFERROR(INDEX(DATA_ASSET_CLASSIFICATION!$C$8:$C$24,MATCH($C1352,DATA_ASSET_CLASSIFICATION!$A$8:$A$24,0)),"Review"))</f>
        <v>Yes</v>
      </c>
      <c r="Q1352" s="350" t="str">
        <f t="shared" ca="1" si="43"/>
        <v>OK</v>
      </c>
    </row>
    <row r="1353" spans="1:17">
      <c r="A1353" s="366" t="s">
        <v>3309</v>
      </c>
      <c r="B1353" s="366" t="s">
        <v>231</v>
      </c>
      <c r="C1353" s="348" t="str">
        <f>DATA_PROPERTY_MASTER!$A$8</f>
        <v>BLD_CH</v>
      </c>
      <c r="D1353" s="380">
        <f>'00_PORTFOLIO ROLLUP'!P$12</f>
        <v>2036</v>
      </c>
      <c r="E1353" s="366" t="s">
        <v>23</v>
      </c>
      <c r="F1353" s="366" t="s">
        <v>23</v>
      </c>
      <c r="G1353" s="348" t="str">
        <f>"'"&amp;$C1353&amp;"'!$E$48:$Y$48"</f>
        <v>'BLD_CH'!$E$48:$Y$48</v>
      </c>
      <c r="H1353" s="381">
        <f ca="1">IF(IFERROR(INDEX(DATA_PROPERTY_MASTER!$E$5:$E$21,MATCH($C1353,DATA_PROPERTY_MASTER!$A$5:$A$21,0))="Yes",FALSE),IFERROR(INDEX(INDIRECT("'"&amp;$C1353&amp;"'!$E$48:$Y$48"),1,MATCH($D1353,INDIRECT("'"&amp;$C1353&amp;"'!$E$12:$Y$12"),0)),0),0)</f>
        <v>0</v>
      </c>
      <c r="I1353" s="366" t="s">
        <v>1690</v>
      </c>
      <c r="J1353" s="348" t="str">
        <f t="shared" ca="1" si="42"/>
        <v>OK</v>
      </c>
      <c r="K1353" s="366" t="s">
        <v>1706</v>
      </c>
      <c r="L1353" s="366" t="s">
        <v>2244</v>
      </c>
      <c r="M1353" s="350" t="str">
        <f>IF($B1353="Portfolio","Portfolio",IFERROR(INDEX(DATA_ASSET_CLASSIFICATION!$B$8:$B$24,MATCH($C1353,DATA_ASSET_CLASSIFICATION!$A$8:$A$24,0)),"Review"))</f>
        <v>Capilano House</v>
      </c>
      <c r="N1353" s="350" t="str">
        <f ca="1">IF($B1353="Portfolio","Portfolio",IFERROR(INDEX(DATA_ASSET_CLASSIFICATION!$U$8:$U$24,MATCH($C1353,DATA_ASSET_CLASSIFICATION!$A$8:$A$24,0)),"Review"))</f>
        <v>Stable</v>
      </c>
      <c r="O1353" s="350" t="str">
        <f ca="1">IF($B1353="Portfolio","Portfolio",IFERROR(INDEX(DATA_ASSET_CLASSIFICATION!$AB$8:$AB$13,MATCH($N1353,DATA_ASSET_CLASSIFICATION!$AA$8:$AA$13,0)),"Review"))</f>
        <v>Bucket 2 · Legacy</v>
      </c>
      <c r="P1353" s="350" t="str">
        <f>IF($B1353="Portfolio","Portfolio",IFERROR(INDEX(DATA_ASSET_CLASSIFICATION!$C$8:$C$24,MATCH($C1353,DATA_ASSET_CLASSIFICATION!$A$8:$A$24,0)),"Review"))</f>
        <v>Yes</v>
      </c>
      <c r="Q1353" s="350" t="str">
        <f t="shared" ca="1" si="43"/>
        <v>OK</v>
      </c>
    </row>
    <row r="1354" spans="1:17">
      <c r="A1354" s="366" t="s">
        <v>3310</v>
      </c>
      <c r="B1354" s="366" t="s">
        <v>231</v>
      </c>
      <c r="C1354" s="348" t="str">
        <f>DATA_PROPERTY_MASTER!$A$8</f>
        <v>BLD_CH</v>
      </c>
      <c r="D1354" s="380">
        <f>'00_PORTFOLIO ROLLUP'!P$12</f>
        <v>2036</v>
      </c>
      <c r="E1354" s="366" t="s">
        <v>1683</v>
      </c>
      <c r="F1354" s="366" t="s">
        <v>25</v>
      </c>
      <c r="G1354" s="348" t="str">
        <f>"'"&amp;$C1354&amp;"'!$E$52:$Y$52"</f>
        <v>'BLD_CH'!$E$52:$Y$52</v>
      </c>
      <c r="H1354" s="381">
        <f ca="1">IF(IFERROR(INDEX(DATA_PROPERTY_MASTER!$E$5:$E$21,MATCH($C1354,DATA_PROPERTY_MASTER!$A$5:$A$21,0))="Yes",FALSE),IFERROR(INDEX(INDIRECT("'"&amp;$C1354&amp;"'!$E$52:$Y$52"),1,MATCH($D1354,INDIRECT("'"&amp;$C1354&amp;"'!$E$12:$Y$12"),0)),0),0)</f>
        <v>469739.2369027806</v>
      </c>
      <c r="I1354" s="366" t="s">
        <v>1685</v>
      </c>
      <c r="J1354" s="348" t="str">
        <f t="shared" ca="1" si="42"/>
        <v>OK</v>
      </c>
      <c r="K1354" s="366" t="s">
        <v>1710</v>
      </c>
      <c r="L1354" s="366" t="s">
        <v>2246</v>
      </c>
      <c r="M1354" s="350" t="str">
        <f>IF($B1354="Portfolio","Portfolio",IFERROR(INDEX(DATA_ASSET_CLASSIFICATION!$B$8:$B$24,MATCH($C1354,DATA_ASSET_CLASSIFICATION!$A$8:$A$24,0)),"Review"))</f>
        <v>Capilano House</v>
      </c>
      <c r="N1354" s="350" t="str">
        <f ca="1">IF($B1354="Portfolio","Portfolio",IFERROR(INDEX(DATA_ASSET_CLASSIFICATION!$U$8:$U$24,MATCH($C1354,DATA_ASSET_CLASSIFICATION!$A$8:$A$24,0)),"Review"))</f>
        <v>Stable</v>
      </c>
      <c r="O1354" s="350" t="str">
        <f ca="1">IF($B1354="Portfolio","Portfolio",IFERROR(INDEX(DATA_ASSET_CLASSIFICATION!$AB$8:$AB$13,MATCH($N1354,DATA_ASSET_CLASSIFICATION!$AA$8:$AA$13,0)),"Review"))</f>
        <v>Bucket 2 · Legacy</v>
      </c>
      <c r="P1354" s="350" t="str">
        <f>IF($B1354="Portfolio","Portfolio",IFERROR(INDEX(DATA_ASSET_CLASSIFICATION!$C$8:$C$24,MATCH($C1354,DATA_ASSET_CLASSIFICATION!$A$8:$A$24,0)),"Review"))</f>
        <v>Yes</v>
      </c>
      <c r="Q1354" s="350" t="str">
        <f t="shared" ca="1" si="43"/>
        <v>OK</v>
      </c>
    </row>
    <row r="1355" spans="1:17">
      <c r="A1355" s="366" t="s">
        <v>3311</v>
      </c>
      <c r="B1355" s="366" t="s">
        <v>231</v>
      </c>
      <c r="C1355" s="348" t="str">
        <f>DATA_PROPERTY_MASTER!$A$8</f>
        <v>BLD_CH</v>
      </c>
      <c r="D1355" s="380">
        <f>'00_PORTFOLIO ROLLUP'!P$12</f>
        <v>2036</v>
      </c>
      <c r="E1355" s="366" t="s">
        <v>1683</v>
      </c>
      <c r="F1355" s="366" t="s">
        <v>27</v>
      </c>
      <c r="G1355" s="348" t="str">
        <f>"'"&amp;$C1355&amp;"'!$E$54:$Y$54"</f>
        <v>'BLD_CH'!$E$54:$Y$54</v>
      </c>
      <c r="H1355" s="381">
        <f ca="1">IF(IFERROR(INDEX(DATA_PROPERTY_MASTER!$E$5:$E$21,MATCH($C1355,DATA_PROPERTY_MASTER!$A$5:$A$21,0))="Yes",FALSE),IFERROR(INDEX(INDIRECT("'"&amp;$C1355&amp;"'!$E$54:$Y$54"),1,MATCH($D1355,INDIRECT("'"&amp;$C1355&amp;"'!$E$12:$Y$12"),0)),0),0)</f>
        <v>281843.54214166832</v>
      </c>
      <c r="I1355" s="366" t="s">
        <v>1690</v>
      </c>
      <c r="J1355" s="348" t="str">
        <f t="shared" ca="1" si="42"/>
        <v>OK</v>
      </c>
      <c r="K1355" s="366" t="s">
        <v>1714</v>
      </c>
      <c r="L1355" s="366" t="s">
        <v>2248</v>
      </c>
      <c r="M1355" s="350" t="str">
        <f>IF($B1355="Portfolio","Portfolio",IFERROR(INDEX(DATA_ASSET_CLASSIFICATION!$B$8:$B$24,MATCH($C1355,DATA_ASSET_CLASSIFICATION!$A$8:$A$24,0)),"Review"))</f>
        <v>Capilano House</v>
      </c>
      <c r="N1355" s="350" t="str">
        <f ca="1">IF($B1355="Portfolio","Portfolio",IFERROR(INDEX(DATA_ASSET_CLASSIFICATION!$U$8:$U$24,MATCH($C1355,DATA_ASSET_CLASSIFICATION!$A$8:$A$24,0)),"Review"))</f>
        <v>Stable</v>
      </c>
      <c r="O1355" s="350" t="str">
        <f ca="1">IF($B1355="Portfolio","Portfolio",IFERROR(INDEX(DATA_ASSET_CLASSIFICATION!$AB$8:$AB$13,MATCH($N1355,DATA_ASSET_CLASSIFICATION!$AA$8:$AA$13,0)),"Review"))</f>
        <v>Bucket 2 · Legacy</v>
      </c>
      <c r="P1355" s="350" t="str">
        <f>IF($B1355="Portfolio","Portfolio",IFERROR(INDEX(DATA_ASSET_CLASSIFICATION!$C$8:$C$24,MATCH($C1355,DATA_ASSET_CLASSIFICATION!$A$8:$A$24,0)),"Review"))</f>
        <v>Yes</v>
      </c>
      <c r="Q1355" s="350" t="str">
        <f t="shared" ca="1" si="43"/>
        <v>OK</v>
      </c>
    </row>
    <row r="1356" spans="1:17">
      <c r="A1356" s="366" t="s">
        <v>3312</v>
      </c>
      <c r="B1356" s="366" t="s">
        <v>231</v>
      </c>
      <c r="C1356" s="348" t="str">
        <f>DATA_PROPERTY_MASTER!$A$8</f>
        <v>BLD_CH</v>
      </c>
      <c r="D1356" s="380">
        <f>'00_PORTFOLIO ROLLUP'!P$12</f>
        <v>2036</v>
      </c>
      <c r="E1356" s="366" t="s">
        <v>1683</v>
      </c>
      <c r="F1356" s="366" t="s">
        <v>29</v>
      </c>
      <c r="G1356" s="348" t="str">
        <f>"'"&amp;$C1356&amp;"'!$E$56:$Y$56"</f>
        <v>'BLD_CH'!$E$56:$Y$56</v>
      </c>
      <c r="H1356" s="381">
        <f ca="1">IF(IFERROR(INDEX(DATA_PROPERTY_MASTER!$E$5:$E$21,MATCH($C1356,DATA_PROPERTY_MASTER!$A$5:$A$21,0))="Yes",FALSE),IFERROR(INDEX(INDIRECT("'"&amp;$C1356&amp;"'!$E$56:$Y$56"),1,MATCH($D1356,INDIRECT("'"&amp;$C1356&amp;"'!$E$12:$Y$12"),0)),0),0)</f>
        <v>187895.69476111227</v>
      </c>
      <c r="I1356" s="366" t="s">
        <v>1685</v>
      </c>
      <c r="J1356" s="348" t="str">
        <f t="shared" ca="1" si="42"/>
        <v>OK</v>
      </c>
      <c r="K1356" s="366" t="s">
        <v>1718</v>
      </c>
      <c r="L1356" s="366" t="s">
        <v>2250</v>
      </c>
      <c r="M1356" s="350" t="str">
        <f>IF($B1356="Portfolio","Portfolio",IFERROR(INDEX(DATA_ASSET_CLASSIFICATION!$B$8:$B$24,MATCH($C1356,DATA_ASSET_CLASSIFICATION!$A$8:$A$24,0)),"Review"))</f>
        <v>Capilano House</v>
      </c>
      <c r="N1356" s="350" t="str">
        <f ca="1">IF($B1356="Portfolio","Portfolio",IFERROR(INDEX(DATA_ASSET_CLASSIFICATION!$U$8:$U$24,MATCH($C1356,DATA_ASSET_CLASSIFICATION!$A$8:$A$24,0)),"Review"))</f>
        <v>Stable</v>
      </c>
      <c r="O1356" s="350" t="str">
        <f ca="1">IF($B1356="Portfolio","Portfolio",IFERROR(INDEX(DATA_ASSET_CLASSIFICATION!$AB$8:$AB$13,MATCH($N1356,DATA_ASSET_CLASSIFICATION!$AA$8:$AA$13,0)),"Review"))</f>
        <v>Bucket 2 · Legacy</v>
      </c>
      <c r="P1356" s="350" t="str">
        <f>IF($B1356="Portfolio","Portfolio",IFERROR(INDEX(DATA_ASSET_CLASSIFICATION!$C$8:$C$24,MATCH($C1356,DATA_ASSET_CLASSIFICATION!$A$8:$A$24,0)),"Review"))</f>
        <v>Yes</v>
      </c>
      <c r="Q1356" s="350" t="str">
        <f t="shared" ca="1" si="43"/>
        <v>OK</v>
      </c>
    </row>
    <row r="1357" spans="1:17">
      <c r="A1357" s="366" t="s">
        <v>3313</v>
      </c>
      <c r="B1357" s="366" t="s">
        <v>231</v>
      </c>
      <c r="C1357" s="348" t="str">
        <f>DATA_PROPERTY_MASTER!$A$8</f>
        <v>BLD_CH</v>
      </c>
      <c r="D1357" s="380">
        <f>'00_PORTFOLIO ROLLUP'!P$12</f>
        <v>2036</v>
      </c>
      <c r="E1357" s="366" t="s">
        <v>1721</v>
      </c>
      <c r="F1357" s="366" t="s">
        <v>31</v>
      </c>
      <c r="G1357" s="348" t="str">
        <f>"'"&amp;$C1357&amp;"'!$E$61:$Y$61"</f>
        <v>'BLD_CH'!$E$61:$Y$61</v>
      </c>
      <c r="H1357" s="381">
        <f ca="1">IF(IFERROR(INDEX(DATA_PROPERTY_MASTER!$E$5:$E$21,MATCH($C1357,DATA_PROPERTY_MASTER!$A$5:$A$21,0))="Yes",FALSE),IFERROR(INDEX(INDIRECT("'"&amp;$C1357&amp;"'!$E$61:$Y$61"),1,MATCH($D1357,INDIRECT("'"&amp;$C1357&amp;"'!$E$12:$Y$12"),0)),0),0)</f>
        <v>0</v>
      </c>
      <c r="I1357" s="366" t="s">
        <v>1690</v>
      </c>
      <c r="J1357" s="348" t="str">
        <f t="shared" ca="1" si="42"/>
        <v>OK</v>
      </c>
      <c r="K1357" s="366" t="s">
        <v>1723</v>
      </c>
      <c r="L1357" s="366" t="s">
        <v>2252</v>
      </c>
      <c r="M1357" s="350" t="str">
        <f>IF($B1357="Portfolio","Portfolio",IFERROR(INDEX(DATA_ASSET_CLASSIFICATION!$B$8:$B$24,MATCH($C1357,DATA_ASSET_CLASSIFICATION!$A$8:$A$24,0)),"Review"))</f>
        <v>Capilano House</v>
      </c>
      <c r="N1357" s="350" t="str">
        <f ca="1">IF($B1357="Portfolio","Portfolio",IFERROR(INDEX(DATA_ASSET_CLASSIFICATION!$U$8:$U$24,MATCH($C1357,DATA_ASSET_CLASSIFICATION!$A$8:$A$24,0)),"Review"))</f>
        <v>Stable</v>
      </c>
      <c r="O1357" s="350" t="str">
        <f ca="1">IF($B1357="Portfolio","Portfolio",IFERROR(INDEX(DATA_ASSET_CLASSIFICATION!$AB$8:$AB$13,MATCH($N1357,DATA_ASSET_CLASSIFICATION!$AA$8:$AA$13,0)),"Review"))</f>
        <v>Bucket 2 · Legacy</v>
      </c>
      <c r="P1357" s="350" t="str">
        <f>IF($B1357="Portfolio","Portfolio",IFERROR(INDEX(DATA_ASSET_CLASSIFICATION!$C$8:$C$24,MATCH($C1357,DATA_ASSET_CLASSIFICATION!$A$8:$A$24,0)),"Review"))</f>
        <v>Yes</v>
      </c>
      <c r="Q1357" s="350" t="str">
        <f t="shared" ca="1" si="43"/>
        <v>OK</v>
      </c>
    </row>
    <row r="1358" spans="1:17">
      <c r="A1358" s="366" t="s">
        <v>3314</v>
      </c>
      <c r="B1358" s="366" t="s">
        <v>231</v>
      </c>
      <c r="C1358" s="348" t="str">
        <f>DATA_PROPERTY_MASTER!$A$8</f>
        <v>BLD_CH</v>
      </c>
      <c r="D1358" s="380">
        <f>'00_PORTFOLIO ROLLUP'!P$12</f>
        <v>2036</v>
      </c>
      <c r="E1358" s="366" t="s">
        <v>1721</v>
      </c>
      <c r="F1358" s="366" t="s">
        <v>33</v>
      </c>
      <c r="G1358" s="348" t="str">
        <f>"'"&amp;$C1358&amp;"'!$E$62:$Y$62"</f>
        <v>'BLD_CH'!$E$62:$Y$62</v>
      </c>
      <c r="H1358" s="381">
        <f ca="1">IF(IFERROR(INDEX(DATA_PROPERTY_MASTER!$E$5:$E$21,MATCH($C1358,DATA_PROPERTY_MASTER!$A$5:$A$21,0))="Yes",FALSE),IFERROR(INDEX(INDIRECT("'"&amp;$C1358&amp;"'!$E$62:$Y$62"),1,MATCH($D1358,INDIRECT("'"&amp;$C1358&amp;"'!$E$12:$Y$12"),0)),0),0)</f>
        <v>0</v>
      </c>
      <c r="I1358" s="366" t="s">
        <v>1685</v>
      </c>
      <c r="J1358" s="348" t="str">
        <f t="shared" ca="1" si="42"/>
        <v>OK</v>
      </c>
      <c r="K1358" s="366" t="s">
        <v>1727</v>
      </c>
      <c r="L1358" s="366" t="s">
        <v>2254</v>
      </c>
      <c r="M1358" s="350" t="str">
        <f>IF($B1358="Portfolio","Portfolio",IFERROR(INDEX(DATA_ASSET_CLASSIFICATION!$B$8:$B$24,MATCH($C1358,DATA_ASSET_CLASSIFICATION!$A$8:$A$24,0)),"Review"))</f>
        <v>Capilano House</v>
      </c>
      <c r="N1358" s="350" t="str">
        <f ca="1">IF($B1358="Portfolio","Portfolio",IFERROR(INDEX(DATA_ASSET_CLASSIFICATION!$U$8:$U$24,MATCH($C1358,DATA_ASSET_CLASSIFICATION!$A$8:$A$24,0)),"Review"))</f>
        <v>Stable</v>
      </c>
      <c r="O1358" s="350" t="str">
        <f ca="1">IF($B1358="Portfolio","Portfolio",IFERROR(INDEX(DATA_ASSET_CLASSIFICATION!$AB$8:$AB$13,MATCH($N1358,DATA_ASSET_CLASSIFICATION!$AA$8:$AA$13,0)),"Review"))</f>
        <v>Bucket 2 · Legacy</v>
      </c>
      <c r="P1358" s="350" t="str">
        <f>IF($B1358="Portfolio","Portfolio",IFERROR(INDEX(DATA_ASSET_CLASSIFICATION!$C$8:$C$24,MATCH($C1358,DATA_ASSET_CLASSIFICATION!$A$8:$A$24,0)),"Review"))</f>
        <v>Yes</v>
      </c>
      <c r="Q1358" s="350" t="str">
        <f t="shared" ca="1" si="43"/>
        <v>OK</v>
      </c>
    </row>
    <row r="1359" spans="1:17">
      <c r="A1359" s="366" t="s">
        <v>3315</v>
      </c>
      <c r="B1359" s="366" t="s">
        <v>231</v>
      </c>
      <c r="C1359" s="348" t="str">
        <f>DATA_PROPERTY_MASTER!$A$8</f>
        <v>BLD_CH</v>
      </c>
      <c r="D1359" s="380">
        <f>'00_PORTFOLIO ROLLUP'!P$12</f>
        <v>2036</v>
      </c>
      <c r="E1359" s="366" t="s">
        <v>1721</v>
      </c>
      <c r="F1359" s="366" t="s">
        <v>35</v>
      </c>
      <c r="G1359" s="348" t="str">
        <f>"'"&amp;$C1359&amp;"'!$E$63:$Y$63"</f>
        <v>'BLD_CH'!$E$63:$Y$63</v>
      </c>
      <c r="H1359" s="381">
        <f ca="1">IF(IFERROR(INDEX(DATA_PROPERTY_MASTER!$E$5:$E$21,MATCH($C1359,DATA_PROPERTY_MASTER!$A$5:$A$21,0))="Yes",FALSE),IFERROR(INDEX(INDIRECT("'"&amp;$C1359&amp;"'!$E$63:$Y$63"),1,MATCH($D1359,INDIRECT("'"&amp;$C1359&amp;"'!$E$12:$Y$12"),0)),0),0)</f>
        <v>0</v>
      </c>
      <c r="I1359" s="366" t="s">
        <v>1731</v>
      </c>
      <c r="J1359" s="348" t="str">
        <f t="shared" ca="1" si="42"/>
        <v>OK</v>
      </c>
      <c r="K1359" s="366" t="s">
        <v>1732</v>
      </c>
      <c r="L1359" s="366" t="s">
        <v>2256</v>
      </c>
      <c r="M1359" s="350" t="str">
        <f>IF($B1359="Portfolio","Portfolio",IFERROR(INDEX(DATA_ASSET_CLASSIFICATION!$B$8:$B$24,MATCH($C1359,DATA_ASSET_CLASSIFICATION!$A$8:$A$24,0)),"Review"))</f>
        <v>Capilano House</v>
      </c>
      <c r="N1359" s="350" t="str">
        <f ca="1">IF($B1359="Portfolio","Portfolio",IFERROR(INDEX(DATA_ASSET_CLASSIFICATION!$U$8:$U$24,MATCH($C1359,DATA_ASSET_CLASSIFICATION!$A$8:$A$24,0)),"Review"))</f>
        <v>Stable</v>
      </c>
      <c r="O1359" s="350" t="str">
        <f ca="1">IF($B1359="Portfolio","Portfolio",IFERROR(INDEX(DATA_ASSET_CLASSIFICATION!$AB$8:$AB$13,MATCH($N1359,DATA_ASSET_CLASSIFICATION!$AA$8:$AA$13,0)),"Review"))</f>
        <v>Bucket 2 · Legacy</v>
      </c>
      <c r="P1359" s="350" t="str">
        <f>IF($B1359="Portfolio","Portfolio",IFERROR(INDEX(DATA_ASSET_CLASSIFICATION!$C$8:$C$24,MATCH($C1359,DATA_ASSET_CLASSIFICATION!$A$8:$A$24,0)),"Review"))</f>
        <v>Yes</v>
      </c>
      <c r="Q1359" s="350" t="str">
        <f t="shared" ca="1" si="43"/>
        <v>OK</v>
      </c>
    </row>
    <row r="1360" spans="1:17">
      <c r="A1360" s="366" t="s">
        <v>3316</v>
      </c>
      <c r="B1360" s="366" t="s">
        <v>231</v>
      </c>
      <c r="C1360" s="348" t="str">
        <f>DATA_PROPERTY_MASTER!$A$8</f>
        <v>BLD_CH</v>
      </c>
      <c r="D1360" s="380">
        <f>'00_PORTFOLIO ROLLUP'!P$12</f>
        <v>2036</v>
      </c>
      <c r="E1360" s="366" t="s">
        <v>1721</v>
      </c>
      <c r="F1360" s="366" t="s">
        <v>37</v>
      </c>
      <c r="G1360" s="348" t="str">
        <f>"'"&amp;$C1360&amp;"'!$E$63:$Y$63"</f>
        <v>'BLD_CH'!$E$63:$Y$63</v>
      </c>
      <c r="H1360" s="381">
        <f ca="1">IF(IFERROR(INDEX(DATA_PROPERTY_MASTER!$E$5:$E$21,MATCH($C1360,DATA_PROPERTY_MASTER!$A$5:$A$21,0))="Yes",FALSE),MAX(IFERROR(INDEX(INDIRECT("'"&amp;$C1360&amp;"'!$E$63:$Y$63"),1,MATCH($D1360,INDIRECT("'"&amp;$C1360&amp;"'!$E$12:$Y$12"),0)),0),0),0)</f>
        <v>0</v>
      </c>
      <c r="I1360" s="366" t="s">
        <v>1685</v>
      </c>
      <c r="J1360" s="348" t="str">
        <f t="shared" ca="1" si="42"/>
        <v>OK</v>
      </c>
      <c r="K1360" s="366" t="s">
        <v>1735</v>
      </c>
      <c r="L1360" s="366" t="s">
        <v>2258</v>
      </c>
      <c r="M1360" s="350" t="str">
        <f>IF($B1360="Portfolio","Portfolio",IFERROR(INDEX(DATA_ASSET_CLASSIFICATION!$B$8:$B$24,MATCH($C1360,DATA_ASSET_CLASSIFICATION!$A$8:$A$24,0)),"Review"))</f>
        <v>Capilano House</v>
      </c>
      <c r="N1360" s="350" t="str">
        <f ca="1">IF($B1360="Portfolio","Portfolio",IFERROR(INDEX(DATA_ASSET_CLASSIFICATION!$U$8:$U$24,MATCH($C1360,DATA_ASSET_CLASSIFICATION!$A$8:$A$24,0)),"Review"))</f>
        <v>Stable</v>
      </c>
      <c r="O1360" s="350" t="str">
        <f ca="1">IF($B1360="Portfolio","Portfolio",IFERROR(INDEX(DATA_ASSET_CLASSIFICATION!$AB$8:$AB$13,MATCH($N1360,DATA_ASSET_CLASSIFICATION!$AA$8:$AA$13,0)),"Review"))</f>
        <v>Bucket 2 · Legacy</v>
      </c>
      <c r="P1360" s="350" t="str">
        <f>IF($B1360="Portfolio","Portfolio",IFERROR(INDEX(DATA_ASSET_CLASSIFICATION!$C$8:$C$24,MATCH($C1360,DATA_ASSET_CLASSIFICATION!$A$8:$A$24,0)),"Review"))</f>
        <v>Yes</v>
      </c>
      <c r="Q1360" s="350" t="str">
        <f t="shared" ca="1" si="43"/>
        <v>OK</v>
      </c>
    </row>
    <row r="1361" spans="1:17">
      <c r="A1361" s="366" t="s">
        <v>3317</v>
      </c>
      <c r="B1361" s="366" t="s">
        <v>231</v>
      </c>
      <c r="C1361" s="348" t="str">
        <f>DATA_PROPERTY_MASTER!$A$8</f>
        <v>BLD_CH</v>
      </c>
      <c r="D1361" s="380">
        <f>'00_PORTFOLIO ROLLUP'!P$12</f>
        <v>2036</v>
      </c>
      <c r="E1361" s="366" t="s">
        <v>1721</v>
      </c>
      <c r="F1361" s="366" t="s">
        <v>39</v>
      </c>
      <c r="G1361" s="348" t="str">
        <f>"'"&amp;$C1361&amp;"'!$E$63:$Y$63"</f>
        <v>'BLD_CH'!$E$63:$Y$63</v>
      </c>
      <c r="H1361" s="381">
        <f ca="1">IF(IFERROR(INDEX(DATA_PROPERTY_MASTER!$E$5:$E$21,MATCH($C1361,DATA_PROPERTY_MASTER!$A$5:$A$21,0))="Yes",FALSE),MAX(-IFERROR(INDEX(INDIRECT("'"&amp;$C1361&amp;"'!$E$63:$Y$63"),1,MATCH($D1361,INDIRECT("'"&amp;$C1361&amp;"'!$E$12:$Y$12"),0)),0),0),0)</f>
        <v>0</v>
      </c>
      <c r="I1361" s="366" t="s">
        <v>1690</v>
      </c>
      <c r="J1361" s="348" t="str">
        <f t="shared" ca="1" si="42"/>
        <v>OK</v>
      </c>
      <c r="K1361" s="366" t="s">
        <v>1738</v>
      </c>
      <c r="L1361" s="366" t="s">
        <v>2260</v>
      </c>
      <c r="M1361" s="350" t="str">
        <f>IF($B1361="Portfolio","Portfolio",IFERROR(INDEX(DATA_ASSET_CLASSIFICATION!$B$8:$B$24,MATCH($C1361,DATA_ASSET_CLASSIFICATION!$A$8:$A$24,0)),"Review"))</f>
        <v>Capilano House</v>
      </c>
      <c r="N1361" s="350" t="str">
        <f ca="1">IF($B1361="Portfolio","Portfolio",IFERROR(INDEX(DATA_ASSET_CLASSIFICATION!$U$8:$U$24,MATCH($C1361,DATA_ASSET_CLASSIFICATION!$A$8:$A$24,0)),"Review"))</f>
        <v>Stable</v>
      </c>
      <c r="O1361" s="350" t="str">
        <f ca="1">IF($B1361="Portfolio","Portfolio",IFERROR(INDEX(DATA_ASSET_CLASSIFICATION!$AB$8:$AB$13,MATCH($N1361,DATA_ASSET_CLASSIFICATION!$AA$8:$AA$13,0)),"Review"))</f>
        <v>Bucket 2 · Legacy</v>
      </c>
      <c r="P1361" s="350" t="str">
        <f>IF($B1361="Portfolio","Portfolio",IFERROR(INDEX(DATA_ASSET_CLASSIFICATION!$C$8:$C$24,MATCH($C1361,DATA_ASSET_CLASSIFICATION!$A$8:$A$24,0)),"Review"))</f>
        <v>Yes</v>
      </c>
      <c r="Q1361" s="350" t="str">
        <f t="shared" ca="1" si="43"/>
        <v>OK</v>
      </c>
    </row>
    <row r="1362" spans="1:17">
      <c r="A1362" s="366" t="s">
        <v>3318</v>
      </c>
      <c r="B1362" s="366" t="s">
        <v>231</v>
      </c>
      <c r="C1362" s="348" t="str">
        <f>DATA_PROPERTY_MASTER!$A$8</f>
        <v>BLD_CH</v>
      </c>
      <c r="D1362" s="380">
        <f>'00_PORTFOLIO ROLLUP'!P$12</f>
        <v>2036</v>
      </c>
      <c r="E1362" s="366" t="s">
        <v>1741</v>
      </c>
      <c r="F1362" s="366" t="s">
        <v>41</v>
      </c>
      <c r="G1362" s="348" t="str">
        <f>"'"&amp;$C1362&amp;"'!rows 56 + positive row 63"</f>
        <v>'BLD_CH'!rows 56 + positive row 63</v>
      </c>
      <c r="H1362" s="381">
        <f ca="1">IF(IFERROR(INDEX(DATA_PROPERTY_MASTER!$E$5:$E$21,MATCH($C1362,DATA_PROPERTY_MASTER!$A$5:$A$21,0))="Yes",FALSE),IFERROR(INDEX(INDIRECT("'"&amp;$C1362&amp;"'!$E$56:$Y$56"),1,MATCH($D1362,INDIRECT("'"&amp;$C1362&amp;"'!$E$12:$Y$12"),0)),0)+MAX(IFERROR(INDEX(INDIRECT("'"&amp;$C1362&amp;"'!$E$63:$Y$63"),1,MATCH($D1362,INDIRECT("'"&amp;$C1362&amp;"'!$E$12:$Y$12"),0)),0),0),0)</f>
        <v>187895.69476111227</v>
      </c>
      <c r="I1362" s="366" t="s">
        <v>1685</v>
      </c>
      <c r="J1362" s="348" t="str">
        <f t="shared" ca="1" si="42"/>
        <v>OK</v>
      </c>
      <c r="K1362" s="366" t="s">
        <v>1742</v>
      </c>
      <c r="L1362" s="366" t="s">
        <v>2262</v>
      </c>
      <c r="M1362" s="350" t="str">
        <f>IF($B1362="Portfolio","Portfolio",IFERROR(INDEX(DATA_ASSET_CLASSIFICATION!$B$8:$B$24,MATCH($C1362,DATA_ASSET_CLASSIFICATION!$A$8:$A$24,0)),"Review"))</f>
        <v>Capilano House</v>
      </c>
      <c r="N1362" s="350" t="str">
        <f ca="1">IF($B1362="Portfolio","Portfolio",IFERROR(INDEX(DATA_ASSET_CLASSIFICATION!$U$8:$U$24,MATCH($C1362,DATA_ASSET_CLASSIFICATION!$A$8:$A$24,0)),"Review"))</f>
        <v>Stable</v>
      </c>
      <c r="O1362" s="350" t="str">
        <f ca="1">IF($B1362="Portfolio","Portfolio",IFERROR(INDEX(DATA_ASSET_CLASSIFICATION!$AB$8:$AB$13,MATCH($N1362,DATA_ASSET_CLASSIFICATION!$AA$8:$AA$13,0)),"Review"))</f>
        <v>Bucket 2 · Legacy</v>
      </c>
      <c r="P1362" s="350" t="str">
        <f>IF($B1362="Portfolio","Portfolio",IFERROR(INDEX(DATA_ASSET_CLASSIFICATION!$C$8:$C$24,MATCH($C1362,DATA_ASSET_CLASSIFICATION!$A$8:$A$24,0)),"Review"))</f>
        <v>Yes</v>
      </c>
      <c r="Q1362" s="350" t="str">
        <f t="shared" ca="1" si="43"/>
        <v>OK</v>
      </c>
    </row>
    <row r="1363" spans="1:17">
      <c r="A1363" s="366" t="s">
        <v>3319</v>
      </c>
      <c r="B1363" s="366" t="s">
        <v>231</v>
      </c>
      <c r="C1363" s="348" t="str">
        <f>DATA_PROPERTY_MASTER!$A$8</f>
        <v>BLD_CH</v>
      </c>
      <c r="D1363" s="380">
        <f>'00_PORTFOLIO ROLLUP'!P$12</f>
        <v>2036</v>
      </c>
      <c r="E1363" s="366" t="s">
        <v>1741</v>
      </c>
      <c r="F1363" s="366" t="s">
        <v>43</v>
      </c>
      <c r="G1363" s="348" t="str">
        <f>"'"&amp;$C1363&amp;"'!$E$68:$Y$68"</f>
        <v>'BLD_CH'!$E$68:$Y$68</v>
      </c>
      <c r="H1363" s="381">
        <f ca="1">IF(IFERROR(INDEX(DATA_PROPERTY_MASTER!$E$5:$E$21,MATCH($C1363,DATA_PROPERTY_MASTER!$A$5:$A$21,0))="Yes",FALSE),IFERROR(INDEX(INDIRECT("'"&amp;$C1363&amp;"'!$E$68:$Y$68"),1,MATCH($D1363,INDIRECT("'"&amp;$C1363&amp;"'!$E$12:$Y$12"),0)),0),0)</f>
        <v>187895.69476111227</v>
      </c>
      <c r="I1363" s="366" t="s">
        <v>1731</v>
      </c>
      <c r="J1363" s="348" t="str">
        <f t="shared" ca="1" si="42"/>
        <v>OK</v>
      </c>
      <c r="K1363" s="366" t="s">
        <v>1746</v>
      </c>
      <c r="L1363" s="366" t="s">
        <v>2264</v>
      </c>
      <c r="M1363" s="350" t="str">
        <f>IF($B1363="Portfolio","Portfolio",IFERROR(INDEX(DATA_ASSET_CLASSIFICATION!$B$8:$B$24,MATCH($C1363,DATA_ASSET_CLASSIFICATION!$A$8:$A$24,0)),"Review"))</f>
        <v>Capilano House</v>
      </c>
      <c r="N1363" s="350" t="str">
        <f ca="1">IF($B1363="Portfolio","Portfolio",IFERROR(INDEX(DATA_ASSET_CLASSIFICATION!$U$8:$U$24,MATCH($C1363,DATA_ASSET_CLASSIFICATION!$A$8:$A$24,0)),"Review"))</f>
        <v>Stable</v>
      </c>
      <c r="O1363" s="350" t="str">
        <f ca="1">IF($B1363="Portfolio","Portfolio",IFERROR(INDEX(DATA_ASSET_CLASSIFICATION!$AB$8:$AB$13,MATCH($N1363,DATA_ASSET_CLASSIFICATION!$AA$8:$AA$13,0)),"Review"))</f>
        <v>Bucket 2 · Legacy</v>
      </c>
      <c r="P1363" s="350" t="str">
        <f>IF($B1363="Portfolio","Portfolio",IFERROR(INDEX(DATA_ASSET_CLASSIFICATION!$C$8:$C$24,MATCH($C1363,DATA_ASSET_CLASSIFICATION!$A$8:$A$24,0)),"Review"))</f>
        <v>Yes</v>
      </c>
      <c r="Q1363" s="350" t="str">
        <f t="shared" ca="1" si="43"/>
        <v>OK</v>
      </c>
    </row>
    <row r="1364" spans="1:17">
      <c r="A1364" s="366" t="s">
        <v>3320</v>
      </c>
      <c r="B1364" s="366" t="s">
        <v>231</v>
      </c>
      <c r="C1364" s="348" t="str">
        <f>DATA_PROPERTY_MASTER!$A$8</f>
        <v>BLD_CH</v>
      </c>
      <c r="D1364" s="380">
        <f>'00_PORTFOLIO ROLLUP'!P$12</f>
        <v>2036</v>
      </c>
      <c r="E1364" s="366" t="s">
        <v>1741</v>
      </c>
      <c r="F1364" s="366" t="s">
        <v>1749</v>
      </c>
      <c r="G1364" s="348" t="str">
        <f>"'"&amp;$C1364&amp;"'!rows 56, 63, 68"</f>
        <v>'BLD_CH'!rows 56, 63, 68</v>
      </c>
      <c r="H1364" s="381">
        <f ca="1">IF(IFERROR(INDEX(DATA_PROPERTY_MASTER!$E$5:$E$21,MATCH($C1364,DATA_PROPERTY_MASTER!$A$5:$A$21,0))="Yes",FALSE),(IFERROR(INDEX(INDIRECT("'"&amp;$C1364&amp;"'!$E$56:$Y$56"),1,MATCH($D1364,INDIRECT("'"&amp;$C1364&amp;"'!$E$12:$Y$12"),0)),0)+MAX(IFERROR(INDEX(INDIRECT("'"&amp;$C1364&amp;"'!$E$63:$Y$63"),1,MATCH($D1364,INDIRECT("'"&amp;$C1364&amp;"'!$E$12:$Y$12"),0)),0),0))-(IFERROR(INDEX(INDIRECT("'"&amp;$C1364&amp;"'!$E$68:$Y$68"),1,MATCH($D1364,INDIRECT("'"&amp;$C1364&amp;"'!$E$12:$Y$12"),0)),0)),0)</f>
        <v>0</v>
      </c>
      <c r="I1364" s="366" t="s">
        <v>1750</v>
      </c>
      <c r="J1364" s="348" t="str">
        <f t="shared" ca="1" si="42"/>
        <v>OK</v>
      </c>
      <c r="K1364" s="366" t="s">
        <v>1751</v>
      </c>
      <c r="L1364" s="366" t="s">
        <v>2266</v>
      </c>
      <c r="M1364" s="350" t="str">
        <f>IF($B1364="Portfolio","Portfolio",IFERROR(INDEX(DATA_ASSET_CLASSIFICATION!$B$8:$B$24,MATCH($C1364,DATA_ASSET_CLASSIFICATION!$A$8:$A$24,0)),"Review"))</f>
        <v>Capilano House</v>
      </c>
      <c r="N1364" s="350" t="str">
        <f ca="1">IF($B1364="Portfolio","Portfolio",IFERROR(INDEX(DATA_ASSET_CLASSIFICATION!$U$8:$U$24,MATCH($C1364,DATA_ASSET_CLASSIFICATION!$A$8:$A$24,0)),"Review"))</f>
        <v>Stable</v>
      </c>
      <c r="O1364" s="350" t="str">
        <f ca="1">IF($B1364="Portfolio","Portfolio",IFERROR(INDEX(DATA_ASSET_CLASSIFICATION!$AB$8:$AB$13,MATCH($N1364,DATA_ASSET_CLASSIFICATION!$AA$8:$AA$13,0)),"Review"))</f>
        <v>Bucket 2 · Legacy</v>
      </c>
      <c r="P1364" s="350" t="str">
        <f>IF($B1364="Portfolio","Portfolio",IFERROR(INDEX(DATA_ASSET_CLASSIFICATION!$C$8:$C$24,MATCH($C1364,DATA_ASSET_CLASSIFICATION!$A$8:$A$24,0)),"Review"))</f>
        <v>Yes</v>
      </c>
      <c r="Q1364" s="350" t="str">
        <f t="shared" ca="1" si="43"/>
        <v>OK</v>
      </c>
    </row>
    <row r="1365" spans="1:17">
      <c r="A1365" s="366" t="s">
        <v>3321</v>
      </c>
      <c r="B1365" s="366" t="s">
        <v>231</v>
      </c>
      <c r="C1365" s="348" t="str">
        <f>DATA_PROPERTY_MASTER!$A$8</f>
        <v>BLD_CH</v>
      </c>
      <c r="D1365" s="380">
        <f>'00_PORTFOLIO ROLLUP'!Q$12</f>
        <v>2037</v>
      </c>
      <c r="E1365" s="366" t="s">
        <v>1683</v>
      </c>
      <c r="F1365" s="366" t="s">
        <v>341</v>
      </c>
      <c r="G1365" s="348" t="str">
        <f>"'"&amp;$C1365&amp;"'!$E$24:$Y$24"</f>
        <v>'BLD_CH'!$E$24:$Y$24</v>
      </c>
      <c r="H1365" s="381">
        <f ca="1">IF(IFERROR(INDEX(DATA_PROPERTY_MASTER!$E$5:$E$21,MATCH($C1365,DATA_PROPERTY_MASTER!$A$5:$A$21,0))="Yes",FALSE),IFERROR(INDEX(INDIRECT("'"&amp;$C1365&amp;"'!$E$24:$Y$24"),1,MATCH($D1365,INDIRECT("'"&amp;$C1365&amp;"'!$E$12:$Y$12"),0)),0),0)</f>
        <v>1224602.6901725584</v>
      </c>
      <c r="I1365" s="366" t="s">
        <v>1685</v>
      </c>
      <c r="J1365" s="348" t="str">
        <f t="shared" ca="1" si="42"/>
        <v>OK</v>
      </c>
      <c r="K1365" s="366" t="s">
        <v>1686</v>
      </c>
      <c r="L1365" s="366" t="s">
        <v>2234</v>
      </c>
      <c r="M1365" s="350" t="str">
        <f>IF($B1365="Portfolio","Portfolio",IFERROR(INDEX(DATA_ASSET_CLASSIFICATION!$B$8:$B$24,MATCH($C1365,DATA_ASSET_CLASSIFICATION!$A$8:$A$24,0)),"Review"))</f>
        <v>Capilano House</v>
      </c>
      <c r="N1365" s="350" t="str">
        <f ca="1">IF($B1365="Portfolio","Portfolio",IFERROR(INDEX(DATA_ASSET_CLASSIFICATION!$U$8:$U$24,MATCH($C1365,DATA_ASSET_CLASSIFICATION!$A$8:$A$24,0)),"Review"))</f>
        <v>Stable</v>
      </c>
      <c r="O1365" s="350" t="str">
        <f ca="1">IF($B1365="Portfolio","Portfolio",IFERROR(INDEX(DATA_ASSET_CLASSIFICATION!$AB$8:$AB$13,MATCH($N1365,DATA_ASSET_CLASSIFICATION!$AA$8:$AA$13,0)),"Review"))</f>
        <v>Bucket 2 · Legacy</v>
      </c>
      <c r="P1365" s="350" t="str">
        <f>IF($B1365="Portfolio","Portfolio",IFERROR(INDEX(DATA_ASSET_CLASSIFICATION!$C$8:$C$24,MATCH($C1365,DATA_ASSET_CLASSIFICATION!$A$8:$A$24,0)),"Review"))</f>
        <v>Yes</v>
      </c>
      <c r="Q1365" s="350" t="str">
        <f t="shared" ca="1" si="43"/>
        <v>OK</v>
      </c>
    </row>
    <row r="1366" spans="1:17">
      <c r="A1366" s="366" t="s">
        <v>3322</v>
      </c>
      <c r="B1366" s="366" t="s">
        <v>231</v>
      </c>
      <c r="C1366" s="348" t="str">
        <f>DATA_PROPERTY_MASTER!$A$8</f>
        <v>BLD_CH</v>
      </c>
      <c r="D1366" s="380">
        <f>'00_PORTFOLIO ROLLUP'!Q$12</f>
        <v>2037</v>
      </c>
      <c r="E1366" s="366" t="s">
        <v>1683</v>
      </c>
      <c r="F1366" s="366" t="s">
        <v>355</v>
      </c>
      <c r="G1366" s="348" t="str">
        <f>"'"&amp;$C1366&amp;"'!$E$39:$Y$39"</f>
        <v>'BLD_CH'!$E$39:$Y$39</v>
      </c>
      <c r="H1366" s="381">
        <f ca="1">IF(IFERROR(INDEX(DATA_PROPERTY_MASTER!$E$5:$E$21,MATCH($C1366,DATA_PROPERTY_MASTER!$A$5:$A$21,0))="Yes",FALSE),IFERROR(INDEX(INDIRECT("'"&amp;$C1366&amp;"'!$E$39:$Y$39"),1,MATCH($D1366,INDIRECT("'"&amp;$C1366&amp;"'!$E$12:$Y$12"),0)),0),0)</f>
        <v>749122.92671079934</v>
      </c>
      <c r="I1366" s="366" t="s">
        <v>1690</v>
      </c>
      <c r="J1366" s="348" t="str">
        <f t="shared" ca="1" si="42"/>
        <v>OK</v>
      </c>
      <c r="K1366" s="366" t="s">
        <v>1686</v>
      </c>
      <c r="L1366" s="366" t="s">
        <v>2236</v>
      </c>
      <c r="M1366" s="350" t="str">
        <f>IF($B1366="Portfolio","Portfolio",IFERROR(INDEX(DATA_ASSET_CLASSIFICATION!$B$8:$B$24,MATCH($C1366,DATA_ASSET_CLASSIFICATION!$A$8:$A$24,0)),"Review"))</f>
        <v>Capilano House</v>
      </c>
      <c r="N1366" s="350" t="str">
        <f ca="1">IF($B1366="Portfolio","Portfolio",IFERROR(INDEX(DATA_ASSET_CLASSIFICATION!$U$8:$U$24,MATCH($C1366,DATA_ASSET_CLASSIFICATION!$A$8:$A$24,0)),"Review"))</f>
        <v>Stable</v>
      </c>
      <c r="O1366" s="350" t="str">
        <f ca="1">IF($B1366="Portfolio","Portfolio",IFERROR(INDEX(DATA_ASSET_CLASSIFICATION!$AB$8:$AB$13,MATCH($N1366,DATA_ASSET_CLASSIFICATION!$AA$8:$AA$13,0)),"Review"))</f>
        <v>Bucket 2 · Legacy</v>
      </c>
      <c r="P1366" s="350" t="str">
        <f>IF($B1366="Portfolio","Portfolio",IFERROR(INDEX(DATA_ASSET_CLASSIFICATION!$C$8:$C$24,MATCH($C1366,DATA_ASSET_CLASSIFICATION!$A$8:$A$24,0)),"Review"))</f>
        <v>Yes</v>
      </c>
      <c r="Q1366" s="350" t="str">
        <f t="shared" ca="1" si="43"/>
        <v>OK</v>
      </c>
    </row>
    <row r="1367" spans="1:17">
      <c r="A1367" s="366" t="s">
        <v>3323</v>
      </c>
      <c r="B1367" s="366" t="s">
        <v>231</v>
      </c>
      <c r="C1367" s="348" t="str">
        <f>DATA_PROPERTY_MASTER!$A$8</f>
        <v>BLD_CH</v>
      </c>
      <c r="D1367" s="380">
        <f>'00_PORTFOLIO ROLLUP'!Q$12</f>
        <v>2037</v>
      </c>
      <c r="E1367" s="366" t="s">
        <v>1683</v>
      </c>
      <c r="F1367" s="366" t="s">
        <v>19</v>
      </c>
      <c r="G1367" s="348" t="str">
        <f>"'"&amp;$C1367&amp;"'!$E$41:$Y$41"</f>
        <v>'BLD_CH'!$E$41:$Y$41</v>
      </c>
      <c r="H1367" s="381">
        <f ca="1">IF(IFERROR(INDEX(DATA_PROPERTY_MASTER!$E$5:$E$21,MATCH($C1367,DATA_PROPERTY_MASTER!$A$5:$A$21,0))="Yes",FALSE),IFERROR(INDEX(INDIRECT("'"&amp;$C1367&amp;"'!$E$41:$Y$41"),1,MATCH($D1367,INDIRECT("'"&amp;$C1367&amp;"'!$E$12:$Y$12"),0)),0),0)</f>
        <v>475479.76346175908</v>
      </c>
      <c r="I1367" s="366" t="s">
        <v>1685</v>
      </c>
      <c r="J1367" s="348" t="str">
        <f t="shared" ca="1" si="42"/>
        <v>OK</v>
      </c>
      <c r="K1367" s="366" t="s">
        <v>1694</v>
      </c>
      <c r="L1367" s="366" t="s">
        <v>2238</v>
      </c>
      <c r="M1367" s="350" t="str">
        <f>IF($B1367="Portfolio","Portfolio",IFERROR(INDEX(DATA_ASSET_CLASSIFICATION!$B$8:$B$24,MATCH($C1367,DATA_ASSET_CLASSIFICATION!$A$8:$A$24,0)),"Review"))</f>
        <v>Capilano House</v>
      </c>
      <c r="N1367" s="350" t="str">
        <f ca="1">IF($B1367="Portfolio","Portfolio",IFERROR(INDEX(DATA_ASSET_CLASSIFICATION!$U$8:$U$24,MATCH($C1367,DATA_ASSET_CLASSIFICATION!$A$8:$A$24,0)),"Review"))</f>
        <v>Stable</v>
      </c>
      <c r="O1367" s="350" t="str">
        <f ca="1">IF($B1367="Portfolio","Portfolio",IFERROR(INDEX(DATA_ASSET_CLASSIFICATION!$AB$8:$AB$13,MATCH($N1367,DATA_ASSET_CLASSIFICATION!$AA$8:$AA$13,0)),"Review"))</f>
        <v>Bucket 2 · Legacy</v>
      </c>
      <c r="P1367" s="350" t="str">
        <f>IF($B1367="Portfolio","Portfolio",IFERROR(INDEX(DATA_ASSET_CLASSIFICATION!$C$8:$C$24,MATCH($C1367,DATA_ASSET_CLASSIFICATION!$A$8:$A$24,0)),"Review"))</f>
        <v>Yes</v>
      </c>
      <c r="Q1367" s="350" t="str">
        <f t="shared" ca="1" si="43"/>
        <v>OK</v>
      </c>
    </row>
    <row r="1368" spans="1:17">
      <c r="A1368" s="366" t="s">
        <v>3324</v>
      </c>
      <c r="B1368" s="366" t="s">
        <v>231</v>
      </c>
      <c r="C1368" s="348" t="str">
        <f>DATA_PROPERTY_MASTER!$A$8</f>
        <v>BLD_CH</v>
      </c>
      <c r="D1368" s="380">
        <f>'00_PORTFOLIO ROLLUP'!Q$12</f>
        <v>2037</v>
      </c>
      <c r="E1368" s="366" t="s">
        <v>1683</v>
      </c>
      <c r="F1368" s="366" t="s">
        <v>1697</v>
      </c>
      <c r="G1368" s="348" t="str">
        <f>"'"&amp;$C1368&amp;"'!$E$44:$Y$44"</f>
        <v>'BLD_CH'!$E$44:$Y$44</v>
      </c>
      <c r="H1368" s="381">
        <f ca="1">IF(IFERROR(INDEX(DATA_PROPERTY_MASTER!$E$5:$E$21,MATCH($C1368,DATA_PROPERTY_MASTER!$A$5:$A$21,0))="Yes",FALSE),IFERROR(INDEX(INDIRECT("'"&amp;$C1368&amp;"'!$E$44:$Y$44"),1,MATCH($D1368,INDIRECT("'"&amp;$C1368&amp;"'!$E$12:$Y$12"),0)),0),0)</f>
        <v>12175.121227800435</v>
      </c>
      <c r="I1368" s="366" t="s">
        <v>1690</v>
      </c>
      <c r="J1368" s="348" t="str">
        <f t="shared" ca="1" si="42"/>
        <v>OK</v>
      </c>
      <c r="K1368" s="366" t="s">
        <v>1699</v>
      </c>
      <c r="L1368" s="366" t="s">
        <v>2240</v>
      </c>
      <c r="M1368" s="350" t="str">
        <f>IF($B1368="Portfolio","Portfolio",IFERROR(INDEX(DATA_ASSET_CLASSIFICATION!$B$8:$B$24,MATCH($C1368,DATA_ASSET_CLASSIFICATION!$A$8:$A$24,0)),"Review"))</f>
        <v>Capilano House</v>
      </c>
      <c r="N1368" s="350" t="str">
        <f ca="1">IF($B1368="Portfolio","Portfolio",IFERROR(INDEX(DATA_ASSET_CLASSIFICATION!$U$8:$U$24,MATCH($C1368,DATA_ASSET_CLASSIFICATION!$A$8:$A$24,0)),"Review"))</f>
        <v>Stable</v>
      </c>
      <c r="O1368" s="350" t="str">
        <f ca="1">IF($B1368="Portfolio","Portfolio",IFERROR(INDEX(DATA_ASSET_CLASSIFICATION!$AB$8:$AB$13,MATCH($N1368,DATA_ASSET_CLASSIFICATION!$AA$8:$AA$13,0)),"Review"))</f>
        <v>Bucket 2 · Legacy</v>
      </c>
      <c r="P1368" s="350" t="str">
        <f>IF($B1368="Portfolio","Portfolio",IFERROR(INDEX(DATA_ASSET_CLASSIFICATION!$C$8:$C$24,MATCH($C1368,DATA_ASSET_CLASSIFICATION!$A$8:$A$24,0)),"Review"))</f>
        <v>Yes</v>
      </c>
      <c r="Q1368" s="350" t="str">
        <f t="shared" ca="1" si="43"/>
        <v>OK</v>
      </c>
    </row>
    <row r="1369" spans="1:17">
      <c r="A1369" s="366" t="s">
        <v>3325</v>
      </c>
      <c r="B1369" s="366" t="s">
        <v>231</v>
      </c>
      <c r="C1369" s="348" t="str">
        <f>DATA_PROPERTY_MASTER!$A$8</f>
        <v>BLD_CH</v>
      </c>
      <c r="D1369" s="380">
        <f>'00_PORTFOLIO ROLLUP'!Q$12</f>
        <v>2037</v>
      </c>
      <c r="E1369" s="366" t="s">
        <v>1683</v>
      </c>
      <c r="F1369" s="366" t="s">
        <v>21</v>
      </c>
      <c r="G1369" s="348" t="str">
        <f>"'"&amp;$C1369&amp;"'!$E$45:$Y$45"</f>
        <v>'BLD_CH'!$E$45:$Y$45</v>
      </c>
      <c r="H1369" s="381">
        <f ca="1">IF(IFERROR(INDEX(DATA_PROPERTY_MASTER!$E$5:$E$21,MATCH($C1369,DATA_PROPERTY_MASTER!$A$5:$A$21,0))="Yes",FALSE),IFERROR(INDEX(INDIRECT("'"&amp;$C1369&amp;"'!$E$45:$Y$45"),1,MATCH($D1369,INDIRECT("'"&amp;$C1369&amp;"'!$E$12:$Y$12"),0)),0),0)</f>
        <v>463304.64223395864</v>
      </c>
      <c r="I1369" s="366" t="s">
        <v>1685</v>
      </c>
      <c r="J1369" s="348" t="str">
        <f t="shared" ca="1" si="42"/>
        <v>OK</v>
      </c>
      <c r="K1369" s="366" t="s">
        <v>1694</v>
      </c>
      <c r="L1369" s="366" t="s">
        <v>2242</v>
      </c>
      <c r="M1369" s="350" t="str">
        <f>IF($B1369="Portfolio","Portfolio",IFERROR(INDEX(DATA_ASSET_CLASSIFICATION!$B$8:$B$24,MATCH($C1369,DATA_ASSET_CLASSIFICATION!$A$8:$A$24,0)),"Review"))</f>
        <v>Capilano House</v>
      </c>
      <c r="N1369" s="350" t="str">
        <f ca="1">IF($B1369="Portfolio","Portfolio",IFERROR(INDEX(DATA_ASSET_CLASSIFICATION!$U$8:$U$24,MATCH($C1369,DATA_ASSET_CLASSIFICATION!$A$8:$A$24,0)),"Review"))</f>
        <v>Stable</v>
      </c>
      <c r="O1369" s="350" t="str">
        <f ca="1">IF($B1369="Portfolio","Portfolio",IFERROR(INDEX(DATA_ASSET_CLASSIFICATION!$AB$8:$AB$13,MATCH($N1369,DATA_ASSET_CLASSIFICATION!$AA$8:$AA$13,0)),"Review"))</f>
        <v>Bucket 2 · Legacy</v>
      </c>
      <c r="P1369" s="350" t="str">
        <f>IF($B1369="Portfolio","Portfolio",IFERROR(INDEX(DATA_ASSET_CLASSIFICATION!$C$8:$C$24,MATCH($C1369,DATA_ASSET_CLASSIFICATION!$A$8:$A$24,0)),"Review"))</f>
        <v>Yes</v>
      </c>
      <c r="Q1369" s="350" t="str">
        <f t="shared" ca="1" si="43"/>
        <v>OK</v>
      </c>
    </row>
    <row r="1370" spans="1:17">
      <c r="A1370" s="366" t="s">
        <v>3326</v>
      </c>
      <c r="B1370" s="366" t="s">
        <v>231</v>
      </c>
      <c r="C1370" s="348" t="str">
        <f>DATA_PROPERTY_MASTER!$A$8</f>
        <v>BLD_CH</v>
      </c>
      <c r="D1370" s="380">
        <f>'00_PORTFOLIO ROLLUP'!Q$12</f>
        <v>2037</v>
      </c>
      <c r="E1370" s="366" t="s">
        <v>23</v>
      </c>
      <c r="F1370" s="366" t="s">
        <v>23</v>
      </c>
      <c r="G1370" s="348" t="str">
        <f>"'"&amp;$C1370&amp;"'!$E$48:$Y$48"</f>
        <v>'BLD_CH'!$E$48:$Y$48</v>
      </c>
      <c r="H1370" s="381">
        <f ca="1">IF(IFERROR(INDEX(DATA_PROPERTY_MASTER!$E$5:$E$21,MATCH($C1370,DATA_PROPERTY_MASTER!$A$5:$A$21,0))="Yes",FALSE),IFERROR(INDEX(INDIRECT("'"&amp;$C1370&amp;"'!$E$48:$Y$48"),1,MATCH($D1370,INDIRECT("'"&amp;$C1370&amp;"'!$E$12:$Y$12"),0)),0),0)</f>
        <v>0</v>
      </c>
      <c r="I1370" s="366" t="s">
        <v>1690</v>
      </c>
      <c r="J1370" s="348" t="str">
        <f t="shared" ca="1" si="42"/>
        <v>OK</v>
      </c>
      <c r="K1370" s="366" t="s">
        <v>1706</v>
      </c>
      <c r="L1370" s="366" t="s">
        <v>2244</v>
      </c>
      <c r="M1370" s="350" t="str">
        <f>IF($B1370="Portfolio","Portfolio",IFERROR(INDEX(DATA_ASSET_CLASSIFICATION!$B$8:$B$24,MATCH($C1370,DATA_ASSET_CLASSIFICATION!$A$8:$A$24,0)),"Review"))</f>
        <v>Capilano House</v>
      </c>
      <c r="N1370" s="350" t="str">
        <f ca="1">IF($B1370="Portfolio","Portfolio",IFERROR(INDEX(DATA_ASSET_CLASSIFICATION!$U$8:$U$24,MATCH($C1370,DATA_ASSET_CLASSIFICATION!$A$8:$A$24,0)),"Review"))</f>
        <v>Stable</v>
      </c>
      <c r="O1370" s="350" t="str">
        <f ca="1">IF($B1370="Portfolio","Portfolio",IFERROR(INDEX(DATA_ASSET_CLASSIFICATION!$AB$8:$AB$13,MATCH($N1370,DATA_ASSET_CLASSIFICATION!$AA$8:$AA$13,0)),"Review"))</f>
        <v>Bucket 2 · Legacy</v>
      </c>
      <c r="P1370" s="350" t="str">
        <f>IF($B1370="Portfolio","Portfolio",IFERROR(INDEX(DATA_ASSET_CLASSIFICATION!$C$8:$C$24,MATCH($C1370,DATA_ASSET_CLASSIFICATION!$A$8:$A$24,0)),"Review"))</f>
        <v>Yes</v>
      </c>
      <c r="Q1370" s="350" t="str">
        <f t="shared" ca="1" si="43"/>
        <v>OK</v>
      </c>
    </row>
    <row r="1371" spans="1:17">
      <c r="A1371" s="366" t="s">
        <v>3327</v>
      </c>
      <c r="B1371" s="366" t="s">
        <v>231</v>
      </c>
      <c r="C1371" s="348" t="str">
        <f>DATA_PROPERTY_MASTER!$A$8</f>
        <v>BLD_CH</v>
      </c>
      <c r="D1371" s="380">
        <f>'00_PORTFOLIO ROLLUP'!Q$12</f>
        <v>2037</v>
      </c>
      <c r="E1371" s="366" t="s">
        <v>1683</v>
      </c>
      <c r="F1371" s="366" t="s">
        <v>25</v>
      </c>
      <c r="G1371" s="348" t="str">
        <f>"'"&amp;$C1371&amp;"'!$E$52:$Y$52"</f>
        <v>'BLD_CH'!$E$52:$Y$52</v>
      </c>
      <c r="H1371" s="381">
        <f ca="1">IF(IFERROR(INDEX(DATA_PROPERTY_MASTER!$E$5:$E$21,MATCH($C1371,DATA_PROPERTY_MASTER!$A$5:$A$21,0))="Yes",FALSE),IFERROR(INDEX(INDIRECT("'"&amp;$C1371&amp;"'!$E$52:$Y$52"),1,MATCH($D1371,INDIRECT("'"&amp;$C1371&amp;"'!$E$12:$Y$12"),0)),0),0)</f>
        <v>475479.76346175908</v>
      </c>
      <c r="I1371" s="366" t="s">
        <v>1685</v>
      </c>
      <c r="J1371" s="348" t="str">
        <f t="shared" ca="1" si="42"/>
        <v>OK</v>
      </c>
      <c r="K1371" s="366" t="s">
        <v>1710</v>
      </c>
      <c r="L1371" s="366" t="s">
        <v>2246</v>
      </c>
      <c r="M1371" s="350" t="str">
        <f>IF($B1371="Portfolio","Portfolio",IFERROR(INDEX(DATA_ASSET_CLASSIFICATION!$B$8:$B$24,MATCH($C1371,DATA_ASSET_CLASSIFICATION!$A$8:$A$24,0)),"Review"))</f>
        <v>Capilano House</v>
      </c>
      <c r="N1371" s="350" t="str">
        <f ca="1">IF($B1371="Portfolio","Portfolio",IFERROR(INDEX(DATA_ASSET_CLASSIFICATION!$U$8:$U$24,MATCH($C1371,DATA_ASSET_CLASSIFICATION!$A$8:$A$24,0)),"Review"))</f>
        <v>Stable</v>
      </c>
      <c r="O1371" s="350" t="str">
        <f ca="1">IF($B1371="Portfolio","Portfolio",IFERROR(INDEX(DATA_ASSET_CLASSIFICATION!$AB$8:$AB$13,MATCH($N1371,DATA_ASSET_CLASSIFICATION!$AA$8:$AA$13,0)),"Review"))</f>
        <v>Bucket 2 · Legacy</v>
      </c>
      <c r="P1371" s="350" t="str">
        <f>IF($B1371="Portfolio","Portfolio",IFERROR(INDEX(DATA_ASSET_CLASSIFICATION!$C$8:$C$24,MATCH($C1371,DATA_ASSET_CLASSIFICATION!$A$8:$A$24,0)),"Review"))</f>
        <v>Yes</v>
      </c>
      <c r="Q1371" s="350" t="str">
        <f t="shared" ca="1" si="43"/>
        <v>OK</v>
      </c>
    </row>
    <row r="1372" spans="1:17">
      <c r="A1372" s="366" t="s">
        <v>3328</v>
      </c>
      <c r="B1372" s="366" t="s">
        <v>231</v>
      </c>
      <c r="C1372" s="348" t="str">
        <f>DATA_PROPERTY_MASTER!$A$8</f>
        <v>BLD_CH</v>
      </c>
      <c r="D1372" s="380">
        <f>'00_PORTFOLIO ROLLUP'!Q$12</f>
        <v>2037</v>
      </c>
      <c r="E1372" s="366" t="s">
        <v>1683</v>
      </c>
      <c r="F1372" s="366" t="s">
        <v>27</v>
      </c>
      <c r="G1372" s="348" t="str">
        <f>"'"&amp;$C1372&amp;"'!$E$54:$Y$54"</f>
        <v>'BLD_CH'!$E$54:$Y$54</v>
      </c>
      <c r="H1372" s="381">
        <f ca="1">IF(IFERROR(INDEX(DATA_PROPERTY_MASTER!$E$5:$E$21,MATCH($C1372,DATA_PROPERTY_MASTER!$A$5:$A$21,0))="Yes",FALSE),IFERROR(INDEX(INDIRECT("'"&amp;$C1372&amp;"'!$E$54:$Y$54"),1,MATCH($D1372,INDIRECT("'"&amp;$C1372&amp;"'!$E$12:$Y$12"),0)),0),0)</f>
        <v>285287.85807705543</v>
      </c>
      <c r="I1372" s="366" t="s">
        <v>1690</v>
      </c>
      <c r="J1372" s="348" t="str">
        <f t="shared" ca="1" si="42"/>
        <v>OK</v>
      </c>
      <c r="K1372" s="366" t="s">
        <v>1714</v>
      </c>
      <c r="L1372" s="366" t="s">
        <v>2248</v>
      </c>
      <c r="M1372" s="350" t="str">
        <f>IF($B1372="Portfolio","Portfolio",IFERROR(INDEX(DATA_ASSET_CLASSIFICATION!$B$8:$B$24,MATCH($C1372,DATA_ASSET_CLASSIFICATION!$A$8:$A$24,0)),"Review"))</f>
        <v>Capilano House</v>
      </c>
      <c r="N1372" s="350" t="str">
        <f ca="1">IF($B1372="Portfolio","Portfolio",IFERROR(INDEX(DATA_ASSET_CLASSIFICATION!$U$8:$U$24,MATCH($C1372,DATA_ASSET_CLASSIFICATION!$A$8:$A$24,0)),"Review"))</f>
        <v>Stable</v>
      </c>
      <c r="O1372" s="350" t="str">
        <f ca="1">IF($B1372="Portfolio","Portfolio",IFERROR(INDEX(DATA_ASSET_CLASSIFICATION!$AB$8:$AB$13,MATCH($N1372,DATA_ASSET_CLASSIFICATION!$AA$8:$AA$13,0)),"Review"))</f>
        <v>Bucket 2 · Legacy</v>
      </c>
      <c r="P1372" s="350" t="str">
        <f>IF($B1372="Portfolio","Portfolio",IFERROR(INDEX(DATA_ASSET_CLASSIFICATION!$C$8:$C$24,MATCH($C1372,DATA_ASSET_CLASSIFICATION!$A$8:$A$24,0)),"Review"))</f>
        <v>Yes</v>
      </c>
      <c r="Q1372" s="350" t="str">
        <f t="shared" ca="1" si="43"/>
        <v>OK</v>
      </c>
    </row>
    <row r="1373" spans="1:17">
      <c r="A1373" s="366" t="s">
        <v>3329</v>
      </c>
      <c r="B1373" s="366" t="s">
        <v>231</v>
      </c>
      <c r="C1373" s="348" t="str">
        <f>DATA_PROPERTY_MASTER!$A$8</f>
        <v>BLD_CH</v>
      </c>
      <c r="D1373" s="380">
        <f>'00_PORTFOLIO ROLLUP'!Q$12</f>
        <v>2037</v>
      </c>
      <c r="E1373" s="366" t="s">
        <v>1683</v>
      </c>
      <c r="F1373" s="366" t="s">
        <v>29</v>
      </c>
      <c r="G1373" s="348" t="str">
        <f>"'"&amp;$C1373&amp;"'!$E$56:$Y$56"</f>
        <v>'BLD_CH'!$E$56:$Y$56</v>
      </c>
      <c r="H1373" s="381">
        <f ca="1">IF(IFERROR(INDEX(DATA_PROPERTY_MASTER!$E$5:$E$21,MATCH($C1373,DATA_PROPERTY_MASTER!$A$5:$A$21,0))="Yes",FALSE),IFERROR(INDEX(INDIRECT("'"&amp;$C1373&amp;"'!$E$56:$Y$56"),1,MATCH($D1373,INDIRECT("'"&amp;$C1373&amp;"'!$E$12:$Y$12"),0)),0),0)</f>
        <v>190191.90538470366</v>
      </c>
      <c r="I1373" s="366" t="s">
        <v>1685</v>
      </c>
      <c r="J1373" s="348" t="str">
        <f t="shared" ca="1" si="42"/>
        <v>OK</v>
      </c>
      <c r="K1373" s="366" t="s">
        <v>1718</v>
      </c>
      <c r="L1373" s="366" t="s">
        <v>2250</v>
      </c>
      <c r="M1373" s="350" t="str">
        <f>IF($B1373="Portfolio","Portfolio",IFERROR(INDEX(DATA_ASSET_CLASSIFICATION!$B$8:$B$24,MATCH($C1373,DATA_ASSET_CLASSIFICATION!$A$8:$A$24,0)),"Review"))</f>
        <v>Capilano House</v>
      </c>
      <c r="N1373" s="350" t="str">
        <f ca="1">IF($B1373="Portfolio","Portfolio",IFERROR(INDEX(DATA_ASSET_CLASSIFICATION!$U$8:$U$24,MATCH($C1373,DATA_ASSET_CLASSIFICATION!$A$8:$A$24,0)),"Review"))</f>
        <v>Stable</v>
      </c>
      <c r="O1373" s="350" t="str">
        <f ca="1">IF($B1373="Portfolio","Portfolio",IFERROR(INDEX(DATA_ASSET_CLASSIFICATION!$AB$8:$AB$13,MATCH($N1373,DATA_ASSET_CLASSIFICATION!$AA$8:$AA$13,0)),"Review"))</f>
        <v>Bucket 2 · Legacy</v>
      </c>
      <c r="P1373" s="350" t="str">
        <f>IF($B1373="Portfolio","Portfolio",IFERROR(INDEX(DATA_ASSET_CLASSIFICATION!$C$8:$C$24,MATCH($C1373,DATA_ASSET_CLASSIFICATION!$A$8:$A$24,0)),"Review"))</f>
        <v>Yes</v>
      </c>
      <c r="Q1373" s="350" t="str">
        <f t="shared" ca="1" si="43"/>
        <v>OK</v>
      </c>
    </row>
    <row r="1374" spans="1:17">
      <c r="A1374" s="366" t="s">
        <v>3330</v>
      </c>
      <c r="B1374" s="366" t="s">
        <v>231</v>
      </c>
      <c r="C1374" s="348" t="str">
        <f>DATA_PROPERTY_MASTER!$A$8</f>
        <v>BLD_CH</v>
      </c>
      <c r="D1374" s="380">
        <f>'00_PORTFOLIO ROLLUP'!Q$12</f>
        <v>2037</v>
      </c>
      <c r="E1374" s="366" t="s">
        <v>1721</v>
      </c>
      <c r="F1374" s="366" t="s">
        <v>31</v>
      </c>
      <c r="G1374" s="348" t="str">
        <f>"'"&amp;$C1374&amp;"'!$E$61:$Y$61"</f>
        <v>'BLD_CH'!$E$61:$Y$61</v>
      </c>
      <c r="H1374" s="381">
        <f ca="1">IF(IFERROR(INDEX(DATA_PROPERTY_MASTER!$E$5:$E$21,MATCH($C1374,DATA_PROPERTY_MASTER!$A$5:$A$21,0))="Yes",FALSE),IFERROR(INDEX(INDIRECT("'"&amp;$C1374&amp;"'!$E$61:$Y$61"),1,MATCH($D1374,INDIRECT("'"&amp;$C1374&amp;"'!$E$12:$Y$12"),0)),0),0)</f>
        <v>0</v>
      </c>
      <c r="I1374" s="366" t="s">
        <v>1690</v>
      </c>
      <c r="J1374" s="348" t="str">
        <f t="shared" ca="1" si="42"/>
        <v>OK</v>
      </c>
      <c r="K1374" s="366" t="s">
        <v>1723</v>
      </c>
      <c r="L1374" s="366" t="s">
        <v>2252</v>
      </c>
      <c r="M1374" s="350" t="str">
        <f>IF($B1374="Portfolio","Portfolio",IFERROR(INDEX(DATA_ASSET_CLASSIFICATION!$B$8:$B$24,MATCH($C1374,DATA_ASSET_CLASSIFICATION!$A$8:$A$24,0)),"Review"))</f>
        <v>Capilano House</v>
      </c>
      <c r="N1374" s="350" t="str">
        <f ca="1">IF($B1374="Portfolio","Portfolio",IFERROR(INDEX(DATA_ASSET_CLASSIFICATION!$U$8:$U$24,MATCH($C1374,DATA_ASSET_CLASSIFICATION!$A$8:$A$24,0)),"Review"))</f>
        <v>Stable</v>
      </c>
      <c r="O1374" s="350" t="str">
        <f ca="1">IF($B1374="Portfolio","Portfolio",IFERROR(INDEX(DATA_ASSET_CLASSIFICATION!$AB$8:$AB$13,MATCH($N1374,DATA_ASSET_CLASSIFICATION!$AA$8:$AA$13,0)),"Review"))</f>
        <v>Bucket 2 · Legacy</v>
      </c>
      <c r="P1374" s="350" t="str">
        <f>IF($B1374="Portfolio","Portfolio",IFERROR(INDEX(DATA_ASSET_CLASSIFICATION!$C$8:$C$24,MATCH($C1374,DATA_ASSET_CLASSIFICATION!$A$8:$A$24,0)),"Review"))</f>
        <v>Yes</v>
      </c>
      <c r="Q1374" s="350" t="str">
        <f t="shared" ca="1" si="43"/>
        <v>OK</v>
      </c>
    </row>
    <row r="1375" spans="1:17">
      <c r="A1375" s="366" t="s">
        <v>3331</v>
      </c>
      <c r="B1375" s="366" t="s">
        <v>231</v>
      </c>
      <c r="C1375" s="348" t="str">
        <f>DATA_PROPERTY_MASTER!$A$8</f>
        <v>BLD_CH</v>
      </c>
      <c r="D1375" s="380">
        <f>'00_PORTFOLIO ROLLUP'!Q$12</f>
        <v>2037</v>
      </c>
      <c r="E1375" s="366" t="s">
        <v>1721</v>
      </c>
      <c r="F1375" s="366" t="s">
        <v>33</v>
      </c>
      <c r="G1375" s="348" t="str">
        <f>"'"&amp;$C1375&amp;"'!$E$62:$Y$62"</f>
        <v>'BLD_CH'!$E$62:$Y$62</v>
      </c>
      <c r="H1375" s="381">
        <f ca="1">IF(IFERROR(INDEX(DATA_PROPERTY_MASTER!$E$5:$E$21,MATCH($C1375,DATA_PROPERTY_MASTER!$A$5:$A$21,0))="Yes",FALSE),IFERROR(INDEX(INDIRECT("'"&amp;$C1375&amp;"'!$E$62:$Y$62"),1,MATCH($D1375,INDIRECT("'"&amp;$C1375&amp;"'!$E$12:$Y$12"),0)),0),0)</f>
        <v>0</v>
      </c>
      <c r="I1375" s="366" t="s">
        <v>1685</v>
      </c>
      <c r="J1375" s="348" t="str">
        <f t="shared" ca="1" si="42"/>
        <v>OK</v>
      </c>
      <c r="K1375" s="366" t="s">
        <v>1727</v>
      </c>
      <c r="L1375" s="366" t="s">
        <v>2254</v>
      </c>
      <c r="M1375" s="350" t="str">
        <f>IF($B1375="Portfolio","Portfolio",IFERROR(INDEX(DATA_ASSET_CLASSIFICATION!$B$8:$B$24,MATCH($C1375,DATA_ASSET_CLASSIFICATION!$A$8:$A$24,0)),"Review"))</f>
        <v>Capilano House</v>
      </c>
      <c r="N1375" s="350" t="str">
        <f ca="1">IF($B1375="Portfolio","Portfolio",IFERROR(INDEX(DATA_ASSET_CLASSIFICATION!$U$8:$U$24,MATCH($C1375,DATA_ASSET_CLASSIFICATION!$A$8:$A$24,0)),"Review"))</f>
        <v>Stable</v>
      </c>
      <c r="O1375" s="350" t="str">
        <f ca="1">IF($B1375="Portfolio","Portfolio",IFERROR(INDEX(DATA_ASSET_CLASSIFICATION!$AB$8:$AB$13,MATCH($N1375,DATA_ASSET_CLASSIFICATION!$AA$8:$AA$13,0)),"Review"))</f>
        <v>Bucket 2 · Legacy</v>
      </c>
      <c r="P1375" s="350" t="str">
        <f>IF($B1375="Portfolio","Portfolio",IFERROR(INDEX(DATA_ASSET_CLASSIFICATION!$C$8:$C$24,MATCH($C1375,DATA_ASSET_CLASSIFICATION!$A$8:$A$24,0)),"Review"))</f>
        <v>Yes</v>
      </c>
      <c r="Q1375" s="350" t="str">
        <f t="shared" ca="1" si="43"/>
        <v>OK</v>
      </c>
    </row>
    <row r="1376" spans="1:17">
      <c r="A1376" s="366" t="s">
        <v>3332</v>
      </c>
      <c r="B1376" s="366" t="s">
        <v>231</v>
      </c>
      <c r="C1376" s="348" t="str">
        <f>DATA_PROPERTY_MASTER!$A$8</f>
        <v>BLD_CH</v>
      </c>
      <c r="D1376" s="380">
        <f>'00_PORTFOLIO ROLLUP'!Q$12</f>
        <v>2037</v>
      </c>
      <c r="E1376" s="366" t="s">
        <v>1721</v>
      </c>
      <c r="F1376" s="366" t="s">
        <v>35</v>
      </c>
      <c r="G1376" s="348" t="str">
        <f>"'"&amp;$C1376&amp;"'!$E$63:$Y$63"</f>
        <v>'BLD_CH'!$E$63:$Y$63</v>
      </c>
      <c r="H1376" s="381">
        <f ca="1">IF(IFERROR(INDEX(DATA_PROPERTY_MASTER!$E$5:$E$21,MATCH($C1376,DATA_PROPERTY_MASTER!$A$5:$A$21,0))="Yes",FALSE),IFERROR(INDEX(INDIRECT("'"&amp;$C1376&amp;"'!$E$63:$Y$63"),1,MATCH($D1376,INDIRECT("'"&amp;$C1376&amp;"'!$E$12:$Y$12"),0)),0),0)</f>
        <v>0</v>
      </c>
      <c r="I1376" s="366" t="s">
        <v>1731</v>
      </c>
      <c r="J1376" s="348" t="str">
        <f t="shared" ca="1" si="42"/>
        <v>OK</v>
      </c>
      <c r="K1376" s="366" t="s">
        <v>1732</v>
      </c>
      <c r="L1376" s="366" t="s">
        <v>2256</v>
      </c>
      <c r="M1376" s="350" t="str">
        <f>IF($B1376="Portfolio","Portfolio",IFERROR(INDEX(DATA_ASSET_CLASSIFICATION!$B$8:$B$24,MATCH($C1376,DATA_ASSET_CLASSIFICATION!$A$8:$A$24,0)),"Review"))</f>
        <v>Capilano House</v>
      </c>
      <c r="N1376" s="350" t="str">
        <f ca="1">IF($B1376="Portfolio","Portfolio",IFERROR(INDEX(DATA_ASSET_CLASSIFICATION!$U$8:$U$24,MATCH($C1376,DATA_ASSET_CLASSIFICATION!$A$8:$A$24,0)),"Review"))</f>
        <v>Stable</v>
      </c>
      <c r="O1376" s="350" t="str">
        <f ca="1">IF($B1376="Portfolio","Portfolio",IFERROR(INDEX(DATA_ASSET_CLASSIFICATION!$AB$8:$AB$13,MATCH($N1376,DATA_ASSET_CLASSIFICATION!$AA$8:$AA$13,0)),"Review"))</f>
        <v>Bucket 2 · Legacy</v>
      </c>
      <c r="P1376" s="350" t="str">
        <f>IF($B1376="Portfolio","Portfolio",IFERROR(INDEX(DATA_ASSET_CLASSIFICATION!$C$8:$C$24,MATCH($C1376,DATA_ASSET_CLASSIFICATION!$A$8:$A$24,0)),"Review"))</f>
        <v>Yes</v>
      </c>
      <c r="Q1376" s="350" t="str">
        <f t="shared" ca="1" si="43"/>
        <v>OK</v>
      </c>
    </row>
    <row r="1377" spans="1:17">
      <c r="A1377" s="366" t="s">
        <v>3333</v>
      </c>
      <c r="B1377" s="366" t="s">
        <v>231</v>
      </c>
      <c r="C1377" s="348" t="str">
        <f>DATA_PROPERTY_MASTER!$A$8</f>
        <v>BLD_CH</v>
      </c>
      <c r="D1377" s="380">
        <f>'00_PORTFOLIO ROLLUP'!Q$12</f>
        <v>2037</v>
      </c>
      <c r="E1377" s="366" t="s">
        <v>1721</v>
      </c>
      <c r="F1377" s="366" t="s">
        <v>37</v>
      </c>
      <c r="G1377" s="348" t="str">
        <f>"'"&amp;$C1377&amp;"'!$E$63:$Y$63"</f>
        <v>'BLD_CH'!$E$63:$Y$63</v>
      </c>
      <c r="H1377" s="381">
        <f ca="1">IF(IFERROR(INDEX(DATA_PROPERTY_MASTER!$E$5:$E$21,MATCH($C1377,DATA_PROPERTY_MASTER!$A$5:$A$21,0))="Yes",FALSE),MAX(IFERROR(INDEX(INDIRECT("'"&amp;$C1377&amp;"'!$E$63:$Y$63"),1,MATCH($D1377,INDIRECT("'"&amp;$C1377&amp;"'!$E$12:$Y$12"),0)),0),0),0)</f>
        <v>0</v>
      </c>
      <c r="I1377" s="366" t="s">
        <v>1685</v>
      </c>
      <c r="J1377" s="348" t="str">
        <f t="shared" ca="1" si="42"/>
        <v>OK</v>
      </c>
      <c r="K1377" s="366" t="s">
        <v>1735</v>
      </c>
      <c r="L1377" s="366" t="s">
        <v>2258</v>
      </c>
      <c r="M1377" s="350" t="str">
        <f>IF($B1377="Portfolio","Portfolio",IFERROR(INDEX(DATA_ASSET_CLASSIFICATION!$B$8:$B$24,MATCH($C1377,DATA_ASSET_CLASSIFICATION!$A$8:$A$24,0)),"Review"))</f>
        <v>Capilano House</v>
      </c>
      <c r="N1377" s="350" t="str">
        <f ca="1">IF($B1377="Portfolio","Portfolio",IFERROR(INDEX(DATA_ASSET_CLASSIFICATION!$U$8:$U$24,MATCH($C1377,DATA_ASSET_CLASSIFICATION!$A$8:$A$24,0)),"Review"))</f>
        <v>Stable</v>
      </c>
      <c r="O1377" s="350" t="str">
        <f ca="1">IF($B1377="Portfolio","Portfolio",IFERROR(INDEX(DATA_ASSET_CLASSIFICATION!$AB$8:$AB$13,MATCH($N1377,DATA_ASSET_CLASSIFICATION!$AA$8:$AA$13,0)),"Review"))</f>
        <v>Bucket 2 · Legacy</v>
      </c>
      <c r="P1377" s="350" t="str">
        <f>IF($B1377="Portfolio","Portfolio",IFERROR(INDEX(DATA_ASSET_CLASSIFICATION!$C$8:$C$24,MATCH($C1377,DATA_ASSET_CLASSIFICATION!$A$8:$A$24,0)),"Review"))</f>
        <v>Yes</v>
      </c>
      <c r="Q1377" s="350" t="str">
        <f t="shared" ca="1" si="43"/>
        <v>OK</v>
      </c>
    </row>
    <row r="1378" spans="1:17">
      <c r="A1378" s="366" t="s">
        <v>3334</v>
      </c>
      <c r="B1378" s="366" t="s">
        <v>231</v>
      </c>
      <c r="C1378" s="348" t="str">
        <f>DATA_PROPERTY_MASTER!$A$8</f>
        <v>BLD_CH</v>
      </c>
      <c r="D1378" s="380">
        <f>'00_PORTFOLIO ROLLUP'!Q$12</f>
        <v>2037</v>
      </c>
      <c r="E1378" s="366" t="s">
        <v>1721</v>
      </c>
      <c r="F1378" s="366" t="s">
        <v>39</v>
      </c>
      <c r="G1378" s="348" t="str">
        <f>"'"&amp;$C1378&amp;"'!$E$63:$Y$63"</f>
        <v>'BLD_CH'!$E$63:$Y$63</v>
      </c>
      <c r="H1378" s="381">
        <f ca="1">IF(IFERROR(INDEX(DATA_PROPERTY_MASTER!$E$5:$E$21,MATCH($C1378,DATA_PROPERTY_MASTER!$A$5:$A$21,0))="Yes",FALSE),MAX(-IFERROR(INDEX(INDIRECT("'"&amp;$C1378&amp;"'!$E$63:$Y$63"),1,MATCH($D1378,INDIRECT("'"&amp;$C1378&amp;"'!$E$12:$Y$12"),0)),0),0),0)</f>
        <v>0</v>
      </c>
      <c r="I1378" s="366" t="s">
        <v>1690</v>
      </c>
      <c r="J1378" s="348" t="str">
        <f t="shared" ca="1" si="42"/>
        <v>OK</v>
      </c>
      <c r="K1378" s="366" t="s">
        <v>1738</v>
      </c>
      <c r="L1378" s="366" t="s">
        <v>2260</v>
      </c>
      <c r="M1378" s="350" t="str">
        <f>IF($B1378="Portfolio","Portfolio",IFERROR(INDEX(DATA_ASSET_CLASSIFICATION!$B$8:$B$24,MATCH($C1378,DATA_ASSET_CLASSIFICATION!$A$8:$A$24,0)),"Review"))</f>
        <v>Capilano House</v>
      </c>
      <c r="N1378" s="350" t="str">
        <f ca="1">IF($B1378="Portfolio","Portfolio",IFERROR(INDEX(DATA_ASSET_CLASSIFICATION!$U$8:$U$24,MATCH($C1378,DATA_ASSET_CLASSIFICATION!$A$8:$A$24,0)),"Review"))</f>
        <v>Stable</v>
      </c>
      <c r="O1378" s="350" t="str">
        <f ca="1">IF($B1378="Portfolio","Portfolio",IFERROR(INDEX(DATA_ASSET_CLASSIFICATION!$AB$8:$AB$13,MATCH($N1378,DATA_ASSET_CLASSIFICATION!$AA$8:$AA$13,0)),"Review"))</f>
        <v>Bucket 2 · Legacy</v>
      </c>
      <c r="P1378" s="350" t="str">
        <f>IF($B1378="Portfolio","Portfolio",IFERROR(INDEX(DATA_ASSET_CLASSIFICATION!$C$8:$C$24,MATCH($C1378,DATA_ASSET_CLASSIFICATION!$A$8:$A$24,0)),"Review"))</f>
        <v>Yes</v>
      </c>
      <c r="Q1378" s="350" t="str">
        <f t="shared" ca="1" si="43"/>
        <v>OK</v>
      </c>
    </row>
    <row r="1379" spans="1:17">
      <c r="A1379" s="366" t="s">
        <v>3335</v>
      </c>
      <c r="B1379" s="366" t="s">
        <v>231</v>
      </c>
      <c r="C1379" s="348" t="str">
        <f>DATA_PROPERTY_MASTER!$A$8</f>
        <v>BLD_CH</v>
      </c>
      <c r="D1379" s="380">
        <f>'00_PORTFOLIO ROLLUP'!Q$12</f>
        <v>2037</v>
      </c>
      <c r="E1379" s="366" t="s">
        <v>1741</v>
      </c>
      <c r="F1379" s="366" t="s">
        <v>41</v>
      </c>
      <c r="G1379" s="348" t="str">
        <f>"'"&amp;$C1379&amp;"'!rows 56 + positive row 63"</f>
        <v>'BLD_CH'!rows 56 + positive row 63</v>
      </c>
      <c r="H1379" s="381">
        <f ca="1">IF(IFERROR(INDEX(DATA_PROPERTY_MASTER!$E$5:$E$21,MATCH($C1379,DATA_PROPERTY_MASTER!$A$5:$A$21,0))="Yes",FALSE),IFERROR(INDEX(INDIRECT("'"&amp;$C1379&amp;"'!$E$56:$Y$56"),1,MATCH($D1379,INDIRECT("'"&amp;$C1379&amp;"'!$E$12:$Y$12"),0)),0)+MAX(IFERROR(INDEX(INDIRECT("'"&amp;$C1379&amp;"'!$E$63:$Y$63"),1,MATCH($D1379,INDIRECT("'"&amp;$C1379&amp;"'!$E$12:$Y$12"),0)),0),0),0)</f>
        <v>190191.90538470366</v>
      </c>
      <c r="I1379" s="366" t="s">
        <v>1685</v>
      </c>
      <c r="J1379" s="348" t="str">
        <f t="shared" ca="1" si="42"/>
        <v>OK</v>
      </c>
      <c r="K1379" s="366" t="s">
        <v>1742</v>
      </c>
      <c r="L1379" s="366" t="s">
        <v>2262</v>
      </c>
      <c r="M1379" s="350" t="str">
        <f>IF($B1379="Portfolio","Portfolio",IFERROR(INDEX(DATA_ASSET_CLASSIFICATION!$B$8:$B$24,MATCH($C1379,DATA_ASSET_CLASSIFICATION!$A$8:$A$24,0)),"Review"))</f>
        <v>Capilano House</v>
      </c>
      <c r="N1379" s="350" t="str">
        <f ca="1">IF($B1379="Portfolio","Portfolio",IFERROR(INDEX(DATA_ASSET_CLASSIFICATION!$U$8:$U$24,MATCH($C1379,DATA_ASSET_CLASSIFICATION!$A$8:$A$24,0)),"Review"))</f>
        <v>Stable</v>
      </c>
      <c r="O1379" s="350" t="str">
        <f ca="1">IF($B1379="Portfolio","Portfolio",IFERROR(INDEX(DATA_ASSET_CLASSIFICATION!$AB$8:$AB$13,MATCH($N1379,DATA_ASSET_CLASSIFICATION!$AA$8:$AA$13,0)),"Review"))</f>
        <v>Bucket 2 · Legacy</v>
      </c>
      <c r="P1379" s="350" t="str">
        <f>IF($B1379="Portfolio","Portfolio",IFERROR(INDEX(DATA_ASSET_CLASSIFICATION!$C$8:$C$24,MATCH($C1379,DATA_ASSET_CLASSIFICATION!$A$8:$A$24,0)),"Review"))</f>
        <v>Yes</v>
      </c>
      <c r="Q1379" s="350" t="str">
        <f t="shared" ca="1" si="43"/>
        <v>OK</v>
      </c>
    </row>
    <row r="1380" spans="1:17">
      <c r="A1380" s="366" t="s">
        <v>3336</v>
      </c>
      <c r="B1380" s="366" t="s">
        <v>231</v>
      </c>
      <c r="C1380" s="348" t="str">
        <f>DATA_PROPERTY_MASTER!$A$8</f>
        <v>BLD_CH</v>
      </c>
      <c r="D1380" s="380">
        <f>'00_PORTFOLIO ROLLUP'!Q$12</f>
        <v>2037</v>
      </c>
      <c r="E1380" s="366" t="s">
        <v>1741</v>
      </c>
      <c r="F1380" s="366" t="s">
        <v>43</v>
      </c>
      <c r="G1380" s="348" t="str">
        <f>"'"&amp;$C1380&amp;"'!$E$68:$Y$68"</f>
        <v>'BLD_CH'!$E$68:$Y$68</v>
      </c>
      <c r="H1380" s="381">
        <f ca="1">IF(IFERROR(INDEX(DATA_PROPERTY_MASTER!$E$5:$E$21,MATCH($C1380,DATA_PROPERTY_MASTER!$A$5:$A$21,0))="Yes",FALSE),IFERROR(INDEX(INDIRECT("'"&amp;$C1380&amp;"'!$E$68:$Y$68"),1,MATCH($D1380,INDIRECT("'"&amp;$C1380&amp;"'!$E$12:$Y$12"),0)),0),0)</f>
        <v>190191.90538470366</v>
      </c>
      <c r="I1380" s="366" t="s">
        <v>1731</v>
      </c>
      <c r="J1380" s="348" t="str">
        <f t="shared" ca="1" si="42"/>
        <v>OK</v>
      </c>
      <c r="K1380" s="366" t="s">
        <v>1746</v>
      </c>
      <c r="L1380" s="366" t="s">
        <v>2264</v>
      </c>
      <c r="M1380" s="350" t="str">
        <f>IF($B1380="Portfolio","Portfolio",IFERROR(INDEX(DATA_ASSET_CLASSIFICATION!$B$8:$B$24,MATCH($C1380,DATA_ASSET_CLASSIFICATION!$A$8:$A$24,0)),"Review"))</f>
        <v>Capilano House</v>
      </c>
      <c r="N1380" s="350" t="str">
        <f ca="1">IF($B1380="Portfolio","Portfolio",IFERROR(INDEX(DATA_ASSET_CLASSIFICATION!$U$8:$U$24,MATCH($C1380,DATA_ASSET_CLASSIFICATION!$A$8:$A$24,0)),"Review"))</f>
        <v>Stable</v>
      </c>
      <c r="O1380" s="350" t="str">
        <f ca="1">IF($B1380="Portfolio","Portfolio",IFERROR(INDEX(DATA_ASSET_CLASSIFICATION!$AB$8:$AB$13,MATCH($N1380,DATA_ASSET_CLASSIFICATION!$AA$8:$AA$13,0)),"Review"))</f>
        <v>Bucket 2 · Legacy</v>
      </c>
      <c r="P1380" s="350" t="str">
        <f>IF($B1380="Portfolio","Portfolio",IFERROR(INDEX(DATA_ASSET_CLASSIFICATION!$C$8:$C$24,MATCH($C1380,DATA_ASSET_CLASSIFICATION!$A$8:$A$24,0)),"Review"))</f>
        <v>Yes</v>
      </c>
      <c r="Q1380" s="350" t="str">
        <f t="shared" ca="1" si="43"/>
        <v>OK</v>
      </c>
    </row>
    <row r="1381" spans="1:17">
      <c r="A1381" s="366" t="s">
        <v>3337</v>
      </c>
      <c r="B1381" s="366" t="s">
        <v>231</v>
      </c>
      <c r="C1381" s="348" t="str">
        <f>DATA_PROPERTY_MASTER!$A$8</f>
        <v>BLD_CH</v>
      </c>
      <c r="D1381" s="380">
        <f>'00_PORTFOLIO ROLLUP'!Q$12</f>
        <v>2037</v>
      </c>
      <c r="E1381" s="366" t="s">
        <v>1741</v>
      </c>
      <c r="F1381" s="366" t="s">
        <v>1749</v>
      </c>
      <c r="G1381" s="348" t="str">
        <f>"'"&amp;$C1381&amp;"'!rows 56, 63, 68"</f>
        <v>'BLD_CH'!rows 56, 63, 68</v>
      </c>
      <c r="H1381" s="381">
        <f ca="1">IF(IFERROR(INDEX(DATA_PROPERTY_MASTER!$E$5:$E$21,MATCH($C1381,DATA_PROPERTY_MASTER!$A$5:$A$21,0))="Yes",FALSE),(IFERROR(INDEX(INDIRECT("'"&amp;$C1381&amp;"'!$E$56:$Y$56"),1,MATCH($D1381,INDIRECT("'"&amp;$C1381&amp;"'!$E$12:$Y$12"),0)),0)+MAX(IFERROR(INDEX(INDIRECT("'"&amp;$C1381&amp;"'!$E$63:$Y$63"),1,MATCH($D1381,INDIRECT("'"&amp;$C1381&amp;"'!$E$12:$Y$12"),0)),0),0))-(IFERROR(INDEX(INDIRECT("'"&amp;$C1381&amp;"'!$E$68:$Y$68"),1,MATCH($D1381,INDIRECT("'"&amp;$C1381&amp;"'!$E$12:$Y$12"),0)),0)),0)</f>
        <v>0</v>
      </c>
      <c r="I1381" s="366" t="s">
        <v>1750</v>
      </c>
      <c r="J1381" s="348" t="str">
        <f t="shared" ca="1" si="42"/>
        <v>OK</v>
      </c>
      <c r="K1381" s="366" t="s">
        <v>1751</v>
      </c>
      <c r="L1381" s="366" t="s">
        <v>2266</v>
      </c>
      <c r="M1381" s="350" t="str">
        <f>IF($B1381="Portfolio","Portfolio",IFERROR(INDEX(DATA_ASSET_CLASSIFICATION!$B$8:$B$24,MATCH($C1381,DATA_ASSET_CLASSIFICATION!$A$8:$A$24,0)),"Review"))</f>
        <v>Capilano House</v>
      </c>
      <c r="N1381" s="350" t="str">
        <f ca="1">IF($B1381="Portfolio","Portfolio",IFERROR(INDEX(DATA_ASSET_CLASSIFICATION!$U$8:$U$24,MATCH($C1381,DATA_ASSET_CLASSIFICATION!$A$8:$A$24,0)),"Review"))</f>
        <v>Stable</v>
      </c>
      <c r="O1381" s="350" t="str">
        <f ca="1">IF($B1381="Portfolio","Portfolio",IFERROR(INDEX(DATA_ASSET_CLASSIFICATION!$AB$8:$AB$13,MATCH($N1381,DATA_ASSET_CLASSIFICATION!$AA$8:$AA$13,0)),"Review"))</f>
        <v>Bucket 2 · Legacy</v>
      </c>
      <c r="P1381" s="350" t="str">
        <f>IF($B1381="Portfolio","Portfolio",IFERROR(INDEX(DATA_ASSET_CLASSIFICATION!$C$8:$C$24,MATCH($C1381,DATA_ASSET_CLASSIFICATION!$A$8:$A$24,0)),"Review"))</f>
        <v>Yes</v>
      </c>
      <c r="Q1381" s="350" t="str">
        <f t="shared" ca="1" si="43"/>
        <v>OK</v>
      </c>
    </row>
    <row r="1382" spans="1:17">
      <c r="A1382" s="366" t="s">
        <v>3338</v>
      </c>
      <c r="B1382" s="366" t="s">
        <v>231</v>
      </c>
      <c r="C1382" s="348" t="str">
        <f>DATA_PROPERTY_MASTER!$A$8</f>
        <v>BLD_CH</v>
      </c>
      <c r="D1382" s="380">
        <f>'00_PORTFOLIO ROLLUP'!R$12</f>
        <v>2038</v>
      </c>
      <c r="E1382" s="366" t="s">
        <v>1683</v>
      </c>
      <c r="F1382" s="366" t="s">
        <v>341</v>
      </c>
      <c r="G1382" s="348" t="str">
        <f>"'"&amp;$C1382&amp;"'!$E$24:$Y$24"</f>
        <v>'BLD_CH'!$E$24:$Y$24</v>
      </c>
      <c r="H1382" s="381">
        <f ca="1">IF(IFERROR(INDEX(DATA_PROPERTY_MASTER!$E$5:$E$21,MATCH($C1382,DATA_PROPERTY_MASTER!$A$5:$A$21,0))="Yes",FALSE),IFERROR(INDEX(INDIRECT("'"&amp;$C1382&amp;"'!$E$24:$Y$24"),1,MATCH($D1382,INDIRECT("'"&amp;$C1382&amp;"'!$E$12:$Y$12"),0)),0),0)</f>
        <v>1249094.7439760098</v>
      </c>
      <c r="I1382" s="366" t="s">
        <v>1685</v>
      </c>
      <c r="J1382" s="348" t="str">
        <f t="shared" ca="1" si="42"/>
        <v>OK</v>
      </c>
      <c r="K1382" s="366" t="s">
        <v>1686</v>
      </c>
      <c r="L1382" s="366" t="s">
        <v>2234</v>
      </c>
      <c r="M1382" s="350" t="str">
        <f>IF($B1382="Portfolio","Portfolio",IFERROR(INDEX(DATA_ASSET_CLASSIFICATION!$B$8:$B$24,MATCH($C1382,DATA_ASSET_CLASSIFICATION!$A$8:$A$24,0)),"Review"))</f>
        <v>Capilano House</v>
      </c>
      <c r="N1382" s="350" t="str">
        <f ca="1">IF($B1382="Portfolio","Portfolio",IFERROR(INDEX(DATA_ASSET_CLASSIFICATION!$U$8:$U$24,MATCH($C1382,DATA_ASSET_CLASSIFICATION!$A$8:$A$24,0)),"Review"))</f>
        <v>Stable</v>
      </c>
      <c r="O1382" s="350" t="str">
        <f ca="1">IF($B1382="Portfolio","Portfolio",IFERROR(INDEX(DATA_ASSET_CLASSIFICATION!$AB$8:$AB$13,MATCH($N1382,DATA_ASSET_CLASSIFICATION!$AA$8:$AA$13,0)),"Review"))</f>
        <v>Bucket 2 · Legacy</v>
      </c>
      <c r="P1382" s="350" t="str">
        <f>IF($B1382="Portfolio","Portfolio",IFERROR(INDEX(DATA_ASSET_CLASSIFICATION!$C$8:$C$24,MATCH($C1382,DATA_ASSET_CLASSIFICATION!$A$8:$A$24,0)),"Review"))</f>
        <v>Yes</v>
      </c>
      <c r="Q1382" s="350" t="str">
        <f t="shared" ca="1" si="43"/>
        <v>OK</v>
      </c>
    </row>
    <row r="1383" spans="1:17">
      <c r="A1383" s="366" t="s">
        <v>3339</v>
      </c>
      <c r="B1383" s="366" t="s">
        <v>231</v>
      </c>
      <c r="C1383" s="348" t="str">
        <f>DATA_PROPERTY_MASTER!$A$8</f>
        <v>BLD_CH</v>
      </c>
      <c r="D1383" s="380">
        <f>'00_PORTFOLIO ROLLUP'!R$12</f>
        <v>2038</v>
      </c>
      <c r="E1383" s="366" t="s">
        <v>1683</v>
      </c>
      <c r="F1383" s="366" t="s">
        <v>355</v>
      </c>
      <c r="G1383" s="348" t="str">
        <f>"'"&amp;$C1383&amp;"'!$E$39:$Y$39"</f>
        <v>'BLD_CH'!$E$39:$Y$39</v>
      </c>
      <c r="H1383" s="381">
        <f ca="1">IF(IFERROR(INDEX(DATA_PROPERTY_MASTER!$E$5:$E$21,MATCH($C1383,DATA_PROPERTY_MASTER!$A$5:$A$21,0))="Yes",FALSE),IFERROR(INDEX(INDIRECT("'"&amp;$C1383&amp;"'!$E$39:$Y$39"),1,MATCH($D1383,INDIRECT("'"&amp;$C1383&amp;"'!$E$12:$Y$12"),0)),0),0)</f>
        <v>767850.99987856916</v>
      </c>
      <c r="I1383" s="366" t="s">
        <v>1690</v>
      </c>
      <c r="J1383" s="348" t="str">
        <f t="shared" ca="1" si="42"/>
        <v>OK</v>
      </c>
      <c r="K1383" s="366" t="s">
        <v>1686</v>
      </c>
      <c r="L1383" s="366" t="s">
        <v>2236</v>
      </c>
      <c r="M1383" s="350" t="str">
        <f>IF($B1383="Portfolio","Portfolio",IFERROR(INDEX(DATA_ASSET_CLASSIFICATION!$B$8:$B$24,MATCH($C1383,DATA_ASSET_CLASSIFICATION!$A$8:$A$24,0)),"Review"))</f>
        <v>Capilano House</v>
      </c>
      <c r="N1383" s="350" t="str">
        <f ca="1">IF($B1383="Portfolio","Portfolio",IFERROR(INDEX(DATA_ASSET_CLASSIFICATION!$U$8:$U$24,MATCH($C1383,DATA_ASSET_CLASSIFICATION!$A$8:$A$24,0)),"Review"))</f>
        <v>Stable</v>
      </c>
      <c r="O1383" s="350" t="str">
        <f ca="1">IF($B1383="Portfolio","Portfolio",IFERROR(INDEX(DATA_ASSET_CLASSIFICATION!$AB$8:$AB$13,MATCH($N1383,DATA_ASSET_CLASSIFICATION!$AA$8:$AA$13,0)),"Review"))</f>
        <v>Bucket 2 · Legacy</v>
      </c>
      <c r="P1383" s="350" t="str">
        <f>IF($B1383="Portfolio","Portfolio",IFERROR(INDEX(DATA_ASSET_CLASSIFICATION!$C$8:$C$24,MATCH($C1383,DATA_ASSET_CLASSIFICATION!$A$8:$A$24,0)),"Review"))</f>
        <v>Yes</v>
      </c>
      <c r="Q1383" s="350" t="str">
        <f t="shared" ca="1" si="43"/>
        <v>OK</v>
      </c>
    </row>
    <row r="1384" spans="1:17">
      <c r="A1384" s="366" t="s">
        <v>3340</v>
      </c>
      <c r="B1384" s="366" t="s">
        <v>231</v>
      </c>
      <c r="C1384" s="348" t="str">
        <f>DATA_PROPERTY_MASTER!$A$8</f>
        <v>BLD_CH</v>
      </c>
      <c r="D1384" s="380">
        <f>'00_PORTFOLIO ROLLUP'!R$12</f>
        <v>2038</v>
      </c>
      <c r="E1384" s="366" t="s">
        <v>1683</v>
      </c>
      <c r="F1384" s="366" t="s">
        <v>19</v>
      </c>
      <c r="G1384" s="348" t="str">
        <f>"'"&amp;$C1384&amp;"'!$E$41:$Y$41"</f>
        <v>'BLD_CH'!$E$41:$Y$41</v>
      </c>
      <c r="H1384" s="381">
        <f ca="1">IF(IFERROR(INDEX(DATA_PROPERTY_MASTER!$E$5:$E$21,MATCH($C1384,DATA_PROPERTY_MASTER!$A$5:$A$21,0))="Yes",FALSE),IFERROR(INDEX(INDIRECT("'"&amp;$C1384&amp;"'!$E$41:$Y$41"),1,MATCH($D1384,INDIRECT("'"&amp;$C1384&amp;"'!$E$12:$Y$12"),0)),0),0)</f>
        <v>481243.74409744062</v>
      </c>
      <c r="I1384" s="366" t="s">
        <v>1685</v>
      </c>
      <c r="J1384" s="348" t="str">
        <f t="shared" ca="1" si="42"/>
        <v>OK</v>
      </c>
      <c r="K1384" s="366" t="s">
        <v>1694</v>
      </c>
      <c r="L1384" s="366" t="s">
        <v>2238</v>
      </c>
      <c r="M1384" s="350" t="str">
        <f>IF($B1384="Portfolio","Portfolio",IFERROR(INDEX(DATA_ASSET_CLASSIFICATION!$B$8:$B$24,MATCH($C1384,DATA_ASSET_CLASSIFICATION!$A$8:$A$24,0)),"Review"))</f>
        <v>Capilano House</v>
      </c>
      <c r="N1384" s="350" t="str">
        <f ca="1">IF($B1384="Portfolio","Portfolio",IFERROR(INDEX(DATA_ASSET_CLASSIFICATION!$U$8:$U$24,MATCH($C1384,DATA_ASSET_CLASSIFICATION!$A$8:$A$24,0)),"Review"))</f>
        <v>Stable</v>
      </c>
      <c r="O1384" s="350" t="str">
        <f ca="1">IF($B1384="Portfolio","Portfolio",IFERROR(INDEX(DATA_ASSET_CLASSIFICATION!$AB$8:$AB$13,MATCH($N1384,DATA_ASSET_CLASSIFICATION!$AA$8:$AA$13,0)),"Review"))</f>
        <v>Bucket 2 · Legacy</v>
      </c>
      <c r="P1384" s="350" t="str">
        <f>IF($B1384="Portfolio","Portfolio",IFERROR(INDEX(DATA_ASSET_CLASSIFICATION!$C$8:$C$24,MATCH($C1384,DATA_ASSET_CLASSIFICATION!$A$8:$A$24,0)),"Review"))</f>
        <v>Yes</v>
      </c>
      <c r="Q1384" s="350" t="str">
        <f t="shared" ca="1" si="43"/>
        <v>OK</v>
      </c>
    </row>
    <row r="1385" spans="1:17">
      <c r="A1385" s="366" t="s">
        <v>3341</v>
      </c>
      <c r="B1385" s="366" t="s">
        <v>231</v>
      </c>
      <c r="C1385" s="348" t="str">
        <f>DATA_PROPERTY_MASTER!$A$8</f>
        <v>BLD_CH</v>
      </c>
      <c r="D1385" s="380">
        <f>'00_PORTFOLIO ROLLUP'!R$12</f>
        <v>2038</v>
      </c>
      <c r="E1385" s="366" t="s">
        <v>1683</v>
      </c>
      <c r="F1385" s="366" t="s">
        <v>1697</v>
      </c>
      <c r="G1385" s="348" t="str">
        <f>"'"&amp;$C1385&amp;"'!$E$44:$Y$44"</f>
        <v>'BLD_CH'!$E$44:$Y$44</v>
      </c>
      <c r="H1385" s="381">
        <f ca="1">IF(IFERROR(INDEX(DATA_PROPERTY_MASTER!$E$5:$E$21,MATCH($C1385,DATA_PROPERTY_MASTER!$A$5:$A$21,0))="Yes",FALSE),IFERROR(INDEX(INDIRECT("'"&amp;$C1385&amp;"'!$E$44:$Y$44"),1,MATCH($D1385,INDIRECT("'"&amp;$C1385&amp;"'!$E$12:$Y$12"),0)),0),0)</f>
        <v>12418.623652356442</v>
      </c>
      <c r="I1385" s="366" t="s">
        <v>1690</v>
      </c>
      <c r="J1385" s="348" t="str">
        <f t="shared" ca="1" si="42"/>
        <v>OK</v>
      </c>
      <c r="K1385" s="366" t="s">
        <v>1699</v>
      </c>
      <c r="L1385" s="366" t="s">
        <v>2240</v>
      </c>
      <c r="M1385" s="350" t="str">
        <f>IF($B1385="Portfolio","Portfolio",IFERROR(INDEX(DATA_ASSET_CLASSIFICATION!$B$8:$B$24,MATCH($C1385,DATA_ASSET_CLASSIFICATION!$A$8:$A$24,0)),"Review"))</f>
        <v>Capilano House</v>
      </c>
      <c r="N1385" s="350" t="str">
        <f ca="1">IF($B1385="Portfolio","Portfolio",IFERROR(INDEX(DATA_ASSET_CLASSIFICATION!$U$8:$U$24,MATCH($C1385,DATA_ASSET_CLASSIFICATION!$A$8:$A$24,0)),"Review"))</f>
        <v>Stable</v>
      </c>
      <c r="O1385" s="350" t="str">
        <f ca="1">IF($B1385="Portfolio","Portfolio",IFERROR(INDEX(DATA_ASSET_CLASSIFICATION!$AB$8:$AB$13,MATCH($N1385,DATA_ASSET_CLASSIFICATION!$AA$8:$AA$13,0)),"Review"))</f>
        <v>Bucket 2 · Legacy</v>
      </c>
      <c r="P1385" s="350" t="str">
        <f>IF($B1385="Portfolio","Portfolio",IFERROR(INDEX(DATA_ASSET_CLASSIFICATION!$C$8:$C$24,MATCH($C1385,DATA_ASSET_CLASSIFICATION!$A$8:$A$24,0)),"Review"))</f>
        <v>Yes</v>
      </c>
      <c r="Q1385" s="350" t="str">
        <f t="shared" ca="1" si="43"/>
        <v>OK</v>
      </c>
    </row>
    <row r="1386" spans="1:17">
      <c r="A1386" s="366" t="s">
        <v>3342</v>
      </c>
      <c r="B1386" s="366" t="s">
        <v>231</v>
      </c>
      <c r="C1386" s="348" t="str">
        <f>DATA_PROPERTY_MASTER!$A$8</f>
        <v>BLD_CH</v>
      </c>
      <c r="D1386" s="380">
        <f>'00_PORTFOLIO ROLLUP'!R$12</f>
        <v>2038</v>
      </c>
      <c r="E1386" s="366" t="s">
        <v>1683</v>
      </c>
      <c r="F1386" s="366" t="s">
        <v>21</v>
      </c>
      <c r="G1386" s="348" t="str">
        <f>"'"&amp;$C1386&amp;"'!$E$45:$Y$45"</f>
        <v>'BLD_CH'!$E$45:$Y$45</v>
      </c>
      <c r="H1386" s="381">
        <f ca="1">IF(IFERROR(INDEX(DATA_PROPERTY_MASTER!$E$5:$E$21,MATCH($C1386,DATA_PROPERTY_MASTER!$A$5:$A$21,0))="Yes",FALSE),IFERROR(INDEX(INDIRECT("'"&amp;$C1386&amp;"'!$E$45:$Y$45"),1,MATCH($D1386,INDIRECT("'"&amp;$C1386&amp;"'!$E$12:$Y$12"),0)),0),0)</f>
        <v>468825.12044508418</v>
      </c>
      <c r="I1386" s="366" t="s">
        <v>1685</v>
      </c>
      <c r="J1386" s="348" t="str">
        <f t="shared" ca="1" si="42"/>
        <v>OK</v>
      </c>
      <c r="K1386" s="366" t="s">
        <v>1694</v>
      </c>
      <c r="L1386" s="366" t="s">
        <v>2242</v>
      </c>
      <c r="M1386" s="350" t="str">
        <f>IF($B1386="Portfolio","Portfolio",IFERROR(INDEX(DATA_ASSET_CLASSIFICATION!$B$8:$B$24,MATCH($C1386,DATA_ASSET_CLASSIFICATION!$A$8:$A$24,0)),"Review"))</f>
        <v>Capilano House</v>
      </c>
      <c r="N1386" s="350" t="str">
        <f ca="1">IF($B1386="Portfolio","Portfolio",IFERROR(INDEX(DATA_ASSET_CLASSIFICATION!$U$8:$U$24,MATCH($C1386,DATA_ASSET_CLASSIFICATION!$A$8:$A$24,0)),"Review"))</f>
        <v>Stable</v>
      </c>
      <c r="O1386" s="350" t="str">
        <f ca="1">IF($B1386="Portfolio","Portfolio",IFERROR(INDEX(DATA_ASSET_CLASSIFICATION!$AB$8:$AB$13,MATCH($N1386,DATA_ASSET_CLASSIFICATION!$AA$8:$AA$13,0)),"Review"))</f>
        <v>Bucket 2 · Legacy</v>
      </c>
      <c r="P1386" s="350" t="str">
        <f>IF($B1386="Portfolio","Portfolio",IFERROR(INDEX(DATA_ASSET_CLASSIFICATION!$C$8:$C$24,MATCH($C1386,DATA_ASSET_CLASSIFICATION!$A$8:$A$24,0)),"Review"))</f>
        <v>Yes</v>
      </c>
      <c r="Q1386" s="350" t="str">
        <f t="shared" ca="1" si="43"/>
        <v>OK</v>
      </c>
    </row>
    <row r="1387" spans="1:17">
      <c r="A1387" s="366" t="s">
        <v>3343</v>
      </c>
      <c r="B1387" s="366" t="s">
        <v>231</v>
      </c>
      <c r="C1387" s="348" t="str">
        <f>DATA_PROPERTY_MASTER!$A$8</f>
        <v>BLD_CH</v>
      </c>
      <c r="D1387" s="380">
        <f>'00_PORTFOLIO ROLLUP'!R$12</f>
        <v>2038</v>
      </c>
      <c r="E1387" s="366" t="s">
        <v>23</v>
      </c>
      <c r="F1387" s="366" t="s">
        <v>23</v>
      </c>
      <c r="G1387" s="348" t="str">
        <f>"'"&amp;$C1387&amp;"'!$E$48:$Y$48"</f>
        <v>'BLD_CH'!$E$48:$Y$48</v>
      </c>
      <c r="H1387" s="381">
        <f ca="1">IF(IFERROR(INDEX(DATA_PROPERTY_MASTER!$E$5:$E$21,MATCH($C1387,DATA_PROPERTY_MASTER!$A$5:$A$21,0))="Yes",FALSE),IFERROR(INDEX(INDIRECT("'"&amp;$C1387&amp;"'!$E$48:$Y$48"),1,MATCH($D1387,INDIRECT("'"&amp;$C1387&amp;"'!$E$12:$Y$12"),0)),0),0)</f>
        <v>0</v>
      </c>
      <c r="I1387" s="366" t="s">
        <v>1690</v>
      </c>
      <c r="J1387" s="348" t="str">
        <f t="shared" ca="1" si="42"/>
        <v>OK</v>
      </c>
      <c r="K1387" s="366" t="s">
        <v>1706</v>
      </c>
      <c r="L1387" s="366" t="s">
        <v>2244</v>
      </c>
      <c r="M1387" s="350" t="str">
        <f>IF($B1387="Portfolio","Portfolio",IFERROR(INDEX(DATA_ASSET_CLASSIFICATION!$B$8:$B$24,MATCH($C1387,DATA_ASSET_CLASSIFICATION!$A$8:$A$24,0)),"Review"))</f>
        <v>Capilano House</v>
      </c>
      <c r="N1387" s="350" t="str">
        <f ca="1">IF($B1387="Portfolio","Portfolio",IFERROR(INDEX(DATA_ASSET_CLASSIFICATION!$U$8:$U$24,MATCH($C1387,DATA_ASSET_CLASSIFICATION!$A$8:$A$24,0)),"Review"))</f>
        <v>Stable</v>
      </c>
      <c r="O1387" s="350" t="str">
        <f ca="1">IF($B1387="Portfolio","Portfolio",IFERROR(INDEX(DATA_ASSET_CLASSIFICATION!$AB$8:$AB$13,MATCH($N1387,DATA_ASSET_CLASSIFICATION!$AA$8:$AA$13,0)),"Review"))</f>
        <v>Bucket 2 · Legacy</v>
      </c>
      <c r="P1387" s="350" t="str">
        <f>IF($B1387="Portfolio","Portfolio",IFERROR(INDEX(DATA_ASSET_CLASSIFICATION!$C$8:$C$24,MATCH($C1387,DATA_ASSET_CLASSIFICATION!$A$8:$A$24,0)),"Review"))</f>
        <v>Yes</v>
      </c>
      <c r="Q1387" s="350" t="str">
        <f t="shared" ca="1" si="43"/>
        <v>OK</v>
      </c>
    </row>
    <row r="1388" spans="1:17">
      <c r="A1388" s="366" t="s">
        <v>3344</v>
      </c>
      <c r="B1388" s="366" t="s">
        <v>231</v>
      </c>
      <c r="C1388" s="348" t="str">
        <f>DATA_PROPERTY_MASTER!$A$8</f>
        <v>BLD_CH</v>
      </c>
      <c r="D1388" s="380">
        <f>'00_PORTFOLIO ROLLUP'!R$12</f>
        <v>2038</v>
      </c>
      <c r="E1388" s="366" t="s">
        <v>1683</v>
      </c>
      <c r="F1388" s="366" t="s">
        <v>25</v>
      </c>
      <c r="G1388" s="348" t="str">
        <f>"'"&amp;$C1388&amp;"'!$E$52:$Y$52"</f>
        <v>'BLD_CH'!$E$52:$Y$52</v>
      </c>
      <c r="H1388" s="381">
        <f ca="1">IF(IFERROR(INDEX(DATA_PROPERTY_MASTER!$E$5:$E$21,MATCH($C1388,DATA_PROPERTY_MASTER!$A$5:$A$21,0))="Yes",FALSE),IFERROR(INDEX(INDIRECT("'"&amp;$C1388&amp;"'!$E$52:$Y$52"),1,MATCH($D1388,INDIRECT("'"&amp;$C1388&amp;"'!$E$12:$Y$12"),0)),0),0)</f>
        <v>481243.74409744062</v>
      </c>
      <c r="I1388" s="366" t="s">
        <v>1685</v>
      </c>
      <c r="J1388" s="348" t="str">
        <f t="shared" ca="1" si="42"/>
        <v>OK</v>
      </c>
      <c r="K1388" s="366" t="s">
        <v>1710</v>
      </c>
      <c r="L1388" s="366" t="s">
        <v>2246</v>
      </c>
      <c r="M1388" s="350" t="str">
        <f>IF($B1388="Portfolio","Portfolio",IFERROR(INDEX(DATA_ASSET_CLASSIFICATION!$B$8:$B$24,MATCH($C1388,DATA_ASSET_CLASSIFICATION!$A$8:$A$24,0)),"Review"))</f>
        <v>Capilano House</v>
      </c>
      <c r="N1388" s="350" t="str">
        <f ca="1">IF($B1388="Portfolio","Portfolio",IFERROR(INDEX(DATA_ASSET_CLASSIFICATION!$U$8:$U$24,MATCH($C1388,DATA_ASSET_CLASSIFICATION!$A$8:$A$24,0)),"Review"))</f>
        <v>Stable</v>
      </c>
      <c r="O1388" s="350" t="str">
        <f ca="1">IF($B1388="Portfolio","Portfolio",IFERROR(INDEX(DATA_ASSET_CLASSIFICATION!$AB$8:$AB$13,MATCH($N1388,DATA_ASSET_CLASSIFICATION!$AA$8:$AA$13,0)),"Review"))</f>
        <v>Bucket 2 · Legacy</v>
      </c>
      <c r="P1388" s="350" t="str">
        <f>IF($B1388="Portfolio","Portfolio",IFERROR(INDEX(DATA_ASSET_CLASSIFICATION!$C$8:$C$24,MATCH($C1388,DATA_ASSET_CLASSIFICATION!$A$8:$A$24,0)),"Review"))</f>
        <v>Yes</v>
      </c>
      <c r="Q1388" s="350" t="str">
        <f t="shared" ca="1" si="43"/>
        <v>OK</v>
      </c>
    </row>
    <row r="1389" spans="1:17">
      <c r="A1389" s="366" t="s">
        <v>3345</v>
      </c>
      <c r="B1389" s="366" t="s">
        <v>231</v>
      </c>
      <c r="C1389" s="348" t="str">
        <f>DATA_PROPERTY_MASTER!$A$8</f>
        <v>BLD_CH</v>
      </c>
      <c r="D1389" s="380">
        <f>'00_PORTFOLIO ROLLUP'!R$12</f>
        <v>2038</v>
      </c>
      <c r="E1389" s="366" t="s">
        <v>1683</v>
      </c>
      <c r="F1389" s="366" t="s">
        <v>27</v>
      </c>
      <c r="G1389" s="348" t="str">
        <f>"'"&amp;$C1389&amp;"'!$E$54:$Y$54"</f>
        <v>'BLD_CH'!$E$54:$Y$54</v>
      </c>
      <c r="H1389" s="381">
        <f ca="1">IF(IFERROR(INDEX(DATA_PROPERTY_MASTER!$E$5:$E$21,MATCH($C1389,DATA_PROPERTY_MASTER!$A$5:$A$21,0))="Yes",FALSE),IFERROR(INDEX(INDIRECT("'"&amp;$C1389&amp;"'!$E$54:$Y$54"),1,MATCH($D1389,INDIRECT("'"&amp;$C1389&amp;"'!$E$12:$Y$12"),0)),0),0)</f>
        <v>288746.24645846436</v>
      </c>
      <c r="I1389" s="366" t="s">
        <v>1690</v>
      </c>
      <c r="J1389" s="348" t="str">
        <f t="shared" ca="1" si="42"/>
        <v>OK</v>
      </c>
      <c r="K1389" s="366" t="s">
        <v>1714</v>
      </c>
      <c r="L1389" s="366" t="s">
        <v>2248</v>
      </c>
      <c r="M1389" s="350" t="str">
        <f>IF($B1389="Portfolio","Portfolio",IFERROR(INDEX(DATA_ASSET_CLASSIFICATION!$B$8:$B$24,MATCH($C1389,DATA_ASSET_CLASSIFICATION!$A$8:$A$24,0)),"Review"))</f>
        <v>Capilano House</v>
      </c>
      <c r="N1389" s="350" t="str">
        <f ca="1">IF($B1389="Portfolio","Portfolio",IFERROR(INDEX(DATA_ASSET_CLASSIFICATION!$U$8:$U$24,MATCH($C1389,DATA_ASSET_CLASSIFICATION!$A$8:$A$24,0)),"Review"))</f>
        <v>Stable</v>
      </c>
      <c r="O1389" s="350" t="str">
        <f ca="1">IF($B1389="Portfolio","Portfolio",IFERROR(INDEX(DATA_ASSET_CLASSIFICATION!$AB$8:$AB$13,MATCH($N1389,DATA_ASSET_CLASSIFICATION!$AA$8:$AA$13,0)),"Review"))</f>
        <v>Bucket 2 · Legacy</v>
      </c>
      <c r="P1389" s="350" t="str">
        <f>IF($B1389="Portfolio","Portfolio",IFERROR(INDEX(DATA_ASSET_CLASSIFICATION!$C$8:$C$24,MATCH($C1389,DATA_ASSET_CLASSIFICATION!$A$8:$A$24,0)),"Review"))</f>
        <v>Yes</v>
      </c>
      <c r="Q1389" s="350" t="str">
        <f t="shared" ca="1" si="43"/>
        <v>OK</v>
      </c>
    </row>
    <row r="1390" spans="1:17">
      <c r="A1390" s="366" t="s">
        <v>3346</v>
      </c>
      <c r="B1390" s="366" t="s">
        <v>231</v>
      </c>
      <c r="C1390" s="348" t="str">
        <f>DATA_PROPERTY_MASTER!$A$8</f>
        <v>BLD_CH</v>
      </c>
      <c r="D1390" s="380">
        <f>'00_PORTFOLIO ROLLUP'!R$12</f>
        <v>2038</v>
      </c>
      <c r="E1390" s="366" t="s">
        <v>1683</v>
      </c>
      <c r="F1390" s="366" t="s">
        <v>29</v>
      </c>
      <c r="G1390" s="348" t="str">
        <f>"'"&amp;$C1390&amp;"'!$E$56:$Y$56"</f>
        <v>'BLD_CH'!$E$56:$Y$56</v>
      </c>
      <c r="H1390" s="381">
        <f ca="1">IF(IFERROR(INDEX(DATA_PROPERTY_MASTER!$E$5:$E$21,MATCH($C1390,DATA_PROPERTY_MASTER!$A$5:$A$21,0))="Yes",FALSE),IFERROR(INDEX(INDIRECT("'"&amp;$C1390&amp;"'!$E$56:$Y$56"),1,MATCH($D1390,INDIRECT("'"&amp;$C1390&amp;"'!$E$12:$Y$12"),0)),0),0)</f>
        <v>192497.49763897626</v>
      </c>
      <c r="I1390" s="366" t="s">
        <v>1685</v>
      </c>
      <c r="J1390" s="348" t="str">
        <f t="shared" ca="1" si="42"/>
        <v>OK</v>
      </c>
      <c r="K1390" s="366" t="s">
        <v>1718</v>
      </c>
      <c r="L1390" s="366" t="s">
        <v>2250</v>
      </c>
      <c r="M1390" s="350" t="str">
        <f>IF($B1390="Portfolio","Portfolio",IFERROR(INDEX(DATA_ASSET_CLASSIFICATION!$B$8:$B$24,MATCH($C1390,DATA_ASSET_CLASSIFICATION!$A$8:$A$24,0)),"Review"))</f>
        <v>Capilano House</v>
      </c>
      <c r="N1390" s="350" t="str">
        <f ca="1">IF($B1390="Portfolio","Portfolio",IFERROR(INDEX(DATA_ASSET_CLASSIFICATION!$U$8:$U$24,MATCH($C1390,DATA_ASSET_CLASSIFICATION!$A$8:$A$24,0)),"Review"))</f>
        <v>Stable</v>
      </c>
      <c r="O1390" s="350" t="str">
        <f ca="1">IF($B1390="Portfolio","Portfolio",IFERROR(INDEX(DATA_ASSET_CLASSIFICATION!$AB$8:$AB$13,MATCH($N1390,DATA_ASSET_CLASSIFICATION!$AA$8:$AA$13,0)),"Review"))</f>
        <v>Bucket 2 · Legacy</v>
      </c>
      <c r="P1390" s="350" t="str">
        <f>IF($B1390="Portfolio","Portfolio",IFERROR(INDEX(DATA_ASSET_CLASSIFICATION!$C$8:$C$24,MATCH($C1390,DATA_ASSET_CLASSIFICATION!$A$8:$A$24,0)),"Review"))</f>
        <v>Yes</v>
      </c>
      <c r="Q1390" s="350" t="str">
        <f t="shared" ca="1" si="43"/>
        <v>OK</v>
      </c>
    </row>
    <row r="1391" spans="1:17">
      <c r="A1391" s="366" t="s">
        <v>3347</v>
      </c>
      <c r="B1391" s="366" t="s">
        <v>231</v>
      </c>
      <c r="C1391" s="348" t="str">
        <f>DATA_PROPERTY_MASTER!$A$8</f>
        <v>BLD_CH</v>
      </c>
      <c r="D1391" s="380">
        <f>'00_PORTFOLIO ROLLUP'!R$12</f>
        <v>2038</v>
      </c>
      <c r="E1391" s="366" t="s">
        <v>1721</v>
      </c>
      <c r="F1391" s="366" t="s">
        <v>31</v>
      </c>
      <c r="G1391" s="348" t="str">
        <f>"'"&amp;$C1391&amp;"'!$E$61:$Y$61"</f>
        <v>'BLD_CH'!$E$61:$Y$61</v>
      </c>
      <c r="H1391" s="381">
        <f ca="1">IF(IFERROR(INDEX(DATA_PROPERTY_MASTER!$E$5:$E$21,MATCH($C1391,DATA_PROPERTY_MASTER!$A$5:$A$21,0))="Yes",FALSE),IFERROR(INDEX(INDIRECT("'"&amp;$C1391&amp;"'!$E$61:$Y$61"),1,MATCH($D1391,INDIRECT("'"&amp;$C1391&amp;"'!$E$12:$Y$12"),0)),0),0)</f>
        <v>0</v>
      </c>
      <c r="I1391" s="366" t="s">
        <v>1690</v>
      </c>
      <c r="J1391" s="348" t="str">
        <f t="shared" ca="1" si="42"/>
        <v>OK</v>
      </c>
      <c r="K1391" s="366" t="s">
        <v>1723</v>
      </c>
      <c r="L1391" s="366" t="s">
        <v>2252</v>
      </c>
      <c r="M1391" s="350" t="str">
        <f>IF($B1391="Portfolio","Portfolio",IFERROR(INDEX(DATA_ASSET_CLASSIFICATION!$B$8:$B$24,MATCH($C1391,DATA_ASSET_CLASSIFICATION!$A$8:$A$24,0)),"Review"))</f>
        <v>Capilano House</v>
      </c>
      <c r="N1391" s="350" t="str">
        <f ca="1">IF($B1391="Portfolio","Portfolio",IFERROR(INDEX(DATA_ASSET_CLASSIFICATION!$U$8:$U$24,MATCH($C1391,DATA_ASSET_CLASSIFICATION!$A$8:$A$24,0)),"Review"))</f>
        <v>Stable</v>
      </c>
      <c r="O1391" s="350" t="str">
        <f ca="1">IF($B1391="Portfolio","Portfolio",IFERROR(INDEX(DATA_ASSET_CLASSIFICATION!$AB$8:$AB$13,MATCH($N1391,DATA_ASSET_CLASSIFICATION!$AA$8:$AA$13,0)),"Review"))</f>
        <v>Bucket 2 · Legacy</v>
      </c>
      <c r="P1391" s="350" t="str">
        <f>IF($B1391="Portfolio","Portfolio",IFERROR(INDEX(DATA_ASSET_CLASSIFICATION!$C$8:$C$24,MATCH($C1391,DATA_ASSET_CLASSIFICATION!$A$8:$A$24,0)),"Review"))</f>
        <v>Yes</v>
      </c>
      <c r="Q1391" s="350" t="str">
        <f t="shared" ca="1" si="43"/>
        <v>OK</v>
      </c>
    </row>
    <row r="1392" spans="1:17">
      <c r="A1392" s="366" t="s">
        <v>3348</v>
      </c>
      <c r="B1392" s="366" t="s">
        <v>231</v>
      </c>
      <c r="C1392" s="348" t="str">
        <f>DATA_PROPERTY_MASTER!$A$8</f>
        <v>BLD_CH</v>
      </c>
      <c r="D1392" s="380">
        <f>'00_PORTFOLIO ROLLUP'!R$12</f>
        <v>2038</v>
      </c>
      <c r="E1392" s="366" t="s">
        <v>1721</v>
      </c>
      <c r="F1392" s="366" t="s">
        <v>33</v>
      </c>
      <c r="G1392" s="348" t="str">
        <f>"'"&amp;$C1392&amp;"'!$E$62:$Y$62"</f>
        <v>'BLD_CH'!$E$62:$Y$62</v>
      </c>
      <c r="H1392" s="381">
        <f ca="1">IF(IFERROR(INDEX(DATA_PROPERTY_MASTER!$E$5:$E$21,MATCH($C1392,DATA_PROPERTY_MASTER!$A$5:$A$21,0))="Yes",FALSE),IFERROR(INDEX(INDIRECT("'"&amp;$C1392&amp;"'!$E$62:$Y$62"),1,MATCH($D1392,INDIRECT("'"&amp;$C1392&amp;"'!$E$12:$Y$12"),0)),0),0)</f>
        <v>0</v>
      </c>
      <c r="I1392" s="366" t="s">
        <v>1685</v>
      </c>
      <c r="J1392" s="348" t="str">
        <f t="shared" ca="1" si="42"/>
        <v>OK</v>
      </c>
      <c r="K1392" s="366" t="s">
        <v>1727</v>
      </c>
      <c r="L1392" s="366" t="s">
        <v>2254</v>
      </c>
      <c r="M1392" s="350" t="str">
        <f>IF($B1392="Portfolio","Portfolio",IFERROR(INDEX(DATA_ASSET_CLASSIFICATION!$B$8:$B$24,MATCH($C1392,DATA_ASSET_CLASSIFICATION!$A$8:$A$24,0)),"Review"))</f>
        <v>Capilano House</v>
      </c>
      <c r="N1392" s="350" t="str">
        <f ca="1">IF($B1392="Portfolio","Portfolio",IFERROR(INDEX(DATA_ASSET_CLASSIFICATION!$U$8:$U$24,MATCH($C1392,DATA_ASSET_CLASSIFICATION!$A$8:$A$24,0)),"Review"))</f>
        <v>Stable</v>
      </c>
      <c r="O1392" s="350" t="str">
        <f ca="1">IF($B1392="Portfolio","Portfolio",IFERROR(INDEX(DATA_ASSET_CLASSIFICATION!$AB$8:$AB$13,MATCH($N1392,DATA_ASSET_CLASSIFICATION!$AA$8:$AA$13,0)),"Review"))</f>
        <v>Bucket 2 · Legacy</v>
      </c>
      <c r="P1392" s="350" t="str">
        <f>IF($B1392="Portfolio","Portfolio",IFERROR(INDEX(DATA_ASSET_CLASSIFICATION!$C$8:$C$24,MATCH($C1392,DATA_ASSET_CLASSIFICATION!$A$8:$A$24,0)),"Review"))</f>
        <v>Yes</v>
      </c>
      <c r="Q1392" s="350" t="str">
        <f t="shared" ca="1" si="43"/>
        <v>OK</v>
      </c>
    </row>
    <row r="1393" spans="1:17">
      <c r="A1393" s="366" t="s">
        <v>3349</v>
      </c>
      <c r="B1393" s="366" t="s">
        <v>231</v>
      </c>
      <c r="C1393" s="348" t="str">
        <f>DATA_PROPERTY_MASTER!$A$8</f>
        <v>BLD_CH</v>
      </c>
      <c r="D1393" s="380">
        <f>'00_PORTFOLIO ROLLUP'!R$12</f>
        <v>2038</v>
      </c>
      <c r="E1393" s="366" t="s">
        <v>1721</v>
      </c>
      <c r="F1393" s="366" t="s">
        <v>35</v>
      </c>
      <c r="G1393" s="348" t="str">
        <f>"'"&amp;$C1393&amp;"'!$E$63:$Y$63"</f>
        <v>'BLD_CH'!$E$63:$Y$63</v>
      </c>
      <c r="H1393" s="381">
        <f ca="1">IF(IFERROR(INDEX(DATA_PROPERTY_MASTER!$E$5:$E$21,MATCH($C1393,DATA_PROPERTY_MASTER!$A$5:$A$21,0))="Yes",FALSE),IFERROR(INDEX(INDIRECT("'"&amp;$C1393&amp;"'!$E$63:$Y$63"),1,MATCH($D1393,INDIRECT("'"&amp;$C1393&amp;"'!$E$12:$Y$12"),0)),0),0)</f>
        <v>0</v>
      </c>
      <c r="I1393" s="366" t="s">
        <v>1731</v>
      </c>
      <c r="J1393" s="348" t="str">
        <f t="shared" ca="1" si="42"/>
        <v>OK</v>
      </c>
      <c r="K1393" s="366" t="s">
        <v>1732</v>
      </c>
      <c r="L1393" s="366" t="s">
        <v>2256</v>
      </c>
      <c r="M1393" s="350" t="str">
        <f>IF($B1393="Portfolio","Portfolio",IFERROR(INDEX(DATA_ASSET_CLASSIFICATION!$B$8:$B$24,MATCH($C1393,DATA_ASSET_CLASSIFICATION!$A$8:$A$24,0)),"Review"))</f>
        <v>Capilano House</v>
      </c>
      <c r="N1393" s="350" t="str">
        <f ca="1">IF($B1393="Portfolio","Portfolio",IFERROR(INDEX(DATA_ASSET_CLASSIFICATION!$U$8:$U$24,MATCH($C1393,DATA_ASSET_CLASSIFICATION!$A$8:$A$24,0)),"Review"))</f>
        <v>Stable</v>
      </c>
      <c r="O1393" s="350" t="str">
        <f ca="1">IF($B1393="Portfolio","Portfolio",IFERROR(INDEX(DATA_ASSET_CLASSIFICATION!$AB$8:$AB$13,MATCH($N1393,DATA_ASSET_CLASSIFICATION!$AA$8:$AA$13,0)),"Review"))</f>
        <v>Bucket 2 · Legacy</v>
      </c>
      <c r="P1393" s="350" t="str">
        <f>IF($B1393="Portfolio","Portfolio",IFERROR(INDEX(DATA_ASSET_CLASSIFICATION!$C$8:$C$24,MATCH($C1393,DATA_ASSET_CLASSIFICATION!$A$8:$A$24,0)),"Review"))</f>
        <v>Yes</v>
      </c>
      <c r="Q1393" s="350" t="str">
        <f t="shared" ca="1" si="43"/>
        <v>OK</v>
      </c>
    </row>
    <row r="1394" spans="1:17">
      <c r="A1394" s="366" t="s">
        <v>3350</v>
      </c>
      <c r="B1394" s="366" t="s">
        <v>231</v>
      </c>
      <c r="C1394" s="348" t="str">
        <f>DATA_PROPERTY_MASTER!$A$8</f>
        <v>BLD_CH</v>
      </c>
      <c r="D1394" s="380">
        <f>'00_PORTFOLIO ROLLUP'!R$12</f>
        <v>2038</v>
      </c>
      <c r="E1394" s="366" t="s">
        <v>1721</v>
      </c>
      <c r="F1394" s="366" t="s">
        <v>37</v>
      </c>
      <c r="G1394" s="348" t="str">
        <f>"'"&amp;$C1394&amp;"'!$E$63:$Y$63"</f>
        <v>'BLD_CH'!$E$63:$Y$63</v>
      </c>
      <c r="H1394" s="381">
        <f ca="1">IF(IFERROR(INDEX(DATA_PROPERTY_MASTER!$E$5:$E$21,MATCH($C1394,DATA_PROPERTY_MASTER!$A$5:$A$21,0))="Yes",FALSE),MAX(IFERROR(INDEX(INDIRECT("'"&amp;$C1394&amp;"'!$E$63:$Y$63"),1,MATCH($D1394,INDIRECT("'"&amp;$C1394&amp;"'!$E$12:$Y$12"),0)),0),0),0)</f>
        <v>0</v>
      </c>
      <c r="I1394" s="366" t="s">
        <v>1685</v>
      </c>
      <c r="J1394" s="348" t="str">
        <f t="shared" ca="1" si="42"/>
        <v>OK</v>
      </c>
      <c r="K1394" s="366" t="s">
        <v>1735</v>
      </c>
      <c r="L1394" s="366" t="s">
        <v>2258</v>
      </c>
      <c r="M1394" s="350" t="str">
        <f>IF($B1394="Portfolio","Portfolio",IFERROR(INDEX(DATA_ASSET_CLASSIFICATION!$B$8:$B$24,MATCH($C1394,DATA_ASSET_CLASSIFICATION!$A$8:$A$24,0)),"Review"))</f>
        <v>Capilano House</v>
      </c>
      <c r="N1394" s="350" t="str">
        <f ca="1">IF($B1394="Portfolio","Portfolio",IFERROR(INDEX(DATA_ASSET_CLASSIFICATION!$U$8:$U$24,MATCH($C1394,DATA_ASSET_CLASSIFICATION!$A$8:$A$24,0)),"Review"))</f>
        <v>Stable</v>
      </c>
      <c r="O1394" s="350" t="str">
        <f ca="1">IF($B1394="Portfolio","Portfolio",IFERROR(INDEX(DATA_ASSET_CLASSIFICATION!$AB$8:$AB$13,MATCH($N1394,DATA_ASSET_CLASSIFICATION!$AA$8:$AA$13,0)),"Review"))</f>
        <v>Bucket 2 · Legacy</v>
      </c>
      <c r="P1394" s="350" t="str">
        <f>IF($B1394="Portfolio","Portfolio",IFERROR(INDEX(DATA_ASSET_CLASSIFICATION!$C$8:$C$24,MATCH($C1394,DATA_ASSET_CLASSIFICATION!$A$8:$A$24,0)),"Review"))</f>
        <v>Yes</v>
      </c>
      <c r="Q1394" s="350" t="str">
        <f t="shared" ca="1" si="43"/>
        <v>OK</v>
      </c>
    </row>
    <row r="1395" spans="1:17">
      <c r="A1395" s="366" t="s">
        <v>3351</v>
      </c>
      <c r="B1395" s="366" t="s">
        <v>231</v>
      </c>
      <c r="C1395" s="348" t="str">
        <f>DATA_PROPERTY_MASTER!$A$8</f>
        <v>BLD_CH</v>
      </c>
      <c r="D1395" s="380">
        <f>'00_PORTFOLIO ROLLUP'!R$12</f>
        <v>2038</v>
      </c>
      <c r="E1395" s="366" t="s">
        <v>1721</v>
      </c>
      <c r="F1395" s="366" t="s">
        <v>39</v>
      </c>
      <c r="G1395" s="348" t="str">
        <f>"'"&amp;$C1395&amp;"'!$E$63:$Y$63"</f>
        <v>'BLD_CH'!$E$63:$Y$63</v>
      </c>
      <c r="H1395" s="381">
        <f ca="1">IF(IFERROR(INDEX(DATA_PROPERTY_MASTER!$E$5:$E$21,MATCH($C1395,DATA_PROPERTY_MASTER!$A$5:$A$21,0))="Yes",FALSE),MAX(-IFERROR(INDEX(INDIRECT("'"&amp;$C1395&amp;"'!$E$63:$Y$63"),1,MATCH($D1395,INDIRECT("'"&amp;$C1395&amp;"'!$E$12:$Y$12"),0)),0),0),0)</f>
        <v>0</v>
      </c>
      <c r="I1395" s="366" t="s">
        <v>1690</v>
      </c>
      <c r="J1395" s="348" t="str">
        <f t="shared" ca="1" si="42"/>
        <v>OK</v>
      </c>
      <c r="K1395" s="366" t="s">
        <v>1738</v>
      </c>
      <c r="L1395" s="366" t="s">
        <v>2260</v>
      </c>
      <c r="M1395" s="350" t="str">
        <f>IF($B1395="Portfolio","Portfolio",IFERROR(INDEX(DATA_ASSET_CLASSIFICATION!$B$8:$B$24,MATCH($C1395,DATA_ASSET_CLASSIFICATION!$A$8:$A$24,0)),"Review"))</f>
        <v>Capilano House</v>
      </c>
      <c r="N1395" s="350" t="str">
        <f ca="1">IF($B1395="Portfolio","Portfolio",IFERROR(INDEX(DATA_ASSET_CLASSIFICATION!$U$8:$U$24,MATCH($C1395,DATA_ASSET_CLASSIFICATION!$A$8:$A$24,0)),"Review"))</f>
        <v>Stable</v>
      </c>
      <c r="O1395" s="350" t="str">
        <f ca="1">IF($B1395="Portfolio","Portfolio",IFERROR(INDEX(DATA_ASSET_CLASSIFICATION!$AB$8:$AB$13,MATCH($N1395,DATA_ASSET_CLASSIFICATION!$AA$8:$AA$13,0)),"Review"))</f>
        <v>Bucket 2 · Legacy</v>
      </c>
      <c r="P1395" s="350" t="str">
        <f>IF($B1395="Portfolio","Portfolio",IFERROR(INDEX(DATA_ASSET_CLASSIFICATION!$C$8:$C$24,MATCH($C1395,DATA_ASSET_CLASSIFICATION!$A$8:$A$24,0)),"Review"))</f>
        <v>Yes</v>
      </c>
      <c r="Q1395" s="350" t="str">
        <f t="shared" ca="1" si="43"/>
        <v>OK</v>
      </c>
    </row>
    <row r="1396" spans="1:17">
      <c r="A1396" s="366" t="s">
        <v>3352</v>
      </c>
      <c r="B1396" s="366" t="s">
        <v>231</v>
      </c>
      <c r="C1396" s="348" t="str">
        <f>DATA_PROPERTY_MASTER!$A$8</f>
        <v>BLD_CH</v>
      </c>
      <c r="D1396" s="380">
        <f>'00_PORTFOLIO ROLLUP'!R$12</f>
        <v>2038</v>
      </c>
      <c r="E1396" s="366" t="s">
        <v>1741</v>
      </c>
      <c r="F1396" s="366" t="s">
        <v>41</v>
      </c>
      <c r="G1396" s="348" t="str">
        <f>"'"&amp;$C1396&amp;"'!rows 56 + positive row 63"</f>
        <v>'BLD_CH'!rows 56 + positive row 63</v>
      </c>
      <c r="H1396" s="381">
        <f ca="1">IF(IFERROR(INDEX(DATA_PROPERTY_MASTER!$E$5:$E$21,MATCH($C1396,DATA_PROPERTY_MASTER!$A$5:$A$21,0))="Yes",FALSE),IFERROR(INDEX(INDIRECT("'"&amp;$C1396&amp;"'!$E$56:$Y$56"),1,MATCH($D1396,INDIRECT("'"&amp;$C1396&amp;"'!$E$12:$Y$12"),0)),0)+MAX(IFERROR(INDEX(INDIRECT("'"&amp;$C1396&amp;"'!$E$63:$Y$63"),1,MATCH($D1396,INDIRECT("'"&amp;$C1396&amp;"'!$E$12:$Y$12"),0)),0),0),0)</f>
        <v>192497.49763897626</v>
      </c>
      <c r="I1396" s="366" t="s">
        <v>1685</v>
      </c>
      <c r="J1396" s="348" t="str">
        <f t="shared" ca="1" si="42"/>
        <v>OK</v>
      </c>
      <c r="K1396" s="366" t="s">
        <v>1742</v>
      </c>
      <c r="L1396" s="366" t="s">
        <v>2262</v>
      </c>
      <c r="M1396" s="350" t="str">
        <f>IF($B1396="Portfolio","Portfolio",IFERROR(INDEX(DATA_ASSET_CLASSIFICATION!$B$8:$B$24,MATCH($C1396,DATA_ASSET_CLASSIFICATION!$A$8:$A$24,0)),"Review"))</f>
        <v>Capilano House</v>
      </c>
      <c r="N1396" s="350" t="str">
        <f ca="1">IF($B1396="Portfolio","Portfolio",IFERROR(INDEX(DATA_ASSET_CLASSIFICATION!$U$8:$U$24,MATCH($C1396,DATA_ASSET_CLASSIFICATION!$A$8:$A$24,0)),"Review"))</f>
        <v>Stable</v>
      </c>
      <c r="O1396" s="350" t="str">
        <f ca="1">IF($B1396="Portfolio","Portfolio",IFERROR(INDEX(DATA_ASSET_CLASSIFICATION!$AB$8:$AB$13,MATCH($N1396,DATA_ASSET_CLASSIFICATION!$AA$8:$AA$13,0)),"Review"))</f>
        <v>Bucket 2 · Legacy</v>
      </c>
      <c r="P1396" s="350" t="str">
        <f>IF($B1396="Portfolio","Portfolio",IFERROR(INDEX(DATA_ASSET_CLASSIFICATION!$C$8:$C$24,MATCH($C1396,DATA_ASSET_CLASSIFICATION!$A$8:$A$24,0)),"Review"))</f>
        <v>Yes</v>
      </c>
      <c r="Q1396" s="350" t="str">
        <f t="shared" ca="1" si="43"/>
        <v>OK</v>
      </c>
    </row>
    <row r="1397" spans="1:17">
      <c r="A1397" s="366" t="s">
        <v>3353</v>
      </c>
      <c r="B1397" s="366" t="s">
        <v>231</v>
      </c>
      <c r="C1397" s="348" t="str">
        <f>DATA_PROPERTY_MASTER!$A$8</f>
        <v>BLD_CH</v>
      </c>
      <c r="D1397" s="380">
        <f>'00_PORTFOLIO ROLLUP'!R$12</f>
        <v>2038</v>
      </c>
      <c r="E1397" s="366" t="s">
        <v>1741</v>
      </c>
      <c r="F1397" s="366" t="s">
        <v>43</v>
      </c>
      <c r="G1397" s="348" t="str">
        <f>"'"&amp;$C1397&amp;"'!$E$68:$Y$68"</f>
        <v>'BLD_CH'!$E$68:$Y$68</v>
      </c>
      <c r="H1397" s="381">
        <f ca="1">IF(IFERROR(INDEX(DATA_PROPERTY_MASTER!$E$5:$E$21,MATCH($C1397,DATA_PROPERTY_MASTER!$A$5:$A$21,0))="Yes",FALSE),IFERROR(INDEX(INDIRECT("'"&amp;$C1397&amp;"'!$E$68:$Y$68"),1,MATCH($D1397,INDIRECT("'"&amp;$C1397&amp;"'!$E$12:$Y$12"),0)),0),0)</f>
        <v>192497.49763897626</v>
      </c>
      <c r="I1397" s="366" t="s">
        <v>1731</v>
      </c>
      <c r="J1397" s="348" t="str">
        <f t="shared" ca="1" si="42"/>
        <v>OK</v>
      </c>
      <c r="K1397" s="366" t="s">
        <v>1746</v>
      </c>
      <c r="L1397" s="366" t="s">
        <v>2264</v>
      </c>
      <c r="M1397" s="350" t="str">
        <f>IF($B1397="Portfolio","Portfolio",IFERROR(INDEX(DATA_ASSET_CLASSIFICATION!$B$8:$B$24,MATCH($C1397,DATA_ASSET_CLASSIFICATION!$A$8:$A$24,0)),"Review"))</f>
        <v>Capilano House</v>
      </c>
      <c r="N1397" s="350" t="str">
        <f ca="1">IF($B1397="Portfolio","Portfolio",IFERROR(INDEX(DATA_ASSET_CLASSIFICATION!$U$8:$U$24,MATCH($C1397,DATA_ASSET_CLASSIFICATION!$A$8:$A$24,0)),"Review"))</f>
        <v>Stable</v>
      </c>
      <c r="O1397" s="350" t="str">
        <f ca="1">IF($B1397="Portfolio","Portfolio",IFERROR(INDEX(DATA_ASSET_CLASSIFICATION!$AB$8:$AB$13,MATCH($N1397,DATA_ASSET_CLASSIFICATION!$AA$8:$AA$13,0)),"Review"))</f>
        <v>Bucket 2 · Legacy</v>
      </c>
      <c r="P1397" s="350" t="str">
        <f>IF($B1397="Portfolio","Portfolio",IFERROR(INDEX(DATA_ASSET_CLASSIFICATION!$C$8:$C$24,MATCH($C1397,DATA_ASSET_CLASSIFICATION!$A$8:$A$24,0)),"Review"))</f>
        <v>Yes</v>
      </c>
      <c r="Q1397" s="350" t="str">
        <f t="shared" ca="1" si="43"/>
        <v>OK</v>
      </c>
    </row>
    <row r="1398" spans="1:17">
      <c r="A1398" s="366" t="s">
        <v>3354</v>
      </c>
      <c r="B1398" s="366" t="s">
        <v>231</v>
      </c>
      <c r="C1398" s="348" t="str">
        <f>DATA_PROPERTY_MASTER!$A$8</f>
        <v>BLD_CH</v>
      </c>
      <c r="D1398" s="380">
        <f>'00_PORTFOLIO ROLLUP'!R$12</f>
        <v>2038</v>
      </c>
      <c r="E1398" s="366" t="s">
        <v>1741</v>
      </c>
      <c r="F1398" s="366" t="s">
        <v>1749</v>
      </c>
      <c r="G1398" s="348" t="str">
        <f>"'"&amp;$C1398&amp;"'!rows 56, 63, 68"</f>
        <v>'BLD_CH'!rows 56, 63, 68</v>
      </c>
      <c r="H1398" s="381">
        <f ca="1">IF(IFERROR(INDEX(DATA_PROPERTY_MASTER!$E$5:$E$21,MATCH($C1398,DATA_PROPERTY_MASTER!$A$5:$A$21,0))="Yes",FALSE),(IFERROR(INDEX(INDIRECT("'"&amp;$C1398&amp;"'!$E$56:$Y$56"),1,MATCH($D1398,INDIRECT("'"&amp;$C1398&amp;"'!$E$12:$Y$12"),0)),0)+MAX(IFERROR(INDEX(INDIRECT("'"&amp;$C1398&amp;"'!$E$63:$Y$63"),1,MATCH($D1398,INDIRECT("'"&amp;$C1398&amp;"'!$E$12:$Y$12"),0)),0),0))-(IFERROR(INDEX(INDIRECT("'"&amp;$C1398&amp;"'!$E$68:$Y$68"),1,MATCH($D1398,INDIRECT("'"&amp;$C1398&amp;"'!$E$12:$Y$12"),0)),0)),0)</f>
        <v>0</v>
      </c>
      <c r="I1398" s="366" t="s">
        <v>1750</v>
      </c>
      <c r="J1398" s="348" t="str">
        <f t="shared" ca="1" si="42"/>
        <v>OK</v>
      </c>
      <c r="K1398" s="366" t="s">
        <v>1751</v>
      </c>
      <c r="L1398" s="366" t="s">
        <v>2266</v>
      </c>
      <c r="M1398" s="350" t="str">
        <f>IF($B1398="Portfolio","Portfolio",IFERROR(INDEX(DATA_ASSET_CLASSIFICATION!$B$8:$B$24,MATCH($C1398,DATA_ASSET_CLASSIFICATION!$A$8:$A$24,0)),"Review"))</f>
        <v>Capilano House</v>
      </c>
      <c r="N1398" s="350" t="str">
        <f ca="1">IF($B1398="Portfolio","Portfolio",IFERROR(INDEX(DATA_ASSET_CLASSIFICATION!$U$8:$U$24,MATCH($C1398,DATA_ASSET_CLASSIFICATION!$A$8:$A$24,0)),"Review"))</f>
        <v>Stable</v>
      </c>
      <c r="O1398" s="350" t="str">
        <f ca="1">IF($B1398="Portfolio","Portfolio",IFERROR(INDEX(DATA_ASSET_CLASSIFICATION!$AB$8:$AB$13,MATCH($N1398,DATA_ASSET_CLASSIFICATION!$AA$8:$AA$13,0)),"Review"))</f>
        <v>Bucket 2 · Legacy</v>
      </c>
      <c r="P1398" s="350" t="str">
        <f>IF($B1398="Portfolio","Portfolio",IFERROR(INDEX(DATA_ASSET_CLASSIFICATION!$C$8:$C$24,MATCH($C1398,DATA_ASSET_CLASSIFICATION!$A$8:$A$24,0)),"Review"))</f>
        <v>Yes</v>
      </c>
      <c r="Q1398" s="350" t="str">
        <f t="shared" ca="1" si="43"/>
        <v>OK</v>
      </c>
    </row>
    <row r="1399" spans="1:17">
      <c r="A1399" s="366" t="s">
        <v>3355</v>
      </c>
      <c r="B1399" s="366" t="s">
        <v>231</v>
      </c>
      <c r="C1399" s="348" t="str">
        <f>DATA_PROPERTY_MASTER!$A$8</f>
        <v>BLD_CH</v>
      </c>
      <c r="D1399" s="380">
        <f>'00_PORTFOLIO ROLLUP'!S$12</f>
        <v>2039</v>
      </c>
      <c r="E1399" s="366" t="s">
        <v>1683</v>
      </c>
      <c r="F1399" s="366" t="s">
        <v>341</v>
      </c>
      <c r="G1399" s="348" t="str">
        <f>"'"&amp;$C1399&amp;"'!$E$24:$Y$24"</f>
        <v>'BLD_CH'!$E$24:$Y$24</v>
      </c>
      <c r="H1399" s="381">
        <f ca="1">IF(IFERROR(INDEX(DATA_PROPERTY_MASTER!$E$5:$E$21,MATCH($C1399,DATA_PROPERTY_MASTER!$A$5:$A$21,0))="Yes",FALSE),IFERROR(INDEX(INDIRECT("'"&amp;$C1399&amp;"'!$E$24:$Y$24"),1,MATCH($D1399,INDIRECT("'"&amp;$C1399&amp;"'!$E$12:$Y$12"),0)),0),0)</f>
        <v>1274076.6388555297</v>
      </c>
      <c r="I1399" s="366" t="s">
        <v>1685</v>
      </c>
      <c r="J1399" s="348" t="str">
        <f t="shared" ca="1" si="42"/>
        <v>OK</v>
      </c>
      <c r="K1399" s="366" t="s">
        <v>1686</v>
      </c>
      <c r="L1399" s="366" t="s">
        <v>2234</v>
      </c>
      <c r="M1399" s="350" t="str">
        <f>IF($B1399="Portfolio","Portfolio",IFERROR(INDEX(DATA_ASSET_CLASSIFICATION!$B$8:$B$24,MATCH($C1399,DATA_ASSET_CLASSIFICATION!$A$8:$A$24,0)),"Review"))</f>
        <v>Capilano House</v>
      </c>
      <c r="N1399" s="350" t="str">
        <f ca="1">IF($B1399="Portfolio","Portfolio",IFERROR(INDEX(DATA_ASSET_CLASSIFICATION!$U$8:$U$24,MATCH($C1399,DATA_ASSET_CLASSIFICATION!$A$8:$A$24,0)),"Review"))</f>
        <v>Stable</v>
      </c>
      <c r="O1399" s="350" t="str">
        <f ca="1">IF($B1399="Portfolio","Portfolio",IFERROR(INDEX(DATA_ASSET_CLASSIFICATION!$AB$8:$AB$13,MATCH($N1399,DATA_ASSET_CLASSIFICATION!$AA$8:$AA$13,0)),"Review"))</f>
        <v>Bucket 2 · Legacy</v>
      </c>
      <c r="P1399" s="350" t="str">
        <f>IF($B1399="Portfolio","Portfolio",IFERROR(INDEX(DATA_ASSET_CLASSIFICATION!$C$8:$C$24,MATCH($C1399,DATA_ASSET_CLASSIFICATION!$A$8:$A$24,0)),"Review"))</f>
        <v>Yes</v>
      </c>
      <c r="Q1399" s="350" t="str">
        <f t="shared" ca="1" si="43"/>
        <v>OK</v>
      </c>
    </row>
    <row r="1400" spans="1:17">
      <c r="A1400" s="366" t="s">
        <v>3356</v>
      </c>
      <c r="B1400" s="366" t="s">
        <v>231</v>
      </c>
      <c r="C1400" s="348" t="str">
        <f>DATA_PROPERTY_MASTER!$A$8</f>
        <v>BLD_CH</v>
      </c>
      <c r="D1400" s="380">
        <f>'00_PORTFOLIO ROLLUP'!S$12</f>
        <v>2039</v>
      </c>
      <c r="E1400" s="366" t="s">
        <v>1683</v>
      </c>
      <c r="F1400" s="366" t="s">
        <v>355</v>
      </c>
      <c r="G1400" s="348" t="str">
        <f>"'"&amp;$C1400&amp;"'!$E$39:$Y$39"</f>
        <v>'BLD_CH'!$E$39:$Y$39</v>
      </c>
      <c r="H1400" s="381">
        <f ca="1">IF(IFERROR(INDEX(DATA_PROPERTY_MASTER!$E$5:$E$21,MATCH($C1400,DATA_PROPERTY_MASTER!$A$5:$A$21,0))="Yes",FALSE),IFERROR(INDEX(INDIRECT("'"&amp;$C1400&amp;"'!$E$39:$Y$39"),1,MATCH($D1400,INDIRECT("'"&amp;$C1400&amp;"'!$E$12:$Y$12"),0)),0),0)</f>
        <v>787047.2748755333</v>
      </c>
      <c r="I1400" s="366" t="s">
        <v>1690</v>
      </c>
      <c r="J1400" s="348" t="str">
        <f t="shared" ca="1" si="42"/>
        <v>OK</v>
      </c>
      <c r="K1400" s="366" t="s">
        <v>1686</v>
      </c>
      <c r="L1400" s="366" t="s">
        <v>2236</v>
      </c>
      <c r="M1400" s="350" t="str">
        <f>IF($B1400="Portfolio","Portfolio",IFERROR(INDEX(DATA_ASSET_CLASSIFICATION!$B$8:$B$24,MATCH($C1400,DATA_ASSET_CLASSIFICATION!$A$8:$A$24,0)),"Review"))</f>
        <v>Capilano House</v>
      </c>
      <c r="N1400" s="350" t="str">
        <f ca="1">IF($B1400="Portfolio","Portfolio",IFERROR(INDEX(DATA_ASSET_CLASSIFICATION!$U$8:$U$24,MATCH($C1400,DATA_ASSET_CLASSIFICATION!$A$8:$A$24,0)),"Review"))</f>
        <v>Stable</v>
      </c>
      <c r="O1400" s="350" t="str">
        <f ca="1">IF($B1400="Portfolio","Portfolio",IFERROR(INDEX(DATA_ASSET_CLASSIFICATION!$AB$8:$AB$13,MATCH($N1400,DATA_ASSET_CLASSIFICATION!$AA$8:$AA$13,0)),"Review"))</f>
        <v>Bucket 2 · Legacy</v>
      </c>
      <c r="P1400" s="350" t="str">
        <f>IF($B1400="Portfolio","Portfolio",IFERROR(INDEX(DATA_ASSET_CLASSIFICATION!$C$8:$C$24,MATCH($C1400,DATA_ASSET_CLASSIFICATION!$A$8:$A$24,0)),"Review"))</f>
        <v>Yes</v>
      </c>
      <c r="Q1400" s="350" t="str">
        <f t="shared" ca="1" si="43"/>
        <v>OK</v>
      </c>
    </row>
    <row r="1401" spans="1:17">
      <c r="A1401" s="366" t="s">
        <v>3357</v>
      </c>
      <c r="B1401" s="366" t="s">
        <v>231</v>
      </c>
      <c r="C1401" s="348" t="str">
        <f>DATA_PROPERTY_MASTER!$A$8</f>
        <v>BLD_CH</v>
      </c>
      <c r="D1401" s="380">
        <f>'00_PORTFOLIO ROLLUP'!S$12</f>
        <v>2039</v>
      </c>
      <c r="E1401" s="366" t="s">
        <v>1683</v>
      </c>
      <c r="F1401" s="366" t="s">
        <v>19</v>
      </c>
      <c r="G1401" s="348" t="str">
        <f>"'"&amp;$C1401&amp;"'!$E$41:$Y$41"</f>
        <v>'BLD_CH'!$E$41:$Y$41</v>
      </c>
      <c r="H1401" s="381">
        <f ca="1">IF(IFERROR(INDEX(DATA_PROPERTY_MASTER!$E$5:$E$21,MATCH($C1401,DATA_PROPERTY_MASTER!$A$5:$A$21,0))="Yes",FALSE),IFERROR(INDEX(INDIRECT("'"&amp;$C1401&amp;"'!$E$41:$Y$41"),1,MATCH($D1401,INDIRECT("'"&amp;$C1401&amp;"'!$E$12:$Y$12"),0)),0),0)</f>
        <v>487029.36397999641</v>
      </c>
      <c r="I1401" s="366" t="s">
        <v>1685</v>
      </c>
      <c r="J1401" s="348" t="str">
        <f t="shared" ca="1" si="42"/>
        <v>OK</v>
      </c>
      <c r="K1401" s="366" t="s">
        <v>1694</v>
      </c>
      <c r="L1401" s="366" t="s">
        <v>2238</v>
      </c>
      <c r="M1401" s="350" t="str">
        <f>IF($B1401="Portfolio","Portfolio",IFERROR(INDEX(DATA_ASSET_CLASSIFICATION!$B$8:$B$24,MATCH($C1401,DATA_ASSET_CLASSIFICATION!$A$8:$A$24,0)),"Review"))</f>
        <v>Capilano House</v>
      </c>
      <c r="N1401" s="350" t="str">
        <f ca="1">IF($B1401="Portfolio","Portfolio",IFERROR(INDEX(DATA_ASSET_CLASSIFICATION!$U$8:$U$24,MATCH($C1401,DATA_ASSET_CLASSIFICATION!$A$8:$A$24,0)),"Review"))</f>
        <v>Stable</v>
      </c>
      <c r="O1401" s="350" t="str">
        <f ca="1">IF($B1401="Portfolio","Portfolio",IFERROR(INDEX(DATA_ASSET_CLASSIFICATION!$AB$8:$AB$13,MATCH($N1401,DATA_ASSET_CLASSIFICATION!$AA$8:$AA$13,0)),"Review"))</f>
        <v>Bucket 2 · Legacy</v>
      </c>
      <c r="P1401" s="350" t="str">
        <f>IF($B1401="Portfolio","Portfolio",IFERROR(INDEX(DATA_ASSET_CLASSIFICATION!$C$8:$C$24,MATCH($C1401,DATA_ASSET_CLASSIFICATION!$A$8:$A$24,0)),"Review"))</f>
        <v>Yes</v>
      </c>
      <c r="Q1401" s="350" t="str">
        <f t="shared" ca="1" si="43"/>
        <v>OK</v>
      </c>
    </row>
    <row r="1402" spans="1:17">
      <c r="A1402" s="366" t="s">
        <v>3358</v>
      </c>
      <c r="B1402" s="366" t="s">
        <v>231</v>
      </c>
      <c r="C1402" s="348" t="str">
        <f>DATA_PROPERTY_MASTER!$A$8</f>
        <v>BLD_CH</v>
      </c>
      <c r="D1402" s="380">
        <f>'00_PORTFOLIO ROLLUP'!S$12</f>
        <v>2039</v>
      </c>
      <c r="E1402" s="366" t="s">
        <v>1683</v>
      </c>
      <c r="F1402" s="366" t="s">
        <v>1697</v>
      </c>
      <c r="G1402" s="348" t="str">
        <f>"'"&amp;$C1402&amp;"'!$E$44:$Y$44"</f>
        <v>'BLD_CH'!$E$44:$Y$44</v>
      </c>
      <c r="H1402" s="381">
        <f ca="1">IF(IFERROR(INDEX(DATA_PROPERTY_MASTER!$E$5:$E$21,MATCH($C1402,DATA_PROPERTY_MASTER!$A$5:$A$21,0))="Yes",FALSE),IFERROR(INDEX(INDIRECT("'"&amp;$C1402&amp;"'!$E$44:$Y$44"),1,MATCH($D1402,INDIRECT("'"&amp;$C1402&amp;"'!$E$12:$Y$12"),0)),0),0)</f>
        <v>12666.996125403573</v>
      </c>
      <c r="I1402" s="366" t="s">
        <v>1690</v>
      </c>
      <c r="J1402" s="348" t="str">
        <f t="shared" ca="1" si="42"/>
        <v>OK</v>
      </c>
      <c r="K1402" s="366" t="s">
        <v>1699</v>
      </c>
      <c r="L1402" s="366" t="s">
        <v>2240</v>
      </c>
      <c r="M1402" s="350" t="str">
        <f>IF($B1402="Portfolio","Portfolio",IFERROR(INDEX(DATA_ASSET_CLASSIFICATION!$B$8:$B$24,MATCH($C1402,DATA_ASSET_CLASSIFICATION!$A$8:$A$24,0)),"Review"))</f>
        <v>Capilano House</v>
      </c>
      <c r="N1402" s="350" t="str">
        <f ca="1">IF($B1402="Portfolio","Portfolio",IFERROR(INDEX(DATA_ASSET_CLASSIFICATION!$U$8:$U$24,MATCH($C1402,DATA_ASSET_CLASSIFICATION!$A$8:$A$24,0)),"Review"))</f>
        <v>Stable</v>
      </c>
      <c r="O1402" s="350" t="str">
        <f ca="1">IF($B1402="Portfolio","Portfolio",IFERROR(INDEX(DATA_ASSET_CLASSIFICATION!$AB$8:$AB$13,MATCH($N1402,DATA_ASSET_CLASSIFICATION!$AA$8:$AA$13,0)),"Review"))</f>
        <v>Bucket 2 · Legacy</v>
      </c>
      <c r="P1402" s="350" t="str">
        <f>IF($B1402="Portfolio","Portfolio",IFERROR(INDEX(DATA_ASSET_CLASSIFICATION!$C$8:$C$24,MATCH($C1402,DATA_ASSET_CLASSIFICATION!$A$8:$A$24,0)),"Review"))</f>
        <v>Yes</v>
      </c>
      <c r="Q1402" s="350" t="str">
        <f t="shared" ca="1" si="43"/>
        <v>OK</v>
      </c>
    </row>
    <row r="1403" spans="1:17">
      <c r="A1403" s="366" t="s">
        <v>3359</v>
      </c>
      <c r="B1403" s="366" t="s">
        <v>231</v>
      </c>
      <c r="C1403" s="348" t="str">
        <f>DATA_PROPERTY_MASTER!$A$8</f>
        <v>BLD_CH</v>
      </c>
      <c r="D1403" s="380">
        <f>'00_PORTFOLIO ROLLUP'!S$12</f>
        <v>2039</v>
      </c>
      <c r="E1403" s="366" t="s">
        <v>1683</v>
      </c>
      <c r="F1403" s="366" t="s">
        <v>21</v>
      </c>
      <c r="G1403" s="348" t="str">
        <f>"'"&amp;$C1403&amp;"'!$E$45:$Y$45"</f>
        <v>'BLD_CH'!$E$45:$Y$45</v>
      </c>
      <c r="H1403" s="381">
        <f ca="1">IF(IFERROR(INDEX(DATA_PROPERTY_MASTER!$E$5:$E$21,MATCH($C1403,DATA_PROPERTY_MASTER!$A$5:$A$21,0))="Yes",FALSE),IFERROR(INDEX(INDIRECT("'"&amp;$C1403&amp;"'!$E$45:$Y$45"),1,MATCH($D1403,INDIRECT("'"&amp;$C1403&amp;"'!$E$12:$Y$12"),0)),0),0)</f>
        <v>474362.36785459286</v>
      </c>
      <c r="I1403" s="366" t="s">
        <v>1685</v>
      </c>
      <c r="J1403" s="348" t="str">
        <f t="shared" ca="1" si="42"/>
        <v>OK</v>
      </c>
      <c r="K1403" s="366" t="s">
        <v>1694</v>
      </c>
      <c r="L1403" s="366" t="s">
        <v>2242</v>
      </c>
      <c r="M1403" s="350" t="str">
        <f>IF($B1403="Portfolio","Portfolio",IFERROR(INDEX(DATA_ASSET_CLASSIFICATION!$B$8:$B$24,MATCH($C1403,DATA_ASSET_CLASSIFICATION!$A$8:$A$24,0)),"Review"))</f>
        <v>Capilano House</v>
      </c>
      <c r="N1403" s="350" t="str">
        <f ca="1">IF($B1403="Portfolio","Portfolio",IFERROR(INDEX(DATA_ASSET_CLASSIFICATION!$U$8:$U$24,MATCH($C1403,DATA_ASSET_CLASSIFICATION!$A$8:$A$24,0)),"Review"))</f>
        <v>Stable</v>
      </c>
      <c r="O1403" s="350" t="str">
        <f ca="1">IF($B1403="Portfolio","Portfolio",IFERROR(INDEX(DATA_ASSET_CLASSIFICATION!$AB$8:$AB$13,MATCH($N1403,DATA_ASSET_CLASSIFICATION!$AA$8:$AA$13,0)),"Review"))</f>
        <v>Bucket 2 · Legacy</v>
      </c>
      <c r="P1403" s="350" t="str">
        <f>IF($B1403="Portfolio","Portfolio",IFERROR(INDEX(DATA_ASSET_CLASSIFICATION!$C$8:$C$24,MATCH($C1403,DATA_ASSET_CLASSIFICATION!$A$8:$A$24,0)),"Review"))</f>
        <v>Yes</v>
      </c>
      <c r="Q1403" s="350" t="str">
        <f t="shared" ca="1" si="43"/>
        <v>OK</v>
      </c>
    </row>
    <row r="1404" spans="1:17">
      <c r="A1404" s="366" t="s">
        <v>3360</v>
      </c>
      <c r="B1404" s="366" t="s">
        <v>231</v>
      </c>
      <c r="C1404" s="348" t="str">
        <f>DATA_PROPERTY_MASTER!$A$8</f>
        <v>BLD_CH</v>
      </c>
      <c r="D1404" s="380">
        <f>'00_PORTFOLIO ROLLUP'!S$12</f>
        <v>2039</v>
      </c>
      <c r="E1404" s="366" t="s">
        <v>23</v>
      </c>
      <c r="F1404" s="366" t="s">
        <v>23</v>
      </c>
      <c r="G1404" s="348" t="str">
        <f>"'"&amp;$C1404&amp;"'!$E$48:$Y$48"</f>
        <v>'BLD_CH'!$E$48:$Y$48</v>
      </c>
      <c r="H1404" s="381">
        <f ca="1">IF(IFERROR(INDEX(DATA_PROPERTY_MASTER!$E$5:$E$21,MATCH($C1404,DATA_PROPERTY_MASTER!$A$5:$A$21,0))="Yes",FALSE),IFERROR(INDEX(INDIRECT("'"&amp;$C1404&amp;"'!$E$48:$Y$48"),1,MATCH($D1404,INDIRECT("'"&amp;$C1404&amp;"'!$E$12:$Y$12"),0)),0),0)</f>
        <v>0</v>
      </c>
      <c r="I1404" s="366" t="s">
        <v>1690</v>
      </c>
      <c r="J1404" s="348" t="str">
        <f t="shared" ca="1" si="42"/>
        <v>OK</v>
      </c>
      <c r="K1404" s="366" t="s">
        <v>1706</v>
      </c>
      <c r="L1404" s="366" t="s">
        <v>2244</v>
      </c>
      <c r="M1404" s="350" t="str">
        <f>IF($B1404="Portfolio","Portfolio",IFERROR(INDEX(DATA_ASSET_CLASSIFICATION!$B$8:$B$24,MATCH($C1404,DATA_ASSET_CLASSIFICATION!$A$8:$A$24,0)),"Review"))</f>
        <v>Capilano House</v>
      </c>
      <c r="N1404" s="350" t="str">
        <f ca="1">IF($B1404="Portfolio","Portfolio",IFERROR(INDEX(DATA_ASSET_CLASSIFICATION!$U$8:$U$24,MATCH($C1404,DATA_ASSET_CLASSIFICATION!$A$8:$A$24,0)),"Review"))</f>
        <v>Stable</v>
      </c>
      <c r="O1404" s="350" t="str">
        <f ca="1">IF($B1404="Portfolio","Portfolio",IFERROR(INDEX(DATA_ASSET_CLASSIFICATION!$AB$8:$AB$13,MATCH($N1404,DATA_ASSET_CLASSIFICATION!$AA$8:$AA$13,0)),"Review"))</f>
        <v>Bucket 2 · Legacy</v>
      </c>
      <c r="P1404" s="350" t="str">
        <f>IF($B1404="Portfolio","Portfolio",IFERROR(INDEX(DATA_ASSET_CLASSIFICATION!$C$8:$C$24,MATCH($C1404,DATA_ASSET_CLASSIFICATION!$A$8:$A$24,0)),"Review"))</f>
        <v>Yes</v>
      </c>
      <c r="Q1404" s="350" t="str">
        <f t="shared" ca="1" si="43"/>
        <v>OK</v>
      </c>
    </row>
    <row r="1405" spans="1:17">
      <c r="A1405" s="366" t="s">
        <v>3361</v>
      </c>
      <c r="B1405" s="366" t="s">
        <v>231</v>
      </c>
      <c r="C1405" s="348" t="str">
        <f>DATA_PROPERTY_MASTER!$A$8</f>
        <v>BLD_CH</v>
      </c>
      <c r="D1405" s="380">
        <f>'00_PORTFOLIO ROLLUP'!S$12</f>
        <v>2039</v>
      </c>
      <c r="E1405" s="366" t="s">
        <v>1683</v>
      </c>
      <c r="F1405" s="366" t="s">
        <v>25</v>
      </c>
      <c r="G1405" s="348" t="str">
        <f>"'"&amp;$C1405&amp;"'!$E$52:$Y$52"</f>
        <v>'BLD_CH'!$E$52:$Y$52</v>
      </c>
      <c r="H1405" s="381">
        <f ca="1">IF(IFERROR(INDEX(DATA_PROPERTY_MASTER!$E$5:$E$21,MATCH($C1405,DATA_PROPERTY_MASTER!$A$5:$A$21,0))="Yes",FALSE),IFERROR(INDEX(INDIRECT("'"&amp;$C1405&amp;"'!$E$52:$Y$52"),1,MATCH($D1405,INDIRECT("'"&amp;$C1405&amp;"'!$E$12:$Y$12"),0)),0),0)</f>
        <v>487029.36397999641</v>
      </c>
      <c r="I1405" s="366" t="s">
        <v>1685</v>
      </c>
      <c r="J1405" s="348" t="str">
        <f t="shared" ca="1" si="42"/>
        <v>OK</v>
      </c>
      <c r="K1405" s="366" t="s">
        <v>1710</v>
      </c>
      <c r="L1405" s="366" t="s">
        <v>2246</v>
      </c>
      <c r="M1405" s="350" t="str">
        <f>IF($B1405="Portfolio","Portfolio",IFERROR(INDEX(DATA_ASSET_CLASSIFICATION!$B$8:$B$24,MATCH($C1405,DATA_ASSET_CLASSIFICATION!$A$8:$A$24,0)),"Review"))</f>
        <v>Capilano House</v>
      </c>
      <c r="N1405" s="350" t="str">
        <f ca="1">IF($B1405="Portfolio","Portfolio",IFERROR(INDEX(DATA_ASSET_CLASSIFICATION!$U$8:$U$24,MATCH($C1405,DATA_ASSET_CLASSIFICATION!$A$8:$A$24,0)),"Review"))</f>
        <v>Stable</v>
      </c>
      <c r="O1405" s="350" t="str">
        <f ca="1">IF($B1405="Portfolio","Portfolio",IFERROR(INDEX(DATA_ASSET_CLASSIFICATION!$AB$8:$AB$13,MATCH($N1405,DATA_ASSET_CLASSIFICATION!$AA$8:$AA$13,0)),"Review"))</f>
        <v>Bucket 2 · Legacy</v>
      </c>
      <c r="P1405" s="350" t="str">
        <f>IF($B1405="Portfolio","Portfolio",IFERROR(INDEX(DATA_ASSET_CLASSIFICATION!$C$8:$C$24,MATCH($C1405,DATA_ASSET_CLASSIFICATION!$A$8:$A$24,0)),"Review"))</f>
        <v>Yes</v>
      </c>
      <c r="Q1405" s="350" t="str">
        <f t="shared" ca="1" si="43"/>
        <v>OK</v>
      </c>
    </row>
    <row r="1406" spans="1:17">
      <c r="A1406" s="366" t="s">
        <v>3362</v>
      </c>
      <c r="B1406" s="366" t="s">
        <v>231</v>
      </c>
      <c r="C1406" s="348" t="str">
        <f>DATA_PROPERTY_MASTER!$A$8</f>
        <v>BLD_CH</v>
      </c>
      <c r="D1406" s="380">
        <f>'00_PORTFOLIO ROLLUP'!S$12</f>
        <v>2039</v>
      </c>
      <c r="E1406" s="366" t="s">
        <v>1683</v>
      </c>
      <c r="F1406" s="366" t="s">
        <v>27</v>
      </c>
      <c r="G1406" s="348" t="str">
        <f>"'"&amp;$C1406&amp;"'!$E$54:$Y$54"</f>
        <v>'BLD_CH'!$E$54:$Y$54</v>
      </c>
      <c r="H1406" s="381">
        <f ca="1">IF(IFERROR(INDEX(DATA_PROPERTY_MASTER!$E$5:$E$21,MATCH($C1406,DATA_PROPERTY_MASTER!$A$5:$A$21,0))="Yes",FALSE),IFERROR(INDEX(INDIRECT("'"&amp;$C1406&amp;"'!$E$54:$Y$54"),1,MATCH($D1406,INDIRECT("'"&amp;$C1406&amp;"'!$E$12:$Y$12"),0)),0),0)</f>
        <v>292217.61838799785</v>
      </c>
      <c r="I1406" s="366" t="s">
        <v>1690</v>
      </c>
      <c r="J1406" s="348" t="str">
        <f t="shared" ca="1" si="42"/>
        <v>OK</v>
      </c>
      <c r="K1406" s="366" t="s">
        <v>1714</v>
      </c>
      <c r="L1406" s="366" t="s">
        <v>2248</v>
      </c>
      <c r="M1406" s="350" t="str">
        <f>IF($B1406="Portfolio","Portfolio",IFERROR(INDEX(DATA_ASSET_CLASSIFICATION!$B$8:$B$24,MATCH($C1406,DATA_ASSET_CLASSIFICATION!$A$8:$A$24,0)),"Review"))</f>
        <v>Capilano House</v>
      </c>
      <c r="N1406" s="350" t="str">
        <f ca="1">IF($B1406="Portfolio","Portfolio",IFERROR(INDEX(DATA_ASSET_CLASSIFICATION!$U$8:$U$24,MATCH($C1406,DATA_ASSET_CLASSIFICATION!$A$8:$A$24,0)),"Review"))</f>
        <v>Stable</v>
      </c>
      <c r="O1406" s="350" t="str">
        <f ca="1">IF($B1406="Portfolio","Portfolio",IFERROR(INDEX(DATA_ASSET_CLASSIFICATION!$AB$8:$AB$13,MATCH($N1406,DATA_ASSET_CLASSIFICATION!$AA$8:$AA$13,0)),"Review"))</f>
        <v>Bucket 2 · Legacy</v>
      </c>
      <c r="P1406" s="350" t="str">
        <f>IF($B1406="Portfolio","Portfolio",IFERROR(INDEX(DATA_ASSET_CLASSIFICATION!$C$8:$C$24,MATCH($C1406,DATA_ASSET_CLASSIFICATION!$A$8:$A$24,0)),"Review"))</f>
        <v>Yes</v>
      </c>
      <c r="Q1406" s="350" t="str">
        <f t="shared" ca="1" si="43"/>
        <v>OK</v>
      </c>
    </row>
    <row r="1407" spans="1:17">
      <c r="A1407" s="366" t="s">
        <v>3363</v>
      </c>
      <c r="B1407" s="366" t="s">
        <v>231</v>
      </c>
      <c r="C1407" s="348" t="str">
        <f>DATA_PROPERTY_MASTER!$A$8</f>
        <v>BLD_CH</v>
      </c>
      <c r="D1407" s="380">
        <f>'00_PORTFOLIO ROLLUP'!S$12</f>
        <v>2039</v>
      </c>
      <c r="E1407" s="366" t="s">
        <v>1683</v>
      </c>
      <c r="F1407" s="366" t="s">
        <v>29</v>
      </c>
      <c r="G1407" s="348" t="str">
        <f>"'"&amp;$C1407&amp;"'!$E$56:$Y$56"</f>
        <v>'BLD_CH'!$E$56:$Y$56</v>
      </c>
      <c r="H1407" s="381">
        <f ca="1">IF(IFERROR(INDEX(DATA_PROPERTY_MASTER!$E$5:$E$21,MATCH($C1407,DATA_PROPERTY_MASTER!$A$5:$A$21,0))="Yes",FALSE),IFERROR(INDEX(INDIRECT("'"&amp;$C1407&amp;"'!$E$56:$Y$56"),1,MATCH($D1407,INDIRECT("'"&amp;$C1407&amp;"'!$E$12:$Y$12"),0)),0),0)</f>
        <v>194811.74559199857</v>
      </c>
      <c r="I1407" s="366" t="s">
        <v>1685</v>
      </c>
      <c r="J1407" s="348" t="str">
        <f t="shared" ca="1" si="42"/>
        <v>OK</v>
      </c>
      <c r="K1407" s="366" t="s">
        <v>1718</v>
      </c>
      <c r="L1407" s="366" t="s">
        <v>2250</v>
      </c>
      <c r="M1407" s="350" t="str">
        <f>IF($B1407="Portfolio","Portfolio",IFERROR(INDEX(DATA_ASSET_CLASSIFICATION!$B$8:$B$24,MATCH($C1407,DATA_ASSET_CLASSIFICATION!$A$8:$A$24,0)),"Review"))</f>
        <v>Capilano House</v>
      </c>
      <c r="N1407" s="350" t="str">
        <f ca="1">IF($B1407="Portfolio","Portfolio",IFERROR(INDEX(DATA_ASSET_CLASSIFICATION!$U$8:$U$24,MATCH($C1407,DATA_ASSET_CLASSIFICATION!$A$8:$A$24,0)),"Review"))</f>
        <v>Stable</v>
      </c>
      <c r="O1407" s="350" t="str">
        <f ca="1">IF($B1407="Portfolio","Portfolio",IFERROR(INDEX(DATA_ASSET_CLASSIFICATION!$AB$8:$AB$13,MATCH($N1407,DATA_ASSET_CLASSIFICATION!$AA$8:$AA$13,0)),"Review"))</f>
        <v>Bucket 2 · Legacy</v>
      </c>
      <c r="P1407" s="350" t="str">
        <f>IF($B1407="Portfolio","Portfolio",IFERROR(INDEX(DATA_ASSET_CLASSIFICATION!$C$8:$C$24,MATCH($C1407,DATA_ASSET_CLASSIFICATION!$A$8:$A$24,0)),"Review"))</f>
        <v>Yes</v>
      </c>
      <c r="Q1407" s="350" t="str">
        <f t="shared" ca="1" si="43"/>
        <v>OK</v>
      </c>
    </row>
    <row r="1408" spans="1:17">
      <c r="A1408" s="366" t="s">
        <v>3364</v>
      </c>
      <c r="B1408" s="366" t="s">
        <v>231</v>
      </c>
      <c r="C1408" s="348" t="str">
        <f>DATA_PROPERTY_MASTER!$A$8</f>
        <v>BLD_CH</v>
      </c>
      <c r="D1408" s="380">
        <f>'00_PORTFOLIO ROLLUP'!S$12</f>
        <v>2039</v>
      </c>
      <c r="E1408" s="366" t="s">
        <v>1721</v>
      </c>
      <c r="F1408" s="366" t="s">
        <v>31</v>
      </c>
      <c r="G1408" s="348" t="str">
        <f>"'"&amp;$C1408&amp;"'!$E$61:$Y$61"</f>
        <v>'BLD_CH'!$E$61:$Y$61</v>
      </c>
      <c r="H1408" s="381">
        <f ca="1">IF(IFERROR(INDEX(DATA_PROPERTY_MASTER!$E$5:$E$21,MATCH($C1408,DATA_PROPERTY_MASTER!$A$5:$A$21,0))="Yes",FALSE),IFERROR(INDEX(INDIRECT("'"&amp;$C1408&amp;"'!$E$61:$Y$61"),1,MATCH($D1408,INDIRECT("'"&amp;$C1408&amp;"'!$E$12:$Y$12"),0)),0),0)</f>
        <v>0</v>
      </c>
      <c r="I1408" s="366" t="s">
        <v>1690</v>
      </c>
      <c r="J1408" s="348" t="str">
        <f t="shared" ca="1" si="42"/>
        <v>OK</v>
      </c>
      <c r="K1408" s="366" t="s">
        <v>1723</v>
      </c>
      <c r="L1408" s="366" t="s">
        <v>2252</v>
      </c>
      <c r="M1408" s="350" t="str">
        <f>IF($B1408="Portfolio","Portfolio",IFERROR(INDEX(DATA_ASSET_CLASSIFICATION!$B$8:$B$24,MATCH($C1408,DATA_ASSET_CLASSIFICATION!$A$8:$A$24,0)),"Review"))</f>
        <v>Capilano House</v>
      </c>
      <c r="N1408" s="350" t="str">
        <f ca="1">IF($B1408="Portfolio","Portfolio",IFERROR(INDEX(DATA_ASSET_CLASSIFICATION!$U$8:$U$24,MATCH($C1408,DATA_ASSET_CLASSIFICATION!$A$8:$A$24,0)),"Review"))</f>
        <v>Stable</v>
      </c>
      <c r="O1408" s="350" t="str">
        <f ca="1">IF($B1408="Portfolio","Portfolio",IFERROR(INDEX(DATA_ASSET_CLASSIFICATION!$AB$8:$AB$13,MATCH($N1408,DATA_ASSET_CLASSIFICATION!$AA$8:$AA$13,0)),"Review"))</f>
        <v>Bucket 2 · Legacy</v>
      </c>
      <c r="P1408" s="350" t="str">
        <f>IF($B1408="Portfolio","Portfolio",IFERROR(INDEX(DATA_ASSET_CLASSIFICATION!$C$8:$C$24,MATCH($C1408,DATA_ASSET_CLASSIFICATION!$A$8:$A$24,0)),"Review"))</f>
        <v>Yes</v>
      </c>
      <c r="Q1408" s="350" t="str">
        <f t="shared" ca="1" si="43"/>
        <v>OK</v>
      </c>
    </row>
    <row r="1409" spans="1:17">
      <c r="A1409" s="366" t="s">
        <v>3365</v>
      </c>
      <c r="B1409" s="366" t="s">
        <v>231</v>
      </c>
      <c r="C1409" s="348" t="str">
        <f>DATA_PROPERTY_MASTER!$A$8</f>
        <v>BLD_CH</v>
      </c>
      <c r="D1409" s="380">
        <f>'00_PORTFOLIO ROLLUP'!S$12</f>
        <v>2039</v>
      </c>
      <c r="E1409" s="366" t="s">
        <v>1721</v>
      </c>
      <c r="F1409" s="366" t="s">
        <v>33</v>
      </c>
      <c r="G1409" s="348" t="str">
        <f>"'"&amp;$C1409&amp;"'!$E$62:$Y$62"</f>
        <v>'BLD_CH'!$E$62:$Y$62</v>
      </c>
      <c r="H1409" s="381">
        <f ca="1">IF(IFERROR(INDEX(DATA_PROPERTY_MASTER!$E$5:$E$21,MATCH($C1409,DATA_PROPERTY_MASTER!$A$5:$A$21,0))="Yes",FALSE),IFERROR(INDEX(INDIRECT("'"&amp;$C1409&amp;"'!$E$62:$Y$62"),1,MATCH($D1409,INDIRECT("'"&amp;$C1409&amp;"'!$E$12:$Y$12"),0)),0),0)</f>
        <v>0</v>
      </c>
      <c r="I1409" s="366" t="s">
        <v>1685</v>
      </c>
      <c r="J1409" s="348" t="str">
        <f t="shared" ca="1" si="42"/>
        <v>OK</v>
      </c>
      <c r="K1409" s="366" t="s">
        <v>1727</v>
      </c>
      <c r="L1409" s="366" t="s">
        <v>2254</v>
      </c>
      <c r="M1409" s="350" t="str">
        <f>IF($B1409="Portfolio","Portfolio",IFERROR(INDEX(DATA_ASSET_CLASSIFICATION!$B$8:$B$24,MATCH($C1409,DATA_ASSET_CLASSIFICATION!$A$8:$A$24,0)),"Review"))</f>
        <v>Capilano House</v>
      </c>
      <c r="N1409" s="350" t="str">
        <f ca="1">IF($B1409="Portfolio","Portfolio",IFERROR(INDEX(DATA_ASSET_CLASSIFICATION!$U$8:$U$24,MATCH($C1409,DATA_ASSET_CLASSIFICATION!$A$8:$A$24,0)),"Review"))</f>
        <v>Stable</v>
      </c>
      <c r="O1409" s="350" t="str">
        <f ca="1">IF($B1409="Portfolio","Portfolio",IFERROR(INDEX(DATA_ASSET_CLASSIFICATION!$AB$8:$AB$13,MATCH($N1409,DATA_ASSET_CLASSIFICATION!$AA$8:$AA$13,0)),"Review"))</f>
        <v>Bucket 2 · Legacy</v>
      </c>
      <c r="P1409" s="350" t="str">
        <f>IF($B1409="Portfolio","Portfolio",IFERROR(INDEX(DATA_ASSET_CLASSIFICATION!$C$8:$C$24,MATCH($C1409,DATA_ASSET_CLASSIFICATION!$A$8:$A$24,0)),"Review"))</f>
        <v>Yes</v>
      </c>
      <c r="Q1409" s="350" t="str">
        <f t="shared" ca="1" si="43"/>
        <v>OK</v>
      </c>
    </row>
    <row r="1410" spans="1:17">
      <c r="A1410" s="366" t="s">
        <v>3366</v>
      </c>
      <c r="B1410" s="366" t="s">
        <v>231</v>
      </c>
      <c r="C1410" s="348" t="str">
        <f>DATA_PROPERTY_MASTER!$A$8</f>
        <v>BLD_CH</v>
      </c>
      <c r="D1410" s="380">
        <f>'00_PORTFOLIO ROLLUP'!S$12</f>
        <v>2039</v>
      </c>
      <c r="E1410" s="366" t="s">
        <v>1721</v>
      </c>
      <c r="F1410" s="366" t="s">
        <v>35</v>
      </c>
      <c r="G1410" s="348" t="str">
        <f>"'"&amp;$C1410&amp;"'!$E$63:$Y$63"</f>
        <v>'BLD_CH'!$E$63:$Y$63</v>
      </c>
      <c r="H1410" s="381">
        <f ca="1">IF(IFERROR(INDEX(DATA_PROPERTY_MASTER!$E$5:$E$21,MATCH($C1410,DATA_PROPERTY_MASTER!$A$5:$A$21,0))="Yes",FALSE),IFERROR(INDEX(INDIRECT("'"&amp;$C1410&amp;"'!$E$63:$Y$63"),1,MATCH($D1410,INDIRECT("'"&amp;$C1410&amp;"'!$E$12:$Y$12"),0)),0),0)</f>
        <v>0</v>
      </c>
      <c r="I1410" s="366" t="s">
        <v>1731</v>
      </c>
      <c r="J1410" s="348" t="str">
        <f t="shared" ca="1" si="42"/>
        <v>OK</v>
      </c>
      <c r="K1410" s="366" t="s">
        <v>1732</v>
      </c>
      <c r="L1410" s="366" t="s">
        <v>2256</v>
      </c>
      <c r="M1410" s="350" t="str">
        <f>IF($B1410="Portfolio","Portfolio",IFERROR(INDEX(DATA_ASSET_CLASSIFICATION!$B$8:$B$24,MATCH($C1410,DATA_ASSET_CLASSIFICATION!$A$8:$A$24,0)),"Review"))</f>
        <v>Capilano House</v>
      </c>
      <c r="N1410" s="350" t="str">
        <f ca="1">IF($B1410="Portfolio","Portfolio",IFERROR(INDEX(DATA_ASSET_CLASSIFICATION!$U$8:$U$24,MATCH($C1410,DATA_ASSET_CLASSIFICATION!$A$8:$A$24,0)),"Review"))</f>
        <v>Stable</v>
      </c>
      <c r="O1410" s="350" t="str">
        <f ca="1">IF($B1410="Portfolio","Portfolio",IFERROR(INDEX(DATA_ASSET_CLASSIFICATION!$AB$8:$AB$13,MATCH($N1410,DATA_ASSET_CLASSIFICATION!$AA$8:$AA$13,0)),"Review"))</f>
        <v>Bucket 2 · Legacy</v>
      </c>
      <c r="P1410" s="350" t="str">
        <f>IF($B1410="Portfolio","Portfolio",IFERROR(INDEX(DATA_ASSET_CLASSIFICATION!$C$8:$C$24,MATCH($C1410,DATA_ASSET_CLASSIFICATION!$A$8:$A$24,0)),"Review"))</f>
        <v>Yes</v>
      </c>
      <c r="Q1410" s="350" t="str">
        <f t="shared" ca="1" si="43"/>
        <v>OK</v>
      </c>
    </row>
    <row r="1411" spans="1:17">
      <c r="A1411" s="366" t="s">
        <v>3367</v>
      </c>
      <c r="B1411" s="366" t="s">
        <v>231</v>
      </c>
      <c r="C1411" s="348" t="str">
        <f>DATA_PROPERTY_MASTER!$A$8</f>
        <v>BLD_CH</v>
      </c>
      <c r="D1411" s="380">
        <f>'00_PORTFOLIO ROLLUP'!S$12</f>
        <v>2039</v>
      </c>
      <c r="E1411" s="366" t="s">
        <v>1721</v>
      </c>
      <c r="F1411" s="366" t="s">
        <v>37</v>
      </c>
      <c r="G1411" s="348" t="str">
        <f>"'"&amp;$C1411&amp;"'!$E$63:$Y$63"</f>
        <v>'BLD_CH'!$E$63:$Y$63</v>
      </c>
      <c r="H1411" s="381">
        <f ca="1">IF(IFERROR(INDEX(DATA_PROPERTY_MASTER!$E$5:$E$21,MATCH($C1411,DATA_PROPERTY_MASTER!$A$5:$A$21,0))="Yes",FALSE),MAX(IFERROR(INDEX(INDIRECT("'"&amp;$C1411&amp;"'!$E$63:$Y$63"),1,MATCH($D1411,INDIRECT("'"&amp;$C1411&amp;"'!$E$12:$Y$12"),0)),0),0),0)</f>
        <v>0</v>
      </c>
      <c r="I1411" s="366" t="s">
        <v>1685</v>
      </c>
      <c r="J1411" s="348" t="str">
        <f t="shared" ca="1" si="42"/>
        <v>OK</v>
      </c>
      <c r="K1411" s="366" t="s">
        <v>1735</v>
      </c>
      <c r="L1411" s="366" t="s">
        <v>2258</v>
      </c>
      <c r="M1411" s="350" t="str">
        <f>IF($B1411="Portfolio","Portfolio",IFERROR(INDEX(DATA_ASSET_CLASSIFICATION!$B$8:$B$24,MATCH($C1411,DATA_ASSET_CLASSIFICATION!$A$8:$A$24,0)),"Review"))</f>
        <v>Capilano House</v>
      </c>
      <c r="N1411" s="350" t="str">
        <f ca="1">IF($B1411="Portfolio","Portfolio",IFERROR(INDEX(DATA_ASSET_CLASSIFICATION!$U$8:$U$24,MATCH($C1411,DATA_ASSET_CLASSIFICATION!$A$8:$A$24,0)),"Review"))</f>
        <v>Stable</v>
      </c>
      <c r="O1411" s="350" t="str">
        <f ca="1">IF($B1411="Portfolio","Portfolio",IFERROR(INDEX(DATA_ASSET_CLASSIFICATION!$AB$8:$AB$13,MATCH($N1411,DATA_ASSET_CLASSIFICATION!$AA$8:$AA$13,0)),"Review"))</f>
        <v>Bucket 2 · Legacy</v>
      </c>
      <c r="P1411" s="350" t="str">
        <f>IF($B1411="Portfolio","Portfolio",IFERROR(INDEX(DATA_ASSET_CLASSIFICATION!$C$8:$C$24,MATCH($C1411,DATA_ASSET_CLASSIFICATION!$A$8:$A$24,0)),"Review"))</f>
        <v>Yes</v>
      </c>
      <c r="Q1411" s="350" t="str">
        <f t="shared" ca="1" si="43"/>
        <v>OK</v>
      </c>
    </row>
    <row r="1412" spans="1:17">
      <c r="A1412" s="366" t="s">
        <v>3368</v>
      </c>
      <c r="B1412" s="366" t="s">
        <v>231</v>
      </c>
      <c r="C1412" s="348" t="str">
        <f>DATA_PROPERTY_MASTER!$A$8</f>
        <v>BLD_CH</v>
      </c>
      <c r="D1412" s="380">
        <f>'00_PORTFOLIO ROLLUP'!S$12</f>
        <v>2039</v>
      </c>
      <c r="E1412" s="366" t="s">
        <v>1721</v>
      </c>
      <c r="F1412" s="366" t="s">
        <v>39</v>
      </c>
      <c r="G1412" s="348" t="str">
        <f>"'"&amp;$C1412&amp;"'!$E$63:$Y$63"</f>
        <v>'BLD_CH'!$E$63:$Y$63</v>
      </c>
      <c r="H1412" s="381">
        <f ca="1">IF(IFERROR(INDEX(DATA_PROPERTY_MASTER!$E$5:$E$21,MATCH($C1412,DATA_PROPERTY_MASTER!$A$5:$A$21,0))="Yes",FALSE),MAX(-IFERROR(INDEX(INDIRECT("'"&amp;$C1412&amp;"'!$E$63:$Y$63"),1,MATCH($D1412,INDIRECT("'"&amp;$C1412&amp;"'!$E$12:$Y$12"),0)),0),0),0)</f>
        <v>0</v>
      </c>
      <c r="I1412" s="366" t="s">
        <v>1690</v>
      </c>
      <c r="J1412" s="348" t="str">
        <f t="shared" ca="1" si="42"/>
        <v>OK</v>
      </c>
      <c r="K1412" s="366" t="s">
        <v>1738</v>
      </c>
      <c r="L1412" s="366" t="s">
        <v>2260</v>
      </c>
      <c r="M1412" s="350" t="str">
        <f>IF($B1412="Portfolio","Portfolio",IFERROR(INDEX(DATA_ASSET_CLASSIFICATION!$B$8:$B$24,MATCH($C1412,DATA_ASSET_CLASSIFICATION!$A$8:$A$24,0)),"Review"))</f>
        <v>Capilano House</v>
      </c>
      <c r="N1412" s="350" t="str">
        <f ca="1">IF($B1412="Portfolio","Portfolio",IFERROR(INDEX(DATA_ASSET_CLASSIFICATION!$U$8:$U$24,MATCH($C1412,DATA_ASSET_CLASSIFICATION!$A$8:$A$24,0)),"Review"))</f>
        <v>Stable</v>
      </c>
      <c r="O1412" s="350" t="str">
        <f ca="1">IF($B1412="Portfolio","Portfolio",IFERROR(INDEX(DATA_ASSET_CLASSIFICATION!$AB$8:$AB$13,MATCH($N1412,DATA_ASSET_CLASSIFICATION!$AA$8:$AA$13,0)),"Review"))</f>
        <v>Bucket 2 · Legacy</v>
      </c>
      <c r="P1412" s="350" t="str">
        <f>IF($B1412="Portfolio","Portfolio",IFERROR(INDEX(DATA_ASSET_CLASSIFICATION!$C$8:$C$24,MATCH($C1412,DATA_ASSET_CLASSIFICATION!$A$8:$A$24,0)),"Review"))</f>
        <v>Yes</v>
      </c>
      <c r="Q1412" s="350" t="str">
        <f t="shared" ca="1" si="43"/>
        <v>OK</v>
      </c>
    </row>
    <row r="1413" spans="1:17">
      <c r="A1413" s="366" t="s">
        <v>3369</v>
      </c>
      <c r="B1413" s="366" t="s">
        <v>231</v>
      </c>
      <c r="C1413" s="348" t="str">
        <f>DATA_PROPERTY_MASTER!$A$8</f>
        <v>BLD_CH</v>
      </c>
      <c r="D1413" s="380">
        <f>'00_PORTFOLIO ROLLUP'!S$12</f>
        <v>2039</v>
      </c>
      <c r="E1413" s="366" t="s">
        <v>1741</v>
      </c>
      <c r="F1413" s="366" t="s">
        <v>41</v>
      </c>
      <c r="G1413" s="348" t="str">
        <f>"'"&amp;$C1413&amp;"'!rows 56 + positive row 63"</f>
        <v>'BLD_CH'!rows 56 + positive row 63</v>
      </c>
      <c r="H1413" s="381">
        <f ca="1">IF(IFERROR(INDEX(DATA_PROPERTY_MASTER!$E$5:$E$21,MATCH($C1413,DATA_PROPERTY_MASTER!$A$5:$A$21,0))="Yes",FALSE),IFERROR(INDEX(INDIRECT("'"&amp;$C1413&amp;"'!$E$56:$Y$56"),1,MATCH($D1413,INDIRECT("'"&amp;$C1413&amp;"'!$E$12:$Y$12"),0)),0)+MAX(IFERROR(INDEX(INDIRECT("'"&amp;$C1413&amp;"'!$E$63:$Y$63"),1,MATCH($D1413,INDIRECT("'"&amp;$C1413&amp;"'!$E$12:$Y$12"),0)),0),0),0)</f>
        <v>194811.74559199857</v>
      </c>
      <c r="I1413" s="366" t="s">
        <v>1685</v>
      </c>
      <c r="J1413" s="348" t="str">
        <f t="shared" ref="J1413:J1476" ca="1" si="44">IF($F1413="Residual Funding Gap",IF($H1413&gt;0,"Funding Gap","OK"),IF(AND($F1413="Net Refinance Position",$H1413&lt;0),"Negative net refi position","OK"))</f>
        <v>OK</v>
      </c>
      <c r="K1413" s="366" t="s">
        <v>1742</v>
      </c>
      <c r="L1413" s="366" t="s">
        <v>2262</v>
      </c>
      <c r="M1413" s="350" t="str">
        <f>IF($B1413="Portfolio","Portfolio",IFERROR(INDEX(DATA_ASSET_CLASSIFICATION!$B$8:$B$24,MATCH($C1413,DATA_ASSET_CLASSIFICATION!$A$8:$A$24,0)),"Review"))</f>
        <v>Capilano House</v>
      </c>
      <c r="N1413" s="350" t="str">
        <f ca="1">IF($B1413="Portfolio","Portfolio",IFERROR(INDEX(DATA_ASSET_CLASSIFICATION!$U$8:$U$24,MATCH($C1413,DATA_ASSET_CLASSIFICATION!$A$8:$A$24,0)),"Review"))</f>
        <v>Stable</v>
      </c>
      <c r="O1413" s="350" t="str">
        <f ca="1">IF($B1413="Portfolio","Portfolio",IFERROR(INDEX(DATA_ASSET_CLASSIFICATION!$AB$8:$AB$13,MATCH($N1413,DATA_ASSET_CLASSIFICATION!$AA$8:$AA$13,0)),"Review"))</f>
        <v>Bucket 2 · Legacy</v>
      </c>
      <c r="P1413" s="350" t="str">
        <f>IF($B1413="Portfolio","Portfolio",IFERROR(INDEX(DATA_ASSET_CLASSIFICATION!$C$8:$C$24,MATCH($C1413,DATA_ASSET_CLASSIFICATION!$A$8:$A$24,0)),"Review"))</f>
        <v>Yes</v>
      </c>
      <c r="Q1413" s="350" t="str">
        <f t="shared" ref="Q1413:Q1476" ca="1" si="45">IF(AND($B1413="Property",$F1413="Residual Funding Gap",$H1413&gt;0),"Property Funding Gap",IF($J1413&lt;&gt;"OK",$J1413,"OK"))</f>
        <v>OK</v>
      </c>
    </row>
    <row r="1414" spans="1:17">
      <c r="A1414" s="366" t="s">
        <v>3370</v>
      </c>
      <c r="B1414" s="366" t="s">
        <v>231</v>
      </c>
      <c r="C1414" s="348" t="str">
        <f>DATA_PROPERTY_MASTER!$A$8</f>
        <v>BLD_CH</v>
      </c>
      <c r="D1414" s="380">
        <f>'00_PORTFOLIO ROLLUP'!S$12</f>
        <v>2039</v>
      </c>
      <c r="E1414" s="366" t="s">
        <v>1741</v>
      </c>
      <c r="F1414" s="366" t="s">
        <v>43</v>
      </c>
      <c r="G1414" s="348" t="str">
        <f>"'"&amp;$C1414&amp;"'!$E$68:$Y$68"</f>
        <v>'BLD_CH'!$E$68:$Y$68</v>
      </c>
      <c r="H1414" s="381">
        <f ca="1">IF(IFERROR(INDEX(DATA_PROPERTY_MASTER!$E$5:$E$21,MATCH($C1414,DATA_PROPERTY_MASTER!$A$5:$A$21,0))="Yes",FALSE),IFERROR(INDEX(INDIRECT("'"&amp;$C1414&amp;"'!$E$68:$Y$68"),1,MATCH($D1414,INDIRECT("'"&amp;$C1414&amp;"'!$E$12:$Y$12"),0)),0),0)</f>
        <v>194811.74559199857</v>
      </c>
      <c r="I1414" s="366" t="s">
        <v>1731</v>
      </c>
      <c r="J1414" s="348" t="str">
        <f t="shared" ca="1" si="44"/>
        <v>OK</v>
      </c>
      <c r="K1414" s="366" t="s">
        <v>1746</v>
      </c>
      <c r="L1414" s="366" t="s">
        <v>2264</v>
      </c>
      <c r="M1414" s="350" t="str">
        <f>IF($B1414="Portfolio","Portfolio",IFERROR(INDEX(DATA_ASSET_CLASSIFICATION!$B$8:$B$24,MATCH($C1414,DATA_ASSET_CLASSIFICATION!$A$8:$A$24,0)),"Review"))</f>
        <v>Capilano House</v>
      </c>
      <c r="N1414" s="350" t="str">
        <f ca="1">IF($B1414="Portfolio","Portfolio",IFERROR(INDEX(DATA_ASSET_CLASSIFICATION!$U$8:$U$24,MATCH($C1414,DATA_ASSET_CLASSIFICATION!$A$8:$A$24,0)),"Review"))</f>
        <v>Stable</v>
      </c>
      <c r="O1414" s="350" t="str">
        <f ca="1">IF($B1414="Portfolio","Portfolio",IFERROR(INDEX(DATA_ASSET_CLASSIFICATION!$AB$8:$AB$13,MATCH($N1414,DATA_ASSET_CLASSIFICATION!$AA$8:$AA$13,0)),"Review"))</f>
        <v>Bucket 2 · Legacy</v>
      </c>
      <c r="P1414" s="350" t="str">
        <f>IF($B1414="Portfolio","Portfolio",IFERROR(INDEX(DATA_ASSET_CLASSIFICATION!$C$8:$C$24,MATCH($C1414,DATA_ASSET_CLASSIFICATION!$A$8:$A$24,0)),"Review"))</f>
        <v>Yes</v>
      </c>
      <c r="Q1414" s="350" t="str">
        <f t="shared" ca="1" si="45"/>
        <v>OK</v>
      </c>
    </row>
    <row r="1415" spans="1:17">
      <c r="A1415" s="366" t="s">
        <v>3371</v>
      </c>
      <c r="B1415" s="366" t="s">
        <v>231</v>
      </c>
      <c r="C1415" s="348" t="str">
        <f>DATA_PROPERTY_MASTER!$A$8</f>
        <v>BLD_CH</v>
      </c>
      <c r="D1415" s="380">
        <f>'00_PORTFOLIO ROLLUP'!S$12</f>
        <v>2039</v>
      </c>
      <c r="E1415" s="366" t="s">
        <v>1741</v>
      </c>
      <c r="F1415" s="366" t="s">
        <v>1749</v>
      </c>
      <c r="G1415" s="348" t="str">
        <f>"'"&amp;$C1415&amp;"'!rows 56, 63, 68"</f>
        <v>'BLD_CH'!rows 56, 63, 68</v>
      </c>
      <c r="H1415" s="381">
        <f ca="1">IF(IFERROR(INDEX(DATA_PROPERTY_MASTER!$E$5:$E$21,MATCH($C1415,DATA_PROPERTY_MASTER!$A$5:$A$21,0))="Yes",FALSE),(IFERROR(INDEX(INDIRECT("'"&amp;$C1415&amp;"'!$E$56:$Y$56"),1,MATCH($D1415,INDIRECT("'"&amp;$C1415&amp;"'!$E$12:$Y$12"),0)),0)+MAX(IFERROR(INDEX(INDIRECT("'"&amp;$C1415&amp;"'!$E$63:$Y$63"),1,MATCH($D1415,INDIRECT("'"&amp;$C1415&amp;"'!$E$12:$Y$12"),0)),0),0))-(IFERROR(INDEX(INDIRECT("'"&amp;$C1415&amp;"'!$E$68:$Y$68"),1,MATCH($D1415,INDIRECT("'"&amp;$C1415&amp;"'!$E$12:$Y$12"),0)),0)),0)</f>
        <v>0</v>
      </c>
      <c r="I1415" s="366" t="s">
        <v>1750</v>
      </c>
      <c r="J1415" s="348" t="str">
        <f t="shared" ca="1" si="44"/>
        <v>OK</v>
      </c>
      <c r="K1415" s="366" t="s">
        <v>1751</v>
      </c>
      <c r="L1415" s="366" t="s">
        <v>2266</v>
      </c>
      <c r="M1415" s="350" t="str">
        <f>IF($B1415="Portfolio","Portfolio",IFERROR(INDEX(DATA_ASSET_CLASSIFICATION!$B$8:$B$24,MATCH($C1415,DATA_ASSET_CLASSIFICATION!$A$8:$A$24,0)),"Review"))</f>
        <v>Capilano House</v>
      </c>
      <c r="N1415" s="350" t="str">
        <f ca="1">IF($B1415="Portfolio","Portfolio",IFERROR(INDEX(DATA_ASSET_CLASSIFICATION!$U$8:$U$24,MATCH($C1415,DATA_ASSET_CLASSIFICATION!$A$8:$A$24,0)),"Review"))</f>
        <v>Stable</v>
      </c>
      <c r="O1415" s="350" t="str">
        <f ca="1">IF($B1415="Portfolio","Portfolio",IFERROR(INDEX(DATA_ASSET_CLASSIFICATION!$AB$8:$AB$13,MATCH($N1415,DATA_ASSET_CLASSIFICATION!$AA$8:$AA$13,0)),"Review"))</f>
        <v>Bucket 2 · Legacy</v>
      </c>
      <c r="P1415" s="350" t="str">
        <f>IF($B1415="Portfolio","Portfolio",IFERROR(INDEX(DATA_ASSET_CLASSIFICATION!$C$8:$C$24,MATCH($C1415,DATA_ASSET_CLASSIFICATION!$A$8:$A$24,0)),"Review"))</f>
        <v>Yes</v>
      </c>
      <c r="Q1415" s="350" t="str">
        <f t="shared" ca="1" si="45"/>
        <v>OK</v>
      </c>
    </row>
    <row r="1416" spans="1:17">
      <c r="A1416" s="366" t="s">
        <v>3372</v>
      </c>
      <c r="B1416" s="366" t="s">
        <v>231</v>
      </c>
      <c r="C1416" s="348" t="str">
        <f>DATA_PROPERTY_MASTER!$A$8</f>
        <v>BLD_CH</v>
      </c>
      <c r="D1416" s="380">
        <f>'00_PORTFOLIO ROLLUP'!T$12</f>
        <v>2040</v>
      </c>
      <c r="E1416" s="366" t="s">
        <v>1683</v>
      </c>
      <c r="F1416" s="366" t="s">
        <v>341</v>
      </c>
      <c r="G1416" s="348" t="str">
        <f>"'"&amp;$C1416&amp;"'!$E$24:$Y$24"</f>
        <v>'BLD_CH'!$E$24:$Y$24</v>
      </c>
      <c r="H1416" s="381">
        <f ca="1">IF(IFERROR(INDEX(DATA_PROPERTY_MASTER!$E$5:$E$21,MATCH($C1416,DATA_PROPERTY_MASTER!$A$5:$A$21,0))="Yes",FALSE),IFERROR(INDEX(INDIRECT("'"&amp;$C1416&amp;"'!$E$24:$Y$24"),1,MATCH($D1416,INDIRECT("'"&amp;$C1416&amp;"'!$E$12:$Y$12"),0)),0),0)</f>
        <v>1299558.1716326405</v>
      </c>
      <c r="I1416" s="366" t="s">
        <v>1685</v>
      </c>
      <c r="J1416" s="348" t="str">
        <f t="shared" ca="1" si="44"/>
        <v>OK</v>
      </c>
      <c r="K1416" s="366" t="s">
        <v>1686</v>
      </c>
      <c r="L1416" s="366" t="s">
        <v>2234</v>
      </c>
      <c r="M1416" s="350" t="str">
        <f>IF($B1416="Portfolio","Portfolio",IFERROR(INDEX(DATA_ASSET_CLASSIFICATION!$B$8:$B$24,MATCH($C1416,DATA_ASSET_CLASSIFICATION!$A$8:$A$24,0)),"Review"))</f>
        <v>Capilano House</v>
      </c>
      <c r="N1416" s="350" t="str">
        <f ca="1">IF($B1416="Portfolio","Portfolio",IFERROR(INDEX(DATA_ASSET_CLASSIFICATION!$U$8:$U$24,MATCH($C1416,DATA_ASSET_CLASSIFICATION!$A$8:$A$24,0)),"Review"))</f>
        <v>Stable</v>
      </c>
      <c r="O1416" s="350" t="str">
        <f ca="1">IF($B1416="Portfolio","Portfolio",IFERROR(INDEX(DATA_ASSET_CLASSIFICATION!$AB$8:$AB$13,MATCH($N1416,DATA_ASSET_CLASSIFICATION!$AA$8:$AA$13,0)),"Review"))</f>
        <v>Bucket 2 · Legacy</v>
      </c>
      <c r="P1416" s="350" t="str">
        <f>IF($B1416="Portfolio","Portfolio",IFERROR(INDEX(DATA_ASSET_CLASSIFICATION!$C$8:$C$24,MATCH($C1416,DATA_ASSET_CLASSIFICATION!$A$8:$A$24,0)),"Review"))</f>
        <v>Yes</v>
      </c>
      <c r="Q1416" s="350" t="str">
        <f t="shared" ca="1" si="45"/>
        <v>OK</v>
      </c>
    </row>
    <row r="1417" spans="1:17">
      <c r="A1417" s="366" t="s">
        <v>3373</v>
      </c>
      <c r="B1417" s="366" t="s">
        <v>231</v>
      </c>
      <c r="C1417" s="348" t="str">
        <f>DATA_PROPERTY_MASTER!$A$8</f>
        <v>BLD_CH</v>
      </c>
      <c r="D1417" s="380">
        <f>'00_PORTFOLIO ROLLUP'!T$12</f>
        <v>2040</v>
      </c>
      <c r="E1417" s="366" t="s">
        <v>1683</v>
      </c>
      <c r="F1417" s="366" t="s">
        <v>355</v>
      </c>
      <c r="G1417" s="348" t="str">
        <f>"'"&amp;$C1417&amp;"'!$E$39:$Y$39"</f>
        <v>'BLD_CH'!$E$39:$Y$39</v>
      </c>
      <c r="H1417" s="381">
        <f ca="1">IF(IFERROR(INDEX(DATA_PROPERTY_MASTER!$E$5:$E$21,MATCH($C1417,DATA_PROPERTY_MASTER!$A$5:$A$21,0))="Yes",FALSE),IFERROR(INDEX(INDIRECT("'"&amp;$C1417&amp;"'!$E$39:$Y$39"),1,MATCH($D1417,INDIRECT("'"&amp;$C1417&amp;"'!$E$12:$Y$12"),0)),0),0)</f>
        <v>806723.45674742165</v>
      </c>
      <c r="I1417" s="366" t="s">
        <v>1690</v>
      </c>
      <c r="J1417" s="348" t="str">
        <f t="shared" ca="1" si="44"/>
        <v>OK</v>
      </c>
      <c r="K1417" s="366" t="s">
        <v>1686</v>
      </c>
      <c r="L1417" s="366" t="s">
        <v>2236</v>
      </c>
      <c r="M1417" s="350" t="str">
        <f>IF($B1417="Portfolio","Portfolio",IFERROR(INDEX(DATA_ASSET_CLASSIFICATION!$B$8:$B$24,MATCH($C1417,DATA_ASSET_CLASSIFICATION!$A$8:$A$24,0)),"Review"))</f>
        <v>Capilano House</v>
      </c>
      <c r="N1417" s="350" t="str">
        <f ca="1">IF($B1417="Portfolio","Portfolio",IFERROR(INDEX(DATA_ASSET_CLASSIFICATION!$U$8:$U$24,MATCH($C1417,DATA_ASSET_CLASSIFICATION!$A$8:$A$24,0)),"Review"))</f>
        <v>Stable</v>
      </c>
      <c r="O1417" s="350" t="str">
        <f ca="1">IF($B1417="Portfolio","Portfolio",IFERROR(INDEX(DATA_ASSET_CLASSIFICATION!$AB$8:$AB$13,MATCH($N1417,DATA_ASSET_CLASSIFICATION!$AA$8:$AA$13,0)),"Review"))</f>
        <v>Bucket 2 · Legacy</v>
      </c>
      <c r="P1417" s="350" t="str">
        <f>IF($B1417="Portfolio","Portfolio",IFERROR(INDEX(DATA_ASSET_CLASSIFICATION!$C$8:$C$24,MATCH($C1417,DATA_ASSET_CLASSIFICATION!$A$8:$A$24,0)),"Review"))</f>
        <v>Yes</v>
      </c>
      <c r="Q1417" s="350" t="str">
        <f t="shared" ca="1" si="45"/>
        <v>OK</v>
      </c>
    </row>
    <row r="1418" spans="1:17">
      <c r="A1418" s="366" t="s">
        <v>3374</v>
      </c>
      <c r="B1418" s="366" t="s">
        <v>231</v>
      </c>
      <c r="C1418" s="348" t="str">
        <f>DATA_PROPERTY_MASTER!$A$8</f>
        <v>BLD_CH</v>
      </c>
      <c r="D1418" s="380">
        <f>'00_PORTFOLIO ROLLUP'!T$12</f>
        <v>2040</v>
      </c>
      <c r="E1418" s="366" t="s">
        <v>1683</v>
      </c>
      <c r="F1418" s="366" t="s">
        <v>19</v>
      </c>
      <c r="G1418" s="348" t="str">
        <f>"'"&amp;$C1418&amp;"'!$E$41:$Y$41"</f>
        <v>'BLD_CH'!$E$41:$Y$41</v>
      </c>
      <c r="H1418" s="381">
        <f ca="1">IF(IFERROR(INDEX(DATA_PROPERTY_MASTER!$E$5:$E$21,MATCH($C1418,DATA_PROPERTY_MASTER!$A$5:$A$21,0))="Yes",FALSE),IFERROR(INDEX(INDIRECT("'"&amp;$C1418&amp;"'!$E$41:$Y$41"),1,MATCH($D1418,INDIRECT("'"&amp;$C1418&amp;"'!$E$12:$Y$12"),0)),0),0)</f>
        <v>492834.71488521888</v>
      </c>
      <c r="I1418" s="366" t="s">
        <v>1685</v>
      </c>
      <c r="J1418" s="348" t="str">
        <f t="shared" ca="1" si="44"/>
        <v>OK</v>
      </c>
      <c r="K1418" s="366" t="s">
        <v>1694</v>
      </c>
      <c r="L1418" s="366" t="s">
        <v>2238</v>
      </c>
      <c r="M1418" s="350" t="str">
        <f>IF($B1418="Portfolio","Portfolio",IFERROR(INDEX(DATA_ASSET_CLASSIFICATION!$B$8:$B$24,MATCH($C1418,DATA_ASSET_CLASSIFICATION!$A$8:$A$24,0)),"Review"))</f>
        <v>Capilano House</v>
      </c>
      <c r="N1418" s="350" t="str">
        <f ca="1">IF($B1418="Portfolio","Portfolio",IFERROR(INDEX(DATA_ASSET_CLASSIFICATION!$U$8:$U$24,MATCH($C1418,DATA_ASSET_CLASSIFICATION!$A$8:$A$24,0)),"Review"))</f>
        <v>Stable</v>
      </c>
      <c r="O1418" s="350" t="str">
        <f ca="1">IF($B1418="Portfolio","Portfolio",IFERROR(INDEX(DATA_ASSET_CLASSIFICATION!$AB$8:$AB$13,MATCH($N1418,DATA_ASSET_CLASSIFICATION!$AA$8:$AA$13,0)),"Review"))</f>
        <v>Bucket 2 · Legacy</v>
      </c>
      <c r="P1418" s="350" t="str">
        <f>IF($B1418="Portfolio","Portfolio",IFERROR(INDEX(DATA_ASSET_CLASSIFICATION!$C$8:$C$24,MATCH($C1418,DATA_ASSET_CLASSIFICATION!$A$8:$A$24,0)),"Review"))</f>
        <v>Yes</v>
      </c>
      <c r="Q1418" s="350" t="str">
        <f t="shared" ca="1" si="45"/>
        <v>OK</v>
      </c>
    </row>
    <row r="1419" spans="1:17">
      <c r="A1419" s="366" t="s">
        <v>3375</v>
      </c>
      <c r="B1419" s="366" t="s">
        <v>231</v>
      </c>
      <c r="C1419" s="348" t="str">
        <f>DATA_PROPERTY_MASTER!$A$8</f>
        <v>BLD_CH</v>
      </c>
      <c r="D1419" s="380">
        <f>'00_PORTFOLIO ROLLUP'!T$12</f>
        <v>2040</v>
      </c>
      <c r="E1419" s="366" t="s">
        <v>1683</v>
      </c>
      <c r="F1419" s="366" t="s">
        <v>1697</v>
      </c>
      <c r="G1419" s="348" t="str">
        <f>"'"&amp;$C1419&amp;"'!$E$44:$Y$44"</f>
        <v>'BLD_CH'!$E$44:$Y$44</v>
      </c>
      <c r="H1419" s="381">
        <f ca="1">IF(IFERROR(INDEX(DATA_PROPERTY_MASTER!$E$5:$E$21,MATCH($C1419,DATA_PROPERTY_MASTER!$A$5:$A$21,0))="Yes",FALSE),IFERROR(INDEX(INDIRECT("'"&amp;$C1419&amp;"'!$E$44:$Y$44"),1,MATCH($D1419,INDIRECT("'"&amp;$C1419&amp;"'!$E$12:$Y$12"),0)),0),0)</f>
        <v>12920.33604791164</v>
      </c>
      <c r="I1419" s="366" t="s">
        <v>1690</v>
      </c>
      <c r="J1419" s="348" t="str">
        <f t="shared" ca="1" si="44"/>
        <v>OK</v>
      </c>
      <c r="K1419" s="366" t="s">
        <v>1699</v>
      </c>
      <c r="L1419" s="366" t="s">
        <v>2240</v>
      </c>
      <c r="M1419" s="350" t="str">
        <f>IF($B1419="Portfolio","Portfolio",IFERROR(INDEX(DATA_ASSET_CLASSIFICATION!$B$8:$B$24,MATCH($C1419,DATA_ASSET_CLASSIFICATION!$A$8:$A$24,0)),"Review"))</f>
        <v>Capilano House</v>
      </c>
      <c r="N1419" s="350" t="str">
        <f ca="1">IF($B1419="Portfolio","Portfolio",IFERROR(INDEX(DATA_ASSET_CLASSIFICATION!$U$8:$U$24,MATCH($C1419,DATA_ASSET_CLASSIFICATION!$A$8:$A$24,0)),"Review"))</f>
        <v>Stable</v>
      </c>
      <c r="O1419" s="350" t="str">
        <f ca="1">IF($B1419="Portfolio","Portfolio",IFERROR(INDEX(DATA_ASSET_CLASSIFICATION!$AB$8:$AB$13,MATCH($N1419,DATA_ASSET_CLASSIFICATION!$AA$8:$AA$13,0)),"Review"))</f>
        <v>Bucket 2 · Legacy</v>
      </c>
      <c r="P1419" s="350" t="str">
        <f>IF($B1419="Portfolio","Portfolio",IFERROR(INDEX(DATA_ASSET_CLASSIFICATION!$C$8:$C$24,MATCH($C1419,DATA_ASSET_CLASSIFICATION!$A$8:$A$24,0)),"Review"))</f>
        <v>Yes</v>
      </c>
      <c r="Q1419" s="350" t="str">
        <f t="shared" ca="1" si="45"/>
        <v>OK</v>
      </c>
    </row>
    <row r="1420" spans="1:17">
      <c r="A1420" s="366" t="s">
        <v>3376</v>
      </c>
      <c r="B1420" s="366" t="s">
        <v>231</v>
      </c>
      <c r="C1420" s="348" t="str">
        <f>DATA_PROPERTY_MASTER!$A$8</f>
        <v>BLD_CH</v>
      </c>
      <c r="D1420" s="380">
        <f>'00_PORTFOLIO ROLLUP'!T$12</f>
        <v>2040</v>
      </c>
      <c r="E1420" s="366" t="s">
        <v>1683</v>
      </c>
      <c r="F1420" s="366" t="s">
        <v>21</v>
      </c>
      <c r="G1420" s="348" t="str">
        <f>"'"&amp;$C1420&amp;"'!$E$45:$Y$45"</f>
        <v>'BLD_CH'!$E$45:$Y$45</v>
      </c>
      <c r="H1420" s="381">
        <f ca="1">IF(IFERROR(INDEX(DATA_PROPERTY_MASTER!$E$5:$E$21,MATCH($C1420,DATA_PROPERTY_MASTER!$A$5:$A$21,0))="Yes",FALSE),IFERROR(INDEX(INDIRECT("'"&amp;$C1420&amp;"'!$E$45:$Y$45"),1,MATCH($D1420,INDIRECT("'"&amp;$C1420&amp;"'!$E$12:$Y$12"),0)),0),0)</f>
        <v>479914.37883730722</v>
      </c>
      <c r="I1420" s="366" t="s">
        <v>1685</v>
      </c>
      <c r="J1420" s="348" t="str">
        <f t="shared" ca="1" si="44"/>
        <v>OK</v>
      </c>
      <c r="K1420" s="366" t="s">
        <v>1694</v>
      </c>
      <c r="L1420" s="366" t="s">
        <v>2242</v>
      </c>
      <c r="M1420" s="350" t="str">
        <f>IF($B1420="Portfolio","Portfolio",IFERROR(INDEX(DATA_ASSET_CLASSIFICATION!$B$8:$B$24,MATCH($C1420,DATA_ASSET_CLASSIFICATION!$A$8:$A$24,0)),"Review"))</f>
        <v>Capilano House</v>
      </c>
      <c r="N1420" s="350" t="str">
        <f ca="1">IF($B1420="Portfolio","Portfolio",IFERROR(INDEX(DATA_ASSET_CLASSIFICATION!$U$8:$U$24,MATCH($C1420,DATA_ASSET_CLASSIFICATION!$A$8:$A$24,0)),"Review"))</f>
        <v>Stable</v>
      </c>
      <c r="O1420" s="350" t="str">
        <f ca="1">IF($B1420="Portfolio","Portfolio",IFERROR(INDEX(DATA_ASSET_CLASSIFICATION!$AB$8:$AB$13,MATCH($N1420,DATA_ASSET_CLASSIFICATION!$AA$8:$AA$13,0)),"Review"))</f>
        <v>Bucket 2 · Legacy</v>
      </c>
      <c r="P1420" s="350" t="str">
        <f>IF($B1420="Portfolio","Portfolio",IFERROR(INDEX(DATA_ASSET_CLASSIFICATION!$C$8:$C$24,MATCH($C1420,DATA_ASSET_CLASSIFICATION!$A$8:$A$24,0)),"Review"))</f>
        <v>Yes</v>
      </c>
      <c r="Q1420" s="350" t="str">
        <f t="shared" ca="1" si="45"/>
        <v>OK</v>
      </c>
    </row>
    <row r="1421" spans="1:17">
      <c r="A1421" s="366" t="s">
        <v>3377</v>
      </c>
      <c r="B1421" s="366" t="s">
        <v>231</v>
      </c>
      <c r="C1421" s="348" t="str">
        <f>DATA_PROPERTY_MASTER!$A$8</f>
        <v>BLD_CH</v>
      </c>
      <c r="D1421" s="380">
        <f>'00_PORTFOLIO ROLLUP'!T$12</f>
        <v>2040</v>
      </c>
      <c r="E1421" s="366" t="s">
        <v>23</v>
      </c>
      <c r="F1421" s="366" t="s">
        <v>23</v>
      </c>
      <c r="G1421" s="348" t="str">
        <f>"'"&amp;$C1421&amp;"'!$E$48:$Y$48"</f>
        <v>'BLD_CH'!$E$48:$Y$48</v>
      </c>
      <c r="H1421" s="381">
        <f ca="1">IF(IFERROR(INDEX(DATA_PROPERTY_MASTER!$E$5:$E$21,MATCH($C1421,DATA_PROPERTY_MASTER!$A$5:$A$21,0))="Yes",FALSE),IFERROR(INDEX(INDIRECT("'"&amp;$C1421&amp;"'!$E$48:$Y$48"),1,MATCH($D1421,INDIRECT("'"&amp;$C1421&amp;"'!$E$12:$Y$12"),0)),0),0)</f>
        <v>0</v>
      </c>
      <c r="I1421" s="366" t="s">
        <v>1690</v>
      </c>
      <c r="J1421" s="348" t="str">
        <f t="shared" ca="1" si="44"/>
        <v>OK</v>
      </c>
      <c r="K1421" s="366" t="s">
        <v>1706</v>
      </c>
      <c r="L1421" s="366" t="s">
        <v>2244</v>
      </c>
      <c r="M1421" s="350" t="str">
        <f>IF($B1421="Portfolio","Portfolio",IFERROR(INDEX(DATA_ASSET_CLASSIFICATION!$B$8:$B$24,MATCH($C1421,DATA_ASSET_CLASSIFICATION!$A$8:$A$24,0)),"Review"))</f>
        <v>Capilano House</v>
      </c>
      <c r="N1421" s="350" t="str">
        <f ca="1">IF($B1421="Portfolio","Portfolio",IFERROR(INDEX(DATA_ASSET_CLASSIFICATION!$U$8:$U$24,MATCH($C1421,DATA_ASSET_CLASSIFICATION!$A$8:$A$24,0)),"Review"))</f>
        <v>Stable</v>
      </c>
      <c r="O1421" s="350" t="str">
        <f ca="1">IF($B1421="Portfolio","Portfolio",IFERROR(INDEX(DATA_ASSET_CLASSIFICATION!$AB$8:$AB$13,MATCH($N1421,DATA_ASSET_CLASSIFICATION!$AA$8:$AA$13,0)),"Review"))</f>
        <v>Bucket 2 · Legacy</v>
      </c>
      <c r="P1421" s="350" t="str">
        <f>IF($B1421="Portfolio","Portfolio",IFERROR(INDEX(DATA_ASSET_CLASSIFICATION!$C$8:$C$24,MATCH($C1421,DATA_ASSET_CLASSIFICATION!$A$8:$A$24,0)),"Review"))</f>
        <v>Yes</v>
      </c>
      <c r="Q1421" s="350" t="str">
        <f t="shared" ca="1" si="45"/>
        <v>OK</v>
      </c>
    </row>
    <row r="1422" spans="1:17">
      <c r="A1422" s="366" t="s">
        <v>3378</v>
      </c>
      <c r="B1422" s="366" t="s">
        <v>231</v>
      </c>
      <c r="C1422" s="348" t="str">
        <f>DATA_PROPERTY_MASTER!$A$8</f>
        <v>BLD_CH</v>
      </c>
      <c r="D1422" s="380">
        <f>'00_PORTFOLIO ROLLUP'!T$12</f>
        <v>2040</v>
      </c>
      <c r="E1422" s="366" t="s">
        <v>1683</v>
      </c>
      <c r="F1422" s="366" t="s">
        <v>25</v>
      </c>
      <c r="G1422" s="348" t="str">
        <f>"'"&amp;$C1422&amp;"'!$E$52:$Y$52"</f>
        <v>'BLD_CH'!$E$52:$Y$52</v>
      </c>
      <c r="H1422" s="381">
        <f ca="1">IF(IFERROR(INDEX(DATA_PROPERTY_MASTER!$E$5:$E$21,MATCH($C1422,DATA_PROPERTY_MASTER!$A$5:$A$21,0))="Yes",FALSE),IFERROR(INDEX(INDIRECT("'"&amp;$C1422&amp;"'!$E$52:$Y$52"),1,MATCH($D1422,INDIRECT("'"&amp;$C1422&amp;"'!$E$12:$Y$12"),0)),0),0)</f>
        <v>492834.71488521888</v>
      </c>
      <c r="I1422" s="366" t="s">
        <v>1685</v>
      </c>
      <c r="J1422" s="348" t="str">
        <f t="shared" ca="1" si="44"/>
        <v>OK</v>
      </c>
      <c r="K1422" s="366" t="s">
        <v>1710</v>
      </c>
      <c r="L1422" s="366" t="s">
        <v>2246</v>
      </c>
      <c r="M1422" s="350" t="str">
        <f>IF($B1422="Portfolio","Portfolio",IFERROR(INDEX(DATA_ASSET_CLASSIFICATION!$B$8:$B$24,MATCH($C1422,DATA_ASSET_CLASSIFICATION!$A$8:$A$24,0)),"Review"))</f>
        <v>Capilano House</v>
      </c>
      <c r="N1422" s="350" t="str">
        <f ca="1">IF($B1422="Portfolio","Portfolio",IFERROR(INDEX(DATA_ASSET_CLASSIFICATION!$U$8:$U$24,MATCH($C1422,DATA_ASSET_CLASSIFICATION!$A$8:$A$24,0)),"Review"))</f>
        <v>Stable</v>
      </c>
      <c r="O1422" s="350" t="str">
        <f ca="1">IF($B1422="Portfolio","Portfolio",IFERROR(INDEX(DATA_ASSET_CLASSIFICATION!$AB$8:$AB$13,MATCH($N1422,DATA_ASSET_CLASSIFICATION!$AA$8:$AA$13,0)),"Review"))</f>
        <v>Bucket 2 · Legacy</v>
      </c>
      <c r="P1422" s="350" t="str">
        <f>IF($B1422="Portfolio","Portfolio",IFERROR(INDEX(DATA_ASSET_CLASSIFICATION!$C$8:$C$24,MATCH($C1422,DATA_ASSET_CLASSIFICATION!$A$8:$A$24,0)),"Review"))</f>
        <v>Yes</v>
      </c>
      <c r="Q1422" s="350" t="str">
        <f t="shared" ca="1" si="45"/>
        <v>OK</v>
      </c>
    </row>
    <row r="1423" spans="1:17">
      <c r="A1423" s="366" t="s">
        <v>3379</v>
      </c>
      <c r="B1423" s="366" t="s">
        <v>231</v>
      </c>
      <c r="C1423" s="348" t="str">
        <f>DATA_PROPERTY_MASTER!$A$8</f>
        <v>BLD_CH</v>
      </c>
      <c r="D1423" s="380">
        <f>'00_PORTFOLIO ROLLUP'!T$12</f>
        <v>2040</v>
      </c>
      <c r="E1423" s="366" t="s">
        <v>1683</v>
      </c>
      <c r="F1423" s="366" t="s">
        <v>27</v>
      </c>
      <c r="G1423" s="348" t="str">
        <f>"'"&amp;$C1423&amp;"'!$E$54:$Y$54"</f>
        <v>'BLD_CH'!$E$54:$Y$54</v>
      </c>
      <c r="H1423" s="381">
        <f ca="1">IF(IFERROR(INDEX(DATA_PROPERTY_MASTER!$E$5:$E$21,MATCH($C1423,DATA_PROPERTY_MASTER!$A$5:$A$21,0))="Yes",FALSE),IFERROR(INDEX(INDIRECT("'"&amp;$C1423&amp;"'!$E$54:$Y$54"),1,MATCH($D1423,INDIRECT("'"&amp;$C1423&amp;"'!$E$12:$Y$12"),0)),0),0)</f>
        <v>295700.82893113134</v>
      </c>
      <c r="I1423" s="366" t="s">
        <v>1690</v>
      </c>
      <c r="J1423" s="348" t="str">
        <f t="shared" ca="1" si="44"/>
        <v>OK</v>
      </c>
      <c r="K1423" s="366" t="s">
        <v>1714</v>
      </c>
      <c r="L1423" s="366" t="s">
        <v>2248</v>
      </c>
      <c r="M1423" s="350" t="str">
        <f>IF($B1423="Portfolio","Portfolio",IFERROR(INDEX(DATA_ASSET_CLASSIFICATION!$B$8:$B$24,MATCH($C1423,DATA_ASSET_CLASSIFICATION!$A$8:$A$24,0)),"Review"))</f>
        <v>Capilano House</v>
      </c>
      <c r="N1423" s="350" t="str">
        <f ca="1">IF($B1423="Portfolio","Portfolio",IFERROR(INDEX(DATA_ASSET_CLASSIFICATION!$U$8:$U$24,MATCH($C1423,DATA_ASSET_CLASSIFICATION!$A$8:$A$24,0)),"Review"))</f>
        <v>Stable</v>
      </c>
      <c r="O1423" s="350" t="str">
        <f ca="1">IF($B1423="Portfolio","Portfolio",IFERROR(INDEX(DATA_ASSET_CLASSIFICATION!$AB$8:$AB$13,MATCH($N1423,DATA_ASSET_CLASSIFICATION!$AA$8:$AA$13,0)),"Review"))</f>
        <v>Bucket 2 · Legacy</v>
      </c>
      <c r="P1423" s="350" t="str">
        <f>IF($B1423="Portfolio","Portfolio",IFERROR(INDEX(DATA_ASSET_CLASSIFICATION!$C$8:$C$24,MATCH($C1423,DATA_ASSET_CLASSIFICATION!$A$8:$A$24,0)),"Review"))</f>
        <v>Yes</v>
      </c>
      <c r="Q1423" s="350" t="str">
        <f t="shared" ca="1" si="45"/>
        <v>OK</v>
      </c>
    </row>
    <row r="1424" spans="1:17">
      <c r="A1424" s="366" t="s">
        <v>3380</v>
      </c>
      <c r="B1424" s="366" t="s">
        <v>231</v>
      </c>
      <c r="C1424" s="348" t="str">
        <f>DATA_PROPERTY_MASTER!$A$8</f>
        <v>BLD_CH</v>
      </c>
      <c r="D1424" s="380">
        <f>'00_PORTFOLIO ROLLUP'!T$12</f>
        <v>2040</v>
      </c>
      <c r="E1424" s="366" t="s">
        <v>1683</v>
      </c>
      <c r="F1424" s="366" t="s">
        <v>29</v>
      </c>
      <c r="G1424" s="348" t="str">
        <f>"'"&amp;$C1424&amp;"'!$E$56:$Y$56"</f>
        <v>'BLD_CH'!$E$56:$Y$56</v>
      </c>
      <c r="H1424" s="381">
        <f ca="1">IF(IFERROR(INDEX(DATA_PROPERTY_MASTER!$E$5:$E$21,MATCH($C1424,DATA_PROPERTY_MASTER!$A$5:$A$21,0))="Yes",FALSE),IFERROR(INDEX(INDIRECT("'"&amp;$C1424&amp;"'!$E$56:$Y$56"),1,MATCH($D1424,INDIRECT("'"&amp;$C1424&amp;"'!$E$12:$Y$12"),0)),0),0)</f>
        <v>197133.88595408754</v>
      </c>
      <c r="I1424" s="366" t="s">
        <v>1685</v>
      </c>
      <c r="J1424" s="348" t="str">
        <f t="shared" ca="1" si="44"/>
        <v>OK</v>
      </c>
      <c r="K1424" s="366" t="s">
        <v>1718</v>
      </c>
      <c r="L1424" s="366" t="s">
        <v>2250</v>
      </c>
      <c r="M1424" s="350" t="str">
        <f>IF($B1424="Portfolio","Portfolio",IFERROR(INDEX(DATA_ASSET_CLASSIFICATION!$B$8:$B$24,MATCH($C1424,DATA_ASSET_CLASSIFICATION!$A$8:$A$24,0)),"Review"))</f>
        <v>Capilano House</v>
      </c>
      <c r="N1424" s="350" t="str">
        <f ca="1">IF($B1424="Portfolio","Portfolio",IFERROR(INDEX(DATA_ASSET_CLASSIFICATION!$U$8:$U$24,MATCH($C1424,DATA_ASSET_CLASSIFICATION!$A$8:$A$24,0)),"Review"))</f>
        <v>Stable</v>
      </c>
      <c r="O1424" s="350" t="str">
        <f ca="1">IF($B1424="Portfolio","Portfolio",IFERROR(INDEX(DATA_ASSET_CLASSIFICATION!$AB$8:$AB$13,MATCH($N1424,DATA_ASSET_CLASSIFICATION!$AA$8:$AA$13,0)),"Review"))</f>
        <v>Bucket 2 · Legacy</v>
      </c>
      <c r="P1424" s="350" t="str">
        <f>IF($B1424="Portfolio","Portfolio",IFERROR(INDEX(DATA_ASSET_CLASSIFICATION!$C$8:$C$24,MATCH($C1424,DATA_ASSET_CLASSIFICATION!$A$8:$A$24,0)),"Review"))</f>
        <v>Yes</v>
      </c>
      <c r="Q1424" s="350" t="str">
        <f t="shared" ca="1" si="45"/>
        <v>OK</v>
      </c>
    </row>
    <row r="1425" spans="1:17">
      <c r="A1425" s="366" t="s">
        <v>3381</v>
      </c>
      <c r="B1425" s="366" t="s">
        <v>231</v>
      </c>
      <c r="C1425" s="348" t="str">
        <f>DATA_PROPERTY_MASTER!$A$8</f>
        <v>BLD_CH</v>
      </c>
      <c r="D1425" s="380">
        <f>'00_PORTFOLIO ROLLUP'!T$12</f>
        <v>2040</v>
      </c>
      <c r="E1425" s="366" t="s">
        <v>1721</v>
      </c>
      <c r="F1425" s="366" t="s">
        <v>31</v>
      </c>
      <c r="G1425" s="348" t="str">
        <f>"'"&amp;$C1425&amp;"'!$E$61:$Y$61"</f>
        <v>'BLD_CH'!$E$61:$Y$61</v>
      </c>
      <c r="H1425" s="381">
        <f ca="1">IF(IFERROR(INDEX(DATA_PROPERTY_MASTER!$E$5:$E$21,MATCH($C1425,DATA_PROPERTY_MASTER!$A$5:$A$21,0))="Yes",FALSE),IFERROR(INDEX(INDIRECT("'"&amp;$C1425&amp;"'!$E$61:$Y$61"),1,MATCH($D1425,INDIRECT("'"&amp;$C1425&amp;"'!$E$12:$Y$12"),0)),0),0)</f>
        <v>0</v>
      </c>
      <c r="I1425" s="366" t="s">
        <v>1690</v>
      </c>
      <c r="J1425" s="348" t="str">
        <f t="shared" ca="1" si="44"/>
        <v>OK</v>
      </c>
      <c r="K1425" s="366" t="s">
        <v>1723</v>
      </c>
      <c r="L1425" s="366" t="s">
        <v>2252</v>
      </c>
      <c r="M1425" s="350" t="str">
        <f>IF($B1425="Portfolio","Portfolio",IFERROR(INDEX(DATA_ASSET_CLASSIFICATION!$B$8:$B$24,MATCH($C1425,DATA_ASSET_CLASSIFICATION!$A$8:$A$24,0)),"Review"))</f>
        <v>Capilano House</v>
      </c>
      <c r="N1425" s="350" t="str">
        <f ca="1">IF($B1425="Portfolio","Portfolio",IFERROR(INDEX(DATA_ASSET_CLASSIFICATION!$U$8:$U$24,MATCH($C1425,DATA_ASSET_CLASSIFICATION!$A$8:$A$24,0)),"Review"))</f>
        <v>Stable</v>
      </c>
      <c r="O1425" s="350" t="str">
        <f ca="1">IF($B1425="Portfolio","Portfolio",IFERROR(INDEX(DATA_ASSET_CLASSIFICATION!$AB$8:$AB$13,MATCH($N1425,DATA_ASSET_CLASSIFICATION!$AA$8:$AA$13,0)),"Review"))</f>
        <v>Bucket 2 · Legacy</v>
      </c>
      <c r="P1425" s="350" t="str">
        <f>IF($B1425="Portfolio","Portfolio",IFERROR(INDEX(DATA_ASSET_CLASSIFICATION!$C$8:$C$24,MATCH($C1425,DATA_ASSET_CLASSIFICATION!$A$8:$A$24,0)),"Review"))</f>
        <v>Yes</v>
      </c>
      <c r="Q1425" s="350" t="str">
        <f t="shared" ca="1" si="45"/>
        <v>OK</v>
      </c>
    </row>
    <row r="1426" spans="1:17">
      <c r="A1426" s="366" t="s">
        <v>3382</v>
      </c>
      <c r="B1426" s="366" t="s">
        <v>231</v>
      </c>
      <c r="C1426" s="348" t="str">
        <f>DATA_PROPERTY_MASTER!$A$8</f>
        <v>BLD_CH</v>
      </c>
      <c r="D1426" s="380">
        <f>'00_PORTFOLIO ROLLUP'!T$12</f>
        <v>2040</v>
      </c>
      <c r="E1426" s="366" t="s">
        <v>1721</v>
      </c>
      <c r="F1426" s="366" t="s">
        <v>33</v>
      </c>
      <c r="G1426" s="348" t="str">
        <f>"'"&amp;$C1426&amp;"'!$E$62:$Y$62"</f>
        <v>'BLD_CH'!$E$62:$Y$62</v>
      </c>
      <c r="H1426" s="381">
        <f ca="1">IF(IFERROR(INDEX(DATA_PROPERTY_MASTER!$E$5:$E$21,MATCH($C1426,DATA_PROPERTY_MASTER!$A$5:$A$21,0))="Yes",FALSE),IFERROR(INDEX(INDIRECT("'"&amp;$C1426&amp;"'!$E$62:$Y$62"),1,MATCH($D1426,INDIRECT("'"&amp;$C1426&amp;"'!$E$12:$Y$12"),0)),0),0)</f>
        <v>0</v>
      </c>
      <c r="I1426" s="366" t="s">
        <v>1685</v>
      </c>
      <c r="J1426" s="348" t="str">
        <f t="shared" ca="1" si="44"/>
        <v>OK</v>
      </c>
      <c r="K1426" s="366" t="s">
        <v>1727</v>
      </c>
      <c r="L1426" s="366" t="s">
        <v>2254</v>
      </c>
      <c r="M1426" s="350" t="str">
        <f>IF($B1426="Portfolio","Portfolio",IFERROR(INDEX(DATA_ASSET_CLASSIFICATION!$B$8:$B$24,MATCH($C1426,DATA_ASSET_CLASSIFICATION!$A$8:$A$24,0)),"Review"))</f>
        <v>Capilano House</v>
      </c>
      <c r="N1426" s="350" t="str">
        <f ca="1">IF($B1426="Portfolio","Portfolio",IFERROR(INDEX(DATA_ASSET_CLASSIFICATION!$U$8:$U$24,MATCH($C1426,DATA_ASSET_CLASSIFICATION!$A$8:$A$24,0)),"Review"))</f>
        <v>Stable</v>
      </c>
      <c r="O1426" s="350" t="str">
        <f ca="1">IF($B1426="Portfolio","Portfolio",IFERROR(INDEX(DATA_ASSET_CLASSIFICATION!$AB$8:$AB$13,MATCH($N1426,DATA_ASSET_CLASSIFICATION!$AA$8:$AA$13,0)),"Review"))</f>
        <v>Bucket 2 · Legacy</v>
      </c>
      <c r="P1426" s="350" t="str">
        <f>IF($B1426="Portfolio","Portfolio",IFERROR(INDEX(DATA_ASSET_CLASSIFICATION!$C$8:$C$24,MATCH($C1426,DATA_ASSET_CLASSIFICATION!$A$8:$A$24,0)),"Review"))</f>
        <v>Yes</v>
      </c>
      <c r="Q1426" s="350" t="str">
        <f t="shared" ca="1" si="45"/>
        <v>OK</v>
      </c>
    </row>
    <row r="1427" spans="1:17">
      <c r="A1427" s="366" t="s">
        <v>3383</v>
      </c>
      <c r="B1427" s="366" t="s">
        <v>231</v>
      </c>
      <c r="C1427" s="348" t="str">
        <f>DATA_PROPERTY_MASTER!$A$8</f>
        <v>BLD_CH</v>
      </c>
      <c r="D1427" s="380">
        <f>'00_PORTFOLIO ROLLUP'!T$12</f>
        <v>2040</v>
      </c>
      <c r="E1427" s="366" t="s">
        <v>1721</v>
      </c>
      <c r="F1427" s="366" t="s">
        <v>35</v>
      </c>
      <c r="G1427" s="348" t="str">
        <f>"'"&amp;$C1427&amp;"'!$E$63:$Y$63"</f>
        <v>'BLD_CH'!$E$63:$Y$63</v>
      </c>
      <c r="H1427" s="381">
        <f ca="1">IF(IFERROR(INDEX(DATA_PROPERTY_MASTER!$E$5:$E$21,MATCH($C1427,DATA_PROPERTY_MASTER!$A$5:$A$21,0))="Yes",FALSE),IFERROR(INDEX(INDIRECT("'"&amp;$C1427&amp;"'!$E$63:$Y$63"),1,MATCH($D1427,INDIRECT("'"&amp;$C1427&amp;"'!$E$12:$Y$12"),0)),0),0)</f>
        <v>0</v>
      </c>
      <c r="I1427" s="366" t="s">
        <v>1731</v>
      </c>
      <c r="J1427" s="348" t="str">
        <f t="shared" ca="1" si="44"/>
        <v>OK</v>
      </c>
      <c r="K1427" s="366" t="s">
        <v>1732</v>
      </c>
      <c r="L1427" s="366" t="s">
        <v>2256</v>
      </c>
      <c r="M1427" s="350" t="str">
        <f>IF($B1427="Portfolio","Portfolio",IFERROR(INDEX(DATA_ASSET_CLASSIFICATION!$B$8:$B$24,MATCH($C1427,DATA_ASSET_CLASSIFICATION!$A$8:$A$24,0)),"Review"))</f>
        <v>Capilano House</v>
      </c>
      <c r="N1427" s="350" t="str">
        <f ca="1">IF($B1427="Portfolio","Portfolio",IFERROR(INDEX(DATA_ASSET_CLASSIFICATION!$U$8:$U$24,MATCH($C1427,DATA_ASSET_CLASSIFICATION!$A$8:$A$24,0)),"Review"))</f>
        <v>Stable</v>
      </c>
      <c r="O1427" s="350" t="str">
        <f ca="1">IF($B1427="Portfolio","Portfolio",IFERROR(INDEX(DATA_ASSET_CLASSIFICATION!$AB$8:$AB$13,MATCH($N1427,DATA_ASSET_CLASSIFICATION!$AA$8:$AA$13,0)),"Review"))</f>
        <v>Bucket 2 · Legacy</v>
      </c>
      <c r="P1427" s="350" t="str">
        <f>IF($B1427="Portfolio","Portfolio",IFERROR(INDEX(DATA_ASSET_CLASSIFICATION!$C$8:$C$24,MATCH($C1427,DATA_ASSET_CLASSIFICATION!$A$8:$A$24,0)),"Review"))</f>
        <v>Yes</v>
      </c>
      <c r="Q1427" s="350" t="str">
        <f t="shared" ca="1" si="45"/>
        <v>OK</v>
      </c>
    </row>
    <row r="1428" spans="1:17">
      <c r="A1428" s="366" t="s">
        <v>3384</v>
      </c>
      <c r="B1428" s="366" t="s">
        <v>231</v>
      </c>
      <c r="C1428" s="348" t="str">
        <f>DATA_PROPERTY_MASTER!$A$8</f>
        <v>BLD_CH</v>
      </c>
      <c r="D1428" s="380">
        <f>'00_PORTFOLIO ROLLUP'!T$12</f>
        <v>2040</v>
      </c>
      <c r="E1428" s="366" t="s">
        <v>1721</v>
      </c>
      <c r="F1428" s="366" t="s">
        <v>37</v>
      </c>
      <c r="G1428" s="348" t="str">
        <f>"'"&amp;$C1428&amp;"'!$E$63:$Y$63"</f>
        <v>'BLD_CH'!$E$63:$Y$63</v>
      </c>
      <c r="H1428" s="381">
        <f ca="1">IF(IFERROR(INDEX(DATA_PROPERTY_MASTER!$E$5:$E$21,MATCH($C1428,DATA_PROPERTY_MASTER!$A$5:$A$21,0))="Yes",FALSE),MAX(IFERROR(INDEX(INDIRECT("'"&amp;$C1428&amp;"'!$E$63:$Y$63"),1,MATCH($D1428,INDIRECT("'"&amp;$C1428&amp;"'!$E$12:$Y$12"),0)),0),0),0)</f>
        <v>0</v>
      </c>
      <c r="I1428" s="366" t="s">
        <v>1685</v>
      </c>
      <c r="J1428" s="348" t="str">
        <f t="shared" ca="1" si="44"/>
        <v>OK</v>
      </c>
      <c r="K1428" s="366" t="s">
        <v>1735</v>
      </c>
      <c r="L1428" s="366" t="s">
        <v>2258</v>
      </c>
      <c r="M1428" s="350" t="str">
        <f>IF($B1428="Portfolio","Portfolio",IFERROR(INDEX(DATA_ASSET_CLASSIFICATION!$B$8:$B$24,MATCH($C1428,DATA_ASSET_CLASSIFICATION!$A$8:$A$24,0)),"Review"))</f>
        <v>Capilano House</v>
      </c>
      <c r="N1428" s="350" t="str">
        <f ca="1">IF($B1428="Portfolio","Portfolio",IFERROR(INDEX(DATA_ASSET_CLASSIFICATION!$U$8:$U$24,MATCH($C1428,DATA_ASSET_CLASSIFICATION!$A$8:$A$24,0)),"Review"))</f>
        <v>Stable</v>
      </c>
      <c r="O1428" s="350" t="str">
        <f ca="1">IF($B1428="Portfolio","Portfolio",IFERROR(INDEX(DATA_ASSET_CLASSIFICATION!$AB$8:$AB$13,MATCH($N1428,DATA_ASSET_CLASSIFICATION!$AA$8:$AA$13,0)),"Review"))</f>
        <v>Bucket 2 · Legacy</v>
      </c>
      <c r="P1428" s="350" t="str">
        <f>IF($B1428="Portfolio","Portfolio",IFERROR(INDEX(DATA_ASSET_CLASSIFICATION!$C$8:$C$24,MATCH($C1428,DATA_ASSET_CLASSIFICATION!$A$8:$A$24,0)),"Review"))</f>
        <v>Yes</v>
      </c>
      <c r="Q1428" s="350" t="str">
        <f t="shared" ca="1" si="45"/>
        <v>OK</v>
      </c>
    </row>
    <row r="1429" spans="1:17">
      <c r="A1429" s="366" t="s">
        <v>3385</v>
      </c>
      <c r="B1429" s="366" t="s">
        <v>231</v>
      </c>
      <c r="C1429" s="348" t="str">
        <f>DATA_PROPERTY_MASTER!$A$8</f>
        <v>BLD_CH</v>
      </c>
      <c r="D1429" s="380">
        <f>'00_PORTFOLIO ROLLUP'!T$12</f>
        <v>2040</v>
      </c>
      <c r="E1429" s="366" t="s">
        <v>1721</v>
      </c>
      <c r="F1429" s="366" t="s">
        <v>39</v>
      </c>
      <c r="G1429" s="348" t="str">
        <f>"'"&amp;$C1429&amp;"'!$E$63:$Y$63"</f>
        <v>'BLD_CH'!$E$63:$Y$63</v>
      </c>
      <c r="H1429" s="381">
        <f ca="1">IF(IFERROR(INDEX(DATA_PROPERTY_MASTER!$E$5:$E$21,MATCH($C1429,DATA_PROPERTY_MASTER!$A$5:$A$21,0))="Yes",FALSE),MAX(-IFERROR(INDEX(INDIRECT("'"&amp;$C1429&amp;"'!$E$63:$Y$63"),1,MATCH($D1429,INDIRECT("'"&amp;$C1429&amp;"'!$E$12:$Y$12"),0)),0),0),0)</f>
        <v>0</v>
      </c>
      <c r="I1429" s="366" t="s">
        <v>1690</v>
      </c>
      <c r="J1429" s="348" t="str">
        <f t="shared" ca="1" si="44"/>
        <v>OK</v>
      </c>
      <c r="K1429" s="366" t="s">
        <v>1738</v>
      </c>
      <c r="L1429" s="366" t="s">
        <v>2260</v>
      </c>
      <c r="M1429" s="350" t="str">
        <f>IF($B1429="Portfolio","Portfolio",IFERROR(INDEX(DATA_ASSET_CLASSIFICATION!$B$8:$B$24,MATCH($C1429,DATA_ASSET_CLASSIFICATION!$A$8:$A$24,0)),"Review"))</f>
        <v>Capilano House</v>
      </c>
      <c r="N1429" s="350" t="str">
        <f ca="1">IF($B1429="Portfolio","Portfolio",IFERROR(INDEX(DATA_ASSET_CLASSIFICATION!$U$8:$U$24,MATCH($C1429,DATA_ASSET_CLASSIFICATION!$A$8:$A$24,0)),"Review"))</f>
        <v>Stable</v>
      </c>
      <c r="O1429" s="350" t="str">
        <f ca="1">IF($B1429="Portfolio","Portfolio",IFERROR(INDEX(DATA_ASSET_CLASSIFICATION!$AB$8:$AB$13,MATCH($N1429,DATA_ASSET_CLASSIFICATION!$AA$8:$AA$13,0)),"Review"))</f>
        <v>Bucket 2 · Legacy</v>
      </c>
      <c r="P1429" s="350" t="str">
        <f>IF($B1429="Portfolio","Portfolio",IFERROR(INDEX(DATA_ASSET_CLASSIFICATION!$C$8:$C$24,MATCH($C1429,DATA_ASSET_CLASSIFICATION!$A$8:$A$24,0)),"Review"))</f>
        <v>Yes</v>
      </c>
      <c r="Q1429" s="350" t="str">
        <f t="shared" ca="1" si="45"/>
        <v>OK</v>
      </c>
    </row>
    <row r="1430" spans="1:17">
      <c r="A1430" s="366" t="s">
        <v>3386</v>
      </c>
      <c r="B1430" s="366" t="s">
        <v>231</v>
      </c>
      <c r="C1430" s="348" t="str">
        <f>DATA_PROPERTY_MASTER!$A$8</f>
        <v>BLD_CH</v>
      </c>
      <c r="D1430" s="380">
        <f>'00_PORTFOLIO ROLLUP'!T$12</f>
        <v>2040</v>
      </c>
      <c r="E1430" s="366" t="s">
        <v>1741</v>
      </c>
      <c r="F1430" s="366" t="s">
        <v>41</v>
      </c>
      <c r="G1430" s="348" t="str">
        <f>"'"&amp;$C1430&amp;"'!rows 56 + positive row 63"</f>
        <v>'BLD_CH'!rows 56 + positive row 63</v>
      </c>
      <c r="H1430" s="381">
        <f ca="1">IF(IFERROR(INDEX(DATA_PROPERTY_MASTER!$E$5:$E$21,MATCH($C1430,DATA_PROPERTY_MASTER!$A$5:$A$21,0))="Yes",FALSE),IFERROR(INDEX(INDIRECT("'"&amp;$C1430&amp;"'!$E$56:$Y$56"),1,MATCH($D1430,INDIRECT("'"&amp;$C1430&amp;"'!$E$12:$Y$12"),0)),0)+MAX(IFERROR(INDEX(INDIRECT("'"&amp;$C1430&amp;"'!$E$63:$Y$63"),1,MATCH($D1430,INDIRECT("'"&amp;$C1430&amp;"'!$E$12:$Y$12"),0)),0),0),0)</f>
        <v>197133.88595408754</v>
      </c>
      <c r="I1430" s="366" t="s">
        <v>1685</v>
      </c>
      <c r="J1430" s="348" t="str">
        <f t="shared" ca="1" si="44"/>
        <v>OK</v>
      </c>
      <c r="K1430" s="366" t="s">
        <v>1742</v>
      </c>
      <c r="L1430" s="366" t="s">
        <v>2262</v>
      </c>
      <c r="M1430" s="350" t="str">
        <f>IF($B1430="Portfolio","Portfolio",IFERROR(INDEX(DATA_ASSET_CLASSIFICATION!$B$8:$B$24,MATCH($C1430,DATA_ASSET_CLASSIFICATION!$A$8:$A$24,0)),"Review"))</f>
        <v>Capilano House</v>
      </c>
      <c r="N1430" s="350" t="str">
        <f ca="1">IF($B1430="Portfolio","Portfolio",IFERROR(INDEX(DATA_ASSET_CLASSIFICATION!$U$8:$U$24,MATCH($C1430,DATA_ASSET_CLASSIFICATION!$A$8:$A$24,0)),"Review"))</f>
        <v>Stable</v>
      </c>
      <c r="O1430" s="350" t="str">
        <f ca="1">IF($B1430="Portfolio","Portfolio",IFERROR(INDEX(DATA_ASSET_CLASSIFICATION!$AB$8:$AB$13,MATCH($N1430,DATA_ASSET_CLASSIFICATION!$AA$8:$AA$13,0)),"Review"))</f>
        <v>Bucket 2 · Legacy</v>
      </c>
      <c r="P1430" s="350" t="str">
        <f>IF($B1430="Portfolio","Portfolio",IFERROR(INDEX(DATA_ASSET_CLASSIFICATION!$C$8:$C$24,MATCH($C1430,DATA_ASSET_CLASSIFICATION!$A$8:$A$24,0)),"Review"))</f>
        <v>Yes</v>
      </c>
      <c r="Q1430" s="350" t="str">
        <f t="shared" ca="1" si="45"/>
        <v>OK</v>
      </c>
    </row>
    <row r="1431" spans="1:17">
      <c r="A1431" s="366" t="s">
        <v>3387</v>
      </c>
      <c r="B1431" s="366" t="s">
        <v>231</v>
      </c>
      <c r="C1431" s="348" t="str">
        <f>DATA_PROPERTY_MASTER!$A$8</f>
        <v>BLD_CH</v>
      </c>
      <c r="D1431" s="380">
        <f>'00_PORTFOLIO ROLLUP'!T$12</f>
        <v>2040</v>
      </c>
      <c r="E1431" s="366" t="s">
        <v>1741</v>
      </c>
      <c r="F1431" s="366" t="s">
        <v>43</v>
      </c>
      <c r="G1431" s="348" t="str">
        <f>"'"&amp;$C1431&amp;"'!$E$68:$Y$68"</f>
        <v>'BLD_CH'!$E$68:$Y$68</v>
      </c>
      <c r="H1431" s="381">
        <f ca="1">IF(IFERROR(INDEX(DATA_PROPERTY_MASTER!$E$5:$E$21,MATCH($C1431,DATA_PROPERTY_MASTER!$A$5:$A$21,0))="Yes",FALSE),IFERROR(INDEX(INDIRECT("'"&amp;$C1431&amp;"'!$E$68:$Y$68"),1,MATCH($D1431,INDIRECT("'"&amp;$C1431&amp;"'!$E$12:$Y$12"),0)),0),0)</f>
        <v>197133.88595408754</v>
      </c>
      <c r="I1431" s="366" t="s">
        <v>1731</v>
      </c>
      <c r="J1431" s="348" t="str">
        <f t="shared" ca="1" si="44"/>
        <v>OK</v>
      </c>
      <c r="K1431" s="366" t="s">
        <v>1746</v>
      </c>
      <c r="L1431" s="366" t="s">
        <v>2264</v>
      </c>
      <c r="M1431" s="350" t="str">
        <f>IF($B1431="Portfolio","Portfolio",IFERROR(INDEX(DATA_ASSET_CLASSIFICATION!$B$8:$B$24,MATCH($C1431,DATA_ASSET_CLASSIFICATION!$A$8:$A$24,0)),"Review"))</f>
        <v>Capilano House</v>
      </c>
      <c r="N1431" s="350" t="str">
        <f ca="1">IF($B1431="Portfolio","Portfolio",IFERROR(INDEX(DATA_ASSET_CLASSIFICATION!$U$8:$U$24,MATCH($C1431,DATA_ASSET_CLASSIFICATION!$A$8:$A$24,0)),"Review"))</f>
        <v>Stable</v>
      </c>
      <c r="O1431" s="350" t="str">
        <f ca="1">IF($B1431="Portfolio","Portfolio",IFERROR(INDEX(DATA_ASSET_CLASSIFICATION!$AB$8:$AB$13,MATCH($N1431,DATA_ASSET_CLASSIFICATION!$AA$8:$AA$13,0)),"Review"))</f>
        <v>Bucket 2 · Legacy</v>
      </c>
      <c r="P1431" s="350" t="str">
        <f>IF($B1431="Portfolio","Portfolio",IFERROR(INDEX(DATA_ASSET_CLASSIFICATION!$C$8:$C$24,MATCH($C1431,DATA_ASSET_CLASSIFICATION!$A$8:$A$24,0)),"Review"))</f>
        <v>Yes</v>
      </c>
      <c r="Q1431" s="350" t="str">
        <f t="shared" ca="1" si="45"/>
        <v>OK</v>
      </c>
    </row>
    <row r="1432" spans="1:17">
      <c r="A1432" s="366" t="s">
        <v>3388</v>
      </c>
      <c r="B1432" s="366" t="s">
        <v>231</v>
      </c>
      <c r="C1432" s="348" t="str">
        <f>DATA_PROPERTY_MASTER!$A$8</f>
        <v>BLD_CH</v>
      </c>
      <c r="D1432" s="380">
        <f>'00_PORTFOLIO ROLLUP'!T$12</f>
        <v>2040</v>
      </c>
      <c r="E1432" s="366" t="s">
        <v>1741</v>
      </c>
      <c r="F1432" s="366" t="s">
        <v>1749</v>
      </c>
      <c r="G1432" s="348" t="str">
        <f>"'"&amp;$C1432&amp;"'!rows 56, 63, 68"</f>
        <v>'BLD_CH'!rows 56, 63, 68</v>
      </c>
      <c r="H1432" s="381">
        <f ca="1">IF(IFERROR(INDEX(DATA_PROPERTY_MASTER!$E$5:$E$21,MATCH($C1432,DATA_PROPERTY_MASTER!$A$5:$A$21,0))="Yes",FALSE),(IFERROR(INDEX(INDIRECT("'"&amp;$C1432&amp;"'!$E$56:$Y$56"),1,MATCH($D1432,INDIRECT("'"&amp;$C1432&amp;"'!$E$12:$Y$12"),0)),0)+MAX(IFERROR(INDEX(INDIRECT("'"&amp;$C1432&amp;"'!$E$63:$Y$63"),1,MATCH($D1432,INDIRECT("'"&amp;$C1432&amp;"'!$E$12:$Y$12"),0)),0),0))-(IFERROR(INDEX(INDIRECT("'"&amp;$C1432&amp;"'!$E$68:$Y$68"),1,MATCH($D1432,INDIRECT("'"&amp;$C1432&amp;"'!$E$12:$Y$12"),0)),0)),0)</f>
        <v>0</v>
      </c>
      <c r="I1432" s="366" t="s">
        <v>1750</v>
      </c>
      <c r="J1432" s="348" t="str">
        <f t="shared" ca="1" si="44"/>
        <v>OK</v>
      </c>
      <c r="K1432" s="366" t="s">
        <v>1751</v>
      </c>
      <c r="L1432" s="366" t="s">
        <v>2266</v>
      </c>
      <c r="M1432" s="350" t="str">
        <f>IF($B1432="Portfolio","Portfolio",IFERROR(INDEX(DATA_ASSET_CLASSIFICATION!$B$8:$B$24,MATCH($C1432,DATA_ASSET_CLASSIFICATION!$A$8:$A$24,0)),"Review"))</f>
        <v>Capilano House</v>
      </c>
      <c r="N1432" s="350" t="str">
        <f ca="1">IF($B1432="Portfolio","Portfolio",IFERROR(INDEX(DATA_ASSET_CLASSIFICATION!$U$8:$U$24,MATCH($C1432,DATA_ASSET_CLASSIFICATION!$A$8:$A$24,0)),"Review"))</f>
        <v>Stable</v>
      </c>
      <c r="O1432" s="350" t="str">
        <f ca="1">IF($B1432="Portfolio","Portfolio",IFERROR(INDEX(DATA_ASSET_CLASSIFICATION!$AB$8:$AB$13,MATCH($N1432,DATA_ASSET_CLASSIFICATION!$AA$8:$AA$13,0)),"Review"))</f>
        <v>Bucket 2 · Legacy</v>
      </c>
      <c r="P1432" s="350" t="str">
        <f>IF($B1432="Portfolio","Portfolio",IFERROR(INDEX(DATA_ASSET_CLASSIFICATION!$C$8:$C$24,MATCH($C1432,DATA_ASSET_CLASSIFICATION!$A$8:$A$24,0)),"Review"))</f>
        <v>Yes</v>
      </c>
      <c r="Q1432" s="350" t="str">
        <f t="shared" ca="1" si="45"/>
        <v>OK</v>
      </c>
    </row>
    <row r="1433" spans="1:17">
      <c r="A1433" s="366" t="s">
        <v>3389</v>
      </c>
      <c r="B1433" s="366" t="s">
        <v>231</v>
      </c>
      <c r="C1433" s="348" t="str">
        <f>DATA_PROPERTY_MASTER!$A$8</f>
        <v>BLD_CH</v>
      </c>
      <c r="D1433" s="380">
        <f>'00_PORTFOLIO ROLLUP'!U$12</f>
        <v>2041</v>
      </c>
      <c r="E1433" s="366" t="s">
        <v>1683</v>
      </c>
      <c r="F1433" s="366" t="s">
        <v>341</v>
      </c>
      <c r="G1433" s="348" t="str">
        <f>"'"&amp;$C1433&amp;"'!$E$24:$Y$24"</f>
        <v>'BLD_CH'!$E$24:$Y$24</v>
      </c>
      <c r="H1433" s="381">
        <f ca="1">IF(IFERROR(INDEX(DATA_PROPERTY_MASTER!$E$5:$E$21,MATCH($C1433,DATA_PROPERTY_MASTER!$A$5:$A$21,0))="Yes",FALSE),IFERROR(INDEX(INDIRECT("'"&amp;$C1433&amp;"'!$E$24:$Y$24"),1,MATCH($D1433,INDIRECT("'"&amp;$C1433&amp;"'!$E$12:$Y$12"),0)),0),0)</f>
        <v>1325549.3350652929</v>
      </c>
      <c r="I1433" s="366" t="s">
        <v>1685</v>
      </c>
      <c r="J1433" s="348" t="str">
        <f t="shared" ca="1" si="44"/>
        <v>OK</v>
      </c>
      <c r="K1433" s="366" t="s">
        <v>1686</v>
      </c>
      <c r="L1433" s="366" t="s">
        <v>2234</v>
      </c>
      <c r="M1433" s="350" t="str">
        <f>IF($B1433="Portfolio","Portfolio",IFERROR(INDEX(DATA_ASSET_CLASSIFICATION!$B$8:$B$24,MATCH($C1433,DATA_ASSET_CLASSIFICATION!$A$8:$A$24,0)),"Review"))</f>
        <v>Capilano House</v>
      </c>
      <c r="N1433" s="350" t="str">
        <f ca="1">IF($B1433="Portfolio","Portfolio",IFERROR(INDEX(DATA_ASSET_CLASSIFICATION!$U$8:$U$24,MATCH($C1433,DATA_ASSET_CLASSIFICATION!$A$8:$A$24,0)),"Review"))</f>
        <v>Stable</v>
      </c>
      <c r="O1433" s="350" t="str">
        <f ca="1">IF($B1433="Portfolio","Portfolio",IFERROR(INDEX(DATA_ASSET_CLASSIFICATION!$AB$8:$AB$13,MATCH($N1433,DATA_ASSET_CLASSIFICATION!$AA$8:$AA$13,0)),"Review"))</f>
        <v>Bucket 2 · Legacy</v>
      </c>
      <c r="P1433" s="350" t="str">
        <f>IF($B1433="Portfolio","Portfolio",IFERROR(INDEX(DATA_ASSET_CLASSIFICATION!$C$8:$C$24,MATCH($C1433,DATA_ASSET_CLASSIFICATION!$A$8:$A$24,0)),"Review"))</f>
        <v>Yes</v>
      </c>
      <c r="Q1433" s="350" t="str">
        <f t="shared" ca="1" si="45"/>
        <v>OK</v>
      </c>
    </row>
    <row r="1434" spans="1:17">
      <c r="A1434" s="366" t="s">
        <v>3390</v>
      </c>
      <c r="B1434" s="366" t="s">
        <v>231</v>
      </c>
      <c r="C1434" s="348" t="str">
        <f>DATA_PROPERTY_MASTER!$A$8</f>
        <v>BLD_CH</v>
      </c>
      <c r="D1434" s="380">
        <f>'00_PORTFOLIO ROLLUP'!U$12</f>
        <v>2041</v>
      </c>
      <c r="E1434" s="366" t="s">
        <v>1683</v>
      </c>
      <c r="F1434" s="366" t="s">
        <v>355</v>
      </c>
      <c r="G1434" s="348" t="str">
        <f>"'"&amp;$C1434&amp;"'!$E$39:$Y$39"</f>
        <v>'BLD_CH'!$E$39:$Y$39</v>
      </c>
      <c r="H1434" s="381">
        <f ca="1">IF(IFERROR(INDEX(DATA_PROPERTY_MASTER!$E$5:$E$21,MATCH($C1434,DATA_PROPERTY_MASTER!$A$5:$A$21,0))="Yes",FALSE),IFERROR(INDEX(INDIRECT("'"&amp;$C1434&amp;"'!$E$39:$Y$39"),1,MATCH($D1434,INDIRECT("'"&amp;$C1434&amp;"'!$E$12:$Y$12"),0)),0),0)</f>
        <v>826891.54316610727</v>
      </c>
      <c r="I1434" s="366" t="s">
        <v>1690</v>
      </c>
      <c r="J1434" s="348" t="str">
        <f t="shared" ca="1" si="44"/>
        <v>OK</v>
      </c>
      <c r="K1434" s="366" t="s">
        <v>1686</v>
      </c>
      <c r="L1434" s="366" t="s">
        <v>2236</v>
      </c>
      <c r="M1434" s="350" t="str">
        <f>IF($B1434="Portfolio","Portfolio",IFERROR(INDEX(DATA_ASSET_CLASSIFICATION!$B$8:$B$24,MATCH($C1434,DATA_ASSET_CLASSIFICATION!$A$8:$A$24,0)),"Review"))</f>
        <v>Capilano House</v>
      </c>
      <c r="N1434" s="350" t="str">
        <f ca="1">IF($B1434="Portfolio","Portfolio",IFERROR(INDEX(DATA_ASSET_CLASSIFICATION!$U$8:$U$24,MATCH($C1434,DATA_ASSET_CLASSIFICATION!$A$8:$A$24,0)),"Review"))</f>
        <v>Stable</v>
      </c>
      <c r="O1434" s="350" t="str">
        <f ca="1">IF($B1434="Portfolio","Portfolio",IFERROR(INDEX(DATA_ASSET_CLASSIFICATION!$AB$8:$AB$13,MATCH($N1434,DATA_ASSET_CLASSIFICATION!$AA$8:$AA$13,0)),"Review"))</f>
        <v>Bucket 2 · Legacy</v>
      </c>
      <c r="P1434" s="350" t="str">
        <f>IF($B1434="Portfolio","Portfolio",IFERROR(INDEX(DATA_ASSET_CLASSIFICATION!$C$8:$C$24,MATCH($C1434,DATA_ASSET_CLASSIFICATION!$A$8:$A$24,0)),"Review"))</f>
        <v>Yes</v>
      </c>
      <c r="Q1434" s="350" t="str">
        <f t="shared" ca="1" si="45"/>
        <v>OK</v>
      </c>
    </row>
    <row r="1435" spans="1:17">
      <c r="A1435" s="366" t="s">
        <v>3391</v>
      </c>
      <c r="B1435" s="366" t="s">
        <v>231</v>
      </c>
      <c r="C1435" s="348" t="str">
        <f>DATA_PROPERTY_MASTER!$A$8</f>
        <v>BLD_CH</v>
      </c>
      <c r="D1435" s="380">
        <f>'00_PORTFOLIO ROLLUP'!U$12</f>
        <v>2041</v>
      </c>
      <c r="E1435" s="366" t="s">
        <v>1683</v>
      </c>
      <c r="F1435" s="366" t="s">
        <v>19</v>
      </c>
      <c r="G1435" s="348" t="str">
        <f>"'"&amp;$C1435&amp;"'!$E$41:$Y$41"</f>
        <v>'BLD_CH'!$E$41:$Y$41</v>
      </c>
      <c r="H1435" s="381">
        <f ca="1">IF(IFERROR(INDEX(DATA_PROPERTY_MASTER!$E$5:$E$21,MATCH($C1435,DATA_PROPERTY_MASTER!$A$5:$A$21,0))="Yes",FALSE),IFERROR(INDEX(INDIRECT("'"&amp;$C1435&amp;"'!$E$41:$Y$41"),1,MATCH($D1435,INDIRECT("'"&amp;$C1435&amp;"'!$E$12:$Y$12"),0)),0),0)</f>
        <v>498657.79189918563</v>
      </c>
      <c r="I1435" s="366" t="s">
        <v>1685</v>
      </c>
      <c r="J1435" s="348" t="str">
        <f t="shared" ca="1" si="44"/>
        <v>OK</v>
      </c>
      <c r="K1435" s="366" t="s">
        <v>1694</v>
      </c>
      <c r="L1435" s="366" t="s">
        <v>2238</v>
      </c>
      <c r="M1435" s="350" t="str">
        <f>IF($B1435="Portfolio","Portfolio",IFERROR(INDEX(DATA_ASSET_CLASSIFICATION!$B$8:$B$24,MATCH($C1435,DATA_ASSET_CLASSIFICATION!$A$8:$A$24,0)),"Review"))</f>
        <v>Capilano House</v>
      </c>
      <c r="N1435" s="350" t="str">
        <f ca="1">IF($B1435="Portfolio","Portfolio",IFERROR(INDEX(DATA_ASSET_CLASSIFICATION!$U$8:$U$24,MATCH($C1435,DATA_ASSET_CLASSIFICATION!$A$8:$A$24,0)),"Review"))</f>
        <v>Stable</v>
      </c>
      <c r="O1435" s="350" t="str">
        <f ca="1">IF($B1435="Portfolio","Portfolio",IFERROR(INDEX(DATA_ASSET_CLASSIFICATION!$AB$8:$AB$13,MATCH($N1435,DATA_ASSET_CLASSIFICATION!$AA$8:$AA$13,0)),"Review"))</f>
        <v>Bucket 2 · Legacy</v>
      </c>
      <c r="P1435" s="350" t="str">
        <f>IF($B1435="Portfolio","Portfolio",IFERROR(INDEX(DATA_ASSET_CLASSIFICATION!$C$8:$C$24,MATCH($C1435,DATA_ASSET_CLASSIFICATION!$A$8:$A$24,0)),"Review"))</f>
        <v>Yes</v>
      </c>
      <c r="Q1435" s="350" t="str">
        <f t="shared" ca="1" si="45"/>
        <v>OK</v>
      </c>
    </row>
    <row r="1436" spans="1:17">
      <c r="A1436" s="366" t="s">
        <v>3392</v>
      </c>
      <c r="B1436" s="366" t="s">
        <v>231</v>
      </c>
      <c r="C1436" s="348" t="str">
        <f>DATA_PROPERTY_MASTER!$A$8</f>
        <v>BLD_CH</v>
      </c>
      <c r="D1436" s="380">
        <f>'00_PORTFOLIO ROLLUP'!U$12</f>
        <v>2041</v>
      </c>
      <c r="E1436" s="366" t="s">
        <v>1683</v>
      </c>
      <c r="F1436" s="366" t="s">
        <v>1697</v>
      </c>
      <c r="G1436" s="348" t="str">
        <f>"'"&amp;$C1436&amp;"'!$E$44:$Y$44"</f>
        <v>'BLD_CH'!$E$44:$Y$44</v>
      </c>
      <c r="H1436" s="381">
        <f ca="1">IF(IFERROR(INDEX(DATA_PROPERTY_MASTER!$E$5:$E$21,MATCH($C1436,DATA_PROPERTY_MASTER!$A$5:$A$21,0))="Yes",FALSE),IFERROR(INDEX(INDIRECT("'"&amp;$C1436&amp;"'!$E$44:$Y$44"),1,MATCH($D1436,INDIRECT("'"&amp;$C1436&amp;"'!$E$12:$Y$12"),0)),0),0)</f>
        <v>13178.742768869875</v>
      </c>
      <c r="I1436" s="366" t="s">
        <v>1690</v>
      </c>
      <c r="J1436" s="348" t="str">
        <f t="shared" ca="1" si="44"/>
        <v>OK</v>
      </c>
      <c r="K1436" s="366" t="s">
        <v>1699</v>
      </c>
      <c r="L1436" s="366" t="s">
        <v>2240</v>
      </c>
      <c r="M1436" s="350" t="str">
        <f>IF($B1436="Portfolio","Portfolio",IFERROR(INDEX(DATA_ASSET_CLASSIFICATION!$B$8:$B$24,MATCH($C1436,DATA_ASSET_CLASSIFICATION!$A$8:$A$24,0)),"Review"))</f>
        <v>Capilano House</v>
      </c>
      <c r="N1436" s="350" t="str">
        <f ca="1">IF($B1436="Portfolio","Portfolio",IFERROR(INDEX(DATA_ASSET_CLASSIFICATION!$U$8:$U$24,MATCH($C1436,DATA_ASSET_CLASSIFICATION!$A$8:$A$24,0)),"Review"))</f>
        <v>Stable</v>
      </c>
      <c r="O1436" s="350" t="str">
        <f ca="1">IF($B1436="Portfolio","Portfolio",IFERROR(INDEX(DATA_ASSET_CLASSIFICATION!$AB$8:$AB$13,MATCH($N1436,DATA_ASSET_CLASSIFICATION!$AA$8:$AA$13,0)),"Review"))</f>
        <v>Bucket 2 · Legacy</v>
      </c>
      <c r="P1436" s="350" t="str">
        <f>IF($B1436="Portfolio","Portfolio",IFERROR(INDEX(DATA_ASSET_CLASSIFICATION!$C$8:$C$24,MATCH($C1436,DATA_ASSET_CLASSIFICATION!$A$8:$A$24,0)),"Review"))</f>
        <v>Yes</v>
      </c>
      <c r="Q1436" s="350" t="str">
        <f t="shared" ca="1" si="45"/>
        <v>OK</v>
      </c>
    </row>
    <row r="1437" spans="1:17">
      <c r="A1437" s="366" t="s">
        <v>3393</v>
      </c>
      <c r="B1437" s="366" t="s">
        <v>231</v>
      </c>
      <c r="C1437" s="348" t="str">
        <f>DATA_PROPERTY_MASTER!$A$8</f>
        <v>BLD_CH</v>
      </c>
      <c r="D1437" s="380">
        <f>'00_PORTFOLIO ROLLUP'!U$12</f>
        <v>2041</v>
      </c>
      <c r="E1437" s="366" t="s">
        <v>1683</v>
      </c>
      <c r="F1437" s="366" t="s">
        <v>21</v>
      </c>
      <c r="G1437" s="348" t="str">
        <f>"'"&amp;$C1437&amp;"'!$E$45:$Y$45"</f>
        <v>'BLD_CH'!$E$45:$Y$45</v>
      </c>
      <c r="H1437" s="381">
        <f ca="1">IF(IFERROR(INDEX(DATA_PROPERTY_MASTER!$E$5:$E$21,MATCH($C1437,DATA_PROPERTY_MASTER!$A$5:$A$21,0))="Yes",FALSE),IFERROR(INDEX(INDIRECT("'"&amp;$C1437&amp;"'!$E$45:$Y$45"),1,MATCH($D1437,INDIRECT("'"&amp;$C1437&amp;"'!$E$12:$Y$12"),0)),0),0)</f>
        <v>485479.04913031578</v>
      </c>
      <c r="I1437" s="366" t="s">
        <v>1685</v>
      </c>
      <c r="J1437" s="348" t="str">
        <f t="shared" ca="1" si="44"/>
        <v>OK</v>
      </c>
      <c r="K1437" s="366" t="s">
        <v>1694</v>
      </c>
      <c r="L1437" s="366" t="s">
        <v>2242</v>
      </c>
      <c r="M1437" s="350" t="str">
        <f>IF($B1437="Portfolio","Portfolio",IFERROR(INDEX(DATA_ASSET_CLASSIFICATION!$B$8:$B$24,MATCH($C1437,DATA_ASSET_CLASSIFICATION!$A$8:$A$24,0)),"Review"))</f>
        <v>Capilano House</v>
      </c>
      <c r="N1437" s="350" t="str">
        <f ca="1">IF($B1437="Portfolio","Portfolio",IFERROR(INDEX(DATA_ASSET_CLASSIFICATION!$U$8:$U$24,MATCH($C1437,DATA_ASSET_CLASSIFICATION!$A$8:$A$24,0)),"Review"))</f>
        <v>Stable</v>
      </c>
      <c r="O1437" s="350" t="str">
        <f ca="1">IF($B1437="Portfolio","Portfolio",IFERROR(INDEX(DATA_ASSET_CLASSIFICATION!$AB$8:$AB$13,MATCH($N1437,DATA_ASSET_CLASSIFICATION!$AA$8:$AA$13,0)),"Review"))</f>
        <v>Bucket 2 · Legacy</v>
      </c>
      <c r="P1437" s="350" t="str">
        <f>IF($B1437="Portfolio","Portfolio",IFERROR(INDEX(DATA_ASSET_CLASSIFICATION!$C$8:$C$24,MATCH($C1437,DATA_ASSET_CLASSIFICATION!$A$8:$A$24,0)),"Review"))</f>
        <v>Yes</v>
      </c>
      <c r="Q1437" s="350" t="str">
        <f t="shared" ca="1" si="45"/>
        <v>OK</v>
      </c>
    </row>
    <row r="1438" spans="1:17">
      <c r="A1438" s="366" t="s">
        <v>3394</v>
      </c>
      <c r="B1438" s="366" t="s">
        <v>231</v>
      </c>
      <c r="C1438" s="348" t="str">
        <f>DATA_PROPERTY_MASTER!$A$8</f>
        <v>BLD_CH</v>
      </c>
      <c r="D1438" s="380">
        <f>'00_PORTFOLIO ROLLUP'!U$12</f>
        <v>2041</v>
      </c>
      <c r="E1438" s="366" t="s">
        <v>23</v>
      </c>
      <c r="F1438" s="366" t="s">
        <v>23</v>
      </c>
      <c r="G1438" s="348" t="str">
        <f>"'"&amp;$C1438&amp;"'!$E$48:$Y$48"</f>
        <v>'BLD_CH'!$E$48:$Y$48</v>
      </c>
      <c r="H1438" s="381">
        <f ca="1">IF(IFERROR(INDEX(DATA_PROPERTY_MASTER!$E$5:$E$21,MATCH($C1438,DATA_PROPERTY_MASTER!$A$5:$A$21,0))="Yes",FALSE),IFERROR(INDEX(INDIRECT("'"&amp;$C1438&amp;"'!$E$48:$Y$48"),1,MATCH($D1438,INDIRECT("'"&amp;$C1438&amp;"'!$E$12:$Y$12"),0)),0),0)</f>
        <v>0</v>
      </c>
      <c r="I1438" s="366" t="s">
        <v>1690</v>
      </c>
      <c r="J1438" s="348" t="str">
        <f t="shared" ca="1" si="44"/>
        <v>OK</v>
      </c>
      <c r="K1438" s="366" t="s">
        <v>1706</v>
      </c>
      <c r="L1438" s="366" t="s">
        <v>2244</v>
      </c>
      <c r="M1438" s="350" t="str">
        <f>IF($B1438="Portfolio","Portfolio",IFERROR(INDEX(DATA_ASSET_CLASSIFICATION!$B$8:$B$24,MATCH($C1438,DATA_ASSET_CLASSIFICATION!$A$8:$A$24,0)),"Review"))</f>
        <v>Capilano House</v>
      </c>
      <c r="N1438" s="350" t="str">
        <f ca="1">IF($B1438="Portfolio","Portfolio",IFERROR(INDEX(DATA_ASSET_CLASSIFICATION!$U$8:$U$24,MATCH($C1438,DATA_ASSET_CLASSIFICATION!$A$8:$A$24,0)),"Review"))</f>
        <v>Stable</v>
      </c>
      <c r="O1438" s="350" t="str">
        <f ca="1">IF($B1438="Portfolio","Portfolio",IFERROR(INDEX(DATA_ASSET_CLASSIFICATION!$AB$8:$AB$13,MATCH($N1438,DATA_ASSET_CLASSIFICATION!$AA$8:$AA$13,0)),"Review"))</f>
        <v>Bucket 2 · Legacy</v>
      </c>
      <c r="P1438" s="350" t="str">
        <f>IF($B1438="Portfolio","Portfolio",IFERROR(INDEX(DATA_ASSET_CLASSIFICATION!$C$8:$C$24,MATCH($C1438,DATA_ASSET_CLASSIFICATION!$A$8:$A$24,0)),"Review"))</f>
        <v>Yes</v>
      </c>
      <c r="Q1438" s="350" t="str">
        <f t="shared" ca="1" si="45"/>
        <v>OK</v>
      </c>
    </row>
    <row r="1439" spans="1:17">
      <c r="A1439" s="366" t="s">
        <v>3395</v>
      </c>
      <c r="B1439" s="366" t="s">
        <v>231</v>
      </c>
      <c r="C1439" s="348" t="str">
        <f>DATA_PROPERTY_MASTER!$A$8</f>
        <v>BLD_CH</v>
      </c>
      <c r="D1439" s="380">
        <f>'00_PORTFOLIO ROLLUP'!U$12</f>
        <v>2041</v>
      </c>
      <c r="E1439" s="366" t="s">
        <v>1683</v>
      </c>
      <c r="F1439" s="366" t="s">
        <v>25</v>
      </c>
      <c r="G1439" s="348" t="str">
        <f>"'"&amp;$C1439&amp;"'!$E$52:$Y$52"</f>
        <v>'BLD_CH'!$E$52:$Y$52</v>
      </c>
      <c r="H1439" s="381">
        <f ca="1">IF(IFERROR(INDEX(DATA_PROPERTY_MASTER!$E$5:$E$21,MATCH($C1439,DATA_PROPERTY_MASTER!$A$5:$A$21,0))="Yes",FALSE),IFERROR(INDEX(INDIRECT("'"&amp;$C1439&amp;"'!$E$52:$Y$52"),1,MATCH($D1439,INDIRECT("'"&amp;$C1439&amp;"'!$E$12:$Y$12"),0)),0),0)</f>
        <v>498657.79189918563</v>
      </c>
      <c r="I1439" s="366" t="s">
        <v>1685</v>
      </c>
      <c r="J1439" s="348" t="str">
        <f t="shared" ca="1" si="44"/>
        <v>OK</v>
      </c>
      <c r="K1439" s="366" t="s">
        <v>1710</v>
      </c>
      <c r="L1439" s="366" t="s">
        <v>2246</v>
      </c>
      <c r="M1439" s="350" t="str">
        <f>IF($B1439="Portfolio","Portfolio",IFERROR(INDEX(DATA_ASSET_CLASSIFICATION!$B$8:$B$24,MATCH($C1439,DATA_ASSET_CLASSIFICATION!$A$8:$A$24,0)),"Review"))</f>
        <v>Capilano House</v>
      </c>
      <c r="N1439" s="350" t="str">
        <f ca="1">IF($B1439="Portfolio","Portfolio",IFERROR(INDEX(DATA_ASSET_CLASSIFICATION!$U$8:$U$24,MATCH($C1439,DATA_ASSET_CLASSIFICATION!$A$8:$A$24,0)),"Review"))</f>
        <v>Stable</v>
      </c>
      <c r="O1439" s="350" t="str">
        <f ca="1">IF($B1439="Portfolio","Portfolio",IFERROR(INDEX(DATA_ASSET_CLASSIFICATION!$AB$8:$AB$13,MATCH($N1439,DATA_ASSET_CLASSIFICATION!$AA$8:$AA$13,0)),"Review"))</f>
        <v>Bucket 2 · Legacy</v>
      </c>
      <c r="P1439" s="350" t="str">
        <f>IF($B1439="Portfolio","Portfolio",IFERROR(INDEX(DATA_ASSET_CLASSIFICATION!$C$8:$C$24,MATCH($C1439,DATA_ASSET_CLASSIFICATION!$A$8:$A$24,0)),"Review"))</f>
        <v>Yes</v>
      </c>
      <c r="Q1439" s="350" t="str">
        <f t="shared" ca="1" si="45"/>
        <v>OK</v>
      </c>
    </row>
    <row r="1440" spans="1:17">
      <c r="A1440" s="366" t="s">
        <v>3396</v>
      </c>
      <c r="B1440" s="366" t="s">
        <v>231</v>
      </c>
      <c r="C1440" s="348" t="str">
        <f>DATA_PROPERTY_MASTER!$A$8</f>
        <v>BLD_CH</v>
      </c>
      <c r="D1440" s="380">
        <f>'00_PORTFOLIO ROLLUP'!U$12</f>
        <v>2041</v>
      </c>
      <c r="E1440" s="366" t="s">
        <v>1683</v>
      </c>
      <c r="F1440" s="366" t="s">
        <v>27</v>
      </c>
      <c r="G1440" s="348" t="str">
        <f>"'"&amp;$C1440&amp;"'!$E$54:$Y$54"</f>
        <v>'BLD_CH'!$E$54:$Y$54</v>
      </c>
      <c r="H1440" s="381">
        <f ca="1">IF(IFERROR(INDEX(DATA_PROPERTY_MASTER!$E$5:$E$21,MATCH($C1440,DATA_PROPERTY_MASTER!$A$5:$A$21,0))="Yes",FALSE),IFERROR(INDEX(INDIRECT("'"&amp;$C1440&amp;"'!$E$54:$Y$54"),1,MATCH($D1440,INDIRECT("'"&amp;$C1440&amp;"'!$E$12:$Y$12"),0)),0),0)</f>
        <v>299194.67513951135</v>
      </c>
      <c r="I1440" s="366" t="s">
        <v>1690</v>
      </c>
      <c r="J1440" s="348" t="str">
        <f t="shared" ca="1" si="44"/>
        <v>OK</v>
      </c>
      <c r="K1440" s="366" t="s">
        <v>1714</v>
      </c>
      <c r="L1440" s="366" t="s">
        <v>2248</v>
      </c>
      <c r="M1440" s="350" t="str">
        <f>IF($B1440="Portfolio","Portfolio",IFERROR(INDEX(DATA_ASSET_CLASSIFICATION!$B$8:$B$24,MATCH($C1440,DATA_ASSET_CLASSIFICATION!$A$8:$A$24,0)),"Review"))</f>
        <v>Capilano House</v>
      </c>
      <c r="N1440" s="350" t="str">
        <f ca="1">IF($B1440="Portfolio","Portfolio",IFERROR(INDEX(DATA_ASSET_CLASSIFICATION!$U$8:$U$24,MATCH($C1440,DATA_ASSET_CLASSIFICATION!$A$8:$A$24,0)),"Review"))</f>
        <v>Stable</v>
      </c>
      <c r="O1440" s="350" t="str">
        <f ca="1">IF($B1440="Portfolio","Portfolio",IFERROR(INDEX(DATA_ASSET_CLASSIFICATION!$AB$8:$AB$13,MATCH($N1440,DATA_ASSET_CLASSIFICATION!$AA$8:$AA$13,0)),"Review"))</f>
        <v>Bucket 2 · Legacy</v>
      </c>
      <c r="P1440" s="350" t="str">
        <f>IF($B1440="Portfolio","Portfolio",IFERROR(INDEX(DATA_ASSET_CLASSIFICATION!$C$8:$C$24,MATCH($C1440,DATA_ASSET_CLASSIFICATION!$A$8:$A$24,0)),"Review"))</f>
        <v>Yes</v>
      </c>
      <c r="Q1440" s="350" t="str">
        <f t="shared" ca="1" si="45"/>
        <v>OK</v>
      </c>
    </row>
    <row r="1441" spans="1:17">
      <c r="A1441" s="366" t="s">
        <v>3397</v>
      </c>
      <c r="B1441" s="366" t="s">
        <v>231</v>
      </c>
      <c r="C1441" s="348" t="str">
        <f>DATA_PROPERTY_MASTER!$A$8</f>
        <v>BLD_CH</v>
      </c>
      <c r="D1441" s="380">
        <f>'00_PORTFOLIO ROLLUP'!U$12</f>
        <v>2041</v>
      </c>
      <c r="E1441" s="366" t="s">
        <v>1683</v>
      </c>
      <c r="F1441" s="366" t="s">
        <v>29</v>
      </c>
      <c r="G1441" s="348" t="str">
        <f>"'"&amp;$C1441&amp;"'!$E$56:$Y$56"</f>
        <v>'BLD_CH'!$E$56:$Y$56</v>
      </c>
      <c r="H1441" s="381">
        <f ca="1">IF(IFERROR(INDEX(DATA_PROPERTY_MASTER!$E$5:$E$21,MATCH($C1441,DATA_PROPERTY_MASTER!$A$5:$A$21,0))="Yes",FALSE),IFERROR(INDEX(INDIRECT("'"&amp;$C1441&amp;"'!$E$56:$Y$56"),1,MATCH($D1441,INDIRECT("'"&amp;$C1441&amp;"'!$E$12:$Y$12"),0)),0),0)</f>
        <v>199463.11675967427</v>
      </c>
      <c r="I1441" s="366" t="s">
        <v>1685</v>
      </c>
      <c r="J1441" s="348" t="str">
        <f t="shared" ca="1" si="44"/>
        <v>OK</v>
      </c>
      <c r="K1441" s="366" t="s">
        <v>1718</v>
      </c>
      <c r="L1441" s="366" t="s">
        <v>2250</v>
      </c>
      <c r="M1441" s="350" t="str">
        <f>IF($B1441="Portfolio","Portfolio",IFERROR(INDEX(DATA_ASSET_CLASSIFICATION!$B$8:$B$24,MATCH($C1441,DATA_ASSET_CLASSIFICATION!$A$8:$A$24,0)),"Review"))</f>
        <v>Capilano House</v>
      </c>
      <c r="N1441" s="350" t="str">
        <f ca="1">IF($B1441="Portfolio","Portfolio",IFERROR(INDEX(DATA_ASSET_CLASSIFICATION!$U$8:$U$24,MATCH($C1441,DATA_ASSET_CLASSIFICATION!$A$8:$A$24,0)),"Review"))</f>
        <v>Stable</v>
      </c>
      <c r="O1441" s="350" t="str">
        <f ca="1">IF($B1441="Portfolio","Portfolio",IFERROR(INDEX(DATA_ASSET_CLASSIFICATION!$AB$8:$AB$13,MATCH($N1441,DATA_ASSET_CLASSIFICATION!$AA$8:$AA$13,0)),"Review"))</f>
        <v>Bucket 2 · Legacy</v>
      </c>
      <c r="P1441" s="350" t="str">
        <f>IF($B1441="Portfolio","Portfolio",IFERROR(INDEX(DATA_ASSET_CLASSIFICATION!$C$8:$C$24,MATCH($C1441,DATA_ASSET_CLASSIFICATION!$A$8:$A$24,0)),"Review"))</f>
        <v>Yes</v>
      </c>
      <c r="Q1441" s="350" t="str">
        <f t="shared" ca="1" si="45"/>
        <v>OK</v>
      </c>
    </row>
    <row r="1442" spans="1:17">
      <c r="A1442" s="366" t="s">
        <v>3398</v>
      </c>
      <c r="B1442" s="366" t="s">
        <v>231</v>
      </c>
      <c r="C1442" s="348" t="str">
        <f>DATA_PROPERTY_MASTER!$A$8</f>
        <v>BLD_CH</v>
      </c>
      <c r="D1442" s="380">
        <f>'00_PORTFOLIO ROLLUP'!U$12</f>
        <v>2041</v>
      </c>
      <c r="E1442" s="366" t="s">
        <v>1721</v>
      </c>
      <c r="F1442" s="366" t="s">
        <v>31</v>
      </c>
      <c r="G1442" s="348" t="str">
        <f>"'"&amp;$C1442&amp;"'!$E$61:$Y$61"</f>
        <v>'BLD_CH'!$E$61:$Y$61</v>
      </c>
      <c r="H1442" s="381">
        <f ca="1">IF(IFERROR(INDEX(DATA_PROPERTY_MASTER!$E$5:$E$21,MATCH($C1442,DATA_PROPERTY_MASTER!$A$5:$A$21,0))="Yes",FALSE),IFERROR(INDEX(INDIRECT("'"&amp;$C1442&amp;"'!$E$61:$Y$61"),1,MATCH($D1442,INDIRECT("'"&amp;$C1442&amp;"'!$E$12:$Y$12"),0)),0),0)</f>
        <v>0</v>
      </c>
      <c r="I1442" s="366" t="s">
        <v>1690</v>
      </c>
      <c r="J1442" s="348" t="str">
        <f t="shared" ca="1" si="44"/>
        <v>OK</v>
      </c>
      <c r="K1442" s="366" t="s">
        <v>1723</v>
      </c>
      <c r="L1442" s="366" t="s">
        <v>2252</v>
      </c>
      <c r="M1442" s="350" t="str">
        <f>IF($B1442="Portfolio","Portfolio",IFERROR(INDEX(DATA_ASSET_CLASSIFICATION!$B$8:$B$24,MATCH($C1442,DATA_ASSET_CLASSIFICATION!$A$8:$A$24,0)),"Review"))</f>
        <v>Capilano House</v>
      </c>
      <c r="N1442" s="350" t="str">
        <f ca="1">IF($B1442="Portfolio","Portfolio",IFERROR(INDEX(DATA_ASSET_CLASSIFICATION!$U$8:$U$24,MATCH($C1442,DATA_ASSET_CLASSIFICATION!$A$8:$A$24,0)),"Review"))</f>
        <v>Stable</v>
      </c>
      <c r="O1442" s="350" t="str">
        <f ca="1">IF($B1442="Portfolio","Portfolio",IFERROR(INDEX(DATA_ASSET_CLASSIFICATION!$AB$8:$AB$13,MATCH($N1442,DATA_ASSET_CLASSIFICATION!$AA$8:$AA$13,0)),"Review"))</f>
        <v>Bucket 2 · Legacy</v>
      </c>
      <c r="P1442" s="350" t="str">
        <f>IF($B1442="Portfolio","Portfolio",IFERROR(INDEX(DATA_ASSET_CLASSIFICATION!$C$8:$C$24,MATCH($C1442,DATA_ASSET_CLASSIFICATION!$A$8:$A$24,0)),"Review"))</f>
        <v>Yes</v>
      </c>
      <c r="Q1442" s="350" t="str">
        <f t="shared" ca="1" si="45"/>
        <v>OK</v>
      </c>
    </row>
    <row r="1443" spans="1:17">
      <c r="A1443" s="366" t="s">
        <v>3399</v>
      </c>
      <c r="B1443" s="366" t="s">
        <v>231</v>
      </c>
      <c r="C1443" s="348" t="str">
        <f>DATA_PROPERTY_MASTER!$A$8</f>
        <v>BLD_CH</v>
      </c>
      <c r="D1443" s="380">
        <f>'00_PORTFOLIO ROLLUP'!U$12</f>
        <v>2041</v>
      </c>
      <c r="E1443" s="366" t="s">
        <v>1721</v>
      </c>
      <c r="F1443" s="366" t="s">
        <v>33</v>
      </c>
      <c r="G1443" s="348" t="str">
        <f>"'"&amp;$C1443&amp;"'!$E$62:$Y$62"</f>
        <v>'BLD_CH'!$E$62:$Y$62</v>
      </c>
      <c r="H1443" s="381">
        <f ca="1">IF(IFERROR(INDEX(DATA_PROPERTY_MASTER!$E$5:$E$21,MATCH($C1443,DATA_PROPERTY_MASTER!$A$5:$A$21,0))="Yes",FALSE),IFERROR(INDEX(INDIRECT("'"&amp;$C1443&amp;"'!$E$62:$Y$62"),1,MATCH($D1443,INDIRECT("'"&amp;$C1443&amp;"'!$E$12:$Y$12"),0)),0),0)</f>
        <v>0</v>
      </c>
      <c r="I1443" s="366" t="s">
        <v>1685</v>
      </c>
      <c r="J1443" s="348" t="str">
        <f t="shared" ca="1" si="44"/>
        <v>OK</v>
      </c>
      <c r="K1443" s="366" t="s">
        <v>1727</v>
      </c>
      <c r="L1443" s="366" t="s">
        <v>2254</v>
      </c>
      <c r="M1443" s="350" t="str">
        <f>IF($B1443="Portfolio","Portfolio",IFERROR(INDEX(DATA_ASSET_CLASSIFICATION!$B$8:$B$24,MATCH($C1443,DATA_ASSET_CLASSIFICATION!$A$8:$A$24,0)),"Review"))</f>
        <v>Capilano House</v>
      </c>
      <c r="N1443" s="350" t="str">
        <f ca="1">IF($B1443="Portfolio","Portfolio",IFERROR(INDEX(DATA_ASSET_CLASSIFICATION!$U$8:$U$24,MATCH($C1443,DATA_ASSET_CLASSIFICATION!$A$8:$A$24,0)),"Review"))</f>
        <v>Stable</v>
      </c>
      <c r="O1443" s="350" t="str">
        <f ca="1">IF($B1443="Portfolio","Portfolio",IFERROR(INDEX(DATA_ASSET_CLASSIFICATION!$AB$8:$AB$13,MATCH($N1443,DATA_ASSET_CLASSIFICATION!$AA$8:$AA$13,0)),"Review"))</f>
        <v>Bucket 2 · Legacy</v>
      </c>
      <c r="P1443" s="350" t="str">
        <f>IF($B1443="Portfolio","Portfolio",IFERROR(INDEX(DATA_ASSET_CLASSIFICATION!$C$8:$C$24,MATCH($C1443,DATA_ASSET_CLASSIFICATION!$A$8:$A$24,0)),"Review"))</f>
        <v>Yes</v>
      </c>
      <c r="Q1443" s="350" t="str">
        <f t="shared" ca="1" si="45"/>
        <v>OK</v>
      </c>
    </row>
    <row r="1444" spans="1:17">
      <c r="A1444" s="366" t="s">
        <v>3400</v>
      </c>
      <c r="B1444" s="366" t="s">
        <v>231</v>
      </c>
      <c r="C1444" s="348" t="str">
        <f>DATA_PROPERTY_MASTER!$A$8</f>
        <v>BLD_CH</v>
      </c>
      <c r="D1444" s="380">
        <f>'00_PORTFOLIO ROLLUP'!U$12</f>
        <v>2041</v>
      </c>
      <c r="E1444" s="366" t="s">
        <v>1721</v>
      </c>
      <c r="F1444" s="366" t="s">
        <v>35</v>
      </c>
      <c r="G1444" s="348" t="str">
        <f>"'"&amp;$C1444&amp;"'!$E$63:$Y$63"</f>
        <v>'BLD_CH'!$E$63:$Y$63</v>
      </c>
      <c r="H1444" s="381">
        <f ca="1">IF(IFERROR(INDEX(DATA_PROPERTY_MASTER!$E$5:$E$21,MATCH($C1444,DATA_PROPERTY_MASTER!$A$5:$A$21,0))="Yes",FALSE),IFERROR(INDEX(INDIRECT("'"&amp;$C1444&amp;"'!$E$63:$Y$63"),1,MATCH($D1444,INDIRECT("'"&amp;$C1444&amp;"'!$E$12:$Y$12"),0)),0),0)</f>
        <v>0</v>
      </c>
      <c r="I1444" s="366" t="s">
        <v>1731</v>
      </c>
      <c r="J1444" s="348" t="str">
        <f t="shared" ca="1" si="44"/>
        <v>OK</v>
      </c>
      <c r="K1444" s="366" t="s">
        <v>1732</v>
      </c>
      <c r="L1444" s="366" t="s">
        <v>2256</v>
      </c>
      <c r="M1444" s="350" t="str">
        <f>IF($B1444="Portfolio","Portfolio",IFERROR(INDEX(DATA_ASSET_CLASSIFICATION!$B$8:$B$24,MATCH($C1444,DATA_ASSET_CLASSIFICATION!$A$8:$A$24,0)),"Review"))</f>
        <v>Capilano House</v>
      </c>
      <c r="N1444" s="350" t="str">
        <f ca="1">IF($B1444="Portfolio","Portfolio",IFERROR(INDEX(DATA_ASSET_CLASSIFICATION!$U$8:$U$24,MATCH($C1444,DATA_ASSET_CLASSIFICATION!$A$8:$A$24,0)),"Review"))</f>
        <v>Stable</v>
      </c>
      <c r="O1444" s="350" t="str">
        <f ca="1">IF($B1444="Portfolio","Portfolio",IFERROR(INDEX(DATA_ASSET_CLASSIFICATION!$AB$8:$AB$13,MATCH($N1444,DATA_ASSET_CLASSIFICATION!$AA$8:$AA$13,0)),"Review"))</f>
        <v>Bucket 2 · Legacy</v>
      </c>
      <c r="P1444" s="350" t="str">
        <f>IF($B1444="Portfolio","Portfolio",IFERROR(INDEX(DATA_ASSET_CLASSIFICATION!$C$8:$C$24,MATCH($C1444,DATA_ASSET_CLASSIFICATION!$A$8:$A$24,0)),"Review"))</f>
        <v>Yes</v>
      </c>
      <c r="Q1444" s="350" t="str">
        <f t="shared" ca="1" si="45"/>
        <v>OK</v>
      </c>
    </row>
    <row r="1445" spans="1:17">
      <c r="A1445" s="366" t="s">
        <v>3401</v>
      </c>
      <c r="B1445" s="366" t="s">
        <v>231</v>
      </c>
      <c r="C1445" s="348" t="str">
        <f>DATA_PROPERTY_MASTER!$A$8</f>
        <v>BLD_CH</v>
      </c>
      <c r="D1445" s="380">
        <f>'00_PORTFOLIO ROLLUP'!U$12</f>
        <v>2041</v>
      </c>
      <c r="E1445" s="366" t="s">
        <v>1721</v>
      </c>
      <c r="F1445" s="366" t="s">
        <v>37</v>
      </c>
      <c r="G1445" s="348" t="str">
        <f>"'"&amp;$C1445&amp;"'!$E$63:$Y$63"</f>
        <v>'BLD_CH'!$E$63:$Y$63</v>
      </c>
      <c r="H1445" s="381">
        <f ca="1">IF(IFERROR(INDEX(DATA_PROPERTY_MASTER!$E$5:$E$21,MATCH($C1445,DATA_PROPERTY_MASTER!$A$5:$A$21,0))="Yes",FALSE),MAX(IFERROR(INDEX(INDIRECT("'"&amp;$C1445&amp;"'!$E$63:$Y$63"),1,MATCH($D1445,INDIRECT("'"&amp;$C1445&amp;"'!$E$12:$Y$12"),0)),0),0),0)</f>
        <v>0</v>
      </c>
      <c r="I1445" s="366" t="s">
        <v>1685</v>
      </c>
      <c r="J1445" s="348" t="str">
        <f t="shared" ca="1" si="44"/>
        <v>OK</v>
      </c>
      <c r="K1445" s="366" t="s">
        <v>1735</v>
      </c>
      <c r="L1445" s="366" t="s">
        <v>2258</v>
      </c>
      <c r="M1445" s="350" t="str">
        <f>IF($B1445="Portfolio","Portfolio",IFERROR(INDEX(DATA_ASSET_CLASSIFICATION!$B$8:$B$24,MATCH($C1445,DATA_ASSET_CLASSIFICATION!$A$8:$A$24,0)),"Review"))</f>
        <v>Capilano House</v>
      </c>
      <c r="N1445" s="350" t="str">
        <f ca="1">IF($B1445="Portfolio","Portfolio",IFERROR(INDEX(DATA_ASSET_CLASSIFICATION!$U$8:$U$24,MATCH($C1445,DATA_ASSET_CLASSIFICATION!$A$8:$A$24,0)),"Review"))</f>
        <v>Stable</v>
      </c>
      <c r="O1445" s="350" t="str">
        <f ca="1">IF($B1445="Portfolio","Portfolio",IFERROR(INDEX(DATA_ASSET_CLASSIFICATION!$AB$8:$AB$13,MATCH($N1445,DATA_ASSET_CLASSIFICATION!$AA$8:$AA$13,0)),"Review"))</f>
        <v>Bucket 2 · Legacy</v>
      </c>
      <c r="P1445" s="350" t="str">
        <f>IF($B1445="Portfolio","Portfolio",IFERROR(INDEX(DATA_ASSET_CLASSIFICATION!$C$8:$C$24,MATCH($C1445,DATA_ASSET_CLASSIFICATION!$A$8:$A$24,0)),"Review"))</f>
        <v>Yes</v>
      </c>
      <c r="Q1445" s="350" t="str">
        <f t="shared" ca="1" si="45"/>
        <v>OK</v>
      </c>
    </row>
    <row r="1446" spans="1:17">
      <c r="A1446" s="366" t="s">
        <v>3402</v>
      </c>
      <c r="B1446" s="366" t="s">
        <v>231</v>
      </c>
      <c r="C1446" s="348" t="str">
        <f>DATA_PROPERTY_MASTER!$A$8</f>
        <v>BLD_CH</v>
      </c>
      <c r="D1446" s="380">
        <f>'00_PORTFOLIO ROLLUP'!U$12</f>
        <v>2041</v>
      </c>
      <c r="E1446" s="366" t="s">
        <v>1721</v>
      </c>
      <c r="F1446" s="366" t="s">
        <v>39</v>
      </c>
      <c r="G1446" s="348" t="str">
        <f>"'"&amp;$C1446&amp;"'!$E$63:$Y$63"</f>
        <v>'BLD_CH'!$E$63:$Y$63</v>
      </c>
      <c r="H1446" s="381">
        <f ca="1">IF(IFERROR(INDEX(DATA_PROPERTY_MASTER!$E$5:$E$21,MATCH($C1446,DATA_PROPERTY_MASTER!$A$5:$A$21,0))="Yes",FALSE),MAX(-IFERROR(INDEX(INDIRECT("'"&amp;$C1446&amp;"'!$E$63:$Y$63"),1,MATCH($D1446,INDIRECT("'"&amp;$C1446&amp;"'!$E$12:$Y$12"),0)),0),0),0)</f>
        <v>0</v>
      </c>
      <c r="I1446" s="366" t="s">
        <v>1690</v>
      </c>
      <c r="J1446" s="348" t="str">
        <f t="shared" ca="1" si="44"/>
        <v>OK</v>
      </c>
      <c r="K1446" s="366" t="s">
        <v>1738</v>
      </c>
      <c r="L1446" s="366" t="s">
        <v>2260</v>
      </c>
      <c r="M1446" s="350" t="str">
        <f>IF($B1446="Portfolio","Portfolio",IFERROR(INDEX(DATA_ASSET_CLASSIFICATION!$B$8:$B$24,MATCH($C1446,DATA_ASSET_CLASSIFICATION!$A$8:$A$24,0)),"Review"))</f>
        <v>Capilano House</v>
      </c>
      <c r="N1446" s="350" t="str">
        <f ca="1">IF($B1446="Portfolio","Portfolio",IFERROR(INDEX(DATA_ASSET_CLASSIFICATION!$U$8:$U$24,MATCH($C1446,DATA_ASSET_CLASSIFICATION!$A$8:$A$24,0)),"Review"))</f>
        <v>Stable</v>
      </c>
      <c r="O1446" s="350" t="str">
        <f ca="1">IF($B1446="Portfolio","Portfolio",IFERROR(INDEX(DATA_ASSET_CLASSIFICATION!$AB$8:$AB$13,MATCH($N1446,DATA_ASSET_CLASSIFICATION!$AA$8:$AA$13,0)),"Review"))</f>
        <v>Bucket 2 · Legacy</v>
      </c>
      <c r="P1446" s="350" t="str">
        <f>IF($B1446="Portfolio","Portfolio",IFERROR(INDEX(DATA_ASSET_CLASSIFICATION!$C$8:$C$24,MATCH($C1446,DATA_ASSET_CLASSIFICATION!$A$8:$A$24,0)),"Review"))</f>
        <v>Yes</v>
      </c>
      <c r="Q1446" s="350" t="str">
        <f t="shared" ca="1" si="45"/>
        <v>OK</v>
      </c>
    </row>
    <row r="1447" spans="1:17">
      <c r="A1447" s="366" t="s">
        <v>3403</v>
      </c>
      <c r="B1447" s="366" t="s">
        <v>231</v>
      </c>
      <c r="C1447" s="348" t="str">
        <f>DATA_PROPERTY_MASTER!$A$8</f>
        <v>BLD_CH</v>
      </c>
      <c r="D1447" s="380">
        <f>'00_PORTFOLIO ROLLUP'!U$12</f>
        <v>2041</v>
      </c>
      <c r="E1447" s="366" t="s">
        <v>1741</v>
      </c>
      <c r="F1447" s="366" t="s">
        <v>41</v>
      </c>
      <c r="G1447" s="348" t="str">
        <f>"'"&amp;$C1447&amp;"'!rows 56 + positive row 63"</f>
        <v>'BLD_CH'!rows 56 + positive row 63</v>
      </c>
      <c r="H1447" s="381">
        <f ca="1">IF(IFERROR(INDEX(DATA_PROPERTY_MASTER!$E$5:$E$21,MATCH($C1447,DATA_PROPERTY_MASTER!$A$5:$A$21,0))="Yes",FALSE),IFERROR(INDEX(INDIRECT("'"&amp;$C1447&amp;"'!$E$56:$Y$56"),1,MATCH($D1447,INDIRECT("'"&amp;$C1447&amp;"'!$E$12:$Y$12"),0)),0)+MAX(IFERROR(INDEX(INDIRECT("'"&amp;$C1447&amp;"'!$E$63:$Y$63"),1,MATCH($D1447,INDIRECT("'"&amp;$C1447&amp;"'!$E$12:$Y$12"),0)),0),0),0)</f>
        <v>199463.11675967427</v>
      </c>
      <c r="I1447" s="366" t="s">
        <v>1685</v>
      </c>
      <c r="J1447" s="348" t="str">
        <f t="shared" ca="1" si="44"/>
        <v>OK</v>
      </c>
      <c r="K1447" s="366" t="s">
        <v>1742</v>
      </c>
      <c r="L1447" s="366" t="s">
        <v>2262</v>
      </c>
      <c r="M1447" s="350" t="str">
        <f>IF($B1447="Portfolio","Portfolio",IFERROR(INDEX(DATA_ASSET_CLASSIFICATION!$B$8:$B$24,MATCH($C1447,DATA_ASSET_CLASSIFICATION!$A$8:$A$24,0)),"Review"))</f>
        <v>Capilano House</v>
      </c>
      <c r="N1447" s="350" t="str">
        <f ca="1">IF($B1447="Portfolio","Portfolio",IFERROR(INDEX(DATA_ASSET_CLASSIFICATION!$U$8:$U$24,MATCH($C1447,DATA_ASSET_CLASSIFICATION!$A$8:$A$24,0)),"Review"))</f>
        <v>Stable</v>
      </c>
      <c r="O1447" s="350" t="str">
        <f ca="1">IF($B1447="Portfolio","Portfolio",IFERROR(INDEX(DATA_ASSET_CLASSIFICATION!$AB$8:$AB$13,MATCH($N1447,DATA_ASSET_CLASSIFICATION!$AA$8:$AA$13,0)),"Review"))</f>
        <v>Bucket 2 · Legacy</v>
      </c>
      <c r="P1447" s="350" t="str">
        <f>IF($B1447="Portfolio","Portfolio",IFERROR(INDEX(DATA_ASSET_CLASSIFICATION!$C$8:$C$24,MATCH($C1447,DATA_ASSET_CLASSIFICATION!$A$8:$A$24,0)),"Review"))</f>
        <v>Yes</v>
      </c>
      <c r="Q1447" s="350" t="str">
        <f t="shared" ca="1" si="45"/>
        <v>OK</v>
      </c>
    </row>
    <row r="1448" spans="1:17">
      <c r="A1448" s="366" t="s">
        <v>3404</v>
      </c>
      <c r="B1448" s="366" t="s">
        <v>231</v>
      </c>
      <c r="C1448" s="348" t="str">
        <f>DATA_PROPERTY_MASTER!$A$8</f>
        <v>BLD_CH</v>
      </c>
      <c r="D1448" s="380">
        <f>'00_PORTFOLIO ROLLUP'!U$12</f>
        <v>2041</v>
      </c>
      <c r="E1448" s="366" t="s">
        <v>1741</v>
      </c>
      <c r="F1448" s="366" t="s">
        <v>43</v>
      </c>
      <c r="G1448" s="348" t="str">
        <f>"'"&amp;$C1448&amp;"'!$E$68:$Y$68"</f>
        <v>'BLD_CH'!$E$68:$Y$68</v>
      </c>
      <c r="H1448" s="381">
        <f ca="1">IF(IFERROR(INDEX(DATA_PROPERTY_MASTER!$E$5:$E$21,MATCH($C1448,DATA_PROPERTY_MASTER!$A$5:$A$21,0))="Yes",FALSE),IFERROR(INDEX(INDIRECT("'"&amp;$C1448&amp;"'!$E$68:$Y$68"),1,MATCH($D1448,INDIRECT("'"&amp;$C1448&amp;"'!$E$12:$Y$12"),0)),0),0)</f>
        <v>199463.11675967427</v>
      </c>
      <c r="I1448" s="366" t="s">
        <v>1731</v>
      </c>
      <c r="J1448" s="348" t="str">
        <f t="shared" ca="1" si="44"/>
        <v>OK</v>
      </c>
      <c r="K1448" s="366" t="s">
        <v>1746</v>
      </c>
      <c r="L1448" s="366" t="s">
        <v>2264</v>
      </c>
      <c r="M1448" s="350" t="str">
        <f>IF($B1448="Portfolio","Portfolio",IFERROR(INDEX(DATA_ASSET_CLASSIFICATION!$B$8:$B$24,MATCH($C1448,DATA_ASSET_CLASSIFICATION!$A$8:$A$24,0)),"Review"))</f>
        <v>Capilano House</v>
      </c>
      <c r="N1448" s="350" t="str">
        <f ca="1">IF($B1448="Portfolio","Portfolio",IFERROR(INDEX(DATA_ASSET_CLASSIFICATION!$U$8:$U$24,MATCH($C1448,DATA_ASSET_CLASSIFICATION!$A$8:$A$24,0)),"Review"))</f>
        <v>Stable</v>
      </c>
      <c r="O1448" s="350" t="str">
        <f ca="1">IF($B1448="Portfolio","Portfolio",IFERROR(INDEX(DATA_ASSET_CLASSIFICATION!$AB$8:$AB$13,MATCH($N1448,DATA_ASSET_CLASSIFICATION!$AA$8:$AA$13,0)),"Review"))</f>
        <v>Bucket 2 · Legacy</v>
      </c>
      <c r="P1448" s="350" t="str">
        <f>IF($B1448="Portfolio","Portfolio",IFERROR(INDEX(DATA_ASSET_CLASSIFICATION!$C$8:$C$24,MATCH($C1448,DATA_ASSET_CLASSIFICATION!$A$8:$A$24,0)),"Review"))</f>
        <v>Yes</v>
      </c>
      <c r="Q1448" s="350" t="str">
        <f t="shared" ca="1" si="45"/>
        <v>OK</v>
      </c>
    </row>
    <row r="1449" spans="1:17">
      <c r="A1449" s="366" t="s">
        <v>3405</v>
      </c>
      <c r="B1449" s="366" t="s">
        <v>231</v>
      </c>
      <c r="C1449" s="348" t="str">
        <f>DATA_PROPERTY_MASTER!$A$8</f>
        <v>BLD_CH</v>
      </c>
      <c r="D1449" s="380">
        <f>'00_PORTFOLIO ROLLUP'!U$12</f>
        <v>2041</v>
      </c>
      <c r="E1449" s="366" t="s">
        <v>1741</v>
      </c>
      <c r="F1449" s="366" t="s">
        <v>1749</v>
      </c>
      <c r="G1449" s="348" t="str">
        <f>"'"&amp;$C1449&amp;"'!rows 56, 63, 68"</f>
        <v>'BLD_CH'!rows 56, 63, 68</v>
      </c>
      <c r="H1449" s="381">
        <f ca="1">IF(IFERROR(INDEX(DATA_PROPERTY_MASTER!$E$5:$E$21,MATCH($C1449,DATA_PROPERTY_MASTER!$A$5:$A$21,0))="Yes",FALSE),(IFERROR(INDEX(INDIRECT("'"&amp;$C1449&amp;"'!$E$56:$Y$56"),1,MATCH($D1449,INDIRECT("'"&amp;$C1449&amp;"'!$E$12:$Y$12"),0)),0)+MAX(IFERROR(INDEX(INDIRECT("'"&amp;$C1449&amp;"'!$E$63:$Y$63"),1,MATCH($D1449,INDIRECT("'"&amp;$C1449&amp;"'!$E$12:$Y$12"),0)),0),0))-(IFERROR(INDEX(INDIRECT("'"&amp;$C1449&amp;"'!$E$68:$Y$68"),1,MATCH($D1449,INDIRECT("'"&amp;$C1449&amp;"'!$E$12:$Y$12"),0)),0)),0)</f>
        <v>0</v>
      </c>
      <c r="I1449" s="366" t="s">
        <v>1750</v>
      </c>
      <c r="J1449" s="348" t="str">
        <f t="shared" ca="1" si="44"/>
        <v>OK</v>
      </c>
      <c r="K1449" s="366" t="s">
        <v>1751</v>
      </c>
      <c r="L1449" s="366" t="s">
        <v>2266</v>
      </c>
      <c r="M1449" s="350" t="str">
        <f>IF($B1449="Portfolio","Portfolio",IFERROR(INDEX(DATA_ASSET_CLASSIFICATION!$B$8:$B$24,MATCH($C1449,DATA_ASSET_CLASSIFICATION!$A$8:$A$24,0)),"Review"))</f>
        <v>Capilano House</v>
      </c>
      <c r="N1449" s="350" t="str">
        <f ca="1">IF($B1449="Portfolio","Portfolio",IFERROR(INDEX(DATA_ASSET_CLASSIFICATION!$U$8:$U$24,MATCH($C1449,DATA_ASSET_CLASSIFICATION!$A$8:$A$24,0)),"Review"))</f>
        <v>Stable</v>
      </c>
      <c r="O1449" s="350" t="str">
        <f ca="1">IF($B1449="Portfolio","Portfolio",IFERROR(INDEX(DATA_ASSET_CLASSIFICATION!$AB$8:$AB$13,MATCH($N1449,DATA_ASSET_CLASSIFICATION!$AA$8:$AA$13,0)),"Review"))</f>
        <v>Bucket 2 · Legacy</v>
      </c>
      <c r="P1449" s="350" t="str">
        <f>IF($B1449="Portfolio","Portfolio",IFERROR(INDEX(DATA_ASSET_CLASSIFICATION!$C$8:$C$24,MATCH($C1449,DATA_ASSET_CLASSIFICATION!$A$8:$A$24,0)),"Review"))</f>
        <v>Yes</v>
      </c>
      <c r="Q1449" s="350" t="str">
        <f t="shared" ca="1" si="45"/>
        <v>OK</v>
      </c>
    </row>
    <row r="1450" spans="1:17">
      <c r="A1450" s="366" t="s">
        <v>3406</v>
      </c>
      <c r="B1450" s="366" t="s">
        <v>231</v>
      </c>
      <c r="C1450" s="348" t="str">
        <f>DATA_PROPERTY_MASTER!$A$9</f>
        <v>BLD_CC</v>
      </c>
      <c r="D1450" s="380">
        <f>'00_PORTFOLIO ROLLUP'!E$12</f>
        <v>2025</v>
      </c>
      <c r="E1450" s="366" t="s">
        <v>1683</v>
      </c>
      <c r="F1450" s="366" t="s">
        <v>341</v>
      </c>
      <c r="G1450" s="348" t="str">
        <f>"'"&amp;$C1450&amp;"'!$E$24:$Y$24"</f>
        <v>'BLD_CC'!$E$24:$Y$24</v>
      </c>
      <c r="H1450" s="381">
        <f ca="1">IF(IFERROR(INDEX(DATA_PROPERTY_MASTER!$E$5:$E$21,MATCH($C1450,DATA_PROPERTY_MASTER!$A$5:$A$21,0))="Yes",FALSE),IFERROR(INDEX(INDIRECT("'"&amp;$C1450&amp;"'!$E$24:$Y$24"),1,MATCH($D1450,INDIRECT("'"&amp;$C1450&amp;"'!$E$12:$Y$12"),0)),0),0)</f>
        <v>550019.33199999994</v>
      </c>
      <c r="I1450" s="366" t="s">
        <v>1685</v>
      </c>
      <c r="J1450" s="348" t="str">
        <f t="shared" ca="1" si="44"/>
        <v>OK</v>
      </c>
      <c r="K1450" s="366" t="s">
        <v>1686</v>
      </c>
      <c r="L1450" s="366" t="s">
        <v>2234</v>
      </c>
      <c r="M1450" s="350" t="str">
        <f>IF($B1450="Portfolio","Portfolio",IFERROR(INDEX(DATA_ASSET_CLASSIFICATION!$B$8:$B$24,MATCH($C1450,DATA_ASSET_CLASSIFICATION!$A$8:$A$24,0)),"Review"))</f>
        <v>Constance Court</v>
      </c>
      <c r="N1450" s="350" t="str">
        <f ca="1">IF($B1450="Portfolio","Portfolio",IFERROR(INDEX(DATA_ASSET_CLASSIFICATION!$U$8:$U$24,MATCH($C1450,DATA_ASSET_CLASSIFICATION!$A$8:$A$24,0)),"Review"))</f>
        <v>Refi Watch</v>
      </c>
      <c r="O1450" s="350" t="str">
        <f ca="1">IF($B1450="Portfolio","Portfolio",IFERROR(INDEX(DATA_ASSET_CLASSIFICATION!$AB$8:$AB$13,MATCH($N1450,DATA_ASSET_CLASSIFICATION!$AA$8:$AA$13,0)),"Review"))</f>
        <v>Bucket 2 · Legacy</v>
      </c>
      <c r="P1450" s="350" t="str">
        <f>IF($B1450="Portfolio","Portfolio",IFERROR(INDEX(DATA_ASSET_CLASSIFICATION!$C$8:$C$24,MATCH($C1450,DATA_ASSET_CLASSIFICATION!$A$8:$A$24,0)),"Review"))</f>
        <v>Yes</v>
      </c>
      <c r="Q1450" s="350" t="str">
        <f t="shared" ca="1" si="45"/>
        <v>OK</v>
      </c>
    </row>
    <row r="1451" spans="1:17">
      <c r="A1451" s="366" t="s">
        <v>3407</v>
      </c>
      <c r="B1451" s="366" t="s">
        <v>231</v>
      </c>
      <c r="C1451" s="348" t="str">
        <f>DATA_PROPERTY_MASTER!$A$9</f>
        <v>BLD_CC</v>
      </c>
      <c r="D1451" s="380">
        <f>'00_PORTFOLIO ROLLUP'!E$12</f>
        <v>2025</v>
      </c>
      <c r="E1451" s="366" t="s">
        <v>1683</v>
      </c>
      <c r="F1451" s="366" t="s">
        <v>355</v>
      </c>
      <c r="G1451" s="348" t="str">
        <f>"'"&amp;$C1451&amp;"'!$E$39:$Y$39"</f>
        <v>'BLD_CC'!$E$39:$Y$39</v>
      </c>
      <c r="H1451" s="381">
        <f ca="1">IF(IFERROR(INDEX(DATA_PROPERTY_MASTER!$E$5:$E$21,MATCH($C1451,DATA_PROPERTY_MASTER!$A$5:$A$21,0))="Yes",FALSE),IFERROR(INDEX(INDIRECT("'"&amp;$C1451&amp;"'!$E$39:$Y$39"),1,MATCH($D1451,INDIRECT("'"&amp;$C1451&amp;"'!$E$12:$Y$12"),0)),0),0)</f>
        <v>206703</v>
      </c>
      <c r="I1451" s="366" t="s">
        <v>1690</v>
      </c>
      <c r="J1451" s="348" t="str">
        <f t="shared" ca="1" si="44"/>
        <v>OK</v>
      </c>
      <c r="K1451" s="366" t="s">
        <v>1686</v>
      </c>
      <c r="L1451" s="366" t="s">
        <v>2236</v>
      </c>
      <c r="M1451" s="350" t="str">
        <f>IF($B1451="Portfolio","Portfolio",IFERROR(INDEX(DATA_ASSET_CLASSIFICATION!$B$8:$B$24,MATCH($C1451,DATA_ASSET_CLASSIFICATION!$A$8:$A$24,0)),"Review"))</f>
        <v>Constance Court</v>
      </c>
      <c r="N1451" s="350" t="str">
        <f ca="1">IF($B1451="Portfolio","Portfolio",IFERROR(INDEX(DATA_ASSET_CLASSIFICATION!$U$8:$U$24,MATCH($C1451,DATA_ASSET_CLASSIFICATION!$A$8:$A$24,0)),"Review"))</f>
        <v>Refi Watch</v>
      </c>
      <c r="O1451" s="350" t="str">
        <f ca="1">IF($B1451="Portfolio","Portfolio",IFERROR(INDEX(DATA_ASSET_CLASSIFICATION!$AB$8:$AB$13,MATCH($N1451,DATA_ASSET_CLASSIFICATION!$AA$8:$AA$13,0)),"Review"))</f>
        <v>Bucket 2 · Legacy</v>
      </c>
      <c r="P1451" s="350" t="str">
        <f>IF($B1451="Portfolio","Portfolio",IFERROR(INDEX(DATA_ASSET_CLASSIFICATION!$C$8:$C$24,MATCH($C1451,DATA_ASSET_CLASSIFICATION!$A$8:$A$24,0)),"Review"))</f>
        <v>Yes</v>
      </c>
      <c r="Q1451" s="350" t="str">
        <f t="shared" ca="1" si="45"/>
        <v>OK</v>
      </c>
    </row>
    <row r="1452" spans="1:17">
      <c r="A1452" s="366" t="s">
        <v>3408</v>
      </c>
      <c r="B1452" s="366" t="s">
        <v>231</v>
      </c>
      <c r="C1452" s="348" t="str">
        <f>DATA_PROPERTY_MASTER!$A$9</f>
        <v>BLD_CC</v>
      </c>
      <c r="D1452" s="380">
        <f>'00_PORTFOLIO ROLLUP'!E$12</f>
        <v>2025</v>
      </c>
      <c r="E1452" s="366" t="s">
        <v>1683</v>
      </c>
      <c r="F1452" s="366" t="s">
        <v>19</v>
      </c>
      <c r="G1452" s="348" t="str">
        <f>"'"&amp;$C1452&amp;"'!$E$41:$Y$41"</f>
        <v>'BLD_CC'!$E$41:$Y$41</v>
      </c>
      <c r="H1452" s="381">
        <f ca="1">IF(IFERROR(INDEX(DATA_PROPERTY_MASTER!$E$5:$E$21,MATCH($C1452,DATA_PROPERTY_MASTER!$A$5:$A$21,0))="Yes",FALSE),IFERROR(INDEX(INDIRECT("'"&amp;$C1452&amp;"'!$E$41:$Y$41"),1,MATCH($D1452,INDIRECT("'"&amp;$C1452&amp;"'!$E$12:$Y$12"),0)),0),0)</f>
        <v>343316.33199999994</v>
      </c>
      <c r="I1452" s="366" t="s">
        <v>1685</v>
      </c>
      <c r="J1452" s="348" t="str">
        <f t="shared" ca="1" si="44"/>
        <v>OK</v>
      </c>
      <c r="K1452" s="366" t="s">
        <v>1694</v>
      </c>
      <c r="L1452" s="366" t="s">
        <v>2238</v>
      </c>
      <c r="M1452" s="350" t="str">
        <f>IF($B1452="Portfolio","Portfolio",IFERROR(INDEX(DATA_ASSET_CLASSIFICATION!$B$8:$B$24,MATCH($C1452,DATA_ASSET_CLASSIFICATION!$A$8:$A$24,0)),"Review"))</f>
        <v>Constance Court</v>
      </c>
      <c r="N1452" s="350" t="str">
        <f ca="1">IF($B1452="Portfolio","Portfolio",IFERROR(INDEX(DATA_ASSET_CLASSIFICATION!$U$8:$U$24,MATCH($C1452,DATA_ASSET_CLASSIFICATION!$A$8:$A$24,0)),"Review"))</f>
        <v>Refi Watch</v>
      </c>
      <c r="O1452" s="350" t="str">
        <f ca="1">IF($B1452="Portfolio","Portfolio",IFERROR(INDEX(DATA_ASSET_CLASSIFICATION!$AB$8:$AB$13,MATCH($N1452,DATA_ASSET_CLASSIFICATION!$AA$8:$AA$13,0)),"Review"))</f>
        <v>Bucket 2 · Legacy</v>
      </c>
      <c r="P1452" s="350" t="str">
        <f>IF($B1452="Portfolio","Portfolio",IFERROR(INDEX(DATA_ASSET_CLASSIFICATION!$C$8:$C$24,MATCH($C1452,DATA_ASSET_CLASSIFICATION!$A$8:$A$24,0)),"Review"))</f>
        <v>Yes</v>
      </c>
      <c r="Q1452" s="350" t="str">
        <f t="shared" ca="1" si="45"/>
        <v>OK</v>
      </c>
    </row>
    <row r="1453" spans="1:17">
      <c r="A1453" s="366" t="s">
        <v>3409</v>
      </c>
      <c r="B1453" s="366" t="s">
        <v>231</v>
      </c>
      <c r="C1453" s="348" t="str">
        <f>DATA_PROPERTY_MASTER!$A$9</f>
        <v>BLD_CC</v>
      </c>
      <c r="D1453" s="380">
        <f>'00_PORTFOLIO ROLLUP'!E$12</f>
        <v>2025</v>
      </c>
      <c r="E1453" s="366" t="s">
        <v>1683</v>
      </c>
      <c r="F1453" s="366" t="s">
        <v>1697</v>
      </c>
      <c r="G1453" s="348" t="str">
        <f>"'"&amp;$C1453&amp;"'!$E$44:$Y$44"</f>
        <v>'BLD_CC'!$E$44:$Y$44</v>
      </c>
      <c r="H1453" s="381">
        <f ca="1">IF(IFERROR(INDEX(DATA_PROPERTY_MASTER!$E$5:$E$21,MATCH($C1453,DATA_PROPERTY_MASTER!$A$5:$A$21,0))="Yes",FALSE),IFERROR(INDEX(INDIRECT("'"&amp;$C1453&amp;"'!$E$44:$Y$44"),1,MATCH($D1453,INDIRECT("'"&amp;$C1453&amp;"'!$E$12:$Y$12"),0)),0),0)</f>
        <v>5100</v>
      </c>
      <c r="I1453" s="366" t="s">
        <v>1690</v>
      </c>
      <c r="J1453" s="348" t="str">
        <f t="shared" ca="1" si="44"/>
        <v>OK</v>
      </c>
      <c r="K1453" s="366" t="s">
        <v>1699</v>
      </c>
      <c r="L1453" s="366" t="s">
        <v>2240</v>
      </c>
      <c r="M1453" s="350" t="str">
        <f>IF($B1453="Portfolio","Portfolio",IFERROR(INDEX(DATA_ASSET_CLASSIFICATION!$B$8:$B$24,MATCH($C1453,DATA_ASSET_CLASSIFICATION!$A$8:$A$24,0)),"Review"))</f>
        <v>Constance Court</v>
      </c>
      <c r="N1453" s="350" t="str">
        <f ca="1">IF($B1453="Portfolio","Portfolio",IFERROR(INDEX(DATA_ASSET_CLASSIFICATION!$U$8:$U$24,MATCH($C1453,DATA_ASSET_CLASSIFICATION!$A$8:$A$24,0)),"Review"))</f>
        <v>Refi Watch</v>
      </c>
      <c r="O1453" s="350" t="str">
        <f ca="1">IF($B1453="Portfolio","Portfolio",IFERROR(INDEX(DATA_ASSET_CLASSIFICATION!$AB$8:$AB$13,MATCH($N1453,DATA_ASSET_CLASSIFICATION!$AA$8:$AA$13,0)),"Review"))</f>
        <v>Bucket 2 · Legacy</v>
      </c>
      <c r="P1453" s="350" t="str">
        <f>IF($B1453="Portfolio","Portfolio",IFERROR(INDEX(DATA_ASSET_CLASSIFICATION!$C$8:$C$24,MATCH($C1453,DATA_ASSET_CLASSIFICATION!$A$8:$A$24,0)),"Review"))</f>
        <v>Yes</v>
      </c>
      <c r="Q1453" s="350" t="str">
        <f t="shared" ca="1" si="45"/>
        <v>OK</v>
      </c>
    </row>
    <row r="1454" spans="1:17">
      <c r="A1454" s="366" t="s">
        <v>3410</v>
      </c>
      <c r="B1454" s="366" t="s">
        <v>231</v>
      </c>
      <c r="C1454" s="348" t="str">
        <f>DATA_PROPERTY_MASTER!$A$9</f>
        <v>BLD_CC</v>
      </c>
      <c r="D1454" s="380">
        <f>'00_PORTFOLIO ROLLUP'!E$12</f>
        <v>2025</v>
      </c>
      <c r="E1454" s="366" t="s">
        <v>1683</v>
      </c>
      <c r="F1454" s="366" t="s">
        <v>21</v>
      </c>
      <c r="G1454" s="348" t="str">
        <f>"'"&amp;$C1454&amp;"'!$E$45:$Y$45"</f>
        <v>'BLD_CC'!$E$45:$Y$45</v>
      </c>
      <c r="H1454" s="381">
        <f ca="1">IF(IFERROR(INDEX(DATA_PROPERTY_MASTER!$E$5:$E$21,MATCH($C1454,DATA_PROPERTY_MASTER!$A$5:$A$21,0))="Yes",FALSE),IFERROR(INDEX(INDIRECT("'"&amp;$C1454&amp;"'!$E$45:$Y$45"),1,MATCH($D1454,INDIRECT("'"&amp;$C1454&amp;"'!$E$12:$Y$12"),0)),0),0)</f>
        <v>338216.33199999994</v>
      </c>
      <c r="I1454" s="366" t="s">
        <v>1685</v>
      </c>
      <c r="J1454" s="348" t="str">
        <f t="shared" ca="1" si="44"/>
        <v>OK</v>
      </c>
      <c r="K1454" s="366" t="s">
        <v>1694</v>
      </c>
      <c r="L1454" s="366" t="s">
        <v>2242</v>
      </c>
      <c r="M1454" s="350" t="str">
        <f>IF($B1454="Portfolio","Portfolio",IFERROR(INDEX(DATA_ASSET_CLASSIFICATION!$B$8:$B$24,MATCH($C1454,DATA_ASSET_CLASSIFICATION!$A$8:$A$24,0)),"Review"))</f>
        <v>Constance Court</v>
      </c>
      <c r="N1454" s="350" t="str">
        <f ca="1">IF($B1454="Portfolio","Portfolio",IFERROR(INDEX(DATA_ASSET_CLASSIFICATION!$U$8:$U$24,MATCH($C1454,DATA_ASSET_CLASSIFICATION!$A$8:$A$24,0)),"Review"))</f>
        <v>Refi Watch</v>
      </c>
      <c r="O1454" s="350" t="str">
        <f ca="1">IF($B1454="Portfolio","Portfolio",IFERROR(INDEX(DATA_ASSET_CLASSIFICATION!$AB$8:$AB$13,MATCH($N1454,DATA_ASSET_CLASSIFICATION!$AA$8:$AA$13,0)),"Review"))</f>
        <v>Bucket 2 · Legacy</v>
      </c>
      <c r="P1454" s="350" t="str">
        <f>IF($B1454="Portfolio","Portfolio",IFERROR(INDEX(DATA_ASSET_CLASSIFICATION!$C$8:$C$24,MATCH($C1454,DATA_ASSET_CLASSIFICATION!$A$8:$A$24,0)),"Review"))</f>
        <v>Yes</v>
      </c>
      <c r="Q1454" s="350" t="str">
        <f t="shared" ca="1" si="45"/>
        <v>OK</v>
      </c>
    </row>
    <row r="1455" spans="1:17">
      <c r="A1455" s="366" t="s">
        <v>3411</v>
      </c>
      <c r="B1455" s="366" t="s">
        <v>231</v>
      </c>
      <c r="C1455" s="348" t="str">
        <f>DATA_PROPERTY_MASTER!$A$9</f>
        <v>BLD_CC</v>
      </c>
      <c r="D1455" s="380">
        <f>'00_PORTFOLIO ROLLUP'!E$12</f>
        <v>2025</v>
      </c>
      <c r="E1455" s="366" t="s">
        <v>23</v>
      </c>
      <c r="F1455" s="366" t="s">
        <v>23</v>
      </c>
      <c r="G1455" s="348" t="str">
        <f>"'"&amp;$C1455&amp;"'!$E$48:$Y$48"</f>
        <v>'BLD_CC'!$E$48:$Y$48</v>
      </c>
      <c r="H1455" s="381">
        <f ca="1">IF(IFERROR(INDEX(DATA_PROPERTY_MASTER!$E$5:$E$21,MATCH($C1455,DATA_PROPERTY_MASTER!$A$5:$A$21,0))="Yes",FALSE),IFERROR(INDEX(INDIRECT("'"&amp;$C1455&amp;"'!$E$48:$Y$48"),1,MATCH($D1455,INDIRECT("'"&amp;$C1455&amp;"'!$E$12:$Y$12"),0)),0),0)</f>
        <v>178507.8</v>
      </c>
      <c r="I1455" s="366" t="s">
        <v>1690</v>
      </c>
      <c r="J1455" s="348" t="str">
        <f t="shared" ca="1" si="44"/>
        <v>OK</v>
      </c>
      <c r="K1455" s="366" t="s">
        <v>1706</v>
      </c>
      <c r="L1455" s="366" t="s">
        <v>2244</v>
      </c>
      <c r="M1455" s="350" t="str">
        <f>IF($B1455="Portfolio","Portfolio",IFERROR(INDEX(DATA_ASSET_CLASSIFICATION!$B$8:$B$24,MATCH($C1455,DATA_ASSET_CLASSIFICATION!$A$8:$A$24,0)),"Review"))</f>
        <v>Constance Court</v>
      </c>
      <c r="N1455" s="350" t="str">
        <f ca="1">IF($B1455="Portfolio","Portfolio",IFERROR(INDEX(DATA_ASSET_CLASSIFICATION!$U$8:$U$24,MATCH($C1455,DATA_ASSET_CLASSIFICATION!$A$8:$A$24,0)),"Review"))</f>
        <v>Refi Watch</v>
      </c>
      <c r="O1455" s="350" t="str">
        <f ca="1">IF($B1455="Portfolio","Portfolio",IFERROR(INDEX(DATA_ASSET_CLASSIFICATION!$AB$8:$AB$13,MATCH($N1455,DATA_ASSET_CLASSIFICATION!$AA$8:$AA$13,0)),"Review"))</f>
        <v>Bucket 2 · Legacy</v>
      </c>
      <c r="P1455" s="350" t="str">
        <f>IF($B1455="Portfolio","Portfolio",IFERROR(INDEX(DATA_ASSET_CLASSIFICATION!$C$8:$C$24,MATCH($C1455,DATA_ASSET_CLASSIFICATION!$A$8:$A$24,0)),"Review"))</f>
        <v>Yes</v>
      </c>
      <c r="Q1455" s="350" t="str">
        <f t="shared" ca="1" si="45"/>
        <v>OK</v>
      </c>
    </row>
    <row r="1456" spans="1:17">
      <c r="A1456" s="366" t="s">
        <v>3412</v>
      </c>
      <c r="B1456" s="366" t="s">
        <v>231</v>
      </c>
      <c r="C1456" s="348" t="str">
        <f>DATA_PROPERTY_MASTER!$A$9</f>
        <v>BLD_CC</v>
      </c>
      <c r="D1456" s="380">
        <f>'00_PORTFOLIO ROLLUP'!E$12</f>
        <v>2025</v>
      </c>
      <c r="E1456" s="366" t="s">
        <v>1683</v>
      </c>
      <c r="F1456" s="366" t="s">
        <v>25</v>
      </c>
      <c r="G1456" s="348" t="str">
        <f>"'"&amp;$C1456&amp;"'!$E$52:$Y$52"</f>
        <v>'BLD_CC'!$E$52:$Y$52</v>
      </c>
      <c r="H1456" s="381">
        <f ca="1">IF(IFERROR(INDEX(DATA_PROPERTY_MASTER!$E$5:$E$21,MATCH($C1456,DATA_PROPERTY_MASTER!$A$5:$A$21,0))="Yes",FALSE),IFERROR(INDEX(INDIRECT("'"&amp;$C1456&amp;"'!$E$52:$Y$52"),1,MATCH($D1456,INDIRECT("'"&amp;$C1456&amp;"'!$E$12:$Y$12"),0)),0),0)</f>
        <v>164808.53199999995</v>
      </c>
      <c r="I1456" s="366" t="s">
        <v>1685</v>
      </c>
      <c r="J1456" s="348" t="str">
        <f t="shared" ca="1" si="44"/>
        <v>OK</v>
      </c>
      <c r="K1456" s="366" t="s">
        <v>1710</v>
      </c>
      <c r="L1456" s="366" t="s">
        <v>2246</v>
      </c>
      <c r="M1456" s="350" t="str">
        <f>IF($B1456="Portfolio","Portfolio",IFERROR(INDEX(DATA_ASSET_CLASSIFICATION!$B$8:$B$24,MATCH($C1456,DATA_ASSET_CLASSIFICATION!$A$8:$A$24,0)),"Review"))</f>
        <v>Constance Court</v>
      </c>
      <c r="N1456" s="350" t="str">
        <f ca="1">IF($B1456="Portfolio","Portfolio",IFERROR(INDEX(DATA_ASSET_CLASSIFICATION!$U$8:$U$24,MATCH($C1456,DATA_ASSET_CLASSIFICATION!$A$8:$A$24,0)),"Review"))</f>
        <v>Refi Watch</v>
      </c>
      <c r="O1456" s="350" t="str">
        <f ca="1">IF($B1456="Portfolio","Portfolio",IFERROR(INDEX(DATA_ASSET_CLASSIFICATION!$AB$8:$AB$13,MATCH($N1456,DATA_ASSET_CLASSIFICATION!$AA$8:$AA$13,0)),"Review"))</f>
        <v>Bucket 2 · Legacy</v>
      </c>
      <c r="P1456" s="350" t="str">
        <f>IF($B1456="Portfolio","Portfolio",IFERROR(INDEX(DATA_ASSET_CLASSIFICATION!$C$8:$C$24,MATCH($C1456,DATA_ASSET_CLASSIFICATION!$A$8:$A$24,0)),"Review"))</f>
        <v>Yes</v>
      </c>
      <c r="Q1456" s="350" t="str">
        <f t="shared" ca="1" si="45"/>
        <v>OK</v>
      </c>
    </row>
    <row r="1457" spans="1:17">
      <c r="A1457" s="366" t="s">
        <v>3413</v>
      </c>
      <c r="B1457" s="366" t="s">
        <v>231</v>
      </c>
      <c r="C1457" s="348" t="str">
        <f>DATA_PROPERTY_MASTER!$A$9</f>
        <v>BLD_CC</v>
      </c>
      <c r="D1457" s="380">
        <f>'00_PORTFOLIO ROLLUP'!E$12</f>
        <v>2025</v>
      </c>
      <c r="E1457" s="366" t="s">
        <v>1683</v>
      </c>
      <c r="F1457" s="366" t="s">
        <v>27</v>
      </c>
      <c r="G1457" s="348" t="str">
        <f>"'"&amp;$C1457&amp;"'!$E$54:$Y$54"</f>
        <v>'BLD_CC'!$E$54:$Y$54</v>
      </c>
      <c r="H1457" s="381">
        <f ca="1">IF(IFERROR(INDEX(DATA_PROPERTY_MASTER!$E$5:$E$21,MATCH($C1457,DATA_PROPERTY_MASTER!$A$5:$A$21,0))="Yes",FALSE),IFERROR(INDEX(INDIRECT("'"&amp;$C1457&amp;"'!$E$54:$Y$54"),1,MATCH($D1457,INDIRECT("'"&amp;$C1457&amp;"'!$E$12:$Y$12"),0)),0),0)</f>
        <v>98885.119199999972</v>
      </c>
      <c r="I1457" s="366" t="s">
        <v>1690</v>
      </c>
      <c r="J1457" s="348" t="str">
        <f t="shared" ca="1" si="44"/>
        <v>OK</v>
      </c>
      <c r="K1457" s="366" t="s">
        <v>1714</v>
      </c>
      <c r="L1457" s="366" t="s">
        <v>2248</v>
      </c>
      <c r="M1457" s="350" t="str">
        <f>IF($B1457="Portfolio","Portfolio",IFERROR(INDEX(DATA_ASSET_CLASSIFICATION!$B$8:$B$24,MATCH($C1457,DATA_ASSET_CLASSIFICATION!$A$8:$A$24,0)),"Review"))</f>
        <v>Constance Court</v>
      </c>
      <c r="N1457" s="350" t="str">
        <f ca="1">IF($B1457="Portfolio","Portfolio",IFERROR(INDEX(DATA_ASSET_CLASSIFICATION!$U$8:$U$24,MATCH($C1457,DATA_ASSET_CLASSIFICATION!$A$8:$A$24,0)),"Review"))</f>
        <v>Refi Watch</v>
      </c>
      <c r="O1457" s="350" t="str">
        <f ca="1">IF($B1457="Portfolio","Portfolio",IFERROR(INDEX(DATA_ASSET_CLASSIFICATION!$AB$8:$AB$13,MATCH($N1457,DATA_ASSET_CLASSIFICATION!$AA$8:$AA$13,0)),"Review"))</f>
        <v>Bucket 2 · Legacy</v>
      </c>
      <c r="P1457" s="350" t="str">
        <f>IF($B1457="Portfolio","Portfolio",IFERROR(INDEX(DATA_ASSET_CLASSIFICATION!$C$8:$C$24,MATCH($C1457,DATA_ASSET_CLASSIFICATION!$A$8:$A$24,0)),"Review"))</f>
        <v>Yes</v>
      </c>
      <c r="Q1457" s="350" t="str">
        <f t="shared" ca="1" si="45"/>
        <v>OK</v>
      </c>
    </row>
    <row r="1458" spans="1:17">
      <c r="A1458" s="366" t="s">
        <v>3414</v>
      </c>
      <c r="B1458" s="366" t="s">
        <v>231</v>
      </c>
      <c r="C1458" s="348" t="str">
        <f>DATA_PROPERTY_MASTER!$A$9</f>
        <v>BLD_CC</v>
      </c>
      <c r="D1458" s="380">
        <f>'00_PORTFOLIO ROLLUP'!E$12</f>
        <v>2025</v>
      </c>
      <c r="E1458" s="366" t="s">
        <v>1683</v>
      </c>
      <c r="F1458" s="366" t="s">
        <v>29</v>
      </c>
      <c r="G1458" s="348" t="str">
        <f>"'"&amp;$C1458&amp;"'!$E$56:$Y$56"</f>
        <v>'BLD_CC'!$E$56:$Y$56</v>
      </c>
      <c r="H1458" s="381">
        <f ca="1">IF(IFERROR(INDEX(DATA_PROPERTY_MASTER!$E$5:$E$21,MATCH($C1458,DATA_PROPERTY_MASTER!$A$5:$A$21,0))="Yes",FALSE),IFERROR(INDEX(INDIRECT("'"&amp;$C1458&amp;"'!$E$56:$Y$56"),1,MATCH($D1458,INDIRECT("'"&amp;$C1458&amp;"'!$E$12:$Y$12"),0)),0),0)</f>
        <v>65923.412799999976</v>
      </c>
      <c r="I1458" s="366" t="s">
        <v>1685</v>
      </c>
      <c r="J1458" s="348" t="str">
        <f t="shared" ca="1" si="44"/>
        <v>OK</v>
      </c>
      <c r="K1458" s="366" t="s">
        <v>1718</v>
      </c>
      <c r="L1458" s="366" t="s">
        <v>2250</v>
      </c>
      <c r="M1458" s="350" t="str">
        <f>IF($B1458="Portfolio","Portfolio",IFERROR(INDEX(DATA_ASSET_CLASSIFICATION!$B$8:$B$24,MATCH($C1458,DATA_ASSET_CLASSIFICATION!$A$8:$A$24,0)),"Review"))</f>
        <v>Constance Court</v>
      </c>
      <c r="N1458" s="350" t="str">
        <f ca="1">IF($B1458="Portfolio","Portfolio",IFERROR(INDEX(DATA_ASSET_CLASSIFICATION!$U$8:$U$24,MATCH($C1458,DATA_ASSET_CLASSIFICATION!$A$8:$A$24,0)),"Review"))</f>
        <v>Refi Watch</v>
      </c>
      <c r="O1458" s="350" t="str">
        <f ca="1">IF($B1458="Portfolio","Portfolio",IFERROR(INDEX(DATA_ASSET_CLASSIFICATION!$AB$8:$AB$13,MATCH($N1458,DATA_ASSET_CLASSIFICATION!$AA$8:$AA$13,0)),"Review"))</f>
        <v>Bucket 2 · Legacy</v>
      </c>
      <c r="P1458" s="350" t="str">
        <f>IF($B1458="Portfolio","Portfolio",IFERROR(INDEX(DATA_ASSET_CLASSIFICATION!$C$8:$C$24,MATCH($C1458,DATA_ASSET_CLASSIFICATION!$A$8:$A$24,0)),"Review"))</f>
        <v>Yes</v>
      </c>
      <c r="Q1458" s="350" t="str">
        <f t="shared" ca="1" si="45"/>
        <v>OK</v>
      </c>
    </row>
    <row r="1459" spans="1:17">
      <c r="A1459" s="366" t="s">
        <v>3415</v>
      </c>
      <c r="B1459" s="366" t="s">
        <v>231</v>
      </c>
      <c r="C1459" s="348" t="str">
        <f>DATA_PROPERTY_MASTER!$A$9</f>
        <v>BLD_CC</v>
      </c>
      <c r="D1459" s="380">
        <f>'00_PORTFOLIO ROLLUP'!E$12</f>
        <v>2025</v>
      </c>
      <c r="E1459" s="366" t="s">
        <v>1721</v>
      </c>
      <c r="F1459" s="366" t="s">
        <v>31</v>
      </c>
      <c r="G1459" s="348" t="str">
        <f>"'"&amp;$C1459&amp;"'!$E$61:$Y$61"</f>
        <v>'BLD_CC'!$E$61:$Y$61</v>
      </c>
      <c r="H1459" s="381">
        <f ca="1">IF(IFERROR(INDEX(DATA_PROPERTY_MASTER!$E$5:$E$21,MATCH($C1459,DATA_PROPERTY_MASTER!$A$5:$A$21,0))="Yes",FALSE),IFERROR(INDEX(INDIRECT("'"&amp;$C1459&amp;"'!$E$61:$Y$61"),1,MATCH($D1459,INDIRECT("'"&amp;$C1459&amp;"'!$E$12:$Y$12"),0)),0),0)</f>
        <v>0</v>
      </c>
      <c r="I1459" s="366" t="s">
        <v>1690</v>
      </c>
      <c r="J1459" s="348" t="str">
        <f t="shared" ca="1" si="44"/>
        <v>OK</v>
      </c>
      <c r="K1459" s="366" t="s">
        <v>1723</v>
      </c>
      <c r="L1459" s="366" t="s">
        <v>2252</v>
      </c>
      <c r="M1459" s="350" t="str">
        <f>IF($B1459="Portfolio","Portfolio",IFERROR(INDEX(DATA_ASSET_CLASSIFICATION!$B$8:$B$24,MATCH($C1459,DATA_ASSET_CLASSIFICATION!$A$8:$A$24,0)),"Review"))</f>
        <v>Constance Court</v>
      </c>
      <c r="N1459" s="350" t="str">
        <f ca="1">IF($B1459="Portfolio","Portfolio",IFERROR(INDEX(DATA_ASSET_CLASSIFICATION!$U$8:$U$24,MATCH($C1459,DATA_ASSET_CLASSIFICATION!$A$8:$A$24,0)),"Review"))</f>
        <v>Refi Watch</v>
      </c>
      <c r="O1459" s="350" t="str">
        <f ca="1">IF($B1459="Portfolio","Portfolio",IFERROR(INDEX(DATA_ASSET_CLASSIFICATION!$AB$8:$AB$13,MATCH($N1459,DATA_ASSET_CLASSIFICATION!$AA$8:$AA$13,0)),"Review"))</f>
        <v>Bucket 2 · Legacy</v>
      </c>
      <c r="P1459" s="350" t="str">
        <f>IF($B1459="Portfolio","Portfolio",IFERROR(INDEX(DATA_ASSET_CLASSIFICATION!$C$8:$C$24,MATCH($C1459,DATA_ASSET_CLASSIFICATION!$A$8:$A$24,0)),"Review"))</f>
        <v>Yes</v>
      </c>
      <c r="Q1459" s="350" t="str">
        <f t="shared" ca="1" si="45"/>
        <v>OK</v>
      </c>
    </row>
    <row r="1460" spans="1:17">
      <c r="A1460" s="366" t="s">
        <v>3416</v>
      </c>
      <c r="B1460" s="366" t="s">
        <v>231</v>
      </c>
      <c r="C1460" s="348" t="str">
        <f>DATA_PROPERTY_MASTER!$A$9</f>
        <v>BLD_CC</v>
      </c>
      <c r="D1460" s="380">
        <f>'00_PORTFOLIO ROLLUP'!E$12</f>
        <v>2025</v>
      </c>
      <c r="E1460" s="366" t="s">
        <v>1721</v>
      </c>
      <c r="F1460" s="366" t="s">
        <v>33</v>
      </c>
      <c r="G1460" s="348" t="str">
        <f>"'"&amp;$C1460&amp;"'!$E$62:$Y$62"</f>
        <v>'BLD_CC'!$E$62:$Y$62</v>
      </c>
      <c r="H1460" s="381">
        <f ca="1">IF(IFERROR(INDEX(DATA_PROPERTY_MASTER!$E$5:$E$21,MATCH($C1460,DATA_PROPERTY_MASTER!$A$5:$A$21,0))="Yes",FALSE),IFERROR(INDEX(INDIRECT("'"&amp;$C1460&amp;"'!$E$62:$Y$62"),1,MATCH($D1460,INDIRECT("'"&amp;$C1460&amp;"'!$E$12:$Y$12"),0)),0),0)</f>
        <v>0</v>
      </c>
      <c r="I1460" s="366" t="s">
        <v>1685</v>
      </c>
      <c r="J1460" s="348" t="str">
        <f t="shared" ca="1" si="44"/>
        <v>OK</v>
      </c>
      <c r="K1460" s="366" t="s">
        <v>1727</v>
      </c>
      <c r="L1460" s="366" t="s">
        <v>2254</v>
      </c>
      <c r="M1460" s="350" t="str">
        <f>IF($B1460="Portfolio","Portfolio",IFERROR(INDEX(DATA_ASSET_CLASSIFICATION!$B$8:$B$24,MATCH($C1460,DATA_ASSET_CLASSIFICATION!$A$8:$A$24,0)),"Review"))</f>
        <v>Constance Court</v>
      </c>
      <c r="N1460" s="350" t="str">
        <f ca="1">IF($B1460="Portfolio","Portfolio",IFERROR(INDEX(DATA_ASSET_CLASSIFICATION!$U$8:$U$24,MATCH($C1460,DATA_ASSET_CLASSIFICATION!$A$8:$A$24,0)),"Review"))</f>
        <v>Refi Watch</v>
      </c>
      <c r="O1460" s="350" t="str">
        <f ca="1">IF($B1460="Portfolio","Portfolio",IFERROR(INDEX(DATA_ASSET_CLASSIFICATION!$AB$8:$AB$13,MATCH($N1460,DATA_ASSET_CLASSIFICATION!$AA$8:$AA$13,0)),"Review"))</f>
        <v>Bucket 2 · Legacy</v>
      </c>
      <c r="P1460" s="350" t="str">
        <f>IF($B1460="Portfolio","Portfolio",IFERROR(INDEX(DATA_ASSET_CLASSIFICATION!$C$8:$C$24,MATCH($C1460,DATA_ASSET_CLASSIFICATION!$A$8:$A$24,0)),"Review"))</f>
        <v>Yes</v>
      </c>
      <c r="Q1460" s="350" t="str">
        <f t="shared" ca="1" si="45"/>
        <v>OK</v>
      </c>
    </row>
    <row r="1461" spans="1:17">
      <c r="A1461" s="366" t="s">
        <v>3417</v>
      </c>
      <c r="B1461" s="366" t="s">
        <v>231</v>
      </c>
      <c r="C1461" s="348" t="str">
        <f>DATA_PROPERTY_MASTER!$A$9</f>
        <v>BLD_CC</v>
      </c>
      <c r="D1461" s="380">
        <f>'00_PORTFOLIO ROLLUP'!E$12</f>
        <v>2025</v>
      </c>
      <c r="E1461" s="366" t="s">
        <v>1721</v>
      </c>
      <c r="F1461" s="366" t="s">
        <v>35</v>
      </c>
      <c r="G1461" s="348" t="str">
        <f>"'"&amp;$C1461&amp;"'!$E$63:$Y$63"</f>
        <v>'BLD_CC'!$E$63:$Y$63</v>
      </c>
      <c r="H1461" s="381">
        <f ca="1">IF(IFERROR(INDEX(DATA_PROPERTY_MASTER!$E$5:$E$21,MATCH($C1461,DATA_PROPERTY_MASTER!$A$5:$A$21,0))="Yes",FALSE),IFERROR(INDEX(INDIRECT("'"&amp;$C1461&amp;"'!$E$63:$Y$63"),1,MATCH($D1461,INDIRECT("'"&amp;$C1461&amp;"'!$E$12:$Y$12"),0)),0),0)</f>
        <v>0</v>
      </c>
      <c r="I1461" s="366" t="s">
        <v>1731</v>
      </c>
      <c r="J1461" s="348" t="str">
        <f t="shared" ca="1" si="44"/>
        <v>OK</v>
      </c>
      <c r="K1461" s="366" t="s">
        <v>1732</v>
      </c>
      <c r="L1461" s="366" t="s">
        <v>2256</v>
      </c>
      <c r="M1461" s="350" t="str">
        <f>IF($B1461="Portfolio","Portfolio",IFERROR(INDEX(DATA_ASSET_CLASSIFICATION!$B$8:$B$24,MATCH($C1461,DATA_ASSET_CLASSIFICATION!$A$8:$A$24,0)),"Review"))</f>
        <v>Constance Court</v>
      </c>
      <c r="N1461" s="350" t="str">
        <f ca="1">IF($B1461="Portfolio","Portfolio",IFERROR(INDEX(DATA_ASSET_CLASSIFICATION!$U$8:$U$24,MATCH($C1461,DATA_ASSET_CLASSIFICATION!$A$8:$A$24,0)),"Review"))</f>
        <v>Refi Watch</v>
      </c>
      <c r="O1461" s="350" t="str">
        <f ca="1">IF($B1461="Portfolio","Portfolio",IFERROR(INDEX(DATA_ASSET_CLASSIFICATION!$AB$8:$AB$13,MATCH($N1461,DATA_ASSET_CLASSIFICATION!$AA$8:$AA$13,0)),"Review"))</f>
        <v>Bucket 2 · Legacy</v>
      </c>
      <c r="P1461" s="350" t="str">
        <f>IF($B1461="Portfolio","Portfolio",IFERROR(INDEX(DATA_ASSET_CLASSIFICATION!$C$8:$C$24,MATCH($C1461,DATA_ASSET_CLASSIFICATION!$A$8:$A$24,0)),"Review"))</f>
        <v>Yes</v>
      </c>
      <c r="Q1461" s="350" t="str">
        <f t="shared" ca="1" si="45"/>
        <v>OK</v>
      </c>
    </row>
    <row r="1462" spans="1:17">
      <c r="A1462" s="366" t="s">
        <v>3418</v>
      </c>
      <c r="B1462" s="366" t="s">
        <v>231</v>
      </c>
      <c r="C1462" s="348" t="str">
        <f>DATA_PROPERTY_MASTER!$A$9</f>
        <v>BLD_CC</v>
      </c>
      <c r="D1462" s="380">
        <f>'00_PORTFOLIO ROLLUP'!E$12</f>
        <v>2025</v>
      </c>
      <c r="E1462" s="366" t="s">
        <v>1721</v>
      </c>
      <c r="F1462" s="366" t="s">
        <v>37</v>
      </c>
      <c r="G1462" s="348" t="str">
        <f>"'"&amp;$C1462&amp;"'!$E$63:$Y$63"</f>
        <v>'BLD_CC'!$E$63:$Y$63</v>
      </c>
      <c r="H1462" s="381">
        <f ca="1">IF(IFERROR(INDEX(DATA_PROPERTY_MASTER!$E$5:$E$21,MATCH($C1462,DATA_PROPERTY_MASTER!$A$5:$A$21,0))="Yes",FALSE),MAX(IFERROR(INDEX(INDIRECT("'"&amp;$C1462&amp;"'!$E$63:$Y$63"),1,MATCH($D1462,INDIRECT("'"&amp;$C1462&amp;"'!$E$12:$Y$12"),0)),0),0),0)</f>
        <v>0</v>
      </c>
      <c r="I1462" s="366" t="s">
        <v>1685</v>
      </c>
      <c r="J1462" s="348" t="str">
        <f t="shared" ca="1" si="44"/>
        <v>OK</v>
      </c>
      <c r="K1462" s="366" t="s">
        <v>1735</v>
      </c>
      <c r="L1462" s="366" t="s">
        <v>2258</v>
      </c>
      <c r="M1462" s="350" t="str">
        <f>IF($B1462="Portfolio","Portfolio",IFERROR(INDEX(DATA_ASSET_CLASSIFICATION!$B$8:$B$24,MATCH($C1462,DATA_ASSET_CLASSIFICATION!$A$8:$A$24,0)),"Review"))</f>
        <v>Constance Court</v>
      </c>
      <c r="N1462" s="350" t="str">
        <f ca="1">IF($B1462="Portfolio","Portfolio",IFERROR(INDEX(DATA_ASSET_CLASSIFICATION!$U$8:$U$24,MATCH($C1462,DATA_ASSET_CLASSIFICATION!$A$8:$A$24,0)),"Review"))</f>
        <v>Refi Watch</v>
      </c>
      <c r="O1462" s="350" t="str">
        <f ca="1">IF($B1462="Portfolio","Portfolio",IFERROR(INDEX(DATA_ASSET_CLASSIFICATION!$AB$8:$AB$13,MATCH($N1462,DATA_ASSET_CLASSIFICATION!$AA$8:$AA$13,0)),"Review"))</f>
        <v>Bucket 2 · Legacy</v>
      </c>
      <c r="P1462" s="350" t="str">
        <f>IF($B1462="Portfolio","Portfolio",IFERROR(INDEX(DATA_ASSET_CLASSIFICATION!$C$8:$C$24,MATCH($C1462,DATA_ASSET_CLASSIFICATION!$A$8:$A$24,0)),"Review"))</f>
        <v>Yes</v>
      </c>
      <c r="Q1462" s="350" t="str">
        <f t="shared" ca="1" si="45"/>
        <v>OK</v>
      </c>
    </row>
    <row r="1463" spans="1:17">
      <c r="A1463" s="366" t="s">
        <v>3419</v>
      </c>
      <c r="B1463" s="366" t="s">
        <v>231</v>
      </c>
      <c r="C1463" s="348" t="str">
        <f>DATA_PROPERTY_MASTER!$A$9</f>
        <v>BLD_CC</v>
      </c>
      <c r="D1463" s="380">
        <f>'00_PORTFOLIO ROLLUP'!E$12</f>
        <v>2025</v>
      </c>
      <c r="E1463" s="366" t="s">
        <v>1721</v>
      </c>
      <c r="F1463" s="366" t="s">
        <v>39</v>
      </c>
      <c r="G1463" s="348" t="str">
        <f>"'"&amp;$C1463&amp;"'!$E$63:$Y$63"</f>
        <v>'BLD_CC'!$E$63:$Y$63</v>
      </c>
      <c r="H1463" s="381">
        <f ca="1">IF(IFERROR(INDEX(DATA_PROPERTY_MASTER!$E$5:$E$21,MATCH($C1463,DATA_PROPERTY_MASTER!$A$5:$A$21,0))="Yes",FALSE),MAX(-IFERROR(INDEX(INDIRECT("'"&amp;$C1463&amp;"'!$E$63:$Y$63"),1,MATCH($D1463,INDIRECT("'"&amp;$C1463&amp;"'!$E$12:$Y$12"),0)),0),0),0)</f>
        <v>0</v>
      </c>
      <c r="I1463" s="366" t="s">
        <v>1690</v>
      </c>
      <c r="J1463" s="348" t="str">
        <f t="shared" ca="1" si="44"/>
        <v>OK</v>
      </c>
      <c r="K1463" s="366" t="s">
        <v>1738</v>
      </c>
      <c r="L1463" s="366" t="s">
        <v>2260</v>
      </c>
      <c r="M1463" s="350" t="str">
        <f>IF($B1463="Portfolio","Portfolio",IFERROR(INDEX(DATA_ASSET_CLASSIFICATION!$B$8:$B$24,MATCH($C1463,DATA_ASSET_CLASSIFICATION!$A$8:$A$24,0)),"Review"))</f>
        <v>Constance Court</v>
      </c>
      <c r="N1463" s="350" t="str">
        <f ca="1">IF($B1463="Portfolio","Portfolio",IFERROR(INDEX(DATA_ASSET_CLASSIFICATION!$U$8:$U$24,MATCH($C1463,DATA_ASSET_CLASSIFICATION!$A$8:$A$24,0)),"Review"))</f>
        <v>Refi Watch</v>
      </c>
      <c r="O1463" s="350" t="str">
        <f ca="1">IF($B1463="Portfolio","Portfolio",IFERROR(INDEX(DATA_ASSET_CLASSIFICATION!$AB$8:$AB$13,MATCH($N1463,DATA_ASSET_CLASSIFICATION!$AA$8:$AA$13,0)),"Review"))</f>
        <v>Bucket 2 · Legacy</v>
      </c>
      <c r="P1463" s="350" t="str">
        <f>IF($B1463="Portfolio","Portfolio",IFERROR(INDEX(DATA_ASSET_CLASSIFICATION!$C$8:$C$24,MATCH($C1463,DATA_ASSET_CLASSIFICATION!$A$8:$A$24,0)),"Review"))</f>
        <v>Yes</v>
      </c>
      <c r="Q1463" s="350" t="str">
        <f t="shared" ca="1" si="45"/>
        <v>OK</v>
      </c>
    </row>
    <row r="1464" spans="1:17">
      <c r="A1464" s="366" t="s">
        <v>3420</v>
      </c>
      <c r="B1464" s="366" t="s">
        <v>231</v>
      </c>
      <c r="C1464" s="348" t="str">
        <f>DATA_PROPERTY_MASTER!$A$9</f>
        <v>BLD_CC</v>
      </c>
      <c r="D1464" s="380">
        <f>'00_PORTFOLIO ROLLUP'!E$12</f>
        <v>2025</v>
      </c>
      <c r="E1464" s="366" t="s">
        <v>1741</v>
      </c>
      <c r="F1464" s="366" t="s">
        <v>41</v>
      </c>
      <c r="G1464" s="348" t="str">
        <f>"'"&amp;$C1464&amp;"'!rows 56 + positive row 63"</f>
        <v>'BLD_CC'!rows 56 + positive row 63</v>
      </c>
      <c r="H1464" s="381">
        <f ca="1">IF(IFERROR(INDEX(DATA_PROPERTY_MASTER!$E$5:$E$21,MATCH($C1464,DATA_PROPERTY_MASTER!$A$5:$A$21,0))="Yes",FALSE),IFERROR(INDEX(INDIRECT("'"&amp;$C1464&amp;"'!$E$56:$Y$56"),1,MATCH($D1464,INDIRECT("'"&amp;$C1464&amp;"'!$E$12:$Y$12"),0)),0)+MAX(IFERROR(INDEX(INDIRECT("'"&amp;$C1464&amp;"'!$E$63:$Y$63"),1,MATCH($D1464,INDIRECT("'"&amp;$C1464&amp;"'!$E$12:$Y$12"),0)),0),0),0)</f>
        <v>65923.412799999976</v>
      </c>
      <c r="I1464" s="366" t="s">
        <v>1685</v>
      </c>
      <c r="J1464" s="348" t="str">
        <f t="shared" ca="1" si="44"/>
        <v>OK</v>
      </c>
      <c r="K1464" s="366" t="s">
        <v>1742</v>
      </c>
      <c r="L1464" s="366" t="s">
        <v>2262</v>
      </c>
      <c r="M1464" s="350" t="str">
        <f>IF($B1464="Portfolio","Portfolio",IFERROR(INDEX(DATA_ASSET_CLASSIFICATION!$B$8:$B$24,MATCH($C1464,DATA_ASSET_CLASSIFICATION!$A$8:$A$24,0)),"Review"))</f>
        <v>Constance Court</v>
      </c>
      <c r="N1464" s="350" t="str">
        <f ca="1">IF($B1464="Portfolio","Portfolio",IFERROR(INDEX(DATA_ASSET_CLASSIFICATION!$U$8:$U$24,MATCH($C1464,DATA_ASSET_CLASSIFICATION!$A$8:$A$24,0)),"Review"))</f>
        <v>Refi Watch</v>
      </c>
      <c r="O1464" s="350" t="str">
        <f ca="1">IF($B1464="Portfolio","Portfolio",IFERROR(INDEX(DATA_ASSET_CLASSIFICATION!$AB$8:$AB$13,MATCH($N1464,DATA_ASSET_CLASSIFICATION!$AA$8:$AA$13,0)),"Review"))</f>
        <v>Bucket 2 · Legacy</v>
      </c>
      <c r="P1464" s="350" t="str">
        <f>IF($B1464="Portfolio","Portfolio",IFERROR(INDEX(DATA_ASSET_CLASSIFICATION!$C$8:$C$24,MATCH($C1464,DATA_ASSET_CLASSIFICATION!$A$8:$A$24,0)),"Review"))</f>
        <v>Yes</v>
      </c>
      <c r="Q1464" s="350" t="str">
        <f t="shared" ca="1" si="45"/>
        <v>OK</v>
      </c>
    </row>
    <row r="1465" spans="1:17">
      <c r="A1465" s="366" t="s">
        <v>3421</v>
      </c>
      <c r="B1465" s="366" t="s">
        <v>231</v>
      </c>
      <c r="C1465" s="348" t="str">
        <f>DATA_PROPERTY_MASTER!$A$9</f>
        <v>BLD_CC</v>
      </c>
      <c r="D1465" s="380">
        <f>'00_PORTFOLIO ROLLUP'!E$12</f>
        <v>2025</v>
      </c>
      <c r="E1465" s="366" t="s">
        <v>1741</v>
      </c>
      <c r="F1465" s="366" t="s">
        <v>43</v>
      </c>
      <c r="G1465" s="348" t="str">
        <f>"'"&amp;$C1465&amp;"'!$E$68:$Y$68"</f>
        <v>'BLD_CC'!$E$68:$Y$68</v>
      </c>
      <c r="H1465" s="381">
        <f ca="1">IF(IFERROR(INDEX(DATA_PROPERTY_MASTER!$E$5:$E$21,MATCH($C1465,DATA_PROPERTY_MASTER!$A$5:$A$21,0))="Yes",FALSE),IFERROR(INDEX(INDIRECT("'"&amp;$C1465&amp;"'!$E$68:$Y$68"),1,MATCH($D1465,INDIRECT("'"&amp;$C1465&amp;"'!$E$12:$Y$12"),0)),0),0)</f>
        <v>65923.412799999976</v>
      </c>
      <c r="I1465" s="366" t="s">
        <v>1731</v>
      </c>
      <c r="J1465" s="348" t="str">
        <f t="shared" ca="1" si="44"/>
        <v>OK</v>
      </c>
      <c r="K1465" s="366" t="s">
        <v>1746</v>
      </c>
      <c r="L1465" s="366" t="s">
        <v>2264</v>
      </c>
      <c r="M1465" s="350" t="str">
        <f>IF($B1465="Portfolio","Portfolio",IFERROR(INDEX(DATA_ASSET_CLASSIFICATION!$B$8:$B$24,MATCH($C1465,DATA_ASSET_CLASSIFICATION!$A$8:$A$24,0)),"Review"))</f>
        <v>Constance Court</v>
      </c>
      <c r="N1465" s="350" t="str">
        <f ca="1">IF($B1465="Portfolio","Portfolio",IFERROR(INDEX(DATA_ASSET_CLASSIFICATION!$U$8:$U$24,MATCH($C1465,DATA_ASSET_CLASSIFICATION!$A$8:$A$24,0)),"Review"))</f>
        <v>Refi Watch</v>
      </c>
      <c r="O1465" s="350" t="str">
        <f ca="1">IF($B1465="Portfolio","Portfolio",IFERROR(INDEX(DATA_ASSET_CLASSIFICATION!$AB$8:$AB$13,MATCH($N1465,DATA_ASSET_CLASSIFICATION!$AA$8:$AA$13,0)),"Review"))</f>
        <v>Bucket 2 · Legacy</v>
      </c>
      <c r="P1465" s="350" t="str">
        <f>IF($B1465="Portfolio","Portfolio",IFERROR(INDEX(DATA_ASSET_CLASSIFICATION!$C$8:$C$24,MATCH($C1465,DATA_ASSET_CLASSIFICATION!$A$8:$A$24,0)),"Review"))</f>
        <v>Yes</v>
      </c>
      <c r="Q1465" s="350" t="str">
        <f t="shared" ca="1" si="45"/>
        <v>OK</v>
      </c>
    </row>
    <row r="1466" spans="1:17">
      <c r="A1466" s="366" t="s">
        <v>3422</v>
      </c>
      <c r="B1466" s="366" t="s">
        <v>231</v>
      </c>
      <c r="C1466" s="348" t="str">
        <f>DATA_PROPERTY_MASTER!$A$9</f>
        <v>BLD_CC</v>
      </c>
      <c r="D1466" s="380">
        <f>'00_PORTFOLIO ROLLUP'!E$12</f>
        <v>2025</v>
      </c>
      <c r="E1466" s="366" t="s">
        <v>1741</v>
      </c>
      <c r="F1466" s="366" t="s">
        <v>1749</v>
      </c>
      <c r="G1466" s="348" t="str">
        <f>"'"&amp;$C1466&amp;"'!rows 56, 63, 68"</f>
        <v>'BLD_CC'!rows 56, 63, 68</v>
      </c>
      <c r="H1466" s="381">
        <f ca="1">IF(IFERROR(INDEX(DATA_PROPERTY_MASTER!$E$5:$E$21,MATCH($C1466,DATA_PROPERTY_MASTER!$A$5:$A$21,0))="Yes",FALSE),(IFERROR(INDEX(INDIRECT("'"&amp;$C1466&amp;"'!$E$56:$Y$56"),1,MATCH($D1466,INDIRECT("'"&amp;$C1466&amp;"'!$E$12:$Y$12"),0)),0)+MAX(IFERROR(INDEX(INDIRECT("'"&amp;$C1466&amp;"'!$E$63:$Y$63"),1,MATCH($D1466,INDIRECT("'"&amp;$C1466&amp;"'!$E$12:$Y$12"),0)),0),0))-(IFERROR(INDEX(INDIRECT("'"&amp;$C1466&amp;"'!$E$68:$Y$68"),1,MATCH($D1466,INDIRECT("'"&amp;$C1466&amp;"'!$E$12:$Y$12"),0)),0)),0)</f>
        <v>0</v>
      </c>
      <c r="I1466" s="366" t="s">
        <v>1750</v>
      </c>
      <c r="J1466" s="348" t="str">
        <f t="shared" ca="1" si="44"/>
        <v>OK</v>
      </c>
      <c r="K1466" s="366" t="s">
        <v>1751</v>
      </c>
      <c r="L1466" s="366" t="s">
        <v>2266</v>
      </c>
      <c r="M1466" s="350" t="str">
        <f>IF($B1466="Portfolio","Portfolio",IFERROR(INDEX(DATA_ASSET_CLASSIFICATION!$B$8:$B$24,MATCH($C1466,DATA_ASSET_CLASSIFICATION!$A$8:$A$24,0)),"Review"))</f>
        <v>Constance Court</v>
      </c>
      <c r="N1466" s="350" t="str">
        <f ca="1">IF($B1466="Portfolio","Portfolio",IFERROR(INDEX(DATA_ASSET_CLASSIFICATION!$U$8:$U$24,MATCH($C1466,DATA_ASSET_CLASSIFICATION!$A$8:$A$24,0)),"Review"))</f>
        <v>Refi Watch</v>
      </c>
      <c r="O1466" s="350" t="str">
        <f ca="1">IF($B1466="Portfolio","Portfolio",IFERROR(INDEX(DATA_ASSET_CLASSIFICATION!$AB$8:$AB$13,MATCH($N1466,DATA_ASSET_CLASSIFICATION!$AA$8:$AA$13,0)),"Review"))</f>
        <v>Bucket 2 · Legacy</v>
      </c>
      <c r="P1466" s="350" t="str">
        <f>IF($B1466="Portfolio","Portfolio",IFERROR(INDEX(DATA_ASSET_CLASSIFICATION!$C$8:$C$24,MATCH($C1466,DATA_ASSET_CLASSIFICATION!$A$8:$A$24,0)),"Review"))</f>
        <v>Yes</v>
      </c>
      <c r="Q1466" s="350" t="str">
        <f t="shared" ca="1" si="45"/>
        <v>OK</v>
      </c>
    </row>
    <row r="1467" spans="1:17">
      <c r="A1467" s="366" t="s">
        <v>3423</v>
      </c>
      <c r="B1467" s="366" t="s">
        <v>231</v>
      </c>
      <c r="C1467" s="348" t="str">
        <f>DATA_PROPERTY_MASTER!$A$9</f>
        <v>BLD_CC</v>
      </c>
      <c r="D1467" s="380">
        <f>'00_PORTFOLIO ROLLUP'!F$12</f>
        <v>2026</v>
      </c>
      <c r="E1467" s="366" t="s">
        <v>1683</v>
      </c>
      <c r="F1467" s="366" t="s">
        <v>341</v>
      </c>
      <c r="G1467" s="348" t="str">
        <f>"'"&amp;$C1467&amp;"'!$E$24:$Y$24"</f>
        <v>'BLD_CC'!$E$24:$Y$24</v>
      </c>
      <c r="H1467" s="381">
        <f ca="1">IF(IFERROR(INDEX(DATA_PROPERTY_MASTER!$E$5:$E$21,MATCH($C1467,DATA_PROPERTY_MASTER!$A$5:$A$21,0))="Yes",FALSE),IFERROR(INDEX(INDIRECT("'"&amp;$C1467&amp;"'!$E$24:$Y$24"),1,MATCH($D1467,INDIRECT("'"&amp;$C1467&amp;"'!$E$12:$Y$12"),0)),0),0)</f>
        <v>557449.56264000002</v>
      </c>
      <c r="I1467" s="366" t="s">
        <v>1685</v>
      </c>
      <c r="J1467" s="348" t="str">
        <f t="shared" ca="1" si="44"/>
        <v>OK</v>
      </c>
      <c r="K1467" s="366" t="s">
        <v>1686</v>
      </c>
      <c r="L1467" s="366" t="s">
        <v>2234</v>
      </c>
      <c r="M1467" s="350" t="str">
        <f>IF($B1467="Portfolio","Portfolio",IFERROR(INDEX(DATA_ASSET_CLASSIFICATION!$B$8:$B$24,MATCH($C1467,DATA_ASSET_CLASSIFICATION!$A$8:$A$24,0)),"Review"))</f>
        <v>Constance Court</v>
      </c>
      <c r="N1467" s="350" t="str">
        <f ca="1">IF($B1467="Portfolio","Portfolio",IFERROR(INDEX(DATA_ASSET_CLASSIFICATION!$U$8:$U$24,MATCH($C1467,DATA_ASSET_CLASSIFICATION!$A$8:$A$24,0)),"Review"))</f>
        <v>Refi Watch</v>
      </c>
      <c r="O1467" s="350" t="str">
        <f ca="1">IF($B1467="Portfolio","Portfolio",IFERROR(INDEX(DATA_ASSET_CLASSIFICATION!$AB$8:$AB$13,MATCH($N1467,DATA_ASSET_CLASSIFICATION!$AA$8:$AA$13,0)),"Review"))</f>
        <v>Bucket 2 · Legacy</v>
      </c>
      <c r="P1467" s="350" t="str">
        <f>IF($B1467="Portfolio","Portfolio",IFERROR(INDEX(DATA_ASSET_CLASSIFICATION!$C$8:$C$24,MATCH($C1467,DATA_ASSET_CLASSIFICATION!$A$8:$A$24,0)),"Review"))</f>
        <v>Yes</v>
      </c>
      <c r="Q1467" s="350" t="str">
        <f t="shared" ca="1" si="45"/>
        <v>OK</v>
      </c>
    </row>
    <row r="1468" spans="1:17">
      <c r="A1468" s="366" t="s">
        <v>3424</v>
      </c>
      <c r="B1468" s="366" t="s">
        <v>231</v>
      </c>
      <c r="C1468" s="348" t="str">
        <f>DATA_PROPERTY_MASTER!$A$9</f>
        <v>BLD_CC</v>
      </c>
      <c r="D1468" s="380">
        <f>'00_PORTFOLIO ROLLUP'!F$12</f>
        <v>2026</v>
      </c>
      <c r="E1468" s="366" t="s">
        <v>1683</v>
      </c>
      <c r="F1468" s="366" t="s">
        <v>355</v>
      </c>
      <c r="G1468" s="348" t="str">
        <f>"'"&amp;$C1468&amp;"'!$E$39:$Y$39"</f>
        <v>'BLD_CC'!$E$39:$Y$39</v>
      </c>
      <c r="H1468" s="381">
        <f ca="1">IF(IFERROR(INDEX(DATA_PROPERTY_MASTER!$E$5:$E$21,MATCH($C1468,DATA_PROPERTY_MASTER!$A$5:$A$21,0))="Yes",FALSE),IFERROR(INDEX(INDIRECT("'"&amp;$C1468&amp;"'!$E$39:$Y$39"),1,MATCH($D1468,INDIRECT("'"&amp;$C1468&amp;"'!$E$12:$Y$12"),0)),0),0)</f>
        <v>214971.12</v>
      </c>
      <c r="I1468" s="366" t="s">
        <v>1690</v>
      </c>
      <c r="J1468" s="348" t="str">
        <f t="shared" ca="1" si="44"/>
        <v>OK</v>
      </c>
      <c r="K1468" s="366" t="s">
        <v>1686</v>
      </c>
      <c r="L1468" s="366" t="s">
        <v>2236</v>
      </c>
      <c r="M1468" s="350" t="str">
        <f>IF($B1468="Portfolio","Portfolio",IFERROR(INDEX(DATA_ASSET_CLASSIFICATION!$B$8:$B$24,MATCH($C1468,DATA_ASSET_CLASSIFICATION!$A$8:$A$24,0)),"Review"))</f>
        <v>Constance Court</v>
      </c>
      <c r="N1468" s="350" t="str">
        <f ca="1">IF($B1468="Portfolio","Portfolio",IFERROR(INDEX(DATA_ASSET_CLASSIFICATION!$U$8:$U$24,MATCH($C1468,DATA_ASSET_CLASSIFICATION!$A$8:$A$24,0)),"Review"))</f>
        <v>Refi Watch</v>
      </c>
      <c r="O1468" s="350" t="str">
        <f ca="1">IF($B1468="Portfolio","Portfolio",IFERROR(INDEX(DATA_ASSET_CLASSIFICATION!$AB$8:$AB$13,MATCH($N1468,DATA_ASSET_CLASSIFICATION!$AA$8:$AA$13,0)),"Review"))</f>
        <v>Bucket 2 · Legacy</v>
      </c>
      <c r="P1468" s="350" t="str">
        <f>IF($B1468="Portfolio","Portfolio",IFERROR(INDEX(DATA_ASSET_CLASSIFICATION!$C$8:$C$24,MATCH($C1468,DATA_ASSET_CLASSIFICATION!$A$8:$A$24,0)),"Review"))</f>
        <v>Yes</v>
      </c>
      <c r="Q1468" s="350" t="str">
        <f t="shared" ca="1" si="45"/>
        <v>OK</v>
      </c>
    </row>
    <row r="1469" spans="1:17">
      <c r="A1469" s="366" t="s">
        <v>3425</v>
      </c>
      <c r="B1469" s="366" t="s">
        <v>231</v>
      </c>
      <c r="C1469" s="348" t="str">
        <f>DATA_PROPERTY_MASTER!$A$9</f>
        <v>BLD_CC</v>
      </c>
      <c r="D1469" s="380">
        <f>'00_PORTFOLIO ROLLUP'!F$12</f>
        <v>2026</v>
      </c>
      <c r="E1469" s="366" t="s">
        <v>1683</v>
      </c>
      <c r="F1469" s="366" t="s">
        <v>19</v>
      </c>
      <c r="G1469" s="348" t="str">
        <f>"'"&amp;$C1469&amp;"'!$E$41:$Y$41"</f>
        <v>'BLD_CC'!$E$41:$Y$41</v>
      </c>
      <c r="H1469" s="381">
        <f ca="1">IF(IFERROR(INDEX(DATA_PROPERTY_MASTER!$E$5:$E$21,MATCH($C1469,DATA_PROPERTY_MASTER!$A$5:$A$21,0))="Yes",FALSE),IFERROR(INDEX(INDIRECT("'"&amp;$C1469&amp;"'!$E$41:$Y$41"),1,MATCH($D1469,INDIRECT("'"&amp;$C1469&amp;"'!$E$12:$Y$12"),0)),0),0)</f>
        <v>342478.44264000002</v>
      </c>
      <c r="I1469" s="366" t="s">
        <v>1685</v>
      </c>
      <c r="J1469" s="348" t="str">
        <f t="shared" ca="1" si="44"/>
        <v>OK</v>
      </c>
      <c r="K1469" s="366" t="s">
        <v>1694</v>
      </c>
      <c r="L1469" s="366" t="s">
        <v>2238</v>
      </c>
      <c r="M1469" s="350" t="str">
        <f>IF($B1469="Portfolio","Portfolio",IFERROR(INDEX(DATA_ASSET_CLASSIFICATION!$B$8:$B$24,MATCH($C1469,DATA_ASSET_CLASSIFICATION!$A$8:$A$24,0)),"Review"))</f>
        <v>Constance Court</v>
      </c>
      <c r="N1469" s="350" t="str">
        <f ca="1">IF($B1469="Portfolio","Portfolio",IFERROR(INDEX(DATA_ASSET_CLASSIFICATION!$U$8:$U$24,MATCH($C1469,DATA_ASSET_CLASSIFICATION!$A$8:$A$24,0)),"Review"))</f>
        <v>Refi Watch</v>
      </c>
      <c r="O1469" s="350" t="str">
        <f ca="1">IF($B1469="Portfolio","Portfolio",IFERROR(INDEX(DATA_ASSET_CLASSIFICATION!$AB$8:$AB$13,MATCH($N1469,DATA_ASSET_CLASSIFICATION!$AA$8:$AA$13,0)),"Review"))</f>
        <v>Bucket 2 · Legacy</v>
      </c>
      <c r="P1469" s="350" t="str">
        <f>IF($B1469="Portfolio","Portfolio",IFERROR(INDEX(DATA_ASSET_CLASSIFICATION!$C$8:$C$24,MATCH($C1469,DATA_ASSET_CLASSIFICATION!$A$8:$A$24,0)),"Review"))</f>
        <v>Yes</v>
      </c>
      <c r="Q1469" s="350" t="str">
        <f t="shared" ca="1" si="45"/>
        <v>OK</v>
      </c>
    </row>
    <row r="1470" spans="1:17">
      <c r="A1470" s="366" t="s">
        <v>3426</v>
      </c>
      <c r="B1470" s="366" t="s">
        <v>231</v>
      </c>
      <c r="C1470" s="348" t="str">
        <f>DATA_PROPERTY_MASTER!$A$9</f>
        <v>BLD_CC</v>
      </c>
      <c r="D1470" s="380">
        <f>'00_PORTFOLIO ROLLUP'!F$12</f>
        <v>2026</v>
      </c>
      <c r="E1470" s="366" t="s">
        <v>1683</v>
      </c>
      <c r="F1470" s="366" t="s">
        <v>1697</v>
      </c>
      <c r="G1470" s="348" t="str">
        <f>"'"&amp;$C1470&amp;"'!$E$44:$Y$44"</f>
        <v>'BLD_CC'!$E$44:$Y$44</v>
      </c>
      <c r="H1470" s="381">
        <f ca="1">IF(IFERROR(INDEX(DATA_PROPERTY_MASTER!$E$5:$E$21,MATCH($C1470,DATA_PROPERTY_MASTER!$A$5:$A$21,0))="Yes",FALSE),IFERROR(INDEX(INDIRECT("'"&amp;$C1470&amp;"'!$E$44:$Y$44"),1,MATCH($D1470,INDIRECT("'"&amp;$C1470&amp;"'!$E$12:$Y$12"),0)),0),0)</f>
        <v>5202</v>
      </c>
      <c r="I1470" s="366" t="s">
        <v>1690</v>
      </c>
      <c r="J1470" s="348" t="str">
        <f t="shared" ca="1" si="44"/>
        <v>OK</v>
      </c>
      <c r="K1470" s="366" t="s">
        <v>1699</v>
      </c>
      <c r="L1470" s="366" t="s">
        <v>2240</v>
      </c>
      <c r="M1470" s="350" t="str">
        <f>IF($B1470="Portfolio","Portfolio",IFERROR(INDEX(DATA_ASSET_CLASSIFICATION!$B$8:$B$24,MATCH($C1470,DATA_ASSET_CLASSIFICATION!$A$8:$A$24,0)),"Review"))</f>
        <v>Constance Court</v>
      </c>
      <c r="N1470" s="350" t="str">
        <f ca="1">IF($B1470="Portfolio","Portfolio",IFERROR(INDEX(DATA_ASSET_CLASSIFICATION!$U$8:$U$24,MATCH($C1470,DATA_ASSET_CLASSIFICATION!$A$8:$A$24,0)),"Review"))</f>
        <v>Refi Watch</v>
      </c>
      <c r="O1470" s="350" t="str">
        <f ca="1">IF($B1470="Portfolio","Portfolio",IFERROR(INDEX(DATA_ASSET_CLASSIFICATION!$AB$8:$AB$13,MATCH($N1470,DATA_ASSET_CLASSIFICATION!$AA$8:$AA$13,0)),"Review"))</f>
        <v>Bucket 2 · Legacy</v>
      </c>
      <c r="P1470" s="350" t="str">
        <f>IF($B1470="Portfolio","Portfolio",IFERROR(INDEX(DATA_ASSET_CLASSIFICATION!$C$8:$C$24,MATCH($C1470,DATA_ASSET_CLASSIFICATION!$A$8:$A$24,0)),"Review"))</f>
        <v>Yes</v>
      </c>
      <c r="Q1470" s="350" t="str">
        <f t="shared" ca="1" si="45"/>
        <v>OK</v>
      </c>
    </row>
    <row r="1471" spans="1:17">
      <c r="A1471" s="366" t="s">
        <v>3427</v>
      </c>
      <c r="B1471" s="366" t="s">
        <v>231</v>
      </c>
      <c r="C1471" s="348" t="str">
        <f>DATA_PROPERTY_MASTER!$A$9</f>
        <v>BLD_CC</v>
      </c>
      <c r="D1471" s="380">
        <f>'00_PORTFOLIO ROLLUP'!F$12</f>
        <v>2026</v>
      </c>
      <c r="E1471" s="366" t="s">
        <v>1683</v>
      </c>
      <c r="F1471" s="366" t="s">
        <v>21</v>
      </c>
      <c r="G1471" s="348" t="str">
        <f>"'"&amp;$C1471&amp;"'!$E$45:$Y$45"</f>
        <v>'BLD_CC'!$E$45:$Y$45</v>
      </c>
      <c r="H1471" s="381">
        <f ca="1">IF(IFERROR(INDEX(DATA_PROPERTY_MASTER!$E$5:$E$21,MATCH($C1471,DATA_PROPERTY_MASTER!$A$5:$A$21,0))="Yes",FALSE),IFERROR(INDEX(INDIRECT("'"&amp;$C1471&amp;"'!$E$45:$Y$45"),1,MATCH($D1471,INDIRECT("'"&amp;$C1471&amp;"'!$E$12:$Y$12"),0)),0),0)</f>
        <v>337276.44264000002</v>
      </c>
      <c r="I1471" s="366" t="s">
        <v>1685</v>
      </c>
      <c r="J1471" s="348" t="str">
        <f t="shared" ca="1" si="44"/>
        <v>OK</v>
      </c>
      <c r="K1471" s="366" t="s">
        <v>1694</v>
      </c>
      <c r="L1471" s="366" t="s">
        <v>2242</v>
      </c>
      <c r="M1471" s="350" t="str">
        <f>IF($B1471="Portfolio","Portfolio",IFERROR(INDEX(DATA_ASSET_CLASSIFICATION!$B$8:$B$24,MATCH($C1471,DATA_ASSET_CLASSIFICATION!$A$8:$A$24,0)),"Review"))</f>
        <v>Constance Court</v>
      </c>
      <c r="N1471" s="350" t="str">
        <f ca="1">IF($B1471="Portfolio","Portfolio",IFERROR(INDEX(DATA_ASSET_CLASSIFICATION!$U$8:$U$24,MATCH($C1471,DATA_ASSET_CLASSIFICATION!$A$8:$A$24,0)),"Review"))</f>
        <v>Refi Watch</v>
      </c>
      <c r="O1471" s="350" t="str">
        <f ca="1">IF($B1471="Portfolio","Portfolio",IFERROR(INDEX(DATA_ASSET_CLASSIFICATION!$AB$8:$AB$13,MATCH($N1471,DATA_ASSET_CLASSIFICATION!$AA$8:$AA$13,0)),"Review"))</f>
        <v>Bucket 2 · Legacy</v>
      </c>
      <c r="P1471" s="350" t="str">
        <f>IF($B1471="Portfolio","Portfolio",IFERROR(INDEX(DATA_ASSET_CLASSIFICATION!$C$8:$C$24,MATCH($C1471,DATA_ASSET_CLASSIFICATION!$A$8:$A$24,0)),"Review"))</f>
        <v>Yes</v>
      </c>
      <c r="Q1471" s="350" t="str">
        <f t="shared" ca="1" si="45"/>
        <v>OK</v>
      </c>
    </row>
    <row r="1472" spans="1:17">
      <c r="A1472" s="366" t="s">
        <v>3428</v>
      </c>
      <c r="B1472" s="366" t="s">
        <v>231</v>
      </c>
      <c r="C1472" s="348" t="str">
        <f>DATA_PROPERTY_MASTER!$A$9</f>
        <v>BLD_CC</v>
      </c>
      <c r="D1472" s="380">
        <f>'00_PORTFOLIO ROLLUP'!F$12</f>
        <v>2026</v>
      </c>
      <c r="E1472" s="366" t="s">
        <v>23</v>
      </c>
      <c r="F1472" s="366" t="s">
        <v>23</v>
      </c>
      <c r="G1472" s="348" t="str">
        <f>"'"&amp;$C1472&amp;"'!$E$48:$Y$48"</f>
        <v>'BLD_CC'!$E$48:$Y$48</v>
      </c>
      <c r="H1472" s="381">
        <f ca="1">IF(IFERROR(INDEX(DATA_PROPERTY_MASTER!$E$5:$E$21,MATCH($C1472,DATA_PROPERTY_MASTER!$A$5:$A$21,0))="Yes",FALSE),IFERROR(INDEX(INDIRECT("'"&amp;$C1472&amp;"'!$E$48:$Y$48"),1,MATCH($D1472,INDIRECT("'"&amp;$C1472&amp;"'!$E$12:$Y$12"),0)),0),0)</f>
        <v>111651.9755097649</v>
      </c>
      <c r="I1472" s="366" t="s">
        <v>1690</v>
      </c>
      <c r="J1472" s="348" t="str">
        <f t="shared" ca="1" si="44"/>
        <v>OK</v>
      </c>
      <c r="K1472" s="366" t="s">
        <v>1706</v>
      </c>
      <c r="L1472" s="366" t="s">
        <v>2244</v>
      </c>
      <c r="M1472" s="350" t="str">
        <f>IF($B1472="Portfolio","Portfolio",IFERROR(INDEX(DATA_ASSET_CLASSIFICATION!$B$8:$B$24,MATCH($C1472,DATA_ASSET_CLASSIFICATION!$A$8:$A$24,0)),"Review"))</f>
        <v>Constance Court</v>
      </c>
      <c r="N1472" s="350" t="str">
        <f ca="1">IF($B1472="Portfolio","Portfolio",IFERROR(INDEX(DATA_ASSET_CLASSIFICATION!$U$8:$U$24,MATCH($C1472,DATA_ASSET_CLASSIFICATION!$A$8:$A$24,0)),"Review"))</f>
        <v>Refi Watch</v>
      </c>
      <c r="O1472" s="350" t="str">
        <f ca="1">IF($B1472="Portfolio","Portfolio",IFERROR(INDEX(DATA_ASSET_CLASSIFICATION!$AB$8:$AB$13,MATCH($N1472,DATA_ASSET_CLASSIFICATION!$AA$8:$AA$13,0)),"Review"))</f>
        <v>Bucket 2 · Legacy</v>
      </c>
      <c r="P1472" s="350" t="str">
        <f>IF($B1472="Portfolio","Portfolio",IFERROR(INDEX(DATA_ASSET_CLASSIFICATION!$C$8:$C$24,MATCH($C1472,DATA_ASSET_CLASSIFICATION!$A$8:$A$24,0)),"Review"))</f>
        <v>Yes</v>
      </c>
      <c r="Q1472" s="350" t="str">
        <f t="shared" ca="1" si="45"/>
        <v>OK</v>
      </c>
    </row>
    <row r="1473" spans="1:17">
      <c r="A1473" s="366" t="s">
        <v>3429</v>
      </c>
      <c r="B1473" s="366" t="s">
        <v>231</v>
      </c>
      <c r="C1473" s="348" t="str">
        <f>DATA_PROPERTY_MASTER!$A$9</f>
        <v>BLD_CC</v>
      </c>
      <c r="D1473" s="380">
        <f>'00_PORTFOLIO ROLLUP'!F$12</f>
        <v>2026</v>
      </c>
      <c r="E1473" s="366" t="s">
        <v>1683</v>
      </c>
      <c r="F1473" s="366" t="s">
        <v>25</v>
      </c>
      <c r="G1473" s="348" t="str">
        <f>"'"&amp;$C1473&amp;"'!$E$52:$Y$52"</f>
        <v>'BLD_CC'!$E$52:$Y$52</v>
      </c>
      <c r="H1473" s="381">
        <f ca="1">IF(IFERROR(INDEX(DATA_PROPERTY_MASTER!$E$5:$E$21,MATCH($C1473,DATA_PROPERTY_MASTER!$A$5:$A$21,0))="Yes",FALSE),IFERROR(INDEX(INDIRECT("'"&amp;$C1473&amp;"'!$E$52:$Y$52"),1,MATCH($D1473,INDIRECT("'"&amp;$C1473&amp;"'!$E$12:$Y$12"),0)),0),0)</f>
        <v>230826.46713023511</v>
      </c>
      <c r="I1473" s="366" t="s">
        <v>1685</v>
      </c>
      <c r="J1473" s="348" t="str">
        <f t="shared" ca="1" si="44"/>
        <v>OK</v>
      </c>
      <c r="K1473" s="366" t="s">
        <v>1710</v>
      </c>
      <c r="L1473" s="366" t="s">
        <v>2246</v>
      </c>
      <c r="M1473" s="350" t="str">
        <f>IF($B1473="Portfolio","Portfolio",IFERROR(INDEX(DATA_ASSET_CLASSIFICATION!$B$8:$B$24,MATCH($C1473,DATA_ASSET_CLASSIFICATION!$A$8:$A$24,0)),"Review"))</f>
        <v>Constance Court</v>
      </c>
      <c r="N1473" s="350" t="str">
        <f ca="1">IF($B1473="Portfolio","Portfolio",IFERROR(INDEX(DATA_ASSET_CLASSIFICATION!$U$8:$U$24,MATCH($C1473,DATA_ASSET_CLASSIFICATION!$A$8:$A$24,0)),"Review"))</f>
        <v>Refi Watch</v>
      </c>
      <c r="O1473" s="350" t="str">
        <f ca="1">IF($B1473="Portfolio","Portfolio",IFERROR(INDEX(DATA_ASSET_CLASSIFICATION!$AB$8:$AB$13,MATCH($N1473,DATA_ASSET_CLASSIFICATION!$AA$8:$AA$13,0)),"Review"))</f>
        <v>Bucket 2 · Legacy</v>
      </c>
      <c r="P1473" s="350" t="str">
        <f>IF($B1473="Portfolio","Portfolio",IFERROR(INDEX(DATA_ASSET_CLASSIFICATION!$C$8:$C$24,MATCH($C1473,DATA_ASSET_CLASSIFICATION!$A$8:$A$24,0)),"Review"))</f>
        <v>Yes</v>
      </c>
      <c r="Q1473" s="350" t="str">
        <f t="shared" ca="1" si="45"/>
        <v>OK</v>
      </c>
    </row>
    <row r="1474" spans="1:17">
      <c r="A1474" s="366" t="s">
        <v>3430</v>
      </c>
      <c r="B1474" s="366" t="s">
        <v>231</v>
      </c>
      <c r="C1474" s="348" t="str">
        <f>DATA_PROPERTY_MASTER!$A$9</f>
        <v>BLD_CC</v>
      </c>
      <c r="D1474" s="380">
        <f>'00_PORTFOLIO ROLLUP'!F$12</f>
        <v>2026</v>
      </c>
      <c r="E1474" s="366" t="s">
        <v>1683</v>
      </c>
      <c r="F1474" s="366" t="s">
        <v>27</v>
      </c>
      <c r="G1474" s="348" t="str">
        <f>"'"&amp;$C1474&amp;"'!$E$54:$Y$54"</f>
        <v>'BLD_CC'!$E$54:$Y$54</v>
      </c>
      <c r="H1474" s="381">
        <f ca="1">IF(IFERROR(INDEX(DATA_PROPERTY_MASTER!$E$5:$E$21,MATCH($C1474,DATA_PROPERTY_MASTER!$A$5:$A$21,0))="Yes",FALSE),IFERROR(INDEX(INDIRECT("'"&amp;$C1474&amp;"'!$E$54:$Y$54"),1,MATCH($D1474,INDIRECT("'"&amp;$C1474&amp;"'!$E$12:$Y$12"),0)),0),0)</f>
        <v>138495.88027814106</v>
      </c>
      <c r="I1474" s="366" t="s">
        <v>1690</v>
      </c>
      <c r="J1474" s="348" t="str">
        <f t="shared" ca="1" si="44"/>
        <v>OK</v>
      </c>
      <c r="K1474" s="366" t="s">
        <v>1714</v>
      </c>
      <c r="L1474" s="366" t="s">
        <v>2248</v>
      </c>
      <c r="M1474" s="350" t="str">
        <f>IF($B1474="Portfolio","Portfolio",IFERROR(INDEX(DATA_ASSET_CLASSIFICATION!$B$8:$B$24,MATCH($C1474,DATA_ASSET_CLASSIFICATION!$A$8:$A$24,0)),"Review"))</f>
        <v>Constance Court</v>
      </c>
      <c r="N1474" s="350" t="str">
        <f ca="1">IF($B1474="Portfolio","Portfolio",IFERROR(INDEX(DATA_ASSET_CLASSIFICATION!$U$8:$U$24,MATCH($C1474,DATA_ASSET_CLASSIFICATION!$A$8:$A$24,0)),"Review"))</f>
        <v>Refi Watch</v>
      </c>
      <c r="O1474" s="350" t="str">
        <f ca="1">IF($B1474="Portfolio","Portfolio",IFERROR(INDEX(DATA_ASSET_CLASSIFICATION!$AB$8:$AB$13,MATCH($N1474,DATA_ASSET_CLASSIFICATION!$AA$8:$AA$13,0)),"Review"))</f>
        <v>Bucket 2 · Legacy</v>
      </c>
      <c r="P1474" s="350" t="str">
        <f>IF($B1474="Portfolio","Portfolio",IFERROR(INDEX(DATA_ASSET_CLASSIFICATION!$C$8:$C$24,MATCH($C1474,DATA_ASSET_CLASSIFICATION!$A$8:$A$24,0)),"Review"))</f>
        <v>Yes</v>
      </c>
      <c r="Q1474" s="350" t="str">
        <f t="shared" ca="1" si="45"/>
        <v>OK</v>
      </c>
    </row>
    <row r="1475" spans="1:17">
      <c r="A1475" s="366" t="s">
        <v>3431</v>
      </c>
      <c r="B1475" s="366" t="s">
        <v>231</v>
      </c>
      <c r="C1475" s="348" t="str">
        <f>DATA_PROPERTY_MASTER!$A$9</f>
        <v>BLD_CC</v>
      </c>
      <c r="D1475" s="380">
        <f>'00_PORTFOLIO ROLLUP'!F$12</f>
        <v>2026</v>
      </c>
      <c r="E1475" s="366" t="s">
        <v>1683</v>
      </c>
      <c r="F1475" s="366" t="s">
        <v>29</v>
      </c>
      <c r="G1475" s="348" t="str">
        <f>"'"&amp;$C1475&amp;"'!$E$56:$Y$56"</f>
        <v>'BLD_CC'!$E$56:$Y$56</v>
      </c>
      <c r="H1475" s="381">
        <f ca="1">IF(IFERROR(INDEX(DATA_PROPERTY_MASTER!$E$5:$E$21,MATCH($C1475,DATA_PROPERTY_MASTER!$A$5:$A$21,0))="Yes",FALSE),IFERROR(INDEX(INDIRECT("'"&amp;$C1475&amp;"'!$E$56:$Y$56"),1,MATCH($D1475,INDIRECT("'"&amp;$C1475&amp;"'!$E$12:$Y$12"),0)),0),0)</f>
        <v>92330.586852094042</v>
      </c>
      <c r="I1475" s="366" t="s">
        <v>1685</v>
      </c>
      <c r="J1475" s="348" t="str">
        <f t="shared" ca="1" si="44"/>
        <v>OK</v>
      </c>
      <c r="K1475" s="366" t="s">
        <v>1718</v>
      </c>
      <c r="L1475" s="366" t="s">
        <v>2250</v>
      </c>
      <c r="M1475" s="350" t="str">
        <f>IF($B1475="Portfolio","Portfolio",IFERROR(INDEX(DATA_ASSET_CLASSIFICATION!$B$8:$B$24,MATCH($C1475,DATA_ASSET_CLASSIFICATION!$A$8:$A$24,0)),"Review"))</f>
        <v>Constance Court</v>
      </c>
      <c r="N1475" s="350" t="str">
        <f ca="1">IF($B1475="Portfolio","Portfolio",IFERROR(INDEX(DATA_ASSET_CLASSIFICATION!$U$8:$U$24,MATCH($C1475,DATA_ASSET_CLASSIFICATION!$A$8:$A$24,0)),"Review"))</f>
        <v>Refi Watch</v>
      </c>
      <c r="O1475" s="350" t="str">
        <f ca="1">IF($B1475="Portfolio","Portfolio",IFERROR(INDEX(DATA_ASSET_CLASSIFICATION!$AB$8:$AB$13,MATCH($N1475,DATA_ASSET_CLASSIFICATION!$AA$8:$AA$13,0)),"Review"))</f>
        <v>Bucket 2 · Legacy</v>
      </c>
      <c r="P1475" s="350" t="str">
        <f>IF($B1475="Portfolio","Portfolio",IFERROR(INDEX(DATA_ASSET_CLASSIFICATION!$C$8:$C$24,MATCH($C1475,DATA_ASSET_CLASSIFICATION!$A$8:$A$24,0)),"Review"))</f>
        <v>Yes</v>
      </c>
      <c r="Q1475" s="350" t="str">
        <f t="shared" ca="1" si="45"/>
        <v>OK</v>
      </c>
    </row>
    <row r="1476" spans="1:17">
      <c r="A1476" s="366" t="s">
        <v>3432</v>
      </c>
      <c r="B1476" s="366" t="s">
        <v>231</v>
      </c>
      <c r="C1476" s="348" t="str">
        <f>DATA_PROPERTY_MASTER!$A$9</f>
        <v>BLD_CC</v>
      </c>
      <c r="D1476" s="380">
        <f>'00_PORTFOLIO ROLLUP'!F$12</f>
        <v>2026</v>
      </c>
      <c r="E1476" s="366" t="s">
        <v>1721</v>
      </c>
      <c r="F1476" s="366" t="s">
        <v>31</v>
      </c>
      <c r="G1476" s="348" t="str">
        <f>"'"&amp;$C1476&amp;"'!$E$61:$Y$61"</f>
        <v>'BLD_CC'!$E$61:$Y$61</v>
      </c>
      <c r="H1476" s="381">
        <f ca="1">IF(IFERROR(INDEX(DATA_PROPERTY_MASTER!$E$5:$E$21,MATCH($C1476,DATA_PROPERTY_MASTER!$A$5:$A$21,0))="Yes",FALSE),IFERROR(INDEX(INDIRECT("'"&amp;$C1476&amp;"'!$E$61:$Y$61"),1,MATCH($D1476,INDIRECT("'"&amp;$C1476&amp;"'!$E$12:$Y$12"),0)),0),0)</f>
        <v>0</v>
      </c>
      <c r="I1476" s="366" t="s">
        <v>1690</v>
      </c>
      <c r="J1476" s="348" t="str">
        <f t="shared" ca="1" si="44"/>
        <v>OK</v>
      </c>
      <c r="K1476" s="366" t="s">
        <v>1723</v>
      </c>
      <c r="L1476" s="366" t="s">
        <v>2252</v>
      </c>
      <c r="M1476" s="350" t="str">
        <f>IF($B1476="Portfolio","Portfolio",IFERROR(INDEX(DATA_ASSET_CLASSIFICATION!$B$8:$B$24,MATCH($C1476,DATA_ASSET_CLASSIFICATION!$A$8:$A$24,0)),"Review"))</f>
        <v>Constance Court</v>
      </c>
      <c r="N1476" s="350" t="str">
        <f ca="1">IF($B1476="Portfolio","Portfolio",IFERROR(INDEX(DATA_ASSET_CLASSIFICATION!$U$8:$U$24,MATCH($C1476,DATA_ASSET_CLASSIFICATION!$A$8:$A$24,0)),"Review"))</f>
        <v>Refi Watch</v>
      </c>
      <c r="O1476" s="350" t="str">
        <f ca="1">IF($B1476="Portfolio","Portfolio",IFERROR(INDEX(DATA_ASSET_CLASSIFICATION!$AB$8:$AB$13,MATCH($N1476,DATA_ASSET_CLASSIFICATION!$AA$8:$AA$13,0)),"Review"))</f>
        <v>Bucket 2 · Legacy</v>
      </c>
      <c r="P1476" s="350" t="str">
        <f>IF($B1476="Portfolio","Portfolio",IFERROR(INDEX(DATA_ASSET_CLASSIFICATION!$C$8:$C$24,MATCH($C1476,DATA_ASSET_CLASSIFICATION!$A$8:$A$24,0)),"Review"))</f>
        <v>Yes</v>
      </c>
      <c r="Q1476" s="350" t="str">
        <f t="shared" ca="1" si="45"/>
        <v>OK</v>
      </c>
    </row>
    <row r="1477" spans="1:17">
      <c r="A1477" s="366" t="s">
        <v>3433</v>
      </c>
      <c r="B1477" s="366" t="s">
        <v>231</v>
      </c>
      <c r="C1477" s="348" t="str">
        <f>DATA_PROPERTY_MASTER!$A$9</f>
        <v>BLD_CC</v>
      </c>
      <c r="D1477" s="380">
        <f>'00_PORTFOLIO ROLLUP'!F$12</f>
        <v>2026</v>
      </c>
      <c r="E1477" s="366" t="s">
        <v>1721</v>
      </c>
      <c r="F1477" s="366" t="s">
        <v>33</v>
      </c>
      <c r="G1477" s="348" t="str">
        <f>"'"&amp;$C1477&amp;"'!$E$62:$Y$62"</f>
        <v>'BLD_CC'!$E$62:$Y$62</v>
      </c>
      <c r="H1477" s="381">
        <f ca="1">IF(IFERROR(INDEX(DATA_PROPERTY_MASTER!$E$5:$E$21,MATCH($C1477,DATA_PROPERTY_MASTER!$A$5:$A$21,0))="Yes",FALSE),IFERROR(INDEX(INDIRECT("'"&amp;$C1477&amp;"'!$E$62:$Y$62"),1,MATCH($D1477,INDIRECT("'"&amp;$C1477&amp;"'!$E$12:$Y$12"),0)),0),0)</f>
        <v>0</v>
      </c>
      <c r="I1477" s="366" t="s">
        <v>1685</v>
      </c>
      <c r="J1477" s="348" t="str">
        <f t="shared" ref="J1477:J1540" ca="1" si="46">IF($F1477="Residual Funding Gap",IF($H1477&gt;0,"Funding Gap","OK"),IF(AND($F1477="Net Refinance Position",$H1477&lt;0),"Negative net refi position","OK"))</f>
        <v>OK</v>
      </c>
      <c r="K1477" s="366" t="s">
        <v>1727</v>
      </c>
      <c r="L1477" s="366" t="s">
        <v>2254</v>
      </c>
      <c r="M1477" s="350" t="str">
        <f>IF($B1477="Portfolio","Portfolio",IFERROR(INDEX(DATA_ASSET_CLASSIFICATION!$B$8:$B$24,MATCH($C1477,DATA_ASSET_CLASSIFICATION!$A$8:$A$24,0)),"Review"))</f>
        <v>Constance Court</v>
      </c>
      <c r="N1477" s="350" t="str">
        <f ca="1">IF($B1477="Portfolio","Portfolio",IFERROR(INDEX(DATA_ASSET_CLASSIFICATION!$U$8:$U$24,MATCH($C1477,DATA_ASSET_CLASSIFICATION!$A$8:$A$24,0)),"Review"))</f>
        <v>Refi Watch</v>
      </c>
      <c r="O1477" s="350" t="str">
        <f ca="1">IF($B1477="Portfolio","Portfolio",IFERROR(INDEX(DATA_ASSET_CLASSIFICATION!$AB$8:$AB$13,MATCH($N1477,DATA_ASSET_CLASSIFICATION!$AA$8:$AA$13,0)),"Review"))</f>
        <v>Bucket 2 · Legacy</v>
      </c>
      <c r="P1477" s="350" t="str">
        <f>IF($B1477="Portfolio","Portfolio",IFERROR(INDEX(DATA_ASSET_CLASSIFICATION!$C$8:$C$24,MATCH($C1477,DATA_ASSET_CLASSIFICATION!$A$8:$A$24,0)),"Review"))</f>
        <v>Yes</v>
      </c>
      <c r="Q1477" s="350" t="str">
        <f t="shared" ref="Q1477:Q1540" ca="1" si="47">IF(AND($B1477="Property",$F1477="Residual Funding Gap",$H1477&gt;0),"Property Funding Gap",IF($J1477&lt;&gt;"OK",$J1477,"OK"))</f>
        <v>OK</v>
      </c>
    </row>
    <row r="1478" spans="1:17">
      <c r="A1478" s="366" t="s">
        <v>3434</v>
      </c>
      <c r="B1478" s="366" t="s">
        <v>231</v>
      </c>
      <c r="C1478" s="348" t="str">
        <f>DATA_PROPERTY_MASTER!$A$9</f>
        <v>BLD_CC</v>
      </c>
      <c r="D1478" s="380">
        <f>'00_PORTFOLIO ROLLUP'!F$12</f>
        <v>2026</v>
      </c>
      <c r="E1478" s="366" t="s">
        <v>1721</v>
      </c>
      <c r="F1478" s="366" t="s">
        <v>35</v>
      </c>
      <c r="G1478" s="348" t="str">
        <f>"'"&amp;$C1478&amp;"'!$E$63:$Y$63"</f>
        <v>'BLD_CC'!$E$63:$Y$63</v>
      </c>
      <c r="H1478" s="381">
        <f ca="1">IF(IFERROR(INDEX(DATA_PROPERTY_MASTER!$E$5:$E$21,MATCH($C1478,DATA_PROPERTY_MASTER!$A$5:$A$21,0))="Yes",FALSE),IFERROR(INDEX(INDIRECT("'"&amp;$C1478&amp;"'!$E$63:$Y$63"),1,MATCH($D1478,INDIRECT("'"&amp;$C1478&amp;"'!$E$12:$Y$12"),0)),0),0)</f>
        <v>0</v>
      </c>
      <c r="I1478" s="366" t="s">
        <v>1731</v>
      </c>
      <c r="J1478" s="348" t="str">
        <f t="shared" ca="1" si="46"/>
        <v>OK</v>
      </c>
      <c r="K1478" s="366" t="s">
        <v>1732</v>
      </c>
      <c r="L1478" s="366" t="s">
        <v>2256</v>
      </c>
      <c r="M1478" s="350" t="str">
        <f>IF($B1478="Portfolio","Portfolio",IFERROR(INDEX(DATA_ASSET_CLASSIFICATION!$B$8:$B$24,MATCH($C1478,DATA_ASSET_CLASSIFICATION!$A$8:$A$24,0)),"Review"))</f>
        <v>Constance Court</v>
      </c>
      <c r="N1478" s="350" t="str">
        <f ca="1">IF($B1478="Portfolio","Portfolio",IFERROR(INDEX(DATA_ASSET_CLASSIFICATION!$U$8:$U$24,MATCH($C1478,DATA_ASSET_CLASSIFICATION!$A$8:$A$24,0)),"Review"))</f>
        <v>Refi Watch</v>
      </c>
      <c r="O1478" s="350" t="str">
        <f ca="1">IF($B1478="Portfolio","Portfolio",IFERROR(INDEX(DATA_ASSET_CLASSIFICATION!$AB$8:$AB$13,MATCH($N1478,DATA_ASSET_CLASSIFICATION!$AA$8:$AA$13,0)),"Review"))</f>
        <v>Bucket 2 · Legacy</v>
      </c>
      <c r="P1478" s="350" t="str">
        <f>IF($B1478="Portfolio","Portfolio",IFERROR(INDEX(DATA_ASSET_CLASSIFICATION!$C$8:$C$24,MATCH($C1478,DATA_ASSET_CLASSIFICATION!$A$8:$A$24,0)),"Review"))</f>
        <v>Yes</v>
      </c>
      <c r="Q1478" s="350" t="str">
        <f t="shared" ca="1" si="47"/>
        <v>OK</v>
      </c>
    </row>
    <row r="1479" spans="1:17">
      <c r="A1479" s="366" t="s">
        <v>3435</v>
      </c>
      <c r="B1479" s="366" t="s">
        <v>231</v>
      </c>
      <c r="C1479" s="348" t="str">
        <f>DATA_PROPERTY_MASTER!$A$9</f>
        <v>BLD_CC</v>
      </c>
      <c r="D1479" s="380">
        <f>'00_PORTFOLIO ROLLUP'!F$12</f>
        <v>2026</v>
      </c>
      <c r="E1479" s="366" t="s">
        <v>1721</v>
      </c>
      <c r="F1479" s="366" t="s">
        <v>37</v>
      </c>
      <c r="G1479" s="348" t="str">
        <f>"'"&amp;$C1479&amp;"'!$E$63:$Y$63"</f>
        <v>'BLD_CC'!$E$63:$Y$63</v>
      </c>
      <c r="H1479" s="381">
        <f ca="1">IF(IFERROR(INDEX(DATA_PROPERTY_MASTER!$E$5:$E$21,MATCH($C1479,DATA_PROPERTY_MASTER!$A$5:$A$21,0))="Yes",FALSE),MAX(IFERROR(INDEX(INDIRECT("'"&amp;$C1479&amp;"'!$E$63:$Y$63"),1,MATCH($D1479,INDIRECT("'"&amp;$C1479&amp;"'!$E$12:$Y$12"),0)),0),0),0)</f>
        <v>0</v>
      </c>
      <c r="I1479" s="366" t="s">
        <v>1685</v>
      </c>
      <c r="J1479" s="348" t="str">
        <f t="shared" ca="1" si="46"/>
        <v>OK</v>
      </c>
      <c r="K1479" s="366" t="s">
        <v>1735</v>
      </c>
      <c r="L1479" s="366" t="s">
        <v>2258</v>
      </c>
      <c r="M1479" s="350" t="str">
        <f>IF($B1479="Portfolio","Portfolio",IFERROR(INDEX(DATA_ASSET_CLASSIFICATION!$B$8:$B$24,MATCH($C1479,DATA_ASSET_CLASSIFICATION!$A$8:$A$24,0)),"Review"))</f>
        <v>Constance Court</v>
      </c>
      <c r="N1479" s="350" t="str">
        <f ca="1">IF($B1479="Portfolio","Portfolio",IFERROR(INDEX(DATA_ASSET_CLASSIFICATION!$U$8:$U$24,MATCH($C1479,DATA_ASSET_CLASSIFICATION!$A$8:$A$24,0)),"Review"))</f>
        <v>Refi Watch</v>
      </c>
      <c r="O1479" s="350" t="str">
        <f ca="1">IF($B1479="Portfolio","Portfolio",IFERROR(INDEX(DATA_ASSET_CLASSIFICATION!$AB$8:$AB$13,MATCH($N1479,DATA_ASSET_CLASSIFICATION!$AA$8:$AA$13,0)),"Review"))</f>
        <v>Bucket 2 · Legacy</v>
      </c>
      <c r="P1479" s="350" t="str">
        <f>IF($B1479="Portfolio","Portfolio",IFERROR(INDEX(DATA_ASSET_CLASSIFICATION!$C$8:$C$24,MATCH($C1479,DATA_ASSET_CLASSIFICATION!$A$8:$A$24,0)),"Review"))</f>
        <v>Yes</v>
      </c>
      <c r="Q1479" s="350" t="str">
        <f t="shared" ca="1" si="47"/>
        <v>OK</v>
      </c>
    </row>
    <row r="1480" spans="1:17">
      <c r="A1480" s="366" t="s">
        <v>3436</v>
      </c>
      <c r="B1480" s="366" t="s">
        <v>231</v>
      </c>
      <c r="C1480" s="348" t="str">
        <f>DATA_PROPERTY_MASTER!$A$9</f>
        <v>BLD_CC</v>
      </c>
      <c r="D1480" s="380">
        <f>'00_PORTFOLIO ROLLUP'!F$12</f>
        <v>2026</v>
      </c>
      <c r="E1480" s="366" t="s">
        <v>1721</v>
      </c>
      <c r="F1480" s="366" t="s">
        <v>39</v>
      </c>
      <c r="G1480" s="348" t="str">
        <f>"'"&amp;$C1480&amp;"'!$E$63:$Y$63"</f>
        <v>'BLD_CC'!$E$63:$Y$63</v>
      </c>
      <c r="H1480" s="381">
        <f ca="1">IF(IFERROR(INDEX(DATA_PROPERTY_MASTER!$E$5:$E$21,MATCH($C1480,DATA_PROPERTY_MASTER!$A$5:$A$21,0))="Yes",FALSE),MAX(-IFERROR(INDEX(INDIRECT("'"&amp;$C1480&amp;"'!$E$63:$Y$63"),1,MATCH($D1480,INDIRECT("'"&amp;$C1480&amp;"'!$E$12:$Y$12"),0)),0),0),0)</f>
        <v>0</v>
      </c>
      <c r="I1480" s="366" t="s">
        <v>1690</v>
      </c>
      <c r="J1480" s="348" t="str">
        <f t="shared" ca="1" si="46"/>
        <v>OK</v>
      </c>
      <c r="K1480" s="366" t="s">
        <v>1738</v>
      </c>
      <c r="L1480" s="366" t="s">
        <v>2260</v>
      </c>
      <c r="M1480" s="350" t="str">
        <f>IF($B1480="Portfolio","Portfolio",IFERROR(INDEX(DATA_ASSET_CLASSIFICATION!$B$8:$B$24,MATCH($C1480,DATA_ASSET_CLASSIFICATION!$A$8:$A$24,0)),"Review"))</f>
        <v>Constance Court</v>
      </c>
      <c r="N1480" s="350" t="str">
        <f ca="1">IF($B1480="Portfolio","Portfolio",IFERROR(INDEX(DATA_ASSET_CLASSIFICATION!$U$8:$U$24,MATCH($C1480,DATA_ASSET_CLASSIFICATION!$A$8:$A$24,0)),"Review"))</f>
        <v>Refi Watch</v>
      </c>
      <c r="O1480" s="350" t="str">
        <f ca="1">IF($B1480="Portfolio","Portfolio",IFERROR(INDEX(DATA_ASSET_CLASSIFICATION!$AB$8:$AB$13,MATCH($N1480,DATA_ASSET_CLASSIFICATION!$AA$8:$AA$13,0)),"Review"))</f>
        <v>Bucket 2 · Legacy</v>
      </c>
      <c r="P1480" s="350" t="str">
        <f>IF($B1480="Portfolio","Portfolio",IFERROR(INDEX(DATA_ASSET_CLASSIFICATION!$C$8:$C$24,MATCH($C1480,DATA_ASSET_CLASSIFICATION!$A$8:$A$24,0)),"Review"))</f>
        <v>Yes</v>
      </c>
      <c r="Q1480" s="350" t="str">
        <f t="shared" ca="1" si="47"/>
        <v>OK</v>
      </c>
    </row>
    <row r="1481" spans="1:17">
      <c r="A1481" s="366" t="s">
        <v>3437</v>
      </c>
      <c r="B1481" s="366" t="s">
        <v>231</v>
      </c>
      <c r="C1481" s="348" t="str">
        <f>DATA_PROPERTY_MASTER!$A$9</f>
        <v>BLD_CC</v>
      </c>
      <c r="D1481" s="380">
        <f>'00_PORTFOLIO ROLLUP'!F$12</f>
        <v>2026</v>
      </c>
      <c r="E1481" s="366" t="s">
        <v>1741</v>
      </c>
      <c r="F1481" s="366" t="s">
        <v>41</v>
      </c>
      <c r="G1481" s="348" t="str">
        <f>"'"&amp;$C1481&amp;"'!rows 56 + positive row 63"</f>
        <v>'BLD_CC'!rows 56 + positive row 63</v>
      </c>
      <c r="H1481" s="381">
        <f ca="1">IF(IFERROR(INDEX(DATA_PROPERTY_MASTER!$E$5:$E$21,MATCH($C1481,DATA_PROPERTY_MASTER!$A$5:$A$21,0))="Yes",FALSE),IFERROR(INDEX(INDIRECT("'"&amp;$C1481&amp;"'!$E$56:$Y$56"),1,MATCH($D1481,INDIRECT("'"&amp;$C1481&amp;"'!$E$12:$Y$12"),0)),0)+MAX(IFERROR(INDEX(INDIRECT("'"&amp;$C1481&amp;"'!$E$63:$Y$63"),1,MATCH($D1481,INDIRECT("'"&amp;$C1481&amp;"'!$E$12:$Y$12"),0)),0),0),0)</f>
        <v>92330.586852094042</v>
      </c>
      <c r="I1481" s="366" t="s">
        <v>1685</v>
      </c>
      <c r="J1481" s="348" t="str">
        <f t="shared" ca="1" si="46"/>
        <v>OK</v>
      </c>
      <c r="K1481" s="366" t="s">
        <v>1742</v>
      </c>
      <c r="L1481" s="366" t="s">
        <v>2262</v>
      </c>
      <c r="M1481" s="350" t="str">
        <f>IF($B1481="Portfolio","Portfolio",IFERROR(INDEX(DATA_ASSET_CLASSIFICATION!$B$8:$B$24,MATCH($C1481,DATA_ASSET_CLASSIFICATION!$A$8:$A$24,0)),"Review"))</f>
        <v>Constance Court</v>
      </c>
      <c r="N1481" s="350" t="str">
        <f ca="1">IF($B1481="Portfolio","Portfolio",IFERROR(INDEX(DATA_ASSET_CLASSIFICATION!$U$8:$U$24,MATCH($C1481,DATA_ASSET_CLASSIFICATION!$A$8:$A$24,0)),"Review"))</f>
        <v>Refi Watch</v>
      </c>
      <c r="O1481" s="350" t="str">
        <f ca="1">IF($B1481="Portfolio","Portfolio",IFERROR(INDEX(DATA_ASSET_CLASSIFICATION!$AB$8:$AB$13,MATCH($N1481,DATA_ASSET_CLASSIFICATION!$AA$8:$AA$13,0)),"Review"))</f>
        <v>Bucket 2 · Legacy</v>
      </c>
      <c r="P1481" s="350" t="str">
        <f>IF($B1481="Portfolio","Portfolio",IFERROR(INDEX(DATA_ASSET_CLASSIFICATION!$C$8:$C$24,MATCH($C1481,DATA_ASSET_CLASSIFICATION!$A$8:$A$24,0)),"Review"))</f>
        <v>Yes</v>
      </c>
      <c r="Q1481" s="350" t="str">
        <f t="shared" ca="1" si="47"/>
        <v>OK</v>
      </c>
    </row>
    <row r="1482" spans="1:17">
      <c r="A1482" s="366" t="s">
        <v>3438</v>
      </c>
      <c r="B1482" s="366" t="s">
        <v>231</v>
      </c>
      <c r="C1482" s="348" t="str">
        <f>DATA_PROPERTY_MASTER!$A$9</f>
        <v>BLD_CC</v>
      </c>
      <c r="D1482" s="380">
        <f>'00_PORTFOLIO ROLLUP'!F$12</f>
        <v>2026</v>
      </c>
      <c r="E1482" s="366" t="s">
        <v>1741</v>
      </c>
      <c r="F1482" s="366" t="s">
        <v>43</v>
      </c>
      <c r="G1482" s="348" t="str">
        <f>"'"&amp;$C1482&amp;"'!$E$68:$Y$68"</f>
        <v>'BLD_CC'!$E$68:$Y$68</v>
      </c>
      <c r="H1482" s="381">
        <f ca="1">IF(IFERROR(INDEX(DATA_PROPERTY_MASTER!$E$5:$E$21,MATCH($C1482,DATA_PROPERTY_MASTER!$A$5:$A$21,0))="Yes",FALSE),IFERROR(INDEX(INDIRECT("'"&amp;$C1482&amp;"'!$E$68:$Y$68"),1,MATCH($D1482,INDIRECT("'"&amp;$C1482&amp;"'!$E$12:$Y$12"),0)),0),0)</f>
        <v>92330.586852094042</v>
      </c>
      <c r="I1482" s="366" t="s">
        <v>1731</v>
      </c>
      <c r="J1482" s="348" t="str">
        <f t="shared" ca="1" si="46"/>
        <v>OK</v>
      </c>
      <c r="K1482" s="366" t="s">
        <v>1746</v>
      </c>
      <c r="L1482" s="366" t="s">
        <v>2264</v>
      </c>
      <c r="M1482" s="350" t="str">
        <f>IF($B1482="Portfolio","Portfolio",IFERROR(INDEX(DATA_ASSET_CLASSIFICATION!$B$8:$B$24,MATCH($C1482,DATA_ASSET_CLASSIFICATION!$A$8:$A$24,0)),"Review"))</f>
        <v>Constance Court</v>
      </c>
      <c r="N1482" s="350" t="str">
        <f ca="1">IF($B1482="Portfolio","Portfolio",IFERROR(INDEX(DATA_ASSET_CLASSIFICATION!$U$8:$U$24,MATCH($C1482,DATA_ASSET_CLASSIFICATION!$A$8:$A$24,0)),"Review"))</f>
        <v>Refi Watch</v>
      </c>
      <c r="O1482" s="350" t="str">
        <f ca="1">IF($B1482="Portfolio","Portfolio",IFERROR(INDEX(DATA_ASSET_CLASSIFICATION!$AB$8:$AB$13,MATCH($N1482,DATA_ASSET_CLASSIFICATION!$AA$8:$AA$13,0)),"Review"))</f>
        <v>Bucket 2 · Legacy</v>
      </c>
      <c r="P1482" s="350" t="str">
        <f>IF($B1482="Portfolio","Portfolio",IFERROR(INDEX(DATA_ASSET_CLASSIFICATION!$C$8:$C$24,MATCH($C1482,DATA_ASSET_CLASSIFICATION!$A$8:$A$24,0)),"Review"))</f>
        <v>Yes</v>
      </c>
      <c r="Q1482" s="350" t="str">
        <f t="shared" ca="1" si="47"/>
        <v>OK</v>
      </c>
    </row>
    <row r="1483" spans="1:17">
      <c r="A1483" s="366" t="s">
        <v>3439</v>
      </c>
      <c r="B1483" s="366" t="s">
        <v>231</v>
      </c>
      <c r="C1483" s="348" t="str">
        <f>DATA_PROPERTY_MASTER!$A$9</f>
        <v>BLD_CC</v>
      </c>
      <c r="D1483" s="380">
        <f>'00_PORTFOLIO ROLLUP'!F$12</f>
        <v>2026</v>
      </c>
      <c r="E1483" s="366" t="s">
        <v>1741</v>
      </c>
      <c r="F1483" s="366" t="s">
        <v>1749</v>
      </c>
      <c r="G1483" s="348" t="str">
        <f>"'"&amp;$C1483&amp;"'!rows 56, 63, 68"</f>
        <v>'BLD_CC'!rows 56, 63, 68</v>
      </c>
      <c r="H1483" s="381">
        <f ca="1">IF(IFERROR(INDEX(DATA_PROPERTY_MASTER!$E$5:$E$21,MATCH($C1483,DATA_PROPERTY_MASTER!$A$5:$A$21,0))="Yes",FALSE),(IFERROR(INDEX(INDIRECT("'"&amp;$C1483&amp;"'!$E$56:$Y$56"),1,MATCH($D1483,INDIRECT("'"&amp;$C1483&amp;"'!$E$12:$Y$12"),0)),0)+MAX(IFERROR(INDEX(INDIRECT("'"&amp;$C1483&amp;"'!$E$63:$Y$63"),1,MATCH($D1483,INDIRECT("'"&amp;$C1483&amp;"'!$E$12:$Y$12"),0)),0),0))-(IFERROR(INDEX(INDIRECT("'"&amp;$C1483&amp;"'!$E$68:$Y$68"),1,MATCH($D1483,INDIRECT("'"&amp;$C1483&amp;"'!$E$12:$Y$12"),0)),0)),0)</f>
        <v>0</v>
      </c>
      <c r="I1483" s="366" t="s">
        <v>1750</v>
      </c>
      <c r="J1483" s="348" t="str">
        <f t="shared" ca="1" si="46"/>
        <v>OK</v>
      </c>
      <c r="K1483" s="366" t="s">
        <v>1751</v>
      </c>
      <c r="L1483" s="366" t="s">
        <v>2266</v>
      </c>
      <c r="M1483" s="350" t="str">
        <f>IF($B1483="Portfolio","Portfolio",IFERROR(INDEX(DATA_ASSET_CLASSIFICATION!$B$8:$B$24,MATCH($C1483,DATA_ASSET_CLASSIFICATION!$A$8:$A$24,0)),"Review"))</f>
        <v>Constance Court</v>
      </c>
      <c r="N1483" s="350" t="str">
        <f ca="1">IF($B1483="Portfolio","Portfolio",IFERROR(INDEX(DATA_ASSET_CLASSIFICATION!$U$8:$U$24,MATCH($C1483,DATA_ASSET_CLASSIFICATION!$A$8:$A$24,0)),"Review"))</f>
        <v>Refi Watch</v>
      </c>
      <c r="O1483" s="350" t="str">
        <f ca="1">IF($B1483="Portfolio","Portfolio",IFERROR(INDEX(DATA_ASSET_CLASSIFICATION!$AB$8:$AB$13,MATCH($N1483,DATA_ASSET_CLASSIFICATION!$AA$8:$AA$13,0)),"Review"))</f>
        <v>Bucket 2 · Legacy</v>
      </c>
      <c r="P1483" s="350" t="str">
        <f>IF($B1483="Portfolio","Portfolio",IFERROR(INDEX(DATA_ASSET_CLASSIFICATION!$C$8:$C$24,MATCH($C1483,DATA_ASSET_CLASSIFICATION!$A$8:$A$24,0)),"Review"))</f>
        <v>Yes</v>
      </c>
      <c r="Q1483" s="350" t="str">
        <f t="shared" ca="1" si="47"/>
        <v>OK</v>
      </c>
    </row>
    <row r="1484" spans="1:17">
      <c r="A1484" s="366" t="s">
        <v>3440</v>
      </c>
      <c r="B1484" s="366" t="s">
        <v>231</v>
      </c>
      <c r="C1484" s="348" t="str">
        <f>DATA_PROPERTY_MASTER!$A$9</f>
        <v>BLD_CC</v>
      </c>
      <c r="D1484" s="380">
        <f>'00_PORTFOLIO ROLLUP'!G$12</f>
        <v>2027</v>
      </c>
      <c r="E1484" s="366" t="s">
        <v>1683</v>
      </c>
      <c r="F1484" s="366" t="s">
        <v>341</v>
      </c>
      <c r="G1484" s="348" t="str">
        <f>"'"&amp;$C1484&amp;"'!$E$24:$Y$24"</f>
        <v>'BLD_CC'!$E$24:$Y$24</v>
      </c>
      <c r="H1484" s="381">
        <f ca="1">IF(IFERROR(INDEX(DATA_PROPERTY_MASTER!$E$5:$E$21,MATCH($C1484,DATA_PROPERTY_MASTER!$A$5:$A$21,0))="Yes",FALSE),IFERROR(INDEX(INDIRECT("'"&amp;$C1484&amp;"'!$E$24:$Y$24"),1,MATCH($D1484,INDIRECT("'"&amp;$C1484&amp;"'!$E$12:$Y$12"),0)),0),0)</f>
        <v>691553.03578560008</v>
      </c>
      <c r="I1484" s="366" t="s">
        <v>1685</v>
      </c>
      <c r="J1484" s="348" t="str">
        <f t="shared" ca="1" si="46"/>
        <v>OK</v>
      </c>
      <c r="K1484" s="366" t="s">
        <v>1686</v>
      </c>
      <c r="L1484" s="366" t="s">
        <v>2234</v>
      </c>
      <c r="M1484" s="350" t="str">
        <f>IF($B1484="Portfolio","Portfolio",IFERROR(INDEX(DATA_ASSET_CLASSIFICATION!$B$8:$B$24,MATCH($C1484,DATA_ASSET_CLASSIFICATION!$A$8:$A$24,0)),"Review"))</f>
        <v>Constance Court</v>
      </c>
      <c r="N1484" s="350" t="str">
        <f ca="1">IF($B1484="Portfolio","Portfolio",IFERROR(INDEX(DATA_ASSET_CLASSIFICATION!$U$8:$U$24,MATCH($C1484,DATA_ASSET_CLASSIFICATION!$A$8:$A$24,0)),"Review"))</f>
        <v>Refi Watch</v>
      </c>
      <c r="O1484" s="350" t="str">
        <f ca="1">IF($B1484="Portfolio","Portfolio",IFERROR(INDEX(DATA_ASSET_CLASSIFICATION!$AB$8:$AB$13,MATCH($N1484,DATA_ASSET_CLASSIFICATION!$AA$8:$AA$13,0)),"Review"))</f>
        <v>Bucket 2 · Legacy</v>
      </c>
      <c r="P1484" s="350" t="str">
        <f>IF($B1484="Portfolio","Portfolio",IFERROR(INDEX(DATA_ASSET_CLASSIFICATION!$C$8:$C$24,MATCH($C1484,DATA_ASSET_CLASSIFICATION!$A$8:$A$24,0)),"Review"))</f>
        <v>Yes</v>
      </c>
      <c r="Q1484" s="350" t="str">
        <f t="shared" ca="1" si="47"/>
        <v>OK</v>
      </c>
    </row>
    <row r="1485" spans="1:17">
      <c r="A1485" s="366" t="s">
        <v>3441</v>
      </c>
      <c r="B1485" s="366" t="s">
        <v>231</v>
      </c>
      <c r="C1485" s="348" t="str">
        <f>DATA_PROPERTY_MASTER!$A$9</f>
        <v>BLD_CC</v>
      </c>
      <c r="D1485" s="380">
        <f>'00_PORTFOLIO ROLLUP'!G$12</f>
        <v>2027</v>
      </c>
      <c r="E1485" s="366" t="s">
        <v>1683</v>
      </c>
      <c r="F1485" s="366" t="s">
        <v>355</v>
      </c>
      <c r="G1485" s="348" t="str">
        <f>"'"&amp;$C1485&amp;"'!$E$39:$Y$39"</f>
        <v>'BLD_CC'!$E$39:$Y$39</v>
      </c>
      <c r="H1485" s="381">
        <f ca="1">IF(IFERROR(INDEX(DATA_PROPERTY_MASTER!$E$5:$E$21,MATCH($C1485,DATA_PROPERTY_MASTER!$A$5:$A$21,0))="Yes",FALSE),IFERROR(INDEX(INDIRECT("'"&amp;$C1485&amp;"'!$E$39:$Y$39"),1,MATCH($D1485,INDIRECT("'"&amp;$C1485&amp;"'!$E$12:$Y$12"),0)),0),0)</f>
        <v>223569.96480000002</v>
      </c>
      <c r="I1485" s="366" t="s">
        <v>1690</v>
      </c>
      <c r="J1485" s="348" t="str">
        <f t="shared" ca="1" si="46"/>
        <v>OK</v>
      </c>
      <c r="K1485" s="366" t="s">
        <v>1686</v>
      </c>
      <c r="L1485" s="366" t="s">
        <v>2236</v>
      </c>
      <c r="M1485" s="350" t="str">
        <f>IF($B1485="Portfolio","Portfolio",IFERROR(INDEX(DATA_ASSET_CLASSIFICATION!$B$8:$B$24,MATCH($C1485,DATA_ASSET_CLASSIFICATION!$A$8:$A$24,0)),"Review"))</f>
        <v>Constance Court</v>
      </c>
      <c r="N1485" s="350" t="str">
        <f ca="1">IF($B1485="Portfolio","Portfolio",IFERROR(INDEX(DATA_ASSET_CLASSIFICATION!$U$8:$U$24,MATCH($C1485,DATA_ASSET_CLASSIFICATION!$A$8:$A$24,0)),"Review"))</f>
        <v>Refi Watch</v>
      </c>
      <c r="O1485" s="350" t="str">
        <f ca="1">IF($B1485="Portfolio","Portfolio",IFERROR(INDEX(DATA_ASSET_CLASSIFICATION!$AB$8:$AB$13,MATCH($N1485,DATA_ASSET_CLASSIFICATION!$AA$8:$AA$13,0)),"Review"))</f>
        <v>Bucket 2 · Legacy</v>
      </c>
      <c r="P1485" s="350" t="str">
        <f>IF($B1485="Portfolio","Portfolio",IFERROR(INDEX(DATA_ASSET_CLASSIFICATION!$C$8:$C$24,MATCH($C1485,DATA_ASSET_CLASSIFICATION!$A$8:$A$24,0)),"Review"))</f>
        <v>Yes</v>
      </c>
      <c r="Q1485" s="350" t="str">
        <f t="shared" ca="1" si="47"/>
        <v>OK</v>
      </c>
    </row>
    <row r="1486" spans="1:17">
      <c r="A1486" s="366" t="s">
        <v>3442</v>
      </c>
      <c r="B1486" s="366" t="s">
        <v>231</v>
      </c>
      <c r="C1486" s="348" t="str">
        <f>DATA_PROPERTY_MASTER!$A$9</f>
        <v>BLD_CC</v>
      </c>
      <c r="D1486" s="380">
        <f>'00_PORTFOLIO ROLLUP'!G$12</f>
        <v>2027</v>
      </c>
      <c r="E1486" s="366" t="s">
        <v>1683</v>
      </c>
      <c r="F1486" s="366" t="s">
        <v>19</v>
      </c>
      <c r="G1486" s="348" t="str">
        <f>"'"&amp;$C1486&amp;"'!$E$41:$Y$41"</f>
        <v>'BLD_CC'!$E$41:$Y$41</v>
      </c>
      <c r="H1486" s="381">
        <f ca="1">IF(IFERROR(INDEX(DATA_PROPERTY_MASTER!$E$5:$E$21,MATCH($C1486,DATA_PROPERTY_MASTER!$A$5:$A$21,0))="Yes",FALSE),IFERROR(INDEX(INDIRECT("'"&amp;$C1486&amp;"'!$E$41:$Y$41"),1,MATCH($D1486,INDIRECT("'"&amp;$C1486&amp;"'!$E$12:$Y$12"),0)),0),0)</f>
        <v>467983.07098560006</v>
      </c>
      <c r="I1486" s="366" t="s">
        <v>1685</v>
      </c>
      <c r="J1486" s="348" t="str">
        <f t="shared" ca="1" si="46"/>
        <v>OK</v>
      </c>
      <c r="K1486" s="366" t="s">
        <v>1694</v>
      </c>
      <c r="L1486" s="366" t="s">
        <v>2238</v>
      </c>
      <c r="M1486" s="350" t="str">
        <f>IF($B1486="Portfolio","Portfolio",IFERROR(INDEX(DATA_ASSET_CLASSIFICATION!$B$8:$B$24,MATCH($C1486,DATA_ASSET_CLASSIFICATION!$A$8:$A$24,0)),"Review"))</f>
        <v>Constance Court</v>
      </c>
      <c r="N1486" s="350" t="str">
        <f ca="1">IF($B1486="Portfolio","Portfolio",IFERROR(INDEX(DATA_ASSET_CLASSIFICATION!$U$8:$U$24,MATCH($C1486,DATA_ASSET_CLASSIFICATION!$A$8:$A$24,0)),"Review"))</f>
        <v>Refi Watch</v>
      </c>
      <c r="O1486" s="350" t="str">
        <f ca="1">IF($B1486="Portfolio","Portfolio",IFERROR(INDEX(DATA_ASSET_CLASSIFICATION!$AB$8:$AB$13,MATCH($N1486,DATA_ASSET_CLASSIFICATION!$AA$8:$AA$13,0)),"Review"))</f>
        <v>Bucket 2 · Legacy</v>
      </c>
      <c r="P1486" s="350" t="str">
        <f>IF($B1486="Portfolio","Portfolio",IFERROR(INDEX(DATA_ASSET_CLASSIFICATION!$C$8:$C$24,MATCH($C1486,DATA_ASSET_CLASSIFICATION!$A$8:$A$24,0)),"Review"))</f>
        <v>Yes</v>
      </c>
      <c r="Q1486" s="350" t="str">
        <f t="shared" ca="1" si="47"/>
        <v>OK</v>
      </c>
    </row>
    <row r="1487" spans="1:17">
      <c r="A1487" s="366" t="s">
        <v>3443</v>
      </c>
      <c r="B1487" s="366" t="s">
        <v>231</v>
      </c>
      <c r="C1487" s="348" t="str">
        <f>DATA_PROPERTY_MASTER!$A$9</f>
        <v>BLD_CC</v>
      </c>
      <c r="D1487" s="380">
        <f>'00_PORTFOLIO ROLLUP'!G$12</f>
        <v>2027</v>
      </c>
      <c r="E1487" s="366" t="s">
        <v>1683</v>
      </c>
      <c r="F1487" s="366" t="s">
        <v>1697</v>
      </c>
      <c r="G1487" s="348" t="str">
        <f>"'"&amp;$C1487&amp;"'!$E$44:$Y$44"</f>
        <v>'BLD_CC'!$E$44:$Y$44</v>
      </c>
      <c r="H1487" s="381">
        <f ca="1">IF(IFERROR(INDEX(DATA_PROPERTY_MASTER!$E$5:$E$21,MATCH($C1487,DATA_PROPERTY_MASTER!$A$5:$A$21,0))="Yes",FALSE),IFERROR(INDEX(INDIRECT("'"&amp;$C1487&amp;"'!$E$44:$Y$44"),1,MATCH($D1487,INDIRECT("'"&amp;$C1487&amp;"'!$E$12:$Y$12"),0)),0),0)</f>
        <v>5306.04</v>
      </c>
      <c r="I1487" s="366" t="s">
        <v>1690</v>
      </c>
      <c r="J1487" s="348" t="str">
        <f t="shared" ca="1" si="46"/>
        <v>OK</v>
      </c>
      <c r="K1487" s="366" t="s">
        <v>1699</v>
      </c>
      <c r="L1487" s="366" t="s">
        <v>2240</v>
      </c>
      <c r="M1487" s="350" t="str">
        <f>IF($B1487="Portfolio","Portfolio",IFERROR(INDEX(DATA_ASSET_CLASSIFICATION!$B$8:$B$24,MATCH($C1487,DATA_ASSET_CLASSIFICATION!$A$8:$A$24,0)),"Review"))</f>
        <v>Constance Court</v>
      </c>
      <c r="N1487" s="350" t="str">
        <f ca="1">IF($B1487="Portfolio","Portfolio",IFERROR(INDEX(DATA_ASSET_CLASSIFICATION!$U$8:$U$24,MATCH($C1487,DATA_ASSET_CLASSIFICATION!$A$8:$A$24,0)),"Review"))</f>
        <v>Refi Watch</v>
      </c>
      <c r="O1487" s="350" t="str">
        <f ca="1">IF($B1487="Portfolio","Portfolio",IFERROR(INDEX(DATA_ASSET_CLASSIFICATION!$AB$8:$AB$13,MATCH($N1487,DATA_ASSET_CLASSIFICATION!$AA$8:$AA$13,0)),"Review"))</f>
        <v>Bucket 2 · Legacy</v>
      </c>
      <c r="P1487" s="350" t="str">
        <f>IF($B1487="Portfolio","Portfolio",IFERROR(INDEX(DATA_ASSET_CLASSIFICATION!$C$8:$C$24,MATCH($C1487,DATA_ASSET_CLASSIFICATION!$A$8:$A$24,0)),"Review"))</f>
        <v>Yes</v>
      </c>
      <c r="Q1487" s="350" t="str">
        <f t="shared" ca="1" si="47"/>
        <v>OK</v>
      </c>
    </row>
    <row r="1488" spans="1:17">
      <c r="A1488" s="366" t="s">
        <v>3444</v>
      </c>
      <c r="B1488" s="366" t="s">
        <v>231</v>
      </c>
      <c r="C1488" s="348" t="str">
        <f>DATA_PROPERTY_MASTER!$A$9</f>
        <v>BLD_CC</v>
      </c>
      <c r="D1488" s="380">
        <f>'00_PORTFOLIO ROLLUP'!G$12</f>
        <v>2027</v>
      </c>
      <c r="E1488" s="366" t="s">
        <v>1683</v>
      </c>
      <c r="F1488" s="366" t="s">
        <v>21</v>
      </c>
      <c r="G1488" s="348" t="str">
        <f>"'"&amp;$C1488&amp;"'!$E$45:$Y$45"</f>
        <v>'BLD_CC'!$E$45:$Y$45</v>
      </c>
      <c r="H1488" s="381">
        <f ca="1">IF(IFERROR(INDEX(DATA_PROPERTY_MASTER!$E$5:$E$21,MATCH($C1488,DATA_PROPERTY_MASTER!$A$5:$A$21,0))="Yes",FALSE),IFERROR(INDEX(INDIRECT("'"&amp;$C1488&amp;"'!$E$45:$Y$45"),1,MATCH($D1488,INDIRECT("'"&amp;$C1488&amp;"'!$E$12:$Y$12"),0)),0),0)</f>
        <v>462677.03098560008</v>
      </c>
      <c r="I1488" s="366" t="s">
        <v>1685</v>
      </c>
      <c r="J1488" s="348" t="str">
        <f t="shared" ca="1" si="46"/>
        <v>OK</v>
      </c>
      <c r="K1488" s="366" t="s">
        <v>1694</v>
      </c>
      <c r="L1488" s="366" t="s">
        <v>2242</v>
      </c>
      <c r="M1488" s="350" t="str">
        <f>IF($B1488="Portfolio","Portfolio",IFERROR(INDEX(DATA_ASSET_CLASSIFICATION!$B$8:$B$24,MATCH($C1488,DATA_ASSET_CLASSIFICATION!$A$8:$A$24,0)),"Review"))</f>
        <v>Constance Court</v>
      </c>
      <c r="N1488" s="350" t="str">
        <f ca="1">IF($B1488="Portfolio","Portfolio",IFERROR(INDEX(DATA_ASSET_CLASSIFICATION!$U$8:$U$24,MATCH($C1488,DATA_ASSET_CLASSIFICATION!$A$8:$A$24,0)),"Review"))</f>
        <v>Refi Watch</v>
      </c>
      <c r="O1488" s="350" t="str">
        <f ca="1">IF($B1488="Portfolio","Portfolio",IFERROR(INDEX(DATA_ASSET_CLASSIFICATION!$AB$8:$AB$13,MATCH($N1488,DATA_ASSET_CLASSIFICATION!$AA$8:$AA$13,0)),"Review"))</f>
        <v>Bucket 2 · Legacy</v>
      </c>
      <c r="P1488" s="350" t="str">
        <f>IF($B1488="Portfolio","Portfolio",IFERROR(INDEX(DATA_ASSET_CLASSIFICATION!$C$8:$C$24,MATCH($C1488,DATA_ASSET_CLASSIFICATION!$A$8:$A$24,0)),"Review"))</f>
        <v>Yes</v>
      </c>
      <c r="Q1488" s="350" t="str">
        <f t="shared" ca="1" si="47"/>
        <v>OK</v>
      </c>
    </row>
    <row r="1489" spans="1:17">
      <c r="A1489" s="366" t="s">
        <v>3445</v>
      </c>
      <c r="B1489" s="366" t="s">
        <v>231</v>
      </c>
      <c r="C1489" s="348" t="str">
        <f>DATA_PROPERTY_MASTER!$A$9</f>
        <v>BLD_CC</v>
      </c>
      <c r="D1489" s="380">
        <f>'00_PORTFOLIO ROLLUP'!G$12</f>
        <v>2027</v>
      </c>
      <c r="E1489" s="366" t="s">
        <v>23</v>
      </c>
      <c r="F1489" s="366" t="s">
        <v>23</v>
      </c>
      <c r="G1489" s="348" t="str">
        <f>"'"&amp;$C1489&amp;"'!$E$48:$Y$48"</f>
        <v>'BLD_CC'!$E$48:$Y$48</v>
      </c>
      <c r="H1489" s="381">
        <f ca="1">IF(IFERROR(INDEX(DATA_PROPERTY_MASTER!$E$5:$E$21,MATCH($C1489,DATA_PROPERTY_MASTER!$A$5:$A$21,0))="Yes",FALSE),IFERROR(INDEX(INDIRECT("'"&amp;$C1489&amp;"'!$E$48:$Y$48"),1,MATCH($D1489,INDIRECT("'"&amp;$C1489&amp;"'!$E$12:$Y$12"),0)),0),0)</f>
        <v>0</v>
      </c>
      <c r="I1489" s="366" t="s">
        <v>1690</v>
      </c>
      <c r="J1489" s="348" t="str">
        <f t="shared" ca="1" si="46"/>
        <v>OK</v>
      </c>
      <c r="K1489" s="366" t="s">
        <v>1706</v>
      </c>
      <c r="L1489" s="366" t="s">
        <v>2244</v>
      </c>
      <c r="M1489" s="350" t="str">
        <f>IF($B1489="Portfolio","Portfolio",IFERROR(INDEX(DATA_ASSET_CLASSIFICATION!$B$8:$B$24,MATCH($C1489,DATA_ASSET_CLASSIFICATION!$A$8:$A$24,0)),"Review"))</f>
        <v>Constance Court</v>
      </c>
      <c r="N1489" s="350" t="str">
        <f ca="1">IF($B1489="Portfolio","Portfolio",IFERROR(INDEX(DATA_ASSET_CLASSIFICATION!$U$8:$U$24,MATCH($C1489,DATA_ASSET_CLASSIFICATION!$A$8:$A$24,0)),"Review"))</f>
        <v>Refi Watch</v>
      </c>
      <c r="O1489" s="350" t="str">
        <f ca="1">IF($B1489="Portfolio","Portfolio",IFERROR(INDEX(DATA_ASSET_CLASSIFICATION!$AB$8:$AB$13,MATCH($N1489,DATA_ASSET_CLASSIFICATION!$AA$8:$AA$13,0)),"Review"))</f>
        <v>Bucket 2 · Legacy</v>
      </c>
      <c r="P1489" s="350" t="str">
        <f>IF($B1489="Portfolio","Portfolio",IFERROR(INDEX(DATA_ASSET_CLASSIFICATION!$C$8:$C$24,MATCH($C1489,DATA_ASSET_CLASSIFICATION!$A$8:$A$24,0)),"Review"))</f>
        <v>Yes</v>
      </c>
      <c r="Q1489" s="350" t="str">
        <f t="shared" ca="1" si="47"/>
        <v>OK</v>
      </c>
    </row>
    <row r="1490" spans="1:17">
      <c r="A1490" s="366" t="s">
        <v>3446</v>
      </c>
      <c r="B1490" s="366" t="s">
        <v>231</v>
      </c>
      <c r="C1490" s="348" t="str">
        <f>DATA_PROPERTY_MASTER!$A$9</f>
        <v>BLD_CC</v>
      </c>
      <c r="D1490" s="380">
        <f>'00_PORTFOLIO ROLLUP'!G$12</f>
        <v>2027</v>
      </c>
      <c r="E1490" s="366" t="s">
        <v>1683</v>
      </c>
      <c r="F1490" s="366" t="s">
        <v>25</v>
      </c>
      <c r="G1490" s="348" t="str">
        <f>"'"&amp;$C1490&amp;"'!$E$52:$Y$52"</f>
        <v>'BLD_CC'!$E$52:$Y$52</v>
      </c>
      <c r="H1490" s="381">
        <f ca="1">IF(IFERROR(INDEX(DATA_PROPERTY_MASTER!$E$5:$E$21,MATCH($C1490,DATA_PROPERTY_MASTER!$A$5:$A$21,0))="Yes",FALSE),IFERROR(INDEX(INDIRECT("'"&amp;$C1490&amp;"'!$E$52:$Y$52"),1,MATCH($D1490,INDIRECT("'"&amp;$C1490&amp;"'!$E$12:$Y$12"),0)),0),0)</f>
        <v>467983.07098560006</v>
      </c>
      <c r="I1490" s="366" t="s">
        <v>1685</v>
      </c>
      <c r="J1490" s="348" t="str">
        <f t="shared" ca="1" si="46"/>
        <v>OK</v>
      </c>
      <c r="K1490" s="366" t="s">
        <v>1710</v>
      </c>
      <c r="L1490" s="366" t="s">
        <v>2246</v>
      </c>
      <c r="M1490" s="350" t="str">
        <f>IF($B1490="Portfolio","Portfolio",IFERROR(INDEX(DATA_ASSET_CLASSIFICATION!$B$8:$B$24,MATCH($C1490,DATA_ASSET_CLASSIFICATION!$A$8:$A$24,0)),"Review"))</f>
        <v>Constance Court</v>
      </c>
      <c r="N1490" s="350" t="str">
        <f ca="1">IF($B1490="Portfolio","Portfolio",IFERROR(INDEX(DATA_ASSET_CLASSIFICATION!$U$8:$U$24,MATCH($C1490,DATA_ASSET_CLASSIFICATION!$A$8:$A$24,0)),"Review"))</f>
        <v>Refi Watch</v>
      </c>
      <c r="O1490" s="350" t="str">
        <f ca="1">IF($B1490="Portfolio","Portfolio",IFERROR(INDEX(DATA_ASSET_CLASSIFICATION!$AB$8:$AB$13,MATCH($N1490,DATA_ASSET_CLASSIFICATION!$AA$8:$AA$13,0)),"Review"))</f>
        <v>Bucket 2 · Legacy</v>
      </c>
      <c r="P1490" s="350" t="str">
        <f>IF($B1490="Portfolio","Portfolio",IFERROR(INDEX(DATA_ASSET_CLASSIFICATION!$C$8:$C$24,MATCH($C1490,DATA_ASSET_CLASSIFICATION!$A$8:$A$24,0)),"Review"))</f>
        <v>Yes</v>
      </c>
      <c r="Q1490" s="350" t="str">
        <f t="shared" ca="1" si="47"/>
        <v>OK</v>
      </c>
    </row>
    <row r="1491" spans="1:17">
      <c r="A1491" s="366" t="s">
        <v>3447</v>
      </c>
      <c r="B1491" s="366" t="s">
        <v>231</v>
      </c>
      <c r="C1491" s="348" t="str">
        <f>DATA_PROPERTY_MASTER!$A$9</f>
        <v>BLD_CC</v>
      </c>
      <c r="D1491" s="380">
        <f>'00_PORTFOLIO ROLLUP'!G$12</f>
        <v>2027</v>
      </c>
      <c r="E1491" s="366" t="s">
        <v>1683</v>
      </c>
      <c r="F1491" s="366" t="s">
        <v>27</v>
      </c>
      <c r="G1491" s="348" t="str">
        <f>"'"&amp;$C1491&amp;"'!$E$54:$Y$54"</f>
        <v>'BLD_CC'!$E$54:$Y$54</v>
      </c>
      <c r="H1491" s="381">
        <f ca="1">IF(IFERROR(INDEX(DATA_PROPERTY_MASTER!$E$5:$E$21,MATCH($C1491,DATA_PROPERTY_MASTER!$A$5:$A$21,0))="Yes",FALSE),IFERROR(INDEX(INDIRECT("'"&amp;$C1491&amp;"'!$E$54:$Y$54"),1,MATCH($D1491,INDIRECT("'"&amp;$C1491&amp;"'!$E$12:$Y$12"),0)),0),0)</f>
        <v>280789.84259136004</v>
      </c>
      <c r="I1491" s="366" t="s">
        <v>1690</v>
      </c>
      <c r="J1491" s="348" t="str">
        <f t="shared" ca="1" si="46"/>
        <v>OK</v>
      </c>
      <c r="K1491" s="366" t="s">
        <v>1714</v>
      </c>
      <c r="L1491" s="366" t="s">
        <v>2248</v>
      </c>
      <c r="M1491" s="350" t="str">
        <f>IF($B1491="Portfolio","Portfolio",IFERROR(INDEX(DATA_ASSET_CLASSIFICATION!$B$8:$B$24,MATCH($C1491,DATA_ASSET_CLASSIFICATION!$A$8:$A$24,0)),"Review"))</f>
        <v>Constance Court</v>
      </c>
      <c r="N1491" s="350" t="str">
        <f ca="1">IF($B1491="Portfolio","Portfolio",IFERROR(INDEX(DATA_ASSET_CLASSIFICATION!$U$8:$U$24,MATCH($C1491,DATA_ASSET_CLASSIFICATION!$A$8:$A$24,0)),"Review"))</f>
        <v>Refi Watch</v>
      </c>
      <c r="O1491" s="350" t="str">
        <f ca="1">IF($B1491="Portfolio","Portfolio",IFERROR(INDEX(DATA_ASSET_CLASSIFICATION!$AB$8:$AB$13,MATCH($N1491,DATA_ASSET_CLASSIFICATION!$AA$8:$AA$13,0)),"Review"))</f>
        <v>Bucket 2 · Legacy</v>
      </c>
      <c r="P1491" s="350" t="str">
        <f>IF($B1491="Portfolio","Portfolio",IFERROR(INDEX(DATA_ASSET_CLASSIFICATION!$C$8:$C$24,MATCH($C1491,DATA_ASSET_CLASSIFICATION!$A$8:$A$24,0)),"Review"))</f>
        <v>Yes</v>
      </c>
      <c r="Q1491" s="350" t="str">
        <f t="shared" ca="1" si="47"/>
        <v>OK</v>
      </c>
    </row>
    <row r="1492" spans="1:17">
      <c r="A1492" s="366" t="s">
        <v>3448</v>
      </c>
      <c r="B1492" s="366" t="s">
        <v>231</v>
      </c>
      <c r="C1492" s="348" t="str">
        <f>DATA_PROPERTY_MASTER!$A$9</f>
        <v>BLD_CC</v>
      </c>
      <c r="D1492" s="380">
        <f>'00_PORTFOLIO ROLLUP'!G$12</f>
        <v>2027</v>
      </c>
      <c r="E1492" s="366" t="s">
        <v>1683</v>
      </c>
      <c r="F1492" s="366" t="s">
        <v>29</v>
      </c>
      <c r="G1492" s="348" t="str">
        <f>"'"&amp;$C1492&amp;"'!$E$56:$Y$56"</f>
        <v>'BLD_CC'!$E$56:$Y$56</v>
      </c>
      <c r="H1492" s="381">
        <f ca="1">IF(IFERROR(INDEX(DATA_PROPERTY_MASTER!$E$5:$E$21,MATCH($C1492,DATA_PROPERTY_MASTER!$A$5:$A$21,0))="Yes",FALSE),IFERROR(INDEX(INDIRECT("'"&amp;$C1492&amp;"'!$E$56:$Y$56"),1,MATCH($D1492,INDIRECT("'"&amp;$C1492&amp;"'!$E$12:$Y$12"),0)),0),0)</f>
        <v>187193.22839424002</v>
      </c>
      <c r="I1492" s="366" t="s">
        <v>1685</v>
      </c>
      <c r="J1492" s="348" t="str">
        <f t="shared" ca="1" si="46"/>
        <v>OK</v>
      </c>
      <c r="K1492" s="366" t="s">
        <v>1718</v>
      </c>
      <c r="L1492" s="366" t="s">
        <v>2250</v>
      </c>
      <c r="M1492" s="350" t="str">
        <f>IF($B1492="Portfolio","Portfolio",IFERROR(INDEX(DATA_ASSET_CLASSIFICATION!$B$8:$B$24,MATCH($C1492,DATA_ASSET_CLASSIFICATION!$A$8:$A$24,0)),"Review"))</f>
        <v>Constance Court</v>
      </c>
      <c r="N1492" s="350" t="str">
        <f ca="1">IF($B1492="Portfolio","Portfolio",IFERROR(INDEX(DATA_ASSET_CLASSIFICATION!$U$8:$U$24,MATCH($C1492,DATA_ASSET_CLASSIFICATION!$A$8:$A$24,0)),"Review"))</f>
        <v>Refi Watch</v>
      </c>
      <c r="O1492" s="350" t="str">
        <f ca="1">IF($B1492="Portfolio","Portfolio",IFERROR(INDEX(DATA_ASSET_CLASSIFICATION!$AB$8:$AB$13,MATCH($N1492,DATA_ASSET_CLASSIFICATION!$AA$8:$AA$13,0)),"Review"))</f>
        <v>Bucket 2 · Legacy</v>
      </c>
      <c r="P1492" s="350" t="str">
        <f>IF($B1492="Portfolio","Portfolio",IFERROR(INDEX(DATA_ASSET_CLASSIFICATION!$C$8:$C$24,MATCH($C1492,DATA_ASSET_CLASSIFICATION!$A$8:$A$24,0)),"Review"))</f>
        <v>Yes</v>
      </c>
      <c r="Q1492" s="350" t="str">
        <f t="shared" ca="1" si="47"/>
        <v>OK</v>
      </c>
    </row>
    <row r="1493" spans="1:17">
      <c r="A1493" s="366" t="s">
        <v>3449</v>
      </c>
      <c r="B1493" s="366" t="s">
        <v>231</v>
      </c>
      <c r="C1493" s="348" t="str">
        <f>DATA_PROPERTY_MASTER!$A$9</f>
        <v>BLD_CC</v>
      </c>
      <c r="D1493" s="380">
        <f>'00_PORTFOLIO ROLLUP'!G$12</f>
        <v>2027</v>
      </c>
      <c r="E1493" s="366" t="s">
        <v>1721</v>
      </c>
      <c r="F1493" s="366" t="s">
        <v>31</v>
      </c>
      <c r="G1493" s="348" t="str">
        <f>"'"&amp;$C1493&amp;"'!$E$61:$Y$61"</f>
        <v>'BLD_CC'!$E$61:$Y$61</v>
      </c>
      <c r="H1493" s="381">
        <f ca="1">IF(IFERROR(INDEX(DATA_PROPERTY_MASTER!$E$5:$E$21,MATCH($C1493,DATA_PROPERTY_MASTER!$A$5:$A$21,0))="Yes",FALSE),IFERROR(INDEX(INDIRECT("'"&amp;$C1493&amp;"'!$E$61:$Y$61"),1,MATCH($D1493,INDIRECT("'"&amp;$C1493&amp;"'!$E$12:$Y$12"),0)),0),0)</f>
        <v>0</v>
      </c>
      <c r="I1493" s="366" t="s">
        <v>1690</v>
      </c>
      <c r="J1493" s="348" t="str">
        <f t="shared" ca="1" si="46"/>
        <v>OK</v>
      </c>
      <c r="K1493" s="366" t="s">
        <v>1723</v>
      </c>
      <c r="L1493" s="366" t="s">
        <v>2252</v>
      </c>
      <c r="M1493" s="350" t="str">
        <f>IF($B1493="Portfolio","Portfolio",IFERROR(INDEX(DATA_ASSET_CLASSIFICATION!$B$8:$B$24,MATCH($C1493,DATA_ASSET_CLASSIFICATION!$A$8:$A$24,0)),"Review"))</f>
        <v>Constance Court</v>
      </c>
      <c r="N1493" s="350" t="str">
        <f ca="1">IF($B1493="Portfolio","Portfolio",IFERROR(INDEX(DATA_ASSET_CLASSIFICATION!$U$8:$U$24,MATCH($C1493,DATA_ASSET_CLASSIFICATION!$A$8:$A$24,0)),"Review"))</f>
        <v>Refi Watch</v>
      </c>
      <c r="O1493" s="350" t="str">
        <f ca="1">IF($B1493="Portfolio","Portfolio",IFERROR(INDEX(DATA_ASSET_CLASSIFICATION!$AB$8:$AB$13,MATCH($N1493,DATA_ASSET_CLASSIFICATION!$AA$8:$AA$13,0)),"Review"))</f>
        <v>Bucket 2 · Legacy</v>
      </c>
      <c r="P1493" s="350" t="str">
        <f>IF($B1493="Portfolio","Portfolio",IFERROR(INDEX(DATA_ASSET_CLASSIFICATION!$C$8:$C$24,MATCH($C1493,DATA_ASSET_CLASSIFICATION!$A$8:$A$24,0)),"Review"))</f>
        <v>Yes</v>
      </c>
      <c r="Q1493" s="350" t="str">
        <f t="shared" ca="1" si="47"/>
        <v>OK</v>
      </c>
    </row>
    <row r="1494" spans="1:17">
      <c r="A1494" s="366" t="s">
        <v>3450</v>
      </c>
      <c r="B1494" s="366" t="s">
        <v>231</v>
      </c>
      <c r="C1494" s="348" t="str">
        <f>DATA_PROPERTY_MASTER!$A$9</f>
        <v>BLD_CC</v>
      </c>
      <c r="D1494" s="380">
        <f>'00_PORTFOLIO ROLLUP'!G$12</f>
        <v>2027</v>
      </c>
      <c r="E1494" s="366" t="s">
        <v>1721</v>
      </c>
      <c r="F1494" s="366" t="s">
        <v>33</v>
      </c>
      <c r="G1494" s="348" t="str">
        <f>"'"&amp;$C1494&amp;"'!$E$62:$Y$62"</f>
        <v>'BLD_CC'!$E$62:$Y$62</v>
      </c>
      <c r="H1494" s="381">
        <f ca="1">IF(IFERROR(INDEX(DATA_PROPERTY_MASTER!$E$5:$E$21,MATCH($C1494,DATA_PROPERTY_MASTER!$A$5:$A$21,0))="Yes",FALSE),IFERROR(INDEX(INDIRECT("'"&amp;$C1494&amp;"'!$E$62:$Y$62"),1,MATCH($D1494,INDIRECT("'"&amp;$C1494&amp;"'!$E$12:$Y$12"),0)),0),0)</f>
        <v>0</v>
      </c>
      <c r="I1494" s="366" t="s">
        <v>1685</v>
      </c>
      <c r="J1494" s="348" t="str">
        <f t="shared" ca="1" si="46"/>
        <v>OK</v>
      </c>
      <c r="K1494" s="366" t="s">
        <v>1727</v>
      </c>
      <c r="L1494" s="366" t="s">
        <v>2254</v>
      </c>
      <c r="M1494" s="350" t="str">
        <f>IF($B1494="Portfolio","Portfolio",IFERROR(INDEX(DATA_ASSET_CLASSIFICATION!$B$8:$B$24,MATCH($C1494,DATA_ASSET_CLASSIFICATION!$A$8:$A$24,0)),"Review"))</f>
        <v>Constance Court</v>
      </c>
      <c r="N1494" s="350" t="str">
        <f ca="1">IF($B1494="Portfolio","Portfolio",IFERROR(INDEX(DATA_ASSET_CLASSIFICATION!$U$8:$U$24,MATCH($C1494,DATA_ASSET_CLASSIFICATION!$A$8:$A$24,0)),"Review"))</f>
        <v>Refi Watch</v>
      </c>
      <c r="O1494" s="350" t="str">
        <f ca="1">IF($B1494="Portfolio","Portfolio",IFERROR(INDEX(DATA_ASSET_CLASSIFICATION!$AB$8:$AB$13,MATCH($N1494,DATA_ASSET_CLASSIFICATION!$AA$8:$AA$13,0)),"Review"))</f>
        <v>Bucket 2 · Legacy</v>
      </c>
      <c r="P1494" s="350" t="str">
        <f>IF($B1494="Portfolio","Portfolio",IFERROR(INDEX(DATA_ASSET_CLASSIFICATION!$C$8:$C$24,MATCH($C1494,DATA_ASSET_CLASSIFICATION!$A$8:$A$24,0)),"Review"))</f>
        <v>Yes</v>
      </c>
      <c r="Q1494" s="350" t="str">
        <f t="shared" ca="1" si="47"/>
        <v>OK</v>
      </c>
    </row>
    <row r="1495" spans="1:17">
      <c r="A1495" s="366" t="s">
        <v>3451</v>
      </c>
      <c r="B1495" s="366" t="s">
        <v>231</v>
      </c>
      <c r="C1495" s="348" t="str">
        <f>DATA_PROPERTY_MASTER!$A$9</f>
        <v>BLD_CC</v>
      </c>
      <c r="D1495" s="380">
        <f>'00_PORTFOLIO ROLLUP'!G$12</f>
        <v>2027</v>
      </c>
      <c r="E1495" s="366" t="s">
        <v>1721</v>
      </c>
      <c r="F1495" s="366" t="s">
        <v>35</v>
      </c>
      <c r="G1495" s="348" t="str">
        <f>"'"&amp;$C1495&amp;"'!$E$63:$Y$63"</f>
        <v>'BLD_CC'!$E$63:$Y$63</v>
      </c>
      <c r="H1495" s="381">
        <f ca="1">IF(IFERROR(INDEX(DATA_PROPERTY_MASTER!$E$5:$E$21,MATCH($C1495,DATA_PROPERTY_MASTER!$A$5:$A$21,0))="Yes",FALSE),IFERROR(INDEX(INDIRECT("'"&amp;$C1495&amp;"'!$E$63:$Y$63"),1,MATCH($D1495,INDIRECT("'"&amp;$C1495&amp;"'!$E$12:$Y$12"),0)),0),0)</f>
        <v>0</v>
      </c>
      <c r="I1495" s="366" t="s">
        <v>1731</v>
      </c>
      <c r="J1495" s="348" t="str">
        <f t="shared" ca="1" si="46"/>
        <v>OK</v>
      </c>
      <c r="K1495" s="366" t="s">
        <v>1732</v>
      </c>
      <c r="L1495" s="366" t="s">
        <v>2256</v>
      </c>
      <c r="M1495" s="350" t="str">
        <f>IF($B1495="Portfolio","Portfolio",IFERROR(INDEX(DATA_ASSET_CLASSIFICATION!$B$8:$B$24,MATCH($C1495,DATA_ASSET_CLASSIFICATION!$A$8:$A$24,0)),"Review"))</f>
        <v>Constance Court</v>
      </c>
      <c r="N1495" s="350" t="str">
        <f ca="1">IF($B1495="Portfolio","Portfolio",IFERROR(INDEX(DATA_ASSET_CLASSIFICATION!$U$8:$U$24,MATCH($C1495,DATA_ASSET_CLASSIFICATION!$A$8:$A$24,0)),"Review"))</f>
        <v>Refi Watch</v>
      </c>
      <c r="O1495" s="350" t="str">
        <f ca="1">IF($B1495="Portfolio","Portfolio",IFERROR(INDEX(DATA_ASSET_CLASSIFICATION!$AB$8:$AB$13,MATCH($N1495,DATA_ASSET_CLASSIFICATION!$AA$8:$AA$13,0)),"Review"))</f>
        <v>Bucket 2 · Legacy</v>
      </c>
      <c r="P1495" s="350" t="str">
        <f>IF($B1495="Portfolio","Portfolio",IFERROR(INDEX(DATA_ASSET_CLASSIFICATION!$C$8:$C$24,MATCH($C1495,DATA_ASSET_CLASSIFICATION!$A$8:$A$24,0)),"Review"))</f>
        <v>Yes</v>
      </c>
      <c r="Q1495" s="350" t="str">
        <f t="shared" ca="1" si="47"/>
        <v>OK</v>
      </c>
    </row>
    <row r="1496" spans="1:17">
      <c r="A1496" s="366" t="s">
        <v>3452</v>
      </c>
      <c r="B1496" s="366" t="s">
        <v>231</v>
      </c>
      <c r="C1496" s="348" t="str">
        <f>DATA_PROPERTY_MASTER!$A$9</f>
        <v>BLD_CC</v>
      </c>
      <c r="D1496" s="380">
        <f>'00_PORTFOLIO ROLLUP'!G$12</f>
        <v>2027</v>
      </c>
      <c r="E1496" s="366" t="s">
        <v>1721</v>
      </c>
      <c r="F1496" s="366" t="s">
        <v>37</v>
      </c>
      <c r="G1496" s="348" t="str">
        <f>"'"&amp;$C1496&amp;"'!$E$63:$Y$63"</f>
        <v>'BLD_CC'!$E$63:$Y$63</v>
      </c>
      <c r="H1496" s="381">
        <f ca="1">IF(IFERROR(INDEX(DATA_PROPERTY_MASTER!$E$5:$E$21,MATCH($C1496,DATA_PROPERTY_MASTER!$A$5:$A$21,0))="Yes",FALSE),MAX(IFERROR(INDEX(INDIRECT("'"&amp;$C1496&amp;"'!$E$63:$Y$63"),1,MATCH($D1496,INDIRECT("'"&amp;$C1496&amp;"'!$E$12:$Y$12"),0)),0),0),0)</f>
        <v>0</v>
      </c>
      <c r="I1496" s="366" t="s">
        <v>1685</v>
      </c>
      <c r="J1496" s="348" t="str">
        <f t="shared" ca="1" si="46"/>
        <v>OK</v>
      </c>
      <c r="K1496" s="366" t="s">
        <v>1735</v>
      </c>
      <c r="L1496" s="366" t="s">
        <v>2258</v>
      </c>
      <c r="M1496" s="350" t="str">
        <f>IF($B1496="Portfolio","Portfolio",IFERROR(INDEX(DATA_ASSET_CLASSIFICATION!$B$8:$B$24,MATCH($C1496,DATA_ASSET_CLASSIFICATION!$A$8:$A$24,0)),"Review"))</f>
        <v>Constance Court</v>
      </c>
      <c r="N1496" s="350" t="str">
        <f ca="1">IF($B1496="Portfolio","Portfolio",IFERROR(INDEX(DATA_ASSET_CLASSIFICATION!$U$8:$U$24,MATCH($C1496,DATA_ASSET_CLASSIFICATION!$A$8:$A$24,0)),"Review"))</f>
        <v>Refi Watch</v>
      </c>
      <c r="O1496" s="350" t="str">
        <f ca="1">IF($B1496="Portfolio","Portfolio",IFERROR(INDEX(DATA_ASSET_CLASSIFICATION!$AB$8:$AB$13,MATCH($N1496,DATA_ASSET_CLASSIFICATION!$AA$8:$AA$13,0)),"Review"))</f>
        <v>Bucket 2 · Legacy</v>
      </c>
      <c r="P1496" s="350" t="str">
        <f>IF($B1496="Portfolio","Portfolio",IFERROR(INDEX(DATA_ASSET_CLASSIFICATION!$C$8:$C$24,MATCH($C1496,DATA_ASSET_CLASSIFICATION!$A$8:$A$24,0)),"Review"))</f>
        <v>Yes</v>
      </c>
      <c r="Q1496" s="350" t="str">
        <f t="shared" ca="1" si="47"/>
        <v>OK</v>
      </c>
    </row>
    <row r="1497" spans="1:17">
      <c r="A1497" s="366" t="s">
        <v>3453</v>
      </c>
      <c r="B1497" s="366" t="s">
        <v>231</v>
      </c>
      <c r="C1497" s="348" t="str">
        <f>DATA_PROPERTY_MASTER!$A$9</f>
        <v>BLD_CC</v>
      </c>
      <c r="D1497" s="380">
        <f>'00_PORTFOLIO ROLLUP'!G$12</f>
        <v>2027</v>
      </c>
      <c r="E1497" s="366" t="s">
        <v>1721</v>
      </c>
      <c r="F1497" s="366" t="s">
        <v>39</v>
      </c>
      <c r="G1497" s="348" t="str">
        <f>"'"&amp;$C1497&amp;"'!$E$63:$Y$63"</f>
        <v>'BLD_CC'!$E$63:$Y$63</v>
      </c>
      <c r="H1497" s="381">
        <f ca="1">IF(IFERROR(INDEX(DATA_PROPERTY_MASTER!$E$5:$E$21,MATCH($C1497,DATA_PROPERTY_MASTER!$A$5:$A$21,0))="Yes",FALSE),MAX(-IFERROR(INDEX(INDIRECT("'"&amp;$C1497&amp;"'!$E$63:$Y$63"),1,MATCH($D1497,INDIRECT("'"&amp;$C1497&amp;"'!$E$12:$Y$12"),0)),0),0),0)</f>
        <v>0</v>
      </c>
      <c r="I1497" s="366" t="s">
        <v>1690</v>
      </c>
      <c r="J1497" s="348" t="str">
        <f t="shared" ca="1" si="46"/>
        <v>OK</v>
      </c>
      <c r="K1497" s="366" t="s">
        <v>1738</v>
      </c>
      <c r="L1497" s="366" t="s">
        <v>2260</v>
      </c>
      <c r="M1497" s="350" t="str">
        <f>IF($B1497="Portfolio","Portfolio",IFERROR(INDEX(DATA_ASSET_CLASSIFICATION!$B$8:$B$24,MATCH($C1497,DATA_ASSET_CLASSIFICATION!$A$8:$A$24,0)),"Review"))</f>
        <v>Constance Court</v>
      </c>
      <c r="N1497" s="350" t="str">
        <f ca="1">IF($B1497="Portfolio","Portfolio",IFERROR(INDEX(DATA_ASSET_CLASSIFICATION!$U$8:$U$24,MATCH($C1497,DATA_ASSET_CLASSIFICATION!$A$8:$A$24,0)),"Review"))</f>
        <v>Refi Watch</v>
      </c>
      <c r="O1497" s="350" t="str">
        <f ca="1">IF($B1497="Portfolio","Portfolio",IFERROR(INDEX(DATA_ASSET_CLASSIFICATION!$AB$8:$AB$13,MATCH($N1497,DATA_ASSET_CLASSIFICATION!$AA$8:$AA$13,0)),"Review"))</f>
        <v>Bucket 2 · Legacy</v>
      </c>
      <c r="P1497" s="350" t="str">
        <f>IF($B1497="Portfolio","Portfolio",IFERROR(INDEX(DATA_ASSET_CLASSIFICATION!$C$8:$C$24,MATCH($C1497,DATA_ASSET_CLASSIFICATION!$A$8:$A$24,0)),"Review"))</f>
        <v>Yes</v>
      </c>
      <c r="Q1497" s="350" t="str">
        <f t="shared" ca="1" si="47"/>
        <v>OK</v>
      </c>
    </row>
    <row r="1498" spans="1:17">
      <c r="A1498" s="366" t="s">
        <v>3454</v>
      </c>
      <c r="B1498" s="366" t="s">
        <v>231</v>
      </c>
      <c r="C1498" s="348" t="str">
        <f>DATA_PROPERTY_MASTER!$A$9</f>
        <v>BLD_CC</v>
      </c>
      <c r="D1498" s="380">
        <f>'00_PORTFOLIO ROLLUP'!G$12</f>
        <v>2027</v>
      </c>
      <c r="E1498" s="366" t="s">
        <v>1741</v>
      </c>
      <c r="F1498" s="366" t="s">
        <v>41</v>
      </c>
      <c r="G1498" s="348" t="str">
        <f>"'"&amp;$C1498&amp;"'!rows 56 + positive row 63"</f>
        <v>'BLD_CC'!rows 56 + positive row 63</v>
      </c>
      <c r="H1498" s="381">
        <f ca="1">IF(IFERROR(INDEX(DATA_PROPERTY_MASTER!$E$5:$E$21,MATCH($C1498,DATA_PROPERTY_MASTER!$A$5:$A$21,0))="Yes",FALSE),IFERROR(INDEX(INDIRECT("'"&amp;$C1498&amp;"'!$E$56:$Y$56"),1,MATCH($D1498,INDIRECT("'"&amp;$C1498&amp;"'!$E$12:$Y$12"),0)),0)+MAX(IFERROR(INDEX(INDIRECT("'"&amp;$C1498&amp;"'!$E$63:$Y$63"),1,MATCH($D1498,INDIRECT("'"&amp;$C1498&amp;"'!$E$12:$Y$12"),0)),0),0),0)</f>
        <v>187193.22839424002</v>
      </c>
      <c r="I1498" s="366" t="s">
        <v>1685</v>
      </c>
      <c r="J1498" s="348" t="str">
        <f t="shared" ca="1" si="46"/>
        <v>OK</v>
      </c>
      <c r="K1498" s="366" t="s">
        <v>1742</v>
      </c>
      <c r="L1498" s="366" t="s">
        <v>2262</v>
      </c>
      <c r="M1498" s="350" t="str">
        <f>IF($B1498="Portfolio","Portfolio",IFERROR(INDEX(DATA_ASSET_CLASSIFICATION!$B$8:$B$24,MATCH($C1498,DATA_ASSET_CLASSIFICATION!$A$8:$A$24,0)),"Review"))</f>
        <v>Constance Court</v>
      </c>
      <c r="N1498" s="350" t="str">
        <f ca="1">IF($B1498="Portfolio","Portfolio",IFERROR(INDEX(DATA_ASSET_CLASSIFICATION!$U$8:$U$24,MATCH($C1498,DATA_ASSET_CLASSIFICATION!$A$8:$A$24,0)),"Review"))</f>
        <v>Refi Watch</v>
      </c>
      <c r="O1498" s="350" t="str">
        <f ca="1">IF($B1498="Portfolio","Portfolio",IFERROR(INDEX(DATA_ASSET_CLASSIFICATION!$AB$8:$AB$13,MATCH($N1498,DATA_ASSET_CLASSIFICATION!$AA$8:$AA$13,0)),"Review"))</f>
        <v>Bucket 2 · Legacy</v>
      </c>
      <c r="P1498" s="350" t="str">
        <f>IF($B1498="Portfolio","Portfolio",IFERROR(INDEX(DATA_ASSET_CLASSIFICATION!$C$8:$C$24,MATCH($C1498,DATA_ASSET_CLASSIFICATION!$A$8:$A$24,0)),"Review"))</f>
        <v>Yes</v>
      </c>
      <c r="Q1498" s="350" t="str">
        <f t="shared" ca="1" si="47"/>
        <v>OK</v>
      </c>
    </row>
    <row r="1499" spans="1:17">
      <c r="A1499" s="366" t="s">
        <v>3455</v>
      </c>
      <c r="B1499" s="366" t="s">
        <v>231</v>
      </c>
      <c r="C1499" s="348" t="str">
        <f>DATA_PROPERTY_MASTER!$A$9</f>
        <v>BLD_CC</v>
      </c>
      <c r="D1499" s="380">
        <f>'00_PORTFOLIO ROLLUP'!G$12</f>
        <v>2027</v>
      </c>
      <c r="E1499" s="366" t="s">
        <v>1741</v>
      </c>
      <c r="F1499" s="366" t="s">
        <v>43</v>
      </c>
      <c r="G1499" s="348" t="str">
        <f>"'"&amp;$C1499&amp;"'!$E$68:$Y$68"</f>
        <v>'BLD_CC'!$E$68:$Y$68</v>
      </c>
      <c r="H1499" s="381">
        <f ca="1">IF(IFERROR(INDEX(DATA_PROPERTY_MASTER!$E$5:$E$21,MATCH($C1499,DATA_PROPERTY_MASTER!$A$5:$A$21,0))="Yes",FALSE),IFERROR(INDEX(INDIRECT("'"&amp;$C1499&amp;"'!$E$68:$Y$68"),1,MATCH($D1499,INDIRECT("'"&amp;$C1499&amp;"'!$E$12:$Y$12"),0)),0),0)</f>
        <v>187193.22839424002</v>
      </c>
      <c r="I1499" s="366" t="s">
        <v>1731</v>
      </c>
      <c r="J1499" s="348" t="str">
        <f t="shared" ca="1" si="46"/>
        <v>OK</v>
      </c>
      <c r="K1499" s="366" t="s">
        <v>1746</v>
      </c>
      <c r="L1499" s="366" t="s">
        <v>2264</v>
      </c>
      <c r="M1499" s="350" t="str">
        <f>IF($B1499="Portfolio","Portfolio",IFERROR(INDEX(DATA_ASSET_CLASSIFICATION!$B$8:$B$24,MATCH($C1499,DATA_ASSET_CLASSIFICATION!$A$8:$A$24,0)),"Review"))</f>
        <v>Constance Court</v>
      </c>
      <c r="N1499" s="350" t="str">
        <f ca="1">IF($B1499="Portfolio","Portfolio",IFERROR(INDEX(DATA_ASSET_CLASSIFICATION!$U$8:$U$24,MATCH($C1499,DATA_ASSET_CLASSIFICATION!$A$8:$A$24,0)),"Review"))</f>
        <v>Refi Watch</v>
      </c>
      <c r="O1499" s="350" t="str">
        <f ca="1">IF($B1499="Portfolio","Portfolio",IFERROR(INDEX(DATA_ASSET_CLASSIFICATION!$AB$8:$AB$13,MATCH($N1499,DATA_ASSET_CLASSIFICATION!$AA$8:$AA$13,0)),"Review"))</f>
        <v>Bucket 2 · Legacy</v>
      </c>
      <c r="P1499" s="350" t="str">
        <f>IF($B1499="Portfolio","Portfolio",IFERROR(INDEX(DATA_ASSET_CLASSIFICATION!$C$8:$C$24,MATCH($C1499,DATA_ASSET_CLASSIFICATION!$A$8:$A$24,0)),"Review"))</f>
        <v>Yes</v>
      </c>
      <c r="Q1499" s="350" t="str">
        <f t="shared" ca="1" si="47"/>
        <v>OK</v>
      </c>
    </row>
    <row r="1500" spans="1:17">
      <c r="A1500" s="366" t="s">
        <v>3456</v>
      </c>
      <c r="B1500" s="366" t="s">
        <v>231</v>
      </c>
      <c r="C1500" s="348" t="str">
        <f>DATA_PROPERTY_MASTER!$A$9</f>
        <v>BLD_CC</v>
      </c>
      <c r="D1500" s="380">
        <f>'00_PORTFOLIO ROLLUP'!G$12</f>
        <v>2027</v>
      </c>
      <c r="E1500" s="366" t="s">
        <v>1741</v>
      </c>
      <c r="F1500" s="366" t="s">
        <v>1749</v>
      </c>
      <c r="G1500" s="348" t="str">
        <f>"'"&amp;$C1500&amp;"'!rows 56, 63, 68"</f>
        <v>'BLD_CC'!rows 56, 63, 68</v>
      </c>
      <c r="H1500" s="381">
        <f ca="1">IF(IFERROR(INDEX(DATA_PROPERTY_MASTER!$E$5:$E$21,MATCH($C1500,DATA_PROPERTY_MASTER!$A$5:$A$21,0))="Yes",FALSE),(IFERROR(INDEX(INDIRECT("'"&amp;$C1500&amp;"'!$E$56:$Y$56"),1,MATCH($D1500,INDIRECT("'"&amp;$C1500&amp;"'!$E$12:$Y$12"),0)),0)+MAX(IFERROR(INDEX(INDIRECT("'"&amp;$C1500&amp;"'!$E$63:$Y$63"),1,MATCH($D1500,INDIRECT("'"&amp;$C1500&amp;"'!$E$12:$Y$12"),0)),0),0))-(IFERROR(INDEX(INDIRECT("'"&amp;$C1500&amp;"'!$E$68:$Y$68"),1,MATCH($D1500,INDIRECT("'"&amp;$C1500&amp;"'!$E$12:$Y$12"),0)),0)),0)</f>
        <v>0</v>
      </c>
      <c r="I1500" s="366" t="s">
        <v>1750</v>
      </c>
      <c r="J1500" s="348" t="str">
        <f t="shared" ca="1" si="46"/>
        <v>OK</v>
      </c>
      <c r="K1500" s="366" t="s">
        <v>1751</v>
      </c>
      <c r="L1500" s="366" t="s">
        <v>2266</v>
      </c>
      <c r="M1500" s="350" t="str">
        <f>IF($B1500="Portfolio","Portfolio",IFERROR(INDEX(DATA_ASSET_CLASSIFICATION!$B$8:$B$24,MATCH($C1500,DATA_ASSET_CLASSIFICATION!$A$8:$A$24,0)),"Review"))</f>
        <v>Constance Court</v>
      </c>
      <c r="N1500" s="350" t="str">
        <f ca="1">IF($B1500="Portfolio","Portfolio",IFERROR(INDEX(DATA_ASSET_CLASSIFICATION!$U$8:$U$24,MATCH($C1500,DATA_ASSET_CLASSIFICATION!$A$8:$A$24,0)),"Review"))</f>
        <v>Refi Watch</v>
      </c>
      <c r="O1500" s="350" t="str">
        <f ca="1">IF($B1500="Portfolio","Portfolio",IFERROR(INDEX(DATA_ASSET_CLASSIFICATION!$AB$8:$AB$13,MATCH($N1500,DATA_ASSET_CLASSIFICATION!$AA$8:$AA$13,0)),"Review"))</f>
        <v>Bucket 2 · Legacy</v>
      </c>
      <c r="P1500" s="350" t="str">
        <f>IF($B1500="Portfolio","Portfolio",IFERROR(INDEX(DATA_ASSET_CLASSIFICATION!$C$8:$C$24,MATCH($C1500,DATA_ASSET_CLASSIFICATION!$A$8:$A$24,0)),"Review"))</f>
        <v>Yes</v>
      </c>
      <c r="Q1500" s="350" t="str">
        <f t="shared" ca="1" si="47"/>
        <v>OK</v>
      </c>
    </row>
    <row r="1501" spans="1:17">
      <c r="A1501" s="366" t="s">
        <v>3457</v>
      </c>
      <c r="B1501" s="366" t="s">
        <v>231</v>
      </c>
      <c r="C1501" s="348" t="str">
        <f>DATA_PROPERTY_MASTER!$A$9</f>
        <v>BLD_CC</v>
      </c>
      <c r="D1501" s="380">
        <f>'00_PORTFOLIO ROLLUP'!H$12</f>
        <v>2028</v>
      </c>
      <c r="E1501" s="366" t="s">
        <v>1683</v>
      </c>
      <c r="F1501" s="366" t="s">
        <v>341</v>
      </c>
      <c r="G1501" s="348" t="str">
        <f>"'"&amp;$C1501&amp;"'!$E$24:$Y$24"</f>
        <v>'BLD_CC'!$E$24:$Y$24</v>
      </c>
      <c r="H1501" s="381">
        <f ca="1">IF(IFERROR(INDEX(DATA_PROPERTY_MASTER!$E$5:$E$21,MATCH($C1501,DATA_PROPERTY_MASTER!$A$5:$A$21,0))="Yes",FALSE),IFERROR(INDEX(INDIRECT("'"&amp;$C1501&amp;"'!$E$24:$Y$24"),1,MATCH($D1501,INDIRECT("'"&amp;$C1501&amp;"'!$E$12:$Y$12"),0)),0),0)</f>
        <v>523306.14050131215</v>
      </c>
      <c r="I1501" s="366" t="s">
        <v>1685</v>
      </c>
      <c r="J1501" s="348" t="str">
        <f t="shared" ca="1" si="46"/>
        <v>OK</v>
      </c>
      <c r="K1501" s="366" t="s">
        <v>1686</v>
      </c>
      <c r="L1501" s="366" t="s">
        <v>2234</v>
      </c>
      <c r="M1501" s="350" t="str">
        <f>IF($B1501="Portfolio","Portfolio",IFERROR(INDEX(DATA_ASSET_CLASSIFICATION!$B$8:$B$24,MATCH($C1501,DATA_ASSET_CLASSIFICATION!$A$8:$A$24,0)),"Review"))</f>
        <v>Constance Court</v>
      </c>
      <c r="N1501" s="350" t="str">
        <f ca="1">IF($B1501="Portfolio","Portfolio",IFERROR(INDEX(DATA_ASSET_CLASSIFICATION!$U$8:$U$24,MATCH($C1501,DATA_ASSET_CLASSIFICATION!$A$8:$A$24,0)),"Review"))</f>
        <v>Refi Watch</v>
      </c>
      <c r="O1501" s="350" t="str">
        <f ca="1">IF($B1501="Portfolio","Portfolio",IFERROR(INDEX(DATA_ASSET_CLASSIFICATION!$AB$8:$AB$13,MATCH($N1501,DATA_ASSET_CLASSIFICATION!$AA$8:$AA$13,0)),"Review"))</f>
        <v>Bucket 2 · Legacy</v>
      </c>
      <c r="P1501" s="350" t="str">
        <f>IF($B1501="Portfolio","Portfolio",IFERROR(INDEX(DATA_ASSET_CLASSIFICATION!$C$8:$C$24,MATCH($C1501,DATA_ASSET_CLASSIFICATION!$A$8:$A$24,0)),"Review"))</f>
        <v>Yes</v>
      </c>
      <c r="Q1501" s="350" t="str">
        <f t="shared" ca="1" si="47"/>
        <v>OK</v>
      </c>
    </row>
    <row r="1502" spans="1:17">
      <c r="A1502" s="366" t="s">
        <v>3458</v>
      </c>
      <c r="B1502" s="366" t="s">
        <v>231</v>
      </c>
      <c r="C1502" s="348" t="str">
        <f>DATA_PROPERTY_MASTER!$A$9</f>
        <v>BLD_CC</v>
      </c>
      <c r="D1502" s="380">
        <f>'00_PORTFOLIO ROLLUP'!H$12</f>
        <v>2028</v>
      </c>
      <c r="E1502" s="366" t="s">
        <v>1683</v>
      </c>
      <c r="F1502" s="366" t="s">
        <v>355</v>
      </c>
      <c r="G1502" s="348" t="str">
        <f>"'"&amp;$C1502&amp;"'!$E$39:$Y$39"</f>
        <v>'BLD_CC'!$E$39:$Y$39</v>
      </c>
      <c r="H1502" s="381">
        <f ca="1">IF(IFERROR(INDEX(DATA_PROPERTY_MASTER!$E$5:$E$21,MATCH($C1502,DATA_PROPERTY_MASTER!$A$5:$A$21,0))="Yes",FALSE),IFERROR(INDEX(INDIRECT("'"&amp;$C1502&amp;"'!$E$39:$Y$39"),1,MATCH($D1502,INDIRECT("'"&amp;$C1502&amp;"'!$E$12:$Y$12"),0)),0),0)</f>
        <v>232512.76339200002</v>
      </c>
      <c r="I1502" s="366" t="s">
        <v>1690</v>
      </c>
      <c r="J1502" s="348" t="str">
        <f t="shared" ca="1" si="46"/>
        <v>OK</v>
      </c>
      <c r="K1502" s="366" t="s">
        <v>1686</v>
      </c>
      <c r="L1502" s="366" t="s">
        <v>2236</v>
      </c>
      <c r="M1502" s="350" t="str">
        <f>IF($B1502="Portfolio","Portfolio",IFERROR(INDEX(DATA_ASSET_CLASSIFICATION!$B$8:$B$24,MATCH($C1502,DATA_ASSET_CLASSIFICATION!$A$8:$A$24,0)),"Review"))</f>
        <v>Constance Court</v>
      </c>
      <c r="N1502" s="350" t="str">
        <f ca="1">IF($B1502="Portfolio","Portfolio",IFERROR(INDEX(DATA_ASSET_CLASSIFICATION!$U$8:$U$24,MATCH($C1502,DATA_ASSET_CLASSIFICATION!$A$8:$A$24,0)),"Review"))</f>
        <v>Refi Watch</v>
      </c>
      <c r="O1502" s="350" t="str">
        <f ca="1">IF($B1502="Portfolio","Portfolio",IFERROR(INDEX(DATA_ASSET_CLASSIFICATION!$AB$8:$AB$13,MATCH($N1502,DATA_ASSET_CLASSIFICATION!$AA$8:$AA$13,0)),"Review"))</f>
        <v>Bucket 2 · Legacy</v>
      </c>
      <c r="P1502" s="350" t="str">
        <f>IF($B1502="Portfolio","Portfolio",IFERROR(INDEX(DATA_ASSET_CLASSIFICATION!$C$8:$C$24,MATCH($C1502,DATA_ASSET_CLASSIFICATION!$A$8:$A$24,0)),"Review"))</f>
        <v>Yes</v>
      </c>
      <c r="Q1502" s="350" t="str">
        <f t="shared" ca="1" si="47"/>
        <v>OK</v>
      </c>
    </row>
    <row r="1503" spans="1:17">
      <c r="A1503" s="366" t="s">
        <v>3459</v>
      </c>
      <c r="B1503" s="366" t="s">
        <v>231</v>
      </c>
      <c r="C1503" s="348" t="str">
        <f>DATA_PROPERTY_MASTER!$A$9</f>
        <v>BLD_CC</v>
      </c>
      <c r="D1503" s="380">
        <f>'00_PORTFOLIO ROLLUP'!H$12</f>
        <v>2028</v>
      </c>
      <c r="E1503" s="366" t="s">
        <v>1683</v>
      </c>
      <c r="F1503" s="366" t="s">
        <v>19</v>
      </c>
      <c r="G1503" s="348" t="str">
        <f>"'"&amp;$C1503&amp;"'!$E$41:$Y$41"</f>
        <v>'BLD_CC'!$E$41:$Y$41</v>
      </c>
      <c r="H1503" s="381">
        <f ca="1">IF(IFERROR(INDEX(DATA_PROPERTY_MASTER!$E$5:$E$21,MATCH($C1503,DATA_PROPERTY_MASTER!$A$5:$A$21,0))="Yes",FALSE),IFERROR(INDEX(INDIRECT("'"&amp;$C1503&amp;"'!$E$41:$Y$41"),1,MATCH($D1503,INDIRECT("'"&amp;$C1503&amp;"'!$E$12:$Y$12"),0)),0),0)</f>
        <v>290793.3771093121</v>
      </c>
      <c r="I1503" s="366" t="s">
        <v>1685</v>
      </c>
      <c r="J1503" s="348" t="str">
        <f t="shared" ca="1" si="46"/>
        <v>OK</v>
      </c>
      <c r="K1503" s="366" t="s">
        <v>1694</v>
      </c>
      <c r="L1503" s="366" t="s">
        <v>2238</v>
      </c>
      <c r="M1503" s="350" t="str">
        <f>IF($B1503="Portfolio","Portfolio",IFERROR(INDEX(DATA_ASSET_CLASSIFICATION!$B$8:$B$24,MATCH($C1503,DATA_ASSET_CLASSIFICATION!$A$8:$A$24,0)),"Review"))</f>
        <v>Constance Court</v>
      </c>
      <c r="N1503" s="350" t="str">
        <f ca="1">IF($B1503="Portfolio","Portfolio",IFERROR(INDEX(DATA_ASSET_CLASSIFICATION!$U$8:$U$24,MATCH($C1503,DATA_ASSET_CLASSIFICATION!$A$8:$A$24,0)),"Review"))</f>
        <v>Refi Watch</v>
      </c>
      <c r="O1503" s="350" t="str">
        <f ca="1">IF($B1503="Portfolio","Portfolio",IFERROR(INDEX(DATA_ASSET_CLASSIFICATION!$AB$8:$AB$13,MATCH($N1503,DATA_ASSET_CLASSIFICATION!$AA$8:$AA$13,0)),"Review"))</f>
        <v>Bucket 2 · Legacy</v>
      </c>
      <c r="P1503" s="350" t="str">
        <f>IF($B1503="Portfolio","Portfolio",IFERROR(INDEX(DATA_ASSET_CLASSIFICATION!$C$8:$C$24,MATCH($C1503,DATA_ASSET_CLASSIFICATION!$A$8:$A$24,0)),"Review"))</f>
        <v>Yes</v>
      </c>
      <c r="Q1503" s="350" t="str">
        <f t="shared" ca="1" si="47"/>
        <v>OK</v>
      </c>
    </row>
    <row r="1504" spans="1:17">
      <c r="A1504" s="366" t="s">
        <v>3460</v>
      </c>
      <c r="B1504" s="366" t="s">
        <v>231</v>
      </c>
      <c r="C1504" s="348" t="str">
        <f>DATA_PROPERTY_MASTER!$A$9</f>
        <v>BLD_CC</v>
      </c>
      <c r="D1504" s="380">
        <f>'00_PORTFOLIO ROLLUP'!H$12</f>
        <v>2028</v>
      </c>
      <c r="E1504" s="366" t="s">
        <v>1683</v>
      </c>
      <c r="F1504" s="366" t="s">
        <v>1697</v>
      </c>
      <c r="G1504" s="348" t="str">
        <f>"'"&amp;$C1504&amp;"'!$E$44:$Y$44"</f>
        <v>'BLD_CC'!$E$44:$Y$44</v>
      </c>
      <c r="H1504" s="381">
        <f ca="1">IF(IFERROR(INDEX(DATA_PROPERTY_MASTER!$E$5:$E$21,MATCH($C1504,DATA_PROPERTY_MASTER!$A$5:$A$21,0))="Yes",FALSE),IFERROR(INDEX(INDIRECT("'"&amp;$C1504&amp;"'!$E$44:$Y$44"),1,MATCH($D1504,INDIRECT("'"&amp;$C1504&amp;"'!$E$12:$Y$12"),0)),0),0)</f>
        <v>5412.1607999999997</v>
      </c>
      <c r="I1504" s="366" t="s">
        <v>1690</v>
      </c>
      <c r="J1504" s="348" t="str">
        <f t="shared" ca="1" si="46"/>
        <v>OK</v>
      </c>
      <c r="K1504" s="366" t="s">
        <v>1699</v>
      </c>
      <c r="L1504" s="366" t="s">
        <v>2240</v>
      </c>
      <c r="M1504" s="350" t="str">
        <f>IF($B1504="Portfolio","Portfolio",IFERROR(INDEX(DATA_ASSET_CLASSIFICATION!$B$8:$B$24,MATCH($C1504,DATA_ASSET_CLASSIFICATION!$A$8:$A$24,0)),"Review"))</f>
        <v>Constance Court</v>
      </c>
      <c r="N1504" s="350" t="str">
        <f ca="1">IF($B1504="Portfolio","Portfolio",IFERROR(INDEX(DATA_ASSET_CLASSIFICATION!$U$8:$U$24,MATCH($C1504,DATA_ASSET_CLASSIFICATION!$A$8:$A$24,0)),"Review"))</f>
        <v>Refi Watch</v>
      </c>
      <c r="O1504" s="350" t="str">
        <f ca="1">IF($B1504="Portfolio","Portfolio",IFERROR(INDEX(DATA_ASSET_CLASSIFICATION!$AB$8:$AB$13,MATCH($N1504,DATA_ASSET_CLASSIFICATION!$AA$8:$AA$13,0)),"Review"))</f>
        <v>Bucket 2 · Legacy</v>
      </c>
      <c r="P1504" s="350" t="str">
        <f>IF($B1504="Portfolio","Portfolio",IFERROR(INDEX(DATA_ASSET_CLASSIFICATION!$C$8:$C$24,MATCH($C1504,DATA_ASSET_CLASSIFICATION!$A$8:$A$24,0)),"Review"))</f>
        <v>Yes</v>
      </c>
      <c r="Q1504" s="350" t="str">
        <f t="shared" ca="1" si="47"/>
        <v>OK</v>
      </c>
    </row>
    <row r="1505" spans="1:17">
      <c r="A1505" s="366" t="s">
        <v>3461</v>
      </c>
      <c r="B1505" s="366" t="s">
        <v>231</v>
      </c>
      <c r="C1505" s="348" t="str">
        <f>DATA_PROPERTY_MASTER!$A$9</f>
        <v>BLD_CC</v>
      </c>
      <c r="D1505" s="380">
        <f>'00_PORTFOLIO ROLLUP'!H$12</f>
        <v>2028</v>
      </c>
      <c r="E1505" s="366" t="s">
        <v>1683</v>
      </c>
      <c r="F1505" s="366" t="s">
        <v>21</v>
      </c>
      <c r="G1505" s="348" t="str">
        <f>"'"&amp;$C1505&amp;"'!$E$45:$Y$45"</f>
        <v>'BLD_CC'!$E$45:$Y$45</v>
      </c>
      <c r="H1505" s="381">
        <f ca="1">IF(IFERROR(INDEX(DATA_PROPERTY_MASTER!$E$5:$E$21,MATCH($C1505,DATA_PROPERTY_MASTER!$A$5:$A$21,0))="Yes",FALSE),IFERROR(INDEX(INDIRECT("'"&amp;$C1505&amp;"'!$E$45:$Y$45"),1,MATCH($D1505,INDIRECT("'"&amp;$C1505&amp;"'!$E$12:$Y$12"),0)),0),0)</f>
        <v>285381.21630931209</v>
      </c>
      <c r="I1505" s="366" t="s">
        <v>1685</v>
      </c>
      <c r="J1505" s="348" t="str">
        <f t="shared" ca="1" si="46"/>
        <v>OK</v>
      </c>
      <c r="K1505" s="366" t="s">
        <v>1694</v>
      </c>
      <c r="L1505" s="366" t="s">
        <v>2242</v>
      </c>
      <c r="M1505" s="350" t="str">
        <f>IF($B1505="Portfolio","Portfolio",IFERROR(INDEX(DATA_ASSET_CLASSIFICATION!$B$8:$B$24,MATCH($C1505,DATA_ASSET_CLASSIFICATION!$A$8:$A$24,0)),"Review"))</f>
        <v>Constance Court</v>
      </c>
      <c r="N1505" s="350" t="str">
        <f ca="1">IF($B1505="Portfolio","Portfolio",IFERROR(INDEX(DATA_ASSET_CLASSIFICATION!$U$8:$U$24,MATCH($C1505,DATA_ASSET_CLASSIFICATION!$A$8:$A$24,0)),"Review"))</f>
        <v>Refi Watch</v>
      </c>
      <c r="O1505" s="350" t="str">
        <f ca="1">IF($B1505="Portfolio","Portfolio",IFERROR(INDEX(DATA_ASSET_CLASSIFICATION!$AB$8:$AB$13,MATCH($N1505,DATA_ASSET_CLASSIFICATION!$AA$8:$AA$13,0)),"Review"))</f>
        <v>Bucket 2 · Legacy</v>
      </c>
      <c r="P1505" s="350" t="str">
        <f>IF($B1505="Portfolio","Portfolio",IFERROR(INDEX(DATA_ASSET_CLASSIFICATION!$C$8:$C$24,MATCH($C1505,DATA_ASSET_CLASSIFICATION!$A$8:$A$24,0)),"Review"))</f>
        <v>Yes</v>
      </c>
      <c r="Q1505" s="350" t="str">
        <f t="shared" ca="1" si="47"/>
        <v>OK</v>
      </c>
    </row>
    <row r="1506" spans="1:17">
      <c r="A1506" s="366" t="s">
        <v>3462</v>
      </c>
      <c r="B1506" s="366" t="s">
        <v>231</v>
      </c>
      <c r="C1506" s="348" t="str">
        <f>DATA_PROPERTY_MASTER!$A$9</f>
        <v>BLD_CC</v>
      </c>
      <c r="D1506" s="380">
        <f>'00_PORTFOLIO ROLLUP'!H$12</f>
        <v>2028</v>
      </c>
      <c r="E1506" s="366" t="s">
        <v>23</v>
      </c>
      <c r="F1506" s="366" t="s">
        <v>23</v>
      </c>
      <c r="G1506" s="348" t="str">
        <f>"'"&amp;$C1506&amp;"'!$E$48:$Y$48"</f>
        <v>'BLD_CC'!$E$48:$Y$48</v>
      </c>
      <c r="H1506" s="381">
        <f ca="1">IF(IFERROR(INDEX(DATA_PROPERTY_MASTER!$E$5:$E$21,MATCH($C1506,DATA_PROPERTY_MASTER!$A$5:$A$21,0))="Yes",FALSE),IFERROR(INDEX(INDIRECT("'"&amp;$C1506&amp;"'!$E$48:$Y$48"),1,MATCH($D1506,INDIRECT("'"&amp;$C1506&amp;"'!$E$12:$Y$12"),0)),0),0)</f>
        <v>0</v>
      </c>
      <c r="I1506" s="366" t="s">
        <v>1690</v>
      </c>
      <c r="J1506" s="348" t="str">
        <f t="shared" ca="1" si="46"/>
        <v>OK</v>
      </c>
      <c r="K1506" s="366" t="s">
        <v>1706</v>
      </c>
      <c r="L1506" s="366" t="s">
        <v>2244</v>
      </c>
      <c r="M1506" s="350" t="str">
        <f>IF($B1506="Portfolio","Portfolio",IFERROR(INDEX(DATA_ASSET_CLASSIFICATION!$B$8:$B$24,MATCH($C1506,DATA_ASSET_CLASSIFICATION!$A$8:$A$24,0)),"Review"))</f>
        <v>Constance Court</v>
      </c>
      <c r="N1506" s="350" t="str">
        <f ca="1">IF($B1506="Portfolio","Portfolio",IFERROR(INDEX(DATA_ASSET_CLASSIFICATION!$U$8:$U$24,MATCH($C1506,DATA_ASSET_CLASSIFICATION!$A$8:$A$24,0)),"Review"))</f>
        <v>Refi Watch</v>
      </c>
      <c r="O1506" s="350" t="str">
        <f ca="1">IF($B1506="Portfolio","Portfolio",IFERROR(INDEX(DATA_ASSET_CLASSIFICATION!$AB$8:$AB$13,MATCH($N1506,DATA_ASSET_CLASSIFICATION!$AA$8:$AA$13,0)),"Review"))</f>
        <v>Bucket 2 · Legacy</v>
      </c>
      <c r="P1506" s="350" t="str">
        <f>IF($B1506="Portfolio","Portfolio",IFERROR(INDEX(DATA_ASSET_CLASSIFICATION!$C$8:$C$24,MATCH($C1506,DATA_ASSET_CLASSIFICATION!$A$8:$A$24,0)),"Review"))</f>
        <v>Yes</v>
      </c>
      <c r="Q1506" s="350" t="str">
        <f t="shared" ca="1" si="47"/>
        <v>OK</v>
      </c>
    </row>
    <row r="1507" spans="1:17">
      <c r="A1507" s="366" t="s">
        <v>3463</v>
      </c>
      <c r="B1507" s="366" t="s">
        <v>231</v>
      </c>
      <c r="C1507" s="348" t="str">
        <f>DATA_PROPERTY_MASTER!$A$9</f>
        <v>BLD_CC</v>
      </c>
      <c r="D1507" s="380">
        <f>'00_PORTFOLIO ROLLUP'!H$12</f>
        <v>2028</v>
      </c>
      <c r="E1507" s="366" t="s">
        <v>1683</v>
      </c>
      <c r="F1507" s="366" t="s">
        <v>25</v>
      </c>
      <c r="G1507" s="348" t="str">
        <f>"'"&amp;$C1507&amp;"'!$E$52:$Y$52"</f>
        <v>'BLD_CC'!$E$52:$Y$52</v>
      </c>
      <c r="H1507" s="381">
        <f ca="1">IF(IFERROR(INDEX(DATA_PROPERTY_MASTER!$E$5:$E$21,MATCH($C1507,DATA_PROPERTY_MASTER!$A$5:$A$21,0))="Yes",FALSE),IFERROR(INDEX(INDIRECT("'"&amp;$C1507&amp;"'!$E$52:$Y$52"),1,MATCH($D1507,INDIRECT("'"&amp;$C1507&amp;"'!$E$12:$Y$12"),0)),0),0)</f>
        <v>290793.3771093121</v>
      </c>
      <c r="I1507" s="366" t="s">
        <v>1685</v>
      </c>
      <c r="J1507" s="348" t="str">
        <f t="shared" ca="1" si="46"/>
        <v>OK</v>
      </c>
      <c r="K1507" s="366" t="s">
        <v>1710</v>
      </c>
      <c r="L1507" s="366" t="s">
        <v>2246</v>
      </c>
      <c r="M1507" s="350" t="str">
        <f>IF($B1507="Portfolio","Portfolio",IFERROR(INDEX(DATA_ASSET_CLASSIFICATION!$B$8:$B$24,MATCH($C1507,DATA_ASSET_CLASSIFICATION!$A$8:$A$24,0)),"Review"))</f>
        <v>Constance Court</v>
      </c>
      <c r="N1507" s="350" t="str">
        <f ca="1">IF($B1507="Portfolio","Portfolio",IFERROR(INDEX(DATA_ASSET_CLASSIFICATION!$U$8:$U$24,MATCH($C1507,DATA_ASSET_CLASSIFICATION!$A$8:$A$24,0)),"Review"))</f>
        <v>Refi Watch</v>
      </c>
      <c r="O1507" s="350" t="str">
        <f ca="1">IF($B1507="Portfolio","Portfolio",IFERROR(INDEX(DATA_ASSET_CLASSIFICATION!$AB$8:$AB$13,MATCH($N1507,DATA_ASSET_CLASSIFICATION!$AA$8:$AA$13,0)),"Review"))</f>
        <v>Bucket 2 · Legacy</v>
      </c>
      <c r="P1507" s="350" t="str">
        <f>IF($B1507="Portfolio","Portfolio",IFERROR(INDEX(DATA_ASSET_CLASSIFICATION!$C$8:$C$24,MATCH($C1507,DATA_ASSET_CLASSIFICATION!$A$8:$A$24,0)),"Review"))</f>
        <v>Yes</v>
      </c>
      <c r="Q1507" s="350" t="str">
        <f t="shared" ca="1" si="47"/>
        <v>OK</v>
      </c>
    </row>
    <row r="1508" spans="1:17">
      <c r="A1508" s="366" t="s">
        <v>3464</v>
      </c>
      <c r="B1508" s="366" t="s">
        <v>231</v>
      </c>
      <c r="C1508" s="348" t="str">
        <f>DATA_PROPERTY_MASTER!$A$9</f>
        <v>BLD_CC</v>
      </c>
      <c r="D1508" s="380">
        <f>'00_PORTFOLIO ROLLUP'!H$12</f>
        <v>2028</v>
      </c>
      <c r="E1508" s="366" t="s">
        <v>1683</v>
      </c>
      <c r="F1508" s="366" t="s">
        <v>27</v>
      </c>
      <c r="G1508" s="348" t="str">
        <f>"'"&amp;$C1508&amp;"'!$E$54:$Y$54"</f>
        <v>'BLD_CC'!$E$54:$Y$54</v>
      </c>
      <c r="H1508" s="381">
        <f ca="1">IF(IFERROR(INDEX(DATA_PROPERTY_MASTER!$E$5:$E$21,MATCH($C1508,DATA_PROPERTY_MASTER!$A$5:$A$21,0))="Yes",FALSE),IFERROR(INDEX(INDIRECT("'"&amp;$C1508&amp;"'!$E$54:$Y$54"),1,MATCH($D1508,INDIRECT("'"&amp;$C1508&amp;"'!$E$12:$Y$12"),0)),0),0)</f>
        <v>174476.02626558725</v>
      </c>
      <c r="I1508" s="366" t="s">
        <v>1690</v>
      </c>
      <c r="J1508" s="348" t="str">
        <f t="shared" ca="1" si="46"/>
        <v>OK</v>
      </c>
      <c r="K1508" s="366" t="s">
        <v>1714</v>
      </c>
      <c r="L1508" s="366" t="s">
        <v>2248</v>
      </c>
      <c r="M1508" s="350" t="str">
        <f>IF($B1508="Portfolio","Portfolio",IFERROR(INDEX(DATA_ASSET_CLASSIFICATION!$B$8:$B$24,MATCH($C1508,DATA_ASSET_CLASSIFICATION!$A$8:$A$24,0)),"Review"))</f>
        <v>Constance Court</v>
      </c>
      <c r="N1508" s="350" t="str">
        <f ca="1">IF($B1508="Portfolio","Portfolio",IFERROR(INDEX(DATA_ASSET_CLASSIFICATION!$U$8:$U$24,MATCH($C1508,DATA_ASSET_CLASSIFICATION!$A$8:$A$24,0)),"Review"))</f>
        <v>Refi Watch</v>
      </c>
      <c r="O1508" s="350" t="str">
        <f ca="1">IF($B1508="Portfolio","Portfolio",IFERROR(INDEX(DATA_ASSET_CLASSIFICATION!$AB$8:$AB$13,MATCH($N1508,DATA_ASSET_CLASSIFICATION!$AA$8:$AA$13,0)),"Review"))</f>
        <v>Bucket 2 · Legacy</v>
      </c>
      <c r="P1508" s="350" t="str">
        <f>IF($B1508="Portfolio","Portfolio",IFERROR(INDEX(DATA_ASSET_CLASSIFICATION!$C$8:$C$24,MATCH($C1508,DATA_ASSET_CLASSIFICATION!$A$8:$A$24,0)),"Review"))</f>
        <v>Yes</v>
      </c>
      <c r="Q1508" s="350" t="str">
        <f t="shared" ca="1" si="47"/>
        <v>OK</v>
      </c>
    </row>
    <row r="1509" spans="1:17">
      <c r="A1509" s="366" t="s">
        <v>3465</v>
      </c>
      <c r="B1509" s="366" t="s">
        <v>231</v>
      </c>
      <c r="C1509" s="348" t="str">
        <f>DATA_PROPERTY_MASTER!$A$9</f>
        <v>BLD_CC</v>
      </c>
      <c r="D1509" s="380">
        <f>'00_PORTFOLIO ROLLUP'!H$12</f>
        <v>2028</v>
      </c>
      <c r="E1509" s="366" t="s">
        <v>1683</v>
      </c>
      <c r="F1509" s="366" t="s">
        <v>29</v>
      </c>
      <c r="G1509" s="348" t="str">
        <f>"'"&amp;$C1509&amp;"'!$E$56:$Y$56"</f>
        <v>'BLD_CC'!$E$56:$Y$56</v>
      </c>
      <c r="H1509" s="381">
        <f ca="1">IF(IFERROR(INDEX(DATA_PROPERTY_MASTER!$E$5:$E$21,MATCH($C1509,DATA_PROPERTY_MASTER!$A$5:$A$21,0))="Yes",FALSE),IFERROR(INDEX(INDIRECT("'"&amp;$C1509&amp;"'!$E$56:$Y$56"),1,MATCH($D1509,INDIRECT("'"&amp;$C1509&amp;"'!$E$12:$Y$12"),0)),0),0)</f>
        <v>116317.35084372485</v>
      </c>
      <c r="I1509" s="366" t="s">
        <v>1685</v>
      </c>
      <c r="J1509" s="348" t="str">
        <f t="shared" ca="1" si="46"/>
        <v>OK</v>
      </c>
      <c r="K1509" s="366" t="s">
        <v>1718</v>
      </c>
      <c r="L1509" s="366" t="s">
        <v>2250</v>
      </c>
      <c r="M1509" s="350" t="str">
        <f>IF($B1509="Portfolio","Portfolio",IFERROR(INDEX(DATA_ASSET_CLASSIFICATION!$B$8:$B$24,MATCH($C1509,DATA_ASSET_CLASSIFICATION!$A$8:$A$24,0)),"Review"))</f>
        <v>Constance Court</v>
      </c>
      <c r="N1509" s="350" t="str">
        <f ca="1">IF($B1509="Portfolio","Portfolio",IFERROR(INDEX(DATA_ASSET_CLASSIFICATION!$U$8:$U$24,MATCH($C1509,DATA_ASSET_CLASSIFICATION!$A$8:$A$24,0)),"Review"))</f>
        <v>Refi Watch</v>
      </c>
      <c r="O1509" s="350" t="str">
        <f ca="1">IF($B1509="Portfolio","Portfolio",IFERROR(INDEX(DATA_ASSET_CLASSIFICATION!$AB$8:$AB$13,MATCH($N1509,DATA_ASSET_CLASSIFICATION!$AA$8:$AA$13,0)),"Review"))</f>
        <v>Bucket 2 · Legacy</v>
      </c>
      <c r="P1509" s="350" t="str">
        <f>IF($B1509="Portfolio","Portfolio",IFERROR(INDEX(DATA_ASSET_CLASSIFICATION!$C$8:$C$24,MATCH($C1509,DATA_ASSET_CLASSIFICATION!$A$8:$A$24,0)),"Review"))</f>
        <v>Yes</v>
      </c>
      <c r="Q1509" s="350" t="str">
        <f t="shared" ca="1" si="47"/>
        <v>OK</v>
      </c>
    </row>
    <row r="1510" spans="1:17">
      <c r="A1510" s="366" t="s">
        <v>3466</v>
      </c>
      <c r="B1510" s="366" t="s">
        <v>231</v>
      </c>
      <c r="C1510" s="348" t="str">
        <f>DATA_PROPERTY_MASTER!$A$9</f>
        <v>BLD_CC</v>
      </c>
      <c r="D1510" s="380">
        <f>'00_PORTFOLIO ROLLUP'!H$12</f>
        <v>2028</v>
      </c>
      <c r="E1510" s="366" t="s">
        <v>1721</v>
      </c>
      <c r="F1510" s="366" t="s">
        <v>31</v>
      </c>
      <c r="G1510" s="348" t="str">
        <f>"'"&amp;$C1510&amp;"'!$E$61:$Y$61"</f>
        <v>'BLD_CC'!$E$61:$Y$61</v>
      </c>
      <c r="H1510" s="381">
        <f ca="1">IF(IFERROR(INDEX(DATA_PROPERTY_MASTER!$E$5:$E$21,MATCH($C1510,DATA_PROPERTY_MASTER!$A$5:$A$21,0))="Yes",FALSE),IFERROR(INDEX(INDIRECT("'"&amp;$C1510&amp;"'!$E$61:$Y$61"),1,MATCH($D1510,INDIRECT("'"&amp;$C1510&amp;"'!$E$12:$Y$12"),0)),0),0)</f>
        <v>0</v>
      </c>
      <c r="I1510" s="366" t="s">
        <v>1690</v>
      </c>
      <c r="J1510" s="348" t="str">
        <f t="shared" ca="1" si="46"/>
        <v>OK</v>
      </c>
      <c r="K1510" s="366" t="s">
        <v>1723</v>
      </c>
      <c r="L1510" s="366" t="s">
        <v>2252</v>
      </c>
      <c r="M1510" s="350" t="str">
        <f>IF($B1510="Portfolio","Portfolio",IFERROR(INDEX(DATA_ASSET_CLASSIFICATION!$B$8:$B$24,MATCH($C1510,DATA_ASSET_CLASSIFICATION!$A$8:$A$24,0)),"Review"))</f>
        <v>Constance Court</v>
      </c>
      <c r="N1510" s="350" t="str">
        <f ca="1">IF($B1510="Portfolio","Portfolio",IFERROR(INDEX(DATA_ASSET_CLASSIFICATION!$U$8:$U$24,MATCH($C1510,DATA_ASSET_CLASSIFICATION!$A$8:$A$24,0)),"Review"))</f>
        <v>Refi Watch</v>
      </c>
      <c r="O1510" s="350" t="str">
        <f ca="1">IF($B1510="Portfolio","Portfolio",IFERROR(INDEX(DATA_ASSET_CLASSIFICATION!$AB$8:$AB$13,MATCH($N1510,DATA_ASSET_CLASSIFICATION!$AA$8:$AA$13,0)),"Review"))</f>
        <v>Bucket 2 · Legacy</v>
      </c>
      <c r="P1510" s="350" t="str">
        <f>IF($B1510="Portfolio","Portfolio",IFERROR(INDEX(DATA_ASSET_CLASSIFICATION!$C$8:$C$24,MATCH($C1510,DATA_ASSET_CLASSIFICATION!$A$8:$A$24,0)),"Review"))</f>
        <v>Yes</v>
      </c>
      <c r="Q1510" s="350" t="str">
        <f t="shared" ca="1" si="47"/>
        <v>OK</v>
      </c>
    </row>
    <row r="1511" spans="1:17">
      <c r="A1511" s="366" t="s">
        <v>3467</v>
      </c>
      <c r="B1511" s="366" t="s">
        <v>231</v>
      </c>
      <c r="C1511" s="348" t="str">
        <f>DATA_PROPERTY_MASTER!$A$9</f>
        <v>BLD_CC</v>
      </c>
      <c r="D1511" s="380">
        <f>'00_PORTFOLIO ROLLUP'!H$12</f>
        <v>2028</v>
      </c>
      <c r="E1511" s="366" t="s">
        <v>1721</v>
      </c>
      <c r="F1511" s="366" t="s">
        <v>33</v>
      </c>
      <c r="G1511" s="348" t="str">
        <f>"'"&amp;$C1511&amp;"'!$E$62:$Y$62"</f>
        <v>'BLD_CC'!$E$62:$Y$62</v>
      </c>
      <c r="H1511" s="381">
        <f ca="1">IF(IFERROR(INDEX(DATA_PROPERTY_MASTER!$E$5:$E$21,MATCH($C1511,DATA_PROPERTY_MASTER!$A$5:$A$21,0))="Yes",FALSE),IFERROR(INDEX(INDIRECT("'"&amp;$C1511&amp;"'!$E$62:$Y$62"),1,MATCH($D1511,INDIRECT("'"&amp;$C1511&amp;"'!$E$12:$Y$12"),0)),0),0)</f>
        <v>0</v>
      </c>
      <c r="I1511" s="366" t="s">
        <v>1685</v>
      </c>
      <c r="J1511" s="348" t="str">
        <f t="shared" ca="1" si="46"/>
        <v>OK</v>
      </c>
      <c r="K1511" s="366" t="s">
        <v>1727</v>
      </c>
      <c r="L1511" s="366" t="s">
        <v>2254</v>
      </c>
      <c r="M1511" s="350" t="str">
        <f>IF($B1511="Portfolio","Portfolio",IFERROR(INDEX(DATA_ASSET_CLASSIFICATION!$B$8:$B$24,MATCH($C1511,DATA_ASSET_CLASSIFICATION!$A$8:$A$24,0)),"Review"))</f>
        <v>Constance Court</v>
      </c>
      <c r="N1511" s="350" t="str">
        <f ca="1">IF($B1511="Portfolio","Portfolio",IFERROR(INDEX(DATA_ASSET_CLASSIFICATION!$U$8:$U$24,MATCH($C1511,DATA_ASSET_CLASSIFICATION!$A$8:$A$24,0)),"Review"))</f>
        <v>Refi Watch</v>
      </c>
      <c r="O1511" s="350" t="str">
        <f ca="1">IF($B1511="Portfolio","Portfolio",IFERROR(INDEX(DATA_ASSET_CLASSIFICATION!$AB$8:$AB$13,MATCH($N1511,DATA_ASSET_CLASSIFICATION!$AA$8:$AA$13,0)),"Review"))</f>
        <v>Bucket 2 · Legacy</v>
      </c>
      <c r="P1511" s="350" t="str">
        <f>IF($B1511="Portfolio","Portfolio",IFERROR(INDEX(DATA_ASSET_CLASSIFICATION!$C$8:$C$24,MATCH($C1511,DATA_ASSET_CLASSIFICATION!$A$8:$A$24,0)),"Review"))</f>
        <v>Yes</v>
      </c>
      <c r="Q1511" s="350" t="str">
        <f t="shared" ca="1" si="47"/>
        <v>OK</v>
      </c>
    </row>
    <row r="1512" spans="1:17">
      <c r="A1512" s="366" t="s">
        <v>3468</v>
      </c>
      <c r="B1512" s="366" t="s">
        <v>231</v>
      </c>
      <c r="C1512" s="348" t="str">
        <f>DATA_PROPERTY_MASTER!$A$9</f>
        <v>BLD_CC</v>
      </c>
      <c r="D1512" s="380">
        <f>'00_PORTFOLIO ROLLUP'!H$12</f>
        <v>2028</v>
      </c>
      <c r="E1512" s="366" t="s">
        <v>1721</v>
      </c>
      <c r="F1512" s="366" t="s">
        <v>35</v>
      </c>
      <c r="G1512" s="348" t="str">
        <f>"'"&amp;$C1512&amp;"'!$E$63:$Y$63"</f>
        <v>'BLD_CC'!$E$63:$Y$63</v>
      </c>
      <c r="H1512" s="381">
        <f ca="1">IF(IFERROR(INDEX(DATA_PROPERTY_MASTER!$E$5:$E$21,MATCH($C1512,DATA_PROPERTY_MASTER!$A$5:$A$21,0))="Yes",FALSE),IFERROR(INDEX(INDIRECT("'"&amp;$C1512&amp;"'!$E$63:$Y$63"),1,MATCH($D1512,INDIRECT("'"&amp;$C1512&amp;"'!$E$12:$Y$12"),0)),0),0)</f>
        <v>0</v>
      </c>
      <c r="I1512" s="366" t="s">
        <v>1731</v>
      </c>
      <c r="J1512" s="348" t="str">
        <f t="shared" ca="1" si="46"/>
        <v>OK</v>
      </c>
      <c r="K1512" s="366" t="s">
        <v>1732</v>
      </c>
      <c r="L1512" s="366" t="s">
        <v>2256</v>
      </c>
      <c r="M1512" s="350" t="str">
        <f>IF($B1512="Portfolio","Portfolio",IFERROR(INDEX(DATA_ASSET_CLASSIFICATION!$B$8:$B$24,MATCH($C1512,DATA_ASSET_CLASSIFICATION!$A$8:$A$24,0)),"Review"))</f>
        <v>Constance Court</v>
      </c>
      <c r="N1512" s="350" t="str">
        <f ca="1">IF($B1512="Portfolio","Portfolio",IFERROR(INDEX(DATA_ASSET_CLASSIFICATION!$U$8:$U$24,MATCH($C1512,DATA_ASSET_CLASSIFICATION!$A$8:$A$24,0)),"Review"))</f>
        <v>Refi Watch</v>
      </c>
      <c r="O1512" s="350" t="str">
        <f ca="1">IF($B1512="Portfolio","Portfolio",IFERROR(INDEX(DATA_ASSET_CLASSIFICATION!$AB$8:$AB$13,MATCH($N1512,DATA_ASSET_CLASSIFICATION!$AA$8:$AA$13,0)),"Review"))</f>
        <v>Bucket 2 · Legacy</v>
      </c>
      <c r="P1512" s="350" t="str">
        <f>IF($B1512="Portfolio","Portfolio",IFERROR(INDEX(DATA_ASSET_CLASSIFICATION!$C$8:$C$24,MATCH($C1512,DATA_ASSET_CLASSIFICATION!$A$8:$A$24,0)),"Review"))</f>
        <v>Yes</v>
      </c>
      <c r="Q1512" s="350" t="str">
        <f t="shared" ca="1" si="47"/>
        <v>OK</v>
      </c>
    </row>
    <row r="1513" spans="1:17">
      <c r="A1513" s="366" t="s">
        <v>3469</v>
      </c>
      <c r="B1513" s="366" t="s">
        <v>231</v>
      </c>
      <c r="C1513" s="348" t="str">
        <f>DATA_PROPERTY_MASTER!$A$9</f>
        <v>BLD_CC</v>
      </c>
      <c r="D1513" s="380">
        <f>'00_PORTFOLIO ROLLUP'!H$12</f>
        <v>2028</v>
      </c>
      <c r="E1513" s="366" t="s">
        <v>1721</v>
      </c>
      <c r="F1513" s="366" t="s">
        <v>37</v>
      </c>
      <c r="G1513" s="348" t="str">
        <f>"'"&amp;$C1513&amp;"'!$E$63:$Y$63"</f>
        <v>'BLD_CC'!$E$63:$Y$63</v>
      </c>
      <c r="H1513" s="381">
        <f ca="1">IF(IFERROR(INDEX(DATA_PROPERTY_MASTER!$E$5:$E$21,MATCH($C1513,DATA_PROPERTY_MASTER!$A$5:$A$21,0))="Yes",FALSE),MAX(IFERROR(INDEX(INDIRECT("'"&amp;$C1513&amp;"'!$E$63:$Y$63"),1,MATCH($D1513,INDIRECT("'"&amp;$C1513&amp;"'!$E$12:$Y$12"),0)),0),0),0)</f>
        <v>0</v>
      </c>
      <c r="I1513" s="366" t="s">
        <v>1685</v>
      </c>
      <c r="J1513" s="348" t="str">
        <f t="shared" ca="1" si="46"/>
        <v>OK</v>
      </c>
      <c r="K1513" s="366" t="s">
        <v>1735</v>
      </c>
      <c r="L1513" s="366" t="s">
        <v>2258</v>
      </c>
      <c r="M1513" s="350" t="str">
        <f>IF($B1513="Portfolio","Portfolio",IFERROR(INDEX(DATA_ASSET_CLASSIFICATION!$B$8:$B$24,MATCH($C1513,DATA_ASSET_CLASSIFICATION!$A$8:$A$24,0)),"Review"))</f>
        <v>Constance Court</v>
      </c>
      <c r="N1513" s="350" t="str">
        <f ca="1">IF($B1513="Portfolio","Portfolio",IFERROR(INDEX(DATA_ASSET_CLASSIFICATION!$U$8:$U$24,MATCH($C1513,DATA_ASSET_CLASSIFICATION!$A$8:$A$24,0)),"Review"))</f>
        <v>Refi Watch</v>
      </c>
      <c r="O1513" s="350" t="str">
        <f ca="1">IF($B1513="Portfolio","Portfolio",IFERROR(INDEX(DATA_ASSET_CLASSIFICATION!$AB$8:$AB$13,MATCH($N1513,DATA_ASSET_CLASSIFICATION!$AA$8:$AA$13,0)),"Review"))</f>
        <v>Bucket 2 · Legacy</v>
      </c>
      <c r="P1513" s="350" t="str">
        <f>IF($B1513="Portfolio","Portfolio",IFERROR(INDEX(DATA_ASSET_CLASSIFICATION!$C$8:$C$24,MATCH($C1513,DATA_ASSET_CLASSIFICATION!$A$8:$A$24,0)),"Review"))</f>
        <v>Yes</v>
      </c>
      <c r="Q1513" s="350" t="str">
        <f t="shared" ca="1" si="47"/>
        <v>OK</v>
      </c>
    </row>
    <row r="1514" spans="1:17">
      <c r="A1514" s="366" t="s">
        <v>3470</v>
      </c>
      <c r="B1514" s="366" t="s">
        <v>231</v>
      </c>
      <c r="C1514" s="348" t="str">
        <f>DATA_PROPERTY_MASTER!$A$9</f>
        <v>BLD_CC</v>
      </c>
      <c r="D1514" s="380">
        <f>'00_PORTFOLIO ROLLUP'!H$12</f>
        <v>2028</v>
      </c>
      <c r="E1514" s="366" t="s">
        <v>1721</v>
      </c>
      <c r="F1514" s="366" t="s">
        <v>39</v>
      </c>
      <c r="G1514" s="348" t="str">
        <f>"'"&amp;$C1514&amp;"'!$E$63:$Y$63"</f>
        <v>'BLD_CC'!$E$63:$Y$63</v>
      </c>
      <c r="H1514" s="381">
        <f ca="1">IF(IFERROR(INDEX(DATA_PROPERTY_MASTER!$E$5:$E$21,MATCH($C1514,DATA_PROPERTY_MASTER!$A$5:$A$21,0))="Yes",FALSE),MAX(-IFERROR(INDEX(INDIRECT("'"&amp;$C1514&amp;"'!$E$63:$Y$63"),1,MATCH($D1514,INDIRECT("'"&amp;$C1514&amp;"'!$E$12:$Y$12"),0)),0),0),0)</f>
        <v>0</v>
      </c>
      <c r="I1514" s="366" t="s">
        <v>1690</v>
      </c>
      <c r="J1514" s="348" t="str">
        <f t="shared" ca="1" si="46"/>
        <v>OK</v>
      </c>
      <c r="K1514" s="366" t="s">
        <v>1738</v>
      </c>
      <c r="L1514" s="366" t="s">
        <v>2260</v>
      </c>
      <c r="M1514" s="350" t="str">
        <f>IF($B1514="Portfolio","Portfolio",IFERROR(INDEX(DATA_ASSET_CLASSIFICATION!$B$8:$B$24,MATCH($C1514,DATA_ASSET_CLASSIFICATION!$A$8:$A$24,0)),"Review"))</f>
        <v>Constance Court</v>
      </c>
      <c r="N1514" s="350" t="str">
        <f ca="1">IF($B1514="Portfolio","Portfolio",IFERROR(INDEX(DATA_ASSET_CLASSIFICATION!$U$8:$U$24,MATCH($C1514,DATA_ASSET_CLASSIFICATION!$A$8:$A$24,0)),"Review"))</f>
        <v>Refi Watch</v>
      </c>
      <c r="O1514" s="350" t="str">
        <f ca="1">IF($B1514="Portfolio","Portfolio",IFERROR(INDEX(DATA_ASSET_CLASSIFICATION!$AB$8:$AB$13,MATCH($N1514,DATA_ASSET_CLASSIFICATION!$AA$8:$AA$13,0)),"Review"))</f>
        <v>Bucket 2 · Legacy</v>
      </c>
      <c r="P1514" s="350" t="str">
        <f>IF($B1514="Portfolio","Portfolio",IFERROR(INDEX(DATA_ASSET_CLASSIFICATION!$C$8:$C$24,MATCH($C1514,DATA_ASSET_CLASSIFICATION!$A$8:$A$24,0)),"Review"))</f>
        <v>Yes</v>
      </c>
      <c r="Q1514" s="350" t="str">
        <f t="shared" ca="1" si="47"/>
        <v>OK</v>
      </c>
    </row>
    <row r="1515" spans="1:17">
      <c r="A1515" s="366" t="s">
        <v>3471</v>
      </c>
      <c r="B1515" s="366" t="s">
        <v>231</v>
      </c>
      <c r="C1515" s="348" t="str">
        <f>DATA_PROPERTY_MASTER!$A$9</f>
        <v>BLD_CC</v>
      </c>
      <c r="D1515" s="380">
        <f>'00_PORTFOLIO ROLLUP'!H$12</f>
        <v>2028</v>
      </c>
      <c r="E1515" s="366" t="s">
        <v>1741</v>
      </c>
      <c r="F1515" s="366" t="s">
        <v>41</v>
      </c>
      <c r="G1515" s="348" t="str">
        <f>"'"&amp;$C1515&amp;"'!rows 56 + positive row 63"</f>
        <v>'BLD_CC'!rows 56 + positive row 63</v>
      </c>
      <c r="H1515" s="381">
        <f ca="1">IF(IFERROR(INDEX(DATA_PROPERTY_MASTER!$E$5:$E$21,MATCH($C1515,DATA_PROPERTY_MASTER!$A$5:$A$21,0))="Yes",FALSE),IFERROR(INDEX(INDIRECT("'"&amp;$C1515&amp;"'!$E$56:$Y$56"),1,MATCH($D1515,INDIRECT("'"&amp;$C1515&amp;"'!$E$12:$Y$12"),0)),0)+MAX(IFERROR(INDEX(INDIRECT("'"&amp;$C1515&amp;"'!$E$63:$Y$63"),1,MATCH($D1515,INDIRECT("'"&amp;$C1515&amp;"'!$E$12:$Y$12"),0)),0),0),0)</f>
        <v>116317.35084372485</v>
      </c>
      <c r="I1515" s="366" t="s">
        <v>1685</v>
      </c>
      <c r="J1515" s="348" t="str">
        <f t="shared" ca="1" si="46"/>
        <v>OK</v>
      </c>
      <c r="K1515" s="366" t="s">
        <v>1742</v>
      </c>
      <c r="L1515" s="366" t="s">
        <v>2262</v>
      </c>
      <c r="M1515" s="350" t="str">
        <f>IF($B1515="Portfolio","Portfolio",IFERROR(INDEX(DATA_ASSET_CLASSIFICATION!$B$8:$B$24,MATCH($C1515,DATA_ASSET_CLASSIFICATION!$A$8:$A$24,0)),"Review"))</f>
        <v>Constance Court</v>
      </c>
      <c r="N1515" s="350" t="str">
        <f ca="1">IF($B1515="Portfolio","Portfolio",IFERROR(INDEX(DATA_ASSET_CLASSIFICATION!$U$8:$U$24,MATCH($C1515,DATA_ASSET_CLASSIFICATION!$A$8:$A$24,0)),"Review"))</f>
        <v>Refi Watch</v>
      </c>
      <c r="O1515" s="350" t="str">
        <f ca="1">IF($B1515="Portfolio","Portfolio",IFERROR(INDEX(DATA_ASSET_CLASSIFICATION!$AB$8:$AB$13,MATCH($N1515,DATA_ASSET_CLASSIFICATION!$AA$8:$AA$13,0)),"Review"))</f>
        <v>Bucket 2 · Legacy</v>
      </c>
      <c r="P1515" s="350" t="str">
        <f>IF($B1515="Portfolio","Portfolio",IFERROR(INDEX(DATA_ASSET_CLASSIFICATION!$C$8:$C$24,MATCH($C1515,DATA_ASSET_CLASSIFICATION!$A$8:$A$24,0)),"Review"))</f>
        <v>Yes</v>
      </c>
      <c r="Q1515" s="350" t="str">
        <f t="shared" ca="1" si="47"/>
        <v>OK</v>
      </c>
    </row>
    <row r="1516" spans="1:17">
      <c r="A1516" s="366" t="s">
        <v>3472</v>
      </c>
      <c r="B1516" s="366" t="s">
        <v>231</v>
      </c>
      <c r="C1516" s="348" t="str">
        <f>DATA_PROPERTY_MASTER!$A$9</f>
        <v>BLD_CC</v>
      </c>
      <c r="D1516" s="380">
        <f>'00_PORTFOLIO ROLLUP'!H$12</f>
        <v>2028</v>
      </c>
      <c r="E1516" s="366" t="s">
        <v>1741</v>
      </c>
      <c r="F1516" s="366" t="s">
        <v>43</v>
      </c>
      <c r="G1516" s="348" t="str">
        <f>"'"&amp;$C1516&amp;"'!$E$68:$Y$68"</f>
        <v>'BLD_CC'!$E$68:$Y$68</v>
      </c>
      <c r="H1516" s="381">
        <f ca="1">IF(IFERROR(INDEX(DATA_PROPERTY_MASTER!$E$5:$E$21,MATCH($C1516,DATA_PROPERTY_MASTER!$A$5:$A$21,0))="Yes",FALSE),IFERROR(INDEX(INDIRECT("'"&amp;$C1516&amp;"'!$E$68:$Y$68"),1,MATCH($D1516,INDIRECT("'"&amp;$C1516&amp;"'!$E$12:$Y$12"),0)),0),0)</f>
        <v>116317.35084372485</v>
      </c>
      <c r="I1516" s="366" t="s">
        <v>1731</v>
      </c>
      <c r="J1516" s="348" t="str">
        <f t="shared" ca="1" si="46"/>
        <v>OK</v>
      </c>
      <c r="K1516" s="366" t="s">
        <v>1746</v>
      </c>
      <c r="L1516" s="366" t="s">
        <v>2264</v>
      </c>
      <c r="M1516" s="350" t="str">
        <f>IF($B1516="Portfolio","Portfolio",IFERROR(INDEX(DATA_ASSET_CLASSIFICATION!$B$8:$B$24,MATCH($C1516,DATA_ASSET_CLASSIFICATION!$A$8:$A$24,0)),"Review"))</f>
        <v>Constance Court</v>
      </c>
      <c r="N1516" s="350" t="str">
        <f ca="1">IF($B1516="Portfolio","Portfolio",IFERROR(INDEX(DATA_ASSET_CLASSIFICATION!$U$8:$U$24,MATCH($C1516,DATA_ASSET_CLASSIFICATION!$A$8:$A$24,0)),"Review"))</f>
        <v>Refi Watch</v>
      </c>
      <c r="O1516" s="350" t="str">
        <f ca="1">IF($B1516="Portfolio","Portfolio",IFERROR(INDEX(DATA_ASSET_CLASSIFICATION!$AB$8:$AB$13,MATCH($N1516,DATA_ASSET_CLASSIFICATION!$AA$8:$AA$13,0)),"Review"))</f>
        <v>Bucket 2 · Legacy</v>
      </c>
      <c r="P1516" s="350" t="str">
        <f>IF($B1516="Portfolio","Portfolio",IFERROR(INDEX(DATA_ASSET_CLASSIFICATION!$C$8:$C$24,MATCH($C1516,DATA_ASSET_CLASSIFICATION!$A$8:$A$24,0)),"Review"))</f>
        <v>Yes</v>
      </c>
      <c r="Q1516" s="350" t="str">
        <f t="shared" ca="1" si="47"/>
        <v>OK</v>
      </c>
    </row>
    <row r="1517" spans="1:17">
      <c r="A1517" s="366" t="s">
        <v>3473</v>
      </c>
      <c r="B1517" s="366" t="s">
        <v>231</v>
      </c>
      <c r="C1517" s="348" t="str">
        <f>DATA_PROPERTY_MASTER!$A$9</f>
        <v>BLD_CC</v>
      </c>
      <c r="D1517" s="380">
        <f>'00_PORTFOLIO ROLLUP'!H$12</f>
        <v>2028</v>
      </c>
      <c r="E1517" s="366" t="s">
        <v>1741</v>
      </c>
      <c r="F1517" s="366" t="s">
        <v>1749</v>
      </c>
      <c r="G1517" s="348" t="str">
        <f>"'"&amp;$C1517&amp;"'!rows 56, 63, 68"</f>
        <v>'BLD_CC'!rows 56, 63, 68</v>
      </c>
      <c r="H1517" s="381">
        <f ca="1">IF(IFERROR(INDEX(DATA_PROPERTY_MASTER!$E$5:$E$21,MATCH($C1517,DATA_PROPERTY_MASTER!$A$5:$A$21,0))="Yes",FALSE),(IFERROR(INDEX(INDIRECT("'"&amp;$C1517&amp;"'!$E$56:$Y$56"),1,MATCH($D1517,INDIRECT("'"&amp;$C1517&amp;"'!$E$12:$Y$12"),0)),0)+MAX(IFERROR(INDEX(INDIRECT("'"&amp;$C1517&amp;"'!$E$63:$Y$63"),1,MATCH($D1517,INDIRECT("'"&amp;$C1517&amp;"'!$E$12:$Y$12"),0)),0),0))-(IFERROR(INDEX(INDIRECT("'"&amp;$C1517&amp;"'!$E$68:$Y$68"),1,MATCH($D1517,INDIRECT("'"&amp;$C1517&amp;"'!$E$12:$Y$12"),0)),0)),0)</f>
        <v>0</v>
      </c>
      <c r="I1517" s="366" t="s">
        <v>1750</v>
      </c>
      <c r="J1517" s="348" t="str">
        <f t="shared" ca="1" si="46"/>
        <v>OK</v>
      </c>
      <c r="K1517" s="366" t="s">
        <v>1751</v>
      </c>
      <c r="L1517" s="366" t="s">
        <v>2266</v>
      </c>
      <c r="M1517" s="350" t="str">
        <f>IF($B1517="Portfolio","Portfolio",IFERROR(INDEX(DATA_ASSET_CLASSIFICATION!$B$8:$B$24,MATCH($C1517,DATA_ASSET_CLASSIFICATION!$A$8:$A$24,0)),"Review"))</f>
        <v>Constance Court</v>
      </c>
      <c r="N1517" s="350" t="str">
        <f ca="1">IF($B1517="Portfolio","Portfolio",IFERROR(INDEX(DATA_ASSET_CLASSIFICATION!$U$8:$U$24,MATCH($C1517,DATA_ASSET_CLASSIFICATION!$A$8:$A$24,0)),"Review"))</f>
        <v>Refi Watch</v>
      </c>
      <c r="O1517" s="350" t="str">
        <f ca="1">IF($B1517="Portfolio","Portfolio",IFERROR(INDEX(DATA_ASSET_CLASSIFICATION!$AB$8:$AB$13,MATCH($N1517,DATA_ASSET_CLASSIFICATION!$AA$8:$AA$13,0)),"Review"))</f>
        <v>Bucket 2 · Legacy</v>
      </c>
      <c r="P1517" s="350" t="str">
        <f>IF($B1517="Portfolio","Portfolio",IFERROR(INDEX(DATA_ASSET_CLASSIFICATION!$C$8:$C$24,MATCH($C1517,DATA_ASSET_CLASSIFICATION!$A$8:$A$24,0)),"Review"))</f>
        <v>Yes</v>
      </c>
      <c r="Q1517" s="350" t="str">
        <f t="shared" ca="1" si="47"/>
        <v>OK</v>
      </c>
    </row>
    <row r="1518" spans="1:17">
      <c r="A1518" s="366" t="s">
        <v>3474</v>
      </c>
      <c r="B1518" s="366" t="s">
        <v>231</v>
      </c>
      <c r="C1518" s="348" t="str">
        <f>DATA_PROPERTY_MASTER!$A$9</f>
        <v>BLD_CC</v>
      </c>
      <c r="D1518" s="380">
        <f>'00_PORTFOLIO ROLLUP'!I$12</f>
        <v>2029</v>
      </c>
      <c r="E1518" s="366" t="s">
        <v>1683</v>
      </c>
      <c r="F1518" s="366" t="s">
        <v>341</v>
      </c>
      <c r="G1518" s="348" t="str">
        <f>"'"&amp;$C1518&amp;"'!$E$24:$Y$24"</f>
        <v>'BLD_CC'!$E$24:$Y$24</v>
      </c>
      <c r="H1518" s="381">
        <f ca="1">IF(IFERROR(INDEX(DATA_PROPERTY_MASTER!$E$5:$E$21,MATCH($C1518,DATA_PROPERTY_MASTER!$A$5:$A$21,0))="Yes",FALSE),IFERROR(INDEX(INDIRECT("'"&amp;$C1518&amp;"'!$E$24:$Y$24"),1,MATCH($D1518,INDIRECT("'"&amp;$C1518&amp;"'!$E$12:$Y$12"),0)),0),0)</f>
        <v>533772.26331133838</v>
      </c>
      <c r="I1518" s="366" t="s">
        <v>1685</v>
      </c>
      <c r="J1518" s="348" t="str">
        <f t="shared" ca="1" si="46"/>
        <v>OK</v>
      </c>
      <c r="K1518" s="366" t="s">
        <v>1686</v>
      </c>
      <c r="L1518" s="366" t="s">
        <v>2234</v>
      </c>
      <c r="M1518" s="350" t="str">
        <f>IF($B1518="Portfolio","Portfolio",IFERROR(INDEX(DATA_ASSET_CLASSIFICATION!$B$8:$B$24,MATCH($C1518,DATA_ASSET_CLASSIFICATION!$A$8:$A$24,0)),"Review"))</f>
        <v>Constance Court</v>
      </c>
      <c r="N1518" s="350" t="str">
        <f ca="1">IF($B1518="Portfolio","Portfolio",IFERROR(INDEX(DATA_ASSET_CLASSIFICATION!$U$8:$U$24,MATCH($C1518,DATA_ASSET_CLASSIFICATION!$A$8:$A$24,0)),"Review"))</f>
        <v>Refi Watch</v>
      </c>
      <c r="O1518" s="350" t="str">
        <f ca="1">IF($B1518="Portfolio","Portfolio",IFERROR(INDEX(DATA_ASSET_CLASSIFICATION!$AB$8:$AB$13,MATCH($N1518,DATA_ASSET_CLASSIFICATION!$AA$8:$AA$13,0)),"Review"))</f>
        <v>Bucket 2 · Legacy</v>
      </c>
      <c r="P1518" s="350" t="str">
        <f>IF($B1518="Portfolio","Portfolio",IFERROR(INDEX(DATA_ASSET_CLASSIFICATION!$C$8:$C$24,MATCH($C1518,DATA_ASSET_CLASSIFICATION!$A$8:$A$24,0)),"Review"))</f>
        <v>Yes</v>
      </c>
      <c r="Q1518" s="350" t="str">
        <f t="shared" ca="1" si="47"/>
        <v>OK</v>
      </c>
    </row>
    <row r="1519" spans="1:17">
      <c r="A1519" s="366" t="s">
        <v>3475</v>
      </c>
      <c r="B1519" s="366" t="s">
        <v>231</v>
      </c>
      <c r="C1519" s="348" t="str">
        <f>DATA_PROPERTY_MASTER!$A$9</f>
        <v>BLD_CC</v>
      </c>
      <c r="D1519" s="380">
        <f>'00_PORTFOLIO ROLLUP'!I$12</f>
        <v>2029</v>
      </c>
      <c r="E1519" s="366" t="s">
        <v>1683</v>
      </c>
      <c r="F1519" s="366" t="s">
        <v>355</v>
      </c>
      <c r="G1519" s="348" t="str">
        <f>"'"&amp;$C1519&amp;"'!$E$39:$Y$39"</f>
        <v>'BLD_CC'!$E$39:$Y$39</v>
      </c>
      <c r="H1519" s="381">
        <f ca="1">IF(IFERROR(INDEX(DATA_PROPERTY_MASTER!$E$5:$E$21,MATCH($C1519,DATA_PROPERTY_MASTER!$A$5:$A$21,0))="Yes",FALSE),IFERROR(INDEX(INDIRECT("'"&amp;$C1519&amp;"'!$E$39:$Y$39"),1,MATCH($D1519,INDIRECT("'"&amp;$C1519&amp;"'!$E$12:$Y$12"),0)),0),0)</f>
        <v>241813.27392768004</v>
      </c>
      <c r="I1519" s="366" t="s">
        <v>1690</v>
      </c>
      <c r="J1519" s="348" t="str">
        <f t="shared" ca="1" si="46"/>
        <v>OK</v>
      </c>
      <c r="K1519" s="366" t="s">
        <v>1686</v>
      </c>
      <c r="L1519" s="366" t="s">
        <v>2236</v>
      </c>
      <c r="M1519" s="350" t="str">
        <f>IF($B1519="Portfolio","Portfolio",IFERROR(INDEX(DATA_ASSET_CLASSIFICATION!$B$8:$B$24,MATCH($C1519,DATA_ASSET_CLASSIFICATION!$A$8:$A$24,0)),"Review"))</f>
        <v>Constance Court</v>
      </c>
      <c r="N1519" s="350" t="str">
        <f ca="1">IF($B1519="Portfolio","Portfolio",IFERROR(INDEX(DATA_ASSET_CLASSIFICATION!$U$8:$U$24,MATCH($C1519,DATA_ASSET_CLASSIFICATION!$A$8:$A$24,0)),"Review"))</f>
        <v>Refi Watch</v>
      </c>
      <c r="O1519" s="350" t="str">
        <f ca="1">IF($B1519="Portfolio","Portfolio",IFERROR(INDEX(DATA_ASSET_CLASSIFICATION!$AB$8:$AB$13,MATCH($N1519,DATA_ASSET_CLASSIFICATION!$AA$8:$AA$13,0)),"Review"))</f>
        <v>Bucket 2 · Legacy</v>
      </c>
      <c r="P1519" s="350" t="str">
        <f>IF($B1519="Portfolio","Portfolio",IFERROR(INDEX(DATA_ASSET_CLASSIFICATION!$C$8:$C$24,MATCH($C1519,DATA_ASSET_CLASSIFICATION!$A$8:$A$24,0)),"Review"))</f>
        <v>Yes</v>
      </c>
      <c r="Q1519" s="350" t="str">
        <f t="shared" ca="1" si="47"/>
        <v>OK</v>
      </c>
    </row>
    <row r="1520" spans="1:17">
      <c r="A1520" s="366" t="s">
        <v>3476</v>
      </c>
      <c r="B1520" s="366" t="s">
        <v>231</v>
      </c>
      <c r="C1520" s="348" t="str">
        <f>DATA_PROPERTY_MASTER!$A$9</f>
        <v>BLD_CC</v>
      </c>
      <c r="D1520" s="380">
        <f>'00_PORTFOLIO ROLLUP'!I$12</f>
        <v>2029</v>
      </c>
      <c r="E1520" s="366" t="s">
        <v>1683</v>
      </c>
      <c r="F1520" s="366" t="s">
        <v>19</v>
      </c>
      <c r="G1520" s="348" t="str">
        <f>"'"&amp;$C1520&amp;"'!$E$41:$Y$41"</f>
        <v>'BLD_CC'!$E$41:$Y$41</v>
      </c>
      <c r="H1520" s="381">
        <f ca="1">IF(IFERROR(INDEX(DATA_PROPERTY_MASTER!$E$5:$E$21,MATCH($C1520,DATA_PROPERTY_MASTER!$A$5:$A$21,0))="Yes",FALSE),IFERROR(INDEX(INDIRECT("'"&amp;$C1520&amp;"'!$E$41:$Y$41"),1,MATCH($D1520,INDIRECT("'"&amp;$C1520&amp;"'!$E$12:$Y$12"),0)),0),0)</f>
        <v>291958.98938365834</v>
      </c>
      <c r="I1520" s="366" t="s">
        <v>1685</v>
      </c>
      <c r="J1520" s="348" t="str">
        <f t="shared" ca="1" si="46"/>
        <v>OK</v>
      </c>
      <c r="K1520" s="366" t="s">
        <v>1694</v>
      </c>
      <c r="L1520" s="366" t="s">
        <v>2238</v>
      </c>
      <c r="M1520" s="350" t="str">
        <f>IF($B1520="Portfolio","Portfolio",IFERROR(INDEX(DATA_ASSET_CLASSIFICATION!$B$8:$B$24,MATCH($C1520,DATA_ASSET_CLASSIFICATION!$A$8:$A$24,0)),"Review"))</f>
        <v>Constance Court</v>
      </c>
      <c r="N1520" s="350" t="str">
        <f ca="1">IF($B1520="Portfolio","Portfolio",IFERROR(INDEX(DATA_ASSET_CLASSIFICATION!$U$8:$U$24,MATCH($C1520,DATA_ASSET_CLASSIFICATION!$A$8:$A$24,0)),"Review"))</f>
        <v>Refi Watch</v>
      </c>
      <c r="O1520" s="350" t="str">
        <f ca="1">IF($B1520="Portfolio","Portfolio",IFERROR(INDEX(DATA_ASSET_CLASSIFICATION!$AB$8:$AB$13,MATCH($N1520,DATA_ASSET_CLASSIFICATION!$AA$8:$AA$13,0)),"Review"))</f>
        <v>Bucket 2 · Legacy</v>
      </c>
      <c r="P1520" s="350" t="str">
        <f>IF($B1520="Portfolio","Portfolio",IFERROR(INDEX(DATA_ASSET_CLASSIFICATION!$C$8:$C$24,MATCH($C1520,DATA_ASSET_CLASSIFICATION!$A$8:$A$24,0)),"Review"))</f>
        <v>Yes</v>
      </c>
      <c r="Q1520" s="350" t="str">
        <f t="shared" ca="1" si="47"/>
        <v>OK</v>
      </c>
    </row>
    <row r="1521" spans="1:17">
      <c r="A1521" s="366" t="s">
        <v>3477</v>
      </c>
      <c r="B1521" s="366" t="s">
        <v>231</v>
      </c>
      <c r="C1521" s="348" t="str">
        <f>DATA_PROPERTY_MASTER!$A$9</f>
        <v>BLD_CC</v>
      </c>
      <c r="D1521" s="380">
        <f>'00_PORTFOLIO ROLLUP'!I$12</f>
        <v>2029</v>
      </c>
      <c r="E1521" s="366" t="s">
        <v>1683</v>
      </c>
      <c r="F1521" s="366" t="s">
        <v>1697</v>
      </c>
      <c r="G1521" s="348" t="str">
        <f>"'"&amp;$C1521&amp;"'!$E$44:$Y$44"</f>
        <v>'BLD_CC'!$E$44:$Y$44</v>
      </c>
      <c r="H1521" s="381">
        <f ca="1">IF(IFERROR(INDEX(DATA_PROPERTY_MASTER!$E$5:$E$21,MATCH($C1521,DATA_PROPERTY_MASTER!$A$5:$A$21,0))="Yes",FALSE),IFERROR(INDEX(INDIRECT("'"&amp;$C1521&amp;"'!$E$44:$Y$44"),1,MATCH($D1521,INDIRECT("'"&amp;$C1521&amp;"'!$E$12:$Y$12"),0)),0),0)</f>
        <v>5520.4040159999995</v>
      </c>
      <c r="I1521" s="366" t="s">
        <v>1690</v>
      </c>
      <c r="J1521" s="348" t="str">
        <f t="shared" ca="1" si="46"/>
        <v>OK</v>
      </c>
      <c r="K1521" s="366" t="s">
        <v>1699</v>
      </c>
      <c r="L1521" s="366" t="s">
        <v>2240</v>
      </c>
      <c r="M1521" s="350" t="str">
        <f>IF($B1521="Portfolio","Portfolio",IFERROR(INDEX(DATA_ASSET_CLASSIFICATION!$B$8:$B$24,MATCH($C1521,DATA_ASSET_CLASSIFICATION!$A$8:$A$24,0)),"Review"))</f>
        <v>Constance Court</v>
      </c>
      <c r="N1521" s="350" t="str">
        <f ca="1">IF($B1521="Portfolio","Portfolio",IFERROR(INDEX(DATA_ASSET_CLASSIFICATION!$U$8:$U$24,MATCH($C1521,DATA_ASSET_CLASSIFICATION!$A$8:$A$24,0)),"Review"))</f>
        <v>Refi Watch</v>
      </c>
      <c r="O1521" s="350" t="str">
        <f ca="1">IF($B1521="Portfolio","Portfolio",IFERROR(INDEX(DATA_ASSET_CLASSIFICATION!$AB$8:$AB$13,MATCH($N1521,DATA_ASSET_CLASSIFICATION!$AA$8:$AA$13,0)),"Review"))</f>
        <v>Bucket 2 · Legacy</v>
      </c>
      <c r="P1521" s="350" t="str">
        <f>IF($B1521="Portfolio","Portfolio",IFERROR(INDEX(DATA_ASSET_CLASSIFICATION!$C$8:$C$24,MATCH($C1521,DATA_ASSET_CLASSIFICATION!$A$8:$A$24,0)),"Review"))</f>
        <v>Yes</v>
      </c>
      <c r="Q1521" s="350" t="str">
        <f t="shared" ca="1" si="47"/>
        <v>OK</v>
      </c>
    </row>
    <row r="1522" spans="1:17">
      <c r="A1522" s="366" t="s">
        <v>3478</v>
      </c>
      <c r="B1522" s="366" t="s">
        <v>231</v>
      </c>
      <c r="C1522" s="348" t="str">
        <f>DATA_PROPERTY_MASTER!$A$9</f>
        <v>BLD_CC</v>
      </c>
      <c r="D1522" s="380">
        <f>'00_PORTFOLIO ROLLUP'!I$12</f>
        <v>2029</v>
      </c>
      <c r="E1522" s="366" t="s">
        <v>1683</v>
      </c>
      <c r="F1522" s="366" t="s">
        <v>21</v>
      </c>
      <c r="G1522" s="348" t="str">
        <f>"'"&amp;$C1522&amp;"'!$E$45:$Y$45"</f>
        <v>'BLD_CC'!$E$45:$Y$45</v>
      </c>
      <c r="H1522" s="381">
        <f ca="1">IF(IFERROR(INDEX(DATA_PROPERTY_MASTER!$E$5:$E$21,MATCH($C1522,DATA_PROPERTY_MASTER!$A$5:$A$21,0))="Yes",FALSE),IFERROR(INDEX(INDIRECT("'"&amp;$C1522&amp;"'!$E$45:$Y$45"),1,MATCH($D1522,INDIRECT("'"&amp;$C1522&amp;"'!$E$12:$Y$12"),0)),0),0)</f>
        <v>286438.58536765835</v>
      </c>
      <c r="I1522" s="366" t="s">
        <v>1685</v>
      </c>
      <c r="J1522" s="348" t="str">
        <f t="shared" ca="1" si="46"/>
        <v>OK</v>
      </c>
      <c r="K1522" s="366" t="s">
        <v>1694</v>
      </c>
      <c r="L1522" s="366" t="s">
        <v>2242</v>
      </c>
      <c r="M1522" s="350" t="str">
        <f>IF($B1522="Portfolio","Portfolio",IFERROR(INDEX(DATA_ASSET_CLASSIFICATION!$B$8:$B$24,MATCH($C1522,DATA_ASSET_CLASSIFICATION!$A$8:$A$24,0)),"Review"))</f>
        <v>Constance Court</v>
      </c>
      <c r="N1522" s="350" t="str">
        <f ca="1">IF($B1522="Portfolio","Portfolio",IFERROR(INDEX(DATA_ASSET_CLASSIFICATION!$U$8:$U$24,MATCH($C1522,DATA_ASSET_CLASSIFICATION!$A$8:$A$24,0)),"Review"))</f>
        <v>Refi Watch</v>
      </c>
      <c r="O1522" s="350" t="str">
        <f ca="1">IF($B1522="Portfolio","Portfolio",IFERROR(INDEX(DATA_ASSET_CLASSIFICATION!$AB$8:$AB$13,MATCH($N1522,DATA_ASSET_CLASSIFICATION!$AA$8:$AA$13,0)),"Review"))</f>
        <v>Bucket 2 · Legacy</v>
      </c>
      <c r="P1522" s="350" t="str">
        <f>IF($B1522="Portfolio","Portfolio",IFERROR(INDEX(DATA_ASSET_CLASSIFICATION!$C$8:$C$24,MATCH($C1522,DATA_ASSET_CLASSIFICATION!$A$8:$A$24,0)),"Review"))</f>
        <v>Yes</v>
      </c>
      <c r="Q1522" s="350" t="str">
        <f t="shared" ca="1" si="47"/>
        <v>OK</v>
      </c>
    </row>
    <row r="1523" spans="1:17">
      <c r="A1523" s="366" t="s">
        <v>3479</v>
      </c>
      <c r="B1523" s="366" t="s">
        <v>231</v>
      </c>
      <c r="C1523" s="348" t="str">
        <f>DATA_PROPERTY_MASTER!$A$9</f>
        <v>BLD_CC</v>
      </c>
      <c r="D1523" s="380">
        <f>'00_PORTFOLIO ROLLUP'!I$12</f>
        <v>2029</v>
      </c>
      <c r="E1523" s="366" t="s">
        <v>23</v>
      </c>
      <c r="F1523" s="366" t="s">
        <v>23</v>
      </c>
      <c r="G1523" s="348" t="str">
        <f>"'"&amp;$C1523&amp;"'!$E$48:$Y$48"</f>
        <v>'BLD_CC'!$E$48:$Y$48</v>
      </c>
      <c r="H1523" s="381">
        <f ca="1">IF(IFERROR(INDEX(DATA_PROPERTY_MASTER!$E$5:$E$21,MATCH($C1523,DATA_PROPERTY_MASTER!$A$5:$A$21,0))="Yes",FALSE),IFERROR(INDEX(INDIRECT("'"&amp;$C1523&amp;"'!$E$48:$Y$48"),1,MATCH($D1523,INDIRECT("'"&amp;$C1523&amp;"'!$E$12:$Y$12"),0)),0),0)</f>
        <v>0</v>
      </c>
      <c r="I1523" s="366" t="s">
        <v>1690</v>
      </c>
      <c r="J1523" s="348" t="str">
        <f t="shared" ca="1" si="46"/>
        <v>OK</v>
      </c>
      <c r="K1523" s="366" t="s">
        <v>1706</v>
      </c>
      <c r="L1523" s="366" t="s">
        <v>2244</v>
      </c>
      <c r="M1523" s="350" t="str">
        <f>IF($B1523="Portfolio","Portfolio",IFERROR(INDEX(DATA_ASSET_CLASSIFICATION!$B$8:$B$24,MATCH($C1523,DATA_ASSET_CLASSIFICATION!$A$8:$A$24,0)),"Review"))</f>
        <v>Constance Court</v>
      </c>
      <c r="N1523" s="350" t="str">
        <f ca="1">IF($B1523="Portfolio","Portfolio",IFERROR(INDEX(DATA_ASSET_CLASSIFICATION!$U$8:$U$24,MATCH($C1523,DATA_ASSET_CLASSIFICATION!$A$8:$A$24,0)),"Review"))</f>
        <v>Refi Watch</v>
      </c>
      <c r="O1523" s="350" t="str">
        <f ca="1">IF($B1523="Portfolio","Portfolio",IFERROR(INDEX(DATA_ASSET_CLASSIFICATION!$AB$8:$AB$13,MATCH($N1523,DATA_ASSET_CLASSIFICATION!$AA$8:$AA$13,0)),"Review"))</f>
        <v>Bucket 2 · Legacy</v>
      </c>
      <c r="P1523" s="350" t="str">
        <f>IF($B1523="Portfolio","Portfolio",IFERROR(INDEX(DATA_ASSET_CLASSIFICATION!$C$8:$C$24,MATCH($C1523,DATA_ASSET_CLASSIFICATION!$A$8:$A$24,0)),"Review"))</f>
        <v>Yes</v>
      </c>
      <c r="Q1523" s="350" t="str">
        <f t="shared" ca="1" si="47"/>
        <v>OK</v>
      </c>
    </row>
    <row r="1524" spans="1:17">
      <c r="A1524" s="366" t="s">
        <v>3480</v>
      </c>
      <c r="B1524" s="366" t="s">
        <v>231</v>
      </c>
      <c r="C1524" s="348" t="str">
        <f>DATA_PROPERTY_MASTER!$A$9</f>
        <v>BLD_CC</v>
      </c>
      <c r="D1524" s="380">
        <f>'00_PORTFOLIO ROLLUP'!I$12</f>
        <v>2029</v>
      </c>
      <c r="E1524" s="366" t="s">
        <v>1683</v>
      </c>
      <c r="F1524" s="366" t="s">
        <v>25</v>
      </c>
      <c r="G1524" s="348" t="str">
        <f>"'"&amp;$C1524&amp;"'!$E$52:$Y$52"</f>
        <v>'BLD_CC'!$E$52:$Y$52</v>
      </c>
      <c r="H1524" s="381">
        <f ca="1">IF(IFERROR(INDEX(DATA_PROPERTY_MASTER!$E$5:$E$21,MATCH($C1524,DATA_PROPERTY_MASTER!$A$5:$A$21,0))="Yes",FALSE),IFERROR(INDEX(INDIRECT("'"&amp;$C1524&amp;"'!$E$52:$Y$52"),1,MATCH($D1524,INDIRECT("'"&amp;$C1524&amp;"'!$E$12:$Y$12"),0)),0),0)</f>
        <v>291958.98938365834</v>
      </c>
      <c r="I1524" s="366" t="s">
        <v>1685</v>
      </c>
      <c r="J1524" s="348" t="str">
        <f t="shared" ca="1" si="46"/>
        <v>OK</v>
      </c>
      <c r="K1524" s="366" t="s">
        <v>1710</v>
      </c>
      <c r="L1524" s="366" t="s">
        <v>2246</v>
      </c>
      <c r="M1524" s="350" t="str">
        <f>IF($B1524="Portfolio","Portfolio",IFERROR(INDEX(DATA_ASSET_CLASSIFICATION!$B$8:$B$24,MATCH($C1524,DATA_ASSET_CLASSIFICATION!$A$8:$A$24,0)),"Review"))</f>
        <v>Constance Court</v>
      </c>
      <c r="N1524" s="350" t="str">
        <f ca="1">IF($B1524="Portfolio","Portfolio",IFERROR(INDEX(DATA_ASSET_CLASSIFICATION!$U$8:$U$24,MATCH($C1524,DATA_ASSET_CLASSIFICATION!$A$8:$A$24,0)),"Review"))</f>
        <v>Refi Watch</v>
      </c>
      <c r="O1524" s="350" t="str">
        <f ca="1">IF($B1524="Portfolio","Portfolio",IFERROR(INDEX(DATA_ASSET_CLASSIFICATION!$AB$8:$AB$13,MATCH($N1524,DATA_ASSET_CLASSIFICATION!$AA$8:$AA$13,0)),"Review"))</f>
        <v>Bucket 2 · Legacy</v>
      </c>
      <c r="P1524" s="350" t="str">
        <f>IF($B1524="Portfolio","Portfolio",IFERROR(INDEX(DATA_ASSET_CLASSIFICATION!$C$8:$C$24,MATCH($C1524,DATA_ASSET_CLASSIFICATION!$A$8:$A$24,0)),"Review"))</f>
        <v>Yes</v>
      </c>
      <c r="Q1524" s="350" t="str">
        <f t="shared" ca="1" si="47"/>
        <v>OK</v>
      </c>
    </row>
    <row r="1525" spans="1:17">
      <c r="A1525" s="366" t="s">
        <v>3481</v>
      </c>
      <c r="B1525" s="366" t="s">
        <v>231</v>
      </c>
      <c r="C1525" s="348" t="str">
        <f>DATA_PROPERTY_MASTER!$A$9</f>
        <v>BLD_CC</v>
      </c>
      <c r="D1525" s="380">
        <f>'00_PORTFOLIO ROLLUP'!I$12</f>
        <v>2029</v>
      </c>
      <c r="E1525" s="366" t="s">
        <v>1683</v>
      </c>
      <c r="F1525" s="366" t="s">
        <v>27</v>
      </c>
      <c r="G1525" s="348" t="str">
        <f>"'"&amp;$C1525&amp;"'!$E$54:$Y$54"</f>
        <v>'BLD_CC'!$E$54:$Y$54</v>
      </c>
      <c r="H1525" s="381">
        <f ca="1">IF(IFERROR(INDEX(DATA_PROPERTY_MASTER!$E$5:$E$21,MATCH($C1525,DATA_PROPERTY_MASTER!$A$5:$A$21,0))="Yes",FALSE),IFERROR(INDEX(INDIRECT("'"&amp;$C1525&amp;"'!$E$54:$Y$54"),1,MATCH($D1525,INDIRECT("'"&amp;$C1525&amp;"'!$E$12:$Y$12"),0)),0),0)</f>
        <v>175175.393630195</v>
      </c>
      <c r="I1525" s="366" t="s">
        <v>1690</v>
      </c>
      <c r="J1525" s="348" t="str">
        <f t="shared" ca="1" si="46"/>
        <v>OK</v>
      </c>
      <c r="K1525" s="366" t="s">
        <v>1714</v>
      </c>
      <c r="L1525" s="366" t="s">
        <v>2248</v>
      </c>
      <c r="M1525" s="350" t="str">
        <f>IF($B1525="Portfolio","Portfolio",IFERROR(INDEX(DATA_ASSET_CLASSIFICATION!$B$8:$B$24,MATCH($C1525,DATA_ASSET_CLASSIFICATION!$A$8:$A$24,0)),"Review"))</f>
        <v>Constance Court</v>
      </c>
      <c r="N1525" s="350" t="str">
        <f ca="1">IF($B1525="Portfolio","Portfolio",IFERROR(INDEX(DATA_ASSET_CLASSIFICATION!$U$8:$U$24,MATCH($C1525,DATA_ASSET_CLASSIFICATION!$A$8:$A$24,0)),"Review"))</f>
        <v>Refi Watch</v>
      </c>
      <c r="O1525" s="350" t="str">
        <f ca="1">IF($B1525="Portfolio","Portfolio",IFERROR(INDEX(DATA_ASSET_CLASSIFICATION!$AB$8:$AB$13,MATCH($N1525,DATA_ASSET_CLASSIFICATION!$AA$8:$AA$13,0)),"Review"))</f>
        <v>Bucket 2 · Legacy</v>
      </c>
      <c r="P1525" s="350" t="str">
        <f>IF($B1525="Portfolio","Portfolio",IFERROR(INDEX(DATA_ASSET_CLASSIFICATION!$C$8:$C$24,MATCH($C1525,DATA_ASSET_CLASSIFICATION!$A$8:$A$24,0)),"Review"))</f>
        <v>Yes</v>
      </c>
      <c r="Q1525" s="350" t="str">
        <f t="shared" ca="1" si="47"/>
        <v>OK</v>
      </c>
    </row>
    <row r="1526" spans="1:17">
      <c r="A1526" s="366" t="s">
        <v>3482</v>
      </c>
      <c r="B1526" s="366" t="s">
        <v>231</v>
      </c>
      <c r="C1526" s="348" t="str">
        <f>DATA_PROPERTY_MASTER!$A$9</f>
        <v>BLD_CC</v>
      </c>
      <c r="D1526" s="380">
        <f>'00_PORTFOLIO ROLLUP'!I$12</f>
        <v>2029</v>
      </c>
      <c r="E1526" s="366" t="s">
        <v>1683</v>
      </c>
      <c r="F1526" s="366" t="s">
        <v>29</v>
      </c>
      <c r="G1526" s="348" t="str">
        <f>"'"&amp;$C1526&amp;"'!$E$56:$Y$56"</f>
        <v>'BLD_CC'!$E$56:$Y$56</v>
      </c>
      <c r="H1526" s="381">
        <f ca="1">IF(IFERROR(INDEX(DATA_PROPERTY_MASTER!$E$5:$E$21,MATCH($C1526,DATA_PROPERTY_MASTER!$A$5:$A$21,0))="Yes",FALSE),IFERROR(INDEX(INDIRECT("'"&amp;$C1526&amp;"'!$E$56:$Y$56"),1,MATCH($D1526,INDIRECT("'"&amp;$C1526&amp;"'!$E$12:$Y$12"),0)),0),0)</f>
        <v>116783.59575346333</v>
      </c>
      <c r="I1526" s="366" t="s">
        <v>1685</v>
      </c>
      <c r="J1526" s="348" t="str">
        <f t="shared" ca="1" si="46"/>
        <v>OK</v>
      </c>
      <c r="K1526" s="366" t="s">
        <v>1718</v>
      </c>
      <c r="L1526" s="366" t="s">
        <v>2250</v>
      </c>
      <c r="M1526" s="350" t="str">
        <f>IF($B1526="Portfolio","Portfolio",IFERROR(INDEX(DATA_ASSET_CLASSIFICATION!$B$8:$B$24,MATCH($C1526,DATA_ASSET_CLASSIFICATION!$A$8:$A$24,0)),"Review"))</f>
        <v>Constance Court</v>
      </c>
      <c r="N1526" s="350" t="str">
        <f ca="1">IF($B1526="Portfolio","Portfolio",IFERROR(INDEX(DATA_ASSET_CLASSIFICATION!$U$8:$U$24,MATCH($C1526,DATA_ASSET_CLASSIFICATION!$A$8:$A$24,0)),"Review"))</f>
        <v>Refi Watch</v>
      </c>
      <c r="O1526" s="350" t="str">
        <f ca="1">IF($B1526="Portfolio","Portfolio",IFERROR(INDEX(DATA_ASSET_CLASSIFICATION!$AB$8:$AB$13,MATCH($N1526,DATA_ASSET_CLASSIFICATION!$AA$8:$AA$13,0)),"Review"))</f>
        <v>Bucket 2 · Legacy</v>
      </c>
      <c r="P1526" s="350" t="str">
        <f>IF($B1526="Portfolio","Portfolio",IFERROR(INDEX(DATA_ASSET_CLASSIFICATION!$C$8:$C$24,MATCH($C1526,DATA_ASSET_CLASSIFICATION!$A$8:$A$24,0)),"Review"))</f>
        <v>Yes</v>
      </c>
      <c r="Q1526" s="350" t="str">
        <f t="shared" ca="1" si="47"/>
        <v>OK</v>
      </c>
    </row>
    <row r="1527" spans="1:17">
      <c r="A1527" s="366" t="s">
        <v>3483</v>
      </c>
      <c r="B1527" s="366" t="s">
        <v>231</v>
      </c>
      <c r="C1527" s="348" t="str">
        <f>DATA_PROPERTY_MASTER!$A$9</f>
        <v>BLD_CC</v>
      </c>
      <c r="D1527" s="380">
        <f>'00_PORTFOLIO ROLLUP'!I$12</f>
        <v>2029</v>
      </c>
      <c r="E1527" s="366" t="s">
        <v>1721</v>
      </c>
      <c r="F1527" s="366" t="s">
        <v>31</v>
      </c>
      <c r="G1527" s="348" t="str">
        <f>"'"&amp;$C1527&amp;"'!$E$61:$Y$61"</f>
        <v>'BLD_CC'!$E$61:$Y$61</v>
      </c>
      <c r="H1527" s="381">
        <f ca="1">IF(IFERROR(INDEX(DATA_PROPERTY_MASTER!$E$5:$E$21,MATCH($C1527,DATA_PROPERTY_MASTER!$A$5:$A$21,0))="Yes",FALSE),IFERROR(INDEX(INDIRECT("'"&amp;$C1527&amp;"'!$E$61:$Y$61"),1,MATCH($D1527,INDIRECT("'"&amp;$C1527&amp;"'!$E$12:$Y$12"),0)),0),0)</f>
        <v>0</v>
      </c>
      <c r="I1527" s="366" t="s">
        <v>1690</v>
      </c>
      <c r="J1527" s="348" t="str">
        <f t="shared" ca="1" si="46"/>
        <v>OK</v>
      </c>
      <c r="K1527" s="366" t="s">
        <v>1723</v>
      </c>
      <c r="L1527" s="366" t="s">
        <v>2252</v>
      </c>
      <c r="M1527" s="350" t="str">
        <f>IF($B1527="Portfolio","Portfolio",IFERROR(INDEX(DATA_ASSET_CLASSIFICATION!$B$8:$B$24,MATCH($C1527,DATA_ASSET_CLASSIFICATION!$A$8:$A$24,0)),"Review"))</f>
        <v>Constance Court</v>
      </c>
      <c r="N1527" s="350" t="str">
        <f ca="1">IF($B1527="Portfolio","Portfolio",IFERROR(INDEX(DATA_ASSET_CLASSIFICATION!$U$8:$U$24,MATCH($C1527,DATA_ASSET_CLASSIFICATION!$A$8:$A$24,0)),"Review"))</f>
        <v>Refi Watch</v>
      </c>
      <c r="O1527" s="350" t="str">
        <f ca="1">IF($B1527="Portfolio","Portfolio",IFERROR(INDEX(DATA_ASSET_CLASSIFICATION!$AB$8:$AB$13,MATCH($N1527,DATA_ASSET_CLASSIFICATION!$AA$8:$AA$13,0)),"Review"))</f>
        <v>Bucket 2 · Legacy</v>
      </c>
      <c r="P1527" s="350" t="str">
        <f>IF($B1527="Portfolio","Portfolio",IFERROR(INDEX(DATA_ASSET_CLASSIFICATION!$C$8:$C$24,MATCH($C1527,DATA_ASSET_CLASSIFICATION!$A$8:$A$24,0)),"Review"))</f>
        <v>Yes</v>
      </c>
      <c r="Q1527" s="350" t="str">
        <f t="shared" ca="1" si="47"/>
        <v>OK</v>
      </c>
    </row>
    <row r="1528" spans="1:17">
      <c r="A1528" s="366" t="s">
        <v>3484</v>
      </c>
      <c r="B1528" s="366" t="s">
        <v>231</v>
      </c>
      <c r="C1528" s="348" t="str">
        <f>DATA_PROPERTY_MASTER!$A$9</f>
        <v>BLD_CC</v>
      </c>
      <c r="D1528" s="380">
        <f>'00_PORTFOLIO ROLLUP'!I$12</f>
        <v>2029</v>
      </c>
      <c r="E1528" s="366" t="s">
        <v>1721</v>
      </c>
      <c r="F1528" s="366" t="s">
        <v>33</v>
      </c>
      <c r="G1528" s="348" t="str">
        <f>"'"&amp;$C1528&amp;"'!$E$62:$Y$62"</f>
        <v>'BLD_CC'!$E$62:$Y$62</v>
      </c>
      <c r="H1528" s="381">
        <f ca="1">IF(IFERROR(INDEX(DATA_PROPERTY_MASTER!$E$5:$E$21,MATCH($C1528,DATA_PROPERTY_MASTER!$A$5:$A$21,0))="Yes",FALSE),IFERROR(INDEX(INDIRECT("'"&amp;$C1528&amp;"'!$E$62:$Y$62"),1,MATCH($D1528,INDIRECT("'"&amp;$C1528&amp;"'!$E$12:$Y$12"),0)),0),0)</f>
        <v>0</v>
      </c>
      <c r="I1528" s="366" t="s">
        <v>1685</v>
      </c>
      <c r="J1528" s="348" t="str">
        <f t="shared" ca="1" si="46"/>
        <v>OK</v>
      </c>
      <c r="K1528" s="366" t="s">
        <v>1727</v>
      </c>
      <c r="L1528" s="366" t="s">
        <v>2254</v>
      </c>
      <c r="M1528" s="350" t="str">
        <f>IF($B1528="Portfolio","Portfolio",IFERROR(INDEX(DATA_ASSET_CLASSIFICATION!$B$8:$B$24,MATCH($C1528,DATA_ASSET_CLASSIFICATION!$A$8:$A$24,0)),"Review"))</f>
        <v>Constance Court</v>
      </c>
      <c r="N1528" s="350" t="str">
        <f ca="1">IF($B1528="Portfolio","Portfolio",IFERROR(INDEX(DATA_ASSET_CLASSIFICATION!$U$8:$U$24,MATCH($C1528,DATA_ASSET_CLASSIFICATION!$A$8:$A$24,0)),"Review"))</f>
        <v>Refi Watch</v>
      </c>
      <c r="O1528" s="350" t="str">
        <f ca="1">IF($B1528="Portfolio","Portfolio",IFERROR(INDEX(DATA_ASSET_CLASSIFICATION!$AB$8:$AB$13,MATCH($N1528,DATA_ASSET_CLASSIFICATION!$AA$8:$AA$13,0)),"Review"))</f>
        <v>Bucket 2 · Legacy</v>
      </c>
      <c r="P1528" s="350" t="str">
        <f>IF($B1528="Portfolio","Portfolio",IFERROR(INDEX(DATA_ASSET_CLASSIFICATION!$C$8:$C$24,MATCH($C1528,DATA_ASSET_CLASSIFICATION!$A$8:$A$24,0)),"Review"))</f>
        <v>Yes</v>
      </c>
      <c r="Q1528" s="350" t="str">
        <f t="shared" ca="1" si="47"/>
        <v>OK</v>
      </c>
    </row>
    <row r="1529" spans="1:17">
      <c r="A1529" s="366" t="s">
        <v>3485</v>
      </c>
      <c r="B1529" s="366" t="s">
        <v>231</v>
      </c>
      <c r="C1529" s="348" t="str">
        <f>DATA_PROPERTY_MASTER!$A$9</f>
        <v>BLD_CC</v>
      </c>
      <c r="D1529" s="380">
        <f>'00_PORTFOLIO ROLLUP'!I$12</f>
        <v>2029</v>
      </c>
      <c r="E1529" s="366" t="s">
        <v>1721</v>
      </c>
      <c r="F1529" s="366" t="s">
        <v>35</v>
      </c>
      <c r="G1529" s="348" t="str">
        <f>"'"&amp;$C1529&amp;"'!$E$63:$Y$63"</f>
        <v>'BLD_CC'!$E$63:$Y$63</v>
      </c>
      <c r="H1529" s="381">
        <f ca="1">IF(IFERROR(INDEX(DATA_PROPERTY_MASTER!$E$5:$E$21,MATCH($C1529,DATA_PROPERTY_MASTER!$A$5:$A$21,0))="Yes",FALSE),IFERROR(INDEX(INDIRECT("'"&amp;$C1529&amp;"'!$E$63:$Y$63"),1,MATCH($D1529,INDIRECT("'"&amp;$C1529&amp;"'!$E$12:$Y$12"),0)),0),0)</f>
        <v>0</v>
      </c>
      <c r="I1529" s="366" t="s">
        <v>1731</v>
      </c>
      <c r="J1529" s="348" t="str">
        <f t="shared" ca="1" si="46"/>
        <v>OK</v>
      </c>
      <c r="K1529" s="366" t="s">
        <v>1732</v>
      </c>
      <c r="L1529" s="366" t="s">
        <v>2256</v>
      </c>
      <c r="M1529" s="350" t="str">
        <f>IF($B1529="Portfolio","Portfolio",IFERROR(INDEX(DATA_ASSET_CLASSIFICATION!$B$8:$B$24,MATCH($C1529,DATA_ASSET_CLASSIFICATION!$A$8:$A$24,0)),"Review"))</f>
        <v>Constance Court</v>
      </c>
      <c r="N1529" s="350" t="str">
        <f ca="1">IF($B1529="Portfolio","Portfolio",IFERROR(INDEX(DATA_ASSET_CLASSIFICATION!$U$8:$U$24,MATCH($C1529,DATA_ASSET_CLASSIFICATION!$A$8:$A$24,0)),"Review"))</f>
        <v>Refi Watch</v>
      </c>
      <c r="O1529" s="350" t="str">
        <f ca="1">IF($B1529="Portfolio","Portfolio",IFERROR(INDEX(DATA_ASSET_CLASSIFICATION!$AB$8:$AB$13,MATCH($N1529,DATA_ASSET_CLASSIFICATION!$AA$8:$AA$13,0)),"Review"))</f>
        <v>Bucket 2 · Legacy</v>
      </c>
      <c r="P1529" s="350" t="str">
        <f>IF($B1529="Portfolio","Portfolio",IFERROR(INDEX(DATA_ASSET_CLASSIFICATION!$C$8:$C$24,MATCH($C1529,DATA_ASSET_CLASSIFICATION!$A$8:$A$24,0)),"Review"))</f>
        <v>Yes</v>
      </c>
      <c r="Q1529" s="350" t="str">
        <f t="shared" ca="1" si="47"/>
        <v>OK</v>
      </c>
    </row>
    <row r="1530" spans="1:17">
      <c r="A1530" s="366" t="s">
        <v>3486</v>
      </c>
      <c r="B1530" s="366" t="s">
        <v>231</v>
      </c>
      <c r="C1530" s="348" t="str">
        <f>DATA_PROPERTY_MASTER!$A$9</f>
        <v>BLD_CC</v>
      </c>
      <c r="D1530" s="380">
        <f>'00_PORTFOLIO ROLLUP'!I$12</f>
        <v>2029</v>
      </c>
      <c r="E1530" s="366" t="s">
        <v>1721</v>
      </c>
      <c r="F1530" s="366" t="s">
        <v>37</v>
      </c>
      <c r="G1530" s="348" t="str">
        <f>"'"&amp;$C1530&amp;"'!$E$63:$Y$63"</f>
        <v>'BLD_CC'!$E$63:$Y$63</v>
      </c>
      <c r="H1530" s="381">
        <f ca="1">IF(IFERROR(INDEX(DATA_PROPERTY_MASTER!$E$5:$E$21,MATCH($C1530,DATA_PROPERTY_MASTER!$A$5:$A$21,0))="Yes",FALSE),MAX(IFERROR(INDEX(INDIRECT("'"&amp;$C1530&amp;"'!$E$63:$Y$63"),1,MATCH($D1530,INDIRECT("'"&amp;$C1530&amp;"'!$E$12:$Y$12"),0)),0),0),0)</f>
        <v>0</v>
      </c>
      <c r="I1530" s="366" t="s">
        <v>1685</v>
      </c>
      <c r="J1530" s="348" t="str">
        <f t="shared" ca="1" si="46"/>
        <v>OK</v>
      </c>
      <c r="K1530" s="366" t="s">
        <v>1735</v>
      </c>
      <c r="L1530" s="366" t="s">
        <v>2258</v>
      </c>
      <c r="M1530" s="350" t="str">
        <f>IF($B1530="Portfolio","Portfolio",IFERROR(INDEX(DATA_ASSET_CLASSIFICATION!$B$8:$B$24,MATCH($C1530,DATA_ASSET_CLASSIFICATION!$A$8:$A$24,0)),"Review"))</f>
        <v>Constance Court</v>
      </c>
      <c r="N1530" s="350" t="str">
        <f ca="1">IF($B1530="Portfolio","Portfolio",IFERROR(INDEX(DATA_ASSET_CLASSIFICATION!$U$8:$U$24,MATCH($C1530,DATA_ASSET_CLASSIFICATION!$A$8:$A$24,0)),"Review"))</f>
        <v>Refi Watch</v>
      </c>
      <c r="O1530" s="350" t="str">
        <f ca="1">IF($B1530="Portfolio","Portfolio",IFERROR(INDEX(DATA_ASSET_CLASSIFICATION!$AB$8:$AB$13,MATCH($N1530,DATA_ASSET_CLASSIFICATION!$AA$8:$AA$13,0)),"Review"))</f>
        <v>Bucket 2 · Legacy</v>
      </c>
      <c r="P1530" s="350" t="str">
        <f>IF($B1530="Portfolio","Portfolio",IFERROR(INDEX(DATA_ASSET_CLASSIFICATION!$C$8:$C$24,MATCH($C1530,DATA_ASSET_CLASSIFICATION!$A$8:$A$24,0)),"Review"))</f>
        <v>Yes</v>
      </c>
      <c r="Q1530" s="350" t="str">
        <f t="shared" ca="1" si="47"/>
        <v>OK</v>
      </c>
    </row>
    <row r="1531" spans="1:17">
      <c r="A1531" s="366" t="s">
        <v>3487</v>
      </c>
      <c r="B1531" s="366" t="s">
        <v>231</v>
      </c>
      <c r="C1531" s="348" t="str">
        <f>DATA_PROPERTY_MASTER!$A$9</f>
        <v>BLD_CC</v>
      </c>
      <c r="D1531" s="380">
        <f>'00_PORTFOLIO ROLLUP'!I$12</f>
        <v>2029</v>
      </c>
      <c r="E1531" s="366" t="s">
        <v>1721</v>
      </c>
      <c r="F1531" s="366" t="s">
        <v>39</v>
      </c>
      <c r="G1531" s="348" t="str">
        <f>"'"&amp;$C1531&amp;"'!$E$63:$Y$63"</f>
        <v>'BLD_CC'!$E$63:$Y$63</v>
      </c>
      <c r="H1531" s="381">
        <f ca="1">IF(IFERROR(INDEX(DATA_PROPERTY_MASTER!$E$5:$E$21,MATCH($C1531,DATA_PROPERTY_MASTER!$A$5:$A$21,0))="Yes",FALSE),MAX(-IFERROR(INDEX(INDIRECT("'"&amp;$C1531&amp;"'!$E$63:$Y$63"),1,MATCH($D1531,INDIRECT("'"&amp;$C1531&amp;"'!$E$12:$Y$12"),0)),0),0),0)</f>
        <v>0</v>
      </c>
      <c r="I1531" s="366" t="s">
        <v>1690</v>
      </c>
      <c r="J1531" s="348" t="str">
        <f t="shared" ca="1" si="46"/>
        <v>OK</v>
      </c>
      <c r="K1531" s="366" t="s">
        <v>1738</v>
      </c>
      <c r="L1531" s="366" t="s">
        <v>2260</v>
      </c>
      <c r="M1531" s="350" t="str">
        <f>IF($B1531="Portfolio","Portfolio",IFERROR(INDEX(DATA_ASSET_CLASSIFICATION!$B$8:$B$24,MATCH($C1531,DATA_ASSET_CLASSIFICATION!$A$8:$A$24,0)),"Review"))</f>
        <v>Constance Court</v>
      </c>
      <c r="N1531" s="350" t="str">
        <f ca="1">IF($B1531="Portfolio","Portfolio",IFERROR(INDEX(DATA_ASSET_CLASSIFICATION!$U$8:$U$24,MATCH($C1531,DATA_ASSET_CLASSIFICATION!$A$8:$A$24,0)),"Review"))</f>
        <v>Refi Watch</v>
      </c>
      <c r="O1531" s="350" t="str">
        <f ca="1">IF($B1531="Portfolio","Portfolio",IFERROR(INDEX(DATA_ASSET_CLASSIFICATION!$AB$8:$AB$13,MATCH($N1531,DATA_ASSET_CLASSIFICATION!$AA$8:$AA$13,0)),"Review"))</f>
        <v>Bucket 2 · Legacy</v>
      </c>
      <c r="P1531" s="350" t="str">
        <f>IF($B1531="Portfolio","Portfolio",IFERROR(INDEX(DATA_ASSET_CLASSIFICATION!$C$8:$C$24,MATCH($C1531,DATA_ASSET_CLASSIFICATION!$A$8:$A$24,0)),"Review"))</f>
        <v>Yes</v>
      </c>
      <c r="Q1531" s="350" t="str">
        <f t="shared" ca="1" si="47"/>
        <v>OK</v>
      </c>
    </row>
    <row r="1532" spans="1:17">
      <c r="A1532" s="366" t="s">
        <v>3488</v>
      </c>
      <c r="B1532" s="366" t="s">
        <v>231</v>
      </c>
      <c r="C1532" s="348" t="str">
        <f>DATA_PROPERTY_MASTER!$A$9</f>
        <v>BLD_CC</v>
      </c>
      <c r="D1532" s="380">
        <f>'00_PORTFOLIO ROLLUP'!I$12</f>
        <v>2029</v>
      </c>
      <c r="E1532" s="366" t="s">
        <v>1741</v>
      </c>
      <c r="F1532" s="366" t="s">
        <v>41</v>
      </c>
      <c r="G1532" s="348" t="str">
        <f>"'"&amp;$C1532&amp;"'!rows 56 + positive row 63"</f>
        <v>'BLD_CC'!rows 56 + positive row 63</v>
      </c>
      <c r="H1532" s="381">
        <f ca="1">IF(IFERROR(INDEX(DATA_PROPERTY_MASTER!$E$5:$E$21,MATCH($C1532,DATA_PROPERTY_MASTER!$A$5:$A$21,0))="Yes",FALSE),IFERROR(INDEX(INDIRECT("'"&amp;$C1532&amp;"'!$E$56:$Y$56"),1,MATCH($D1532,INDIRECT("'"&amp;$C1532&amp;"'!$E$12:$Y$12"),0)),0)+MAX(IFERROR(INDEX(INDIRECT("'"&amp;$C1532&amp;"'!$E$63:$Y$63"),1,MATCH($D1532,INDIRECT("'"&amp;$C1532&amp;"'!$E$12:$Y$12"),0)),0),0),0)</f>
        <v>116783.59575346333</v>
      </c>
      <c r="I1532" s="366" t="s">
        <v>1685</v>
      </c>
      <c r="J1532" s="348" t="str">
        <f t="shared" ca="1" si="46"/>
        <v>OK</v>
      </c>
      <c r="K1532" s="366" t="s">
        <v>1742</v>
      </c>
      <c r="L1532" s="366" t="s">
        <v>2262</v>
      </c>
      <c r="M1532" s="350" t="str">
        <f>IF($B1532="Portfolio","Portfolio",IFERROR(INDEX(DATA_ASSET_CLASSIFICATION!$B$8:$B$24,MATCH($C1532,DATA_ASSET_CLASSIFICATION!$A$8:$A$24,0)),"Review"))</f>
        <v>Constance Court</v>
      </c>
      <c r="N1532" s="350" t="str">
        <f ca="1">IF($B1532="Portfolio","Portfolio",IFERROR(INDEX(DATA_ASSET_CLASSIFICATION!$U$8:$U$24,MATCH($C1532,DATA_ASSET_CLASSIFICATION!$A$8:$A$24,0)),"Review"))</f>
        <v>Refi Watch</v>
      </c>
      <c r="O1532" s="350" t="str">
        <f ca="1">IF($B1532="Portfolio","Portfolio",IFERROR(INDEX(DATA_ASSET_CLASSIFICATION!$AB$8:$AB$13,MATCH($N1532,DATA_ASSET_CLASSIFICATION!$AA$8:$AA$13,0)),"Review"))</f>
        <v>Bucket 2 · Legacy</v>
      </c>
      <c r="P1532" s="350" t="str">
        <f>IF($B1532="Portfolio","Portfolio",IFERROR(INDEX(DATA_ASSET_CLASSIFICATION!$C$8:$C$24,MATCH($C1532,DATA_ASSET_CLASSIFICATION!$A$8:$A$24,0)),"Review"))</f>
        <v>Yes</v>
      </c>
      <c r="Q1532" s="350" t="str">
        <f t="shared" ca="1" si="47"/>
        <v>OK</v>
      </c>
    </row>
    <row r="1533" spans="1:17">
      <c r="A1533" s="366" t="s">
        <v>3489</v>
      </c>
      <c r="B1533" s="366" t="s">
        <v>231</v>
      </c>
      <c r="C1533" s="348" t="str">
        <f>DATA_PROPERTY_MASTER!$A$9</f>
        <v>BLD_CC</v>
      </c>
      <c r="D1533" s="380">
        <f>'00_PORTFOLIO ROLLUP'!I$12</f>
        <v>2029</v>
      </c>
      <c r="E1533" s="366" t="s">
        <v>1741</v>
      </c>
      <c r="F1533" s="366" t="s">
        <v>43</v>
      </c>
      <c r="G1533" s="348" t="str">
        <f>"'"&amp;$C1533&amp;"'!$E$68:$Y$68"</f>
        <v>'BLD_CC'!$E$68:$Y$68</v>
      </c>
      <c r="H1533" s="381">
        <f ca="1">IF(IFERROR(INDEX(DATA_PROPERTY_MASTER!$E$5:$E$21,MATCH($C1533,DATA_PROPERTY_MASTER!$A$5:$A$21,0))="Yes",FALSE),IFERROR(INDEX(INDIRECT("'"&amp;$C1533&amp;"'!$E$68:$Y$68"),1,MATCH($D1533,INDIRECT("'"&amp;$C1533&amp;"'!$E$12:$Y$12"),0)),0),0)</f>
        <v>116783.59575346333</v>
      </c>
      <c r="I1533" s="366" t="s">
        <v>1731</v>
      </c>
      <c r="J1533" s="348" t="str">
        <f t="shared" ca="1" si="46"/>
        <v>OK</v>
      </c>
      <c r="K1533" s="366" t="s">
        <v>1746</v>
      </c>
      <c r="L1533" s="366" t="s">
        <v>2264</v>
      </c>
      <c r="M1533" s="350" t="str">
        <f>IF($B1533="Portfolio","Portfolio",IFERROR(INDEX(DATA_ASSET_CLASSIFICATION!$B$8:$B$24,MATCH($C1533,DATA_ASSET_CLASSIFICATION!$A$8:$A$24,0)),"Review"))</f>
        <v>Constance Court</v>
      </c>
      <c r="N1533" s="350" t="str">
        <f ca="1">IF($B1533="Portfolio","Portfolio",IFERROR(INDEX(DATA_ASSET_CLASSIFICATION!$U$8:$U$24,MATCH($C1533,DATA_ASSET_CLASSIFICATION!$A$8:$A$24,0)),"Review"))</f>
        <v>Refi Watch</v>
      </c>
      <c r="O1533" s="350" t="str">
        <f ca="1">IF($B1533="Portfolio","Portfolio",IFERROR(INDEX(DATA_ASSET_CLASSIFICATION!$AB$8:$AB$13,MATCH($N1533,DATA_ASSET_CLASSIFICATION!$AA$8:$AA$13,0)),"Review"))</f>
        <v>Bucket 2 · Legacy</v>
      </c>
      <c r="P1533" s="350" t="str">
        <f>IF($B1533="Portfolio","Portfolio",IFERROR(INDEX(DATA_ASSET_CLASSIFICATION!$C$8:$C$24,MATCH($C1533,DATA_ASSET_CLASSIFICATION!$A$8:$A$24,0)),"Review"))</f>
        <v>Yes</v>
      </c>
      <c r="Q1533" s="350" t="str">
        <f t="shared" ca="1" si="47"/>
        <v>OK</v>
      </c>
    </row>
    <row r="1534" spans="1:17">
      <c r="A1534" s="366" t="s">
        <v>3490</v>
      </c>
      <c r="B1534" s="366" t="s">
        <v>231</v>
      </c>
      <c r="C1534" s="348" t="str">
        <f>DATA_PROPERTY_MASTER!$A$9</f>
        <v>BLD_CC</v>
      </c>
      <c r="D1534" s="380">
        <f>'00_PORTFOLIO ROLLUP'!I$12</f>
        <v>2029</v>
      </c>
      <c r="E1534" s="366" t="s">
        <v>1741</v>
      </c>
      <c r="F1534" s="366" t="s">
        <v>1749</v>
      </c>
      <c r="G1534" s="348" t="str">
        <f>"'"&amp;$C1534&amp;"'!rows 56, 63, 68"</f>
        <v>'BLD_CC'!rows 56, 63, 68</v>
      </c>
      <c r="H1534" s="381">
        <f ca="1">IF(IFERROR(INDEX(DATA_PROPERTY_MASTER!$E$5:$E$21,MATCH($C1534,DATA_PROPERTY_MASTER!$A$5:$A$21,0))="Yes",FALSE),(IFERROR(INDEX(INDIRECT("'"&amp;$C1534&amp;"'!$E$56:$Y$56"),1,MATCH($D1534,INDIRECT("'"&amp;$C1534&amp;"'!$E$12:$Y$12"),0)),0)+MAX(IFERROR(INDEX(INDIRECT("'"&amp;$C1534&amp;"'!$E$63:$Y$63"),1,MATCH($D1534,INDIRECT("'"&amp;$C1534&amp;"'!$E$12:$Y$12"),0)),0),0))-(IFERROR(INDEX(INDIRECT("'"&amp;$C1534&amp;"'!$E$68:$Y$68"),1,MATCH($D1534,INDIRECT("'"&amp;$C1534&amp;"'!$E$12:$Y$12"),0)),0)),0)</f>
        <v>0</v>
      </c>
      <c r="I1534" s="366" t="s">
        <v>1750</v>
      </c>
      <c r="J1534" s="348" t="str">
        <f t="shared" ca="1" si="46"/>
        <v>OK</v>
      </c>
      <c r="K1534" s="366" t="s">
        <v>1751</v>
      </c>
      <c r="L1534" s="366" t="s">
        <v>2266</v>
      </c>
      <c r="M1534" s="350" t="str">
        <f>IF($B1534="Portfolio","Portfolio",IFERROR(INDEX(DATA_ASSET_CLASSIFICATION!$B$8:$B$24,MATCH($C1534,DATA_ASSET_CLASSIFICATION!$A$8:$A$24,0)),"Review"))</f>
        <v>Constance Court</v>
      </c>
      <c r="N1534" s="350" t="str">
        <f ca="1">IF($B1534="Portfolio","Portfolio",IFERROR(INDEX(DATA_ASSET_CLASSIFICATION!$U$8:$U$24,MATCH($C1534,DATA_ASSET_CLASSIFICATION!$A$8:$A$24,0)),"Review"))</f>
        <v>Refi Watch</v>
      </c>
      <c r="O1534" s="350" t="str">
        <f ca="1">IF($B1534="Portfolio","Portfolio",IFERROR(INDEX(DATA_ASSET_CLASSIFICATION!$AB$8:$AB$13,MATCH($N1534,DATA_ASSET_CLASSIFICATION!$AA$8:$AA$13,0)),"Review"))</f>
        <v>Bucket 2 · Legacy</v>
      </c>
      <c r="P1534" s="350" t="str">
        <f>IF($B1534="Portfolio","Portfolio",IFERROR(INDEX(DATA_ASSET_CLASSIFICATION!$C$8:$C$24,MATCH($C1534,DATA_ASSET_CLASSIFICATION!$A$8:$A$24,0)),"Review"))</f>
        <v>Yes</v>
      </c>
      <c r="Q1534" s="350" t="str">
        <f t="shared" ca="1" si="47"/>
        <v>OK</v>
      </c>
    </row>
    <row r="1535" spans="1:17">
      <c r="A1535" s="366" t="s">
        <v>3491</v>
      </c>
      <c r="B1535" s="366" t="s">
        <v>231</v>
      </c>
      <c r="C1535" s="348" t="str">
        <f>DATA_PROPERTY_MASTER!$A$9</f>
        <v>BLD_CC</v>
      </c>
      <c r="D1535" s="380">
        <f>'00_PORTFOLIO ROLLUP'!J$12</f>
        <v>2030</v>
      </c>
      <c r="E1535" s="366" t="s">
        <v>1683</v>
      </c>
      <c r="F1535" s="366" t="s">
        <v>341</v>
      </c>
      <c r="G1535" s="348" t="str">
        <f>"'"&amp;$C1535&amp;"'!$E$24:$Y$24"</f>
        <v>'BLD_CC'!$E$24:$Y$24</v>
      </c>
      <c r="H1535" s="381">
        <f ca="1">IF(IFERROR(INDEX(DATA_PROPERTY_MASTER!$E$5:$E$21,MATCH($C1535,DATA_PROPERTY_MASTER!$A$5:$A$21,0))="Yes",FALSE),IFERROR(INDEX(INDIRECT("'"&amp;$C1535&amp;"'!$E$24:$Y$24"),1,MATCH($D1535,INDIRECT("'"&amp;$C1535&amp;"'!$E$12:$Y$12"),0)),0),0)</f>
        <v>544447.70857756515</v>
      </c>
      <c r="I1535" s="366" t="s">
        <v>1685</v>
      </c>
      <c r="J1535" s="348" t="str">
        <f t="shared" ca="1" si="46"/>
        <v>OK</v>
      </c>
      <c r="K1535" s="366" t="s">
        <v>1686</v>
      </c>
      <c r="L1535" s="366" t="s">
        <v>2234</v>
      </c>
      <c r="M1535" s="350" t="str">
        <f>IF($B1535="Portfolio","Portfolio",IFERROR(INDEX(DATA_ASSET_CLASSIFICATION!$B$8:$B$24,MATCH($C1535,DATA_ASSET_CLASSIFICATION!$A$8:$A$24,0)),"Review"))</f>
        <v>Constance Court</v>
      </c>
      <c r="N1535" s="350" t="str">
        <f ca="1">IF($B1535="Portfolio","Portfolio",IFERROR(INDEX(DATA_ASSET_CLASSIFICATION!$U$8:$U$24,MATCH($C1535,DATA_ASSET_CLASSIFICATION!$A$8:$A$24,0)),"Review"))</f>
        <v>Refi Watch</v>
      </c>
      <c r="O1535" s="350" t="str">
        <f ca="1">IF($B1535="Portfolio","Portfolio",IFERROR(INDEX(DATA_ASSET_CLASSIFICATION!$AB$8:$AB$13,MATCH($N1535,DATA_ASSET_CLASSIFICATION!$AA$8:$AA$13,0)),"Review"))</f>
        <v>Bucket 2 · Legacy</v>
      </c>
      <c r="P1535" s="350" t="str">
        <f>IF($B1535="Portfolio","Portfolio",IFERROR(INDEX(DATA_ASSET_CLASSIFICATION!$C$8:$C$24,MATCH($C1535,DATA_ASSET_CLASSIFICATION!$A$8:$A$24,0)),"Review"))</f>
        <v>Yes</v>
      </c>
      <c r="Q1535" s="350" t="str">
        <f t="shared" ca="1" si="47"/>
        <v>OK</v>
      </c>
    </row>
    <row r="1536" spans="1:17">
      <c r="A1536" s="366" t="s">
        <v>3492</v>
      </c>
      <c r="B1536" s="366" t="s">
        <v>231</v>
      </c>
      <c r="C1536" s="348" t="str">
        <f>DATA_PROPERTY_MASTER!$A$9</f>
        <v>BLD_CC</v>
      </c>
      <c r="D1536" s="380">
        <f>'00_PORTFOLIO ROLLUP'!J$12</f>
        <v>2030</v>
      </c>
      <c r="E1536" s="366" t="s">
        <v>1683</v>
      </c>
      <c r="F1536" s="366" t="s">
        <v>355</v>
      </c>
      <c r="G1536" s="348" t="str">
        <f>"'"&amp;$C1536&amp;"'!$E$39:$Y$39"</f>
        <v>'BLD_CC'!$E$39:$Y$39</v>
      </c>
      <c r="H1536" s="381">
        <f ca="1">IF(IFERROR(INDEX(DATA_PROPERTY_MASTER!$E$5:$E$21,MATCH($C1536,DATA_PROPERTY_MASTER!$A$5:$A$21,0))="Yes",FALSE),IFERROR(INDEX(INDIRECT("'"&amp;$C1536&amp;"'!$E$39:$Y$39"),1,MATCH($D1536,INDIRECT("'"&amp;$C1536&amp;"'!$E$12:$Y$12"),0)),0),0)</f>
        <v>251485.80488478724</v>
      </c>
      <c r="I1536" s="366" t="s">
        <v>1690</v>
      </c>
      <c r="J1536" s="348" t="str">
        <f t="shared" ca="1" si="46"/>
        <v>OK</v>
      </c>
      <c r="K1536" s="366" t="s">
        <v>1686</v>
      </c>
      <c r="L1536" s="366" t="s">
        <v>2236</v>
      </c>
      <c r="M1536" s="350" t="str">
        <f>IF($B1536="Portfolio","Portfolio",IFERROR(INDEX(DATA_ASSET_CLASSIFICATION!$B$8:$B$24,MATCH($C1536,DATA_ASSET_CLASSIFICATION!$A$8:$A$24,0)),"Review"))</f>
        <v>Constance Court</v>
      </c>
      <c r="N1536" s="350" t="str">
        <f ca="1">IF($B1536="Portfolio","Portfolio",IFERROR(INDEX(DATA_ASSET_CLASSIFICATION!$U$8:$U$24,MATCH($C1536,DATA_ASSET_CLASSIFICATION!$A$8:$A$24,0)),"Review"))</f>
        <v>Refi Watch</v>
      </c>
      <c r="O1536" s="350" t="str">
        <f ca="1">IF($B1536="Portfolio","Portfolio",IFERROR(INDEX(DATA_ASSET_CLASSIFICATION!$AB$8:$AB$13,MATCH($N1536,DATA_ASSET_CLASSIFICATION!$AA$8:$AA$13,0)),"Review"))</f>
        <v>Bucket 2 · Legacy</v>
      </c>
      <c r="P1536" s="350" t="str">
        <f>IF($B1536="Portfolio","Portfolio",IFERROR(INDEX(DATA_ASSET_CLASSIFICATION!$C$8:$C$24,MATCH($C1536,DATA_ASSET_CLASSIFICATION!$A$8:$A$24,0)),"Review"))</f>
        <v>Yes</v>
      </c>
      <c r="Q1536" s="350" t="str">
        <f t="shared" ca="1" si="47"/>
        <v>OK</v>
      </c>
    </row>
    <row r="1537" spans="1:17">
      <c r="A1537" s="366" t="s">
        <v>3493</v>
      </c>
      <c r="B1537" s="366" t="s">
        <v>231</v>
      </c>
      <c r="C1537" s="348" t="str">
        <f>DATA_PROPERTY_MASTER!$A$9</f>
        <v>BLD_CC</v>
      </c>
      <c r="D1537" s="380">
        <f>'00_PORTFOLIO ROLLUP'!J$12</f>
        <v>2030</v>
      </c>
      <c r="E1537" s="366" t="s">
        <v>1683</v>
      </c>
      <c r="F1537" s="366" t="s">
        <v>19</v>
      </c>
      <c r="G1537" s="348" t="str">
        <f>"'"&amp;$C1537&amp;"'!$E$41:$Y$41"</f>
        <v>'BLD_CC'!$E$41:$Y$41</v>
      </c>
      <c r="H1537" s="381">
        <f ca="1">IF(IFERROR(INDEX(DATA_PROPERTY_MASTER!$E$5:$E$21,MATCH($C1537,DATA_PROPERTY_MASTER!$A$5:$A$21,0))="Yes",FALSE),IFERROR(INDEX(INDIRECT("'"&amp;$C1537&amp;"'!$E$41:$Y$41"),1,MATCH($D1537,INDIRECT("'"&amp;$C1537&amp;"'!$E$12:$Y$12"),0)),0),0)</f>
        <v>292961.90369277791</v>
      </c>
      <c r="I1537" s="366" t="s">
        <v>1685</v>
      </c>
      <c r="J1537" s="348" t="str">
        <f t="shared" ca="1" si="46"/>
        <v>OK</v>
      </c>
      <c r="K1537" s="366" t="s">
        <v>1694</v>
      </c>
      <c r="L1537" s="366" t="s">
        <v>2238</v>
      </c>
      <c r="M1537" s="350" t="str">
        <f>IF($B1537="Portfolio","Portfolio",IFERROR(INDEX(DATA_ASSET_CLASSIFICATION!$B$8:$B$24,MATCH($C1537,DATA_ASSET_CLASSIFICATION!$A$8:$A$24,0)),"Review"))</f>
        <v>Constance Court</v>
      </c>
      <c r="N1537" s="350" t="str">
        <f ca="1">IF($B1537="Portfolio","Portfolio",IFERROR(INDEX(DATA_ASSET_CLASSIFICATION!$U$8:$U$24,MATCH($C1537,DATA_ASSET_CLASSIFICATION!$A$8:$A$24,0)),"Review"))</f>
        <v>Refi Watch</v>
      </c>
      <c r="O1537" s="350" t="str">
        <f ca="1">IF($B1537="Portfolio","Portfolio",IFERROR(INDEX(DATA_ASSET_CLASSIFICATION!$AB$8:$AB$13,MATCH($N1537,DATA_ASSET_CLASSIFICATION!$AA$8:$AA$13,0)),"Review"))</f>
        <v>Bucket 2 · Legacy</v>
      </c>
      <c r="P1537" s="350" t="str">
        <f>IF($B1537="Portfolio","Portfolio",IFERROR(INDEX(DATA_ASSET_CLASSIFICATION!$C$8:$C$24,MATCH($C1537,DATA_ASSET_CLASSIFICATION!$A$8:$A$24,0)),"Review"))</f>
        <v>Yes</v>
      </c>
      <c r="Q1537" s="350" t="str">
        <f t="shared" ca="1" si="47"/>
        <v>OK</v>
      </c>
    </row>
    <row r="1538" spans="1:17">
      <c r="A1538" s="366" t="s">
        <v>3494</v>
      </c>
      <c r="B1538" s="366" t="s">
        <v>231</v>
      </c>
      <c r="C1538" s="348" t="str">
        <f>DATA_PROPERTY_MASTER!$A$9</f>
        <v>BLD_CC</v>
      </c>
      <c r="D1538" s="380">
        <f>'00_PORTFOLIO ROLLUP'!J$12</f>
        <v>2030</v>
      </c>
      <c r="E1538" s="366" t="s">
        <v>1683</v>
      </c>
      <c r="F1538" s="366" t="s">
        <v>1697</v>
      </c>
      <c r="G1538" s="348" t="str">
        <f>"'"&amp;$C1538&amp;"'!$E$44:$Y$44"</f>
        <v>'BLD_CC'!$E$44:$Y$44</v>
      </c>
      <c r="H1538" s="381">
        <f ca="1">IF(IFERROR(INDEX(DATA_PROPERTY_MASTER!$E$5:$E$21,MATCH($C1538,DATA_PROPERTY_MASTER!$A$5:$A$21,0))="Yes",FALSE),IFERROR(INDEX(INDIRECT("'"&amp;$C1538&amp;"'!$E$44:$Y$44"),1,MATCH($D1538,INDIRECT("'"&amp;$C1538&amp;"'!$E$12:$Y$12"),0)),0),0)</f>
        <v>5630.8120963199999</v>
      </c>
      <c r="I1538" s="366" t="s">
        <v>1690</v>
      </c>
      <c r="J1538" s="348" t="str">
        <f t="shared" ca="1" si="46"/>
        <v>OK</v>
      </c>
      <c r="K1538" s="366" t="s">
        <v>1699</v>
      </c>
      <c r="L1538" s="366" t="s">
        <v>2240</v>
      </c>
      <c r="M1538" s="350" t="str">
        <f>IF($B1538="Portfolio","Portfolio",IFERROR(INDEX(DATA_ASSET_CLASSIFICATION!$B$8:$B$24,MATCH($C1538,DATA_ASSET_CLASSIFICATION!$A$8:$A$24,0)),"Review"))</f>
        <v>Constance Court</v>
      </c>
      <c r="N1538" s="350" t="str">
        <f ca="1">IF($B1538="Portfolio","Portfolio",IFERROR(INDEX(DATA_ASSET_CLASSIFICATION!$U$8:$U$24,MATCH($C1538,DATA_ASSET_CLASSIFICATION!$A$8:$A$24,0)),"Review"))</f>
        <v>Refi Watch</v>
      </c>
      <c r="O1538" s="350" t="str">
        <f ca="1">IF($B1538="Portfolio","Portfolio",IFERROR(INDEX(DATA_ASSET_CLASSIFICATION!$AB$8:$AB$13,MATCH($N1538,DATA_ASSET_CLASSIFICATION!$AA$8:$AA$13,0)),"Review"))</f>
        <v>Bucket 2 · Legacy</v>
      </c>
      <c r="P1538" s="350" t="str">
        <f>IF($B1538="Portfolio","Portfolio",IFERROR(INDEX(DATA_ASSET_CLASSIFICATION!$C$8:$C$24,MATCH($C1538,DATA_ASSET_CLASSIFICATION!$A$8:$A$24,0)),"Review"))</f>
        <v>Yes</v>
      </c>
      <c r="Q1538" s="350" t="str">
        <f t="shared" ca="1" si="47"/>
        <v>OK</v>
      </c>
    </row>
    <row r="1539" spans="1:17">
      <c r="A1539" s="366" t="s">
        <v>3495</v>
      </c>
      <c r="B1539" s="366" t="s">
        <v>231</v>
      </c>
      <c r="C1539" s="348" t="str">
        <f>DATA_PROPERTY_MASTER!$A$9</f>
        <v>BLD_CC</v>
      </c>
      <c r="D1539" s="380">
        <f>'00_PORTFOLIO ROLLUP'!J$12</f>
        <v>2030</v>
      </c>
      <c r="E1539" s="366" t="s">
        <v>1683</v>
      </c>
      <c r="F1539" s="366" t="s">
        <v>21</v>
      </c>
      <c r="G1539" s="348" t="str">
        <f>"'"&amp;$C1539&amp;"'!$E$45:$Y$45"</f>
        <v>'BLD_CC'!$E$45:$Y$45</v>
      </c>
      <c r="H1539" s="381">
        <f ca="1">IF(IFERROR(INDEX(DATA_PROPERTY_MASTER!$E$5:$E$21,MATCH($C1539,DATA_PROPERTY_MASTER!$A$5:$A$21,0))="Yes",FALSE),IFERROR(INDEX(INDIRECT("'"&amp;$C1539&amp;"'!$E$45:$Y$45"),1,MATCH($D1539,INDIRECT("'"&amp;$C1539&amp;"'!$E$12:$Y$12"),0)),0),0)</f>
        <v>287331.09159645793</v>
      </c>
      <c r="I1539" s="366" t="s">
        <v>1685</v>
      </c>
      <c r="J1539" s="348" t="str">
        <f t="shared" ca="1" si="46"/>
        <v>OK</v>
      </c>
      <c r="K1539" s="366" t="s">
        <v>1694</v>
      </c>
      <c r="L1539" s="366" t="s">
        <v>2242</v>
      </c>
      <c r="M1539" s="350" t="str">
        <f>IF($B1539="Portfolio","Portfolio",IFERROR(INDEX(DATA_ASSET_CLASSIFICATION!$B$8:$B$24,MATCH($C1539,DATA_ASSET_CLASSIFICATION!$A$8:$A$24,0)),"Review"))</f>
        <v>Constance Court</v>
      </c>
      <c r="N1539" s="350" t="str">
        <f ca="1">IF($B1539="Portfolio","Portfolio",IFERROR(INDEX(DATA_ASSET_CLASSIFICATION!$U$8:$U$24,MATCH($C1539,DATA_ASSET_CLASSIFICATION!$A$8:$A$24,0)),"Review"))</f>
        <v>Refi Watch</v>
      </c>
      <c r="O1539" s="350" t="str">
        <f ca="1">IF($B1539="Portfolio","Portfolio",IFERROR(INDEX(DATA_ASSET_CLASSIFICATION!$AB$8:$AB$13,MATCH($N1539,DATA_ASSET_CLASSIFICATION!$AA$8:$AA$13,0)),"Review"))</f>
        <v>Bucket 2 · Legacy</v>
      </c>
      <c r="P1539" s="350" t="str">
        <f>IF($B1539="Portfolio","Portfolio",IFERROR(INDEX(DATA_ASSET_CLASSIFICATION!$C$8:$C$24,MATCH($C1539,DATA_ASSET_CLASSIFICATION!$A$8:$A$24,0)),"Review"))</f>
        <v>Yes</v>
      </c>
      <c r="Q1539" s="350" t="str">
        <f t="shared" ca="1" si="47"/>
        <v>OK</v>
      </c>
    </row>
    <row r="1540" spans="1:17">
      <c r="A1540" s="366" t="s">
        <v>3496</v>
      </c>
      <c r="B1540" s="366" t="s">
        <v>231</v>
      </c>
      <c r="C1540" s="348" t="str">
        <f>DATA_PROPERTY_MASTER!$A$9</f>
        <v>BLD_CC</v>
      </c>
      <c r="D1540" s="380">
        <f>'00_PORTFOLIO ROLLUP'!J$12</f>
        <v>2030</v>
      </c>
      <c r="E1540" s="366" t="s">
        <v>23</v>
      </c>
      <c r="F1540" s="366" t="s">
        <v>23</v>
      </c>
      <c r="G1540" s="348" t="str">
        <f>"'"&amp;$C1540&amp;"'!$E$48:$Y$48"</f>
        <v>'BLD_CC'!$E$48:$Y$48</v>
      </c>
      <c r="H1540" s="381">
        <f ca="1">IF(IFERROR(INDEX(DATA_PROPERTY_MASTER!$E$5:$E$21,MATCH($C1540,DATA_PROPERTY_MASTER!$A$5:$A$21,0))="Yes",FALSE),IFERROR(INDEX(INDIRECT("'"&amp;$C1540&amp;"'!$E$48:$Y$48"),1,MATCH($D1540,INDIRECT("'"&amp;$C1540&amp;"'!$E$12:$Y$12"),0)),0),0)</f>
        <v>0</v>
      </c>
      <c r="I1540" s="366" t="s">
        <v>1690</v>
      </c>
      <c r="J1540" s="348" t="str">
        <f t="shared" ca="1" si="46"/>
        <v>OK</v>
      </c>
      <c r="K1540" s="366" t="s">
        <v>1706</v>
      </c>
      <c r="L1540" s="366" t="s">
        <v>2244</v>
      </c>
      <c r="M1540" s="350" t="str">
        <f>IF($B1540="Portfolio","Portfolio",IFERROR(INDEX(DATA_ASSET_CLASSIFICATION!$B$8:$B$24,MATCH($C1540,DATA_ASSET_CLASSIFICATION!$A$8:$A$24,0)),"Review"))</f>
        <v>Constance Court</v>
      </c>
      <c r="N1540" s="350" t="str">
        <f ca="1">IF($B1540="Portfolio","Portfolio",IFERROR(INDEX(DATA_ASSET_CLASSIFICATION!$U$8:$U$24,MATCH($C1540,DATA_ASSET_CLASSIFICATION!$A$8:$A$24,0)),"Review"))</f>
        <v>Refi Watch</v>
      </c>
      <c r="O1540" s="350" t="str">
        <f ca="1">IF($B1540="Portfolio","Portfolio",IFERROR(INDEX(DATA_ASSET_CLASSIFICATION!$AB$8:$AB$13,MATCH($N1540,DATA_ASSET_CLASSIFICATION!$AA$8:$AA$13,0)),"Review"))</f>
        <v>Bucket 2 · Legacy</v>
      </c>
      <c r="P1540" s="350" t="str">
        <f>IF($B1540="Portfolio","Portfolio",IFERROR(INDEX(DATA_ASSET_CLASSIFICATION!$C$8:$C$24,MATCH($C1540,DATA_ASSET_CLASSIFICATION!$A$8:$A$24,0)),"Review"))</f>
        <v>Yes</v>
      </c>
      <c r="Q1540" s="350" t="str">
        <f t="shared" ca="1" si="47"/>
        <v>OK</v>
      </c>
    </row>
    <row r="1541" spans="1:17">
      <c r="A1541" s="366" t="s">
        <v>3497</v>
      </c>
      <c r="B1541" s="366" t="s">
        <v>231</v>
      </c>
      <c r="C1541" s="348" t="str">
        <f>DATA_PROPERTY_MASTER!$A$9</f>
        <v>BLD_CC</v>
      </c>
      <c r="D1541" s="380">
        <f>'00_PORTFOLIO ROLLUP'!J$12</f>
        <v>2030</v>
      </c>
      <c r="E1541" s="366" t="s">
        <v>1683</v>
      </c>
      <c r="F1541" s="366" t="s">
        <v>25</v>
      </c>
      <c r="G1541" s="348" t="str">
        <f>"'"&amp;$C1541&amp;"'!$E$52:$Y$52"</f>
        <v>'BLD_CC'!$E$52:$Y$52</v>
      </c>
      <c r="H1541" s="381">
        <f ca="1">IF(IFERROR(INDEX(DATA_PROPERTY_MASTER!$E$5:$E$21,MATCH($C1541,DATA_PROPERTY_MASTER!$A$5:$A$21,0))="Yes",FALSE),IFERROR(INDEX(INDIRECT("'"&amp;$C1541&amp;"'!$E$52:$Y$52"),1,MATCH($D1541,INDIRECT("'"&amp;$C1541&amp;"'!$E$12:$Y$12"),0)),0),0)</f>
        <v>292961.90369277791</v>
      </c>
      <c r="I1541" s="366" t="s">
        <v>1685</v>
      </c>
      <c r="J1541" s="348" t="str">
        <f t="shared" ref="J1541:J1604" ca="1" si="48">IF($F1541="Residual Funding Gap",IF($H1541&gt;0,"Funding Gap","OK"),IF(AND($F1541="Net Refinance Position",$H1541&lt;0),"Negative net refi position","OK"))</f>
        <v>OK</v>
      </c>
      <c r="K1541" s="366" t="s">
        <v>1710</v>
      </c>
      <c r="L1541" s="366" t="s">
        <v>2246</v>
      </c>
      <c r="M1541" s="350" t="str">
        <f>IF($B1541="Portfolio","Portfolio",IFERROR(INDEX(DATA_ASSET_CLASSIFICATION!$B$8:$B$24,MATCH($C1541,DATA_ASSET_CLASSIFICATION!$A$8:$A$24,0)),"Review"))</f>
        <v>Constance Court</v>
      </c>
      <c r="N1541" s="350" t="str">
        <f ca="1">IF($B1541="Portfolio","Portfolio",IFERROR(INDEX(DATA_ASSET_CLASSIFICATION!$U$8:$U$24,MATCH($C1541,DATA_ASSET_CLASSIFICATION!$A$8:$A$24,0)),"Review"))</f>
        <v>Refi Watch</v>
      </c>
      <c r="O1541" s="350" t="str">
        <f ca="1">IF($B1541="Portfolio","Portfolio",IFERROR(INDEX(DATA_ASSET_CLASSIFICATION!$AB$8:$AB$13,MATCH($N1541,DATA_ASSET_CLASSIFICATION!$AA$8:$AA$13,0)),"Review"))</f>
        <v>Bucket 2 · Legacy</v>
      </c>
      <c r="P1541" s="350" t="str">
        <f>IF($B1541="Portfolio","Portfolio",IFERROR(INDEX(DATA_ASSET_CLASSIFICATION!$C$8:$C$24,MATCH($C1541,DATA_ASSET_CLASSIFICATION!$A$8:$A$24,0)),"Review"))</f>
        <v>Yes</v>
      </c>
      <c r="Q1541" s="350" t="str">
        <f t="shared" ref="Q1541:Q1604" ca="1" si="49">IF(AND($B1541="Property",$F1541="Residual Funding Gap",$H1541&gt;0),"Property Funding Gap",IF($J1541&lt;&gt;"OK",$J1541,"OK"))</f>
        <v>OK</v>
      </c>
    </row>
    <row r="1542" spans="1:17">
      <c r="A1542" s="366" t="s">
        <v>3498</v>
      </c>
      <c r="B1542" s="366" t="s">
        <v>231</v>
      </c>
      <c r="C1542" s="348" t="str">
        <f>DATA_PROPERTY_MASTER!$A$9</f>
        <v>BLD_CC</v>
      </c>
      <c r="D1542" s="380">
        <f>'00_PORTFOLIO ROLLUP'!J$12</f>
        <v>2030</v>
      </c>
      <c r="E1542" s="366" t="s">
        <v>1683</v>
      </c>
      <c r="F1542" s="366" t="s">
        <v>27</v>
      </c>
      <c r="G1542" s="348" t="str">
        <f>"'"&amp;$C1542&amp;"'!$E$54:$Y$54"</f>
        <v>'BLD_CC'!$E$54:$Y$54</v>
      </c>
      <c r="H1542" s="381">
        <f ca="1">IF(IFERROR(INDEX(DATA_PROPERTY_MASTER!$E$5:$E$21,MATCH($C1542,DATA_PROPERTY_MASTER!$A$5:$A$21,0))="Yes",FALSE),IFERROR(INDEX(INDIRECT("'"&amp;$C1542&amp;"'!$E$54:$Y$54"),1,MATCH($D1542,INDIRECT("'"&amp;$C1542&amp;"'!$E$12:$Y$12"),0)),0),0)</f>
        <v>175777.14221566674</v>
      </c>
      <c r="I1542" s="366" t="s">
        <v>1690</v>
      </c>
      <c r="J1542" s="348" t="str">
        <f t="shared" ca="1" si="48"/>
        <v>OK</v>
      </c>
      <c r="K1542" s="366" t="s">
        <v>1714</v>
      </c>
      <c r="L1542" s="366" t="s">
        <v>2248</v>
      </c>
      <c r="M1542" s="350" t="str">
        <f>IF($B1542="Portfolio","Portfolio",IFERROR(INDEX(DATA_ASSET_CLASSIFICATION!$B$8:$B$24,MATCH($C1542,DATA_ASSET_CLASSIFICATION!$A$8:$A$24,0)),"Review"))</f>
        <v>Constance Court</v>
      </c>
      <c r="N1542" s="350" t="str">
        <f ca="1">IF($B1542="Portfolio","Portfolio",IFERROR(INDEX(DATA_ASSET_CLASSIFICATION!$U$8:$U$24,MATCH($C1542,DATA_ASSET_CLASSIFICATION!$A$8:$A$24,0)),"Review"))</f>
        <v>Refi Watch</v>
      </c>
      <c r="O1542" s="350" t="str">
        <f ca="1">IF($B1542="Portfolio","Portfolio",IFERROR(INDEX(DATA_ASSET_CLASSIFICATION!$AB$8:$AB$13,MATCH($N1542,DATA_ASSET_CLASSIFICATION!$AA$8:$AA$13,0)),"Review"))</f>
        <v>Bucket 2 · Legacy</v>
      </c>
      <c r="P1542" s="350" t="str">
        <f>IF($B1542="Portfolio","Portfolio",IFERROR(INDEX(DATA_ASSET_CLASSIFICATION!$C$8:$C$24,MATCH($C1542,DATA_ASSET_CLASSIFICATION!$A$8:$A$24,0)),"Review"))</f>
        <v>Yes</v>
      </c>
      <c r="Q1542" s="350" t="str">
        <f t="shared" ca="1" si="49"/>
        <v>OK</v>
      </c>
    </row>
    <row r="1543" spans="1:17">
      <c r="A1543" s="366" t="s">
        <v>3499</v>
      </c>
      <c r="B1543" s="366" t="s">
        <v>231</v>
      </c>
      <c r="C1543" s="348" t="str">
        <f>DATA_PROPERTY_MASTER!$A$9</f>
        <v>BLD_CC</v>
      </c>
      <c r="D1543" s="380">
        <f>'00_PORTFOLIO ROLLUP'!J$12</f>
        <v>2030</v>
      </c>
      <c r="E1543" s="366" t="s">
        <v>1683</v>
      </c>
      <c r="F1543" s="366" t="s">
        <v>29</v>
      </c>
      <c r="G1543" s="348" t="str">
        <f>"'"&amp;$C1543&amp;"'!$E$56:$Y$56"</f>
        <v>'BLD_CC'!$E$56:$Y$56</v>
      </c>
      <c r="H1543" s="381">
        <f ca="1">IF(IFERROR(INDEX(DATA_PROPERTY_MASTER!$E$5:$E$21,MATCH($C1543,DATA_PROPERTY_MASTER!$A$5:$A$21,0))="Yes",FALSE),IFERROR(INDEX(INDIRECT("'"&amp;$C1543&amp;"'!$E$56:$Y$56"),1,MATCH($D1543,INDIRECT("'"&amp;$C1543&amp;"'!$E$12:$Y$12"),0)),0),0)</f>
        <v>117184.76147711117</v>
      </c>
      <c r="I1543" s="366" t="s">
        <v>1685</v>
      </c>
      <c r="J1543" s="348" t="str">
        <f t="shared" ca="1" si="48"/>
        <v>OK</v>
      </c>
      <c r="K1543" s="366" t="s">
        <v>1718</v>
      </c>
      <c r="L1543" s="366" t="s">
        <v>2250</v>
      </c>
      <c r="M1543" s="350" t="str">
        <f>IF($B1543="Portfolio","Portfolio",IFERROR(INDEX(DATA_ASSET_CLASSIFICATION!$B$8:$B$24,MATCH($C1543,DATA_ASSET_CLASSIFICATION!$A$8:$A$24,0)),"Review"))</f>
        <v>Constance Court</v>
      </c>
      <c r="N1543" s="350" t="str">
        <f ca="1">IF($B1543="Portfolio","Portfolio",IFERROR(INDEX(DATA_ASSET_CLASSIFICATION!$U$8:$U$24,MATCH($C1543,DATA_ASSET_CLASSIFICATION!$A$8:$A$24,0)),"Review"))</f>
        <v>Refi Watch</v>
      </c>
      <c r="O1543" s="350" t="str">
        <f ca="1">IF($B1543="Portfolio","Portfolio",IFERROR(INDEX(DATA_ASSET_CLASSIFICATION!$AB$8:$AB$13,MATCH($N1543,DATA_ASSET_CLASSIFICATION!$AA$8:$AA$13,0)),"Review"))</f>
        <v>Bucket 2 · Legacy</v>
      </c>
      <c r="P1543" s="350" t="str">
        <f>IF($B1543="Portfolio","Portfolio",IFERROR(INDEX(DATA_ASSET_CLASSIFICATION!$C$8:$C$24,MATCH($C1543,DATA_ASSET_CLASSIFICATION!$A$8:$A$24,0)),"Review"))</f>
        <v>Yes</v>
      </c>
      <c r="Q1543" s="350" t="str">
        <f t="shared" ca="1" si="49"/>
        <v>OK</v>
      </c>
    </row>
    <row r="1544" spans="1:17">
      <c r="A1544" s="366" t="s">
        <v>3500</v>
      </c>
      <c r="B1544" s="366" t="s">
        <v>231</v>
      </c>
      <c r="C1544" s="348" t="str">
        <f>DATA_PROPERTY_MASTER!$A$9</f>
        <v>BLD_CC</v>
      </c>
      <c r="D1544" s="380">
        <f>'00_PORTFOLIO ROLLUP'!J$12</f>
        <v>2030</v>
      </c>
      <c r="E1544" s="366" t="s">
        <v>1721</v>
      </c>
      <c r="F1544" s="366" t="s">
        <v>31</v>
      </c>
      <c r="G1544" s="348" t="str">
        <f>"'"&amp;$C1544&amp;"'!$E$61:$Y$61"</f>
        <v>'BLD_CC'!$E$61:$Y$61</v>
      </c>
      <c r="H1544" s="381">
        <f ca="1">IF(IFERROR(INDEX(DATA_PROPERTY_MASTER!$E$5:$E$21,MATCH($C1544,DATA_PROPERTY_MASTER!$A$5:$A$21,0))="Yes",FALSE),IFERROR(INDEX(INDIRECT("'"&amp;$C1544&amp;"'!$E$61:$Y$61"),1,MATCH($D1544,INDIRECT("'"&amp;$C1544&amp;"'!$E$12:$Y$12"),0)),0),0)</f>
        <v>0</v>
      </c>
      <c r="I1544" s="366" t="s">
        <v>1690</v>
      </c>
      <c r="J1544" s="348" t="str">
        <f t="shared" ca="1" si="48"/>
        <v>OK</v>
      </c>
      <c r="K1544" s="366" t="s">
        <v>1723</v>
      </c>
      <c r="L1544" s="366" t="s">
        <v>2252</v>
      </c>
      <c r="M1544" s="350" t="str">
        <f>IF($B1544="Portfolio","Portfolio",IFERROR(INDEX(DATA_ASSET_CLASSIFICATION!$B$8:$B$24,MATCH($C1544,DATA_ASSET_CLASSIFICATION!$A$8:$A$24,0)),"Review"))</f>
        <v>Constance Court</v>
      </c>
      <c r="N1544" s="350" t="str">
        <f ca="1">IF($B1544="Portfolio","Portfolio",IFERROR(INDEX(DATA_ASSET_CLASSIFICATION!$U$8:$U$24,MATCH($C1544,DATA_ASSET_CLASSIFICATION!$A$8:$A$24,0)),"Review"))</f>
        <v>Refi Watch</v>
      </c>
      <c r="O1544" s="350" t="str">
        <f ca="1">IF($B1544="Portfolio","Portfolio",IFERROR(INDEX(DATA_ASSET_CLASSIFICATION!$AB$8:$AB$13,MATCH($N1544,DATA_ASSET_CLASSIFICATION!$AA$8:$AA$13,0)),"Review"))</f>
        <v>Bucket 2 · Legacy</v>
      </c>
      <c r="P1544" s="350" t="str">
        <f>IF($B1544="Portfolio","Portfolio",IFERROR(INDEX(DATA_ASSET_CLASSIFICATION!$C$8:$C$24,MATCH($C1544,DATA_ASSET_CLASSIFICATION!$A$8:$A$24,0)),"Review"))</f>
        <v>Yes</v>
      </c>
      <c r="Q1544" s="350" t="str">
        <f t="shared" ca="1" si="49"/>
        <v>OK</v>
      </c>
    </row>
    <row r="1545" spans="1:17">
      <c r="A1545" s="366" t="s">
        <v>3501</v>
      </c>
      <c r="B1545" s="366" t="s">
        <v>231</v>
      </c>
      <c r="C1545" s="348" t="str">
        <f>DATA_PROPERTY_MASTER!$A$9</f>
        <v>BLD_CC</v>
      </c>
      <c r="D1545" s="380">
        <f>'00_PORTFOLIO ROLLUP'!J$12</f>
        <v>2030</v>
      </c>
      <c r="E1545" s="366" t="s">
        <v>1721</v>
      </c>
      <c r="F1545" s="366" t="s">
        <v>33</v>
      </c>
      <c r="G1545" s="348" t="str">
        <f>"'"&amp;$C1545&amp;"'!$E$62:$Y$62"</f>
        <v>'BLD_CC'!$E$62:$Y$62</v>
      </c>
      <c r="H1545" s="381">
        <f ca="1">IF(IFERROR(INDEX(DATA_PROPERTY_MASTER!$E$5:$E$21,MATCH($C1545,DATA_PROPERTY_MASTER!$A$5:$A$21,0))="Yes",FALSE),IFERROR(INDEX(INDIRECT("'"&amp;$C1545&amp;"'!$E$62:$Y$62"),1,MATCH($D1545,INDIRECT("'"&amp;$C1545&amp;"'!$E$12:$Y$12"),0)),0),0)</f>
        <v>0</v>
      </c>
      <c r="I1545" s="366" t="s">
        <v>1685</v>
      </c>
      <c r="J1545" s="348" t="str">
        <f t="shared" ca="1" si="48"/>
        <v>OK</v>
      </c>
      <c r="K1545" s="366" t="s">
        <v>1727</v>
      </c>
      <c r="L1545" s="366" t="s">
        <v>2254</v>
      </c>
      <c r="M1545" s="350" t="str">
        <f>IF($B1545="Portfolio","Portfolio",IFERROR(INDEX(DATA_ASSET_CLASSIFICATION!$B$8:$B$24,MATCH($C1545,DATA_ASSET_CLASSIFICATION!$A$8:$A$24,0)),"Review"))</f>
        <v>Constance Court</v>
      </c>
      <c r="N1545" s="350" t="str">
        <f ca="1">IF($B1545="Portfolio","Portfolio",IFERROR(INDEX(DATA_ASSET_CLASSIFICATION!$U$8:$U$24,MATCH($C1545,DATA_ASSET_CLASSIFICATION!$A$8:$A$24,0)),"Review"))</f>
        <v>Refi Watch</v>
      </c>
      <c r="O1545" s="350" t="str">
        <f ca="1">IF($B1545="Portfolio","Portfolio",IFERROR(INDEX(DATA_ASSET_CLASSIFICATION!$AB$8:$AB$13,MATCH($N1545,DATA_ASSET_CLASSIFICATION!$AA$8:$AA$13,0)),"Review"))</f>
        <v>Bucket 2 · Legacy</v>
      </c>
      <c r="P1545" s="350" t="str">
        <f>IF($B1545="Portfolio","Portfolio",IFERROR(INDEX(DATA_ASSET_CLASSIFICATION!$C$8:$C$24,MATCH($C1545,DATA_ASSET_CLASSIFICATION!$A$8:$A$24,0)),"Review"))</f>
        <v>Yes</v>
      </c>
      <c r="Q1545" s="350" t="str">
        <f t="shared" ca="1" si="49"/>
        <v>OK</v>
      </c>
    </row>
    <row r="1546" spans="1:17">
      <c r="A1546" s="366" t="s">
        <v>3502</v>
      </c>
      <c r="B1546" s="366" t="s">
        <v>231</v>
      </c>
      <c r="C1546" s="348" t="str">
        <f>DATA_PROPERTY_MASTER!$A$9</f>
        <v>BLD_CC</v>
      </c>
      <c r="D1546" s="380">
        <f>'00_PORTFOLIO ROLLUP'!J$12</f>
        <v>2030</v>
      </c>
      <c r="E1546" s="366" t="s">
        <v>1721</v>
      </c>
      <c r="F1546" s="366" t="s">
        <v>35</v>
      </c>
      <c r="G1546" s="348" t="str">
        <f>"'"&amp;$C1546&amp;"'!$E$63:$Y$63"</f>
        <v>'BLD_CC'!$E$63:$Y$63</v>
      </c>
      <c r="H1546" s="381">
        <f ca="1">IF(IFERROR(INDEX(DATA_PROPERTY_MASTER!$E$5:$E$21,MATCH($C1546,DATA_PROPERTY_MASTER!$A$5:$A$21,0))="Yes",FALSE),IFERROR(INDEX(INDIRECT("'"&amp;$C1546&amp;"'!$E$63:$Y$63"),1,MATCH($D1546,INDIRECT("'"&amp;$C1546&amp;"'!$E$12:$Y$12"),0)),0),0)</f>
        <v>0</v>
      </c>
      <c r="I1546" s="366" t="s">
        <v>1731</v>
      </c>
      <c r="J1546" s="348" t="str">
        <f t="shared" ca="1" si="48"/>
        <v>OK</v>
      </c>
      <c r="K1546" s="366" t="s">
        <v>1732</v>
      </c>
      <c r="L1546" s="366" t="s">
        <v>2256</v>
      </c>
      <c r="M1546" s="350" t="str">
        <f>IF($B1546="Portfolio","Portfolio",IFERROR(INDEX(DATA_ASSET_CLASSIFICATION!$B$8:$B$24,MATCH($C1546,DATA_ASSET_CLASSIFICATION!$A$8:$A$24,0)),"Review"))</f>
        <v>Constance Court</v>
      </c>
      <c r="N1546" s="350" t="str">
        <f ca="1">IF($B1546="Portfolio","Portfolio",IFERROR(INDEX(DATA_ASSET_CLASSIFICATION!$U$8:$U$24,MATCH($C1546,DATA_ASSET_CLASSIFICATION!$A$8:$A$24,0)),"Review"))</f>
        <v>Refi Watch</v>
      </c>
      <c r="O1546" s="350" t="str">
        <f ca="1">IF($B1546="Portfolio","Portfolio",IFERROR(INDEX(DATA_ASSET_CLASSIFICATION!$AB$8:$AB$13,MATCH($N1546,DATA_ASSET_CLASSIFICATION!$AA$8:$AA$13,0)),"Review"))</f>
        <v>Bucket 2 · Legacy</v>
      </c>
      <c r="P1546" s="350" t="str">
        <f>IF($B1546="Portfolio","Portfolio",IFERROR(INDEX(DATA_ASSET_CLASSIFICATION!$C$8:$C$24,MATCH($C1546,DATA_ASSET_CLASSIFICATION!$A$8:$A$24,0)),"Review"))</f>
        <v>Yes</v>
      </c>
      <c r="Q1546" s="350" t="str">
        <f t="shared" ca="1" si="49"/>
        <v>OK</v>
      </c>
    </row>
    <row r="1547" spans="1:17">
      <c r="A1547" s="366" t="s">
        <v>3503</v>
      </c>
      <c r="B1547" s="366" t="s">
        <v>231</v>
      </c>
      <c r="C1547" s="348" t="str">
        <f>DATA_PROPERTY_MASTER!$A$9</f>
        <v>BLD_CC</v>
      </c>
      <c r="D1547" s="380">
        <f>'00_PORTFOLIO ROLLUP'!J$12</f>
        <v>2030</v>
      </c>
      <c r="E1547" s="366" t="s">
        <v>1721</v>
      </c>
      <c r="F1547" s="366" t="s">
        <v>37</v>
      </c>
      <c r="G1547" s="348" t="str">
        <f>"'"&amp;$C1547&amp;"'!$E$63:$Y$63"</f>
        <v>'BLD_CC'!$E$63:$Y$63</v>
      </c>
      <c r="H1547" s="381">
        <f ca="1">IF(IFERROR(INDEX(DATA_PROPERTY_MASTER!$E$5:$E$21,MATCH($C1547,DATA_PROPERTY_MASTER!$A$5:$A$21,0))="Yes",FALSE),MAX(IFERROR(INDEX(INDIRECT("'"&amp;$C1547&amp;"'!$E$63:$Y$63"),1,MATCH($D1547,INDIRECT("'"&amp;$C1547&amp;"'!$E$12:$Y$12"),0)),0),0),0)</f>
        <v>0</v>
      </c>
      <c r="I1547" s="366" t="s">
        <v>1685</v>
      </c>
      <c r="J1547" s="348" t="str">
        <f t="shared" ca="1" si="48"/>
        <v>OK</v>
      </c>
      <c r="K1547" s="366" t="s">
        <v>1735</v>
      </c>
      <c r="L1547" s="366" t="s">
        <v>2258</v>
      </c>
      <c r="M1547" s="350" t="str">
        <f>IF($B1547="Portfolio","Portfolio",IFERROR(INDEX(DATA_ASSET_CLASSIFICATION!$B$8:$B$24,MATCH($C1547,DATA_ASSET_CLASSIFICATION!$A$8:$A$24,0)),"Review"))</f>
        <v>Constance Court</v>
      </c>
      <c r="N1547" s="350" t="str">
        <f ca="1">IF($B1547="Portfolio","Portfolio",IFERROR(INDEX(DATA_ASSET_CLASSIFICATION!$U$8:$U$24,MATCH($C1547,DATA_ASSET_CLASSIFICATION!$A$8:$A$24,0)),"Review"))</f>
        <v>Refi Watch</v>
      </c>
      <c r="O1547" s="350" t="str">
        <f ca="1">IF($B1547="Portfolio","Portfolio",IFERROR(INDEX(DATA_ASSET_CLASSIFICATION!$AB$8:$AB$13,MATCH($N1547,DATA_ASSET_CLASSIFICATION!$AA$8:$AA$13,0)),"Review"))</f>
        <v>Bucket 2 · Legacy</v>
      </c>
      <c r="P1547" s="350" t="str">
        <f>IF($B1547="Portfolio","Portfolio",IFERROR(INDEX(DATA_ASSET_CLASSIFICATION!$C$8:$C$24,MATCH($C1547,DATA_ASSET_CLASSIFICATION!$A$8:$A$24,0)),"Review"))</f>
        <v>Yes</v>
      </c>
      <c r="Q1547" s="350" t="str">
        <f t="shared" ca="1" si="49"/>
        <v>OK</v>
      </c>
    </row>
    <row r="1548" spans="1:17">
      <c r="A1548" s="366" t="s">
        <v>3504</v>
      </c>
      <c r="B1548" s="366" t="s">
        <v>231</v>
      </c>
      <c r="C1548" s="348" t="str">
        <f>DATA_PROPERTY_MASTER!$A$9</f>
        <v>BLD_CC</v>
      </c>
      <c r="D1548" s="380">
        <f>'00_PORTFOLIO ROLLUP'!J$12</f>
        <v>2030</v>
      </c>
      <c r="E1548" s="366" t="s">
        <v>1721</v>
      </c>
      <c r="F1548" s="366" t="s">
        <v>39</v>
      </c>
      <c r="G1548" s="348" t="str">
        <f>"'"&amp;$C1548&amp;"'!$E$63:$Y$63"</f>
        <v>'BLD_CC'!$E$63:$Y$63</v>
      </c>
      <c r="H1548" s="381">
        <f ca="1">IF(IFERROR(INDEX(DATA_PROPERTY_MASTER!$E$5:$E$21,MATCH($C1548,DATA_PROPERTY_MASTER!$A$5:$A$21,0))="Yes",FALSE),MAX(-IFERROR(INDEX(INDIRECT("'"&amp;$C1548&amp;"'!$E$63:$Y$63"),1,MATCH($D1548,INDIRECT("'"&amp;$C1548&amp;"'!$E$12:$Y$12"),0)),0),0),0)</f>
        <v>0</v>
      </c>
      <c r="I1548" s="366" t="s">
        <v>1690</v>
      </c>
      <c r="J1548" s="348" t="str">
        <f t="shared" ca="1" si="48"/>
        <v>OK</v>
      </c>
      <c r="K1548" s="366" t="s">
        <v>1738</v>
      </c>
      <c r="L1548" s="366" t="s">
        <v>2260</v>
      </c>
      <c r="M1548" s="350" t="str">
        <f>IF($B1548="Portfolio","Portfolio",IFERROR(INDEX(DATA_ASSET_CLASSIFICATION!$B$8:$B$24,MATCH($C1548,DATA_ASSET_CLASSIFICATION!$A$8:$A$24,0)),"Review"))</f>
        <v>Constance Court</v>
      </c>
      <c r="N1548" s="350" t="str">
        <f ca="1">IF($B1548="Portfolio","Portfolio",IFERROR(INDEX(DATA_ASSET_CLASSIFICATION!$U$8:$U$24,MATCH($C1548,DATA_ASSET_CLASSIFICATION!$A$8:$A$24,0)),"Review"))</f>
        <v>Refi Watch</v>
      </c>
      <c r="O1548" s="350" t="str">
        <f ca="1">IF($B1548="Portfolio","Portfolio",IFERROR(INDEX(DATA_ASSET_CLASSIFICATION!$AB$8:$AB$13,MATCH($N1548,DATA_ASSET_CLASSIFICATION!$AA$8:$AA$13,0)),"Review"))</f>
        <v>Bucket 2 · Legacy</v>
      </c>
      <c r="P1548" s="350" t="str">
        <f>IF($B1548="Portfolio","Portfolio",IFERROR(INDEX(DATA_ASSET_CLASSIFICATION!$C$8:$C$24,MATCH($C1548,DATA_ASSET_CLASSIFICATION!$A$8:$A$24,0)),"Review"))</f>
        <v>Yes</v>
      </c>
      <c r="Q1548" s="350" t="str">
        <f t="shared" ca="1" si="49"/>
        <v>OK</v>
      </c>
    </row>
    <row r="1549" spans="1:17">
      <c r="A1549" s="366" t="s">
        <v>3505</v>
      </c>
      <c r="B1549" s="366" t="s">
        <v>231</v>
      </c>
      <c r="C1549" s="348" t="str">
        <f>DATA_PROPERTY_MASTER!$A$9</f>
        <v>BLD_CC</v>
      </c>
      <c r="D1549" s="380">
        <f>'00_PORTFOLIO ROLLUP'!J$12</f>
        <v>2030</v>
      </c>
      <c r="E1549" s="366" t="s">
        <v>1741</v>
      </c>
      <c r="F1549" s="366" t="s">
        <v>41</v>
      </c>
      <c r="G1549" s="348" t="str">
        <f>"'"&amp;$C1549&amp;"'!rows 56 + positive row 63"</f>
        <v>'BLD_CC'!rows 56 + positive row 63</v>
      </c>
      <c r="H1549" s="381">
        <f ca="1">IF(IFERROR(INDEX(DATA_PROPERTY_MASTER!$E$5:$E$21,MATCH($C1549,DATA_PROPERTY_MASTER!$A$5:$A$21,0))="Yes",FALSE),IFERROR(INDEX(INDIRECT("'"&amp;$C1549&amp;"'!$E$56:$Y$56"),1,MATCH($D1549,INDIRECT("'"&amp;$C1549&amp;"'!$E$12:$Y$12"),0)),0)+MAX(IFERROR(INDEX(INDIRECT("'"&amp;$C1549&amp;"'!$E$63:$Y$63"),1,MATCH($D1549,INDIRECT("'"&amp;$C1549&amp;"'!$E$12:$Y$12"),0)),0),0),0)</f>
        <v>117184.76147711117</v>
      </c>
      <c r="I1549" s="366" t="s">
        <v>1685</v>
      </c>
      <c r="J1549" s="348" t="str">
        <f t="shared" ca="1" si="48"/>
        <v>OK</v>
      </c>
      <c r="K1549" s="366" t="s">
        <v>1742</v>
      </c>
      <c r="L1549" s="366" t="s">
        <v>2262</v>
      </c>
      <c r="M1549" s="350" t="str">
        <f>IF($B1549="Portfolio","Portfolio",IFERROR(INDEX(DATA_ASSET_CLASSIFICATION!$B$8:$B$24,MATCH($C1549,DATA_ASSET_CLASSIFICATION!$A$8:$A$24,0)),"Review"))</f>
        <v>Constance Court</v>
      </c>
      <c r="N1549" s="350" t="str">
        <f ca="1">IF($B1549="Portfolio","Portfolio",IFERROR(INDEX(DATA_ASSET_CLASSIFICATION!$U$8:$U$24,MATCH($C1549,DATA_ASSET_CLASSIFICATION!$A$8:$A$24,0)),"Review"))</f>
        <v>Refi Watch</v>
      </c>
      <c r="O1549" s="350" t="str">
        <f ca="1">IF($B1549="Portfolio","Portfolio",IFERROR(INDEX(DATA_ASSET_CLASSIFICATION!$AB$8:$AB$13,MATCH($N1549,DATA_ASSET_CLASSIFICATION!$AA$8:$AA$13,0)),"Review"))</f>
        <v>Bucket 2 · Legacy</v>
      </c>
      <c r="P1549" s="350" t="str">
        <f>IF($B1549="Portfolio","Portfolio",IFERROR(INDEX(DATA_ASSET_CLASSIFICATION!$C$8:$C$24,MATCH($C1549,DATA_ASSET_CLASSIFICATION!$A$8:$A$24,0)),"Review"))</f>
        <v>Yes</v>
      </c>
      <c r="Q1549" s="350" t="str">
        <f t="shared" ca="1" si="49"/>
        <v>OK</v>
      </c>
    </row>
    <row r="1550" spans="1:17">
      <c r="A1550" s="366" t="s">
        <v>3506</v>
      </c>
      <c r="B1550" s="366" t="s">
        <v>231</v>
      </c>
      <c r="C1550" s="348" t="str">
        <f>DATA_PROPERTY_MASTER!$A$9</f>
        <v>BLD_CC</v>
      </c>
      <c r="D1550" s="380">
        <f>'00_PORTFOLIO ROLLUP'!J$12</f>
        <v>2030</v>
      </c>
      <c r="E1550" s="366" t="s">
        <v>1741</v>
      </c>
      <c r="F1550" s="366" t="s">
        <v>43</v>
      </c>
      <c r="G1550" s="348" t="str">
        <f>"'"&amp;$C1550&amp;"'!$E$68:$Y$68"</f>
        <v>'BLD_CC'!$E$68:$Y$68</v>
      </c>
      <c r="H1550" s="381">
        <f ca="1">IF(IFERROR(INDEX(DATA_PROPERTY_MASTER!$E$5:$E$21,MATCH($C1550,DATA_PROPERTY_MASTER!$A$5:$A$21,0))="Yes",FALSE),IFERROR(INDEX(INDIRECT("'"&amp;$C1550&amp;"'!$E$68:$Y$68"),1,MATCH($D1550,INDIRECT("'"&amp;$C1550&amp;"'!$E$12:$Y$12"),0)),0),0)</f>
        <v>117184.76147711117</v>
      </c>
      <c r="I1550" s="366" t="s">
        <v>1731</v>
      </c>
      <c r="J1550" s="348" t="str">
        <f t="shared" ca="1" si="48"/>
        <v>OK</v>
      </c>
      <c r="K1550" s="366" t="s">
        <v>1746</v>
      </c>
      <c r="L1550" s="366" t="s">
        <v>2264</v>
      </c>
      <c r="M1550" s="350" t="str">
        <f>IF($B1550="Portfolio","Portfolio",IFERROR(INDEX(DATA_ASSET_CLASSIFICATION!$B$8:$B$24,MATCH($C1550,DATA_ASSET_CLASSIFICATION!$A$8:$A$24,0)),"Review"))</f>
        <v>Constance Court</v>
      </c>
      <c r="N1550" s="350" t="str">
        <f ca="1">IF($B1550="Portfolio","Portfolio",IFERROR(INDEX(DATA_ASSET_CLASSIFICATION!$U$8:$U$24,MATCH($C1550,DATA_ASSET_CLASSIFICATION!$A$8:$A$24,0)),"Review"))</f>
        <v>Refi Watch</v>
      </c>
      <c r="O1550" s="350" t="str">
        <f ca="1">IF($B1550="Portfolio","Portfolio",IFERROR(INDEX(DATA_ASSET_CLASSIFICATION!$AB$8:$AB$13,MATCH($N1550,DATA_ASSET_CLASSIFICATION!$AA$8:$AA$13,0)),"Review"))</f>
        <v>Bucket 2 · Legacy</v>
      </c>
      <c r="P1550" s="350" t="str">
        <f>IF($B1550="Portfolio","Portfolio",IFERROR(INDEX(DATA_ASSET_CLASSIFICATION!$C$8:$C$24,MATCH($C1550,DATA_ASSET_CLASSIFICATION!$A$8:$A$24,0)),"Review"))</f>
        <v>Yes</v>
      </c>
      <c r="Q1550" s="350" t="str">
        <f t="shared" ca="1" si="49"/>
        <v>OK</v>
      </c>
    </row>
    <row r="1551" spans="1:17">
      <c r="A1551" s="366" t="s">
        <v>3507</v>
      </c>
      <c r="B1551" s="366" t="s">
        <v>231</v>
      </c>
      <c r="C1551" s="348" t="str">
        <f>DATA_PROPERTY_MASTER!$A$9</f>
        <v>BLD_CC</v>
      </c>
      <c r="D1551" s="380">
        <f>'00_PORTFOLIO ROLLUP'!J$12</f>
        <v>2030</v>
      </c>
      <c r="E1551" s="366" t="s">
        <v>1741</v>
      </c>
      <c r="F1551" s="366" t="s">
        <v>1749</v>
      </c>
      <c r="G1551" s="348" t="str">
        <f>"'"&amp;$C1551&amp;"'!rows 56, 63, 68"</f>
        <v>'BLD_CC'!rows 56, 63, 68</v>
      </c>
      <c r="H1551" s="381">
        <f ca="1">IF(IFERROR(INDEX(DATA_PROPERTY_MASTER!$E$5:$E$21,MATCH($C1551,DATA_PROPERTY_MASTER!$A$5:$A$21,0))="Yes",FALSE),(IFERROR(INDEX(INDIRECT("'"&amp;$C1551&amp;"'!$E$56:$Y$56"),1,MATCH($D1551,INDIRECT("'"&amp;$C1551&amp;"'!$E$12:$Y$12"),0)),0)+MAX(IFERROR(INDEX(INDIRECT("'"&amp;$C1551&amp;"'!$E$63:$Y$63"),1,MATCH($D1551,INDIRECT("'"&amp;$C1551&amp;"'!$E$12:$Y$12"),0)),0),0))-(IFERROR(INDEX(INDIRECT("'"&amp;$C1551&amp;"'!$E$68:$Y$68"),1,MATCH($D1551,INDIRECT("'"&amp;$C1551&amp;"'!$E$12:$Y$12"),0)),0)),0)</f>
        <v>0</v>
      </c>
      <c r="I1551" s="366" t="s">
        <v>1750</v>
      </c>
      <c r="J1551" s="348" t="str">
        <f t="shared" ca="1" si="48"/>
        <v>OK</v>
      </c>
      <c r="K1551" s="366" t="s">
        <v>1751</v>
      </c>
      <c r="L1551" s="366" t="s">
        <v>2266</v>
      </c>
      <c r="M1551" s="350" t="str">
        <f>IF($B1551="Portfolio","Portfolio",IFERROR(INDEX(DATA_ASSET_CLASSIFICATION!$B$8:$B$24,MATCH($C1551,DATA_ASSET_CLASSIFICATION!$A$8:$A$24,0)),"Review"))</f>
        <v>Constance Court</v>
      </c>
      <c r="N1551" s="350" t="str">
        <f ca="1">IF($B1551="Portfolio","Portfolio",IFERROR(INDEX(DATA_ASSET_CLASSIFICATION!$U$8:$U$24,MATCH($C1551,DATA_ASSET_CLASSIFICATION!$A$8:$A$24,0)),"Review"))</f>
        <v>Refi Watch</v>
      </c>
      <c r="O1551" s="350" t="str">
        <f ca="1">IF($B1551="Portfolio","Portfolio",IFERROR(INDEX(DATA_ASSET_CLASSIFICATION!$AB$8:$AB$13,MATCH($N1551,DATA_ASSET_CLASSIFICATION!$AA$8:$AA$13,0)),"Review"))</f>
        <v>Bucket 2 · Legacy</v>
      </c>
      <c r="P1551" s="350" t="str">
        <f>IF($B1551="Portfolio","Portfolio",IFERROR(INDEX(DATA_ASSET_CLASSIFICATION!$C$8:$C$24,MATCH($C1551,DATA_ASSET_CLASSIFICATION!$A$8:$A$24,0)),"Review"))</f>
        <v>Yes</v>
      </c>
      <c r="Q1551" s="350" t="str">
        <f t="shared" ca="1" si="49"/>
        <v>OK</v>
      </c>
    </row>
    <row r="1552" spans="1:17">
      <c r="A1552" s="366" t="s">
        <v>3508</v>
      </c>
      <c r="B1552" s="366" t="s">
        <v>231</v>
      </c>
      <c r="C1552" s="348" t="str">
        <f>DATA_PROPERTY_MASTER!$A$9</f>
        <v>BLD_CC</v>
      </c>
      <c r="D1552" s="380">
        <f>'00_PORTFOLIO ROLLUP'!K$12</f>
        <v>2031</v>
      </c>
      <c r="E1552" s="366" t="s">
        <v>1683</v>
      </c>
      <c r="F1552" s="366" t="s">
        <v>341</v>
      </c>
      <c r="G1552" s="348" t="str">
        <f>"'"&amp;$C1552&amp;"'!$E$24:$Y$24"</f>
        <v>'BLD_CC'!$E$24:$Y$24</v>
      </c>
      <c r="H1552" s="381">
        <f ca="1">IF(IFERROR(INDEX(DATA_PROPERTY_MASTER!$E$5:$E$21,MATCH($C1552,DATA_PROPERTY_MASTER!$A$5:$A$21,0))="Yes",FALSE),IFERROR(INDEX(INDIRECT("'"&amp;$C1552&amp;"'!$E$24:$Y$24"),1,MATCH($D1552,INDIRECT("'"&amp;$C1552&amp;"'!$E$12:$Y$12"),0)),0),0)</f>
        <v>555336.66274911654</v>
      </c>
      <c r="I1552" s="366" t="s">
        <v>1685</v>
      </c>
      <c r="J1552" s="348" t="str">
        <f t="shared" ca="1" si="48"/>
        <v>OK</v>
      </c>
      <c r="K1552" s="366" t="s">
        <v>1686</v>
      </c>
      <c r="L1552" s="366" t="s">
        <v>2234</v>
      </c>
      <c r="M1552" s="350" t="str">
        <f>IF($B1552="Portfolio","Portfolio",IFERROR(INDEX(DATA_ASSET_CLASSIFICATION!$B$8:$B$24,MATCH($C1552,DATA_ASSET_CLASSIFICATION!$A$8:$A$24,0)),"Review"))</f>
        <v>Constance Court</v>
      </c>
      <c r="N1552" s="350" t="str">
        <f ca="1">IF($B1552="Portfolio","Portfolio",IFERROR(INDEX(DATA_ASSET_CLASSIFICATION!$U$8:$U$24,MATCH($C1552,DATA_ASSET_CLASSIFICATION!$A$8:$A$24,0)),"Review"))</f>
        <v>Refi Watch</v>
      </c>
      <c r="O1552" s="350" t="str">
        <f ca="1">IF($B1552="Portfolio","Portfolio",IFERROR(INDEX(DATA_ASSET_CLASSIFICATION!$AB$8:$AB$13,MATCH($N1552,DATA_ASSET_CLASSIFICATION!$AA$8:$AA$13,0)),"Review"))</f>
        <v>Bucket 2 · Legacy</v>
      </c>
      <c r="P1552" s="350" t="str">
        <f>IF($B1552="Portfolio","Portfolio",IFERROR(INDEX(DATA_ASSET_CLASSIFICATION!$C$8:$C$24,MATCH($C1552,DATA_ASSET_CLASSIFICATION!$A$8:$A$24,0)),"Review"))</f>
        <v>Yes</v>
      </c>
      <c r="Q1552" s="350" t="str">
        <f t="shared" ca="1" si="49"/>
        <v>OK</v>
      </c>
    </row>
    <row r="1553" spans="1:17">
      <c r="A1553" s="366" t="s">
        <v>3509</v>
      </c>
      <c r="B1553" s="366" t="s">
        <v>231</v>
      </c>
      <c r="C1553" s="348" t="str">
        <f>DATA_PROPERTY_MASTER!$A$9</f>
        <v>BLD_CC</v>
      </c>
      <c r="D1553" s="380">
        <f>'00_PORTFOLIO ROLLUP'!K$12</f>
        <v>2031</v>
      </c>
      <c r="E1553" s="366" t="s">
        <v>1683</v>
      </c>
      <c r="F1553" s="366" t="s">
        <v>355</v>
      </c>
      <c r="G1553" s="348" t="str">
        <f>"'"&amp;$C1553&amp;"'!$E$39:$Y$39"</f>
        <v>'BLD_CC'!$E$39:$Y$39</v>
      </c>
      <c r="H1553" s="381">
        <f ca="1">IF(IFERROR(INDEX(DATA_PROPERTY_MASTER!$E$5:$E$21,MATCH($C1553,DATA_PROPERTY_MASTER!$A$5:$A$21,0))="Yes",FALSE),IFERROR(INDEX(INDIRECT("'"&amp;$C1553&amp;"'!$E$39:$Y$39"),1,MATCH($D1553,INDIRECT("'"&amp;$C1553&amp;"'!$E$12:$Y$12"),0)),0),0)</f>
        <v>261545.23708017875</v>
      </c>
      <c r="I1553" s="366" t="s">
        <v>1690</v>
      </c>
      <c r="J1553" s="348" t="str">
        <f t="shared" ca="1" si="48"/>
        <v>OK</v>
      </c>
      <c r="K1553" s="366" t="s">
        <v>1686</v>
      </c>
      <c r="L1553" s="366" t="s">
        <v>2236</v>
      </c>
      <c r="M1553" s="350" t="str">
        <f>IF($B1553="Portfolio","Portfolio",IFERROR(INDEX(DATA_ASSET_CLASSIFICATION!$B$8:$B$24,MATCH($C1553,DATA_ASSET_CLASSIFICATION!$A$8:$A$24,0)),"Review"))</f>
        <v>Constance Court</v>
      </c>
      <c r="N1553" s="350" t="str">
        <f ca="1">IF($B1553="Portfolio","Portfolio",IFERROR(INDEX(DATA_ASSET_CLASSIFICATION!$U$8:$U$24,MATCH($C1553,DATA_ASSET_CLASSIFICATION!$A$8:$A$24,0)),"Review"))</f>
        <v>Refi Watch</v>
      </c>
      <c r="O1553" s="350" t="str">
        <f ca="1">IF($B1553="Portfolio","Portfolio",IFERROR(INDEX(DATA_ASSET_CLASSIFICATION!$AB$8:$AB$13,MATCH($N1553,DATA_ASSET_CLASSIFICATION!$AA$8:$AA$13,0)),"Review"))</f>
        <v>Bucket 2 · Legacy</v>
      </c>
      <c r="P1553" s="350" t="str">
        <f>IF($B1553="Portfolio","Portfolio",IFERROR(INDEX(DATA_ASSET_CLASSIFICATION!$C$8:$C$24,MATCH($C1553,DATA_ASSET_CLASSIFICATION!$A$8:$A$24,0)),"Review"))</f>
        <v>Yes</v>
      </c>
      <c r="Q1553" s="350" t="str">
        <f t="shared" ca="1" si="49"/>
        <v>OK</v>
      </c>
    </row>
    <row r="1554" spans="1:17">
      <c r="A1554" s="366" t="s">
        <v>3510</v>
      </c>
      <c r="B1554" s="366" t="s">
        <v>231</v>
      </c>
      <c r="C1554" s="348" t="str">
        <f>DATA_PROPERTY_MASTER!$A$9</f>
        <v>BLD_CC</v>
      </c>
      <c r="D1554" s="380">
        <f>'00_PORTFOLIO ROLLUP'!K$12</f>
        <v>2031</v>
      </c>
      <c r="E1554" s="366" t="s">
        <v>1683</v>
      </c>
      <c r="F1554" s="366" t="s">
        <v>19</v>
      </c>
      <c r="G1554" s="348" t="str">
        <f>"'"&amp;$C1554&amp;"'!$E$41:$Y$41"</f>
        <v>'BLD_CC'!$E$41:$Y$41</v>
      </c>
      <c r="H1554" s="381">
        <f ca="1">IF(IFERROR(INDEX(DATA_PROPERTY_MASTER!$E$5:$E$21,MATCH($C1554,DATA_PROPERTY_MASTER!$A$5:$A$21,0))="Yes",FALSE),IFERROR(INDEX(INDIRECT("'"&amp;$C1554&amp;"'!$E$41:$Y$41"),1,MATCH($D1554,INDIRECT("'"&amp;$C1554&amp;"'!$E$12:$Y$12"),0)),0),0)</f>
        <v>293791.42566893779</v>
      </c>
      <c r="I1554" s="366" t="s">
        <v>1685</v>
      </c>
      <c r="J1554" s="348" t="str">
        <f t="shared" ca="1" si="48"/>
        <v>OK</v>
      </c>
      <c r="K1554" s="366" t="s">
        <v>1694</v>
      </c>
      <c r="L1554" s="366" t="s">
        <v>2238</v>
      </c>
      <c r="M1554" s="350" t="str">
        <f>IF($B1554="Portfolio","Portfolio",IFERROR(INDEX(DATA_ASSET_CLASSIFICATION!$B$8:$B$24,MATCH($C1554,DATA_ASSET_CLASSIFICATION!$A$8:$A$24,0)),"Review"))</f>
        <v>Constance Court</v>
      </c>
      <c r="N1554" s="350" t="str">
        <f ca="1">IF($B1554="Portfolio","Portfolio",IFERROR(INDEX(DATA_ASSET_CLASSIFICATION!$U$8:$U$24,MATCH($C1554,DATA_ASSET_CLASSIFICATION!$A$8:$A$24,0)),"Review"))</f>
        <v>Refi Watch</v>
      </c>
      <c r="O1554" s="350" t="str">
        <f ca="1">IF($B1554="Portfolio","Portfolio",IFERROR(INDEX(DATA_ASSET_CLASSIFICATION!$AB$8:$AB$13,MATCH($N1554,DATA_ASSET_CLASSIFICATION!$AA$8:$AA$13,0)),"Review"))</f>
        <v>Bucket 2 · Legacy</v>
      </c>
      <c r="P1554" s="350" t="str">
        <f>IF($B1554="Portfolio","Portfolio",IFERROR(INDEX(DATA_ASSET_CLASSIFICATION!$C$8:$C$24,MATCH($C1554,DATA_ASSET_CLASSIFICATION!$A$8:$A$24,0)),"Review"))</f>
        <v>Yes</v>
      </c>
      <c r="Q1554" s="350" t="str">
        <f t="shared" ca="1" si="49"/>
        <v>OK</v>
      </c>
    </row>
    <row r="1555" spans="1:17">
      <c r="A1555" s="366" t="s">
        <v>3511</v>
      </c>
      <c r="B1555" s="366" t="s">
        <v>231</v>
      </c>
      <c r="C1555" s="348" t="str">
        <f>DATA_PROPERTY_MASTER!$A$9</f>
        <v>BLD_CC</v>
      </c>
      <c r="D1555" s="380">
        <f>'00_PORTFOLIO ROLLUP'!K$12</f>
        <v>2031</v>
      </c>
      <c r="E1555" s="366" t="s">
        <v>1683</v>
      </c>
      <c r="F1555" s="366" t="s">
        <v>1697</v>
      </c>
      <c r="G1555" s="348" t="str">
        <f>"'"&amp;$C1555&amp;"'!$E$44:$Y$44"</f>
        <v>'BLD_CC'!$E$44:$Y$44</v>
      </c>
      <c r="H1555" s="381">
        <f ca="1">IF(IFERROR(INDEX(DATA_PROPERTY_MASTER!$E$5:$E$21,MATCH($C1555,DATA_PROPERTY_MASTER!$A$5:$A$21,0))="Yes",FALSE),IFERROR(INDEX(INDIRECT("'"&amp;$C1555&amp;"'!$E$44:$Y$44"),1,MATCH($D1555,INDIRECT("'"&amp;$C1555&amp;"'!$E$12:$Y$12"),0)),0),0)</f>
        <v>5743.4283382464</v>
      </c>
      <c r="I1555" s="366" t="s">
        <v>1690</v>
      </c>
      <c r="J1555" s="348" t="str">
        <f t="shared" ca="1" si="48"/>
        <v>OK</v>
      </c>
      <c r="K1555" s="366" t="s">
        <v>1699</v>
      </c>
      <c r="L1555" s="366" t="s">
        <v>2240</v>
      </c>
      <c r="M1555" s="350" t="str">
        <f>IF($B1555="Portfolio","Portfolio",IFERROR(INDEX(DATA_ASSET_CLASSIFICATION!$B$8:$B$24,MATCH($C1555,DATA_ASSET_CLASSIFICATION!$A$8:$A$24,0)),"Review"))</f>
        <v>Constance Court</v>
      </c>
      <c r="N1555" s="350" t="str">
        <f ca="1">IF($B1555="Portfolio","Portfolio",IFERROR(INDEX(DATA_ASSET_CLASSIFICATION!$U$8:$U$24,MATCH($C1555,DATA_ASSET_CLASSIFICATION!$A$8:$A$24,0)),"Review"))</f>
        <v>Refi Watch</v>
      </c>
      <c r="O1555" s="350" t="str">
        <f ca="1">IF($B1555="Portfolio","Portfolio",IFERROR(INDEX(DATA_ASSET_CLASSIFICATION!$AB$8:$AB$13,MATCH($N1555,DATA_ASSET_CLASSIFICATION!$AA$8:$AA$13,0)),"Review"))</f>
        <v>Bucket 2 · Legacy</v>
      </c>
      <c r="P1555" s="350" t="str">
        <f>IF($B1555="Portfolio","Portfolio",IFERROR(INDEX(DATA_ASSET_CLASSIFICATION!$C$8:$C$24,MATCH($C1555,DATA_ASSET_CLASSIFICATION!$A$8:$A$24,0)),"Review"))</f>
        <v>Yes</v>
      </c>
      <c r="Q1555" s="350" t="str">
        <f t="shared" ca="1" si="49"/>
        <v>OK</v>
      </c>
    </row>
    <row r="1556" spans="1:17">
      <c r="A1556" s="366" t="s">
        <v>3512</v>
      </c>
      <c r="B1556" s="366" t="s">
        <v>231</v>
      </c>
      <c r="C1556" s="348" t="str">
        <f>DATA_PROPERTY_MASTER!$A$9</f>
        <v>BLD_CC</v>
      </c>
      <c r="D1556" s="380">
        <f>'00_PORTFOLIO ROLLUP'!K$12</f>
        <v>2031</v>
      </c>
      <c r="E1556" s="366" t="s">
        <v>1683</v>
      </c>
      <c r="F1556" s="366" t="s">
        <v>21</v>
      </c>
      <c r="G1556" s="348" t="str">
        <f>"'"&amp;$C1556&amp;"'!$E$45:$Y$45"</f>
        <v>'BLD_CC'!$E$45:$Y$45</v>
      </c>
      <c r="H1556" s="381">
        <f ca="1">IF(IFERROR(INDEX(DATA_PROPERTY_MASTER!$E$5:$E$21,MATCH($C1556,DATA_PROPERTY_MASTER!$A$5:$A$21,0))="Yes",FALSE),IFERROR(INDEX(INDIRECT("'"&amp;$C1556&amp;"'!$E$45:$Y$45"),1,MATCH($D1556,INDIRECT("'"&amp;$C1556&amp;"'!$E$12:$Y$12"),0)),0),0)</f>
        <v>288047.99733069137</v>
      </c>
      <c r="I1556" s="366" t="s">
        <v>1685</v>
      </c>
      <c r="J1556" s="348" t="str">
        <f t="shared" ca="1" si="48"/>
        <v>OK</v>
      </c>
      <c r="K1556" s="366" t="s">
        <v>1694</v>
      </c>
      <c r="L1556" s="366" t="s">
        <v>2242</v>
      </c>
      <c r="M1556" s="350" t="str">
        <f>IF($B1556="Portfolio","Portfolio",IFERROR(INDEX(DATA_ASSET_CLASSIFICATION!$B$8:$B$24,MATCH($C1556,DATA_ASSET_CLASSIFICATION!$A$8:$A$24,0)),"Review"))</f>
        <v>Constance Court</v>
      </c>
      <c r="N1556" s="350" t="str">
        <f ca="1">IF($B1556="Portfolio","Portfolio",IFERROR(INDEX(DATA_ASSET_CLASSIFICATION!$U$8:$U$24,MATCH($C1556,DATA_ASSET_CLASSIFICATION!$A$8:$A$24,0)),"Review"))</f>
        <v>Refi Watch</v>
      </c>
      <c r="O1556" s="350" t="str">
        <f ca="1">IF($B1556="Portfolio","Portfolio",IFERROR(INDEX(DATA_ASSET_CLASSIFICATION!$AB$8:$AB$13,MATCH($N1556,DATA_ASSET_CLASSIFICATION!$AA$8:$AA$13,0)),"Review"))</f>
        <v>Bucket 2 · Legacy</v>
      </c>
      <c r="P1556" s="350" t="str">
        <f>IF($B1556="Portfolio","Portfolio",IFERROR(INDEX(DATA_ASSET_CLASSIFICATION!$C$8:$C$24,MATCH($C1556,DATA_ASSET_CLASSIFICATION!$A$8:$A$24,0)),"Review"))</f>
        <v>Yes</v>
      </c>
      <c r="Q1556" s="350" t="str">
        <f t="shared" ca="1" si="49"/>
        <v>OK</v>
      </c>
    </row>
    <row r="1557" spans="1:17">
      <c r="A1557" s="366" t="s">
        <v>3513</v>
      </c>
      <c r="B1557" s="366" t="s">
        <v>231</v>
      </c>
      <c r="C1557" s="348" t="str">
        <f>DATA_PROPERTY_MASTER!$A$9</f>
        <v>BLD_CC</v>
      </c>
      <c r="D1557" s="380">
        <f>'00_PORTFOLIO ROLLUP'!K$12</f>
        <v>2031</v>
      </c>
      <c r="E1557" s="366" t="s">
        <v>23</v>
      </c>
      <c r="F1557" s="366" t="s">
        <v>23</v>
      </c>
      <c r="G1557" s="348" t="str">
        <f>"'"&amp;$C1557&amp;"'!$E$48:$Y$48"</f>
        <v>'BLD_CC'!$E$48:$Y$48</v>
      </c>
      <c r="H1557" s="381">
        <f ca="1">IF(IFERROR(INDEX(DATA_PROPERTY_MASTER!$E$5:$E$21,MATCH($C1557,DATA_PROPERTY_MASTER!$A$5:$A$21,0))="Yes",FALSE),IFERROR(INDEX(INDIRECT("'"&amp;$C1557&amp;"'!$E$48:$Y$48"),1,MATCH($D1557,INDIRECT("'"&amp;$C1557&amp;"'!$E$12:$Y$12"),0)),0),0)</f>
        <v>0</v>
      </c>
      <c r="I1557" s="366" t="s">
        <v>1690</v>
      </c>
      <c r="J1557" s="348" t="str">
        <f t="shared" ca="1" si="48"/>
        <v>OK</v>
      </c>
      <c r="K1557" s="366" t="s">
        <v>1706</v>
      </c>
      <c r="L1557" s="366" t="s">
        <v>2244</v>
      </c>
      <c r="M1557" s="350" t="str">
        <f>IF($B1557="Portfolio","Portfolio",IFERROR(INDEX(DATA_ASSET_CLASSIFICATION!$B$8:$B$24,MATCH($C1557,DATA_ASSET_CLASSIFICATION!$A$8:$A$24,0)),"Review"))</f>
        <v>Constance Court</v>
      </c>
      <c r="N1557" s="350" t="str">
        <f ca="1">IF($B1557="Portfolio","Portfolio",IFERROR(INDEX(DATA_ASSET_CLASSIFICATION!$U$8:$U$24,MATCH($C1557,DATA_ASSET_CLASSIFICATION!$A$8:$A$24,0)),"Review"))</f>
        <v>Refi Watch</v>
      </c>
      <c r="O1557" s="350" t="str">
        <f ca="1">IF($B1557="Portfolio","Portfolio",IFERROR(INDEX(DATA_ASSET_CLASSIFICATION!$AB$8:$AB$13,MATCH($N1557,DATA_ASSET_CLASSIFICATION!$AA$8:$AA$13,0)),"Review"))</f>
        <v>Bucket 2 · Legacy</v>
      </c>
      <c r="P1557" s="350" t="str">
        <f>IF($B1557="Portfolio","Portfolio",IFERROR(INDEX(DATA_ASSET_CLASSIFICATION!$C$8:$C$24,MATCH($C1557,DATA_ASSET_CLASSIFICATION!$A$8:$A$24,0)),"Review"))</f>
        <v>Yes</v>
      </c>
      <c r="Q1557" s="350" t="str">
        <f t="shared" ca="1" si="49"/>
        <v>OK</v>
      </c>
    </row>
    <row r="1558" spans="1:17">
      <c r="A1558" s="366" t="s">
        <v>3514</v>
      </c>
      <c r="B1558" s="366" t="s">
        <v>231</v>
      </c>
      <c r="C1558" s="348" t="str">
        <f>DATA_PROPERTY_MASTER!$A$9</f>
        <v>BLD_CC</v>
      </c>
      <c r="D1558" s="380">
        <f>'00_PORTFOLIO ROLLUP'!K$12</f>
        <v>2031</v>
      </c>
      <c r="E1558" s="366" t="s">
        <v>1683</v>
      </c>
      <c r="F1558" s="366" t="s">
        <v>25</v>
      </c>
      <c r="G1558" s="348" t="str">
        <f>"'"&amp;$C1558&amp;"'!$E$52:$Y$52"</f>
        <v>'BLD_CC'!$E$52:$Y$52</v>
      </c>
      <c r="H1558" s="381">
        <f ca="1">IF(IFERROR(INDEX(DATA_PROPERTY_MASTER!$E$5:$E$21,MATCH($C1558,DATA_PROPERTY_MASTER!$A$5:$A$21,0))="Yes",FALSE),IFERROR(INDEX(INDIRECT("'"&amp;$C1558&amp;"'!$E$52:$Y$52"),1,MATCH($D1558,INDIRECT("'"&amp;$C1558&amp;"'!$E$12:$Y$12"),0)),0),0)</f>
        <v>293791.42566893779</v>
      </c>
      <c r="I1558" s="366" t="s">
        <v>1685</v>
      </c>
      <c r="J1558" s="348" t="str">
        <f t="shared" ca="1" si="48"/>
        <v>OK</v>
      </c>
      <c r="K1558" s="366" t="s">
        <v>1710</v>
      </c>
      <c r="L1558" s="366" t="s">
        <v>2246</v>
      </c>
      <c r="M1558" s="350" t="str">
        <f>IF($B1558="Portfolio","Portfolio",IFERROR(INDEX(DATA_ASSET_CLASSIFICATION!$B$8:$B$24,MATCH($C1558,DATA_ASSET_CLASSIFICATION!$A$8:$A$24,0)),"Review"))</f>
        <v>Constance Court</v>
      </c>
      <c r="N1558" s="350" t="str">
        <f ca="1">IF($B1558="Portfolio","Portfolio",IFERROR(INDEX(DATA_ASSET_CLASSIFICATION!$U$8:$U$24,MATCH($C1558,DATA_ASSET_CLASSIFICATION!$A$8:$A$24,0)),"Review"))</f>
        <v>Refi Watch</v>
      </c>
      <c r="O1558" s="350" t="str">
        <f ca="1">IF($B1558="Portfolio","Portfolio",IFERROR(INDEX(DATA_ASSET_CLASSIFICATION!$AB$8:$AB$13,MATCH($N1558,DATA_ASSET_CLASSIFICATION!$AA$8:$AA$13,0)),"Review"))</f>
        <v>Bucket 2 · Legacy</v>
      </c>
      <c r="P1558" s="350" t="str">
        <f>IF($B1558="Portfolio","Portfolio",IFERROR(INDEX(DATA_ASSET_CLASSIFICATION!$C$8:$C$24,MATCH($C1558,DATA_ASSET_CLASSIFICATION!$A$8:$A$24,0)),"Review"))</f>
        <v>Yes</v>
      </c>
      <c r="Q1558" s="350" t="str">
        <f t="shared" ca="1" si="49"/>
        <v>OK</v>
      </c>
    </row>
    <row r="1559" spans="1:17">
      <c r="A1559" s="366" t="s">
        <v>3515</v>
      </c>
      <c r="B1559" s="366" t="s">
        <v>231</v>
      </c>
      <c r="C1559" s="348" t="str">
        <f>DATA_PROPERTY_MASTER!$A$9</f>
        <v>BLD_CC</v>
      </c>
      <c r="D1559" s="380">
        <f>'00_PORTFOLIO ROLLUP'!K$12</f>
        <v>2031</v>
      </c>
      <c r="E1559" s="366" t="s">
        <v>1683</v>
      </c>
      <c r="F1559" s="366" t="s">
        <v>27</v>
      </c>
      <c r="G1559" s="348" t="str">
        <f>"'"&amp;$C1559&amp;"'!$E$54:$Y$54"</f>
        <v>'BLD_CC'!$E$54:$Y$54</v>
      </c>
      <c r="H1559" s="381">
        <f ca="1">IF(IFERROR(INDEX(DATA_PROPERTY_MASTER!$E$5:$E$21,MATCH($C1559,DATA_PROPERTY_MASTER!$A$5:$A$21,0))="Yes",FALSE),IFERROR(INDEX(INDIRECT("'"&amp;$C1559&amp;"'!$E$54:$Y$54"),1,MATCH($D1559,INDIRECT("'"&amp;$C1559&amp;"'!$E$12:$Y$12"),0)),0),0)</f>
        <v>176274.85540136267</v>
      </c>
      <c r="I1559" s="366" t="s">
        <v>1690</v>
      </c>
      <c r="J1559" s="348" t="str">
        <f t="shared" ca="1" si="48"/>
        <v>OK</v>
      </c>
      <c r="K1559" s="366" t="s">
        <v>1714</v>
      </c>
      <c r="L1559" s="366" t="s">
        <v>2248</v>
      </c>
      <c r="M1559" s="350" t="str">
        <f>IF($B1559="Portfolio","Portfolio",IFERROR(INDEX(DATA_ASSET_CLASSIFICATION!$B$8:$B$24,MATCH($C1559,DATA_ASSET_CLASSIFICATION!$A$8:$A$24,0)),"Review"))</f>
        <v>Constance Court</v>
      </c>
      <c r="N1559" s="350" t="str">
        <f ca="1">IF($B1559="Portfolio","Portfolio",IFERROR(INDEX(DATA_ASSET_CLASSIFICATION!$U$8:$U$24,MATCH($C1559,DATA_ASSET_CLASSIFICATION!$A$8:$A$24,0)),"Review"))</f>
        <v>Refi Watch</v>
      </c>
      <c r="O1559" s="350" t="str">
        <f ca="1">IF($B1559="Portfolio","Portfolio",IFERROR(INDEX(DATA_ASSET_CLASSIFICATION!$AB$8:$AB$13,MATCH($N1559,DATA_ASSET_CLASSIFICATION!$AA$8:$AA$13,0)),"Review"))</f>
        <v>Bucket 2 · Legacy</v>
      </c>
      <c r="P1559" s="350" t="str">
        <f>IF($B1559="Portfolio","Portfolio",IFERROR(INDEX(DATA_ASSET_CLASSIFICATION!$C$8:$C$24,MATCH($C1559,DATA_ASSET_CLASSIFICATION!$A$8:$A$24,0)),"Review"))</f>
        <v>Yes</v>
      </c>
      <c r="Q1559" s="350" t="str">
        <f t="shared" ca="1" si="49"/>
        <v>OK</v>
      </c>
    </row>
    <row r="1560" spans="1:17">
      <c r="A1560" s="366" t="s">
        <v>3516</v>
      </c>
      <c r="B1560" s="366" t="s">
        <v>231</v>
      </c>
      <c r="C1560" s="348" t="str">
        <f>DATA_PROPERTY_MASTER!$A$9</f>
        <v>BLD_CC</v>
      </c>
      <c r="D1560" s="380">
        <f>'00_PORTFOLIO ROLLUP'!K$12</f>
        <v>2031</v>
      </c>
      <c r="E1560" s="366" t="s">
        <v>1683</v>
      </c>
      <c r="F1560" s="366" t="s">
        <v>29</v>
      </c>
      <c r="G1560" s="348" t="str">
        <f>"'"&amp;$C1560&amp;"'!$E$56:$Y$56"</f>
        <v>'BLD_CC'!$E$56:$Y$56</v>
      </c>
      <c r="H1560" s="381">
        <f ca="1">IF(IFERROR(INDEX(DATA_PROPERTY_MASTER!$E$5:$E$21,MATCH($C1560,DATA_PROPERTY_MASTER!$A$5:$A$21,0))="Yes",FALSE),IFERROR(INDEX(INDIRECT("'"&amp;$C1560&amp;"'!$E$56:$Y$56"),1,MATCH($D1560,INDIRECT("'"&amp;$C1560&amp;"'!$E$12:$Y$12"),0)),0),0)</f>
        <v>117516.57026757512</v>
      </c>
      <c r="I1560" s="366" t="s">
        <v>1685</v>
      </c>
      <c r="J1560" s="348" t="str">
        <f t="shared" ca="1" si="48"/>
        <v>OK</v>
      </c>
      <c r="K1560" s="366" t="s">
        <v>1718</v>
      </c>
      <c r="L1560" s="366" t="s">
        <v>2250</v>
      </c>
      <c r="M1560" s="350" t="str">
        <f>IF($B1560="Portfolio","Portfolio",IFERROR(INDEX(DATA_ASSET_CLASSIFICATION!$B$8:$B$24,MATCH($C1560,DATA_ASSET_CLASSIFICATION!$A$8:$A$24,0)),"Review"))</f>
        <v>Constance Court</v>
      </c>
      <c r="N1560" s="350" t="str">
        <f ca="1">IF($B1560="Portfolio","Portfolio",IFERROR(INDEX(DATA_ASSET_CLASSIFICATION!$U$8:$U$24,MATCH($C1560,DATA_ASSET_CLASSIFICATION!$A$8:$A$24,0)),"Review"))</f>
        <v>Refi Watch</v>
      </c>
      <c r="O1560" s="350" t="str">
        <f ca="1">IF($B1560="Portfolio","Portfolio",IFERROR(INDEX(DATA_ASSET_CLASSIFICATION!$AB$8:$AB$13,MATCH($N1560,DATA_ASSET_CLASSIFICATION!$AA$8:$AA$13,0)),"Review"))</f>
        <v>Bucket 2 · Legacy</v>
      </c>
      <c r="P1560" s="350" t="str">
        <f>IF($B1560="Portfolio","Portfolio",IFERROR(INDEX(DATA_ASSET_CLASSIFICATION!$C$8:$C$24,MATCH($C1560,DATA_ASSET_CLASSIFICATION!$A$8:$A$24,0)),"Review"))</f>
        <v>Yes</v>
      </c>
      <c r="Q1560" s="350" t="str">
        <f t="shared" ca="1" si="49"/>
        <v>OK</v>
      </c>
    </row>
    <row r="1561" spans="1:17">
      <c r="A1561" s="366" t="s">
        <v>3517</v>
      </c>
      <c r="B1561" s="366" t="s">
        <v>231</v>
      </c>
      <c r="C1561" s="348" t="str">
        <f>DATA_PROPERTY_MASTER!$A$9</f>
        <v>BLD_CC</v>
      </c>
      <c r="D1561" s="380">
        <f>'00_PORTFOLIO ROLLUP'!K$12</f>
        <v>2031</v>
      </c>
      <c r="E1561" s="366" t="s">
        <v>1721</v>
      </c>
      <c r="F1561" s="366" t="s">
        <v>31</v>
      </c>
      <c r="G1561" s="348" t="str">
        <f>"'"&amp;$C1561&amp;"'!$E$61:$Y$61"</f>
        <v>'BLD_CC'!$E$61:$Y$61</v>
      </c>
      <c r="H1561" s="381">
        <f ca="1">IF(IFERROR(INDEX(DATA_PROPERTY_MASTER!$E$5:$E$21,MATCH($C1561,DATA_PROPERTY_MASTER!$A$5:$A$21,0))="Yes",FALSE),IFERROR(INDEX(INDIRECT("'"&amp;$C1561&amp;"'!$E$61:$Y$61"),1,MATCH($D1561,INDIRECT("'"&amp;$C1561&amp;"'!$E$12:$Y$12"),0)),0),0)</f>
        <v>0</v>
      </c>
      <c r="I1561" s="366" t="s">
        <v>1690</v>
      </c>
      <c r="J1561" s="348" t="str">
        <f t="shared" ca="1" si="48"/>
        <v>OK</v>
      </c>
      <c r="K1561" s="366" t="s">
        <v>1723</v>
      </c>
      <c r="L1561" s="366" t="s">
        <v>2252</v>
      </c>
      <c r="M1561" s="350" t="str">
        <f>IF($B1561="Portfolio","Portfolio",IFERROR(INDEX(DATA_ASSET_CLASSIFICATION!$B$8:$B$24,MATCH($C1561,DATA_ASSET_CLASSIFICATION!$A$8:$A$24,0)),"Review"))</f>
        <v>Constance Court</v>
      </c>
      <c r="N1561" s="350" t="str">
        <f ca="1">IF($B1561="Portfolio","Portfolio",IFERROR(INDEX(DATA_ASSET_CLASSIFICATION!$U$8:$U$24,MATCH($C1561,DATA_ASSET_CLASSIFICATION!$A$8:$A$24,0)),"Review"))</f>
        <v>Refi Watch</v>
      </c>
      <c r="O1561" s="350" t="str">
        <f ca="1">IF($B1561="Portfolio","Portfolio",IFERROR(INDEX(DATA_ASSET_CLASSIFICATION!$AB$8:$AB$13,MATCH($N1561,DATA_ASSET_CLASSIFICATION!$AA$8:$AA$13,0)),"Review"))</f>
        <v>Bucket 2 · Legacy</v>
      </c>
      <c r="P1561" s="350" t="str">
        <f>IF($B1561="Portfolio","Portfolio",IFERROR(INDEX(DATA_ASSET_CLASSIFICATION!$C$8:$C$24,MATCH($C1561,DATA_ASSET_CLASSIFICATION!$A$8:$A$24,0)),"Review"))</f>
        <v>Yes</v>
      </c>
      <c r="Q1561" s="350" t="str">
        <f t="shared" ca="1" si="49"/>
        <v>OK</v>
      </c>
    </row>
    <row r="1562" spans="1:17">
      <c r="A1562" s="366" t="s">
        <v>3518</v>
      </c>
      <c r="B1562" s="366" t="s">
        <v>231</v>
      </c>
      <c r="C1562" s="348" t="str">
        <f>DATA_PROPERTY_MASTER!$A$9</f>
        <v>BLD_CC</v>
      </c>
      <c r="D1562" s="380">
        <f>'00_PORTFOLIO ROLLUP'!K$12</f>
        <v>2031</v>
      </c>
      <c r="E1562" s="366" t="s">
        <v>1721</v>
      </c>
      <c r="F1562" s="366" t="s">
        <v>33</v>
      </c>
      <c r="G1562" s="348" t="str">
        <f>"'"&amp;$C1562&amp;"'!$E$62:$Y$62"</f>
        <v>'BLD_CC'!$E$62:$Y$62</v>
      </c>
      <c r="H1562" s="381">
        <f ca="1">IF(IFERROR(INDEX(DATA_PROPERTY_MASTER!$E$5:$E$21,MATCH($C1562,DATA_PROPERTY_MASTER!$A$5:$A$21,0))="Yes",FALSE),IFERROR(INDEX(INDIRECT("'"&amp;$C1562&amp;"'!$E$62:$Y$62"),1,MATCH($D1562,INDIRECT("'"&amp;$C1562&amp;"'!$E$12:$Y$12"),0)),0),0)</f>
        <v>0</v>
      </c>
      <c r="I1562" s="366" t="s">
        <v>1685</v>
      </c>
      <c r="J1562" s="348" t="str">
        <f t="shared" ca="1" si="48"/>
        <v>OK</v>
      </c>
      <c r="K1562" s="366" t="s">
        <v>1727</v>
      </c>
      <c r="L1562" s="366" t="s">
        <v>2254</v>
      </c>
      <c r="M1562" s="350" t="str">
        <f>IF($B1562="Portfolio","Portfolio",IFERROR(INDEX(DATA_ASSET_CLASSIFICATION!$B$8:$B$24,MATCH($C1562,DATA_ASSET_CLASSIFICATION!$A$8:$A$24,0)),"Review"))</f>
        <v>Constance Court</v>
      </c>
      <c r="N1562" s="350" t="str">
        <f ca="1">IF($B1562="Portfolio","Portfolio",IFERROR(INDEX(DATA_ASSET_CLASSIFICATION!$U$8:$U$24,MATCH($C1562,DATA_ASSET_CLASSIFICATION!$A$8:$A$24,0)),"Review"))</f>
        <v>Refi Watch</v>
      </c>
      <c r="O1562" s="350" t="str">
        <f ca="1">IF($B1562="Portfolio","Portfolio",IFERROR(INDEX(DATA_ASSET_CLASSIFICATION!$AB$8:$AB$13,MATCH($N1562,DATA_ASSET_CLASSIFICATION!$AA$8:$AA$13,0)),"Review"))</f>
        <v>Bucket 2 · Legacy</v>
      </c>
      <c r="P1562" s="350" t="str">
        <f>IF($B1562="Portfolio","Portfolio",IFERROR(INDEX(DATA_ASSET_CLASSIFICATION!$C$8:$C$24,MATCH($C1562,DATA_ASSET_CLASSIFICATION!$A$8:$A$24,0)),"Review"))</f>
        <v>Yes</v>
      </c>
      <c r="Q1562" s="350" t="str">
        <f t="shared" ca="1" si="49"/>
        <v>OK</v>
      </c>
    </row>
    <row r="1563" spans="1:17">
      <c r="A1563" s="366" t="s">
        <v>3519</v>
      </c>
      <c r="B1563" s="366" t="s">
        <v>231</v>
      </c>
      <c r="C1563" s="348" t="str">
        <f>DATA_PROPERTY_MASTER!$A$9</f>
        <v>BLD_CC</v>
      </c>
      <c r="D1563" s="380">
        <f>'00_PORTFOLIO ROLLUP'!K$12</f>
        <v>2031</v>
      </c>
      <c r="E1563" s="366" t="s">
        <v>1721</v>
      </c>
      <c r="F1563" s="366" t="s">
        <v>35</v>
      </c>
      <c r="G1563" s="348" t="str">
        <f>"'"&amp;$C1563&amp;"'!$E$63:$Y$63"</f>
        <v>'BLD_CC'!$E$63:$Y$63</v>
      </c>
      <c r="H1563" s="381">
        <f ca="1">IF(IFERROR(INDEX(DATA_PROPERTY_MASTER!$E$5:$E$21,MATCH($C1563,DATA_PROPERTY_MASTER!$A$5:$A$21,0))="Yes",FALSE),IFERROR(INDEX(INDIRECT("'"&amp;$C1563&amp;"'!$E$63:$Y$63"),1,MATCH($D1563,INDIRECT("'"&amp;$C1563&amp;"'!$E$12:$Y$12"),0)),0),0)</f>
        <v>0</v>
      </c>
      <c r="I1563" s="366" t="s">
        <v>1731</v>
      </c>
      <c r="J1563" s="348" t="str">
        <f t="shared" ca="1" si="48"/>
        <v>OK</v>
      </c>
      <c r="K1563" s="366" t="s">
        <v>1732</v>
      </c>
      <c r="L1563" s="366" t="s">
        <v>2256</v>
      </c>
      <c r="M1563" s="350" t="str">
        <f>IF($B1563="Portfolio","Portfolio",IFERROR(INDEX(DATA_ASSET_CLASSIFICATION!$B$8:$B$24,MATCH($C1563,DATA_ASSET_CLASSIFICATION!$A$8:$A$24,0)),"Review"))</f>
        <v>Constance Court</v>
      </c>
      <c r="N1563" s="350" t="str">
        <f ca="1">IF($B1563="Portfolio","Portfolio",IFERROR(INDEX(DATA_ASSET_CLASSIFICATION!$U$8:$U$24,MATCH($C1563,DATA_ASSET_CLASSIFICATION!$A$8:$A$24,0)),"Review"))</f>
        <v>Refi Watch</v>
      </c>
      <c r="O1563" s="350" t="str">
        <f ca="1">IF($B1563="Portfolio","Portfolio",IFERROR(INDEX(DATA_ASSET_CLASSIFICATION!$AB$8:$AB$13,MATCH($N1563,DATA_ASSET_CLASSIFICATION!$AA$8:$AA$13,0)),"Review"))</f>
        <v>Bucket 2 · Legacy</v>
      </c>
      <c r="P1563" s="350" t="str">
        <f>IF($B1563="Portfolio","Portfolio",IFERROR(INDEX(DATA_ASSET_CLASSIFICATION!$C$8:$C$24,MATCH($C1563,DATA_ASSET_CLASSIFICATION!$A$8:$A$24,0)),"Review"))</f>
        <v>Yes</v>
      </c>
      <c r="Q1563" s="350" t="str">
        <f t="shared" ca="1" si="49"/>
        <v>OK</v>
      </c>
    </row>
    <row r="1564" spans="1:17">
      <c r="A1564" s="366" t="s">
        <v>3520</v>
      </c>
      <c r="B1564" s="366" t="s">
        <v>231</v>
      </c>
      <c r="C1564" s="348" t="str">
        <f>DATA_PROPERTY_MASTER!$A$9</f>
        <v>BLD_CC</v>
      </c>
      <c r="D1564" s="380">
        <f>'00_PORTFOLIO ROLLUP'!K$12</f>
        <v>2031</v>
      </c>
      <c r="E1564" s="366" t="s">
        <v>1721</v>
      </c>
      <c r="F1564" s="366" t="s">
        <v>37</v>
      </c>
      <c r="G1564" s="348" t="str">
        <f>"'"&amp;$C1564&amp;"'!$E$63:$Y$63"</f>
        <v>'BLD_CC'!$E$63:$Y$63</v>
      </c>
      <c r="H1564" s="381">
        <f ca="1">IF(IFERROR(INDEX(DATA_PROPERTY_MASTER!$E$5:$E$21,MATCH($C1564,DATA_PROPERTY_MASTER!$A$5:$A$21,0))="Yes",FALSE),MAX(IFERROR(INDEX(INDIRECT("'"&amp;$C1564&amp;"'!$E$63:$Y$63"),1,MATCH($D1564,INDIRECT("'"&amp;$C1564&amp;"'!$E$12:$Y$12"),0)),0),0),0)</f>
        <v>0</v>
      </c>
      <c r="I1564" s="366" t="s">
        <v>1685</v>
      </c>
      <c r="J1564" s="348" t="str">
        <f t="shared" ca="1" si="48"/>
        <v>OK</v>
      </c>
      <c r="K1564" s="366" t="s">
        <v>1735</v>
      </c>
      <c r="L1564" s="366" t="s">
        <v>2258</v>
      </c>
      <c r="M1564" s="350" t="str">
        <f>IF($B1564="Portfolio","Portfolio",IFERROR(INDEX(DATA_ASSET_CLASSIFICATION!$B$8:$B$24,MATCH($C1564,DATA_ASSET_CLASSIFICATION!$A$8:$A$24,0)),"Review"))</f>
        <v>Constance Court</v>
      </c>
      <c r="N1564" s="350" t="str">
        <f ca="1">IF($B1564="Portfolio","Portfolio",IFERROR(INDEX(DATA_ASSET_CLASSIFICATION!$U$8:$U$24,MATCH($C1564,DATA_ASSET_CLASSIFICATION!$A$8:$A$24,0)),"Review"))</f>
        <v>Refi Watch</v>
      </c>
      <c r="O1564" s="350" t="str">
        <f ca="1">IF($B1564="Portfolio","Portfolio",IFERROR(INDEX(DATA_ASSET_CLASSIFICATION!$AB$8:$AB$13,MATCH($N1564,DATA_ASSET_CLASSIFICATION!$AA$8:$AA$13,0)),"Review"))</f>
        <v>Bucket 2 · Legacy</v>
      </c>
      <c r="P1564" s="350" t="str">
        <f>IF($B1564="Portfolio","Portfolio",IFERROR(INDEX(DATA_ASSET_CLASSIFICATION!$C$8:$C$24,MATCH($C1564,DATA_ASSET_CLASSIFICATION!$A$8:$A$24,0)),"Review"))</f>
        <v>Yes</v>
      </c>
      <c r="Q1564" s="350" t="str">
        <f t="shared" ca="1" si="49"/>
        <v>OK</v>
      </c>
    </row>
    <row r="1565" spans="1:17">
      <c r="A1565" s="366" t="s">
        <v>3521</v>
      </c>
      <c r="B1565" s="366" t="s">
        <v>231</v>
      </c>
      <c r="C1565" s="348" t="str">
        <f>DATA_PROPERTY_MASTER!$A$9</f>
        <v>BLD_CC</v>
      </c>
      <c r="D1565" s="380">
        <f>'00_PORTFOLIO ROLLUP'!K$12</f>
        <v>2031</v>
      </c>
      <c r="E1565" s="366" t="s">
        <v>1721</v>
      </c>
      <c r="F1565" s="366" t="s">
        <v>39</v>
      </c>
      <c r="G1565" s="348" t="str">
        <f>"'"&amp;$C1565&amp;"'!$E$63:$Y$63"</f>
        <v>'BLD_CC'!$E$63:$Y$63</v>
      </c>
      <c r="H1565" s="381">
        <f ca="1">IF(IFERROR(INDEX(DATA_PROPERTY_MASTER!$E$5:$E$21,MATCH($C1565,DATA_PROPERTY_MASTER!$A$5:$A$21,0))="Yes",FALSE),MAX(-IFERROR(INDEX(INDIRECT("'"&amp;$C1565&amp;"'!$E$63:$Y$63"),1,MATCH($D1565,INDIRECT("'"&amp;$C1565&amp;"'!$E$12:$Y$12"),0)),0),0),0)</f>
        <v>0</v>
      </c>
      <c r="I1565" s="366" t="s">
        <v>1690</v>
      </c>
      <c r="J1565" s="348" t="str">
        <f t="shared" ca="1" si="48"/>
        <v>OK</v>
      </c>
      <c r="K1565" s="366" t="s">
        <v>1738</v>
      </c>
      <c r="L1565" s="366" t="s">
        <v>2260</v>
      </c>
      <c r="M1565" s="350" t="str">
        <f>IF($B1565="Portfolio","Portfolio",IFERROR(INDEX(DATA_ASSET_CLASSIFICATION!$B$8:$B$24,MATCH($C1565,DATA_ASSET_CLASSIFICATION!$A$8:$A$24,0)),"Review"))</f>
        <v>Constance Court</v>
      </c>
      <c r="N1565" s="350" t="str">
        <f ca="1">IF($B1565="Portfolio","Portfolio",IFERROR(INDEX(DATA_ASSET_CLASSIFICATION!$U$8:$U$24,MATCH($C1565,DATA_ASSET_CLASSIFICATION!$A$8:$A$24,0)),"Review"))</f>
        <v>Refi Watch</v>
      </c>
      <c r="O1565" s="350" t="str">
        <f ca="1">IF($B1565="Portfolio","Portfolio",IFERROR(INDEX(DATA_ASSET_CLASSIFICATION!$AB$8:$AB$13,MATCH($N1565,DATA_ASSET_CLASSIFICATION!$AA$8:$AA$13,0)),"Review"))</f>
        <v>Bucket 2 · Legacy</v>
      </c>
      <c r="P1565" s="350" t="str">
        <f>IF($B1565="Portfolio","Portfolio",IFERROR(INDEX(DATA_ASSET_CLASSIFICATION!$C$8:$C$24,MATCH($C1565,DATA_ASSET_CLASSIFICATION!$A$8:$A$24,0)),"Review"))</f>
        <v>Yes</v>
      </c>
      <c r="Q1565" s="350" t="str">
        <f t="shared" ca="1" si="49"/>
        <v>OK</v>
      </c>
    </row>
    <row r="1566" spans="1:17">
      <c r="A1566" s="366" t="s">
        <v>3522</v>
      </c>
      <c r="B1566" s="366" t="s">
        <v>231</v>
      </c>
      <c r="C1566" s="348" t="str">
        <f>DATA_PROPERTY_MASTER!$A$9</f>
        <v>BLD_CC</v>
      </c>
      <c r="D1566" s="380">
        <f>'00_PORTFOLIO ROLLUP'!K$12</f>
        <v>2031</v>
      </c>
      <c r="E1566" s="366" t="s">
        <v>1741</v>
      </c>
      <c r="F1566" s="366" t="s">
        <v>41</v>
      </c>
      <c r="G1566" s="348" t="str">
        <f>"'"&amp;$C1566&amp;"'!rows 56 + positive row 63"</f>
        <v>'BLD_CC'!rows 56 + positive row 63</v>
      </c>
      <c r="H1566" s="381">
        <f ca="1">IF(IFERROR(INDEX(DATA_PROPERTY_MASTER!$E$5:$E$21,MATCH($C1566,DATA_PROPERTY_MASTER!$A$5:$A$21,0))="Yes",FALSE),IFERROR(INDEX(INDIRECT("'"&amp;$C1566&amp;"'!$E$56:$Y$56"),1,MATCH($D1566,INDIRECT("'"&amp;$C1566&amp;"'!$E$12:$Y$12"),0)),0)+MAX(IFERROR(INDEX(INDIRECT("'"&amp;$C1566&amp;"'!$E$63:$Y$63"),1,MATCH($D1566,INDIRECT("'"&amp;$C1566&amp;"'!$E$12:$Y$12"),0)),0),0),0)</f>
        <v>117516.57026757512</v>
      </c>
      <c r="I1566" s="366" t="s">
        <v>1685</v>
      </c>
      <c r="J1566" s="348" t="str">
        <f t="shared" ca="1" si="48"/>
        <v>OK</v>
      </c>
      <c r="K1566" s="366" t="s">
        <v>1742</v>
      </c>
      <c r="L1566" s="366" t="s">
        <v>2262</v>
      </c>
      <c r="M1566" s="350" t="str">
        <f>IF($B1566="Portfolio","Portfolio",IFERROR(INDEX(DATA_ASSET_CLASSIFICATION!$B$8:$B$24,MATCH($C1566,DATA_ASSET_CLASSIFICATION!$A$8:$A$24,0)),"Review"))</f>
        <v>Constance Court</v>
      </c>
      <c r="N1566" s="350" t="str">
        <f ca="1">IF($B1566="Portfolio","Portfolio",IFERROR(INDEX(DATA_ASSET_CLASSIFICATION!$U$8:$U$24,MATCH($C1566,DATA_ASSET_CLASSIFICATION!$A$8:$A$24,0)),"Review"))</f>
        <v>Refi Watch</v>
      </c>
      <c r="O1566" s="350" t="str">
        <f ca="1">IF($B1566="Portfolio","Portfolio",IFERROR(INDEX(DATA_ASSET_CLASSIFICATION!$AB$8:$AB$13,MATCH($N1566,DATA_ASSET_CLASSIFICATION!$AA$8:$AA$13,0)),"Review"))</f>
        <v>Bucket 2 · Legacy</v>
      </c>
      <c r="P1566" s="350" t="str">
        <f>IF($B1566="Portfolio","Portfolio",IFERROR(INDEX(DATA_ASSET_CLASSIFICATION!$C$8:$C$24,MATCH($C1566,DATA_ASSET_CLASSIFICATION!$A$8:$A$24,0)),"Review"))</f>
        <v>Yes</v>
      </c>
      <c r="Q1566" s="350" t="str">
        <f t="shared" ca="1" si="49"/>
        <v>OK</v>
      </c>
    </row>
    <row r="1567" spans="1:17">
      <c r="A1567" s="366" t="s">
        <v>3523</v>
      </c>
      <c r="B1567" s="366" t="s">
        <v>231</v>
      </c>
      <c r="C1567" s="348" t="str">
        <f>DATA_PROPERTY_MASTER!$A$9</f>
        <v>BLD_CC</v>
      </c>
      <c r="D1567" s="380">
        <f>'00_PORTFOLIO ROLLUP'!K$12</f>
        <v>2031</v>
      </c>
      <c r="E1567" s="366" t="s">
        <v>1741</v>
      </c>
      <c r="F1567" s="366" t="s">
        <v>43</v>
      </c>
      <c r="G1567" s="348" t="str">
        <f>"'"&amp;$C1567&amp;"'!$E$68:$Y$68"</f>
        <v>'BLD_CC'!$E$68:$Y$68</v>
      </c>
      <c r="H1567" s="381">
        <f ca="1">IF(IFERROR(INDEX(DATA_PROPERTY_MASTER!$E$5:$E$21,MATCH($C1567,DATA_PROPERTY_MASTER!$A$5:$A$21,0))="Yes",FALSE),IFERROR(INDEX(INDIRECT("'"&amp;$C1567&amp;"'!$E$68:$Y$68"),1,MATCH($D1567,INDIRECT("'"&amp;$C1567&amp;"'!$E$12:$Y$12"),0)),0),0)</f>
        <v>117516.57026757512</v>
      </c>
      <c r="I1567" s="366" t="s">
        <v>1731</v>
      </c>
      <c r="J1567" s="348" t="str">
        <f t="shared" ca="1" si="48"/>
        <v>OK</v>
      </c>
      <c r="K1567" s="366" t="s">
        <v>1746</v>
      </c>
      <c r="L1567" s="366" t="s">
        <v>2264</v>
      </c>
      <c r="M1567" s="350" t="str">
        <f>IF($B1567="Portfolio","Portfolio",IFERROR(INDEX(DATA_ASSET_CLASSIFICATION!$B$8:$B$24,MATCH($C1567,DATA_ASSET_CLASSIFICATION!$A$8:$A$24,0)),"Review"))</f>
        <v>Constance Court</v>
      </c>
      <c r="N1567" s="350" t="str">
        <f ca="1">IF($B1567="Portfolio","Portfolio",IFERROR(INDEX(DATA_ASSET_CLASSIFICATION!$U$8:$U$24,MATCH($C1567,DATA_ASSET_CLASSIFICATION!$A$8:$A$24,0)),"Review"))</f>
        <v>Refi Watch</v>
      </c>
      <c r="O1567" s="350" t="str">
        <f ca="1">IF($B1567="Portfolio","Portfolio",IFERROR(INDEX(DATA_ASSET_CLASSIFICATION!$AB$8:$AB$13,MATCH($N1567,DATA_ASSET_CLASSIFICATION!$AA$8:$AA$13,0)),"Review"))</f>
        <v>Bucket 2 · Legacy</v>
      </c>
      <c r="P1567" s="350" t="str">
        <f>IF($B1567="Portfolio","Portfolio",IFERROR(INDEX(DATA_ASSET_CLASSIFICATION!$C$8:$C$24,MATCH($C1567,DATA_ASSET_CLASSIFICATION!$A$8:$A$24,0)),"Review"))</f>
        <v>Yes</v>
      </c>
      <c r="Q1567" s="350" t="str">
        <f t="shared" ca="1" si="49"/>
        <v>OK</v>
      </c>
    </row>
    <row r="1568" spans="1:17">
      <c r="A1568" s="366" t="s">
        <v>3524</v>
      </c>
      <c r="B1568" s="366" t="s">
        <v>231</v>
      </c>
      <c r="C1568" s="348" t="str">
        <f>DATA_PROPERTY_MASTER!$A$9</f>
        <v>BLD_CC</v>
      </c>
      <c r="D1568" s="380">
        <f>'00_PORTFOLIO ROLLUP'!K$12</f>
        <v>2031</v>
      </c>
      <c r="E1568" s="366" t="s">
        <v>1741</v>
      </c>
      <c r="F1568" s="366" t="s">
        <v>1749</v>
      </c>
      <c r="G1568" s="348" t="str">
        <f>"'"&amp;$C1568&amp;"'!rows 56, 63, 68"</f>
        <v>'BLD_CC'!rows 56, 63, 68</v>
      </c>
      <c r="H1568" s="381">
        <f ca="1">IF(IFERROR(INDEX(DATA_PROPERTY_MASTER!$E$5:$E$21,MATCH($C1568,DATA_PROPERTY_MASTER!$A$5:$A$21,0))="Yes",FALSE),(IFERROR(INDEX(INDIRECT("'"&amp;$C1568&amp;"'!$E$56:$Y$56"),1,MATCH($D1568,INDIRECT("'"&amp;$C1568&amp;"'!$E$12:$Y$12"),0)),0)+MAX(IFERROR(INDEX(INDIRECT("'"&amp;$C1568&amp;"'!$E$63:$Y$63"),1,MATCH($D1568,INDIRECT("'"&amp;$C1568&amp;"'!$E$12:$Y$12"),0)),0),0))-(IFERROR(INDEX(INDIRECT("'"&amp;$C1568&amp;"'!$E$68:$Y$68"),1,MATCH($D1568,INDIRECT("'"&amp;$C1568&amp;"'!$E$12:$Y$12"),0)),0)),0)</f>
        <v>0</v>
      </c>
      <c r="I1568" s="366" t="s">
        <v>1750</v>
      </c>
      <c r="J1568" s="348" t="str">
        <f t="shared" ca="1" si="48"/>
        <v>OK</v>
      </c>
      <c r="K1568" s="366" t="s">
        <v>1751</v>
      </c>
      <c r="L1568" s="366" t="s">
        <v>2266</v>
      </c>
      <c r="M1568" s="350" t="str">
        <f>IF($B1568="Portfolio","Portfolio",IFERROR(INDEX(DATA_ASSET_CLASSIFICATION!$B$8:$B$24,MATCH($C1568,DATA_ASSET_CLASSIFICATION!$A$8:$A$24,0)),"Review"))</f>
        <v>Constance Court</v>
      </c>
      <c r="N1568" s="350" t="str">
        <f ca="1">IF($B1568="Portfolio","Portfolio",IFERROR(INDEX(DATA_ASSET_CLASSIFICATION!$U$8:$U$24,MATCH($C1568,DATA_ASSET_CLASSIFICATION!$A$8:$A$24,0)),"Review"))</f>
        <v>Refi Watch</v>
      </c>
      <c r="O1568" s="350" t="str">
        <f ca="1">IF($B1568="Portfolio","Portfolio",IFERROR(INDEX(DATA_ASSET_CLASSIFICATION!$AB$8:$AB$13,MATCH($N1568,DATA_ASSET_CLASSIFICATION!$AA$8:$AA$13,0)),"Review"))</f>
        <v>Bucket 2 · Legacy</v>
      </c>
      <c r="P1568" s="350" t="str">
        <f>IF($B1568="Portfolio","Portfolio",IFERROR(INDEX(DATA_ASSET_CLASSIFICATION!$C$8:$C$24,MATCH($C1568,DATA_ASSET_CLASSIFICATION!$A$8:$A$24,0)),"Review"))</f>
        <v>Yes</v>
      </c>
      <c r="Q1568" s="350" t="str">
        <f t="shared" ca="1" si="49"/>
        <v>OK</v>
      </c>
    </row>
    <row r="1569" spans="1:17">
      <c r="A1569" s="366" t="s">
        <v>3525</v>
      </c>
      <c r="B1569" s="366" t="s">
        <v>231</v>
      </c>
      <c r="C1569" s="348" t="str">
        <f>DATA_PROPERTY_MASTER!$A$9</f>
        <v>BLD_CC</v>
      </c>
      <c r="D1569" s="380">
        <f>'00_PORTFOLIO ROLLUP'!L$12</f>
        <v>2032</v>
      </c>
      <c r="E1569" s="366" t="s">
        <v>1683</v>
      </c>
      <c r="F1569" s="366" t="s">
        <v>341</v>
      </c>
      <c r="G1569" s="348" t="str">
        <f>"'"&amp;$C1569&amp;"'!$E$24:$Y$24"</f>
        <v>'BLD_CC'!$E$24:$Y$24</v>
      </c>
      <c r="H1569" s="381">
        <f ca="1">IF(IFERROR(INDEX(DATA_PROPERTY_MASTER!$E$5:$E$21,MATCH($C1569,DATA_PROPERTY_MASTER!$A$5:$A$21,0))="Yes",FALSE),IFERROR(INDEX(INDIRECT("'"&amp;$C1569&amp;"'!$E$24:$Y$24"),1,MATCH($D1569,INDIRECT("'"&amp;$C1569&amp;"'!$E$12:$Y$12"),0)),0),0)</f>
        <v>566443.39600409882</v>
      </c>
      <c r="I1569" s="366" t="s">
        <v>1685</v>
      </c>
      <c r="J1569" s="348" t="str">
        <f t="shared" ca="1" si="48"/>
        <v>OK</v>
      </c>
      <c r="K1569" s="366" t="s">
        <v>1686</v>
      </c>
      <c r="L1569" s="366" t="s">
        <v>2234</v>
      </c>
      <c r="M1569" s="350" t="str">
        <f>IF($B1569="Portfolio","Portfolio",IFERROR(INDEX(DATA_ASSET_CLASSIFICATION!$B$8:$B$24,MATCH($C1569,DATA_ASSET_CLASSIFICATION!$A$8:$A$24,0)),"Review"))</f>
        <v>Constance Court</v>
      </c>
      <c r="N1569" s="350" t="str">
        <f ca="1">IF($B1569="Portfolio","Portfolio",IFERROR(INDEX(DATA_ASSET_CLASSIFICATION!$U$8:$U$24,MATCH($C1569,DATA_ASSET_CLASSIFICATION!$A$8:$A$24,0)),"Review"))</f>
        <v>Refi Watch</v>
      </c>
      <c r="O1569" s="350" t="str">
        <f ca="1">IF($B1569="Portfolio","Portfolio",IFERROR(INDEX(DATA_ASSET_CLASSIFICATION!$AB$8:$AB$13,MATCH($N1569,DATA_ASSET_CLASSIFICATION!$AA$8:$AA$13,0)),"Review"))</f>
        <v>Bucket 2 · Legacy</v>
      </c>
      <c r="P1569" s="350" t="str">
        <f>IF($B1569="Portfolio","Portfolio",IFERROR(INDEX(DATA_ASSET_CLASSIFICATION!$C$8:$C$24,MATCH($C1569,DATA_ASSET_CLASSIFICATION!$A$8:$A$24,0)),"Review"))</f>
        <v>Yes</v>
      </c>
      <c r="Q1569" s="350" t="str">
        <f t="shared" ca="1" si="49"/>
        <v>OK</v>
      </c>
    </row>
    <row r="1570" spans="1:17">
      <c r="A1570" s="366" t="s">
        <v>3526</v>
      </c>
      <c r="B1570" s="366" t="s">
        <v>231</v>
      </c>
      <c r="C1570" s="348" t="str">
        <f>DATA_PROPERTY_MASTER!$A$9</f>
        <v>BLD_CC</v>
      </c>
      <c r="D1570" s="380">
        <f>'00_PORTFOLIO ROLLUP'!L$12</f>
        <v>2032</v>
      </c>
      <c r="E1570" s="366" t="s">
        <v>1683</v>
      </c>
      <c r="F1570" s="366" t="s">
        <v>355</v>
      </c>
      <c r="G1570" s="348" t="str">
        <f>"'"&amp;$C1570&amp;"'!$E$39:$Y$39"</f>
        <v>'BLD_CC'!$E$39:$Y$39</v>
      </c>
      <c r="H1570" s="381">
        <f ca="1">IF(IFERROR(INDEX(DATA_PROPERTY_MASTER!$E$5:$E$21,MATCH($C1570,DATA_PROPERTY_MASTER!$A$5:$A$21,0))="Yes",FALSE),IFERROR(INDEX(INDIRECT("'"&amp;$C1570&amp;"'!$E$39:$Y$39"),1,MATCH($D1570,INDIRECT("'"&amp;$C1570&amp;"'!$E$12:$Y$12"),0)),0),0)</f>
        <v>272007.04656338593</v>
      </c>
      <c r="I1570" s="366" t="s">
        <v>1690</v>
      </c>
      <c r="J1570" s="348" t="str">
        <f t="shared" ca="1" si="48"/>
        <v>OK</v>
      </c>
      <c r="K1570" s="366" t="s">
        <v>1686</v>
      </c>
      <c r="L1570" s="366" t="s">
        <v>2236</v>
      </c>
      <c r="M1570" s="350" t="str">
        <f>IF($B1570="Portfolio","Portfolio",IFERROR(INDEX(DATA_ASSET_CLASSIFICATION!$B$8:$B$24,MATCH($C1570,DATA_ASSET_CLASSIFICATION!$A$8:$A$24,0)),"Review"))</f>
        <v>Constance Court</v>
      </c>
      <c r="N1570" s="350" t="str">
        <f ca="1">IF($B1570="Portfolio","Portfolio",IFERROR(INDEX(DATA_ASSET_CLASSIFICATION!$U$8:$U$24,MATCH($C1570,DATA_ASSET_CLASSIFICATION!$A$8:$A$24,0)),"Review"))</f>
        <v>Refi Watch</v>
      </c>
      <c r="O1570" s="350" t="str">
        <f ca="1">IF($B1570="Portfolio","Portfolio",IFERROR(INDEX(DATA_ASSET_CLASSIFICATION!$AB$8:$AB$13,MATCH($N1570,DATA_ASSET_CLASSIFICATION!$AA$8:$AA$13,0)),"Review"))</f>
        <v>Bucket 2 · Legacy</v>
      </c>
      <c r="P1570" s="350" t="str">
        <f>IF($B1570="Portfolio","Portfolio",IFERROR(INDEX(DATA_ASSET_CLASSIFICATION!$C$8:$C$24,MATCH($C1570,DATA_ASSET_CLASSIFICATION!$A$8:$A$24,0)),"Review"))</f>
        <v>Yes</v>
      </c>
      <c r="Q1570" s="350" t="str">
        <f t="shared" ca="1" si="49"/>
        <v>OK</v>
      </c>
    </row>
    <row r="1571" spans="1:17">
      <c r="A1571" s="366" t="s">
        <v>3527</v>
      </c>
      <c r="B1571" s="366" t="s">
        <v>231</v>
      </c>
      <c r="C1571" s="348" t="str">
        <f>DATA_PROPERTY_MASTER!$A$9</f>
        <v>BLD_CC</v>
      </c>
      <c r="D1571" s="380">
        <f>'00_PORTFOLIO ROLLUP'!L$12</f>
        <v>2032</v>
      </c>
      <c r="E1571" s="366" t="s">
        <v>1683</v>
      </c>
      <c r="F1571" s="366" t="s">
        <v>19</v>
      </c>
      <c r="G1571" s="348" t="str">
        <f>"'"&amp;$C1571&amp;"'!$E$41:$Y$41"</f>
        <v>'BLD_CC'!$E$41:$Y$41</v>
      </c>
      <c r="H1571" s="381">
        <f ca="1">IF(IFERROR(INDEX(DATA_PROPERTY_MASTER!$E$5:$E$21,MATCH($C1571,DATA_PROPERTY_MASTER!$A$5:$A$21,0))="Yes",FALSE),IFERROR(INDEX(INDIRECT("'"&amp;$C1571&amp;"'!$E$41:$Y$41"),1,MATCH($D1571,INDIRECT("'"&amp;$C1571&amp;"'!$E$12:$Y$12"),0)),0),0)</f>
        <v>294436.34944071289</v>
      </c>
      <c r="I1571" s="366" t="s">
        <v>1685</v>
      </c>
      <c r="J1571" s="348" t="str">
        <f t="shared" ca="1" si="48"/>
        <v>OK</v>
      </c>
      <c r="K1571" s="366" t="s">
        <v>1694</v>
      </c>
      <c r="L1571" s="366" t="s">
        <v>2238</v>
      </c>
      <c r="M1571" s="350" t="str">
        <f>IF($B1571="Portfolio","Portfolio",IFERROR(INDEX(DATA_ASSET_CLASSIFICATION!$B$8:$B$24,MATCH($C1571,DATA_ASSET_CLASSIFICATION!$A$8:$A$24,0)),"Review"))</f>
        <v>Constance Court</v>
      </c>
      <c r="N1571" s="350" t="str">
        <f ca="1">IF($B1571="Portfolio","Portfolio",IFERROR(INDEX(DATA_ASSET_CLASSIFICATION!$U$8:$U$24,MATCH($C1571,DATA_ASSET_CLASSIFICATION!$A$8:$A$24,0)),"Review"))</f>
        <v>Refi Watch</v>
      </c>
      <c r="O1571" s="350" t="str">
        <f ca="1">IF($B1571="Portfolio","Portfolio",IFERROR(INDEX(DATA_ASSET_CLASSIFICATION!$AB$8:$AB$13,MATCH($N1571,DATA_ASSET_CLASSIFICATION!$AA$8:$AA$13,0)),"Review"))</f>
        <v>Bucket 2 · Legacy</v>
      </c>
      <c r="P1571" s="350" t="str">
        <f>IF($B1571="Portfolio","Portfolio",IFERROR(INDEX(DATA_ASSET_CLASSIFICATION!$C$8:$C$24,MATCH($C1571,DATA_ASSET_CLASSIFICATION!$A$8:$A$24,0)),"Review"))</f>
        <v>Yes</v>
      </c>
      <c r="Q1571" s="350" t="str">
        <f t="shared" ca="1" si="49"/>
        <v>OK</v>
      </c>
    </row>
    <row r="1572" spans="1:17">
      <c r="A1572" s="366" t="s">
        <v>3528</v>
      </c>
      <c r="B1572" s="366" t="s">
        <v>231</v>
      </c>
      <c r="C1572" s="348" t="str">
        <f>DATA_PROPERTY_MASTER!$A$9</f>
        <v>BLD_CC</v>
      </c>
      <c r="D1572" s="380">
        <f>'00_PORTFOLIO ROLLUP'!L$12</f>
        <v>2032</v>
      </c>
      <c r="E1572" s="366" t="s">
        <v>1683</v>
      </c>
      <c r="F1572" s="366" t="s">
        <v>1697</v>
      </c>
      <c r="G1572" s="348" t="str">
        <f>"'"&amp;$C1572&amp;"'!$E$44:$Y$44"</f>
        <v>'BLD_CC'!$E$44:$Y$44</v>
      </c>
      <c r="H1572" s="381">
        <f ca="1">IF(IFERROR(INDEX(DATA_PROPERTY_MASTER!$E$5:$E$21,MATCH($C1572,DATA_PROPERTY_MASTER!$A$5:$A$21,0))="Yes",FALSE),IFERROR(INDEX(INDIRECT("'"&amp;$C1572&amp;"'!$E$44:$Y$44"),1,MATCH($D1572,INDIRECT("'"&amp;$C1572&amp;"'!$E$12:$Y$12"),0)),0),0)</f>
        <v>5858.296905011327</v>
      </c>
      <c r="I1572" s="366" t="s">
        <v>1690</v>
      </c>
      <c r="J1572" s="348" t="str">
        <f t="shared" ca="1" si="48"/>
        <v>OK</v>
      </c>
      <c r="K1572" s="366" t="s">
        <v>1699</v>
      </c>
      <c r="L1572" s="366" t="s">
        <v>2240</v>
      </c>
      <c r="M1572" s="350" t="str">
        <f>IF($B1572="Portfolio","Portfolio",IFERROR(INDEX(DATA_ASSET_CLASSIFICATION!$B$8:$B$24,MATCH($C1572,DATA_ASSET_CLASSIFICATION!$A$8:$A$24,0)),"Review"))</f>
        <v>Constance Court</v>
      </c>
      <c r="N1572" s="350" t="str">
        <f ca="1">IF($B1572="Portfolio","Portfolio",IFERROR(INDEX(DATA_ASSET_CLASSIFICATION!$U$8:$U$24,MATCH($C1572,DATA_ASSET_CLASSIFICATION!$A$8:$A$24,0)),"Review"))</f>
        <v>Refi Watch</v>
      </c>
      <c r="O1572" s="350" t="str">
        <f ca="1">IF($B1572="Portfolio","Portfolio",IFERROR(INDEX(DATA_ASSET_CLASSIFICATION!$AB$8:$AB$13,MATCH($N1572,DATA_ASSET_CLASSIFICATION!$AA$8:$AA$13,0)),"Review"))</f>
        <v>Bucket 2 · Legacy</v>
      </c>
      <c r="P1572" s="350" t="str">
        <f>IF($B1572="Portfolio","Portfolio",IFERROR(INDEX(DATA_ASSET_CLASSIFICATION!$C$8:$C$24,MATCH($C1572,DATA_ASSET_CLASSIFICATION!$A$8:$A$24,0)),"Review"))</f>
        <v>Yes</v>
      </c>
      <c r="Q1572" s="350" t="str">
        <f t="shared" ca="1" si="49"/>
        <v>OK</v>
      </c>
    </row>
    <row r="1573" spans="1:17">
      <c r="A1573" s="366" t="s">
        <v>3529</v>
      </c>
      <c r="B1573" s="366" t="s">
        <v>231</v>
      </c>
      <c r="C1573" s="348" t="str">
        <f>DATA_PROPERTY_MASTER!$A$9</f>
        <v>BLD_CC</v>
      </c>
      <c r="D1573" s="380">
        <f>'00_PORTFOLIO ROLLUP'!L$12</f>
        <v>2032</v>
      </c>
      <c r="E1573" s="366" t="s">
        <v>1683</v>
      </c>
      <c r="F1573" s="366" t="s">
        <v>21</v>
      </c>
      <c r="G1573" s="348" t="str">
        <f>"'"&amp;$C1573&amp;"'!$E$45:$Y$45"</f>
        <v>'BLD_CC'!$E$45:$Y$45</v>
      </c>
      <c r="H1573" s="381">
        <f ca="1">IF(IFERROR(INDEX(DATA_PROPERTY_MASTER!$E$5:$E$21,MATCH($C1573,DATA_PROPERTY_MASTER!$A$5:$A$21,0))="Yes",FALSE),IFERROR(INDEX(INDIRECT("'"&amp;$C1573&amp;"'!$E$45:$Y$45"),1,MATCH($D1573,INDIRECT("'"&amp;$C1573&amp;"'!$E$12:$Y$12"),0)),0),0)</f>
        <v>288578.05253570154</v>
      </c>
      <c r="I1573" s="366" t="s">
        <v>1685</v>
      </c>
      <c r="J1573" s="348" t="str">
        <f t="shared" ca="1" si="48"/>
        <v>OK</v>
      </c>
      <c r="K1573" s="366" t="s">
        <v>1694</v>
      </c>
      <c r="L1573" s="366" t="s">
        <v>2242</v>
      </c>
      <c r="M1573" s="350" t="str">
        <f>IF($B1573="Portfolio","Portfolio",IFERROR(INDEX(DATA_ASSET_CLASSIFICATION!$B$8:$B$24,MATCH($C1573,DATA_ASSET_CLASSIFICATION!$A$8:$A$24,0)),"Review"))</f>
        <v>Constance Court</v>
      </c>
      <c r="N1573" s="350" t="str">
        <f ca="1">IF($B1573="Portfolio","Portfolio",IFERROR(INDEX(DATA_ASSET_CLASSIFICATION!$U$8:$U$24,MATCH($C1573,DATA_ASSET_CLASSIFICATION!$A$8:$A$24,0)),"Review"))</f>
        <v>Refi Watch</v>
      </c>
      <c r="O1573" s="350" t="str">
        <f ca="1">IF($B1573="Portfolio","Portfolio",IFERROR(INDEX(DATA_ASSET_CLASSIFICATION!$AB$8:$AB$13,MATCH($N1573,DATA_ASSET_CLASSIFICATION!$AA$8:$AA$13,0)),"Review"))</f>
        <v>Bucket 2 · Legacy</v>
      </c>
      <c r="P1573" s="350" t="str">
        <f>IF($B1573="Portfolio","Portfolio",IFERROR(INDEX(DATA_ASSET_CLASSIFICATION!$C$8:$C$24,MATCH($C1573,DATA_ASSET_CLASSIFICATION!$A$8:$A$24,0)),"Review"))</f>
        <v>Yes</v>
      </c>
      <c r="Q1573" s="350" t="str">
        <f t="shared" ca="1" si="49"/>
        <v>OK</v>
      </c>
    </row>
    <row r="1574" spans="1:17">
      <c r="A1574" s="366" t="s">
        <v>3530</v>
      </c>
      <c r="B1574" s="366" t="s">
        <v>231</v>
      </c>
      <c r="C1574" s="348" t="str">
        <f>DATA_PROPERTY_MASTER!$A$9</f>
        <v>BLD_CC</v>
      </c>
      <c r="D1574" s="380">
        <f>'00_PORTFOLIO ROLLUP'!L$12</f>
        <v>2032</v>
      </c>
      <c r="E1574" s="366" t="s">
        <v>23</v>
      </c>
      <c r="F1574" s="366" t="s">
        <v>23</v>
      </c>
      <c r="G1574" s="348" t="str">
        <f>"'"&amp;$C1574&amp;"'!$E$48:$Y$48"</f>
        <v>'BLD_CC'!$E$48:$Y$48</v>
      </c>
      <c r="H1574" s="381">
        <f ca="1">IF(IFERROR(INDEX(DATA_PROPERTY_MASTER!$E$5:$E$21,MATCH($C1574,DATA_PROPERTY_MASTER!$A$5:$A$21,0))="Yes",FALSE),IFERROR(INDEX(INDIRECT("'"&amp;$C1574&amp;"'!$E$48:$Y$48"),1,MATCH($D1574,INDIRECT("'"&amp;$C1574&amp;"'!$E$12:$Y$12"),0)),0),0)</f>
        <v>0</v>
      </c>
      <c r="I1574" s="366" t="s">
        <v>1690</v>
      </c>
      <c r="J1574" s="348" t="str">
        <f t="shared" ca="1" si="48"/>
        <v>OK</v>
      </c>
      <c r="K1574" s="366" t="s">
        <v>1706</v>
      </c>
      <c r="L1574" s="366" t="s">
        <v>2244</v>
      </c>
      <c r="M1574" s="350" t="str">
        <f>IF($B1574="Portfolio","Portfolio",IFERROR(INDEX(DATA_ASSET_CLASSIFICATION!$B$8:$B$24,MATCH($C1574,DATA_ASSET_CLASSIFICATION!$A$8:$A$24,0)),"Review"))</f>
        <v>Constance Court</v>
      </c>
      <c r="N1574" s="350" t="str">
        <f ca="1">IF($B1574="Portfolio","Portfolio",IFERROR(INDEX(DATA_ASSET_CLASSIFICATION!$U$8:$U$24,MATCH($C1574,DATA_ASSET_CLASSIFICATION!$A$8:$A$24,0)),"Review"))</f>
        <v>Refi Watch</v>
      </c>
      <c r="O1574" s="350" t="str">
        <f ca="1">IF($B1574="Portfolio","Portfolio",IFERROR(INDEX(DATA_ASSET_CLASSIFICATION!$AB$8:$AB$13,MATCH($N1574,DATA_ASSET_CLASSIFICATION!$AA$8:$AA$13,0)),"Review"))</f>
        <v>Bucket 2 · Legacy</v>
      </c>
      <c r="P1574" s="350" t="str">
        <f>IF($B1574="Portfolio","Portfolio",IFERROR(INDEX(DATA_ASSET_CLASSIFICATION!$C$8:$C$24,MATCH($C1574,DATA_ASSET_CLASSIFICATION!$A$8:$A$24,0)),"Review"))</f>
        <v>Yes</v>
      </c>
      <c r="Q1574" s="350" t="str">
        <f t="shared" ca="1" si="49"/>
        <v>OK</v>
      </c>
    </row>
    <row r="1575" spans="1:17">
      <c r="A1575" s="366" t="s">
        <v>3531</v>
      </c>
      <c r="B1575" s="366" t="s">
        <v>231</v>
      </c>
      <c r="C1575" s="348" t="str">
        <f>DATA_PROPERTY_MASTER!$A$9</f>
        <v>BLD_CC</v>
      </c>
      <c r="D1575" s="380">
        <f>'00_PORTFOLIO ROLLUP'!L$12</f>
        <v>2032</v>
      </c>
      <c r="E1575" s="366" t="s">
        <v>1683</v>
      </c>
      <c r="F1575" s="366" t="s">
        <v>25</v>
      </c>
      <c r="G1575" s="348" t="str">
        <f>"'"&amp;$C1575&amp;"'!$E$52:$Y$52"</f>
        <v>'BLD_CC'!$E$52:$Y$52</v>
      </c>
      <c r="H1575" s="381">
        <f ca="1">IF(IFERROR(INDEX(DATA_PROPERTY_MASTER!$E$5:$E$21,MATCH($C1575,DATA_PROPERTY_MASTER!$A$5:$A$21,0))="Yes",FALSE),IFERROR(INDEX(INDIRECT("'"&amp;$C1575&amp;"'!$E$52:$Y$52"),1,MATCH($D1575,INDIRECT("'"&amp;$C1575&amp;"'!$E$12:$Y$12"),0)),0),0)</f>
        <v>294436.34944071289</v>
      </c>
      <c r="I1575" s="366" t="s">
        <v>1685</v>
      </c>
      <c r="J1575" s="348" t="str">
        <f t="shared" ca="1" si="48"/>
        <v>OK</v>
      </c>
      <c r="K1575" s="366" t="s">
        <v>1710</v>
      </c>
      <c r="L1575" s="366" t="s">
        <v>2246</v>
      </c>
      <c r="M1575" s="350" t="str">
        <f>IF($B1575="Portfolio","Portfolio",IFERROR(INDEX(DATA_ASSET_CLASSIFICATION!$B$8:$B$24,MATCH($C1575,DATA_ASSET_CLASSIFICATION!$A$8:$A$24,0)),"Review"))</f>
        <v>Constance Court</v>
      </c>
      <c r="N1575" s="350" t="str">
        <f ca="1">IF($B1575="Portfolio","Portfolio",IFERROR(INDEX(DATA_ASSET_CLASSIFICATION!$U$8:$U$24,MATCH($C1575,DATA_ASSET_CLASSIFICATION!$A$8:$A$24,0)),"Review"))</f>
        <v>Refi Watch</v>
      </c>
      <c r="O1575" s="350" t="str">
        <f ca="1">IF($B1575="Portfolio","Portfolio",IFERROR(INDEX(DATA_ASSET_CLASSIFICATION!$AB$8:$AB$13,MATCH($N1575,DATA_ASSET_CLASSIFICATION!$AA$8:$AA$13,0)),"Review"))</f>
        <v>Bucket 2 · Legacy</v>
      </c>
      <c r="P1575" s="350" t="str">
        <f>IF($B1575="Portfolio","Portfolio",IFERROR(INDEX(DATA_ASSET_CLASSIFICATION!$C$8:$C$24,MATCH($C1575,DATA_ASSET_CLASSIFICATION!$A$8:$A$24,0)),"Review"))</f>
        <v>Yes</v>
      </c>
      <c r="Q1575" s="350" t="str">
        <f t="shared" ca="1" si="49"/>
        <v>OK</v>
      </c>
    </row>
    <row r="1576" spans="1:17">
      <c r="A1576" s="366" t="s">
        <v>3532</v>
      </c>
      <c r="B1576" s="366" t="s">
        <v>231</v>
      </c>
      <c r="C1576" s="348" t="str">
        <f>DATA_PROPERTY_MASTER!$A$9</f>
        <v>BLD_CC</v>
      </c>
      <c r="D1576" s="380">
        <f>'00_PORTFOLIO ROLLUP'!L$12</f>
        <v>2032</v>
      </c>
      <c r="E1576" s="366" t="s">
        <v>1683</v>
      </c>
      <c r="F1576" s="366" t="s">
        <v>27</v>
      </c>
      <c r="G1576" s="348" t="str">
        <f>"'"&amp;$C1576&amp;"'!$E$54:$Y$54"</f>
        <v>'BLD_CC'!$E$54:$Y$54</v>
      </c>
      <c r="H1576" s="381">
        <f ca="1">IF(IFERROR(INDEX(DATA_PROPERTY_MASTER!$E$5:$E$21,MATCH($C1576,DATA_PROPERTY_MASTER!$A$5:$A$21,0))="Yes",FALSE),IFERROR(INDEX(INDIRECT("'"&amp;$C1576&amp;"'!$E$54:$Y$54"),1,MATCH($D1576,INDIRECT("'"&amp;$C1576&amp;"'!$E$12:$Y$12"),0)),0),0)</f>
        <v>176661.80966442774</v>
      </c>
      <c r="I1576" s="366" t="s">
        <v>1690</v>
      </c>
      <c r="J1576" s="348" t="str">
        <f t="shared" ca="1" si="48"/>
        <v>OK</v>
      </c>
      <c r="K1576" s="366" t="s">
        <v>1714</v>
      </c>
      <c r="L1576" s="366" t="s">
        <v>2248</v>
      </c>
      <c r="M1576" s="350" t="str">
        <f>IF($B1576="Portfolio","Portfolio",IFERROR(INDEX(DATA_ASSET_CLASSIFICATION!$B$8:$B$24,MATCH($C1576,DATA_ASSET_CLASSIFICATION!$A$8:$A$24,0)),"Review"))</f>
        <v>Constance Court</v>
      </c>
      <c r="N1576" s="350" t="str">
        <f ca="1">IF($B1576="Portfolio","Portfolio",IFERROR(INDEX(DATA_ASSET_CLASSIFICATION!$U$8:$U$24,MATCH($C1576,DATA_ASSET_CLASSIFICATION!$A$8:$A$24,0)),"Review"))</f>
        <v>Refi Watch</v>
      </c>
      <c r="O1576" s="350" t="str">
        <f ca="1">IF($B1576="Portfolio","Portfolio",IFERROR(INDEX(DATA_ASSET_CLASSIFICATION!$AB$8:$AB$13,MATCH($N1576,DATA_ASSET_CLASSIFICATION!$AA$8:$AA$13,0)),"Review"))</f>
        <v>Bucket 2 · Legacy</v>
      </c>
      <c r="P1576" s="350" t="str">
        <f>IF($B1576="Portfolio","Portfolio",IFERROR(INDEX(DATA_ASSET_CLASSIFICATION!$C$8:$C$24,MATCH($C1576,DATA_ASSET_CLASSIFICATION!$A$8:$A$24,0)),"Review"))</f>
        <v>Yes</v>
      </c>
      <c r="Q1576" s="350" t="str">
        <f t="shared" ca="1" si="49"/>
        <v>OK</v>
      </c>
    </row>
    <row r="1577" spans="1:17">
      <c r="A1577" s="366" t="s">
        <v>3533</v>
      </c>
      <c r="B1577" s="366" t="s">
        <v>231</v>
      </c>
      <c r="C1577" s="348" t="str">
        <f>DATA_PROPERTY_MASTER!$A$9</f>
        <v>BLD_CC</v>
      </c>
      <c r="D1577" s="380">
        <f>'00_PORTFOLIO ROLLUP'!L$12</f>
        <v>2032</v>
      </c>
      <c r="E1577" s="366" t="s">
        <v>1683</v>
      </c>
      <c r="F1577" s="366" t="s">
        <v>29</v>
      </c>
      <c r="G1577" s="348" t="str">
        <f>"'"&amp;$C1577&amp;"'!$E$56:$Y$56"</f>
        <v>'BLD_CC'!$E$56:$Y$56</v>
      </c>
      <c r="H1577" s="381">
        <f ca="1">IF(IFERROR(INDEX(DATA_PROPERTY_MASTER!$E$5:$E$21,MATCH($C1577,DATA_PROPERTY_MASTER!$A$5:$A$21,0))="Yes",FALSE),IFERROR(INDEX(INDIRECT("'"&amp;$C1577&amp;"'!$E$56:$Y$56"),1,MATCH($D1577,INDIRECT("'"&amp;$C1577&amp;"'!$E$12:$Y$12"),0)),0),0)</f>
        <v>117774.53977628515</v>
      </c>
      <c r="I1577" s="366" t="s">
        <v>1685</v>
      </c>
      <c r="J1577" s="348" t="str">
        <f t="shared" ca="1" si="48"/>
        <v>OK</v>
      </c>
      <c r="K1577" s="366" t="s">
        <v>1718</v>
      </c>
      <c r="L1577" s="366" t="s">
        <v>2250</v>
      </c>
      <c r="M1577" s="350" t="str">
        <f>IF($B1577="Portfolio","Portfolio",IFERROR(INDEX(DATA_ASSET_CLASSIFICATION!$B$8:$B$24,MATCH($C1577,DATA_ASSET_CLASSIFICATION!$A$8:$A$24,0)),"Review"))</f>
        <v>Constance Court</v>
      </c>
      <c r="N1577" s="350" t="str">
        <f ca="1">IF($B1577="Portfolio","Portfolio",IFERROR(INDEX(DATA_ASSET_CLASSIFICATION!$U$8:$U$24,MATCH($C1577,DATA_ASSET_CLASSIFICATION!$A$8:$A$24,0)),"Review"))</f>
        <v>Refi Watch</v>
      </c>
      <c r="O1577" s="350" t="str">
        <f ca="1">IF($B1577="Portfolio","Portfolio",IFERROR(INDEX(DATA_ASSET_CLASSIFICATION!$AB$8:$AB$13,MATCH($N1577,DATA_ASSET_CLASSIFICATION!$AA$8:$AA$13,0)),"Review"))</f>
        <v>Bucket 2 · Legacy</v>
      </c>
      <c r="P1577" s="350" t="str">
        <f>IF($B1577="Portfolio","Portfolio",IFERROR(INDEX(DATA_ASSET_CLASSIFICATION!$C$8:$C$24,MATCH($C1577,DATA_ASSET_CLASSIFICATION!$A$8:$A$24,0)),"Review"))</f>
        <v>Yes</v>
      </c>
      <c r="Q1577" s="350" t="str">
        <f t="shared" ca="1" si="49"/>
        <v>OK</v>
      </c>
    </row>
    <row r="1578" spans="1:17">
      <c r="A1578" s="366" t="s">
        <v>3534</v>
      </c>
      <c r="B1578" s="366" t="s">
        <v>231</v>
      </c>
      <c r="C1578" s="348" t="str">
        <f>DATA_PROPERTY_MASTER!$A$9</f>
        <v>BLD_CC</v>
      </c>
      <c r="D1578" s="380">
        <f>'00_PORTFOLIO ROLLUP'!L$12</f>
        <v>2032</v>
      </c>
      <c r="E1578" s="366" t="s">
        <v>1721</v>
      </c>
      <c r="F1578" s="366" t="s">
        <v>31</v>
      </c>
      <c r="G1578" s="348" t="str">
        <f>"'"&amp;$C1578&amp;"'!$E$61:$Y$61"</f>
        <v>'BLD_CC'!$E$61:$Y$61</v>
      </c>
      <c r="H1578" s="381">
        <f ca="1">IF(IFERROR(INDEX(DATA_PROPERTY_MASTER!$E$5:$E$21,MATCH($C1578,DATA_PROPERTY_MASTER!$A$5:$A$21,0))="Yes",FALSE),IFERROR(INDEX(INDIRECT("'"&amp;$C1578&amp;"'!$E$61:$Y$61"),1,MATCH($D1578,INDIRECT("'"&amp;$C1578&amp;"'!$E$12:$Y$12"),0)),0),0)</f>
        <v>0</v>
      </c>
      <c r="I1578" s="366" t="s">
        <v>1690</v>
      </c>
      <c r="J1578" s="348" t="str">
        <f t="shared" ca="1" si="48"/>
        <v>OK</v>
      </c>
      <c r="K1578" s="366" t="s">
        <v>1723</v>
      </c>
      <c r="L1578" s="366" t="s">
        <v>2252</v>
      </c>
      <c r="M1578" s="350" t="str">
        <f>IF($B1578="Portfolio","Portfolio",IFERROR(INDEX(DATA_ASSET_CLASSIFICATION!$B$8:$B$24,MATCH($C1578,DATA_ASSET_CLASSIFICATION!$A$8:$A$24,0)),"Review"))</f>
        <v>Constance Court</v>
      </c>
      <c r="N1578" s="350" t="str">
        <f ca="1">IF($B1578="Portfolio","Portfolio",IFERROR(INDEX(DATA_ASSET_CLASSIFICATION!$U$8:$U$24,MATCH($C1578,DATA_ASSET_CLASSIFICATION!$A$8:$A$24,0)),"Review"))</f>
        <v>Refi Watch</v>
      </c>
      <c r="O1578" s="350" t="str">
        <f ca="1">IF($B1578="Portfolio","Portfolio",IFERROR(INDEX(DATA_ASSET_CLASSIFICATION!$AB$8:$AB$13,MATCH($N1578,DATA_ASSET_CLASSIFICATION!$AA$8:$AA$13,0)),"Review"))</f>
        <v>Bucket 2 · Legacy</v>
      </c>
      <c r="P1578" s="350" t="str">
        <f>IF($B1578="Portfolio","Portfolio",IFERROR(INDEX(DATA_ASSET_CLASSIFICATION!$C$8:$C$24,MATCH($C1578,DATA_ASSET_CLASSIFICATION!$A$8:$A$24,0)),"Review"))</f>
        <v>Yes</v>
      </c>
      <c r="Q1578" s="350" t="str">
        <f t="shared" ca="1" si="49"/>
        <v>OK</v>
      </c>
    </row>
    <row r="1579" spans="1:17">
      <c r="A1579" s="366" t="s">
        <v>3535</v>
      </c>
      <c r="B1579" s="366" t="s">
        <v>231</v>
      </c>
      <c r="C1579" s="348" t="str">
        <f>DATA_PROPERTY_MASTER!$A$9</f>
        <v>BLD_CC</v>
      </c>
      <c r="D1579" s="380">
        <f>'00_PORTFOLIO ROLLUP'!L$12</f>
        <v>2032</v>
      </c>
      <c r="E1579" s="366" t="s">
        <v>1721</v>
      </c>
      <c r="F1579" s="366" t="s">
        <v>33</v>
      </c>
      <c r="G1579" s="348" t="str">
        <f>"'"&amp;$C1579&amp;"'!$E$62:$Y$62"</f>
        <v>'BLD_CC'!$E$62:$Y$62</v>
      </c>
      <c r="H1579" s="381">
        <f ca="1">IF(IFERROR(INDEX(DATA_PROPERTY_MASTER!$E$5:$E$21,MATCH($C1579,DATA_PROPERTY_MASTER!$A$5:$A$21,0))="Yes",FALSE),IFERROR(INDEX(INDIRECT("'"&amp;$C1579&amp;"'!$E$62:$Y$62"),1,MATCH($D1579,INDIRECT("'"&amp;$C1579&amp;"'!$E$12:$Y$12"),0)),0),0)</f>
        <v>0</v>
      </c>
      <c r="I1579" s="366" t="s">
        <v>1685</v>
      </c>
      <c r="J1579" s="348" t="str">
        <f t="shared" ca="1" si="48"/>
        <v>OK</v>
      </c>
      <c r="K1579" s="366" t="s">
        <v>1727</v>
      </c>
      <c r="L1579" s="366" t="s">
        <v>2254</v>
      </c>
      <c r="M1579" s="350" t="str">
        <f>IF($B1579="Portfolio","Portfolio",IFERROR(INDEX(DATA_ASSET_CLASSIFICATION!$B$8:$B$24,MATCH($C1579,DATA_ASSET_CLASSIFICATION!$A$8:$A$24,0)),"Review"))</f>
        <v>Constance Court</v>
      </c>
      <c r="N1579" s="350" t="str">
        <f ca="1">IF($B1579="Portfolio","Portfolio",IFERROR(INDEX(DATA_ASSET_CLASSIFICATION!$U$8:$U$24,MATCH($C1579,DATA_ASSET_CLASSIFICATION!$A$8:$A$24,0)),"Review"))</f>
        <v>Refi Watch</v>
      </c>
      <c r="O1579" s="350" t="str">
        <f ca="1">IF($B1579="Portfolio","Portfolio",IFERROR(INDEX(DATA_ASSET_CLASSIFICATION!$AB$8:$AB$13,MATCH($N1579,DATA_ASSET_CLASSIFICATION!$AA$8:$AA$13,0)),"Review"))</f>
        <v>Bucket 2 · Legacy</v>
      </c>
      <c r="P1579" s="350" t="str">
        <f>IF($B1579="Portfolio","Portfolio",IFERROR(INDEX(DATA_ASSET_CLASSIFICATION!$C$8:$C$24,MATCH($C1579,DATA_ASSET_CLASSIFICATION!$A$8:$A$24,0)),"Review"))</f>
        <v>Yes</v>
      </c>
      <c r="Q1579" s="350" t="str">
        <f t="shared" ca="1" si="49"/>
        <v>OK</v>
      </c>
    </row>
    <row r="1580" spans="1:17">
      <c r="A1580" s="366" t="s">
        <v>3536</v>
      </c>
      <c r="B1580" s="366" t="s">
        <v>231</v>
      </c>
      <c r="C1580" s="348" t="str">
        <f>DATA_PROPERTY_MASTER!$A$9</f>
        <v>BLD_CC</v>
      </c>
      <c r="D1580" s="380">
        <f>'00_PORTFOLIO ROLLUP'!L$12</f>
        <v>2032</v>
      </c>
      <c r="E1580" s="366" t="s">
        <v>1721</v>
      </c>
      <c r="F1580" s="366" t="s">
        <v>35</v>
      </c>
      <c r="G1580" s="348" t="str">
        <f>"'"&amp;$C1580&amp;"'!$E$63:$Y$63"</f>
        <v>'BLD_CC'!$E$63:$Y$63</v>
      </c>
      <c r="H1580" s="381">
        <f ca="1">IF(IFERROR(INDEX(DATA_PROPERTY_MASTER!$E$5:$E$21,MATCH($C1580,DATA_PROPERTY_MASTER!$A$5:$A$21,0))="Yes",FALSE),IFERROR(INDEX(INDIRECT("'"&amp;$C1580&amp;"'!$E$63:$Y$63"),1,MATCH($D1580,INDIRECT("'"&amp;$C1580&amp;"'!$E$12:$Y$12"),0)),0),0)</f>
        <v>0</v>
      </c>
      <c r="I1580" s="366" t="s">
        <v>1731</v>
      </c>
      <c r="J1580" s="348" t="str">
        <f t="shared" ca="1" si="48"/>
        <v>OK</v>
      </c>
      <c r="K1580" s="366" t="s">
        <v>1732</v>
      </c>
      <c r="L1580" s="366" t="s">
        <v>2256</v>
      </c>
      <c r="M1580" s="350" t="str">
        <f>IF($B1580="Portfolio","Portfolio",IFERROR(INDEX(DATA_ASSET_CLASSIFICATION!$B$8:$B$24,MATCH($C1580,DATA_ASSET_CLASSIFICATION!$A$8:$A$24,0)),"Review"))</f>
        <v>Constance Court</v>
      </c>
      <c r="N1580" s="350" t="str">
        <f ca="1">IF($B1580="Portfolio","Portfolio",IFERROR(INDEX(DATA_ASSET_CLASSIFICATION!$U$8:$U$24,MATCH($C1580,DATA_ASSET_CLASSIFICATION!$A$8:$A$24,0)),"Review"))</f>
        <v>Refi Watch</v>
      </c>
      <c r="O1580" s="350" t="str">
        <f ca="1">IF($B1580="Portfolio","Portfolio",IFERROR(INDEX(DATA_ASSET_CLASSIFICATION!$AB$8:$AB$13,MATCH($N1580,DATA_ASSET_CLASSIFICATION!$AA$8:$AA$13,0)),"Review"))</f>
        <v>Bucket 2 · Legacy</v>
      </c>
      <c r="P1580" s="350" t="str">
        <f>IF($B1580="Portfolio","Portfolio",IFERROR(INDEX(DATA_ASSET_CLASSIFICATION!$C$8:$C$24,MATCH($C1580,DATA_ASSET_CLASSIFICATION!$A$8:$A$24,0)),"Review"))</f>
        <v>Yes</v>
      </c>
      <c r="Q1580" s="350" t="str">
        <f t="shared" ca="1" si="49"/>
        <v>OK</v>
      </c>
    </row>
    <row r="1581" spans="1:17">
      <c r="A1581" s="366" t="s">
        <v>3537</v>
      </c>
      <c r="B1581" s="366" t="s">
        <v>231</v>
      </c>
      <c r="C1581" s="348" t="str">
        <f>DATA_PROPERTY_MASTER!$A$9</f>
        <v>BLD_CC</v>
      </c>
      <c r="D1581" s="380">
        <f>'00_PORTFOLIO ROLLUP'!L$12</f>
        <v>2032</v>
      </c>
      <c r="E1581" s="366" t="s">
        <v>1721</v>
      </c>
      <c r="F1581" s="366" t="s">
        <v>37</v>
      </c>
      <c r="G1581" s="348" t="str">
        <f>"'"&amp;$C1581&amp;"'!$E$63:$Y$63"</f>
        <v>'BLD_CC'!$E$63:$Y$63</v>
      </c>
      <c r="H1581" s="381">
        <f ca="1">IF(IFERROR(INDEX(DATA_PROPERTY_MASTER!$E$5:$E$21,MATCH($C1581,DATA_PROPERTY_MASTER!$A$5:$A$21,0))="Yes",FALSE),MAX(IFERROR(INDEX(INDIRECT("'"&amp;$C1581&amp;"'!$E$63:$Y$63"),1,MATCH($D1581,INDIRECT("'"&amp;$C1581&amp;"'!$E$12:$Y$12"),0)),0),0),0)</f>
        <v>0</v>
      </c>
      <c r="I1581" s="366" t="s">
        <v>1685</v>
      </c>
      <c r="J1581" s="348" t="str">
        <f t="shared" ca="1" si="48"/>
        <v>OK</v>
      </c>
      <c r="K1581" s="366" t="s">
        <v>1735</v>
      </c>
      <c r="L1581" s="366" t="s">
        <v>2258</v>
      </c>
      <c r="M1581" s="350" t="str">
        <f>IF($B1581="Portfolio","Portfolio",IFERROR(INDEX(DATA_ASSET_CLASSIFICATION!$B$8:$B$24,MATCH($C1581,DATA_ASSET_CLASSIFICATION!$A$8:$A$24,0)),"Review"))</f>
        <v>Constance Court</v>
      </c>
      <c r="N1581" s="350" t="str">
        <f ca="1">IF($B1581="Portfolio","Portfolio",IFERROR(INDEX(DATA_ASSET_CLASSIFICATION!$U$8:$U$24,MATCH($C1581,DATA_ASSET_CLASSIFICATION!$A$8:$A$24,0)),"Review"))</f>
        <v>Refi Watch</v>
      </c>
      <c r="O1581" s="350" t="str">
        <f ca="1">IF($B1581="Portfolio","Portfolio",IFERROR(INDEX(DATA_ASSET_CLASSIFICATION!$AB$8:$AB$13,MATCH($N1581,DATA_ASSET_CLASSIFICATION!$AA$8:$AA$13,0)),"Review"))</f>
        <v>Bucket 2 · Legacy</v>
      </c>
      <c r="P1581" s="350" t="str">
        <f>IF($B1581="Portfolio","Portfolio",IFERROR(INDEX(DATA_ASSET_CLASSIFICATION!$C$8:$C$24,MATCH($C1581,DATA_ASSET_CLASSIFICATION!$A$8:$A$24,0)),"Review"))</f>
        <v>Yes</v>
      </c>
      <c r="Q1581" s="350" t="str">
        <f t="shared" ca="1" si="49"/>
        <v>OK</v>
      </c>
    </row>
    <row r="1582" spans="1:17">
      <c r="A1582" s="366" t="s">
        <v>3538</v>
      </c>
      <c r="B1582" s="366" t="s">
        <v>231</v>
      </c>
      <c r="C1582" s="348" t="str">
        <f>DATA_PROPERTY_MASTER!$A$9</f>
        <v>BLD_CC</v>
      </c>
      <c r="D1582" s="380">
        <f>'00_PORTFOLIO ROLLUP'!L$12</f>
        <v>2032</v>
      </c>
      <c r="E1582" s="366" t="s">
        <v>1721</v>
      </c>
      <c r="F1582" s="366" t="s">
        <v>39</v>
      </c>
      <c r="G1582" s="348" t="str">
        <f>"'"&amp;$C1582&amp;"'!$E$63:$Y$63"</f>
        <v>'BLD_CC'!$E$63:$Y$63</v>
      </c>
      <c r="H1582" s="381">
        <f ca="1">IF(IFERROR(INDEX(DATA_PROPERTY_MASTER!$E$5:$E$21,MATCH($C1582,DATA_PROPERTY_MASTER!$A$5:$A$21,0))="Yes",FALSE),MAX(-IFERROR(INDEX(INDIRECT("'"&amp;$C1582&amp;"'!$E$63:$Y$63"),1,MATCH($D1582,INDIRECT("'"&amp;$C1582&amp;"'!$E$12:$Y$12"),0)),0),0),0)</f>
        <v>0</v>
      </c>
      <c r="I1582" s="366" t="s">
        <v>1690</v>
      </c>
      <c r="J1582" s="348" t="str">
        <f t="shared" ca="1" si="48"/>
        <v>OK</v>
      </c>
      <c r="K1582" s="366" t="s">
        <v>1738</v>
      </c>
      <c r="L1582" s="366" t="s">
        <v>2260</v>
      </c>
      <c r="M1582" s="350" t="str">
        <f>IF($B1582="Portfolio","Portfolio",IFERROR(INDEX(DATA_ASSET_CLASSIFICATION!$B$8:$B$24,MATCH($C1582,DATA_ASSET_CLASSIFICATION!$A$8:$A$24,0)),"Review"))</f>
        <v>Constance Court</v>
      </c>
      <c r="N1582" s="350" t="str">
        <f ca="1">IF($B1582="Portfolio","Portfolio",IFERROR(INDEX(DATA_ASSET_CLASSIFICATION!$U$8:$U$24,MATCH($C1582,DATA_ASSET_CLASSIFICATION!$A$8:$A$24,0)),"Review"))</f>
        <v>Refi Watch</v>
      </c>
      <c r="O1582" s="350" t="str">
        <f ca="1">IF($B1582="Portfolio","Portfolio",IFERROR(INDEX(DATA_ASSET_CLASSIFICATION!$AB$8:$AB$13,MATCH($N1582,DATA_ASSET_CLASSIFICATION!$AA$8:$AA$13,0)),"Review"))</f>
        <v>Bucket 2 · Legacy</v>
      </c>
      <c r="P1582" s="350" t="str">
        <f>IF($B1582="Portfolio","Portfolio",IFERROR(INDEX(DATA_ASSET_CLASSIFICATION!$C$8:$C$24,MATCH($C1582,DATA_ASSET_CLASSIFICATION!$A$8:$A$24,0)),"Review"))</f>
        <v>Yes</v>
      </c>
      <c r="Q1582" s="350" t="str">
        <f t="shared" ca="1" si="49"/>
        <v>OK</v>
      </c>
    </row>
    <row r="1583" spans="1:17">
      <c r="A1583" s="366" t="s">
        <v>3539</v>
      </c>
      <c r="B1583" s="366" t="s">
        <v>231</v>
      </c>
      <c r="C1583" s="348" t="str">
        <f>DATA_PROPERTY_MASTER!$A$9</f>
        <v>BLD_CC</v>
      </c>
      <c r="D1583" s="380">
        <f>'00_PORTFOLIO ROLLUP'!L$12</f>
        <v>2032</v>
      </c>
      <c r="E1583" s="366" t="s">
        <v>1741</v>
      </c>
      <c r="F1583" s="366" t="s">
        <v>41</v>
      </c>
      <c r="G1583" s="348" t="str">
        <f>"'"&amp;$C1583&amp;"'!rows 56 + positive row 63"</f>
        <v>'BLD_CC'!rows 56 + positive row 63</v>
      </c>
      <c r="H1583" s="381">
        <f ca="1">IF(IFERROR(INDEX(DATA_PROPERTY_MASTER!$E$5:$E$21,MATCH($C1583,DATA_PROPERTY_MASTER!$A$5:$A$21,0))="Yes",FALSE),IFERROR(INDEX(INDIRECT("'"&amp;$C1583&amp;"'!$E$56:$Y$56"),1,MATCH($D1583,INDIRECT("'"&amp;$C1583&amp;"'!$E$12:$Y$12"),0)),0)+MAX(IFERROR(INDEX(INDIRECT("'"&amp;$C1583&amp;"'!$E$63:$Y$63"),1,MATCH($D1583,INDIRECT("'"&amp;$C1583&amp;"'!$E$12:$Y$12"),0)),0),0),0)</f>
        <v>117774.53977628515</v>
      </c>
      <c r="I1583" s="366" t="s">
        <v>1685</v>
      </c>
      <c r="J1583" s="348" t="str">
        <f t="shared" ca="1" si="48"/>
        <v>OK</v>
      </c>
      <c r="K1583" s="366" t="s">
        <v>1742</v>
      </c>
      <c r="L1583" s="366" t="s">
        <v>2262</v>
      </c>
      <c r="M1583" s="350" t="str">
        <f>IF($B1583="Portfolio","Portfolio",IFERROR(INDEX(DATA_ASSET_CLASSIFICATION!$B$8:$B$24,MATCH($C1583,DATA_ASSET_CLASSIFICATION!$A$8:$A$24,0)),"Review"))</f>
        <v>Constance Court</v>
      </c>
      <c r="N1583" s="350" t="str">
        <f ca="1">IF($B1583="Portfolio","Portfolio",IFERROR(INDEX(DATA_ASSET_CLASSIFICATION!$U$8:$U$24,MATCH($C1583,DATA_ASSET_CLASSIFICATION!$A$8:$A$24,0)),"Review"))</f>
        <v>Refi Watch</v>
      </c>
      <c r="O1583" s="350" t="str">
        <f ca="1">IF($B1583="Portfolio","Portfolio",IFERROR(INDEX(DATA_ASSET_CLASSIFICATION!$AB$8:$AB$13,MATCH($N1583,DATA_ASSET_CLASSIFICATION!$AA$8:$AA$13,0)),"Review"))</f>
        <v>Bucket 2 · Legacy</v>
      </c>
      <c r="P1583" s="350" t="str">
        <f>IF($B1583="Portfolio","Portfolio",IFERROR(INDEX(DATA_ASSET_CLASSIFICATION!$C$8:$C$24,MATCH($C1583,DATA_ASSET_CLASSIFICATION!$A$8:$A$24,0)),"Review"))</f>
        <v>Yes</v>
      </c>
      <c r="Q1583" s="350" t="str">
        <f t="shared" ca="1" si="49"/>
        <v>OK</v>
      </c>
    </row>
    <row r="1584" spans="1:17">
      <c r="A1584" s="366" t="s">
        <v>3540</v>
      </c>
      <c r="B1584" s="366" t="s">
        <v>231</v>
      </c>
      <c r="C1584" s="348" t="str">
        <f>DATA_PROPERTY_MASTER!$A$9</f>
        <v>BLD_CC</v>
      </c>
      <c r="D1584" s="380">
        <f>'00_PORTFOLIO ROLLUP'!L$12</f>
        <v>2032</v>
      </c>
      <c r="E1584" s="366" t="s">
        <v>1741</v>
      </c>
      <c r="F1584" s="366" t="s">
        <v>43</v>
      </c>
      <c r="G1584" s="348" t="str">
        <f>"'"&amp;$C1584&amp;"'!$E$68:$Y$68"</f>
        <v>'BLD_CC'!$E$68:$Y$68</v>
      </c>
      <c r="H1584" s="381">
        <f ca="1">IF(IFERROR(INDEX(DATA_PROPERTY_MASTER!$E$5:$E$21,MATCH($C1584,DATA_PROPERTY_MASTER!$A$5:$A$21,0))="Yes",FALSE),IFERROR(INDEX(INDIRECT("'"&amp;$C1584&amp;"'!$E$68:$Y$68"),1,MATCH($D1584,INDIRECT("'"&amp;$C1584&amp;"'!$E$12:$Y$12"),0)),0),0)</f>
        <v>117774.53977628515</v>
      </c>
      <c r="I1584" s="366" t="s">
        <v>1731</v>
      </c>
      <c r="J1584" s="348" t="str">
        <f t="shared" ca="1" si="48"/>
        <v>OK</v>
      </c>
      <c r="K1584" s="366" t="s">
        <v>1746</v>
      </c>
      <c r="L1584" s="366" t="s">
        <v>2264</v>
      </c>
      <c r="M1584" s="350" t="str">
        <f>IF($B1584="Portfolio","Portfolio",IFERROR(INDEX(DATA_ASSET_CLASSIFICATION!$B$8:$B$24,MATCH($C1584,DATA_ASSET_CLASSIFICATION!$A$8:$A$24,0)),"Review"))</f>
        <v>Constance Court</v>
      </c>
      <c r="N1584" s="350" t="str">
        <f ca="1">IF($B1584="Portfolio","Portfolio",IFERROR(INDEX(DATA_ASSET_CLASSIFICATION!$U$8:$U$24,MATCH($C1584,DATA_ASSET_CLASSIFICATION!$A$8:$A$24,0)),"Review"))</f>
        <v>Refi Watch</v>
      </c>
      <c r="O1584" s="350" t="str">
        <f ca="1">IF($B1584="Portfolio","Portfolio",IFERROR(INDEX(DATA_ASSET_CLASSIFICATION!$AB$8:$AB$13,MATCH($N1584,DATA_ASSET_CLASSIFICATION!$AA$8:$AA$13,0)),"Review"))</f>
        <v>Bucket 2 · Legacy</v>
      </c>
      <c r="P1584" s="350" t="str">
        <f>IF($B1584="Portfolio","Portfolio",IFERROR(INDEX(DATA_ASSET_CLASSIFICATION!$C$8:$C$24,MATCH($C1584,DATA_ASSET_CLASSIFICATION!$A$8:$A$24,0)),"Review"))</f>
        <v>Yes</v>
      </c>
      <c r="Q1584" s="350" t="str">
        <f t="shared" ca="1" si="49"/>
        <v>OK</v>
      </c>
    </row>
    <row r="1585" spans="1:17">
      <c r="A1585" s="366" t="s">
        <v>3541</v>
      </c>
      <c r="B1585" s="366" t="s">
        <v>231</v>
      </c>
      <c r="C1585" s="348" t="str">
        <f>DATA_PROPERTY_MASTER!$A$9</f>
        <v>BLD_CC</v>
      </c>
      <c r="D1585" s="380">
        <f>'00_PORTFOLIO ROLLUP'!L$12</f>
        <v>2032</v>
      </c>
      <c r="E1585" s="366" t="s">
        <v>1741</v>
      </c>
      <c r="F1585" s="366" t="s">
        <v>1749</v>
      </c>
      <c r="G1585" s="348" t="str">
        <f>"'"&amp;$C1585&amp;"'!rows 56, 63, 68"</f>
        <v>'BLD_CC'!rows 56, 63, 68</v>
      </c>
      <c r="H1585" s="381">
        <f ca="1">IF(IFERROR(INDEX(DATA_PROPERTY_MASTER!$E$5:$E$21,MATCH($C1585,DATA_PROPERTY_MASTER!$A$5:$A$21,0))="Yes",FALSE),(IFERROR(INDEX(INDIRECT("'"&amp;$C1585&amp;"'!$E$56:$Y$56"),1,MATCH($D1585,INDIRECT("'"&amp;$C1585&amp;"'!$E$12:$Y$12"),0)),0)+MAX(IFERROR(INDEX(INDIRECT("'"&amp;$C1585&amp;"'!$E$63:$Y$63"),1,MATCH($D1585,INDIRECT("'"&amp;$C1585&amp;"'!$E$12:$Y$12"),0)),0),0))-(IFERROR(INDEX(INDIRECT("'"&amp;$C1585&amp;"'!$E$68:$Y$68"),1,MATCH($D1585,INDIRECT("'"&amp;$C1585&amp;"'!$E$12:$Y$12"),0)),0)),0)</f>
        <v>0</v>
      </c>
      <c r="I1585" s="366" t="s">
        <v>1750</v>
      </c>
      <c r="J1585" s="348" t="str">
        <f t="shared" ca="1" si="48"/>
        <v>OK</v>
      </c>
      <c r="K1585" s="366" t="s">
        <v>1751</v>
      </c>
      <c r="L1585" s="366" t="s">
        <v>2266</v>
      </c>
      <c r="M1585" s="350" t="str">
        <f>IF($B1585="Portfolio","Portfolio",IFERROR(INDEX(DATA_ASSET_CLASSIFICATION!$B$8:$B$24,MATCH($C1585,DATA_ASSET_CLASSIFICATION!$A$8:$A$24,0)),"Review"))</f>
        <v>Constance Court</v>
      </c>
      <c r="N1585" s="350" t="str">
        <f ca="1">IF($B1585="Portfolio","Portfolio",IFERROR(INDEX(DATA_ASSET_CLASSIFICATION!$U$8:$U$24,MATCH($C1585,DATA_ASSET_CLASSIFICATION!$A$8:$A$24,0)),"Review"))</f>
        <v>Refi Watch</v>
      </c>
      <c r="O1585" s="350" t="str">
        <f ca="1">IF($B1585="Portfolio","Portfolio",IFERROR(INDEX(DATA_ASSET_CLASSIFICATION!$AB$8:$AB$13,MATCH($N1585,DATA_ASSET_CLASSIFICATION!$AA$8:$AA$13,0)),"Review"))</f>
        <v>Bucket 2 · Legacy</v>
      </c>
      <c r="P1585" s="350" t="str">
        <f>IF($B1585="Portfolio","Portfolio",IFERROR(INDEX(DATA_ASSET_CLASSIFICATION!$C$8:$C$24,MATCH($C1585,DATA_ASSET_CLASSIFICATION!$A$8:$A$24,0)),"Review"))</f>
        <v>Yes</v>
      </c>
      <c r="Q1585" s="350" t="str">
        <f t="shared" ca="1" si="49"/>
        <v>OK</v>
      </c>
    </row>
    <row r="1586" spans="1:17">
      <c r="A1586" s="366" t="s">
        <v>3542</v>
      </c>
      <c r="B1586" s="366" t="s">
        <v>231</v>
      </c>
      <c r="C1586" s="348" t="str">
        <f>DATA_PROPERTY_MASTER!$A$9</f>
        <v>BLD_CC</v>
      </c>
      <c r="D1586" s="380">
        <f>'00_PORTFOLIO ROLLUP'!M$12</f>
        <v>2033</v>
      </c>
      <c r="E1586" s="366" t="s">
        <v>1683</v>
      </c>
      <c r="F1586" s="366" t="s">
        <v>341</v>
      </c>
      <c r="G1586" s="348" t="str">
        <f>"'"&amp;$C1586&amp;"'!$E$24:$Y$24"</f>
        <v>'BLD_CC'!$E$24:$Y$24</v>
      </c>
      <c r="H1586" s="381">
        <f ca="1">IF(IFERROR(INDEX(DATA_PROPERTY_MASTER!$E$5:$E$21,MATCH($C1586,DATA_PROPERTY_MASTER!$A$5:$A$21,0))="Yes",FALSE),IFERROR(INDEX(INDIRECT("'"&amp;$C1586&amp;"'!$E$24:$Y$24"),1,MATCH($D1586,INDIRECT("'"&amp;$C1586&amp;"'!$E$12:$Y$12"),0)),0),0)</f>
        <v>577772.26392418065</v>
      </c>
      <c r="I1586" s="366" t="s">
        <v>1685</v>
      </c>
      <c r="J1586" s="348" t="str">
        <f t="shared" ca="1" si="48"/>
        <v>OK</v>
      </c>
      <c r="K1586" s="366" t="s">
        <v>1686</v>
      </c>
      <c r="L1586" s="366" t="s">
        <v>2234</v>
      </c>
      <c r="M1586" s="350" t="str">
        <f>IF($B1586="Portfolio","Portfolio",IFERROR(INDEX(DATA_ASSET_CLASSIFICATION!$B$8:$B$24,MATCH($C1586,DATA_ASSET_CLASSIFICATION!$A$8:$A$24,0)),"Review"))</f>
        <v>Constance Court</v>
      </c>
      <c r="N1586" s="350" t="str">
        <f ca="1">IF($B1586="Portfolio","Portfolio",IFERROR(INDEX(DATA_ASSET_CLASSIFICATION!$U$8:$U$24,MATCH($C1586,DATA_ASSET_CLASSIFICATION!$A$8:$A$24,0)),"Review"))</f>
        <v>Refi Watch</v>
      </c>
      <c r="O1586" s="350" t="str">
        <f ca="1">IF($B1586="Portfolio","Portfolio",IFERROR(INDEX(DATA_ASSET_CLASSIFICATION!$AB$8:$AB$13,MATCH($N1586,DATA_ASSET_CLASSIFICATION!$AA$8:$AA$13,0)),"Review"))</f>
        <v>Bucket 2 · Legacy</v>
      </c>
      <c r="P1586" s="350" t="str">
        <f>IF($B1586="Portfolio","Portfolio",IFERROR(INDEX(DATA_ASSET_CLASSIFICATION!$C$8:$C$24,MATCH($C1586,DATA_ASSET_CLASSIFICATION!$A$8:$A$24,0)),"Review"))</f>
        <v>Yes</v>
      </c>
      <c r="Q1586" s="350" t="str">
        <f t="shared" ca="1" si="49"/>
        <v>OK</v>
      </c>
    </row>
    <row r="1587" spans="1:17">
      <c r="A1587" s="366" t="s">
        <v>3543</v>
      </c>
      <c r="B1587" s="366" t="s">
        <v>231</v>
      </c>
      <c r="C1587" s="348" t="str">
        <f>DATA_PROPERTY_MASTER!$A$9</f>
        <v>BLD_CC</v>
      </c>
      <c r="D1587" s="380">
        <f>'00_PORTFOLIO ROLLUP'!M$12</f>
        <v>2033</v>
      </c>
      <c r="E1587" s="366" t="s">
        <v>1683</v>
      </c>
      <c r="F1587" s="366" t="s">
        <v>355</v>
      </c>
      <c r="G1587" s="348" t="str">
        <f>"'"&amp;$C1587&amp;"'!$E$39:$Y$39"</f>
        <v>'BLD_CC'!$E$39:$Y$39</v>
      </c>
      <c r="H1587" s="381">
        <f ca="1">IF(IFERROR(INDEX(DATA_PROPERTY_MASTER!$E$5:$E$21,MATCH($C1587,DATA_PROPERTY_MASTER!$A$5:$A$21,0))="Yes",FALSE),IFERROR(INDEX(INDIRECT("'"&amp;$C1587&amp;"'!$E$39:$Y$39"),1,MATCH($D1587,INDIRECT("'"&amp;$C1587&amp;"'!$E$12:$Y$12"),0)),0),0)</f>
        <v>282887.32842592138</v>
      </c>
      <c r="I1587" s="366" t="s">
        <v>1690</v>
      </c>
      <c r="J1587" s="348" t="str">
        <f t="shared" ca="1" si="48"/>
        <v>OK</v>
      </c>
      <c r="K1587" s="366" t="s">
        <v>1686</v>
      </c>
      <c r="L1587" s="366" t="s">
        <v>2236</v>
      </c>
      <c r="M1587" s="350" t="str">
        <f>IF($B1587="Portfolio","Portfolio",IFERROR(INDEX(DATA_ASSET_CLASSIFICATION!$B$8:$B$24,MATCH($C1587,DATA_ASSET_CLASSIFICATION!$A$8:$A$24,0)),"Review"))</f>
        <v>Constance Court</v>
      </c>
      <c r="N1587" s="350" t="str">
        <f ca="1">IF($B1587="Portfolio","Portfolio",IFERROR(INDEX(DATA_ASSET_CLASSIFICATION!$U$8:$U$24,MATCH($C1587,DATA_ASSET_CLASSIFICATION!$A$8:$A$24,0)),"Review"))</f>
        <v>Refi Watch</v>
      </c>
      <c r="O1587" s="350" t="str">
        <f ca="1">IF($B1587="Portfolio","Portfolio",IFERROR(INDEX(DATA_ASSET_CLASSIFICATION!$AB$8:$AB$13,MATCH($N1587,DATA_ASSET_CLASSIFICATION!$AA$8:$AA$13,0)),"Review"))</f>
        <v>Bucket 2 · Legacy</v>
      </c>
      <c r="P1587" s="350" t="str">
        <f>IF($B1587="Portfolio","Portfolio",IFERROR(INDEX(DATA_ASSET_CLASSIFICATION!$C$8:$C$24,MATCH($C1587,DATA_ASSET_CLASSIFICATION!$A$8:$A$24,0)),"Review"))</f>
        <v>Yes</v>
      </c>
      <c r="Q1587" s="350" t="str">
        <f t="shared" ca="1" si="49"/>
        <v>OK</v>
      </c>
    </row>
    <row r="1588" spans="1:17">
      <c r="A1588" s="366" t="s">
        <v>3544</v>
      </c>
      <c r="B1588" s="366" t="s">
        <v>231</v>
      </c>
      <c r="C1588" s="348" t="str">
        <f>DATA_PROPERTY_MASTER!$A$9</f>
        <v>BLD_CC</v>
      </c>
      <c r="D1588" s="380">
        <f>'00_PORTFOLIO ROLLUP'!M$12</f>
        <v>2033</v>
      </c>
      <c r="E1588" s="366" t="s">
        <v>1683</v>
      </c>
      <c r="F1588" s="366" t="s">
        <v>19</v>
      </c>
      <c r="G1588" s="348" t="str">
        <f>"'"&amp;$C1588&amp;"'!$E$41:$Y$41"</f>
        <v>'BLD_CC'!$E$41:$Y$41</v>
      </c>
      <c r="H1588" s="381">
        <f ca="1">IF(IFERROR(INDEX(DATA_PROPERTY_MASTER!$E$5:$E$21,MATCH($C1588,DATA_PROPERTY_MASTER!$A$5:$A$21,0))="Yes",FALSE),IFERROR(INDEX(INDIRECT("'"&amp;$C1588&amp;"'!$E$41:$Y$41"),1,MATCH($D1588,INDIRECT("'"&amp;$C1588&amp;"'!$E$12:$Y$12"),0)),0),0)</f>
        <v>294884.93549825926</v>
      </c>
      <c r="I1588" s="366" t="s">
        <v>1685</v>
      </c>
      <c r="J1588" s="348" t="str">
        <f t="shared" ca="1" si="48"/>
        <v>OK</v>
      </c>
      <c r="K1588" s="366" t="s">
        <v>1694</v>
      </c>
      <c r="L1588" s="366" t="s">
        <v>2238</v>
      </c>
      <c r="M1588" s="350" t="str">
        <f>IF($B1588="Portfolio","Portfolio",IFERROR(INDEX(DATA_ASSET_CLASSIFICATION!$B$8:$B$24,MATCH($C1588,DATA_ASSET_CLASSIFICATION!$A$8:$A$24,0)),"Review"))</f>
        <v>Constance Court</v>
      </c>
      <c r="N1588" s="350" t="str">
        <f ca="1">IF($B1588="Portfolio","Portfolio",IFERROR(INDEX(DATA_ASSET_CLASSIFICATION!$U$8:$U$24,MATCH($C1588,DATA_ASSET_CLASSIFICATION!$A$8:$A$24,0)),"Review"))</f>
        <v>Refi Watch</v>
      </c>
      <c r="O1588" s="350" t="str">
        <f ca="1">IF($B1588="Portfolio","Portfolio",IFERROR(INDEX(DATA_ASSET_CLASSIFICATION!$AB$8:$AB$13,MATCH($N1588,DATA_ASSET_CLASSIFICATION!$AA$8:$AA$13,0)),"Review"))</f>
        <v>Bucket 2 · Legacy</v>
      </c>
      <c r="P1588" s="350" t="str">
        <f>IF($B1588="Portfolio","Portfolio",IFERROR(INDEX(DATA_ASSET_CLASSIFICATION!$C$8:$C$24,MATCH($C1588,DATA_ASSET_CLASSIFICATION!$A$8:$A$24,0)),"Review"))</f>
        <v>Yes</v>
      </c>
      <c r="Q1588" s="350" t="str">
        <f t="shared" ca="1" si="49"/>
        <v>OK</v>
      </c>
    </row>
    <row r="1589" spans="1:17">
      <c r="A1589" s="366" t="s">
        <v>3545</v>
      </c>
      <c r="B1589" s="366" t="s">
        <v>231</v>
      </c>
      <c r="C1589" s="348" t="str">
        <f>DATA_PROPERTY_MASTER!$A$9</f>
        <v>BLD_CC</v>
      </c>
      <c r="D1589" s="380">
        <f>'00_PORTFOLIO ROLLUP'!M$12</f>
        <v>2033</v>
      </c>
      <c r="E1589" s="366" t="s">
        <v>1683</v>
      </c>
      <c r="F1589" s="366" t="s">
        <v>1697</v>
      </c>
      <c r="G1589" s="348" t="str">
        <f>"'"&amp;$C1589&amp;"'!$E$44:$Y$44"</f>
        <v>'BLD_CC'!$E$44:$Y$44</v>
      </c>
      <c r="H1589" s="381">
        <f ca="1">IF(IFERROR(INDEX(DATA_PROPERTY_MASTER!$E$5:$E$21,MATCH($C1589,DATA_PROPERTY_MASTER!$A$5:$A$21,0))="Yes",FALSE),IFERROR(INDEX(INDIRECT("'"&amp;$C1589&amp;"'!$E$44:$Y$44"),1,MATCH($D1589,INDIRECT("'"&amp;$C1589&amp;"'!$E$12:$Y$12"),0)),0),0)</f>
        <v>5975.4628431115543</v>
      </c>
      <c r="I1589" s="366" t="s">
        <v>1690</v>
      </c>
      <c r="J1589" s="348" t="str">
        <f t="shared" ca="1" si="48"/>
        <v>OK</v>
      </c>
      <c r="K1589" s="366" t="s">
        <v>1699</v>
      </c>
      <c r="L1589" s="366" t="s">
        <v>2240</v>
      </c>
      <c r="M1589" s="350" t="str">
        <f>IF($B1589="Portfolio","Portfolio",IFERROR(INDEX(DATA_ASSET_CLASSIFICATION!$B$8:$B$24,MATCH($C1589,DATA_ASSET_CLASSIFICATION!$A$8:$A$24,0)),"Review"))</f>
        <v>Constance Court</v>
      </c>
      <c r="N1589" s="350" t="str">
        <f ca="1">IF($B1589="Portfolio","Portfolio",IFERROR(INDEX(DATA_ASSET_CLASSIFICATION!$U$8:$U$24,MATCH($C1589,DATA_ASSET_CLASSIFICATION!$A$8:$A$24,0)),"Review"))</f>
        <v>Refi Watch</v>
      </c>
      <c r="O1589" s="350" t="str">
        <f ca="1">IF($B1589="Portfolio","Portfolio",IFERROR(INDEX(DATA_ASSET_CLASSIFICATION!$AB$8:$AB$13,MATCH($N1589,DATA_ASSET_CLASSIFICATION!$AA$8:$AA$13,0)),"Review"))</f>
        <v>Bucket 2 · Legacy</v>
      </c>
      <c r="P1589" s="350" t="str">
        <f>IF($B1589="Portfolio","Portfolio",IFERROR(INDEX(DATA_ASSET_CLASSIFICATION!$C$8:$C$24,MATCH($C1589,DATA_ASSET_CLASSIFICATION!$A$8:$A$24,0)),"Review"))</f>
        <v>Yes</v>
      </c>
      <c r="Q1589" s="350" t="str">
        <f t="shared" ca="1" si="49"/>
        <v>OK</v>
      </c>
    </row>
    <row r="1590" spans="1:17">
      <c r="A1590" s="366" t="s">
        <v>3546</v>
      </c>
      <c r="B1590" s="366" t="s">
        <v>231</v>
      </c>
      <c r="C1590" s="348" t="str">
        <f>DATA_PROPERTY_MASTER!$A$9</f>
        <v>BLD_CC</v>
      </c>
      <c r="D1590" s="380">
        <f>'00_PORTFOLIO ROLLUP'!M$12</f>
        <v>2033</v>
      </c>
      <c r="E1590" s="366" t="s">
        <v>1683</v>
      </c>
      <c r="F1590" s="366" t="s">
        <v>21</v>
      </c>
      <c r="G1590" s="348" t="str">
        <f>"'"&amp;$C1590&amp;"'!$E$45:$Y$45"</f>
        <v>'BLD_CC'!$E$45:$Y$45</v>
      </c>
      <c r="H1590" s="381">
        <f ca="1">IF(IFERROR(INDEX(DATA_PROPERTY_MASTER!$E$5:$E$21,MATCH($C1590,DATA_PROPERTY_MASTER!$A$5:$A$21,0))="Yes",FALSE),IFERROR(INDEX(INDIRECT("'"&amp;$C1590&amp;"'!$E$45:$Y$45"),1,MATCH($D1590,INDIRECT("'"&amp;$C1590&amp;"'!$E$12:$Y$12"),0)),0),0)</f>
        <v>288909.47265514772</v>
      </c>
      <c r="I1590" s="366" t="s">
        <v>1685</v>
      </c>
      <c r="J1590" s="348" t="str">
        <f t="shared" ca="1" si="48"/>
        <v>OK</v>
      </c>
      <c r="K1590" s="366" t="s">
        <v>1694</v>
      </c>
      <c r="L1590" s="366" t="s">
        <v>2242</v>
      </c>
      <c r="M1590" s="350" t="str">
        <f>IF($B1590="Portfolio","Portfolio",IFERROR(INDEX(DATA_ASSET_CLASSIFICATION!$B$8:$B$24,MATCH($C1590,DATA_ASSET_CLASSIFICATION!$A$8:$A$24,0)),"Review"))</f>
        <v>Constance Court</v>
      </c>
      <c r="N1590" s="350" t="str">
        <f ca="1">IF($B1590="Portfolio","Portfolio",IFERROR(INDEX(DATA_ASSET_CLASSIFICATION!$U$8:$U$24,MATCH($C1590,DATA_ASSET_CLASSIFICATION!$A$8:$A$24,0)),"Review"))</f>
        <v>Refi Watch</v>
      </c>
      <c r="O1590" s="350" t="str">
        <f ca="1">IF($B1590="Portfolio","Portfolio",IFERROR(INDEX(DATA_ASSET_CLASSIFICATION!$AB$8:$AB$13,MATCH($N1590,DATA_ASSET_CLASSIFICATION!$AA$8:$AA$13,0)),"Review"))</f>
        <v>Bucket 2 · Legacy</v>
      </c>
      <c r="P1590" s="350" t="str">
        <f>IF($B1590="Portfolio","Portfolio",IFERROR(INDEX(DATA_ASSET_CLASSIFICATION!$C$8:$C$24,MATCH($C1590,DATA_ASSET_CLASSIFICATION!$A$8:$A$24,0)),"Review"))</f>
        <v>Yes</v>
      </c>
      <c r="Q1590" s="350" t="str">
        <f t="shared" ca="1" si="49"/>
        <v>OK</v>
      </c>
    </row>
    <row r="1591" spans="1:17">
      <c r="A1591" s="366" t="s">
        <v>3547</v>
      </c>
      <c r="B1591" s="366" t="s">
        <v>231</v>
      </c>
      <c r="C1591" s="348" t="str">
        <f>DATA_PROPERTY_MASTER!$A$9</f>
        <v>BLD_CC</v>
      </c>
      <c r="D1591" s="380">
        <f>'00_PORTFOLIO ROLLUP'!M$12</f>
        <v>2033</v>
      </c>
      <c r="E1591" s="366" t="s">
        <v>23</v>
      </c>
      <c r="F1591" s="366" t="s">
        <v>23</v>
      </c>
      <c r="G1591" s="348" t="str">
        <f>"'"&amp;$C1591&amp;"'!$E$48:$Y$48"</f>
        <v>'BLD_CC'!$E$48:$Y$48</v>
      </c>
      <c r="H1591" s="381">
        <f ca="1">IF(IFERROR(INDEX(DATA_PROPERTY_MASTER!$E$5:$E$21,MATCH($C1591,DATA_PROPERTY_MASTER!$A$5:$A$21,0))="Yes",FALSE),IFERROR(INDEX(INDIRECT("'"&amp;$C1591&amp;"'!$E$48:$Y$48"),1,MATCH($D1591,INDIRECT("'"&amp;$C1591&amp;"'!$E$12:$Y$12"),0)),0),0)</f>
        <v>0</v>
      </c>
      <c r="I1591" s="366" t="s">
        <v>1690</v>
      </c>
      <c r="J1591" s="348" t="str">
        <f t="shared" ca="1" si="48"/>
        <v>OK</v>
      </c>
      <c r="K1591" s="366" t="s">
        <v>1706</v>
      </c>
      <c r="L1591" s="366" t="s">
        <v>2244</v>
      </c>
      <c r="M1591" s="350" t="str">
        <f>IF($B1591="Portfolio","Portfolio",IFERROR(INDEX(DATA_ASSET_CLASSIFICATION!$B$8:$B$24,MATCH($C1591,DATA_ASSET_CLASSIFICATION!$A$8:$A$24,0)),"Review"))</f>
        <v>Constance Court</v>
      </c>
      <c r="N1591" s="350" t="str">
        <f ca="1">IF($B1591="Portfolio","Portfolio",IFERROR(INDEX(DATA_ASSET_CLASSIFICATION!$U$8:$U$24,MATCH($C1591,DATA_ASSET_CLASSIFICATION!$A$8:$A$24,0)),"Review"))</f>
        <v>Refi Watch</v>
      </c>
      <c r="O1591" s="350" t="str">
        <f ca="1">IF($B1591="Portfolio","Portfolio",IFERROR(INDEX(DATA_ASSET_CLASSIFICATION!$AB$8:$AB$13,MATCH($N1591,DATA_ASSET_CLASSIFICATION!$AA$8:$AA$13,0)),"Review"))</f>
        <v>Bucket 2 · Legacy</v>
      </c>
      <c r="P1591" s="350" t="str">
        <f>IF($B1591="Portfolio","Portfolio",IFERROR(INDEX(DATA_ASSET_CLASSIFICATION!$C$8:$C$24,MATCH($C1591,DATA_ASSET_CLASSIFICATION!$A$8:$A$24,0)),"Review"))</f>
        <v>Yes</v>
      </c>
      <c r="Q1591" s="350" t="str">
        <f t="shared" ca="1" si="49"/>
        <v>OK</v>
      </c>
    </row>
    <row r="1592" spans="1:17">
      <c r="A1592" s="366" t="s">
        <v>3548</v>
      </c>
      <c r="B1592" s="366" t="s">
        <v>231</v>
      </c>
      <c r="C1592" s="348" t="str">
        <f>DATA_PROPERTY_MASTER!$A$9</f>
        <v>BLD_CC</v>
      </c>
      <c r="D1592" s="380">
        <f>'00_PORTFOLIO ROLLUP'!M$12</f>
        <v>2033</v>
      </c>
      <c r="E1592" s="366" t="s">
        <v>1683</v>
      </c>
      <c r="F1592" s="366" t="s">
        <v>25</v>
      </c>
      <c r="G1592" s="348" t="str">
        <f>"'"&amp;$C1592&amp;"'!$E$52:$Y$52"</f>
        <v>'BLD_CC'!$E$52:$Y$52</v>
      </c>
      <c r="H1592" s="381">
        <f ca="1">IF(IFERROR(INDEX(DATA_PROPERTY_MASTER!$E$5:$E$21,MATCH($C1592,DATA_PROPERTY_MASTER!$A$5:$A$21,0))="Yes",FALSE),IFERROR(INDEX(INDIRECT("'"&amp;$C1592&amp;"'!$E$52:$Y$52"),1,MATCH($D1592,INDIRECT("'"&amp;$C1592&amp;"'!$E$12:$Y$12"),0)),0),0)</f>
        <v>294884.93549825926</v>
      </c>
      <c r="I1592" s="366" t="s">
        <v>1685</v>
      </c>
      <c r="J1592" s="348" t="str">
        <f t="shared" ca="1" si="48"/>
        <v>OK</v>
      </c>
      <c r="K1592" s="366" t="s">
        <v>1710</v>
      </c>
      <c r="L1592" s="366" t="s">
        <v>2246</v>
      </c>
      <c r="M1592" s="350" t="str">
        <f>IF($B1592="Portfolio","Portfolio",IFERROR(INDEX(DATA_ASSET_CLASSIFICATION!$B$8:$B$24,MATCH($C1592,DATA_ASSET_CLASSIFICATION!$A$8:$A$24,0)),"Review"))</f>
        <v>Constance Court</v>
      </c>
      <c r="N1592" s="350" t="str">
        <f ca="1">IF($B1592="Portfolio","Portfolio",IFERROR(INDEX(DATA_ASSET_CLASSIFICATION!$U$8:$U$24,MATCH($C1592,DATA_ASSET_CLASSIFICATION!$A$8:$A$24,0)),"Review"))</f>
        <v>Refi Watch</v>
      </c>
      <c r="O1592" s="350" t="str">
        <f ca="1">IF($B1592="Portfolio","Portfolio",IFERROR(INDEX(DATA_ASSET_CLASSIFICATION!$AB$8:$AB$13,MATCH($N1592,DATA_ASSET_CLASSIFICATION!$AA$8:$AA$13,0)),"Review"))</f>
        <v>Bucket 2 · Legacy</v>
      </c>
      <c r="P1592" s="350" t="str">
        <f>IF($B1592="Portfolio","Portfolio",IFERROR(INDEX(DATA_ASSET_CLASSIFICATION!$C$8:$C$24,MATCH($C1592,DATA_ASSET_CLASSIFICATION!$A$8:$A$24,0)),"Review"))</f>
        <v>Yes</v>
      </c>
      <c r="Q1592" s="350" t="str">
        <f t="shared" ca="1" si="49"/>
        <v>OK</v>
      </c>
    </row>
    <row r="1593" spans="1:17">
      <c r="A1593" s="366" t="s">
        <v>3549</v>
      </c>
      <c r="B1593" s="366" t="s">
        <v>231</v>
      </c>
      <c r="C1593" s="348" t="str">
        <f>DATA_PROPERTY_MASTER!$A$9</f>
        <v>BLD_CC</v>
      </c>
      <c r="D1593" s="380">
        <f>'00_PORTFOLIO ROLLUP'!M$12</f>
        <v>2033</v>
      </c>
      <c r="E1593" s="366" t="s">
        <v>1683</v>
      </c>
      <c r="F1593" s="366" t="s">
        <v>27</v>
      </c>
      <c r="G1593" s="348" t="str">
        <f>"'"&amp;$C1593&amp;"'!$E$54:$Y$54"</f>
        <v>'BLD_CC'!$E$54:$Y$54</v>
      </c>
      <c r="H1593" s="381">
        <f ca="1">IF(IFERROR(INDEX(DATA_PROPERTY_MASTER!$E$5:$E$21,MATCH($C1593,DATA_PROPERTY_MASTER!$A$5:$A$21,0))="Yes",FALSE),IFERROR(INDEX(INDIRECT("'"&amp;$C1593&amp;"'!$E$54:$Y$54"),1,MATCH($D1593,INDIRECT("'"&amp;$C1593&amp;"'!$E$12:$Y$12"),0)),0),0)</f>
        <v>176930.96129895555</v>
      </c>
      <c r="I1593" s="366" t="s">
        <v>1690</v>
      </c>
      <c r="J1593" s="348" t="str">
        <f t="shared" ca="1" si="48"/>
        <v>OK</v>
      </c>
      <c r="K1593" s="366" t="s">
        <v>1714</v>
      </c>
      <c r="L1593" s="366" t="s">
        <v>2248</v>
      </c>
      <c r="M1593" s="350" t="str">
        <f>IF($B1593="Portfolio","Portfolio",IFERROR(INDEX(DATA_ASSET_CLASSIFICATION!$B$8:$B$24,MATCH($C1593,DATA_ASSET_CLASSIFICATION!$A$8:$A$24,0)),"Review"))</f>
        <v>Constance Court</v>
      </c>
      <c r="N1593" s="350" t="str">
        <f ca="1">IF($B1593="Portfolio","Portfolio",IFERROR(INDEX(DATA_ASSET_CLASSIFICATION!$U$8:$U$24,MATCH($C1593,DATA_ASSET_CLASSIFICATION!$A$8:$A$24,0)),"Review"))</f>
        <v>Refi Watch</v>
      </c>
      <c r="O1593" s="350" t="str">
        <f ca="1">IF($B1593="Portfolio","Portfolio",IFERROR(INDEX(DATA_ASSET_CLASSIFICATION!$AB$8:$AB$13,MATCH($N1593,DATA_ASSET_CLASSIFICATION!$AA$8:$AA$13,0)),"Review"))</f>
        <v>Bucket 2 · Legacy</v>
      </c>
      <c r="P1593" s="350" t="str">
        <f>IF($B1593="Portfolio","Portfolio",IFERROR(INDEX(DATA_ASSET_CLASSIFICATION!$C$8:$C$24,MATCH($C1593,DATA_ASSET_CLASSIFICATION!$A$8:$A$24,0)),"Review"))</f>
        <v>Yes</v>
      </c>
      <c r="Q1593" s="350" t="str">
        <f t="shared" ca="1" si="49"/>
        <v>OK</v>
      </c>
    </row>
    <row r="1594" spans="1:17">
      <c r="A1594" s="366" t="s">
        <v>3550</v>
      </c>
      <c r="B1594" s="366" t="s">
        <v>231</v>
      </c>
      <c r="C1594" s="348" t="str">
        <f>DATA_PROPERTY_MASTER!$A$9</f>
        <v>BLD_CC</v>
      </c>
      <c r="D1594" s="380">
        <f>'00_PORTFOLIO ROLLUP'!M$12</f>
        <v>2033</v>
      </c>
      <c r="E1594" s="366" t="s">
        <v>1683</v>
      </c>
      <c r="F1594" s="366" t="s">
        <v>29</v>
      </c>
      <c r="G1594" s="348" t="str">
        <f>"'"&amp;$C1594&amp;"'!$E$56:$Y$56"</f>
        <v>'BLD_CC'!$E$56:$Y$56</v>
      </c>
      <c r="H1594" s="381">
        <f ca="1">IF(IFERROR(INDEX(DATA_PROPERTY_MASTER!$E$5:$E$21,MATCH($C1594,DATA_PROPERTY_MASTER!$A$5:$A$21,0))="Yes",FALSE),IFERROR(INDEX(INDIRECT("'"&amp;$C1594&amp;"'!$E$56:$Y$56"),1,MATCH($D1594,INDIRECT("'"&amp;$C1594&amp;"'!$E$12:$Y$12"),0)),0),0)</f>
        <v>117953.97419930372</v>
      </c>
      <c r="I1594" s="366" t="s">
        <v>1685</v>
      </c>
      <c r="J1594" s="348" t="str">
        <f t="shared" ca="1" si="48"/>
        <v>OK</v>
      </c>
      <c r="K1594" s="366" t="s">
        <v>1718</v>
      </c>
      <c r="L1594" s="366" t="s">
        <v>2250</v>
      </c>
      <c r="M1594" s="350" t="str">
        <f>IF($B1594="Portfolio","Portfolio",IFERROR(INDEX(DATA_ASSET_CLASSIFICATION!$B$8:$B$24,MATCH($C1594,DATA_ASSET_CLASSIFICATION!$A$8:$A$24,0)),"Review"))</f>
        <v>Constance Court</v>
      </c>
      <c r="N1594" s="350" t="str">
        <f ca="1">IF($B1594="Portfolio","Portfolio",IFERROR(INDEX(DATA_ASSET_CLASSIFICATION!$U$8:$U$24,MATCH($C1594,DATA_ASSET_CLASSIFICATION!$A$8:$A$24,0)),"Review"))</f>
        <v>Refi Watch</v>
      </c>
      <c r="O1594" s="350" t="str">
        <f ca="1">IF($B1594="Portfolio","Portfolio",IFERROR(INDEX(DATA_ASSET_CLASSIFICATION!$AB$8:$AB$13,MATCH($N1594,DATA_ASSET_CLASSIFICATION!$AA$8:$AA$13,0)),"Review"))</f>
        <v>Bucket 2 · Legacy</v>
      </c>
      <c r="P1594" s="350" t="str">
        <f>IF($B1594="Portfolio","Portfolio",IFERROR(INDEX(DATA_ASSET_CLASSIFICATION!$C$8:$C$24,MATCH($C1594,DATA_ASSET_CLASSIFICATION!$A$8:$A$24,0)),"Review"))</f>
        <v>Yes</v>
      </c>
      <c r="Q1594" s="350" t="str">
        <f t="shared" ca="1" si="49"/>
        <v>OK</v>
      </c>
    </row>
    <row r="1595" spans="1:17">
      <c r="A1595" s="366" t="s">
        <v>3551</v>
      </c>
      <c r="B1595" s="366" t="s">
        <v>231</v>
      </c>
      <c r="C1595" s="348" t="str">
        <f>DATA_PROPERTY_MASTER!$A$9</f>
        <v>BLD_CC</v>
      </c>
      <c r="D1595" s="380">
        <f>'00_PORTFOLIO ROLLUP'!M$12</f>
        <v>2033</v>
      </c>
      <c r="E1595" s="366" t="s">
        <v>1721</v>
      </c>
      <c r="F1595" s="366" t="s">
        <v>31</v>
      </c>
      <c r="G1595" s="348" t="str">
        <f>"'"&amp;$C1595&amp;"'!$E$61:$Y$61"</f>
        <v>'BLD_CC'!$E$61:$Y$61</v>
      </c>
      <c r="H1595" s="381">
        <f ca="1">IF(IFERROR(INDEX(DATA_PROPERTY_MASTER!$E$5:$E$21,MATCH($C1595,DATA_PROPERTY_MASTER!$A$5:$A$21,0))="Yes",FALSE),IFERROR(INDEX(INDIRECT("'"&amp;$C1595&amp;"'!$E$61:$Y$61"),1,MATCH($D1595,INDIRECT("'"&amp;$C1595&amp;"'!$E$12:$Y$12"),0)),0),0)</f>
        <v>0</v>
      </c>
      <c r="I1595" s="366" t="s">
        <v>1690</v>
      </c>
      <c r="J1595" s="348" t="str">
        <f t="shared" ca="1" si="48"/>
        <v>OK</v>
      </c>
      <c r="K1595" s="366" t="s">
        <v>1723</v>
      </c>
      <c r="L1595" s="366" t="s">
        <v>2252</v>
      </c>
      <c r="M1595" s="350" t="str">
        <f>IF($B1595="Portfolio","Portfolio",IFERROR(INDEX(DATA_ASSET_CLASSIFICATION!$B$8:$B$24,MATCH($C1595,DATA_ASSET_CLASSIFICATION!$A$8:$A$24,0)),"Review"))</f>
        <v>Constance Court</v>
      </c>
      <c r="N1595" s="350" t="str">
        <f ca="1">IF($B1595="Portfolio","Portfolio",IFERROR(INDEX(DATA_ASSET_CLASSIFICATION!$U$8:$U$24,MATCH($C1595,DATA_ASSET_CLASSIFICATION!$A$8:$A$24,0)),"Review"))</f>
        <v>Refi Watch</v>
      </c>
      <c r="O1595" s="350" t="str">
        <f ca="1">IF($B1595="Portfolio","Portfolio",IFERROR(INDEX(DATA_ASSET_CLASSIFICATION!$AB$8:$AB$13,MATCH($N1595,DATA_ASSET_CLASSIFICATION!$AA$8:$AA$13,0)),"Review"))</f>
        <v>Bucket 2 · Legacy</v>
      </c>
      <c r="P1595" s="350" t="str">
        <f>IF($B1595="Portfolio","Portfolio",IFERROR(INDEX(DATA_ASSET_CLASSIFICATION!$C$8:$C$24,MATCH($C1595,DATA_ASSET_CLASSIFICATION!$A$8:$A$24,0)),"Review"))</f>
        <v>Yes</v>
      </c>
      <c r="Q1595" s="350" t="str">
        <f t="shared" ca="1" si="49"/>
        <v>OK</v>
      </c>
    </row>
    <row r="1596" spans="1:17">
      <c r="A1596" s="366" t="s">
        <v>3552</v>
      </c>
      <c r="B1596" s="366" t="s">
        <v>231</v>
      </c>
      <c r="C1596" s="348" t="str">
        <f>DATA_PROPERTY_MASTER!$A$9</f>
        <v>BLD_CC</v>
      </c>
      <c r="D1596" s="380">
        <f>'00_PORTFOLIO ROLLUP'!M$12</f>
        <v>2033</v>
      </c>
      <c r="E1596" s="366" t="s">
        <v>1721</v>
      </c>
      <c r="F1596" s="366" t="s">
        <v>33</v>
      </c>
      <c r="G1596" s="348" t="str">
        <f>"'"&amp;$C1596&amp;"'!$E$62:$Y$62"</f>
        <v>'BLD_CC'!$E$62:$Y$62</v>
      </c>
      <c r="H1596" s="381">
        <f ca="1">IF(IFERROR(INDEX(DATA_PROPERTY_MASTER!$E$5:$E$21,MATCH($C1596,DATA_PROPERTY_MASTER!$A$5:$A$21,0))="Yes",FALSE),IFERROR(INDEX(INDIRECT("'"&amp;$C1596&amp;"'!$E$62:$Y$62"),1,MATCH($D1596,INDIRECT("'"&amp;$C1596&amp;"'!$E$12:$Y$12"),0)),0),0)</f>
        <v>0</v>
      </c>
      <c r="I1596" s="366" t="s">
        <v>1685</v>
      </c>
      <c r="J1596" s="348" t="str">
        <f t="shared" ca="1" si="48"/>
        <v>OK</v>
      </c>
      <c r="K1596" s="366" t="s">
        <v>1727</v>
      </c>
      <c r="L1596" s="366" t="s">
        <v>2254</v>
      </c>
      <c r="M1596" s="350" t="str">
        <f>IF($B1596="Portfolio","Portfolio",IFERROR(INDEX(DATA_ASSET_CLASSIFICATION!$B$8:$B$24,MATCH($C1596,DATA_ASSET_CLASSIFICATION!$A$8:$A$24,0)),"Review"))</f>
        <v>Constance Court</v>
      </c>
      <c r="N1596" s="350" t="str">
        <f ca="1">IF($B1596="Portfolio","Portfolio",IFERROR(INDEX(DATA_ASSET_CLASSIFICATION!$U$8:$U$24,MATCH($C1596,DATA_ASSET_CLASSIFICATION!$A$8:$A$24,0)),"Review"))</f>
        <v>Refi Watch</v>
      </c>
      <c r="O1596" s="350" t="str">
        <f ca="1">IF($B1596="Portfolio","Portfolio",IFERROR(INDEX(DATA_ASSET_CLASSIFICATION!$AB$8:$AB$13,MATCH($N1596,DATA_ASSET_CLASSIFICATION!$AA$8:$AA$13,0)),"Review"))</f>
        <v>Bucket 2 · Legacy</v>
      </c>
      <c r="P1596" s="350" t="str">
        <f>IF($B1596="Portfolio","Portfolio",IFERROR(INDEX(DATA_ASSET_CLASSIFICATION!$C$8:$C$24,MATCH($C1596,DATA_ASSET_CLASSIFICATION!$A$8:$A$24,0)),"Review"))</f>
        <v>Yes</v>
      </c>
      <c r="Q1596" s="350" t="str">
        <f t="shared" ca="1" si="49"/>
        <v>OK</v>
      </c>
    </row>
    <row r="1597" spans="1:17">
      <c r="A1597" s="366" t="s">
        <v>3553</v>
      </c>
      <c r="B1597" s="366" t="s">
        <v>231</v>
      </c>
      <c r="C1597" s="348" t="str">
        <f>DATA_PROPERTY_MASTER!$A$9</f>
        <v>BLD_CC</v>
      </c>
      <c r="D1597" s="380">
        <f>'00_PORTFOLIO ROLLUP'!M$12</f>
        <v>2033</v>
      </c>
      <c r="E1597" s="366" t="s">
        <v>1721</v>
      </c>
      <c r="F1597" s="366" t="s">
        <v>35</v>
      </c>
      <c r="G1597" s="348" t="str">
        <f>"'"&amp;$C1597&amp;"'!$E$63:$Y$63"</f>
        <v>'BLD_CC'!$E$63:$Y$63</v>
      </c>
      <c r="H1597" s="381">
        <f ca="1">IF(IFERROR(INDEX(DATA_PROPERTY_MASTER!$E$5:$E$21,MATCH($C1597,DATA_PROPERTY_MASTER!$A$5:$A$21,0))="Yes",FALSE),IFERROR(INDEX(INDIRECT("'"&amp;$C1597&amp;"'!$E$63:$Y$63"),1,MATCH($D1597,INDIRECT("'"&amp;$C1597&amp;"'!$E$12:$Y$12"),0)),0),0)</f>
        <v>0</v>
      </c>
      <c r="I1597" s="366" t="s">
        <v>1731</v>
      </c>
      <c r="J1597" s="348" t="str">
        <f t="shared" ca="1" si="48"/>
        <v>OK</v>
      </c>
      <c r="K1597" s="366" t="s">
        <v>1732</v>
      </c>
      <c r="L1597" s="366" t="s">
        <v>2256</v>
      </c>
      <c r="M1597" s="350" t="str">
        <f>IF($B1597="Portfolio","Portfolio",IFERROR(INDEX(DATA_ASSET_CLASSIFICATION!$B$8:$B$24,MATCH($C1597,DATA_ASSET_CLASSIFICATION!$A$8:$A$24,0)),"Review"))</f>
        <v>Constance Court</v>
      </c>
      <c r="N1597" s="350" t="str">
        <f ca="1">IF($B1597="Portfolio","Portfolio",IFERROR(INDEX(DATA_ASSET_CLASSIFICATION!$U$8:$U$24,MATCH($C1597,DATA_ASSET_CLASSIFICATION!$A$8:$A$24,0)),"Review"))</f>
        <v>Refi Watch</v>
      </c>
      <c r="O1597" s="350" t="str">
        <f ca="1">IF($B1597="Portfolio","Portfolio",IFERROR(INDEX(DATA_ASSET_CLASSIFICATION!$AB$8:$AB$13,MATCH($N1597,DATA_ASSET_CLASSIFICATION!$AA$8:$AA$13,0)),"Review"))</f>
        <v>Bucket 2 · Legacy</v>
      </c>
      <c r="P1597" s="350" t="str">
        <f>IF($B1597="Portfolio","Portfolio",IFERROR(INDEX(DATA_ASSET_CLASSIFICATION!$C$8:$C$24,MATCH($C1597,DATA_ASSET_CLASSIFICATION!$A$8:$A$24,0)),"Review"))</f>
        <v>Yes</v>
      </c>
      <c r="Q1597" s="350" t="str">
        <f t="shared" ca="1" si="49"/>
        <v>OK</v>
      </c>
    </row>
    <row r="1598" spans="1:17">
      <c r="A1598" s="366" t="s">
        <v>3554</v>
      </c>
      <c r="B1598" s="366" t="s">
        <v>231</v>
      </c>
      <c r="C1598" s="348" t="str">
        <f>DATA_PROPERTY_MASTER!$A$9</f>
        <v>BLD_CC</v>
      </c>
      <c r="D1598" s="380">
        <f>'00_PORTFOLIO ROLLUP'!M$12</f>
        <v>2033</v>
      </c>
      <c r="E1598" s="366" t="s">
        <v>1721</v>
      </c>
      <c r="F1598" s="366" t="s">
        <v>37</v>
      </c>
      <c r="G1598" s="348" t="str">
        <f>"'"&amp;$C1598&amp;"'!$E$63:$Y$63"</f>
        <v>'BLD_CC'!$E$63:$Y$63</v>
      </c>
      <c r="H1598" s="381">
        <f ca="1">IF(IFERROR(INDEX(DATA_PROPERTY_MASTER!$E$5:$E$21,MATCH($C1598,DATA_PROPERTY_MASTER!$A$5:$A$21,0))="Yes",FALSE),MAX(IFERROR(INDEX(INDIRECT("'"&amp;$C1598&amp;"'!$E$63:$Y$63"),1,MATCH($D1598,INDIRECT("'"&amp;$C1598&amp;"'!$E$12:$Y$12"),0)),0),0),0)</f>
        <v>0</v>
      </c>
      <c r="I1598" s="366" t="s">
        <v>1685</v>
      </c>
      <c r="J1598" s="348" t="str">
        <f t="shared" ca="1" si="48"/>
        <v>OK</v>
      </c>
      <c r="K1598" s="366" t="s">
        <v>1735</v>
      </c>
      <c r="L1598" s="366" t="s">
        <v>2258</v>
      </c>
      <c r="M1598" s="350" t="str">
        <f>IF($B1598="Portfolio","Portfolio",IFERROR(INDEX(DATA_ASSET_CLASSIFICATION!$B$8:$B$24,MATCH($C1598,DATA_ASSET_CLASSIFICATION!$A$8:$A$24,0)),"Review"))</f>
        <v>Constance Court</v>
      </c>
      <c r="N1598" s="350" t="str">
        <f ca="1">IF($B1598="Portfolio","Portfolio",IFERROR(INDEX(DATA_ASSET_CLASSIFICATION!$U$8:$U$24,MATCH($C1598,DATA_ASSET_CLASSIFICATION!$A$8:$A$24,0)),"Review"))</f>
        <v>Refi Watch</v>
      </c>
      <c r="O1598" s="350" t="str">
        <f ca="1">IF($B1598="Portfolio","Portfolio",IFERROR(INDEX(DATA_ASSET_CLASSIFICATION!$AB$8:$AB$13,MATCH($N1598,DATA_ASSET_CLASSIFICATION!$AA$8:$AA$13,0)),"Review"))</f>
        <v>Bucket 2 · Legacy</v>
      </c>
      <c r="P1598" s="350" t="str">
        <f>IF($B1598="Portfolio","Portfolio",IFERROR(INDEX(DATA_ASSET_CLASSIFICATION!$C$8:$C$24,MATCH($C1598,DATA_ASSET_CLASSIFICATION!$A$8:$A$24,0)),"Review"))</f>
        <v>Yes</v>
      </c>
      <c r="Q1598" s="350" t="str">
        <f t="shared" ca="1" si="49"/>
        <v>OK</v>
      </c>
    </row>
    <row r="1599" spans="1:17">
      <c r="A1599" s="366" t="s">
        <v>3555</v>
      </c>
      <c r="B1599" s="366" t="s">
        <v>231</v>
      </c>
      <c r="C1599" s="348" t="str">
        <f>DATA_PROPERTY_MASTER!$A$9</f>
        <v>BLD_CC</v>
      </c>
      <c r="D1599" s="380">
        <f>'00_PORTFOLIO ROLLUP'!M$12</f>
        <v>2033</v>
      </c>
      <c r="E1599" s="366" t="s">
        <v>1721</v>
      </c>
      <c r="F1599" s="366" t="s">
        <v>39</v>
      </c>
      <c r="G1599" s="348" t="str">
        <f>"'"&amp;$C1599&amp;"'!$E$63:$Y$63"</f>
        <v>'BLD_CC'!$E$63:$Y$63</v>
      </c>
      <c r="H1599" s="381">
        <f ca="1">IF(IFERROR(INDEX(DATA_PROPERTY_MASTER!$E$5:$E$21,MATCH($C1599,DATA_PROPERTY_MASTER!$A$5:$A$21,0))="Yes",FALSE),MAX(-IFERROR(INDEX(INDIRECT("'"&amp;$C1599&amp;"'!$E$63:$Y$63"),1,MATCH($D1599,INDIRECT("'"&amp;$C1599&amp;"'!$E$12:$Y$12"),0)),0),0),0)</f>
        <v>0</v>
      </c>
      <c r="I1599" s="366" t="s">
        <v>1690</v>
      </c>
      <c r="J1599" s="348" t="str">
        <f t="shared" ca="1" si="48"/>
        <v>OK</v>
      </c>
      <c r="K1599" s="366" t="s">
        <v>1738</v>
      </c>
      <c r="L1599" s="366" t="s">
        <v>2260</v>
      </c>
      <c r="M1599" s="350" t="str">
        <f>IF($B1599="Portfolio","Portfolio",IFERROR(INDEX(DATA_ASSET_CLASSIFICATION!$B$8:$B$24,MATCH($C1599,DATA_ASSET_CLASSIFICATION!$A$8:$A$24,0)),"Review"))</f>
        <v>Constance Court</v>
      </c>
      <c r="N1599" s="350" t="str">
        <f ca="1">IF($B1599="Portfolio","Portfolio",IFERROR(INDEX(DATA_ASSET_CLASSIFICATION!$U$8:$U$24,MATCH($C1599,DATA_ASSET_CLASSIFICATION!$A$8:$A$24,0)),"Review"))</f>
        <v>Refi Watch</v>
      </c>
      <c r="O1599" s="350" t="str">
        <f ca="1">IF($B1599="Portfolio","Portfolio",IFERROR(INDEX(DATA_ASSET_CLASSIFICATION!$AB$8:$AB$13,MATCH($N1599,DATA_ASSET_CLASSIFICATION!$AA$8:$AA$13,0)),"Review"))</f>
        <v>Bucket 2 · Legacy</v>
      </c>
      <c r="P1599" s="350" t="str">
        <f>IF($B1599="Portfolio","Portfolio",IFERROR(INDEX(DATA_ASSET_CLASSIFICATION!$C$8:$C$24,MATCH($C1599,DATA_ASSET_CLASSIFICATION!$A$8:$A$24,0)),"Review"))</f>
        <v>Yes</v>
      </c>
      <c r="Q1599" s="350" t="str">
        <f t="shared" ca="1" si="49"/>
        <v>OK</v>
      </c>
    </row>
    <row r="1600" spans="1:17">
      <c r="A1600" s="366" t="s">
        <v>3556</v>
      </c>
      <c r="B1600" s="366" t="s">
        <v>231</v>
      </c>
      <c r="C1600" s="348" t="str">
        <f>DATA_PROPERTY_MASTER!$A$9</f>
        <v>BLD_CC</v>
      </c>
      <c r="D1600" s="380">
        <f>'00_PORTFOLIO ROLLUP'!M$12</f>
        <v>2033</v>
      </c>
      <c r="E1600" s="366" t="s">
        <v>1741</v>
      </c>
      <c r="F1600" s="366" t="s">
        <v>41</v>
      </c>
      <c r="G1600" s="348" t="str">
        <f>"'"&amp;$C1600&amp;"'!rows 56 + positive row 63"</f>
        <v>'BLD_CC'!rows 56 + positive row 63</v>
      </c>
      <c r="H1600" s="381">
        <f ca="1">IF(IFERROR(INDEX(DATA_PROPERTY_MASTER!$E$5:$E$21,MATCH($C1600,DATA_PROPERTY_MASTER!$A$5:$A$21,0))="Yes",FALSE),IFERROR(INDEX(INDIRECT("'"&amp;$C1600&amp;"'!$E$56:$Y$56"),1,MATCH($D1600,INDIRECT("'"&amp;$C1600&amp;"'!$E$12:$Y$12"),0)),0)+MAX(IFERROR(INDEX(INDIRECT("'"&amp;$C1600&amp;"'!$E$63:$Y$63"),1,MATCH($D1600,INDIRECT("'"&amp;$C1600&amp;"'!$E$12:$Y$12"),0)),0),0),0)</f>
        <v>117953.97419930372</v>
      </c>
      <c r="I1600" s="366" t="s">
        <v>1685</v>
      </c>
      <c r="J1600" s="348" t="str">
        <f t="shared" ca="1" si="48"/>
        <v>OK</v>
      </c>
      <c r="K1600" s="366" t="s">
        <v>1742</v>
      </c>
      <c r="L1600" s="366" t="s">
        <v>2262</v>
      </c>
      <c r="M1600" s="350" t="str">
        <f>IF($B1600="Portfolio","Portfolio",IFERROR(INDEX(DATA_ASSET_CLASSIFICATION!$B$8:$B$24,MATCH($C1600,DATA_ASSET_CLASSIFICATION!$A$8:$A$24,0)),"Review"))</f>
        <v>Constance Court</v>
      </c>
      <c r="N1600" s="350" t="str">
        <f ca="1">IF($B1600="Portfolio","Portfolio",IFERROR(INDEX(DATA_ASSET_CLASSIFICATION!$U$8:$U$24,MATCH($C1600,DATA_ASSET_CLASSIFICATION!$A$8:$A$24,0)),"Review"))</f>
        <v>Refi Watch</v>
      </c>
      <c r="O1600" s="350" t="str">
        <f ca="1">IF($B1600="Portfolio","Portfolio",IFERROR(INDEX(DATA_ASSET_CLASSIFICATION!$AB$8:$AB$13,MATCH($N1600,DATA_ASSET_CLASSIFICATION!$AA$8:$AA$13,0)),"Review"))</f>
        <v>Bucket 2 · Legacy</v>
      </c>
      <c r="P1600" s="350" t="str">
        <f>IF($B1600="Portfolio","Portfolio",IFERROR(INDEX(DATA_ASSET_CLASSIFICATION!$C$8:$C$24,MATCH($C1600,DATA_ASSET_CLASSIFICATION!$A$8:$A$24,0)),"Review"))</f>
        <v>Yes</v>
      </c>
      <c r="Q1600" s="350" t="str">
        <f t="shared" ca="1" si="49"/>
        <v>OK</v>
      </c>
    </row>
    <row r="1601" spans="1:17">
      <c r="A1601" s="366" t="s">
        <v>3557</v>
      </c>
      <c r="B1601" s="366" t="s">
        <v>231</v>
      </c>
      <c r="C1601" s="348" t="str">
        <f>DATA_PROPERTY_MASTER!$A$9</f>
        <v>BLD_CC</v>
      </c>
      <c r="D1601" s="380">
        <f>'00_PORTFOLIO ROLLUP'!M$12</f>
        <v>2033</v>
      </c>
      <c r="E1601" s="366" t="s">
        <v>1741</v>
      </c>
      <c r="F1601" s="366" t="s">
        <v>43</v>
      </c>
      <c r="G1601" s="348" t="str">
        <f>"'"&amp;$C1601&amp;"'!$E$68:$Y$68"</f>
        <v>'BLD_CC'!$E$68:$Y$68</v>
      </c>
      <c r="H1601" s="381">
        <f ca="1">IF(IFERROR(INDEX(DATA_PROPERTY_MASTER!$E$5:$E$21,MATCH($C1601,DATA_PROPERTY_MASTER!$A$5:$A$21,0))="Yes",FALSE),IFERROR(INDEX(INDIRECT("'"&amp;$C1601&amp;"'!$E$68:$Y$68"),1,MATCH($D1601,INDIRECT("'"&amp;$C1601&amp;"'!$E$12:$Y$12"),0)),0),0)</f>
        <v>117953.97419930372</v>
      </c>
      <c r="I1601" s="366" t="s">
        <v>1731</v>
      </c>
      <c r="J1601" s="348" t="str">
        <f t="shared" ca="1" si="48"/>
        <v>OK</v>
      </c>
      <c r="K1601" s="366" t="s">
        <v>1746</v>
      </c>
      <c r="L1601" s="366" t="s">
        <v>2264</v>
      </c>
      <c r="M1601" s="350" t="str">
        <f>IF($B1601="Portfolio","Portfolio",IFERROR(INDEX(DATA_ASSET_CLASSIFICATION!$B$8:$B$24,MATCH($C1601,DATA_ASSET_CLASSIFICATION!$A$8:$A$24,0)),"Review"))</f>
        <v>Constance Court</v>
      </c>
      <c r="N1601" s="350" t="str">
        <f ca="1">IF($B1601="Portfolio","Portfolio",IFERROR(INDEX(DATA_ASSET_CLASSIFICATION!$U$8:$U$24,MATCH($C1601,DATA_ASSET_CLASSIFICATION!$A$8:$A$24,0)),"Review"))</f>
        <v>Refi Watch</v>
      </c>
      <c r="O1601" s="350" t="str">
        <f ca="1">IF($B1601="Portfolio","Portfolio",IFERROR(INDEX(DATA_ASSET_CLASSIFICATION!$AB$8:$AB$13,MATCH($N1601,DATA_ASSET_CLASSIFICATION!$AA$8:$AA$13,0)),"Review"))</f>
        <v>Bucket 2 · Legacy</v>
      </c>
      <c r="P1601" s="350" t="str">
        <f>IF($B1601="Portfolio","Portfolio",IFERROR(INDEX(DATA_ASSET_CLASSIFICATION!$C$8:$C$24,MATCH($C1601,DATA_ASSET_CLASSIFICATION!$A$8:$A$24,0)),"Review"))</f>
        <v>Yes</v>
      </c>
      <c r="Q1601" s="350" t="str">
        <f t="shared" ca="1" si="49"/>
        <v>OK</v>
      </c>
    </row>
    <row r="1602" spans="1:17">
      <c r="A1602" s="366" t="s">
        <v>3558</v>
      </c>
      <c r="B1602" s="366" t="s">
        <v>231</v>
      </c>
      <c r="C1602" s="348" t="str">
        <f>DATA_PROPERTY_MASTER!$A$9</f>
        <v>BLD_CC</v>
      </c>
      <c r="D1602" s="380">
        <f>'00_PORTFOLIO ROLLUP'!M$12</f>
        <v>2033</v>
      </c>
      <c r="E1602" s="366" t="s">
        <v>1741</v>
      </c>
      <c r="F1602" s="366" t="s">
        <v>1749</v>
      </c>
      <c r="G1602" s="348" t="str">
        <f>"'"&amp;$C1602&amp;"'!rows 56, 63, 68"</f>
        <v>'BLD_CC'!rows 56, 63, 68</v>
      </c>
      <c r="H1602" s="381">
        <f ca="1">IF(IFERROR(INDEX(DATA_PROPERTY_MASTER!$E$5:$E$21,MATCH($C1602,DATA_PROPERTY_MASTER!$A$5:$A$21,0))="Yes",FALSE),(IFERROR(INDEX(INDIRECT("'"&amp;$C1602&amp;"'!$E$56:$Y$56"),1,MATCH($D1602,INDIRECT("'"&amp;$C1602&amp;"'!$E$12:$Y$12"),0)),0)+MAX(IFERROR(INDEX(INDIRECT("'"&amp;$C1602&amp;"'!$E$63:$Y$63"),1,MATCH($D1602,INDIRECT("'"&amp;$C1602&amp;"'!$E$12:$Y$12"),0)),0),0))-(IFERROR(INDEX(INDIRECT("'"&amp;$C1602&amp;"'!$E$68:$Y$68"),1,MATCH($D1602,INDIRECT("'"&amp;$C1602&amp;"'!$E$12:$Y$12"),0)),0)),0)</f>
        <v>0</v>
      </c>
      <c r="I1602" s="366" t="s">
        <v>1750</v>
      </c>
      <c r="J1602" s="348" t="str">
        <f t="shared" ca="1" si="48"/>
        <v>OK</v>
      </c>
      <c r="K1602" s="366" t="s">
        <v>1751</v>
      </c>
      <c r="L1602" s="366" t="s">
        <v>2266</v>
      </c>
      <c r="M1602" s="350" t="str">
        <f>IF($B1602="Portfolio","Portfolio",IFERROR(INDEX(DATA_ASSET_CLASSIFICATION!$B$8:$B$24,MATCH($C1602,DATA_ASSET_CLASSIFICATION!$A$8:$A$24,0)),"Review"))</f>
        <v>Constance Court</v>
      </c>
      <c r="N1602" s="350" t="str">
        <f ca="1">IF($B1602="Portfolio","Portfolio",IFERROR(INDEX(DATA_ASSET_CLASSIFICATION!$U$8:$U$24,MATCH($C1602,DATA_ASSET_CLASSIFICATION!$A$8:$A$24,0)),"Review"))</f>
        <v>Refi Watch</v>
      </c>
      <c r="O1602" s="350" t="str">
        <f ca="1">IF($B1602="Portfolio","Portfolio",IFERROR(INDEX(DATA_ASSET_CLASSIFICATION!$AB$8:$AB$13,MATCH($N1602,DATA_ASSET_CLASSIFICATION!$AA$8:$AA$13,0)),"Review"))</f>
        <v>Bucket 2 · Legacy</v>
      </c>
      <c r="P1602" s="350" t="str">
        <f>IF($B1602="Portfolio","Portfolio",IFERROR(INDEX(DATA_ASSET_CLASSIFICATION!$C$8:$C$24,MATCH($C1602,DATA_ASSET_CLASSIFICATION!$A$8:$A$24,0)),"Review"))</f>
        <v>Yes</v>
      </c>
      <c r="Q1602" s="350" t="str">
        <f t="shared" ca="1" si="49"/>
        <v>OK</v>
      </c>
    </row>
    <row r="1603" spans="1:17">
      <c r="A1603" s="366" t="s">
        <v>3559</v>
      </c>
      <c r="B1603" s="366" t="s">
        <v>231</v>
      </c>
      <c r="C1603" s="348" t="str">
        <f>DATA_PROPERTY_MASTER!$A$9</f>
        <v>BLD_CC</v>
      </c>
      <c r="D1603" s="380">
        <f>'00_PORTFOLIO ROLLUP'!N$12</f>
        <v>2034</v>
      </c>
      <c r="E1603" s="366" t="s">
        <v>1683</v>
      </c>
      <c r="F1603" s="366" t="s">
        <v>341</v>
      </c>
      <c r="G1603" s="348" t="str">
        <f>"'"&amp;$C1603&amp;"'!$E$24:$Y$24"</f>
        <v>'BLD_CC'!$E$24:$Y$24</v>
      </c>
      <c r="H1603" s="381">
        <f ca="1">IF(IFERROR(INDEX(DATA_PROPERTY_MASTER!$E$5:$E$21,MATCH($C1603,DATA_PROPERTY_MASTER!$A$5:$A$21,0))="Yes",FALSE),IFERROR(INDEX(INDIRECT("'"&amp;$C1603&amp;"'!$E$24:$Y$24"),1,MATCH($D1603,INDIRECT("'"&amp;$C1603&amp;"'!$E$12:$Y$12"),0)),0),0)</f>
        <v>589327.70920266421</v>
      </c>
      <c r="I1603" s="366" t="s">
        <v>1685</v>
      </c>
      <c r="J1603" s="348" t="str">
        <f t="shared" ca="1" si="48"/>
        <v>OK</v>
      </c>
      <c r="K1603" s="366" t="s">
        <v>1686</v>
      </c>
      <c r="L1603" s="366" t="s">
        <v>2234</v>
      </c>
      <c r="M1603" s="350" t="str">
        <f>IF($B1603="Portfolio","Portfolio",IFERROR(INDEX(DATA_ASSET_CLASSIFICATION!$B$8:$B$24,MATCH($C1603,DATA_ASSET_CLASSIFICATION!$A$8:$A$24,0)),"Review"))</f>
        <v>Constance Court</v>
      </c>
      <c r="N1603" s="350" t="str">
        <f ca="1">IF($B1603="Portfolio","Portfolio",IFERROR(INDEX(DATA_ASSET_CLASSIFICATION!$U$8:$U$24,MATCH($C1603,DATA_ASSET_CLASSIFICATION!$A$8:$A$24,0)),"Review"))</f>
        <v>Refi Watch</v>
      </c>
      <c r="O1603" s="350" t="str">
        <f ca="1">IF($B1603="Portfolio","Portfolio",IFERROR(INDEX(DATA_ASSET_CLASSIFICATION!$AB$8:$AB$13,MATCH($N1603,DATA_ASSET_CLASSIFICATION!$AA$8:$AA$13,0)),"Review"))</f>
        <v>Bucket 2 · Legacy</v>
      </c>
      <c r="P1603" s="350" t="str">
        <f>IF($B1603="Portfolio","Portfolio",IFERROR(INDEX(DATA_ASSET_CLASSIFICATION!$C$8:$C$24,MATCH($C1603,DATA_ASSET_CLASSIFICATION!$A$8:$A$24,0)),"Review"))</f>
        <v>Yes</v>
      </c>
      <c r="Q1603" s="350" t="str">
        <f t="shared" ca="1" si="49"/>
        <v>OK</v>
      </c>
    </row>
    <row r="1604" spans="1:17">
      <c r="A1604" s="366" t="s">
        <v>3560</v>
      </c>
      <c r="B1604" s="366" t="s">
        <v>231</v>
      </c>
      <c r="C1604" s="348" t="str">
        <f>DATA_PROPERTY_MASTER!$A$9</f>
        <v>BLD_CC</v>
      </c>
      <c r="D1604" s="380">
        <f>'00_PORTFOLIO ROLLUP'!N$12</f>
        <v>2034</v>
      </c>
      <c r="E1604" s="366" t="s">
        <v>1683</v>
      </c>
      <c r="F1604" s="366" t="s">
        <v>355</v>
      </c>
      <c r="G1604" s="348" t="str">
        <f>"'"&amp;$C1604&amp;"'!$E$39:$Y$39"</f>
        <v>'BLD_CC'!$E$39:$Y$39</v>
      </c>
      <c r="H1604" s="381">
        <f ca="1">IF(IFERROR(INDEX(DATA_PROPERTY_MASTER!$E$5:$E$21,MATCH($C1604,DATA_PROPERTY_MASTER!$A$5:$A$21,0))="Yes",FALSE),IFERROR(INDEX(INDIRECT("'"&amp;$C1604&amp;"'!$E$39:$Y$39"),1,MATCH($D1604,INDIRECT("'"&amp;$C1604&amp;"'!$E$12:$Y$12"),0)),0),0)</f>
        <v>294202.82156295824</v>
      </c>
      <c r="I1604" s="366" t="s">
        <v>1690</v>
      </c>
      <c r="J1604" s="348" t="str">
        <f t="shared" ca="1" si="48"/>
        <v>OK</v>
      </c>
      <c r="K1604" s="366" t="s">
        <v>1686</v>
      </c>
      <c r="L1604" s="366" t="s">
        <v>2236</v>
      </c>
      <c r="M1604" s="350" t="str">
        <f>IF($B1604="Portfolio","Portfolio",IFERROR(INDEX(DATA_ASSET_CLASSIFICATION!$B$8:$B$24,MATCH($C1604,DATA_ASSET_CLASSIFICATION!$A$8:$A$24,0)),"Review"))</f>
        <v>Constance Court</v>
      </c>
      <c r="N1604" s="350" t="str">
        <f ca="1">IF($B1604="Portfolio","Portfolio",IFERROR(INDEX(DATA_ASSET_CLASSIFICATION!$U$8:$U$24,MATCH($C1604,DATA_ASSET_CLASSIFICATION!$A$8:$A$24,0)),"Review"))</f>
        <v>Refi Watch</v>
      </c>
      <c r="O1604" s="350" t="str">
        <f ca="1">IF($B1604="Portfolio","Portfolio",IFERROR(INDEX(DATA_ASSET_CLASSIFICATION!$AB$8:$AB$13,MATCH($N1604,DATA_ASSET_CLASSIFICATION!$AA$8:$AA$13,0)),"Review"))</f>
        <v>Bucket 2 · Legacy</v>
      </c>
      <c r="P1604" s="350" t="str">
        <f>IF($B1604="Portfolio","Portfolio",IFERROR(INDEX(DATA_ASSET_CLASSIFICATION!$C$8:$C$24,MATCH($C1604,DATA_ASSET_CLASSIFICATION!$A$8:$A$24,0)),"Review"))</f>
        <v>Yes</v>
      </c>
      <c r="Q1604" s="350" t="str">
        <f t="shared" ca="1" si="49"/>
        <v>OK</v>
      </c>
    </row>
    <row r="1605" spans="1:17">
      <c r="A1605" s="366" t="s">
        <v>3561</v>
      </c>
      <c r="B1605" s="366" t="s">
        <v>231</v>
      </c>
      <c r="C1605" s="348" t="str">
        <f>DATA_PROPERTY_MASTER!$A$9</f>
        <v>BLD_CC</v>
      </c>
      <c r="D1605" s="380">
        <f>'00_PORTFOLIO ROLLUP'!N$12</f>
        <v>2034</v>
      </c>
      <c r="E1605" s="366" t="s">
        <v>1683</v>
      </c>
      <c r="F1605" s="366" t="s">
        <v>19</v>
      </c>
      <c r="G1605" s="348" t="str">
        <f>"'"&amp;$C1605&amp;"'!$E$41:$Y$41"</f>
        <v>'BLD_CC'!$E$41:$Y$41</v>
      </c>
      <c r="H1605" s="381">
        <f ca="1">IF(IFERROR(INDEX(DATA_PROPERTY_MASTER!$E$5:$E$21,MATCH($C1605,DATA_PROPERTY_MASTER!$A$5:$A$21,0))="Yes",FALSE),IFERROR(INDEX(INDIRECT("'"&amp;$C1605&amp;"'!$E$41:$Y$41"),1,MATCH($D1605,INDIRECT("'"&amp;$C1605&amp;"'!$E$12:$Y$12"),0)),0),0)</f>
        <v>295124.88763970596</v>
      </c>
      <c r="I1605" s="366" t="s">
        <v>1685</v>
      </c>
      <c r="J1605" s="348" t="str">
        <f t="shared" ref="J1605:J1668" ca="1" si="50">IF($F1605="Residual Funding Gap",IF($H1605&gt;0,"Funding Gap","OK"),IF(AND($F1605="Net Refinance Position",$H1605&lt;0),"Negative net refi position","OK"))</f>
        <v>OK</v>
      </c>
      <c r="K1605" s="366" t="s">
        <v>1694</v>
      </c>
      <c r="L1605" s="366" t="s">
        <v>2238</v>
      </c>
      <c r="M1605" s="350" t="str">
        <f>IF($B1605="Portfolio","Portfolio",IFERROR(INDEX(DATA_ASSET_CLASSIFICATION!$B$8:$B$24,MATCH($C1605,DATA_ASSET_CLASSIFICATION!$A$8:$A$24,0)),"Review"))</f>
        <v>Constance Court</v>
      </c>
      <c r="N1605" s="350" t="str">
        <f ca="1">IF($B1605="Portfolio","Portfolio",IFERROR(INDEX(DATA_ASSET_CLASSIFICATION!$U$8:$U$24,MATCH($C1605,DATA_ASSET_CLASSIFICATION!$A$8:$A$24,0)),"Review"))</f>
        <v>Refi Watch</v>
      </c>
      <c r="O1605" s="350" t="str">
        <f ca="1">IF($B1605="Portfolio","Portfolio",IFERROR(INDEX(DATA_ASSET_CLASSIFICATION!$AB$8:$AB$13,MATCH($N1605,DATA_ASSET_CLASSIFICATION!$AA$8:$AA$13,0)),"Review"))</f>
        <v>Bucket 2 · Legacy</v>
      </c>
      <c r="P1605" s="350" t="str">
        <f>IF($B1605="Portfolio","Portfolio",IFERROR(INDEX(DATA_ASSET_CLASSIFICATION!$C$8:$C$24,MATCH($C1605,DATA_ASSET_CLASSIFICATION!$A$8:$A$24,0)),"Review"))</f>
        <v>Yes</v>
      </c>
      <c r="Q1605" s="350" t="str">
        <f t="shared" ref="Q1605:Q1668" ca="1" si="51">IF(AND($B1605="Property",$F1605="Residual Funding Gap",$H1605&gt;0),"Property Funding Gap",IF($J1605&lt;&gt;"OK",$J1605,"OK"))</f>
        <v>OK</v>
      </c>
    </row>
    <row r="1606" spans="1:17">
      <c r="A1606" s="366" t="s">
        <v>3562</v>
      </c>
      <c r="B1606" s="366" t="s">
        <v>231</v>
      </c>
      <c r="C1606" s="348" t="str">
        <f>DATA_PROPERTY_MASTER!$A$9</f>
        <v>BLD_CC</v>
      </c>
      <c r="D1606" s="380">
        <f>'00_PORTFOLIO ROLLUP'!N$12</f>
        <v>2034</v>
      </c>
      <c r="E1606" s="366" t="s">
        <v>1683</v>
      </c>
      <c r="F1606" s="366" t="s">
        <v>1697</v>
      </c>
      <c r="G1606" s="348" t="str">
        <f>"'"&amp;$C1606&amp;"'!$E$44:$Y$44"</f>
        <v>'BLD_CC'!$E$44:$Y$44</v>
      </c>
      <c r="H1606" s="381">
        <f ca="1">IF(IFERROR(INDEX(DATA_PROPERTY_MASTER!$E$5:$E$21,MATCH($C1606,DATA_PROPERTY_MASTER!$A$5:$A$21,0))="Yes",FALSE),IFERROR(INDEX(INDIRECT("'"&amp;$C1606&amp;"'!$E$44:$Y$44"),1,MATCH($D1606,INDIRECT("'"&amp;$C1606&amp;"'!$E$12:$Y$12"),0)),0),0)</f>
        <v>6094.9720999737856</v>
      </c>
      <c r="I1606" s="366" t="s">
        <v>1690</v>
      </c>
      <c r="J1606" s="348" t="str">
        <f t="shared" ca="1" si="50"/>
        <v>OK</v>
      </c>
      <c r="K1606" s="366" t="s">
        <v>1699</v>
      </c>
      <c r="L1606" s="366" t="s">
        <v>2240</v>
      </c>
      <c r="M1606" s="350" t="str">
        <f>IF($B1606="Portfolio","Portfolio",IFERROR(INDEX(DATA_ASSET_CLASSIFICATION!$B$8:$B$24,MATCH($C1606,DATA_ASSET_CLASSIFICATION!$A$8:$A$24,0)),"Review"))</f>
        <v>Constance Court</v>
      </c>
      <c r="N1606" s="350" t="str">
        <f ca="1">IF($B1606="Portfolio","Portfolio",IFERROR(INDEX(DATA_ASSET_CLASSIFICATION!$U$8:$U$24,MATCH($C1606,DATA_ASSET_CLASSIFICATION!$A$8:$A$24,0)),"Review"))</f>
        <v>Refi Watch</v>
      </c>
      <c r="O1606" s="350" t="str">
        <f ca="1">IF($B1606="Portfolio","Portfolio",IFERROR(INDEX(DATA_ASSET_CLASSIFICATION!$AB$8:$AB$13,MATCH($N1606,DATA_ASSET_CLASSIFICATION!$AA$8:$AA$13,0)),"Review"))</f>
        <v>Bucket 2 · Legacy</v>
      </c>
      <c r="P1606" s="350" t="str">
        <f>IF($B1606="Portfolio","Portfolio",IFERROR(INDEX(DATA_ASSET_CLASSIFICATION!$C$8:$C$24,MATCH($C1606,DATA_ASSET_CLASSIFICATION!$A$8:$A$24,0)),"Review"))</f>
        <v>Yes</v>
      </c>
      <c r="Q1606" s="350" t="str">
        <f t="shared" ca="1" si="51"/>
        <v>OK</v>
      </c>
    </row>
    <row r="1607" spans="1:17">
      <c r="A1607" s="366" t="s">
        <v>3563</v>
      </c>
      <c r="B1607" s="366" t="s">
        <v>231</v>
      </c>
      <c r="C1607" s="348" t="str">
        <f>DATA_PROPERTY_MASTER!$A$9</f>
        <v>BLD_CC</v>
      </c>
      <c r="D1607" s="380">
        <f>'00_PORTFOLIO ROLLUP'!N$12</f>
        <v>2034</v>
      </c>
      <c r="E1607" s="366" t="s">
        <v>1683</v>
      </c>
      <c r="F1607" s="366" t="s">
        <v>21</v>
      </c>
      <c r="G1607" s="348" t="str">
        <f>"'"&amp;$C1607&amp;"'!$E$45:$Y$45"</f>
        <v>'BLD_CC'!$E$45:$Y$45</v>
      </c>
      <c r="H1607" s="381">
        <f ca="1">IF(IFERROR(INDEX(DATA_PROPERTY_MASTER!$E$5:$E$21,MATCH($C1607,DATA_PROPERTY_MASTER!$A$5:$A$21,0))="Yes",FALSE),IFERROR(INDEX(INDIRECT("'"&amp;$C1607&amp;"'!$E$45:$Y$45"),1,MATCH($D1607,INDIRECT("'"&amp;$C1607&amp;"'!$E$12:$Y$12"),0)),0),0)</f>
        <v>289029.9155397322</v>
      </c>
      <c r="I1607" s="366" t="s">
        <v>1685</v>
      </c>
      <c r="J1607" s="348" t="str">
        <f t="shared" ca="1" si="50"/>
        <v>OK</v>
      </c>
      <c r="K1607" s="366" t="s">
        <v>1694</v>
      </c>
      <c r="L1607" s="366" t="s">
        <v>2242</v>
      </c>
      <c r="M1607" s="350" t="str">
        <f>IF($B1607="Portfolio","Portfolio",IFERROR(INDEX(DATA_ASSET_CLASSIFICATION!$B$8:$B$24,MATCH($C1607,DATA_ASSET_CLASSIFICATION!$A$8:$A$24,0)),"Review"))</f>
        <v>Constance Court</v>
      </c>
      <c r="N1607" s="350" t="str">
        <f ca="1">IF($B1607="Portfolio","Portfolio",IFERROR(INDEX(DATA_ASSET_CLASSIFICATION!$U$8:$U$24,MATCH($C1607,DATA_ASSET_CLASSIFICATION!$A$8:$A$24,0)),"Review"))</f>
        <v>Refi Watch</v>
      </c>
      <c r="O1607" s="350" t="str">
        <f ca="1">IF($B1607="Portfolio","Portfolio",IFERROR(INDEX(DATA_ASSET_CLASSIFICATION!$AB$8:$AB$13,MATCH($N1607,DATA_ASSET_CLASSIFICATION!$AA$8:$AA$13,0)),"Review"))</f>
        <v>Bucket 2 · Legacy</v>
      </c>
      <c r="P1607" s="350" t="str">
        <f>IF($B1607="Portfolio","Portfolio",IFERROR(INDEX(DATA_ASSET_CLASSIFICATION!$C$8:$C$24,MATCH($C1607,DATA_ASSET_CLASSIFICATION!$A$8:$A$24,0)),"Review"))</f>
        <v>Yes</v>
      </c>
      <c r="Q1607" s="350" t="str">
        <f t="shared" ca="1" si="51"/>
        <v>OK</v>
      </c>
    </row>
    <row r="1608" spans="1:17">
      <c r="A1608" s="366" t="s">
        <v>3564</v>
      </c>
      <c r="B1608" s="366" t="s">
        <v>231</v>
      </c>
      <c r="C1608" s="348" t="str">
        <f>DATA_PROPERTY_MASTER!$A$9</f>
        <v>BLD_CC</v>
      </c>
      <c r="D1608" s="380">
        <f>'00_PORTFOLIO ROLLUP'!N$12</f>
        <v>2034</v>
      </c>
      <c r="E1608" s="366" t="s">
        <v>23</v>
      </c>
      <c r="F1608" s="366" t="s">
        <v>23</v>
      </c>
      <c r="G1608" s="348" t="str">
        <f>"'"&amp;$C1608&amp;"'!$E$48:$Y$48"</f>
        <v>'BLD_CC'!$E$48:$Y$48</v>
      </c>
      <c r="H1608" s="381">
        <f ca="1">IF(IFERROR(INDEX(DATA_PROPERTY_MASTER!$E$5:$E$21,MATCH($C1608,DATA_PROPERTY_MASTER!$A$5:$A$21,0))="Yes",FALSE),IFERROR(INDEX(INDIRECT("'"&amp;$C1608&amp;"'!$E$48:$Y$48"),1,MATCH($D1608,INDIRECT("'"&amp;$C1608&amp;"'!$E$12:$Y$12"),0)),0),0)</f>
        <v>0</v>
      </c>
      <c r="I1608" s="366" t="s">
        <v>1690</v>
      </c>
      <c r="J1608" s="348" t="str">
        <f t="shared" ca="1" si="50"/>
        <v>OK</v>
      </c>
      <c r="K1608" s="366" t="s">
        <v>1706</v>
      </c>
      <c r="L1608" s="366" t="s">
        <v>2244</v>
      </c>
      <c r="M1608" s="350" t="str">
        <f>IF($B1608="Portfolio","Portfolio",IFERROR(INDEX(DATA_ASSET_CLASSIFICATION!$B$8:$B$24,MATCH($C1608,DATA_ASSET_CLASSIFICATION!$A$8:$A$24,0)),"Review"))</f>
        <v>Constance Court</v>
      </c>
      <c r="N1608" s="350" t="str">
        <f ca="1">IF($B1608="Portfolio","Portfolio",IFERROR(INDEX(DATA_ASSET_CLASSIFICATION!$U$8:$U$24,MATCH($C1608,DATA_ASSET_CLASSIFICATION!$A$8:$A$24,0)),"Review"))</f>
        <v>Refi Watch</v>
      </c>
      <c r="O1608" s="350" t="str">
        <f ca="1">IF($B1608="Portfolio","Portfolio",IFERROR(INDEX(DATA_ASSET_CLASSIFICATION!$AB$8:$AB$13,MATCH($N1608,DATA_ASSET_CLASSIFICATION!$AA$8:$AA$13,0)),"Review"))</f>
        <v>Bucket 2 · Legacy</v>
      </c>
      <c r="P1608" s="350" t="str">
        <f>IF($B1608="Portfolio","Portfolio",IFERROR(INDEX(DATA_ASSET_CLASSIFICATION!$C$8:$C$24,MATCH($C1608,DATA_ASSET_CLASSIFICATION!$A$8:$A$24,0)),"Review"))</f>
        <v>Yes</v>
      </c>
      <c r="Q1608" s="350" t="str">
        <f t="shared" ca="1" si="51"/>
        <v>OK</v>
      </c>
    </row>
    <row r="1609" spans="1:17">
      <c r="A1609" s="366" t="s">
        <v>3565</v>
      </c>
      <c r="B1609" s="366" t="s">
        <v>231</v>
      </c>
      <c r="C1609" s="348" t="str">
        <f>DATA_PROPERTY_MASTER!$A$9</f>
        <v>BLD_CC</v>
      </c>
      <c r="D1609" s="380">
        <f>'00_PORTFOLIO ROLLUP'!N$12</f>
        <v>2034</v>
      </c>
      <c r="E1609" s="366" t="s">
        <v>1683</v>
      </c>
      <c r="F1609" s="366" t="s">
        <v>25</v>
      </c>
      <c r="G1609" s="348" t="str">
        <f>"'"&amp;$C1609&amp;"'!$E$52:$Y$52"</f>
        <v>'BLD_CC'!$E$52:$Y$52</v>
      </c>
      <c r="H1609" s="381">
        <f ca="1">IF(IFERROR(INDEX(DATA_PROPERTY_MASTER!$E$5:$E$21,MATCH($C1609,DATA_PROPERTY_MASTER!$A$5:$A$21,0))="Yes",FALSE),IFERROR(INDEX(INDIRECT("'"&amp;$C1609&amp;"'!$E$52:$Y$52"),1,MATCH($D1609,INDIRECT("'"&amp;$C1609&amp;"'!$E$12:$Y$12"),0)),0),0)</f>
        <v>295124.88763970596</v>
      </c>
      <c r="I1609" s="366" t="s">
        <v>1685</v>
      </c>
      <c r="J1609" s="348" t="str">
        <f t="shared" ca="1" si="50"/>
        <v>OK</v>
      </c>
      <c r="K1609" s="366" t="s">
        <v>1710</v>
      </c>
      <c r="L1609" s="366" t="s">
        <v>2246</v>
      </c>
      <c r="M1609" s="350" t="str">
        <f>IF($B1609="Portfolio","Portfolio",IFERROR(INDEX(DATA_ASSET_CLASSIFICATION!$B$8:$B$24,MATCH($C1609,DATA_ASSET_CLASSIFICATION!$A$8:$A$24,0)),"Review"))</f>
        <v>Constance Court</v>
      </c>
      <c r="N1609" s="350" t="str">
        <f ca="1">IF($B1609="Portfolio","Portfolio",IFERROR(INDEX(DATA_ASSET_CLASSIFICATION!$U$8:$U$24,MATCH($C1609,DATA_ASSET_CLASSIFICATION!$A$8:$A$24,0)),"Review"))</f>
        <v>Refi Watch</v>
      </c>
      <c r="O1609" s="350" t="str">
        <f ca="1">IF($B1609="Portfolio","Portfolio",IFERROR(INDEX(DATA_ASSET_CLASSIFICATION!$AB$8:$AB$13,MATCH($N1609,DATA_ASSET_CLASSIFICATION!$AA$8:$AA$13,0)),"Review"))</f>
        <v>Bucket 2 · Legacy</v>
      </c>
      <c r="P1609" s="350" t="str">
        <f>IF($B1609="Portfolio","Portfolio",IFERROR(INDEX(DATA_ASSET_CLASSIFICATION!$C$8:$C$24,MATCH($C1609,DATA_ASSET_CLASSIFICATION!$A$8:$A$24,0)),"Review"))</f>
        <v>Yes</v>
      </c>
      <c r="Q1609" s="350" t="str">
        <f t="shared" ca="1" si="51"/>
        <v>OK</v>
      </c>
    </row>
    <row r="1610" spans="1:17">
      <c r="A1610" s="366" t="s">
        <v>3566</v>
      </c>
      <c r="B1610" s="366" t="s">
        <v>231</v>
      </c>
      <c r="C1610" s="348" t="str">
        <f>DATA_PROPERTY_MASTER!$A$9</f>
        <v>BLD_CC</v>
      </c>
      <c r="D1610" s="380">
        <f>'00_PORTFOLIO ROLLUP'!N$12</f>
        <v>2034</v>
      </c>
      <c r="E1610" s="366" t="s">
        <v>1683</v>
      </c>
      <c r="F1610" s="366" t="s">
        <v>27</v>
      </c>
      <c r="G1610" s="348" t="str">
        <f>"'"&amp;$C1610&amp;"'!$E$54:$Y$54"</f>
        <v>'BLD_CC'!$E$54:$Y$54</v>
      </c>
      <c r="H1610" s="381">
        <f ca="1">IF(IFERROR(INDEX(DATA_PROPERTY_MASTER!$E$5:$E$21,MATCH($C1610,DATA_PROPERTY_MASTER!$A$5:$A$21,0))="Yes",FALSE),IFERROR(INDEX(INDIRECT("'"&amp;$C1610&amp;"'!$E$54:$Y$54"),1,MATCH($D1610,INDIRECT("'"&amp;$C1610&amp;"'!$E$12:$Y$12"),0)),0),0)</f>
        <v>177074.93258382357</v>
      </c>
      <c r="I1610" s="366" t="s">
        <v>1690</v>
      </c>
      <c r="J1610" s="348" t="str">
        <f t="shared" ca="1" si="50"/>
        <v>OK</v>
      </c>
      <c r="K1610" s="366" t="s">
        <v>1714</v>
      </c>
      <c r="L1610" s="366" t="s">
        <v>2248</v>
      </c>
      <c r="M1610" s="350" t="str">
        <f>IF($B1610="Portfolio","Portfolio",IFERROR(INDEX(DATA_ASSET_CLASSIFICATION!$B$8:$B$24,MATCH($C1610,DATA_ASSET_CLASSIFICATION!$A$8:$A$24,0)),"Review"))</f>
        <v>Constance Court</v>
      </c>
      <c r="N1610" s="350" t="str">
        <f ca="1">IF($B1610="Portfolio","Portfolio",IFERROR(INDEX(DATA_ASSET_CLASSIFICATION!$U$8:$U$24,MATCH($C1610,DATA_ASSET_CLASSIFICATION!$A$8:$A$24,0)),"Review"))</f>
        <v>Refi Watch</v>
      </c>
      <c r="O1610" s="350" t="str">
        <f ca="1">IF($B1610="Portfolio","Portfolio",IFERROR(INDEX(DATA_ASSET_CLASSIFICATION!$AB$8:$AB$13,MATCH($N1610,DATA_ASSET_CLASSIFICATION!$AA$8:$AA$13,0)),"Review"))</f>
        <v>Bucket 2 · Legacy</v>
      </c>
      <c r="P1610" s="350" t="str">
        <f>IF($B1610="Portfolio","Portfolio",IFERROR(INDEX(DATA_ASSET_CLASSIFICATION!$C$8:$C$24,MATCH($C1610,DATA_ASSET_CLASSIFICATION!$A$8:$A$24,0)),"Review"))</f>
        <v>Yes</v>
      </c>
      <c r="Q1610" s="350" t="str">
        <f t="shared" ca="1" si="51"/>
        <v>OK</v>
      </c>
    </row>
    <row r="1611" spans="1:17">
      <c r="A1611" s="366" t="s">
        <v>3567</v>
      </c>
      <c r="B1611" s="366" t="s">
        <v>231</v>
      </c>
      <c r="C1611" s="348" t="str">
        <f>DATA_PROPERTY_MASTER!$A$9</f>
        <v>BLD_CC</v>
      </c>
      <c r="D1611" s="380">
        <f>'00_PORTFOLIO ROLLUP'!N$12</f>
        <v>2034</v>
      </c>
      <c r="E1611" s="366" t="s">
        <v>1683</v>
      </c>
      <c r="F1611" s="366" t="s">
        <v>29</v>
      </c>
      <c r="G1611" s="348" t="str">
        <f>"'"&amp;$C1611&amp;"'!$E$56:$Y$56"</f>
        <v>'BLD_CC'!$E$56:$Y$56</v>
      </c>
      <c r="H1611" s="381">
        <f ca="1">IF(IFERROR(INDEX(DATA_PROPERTY_MASTER!$E$5:$E$21,MATCH($C1611,DATA_PROPERTY_MASTER!$A$5:$A$21,0))="Yes",FALSE),IFERROR(INDEX(INDIRECT("'"&amp;$C1611&amp;"'!$E$56:$Y$56"),1,MATCH($D1611,INDIRECT("'"&amp;$C1611&amp;"'!$E$12:$Y$12"),0)),0),0)</f>
        <v>118049.9550558824</v>
      </c>
      <c r="I1611" s="366" t="s">
        <v>1685</v>
      </c>
      <c r="J1611" s="348" t="str">
        <f t="shared" ca="1" si="50"/>
        <v>OK</v>
      </c>
      <c r="K1611" s="366" t="s">
        <v>1718</v>
      </c>
      <c r="L1611" s="366" t="s">
        <v>2250</v>
      </c>
      <c r="M1611" s="350" t="str">
        <f>IF($B1611="Portfolio","Portfolio",IFERROR(INDEX(DATA_ASSET_CLASSIFICATION!$B$8:$B$24,MATCH($C1611,DATA_ASSET_CLASSIFICATION!$A$8:$A$24,0)),"Review"))</f>
        <v>Constance Court</v>
      </c>
      <c r="N1611" s="350" t="str">
        <f ca="1">IF($B1611="Portfolio","Portfolio",IFERROR(INDEX(DATA_ASSET_CLASSIFICATION!$U$8:$U$24,MATCH($C1611,DATA_ASSET_CLASSIFICATION!$A$8:$A$24,0)),"Review"))</f>
        <v>Refi Watch</v>
      </c>
      <c r="O1611" s="350" t="str">
        <f ca="1">IF($B1611="Portfolio","Portfolio",IFERROR(INDEX(DATA_ASSET_CLASSIFICATION!$AB$8:$AB$13,MATCH($N1611,DATA_ASSET_CLASSIFICATION!$AA$8:$AA$13,0)),"Review"))</f>
        <v>Bucket 2 · Legacy</v>
      </c>
      <c r="P1611" s="350" t="str">
        <f>IF($B1611="Portfolio","Portfolio",IFERROR(INDEX(DATA_ASSET_CLASSIFICATION!$C$8:$C$24,MATCH($C1611,DATA_ASSET_CLASSIFICATION!$A$8:$A$24,0)),"Review"))</f>
        <v>Yes</v>
      </c>
      <c r="Q1611" s="350" t="str">
        <f t="shared" ca="1" si="51"/>
        <v>OK</v>
      </c>
    </row>
    <row r="1612" spans="1:17">
      <c r="A1612" s="366" t="s">
        <v>3568</v>
      </c>
      <c r="B1612" s="366" t="s">
        <v>231</v>
      </c>
      <c r="C1612" s="348" t="str">
        <f>DATA_PROPERTY_MASTER!$A$9</f>
        <v>BLD_CC</v>
      </c>
      <c r="D1612" s="380">
        <f>'00_PORTFOLIO ROLLUP'!N$12</f>
        <v>2034</v>
      </c>
      <c r="E1612" s="366" t="s">
        <v>1721</v>
      </c>
      <c r="F1612" s="366" t="s">
        <v>31</v>
      </c>
      <c r="G1612" s="348" t="str">
        <f>"'"&amp;$C1612&amp;"'!$E$61:$Y$61"</f>
        <v>'BLD_CC'!$E$61:$Y$61</v>
      </c>
      <c r="H1612" s="381">
        <f ca="1">IF(IFERROR(INDEX(DATA_PROPERTY_MASTER!$E$5:$E$21,MATCH($C1612,DATA_PROPERTY_MASTER!$A$5:$A$21,0))="Yes",FALSE),IFERROR(INDEX(INDIRECT("'"&amp;$C1612&amp;"'!$E$61:$Y$61"),1,MATCH($D1612,INDIRECT("'"&amp;$C1612&amp;"'!$E$12:$Y$12"),0)),0),0)</f>
        <v>0</v>
      </c>
      <c r="I1612" s="366" t="s">
        <v>1690</v>
      </c>
      <c r="J1612" s="348" t="str">
        <f t="shared" ca="1" si="50"/>
        <v>OK</v>
      </c>
      <c r="K1612" s="366" t="s">
        <v>1723</v>
      </c>
      <c r="L1612" s="366" t="s">
        <v>2252</v>
      </c>
      <c r="M1612" s="350" t="str">
        <f>IF($B1612="Portfolio","Portfolio",IFERROR(INDEX(DATA_ASSET_CLASSIFICATION!$B$8:$B$24,MATCH($C1612,DATA_ASSET_CLASSIFICATION!$A$8:$A$24,0)),"Review"))</f>
        <v>Constance Court</v>
      </c>
      <c r="N1612" s="350" t="str">
        <f ca="1">IF($B1612="Portfolio","Portfolio",IFERROR(INDEX(DATA_ASSET_CLASSIFICATION!$U$8:$U$24,MATCH($C1612,DATA_ASSET_CLASSIFICATION!$A$8:$A$24,0)),"Review"))</f>
        <v>Refi Watch</v>
      </c>
      <c r="O1612" s="350" t="str">
        <f ca="1">IF($B1612="Portfolio","Portfolio",IFERROR(INDEX(DATA_ASSET_CLASSIFICATION!$AB$8:$AB$13,MATCH($N1612,DATA_ASSET_CLASSIFICATION!$AA$8:$AA$13,0)),"Review"))</f>
        <v>Bucket 2 · Legacy</v>
      </c>
      <c r="P1612" s="350" t="str">
        <f>IF($B1612="Portfolio","Portfolio",IFERROR(INDEX(DATA_ASSET_CLASSIFICATION!$C$8:$C$24,MATCH($C1612,DATA_ASSET_CLASSIFICATION!$A$8:$A$24,0)),"Review"))</f>
        <v>Yes</v>
      </c>
      <c r="Q1612" s="350" t="str">
        <f t="shared" ca="1" si="51"/>
        <v>OK</v>
      </c>
    </row>
    <row r="1613" spans="1:17">
      <c r="A1613" s="366" t="s">
        <v>3569</v>
      </c>
      <c r="B1613" s="366" t="s">
        <v>231</v>
      </c>
      <c r="C1613" s="348" t="str">
        <f>DATA_PROPERTY_MASTER!$A$9</f>
        <v>BLD_CC</v>
      </c>
      <c r="D1613" s="380">
        <f>'00_PORTFOLIO ROLLUP'!N$12</f>
        <v>2034</v>
      </c>
      <c r="E1613" s="366" t="s">
        <v>1721</v>
      </c>
      <c r="F1613" s="366" t="s">
        <v>33</v>
      </c>
      <c r="G1613" s="348" t="str">
        <f>"'"&amp;$C1613&amp;"'!$E$62:$Y$62"</f>
        <v>'BLD_CC'!$E$62:$Y$62</v>
      </c>
      <c r="H1613" s="381">
        <f ca="1">IF(IFERROR(INDEX(DATA_PROPERTY_MASTER!$E$5:$E$21,MATCH($C1613,DATA_PROPERTY_MASTER!$A$5:$A$21,0))="Yes",FALSE),IFERROR(INDEX(INDIRECT("'"&amp;$C1613&amp;"'!$E$62:$Y$62"),1,MATCH($D1613,INDIRECT("'"&amp;$C1613&amp;"'!$E$12:$Y$12"),0)),0),0)</f>
        <v>0</v>
      </c>
      <c r="I1613" s="366" t="s">
        <v>1685</v>
      </c>
      <c r="J1613" s="348" t="str">
        <f t="shared" ca="1" si="50"/>
        <v>OK</v>
      </c>
      <c r="K1613" s="366" t="s">
        <v>1727</v>
      </c>
      <c r="L1613" s="366" t="s">
        <v>2254</v>
      </c>
      <c r="M1613" s="350" t="str">
        <f>IF($B1613="Portfolio","Portfolio",IFERROR(INDEX(DATA_ASSET_CLASSIFICATION!$B$8:$B$24,MATCH($C1613,DATA_ASSET_CLASSIFICATION!$A$8:$A$24,0)),"Review"))</f>
        <v>Constance Court</v>
      </c>
      <c r="N1613" s="350" t="str">
        <f ca="1">IF($B1613="Portfolio","Portfolio",IFERROR(INDEX(DATA_ASSET_CLASSIFICATION!$U$8:$U$24,MATCH($C1613,DATA_ASSET_CLASSIFICATION!$A$8:$A$24,0)),"Review"))</f>
        <v>Refi Watch</v>
      </c>
      <c r="O1613" s="350" t="str">
        <f ca="1">IF($B1613="Portfolio","Portfolio",IFERROR(INDEX(DATA_ASSET_CLASSIFICATION!$AB$8:$AB$13,MATCH($N1613,DATA_ASSET_CLASSIFICATION!$AA$8:$AA$13,0)),"Review"))</f>
        <v>Bucket 2 · Legacy</v>
      </c>
      <c r="P1613" s="350" t="str">
        <f>IF($B1613="Portfolio","Portfolio",IFERROR(INDEX(DATA_ASSET_CLASSIFICATION!$C$8:$C$24,MATCH($C1613,DATA_ASSET_CLASSIFICATION!$A$8:$A$24,0)),"Review"))</f>
        <v>Yes</v>
      </c>
      <c r="Q1613" s="350" t="str">
        <f t="shared" ca="1" si="51"/>
        <v>OK</v>
      </c>
    </row>
    <row r="1614" spans="1:17">
      <c r="A1614" s="366" t="s">
        <v>3570</v>
      </c>
      <c r="B1614" s="366" t="s">
        <v>231</v>
      </c>
      <c r="C1614" s="348" t="str">
        <f>DATA_PROPERTY_MASTER!$A$9</f>
        <v>BLD_CC</v>
      </c>
      <c r="D1614" s="380">
        <f>'00_PORTFOLIO ROLLUP'!N$12</f>
        <v>2034</v>
      </c>
      <c r="E1614" s="366" t="s">
        <v>1721</v>
      </c>
      <c r="F1614" s="366" t="s">
        <v>35</v>
      </c>
      <c r="G1614" s="348" t="str">
        <f>"'"&amp;$C1614&amp;"'!$E$63:$Y$63"</f>
        <v>'BLD_CC'!$E$63:$Y$63</v>
      </c>
      <c r="H1614" s="381">
        <f ca="1">IF(IFERROR(INDEX(DATA_PROPERTY_MASTER!$E$5:$E$21,MATCH($C1614,DATA_PROPERTY_MASTER!$A$5:$A$21,0))="Yes",FALSE),IFERROR(INDEX(INDIRECT("'"&amp;$C1614&amp;"'!$E$63:$Y$63"),1,MATCH($D1614,INDIRECT("'"&amp;$C1614&amp;"'!$E$12:$Y$12"),0)),0),0)</f>
        <v>0</v>
      </c>
      <c r="I1614" s="366" t="s">
        <v>1731</v>
      </c>
      <c r="J1614" s="348" t="str">
        <f t="shared" ca="1" si="50"/>
        <v>OK</v>
      </c>
      <c r="K1614" s="366" t="s">
        <v>1732</v>
      </c>
      <c r="L1614" s="366" t="s">
        <v>2256</v>
      </c>
      <c r="M1614" s="350" t="str">
        <f>IF($B1614="Portfolio","Portfolio",IFERROR(INDEX(DATA_ASSET_CLASSIFICATION!$B$8:$B$24,MATCH($C1614,DATA_ASSET_CLASSIFICATION!$A$8:$A$24,0)),"Review"))</f>
        <v>Constance Court</v>
      </c>
      <c r="N1614" s="350" t="str">
        <f ca="1">IF($B1614="Portfolio","Portfolio",IFERROR(INDEX(DATA_ASSET_CLASSIFICATION!$U$8:$U$24,MATCH($C1614,DATA_ASSET_CLASSIFICATION!$A$8:$A$24,0)),"Review"))</f>
        <v>Refi Watch</v>
      </c>
      <c r="O1614" s="350" t="str">
        <f ca="1">IF($B1614="Portfolio","Portfolio",IFERROR(INDEX(DATA_ASSET_CLASSIFICATION!$AB$8:$AB$13,MATCH($N1614,DATA_ASSET_CLASSIFICATION!$AA$8:$AA$13,0)),"Review"))</f>
        <v>Bucket 2 · Legacy</v>
      </c>
      <c r="P1614" s="350" t="str">
        <f>IF($B1614="Portfolio","Portfolio",IFERROR(INDEX(DATA_ASSET_CLASSIFICATION!$C$8:$C$24,MATCH($C1614,DATA_ASSET_CLASSIFICATION!$A$8:$A$24,0)),"Review"))</f>
        <v>Yes</v>
      </c>
      <c r="Q1614" s="350" t="str">
        <f t="shared" ca="1" si="51"/>
        <v>OK</v>
      </c>
    </row>
    <row r="1615" spans="1:17">
      <c r="A1615" s="366" t="s">
        <v>3571</v>
      </c>
      <c r="B1615" s="366" t="s">
        <v>231</v>
      </c>
      <c r="C1615" s="348" t="str">
        <f>DATA_PROPERTY_MASTER!$A$9</f>
        <v>BLD_CC</v>
      </c>
      <c r="D1615" s="380">
        <f>'00_PORTFOLIO ROLLUP'!N$12</f>
        <v>2034</v>
      </c>
      <c r="E1615" s="366" t="s">
        <v>1721</v>
      </c>
      <c r="F1615" s="366" t="s">
        <v>37</v>
      </c>
      <c r="G1615" s="348" t="str">
        <f>"'"&amp;$C1615&amp;"'!$E$63:$Y$63"</f>
        <v>'BLD_CC'!$E$63:$Y$63</v>
      </c>
      <c r="H1615" s="381">
        <f ca="1">IF(IFERROR(INDEX(DATA_PROPERTY_MASTER!$E$5:$E$21,MATCH($C1615,DATA_PROPERTY_MASTER!$A$5:$A$21,0))="Yes",FALSE),MAX(IFERROR(INDEX(INDIRECT("'"&amp;$C1615&amp;"'!$E$63:$Y$63"),1,MATCH($D1615,INDIRECT("'"&amp;$C1615&amp;"'!$E$12:$Y$12"),0)),0),0),0)</f>
        <v>0</v>
      </c>
      <c r="I1615" s="366" t="s">
        <v>1685</v>
      </c>
      <c r="J1615" s="348" t="str">
        <f t="shared" ca="1" si="50"/>
        <v>OK</v>
      </c>
      <c r="K1615" s="366" t="s">
        <v>1735</v>
      </c>
      <c r="L1615" s="366" t="s">
        <v>2258</v>
      </c>
      <c r="M1615" s="350" t="str">
        <f>IF($B1615="Portfolio","Portfolio",IFERROR(INDEX(DATA_ASSET_CLASSIFICATION!$B$8:$B$24,MATCH($C1615,DATA_ASSET_CLASSIFICATION!$A$8:$A$24,0)),"Review"))</f>
        <v>Constance Court</v>
      </c>
      <c r="N1615" s="350" t="str">
        <f ca="1">IF($B1615="Portfolio","Portfolio",IFERROR(INDEX(DATA_ASSET_CLASSIFICATION!$U$8:$U$24,MATCH($C1615,DATA_ASSET_CLASSIFICATION!$A$8:$A$24,0)),"Review"))</f>
        <v>Refi Watch</v>
      </c>
      <c r="O1615" s="350" t="str">
        <f ca="1">IF($B1615="Portfolio","Portfolio",IFERROR(INDEX(DATA_ASSET_CLASSIFICATION!$AB$8:$AB$13,MATCH($N1615,DATA_ASSET_CLASSIFICATION!$AA$8:$AA$13,0)),"Review"))</f>
        <v>Bucket 2 · Legacy</v>
      </c>
      <c r="P1615" s="350" t="str">
        <f>IF($B1615="Portfolio","Portfolio",IFERROR(INDEX(DATA_ASSET_CLASSIFICATION!$C$8:$C$24,MATCH($C1615,DATA_ASSET_CLASSIFICATION!$A$8:$A$24,0)),"Review"))</f>
        <v>Yes</v>
      </c>
      <c r="Q1615" s="350" t="str">
        <f t="shared" ca="1" si="51"/>
        <v>OK</v>
      </c>
    </row>
    <row r="1616" spans="1:17">
      <c r="A1616" s="366" t="s">
        <v>3572</v>
      </c>
      <c r="B1616" s="366" t="s">
        <v>231</v>
      </c>
      <c r="C1616" s="348" t="str">
        <f>DATA_PROPERTY_MASTER!$A$9</f>
        <v>BLD_CC</v>
      </c>
      <c r="D1616" s="380">
        <f>'00_PORTFOLIO ROLLUP'!N$12</f>
        <v>2034</v>
      </c>
      <c r="E1616" s="366" t="s">
        <v>1721</v>
      </c>
      <c r="F1616" s="366" t="s">
        <v>39</v>
      </c>
      <c r="G1616" s="348" t="str">
        <f>"'"&amp;$C1616&amp;"'!$E$63:$Y$63"</f>
        <v>'BLD_CC'!$E$63:$Y$63</v>
      </c>
      <c r="H1616" s="381">
        <f ca="1">IF(IFERROR(INDEX(DATA_PROPERTY_MASTER!$E$5:$E$21,MATCH($C1616,DATA_PROPERTY_MASTER!$A$5:$A$21,0))="Yes",FALSE),MAX(-IFERROR(INDEX(INDIRECT("'"&amp;$C1616&amp;"'!$E$63:$Y$63"),1,MATCH($D1616,INDIRECT("'"&amp;$C1616&amp;"'!$E$12:$Y$12"),0)),0),0),0)</f>
        <v>0</v>
      </c>
      <c r="I1616" s="366" t="s">
        <v>1690</v>
      </c>
      <c r="J1616" s="348" t="str">
        <f t="shared" ca="1" si="50"/>
        <v>OK</v>
      </c>
      <c r="K1616" s="366" t="s">
        <v>1738</v>
      </c>
      <c r="L1616" s="366" t="s">
        <v>2260</v>
      </c>
      <c r="M1616" s="350" t="str">
        <f>IF($B1616="Portfolio","Portfolio",IFERROR(INDEX(DATA_ASSET_CLASSIFICATION!$B$8:$B$24,MATCH($C1616,DATA_ASSET_CLASSIFICATION!$A$8:$A$24,0)),"Review"))</f>
        <v>Constance Court</v>
      </c>
      <c r="N1616" s="350" t="str">
        <f ca="1">IF($B1616="Portfolio","Portfolio",IFERROR(INDEX(DATA_ASSET_CLASSIFICATION!$U$8:$U$24,MATCH($C1616,DATA_ASSET_CLASSIFICATION!$A$8:$A$24,0)),"Review"))</f>
        <v>Refi Watch</v>
      </c>
      <c r="O1616" s="350" t="str">
        <f ca="1">IF($B1616="Portfolio","Portfolio",IFERROR(INDEX(DATA_ASSET_CLASSIFICATION!$AB$8:$AB$13,MATCH($N1616,DATA_ASSET_CLASSIFICATION!$AA$8:$AA$13,0)),"Review"))</f>
        <v>Bucket 2 · Legacy</v>
      </c>
      <c r="P1616" s="350" t="str">
        <f>IF($B1616="Portfolio","Portfolio",IFERROR(INDEX(DATA_ASSET_CLASSIFICATION!$C$8:$C$24,MATCH($C1616,DATA_ASSET_CLASSIFICATION!$A$8:$A$24,0)),"Review"))</f>
        <v>Yes</v>
      </c>
      <c r="Q1616" s="350" t="str">
        <f t="shared" ca="1" si="51"/>
        <v>OK</v>
      </c>
    </row>
    <row r="1617" spans="1:17">
      <c r="A1617" s="366" t="s">
        <v>3573</v>
      </c>
      <c r="B1617" s="366" t="s">
        <v>231</v>
      </c>
      <c r="C1617" s="348" t="str">
        <f>DATA_PROPERTY_MASTER!$A$9</f>
        <v>BLD_CC</v>
      </c>
      <c r="D1617" s="380">
        <f>'00_PORTFOLIO ROLLUP'!N$12</f>
        <v>2034</v>
      </c>
      <c r="E1617" s="366" t="s">
        <v>1741</v>
      </c>
      <c r="F1617" s="366" t="s">
        <v>41</v>
      </c>
      <c r="G1617" s="348" t="str">
        <f>"'"&amp;$C1617&amp;"'!rows 56 + positive row 63"</f>
        <v>'BLD_CC'!rows 56 + positive row 63</v>
      </c>
      <c r="H1617" s="381">
        <f ca="1">IF(IFERROR(INDEX(DATA_PROPERTY_MASTER!$E$5:$E$21,MATCH($C1617,DATA_PROPERTY_MASTER!$A$5:$A$21,0))="Yes",FALSE),IFERROR(INDEX(INDIRECT("'"&amp;$C1617&amp;"'!$E$56:$Y$56"),1,MATCH($D1617,INDIRECT("'"&amp;$C1617&amp;"'!$E$12:$Y$12"),0)),0)+MAX(IFERROR(INDEX(INDIRECT("'"&amp;$C1617&amp;"'!$E$63:$Y$63"),1,MATCH($D1617,INDIRECT("'"&amp;$C1617&amp;"'!$E$12:$Y$12"),0)),0),0),0)</f>
        <v>118049.9550558824</v>
      </c>
      <c r="I1617" s="366" t="s">
        <v>1685</v>
      </c>
      <c r="J1617" s="348" t="str">
        <f t="shared" ca="1" si="50"/>
        <v>OK</v>
      </c>
      <c r="K1617" s="366" t="s">
        <v>1742</v>
      </c>
      <c r="L1617" s="366" t="s">
        <v>2262</v>
      </c>
      <c r="M1617" s="350" t="str">
        <f>IF($B1617="Portfolio","Portfolio",IFERROR(INDEX(DATA_ASSET_CLASSIFICATION!$B$8:$B$24,MATCH($C1617,DATA_ASSET_CLASSIFICATION!$A$8:$A$24,0)),"Review"))</f>
        <v>Constance Court</v>
      </c>
      <c r="N1617" s="350" t="str">
        <f ca="1">IF($B1617="Portfolio","Portfolio",IFERROR(INDEX(DATA_ASSET_CLASSIFICATION!$U$8:$U$24,MATCH($C1617,DATA_ASSET_CLASSIFICATION!$A$8:$A$24,0)),"Review"))</f>
        <v>Refi Watch</v>
      </c>
      <c r="O1617" s="350" t="str">
        <f ca="1">IF($B1617="Portfolio","Portfolio",IFERROR(INDEX(DATA_ASSET_CLASSIFICATION!$AB$8:$AB$13,MATCH($N1617,DATA_ASSET_CLASSIFICATION!$AA$8:$AA$13,0)),"Review"))</f>
        <v>Bucket 2 · Legacy</v>
      </c>
      <c r="P1617" s="350" t="str">
        <f>IF($B1617="Portfolio","Portfolio",IFERROR(INDEX(DATA_ASSET_CLASSIFICATION!$C$8:$C$24,MATCH($C1617,DATA_ASSET_CLASSIFICATION!$A$8:$A$24,0)),"Review"))</f>
        <v>Yes</v>
      </c>
      <c r="Q1617" s="350" t="str">
        <f t="shared" ca="1" si="51"/>
        <v>OK</v>
      </c>
    </row>
    <row r="1618" spans="1:17">
      <c r="A1618" s="366" t="s">
        <v>3574</v>
      </c>
      <c r="B1618" s="366" t="s">
        <v>231</v>
      </c>
      <c r="C1618" s="348" t="str">
        <f>DATA_PROPERTY_MASTER!$A$9</f>
        <v>BLD_CC</v>
      </c>
      <c r="D1618" s="380">
        <f>'00_PORTFOLIO ROLLUP'!N$12</f>
        <v>2034</v>
      </c>
      <c r="E1618" s="366" t="s">
        <v>1741</v>
      </c>
      <c r="F1618" s="366" t="s">
        <v>43</v>
      </c>
      <c r="G1618" s="348" t="str">
        <f>"'"&amp;$C1618&amp;"'!$E$68:$Y$68"</f>
        <v>'BLD_CC'!$E$68:$Y$68</v>
      </c>
      <c r="H1618" s="381">
        <f ca="1">IF(IFERROR(INDEX(DATA_PROPERTY_MASTER!$E$5:$E$21,MATCH($C1618,DATA_PROPERTY_MASTER!$A$5:$A$21,0))="Yes",FALSE),IFERROR(INDEX(INDIRECT("'"&amp;$C1618&amp;"'!$E$68:$Y$68"),1,MATCH($D1618,INDIRECT("'"&amp;$C1618&amp;"'!$E$12:$Y$12"),0)),0),0)</f>
        <v>118049.9550558824</v>
      </c>
      <c r="I1618" s="366" t="s">
        <v>1731</v>
      </c>
      <c r="J1618" s="348" t="str">
        <f t="shared" ca="1" si="50"/>
        <v>OK</v>
      </c>
      <c r="K1618" s="366" t="s">
        <v>1746</v>
      </c>
      <c r="L1618" s="366" t="s">
        <v>2264</v>
      </c>
      <c r="M1618" s="350" t="str">
        <f>IF($B1618="Portfolio","Portfolio",IFERROR(INDEX(DATA_ASSET_CLASSIFICATION!$B$8:$B$24,MATCH($C1618,DATA_ASSET_CLASSIFICATION!$A$8:$A$24,0)),"Review"))</f>
        <v>Constance Court</v>
      </c>
      <c r="N1618" s="350" t="str">
        <f ca="1">IF($B1618="Portfolio","Portfolio",IFERROR(INDEX(DATA_ASSET_CLASSIFICATION!$U$8:$U$24,MATCH($C1618,DATA_ASSET_CLASSIFICATION!$A$8:$A$24,0)),"Review"))</f>
        <v>Refi Watch</v>
      </c>
      <c r="O1618" s="350" t="str">
        <f ca="1">IF($B1618="Portfolio","Portfolio",IFERROR(INDEX(DATA_ASSET_CLASSIFICATION!$AB$8:$AB$13,MATCH($N1618,DATA_ASSET_CLASSIFICATION!$AA$8:$AA$13,0)),"Review"))</f>
        <v>Bucket 2 · Legacy</v>
      </c>
      <c r="P1618" s="350" t="str">
        <f>IF($B1618="Portfolio","Portfolio",IFERROR(INDEX(DATA_ASSET_CLASSIFICATION!$C$8:$C$24,MATCH($C1618,DATA_ASSET_CLASSIFICATION!$A$8:$A$24,0)),"Review"))</f>
        <v>Yes</v>
      </c>
      <c r="Q1618" s="350" t="str">
        <f t="shared" ca="1" si="51"/>
        <v>OK</v>
      </c>
    </row>
    <row r="1619" spans="1:17">
      <c r="A1619" s="366" t="s">
        <v>3575</v>
      </c>
      <c r="B1619" s="366" t="s">
        <v>231</v>
      </c>
      <c r="C1619" s="348" t="str">
        <f>DATA_PROPERTY_MASTER!$A$9</f>
        <v>BLD_CC</v>
      </c>
      <c r="D1619" s="380">
        <f>'00_PORTFOLIO ROLLUP'!N$12</f>
        <v>2034</v>
      </c>
      <c r="E1619" s="366" t="s">
        <v>1741</v>
      </c>
      <c r="F1619" s="366" t="s">
        <v>1749</v>
      </c>
      <c r="G1619" s="348" t="str">
        <f>"'"&amp;$C1619&amp;"'!rows 56, 63, 68"</f>
        <v>'BLD_CC'!rows 56, 63, 68</v>
      </c>
      <c r="H1619" s="381">
        <f ca="1">IF(IFERROR(INDEX(DATA_PROPERTY_MASTER!$E$5:$E$21,MATCH($C1619,DATA_PROPERTY_MASTER!$A$5:$A$21,0))="Yes",FALSE),(IFERROR(INDEX(INDIRECT("'"&amp;$C1619&amp;"'!$E$56:$Y$56"),1,MATCH($D1619,INDIRECT("'"&amp;$C1619&amp;"'!$E$12:$Y$12"),0)),0)+MAX(IFERROR(INDEX(INDIRECT("'"&amp;$C1619&amp;"'!$E$63:$Y$63"),1,MATCH($D1619,INDIRECT("'"&amp;$C1619&amp;"'!$E$12:$Y$12"),0)),0),0))-(IFERROR(INDEX(INDIRECT("'"&amp;$C1619&amp;"'!$E$68:$Y$68"),1,MATCH($D1619,INDIRECT("'"&amp;$C1619&amp;"'!$E$12:$Y$12"),0)),0)),0)</f>
        <v>0</v>
      </c>
      <c r="I1619" s="366" t="s">
        <v>1750</v>
      </c>
      <c r="J1619" s="348" t="str">
        <f t="shared" ca="1" si="50"/>
        <v>OK</v>
      </c>
      <c r="K1619" s="366" t="s">
        <v>1751</v>
      </c>
      <c r="L1619" s="366" t="s">
        <v>2266</v>
      </c>
      <c r="M1619" s="350" t="str">
        <f>IF($B1619="Portfolio","Portfolio",IFERROR(INDEX(DATA_ASSET_CLASSIFICATION!$B$8:$B$24,MATCH($C1619,DATA_ASSET_CLASSIFICATION!$A$8:$A$24,0)),"Review"))</f>
        <v>Constance Court</v>
      </c>
      <c r="N1619" s="350" t="str">
        <f ca="1">IF($B1619="Portfolio","Portfolio",IFERROR(INDEX(DATA_ASSET_CLASSIFICATION!$U$8:$U$24,MATCH($C1619,DATA_ASSET_CLASSIFICATION!$A$8:$A$24,0)),"Review"))</f>
        <v>Refi Watch</v>
      </c>
      <c r="O1619" s="350" t="str">
        <f ca="1">IF($B1619="Portfolio","Portfolio",IFERROR(INDEX(DATA_ASSET_CLASSIFICATION!$AB$8:$AB$13,MATCH($N1619,DATA_ASSET_CLASSIFICATION!$AA$8:$AA$13,0)),"Review"))</f>
        <v>Bucket 2 · Legacy</v>
      </c>
      <c r="P1619" s="350" t="str">
        <f>IF($B1619="Portfolio","Portfolio",IFERROR(INDEX(DATA_ASSET_CLASSIFICATION!$C$8:$C$24,MATCH($C1619,DATA_ASSET_CLASSIFICATION!$A$8:$A$24,0)),"Review"))</f>
        <v>Yes</v>
      </c>
      <c r="Q1619" s="350" t="str">
        <f t="shared" ca="1" si="51"/>
        <v>OK</v>
      </c>
    </row>
    <row r="1620" spans="1:17">
      <c r="A1620" s="366" t="s">
        <v>3576</v>
      </c>
      <c r="B1620" s="366" t="s">
        <v>231</v>
      </c>
      <c r="C1620" s="348" t="str">
        <f>DATA_PROPERTY_MASTER!$A$9</f>
        <v>BLD_CC</v>
      </c>
      <c r="D1620" s="380">
        <f>'00_PORTFOLIO ROLLUP'!O$12</f>
        <v>2035</v>
      </c>
      <c r="E1620" s="366" t="s">
        <v>1683</v>
      </c>
      <c r="F1620" s="366" t="s">
        <v>341</v>
      </c>
      <c r="G1620" s="348" t="str">
        <f>"'"&amp;$C1620&amp;"'!$E$24:$Y$24"</f>
        <v>'BLD_CC'!$E$24:$Y$24</v>
      </c>
      <c r="H1620" s="381">
        <f ca="1">IF(IFERROR(INDEX(DATA_PROPERTY_MASTER!$E$5:$E$21,MATCH($C1620,DATA_PROPERTY_MASTER!$A$5:$A$21,0))="Yes",FALSE),IFERROR(INDEX(INDIRECT("'"&amp;$C1620&amp;"'!$E$24:$Y$24"),1,MATCH($D1620,INDIRECT("'"&amp;$C1620&amp;"'!$E$12:$Y$12"),0)),0),0)</f>
        <v>601114.26338671765</v>
      </c>
      <c r="I1620" s="366" t="s">
        <v>1685</v>
      </c>
      <c r="J1620" s="348" t="str">
        <f t="shared" ca="1" si="50"/>
        <v>OK</v>
      </c>
      <c r="K1620" s="366" t="s">
        <v>1686</v>
      </c>
      <c r="L1620" s="366" t="s">
        <v>2234</v>
      </c>
      <c r="M1620" s="350" t="str">
        <f>IF($B1620="Portfolio","Portfolio",IFERROR(INDEX(DATA_ASSET_CLASSIFICATION!$B$8:$B$24,MATCH($C1620,DATA_ASSET_CLASSIFICATION!$A$8:$A$24,0)),"Review"))</f>
        <v>Constance Court</v>
      </c>
      <c r="N1620" s="350" t="str">
        <f ca="1">IF($B1620="Portfolio","Portfolio",IFERROR(INDEX(DATA_ASSET_CLASSIFICATION!$U$8:$U$24,MATCH($C1620,DATA_ASSET_CLASSIFICATION!$A$8:$A$24,0)),"Review"))</f>
        <v>Refi Watch</v>
      </c>
      <c r="O1620" s="350" t="str">
        <f ca="1">IF($B1620="Portfolio","Portfolio",IFERROR(INDEX(DATA_ASSET_CLASSIFICATION!$AB$8:$AB$13,MATCH($N1620,DATA_ASSET_CLASSIFICATION!$AA$8:$AA$13,0)),"Review"))</f>
        <v>Bucket 2 · Legacy</v>
      </c>
      <c r="P1620" s="350" t="str">
        <f>IF($B1620="Portfolio","Portfolio",IFERROR(INDEX(DATA_ASSET_CLASSIFICATION!$C$8:$C$24,MATCH($C1620,DATA_ASSET_CLASSIFICATION!$A$8:$A$24,0)),"Review"))</f>
        <v>Yes</v>
      </c>
      <c r="Q1620" s="350" t="str">
        <f t="shared" ca="1" si="51"/>
        <v>OK</v>
      </c>
    </row>
    <row r="1621" spans="1:17">
      <c r="A1621" s="366" t="s">
        <v>3577</v>
      </c>
      <c r="B1621" s="366" t="s">
        <v>231</v>
      </c>
      <c r="C1621" s="348" t="str">
        <f>DATA_PROPERTY_MASTER!$A$9</f>
        <v>BLD_CC</v>
      </c>
      <c r="D1621" s="380">
        <f>'00_PORTFOLIO ROLLUP'!O$12</f>
        <v>2035</v>
      </c>
      <c r="E1621" s="366" t="s">
        <v>1683</v>
      </c>
      <c r="F1621" s="366" t="s">
        <v>355</v>
      </c>
      <c r="G1621" s="348" t="str">
        <f>"'"&amp;$C1621&amp;"'!$E$39:$Y$39"</f>
        <v>'BLD_CC'!$E$39:$Y$39</v>
      </c>
      <c r="H1621" s="381">
        <f ca="1">IF(IFERROR(INDEX(DATA_PROPERTY_MASTER!$E$5:$E$21,MATCH($C1621,DATA_PROPERTY_MASTER!$A$5:$A$21,0))="Yes",FALSE),IFERROR(INDEX(INDIRECT("'"&amp;$C1621&amp;"'!$E$39:$Y$39"),1,MATCH($D1621,INDIRECT("'"&amp;$C1621&amp;"'!$E$12:$Y$12"),0)),0),0)</f>
        <v>301557.8921020322</v>
      </c>
      <c r="I1621" s="366" t="s">
        <v>1690</v>
      </c>
      <c r="J1621" s="348" t="str">
        <f t="shared" ca="1" si="50"/>
        <v>OK</v>
      </c>
      <c r="K1621" s="366" t="s">
        <v>1686</v>
      </c>
      <c r="L1621" s="366" t="s">
        <v>2236</v>
      </c>
      <c r="M1621" s="350" t="str">
        <f>IF($B1621="Portfolio","Portfolio",IFERROR(INDEX(DATA_ASSET_CLASSIFICATION!$B$8:$B$24,MATCH($C1621,DATA_ASSET_CLASSIFICATION!$A$8:$A$24,0)),"Review"))</f>
        <v>Constance Court</v>
      </c>
      <c r="N1621" s="350" t="str">
        <f ca="1">IF($B1621="Portfolio","Portfolio",IFERROR(INDEX(DATA_ASSET_CLASSIFICATION!$U$8:$U$24,MATCH($C1621,DATA_ASSET_CLASSIFICATION!$A$8:$A$24,0)),"Review"))</f>
        <v>Refi Watch</v>
      </c>
      <c r="O1621" s="350" t="str">
        <f ca="1">IF($B1621="Portfolio","Portfolio",IFERROR(INDEX(DATA_ASSET_CLASSIFICATION!$AB$8:$AB$13,MATCH($N1621,DATA_ASSET_CLASSIFICATION!$AA$8:$AA$13,0)),"Review"))</f>
        <v>Bucket 2 · Legacy</v>
      </c>
      <c r="P1621" s="350" t="str">
        <f>IF($B1621="Portfolio","Portfolio",IFERROR(INDEX(DATA_ASSET_CLASSIFICATION!$C$8:$C$24,MATCH($C1621,DATA_ASSET_CLASSIFICATION!$A$8:$A$24,0)),"Review"))</f>
        <v>Yes</v>
      </c>
      <c r="Q1621" s="350" t="str">
        <f t="shared" ca="1" si="51"/>
        <v>OK</v>
      </c>
    </row>
    <row r="1622" spans="1:17">
      <c r="A1622" s="366" t="s">
        <v>3578</v>
      </c>
      <c r="B1622" s="366" t="s">
        <v>231</v>
      </c>
      <c r="C1622" s="348" t="str">
        <f>DATA_PROPERTY_MASTER!$A$9</f>
        <v>BLD_CC</v>
      </c>
      <c r="D1622" s="380">
        <f>'00_PORTFOLIO ROLLUP'!O$12</f>
        <v>2035</v>
      </c>
      <c r="E1622" s="366" t="s">
        <v>1683</v>
      </c>
      <c r="F1622" s="366" t="s">
        <v>19</v>
      </c>
      <c r="G1622" s="348" t="str">
        <f>"'"&amp;$C1622&amp;"'!$E$41:$Y$41"</f>
        <v>'BLD_CC'!$E$41:$Y$41</v>
      </c>
      <c r="H1622" s="381">
        <f ca="1">IF(IFERROR(INDEX(DATA_PROPERTY_MASTER!$E$5:$E$21,MATCH($C1622,DATA_PROPERTY_MASTER!$A$5:$A$21,0))="Yes",FALSE),IFERROR(INDEX(INDIRECT("'"&amp;$C1622&amp;"'!$E$41:$Y$41"),1,MATCH($D1622,INDIRECT("'"&amp;$C1622&amp;"'!$E$12:$Y$12"),0)),0),0)</f>
        <v>299556.37128468545</v>
      </c>
      <c r="I1622" s="366" t="s">
        <v>1685</v>
      </c>
      <c r="J1622" s="348" t="str">
        <f t="shared" ca="1" si="50"/>
        <v>OK</v>
      </c>
      <c r="K1622" s="366" t="s">
        <v>1694</v>
      </c>
      <c r="L1622" s="366" t="s">
        <v>2238</v>
      </c>
      <c r="M1622" s="350" t="str">
        <f>IF($B1622="Portfolio","Portfolio",IFERROR(INDEX(DATA_ASSET_CLASSIFICATION!$B$8:$B$24,MATCH($C1622,DATA_ASSET_CLASSIFICATION!$A$8:$A$24,0)),"Review"))</f>
        <v>Constance Court</v>
      </c>
      <c r="N1622" s="350" t="str">
        <f ca="1">IF($B1622="Portfolio","Portfolio",IFERROR(INDEX(DATA_ASSET_CLASSIFICATION!$U$8:$U$24,MATCH($C1622,DATA_ASSET_CLASSIFICATION!$A$8:$A$24,0)),"Review"))</f>
        <v>Refi Watch</v>
      </c>
      <c r="O1622" s="350" t="str">
        <f ca="1">IF($B1622="Portfolio","Portfolio",IFERROR(INDEX(DATA_ASSET_CLASSIFICATION!$AB$8:$AB$13,MATCH($N1622,DATA_ASSET_CLASSIFICATION!$AA$8:$AA$13,0)),"Review"))</f>
        <v>Bucket 2 · Legacy</v>
      </c>
      <c r="P1622" s="350" t="str">
        <f>IF($B1622="Portfolio","Portfolio",IFERROR(INDEX(DATA_ASSET_CLASSIFICATION!$C$8:$C$24,MATCH($C1622,DATA_ASSET_CLASSIFICATION!$A$8:$A$24,0)),"Review"))</f>
        <v>Yes</v>
      </c>
      <c r="Q1622" s="350" t="str">
        <f t="shared" ca="1" si="51"/>
        <v>OK</v>
      </c>
    </row>
    <row r="1623" spans="1:17">
      <c r="A1623" s="366" t="s">
        <v>3579</v>
      </c>
      <c r="B1623" s="366" t="s">
        <v>231</v>
      </c>
      <c r="C1623" s="348" t="str">
        <f>DATA_PROPERTY_MASTER!$A$9</f>
        <v>BLD_CC</v>
      </c>
      <c r="D1623" s="380">
        <f>'00_PORTFOLIO ROLLUP'!O$12</f>
        <v>2035</v>
      </c>
      <c r="E1623" s="366" t="s">
        <v>1683</v>
      </c>
      <c r="F1623" s="366" t="s">
        <v>1697</v>
      </c>
      <c r="G1623" s="348" t="str">
        <f>"'"&amp;$C1623&amp;"'!$E$44:$Y$44"</f>
        <v>'BLD_CC'!$E$44:$Y$44</v>
      </c>
      <c r="H1623" s="381">
        <f ca="1">IF(IFERROR(INDEX(DATA_PROPERTY_MASTER!$E$5:$E$21,MATCH($C1623,DATA_PROPERTY_MASTER!$A$5:$A$21,0))="Yes",FALSE),IFERROR(INDEX(INDIRECT("'"&amp;$C1623&amp;"'!$E$44:$Y$44"),1,MATCH($D1623,INDIRECT("'"&amp;$C1623&amp;"'!$E$12:$Y$12"),0)),0),0)</f>
        <v>6216.8715419732616</v>
      </c>
      <c r="I1623" s="366" t="s">
        <v>1690</v>
      </c>
      <c r="J1623" s="348" t="str">
        <f t="shared" ca="1" si="50"/>
        <v>OK</v>
      </c>
      <c r="K1623" s="366" t="s">
        <v>1699</v>
      </c>
      <c r="L1623" s="366" t="s">
        <v>2240</v>
      </c>
      <c r="M1623" s="350" t="str">
        <f>IF($B1623="Portfolio","Portfolio",IFERROR(INDEX(DATA_ASSET_CLASSIFICATION!$B$8:$B$24,MATCH($C1623,DATA_ASSET_CLASSIFICATION!$A$8:$A$24,0)),"Review"))</f>
        <v>Constance Court</v>
      </c>
      <c r="N1623" s="350" t="str">
        <f ca="1">IF($B1623="Portfolio","Portfolio",IFERROR(INDEX(DATA_ASSET_CLASSIFICATION!$U$8:$U$24,MATCH($C1623,DATA_ASSET_CLASSIFICATION!$A$8:$A$24,0)),"Review"))</f>
        <v>Refi Watch</v>
      </c>
      <c r="O1623" s="350" t="str">
        <f ca="1">IF($B1623="Portfolio","Portfolio",IFERROR(INDEX(DATA_ASSET_CLASSIFICATION!$AB$8:$AB$13,MATCH($N1623,DATA_ASSET_CLASSIFICATION!$AA$8:$AA$13,0)),"Review"))</f>
        <v>Bucket 2 · Legacy</v>
      </c>
      <c r="P1623" s="350" t="str">
        <f>IF($B1623="Portfolio","Portfolio",IFERROR(INDEX(DATA_ASSET_CLASSIFICATION!$C$8:$C$24,MATCH($C1623,DATA_ASSET_CLASSIFICATION!$A$8:$A$24,0)),"Review"))</f>
        <v>Yes</v>
      </c>
      <c r="Q1623" s="350" t="str">
        <f t="shared" ca="1" si="51"/>
        <v>OK</v>
      </c>
    </row>
    <row r="1624" spans="1:17">
      <c r="A1624" s="366" t="s">
        <v>3580</v>
      </c>
      <c r="B1624" s="366" t="s">
        <v>231</v>
      </c>
      <c r="C1624" s="348" t="str">
        <f>DATA_PROPERTY_MASTER!$A$9</f>
        <v>BLD_CC</v>
      </c>
      <c r="D1624" s="380">
        <f>'00_PORTFOLIO ROLLUP'!O$12</f>
        <v>2035</v>
      </c>
      <c r="E1624" s="366" t="s">
        <v>1683</v>
      </c>
      <c r="F1624" s="366" t="s">
        <v>21</v>
      </c>
      <c r="G1624" s="348" t="str">
        <f>"'"&amp;$C1624&amp;"'!$E$45:$Y$45"</f>
        <v>'BLD_CC'!$E$45:$Y$45</v>
      </c>
      <c r="H1624" s="381">
        <f ca="1">IF(IFERROR(INDEX(DATA_PROPERTY_MASTER!$E$5:$E$21,MATCH($C1624,DATA_PROPERTY_MASTER!$A$5:$A$21,0))="Yes",FALSE),IFERROR(INDEX(INDIRECT("'"&amp;$C1624&amp;"'!$E$45:$Y$45"),1,MATCH($D1624,INDIRECT("'"&amp;$C1624&amp;"'!$E$12:$Y$12"),0)),0),0)</f>
        <v>293339.49974271219</v>
      </c>
      <c r="I1624" s="366" t="s">
        <v>1685</v>
      </c>
      <c r="J1624" s="348" t="str">
        <f t="shared" ca="1" si="50"/>
        <v>OK</v>
      </c>
      <c r="K1624" s="366" t="s">
        <v>1694</v>
      </c>
      <c r="L1624" s="366" t="s">
        <v>2242</v>
      </c>
      <c r="M1624" s="350" t="str">
        <f>IF($B1624="Portfolio","Portfolio",IFERROR(INDEX(DATA_ASSET_CLASSIFICATION!$B$8:$B$24,MATCH($C1624,DATA_ASSET_CLASSIFICATION!$A$8:$A$24,0)),"Review"))</f>
        <v>Constance Court</v>
      </c>
      <c r="N1624" s="350" t="str">
        <f ca="1">IF($B1624="Portfolio","Portfolio",IFERROR(INDEX(DATA_ASSET_CLASSIFICATION!$U$8:$U$24,MATCH($C1624,DATA_ASSET_CLASSIFICATION!$A$8:$A$24,0)),"Review"))</f>
        <v>Refi Watch</v>
      </c>
      <c r="O1624" s="350" t="str">
        <f ca="1">IF($B1624="Portfolio","Portfolio",IFERROR(INDEX(DATA_ASSET_CLASSIFICATION!$AB$8:$AB$13,MATCH($N1624,DATA_ASSET_CLASSIFICATION!$AA$8:$AA$13,0)),"Review"))</f>
        <v>Bucket 2 · Legacy</v>
      </c>
      <c r="P1624" s="350" t="str">
        <f>IF($B1624="Portfolio","Portfolio",IFERROR(INDEX(DATA_ASSET_CLASSIFICATION!$C$8:$C$24,MATCH($C1624,DATA_ASSET_CLASSIFICATION!$A$8:$A$24,0)),"Review"))</f>
        <v>Yes</v>
      </c>
      <c r="Q1624" s="350" t="str">
        <f t="shared" ca="1" si="51"/>
        <v>OK</v>
      </c>
    </row>
    <row r="1625" spans="1:17">
      <c r="A1625" s="366" t="s">
        <v>3581</v>
      </c>
      <c r="B1625" s="366" t="s">
        <v>231</v>
      </c>
      <c r="C1625" s="348" t="str">
        <f>DATA_PROPERTY_MASTER!$A$9</f>
        <v>BLD_CC</v>
      </c>
      <c r="D1625" s="380">
        <f>'00_PORTFOLIO ROLLUP'!O$12</f>
        <v>2035</v>
      </c>
      <c r="E1625" s="366" t="s">
        <v>23</v>
      </c>
      <c r="F1625" s="366" t="s">
        <v>23</v>
      </c>
      <c r="G1625" s="348" t="str">
        <f>"'"&amp;$C1625&amp;"'!$E$48:$Y$48"</f>
        <v>'BLD_CC'!$E$48:$Y$48</v>
      </c>
      <c r="H1625" s="381">
        <f ca="1">IF(IFERROR(INDEX(DATA_PROPERTY_MASTER!$E$5:$E$21,MATCH($C1625,DATA_PROPERTY_MASTER!$A$5:$A$21,0))="Yes",FALSE),IFERROR(INDEX(INDIRECT("'"&amp;$C1625&amp;"'!$E$48:$Y$48"),1,MATCH($D1625,INDIRECT("'"&amp;$C1625&amp;"'!$E$12:$Y$12"),0)),0),0)</f>
        <v>0</v>
      </c>
      <c r="I1625" s="366" t="s">
        <v>1690</v>
      </c>
      <c r="J1625" s="348" t="str">
        <f t="shared" ca="1" si="50"/>
        <v>OK</v>
      </c>
      <c r="K1625" s="366" t="s">
        <v>1706</v>
      </c>
      <c r="L1625" s="366" t="s">
        <v>2244</v>
      </c>
      <c r="M1625" s="350" t="str">
        <f>IF($B1625="Portfolio","Portfolio",IFERROR(INDEX(DATA_ASSET_CLASSIFICATION!$B$8:$B$24,MATCH($C1625,DATA_ASSET_CLASSIFICATION!$A$8:$A$24,0)),"Review"))</f>
        <v>Constance Court</v>
      </c>
      <c r="N1625" s="350" t="str">
        <f ca="1">IF($B1625="Portfolio","Portfolio",IFERROR(INDEX(DATA_ASSET_CLASSIFICATION!$U$8:$U$24,MATCH($C1625,DATA_ASSET_CLASSIFICATION!$A$8:$A$24,0)),"Review"))</f>
        <v>Refi Watch</v>
      </c>
      <c r="O1625" s="350" t="str">
        <f ca="1">IF($B1625="Portfolio","Portfolio",IFERROR(INDEX(DATA_ASSET_CLASSIFICATION!$AB$8:$AB$13,MATCH($N1625,DATA_ASSET_CLASSIFICATION!$AA$8:$AA$13,0)),"Review"))</f>
        <v>Bucket 2 · Legacy</v>
      </c>
      <c r="P1625" s="350" t="str">
        <f>IF($B1625="Portfolio","Portfolio",IFERROR(INDEX(DATA_ASSET_CLASSIFICATION!$C$8:$C$24,MATCH($C1625,DATA_ASSET_CLASSIFICATION!$A$8:$A$24,0)),"Review"))</f>
        <v>Yes</v>
      </c>
      <c r="Q1625" s="350" t="str">
        <f t="shared" ca="1" si="51"/>
        <v>OK</v>
      </c>
    </row>
    <row r="1626" spans="1:17">
      <c r="A1626" s="366" t="s">
        <v>3582</v>
      </c>
      <c r="B1626" s="366" t="s">
        <v>231</v>
      </c>
      <c r="C1626" s="348" t="str">
        <f>DATA_PROPERTY_MASTER!$A$9</f>
        <v>BLD_CC</v>
      </c>
      <c r="D1626" s="380">
        <f>'00_PORTFOLIO ROLLUP'!O$12</f>
        <v>2035</v>
      </c>
      <c r="E1626" s="366" t="s">
        <v>1683</v>
      </c>
      <c r="F1626" s="366" t="s">
        <v>25</v>
      </c>
      <c r="G1626" s="348" t="str">
        <f>"'"&amp;$C1626&amp;"'!$E$52:$Y$52"</f>
        <v>'BLD_CC'!$E$52:$Y$52</v>
      </c>
      <c r="H1626" s="381">
        <f ca="1">IF(IFERROR(INDEX(DATA_PROPERTY_MASTER!$E$5:$E$21,MATCH($C1626,DATA_PROPERTY_MASTER!$A$5:$A$21,0))="Yes",FALSE),IFERROR(INDEX(INDIRECT("'"&amp;$C1626&amp;"'!$E$52:$Y$52"),1,MATCH($D1626,INDIRECT("'"&amp;$C1626&amp;"'!$E$12:$Y$12"),0)),0),0)</f>
        <v>299556.37128468545</v>
      </c>
      <c r="I1626" s="366" t="s">
        <v>1685</v>
      </c>
      <c r="J1626" s="348" t="str">
        <f t="shared" ca="1" si="50"/>
        <v>OK</v>
      </c>
      <c r="K1626" s="366" t="s">
        <v>1710</v>
      </c>
      <c r="L1626" s="366" t="s">
        <v>2246</v>
      </c>
      <c r="M1626" s="350" t="str">
        <f>IF($B1626="Portfolio","Portfolio",IFERROR(INDEX(DATA_ASSET_CLASSIFICATION!$B$8:$B$24,MATCH($C1626,DATA_ASSET_CLASSIFICATION!$A$8:$A$24,0)),"Review"))</f>
        <v>Constance Court</v>
      </c>
      <c r="N1626" s="350" t="str">
        <f ca="1">IF($B1626="Portfolio","Portfolio",IFERROR(INDEX(DATA_ASSET_CLASSIFICATION!$U$8:$U$24,MATCH($C1626,DATA_ASSET_CLASSIFICATION!$A$8:$A$24,0)),"Review"))</f>
        <v>Refi Watch</v>
      </c>
      <c r="O1626" s="350" t="str">
        <f ca="1">IF($B1626="Portfolio","Portfolio",IFERROR(INDEX(DATA_ASSET_CLASSIFICATION!$AB$8:$AB$13,MATCH($N1626,DATA_ASSET_CLASSIFICATION!$AA$8:$AA$13,0)),"Review"))</f>
        <v>Bucket 2 · Legacy</v>
      </c>
      <c r="P1626" s="350" t="str">
        <f>IF($B1626="Portfolio","Portfolio",IFERROR(INDEX(DATA_ASSET_CLASSIFICATION!$C$8:$C$24,MATCH($C1626,DATA_ASSET_CLASSIFICATION!$A$8:$A$24,0)),"Review"))</f>
        <v>Yes</v>
      </c>
      <c r="Q1626" s="350" t="str">
        <f t="shared" ca="1" si="51"/>
        <v>OK</v>
      </c>
    </row>
    <row r="1627" spans="1:17">
      <c r="A1627" s="366" t="s">
        <v>3583</v>
      </c>
      <c r="B1627" s="366" t="s">
        <v>231</v>
      </c>
      <c r="C1627" s="348" t="str">
        <f>DATA_PROPERTY_MASTER!$A$9</f>
        <v>BLD_CC</v>
      </c>
      <c r="D1627" s="380">
        <f>'00_PORTFOLIO ROLLUP'!O$12</f>
        <v>2035</v>
      </c>
      <c r="E1627" s="366" t="s">
        <v>1683</v>
      </c>
      <c r="F1627" s="366" t="s">
        <v>27</v>
      </c>
      <c r="G1627" s="348" t="str">
        <f>"'"&amp;$C1627&amp;"'!$E$54:$Y$54"</f>
        <v>'BLD_CC'!$E$54:$Y$54</v>
      </c>
      <c r="H1627" s="381">
        <f ca="1">IF(IFERROR(INDEX(DATA_PROPERTY_MASTER!$E$5:$E$21,MATCH($C1627,DATA_PROPERTY_MASTER!$A$5:$A$21,0))="Yes",FALSE),IFERROR(INDEX(INDIRECT("'"&amp;$C1627&amp;"'!$E$54:$Y$54"),1,MATCH($D1627,INDIRECT("'"&amp;$C1627&amp;"'!$E$12:$Y$12"),0)),0),0)</f>
        <v>179733.82277081127</v>
      </c>
      <c r="I1627" s="366" t="s">
        <v>1690</v>
      </c>
      <c r="J1627" s="348" t="str">
        <f t="shared" ca="1" si="50"/>
        <v>OK</v>
      </c>
      <c r="K1627" s="366" t="s">
        <v>1714</v>
      </c>
      <c r="L1627" s="366" t="s">
        <v>2248</v>
      </c>
      <c r="M1627" s="350" t="str">
        <f>IF($B1627="Portfolio","Portfolio",IFERROR(INDEX(DATA_ASSET_CLASSIFICATION!$B$8:$B$24,MATCH($C1627,DATA_ASSET_CLASSIFICATION!$A$8:$A$24,0)),"Review"))</f>
        <v>Constance Court</v>
      </c>
      <c r="N1627" s="350" t="str">
        <f ca="1">IF($B1627="Portfolio","Portfolio",IFERROR(INDEX(DATA_ASSET_CLASSIFICATION!$U$8:$U$24,MATCH($C1627,DATA_ASSET_CLASSIFICATION!$A$8:$A$24,0)),"Review"))</f>
        <v>Refi Watch</v>
      </c>
      <c r="O1627" s="350" t="str">
        <f ca="1">IF($B1627="Portfolio","Portfolio",IFERROR(INDEX(DATA_ASSET_CLASSIFICATION!$AB$8:$AB$13,MATCH($N1627,DATA_ASSET_CLASSIFICATION!$AA$8:$AA$13,0)),"Review"))</f>
        <v>Bucket 2 · Legacy</v>
      </c>
      <c r="P1627" s="350" t="str">
        <f>IF($B1627="Portfolio","Portfolio",IFERROR(INDEX(DATA_ASSET_CLASSIFICATION!$C$8:$C$24,MATCH($C1627,DATA_ASSET_CLASSIFICATION!$A$8:$A$24,0)),"Review"))</f>
        <v>Yes</v>
      </c>
      <c r="Q1627" s="350" t="str">
        <f t="shared" ca="1" si="51"/>
        <v>OK</v>
      </c>
    </row>
    <row r="1628" spans="1:17">
      <c r="A1628" s="366" t="s">
        <v>3584</v>
      </c>
      <c r="B1628" s="366" t="s">
        <v>231</v>
      </c>
      <c r="C1628" s="348" t="str">
        <f>DATA_PROPERTY_MASTER!$A$9</f>
        <v>BLD_CC</v>
      </c>
      <c r="D1628" s="380">
        <f>'00_PORTFOLIO ROLLUP'!O$12</f>
        <v>2035</v>
      </c>
      <c r="E1628" s="366" t="s">
        <v>1683</v>
      </c>
      <c r="F1628" s="366" t="s">
        <v>29</v>
      </c>
      <c r="G1628" s="348" t="str">
        <f>"'"&amp;$C1628&amp;"'!$E$56:$Y$56"</f>
        <v>'BLD_CC'!$E$56:$Y$56</v>
      </c>
      <c r="H1628" s="381">
        <f ca="1">IF(IFERROR(INDEX(DATA_PROPERTY_MASTER!$E$5:$E$21,MATCH($C1628,DATA_PROPERTY_MASTER!$A$5:$A$21,0))="Yes",FALSE),IFERROR(INDEX(INDIRECT("'"&amp;$C1628&amp;"'!$E$56:$Y$56"),1,MATCH($D1628,INDIRECT("'"&amp;$C1628&amp;"'!$E$12:$Y$12"),0)),0),0)</f>
        <v>119822.54851387418</v>
      </c>
      <c r="I1628" s="366" t="s">
        <v>1685</v>
      </c>
      <c r="J1628" s="348" t="str">
        <f t="shared" ca="1" si="50"/>
        <v>OK</v>
      </c>
      <c r="K1628" s="366" t="s">
        <v>1718</v>
      </c>
      <c r="L1628" s="366" t="s">
        <v>2250</v>
      </c>
      <c r="M1628" s="350" t="str">
        <f>IF($B1628="Portfolio","Portfolio",IFERROR(INDEX(DATA_ASSET_CLASSIFICATION!$B$8:$B$24,MATCH($C1628,DATA_ASSET_CLASSIFICATION!$A$8:$A$24,0)),"Review"))</f>
        <v>Constance Court</v>
      </c>
      <c r="N1628" s="350" t="str">
        <f ca="1">IF($B1628="Portfolio","Portfolio",IFERROR(INDEX(DATA_ASSET_CLASSIFICATION!$U$8:$U$24,MATCH($C1628,DATA_ASSET_CLASSIFICATION!$A$8:$A$24,0)),"Review"))</f>
        <v>Refi Watch</v>
      </c>
      <c r="O1628" s="350" t="str">
        <f ca="1">IF($B1628="Portfolio","Portfolio",IFERROR(INDEX(DATA_ASSET_CLASSIFICATION!$AB$8:$AB$13,MATCH($N1628,DATA_ASSET_CLASSIFICATION!$AA$8:$AA$13,0)),"Review"))</f>
        <v>Bucket 2 · Legacy</v>
      </c>
      <c r="P1628" s="350" t="str">
        <f>IF($B1628="Portfolio","Portfolio",IFERROR(INDEX(DATA_ASSET_CLASSIFICATION!$C$8:$C$24,MATCH($C1628,DATA_ASSET_CLASSIFICATION!$A$8:$A$24,0)),"Review"))</f>
        <v>Yes</v>
      </c>
      <c r="Q1628" s="350" t="str">
        <f t="shared" ca="1" si="51"/>
        <v>OK</v>
      </c>
    </row>
    <row r="1629" spans="1:17">
      <c r="A1629" s="366" t="s">
        <v>3585</v>
      </c>
      <c r="B1629" s="366" t="s">
        <v>231</v>
      </c>
      <c r="C1629" s="348" t="str">
        <f>DATA_PROPERTY_MASTER!$A$9</f>
        <v>BLD_CC</v>
      </c>
      <c r="D1629" s="380">
        <f>'00_PORTFOLIO ROLLUP'!O$12</f>
        <v>2035</v>
      </c>
      <c r="E1629" s="366" t="s">
        <v>1721</v>
      </c>
      <c r="F1629" s="366" t="s">
        <v>31</v>
      </c>
      <c r="G1629" s="348" t="str">
        <f>"'"&amp;$C1629&amp;"'!$E$61:$Y$61"</f>
        <v>'BLD_CC'!$E$61:$Y$61</v>
      </c>
      <c r="H1629" s="381">
        <f ca="1">IF(IFERROR(INDEX(DATA_PROPERTY_MASTER!$E$5:$E$21,MATCH($C1629,DATA_PROPERTY_MASTER!$A$5:$A$21,0))="Yes",FALSE),IFERROR(INDEX(INDIRECT("'"&amp;$C1629&amp;"'!$E$61:$Y$61"),1,MATCH($D1629,INDIRECT("'"&amp;$C1629&amp;"'!$E$12:$Y$12"),0)),0),0)</f>
        <v>0</v>
      </c>
      <c r="I1629" s="366" t="s">
        <v>1690</v>
      </c>
      <c r="J1629" s="348" t="str">
        <f t="shared" ca="1" si="50"/>
        <v>OK</v>
      </c>
      <c r="K1629" s="366" t="s">
        <v>1723</v>
      </c>
      <c r="L1629" s="366" t="s">
        <v>2252</v>
      </c>
      <c r="M1629" s="350" t="str">
        <f>IF($B1629="Portfolio","Portfolio",IFERROR(INDEX(DATA_ASSET_CLASSIFICATION!$B$8:$B$24,MATCH($C1629,DATA_ASSET_CLASSIFICATION!$A$8:$A$24,0)),"Review"))</f>
        <v>Constance Court</v>
      </c>
      <c r="N1629" s="350" t="str">
        <f ca="1">IF($B1629="Portfolio","Portfolio",IFERROR(INDEX(DATA_ASSET_CLASSIFICATION!$U$8:$U$24,MATCH($C1629,DATA_ASSET_CLASSIFICATION!$A$8:$A$24,0)),"Review"))</f>
        <v>Refi Watch</v>
      </c>
      <c r="O1629" s="350" t="str">
        <f ca="1">IF($B1629="Portfolio","Portfolio",IFERROR(INDEX(DATA_ASSET_CLASSIFICATION!$AB$8:$AB$13,MATCH($N1629,DATA_ASSET_CLASSIFICATION!$AA$8:$AA$13,0)),"Review"))</f>
        <v>Bucket 2 · Legacy</v>
      </c>
      <c r="P1629" s="350" t="str">
        <f>IF($B1629="Portfolio","Portfolio",IFERROR(INDEX(DATA_ASSET_CLASSIFICATION!$C$8:$C$24,MATCH($C1629,DATA_ASSET_CLASSIFICATION!$A$8:$A$24,0)),"Review"))</f>
        <v>Yes</v>
      </c>
      <c r="Q1629" s="350" t="str">
        <f t="shared" ca="1" si="51"/>
        <v>OK</v>
      </c>
    </row>
    <row r="1630" spans="1:17">
      <c r="A1630" s="366" t="s">
        <v>3586</v>
      </c>
      <c r="B1630" s="366" t="s">
        <v>231</v>
      </c>
      <c r="C1630" s="348" t="str">
        <f>DATA_PROPERTY_MASTER!$A$9</f>
        <v>BLD_CC</v>
      </c>
      <c r="D1630" s="380">
        <f>'00_PORTFOLIO ROLLUP'!O$12</f>
        <v>2035</v>
      </c>
      <c r="E1630" s="366" t="s">
        <v>1721</v>
      </c>
      <c r="F1630" s="366" t="s">
        <v>33</v>
      </c>
      <c r="G1630" s="348" t="str">
        <f>"'"&amp;$C1630&amp;"'!$E$62:$Y$62"</f>
        <v>'BLD_CC'!$E$62:$Y$62</v>
      </c>
      <c r="H1630" s="381">
        <f ca="1">IF(IFERROR(INDEX(DATA_PROPERTY_MASTER!$E$5:$E$21,MATCH($C1630,DATA_PROPERTY_MASTER!$A$5:$A$21,0))="Yes",FALSE),IFERROR(INDEX(INDIRECT("'"&amp;$C1630&amp;"'!$E$62:$Y$62"),1,MATCH($D1630,INDIRECT("'"&amp;$C1630&amp;"'!$E$12:$Y$12"),0)),0),0)</f>
        <v>0</v>
      </c>
      <c r="I1630" s="366" t="s">
        <v>1685</v>
      </c>
      <c r="J1630" s="348" t="str">
        <f t="shared" ca="1" si="50"/>
        <v>OK</v>
      </c>
      <c r="K1630" s="366" t="s">
        <v>1727</v>
      </c>
      <c r="L1630" s="366" t="s">
        <v>2254</v>
      </c>
      <c r="M1630" s="350" t="str">
        <f>IF($B1630="Portfolio","Portfolio",IFERROR(INDEX(DATA_ASSET_CLASSIFICATION!$B$8:$B$24,MATCH($C1630,DATA_ASSET_CLASSIFICATION!$A$8:$A$24,0)),"Review"))</f>
        <v>Constance Court</v>
      </c>
      <c r="N1630" s="350" t="str">
        <f ca="1">IF($B1630="Portfolio","Portfolio",IFERROR(INDEX(DATA_ASSET_CLASSIFICATION!$U$8:$U$24,MATCH($C1630,DATA_ASSET_CLASSIFICATION!$A$8:$A$24,0)),"Review"))</f>
        <v>Refi Watch</v>
      </c>
      <c r="O1630" s="350" t="str">
        <f ca="1">IF($B1630="Portfolio","Portfolio",IFERROR(INDEX(DATA_ASSET_CLASSIFICATION!$AB$8:$AB$13,MATCH($N1630,DATA_ASSET_CLASSIFICATION!$AA$8:$AA$13,0)),"Review"))</f>
        <v>Bucket 2 · Legacy</v>
      </c>
      <c r="P1630" s="350" t="str">
        <f>IF($B1630="Portfolio","Portfolio",IFERROR(INDEX(DATA_ASSET_CLASSIFICATION!$C$8:$C$24,MATCH($C1630,DATA_ASSET_CLASSIFICATION!$A$8:$A$24,0)),"Review"))</f>
        <v>Yes</v>
      </c>
      <c r="Q1630" s="350" t="str">
        <f t="shared" ca="1" si="51"/>
        <v>OK</v>
      </c>
    </row>
    <row r="1631" spans="1:17">
      <c r="A1631" s="366" t="s">
        <v>3587</v>
      </c>
      <c r="B1631" s="366" t="s">
        <v>231</v>
      </c>
      <c r="C1631" s="348" t="str">
        <f>DATA_PROPERTY_MASTER!$A$9</f>
        <v>BLD_CC</v>
      </c>
      <c r="D1631" s="380">
        <f>'00_PORTFOLIO ROLLUP'!O$12</f>
        <v>2035</v>
      </c>
      <c r="E1631" s="366" t="s">
        <v>1721</v>
      </c>
      <c r="F1631" s="366" t="s">
        <v>35</v>
      </c>
      <c r="G1631" s="348" t="str">
        <f>"'"&amp;$C1631&amp;"'!$E$63:$Y$63"</f>
        <v>'BLD_CC'!$E$63:$Y$63</v>
      </c>
      <c r="H1631" s="381">
        <f ca="1">IF(IFERROR(INDEX(DATA_PROPERTY_MASTER!$E$5:$E$21,MATCH($C1631,DATA_PROPERTY_MASTER!$A$5:$A$21,0))="Yes",FALSE),IFERROR(INDEX(INDIRECT("'"&amp;$C1631&amp;"'!$E$63:$Y$63"),1,MATCH($D1631,INDIRECT("'"&amp;$C1631&amp;"'!$E$12:$Y$12"),0)),0),0)</f>
        <v>0</v>
      </c>
      <c r="I1631" s="366" t="s">
        <v>1731</v>
      </c>
      <c r="J1631" s="348" t="str">
        <f t="shared" ca="1" si="50"/>
        <v>OK</v>
      </c>
      <c r="K1631" s="366" t="s">
        <v>1732</v>
      </c>
      <c r="L1631" s="366" t="s">
        <v>2256</v>
      </c>
      <c r="M1631" s="350" t="str">
        <f>IF($B1631="Portfolio","Portfolio",IFERROR(INDEX(DATA_ASSET_CLASSIFICATION!$B$8:$B$24,MATCH($C1631,DATA_ASSET_CLASSIFICATION!$A$8:$A$24,0)),"Review"))</f>
        <v>Constance Court</v>
      </c>
      <c r="N1631" s="350" t="str">
        <f ca="1">IF($B1631="Portfolio","Portfolio",IFERROR(INDEX(DATA_ASSET_CLASSIFICATION!$U$8:$U$24,MATCH($C1631,DATA_ASSET_CLASSIFICATION!$A$8:$A$24,0)),"Review"))</f>
        <v>Refi Watch</v>
      </c>
      <c r="O1631" s="350" t="str">
        <f ca="1">IF($B1631="Portfolio","Portfolio",IFERROR(INDEX(DATA_ASSET_CLASSIFICATION!$AB$8:$AB$13,MATCH($N1631,DATA_ASSET_CLASSIFICATION!$AA$8:$AA$13,0)),"Review"))</f>
        <v>Bucket 2 · Legacy</v>
      </c>
      <c r="P1631" s="350" t="str">
        <f>IF($B1631="Portfolio","Portfolio",IFERROR(INDEX(DATA_ASSET_CLASSIFICATION!$C$8:$C$24,MATCH($C1631,DATA_ASSET_CLASSIFICATION!$A$8:$A$24,0)),"Review"))</f>
        <v>Yes</v>
      </c>
      <c r="Q1631" s="350" t="str">
        <f t="shared" ca="1" si="51"/>
        <v>OK</v>
      </c>
    </row>
    <row r="1632" spans="1:17">
      <c r="A1632" s="366" t="s">
        <v>3588</v>
      </c>
      <c r="B1632" s="366" t="s">
        <v>231</v>
      </c>
      <c r="C1632" s="348" t="str">
        <f>DATA_PROPERTY_MASTER!$A$9</f>
        <v>BLD_CC</v>
      </c>
      <c r="D1632" s="380">
        <f>'00_PORTFOLIO ROLLUP'!O$12</f>
        <v>2035</v>
      </c>
      <c r="E1632" s="366" t="s">
        <v>1721</v>
      </c>
      <c r="F1632" s="366" t="s">
        <v>37</v>
      </c>
      <c r="G1632" s="348" t="str">
        <f>"'"&amp;$C1632&amp;"'!$E$63:$Y$63"</f>
        <v>'BLD_CC'!$E$63:$Y$63</v>
      </c>
      <c r="H1632" s="381">
        <f ca="1">IF(IFERROR(INDEX(DATA_PROPERTY_MASTER!$E$5:$E$21,MATCH($C1632,DATA_PROPERTY_MASTER!$A$5:$A$21,0))="Yes",FALSE),MAX(IFERROR(INDEX(INDIRECT("'"&amp;$C1632&amp;"'!$E$63:$Y$63"),1,MATCH($D1632,INDIRECT("'"&amp;$C1632&amp;"'!$E$12:$Y$12"),0)),0),0),0)</f>
        <v>0</v>
      </c>
      <c r="I1632" s="366" t="s">
        <v>1685</v>
      </c>
      <c r="J1632" s="348" t="str">
        <f t="shared" ca="1" si="50"/>
        <v>OK</v>
      </c>
      <c r="K1632" s="366" t="s">
        <v>1735</v>
      </c>
      <c r="L1632" s="366" t="s">
        <v>2258</v>
      </c>
      <c r="M1632" s="350" t="str">
        <f>IF($B1632="Portfolio","Portfolio",IFERROR(INDEX(DATA_ASSET_CLASSIFICATION!$B$8:$B$24,MATCH($C1632,DATA_ASSET_CLASSIFICATION!$A$8:$A$24,0)),"Review"))</f>
        <v>Constance Court</v>
      </c>
      <c r="N1632" s="350" t="str">
        <f ca="1">IF($B1632="Portfolio","Portfolio",IFERROR(INDEX(DATA_ASSET_CLASSIFICATION!$U$8:$U$24,MATCH($C1632,DATA_ASSET_CLASSIFICATION!$A$8:$A$24,0)),"Review"))</f>
        <v>Refi Watch</v>
      </c>
      <c r="O1632" s="350" t="str">
        <f ca="1">IF($B1632="Portfolio","Portfolio",IFERROR(INDEX(DATA_ASSET_CLASSIFICATION!$AB$8:$AB$13,MATCH($N1632,DATA_ASSET_CLASSIFICATION!$AA$8:$AA$13,0)),"Review"))</f>
        <v>Bucket 2 · Legacy</v>
      </c>
      <c r="P1632" s="350" t="str">
        <f>IF($B1632="Portfolio","Portfolio",IFERROR(INDEX(DATA_ASSET_CLASSIFICATION!$C$8:$C$24,MATCH($C1632,DATA_ASSET_CLASSIFICATION!$A$8:$A$24,0)),"Review"))</f>
        <v>Yes</v>
      </c>
      <c r="Q1632" s="350" t="str">
        <f t="shared" ca="1" si="51"/>
        <v>OK</v>
      </c>
    </row>
    <row r="1633" spans="1:17">
      <c r="A1633" s="366" t="s">
        <v>3589</v>
      </c>
      <c r="B1633" s="366" t="s">
        <v>231</v>
      </c>
      <c r="C1633" s="348" t="str">
        <f>DATA_PROPERTY_MASTER!$A$9</f>
        <v>BLD_CC</v>
      </c>
      <c r="D1633" s="380">
        <f>'00_PORTFOLIO ROLLUP'!O$12</f>
        <v>2035</v>
      </c>
      <c r="E1633" s="366" t="s">
        <v>1721</v>
      </c>
      <c r="F1633" s="366" t="s">
        <v>39</v>
      </c>
      <c r="G1633" s="348" t="str">
        <f>"'"&amp;$C1633&amp;"'!$E$63:$Y$63"</f>
        <v>'BLD_CC'!$E$63:$Y$63</v>
      </c>
      <c r="H1633" s="381">
        <f ca="1">IF(IFERROR(INDEX(DATA_PROPERTY_MASTER!$E$5:$E$21,MATCH($C1633,DATA_PROPERTY_MASTER!$A$5:$A$21,0))="Yes",FALSE),MAX(-IFERROR(INDEX(INDIRECT("'"&amp;$C1633&amp;"'!$E$63:$Y$63"),1,MATCH($D1633,INDIRECT("'"&amp;$C1633&amp;"'!$E$12:$Y$12"),0)),0),0),0)</f>
        <v>0</v>
      </c>
      <c r="I1633" s="366" t="s">
        <v>1690</v>
      </c>
      <c r="J1633" s="348" t="str">
        <f t="shared" ca="1" si="50"/>
        <v>OK</v>
      </c>
      <c r="K1633" s="366" t="s">
        <v>1738</v>
      </c>
      <c r="L1633" s="366" t="s">
        <v>2260</v>
      </c>
      <c r="M1633" s="350" t="str">
        <f>IF($B1633="Portfolio","Portfolio",IFERROR(INDEX(DATA_ASSET_CLASSIFICATION!$B$8:$B$24,MATCH($C1633,DATA_ASSET_CLASSIFICATION!$A$8:$A$24,0)),"Review"))</f>
        <v>Constance Court</v>
      </c>
      <c r="N1633" s="350" t="str">
        <f ca="1">IF($B1633="Portfolio","Portfolio",IFERROR(INDEX(DATA_ASSET_CLASSIFICATION!$U$8:$U$24,MATCH($C1633,DATA_ASSET_CLASSIFICATION!$A$8:$A$24,0)),"Review"))</f>
        <v>Refi Watch</v>
      </c>
      <c r="O1633" s="350" t="str">
        <f ca="1">IF($B1633="Portfolio","Portfolio",IFERROR(INDEX(DATA_ASSET_CLASSIFICATION!$AB$8:$AB$13,MATCH($N1633,DATA_ASSET_CLASSIFICATION!$AA$8:$AA$13,0)),"Review"))</f>
        <v>Bucket 2 · Legacy</v>
      </c>
      <c r="P1633" s="350" t="str">
        <f>IF($B1633="Portfolio","Portfolio",IFERROR(INDEX(DATA_ASSET_CLASSIFICATION!$C$8:$C$24,MATCH($C1633,DATA_ASSET_CLASSIFICATION!$A$8:$A$24,0)),"Review"))</f>
        <v>Yes</v>
      </c>
      <c r="Q1633" s="350" t="str">
        <f t="shared" ca="1" si="51"/>
        <v>OK</v>
      </c>
    </row>
    <row r="1634" spans="1:17">
      <c r="A1634" s="366" t="s">
        <v>3590</v>
      </c>
      <c r="B1634" s="366" t="s">
        <v>231</v>
      </c>
      <c r="C1634" s="348" t="str">
        <f>DATA_PROPERTY_MASTER!$A$9</f>
        <v>BLD_CC</v>
      </c>
      <c r="D1634" s="380">
        <f>'00_PORTFOLIO ROLLUP'!O$12</f>
        <v>2035</v>
      </c>
      <c r="E1634" s="366" t="s">
        <v>1741</v>
      </c>
      <c r="F1634" s="366" t="s">
        <v>41</v>
      </c>
      <c r="G1634" s="348" t="str">
        <f>"'"&amp;$C1634&amp;"'!rows 56 + positive row 63"</f>
        <v>'BLD_CC'!rows 56 + positive row 63</v>
      </c>
      <c r="H1634" s="381">
        <f ca="1">IF(IFERROR(INDEX(DATA_PROPERTY_MASTER!$E$5:$E$21,MATCH($C1634,DATA_PROPERTY_MASTER!$A$5:$A$21,0))="Yes",FALSE),IFERROR(INDEX(INDIRECT("'"&amp;$C1634&amp;"'!$E$56:$Y$56"),1,MATCH($D1634,INDIRECT("'"&amp;$C1634&amp;"'!$E$12:$Y$12"),0)),0)+MAX(IFERROR(INDEX(INDIRECT("'"&amp;$C1634&amp;"'!$E$63:$Y$63"),1,MATCH($D1634,INDIRECT("'"&amp;$C1634&amp;"'!$E$12:$Y$12"),0)),0),0),0)</f>
        <v>119822.54851387418</v>
      </c>
      <c r="I1634" s="366" t="s">
        <v>1685</v>
      </c>
      <c r="J1634" s="348" t="str">
        <f t="shared" ca="1" si="50"/>
        <v>OK</v>
      </c>
      <c r="K1634" s="366" t="s">
        <v>1742</v>
      </c>
      <c r="L1634" s="366" t="s">
        <v>2262</v>
      </c>
      <c r="M1634" s="350" t="str">
        <f>IF($B1634="Portfolio","Portfolio",IFERROR(INDEX(DATA_ASSET_CLASSIFICATION!$B$8:$B$24,MATCH($C1634,DATA_ASSET_CLASSIFICATION!$A$8:$A$24,0)),"Review"))</f>
        <v>Constance Court</v>
      </c>
      <c r="N1634" s="350" t="str">
        <f ca="1">IF($B1634="Portfolio","Portfolio",IFERROR(INDEX(DATA_ASSET_CLASSIFICATION!$U$8:$U$24,MATCH($C1634,DATA_ASSET_CLASSIFICATION!$A$8:$A$24,0)),"Review"))</f>
        <v>Refi Watch</v>
      </c>
      <c r="O1634" s="350" t="str">
        <f ca="1">IF($B1634="Portfolio","Portfolio",IFERROR(INDEX(DATA_ASSET_CLASSIFICATION!$AB$8:$AB$13,MATCH($N1634,DATA_ASSET_CLASSIFICATION!$AA$8:$AA$13,0)),"Review"))</f>
        <v>Bucket 2 · Legacy</v>
      </c>
      <c r="P1634" s="350" t="str">
        <f>IF($B1634="Portfolio","Portfolio",IFERROR(INDEX(DATA_ASSET_CLASSIFICATION!$C$8:$C$24,MATCH($C1634,DATA_ASSET_CLASSIFICATION!$A$8:$A$24,0)),"Review"))</f>
        <v>Yes</v>
      </c>
      <c r="Q1634" s="350" t="str">
        <f t="shared" ca="1" si="51"/>
        <v>OK</v>
      </c>
    </row>
    <row r="1635" spans="1:17">
      <c r="A1635" s="366" t="s">
        <v>3591</v>
      </c>
      <c r="B1635" s="366" t="s">
        <v>231</v>
      </c>
      <c r="C1635" s="348" t="str">
        <f>DATA_PROPERTY_MASTER!$A$9</f>
        <v>BLD_CC</v>
      </c>
      <c r="D1635" s="380">
        <f>'00_PORTFOLIO ROLLUP'!O$12</f>
        <v>2035</v>
      </c>
      <c r="E1635" s="366" t="s">
        <v>1741</v>
      </c>
      <c r="F1635" s="366" t="s">
        <v>43</v>
      </c>
      <c r="G1635" s="348" t="str">
        <f>"'"&amp;$C1635&amp;"'!$E$68:$Y$68"</f>
        <v>'BLD_CC'!$E$68:$Y$68</v>
      </c>
      <c r="H1635" s="381">
        <f ca="1">IF(IFERROR(INDEX(DATA_PROPERTY_MASTER!$E$5:$E$21,MATCH($C1635,DATA_PROPERTY_MASTER!$A$5:$A$21,0))="Yes",FALSE),IFERROR(INDEX(INDIRECT("'"&amp;$C1635&amp;"'!$E$68:$Y$68"),1,MATCH($D1635,INDIRECT("'"&amp;$C1635&amp;"'!$E$12:$Y$12"),0)),0),0)</f>
        <v>119822.54851387418</v>
      </c>
      <c r="I1635" s="366" t="s">
        <v>1731</v>
      </c>
      <c r="J1635" s="348" t="str">
        <f t="shared" ca="1" si="50"/>
        <v>OK</v>
      </c>
      <c r="K1635" s="366" t="s">
        <v>1746</v>
      </c>
      <c r="L1635" s="366" t="s">
        <v>2264</v>
      </c>
      <c r="M1635" s="350" t="str">
        <f>IF($B1635="Portfolio","Portfolio",IFERROR(INDEX(DATA_ASSET_CLASSIFICATION!$B$8:$B$24,MATCH($C1635,DATA_ASSET_CLASSIFICATION!$A$8:$A$24,0)),"Review"))</f>
        <v>Constance Court</v>
      </c>
      <c r="N1635" s="350" t="str">
        <f ca="1">IF($B1635="Portfolio","Portfolio",IFERROR(INDEX(DATA_ASSET_CLASSIFICATION!$U$8:$U$24,MATCH($C1635,DATA_ASSET_CLASSIFICATION!$A$8:$A$24,0)),"Review"))</f>
        <v>Refi Watch</v>
      </c>
      <c r="O1635" s="350" t="str">
        <f ca="1">IF($B1635="Portfolio","Portfolio",IFERROR(INDEX(DATA_ASSET_CLASSIFICATION!$AB$8:$AB$13,MATCH($N1635,DATA_ASSET_CLASSIFICATION!$AA$8:$AA$13,0)),"Review"))</f>
        <v>Bucket 2 · Legacy</v>
      </c>
      <c r="P1635" s="350" t="str">
        <f>IF($B1635="Portfolio","Portfolio",IFERROR(INDEX(DATA_ASSET_CLASSIFICATION!$C$8:$C$24,MATCH($C1635,DATA_ASSET_CLASSIFICATION!$A$8:$A$24,0)),"Review"))</f>
        <v>Yes</v>
      </c>
      <c r="Q1635" s="350" t="str">
        <f t="shared" ca="1" si="51"/>
        <v>OK</v>
      </c>
    </row>
    <row r="1636" spans="1:17">
      <c r="A1636" s="366" t="s">
        <v>3592</v>
      </c>
      <c r="B1636" s="366" t="s">
        <v>231</v>
      </c>
      <c r="C1636" s="348" t="str">
        <f>DATA_PROPERTY_MASTER!$A$9</f>
        <v>BLD_CC</v>
      </c>
      <c r="D1636" s="380">
        <f>'00_PORTFOLIO ROLLUP'!O$12</f>
        <v>2035</v>
      </c>
      <c r="E1636" s="366" t="s">
        <v>1741</v>
      </c>
      <c r="F1636" s="366" t="s">
        <v>1749</v>
      </c>
      <c r="G1636" s="348" t="str">
        <f>"'"&amp;$C1636&amp;"'!rows 56, 63, 68"</f>
        <v>'BLD_CC'!rows 56, 63, 68</v>
      </c>
      <c r="H1636" s="381">
        <f ca="1">IF(IFERROR(INDEX(DATA_PROPERTY_MASTER!$E$5:$E$21,MATCH($C1636,DATA_PROPERTY_MASTER!$A$5:$A$21,0))="Yes",FALSE),(IFERROR(INDEX(INDIRECT("'"&amp;$C1636&amp;"'!$E$56:$Y$56"),1,MATCH($D1636,INDIRECT("'"&amp;$C1636&amp;"'!$E$12:$Y$12"),0)),0)+MAX(IFERROR(INDEX(INDIRECT("'"&amp;$C1636&amp;"'!$E$63:$Y$63"),1,MATCH($D1636,INDIRECT("'"&amp;$C1636&amp;"'!$E$12:$Y$12"),0)),0),0))-(IFERROR(INDEX(INDIRECT("'"&amp;$C1636&amp;"'!$E$68:$Y$68"),1,MATCH($D1636,INDIRECT("'"&amp;$C1636&amp;"'!$E$12:$Y$12"),0)),0)),0)</f>
        <v>0</v>
      </c>
      <c r="I1636" s="366" t="s">
        <v>1750</v>
      </c>
      <c r="J1636" s="348" t="str">
        <f t="shared" ca="1" si="50"/>
        <v>OK</v>
      </c>
      <c r="K1636" s="366" t="s">
        <v>1751</v>
      </c>
      <c r="L1636" s="366" t="s">
        <v>2266</v>
      </c>
      <c r="M1636" s="350" t="str">
        <f>IF($B1636="Portfolio","Portfolio",IFERROR(INDEX(DATA_ASSET_CLASSIFICATION!$B$8:$B$24,MATCH($C1636,DATA_ASSET_CLASSIFICATION!$A$8:$A$24,0)),"Review"))</f>
        <v>Constance Court</v>
      </c>
      <c r="N1636" s="350" t="str">
        <f ca="1">IF($B1636="Portfolio","Portfolio",IFERROR(INDEX(DATA_ASSET_CLASSIFICATION!$U$8:$U$24,MATCH($C1636,DATA_ASSET_CLASSIFICATION!$A$8:$A$24,0)),"Review"))</f>
        <v>Refi Watch</v>
      </c>
      <c r="O1636" s="350" t="str">
        <f ca="1">IF($B1636="Portfolio","Portfolio",IFERROR(INDEX(DATA_ASSET_CLASSIFICATION!$AB$8:$AB$13,MATCH($N1636,DATA_ASSET_CLASSIFICATION!$AA$8:$AA$13,0)),"Review"))</f>
        <v>Bucket 2 · Legacy</v>
      </c>
      <c r="P1636" s="350" t="str">
        <f>IF($B1636="Portfolio","Portfolio",IFERROR(INDEX(DATA_ASSET_CLASSIFICATION!$C$8:$C$24,MATCH($C1636,DATA_ASSET_CLASSIFICATION!$A$8:$A$24,0)),"Review"))</f>
        <v>Yes</v>
      </c>
      <c r="Q1636" s="350" t="str">
        <f t="shared" ca="1" si="51"/>
        <v>OK</v>
      </c>
    </row>
    <row r="1637" spans="1:17">
      <c r="A1637" s="366" t="s">
        <v>3593</v>
      </c>
      <c r="B1637" s="366" t="s">
        <v>231</v>
      </c>
      <c r="C1637" s="348" t="str">
        <f>DATA_PROPERTY_MASTER!$A$9</f>
        <v>BLD_CC</v>
      </c>
      <c r="D1637" s="380">
        <f>'00_PORTFOLIO ROLLUP'!P$12</f>
        <v>2036</v>
      </c>
      <c r="E1637" s="366" t="s">
        <v>1683</v>
      </c>
      <c r="F1637" s="366" t="s">
        <v>341</v>
      </c>
      <c r="G1637" s="348" t="str">
        <f>"'"&amp;$C1637&amp;"'!$E$24:$Y$24"</f>
        <v>'BLD_CC'!$E$24:$Y$24</v>
      </c>
      <c r="H1637" s="381">
        <f ca="1">IF(IFERROR(INDEX(DATA_PROPERTY_MASTER!$E$5:$E$21,MATCH($C1637,DATA_PROPERTY_MASTER!$A$5:$A$21,0))="Yes",FALSE),IFERROR(INDEX(INDIRECT("'"&amp;$C1637&amp;"'!$E$24:$Y$24"),1,MATCH($D1637,INDIRECT("'"&amp;$C1637&amp;"'!$E$12:$Y$12"),0)),0),0)</f>
        <v>613136.54865445185</v>
      </c>
      <c r="I1637" s="366" t="s">
        <v>1685</v>
      </c>
      <c r="J1637" s="348" t="str">
        <f t="shared" ca="1" si="50"/>
        <v>OK</v>
      </c>
      <c r="K1637" s="366" t="s">
        <v>1686</v>
      </c>
      <c r="L1637" s="366" t="s">
        <v>2234</v>
      </c>
      <c r="M1637" s="350" t="str">
        <f>IF($B1637="Portfolio","Portfolio",IFERROR(INDEX(DATA_ASSET_CLASSIFICATION!$B$8:$B$24,MATCH($C1637,DATA_ASSET_CLASSIFICATION!$A$8:$A$24,0)),"Review"))</f>
        <v>Constance Court</v>
      </c>
      <c r="N1637" s="350" t="str">
        <f ca="1">IF($B1637="Portfolio","Portfolio",IFERROR(INDEX(DATA_ASSET_CLASSIFICATION!$U$8:$U$24,MATCH($C1637,DATA_ASSET_CLASSIFICATION!$A$8:$A$24,0)),"Review"))</f>
        <v>Refi Watch</v>
      </c>
      <c r="O1637" s="350" t="str">
        <f ca="1">IF($B1637="Portfolio","Portfolio",IFERROR(INDEX(DATA_ASSET_CLASSIFICATION!$AB$8:$AB$13,MATCH($N1637,DATA_ASSET_CLASSIFICATION!$AA$8:$AA$13,0)),"Review"))</f>
        <v>Bucket 2 · Legacy</v>
      </c>
      <c r="P1637" s="350" t="str">
        <f>IF($B1637="Portfolio","Portfolio",IFERROR(INDEX(DATA_ASSET_CLASSIFICATION!$C$8:$C$24,MATCH($C1637,DATA_ASSET_CLASSIFICATION!$A$8:$A$24,0)),"Review"))</f>
        <v>Yes</v>
      </c>
      <c r="Q1637" s="350" t="str">
        <f t="shared" ca="1" si="51"/>
        <v>OK</v>
      </c>
    </row>
    <row r="1638" spans="1:17">
      <c r="A1638" s="366" t="s">
        <v>3594</v>
      </c>
      <c r="B1638" s="366" t="s">
        <v>231</v>
      </c>
      <c r="C1638" s="348" t="str">
        <f>DATA_PROPERTY_MASTER!$A$9</f>
        <v>BLD_CC</v>
      </c>
      <c r="D1638" s="380">
        <f>'00_PORTFOLIO ROLLUP'!P$12</f>
        <v>2036</v>
      </c>
      <c r="E1638" s="366" t="s">
        <v>1683</v>
      </c>
      <c r="F1638" s="366" t="s">
        <v>355</v>
      </c>
      <c r="G1638" s="348" t="str">
        <f>"'"&amp;$C1638&amp;"'!$E$39:$Y$39"</f>
        <v>'BLD_CC'!$E$39:$Y$39</v>
      </c>
      <c r="H1638" s="381">
        <f ca="1">IF(IFERROR(INDEX(DATA_PROPERTY_MASTER!$E$5:$E$21,MATCH($C1638,DATA_PROPERTY_MASTER!$A$5:$A$21,0))="Yes",FALSE),IFERROR(INDEX(INDIRECT("'"&amp;$C1638&amp;"'!$E$39:$Y$39"),1,MATCH($D1638,INDIRECT("'"&amp;$C1638&amp;"'!$E$12:$Y$12"),0)),0),0)</f>
        <v>309096.83940458304</v>
      </c>
      <c r="I1638" s="366" t="s">
        <v>1690</v>
      </c>
      <c r="J1638" s="348" t="str">
        <f t="shared" ca="1" si="50"/>
        <v>OK</v>
      </c>
      <c r="K1638" s="366" t="s">
        <v>1686</v>
      </c>
      <c r="L1638" s="366" t="s">
        <v>2236</v>
      </c>
      <c r="M1638" s="350" t="str">
        <f>IF($B1638="Portfolio","Portfolio",IFERROR(INDEX(DATA_ASSET_CLASSIFICATION!$B$8:$B$24,MATCH($C1638,DATA_ASSET_CLASSIFICATION!$A$8:$A$24,0)),"Review"))</f>
        <v>Constance Court</v>
      </c>
      <c r="N1638" s="350" t="str">
        <f ca="1">IF($B1638="Portfolio","Portfolio",IFERROR(INDEX(DATA_ASSET_CLASSIFICATION!$U$8:$U$24,MATCH($C1638,DATA_ASSET_CLASSIFICATION!$A$8:$A$24,0)),"Review"))</f>
        <v>Refi Watch</v>
      </c>
      <c r="O1638" s="350" t="str">
        <f ca="1">IF($B1638="Portfolio","Portfolio",IFERROR(INDEX(DATA_ASSET_CLASSIFICATION!$AB$8:$AB$13,MATCH($N1638,DATA_ASSET_CLASSIFICATION!$AA$8:$AA$13,0)),"Review"))</f>
        <v>Bucket 2 · Legacy</v>
      </c>
      <c r="P1638" s="350" t="str">
        <f>IF($B1638="Portfolio","Portfolio",IFERROR(INDEX(DATA_ASSET_CLASSIFICATION!$C$8:$C$24,MATCH($C1638,DATA_ASSET_CLASSIFICATION!$A$8:$A$24,0)),"Review"))</f>
        <v>Yes</v>
      </c>
      <c r="Q1638" s="350" t="str">
        <f t="shared" ca="1" si="51"/>
        <v>OK</v>
      </c>
    </row>
    <row r="1639" spans="1:17">
      <c r="A1639" s="366" t="s">
        <v>3595</v>
      </c>
      <c r="B1639" s="366" t="s">
        <v>231</v>
      </c>
      <c r="C1639" s="348" t="str">
        <f>DATA_PROPERTY_MASTER!$A$9</f>
        <v>BLD_CC</v>
      </c>
      <c r="D1639" s="380">
        <f>'00_PORTFOLIO ROLLUP'!P$12</f>
        <v>2036</v>
      </c>
      <c r="E1639" s="366" t="s">
        <v>1683</v>
      </c>
      <c r="F1639" s="366" t="s">
        <v>19</v>
      </c>
      <c r="G1639" s="348" t="str">
        <f>"'"&amp;$C1639&amp;"'!$E$41:$Y$41"</f>
        <v>'BLD_CC'!$E$41:$Y$41</v>
      </c>
      <c r="H1639" s="381">
        <f ca="1">IF(IFERROR(INDEX(DATA_PROPERTY_MASTER!$E$5:$E$21,MATCH($C1639,DATA_PROPERTY_MASTER!$A$5:$A$21,0))="Yes",FALSE),IFERROR(INDEX(INDIRECT("'"&amp;$C1639&amp;"'!$E$41:$Y$41"),1,MATCH($D1639,INDIRECT("'"&amp;$C1639&amp;"'!$E$12:$Y$12"),0)),0),0)</f>
        <v>304039.70924986881</v>
      </c>
      <c r="I1639" s="366" t="s">
        <v>1685</v>
      </c>
      <c r="J1639" s="348" t="str">
        <f t="shared" ca="1" si="50"/>
        <v>OK</v>
      </c>
      <c r="K1639" s="366" t="s">
        <v>1694</v>
      </c>
      <c r="L1639" s="366" t="s">
        <v>2238</v>
      </c>
      <c r="M1639" s="350" t="str">
        <f>IF($B1639="Portfolio","Portfolio",IFERROR(INDEX(DATA_ASSET_CLASSIFICATION!$B$8:$B$24,MATCH($C1639,DATA_ASSET_CLASSIFICATION!$A$8:$A$24,0)),"Review"))</f>
        <v>Constance Court</v>
      </c>
      <c r="N1639" s="350" t="str">
        <f ca="1">IF($B1639="Portfolio","Portfolio",IFERROR(INDEX(DATA_ASSET_CLASSIFICATION!$U$8:$U$24,MATCH($C1639,DATA_ASSET_CLASSIFICATION!$A$8:$A$24,0)),"Review"))</f>
        <v>Refi Watch</v>
      </c>
      <c r="O1639" s="350" t="str">
        <f ca="1">IF($B1639="Portfolio","Portfolio",IFERROR(INDEX(DATA_ASSET_CLASSIFICATION!$AB$8:$AB$13,MATCH($N1639,DATA_ASSET_CLASSIFICATION!$AA$8:$AA$13,0)),"Review"))</f>
        <v>Bucket 2 · Legacy</v>
      </c>
      <c r="P1639" s="350" t="str">
        <f>IF($B1639="Portfolio","Portfolio",IFERROR(INDEX(DATA_ASSET_CLASSIFICATION!$C$8:$C$24,MATCH($C1639,DATA_ASSET_CLASSIFICATION!$A$8:$A$24,0)),"Review"))</f>
        <v>Yes</v>
      </c>
      <c r="Q1639" s="350" t="str">
        <f t="shared" ca="1" si="51"/>
        <v>OK</v>
      </c>
    </row>
    <row r="1640" spans="1:17">
      <c r="A1640" s="366" t="s">
        <v>3596</v>
      </c>
      <c r="B1640" s="366" t="s">
        <v>231</v>
      </c>
      <c r="C1640" s="348" t="str">
        <f>DATA_PROPERTY_MASTER!$A$9</f>
        <v>BLD_CC</v>
      </c>
      <c r="D1640" s="380">
        <f>'00_PORTFOLIO ROLLUP'!P$12</f>
        <v>2036</v>
      </c>
      <c r="E1640" s="366" t="s">
        <v>1683</v>
      </c>
      <c r="F1640" s="366" t="s">
        <v>1697</v>
      </c>
      <c r="G1640" s="348" t="str">
        <f>"'"&amp;$C1640&amp;"'!$E$44:$Y$44"</f>
        <v>'BLD_CC'!$E$44:$Y$44</v>
      </c>
      <c r="H1640" s="381">
        <f ca="1">IF(IFERROR(INDEX(DATA_PROPERTY_MASTER!$E$5:$E$21,MATCH($C1640,DATA_PROPERTY_MASTER!$A$5:$A$21,0))="Yes",FALSE),IFERROR(INDEX(INDIRECT("'"&amp;$C1640&amp;"'!$E$44:$Y$44"),1,MATCH($D1640,INDIRECT("'"&amp;$C1640&amp;"'!$E$12:$Y$12"),0)),0),0)</f>
        <v>6341.2089728127257</v>
      </c>
      <c r="I1640" s="366" t="s">
        <v>1690</v>
      </c>
      <c r="J1640" s="348" t="str">
        <f t="shared" ca="1" si="50"/>
        <v>OK</v>
      </c>
      <c r="K1640" s="366" t="s">
        <v>1699</v>
      </c>
      <c r="L1640" s="366" t="s">
        <v>2240</v>
      </c>
      <c r="M1640" s="350" t="str">
        <f>IF($B1640="Portfolio","Portfolio",IFERROR(INDEX(DATA_ASSET_CLASSIFICATION!$B$8:$B$24,MATCH($C1640,DATA_ASSET_CLASSIFICATION!$A$8:$A$24,0)),"Review"))</f>
        <v>Constance Court</v>
      </c>
      <c r="N1640" s="350" t="str">
        <f ca="1">IF($B1640="Portfolio","Portfolio",IFERROR(INDEX(DATA_ASSET_CLASSIFICATION!$U$8:$U$24,MATCH($C1640,DATA_ASSET_CLASSIFICATION!$A$8:$A$24,0)),"Review"))</f>
        <v>Refi Watch</v>
      </c>
      <c r="O1640" s="350" t="str">
        <f ca="1">IF($B1640="Portfolio","Portfolio",IFERROR(INDEX(DATA_ASSET_CLASSIFICATION!$AB$8:$AB$13,MATCH($N1640,DATA_ASSET_CLASSIFICATION!$AA$8:$AA$13,0)),"Review"))</f>
        <v>Bucket 2 · Legacy</v>
      </c>
      <c r="P1640" s="350" t="str">
        <f>IF($B1640="Portfolio","Portfolio",IFERROR(INDEX(DATA_ASSET_CLASSIFICATION!$C$8:$C$24,MATCH($C1640,DATA_ASSET_CLASSIFICATION!$A$8:$A$24,0)),"Review"))</f>
        <v>Yes</v>
      </c>
      <c r="Q1640" s="350" t="str">
        <f t="shared" ca="1" si="51"/>
        <v>OK</v>
      </c>
    </row>
    <row r="1641" spans="1:17">
      <c r="A1641" s="366" t="s">
        <v>3597</v>
      </c>
      <c r="B1641" s="366" t="s">
        <v>231</v>
      </c>
      <c r="C1641" s="348" t="str">
        <f>DATA_PROPERTY_MASTER!$A$9</f>
        <v>BLD_CC</v>
      </c>
      <c r="D1641" s="380">
        <f>'00_PORTFOLIO ROLLUP'!P$12</f>
        <v>2036</v>
      </c>
      <c r="E1641" s="366" t="s">
        <v>1683</v>
      </c>
      <c r="F1641" s="366" t="s">
        <v>21</v>
      </c>
      <c r="G1641" s="348" t="str">
        <f>"'"&amp;$C1641&amp;"'!$E$45:$Y$45"</f>
        <v>'BLD_CC'!$E$45:$Y$45</v>
      </c>
      <c r="H1641" s="381">
        <f ca="1">IF(IFERROR(INDEX(DATA_PROPERTY_MASTER!$E$5:$E$21,MATCH($C1641,DATA_PROPERTY_MASTER!$A$5:$A$21,0))="Yes",FALSE),IFERROR(INDEX(INDIRECT("'"&amp;$C1641&amp;"'!$E$45:$Y$45"),1,MATCH($D1641,INDIRECT("'"&amp;$C1641&amp;"'!$E$12:$Y$12"),0)),0),0)</f>
        <v>297698.50027705607</v>
      </c>
      <c r="I1641" s="366" t="s">
        <v>1685</v>
      </c>
      <c r="J1641" s="348" t="str">
        <f t="shared" ca="1" si="50"/>
        <v>OK</v>
      </c>
      <c r="K1641" s="366" t="s">
        <v>1694</v>
      </c>
      <c r="L1641" s="366" t="s">
        <v>2242</v>
      </c>
      <c r="M1641" s="350" t="str">
        <f>IF($B1641="Portfolio","Portfolio",IFERROR(INDEX(DATA_ASSET_CLASSIFICATION!$B$8:$B$24,MATCH($C1641,DATA_ASSET_CLASSIFICATION!$A$8:$A$24,0)),"Review"))</f>
        <v>Constance Court</v>
      </c>
      <c r="N1641" s="350" t="str">
        <f ca="1">IF($B1641="Portfolio","Portfolio",IFERROR(INDEX(DATA_ASSET_CLASSIFICATION!$U$8:$U$24,MATCH($C1641,DATA_ASSET_CLASSIFICATION!$A$8:$A$24,0)),"Review"))</f>
        <v>Refi Watch</v>
      </c>
      <c r="O1641" s="350" t="str">
        <f ca="1">IF($B1641="Portfolio","Portfolio",IFERROR(INDEX(DATA_ASSET_CLASSIFICATION!$AB$8:$AB$13,MATCH($N1641,DATA_ASSET_CLASSIFICATION!$AA$8:$AA$13,0)),"Review"))</f>
        <v>Bucket 2 · Legacy</v>
      </c>
      <c r="P1641" s="350" t="str">
        <f>IF($B1641="Portfolio","Portfolio",IFERROR(INDEX(DATA_ASSET_CLASSIFICATION!$C$8:$C$24,MATCH($C1641,DATA_ASSET_CLASSIFICATION!$A$8:$A$24,0)),"Review"))</f>
        <v>Yes</v>
      </c>
      <c r="Q1641" s="350" t="str">
        <f t="shared" ca="1" si="51"/>
        <v>OK</v>
      </c>
    </row>
    <row r="1642" spans="1:17">
      <c r="A1642" s="366" t="s">
        <v>3598</v>
      </c>
      <c r="B1642" s="366" t="s">
        <v>231</v>
      </c>
      <c r="C1642" s="348" t="str">
        <f>DATA_PROPERTY_MASTER!$A$9</f>
        <v>BLD_CC</v>
      </c>
      <c r="D1642" s="380">
        <f>'00_PORTFOLIO ROLLUP'!P$12</f>
        <v>2036</v>
      </c>
      <c r="E1642" s="366" t="s">
        <v>23</v>
      </c>
      <c r="F1642" s="366" t="s">
        <v>23</v>
      </c>
      <c r="G1642" s="348" t="str">
        <f>"'"&amp;$C1642&amp;"'!$E$48:$Y$48"</f>
        <v>'BLD_CC'!$E$48:$Y$48</v>
      </c>
      <c r="H1642" s="381">
        <f ca="1">IF(IFERROR(INDEX(DATA_PROPERTY_MASTER!$E$5:$E$21,MATCH($C1642,DATA_PROPERTY_MASTER!$A$5:$A$21,0))="Yes",FALSE),IFERROR(INDEX(INDIRECT("'"&amp;$C1642&amp;"'!$E$48:$Y$48"),1,MATCH($D1642,INDIRECT("'"&amp;$C1642&amp;"'!$E$12:$Y$12"),0)),0),0)</f>
        <v>0</v>
      </c>
      <c r="I1642" s="366" t="s">
        <v>1690</v>
      </c>
      <c r="J1642" s="348" t="str">
        <f t="shared" ca="1" si="50"/>
        <v>OK</v>
      </c>
      <c r="K1642" s="366" t="s">
        <v>1706</v>
      </c>
      <c r="L1642" s="366" t="s">
        <v>2244</v>
      </c>
      <c r="M1642" s="350" t="str">
        <f>IF($B1642="Portfolio","Portfolio",IFERROR(INDEX(DATA_ASSET_CLASSIFICATION!$B$8:$B$24,MATCH($C1642,DATA_ASSET_CLASSIFICATION!$A$8:$A$24,0)),"Review"))</f>
        <v>Constance Court</v>
      </c>
      <c r="N1642" s="350" t="str">
        <f ca="1">IF($B1642="Portfolio","Portfolio",IFERROR(INDEX(DATA_ASSET_CLASSIFICATION!$U$8:$U$24,MATCH($C1642,DATA_ASSET_CLASSIFICATION!$A$8:$A$24,0)),"Review"))</f>
        <v>Refi Watch</v>
      </c>
      <c r="O1642" s="350" t="str">
        <f ca="1">IF($B1642="Portfolio","Portfolio",IFERROR(INDEX(DATA_ASSET_CLASSIFICATION!$AB$8:$AB$13,MATCH($N1642,DATA_ASSET_CLASSIFICATION!$AA$8:$AA$13,0)),"Review"))</f>
        <v>Bucket 2 · Legacy</v>
      </c>
      <c r="P1642" s="350" t="str">
        <f>IF($B1642="Portfolio","Portfolio",IFERROR(INDEX(DATA_ASSET_CLASSIFICATION!$C$8:$C$24,MATCH($C1642,DATA_ASSET_CLASSIFICATION!$A$8:$A$24,0)),"Review"))</f>
        <v>Yes</v>
      </c>
      <c r="Q1642" s="350" t="str">
        <f t="shared" ca="1" si="51"/>
        <v>OK</v>
      </c>
    </row>
    <row r="1643" spans="1:17">
      <c r="A1643" s="366" t="s">
        <v>3599</v>
      </c>
      <c r="B1643" s="366" t="s">
        <v>231</v>
      </c>
      <c r="C1643" s="348" t="str">
        <f>DATA_PROPERTY_MASTER!$A$9</f>
        <v>BLD_CC</v>
      </c>
      <c r="D1643" s="380">
        <f>'00_PORTFOLIO ROLLUP'!P$12</f>
        <v>2036</v>
      </c>
      <c r="E1643" s="366" t="s">
        <v>1683</v>
      </c>
      <c r="F1643" s="366" t="s">
        <v>25</v>
      </c>
      <c r="G1643" s="348" t="str">
        <f>"'"&amp;$C1643&amp;"'!$E$52:$Y$52"</f>
        <v>'BLD_CC'!$E$52:$Y$52</v>
      </c>
      <c r="H1643" s="381">
        <f ca="1">IF(IFERROR(INDEX(DATA_PROPERTY_MASTER!$E$5:$E$21,MATCH($C1643,DATA_PROPERTY_MASTER!$A$5:$A$21,0))="Yes",FALSE),IFERROR(INDEX(INDIRECT("'"&amp;$C1643&amp;"'!$E$52:$Y$52"),1,MATCH($D1643,INDIRECT("'"&amp;$C1643&amp;"'!$E$12:$Y$12"),0)),0),0)</f>
        <v>304039.70924986881</v>
      </c>
      <c r="I1643" s="366" t="s">
        <v>1685</v>
      </c>
      <c r="J1643" s="348" t="str">
        <f t="shared" ca="1" si="50"/>
        <v>OK</v>
      </c>
      <c r="K1643" s="366" t="s">
        <v>1710</v>
      </c>
      <c r="L1643" s="366" t="s">
        <v>2246</v>
      </c>
      <c r="M1643" s="350" t="str">
        <f>IF($B1643="Portfolio","Portfolio",IFERROR(INDEX(DATA_ASSET_CLASSIFICATION!$B$8:$B$24,MATCH($C1643,DATA_ASSET_CLASSIFICATION!$A$8:$A$24,0)),"Review"))</f>
        <v>Constance Court</v>
      </c>
      <c r="N1643" s="350" t="str">
        <f ca="1">IF($B1643="Portfolio","Portfolio",IFERROR(INDEX(DATA_ASSET_CLASSIFICATION!$U$8:$U$24,MATCH($C1643,DATA_ASSET_CLASSIFICATION!$A$8:$A$24,0)),"Review"))</f>
        <v>Refi Watch</v>
      </c>
      <c r="O1643" s="350" t="str">
        <f ca="1">IF($B1643="Portfolio","Portfolio",IFERROR(INDEX(DATA_ASSET_CLASSIFICATION!$AB$8:$AB$13,MATCH($N1643,DATA_ASSET_CLASSIFICATION!$AA$8:$AA$13,0)),"Review"))</f>
        <v>Bucket 2 · Legacy</v>
      </c>
      <c r="P1643" s="350" t="str">
        <f>IF($B1643="Portfolio","Portfolio",IFERROR(INDEX(DATA_ASSET_CLASSIFICATION!$C$8:$C$24,MATCH($C1643,DATA_ASSET_CLASSIFICATION!$A$8:$A$24,0)),"Review"))</f>
        <v>Yes</v>
      </c>
      <c r="Q1643" s="350" t="str">
        <f t="shared" ca="1" si="51"/>
        <v>OK</v>
      </c>
    </row>
    <row r="1644" spans="1:17">
      <c r="A1644" s="366" t="s">
        <v>3600</v>
      </c>
      <c r="B1644" s="366" t="s">
        <v>231</v>
      </c>
      <c r="C1644" s="348" t="str">
        <f>DATA_PROPERTY_MASTER!$A$9</f>
        <v>BLD_CC</v>
      </c>
      <c r="D1644" s="380">
        <f>'00_PORTFOLIO ROLLUP'!P$12</f>
        <v>2036</v>
      </c>
      <c r="E1644" s="366" t="s">
        <v>1683</v>
      </c>
      <c r="F1644" s="366" t="s">
        <v>27</v>
      </c>
      <c r="G1644" s="348" t="str">
        <f>"'"&amp;$C1644&amp;"'!$E$54:$Y$54"</f>
        <v>'BLD_CC'!$E$54:$Y$54</v>
      </c>
      <c r="H1644" s="381">
        <f ca="1">IF(IFERROR(INDEX(DATA_PROPERTY_MASTER!$E$5:$E$21,MATCH($C1644,DATA_PROPERTY_MASTER!$A$5:$A$21,0))="Yes",FALSE),IFERROR(INDEX(INDIRECT("'"&amp;$C1644&amp;"'!$E$54:$Y$54"),1,MATCH($D1644,INDIRECT("'"&amp;$C1644&amp;"'!$E$12:$Y$12"),0)),0),0)</f>
        <v>182423.82554992128</v>
      </c>
      <c r="I1644" s="366" t="s">
        <v>1690</v>
      </c>
      <c r="J1644" s="348" t="str">
        <f t="shared" ca="1" si="50"/>
        <v>OK</v>
      </c>
      <c r="K1644" s="366" t="s">
        <v>1714</v>
      </c>
      <c r="L1644" s="366" t="s">
        <v>2248</v>
      </c>
      <c r="M1644" s="350" t="str">
        <f>IF($B1644="Portfolio","Portfolio",IFERROR(INDEX(DATA_ASSET_CLASSIFICATION!$B$8:$B$24,MATCH($C1644,DATA_ASSET_CLASSIFICATION!$A$8:$A$24,0)),"Review"))</f>
        <v>Constance Court</v>
      </c>
      <c r="N1644" s="350" t="str">
        <f ca="1">IF($B1644="Portfolio","Portfolio",IFERROR(INDEX(DATA_ASSET_CLASSIFICATION!$U$8:$U$24,MATCH($C1644,DATA_ASSET_CLASSIFICATION!$A$8:$A$24,0)),"Review"))</f>
        <v>Refi Watch</v>
      </c>
      <c r="O1644" s="350" t="str">
        <f ca="1">IF($B1644="Portfolio","Portfolio",IFERROR(INDEX(DATA_ASSET_CLASSIFICATION!$AB$8:$AB$13,MATCH($N1644,DATA_ASSET_CLASSIFICATION!$AA$8:$AA$13,0)),"Review"))</f>
        <v>Bucket 2 · Legacy</v>
      </c>
      <c r="P1644" s="350" t="str">
        <f>IF($B1644="Portfolio","Portfolio",IFERROR(INDEX(DATA_ASSET_CLASSIFICATION!$C$8:$C$24,MATCH($C1644,DATA_ASSET_CLASSIFICATION!$A$8:$A$24,0)),"Review"))</f>
        <v>Yes</v>
      </c>
      <c r="Q1644" s="350" t="str">
        <f t="shared" ca="1" si="51"/>
        <v>OK</v>
      </c>
    </row>
    <row r="1645" spans="1:17">
      <c r="A1645" s="366" t="s">
        <v>3601</v>
      </c>
      <c r="B1645" s="366" t="s">
        <v>231</v>
      </c>
      <c r="C1645" s="348" t="str">
        <f>DATA_PROPERTY_MASTER!$A$9</f>
        <v>BLD_CC</v>
      </c>
      <c r="D1645" s="380">
        <f>'00_PORTFOLIO ROLLUP'!P$12</f>
        <v>2036</v>
      </c>
      <c r="E1645" s="366" t="s">
        <v>1683</v>
      </c>
      <c r="F1645" s="366" t="s">
        <v>29</v>
      </c>
      <c r="G1645" s="348" t="str">
        <f>"'"&amp;$C1645&amp;"'!$E$56:$Y$56"</f>
        <v>'BLD_CC'!$E$56:$Y$56</v>
      </c>
      <c r="H1645" s="381">
        <f ca="1">IF(IFERROR(INDEX(DATA_PROPERTY_MASTER!$E$5:$E$21,MATCH($C1645,DATA_PROPERTY_MASTER!$A$5:$A$21,0))="Yes",FALSE),IFERROR(INDEX(INDIRECT("'"&amp;$C1645&amp;"'!$E$56:$Y$56"),1,MATCH($D1645,INDIRECT("'"&amp;$C1645&amp;"'!$E$12:$Y$12"),0)),0),0)</f>
        <v>121615.88369994753</v>
      </c>
      <c r="I1645" s="366" t="s">
        <v>1685</v>
      </c>
      <c r="J1645" s="348" t="str">
        <f t="shared" ca="1" si="50"/>
        <v>OK</v>
      </c>
      <c r="K1645" s="366" t="s">
        <v>1718</v>
      </c>
      <c r="L1645" s="366" t="s">
        <v>2250</v>
      </c>
      <c r="M1645" s="350" t="str">
        <f>IF($B1645="Portfolio","Portfolio",IFERROR(INDEX(DATA_ASSET_CLASSIFICATION!$B$8:$B$24,MATCH($C1645,DATA_ASSET_CLASSIFICATION!$A$8:$A$24,0)),"Review"))</f>
        <v>Constance Court</v>
      </c>
      <c r="N1645" s="350" t="str">
        <f ca="1">IF($B1645="Portfolio","Portfolio",IFERROR(INDEX(DATA_ASSET_CLASSIFICATION!$U$8:$U$24,MATCH($C1645,DATA_ASSET_CLASSIFICATION!$A$8:$A$24,0)),"Review"))</f>
        <v>Refi Watch</v>
      </c>
      <c r="O1645" s="350" t="str">
        <f ca="1">IF($B1645="Portfolio","Portfolio",IFERROR(INDEX(DATA_ASSET_CLASSIFICATION!$AB$8:$AB$13,MATCH($N1645,DATA_ASSET_CLASSIFICATION!$AA$8:$AA$13,0)),"Review"))</f>
        <v>Bucket 2 · Legacy</v>
      </c>
      <c r="P1645" s="350" t="str">
        <f>IF($B1645="Portfolio","Portfolio",IFERROR(INDEX(DATA_ASSET_CLASSIFICATION!$C$8:$C$24,MATCH($C1645,DATA_ASSET_CLASSIFICATION!$A$8:$A$24,0)),"Review"))</f>
        <v>Yes</v>
      </c>
      <c r="Q1645" s="350" t="str">
        <f t="shared" ca="1" si="51"/>
        <v>OK</v>
      </c>
    </row>
    <row r="1646" spans="1:17">
      <c r="A1646" s="366" t="s">
        <v>3602</v>
      </c>
      <c r="B1646" s="366" t="s">
        <v>231</v>
      </c>
      <c r="C1646" s="348" t="str">
        <f>DATA_PROPERTY_MASTER!$A$9</f>
        <v>BLD_CC</v>
      </c>
      <c r="D1646" s="380">
        <f>'00_PORTFOLIO ROLLUP'!P$12</f>
        <v>2036</v>
      </c>
      <c r="E1646" s="366" t="s">
        <v>1721</v>
      </c>
      <c r="F1646" s="366" t="s">
        <v>31</v>
      </c>
      <c r="G1646" s="348" t="str">
        <f>"'"&amp;$C1646&amp;"'!$E$61:$Y$61"</f>
        <v>'BLD_CC'!$E$61:$Y$61</v>
      </c>
      <c r="H1646" s="381">
        <f ca="1">IF(IFERROR(INDEX(DATA_PROPERTY_MASTER!$E$5:$E$21,MATCH($C1646,DATA_PROPERTY_MASTER!$A$5:$A$21,0))="Yes",FALSE),IFERROR(INDEX(INDIRECT("'"&amp;$C1646&amp;"'!$E$61:$Y$61"),1,MATCH($D1646,INDIRECT("'"&amp;$C1646&amp;"'!$E$12:$Y$12"),0)),0),0)</f>
        <v>0</v>
      </c>
      <c r="I1646" s="366" t="s">
        <v>1690</v>
      </c>
      <c r="J1646" s="348" t="str">
        <f t="shared" ca="1" si="50"/>
        <v>OK</v>
      </c>
      <c r="K1646" s="366" t="s">
        <v>1723</v>
      </c>
      <c r="L1646" s="366" t="s">
        <v>2252</v>
      </c>
      <c r="M1646" s="350" t="str">
        <f>IF($B1646="Portfolio","Portfolio",IFERROR(INDEX(DATA_ASSET_CLASSIFICATION!$B$8:$B$24,MATCH($C1646,DATA_ASSET_CLASSIFICATION!$A$8:$A$24,0)),"Review"))</f>
        <v>Constance Court</v>
      </c>
      <c r="N1646" s="350" t="str">
        <f ca="1">IF($B1646="Portfolio","Portfolio",IFERROR(INDEX(DATA_ASSET_CLASSIFICATION!$U$8:$U$24,MATCH($C1646,DATA_ASSET_CLASSIFICATION!$A$8:$A$24,0)),"Review"))</f>
        <v>Refi Watch</v>
      </c>
      <c r="O1646" s="350" t="str">
        <f ca="1">IF($B1646="Portfolio","Portfolio",IFERROR(INDEX(DATA_ASSET_CLASSIFICATION!$AB$8:$AB$13,MATCH($N1646,DATA_ASSET_CLASSIFICATION!$AA$8:$AA$13,0)),"Review"))</f>
        <v>Bucket 2 · Legacy</v>
      </c>
      <c r="P1646" s="350" t="str">
        <f>IF($B1646="Portfolio","Portfolio",IFERROR(INDEX(DATA_ASSET_CLASSIFICATION!$C$8:$C$24,MATCH($C1646,DATA_ASSET_CLASSIFICATION!$A$8:$A$24,0)),"Review"))</f>
        <v>Yes</v>
      </c>
      <c r="Q1646" s="350" t="str">
        <f t="shared" ca="1" si="51"/>
        <v>OK</v>
      </c>
    </row>
    <row r="1647" spans="1:17">
      <c r="A1647" s="366" t="s">
        <v>3603</v>
      </c>
      <c r="B1647" s="366" t="s">
        <v>231</v>
      </c>
      <c r="C1647" s="348" t="str">
        <f>DATA_PROPERTY_MASTER!$A$9</f>
        <v>BLD_CC</v>
      </c>
      <c r="D1647" s="380">
        <f>'00_PORTFOLIO ROLLUP'!P$12</f>
        <v>2036</v>
      </c>
      <c r="E1647" s="366" t="s">
        <v>1721</v>
      </c>
      <c r="F1647" s="366" t="s">
        <v>33</v>
      </c>
      <c r="G1647" s="348" t="str">
        <f>"'"&amp;$C1647&amp;"'!$E$62:$Y$62"</f>
        <v>'BLD_CC'!$E$62:$Y$62</v>
      </c>
      <c r="H1647" s="381">
        <f ca="1">IF(IFERROR(INDEX(DATA_PROPERTY_MASTER!$E$5:$E$21,MATCH($C1647,DATA_PROPERTY_MASTER!$A$5:$A$21,0))="Yes",FALSE),IFERROR(INDEX(INDIRECT("'"&amp;$C1647&amp;"'!$E$62:$Y$62"),1,MATCH($D1647,INDIRECT("'"&amp;$C1647&amp;"'!$E$12:$Y$12"),0)),0),0)</f>
        <v>0</v>
      </c>
      <c r="I1647" s="366" t="s">
        <v>1685</v>
      </c>
      <c r="J1647" s="348" t="str">
        <f t="shared" ca="1" si="50"/>
        <v>OK</v>
      </c>
      <c r="K1647" s="366" t="s">
        <v>1727</v>
      </c>
      <c r="L1647" s="366" t="s">
        <v>2254</v>
      </c>
      <c r="M1647" s="350" t="str">
        <f>IF($B1647="Portfolio","Portfolio",IFERROR(INDEX(DATA_ASSET_CLASSIFICATION!$B$8:$B$24,MATCH($C1647,DATA_ASSET_CLASSIFICATION!$A$8:$A$24,0)),"Review"))</f>
        <v>Constance Court</v>
      </c>
      <c r="N1647" s="350" t="str">
        <f ca="1">IF($B1647="Portfolio","Portfolio",IFERROR(INDEX(DATA_ASSET_CLASSIFICATION!$U$8:$U$24,MATCH($C1647,DATA_ASSET_CLASSIFICATION!$A$8:$A$24,0)),"Review"))</f>
        <v>Refi Watch</v>
      </c>
      <c r="O1647" s="350" t="str">
        <f ca="1">IF($B1647="Portfolio","Portfolio",IFERROR(INDEX(DATA_ASSET_CLASSIFICATION!$AB$8:$AB$13,MATCH($N1647,DATA_ASSET_CLASSIFICATION!$AA$8:$AA$13,0)),"Review"))</f>
        <v>Bucket 2 · Legacy</v>
      </c>
      <c r="P1647" s="350" t="str">
        <f>IF($B1647="Portfolio","Portfolio",IFERROR(INDEX(DATA_ASSET_CLASSIFICATION!$C$8:$C$24,MATCH($C1647,DATA_ASSET_CLASSIFICATION!$A$8:$A$24,0)),"Review"))</f>
        <v>Yes</v>
      </c>
      <c r="Q1647" s="350" t="str">
        <f t="shared" ca="1" si="51"/>
        <v>OK</v>
      </c>
    </row>
    <row r="1648" spans="1:17">
      <c r="A1648" s="366" t="s">
        <v>3604</v>
      </c>
      <c r="B1648" s="366" t="s">
        <v>231</v>
      </c>
      <c r="C1648" s="348" t="str">
        <f>DATA_PROPERTY_MASTER!$A$9</f>
        <v>BLD_CC</v>
      </c>
      <c r="D1648" s="380">
        <f>'00_PORTFOLIO ROLLUP'!P$12</f>
        <v>2036</v>
      </c>
      <c r="E1648" s="366" t="s">
        <v>1721</v>
      </c>
      <c r="F1648" s="366" t="s">
        <v>35</v>
      </c>
      <c r="G1648" s="348" t="str">
        <f>"'"&amp;$C1648&amp;"'!$E$63:$Y$63"</f>
        <v>'BLD_CC'!$E$63:$Y$63</v>
      </c>
      <c r="H1648" s="381">
        <f ca="1">IF(IFERROR(INDEX(DATA_PROPERTY_MASTER!$E$5:$E$21,MATCH($C1648,DATA_PROPERTY_MASTER!$A$5:$A$21,0))="Yes",FALSE),IFERROR(INDEX(INDIRECT("'"&amp;$C1648&amp;"'!$E$63:$Y$63"),1,MATCH($D1648,INDIRECT("'"&amp;$C1648&amp;"'!$E$12:$Y$12"),0)),0),0)</f>
        <v>0</v>
      </c>
      <c r="I1648" s="366" t="s">
        <v>1731</v>
      </c>
      <c r="J1648" s="348" t="str">
        <f t="shared" ca="1" si="50"/>
        <v>OK</v>
      </c>
      <c r="K1648" s="366" t="s">
        <v>1732</v>
      </c>
      <c r="L1648" s="366" t="s">
        <v>2256</v>
      </c>
      <c r="M1648" s="350" t="str">
        <f>IF($B1648="Portfolio","Portfolio",IFERROR(INDEX(DATA_ASSET_CLASSIFICATION!$B$8:$B$24,MATCH($C1648,DATA_ASSET_CLASSIFICATION!$A$8:$A$24,0)),"Review"))</f>
        <v>Constance Court</v>
      </c>
      <c r="N1648" s="350" t="str">
        <f ca="1">IF($B1648="Portfolio","Portfolio",IFERROR(INDEX(DATA_ASSET_CLASSIFICATION!$U$8:$U$24,MATCH($C1648,DATA_ASSET_CLASSIFICATION!$A$8:$A$24,0)),"Review"))</f>
        <v>Refi Watch</v>
      </c>
      <c r="O1648" s="350" t="str">
        <f ca="1">IF($B1648="Portfolio","Portfolio",IFERROR(INDEX(DATA_ASSET_CLASSIFICATION!$AB$8:$AB$13,MATCH($N1648,DATA_ASSET_CLASSIFICATION!$AA$8:$AA$13,0)),"Review"))</f>
        <v>Bucket 2 · Legacy</v>
      </c>
      <c r="P1648" s="350" t="str">
        <f>IF($B1648="Portfolio","Portfolio",IFERROR(INDEX(DATA_ASSET_CLASSIFICATION!$C$8:$C$24,MATCH($C1648,DATA_ASSET_CLASSIFICATION!$A$8:$A$24,0)),"Review"))</f>
        <v>Yes</v>
      </c>
      <c r="Q1648" s="350" t="str">
        <f t="shared" ca="1" si="51"/>
        <v>OK</v>
      </c>
    </row>
    <row r="1649" spans="1:17">
      <c r="A1649" s="366" t="s">
        <v>3605</v>
      </c>
      <c r="B1649" s="366" t="s">
        <v>231</v>
      </c>
      <c r="C1649" s="348" t="str">
        <f>DATA_PROPERTY_MASTER!$A$9</f>
        <v>BLD_CC</v>
      </c>
      <c r="D1649" s="380">
        <f>'00_PORTFOLIO ROLLUP'!P$12</f>
        <v>2036</v>
      </c>
      <c r="E1649" s="366" t="s">
        <v>1721</v>
      </c>
      <c r="F1649" s="366" t="s">
        <v>37</v>
      </c>
      <c r="G1649" s="348" t="str">
        <f>"'"&amp;$C1649&amp;"'!$E$63:$Y$63"</f>
        <v>'BLD_CC'!$E$63:$Y$63</v>
      </c>
      <c r="H1649" s="381">
        <f ca="1">IF(IFERROR(INDEX(DATA_PROPERTY_MASTER!$E$5:$E$21,MATCH($C1649,DATA_PROPERTY_MASTER!$A$5:$A$21,0))="Yes",FALSE),MAX(IFERROR(INDEX(INDIRECT("'"&amp;$C1649&amp;"'!$E$63:$Y$63"),1,MATCH($D1649,INDIRECT("'"&amp;$C1649&amp;"'!$E$12:$Y$12"),0)),0),0),0)</f>
        <v>0</v>
      </c>
      <c r="I1649" s="366" t="s">
        <v>1685</v>
      </c>
      <c r="J1649" s="348" t="str">
        <f t="shared" ca="1" si="50"/>
        <v>OK</v>
      </c>
      <c r="K1649" s="366" t="s">
        <v>1735</v>
      </c>
      <c r="L1649" s="366" t="s">
        <v>2258</v>
      </c>
      <c r="M1649" s="350" t="str">
        <f>IF($B1649="Portfolio","Portfolio",IFERROR(INDEX(DATA_ASSET_CLASSIFICATION!$B$8:$B$24,MATCH($C1649,DATA_ASSET_CLASSIFICATION!$A$8:$A$24,0)),"Review"))</f>
        <v>Constance Court</v>
      </c>
      <c r="N1649" s="350" t="str">
        <f ca="1">IF($B1649="Portfolio","Portfolio",IFERROR(INDEX(DATA_ASSET_CLASSIFICATION!$U$8:$U$24,MATCH($C1649,DATA_ASSET_CLASSIFICATION!$A$8:$A$24,0)),"Review"))</f>
        <v>Refi Watch</v>
      </c>
      <c r="O1649" s="350" t="str">
        <f ca="1">IF($B1649="Portfolio","Portfolio",IFERROR(INDEX(DATA_ASSET_CLASSIFICATION!$AB$8:$AB$13,MATCH($N1649,DATA_ASSET_CLASSIFICATION!$AA$8:$AA$13,0)),"Review"))</f>
        <v>Bucket 2 · Legacy</v>
      </c>
      <c r="P1649" s="350" t="str">
        <f>IF($B1649="Portfolio","Portfolio",IFERROR(INDEX(DATA_ASSET_CLASSIFICATION!$C$8:$C$24,MATCH($C1649,DATA_ASSET_CLASSIFICATION!$A$8:$A$24,0)),"Review"))</f>
        <v>Yes</v>
      </c>
      <c r="Q1649" s="350" t="str">
        <f t="shared" ca="1" si="51"/>
        <v>OK</v>
      </c>
    </row>
    <row r="1650" spans="1:17">
      <c r="A1650" s="366" t="s">
        <v>3606</v>
      </c>
      <c r="B1650" s="366" t="s">
        <v>231</v>
      </c>
      <c r="C1650" s="348" t="str">
        <f>DATA_PROPERTY_MASTER!$A$9</f>
        <v>BLD_CC</v>
      </c>
      <c r="D1650" s="380">
        <f>'00_PORTFOLIO ROLLUP'!P$12</f>
        <v>2036</v>
      </c>
      <c r="E1650" s="366" t="s">
        <v>1721</v>
      </c>
      <c r="F1650" s="366" t="s">
        <v>39</v>
      </c>
      <c r="G1650" s="348" t="str">
        <f>"'"&amp;$C1650&amp;"'!$E$63:$Y$63"</f>
        <v>'BLD_CC'!$E$63:$Y$63</v>
      </c>
      <c r="H1650" s="381">
        <f ca="1">IF(IFERROR(INDEX(DATA_PROPERTY_MASTER!$E$5:$E$21,MATCH($C1650,DATA_PROPERTY_MASTER!$A$5:$A$21,0))="Yes",FALSE),MAX(-IFERROR(INDEX(INDIRECT("'"&amp;$C1650&amp;"'!$E$63:$Y$63"),1,MATCH($D1650,INDIRECT("'"&amp;$C1650&amp;"'!$E$12:$Y$12"),0)),0),0),0)</f>
        <v>0</v>
      </c>
      <c r="I1650" s="366" t="s">
        <v>1690</v>
      </c>
      <c r="J1650" s="348" t="str">
        <f t="shared" ca="1" si="50"/>
        <v>OK</v>
      </c>
      <c r="K1650" s="366" t="s">
        <v>1738</v>
      </c>
      <c r="L1650" s="366" t="s">
        <v>2260</v>
      </c>
      <c r="M1650" s="350" t="str">
        <f>IF($B1650="Portfolio","Portfolio",IFERROR(INDEX(DATA_ASSET_CLASSIFICATION!$B$8:$B$24,MATCH($C1650,DATA_ASSET_CLASSIFICATION!$A$8:$A$24,0)),"Review"))</f>
        <v>Constance Court</v>
      </c>
      <c r="N1650" s="350" t="str">
        <f ca="1">IF($B1650="Portfolio","Portfolio",IFERROR(INDEX(DATA_ASSET_CLASSIFICATION!$U$8:$U$24,MATCH($C1650,DATA_ASSET_CLASSIFICATION!$A$8:$A$24,0)),"Review"))</f>
        <v>Refi Watch</v>
      </c>
      <c r="O1650" s="350" t="str">
        <f ca="1">IF($B1650="Portfolio","Portfolio",IFERROR(INDEX(DATA_ASSET_CLASSIFICATION!$AB$8:$AB$13,MATCH($N1650,DATA_ASSET_CLASSIFICATION!$AA$8:$AA$13,0)),"Review"))</f>
        <v>Bucket 2 · Legacy</v>
      </c>
      <c r="P1650" s="350" t="str">
        <f>IF($B1650="Portfolio","Portfolio",IFERROR(INDEX(DATA_ASSET_CLASSIFICATION!$C$8:$C$24,MATCH($C1650,DATA_ASSET_CLASSIFICATION!$A$8:$A$24,0)),"Review"))</f>
        <v>Yes</v>
      </c>
      <c r="Q1650" s="350" t="str">
        <f t="shared" ca="1" si="51"/>
        <v>OK</v>
      </c>
    </row>
    <row r="1651" spans="1:17">
      <c r="A1651" s="366" t="s">
        <v>3607</v>
      </c>
      <c r="B1651" s="366" t="s">
        <v>231</v>
      </c>
      <c r="C1651" s="348" t="str">
        <f>DATA_PROPERTY_MASTER!$A$9</f>
        <v>BLD_CC</v>
      </c>
      <c r="D1651" s="380">
        <f>'00_PORTFOLIO ROLLUP'!P$12</f>
        <v>2036</v>
      </c>
      <c r="E1651" s="366" t="s">
        <v>1741</v>
      </c>
      <c r="F1651" s="366" t="s">
        <v>41</v>
      </c>
      <c r="G1651" s="348" t="str">
        <f>"'"&amp;$C1651&amp;"'!rows 56 + positive row 63"</f>
        <v>'BLD_CC'!rows 56 + positive row 63</v>
      </c>
      <c r="H1651" s="381">
        <f ca="1">IF(IFERROR(INDEX(DATA_PROPERTY_MASTER!$E$5:$E$21,MATCH($C1651,DATA_PROPERTY_MASTER!$A$5:$A$21,0))="Yes",FALSE),IFERROR(INDEX(INDIRECT("'"&amp;$C1651&amp;"'!$E$56:$Y$56"),1,MATCH($D1651,INDIRECT("'"&amp;$C1651&amp;"'!$E$12:$Y$12"),0)),0)+MAX(IFERROR(INDEX(INDIRECT("'"&amp;$C1651&amp;"'!$E$63:$Y$63"),1,MATCH($D1651,INDIRECT("'"&amp;$C1651&amp;"'!$E$12:$Y$12"),0)),0),0),0)</f>
        <v>121615.88369994753</v>
      </c>
      <c r="I1651" s="366" t="s">
        <v>1685</v>
      </c>
      <c r="J1651" s="348" t="str">
        <f t="shared" ca="1" si="50"/>
        <v>OK</v>
      </c>
      <c r="K1651" s="366" t="s">
        <v>1742</v>
      </c>
      <c r="L1651" s="366" t="s">
        <v>2262</v>
      </c>
      <c r="M1651" s="350" t="str">
        <f>IF($B1651="Portfolio","Portfolio",IFERROR(INDEX(DATA_ASSET_CLASSIFICATION!$B$8:$B$24,MATCH($C1651,DATA_ASSET_CLASSIFICATION!$A$8:$A$24,0)),"Review"))</f>
        <v>Constance Court</v>
      </c>
      <c r="N1651" s="350" t="str">
        <f ca="1">IF($B1651="Portfolio","Portfolio",IFERROR(INDEX(DATA_ASSET_CLASSIFICATION!$U$8:$U$24,MATCH($C1651,DATA_ASSET_CLASSIFICATION!$A$8:$A$24,0)),"Review"))</f>
        <v>Refi Watch</v>
      </c>
      <c r="O1651" s="350" t="str">
        <f ca="1">IF($B1651="Portfolio","Portfolio",IFERROR(INDEX(DATA_ASSET_CLASSIFICATION!$AB$8:$AB$13,MATCH($N1651,DATA_ASSET_CLASSIFICATION!$AA$8:$AA$13,0)),"Review"))</f>
        <v>Bucket 2 · Legacy</v>
      </c>
      <c r="P1651" s="350" t="str">
        <f>IF($B1651="Portfolio","Portfolio",IFERROR(INDEX(DATA_ASSET_CLASSIFICATION!$C$8:$C$24,MATCH($C1651,DATA_ASSET_CLASSIFICATION!$A$8:$A$24,0)),"Review"))</f>
        <v>Yes</v>
      </c>
      <c r="Q1651" s="350" t="str">
        <f t="shared" ca="1" si="51"/>
        <v>OK</v>
      </c>
    </row>
    <row r="1652" spans="1:17">
      <c r="A1652" s="366" t="s">
        <v>3608</v>
      </c>
      <c r="B1652" s="366" t="s">
        <v>231</v>
      </c>
      <c r="C1652" s="348" t="str">
        <f>DATA_PROPERTY_MASTER!$A$9</f>
        <v>BLD_CC</v>
      </c>
      <c r="D1652" s="380">
        <f>'00_PORTFOLIO ROLLUP'!P$12</f>
        <v>2036</v>
      </c>
      <c r="E1652" s="366" t="s">
        <v>1741</v>
      </c>
      <c r="F1652" s="366" t="s">
        <v>43</v>
      </c>
      <c r="G1652" s="348" t="str">
        <f>"'"&amp;$C1652&amp;"'!$E$68:$Y$68"</f>
        <v>'BLD_CC'!$E$68:$Y$68</v>
      </c>
      <c r="H1652" s="381">
        <f ca="1">IF(IFERROR(INDEX(DATA_PROPERTY_MASTER!$E$5:$E$21,MATCH($C1652,DATA_PROPERTY_MASTER!$A$5:$A$21,0))="Yes",FALSE),IFERROR(INDEX(INDIRECT("'"&amp;$C1652&amp;"'!$E$68:$Y$68"),1,MATCH($D1652,INDIRECT("'"&amp;$C1652&amp;"'!$E$12:$Y$12"),0)),0),0)</f>
        <v>121615.88369994753</v>
      </c>
      <c r="I1652" s="366" t="s">
        <v>1731</v>
      </c>
      <c r="J1652" s="348" t="str">
        <f t="shared" ca="1" si="50"/>
        <v>OK</v>
      </c>
      <c r="K1652" s="366" t="s">
        <v>1746</v>
      </c>
      <c r="L1652" s="366" t="s">
        <v>2264</v>
      </c>
      <c r="M1652" s="350" t="str">
        <f>IF($B1652="Portfolio","Portfolio",IFERROR(INDEX(DATA_ASSET_CLASSIFICATION!$B$8:$B$24,MATCH($C1652,DATA_ASSET_CLASSIFICATION!$A$8:$A$24,0)),"Review"))</f>
        <v>Constance Court</v>
      </c>
      <c r="N1652" s="350" t="str">
        <f ca="1">IF($B1652="Portfolio","Portfolio",IFERROR(INDEX(DATA_ASSET_CLASSIFICATION!$U$8:$U$24,MATCH($C1652,DATA_ASSET_CLASSIFICATION!$A$8:$A$24,0)),"Review"))</f>
        <v>Refi Watch</v>
      </c>
      <c r="O1652" s="350" t="str">
        <f ca="1">IF($B1652="Portfolio","Portfolio",IFERROR(INDEX(DATA_ASSET_CLASSIFICATION!$AB$8:$AB$13,MATCH($N1652,DATA_ASSET_CLASSIFICATION!$AA$8:$AA$13,0)),"Review"))</f>
        <v>Bucket 2 · Legacy</v>
      </c>
      <c r="P1652" s="350" t="str">
        <f>IF($B1652="Portfolio","Portfolio",IFERROR(INDEX(DATA_ASSET_CLASSIFICATION!$C$8:$C$24,MATCH($C1652,DATA_ASSET_CLASSIFICATION!$A$8:$A$24,0)),"Review"))</f>
        <v>Yes</v>
      </c>
      <c r="Q1652" s="350" t="str">
        <f t="shared" ca="1" si="51"/>
        <v>OK</v>
      </c>
    </row>
    <row r="1653" spans="1:17">
      <c r="A1653" s="366" t="s">
        <v>3609</v>
      </c>
      <c r="B1653" s="366" t="s">
        <v>231</v>
      </c>
      <c r="C1653" s="348" t="str">
        <f>DATA_PROPERTY_MASTER!$A$9</f>
        <v>BLD_CC</v>
      </c>
      <c r="D1653" s="380">
        <f>'00_PORTFOLIO ROLLUP'!P$12</f>
        <v>2036</v>
      </c>
      <c r="E1653" s="366" t="s">
        <v>1741</v>
      </c>
      <c r="F1653" s="366" t="s">
        <v>1749</v>
      </c>
      <c r="G1653" s="348" t="str">
        <f>"'"&amp;$C1653&amp;"'!rows 56, 63, 68"</f>
        <v>'BLD_CC'!rows 56, 63, 68</v>
      </c>
      <c r="H1653" s="381">
        <f ca="1">IF(IFERROR(INDEX(DATA_PROPERTY_MASTER!$E$5:$E$21,MATCH($C1653,DATA_PROPERTY_MASTER!$A$5:$A$21,0))="Yes",FALSE),(IFERROR(INDEX(INDIRECT("'"&amp;$C1653&amp;"'!$E$56:$Y$56"),1,MATCH($D1653,INDIRECT("'"&amp;$C1653&amp;"'!$E$12:$Y$12"),0)),0)+MAX(IFERROR(INDEX(INDIRECT("'"&amp;$C1653&amp;"'!$E$63:$Y$63"),1,MATCH($D1653,INDIRECT("'"&amp;$C1653&amp;"'!$E$12:$Y$12"),0)),0),0))-(IFERROR(INDEX(INDIRECT("'"&amp;$C1653&amp;"'!$E$68:$Y$68"),1,MATCH($D1653,INDIRECT("'"&amp;$C1653&amp;"'!$E$12:$Y$12"),0)),0)),0)</f>
        <v>0</v>
      </c>
      <c r="I1653" s="366" t="s">
        <v>1750</v>
      </c>
      <c r="J1653" s="348" t="str">
        <f t="shared" ca="1" si="50"/>
        <v>OK</v>
      </c>
      <c r="K1653" s="366" t="s">
        <v>1751</v>
      </c>
      <c r="L1653" s="366" t="s">
        <v>2266</v>
      </c>
      <c r="M1653" s="350" t="str">
        <f>IF($B1653="Portfolio","Portfolio",IFERROR(INDEX(DATA_ASSET_CLASSIFICATION!$B$8:$B$24,MATCH($C1653,DATA_ASSET_CLASSIFICATION!$A$8:$A$24,0)),"Review"))</f>
        <v>Constance Court</v>
      </c>
      <c r="N1653" s="350" t="str">
        <f ca="1">IF($B1653="Portfolio","Portfolio",IFERROR(INDEX(DATA_ASSET_CLASSIFICATION!$U$8:$U$24,MATCH($C1653,DATA_ASSET_CLASSIFICATION!$A$8:$A$24,0)),"Review"))</f>
        <v>Refi Watch</v>
      </c>
      <c r="O1653" s="350" t="str">
        <f ca="1">IF($B1653="Portfolio","Portfolio",IFERROR(INDEX(DATA_ASSET_CLASSIFICATION!$AB$8:$AB$13,MATCH($N1653,DATA_ASSET_CLASSIFICATION!$AA$8:$AA$13,0)),"Review"))</f>
        <v>Bucket 2 · Legacy</v>
      </c>
      <c r="P1653" s="350" t="str">
        <f>IF($B1653="Portfolio","Portfolio",IFERROR(INDEX(DATA_ASSET_CLASSIFICATION!$C$8:$C$24,MATCH($C1653,DATA_ASSET_CLASSIFICATION!$A$8:$A$24,0)),"Review"))</f>
        <v>Yes</v>
      </c>
      <c r="Q1653" s="350" t="str">
        <f t="shared" ca="1" si="51"/>
        <v>OK</v>
      </c>
    </row>
    <row r="1654" spans="1:17">
      <c r="A1654" s="366" t="s">
        <v>3610</v>
      </c>
      <c r="B1654" s="366" t="s">
        <v>231</v>
      </c>
      <c r="C1654" s="348" t="str">
        <f>DATA_PROPERTY_MASTER!$A$9</f>
        <v>BLD_CC</v>
      </c>
      <c r="D1654" s="380">
        <f>'00_PORTFOLIO ROLLUP'!Q$12</f>
        <v>2037</v>
      </c>
      <c r="E1654" s="366" t="s">
        <v>1683</v>
      </c>
      <c r="F1654" s="366" t="s">
        <v>341</v>
      </c>
      <c r="G1654" s="348" t="str">
        <f>"'"&amp;$C1654&amp;"'!$E$24:$Y$24"</f>
        <v>'BLD_CC'!$E$24:$Y$24</v>
      </c>
      <c r="H1654" s="381">
        <f ca="1">IF(IFERROR(INDEX(DATA_PROPERTY_MASTER!$E$5:$E$21,MATCH($C1654,DATA_PROPERTY_MASTER!$A$5:$A$21,0))="Yes",FALSE),IFERROR(INDEX(INDIRECT("'"&amp;$C1654&amp;"'!$E$24:$Y$24"),1,MATCH($D1654,INDIRECT("'"&amp;$C1654&amp;"'!$E$12:$Y$12"),0)),0),0)</f>
        <v>625399.27962754085</v>
      </c>
      <c r="I1654" s="366" t="s">
        <v>1685</v>
      </c>
      <c r="J1654" s="348" t="str">
        <f t="shared" ca="1" si="50"/>
        <v>OK</v>
      </c>
      <c r="K1654" s="366" t="s">
        <v>1686</v>
      </c>
      <c r="L1654" s="366" t="s">
        <v>2234</v>
      </c>
      <c r="M1654" s="350" t="str">
        <f>IF($B1654="Portfolio","Portfolio",IFERROR(INDEX(DATA_ASSET_CLASSIFICATION!$B$8:$B$24,MATCH($C1654,DATA_ASSET_CLASSIFICATION!$A$8:$A$24,0)),"Review"))</f>
        <v>Constance Court</v>
      </c>
      <c r="N1654" s="350" t="str">
        <f ca="1">IF($B1654="Portfolio","Portfolio",IFERROR(INDEX(DATA_ASSET_CLASSIFICATION!$U$8:$U$24,MATCH($C1654,DATA_ASSET_CLASSIFICATION!$A$8:$A$24,0)),"Review"))</f>
        <v>Refi Watch</v>
      </c>
      <c r="O1654" s="350" t="str">
        <f ca="1">IF($B1654="Portfolio","Portfolio",IFERROR(INDEX(DATA_ASSET_CLASSIFICATION!$AB$8:$AB$13,MATCH($N1654,DATA_ASSET_CLASSIFICATION!$AA$8:$AA$13,0)),"Review"))</f>
        <v>Bucket 2 · Legacy</v>
      </c>
      <c r="P1654" s="350" t="str">
        <f>IF($B1654="Portfolio","Portfolio",IFERROR(INDEX(DATA_ASSET_CLASSIFICATION!$C$8:$C$24,MATCH($C1654,DATA_ASSET_CLASSIFICATION!$A$8:$A$24,0)),"Review"))</f>
        <v>Yes</v>
      </c>
      <c r="Q1654" s="350" t="str">
        <f t="shared" ca="1" si="51"/>
        <v>OK</v>
      </c>
    </row>
    <row r="1655" spans="1:17">
      <c r="A1655" s="366" t="s">
        <v>3611</v>
      </c>
      <c r="B1655" s="366" t="s">
        <v>231</v>
      </c>
      <c r="C1655" s="348" t="str">
        <f>DATA_PROPERTY_MASTER!$A$9</f>
        <v>BLD_CC</v>
      </c>
      <c r="D1655" s="380">
        <f>'00_PORTFOLIO ROLLUP'!Q$12</f>
        <v>2037</v>
      </c>
      <c r="E1655" s="366" t="s">
        <v>1683</v>
      </c>
      <c r="F1655" s="366" t="s">
        <v>355</v>
      </c>
      <c r="G1655" s="348" t="str">
        <f>"'"&amp;$C1655&amp;"'!$E$39:$Y$39"</f>
        <v>'BLD_CC'!$E$39:$Y$39</v>
      </c>
      <c r="H1655" s="381">
        <f ca="1">IF(IFERROR(INDEX(DATA_PROPERTY_MASTER!$E$5:$E$21,MATCH($C1655,DATA_PROPERTY_MASTER!$A$5:$A$21,0))="Yes",FALSE),IFERROR(INDEX(INDIRECT("'"&amp;$C1655&amp;"'!$E$39:$Y$39"),1,MATCH($D1655,INDIRECT("'"&amp;$C1655&amp;"'!$E$12:$Y$12"),0)),0),0)</f>
        <v>316824.26038969756</v>
      </c>
      <c r="I1655" s="366" t="s">
        <v>1690</v>
      </c>
      <c r="J1655" s="348" t="str">
        <f t="shared" ca="1" si="50"/>
        <v>OK</v>
      </c>
      <c r="K1655" s="366" t="s">
        <v>1686</v>
      </c>
      <c r="L1655" s="366" t="s">
        <v>2236</v>
      </c>
      <c r="M1655" s="350" t="str">
        <f>IF($B1655="Portfolio","Portfolio",IFERROR(INDEX(DATA_ASSET_CLASSIFICATION!$B$8:$B$24,MATCH($C1655,DATA_ASSET_CLASSIFICATION!$A$8:$A$24,0)),"Review"))</f>
        <v>Constance Court</v>
      </c>
      <c r="N1655" s="350" t="str">
        <f ca="1">IF($B1655="Portfolio","Portfolio",IFERROR(INDEX(DATA_ASSET_CLASSIFICATION!$U$8:$U$24,MATCH($C1655,DATA_ASSET_CLASSIFICATION!$A$8:$A$24,0)),"Review"))</f>
        <v>Refi Watch</v>
      </c>
      <c r="O1655" s="350" t="str">
        <f ca="1">IF($B1655="Portfolio","Portfolio",IFERROR(INDEX(DATA_ASSET_CLASSIFICATION!$AB$8:$AB$13,MATCH($N1655,DATA_ASSET_CLASSIFICATION!$AA$8:$AA$13,0)),"Review"))</f>
        <v>Bucket 2 · Legacy</v>
      </c>
      <c r="P1655" s="350" t="str">
        <f>IF($B1655="Portfolio","Portfolio",IFERROR(INDEX(DATA_ASSET_CLASSIFICATION!$C$8:$C$24,MATCH($C1655,DATA_ASSET_CLASSIFICATION!$A$8:$A$24,0)),"Review"))</f>
        <v>Yes</v>
      </c>
      <c r="Q1655" s="350" t="str">
        <f t="shared" ca="1" si="51"/>
        <v>OK</v>
      </c>
    </row>
    <row r="1656" spans="1:17">
      <c r="A1656" s="366" t="s">
        <v>3612</v>
      </c>
      <c r="B1656" s="366" t="s">
        <v>231</v>
      </c>
      <c r="C1656" s="348" t="str">
        <f>DATA_PROPERTY_MASTER!$A$9</f>
        <v>BLD_CC</v>
      </c>
      <c r="D1656" s="380">
        <f>'00_PORTFOLIO ROLLUP'!Q$12</f>
        <v>2037</v>
      </c>
      <c r="E1656" s="366" t="s">
        <v>1683</v>
      </c>
      <c r="F1656" s="366" t="s">
        <v>19</v>
      </c>
      <c r="G1656" s="348" t="str">
        <f>"'"&amp;$C1656&amp;"'!$E$41:$Y$41"</f>
        <v>'BLD_CC'!$E$41:$Y$41</v>
      </c>
      <c r="H1656" s="381">
        <f ca="1">IF(IFERROR(INDEX(DATA_PROPERTY_MASTER!$E$5:$E$21,MATCH($C1656,DATA_PROPERTY_MASTER!$A$5:$A$21,0))="Yes",FALSE),IFERROR(INDEX(INDIRECT("'"&amp;$C1656&amp;"'!$E$41:$Y$41"),1,MATCH($D1656,INDIRECT("'"&amp;$C1656&amp;"'!$E$12:$Y$12"),0)),0),0)</f>
        <v>308575.01923784328</v>
      </c>
      <c r="I1656" s="366" t="s">
        <v>1685</v>
      </c>
      <c r="J1656" s="348" t="str">
        <f t="shared" ca="1" si="50"/>
        <v>OK</v>
      </c>
      <c r="K1656" s="366" t="s">
        <v>1694</v>
      </c>
      <c r="L1656" s="366" t="s">
        <v>2238</v>
      </c>
      <c r="M1656" s="350" t="str">
        <f>IF($B1656="Portfolio","Portfolio",IFERROR(INDEX(DATA_ASSET_CLASSIFICATION!$B$8:$B$24,MATCH($C1656,DATA_ASSET_CLASSIFICATION!$A$8:$A$24,0)),"Review"))</f>
        <v>Constance Court</v>
      </c>
      <c r="N1656" s="350" t="str">
        <f ca="1">IF($B1656="Portfolio","Portfolio",IFERROR(INDEX(DATA_ASSET_CLASSIFICATION!$U$8:$U$24,MATCH($C1656,DATA_ASSET_CLASSIFICATION!$A$8:$A$24,0)),"Review"))</f>
        <v>Refi Watch</v>
      </c>
      <c r="O1656" s="350" t="str">
        <f ca="1">IF($B1656="Portfolio","Portfolio",IFERROR(INDEX(DATA_ASSET_CLASSIFICATION!$AB$8:$AB$13,MATCH($N1656,DATA_ASSET_CLASSIFICATION!$AA$8:$AA$13,0)),"Review"))</f>
        <v>Bucket 2 · Legacy</v>
      </c>
      <c r="P1656" s="350" t="str">
        <f>IF($B1656="Portfolio","Portfolio",IFERROR(INDEX(DATA_ASSET_CLASSIFICATION!$C$8:$C$24,MATCH($C1656,DATA_ASSET_CLASSIFICATION!$A$8:$A$24,0)),"Review"))</f>
        <v>Yes</v>
      </c>
      <c r="Q1656" s="350" t="str">
        <f t="shared" ca="1" si="51"/>
        <v>OK</v>
      </c>
    </row>
    <row r="1657" spans="1:17">
      <c r="A1657" s="366" t="s">
        <v>3613</v>
      </c>
      <c r="B1657" s="366" t="s">
        <v>231</v>
      </c>
      <c r="C1657" s="348" t="str">
        <f>DATA_PROPERTY_MASTER!$A$9</f>
        <v>BLD_CC</v>
      </c>
      <c r="D1657" s="380">
        <f>'00_PORTFOLIO ROLLUP'!Q$12</f>
        <v>2037</v>
      </c>
      <c r="E1657" s="366" t="s">
        <v>1683</v>
      </c>
      <c r="F1657" s="366" t="s">
        <v>1697</v>
      </c>
      <c r="G1657" s="348" t="str">
        <f>"'"&amp;$C1657&amp;"'!$E$44:$Y$44"</f>
        <v>'BLD_CC'!$E$44:$Y$44</v>
      </c>
      <c r="H1657" s="381">
        <f ca="1">IF(IFERROR(INDEX(DATA_PROPERTY_MASTER!$E$5:$E$21,MATCH($C1657,DATA_PROPERTY_MASTER!$A$5:$A$21,0))="Yes",FALSE),IFERROR(INDEX(INDIRECT("'"&amp;$C1657&amp;"'!$E$44:$Y$44"),1,MATCH($D1657,INDIRECT("'"&amp;$C1657&amp;"'!$E$12:$Y$12"),0)),0),0)</f>
        <v>6468.0331522689812</v>
      </c>
      <c r="I1657" s="366" t="s">
        <v>1690</v>
      </c>
      <c r="J1657" s="348" t="str">
        <f t="shared" ca="1" si="50"/>
        <v>OK</v>
      </c>
      <c r="K1657" s="366" t="s">
        <v>1699</v>
      </c>
      <c r="L1657" s="366" t="s">
        <v>2240</v>
      </c>
      <c r="M1657" s="350" t="str">
        <f>IF($B1657="Portfolio","Portfolio",IFERROR(INDEX(DATA_ASSET_CLASSIFICATION!$B$8:$B$24,MATCH($C1657,DATA_ASSET_CLASSIFICATION!$A$8:$A$24,0)),"Review"))</f>
        <v>Constance Court</v>
      </c>
      <c r="N1657" s="350" t="str">
        <f ca="1">IF($B1657="Portfolio","Portfolio",IFERROR(INDEX(DATA_ASSET_CLASSIFICATION!$U$8:$U$24,MATCH($C1657,DATA_ASSET_CLASSIFICATION!$A$8:$A$24,0)),"Review"))</f>
        <v>Refi Watch</v>
      </c>
      <c r="O1657" s="350" t="str">
        <f ca="1">IF($B1657="Portfolio","Portfolio",IFERROR(INDEX(DATA_ASSET_CLASSIFICATION!$AB$8:$AB$13,MATCH($N1657,DATA_ASSET_CLASSIFICATION!$AA$8:$AA$13,0)),"Review"))</f>
        <v>Bucket 2 · Legacy</v>
      </c>
      <c r="P1657" s="350" t="str">
        <f>IF($B1657="Portfolio","Portfolio",IFERROR(INDEX(DATA_ASSET_CLASSIFICATION!$C$8:$C$24,MATCH($C1657,DATA_ASSET_CLASSIFICATION!$A$8:$A$24,0)),"Review"))</f>
        <v>Yes</v>
      </c>
      <c r="Q1657" s="350" t="str">
        <f t="shared" ca="1" si="51"/>
        <v>OK</v>
      </c>
    </row>
    <row r="1658" spans="1:17">
      <c r="A1658" s="366" t="s">
        <v>3614</v>
      </c>
      <c r="B1658" s="366" t="s">
        <v>231</v>
      </c>
      <c r="C1658" s="348" t="str">
        <f>DATA_PROPERTY_MASTER!$A$9</f>
        <v>BLD_CC</v>
      </c>
      <c r="D1658" s="380">
        <f>'00_PORTFOLIO ROLLUP'!Q$12</f>
        <v>2037</v>
      </c>
      <c r="E1658" s="366" t="s">
        <v>1683</v>
      </c>
      <c r="F1658" s="366" t="s">
        <v>21</v>
      </c>
      <c r="G1658" s="348" t="str">
        <f>"'"&amp;$C1658&amp;"'!$E$45:$Y$45"</f>
        <v>'BLD_CC'!$E$45:$Y$45</v>
      </c>
      <c r="H1658" s="381">
        <f ca="1">IF(IFERROR(INDEX(DATA_PROPERTY_MASTER!$E$5:$E$21,MATCH($C1658,DATA_PROPERTY_MASTER!$A$5:$A$21,0))="Yes",FALSE),IFERROR(INDEX(INDIRECT("'"&amp;$C1658&amp;"'!$E$45:$Y$45"),1,MATCH($D1658,INDIRECT("'"&amp;$C1658&amp;"'!$E$12:$Y$12"),0)),0),0)</f>
        <v>302106.98608557432</v>
      </c>
      <c r="I1658" s="366" t="s">
        <v>1685</v>
      </c>
      <c r="J1658" s="348" t="str">
        <f t="shared" ca="1" si="50"/>
        <v>OK</v>
      </c>
      <c r="K1658" s="366" t="s">
        <v>1694</v>
      </c>
      <c r="L1658" s="366" t="s">
        <v>2242</v>
      </c>
      <c r="M1658" s="350" t="str">
        <f>IF($B1658="Portfolio","Portfolio",IFERROR(INDEX(DATA_ASSET_CLASSIFICATION!$B$8:$B$24,MATCH($C1658,DATA_ASSET_CLASSIFICATION!$A$8:$A$24,0)),"Review"))</f>
        <v>Constance Court</v>
      </c>
      <c r="N1658" s="350" t="str">
        <f ca="1">IF($B1658="Portfolio","Portfolio",IFERROR(INDEX(DATA_ASSET_CLASSIFICATION!$U$8:$U$24,MATCH($C1658,DATA_ASSET_CLASSIFICATION!$A$8:$A$24,0)),"Review"))</f>
        <v>Refi Watch</v>
      </c>
      <c r="O1658" s="350" t="str">
        <f ca="1">IF($B1658="Portfolio","Portfolio",IFERROR(INDEX(DATA_ASSET_CLASSIFICATION!$AB$8:$AB$13,MATCH($N1658,DATA_ASSET_CLASSIFICATION!$AA$8:$AA$13,0)),"Review"))</f>
        <v>Bucket 2 · Legacy</v>
      </c>
      <c r="P1658" s="350" t="str">
        <f>IF($B1658="Portfolio","Portfolio",IFERROR(INDEX(DATA_ASSET_CLASSIFICATION!$C$8:$C$24,MATCH($C1658,DATA_ASSET_CLASSIFICATION!$A$8:$A$24,0)),"Review"))</f>
        <v>Yes</v>
      </c>
      <c r="Q1658" s="350" t="str">
        <f t="shared" ca="1" si="51"/>
        <v>OK</v>
      </c>
    </row>
    <row r="1659" spans="1:17">
      <c r="A1659" s="366" t="s">
        <v>3615</v>
      </c>
      <c r="B1659" s="366" t="s">
        <v>231</v>
      </c>
      <c r="C1659" s="348" t="str">
        <f>DATA_PROPERTY_MASTER!$A$9</f>
        <v>BLD_CC</v>
      </c>
      <c r="D1659" s="380">
        <f>'00_PORTFOLIO ROLLUP'!Q$12</f>
        <v>2037</v>
      </c>
      <c r="E1659" s="366" t="s">
        <v>23</v>
      </c>
      <c r="F1659" s="366" t="s">
        <v>23</v>
      </c>
      <c r="G1659" s="348" t="str">
        <f>"'"&amp;$C1659&amp;"'!$E$48:$Y$48"</f>
        <v>'BLD_CC'!$E$48:$Y$48</v>
      </c>
      <c r="H1659" s="381">
        <f ca="1">IF(IFERROR(INDEX(DATA_PROPERTY_MASTER!$E$5:$E$21,MATCH($C1659,DATA_PROPERTY_MASTER!$A$5:$A$21,0))="Yes",FALSE),IFERROR(INDEX(INDIRECT("'"&amp;$C1659&amp;"'!$E$48:$Y$48"),1,MATCH($D1659,INDIRECT("'"&amp;$C1659&amp;"'!$E$12:$Y$12"),0)),0),0)</f>
        <v>0</v>
      </c>
      <c r="I1659" s="366" t="s">
        <v>1690</v>
      </c>
      <c r="J1659" s="348" t="str">
        <f t="shared" ca="1" si="50"/>
        <v>OK</v>
      </c>
      <c r="K1659" s="366" t="s">
        <v>1706</v>
      </c>
      <c r="L1659" s="366" t="s">
        <v>2244</v>
      </c>
      <c r="M1659" s="350" t="str">
        <f>IF($B1659="Portfolio","Portfolio",IFERROR(INDEX(DATA_ASSET_CLASSIFICATION!$B$8:$B$24,MATCH($C1659,DATA_ASSET_CLASSIFICATION!$A$8:$A$24,0)),"Review"))</f>
        <v>Constance Court</v>
      </c>
      <c r="N1659" s="350" t="str">
        <f ca="1">IF($B1659="Portfolio","Portfolio",IFERROR(INDEX(DATA_ASSET_CLASSIFICATION!$U$8:$U$24,MATCH($C1659,DATA_ASSET_CLASSIFICATION!$A$8:$A$24,0)),"Review"))</f>
        <v>Refi Watch</v>
      </c>
      <c r="O1659" s="350" t="str">
        <f ca="1">IF($B1659="Portfolio","Portfolio",IFERROR(INDEX(DATA_ASSET_CLASSIFICATION!$AB$8:$AB$13,MATCH($N1659,DATA_ASSET_CLASSIFICATION!$AA$8:$AA$13,0)),"Review"))</f>
        <v>Bucket 2 · Legacy</v>
      </c>
      <c r="P1659" s="350" t="str">
        <f>IF($B1659="Portfolio","Portfolio",IFERROR(INDEX(DATA_ASSET_CLASSIFICATION!$C$8:$C$24,MATCH($C1659,DATA_ASSET_CLASSIFICATION!$A$8:$A$24,0)),"Review"))</f>
        <v>Yes</v>
      </c>
      <c r="Q1659" s="350" t="str">
        <f t="shared" ca="1" si="51"/>
        <v>OK</v>
      </c>
    </row>
    <row r="1660" spans="1:17">
      <c r="A1660" s="366" t="s">
        <v>3616</v>
      </c>
      <c r="B1660" s="366" t="s">
        <v>231</v>
      </c>
      <c r="C1660" s="348" t="str">
        <f>DATA_PROPERTY_MASTER!$A$9</f>
        <v>BLD_CC</v>
      </c>
      <c r="D1660" s="380">
        <f>'00_PORTFOLIO ROLLUP'!Q$12</f>
        <v>2037</v>
      </c>
      <c r="E1660" s="366" t="s">
        <v>1683</v>
      </c>
      <c r="F1660" s="366" t="s">
        <v>25</v>
      </c>
      <c r="G1660" s="348" t="str">
        <f>"'"&amp;$C1660&amp;"'!$E$52:$Y$52"</f>
        <v>'BLD_CC'!$E$52:$Y$52</v>
      </c>
      <c r="H1660" s="381">
        <f ca="1">IF(IFERROR(INDEX(DATA_PROPERTY_MASTER!$E$5:$E$21,MATCH($C1660,DATA_PROPERTY_MASTER!$A$5:$A$21,0))="Yes",FALSE),IFERROR(INDEX(INDIRECT("'"&amp;$C1660&amp;"'!$E$52:$Y$52"),1,MATCH($D1660,INDIRECT("'"&amp;$C1660&amp;"'!$E$12:$Y$12"),0)),0),0)</f>
        <v>308575.01923784328</v>
      </c>
      <c r="I1660" s="366" t="s">
        <v>1685</v>
      </c>
      <c r="J1660" s="348" t="str">
        <f t="shared" ca="1" si="50"/>
        <v>OK</v>
      </c>
      <c r="K1660" s="366" t="s">
        <v>1710</v>
      </c>
      <c r="L1660" s="366" t="s">
        <v>2246</v>
      </c>
      <c r="M1660" s="350" t="str">
        <f>IF($B1660="Portfolio","Portfolio",IFERROR(INDEX(DATA_ASSET_CLASSIFICATION!$B$8:$B$24,MATCH($C1660,DATA_ASSET_CLASSIFICATION!$A$8:$A$24,0)),"Review"))</f>
        <v>Constance Court</v>
      </c>
      <c r="N1660" s="350" t="str">
        <f ca="1">IF($B1660="Portfolio","Portfolio",IFERROR(INDEX(DATA_ASSET_CLASSIFICATION!$U$8:$U$24,MATCH($C1660,DATA_ASSET_CLASSIFICATION!$A$8:$A$24,0)),"Review"))</f>
        <v>Refi Watch</v>
      </c>
      <c r="O1660" s="350" t="str">
        <f ca="1">IF($B1660="Portfolio","Portfolio",IFERROR(INDEX(DATA_ASSET_CLASSIFICATION!$AB$8:$AB$13,MATCH($N1660,DATA_ASSET_CLASSIFICATION!$AA$8:$AA$13,0)),"Review"))</f>
        <v>Bucket 2 · Legacy</v>
      </c>
      <c r="P1660" s="350" t="str">
        <f>IF($B1660="Portfolio","Portfolio",IFERROR(INDEX(DATA_ASSET_CLASSIFICATION!$C$8:$C$24,MATCH($C1660,DATA_ASSET_CLASSIFICATION!$A$8:$A$24,0)),"Review"))</f>
        <v>Yes</v>
      </c>
      <c r="Q1660" s="350" t="str">
        <f t="shared" ca="1" si="51"/>
        <v>OK</v>
      </c>
    </row>
    <row r="1661" spans="1:17">
      <c r="A1661" s="366" t="s">
        <v>3617</v>
      </c>
      <c r="B1661" s="366" t="s">
        <v>231</v>
      </c>
      <c r="C1661" s="348" t="str">
        <f>DATA_PROPERTY_MASTER!$A$9</f>
        <v>BLD_CC</v>
      </c>
      <c r="D1661" s="380">
        <f>'00_PORTFOLIO ROLLUP'!Q$12</f>
        <v>2037</v>
      </c>
      <c r="E1661" s="366" t="s">
        <v>1683</v>
      </c>
      <c r="F1661" s="366" t="s">
        <v>27</v>
      </c>
      <c r="G1661" s="348" t="str">
        <f>"'"&amp;$C1661&amp;"'!$E$54:$Y$54"</f>
        <v>'BLD_CC'!$E$54:$Y$54</v>
      </c>
      <c r="H1661" s="381">
        <f ca="1">IF(IFERROR(INDEX(DATA_PROPERTY_MASTER!$E$5:$E$21,MATCH($C1661,DATA_PROPERTY_MASTER!$A$5:$A$21,0))="Yes",FALSE),IFERROR(INDEX(INDIRECT("'"&amp;$C1661&amp;"'!$E$54:$Y$54"),1,MATCH($D1661,INDIRECT("'"&amp;$C1661&amp;"'!$E$12:$Y$12"),0)),0),0)</f>
        <v>185145.01154270596</v>
      </c>
      <c r="I1661" s="366" t="s">
        <v>1690</v>
      </c>
      <c r="J1661" s="348" t="str">
        <f t="shared" ca="1" si="50"/>
        <v>OK</v>
      </c>
      <c r="K1661" s="366" t="s">
        <v>1714</v>
      </c>
      <c r="L1661" s="366" t="s">
        <v>2248</v>
      </c>
      <c r="M1661" s="350" t="str">
        <f>IF($B1661="Portfolio","Portfolio",IFERROR(INDEX(DATA_ASSET_CLASSIFICATION!$B$8:$B$24,MATCH($C1661,DATA_ASSET_CLASSIFICATION!$A$8:$A$24,0)),"Review"))</f>
        <v>Constance Court</v>
      </c>
      <c r="N1661" s="350" t="str">
        <f ca="1">IF($B1661="Portfolio","Portfolio",IFERROR(INDEX(DATA_ASSET_CLASSIFICATION!$U$8:$U$24,MATCH($C1661,DATA_ASSET_CLASSIFICATION!$A$8:$A$24,0)),"Review"))</f>
        <v>Refi Watch</v>
      </c>
      <c r="O1661" s="350" t="str">
        <f ca="1">IF($B1661="Portfolio","Portfolio",IFERROR(INDEX(DATA_ASSET_CLASSIFICATION!$AB$8:$AB$13,MATCH($N1661,DATA_ASSET_CLASSIFICATION!$AA$8:$AA$13,0)),"Review"))</f>
        <v>Bucket 2 · Legacy</v>
      </c>
      <c r="P1661" s="350" t="str">
        <f>IF($B1661="Portfolio","Portfolio",IFERROR(INDEX(DATA_ASSET_CLASSIFICATION!$C$8:$C$24,MATCH($C1661,DATA_ASSET_CLASSIFICATION!$A$8:$A$24,0)),"Review"))</f>
        <v>Yes</v>
      </c>
      <c r="Q1661" s="350" t="str">
        <f t="shared" ca="1" si="51"/>
        <v>OK</v>
      </c>
    </row>
    <row r="1662" spans="1:17">
      <c r="A1662" s="366" t="s">
        <v>3618</v>
      </c>
      <c r="B1662" s="366" t="s">
        <v>231</v>
      </c>
      <c r="C1662" s="348" t="str">
        <f>DATA_PROPERTY_MASTER!$A$9</f>
        <v>BLD_CC</v>
      </c>
      <c r="D1662" s="380">
        <f>'00_PORTFOLIO ROLLUP'!Q$12</f>
        <v>2037</v>
      </c>
      <c r="E1662" s="366" t="s">
        <v>1683</v>
      </c>
      <c r="F1662" s="366" t="s">
        <v>29</v>
      </c>
      <c r="G1662" s="348" t="str">
        <f>"'"&amp;$C1662&amp;"'!$E$56:$Y$56"</f>
        <v>'BLD_CC'!$E$56:$Y$56</v>
      </c>
      <c r="H1662" s="381">
        <f ca="1">IF(IFERROR(INDEX(DATA_PROPERTY_MASTER!$E$5:$E$21,MATCH($C1662,DATA_PROPERTY_MASTER!$A$5:$A$21,0))="Yes",FALSE),IFERROR(INDEX(INDIRECT("'"&amp;$C1662&amp;"'!$E$56:$Y$56"),1,MATCH($D1662,INDIRECT("'"&amp;$C1662&amp;"'!$E$12:$Y$12"),0)),0),0)</f>
        <v>123430.00769513732</v>
      </c>
      <c r="I1662" s="366" t="s">
        <v>1685</v>
      </c>
      <c r="J1662" s="348" t="str">
        <f t="shared" ca="1" si="50"/>
        <v>OK</v>
      </c>
      <c r="K1662" s="366" t="s">
        <v>1718</v>
      </c>
      <c r="L1662" s="366" t="s">
        <v>2250</v>
      </c>
      <c r="M1662" s="350" t="str">
        <f>IF($B1662="Portfolio","Portfolio",IFERROR(INDEX(DATA_ASSET_CLASSIFICATION!$B$8:$B$24,MATCH($C1662,DATA_ASSET_CLASSIFICATION!$A$8:$A$24,0)),"Review"))</f>
        <v>Constance Court</v>
      </c>
      <c r="N1662" s="350" t="str">
        <f ca="1">IF($B1662="Portfolio","Portfolio",IFERROR(INDEX(DATA_ASSET_CLASSIFICATION!$U$8:$U$24,MATCH($C1662,DATA_ASSET_CLASSIFICATION!$A$8:$A$24,0)),"Review"))</f>
        <v>Refi Watch</v>
      </c>
      <c r="O1662" s="350" t="str">
        <f ca="1">IF($B1662="Portfolio","Portfolio",IFERROR(INDEX(DATA_ASSET_CLASSIFICATION!$AB$8:$AB$13,MATCH($N1662,DATA_ASSET_CLASSIFICATION!$AA$8:$AA$13,0)),"Review"))</f>
        <v>Bucket 2 · Legacy</v>
      </c>
      <c r="P1662" s="350" t="str">
        <f>IF($B1662="Portfolio","Portfolio",IFERROR(INDEX(DATA_ASSET_CLASSIFICATION!$C$8:$C$24,MATCH($C1662,DATA_ASSET_CLASSIFICATION!$A$8:$A$24,0)),"Review"))</f>
        <v>Yes</v>
      </c>
      <c r="Q1662" s="350" t="str">
        <f t="shared" ca="1" si="51"/>
        <v>OK</v>
      </c>
    </row>
    <row r="1663" spans="1:17">
      <c r="A1663" s="366" t="s">
        <v>3619</v>
      </c>
      <c r="B1663" s="366" t="s">
        <v>231</v>
      </c>
      <c r="C1663" s="348" t="str">
        <f>DATA_PROPERTY_MASTER!$A$9</f>
        <v>BLD_CC</v>
      </c>
      <c r="D1663" s="380">
        <f>'00_PORTFOLIO ROLLUP'!Q$12</f>
        <v>2037</v>
      </c>
      <c r="E1663" s="366" t="s">
        <v>1721</v>
      </c>
      <c r="F1663" s="366" t="s">
        <v>31</v>
      </c>
      <c r="G1663" s="348" t="str">
        <f>"'"&amp;$C1663&amp;"'!$E$61:$Y$61"</f>
        <v>'BLD_CC'!$E$61:$Y$61</v>
      </c>
      <c r="H1663" s="381">
        <f ca="1">IF(IFERROR(INDEX(DATA_PROPERTY_MASTER!$E$5:$E$21,MATCH($C1663,DATA_PROPERTY_MASTER!$A$5:$A$21,0))="Yes",FALSE),IFERROR(INDEX(INDIRECT("'"&amp;$C1663&amp;"'!$E$61:$Y$61"),1,MATCH($D1663,INDIRECT("'"&amp;$C1663&amp;"'!$E$12:$Y$12"),0)),0),0)</f>
        <v>0</v>
      </c>
      <c r="I1663" s="366" t="s">
        <v>1690</v>
      </c>
      <c r="J1663" s="348" t="str">
        <f t="shared" ca="1" si="50"/>
        <v>OK</v>
      </c>
      <c r="K1663" s="366" t="s">
        <v>1723</v>
      </c>
      <c r="L1663" s="366" t="s">
        <v>2252</v>
      </c>
      <c r="M1663" s="350" t="str">
        <f>IF($B1663="Portfolio","Portfolio",IFERROR(INDEX(DATA_ASSET_CLASSIFICATION!$B$8:$B$24,MATCH($C1663,DATA_ASSET_CLASSIFICATION!$A$8:$A$24,0)),"Review"))</f>
        <v>Constance Court</v>
      </c>
      <c r="N1663" s="350" t="str">
        <f ca="1">IF($B1663="Portfolio","Portfolio",IFERROR(INDEX(DATA_ASSET_CLASSIFICATION!$U$8:$U$24,MATCH($C1663,DATA_ASSET_CLASSIFICATION!$A$8:$A$24,0)),"Review"))</f>
        <v>Refi Watch</v>
      </c>
      <c r="O1663" s="350" t="str">
        <f ca="1">IF($B1663="Portfolio","Portfolio",IFERROR(INDEX(DATA_ASSET_CLASSIFICATION!$AB$8:$AB$13,MATCH($N1663,DATA_ASSET_CLASSIFICATION!$AA$8:$AA$13,0)),"Review"))</f>
        <v>Bucket 2 · Legacy</v>
      </c>
      <c r="P1663" s="350" t="str">
        <f>IF($B1663="Portfolio","Portfolio",IFERROR(INDEX(DATA_ASSET_CLASSIFICATION!$C$8:$C$24,MATCH($C1663,DATA_ASSET_CLASSIFICATION!$A$8:$A$24,0)),"Review"))</f>
        <v>Yes</v>
      </c>
      <c r="Q1663" s="350" t="str">
        <f t="shared" ca="1" si="51"/>
        <v>OK</v>
      </c>
    </row>
    <row r="1664" spans="1:17">
      <c r="A1664" s="366" t="s">
        <v>3620</v>
      </c>
      <c r="B1664" s="366" t="s">
        <v>231</v>
      </c>
      <c r="C1664" s="348" t="str">
        <f>DATA_PROPERTY_MASTER!$A$9</f>
        <v>BLD_CC</v>
      </c>
      <c r="D1664" s="380">
        <f>'00_PORTFOLIO ROLLUP'!Q$12</f>
        <v>2037</v>
      </c>
      <c r="E1664" s="366" t="s">
        <v>1721</v>
      </c>
      <c r="F1664" s="366" t="s">
        <v>33</v>
      </c>
      <c r="G1664" s="348" t="str">
        <f>"'"&amp;$C1664&amp;"'!$E$62:$Y$62"</f>
        <v>'BLD_CC'!$E$62:$Y$62</v>
      </c>
      <c r="H1664" s="381">
        <f ca="1">IF(IFERROR(INDEX(DATA_PROPERTY_MASTER!$E$5:$E$21,MATCH($C1664,DATA_PROPERTY_MASTER!$A$5:$A$21,0))="Yes",FALSE),IFERROR(INDEX(INDIRECT("'"&amp;$C1664&amp;"'!$E$62:$Y$62"),1,MATCH($D1664,INDIRECT("'"&amp;$C1664&amp;"'!$E$12:$Y$12"),0)),0),0)</f>
        <v>0</v>
      </c>
      <c r="I1664" s="366" t="s">
        <v>1685</v>
      </c>
      <c r="J1664" s="348" t="str">
        <f t="shared" ca="1" si="50"/>
        <v>OK</v>
      </c>
      <c r="K1664" s="366" t="s">
        <v>1727</v>
      </c>
      <c r="L1664" s="366" t="s">
        <v>2254</v>
      </c>
      <c r="M1664" s="350" t="str">
        <f>IF($B1664="Portfolio","Portfolio",IFERROR(INDEX(DATA_ASSET_CLASSIFICATION!$B$8:$B$24,MATCH($C1664,DATA_ASSET_CLASSIFICATION!$A$8:$A$24,0)),"Review"))</f>
        <v>Constance Court</v>
      </c>
      <c r="N1664" s="350" t="str">
        <f ca="1">IF($B1664="Portfolio","Portfolio",IFERROR(INDEX(DATA_ASSET_CLASSIFICATION!$U$8:$U$24,MATCH($C1664,DATA_ASSET_CLASSIFICATION!$A$8:$A$24,0)),"Review"))</f>
        <v>Refi Watch</v>
      </c>
      <c r="O1664" s="350" t="str">
        <f ca="1">IF($B1664="Portfolio","Portfolio",IFERROR(INDEX(DATA_ASSET_CLASSIFICATION!$AB$8:$AB$13,MATCH($N1664,DATA_ASSET_CLASSIFICATION!$AA$8:$AA$13,0)),"Review"))</f>
        <v>Bucket 2 · Legacy</v>
      </c>
      <c r="P1664" s="350" t="str">
        <f>IF($B1664="Portfolio","Portfolio",IFERROR(INDEX(DATA_ASSET_CLASSIFICATION!$C$8:$C$24,MATCH($C1664,DATA_ASSET_CLASSIFICATION!$A$8:$A$24,0)),"Review"))</f>
        <v>Yes</v>
      </c>
      <c r="Q1664" s="350" t="str">
        <f t="shared" ca="1" si="51"/>
        <v>OK</v>
      </c>
    </row>
    <row r="1665" spans="1:17">
      <c r="A1665" s="366" t="s">
        <v>3621</v>
      </c>
      <c r="B1665" s="366" t="s">
        <v>231</v>
      </c>
      <c r="C1665" s="348" t="str">
        <f>DATA_PROPERTY_MASTER!$A$9</f>
        <v>BLD_CC</v>
      </c>
      <c r="D1665" s="380">
        <f>'00_PORTFOLIO ROLLUP'!Q$12</f>
        <v>2037</v>
      </c>
      <c r="E1665" s="366" t="s">
        <v>1721</v>
      </c>
      <c r="F1665" s="366" t="s">
        <v>35</v>
      </c>
      <c r="G1665" s="348" t="str">
        <f>"'"&amp;$C1665&amp;"'!$E$63:$Y$63"</f>
        <v>'BLD_CC'!$E$63:$Y$63</v>
      </c>
      <c r="H1665" s="381">
        <f ca="1">IF(IFERROR(INDEX(DATA_PROPERTY_MASTER!$E$5:$E$21,MATCH($C1665,DATA_PROPERTY_MASTER!$A$5:$A$21,0))="Yes",FALSE),IFERROR(INDEX(INDIRECT("'"&amp;$C1665&amp;"'!$E$63:$Y$63"),1,MATCH($D1665,INDIRECT("'"&amp;$C1665&amp;"'!$E$12:$Y$12"),0)),0),0)</f>
        <v>0</v>
      </c>
      <c r="I1665" s="366" t="s">
        <v>1731</v>
      </c>
      <c r="J1665" s="348" t="str">
        <f t="shared" ca="1" si="50"/>
        <v>OK</v>
      </c>
      <c r="K1665" s="366" t="s">
        <v>1732</v>
      </c>
      <c r="L1665" s="366" t="s">
        <v>2256</v>
      </c>
      <c r="M1665" s="350" t="str">
        <f>IF($B1665="Portfolio","Portfolio",IFERROR(INDEX(DATA_ASSET_CLASSIFICATION!$B$8:$B$24,MATCH($C1665,DATA_ASSET_CLASSIFICATION!$A$8:$A$24,0)),"Review"))</f>
        <v>Constance Court</v>
      </c>
      <c r="N1665" s="350" t="str">
        <f ca="1">IF($B1665="Portfolio","Portfolio",IFERROR(INDEX(DATA_ASSET_CLASSIFICATION!$U$8:$U$24,MATCH($C1665,DATA_ASSET_CLASSIFICATION!$A$8:$A$24,0)),"Review"))</f>
        <v>Refi Watch</v>
      </c>
      <c r="O1665" s="350" t="str">
        <f ca="1">IF($B1665="Portfolio","Portfolio",IFERROR(INDEX(DATA_ASSET_CLASSIFICATION!$AB$8:$AB$13,MATCH($N1665,DATA_ASSET_CLASSIFICATION!$AA$8:$AA$13,0)),"Review"))</f>
        <v>Bucket 2 · Legacy</v>
      </c>
      <c r="P1665" s="350" t="str">
        <f>IF($B1665="Portfolio","Portfolio",IFERROR(INDEX(DATA_ASSET_CLASSIFICATION!$C$8:$C$24,MATCH($C1665,DATA_ASSET_CLASSIFICATION!$A$8:$A$24,0)),"Review"))</f>
        <v>Yes</v>
      </c>
      <c r="Q1665" s="350" t="str">
        <f t="shared" ca="1" si="51"/>
        <v>OK</v>
      </c>
    </row>
    <row r="1666" spans="1:17">
      <c r="A1666" s="366" t="s">
        <v>3622</v>
      </c>
      <c r="B1666" s="366" t="s">
        <v>231</v>
      </c>
      <c r="C1666" s="348" t="str">
        <f>DATA_PROPERTY_MASTER!$A$9</f>
        <v>BLD_CC</v>
      </c>
      <c r="D1666" s="380">
        <f>'00_PORTFOLIO ROLLUP'!Q$12</f>
        <v>2037</v>
      </c>
      <c r="E1666" s="366" t="s">
        <v>1721</v>
      </c>
      <c r="F1666" s="366" t="s">
        <v>37</v>
      </c>
      <c r="G1666" s="348" t="str">
        <f>"'"&amp;$C1666&amp;"'!$E$63:$Y$63"</f>
        <v>'BLD_CC'!$E$63:$Y$63</v>
      </c>
      <c r="H1666" s="381">
        <f ca="1">IF(IFERROR(INDEX(DATA_PROPERTY_MASTER!$E$5:$E$21,MATCH($C1666,DATA_PROPERTY_MASTER!$A$5:$A$21,0))="Yes",FALSE),MAX(IFERROR(INDEX(INDIRECT("'"&amp;$C1666&amp;"'!$E$63:$Y$63"),1,MATCH($D1666,INDIRECT("'"&amp;$C1666&amp;"'!$E$12:$Y$12"),0)),0),0),0)</f>
        <v>0</v>
      </c>
      <c r="I1666" s="366" t="s">
        <v>1685</v>
      </c>
      <c r="J1666" s="348" t="str">
        <f t="shared" ca="1" si="50"/>
        <v>OK</v>
      </c>
      <c r="K1666" s="366" t="s">
        <v>1735</v>
      </c>
      <c r="L1666" s="366" t="s">
        <v>2258</v>
      </c>
      <c r="M1666" s="350" t="str">
        <f>IF($B1666="Portfolio","Portfolio",IFERROR(INDEX(DATA_ASSET_CLASSIFICATION!$B$8:$B$24,MATCH($C1666,DATA_ASSET_CLASSIFICATION!$A$8:$A$24,0)),"Review"))</f>
        <v>Constance Court</v>
      </c>
      <c r="N1666" s="350" t="str">
        <f ca="1">IF($B1666="Portfolio","Portfolio",IFERROR(INDEX(DATA_ASSET_CLASSIFICATION!$U$8:$U$24,MATCH($C1666,DATA_ASSET_CLASSIFICATION!$A$8:$A$24,0)),"Review"))</f>
        <v>Refi Watch</v>
      </c>
      <c r="O1666" s="350" t="str">
        <f ca="1">IF($B1666="Portfolio","Portfolio",IFERROR(INDEX(DATA_ASSET_CLASSIFICATION!$AB$8:$AB$13,MATCH($N1666,DATA_ASSET_CLASSIFICATION!$AA$8:$AA$13,0)),"Review"))</f>
        <v>Bucket 2 · Legacy</v>
      </c>
      <c r="P1666" s="350" t="str">
        <f>IF($B1666="Portfolio","Portfolio",IFERROR(INDEX(DATA_ASSET_CLASSIFICATION!$C$8:$C$24,MATCH($C1666,DATA_ASSET_CLASSIFICATION!$A$8:$A$24,0)),"Review"))</f>
        <v>Yes</v>
      </c>
      <c r="Q1666" s="350" t="str">
        <f t="shared" ca="1" si="51"/>
        <v>OK</v>
      </c>
    </row>
    <row r="1667" spans="1:17">
      <c r="A1667" s="366" t="s">
        <v>3623</v>
      </c>
      <c r="B1667" s="366" t="s">
        <v>231</v>
      </c>
      <c r="C1667" s="348" t="str">
        <f>DATA_PROPERTY_MASTER!$A$9</f>
        <v>BLD_CC</v>
      </c>
      <c r="D1667" s="380">
        <f>'00_PORTFOLIO ROLLUP'!Q$12</f>
        <v>2037</v>
      </c>
      <c r="E1667" s="366" t="s">
        <v>1721</v>
      </c>
      <c r="F1667" s="366" t="s">
        <v>39</v>
      </c>
      <c r="G1667" s="348" t="str">
        <f>"'"&amp;$C1667&amp;"'!$E$63:$Y$63"</f>
        <v>'BLD_CC'!$E$63:$Y$63</v>
      </c>
      <c r="H1667" s="381">
        <f ca="1">IF(IFERROR(INDEX(DATA_PROPERTY_MASTER!$E$5:$E$21,MATCH($C1667,DATA_PROPERTY_MASTER!$A$5:$A$21,0))="Yes",FALSE),MAX(-IFERROR(INDEX(INDIRECT("'"&amp;$C1667&amp;"'!$E$63:$Y$63"),1,MATCH($D1667,INDIRECT("'"&amp;$C1667&amp;"'!$E$12:$Y$12"),0)),0),0),0)</f>
        <v>0</v>
      </c>
      <c r="I1667" s="366" t="s">
        <v>1690</v>
      </c>
      <c r="J1667" s="348" t="str">
        <f t="shared" ca="1" si="50"/>
        <v>OK</v>
      </c>
      <c r="K1667" s="366" t="s">
        <v>1738</v>
      </c>
      <c r="L1667" s="366" t="s">
        <v>2260</v>
      </c>
      <c r="M1667" s="350" t="str">
        <f>IF($B1667="Portfolio","Portfolio",IFERROR(INDEX(DATA_ASSET_CLASSIFICATION!$B$8:$B$24,MATCH($C1667,DATA_ASSET_CLASSIFICATION!$A$8:$A$24,0)),"Review"))</f>
        <v>Constance Court</v>
      </c>
      <c r="N1667" s="350" t="str">
        <f ca="1">IF($B1667="Portfolio","Portfolio",IFERROR(INDEX(DATA_ASSET_CLASSIFICATION!$U$8:$U$24,MATCH($C1667,DATA_ASSET_CLASSIFICATION!$A$8:$A$24,0)),"Review"))</f>
        <v>Refi Watch</v>
      </c>
      <c r="O1667" s="350" t="str">
        <f ca="1">IF($B1667="Portfolio","Portfolio",IFERROR(INDEX(DATA_ASSET_CLASSIFICATION!$AB$8:$AB$13,MATCH($N1667,DATA_ASSET_CLASSIFICATION!$AA$8:$AA$13,0)),"Review"))</f>
        <v>Bucket 2 · Legacy</v>
      </c>
      <c r="P1667" s="350" t="str">
        <f>IF($B1667="Portfolio","Portfolio",IFERROR(INDEX(DATA_ASSET_CLASSIFICATION!$C$8:$C$24,MATCH($C1667,DATA_ASSET_CLASSIFICATION!$A$8:$A$24,0)),"Review"))</f>
        <v>Yes</v>
      </c>
      <c r="Q1667" s="350" t="str">
        <f t="shared" ca="1" si="51"/>
        <v>OK</v>
      </c>
    </row>
    <row r="1668" spans="1:17">
      <c r="A1668" s="366" t="s">
        <v>3624</v>
      </c>
      <c r="B1668" s="366" t="s">
        <v>231</v>
      </c>
      <c r="C1668" s="348" t="str">
        <f>DATA_PROPERTY_MASTER!$A$9</f>
        <v>BLD_CC</v>
      </c>
      <c r="D1668" s="380">
        <f>'00_PORTFOLIO ROLLUP'!Q$12</f>
        <v>2037</v>
      </c>
      <c r="E1668" s="366" t="s">
        <v>1741</v>
      </c>
      <c r="F1668" s="366" t="s">
        <v>41</v>
      </c>
      <c r="G1668" s="348" t="str">
        <f>"'"&amp;$C1668&amp;"'!rows 56 + positive row 63"</f>
        <v>'BLD_CC'!rows 56 + positive row 63</v>
      </c>
      <c r="H1668" s="381">
        <f ca="1">IF(IFERROR(INDEX(DATA_PROPERTY_MASTER!$E$5:$E$21,MATCH($C1668,DATA_PROPERTY_MASTER!$A$5:$A$21,0))="Yes",FALSE),IFERROR(INDEX(INDIRECT("'"&amp;$C1668&amp;"'!$E$56:$Y$56"),1,MATCH($D1668,INDIRECT("'"&amp;$C1668&amp;"'!$E$12:$Y$12"),0)),0)+MAX(IFERROR(INDEX(INDIRECT("'"&amp;$C1668&amp;"'!$E$63:$Y$63"),1,MATCH($D1668,INDIRECT("'"&amp;$C1668&amp;"'!$E$12:$Y$12"),0)),0),0),0)</f>
        <v>123430.00769513732</v>
      </c>
      <c r="I1668" s="366" t="s">
        <v>1685</v>
      </c>
      <c r="J1668" s="348" t="str">
        <f t="shared" ca="1" si="50"/>
        <v>OK</v>
      </c>
      <c r="K1668" s="366" t="s">
        <v>1742</v>
      </c>
      <c r="L1668" s="366" t="s">
        <v>2262</v>
      </c>
      <c r="M1668" s="350" t="str">
        <f>IF($B1668="Portfolio","Portfolio",IFERROR(INDEX(DATA_ASSET_CLASSIFICATION!$B$8:$B$24,MATCH($C1668,DATA_ASSET_CLASSIFICATION!$A$8:$A$24,0)),"Review"))</f>
        <v>Constance Court</v>
      </c>
      <c r="N1668" s="350" t="str">
        <f ca="1">IF($B1668="Portfolio","Portfolio",IFERROR(INDEX(DATA_ASSET_CLASSIFICATION!$U$8:$U$24,MATCH($C1668,DATA_ASSET_CLASSIFICATION!$A$8:$A$24,0)),"Review"))</f>
        <v>Refi Watch</v>
      </c>
      <c r="O1668" s="350" t="str">
        <f ca="1">IF($B1668="Portfolio","Portfolio",IFERROR(INDEX(DATA_ASSET_CLASSIFICATION!$AB$8:$AB$13,MATCH($N1668,DATA_ASSET_CLASSIFICATION!$AA$8:$AA$13,0)),"Review"))</f>
        <v>Bucket 2 · Legacy</v>
      </c>
      <c r="P1668" s="350" t="str">
        <f>IF($B1668="Portfolio","Portfolio",IFERROR(INDEX(DATA_ASSET_CLASSIFICATION!$C$8:$C$24,MATCH($C1668,DATA_ASSET_CLASSIFICATION!$A$8:$A$24,0)),"Review"))</f>
        <v>Yes</v>
      </c>
      <c r="Q1668" s="350" t="str">
        <f t="shared" ca="1" si="51"/>
        <v>OK</v>
      </c>
    </row>
    <row r="1669" spans="1:17">
      <c r="A1669" s="366" t="s">
        <v>3625</v>
      </c>
      <c r="B1669" s="366" t="s">
        <v>231</v>
      </c>
      <c r="C1669" s="348" t="str">
        <f>DATA_PROPERTY_MASTER!$A$9</f>
        <v>BLD_CC</v>
      </c>
      <c r="D1669" s="380">
        <f>'00_PORTFOLIO ROLLUP'!Q$12</f>
        <v>2037</v>
      </c>
      <c r="E1669" s="366" t="s">
        <v>1741</v>
      </c>
      <c r="F1669" s="366" t="s">
        <v>43</v>
      </c>
      <c r="G1669" s="348" t="str">
        <f>"'"&amp;$C1669&amp;"'!$E$68:$Y$68"</f>
        <v>'BLD_CC'!$E$68:$Y$68</v>
      </c>
      <c r="H1669" s="381">
        <f ca="1">IF(IFERROR(INDEX(DATA_PROPERTY_MASTER!$E$5:$E$21,MATCH($C1669,DATA_PROPERTY_MASTER!$A$5:$A$21,0))="Yes",FALSE),IFERROR(INDEX(INDIRECT("'"&amp;$C1669&amp;"'!$E$68:$Y$68"),1,MATCH($D1669,INDIRECT("'"&amp;$C1669&amp;"'!$E$12:$Y$12"),0)),0),0)</f>
        <v>123430.00769513732</v>
      </c>
      <c r="I1669" s="366" t="s">
        <v>1731</v>
      </c>
      <c r="J1669" s="348" t="str">
        <f t="shared" ref="J1669:J1732" ca="1" si="52">IF($F1669="Residual Funding Gap",IF($H1669&gt;0,"Funding Gap","OK"),IF(AND($F1669="Net Refinance Position",$H1669&lt;0),"Negative net refi position","OK"))</f>
        <v>OK</v>
      </c>
      <c r="K1669" s="366" t="s">
        <v>1746</v>
      </c>
      <c r="L1669" s="366" t="s">
        <v>2264</v>
      </c>
      <c r="M1669" s="350" t="str">
        <f>IF($B1669="Portfolio","Portfolio",IFERROR(INDEX(DATA_ASSET_CLASSIFICATION!$B$8:$B$24,MATCH($C1669,DATA_ASSET_CLASSIFICATION!$A$8:$A$24,0)),"Review"))</f>
        <v>Constance Court</v>
      </c>
      <c r="N1669" s="350" t="str">
        <f ca="1">IF($B1669="Portfolio","Portfolio",IFERROR(INDEX(DATA_ASSET_CLASSIFICATION!$U$8:$U$24,MATCH($C1669,DATA_ASSET_CLASSIFICATION!$A$8:$A$24,0)),"Review"))</f>
        <v>Refi Watch</v>
      </c>
      <c r="O1669" s="350" t="str">
        <f ca="1">IF($B1669="Portfolio","Portfolio",IFERROR(INDEX(DATA_ASSET_CLASSIFICATION!$AB$8:$AB$13,MATCH($N1669,DATA_ASSET_CLASSIFICATION!$AA$8:$AA$13,0)),"Review"))</f>
        <v>Bucket 2 · Legacy</v>
      </c>
      <c r="P1669" s="350" t="str">
        <f>IF($B1669="Portfolio","Portfolio",IFERROR(INDEX(DATA_ASSET_CLASSIFICATION!$C$8:$C$24,MATCH($C1669,DATA_ASSET_CLASSIFICATION!$A$8:$A$24,0)),"Review"))</f>
        <v>Yes</v>
      </c>
      <c r="Q1669" s="350" t="str">
        <f t="shared" ref="Q1669:Q1732" ca="1" si="53">IF(AND($B1669="Property",$F1669="Residual Funding Gap",$H1669&gt;0),"Property Funding Gap",IF($J1669&lt;&gt;"OK",$J1669,"OK"))</f>
        <v>OK</v>
      </c>
    </row>
    <row r="1670" spans="1:17">
      <c r="A1670" s="366" t="s">
        <v>3626</v>
      </c>
      <c r="B1670" s="366" t="s">
        <v>231</v>
      </c>
      <c r="C1670" s="348" t="str">
        <f>DATA_PROPERTY_MASTER!$A$9</f>
        <v>BLD_CC</v>
      </c>
      <c r="D1670" s="380">
        <f>'00_PORTFOLIO ROLLUP'!Q$12</f>
        <v>2037</v>
      </c>
      <c r="E1670" s="366" t="s">
        <v>1741</v>
      </c>
      <c r="F1670" s="366" t="s">
        <v>1749</v>
      </c>
      <c r="G1670" s="348" t="str">
        <f>"'"&amp;$C1670&amp;"'!rows 56, 63, 68"</f>
        <v>'BLD_CC'!rows 56, 63, 68</v>
      </c>
      <c r="H1670" s="381">
        <f ca="1">IF(IFERROR(INDEX(DATA_PROPERTY_MASTER!$E$5:$E$21,MATCH($C1670,DATA_PROPERTY_MASTER!$A$5:$A$21,0))="Yes",FALSE),(IFERROR(INDEX(INDIRECT("'"&amp;$C1670&amp;"'!$E$56:$Y$56"),1,MATCH($D1670,INDIRECT("'"&amp;$C1670&amp;"'!$E$12:$Y$12"),0)),0)+MAX(IFERROR(INDEX(INDIRECT("'"&amp;$C1670&amp;"'!$E$63:$Y$63"),1,MATCH($D1670,INDIRECT("'"&amp;$C1670&amp;"'!$E$12:$Y$12"),0)),0),0))-(IFERROR(INDEX(INDIRECT("'"&amp;$C1670&amp;"'!$E$68:$Y$68"),1,MATCH($D1670,INDIRECT("'"&amp;$C1670&amp;"'!$E$12:$Y$12"),0)),0)),0)</f>
        <v>0</v>
      </c>
      <c r="I1670" s="366" t="s">
        <v>1750</v>
      </c>
      <c r="J1670" s="348" t="str">
        <f t="shared" ca="1" si="52"/>
        <v>OK</v>
      </c>
      <c r="K1670" s="366" t="s">
        <v>1751</v>
      </c>
      <c r="L1670" s="366" t="s">
        <v>2266</v>
      </c>
      <c r="M1670" s="350" t="str">
        <f>IF($B1670="Portfolio","Portfolio",IFERROR(INDEX(DATA_ASSET_CLASSIFICATION!$B$8:$B$24,MATCH($C1670,DATA_ASSET_CLASSIFICATION!$A$8:$A$24,0)),"Review"))</f>
        <v>Constance Court</v>
      </c>
      <c r="N1670" s="350" t="str">
        <f ca="1">IF($B1670="Portfolio","Portfolio",IFERROR(INDEX(DATA_ASSET_CLASSIFICATION!$U$8:$U$24,MATCH($C1670,DATA_ASSET_CLASSIFICATION!$A$8:$A$24,0)),"Review"))</f>
        <v>Refi Watch</v>
      </c>
      <c r="O1670" s="350" t="str">
        <f ca="1">IF($B1670="Portfolio","Portfolio",IFERROR(INDEX(DATA_ASSET_CLASSIFICATION!$AB$8:$AB$13,MATCH($N1670,DATA_ASSET_CLASSIFICATION!$AA$8:$AA$13,0)),"Review"))</f>
        <v>Bucket 2 · Legacy</v>
      </c>
      <c r="P1670" s="350" t="str">
        <f>IF($B1670="Portfolio","Portfolio",IFERROR(INDEX(DATA_ASSET_CLASSIFICATION!$C$8:$C$24,MATCH($C1670,DATA_ASSET_CLASSIFICATION!$A$8:$A$24,0)),"Review"))</f>
        <v>Yes</v>
      </c>
      <c r="Q1670" s="350" t="str">
        <f t="shared" ca="1" si="53"/>
        <v>OK</v>
      </c>
    </row>
    <row r="1671" spans="1:17">
      <c r="A1671" s="366" t="s">
        <v>3627</v>
      </c>
      <c r="B1671" s="366" t="s">
        <v>231</v>
      </c>
      <c r="C1671" s="348" t="str">
        <f>DATA_PROPERTY_MASTER!$A$9</f>
        <v>BLD_CC</v>
      </c>
      <c r="D1671" s="380">
        <f>'00_PORTFOLIO ROLLUP'!R$12</f>
        <v>2038</v>
      </c>
      <c r="E1671" s="366" t="s">
        <v>1683</v>
      </c>
      <c r="F1671" s="366" t="s">
        <v>341</v>
      </c>
      <c r="G1671" s="348" t="str">
        <f>"'"&amp;$C1671&amp;"'!$E$24:$Y$24"</f>
        <v>'BLD_CC'!$E$24:$Y$24</v>
      </c>
      <c r="H1671" s="381">
        <f ca="1">IF(IFERROR(INDEX(DATA_PROPERTY_MASTER!$E$5:$E$21,MATCH($C1671,DATA_PROPERTY_MASTER!$A$5:$A$21,0))="Yes",FALSE),IFERROR(INDEX(INDIRECT("'"&amp;$C1671&amp;"'!$E$24:$Y$24"),1,MATCH($D1671,INDIRECT("'"&amp;$C1671&amp;"'!$E$12:$Y$12"),0)),0),0)</f>
        <v>637907.26522009168</v>
      </c>
      <c r="I1671" s="366" t="s">
        <v>1685</v>
      </c>
      <c r="J1671" s="348" t="str">
        <f t="shared" ca="1" si="52"/>
        <v>OK</v>
      </c>
      <c r="K1671" s="366" t="s">
        <v>1686</v>
      </c>
      <c r="L1671" s="366" t="s">
        <v>2234</v>
      </c>
      <c r="M1671" s="350" t="str">
        <f>IF($B1671="Portfolio","Portfolio",IFERROR(INDEX(DATA_ASSET_CLASSIFICATION!$B$8:$B$24,MATCH($C1671,DATA_ASSET_CLASSIFICATION!$A$8:$A$24,0)),"Review"))</f>
        <v>Constance Court</v>
      </c>
      <c r="N1671" s="350" t="str">
        <f ca="1">IF($B1671="Portfolio","Portfolio",IFERROR(INDEX(DATA_ASSET_CLASSIFICATION!$U$8:$U$24,MATCH($C1671,DATA_ASSET_CLASSIFICATION!$A$8:$A$24,0)),"Review"))</f>
        <v>Refi Watch</v>
      </c>
      <c r="O1671" s="350" t="str">
        <f ca="1">IF($B1671="Portfolio","Portfolio",IFERROR(INDEX(DATA_ASSET_CLASSIFICATION!$AB$8:$AB$13,MATCH($N1671,DATA_ASSET_CLASSIFICATION!$AA$8:$AA$13,0)),"Review"))</f>
        <v>Bucket 2 · Legacy</v>
      </c>
      <c r="P1671" s="350" t="str">
        <f>IF($B1671="Portfolio","Portfolio",IFERROR(INDEX(DATA_ASSET_CLASSIFICATION!$C$8:$C$24,MATCH($C1671,DATA_ASSET_CLASSIFICATION!$A$8:$A$24,0)),"Review"))</f>
        <v>Yes</v>
      </c>
      <c r="Q1671" s="350" t="str">
        <f t="shared" ca="1" si="53"/>
        <v>OK</v>
      </c>
    </row>
    <row r="1672" spans="1:17">
      <c r="A1672" s="366" t="s">
        <v>3628</v>
      </c>
      <c r="B1672" s="366" t="s">
        <v>231</v>
      </c>
      <c r="C1672" s="348" t="str">
        <f>DATA_PROPERTY_MASTER!$A$9</f>
        <v>BLD_CC</v>
      </c>
      <c r="D1672" s="380">
        <f>'00_PORTFOLIO ROLLUP'!R$12</f>
        <v>2038</v>
      </c>
      <c r="E1672" s="366" t="s">
        <v>1683</v>
      </c>
      <c r="F1672" s="366" t="s">
        <v>355</v>
      </c>
      <c r="G1672" s="348" t="str">
        <f>"'"&amp;$C1672&amp;"'!$E$39:$Y$39"</f>
        <v>'BLD_CC'!$E$39:$Y$39</v>
      </c>
      <c r="H1672" s="381">
        <f ca="1">IF(IFERROR(INDEX(DATA_PROPERTY_MASTER!$E$5:$E$21,MATCH($C1672,DATA_PROPERTY_MASTER!$A$5:$A$21,0))="Yes",FALSE),IFERROR(INDEX(INDIRECT("'"&amp;$C1672&amp;"'!$E$39:$Y$39"),1,MATCH($D1672,INDIRECT("'"&amp;$C1672&amp;"'!$E$12:$Y$12"),0)),0),0)</f>
        <v>324744.86689944001</v>
      </c>
      <c r="I1672" s="366" t="s">
        <v>1690</v>
      </c>
      <c r="J1672" s="348" t="str">
        <f t="shared" ca="1" si="52"/>
        <v>OK</v>
      </c>
      <c r="K1672" s="366" t="s">
        <v>1686</v>
      </c>
      <c r="L1672" s="366" t="s">
        <v>2236</v>
      </c>
      <c r="M1672" s="350" t="str">
        <f>IF($B1672="Portfolio","Portfolio",IFERROR(INDEX(DATA_ASSET_CLASSIFICATION!$B$8:$B$24,MATCH($C1672,DATA_ASSET_CLASSIFICATION!$A$8:$A$24,0)),"Review"))</f>
        <v>Constance Court</v>
      </c>
      <c r="N1672" s="350" t="str">
        <f ca="1">IF($B1672="Portfolio","Portfolio",IFERROR(INDEX(DATA_ASSET_CLASSIFICATION!$U$8:$U$24,MATCH($C1672,DATA_ASSET_CLASSIFICATION!$A$8:$A$24,0)),"Review"))</f>
        <v>Refi Watch</v>
      </c>
      <c r="O1672" s="350" t="str">
        <f ca="1">IF($B1672="Portfolio","Portfolio",IFERROR(INDEX(DATA_ASSET_CLASSIFICATION!$AB$8:$AB$13,MATCH($N1672,DATA_ASSET_CLASSIFICATION!$AA$8:$AA$13,0)),"Review"))</f>
        <v>Bucket 2 · Legacy</v>
      </c>
      <c r="P1672" s="350" t="str">
        <f>IF($B1672="Portfolio","Portfolio",IFERROR(INDEX(DATA_ASSET_CLASSIFICATION!$C$8:$C$24,MATCH($C1672,DATA_ASSET_CLASSIFICATION!$A$8:$A$24,0)),"Review"))</f>
        <v>Yes</v>
      </c>
      <c r="Q1672" s="350" t="str">
        <f t="shared" ca="1" si="53"/>
        <v>OK</v>
      </c>
    </row>
    <row r="1673" spans="1:17">
      <c r="A1673" s="366" t="s">
        <v>3629</v>
      </c>
      <c r="B1673" s="366" t="s">
        <v>231</v>
      </c>
      <c r="C1673" s="348" t="str">
        <f>DATA_PROPERTY_MASTER!$A$9</f>
        <v>BLD_CC</v>
      </c>
      <c r="D1673" s="380">
        <f>'00_PORTFOLIO ROLLUP'!R$12</f>
        <v>2038</v>
      </c>
      <c r="E1673" s="366" t="s">
        <v>1683</v>
      </c>
      <c r="F1673" s="366" t="s">
        <v>19</v>
      </c>
      <c r="G1673" s="348" t="str">
        <f>"'"&amp;$C1673&amp;"'!$E$41:$Y$41"</f>
        <v>'BLD_CC'!$E$41:$Y$41</v>
      </c>
      <c r="H1673" s="381">
        <f ca="1">IF(IFERROR(INDEX(DATA_PROPERTY_MASTER!$E$5:$E$21,MATCH($C1673,DATA_PROPERTY_MASTER!$A$5:$A$21,0))="Yes",FALSE),IFERROR(INDEX(INDIRECT("'"&amp;$C1673&amp;"'!$E$41:$Y$41"),1,MATCH($D1673,INDIRECT("'"&amp;$C1673&amp;"'!$E$12:$Y$12"),0)),0),0)</f>
        <v>313162.39832065167</v>
      </c>
      <c r="I1673" s="366" t="s">
        <v>1685</v>
      </c>
      <c r="J1673" s="348" t="str">
        <f t="shared" ca="1" si="52"/>
        <v>OK</v>
      </c>
      <c r="K1673" s="366" t="s">
        <v>1694</v>
      </c>
      <c r="L1673" s="366" t="s">
        <v>2238</v>
      </c>
      <c r="M1673" s="350" t="str">
        <f>IF($B1673="Portfolio","Portfolio",IFERROR(INDEX(DATA_ASSET_CLASSIFICATION!$B$8:$B$24,MATCH($C1673,DATA_ASSET_CLASSIFICATION!$A$8:$A$24,0)),"Review"))</f>
        <v>Constance Court</v>
      </c>
      <c r="N1673" s="350" t="str">
        <f ca="1">IF($B1673="Portfolio","Portfolio",IFERROR(INDEX(DATA_ASSET_CLASSIFICATION!$U$8:$U$24,MATCH($C1673,DATA_ASSET_CLASSIFICATION!$A$8:$A$24,0)),"Review"))</f>
        <v>Refi Watch</v>
      </c>
      <c r="O1673" s="350" t="str">
        <f ca="1">IF($B1673="Portfolio","Portfolio",IFERROR(INDEX(DATA_ASSET_CLASSIFICATION!$AB$8:$AB$13,MATCH($N1673,DATA_ASSET_CLASSIFICATION!$AA$8:$AA$13,0)),"Review"))</f>
        <v>Bucket 2 · Legacy</v>
      </c>
      <c r="P1673" s="350" t="str">
        <f>IF($B1673="Portfolio","Portfolio",IFERROR(INDEX(DATA_ASSET_CLASSIFICATION!$C$8:$C$24,MATCH($C1673,DATA_ASSET_CLASSIFICATION!$A$8:$A$24,0)),"Review"))</f>
        <v>Yes</v>
      </c>
      <c r="Q1673" s="350" t="str">
        <f t="shared" ca="1" si="53"/>
        <v>OK</v>
      </c>
    </row>
    <row r="1674" spans="1:17">
      <c r="A1674" s="366" t="s">
        <v>3630</v>
      </c>
      <c r="B1674" s="366" t="s">
        <v>231</v>
      </c>
      <c r="C1674" s="348" t="str">
        <f>DATA_PROPERTY_MASTER!$A$9</f>
        <v>BLD_CC</v>
      </c>
      <c r="D1674" s="380">
        <f>'00_PORTFOLIO ROLLUP'!R$12</f>
        <v>2038</v>
      </c>
      <c r="E1674" s="366" t="s">
        <v>1683</v>
      </c>
      <c r="F1674" s="366" t="s">
        <v>1697</v>
      </c>
      <c r="G1674" s="348" t="str">
        <f>"'"&amp;$C1674&amp;"'!$E$44:$Y$44"</f>
        <v>'BLD_CC'!$E$44:$Y$44</v>
      </c>
      <c r="H1674" s="381">
        <f ca="1">IF(IFERROR(INDEX(DATA_PROPERTY_MASTER!$E$5:$E$21,MATCH($C1674,DATA_PROPERTY_MASTER!$A$5:$A$21,0))="Yes",FALSE),IFERROR(INDEX(INDIRECT("'"&amp;$C1674&amp;"'!$E$44:$Y$44"),1,MATCH($D1674,INDIRECT("'"&amp;$C1674&amp;"'!$E$12:$Y$12"),0)),0),0)</f>
        <v>6597.3938153143599</v>
      </c>
      <c r="I1674" s="366" t="s">
        <v>1690</v>
      </c>
      <c r="J1674" s="348" t="str">
        <f t="shared" ca="1" si="52"/>
        <v>OK</v>
      </c>
      <c r="K1674" s="366" t="s">
        <v>1699</v>
      </c>
      <c r="L1674" s="366" t="s">
        <v>2240</v>
      </c>
      <c r="M1674" s="350" t="str">
        <f>IF($B1674="Portfolio","Portfolio",IFERROR(INDEX(DATA_ASSET_CLASSIFICATION!$B$8:$B$24,MATCH($C1674,DATA_ASSET_CLASSIFICATION!$A$8:$A$24,0)),"Review"))</f>
        <v>Constance Court</v>
      </c>
      <c r="N1674" s="350" t="str">
        <f ca="1">IF($B1674="Portfolio","Portfolio",IFERROR(INDEX(DATA_ASSET_CLASSIFICATION!$U$8:$U$24,MATCH($C1674,DATA_ASSET_CLASSIFICATION!$A$8:$A$24,0)),"Review"))</f>
        <v>Refi Watch</v>
      </c>
      <c r="O1674" s="350" t="str">
        <f ca="1">IF($B1674="Portfolio","Portfolio",IFERROR(INDEX(DATA_ASSET_CLASSIFICATION!$AB$8:$AB$13,MATCH($N1674,DATA_ASSET_CLASSIFICATION!$AA$8:$AA$13,0)),"Review"))</f>
        <v>Bucket 2 · Legacy</v>
      </c>
      <c r="P1674" s="350" t="str">
        <f>IF($B1674="Portfolio","Portfolio",IFERROR(INDEX(DATA_ASSET_CLASSIFICATION!$C$8:$C$24,MATCH($C1674,DATA_ASSET_CLASSIFICATION!$A$8:$A$24,0)),"Review"))</f>
        <v>Yes</v>
      </c>
      <c r="Q1674" s="350" t="str">
        <f t="shared" ca="1" si="53"/>
        <v>OK</v>
      </c>
    </row>
    <row r="1675" spans="1:17">
      <c r="A1675" s="366" t="s">
        <v>3631</v>
      </c>
      <c r="B1675" s="366" t="s">
        <v>231</v>
      </c>
      <c r="C1675" s="348" t="str">
        <f>DATA_PROPERTY_MASTER!$A$9</f>
        <v>BLD_CC</v>
      </c>
      <c r="D1675" s="380">
        <f>'00_PORTFOLIO ROLLUP'!R$12</f>
        <v>2038</v>
      </c>
      <c r="E1675" s="366" t="s">
        <v>1683</v>
      </c>
      <c r="F1675" s="366" t="s">
        <v>21</v>
      </c>
      <c r="G1675" s="348" t="str">
        <f>"'"&amp;$C1675&amp;"'!$E$45:$Y$45"</f>
        <v>'BLD_CC'!$E$45:$Y$45</v>
      </c>
      <c r="H1675" s="381">
        <f ca="1">IF(IFERROR(INDEX(DATA_PROPERTY_MASTER!$E$5:$E$21,MATCH($C1675,DATA_PROPERTY_MASTER!$A$5:$A$21,0))="Yes",FALSE),IFERROR(INDEX(INDIRECT("'"&amp;$C1675&amp;"'!$E$45:$Y$45"),1,MATCH($D1675,INDIRECT("'"&amp;$C1675&amp;"'!$E$12:$Y$12"),0)),0),0)</f>
        <v>306565.00450533733</v>
      </c>
      <c r="I1675" s="366" t="s">
        <v>1685</v>
      </c>
      <c r="J1675" s="348" t="str">
        <f t="shared" ca="1" si="52"/>
        <v>OK</v>
      </c>
      <c r="K1675" s="366" t="s">
        <v>1694</v>
      </c>
      <c r="L1675" s="366" t="s">
        <v>2242</v>
      </c>
      <c r="M1675" s="350" t="str">
        <f>IF($B1675="Portfolio","Portfolio",IFERROR(INDEX(DATA_ASSET_CLASSIFICATION!$B$8:$B$24,MATCH($C1675,DATA_ASSET_CLASSIFICATION!$A$8:$A$24,0)),"Review"))</f>
        <v>Constance Court</v>
      </c>
      <c r="N1675" s="350" t="str">
        <f ca="1">IF($B1675="Portfolio","Portfolio",IFERROR(INDEX(DATA_ASSET_CLASSIFICATION!$U$8:$U$24,MATCH($C1675,DATA_ASSET_CLASSIFICATION!$A$8:$A$24,0)),"Review"))</f>
        <v>Refi Watch</v>
      </c>
      <c r="O1675" s="350" t="str">
        <f ca="1">IF($B1675="Portfolio","Portfolio",IFERROR(INDEX(DATA_ASSET_CLASSIFICATION!$AB$8:$AB$13,MATCH($N1675,DATA_ASSET_CLASSIFICATION!$AA$8:$AA$13,0)),"Review"))</f>
        <v>Bucket 2 · Legacy</v>
      </c>
      <c r="P1675" s="350" t="str">
        <f>IF($B1675="Portfolio","Portfolio",IFERROR(INDEX(DATA_ASSET_CLASSIFICATION!$C$8:$C$24,MATCH($C1675,DATA_ASSET_CLASSIFICATION!$A$8:$A$24,0)),"Review"))</f>
        <v>Yes</v>
      </c>
      <c r="Q1675" s="350" t="str">
        <f t="shared" ca="1" si="53"/>
        <v>OK</v>
      </c>
    </row>
    <row r="1676" spans="1:17">
      <c r="A1676" s="366" t="s">
        <v>3632</v>
      </c>
      <c r="B1676" s="366" t="s">
        <v>231</v>
      </c>
      <c r="C1676" s="348" t="str">
        <f>DATA_PROPERTY_MASTER!$A$9</f>
        <v>BLD_CC</v>
      </c>
      <c r="D1676" s="380">
        <f>'00_PORTFOLIO ROLLUP'!R$12</f>
        <v>2038</v>
      </c>
      <c r="E1676" s="366" t="s">
        <v>23</v>
      </c>
      <c r="F1676" s="366" t="s">
        <v>23</v>
      </c>
      <c r="G1676" s="348" t="str">
        <f>"'"&amp;$C1676&amp;"'!$E$48:$Y$48"</f>
        <v>'BLD_CC'!$E$48:$Y$48</v>
      </c>
      <c r="H1676" s="381">
        <f ca="1">IF(IFERROR(INDEX(DATA_PROPERTY_MASTER!$E$5:$E$21,MATCH($C1676,DATA_PROPERTY_MASTER!$A$5:$A$21,0))="Yes",FALSE),IFERROR(INDEX(INDIRECT("'"&amp;$C1676&amp;"'!$E$48:$Y$48"),1,MATCH($D1676,INDIRECT("'"&amp;$C1676&amp;"'!$E$12:$Y$12"),0)),0),0)</f>
        <v>0</v>
      </c>
      <c r="I1676" s="366" t="s">
        <v>1690</v>
      </c>
      <c r="J1676" s="348" t="str">
        <f t="shared" ca="1" si="52"/>
        <v>OK</v>
      </c>
      <c r="K1676" s="366" t="s">
        <v>1706</v>
      </c>
      <c r="L1676" s="366" t="s">
        <v>2244</v>
      </c>
      <c r="M1676" s="350" t="str">
        <f>IF($B1676="Portfolio","Portfolio",IFERROR(INDEX(DATA_ASSET_CLASSIFICATION!$B$8:$B$24,MATCH($C1676,DATA_ASSET_CLASSIFICATION!$A$8:$A$24,0)),"Review"))</f>
        <v>Constance Court</v>
      </c>
      <c r="N1676" s="350" t="str">
        <f ca="1">IF($B1676="Portfolio","Portfolio",IFERROR(INDEX(DATA_ASSET_CLASSIFICATION!$U$8:$U$24,MATCH($C1676,DATA_ASSET_CLASSIFICATION!$A$8:$A$24,0)),"Review"))</f>
        <v>Refi Watch</v>
      </c>
      <c r="O1676" s="350" t="str">
        <f ca="1">IF($B1676="Portfolio","Portfolio",IFERROR(INDEX(DATA_ASSET_CLASSIFICATION!$AB$8:$AB$13,MATCH($N1676,DATA_ASSET_CLASSIFICATION!$AA$8:$AA$13,0)),"Review"))</f>
        <v>Bucket 2 · Legacy</v>
      </c>
      <c r="P1676" s="350" t="str">
        <f>IF($B1676="Portfolio","Portfolio",IFERROR(INDEX(DATA_ASSET_CLASSIFICATION!$C$8:$C$24,MATCH($C1676,DATA_ASSET_CLASSIFICATION!$A$8:$A$24,0)),"Review"))</f>
        <v>Yes</v>
      </c>
      <c r="Q1676" s="350" t="str">
        <f t="shared" ca="1" si="53"/>
        <v>OK</v>
      </c>
    </row>
    <row r="1677" spans="1:17">
      <c r="A1677" s="366" t="s">
        <v>3633</v>
      </c>
      <c r="B1677" s="366" t="s">
        <v>231</v>
      </c>
      <c r="C1677" s="348" t="str">
        <f>DATA_PROPERTY_MASTER!$A$9</f>
        <v>BLD_CC</v>
      </c>
      <c r="D1677" s="380">
        <f>'00_PORTFOLIO ROLLUP'!R$12</f>
        <v>2038</v>
      </c>
      <c r="E1677" s="366" t="s">
        <v>1683</v>
      </c>
      <c r="F1677" s="366" t="s">
        <v>25</v>
      </c>
      <c r="G1677" s="348" t="str">
        <f>"'"&amp;$C1677&amp;"'!$E$52:$Y$52"</f>
        <v>'BLD_CC'!$E$52:$Y$52</v>
      </c>
      <c r="H1677" s="381">
        <f ca="1">IF(IFERROR(INDEX(DATA_PROPERTY_MASTER!$E$5:$E$21,MATCH($C1677,DATA_PROPERTY_MASTER!$A$5:$A$21,0))="Yes",FALSE),IFERROR(INDEX(INDIRECT("'"&amp;$C1677&amp;"'!$E$52:$Y$52"),1,MATCH($D1677,INDIRECT("'"&amp;$C1677&amp;"'!$E$12:$Y$12"),0)),0),0)</f>
        <v>313162.39832065167</v>
      </c>
      <c r="I1677" s="366" t="s">
        <v>1685</v>
      </c>
      <c r="J1677" s="348" t="str">
        <f t="shared" ca="1" si="52"/>
        <v>OK</v>
      </c>
      <c r="K1677" s="366" t="s">
        <v>1710</v>
      </c>
      <c r="L1677" s="366" t="s">
        <v>2246</v>
      </c>
      <c r="M1677" s="350" t="str">
        <f>IF($B1677="Portfolio","Portfolio",IFERROR(INDEX(DATA_ASSET_CLASSIFICATION!$B$8:$B$24,MATCH($C1677,DATA_ASSET_CLASSIFICATION!$A$8:$A$24,0)),"Review"))</f>
        <v>Constance Court</v>
      </c>
      <c r="N1677" s="350" t="str">
        <f ca="1">IF($B1677="Portfolio","Portfolio",IFERROR(INDEX(DATA_ASSET_CLASSIFICATION!$U$8:$U$24,MATCH($C1677,DATA_ASSET_CLASSIFICATION!$A$8:$A$24,0)),"Review"))</f>
        <v>Refi Watch</v>
      </c>
      <c r="O1677" s="350" t="str">
        <f ca="1">IF($B1677="Portfolio","Portfolio",IFERROR(INDEX(DATA_ASSET_CLASSIFICATION!$AB$8:$AB$13,MATCH($N1677,DATA_ASSET_CLASSIFICATION!$AA$8:$AA$13,0)),"Review"))</f>
        <v>Bucket 2 · Legacy</v>
      </c>
      <c r="P1677" s="350" t="str">
        <f>IF($B1677="Portfolio","Portfolio",IFERROR(INDEX(DATA_ASSET_CLASSIFICATION!$C$8:$C$24,MATCH($C1677,DATA_ASSET_CLASSIFICATION!$A$8:$A$24,0)),"Review"))</f>
        <v>Yes</v>
      </c>
      <c r="Q1677" s="350" t="str">
        <f t="shared" ca="1" si="53"/>
        <v>OK</v>
      </c>
    </row>
    <row r="1678" spans="1:17">
      <c r="A1678" s="366" t="s">
        <v>3634</v>
      </c>
      <c r="B1678" s="366" t="s">
        <v>231</v>
      </c>
      <c r="C1678" s="348" t="str">
        <f>DATA_PROPERTY_MASTER!$A$9</f>
        <v>BLD_CC</v>
      </c>
      <c r="D1678" s="380">
        <f>'00_PORTFOLIO ROLLUP'!R$12</f>
        <v>2038</v>
      </c>
      <c r="E1678" s="366" t="s">
        <v>1683</v>
      </c>
      <c r="F1678" s="366" t="s">
        <v>27</v>
      </c>
      <c r="G1678" s="348" t="str">
        <f>"'"&amp;$C1678&amp;"'!$E$54:$Y$54"</f>
        <v>'BLD_CC'!$E$54:$Y$54</v>
      </c>
      <c r="H1678" s="381">
        <f ca="1">IF(IFERROR(INDEX(DATA_PROPERTY_MASTER!$E$5:$E$21,MATCH($C1678,DATA_PROPERTY_MASTER!$A$5:$A$21,0))="Yes",FALSE),IFERROR(INDEX(INDIRECT("'"&amp;$C1678&amp;"'!$E$54:$Y$54"),1,MATCH($D1678,INDIRECT("'"&amp;$C1678&amp;"'!$E$12:$Y$12"),0)),0),0)</f>
        <v>187897.43899239099</v>
      </c>
      <c r="I1678" s="366" t="s">
        <v>1690</v>
      </c>
      <c r="J1678" s="348" t="str">
        <f t="shared" ca="1" si="52"/>
        <v>OK</v>
      </c>
      <c r="K1678" s="366" t="s">
        <v>1714</v>
      </c>
      <c r="L1678" s="366" t="s">
        <v>2248</v>
      </c>
      <c r="M1678" s="350" t="str">
        <f>IF($B1678="Portfolio","Portfolio",IFERROR(INDEX(DATA_ASSET_CLASSIFICATION!$B$8:$B$24,MATCH($C1678,DATA_ASSET_CLASSIFICATION!$A$8:$A$24,0)),"Review"))</f>
        <v>Constance Court</v>
      </c>
      <c r="N1678" s="350" t="str">
        <f ca="1">IF($B1678="Portfolio","Portfolio",IFERROR(INDEX(DATA_ASSET_CLASSIFICATION!$U$8:$U$24,MATCH($C1678,DATA_ASSET_CLASSIFICATION!$A$8:$A$24,0)),"Review"))</f>
        <v>Refi Watch</v>
      </c>
      <c r="O1678" s="350" t="str">
        <f ca="1">IF($B1678="Portfolio","Portfolio",IFERROR(INDEX(DATA_ASSET_CLASSIFICATION!$AB$8:$AB$13,MATCH($N1678,DATA_ASSET_CLASSIFICATION!$AA$8:$AA$13,0)),"Review"))</f>
        <v>Bucket 2 · Legacy</v>
      </c>
      <c r="P1678" s="350" t="str">
        <f>IF($B1678="Portfolio","Portfolio",IFERROR(INDEX(DATA_ASSET_CLASSIFICATION!$C$8:$C$24,MATCH($C1678,DATA_ASSET_CLASSIFICATION!$A$8:$A$24,0)),"Review"))</f>
        <v>Yes</v>
      </c>
      <c r="Q1678" s="350" t="str">
        <f t="shared" ca="1" si="53"/>
        <v>OK</v>
      </c>
    </row>
    <row r="1679" spans="1:17">
      <c r="A1679" s="366" t="s">
        <v>3635</v>
      </c>
      <c r="B1679" s="366" t="s">
        <v>231</v>
      </c>
      <c r="C1679" s="348" t="str">
        <f>DATA_PROPERTY_MASTER!$A$9</f>
        <v>BLD_CC</v>
      </c>
      <c r="D1679" s="380">
        <f>'00_PORTFOLIO ROLLUP'!R$12</f>
        <v>2038</v>
      </c>
      <c r="E1679" s="366" t="s">
        <v>1683</v>
      </c>
      <c r="F1679" s="366" t="s">
        <v>29</v>
      </c>
      <c r="G1679" s="348" t="str">
        <f>"'"&amp;$C1679&amp;"'!$E$56:$Y$56"</f>
        <v>'BLD_CC'!$E$56:$Y$56</v>
      </c>
      <c r="H1679" s="381">
        <f ca="1">IF(IFERROR(INDEX(DATA_PROPERTY_MASTER!$E$5:$E$21,MATCH($C1679,DATA_PROPERTY_MASTER!$A$5:$A$21,0))="Yes",FALSE),IFERROR(INDEX(INDIRECT("'"&amp;$C1679&amp;"'!$E$56:$Y$56"),1,MATCH($D1679,INDIRECT("'"&amp;$C1679&amp;"'!$E$12:$Y$12"),0)),0),0)</f>
        <v>125264.95932826068</v>
      </c>
      <c r="I1679" s="366" t="s">
        <v>1685</v>
      </c>
      <c r="J1679" s="348" t="str">
        <f t="shared" ca="1" si="52"/>
        <v>OK</v>
      </c>
      <c r="K1679" s="366" t="s">
        <v>1718</v>
      </c>
      <c r="L1679" s="366" t="s">
        <v>2250</v>
      </c>
      <c r="M1679" s="350" t="str">
        <f>IF($B1679="Portfolio","Portfolio",IFERROR(INDEX(DATA_ASSET_CLASSIFICATION!$B$8:$B$24,MATCH($C1679,DATA_ASSET_CLASSIFICATION!$A$8:$A$24,0)),"Review"))</f>
        <v>Constance Court</v>
      </c>
      <c r="N1679" s="350" t="str">
        <f ca="1">IF($B1679="Portfolio","Portfolio",IFERROR(INDEX(DATA_ASSET_CLASSIFICATION!$U$8:$U$24,MATCH($C1679,DATA_ASSET_CLASSIFICATION!$A$8:$A$24,0)),"Review"))</f>
        <v>Refi Watch</v>
      </c>
      <c r="O1679" s="350" t="str">
        <f ca="1">IF($B1679="Portfolio","Portfolio",IFERROR(INDEX(DATA_ASSET_CLASSIFICATION!$AB$8:$AB$13,MATCH($N1679,DATA_ASSET_CLASSIFICATION!$AA$8:$AA$13,0)),"Review"))</f>
        <v>Bucket 2 · Legacy</v>
      </c>
      <c r="P1679" s="350" t="str">
        <f>IF($B1679="Portfolio","Portfolio",IFERROR(INDEX(DATA_ASSET_CLASSIFICATION!$C$8:$C$24,MATCH($C1679,DATA_ASSET_CLASSIFICATION!$A$8:$A$24,0)),"Review"))</f>
        <v>Yes</v>
      </c>
      <c r="Q1679" s="350" t="str">
        <f t="shared" ca="1" si="53"/>
        <v>OK</v>
      </c>
    </row>
    <row r="1680" spans="1:17">
      <c r="A1680" s="366" t="s">
        <v>3636</v>
      </c>
      <c r="B1680" s="366" t="s">
        <v>231</v>
      </c>
      <c r="C1680" s="348" t="str">
        <f>DATA_PROPERTY_MASTER!$A$9</f>
        <v>BLD_CC</v>
      </c>
      <c r="D1680" s="380">
        <f>'00_PORTFOLIO ROLLUP'!R$12</f>
        <v>2038</v>
      </c>
      <c r="E1680" s="366" t="s">
        <v>1721</v>
      </c>
      <c r="F1680" s="366" t="s">
        <v>31</v>
      </c>
      <c r="G1680" s="348" t="str">
        <f>"'"&amp;$C1680&amp;"'!$E$61:$Y$61"</f>
        <v>'BLD_CC'!$E$61:$Y$61</v>
      </c>
      <c r="H1680" s="381">
        <f ca="1">IF(IFERROR(INDEX(DATA_PROPERTY_MASTER!$E$5:$E$21,MATCH($C1680,DATA_PROPERTY_MASTER!$A$5:$A$21,0))="Yes",FALSE),IFERROR(INDEX(INDIRECT("'"&amp;$C1680&amp;"'!$E$61:$Y$61"),1,MATCH($D1680,INDIRECT("'"&amp;$C1680&amp;"'!$E$12:$Y$12"),0)),0),0)</f>
        <v>0</v>
      </c>
      <c r="I1680" s="366" t="s">
        <v>1690</v>
      </c>
      <c r="J1680" s="348" t="str">
        <f t="shared" ca="1" si="52"/>
        <v>OK</v>
      </c>
      <c r="K1680" s="366" t="s">
        <v>1723</v>
      </c>
      <c r="L1680" s="366" t="s">
        <v>2252</v>
      </c>
      <c r="M1680" s="350" t="str">
        <f>IF($B1680="Portfolio","Portfolio",IFERROR(INDEX(DATA_ASSET_CLASSIFICATION!$B$8:$B$24,MATCH($C1680,DATA_ASSET_CLASSIFICATION!$A$8:$A$24,0)),"Review"))</f>
        <v>Constance Court</v>
      </c>
      <c r="N1680" s="350" t="str">
        <f ca="1">IF($B1680="Portfolio","Portfolio",IFERROR(INDEX(DATA_ASSET_CLASSIFICATION!$U$8:$U$24,MATCH($C1680,DATA_ASSET_CLASSIFICATION!$A$8:$A$24,0)),"Review"))</f>
        <v>Refi Watch</v>
      </c>
      <c r="O1680" s="350" t="str">
        <f ca="1">IF($B1680="Portfolio","Portfolio",IFERROR(INDEX(DATA_ASSET_CLASSIFICATION!$AB$8:$AB$13,MATCH($N1680,DATA_ASSET_CLASSIFICATION!$AA$8:$AA$13,0)),"Review"))</f>
        <v>Bucket 2 · Legacy</v>
      </c>
      <c r="P1680" s="350" t="str">
        <f>IF($B1680="Portfolio","Portfolio",IFERROR(INDEX(DATA_ASSET_CLASSIFICATION!$C$8:$C$24,MATCH($C1680,DATA_ASSET_CLASSIFICATION!$A$8:$A$24,0)),"Review"))</f>
        <v>Yes</v>
      </c>
      <c r="Q1680" s="350" t="str">
        <f t="shared" ca="1" si="53"/>
        <v>OK</v>
      </c>
    </row>
    <row r="1681" spans="1:17">
      <c r="A1681" s="366" t="s">
        <v>3637</v>
      </c>
      <c r="B1681" s="366" t="s">
        <v>231</v>
      </c>
      <c r="C1681" s="348" t="str">
        <f>DATA_PROPERTY_MASTER!$A$9</f>
        <v>BLD_CC</v>
      </c>
      <c r="D1681" s="380">
        <f>'00_PORTFOLIO ROLLUP'!R$12</f>
        <v>2038</v>
      </c>
      <c r="E1681" s="366" t="s">
        <v>1721</v>
      </c>
      <c r="F1681" s="366" t="s">
        <v>33</v>
      </c>
      <c r="G1681" s="348" t="str">
        <f>"'"&amp;$C1681&amp;"'!$E$62:$Y$62"</f>
        <v>'BLD_CC'!$E$62:$Y$62</v>
      </c>
      <c r="H1681" s="381">
        <f ca="1">IF(IFERROR(INDEX(DATA_PROPERTY_MASTER!$E$5:$E$21,MATCH($C1681,DATA_PROPERTY_MASTER!$A$5:$A$21,0))="Yes",FALSE),IFERROR(INDEX(INDIRECT("'"&amp;$C1681&amp;"'!$E$62:$Y$62"),1,MATCH($D1681,INDIRECT("'"&amp;$C1681&amp;"'!$E$12:$Y$12"),0)),0),0)</f>
        <v>0</v>
      </c>
      <c r="I1681" s="366" t="s">
        <v>1685</v>
      </c>
      <c r="J1681" s="348" t="str">
        <f t="shared" ca="1" si="52"/>
        <v>OK</v>
      </c>
      <c r="K1681" s="366" t="s">
        <v>1727</v>
      </c>
      <c r="L1681" s="366" t="s">
        <v>2254</v>
      </c>
      <c r="M1681" s="350" t="str">
        <f>IF($B1681="Portfolio","Portfolio",IFERROR(INDEX(DATA_ASSET_CLASSIFICATION!$B$8:$B$24,MATCH($C1681,DATA_ASSET_CLASSIFICATION!$A$8:$A$24,0)),"Review"))</f>
        <v>Constance Court</v>
      </c>
      <c r="N1681" s="350" t="str">
        <f ca="1">IF($B1681="Portfolio","Portfolio",IFERROR(INDEX(DATA_ASSET_CLASSIFICATION!$U$8:$U$24,MATCH($C1681,DATA_ASSET_CLASSIFICATION!$A$8:$A$24,0)),"Review"))</f>
        <v>Refi Watch</v>
      </c>
      <c r="O1681" s="350" t="str">
        <f ca="1">IF($B1681="Portfolio","Portfolio",IFERROR(INDEX(DATA_ASSET_CLASSIFICATION!$AB$8:$AB$13,MATCH($N1681,DATA_ASSET_CLASSIFICATION!$AA$8:$AA$13,0)),"Review"))</f>
        <v>Bucket 2 · Legacy</v>
      </c>
      <c r="P1681" s="350" t="str">
        <f>IF($B1681="Portfolio","Portfolio",IFERROR(INDEX(DATA_ASSET_CLASSIFICATION!$C$8:$C$24,MATCH($C1681,DATA_ASSET_CLASSIFICATION!$A$8:$A$24,0)),"Review"))</f>
        <v>Yes</v>
      </c>
      <c r="Q1681" s="350" t="str">
        <f t="shared" ca="1" si="53"/>
        <v>OK</v>
      </c>
    </row>
    <row r="1682" spans="1:17">
      <c r="A1682" s="366" t="s">
        <v>3638</v>
      </c>
      <c r="B1682" s="366" t="s">
        <v>231</v>
      </c>
      <c r="C1682" s="348" t="str">
        <f>DATA_PROPERTY_MASTER!$A$9</f>
        <v>BLD_CC</v>
      </c>
      <c r="D1682" s="380">
        <f>'00_PORTFOLIO ROLLUP'!R$12</f>
        <v>2038</v>
      </c>
      <c r="E1682" s="366" t="s">
        <v>1721</v>
      </c>
      <c r="F1682" s="366" t="s">
        <v>35</v>
      </c>
      <c r="G1682" s="348" t="str">
        <f>"'"&amp;$C1682&amp;"'!$E$63:$Y$63"</f>
        <v>'BLD_CC'!$E$63:$Y$63</v>
      </c>
      <c r="H1682" s="381">
        <f ca="1">IF(IFERROR(INDEX(DATA_PROPERTY_MASTER!$E$5:$E$21,MATCH($C1682,DATA_PROPERTY_MASTER!$A$5:$A$21,0))="Yes",FALSE),IFERROR(INDEX(INDIRECT("'"&amp;$C1682&amp;"'!$E$63:$Y$63"),1,MATCH($D1682,INDIRECT("'"&amp;$C1682&amp;"'!$E$12:$Y$12"),0)),0),0)</f>
        <v>0</v>
      </c>
      <c r="I1682" s="366" t="s">
        <v>1731</v>
      </c>
      <c r="J1682" s="348" t="str">
        <f t="shared" ca="1" si="52"/>
        <v>OK</v>
      </c>
      <c r="K1682" s="366" t="s">
        <v>1732</v>
      </c>
      <c r="L1682" s="366" t="s">
        <v>2256</v>
      </c>
      <c r="M1682" s="350" t="str">
        <f>IF($B1682="Portfolio","Portfolio",IFERROR(INDEX(DATA_ASSET_CLASSIFICATION!$B$8:$B$24,MATCH($C1682,DATA_ASSET_CLASSIFICATION!$A$8:$A$24,0)),"Review"))</f>
        <v>Constance Court</v>
      </c>
      <c r="N1682" s="350" t="str">
        <f ca="1">IF($B1682="Portfolio","Portfolio",IFERROR(INDEX(DATA_ASSET_CLASSIFICATION!$U$8:$U$24,MATCH($C1682,DATA_ASSET_CLASSIFICATION!$A$8:$A$24,0)),"Review"))</f>
        <v>Refi Watch</v>
      </c>
      <c r="O1682" s="350" t="str">
        <f ca="1">IF($B1682="Portfolio","Portfolio",IFERROR(INDEX(DATA_ASSET_CLASSIFICATION!$AB$8:$AB$13,MATCH($N1682,DATA_ASSET_CLASSIFICATION!$AA$8:$AA$13,0)),"Review"))</f>
        <v>Bucket 2 · Legacy</v>
      </c>
      <c r="P1682" s="350" t="str">
        <f>IF($B1682="Portfolio","Portfolio",IFERROR(INDEX(DATA_ASSET_CLASSIFICATION!$C$8:$C$24,MATCH($C1682,DATA_ASSET_CLASSIFICATION!$A$8:$A$24,0)),"Review"))</f>
        <v>Yes</v>
      </c>
      <c r="Q1682" s="350" t="str">
        <f t="shared" ca="1" si="53"/>
        <v>OK</v>
      </c>
    </row>
    <row r="1683" spans="1:17">
      <c r="A1683" s="366" t="s">
        <v>3639</v>
      </c>
      <c r="B1683" s="366" t="s">
        <v>231</v>
      </c>
      <c r="C1683" s="348" t="str">
        <f>DATA_PROPERTY_MASTER!$A$9</f>
        <v>BLD_CC</v>
      </c>
      <c r="D1683" s="380">
        <f>'00_PORTFOLIO ROLLUP'!R$12</f>
        <v>2038</v>
      </c>
      <c r="E1683" s="366" t="s">
        <v>1721</v>
      </c>
      <c r="F1683" s="366" t="s">
        <v>37</v>
      </c>
      <c r="G1683" s="348" t="str">
        <f>"'"&amp;$C1683&amp;"'!$E$63:$Y$63"</f>
        <v>'BLD_CC'!$E$63:$Y$63</v>
      </c>
      <c r="H1683" s="381">
        <f ca="1">IF(IFERROR(INDEX(DATA_PROPERTY_MASTER!$E$5:$E$21,MATCH($C1683,DATA_PROPERTY_MASTER!$A$5:$A$21,0))="Yes",FALSE),MAX(IFERROR(INDEX(INDIRECT("'"&amp;$C1683&amp;"'!$E$63:$Y$63"),1,MATCH($D1683,INDIRECT("'"&amp;$C1683&amp;"'!$E$12:$Y$12"),0)),0),0),0)</f>
        <v>0</v>
      </c>
      <c r="I1683" s="366" t="s">
        <v>1685</v>
      </c>
      <c r="J1683" s="348" t="str">
        <f t="shared" ca="1" si="52"/>
        <v>OK</v>
      </c>
      <c r="K1683" s="366" t="s">
        <v>1735</v>
      </c>
      <c r="L1683" s="366" t="s">
        <v>2258</v>
      </c>
      <c r="M1683" s="350" t="str">
        <f>IF($B1683="Portfolio","Portfolio",IFERROR(INDEX(DATA_ASSET_CLASSIFICATION!$B$8:$B$24,MATCH($C1683,DATA_ASSET_CLASSIFICATION!$A$8:$A$24,0)),"Review"))</f>
        <v>Constance Court</v>
      </c>
      <c r="N1683" s="350" t="str">
        <f ca="1">IF($B1683="Portfolio","Portfolio",IFERROR(INDEX(DATA_ASSET_CLASSIFICATION!$U$8:$U$24,MATCH($C1683,DATA_ASSET_CLASSIFICATION!$A$8:$A$24,0)),"Review"))</f>
        <v>Refi Watch</v>
      </c>
      <c r="O1683" s="350" t="str">
        <f ca="1">IF($B1683="Portfolio","Portfolio",IFERROR(INDEX(DATA_ASSET_CLASSIFICATION!$AB$8:$AB$13,MATCH($N1683,DATA_ASSET_CLASSIFICATION!$AA$8:$AA$13,0)),"Review"))</f>
        <v>Bucket 2 · Legacy</v>
      </c>
      <c r="P1683" s="350" t="str">
        <f>IF($B1683="Portfolio","Portfolio",IFERROR(INDEX(DATA_ASSET_CLASSIFICATION!$C$8:$C$24,MATCH($C1683,DATA_ASSET_CLASSIFICATION!$A$8:$A$24,0)),"Review"))</f>
        <v>Yes</v>
      </c>
      <c r="Q1683" s="350" t="str">
        <f t="shared" ca="1" si="53"/>
        <v>OK</v>
      </c>
    </row>
    <row r="1684" spans="1:17">
      <c r="A1684" s="366" t="s">
        <v>3640</v>
      </c>
      <c r="B1684" s="366" t="s">
        <v>231</v>
      </c>
      <c r="C1684" s="348" t="str">
        <f>DATA_PROPERTY_MASTER!$A$9</f>
        <v>BLD_CC</v>
      </c>
      <c r="D1684" s="380">
        <f>'00_PORTFOLIO ROLLUP'!R$12</f>
        <v>2038</v>
      </c>
      <c r="E1684" s="366" t="s">
        <v>1721</v>
      </c>
      <c r="F1684" s="366" t="s">
        <v>39</v>
      </c>
      <c r="G1684" s="348" t="str">
        <f>"'"&amp;$C1684&amp;"'!$E$63:$Y$63"</f>
        <v>'BLD_CC'!$E$63:$Y$63</v>
      </c>
      <c r="H1684" s="381">
        <f ca="1">IF(IFERROR(INDEX(DATA_PROPERTY_MASTER!$E$5:$E$21,MATCH($C1684,DATA_PROPERTY_MASTER!$A$5:$A$21,0))="Yes",FALSE),MAX(-IFERROR(INDEX(INDIRECT("'"&amp;$C1684&amp;"'!$E$63:$Y$63"),1,MATCH($D1684,INDIRECT("'"&amp;$C1684&amp;"'!$E$12:$Y$12"),0)),0),0),0)</f>
        <v>0</v>
      </c>
      <c r="I1684" s="366" t="s">
        <v>1690</v>
      </c>
      <c r="J1684" s="348" t="str">
        <f t="shared" ca="1" si="52"/>
        <v>OK</v>
      </c>
      <c r="K1684" s="366" t="s">
        <v>1738</v>
      </c>
      <c r="L1684" s="366" t="s">
        <v>2260</v>
      </c>
      <c r="M1684" s="350" t="str">
        <f>IF($B1684="Portfolio","Portfolio",IFERROR(INDEX(DATA_ASSET_CLASSIFICATION!$B$8:$B$24,MATCH($C1684,DATA_ASSET_CLASSIFICATION!$A$8:$A$24,0)),"Review"))</f>
        <v>Constance Court</v>
      </c>
      <c r="N1684" s="350" t="str">
        <f ca="1">IF($B1684="Portfolio","Portfolio",IFERROR(INDEX(DATA_ASSET_CLASSIFICATION!$U$8:$U$24,MATCH($C1684,DATA_ASSET_CLASSIFICATION!$A$8:$A$24,0)),"Review"))</f>
        <v>Refi Watch</v>
      </c>
      <c r="O1684" s="350" t="str">
        <f ca="1">IF($B1684="Portfolio","Portfolio",IFERROR(INDEX(DATA_ASSET_CLASSIFICATION!$AB$8:$AB$13,MATCH($N1684,DATA_ASSET_CLASSIFICATION!$AA$8:$AA$13,0)),"Review"))</f>
        <v>Bucket 2 · Legacy</v>
      </c>
      <c r="P1684" s="350" t="str">
        <f>IF($B1684="Portfolio","Portfolio",IFERROR(INDEX(DATA_ASSET_CLASSIFICATION!$C$8:$C$24,MATCH($C1684,DATA_ASSET_CLASSIFICATION!$A$8:$A$24,0)),"Review"))</f>
        <v>Yes</v>
      </c>
      <c r="Q1684" s="350" t="str">
        <f t="shared" ca="1" si="53"/>
        <v>OK</v>
      </c>
    </row>
    <row r="1685" spans="1:17">
      <c r="A1685" s="366" t="s">
        <v>3641</v>
      </c>
      <c r="B1685" s="366" t="s">
        <v>231</v>
      </c>
      <c r="C1685" s="348" t="str">
        <f>DATA_PROPERTY_MASTER!$A$9</f>
        <v>BLD_CC</v>
      </c>
      <c r="D1685" s="380">
        <f>'00_PORTFOLIO ROLLUP'!R$12</f>
        <v>2038</v>
      </c>
      <c r="E1685" s="366" t="s">
        <v>1741</v>
      </c>
      <c r="F1685" s="366" t="s">
        <v>41</v>
      </c>
      <c r="G1685" s="348" t="str">
        <f>"'"&amp;$C1685&amp;"'!rows 56 + positive row 63"</f>
        <v>'BLD_CC'!rows 56 + positive row 63</v>
      </c>
      <c r="H1685" s="381">
        <f ca="1">IF(IFERROR(INDEX(DATA_PROPERTY_MASTER!$E$5:$E$21,MATCH($C1685,DATA_PROPERTY_MASTER!$A$5:$A$21,0))="Yes",FALSE),IFERROR(INDEX(INDIRECT("'"&amp;$C1685&amp;"'!$E$56:$Y$56"),1,MATCH($D1685,INDIRECT("'"&amp;$C1685&amp;"'!$E$12:$Y$12"),0)),0)+MAX(IFERROR(INDEX(INDIRECT("'"&amp;$C1685&amp;"'!$E$63:$Y$63"),1,MATCH($D1685,INDIRECT("'"&amp;$C1685&amp;"'!$E$12:$Y$12"),0)),0),0),0)</f>
        <v>125264.95932826068</v>
      </c>
      <c r="I1685" s="366" t="s">
        <v>1685</v>
      </c>
      <c r="J1685" s="348" t="str">
        <f t="shared" ca="1" si="52"/>
        <v>OK</v>
      </c>
      <c r="K1685" s="366" t="s">
        <v>1742</v>
      </c>
      <c r="L1685" s="366" t="s">
        <v>2262</v>
      </c>
      <c r="M1685" s="350" t="str">
        <f>IF($B1685="Portfolio","Portfolio",IFERROR(INDEX(DATA_ASSET_CLASSIFICATION!$B$8:$B$24,MATCH($C1685,DATA_ASSET_CLASSIFICATION!$A$8:$A$24,0)),"Review"))</f>
        <v>Constance Court</v>
      </c>
      <c r="N1685" s="350" t="str">
        <f ca="1">IF($B1685="Portfolio","Portfolio",IFERROR(INDEX(DATA_ASSET_CLASSIFICATION!$U$8:$U$24,MATCH($C1685,DATA_ASSET_CLASSIFICATION!$A$8:$A$24,0)),"Review"))</f>
        <v>Refi Watch</v>
      </c>
      <c r="O1685" s="350" t="str">
        <f ca="1">IF($B1685="Portfolio","Portfolio",IFERROR(INDEX(DATA_ASSET_CLASSIFICATION!$AB$8:$AB$13,MATCH($N1685,DATA_ASSET_CLASSIFICATION!$AA$8:$AA$13,0)),"Review"))</f>
        <v>Bucket 2 · Legacy</v>
      </c>
      <c r="P1685" s="350" t="str">
        <f>IF($B1685="Portfolio","Portfolio",IFERROR(INDEX(DATA_ASSET_CLASSIFICATION!$C$8:$C$24,MATCH($C1685,DATA_ASSET_CLASSIFICATION!$A$8:$A$24,0)),"Review"))</f>
        <v>Yes</v>
      </c>
      <c r="Q1685" s="350" t="str">
        <f t="shared" ca="1" si="53"/>
        <v>OK</v>
      </c>
    </row>
    <row r="1686" spans="1:17">
      <c r="A1686" s="366" t="s">
        <v>3642</v>
      </c>
      <c r="B1686" s="366" t="s">
        <v>231</v>
      </c>
      <c r="C1686" s="348" t="str">
        <f>DATA_PROPERTY_MASTER!$A$9</f>
        <v>BLD_CC</v>
      </c>
      <c r="D1686" s="380">
        <f>'00_PORTFOLIO ROLLUP'!R$12</f>
        <v>2038</v>
      </c>
      <c r="E1686" s="366" t="s">
        <v>1741</v>
      </c>
      <c r="F1686" s="366" t="s">
        <v>43</v>
      </c>
      <c r="G1686" s="348" t="str">
        <f>"'"&amp;$C1686&amp;"'!$E$68:$Y$68"</f>
        <v>'BLD_CC'!$E$68:$Y$68</v>
      </c>
      <c r="H1686" s="381">
        <f ca="1">IF(IFERROR(INDEX(DATA_PROPERTY_MASTER!$E$5:$E$21,MATCH($C1686,DATA_PROPERTY_MASTER!$A$5:$A$21,0))="Yes",FALSE),IFERROR(INDEX(INDIRECT("'"&amp;$C1686&amp;"'!$E$68:$Y$68"),1,MATCH($D1686,INDIRECT("'"&amp;$C1686&amp;"'!$E$12:$Y$12"),0)),0),0)</f>
        <v>125264.95932826068</v>
      </c>
      <c r="I1686" s="366" t="s">
        <v>1731</v>
      </c>
      <c r="J1686" s="348" t="str">
        <f t="shared" ca="1" si="52"/>
        <v>OK</v>
      </c>
      <c r="K1686" s="366" t="s">
        <v>1746</v>
      </c>
      <c r="L1686" s="366" t="s">
        <v>2264</v>
      </c>
      <c r="M1686" s="350" t="str">
        <f>IF($B1686="Portfolio","Portfolio",IFERROR(INDEX(DATA_ASSET_CLASSIFICATION!$B$8:$B$24,MATCH($C1686,DATA_ASSET_CLASSIFICATION!$A$8:$A$24,0)),"Review"))</f>
        <v>Constance Court</v>
      </c>
      <c r="N1686" s="350" t="str">
        <f ca="1">IF($B1686="Portfolio","Portfolio",IFERROR(INDEX(DATA_ASSET_CLASSIFICATION!$U$8:$U$24,MATCH($C1686,DATA_ASSET_CLASSIFICATION!$A$8:$A$24,0)),"Review"))</f>
        <v>Refi Watch</v>
      </c>
      <c r="O1686" s="350" t="str">
        <f ca="1">IF($B1686="Portfolio","Portfolio",IFERROR(INDEX(DATA_ASSET_CLASSIFICATION!$AB$8:$AB$13,MATCH($N1686,DATA_ASSET_CLASSIFICATION!$AA$8:$AA$13,0)),"Review"))</f>
        <v>Bucket 2 · Legacy</v>
      </c>
      <c r="P1686" s="350" t="str">
        <f>IF($B1686="Portfolio","Portfolio",IFERROR(INDEX(DATA_ASSET_CLASSIFICATION!$C$8:$C$24,MATCH($C1686,DATA_ASSET_CLASSIFICATION!$A$8:$A$24,0)),"Review"))</f>
        <v>Yes</v>
      </c>
      <c r="Q1686" s="350" t="str">
        <f t="shared" ca="1" si="53"/>
        <v>OK</v>
      </c>
    </row>
    <row r="1687" spans="1:17">
      <c r="A1687" s="366" t="s">
        <v>3643</v>
      </c>
      <c r="B1687" s="366" t="s">
        <v>231</v>
      </c>
      <c r="C1687" s="348" t="str">
        <f>DATA_PROPERTY_MASTER!$A$9</f>
        <v>BLD_CC</v>
      </c>
      <c r="D1687" s="380">
        <f>'00_PORTFOLIO ROLLUP'!R$12</f>
        <v>2038</v>
      </c>
      <c r="E1687" s="366" t="s">
        <v>1741</v>
      </c>
      <c r="F1687" s="366" t="s">
        <v>1749</v>
      </c>
      <c r="G1687" s="348" t="str">
        <f>"'"&amp;$C1687&amp;"'!rows 56, 63, 68"</f>
        <v>'BLD_CC'!rows 56, 63, 68</v>
      </c>
      <c r="H1687" s="381">
        <f ca="1">IF(IFERROR(INDEX(DATA_PROPERTY_MASTER!$E$5:$E$21,MATCH($C1687,DATA_PROPERTY_MASTER!$A$5:$A$21,0))="Yes",FALSE),(IFERROR(INDEX(INDIRECT("'"&amp;$C1687&amp;"'!$E$56:$Y$56"),1,MATCH($D1687,INDIRECT("'"&amp;$C1687&amp;"'!$E$12:$Y$12"),0)),0)+MAX(IFERROR(INDEX(INDIRECT("'"&amp;$C1687&amp;"'!$E$63:$Y$63"),1,MATCH($D1687,INDIRECT("'"&amp;$C1687&amp;"'!$E$12:$Y$12"),0)),0),0))-(IFERROR(INDEX(INDIRECT("'"&amp;$C1687&amp;"'!$E$68:$Y$68"),1,MATCH($D1687,INDIRECT("'"&amp;$C1687&amp;"'!$E$12:$Y$12"),0)),0)),0)</f>
        <v>0</v>
      </c>
      <c r="I1687" s="366" t="s">
        <v>1750</v>
      </c>
      <c r="J1687" s="348" t="str">
        <f t="shared" ca="1" si="52"/>
        <v>OK</v>
      </c>
      <c r="K1687" s="366" t="s">
        <v>1751</v>
      </c>
      <c r="L1687" s="366" t="s">
        <v>2266</v>
      </c>
      <c r="M1687" s="350" t="str">
        <f>IF($B1687="Portfolio","Portfolio",IFERROR(INDEX(DATA_ASSET_CLASSIFICATION!$B$8:$B$24,MATCH($C1687,DATA_ASSET_CLASSIFICATION!$A$8:$A$24,0)),"Review"))</f>
        <v>Constance Court</v>
      </c>
      <c r="N1687" s="350" t="str">
        <f ca="1">IF($B1687="Portfolio","Portfolio",IFERROR(INDEX(DATA_ASSET_CLASSIFICATION!$U$8:$U$24,MATCH($C1687,DATA_ASSET_CLASSIFICATION!$A$8:$A$24,0)),"Review"))</f>
        <v>Refi Watch</v>
      </c>
      <c r="O1687" s="350" t="str">
        <f ca="1">IF($B1687="Portfolio","Portfolio",IFERROR(INDEX(DATA_ASSET_CLASSIFICATION!$AB$8:$AB$13,MATCH($N1687,DATA_ASSET_CLASSIFICATION!$AA$8:$AA$13,0)),"Review"))</f>
        <v>Bucket 2 · Legacy</v>
      </c>
      <c r="P1687" s="350" t="str">
        <f>IF($B1687="Portfolio","Portfolio",IFERROR(INDEX(DATA_ASSET_CLASSIFICATION!$C$8:$C$24,MATCH($C1687,DATA_ASSET_CLASSIFICATION!$A$8:$A$24,0)),"Review"))</f>
        <v>Yes</v>
      </c>
      <c r="Q1687" s="350" t="str">
        <f t="shared" ca="1" si="53"/>
        <v>OK</v>
      </c>
    </row>
    <row r="1688" spans="1:17">
      <c r="A1688" s="366" t="s">
        <v>3644</v>
      </c>
      <c r="B1688" s="366" t="s">
        <v>231</v>
      </c>
      <c r="C1688" s="348" t="str">
        <f>DATA_PROPERTY_MASTER!$A$9</f>
        <v>BLD_CC</v>
      </c>
      <c r="D1688" s="380">
        <f>'00_PORTFOLIO ROLLUP'!S$12</f>
        <v>2039</v>
      </c>
      <c r="E1688" s="366" t="s">
        <v>1683</v>
      </c>
      <c r="F1688" s="366" t="s">
        <v>341</v>
      </c>
      <c r="G1688" s="348" t="str">
        <f>"'"&amp;$C1688&amp;"'!$E$24:$Y$24"</f>
        <v>'BLD_CC'!$E$24:$Y$24</v>
      </c>
      <c r="H1688" s="381">
        <f ca="1">IF(IFERROR(INDEX(DATA_PROPERTY_MASTER!$E$5:$E$21,MATCH($C1688,DATA_PROPERTY_MASTER!$A$5:$A$21,0))="Yes",FALSE),IFERROR(INDEX(INDIRECT("'"&amp;$C1688&amp;"'!$E$24:$Y$24"),1,MATCH($D1688,INDIRECT("'"&amp;$C1688&amp;"'!$E$12:$Y$12"),0)),0),0)</f>
        <v>650665.41052449355</v>
      </c>
      <c r="I1688" s="366" t="s">
        <v>1685</v>
      </c>
      <c r="J1688" s="348" t="str">
        <f t="shared" ca="1" si="52"/>
        <v>OK</v>
      </c>
      <c r="K1688" s="366" t="s">
        <v>1686</v>
      </c>
      <c r="L1688" s="366" t="s">
        <v>2234</v>
      </c>
      <c r="M1688" s="350" t="str">
        <f>IF($B1688="Portfolio","Portfolio",IFERROR(INDEX(DATA_ASSET_CLASSIFICATION!$B$8:$B$24,MATCH($C1688,DATA_ASSET_CLASSIFICATION!$A$8:$A$24,0)),"Review"))</f>
        <v>Constance Court</v>
      </c>
      <c r="N1688" s="350" t="str">
        <f ca="1">IF($B1688="Portfolio","Portfolio",IFERROR(INDEX(DATA_ASSET_CLASSIFICATION!$U$8:$U$24,MATCH($C1688,DATA_ASSET_CLASSIFICATION!$A$8:$A$24,0)),"Review"))</f>
        <v>Refi Watch</v>
      </c>
      <c r="O1688" s="350" t="str">
        <f ca="1">IF($B1688="Portfolio","Portfolio",IFERROR(INDEX(DATA_ASSET_CLASSIFICATION!$AB$8:$AB$13,MATCH($N1688,DATA_ASSET_CLASSIFICATION!$AA$8:$AA$13,0)),"Review"))</f>
        <v>Bucket 2 · Legacy</v>
      </c>
      <c r="P1688" s="350" t="str">
        <f>IF($B1688="Portfolio","Portfolio",IFERROR(INDEX(DATA_ASSET_CLASSIFICATION!$C$8:$C$24,MATCH($C1688,DATA_ASSET_CLASSIFICATION!$A$8:$A$24,0)),"Review"))</f>
        <v>Yes</v>
      </c>
      <c r="Q1688" s="350" t="str">
        <f t="shared" ca="1" si="53"/>
        <v>OK</v>
      </c>
    </row>
    <row r="1689" spans="1:17">
      <c r="A1689" s="366" t="s">
        <v>3645</v>
      </c>
      <c r="B1689" s="366" t="s">
        <v>231</v>
      </c>
      <c r="C1689" s="348" t="str">
        <f>DATA_PROPERTY_MASTER!$A$9</f>
        <v>BLD_CC</v>
      </c>
      <c r="D1689" s="380">
        <f>'00_PORTFOLIO ROLLUP'!S$12</f>
        <v>2039</v>
      </c>
      <c r="E1689" s="366" t="s">
        <v>1683</v>
      </c>
      <c r="F1689" s="366" t="s">
        <v>355</v>
      </c>
      <c r="G1689" s="348" t="str">
        <f>"'"&amp;$C1689&amp;"'!$E$39:$Y$39"</f>
        <v>'BLD_CC'!$E$39:$Y$39</v>
      </c>
      <c r="H1689" s="381">
        <f ca="1">IF(IFERROR(INDEX(DATA_PROPERTY_MASTER!$E$5:$E$21,MATCH($C1689,DATA_PROPERTY_MASTER!$A$5:$A$21,0))="Yes",FALSE),IFERROR(INDEX(INDIRECT("'"&amp;$C1689&amp;"'!$E$39:$Y$39"),1,MATCH($D1689,INDIRECT("'"&amp;$C1689&amp;"'!$E$12:$Y$12"),0)),0),0)</f>
        <v>332863.48857192585</v>
      </c>
      <c r="I1689" s="366" t="s">
        <v>1690</v>
      </c>
      <c r="J1689" s="348" t="str">
        <f t="shared" ca="1" si="52"/>
        <v>OK</v>
      </c>
      <c r="K1689" s="366" t="s">
        <v>1686</v>
      </c>
      <c r="L1689" s="366" t="s">
        <v>2236</v>
      </c>
      <c r="M1689" s="350" t="str">
        <f>IF($B1689="Portfolio","Portfolio",IFERROR(INDEX(DATA_ASSET_CLASSIFICATION!$B$8:$B$24,MATCH($C1689,DATA_ASSET_CLASSIFICATION!$A$8:$A$24,0)),"Review"))</f>
        <v>Constance Court</v>
      </c>
      <c r="N1689" s="350" t="str">
        <f ca="1">IF($B1689="Portfolio","Portfolio",IFERROR(INDEX(DATA_ASSET_CLASSIFICATION!$U$8:$U$24,MATCH($C1689,DATA_ASSET_CLASSIFICATION!$A$8:$A$24,0)),"Review"))</f>
        <v>Refi Watch</v>
      </c>
      <c r="O1689" s="350" t="str">
        <f ca="1">IF($B1689="Portfolio","Portfolio",IFERROR(INDEX(DATA_ASSET_CLASSIFICATION!$AB$8:$AB$13,MATCH($N1689,DATA_ASSET_CLASSIFICATION!$AA$8:$AA$13,0)),"Review"))</f>
        <v>Bucket 2 · Legacy</v>
      </c>
      <c r="P1689" s="350" t="str">
        <f>IF($B1689="Portfolio","Portfolio",IFERROR(INDEX(DATA_ASSET_CLASSIFICATION!$C$8:$C$24,MATCH($C1689,DATA_ASSET_CLASSIFICATION!$A$8:$A$24,0)),"Review"))</f>
        <v>Yes</v>
      </c>
      <c r="Q1689" s="350" t="str">
        <f t="shared" ca="1" si="53"/>
        <v>OK</v>
      </c>
    </row>
    <row r="1690" spans="1:17">
      <c r="A1690" s="366" t="s">
        <v>3646</v>
      </c>
      <c r="B1690" s="366" t="s">
        <v>231</v>
      </c>
      <c r="C1690" s="348" t="str">
        <f>DATA_PROPERTY_MASTER!$A$9</f>
        <v>BLD_CC</v>
      </c>
      <c r="D1690" s="380">
        <f>'00_PORTFOLIO ROLLUP'!S$12</f>
        <v>2039</v>
      </c>
      <c r="E1690" s="366" t="s">
        <v>1683</v>
      </c>
      <c r="F1690" s="366" t="s">
        <v>19</v>
      </c>
      <c r="G1690" s="348" t="str">
        <f>"'"&amp;$C1690&amp;"'!$E$41:$Y$41"</f>
        <v>'BLD_CC'!$E$41:$Y$41</v>
      </c>
      <c r="H1690" s="381">
        <f ca="1">IF(IFERROR(INDEX(DATA_PROPERTY_MASTER!$E$5:$E$21,MATCH($C1690,DATA_PROPERTY_MASTER!$A$5:$A$21,0))="Yes",FALSE),IFERROR(INDEX(INDIRECT("'"&amp;$C1690&amp;"'!$E$41:$Y$41"),1,MATCH($D1690,INDIRECT("'"&amp;$C1690&amp;"'!$E$12:$Y$12"),0)),0),0)</f>
        <v>317801.9219525677</v>
      </c>
      <c r="I1690" s="366" t="s">
        <v>1685</v>
      </c>
      <c r="J1690" s="348" t="str">
        <f t="shared" ca="1" si="52"/>
        <v>OK</v>
      </c>
      <c r="K1690" s="366" t="s">
        <v>1694</v>
      </c>
      <c r="L1690" s="366" t="s">
        <v>2238</v>
      </c>
      <c r="M1690" s="350" t="str">
        <f>IF($B1690="Portfolio","Portfolio",IFERROR(INDEX(DATA_ASSET_CLASSIFICATION!$B$8:$B$24,MATCH($C1690,DATA_ASSET_CLASSIFICATION!$A$8:$A$24,0)),"Review"))</f>
        <v>Constance Court</v>
      </c>
      <c r="N1690" s="350" t="str">
        <f ca="1">IF($B1690="Portfolio","Portfolio",IFERROR(INDEX(DATA_ASSET_CLASSIFICATION!$U$8:$U$24,MATCH($C1690,DATA_ASSET_CLASSIFICATION!$A$8:$A$24,0)),"Review"))</f>
        <v>Refi Watch</v>
      </c>
      <c r="O1690" s="350" t="str">
        <f ca="1">IF($B1690="Portfolio","Portfolio",IFERROR(INDEX(DATA_ASSET_CLASSIFICATION!$AB$8:$AB$13,MATCH($N1690,DATA_ASSET_CLASSIFICATION!$AA$8:$AA$13,0)),"Review"))</f>
        <v>Bucket 2 · Legacy</v>
      </c>
      <c r="P1690" s="350" t="str">
        <f>IF($B1690="Portfolio","Portfolio",IFERROR(INDEX(DATA_ASSET_CLASSIFICATION!$C$8:$C$24,MATCH($C1690,DATA_ASSET_CLASSIFICATION!$A$8:$A$24,0)),"Review"))</f>
        <v>Yes</v>
      </c>
      <c r="Q1690" s="350" t="str">
        <f t="shared" ca="1" si="53"/>
        <v>OK</v>
      </c>
    </row>
    <row r="1691" spans="1:17">
      <c r="A1691" s="366" t="s">
        <v>3647</v>
      </c>
      <c r="B1691" s="366" t="s">
        <v>231</v>
      </c>
      <c r="C1691" s="348" t="str">
        <f>DATA_PROPERTY_MASTER!$A$9</f>
        <v>BLD_CC</v>
      </c>
      <c r="D1691" s="380">
        <f>'00_PORTFOLIO ROLLUP'!S$12</f>
        <v>2039</v>
      </c>
      <c r="E1691" s="366" t="s">
        <v>1683</v>
      </c>
      <c r="F1691" s="366" t="s">
        <v>1697</v>
      </c>
      <c r="G1691" s="348" t="str">
        <f>"'"&amp;$C1691&amp;"'!$E$44:$Y$44"</f>
        <v>'BLD_CC'!$E$44:$Y$44</v>
      </c>
      <c r="H1691" s="381">
        <f ca="1">IF(IFERROR(INDEX(DATA_PROPERTY_MASTER!$E$5:$E$21,MATCH($C1691,DATA_PROPERTY_MASTER!$A$5:$A$21,0))="Yes",FALSE),IFERROR(INDEX(INDIRECT("'"&amp;$C1691&amp;"'!$E$44:$Y$44"),1,MATCH($D1691,INDIRECT("'"&amp;$C1691&amp;"'!$E$12:$Y$12"),0)),0),0)</f>
        <v>6729.3416916206479</v>
      </c>
      <c r="I1691" s="366" t="s">
        <v>1690</v>
      </c>
      <c r="J1691" s="348" t="str">
        <f t="shared" ca="1" si="52"/>
        <v>OK</v>
      </c>
      <c r="K1691" s="366" t="s">
        <v>1699</v>
      </c>
      <c r="L1691" s="366" t="s">
        <v>2240</v>
      </c>
      <c r="M1691" s="350" t="str">
        <f>IF($B1691="Portfolio","Portfolio",IFERROR(INDEX(DATA_ASSET_CLASSIFICATION!$B$8:$B$24,MATCH($C1691,DATA_ASSET_CLASSIFICATION!$A$8:$A$24,0)),"Review"))</f>
        <v>Constance Court</v>
      </c>
      <c r="N1691" s="350" t="str">
        <f ca="1">IF($B1691="Portfolio","Portfolio",IFERROR(INDEX(DATA_ASSET_CLASSIFICATION!$U$8:$U$24,MATCH($C1691,DATA_ASSET_CLASSIFICATION!$A$8:$A$24,0)),"Review"))</f>
        <v>Refi Watch</v>
      </c>
      <c r="O1691" s="350" t="str">
        <f ca="1">IF($B1691="Portfolio","Portfolio",IFERROR(INDEX(DATA_ASSET_CLASSIFICATION!$AB$8:$AB$13,MATCH($N1691,DATA_ASSET_CLASSIFICATION!$AA$8:$AA$13,0)),"Review"))</f>
        <v>Bucket 2 · Legacy</v>
      </c>
      <c r="P1691" s="350" t="str">
        <f>IF($B1691="Portfolio","Portfolio",IFERROR(INDEX(DATA_ASSET_CLASSIFICATION!$C$8:$C$24,MATCH($C1691,DATA_ASSET_CLASSIFICATION!$A$8:$A$24,0)),"Review"))</f>
        <v>Yes</v>
      </c>
      <c r="Q1691" s="350" t="str">
        <f t="shared" ca="1" si="53"/>
        <v>OK</v>
      </c>
    </row>
    <row r="1692" spans="1:17">
      <c r="A1692" s="366" t="s">
        <v>3648</v>
      </c>
      <c r="B1692" s="366" t="s">
        <v>231</v>
      </c>
      <c r="C1692" s="348" t="str">
        <f>DATA_PROPERTY_MASTER!$A$9</f>
        <v>BLD_CC</v>
      </c>
      <c r="D1692" s="380">
        <f>'00_PORTFOLIO ROLLUP'!S$12</f>
        <v>2039</v>
      </c>
      <c r="E1692" s="366" t="s">
        <v>1683</v>
      </c>
      <c r="F1692" s="366" t="s">
        <v>21</v>
      </c>
      <c r="G1692" s="348" t="str">
        <f>"'"&amp;$C1692&amp;"'!$E$45:$Y$45"</f>
        <v>'BLD_CC'!$E$45:$Y$45</v>
      </c>
      <c r="H1692" s="381">
        <f ca="1">IF(IFERROR(INDEX(DATA_PROPERTY_MASTER!$E$5:$E$21,MATCH($C1692,DATA_PROPERTY_MASTER!$A$5:$A$21,0))="Yes",FALSE),IFERROR(INDEX(INDIRECT("'"&amp;$C1692&amp;"'!$E$45:$Y$45"),1,MATCH($D1692,INDIRECT("'"&amp;$C1692&amp;"'!$E$12:$Y$12"),0)),0),0)</f>
        <v>311072.58026094706</v>
      </c>
      <c r="I1692" s="366" t="s">
        <v>1685</v>
      </c>
      <c r="J1692" s="348" t="str">
        <f t="shared" ca="1" si="52"/>
        <v>OK</v>
      </c>
      <c r="K1692" s="366" t="s">
        <v>1694</v>
      </c>
      <c r="L1692" s="366" t="s">
        <v>2242</v>
      </c>
      <c r="M1692" s="350" t="str">
        <f>IF($B1692="Portfolio","Portfolio",IFERROR(INDEX(DATA_ASSET_CLASSIFICATION!$B$8:$B$24,MATCH($C1692,DATA_ASSET_CLASSIFICATION!$A$8:$A$24,0)),"Review"))</f>
        <v>Constance Court</v>
      </c>
      <c r="N1692" s="350" t="str">
        <f ca="1">IF($B1692="Portfolio","Portfolio",IFERROR(INDEX(DATA_ASSET_CLASSIFICATION!$U$8:$U$24,MATCH($C1692,DATA_ASSET_CLASSIFICATION!$A$8:$A$24,0)),"Review"))</f>
        <v>Refi Watch</v>
      </c>
      <c r="O1692" s="350" t="str">
        <f ca="1">IF($B1692="Portfolio","Portfolio",IFERROR(INDEX(DATA_ASSET_CLASSIFICATION!$AB$8:$AB$13,MATCH($N1692,DATA_ASSET_CLASSIFICATION!$AA$8:$AA$13,0)),"Review"))</f>
        <v>Bucket 2 · Legacy</v>
      </c>
      <c r="P1692" s="350" t="str">
        <f>IF($B1692="Portfolio","Portfolio",IFERROR(INDEX(DATA_ASSET_CLASSIFICATION!$C$8:$C$24,MATCH($C1692,DATA_ASSET_CLASSIFICATION!$A$8:$A$24,0)),"Review"))</f>
        <v>Yes</v>
      </c>
      <c r="Q1692" s="350" t="str">
        <f t="shared" ca="1" si="53"/>
        <v>OK</v>
      </c>
    </row>
    <row r="1693" spans="1:17">
      <c r="A1693" s="366" t="s">
        <v>3649</v>
      </c>
      <c r="B1693" s="366" t="s">
        <v>231</v>
      </c>
      <c r="C1693" s="348" t="str">
        <f>DATA_PROPERTY_MASTER!$A$9</f>
        <v>BLD_CC</v>
      </c>
      <c r="D1693" s="380">
        <f>'00_PORTFOLIO ROLLUP'!S$12</f>
        <v>2039</v>
      </c>
      <c r="E1693" s="366" t="s">
        <v>23</v>
      </c>
      <c r="F1693" s="366" t="s">
        <v>23</v>
      </c>
      <c r="G1693" s="348" t="str">
        <f>"'"&amp;$C1693&amp;"'!$E$48:$Y$48"</f>
        <v>'BLD_CC'!$E$48:$Y$48</v>
      </c>
      <c r="H1693" s="381">
        <f ca="1">IF(IFERROR(INDEX(DATA_PROPERTY_MASTER!$E$5:$E$21,MATCH($C1693,DATA_PROPERTY_MASTER!$A$5:$A$21,0))="Yes",FALSE),IFERROR(INDEX(INDIRECT("'"&amp;$C1693&amp;"'!$E$48:$Y$48"),1,MATCH($D1693,INDIRECT("'"&amp;$C1693&amp;"'!$E$12:$Y$12"),0)),0),0)</f>
        <v>0</v>
      </c>
      <c r="I1693" s="366" t="s">
        <v>1690</v>
      </c>
      <c r="J1693" s="348" t="str">
        <f t="shared" ca="1" si="52"/>
        <v>OK</v>
      </c>
      <c r="K1693" s="366" t="s">
        <v>1706</v>
      </c>
      <c r="L1693" s="366" t="s">
        <v>2244</v>
      </c>
      <c r="M1693" s="350" t="str">
        <f>IF($B1693="Portfolio","Portfolio",IFERROR(INDEX(DATA_ASSET_CLASSIFICATION!$B$8:$B$24,MATCH($C1693,DATA_ASSET_CLASSIFICATION!$A$8:$A$24,0)),"Review"))</f>
        <v>Constance Court</v>
      </c>
      <c r="N1693" s="350" t="str">
        <f ca="1">IF($B1693="Portfolio","Portfolio",IFERROR(INDEX(DATA_ASSET_CLASSIFICATION!$U$8:$U$24,MATCH($C1693,DATA_ASSET_CLASSIFICATION!$A$8:$A$24,0)),"Review"))</f>
        <v>Refi Watch</v>
      </c>
      <c r="O1693" s="350" t="str">
        <f ca="1">IF($B1693="Portfolio","Portfolio",IFERROR(INDEX(DATA_ASSET_CLASSIFICATION!$AB$8:$AB$13,MATCH($N1693,DATA_ASSET_CLASSIFICATION!$AA$8:$AA$13,0)),"Review"))</f>
        <v>Bucket 2 · Legacy</v>
      </c>
      <c r="P1693" s="350" t="str">
        <f>IF($B1693="Portfolio","Portfolio",IFERROR(INDEX(DATA_ASSET_CLASSIFICATION!$C$8:$C$24,MATCH($C1693,DATA_ASSET_CLASSIFICATION!$A$8:$A$24,0)),"Review"))</f>
        <v>Yes</v>
      </c>
      <c r="Q1693" s="350" t="str">
        <f t="shared" ca="1" si="53"/>
        <v>OK</v>
      </c>
    </row>
    <row r="1694" spans="1:17">
      <c r="A1694" s="366" t="s">
        <v>3650</v>
      </c>
      <c r="B1694" s="366" t="s">
        <v>231</v>
      </c>
      <c r="C1694" s="348" t="str">
        <f>DATA_PROPERTY_MASTER!$A$9</f>
        <v>BLD_CC</v>
      </c>
      <c r="D1694" s="380">
        <f>'00_PORTFOLIO ROLLUP'!S$12</f>
        <v>2039</v>
      </c>
      <c r="E1694" s="366" t="s">
        <v>1683</v>
      </c>
      <c r="F1694" s="366" t="s">
        <v>25</v>
      </c>
      <c r="G1694" s="348" t="str">
        <f>"'"&amp;$C1694&amp;"'!$E$52:$Y$52"</f>
        <v>'BLD_CC'!$E$52:$Y$52</v>
      </c>
      <c r="H1694" s="381">
        <f ca="1">IF(IFERROR(INDEX(DATA_PROPERTY_MASTER!$E$5:$E$21,MATCH($C1694,DATA_PROPERTY_MASTER!$A$5:$A$21,0))="Yes",FALSE),IFERROR(INDEX(INDIRECT("'"&amp;$C1694&amp;"'!$E$52:$Y$52"),1,MATCH($D1694,INDIRECT("'"&amp;$C1694&amp;"'!$E$12:$Y$12"),0)),0),0)</f>
        <v>317801.9219525677</v>
      </c>
      <c r="I1694" s="366" t="s">
        <v>1685</v>
      </c>
      <c r="J1694" s="348" t="str">
        <f t="shared" ca="1" si="52"/>
        <v>OK</v>
      </c>
      <c r="K1694" s="366" t="s">
        <v>1710</v>
      </c>
      <c r="L1694" s="366" t="s">
        <v>2246</v>
      </c>
      <c r="M1694" s="350" t="str">
        <f>IF($B1694="Portfolio","Portfolio",IFERROR(INDEX(DATA_ASSET_CLASSIFICATION!$B$8:$B$24,MATCH($C1694,DATA_ASSET_CLASSIFICATION!$A$8:$A$24,0)),"Review"))</f>
        <v>Constance Court</v>
      </c>
      <c r="N1694" s="350" t="str">
        <f ca="1">IF($B1694="Portfolio","Portfolio",IFERROR(INDEX(DATA_ASSET_CLASSIFICATION!$U$8:$U$24,MATCH($C1694,DATA_ASSET_CLASSIFICATION!$A$8:$A$24,0)),"Review"))</f>
        <v>Refi Watch</v>
      </c>
      <c r="O1694" s="350" t="str">
        <f ca="1">IF($B1694="Portfolio","Portfolio",IFERROR(INDEX(DATA_ASSET_CLASSIFICATION!$AB$8:$AB$13,MATCH($N1694,DATA_ASSET_CLASSIFICATION!$AA$8:$AA$13,0)),"Review"))</f>
        <v>Bucket 2 · Legacy</v>
      </c>
      <c r="P1694" s="350" t="str">
        <f>IF($B1694="Portfolio","Portfolio",IFERROR(INDEX(DATA_ASSET_CLASSIFICATION!$C$8:$C$24,MATCH($C1694,DATA_ASSET_CLASSIFICATION!$A$8:$A$24,0)),"Review"))</f>
        <v>Yes</v>
      </c>
      <c r="Q1694" s="350" t="str">
        <f t="shared" ca="1" si="53"/>
        <v>OK</v>
      </c>
    </row>
    <row r="1695" spans="1:17">
      <c r="A1695" s="366" t="s">
        <v>3651</v>
      </c>
      <c r="B1695" s="366" t="s">
        <v>231</v>
      </c>
      <c r="C1695" s="348" t="str">
        <f>DATA_PROPERTY_MASTER!$A$9</f>
        <v>BLD_CC</v>
      </c>
      <c r="D1695" s="380">
        <f>'00_PORTFOLIO ROLLUP'!S$12</f>
        <v>2039</v>
      </c>
      <c r="E1695" s="366" t="s">
        <v>1683</v>
      </c>
      <c r="F1695" s="366" t="s">
        <v>27</v>
      </c>
      <c r="G1695" s="348" t="str">
        <f>"'"&amp;$C1695&amp;"'!$E$54:$Y$54"</f>
        <v>'BLD_CC'!$E$54:$Y$54</v>
      </c>
      <c r="H1695" s="381">
        <f ca="1">IF(IFERROR(INDEX(DATA_PROPERTY_MASTER!$E$5:$E$21,MATCH($C1695,DATA_PROPERTY_MASTER!$A$5:$A$21,0))="Yes",FALSE),IFERROR(INDEX(INDIRECT("'"&amp;$C1695&amp;"'!$E$54:$Y$54"),1,MATCH($D1695,INDIRECT("'"&amp;$C1695&amp;"'!$E$12:$Y$12"),0)),0),0)</f>
        <v>190681.15317154062</v>
      </c>
      <c r="I1695" s="366" t="s">
        <v>1690</v>
      </c>
      <c r="J1695" s="348" t="str">
        <f t="shared" ca="1" si="52"/>
        <v>OK</v>
      </c>
      <c r="K1695" s="366" t="s">
        <v>1714</v>
      </c>
      <c r="L1695" s="366" t="s">
        <v>2248</v>
      </c>
      <c r="M1695" s="350" t="str">
        <f>IF($B1695="Portfolio","Portfolio",IFERROR(INDEX(DATA_ASSET_CLASSIFICATION!$B$8:$B$24,MATCH($C1695,DATA_ASSET_CLASSIFICATION!$A$8:$A$24,0)),"Review"))</f>
        <v>Constance Court</v>
      </c>
      <c r="N1695" s="350" t="str">
        <f ca="1">IF($B1695="Portfolio","Portfolio",IFERROR(INDEX(DATA_ASSET_CLASSIFICATION!$U$8:$U$24,MATCH($C1695,DATA_ASSET_CLASSIFICATION!$A$8:$A$24,0)),"Review"))</f>
        <v>Refi Watch</v>
      </c>
      <c r="O1695" s="350" t="str">
        <f ca="1">IF($B1695="Portfolio","Portfolio",IFERROR(INDEX(DATA_ASSET_CLASSIFICATION!$AB$8:$AB$13,MATCH($N1695,DATA_ASSET_CLASSIFICATION!$AA$8:$AA$13,0)),"Review"))</f>
        <v>Bucket 2 · Legacy</v>
      </c>
      <c r="P1695" s="350" t="str">
        <f>IF($B1695="Portfolio","Portfolio",IFERROR(INDEX(DATA_ASSET_CLASSIFICATION!$C$8:$C$24,MATCH($C1695,DATA_ASSET_CLASSIFICATION!$A$8:$A$24,0)),"Review"))</f>
        <v>Yes</v>
      </c>
      <c r="Q1695" s="350" t="str">
        <f t="shared" ca="1" si="53"/>
        <v>OK</v>
      </c>
    </row>
    <row r="1696" spans="1:17">
      <c r="A1696" s="366" t="s">
        <v>3652</v>
      </c>
      <c r="B1696" s="366" t="s">
        <v>231</v>
      </c>
      <c r="C1696" s="348" t="str">
        <f>DATA_PROPERTY_MASTER!$A$9</f>
        <v>BLD_CC</v>
      </c>
      <c r="D1696" s="380">
        <f>'00_PORTFOLIO ROLLUP'!S$12</f>
        <v>2039</v>
      </c>
      <c r="E1696" s="366" t="s">
        <v>1683</v>
      </c>
      <c r="F1696" s="366" t="s">
        <v>29</v>
      </c>
      <c r="G1696" s="348" t="str">
        <f>"'"&amp;$C1696&amp;"'!$E$56:$Y$56"</f>
        <v>'BLD_CC'!$E$56:$Y$56</v>
      </c>
      <c r="H1696" s="381">
        <f ca="1">IF(IFERROR(INDEX(DATA_PROPERTY_MASTER!$E$5:$E$21,MATCH($C1696,DATA_PROPERTY_MASTER!$A$5:$A$21,0))="Yes",FALSE),IFERROR(INDEX(INDIRECT("'"&amp;$C1696&amp;"'!$E$56:$Y$56"),1,MATCH($D1696,INDIRECT("'"&amp;$C1696&amp;"'!$E$12:$Y$12"),0)),0),0)</f>
        <v>127120.76878102709</v>
      </c>
      <c r="I1696" s="366" t="s">
        <v>1685</v>
      </c>
      <c r="J1696" s="348" t="str">
        <f t="shared" ca="1" si="52"/>
        <v>OK</v>
      </c>
      <c r="K1696" s="366" t="s">
        <v>1718</v>
      </c>
      <c r="L1696" s="366" t="s">
        <v>2250</v>
      </c>
      <c r="M1696" s="350" t="str">
        <f>IF($B1696="Portfolio","Portfolio",IFERROR(INDEX(DATA_ASSET_CLASSIFICATION!$B$8:$B$24,MATCH($C1696,DATA_ASSET_CLASSIFICATION!$A$8:$A$24,0)),"Review"))</f>
        <v>Constance Court</v>
      </c>
      <c r="N1696" s="350" t="str">
        <f ca="1">IF($B1696="Portfolio","Portfolio",IFERROR(INDEX(DATA_ASSET_CLASSIFICATION!$U$8:$U$24,MATCH($C1696,DATA_ASSET_CLASSIFICATION!$A$8:$A$24,0)),"Review"))</f>
        <v>Refi Watch</v>
      </c>
      <c r="O1696" s="350" t="str">
        <f ca="1">IF($B1696="Portfolio","Portfolio",IFERROR(INDEX(DATA_ASSET_CLASSIFICATION!$AB$8:$AB$13,MATCH($N1696,DATA_ASSET_CLASSIFICATION!$AA$8:$AA$13,0)),"Review"))</f>
        <v>Bucket 2 · Legacy</v>
      </c>
      <c r="P1696" s="350" t="str">
        <f>IF($B1696="Portfolio","Portfolio",IFERROR(INDEX(DATA_ASSET_CLASSIFICATION!$C$8:$C$24,MATCH($C1696,DATA_ASSET_CLASSIFICATION!$A$8:$A$24,0)),"Review"))</f>
        <v>Yes</v>
      </c>
      <c r="Q1696" s="350" t="str">
        <f t="shared" ca="1" si="53"/>
        <v>OK</v>
      </c>
    </row>
    <row r="1697" spans="1:17">
      <c r="A1697" s="366" t="s">
        <v>3653</v>
      </c>
      <c r="B1697" s="366" t="s">
        <v>231</v>
      </c>
      <c r="C1697" s="348" t="str">
        <f>DATA_PROPERTY_MASTER!$A$9</f>
        <v>BLD_CC</v>
      </c>
      <c r="D1697" s="380">
        <f>'00_PORTFOLIO ROLLUP'!S$12</f>
        <v>2039</v>
      </c>
      <c r="E1697" s="366" t="s">
        <v>1721</v>
      </c>
      <c r="F1697" s="366" t="s">
        <v>31</v>
      </c>
      <c r="G1697" s="348" t="str">
        <f>"'"&amp;$C1697&amp;"'!$E$61:$Y$61"</f>
        <v>'BLD_CC'!$E$61:$Y$61</v>
      </c>
      <c r="H1697" s="381">
        <f ca="1">IF(IFERROR(INDEX(DATA_PROPERTY_MASTER!$E$5:$E$21,MATCH($C1697,DATA_PROPERTY_MASTER!$A$5:$A$21,0))="Yes",FALSE),IFERROR(INDEX(INDIRECT("'"&amp;$C1697&amp;"'!$E$61:$Y$61"),1,MATCH($D1697,INDIRECT("'"&amp;$C1697&amp;"'!$E$12:$Y$12"),0)),0),0)</f>
        <v>0</v>
      </c>
      <c r="I1697" s="366" t="s">
        <v>1690</v>
      </c>
      <c r="J1697" s="348" t="str">
        <f t="shared" ca="1" si="52"/>
        <v>OK</v>
      </c>
      <c r="K1697" s="366" t="s">
        <v>1723</v>
      </c>
      <c r="L1697" s="366" t="s">
        <v>2252</v>
      </c>
      <c r="M1697" s="350" t="str">
        <f>IF($B1697="Portfolio","Portfolio",IFERROR(INDEX(DATA_ASSET_CLASSIFICATION!$B$8:$B$24,MATCH($C1697,DATA_ASSET_CLASSIFICATION!$A$8:$A$24,0)),"Review"))</f>
        <v>Constance Court</v>
      </c>
      <c r="N1697" s="350" t="str">
        <f ca="1">IF($B1697="Portfolio","Portfolio",IFERROR(INDEX(DATA_ASSET_CLASSIFICATION!$U$8:$U$24,MATCH($C1697,DATA_ASSET_CLASSIFICATION!$A$8:$A$24,0)),"Review"))</f>
        <v>Refi Watch</v>
      </c>
      <c r="O1697" s="350" t="str">
        <f ca="1">IF($B1697="Portfolio","Portfolio",IFERROR(INDEX(DATA_ASSET_CLASSIFICATION!$AB$8:$AB$13,MATCH($N1697,DATA_ASSET_CLASSIFICATION!$AA$8:$AA$13,0)),"Review"))</f>
        <v>Bucket 2 · Legacy</v>
      </c>
      <c r="P1697" s="350" t="str">
        <f>IF($B1697="Portfolio","Portfolio",IFERROR(INDEX(DATA_ASSET_CLASSIFICATION!$C$8:$C$24,MATCH($C1697,DATA_ASSET_CLASSIFICATION!$A$8:$A$24,0)),"Review"))</f>
        <v>Yes</v>
      </c>
      <c r="Q1697" s="350" t="str">
        <f t="shared" ca="1" si="53"/>
        <v>OK</v>
      </c>
    </row>
    <row r="1698" spans="1:17">
      <c r="A1698" s="366" t="s">
        <v>3654</v>
      </c>
      <c r="B1698" s="366" t="s">
        <v>231</v>
      </c>
      <c r="C1698" s="348" t="str">
        <f>DATA_PROPERTY_MASTER!$A$9</f>
        <v>BLD_CC</v>
      </c>
      <c r="D1698" s="380">
        <f>'00_PORTFOLIO ROLLUP'!S$12</f>
        <v>2039</v>
      </c>
      <c r="E1698" s="366" t="s">
        <v>1721</v>
      </c>
      <c r="F1698" s="366" t="s">
        <v>33</v>
      </c>
      <c r="G1698" s="348" t="str">
        <f>"'"&amp;$C1698&amp;"'!$E$62:$Y$62"</f>
        <v>'BLD_CC'!$E$62:$Y$62</v>
      </c>
      <c r="H1698" s="381">
        <f ca="1">IF(IFERROR(INDEX(DATA_PROPERTY_MASTER!$E$5:$E$21,MATCH($C1698,DATA_PROPERTY_MASTER!$A$5:$A$21,0))="Yes",FALSE),IFERROR(INDEX(INDIRECT("'"&amp;$C1698&amp;"'!$E$62:$Y$62"),1,MATCH($D1698,INDIRECT("'"&amp;$C1698&amp;"'!$E$12:$Y$12"),0)),0),0)</f>
        <v>0</v>
      </c>
      <c r="I1698" s="366" t="s">
        <v>1685</v>
      </c>
      <c r="J1698" s="348" t="str">
        <f t="shared" ca="1" si="52"/>
        <v>OK</v>
      </c>
      <c r="K1698" s="366" t="s">
        <v>1727</v>
      </c>
      <c r="L1698" s="366" t="s">
        <v>2254</v>
      </c>
      <c r="M1698" s="350" t="str">
        <f>IF($B1698="Portfolio","Portfolio",IFERROR(INDEX(DATA_ASSET_CLASSIFICATION!$B$8:$B$24,MATCH($C1698,DATA_ASSET_CLASSIFICATION!$A$8:$A$24,0)),"Review"))</f>
        <v>Constance Court</v>
      </c>
      <c r="N1698" s="350" t="str">
        <f ca="1">IF($B1698="Portfolio","Portfolio",IFERROR(INDEX(DATA_ASSET_CLASSIFICATION!$U$8:$U$24,MATCH($C1698,DATA_ASSET_CLASSIFICATION!$A$8:$A$24,0)),"Review"))</f>
        <v>Refi Watch</v>
      </c>
      <c r="O1698" s="350" t="str">
        <f ca="1">IF($B1698="Portfolio","Portfolio",IFERROR(INDEX(DATA_ASSET_CLASSIFICATION!$AB$8:$AB$13,MATCH($N1698,DATA_ASSET_CLASSIFICATION!$AA$8:$AA$13,0)),"Review"))</f>
        <v>Bucket 2 · Legacy</v>
      </c>
      <c r="P1698" s="350" t="str">
        <f>IF($B1698="Portfolio","Portfolio",IFERROR(INDEX(DATA_ASSET_CLASSIFICATION!$C$8:$C$24,MATCH($C1698,DATA_ASSET_CLASSIFICATION!$A$8:$A$24,0)),"Review"))</f>
        <v>Yes</v>
      </c>
      <c r="Q1698" s="350" t="str">
        <f t="shared" ca="1" si="53"/>
        <v>OK</v>
      </c>
    </row>
    <row r="1699" spans="1:17">
      <c r="A1699" s="366" t="s">
        <v>3655</v>
      </c>
      <c r="B1699" s="366" t="s">
        <v>231</v>
      </c>
      <c r="C1699" s="348" t="str">
        <f>DATA_PROPERTY_MASTER!$A$9</f>
        <v>BLD_CC</v>
      </c>
      <c r="D1699" s="380">
        <f>'00_PORTFOLIO ROLLUP'!S$12</f>
        <v>2039</v>
      </c>
      <c r="E1699" s="366" t="s">
        <v>1721</v>
      </c>
      <c r="F1699" s="366" t="s">
        <v>35</v>
      </c>
      <c r="G1699" s="348" t="str">
        <f>"'"&amp;$C1699&amp;"'!$E$63:$Y$63"</f>
        <v>'BLD_CC'!$E$63:$Y$63</v>
      </c>
      <c r="H1699" s="381">
        <f ca="1">IF(IFERROR(INDEX(DATA_PROPERTY_MASTER!$E$5:$E$21,MATCH($C1699,DATA_PROPERTY_MASTER!$A$5:$A$21,0))="Yes",FALSE),IFERROR(INDEX(INDIRECT("'"&amp;$C1699&amp;"'!$E$63:$Y$63"),1,MATCH($D1699,INDIRECT("'"&amp;$C1699&amp;"'!$E$12:$Y$12"),0)),0),0)</f>
        <v>0</v>
      </c>
      <c r="I1699" s="366" t="s">
        <v>1731</v>
      </c>
      <c r="J1699" s="348" t="str">
        <f t="shared" ca="1" si="52"/>
        <v>OK</v>
      </c>
      <c r="K1699" s="366" t="s">
        <v>1732</v>
      </c>
      <c r="L1699" s="366" t="s">
        <v>2256</v>
      </c>
      <c r="M1699" s="350" t="str">
        <f>IF($B1699="Portfolio","Portfolio",IFERROR(INDEX(DATA_ASSET_CLASSIFICATION!$B$8:$B$24,MATCH($C1699,DATA_ASSET_CLASSIFICATION!$A$8:$A$24,0)),"Review"))</f>
        <v>Constance Court</v>
      </c>
      <c r="N1699" s="350" t="str">
        <f ca="1">IF($B1699="Portfolio","Portfolio",IFERROR(INDEX(DATA_ASSET_CLASSIFICATION!$U$8:$U$24,MATCH($C1699,DATA_ASSET_CLASSIFICATION!$A$8:$A$24,0)),"Review"))</f>
        <v>Refi Watch</v>
      </c>
      <c r="O1699" s="350" t="str">
        <f ca="1">IF($B1699="Portfolio","Portfolio",IFERROR(INDEX(DATA_ASSET_CLASSIFICATION!$AB$8:$AB$13,MATCH($N1699,DATA_ASSET_CLASSIFICATION!$AA$8:$AA$13,0)),"Review"))</f>
        <v>Bucket 2 · Legacy</v>
      </c>
      <c r="P1699" s="350" t="str">
        <f>IF($B1699="Portfolio","Portfolio",IFERROR(INDEX(DATA_ASSET_CLASSIFICATION!$C$8:$C$24,MATCH($C1699,DATA_ASSET_CLASSIFICATION!$A$8:$A$24,0)),"Review"))</f>
        <v>Yes</v>
      </c>
      <c r="Q1699" s="350" t="str">
        <f t="shared" ca="1" si="53"/>
        <v>OK</v>
      </c>
    </row>
    <row r="1700" spans="1:17">
      <c r="A1700" s="366" t="s">
        <v>3656</v>
      </c>
      <c r="B1700" s="366" t="s">
        <v>231</v>
      </c>
      <c r="C1700" s="348" t="str">
        <f>DATA_PROPERTY_MASTER!$A$9</f>
        <v>BLD_CC</v>
      </c>
      <c r="D1700" s="380">
        <f>'00_PORTFOLIO ROLLUP'!S$12</f>
        <v>2039</v>
      </c>
      <c r="E1700" s="366" t="s">
        <v>1721</v>
      </c>
      <c r="F1700" s="366" t="s">
        <v>37</v>
      </c>
      <c r="G1700" s="348" t="str">
        <f>"'"&amp;$C1700&amp;"'!$E$63:$Y$63"</f>
        <v>'BLD_CC'!$E$63:$Y$63</v>
      </c>
      <c r="H1700" s="381">
        <f ca="1">IF(IFERROR(INDEX(DATA_PROPERTY_MASTER!$E$5:$E$21,MATCH($C1700,DATA_PROPERTY_MASTER!$A$5:$A$21,0))="Yes",FALSE),MAX(IFERROR(INDEX(INDIRECT("'"&amp;$C1700&amp;"'!$E$63:$Y$63"),1,MATCH($D1700,INDIRECT("'"&amp;$C1700&amp;"'!$E$12:$Y$12"),0)),0),0),0)</f>
        <v>0</v>
      </c>
      <c r="I1700" s="366" t="s">
        <v>1685</v>
      </c>
      <c r="J1700" s="348" t="str">
        <f t="shared" ca="1" si="52"/>
        <v>OK</v>
      </c>
      <c r="K1700" s="366" t="s">
        <v>1735</v>
      </c>
      <c r="L1700" s="366" t="s">
        <v>2258</v>
      </c>
      <c r="M1700" s="350" t="str">
        <f>IF($B1700="Portfolio","Portfolio",IFERROR(INDEX(DATA_ASSET_CLASSIFICATION!$B$8:$B$24,MATCH($C1700,DATA_ASSET_CLASSIFICATION!$A$8:$A$24,0)),"Review"))</f>
        <v>Constance Court</v>
      </c>
      <c r="N1700" s="350" t="str">
        <f ca="1">IF($B1700="Portfolio","Portfolio",IFERROR(INDEX(DATA_ASSET_CLASSIFICATION!$U$8:$U$24,MATCH($C1700,DATA_ASSET_CLASSIFICATION!$A$8:$A$24,0)),"Review"))</f>
        <v>Refi Watch</v>
      </c>
      <c r="O1700" s="350" t="str">
        <f ca="1">IF($B1700="Portfolio","Portfolio",IFERROR(INDEX(DATA_ASSET_CLASSIFICATION!$AB$8:$AB$13,MATCH($N1700,DATA_ASSET_CLASSIFICATION!$AA$8:$AA$13,0)),"Review"))</f>
        <v>Bucket 2 · Legacy</v>
      </c>
      <c r="P1700" s="350" t="str">
        <f>IF($B1700="Portfolio","Portfolio",IFERROR(INDEX(DATA_ASSET_CLASSIFICATION!$C$8:$C$24,MATCH($C1700,DATA_ASSET_CLASSIFICATION!$A$8:$A$24,0)),"Review"))</f>
        <v>Yes</v>
      </c>
      <c r="Q1700" s="350" t="str">
        <f t="shared" ca="1" si="53"/>
        <v>OK</v>
      </c>
    </row>
    <row r="1701" spans="1:17">
      <c r="A1701" s="366" t="s">
        <v>3657</v>
      </c>
      <c r="B1701" s="366" t="s">
        <v>231</v>
      </c>
      <c r="C1701" s="348" t="str">
        <f>DATA_PROPERTY_MASTER!$A$9</f>
        <v>BLD_CC</v>
      </c>
      <c r="D1701" s="380">
        <f>'00_PORTFOLIO ROLLUP'!S$12</f>
        <v>2039</v>
      </c>
      <c r="E1701" s="366" t="s">
        <v>1721</v>
      </c>
      <c r="F1701" s="366" t="s">
        <v>39</v>
      </c>
      <c r="G1701" s="348" t="str">
        <f>"'"&amp;$C1701&amp;"'!$E$63:$Y$63"</f>
        <v>'BLD_CC'!$E$63:$Y$63</v>
      </c>
      <c r="H1701" s="381">
        <f ca="1">IF(IFERROR(INDEX(DATA_PROPERTY_MASTER!$E$5:$E$21,MATCH($C1701,DATA_PROPERTY_MASTER!$A$5:$A$21,0))="Yes",FALSE),MAX(-IFERROR(INDEX(INDIRECT("'"&amp;$C1701&amp;"'!$E$63:$Y$63"),1,MATCH($D1701,INDIRECT("'"&amp;$C1701&amp;"'!$E$12:$Y$12"),0)),0),0),0)</f>
        <v>0</v>
      </c>
      <c r="I1701" s="366" t="s">
        <v>1690</v>
      </c>
      <c r="J1701" s="348" t="str">
        <f t="shared" ca="1" si="52"/>
        <v>OK</v>
      </c>
      <c r="K1701" s="366" t="s">
        <v>1738</v>
      </c>
      <c r="L1701" s="366" t="s">
        <v>2260</v>
      </c>
      <c r="M1701" s="350" t="str">
        <f>IF($B1701="Portfolio","Portfolio",IFERROR(INDEX(DATA_ASSET_CLASSIFICATION!$B$8:$B$24,MATCH($C1701,DATA_ASSET_CLASSIFICATION!$A$8:$A$24,0)),"Review"))</f>
        <v>Constance Court</v>
      </c>
      <c r="N1701" s="350" t="str">
        <f ca="1">IF($B1701="Portfolio","Portfolio",IFERROR(INDEX(DATA_ASSET_CLASSIFICATION!$U$8:$U$24,MATCH($C1701,DATA_ASSET_CLASSIFICATION!$A$8:$A$24,0)),"Review"))</f>
        <v>Refi Watch</v>
      </c>
      <c r="O1701" s="350" t="str">
        <f ca="1">IF($B1701="Portfolio","Portfolio",IFERROR(INDEX(DATA_ASSET_CLASSIFICATION!$AB$8:$AB$13,MATCH($N1701,DATA_ASSET_CLASSIFICATION!$AA$8:$AA$13,0)),"Review"))</f>
        <v>Bucket 2 · Legacy</v>
      </c>
      <c r="P1701" s="350" t="str">
        <f>IF($B1701="Portfolio","Portfolio",IFERROR(INDEX(DATA_ASSET_CLASSIFICATION!$C$8:$C$24,MATCH($C1701,DATA_ASSET_CLASSIFICATION!$A$8:$A$24,0)),"Review"))</f>
        <v>Yes</v>
      </c>
      <c r="Q1701" s="350" t="str">
        <f t="shared" ca="1" si="53"/>
        <v>OK</v>
      </c>
    </row>
    <row r="1702" spans="1:17">
      <c r="A1702" s="366" t="s">
        <v>3658</v>
      </c>
      <c r="B1702" s="366" t="s">
        <v>231</v>
      </c>
      <c r="C1702" s="348" t="str">
        <f>DATA_PROPERTY_MASTER!$A$9</f>
        <v>BLD_CC</v>
      </c>
      <c r="D1702" s="380">
        <f>'00_PORTFOLIO ROLLUP'!S$12</f>
        <v>2039</v>
      </c>
      <c r="E1702" s="366" t="s">
        <v>1741</v>
      </c>
      <c r="F1702" s="366" t="s">
        <v>41</v>
      </c>
      <c r="G1702" s="348" t="str">
        <f>"'"&amp;$C1702&amp;"'!rows 56 + positive row 63"</f>
        <v>'BLD_CC'!rows 56 + positive row 63</v>
      </c>
      <c r="H1702" s="381">
        <f ca="1">IF(IFERROR(INDEX(DATA_PROPERTY_MASTER!$E$5:$E$21,MATCH($C1702,DATA_PROPERTY_MASTER!$A$5:$A$21,0))="Yes",FALSE),IFERROR(INDEX(INDIRECT("'"&amp;$C1702&amp;"'!$E$56:$Y$56"),1,MATCH($D1702,INDIRECT("'"&amp;$C1702&amp;"'!$E$12:$Y$12"),0)),0)+MAX(IFERROR(INDEX(INDIRECT("'"&amp;$C1702&amp;"'!$E$63:$Y$63"),1,MATCH($D1702,INDIRECT("'"&amp;$C1702&amp;"'!$E$12:$Y$12"),0)),0),0),0)</f>
        <v>127120.76878102709</v>
      </c>
      <c r="I1702" s="366" t="s">
        <v>1685</v>
      </c>
      <c r="J1702" s="348" t="str">
        <f t="shared" ca="1" si="52"/>
        <v>OK</v>
      </c>
      <c r="K1702" s="366" t="s">
        <v>1742</v>
      </c>
      <c r="L1702" s="366" t="s">
        <v>2262</v>
      </c>
      <c r="M1702" s="350" t="str">
        <f>IF($B1702="Portfolio","Portfolio",IFERROR(INDEX(DATA_ASSET_CLASSIFICATION!$B$8:$B$24,MATCH($C1702,DATA_ASSET_CLASSIFICATION!$A$8:$A$24,0)),"Review"))</f>
        <v>Constance Court</v>
      </c>
      <c r="N1702" s="350" t="str">
        <f ca="1">IF($B1702="Portfolio","Portfolio",IFERROR(INDEX(DATA_ASSET_CLASSIFICATION!$U$8:$U$24,MATCH($C1702,DATA_ASSET_CLASSIFICATION!$A$8:$A$24,0)),"Review"))</f>
        <v>Refi Watch</v>
      </c>
      <c r="O1702" s="350" t="str">
        <f ca="1">IF($B1702="Portfolio","Portfolio",IFERROR(INDEX(DATA_ASSET_CLASSIFICATION!$AB$8:$AB$13,MATCH($N1702,DATA_ASSET_CLASSIFICATION!$AA$8:$AA$13,0)),"Review"))</f>
        <v>Bucket 2 · Legacy</v>
      </c>
      <c r="P1702" s="350" t="str">
        <f>IF($B1702="Portfolio","Portfolio",IFERROR(INDEX(DATA_ASSET_CLASSIFICATION!$C$8:$C$24,MATCH($C1702,DATA_ASSET_CLASSIFICATION!$A$8:$A$24,0)),"Review"))</f>
        <v>Yes</v>
      </c>
      <c r="Q1702" s="350" t="str">
        <f t="shared" ca="1" si="53"/>
        <v>OK</v>
      </c>
    </row>
    <row r="1703" spans="1:17">
      <c r="A1703" s="366" t="s">
        <v>3659</v>
      </c>
      <c r="B1703" s="366" t="s">
        <v>231</v>
      </c>
      <c r="C1703" s="348" t="str">
        <f>DATA_PROPERTY_MASTER!$A$9</f>
        <v>BLD_CC</v>
      </c>
      <c r="D1703" s="380">
        <f>'00_PORTFOLIO ROLLUP'!S$12</f>
        <v>2039</v>
      </c>
      <c r="E1703" s="366" t="s">
        <v>1741</v>
      </c>
      <c r="F1703" s="366" t="s">
        <v>43</v>
      </c>
      <c r="G1703" s="348" t="str">
        <f>"'"&amp;$C1703&amp;"'!$E$68:$Y$68"</f>
        <v>'BLD_CC'!$E$68:$Y$68</v>
      </c>
      <c r="H1703" s="381">
        <f ca="1">IF(IFERROR(INDEX(DATA_PROPERTY_MASTER!$E$5:$E$21,MATCH($C1703,DATA_PROPERTY_MASTER!$A$5:$A$21,0))="Yes",FALSE),IFERROR(INDEX(INDIRECT("'"&amp;$C1703&amp;"'!$E$68:$Y$68"),1,MATCH($D1703,INDIRECT("'"&amp;$C1703&amp;"'!$E$12:$Y$12"),0)),0),0)</f>
        <v>127120.76878102709</v>
      </c>
      <c r="I1703" s="366" t="s">
        <v>1731</v>
      </c>
      <c r="J1703" s="348" t="str">
        <f t="shared" ca="1" si="52"/>
        <v>OK</v>
      </c>
      <c r="K1703" s="366" t="s">
        <v>1746</v>
      </c>
      <c r="L1703" s="366" t="s">
        <v>2264</v>
      </c>
      <c r="M1703" s="350" t="str">
        <f>IF($B1703="Portfolio","Portfolio",IFERROR(INDEX(DATA_ASSET_CLASSIFICATION!$B$8:$B$24,MATCH($C1703,DATA_ASSET_CLASSIFICATION!$A$8:$A$24,0)),"Review"))</f>
        <v>Constance Court</v>
      </c>
      <c r="N1703" s="350" t="str">
        <f ca="1">IF($B1703="Portfolio","Portfolio",IFERROR(INDEX(DATA_ASSET_CLASSIFICATION!$U$8:$U$24,MATCH($C1703,DATA_ASSET_CLASSIFICATION!$A$8:$A$24,0)),"Review"))</f>
        <v>Refi Watch</v>
      </c>
      <c r="O1703" s="350" t="str">
        <f ca="1">IF($B1703="Portfolio","Portfolio",IFERROR(INDEX(DATA_ASSET_CLASSIFICATION!$AB$8:$AB$13,MATCH($N1703,DATA_ASSET_CLASSIFICATION!$AA$8:$AA$13,0)),"Review"))</f>
        <v>Bucket 2 · Legacy</v>
      </c>
      <c r="P1703" s="350" t="str">
        <f>IF($B1703="Portfolio","Portfolio",IFERROR(INDEX(DATA_ASSET_CLASSIFICATION!$C$8:$C$24,MATCH($C1703,DATA_ASSET_CLASSIFICATION!$A$8:$A$24,0)),"Review"))</f>
        <v>Yes</v>
      </c>
      <c r="Q1703" s="350" t="str">
        <f t="shared" ca="1" si="53"/>
        <v>OK</v>
      </c>
    </row>
    <row r="1704" spans="1:17">
      <c r="A1704" s="366" t="s">
        <v>3660</v>
      </c>
      <c r="B1704" s="366" t="s">
        <v>231</v>
      </c>
      <c r="C1704" s="348" t="str">
        <f>DATA_PROPERTY_MASTER!$A$9</f>
        <v>BLD_CC</v>
      </c>
      <c r="D1704" s="380">
        <f>'00_PORTFOLIO ROLLUP'!S$12</f>
        <v>2039</v>
      </c>
      <c r="E1704" s="366" t="s">
        <v>1741</v>
      </c>
      <c r="F1704" s="366" t="s">
        <v>1749</v>
      </c>
      <c r="G1704" s="348" t="str">
        <f>"'"&amp;$C1704&amp;"'!rows 56, 63, 68"</f>
        <v>'BLD_CC'!rows 56, 63, 68</v>
      </c>
      <c r="H1704" s="381">
        <f ca="1">IF(IFERROR(INDEX(DATA_PROPERTY_MASTER!$E$5:$E$21,MATCH($C1704,DATA_PROPERTY_MASTER!$A$5:$A$21,0))="Yes",FALSE),(IFERROR(INDEX(INDIRECT("'"&amp;$C1704&amp;"'!$E$56:$Y$56"),1,MATCH($D1704,INDIRECT("'"&amp;$C1704&amp;"'!$E$12:$Y$12"),0)),0)+MAX(IFERROR(INDEX(INDIRECT("'"&amp;$C1704&amp;"'!$E$63:$Y$63"),1,MATCH($D1704,INDIRECT("'"&amp;$C1704&amp;"'!$E$12:$Y$12"),0)),0),0))-(IFERROR(INDEX(INDIRECT("'"&amp;$C1704&amp;"'!$E$68:$Y$68"),1,MATCH($D1704,INDIRECT("'"&amp;$C1704&amp;"'!$E$12:$Y$12"),0)),0)),0)</f>
        <v>0</v>
      </c>
      <c r="I1704" s="366" t="s">
        <v>1750</v>
      </c>
      <c r="J1704" s="348" t="str">
        <f t="shared" ca="1" si="52"/>
        <v>OK</v>
      </c>
      <c r="K1704" s="366" t="s">
        <v>1751</v>
      </c>
      <c r="L1704" s="366" t="s">
        <v>2266</v>
      </c>
      <c r="M1704" s="350" t="str">
        <f>IF($B1704="Portfolio","Portfolio",IFERROR(INDEX(DATA_ASSET_CLASSIFICATION!$B$8:$B$24,MATCH($C1704,DATA_ASSET_CLASSIFICATION!$A$8:$A$24,0)),"Review"))</f>
        <v>Constance Court</v>
      </c>
      <c r="N1704" s="350" t="str">
        <f ca="1">IF($B1704="Portfolio","Portfolio",IFERROR(INDEX(DATA_ASSET_CLASSIFICATION!$U$8:$U$24,MATCH($C1704,DATA_ASSET_CLASSIFICATION!$A$8:$A$24,0)),"Review"))</f>
        <v>Refi Watch</v>
      </c>
      <c r="O1704" s="350" t="str">
        <f ca="1">IF($B1704="Portfolio","Portfolio",IFERROR(INDEX(DATA_ASSET_CLASSIFICATION!$AB$8:$AB$13,MATCH($N1704,DATA_ASSET_CLASSIFICATION!$AA$8:$AA$13,0)),"Review"))</f>
        <v>Bucket 2 · Legacy</v>
      </c>
      <c r="P1704" s="350" t="str">
        <f>IF($B1704="Portfolio","Portfolio",IFERROR(INDEX(DATA_ASSET_CLASSIFICATION!$C$8:$C$24,MATCH($C1704,DATA_ASSET_CLASSIFICATION!$A$8:$A$24,0)),"Review"))</f>
        <v>Yes</v>
      </c>
      <c r="Q1704" s="350" t="str">
        <f t="shared" ca="1" si="53"/>
        <v>OK</v>
      </c>
    </row>
    <row r="1705" spans="1:17">
      <c r="A1705" s="366" t="s">
        <v>3661</v>
      </c>
      <c r="B1705" s="366" t="s">
        <v>231</v>
      </c>
      <c r="C1705" s="348" t="str">
        <f>DATA_PROPERTY_MASTER!$A$9</f>
        <v>BLD_CC</v>
      </c>
      <c r="D1705" s="380">
        <f>'00_PORTFOLIO ROLLUP'!T$12</f>
        <v>2040</v>
      </c>
      <c r="E1705" s="366" t="s">
        <v>1683</v>
      </c>
      <c r="F1705" s="366" t="s">
        <v>341</v>
      </c>
      <c r="G1705" s="348" t="str">
        <f>"'"&amp;$C1705&amp;"'!$E$24:$Y$24"</f>
        <v>'BLD_CC'!$E$24:$Y$24</v>
      </c>
      <c r="H1705" s="381">
        <f ca="1">IF(IFERROR(INDEX(DATA_PROPERTY_MASTER!$E$5:$E$21,MATCH($C1705,DATA_PROPERTY_MASTER!$A$5:$A$21,0))="Yes",FALSE),IFERROR(INDEX(INDIRECT("'"&amp;$C1705&amp;"'!$E$24:$Y$24"),1,MATCH($D1705,INDIRECT("'"&amp;$C1705&amp;"'!$E$12:$Y$12"),0)),0),0)</f>
        <v>663678.71873498347</v>
      </c>
      <c r="I1705" s="366" t="s">
        <v>1685</v>
      </c>
      <c r="J1705" s="348" t="str">
        <f t="shared" ca="1" si="52"/>
        <v>OK</v>
      </c>
      <c r="K1705" s="366" t="s">
        <v>1686</v>
      </c>
      <c r="L1705" s="366" t="s">
        <v>2234</v>
      </c>
      <c r="M1705" s="350" t="str">
        <f>IF($B1705="Portfolio","Portfolio",IFERROR(INDEX(DATA_ASSET_CLASSIFICATION!$B$8:$B$24,MATCH($C1705,DATA_ASSET_CLASSIFICATION!$A$8:$A$24,0)),"Review"))</f>
        <v>Constance Court</v>
      </c>
      <c r="N1705" s="350" t="str">
        <f ca="1">IF($B1705="Portfolio","Portfolio",IFERROR(INDEX(DATA_ASSET_CLASSIFICATION!$U$8:$U$24,MATCH($C1705,DATA_ASSET_CLASSIFICATION!$A$8:$A$24,0)),"Review"))</f>
        <v>Refi Watch</v>
      </c>
      <c r="O1705" s="350" t="str">
        <f ca="1">IF($B1705="Portfolio","Portfolio",IFERROR(INDEX(DATA_ASSET_CLASSIFICATION!$AB$8:$AB$13,MATCH($N1705,DATA_ASSET_CLASSIFICATION!$AA$8:$AA$13,0)),"Review"))</f>
        <v>Bucket 2 · Legacy</v>
      </c>
      <c r="P1705" s="350" t="str">
        <f>IF($B1705="Portfolio","Portfolio",IFERROR(INDEX(DATA_ASSET_CLASSIFICATION!$C$8:$C$24,MATCH($C1705,DATA_ASSET_CLASSIFICATION!$A$8:$A$24,0)),"Review"))</f>
        <v>Yes</v>
      </c>
      <c r="Q1705" s="350" t="str">
        <f t="shared" ca="1" si="53"/>
        <v>OK</v>
      </c>
    </row>
    <row r="1706" spans="1:17">
      <c r="A1706" s="366" t="s">
        <v>3662</v>
      </c>
      <c r="B1706" s="366" t="s">
        <v>231</v>
      </c>
      <c r="C1706" s="348" t="str">
        <f>DATA_PROPERTY_MASTER!$A$9</f>
        <v>BLD_CC</v>
      </c>
      <c r="D1706" s="380">
        <f>'00_PORTFOLIO ROLLUP'!T$12</f>
        <v>2040</v>
      </c>
      <c r="E1706" s="366" t="s">
        <v>1683</v>
      </c>
      <c r="F1706" s="366" t="s">
        <v>355</v>
      </c>
      <c r="G1706" s="348" t="str">
        <f>"'"&amp;$C1706&amp;"'!$E$39:$Y$39"</f>
        <v>'BLD_CC'!$E$39:$Y$39</v>
      </c>
      <c r="H1706" s="381">
        <f ca="1">IF(IFERROR(INDEX(DATA_PROPERTY_MASTER!$E$5:$E$21,MATCH($C1706,DATA_PROPERTY_MASTER!$A$5:$A$21,0))="Yes",FALSE),IFERROR(INDEX(INDIRECT("'"&amp;$C1706&amp;"'!$E$39:$Y$39"),1,MATCH($D1706,INDIRECT("'"&amp;$C1706&amp;"'!$E$12:$Y$12"),0)),0),0)</f>
        <v>341185.0757862241</v>
      </c>
      <c r="I1706" s="366" t="s">
        <v>1690</v>
      </c>
      <c r="J1706" s="348" t="str">
        <f t="shared" ca="1" si="52"/>
        <v>OK</v>
      </c>
      <c r="K1706" s="366" t="s">
        <v>1686</v>
      </c>
      <c r="L1706" s="366" t="s">
        <v>2236</v>
      </c>
      <c r="M1706" s="350" t="str">
        <f>IF($B1706="Portfolio","Portfolio",IFERROR(INDEX(DATA_ASSET_CLASSIFICATION!$B$8:$B$24,MATCH($C1706,DATA_ASSET_CLASSIFICATION!$A$8:$A$24,0)),"Review"))</f>
        <v>Constance Court</v>
      </c>
      <c r="N1706" s="350" t="str">
        <f ca="1">IF($B1706="Portfolio","Portfolio",IFERROR(INDEX(DATA_ASSET_CLASSIFICATION!$U$8:$U$24,MATCH($C1706,DATA_ASSET_CLASSIFICATION!$A$8:$A$24,0)),"Review"))</f>
        <v>Refi Watch</v>
      </c>
      <c r="O1706" s="350" t="str">
        <f ca="1">IF($B1706="Portfolio","Portfolio",IFERROR(INDEX(DATA_ASSET_CLASSIFICATION!$AB$8:$AB$13,MATCH($N1706,DATA_ASSET_CLASSIFICATION!$AA$8:$AA$13,0)),"Review"))</f>
        <v>Bucket 2 · Legacy</v>
      </c>
      <c r="P1706" s="350" t="str">
        <f>IF($B1706="Portfolio","Portfolio",IFERROR(INDEX(DATA_ASSET_CLASSIFICATION!$C$8:$C$24,MATCH($C1706,DATA_ASSET_CLASSIFICATION!$A$8:$A$24,0)),"Review"))</f>
        <v>Yes</v>
      </c>
      <c r="Q1706" s="350" t="str">
        <f t="shared" ca="1" si="53"/>
        <v>OK</v>
      </c>
    </row>
    <row r="1707" spans="1:17">
      <c r="A1707" s="366" t="s">
        <v>3663</v>
      </c>
      <c r="B1707" s="366" t="s">
        <v>231</v>
      </c>
      <c r="C1707" s="348" t="str">
        <f>DATA_PROPERTY_MASTER!$A$9</f>
        <v>BLD_CC</v>
      </c>
      <c r="D1707" s="380">
        <f>'00_PORTFOLIO ROLLUP'!T$12</f>
        <v>2040</v>
      </c>
      <c r="E1707" s="366" t="s">
        <v>1683</v>
      </c>
      <c r="F1707" s="366" t="s">
        <v>19</v>
      </c>
      <c r="G1707" s="348" t="str">
        <f>"'"&amp;$C1707&amp;"'!$E$41:$Y$41"</f>
        <v>'BLD_CC'!$E$41:$Y$41</v>
      </c>
      <c r="H1707" s="381">
        <f ca="1">IF(IFERROR(INDEX(DATA_PROPERTY_MASTER!$E$5:$E$21,MATCH($C1707,DATA_PROPERTY_MASTER!$A$5:$A$21,0))="Yes",FALSE),IFERROR(INDEX(INDIRECT("'"&amp;$C1707&amp;"'!$E$41:$Y$41"),1,MATCH($D1707,INDIRECT("'"&amp;$C1707&amp;"'!$E$12:$Y$12"),0)),0),0)</f>
        <v>322493.64294875937</v>
      </c>
      <c r="I1707" s="366" t="s">
        <v>1685</v>
      </c>
      <c r="J1707" s="348" t="str">
        <f t="shared" ca="1" si="52"/>
        <v>OK</v>
      </c>
      <c r="K1707" s="366" t="s">
        <v>1694</v>
      </c>
      <c r="L1707" s="366" t="s">
        <v>2238</v>
      </c>
      <c r="M1707" s="350" t="str">
        <f>IF($B1707="Portfolio","Portfolio",IFERROR(INDEX(DATA_ASSET_CLASSIFICATION!$B$8:$B$24,MATCH($C1707,DATA_ASSET_CLASSIFICATION!$A$8:$A$24,0)),"Review"))</f>
        <v>Constance Court</v>
      </c>
      <c r="N1707" s="350" t="str">
        <f ca="1">IF($B1707="Portfolio","Portfolio",IFERROR(INDEX(DATA_ASSET_CLASSIFICATION!$U$8:$U$24,MATCH($C1707,DATA_ASSET_CLASSIFICATION!$A$8:$A$24,0)),"Review"))</f>
        <v>Refi Watch</v>
      </c>
      <c r="O1707" s="350" t="str">
        <f ca="1">IF($B1707="Portfolio","Portfolio",IFERROR(INDEX(DATA_ASSET_CLASSIFICATION!$AB$8:$AB$13,MATCH($N1707,DATA_ASSET_CLASSIFICATION!$AA$8:$AA$13,0)),"Review"))</f>
        <v>Bucket 2 · Legacy</v>
      </c>
      <c r="P1707" s="350" t="str">
        <f>IF($B1707="Portfolio","Portfolio",IFERROR(INDEX(DATA_ASSET_CLASSIFICATION!$C$8:$C$24,MATCH($C1707,DATA_ASSET_CLASSIFICATION!$A$8:$A$24,0)),"Review"))</f>
        <v>Yes</v>
      </c>
      <c r="Q1707" s="350" t="str">
        <f t="shared" ca="1" si="53"/>
        <v>OK</v>
      </c>
    </row>
    <row r="1708" spans="1:17">
      <c r="A1708" s="366" t="s">
        <v>3664</v>
      </c>
      <c r="B1708" s="366" t="s">
        <v>231</v>
      </c>
      <c r="C1708" s="348" t="str">
        <f>DATA_PROPERTY_MASTER!$A$9</f>
        <v>BLD_CC</v>
      </c>
      <c r="D1708" s="380">
        <f>'00_PORTFOLIO ROLLUP'!T$12</f>
        <v>2040</v>
      </c>
      <c r="E1708" s="366" t="s">
        <v>1683</v>
      </c>
      <c r="F1708" s="366" t="s">
        <v>1697</v>
      </c>
      <c r="G1708" s="348" t="str">
        <f>"'"&amp;$C1708&amp;"'!$E$44:$Y$44"</f>
        <v>'BLD_CC'!$E$44:$Y$44</v>
      </c>
      <c r="H1708" s="381">
        <f ca="1">IF(IFERROR(INDEX(DATA_PROPERTY_MASTER!$E$5:$E$21,MATCH($C1708,DATA_PROPERTY_MASTER!$A$5:$A$21,0))="Yes",FALSE),IFERROR(INDEX(INDIRECT("'"&amp;$C1708&amp;"'!$E$44:$Y$44"),1,MATCH($D1708,INDIRECT("'"&amp;$C1708&amp;"'!$E$12:$Y$12"),0)),0),0)</f>
        <v>6863.9285254530587</v>
      </c>
      <c r="I1708" s="366" t="s">
        <v>1690</v>
      </c>
      <c r="J1708" s="348" t="str">
        <f t="shared" ca="1" si="52"/>
        <v>OK</v>
      </c>
      <c r="K1708" s="366" t="s">
        <v>1699</v>
      </c>
      <c r="L1708" s="366" t="s">
        <v>2240</v>
      </c>
      <c r="M1708" s="350" t="str">
        <f>IF($B1708="Portfolio","Portfolio",IFERROR(INDEX(DATA_ASSET_CLASSIFICATION!$B$8:$B$24,MATCH($C1708,DATA_ASSET_CLASSIFICATION!$A$8:$A$24,0)),"Review"))</f>
        <v>Constance Court</v>
      </c>
      <c r="N1708" s="350" t="str">
        <f ca="1">IF($B1708="Portfolio","Portfolio",IFERROR(INDEX(DATA_ASSET_CLASSIFICATION!$U$8:$U$24,MATCH($C1708,DATA_ASSET_CLASSIFICATION!$A$8:$A$24,0)),"Review"))</f>
        <v>Refi Watch</v>
      </c>
      <c r="O1708" s="350" t="str">
        <f ca="1">IF($B1708="Portfolio","Portfolio",IFERROR(INDEX(DATA_ASSET_CLASSIFICATION!$AB$8:$AB$13,MATCH($N1708,DATA_ASSET_CLASSIFICATION!$AA$8:$AA$13,0)),"Review"))</f>
        <v>Bucket 2 · Legacy</v>
      </c>
      <c r="P1708" s="350" t="str">
        <f>IF($B1708="Portfolio","Portfolio",IFERROR(INDEX(DATA_ASSET_CLASSIFICATION!$C$8:$C$24,MATCH($C1708,DATA_ASSET_CLASSIFICATION!$A$8:$A$24,0)),"Review"))</f>
        <v>Yes</v>
      </c>
      <c r="Q1708" s="350" t="str">
        <f t="shared" ca="1" si="53"/>
        <v>OK</v>
      </c>
    </row>
    <row r="1709" spans="1:17">
      <c r="A1709" s="366" t="s">
        <v>3665</v>
      </c>
      <c r="B1709" s="366" t="s">
        <v>231</v>
      </c>
      <c r="C1709" s="348" t="str">
        <f>DATA_PROPERTY_MASTER!$A$9</f>
        <v>BLD_CC</v>
      </c>
      <c r="D1709" s="380">
        <f>'00_PORTFOLIO ROLLUP'!T$12</f>
        <v>2040</v>
      </c>
      <c r="E1709" s="366" t="s">
        <v>1683</v>
      </c>
      <c r="F1709" s="366" t="s">
        <v>21</v>
      </c>
      <c r="G1709" s="348" t="str">
        <f>"'"&amp;$C1709&amp;"'!$E$45:$Y$45"</f>
        <v>'BLD_CC'!$E$45:$Y$45</v>
      </c>
      <c r="H1709" s="381">
        <f ca="1">IF(IFERROR(INDEX(DATA_PROPERTY_MASTER!$E$5:$E$21,MATCH($C1709,DATA_PROPERTY_MASTER!$A$5:$A$21,0))="Yes",FALSE),IFERROR(INDEX(INDIRECT("'"&amp;$C1709&amp;"'!$E$45:$Y$45"),1,MATCH($D1709,INDIRECT("'"&amp;$C1709&amp;"'!$E$12:$Y$12"),0)),0),0)</f>
        <v>315629.71442330629</v>
      </c>
      <c r="I1709" s="366" t="s">
        <v>1685</v>
      </c>
      <c r="J1709" s="348" t="str">
        <f t="shared" ca="1" si="52"/>
        <v>OK</v>
      </c>
      <c r="K1709" s="366" t="s">
        <v>1694</v>
      </c>
      <c r="L1709" s="366" t="s">
        <v>2242</v>
      </c>
      <c r="M1709" s="350" t="str">
        <f>IF($B1709="Portfolio","Portfolio",IFERROR(INDEX(DATA_ASSET_CLASSIFICATION!$B$8:$B$24,MATCH($C1709,DATA_ASSET_CLASSIFICATION!$A$8:$A$24,0)),"Review"))</f>
        <v>Constance Court</v>
      </c>
      <c r="N1709" s="350" t="str">
        <f ca="1">IF($B1709="Portfolio","Portfolio",IFERROR(INDEX(DATA_ASSET_CLASSIFICATION!$U$8:$U$24,MATCH($C1709,DATA_ASSET_CLASSIFICATION!$A$8:$A$24,0)),"Review"))</f>
        <v>Refi Watch</v>
      </c>
      <c r="O1709" s="350" t="str">
        <f ca="1">IF($B1709="Portfolio","Portfolio",IFERROR(INDEX(DATA_ASSET_CLASSIFICATION!$AB$8:$AB$13,MATCH($N1709,DATA_ASSET_CLASSIFICATION!$AA$8:$AA$13,0)),"Review"))</f>
        <v>Bucket 2 · Legacy</v>
      </c>
      <c r="P1709" s="350" t="str">
        <f>IF($B1709="Portfolio","Portfolio",IFERROR(INDEX(DATA_ASSET_CLASSIFICATION!$C$8:$C$24,MATCH($C1709,DATA_ASSET_CLASSIFICATION!$A$8:$A$24,0)),"Review"))</f>
        <v>Yes</v>
      </c>
      <c r="Q1709" s="350" t="str">
        <f t="shared" ca="1" si="53"/>
        <v>OK</v>
      </c>
    </row>
    <row r="1710" spans="1:17">
      <c r="A1710" s="366" t="s">
        <v>3666</v>
      </c>
      <c r="B1710" s="366" t="s">
        <v>231</v>
      </c>
      <c r="C1710" s="348" t="str">
        <f>DATA_PROPERTY_MASTER!$A$9</f>
        <v>BLD_CC</v>
      </c>
      <c r="D1710" s="380">
        <f>'00_PORTFOLIO ROLLUP'!T$12</f>
        <v>2040</v>
      </c>
      <c r="E1710" s="366" t="s">
        <v>23</v>
      </c>
      <c r="F1710" s="366" t="s">
        <v>23</v>
      </c>
      <c r="G1710" s="348" t="str">
        <f>"'"&amp;$C1710&amp;"'!$E$48:$Y$48"</f>
        <v>'BLD_CC'!$E$48:$Y$48</v>
      </c>
      <c r="H1710" s="381">
        <f ca="1">IF(IFERROR(INDEX(DATA_PROPERTY_MASTER!$E$5:$E$21,MATCH($C1710,DATA_PROPERTY_MASTER!$A$5:$A$21,0))="Yes",FALSE),IFERROR(INDEX(INDIRECT("'"&amp;$C1710&amp;"'!$E$48:$Y$48"),1,MATCH($D1710,INDIRECT("'"&amp;$C1710&amp;"'!$E$12:$Y$12"),0)),0),0)</f>
        <v>0</v>
      </c>
      <c r="I1710" s="366" t="s">
        <v>1690</v>
      </c>
      <c r="J1710" s="348" t="str">
        <f t="shared" ca="1" si="52"/>
        <v>OK</v>
      </c>
      <c r="K1710" s="366" t="s">
        <v>1706</v>
      </c>
      <c r="L1710" s="366" t="s">
        <v>2244</v>
      </c>
      <c r="M1710" s="350" t="str">
        <f>IF($B1710="Portfolio","Portfolio",IFERROR(INDEX(DATA_ASSET_CLASSIFICATION!$B$8:$B$24,MATCH($C1710,DATA_ASSET_CLASSIFICATION!$A$8:$A$24,0)),"Review"))</f>
        <v>Constance Court</v>
      </c>
      <c r="N1710" s="350" t="str">
        <f ca="1">IF($B1710="Portfolio","Portfolio",IFERROR(INDEX(DATA_ASSET_CLASSIFICATION!$U$8:$U$24,MATCH($C1710,DATA_ASSET_CLASSIFICATION!$A$8:$A$24,0)),"Review"))</f>
        <v>Refi Watch</v>
      </c>
      <c r="O1710" s="350" t="str">
        <f ca="1">IF($B1710="Portfolio","Portfolio",IFERROR(INDEX(DATA_ASSET_CLASSIFICATION!$AB$8:$AB$13,MATCH($N1710,DATA_ASSET_CLASSIFICATION!$AA$8:$AA$13,0)),"Review"))</f>
        <v>Bucket 2 · Legacy</v>
      </c>
      <c r="P1710" s="350" t="str">
        <f>IF($B1710="Portfolio","Portfolio",IFERROR(INDEX(DATA_ASSET_CLASSIFICATION!$C$8:$C$24,MATCH($C1710,DATA_ASSET_CLASSIFICATION!$A$8:$A$24,0)),"Review"))</f>
        <v>Yes</v>
      </c>
      <c r="Q1710" s="350" t="str">
        <f t="shared" ca="1" si="53"/>
        <v>OK</v>
      </c>
    </row>
    <row r="1711" spans="1:17">
      <c r="A1711" s="366" t="s">
        <v>3667</v>
      </c>
      <c r="B1711" s="366" t="s">
        <v>231</v>
      </c>
      <c r="C1711" s="348" t="str">
        <f>DATA_PROPERTY_MASTER!$A$9</f>
        <v>BLD_CC</v>
      </c>
      <c r="D1711" s="380">
        <f>'00_PORTFOLIO ROLLUP'!T$12</f>
        <v>2040</v>
      </c>
      <c r="E1711" s="366" t="s">
        <v>1683</v>
      </c>
      <c r="F1711" s="366" t="s">
        <v>25</v>
      </c>
      <c r="G1711" s="348" t="str">
        <f>"'"&amp;$C1711&amp;"'!$E$52:$Y$52"</f>
        <v>'BLD_CC'!$E$52:$Y$52</v>
      </c>
      <c r="H1711" s="381">
        <f ca="1">IF(IFERROR(INDEX(DATA_PROPERTY_MASTER!$E$5:$E$21,MATCH($C1711,DATA_PROPERTY_MASTER!$A$5:$A$21,0))="Yes",FALSE),IFERROR(INDEX(INDIRECT("'"&amp;$C1711&amp;"'!$E$52:$Y$52"),1,MATCH($D1711,INDIRECT("'"&amp;$C1711&amp;"'!$E$12:$Y$12"),0)),0),0)</f>
        <v>322493.64294875937</v>
      </c>
      <c r="I1711" s="366" t="s">
        <v>1685</v>
      </c>
      <c r="J1711" s="348" t="str">
        <f t="shared" ca="1" si="52"/>
        <v>OK</v>
      </c>
      <c r="K1711" s="366" t="s">
        <v>1710</v>
      </c>
      <c r="L1711" s="366" t="s">
        <v>2246</v>
      </c>
      <c r="M1711" s="350" t="str">
        <f>IF($B1711="Portfolio","Portfolio",IFERROR(INDEX(DATA_ASSET_CLASSIFICATION!$B$8:$B$24,MATCH($C1711,DATA_ASSET_CLASSIFICATION!$A$8:$A$24,0)),"Review"))</f>
        <v>Constance Court</v>
      </c>
      <c r="N1711" s="350" t="str">
        <f ca="1">IF($B1711="Portfolio","Portfolio",IFERROR(INDEX(DATA_ASSET_CLASSIFICATION!$U$8:$U$24,MATCH($C1711,DATA_ASSET_CLASSIFICATION!$A$8:$A$24,0)),"Review"))</f>
        <v>Refi Watch</v>
      </c>
      <c r="O1711" s="350" t="str">
        <f ca="1">IF($B1711="Portfolio","Portfolio",IFERROR(INDEX(DATA_ASSET_CLASSIFICATION!$AB$8:$AB$13,MATCH($N1711,DATA_ASSET_CLASSIFICATION!$AA$8:$AA$13,0)),"Review"))</f>
        <v>Bucket 2 · Legacy</v>
      </c>
      <c r="P1711" s="350" t="str">
        <f>IF($B1711="Portfolio","Portfolio",IFERROR(INDEX(DATA_ASSET_CLASSIFICATION!$C$8:$C$24,MATCH($C1711,DATA_ASSET_CLASSIFICATION!$A$8:$A$24,0)),"Review"))</f>
        <v>Yes</v>
      </c>
      <c r="Q1711" s="350" t="str">
        <f t="shared" ca="1" si="53"/>
        <v>OK</v>
      </c>
    </row>
    <row r="1712" spans="1:17">
      <c r="A1712" s="366" t="s">
        <v>3668</v>
      </c>
      <c r="B1712" s="366" t="s">
        <v>231</v>
      </c>
      <c r="C1712" s="348" t="str">
        <f>DATA_PROPERTY_MASTER!$A$9</f>
        <v>BLD_CC</v>
      </c>
      <c r="D1712" s="380">
        <f>'00_PORTFOLIO ROLLUP'!T$12</f>
        <v>2040</v>
      </c>
      <c r="E1712" s="366" t="s">
        <v>1683</v>
      </c>
      <c r="F1712" s="366" t="s">
        <v>27</v>
      </c>
      <c r="G1712" s="348" t="str">
        <f>"'"&amp;$C1712&amp;"'!$E$54:$Y$54"</f>
        <v>'BLD_CC'!$E$54:$Y$54</v>
      </c>
      <c r="H1712" s="381">
        <f ca="1">IF(IFERROR(INDEX(DATA_PROPERTY_MASTER!$E$5:$E$21,MATCH($C1712,DATA_PROPERTY_MASTER!$A$5:$A$21,0))="Yes",FALSE),IFERROR(INDEX(INDIRECT("'"&amp;$C1712&amp;"'!$E$54:$Y$54"),1,MATCH($D1712,INDIRECT("'"&amp;$C1712&amp;"'!$E$12:$Y$12"),0)),0),0)</f>
        <v>193496.18576925562</v>
      </c>
      <c r="I1712" s="366" t="s">
        <v>1690</v>
      </c>
      <c r="J1712" s="348" t="str">
        <f t="shared" ca="1" si="52"/>
        <v>OK</v>
      </c>
      <c r="K1712" s="366" t="s">
        <v>1714</v>
      </c>
      <c r="L1712" s="366" t="s">
        <v>2248</v>
      </c>
      <c r="M1712" s="350" t="str">
        <f>IF($B1712="Portfolio","Portfolio",IFERROR(INDEX(DATA_ASSET_CLASSIFICATION!$B$8:$B$24,MATCH($C1712,DATA_ASSET_CLASSIFICATION!$A$8:$A$24,0)),"Review"))</f>
        <v>Constance Court</v>
      </c>
      <c r="N1712" s="350" t="str">
        <f ca="1">IF($B1712="Portfolio","Portfolio",IFERROR(INDEX(DATA_ASSET_CLASSIFICATION!$U$8:$U$24,MATCH($C1712,DATA_ASSET_CLASSIFICATION!$A$8:$A$24,0)),"Review"))</f>
        <v>Refi Watch</v>
      </c>
      <c r="O1712" s="350" t="str">
        <f ca="1">IF($B1712="Portfolio","Portfolio",IFERROR(INDEX(DATA_ASSET_CLASSIFICATION!$AB$8:$AB$13,MATCH($N1712,DATA_ASSET_CLASSIFICATION!$AA$8:$AA$13,0)),"Review"))</f>
        <v>Bucket 2 · Legacy</v>
      </c>
      <c r="P1712" s="350" t="str">
        <f>IF($B1712="Portfolio","Portfolio",IFERROR(INDEX(DATA_ASSET_CLASSIFICATION!$C$8:$C$24,MATCH($C1712,DATA_ASSET_CLASSIFICATION!$A$8:$A$24,0)),"Review"))</f>
        <v>Yes</v>
      </c>
      <c r="Q1712" s="350" t="str">
        <f t="shared" ca="1" si="53"/>
        <v>OK</v>
      </c>
    </row>
    <row r="1713" spans="1:17">
      <c r="A1713" s="366" t="s">
        <v>3669</v>
      </c>
      <c r="B1713" s="366" t="s">
        <v>231</v>
      </c>
      <c r="C1713" s="348" t="str">
        <f>DATA_PROPERTY_MASTER!$A$9</f>
        <v>BLD_CC</v>
      </c>
      <c r="D1713" s="380">
        <f>'00_PORTFOLIO ROLLUP'!T$12</f>
        <v>2040</v>
      </c>
      <c r="E1713" s="366" t="s">
        <v>1683</v>
      </c>
      <c r="F1713" s="366" t="s">
        <v>29</v>
      </c>
      <c r="G1713" s="348" t="str">
        <f>"'"&amp;$C1713&amp;"'!$E$56:$Y$56"</f>
        <v>'BLD_CC'!$E$56:$Y$56</v>
      </c>
      <c r="H1713" s="381">
        <f ca="1">IF(IFERROR(INDEX(DATA_PROPERTY_MASTER!$E$5:$E$21,MATCH($C1713,DATA_PROPERTY_MASTER!$A$5:$A$21,0))="Yes",FALSE),IFERROR(INDEX(INDIRECT("'"&amp;$C1713&amp;"'!$E$56:$Y$56"),1,MATCH($D1713,INDIRECT("'"&amp;$C1713&amp;"'!$E$12:$Y$12"),0)),0),0)</f>
        <v>128997.45717950375</v>
      </c>
      <c r="I1713" s="366" t="s">
        <v>1685</v>
      </c>
      <c r="J1713" s="348" t="str">
        <f t="shared" ca="1" si="52"/>
        <v>OK</v>
      </c>
      <c r="K1713" s="366" t="s">
        <v>1718</v>
      </c>
      <c r="L1713" s="366" t="s">
        <v>2250</v>
      </c>
      <c r="M1713" s="350" t="str">
        <f>IF($B1713="Portfolio","Portfolio",IFERROR(INDEX(DATA_ASSET_CLASSIFICATION!$B$8:$B$24,MATCH($C1713,DATA_ASSET_CLASSIFICATION!$A$8:$A$24,0)),"Review"))</f>
        <v>Constance Court</v>
      </c>
      <c r="N1713" s="350" t="str">
        <f ca="1">IF($B1713="Portfolio","Portfolio",IFERROR(INDEX(DATA_ASSET_CLASSIFICATION!$U$8:$U$24,MATCH($C1713,DATA_ASSET_CLASSIFICATION!$A$8:$A$24,0)),"Review"))</f>
        <v>Refi Watch</v>
      </c>
      <c r="O1713" s="350" t="str">
        <f ca="1">IF($B1713="Portfolio","Portfolio",IFERROR(INDEX(DATA_ASSET_CLASSIFICATION!$AB$8:$AB$13,MATCH($N1713,DATA_ASSET_CLASSIFICATION!$AA$8:$AA$13,0)),"Review"))</f>
        <v>Bucket 2 · Legacy</v>
      </c>
      <c r="P1713" s="350" t="str">
        <f>IF($B1713="Portfolio","Portfolio",IFERROR(INDEX(DATA_ASSET_CLASSIFICATION!$C$8:$C$24,MATCH($C1713,DATA_ASSET_CLASSIFICATION!$A$8:$A$24,0)),"Review"))</f>
        <v>Yes</v>
      </c>
      <c r="Q1713" s="350" t="str">
        <f t="shared" ca="1" si="53"/>
        <v>OK</v>
      </c>
    </row>
    <row r="1714" spans="1:17">
      <c r="A1714" s="366" t="s">
        <v>3670</v>
      </c>
      <c r="B1714" s="366" t="s">
        <v>231</v>
      </c>
      <c r="C1714" s="348" t="str">
        <f>DATA_PROPERTY_MASTER!$A$9</f>
        <v>BLD_CC</v>
      </c>
      <c r="D1714" s="380">
        <f>'00_PORTFOLIO ROLLUP'!T$12</f>
        <v>2040</v>
      </c>
      <c r="E1714" s="366" t="s">
        <v>1721</v>
      </c>
      <c r="F1714" s="366" t="s">
        <v>31</v>
      </c>
      <c r="G1714" s="348" t="str">
        <f>"'"&amp;$C1714&amp;"'!$E$61:$Y$61"</f>
        <v>'BLD_CC'!$E$61:$Y$61</v>
      </c>
      <c r="H1714" s="381">
        <f ca="1">IF(IFERROR(INDEX(DATA_PROPERTY_MASTER!$E$5:$E$21,MATCH($C1714,DATA_PROPERTY_MASTER!$A$5:$A$21,0))="Yes",FALSE),IFERROR(INDEX(INDIRECT("'"&amp;$C1714&amp;"'!$E$61:$Y$61"),1,MATCH($D1714,INDIRECT("'"&amp;$C1714&amp;"'!$E$12:$Y$12"),0)),0),0)</f>
        <v>0</v>
      </c>
      <c r="I1714" s="366" t="s">
        <v>1690</v>
      </c>
      <c r="J1714" s="348" t="str">
        <f t="shared" ca="1" si="52"/>
        <v>OK</v>
      </c>
      <c r="K1714" s="366" t="s">
        <v>1723</v>
      </c>
      <c r="L1714" s="366" t="s">
        <v>2252</v>
      </c>
      <c r="M1714" s="350" t="str">
        <f>IF($B1714="Portfolio","Portfolio",IFERROR(INDEX(DATA_ASSET_CLASSIFICATION!$B$8:$B$24,MATCH($C1714,DATA_ASSET_CLASSIFICATION!$A$8:$A$24,0)),"Review"))</f>
        <v>Constance Court</v>
      </c>
      <c r="N1714" s="350" t="str">
        <f ca="1">IF($B1714="Portfolio","Portfolio",IFERROR(INDEX(DATA_ASSET_CLASSIFICATION!$U$8:$U$24,MATCH($C1714,DATA_ASSET_CLASSIFICATION!$A$8:$A$24,0)),"Review"))</f>
        <v>Refi Watch</v>
      </c>
      <c r="O1714" s="350" t="str">
        <f ca="1">IF($B1714="Portfolio","Portfolio",IFERROR(INDEX(DATA_ASSET_CLASSIFICATION!$AB$8:$AB$13,MATCH($N1714,DATA_ASSET_CLASSIFICATION!$AA$8:$AA$13,0)),"Review"))</f>
        <v>Bucket 2 · Legacy</v>
      </c>
      <c r="P1714" s="350" t="str">
        <f>IF($B1714="Portfolio","Portfolio",IFERROR(INDEX(DATA_ASSET_CLASSIFICATION!$C$8:$C$24,MATCH($C1714,DATA_ASSET_CLASSIFICATION!$A$8:$A$24,0)),"Review"))</f>
        <v>Yes</v>
      </c>
      <c r="Q1714" s="350" t="str">
        <f t="shared" ca="1" si="53"/>
        <v>OK</v>
      </c>
    </row>
    <row r="1715" spans="1:17">
      <c r="A1715" s="366" t="s">
        <v>3671</v>
      </c>
      <c r="B1715" s="366" t="s">
        <v>231</v>
      </c>
      <c r="C1715" s="348" t="str">
        <f>DATA_PROPERTY_MASTER!$A$9</f>
        <v>BLD_CC</v>
      </c>
      <c r="D1715" s="380">
        <f>'00_PORTFOLIO ROLLUP'!T$12</f>
        <v>2040</v>
      </c>
      <c r="E1715" s="366" t="s">
        <v>1721</v>
      </c>
      <c r="F1715" s="366" t="s">
        <v>33</v>
      </c>
      <c r="G1715" s="348" t="str">
        <f>"'"&amp;$C1715&amp;"'!$E$62:$Y$62"</f>
        <v>'BLD_CC'!$E$62:$Y$62</v>
      </c>
      <c r="H1715" s="381">
        <f ca="1">IF(IFERROR(INDEX(DATA_PROPERTY_MASTER!$E$5:$E$21,MATCH($C1715,DATA_PROPERTY_MASTER!$A$5:$A$21,0))="Yes",FALSE),IFERROR(INDEX(INDIRECT("'"&amp;$C1715&amp;"'!$E$62:$Y$62"),1,MATCH($D1715,INDIRECT("'"&amp;$C1715&amp;"'!$E$12:$Y$12"),0)),0),0)</f>
        <v>0</v>
      </c>
      <c r="I1715" s="366" t="s">
        <v>1685</v>
      </c>
      <c r="J1715" s="348" t="str">
        <f t="shared" ca="1" si="52"/>
        <v>OK</v>
      </c>
      <c r="K1715" s="366" t="s">
        <v>1727</v>
      </c>
      <c r="L1715" s="366" t="s">
        <v>2254</v>
      </c>
      <c r="M1715" s="350" t="str">
        <f>IF($B1715="Portfolio","Portfolio",IFERROR(INDEX(DATA_ASSET_CLASSIFICATION!$B$8:$B$24,MATCH($C1715,DATA_ASSET_CLASSIFICATION!$A$8:$A$24,0)),"Review"))</f>
        <v>Constance Court</v>
      </c>
      <c r="N1715" s="350" t="str">
        <f ca="1">IF($B1715="Portfolio","Portfolio",IFERROR(INDEX(DATA_ASSET_CLASSIFICATION!$U$8:$U$24,MATCH($C1715,DATA_ASSET_CLASSIFICATION!$A$8:$A$24,0)),"Review"))</f>
        <v>Refi Watch</v>
      </c>
      <c r="O1715" s="350" t="str">
        <f ca="1">IF($B1715="Portfolio","Portfolio",IFERROR(INDEX(DATA_ASSET_CLASSIFICATION!$AB$8:$AB$13,MATCH($N1715,DATA_ASSET_CLASSIFICATION!$AA$8:$AA$13,0)),"Review"))</f>
        <v>Bucket 2 · Legacy</v>
      </c>
      <c r="P1715" s="350" t="str">
        <f>IF($B1715="Portfolio","Portfolio",IFERROR(INDEX(DATA_ASSET_CLASSIFICATION!$C$8:$C$24,MATCH($C1715,DATA_ASSET_CLASSIFICATION!$A$8:$A$24,0)),"Review"))</f>
        <v>Yes</v>
      </c>
      <c r="Q1715" s="350" t="str">
        <f t="shared" ca="1" si="53"/>
        <v>OK</v>
      </c>
    </row>
    <row r="1716" spans="1:17">
      <c r="A1716" s="366" t="s">
        <v>3672</v>
      </c>
      <c r="B1716" s="366" t="s">
        <v>231</v>
      </c>
      <c r="C1716" s="348" t="str">
        <f>DATA_PROPERTY_MASTER!$A$9</f>
        <v>BLD_CC</v>
      </c>
      <c r="D1716" s="380">
        <f>'00_PORTFOLIO ROLLUP'!T$12</f>
        <v>2040</v>
      </c>
      <c r="E1716" s="366" t="s">
        <v>1721</v>
      </c>
      <c r="F1716" s="366" t="s">
        <v>35</v>
      </c>
      <c r="G1716" s="348" t="str">
        <f>"'"&amp;$C1716&amp;"'!$E$63:$Y$63"</f>
        <v>'BLD_CC'!$E$63:$Y$63</v>
      </c>
      <c r="H1716" s="381">
        <f ca="1">IF(IFERROR(INDEX(DATA_PROPERTY_MASTER!$E$5:$E$21,MATCH($C1716,DATA_PROPERTY_MASTER!$A$5:$A$21,0))="Yes",FALSE),IFERROR(INDEX(INDIRECT("'"&amp;$C1716&amp;"'!$E$63:$Y$63"),1,MATCH($D1716,INDIRECT("'"&amp;$C1716&amp;"'!$E$12:$Y$12"),0)),0),0)</f>
        <v>0</v>
      </c>
      <c r="I1716" s="366" t="s">
        <v>1731</v>
      </c>
      <c r="J1716" s="348" t="str">
        <f t="shared" ca="1" si="52"/>
        <v>OK</v>
      </c>
      <c r="K1716" s="366" t="s">
        <v>1732</v>
      </c>
      <c r="L1716" s="366" t="s">
        <v>2256</v>
      </c>
      <c r="M1716" s="350" t="str">
        <f>IF($B1716="Portfolio","Portfolio",IFERROR(INDEX(DATA_ASSET_CLASSIFICATION!$B$8:$B$24,MATCH($C1716,DATA_ASSET_CLASSIFICATION!$A$8:$A$24,0)),"Review"))</f>
        <v>Constance Court</v>
      </c>
      <c r="N1716" s="350" t="str">
        <f ca="1">IF($B1716="Portfolio","Portfolio",IFERROR(INDEX(DATA_ASSET_CLASSIFICATION!$U$8:$U$24,MATCH($C1716,DATA_ASSET_CLASSIFICATION!$A$8:$A$24,0)),"Review"))</f>
        <v>Refi Watch</v>
      </c>
      <c r="O1716" s="350" t="str">
        <f ca="1">IF($B1716="Portfolio","Portfolio",IFERROR(INDEX(DATA_ASSET_CLASSIFICATION!$AB$8:$AB$13,MATCH($N1716,DATA_ASSET_CLASSIFICATION!$AA$8:$AA$13,0)),"Review"))</f>
        <v>Bucket 2 · Legacy</v>
      </c>
      <c r="P1716" s="350" t="str">
        <f>IF($B1716="Portfolio","Portfolio",IFERROR(INDEX(DATA_ASSET_CLASSIFICATION!$C$8:$C$24,MATCH($C1716,DATA_ASSET_CLASSIFICATION!$A$8:$A$24,0)),"Review"))</f>
        <v>Yes</v>
      </c>
      <c r="Q1716" s="350" t="str">
        <f t="shared" ca="1" si="53"/>
        <v>OK</v>
      </c>
    </row>
    <row r="1717" spans="1:17">
      <c r="A1717" s="366" t="s">
        <v>3673</v>
      </c>
      <c r="B1717" s="366" t="s">
        <v>231</v>
      </c>
      <c r="C1717" s="348" t="str">
        <f>DATA_PROPERTY_MASTER!$A$9</f>
        <v>BLD_CC</v>
      </c>
      <c r="D1717" s="380">
        <f>'00_PORTFOLIO ROLLUP'!T$12</f>
        <v>2040</v>
      </c>
      <c r="E1717" s="366" t="s">
        <v>1721</v>
      </c>
      <c r="F1717" s="366" t="s">
        <v>37</v>
      </c>
      <c r="G1717" s="348" t="str">
        <f>"'"&amp;$C1717&amp;"'!$E$63:$Y$63"</f>
        <v>'BLD_CC'!$E$63:$Y$63</v>
      </c>
      <c r="H1717" s="381">
        <f ca="1">IF(IFERROR(INDEX(DATA_PROPERTY_MASTER!$E$5:$E$21,MATCH($C1717,DATA_PROPERTY_MASTER!$A$5:$A$21,0))="Yes",FALSE),MAX(IFERROR(INDEX(INDIRECT("'"&amp;$C1717&amp;"'!$E$63:$Y$63"),1,MATCH($D1717,INDIRECT("'"&amp;$C1717&amp;"'!$E$12:$Y$12"),0)),0),0),0)</f>
        <v>0</v>
      </c>
      <c r="I1717" s="366" t="s">
        <v>1685</v>
      </c>
      <c r="J1717" s="348" t="str">
        <f t="shared" ca="1" si="52"/>
        <v>OK</v>
      </c>
      <c r="K1717" s="366" t="s">
        <v>1735</v>
      </c>
      <c r="L1717" s="366" t="s">
        <v>2258</v>
      </c>
      <c r="M1717" s="350" t="str">
        <f>IF($B1717="Portfolio","Portfolio",IFERROR(INDEX(DATA_ASSET_CLASSIFICATION!$B$8:$B$24,MATCH($C1717,DATA_ASSET_CLASSIFICATION!$A$8:$A$24,0)),"Review"))</f>
        <v>Constance Court</v>
      </c>
      <c r="N1717" s="350" t="str">
        <f ca="1">IF($B1717="Portfolio","Portfolio",IFERROR(INDEX(DATA_ASSET_CLASSIFICATION!$U$8:$U$24,MATCH($C1717,DATA_ASSET_CLASSIFICATION!$A$8:$A$24,0)),"Review"))</f>
        <v>Refi Watch</v>
      </c>
      <c r="O1717" s="350" t="str">
        <f ca="1">IF($B1717="Portfolio","Portfolio",IFERROR(INDEX(DATA_ASSET_CLASSIFICATION!$AB$8:$AB$13,MATCH($N1717,DATA_ASSET_CLASSIFICATION!$AA$8:$AA$13,0)),"Review"))</f>
        <v>Bucket 2 · Legacy</v>
      </c>
      <c r="P1717" s="350" t="str">
        <f>IF($B1717="Portfolio","Portfolio",IFERROR(INDEX(DATA_ASSET_CLASSIFICATION!$C$8:$C$24,MATCH($C1717,DATA_ASSET_CLASSIFICATION!$A$8:$A$24,0)),"Review"))</f>
        <v>Yes</v>
      </c>
      <c r="Q1717" s="350" t="str">
        <f t="shared" ca="1" si="53"/>
        <v>OK</v>
      </c>
    </row>
    <row r="1718" spans="1:17">
      <c r="A1718" s="366" t="s">
        <v>3674</v>
      </c>
      <c r="B1718" s="366" t="s">
        <v>231</v>
      </c>
      <c r="C1718" s="348" t="str">
        <f>DATA_PROPERTY_MASTER!$A$9</f>
        <v>BLD_CC</v>
      </c>
      <c r="D1718" s="380">
        <f>'00_PORTFOLIO ROLLUP'!T$12</f>
        <v>2040</v>
      </c>
      <c r="E1718" s="366" t="s">
        <v>1721</v>
      </c>
      <c r="F1718" s="366" t="s">
        <v>39</v>
      </c>
      <c r="G1718" s="348" t="str">
        <f>"'"&amp;$C1718&amp;"'!$E$63:$Y$63"</f>
        <v>'BLD_CC'!$E$63:$Y$63</v>
      </c>
      <c r="H1718" s="381">
        <f ca="1">IF(IFERROR(INDEX(DATA_PROPERTY_MASTER!$E$5:$E$21,MATCH($C1718,DATA_PROPERTY_MASTER!$A$5:$A$21,0))="Yes",FALSE),MAX(-IFERROR(INDEX(INDIRECT("'"&amp;$C1718&amp;"'!$E$63:$Y$63"),1,MATCH($D1718,INDIRECT("'"&amp;$C1718&amp;"'!$E$12:$Y$12"),0)),0),0),0)</f>
        <v>0</v>
      </c>
      <c r="I1718" s="366" t="s">
        <v>1690</v>
      </c>
      <c r="J1718" s="348" t="str">
        <f t="shared" ca="1" si="52"/>
        <v>OK</v>
      </c>
      <c r="K1718" s="366" t="s">
        <v>1738</v>
      </c>
      <c r="L1718" s="366" t="s">
        <v>2260</v>
      </c>
      <c r="M1718" s="350" t="str">
        <f>IF($B1718="Portfolio","Portfolio",IFERROR(INDEX(DATA_ASSET_CLASSIFICATION!$B$8:$B$24,MATCH($C1718,DATA_ASSET_CLASSIFICATION!$A$8:$A$24,0)),"Review"))</f>
        <v>Constance Court</v>
      </c>
      <c r="N1718" s="350" t="str">
        <f ca="1">IF($B1718="Portfolio","Portfolio",IFERROR(INDEX(DATA_ASSET_CLASSIFICATION!$U$8:$U$24,MATCH($C1718,DATA_ASSET_CLASSIFICATION!$A$8:$A$24,0)),"Review"))</f>
        <v>Refi Watch</v>
      </c>
      <c r="O1718" s="350" t="str">
        <f ca="1">IF($B1718="Portfolio","Portfolio",IFERROR(INDEX(DATA_ASSET_CLASSIFICATION!$AB$8:$AB$13,MATCH($N1718,DATA_ASSET_CLASSIFICATION!$AA$8:$AA$13,0)),"Review"))</f>
        <v>Bucket 2 · Legacy</v>
      </c>
      <c r="P1718" s="350" t="str">
        <f>IF($B1718="Portfolio","Portfolio",IFERROR(INDEX(DATA_ASSET_CLASSIFICATION!$C$8:$C$24,MATCH($C1718,DATA_ASSET_CLASSIFICATION!$A$8:$A$24,0)),"Review"))</f>
        <v>Yes</v>
      </c>
      <c r="Q1718" s="350" t="str">
        <f t="shared" ca="1" si="53"/>
        <v>OK</v>
      </c>
    </row>
    <row r="1719" spans="1:17">
      <c r="A1719" s="366" t="s">
        <v>3675</v>
      </c>
      <c r="B1719" s="366" t="s">
        <v>231</v>
      </c>
      <c r="C1719" s="348" t="str">
        <f>DATA_PROPERTY_MASTER!$A$9</f>
        <v>BLD_CC</v>
      </c>
      <c r="D1719" s="380">
        <f>'00_PORTFOLIO ROLLUP'!T$12</f>
        <v>2040</v>
      </c>
      <c r="E1719" s="366" t="s">
        <v>1741</v>
      </c>
      <c r="F1719" s="366" t="s">
        <v>41</v>
      </c>
      <c r="G1719" s="348" t="str">
        <f>"'"&amp;$C1719&amp;"'!rows 56 + positive row 63"</f>
        <v>'BLD_CC'!rows 56 + positive row 63</v>
      </c>
      <c r="H1719" s="381">
        <f ca="1">IF(IFERROR(INDEX(DATA_PROPERTY_MASTER!$E$5:$E$21,MATCH($C1719,DATA_PROPERTY_MASTER!$A$5:$A$21,0))="Yes",FALSE),IFERROR(INDEX(INDIRECT("'"&amp;$C1719&amp;"'!$E$56:$Y$56"),1,MATCH($D1719,INDIRECT("'"&amp;$C1719&amp;"'!$E$12:$Y$12"),0)),0)+MAX(IFERROR(INDEX(INDIRECT("'"&amp;$C1719&amp;"'!$E$63:$Y$63"),1,MATCH($D1719,INDIRECT("'"&amp;$C1719&amp;"'!$E$12:$Y$12"),0)),0),0),0)</f>
        <v>128997.45717950375</v>
      </c>
      <c r="I1719" s="366" t="s">
        <v>1685</v>
      </c>
      <c r="J1719" s="348" t="str">
        <f t="shared" ca="1" si="52"/>
        <v>OK</v>
      </c>
      <c r="K1719" s="366" t="s">
        <v>1742</v>
      </c>
      <c r="L1719" s="366" t="s">
        <v>2262</v>
      </c>
      <c r="M1719" s="350" t="str">
        <f>IF($B1719="Portfolio","Portfolio",IFERROR(INDEX(DATA_ASSET_CLASSIFICATION!$B$8:$B$24,MATCH($C1719,DATA_ASSET_CLASSIFICATION!$A$8:$A$24,0)),"Review"))</f>
        <v>Constance Court</v>
      </c>
      <c r="N1719" s="350" t="str">
        <f ca="1">IF($B1719="Portfolio","Portfolio",IFERROR(INDEX(DATA_ASSET_CLASSIFICATION!$U$8:$U$24,MATCH($C1719,DATA_ASSET_CLASSIFICATION!$A$8:$A$24,0)),"Review"))</f>
        <v>Refi Watch</v>
      </c>
      <c r="O1719" s="350" t="str">
        <f ca="1">IF($B1719="Portfolio","Portfolio",IFERROR(INDEX(DATA_ASSET_CLASSIFICATION!$AB$8:$AB$13,MATCH($N1719,DATA_ASSET_CLASSIFICATION!$AA$8:$AA$13,0)),"Review"))</f>
        <v>Bucket 2 · Legacy</v>
      </c>
      <c r="P1719" s="350" t="str">
        <f>IF($B1719="Portfolio","Portfolio",IFERROR(INDEX(DATA_ASSET_CLASSIFICATION!$C$8:$C$24,MATCH($C1719,DATA_ASSET_CLASSIFICATION!$A$8:$A$24,0)),"Review"))</f>
        <v>Yes</v>
      </c>
      <c r="Q1719" s="350" t="str">
        <f t="shared" ca="1" si="53"/>
        <v>OK</v>
      </c>
    </row>
    <row r="1720" spans="1:17">
      <c r="A1720" s="366" t="s">
        <v>3676</v>
      </c>
      <c r="B1720" s="366" t="s">
        <v>231</v>
      </c>
      <c r="C1720" s="348" t="str">
        <f>DATA_PROPERTY_MASTER!$A$9</f>
        <v>BLD_CC</v>
      </c>
      <c r="D1720" s="380">
        <f>'00_PORTFOLIO ROLLUP'!T$12</f>
        <v>2040</v>
      </c>
      <c r="E1720" s="366" t="s">
        <v>1741</v>
      </c>
      <c r="F1720" s="366" t="s">
        <v>43</v>
      </c>
      <c r="G1720" s="348" t="str">
        <f>"'"&amp;$C1720&amp;"'!$E$68:$Y$68"</f>
        <v>'BLD_CC'!$E$68:$Y$68</v>
      </c>
      <c r="H1720" s="381">
        <f ca="1">IF(IFERROR(INDEX(DATA_PROPERTY_MASTER!$E$5:$E$21,MATCH($C1720,DATA_PROPERTY_MASTER!$A$5:$A$21,0))="Yes",FALSE),IFERROR(INDEX(INDIRECT("'"&amp;$C1720&amp;"'!$E$68:$Y$68"),1,MATCH($D1720,INDIRECT("'"&amp;$C1720&amp;"'!$E$12:$Y$12"),0)),0),0)</f>
        <v>128997.45717950375</v>
      </c>
      <c r="I1720" s="366" t="s">
        <v>1731</v>
      </c>
      <c r="J1720" s="348" t="str">
        <f t="shared" ca="1" si="52"/>
        <v>OK</v>
      </c>
      <c r="K1720" s="366" t="s">
        <v>1746</v>
      </c>
      <c r="L1720" s="366" t="s">
        <v>2264</v>
      </c>
      <c r="M1720" s="350" t="str">
        <f>IF($B1720="Portfolio","Portfolio",IFERROR(INDEX(DATA_ASSET_CLASSIFICATION!$B$8:$B$24,MATCH($C1720,DATA_ASSET_CLASSIFICATION!$A$8:$A$24,0)),"Review"))</f>
        <v>Constance Court</v>
      </c>
      <c r="N1720" s="350" t="str">
        <f ca="1">IF($B1720="Portfolio","Portfolio",IFERROR(INDEX(DATA_ASSET_CLASSIFICATION!$U$8:$U$24,MATCH($C1720,DATA_ASSET_CLASSIFICATION!$A$8:$A$24,0)),"Review"))</f>
        <v>Refi Watch</v>
      </c>
      <c r="O1720" s="350" t="str">
        <f ca="1">IF($B1720="Portfolio","Portfolio",IFERROR(INDEX(DATA_ASSET_CLASSIFICATION!$AB$8:$AB$13,MATCH($N1720,DATA_ASSET_CLASSIFICATION!$AA$8:$AA$13,0)),"Review"))</f>
        <v>Bucket 2 · Legacy</v>
      </c>
      <c r="P1720" s="350" t="str">
        <f>IF($B1720="Portfolio","Portfolio",IFERROR(INDEX(DATA_ASSET_CLASSIFICATION!$C$8:$C$24,MATCH($C1720,DATA_ASSET_CLASSIFICATION!$A$8:$A$24,0)),"Review"))</f>
        <v>Yes</v>
      </c>
      <c r="Q1720" s="350" t="str">
        <f t="shared" ca="1" si="53"/>
        <v>OK</v>
      </c>
    </row>
    <row r="1721" spans="1:17">
      <c r="A1721" s="366" t="s">
        <v>3677</v>
      </c>
      <c r="B1721" s="366" t="s">
        <v>231</v>
      </c>
      <c r="C1721" s="348" t="str">
        <f>DATA_PROPERTY_MASTER!$A$9</f>
        <v>BLD_CC</v>
      </c>
      <c r="D1721" s="380">
        <f>'00_PORTFOLIO ROLLUP'!T$12</f>
        <v>2040</v>
      </c>
      <c r="E1721" s="366" t="s">
        <v>1741</v>
      </c>
      <c r="F1721" s="366" t="s">
        <v>1749</v>
      </c>
      <c r="G1721" s="348" t="str">
        <f>"'"&amp;$C1721&amp;"'!rows 56, 63, 68"</f>
        <v>'BLD_CC'!rows 56, 63, 68</v>
      </c>
      <c r="H1721" s="381">
        <f ca="1">IF(IFERROR(INDEX(DATA_PROPERTY_MASTER!$E$5:$E$21,MATCH($C1721,DATA_PROPERTY_MASTER!$A$5:$A$21,0))="Yes",FALSE),(IFERROR(INDEX(INDIRECT("'"&amp;$C1721&amp;"'!$E$56:$Y$56"),1,MATCH($D1721,INDIRECT("'"&amp;$C1721&amp;"'!$E$12:$Y$12"),0)),0)+MAX(IFERROR(INDEX(INDIRECT("'"&amp;$C1721&amp;"'!$E$63:$Y$63"),1,MATCH($D1721,INDIRECT("'"&amp;$C1721&amp;"'!$E$12:$Y$12"),0)),0),0))-(IFERROR(INDEX(INDIRECT("'"&amp;$C1721&amp;"'!$E$68:$Y$68"),1,MATCH($D1721,INDIRECT("'"&amp;$C1721&amp;"'!$E$12:$Y$12"),0)),0)),0)</f>
        <v>0</v>
      </c>
      <c r="I1721" s="366" t="s">
        <v>1750</v>
      </c>
      <c r="J1721" s="348" t="str">
        <f t="shared" ca="1" si="52"/>
        <v>OK</v>
      </c>
      <c r="K1721" s="366" t="s">
        <v>1751</v>
      </c>
      <c r="L1721" s="366" t="s">
        <v>2266</v>
      </c>
      <c r="M1721" s="350" t="str">
        <f>IF($B1721="Portfolio","Portfolio",IFERROR(INDEX(DATA_ASSET_CLASSIFICATION!$B$8:$B$24,MATCH($C1721,DATA_ASSET_CLASSIFICATION!$A$8:$A$24,0)),"Review"))</f>
        <v>Constance Court</v>
      </c>
      <c r="N1721" s="350" t="str">
        <f ca="1">IF($B1721="Portfolio","Portfolio",IFERROR(INDEX(DATA_ASSET_CLASSIFICATION!$U$8:$U$24,MATCH($C1721,DATA_ASSET_CLASSIFICATION!$A$8:$A$24,0)),"Review"))</f>
        <v>Refi Watch</v>
      </c>
      <c r="O1721" s="350" t="str">
        <f ca="1">IF($B1721="Portfolio","Portfolio",IFERROR(INDEX(DATA_ASSET_CLASSIFICATION!$AB$8:$AB$13,MATCH($N1721,DATA_ASSET_CLASSIFICATION!$AA$8:$AA$13,0)),"Review"))</f>
        <v>Bucket 2 · Legacy</v>
      </c>
      <c r="P1721" s="350" t="str">
        <f>IF($B1721="Portfolio","Portfolio",IFERROR(INDEX(DATA_ASSET_CLASSIFICATION!$C$8:$C$24,MATCH($C1721,DATA_ASSET_CLASSIFICATION!$A$8:$A$24,0)),"Review"))</f>
        <v>Yes</v>
      </c>
      <c r="Q1721" s="350" t="str">
        <f t="shared" ca="1" si="53"/>
        <v>OK</v>
      </c>
    </row>
    <row r="1722" spans="1:17">
      <c r="A1722" s="366" t="s">
        <v>3678</v>
      </c>
      <c r="B1722" s="366" t="s">
        <v>231</v>
      </c>
      <c r="C1722" s="348" t="str">
        <f>DATA_PROPERTY_MASTER!$A$9</f>
        <v>BLD_CC</v>
      </c>
      <c r="D1722" s="380">
        <f>'00_PORTFOLIO ROLLUP'!U$12</f>
        <v>2041</v>
      </c>
      <c r="E1722" s="366" t="s">
        <v>1683</v>
      </c>
      <c r="F1722" s="366" t="s">
        <v>341</v>
      </c>
      <c r="G1722" s="348" t="str">
        <f>"'"&amp;$C1722&amp;"'!$E$24:$Y$24"</f>
        <v>'BLD_CC'!$E$24:$Y$24</v>
      </c>
      <c r="H1722" s="381">
        <f ca="1">IF(IFERROR(INDEX(DATA_PROPERTY_MASTER!$E$5:$E$21,MATCH($C1722,DATA_PROPERTY_MASTER!$A$5:$A$21,0))="Yes",FALSE),IFERROR(INDEX(INDIRECT("'"&amp;$C1722&amp;"'!$E$24:$Y$24"),1,MATCH($D1722,INDIRECT("'"&amp;$C1722&amp;"'!$E$12:$Y$12"),0)),0),0)</f>
        <v>676952.29310968297</v>
      </c>
      <c r="I1722" s="366" t="s">
        <v>1685</v>
      </c>
      <c r="J1722" s="348" t="str">
        <f t="shared" ca="1" si="52"/>
        <v>OK</v>
      </c>
      <c r="K1722" s="366" t="s">
        <v>1686</v>
      </c>
      <c r="L1722" s="366" t="s">
        <v>2234</v>
      </c>
      <c r="M1722" s="350" t="str">
        <f>IF($B1722="Portfolio","Portfolio",IFERROR(INDEX(DATA_ASSET_CLASSIFICATION!$B$8:$B$24,MATCH($C1722,DATA_ASSET_CLASSIFICATION!$A$8:$A$24,0)),"Review"))</f>
        <v>Constance Court</v>
      </c>
      <c r="N1722" s="350" t="str">
        <f ca="1">IF($B1722="Portfolio","Portfolio",IFERROR(INDEX(DATA_ASSET_CLASSIFICATION!$U$8:$U$24,MATCH($C1722,DATA_ASSET_CLASSIFICATION!$A$8:$A$24,0)),"Review"))</f>
        <v>Refi Watch</v>
      </c>
      <c r="O1722" s="350" t="str">
        <f ca="1">IF($B1722="Portfolio","Portfolio",IFERROR(INDEX(DATA_ASSET_CLASSIFICATION!$AB$8:$AB$13,MATCH($N1722,DATA_ASSET_CLASSIFICATION!$AA$8:$AA$13,0)),"Review"))</f>
        <v>Bucket 2 · Legacy</v>
      </c>
      <c r="P1722" s="350" t="str">
        <f>IF($B1722="Portfolio","Portfolio",IFERROR(INDEX(DATA_ASSET_CLASSIFICATION!$C$8:$C$24,MATCH($C1722,DATA_ASSET_CLASSIFICATION!$A$8:$A$24,0)),"Review"))</f>
        <v>Yes</v>
      </c>
      <c r="Q1722" s="350" t="str">
        <f t="shared" ca="1" si="53"/>
        <v>OK</v>
      </c>
    </row>
    <row r="1723" spans="1:17">
      <c r="A1723" s="366" t="s">
        <v>3679</v>
      </c>
      <c r="B1723" s="366" t="s">
        <v>231</v>
      </c>
      <c r="C1723" s="348" t="str">
        <f>DATA_PROPERTY_MASTER!$A$9</f>
        <v>BLD_CC</v>
      </c>
      <c r="D1723" s="380">
        <f>'00_PORTFOLIO ROLLUP'!U$12</f>
        <v>2041</v>
      </c>
      <c r="E1723" s="366" t="s">
        <v>1683</v>
      </c>
      <c r="F1723" s="366" t="s">
        <v>355</v>
      </c>
      <c r="G1723" s="348" t="str">
        <f>"'"&amp;$C1723&amp;"'!$E$39:$Y$39"</f>
        <v>'BLD_CC'!$E$39:$Y$39</v>
      </c>
      <c r="H1723" s="381">
        <f ca="1">IF(IFERROR(INDEX(DATA_PROPERTY_MASTER!$E$5:$E$21,MATCH($C1723,DATA_PROPERTY_MASTER!$A$5:$A$21,0))="Yes",FALSE),IFERROR(INDEX(INDIRECT("'"&amp;$C1723&amp;"'!$E$39:$Y$39"),1,MATCH($D1723,INDIRECT("'"&amp;$C1723&amp;"'!$E$12:$Y$12"),0)),0),0)</f>
        <v>349714.70268087968</v>
      </c>
      <c r="I1723" s="366" t="s">
        <v>1690</v>
      </c>
      <c r="J1723" s="348" t="str">
        <f t="shared" ca="1" si="52"/>
        <v>OK</v>
      </c>
      <c r="K1723" s="366" t="s">
        <v>1686</v>
      </c>
      <c r="L1723" s="366" t="s">
        <v>2236</v>
      </c>
      <c r="M1723" s="350" t="str">
        <f>IF($B1723="Portfolio","Portfolio",IFERROR(INDEX(DATA_ASSET_CLASSIFICATION!$B$8:$B$24,MATCH($C1723,DATA_ASSET_CLASSIFICATION!$A$8:$A$24,0)),"Review"))</f>
        <v>Constance Court</v>
      </c>
      <c r="N1723" s="350" t="str">
        <f ca="1">IF($B1723="Portfolio","Portfolio",IFERROR(INDEX(DATA_ASSET_CLASSIFICATION!$U$8:$U$24,MATCH($C1723,DATA_ASSET_CLASSIFICATION!$A$8:$A$24,0)),"Review"))</f>
        <v>Refi Watch</v>
      </c>
      <c r="O1723" s="350" t="str">
        <f ca="1">IF($B1723="Portfolio","Portfolio",IFERROR(INDEX(DATA_ASSET_CLASSIFICATION!$AB$8:$AB$13,MATCH($N1723,DATA_ASSET_CLASSIFICATION!$AA$8:$AA$13,0)),"Review"))</f>
        <v>Bucket 2 · Legacy</v>
      </c>
      <c r="P1723" s="350" t="str">
        <f>IF($B1723="Portfolio","Portfolio",IFERROR(INDEX(DATA_ASSET_CLASSIFICATION!$C$8:$C$24,MATCH($C1723,DATA_ASSET_CLASSIFICATION!$A$8:$A$24,0)),"Review"))</f>
        <v>Yes</v>
      </c>
      <c r="Q1723" s="350" t="str">
        <f t="shared" ca="1" si="53"/>
        <v>OK</v>
      </c>
    </row>
    <row r="1724" spans="1:17">
      <c r="A1724" s="366" t="s">
        <v>3680</v>
      </c>
      <c r="B1724" s="366" t="s">
        <v>231</v>
      </c>
      <c r="C1724" s="348" t="str">
        <f>DATA_PROPERTY_MASTER!$A$9</f>
        <v>BLD_CC</v>
      </c>
      <c r="D1724" s="380">
        <f>'00_PORTFOLIO ROLLUP'!U$12</f>
        <v>2041</v>
      </c>
      <c r="E1724" s="366" t="s">
        <v>1683</v>
      </c>
      <c r="F1724" s="366" t="s">
        <v>19</v>
      </c>
      <c r="G1724" s="348" t="str">
        <f>"'"&amp;$C1724&amp;"'!$E$41:$Y$41"</f>
        <v>'BLD_CC'!$E$41:$Y$41</v>
      </c>
      <c r="H1724" s="381">
        <f ca="1">IF(IFERROR(INDEX(DATA_PROPERTY_MASTER!$E$5:$E$21,MATCH($C1724,DATA_PROPERTY_MASTER!$A$5:$A$21,0))="Yes",FALSE),IFERROR(INDEX(INDIRECT("'"&amp;$C1724&amp;"'!$E$41:$Y$41"),1,MATCH($D1724,INDIRECT("'"&amp;$C1724&amp;"'!$E$12:$Y$12"),0)),0),0)</f>
        <v>327237.59042880329</v>
      </c>
      <c r="I1724" s="366" t="s">
        <v>1685</v>
      </c>
      <c r="J1724" s="348" t="str">
        <f t="shared" ca="1" si="52"/>
        <v>OK</v>
      </c>
      <c r="K1724" s="366" t="s">
        <v>1694</v>
      </c>
      <c r="L1724" s="366" t="s">
        <v>2238</v>
      </c>
      <c r="M1724" s="350" t="str">
        <f>IF($B1724="Portfolio","Portfolio",IFERROR(INDEX(DATA_ASSET_CLASSIFICATION!$B$8:$B$24,MATCH($C1724,DATA_ASSET_CLASSIFICATION!$A$8:$A$24,0)),"Review"))</f>
        <v>Constance Court</v>
      </c>
      <c r="N1724" s="350" t="str">
        <f ca="1">IF($B1724="Portfolio","Portfolio",IFERROR(INDEX(DATA_ASSET_CLASSIFICATION!$U$8:$U$24,MATCH($C1724,DATA_ASSET_CLASSIFICATION!$A$8:$A$24,0)),"Review"))</f>
        <v>Refi Watch</v>
      </c>
      <c r="O1724" s="350" t="str">
        <f ca="1">IF($B1724="Portfolio","Portfolio",IFERROR(INDEX(DATA_ASSET_CLASSIFICATION!$AB$8:$AB$13,MATCH($N1724,DATA_ASSET_CLASSIFICATION!$AA$8:$AA$13,0)),"Review"))</f>
        <v>Bucket 2 · Legacy</v>
      </c>
      <c r="P1724" s="350" t="str">
        <f>IF($B1724="Portfolio","Portfolio",IFERROR(INDEX(DATA_ASSET_CLASSIFICATION!$C$8:$C$24,MATCH($C1724,DATA_ASSET_CLASSIFICATION!$A$8:$A$24,0)),"Review"))</f>
        <v>Yes</v>
      </c>
      <c r="Q1724" s="350" t="str">
        <f t="shared" ca="1" si="53"/>
        <v>OK</v>
      </c>
    </row>
    <row r="1725" spans="1:17">
      <c r="A1725" s="366" t="s">
        <v>3681</v>
      </c>
      <c r="B1725" s="366" t="s">
        <v>231</v>
      </c>
      <c r="C1725" s="348" t="str">
        <f>DATA_PROPERTY_MASTER!$A$9</f>
        <v>BLD_CC</v>
      </c>
      <c r="D1725" s="380">
        <f>'00_PORTFOLIO ROLLUP'!U$12</f>
        <v>2041</v>
      </c>
      <c r="E1725" s="366" t="s">
        <v>1683</v>
      </c>
      <c r="F1725" s="366" t="s">
        <v>1697</v>
      </c>
      <c r="G1725" s="348" t="str">
        <f>"'"&amp;$C1725&amp;"'!$E$44:$Y$44"</f>
        <v>'BLD_CC'!$E$44:$Y$44</v>
      </c>
      <c r="H1725" s="381">
        <f ca="1">IF(IFERROR(INDEX(DATA_PROPERTY_MASTER!$E$5:$E$21,MATCH($C1725,DATA_PROPERTY_MASTER!$A$5:$A$21,0))="Yes",FALSE),IFERROR(INDEX(INDIRECT("'"&amp;$C1725&amp;"'!$E$44:$Y$44"),1,MATCH($D1725,INDIRECT("'"&amp;$C1725&amp;"'!$E$12:$Y$12"),0)),0),0)</f>
        <v>7001.2070959621215</v>
      </c>
      <c r="I1725" s="366" t="s">
        <v>1690</v>
      </c>
      <c r="J1725" s="348" t="str">
        <f t="shared" ca="1" si="52"/>
        <v>OK</v>
      </c>
      <c r="K1725" s="366" t="s">
        <v>1699</v>
      </c>
      <c r="L1725" s="366" t="s">
        <v>2240</v>
      </c>
      <c r="M1725" s="350" t="str">
        <f>IF($B1725="Portfolio","Portfolio",IFERROR(INDEX(DATA_ASSET_CLASSIFICATION!$B$8:$B$24,MATCH($C1725,DATA_ASSET_CLASSIFICATION!$A$8:$A$24,0)),"Review"))</f>
        <v>Constance Court</v>
      </c>
      <c r="N1725" s="350" t="str">
        <f ca="1">IF($B1725="Portfolio","Portfolio",IFERROR(INDEX(DATA_ASSET_CLASSIFICATION!$U$8:$U$24,MATCH($C1725,DATA_ASSET_CLASSIFICATION!$A$8:$A$24,0)),"Review"))</f>
        <v>Refi Watch</v>
      </c>
      <c r="O1725" s="350" t="str">
        <f ca="1">IF($B1725="Portfolio","Portfolio",IFERROR(INDEX(DATA_ASSET_CLASSIFICATION!$AB$8:$AB$13,MATCH($N1725,DATA_ASSET_CLASSIFICATION!$AA$8:$AA$13,0)),"Review"))</f>
        <v>Bucket 2 · Legacy</v>
      </c>
      <c r="P1725" s="350" t="str">
        <f>IF($B1725="Portfolio","Portfolio",IFERROR(INDEX(DATA_ASSET_CLASSIFICATION!$C$8:$C$24,MATCH($C1725,DATA_ASSET_CLASSIFICATION!$A$8:$A$24,0)),"Review"))</f>
        <v>Yes</v>
      </c>
      <c r="Q1725" s="350" t="str">
        <f t="shared" ca="1" si="53"/>
        <v>OK</v>
      </c>
    </row>
    <row r="1726" spans="1:17">
      <c r="A1726" s="366" t="s">
        <v>3682</v>
      </c>
      <c r="B1726" s="366" t="s">
        <v>231</v>
      </c>
      <c r="C1726" s="348" t="str">
        <f>DATA_PROPERTY_MASTER!$A$9</f>
        <v>BLD_CC</v>
      </c>
      <c r="D1726" s="380">
        <f>'00_PORTFOLIO ROLLUP'!U$12</f>
        <v>2041</v>
      </c>
      <c r="E1726" s="366" t="s">
        <v>1683</v>
      </c>
      <c r="F1726" s="366" t="s">
        <v>21</v>
      </c>
      <c r="G1726" s="348" t="str">
        <f>"'"&amp;$C1726&amp;"'!$E$45:$Y$45"</f>
        <v>'BLD_CC'!$E$45:$Y$45</v>
      </c>
      <c r="H1726" s="381">
        <f ca="1">IF(IFERROR(INDEX(DATA_PROPERTY_MASTER!$E$5:$E$21,MATCH($C1726,DATA_PROPERTY_MASTER!$A$5:$A$21,0))="Yes",FALSE),IFERROR(INDEX(INDIRECT("'"&amp;$C1726&amp;"'!$E$45:$Y$45"),1,MATCH($D1726,INDIRECT("'"&amp;$C1726&amp;"'!$E$12:$Y$12"),0)),0),0)</f>
        <v>320236.38333284116</v>
      </c>
      <c r="I1726" s="366" t="s">
        <v>1685</v>
      </c>
      <c r="J1726" s="348" t="str">
        <f t="shared" ca="1" si="52"/>
        <v>OK</v>
      </c>
      <c r="K1726" s="366" t="s">
        <v>1694</v>
      </c>
      <c r="L1726" s="366" t="s">
        <v>2242</v>
      </c>
      <c r="M1726" s="350" t="str">
        <f>IF($B1726="Portfolio","Portfolio",IFERROR(INDEX(DATA_ASSET_CLASSIFICATION!$B$8:$B$24,MATCH($C1726,DATA_ASSET_CLASSIFICATION!$A$8:$A$24,0)),"Review"))</f>
        <v>Constance Court</v>
      </c>
      <c r="N1726" s="350" t="str">
        <f ca="1">IF($B1726="Portfolio","Portfolio",IFERROR(INDEX(DATA_ASSET_CLASSIFICATION!$U$8:$U$24,MATCH($C1726,DATA_ASSET_CLASSIFICATION!$A$8:$A$24,0)),"Review"))</f>
        <v>Refi Watch</v>
      </c>
      <c r="O1726" s="350" t="str">
        <f ca="1">IF($B1726="Portfolio","Portfolio",IFERROR(INDEX(DATA_ASSET_CLASSIFICATION!$AB$8:$AB$13,MATCH($N1726,DATA_ASSET_CLASSIFICATION!$AA$8:$AA$13,0)),"Review"))</f>
        <v>Bucket 2 · Legacy</v>
      </c>
      <c r="P1726" s="350" t="str">
        <f>IF($B1726="Portfolio","Portfolio",IFERROR(INDEX(DATA_ASSET_CLASSIFICATION!$C$8:$C$24,MATCH($C1726,DATA_ASSET_CLASSIFICATION!$A$8:$A$24,0)),"Review"))</f>
        <v>Yes</v>
      </c>
      <c r="Q1726" s="350" t="str">
        <f t="shared" ca="1" si="53"/>
        <v>OK</v>
      </c>
    </row>
    <row r="1727" spans="1:17">
      <c r="A1727" s="366" t="s">
        <v>3683</v>
      </c>
      <c r="B1727" s="366" t="s">
        <v>231</v>
      </c>
      <c r="C1727" s="348" t="str">
        <f>DATA_PROPERTY_MASTER!$A$9</f>
        <v>BLD_CC</v>
      </c>
      <c r="D1727" s="380">
        <f>'00_PORTFOLIO ROLLUP'!U$12</f>
        <v>2041</v>
      </c>
      <c r="E1727" s="366" t="s">
        <v>23</v>
      </c>
      <c r="F1727" s="366" t="s">
        <v>23</v>
      </c>
      <c r="G1727" s="348" t="str">
        <f>"'"&amp;$C1727&amp;"'!$E$48:$Y$48"</f>
        <v>'BLD_CC'!$E$48:$Y$48</v>
      </c>
      <c r="H1727" s="381">
        <f ca="1">IF(IFERROR(INDEX(DATA_PROPERTY_MASTER!$E$5:$E$21,MATCH($C1727,DATA_PROPERTY_MASTER!$A$5:$A$21,0))="Yes",FALSE),IFERROR(INDEX(INDIRECT("'"&amp;$C1727&amp;"'!$E$48:$Y$48"),1,MATCH($D1727,INDIRECT("'"&amp;$C1727&amp;"'!$E$12:$Y$12"),0)),0),0)</f>
        <v>0</v>
      </c>
      <c r="I1727" s="366" t="s">
        <v>1690</v>
      </c>
      <c r="J1727" s="348" t="str">
        <f t="shared" ca="1" si="52"/>
        <v>OK</v>
      </c>
      <c r="K1727" s="366" t="s">
        <v>1706</v>
      </c>
      <c r="L1727" s="366" t="s">
        <v>2244</v>
      </c>
      <c r="M1727" s="350" t="str">
        <f>IF($B1727="Portfolio","Portfolio",IFERROR(INDEX(DATA_ASSET_CLASSIFICATION!$B$8:$B$24,MATCH($C1727,DATA_ASSET_CLASSIFICATION!$A$8:$A$24,0)),"Review"))</f>
        <v>Constance Court</v>
      </c>
      <c r="N1727" s="350" t="str">
        <f ca="1">IF($B1727="Portfolio","Portfolio",IFERROR(INDEX(DATA_ASSET_CLASSIFICATION!$U$8:$U$24,MATCH($C1727,DATA_ASSET_CLASSIFICATION!$A$8:$A$24,0)),"Review"))</f>
        <v>Refi Watch</v>
      </c>
      <c r="O1727" s="350" t="str">
        <f ca="1">IF($B1727="Portfolio","Portfolio",IFERROR(INDEX(DATA_ASSET_CLASSIFICATION!$AB$8:$AB$13,MATCH($N1727,DATA_ASSET_CLASSIFICATION!$AA$8:$AA$13,0)),"Review"))</f>
        <v>Bucket 2 · Legacy</v>
      </c>
      <c r="P1727" s="350" t="str">
        <f>IF($B1727="Portfolio","Portfolio",IFERROR(INDEX(DATA_ASSET_CLASSIFICATION!$C$8:$C$24,MATCH($C1727,DATA_ASSET_CLASSIFICATION!$A$8:$A$24,0)),"Review"))</f>
        <v>Yes</v>
      </c>
      <c r="Q1727" s="350" t="str">
        <f t="shared" ca="1" si="53"/>
        <v>OK</v>
      </c>
    </row>
    <row r="1728" spans="1:17">
      <c r="A1728" s="366" t="s">
        <v>3684</v>
      </c>
      <c r="B1728" s="366" t="s">
        <v>231</v>
      </c>
      <c r="C1728" s="348" t="str">
        <f>DATA_PROPERTY_MASTER!$A$9</f>
        <v>BLD_CC</v>
      </c>
      <c r="D1728" s="380">
        <f>'00_PORTFOLIO ROLLUP'!U$12</f>
        <v>2041</v>
      </c>
      <c r="E1728" s="366" t="s">
        <v>1683</v>
      </c>
      <c r="F1728" s="366" t="s">
        <v>25</v>
      </c>
      <c r="G1728" s="348" t="str">
        <f>"'"&amp;$C1728&amp;"'!$E$52:$Y$52"</f>
        <v>'BLD_CC'!$E$52:$Y$52</v>
      </c>
      <c r="H1728" s="381">
        <f ca="1">IF(IFERROR(INDEX(DATA_PROPERTY_MASTER!$E$5:$E$21,MATCH($C1728,DATA_PROPERTY_MASTER!$A$5:$A$21,0))="Yes",FALSE),IFERROR(INDEX(INDIRECT("'"&amp;$C1728&amp;"'!$E$52:$Y$52"),1,MATCH($D1728,INDIRECT("'"&amp;$C1728&amp;"'!$E$12:$Y$12"),0)),0),0)</f>
        <v>327237.59042880329</v>
      </c>
      <c r="I1728" s="366" t="s">
        <v>1685</v>
      </c>
      <c r="J1728" s="348" t="str">
        <f t="shared" ca="1" si="52"/>
        <v>OK</v>
      </c>
      <c r="K1728" s="366" t="s">
        <v>1710</v>
      </c>
      <c r="L1728" s="366" t="s">
        <v>2246</v>
      </c>
      <c r="M1728" s="350" t="str">
        <f>IF($B1728="Portfolio","Portfolio",IFERROR(INDEX(DATA_ASSET_CLASSIFICATION!$B$8:$B$24,MATCH($C1728,DATA_ASSET_CLASSIFICATION!$A$8:$A$24,0)),"Review"))</f>
        <v>Constance Court</v>
      </c>
      <c r="N1728" s="350" t="str">
        <f ca="1">IF($B1728="Portfolio","Portfolio",IFERROR(INDEX(DATA_ASSET_CLASSIFICATION!$U$8:$U$24,MATCH($C1728,DATA_ASSET_CLASSIFICATION!$A$8:$A$24,0)),"Review"))</f>
        <v>Refi Watch</v>
      </c>
      <c r="O1728" s="350" t="str">
        <f ca="1">IF($B1728="Portfolio","Portfolio",IFERROR(INDEX(DATA_ASSET_CLASSIFICATION!$AB$8:$AB$13,MATCH($N1728,DATA_ASSET_CLASSIFICATION!$AA$8:$AA$13,0)),"Review"))</f>
        <v>Bucket 2 · Legacy</v>
      </c>
      <c r="P1728" s="350" t="str">
        <f>IF($B1728="Portfolio","Portfolio",IFERROR(INDEX(DATA_ASSET_CLASSIFICATION!$C$8:$C$24,MATCH($C1728,DATA_ASSET_CLASSIFICATION!$A$8:$A$24,0)),"Review"))</f>
        <v>Yes</v>
      </c>
      <c r="Q1728" s="350" t="str">
        <f t="shared" ca="1" si="53"/>
        <v>OK</v>
      </c>
    </row>
    <row r="1729" spans="1:17">
      <c r="A1729" s="366" t="s">
        <v>3685</v>
      </c>
      <c r="B1729" s="366" t="s">
        <v>231</v>
      </c>
      <c r="C1729" s="348" t="str">
        <f>DATA_PROPERTY_MASTER!$A$9</f>
        <v>BLD_CC</v>
      </c>
      <c r="D1729" s="380">
        <f>'00_PORTFOLIO ROLLUP'!U$12</f>
        <v>2041</v>
      </c>
      <c r="E1729" s="366" t="s">
        <v>1683</v>
      </c>
      <c r="F1729" s="366" t="s">
        <v>27</v>
      </c>
      <c r="G1729" s="348" t="str">
        <f>"'"&amp;$C1729&amp;"'!$E$54:$Y$54"</f>
        <v>'BLD_CC'!$E$54:$Y$54</v>
      </c>
      <c r="H1729" s="381">
        <f ca="1">IF(IFERROR(INDEX(DATA_PROPERTY_MASTER!$E$5:$E$21,MATCH($C1729,DATA_PROPERTY_MASTER!$A$5:$A$21,0))="Yes",FALSE),IFERROR(INDEX(INDIRECT("'"&amp;$C1729&amp;"'!$E$54:$Y$54"),1,MATCH($D1729,INDIRECT("'"&amp;$C1729&amp;"'!$E$12:$Y$12"),0)),0),0)</f>
        <v>196342.55425728197</v>
      </c>
      <c r="I1729" s="366" t="s">
        <v>1690</v>
      </c>
      <c r="J1729" s="348" t="str">
        <f t="shared" ca="1" si="52"/>
        <v>OK</v>
      </c>
      <c r="K1729" s="366" t="s">
        <v>1714</v>
      </c>
      <c r="L1729" s="366" t="s">
        <v>2248</v>
      </c>
      <c r="M1729" s="350" t="str">
        <f>IF($B1729="Portfolio","Portfolio",IFERROR(INDEX(DATA_ASSET_CLASSIFICATION!$B$8:$B$24,MATCH($C1729,DATA_ASSET_CLASSIFICATION!$A$8:$A$24,0)),"Review"))</f>
        <v>Constance Court</v>
      </c>
      <c r="N1729" s="350" t="str">
        <f ca="1">IF($B1729="Portfolio","Portfolio",IFERROR(INDEX(DATA_ASSET_CLASSIFICATION!$U$8:$U$24,MATCH($C1729,DATA_ASSET_CLASSIFICATION!$A$8:$A$24,0)),"Review"))</f>
        <v>Refi Watch</v>
      </c>
      <c r="O1729" s="350" t="str">
        <f ca="1">IF($B1729="Portfolio","Portfolio",IFERROR(INDEX(DATA_ASSET_CLASSIFICATION!$AB$8:$AB$13,MATCH($N1729,DATA_ASSET_CLASSIFICATION!$AA$8:$AA$13,0)),"Review"))</f>
        <v>Bucket 2 · Legacy</v>
      </c>
      <c r="P1729" s="350" t="str">
        <f>IF($B1729="Portfolio","Portfolio",IFERROR(INDEX(DATA_ASSET_CLASSIFICATION!$C$8:$C$24,MATCH($C1729,DATA_ASSET_CLASSIFICATION!$A$8:$A$24,0)),"Review"))</f>
        <v>Yes</v>
      </c>
      <c r="Q1729" s="350" t="str">
        <f t="shared" ca="1" si="53"/>
        <v>OK</v>
      </c>
    </row>
    <row r="1730" spans="1:17">
      <c r="A1730" s="366" t="s">
        <v>3686</v>
      </c>
      <c r="B1730" s="366" t="s">
        <v>231</v>
      </c>
      <c r="C1730" s="348" t="str">
        <f>DATA_PROPERTY_MASTER!$A$9</f>
        <v>BLD_CC</v>
      </c>
      <c r="D1730" s="380">
        <f>'00_PORTFOLIO ROLLUP'!U$12</f>
        <v>2041</v>
      </c>
      <c r="E1730" s="366" t="s">
        <v>1683</v>
      </c>
      <c r="F1730" s="366" t="s">
        <v>29</v>
      </c>
      <c r="G1730" s="348" t="str">
        <f>"'"&amp;$C1730&amp;"'!$E$56:$Y$56"</f>
        <v>'BLD_CC'!$E$56:$Y$56</v>
      </c>
      <c r="H1730" s="381">
        <f ca="1">IF(IFERROR(INDEX(DATA_PROPERTY_MASTER!$E$5:$E$21,MATCH($C1730,DATA_PROPERTY_MASTER!$A$5:$A$21,0))="Yes",FALSE),IFERROR(INDEX(INDIRECT("'"&amp;$C1730&amp;"'!$E$56:$Y$56"),1,MATCH($D1730,INDIRECT("'"&amp;$C1730&amp;"'!$E$12:$Y$12"),0)),0),0)</f>
        <v>130895.03617152132</v>
      </c>
      <c r="I1730" s="366" t="s">
        <v>1685</v>
      </c>
      <c r="J1730" s="348" t="str">
        <f t="shared" ca="1" si="52"/>
        <v>OK</v>
      </c>
      <c r="K1730" s="366" t="s">
        <v>1718</v>
      </c>
      <c r="L1730" s="366" t="s">
        <v>2250</v>
      </c>
      <c r="M1730" s="350" t="str">
        <f>IF($B1730="Portfolio","Portfolio",IFERROR(INDEX(DATA_ASSET_CLASSIFICATION!$B$8:$B$24,MATCH($C1730,DATA_ASSET_CLASSIFICATION!$A$8:$A$24,0)),"Review"))</f>
        <v>Constance Court</v>
      </c>
      <c r="N1730" s="350" t="str">
        <f ca="1">IF($B1730="Portfolio","Portfolio",IFERROR(INDEX(DATA_ASSET_CLASSIFICATION!$U$8:$U$24,MATCH($C1730,DATA_ASSET_CLASSIFICATION!$A$8:$A$24,0)),"Review"))</f>
        <v>Refi Watch</v>
      </c>
      <c r="O1730" s="350" t="str">
        <f ca="1">IF($B1730="Portfolio","Portfolio",IFERROR(INDEX(DATA_ASSET_CLASSIFICATION!$AB$8:$AB$13,MATCH($N1730,DATA_ASSET_CLASSIFICATION!$AA$8:$AA$13,0)),"Review"))</f>
        <v>Bucket 2 · Legacy</v>
      </c>
      <c r="P1730" s="350" t="str">
        <f>IF($B1730="Portfolio","Portfolio",IFERROR(INDEX(DATA_ASSET_CLASSIFICATION!$C$8:$C$24,MATCH($C1730,DATA_ASSET_CLASSIFICATION!$A$8:$A$24,0)),"Review"))</f>
        <v>Yes</v>
      </c>
      <c r="Q1730" s="350" t="str">
        <f t="shared" ca="1" si="53"/>
        <v>OK</v>
      </c>
    </row>
    <row r="1731" spans="1:17">
      <c r="A1731" s="366" t="s">
        <v>3687</v>
      </c>
      <c r="B1731" s="366" t="s">
        <v>231</v>
      </c>
      <c r="C1731" s="348" t="str">
        <f>DATA_PROPERTY_MASTER!$A$9</f>
        <v>BLD_CC</v>
      </c>
      <c r="D1731" s="380">
        <f>'00_PORTFOLIO ROLLUP'!U$12</f>
        <v>2041</v>
      </c>
      <c r="E1731" s="366" t="s">
        <v>1721</v>
      </c>
      <c r="F1731" s="366" t="s">
        <v>31</v>
      </c>
      <c r="G1731" s="348" t="str">
        <f>"'"&amp;$C1731&amp;"'!$E$61:$Y$61"</f>
        <v>'BLD_CC'!$E$61:$Y$61</v>
      </c>
      <c r="H1731" s="381">
        <f ca="1">IF(IFERROR(INDEX(DATA_PROPERTY_MASTER!$E$5:$E$21,MATCH($C1731,DATA_PROPERTY_MASTER!$A$5:$A$21,0))="Yes",FALSE),IFERROR(INDEX(INDIRECT("'"&amp;$C1731&amp;"'!$E$61:$Y$61"),1,MATCH($D1731,INDIRECT("'"&amp;$C1731&amp;"'!$E$12:$Y$12"),0)),0),0)</f>
        <v>0</v>
      </c>
      <c r="I1731" s="366" t="s">
        <v>1690</v>
      </c>
      <c r="J1731" s="348" t="str">
        <f t="shared" ca="1" si="52"/>
        <v>OK</v>
      </c>
      <c r="K1731" s="366" t="s">
        <v>1723</v>
      </c>
      <c r="L1731" s="366" t="s">
        <v>2252</v>
      </c>
      <c r="M1731" s="350" t="str">
        <f>IF($B1731="Portfolio","Portfolio",IFERROR(INDEX(DATA_ASSET_CLASSIFICATION!$B$8:$B$24,MATCH($C1731,DATA_ASSET_CLASSIFICATION!$A$8:$A$24,0)),"Review"))</f>
        <v>Constance Court</v>
      </c>
      <c r="N1731" s="350" t="str">
        <f ca="1">IF($B1731="Portfolio","Portfolio",IFERROR(INDEX(DATA_ASSET_CLASSIFICATION!$U$8:$U$24,MATCH($C1731,DATA_ASSET_CLASSIFICATION!$A$8:$A$24,0)),"Review"))</f>
        <v>Refi Watch</v>
      </c>
      <c r="O1731" s="350" t="str">
        <f ca="1">IF($B1731="Portfolio","Portfolio",IFERROR(INDEX(DATA_ASSET_CLASSIFICATION!$AB$8:$AB$13,MATCH($N1731,DATA_ASSET_CLASSIFICATION!$AA$8:$AA$13,0)),"Review"))</f>
        <v>Bucket 2 · Legacy</v>
      </c>
      <c r="P1731" s="350" t="str">
        <f>IF($B1731="Portfolio","Portfolio",IFERROR(INDEX(DATA_ASSET_CLASSIFICATION!$C$8:$C$24,MATCH($C1731,DATA_ASSET_CLASSIFICATION!$A$8:$A$24,0)),"Review"))</f>
        <v>Yes</v>
      </c>
      <c r="Q1731" s="350" t="str">
        <f t="shared" ca="1" si="53"/>
        <v>OK</v>
      </c>
    </row>
    <row r="1732" spans="1:17">
      <c r="A1732" s="366" t="s">
        <v>3688</v>
      </c>
      <c r="B1732" s="366" t="s">
        <v>231</v>
      </c>
      <c r="C1732" s="348" t="str">
        <f>DATA_PROPERTY_MASTER!$A$9</f>
        <v>BLD_CC</v>
      </c>
      <c r="D1732" s="380">
        <f>'00_PORTFOLIO ROLLUP'!U$12</f>
        <v>2041</v>
      </c>
      <c r="E1732" s="366" t="s">
        <v>1721</v>
      </c>
      <c r="F1732" s="366" t="s">
        <v>33</v>
      </c>
      <c r="G1732" s="348" t="str">
        <f>"'"&amp;$C1732&amp;"'!$E$62:$Y$62"</f>
        <v>'BLD_CC'!$E$62:$Y$62</v>
      </c>
      <c r="H1732" s="381">
        <f ca="1">IF(IFERROR(INDEX(DATA_PROPERTY_MASTER!$E$5:$E$21,MATCH($C1732,DATA_PROPERTY_MASTER!$A$5:$A$21,0))="Yes",FALSE),IFERROR(INDEX(INDIRECT("'"&amp;$C1732&amp;"'!$E$62:$Y$62"),1,MATCH($D1732,INDIRECT("'"&amp;$C1732&amp;"'!$E$12:$Y$12"),0)),0),0)</f>
        <v>0</v>
      </c>
      <c r="I1732" s="366" t="s">
        <v>1685</v>
      </c>
      <c r="J1732" s="348" t="str">
        <f t="shared" ca="1" si="52"/>
        <v>OK</v>
      </c>
      <c r="K1732" s="366" t="s">
        <v>1727</v>
      </c>
      <c r="L1732" s="366" t="s">
        <v>2254</v>
      </c>
      <c r="M1732" s="350" t="str">
        <f>IF($B1732="Portfolio","Portfolio",IFERROR(INDEX(DATA_ASSET_CLASSIFICATION!$B$8:$B$24,MATCH($C1732,DATA_ASSET_CLASSIFICATION!$A$8:$A$24,0)),"Review"))</f>
        <v>Constance Court</v>
      </c>
      <c r="N1732" s="350" t="str">
        <f ca="1">IF($B1732="Portfolio","Portfolio",IFERROR(INDEX(DATA_ASSET_CLASSIFICATION!$U$8:$U$24,MATCH($C1732,DATA_ASSET_CLASSIFICATION!$A$8:$A$24,0)),"Review"))</f>
        <v>Refi Watch</v>
      </c>
      <c r="O1732" s="350" t="str">
        <f ca="1">IF($B1732="Portfolio","Portfolio",IFERROR(INDEX(DATA_ASSET_CLASSIFICATION!$AB$8:$AB$13,MATCH($N1732,DATA_ASSET_CLASSIFICATION!$AA$8:$AA$13,0)),"Review"))</f>
        <v>Bucket 2 · Legacy</v>
      </c>
      <c r="P1732" s="350" t="str">
        <f>IF($B1732="Portfolio","Portfolio",IFERROR(INDEX(DATA_ASSET_CLASSIFICATION!$C$8:$C$24,MATCH($C1732,DATA_ASSET_CLASSIFICATION!$A$8:$A$24,0)),"Review"))</f>
        <v>Yes</v>
      </c>
      <c r="Q1732" s="350" t="str">
        <f t="shared" ca="1" si="53"/>
        <v>OK</v>
      </c>
    </row>
    <row r="1733" spans="1:17">
      <c r="A1733" s="366" t="s">
        <v>3689</v>
      </c>
      <c r="B1733" s="366" t="s">
        <v>231</v>
      </c>
      <c r="C1733" s="348" t="str">
        <f>DATA_PROPERTY_MASTER!$A$9</f>
        <v>BLD_CC</v>
      </c>
      <c r="D1733" s="380">
        <f>'00_PORTFOLIO ROLLUP'!U$12</f>
        <v>2041</v>
      </c>
      <c r="E1733" s="366" t="s">
        <v>1721</v>
      </c>
      <c r="F1733" s="366" t="s">
        <v>35</v>
      </c>
      <c r="G1733" s="348" t="str">
        <f>"'"&amp;$C1733&amp;"'!$E$63:$Y$63"</f>
        <v>'BLD_CC'!$E$63:$Y$63</v>
      </c>
      <c r="H1733" s="381">
        <f ca="1">IF(IFERROR(INDEX(DATA_PROPERTY_MASTER!$E$5:$E$21,MATCH($C1733,DATA_PROPERTY_MASTER!$A$5:$A$21,0))="Yes",FALSE),IFERROR(INDEX(INDIRECT("'"&amp;$C1733&amp;"'!$E$63:$Y$63"),1,MATCH($D1733,INDIRECT("'"&amp;$C1733&amp;"'!$E$12:$Y$12"),0)),0),0)</f>
        <v>0</v>
      </c>
      <c r="I1733" s="366" t="s">
        <v>1731</v>
      </c>
      <c r="J1733" s="348" t="str">
        <f t="shared" ref="J1733:J1796" ca="1" si="54">IF($F1733="Residual Funding Gap",IF($H1733&gt;0,"Funding Gap","OK"),IF(AND($F1733="Net Refinance Position",$H1733&lt;0),"Negative net refi position","OK"))</f>
        <v>OK</v>
      </c>
      <c r="K1733" s="366" t="s">
        <v>1732</v>
      </c>
      <c r="L1733" s="366" t="s">
        <v>2256</v>
      </c>
      <c r="M1733" s="350" t="str">
        <f>IF($B1733="Portfolio","Portfolio",IFERROR(INDEX(DATA_ASSET_CLASSIFICATION!$B$8:$B$24,MATCH($C1733,DATA_ASSET_CLASSIFICATION!$A$8:$A$24,0)),"Review"))</f>
        <v>Constance Court</v>
      </c>
      <c r="N1733" s="350" t="str">
        <f ca="1">IF($B1733="Portfolio","Portfolio",IFERROR(INDEX(DATA_ASSET_CLASSIFICATION!$U$8:$U$24,MATCH($C1733,DATA_ASSET_CLASSIFICATION!$A$8:$A$24,0)),"Review"))</f>
        <v>Refi Watch</v>
      </c>
      <c r="O1733" s="350" t="str">
        <f ca="1">IF($B1733="Portfolio","Portfolio",IFERROR(INDEX(DATA_ASSET_CLASSIFICATION!$AB$8:$AB$13,MATCH($N1733,DATA_ASSET_CLASSIFICATION!$AA$8:$AA$13,0)),"Review"))</f>
        <v>Bucket 2 · Legacy</v>
      </c>
      <c r="P1733" s="350" t="str">
        <f>IF($B1733="Portfolio","Portfolio",IFERROR(INDEX(DATA_ASSET_CLASSIFICATION!$C$8:$C$24,MATCH($C1733,DATA_ASSET_CLASSIFICATION!$A$8:$A$24,0)),"Review"))</f>
        <v>Yes</v>
      </c>
      <c r="Q1733" s="350" t="str">
        <f t="shared" ref="Q1733:Q1796" ca="1" si="55">IF(AND($B1733="Property",$F1733="Residual Funding Gap",$H1733&gt;0),"Property Funding Gap",IF($J1733&lt;&gt;"OK",$J1733,"OK"))</f>
        <v>OK</v>
      </c>
    </row>
    <row r="1734" spans="1:17">
      <c r="A1734" s="366" t="s">
        <v>3690</v>
      </c>
      <c r="B1734" s="366" t="s">
        <v>231</v>
      </c>
      <c r="C1734" s="348" t="str">
        <f>DATA_PROPERTY_MASTER!$A$9</f>
        <v>BLD_CC</v>
      </c>
      <c r="D1734" s="380">
        <f>'00_PORTFOLIO ROLLUP'!U$12</f>
        <v>2041</v>
      </c>
      <c r="E1734" s="366" t="s">
        <v>1721</v>
      </c>
      <c r="F1734" s="366" t="s">
        <v>37</v>
      </c>
      <c r="G1734" s="348" t="str">
        <f>"'"&amp;$C1734&amp;"'!$E$63:$Y$63"</f>
        <v>'BLD_CC'!$E$63:$Y$63</v>
      </c>
      <c r="H1734" s="381">
        <f ca="1">IF(IFERROR(INDEX(DATA_PROPERTY_MASTER!$E$5:$E$21,MATCH($C1734,DATA_PROPERTY_MASTER!$A$5:$A$21,0))="Yes",FALSE),MAX(IFERROR(INDEX(INDIRECT("'"&amp;$C1734&amp;"'!$E$63:$Y$63"),1,MATCH($D1734,INDIRECT("'"&amp;$C1734&amp;"'!$E$12:$Y$12"),0)),0),0),0)</f>
        <v>0</v>
      </c>
      <c r="I1734" s="366" t="s">
        <v>1685</v>
      </c>
      <c r="J1734" s="348" t="str">
        <f t="shared" ca="1" si="54"/>
        <v>OK</v>
      </c>
      <c r="K1734" s="366" t="s">
        <v>1735</v>
      </c>
      <c r="L1734" s="366" t="s">
        <v>2258</v>
      </c>
      <c r="M1734" s="350" t="str">
        <f>IF($B1734="Portfolio","Portfolio",IFERROR(INDEX(DATA_ASSET_CLASSIFICATION!$B$8:$B$24,MATCH($C1734,DATA_ASSET_CLASSIFICATION!$A$8:$A$24,0)),"Review"))</f>
        <v>Constance Court</v>
      </c>
      <c r="N1734" s="350" t="str">
        <f ca="1">IF($B1734="Portfolio","Portfolio",IFERROR(INDEX(DATA_ASSET_CLASSIFICATION!$U$8:$U$24,MATCH($C1734,DATA_ASSET_CLASSIFICATION!$A$8:$A$24,0)),"Review"))</f>
        <v>Refi Watch</v>
      </c>
      <c r="O1734" s="350" t="str">
        <f ca="1">IF($B1734="Portfolio","Portfolio",IFERROR(INDEX(DATA_ASSET_CLASSIFICATION!$AB$8:$AB$13,MATCH($N1734,DATA_ASSET_CLASSIFICATION!$AA$8:$AA$13,0)),"Review"))</f>
        <v>Bucket 2 · Legacy</v>
      </c>
      <c r="P1734" s="350" t="str">
        <f>IF($B1734="Portfolio","Portfolio",IFERROR(INDEX(DATA_ASSET_CLASSIFICATION!$C$8:$C$24,MATCH($C1734,DATA_ASSET_CLASSIFICATION!$A$8:$A$24,0)),"Review"))</f>
        <v>Yes</v>
      </c>
      <c r="Q1734" s="350" t="str">
        <f t="shared" ca="1" si="55"/>
        <v>OK</v>
      </c>
    </row>
    <row r="1735" spans="1:17">
      <c r="A1735" s="366" t="s">
        <v>3691</v>
      </c>
      <c r="B1735" s="366" t="s">
        <v>231</v>
      </c>
      <c r="C1735" s="348" t="str">
        <f>DATA_PROPERTY_MASTER!$A$9</f>
        <v>BLD_CC</v>
      </c>
      <c r="D1735" s="380">
        <f>'00_PORTFOLIO ROLLUP'!U$12</f>
        <v>2041</v>
      </c>
      <c r="E1735" s="366" t="s">
        <v>1721</v>
      </c>
      <c r="F1735" s="366" t="s">
        <v>39</v>
      </c>
      <c r="G1735" s="348" t="str">
        <f>"'"&amp;$C1735&amp;"'!$E$63:$Y$63"</f>
        <v>'BLD_CC'!$E$63:$Y$63</v>
      </c>
      <c r="H1735" s="381">
        <f ca="1">IF(IFERROR(INDEX(DATA_PROPERTY_MASTER!$E$5:$E$21,MATCH($C1735,DATA_PROPERTY_MASTER!$A$5:$A$21,0))="Yes",FALSE),MAX(-IFERROR(INDEX(INDIRECT("'"&amp;$C1735&amp;"'!$E$63:$Y$63"),1,MATCH($D1735,INDIRECT("'"&amp;$C1735&amp;"'!$E$12:$Y$12"),0)),0),0),0)</f>
        <v>0</v>
      </c>
      <c r="I1735" s="366" t="s">
        <v>1690</v>
      </c>
      <c r="J1735" s="348" t="str">
        <f t="shared" ca="1" si="54"/>
        <v>OK</v>
      </c>
      <c r="K1735" s="366" t="s">
        <v>1738</v>
      </c>
      <c r="L1735" s="366" t="s">
        <v>2260</v>
      </c>
      <c r="M1735" s="350" t="str">
        <f>IF($B1735="Portfolio","Portfolio",IFERROR(INDEX(DATA_ASSET_CLASSIFICATION!$B$8:$B$24,MATCH($C1735,DATA_ASSET_CLASSIFICATION!$A$8:$A$24,0)),"Review"))</f>
        <v>Constance Court</v>
      </c>
      <c r="N1735" s="350" t="str">
        <f ca="1">IF($B1735="Portfolio","Portfolio",IFERROR(INDEX(DATA_ASSET_CLASSIFICATION!$U$8:$U$24,MATCH($C1735,DATA_ASSET_CLASSIFICATION!$A$8:$A$24,0)),"Review"))</f>
        <v>Refi Watch</v>
      </c>
      <c r="O1735" s="350" t="str">
        <f ca="1">IF($B1735="Portfolio","Portfolio",IFERROR(INDEX(DATA_ASSET_CLASSIFICATION!$AB$8:$AB$13,MATCH($N1735,DATA_ASSET_CLASSIFICATION!$AA$8:$AA$13,0)),"Review"))</f>
        <v>Bucket 2 · Legacy</v>
      </c>
      <c r="P1735" s="350" t="str">
        <f>IF($B1735="Portfolio","Portfolio",IFERROR(INDEX(DATA_ASSET_CLASSIFICATION!$C$8:$C$24,MATCH($C1735,DATA_ASSET_CLASSIFICATION!$A$8:$A$24,0)),"Review"))</f>
        <v>Yes</v>
      </c>
      <c r="Q1735" s="350" t="str">
        <f t="shared" ca="1" si="55"/>
        <v>OK</v>
      </c>
    </row>
    <row r="1736" spans="1:17">
      <c r="A1736" s="366" t="s">
        <v>3692</v>
      </c>
      <c r="B1736" s="366" t="s">
        <v>231</v>
      </c>
      <c r="C1736" s="348" t="str">
        <f>DATA_PROPERTY_MASTER!$A$9</f>
        <v>BLD_CC</v>
      </c>
      <c r="D1736" s="380">
        <f>'00_PORTFOLIO ROLLUP'!U$12</f>
        <v>2041</v>
      </c>
      <c r="E1736" s="366" t="s">
        <v>1741</v>
      </c>
      <c r="F1736" s="366" t="s">
        <v>41</v>
      </c>
      <c r="G1736" s="348" t="str">
        <f>"'"&amp;$C1736&amp;"'!rows 56 + positive row 63"</f>
        <v>'BLD_CC'!rows 56 + positive row 63</v>
      </c>
      <c r="H1736" s="381">
        <f ca="1">IF(IFERROR(INDEX(DATA_PROPERTY_MASTER!$E$5:$E$21,MATCH($C1736,DATA_PROPERTY_MASTER!$A$5:$A$21,0))="Yes",FALSE),IFERROR(INDEX(INDIRECT("'"&amp;$C1736&amp;"'!$E$56:$Y$56"),1,MATCH($D1736,INDIRECT("'"&amp;$C1736&amp;"'!$E$12:$Y$12"),0)),0)+MAX(IFERROR(INDEX(INDIRECT("'"&amp;$C1736&amp;"'!$E$63:$Y$63"),1,MATCH($D1736,INDIRECT("'"&amp;$C1736&amp;"'!$E$12:$Y$12"),0)),0),0),0)</f>
        <v>130895.03617152132</v>
      </c>
      <c r="I1736" s="366" t="s">
        <v>1685</v>
      </c>
      <c r="J1736" s="348" t="str">
        <f t="shared" ca="1" si="54"/>
        <v>OK</v>
      </c>
      <c r="K1736" s="366" t="s">
        <v>1742</v>
      </c>
      <c r="L1736" s="366" t="s">
        <v>2262</v>
      </c>
      <c r="M1736" s="350" t="str">
        <f>IF($B1736="Portfolio","Portfolio",IFERROR(INDEX(DATA_ASSET_CLASSIFICATION!$B$8:$B$24,MATCH($C1736,DATA_ASSET_CLASSIFICATION!$A$8:$A$24,0)),"Review"))</f>
        <v>Constance Court</v>
      </c>
      <c r="N1736" s="350" t="str">
        <f ca="1">IF($B1736="Portfolio","Portfolio",IFERROR(INDEX(DATA_ASSET_CLASSIFICATION!$U$8:$U$24,MATCH($C1736,DATA_ASSET_CLASSIFICATION!$A$8:$A$24,0)),"Review"))</f>
        <v>Refi Watch</v>
      </c>
      <c r="O1736" s="350" t="str">
        <f ca="1">IF($B1736="Portfolio","Portfolio",IFERROR(INDEX(DATA_ASSET_CLASSIFICATION!$AB$8:$AB$13,MATCH($N1736,DATA_ASSET_CLASSIFICATION!$AA$8:$AA$13,0)),"Review"))</f>
        <v>Bucket 2 · Legacy</v>
      </c>
      <c r="P1736" s="350" t="str">
        <f>IF($B1736="Portfolio","Portfolio",IFERROR(INDEX(DATA_ASSET_CLASSIFICATION!$C$8:$C$24,MATCH($C1736,DATA_ASSET_CLASSIFICATION!$A$8:$A$24,0)),"Review"))</f>
        <v>Yes</v>
      </c>
      <c r="Q1736" s="350" t="str">
        <f t="shared" ca="1" si="55"/>
        <v>OK</v>
      </c>
    </row>
    <row r="1737" spans="1:17">
      <c r="A1737" s="366" t="s">
        <v>3693</v>
      </c>
      <c r="B1737" s="366" t="s">
        <v>231</v>
      </c>
      <c r="C1737" s="348" t="str">
        <f>DATA_PROPERTY_MASTER!$A$9</f>
        <v>BLD_CC</v>
      </c>
      <c r="D1737" s="380">
        <f>'00_PORTFOLIO ROLLUP'!U$12</f>
        <v>2041</v>
      </c>
      <c r="E1737" s="366" t="s">
        <v>1741</v>
      </c>
      <c r="F1737" s="366" t="s">
        <v>43</v>
      </c>
      <c r="G1737" s="348" t="str">
        <f>"'"&amp;$C1737&amp;"'!$E$68:$Y$68"</f>
        <v>'BLD_CC'!$E$68:$Y$68</v>
      </c>
      <c r="H1737" s="381">
        <f ca="1">IF(IFERROR(INDEX(DATA_PROPERTY_MASTER!$E$5:$E$21,MATCH($C1737,DATA_PROPERTY_MASTER!$A$5:$A$21,0))="Yes",FALSE),IFERROR(INDEX(INDIRECT("'"&amp;$C1737&amp;"'!$E$68:$Y$68"),1,MATCH($D1737,INDIRECT("'"&amp;$C1737&amp;"'!$E$12:$Y$12"),0)),0),0)</f>
        <v>130895.03617152132</v>
      </c>
      <c r="I1737" s="366" t="s">
        <v>1731</v>
      </c>
      <c r="J1737" s="348" t="str">
        <f t="shared" ca="1" si="54"/>
        <v>OK</v>
      </c>
      <c r="K1737" s="366" t="s">
        <v>1746</v>
      </c>
      <c r="L1737" s="366" t="s">
        <v>2264</v>
      </c>
      <c r="M1737" s="350" t="str">
        <f>IF($B1737="Portfolio","Portfolio",IFERROR(INDEX(DATA_ASSET_CLASSIFICATION!$B$8:$B$24,MATCH($C1737,DATA_ASSET_CLASSIFICATION!$A$8:$A$24,0)),"Review"))</f>
        <v>Constance Court</v>
      </c>
      <c r="N1737" s="350" t="str">
        <f ca="1">IF($B1737="Portfolio","Portfolio",IFERROR(INDEX(DATA_ASSET_CLASSIFICATION!$U$8:$U$24,MATCH($C1737,DATA_ASSET_CLASSIFICATION!$A$8:$A$24,0)),"Review"))</f>
        <v>Refi Watch</v>
      </c>
      <c r="O1737" s="350" t="str">
        <f ca="1">IF($B1737="Portfolio","Portfolio",IFERROR(INDEX(DATA_ASSET_CLASSIFICATION!$AB$8:$AB$13,MATCH($N1737,DATA_ASSET_CLASSIFICATION!$AA$8:$AA$13,0)),"Review"))</f>
        <v>Bucket 2 · Legacy</v>
      </c>
      <c r="P1737" s="350" t="str">
        <f>IF($B1737="Portfolio","Portfolio",IFERROR(INDEX(DATA_ASSET_CLASSIFICATION!$C$8:$C$24,MATCH($C1737,DATA_ASSET_CLASSIFICATION!$A$8:$A$24,0)),"Review"))</f>
        <v>Yes</v>
      </c>
      <c r="Q1737" s="350" t="str">
        <f t="shared" ca="1" si="55"/>
        <v>OK</v>
      </c>
    </row>
    <row r="1738" spans="1:17">
      <c r="A1738" s="366" t="s">
        <v>3694</v>
      </c>
      <c r="B1738" s="366" t="s">
        <v>231</v>
      </c>
      <c r="C1738" s="348" t="str">
        <f>DATA_PROPERTY_MASTER!$A$9</f>
        <v>BLD_CC</v>
      </c>
      <c r="D1738" s="380">
        <f>'00_PORTFOLIO ROLLUP'!U$12</f>
        <v>2041</v>
      </c>
      <c r="E1738" s="366" t="s">
        <v>1741</v>
      </c>
      <c r="F1738" s="366" t="s">
        <v>1749</v>
      </c>
      <c r="G1738" s="348" t="str">
        <f>"'"&amp;$C1738&amp;"'!rows 56, 63, 68"</f>
        <v>'BLD_CC'!rows 56, 63, 68</v>
      </c>
      <c r="H1738" s="381">
        <f ca="1">IF(IFERROR(INDEX(DATA_PROPERTY_MASTER!$E$5:$E$21,MATCH($C1738,DATA_PROPERTY_MASTER!$A$5:$A$21,0))="Yes",FALSE),(IFERROR(INDEX(INDIRECT("'"&amp;$C1738&amp;"'!$E$56:$Y$56"),1,MATCH($D1738,INDIRECT("'"&amp;$C1738&amp;"'!$E$12:$Y$12"),0)),0)+MAX(IFERROR(INDEX(INDIRECT("'"&amp;$C1738&amp;"'!$E$63:$Y$63"),1,MATCH($D1738,INDIRECT("'"&amp;$C1738&amp;"'!$E$12:$Y$12"),0)),0),0))-(IFERROR(INDEX(INDIRECT("'"&amp;$C1738&amp;"'!$E$68:$Y$68"),1,MATCH($D1738,INDIRECT("'"&amp;$C1738&amp;"'!$E$12:$Y$12"),0)),0)),0)</f>
        <v>0</v>
      </c>
      <c r="I1738" s="366" t="s">
        <v>1750</v>
      </c>
      <c r="J1738" s="348" t="str">
        <f t="shared" ca="1" si="54"/>
        <v>OK</v>
      </c>
      <c r="K1738" s="366" t="s">
        <v>1751</v>
      </c>
      <c r="L1738" s="366" t="s">
        <v>2266</v>
      </c>
      <c r="M1738" s="350" t="str">
        <f>IF($B1738="Portfolio","Portfolio",IFERROR(INDEX(DATA_ASSET_CLASSIFICATION!$B$8:$B$24,MATCH($C1738,DATA_ASSET_CLASSIFICATION!$A$8:$A$24,0)),"Review"))</f>
        <v>Constance Court</v>
      </c>
      <c r="N1738" s="350" t="str">
        <f ca="1">IF($B1738="Portfolio","Portfolio",IFERROR(INDEX(DATA_ASSET_CLASSIFICATION!$U$8:$U$24,MATCH($C1738,DATA_ASSET_CLASSIFICATION!$A$8:$A$24,0)),"Review"))</f>
        <v>Refi Watch</v>
      </c>
      <c r="O1738" s="350" t="str">
        <f ca="1">IF($B1738="Portfolio","Portfolio",IFERROR(INDEX(DATA_ASSET_CLASSIFICATION!$AB$8:$AB$13,MATCH($N1738,DATA_ASSET_CLASSIFICATION!$AA$8:$AA$13,0)),"Review"))</f>
        <v>Bucket 2 · Legacy</v>
      </c>
      <c r="P1738" s="350" t="str">
        <f>IF($B1738="Portfolio","Portfolio",IFERROR(INDEX(DATA_ASSET_CLASSIFICATION!$C$8:$C$24,MATCH($C1738,DATA_ASSET_CLASSIFICATION!$A$8:$A$24,0)),"Review"))</f>
        <v>Yes</v>
      </c>
      <c r="Q1738" s="350" t="str">
        <f t="shared" ca="1" si="55"/>
        <v>OK</v>
      </c>
    </row>
    <row r="1739" spans="1:17" ht="30">
      <c r="A1739" s="366" t="s">
        <v>3695</v>
      </c>
      <c r="B1739" s="366" t="s">
        <v>231</v>
      </c>
      <c r="C1739" s="348" t="str">
        <f>DATA_PROPERTY_MASTER!$A$10</f>
        <v>BLD_EA</v>
      </c>
      <c r="D1739" s="380">
        <f>'00_PORTFOLIO ROLLUP'!E$12</f>
        <v>2025</v>
      </c>
      <c r="E1739" s="366" t="s">
        <v>1683</v>
      </c>
      <c r="F1739" s="366" t="s">
        <v>341</v>
      </c>
      <c r="G1739" s="348" t="str">
        <f>"'"&amp;$C1739&amp;"'!$E$24:$Y$24"</f>
        <v>'BLD_EA'!$E$24:$Y$24</v>
      </c>
      <c r="H1739" s="381">
        <f ca="1">IF(IFERROR(INDEX(DATA_PROPERTY_MASTER!$E$5:$E$21,MATCH($C1739,DATA_PROPERTY_MASTER!$A$5:$A$21,0))="Yes",FALSE),IFERROR(INDEX(INDIRECT("'"&amp;$C1739&amp;"'!$E$24:$Y$24"),1,MATCH($D1739,INDIRECT("'"&amp;$C1739&amp;"'!$E$12:$Y$12"),0)),0),0)</f>
        <v>993406.69400000002</v>
      </c>
      <c r="I1739" s="366" t="s">
        <v>1685</v>
      </c>
      <c r="J1739" s="348" t="str">
        <f t="shared" ca="1" si="54"/>
        <v>OK</v>
      </c>
      <c r="K1739" s="366" t="s">
        <v>1686</v>
      </c>
      <c r="L1739" s="366" t="s">
        <v>2234</v>
      </c>
      <c r="M1739" s="350" t="str">
        <f>IF($B1739="Portfolio","Portfolio",IFERROR(INDEX(DATA_ASSET_CLASSIFICATION!$B$8:$B$24,MATCH($C1739,DATA_ASSET_CLASSIFICATION!$A$8:$A$24,0)),"Review"))</f>
        <v>Evergreen Apartments</v>
      </c>
      <c r="N1739" s="350" t="str">
        <f ca="1">IF($B1739="Portfolio","Portfolio",IFERROR(INDEX(DATA_ASSET_CLASSIFICATION!$U$8:$U$24,MATCH($C1739,DATA_ASSET_CLASSIFICATION!$A$8:$A$24,0)),"Review"))</f>
        <v>Refi Watch</v>
      </c>
      <c r="O1739" s="350" t="str">
        <f ca="1">IF($B1739="Portfolio","Portfolio",IFERROR(INDEX(DATA_ASSET_CLASSIFICATION!$AB$8:$AB$13,MATCH($N1739,DATA_ASSET_CLASSIFICATION!$AA$8:$AA$13,0)),"Review"))</f>
        <v>Bucket 2 · Legacy</v>
      </c>
      <c r="P1739" s="350" t="str">
        <f>IF($B1739="Portfolio","Portfolio",IFERROR(INDEX(DATA_ASSET_CLASSIFICATION!$C$8:$C$24,MATCH($C1739,DATA_ASSET_CLASSIFICATION!$A$8:$A$24,0)),"Review"))</f>
        <v>Yes</v>
      </c>
      <c r="Q1739" s="350" t="str">
        <f t="shared" ca="1" si="55"/>
        <v>OK</v>
      </c>
    </row>
    <row r="1740" spans="1:17" ht="30">
      <c r="A1740" s="366" t="s">
        <v>3696</v>
      </c>
      <c r="B1740" s="366" t="s">
        <v>231</v>
      </c>
      <c r="C1740" s="348" t="str">
        <f>DATA_PROPERTY_MASTER!$A$10</f>
        <v>BLD_EA</v>
      </c>
      <c r="D1740" s="380">
        <f>'00_PORTFOLIO ROLLUP'!E$12</f>
        <v>2025</v>
      </c>
      <c r="E1740" s="366" t="s">
        <v>1683</v>
      </c>
      <c r="F1740" s="366" t="s">
        <v>355</v>
      </c>
      <c r="G1740" s="348" t="str">
        <f>"'"&amp;$C1740&amp;"'!$E$39:$Y$39"</f>
        <v>'BLD_EA'!$E$39:$Y$39</v>
      </c>
      <c r="H1740" s="381">
        <f ca="1">IF(IFERROR(INDEX(DATA_PROPERTY_MASTER!$E$5:$E$21,MATCH($C1740,DATA_PROPERTY_MASTER!$A$5:$A$21,0))="Yes",FALSE),IFERROR(INDEX(INDIRECT("'"&amp;$C1740&amp;"'!$E$39:$Y$39"),1,MATCH($D1740,INDIRECT("'"&amp;$C1740&amp;"'!$E$12:$Y$12"),0)),0),0)</f>
        <v>413533</v>
      </c>
      <c r="I1740" s="366" t="s">
        <v>1690</v>
      </c>
      <c r="J1740" s="348" t="str">
        <f t="shared" ca="1" si="54"/>
        <v>OK</v>
      </c>
      <c r="K1740" s="366" t="s">
        <v>1686</v>
      </c>
      <c r="L1740" s="366" t="s">
        <v>2236</v>
      </c>
      <c r="M1740" s="350" t="str">
        <f>IF($B1740="Portfolio","Portfolio",IFERROR(INDEX(DATA_ASSET_CLASSIFICATION!$B$8:$B$24,MATCH($C1740,DATA_ASSET_CLASSIFICATION!$A$8:$A$24,0)),"Review"))</f>
        <v>Evergreen Apartments</v>
      </c>
      <c r="N1740" s="350" t="str">
        <f ca="1">IF($B1740="Portfolio","Portfolio",IFERROR(INDEX(DATA_ASSET_CLASSIFICATION!$U$8:$U$24,MATCH($C1740,DATA_ASSET_CLASSIFICATION!$A$8:$A$24,0)),"Review"))</f>
        <v>Refi Watch</v>
      </c>
      <c r="O1740" s="350" t="str">
        <f ca="1">IF($B1740="Portfolio","Portfolio",IFERROR(INDEX(DATA_ASSET_CLASSIFICATION!$AB$8:$AB$13,MATCH($N1740,DATA_ASSET_CLASSIFICATION!$AA$8:$AA$13,0)),"Review"))</f>
        <v>Bucket 2 · Legacy</v>
      </c>
      <c r="P1740" s="350" t="str">
        <f>IF($B1740="Portfolio","Portfolio",IFERROR(INDEX(DATA_ASSET_CLASSIFICATION!$C$8:$C$24,MATCH($C1740,DATA_ASSET_CLASSIFICATION!$A$8:$A$24,0)),"Review"))</f>
        <v>Yes</v>
      </c>
      <c r="Q1740" s="350" t="str">
        <f t="shared" ca="1" si="55"/>
        <v>OK</v>
      </c>
    </row>
    <row r="1741" spans="1:17" ht="30">
      <c r="A1741" s="366" t="s">
        <v>3697</v>
      </c>
      <c r="B1741" s="366" t="s">
        <v>231</v>
      </c>
      <c r="C1741" s="348" t="str">
        <f>DATA_PROPERTY_MASTER!$A$10</f>
        <v>BLD_EA</v>
      </c>
      <c r="D1741" s="380">
        <f>'00_PORTFOLIO ROLLUP'!E$12</f>
        <v>2025</v>
      </c>
      <c r="E1741" s="366" t="s">
        <v>1683</v>
      </c>
      <c r="F1741" s="366" t="s">
        <v>19</v>
      </c>
      <c r="G1741" s="348" t="str">
        <f>"'"&amp;$C1741&amp;"'!$E$41:$Y$41"</f>
        <v>'BLD_EA'!$E$41:$Y$41</v>
      </c>
      <c r="H1741" s="381">
        <f ca="1">IF(IFERROR(INDEX(DATA_PROPERTY_MASTER!$E$5:$E$21,MATCH($C1741,DATA_PROPERTY_MASTER!$A$5:$A$21,0))="Yes",FALSE),IFERROR(INDEX(INDIRECT("'"&amp;$C1741&amp;"'!$E$41:$Y$41"),1,MATCH($D1741,INDIRECT("'"&amp;$C1741&amp;"'!$E$12:$Y$12"),0)),0),0)</f>
        <v>579873.69400000002</v>
      </c>
      <c r="I1741" s="366" t="s">
        <v>1685</v>
      </c>
      <c r="J1741" s="348" t="str">
        <f t="shared" ca="1" si="54"/>
        <v>OK</v>
      </c>
      <c r="K1741" s="366" t="s">
        <v>1694</v>
      </c>
      <c r="L1741" s="366" t="s">
        <v>2238</v>
      </c>
      <c r="M1741" s="350" t="str">
        <f>IF($B1741="Portfolio","Portfolio",IFERROR(INDEX(DATA_ASSET_CLASSIFICATION!$B$8:$B$24,MATCH($C1741,DATA_ASSET_CLASSIFICATION!$A$8:$A$24,0)),"Review"))</f>
        <v>Evergreen Apartments</v>
      </c>
      <c r="N1741" s="350" t="str">
        <f ca="1">IF($B1741="Portfolio","Portfolio",IFERROR(INDEX(DATA_ASSET_CLASSIFICATION!$U$8:$U$24,MATCH($C1741,DATA_ASSET_CLASSIFICATION!$A$8:$A$24,0)),"Review"))</f>
        <v>Refi Watch</v>
      </c>
      <c r="O1741" s="350" t="str">
        <f ca="1">IF($B1741="Portfolio","Portfolio",IFERROR(INDEX(DATA_ASSET_CLASSIFICATION!$AB$8:$AB$13,MATCH($N1741,DATA_ASSET_CLASSIFICATION!$AA$8:$AA$13,0)),"Review"))</f>
        <v>Bucket 2 · Legacy</v>
      </c>
      <c r="P1741" s="350" t="str">
        <f>IF($B1741="Portfolio","Portfolio",IFERROR(INDEX(DATA_ASSET_CLASSIFICATION!$C$8:$C$24,MATCH($C1741,DATA_ASSET_CLASSIFICATION!$A$8:$A$24,0)),"Review"))</f>
        <v>Yes</v>
      </c>
      <c r="Q1741" s="350" t="str">
        <f t="shared" ca="1" si="55"/>
        <v>OK</v>
      </c>
    </row>
    <row r="1742" spans="1:17" ht="30">
      <c r="A1742" s="366" t="s">
        <v>3698</v>
      </c>
      <c r="B1742" s="366" t="s">
        <v>231</v>
      </c>
      <c r="C1742" s="348" t="str">
        <f>DATA_PROPERTY_MASTER!$A$10</f>
        <v>BLD_EA</v>
      </c>
      <c r="D1742" s="380">
        <f>'00_PORTFOLIO ROLLUP'!E$12</f>
        <v>2025</v>
      </c>
      <c r="E1742" s="366" t="s">
        <v>1683</v>
      </c>
      <c r="F1742" s="366" t="s">
        <v>1697</v>
      </c>
      <c r="G1742" s="348" t="str">
        <f>"'"&amp;$C1742&amp;"'!$E$44:$Y$44"</f>
        <v>'BLD_EA'!$E$44:$Y$44</v>
      </c>
      <c r="H1742" s="381">
        <f ca="1">IF(IFERROR(INDEX(DATA_PROPERTY_MASTER!$E$5:$E$21,MATCH($C1742,DATA_PROPERTY_MASTER!$A$5:$A$21,0))="Yes",FALSE),IFERROR(INDEX(INDIRECT("'"&amp;$C1742&amp;"'!$E$44:$Y$44"),1,MATCH($D1742,INDIRECT("'"&amp;$C1742&amp;"'!$E$12:$Y$12"),0)),0),0)</f>
        <v>9150</v>
      </c>
      <c r="I1742" s="366" t="s">
        <v>1690</v>
      </c>
      <c r="J1742" s="348" t="str">
        <f t="shared" ca="1" si="54"/>
        <v>OK</v>
      </c>
      <c r="K1742" s="366" t="s">
        <v>1699</v>
      </c>
      <c r="L1742" s="366" t="s">
        <v>2240</v>
      </c>
      <c r="M1742" s="350" t="str">
        <f>IF($B1742="Portfolio","Portfolio",IFERROR(INDEX(DATA_ASSET_CLASSIFICATION!$B$8:$B$24,MATCH($C1742,DATA_ASSET_CLASSIFICATION!$A$8:$A$24,0)),"Review"))</f>
        <v>Evergreen Apartments</v>
      </c>
      <c r="N1742" s="350" t="str">
        <f ca="1">IF($B1742="Portfolio","Portfolio",IFERROR(INDEX(DATA_ASSET_CLASSIFICATION!$U$8:$U$24,MATCH($C1742,DATA_ASSET_CLASSIFICATION!$A$8:$A$24,0)),"Review"))</f>
        <v>Refi Watch</v>
      </c>
      <c r="O1742" s="350" t="str">
        <f ca="1">IF($B1742="Portfolio","Portfolio",IFERROR(INDEX(DATA_ASSET_CLASSIFICATION!$AB$8:$AB$13,MATCH($N1742,DATA_ASSET_CLASSIFICATION!$AA$8:$AA$13,0)),"Review"))</f>
        <v>Bucket 2 · Legacy</v>
      </c>
      <c r="P1742" s="350" t="str">
        <f>IF($B1742="Portfolio","Portfolio",IFERROR(INDEX(DATA_ASSET_CLASSIFICATION!$C$8:$C$24,MATCH($C1742,DATA_ASSET_CLASSIFICATION!$A$8:$A$24,0)),"Review"))</f>
        <v>Yes</v>
      </c>
      <c r="Q1742" s="350" t="str">
        <f t="shared" ca="1" si="55"/>
        <v>OK</v>
      </c>
    </row>
    <row r="1743" spans="1:17" ht="30">
      <c r="A1743" s="366" t="s">
        <v>3699</v>
      </c>
      <c r="B1743" s="366" t="s">
        <v>231</v>
      </c>
      <c r="C1743" s="348" t="str">
        <f>DATA_PROPERTY_MASTER!$A$10</f>
        <v>BLD_EA</v>
      </c>
      <c r="D1743" s="380">
        <f>'00_PORTFOLIO ROLLUP'!E$12</f>
        <v>2025</v>
      </c>
      <c r="E1743" s="366" t="s">
        <v>1683</v>
      </c>
      <c r="F1743" s="366" t="s">
        <v>21</v>
      </c>
      <c r="G1743" s="348" t="str">
        <f>"'"&amp;$C1743&amp;"'!$E$45:$Y$45"</f>
        <v>'BLD_EA'!$E$45:$Y$45</v>
      </c>
      <c r="H1743" s="381">
        <f ca="1">IF(IFERROR(INDEX(DATA_PROPERTY_MASTER!$E$5:$E$21,MATCH($C1743,DATA_PROPERTY_MASTER!$A$5:$A$21,0))="Yes",FALSE),IFERROR(INDEX(INDIRECT("'"&amp;$C1743&amp;"'!$E$45:$Y$45"),1,MATCH($D1743,INDIRECT("'"&amp;$C1743&amp;"'!$E$12:$Y$12"),0)),0),0)</f>
        <v>570723.69400000002</v>
      </c>
      <c r="I1743" s="366" t="s">
        <v>1685</v>
      </c>
      <c r="J1743" s="348" t="str">
        <f t="shared" ca="1" si="54"/>
        <v>OK</v>
      </c>
      <c r="K1743" s="366" t="s">
        <v>1694</v>
      </c>
      <c r="L1743" s="366" t="s">
        <v>2242</v>
      </c>
      <c r="M1743" s="350" t="str">
        <f>IF($B1743="Portfolio","Portfolio",IFERROR(INDEX(DATA_ASSET_CLASSIFICATION!$B$8:$B$24,MATCH($C1743,DATA_ASSET_CLASSIFICATION!$A$8:$A$24,0)),"Review"))</f>
        <v>Evergreen Apartments</v>
      </c>
      <c r="N1743" s="350" t="str">
        <f ca="1">IF($B1743="Portfolio","Portfolio",IFERROR(INDEX(DATA_ASSET_CLASSIFICATION!$U$8:$U$24,MATCH($C1743,DATA_ASSET_CLASSIFICATION!$A$8:$A$24,0)),"Review"))</f>
        <v>Refi Watch</v>
      </c>
      <c r="O1743" s="350" t="str">
        <f ca="1">IF($B1743="Portfolio","Portfolio",IFERROR(INDEX(DATA_ASSET_CLASSIFICATION!$AB$8:$AB$13,MATCH($N1743,DATA_ASSET_CLASSIFICATION!$AA$8:$AA$13,0)),"Review"))</f>
        <v>Bucket 2 · Legacy</v>
      </c>
      <c r="P1743" s="350" t="str">
        <f>IF($B1743="Portfolio","Portfolio",IFERROR(INDEX(DATA_ASSET_CLASSIFICATION!$C$8:$C$24,MATCH($C1743,DATA_ASSET_CLASSIFICATION!$A$8:$A$24,0)),"Review"))</f>
        <v>Yes</v>
      </c>
      <c r="Q1743" s="350" t="str">
        <f t="shared" ca="1" si="55"/>
        <v>OK</v>
      </c>
    </row>
    <row r="1744" spans="1:17" ht="30">
      <c r="A1744" s="366" t="s">
        <v>3700</v>
      </c>
      <c r="B1744" s="366" t="s">
        <v>231</v>
      </c>
      <c r="C1744" s="348" t="str">
        <f>DATA_PROPERTY_MASTER!$A$10</f>
        <v>BLD_EA</v>
      </c>
      <c r="D1744" s="380">
        <f>'00_PORTFOLIO ROLLUP'!E$12</f>
        <v>2025</v>
      </c>
      <c r="E1744" s="366" t="s">
        <v>23</v>
      </c>
      <c r="F1744" s="366" t="s">
        <v>23</v>
      </c>
      <c r="G1744" s="348" t="str">
        <f>"'"&amp;$C1744&amp;"'!$E$48:$Y$48"</f>
        <v>'BLD_EA'!$E$48:$Y$48</v>
      </c>
      <c r="H1744" s="381">
        <f ca="1">IF(IFERROR(INDEX(DATA_PROPERTY_MASTER!$E$5:$E$21,MATCH($C1744,DATA_PROPERTY_MASTER!$A$5:$A$21,0))="Yes",FALSE),IFERROR(INDEX(INDIRECT("'"&amp;$C1744&amp;"'!$E$48:$Y$48"),1,MATCH($D1744,INDIRECT("'"&amp;$C1744&amp;"'!$E$12:$Y$12"),0)),0),0)</f>
        <v>297840</v>
      </c>
      <c r="I1744" s="366" t="s">
        <v>1690</v>
      </c>
      <c r="J1744" s="348" t="str">
        <f t="shared" ca="1" si="54"/>
        <v>OK</v>
      </c>
      <c r="K1744" s="366" t="s">
        <v>1706</v>
      </c>
      <c r="L1744" s="366" t="s">
        <v>2244</v>
      </c>
      <c r="M1744" s="350" t="str">
        <f>IF($B1744="Portfolio","Portfolio",IFERROR(INDEX(DATA_ASSET_CLASSIFICATION!$B$8:$B$24,MATCH($C1744,DATA_ASSET_CLASSIFICATION!$A$8:$A$24,0)),"Review"))</f>
        <v>Evergreen Apartments</v>
      </c>
      <c r="N1744" s="350" t="str">
        <f ca="1">IF($B1744="Portfolio","Portfolio",IFERROR(INDEX(DATA_ASSET_CLASSIFICATION!$U$8:$U$24,MATCH($C1744,DATA_ASSET_CLASSIFICATION!$A$8:$A$24,0)),"Review"))</f>
        <v>Refi Watch</v>
      </c>
      <c r="O1744" s="350" t="str">
        <f ca="1">IF($B1744="Portfolio","Portfolio",IFERROR(INDEX(DATA_ASSET_CLASSIFICATION!$AB$8:$AB$13,MATCH($N1744,DATA_ASSET_CLASSIFICATION!$AA$8:$AA$13,0)),"Review"))</f>
        <v>Bucket 2 · Legacy</v>
      </c>
      <c r="P1744" s="350" t="str">
        <f>IF($B1744="Portfolio","Portfolio",IFERROR(INDEX(DATA_ASSET_CLASSIFICATION!$C$8:$C$24,MATCH($C1744,DATA_ASSET_CLASSIFICATION!$A$8:$A$24,0)),"Review"))</f>
        <v>Yes</v>
      </c>
      <c r="Q1744" s="350" t="str">
        <f t="shared" ca="1" si="55"/>
        <v>OK</v>
      </c>
    </row>
    <row r="1745" spans="1:17" ht="30">
      <c r="A1745" s="366" t="s">
        <v>3701</v>
      </c>
      <c r="B1745" s="366" t="s">
        <v>231</v>
      </c>
      <c r="C1745" s="348" t="str">
        <f>DATA_PROPERTY_MASTER!$A$10</f>
        <v>BLD_EA</v>
      </c>
      <c r="D1745" s="380">
        <f>'00_PORTFOLIO ROLLUP'!E$12</f>
        <v>2025</v>
      </c>
      <c r="E1745" s="366" t="s">
        <v>1683</v>
      </c>
      <c r="F1745" s="366" t="s">
        <v>25</v>
      </c>
      <c r="G1745" s="348" t="str">
        <f>"'"&amp;$C1745&amp;"'!$E$52:$Y$52"</f>
        <v>'BLD_EA'!$E$52:$Y$52</v>
      </c>
      <c r="H1745" s="381">
        <f ca="1">IF(IFERROR(INDEX(DATA_PROPERTY_MASTER!$E$5:$E$21,MATCH($C1745,DATA_PROPERTY_MASTER!$A$5:$A$21,0))="Yes",FALSE),IFERROR(INDEX(INDIRECT("'"&amp;$C1745&amp;"'!$E$52:$Y$52"),1,MATCH($D1745,INDIRECT("'"&amp;$C1745&amp;"'!$E$12:$Y$12"),0)),0),0)</f>
        <v>282033.69400000002</v>
      </c>
      <c r="I1745" s="366" t="s">
        <v>1685</v>
      </c>
      <c r="J1745" s="348" t="str">
        <f t="shared" ca="1" si="54"/>
        <v>OK</v>
      </c>
      <c r="K1745" s="366" t="s">
        <v>1710</v>
      </c>
      <c r="L1745" s="366" t="s">
        <v>2246</v>
      </c>
      <c r="M1745" s="350" t="str">
        <f>IF($B1745="Portfolio","Portfolio",IFERROR(INDEX(DATA_ASSET_CLASSIFICATION!$B$8:$B$24,MATCH($C1745,DATA_ASSET_CLASSIFICATION!$A$8:$A$24,0)),"Review"))</f>
        <v>Evergreen Apartments</v>
      </c>
      <c r="N1745" s="350" t="str">
        <f ca="1">IF($B1745="Portfolio","Portfolio",IFERROR(INDEX(DATA_ASSET_CLASSIFICATION!$U$8:$U$24,MATCH($C1745,DATA_ASSET_CLASSIFICATION!$A$8:$A$24,0)),"Review"))</f>
        <v>Refi Watch</v>
      </c>
      <c r="O1745" s="350" t="str">
        <f ca="1">IF($B1745="Portfolio","Portfolio",IFERROR(INDEX(DATA_ASSET_CLASSIFICATION!$AB$8:$AB$13,MATCH($N1745,DATA_ASSET_CLASSIFICATION!$AA$8:$AA$13,0)),"Review"))</f>
        <v>Bucket 2 · Legacy</v>
      </c>
      <c r="P1745" s="350" t="str">
        <f>IF($B1745="Portfolio","Portfolio",IFERROR(INDEX(DATA_ASSET_CLASSIFICATION!$C$8:$C$24,MATCH($C1745,DATA_ASSET_CLASSIFICATION!$A$8:$A$24,0)),"Review"))</f>
        <v>Yes</v>
      </c>
      <c r="Q1745" s="350" t="str">
        <f t="shared" ca="1" si="55"/>
        <v>OK</v>
      </c>
    </row>
    <row r="1746" spans="1:17" ht="30">
      <c r="A1746" s="366" t="s">
        <v>3702</v>
      </c>
      <c r="B1746" s="366" t="s">
        <v>231</v>
      </c>
      <c r="C1746" s="348" t="str">
        <f>DATA_PROPERTY_MASTER!$A$10</f>
        <v>BLD_EA</v>
      </c>
      <c r="D1746" s="380">
        <f>'00_PORTFOLIO ROLLUP'!E$12</f>
        <v>2025</v>
      </c>
      <c r="E1746" s="366" t="s">
        <v>1683</v>
      </c>
      <c r="F1746" s="366" t="s">
        <v>27</v>
      </c>
      <c r="G1746" s="348" t="str">
        <f>"'"&amp;$C1746&amp;"'!$E$54:$Y$54"</f>
        <v>'BLD_EA'!$E$54:$Y$54</v>
      </c>
      <c r="H1746" s="381">
        <f ca="1">IF(IFERROR(INDEX(DATA_PROPERTY_MASTER!$E$5:$E$21,MATCH($C1746,DATA_PROPERTY_MASTER!$A$5:$A$21,0))="Yes",FALSE),IFERROR(INDEX(INDIRECT("'"&amp;$C1746&amp;"'!$E$54:$Y$54"),1,MATCH($D1746,INDIRECT("'"&amp;$C1746&amp;"'!$E$12:$Y$12"),0)),0),0)</f>
        <v>169220.2164</v>
      </c>
      <c r="I1746" s="366" t="s">
        <v>1690</v>
      </c>
      <c r="J1746" s="348" t="str">
        <f t="shared" ca="1" si="54"/>
        <v>OK</v>
      </c>
      <c r="K1746" s="366" t="s">
        <v>1714</v>
      </c>
      <c r="L1746" s="366" t="s">
        <v>2248</v>
      </c>
      <c r="M1746" s="350" t="str">
        <f>IF($B1746="Portfolio","Portfolio",IFERROR(INDEX(DATA_ASSET_CLASSIFICATION!$B$8:$B$24,MATCH($C1746,DATA_ASSET_CLASSIFICATION!$A$8:$A$24,0)),"Review"))</f>
        <v>Evergreen Apartments</v>
      </c>
      <c r="N1746" s="350" t="str">
        <f ca="1">IF($B1746="Portfolio","Portfolio",IFERROR(INDEX(DATA_ASSET_CLASSIFICATION!$U$8:$U$24,MATCH($C1746,DATA_ASSET_CLASSIFICATION!$A$8:$A$24,0)),"Review"))</f>
        <v>Refi Watch</v>
      </c>
      <c r="O1746" s="350" t="str">
        <f ca="1">IF($B1746="Portfolio","Portfolio",IFERROR(INDEX(DATA_ASSET_CLASSIFICATION!$AB$8:$AB$13,MATCH($N1746,DATA_ASSET_CLASSIFICATION!$AA$8:$AA$13,0)),"Review"))</f>
        <v>Bucket 2 · Legacy</v>
      </c>
      <c r="P1746" s="350" t="str">
        <f>IF($B1746="Portfolio","Portfolio",IFERROR(INDEX(DATA_ASSET_CLASSIFICATION!$C$8:$C$24,MATCH($C1746,DATA_ASSET_CLASSIFICATION!$A$8:$A$24,0)),"Review"))</f>
        <v>Yes</v>
      </c>
      <c r="Q1746" s="350" t="str">
        <f t="shared" ca="1" si="55"/>
        <v>OK</v>
      </c>
    </row>
    <row r="1747" spans="1:17" ht="30">
      <c r="A1747" s="366" t="s">
        <v>3703</v>
      </c>
      <c r="B1747" s="366" t="s">
        <v>231</v>
      </c>
      <c r="C1747" s="348" t="str">
        <f>DATA_PROPERTY_MASTER!$A$10</f>
        <v>BLD_EA</v>
      </c>
      <c r="D1747" s="380">
        <f>'00_PORTFOLIO ROLLUP'!E$12</f>
        <v>2025</v>
      </c>
      <c r="E1747" s="366" t="s">
        <v>1683</v>
      </c>
      <c r="F1747" s="366" t="s">
        <v>29</v>
      </c>
      <c r="G1747" s="348" t="str">
        <f>"'"&amp;$C1747&amp;"'!$E$56:$Y$56"</f>
        <v>'BLD_EA'!$E$56:$Y$56</v>
      </c>
      <c r="H1747" s="381">
        <f ca="1">IF(IFERROR(INDEX(DATA_PROPERTY_MASTER!$E$5:$E$21,MATCH($C1747,DATA_PROPERTY_MASTER!$A$5:$A$21,0))="Yes",FALSE),IFERROR(INDEX(INDIRECT("'"&amp;$C1747&amp;"'!$E$56:$Y$56"),1,MATCH($D1747,INDIRECT("'"&amp;$C1747&amp;"'!$E$12:$Y$12"),0)),0),0)</f>
        <v>112813.47760000001</v>
      </c>
      <c r="I1747" s="366" t="s">
        <v>1685</v>
      </c>
      <c r="J1747" s="348" t="str">
        <f t="shared" ca="1" si="54"/>
        <v>OK</v>
      </c>
      <c r="K1747" s="366" t="s">
        <v>1718</v>
      </c>
      <c r="L1747" s="366" t="s">
        <v>2250</v>
      </c>
      <c r="M1747" s="350" t="str">
        <f>IF($B1747="Portfolio","Portfolio",IFERROR(INDEX(DATA_ASSET_CLASSIFICATION!$B$8:$B$24,MATCH($C1747,DATA_ASSET_CLASSIFICATION!$A$8:$A$24,0)),"Review"))</f>
        <v>Evergreen Apartments</v>
      </c>
      <c r="N1747" s="350" t="str">
        <f ca="1">IF($B1747="Portfolio","Portfolio",IFERROR(INDEX(DATA_ASSET_CLASSIFICATION!$U$8:$U$24,MATCH($C1747,DATA_ASSET_CLASSIFICATION!$A$8:$A$24,0)),"Review"))</f>
        <v>Refi Watch</v>
      </c>
      <c r="O1747" s="350" t="str">
        <f ca="1">IF($B1747="Portfolio","Portfolio",IFERROR(INDEX(DATA_ASSET_CLASSIFICATION!$AB$8:$AB$13,MATCH($N1747,DATA_ASSET_CLASSIFICATION!$AA$8:$AA$13,0)),"Review"))</f>
        <v>Bucket 2 · Legacy</v>
      </c>
      <c r="P1747" s="350" t="str">
        <f>IF($B1747="Portfolio","Portfolio",IFERROR(INDEX(DATA_ASSET_CLASSIFICATION!$C$8:$C$24,MATCH($C1747,DATA_ASSET_CLASSIFICATION!$A$8:$A$24,0)),"Review"))</f>
        <v>Yes</v>
      </c>
      <c r="Q1747" s="350" t="str">
        <f t="shared" ca="1" si="55"/>
        <v>OK</v>
      </c>
    </row>
    <row r="1748" spans="1:17" ht="30">
      <c r="A1748" s="366" t="s">
        <v>3704</v>
      </c>
      <c r="B1748" s="366" t="s">
        <v>231</v>
      </c>
      <c r="C1748" s="348" t="str">
        <f>DATA_PROPERTY_MASTER!$A$10</f>
        <v>BLD_EA</v>
      </c>
      <c r="D1748" s="380">
        <f>'00_PORTFOLIO ROLLUP'!E$12</f>
        <v>2025</v>
      </c>
      <c r="E1748" s="366" t="s">
        <v>1721</v>
      </c>
      <c r="F1748" s="366" t="s">
        <v>31</v>
      </c>
      <c r="G1748" s="348" t="str">
        <f>"'"&amp;$C1748&amp;"'!$E$61:$Y$61"</f>
        <v>'BLD_EA'!$E$61:$Y$61</v>
      </c>
      <c r="H1748" s="381">
        <f ca="1">IF(IFERROR(INDEX(DATA_PROPERTY_MASTER!$E$5:$E$21,MATCH($C1748,DATA_PROPERTY_MASTER!$A$5:$A$21,0))="Yes",FALSE),IFERROR(INDEX(INDIRECT("'"&amp;$C1748&amp;"'!$E$61:$Y$61"),1,MATCH($D1748,INDIRECT("'"&amp;$C1748&amp;"'!$E$12:$Y$12"),0)),0),0)</f>
        <v>0</v>
      </c>
      <c r="I1748" s="366" t="s">
        <v>1690</v>
      </c>
      <c r="J1748" s="348" t="str">
        <f t="shared" ca="1" si="54"/>
        <v>OK</v>
      </c>
      <c r="K1748" s="366" t="s">
        <v>1723</v>
      </c>
      <c r="L1748" s="366" t="s">
        <v>2252</v>
      </c>
      <c r="M1748" s="350" t="str">
        <f>IF($B1748="Portfolio","Portfolio",IFERROR(INDEX(DATA_ASSET_CLASSIFICATION!$B$8:$B$24,MATCH($C1748,DATA_ASSET_CLASSIFICATION!$A$8:$A$24,0)),"Review"))</f>
        <v>Evergreen Apartments</v>
      </c>
      <c r="N1748" s="350" t="str">
        <f ca="1">IF($B1748="Portfolio","Portfolio",IFERROR(INDEX(DATA_ASSET_CLASSIFICATION!$U$8:$U$24,MATCH($C1748,DATA_ASSET_CLASSIFICATION!$A$8:$A$24,0)),"Review"))</f>
        <v>Refi Watch</v>
      </c>
      <c r="O1748" s="350" t="str">
        <f ca="1">IF($B1748="Portfolio","Portfolio",IFERROR(INDEX(DATA_ASSET_CLASSIFICATION!$AB$8:$AB$13,MATCH($N1748,DATA_ASSET_CLASSIFICATION!$AA$8:$AA$13,0)),"Review"))</f>
        <v>Bucket 2 · Legacy</v>
      </c>
      <c r="P1748" s="350" t="str">
        <f>IF($B1748="Portfolio","Portfolio",IFERROR(INDEX(DATA_ASSET_CLASSIFICATION!$C$8:$C$24,MATCH($C1748,DATA_ASSET_CLASSIFICATION!$A$8:$A$24,0)),"Review"))</f>
        <v>Yes</v>
      </c>
      <c r="Q1748" s="350" t="str">
        <f t="shared" ca="1" si="55"/>
        <v>OK</v>
      </c>
    </row>
    <row r="1749" spans="1:17" ht="30">
      <c r="A1749" s="366" t="s">
        <v>3705</v>
      </c>
      <c r="B1749" s="366" t="s">
        <v>231</v>
      </c>
      <c r="C1749" s="348" t="str">
        <f>DATA_PROPERTY_MASTER!$A$10</f>
        <v>BLD_EA</v>
      </c>
      <c r="D1749" s="380">
        <f>'00_PORTFOLIO ROLLUP'!E$12</f>
        <v>2025</v>
      </c>
      <c r="E1749" s="366" t="s">
        <v>1721</v>
      </c>
      <c r="F1749" s="366" t="s">
        <v>33</v>
      </c>
      <c r="G1749" s="348" t="str">
        <f>"'"&amp;$C1749&amp;"'!$E$62:$Y$62"</f>
        <v>'BLD_EA'!$E$62:$Y$62</v>
      </c>
      <c r="H1749" s="381">
        <f ca="1">IF(IFERROR(INDEX(DATA_PROPERTY_MASTER!$E$5:$E$21,MATCH($C1749,DATA_PROPERTY_MASTER!$A$5:$A$21,0))="Yes",FALSE),IFERROR(INDEX(INDIRECT("'"&amp;$C1749&amp;"'!$E$62:$Y$62"),1,MATCH($D1749,INDIRECT("'"&amp;$C1749&amp;"'!$E$12:$Y$12"),0)),0),0)</f>
        <v>0</v>
      </c>
      <c r="I1749" s="366" t="s">
        <v>1685</v>
      </c>
      <c r="J1749" s="348" t="str">
        <f t="shared" ca="1" si="54"/>
        <v>OK</v>
      </c>
      <c r="K1749" s="366" t="s">
        <v>1727</v>
      </c>
      <c r="L1749" s="366" t="s">
        <v>2254</v>
      </c>
      <c r="M1749" s="350" t="str">
        <f>IF($B1749="Portfolio","Portfolio",IFERROR(INDEX(DATA_ASSET_CLASSIFICATION!$B$8:$B$24,MATCH($C1749,DATA_ASSET_CLASSIFICATION!$A$8:$A$24,0)),"Review"))</f>
        <v>Evergreen Apartments</v>
      </c>
      <c r="N1749" s="350" t="str">
        <f ca="1">IF($B1749="Portfolio","Portfolio",IFERROR(INDEX(DATA_ASSET_CLASSIFICATION!$U$8:$U$24,MATCH($C1749,DATA_ASSET_CLASSIFICATION!$A$8:$A$24,0)),"Review"))</f>
        <v>Refi Watch</v>
      </c>
      <c r="O1749" s="350" t="str">
        <f ca="1">IF($B1749="Portfolio","Portfolio",IFERROR(INDEX(DATA_ASSET_CLASSIFICATION!$AB$8:$AB$13,MATCH($N1749,DATA_ASSET_CLASSIFICATION!$AA$8:$AA$13,0)),"Review"))</f>
        <v>Bucket 2 · Legacy</v>
      </c>
      <c r="P1749" s="350" t="str">
        <f>IF($B1749="Portfolio","Portfolio",IFERROR(INDEX(DATA_ASSET_CLASSIFICATION!$C$8:$C$24,MATCH($C1749,DATA_ASSET_CLASSIFICATION!$A$8:$A$24,0)),"Review"))</f>
        <v>Yes</v>
      </c>
      <c r="Q1749" s="350" t="str">
        <f t="shared" ca="1" si="55"/>
        <v>OK</v>
      </c>
    </row>
    <row r="1750" spans="1:17" ht="30">
      <c r="A1750" s="366" t="s">
        <v>3706</v>
      </c>
      <c r="B1750" s="366" t="s">
        <v>231</v>
      </c>
      <c r="C1750" s="348" t="str">
        <f>DATA_PROPERTY_MASTER!$A$10</f>
        <v>BLD_EA</v>
      </c>
      <c r="D1750" s="380">
        <f>'00_PORTFOLIO ROLLUP'!E$12</f>
        <v>2025</v>
      </c>
      <c r="E1750" s="366" t="s">
        <v>1721</v>
      </c>
      <c r="F1750" s="366" t="s">
        <v>35</v>
      </c>
      <c r="G1750" s="348" t="str">
        <f>"'"&amp;$C1750&amp;"'!$E$63:$Y$63"</f>
        <v>'BLD_EA'!$E$63:$Y$63</v>
      </c>
      <c r="H1750" s="381">
        <f ca="1">IF(IFERROR(INDEX(DATA_PROPERTY_MASTER!$E$5:$E$21,MATCH($C1750,DATA_PROPERTY_MASTER!$A$5:$A$21,0))="Yes",FALSE),IFERROR(INDEX(INDIRECT("'"&amp;$C1750&amp;"'!$E$63:$Y$63"),1,MATCH($D1750,INDIRECT("'"&amp;$C1750&amp;"'!$E$12:$Y$12"),0)),0),0)</f>
        <v>0</v>
      </c>
      <c r="I1750" s="366" t="s">
        <v>1731</v>
      </c>
      <c r="J1750" s="348" t="str">
        <f t="shared" ca="1" si="54"/>
        <v>OK</v>
      </c>
      <c r="K1750" s="366" t="s">
        <v>1732</v>
      </c>
      <c r="L1750" s="366" t="s">
        <v>2256</v>
      </c>
      <c r="M1750" s="350" t="str">
        <f>IF($B1750="Portfolio","Portfolio",IFERROR(INDEX(DATA_ASSET_CLASSIFICATION!$B$8:$B$24,MATCH($C1750,DATA_ASSET_CLASSIFICATION!$A$8:$A$24,0)),"Review"))</f>
        <v>Evergreen Apartments</v>
      </c>
      <c r="N1750" s="350" t="str">
        <f ca="1">IF($B1750="Portfolio","Portfolio",IFERROR(INDEX(DATA_ASSET_CLASSIFICATION!$U$8:$U$24,MATCH($C1750,DATA_ASSET_CLASSIFICATION!$A$8:$A$24,0)),"Review"))</f>
        <v>Refi Watch</v>
      </c>
      <c r="O1750" s="350" t="str">
        <f ca="1">IF($B1750="Portfolio","Portfolio",IFERROR(INDEX(DATA_ASSET_CLASSIFICATION!$AB$8:$AB$13,MATCH($N1750,DATA_ASSET_CLASSIFICATION!$AA$8:$AA$13,0)),"Review"))</f>
        <v>Bucket 2 · Legacy</v>
      </c>
      <c r="P1750" s="350" t="str">
        <f>IF($B1750="Portfolio","Portfolio",IFERROR(INDEX(DATA_ASSET_CLASSIFICATION!$C$8:$C$24,MATCH($C1750,DATA_ASSET_CLASSIFICATION!$A$8:$A$24,0)),"Review"))</f>
        <v>Yes</v>
      </c>
      <c r="Q1750" s="350" t="str">
        <f t="shared" ca="1" si="55"/>
        <v>OK</v>
      </c>
    </row>
    <row r="1751" spans="1:17" ht="30">
      <c r="A1751" s="366" t="s">
        <v>3707</v>
      </c>
      <c r="B1751" s="366" t="s">
        <v>231</v>
      </c>
      <c r="C1751" s="348" t="str">
        <f>DATA_PROPERTY_MASTER!$A$10</f>
        <v>BLD_EA</v>
      </c>
      <c r="D1751" s="380">
        <f>'00_PORTFOLIO ROLLUP'!E$12</f>
        <v>2025</v>
      </c>
      <c r="E1751" s="366" t="s">
        <v>1721</v>
      </c>
      <c r="F1751" s="366" t="s">
        <v>37</v>
      </c>
      <c r="G1751" s="348" t="str">
        <f>"'"&amp;$C1751&amp;"'!$E$63:$Y$63"</f>
        <v>'BLD_EA'!$E$63:$Y$63</v>
      </c>
      <c r="H1751" s="381">
        <f ca="1">IF(IFERROR(INDEX(DATA_PROPERTY_MASTER!$E$5:$E$21,MATCH($C1751,DATA_PROPERTY_MASTER!$A$5:$A$21,0))="Yes",FALSE),MAX(IFERROR(INDEX(INDIRECT("'"&amp;$C1751&amp;"'!$E$63:$Y$63"),1,MATCH($D1751,INDIRECT("'"&amp;$C1751&amp;"'!$E$12:$Y$12"),0)),0),0),0)</f>
        <v>0</v>
      </c>
      <c r="I1751" s="366" t="s">
        <v>1685</v>
      </c>
      <c r="J1751" s="348" t="str">
        <f t="shared" ca="1" si="54"/>
        <v>OK</v>
      </c>
      <c r="K1751" s="366" t="s">
        <v>1735</v>
      </c>
      <c r="L1751" s="366" t="s">
        <v>2258</v>
      </c>
      <c r="M1751" s="350" t="str">
        <f>IF($B1751="Portfolio","Portfolio",IFERROR(INDEX(DATA_ASSET_CLASSIFICATION!$B$8:$B$24,MATCH($C1751,DATA_ASSET_CLASSIFICATION!$A$8:$A$24,0)),"Review"))</f>
        <v>Evergreen Apartments</v>
      </c>
      <c r="N1751" s="350" t="str">
        <f ca="1">IF($B1751="Portfolio","Portfolio",IFERROR(INDEX(DATA_ASSET_CLASSIFICATION!$U$8:$U$24,MATCH($C1751,DATA_ASSET_CLASSIFICATION!$A$8:$A$24,0)),"Review"))</f>
        <v>Refi Watch</v>
      </c>
      <c r="O1751" s="350" t="str">
        <f ca="1">IF($B1751="Portfolio","Portfolio",IFERROR(INDEX(DATA_ASSET_CLASSIFICATION!$AB$8:$AB$13,MATCH($N1751,DATA_ASSET_CLASSIFICATION!$AA$8:$AA$13,0)),"Review"))</f>
        <v>Bucket 2 · Legacy</v>
      </c>
      <c r="P1751" s="350" t="str">
        <f>IF($B1751="Portfolio","Portfolio",IFERROR(INDEX(DATA_ASSET_CLASSIFICATION!$C$8:$C$24,MATCH($C1751,DATA_ASSET_CLASSIFICATION!$A$8:$A$24,0)),"Review"))</f>
        <v>Yes</v>
      </c>
      <c r="Q1751" s="350" t="str">
        <f t="shared" ca="1" si="55"/>
        <v>OK</v>
      </c>
    </row>
    <row r="1752" spans="1:17" ht="30">
      <c r="A1752" s="366" t="s">
        <v>3708</v>
      </c>
      <c r="B1752" s="366" t="s">
        <v>231</v>
      </c>
      <c r="C1752" s="348" t="str">
        <f>DATA_PROPERTY_MASTER!$A$10</f>
        <v>BLD_EA</v>
      </c>
      <c r="D1752" s="380">
        <f>'00_PORTFOLIO ROLLUP'!E$12</f>
        <v>2025</v>
      </c>
      <c r="E1752" s="366" t="s">
        <v>1721</v>
      </c>
      <c r="F1752" s="366" t="s">
        <v>39</v>
      </c>
      <c r="G1752" s="348" t="str">
        <f>"'"&amp;$C1752&amp;"'!$E$63:$Y$63"</f>
        <v>'BLD_EA'!$E$63:$Y$63</v>
      </c>
      <c r="H1752" s="381">
        <f ca="1">IF(IFERROR(INDEX(DATA_PROPERTY_MASTER!$E$5:$E$21,MATCH($C1752,DATA_PROPERTY_MASTER!$A$5:$A$21,0))="Yes",FALSE),MAX(-IFERROR(INDEX(INDIRECT("'"&amp;$C1752&amp;"'!$E$63:$Y$63"),1,MATCH($D1752,INDIRECT("'"&amp;$C1752&amp;"'!$E$12:$Y$12"),0)),0),0),0)</f>
        <v>0</v>
      </c>
      <c r="I1752" s="366" t="s">
        <v>1690</v>
      </c>
      <c r="J1752" s="348" t="str">
        <f t="shared" ca="1" si="54"/>
        <v>OK</v>
      </c>
      <c r="K1752" s="366" t="s">
        <v>1738</v>
      </c>
      <c r="L1752" s="366" t="s">
        <v>2260</v>
      </c>
      <c r="M1752" s="350" t="str">
        <f>IF($B1752="Portfolio","Portfolio",IFERROR(INDEX(DATA_ASSET_CLASSIFICATION!$B$8:$B$24,MATCH($C1752,DATA_ASSET_CLASSIFICATION!$A$8:$A$24,0)),"Review"))</f>
        <v>Evergreen Apartments</v>
      </c>
      <c r="N1752" s="350" t="str">
        <f ca="1">IF($B1752="Portfolio","Portfolio",IFERROR(INDEX(DATA_ASSET_CLASSIFICATION!$U$8:$U$24,MATCH($C1752,DATA_ASSET_CLASSIFICATION!$A$8:$A$24,0)),"Review"))</f>
        <v>Refi Watch</v>
      </c>
      <c r="O1752" s="350" t="str">
        <f ca="1">IF($B1752="Portfolio","Portfolio",IFERROR(INDEX(DATA_ASSET_CLASSIFICATION!$AB$8:$AB$13,MATCH($N1752,DATA_ASSET_CLASSIFICATION!$AA$8:$AA$13,0)),"Review"))</f>
        <v>Bucket 2 · Legacy</v>
      </c>
      <c r="P1752" s="350" t="str">
        <f>IF($B1752="Portfolio","Portfolio",IFERROR(INDEX(DATA_ASSET_CLASSIFICATION!$C$8:$C$24,MATCH($C1752,DATA_ASSET_CLASSIFICATION!$A$8:$A$24,0)),"Review"))</f>
        <v>Yes</v>
      </c>
      <c r="Q1752" s="350" t="str">
        <f t="shared" ca="1" si="55"/>
        <v>OK</v>
      </c>
    </row>
    <row r="1753" spans="1:17" ht="30">
      <c r="A1753" s="366" t="s">
        <v>3709</v>
      </c>
      <c r="B1753" s="366" t="s">
        <v>231</v>
      </c>
      <c r="C1753" s="348" t="str">
        <f>DATA_PROPERTY_MASTER!$A$10</f>
        <v>BLD_EA</v>
      </c>
      <c r="D1753" s="380">
        <f>'00_PORTFOLIO ROLLUP'!E$12</f>
        <v>2025</v>
      </c>
      <c r="E1753" s="366" t="s">
        <v>1741</v>
      </c>
      <c r="F1753" s="366" t="s">
        <v>41</v>
      </c>
      <c r="G1753" s="348" t="str">
        <f>"'"&amp;$C1753&amp;"'!rows 56 + positive row 63"</f>
        <v>'BLD_EA'!rows 56 + positive row 63</v>
      </c>
      <c r="H1753" s="381">
        <f ca="1">IF(IFERROR(INDEX(DATA_PROPERTY_MASTER!$E$5:$E$21,MATCH($C1753,DATA_PROPERTY_MASTER!$A$5:$A$21,0))="Yes",FALSE),IFERROR(INDEX(INDIRECT("'"&amp;$C1753&amp;"'!$E$56:$Y$56"),1,MATCH($D1753,INDIRECT("'"&amp;$C1753&amp;"'!$E$12:$Y$12"),0)),0)+MAX(IFERROR(INDEX(INDIRECT("'"&amp;$C1753&amp;"'!$E$63:$Y$63"),1,MATCH($D1753,INDIRECT("'"&amp;$C1753&amp;"'!$E$12:$Y$12"),0)),0),0),0)</f>
        <v>112813.47760000001</v>
      </c>
      <c r="I1753" s="366" t="s">
        <v>1685</v>
      </c>
      <c r="J1753" s="348" t="str">
        <f t="shared" ca="1" si="54"/>
        <v>OK</v>
      </c>
      <c r="K1753" s="366" t="s">
        <v>1742</v>
      </c>
      <c r="L1753" s="366" t="s">
        <v>2262</v>
      </c>
      <c r="M1753" s="350" t="str">
        <f>IF($B1753="Portfolio","Portfolio",IFERROR(INDEX(DATA_ASSET_CLASSIFICATION!$B$8:$B$24,MATCH($C1753,DATA_ASSET_CLASSIFICATION!$A$8:$A$24,0)),"Review"))</f>
        <v>Evergreen Apartments</v>
      </c>
      <c r="N1753" s="350" t="str">
        <f ca="1">IF($B1753="Portfolio","Portfolio",IFERROR(INDEX(DATA_ASSET_CLASSIFICATION!$U$8:$U$24,MATCH($C1753,DATA_ASSET_CLASSIFICATION!$A$8:$A$24,0)),"Review"))</f>
        <v>Refi Watch</v>
      </c>
      <c r="O1753" s="350" t="str">
        <f ca="1">IF($B1753="Portfolio","Portfolio",IFERROR(INDEX(DATA_ASSET_CLASSIFICATION!$AB$8:$AB$13,MATCH($N1753,DATA_ASSET_CLASSIFICATION!$AA$8:$AA$13,0)),"Review"))</f>
        <v>Bucket 2 · Legacy</v>
      </c>
      <c r="P1753" s="350" t="str">
        <f>IF($B1753="Portfolio","Portfolio",IFERROR(INDEX(DATA_ASSET_CLASSIFICATION!$C$8:$C$24,MATCH($C1753,DATA_ASSET_CLASSIFICATION!$A$8:$A$24,0)),"Review"))</f>
        <v>Yes</v>
      </c>
      <c r="Q1753" s="350" t="str">
        <f t="shared" ca="1" si="55"/>
        <v>OK</v>
      </c>
    </row>
    <row r="1754" spans="1:17" ht="30">
      <c r="A1754" s="366" t="s">
        <v>3710</v>
      </c>
      <c r="B1754" s="366" t="s">
        <v>231</v>
      </c>
      <c r="C1754" s="348" t="str">
        <f>DATA_PROPERTY_MASTER!$A$10</f>
        <v>BLD_EA</v>
      </c>
      <c r="D1754" s="380">
        <f>'00_PORTFOLIO ROLLUP'!E$12</f>
        <v>2025</v>
      </c>
      <c r="E1754" s="366" t="s">
        <v>1741</v>
      </c>
      <c r="F1754" s="366" t="s">
        <v>43</v>
      </c>
      <c r="G1754" s="348" t="str">
        <f>"'"&amp;$C1754&amp;"'!$E$68:$Y$68"</f>
        <v>'BLD_EA'!$E$68:$Y$68</v>
      </c>
      <c r="H1754" s="381">
        <f ca="1">IF(IFERROR(INDEX(DATA_PROPERTY_MASTER!$E$5:$E$21,MATCH($C1754,DATA_PROPERTY_MASTER!$A$5:$A$21,0))="Yes",FALSE),IFERROR(INDEX(INDIRECT("'"&amp;$C1754&amp;"'!$E$68:$Y$68"),1,MATCH($D1754,INDIRECT("'"&amp;$C1754&amp;"'!$E$12:$Y$12"),0)),0),0)</f>
        <v>112813.47760000001</v>
      </c>
      <c r="I1754" s="366" t="s">
        <v>1731</v>
      </c>
      <c r="J1754" s="348" t="str">
        <f t="shared" ca="1" si="54"/>
        <v>OK</v>
      </c>
      <c r="K1754" s="366" t="s">
        <v>1746</v>
      </c>
      <c r="L1754" s="366" t="s">
        <v>2264</v>
      </c>
      <c r="M1754" s="350" t="str">
        <f>IF($B1754="Portfolio","Portfolio",IFERROR(INDEX(DATA_ASSET_CLASSIFICATION!$B$8:$B$24,MATCH($C1754,DATA_ASSET_CLASSIFICATION!$A$8:$A$24,0)),"Review"))</f>
        <v>Evergreen Apartments</v>
      </c>
      <c r="N1754" s="350" t="str">
        <f ca="1">IF($B1754="Portfolio","Portfolio",IFERROR(INDEX(DATA_ASSET_CLASSIFICATION!$U$8:$U$24,MATCH($C1754,DATA_ASSET_CLASSIFICATION!$A$8:$A$24,0)),"Review"))</f>
        <v>Refi Watch</v>
      </c>
      <c r="O1754" s="350" t="str">
        <f ca="1">IF($B1754="Portfolio","Portfolio",IFERROR(INDEX(DATA_ASSET_CLASSIFICATION!$AB$8:$AB$13,MATCH($N1754,DATA_ASSET_CLASSIFICATION!$AA$8:$AA$13,0)),"Review"))</f>
        <v>Bucket 2 · Legacy</v>
      </c>
      <c r="P1754" s="350" t="str">
        <f>IF($B1754="Portfolio","Portfolio",IFERROR(INDEX(DATA_ASSET_CLASSIFICATION!$C$8:$C$24,MATCH($C1754,DATA_ASSET_CLASSIFICATION!$A$8:$A$24,0)),"Review"))</f>
        <v>Yes</v>
      </c>
      <c r="Q1754" s="350" t="str">
        <f t="shared" ca="1" si="55"/>
        <v>OK</v>
      </c>
    </row>
    <row r="1755" spans="1:17" ht="30">
      <c r="A1755" s="366" t="s">
        <v>3711</v>
      </c>
      <c r="B1755" s="366" t="s">
        <v>231</v>
      </c>
      <c r="C1755" s="348" t="str">
        <f>DATA_PROPERTY_MASTER!$A$10</f>
        <v>BLD_EA</v>
      </c>
      <c r="D1755" s="380">
        <f>'00_PORTFOLIO ROLLUP'!E$12</f>
        <v>2025</v>
      </c>
      <c r="E1755" s="366" t="s">
        <v>1741</v>
      </c>
      <c r="F1755" s="366" t="s">
        <v>1749</v>
      </c>
      <c r="G1755" s="348" t="str">
        <f>"'"&amp;$C1755&amp;"'!rows 56, 63, 68"</f>
        <v>'BLD_EA'!rows 56, 63, 68</v>
      </c>
      <c r="H1755" s="381">
        <f ca="1">IF(IFERROR(INDEX(DATA_PROPERTY_MASTER!$E$5:$E$21,MATCH($C1755,DATA_PROPERTY_MASTER!$A$5:$A$21,0))="Yes",FALSE),(IFERROR(INDEX(INDIRECT("'"&amp;$C1755&amp;"'!$E$56:$Y$56"),1,MATCH($D1755,INDIRECT("'"&amp;$C1755&amp;"'!$E$12:$Y$12"),0)),0)+MAX(IFERROR(INDEX(INDIRECT("'"&amp;$C1755&amp;"'!$E$63:$Y$63"),1,MATCH($D1755,INDIRECT("'"&amp;$C1755&amp;"'!$E$12:$Y$12"),0)),0),0))-(IFERROR(INDEX(INDIRECT("'"&amp;$C1755&amp;"'!$E$68:$Y$68"),1,MATCH($D1755,INDIRECT("'"&amp;$C1755&amp;"'!$E$12:$Y$12"),0)),0)),0)</f>
        <v>0</v>
      </c>
      <c r="I1755" s="366" t="s">
        <v>1750</v>
      </c>
      <c r="J1755" s="348" t="str">
        <f t="shared" ca="1" si="54"/>
        <v>OK</v>
      </c>
      <c r="K1755" s="366" t="s">
        <v>1751</v>
      </c>
      <c r="L1755" s="366" t="s">
        <v>2266</v>
      </c>
      <c r="M1755" s="350" t="str">
        <f>IF($B1755="Portfolio","Portfolio",IFERROR(INDEX(DATA_ASSET_CLASSIFICATION!$B$8:$B$24,MATCH($C1755,DATA_ASSET_CLASSIFICATION!$A$8:$A$24,0)),"Review"))</f>
        <v>Evergreen Apartments</v>
      </c>
      <c r="N1755" s="350" t="str">
        <f ca="1">IF($B1755="Portfolio","Portfolio",IFERROR(INDEX(DATA_ASSET_CLASSIFICATION!$U$8:$U$24,MATCH($C1755,DATA_ASSET_CLASSIFICATION!$A$8:$A$24,0)),"Review"))</f>
        <v>Refi Watch</v>
      </c>
      <c r="O1755" s="350" t="str">
        <f ca="1">IF($B1755="Portfolio","Portfolio",IFERROR(INDEX(DATA_ASSET_CLASSIFICATION!$AB$8:$AB$13,MATCH($N1755,DATA_ASSET_CLASSIFICATION!$AA$8:$AA$13,0)),"Review"))</f>
        <v>Bucket 2 · Legacy</v>
      </c>
      <c r="P1755" s="350" t="str">
        <f>IF($B1755="Portfolio","Portfolio",IFERROR(INDEX(DATA_ASSET_CLASSIFICATION!$C$8:$C$24,MATCH($C1755,DATA_ASSET_CLASSIFICATION!$A$8:$A$24,0)),"Review"))</f>
        <v>Yes</v>
      </c>
      <c r="Q1755" s="350" t="str">
        <f t="shared" ca="1" si="55"/>
        <v>OK</v>
      </c>
    </row>
    <row r="1756" spans="1:17" ht="30">
      <c r="A1756" s="366" t="s">
        <v>3712</v>
      </c>
      <c r="B1756" s="366" t="s">
        <v>231</v>
      </c>
      <c r="C1756" s="348" t="str">
        <f>DATA_PROPERTY_MASTER!$A$10</f>
        <v>BLD_EA</v>
      </c>
      <c r="D1756" s="380">
        <f>'00_PORTFOLIO ROLLUP'!F$12</f>
        <v>2026</v>
      </c>
      <c r="E1756" s="366" t="s">
        <v>1683</v>
      </c>
      <c r="F1756" s="366" t="s">
        <v>341</v>
      </c>
      <c r="G1756" s="348" t="str">
        <f>"'"&amp;$C1756&amp;"'!$E$24:$Y$24"</f>
        <v>'BLD_EA'!$E$24:$Y$24</v>
      </c>
      <c r="H1756" s="381">
        <f ca="1">IF(IFERROR(INDEX(DATA_PROPERTY_MASTER!$E$5:$E$21,MATCH($C1756,DATA_PROPERTY_MASTER!$A$5:$A$21,0))="Yes",FALSE),IFERROR(INDEX(INDIRECT("'"&amp;$C1756&amp;"'!$E$24:$Y$24"),1,MATCH($D1756,INDIRECT("'"&amp;$C1756&amp;"'!$E$12:$Y$12"),0)),0),0)</f>
        <v>1013274.8278800002</v>
      </c>
      <c r="I1756" s="366" t="s">
        <v>1685</v>
      </c>
      <c r="J1756" s="348" t="str">
        <f t="shared" ca="1" si="54"/>
        <v>OK</v>
      </c>
      <c r="K1756" s="366" t="s">
        <v>1686</v>
      </c>
      <c r="L1756" s="366" t="s">
        <v>2234</v>
      </c>
      <c r="M1756" s="350" t="str">
        <f>IF($B1756="Portfolio","Portfolio",IFERROR(INDEX(DATA_ASSET_CLASSIFICATION!$B$8:$B$24,MATCH($C1756,DATA_ASSET_CLASSIFICATION!$A$8:$A$24,0)),"Review"))</f>
        <v>Evergreen Apartments</v>
      </c>
      <c r="N1756" s="350" t="str">
        <f ca="1">IF($B1756="Portfolio","Portfolio",IFERROR(INDEX(DATA_ASSET_CLASSIFICATION!$U$8:$U$24,MATCH($C1756,DATA_ASSET_CLASSIFICATION!$A$8:$A$24,0)),"Review"))</f>
        <v>Refi Watch</v>
      </c>
      <c r="O1756" s="350" t="str">
        <f ca="1">IF($B1756="Portfolio","Portfolio",IFERROR(INDEX(DATA_ASSET_CLASSIFICATION!$AB$8:$AB$13,MATCH($N1756,DATA_ASSET_CLASSIFICATION!$AA$8:$AA$13,0)),"Review"))</f>
        <v>Bucket 2 · Legacy</v>
      </c>
      <c r="P1756" s="350" t="str">
        <f>IF($B1756="Portfolio","Portfolio",IFERROR(INDEX(DATA_ASSET_CLASSIFICATION!$C$8:$C$24,MATCH($C1756,DATA_ASSET_CLASSIFICATION!$A$8:$A$24,0)),"Review"))</f>
        <v>Yes</v>
      </c>
      <c r="Q1756" s="350" t="str">
        <f t="shared" ca="1" si="55"/>
        <v>OK</v>
      </c>
    </row>
    <row r="1757" spans="1:17" ht="30">
      <c r="A1757" s="366" t="s">
        <v>3713</v>
      </c>
      <c r="B1757" s="366" t="s">
        <v>231</v>
      </c>
      <c r="C1757" s="348" t="str">
        <f>DATA_PROPERTY_MASTER!$A$10</f>
        <v>BLD_EA</v>
      </c>
      <c r="D1757" s="380">
        <f>'00_PORTFOLIO ROLLUP'!F$12</f>
        <v>2026</v>
      </c>
      <c r="E1757" s="366" t="s">
        <v>1683</v>
      </c>
      <c r="F1757" s="366" t="s">
        <v>355</v>
      </c>
      <c r="G1757" s="348" t="str">
        <f>"'"&amp;$C1757&amp;"'!$E$39:$Y$39"</f>
        <v>'BLD_EA'!$E$39:$Y$39</v>
      </c>
      <c r="H1757" s="381">
        <f ca="1">IF(IFERROR(INDEX(DATA_PROPERTY_MASTER!$E$5:$E$21,MATCH($C1757,DATA_PROPERTY_MASTER!$A$5:$A$21,0))="Yes",FALSE),IFERROR(INDEX(INDIRECT("'"&amp;$C1757&amp;"'!$E$39:$Y$39"),1,MATCH($D1757,INDIRECT("'"&amp;$C1757&amp;"'!$E$12:$Y$12"),0)),0),0)</f>
        <v>430074.32</v>
      </c>
      <c r="I1757" s="366" t="s">
        <v>1690</v>
      </c>
      <c r="J1757" s="348" t="str">
        <f t="shared" ca="1" si="54"/>
        <v>OK</v>
      </c>
      <c r="K1757" s="366" t="s">
        <v>1686</v>
      </c>
      <c r="L1757" s="366" t="s">
        <v>2236</v>
      </c>
      <c r="M1757" s="350" t="str">
        <f>IF($B1757="Portfolio","Portfolio",IFERROR(INDEX(DATA_ASSET_CLASSIFICATION!$B$8:$B$24,MATCH($C1757,DATA_ASSET_CLASSIFICATION!$A$8:$A$24,0)),"Review"))</f>
        <v>Evergreen Apartments</v>
      </c>
      <c r="N1757" s="350" t="str">
        <f ca="1">IF($B1757="Portfolio","Portfolio",IFERROR(INDEX(DATA_ASSET_CLASSIFICATION!$U$8:$U$24,MATCH($C1757,DATA_ASSET_CLASSIFICATION!$A$8:$A$24,0)),"Review"))</f>
        <v>Refi Watch</v>
      </c>
      <c r="O1757" s="350" t="str">
        <f ca="1">IF($B1757="Portfolio","Portfolio",IFERROR(INDEX(DATA_ASSET_CLASSIFICATION!$AB$8:$AB$13,MATCH($N1757,DATA_ASSET_CLASSIFICATION!$AA$8:$AA$13,0)),"Review"))</f>
        <v>Bucket 2 · Legacy</v>
      </c>
      <c r="P1757" s="350" t="str">
        <f>IF($B1757="Portfolio","Portfolio",IFERROR(INDEX(DATA_ASSET_CLASSIFICATION!$C$8:$C$24,MATCH($C1757,DATA_ASSET_CLASSIFICATION!$A$8:$A$24,0)),"Review"))</f>
        <v>Yes</v>
      </c>
      <c r="Q1757" s="350" t="str">
        <f t="shared" ca="1" si="55"/>
        <v>OK</v>
      </c>
    </row>
    <row r="1758" spans="1:17" ht="30">
      <c r="A1758" s="366" t="s">
        <v>3714</v>
      </c>
      <c r="B1758" s="366" t="s">
        <v>231</v>
      </c>
      <c r="C1758" s="348" t="str">
        <f>DATA_PROPERTY_MASTER!$A$10</f>
        <v>BLD_EA</v>
      </c>
      <c r="D1758" s="380">
        <f>'00_PORTFOLIO ROLLUP'!F$12</f>
        <v>2026</v>
      </c>
      <c r="E1758" s="366" t="s">
        <v>1683</v>
      </c>
      <c r="F1758" s="366" t="s">
        <v>19</v>
      </c>
      <c r="G1758" s="348" t="str">
        <f>"'"&amp;$C1758&amp;"'!$E$41:$Y$41"</f>
        <v>'BLD_EA'!$E$41:$Y$41</v>
      </c>
      <c r="H1758" s="381">
        <f ca="1">IF(IFERROR(INDEX(DATA_PROPERTY_MASTER!$E$5:$E$21,MATCH($C1758,DATA_PROPERTY_MASTER!$A$5:$A$21,0))="Yes",FALSE),IFERROR(INDEX(INDIRECT("'"&amp;$C1758&amp;"'!$E$41:$Y$41"),1,MATCH($D1758,INDIRECT("'"&amp;$C1758&amp;"'!$E$12:$Y$12"),0)),0),0)</f>
        <v>583200.50788000016</v>
      </c>
      <c r="I1758" s="366" t="s">
        <v>1685</v>
      </c>
      <c r="J1758" s="348" t="str">
        <f t="shared" ca="1" si="54"/>
        <v>OK</v>
      </c>
      <c r="K1758" s="366" t="s">
        <v>1694</v>
      </c>
      <c r="L1758" s="366" t="s">
        <v>2238</v>
      </c>
      <c r="M1758" s="350" t="str">
        <f>IF($B1758="Portfolio","Portfolio",IFERROR(INDEX(DATA_ASSET_CLASSIFICATION!$B$8:$B$24,MATCH($C1758,DATA_ASSET_CLASSIFICATION!$A$8:$A$24,0)),"Review"))</f>
        <v>Evergreen Apartments</v>
      </c>
      <c r="N1758" s="350" t="str">
        <f ca="1">IF($B1758="Portfolio","Portfolio",IFERROR(INDEX(DATA_ASSET_CLASSIFICATION!$U$8:$U$24,MATCH($C1758,DATA_ASSET_CLASSIFICATION!$A$8:$A$24,0)),"Review"))</f>
        <v>Refi Watch</v>
      </c>
      <c r="O1758" s="350" t="str">
        <f ca="1">IF($B1758="Portfolio","Portfolio",IFERROR(INDEX(DATA_ASSET_CLASSIFICATION!$AB$8:$AB$13,MATCH($N1758,DATA_ASSET_CLASSIFICATION!$AA$8:$AA$13,0)),"Review"))</f>
        <v>Bucket 2 · Legacy</v>
      </c>
      <c r="P1758" s="350" t="str">
        <f>IF($B1758="Portfolio","Portfolio",IFERROR(INDEX(DATA_ASSET_CLASSIFICATION!$C$8:$C$24,MATCH($C1758,DATA_ASSET_CLASSIFICATION!$A$8:$A$24,0)),"Review"))</f>
        <v>Yes</v>
      </c>
      <c r="Q1758" s="350" t="str">
        <f t="shared" ca="1" si="55"/>
        <v>OK</v>
      </c>
    </row>
    <row r="1759" spans="1:17" ht="30">
      <c r="A1759" s="366" t="s">
        <v>3715</v>
      </c>
      <c r="B1759" s="366" t="s">
        <v>231</v>
      </c>
      <c r="C1759" s="348" t="str">
        <f>DATA_PROPERTY_MASTER!$A$10</f>
        <v>BLD_EA</v>
      </c>
      <c r="D1759" s="380">
        <f>'00_PORTFOLIO ROLLUP'!F$12</f>
        <v>2026</v>
      </c>
      <c r="E1759" s="366" t="s">
        <v>1683</v>
      </c>
      <c r="F1759" s="366" t="s">
        <v>1697</v>
      </c>
      <c r="G1759" s="348" t="str">
        <f>"'"&amp;$C1759&amp;"'!$E$44:$Y$44"</f>
        <v>'BLD_EA'!$E$44:$Y$44</v>
      </c>
      <c r="H1759" s="381">
        <f ca="1">IF(IFERROR(INDEX(DATA_PROPERTY_MASTER!$E$5:$E$21,MATCH($C1759,DATA_PROPERTY_MASTER!$A$5:$A$21,0))="Yes",FALSE),IFERROR(INDEX(INDIRECT("'"&amp;$C1759&amp;"'!$E$44:$Y$44"),1,MATCH($D1759,INDIRECT("'"&amp;$C1759&amp;"'!$E$12:$Y$12"),0)),0),0)</f>
        <v>9333</v>
      </c>
      <c r="I1759" s="366" t="s">
        <v>1690</v>
      </c>
      <c r="J1759" s="348" t="str">
        <f t="shared" ca="1" si="54"/>
        <v>OK</v>
      </c>
      <c r="K1759" s="366" t="s">
        <v>1699</v>
      </c>
      <c r="L1759" s="366" t="s">
        <v>2240</v>
      </c>
      <c r="M1759" s="350" t="str">
        <f>IF($B1759="Portfolio","Portfolio",IFERROR(INDEX(DATA_ASSET_CLASSIFICATION!$B$8:$B$24,MATCH($C1759,DATA_ASSET_CLASSIFICATION!$A$8:$A$24,0)),"Review"))</f>
        <v>Evergreen Apartments</v>
      </c>
      <c r="N1759" s="350" t="str">
        <f ca="1">IF($B1759="Portfolio","Portfolio",IFERROR(INDEX(DATA_ASSET_CLASSIFICATION!$U$8:$U$24,MATCH($C1759,DATA_ASSET_CLASSIFICATION!$A$8:$A$24,0)),"Review"))</f>
        <v>Refi Watch</v>
      </c>
      <c r="O1759" s="350" t="str">
        <f ca="1">IF($B1759="Portfolio","Portfolio",IFERROR(INDEX(DATA_ASSET_CLASSIFICATION!$AB$8:$AB$13,MATCH($N1759,DATA_ASSET_CLASSIFICATION!$AA$8:$AA$13,0)),"Review"))</f>
        <v>Bucket 2 · Legacy</v>
      </c>
      <c r="P1759" s="350" t="str">
        <f>IF($B1759="Portfolio","Portfolio",IFERROR(INDEX(DATA_ASSET_CLASSIFICATION!$C$8:$C$24,MATCH($C1759,DATA_ASSET_CLASSIFICATION!$A$8:$A$24,0)),"Review"))</f>
        <v>Yes</v>
      </c>
      <c r="Q1759" s="350" t="str">
        <f t="shared" ca="1" si="55"/>
        <v>OK</v>
      </c>
    </row>
    <row r="1760" spans="1:17" ht="30">
      <c r="A1760" s="366" t="s">
        <v>3716</v>
      </c>
      <c r="B1760" s="366" t="s">
        <v>231</v>
      </c>
      <c r="C1760" s="348" t="str">
        <f>DATA_PROPERTY_MASTER!$A$10</f>
        <v>BLD_EA</v>
      </c>
      <c r="D1760" s="380">
        <f>'00_PORTFOLIO ROLLUP'!F$12</f>
        <v>2026</v>
      </c>
      <c r="E1760" s="366" t="s">
        <v>1683</v>
      </c>
      <c r="F1760" s="366" t="s">
        <v>21</v>
      </c>
      <c r="G1760" s="348" t="str">
        <f>"'"&amp;$C1760&amp;"'!$E$45:$Y$45"</f>
        <v>'BLD_EA'!$E$45:$Y$45</v>
      </c>
      <c r="H1760" s="381">
        <f ca="1">IF(IFERROR(INDEX(DATA_PROPERTY_MASTER!$E$5:$E$21,MATCH($C1760,DATA_PROPERTY_MASTER!$A$5:$A$21,0))="Yes",FALSE),IFERROR(INDEX(INDIRECT("'"&amp;$C1760&amp;"'!$E$45:$Y$45"),1,MATCH($D1760,INDIRECT("'"&amp;$C1760&amp;"'!$E$12:$Y$12"),0)),0),0)</f>
        <v>573867.50788000016</v>
      </c>
      <c r="I1760" s="366" t="s">
        <v>1685</v>
      </c>
      <c r="J1760" s="348" t="str">
        <f t="shared" ca="1" si="54"/>
        <v>OK</v>
      </c>
      <c r="K1760" s="366" t="s">
        <v>1694</v>
      </c>
      <c r="L1760" s="366" t="s">
        <v>2242</v>
      </c>
      <c r="M1760" s="350" t="str">
        <f>IF($B1760="Portfolio","Portfolio",IFERROR(INDEX(DATA_ASSET_CLASSIFICATION!$B$8:$B$24,MATCH($C1760,DATA_ASSET_CLASSIFICATION!$A$8:$A$24,0)),"Review"))</f>
        <v>Evergreen Apartments</v>
      </c>
      <c r="N1760" s="350" t="str">
        <f ca="1">IF($B1760="Portfolio","Portfolio",IFERROR(INDEX(DATA_ASSET_CLASSIFICATION!$U$8:$U$24,MATCH($C1760,DATA_ASSET_CLASSIFICATION!$A$8:$A$24,0)),"Review"))</f>
        <v>Refi Watch</v>
      </c>
      <c r="O1760" s="350" t="str">
        <f ca="1">IF($B1760="Portfolio","Portfolio",IFERROR(INDEX(DATA_ASSET_CLASSIFICATION!$AB$8:$AB$13,MATCH($N1760,DATA_ASSET_CLASSIFICATION!$AA$8:$AA$13,0)),"Review"))</f>
        <v>Bucket 2 · Legacy</v>
      </c>
      <c r="P1760" s="350" t="str">
        <f>IF($B1760="Portfolio","Portfolio",IFERROR(INDEX(DATA_ASSET_CLASSIFICATION!$C$8:$C$24,MATCH($C1760,DATA_ASSET_CLASSIFICATION!$A$8:$A$24,0)),"Review"))</f>
        <v>Yes</v>
      </c>
      <c r="Q1760" s="350" t="str">
        <f t="shared" ca="1" si="55"/>
        <v>OK</v>
      </c>
    </row>
    <row r="1761" spans="1:17" ht="30">
      <c r="A1761" s="366" t="s">
        <v>3717</v>
      </c>
      <c r="B1761" s="366" t="s">
        <v>231</v>
      </c>
      <c r="C1761" s="348" t="str">
        <f>DATA_PROPERTY_MASTER!$A$10</f>
        <v>BLD_EA</v>
      </c>
      <c r="D1761" s="380">
        <f>'00_PORTFOLIO ROLLUP'!F$12</f>
        <v>2026</v>
      </c>
      <c r="E1761" s="366" t="s">
        <v>23</v>
      </c>
      <c r="F1761" s="366" t="s">
        <v>23</v>
      </c>
      <c r="G1761" s="348" t="str">
        <f>"'"&amp;$C1761&amp;"'!$E$48:$Y$48"</f>
        <v>'BLD_EA'!$E$48:$Y$48</v>
      </c>
      <c r="H1761" s="381">
        <f ca="1">IF(IFERROR(INDEX(DATA_PROPERTY_MASTER!$E$5:$E$21,MATCH($C1761,DATA_PROPERTY_MASTER!$A$5:$A$21,0))="Yes",FALSE),IFERROR(INDEX(INDIRECT("'"&amp;$C1761&amp;"'!$E$48:$Y$48"),1,MATCH($D1761,INDIRECT("'"&amp;$C1761&amp;"'!$E$12:$Y$12"),0)),0),0)</f>
        <v>297840</v>
      </c>
      <c r="I1761" s="366" t="s">
        <v>1690</v>
      </c>
      <c r="J1761" s="348" t="str">
        <f t="shared" ca="1" si="54"/>
        <v>OK</v>
      </c>
      <c r="K1761" s="366" t="s">
        <v>1706</v>
      </c>
      <c r="L1761" s="366" t="s">
        <v>2244</v>
      </c>
      <c r="M1761" s="350" t="str">
        <f>IF($B1761="Portfolio","Portfolio",IFERROR(INDEX(DATA_ASSET_CLASSIFICATION!$B$8:$B$24,MATCH($C1761,DATA_ASSET_CLASSIFICATION!$A$8:$A$24,0)),"Review"))</f>
        <v>Evergreen Apartments</v>
      </c>
      <c r="N1761" s="350" t="str">
        <f ca="1">IF($B1761="Portfolio","Portfolio",IFERROR(INDEX(DATA_ASSET_CLASSIFICATION!$U$8:$U$24,MATCH($C1761,DATA_ASSET_CLASSIFICATION!$A$8:$A$24,0)),"Review"))</f>
        <v>Refi Watch</v>
      </c>
      <c r="O1761" s="350" t="str">
        <f ca="1">IF($B1761="Portfolio","Portfolio",IFERROR(INDEX(DATA_ASSET_CLASSIFICATION!$AB$8:$AB$13,MATCH($N1761,DATA_ASSET_CLASSIFICATION!$AA$8:$AA$13,0)),"Review"))</f>
        <v>Bucket 2 · Legacy</v>
      </c>
      <c r="P1761" s="350" t="str">
        <f>IF($B1761="Portfolio","Portfolio",IFERROR(INDEX(DATA_ASSET_CLASSIFICATION!$C$8:$C$24,MATCH($C1761,DATA_ASSET_CLASSIFICATION!$A$8:$A$24,0)),"Review"))</f>
        <v>Yes</v>
      </c>
      <c r="Q1761" s="350" t="str">
        <f t="shared" ca="1" si="55"/>
        <v>OK</v>
      </c>
    </row>
    <row r="1762" spans="1:17" ht="30">
      <c r="A1762" s="366" t="s">
        <v>3718</v>
      </c>
      <c r="B1762" s="366" t="s">
        <v>231</v>
      </c>
      <c r="C1762" s="348" t="str">
        <f>DATA_PROPERTY_MASTER!$A$10</f>
        <v>BLD_EA</v>
      </c>
      <c r="D1762" s="380">
        <f>'00_PORTFOLIO ROLLUP'!F$12</f>
        <v>2026</v>
      </c>
      <c r="E1762" s="366" t="s">
        <v>1683</v>
      </c>
      <c r="F1762" s="366" t="s">
        <v>25</v>
      </c>
      <c r="G1762" s="348" t="str">
        <f>"'"&amp;$C1762&amp;"'!$E$52:$Y$52"</f>
        <v>'BLD_EA'!$E$52:$Y$52</v>
      </c>
      <c r="H1762" s="381">
        <f ca="1">IF(IFERROR(INDEX(DATA_PROPERTY_MASTER!$E$5:$E$21,MATCH($C1762,DATA_PROPERTY_MASTER!$A$5:$A$21,0))="Yes",FALSE),IFERROR(INDEX(INDIRECT("'"&amp;$C1762&amp;"'!$E$52:$Y$52"),1,MATCH($D1762,INDIRECT("'"&amp;$C1762&amp;"'!$E$12:$Y$12"),0)),0),0)</f>
        <v>285360.50788000016</v>
      </c>
      <c r="I1762" s="366" t="s">
        <v>1685</v>
      </c>
      <c r="J1762" s="348" t="str">
        <f t="shared" ca="1" si="54"/>
        <v>OK</v>
      </c>
      <c r="K1762" s="366" t="s">
        <v>1710</v>
      </c>
      <c r="L1762" s="366" t="s">
        <v>2246</v>
      </c>
      <c r="M1762" s="350" t="str">
        <f>IF($B1762="Portfolio","Portfolio",IFERROR(INDEX(DATA_ASSET_CLASSIFICATION!$B$8:$B$24,MATCH($C1762,DATA_ASSET_CLASSIFICATION!$A$8:$A$24,0)),"Review"))</f>
        <v>Evergreen Apartments</v>
      </c>
      <c r="N1762" s="350" t="str">
        <f ca="1">IF($B1762="Portfolio","Portfolio",IFERROR(INDEX(DATA_ASSET_CLASSIFICATION!$U$8:$U$24,MATCH($C1762,DATA_ASSET_CLASSIFICATION!$A$8:$A$24,0)),"Review"))</f>
        <v>Refi Watch</v>
      </c>
      <c r="O1762" s="350" t="str">
        <f ca="1">IF($B1762="Portfolio","Portfolio",IFERROR(INDEX(DATA_ASSET_CLASSIFICATION!$AB$8:$AB$13,MATCH($N1762,DATA_ASSET_CLASSIFICATION!$AA$8:$AA$13,0)),"Review"))</f>
        <v>Bucket 2 · Legacy</v>
      </c>
      <c r="P1762" s="350" t="str">
        <f>IF($B1762="Portfolio","Portfolio",IFERROR(INDEX(DATA_ASSET_CLASSIFICATION!$C$8:$C$24,MATCH($C1762,DATA_ASSET_CLASSIFICATION!$A$8:$A$24,0)),"Review"))</f>
        <v>Yes</v>
      </c>
      <c r="Q1762" s="350" t="str">
        <f t="shared" ca="1" si="55"/>
        <v>OK</v>
      </c>
    </row>
    <row r="1763" spans="1:17" ht="30">
      <c r="A1763" s="366" t="s">
        <v>3719</v>
      </c>
      <c r="B1763" s="366" t="s">
        <v>231</v>
      </c>
      <c r="C1763" s="348" t="str">
        <f>DATA_PROPERTY_MASTER!$A$10</f>
        <v>BLD_EA</v>
      </c>
      <c r="D1763" s="380">
        <f>'00_PORTFOLIO ROLLUP'!F$12</f>
        <v>2026</v>
      </c>
      <c r="E1763" s="366" t="s">
        <v>1683</v>
      </c>
      <c r="F1763" s="366" t="s">
        <v>27</v>
      </c>
      <c r="G1763" s="348" t="str">
        <f>"'"&amp;$C1763&amp;"'!$E$54:$Y$54"</f>
        <v>'BLD_EA'!$E$54:$Y$54</v>
      </c>
      <c r="H1763" s="381">
        <f ca="1">IF(IFERROR(INDEX(DATA_PROPERTY_MASTER!$E$5:$E$21,MATCH($C1763,DATA_PROPERTY_MASTER!$A$5:$A$21,0))="Yes",FALSE),IFERROR(INDEX(INDIRECT("'"&amp;$C1763&amp;"'!$E$54:$Y$54"),1,MATCH($D1763,INDIRECT("'"&amp;$C1763&amp;"'!$E$12:$Y$12"),0)),0),0)</f>
        <v>171216.3047280001</v>
      </c>
      <c r="I1763" s="366" t="s">
        <v>1690</v>
      </c>
      <c r="J1763" s="348" t="str">
        <f t="shared" ca="1" si="54"/>
        <v>OK</v>
      </c>
      <c r="K1763" s="366" t="s">
        <v>1714</v>
      </c>
      <c r="L1763" s="366" t="s">
        <v>2248</v>
      </c>
      <c r="M1763" s="350" t="str">
        <f>IF($B1763="Portfolio","Portfolio",IFERROR(INDEX(DATA_ASSET_CLASSIFICATION!$B$8:$B$24,MATCH($C1763,DATA_ASSET_CLASSIFICATION!$A$8:$A$24,0)),"Review"))</f>
        <v>Evergreen Apartments</v>
      </c>
      <c r="N1763" s="350" t="str">
        <f ca="1">IF($B1763="Portfolio","Portfolio",IFERROR(INDEX(DATA_ASSET_CLASSIFICATION!$U$8:$U$24,MATCH($C1763,DATA_ASSET_CLASSIFICATION!$A$8:$A$24,0)),"Review"))</f>
        <v>Refi Watch</v>
      </c>
      <c r="O1763" s="350" t="str">
        <f ca="1">IF($B1763="Portfolio","Portfolio",IFERROR(INDEX(DATA_ASSET_CLASSIFICATION!$AB$8:$AB$13,MATCH($N1763,DATA_ASSET_CLASSIFICATION!$AA$8:$AA$13,0)),"Review"))</f>
        <v>Bucket 2 · Legacy</v>
      </c>
      <c r="P1763" s="350" t="str">
        <f>IF($B1763="Portfolio","Portfolio",IFERROR(INDEX(DATA_ASSET_CLASSIFICATION!$C$8:$C$24,MATCH($C1763,DATA_ASSET_CLASSIFICATION!$A$8:$A$24,0)),"Review"))</f>
        <v>Yes</v>
      </c>
      <c r="Q1763" s="350" t="str">
        <f t="shared" ca="1" si="55"/>
        <v>OK</v>
      </c>
    </row>
    <row r="1764" spans="1:17" ht="30">
      <c r="A1764" s="366" t="s">
        <v>3720</v>
      </c>
      <c r="B1764" s="366" t="s">
        <v>231</v>
      </c>
      <c r="C1764" s="348" t="str">
        <f>DATA_PROPERTY_MASTER!$A$10</f>
        <v>BLD_EA</v>
      </c>
      <c r="D1764" s="380">
        <f>'00_PORTFOLIO ROLLUP'!F$12</f>
        <v>2026</v>
      </c>
      <c r="E1764" s="366" t="s">
        <v>1683</v>
      </c>
      <c r="F1764" s="366" t="s">
        <v>29</v>
      </c>
      <c r="G1764" s="348" t="str">
        <f>"'"&amp;$C1764&amp;"'!$E$56:$Y$56"</f>
        <v>'BLD_EA'!$E$56:$Y$56</v>
      </c>
      <c r="H1764" s="381">
        <f ca="1">IF(IFERROR(INDEX(DATA_PROPERTY_MASTER!$E$5:$E$21,MATCH($C1764,DATA_PROPERTY_MASTER!$A$5:$A$21,0))="Yes",FALSE),IFERROR(INDEX(INDIRECT("'"&amp;$C1764&amp;"'!$E$56:$Y$56"),1,MATCH($D1764,INDIRECT("'"&amp;$C1764&amp;"'!$E$12:$Y$12"),0)),0),0)</f>
        <v>114144.20315200006</v>
      </c>
      <c r="I1764" s="366" t="s">
        <v>1685</v>
      </c>
      <c r="J1764" s="348" t="str">
        <f t="shared" ca="1" si="54"/>
        <v>OK</v>
      </c>
      <c r="K1764" s="366" t="s">
        <v>1718</v>
      </c>
      <c r="L1764" s="366" t="s">
        <v>2250</v>
      </c>
      <c r="M1764" s="350" t="str">
        <f>IF($B1764="Portfolio","Portfolio",IFERROR(INDEX(DATA_ASSET_CLASSIFICATION!$B$8:$B$24,MATCH($C1764,DATA_ASSET_CLASSIFICATION!$A$8:$A$24,0)),"Review"))</f>
        <v>Evergreen Apartments</v>
      </c>
      <c r="N1764" s="350" t="str">
        <f ca="1">IF($B1764="Portfolio","Portfolio",IFERROR(INDEX(DATA_ASSET_CLASSIFICATION!$U$8:$U$24,MATCH($C1764,DATA_ASSET_CLASSIFICATION!$A$8:$A$24,0)),"Review"))</f>
        <v>Refi Watch</v>
      </c>
      <c r="O1764" s="350" t="str">
        <f ca="1">IF($B1764="Portfolio","Portfolio",IFERROR(INDEX(DATA_ASSET_CLASSIFICATION!$AB$8:$AB$13,MATCH($N1764,DATA_ASSET_CLASSIFICATION!$AA$8:$AA$13,0)),"Review"))</f>
        <v>Bucket 2 · Legacy</v>
      </c>
      <c r="P1764" s="350" t="str">
        <f>IF($B1764="Portfolio","Portfolio",IFERROR(INDEX(DATA_ASSET_CLASSIFICATION!$C$8:$C$24,MATCH($C1764,DATA_ASSET_CLASSIFICATION!$A$8:$A$24,0)),"Review"))</f>
        <v>Yes</v>
      </c>
      <c r="Q1764" s="350" t="str">
        <f t="shared" ca="1" si="55"/>
        <v>OK</v>
      </c>
    </row>
    <row r="1765" spans="1:17" ht="30">
      <c r="A1765" s="366" t="s">
        <v>3721</v>
      </c>
      <c r="B1765" s="366" t="s">
        <v>231</v>
      </c>
      <c r="C1765" s="348" t="str">
        <f>DATA_PROPERTY_MASTER!$A$10</f>
        <v>BLD_EA</v>
      </c>
      <c r="D1765" s="380">
        <f>'00_PORTFOLIO ROLLUP'!F$12</f>
        <v>2026</v>
      </c>
      <c r="E1765" s="366" t="s">
        <v>1721</v>
      </c>
      <c r="F1765" s="366" t="s">
        <v>31</v>
      </c>
      <c r="G1765" s="348" t="str">
        <f>"'"&amp;$C1765&amp;"'!$E$61:$Y$61"</f>
        <v>'BLD_EA'!$E$61:$Y$61</v>
      </c>
      <c r="H1765" s="381">
        <f ca="1">IF(IFERROR(INDEX(DATA_PROPERTY_MASTER!$E$5:$E$21,MATCH($C1765,DATA_PROPERTY_MASTER!$A$5:$A$21,0))="Yes",FALSE),IFERROR(INDEX(INDIRECT("'"&amp;$C1765&amp;"'!$E$61:$Y$61"),1,MATCH($D1765,INDIRECT("'"&amp;$C1765&amp;"'!$E$12:$Y$12"),0)),0),0)</f>
        <v>0</v>
      </c>
      <c r="I1765" s="366" t="s">
        <v>1690</v>
      </c>
      <c r="J1765" s="348" t="str">
        <f t="shared" ca="1" si="54"/>
        <v>OK</v>
      </c>
      <c r="K1765" s="366" t="s">
        <v>1723</v>
      </c>
      <c r="L1765" s="366" t="s">
        <v>2252</v>
      </c>
      <c r="M1765" s="350" t="str">
        <f>IF($B1765="Portfolio","Portfolio",IFERROR(INDEX(DATA_ASSET_CLASSIFICATION!$B$8:$B$24,MATCH($C1765,DATA_ASSET_CLASSIFICATION!$A$8:$A$24,0)),"Review"))</f>
        <v>Evergreen Apartments</v>
      </c>
      <c r="N1765" s="350" t="str">
        <f ca="1">IF($B1765="Portfolio","Portfolio",IFERROR(INDEX(DATA_ASSET_CLASSIFICATION!$U$8:$U$24,MATCH($C1765,DATA_ASSET_CLASSIFICATION!$A$8:$A$24,0)),"Review"))</f>
        <v>Refi Watch</v>
      </c>
      <c r="O1765" s="350" t="str">
        <f ca="1">IF($B1765="Portfolio","Portfolio",IFERROR(INDEX(DATA_ASSET_CLASSIFICATION!$AB$8:$AB$13,MATCH($N1765,DATA_ASSET_CLASSIFICATION!$AA$8:$AA$13,0)),"Review"))</f>
        <v>Bucket 2 · Legacy</v>
      </c>
      <c r="P1765" s="350" t="str">
        <f>IF($B1765="Portfolio","Portfolio",IFERROR(INDEX(DATA_ASSET_CLASSIFICATION!$C$8:$C$24,MATCH($C1765,DATA_ASSET_CLASSIFICATION!$A$8:$A$24,0)),"Review"))</f>
        <v>Yes</v>
      </c>
      <c r="Q1765" s="350" t="str">
        <f t="shared" ca="1" si="55"/>
        <v>OK</v>
      </c>
    </row>
    <row r="1766" spans="1:17" ht="30">
      <c r="A1766" s="366" t="s">
        <v>3722</v>
      </c>
      <c r="B1766" s="366" t="s">
        <v>231</v>
      </c>
      <c r="C1766" s="348" t="str">
        <f>DATA_PROPERTY_MASTER!$A$10</f>
        <v>BLD_EA</v>
      </c>
      <c r="D1766" s="380">
        <f>'00_PORTFOLIO ROLLUP'!F$12</f>
        <v>2026</v>
      </c>
      <c r="E1766" s="366" t="s">
        <v>1721</v>
      </c>
      <c r="F1766" s="366" t="s">
        <v>33</v>
      </c>
      <c r="G1766" s="348" t="str">
        <f>"'"&amp;$C1766&amp;"'!$E$62:$Y$62"</f>
        <v>'BLD_EA'!$E$62:$Y$62</v>
      </c>
      <c r="H1766" s="381">
        <f ca="1">IF(IFERROR(INDEX(DATA_PROPERTY_MASTER!$E$5:$E$21,MATCH($C1766,DATA_PROPERTY_MASTER!$A$5:$A$21,0))="Yes",FALSE),IFERROR(INDEX(INDIRECT("'"&amp;$C1766&amp;"'!$E$62:$Y$62"),1,MATCH($D1766,INDIRECT("'"&amp;$C1766&amp;"'!$E$12:$Y$12"),0)),0),0)</f>
        <v>0</v>
      </c>
      <c r="I1766" s="366" t="s">
        <v>1685</v>
      </c>
      <c r="J1766" s="348" t="str">
        <f t="shared" ca="1" si="54"/>
        <v>OK</v>
      </c>
      <c r="K1766" s="366" t="s">
        <v>1727</v>
      </c>
      <c r="L1766" s="366" t="s">
        <v>2254</v>
      </c>
      <c r="M1766" s="350" t="str">
        <f>IF($B1766="Portfolio","Portfolio",IFERROR(INDEX(DATA_ASSET_CLASSIFICATION!$B$8:$B$24,MATCH($C1766,DATA_ASSET_CLASSIFICATION!$A$8:$A$24,0)),"Review"))</f>
        <v>Evergreen Apartments</v>
      </c>
      <c r="N1766" s="350" t="str">
        <f ca="1">IF($B1766="Portfolio","Portfolio",IFERROR(INDEX(DATA_ASSET_CLASSIFICATION!$U$8:$U$24,MATCH($C1766,DATA_ASSET_CLASSIFICATION!$A$8:$A$24,0)),"Review"))</f>
        <v>Refi Watch</v>
      </c>
      <c r="O1766" s="350" t="str">
        <f ca="1">IF($B1766="Portfolio","Portfolio",IFERROR(INDEX(DATA_ASSET_CLASSIFICATION!$AB$8:$AB$13,MATCH($N1766,DATA_ASSET_CLASSIFICATION!$AA$8:$AA$13,0)),"Review"))</f>
        <v>Bucket 2 · Legacy</v>
      </c>
      <c r="P1766" s="350" t="str">
        <f>IF($B1766="Portfolio","Portfolio",IFERROR(INDEX(DATA_ASSET_CLASSIFICATION!$C$8:$C$24,MATCH($C1766,DATA_ASSET_CLASSIFICATION!$A$8:$A$24,0)),"Review"))</f>
        <v>Yes</v>
      </c>
      <c r="Q1766" s="350" t="str">
        <f t="shared" ca="1" si="55"/>
        <v>OK</v>
      </c>
    </row>
    <row r="1767" spans="1:17" ht="30">
      <c r="A1767" s="366" t="s">
        <v>3723</v>
      </c>
      <c r="B1767" s="366" t="s">
        <v>231</v>
      </c>
      <c r="C1767" s="348" t="str">
        <f>DATA_PROPERTY_MASTER!$A$10</f>
        <v>BLD_EA</v>
      </c>
      <c r="D1767" s="380">
        <f>'00_PORTFOLIO ROLLUP'!F$12</f>
        <v>2026</v>
      </c>
      <c r="E1767" s="366" t="s">
        <v>1721</v>
      </c>
      <c r="F1767" s="366" t="s">
        <v>35</v>
      </c>
      <c r="G1767" s="348" t="str">
        <f>"'"&amp;$C1767&amp;"'!$E$63:$Y$63"</f>
        <v>'BLD_EA'!$E$63:$Y$63</v>
      </c>
      <c r="H1767" s="381">
        <f ca="1">IF(IFERROR(INDEX(DATA_PROPERTY_MASTER!$E$5:$E$21,MATCH($C1767,DATA_PROPERTY_MASTER!$A$5:$A$21,0))="Yes",FALSE),IFERROR(INDEX(INDIRECT("'"&amp;$C1767&amp;"'!$E$63:$Y$63"),1,MATCH($D1767,INDIRECT("'"&amp;$C1767&amp;"'!$E$12:$Y$12"),0)),0),0)</f>
        <v>0</v>
      </c>
      <c r="I1767" s="366" t="s">
        <v>1731</v>
      </c>
      <c r="J1767" s="348" t="str">
        <f t="shared" ca="1" si="54"/>
        <v>OK</v>
      </c>
      <c r="K1767" s="366" t="s">
        <v>1732</v>
      </c>
      <c r="L1767" s="366" t="s">
        <v>2256</v>
      </c>
      <c r="M1767" s="350" t="str">
        <f>IF($B1767="Portfolio","Portfolio",IFERROR(INDEX(DATA_ASSET_CLASSIFICATION!$B$8:$B$24,MATCH($C1767,DATA_ASSET_CLASSIFICATION!$A$8:$A$24,0)),"Review"))</f>
        <v>Evergreen Apartments</v>
      </c>
      <c r="N1767" s="350" t="str">
        <f ca="1">IF($B1767="Portfolio","Portfolio",IFERROR(INDEX(DATA_ASSET_CLASSIFICATION!$U$8:$U$24,MATCH($C1767,DATA_ASSET_CLASSIFICATION!$A$8:$A$24,0)),"Review"))</f>
        <v>Refi Watch</v>
      </c>
      <c r="O1767" s="350" t="str">
        <f ca="1">IF($B1767="Portfolio","Portfolio",IFERROR(INDEX(DATA_ASSET_CLASSIFICATION!$AB$8:$AB$13,MATCH($N1767,DATA_ASSET_CLASSIFICATION!$AA$8:$AA$13,0)),"Review"))</f>
        <v>Bucket 2 · Legacy</v>
      </c>
      <c r="P1767" s="350" t="str">
        <f>IF($B1767="Portfolio","Portfolio",IFERROR(INDEX(DATA_ASSET_CLASSIFICATION!$C$8:$C$24,MATCH($C1767,DATA_ASSET_CLASSIFICATION!$A$8:$A$24,0)),"Review"))</f>
        <v>Yes</v>
      </c>
      <c r="Q1767" s="350" t="str">
        <f t="shared" ca="1" si="55"/>
        <v>OK</v>
      </c>
    </row>
    <row r="1768" spans="1:17" ht="30">
      <c r="A1768" s="366" t="s">
        <v>3724</v>
      </c>
      <c r="B1768" s="366" t="s">
        <v>231</v>
      </c>
      <c r="C1768" s="348" t="str">
        <f>DATA_PROPERTY_MASTER!$A$10</f>
        <v>BLD_EA</v>
      </c>
      <c r="D1768" s="380">
        <f>'00_PORTFOLIO ROLLUP'!F$12</f>
        <v>2026</v>
      </c>
      <c r="E1768" s="366" t="s">
        <v>1721</v>
      </c>
      <c r="F1768" s="366" t="s">
        <v>37</v>
      </c>
      <c r="G1768" s="348" t="str">
        <f>"'"&amp;$C1768&amp;"'!$E$63:$Y$63"</f>
        <v>'BLD_EA'!$E$63:$Y$63</v>
      </c>
      <c r="H1768" s="381">
        <f ca="1">IF(IFERROR(INDEX(DATA_PROPERTY_MASTER!$E$5:$E$21,MATCH($C1768,DATA_PROPERTY_MASTER!$A$5:$A$21,0))="Yes",FALSE),MAX(IFERROR(INDEX(INDIRECT("'"&amp;$C1768&amp;"'!$E$63:$Y$63"),1,MATCH($D1768,INDIRECT("'"&amp;$C1768&amp;"'!$E$12:$Y$12"),0)),0),0),0)</f>
        <v>0</v>
      </c>
      <c r="I1768" s="366" t="s">
        <v>1685</v>
      </c>
      <c r="J1768" s="348" t="str">
        <f t="shared" ca="1" si="54"/>
        <v>OK</v>
      </c>
      <c r="K1768" s="366" t="s">
        <v>1735</v>
      </c>
      <c r="L1768" s="366" t="s">
        <v>2258</v>
      </c>
      <c r="M1768" s="350" t="str">
        <f>IF($B1768="Portfolio","Portfolio",IFERROR(INDEX(DATA_ASSET_CLASSIFICATION!$B$8:$B$24,MATCH($C1768,DATA_ASSET_CLASSIFICATION!$A$8:$A$24,0)),"Review"))</f>
        <v>Evergreen Apartments</v>
      </c>
      <c r="N1768" s="350" t="str">
        <f ca="1">IF($B1768="Portfolio","Portfolio",IFERROR(INDEX(DATA_ASSET_CLASSIFICATION!$U$8:$U$24,MATCH($C1768,DATA_ASSET_CLASSIFICATION!$A$8:$A$24,0)),"Review"))</f>
        <v>Refi Watch</v>
      </c>
      <c r="O1768" s="350" t="str">
        <f ca="1">IF($B1768="Portfolio","Portfolio",IFERROR(INDEX(DATA_ASSET_CLASSIFICATION!$AB$8:$AB$13,MATCH($N1768,DATA_ASSET_CLASSIFICATION!$AA$8:$AA$13,0)),"Review"))</f>
        <v>Bucket 2 · Legacy</v>
      </c>
      <c r="P1768" s="350" t="str">
        <f>IF($B1768="Portfolio","Portfolio",IFERROR(INDEX(DATA_ASSET_CLASSIFICATION!$C$8:$C$24,MATCH($C1768,DATA_ASSET_CLASSIFICATION!$A$8:$A$24,0)),"Review"))</f>
        <v>Yes</v>
      </c>
      <c r="Q1768" s="350" t="str">
        <f t="shared" ca="1" si="55"/>
        <v>OK</v>
      </c>
    </row>
    <row r="1769" spans="1:17" ht="30">
      <c r="A1769" s="366" t="s">
        <v>3725</v>
      </c>
      <c r="B1769" s="366" t="s">
        <v>231</v>
      </c>
      <c r="C1769" s="348" t="str">
        <f>DATA_PROPERTY_MASTER!$A$10</f>
        <v>BLD_EA</v>
      </c>
      <c r="D1769" s="380">
        <f>'00_PORTFOLIO ROLLUP'!F$12</f>
        <v>2026</v>
      </c>
      <c r="E1769" s="366" t="s">
        <v>1721</v>
      </c>
      <c r="F1769" s="366" t="s">
        <v>39</v>
      </c>
      <c r="G1769" s="348" t="str">
        <f>"'"&amp;$C1769&amp;"'!$E$63:$Y$63"</f>
        <v>'BLD_EA'!$E$63:$Y$63</v>
      </c>
      <c r="H1769" s="381">
        <f ca="1">IF(IFERROR(INDEX(DATA_PROPERTY_MASTER!$E$5:$E$21,MATCH($C1769,DATA_PROPERTY_MASTER!$A$5:$A$21,0))="Yes",FALSE),MAX(-IFERROR(INDEX(INDIRECT("'"&amp;$C1769&amp;"'!$E$63:$Y$63"),1,MATCH($D1769,INDIRECT("'"&amp;$C1769&amp;"'!$E$12:$Y$12"),0)),0),0),0)</f>
        <v>0</v>
      </c>
      <c r="I1769" s="366" t="s">
        <v>1690</v>
      </c>
      <c r="J1769" s="348" t="str">
        <f t="shared" ca="1" si="54"/>
        <v>OK</v>
      </c>
      <c r="K1769" s="366" t="s">
        <v>1738</v>
      </c>
      <c r="L1769" s="366" t="s">
        <v>2260</v>
      </c>
      <c r="M1769" s="350" t="str">
        <f>IF($B1769="Portfolio","Portfolio",IFERROR(INDEX(DATA_ASSET_CLASSIFICATION!$B$8:$B$24,MATCH($C1769,DATA_ASSET_CLASSIFICATION!$A$8:$A$24,0)),"Review"))</f>
        <v>Evergreen Apartments</v>
      </c>
      <c r="N1769" s="350" t="str">
        <f ca="1">IF($B1769="Portfolio","Portfolio",IFERROR(INDEX(DATA_ASSET_CLASSIFICATION!$U$8:$U$24,MATCH($C1769,DATA_ASSET_CLASSIFICATION!$A$8:$A$24,0)),"Review"))</f>
        <v>Refi Watch</v>
      </c>
      <c r="O1769" s="350" t="str">
        <f ca="1">IF($B1769="Portfolio","Portfolio",IFERROR(INDEX(DATA_ASSET_CLASSIFICATION!$AB$8:$AB$13,MATCH($N1769,DATA_ASSET_CLASSIFICATION!$AA$8:$AA$13,0)),"Review"))</f>
        <v>Bucket 2 · Legacy</v>
      </c>
      <c r="P1769" s="350" t="str">
        <f>IF($B1769="Portfolio","Portfolio",IFERROR(INDEX(DATA_ASSET_CLASSIFICATION!$C$8:$C$24,MATCH($C1769,DATA_ASSET_CLASSIFICATION!$A$8:$A$24,0)),"Review"))</f>
        <v>Yes</v>
      </c>
      <c r="Q1769" s="350" t="str">
        <f t="shared" ca="1" si="55"/>
        <v>OK</v>
      </c>
    </row>
    <row r="1770" spans="1:17" ht="30">
      <c r="A1770" s="366" t="s">
        <v>3726</v>
      </c>
      <c r="B1770" s="366" t="s">
        <v>231</v>
      </c>
      <c r="C1770" s="348" t="str">
        <f>DATA_PROPERTY_MASTER!$A$10</f>
        <v>BLD_EA</v>
      </c>
      <c r="D1770" s="380">
        <f>'00_PORTFOLIO ROLLUP'!F$12</f>
        <v>2026</v>
      </c>
      <c r="E1770" s="366" t="s">
        <v>1741</v>
      </c>
      <c r="F1770" s="366" t="s">
        <v>41</v>
      </c>
      <c r="G1770" s="348" t="str">
        <f>"'"&amp;$C1770&amp;"'!rows 56 + positive row 63"</f>
        <v>'BLD_EA'!rows 56 + positive row 63</v>
      </c>
      <c r="H1770" s="381">
        <f ca="1">IF(IFERROR(INDEX(DATA_PROPERTY_MASTER!$E$5:$E$21,MATCH($C1770,DATA_PROPERTY_MASTER!$A$5:$A$21,0))="Yes",FALSE),IFERROR(INDEX(INDIRECT("'"&amp;$C1770&amp;"'!$E$56:$Y$56"),1,MATCH($D1770,INDIRECT("'"&amp;$C1770&amp;"'!$E$12:$Y$12"),0)),0)+MAX(IFERROR(INDEX(INDIRECT("'"&amp;$C1770&amp;"'!$E$63:$Y$63"),1,MATCH($D1770,INDIRECT("'"&amp;$C1770&amp;"'!$E$12:$Y$12"),0)),0),0),0)</f>
        <v>114144.20315200006</v>
      </c>
      <c r="I1770" s="366" t="s">
        <v>1685</v>
      </c>
      <c r="J1770" s="348" t="str">
        <f t="shared" ca="1" si="54"/>
        <v>OK</v>
      </c>
      <c r="K1770" s="366" t="s">
        <v>1742</v>
      </c>
      <c r="L1770" s="366" t="s">
        <v>2262</v>
      </c>
      <c r="M1770" s="350" t="str">
        <f>IF($B1770="Portfolio","Portfolio",IFERROR(INDEX(DATA_ASSET_CLASSIFICATION!$B$8:$B$24,MATCH($C1770,DATA_ASSET_CLASSIFICATION!$A$8:$A$24,0)),"Review"))</f>
        <v>Evergreen Apartments</v>
      </c>
      <c r="N1770" s="350" t="str">
        <f ca="1">IF($B1770="Portfolio","Portfolio",IFERROR(INDEX(DATA_ASSET_CLASSIFICATION!$U$8:$U$24,MATCH($C1770,DATA_ASSET_CLASSIFICATION!$A$8:$A$24,0)),"Review"))</f>
        <v>Refi Watch</v>
      </c>
      <c r="O1770" s="350" t="str">
        <f ca="1">IF($B1770="Portfolio","Portfolio",IFERROR(INDEX(DATA_ASSET_CLASSIFICATION!$AB$8:$AB$13,MATCH($N1770,DATA_ASSET_CLASSIFICATION!$AA$8:$AA$13,0)),"Review"))</f>
        <v>Bucket 2 · Legacy</v>
      </c>
      <c r="P1770" s="350" t="str">
        <f>IF($B1770="Portfolio","Portfolio",IFERROR(INDEX(DATA_ASSET_CLASSIFICATION!$C$8:$C$24,MATCH($C1770,DATA_ASSET_CLASSIFICATION!$A$8:$A$24,0)),"Review"))</f>
        <v>Yes</v>
      </c>
      <c r="Q1770" s="350" t="str">
        <f t="shared" ca="1" si="55"/>
        <v>OK</v>
      </c>
    </row>
    <row r="1771" spans="1:17" ht="30">
      <c r="A1771" s="366" t="s">
        <v>3727</v>
      </c>
      <c r="B1771" s="366" t="s">
        <v>231</v>
      </c>
      <c r="C1771" s="348" t="str">
        <f>DATA_PROPERTY_MASTER!$A$10</f>
        <v>BLD_EA</v>
      </c>
      <c r="D1771" s="380">
        <f>'00_PORTFOLIO ROLLUP'!F$12</f>
        <v>2026</v>
      </c>
      <c r="E1771" s="366" t="s">
        <v>1741</v>
      </c>
      <c r="F1771" s="366" t="s">
        <v>43</v>
      </c>
      <c r="G1771" s="348" t="str">
        <f>"'"&amp;$C1771&amp;"'!$E$68:$Y$68"</f>
        <v>'BLD_EA'!$E$68:$Y$68</v>
      </c>
      <c r="H1771" s="381">
        <f ca="1">IF(IFERROR(INDEX(DATA_PROPERTY_MASTER!$E$5:$E$21,MATCH($C1771,DATA_PROPERTY_MASTER!$A$5:$A$21,0))="Yes",FALSE),IFERROR(INDEX(INDIRECT("'"&amp;$C1771&amp;"'!$E$68:$Y$68"),1,MATCH($D1771,INDIRECT("'"&amp;$C1771&amp;"'!$E$12:$Y$12"),0)),0),0)</f>
        <v>114144.20315200006</v>
      </c>
      <c r="I1771" s="366" t="s">
        <v>1731</v>
      </c>
      <c r="J1771" s="348" t="str">
        <f t="shared" ca="1" si="54"/>
        <v>OK</v>
      </c>
      <c r="K1771" s="366" t="s">
        <v>1746</v>
      </c>
      <c r="L1771" s="366" t="s">
        <v>2264</v>
      </c>
      <c r="M1771" s="350" t="str">
        <f>IF($B1771="Portfolio","Portfolio",IFERROR(INDEX(DATA_ASSET_CLASSIFICATION!$B$8:$B$24,MATCH($C1771,DATA_ASSET_CLASSIFICATION!$A$8:$A$24,0)),"Review"))</f>
        <v>Evergreen Apartments</v>
      </c>
      <c r="N1771" s="350" t="str">
        <f ca="1">IF($B1771="Portfolio","Portfolio",IFERROR(INDEX(DATA_ASSET_CLASSIFICATION!$U$8:$U$24,MATCH($C1771,DATA_ASSET_CLASSIFICATION!$A$8:$A$24,0)),"Review"))</f>
        <v>Refi Watch</v>
      </c>
      <c r="O1771" s="350" t="str">
        <f ca="1">IF($B1771="Portfolio","Portfolio",IFERROR(INDEX(DATA_ASSET_CLASSIFICATION!$AB$8:$AB$13,MATCH($N1771,DATA_ASSET_CLASSIFICATION!$AA$8:$AA$13,0)),"Review"))</f>
        <v>Bucket 2 · Legacy</v>
      </c>
      <c r="P1771" s="350" t="str">
        <f>IF($B1771="Portfolio","Portfolio",IFERROR(INDEX(DATA_ASSET_CLASSIFICATION!$C$8:$C$24,MATCH($C1771,DATA_ASSET_CLASSIFICATION!$A$8:$A$24,0)),"Review"))</f>
        <v>Yes</v>
      </c>
      <c r="Q1771" s="350" t="str">
        <f t="shared" ca="1" si="55"/>
        <v>OK</v>
      </c>
    </row>
    <row r="1772" spans="1:17" ht="30">
      <c r="A1772" s="366" t="s">
        <v>3728</v>
      </c>
      <c r="B1772" s="366" t="s">
        <v>231</v>
      </c>
      <c r="C1772" s="348" t="str">
        <f>DATA_PROPERTY_MASTER!$A$10</f>
        <v>BLD_EA</v>
      </c>
      <c r="D1772" s="380">
        <f>'00_PORTFOLIO ROLLUP'!F$12</f>
        <v>2026</v>
      </c>
      <c r="E1772" s="366" t="s">
        <v>1741</v>
      </c>
      <c r="F1772" s="366" t="s">
        <v>1749</v>
      </c>
      <c r="G1772" s="348" t="str">
        <f>"'"&amp;$C1772&amp;"'!rows 56, 63, 68"</f>
        <v>'BLD_EA'!rows 56, 63, 68</v>
      </c>
      <c r="H1772" s="381">
        <f ca="1">IF(IFERROR(INDEX(DATA_PROPERTY_MASTER!$E$5:$E$21,MATCH($C1772,DATA_PROPERTY_MASTER!$A$5:$A$21,0))="Yes",FALSE),(IFERROR(INDEX(INDIRECT("'"&amp;$C1772&amp;"'!$E$56:$Y$56"),1,MATCH($D1772,INDIRECT("'"&amp;$C1772&amp;"'!$E$12:$Y$12"),0)),0)+MAX(IFERROR(INDEX(INDIRECT("'"&amp;$C1772&amp;"'!$E$63:$Y$63"),1,MATCH($D1772,INDIRECT("'"&amp;$C1772&amp;"'!$E$12:$Y$12"),0)),0),0))-(IFERROR(INDEX(INDIRECT("'"&amp;$C1772&amp;"'!$E$68:$Y$68"),1,MATCH($D1772,INDIRECT("'"&amp;$C1772&amp;"'!$E$12:$Y$12"),0)),0)),0)</f>
        <v>0</v>
      </c>
      <c r="I1772" s="366" t="s">
        <v>1750</v>
      </c>
      <c r="J1772" s="348" t="str">
        <f t="shared" ca="1" si="54"/>
        <v>OK</v>
      </c>
      <c r="K1772" s="366" t="s">
        <v>1751</v>
      </c>
      <c r="L1772" s="366" t="s">
        <v>2266</v>
      </c>
      <c r="M1772" s="350" t="str">
        <f>IF($B1772="Portfolio","Portfolio",IFERROR(INDEX(DATA_ASSET_CLASSIFICATION!$B$8:$B$24,MATCH($C1772,DATA_ASSET_CLASSIFICATION!$A$8:$A$24,0)),"Review"))</f>
        <v>Evergreen Apartments</v>
      </c>
      <c r="N1772" s="350" t="str">
        <f ca="1">IF($B1772="Portfolio","Portfolio",IFERROR(INDEX(DATA_ASSET_CLASSIFICATION!$U$8:$U$24,MATCH($C1772,DATA_ASSET_CLASSIFICATION!$A$8:$A$24,0)),"Review"))</f>
        <v>Refi Watch</v>
      </c>
      <c r="O1772" s="350" t="str">
        <f ca="1">IF($B1772="Portfolio","Portfolio",IFERROR(INDEX(DATA_ASSET_CLASSIFICATION!$AB$8:$AB$13,MATCH($N1772,DATA_ASSET_CLASSIFICATION!$AA$8:$AA$13,0)),"Review"))</f>
        <v>Bucket 2 · Legacy</v>
      </c>
      <c r="P1772" s="350" t="str">
        <f>IF($B1772="Portfolio","Portfolio",IFERROR(INDEX(DATA_ASSET_CLASSIFICATION!$C$8:$C$24,MATCH($C1772,DATA_ASSET_CLASSIFICATION!$A$8:$A$24,0)),"Review"))</f>
        <v>Yes</v>
      </c>
      <c r="Q1772" s="350" t="str">
        <f t="shared" ca="1" si="55"/>
        <v>OK</v>
      </c>
    </row>
    <row r="1773" spans="1:17" ht="30">
      <c r="A1773" s="366" t="s">
        <v>3729</v>
      </c>
      <c r="B1773" s="366" t="s">
        <v>231</v>
      </c>
      <c r="C1773" s="348" t="str">
        <f>DATA_PROPERTY_MASTER!$A$10</f>
        <v>BLD_EA</v>
      </c>
      <c r="D1773" s="380">
        <f>'00_PORTFOLIO ROLLUP'!G$12</f>
        <v>2027</v>
      </c>
      <c r="E1773" s="366" t="s">
        <v>1683</v>
      </c>
      <c r="F1773" s="366" t="s">
        <v>341</v>
      </c>
      <c r="G1773" s="348" t="str">
        <f>"'"&amp;$C1773&amp;"'!$E$24:$Y$24"</f>
        <v>'BLD_EA'!$E$24:$Y$24</v>
      </c>
      <c r="H1773" s="381">
        <f ca="1">IF(IFERROR(INDEX(DATA_PROPERTY_MASTER!$E$5:$E$21,MATCH($C1773,DATA_PROPERTY_MASTER!$A$5:$A$21,0))="Yes",FALSE),IFERROR(INDEX(INDIRECT("'"&amp;$C1773&amp;"'!$E$24:$Y$24"),1,MATCH($D1773,INDIRECT("'"&amp;$C1773&amp;"'!$E$12:$Y$12"),0)),0),0)</f>
        <v>1033540.3244376001</v>
      </c>
      <c r="I1773" s="366" t="s">
        <v>1685</v>
      </c>
      <c r="J1773" s="348" t="str">
        <f t="shared" ca="1" si="54"/>
        <v>OK</v>
      </c>
      <c r="K1773" s="366" t="s">
        <v>1686</v>
      </c>
      <c r="L1773" s="366" t="s">
        <v>2234</v>
      </c>
      <c r="M1773" s="350" t="str">
        <f>IF($B1773="Portfolio","Portfolio",IFERROR(INDEX(DATA_ASSET_CLASSIFICATION!$B$8:$B$24,MATCH($C1773,DATA_ASSET_CLASSIFICATION!$A$8:$A$24,0)),"Review"))</f>
        <v>Evergreen Apartments</v>
      </c>
      <c r="N1773" s="350" t="str">
        <f ca="1">IF($B1773="Portfolio","Portfolio",IFERROR(INDEX(DATA_ASSET_CLASSIFICATION!$U$8:$U$24,MATCH($C1773,DATA_ASSET_CLASSIFICATION!$A$8:$A$24,0)),"Review"))</f>
        <v>Refi Watch</v>
      </c>
      <c r="O1773" s="350" t="str">
        <f ca="1">IF($B1773="Portfolio","Portfolio",IFERROR(INDEX(DATA_ASSET_CLASSIFICATION!$AB$8:$AB$13,MATCH($N1773,DATA_ASSET_CLASSIFICATION!$AA$8:$AA$13,0)),"Review"))</f>
        <v>Bucket 2 · Legacy</v>
      </c>
      <c r="P1773" s="350" t="str">
        <f>IF($B1773="Portfolio","Portfolio",IFERROR(INDEX(DATA_ASSET_CLASSIFICATION!$C$8:$C$24,MATCH($C1773,DATA_ASSET_CLASSIFICATION!$A$8:$A$24,0)),"Review"))</f>
        <v>Yes</v>
      </c>
      <c r="Q1773" s="350" t="str">
        <f t="shared" ca="1" si="55"/>
        <v>OK</v>
      </c>
    </row>
    <row r="1774" spans="1:17" ht="30">
      <c r="A1774" s="366" t="s">
        <v>3730</v>
      </c>
      <c r="B1774" s="366" t="s">
        <v>231</v>
      </c>
      <c r="C1774" s="348" t="str">
        <f>DATA_PROPERTY_MASTER!$A$10</f>
        <v>BLD_EA</v>
      </c>
      <c r="D1774" s="380">
        <f>'00_PORTFOLIO ROLLUP'!G$12</f>
        <v>2027</v>
      </c>
      <c r="E1774" s="366" t="s">
        <v>1683</v>
      </c>
      <c r="F1774" s="366" t="s">
        <v>355</v>
      </c>
      <c r="G1774" s="348" t="str">
        <f>"'"&amp;$C1774&amp;"'!$E$39:$Y$39"</f>
        <v>'BLD_EA'!$E$39:$Y$39</v>
      </c>
      <c r="H1774" s="381">
        <f ca="1">IF(IFERROR(INDEX(DATA_PROPERTY_MASTER!$E$5:$E$21,MATCH($C1774,DATA_PROPERTY_MASTER!$A$5:$A$21,0))="Yes",FALSE),IFERROR(INDEX(INDIRECT("'"&amp;$C1774&amp;"'!$E$39:$Y$39"),1,MATCH($D1774,INDIRECT("'"&amp;$C1774&amp;"'!$E$12:$Y$12"),0)),0),0)</f>
        <v>447277.29280000005</v>
      </c>
      <c r="I1774" s="366" t="s">
        <v>1690</v>
      </c>
      <c r="J1774" s="348" t="str">
        <f t="shared" ca="1" si="54"/>
        <v>OK</v>
      </c>
      <c r="K1774" s="366" t="s">
        <v>1686</v>
      </c>
      <c r="L1774" s="366" t="s">
        <v>2236</v>
      </c>
      <c r="M1774" s="350" t="str">
        <f>IF($B1774="Portfolio","Portfolio",IFERROR(INDEX(DATA_ASSET_CLASSIFICATION!$B$8:$B$24,MATCH($C1774,DATA_ASSET_CLASSIFICATION!$A$8:$A$24,0)),"Review"))</f>
        <v>Evergreen Apartments</v>
      </c>
      <c r="N1774" s="350" t="str">
        <f ca="1">IF($B1774="Portfolio","Portfolio",IFERROR(INDEX(DATA_ASSET_CLASSIFICATION!$U$8:$U$24,MATCH($C1774,DATA_ASSET_CLASSIFICATION!$A$8:$A$24,0)),"Review"))</f>
        <v>Refi Watch</v>
      </c>
      <c r="O1774" s="350" t="str">
        <f ca="1">IF($B1774="Portfolio","Portfolio",IFERROR(INDEX(DATA_ASSET_CLASSIFICATION!$AB$8:$AB$13,MATCH($N1774,DATA_ASSET_CLASSIFICATION!$AA$8:$AA$13,0)),"Review"))</f>
        <v>Bucket 2 · Legacy</v>
      </c>
      <c r="P1774" s="350" t="str">
        <f>IF($B1774="Portfolio","Portfolio",IFERROR(INDEX(DATA_ASSET_CLASSIFICATION!$C$8:$C$24,MATCH($C1774,DATA_ASSET_CLASSIFICATION!$A$8:$A$24,0)),"Review"))</f>
        <v>Yes</v>
      </c>
      <c r="Q1774" s="350" t="str">
        <f t="shared" ca="1" si="55"/>
        <v>OK</v>
      </c>
    </row>
    <row r="1775" spans="1:17" ht="30">
      <c r="A1775" s="366" t="s">
        <v>3731</v>
      </c>
      <c r="B1775" s="366" t="s">
        <v>231</v>
      </c>
      <c r="C1775" s="348" t="str">
        <f>DATA_PROPERTY_MASTER!$A$10</f>
        <v>BLD_EA</v>
      </c>
      <c r="D1775" s="380">
        <f>'00_PORTFOLIO ROLLUP'!G$12</f>
        <v>2027</v>
      </c>
      <c r="E1775" s="366" t="s">
        <v>1683</v>
      </c>
      <c r="F1775" s="366" t="s">
        <v>19</v>
      </c>
      <c r="G1775" s="348" t="str">
        <f>"'"&amp;$C1775&amp;"'!$E$41:$Y$41"</f>
        <v>'BLD_EA'!$E$41:$Y$41</v>
      </c>
      <c r="H1775" s="381">
        <f ca="1">IF(IFERROR(INDEX(DATA_PROPERTY_MASTER!$E$5:$E$21,MATCH($C1775,DATA_PROPERTY_MASTER!$A$5:$A$21,0))="Yes",FALSE),IFERROR(INDEX(INDIRECT("'"&amp;$C1775&amp;"'!$E$41:$Y$41"),1,MATCH($D1775,INDIRECT("'"&amp;$C1775&amp;"'!$E$12:$Y$12"),0)),0),0)</f>
        <v>586263.03163760004</v>
      </c>
      <c r="I1775" s="366" t="s">
        <v>1685</v>
      </c>
      <c r="J1775" s="348" t="str">
        <f t="shared" ca="1" si="54"/>
        <v>OK</v>
      </c>
      <c r="K1775" s="366" t="s">
        <v>1694</v>
      </c>
      <c r="L1775" s="366" t="s">
        <v>2238</v>
      </c>
      <c r="M1775" s="350" t="str">
        <f>IF($B1775="Portfolio","Portfolio",IFERROR(INDEX(DATA_ASSET_CLASSIFICATION!$B$8:$B$24,MATCH($C1775,DATA_ASSET_CLASSIFICATION!$A$8:$A$24,0)),"Review"))</f>
        <v>Evergreen Apartments</v>
      </c>
      <c r="N1775" s="350" t="str">
        <f ca="1">IF($B1775="Portfolio","Portfolio",IFERROR(INDEX(DATA_ASSET_CLASSIFICATION!$U$8:$U$24,MATCH($C1775,DATA_ASSET_CLASSIFICATION!$A$8:$A$24,0)),"Review"))</f>
        <v>Refi Watch</v>
      </c>
      <c r="O1775" s="350" t="str">
        <f ca="1">IF($B1775="Portfolio","Portfolio",IFERROR(INDEX(DATA_ASSET_CLASSIFICATION!$AB$8:$AB$13,MATCH($N1775,DATA_ASSET_CLASSIFICATION!$AA$8:$AA$13,0)),"Review"))</f>
        <v>Bucket 2 · Legacy</v>
      </c>
      <c r="P1775" s="350" t="str">
        <f>IF($B1775="Portfolio","Portfolio",IFERROR(INDEX(DATA_ASSET_CLASSIFICATION!$C$8:$C$24,MATCH($C1775,DATA_ASSET_CLASSIFICATION!$A$8:$A$24,0)),"Review"))</f>
        <v>Yes</v>
      </c>
      <c r="Q1775" s="350" t="str">
        <f t="shared" ca="1" si="55"/>
        <v>OK</v>
      </c>
    </row>
    <row r="1776" spans="1:17" ht="30">
      <c r="A1776" s="366" t="s">
        <v>3732</v>
      </c>
      <c r="B1776" s="366" t="s">
        <v>231</v>
      </c>
      <c r="C1776" s="348" t="str">
        <f>DATA_PROPERTY_MASTER!$A$10</f>
        <v>BLD_EA</v>
      </c>
      <c r="D1776" s="380">
        <f>'00_PORTFOLIO ROLLUP'!G$12</f>
        <v>2027</v>
      </c>
      <c r="E1776" s="366" t="s">
        <v>1683</v>
      </c>
      <c r="F1776" s="366" t="s">
        <v>1697</v>
      </c>
      <c r="G1776" s="348" t="str">
        <f>"'"&amp;$C1776&amp;"'!$E$44:$Y$44"</f>
        <v>'BLD_EA'!$E$44:$Y$44</v>
      </c>
      <c r="H1776" s="381">
        <f ca="1">IF(IFERROR(INDEX(DATA_PROPERTY_MASTER!$E$5:$E$21,MATCH($C1776,DATA_PROPERTY_MASTER!$A$5:$A$21,0))="Yes",FALSE),IFERROR(INDEX(INDIRECT("'"&amp;$C1776&amp;"'!$E$44:$Y$44"),1,MATCH($D1776,INDIRECT("'"&amp;$C1776&amp;"'!$E$12:$Y$12"),0)),0),0)</f>
        <v>9519.66</v>
      </c>
      <c r="I1776" s="366" t="s">
        <v>1690</v>
      </c>
      <c r="J1776" s="348" t="str">
        <f t="shared" ca="1" si="54"/>
        <v>OK</v>
      </c>
      <c r="K1776" s="366" t="s">
        <v>1699</v>
      </c>
      <c r="L1776" s="366" t="s">
        <v>2240</v>
      </c>
      <c r="M1776" s="350" t="str">
        <f>IF($B1776="Portfolio","Portfolio",IFERROR(INDEX(DATA_ASSET_CLASSIFICATION!$B$8:$B$24,MATCH($C1776,DATA_ASSET_CLASSIFICATION!$A$8:$A$24,0)),"Review"))</f>
        <v>Evergreen Apartments</v>
      </c>
      <c r="N1776" s="350" t="str">
        <f ca="1">IF($B1776="Portfolio","Portfolio",IFERROR(INDEX(DATA_ASSET_CLASSIFICATION!$U$8:$U$24,MATCH($C1776,DATA_ASSET_CLASSIFICATION!$A$8:$A$24,0)),"Review"))</f>
        <v>Refi Watch</v>
      </c>
      <c r="O1776" s="350" t="str">
        <f ca="1">IF($B1776="Portfolio","Portfolio",IFERROR(INDEX(DATA_ASSET_CLASSIFICATION!$AB$8:$AB$13,MATCH($N1776,DATA_ASSET_CLASSIFICATION!$AA$8:$AA$13,0)),"Review"))</f>
        <v>Bucket 2 · Legacy</v>
      </c>
      <c r="P1776" s="350" t="str">
        <f>IF($B1776="Portfolio","Portfolio",IFERROR(INDEX(DATA_ASSET_CLASSIFICATION!$C$8:$C$24,MATCH($C1776,DATA_ASSET_CLASSIFICATION!$A$8:$A$24,0)),"Review"))</f>
        <v>Yes</v>
      </c>
      <c r="Q1776" s="350" t="str">
        <f t="shared" ca="1" si="55"/>
        <v>OK</v>
      </c>
    </row>
    <row r="1777" spans="1:17" ht="30">
      <c r="A1777" s="366" t="s">
        <v>3733</v>
      </c>
      <c r="B1777" s="366" t="s">
        <v>231</v>
      </c>
      <c r="C1777" s="348" t="str">
        <f>DATA_PROPERTY_MASTER!$A$10</f>
        <v>BLD_EA</v>
      </c>
      <c r="D1777" s="380">
        <f>'00_PORTFOLIO ROLLUP'!G$12</f>
        <v>2027</v>
      </c>
      <c r="E1777" s="366" t="s">
        <v>1683</v>
      </c>
      <c r="F1777" s="366" t="s">
        <v>21</v>
      </c>
      <c r="G1777" s="348" t="str">
        <f>"'"&amp;$C1777&amp;"'!$E$45:$Y$45"</f>
        <v>'BLD_EA'!$E$45:$Y$45</v>
      </c>
      <c r="H1777" s="381">
        <f ca="1">IF(IFERROR(INDEX(DATA_PROPERTY_MASTER!$E$5:$E$21,MATCH($C1777,DATA_PROPERTY_MASTER!$A$5:$A$21,0))="Yes",FALSE),IFERROR(INDEX(INDIRECT("'"&amp;$C1777&amp;"'!$E$45:$Y$45"),1,MATCH($D1777,INDIRECT("'"&amp;$C1777&amp;"'!$E$12:$Y$12"),0)),0),0)</f>
        <v>576743.37163760001</v>
      </c>
      <c r="I1777" s="366" t="s">
        <v>1685</v>
      </c>
      <c r="J1777" s="348" t="str">
        <f t="shared" ca="1" si="54"/>
        <v>OK</v>
      </c>
      <c r="K1777" s="366" t="s">
        <v>1694</v>
      </c>
      <c r="L1777" s="366" t="s">
        <v>2242</v>
      </c>
      <c r="M1777" s="350" t="str">
        <f>IF($B1777="Portfolio","Portfolio",IFERROR(INDEX(DATA_ASSET_CLASSIFICATION!$B$8:$B$24,MATCH($C1777,DATA_ASSET_CLASSIFICATION!$A$8:$A$24,0)),"Review"))</f>
        <v>Evergreen Apartments</v>
      </c>
      <c r="N1777" s="350" t="str">
        <f ca="1">IF($B1777="Portfolio","Portfolio",IFERROR(INDEX(DATA_ASSET_CLASSIFICATION!$U$8:$U$24,MATCH($C1777,DATA_ASSET_CLASSIFICATION!$A$8:$A$24,0)),"Review"))</f>
        <v>Refi Watch</v>
      </c>
      <c r="O1777" s="350" t="str">
        <f ca="1">IF($B1777="Portfolio","Portfolio",IFERROR(INDEX(DATA_ASSET_CLASSIFICATION!$AB$8:$AB$13,MATCH($N1777,DATA_ASSET_CLASSIFICATION!$AA$8:$AA$13,0)),"Review"))</f>
        <v>Bucket 2 · Legacy</v>
      </c>
      <c r="P1777" s="350" t="str">
        <f>IF($B1777="Portfolio","Portfolio",IFERROR(INDEX(DATA_ASSET_CLASSIFICATION!$C$8:$C$24,MATCH($C1777,DATA_ASSET_CLASSIFICATION!$A$8:$A$24,0)),"Review"))</f>
        <v>Yes</v>
      </c>
      <c r="Q1777" s="350" t="str">
        <f t="shared" ca="1" si="55"/>
        <v>OK</v>
      </c>
    </row>
    <row r="1778" spans="1:17" ht="30">
      <c r="A1778" s="366" t="s">
        <v>3734</v>
      </c>
      <c r="B1778" s="366" t="s">
        <v>231</v>
      </c>
      <c r="C1778" s="348" t="str">
        <f>DATA_PROPERTY_MASTER!$A$10</f>
        <v>BLD_EA</v>
      </c>
      <c r="D1778" s="380">
        <f>'00_PORTFOLIO ROLLUP'!G$12</f>
        <v>2027</v>
      </c>
      <c r="E1778" s="366" t="s">
        <v>23</v>
      </c>
      <c r="F1778" s="366" t="s">
        <v>23</v>
      </c>
      <c r="G1778" s="348" t="str">
        <f>"'"&amp;$C1778&amp;"'!$E$48:$Y$48"</f>
        <v>'BLD_EA'!$E$48:$Y$48</v>
      </c>
      <c r="H1778" s="381">
        <f ca="1">IF(IFERROR(INDEX(DATA_PROPERTY_MASTER!$E$5:$E$21,MATCH($C1778,DATA_PROPERTY_MASTER!$A$5:$A$21,0))="Yes",FALSE),IFERROR(INDEX(INDIRECT("'"&amp;$C1778&amp;"'!$E$48:$Y$48"),1,MATCH($D1778,INDIRECT("'"&amp;$C1778&amp;"'!$E$12:$Y$12"),0)),0),0)</f>
        <v>297840</v>
      </c>
      <c r="I1778" s="366" t="s">
        <v>1690</v>
      </c>
      <c r="J1778" s="348" t="str">
        <f t="shared" ca="1" si="54"/>
        <v>OK</v>
      </c>
      <c r="K1778" s="366" t="s">
        <v>1706</v>
      </c>
      <c r="L1778" s="366" t="s">
        <v>2244</v>
      </c>
      <c r="M1778" s="350" t="str">
        <f>IF($B1778="Portfolio","Portfolio",IFERROR(INDEX(DATA_ASSET_CLASSIFICATION!$B$8:$B$24,MATCH($C1778,DATA_ASSET_CLASSIFICATION!$A$8:$A$24,0)),"Review"))</f>
        <v>Evergreen Apartments</v>
      </c>
      <c r="N1778" s="350" t="str">
        <f ca="1">IF($B1778="Portfolio","Portfolio",IFERROR(INDEX(DATA_ASSET_CLASSIFICATION!$U$8:$U$24,MATCH($C1778,DATA_ASSET_CLASSIFICATION!$A$8:$A$24,0)),"Review"))</f>
        <v>Refi Watch</v>
      </c>
      <c r="O1778" s="350" t="str">
        <f ca="1">IF($B1778="Portfolio","Portfolio",IFERROR(INDEX(DATA_ASSET_CLASSIFICATION!$AB$8:$AB$13,MATCH($N1778,DATA_ASSET_CLASSIFICATION!$AA$8:$AA$13,0)),"Review"))</f>
        <v>Bucket 2 · Legacy</v>
      </c>
      <c r="P1778" s="350" t="str">
        <f>IF($B1778="Portfolio","Portfolio",IFERROR(INDEX(DATA_ASSET_CLASSIFICATION!$C$8:$C$24,MATCH($C1778,DATA_ASSET_CLASSIFICATION!$A$8:$A$24,0)),"Review"))</f>
        <v>Yes</v>
      </c>
      <c r="Q1778" s="350" t="str">
        <f t="shared" ca="1" si="55"/>
        <v>OK</v>
      </c>
    </row>
    <row r="1779" spans="1:17" ht="30">
      <c r="A1779" s="366" t="s">
        <v>3735</v>
      </c>
      <c r="B1779" s="366" t="s">
        <v>231</v>
      </c>
      <c r="C1779" s="348" t="str">
        <f>DATA_PROPERTY_MASTER!$A$10</f>
        <v>BLD_EA</v>
      </c>
      <c r="D1779" s="380">
        <f>'00_PORTFOLIO ROLLUP'!G$12</f>
        <v>2027</v>
      </c>
      <c r="E1779" s="366" t="s">
        <v>1683</v>
      </c>
      <c r="F1779" s="366" t="s">
        <v>25</v>
      </c>
      <c r="G1779" s="348" t="str">
        <f>"'"&amp;$C1779&amp;"'!$E$52:$Y$52"</f>
        <v>'BLD_EA'!$E$52:$Y$52</v>
      </c>
      <c r="H1779" s="381">
        <f ca="1">IF(IFERROR(INDEX(DATA_PROPERTY_MASTER!$E$5:$E$21,MATCH($C1779,DATA_PROPERTY_MASTER!$A$5:$A$21,0))="Yes",FALSE),IFERROR(INDEX(INDIRECT("'"&amp;$C1779&amp;"'!$E$52:$Y$52"),1,MATCH($D1779,INDIRECT("'"&amp;$C1779&amp;"'!$E$12:$Y$12"),0)),0),0)</f>
        <v>288423.03163760004</v>
      </c>
      <c r="I1779" s="366" t="s">
        <v>1685</v>
      </c>
      <c r="J1779" s="348" t="str">
        <f t="shared" ca="1" si="54"/>
        <v>OK</v>
      </c>
      <c r="K1779" s="366" t="s">
        <v>1710</v>
      </c>
      <c r="L1779" s="366" t="s">
        <v>2246</v>
      </c>
      <c r="M1779" s="350" t="str">
        <f>IF($B1779="Portfolio","Portfolio",IFERROR(INDEX(DATA_ASSET_CLASSIFICATION!$B$8:$B$24,MATCH($C1779,DATA_ASSET_CLASSIFICATION!$A$8:$A$24,0)),"Review"))</f>
        <v>Evergreen Apartments</v>
      </c>
      <c r="N1779" s="350" t="str">
        <f ca="1">IF($B1779="Portfolio","Portfolio",IFERROR(INDEX(DATA_ASSET_CLASSIFICATION!$U$8:$U$24,MATCH($C1779,DATA_ASSET_CLASSIFICATION!$A$8:$A$24,0)),"Review"))</f>
        <v>Refi Watch</v>
      </c>
      <c r="O1779" s="350" t="str">
        <f ca="1">IF($B1779="Portfolio","Portfolio",IFERROR(INDEX(DATA_ASSET_CLASSIFICATION!$AB$8:$AB$13,MATCH($N1779,DATA_ASSET_CLASSIFICATION!$AA$8:$AA$13,0)),"Review"))</f>
        <v>Bucket 2 · Legacy</v>
      </c>
      <c r="P1779" s="350" t="str">
        <f>IF($B1779="Portfolio","Portfolio",IFERROR(INDEX(DATA_ASSET_CLASSIFICATION!$C$8:$C$24,MATCH($C1779,DATA_ASSET_CLASSIFICATION!$A$8:$A$24,0)),"Review"))</f>
        <v>Yes</v>
      </c>
      <c r="Q1779" s="350" t="str">
        <f t="shared" ca="1" si="55"/>
        <v>OK</v>
      </c>
    </row>
    <row r="1780" spans="1:17" ht="30">
      <c r="A1780" s="366" t="s">
        <v>3736</v>
      </c>
      <c r="B1780" s="366" t="s">
        <v>231</v>
      </c>
      <c r="C1780" s="348" t="str">
        <f>DATA_PROPERTY_MASTER!$A$10</f>
        <v>BLD_EA</v>
      </c>
      <c r="D1780" s="380">
        <f>'00_PORTFOLIO ROLLUP'!G$12</f>
        <v>2027</v>
      </c>
      <c r="E1780" s="366" t="s">
        <v>1683</v>
      </c>
      <c r="F1780" s="366" t="s">
        <v>27</v>
      </c>
      <c r="G1780" s="348" t="str">
        <f>"'"&amp;$C1780&amp;"'!$E$54:$Y$54"</f>
        <v>'BLD_EA'!$E$54:$Y$54</v>
      </c>
      <c r="H1780" s="381">
        <f ca="1">IF(IFERROR(INDEX(DATA_PROPERTY_MASTER!$E$5:$E$21,MATCH($C1780,DATA_PROPERTY_MASTER!$A$5:$A$21,0))="Yes",FALSE),IFERROR(INDEX(INDIRECT("'"&amp;$C1780&amp;"'!$E$54:$Y$54"),1,MATCH($D1780,INDIRECT("'"&amp;$C1780&amp;"'!$E$12:$Y$12"),0)),0),0)</f>
        <v>173053.81898256001</v>
      </c>
      <c r="I1780" s="366" t="s">
        <v>1690</v>
      </c>
      <c r="J1780" s="348" t="str">
        <f t="shared" ca="1" si="54"/>
        <v>OK</v>
      </c>
      <c r="K1780" s="366" t="s">
        <v>1714</v>
      </c>
      <c r="L1780" s="366" t="s">
        <v>2248</v>
      </c>
      <c r="M1780" s="350" t="str">
        <f>IF($B1780="Portfolio","Portfolio",IFERROR(INDEX(DATA_ASSET_CLASSIFICATION!$B$8:$B$24,MATCH($C1780,DATA_ASSET_CLASSIFICATION!$A$8:$A$24,0)),"Review"))</f>
        <v>Evergreen Apartments</v>
      </c>
      <c r="N1780" s="350" t="str">
        <f ca="1">IF($B1780="Portfolio","Portfolio",IFERROR(INDEX(DATA_ASSET_CLASSIFICATION!$U$8:$U$24,MATCH($C1780,DATA_ASSET_CLASSIFICATION!$A$8:$A$24,0)),"Review"))</f>
        <v>Refi Watch</v>
      </c>
      <c r="O1780" s="350" t="str">
        <f ca="1">IF($B1780="Portfolio","Portfolio",IFERROR(INDEX(DATA_ASSET_CLASSIFICATION!$AB$8:$AB$13,MATCH($N1780,DATA_ASSET_CLASSIFICATION!$AA$8:$AA$13,0)),"Review"))</f>
        <v>Bucket 2 · Legacy</v>
      </c>
      <c r="P1780" s="350" t="str">
        <f>IF($B1780="Portfolio","Portfolio",IFERROR(INDEX(DATA_ASSET_CLASSIFICATION!$C$8:$C$24,MATCH($C1780,DATA_ASSET_CLASSIFICATION!$A$8:$A$24,0)),"Review"))</f>
        <v>Yes</v>
      </c>
      <c r="Q1780" s="350" t="str">
        <f t="shared" ca="1" si="55"/>
        <v>OK</v>
      </c>
    </row>
    <row r="1781" spans="1:17" ht="30">
      <c r="A1781" s="366" t="s">
        <v>3737</v>
      </c>
      <c r="B1781" s="366" t="s">
        <v>231</v>
      </c>
      <c r="C1781" s="348" t="str">
        <f>DATA_PROPERTY_MASTER!$A$10</f>
        <v>BLD_EA</v>
      </c>
      <c r="D1781" s="380">
        <f>'00_PORTFOLIO ROLLUP'!G$12</f>
        <v>2027</v>
      </c>
      <c r="E1781" s="366" t="s">
        <v>1683</v>
      </c>
      <c r="F1781" s="366" t="s">
        <v>29</v>
      </c>
      <c r="G1781" s="348" t="str">
        <f>"'"&amp;$C1781&amp;"'!$E$56:$Y$56"</f>
        <v>'BLD_EA'!$E$56:$Y$56</v>
      </c>
      <c r="H1781" s="381">
        <f ca="1">IF(IFERROR(INDEX(DATA_PROPERTY_MASTER!$E$5:$E$21,MATCH($C1781,DATA_PROPERTY_MASTER!$A$5:$A$21,0))="Yes",FALSE),IFERROR(INDEX(INDIRECT("'"&amp;$C1781&amp;"'!$E$56:$Y$56"),1,MATCH($D1781,INDIRECT("'"&amp;$C1781&amp;"'!$E$12:$Y$12"),0)),0),0)</f>
        <v>115369.21265504003</v>
      </c>
      <c r="I1781" s="366" t="s">
        <v>1685</v>
      </c>
      <c r="J1781" s="348" t="str">
        <f t="shared" ca="1" si="54"/>
        <v>OK</v>
      </c>
      <c r="K1781" s="366" t="s">
        <v>1718</v>
      </c>
      <c r="L1781" s="366" t="s">
        <v>2250</v>
      </c>
      <c r="M1781" s="350" t="str">
        <f>IF($B1781="Portfolio","Portfolio",IFERROR(INDEX(DATA_ASSET_CLASSIFICATION!$B$8:$B$24,MATCH($C1781,DATA_ASSET_CLASSIFICATION!$A$8:$A$24,0)),"Review"))</f>
        <v>Evergreen Apartments</v>
      </c>
      <c r="N1781" s="350" t="str">
        <f ca="1">IF($B1781="Portfolio","Portfolio",IFERROR(INDEX(DATA_ASSET_CLASSIFICATION!$U$8:$U$24,MATCH($C1781,DATA_ASSET_CLASSIFICATION!$A$8:$A$24,0)),"Review"))</f>
        <v>Refi Watch</v>
      </c>
      <c r="O1781" s="350" t="str">
        <f ca="1">IF($B1781="Portfolio","Portfolio",IFERROR(INDEX(DATA_ASSET_CLASSIFICATION!$AB$8:$AB$13,MATCH($N1781,DATA_ASSET_CLASSIFICATION!$AA$8:$AA$13,0)),"Review"))</f>
        <v>Bucket 2 · Legacy</v>
      </c>
      <c r="P1781" s="350" t="str">
        <f>IF($B1781="Portfolio","Portfolio",IFERROR(INDEX(DATA_ASSET_CLASSIFICATION!$C$8:$C$24,MATCH($C1781,DATA_ASSET_CLASSIFICATION!$A$8:$A$24,0)),"Review"))</f>
        <v>Yes</v>
      </c>
      <c r="Q1781" s="350" t="str">
        <f t="shared" ca="1" si="55"/>
        <v>OK</v>
      </c>
    </row>
    <row r="1782" spans="1:17" ht="30">
      <c r="A1782" s="366" t="s">
        <v>3738</v>
      </c>
      <c r="B1782" s="366" t="s">
        <v>231</v>
      </c>
      <c r="C1782" s="348" t="str">
        <f>DATA_PROPERTY_MASTER!$A$10</f>
        <v>BLD_EA</v>
      </c>
      <c r="D1782" s="380">
        <f>'00_PORTFOLIO ROLLUP'!G$12</f>
        <v>2027</v>
      </c>
      <c r="E1782" s="366" t="s">
        <v>1721</v>
      </c>
      <c r="F1782" s="366" t="s">
        <v>31</v>
      </c>
      <c r="G1782" s="348" t="str">
        <f>"'"&amp;$C1782&amp;"'!$E$61:$Y$61"</f>
        <v>'BLD_EA'!$E$61:$Y$61</v>
      </c>
      <c r="H1782" s="381">
        <f ca="1">IF(IFERROR(INDEX(DATA_PROPERTY_MASTER!$E$5:$E$21,MATCH($C1782,DATA_PROPERTY_MASTER!$A$5:$A$21,0))="Yes",FALSE),IFERROR(INDEX(INDIRECT("'"&amp;$C1782&amp;"'!$E$61:$Y$61"),1,MATCH($D1782,INDIRECT("'"&amp;$C1782&amp;"'!$E$12:$Y$12"),0)),0),0)</f>
        <v>0</v>
      </c>
      <c r="I1782" s="366" t="s">
        <v>1690</v>
      </c>
      <c r="J1782" s="348" t="str">
        <f t="shared" ca="1" si="54"/>
        <v>OK</v>
      </c>
      <c r="K1782" s="366" t="s">
        <v>1723</v>
      </c>
      <c r="L1782" s="366" t="s">
        <v>2252</v>
      </c>
      <c r="M1782" s="350" t="str">
        <f>IF($B1782="Portfolio","Portfolio",IFERROR(INDEX(DATA_ASSET_CLASSIFICATION!$B$8:$B$24,MATCH($C1782,DATA_ASSET_CLASSIFICATION!$A$8:$A$24,0)),"Review"))</f>
        <v>Evergreen Apartments</v>
      </c>
      <c r="N1782" s="350" t="str">
        <f ca="1">IF($B1782="Portfolio","Portfolio",IFERROR(INDEX(DATA_ASSET_CLASSIFICATION!$U$8:$U$24,MATCH($C1782,DATA_ASSET_CLASSIFICATION!$A$8:$A$24,0)),"Review"))</f>
        <v>Refi Watch</v>
      </c>
      <c r="O1782" s="350" t="str">
        <f ca="1">IF($B1782="Portfolio","Portfolio",IFERROR(INDEX(DATA_ASSET_CLASSIFICATION!$AB$8:$AB$13,MATCH($N1782,DATA_ASSET_CLASSIFICATION!$AA$8:$AA$13,0)),"Review"))</f>
        <v>Bucket 2 · Legacy</v>
      </c>
      <c r="P1782" s="350" t="str">
        <f>IF($B1782="Portfolio","Portfolio",IFERROR(INDEX(DATA_ASSET_CLASSIFICATION!$C$8:$C$24,MATCH($C1782,DATA_ASSET_CLASSIFICATION!$A$8:$A$24,0)),"Review"))</f>
        <v>Yes</v>
      </c>
      <c r="Q1782" s="350" t="str">
        <f t="shared" ca="1" si="55"/>
        <v>OK</v>
      </c>
    </row>
    <row r="1783" spans="1:17" ht="30">
      <c r="A1783" s="366" t="s">
        <v>3739</v>
      </c>
      <c r="B1783" s="366" t="s">
        <v>231</v>
      </c>
      <c r="C1783" s="348" t="str">
        <f>DATA_PROPERTY_MASTER!$A$10</f>
        <v>BLD_EA</v>
      </c>
      <c r="D1783" s="380">
        <f>'00_PORTFOLIO ROLLUP'!G$12</f>
        <v>2027</v>
      </c>
      <c r="E1783" s="366" t="s">
        <v>1721</v>
      </c>
      <c r="F1783" s="366" t="s">
        <v>33</v>
      </c>
      <c r="G1783" s="348" t="str">
        <f>"'"&amp;$C1783&amp;"'!$E$62:$Y$62"</f>
        <v>'BLD_EA'!$E$62:$Y$62</v>
      </c>
      <c r="H1783" s="381">
        <f ca="1">IF(IFERROR(INDEX(DATA_PROPERTY_MASTER!$E$5:$E$21,MATCH($C1783,DATA_PROPERTY_MASTER!$A$5:$A$21,0))="Yes",FALSE),IFERROR(INDEX(INDIRECT("'"&amp;$C1783&amp;"'!$E$62:$Y$62"),1,MATCH($D1783,INDIRECT("'"&amp;$C1783&amp;"'!$E$12:$Y$12"),0)),0),0)</f>
        <v>0</v>
      </c>
      <c r="I1783" s="366" t="s">
        <v>1685</v>
      </c>
      <c r="J1783" s="348" t="str">
        <f t="shared" ca="1" si="54"/>
        <v>OK</v>
      </c>
      <c r="K1783" s="366" t="s">
        <v>1727</v>
      </c>
      <c r="L1783" s="366" t="s">
        <v>2254</v>
      </c>
      <c r="M1783" s="350" t="str">
        <f>IF($B1783="Portfolio","Portfolio",IFERROR(INDEX(DATA_ASSET_CLASSIFICATION!$B$8:$B$24,MATCH($C1783,DATA_ASSET_CLASSIFICATION!$A$8:$A$24,0)),"Review"))</f>
        <v>Evergreen Apartments</v>
      </c>
      <c r="N1783" s="350" t="str">
        <f ca="1">IF($B1783="Portfolio","Portfolio",IFERROR(INDEX(DATA_ASSET_CLASSIFICATION!$U$8:$U$24,MATCH($C1783,DATA_ASSET_CLASSIFICATION!$A$8:$A$24,0)),"Review"))</f>
        <v>Refi Watch</v>
      </c>
      <c r="O1783" s="350" t="str">
        <f ca="1">IF($B1783="Portfolio","Portfolio",IFERROR(INDEX(DATA_ASSET_CLASSIFICATION!$AB$8:$AB$13,MATCH($N1783,DATA_ASSET_CLASSIFICATION!$AA$8:$AA$13,0)),"Review"))</f>
        <v>Bucket 2 · Legacy</v>
      </c>
      <c r="P1783" s="350" t="str">
        <f>IF($B1783="Portfolio","Portfolio",IFERROR(INDEX(DATA_ASSET_CLASSIFICATION!$C$8:$C$24,MATCH($C1783,DATA_ASSET_CLASSIFICATION!$A$8:$A$24,0)),"Review"))</f>
        <v>Yes</v>
      </c>
      <c r="Q1783" s="350" t="str">
        <f t="shared" ca="1" si="55"/>
        <v>OK</v>
      </c>
    </row>
    <row r="1784" spans="1:17" ht="30">
      <c r="A1784" s="366" t="s">
        <v>3740</v>
      </c>
      <c r="B1784" s="366" t="s">
        <v>231</v>
      </c>
      <c r="C1784" s="348" t="str">
        <f>DATA_PROPERTY_MASTER!$A$10</f>
        <v>BLD_EA</v>
      </c>
      <c r="D1784" s="380">
        <f>'00_PORTFOLIO ROLLUP'!G$12</f>
        <v>2027</v>
      </c>
      <c r="E1784" s="366" t="s">
        <v>1721</v>
      </c>
      <c r="F1784" s="366" t="s">
        <v>35</v>
      </c>
      <c r="G1784" s="348" t="str">
        <f>"'"&amp;$C1784&amp;"'!$E$63:$Y$63"</f>
        <v>'BLD_EA'!$E$63:$Y$63</v>
      </c>
      <c r="H1784" s="381">
        <f ca="1">IF(IFERROR(INDEX(DATA_PROPERTY_MASTER!$E$5:$E$21,MATCH($C1784,DATA_PROPERTY_MASTER!$A$5:$A$21,0))="Yes",FALSE),IFERROR(INDEX(INDIRECT("'"&amp;$C1784&amp;"'!$E$63:$Y$63"),1,MATCH($D1784,INDIRECT("'"&amp;$C1784&amp;"'!$E$12:$Y$12"),0)),0),0)</f>
        <v>0</v>
      </c>
      <c r="I1784" s="366" t="s">
        <v>1731</v>
      </c>
      <c r="J1784" s="348" t="str">
        <f t="shared" ca="1" si="54"/>
        <v>OK</v>
      </c>
      <c r="K1784" s="366" t="s">
        <v>1732</v>
      </c>
      <c r="L1784" s="366" t="s">
        <v>2256</v>
      </c>
      <c r="M1784" s="350" t="str">
        <f>IF($B1784="Portfolio","Portfolio",IFERROR(INDEX(DATA_ASSET_CLASSIFICATION!$B$8:$B$24,MATCH($C1784,DATA_ASSET_CLASSIFICATION!$A$8:$A$24,0)),"Review"))</f>
        <v>Evergreen Apartments</v>
      </c>
      <c r="N1784" s="350" t="str">
        <f ca="1">IF($B1784="Portfolio","Portfolio",IFERROR(INDEX(DATA_ASSET_CLASSIFICATION!$U$8:$U$24,MATCH($C1784,DATA_ASSET_CLASSIFICATION!$A$8:$A$24,0)),"Review"))</f>
        <v>Refi Watch</v>
      </c>
      <c r="O1784" s="350" t="str">
        <f ca="1">IF($B1784="Portfolio","Portfolio",IFERROR(INDEX(DATA_ASSET_CLASSIFICATION!$AB$8:$AB$13,MATCH($N1784,DATA_ASSET_CLASSIFICATION!$AA$8:$AA$13,0)),"Review"))</f>
        <v>Bucket 2 · Legacy</v>
      </c>
      <c r="P1784" s="350" t="str">
        <f>IF($B1784="Portfolio","Portfolio",IFERROR(INDEX(DATA_ASSET_CLASSIFICATION!$C$8:$C$24,MATCH($C1784,DATA_ASSET_CLASSIFICATION!$A$8:$A$24,0)),"Review"))</f>
        <v>Yes</v>
      </c>
      <c r="Q1784" s="350" t="str">
        <f t="shared" ca="1" si="55"/>
        <v>OK</v>
      </c>
    </row>
    <row r="1785" spans="1:17" ht="30">
      <c r="A1785" s="366" t="s">
        <v>3741</v>
      </c>
      <c r="B1785" s="366" t="s">
        <v>231</v>
      </c>
      <c r="C1785" s="348" t="str">
        <f>DATA_PROPERTY_MASTER!$A$10</f>
        <v>BLD_EA</v>
      </c>
      <c r="D1785" s="380">
        <f>'00_PORTFOLIO ROLLUP'!G$12</f>
        <v>2027</v>
      </c>
      <c r="E1785" s="366" t="s">
        <v>1721</v>
      </c>
      <c r="F1785" s="366" t="s">
        <v>37</v>
      </c>
      <c r="G1785" s="348" t="str">
        <f>"'"&amp;$C1785&amp;"'!$E$63:$Y$63"</f>
        <v>'BLD_EA'!$E$63:$Y$63</v>
      </c>
      <c r="H1785" s="381">
        <f ca="1">IF(IFERROR(INDEX(DATA_PROPERTY_MASTER!$E$5:$E$21,MATCH($C1785,DATA_PROPERTY_MASTER!$A$5:$A$21,0))="Yes",FALSE),MAX(IFERROR(INDEX(INDIRECT("'"&amp;$C1785&amp;"'!$E$63:$Y$63"),1,MATCH($D1785,INDIRECT("'"&amp;$C1785&amp;"'!$E$12:$Y$12"),0)),0),0),0)</f>
        <v>0</v>
      </c>
      <c r="I1785" s="366" t="s">
        <v>1685</v>
      </c>
      <c r="J1785" s="348" t="str">
        <f t="shared" ca="1" si="54"/>
        <v>OK</v>
      </c>
      <c r="K1785" s="366" t="s">
        <v>1735</v>
      </c>
      <c r="L1785" s="366" t="s">
        <v>2258</v>
      </c>
      <c r="M1785" s="350" t="str">
        <f>IF($B1785="Portfolio","Portfolio",IFERROR(INDEX(DATA_ASSET_CLASSIFICATION!$B$8:$B$24,MATCH($C1785,DATA_ASSET_CLASSIFICATION!$A$8:$A$24,0)),"Review"))</f>
        <v>Evergreen Apartments</v>
      </c>
      <c r="N1785" s="350" t="str">
        <f ca="1">IF($B1785="Portfolio","Portfolio",IFERROR(INDEX(DATA_ASSET_CLASSIFICATION!$U$8:$U$24,MATCH($C1785,DATA_ASSET_CLASSIFICATION!$A$8:$A$24,0)),"Review"))</f>
        <v>Refi Watch</v>
      </c>
      <c r="O1785" s="350" t="str">
        <f ca="1">IF($B1785="Portfolio","Portfolio",IFERROR(INDEX(DATA_ASSET_CLASSIFICATION!$AB$8:$AB$13,MATCH($N1785,DATA_ASSET_CLASSIFICATION!$AA$8:$AA$13,0)),"Review"))</f>
        <v>Bucket 2 · Legacy</v>
      </c>
      <c r="P1785" s="350" t="str">
        <f>IF($B1785="Portfolio","Portfolio",IFERROR(INDEX(DATA_ASSET_CLASSIFICATION!$C$8:$C$24,MATCH($C1785,DATA_ASSET_CLASSIFICATION!$A$8:$A$24,0)),"Review"))</f>
        <v>Yes</v>
      </c>
      <c r="Q1785" s="350" t="str">
        <f t="shared" ca="1" si="55"/>
        <v>OK</v>
      </c>
    </row>
    <row r="1786" spans="1:17" ht="30">
      <c r="A1786" s="366" t="s">
        <v>3742</v>
      </c>
      <c r="B1786" s="366" t="s">
        <v>231</v>
      </c>
      <c r="C1786" s="348" t="str">
        <f>DATA_PROPERTY_MASTER!$A$10</f>
        <v>BLD_EA</v>
      </c>
      <c r="D1786" s="380">
        <f>'00_PORTFOLIO ROLLUP'!G$12</f>
        <v>2027</v>
      </c>
      <c r="E1786" s="366" t="s">
        <v>1721</v>
      </c>
      <c r="F1786" s="366" t="s">
        <v>39</v>
      </c>
      <c r="G1786" s="348" t="str">
        <f>"'"&amp;$C1786&amp;"'!$E$63:$Y$63"</f>
        <v>'BLD_EA'!$E$63:$Y$63</v>
      </c>
      <c r="H1786" s="381">
        <f ca="1">IF(IFERROR(INDEX(DATA_PROPERTY_MASTER!$E$5:$E$21,MATCH($C1786,DATA_PROPERTY_MASTER!$A$5:$A$21,0))="Yes",FALSE),MAX(-IFERROR(INDEX(INDIRECT("'"&amp;$C1786&amp;"'!$E$63:$Y$63"),1,MATCH($D1786,INDIRECT("'"&amp;$C1786&amp;"'!$E$12:$Y$12"),0)),0),0),0)</f>
        <v>0</v>
      </c>
      <c r="I1786" s="366" t="s">
        <v>1690</v>
      </c>
      <c r="J1786" s="348" t="str">
        <f t="shared" ca="1" si="54"/>
        <v>OK</v>
      </c>
      <c r="K1786" s="366" t="s">
        <v>1738</v>
      </c>
      <c r="L1786" s="366" t="s">
        <v>2260</v>
      </c>
      <c r="M1786" s="350" t="str">
        <f>IF($B1786="Portfolio","Portfolio",IFERROR(INDEX(DATA_ASSET_CLASSIFICATION!$B$8:$B$24,MATCH($C1786,DATA_ASSET_CLASSIFICATION!$A$8:$A$24,0)),"Review"))</f>
        <v>Evergreen Apartments</v>
      </c>
      <c r="N1786" s="350" t="str">
        <f ca="1">IF($B1786="Portfolio","Portfolio",IFERROR(INDEX(DATA_ASSET_CLASSIFICATION!$U$8:$U$24,MATCH($C1786,DATA_ASSET_CLASSIFICATION!$A$8:$A$24,0)),"Review"))</f>
        <v>Refi Watch</v>
      </c>
      <c r="O1786" s="350" t="str">
        <f ca="1">IF($B1786="Portfolio","Portfolio",IFERROR(INDEX(DATA_ASSET_CLASSIFICATION!$AB$8:$AB$13,MATCH($N1786,DATA_ASSET_CLASSIFICATION!$AA$8:$AA$13,0)),"Review"))</f>
        <v>Bucket 2 · Legacy</v>
      </c>
      <c r="P1786" s="350" t="str">
        <f>IF($B1786="Portfolio","Portfolio",IFERROR(INDEX(DATA_ASSET_CLASSIFICATION!$C$8:$C$24,MATCH($C1786,DATA_ASSET_CLASSIFICATION!$A$8:$A$24,0)),"Review"))</f>
        <v>Yes</v>
      </c>
      <c r="Q1786" s="350" t="str">
        <f t="shared" ca="1" si="55"/>
        <v>OK</v>
      </c>
    </row>
    <row r="1787" spans="1:17" ht="30">
      <c r="A1787" s="366" t="s">
        <v>3743</v>
      </c>
      <c r="B1787" s="366" t="s">
        <v>231</v>
      </c>
      <c r="C1787" s="348" t="str">
        <f>DATA_PROPERTY_MASTER!$A$10</f>
        <v>BLD_EA</v>
      </c>
      <c r="D1787" s="380">
        <f>'00_PORTFOLIO ROLLUP'!G$12</f>
        <v>2027</v>
      </c>
      <c r="E1787" s="366" t="s">
        <v>1741</v>
      </c>
      <c r="F1787" s="366" t="s">
        <v>41</v>
      </c>
      <c r="G1787" s="348" t="str">
        <f>"'"&amp;$C1787&amp;"'!rows 56 + positive row 63"</f>
        <v>'BLD_EA'!rows 56 + positive row 63</v>
      </c>
      <c r="H1787" s="381">
        <f ca="1">IF(IFERROR(INDEX(DATA_PROPERTY_MASTER!$E$5:$E$21,MATCH($C1787,DATA_PROPERTY_MASTER!$A$5:$A$21,0))="Yes",FALSE),IFERROR(INDEX(INDIRECT("'"&amp;$C1787&amp;"'!$E$56:$Y$56"),1,MATCH($D1787,INDIRECT("'"&amp;$C1787&amp;"'!$E$12:$Y$12"),0)),0)+MAX(IFERROR(INDEX(INDIRECT("'"&amp;$C1787&amp;"'!$E$63:$Y$63"),1,MATCH($D1787,INDIRECT("'"&amp;$C1787&amp;"'!$E$12:$Y$12"),0)),0),0),0)</f>
        <v>115369.21265504003</v>
      </c>
      <c r="I1787" s="366" t="s">
        <v>1685</v>
      </c>
      <c r="J1787" s="348" t="str">
        <f t="shared" ca="1" si="54"/>
        <v>OK</v>
      </c>
      <c r="K1787" s="366" t="s">
        <v>1742</v>
      </c>
      <c r="L1787" s="366" t="s">
        <v>2262</v>
      </c>
      <c r="M1787" s="350" t="str">
        <f>IF($B1787="Portfolio","Portfolio",IFERROR(INDEX(DATA_ASSET_CLASSIFICATION!$B$8:$B$24,MATCH($C1787,DATA_ASSET_CLASSIFICATION!$A$8:$A$24,0)),"Review"))</f>
        <v>Evergreen Apartments</v>
      </c>
      <c r="N1787" s="350" t="str">
        <f ca="1">IF($B1787="Portfolio","Portfolio",IFERROR(INDEX(DATA_ASSET_CLASSIFICATION!$U$8:$U$24,MATCH($C1787,DATA_ASSET_CLASSIFICATION!$A$8:$A$24,0)),"Review"))</f>
        <v>Refi Watch</v>
      </c>
      <c r="O1787" s="350" t="str">
        <f ca="1">IF($B1787="Portfolio","Portfolio",IFERROR(INDEX(DATA_ASSET_CLASSIFICATION!$AB$8:$AB$13,MATCH($N1787,DATA_ASSET_CLASSIFICATION!$AA$8:$AA$13,0)),"Review"))</f>
        <v>Bucket 2 · Legacy</v>
      </c>
      <c r="P1787" s="350" t="str">
        <f>IF($B1787="Portfolio","Portfolio",IFERROR(INDEX(DATA_ASSET_CLASSIFICATION!$C$8:$C$24,MATCH($C1787,DATA_ASSET_CLASSIFICATION!$A$8:$A$24,0)),"Review"))</f>
        <v>Yes</v>
      </c>
      <c r="Q1787" s="350" t="str">
        <f t="shared" ca="1" si="55"/>
        <v>OK</v>
      </c>
    </row>
    <row r="1788" spans="1:17" ht="30">
      <c r="A1788" s="366" t="s">
        <v>3744</v>
      </c>
      <c r="B1788" s="366" t="s">
        <v>231</v>
      </c>
      <c r="C1788" s="348" t="str">
        <f>DATA_PROPERTY_MASTER!$A$10</f>
        <v>BLD_EA</v>
      </c>
      <c r="D1788" s="380">
        <f>'00_PORTFOLIO ROLLUP'!G$12</f>
        <v>2027</v>
      </c>
      <c r="E1788" s="366" t="s">
        <v>1741</v>
      </c>
      <c r="F1788" s="366" t="s">
        <v>43</v>
      </c>
      <c r="G1788" s="348" t="str">
        <f>"'"&amp;$C1788&amp;"'!$E$68:$Y$68"</f>
        <v>'BLD_EA'!$E$68:$Y$68</v>
      </c>
      <c r="H1788" s="381">
        <f ca="1">IF(IFERROR(INDEX(DATA_PROPERTY_MASTER!$E$5:$E$21,MATCH($C1788,DATA_PROPERTY_MASTER!$A$5:$A$21,0))="Yes",FALSE),IFERROR(INDEX(INDIRECT("'"&amp;$C1788&amp;"'!$E$68:$Y$68"),1,MATCH($D1788,INDIRECT("'"&amp;$C1788&amp;"'!$E$12:$Y$12"),0)),0),0)</f>
        <v>115369.21265504003</v>
      </c>
      <c r="I1788" s="366" t="s">
        <v>1731</v>
      </c>
      <c r="J1788" s="348" t="str">
        <f t="shared" ca="1" si="54"/>
        <v>OK</v>
      </c>
      <c r="K1788" s="366" t="s">
        <v>1746</v>
      </c>
      <c r="L1788" s="366" t="s">
        <v>2264</v>
      </c>
      <c r="M1788" s="350" t="str">
        <f>IF($B1788="Portfolio","Portfolio",IFERROR(INDEX(DATA_ASSET_CLASSIFICATION!$B$8:$B$24,MATCH($C1788,DATA_ASSET_CLASSIFICATION!$A$8:$A$24,0)),"Review"))</f>
        <v>Evergreen Apartments</v>
      </c>
      <c r="N1788" s="350" t="str">
        <f ca="1">IF($B1788="Portfolio","Portfolio",IFERROR(INDEX(DATA_ASSET_CLASSIFICATION!$U$8:$U$24,MATCH($C1788,DATA_ASSET_CLASSIFICATION!$A$8:$A$24,0)),"Review"))</f>
        <v>Refi Watch</v>
      </c>
      <c r="O1788" s="350" t="str">
        <f ca="1">IF($B1788="Portfolio","Portfolio",IFERROR(INDEX(DATA_ASSET_CLASSIFICATION!$AB$8:$AB$13,MATCH($N1788,DATA_ASSET_CLASSIFICATION!$AA$8:$AA$13,0)),"Review"))</f>
        <v>Bucket 2 · Legacy</v>
      </c>
      <c r="P1788" s="350" t="str">
        <f>IF($B1788="Portfolio","Portfolio",IFERROR(INDEX(DATA_ASSET_CLASSIFICATION!$C$8:$C$24,MATCH($C1788,DATA_ASSET_CLASSIFICATION!$A$8:$A$24,0)),"Review"))</f>
        <v>Yes</v>
      </c>
      <c r="Q1788" s="350" t="str">
        <f t="shared" ca="1" si="55"/>
        <v>OK</v>
      </c>
    </row>
    <row r="1789" spans="1:17" ht="30">
      <c r="A1789" s="366" t="s">
        <v>3745</v>
      </c>
      <c r="B1789" s="366" t="s">
        <v>231</v>
      </c>
      <c r="C1789" s="348" t="str">
        <f>DATA_PROPERTY_MASTER!$A$10</f>
        <v>BLD_EA</v>
      </c>
      <c r="D1789" s="380">
        <f>'00_PORTFOLIO ROLLUP'!G$12</f>
        <v>2027</v>
      </c>
      <c r="E1789" s="366" t="s">
        <v>1741</v>
      </c>
      <c r="F1789" s="366" t="s">
        <v>1749</v>
      </c>
      <c r="G1789" s="348" t="str">
        <f>"'"&amp;$C1789&amp;"'!rows 56, 63, 68"</f>
        <v>'BLD_EA'!rows 56, 63, 68</v>
      </c>
      <c r="H1789" s="381">
        <f ca="1">IF(IFERROR(INDEX(DATA_PROPERTY_MASTER!$E$5:$E$21,MATCH($C1789,DATA_PROPERTY_MASTER!$A$5:$A$21,0))="Yes",FALSE),(IFERROR(INDEX(INDIRECT("'"&amp;$C1789&amp;"'!$E$56:$Y$56"),1,MATCH($D1789,INDIRECT("'"&amp;$C1789&amp;"'!$E$12:$Y$12"),0)),0)+MAX(IFERROR(INDEX(INDIRECT("'"&amp;$C1789&amp;"'!$E$63:$Y$63"),1,MATCH($D1789,INDIRECT("'"&amp;$C1789&amp;"'!$E$12:$Y$12"),0)),0),0))-(IFERROR(INDEX(INDIRECT("'"&amp;$C1789&amp;"'!$E$68:$Y$68"),1,MATCH($D1789,INDIRECT("'"&amp;$C1789&amp;"'!$E$12:$Y$12"),0)),0)),0)</f>
        <v>0</v>
      </c>
      <c r="I1789" s="366" t="s">
        <v>1750</v>
      </c>
      <c r="J1789" s="348" t="str">
        <f t="shared" ca="1" si="54"/>
        <v>OK</v>
      </c>
      <c r="K1789" s="366" t="s">
        <v>1751</v>
      </c>
      <c r="L1789" s="366" t="s">
        <v>2266</v>
      </c>
      <c r="M1789" s="350" t="str">
        <f>IF($B1789="Portfolio","Portfolio",IFERROR(INDEX(DATA_ASSET_CLASSIFICATION!$B$8:$B$24,MATCH($C1789,DATA_ASSET_CLASSIFICATION!$A$8:$A$24,0)),"Review"))</f>
        <v>Evergreen Apartments</v>
      </c>
      <c r="N1789" s="350" t="str">
        <f ca="1">IF($B1789="Portfolio","Portfolio",IFERROR(INDEX(DATA_ASSET_CLASSIFICATION!$U$8:$U$24,MATCH($C1789,DATA_ASSET_CLASSIFICATION!$A$8:$A$24,0)),"Review"))</f>
        <v>Refi Watch</v>
      </c>
      <c r="O1789" s="350" t="str">
        <f ca="1">IF($B1789="Portfolio","Portfolio",IFERROR(INDEX(DATA_ASSET_CLASSIFICATION!$AB$8:$AB$13,MATCH($N1789,DATA_ASSET_CLASSIFICATION!$AA$8:$AA$13,0)),"Review"))</f>
        <v>Bucket 2 · Legacy</v>
      </c>
      <c r="P1789" s="350" t="str">
        <f>IF($B1789="Portfolio","Portfolio",IFERROR(INDEX(DATA_ASSET_CLASSIFICATION!$C$8:$C$24,MATCH($C1789,DATA_ASSET_CLASSIFICATION!$A$8:$A$24,0)),"Review"))</f>
        <v>Yes</v>
      </c>
      <c r="Q1789" s="350" t="str">
        <f t="shared" ca="1" si="55"/>
        <v>OK</v>
      </c>
    </row>
    <row r="1790" spans="1:17" ht="30">
      <c r="A1790" s="366" t="s">
        <v>3746</v>
      </c>
      <c r="B1790" s="366" t="s">
        <v>231</v>
      </c>
      <c r="C1790" s="348" t="str">
        <f>DATA_PROPERTY_MASTER!$A$10</f>
        <v>BLD_EA</v>
      </c>
      <c r="D1790" s="380">
        <f>'00_PORTFOLIO ROLLUP'!H$12</f>
        <v>2028</v>
      </c>
      <c r="E1790" s="366" t="s">
        <v>1683</v>
      </c>
      <c r="F1790" s="366" t="s">
        <v>341</v>
      </c>
      <c r="G1790" s="348" t="str">
        <f>"'"&amp;$C1790&amp;"'!$E$24:$Y$24"</f>
        <v>'BLD_EA'!$E$24:$Y$24</v>
      </c>
      <c r="H1790" s="381">
        <f ca="1">IF(IFERROR(INDEX(DATA_PROPERTY_MASTER!$E$5:$E$21,MATCH($C1790,DATA_PROPERTY_MASTER!$A$5:$A$21,0))="Yes",FALSE),IFERROR(INDEX(INDIRECT("'"&amp;$C1790&amp;"'!$E$24:$Y$24"),1,MATCH($D1790,INDIRECT("'"&amp;$C1790&amp;"'!$E$12:$Y$12"),0)),0),0)</f>
        <v>1054211.130926352</v>
      </c>
      <c r="I1790" s="366" t="s">
        <v>1685</v>
      </c>
      <c r="J1790" s="348" t="str">
        <f t="shared" ca="1" si="54"/>
        <v>OK</v>
      </c>
      <c r="K1790" s="366" t="s">
        <v>1686</v>
      </c>
      <c r="L1790" s="366" t="s">
        <v>2234</v>
      </c>
      <c r="M1790" s="350" t="str">
        <f>IF($B1790="Portfolio","Portfolio",IFERROR(INDEX(DATA_ASSET_CLASSIFICATION!$B$8:$B$24,MATCH($C1790,DATA_ASSET_CLASSIFICATION!$A$8:$A$24,0)),"Review"))</f>
        <v>Evergreen Apartments</v>
      </c>
      <c r="N1790" s="350" t="str">
        <f ca="1">IF($B1790="Portfolio","Portfolio",IFERROR(INDEX(DATA_ASSET_CLASSIFICATION!$U$8:$U$24,MATCH($C1790,DATA_ASSET_CLASSIFICATION!$A$8:$A$24,0)),"Review"))</f>
        <v>Refi Watch</v>
      </c>
      <c r="O1790" s="350" t="str">
        <f ca="1">IF($B1790="Portfolio","Portfolio",IFERROR(INDEX(DATA_ASSET_CLASSIFICATION!$AB$8:$AB$13,MATCH($N1790,DATA_ASSET_CLASSIFICATION!$AA$8:$AA$13,0)),"Review"))</f>
        <v>Bucket 2 · Legacy</v>
      </c>
      <c r="P1790" s="350" t="str">
        <f>IF($B1790="Portfolio","Portfolio",IFERROR(INDEX(DATA_ASSET_CLASSIFICATION!$C$8:$C$24,MATCH($C1790,DATA_ASSET_CLASSIFICATION!$A$8:$A$24,0)),"Review"))</f>
        <v>Yes</v>
      </c>
      <c r="Q1790" s="350" t="str">
        <f t="shared" ca="1" si="55"/>
        <v>OK</v>
      </c>
    </row>
    <row r="1791" spans="1:17" ht="30">
      <c r="A1791" s="366" t="s">
        <v>3747</v>
      </c>
      <c r="B1791" s="366" t="s">
        <v>231</v>
      </c>
      <c r="C1791" s="348" t="str">
        <f>DATA_PROPERTY_MASTER!$A$10</f>
        <v>BLD_EA</v>
      </c>
      <c r="D1791" s="380">
        <f>'00_PORTFOLIO ROLLUP'!H$12</f>
        <v>2028</v>
      </c>
      <c r="E1791" s="366" t="s">
        <v>1683</v>
      </c>
      <c r="F1791" s="366" t="s">
        <v>355</v>
      </c>
      <c r="G1791" s="348" t="str">
        <f>"'"&amp;$C1791&amp;"'!$E$39:$Y$39"</f>
        <v>'BLD_EA'!$E$39:$Y$39</v>
      </c>
      <c r="H1791" s="381">
        <f ca="1">IF(IFERROR(INDEX(DATA_PROPERTY_MASTER!$E$5:$E$21,MATCH($C1791,DATA_PROPERTY_MASTER!$A$5:$A$21,0))="Yes",FALSE),IFERROR(INDEX(INDIRECT("'"&amp;$C1791&amp;"'!$E$39:$Y$39"),1,MATCH($D1791,INDIRECT("'"&amp;$C1791&amp;"'!$E$12:$Y$12"),0)),0),0)</f>
        <v>465168.38451200002</v>
      </c>
      <c r="I1791" s="366" t="s">
        <v>1690</v>
      </c>
      <c r="J1791" s="348" t="str">
        <f t="shared" ca="1" si="54"/>
        <v>OK</v>
      </c>
      <c r="K1791" s="366" t="s">
        <v>1686</v>
      </c>
      <c r="L1791" s="366" t="s">
        <v>2236</v>
      </c>
      <c r="M1791" s="350" t="str">
        <f>IF($B1791="Portfolio","Portfolio",IFERROR(INDEX(DATA_ASSET_CLASSIFICATION!$B$8:$B$24,MATCH($C1791,DATA_ASSET_CLASSIFICATION!$A$8:$A$24,0)),"Review"))</f>
        <v>Evergreen Apartments</v>
      </c>
      <c r="N1791" s="350" t="str">
        <f ca="1">IF($B1791="Portfolio","Portfolio",IFERROR(INDEX(DATA_ASSET_CLASSIFICATION!$U$8:$U$24,MATCH($C1791,DATA_ASSET_CLASSIFICATION!$A$8:$A$24,0)),"Review"))</f>
        <v>Refi Watch</v>
      </c>
      <c r="O1791" s="350" t="str">
        <f ca="1">IF($B1791="Portfolio","Portfolio",IFERROR(INDEX(DATA_ASSET_CLASSIFICATION!$AB$8:$AB$13,MATCH($N1791,DATA_ASSET_CLASSIFICATION!$AA$8:$AA$13,0)),"Review"))</f>
        <v>Bucket 2 · Legacy</v>
      </c>
      <c r="P1791" s="350" t="str">
        <f>IF($B1791="Portfolio","Portfolio",IFERROR(INDEX(DATA_ASSET_CLASSIFICATION!$C$8:$C$24,MATCH($C1791,DATA_ASSET_CLASSIFICATION!$A$8:$A$24,0)),"Review"))</f>
        <v>Yes</v>
      </c>
      <c r="Q1791" s="350" t="str">
        <f t="shared" ca="1" si="55"/>
        <v>OK</v>
      </c>
    </row>
    <row r="1792" spans="1:17" ht="30">
      <c r="A1792" s="366" t="s">
        <v>3748</v>
      </c>
      <c r="B1792" s="366" t="s">
        <v>231</v>
      </c>
      <c r="C1792" s="348" t="str">
        <f>DATA_PROPERTY_MASTER!$A$10</f>
        <v>BLD_EA</v>
      </c>
      <c r="D1792" s="380">
        <f>'00_PORTFOLIO ROLLUP'!H$12</f>
        <v>2028</v>
      </c>
      <c r="E1792" s="366" t="s">
        <v>1683</v>
      </c>
      <c r="F1792" s="366" t="s">
        <v>19</v>
      </c>
      <c r="G1792" s="348" t="str">
        <f>"'"&amp;$C1792&amp;"'!$E$41:$Y$41"</f>
        <v>'BLD_EA'!$E$41:$Y$41</v>
      </c>
      <c r="H1792" s="381">
        <f ca="1">IF(IFERROR(INDEX(DATA_PROPERTY_MASTER!$E$5:$E$21,MATCH($C1792,DATA_PROPERTY_MASTER!$A$5:$A$21,0))="Yes",FALSE),IFERROR(INDEX(INDIRECT("'"&amp;$C1792&amp;"'!$E$41:$Y$41"),1,MATCH($D1792,INDIRECT("'"&amp;$C1792&amp;"'!$E$12:$Y$12"),0)),0),0)</f>
        <v>589042.74641435198</v>
      </c>
      <c r="I1792" s="366" t="s">
        <v>1685</v>
      </c>
      <c r="J1792" s="348" t="str">
        <f t="shared" ca="1" si="54"/>
        <v>OK</v>
      </c>
      <c r="K1792" s="366" t="s">
        <v>1694</v>
      </c>
      <c r="L1792" s="366" t="s">
        <v>2238</v>
      </c>
      <c r="M1792" s="350" t="str">
        <f>IF($B1792="Portfolio","Portfolio",IFERROR(INDEX(DATA_ASSET_CLASSIFICATION!$B$8:$B$24,MATCH($C1792,DATA_ASSET_CLASSIFICATION!$A$8:$A$24,0)),"Review"))</f>
        <v>Evergreen Apartments</v>
      </c>
      <c r="N1792" s="350" t="str">
        <f ca="1">IF($B1792="Portfolio","Portfolio",IFERROR(INDEX(DATA_ASSET_CLASSIFICATION!$U$8:$U$24,MATCH($C1792,DATA_ASSET_CLASSIFICATION!$A$8:$A$24,0)),"Review"))</f>
        <v>Refi Watch</v>
      </c>
      <c r="O1792" s="350" t="str">
        <f ca="1">IF($B1792="Portfolio","Portfolio",IFERROR(INDEX(DATA_ASSET_CLASSIFICATION!$AB$8:$AB$13,MATCH($N1792,DATA_ASSET_CLASSIFICATION!$AA$8:$AA$13,0)),"Review"))</f>
        <v>Bucket 2 · Legacy</v>
      </c>
      <c r="P1792" s="350" t="str">
        <f>IF($B1792="Portfolio","Portfolio",IFERROR(INDEX(DATA_ASSET_CLASSIFICATION!$C$8:$C$24,MATCH($C1792,DATA_ASSET_CLASSIFICATION!$A$8:$A$24,0)),"Review"))</f>
        <v>Yes</v>
      </c>
      <c r="Q1792" s="350" t="str">
        <f t="shared" ca="1" si="55"/>
        <v>OK</v>
      </c>
    </row>
    <row r="1793" spans="1:17" ht="30">
      <c r="A1793" s="366" t="s">
        <v>3749</v>
      </c>
      <c r="B1793" s="366" t="s">
        <v>231</v>
      </c>
      <c r="C1793" s="348" t="str">
        <f>DATA_PROPERTY_MASTER!$A$10</f>
        <v>BLD_EA</v>
      </c>
      <c r="D1793" s="380">
        <f>'00_PORTFOLIO ROLLUP'!H$12</f>
        <v>2028</v>
      </c>
      <c r="E1793" s="366" t="s">
        <v>1683</v>
      </c>
      <c r="F1793" s="366" t="s">
        <v>1697</v>
      </c>
      <c r="G1793" s="348" t="str">
        <f>"'"&amp;$C1793&amp;"'!$E$44:$Y$44"</f>
        <v>'BLD_EA'!$E$44:$Y$44</v>
      </c>
      <c r="H1793" s="381">
        <f ca="1">IF(IFERROR(INDEX(DATA_PROPERTY_MASTER!$E$5:$E$21,MATCH($C1793,DATA_PROPERTY_MASTER!$A$5:$A$21,0))="Yes",FALSE),IFERROR(INDEX(INDIRECT("'"&amp;$C1793&amp;"'!$E$44:$Y$44"),1,MATCH($D1793,INDIRECT("'"&amp;$C1793&amp;"'!$E$12:$Y$12"),0)),0),0)</f>
        <v>9710.0531999999985</v>
      </c>
      <c r="I1793" s="366" t="s">
        <v>1690</v>
      </c>
      <c r="J1793" s="348" t="str">
        <f t="shared" ca="1" si="54"/>
        <v>OK</v>
      </c>
      <c r="K1793" s="366" t="s">
        <v>1699</v>
      </c>
      <c r="L1793" s="366" t="s">
        <v>2240</v>
      </c>
      <c r="M1793" s="350" t="str">
        <f>IF($B1793="Portfolio","Portfolio",IFERROR(INDEX(DATA_ASSET_CLASSIFICATION!$B$8:$B$24,MATCH($C1793,DATA_ASSET_CLASSIFICATION!$A$8:$A$24,0)),"Review"))</f>
        <v>Evergreen Apartments</v>
      </c>
      <c r="N1793" s="350" t="str">
        <f ca="1">IF($B1793="Portfolio","Portfolio",IFERROR(INDEX(DATA_ASSET_CLASSIFICATION!$U$8:$U$24,MATCH($C1793,DATA_ASSET_CLASSIFICATION!$A$8:$A$24,0)),"Review"))</f>
        <v>Refi Watch</v>
      </c>
      <c r="O1793" s="350" t="str">
        <f ca="1">IF($B1793="Portfolio","Portfolio",IFERROR(INDEX(DATA_ASSET_CLASSIFICATION!$AB$8:$AB$13,MATCH($N1793,DATA_ASSET_CLASSIFICATION!$AA$8:$AA$13,0)),"Review"))</f>
        <v>Bucket 2 · Legacy</v>
      </c>
      <c r="P1793" s="350" t="str">
        <f>IF($B1793="Portfolio","Portfolio",IFERROR(INDEX(DATA_ASSET_CLASSIFICATION!$C$8:$C$24,MATCH($C1793,DATA_ASSET_CLASSIFICATION!$A$8:$A$24,0)),"Review"))</f>
        <v>Yes</v>
      </c>
      <c r="Q1793" s="350" t="str">
        <f t="shared" ca="1" si="55"/>
        <v>OK</v>
      </c>
    </row>
    <row r="1794" spans="1:17" ht="30">
      <c r="A1794" s="366" t="s">
        <v>3750</v>
      </c>
      <c r="B1794" s="366" t="s">
        <v>231</v>
      </c>
      <c r="C1794" s="348" t="str">
        <f>DATA_PROPERTY_MASTER!$A$10</f>
        <v>BLD_EA</v>
      </c>
      <c r="D1794" s="380">
        <f>'00_PORTFOLIO ROLLUP'!H$12</f>
        <v>2028</v>
      </c>
      <c r="E1794" s="366" t="s">
        <v>1683</v>
      </c>
      <c r="F1794" s="366" t="s">
        <v>21</v>
      </c>
      <c r="G1794" s="348" t="str">
        <f>"'"&amp;$C1794&amp;"'!$E$45:$Y$45"</f>
        <v>'BLD_EA'!$E$45:$Y$45</v>
      </c>
      <c r="H1794" s="381">
        <f ca="1">IF(IFERROR(INDEX(DATA_PROPERTY_MASTER!$E$5:$E$21,MATCH($C1794,DATA_PROPERTY_MASTER!$A$5:$A$21,0))="Yes",FALSE),IFERROR(INDEX(INDIRECT("'"&amp;$C1794&amp;"'!$E$45:$Y$45"),1,MATCH($D1794,INDIRECT("'"&amp;$C1794&amp;"'!$E$12:$Y$12"),0)),0),0)</f>
        <v>579332.69321435201</v>
      </c>
      <c r="I1794" s="366" t="s">
        <v>1685</v>
      </c>
      <c r="J1794" s="348" t="str">
        <f t="shared" ca="1" si="54"/>
        <v>OK</v>
      </c>
      <c r="K1794" s="366" t="s">
        <v>1694</v>
      </c>
      <c r="L1794" s="366" t="s">
        <v>2242</v>
      </c>
      <c r="M1794" s="350" t="str">
        <f>IF($B1794="Portfolio","Portfolio",IFERROR(INDEX(DATA_ASSET_CLASSIFICATION!$B$8:$B$24,MATCH($C1794,DATA_ASSET_CLASSIFICATION!$A$8:$A$24,0)),"Review"))</f>
        <v>Evergreen Apartments</v>
      </c>
      <c r="N1794" s="350" t="str">
        <f ca="1">IF($B1794="Portfolio","Portfolio",IFERROR(INDEX(DATA_ASSET_CLASSIFICATION!$U$8:$U$24,MATCH($C1794,DATA_ASSET_CLASSIFICATION!$A$8:$A$24,0)),"Review"))</f>
        <v>Refi Watch</v>
      </c>
      <c r="O1794" s="350" t="str">
        <f ca="1">IF($B1794="Portfolio","Portfolio",IFERROR(INDEX(DATA_ASSET_CLASSIFICATION!$AB$8:$AB$13,MATCH($N1794,DATA_ASSET_CLASSIFICATION!$AA$8:$AA$13,0)),"Review"))</f>
        <v>Bucket 2 · Legacy</v>
      </c>
      <c r="P1794" s="350" t="str">
        <f>IF($B1794="Portfolio","Portfolio",IFERROR(INDEX(DATA_ASSET_CLASSIFICATION!$C$8:$C$24,MATCH($C1794,DATA_ASSET_CLASSIFICATION!$A$8:$A$24,0)),"Review"))</f>
        <v>Yes</v>
      </c>
      <c r="Q1794" s="350" t="str">
        <f t="shared" ca="1" si="55"/>
        <v>OK</v>
      </c>
    </row>
    <row r="1795" spans="1:17" ht="30">
      <c r="A1795" s="366" t="s">
        <v>3751</v>
      </c>
      <c r="B1795" s="366" t="s">
        <v>231</v>
      </c>
      <c r="C1795" s="348" t="str">
        <f>DATA_PROPERTY_MASTER!$A$10</f>
        <v>BLD_EA</v>
      </c>
      <c r="D1795" s="380">
        <f>'00_PORTFOLIO ROLLUP'!H$12</f>
        <v>2028</v>
      </c>
      <c r="E1795" s="366" t="s">
        <v>23</v>
      </c>
      <c r="F1795" s="366" t="s">
        <v>23</v>
      </c>
      <c r="G1795" s="348" t="str">
        <f>"'"&amp;$C1795&amp;"'!$E$48:$Y$48"</f>
        <v>'BLD_EA'!$E$48:$Y$48</v>
      </c>
      <c r="H1795" s="381">
        <f ca="1">IF(IFERROR(INDEX(DATA_PROPERTY_MASTER!$E$5:$E$21,MATCH($C1795,DATA_PROPERTY_MASTER!$A$5:$A$21,0))="Yes",FALSE),IFERROR(INDEX(INDIRECT("'"&amp;$C1795&amp;"'!$E$48:$Y$48"),1,MATCH($D1795,INDIRECT("'"&amp;$C1795&amp;"'!$E$12:$Y$12"),0)),0),0)</f>
        <v>297840</v>
      </c>
      <c r="I1795" s="366" t="s">
        <v>1690</v>
      </c>
      <c r="J1795" s="348" t="str">
        <f t="shared" ca="1" si="54"/>
        <v>OK</v>
      </c>
      <c r="K1795" s="366" t="s">
        <v>1706</v>
      </c>
      <c r="L1795" s="366" t="s">
        <v>2244</v>
      </c>
      <c r="M1795" s="350" t="str">
        <f>IF($B1795="Portfolio","Portfolio",IFERROR(INDEX(DATA_ASSET_CLASSIFICATION!$B$8:$B$24,MATCH($C1795,DATA_ASSET_CLASSIFICATION!$A$8:$A$24,0)),"Review"))</f>
        <v>Evergreen Apartments</v>
      </c>
      <c r="N1795" s="350" t="str">
        <f ca="1">IF($B1795="Portfolio","Portfolio",IFERROR(INDEX(DATA_ASSET_CLASSIFICATION!$U$8:$U$24,MATCH($C1795,DATA_ASSET_CLASSIFICATION!$A$8:$A$24,0)),"Review"))</f>
        <v>Refi Watch</v>
      </c>
      <c r="O1795" s="350" t="str">
        <f ca="1">IF($B1795="Portfolio","Portfolio",IFERROR(INDEX(DATA_ASSET_CLASSIFICATION!$AB$8:$AB$13,MATCH($N1795,DATA_ASSET_CLASSIFICATION!$AA$8:$AA$13,0)),"Review"))</f>
        <v>Bucket 2 · Legacy</v>
      </c>
      <c r="P1795" s="350" t="str">
        <f>IF($B1795="Portfolio","Portfolio",IFERROR(INDEX(DATA_ASSET_CLASSIFICATION!$C$8:$C$24,MATCH($C1795,DATA_ASSET_CLASSIFICATION!$A$8:$A$24,0)),"Review"))</f>
        <v>Yes</v>
      </c>
      <c r="Q1795" s="350" t="str">
        <f t="shared" ca="1" si="55"/>
        <v>OK</v>
      </c>
    </row>
    <row r="1796" spans="1:17" ht="30">
      <c r="A1796" s="366" t="s">
        <v>3752</v>
      </c>
      <c r="B1796" s="366" t="s">
        <v>231</v>
      </c>
      <c r="C1796" s="348" t="str">
        <f>DATA_PROPERTY_MASTER!$A$10</f>
        <v>BLD_EA</v>
      </c>
      <c r="D1796" s="380">
        <f>'00_PORTFOLIO ROLLUP'!H$12</f>
        <v>2028</v>
      </c>
      <c r="E1796" s="366" t="s">
        <v>1683</v>
      </c>
      <c r="F1796" s="366" t="s">
        <v>25</v>
      </c>
      <c r="G1796" s="348" t="str">
        <f>"'"&amp;$C1796&amp;"'!$E$52:$Y$52"</f>
        <v>'BLD_EA'!$E$52:$Y$52</v>
      </c>
      <c r="H1796" s="381">
        <f ca="1">IF(IFERROR(INDEX(DATA_PROPERTY_MASTER!$E$5:$E$21,MATCH($C1796,DATA_PROPERTY_MASTER!$A$5:$A$21,0))="Yes",FALSE),IFERROR(INDEX(INDIRECT("'"&amp;$C1796&amp;"'!$E$52:$Y$52"),1,MATCH($D1796,INDIRECT("'"&amp;$C1796&amp;"'!$E$12:$Y$12"),0)),0),0)</f>
        <v>291202.74641435198</v>
      </c>
      <c r="I1796" s="366" t="s">
        <v>1685</v>
      </c>
      <c r="J1796" s="348" t="str">
        <f t="shared" ca="1" si="54"/>
        <v>OK</v>
      </c>
      <c r="K1796" s="366" t="s">
        <v>1710</v>
      </c>
      <c r="L1796" s="366" t="s">
        <v>2246</v>
      </c>
      <c r="M1796" s="350" t="str">
        <f>IF($B1796="Portfolio","Portfolio",IFERROR(INDEX(DATA_ASSET_CLASSIFICATION!$B$8:$B$24,MATCH($C1796,DATA_ASSET_CLASSIFICATION!$A$8:$A$24,0)),"Review"))</f>
        <v>Evergreen Apartments</v>
      </c>
      <c r="N1796" s="350" t="str">
        <f ca="1">IF($B1796="Portfolio","Portfolio",IFERROR(INDEX(DATA_ASSET_CLASSIFICATION!$U$8:$U$24,MATCH($C1796,DATA_ASSET_CLASSIFICATION!$A$8:$A$24,0)),"Review"))</f>
        <v>Refi Watch</v>
      </c>
      <c r="O1796" s="350" t="str">
        <f ca="1">IF($B1796="Portfolio","Portfolio",IFERROR(INDEX(DATA_ASSET_CLASSIFICATION!$AB$8:$AB$13,MATCH($N1796,DATA_ASSET_CLASSIFICATION!$AA$8:$AA$13,0)),"Review"))</f>
        <v>Bucket 2 · Legacy</v>
      </c>
      <c r="P1796" s="350" t="str">
        <f>IF($B1796="Portfolio","Portfolio",IFERROR(INDEX(DATA_ASSET_CLASSIFICATION!$C$8:$C$24,MATCH($C1796,DATA_ASSET_CLASSIFICATION!$A$8:$A$24,0)),"Review"))</f>
        <v>Yes</v>
      </c>
      <c r="Q1796" s="350" t="str">
        <f t="shared" ca="1" si="55"/>
        <v>OK</v>
      </c>
    </row>
    <row r="1797" spans="1:17" ht="30">
      <c r="A1797" s="366" t="s">
        <v>3753</v>
      </c>
      <c r="B1797" s="366" t="s">
        <v>231</v>
      </c>
      <c r="C1797" s="348" t="str">
        <f>DATA_PROPERTY_MASTER!$A$10</f>
        <v>BLD_EA</v>
      </c>
      <c r="D1797" s="380">
        <f>'00_PORTFOLIO ROLLUP'!H$12</f>
        <v>2028</v>
      </c>
      <c r="E1797" s="366" t="s">
        <v>1683</v>
      </c>
      <c r="F1797" s="366" t="s">
        <v>27</v>
      </c>
      <c r="G1797" s="348" t="str">
        <f>"'"&amp;$C1797&amp;"'!$E$54:$Y$54"</f>
        <v>'BLD_EA'!$E$54:$Y$54</v>
      </c>
      <c r="H1797" s="381">
        <f ca="1">IF(IFERROR(INDEX(DATA_PROPERTY_MASTER!$E$5:$E$21,MATCH($C1797,DATA_PROPERTY_MASTER!$A$5:$A$21,0))="Yes",FALSE),IFERROR(INDEX(INDIRECT("'"&amp;$C1797&amp;"'!$E$54:$Y$54"),1,MATCH($D1797,INDIRECT("'"&amp;$C1797&amp;"'!$E$12:$Y$12"),0)),0),0)</f>
        <v>174721.64784861117</v>
      </c>
      <c r="I1797" s="366" t="s">
        <v>1690</v>
      </c>
      <c r="J1797" s="348" t="str">
        <f t="shared" ref="J1797:J1860" ca="1" si="56">IF($F1797="Residual Funding Gap",IF($H1797&gt;0,"Funding Gap","OK"),IF(AND($F1797="Net Refinance Position",$H1797&lt;0),"Negative net refi position","OK"))</f>
        <v>OK</v>
      </c>
      <c r="K1797" s="366" t="s">
        <v>1714</v>
      </c>
      <c r="L1797" s="366" t="s">
        <v>2248</v>
      </c>
      <c r="M1797" s="350" t="str">
        <f>IF($B1797="Portfolio","Portfolio",IFERROR(INDEX(DATA_ASSET_CLASSIFICATION!$B$8:$B$24,MATCH($C1797,DATA_ASSET_CLASSIFICATION!$A$8:$A$24,0)),"Review"))</f>
        <v>Evergreen Apartments</v>
      </c>
      <c r="N1797" s="350" t="str">
        <f ca="1">IF($B1797="Portfolio","Portfolio",IFERROR(INDEX(DATA_ASSET_CLASSIFICATION!$U$8:$U$24,MATCH($C1797,DATA_ASSET_CLASSIFICATION!$A$8:$A$24,0)),"Review"))</f>
        <v>Refi Watch</v>
      </c>
      <c r="O1797" s="350" t="str">
        <f ca="1">IF($B1797="Portfolio","Portfolio",IFERROR(INDEX(DATA_ASSET_CLASSIFICATION!$AB$8:$AB$13,MATCH($N1797,DATA_ASSET_CLASSIFICATION!$AA$8:$AA$13,0)),"Review"))</f>
        <v>Bucket 2 · Legacy</v>
      </c>
      <c r="P1797" s="350" t="str">
        <f>IF($B1797="Portfolio","Portfolio",IFERROR(INDEX(DATA_ASSET_CLASSIFICATION!$C$8:$C$24,MATCH($C1797,DATA_ASSET_CLASSIFICATION!$A$8:$A$24,0)),"Review"))</f>
        <v>Yes</v>
      </c>
      <c r="Q1797" s="350" t="str">
        <f t="shared" ref="Q1797:Q1860" ca="1" si="57">IF(AND($B1797="Property",$F1797="Residual Funding Gap",$H1797&gt;0),"Property Funding Gap",IF($J1797&lt;&gt;"OK",$J1797,"OK"))</f>
        <v>OK</v>
      </c>
    </row>
    <row r="1798" spans="1:17" ht="30">
      <c r="A1798" s="366" t="s">
        <v>3754</v>
      </c>
      <c r="B1798" s="366" t="s">
        <v>231</v>
      </c>
      <c r="C1798" s="348" t="str">
        <f>DATA_PROPERTY_MASTER!$A$10</f>
        <v>BLD_EA</v>
      </c>
      <c r="D1798" s="380">
        <f>'00_PORTFOLIO ROLLUP'!H$12</f>
        <v>2028</v>
      </c>
      <c r="E1798" s="366" t="s">
        <v>1683</v>
      </c>
      <c r="F1798" s="366" t="s">
        <v>29</v>
      </c>
      <c r="G1798" s="348" t="str">
        <f>"'"&amp;$C1798&amp;"'!$E$56:$Y$56"</f>
        <v>'BLD_EA'!$E$56:$Y$56</v>
      </c>
      <c r="H1798" s="381">
        <f ca="1">IF(IFERROR(INDEX(DATA_PROPERTY_MASTER!$E$5:$E$21,MATCH($C1798,DATA_PROPERTY_MASTER!$A$5:$A$21,0))="Yes",FALSE),IFERROR(INDEX(INDIRECT("'"&amp;$C1798&amp;"'!$E$56:$Y$56"),1,MATCH($D1798,INDIRECT("'"&amp;$C1798&amp;"'!$E$12:$Y$12"),0)),0),0)</f>
        <v>116481.0985657408</v>
      </c>
      <c r="I1798" s="366" t="s">
        <v>1685</v>
      </c>
      <c r="J1798" s="348" t="str">
        <f t="shared" ca="1" si="56"/>
        <v>OK</v>
      </c>
      <c r="K1798" s="366" t="s">
        <v>1718</v>
      </c>
      <c r="L1798" s="366" t="s">
        <v>2250</v>
      </c>
      <c r="M1798" s="350" t="str">
        <f>IF($B1798="Portfolio","Portfolio",IFERROR(INDEX(DATA_ASSET_CLASSIFICATION!$B$8:$B$24,MATCH($C1798,DATA_ASSET_CLASSIFICATION!$A$8:$A$24,0)),"Review"))</f>
        <v>Evergreen Apartments</v>
      </c>
      <c r="N1798" s="350" t="str">
        <f ca="1">IF($B1798="Portfolio","Portfolio",IFERROR(INDEX(DATA_ASSET_CLASSIFICATION!$U$8:$U$24,MATCH($C1798,DATA_ASSET_CLASSIFICATION!$A$8:$A$24,0)),"Review"))</f>
        <v>Refi Watch</v>
      </c>
      <c r="O1798" s="350" t="str">
        <f ca="1">IF($B1798="Portfolio","Portfolio",IFERROR(INDEX(DATA_ASSET_CLASSIFICATION!$AB$8:$AB$13,MATCH($N1798,DATA_ASSET_CLASSIFICATION!$AA$8:$AA$13,0)),"Review"))</f>
        <v>Bucket 2 · Legacy</v>
      </c>
      <c r="P1798" s="350" t="str">
        <f>IF($B1798="Portfolio","Portfolio",IFERROR(INDEX(DATA_ASSET_CLASSIFICATION!$C$8:$C$24,MATCH($C1798,DATA_ASSET_CLASSIFICATION!$A$8:$A$24,0)),"Review"))</f>
        <v>Yes</v>
      </c>
      <c r="Q1798" s="350" t="str">
        <f t="shared" ca="1" si="57"/>
        <v>OK</v>
      </c>
    </row>
    <row r="1799" spans="1:17" ht="30">
      <c r="A1799" s="366" t="s">
        <v>3755</v>
      </c>
      <c r="B1799" s="366" t="s">
        <v>231</v>
      </c>
      <c r="C1799" s="348" t="str">
        <f>DATA_PROPERTY_MASTER!$A$10</f>
        <v>BLD_EA</v>
      </c>
      <c r="D1799" s="380">
        <f>'00_PORTFOLIO ROLLUP'!H$12</f>
        <v>2028</v>
      </c>
      <c r="E1799" s="366" t="s">
        <v>1721</v>
      </c>
      <c r="F1799" s="366" t="s">
        <v>31</v>
      </c>
      <c r="G1799" s="348" t="str">
        <f>"'"&amp;$C1799&amp;"'!$E$61:$Y$61"</f>
        <v>'BLD_EA'!$E$61:$Y$61</v>
      </c>
      <c r="H1799" s="381">
        <f ca="1">IF(IFERROR(INDEX(DATA_PROPERTY_MASTER!$E$5:$E$21,MATCH($C1799,DATA_PROPERTY_MASTER!$A$5:$A$21,0))="Yes",FALSE),IFERROR(INDEX(INDIRECT("'"&amp;$C1799&amp;"'!$E$61:$Y$61"),1,MATCH($D1799,INDIRECT("'"&amp;$C1799&amp;"'!$E$12:$Y$12"),0)),0),0)</f>
        <v>0</v>
      </c>
      <c r="I1799" s="366" t="s">
        <v>1690</v>
      </c>
      <c r="J1799" s="348" t="str">
        <f t="shared" ca="1" si="56"/>
        <v>OK</v>
      </c>
      <c r="K1799" s="366" t="s">
        <v>1723</v>
      </c>
      <c r="L1799" s="366" t="s">
        <v>2252</v>
      </c>
      <c r="M1799" s="350" t="str">
        <f>IF($B1799="Portfolio","Portfolio",IFERROR(INDEX(DATA_ASSET_CLASSIFICATION!$B$8:$B$24,MATCH($C1799,DATA_ASSET_CLASSIFICATION!$A$8:$A$24,0)),"Review"))</f>
        <v>Evergreen Apartments</v>
      </c>
      <c r="N1799" s="350" t="str">
        <f ca="1">IF($B1799="Portfolio","Portfolio",IFERROR(INDEX(DATA_ASSET_CLASSIFICATION!$U$8:$U$24,MATCH($C1799,DATA_ASSET_CLASSIFICATION!$A$8:$A$24,0)),"Review"))</f>
        <v>Refi Watch</v>
      </c>
      <c r="O1799" s="350" t="str">
        <f ca="1">IF($B1799="Portfolio","Portfolio",IFERROR(INDEX(DATA_ASSET_CLASSIFICATION!$AB$8:$AB$13,MATCH($N1799,DATA_ASSET_CLASSIFICATION!$AA$8:$AA$13,0)),"Review"))</f>
        <v>Bucket 2 · Legacy</v>
      </c>
      <c r="P1799" s="350" t="str">
        <f>IF($B1799="Portfolio","Portfolio",IFERROR(INDEX(DATA_ASSET_CLASSIFICATION!$C$8:$C$24,MATCH($C1799,DATA_ASSET_CLASSIFICATION!$A$8:$A$24,0)),"Review"))</f>
        <v>Yes</v>
      </c>
      <c r="Q1799" s="350" t="str">
        <f t="shared" ca="1" si="57"/>
        <v>OK</v>
      </c>
    </row>
    <row r="1800" spans="1:17" ht="30">
      <c r="A1800" s="366" t="s">
        <v>3756</v>
      </c>
      <c r="B1800" s="366" t="s">
        <v>231</v>
      </c>
      <c r="C1800" s="348" t="str">
        <f>DATA_PROPERTY_MASTER!$A$10</f>
        <v>BLD_EA</v>
      </c>
      <c r="D1800" s="380">
        <f>'00_PORTFOLIO ROLLUP'!H$12</f>
        <v>2028</v>
      </c>
      <c r="E1800" s="366" t="s">
        <v>1721</v>
      </c>
      <c r="F1800" s="366" t="s">
        <v>33</v>
      </c>
      <c r="G1800" s="348" t="str">
        <f>"'"&amp;$C1800&amp;"'!$E$62:$Y$62"</f>
        <v>'BLD_EA'!$E$62:$Y$62</v>
      </c>
      <c r="H1800" s="381">
        <f ca="1">IF(IFERROR(INDEX(DATA_PROPERTY_MASTER!$E$5:$E$21,MATCH($C1800,DATA_PROPERTY_MASTER!$A$5:$A$21,0))="Yes",FALSE),IFERROR(INDEX(INDIRECT("'"&amp;$C1800&amp;"'!$E$62:$Y$62"),1,MATCH($D1800,INDIRECT("'"&amp;$C1800&amp;"'!$E$12:$Y$12"),0)),0),0)</f>
        <v>0</v>
      </c>
      <c r="I1800" s="366" t="s">
        <v>1685</v>
      </c>
      <c r="J1800" s="348" t="str">
        <f t="shared" ca="1" si="56"/>
        <v>OK</v>
      </c>
      <c r="K1800" s="366" t="s">
        <v>1727</v>
      </c>
      <c r="L1800" s="366" t="s">
        <v>2254</v>
      </c>
      <c r="M1800" s="350" t="str">
        <f>IF($B1800="Portfolio","Portfolio",IFERROR(INDEX(DATA_ASSET_CLASSIFICATION!$B$8:$B$24,MATCH($C1800,DATA_ASSET_CLASSIFICATION!$A$8:$A$24,0)),"Review"))</f>
        <v>Evergreen Apartments</v>
      </c>
      <c r="N1800" s="350" t="str">
        <f ca="1">IF($B1800="Portfolio","Portfolio",IFERROR(INDEX(DATA_ASSET_CLASSIFICATION!$U$8:$U$24,MATCH($C1800,DATA_ASSET_CLASSIFICATION!$A$8:$A$24,0)),"Review"))</f>
        <v>Refi Watch</v>
      </c>
      <c r="O1800" s="350" t="str">
        <f ca="1">IF($B1800="Portfolio","Portfolio",IFERROR(INDEX(DATA_ASSET_CLASSIFICATION!$AB$8:$AB$13,MATCH($N1800,DATA_ASSET_CLASSIFICATION!$AA$8:$AA$13,0)),"Review"))</f>
        <v>Bucket 2 · Legacy</v>
      </c>
      <c r="P1800" s="350" t="str">
        <f>IF($B1800="Portfolio","Portfolio",IFERROR(INDEX(DATA_ASSET_CLASSIFICATION!$C$8:$C$24,MATCH($C1800,DATA_ASSET_CLASSIFICATION!$A$8:$A$24,0)),"Review"))</f>
        <v>Yes</v>
      </c>
      <c r="Q1800" s="350" t="str">
        <f t="shared" ca="1" si="57"/>
        <v>OK</v>
      </c>
    </row>
    <row r="1801" spans="1:17" ht="30">
      <c r="A1801" s="366" t="s">
        <v>3757</v>
      </c>
      <c r="B1801" s="366" t="s">
        <v>231</v>
      </c>
      <c r="C1801" s="348" t="str">
        <f>DATA_PROPERTY_MASTER!$A$10</f>
        <v>BLD_EA</v>
      </c>
      <c r="D1801" s="380">
        <f>'00_PORTFOLIO ROLLUP'!H$12</f>
        <v>2028</v>
      </c>
      <c r="E1801" s="366" t="s">
        <v>1721</v>
      </c>
      <c r="F1801" s="366" t="s">
        <v>35</v>
      </c>
      <c r="G1801" s="348" t="str">
        <f>"'"&amp;$C1801&amp;"'!$E$63:$Y$63"</f>
        <v>'BLD_EA'!$E$63:$Y$63</v>
      </c>
      <c r="H1801" s="381">
        <f ca="1">IF(IFERROR(INDEX(DATA_PROPERTY_MASTER!$E$5:$E$21,MATCH($C1801,DATA_PROPERTY_MASTER!$A$5:$A$21,0))="Yes",FALSE),IFERROR(INDEX(INDIRECT("'"&amp;$C1801&amp;"'!$E$63:$Y$63"),1,MATCH($D1801,INDIRECT("'"&amp;$C1801&amp;"'!$E$12:$Y$12"),0)),0),0)</f>
        <v>0</v>
      </c>
      <c r="I1801" s="366" t="s">
        <v>1731</v>
      </c>
      <c r="J1801" s="348" t="str">
        <f t="shared" ca="1" si="56"/>
        <v>OK</v>
      </c>
      <c r="K1801" s="366" t="s">
        <v>1732</v>
      </c>
      <c r="L1801" s="366" t="s">
        <v>2256</v>
      </c>
      <c r="M1801" s="350" t="str">
        <f>IF($B1801="Portfolio","Portfolio",IFERROR(INDEX(DATA_ASSET_CLASSIFICATION!$B$8:$B$24,MATCH($C1801,DATA_ASSET_CLASSIFICATION!$A$8:$A$24,0)),"Review"))</f>
        <v>Evergreen Apartments</v>
      </c>
      <c r="N1801" s="350" t="str">
        <f ca="1">IF($B1801="Portfolio","Portfolio",IFERROR(INDEX(DATA_ASSET_CLASSIFICATION!$U$8:$U$24,MATCH($C1801,DATA_ASSET_CLASSIFICATION!$A$8:$A$24,0)),"Review"))</f>
        <v>Refi Watch</v>
      </c>
      <c r="O1801" s="350" t="str">
        <f ca="1">IF($B1801="Portfolio","Portfolio",IFERROR(INDEX(DATA_ASSET_CLASSIFICATION!$AB$8:$AB$13,MATCH($N1801,DATA_ASSET_CLASSIFICATION!$AA$8:$AA$13,0)),"Review"))</f>
        <v>Bucket 2 · Legacy</v>
      </c>
      <c r="P1801" s="350" t="str">
        <f>IF($B1801="Portfolio","Portfolio",IFERROR(INDEX(DATA_ASSET_CLASSIFICATION!$C$8:$C$24,MATCH($C1801,DATA_ASSET_CLASSIFICATION!$A$8:$A$24,0)),"Review"))</f>
        <v>Yes</v>
      </c>
      <c r="Q1801" s="350" t="str">
        <f t="shared" ca="1" si="57"/>
        <v>OK</v>
      </c>
    </row>
    <row r="1802" spans="1:17" ht="30">
      <c r="A1802" s="366" t="s">
        <v>3758</v>
      </c>
      <c r="B1802" s="366" t="s">
        <v>231</v>
      </c>
      <c r="C1802" s="348" t="str">
        <f>DATA_PROPERTY_MASTER!$A$10</f>
        <v>BLD_EA</v>
      </c>
      <c r="D1802" s="380">
        <f>'00_PORTFOLIO ROLLUP'!H$12</f>
        <v>2028</v>
      </c>
      <c r="E1802" s="366" t="s">
        <v>1721</v>
      </c>
      <c r="F1802" s="366" t="s">
        <v>37</v>
      </c>
      <c r="G1802" s="348" t="str">
        <f>"'"&amp;$C1802&amp;"'!$E$63:$Y$63"</f>
        <v>'BLD_EA'!$E$63:$Y$63</v>
      </c>
      <c r="H1802" s="381">
        <f ca="1">IF(IFERROR(INDEX(DATA_PROPERTY_MASTER!$E$5:$E$21,MATCH($C1802,DATA_PROPERTY_MASTER!$A$5:$A$21,0))="Yes",FALSE),MAX(IFERROR(INDEX(INDIRECT("'"&amp;$C1802&amp;"'!$E$63:$Y$63"),1,MATCH($D1802,INDIRECT("'"&amp;$C1802&amp;"'!$E$12:$Y$12"),0)),0),0),0)</f>
        <v>0</v>
      </c>
      <c r="I1802" s="366" t="s">
        <v>1685</v>
      </c>
      <c r="J1802" s="348" t="str">
        <f t="shared" ca="1" si="56"/>
        <v>OK</v>
      </c>
      <c r="K1802" s="366" t="s">
        <v>1735</v>
      </c>
      <c r="L1802" s="366" t="s">
        <v>2258</v>
      </c>
      <c r="M1802" s="350" t="str">
        <f>IF($B1802="Portfolio","Portfolio",IFERROR(INDEX(DATA_ASSET_CLASSIFICATION!$B$8:$B$24,MATCH($C1802,DATA_ASSET_CLASSIFICATION!$A$8:$A$24,0)),"Review"))</f>
        <v>Evergreen Apartments</v>
      </c>
      <c r="N1802" s="350" t="str">
        <f ca="1">IF($B1802="Portfolio","Portfolio",IFERROR(INDEX(DATA_ASSET_CLASSIFICATION!$U$8:$U$24,MATCH($C1802,DATA_ASSET_CLASSIFICATION!$A$8:$A$24,0)),"Review"))</f>
        <v>Refi Watch</v>
      </c>
      <c r="O1802" s="350" t="str">
        <f ca="1">IF($B1802="Portfolio","Portfolio",IFERROR(INDEX(DATA_ASSET_CLASSIFICATION!$AB$8:$AB$13,MATCH($N1802,DATA_ASSET_CLASSIFICATION!$AA$8:$AA$13,0)),"Review"))</f>
        <v>Bucket 2 · Legacy</v>
      </c>
      <c r="P1802" s="350" t="str">
        <f>IF($B1802="Portfolio","Portfolio",IFERROR(INDEX(DATA_ASSET_CLASSIFICATION!$C$8:$C$24,MATCH($C1802,DATA_ASSET_CLASSIFICATION!$A$8:$A$24,0)),"Review"))</f>
        <v>Yes</v>
      </c>
      <c r="Q1802" s="350" t="str">
        <f t="shared" ca="1" si="57"/>
        <v>OK</v>
      </c>
    </row>
    <row r="1803" spans="1:17" ht="30">
      <c r="A1803" s="366" t="s">
        <v>3759</v>
      </c>
      <c r="B1803" s="366" t="s">
        <v>231</v>
      </c>
      <c r="C1803" s="348" t="str">
        <f>DATA_PROPERTY_MASTER!$A$10</f>
        <v>BLD_EA</v>
      </c>
      <c r="D1803" s="380">
        <f>'00_PORTFOLIO ROLLUP'!H$12</f>
        <v>2028</v>
      </c>
      <c r="E1803" s="366" t="s">
        <v>1721</v>
      </c>
      <c r="F1803" s="366" t="s">
        <v>39</v>
      </c>
      <c r="G1803" s="348" t="str">
        <f>"'"&amp;$C1803&amp;"'!$E$63:$Y$63"</f>
        <v>'BLD_EA'!$E$63:$Y$63</v>
      </c>
      <c r="H1803" s="381">
        <f ca="1">IF(IFERROR(INDEX(DATA_PROPERTY_MASTER!$E$5:$E$21,MATCH($C1803,DATA_PROPERTY_MASTER!$A$5:$A$21,0))="Yes",FALSE),MAX(-IFERROR(INDEX(INDIRECT("'"&amp;$C1803&amp;"'!$E$63:$Y$63"),1,MATCH($D1803,INDIRECT("'"&amp;$C1803&amp;"'!$E$12:$Y$12"),0)),0),0),0)</f>
        <v>0</v>
      </c>
      <c r="I1803" s="366" t="s">
        <v>1690</v>
      </c>
      <c r="J1803" s="348" t="str">
        <f t="shared" ca="1" si="56"/>
        <v>OK</v>
      </c>
      <c r="K1803" s="366" t="s">
        <v>1738</v>
      </c>
      <c r="L1803" s="366" t="s">
        <v>2260</v>
      </c>
      <c r="M1803" s="350" t="str">
        <f>IF($B1803="Portfolio","Portfolio",IFERROR(INDEX(DATA_ASSET_CLASSIFICATION!$B$8:$B$24,MATCH($C1803,DATA_ASSET_CLASSIFICATION!$A$8:$A$24,0)),"Review"))</f>
        <v>Evergreen Apartments</v>
      </c>
      <c r="N1803" s="350" t="str">
        <f ca="1">IF($B1803="Portfolio","Portfolio",IFERROR(INDEX(DATA_ASSET_CLASSIFICATION!$U$8:$U$24,MATCH($C1803,DATA_ASSET_CLASSIFICATION!$A$8:$A$24,0)),"Review"))</f>
        <v>Refi Watch</v>
      </c>
      <c r="O1803" s="350" t="str">
        <f ca="1">IF($B1803="Portfolio","Portfolio",IFERROR(INDEX(DATA_ASSET_CLASSIFICATION!$AB$8:$AB$13,MATCH($N1803,DATA_ASSET_CLASSIFICATION!$AA$8:$AA$13,0)),"Review"))</f>
        <v>Bucket 2 · Legacy</v>
      </c>
      <c r="P1803" s="350" t="str">
        <f>IF($B1803="Portfolio","Portfolio",IFERROR(INDEX(DATA_ASSET_CLASSIFICATION!$C$8:$C$24,MATCH($C1803,DATA_ASSET_CLASSIFICATION!$A$8:$A$24,0)),"Review"))</f>
        <v>Yes</v>
      </c>
      <c r="Q1803" s="350" t="str">
        <f t="shared" ca="1" si="57"/>
        <v>OK</v>
      </c>
    </row>
    <row r="1804" spans="1:17" ht="30">
      <c r="A1804" s="366" t="s">
        <v>3760</v>
      </c>
      <c r="B1804" s="366" t="s">
        <v>231</v>
      </c>
      <c r="C1804" s="348" t="str">
        <f>DATA_PROPERTY_MASTER!$A$10</f>
        <v>BLD_EA</v>
      </c>
      <c r="D1804" s="380">
        <f>'00_PORTFOLIO ROLLUP'!H$12</f>
        <v>2028</v>
      </c>
      <c r="E1804" s="366" t="s">
        <v>1741</v>
      </c>
      <c r="F1804" s="366" t="s">
        <v>41</v>
      </c>
      <c r="G1804" s="348" t="str">
        <f>"'"&amp;$C1804&amp;"'!rows 56 + positive row 63"</f>
        <v>'BLD_EA'!rows 56 + positive row 63</v>
      </c>
      <c r="H1804" s="381">
        <f ca="1">IF(IFERROR(INDEX(DATA_PROPERTY_MASTER!$E$5:$E$21,MATCH($C1804,DATA_PROPERTY_MASTER!$A$5:$A$21,0))="Yes",FALSE),IFERROR(INDEX(INDIRECT("'"&amp;$C1804&amp;"'!$E$56:$Y$56"),1,MATCH($D1804,INDIRECT("'"&amp;$C1804&amp;"'!$E$12:$Y$12"),0)),0)+MAX(IFERROR(INDEX(INDIRECT("'"&amp;$C1804&amp;"'!$E$63:$Y$63"),1,MATCH($D1804,INDIRECT("'"&amp;$C1804&amp;"'!$E$12:$Y$12"),0)),0),0),0)</f>
        <v>116481.0985657408</v>
      </c>
      <c r="I1804" s="366" t="s">
        <v>1685</v>
      </c>
      <c r="J1804" s="348" t="str">
        <f t="shared" ca="1" si="56"/>
        <v>OK</v>
      </c>
      <c r="K1804" s="366" t="s">
        <v>1742</v>
      </c>
      <c r="L1804" s="366" t="s">
        <v>2262</v>
      </c>
      <c r="M1804" s="350" t="str">
        <f>IF($B1804="Portfolio","Portfolio",IFERROR(INDEX(DATA_ASSET_CLASSIFICATION!$B$8:$B$24,MATCH($C1804,DATA_ASSET_CLASSIFICATION!$A$8:$A$24,0)),"Review"))</f>
        <v>Evergreen Apartments</v>
      </c>
      <c r="N1804" s="350" t="str">
        <f ca="1">IF($B1804="Portfolio","Portfolio",IFERROR(INDEX(DATA_ASSET_CLASSIFICATION!$U$8:$U$24,MATCH($C1804,DATA_ASSET_CLASSIFICATION!$A$8:$A$24,0)),"Review"))</f>
        <v>Refi Watch</v>
      </c>
      <c r="O1804" s="350" t="str">
        <f ca="1">IF($B1804="Portfolio","Portfolio",IFERROR(INDEX(DATA_ASSET_CLASSIFICATION!$AB$8:$AB$13,MATCH($N1804,DATA_ASSET_CLASSIFICATION!$AA$8:$AA$13,0)),"Review"))</f>
        <v>Bucket 2 · Legacy</v>
      </c>
      <c r="P1804" s="350" t="str">
        <f>IF($B1804="Portfolio","Portfolio",IFERROR(INDEX(DATA_ASSET_CLASSIFICATION!$C$8:$C$24,MATCH($C1804,DATA_ASSET_CLASSIFICATION!$A$8:$A$24,0)),"Review"))</f>
        <v>Yes</v>
      </c>
      <c r="Q1804" s="350" t="str">
        <f t="shared" ca="1" si="57"/>
        <v>OK</v>
      </c>
    </row>
    <row r="1805" spans="1:17" ht="30">
      <c r="A1805" s="366" t="s">
        <v>3761</v>
      </c>
      <c r="B1805" s="366" t="s">
        <v>231</v>
      </c>
      <c r="C1805" s="348" t="str">
        <f>DATA_PROPERTY_MASTER!$A$10</f>
        <v>BLD_EA</v>
      </c>
      <c r="D1805" s="380">
        <f>'00_PORTFOLIO ROLLUP'!H$12</f>
        <v>2028</v>
      </c>
      <c r="E1805" s="366" t="s">
        <v>1741</v>
      </c>
      <c r="F1805" s="366" t="s">
        <v>43</v>
      </c>
      <c r="G1805" s="348" t="str">
        <f>"'"&amp;$C1805&amp;"'!$E$68:$Y$68"</f>
        <v>'BLD_EA'!$E$68:$Y$68</v>
      </c>
      <c r="H1805" s="381">
        <f ca="1">IF(IFERROR(INDEX(DATA_PROPERTY_MASTER!$E$5:$E$21,MATCH($C1805,DATA_PROPERTY_MASTER!$A$5:$A$21,0))="Yes",FALSE),IFERROR(INDEX(INDIRECT("'"&amp;$C1805&amp;"'!$E$68:$Y$68"),1,MATCH($D1805,INDIRECT("'"&amp;$C1805&amp;"'!$E$12:$Y$12"),0)),0),0)</f>
        <v>116481.0985657408</v>
      </c>
      <c r="I1805" s="366" t="s">
        <v>1731</v>
      </c>
      <c r="J1805" s="348" t="str">
        <f t="shared" ca="1" si="56"/>
        <v>OK</v>
      </c>
      <c r="K1805" s="366" t="s">
        <v>1746</v>
      </c>
      <c r="L1805" s="366" t="s">
        <v>2264</v>
      </c>
      <c r="M1805" s="350" t="str">
        <f>IF($B1805="Portfolio","Portfolio",IFERROR(INDEX(DATA_ASSET_CLASSIFICATION!$B$8:$B$24,MATCH($C1805,DATA_ASSET_CLASSIFICATION!$A$8:$A$24,0)),"Review"))</f>
        <v>Evergreen Apartments</v>
      </c>
      <c r="N1805" s="350" t="str">
        <f ca="1">IF($B1805="Portfolio","Portfolio",IFERROR(INDEX(DATA_ASSET_CLASSIFICATION!$U$8:$U$24,MATCH($C1805,DATA_ASSET_CLASSIFICATION!$A$8:$A$24,0)),"Review"))</f>
        <v>Refi Watch</v>
      </c>
      <c r="O1805" s="350" t="str">
        <f ca="1">IF($B1805="Portfolio","Portfolio",IFERROR(INDEX(DATA_ASSET_CLASSIFICATION!$AB$8:$AB$13,MATCH($N1805,DATA_ASSET_CLASSIFICATION!$AA$8:$AA$13,0)),"Review"))</f>
        <v>Bucket 2 · Legacy</v>
      </c>
      <c r="P1805" s="350" t="str">
        <f>IF($B1805="Portfolio","Portfolio",IFERROR(INDEX(DATA_ASSET_CLASSIFICATION!$C$8:$C$24,MATCH($C1805,DATA_ASSET_CLASSIFICATION!$A$8:$A$24,0)),"Review"))</f>
        <v>Yes</v>
      </c>
      <c r="Q1805" s="350" t="str">
        <f t="shared" ca="1" si="57"/>
        <v>OK</v>
      </c>
    </row>
    <row r="1806" spans="1:17" ht="30">
      <c r="A1806" s="366" t="s">
        <v>3762</v>
      </c>
      <c r="B1806" s="366" t="s">
        <v>231</v>
      </c>
      <c r="C1806" s="348" t="str">
        <f>DATA_PROPERTY_MASTER!$A$10</f>
        <v>BLD_EA</v>
      </c>
      <c r="D1806" s="380">
        <f>'00_PORTFOLIO ROLLUP'!H$12</f>
        <v>2028</v>
      </c>
      <c r="E1806" s="366" t="s">
        <v>1741</v>
      </c>
      <c r="F1806" s="366" t="s">
        <v>1749</v>
      </c>
      <c r="G1806" s="348" t="str">
        <f>"'"&amp;$C1806&amp;"'!rows 56, 63, 68"</f>
        <v>'BLD_EA'!rows 56, 63, 68</v>
      </c>
      <c r="H1806" s="381">
        <f ca="1">IF(IFERROR(INDEX(DATA_PROPERTY_MASTER!$E$5:$E$21,MATCH($C1806,DATA_PROPERTY_MASTER!$A$5:$A$21,0))="Yes",FALSE),(IFERROR(INDEX(INDIRECT("'"&amp;$C1806&amp;"'!$E$56:$Y$56"),1,MATCH($D1806,INDIRECT("'"&amp;$C1806&amp;"'!$E$12:$Y$12"),0)),0)+MAX(IFERROR(INDEX(INDIRECT("'"&amp;$C1806&amp;"'!$E$63:$Y$63"),1,MATCH($D1806,INDIRECT("'"&amp;$C1806&amp;"'!$E$12:$Y$12"),0)),0),0))-(IFERROR(INDEX(INDIRECT("'"&amp;$C1806&amp;"'!$E$68:$Y$68"),1,MATCH($D1806,INDIRECT("'"&amp;$C1806&amp;"'!$E$12:$Y$12"),0)),0)),0)</f>
        <v>0</v>
      </c>
      <c r="I1806" s="366" t="s">
        <v>1750</v>
      </c>
      <c r="J1806" s="348" t="str">
        <f t="shared" ca="1" si="56"/>
        <v>OK</v>
      </c>
      <c r="K1806" s="366" t="s">
        <v>1751</v>
      </c>
      <c r="L1806" s="366" t="s">
        <v>2266</v>
      </c>
      <c r="M1806" s="350" t="str">
        <f>IF($B1806="Portfolio","Portfolio",IFERROR(INDEX(DATA_ASSET_CLASSIFICATION!$B$8:$B$24,MATCH($C1806,DATA_ASSET_CLASSIFICATION!$A$8:$A$24,0)),"Review"))</f>
        <v>Evergreen Apartments</v>
      </c>
      <c r="N1806" s="350" t="str">
        <f ca="1">IF($B1806="Portfolio","Portfolio",IFERROR(INDEX(DATA_ASSET_CLASSIFICATION!$U$8:$U$24,MATCH($C1806,DATA_ASSET_CLASSIFICATION!$A$8:$A$24,0)),"Review"))</f>
        <v>Refi Watch</v>
      </c>
      <c r="O1806" s="350" t="str">
        <f ca="1">IF($B1806="Portfolio","Portfolio",IFERROR(INDEX(DATA_ASSET_CLASSIFICATION!$AB$8:$AB$13,MATCH($N1806,DATA_ASSET_CLASSIFICATION!$AA$8:$AA$13,0)),"Review"))</f>
        <v>Bucket 2 · Legacy</v>
      </c>
      <c r="P1806" s="350" t="str">
        <f>IF($B1806="Portfolio","Portfolio",IFERROR(INDEX(DATA_ASSET_CLASSIFICATION!$C$8:$C$24,MATCH($C1806,DATA_ASSET_CLASSIFICATION!$A$8:$A$24,0)),"Review"))</f>
        <v>Yes</v>
      </c>
      <c r="Q1806" s="350" t="str">
        <f t="shared" ca="1" si="57"/>
        <v>OK</v>
      </c>
    </row>
    <row r="1807" spans="1:17" ht="30">
      <c r="A1807" s="366" t="s">
        <v>3763</v>
      </c>
      <c r="B1807" s="366" t="s">
        <v>231</v>
      </c>
      <c r="C1807" s="348" t="str">
        <f>DATA_PROPERTY_MASTER!$A$10</f>
        <v>BLD_EA</v>
      </c>
      <c r="D1807" s="380">
        <f>'00_PORTFOLIO ROLLUP'!I$12</f>
        <v>2029</v>
      </c>
      <c r="E1807" s="366" t="s">
        <v>1683</v>
      </c>
      <c r="F1807" s="366" t="s">
        <v>341</v>
      </c>
      <c r="G1807" s="348" t="str">
        <f>"'"&amp;$C1807&amp;"'!$E$24:$Y$24"</f>
        <v>'BLD_EA'!$E$24:$Y$24</v>
      </c>
      <c r="H1807" s="381">
        <f ca="1">IF(IFERROR(INDEX(DATA_PROPERTY_MASTER!$E$5:$E$21,MATCH($C1807,DATA_PROPERTY_MASTER!$A$5:$A$21,0))="Yes",FALSE),IFERROR(INDEX(INDIRECT("'"&amp;$C1807&amp;"'!$E$24:$Y$24"),1,MATCH($D1807,INDIRECT("'"&amp;$C1807&amp;"'!$E$12:$Y$12"),0)),0),0)</f>
        <v>1075295.3535448792</v>
      </c>
      <c r="I1807" s="366" t="s">
        <v>1685</v>
      </c>
      <c r="J1807" s="348" t="str">
        <f t="shared" ca="1" si="56"/>
        <v>OK</v>
      </c>
      <c r="K1807" s="366" t="s">
        <v>1686</v>
      </c>
      <c r="L1807" s="366" t="s">
        <v>2234</v>
      </c>
      <c r="M1807" s="350" t="str">
        <f>IF($B1807="Portfolio","Portfolio",IFERROR(INDEX(DATA_ASSET_CLASSIFICATION!$B$8:$B$24,MATCH($C1807,DATA_ASSET_CLASSIFICATION!$A$8:$A$24,0)),"Review"))</f>
        <v>Evergreen Apartments</v>
      </c>
      <c r="N1807" s="350" t="str">
        <f ca="1">IF($B1807="Portfolio","Portfolio",IFERROR(INDEX(DATA_ASSET_CLASSIFICATION!$U$8:$U$24,MATCH($C1807,DATA_ASSET_CLASSIFICATION!$A$8:$A$24,0)),"Review"))</f>
        <v>Refi Watch</v>
      </c>
      <c r="O1807" s="350" t="str">
        <f ca="1">IF($B1807="Portfolio","Portfolio",IFERROR(INDEX(DATA_ASSET_CLASSIFICATION!$AB$8:$AB$13,MATCH($N1807,DATA_ASSET_CLASSIFICATION!$AA$8:$AA$13,0)),"Review"))</f>
        <v>Bucket 2 · Legacy</v>
      </c>
      <c r="P1807" s="350" t="str">
        <f>IF($B1807="Portfolio","Portfolio",IFERROR(INDEX(DATA_ASSET_CLASSIFICATION!$C$8:$C$24,MATCH($C1807,DATA_ASSET_CLASSIFICATION!$A$8:$A$24,0)),"Review"))</f>
        <v>Yes</v>
      </c>
      <c r="Q1807" s="350" t="str">
        <f t="shared" ca="1" si="57"/>
        <v>OK</v>
      </c>
    </row>
    <row r="1808" spans="1:17" ht="30">
      <c r="A1808" s="366" t="s">
        <v>3764</v>
      </c>
      <c r="B1808" s="366" t="s">
        <v>231</v>
      </c>
      <c r="C1808" s="348" t="str">
        <f>DATA_PROPERTY_MASTER!$A$10</f>
        <v>BLD_EA</v>
      </c>
      <c r="D1808" s="380">
        <f>'00_PORTFOLIO ROLLUP'!I$12</f>
        <v>2029</v>
      </c>
      <c r="E1808" s="366" t="s">
        <v>1683</v>
      </c>
      <c r="F1808" s="366" t="s">
        <v>355</v>
      </c>
      <c r="G1808" s="348" t="str">
        <f>"'"&amp;$C1808&amp;"'!$E$39:$Y$39"</f>
        <v>'BLD_EA'!$E$39:$Y$39</v>
      </c>
      <c r="H1808" s="381">
        <f ca="1">IF(IFERROR(INDEX(DATA_PROPERTY_MASTER!$E$5:$E$21,MATCH($C1808,DATA_PROPERTY_MASTER!$A$5:$A$21,0))="Yes",FALSE),IFERROR(INDEX(INDIRECT("'"&amp;$C1808&amp;"'!$E$39:$Y$39"),1,MATCH($D1808,INDIRECT("'"&amp;$C1808&amp;"'!$E$12:$Y$12"),0)),0),0)</f>
        <v>483775.11989248008</v>
      </c>
      <c r="I1808" s="366" t="s">
        <v>1690</v>
      </c>
      <c r="J1808" s="348" t="str">
        <f t="shared" ca="1" si="56"/>
        <v>OK</v>
      </c>
      <c r="K1808" s="366" t="s">
        <v>1686</v>
      </c>
      <c r="L1808" s="366" t="s">
        <v>2236</v>
      </c>
      <c r="M1808" s="350" t="str">
        <f>IF($B1808="Portfolio","Portfolio",IFERROR(INDEX(DATA_ASSET_CLASSIFICATION!$B$8:$B$24,MATCH($C1808,DATA_ASSET_CLASSIFICATION!$A$8:$A$24,0)),"Review"))</f>
        <v>Evergreen Apartments</v>
      </c>
      <c r="N1808" s="350" t="str">
        <f ca="1">IF($B1808="Portfolio","Portfolio",IFERROR(INDEX(DATA_ASSET_CLASSIFICATION!$U$8:$U$24,MATCH($C1808,DATA_ASSET_CLASSIFICATION!$A$8:$A$24,0)),"Review"))</f>
        <v>Refi Watch</v>
      </c>
      <c r="O1808" s="350" t="str">
        <f ca="1">IF($B1808="Portfolio","Portfolio",IFERROR(INDEX(DATA_ASSET_CLASSIFICATION!$AB$8:$AB$13,MATCH($N1808,DATA_ASSET_CLASSIFICATION!$AA$8:$AA$13,0)),"Review"))</f>
        <v>Bucket 2 · Legacy</v>
      </c>
      <c r="P1808" s="350" t="str">
        <f>IF($B1808="Portfolio","Portfolio",IFERROR(INDEX(DATA_ASSET_CLASSIFICATION!$C$8:$C$24,MATCH($C1808,DATA_ASSET_CLASSIFICATION!$A$8:$A$24,0)),"Review"))</f>
        <v>Yes</v>
      </c>
      <c r="Q1808" s="350" t="str">
        <f t="shared" ca="1" si="57"/>
        <v>OK</v>
      </c>
    </row>
    <row r="1809" spans="1:17" ht="30">
      <c r="A1809" s="366" t="s">
        <v>3765</v>
      </c>
      <c r="B1809" s="366" t="s">
        <v>231</v>
      </c>
      <c r="C1809" s="348" t="str">
        <f>DATA_PROPERTY_MASTER!$A$10</f>
        <v>BLD_EA</v>
      </c>
      <c r="D1809" s="380">
        <f>'00_PORTFOLIO ROLLUP'!I$12</f>
        <v>2029</v>
      </c>
      <c r="E1809" s="366" t="s">
        <v>1683</v>
      </c>
      <c r="F1809" s="366" t="s">
        <v>19</v>
      </c>
      <c r="G1809" s="348" t="str">
        <f>"'"&amp;$C1809&amp;"'!$E$41:$Y$41"</f>
        <v>'BLD_EA'!$E$41:$Y$41</v>
      </c>
      <c r="H1809" s="381">
        <f ca="1">IF(IFERROR(INDEX(DATA_PROPERTY_MASTER!$E$5:$E$21,MATCH($C1809,DATA_PROPERTY_MASTER!$A$5:$A$21,0))="Yes",FALSE),IFERROR(INDEX(INDIRECT("'"&amp;$C1809&amp;"'!$E$41:$Y$41"),1,MATCH($D1809,INDIRECT("'"&amp;$C1809&amp;"'!$E$12:$Y$12"),0)),0),0)</f>
        <v>591520.23365239915</v>
      </c>
      <c r="I1809" s="366" t="s">
        <v>1685</v>
      </c>
      <c r="J1809" s="348" t="str">
        <f t="shared" ca="1" si="56"/>
        <v>OK</v>
      </c>
      <c r="K1809" s="366" t="s">
        <v>1694</v>
      </c>
      <c r="L1809" s="366" t="s">
        <v>2238</v>
      </c>
      <c r="M1809" s="350" t="str">
        <f>IF($B1809="Portfolio","Portfolio",IFERROR(INDEX(DATA_ASSET_CLASSIFICATION!$B$8:$B$24,MATCH($C1809,DATA_ASSET_CLASSIFICATION!$A$8:$A$24,0)),"Review"))</f>
        <v>Evergreen Apartments</v>
      </c>
      <c r="N1809" s="350" t="str">
        <f ca="1">IF($B1809="Portfolio","Portfolio",IFERROR(INDEX(DATA_ASSET_CLASSIFICATION!$U$8:$U$24,MATCH($C1809,DATA_ASSET_CLASSIFICATION!$A$8:$A$24,0)),"Review"))</f>
        <v>Refi Watch</v>
      </c>
      <c r="O1809" s="350" t="str">
        <f ca="1">IF($B1809="Portfolio","Portfolio",IFERROR(INDEX(DATA_ASSET_CLASSIFICATION!$AB$8:$AB$13,MATCH($N1809,DATA_ASSET_CLASSIFICATION!$AA$8:$AA$13,0)),"Review"))</f>
        <v>Bucket 2 · Legacy</v>
      </c>
      <c r="P1809" s="350" t="str">
        <f>IF($B1809="Portfolio","Portfolio",IFERROR(INDEX(DATA_ASSET_CLASSIFICATION!$C$8:$C$24,MATCH($C1809,DATA_ASSET_CLASSIFICATION!$A$8:$A$24,0)),"Review"))</f>
        <v>Yes</v>
      </c>
      <c r="Q1809" s="350" t="str">
        <f t="shared" ca="1" si="57"/>
        <v>OK</v>
      </c>
    </row>
    <row r="1810" spans="1:17" ht="30">
      <c r="A1810" s="366" t="s">
        <v>3766</v>
      </c>
      <c r="B1810" s="366" t="s">
        <v>231</v>
      </c>
      <c r="C1810" s="348" t="str">
        <f>DATA_PROPERTY_MASTER!$A$10</f>
        <v>BLD_EA</v>
      </c>
      <c r="D1810" s="380">
        <f>'00_PORTFOLIO ROLLUP'!I$12</f>
        <v>2029</v>
      </c>
      <c r="E1810" s="366" t="s">
        <v>1683</v>
      </c>
      <c r="F1810" s="366" t="s">
        <v>1697</v>
      </c>
      <c r="G1810" s="348" t="str">
        <f>"'"&amp;$C1810&amp;"'!$E$44:$Y$44"</f>
        <v>'BLD_EA'!$E$44:$Y$44</v>
      </c>
      <c r="H1810" s="381">
        <f ca="1">IF(IFERROR(INDEX(DATA_PROPERTY_MASTER!$E$5:$E$21,MATCH($C1810,DATA_PROPERTY_MASTER!$A$5:$A$21,0))="Yes",FALSE),IFERROR(INDEX(INDIRECT("'"&amp;$C1810&amp;"'!$E$44:$Y$44"),1,MATCH($D1810,INDIRECT("'"&amp;$C1810&amp;"'!$E$12:$Y$12"),0)),0),0)</f>
        <v>9904.2542639999992</v>
      </c>
      <c r="I1810" s="366" t="s">
        <v>1690</v>
      </c>
      <c r="J1810" s="348" t="str">
        <f t="shared" ca="1" si="56"/>
        <v>OK</v>
      </c>
      <c r="K1810" s="366" t="s">
        <v>1699</v>
      </c>
      <c r="L1810" s="366" t="s">
        <v>2240</v>
      </c>
      <c r="M1810" s="350" t="str">
        <f>IF($B1810="Portfolio","Portfolio",IFERROR(INDEX(DATA_ASSET_CLASSIFICATION!$B$8:$B$24,MATCH($C1810,DATA_ASSET_CLASSIFICATION!$A$8:$A$24,0)),"Review"))</f>
        <v>Evergreen Apartments</v>
      </c>
      <c r="N1810" s="350" t="str">
        <f ca="1">IF($B1810="Portfolio","Portfolio",IFERROR(INDEX(DATA_ASSET_CLASSIFICATION!$U$8:$U$24,MATCH($C1810,DATA_ASSET_CLASSIFICATION!$A$8:$A$24,0)),"Review"))</f>
        <v>Refi Watch</v>
      </c>
      <c r="O1810" s="350" t="str">
        <f ca="1">IF($B1810="Portfolio","Portfolio",IFERROR(INDEX(DATA_ASSET_CLASSIFICATION!$AB$8:$AB$13,MATCH($N1810,DATA_ASSET_CLASSIFICATION!$AA$8:$AA$13,0)),"Review"))</f>
        <v>Bucket 2 · Legacy</v>
      </c>
      <c r="P1810" s="350" t="str">
        <f>IF($B1810="Portfolio","Portfolio",IFERROR(INDEX(DATA_ASSET_CLASSIFICATION!$C$8:$C$24,MATCH($C1810,DATA_ASSET_CLASSIFICATION!$A$8:$A$24,0)),"Review"))</f>
        <v>Yes</v>
      </c>
      <c r="Q1810" s="350" t="str">
        <f t="shared" ca="1" si="57"/>
        <v>OK</v>
      </c>
    </row>
    <row r="1811" spans="1:17" ht="30">
      <c r="A1811" s="366" t="s">
        <v>3767</v>
      </c>
      <c r="B1811" s="366" t="s">
        <v>231</v>
      </c>
      <c r="C1811" s="348" t="str">
        <f>DATA_PROPERTY_MASTER!$A$10</f>
        <v>BLD_EA</v>
      </c>
      <c r="D1811" s="380">
        <f>'00_PORTFOLIO ROLLUP'!I$12</f>
        <v>2029</v>
      </c>
      <c r="E1811" s="366" t="s">
        <v>1683</v>
      </c>
      <c r="F1811" s="366" t="s">
        <v>21</v>
      </c>
      <c r="G1811" s="348" t="str">
        <f>"'"&amp;$C1811&amp;"'!$E$45:$Y$45"</f>
        <v>'BLD_EA'!$E$45:$Y$45</v>
      </c>
      <c r="H1811" s="381">
        <f ca="1">IF(IFERROR(INDEX(DATA_PROPERTY_MASTER!$E$5:$E$21,MATCH($C1811,DATA_PROPERTY_MASTER!$A$5:$A$21,0))="Yes",FALSE),IFERROR(INDEX(INDIRECT("'"&amp;$C1811&amp;"'!$E$45:$Y$45"),1,MATCH($D1811,INDIRECT("'"&amp;$C1811&amp;"'!$E$12:$Y$12"),0)),0),0)</f>
        <v>581615.97938839917</v>
      </c>
      <c r="I1811" s="366" t="s">
        <v>1685</v>
      </c>
      <c r="J1811" s="348" t="str">
        <f t="shared" ca="1" si="56"/>
        <v>OK</v>
      </c>
      <c r="K1811" s="366" t="s">
        <v>1694</v>
      </c>
      <c r="L1811" s="366" t="s">
        <v>2242</v>
      </c>
      <c r="M1811" s="350" t="str">
        <f>IF($B1811="Portfolio","Portfolio",IFERROR(INDEX(DATA_ASSET_CLASSIFICATION!$B$8:$B$24,MATCH($C1811,DATA_ASSET_CLASSIFICATION!$A$8:$A$24,0)),"Review"))</f>
        <v>Evergreen Apartments</v>
      </c>
      <c r="N1811" s="350" t="str">
        <f ca="1">IF($B1811="Portfolio","Portfolio",IFERROR(INDEX(DATA_ASSET_CLASSIFICATION!$U$8:$U$24,MATCH($C1811,DATA_ASSET_CLASSIFICATION!$A$8:$A$24,0)),"Review"))</f>
        <v>Refi Watch</v>
      </c>
      <c r="O1811" s="350" t="str">
        <f ca="1">IF($B1811="Portfolio","Portfolio",IFERROR(INDEX(DATA_ASSET_CLASSIFICATION!$AB$8:$AB$13,MATCH($N1811,DATA_ASSET_CLASSIFICATION!$AA$8:$AA$13,0)),"Review"))</f>
        <v>Bucket 2 · Legacy</v>
      </c>
      <c r="P1811" s="350" t="str">
        <f>IF($B1811="Portfolio","Portfolio",IFERROR(INDEX(DATA_ASSET_CLASSIFICATION!$C$8:$C$24,MATCH($C1811,DATA_ASSET_CLASSIFICATION!$A$8:$A$24,0)),"Review"))</f>
        <v>Yes</v>
      </c>
      <c r="Q1811" s="350" t="str">
        <f t="shared" ca="1" si="57"/>
        <v>OK</v>
      </c>
    </row>
    <row r="1812" spans="1:17" ht="30">
      <c r="A1812" s="366" t="s">
        <v>3768</v>
      </c>
      <c r="B1812" s="366" t="s">
        <v>231</v>
      </c>
      <c r="C1812" s="348" t="str">
        <f>DATA_PROPERTY_MASTER!$A$10</f>
        <v>BLD_EA</v>
      </c>
      <c r="D1812" s="380">
        <f>'00_PORTFOLIO ROLLUP'!I$12</f>
        <v>2029</v>
      </c>
      <c r="E1812" s="366" t="s">
        <v>23</v>
      </c>
      <c r="F1812" s="366" t="s">
        <v>23</v>
      </c>
      <c r="G1812" s="348" t="str">
        <f>"'"&amp;$C1812&amp;"'!$E$48:$Y$48"</f>
        <v>'BLD_EA'!$E$48:$Y$48</v>
      </c>
      <c r="H1812" s="381">
        <f ca="1">IF(IFERROR(INDEX(DATA_PROPERTY_MASTER!$E$5:$E$21,MATCH($C1812,DATA_PROPERTY_MASTER!$A$5:$A$21,0))="Yes",FALSE),IFERROR(INDEX(INDIRECT("'"&amp;$C1812&amp;"'!$E$48:$Y$48"),1,MATCH($D1812,INDIRECT("'"&amp;$C1812&amp;"'!$E$12:$Y$12"),0)),0),0)</f>
        <v>297840</v>
      </c>
      <c r="I1812" s="366" t="s">
        <v>1690</v>
      </c>
      <c r="J1812" s="348" t="str">
        <f t="shared" ca="1" si="56"/>
        <v>OK</v>
      </c>
      <c r="K1812" s="366" t="s">
        <v>1706</v>
      </c>
      <c r="L1812" s="366" t="s">
        <v>2244</v>
      </c>
      <c r="M1812" s="350" t="str">
        <f>IF($B1812="Portfolio","Portfolio",IFERROR(INDEX(DATA_ASSET_CLASSIFICATION!$B$8:$B$24,MATCH($C1812,DATA_ASSET_CLASSIFICATION!$A$8:$A$24,0)),"Review"))</f>
        <v>Evergreen Apartments</v>
      </c>
      <c r="N1812" s="350" t="str">
        <f ca="1">IF($B1812="Portfolio","Portfolio",IFERROR(INDEX(DATA_ASSET_CLASSIFICATION!$U$8:$U$24,MATCH($C1812,DATA_ASSET_CLASSIFICATION!$A$8:$A$24,0)),"Review"))</f>
        <v>Refi Watch</v>
      </c>
      <c r="O1812" s="350" t="str">
        <f ca="1">IF($B1812="Portfolio","Portfolio",IFERROR(INDEX(DATA_ASSET_CLASSIFICATION!$AB$8:$AB$13,MATCH($N1812,DATA_ASSET_CLASSIFICATION!$AA$8:$AA$13,0)),"Review"))</f>
        <v>Bucket 2 · Legacy</v>
      </c>
      <c r="P1812" s="350" t="str">
        <f>IF($B1812="Portfolio","Portfolio",IFERROR(INDEX(DATA_ASSET_CLASSIFICATION!$C$8:$C$24,MATCH($C1812,DATA_ASSET_CLASSIFICATION!$A$8:$A$24,0)),"Review"))</f>
        <v>Yes</v>
      </c>
      <c r="Q1812" s="350" t="str">
        <f t="shared" ca="1" si="57"/>
        <v>OK</v>
      </c>
    </row>
    <row r="1813" spans="1:17" ht="30">
      <c r="A1813" s="366" t="s">
        <v>3769</v>
      </c>
      <c r="B1813" s="366" t="s">
        <v>231</v>
      </c>
      <c r="C1813" s="348" t="str">
        <f>DATA_PROPERTY_MASTER!$A$10</f>
        <v>BLD_EA</v>
      </c>
      <c r="D1813" s="380">
        <f>'00_PORTFOLIO ROLLUP'!I$12</f>
        <v>2029</v>
      </c>
      <c r="E1813" s="366" t="s">
        <v>1683</v>
      </c>
      <c r="F1813" s="366" t="s">
        <v>25</v>
      </c>
      <c r="G1813" s="348" t="str">
        <f>"'"&amp;$C1813&amp;"'!$E$52:$Y$52"</f>
        <v>'BLD_EA'!$E$52:$Y$52</v>
      </c>
      <c r="H1813" s="381">
        <f ca="1">IF(IFERROR(INDEX(DATA_PROPERTY_MASTER!$E$5:$E$21,MATCH($C1813,DATA_PROPERTY_MASTER!$A$5:$A$21,0))="Yes",FALSE),IFERROR(INDEX(INDIRECT("'"&amp;$C1813&amp;"'!$E$52:$Y$52"),1,MATCH($D1813,INDIRECT("'"&amp;$C1813&amp;"'!$E$12:$Y$12"),0)),0),0)</f>
        <v>293680.23365239915</v>
      </c>
      <c r="I1813" s="366" t="s">
        <v>1685</v>
      </c>
      <c r="J1813" s="348" t="str">
        <f t="shared" ca="1" si="56"/>
        <v>OK</v>
      </c>
      <c r="K1813" s="366" t="s">
        <v>1710</v>
      </c>
      <c r="L1813" s="366" t="s">
        <v>2246</v>
      </c>
      <c r="M1813" s="350" t="str">
        <f>IF($B1813="Portfolio","Portfolio",IFERROR(INDEX(DATA_ASSET_CLASSIFICATION!$B$8:$B$24,MATCH($C1813,DATA_ASSET_CLASSIFICATION!$A$8:$A$24,0)),"Review"))</f>
        <v>Evergreen Apartments</v>
      </c>
      <c r="N1813" s="350" t="str">
        <f ca="1">IF($B1813="Portfolio","Portfolio",IFERROR(INDEX(DATA_ASSET_CLASSIFICATION!$U$8:$U$24,MATCH($C1813,DATA_ASSET_CLASSIFICATION!$A$8:$A$24,0)),"Review"))</f>
        <v>Refi Watch</v>
      </c>
      <c r="O1813" s="350" t="str">
        <f ca="1">IF($B1813="Portfolio","Portfolio",IFERROR(INDEX(DATA_ASSET_CLASSIFICATION!$AB$8:$AB$13,MATCH($N1813,DATA_ASSET_CLASSIFICATION!$AA$8:$AA$13,0)),"Review"))</f>
        <v>Bucket 2 · Legacy</v>
      </c>
      <c r="P1813" s="350" t="str">
        <f>IF($B1813="Portfolio","Portfolio",IFERROR(INDEX(DATA_ASSET_CLASSIFICATION!$C$8:$C$24,MATCH($C1813,DATA_ASSET_CLASSIFICATION!$A$8:$A$24,0)),"Review"))</f>
        <v>Yes</v>
      </c>
      <c r="Q1813" s="350" t="str">
        <f t="shared" ca="1" si="57"/>
        <v>OK</v>
      </c>
    </row>
    <row r="1814" spans="1:17" ht="30">
      <c r="A1814" s="366" t="s">
        <v>3770</v>
      </c>
      <c r="B1814" s="366" t="s">
        <v>231</v>
      </c>
      <c r="C1814" s="348" t="str">
        <f>DATA_PROPERTY_MASTER!$A$10</f>
        <v>BLD_EA</v>
      </c>
      <c r="D1814" s="380">
        <f>'00_PORTFOLIO ROLLUP'!I$12</f>
        <v>2029</v>
      </c>
      <c r="E1814" s="366" t="s">
        <v>1683</v>
      </c>
      <c r="F1814" s="366" t="s">
        <v>27</v>
      </c>
      <c r="G1814" s="348" t="str">
        <f>"'"&amp;$C1814&amp;"'!$E$54:$Y$54"</f>
        <v>'BLD_EA'!$E$54:$Y$54</v>
      </c>
      <c r="H1814" s="381">
        <f ca="1">IF(IFERROR(INDEX(DATA_PROPERTY_MASTER!$E$5:$E$21,MATCH($C1814,DATA_PROPERTY_MASTER!$A$5:$A$21,0))="Yes",FALSE),IFERROR(INDEX(INDIRECT("'"&amp;$C1814&amp;"'!$E$54:$Y$54"),1,MATCH($D1814,INDIRECT("'"&amp;$C1814&amp;"'!$E$12:$Y$12"),0)),0),0)</f>
        <v>176208.14019143948</v>
      </c>
      <c r="I1814" s="366" t="s">
        <v>1690</v>
      </c>
      <c r="J1814" s="348" t="str">
        <f t="shared" ca="1" si="56"/>
        <v>OK</v>
      </c>
      <c r="K1814" s="366" t="s">
        <v>1714</v>
      </c>
      <c r="L1814" s="366" t="s">
        <v>2248</v>
      </c>
      <c r="M1814" s="350" t="str">
        <f>IF($B1814="Portfolio","Portfolio",IFERROR(INDEX(DATA_ASSET_CLASSIFICATION!$B$8:$B$24,MATCH($C1814,DATA_ASSET_CLASSIFICATION!$A$8:$A$24,0)),"Review"))</f>
        <v>Evergreen Apartments</v>
      </c>
      <c r="N1814" s="350" t="str">
        <f ca="1">IF($B1814="Portfolio","Portfolio",IFERROR(INDEX(DATA_ASSET_CLASSIFICATION!$U$8:$U$24,MATCH($C1814,DATA_ASSET_CLASSIFICATION!$A$8:$A$24,0)),"Review"))</f>
        <v>Refi Watch</v>
      </c>
      <c r="O1814" s="350" t="str">
        <f ca="1">IF($B1814="Portfolio","Portfolio",IFERROR(INDEX(DATA_ASSET_CLASSIFICATION!$AB$8:$AB$13,MATCH($N1814,DATA_ASSET_CLASSIFICATION!$AA$8:$AA$13,0)),"Review"))</f>
        <v>Bucket 2 · Legacy</v>
      </c>
      <c r="P1814" s="350" t="str">
        <f>IF($B1814="Portfolio","Portfolio",IFERROR(INDEX(DATA_ASSET_CLASSIFICATION!$C$8:$C$24,MATCH($C1814,DATA_ASSET_CLASSIFICATION!$A$8:$A$24,0)),"Review"))</f>
        <v>Yes</v>
      </c>
      <c r="Q1814" s="350" t="str">
        <f t="shared" ca="1" si="57"/>
        <v>OK</v>
      </c>
    </row>
    <row r="1815" spans="1:17" ht="30">
      <c r="A1815" s="366" t="s">
        <v>3771</v>
      </c>
      <c r="B1815" s="366" t="s">
        <v>231</v>
      </c>
      <c r="C1815" s="348" t="str">
        <f>DATA_PROPERTY_MASTER!$A$10</f>
        <v>BLD_EA</v>
      </c>
      <c r="D1815" s="380">
        <f>'00_PORTFOLIO ROLLUP'!I$12</f>
        <v>2029</v>
      </c>
      <c r="E1815" s="366" t="s">
        <v>1683</v>
      </c>
      <c r="F1815" s="366" t="s">
        <v>29</v>
      </c>
      <c r="G1815" s="348" t="str">
        <f>"'"&amp;$C1815&amp;"'!$E$56:$Y$56"</f>
        <v>'BLD_EA'!$E$56:$Y$56</v>
      </c>
      <c r="H1815" s="381">
        <f ca="1">IF(IFERROR(INDEX(DATA_PROPERTY_MASTER!$E$5:$E$21,MATCH($C1815,DATA_PROPERTY_MASTER!$A$5:$A$21,0))="Yes",FALSE),IFERROR(INDEX(INDIRECT("'"&amp;$C1815&amp;"'!$E$56:$Y$56"),1,MATCH($D1815,INDIRECT("'"&amp;$C1815&amp;"'!$E$12:$Y$12"),0)),0),0)</f>
        <v>117472.09346095967</v>
      </c>
      <c r="I1815" s="366" t="s">
        <v>1685</v>
      </c>
      <c r="J1815" s="348" t="str">
        <f t="shared" ca="1" si="56"/>
        <v>OK</v>
      </c>
      <c r="K1815" s="366" t="s">
        <v>1718</v>
      </c>
      <c r="L1815" s="366" t="s">
        <v>2250</v>
      </c>
      <c r="M1815" s="350" t="str">
        <f>IF($B1815="Portfolio","Portfolio",IFERROR(INDEX(DATA_ASSET_CLASSIFICATION!$B$8:$B$24,MATCH($C1815,DATA_ASSET_CLASSIFICATION!$A$8:$A$24,0)),"Review"))</f>
        <v>Evergreen Apartments</v>
      </c>
      <c r="N1815" s="350" t="str">
        <f ca="1">IF($B1815="Portfolio","Portfolio",IFERROR(INDEX(DATA_ASSET_CLASSIFICATION!$U$8:$U$24,MATCH($C1815,DATA_ASSET_CLASSIFICATION!$A$8:$A$24,0)),"Review"))</f>
        <v>Refi Watch</v>
      </c>
      <c r="O1815" s="350" t="str">
        <f ca="1">IF($B1815="Portfolio","Portfolio",IFERROR(INDEX(DATA_ASSET_CLASSIFICATION!$AB$8:$AB$13,MATCH($N1815,DATA_ASSET_CLASSIFICATION!$AA$8:$AA$13,0)),"Review"))</f>
        <v>Bucket 2 · Legacy</v>
      </c>
      <c r="P1815" s="350" t="str">
        <f>IF($B1815="Portfolio","Portfolio",IFERROR(INDEX(DATA_ASSET_CLASSIFICATION!$C$8:$C$24,MATCH($C1815,DATA_ASSET_CLASSIFICATION!$A$8:$A$24,0)),"Review"))</f>
        <v>Yes</v>
      </c>
      <c r="Q1815" s="350" t="str">
        <f t="shared" ca="1" si="57"/>
        <v>OK</v>
      </c>
    </row>
    <row r="1816" spans="1:17" ht="30">
      <c r="A1816" s="366" t="s">
        <v>3772</v>
      </c>
      <c r="B1816" s="366" t="s">
        <v>231</v>
      </c>
      <c r="C1816" s="348" t="str">
        <f>DATA_PROPERTY_MASTER!$A$10</f>
        <v>BLD_EA</v>
      </c>
      <c r="D1816" s="380">
        <f>'00_PORTFOLIO ROLLUP'!I$12</f>
        <v>2029</v>
      </c>
      <c r="E1816" s="366" t="s">
        <v>1721</v>
      </c>
      <c r="F1816" s="366" t="s">
        <v>31</v>
      </c>
      <c r="G1816" s="348" t="str">
        <f>"'"&amp;$C1816&amp;"'!$E$61:$Y$61"</f>
        <v>'BLD_EA'!$E$61:$Y$61</v>
      </c>
      <c r="H1816" s="381">
        <f ca="1">IF(IFERROR(INDEX(DATA_PROPERTY_MASTER!$E$5:$E$21,MATCH($C1816,DATA_PROPERTY_MASTER!$A$5:$A$21,0))="Yes",FALSE),IFERROR(INDEX(INDIRECT("'"&amp;$C1816&amp;"'!$E$61:$Y$61"),1,MATCH($D1816,INDIRECT("'"&amp;$C1816&amp;"'!$E$12:$Y$12"),0)),0),0)</f>
        <v>0</v>
      </c>
      <c r="I1816" s="366" t="s">
        <v>1690</v>
      </c>
      <c r="J1816" s="348" t="str">
        <f t="shared" ca="1" si="56"/>
        <v>OK</v>
      </c>
      <c r="K1816" s="366" t="s">
        <v>1723</v>
      </c>
      <c r="L1816" s="366" t="s">
        <v>2252</v>
      </c>
      <c r="M1816" s="350" t="str">
        <f>IF($B1816="Portfolio","Portfolio",IFERROR(INDEX(DATA_ASSET_CLASSIFICATION!$B$8:$B$24,MATCH($C1816,DATA_ASSET_CLASSIFICATION!$A$8:$A$24,0)),"Review"))</f>
        <v>Evergreen Apartments</v>
      </c>
      <c r="N1816" s="350" t="str">
        <f ca="1">IF($B1816="Portfolio","Portfolio",IFERROR(INDEX(DATA_ASSET_CLASSIFICATION!$U$8:$U$24,MATCH($C1816,DATA_ASSET_CLASSIFICATION!$A$8:$A$24,0)),"Review"))</f>
        <v>Refi Watch</v>
      </c>
      <c r="O1816" s="350" t="str">
        <f ca="1">IF($B1816="Portfolio","Portfolio",IFERROR(INDEX(DATA_ASSET_CLASSIFICATION!$AB$8:$AB$13,MATCH($N1816,DATA_ASSET_CLASSIFICATION!$AA$8:$AA$13,0)),"Review"))</f>
        <v>Bucket 2 · Legacy</v>
      </c>
      <c r="P1816" s="350" t="str">
        <f>IF($B1816="Portfolio","Portfolio",IFERROR(INDEX(DATA_ASSET_CLASSIFICATION!$C$8:$C$24,MATCH($C1816,DATA_ASSET_CLASSIFICATION!$A$8:$A$24,0)),"Review"))</f>
        <v>Yes</v>
      </c>
      <c r="Q1816" s="350" t="str">
        <f t="shared" ca="1" si="57"/>
        <v>OK</v>
      </c>
    </row>
    <row r="1817" spans="1:17" ht="30">
      <c r="A1817" s="366" t="s">
        <v>3773</v>
      </c>
      <c r="B1817" s="366" t="s">
        <v>231</v>
      </c>
      <c r="C1817" s="348" t="str">
        <f>DATA_PROPERTY_MASTER!$A$10</f>
        <v>BLD_EA</v>
      </c>
      <c r="D1817" s="380">
        <f>'00_PORTFOLIO ROLLUP'!I$12</f>
        <v>2029</v>
      </c>
      <c r="E1817" s="366" t="s">
        <v>1721</v>
      </c>
      <c r="F1817" s="366" t="s">
        <v>33</v>
      </c>
      <c r="G1817" s="348" t="str">
        <f>"'"&amp;$C1817&amp;"'!$E$62:$Y$62"</f>
        <v>'BLD_EA'!$E$62:$Y$62</v>
      </c>
      <c r="H1817" s="381">
        <f ca="1">IF(IFERROR(INDEX(DATA_PROPERTY_MASTER!$E$5:$E$21,MATCH($C1817,DATA_PROPERTY_MASTER!$A$5:$A$21,0))="Yes",FALSE),IFERROR(INDEX(INDIRECT("'"&amp;$C1817&amp;"'!$E$62:$Y$62"),1,MATCH($D1817,INDIRECT("'"&amp;$C1817&amp;"'!$E$12:$Y$12"),0)),0),0)</f>
        <v>0</v>
      </c>
      <c r="I1817" s="366" t="s">
        <v>1685</v>
      </c>
      <c r="J1817" s="348" t="str">
        <f t="shared" ca="1" si="56"/>
        <v>OK</v>
      </c>
      <c r="K1817" s="366" t="s">
        <v>1727</v>
      </c>
      <c r="L1817" s="366" t="s">
        <v>2254</v>
      </c>
      <c r="M1817" s="350" t="str">
        <f>IF($B1817="Portfolio","Portfolio",IFERROR(INDEX(DATA_ASSET_CLASSIFICATION!$B$8:$B$24,MATCH($C1817,DATA_ASSET_CLASSIFICATION!$A$8:$A$24,0)),"Review"))</f>
        <v>Evergreen Apartments</v>
      </c>
      <c r="N1817" s="350" t="str">
        <f ca="1">IF($B1817="Portfolio","Portfolio",IFERROR(INDEX(DATA_ASSET_CLASSIFICATION!$U$8:$U$24,MATCH($C1817,DATA_ASSET_CLASSIFICATION!$A$8:$A$24,0)),"Review"))</f>
        <v>Refi Watch</v>
      </c>
      <c r="O1817" s="350" t="str">
        <f ca="1">IF($B1817="Portfolio","Portfolio",IFERROR(INDEX(DATA_ASSET_CLASSIFICATION!$AB$8:$AB$13,MATCH($N1817,DATA_ASSET_CLASSIFICATION!$AA$8:$AA$13,0)),"Review"))</f>
        <v>Bucket 2 · Legacy</v>
      </c>
      <c r="P1817" s="350" t="str">
        <f>IF($B1817="Portfolio","Portfolio",IFERROR(INDEX(DATA_ASSET_CLASSIFICATION!$C$8:$C$24,MATCH($C1817,DATA_ASSET_CLASSIFICATION!$A$8:$A$24,0)),"Review"))</f>
        <v>Yes</v>
      </c>
      <c r="Q1817" s="350" t="str">
        <f t="shared" ca="1" si="57"/>
        <v>OK</v>
      </c>
    </row>
    <row r="1818" spans="1:17" ht="30">
      <c r="A1818" s="366" t="s">
        <v>3774</v>
      </c>
      <c r="B1818" s="366" t="s">
        <v>231</v>
      </c>
      <c r="C1818" s="348" t="str">
        <f>DATA_PROPERTY_MASTER!$A$10</f>
        <v>BLD_EA</v>
      </c>
      <c r="D1818" s="380">
        <f>'00_PORTFOLIO ROLLUP'!I$12</f>
        <v>2029</v>
      </c>
      <c r="E1818" s="366" t="s">
        <v>1721</v>
      </c>
      <c r="F1818" s="366" t="s">
        <v>35</v>
      </c>
      <c r="G1818" s="348" t="str">
        <f>"'"&amp;$C1818&amp;"'!$E$63:$Y$63"</f>
        <v>'BLD_EA'!$E$63:$Y$63</v>
      </c>
      <c r="H1818" s="381">
        <f ca="1">IF(IFERROR(INDEX(DATA_PROPERTY_MASTER!$E$5:$E$21,MATCH($C1818,DATA_PROPERTY_MASTER!$A$5:$A$21,0))="Yes",FALSE),IFERROR(INDEX(INDIRECT("'"&amp;$C1818&amp;"'!$E$63:$Y$63"),1,MATCH($D1818,INDIRECT("'"&amp;$C1818&amp;"'!$E$12:$Y$12"),0)),0),0)</f>
        <v>0</v>
      </c>
      <c r="I1818" s="366" t="s">
        <v>1731</v>
      </c>
      <c r="J1818" s="348" t="str">
        <f t="shared" ca="1" si="56"/>
        <v>OK</v>
      </c>
      <c r="K1818" s="366" t="s">
        <v>1732</v>
      </c>
      <c r="L1818" s="366" t="s">
        <v>2256</v>
      </c>
      <c r="M1818" s="350" t="str">
        <f>IF($B1818="Portfolio","Portfolio",IFERROR(INDEX(DATA_ASSET_CLASSIFICATION!$B$8:$B$24,MATCH($C1818,DATA_ASSET_CLASSIFICATION!$A$8:$A$24,0)),"Review"))</f>
        <v>Evergreen Apartments</v>
      </c>
      <c r="N1818" s="350" t="str">
        <f ca="1">IF($B1818="Portfolio","Portfolio",IFERROR(INDEX(DATA_ASSET_CLASSIFICATION!$U$8:$U$24,MATCH($C1818,DATA_ASSET_CLASSIFICATION!$A$8:$A$24,0)),"Review"))</f>
        <v>Refi Watch</v>
      </c>
      <c r="O1818" s="350" t="str">
        <f ca="1">IF($B1818="Portfolio","Portfolio",IFERROR(INDEX(DATA_ASSET_CLASSIFICATION!$AB$8:$AB$13,MATCH($N1818,DATA_ASSET_CLASSIFICATION!$AA$8:$AA$13,0)),"Review"))</f>
        <v>Bucket 2 · Legacy</v>
      </c>
      <c r="P1818" s="350" t="str">
        <f>IF($B1818="Portfolio","Portfolio",IFERROR(INDEX(DATA_ASSET_CLASSIFICATION!$C$8:$C$24,MATCH($C1818,DATA_ASSET_CLASSIFICATION!$A$8:$A$24,0)),"Review"))</f>
        <v>Yes</v>
      </c>
      <c r="Q1818" s="350" t="str">
        <f t="shared" ca="1" si="57"/>
        <v>OK</v>
      </c>
    </row>
    <row r="1819" spans="1:17" ht="30">
      <c r="A1819" s="366" t="s">
        <v>3775</v>
      </c>
      <c r="B1819" s="366" t="s">
        <v>231</v>
      </c>
      <c r="C1819" s="348" t="str">
        <f>DATA_PROPERTY_MASTER!$A$10</f>
        <v>BLD_EA</v>
      </c>
      <c r="D1819" s="380">
        <f>'00_PORTFOLIO ROLLUP'!I$12</f>
        <v>2029</v>
      </c>
      <c r="E1819" s="366" t="s">
        <v>1721</v>
      </c>
      <c r="F1819" s="366" t="s">
        <v>37</v>
      </c>
      <c r="G1819" s="348" t="str">
        <f>"'"&amp;$C1819&amp;"'!$E$63:$Y$63"</f>
        <v>'BLD_EA'!$E$63:$Y$63</v>
      </c>
      <c r="H1819" s="381">
        <f ca="1">IF(IFERROR(INDEX(DATA_PROPERTY_MASTER!$E$5:$E$21,MATCH($C1819,DATA_PROPERTY_MASTER!$A$5:$A$21,0))="Yes",FALSE),MAX(IFERROR(INDEX(INDIRECT("'"&amp;$C1819&amp;"'!$E$63:$Y$63"),1,MATCH($D1819,INDIRECT("'"&amp;$C1819&amp;"'!$E$12:$Y$12"),0)),0),0),0)</f>
        <v>0</v>
      </c>
      <c r="I1819" s="366" t="s">
        <v>1685</v>
      </c>
      <c r="J1819" s="348" t="str">
        <f t="shared" ca="1" si="56"/>
        <v>OK</v>
      </c>
      <c r="K1819" s="366" t="s">
        <v>1735</v>
      </c>
      <c r="L1819" s="366" t="s">
        <v>2258</v>
      </c>
      <c r="M1819" s="350" t="str">
        <f>IF($B1819="Portfolio","Portfolio",IFERROR(INDEX(DATA_ASSET_CLASSIFICATION!$B$8:$B$24,MATCH($C1819,DATA_ASSET_CLASSIFICATION!$A$8:$A$24,0)),"Review"))</f>
        <v>Evergreen Apartments</v>
      </c>
      <c r="N1819" s="350" t="str">
        <f ca="1">IF($B1819="Portfolio","Portfolio",IFERROR(INDEX(DATA_ASSET_CLASSIFICATION!$U$8:$U$24,MATCH($C1819,DATA_ASSET_CLASSIFICATION!$A$8:$A$24,0)),"Review"))</f>
        <v>Refi Watch</v>
      </c>
      <c r="O1819" s="350" t="str">
        <f ca="1">IF($B1819="Portfolio","Portfolio",IFERROR(INDEX(DATA_ASSET_CLASSIFICATION!$AB$8:$AB$13,MATCH($N1819,DATA_ASSET_CLASSIFICATION!$AA$8:$AA$13,0)),"Review"))</f>
        <v>Bucket 2 · Legacy</v>
      </c>
      <c r="P1819" s="350" t="str">
        <f>IF($B1819="Portfolio","Portfolio",IFERROR(INDEX(DATA_ASSET_CLASSIFICATION!$C$8:$C$24,MATCH($C1819,DATA_ASSET_CLASSIFICATION!$A$8:$A$24,0)),"Review"))</f>
        <v>Yes</v>
      </c>
      <c r="Q1819" s="350" t="str">
        <f t="shared" ca="1" si="57"/>
        <v>OK</v>
      </c>
    </row>
    <row r="1820" spans="1:17" ht="30">
      <c r="A1820" s="366" t="s">
        <v>3776</v>
      </c>
      <c r="B1820" s="366" t="s">
        <v>231</v>
      </c>
      <c r="C1820" s="348" t="str">
        <f>DATA_PROPERTY_MASTER!$A$10</f>
        <v>BLD_EA</v>
      </c>
      <c r="D1820" s="380">
        <f>'00_PORTFOLIO ROLLUP'!I$12</f>
        <v>2029</v>
      </c>
      <c r="E1820" s="366" t="s">
        <v>1721</v>
      </c>
      <c r="F1820" s="366" t="s">
        <v>39</v>
      </c>
      <c r="G1820" s="348" t="str">
        <f>"'"&amp;$C1820&amp;"'!$E$63:$Y$63"</f>
        <v>'BLD_EA'!$E$63:$Y$63</v>
      </c>
      <c r="H1820" s="381">
        <f ca="1">IF(IFERROR(INDEX(DATA_PROPERTY_MASTER!$E$5:$E$21,MATCH($C1820,DATA_PROPERTY_MASTER!$A$5:$A$21,0))="Yes",FALSE),MAX(-IFERROR(INDEX(INDIRECT("'"&amp;$C1820&amp;"'!$E$63:$Y$63"),1,MATCH($D1820,INDIRECT("'"&amp;$C1820&amp;"'!$E$12:$Y$12"),0)),0),0),0)</f>
        <v>0</v>
      </c>
      <c r="I1820" s="366" t="s">
        <v>1690</v>
      </c>
      <c r="J1820" s="348" t="str">
        <f t="shared" ca="1" si="56"/>
        <v>OK</v>
      </c>
      <c r="K1820" s="366" t="s">
        <v>1738</v>
      </c>
      <c r="L1820" s="366" t="s">
        <v>2260</v>
      </c>
      <c r="M1820" s="350" t="str">
        <f>IF($B1820="Portfolio","Portfolio",IFERROR(INDEX(DATA_ASSET_CLASSIFICATION!$B$8:$B$24,MATCH($C1820,DATA_ASSET_CLASSIFICATION!$A$8:$A$24,0)),"Review"))</f>
        <v>Evergreen Apartments</v>
      </c>
      <c r="N1820" s="350" t="str">
        <f ca="1">IF($B1820="Portfolio","Portfolio",IFERROR(INDEX(DATA_ASSET_CLASSIFICATION!$U$8:$U$24,MATCH($C1820,DATA_ASSET_CLASSIFICATION!$A$8:$A$24,0)),"Review"))</f>
        <v>Refi Watch</v>
      </c>
      <c r="O1820" s="350" t="str">
        <f ca="1">IF($B1820="Portfolio","Portfolio",IFERROR(INDEX(DATA_ASSET_CLASSIFICATION!$AB$8:$AB$13,MATCH($N1820,DATA_ASSET_CLASSIFICATION!$AA$8:$AA$13,0)),"Review"))</f>
        <v>Bucket 2 · Legacy</v>
      </c>
      <c r="P1820" s="350" t="str">
        <f>IF($B1820="Portfolio","Portfolio",IFERROR(INDEX(DATA_ASSET_CLASSIFICATION!$C$8:$C$24,MATCH($C1820,DATA_ASSET_CLASSIFICATION!$A$8:$A$24,0)),"Review"))</f>
        <v>Yes</v>
      </c>
      <c r="Q1820" s="350" t="str">
        <f t="shared" ca="1" si="57"/>
        <v>OK</v>
      </c>
    </row>
    <row r="1821" spans="1:17" ht="30">
      <c r="A1821" s="366" t="s">
        <v>3777</v>
      </c>
      <c r="B1821" s="366" t="s">
        <v>231</v>
      </c>
      <c r="C1821" s="348" t="str">
        <f>DATA_PROPERTY_MASTER!$A$10</f>
        <v>BLD_EA</v>
      </c>
      <c r="D1821" s="380">
        <f>'00_PORTFOLIO ROLLUP'!I$12</f>
        <v>2029</v>
      </c>
      <c r="E1821" s="366" t="s">
        <v>1741</v>
      </c>
      <c r="F1821" s="366" t="s">
        <v>41</v>
      </c>
      <c r="G1821" s="348" t="str">
        <f>"'"&amp;$C1821&amp;"'!rows 56 + positive row 63"</f>
        <v>'BLD_EA'!rows 56 + positive row 63</v>
      </c>
      <c r="H1821" s="381">
        <f ca="1">IF(IFERROR(INDEX(DATA_PROPERTY_MASTER!$E$5:$E$21,MATCH($C1821,DATA_PROPERTY_MASTER!$A$5:$A$21,0))="Yes",FALSE),IFERROR(INDEX(INDIRECT("'"&amp;$C1821&amp;"'!$E$56:$Y$56"),1,MATCH($D1821,INDIRECT("'"&amp;$C1821&amp;"'!$E$12:$Y$12"),0)),0)+MAX(IFERROR(INDEX(INDIRECT("'"&amp;$C1821&amp;"'!$E$63:$Y$63"),1,MATCH($D1821,INDIRECT("'"&amp;$C1821&amp;"'!$E$12:$Y$12"),0)),0),0),0)</f>
        <v>117472.09346095967</v>
      </c>
      <c r="I1821" s="366" t="s">
        <v>1685</v>
      </c>
      <c r="J1821" s="348" t="str">
        <f t="shared" ca="1" si="56"/>
        <v>OK</v>
      </c>
      <c r="K1821" s="366" t="s">
        <v>1742</v>
      </c>
      <c r="L1821" s="366" t="s">
        <v>2262</v>
      </c>
      <c r="M1821" s="350" t="str">
        <f>IF($B1821="Portfolio","Portfolio",IFERROR(INDEX(DATA_ASSET_CLASSIFICATION!$B$8:$B$24,MATCH($C1821,DATA_ASSET_CLASSIFICATION!$A$8:$A$24,0)),"Review"))</f>
        <v>Evergreen Apartments</v>
      </c>
      <c r="N1821" s="350" t="str">
        <f ca="1">IF($B1821="Portfolio","Portfolio",IFERROR(INDEX(DATA_ASSET_CLASSIFICATION!$U$8:$U$24,MATCH($C1821,DATA_ASSET_CLASSIFICATION!$A$8:$A$24,0)),"Review"))</f>
        <v>Refi Watch</v>
      </c>
      <c r="O1821" s="350" t="str">
        <f ca="1">IF($B1821="Portfolio","Portfolio",IFERROR(INDEX(DATA_ASSET_CLASSIFICATION!$AB$8:$AB$13,MATCH($N1821,DATA_ASSET_CLASSIFICATION!$AA$8:$AA$13,0)),"Review"))</f>
        <v>Bucket 2 · Legacy</v>
      </c>
      <c r="P1821" s="350" t="str">
        <f>IF($B1821="Portfolio","Portfolio",IFERROR(INDEX(DATA_ASSET_CLASSIFICATION!$C$8:$C$24,MATCH($C1821,DATA_ASSET_CLASSIFICATION!$A$8:$A$24,0)),"Review"))</f>
        <v>Yes</v>
      </c>
      <c r="Q1821" s="350" t="str">
        <f t="shared" ca="1" si="57"/>
        <v>OK</v>
      </c>
    </row>
    <row r="1822" spans="1:17" ht="30">
      <c r="A1822" s="366" t="s">
        <v>3778</v>
      </c>
      <c r="B1822" s="366" t="s">
        <v>231</v>
      </c>
      <c r="C1822" s="348" t="str">
        <f>DATA_PROPERTY_MASTER!$A$10</f>
        <v>BLD_EA</v>
      </c>
      <c r="D1822" s="380">
        <f>'00_PORTFOLIO ROLLUP'!I$12</f>
        <v>2029</v>
      </c>
      <c r="E1822" s="366" t="s">
        <v>1741</v>
      </c>
      <c r="F1822" s="366" t="s">
        <v>43</v>
      </c>
      <c r="G1822" s="348" t="str">
        <f>"'"&amp;$C1822&amp;"'!$E$68:$Y$68"</f>
        <v>'BLD_EA'!$E$68:$Y$68</v>
      </c>
      <c r="H1822" s="381">
        <f ca="1">IF(IFERROR(INDEX(DATA_PROPERTY_MASTER!$E$5:$E$21,MATCH($C1822,DATA_PROPERTY_MASTER!$A$5:$A$21,0))="Yes",FALSE),IFERROR(INDEX(INDIRECT("'"&amp;$C1822&amp;"'!$E$68:$Y$68"),1,MATCH($D1822,INDIRECT("'"&amp;$C1822&amp;"'!$E$12:$Y$12"),0)),0),0)</f>
        <v>117472.09346095967</v>
      </c>
      <c r="I1822" s="366" t="s">
        <v>1731</v>
      </c>
      <c r="J1822" s="348" t="str">
        <f t="shared" ca="1" si="56"/>
        <v>OK</v>
      </c>
      <c r="K1822" s="366" t="s">
        <v>1746</v>
      </c>
      <c r="L1822" s="366" t="s">
        <v>2264</v>
      </c>
      <c r="M1822" s="350" t="str">
        <f>IF($B1822="Portfolio","Portfolio",IFERROR(INDEX(DATA_ASSET_CLASSIFICATION!$B$8:$B$24,MATCH($C1822,DATA_ASSET_CLASSIFICATION!$A$8:$A$24,0)),"Review"))</f>
        <v>Evergreen Apartments</v>
      </c>
      <c r="N1822" s="350" t="str">
        <f ca="1">IF($B1822="Portfolio","Portfolio",IFERROR(INDEX(DATA_ASSET_CLASSIFICATION!$U$8:$U$24,MATCH($C1822,DATA_ASSET_CLASSIFICATION!$A$8:$A$24,0)),"Review"))</f>
        <v>Refi Watch</v>
      </c>
      <c r="O1822" s="350" t="str">
        <f ca="1">IF($B1822="Portfolio","Portfolio",IFERROR(INDEX(DATA_ASSET_CLASSIFICATION!$AB$8:$AB$13,MATCH($N1822,DATA_ASSET_CLASSIFICATION!$AA$8:$AA$13,0)),"Review"))</f>
        <v>Bucket 2 · Legacy</v>
      </c>
      <c r="P1822" s="350" t="str">
        <f>IF($B1822="Portfolio","Portfolio",IFERROR(INDEX(DATA_ASSET_CLASSIFICATION!$C$8:$C$24,MATCH($C1822,DATA_ASSET_CLASSIFICATION!$A$8:$A$24,0)),"Review"))</f>
        <v>Yes</v>
      </c>
      <c r="Q1822" s="350" t="str">
        <f t="shared" ca="1" si="57"/>
        <v>OK</v>
      </c>
    </row>
    <row r="1823" spans="1:17" ht="30">
      <c r="A1823" s="366" t="s">
        <v>3779</v>
      </c>
      <c r="B1823" s="366" t="s">
        <v>231</v>
      </c>
      <c r="C1823" s="348" t="str">
        <f>DATA_PROPERTY_MASTER!$A$10</f>
        <v>BLD_EA</v>
      </c>
      <c r="D1823" s="380">
        <f>'00_PORTFOLIO ROLLUP'!I$12</f>
        <v>2029</v>
      </c>
      <c r="E1823" s="366" t="s">
        <v>1741</v>
      </c>
      <c r="F1823" s="366" t="s">
        <v>1749</v>
      </c>
      <c r="G1823" s="348" t="str">
        <f>"'"&amp;$C1823&amp;"'!rows 56, 63, 68"</f>
        <v>'BLD_EA'!rows 56, 63, 68</v>
      </c>
      <c r="H1823" s="381">
        <f ca="1">IF(IFERROR(INDEX(DATA_PROPERTY_MASTER!$E$5:$E$21,MATCH($C1823,DATA_PROPERTY_MASTER!$A$5:$A$21,0))="Yes",FALSE),(IFERROR(INDEX(INDIRECT("'"&amp;$C1823&amp;"'!$E$56:$Y$56"),1,MATCH($D1823,INDIRECT("'"&amp;$C1823&amp;"'!$E$12:$Y$12"),0)),0)+MAX(IFERROR(INDEX(INDIRECT("'"&amp;$C1823&amp;"'!$E$63:$Y$63"),1,MATCH($D1823,INDIRECT("'"&amp;$C1823&amp;"'!$E$12:$Y$12"),0)),0),0))-(IFERROR(INDEX(INDIRECT("'"&amp;$C1823&amp;"'!$E$68:$Y$68"),1,MATCH($D1823,INDIRECT("'"&amp;$C1823&amp;"'!$E$12:$Y$12"),0)),0)),0)</f>
        <v>0</v>
      </c>
      <c r="I1823" s="366" t="s">
        <v>1750</v>
      </c>
      <c r="J1823" s="348" t="str">
        <f t="shared" ca="1" si="56"/>
        <v>OK</v>
      </c>
      <c r="K1823" s="366" t="s">
        <v>1751</v>
      </c>
      <c r="L1823" s="366" t="s">
        <v>2266</v>
      </c>
      <c r="M1823" s="350" t="str">
        <f>IF($B1823="Portfolio","Portfolio",IFERROR(INDEX(DATA_ASSET_CLASSIFICATION!$B$8:$B$24,MATCH($C1823,DATA_ASSET_CLASSIFICATION!$A$8:$A$24,0)),"Review"))</f>
        <v>Evergreen Apartments</v>
      </c>
      <c r="N1823" s="350" t="str">
        <f ca="1">IF($B1823="Portfolio","Portfolio",IFERROR(INDEX(DATA_ASSET_CLASSIFICATION!$U$8:$U$24,MATCH($C1823,DATA_ASSET_CLASSIFICATION!$A$8:$A$24,0)),"Review"))</f>
        <v>Refi Watch</v>
      </c>
      <c r="O1823" s="350" t="str">
        <f ca="1">IF($B1823="Portfolio","Portfolio",IFERROR(INDEX(DATA_ASSET_CLASSIFICATION!$AB$8:$AB$13,MATCH($N1823,DATA_ASSET_CLASSIFICATION!$AA$8:$AA$13,0)),"Review"))</f>
        <v>Bucket 2 · Legacy</v>
      </c>
      <c r="P1823" s="350" t="str">
        <f>IF($B1823="Portfolio","Portfolio",IFERROR(INDEX(DATA_ASSET_CLASSIFICATION!$C$8:$C$24,MATCH($C1823,DATA_ASSET_CLASSIFICATION!$A$8:$A$24,0)),"Review"))</f>
        <v>Yes</v>
      </c>
      <c r="Q1823" s="350" t="str">
        <f t="shared" ca="1" si="57"/>
        <v>OK</v>
      </c>
    </row>
    <row r="1824" spans="1:17" ht="30">
      <c r="A1824" s="366" t="s">
        <v>3780</v>
      </c>
      <c r="B1824" s="366" t="s">
        <v>231</v>
      </c>
      <c r="C1824" s="348" t="str">
        <f>DATA_PROPERTY_MASTER!$A$10</f>
        <v>BLD_EA</v>
      </c>
      <c r="D1824" s="380">
        <f>'00_PORTFOLIO ROLLUP'!J$12</f>
        <v>2030</v>
      </c>
      <c r="E1824" s="366" t="s">
        <v>1683</v>
      </c>
      <c r="F1824" s="366" t="s">
        <v>341</v>
      </c>
      <c r="G1824" s="348" t="str">
        <f>"'"&amp;$C1824&amp;"'!$E$24:$Y$24"</f>
        <v>'BLD_EA'!$E$24:$Y$24</v>
      </c>
      <c r="H1824" s="381">
        <f ca="1">IF(IFERROR(INDEX(DATA_PROPERTY_MASTER!$E$5:$E$21,MATCH($C1824,DATA_PROPERTY_MASTER!$A$5:$A$21,0))="Yes",FALSE),IFERROR(INDEX(INDIRECT("'"&amp;$C1824&amp;"'!$E$24:$Y$24"),1,MATCH($D1824,INDIRECT("'"&amp;$C1824&amp;"'!$E$12:$Y$12"),0)),0),0)</f>
        <v>1096801.260615777</v>
      </c>
      <c r="I1824" s="366" t="s">
        <v>1685</v>
      </c>
      <c r="J1824" s="348" t="str">
        <f t="shared" ca="1" si="56"/>
        <v>OK</v>
      </c>
      <c r="K1824" s="366" t="s">
        <v>1686</v>
      </c>
      <c r="L1824" s="366" t="s">
        <v>2234</v>
      </c>
      <c r="M1824" s="350" t="str">
        <f>IF($B1824="Portfolio","Portfolio",IFERROR(INDEX(DATA_ASSET_CLASSIFICATION!$B$8:$B$24,MATCH($C1824,DATA_ASSET_CLASSIFICATION!$A$8:$A$24,0)),"Review"))</f>
        <v>Evergreen Apartments</v>
      </c>
      <c r="N1824" s="350" t="str">
        <f ca="1">IF($B1824="Portfolio","Portfolio",IFERROR(INDEX(DATA_ASSET_CLASSIFICATION!$U$8:$U$24,MATCH($C1824,DATA_ASSET_CLASSIFICATION!$A$8:$A$24,0)),"Review"))</f>
        <v>Refi Watch</v>
      </c>
      <c r="O1824" s="350" t="str">
        <f ca="1">IF($B1824="Portfolio","Portfolio",IFERROR(INDEX(DATA_ASSET_CLASSIFICATION!$AB$8:$AB$13,MATCH($N1824,DATA_ASSET_CLASSIFICATION!$AA$8:$AA$13,0)),"Review"))</f>
        <v>Bucket 2 · Legacy</v>
      </c>
      <c r="P1824" s="350" t="str">
        <f>IF($B1824="Portfolio","Portfolio",IFERROR(INDEX(DATA_ASSET_CLASSIFICATION!$C$8:$C$24,MATCH($C1824,DATA_ASSET_CLASSIFICATION!$A$8:$A$24,0)),"Review"))</f>
        <v>Yes</v>
      </c>
      <c r="Q1824" s="350" t="str">
        <f t="shared" ca="1" si="57"/>
        <v>OK</v>
      </c>
    </row>
    <row r="1825" spans="1:17" ht="30">
      <c r="A1825" s="366" t="s">
        <v>3781</v>
      </c>
      <c r="B1825" s="366" t="s">
        <v>231</v>
      </c>
      <c r="C1825" s="348" t="str">
        <f>DATA_PROPERTY_MASTER!$A$10</f>
        <v>BLD_EA</v>
      </c>
      <c r="D1825" s="380">
        <f>'00_PORTFOLIO ROLLUP'!J$12</f>
        <v>2030</v>
      </c>
      <c r="E1825" s="366" t="s">
        <v>1683</v>
      </c>
      <c r="F1825" s="366" t="s">
        <v>355</v>
      </c>
      <c r="G1825" s="348" t="str">
        <f>"'"&amp;$C1825&amp;"'!$E$39:$Y$39"</f>
        <v>'BLD_EA'!$E$39:$Y$39</v>
      </c>
      <c r="H1825" s="381">
        <f ca="1">IF(IFERROR(INDEX(DATA_PROPERTY_MASTER!$E$5:$E$21,MATCH($C1825,DATA_PROPERTY_MASTER!$A$5:$A$21,0))="Yes",FALSE),IFERROR(INDEX(INDIRECT("'"&amp;$C1825&amp;"'!$E$39:$Y$39"),1,MATCH($D1825,INDIRECT("'"&amp;$C1825&amp;"'!$E$12:$Y$12"),0)),0),0)</f>
        <v>503126.12468817935</v>
      </c>
      <c r="I1825" s="366" t="s">
        <v>1690</v>
      </c>
      <c r="J1825" s="348" t="str">
        <f t="shared" ca="1" si="56"/>
        <v>OK</v>
      </c>
      <c r="K1825" s="366" t="s">
        <v>1686</v>
      </c>
      <c r="L1825" s="366" t="s">
        <v>2236</v>
      </c>
      <c r="M1825" s="350" t="str">
        <f>IF($B1825="Portfolio","Portfolio",IFERROR(INDEX(DATA_ASSET_CLASSIFICATION!$B$8:$B$24,MATCH($C1825,DATA_ASSET_CLASSIFICATION!$A$8:$A$24,0)),"Review"))</f>
        <v>Evergreen Apartments</v>
      </c>
      <c r="N1825" s="350" t="str">
        <f ca="1">IF($B1825="Portfolio","Portfolio",IFERROR(INDEX(DATA_ASSET_CLASSIFICATION!$U$8:$U$24,MATCH($C1825,DATA_ASSET_CLASSIFICATION!$A$8:$A$24,0)),"Review"))</f>
        <v>Refi Watch</v>
      </c>
      <c r="O1825" s="350" t="str">
        <f ca="1">IF($B1825="Portfolio","Portfolio",IFERROR(INDEX(DATA_ASSET_CLASSIFICATION!$AB$8:$AB$13,MATCH($N1825,DATA_ASSET_CLASSIFICATION!$AA$8:$AA$13,0)),"Review"))</f>
        <v>Bucket 2 · Legacy</v>
      </c>
      <c r="P1825" s="350" t="str">
        <f>IF($B1825="Portfolio","Portfolio",IFERROR(INDEX(DATA_ASSET_CLASSIFICATION!$C$8:$C$24,MATCH($C1825,DATA_ASSET_CLASSIFICATION!$A$8:$A$24,0)),"Review"))</f>
        <v>Yes</v>
      </c>
      <c r="Q1825" s="350" t="str">
        <f t="shared" ca="1" si="57"/>
        <v>OK</v>
      </c>
    </row>
    <row r="1826" spans="1:17" ht="30">
      <c r="A1826" s="366" t="s">
        <v>3782</v>
      </c>
      <c r="B1826" s="366" t="s">
        <v>231</v>
      </c>
      <c r="C1826" s="348" t="str">
        <f>DATA_PROPERTY_MASTER!$A$10</f>
        <v>BLD_EA</v>
      </c>
      <c r="D1826" s="380">
        <f>'00_PORTFOLIO ROLLUP'!J$12</f>
        <v>2030</v>
      </c>
      <c r="E1826" s="366" t="s">
        <v>1683</v>
      </c>
      <c r="F1826" s="366" t="s">
        <v>19</v>
      </c>
      <c r="G1826" s="348" t="str">
        <f>"'"&amp;$C1826&amp;"'!$E$41:$Y$41"</f>
        <v>'BLD_EA'!$E$41:$Y$41</v>
      </c>
      <c r="H1826" s="381">
        <f ca="1">IF(IFERROR(INDEX(DATA_PROPERTY_MASTER!$E$5:$E$21,MATCH($C1826,DATA_PROPERTY_MASTER!$A$5:$A$21,0))="Yes",FALSE),IFERROR(INDEX(INDIRECT("'"&amp;$C1826&amp;"'!$E$41:$Y$41"),1,MATCH($D1826,INDIRECT("'"&amp;$C1826&amp;"'!$E$12:$Y$12"),0)),0),0)</f>
        <v>593675.13592759764</v>
      </c>
      <c r="I1826" s="366" t="s">
        <v>1685</v>
      </c>
      <c r="J1826" s="348" t="str">
        <f t="shared" ca="1" si="56"/>
        <v>OK</v>
      </c>
      <c r="K1826" s="366" t="s">
        <v>1694</v>
      </c>
      <c r="L1826" s="366" t="s">
        <v>2238</v>
      </c>
      <c r="M1826" s="350" t="str">
        <f>IF($B1826="Portfolio","Portfolio",IFERROR(INDEX(DATA_ASSET_CLASSIFICATION!$B$8:$B$24,MATCH($C1826,DATA_ASSET_CLASSIFICATION!$A$8:$A$24,0)),"Review"))</f>
        <v>Evergreen Apartments</v>
      </c>
      <c r="N1826" s="350" t="str">
        <f ca="1">IF($B1826="Portfolio","Portfolio",IFERROR(INDEX(DATA_ASSET_CLASSIFICATION!$U$8:$U$24,MATCH($C1826,DATA_ASSET_CLASSIFICATION!$A$8:$A$24,0)),"Review"))</f>
        <v>Refi Watch</v>
      </c>
      <c r="O1826" s="350" t="str">
        <f ca="1">IF($B1826="Portfolio","Portfolio",IFERROR(INDEX(DATA_ASSET_CLASSIFICATION!$AB$8:$AB$13,MATCH($N1826,DATA_ASSET_CLASSIFICATION!$AA$8:$AA$13,0)),"Review"))</f>
        <v>Bucket 2 · Legacy</v>
      </c>
      <c r="P1826" s="350" t="str">
        <f>IF($B1826="Portfolio","Portfolio",IFERROR(INDEX(DATA_ASSET_CLASSIFICATION!$C$8:$C$24,MATCH($C1826,DATA_ASSET_CLASSIFICATION!$A$8:$A$24,0)),"Review"))</f>
        <v>Yes</v>
      </c>
      <c r="Q1826" s="350" t="str">
        <f t="shared" ca="1" si="57"/>
        <v>OK</v>
      </c>
    </row>
    <row r="1827" spans="1:17" ht="30">
      <c r="A1827" s="366" t="s">
        <v>3783</v>
      </c>
      <c r="B1827" s="366" t="s">
        <v>231</v>
      </c>
      <c r="C1827" s="348" t="str">
        <f>DATA_PROPERTY_MASTER!$A$10</f>
        <v>BLD_EA</v>
      </c>
      <c r="D1827" s="380">
        <f>'00_PORTFOLIO ROLLUP'!J$12</f>
        <v>2030</v>
      </c>
      <c r="E1827" s="366" t="s">
        <v>1683</v>
      </c>
      <c r="F1827" s="366" t="s">
        <v>1697</v>
      </c>
      <c r="G1827" s="348" t="str">
        <f>"'"&amp;$C1827&amp;"'!$E$44:$Y$44"</f>
        <v>'BLD_EA'!$E$44:$Y$44</v>
      </c>
      <c r="H1827" s="381">
        <f ca="1">IF(IFERROR(INDEX(DATA_PROPERTY_MASTER!$E$5:$E$21,MATCH($C1827,DATA_PROPERTY_MASTER!$A$5:$A$21,0))="Yes",FALSE),IFERROR(INDEX(INDIRECT("'"&amp;$C1827&amp;"'!$E$44:$Y$44"),1,MATCH($D1827,INDIRECT("'"&amp;$C1827&amp;"'!$E$12:$Y$12"),0)),0),0)</f>
        <v>10102.339349280001</v>
      </c>
      <c r="I1827" s="366" t="s">
        <v>1690</v>
      </c>
      <c r="J1827" s="348" t="str">
        <f t="shared" ca="1" si="56"/>
        <v>OK</v>
      </c>
      <c r="K1827" s="366" t="s">
        <v>1699</v>
      </c>
      <c r="L1827" s="366" t="s">
        <v>2240</v>
      </c>
      <c r="M1827" s="350" t="str">
        <f>IF($B1827="Portfolio","Portfolio",IFERROR(INDEX(DATA_ASSET_CLASSIFICATION!$B$8:$B$24,MATCH($C1827,DATA_ASSET_CLASSIFICATION!$A$8:$A$24,0)),"Review"))</f>
        <v>Evergreen Apartments</v>
      </c>
      <c r="N1827" s="350" t="str">
        <f ca="1">IF($B1827="Portfolio","Portfolio",IFERROR(INDEX(DATA_ASSET_CLASSIFICATION!$U$8:$U$24,MATCH($C1827,DATA_ASSET_CLASSIFICATION!$A$8:$A$24,0)),"Review"))</f>
        <v>Refi Watch</v>
      </c>
      <c r="O1827" s="350" t="str">
        <f ca="1">IF($B1827="Portfolio","Portfolio",IFERROR(INDEX(DATA_ASSET_CLASSIFICATION!$AB$8:$AB$13,MATCH($N1827,DATA_ASSET_CLASSIFICATION!$AA$8:$AA$13,0)),"Review"))</f>
        <v>Bucket 2 · Legacy</v>
      </c>
      <c r="P1827" s="350" t="str">
        <f>IF($B1827="Portfolio","Portfolio",IFERROR(INDEX(DATA_ASSET_CLASSIFICATION!$C$8:$C$24,MATCH($C1827,DATA_ASSET_CLASSIFICATION!$A$8:$A$24,0)),"Review"))</f>
        <v>Yes</v>
      </c>
      <c r="Q1827" s="350" t="str">
        <f t="shared" ca="1" si="57"/>
        <v>OK</v>
      </c>
    </row>
    <row r="1828" spans="1:17" ht="30">
      <c r="A1828" s="366" t="s">
        <v>3784</v>
      </c>
      <c r="B1828" s="366" t="s">
        <v>231</v>
      </c>
      <c r="C1828" s="348" t="str">
        <f>DATA_PROPERTY_MASTER!$A$10</f>
        <v>BLD_EA</v>
      </c>
      <c r="D1828" s="380">
        <f>'00_PORTFOLIO ROLLUP'!J$12</f>
        <v>2030</v>
      </c>
      <c r="E1828" s="366" t="s">
        <v>1683</v>
      </c>
      <c r="F1828" s="366" t="s">
        <v>21</v>
      </c>
      <c r="G1828" s="348" t="str">
        <f>"'"&amp;$C1828&amp;"'!$E$45:$Y$45"</f>
        <v>'BLD_EA'!$E$45:$Y$45</v>
      </c>
      <c r="H1828" s="381">
        <f ca="1">IF(IFERROR(INDEX(DATA_PROPERTY_MASTER!$E$5:$E$21,MATCH($C1828,DATA_PROPERTY_MASTER!$A$5:$A$21,0))="Yes",FALSE),IFERROR(INDEX(INDIRECT("'"&amp;$C1828&amp;"'!$E$45:$Y$45"),1,MATCH($D1828,INDIRECT("'"&amp;$C1828&amp;"'!$E$12:$Y$12"),0)),0),0)</f>
        <v>583572.79657831765</v>
      </c>
      <c r="I1828" s="366" t="s">
        <v>1685</v>
      </c>
      <c r="J1828" s="348" t="str">
        <f t="shared" ca="1" si="56"/>
        <v>OK</v>
      </c>
      <c r="K1828" s="366" t="s">
        <v>1694</v>
      </c>
      <c r="L1828" s="366" t="s">
        <v>2242</v>
      </c>
      <c r="M1828" s="350" t="str">
        <f>IF($B1828="Portfolio","Portfolio",IFERROR(INDEX(DATA_ASSET_CLASSIFICATION!$B$8:$B$24,MATCH($C1828,DATA_ASSET_CLASSIFICATION!$A$8:$A$24,0)),"Review"))</f>
        <v>Evergreen Apartments</v>
      </c>
      <c r="N1828" s="350" t="str">
        <f ca="1">IF($B1828="Portfolio","Portfolio",IFERROR(INDEX(DATA_ASSET_CLASSIFICATION!$U$8:$U$24,MATCH($C1828,DATA_ASSET_CLASSIFICATION!$A$8:$A$24,0)),"Review"))</f>
        <v>Refi Watch</v>
      </c>
      <c r="O1828" s="350" t="str">
        <f ca="1">IF($B1828="Portfolio","Portfolio",IFERROR(INDEX(DATA_ASSET_CLASSIFICATION!$AB$8:$AB$13,MATCH($N1828,DATA_ASSET_CLASSIFICATION!$AA$8:$AA$13,0)),"Review"))</f>
        <v>Bucket 2 · Legacy</v>
      </c>
      <c r="P1828" s="350" t="str">
        <f>IF($B1828="Portfolio","Portfolio",IFERROR(INDEX(DATA_ASSET_CLASSIFICATION!$C$8:$C$24,MATCH($C1828,DATA_ASSET_CLASSIFICATION!$A$8:$A$24,0)),"Review"))</f>
        <v>Yes</v>
      </c>
      <c r="Q1828" s="350" t="str">
        <f t="shared" ca="1" si="57"/>
        <v>OK</v>
      </c>
    </row>
    <row r="1829" spans="1:17" ht="30">
      <c r="A1829" s="366" t="s">
        <v>3785</v>
      </c>
      <c r="B1829" s="366" t="s">
        <v>231</v>
      </c>
      <c r="C1829" s="348" t="str">
        <f>DATA_PROPERTY_MASTER!$A$10</f>
        <v>BLD_EA</v>
      </c>
      <c r="D1829" s="380">
        <f>'00_PORTFOLIO ROLLUP'!J$12</f>
        <v>2030</v>
      </c>
      <c r="E1829" s="366" t="s">
        <v>23</v>
      </c>
      <c r="F1829" s="366" t="s">
        <v>23</v>
      </c>
      <c r="G1829" s="348" t="str">
        <f>"'"&amp;$C1829&amp;"'!$E$48:$Y$48"</f>
        <v>'BLD_EA'!$E$48:$Y$48</v>
      </c>
      <c r="H1829" s="381">
        <f ca="1">IF(IFERROR(INDEX(DATA_PROPERTY_MASTER!$E$5:$E$21,MATCH($C1829,DATA_PROPERTY_MASTER!$A$5:$A$21,0))="Yes",FALSE),IFERROR(INDEX(INDIRECT("'"&amp;$C1829&amp;"'!$E$48:$Y$48"),1,MATCH($D1829,INDIRECT("'"&amp;$C1829&amp;"'!$E$12:$Y$12"),0)),0),0)</f>
        <v>297840</v>
      </c>
      <c r="I1829" s="366" t="s">
        <v>1690</v>
      </c>
      <c r="J1829" s="348" t="str">
        <f t="shared" ca="1" si="56"/>
        <v>OK</v>
      </c>
      <c r="K1829" s="366" t="s">
        <v>1706</v>
      </c>
      <c r="L1829" s="366" t="s">
        <v>2244</v>
      </c>
      <c r="M1829" s="350" t="str">
        <f>IF($B1829="Portfolio","Portfolio",IFERROR(INDEX(DATA_ASSET_CLASSIFICATION!$B$8:$B$24,MATCH($C1829,DATA_ASSET_CLASSIFICATION!$A$8:$A$24,0)),"Review"))</f>
        <v>Evergreen Apartments</v>
      </c>
      <c r="N1829" s="350" t="str">
        <f ca="1">IF($B1829="Portfolio","Portfolio",IFERROR(INDEX(DATA_ASSET_CLASSIFICATION!$U$8:$U$24,MATCH($C1829,DATA_ASSET_CLASSIFICATION!$A$8:$A$24,0)),"Review"))</f>
        <v>Refi Watch</v>
      </c>
      <c r="O1829" s="350" t="str">
        <f ca="1">IF($B1829="Portfolio","Portfolio",IFERROR(INDEX(DATA_ASSET_CLASSIFICATION!$AB$8:$AB$13,MATCH($N1829,DATA_ASSET_CLASSIFICATION!$AA$8:$AA$13,0)),"Review"))</f>
        <v>Bucket 2 · Legacy</v>
      </c>
      <c r="P1829" s="350" t="str">
        <f>IF($B1829="Portfolio","Portfolio",IFERROR(INDEX(DATA_ASSET_CLASSIFICATION!$C$8:$C$24,MATCH($C1829,DATA_ASSET_CLASSIFICATION!$A$8:$A$24,0)),"Review"))</f>
        <v>Yes</v>
      </c>
      <c r="Q1829" s="350" t="str">
        <f t="shared" ca="1" si="57"/>
        <v>OK</v>
      </c>
    </row>
    <row r="1830" spans="1:17" ht="30">
      <c r="A1830" s="366" t="s">
        <v>3786</v>
      </c>
      <c r="B1830" s="366" t="s">
        <v>231</v>
      </c>
      <c r="C1830" s="348" t="str">
        <f>DATA_PROPERTY_MASTER!$A$10</f>
        <v>BLD_EA</v>
      </c>
      <c r="D1830" s="380">
        <f>'00_PORTFOLIO ROLLUP'!J$12</f>
        <v>2030</v>
      </c>
      <c r="E1830" s="366" t="s">
        <v>1683</v>
      </c>
      <c r="F1830" s="366" t="s">
        <v>25</v>
      </c>
      <c r="G1830" s="348" t="str">
        <f>"'"&amp;$C1830&amp;"'!$E$52:$Y$52"</f>
        <v>'BLD_EA'!$E$52:$Y$52</v>
      </c>
      <c r="H1830" s="381">
        <f ca="1">IF(IFERROR(INDEX(DATA_PROPERTY_MASTER!$E$5:$E$21,MATCH($C1830,DATA_PROPERTY_MASTER!$A$5:$A$21,0))="Yes",FALSE),IFERROR(INDEX(INDIRECT("'"&amp;$C1830&amp;"'!$E$52:$Y$52"),1,MATCH($D1830,INDIRECT("'"&amp;$C1830&amp;"'!$E$12:$Y$12"),0)),0),0)</f>
        <v>295835.13592759764</v>
      </c>
      <c r="I1830" s="366" t="s">
        <v>1685</v>
      </c>
      <c r="J1830" s="348" t="str">
        <f t="shared" ca="1" si="56"/>
        <v>OK</v>
      </c>
      <c r="K1830" s="366" t="s">
        <v>1710</v>
      </c>
      <c r="L1830" s="366" t="s">
        <v>2246</v>
      </c>
      <c r="M1830" s="350" t="str">
        <f>IF($B1830="Portfolio","Portfolio",IFERROR(INDEX(DATA_ASSET_CLASSIFICATION!$B$8:$B$24,MATCH($C1830,DATA_ASSET_CLASSIFICATION!$A$8:$A$24,0)),"Review"))</f>
        <v>Evergreen Apartments</v>
      </c>
      <c r="N1830" s="350" t="str">
        <f ca="1">IF($B1830="Portfolio","Portfolio",IFERROR(INDEX(DATA_ASSET_CLASSIFICATION!$U$8:$U$24,MATCH($C1830,DATA_ASSET_CLASSIFICATION!$A$8:$A$24,0)),"Review"))</f>
        <v>Refi Watch</v>
      </c>
      <c r="O1830" s="350" t="str">
        <f ca="1">IF($B1830="Portfolio","Portfolio",IFERROR(INDEX(DATA_ASSET_CLASSIFICATION!$AB$8:$AB$13,MATCH($N1830,DATA_ASSET_CLASSIFICATION!$AA$8:$AA$13,0)),"Review"))</f>
        <v>Bucket 2 · Legacy</v>
      </c>
      <c r="P1830" s="350" t="str">
        <f>IF($B1830="Portfolio","Portfolio",IFERROR(INDEX(DATA_ASSET_CLASSIFICATION!$C$8:$C$24,MATCH($C1830,DATA_ASSET_CLASSIFICATION!$A$8:$A$24,0)),"Review"))</f>
        <v>Yes</v>
      </c>
      <c r="Q1830" s="350" t="str">
        <f t="shared" ca="1" si="57"/>
        <v>OK</v>
      </c>
    </row>
    <row r="1831" spans="1:17" ht="30">
      <c r="A1831" s="366" t="s">
        <v>3787</v>
      </c>
      <c r="B1831" s="366" t="s">
        <v>231</v>
      </c>
      <c r="C1831" s="348" t="str">
        <f>DATA_PROPERTY_MASTER!$A$10</f>
        <v>BLD_EA</v>
      </c>
      <c r="D1831" s="380">
        <f>'00_PORTFOLIO ROLLUP'!J$12</f>
        <v>2030</v>
      </c>
      <c r="E1831" s="366" t="s">
        <v>1683</v>
      </c>
      <c r="F1831" s="366" t="s">
        <v>27</v>
      </c>
      <c r="G1831" s="348" t="str">
        <f>"'"&amp;$C1831&amp;"'!$E$54:$Y$54"</f>
        <v>'BLD_EA'!$E$54:$Y$54</v>
      </c>
      <c r="H1831" s="381">
        <f ca="1">IF(IFERROR(INDEX(DATA_PROPERTY_MASTER!$E$5:$E$21,MATCH($C1831,DATA_PROPERTY_MASTER!$A$5:$A$21,0))="Yes",FALSE),IFERROR(INDEX(INDIRECT("'"&amp;$C1831&amp;"'!$E$54:$Y$54"),1,MATCH($D1831,INDIRECT("'"&amp;$C1831&amp;"'!$E$12:$Y$12"),0)),0),0)</f>
        <v>177501.08155655858</v>
      </c>
      <c r="I1831" s="366" t="s">
        <v>1690</v>
      </c>
      <c r="J1831" s="348" t="str">
        <f t="shared" ca="1" si="56"/>
        <v>OK</v>
      </c>
      <c r="K1831" s="366" t="s">
        <v>1714</v>
      </c>
      <c r="L1831" s="366" t="s">
        <v>2248</v>
      </c>
      <c r="M1831" s="350" t="str">
        <f>IF($B1831="Portfolio","Portfolio",IFERROR(INDEX(DATA_ASSET_CLASSIFICATION!$B$8:$B$24,MATCH($C1831,DATA_ASSET_CLASSIFICATION!$A$8:$A$24,0)),"Review"))</f>
        <v>Evergreen Apartments</v>
      </c>
      <c r="N1831" s="350" t="str">
        <f ca="1">IF($B1831="Portfolio","Portfolio",IFERROR(INDEX(DATA_ASSET_CLASSIFICATION!$U$8:$U$24,MATCH($C1831,DATA_ASSET_CLASSIFICATION!$A$8:$A$24,0)),"Review"))</f>
        <v>Refi Watch</v>
      </c>
      <c r="O1831" s="350" t="str">
        <f ca="1">IF($B1831="Portfolio","Portfolio",IFERROR(INDEX(DATA_ASSET_CLASSIFICATION!$AB$8:$AB$13,MATCH($N1831,DATA_ASSET_CLASSIFICATION!$AA$8:$AA$13,0)),"Review"))</f>
        <v>Bucket 2 · Legacy</v>
      </c>
      <c r="P1831" s="350" t="str">
        <f>IF($B1831="Portfolio","Portfolio",IFERROR(INDEX(DATA_ASSET_CLASSIFICATION!$C$8:$C$24,MATCH($C1831,DATA_ASSET_CLASSIFICATION!$A$8:$A$24,0)),"Review"))</f>
        <v>Yes</v>
      </c>
      <c r="Q1831" s="350" t="str">
        <f t="shared" ca="1" si="57"/>
        <v>OK</v>
      </c>
    </row>
    <row r="1832" spans="1:17" ht="30">
      <c r="A1832" s="366" t="s">
        <v>3788</v>
      </c>
      <c r="B1832" s="366" t="s">
        <v>231</v>
      </c>
      <c r="C1832" s="348" t="str">
        <f>DATA_PROPERTY_MASTER!$A$10</f>
        <v>BLD_EA</v>
      </c>
      <c r="D1832" s="380">
        <f>'00_PORTFOLIO ROLLUP'!J$12</f>
        <v>2030</v>
      </c>
      <c r="E1832" s="366" t="s">
        <v>1683</v>
      </c>
      <c r="F1832" s="366" t="s">
        <v>29</v>
      </c>
      <c r="G1832" s="348" t="str">
        <f>"'"&amp;$C1832&amp;"'!$E$56:$Y$56"</f>
        <v>'BLD_EA'!$E$56:$Y$56</v>
      </c>
      <c r="H1832" s="381">
        <f ca="1">IF(IFERROR(INDEX(DATA_PROPERTY_MASTER!$E$5:$E$21,MATCH($C1832,DATA_PROPERTY_MASTER!$A$5:$A$21,0))="Yes",FALSE),IFERROR(INDEX(INDIRECT("'"&amp;$C1832&amp;"'!$E$56:$Y$56"),1,MATCH($D1832,INDIRECT("'"&amp;$C1832&amp;"'!$E$12:$Y$12"),0)),0),0)</f>
        <v>118334.05437103906</v>
      </c>
      <c r="I1832" s="366" t="s">
        <v>1685</v>
      </c>
      <c r="J1832" s="348" t="str">
        <f t="shared" ca="1" si="56"/>
        <v>OK</v>
      </c>
      <c r="K1832" s="366" t="s">
        <v>1718</v>
      </c>
      <c r="L1832" s="366" t="s">
        <v>2250</v>
      </c>
      <c r="M1832" s="350" t="str">
        <f>IF($B1832="Portfolio","Portfolio",IFERROR(INDEX(DATA_ASSET_CLASSIFICATION!$B$8:$B$24,MATCH($C1832,DATA_ASSET_CLASSIFICATION!$A$8:$A$24,0)),"Review"))</f>
        <v>Evergreen Apartments</v>
      </c>
      <c r="N1832" s="350" t="str">
        <f ca="1">IF($B1832="Portfolio","Portfolio",IFERROR(INDEX(DATA_ASSET_CLASSIFICATION!$U$8:$U$24,MATCH($C1832,DATA_ASSET_CLASSIFICATION!$A$8:$A$24,0)),"Review"))</f>
        <v>Refi Watch</v>
      </c>
      <c r="O1832" s="350" t="str">
        <f ca="1">IF($B1832="Portfolio","Portfolio",IFERROR(INDEX(DATA_ASSET_CLASSIFICATION!$AB$8:$AB$13,MATCH($N1832,DATA_ASSET_CLASSIFICATION!$AA$8:$AA$13,0)),"Review"))</f>
        <v>Bucket 2 · Legacy</v>
      </c>
      <c r="P1832" s="350" t="str">
        <f>IF($B1832="Portfolio","Portfolio",IFERROR(INDEX(DATA_ASSET_CLASSIFICATION!$C$8:$C$24,MATCH($C1832,DATA_ASSET_CLASSIFICATION!$A$8:$A$24,0)),"Review"))</f>
        <v>Yes</v>
      </c>
      <c r="Q1832" s="350" t="str">
        <f t="shared" ca="1" si="57"/>
        <v>OK</v>
      </c>
    </row>
    <row r="1833" spans="1:17" ht="30">
      <c r="A1833" s="366" t="s">
        <v>3789</v>
      </c>
      <c r="B1833" s="366" t="s">
        <v>231</v>
      </c>
      <c r="C1833" s="348" t="str">
        <f>DATA_PROPERTY_MASTER!$A$10</f>
        <v>BLD_EA</v>
      </c>
      <c r="D1833" s="380">
        <f>'00_PORTFOLIO ROLLUP'!J$12</f>
        <v>2030</v>
      </c>
      <c r="E1833" s="366" t="s">
        <v>1721</v>
      </c>
      <c r="F1833" s="366" t="s">
        <v>31</v>
      </c>
      <c r="G1833" s="348" t="str">
        <f>"'"&amp;$C1833&amp;"'!$E$61:$Y$61"</f>
        <v>'BLD_EA'!$E$61:$Y$61</v>
      </c>
      <c r="H1833" s="381">
        <f ca="1">IF(IFERROR(INDEX(DATA_PROPERTY_MASTER!$E$5:$E$21,MATCH($C1833,DATA_PROPERTY_MASTER!$A$5:$A$21,0))="Yes",FALSE),IFERROR(INDEX(INDIRECT("'"&amp;$C1833&amp;"'!$E$61:$Y$61"),1,MATCH($D1833,INDIRECT("'"&amp;$C1833&amp;"'!$E$12:$Y$12"),0)),0),0)</f>
        <v>0</v>
      </c>
      <c r="I1833" s="366" t="s">
        <v>1690</v>
      </c>
      <c r="J1833" s="348" t="str">
        <f t="shared" ca="1" si="56"/>
        <v>OK</v>
      </c>
      <c r="K1833" s="366" t="s">
        <v>1723</v>
      </c>
      <c r="L1833" s="366" t="s">
        <v>2252</v>
      </c>
      <c r="M1833" s="350" t="str">
        <f>IF($B1833="Portfolio","Portfolio",IFERROR(INDEX(DATA_ASSET_CLASSIFICATION!$B$8:$B$24,MATCH($C1833,DATA_ASSET_CLASSIFICATION!$A$8:$A$24,0)),"Review"))</f>
        <v>Evergreen Apartments</v>
      </c>
      <c r="N1833" s="350" t="str">
        <f ca="1">IF($B1833="Portfolio","Portfolio",IFERROR(INDEX(DATA_ASSET_CLASSIFICATION!$U$8:$U$24,MATCH($C1833,DATA_ASSET_CLASSIFICATION!$A$8:$A$24,0)),"Review"))</f>
        <v>Refi Watch</v>
      </c>
      <c r="O1833" s="350" t="str">
        <f ca="1">IF($B1833="Portfolio","Portfolio",IFERROR(INDEX(DATA_ASSET_CLASSIFICATION!$AB$8:$AB$13,MATCH($N1833,DATA_ASSET_CLASSIFICATION!$AA$8:$AA$13,0)),"Review"))</f>
        <v>Bucket 2 · Legacy</v>
      </c>
      <c r="P1833" s="350" t="str">
        <f>IF($B1833="Portfolio","Portfolio",IFERROR(INDEX(DATA_ASSET_CLASSIFICATION!$C$8:$C$24,MATCH($C1833,DATA_ASSET_CLASSIFICATION!$A$8:$A$24,0)),"Review"))</f>
        <v>Yes</v>
      </c>
      <c r="Q1833" s="350" t="str">
        <f t="shared" ca="1" si="57"/>
        <v>OK</v>
      </c>
    </row>
    <row r="1834" spans="1:17" ht="30">
      <c r="A1834" s="366" t="s">
        <v>3790</v>
      </c>
      <c r="B1834" s="366" t="s">
        <v>231</v>
      </c>
      <c r="C1834" s="348" t="str">
        <f>DATA_PROPERTY_MASTER!$A$10</f>
        <v>BLD_EA</v>
      </c>
      <c r="D1834" s="380">
        <f>'00_PORTFOLIO ROLLUP'!J$12</f>
        <v>2030</v>
      </c>
      <c r="E1834" s="366" t="s">
        <v>1721</v>
      </c>
      <c r="F1834" s="366" t="s">
        <v>33</v>
      </c>
      <c r="G1834" s="348" t="str">
        <f>"'"&amp;$C1834&amp;"'!$E$62:$Y$62"</f>
        <v>'BLD_EA'!$E$62:$Y$62</v>
      </c>
      <c r="H1834" s="381">
        <f ca="1">IF(IFERROR(INDEX(DATA_PROPERTY_MASTER!$E$5:$E$21,MATCH($C1834,DATA_PROPERTY_MASTER!$A$5:$A$21,0))="Yes",FALSE),IFERROR(INDEX(INDIRECT("'"&amp;$C1834&amp;"'!$E$62:$Y$62"),1,MATCH($D1834,INDIRECT("'"&amp;$C1834&amp;"'!$E$12:$Y$12"),0)),0),0)</f>
        <v>0</v>
      </c>
      <c r="I1834" s="366" t="s">
        <v>1685</v>
      </c>
      <c r="J1834" s="348" t="str">
        <f t="shared" ca="1" si="56"/>
        <v>OK</v>
      </c>
      <c r="K1834" s="366" t="s">
        <v>1727</v>
      </c>
      <c r="L1834" s="366" t="s">
        <v>2254</v>
      </c>
      <c r="M1834" s="350" t="str">
        <f>IF($B1834="Portfolio","Portfolio",IFERROR(INDEX(DATA_ASSET_CLASSIFICATION!$B$8:$B$24,MATCH($C1834,DATA_ASSET_CLASSIFICATION!$A$8:$A$24,0)),"Review"))</f>
        <v>Evergreen Apartments</v>
      </c>
      <c r="N1834" s="350" t="str">
        <f ca="1">IF($B1834="Portfolio","Portfolio",IFERROR(INDEX(DATA_ASSET_CLASSIFICATION!$U$8:$U$24,MATCH($C1834,DATA_ASSET_CLASSIFICATION!$A$8:$A$24,0)),"Review"))</f>
        <v>Refi Watch</v>
      </c>
      <c r="O1834" s="350" t="str">
        <f ca="1">IF($B1834="Portfolio","Portfolio",IFERROR(INDEX(DATA_ASSET_CLASSIFICATION!$AB$8:$AB$13,MATCH($N1834,DATA_ASSET_CLASSIFICATION!$AA$8:$AA$13,0)),"Review"))</f>
        <v>Bucket 2 · Legacy</v>
      </c>
      <c r="P1834" s="350" t="str">
        <f>IF($B1834="Portfolio","Portfolio",IFERROR(INDEX(DATA_ASSET_CLASSIFICATION!$C$8:$C$24,MATCH($C1834,DATA_ASSET_CLASSIFICATION!$A$8:$A$24,0)),"Review"))</f>
        <v>Yes</v>
      </c>
      <c r="Q1834" s="350" t="str">
        <f t="shared" ca="1" si="57"/>
        <v>OK</v>
      </c>
    </row>
    <row r="1835" spans="1:17" ht="30">
      <c r="A1835" s="366" t="s">
        <v>3791</v>
      </c>
      <c r="B1835" s="366" t="s">
        <v>231</v>
      </c>
      <c r="C1835" s="348" t="str">
        <f>DATA_PROPERTY_MASTER!$A$10</f>
        <v>BLD_EA</v>
      </c>
      <c r="D1835" s="380">
        <f>'00_PORTFOLIO ROLLUP'!J$12</f>
        <v>2030</v>
      </c>
      <c r="E1835" s="366" t="s">
        <v>1721</v>
      </c>
      <c r="F1835" s="366" t="s">
        <v>35</v>
      </c>
      <c r="G1835" s="348" t="str">
        <f>"'"&amp;$C1835&amp;"'!$E$63:$Y$63"</f>
        <v>'BLD_EA'!$E$63:$Y$63</v>
      </c>
      <c r="H1835" s="381">
        <f ca="1">IF(IFERROR(INDEX(DATA_PROPERTY_MASTER!$E$5:$E$21,MATCH($C1835,DATA_PROPERTY_MASTER!$A$5:$A$21,0))="Yes",FALSE),IFERROR(INDEX(INDIRECT("'"&amp;$C1835&amp;"'!$E$63:$Y$63"),1,MATCH($D1835,INDIRECT("'"&amp;$C1835&amp;"'!$E$12:$Y$12"),0)),0),0)</f>
        <v>0</v>
      </c>
      <c r="I1835" s="366" t="s">
        <v>1731</v>
      </c>
      <c r="J1835" s="348" t="str">
        <f t="shared" ca="1" si="56"/>
        <v>OK</v>
      </c>
      <c r="K1835" s="366" t="s">
        <v>1732</v>
      </c>
      <c r="L1835" s="366" t="s">
        <v>2256</v>
      </c>
      <c r="M1835" s="350" t="str">
        <f>IF($B1835="Portfolio","Portfolio",IFERROR(INDEX(DATA_ASSET_CLASSIFICATION!$B$8:$B$24,MATCH($C1835,DATA_ASSET_CLASSIFICATION!$A$8:$A$24,0)),"Review"))</f>
        <v>Evergreen Apartments</v>
      </c>
      <c r="N1835" s="350" t="str">
        <f ca="1">IF($B1835="Portfolio","Portfolio",IFERROR(INDEX(DATA_ASSET_CLASSIFICATION!$U$8:$U$24,MATCH($C1835,DATA_ASSET_CLASSIFICATION!$A$8:$A$24,0)),"Review"))</f>
        <v>Refi Watch</v>
      </c>
      <c r="O1835" s="350" t="str">
        <f ca="1">IF($B1835="Portfolio","Portfolio",IFERROR(INDEX(DATA_ASSET_CLASSIFICATION!$AB$8:$AB$13,MATCH($N1835,DATA_ASSET_CLASSIFICATION!$AA$8:$AA$13,0)),"Review"))</f>
        <v>Bucket 2 · Legacy</v>
      </c>
      <c r="P1835" s="350" t="str">
        <f>IF($B1835="Portfolio","Portfolio",IFERROR(INDEX(DATA_ASSET_CLASSIFICATION!$C$8:$C$24,MATCH($C1835,DATA_ASSET_CLASSIFICATION!$A$8:$A$24,0)),"Review"))</f>
        <v>Yes</v>
      </c>
      <c r="Q1835" s="350" t="str">
        <f t="shared" ca="1" si="57"/>
        <v>OK</v>
      </c>
    </row>
    <row r="1836" spans="1:17" ht="30">
      <c r="A1836" s="366" t="s">
        <v>3792</v>
      </c>
      <c r="B1836" s="366" t="s">
        <v>231</v>
      </c>
      <c r="C1836" s="348" t="str">
        <f>DATA_PROPERTY_MASTER!$A$10</f>
        <v>BLD_EA</v>
      </c>
      <c r="D1836" s="380">
        <f>'00_PORTFOLIO ROLLUP'!J$12</f>
        <v>2030</v>
      </c>
      <c r="E1836" s="366" t="s">
        <v>1721</v>
      </c>
      <c r="F1836" s="366" t="s">
        <v>37</v>
      </c>
      <c r="G1836" s="348" t="str">
        <f>"'"&amp;$C1836&amp;"'!$E$63:$Y$63"</f>
        <v>'BLD_EA'!$E$63:$Y$63</v>
      </c>
      <c r="H1836" s="381">
        <f ca="1">IF(IFERROR(INDEX(DATA_PROPERTY_MASTER!$E$5:$E$21,MATCH($C1836,DATA_PROPERTY_MASTER!$A$5:$A$21,0))="Yes",FALSE),MAX(IFERROR(INDEX(INDIRECT("'"&amp;$C1836&amp;"'!$E$63:$Y$63"),1,MATCH($D1836,INDIRECT("'"&amp;$C1836&amp;"'!$E$12:$Y$12"),0)),0),0),0)</f>
        <v>0</v>
      </c>
      <c r="I1836" s="366" t="s">
        <v>1685</v>
      </c>
      <c r="J1836" s="348" t="str">
        <f t="shared" ca="1" si="56"/>
        <v>OK</v>
      </c>
      <c r="K1836" s="366" t="s">
        <v>1735</v>
      </c>
      <c r="L1836" s="366" t="s">
        <v>2258</v>
      </c>
      <c r="M1836" s="350" t="str">
        <f>IF($B1836="Portfolio","Portfolio",IFERROR(INDEX(DATA_ASSET_CLASSIFICATION!$B$8:$B$24,MATCH($C1836,DATA_ASSET_CLASSIFICATION!$A$8:$A$24,0)),"Review"))</f>
        <v>Evergreen Apartments</v>
      </c>
      <c r="N1836" s="350" t="str">
        <f ca="1">IF($B1836="Portfolio","Portfolio",IFERROR(INDEX(DATA_ASSET_CLASSIFICATION!$U$8:$U$24,MATCH($C1836,DATA_ASSET_CLASSIFICATION!$A$8:$A$24,0)),"Review"))</f>
        <v>Refi Watch</v>
      </c>
      <c r="O1836" s="350" t="str">
        <f ca="1">IF($B1836="Portfolio","Portfolio",IFERROR(INDEX(DATA_ASSET_CLASSIFICATION!$AB$8:$AB$13,MATCH($N1836,DATA_ASSET_CLASSIFICATION!$AA$8:$AA$13,0)),"Review"))</f>
        <v>Bucket 2 · Legacy</v>
      </c>
      <c r="P1836" s="350" t="str">
        <f>IF($B1836="Portfolio","Portfolio",IFERROR(INDEX(DATA_ASSET_CLASSIFICATION!$C$8:$C$24,MATCH($C1836,DATA_ASSET_CLASSIFICATION!$A$8:$A$24,0)),"Review"))</f>
        <v>Yes</v>
      </c>
      <c r="Q1836" s="350" t="str">
        <f t="shared" ca="1" si="57"/>
        <v>OK</v>
      </c>
    </row>
    <row r="1837" spans="1:17" ht="30">
      <c r="A1837" s="366" t="s">
        <v>3793</v>
      </c>
      <c r="B1837" s="366" t="s">
        <v>231</v>
      </c>
      <c r="C1837" s="348" t="str">
        <f>DATA_PROPERTY_MASTER!$A$10</f>
        <v>BLD_EA</v>
      </c>
      <c r="D1837" s="380">
        <f>'00_PORTFOLIO ROLLUP'!J$12</f>
        <v>2030</v>
      </c>
      <c r="E1837" s="366" t="s">
        <v>1721</v>
      </c>
      <c r="F1837" s="366" t="s">
        <v>39</v>
      </c>
      <c r="G1837" s="348" t="str">
        <f>"'"&amp;$C1837&amp;"'!$E$63:$Y$63"</f>
        <v>'BLD_EA'!$E$63:$Y$63</v>
      </c>
      <c r="H1837" s="381">
        <f ca="1">IF(IFERROR(INDEX(DATA_PROPERTY_MASTER!$E$5:$E$21,MATCH($C1837,DATA_PROPERTY_MASTER!$A$5:$A$21,0))="Yes",FALSE),MAX(-IFERROR(INDEX(INDIRECT("'"&amp;$C1837&amp;"'!$E$63:$Y$63"),1,MATCH($D1837,INDIRECT("'"&amp;$C1837&amp;"'!$E$12:$Y$12"),0)),0),0),0)</f>
        <v>0</v>
      </c>
      <c r="I1837" s="366" t="s">
        <v>1690</v>
      </c>
      <c r="J1837" s="348" t="str">
        <f t="shared" ca="1" si="56"/>
        <v>OK</v>
      </c>
      <c r="K1837" s="366" t="s">
        <v>1738</v>
      </c>
      <c r="L1837" s="366" t="s">
        <v>2260</v>
      </c>
      <c r="M1837" s="350" t="str">
        <f>IF($B1837="Portfolio","Portfolio",IFERROR(INDEX(DATA_ASSET_CLASSIFICATION!$B$8:$B$24,MATCH($C1837,DATA_ASSET_CLASSIFICATION!$A$8:$A$24,0)),"Review"))</f>
        <v>Evergreen Apartments</v>
      </c>
      <c r="N1837" s="350" t="str">
        <f ca="1">IF($B1837="Portfolio","Portfolio",IFERROR(INDEX(DATA_ASSET_CLASSIFICATION!$U$8:$U$24,MATCH($C1837,DATA_ASSET_CLASSIFICATION!$A$8:$A$24,0)),"Review"))</f>
        <v>Refi Watch</v>
      </c>
      <c r="O1837" s="350" t="str">
        <f ca="1">IF($B1837="Portfolio","Portfolio",IFERROR(INDEX(DATA_ASSET_CLASSIFICATION!$AB$8:$AB$13,MATCH($N1837,DATA_ASSET_CLASSIFICATION!$AA$8:$AA$13,0)),"Review"))</f>
        <v>Bucket 2 · Legacy</v>
      </c>
      <c r="P1837" s="350" t="str">
        <f>IF($B1837="Portfolio","Portfolio",IFERROR(INDEX(DATA_ASSET_CLASSIFICATION!$C$8:$C$24,MATCH($C1837,DATA_ASSET_CLASSIFICATION!$A$8:$A$24,0)),"Review"))</f>
        <v>Yes</v>
      </c>
      <c r="Q1837" s="350" t="str">
        <f t="shared" ca="1" si="57"/>
        <v>OK</v>
      </c>
    </row>
    <row r="1838" spans="1:17" ht="30">
      <c r="A1838" s="366" t="s">
        <v>3794</v>
      </c>
      <c r="B1838" s="366" t="s">
        <v>231</v>
      </c>
      <c r="C1838" s="348" t="str">
        <f>DATA_PROPERTY_MASTER!$A$10</f>
        <v>BLD_EA</v>
      </c>
      <c r="D1838" s="380">
        <f>'00_PORTFOLIO ROLLUP'!J$12</f>
        <v>2030</v>
      </c>
      <c r="E1838" s="366" t="s">
        <v>1741</v>
      </c>
      <c r="F1838" s="366" t="s">
        <v>41</v>
      </c>
      <c r="G1838" s="348" t="str">
        <f>"'"&amp;$C1838&amp;"'!rows 56 + positive row 63"</f>
        <v>'BLD_EA'!rows 56 + positive row 63</v>
      </c>
      <c r="H1838" s="381">
        <f ca="1">IF(IFERROR(INDEX(DATA_PROPERTY_MASTER!$E$5:$E$21,MATCH($C1838,DATA_PROPERTY_MASTER!$A$5:$A$21,0))="Yes",FALSE),IFERROR(INDEX(INDIRECT("'"&amp;$C1838&amp;"'!$E$56:$Y$56"),1,MATCH($D1838,INDIRECT("'"&amp;$C1838&amp;"'!$E$12:$Y$12"),0)),0)+MAX(IFERROR(INDEX(INDIRECT("'"&amp;$C1838&amp;"'!$E$63:$Y$63"),1,MATCH($D1838,INDIRECT("'"&amp;$C1838&amp;"'!$E$12:$Y$12"),0)),0),0),0)</f>
        <v>118334.05437103906</v>
      </c>
      <c r="I1838" s="366" t="s">
        <v>1685</v>
      </c>
      <c r="J1838" s="348" t="str">
        <f t="shared" ca="1" si="56"/>
        <v>OK</v>
      </c>
      <c r="K1838" s="366" t="s">
        <v>1742</v>
      </c>
      <c r="L1838" s="366" t="s">
        <v>2262</v>
      </c>
      <c r="M1838" s="350" t="str">
        <f>IF($B1838="Portfolio","Portfolio",IFERROR(INDEX(DATA_ASSET_CLASSIFICATION!$B$8:$B$24,MATCH($C1838,DATA_ASSET_CLASSIFICATION!$A$8:$A$24,0)),"Review"))</f>
        <v>Evergreen Apartments</v>
      </c>
      <c r="N1838" s="350" t="str">
        <f ca="1">IF($B1838="Portfolio","Portfolio",IFERROR(INDEX(DATA_ASSET_CLASSIFICATION!$U$8:$U$24,MATCH($C1838,DATA_ASSET_CLASSIFICATION!$A$8:$A$24,0)),"Review"))</f>
        <v>Refi Watch</v>
      </c>
      <c r="O1838" s="350" t="str">
        <f ca="1">IF($B1838="Portfolio","Portfolio",IFERROR(INDEX(DATA_ASSET_CLASSIFICATION!$AB$8:$AB$13,MATCH($N1838,DATA_ASSET_CLASSIFICATION!$AA$8:$AA$13,0)),"Review"))</f>
        <v>Bucket 2 · Legacy</v>
      </c>
      <c r="P1838" s="350" t="str">
        <f>IF($B1838="Portfolio","Portfolio",IFERROR(INDEX(DATA_ASSET_CLASSIFICATION!$C$8:$C$24,MATCH($C1838,DATA_ASSET_CLASSIFICATION!$A$8:$A$24,0)),"Review"))</f>
        <v>Yes</v>
      </c>
      <c r="Q1838" s="350" t="str">
        <f t="shared" ca="1" si="57"/>
        <v>OK</v>
      </c>
    </row>
    <row r="1839" spans="1:17" ht="30">
      <c r="A1839" s="366" t="s">
        <v>3795</v>
      </c>
      <c r="B1839" s="366" t="s">
        <v>231</v>
      </c>
      <c r="C1839" s="348" t="str">
        <f>DATA_PROPERTY_MASTER!$A$10</f>
        <v>BLD_EA</v>
      </c>
      <c r="D1839" s="380">
        <f>'00_PORTFOLIO ROLLUP'!J$12</f>
        <v>2030</v>
      </c>
      <c r="E1839" s="366" t="s">
        <v>1741</v>
      </c>
      <c r="F1839" s="366" t="s">
        <v>43</v>
      </c>
      <c r="G1839" s="348" t="str">
        <f>"'"&amp;$C1839&amp;"'!$E$68:$Y$68"</f>
        <v>'BLD_EA'!$E$68:$Y$68</v>
      </c>
      <c r="H1839" s="381">
        <f ca="1">IF(IFERROR(INDEX(DATA_PROPERTY_MASTER!$E$5:$E$21,MATCH($C1839,DATA_PROPERTY_MASTER!$A$5:$A$21,0))="Yes",FALSE),IFERROR(INDEX(INDIRECT("'"&amp;$C1839&amp;"'!$E$68:$Y$68"),1,MATCH($D1839,INDIRECT("'"&amp;$C1839&amp;"'!$E$12:$Y$12"),0)),0),0)</f>
        <v>118334.05437103906</v>
      </c>
      <c r="I1839" s="366" t="s">
        <v>1731</v>
      </c>
      <c r="J1839" s="348" t="str">
        <f t="shared" ca="1" si="56"/>
        <v>OK</v>
      </c>
      <c r="K1839" s="366" t="s">
        <v>1746</v>
      </c>
      <c r="L1839" s="366" t="s">
        <v>2264</v>
      </c>
      <c r="M1839" s="350" t="str">
        <f>IF($B1839="Portfolio","Portfolio",IFERROR(INDEX(DATA_ASSET_CLASSIFICATION!$B$8:$B$24,MATCH($C1839,DATA_ASSET_CLASSIFICATION!$A$8:$A$24,0)),"Review"))</f>
        <v>Evergreen Apartments</v>
      </c>
      <c r="N1839" s="350" t="str">
        <f ca="1">IF($B1839="Portfolio","Portfolio",IFERROR(INDEX(DATA_ASSET_CLASSIFICATION!$U$8:$U$24,MATCH($C1839,DATA_ASSET_CLASSIFICATION!$A$8:$A$24,0)),"Review"))</f>
        <v>Refi Watch</v>
      </c>
      <c r="O1839" s="350" t="str">
        <f ca="1">IF($B1839="Portfolio","Portfolio",IFERROR(INDEX(DATA_ASSET_CLASSIFICATION!$AB$8:$AB$13,MATCH($N1839,DATA_ASSET_CLASSIFICATION!$AA$8:$AA$13,0)),"Review"))</f>
        <v>Bucket 2 · Legacy</v>
      </c>
      <c r="P1839" s="350" t="str">
        <f>IF($B1839="Portfolio","Portfolio",IFERROR(INDEX(DATA_ASSET_CLASSIFICATION!$C$8:$C$24,MATCH($C1839,DATA_ASSET_CLASSIFICATION!$A$8:$A$24,0)),"Review"))</f>
        <v>Yes</v>
      </c>
      <c r="Q1839" s="350" t="str">
        <f t="shared" ca="1" si="57"/>
        <v>OK</v>
      </c>
    </row>
    <row r="1840" spans="1:17" ht="30">
      <c r="A1840" s="366" t="s">
        <v>3796</v>
      </c>
      <c r="B1840" s="366" t="s">
        <v>231</v>
      </c>
      <c r="C1840" s="348" t="str">
        <f>DATA_PROPERTY_MASTER!$A$10</f>
        <v>BLD_EA</v>
      </c>
      <c r="D1840" s="380">
        <f>'00_PORTFOLIO ROLLUP'!J$12</f>
        <v>2030</v>
      </c>
      <c r="E1840" s="366" t="s">
        <v>1741</v>
      </c>
      <c r="F1840" s="366" t="s">
        <v>1749</v>
      </c>
      <c r="G1840" s="348" t="str">
        <f>"'"&amp;$C1840&amp;"'!rows 56, 63, 68"</f>
        <v>'BLD_EA'!rows 56, 63, 68</v>
      </c>
      <c r="H1840" s="381">
        <f ca="1">IF(IFERROR(INDEX(DATA_PROPERTY_MASTER!$E$5:$E$21,MATCH($C1840,DATA_PROPERTY_MASTER!$A$5:$A$21,0))="Yes",FALSE),(IFERROR(INDEX(INDIRECT("'"&amp;$C1840&amp;"'!$E$56:$Y$56"),1,MATCH($D1840,INDIRECT("'"&amp;$C1840&amp;"'!$E$12:$Y$12"),0)),0)+MAX(IFERROR(INDEX(INDIRECT("'"&amp;$C1840&amp;"'!$E$63:$Y$63"),1,MATCH($D1840,INDIRECT("'"&amp;$C1840&amp;"'!$E$12:$Y$12"),0)),0),0))-(IFERROR(INDEX(INDIRECT("'"&amp;$C1840&amp;"'!$E$68:$Y$68"),1,MATCH($D1840,INDIRECT("'"&amp;$C1840&amp;"'!$E$12:$Y$12"),0)),0)),0)</f>
        <v>0</v>
      </c>
      <c r="I1840" s="366" t="s">
        <v>1750</v>
      </c>
      <c r="J1840" s="348" t="str">
        <f t="shared" ca="1" si="56"/>
        <v>OK</v>
      </c>
      <c r="K1840" s="366" t="s">
        <v>1751</v>
      </c>
      <c r="L1840" s="366" t="s">
        <v>2266</v>
      </c>
      <c r="M1840" s="350" t="str">
        <f>IF($B1840="Portfolio","Portfolio",IFERROR(INDEX(DATA_ASSET_CLASSIFICATION!$B$8:$B$24,MATCH($C1840,DATA_ASSET_CLASSIFICATION!$A$8:$A$24,0)),"Review"))</f>
        <v>Evergreen Apartments</v>
      </c>
      <c r="N1840" s="350" t="str">
        <f ca="1">IF($B1840="Portfolio","Portfolio",IFERROR(INDEX(DATA_ASSET_CLASSIFICATION!$U$8:$U$24,MATCH($C1840,DATA_ASSET_CLASSIFICATION!$A$8:$A$24,0)),"Review"))</f>
        <v>Refi Watch</v>
      </c>
      <c r="O1840" s="350" t="str">
        <f ca="1">IF($B1840="Portfolio","Portfolio",IFERROR(INDEX(DATA_ASSET_CLASSIFICATION!$AB$8:$AB$13,MATCH($N1840,DATA_ASSET_CLASSIFICATION!$AA$8:$AA$13,0)),"Review"))</f>
        <v>Bucket 2 · Legacy</v>
      </c>
      <c r="P1840" s="350" t="str">
        <f>IF($B1840="Portfolio","Portfolio",IFERROR(INDEX(DATA_ASSET_CLASSIFICATION!$C$8:$C$24,MATCH($C1840,DATA_ASSET_CLASSIFICATION!$A$8:$A$24,0)),"Review"))</f>
        <v>Yes</v>
      </c>
      <c r="Q1840" s="350" t="str">
        <f t="shared" ca="1" si="57"/>
        <v>OK</v>
      </c>
    </row>
    <row r="1841" spans="1:17" ht="30">
      <c r="A1841" s="366" t="s">
        <v>3797</v>
      </c>
      <c r="B1841" s="366" t="s">
        <v>231</v>
      </c>
      <c r="C1841" s="348" t="str">
        <f>DATA_PROPERTY_MASTER!$A$10</f>
        <v>BLD_EA</v>
      </c>
      <c r="D1841" s="380">
        <f>'00_PORTFOLIO ROLLUP'!K$12</f>
        <v>2031</v>
      </c>
      <c r="E1841" s="366" t="s">
        <v>1683</v>
      </c>
      <c r="F1841" s="366" t="s">
        <v>341</v>
      </c>
      <c r="G1841" s="348" t="str">
        <f>"'"&amp;$C1841&amp;"'!$E$24:$Y$24"</f>
        <v>'BLD_EA'!$E$24:$Y$24</v>
      </c>
      <c r="H1841" s="381">
        <f ca="1">IF(IFERROR(INDEX(DATA_PROPERTY_MASTER!$E$5:$E$21,MATCH($C1841,DATA_PROPERTY_MASTER!$A$5:$A$21,0))="Yes",FALSE),IFERROR(INDEX(INDIRECT("'"&amp;$C1841&amp;"'!$E$24:$Y$24"),1,MATCH($D1841,INDIRECT("'"&amp;$C1841&amp;"'!$E$12:$Y$12"),0)),0),0)</f>
        <v>1118737.2858280924</v>
      </c>
      <c r="I1841" s="366" t="s">
        <v>1685</v>
      </c>
      <c r="J1841" s="348" t="str">
        <f t="shared" ca="1" si="56"/>
        <v>OK</v>
      </c>
      <c r="K1841" s="366" t="s">
        <v>1686</v>
      </c>
      <c r="L1841" s="366" t="s">
        <v>2234</v>
      </c>
      <c r="M1841" s="350" t="str">
        <f>IF($B1841="Portfolio","Portfolio",IFERROR(INDEX(DATA_ASSET_CLASSIFICATION!$B$8:$B$24,MATCH($C1841,DATA_ASSET_CLASSIFICATION!$A$8:$A$24,0)),"Review"))</f>
        <v>Evergreen Apartments</v>
      </c>
      <c r="N1841" s="350" t="str">
        <f ca="1">IF($B1841="Portfolio","Portfolio",IFERROR(INDEX(DATA_ASSET_CLASSIFICATION!$U$8:$U$24,MATCH($C1841,DATA_ASSET_CLASSIFICATION!$A$8:$A$24,0)),"Review"))</f>
        <v>Refi Watch</v>
      </c>
      <c r="O1841" s="350" t="str">
        <f ca="1">IF($B1841="Portfolio","Portfolio",IFERROR(INDEX(DATA_ASSET_CLASSIFICATION!$AB$8:$AB$13,MATCH($N1841,DATA_ASSET_CLASSIFICATION!$AA$8:$AA$13,0)),"Review"))</f>
        <v>Bucket 2 · Legacy</v>
      </c>
      <c r="P1841" s="350" t="str">
        <f>IF($B1841="Portfolio","Portfolio",IFERROR(INDEX(DATA_ASSET_CLASSIFICATION!$C$8:$C$24,MATCH($C1841,DATA_ASSET_CLASSIFICATION!$A$8:$A$24,0)),"Review"))</f>
        <v>Yes</v>
      </c>
      <c r="Q1841" s="350" t="str">
        <f t="shared" ca="1" si="57"/>
        <v>OK</v>
      </c>
    </row>
    <row r="1842" spans="1:17" ht="30">
      <c r="A1842" s="366" t="s">
        <v>3798</v>
      </c>
      <c r="B1842" s="366" t="s">
        <v>231</v>
      </c>
      <c r="C1842" s="348" t="str">
        <f>DATA_PROPERTY_MASTER!$A$10</f>
        <v>BLD_EA</v>
      </c>
      <c r="D1842" s="380">
        <f>'00_PORTFOLIO ROLLUP'!K$12</f>
        <v>2031</v>
      </c>
      <c r="E1842" s="366" t="s">
        <v>1683</v>
      </c>
      <c r="F1842" s="366" t="s">
        <v>355</v>
      </c>
      <c r="G1842" s="348" t="str">
        <f>"'"&amp;$C1842&amp;"'!$E$39:$Y$39"</f>
        <v>'BLD_EA'!$E$39:$Y$39</v>
      </c>
      <c r="H1842" s="381">
        <f ca="1">IF(IFERROR(INDEX(DATA_PROPERTY_MASTER!$E$5:$E$21,MATCH($C1842,DATA_PROPERTY_MASTER!$A$5:$A$21,0))="Yes",FALSE),IFERROR(INDEX(INDIRECT("'"&amp;$C1842&amp;"'!$E$39:$Y$39"),1,MATCH($D1842,INDIRECT("'"&amp;$C1842&amp;"'!$E$12:$Y$12"),0)),0),0)</f>
        <v>523251.16967570665</v>
      </c>
      <c r="I1842" s="366" t="s">
        <v>1690</v>
      </c>
      <c r="J1842" s="348" t="str">
        <f t="shared" ca="1" si="56"/>
        <v>OK</v>
      </c>
      <c r="K1842" s="366" t="s">
        <v>1686</v>
      </c>
      <c r="L1842" s="366" t="s">
        <v>2236</v>
      </c>
      <c r="M1842" s="350" t="str">
        <f>IF($B1842="Portfolio","Portfolio",IFERROR(INDEX(DATA_ASSET_CLASSIFICATION!$B$8:$B$24,MATCH($C1842,DATA_ASSET_CLASSIFICATION!$A$8:$A$24,0)),"Review"))</f>
        <v>Evergreen Apartments</v>
      </c>
      <c r="N1842" s="350" t="str">
        <f ca="1">IF($B1842="Portfolio","Portfolio",IFERROR(INDEX(DATA_ASSET_CLASSIFICATION!$U$8:$U$24,MATCH($C1842,DATA_ASSET_CLASSIFICATION!$A$8:$A$24,0)),"Review"))</f>
        <v>Refi Watch</v>
      </c>
      <c r="O1842" s="350" t="str">
        <f ca="1">IF($B1842="Portfolio","Portfolio",IFERROR(INDEX(DATA_ASSET_CLASSIFICATION!$AB$8:$AB$13,MATCH($N1842,DATA_ASSET_CLASSIFICATION!$AA$8:$AA$13,0)),"Review"))</f>
        <v>Bucket 2 · Legacy</v>
      </c>
      <c r="P1842" s="350" t="str">
        <f>IF($B1842="Portfolio","Portfolio",IFERROR(INDEX(DATA_ASSET_CLASSIFICATION!$C$8:$C$24,MATCH($C1842,DATA_ASSET_CLASSIFICATION!$A$8:$A$24,0)),"Review"))</f>
        <v>Yes</v>
      </c>
      <c r="Q1842" s="350" t="str">
        <f t="shared" ca="1" si="57"/>
        <v>OK</v>
      </c>
    </row>
    <row r="1843" spans="1:17" ht="30">
      <c r="A1843" s="366" t="s">
        <v>3799</v>
      </c>
      <c r="B1843" s="366" t="s">
        <v>231</v>
      </c>
      <c r="C1843" s="348" t="str">
        <f>DATA_PROPERTY_MASTER!$A$10</f>
        <v>BLD_EA</v>
      </c>
      <c r="D1843" s="380">
        <f>'00_PORTFOLIO ROLLUP'!K$12</f>
        <v>2031</v>
      </c>
      <c r="E1843" s="366" t="s">
        <v>1683</v>
      </c>
      <c r="F1843" s="366" t="s">
        <v>19</v>
      </c>
      <c r="G1843" s="348" t="str">
        <f>"'"&amp;$C1843&amp;"'!$E$41:$Y$41"</f>
        <v>'BLD_EA'!$E$41:$Y$41</v>
      </c>
      <c r="H1843" s="381">
        <f ca="1">IF(IFERROR(INDEX(DATA_PROPERTY_MASTER!$E$5:$E$21,MATCH($C1843,DATA_PROPERTY_MASTER!$A$5:$A$21,0))="Yes",FALSE),IFERROR(INDEX(INDIRECT("'"&amp;$C1843&amp;"'!$E$41:$Y$41"),1,MATCH($D1843,INDIRECT("'"&amp;$C1843&amp;"'!$E$12:$Y$12"),0)),0),0)</f>
        <v>595486.11615238572</v>
      </c>
      <c r="I1843" s="366" t="s">
        <v>1685</v>
      </c>
      <c r="J1843" s="348" t="str">
        <f t="shared" ca="1" si="56"/>
        <v>OK</v>
      </c>
      <c r="K1843" s="366" t="s">
        <v>1694</v>
      </c>
      <c r="L1843" s="366" t="s">
        <v>2238</v>
      </c>
      <c r="M1843" s="350" t="str">
        <f>IF($B1843="Portfolio","Portfolio",IFERROR(INDEX(DATA_ASSET_CLASSIFICATION!$B$8:$B$24,MATCH($C1843,DATA_ASSET_CLASSIFICATION!$A$8:$A$24,0)),"Review"))</f>
        <v>Evergreen Apartments</v>
      </c>
      <c r="N1843" s="350" t="str">
        <f ca="1">IF($B1843="Portfolio","Portfolio",IFERROR(INDEX(DATA_ASSET_CLASSIFICATION!$U$8:$U$24,MATCH($C1843,DATA_ASSET_CLASSIFICATION!$A$8:$A$24,0)),"Review"))</f>
        <v>Refi Watch</v>
      </c>
      <c r="O1843" s="350" t="str">
        <f ca="1">IF($B1843="Portfolio","Portfolio",IFERROR(INDEX(DATA_ASSET_CLASSIFICATION!$AB$8:$AB$13,MATCH($N1843,DATA_ASSET_CLASSIFICATION!$AA$8:$AA$13,0)),"Review"))</f>
        <v>Bucket 2 · Legacy</v>
      </c>
      <c r="P1843" s="350" t="str">
        <f>IF($B1843="Portfolio","Portfolio",IFERROR(INDEX(DATA_ASSET_CLASSIFICATION!$C$8:$C$24,MATCH($C1843,DATA_ASSET_CLASSIFICATION!$A$8:$A$24,0)),"Review"))</f>
        <v>Yes</v>
      </c>
      <c r="Q1843" s="350" t="str">
        <f t="shared" ca="1" si="57"/>
        <v>OK</v>
      </c>
    </row>
    <row r="1844" spans="1:17" ht="30">
      <c r="A1844" s="366" t="s">
        <v>3800</v>
      </c>
      <c r="B1844" s="366" t="s">
        <v>231</v>
      </c>
      <c r="C1844" s="348" t="str">
        <f>DATA_PROPERTY_MASTER!$A$10</f>
        <v>BLD_EA</v>
      </c>
      <c r="D1844" s="380">
        <f>'00_PORTFOLIO ROLLUP'!K$12</f>
        <v>2031</v>
      </c>
      <c r="E1844" s="366" t="s">
        <v>1683</v>
      </c>
      <c r="F1844" s="366" t="s">
        <v>1697</v>
      </c>
      <c r="G1844" s="348" t="str">
        <f>"'"&amp;$C1844&amp;"'!$E$44:$Y$44"</f>
        <v>'BLD_EA'!$E$44:$Y$44</v>
      </c>
      <c r="H1844" s="381">
        <f ca="1">IF(IFERROR(INDEX(DATA_PROPERTY_MASTER!$E$5:$E$21,MATCH($C1844,DATA_PROPERTY_MASTER!$A$5:$A$21,0))="Yes",FALSE),IFERROR(INDEX(INDIRECT("'"&amp;$C1844&amp;"'!$E$44:$Y$44"),1,MATCH($D1844,INDIRECT("'"&amp;$C1844&amp;"'!$E$12:$Y$12"),0)),0),0)</f>
        <v>10304.386136265601</v>
      </c>
      <c r="I1844" s="366" t="s">
        <v>1690</v>
      </c>
      <c r="J1844" s="348" t="str">
        <f t="shared" ca="1" si="56"/>
        <v>OK</v>
      </c>
      <c r="K1844" s="366" t="s">
        <v>1699</v>
      </c>
      <c r="L1844" s="366" t="s">
        <v>2240</v>
      </c>
      <c r="M1844" s="350" t="str">
        <f>IF($B1844="Portfolio","Portfolio",IFERROR(INDEX(DATA_ASSET_CLASSIFICATION!$B$8:$B$24,MATCH($C1844,DATA_ASSET_CLASSIFICATION!$A$8:$A$24,0)),"Review"))</f>
        <v>Evergreen Apartments</v>
      </c>
      <c r="N1844" s="350" t="str">
        <f ca="1">IF($B1844="Portfolio","Portfolio",IFERROR(INDEX(DATA_ASSET_CLASSIFICATION!$U$8:$U$24,MATCH($C1844,DATA_ASSET_CLASSIFICATION!$A$8:$A$24,0)),"Review"))</f>
        <v>Refi Watch</v>
      </c>
      <c r="O1844" s="350" t="str">
        <f ca="1">IF($B1844="Portfolio","Portfolio",IFERROR(INDEX(DATA_ASSET_CLASSIFICATION!$AB$8:$AB$13,MATCH($N1844,DATA_ASSET_CLASSIFICATION!$AA$8:$AA$13,0)),"Review"))</f>
        <v>Bucket 2 · Legacy</v>
      </c>
      <c r="P1844" s="350" t="str">
        <f>IF($B1844="Portfolio","Portfolio",IFERROR(INDEX(DATA_ASSET_CLASSIFICATION!$C$8:$C$24,MATCH($C1844,DATA_ASSET_CLASSIFICATION!$A$8:$A$24,0)),"Review"))</f>
        <v>Yes</v>
      </c>
      <c r="Q1844" s="350" t="str">
        <f t="shared" ca="1" si="57"/>
        <v>OK</v>
      </c>
    </row>
    <row r="1845" spans="1:17" ht="30">
      <c r="A1845" s="366" t="s">
        <v>3801</v>
      </c>
      <c r="B1845" s="366" t="s">
        <v>231</v>
      </c>
      <c r="C1845" s="348" t="str">
        <f>DATA_PROPERTY_MASTER!$A$10</f>
        <v>BLD_EA</v>
      </c>
      <c r="D1845" s="380">
        <f>'00_PORTFOLIO ROLLUP'!K$12</f>
        <v>2031</v>
      </c>
      <c r="E1845" s="366" t="s">
        <v>1683</v>
      </c>
      <c r="F1845" s="366" t="s">
        <v>21</v>
      </c>
      <c r="G1845" s="348" t="str">
        <f>"'"&amp;$C1845&amp;"'!$E$45:$Y$45"</f>
        <v>'BLD_EA'!$E$45:$Y$45</v>
      </c>
      <c r="H1845" s="381">
        <f ca="1">IF(IFERROR(INDEX(DATA_PROPERTY_MASTER!$E$5:$E$21,MATCH($C1845,DATA_PROPERTY_MASTER!$A$5:$A$21,0))="Yes",FALSE),IFERROR(INDEX(INDIRECT("'"&amp;$C1845&amp;"'!$E$45:$Y$45"),1,MATCH($D1845,INDIRECT("'"&amp;$C1845&amp;"'!$E$12:$Y$12"),0)),0),0)</f>
        <v>585181.73001612013</v>
      </c>
      <c r="I1845" s="366" t="s">
        <v>1685</v>
      </c>
      <c r="J1845" s="348" t="str">
        <f t="shared" ca="1" si="56"/>
        <v>OK</v>
      </c>
      <c r="K1845" s="366" t="s">
        <v>1694</v>
      </c>
      <c r="L1845" s="366" t="s">
        <v>2242</v>
      </c>
      <c r="M1845" s="350" t="str">
        <f>IF($B1845="Portfolio","Portfolio",IFERROR(INDEX(DATA_ASSET_CLASSIFICATION!$B$8:$B$24,MATCH($C1845,DATA_ASSET_CLASSIFICATION!$A$8:$A$24,0)),"Review"))</f>
        <v>Evergreen Apartments</v>
      </c>
      <c r="N1845" s="350" t="str">
        <f ca="1">IF($B1845="Portfolio","Portfolio",IFERROR(INDEX(DATA_ASSET_CLASSIFICATION!$U$8:$U$24,MATCH($C1845,DATA_ASSET_CLASSIFICATION!$A$8:$A$24,0)),"Review"))</f>
        <v>Refi Watch</v>
      </c>
      <c r="O1845" s="350" t="str">
        <f ca="1">IF($B1845="Portfolio","Portfolio",IFERROR(INDEX(DATA_ASSET_CLASSIFICATION!$AB$8:$AB$13,MATCH($N1845,DATA_ASSET_CLASSIFICATION!$AA$8:$AA$13,0)),"Review"))</f>
        <v>Bucket 2 · Legacy</v>
      </c>
      <c r="P1845" s="350" t="str">
        <f>IF($B1845="Portfolio","Portfolio",IFERROR(INDEX(DATA_ASSET_CLASSIFICATION!$C$8:$C$24,MATCH($C1845,DATA_ASSET_CLASSIFICATION!$A$8:$A$24,0)),"Review"))</f>
        <v>Yes</v>
      </c>
      <c r="Q1845" s="350" t="str">
        <f t="shared" ca="1" si="57"/>
        <v>OK</v>
      </c>
    </row>
    <row r="1846" spans="1:17" ht="30">
      <c r="A1846" s="366" t="s">
        <v>3802</v>
      </c>
      <c r="B1846" s="366" t="s">
        <v>231</v>
      </c>
      <c r="C1846" s="348" t="str">
        <f>DATA_PROPERTY_MASTER!$A$10</f>
        <v>BLD_EA</v>
      </c>
      <c r="D1846" s="380">
        <f>'00_PORTFOLIO ROLLUP'!K$12</f>
        <v>2031</v>
      </c>
      <c r="E1846" s="366" t="s">
        <v>23</v>
      </c>
      <c r="F1846" s="366" t="s">
        <v>23</v>
      </c>
      <c r="G1846" s="348" t="str">
        <f>"'"&amp;$C1846&amp;"'!$E$48:$Y$48"</f>
        <v>'BLD_EA'!$E$48:$Y$48</v>
      </c>
      <c r="H1846" s="381">
        <f ca="1">IF(IFERROR(INDEX(DATA_PROPERTY_MASTER!$E$5:$E$21,MATCH($C1846,DATA_PROPERTY_MASTER!$A$5:$A$21,0))="Yes",FALSE),IFERROR(INDEX(INDIRECT("'"&amp;$C1846&amp;"'!$E$48:$Y$48"),1,MATCH($D1846,INDIRECT("'"&amp;$C1846&amp;"'!$E$12:$Y$12"),0)),0),0)</f>
        <v>297840</v>
      </c>
      <c r="I1846" s="366" t="s">
        <v>1690</v>
      </c>
      <c r="J1846" s="348" t="str">
        <f t="shared" ca="1" si="56"/>
        <v>OK</v>
      </c>
      <c r="K1846" s="366" t="s">
        <v>1706</v>
      </c>
      <c r="L1846" s="366" t="s">
        <v>2244</v>
      </c>
      <c r="M1846" s="350" t="str">
        <f>IF($B1846="Portfolio","Portfolio",IFERROR(INDEX(DATA_ASSET_CLASSIFICATION!$B$8:$B$24,MATCH($C1846,DATA_ASSET_CLASSIFICATION!$A$8:$A$24,0)),"Review"))</f>
        <v>Evergreen Apartments</v>
      </c>
      <c r="N1846" s="350" t="str">
        <f ca="1">IF($B1846="Portfolio","Portfolio",IFERROR(INDEX(DATA_ASSET_CLASSIFICATION!$U$8:$U$24,MATCH($C1846,DATA_ASSET_CLASSIFICATION!$A$8:$A$24,0)),"Review"))</f>
        <v>Refi Watch</v>
      </c>
      <c r="O1846" s="350" t="str">
        <f ca="1">IF($B1846="Portfolio","Portfolio",IFERROR(INDEX(DATA_ASSET_CLASSIFICATION!$AB$8:$AB$13,MATCH($N1846,DATA_ASSET_CLASSIFICATION!$AA$8:$AA$13,0)),"Review"))</f>
        <v>Bucket 2 · Legacy</v>
      </c>
      <c r="P1846" s="350" t="str">
        <f>IF($B1846="Portfolio","Portfolio",IFERROR(INDEX(DATA_ASSET_CLASSIFICATION!$C$8:$C$24,MATCH($C1846,DATA_ASSET_CLASSIFICATION!$A$8:$A$24,0)),"Review"))</f>
        <v>Yes</v>
      </c>
      <c r="Q1846" s="350" t="str">
        <f t="shared" ca="1" si="57"/>
        <v>OK</v>
      </c>
    </row>
    <row r="1847" spans="1:17" ht="30">
      <c r="A1847" s="366" t="s">
        <v>3803</v>
      </c>
      <c r="B1847" s="366" t="s">
        <v>231</v>
      </c>
      <c r="C1847" s="348" t="str">
        <f>DATA_PROPERTY_MASTER!$A$10</f>
        <v>BLD_EA</v>
      </c>
      <c r="D1847" s="380">
        <f>'00_PORTFOLIO ROLLUP'!K$12</f>
        <v>2031</v>
      </c>
      <c r="E1847" s="366" t="s">
        <v>1683</v>
      </c>
      <c r="F1847" s="366" t="s">
        <v>25</v>
      </c>
      <c r="G1847" s="348" t="str">
        <f>"'"&amp;$C1847&amp;"'!$E$52:$Y$52"</f>
        <v>'BLD_EA'!$E$52:$Y$52</v>
      </c>
      <c r="H1847" s="381">
        <f ca="1">IF(IFERROR(INDEX(DATA_PROPERTY_MASTER!$E$5:$E$21,MATCH($C1847,DATA_PROPERTY_MASTER!$A$5:$A$21,0))="Yes",FALSE),IFERROR(INDEX(INDIRECT("'"&amp;$C1847&amp;"'!$E$52:$Y$52"),1,MATCH($D1847,INDIRECT("'"&amp;$C1847&amp;"'!$E$12:$Y$12"),0)),0),0)</f>
        <v>297646.11615238572</v>
      </c>
      <c r="I1847" s="366" t="s">
        <v>1685</v>
      </c>
      <c r="J1847" s="348" t="str">
        <f t="shared" ca="1" si="56"/>
        <v>OK</v>
      </c>
      <c r="K1847" s="366" t="s">
        <v>1710</v>
      </c>
      <c r="L1847" s="366" t="s">
        <v>2246</v>
      </c>
      <c r="M1847" s="350" t="str">
        <f>IF($B1847="Portfolio","Portfolio",IFERROR(INDEX(DATA_ASSET_CLASSIFICATION!$B$8:$B$24,MATCH($C1847,DATA_ASSET_CLASSIFICATION!$A$8:$A$24,0)),"Review"))</f>
        <v>Evergreen Apartments</v>
      </c>
      <c r="N1847" s="350" t="str">
        <f ca="1">IF($B1847="Portfolio","Portfolio",IFERROR(INDEX(DATA_ASSET_CLASSIFICATION!$U$8:$U$24,MATCH($C1847,DATA_ASSET_CLASSIFICATION!$A$8:$A$24,0)),"Review"))</f>
        <v>Refi Watch</v>
      </c>
      <c r="O1847" s="350" t="str">
        <f ca="1">IF($B1847="Portfolio","Portfolio",IFERROR(INDEX(DATA_ASSET_CLASSIFICATION!$AB$8:$AB$13,MATCH($N1847,DATA_ASSET_CLASSIFICATION!$AA$8:$AA$13,0)),"Review"))</f>
        <v>Bucket 2 · Legacy</v>
      </c>
      <c r="P1847" s="350" t="str">
        <f>IF($B1847="Portfolio","Portfolio",IFERROR(INDEX(DATA_ASSET_CLASSIFICATION!$C$8:$C$24,MATCH($C1847,DATA_ASSET_CLASSIFICATION!$A$8:$A$24,0)),"Review"))</f>
        <v>Yes</v>
      </c>
      <c r="Q1847" s="350" t="str">
        <f t="shared" ca="1" si="57"/>
        <v>OK</v>
      </c>
    </row>
    <row r="1848" spans="1:17" ht="30">
      <c r="A1848" s="366" t="s">
        <v>3804</v>
      </c>
      <c r="B1848" s="366" t="s">
        <v>231</v>
      </c>
      <c r="C1848" s="348" t="str">
        <f>DATA_PROPERTY_MASTER!$A$10</f>
        <v>BLD_EA</v>
      </c>
      <c r="D1848" s="380">
        <f>'00_PORTFOLIO ROLLUP'!K$12</f>
        <v>2031</v>
      </c>
      <c r="E1848" s="366" t="s">
        <v>1683</v>
      </c>
      <c r="F1848" s="366" t="s">
        <v>27</v>
      </c>
      <c r="G1848" s="348" t="str">
        <f>"'"&amp;$C1848&amp;"'!$E$54:$Y$54"</f>
        <v>'BLD_EA'!$E$54:$Y$54</v>
      </c>
      <c r="H1848" s="381">
        <f ca="1">IF(IFERROR(INDEX(DATA_PROPERTY_MASTER!$E$5:$E$21,MATCH($C1848,DATA_PROPERTY_MASTER!$A$5:$A$21,0))="Yes",FALSE),IFERROR(INDEX(INDIRECT("'"&amp;$C1848&amp;"'!$E$54:$Y$54"),1,MATCH($D1848,INDIRECT("'"&amp;$C1848&amp;"'!$E$12:$Y$12"),0)),0),0)</f>
        <v>178587.66969143142</v>
      </c>
      <c r="I1848" s="366" t="s">
        <v>1690</v>
      </c>
      <c r="J1848" s="348" t="str">
        <f t="shared" ca="1" si="56"/>
        <v>OK</v>
      </c>
      <c r="K1848" s="366" t="s">
        <v>1714</v>
      </c>
      <c r="L1848" s="366" t="s">
        <v>2248</v>
      </c>
      <c r="M1848" s="350" t="str">
        <f>IF($B1848="Portfolio","Portfolio",IFERROR(INDEX(DATA_ASSET_CLASSIFICATION!$B$8:$B$24,MATCH($C1848,DATA_ASSET_CLASSIFICATION!$A$8:$A$24,0)),"Review"))</f>
        <v>Evergreen Apartments</v>
      </c>
      <c r="N1848" s="350" t="str">
        <f ca="1">IF($B1848="Portfolio","Portfolio",IFERROR(INDEX(DATA_ASSET_CLASSIFICATION!$U$8:$U$24,MATCH($C1848,DATA_ASSET_CLASSIFICATION!$A$8:$A$24,0)),"Review"))</f>
        <v>Refi Watch</v>
      </c>
      <c r="O1848" s="350" t="str">
        <f ca="1">IF($B1848="Portfolio","Portfolio",IFERROR(INDEX(DATA_ASSET_CLASSIFICATION!$AB$8:$AB$13,MATCH($N1848,DATA_ASSET_CLASSIFICATION!$AA$8:$AA$13,0)),"Review"))</f>
        <v>Bucket 2 · Legacy</v>
      </c>
      <c r="P1848" s="350" t="str">
        <f>IF($B1848="Portfolio","Portfolio",IFERROR(INDEX(DATA_ASSET_CLASSIFICATION!$C$8:$C$24,MATCH($C1848,DATA_ASSET_CLASSIFICATION!$A$8:$A$24,0)),"Review"))</f>
        <v>Yes</v>
      </c>
      <c r="Q1848" s="350" t="str">
        <f t="shared" ca="1" si="57"/>
        <v>OK</v>
      </c>
    </row>
    <row r="1849" spans="1:17" ht="30">
      <c r="A1849" s="366" t="s">
        <v>3805</v>
      </c>
      <c r="B1849" s="366" t="s">
        <v>231</v>
      </c>
      <c r="C1849" s="348" t="str">
        <f>DATA_PROPERTY_MASTER!$A$10</f>
        <v>BLD_EA</v>
      </c>
      <c r="D1849" s="380">
        <f>'00_PORTFOLIO ROLLUP'!K$12</f>
        <v>2031</v>
      </c>
      <c r="E1849" s="366" t="s">
        <v>1683</v>
      </c>
      <c r="F1849" s="366" t="s">
        <v>29</v>
      </c>
      <c r="G1849" s="348" t="str">
        <f>"'"&amp;$C1849&amp;"'!$E$56:$Y$56"</f>
        <v>'BLD_EA'!$E$56:$Y$56</v>
      </c>
      <c r="H1849" s="381">
        <f ca="1">IF(IFERROR(INDEX(DATA_PROPERTY_MASTER!$E$5:$E$21,MATCH($C1849,DATA_PROPERTY_MASTER!$A$5:$A$21,0))="Yes",FALSE),IFERROR(INDEX(INDIRECT("'"&amp;$C1849&amp;"'!$E$56:$Y$56"),1,MATCH($D1849,INDIRECT("'"&amp;$C1849&amp;"'!$E$12:$Y$12"),0)),0),0)</f>
        <v>119058.44646095429</v>
      </c>
      <c r="I1849" s="366" t="s">
        <v>1685</v>
      </c>
      <c r="J1849" s="348" t="str">
        <f t="shared" ca="1" si="56"/>
        <v>OK</v>
      </c>
      <c r="K1849" s="366" t="s">
        <v>1718</v>
      </c>
      <c r="L1849" s="366" t="s">
        <v>2250</v>
      </c>
      <c r="M1849" s="350" t="str">
        <f>IF($B1849="Portfolio","Portfolio",IFERROR(INDEX(DATA_ASSET_CLASSIFICATION!$B$8:$B$24,MATCH($C1849,DATA_ASSET_CLASSIFICATION!$A$8:$A$24,0)),"Review"))</f>
        <v>Evergreen Apartments</v>
      </c>
      <c r="N1849" s="350" t="str">
        <f ca="1">IF($B1849="Portfolio","Portfolio",IFERROR(INDEX(DATA_ASSET_CLASSIFICATION!$U$8:$U$24,MATCH($C1849,DATA_ASSET_CLASSIFICATION!$A$8:$A$24,0)),"Review"))</f>
        <v>Refi Watch</v>
      </c>
      <c r="O1849" s="350" t="str">
        <f ca="1">IF($B1849="Portfolio","Portfolio",IFERROR(INDEX(DATA_ASSET_CLASSIFICATION!$AB$8:$AB$13,MATCH($N1849,DATA_ASSET_CLASSIFICATION!$AA$8:$AA$13,0)),"Review"))</f>
        <v>Bucket 2 · Legacy</v>
      </c>
      <c r="P1849" s="350" t="str">
        <f>IF($B1849="Portfolio","Portfolio",IFERROR(INDEX(DATA_ASSET_CLASSIFICATION!$C$8:$C$24,MATCH($C1849,DATA_ASSET_CLASSIFICATION!$A$8:$A$24,0)),"Review"))</f>
        <v>Yes</v>
      </c>
      <c r="Q1849" s="350" t="str">
        <f t="shared" ca="1" si="57"/>
        <v>OK</v>
      </c>
    </row>
    <row r="1850" spans="1:17" ht="30">
      <c r="A1850" s="366" t="s">
        <v>3806</v>
      </c>
      <c r="B1850" s="366" t="s">
        <v>231</v>
      </c>
      <c r="C1850" s="348" t="str">
        <f>DATA_PROPERTY_MASTER!$A$10</f>
        <v>BLD_EA</v>
      </c>
      <c r="D1850" s="380">
        <f>'00_PORTFOLIO ROLLUP'!K$12</f>
        <v>2031</v>
      </c>
      <c r="E1850" s="366" t="s">
        <v>1721</v>
      </c>
      <c r="F1850" s="366" t="s">
        <v>31</v>
      </c>
      <c r="G1850" s="348" t="str">
        <f>"'"&amp;$C1850&amp;"'!$E$61:$Y$61"</f>
        <v>'BLD_EA'!$E$61:$Y$61</v>
      </c>
      <c r="H1850" s="381">
        <f ca="1">IF(IFERROR(INDEX(DATA_PROPERTY_MASTER!$E$5:$E$21,MATCH($C1850,DATA_PROPERTY_MASTER!$A$5:$A$21,0))="Yes",FALSE),IFERROR(INDEX(INDIRECT("'"&amp;$C1850&amp;"'!$E$61:$Y$61"),1,MATCH($D1850,INDIRECT("'"&amp;$C1850&amp;"'!$E$12:$Y$12"),0)),0),0)</f>
        <v>0</v>
      </c>
      <c r="I1850" s="366" t="s">
        <v>1690</v>
      </c>
      <c r="J1850" s="348" t="str">
        <f t="shared" ca="1" si="56"/>
        <v>OK</v>
      </c>
      <c r="K1850" s="366" t="s">
        <v>1723</v>
      </c>
      <c r="L1850" s="366" t="s">
        <v>2252</v>
      </c>
      <c r="M1850" s="350" t="str">
        <f>IF($B1850="Portfolio","Portfolio",IFERROR(INDEX(DATA_ASSET_CLASSIFICATION!$B$8:$B$24,MATCH($C1850,DATA_ASSET_CLASSIFICATION!$A$8:$A$24,0)),"Review"))</f>
        <v>Evergreen Apartments</v>
      </c>
      <c r="N1850" s="350" t="str">
        <f ca="1">IF($B1850="Portfolio","Portfolio",IFERROR(INDEX(DATA_ASSET_CLASSIFICATION!$U$8:$U$24,MATCH($C1850,DATA_ASSET_CLASSIFICATION!$A$8:$A$24,0)),"Review"))</f>
        <v>Refi Watch</v>
      </c>
      <c r="O1850" s="350" t="str">
        <f ca="1">IF($B1850="Portfolio","Portfolio",IFERROR(INDEX(DATA_ASSET_CLASSIFICATION!$AB$8:$AB$13,MATCH($N1850,DATA_ASSET_CLASSIFICATION!$AA$8:$AA$13,0)),"Review"))</f>
        <v>Bucket 2 · Legacy</v>
      </c>
      <c r="P1850" s="350" t="str">
        <f>IF($B1850="Portfolio","Portfolio",IFERROR(INDEX(DATA_ASSET_CLASSIFICATION!$C$8:$C$24,MATCH($C1850,DATA_ASSET_CLASSIFICATION!$A$8:$A$24,0)),"Review"))</f>
        <v>Yes</v>
      </c>
      <c r="Q1850" s="350" t="str">
        <f t="shared" ca="1" si="57"/>
        <v>OK</v>
      </c>
    </row>
    <row r="1851" spans="1:17" ht="30">
      <c r="A1851" s="366" t="s">
        <v>3807</v>
      </c>
      <c r="B1851" s="366" t="s">
        <v>231</v>
      </c>
      <c r="C1851" s="348" t="str">
        <f>DATA_PROPERTY_MASTER!$A$10</f>
        <v>BLD_EA</v>
      </c>
      <c r="D1851" s="380">
        <f>'00_PORTFOLIO ROLLUP'!K$12</f>
        <v>2031</v>
      </c>
      <c r="E1851" s="366" t="s">
        <v>1721</v>
      </c>
      <c r="F1851" s="366" t="s">
        <v>33</v>
      </c>
      <c r="G1851" s="348" t="str">
        <f>"'"&amp;$C1851&amp;"'!$E$62:$Y$62"</f>
        <v>'BLD_EA'!$E$62:$Y$62</v>
      </c>
      <c r="H1851" s="381">
        <f ca="1">IF(IFERROR(INDEX(DATA_PROPERTY_MASTER!$E$5:$E$21,MATCH($C1851,DATA_PROPERTY_MASTER!$A$5:$A$21,0))="Yes",FALSE),IFERROR(INDEX(INDIRECT("'"&amp;$C1851&amp;"'!$E$62:$Y$62"),1,MATCH($D1851,INDIRECT("'"&amp;$C1851&amp;"'!$E$12:$Y$12"),0)),0),0)</f>
        <v>0</v>
      </c>
      <c r="I1851" s="366" t="s">
        <v>1685</v>
      </c>
      <c r="J1851" s="348" t="str">
        <f t="shared" ca="1" si="56"/>
        <v>OK</v>
      </c>
      <c r="K1851" s="366" t="s">
        <v>1727</v>
      </c>
      <c r="L1851" s="366" t="s">
        <v>2254</v>
      </c>
      <c r="M1851" s="350" t="str">
        <f>IF($B1851="Portfolio","Portfolio",IFERROR(INDEX(DATA_ASSET_CLASSIFICATION!$B$8:$B$24,MATCH($C1851,DATA_ASSET_CLASSIFICATION!$A$8:$A$24,0)),"Review"))</f>
        <v>Evergreen Apartments</v>
      </c>
      <c r="N1851" s="350" t="str">
        <f ca="1">IF($B1851="Portfolio","Portfolio",IFERROR(INDEX(DATA_ASSET_CLASSIFICATION!$U$8:$U$24,MATCH($C1851,DATA_ASSET_CLASSIFICATION!$A$8:$A$24,0)),"Review"))</f>
        <v>Refi Watch</v>
      </c>
      <c r="O1851" s="350" t="str">
        <f ca="1">IF($B1851="Portfolio","Portfolio",IFERROR(INDEX(DATA_ASSET_CLASSIFICATION!$AB$8:$AB$13,MATCH($N1851,DATA_ASSET_CLASSIFICATION!$AA$8:$AA$13,0)),"Review"))</f>
        <v>Bucket 2 · Legacy</v>
      </c>
      <c r="P1851" s="350" t="str">
        <f>IF($B1851="Portfolio","Portfolio",IFERROR(INDEX(DATA_ASSET_CLASSIFICATION!$C$8:$C$24,MATCH($C1851,DATA_ASSET_CLASSIFICATION!$A$8:$A$24,0)),"Review"))</f>
        <v>Yes</v>
      </c>
      <c r="Q1851" s="350" t="str">
        <f t="shared" ca="1" si="57"/>
        <v>OK</v>
      </c>
    </row>
    <row r="1852" spans="1:17" ht="30">
      <c r="A1852" s="366" t="s">
        <v>3808</v>
      </c>
      <c r="B1852" s="366" t="s">
        <v>231</v>
      </c>
      <c r="C1852" s="348" t="str">
        <f>DATA_PROPERTY_MASTER!$A$10</f>
        <v>BLD_EA</v>
      </c>
      <c r="D1852" s="380">
        <f>'00_PORTFOLIO ROLLUP'!K$12</f>
        <v>2031</v>
      </c>
      <c r="E1852" s="366" t="s">
        <v>1721</v>
      </c>
      <c r="F1852" s="366" t="s">
        <v>35</v>
      </c>
      <c r="G1852" s="348" t="str">
        <f>"'"&amp;$C1852&amp;"'!$E$63:$Y$63"</f>
        <v>'BLD_EA'!$E$63:$Y$63</v>
      </c>
      <c r="H1852" s="381">
        <f ca="1">IF(IFERROR(INDEX(DATA_PROPERTY_MASTER!$E$5:$E$21,MATCH($C1852,DATA_PROPERTY_MASTER!$A$5:$A$21,0))="Yes",FALSE),IFERROR(INDEX(INDIRECT("'"&amp;$C1852&amp;"'!$E$63:$Y$63"),1,MATCH($D1852,INDIRECT("'"&amp;$C1852&amp;"'!$E$12:$Y$12"),0)),0),0)</f>
        <v>0</v>
      </c>
      <c r="I1852" s="366" t="s">
        <v>1731</v>
      </c>
      <c r="J1852" s="348" t="str">
        <f t="shared" ca="1" si="56"/>
        <v>OK</v>
      </c>
      <c r="K1852" s="366" t="s">
        <v>1732</v>
      </c>
      <c r="L1852" s="366" t="s">
        <v>2256</v>
      </c>
      <c r="M1852" s="350" t="str">
        <f>IF($B1852="Portfolio","Portfolio",IFERROR(INDEX(DATA_ASSET_CLASSIFICATION!$B$8:$B$24,MATCH($C1852,DATA_ASSET_CLASSIFICATION!$A$8:$A$24,0)),"Review"))</f>
        <v>Evergreen Apartments</v>
      </c>
      <c r="N1852" s="350" t="str">
        <f ca="1">IF($B1852="Portfolio","Portfolio",IFERROR(INDEX(DATA_ASSET_CLASSIFICATION!$U$8:$U$24,MATCH($C1852,DATA_ASSET_CLASSIFICATION!$A$8:$A$24,0)),"Review"))</f>
        <v>Refi Watch</v>
      </c>
      <c r="O1852" s="350" t="str">
        <f ca="1">IF($B1852="Portfolio","Portfolio",IFERROR(INDEX(DATA_ASSET_CLASSIFICATION!$AB$8:$AB$13,MATCH($N1852,DATA_ASSET_CLASSIFICATION!$AA$8:$AA$13,0)),"Review"))</f>
        <v>Bucket 2 · Legacy</v>
      </c>
      <c r="P1852" s="350" t="str">
        <f>IF($B1852="Portfolio","Portfolio",IFERROR(INDEX(DATA_ASSET_CLASSIFICATION!$C$8:$C$24,MATCH($C1852,DATA_ASSET_CLASSIFICATION!$A$8:$A$24,0)),"Review"))</f>
        <v>Yes</v>
      </c>
      <c r="Q1852" s="350" t="str">
        <f t="shared" ca="1" si="57"/>
        <v>OK</v>
      </c>
    </row>
    <row r="1853" spans="1:17" ht="30">
      <c r="A1853" s="366" t="s">
        <v>3809</v>
      </c>
      <c r="B1853" s="366" t="s">
        <v>231</v>
      </c>
      <c r="C1853" s="348" t="str">
        <f>DATA_PROPERTY_MASTER!$A$10</f>
        <v>BLD_EA</v>
      </c>
      <c r="D1853" s="380">
        <f>'00_PORTFOLIO ROLLUP'!K$12</f>
        <v>2031</v>
      </c>
      <c r="E1853" s="366" t="s">
        <v>1721</v>
      </c>
      <c r="F1853" s="366" t="s">
        <v>37</v>
      </c>
      <c r="G1853" s="348" t="str">
        <f>"'"&amp;$C1853&amp;"'!$E$63:$Y$63"</f>
        <v>'BLD_EA'!$E$63:$Y$63</v>
      </c>
      <c r="H1853" s="381">
        <f ca="1">IF(IFERROR(INDEX(DATA_PROPERTY_MASTER!$E$5:$E$21,MATCH($C1853,DATA_PROPERTY_MASTER!$A$5:$A$21,0))="Yes",FALSE),MAX(IFERROR(INDEX(INDIRECT("'"&amp;$C1853&amp;"'!$E$63:$Y$63"),1,MATCH($D1853,INDIRECT("'"&amp;$C1853&amp;"'!$E$12:$Y$12"),0)),0),0),0)</f>
        <v>0</v>
      </c>
      <c r="I1853" s="366" t="s">
        <v>1685</v>
      </c>
      <c r="J1853" s="348" t="str">
        <f t="shared" ca="1" si="56"/>
        <v>OK</v>
      </c>
      <c r="K1853" s="366" t="s">
        <v>1735</v>
      </c>
      <c r="L1853" s="366" t="s">
        <v>2258</v>
      </c>
      <c r="M1853" s="350" t="str">
        <f>IF($B1853="Portfolio","Portfolio",IFERROR(INDEX(DATA_ASSET_CLASSIFICATION!$B$8:$B$24,MATCH($C1853,DATA_ASSET_CLASSIFICATION!$A$8:$A$24,0)),"Review"))</f>
        <v>Evergreen Apartments</v>
      </c>
      <c r="N1853" s="350" t="str">
        <f ca="1">IF($B1853="Portfolio","Portfolio",IFERROR(INDEX(DATA_ASSET_CLASSIFICATION!$U$8:$U$24,MATCH($C1853,DATA_ASSET_CLASSIFICATION!$A$8:$A$24,0)),"Review"))</f>
        <v>Refi Watch</v>
      </c>
      <c r="O1853" s="350" t="str">
        <f ca="1">IF($B1853="Portfolio","Portfolio",IFERROR(INDEX(DATA_ASSET_CLASSIFICATION!$AB$8:$AB$13,MATCH($N1853,DATA_ASSET_CLASSIFICATION!$AA$8:$AA$13,0)),"Review"))</f>
        <v>Bucket 2 · Legacy</v>
      </c>
      <c r="P1853" s="350" t="str">
        <f>IF($B1853="Portfolio","Portfolio",IFERROR(INDEX(DATA_ASSET_CLASSIFICATION!$C$8:$C$24,MATCH($C1853,DATA_ASSET_CLASSIFICATION!$A$8:$A$24,0)),"Review"))</f>
        <v>Yes</v>
      </c>
      <c r="Q1853" s="350" t="str">
        <f t="shared" ca="1" si="57"/>
        <v>OK</v>
      </c>
    </row>
    <row r="1854" spans="1:17" ht="30">
      <c r="A1854" s="366" t="s">
        <v>3810</v>
      </c>
      <c r="B1854" s="366" t="s">
        <v>231</v>
      </c>
      <c r="C1854" s="348" t="str">
        <f>DATA_PROPERTY_MASTER!$A$10</f>
        <v>BLD_EA</v>
      </c>
      <c r="D1854" s="380">
        <f>'00_PORTFOLIO ROLLUP'!K$12</f>
        <v>2031</v>
      </c>
      <c r="E1854" s="366" t="s">
        <v>1721</v>
      </c>
      <c r="F1854" s="366" t="s">
        <v>39</v>
      </c>
      <c r="G1854" s="348" t="str">
        <f>"'"&amp;$C1854&amp;"'!$E$63:$Y$63"</f>
        <v>'BLD_EA'!$E$63:$Y$63</v>
      </c>
      <c r="H1854" s="381">
        <f ca="1">IF(IFERROR(INDEX(DATA_PROPERTY_MASTER!$E$5:$E$21,MATCH($C1854,DATA_PROPERTY_MASTER!$A$5:$A$21,0))="Yes",FALSE),MAX(-IFERROR(INDEX(INDIRECT("'"&amp;$C1854&amp;"'!$E$63:$Y$63"),1,MATCH($D1854,INDIRECT("'"&amp;$C1854&amp;"'!$E$12:$Y$12"),0)),0),0),0)</f>
        <v>0</v>
      </c>
      <c r="I1854" s="366" t="s">
        <v>1690</v>
      </c>
      <c r="J1854" s="348" t="str">
        <f t="shared" ca="1" si="56"/>
        <v>OK</v>
      </c>
      <c r="K1854" s="366" t="s">
        <v>1738</v>
      </c>
      <c r="L1854" s="366" t="s">
        <v>2260</v>
      </c>
      <c r="M1854" s="350" t="str">
        <f>IF($B1854="Portfolio","Portfolio",IFERROR(INDEX(DATA_ASSET_CLASSIFICATION!$B$8:$B$24,MATCH($C1854,DATA_ASSET_CLASSIFICATION!$A$8:$A$24,0)),"Review"))</f>
        <v>Evergreen Apartments</v>
      </c>
      <c r="N1854" s="350" t="str">
        <f ca="1">IF($B1854="Portfolio","Portfolio",IFERROR(INDEX(DATA_ASSET_CLASSIFICATION!$U$8:$U$24,MATCH($C1854,DATA_ASSET_CLASSIFICATION!$A$8:$A$24,0)),"Review"))</f>
        <v>Refi Watch</v>
      </c>
      <c r="O1854" s="350" t="str">
        <f ca="1">IF($B1854="Portfolio","Portfolio",IFERROR(INDEX(DATA_ASSET_CLASSIFICATION!$AB$8:$AB$13,MATCH($N1854,DATA_ASSET_CLASSIFICATION!$AA$8:$AA$13,0)),"Review"))</f>
        <v>Bucket 2 · Legacy</v>
      </c>
      <c r="P1854" s="350" t="str">
        <f>IF($B1854="Portfolio","Portfolio",IFERROR(INDEX(DATA_ASSET_CLASSIFICATION!$C$8:$C$24,MATCH($C1854,DATA_ASSET_CLASSIFICATION!$A$8:$A$24,0)),"Review"))</f>
        <v>Yes</v>
      </c>
      <c r="Q1854" s="350" t="str">
        <f t="shared" ca="1" si="57"/>
        <v>OK</v>
      </c>
    </row>
    <row r="1855" spans="1:17" ht="30">
      <c r="A1855" s="366" t="s">
        <v>3811</v>
      </c>
      <c r="B1855" s="366" t="s">
        <v>231</v>
      </c>
      <c r="C1855" s="348" t="str">
        <f>DATA_PROPERTY_MASTER!$A$10</f>
        <v>BLD_EA</v>
      </c>
      <c r="D1855" s="380">
        <f>'00_PORTFOLIO ROLLUP'!K$12</f>
        <v>2031</v>
      </c>
      <c r="E1855" s="366" t="s">
        <v>1741</v>
      </c>
      <c r="F1855" s="366" t="s">
        <v>41</v>
      </c>
      <c r="G1855" s="348" t="str">
        <f>"'"&amp;$C1855&amp;"'!rows 56 + positive row 63"</f>
        <v>'BLD_EA'!rows 56 + positive row 63</v>
      </c>
      <c r="H1855" s="381">
        <f ca="1">IF(IFERROR(INDEX(DATA_PROPERTY_MASTER!$E$5:$E$21,MATCH($C1855,DATA_PROPERTY_MASTER!$A$5:$A$21,0))="Yes",FALSE),IFERROR(INDEX(INDIRECT("'"&amp;$C1855&amp;"'!$E$56:$Y$56"),1,MATCH($D1855,INDIRECT("'"&amp;$C1855&amp;"'!$E$12:$Y$12"),0)),0)+MAX(IFERROR(INDEX(INDIRECT("'"&amp;$C1855&amp;"'!$E$63:$Y$63"),1,MATCH($D1855,INDIRECT("'"&amp;$C1855&amp;"'!$E$12:$Y$12"),0)),0),0),0)</f>
        <v>119058.44646095429</v>
      </c>
      <c r="I1855" s="366" t="s">
        <v>1685</v>
      </c>
      <c r="J1855" s="348" t="str">
        <f t="shared" ca="1" si="56"/>
        <v>OK</v>
      </c>
      <c r="K1855" s="366" t="s">
        <v>1742</v>
      </c>
      <c r="L1855" s="366" t="s">
        <v>2262</v>
      </c>
      <c r="M1855" s="350" t="str">
        <f>IF($B1855="Portfolio","Portfolio",IFERROR(INDEX(DATA_ASSET_CLASSIFICATION!$B$8:$B$24,MATCH($C1855,DATA_ASSET_CLASSIFICATION!$A$8:$A$24,0)),"Review"))</f>
        <v>Evergreen Apartments</v>
      </c>
      <c r="N1855" s="350" t="str">
        <f ca="1">IF($B1855="Portfolio","Portfolio",IFERROR(INDEX(DATA_ASSET_CLASSIFICATION!$U$8:$U$24,MATCH($C1855,DATA_ASSET_CLASSIFICATION!$A$8:$A$24,0)),"Review"))</f>
        <v>Refi Watch</v>
      </c>
      <c r="O1855" s="350" t="str">
        <f ca="1">IF($B1855="Portfolio","Portfolio",IFERROR(INDEX(DATA_ASSET_CLASSIFICATION!$AB$8:$AB$13,MATCH($N1855,DATA_ASSET_CLASSIFICATION!$AA$8:$AA$13,0)),"Review"))</f>
        <v>Bucket 2 · Legacy</v>
      </c>
      <c r="P1855" s="350" t="str">
        <f>IF($B1855="Portfolio","Portfolio",IFERROR(INDEX(DATA_ASSET_CLASSIFICATION!$C$8:$C$24,MATCH($C1855,DATA_ASSET_CLASSIFICATION!$A$8:$A$24,0)),"Review"))</f>
        <v>Yes</v>
      </c>
      <c r="Q1855" s="350" t="str">
        <f t="shared" ca="1" si="57"/>
        <v>OK</v>
      </c>
    </row>
    <row r="1856" spans="1:17" ht="30">
      <c r="A1856" s="366" t="s">
        <v>3812</v>
      </c>
      <c r="B1856" s="366" t="s">
        <v>231</v>
      </c>
      <c r="C1856" s="348" t="str">
        <f>DATA_PROPERTY_MASTER!$A$10</f>
        <v>BLD_EA</v>
      </c>
      <c r="D1856" s="380">
        <f>'00_PORTFOLIO ROLLUP'!K$12</f>
        <v>2031</v>
      </c>
      <c r="E1856" s="366" t="s">
        <v>1741</v>
      </c>
      <c r="F1856" s="366" t="s">
        <v>43</v>
      </c>
      <c r="G1856" s="348" t="str">
        <f>"'"&amp;$C1856&amp;"'!$E$68:$Y$68"</f>
        <v>'BLD_EA'!$E$68:$Y$68</v>
      </c>
      <c r="H1856" s="381">
        <f ca="1">IF(IFERROR(INDEX(DATA_PROPERTY_MASTER!$E$5:$E$21,MATCH($C1856,DATA_PROPERTY_MASTER!$A$5:$A$21,0))="Yes",FALSE),IFERROR(INDEX(INDIRECT("'"&amp;$C1856&amp;"'!$E$68:$Y$68"),1,MATCH($D1856,INDIRECT("'"&amp;$C1856&amp;"'!$E$12:$Y$12"),0)),0),0)</f>
        <v>119058.44646095429</v>
      </c>
      <c r="I1856" s="366" t="s">
        <v>1731</v>
      </c>
      <c r="J1856" s="348" t="str">
        <f t="shared" ca="1" si="56"/>
        <v>OK</v>
      </c>
      <c r="K1856" s="366" t="s">
        <v>1746</v>
      </c>
      <c r="L1856" s="366" t="s">
        <v>2264</v>
      </c>
      <c r="M1856" s="350" t="str">
        <f>IF($B1856="Portfolio","Portfolio",IFERROR(INDEX(DATA_ASSET_CLASSIFICATION!$B$8:$B$24,MATCH($C1856,DATA_ASSET_CLASSIFICATION!$A$8:$A$24,0)),"Review"))</f>
        <v>Evergreen Apartments</v>
      </c>
      <c r="N1856" s="350" t="str">
        <f ca="1">IF($B1856="Portfolio","Portfolio",IFERROR(INDEX(DATA_ASSET_CLASSIFICATION!$U$8:$U$24,MATCH($C1856,DATA_ASSET_CLASSIFICATION!$A$8:$A$24,0)),"Review"))</f>
        <v>Refi Watch</v>
      </c>
      <c r="O1856" s="350" t="str">
        <f ca="1">IF($B1856="Portfolio","Portfolio",IFERROR(INDEX(DATA_ASSET_CLASSIFICATION!$AB$8:$AB$13,MATCH($N1856,DATA_ASSET_CLASSIFICATION!$AA$8:$AA$13,0)),"Review"))</f>
        <v>Bucket 2 · Legacy</v>
      </c>
      <c r="P1856" s="350" t="str">
        <f>IF($B1856="Portfolio","Portfolio",IFERROR(INDEX(DATA_ASSET_CLASSIFICATION!$C$8:$C$24,MATCH($C1856,DATA_ASSET_CLASSIFICATION!$A$8:$A$24,0)),"Review"))</f>
        <v>Yes</v>
      </c>
      <c r="Q1856" s="350" t="str">
        <f t="shared" ca="1" si="57"/>
        <v>OK</v>
      </c>
    </row>
    <row r="1857" spans="1:17" ht="30">
      <c r="A1857" s="366" t="s">
        <v>3813</v>
      </c>
      <c r="B1857" s="366" t="s">
        <v>231</v>
      </c>
      <c r="C1857" s="348" t="str">
        <f>DATA_PROPERTY_MASTER!$A$10</f>
        <v>BLD_EA</v>
      </c>
      <c r="D1857" s="380">
        <f>'00_PORTFOLIO ROLLUP'!K$12</f>
        <v>2031</v>
      </c>
      <c r="E1857" s="366" t="s">
        <v>1741</v>
      </c>
      <c r="F1857" s="366" t="s">
        <v>1749</v>
      </c>
      <c r="G1857" s="348" t="str">
        <f>"'"&amp;$C1857&amp;"'!rows 56, 63, 68"</f>
        <v>'BLD_EA'!rows 56, 63, 68</v>
      </c>
      <c r="H1857" s="381">
        <f ca="1">IF(IFERROR(INDEX(DATA_PROPERTY_MASTER!$E$5:$E$21,MATCH($C1857,DATA_PROPERTY_MASTER!$A$5:$A$21,0))="Yes",FALSE),(IFERROR(INDEX(INDIRECT("'"&amp;$C1857&amp;"'!$E$56:$Y$56"),1,MATCH($D1857,INDIRECT("'"&amp;$C1857&amp;"'!$E$12:$Y$12"),0)),0)+MAX(IFERROR(INDEX(INDIRECT("'"&amp;$C1857&amp;"'!$E$63:$Y$63"),1,MATCH($D1857,INDIRECT("'"&amp;$C1857&amp;"'!$E$12:$Y$12"),0)),0),0))-(IFERROR(INDEX(INDIRECT("'"&amp;$C1857&amp;"'!$E$68:$Y$68"),1,MATCH($D1857,INDIRECT("'"&amp;$C1857&amp;"'!$E$12:$Y$12"),0)),0)),0)</f>
        <v>0</v>
      </c>
      <c r="I1857" s="366" t="s">
        <v>1750</v>
      </c>
      <c r="J1857" s="348" t="str">
        <f t="shared" ca="1" si="56"/>
        <v>OK</v>
      </c>
      <c r="K1857" s="366" t="s">
        <v>1751</v>
      </c>
      <c r="L1857" s="366" t="s">
        <v>2266</v>
      </c>
      <c r="M1857" s="350" t="str">
        <f>IF($B1857="Portfolio","Portfolio",IFERROR(INDEX(DATA_ASSET_CLASSIFICATION!$B$8:$B$24,MATCH($C1857,DATA_ASSET_CLASSIFICATION!$A$8:$A$24,0)),"Review"))</f>
        <v>Evergreen Apartments</v>
      </c>
      <c r="N1857" s="350" t="str">
        <f ca="1">IF($B1857="Portfolio","Portfolio",IFERROR(INDEX(DATA_ASSET_CLASSIFICATION!$U$8:$U$24,MATCH($C1857,DATA_ASSET_CLASSIFICATION!$A$8:$A$24,0)),"Review"))</f>
        <v>Refi Watch</v>
      </c>
      <c r="O1857" s="350" t="str">
        <f ca="1">IF($B1857="Portfolio","Portfolio",IFERROR(INDEX(DATA_ASSET_CLASSIFICATION!$AB$8:$AB$13,MATCH($N1857,DATA_ASSET_CLASSIFICATION!$AA$8:$AA$13,0)),"Review"))</f>
        <v>Bucket 2 · Legacy</v>
      </c>
      <c r="P1857" s="350" t="str">
        <f>IF($B1857="Portfolio","Portfolio",IFERROR(INDEX(DATA_ASSET_CLASSIFICATION!$C$8:$C$24,MATCH($C1857,DATA_ASSET_CLASSIFICATION!$A$8:$A$24,0)),"Review"))</f>
        <v>Yes</v>
      </c>
      <c r="Q1857" s="350" t="str">
        <f t="shared" ca="1" si="57"/>
        <v>OK</v>
      </c>
    </row>
    <row r="1858" spans="1:17" ht="30">
      <c r="A1858" s="366" t="s">
        <v>3814</v>
      </c>
      <c r="B1858" s="366" t="s">
        <v>231</v>
      </c>
      <c r="C1858" s="348" t="str">
        <f>DATA_PROPERTY_MASTER!$A$10</f>
        <v>BLD_EA</v>
      </c>
      <c r="D1858" s="380">
        <f>'00_PORTFOLIO ROLLUP'!L$12</f>
        <v>2032</v>
      </c>
      <c r="E1858" s="366" t="s">
        <v>1683</v>
      </c>
      <c r="F1858" s="366" t="s">
        <v>341</v>
      </c>
      <c r="G1858" s="348" t="str">
        <f>"'"&amp;$C1858&amp;"'!$E$24:$Y$24"</f>
        <v>'BLD_EA'!$E$24:$Y$24</v>
      </c>
      <c r="H1858" s="381">
        <f ca="1">IF(IFERROR(INDEX(DATA_PROPERTY_MASTER!$E$5:$E$21,MATCH($C1858,DATA_PROPERTY_MASTER!$A$5:$A$21,0))="Yes",FALSE),IFERROR(INDEX(INDIRECT("'"&amp;$C1858&amp;"'!$E$24:$Y$24"),1,MATCH($D1858,INDIRECT("'"&amp;$C1858&amp;"'!$E$12:$Y$12"),0)),0),0)</f>
        <v>1141112.0315446542</v>
      </c>
      <c r="I1858" s="366" t="s">
        <v>1685</v>
      </c>
      <c r="J1858" s="348" t="str">
        <f t="shared" ca="1" si="56"/>
        <v>OK</v>
      </c>
      <c r="K1858" s="366" t="s">
        <v>1686</v>
      </c>
      <c r="L1858" s="366" t="s">
        <v>2234</v>
      </c>
      <c r="M1858" s="350" t="str">
        <f>IF($B1858="Portfolio","Portfolio",IFERROR(INDEX(DATA_ASSET_CLASSIFICATION!$B$8:$B$24,MATCH($C1858,DATA_ASSET_CLASSIFICATION!$A$8:$A$24,0)),"Review"))</f>
        <v>Evergreen Apartments</v>
      </c>
      <c r="N1858" s="350" t="str">
        <f ca="1">IF($B1858="Portfolio","Portfolio",IFERROR(INDEX(DATA_ASSET_CLASSIFICATION!$U$8:$U$24,MATCH($C1858,DATA_ASSET_CLASSIFICATION!$A$8:$A$24,0)),"Review"))</f>
        <v>Refi Watch</v>
      </c>
      <c r="O1858" s="350" t="str">
        <f ca="1">IF($B1858="Portfolio","Portfolio",IFERROR(INDEX(DATA_ASSET_CLASSIFICATION!$AB$8:$AB$13,MATCH($N1858,DATA_ASSET_CLASSIFICATION!$AA$8:$AA$13,0)),"Review"))</f>
        <v>Bucket 2 · Legacy</v>
      </c>
      <c r="P1858" s="350" t="str">
        <f>IF($B1858="Portfolio","Portfolio",IFERROR(INDEX(DATA_ASSET_CLASSIFICATION!$C$8:$C$24,MATCH($C1858,DATA_ASSET_CLASSIFICATION!$A$8:$A$24,0)),"Review"))</f>
        <v>Yes</v>
      </c>
      <c r="Q1858" s="350" t="str">
        <f t="shared" ca="1" si="57"/>
        <v>OK</v>
      </c>
    </row>
    <row r="1859" spans="1:17" ht="30">
      <c r="A1859" s="366" t="s">
        <v>3815</v>
      </c>
      <c r="B1859" s="366" t="s">
        <v>231</v>
      </c>
      <c r="C1859" s="348" t="str">
        <f>DATA_PROPERTY_MASTER!$A$10</f>
        <v>BLD_EA</v>
      </c>
      <c r="D1859" s="380">
        <f>'00_PORTFOLIO ROLLUP'!L$12</f>
        <v>2032</v>
      </c>
      <c r="E1859" s="366" t="s">
        <v>1683</v>
      </c>
      <c r="F1859" s="366" t="s">
        <v>355</v>
      </c>
      <c r="G1859" s="348" t="str">
        <f>"'"&amp;$C1859&amp;"'!$E$39:$Y$39"</f>
        <v>'BLD_EA'!$E$39:$Y$39</v>
      </c>
      <c r="H1859" s="381">
        <f ca="1">IF(IFERROR(INDEX(DATA_PROPERTY_MASTER!$E$5:$E$21,MATCH($C1859,DATA_PROPERTY_MASTER!$A$5:$A$21,0))="Yes",FALSE),IFERROR(INDEX(INDIRECT("'"&amp;$C1859&amp;"'!$E$39:$Y$39"),1,MATCH($D1859,INDIRECT("'"&amp;$C1859&amp;"'!$E$12:$Y$12"),0)),0),0)</f>
        <v>544181.21646273474</v>
      </c>
      <c r="I1859" s="366" t="s">
        <v>1690</v>
      </c>
      <c r="J1859" s="348" t="str">
        <f t="shared" ca="1" si="56"/>
        <v>OK</v>
      </c>
      <c r="K1859" s="366" t="s">
        <v>1686</v>
      </c>
      <c r="L1859" s="366" t="s">
        <v>2236</v>
      </c>
      <c r="M1859" s="350" t="str">
        <f>IF($B1859="Portfolio","Portfolio",IFERROR(INDEX(DATA_ASSET_CLASSIFICATION!$B$8:$B$24,MATCH($C1859,DATA_ASSET_CLASSIFICATION!$A$8:$A$24,0)),"Review"))</f>
        <v>Evergreen Apartments</v>
      </c>
      <c r="N1859" s="350" t="str">
        <f ca="1">IF($B1859="Portfolio","Portfolio",IFERROR(INDEX(DATA_ASSET_CLASSIFICATION!$U$8:$U$24,MATCH($C1859,DATA_ASSET_CLASSIFICATION!$A$8:$A$24,0)),"Review"))</f>
        <v>Refi Watch</v>
      </c>
      <c r="O1859" s="350" t="str">
        <f ca="1">IF($B1859="Portfolio","Portfolio",IFERROR(INDEX(DATA_ASSET_CLASSIFICATION!$AB$8:$AB$13,MATCH($N1859,DATA_ASSET_CLASSIFICATION!$AA$8:$AA$13,0)),"Review"))</f>
        <v>Bucket 2 · Legacy</v>
      </c>
      <c r="P1859" s="350" t="str">
        <f>IF($B1859="Portfolio","Portfolio",IFERROR(INDEX(DATA_ASSET_CLASSIFICATION!$C$8:$C$24,MATCH($C1859,DATA_ASSET_CLASSIFICATION!$A$8:$A$24,0)),"Review"))</f>
        <v>Yes</v>
      </c>
      <c r="Q1859" s="350" t="str">
        <f t="shared" ca="1" si="57"/>
        <v>OK</v>
      </c>
    </row>
    <row r="1860" spans="1:17" ht="30">
      <c r="A1860" s="366" t="s">
        <v>3816</v>
      </c>
      <c r="B1860" s="366" t="s">
        <v>231</v>
      </c>
      <c r="C1860" s="348" t="str">
        <f>DATA_PROPERTY_MASTER!$A$10</f>
        <v>BLD_EA</v>
      </c>
      <c r="D1860" s="380">
        <f>'00_PORTFOLIO ROLLUP'!L$12</f>
        <v>2032</v>
      </c>
      <c r="E1860" s="366" t="s">
        <v>1683</v>
      </c>
      <c r="F1860" s="366" t="s">
        <v>19</v>
      </c>
      <c r="G1860" s="348" t="str">
        <f>"'"&amp;$C1860&amp;"'!$E$41:$Y$41"</f>
        <v>'BLD_EA'!$E$41:$Y$41</v>
      </c>
      <c r="H1860" s="381">
        <f ca="1">IF(IFERROR(INDEX(DATA_PROPERTY_MASTER!$E$5:$E$21,MATCH($C1860,DATA_PROPERTY_MASTER!$A$5:$A$21,0))="Yes",FALSE),IFERROR(INDEX(INDIRECT("'"&amp;$C1860&amp;"'!$E$41:$Y$41"),1,MATCH($D1860,INDIRECT("'"&amp;$C1860&amp;"'!$E$12:$Y$12"),0)),0),0)</f>
        <v>596930.81508191943</v>
      </c>
      <c r="I1860" s="366" t="s">
        <v>1685</v>
      </c>
      <c r="J1860" s="348" t="str">
        <f t="shared" ca="1" si="56"/>
        <v>OK</v>
      </c>
      <c r="K1860" s="366" t="s">
        <v>1694</v>
      </c>
      <c r="L1860" s="366" t="s">
        <v>2238</v>
      </c>
      <c r="M1860" s="350" t="str">
        <f>IF($B1860="Portfolio","Portfolio",IFERROR(INDEX(DATA_ASSET_CLASSIFICATION!$B$8:$B$24,MATCH($C1860,DATA_ASSET_CLASSIFICATION!$A$8:$A$24,0)),"Review"))</f>
        <v>Evergreen Apartments</v>
      </c>
      <c r="N1860" s="350" t="str">
        <f ca="1">IF($B1860="Portfolio","Portfolio",IFERROR(INDEX(DATA_ASSET_CLASSIFICATION!$U$8:$U$24,MATCH($C1860,DATA_ASSET_CLASSIFICATION!$A$8:$A$24,0)),"Review"))</f>
        <v>Refi Watch</v>
      </c>
      <c r="O1860" s="350" t="str">
        <f ca="1">IF($B1860="Portfolio","Portfolio",IFERROR(INDEX(DATA_ASSET_CLASSIFICATION!$AB$8:$AB$13,MATCH($N1860,DATA_ASSET_CLASSIFICATION!$AA$8:$AA$13,0)),"Review"))</f>
        <v>Bucket 2 · Legacy</v>
      </c>
      <c r="P1860" s="350" t="str">
        <f>IF($B1860="Portfolio","Portfolio",IFERROR(INDEX(DATA_ASSET_CLASSIFICATION!$C$8:$C$24,MATCH($C1860,DATA_ASSET_CLASSIFICATION!$A$8:$A$24,0)),"Review"))</f>
        <v>Yes</v>
      </c>
      <c r="Q1860" s="350" t="str">
        <f t="shared" ca="1" si="57"/>
        <v>OK</v>
      </c>
    </row>
    <row r="1861" spans="1:17" ht="30">
      <c r="A1861" s="366" t="s">
        <v>3817</v>
      </c>
      <c r="B1861" s="366" t="s">
        <v>231</v>
      </c>
      <c r="C1861" s="348" t="str">
        <f>DATA_PROPERTY_MASTER!$A$10</f>
        <v>BLD_EA</v>
      </c>
      <c r="D1861" s="380">
        <f>'00_PORTFOLIO ROLLUP'!L$12</f>
        <v>2032</v>
      </c>
      <c r="E1861" s="366" t="s">
        <v>1683</v>
      </c>
      <c r="F1861" s="366" t="s">
        <v>1697</v>
      </c>
      <c r="G1861" s="348" t="str">
        <f>"'"&amp;$C1861&amp;"'!$E$44:$Y$44"</f>
        <v>'BLD_EA'!$E$44:$Y$44</v>
      </c>
      <c r="H1861" s="381">
        <f ca="1">IF(IFERROR(INDEX(DATA_PROPERTY_MASTER!$E$5:$E$21,MATCH($C1861,DATA_PROPERTY_MASTER!$A$5:$A$21,0))="Yes",FALSE),IFERROR(INDEX(INDIRECT("'"&amp;$C1861&amp;"'!$E$44:$Y$44"),1,MATCH($D1861,INDIRECT("'"&amp;$C1861&amp;"'!$E$12:$Y$12"),0)),0),0)</f>
        <v>10510.47385899091</v>
      </c>
      <c r="I1861" s="366" t="s">
        <v>1690</v>
      </c>
      <c r="J1861" s="348" t="str">
        <f t="shared" ref="J1861:J1924" ca="1" si="58">IF($F1861="Residual Funding Gap",IF($H1861&gt;0,"Funding Gap","OK"),IF(AND($F1861="Net Refinance Position",$H1861&lt;0),"Negative net refi position","OK"))</f>
        <v>OK</v>
      </c>
      <c r="K1861" s="366" t="s">
        <v>1699</v>
      </c>
      <c r="L1861" s="366" t="s">
        <v>2240</v>
      </c>
      <c r="M1861" s="350" t="str">
        <f>IF($B1861="Portfolio","Portfolio",IFERROR(INDEX(DATA_ASSET_CLASSIFICATION!$B$8:$B$24,MATCH($C1861,DATA_ASSET_CLASSIFICATION!$A$8:$A$24,0)),"Review"))</f>
        <v>Evergreen Apartments</v>
      </c>
      <c r="N1861" s="350" t="str">
        <f ca="1">IF($B1861="Portfolio","Portfolio",IFERROR(INDEX(DATA_ASSET_CLASSIFICATION!$U$8:$U$24,MATCH($C1861,DATA_ASSET_CLASSIFICATION!$A$8:$A$24,0)),"Review"))</f>
        <v>Refi Watch</v>
      </c>
      <c r="O1861" s="350" t="str">
        <f ca="1">IF($B1861="Portfolio","Portfolio",IFERROR(INDEX(DATA_ASSET_CLASSIFICATION!$AB$8:$AB$13,MATCH($N1861,DATA_ASSET_CLASSIFICATION!$AA$8:$AA$13,0)),"Review"))</f>
        <v>Bucket 2 · Legacy</v>
      </c>
      <c r="P1861" s="350" t="str">
        <f>IF($B1861="Portfolio","Portfolio",IFERROR(INDEX(DATA_ASSET_CLASSIFICATION!$C$8:$C$24,MATCH($C1861,DATA_ASSET_CLASSIFICATION!$A$8:$A$24,0)),"Review"))</f>
        <v>Yes</v>
      </c>
      <c r="Q1861" s="350" t="str">
        <f t="shared" ref="Q1861:Q1924" ca="1" si="59">IF(AND($B1861="Property",$F1861="Residual Funding Gap",$H1861&gt;0),"Property Funding Gap",IF($J1861&lt;&gt;"OK",$J1861,"OK"))</f>
        <v>OK</v>
      </c>
    </row>
    <row r="1862" spans="1:17" ht="30">
      <c r="A1862" s="366" t="s">
        <v>3818</v>
      </c>
      <c r="B1862" s="366" t="s">
        <v>231</v>
      </c>
      <c r="C1862" s="348" t="str">
        <f>DATA_PROPERTY_MASTER!$A$10</f>
        <v>BLD_EA</v>
      </c>
      <c r="D1862" s="380">
        <f>'00_PORTFOLIO ROLLUP'!L$12</f>
        <v>2032</v>
      </c>
      <c r="E1862" s="366" t="s">
        <v>1683</v>
      </c>
      <c r="F1862" s="366" t="s">
        <v>21</v>
      </c>
      <c r="G1862" s="348" t="str">
        <f>"'"&amp;$C1862&amp;"'!$E$45:$Y$45"</f>
        <v>'BLD_EA'!$E$45:$Y$45</v>
      </c>
      <c r="H1862" s="381">
        <f ca="1">IF(IFERROR(INDEX(DATA_PROPERTY_MASTER!$E$5:$E$21,MATCH($C1862,DATA_PROPERTY_MASTER!$A$5:$A$21,0))="Yes",FALSE),IFERROR(INDEX(INDIRECT("'"&amp;$C1862&amp;"'!$E$45:$Y$45"),1,MATCH($D1862,INDIRECT("'"&amp;$C1862&amp;"'!$E$12:$Y$12"),0)),0),0)</f>
        <v>586420.34122292849</v>
      </c>
      <c r="I1862" s="366" t="s">
        <v>1685</v>
      </c>
      <c r="J1862" s="348" t="str">
        <f t="shared" ca="1" si="58"/>
        <v>OK</v>
      </c>
      <c r="K1862" s="366" t="s">
        <v>1694</v>
      </c>
      <c r="L1862" s="366" t="s">
        <v>2242</v>
      </c>
      <c r="M1862" s="350" t="str">
        <f>IF($B1862="Portfolio","Portfolio",IFERROR(INDEX(DATA_ASSET_CLASSIFICATION!$B$8:$B$24,MATCH($C1862,DATA_ASSET_CLASSIFICATION!$A$8:$A$24,0)),"Review"))</f>
        <v>Evergreen Apartments</v>
      </c>
      <c r="N1862" s="350" t="str">
        <f ca="1">IF($B1862="Portfolio","Portfolio",IFERROR(INDEX(DATA_ASSET_CLASSIFICATION!$U$8:$U$24,MATCH($C1862,DATA_ASSET_CLASSIFICATION!$A$8:$A$24,0)),"Review"))</f>
        <v>Refi Watch</v>
      </c>
      <c r="O1862" s="350" t="str">
        <f ca="1">IF($B1862="Portfolio","Portfolio",IFERROR(INDEX(DATA_ASSET_CLASSIFICATION!$AB$8:$AB$13,MATCH($N1862,DATA_ASSET_CLASSIFICATION!$AA$8:$AA$13,0)),"Review"))</f>
        <v>Bucket 2 · Legacy</v>
      </c>
      <c r="P1862" s="350" t="str">
        <f>IF($B1862="Portfolio","Portfolio",IFERROR(INDEX(DATA_ASSET_CLASSIFICATION!$C$8:$C$24,MATCH($C1862,DATA_ASSET_CLASSIFICATION!$A$8:$A$24,0)),"Review"))</f>
        <v>Yes</v>
      </c>
      <c r="Q1862" s="350" t="str">
        <f t="shared" ca="1" si="59"/>
        <v>OK</v>
      </c>
    </row>
    <row r="1863" spans="1:17" ht="30">
      <c r="A1863" s="366" t="s">
        <v>3819</v>
      </c>
      <c r="B1863" s="366" t="s">
        <v>231</v>
      </c>
      <c r="C1863" s="348" t="str">
        <f>DATA_PROPERTY_MASTER!$A$10</f>
        <v>BLD_EA</v>
      </c>
      <c r="D1863" s="380">
        <f>'00_PORTFOLIO ROLLUP'!L$12</f>
        <v>2032</v>
      </c>
      <c r="E1863" s="366" t="s">
        <v>23</v>
      </c>
      <c r="F1863" s="366" t="s">
        <v>23</v>
      </c>
      <c r="G1863" s="348" t="str">
        <f>"'"&amp;$C1863&amp;"'!$E$48:$Y$48"</f>
        <v>'BLD_EA'!$E$48:$Y$48</v>
      </c>
      <c r="H1863" s="381">
        <f ca="1">IF(IFERROR(INDEX(DATA_PROPERTY_MASTER!$E$5:$E$21,MATCH($C1863,DATA_PROPERTY_MASTER!$A$5:$A$21,0))="Yes",FALSE),IFERROR(INDEX(INDIRECT("'"&amp;$C1863&amp;"'!$E$48:$Y$48"),1,MATCH($D1863,INDIRECT("'"&amp;$C1863&amp;"'!$E$12:$Y$12"),0)),0),0)</f>
        <v>297840</v>
      </c>
      <c r="I1863" s="366" t="s">
        <v>1690</v>
      </c>
      <c r="J1863" s="348" t="str">
        <f t="shared" ca="1" si="58"/>
        <v>OK</v>
      </c>
      <c r="K1863" s="366" t="s">
        <v>1706</v>
      </c>
      <c r="L1863" s="366" t="s">
        <v>2244</v>
      </c>
      <c r="M1863" s="350" t="str">
        <f>IF($B1863="Portfolio","Portfolio",IFERROR(INDEX(DATA_ASSET_CLASSIFICATION!$B$8:$B$24,MATCH($C1863,DATA_ASSET_CLASSIFICATION!$A$8:$A$24,0)),"Review"))</f>
        <v>Evergreen Apartments</v>
      </c>
      <c r="N1863" s="350" t="str">
        <f ca="1">IF($B1863="Portfolio","Portfolio",IFERROR(INDEX(DATA_ASSET_CLASSIFICATION!$U$8:$U$24,MATCH($C1863,DATA_ASSET_CLASSIFICATION!$A$8:$A$24,0)),"Review"))</f>
        <v>Refi Watch</v>
      </c>
      <c r="O1863" s="350" t="str">
        <f ca="1">IF($B1863="Portfolio","Portfolio",IFERROR(INDEX(DATA_ASSET_CLASSIFICATION!$AB$8:$AB$13,MATCH($N1863,DATA_ASSET_CLASSIFICATION!$AA$8:$AA$13,0)),"Review"))</f>
        <v>Bucket 2 · Legacy</v>
      </c>
      <c r="P1863" s="350" t="str">
        <f>IF($B1863="Portfolio","Portfolio",IFERROR(INDEX(DATA_ASSET_CLASSIFICATION!$C$8:$C$24,MATCH($C1863,DATA_ASSET_CLASSIFICATION!$A$8:$A$24,0)),"Review"))</f>
        <v>Yes</v>
      </c>
      <c r="Q1863" s="350" t="str">
        <f t="shared" ca="1" si="59"/>
        <v>OK</v>
      </c>
    </row>
    <row r="1864" spans="1:17" ht="30">
      <c r="A1864" s="366" t="s">
        <v>3820</v>
      </c>
      <c r="B1864" s="366" t="s">
        <v>231</v>
      </c>
      <c r="C1864" s="348" t="str">
        <f>DATA_PROPERTY_MASTER!$A$10</f>
        <v>BLD_EA</v>
      </c>
      <c r="D1864" s="380">
        <f>'00_PORTFOLIO ROLLUP'!L$12</f>
        <v>2032</v>
      </c>
      <c r="E1864" s="366" t="s">
        <v>1683</v>
      </c>
      <c r="F1864" s="366" t="s">
        <v>25</v>
      </c>
      <c r="G1864" s="348" t="str">
        <f>"'"&amp;$C1864&amp;"'!$E$52:$Y$52"</f>
        <v>'BLD_EA'!$E$52:$Y$52</v>
      </c>
      <c r="H1864" s="381">
        <f ca="1">IF(IFERROR(INDEX(DATA_PROPERTY_MASTER!$E$5:$E$21,MATCH($C1864,DATA_PROPERTY_MASTER!$A$5:$A$21,0))="Yes",FALSE),IFERROR(INDEX(INDIRECT("'"&amp;$C1864&amp;"'!$E$52:$Y$52"),1,MATCH($D1864,INDIRECT("'"&amp;$C1864&amp;"'!$E$12:$Y$12"),0)),0),0)</f>
        <v>299090.81508191943</v>
      </c>
      <c r="I1864" s="366" t="s">
        <v>1685</v>
      </c>
      <c r="J1864" s="348" t="str">
        <f t="shared" ca="1" si="58"/>
        <v>OK</v>
      </c>
      <c r="K1864" s="366" t="s">
        <v>1710</v>
      </c>
      <c r="L1864" s="366" t="s">
        <v>2246</v>
      </c>
      <c r="M1864" s="350" t="str">
        <f>IF($B1864="Portfolio","Portfolio",IFERROR(INDEX(DATA_ASSET_CLASSIFICATION!$B$8:$B$24,MATCH($C1864,DATA_ASSET_CLASSIFICATION!$A$8:$A$24,0)),"Review"))</f>
        <v>Evergreen Apartments</v>
      </c>
      <c r="N1864" s="350" t="str">
        <f ca="1">IF($B1864="Portfolio","Portfolio",IFERROR(INDEX(DATA_ASSET_CLASSIFICATION!$U$8:$U$24,MATCH($C1864,DATA_ASSET_CLASSIFICATION!$A$8:$A$24,0)),"Review"))</f>
        <v>Refi Watch</v>
      </c>
      <c r="O1864" s="350" t="str">
        <f ca="1">IF($B1864="Portfolio","Portfolio",IFERROR(INDEX(DATA_ASSET_CLASSIFICATION!$AB$8:$AB$13,MATCH($N1864,DATA_ASSET_CLASSIFICATION!$AA$8:$AA$13,0)),"Review"))</f>
        <v>Bucket 2 · Legacy</v>
      </c>
      <c r="P1864" s="350" t="str">
        <f>IF($B1864="Portfolio","Portfolio",IFERROR(INDEX(DATA_ASSET_CLASSIFICATION!$C$8:$C$24,MATCH($C1864,DATA_ASSET_CLASSIFICATION!$A$8:$A$24,0)),"Review"))</f>
        <v>Yes</v>
      </c>
      <c r="Q1864" s="350" t="str">
        <f t="shared" ca="1" si="59"/>
        <v>OK</v>
      </c>
    </row>
    <row r="1865" spans="1:17" ht="30">
      <c r="A1865" s="366" t="s">
        <v>3821</v>
      </c>
      <c r="B1865" s="366" t="s">
        <v>231</v>
      </c>
      <c r="C1865" s="348" t="str">
        <f>DATA_PROPERTY_MASTER!$A$10</f>
        <v>BLD_EA</v>
      </c>
      <c r="D1865" s="380">
        <f>'00_PORTFOLIO ROLLUP'!L$12</f>
        <v>2032</v>
      </c>
      <c r="E1865" s="366" t="s">
        <v>1683</v>
      </c>
      <c r="F1865" s="366" t="s">
        <v>27</v>
      </c>
      <c r="G1865" s="348" t="str">
        <f>"'"&amp;$C1865&amp;"'!$E$54:$Y$54"</f>
        <v>'BLD_EA'!$E$54:$Y$54</v>
      </c>
      <c r="H1865" s="381">
        <f ca="1">IF(IFERROR(INDEX(DATA_PROPERTY_MASTER!$E$5:$E$21,MATCH($C1865,DATA_PROPERTY_MASTER!$A$5:$A$21,0))="Yes",FALSE),IFERROR(INDEX(INDIRECT("'"&amp;$C1865&amp;"'!$E$54:$Y$54"),1,MATCH($D1865,INDIRECT("'"&amp;$C1865&amp;"'!$E$12:$Y$12"),0)),0),0)</f>
        <v>179454.48904915166</v>
      </c>
      <c r="I1865" s="366" t="s">
        <v>1690</v>
      </c>
      <c r="J1865" s="348" t="str">
        <f t="shared" ca="1" si="58"/>
        <v>OK</v>
      </c>
      <c r="K1865" s="366" t="s">
        <v>1714</v>
      </c>
      <c r="L1865" s="366" t="s">
        <v>2248</v>
      </c>
      <c r="M1865" s="350" t="str">
        <f>IF($B1865="Portfolio","Portfolio",IFERROR(INDEX(DATA_ASSET_CLASSIFICATION!$B$8:$B$24,MATCH($C1865,DATA_ASSET_CLASSIFICATION!$A$8:$A$24,0)),"Review"))</f>
        <v>Evergreen Apartments</v>
      </c>
      <c r="N1865" s="350" t="str">
        <f ca="1">IF($B1865="Portfolio","Portfolio",IFERROR(INDEX(DATA_ASSET_CLASSIFICATION!$U$8:$U$24,MATCH($C1865,DATA_ASSET_CLASSIFICATION!$A$8:$A$24,0)),"Review"))</f>
        <v>Refi Watch</v>
      </c>
      <c r="O1865" s="350" t="str">
        <f ca="1">IF($B1865="Portfolio","Portfolio",IFERROR(INDEX(DATA_ASSET_CLASSIFICATION!$AB$8:$AB$13,MATCH($N1865,DATA_ASSET_CLASSIFICATION!$AA$8:$AA$13,0)),"Review"))</f>
        <v>Bucket 2 · Legacy</v>
      </c>
      <c r="P1865" s="350" t="str">
        <f>IF($B1865="Portfolio","Portfolio",IFERROR(INDEX(DATA_ASSET_CLASSIFICATION!$C$8:$C$24,MATCH($C1865,DATA_ASSET_CLASSIFICATION!$A$8:$A$24,0)),"Review"))</f>
        <v>Yes</v>
      </c>
      <c r="Q1865" s="350" t="str">
        <f t="shared" ca="1" si="59"/>
        <v>OK</v>
      </c>
    </row>
    <row r="1866" spans="1:17" ht="30">
      <c r="A1866" s="366" t="s">
        <v>3822</v>
      </c>
      <c r="B1866" s="366" t="s">
        <v>231</v>
      </c>
      <c r="C1866" s="348" t="str">
        <f>DATA_PROPERTY_MASTER!$A$10</f>
        <v>BLD_EA</v>
      </c>
      <c r="D1866" s="380">
        <f>'00_PORTFOLIO ROLLUP'!L$12</f>
        <v>2032</v>
      </c>
      <c r="E1866" s="366" t="s">
        <v>1683</v>
      </c>
      <c r="F1866" s="366" t="s">
        <v>29</v>
      </c>
      <c r="G1866" s="348" t="str">
        <f>"'"&amp;$C1866&amp;"'!$E$56:$Y$56"</f>
        <v>'BLD_EA'!$E$56:$Y$56</v>
      </c>
      <c r="H1866" s="381">
        <f ca="1">IF(IFERROR(INDEX(DATA_PROPERTY_MASTER!$E$5:$E$21,MATCH($C1866,DATA_PROPERTY_MASTER!$A$5:$A$21,0))="Yes",FALSE),IFERROR(INDEX(INDIRECT("'"&amp;$C1866&amp;"'!$E$56:$Y$56"),1,MATCH($D1866,INDIRECT("'"&amp;$C1866&amp;"'!$E$12:$Y$12"),0)),0),0)</f>
        <v>119636.32603276777</v>
      </c>
      <c r="I1866" s="366" t="s">
        <v>1685</v>
      </c>
      <c r="J1866" s="348" t="str">
        <f t="shared" ca="1" si="58"/>
        <v>OK</v>
      </c>
      <c r="K1866" s="366" t="s">
        <v>1718</v>
      </c>
      <c r="L1866" s="366" t="s">
        <v>2250</v>
      </c>
      <c r="M1866" s="350" t="str">
        <f>IF($B1866="Portfolio","Portfolio",IFERROR(INDEX(DATA_ASSET_CLASSIFICATION!$B$8:$B$24,MATCH($C1866,DATA_ASSET_CLASSIFICATION!$A$8:$A$24,0)),"Review"))</f>
        <v>Evergreen Apartments</v>
      </c>
      <c r="N1866" s="350" t="str">
        <f ca="1">IF($B1866="Portfolio","Portfolio",IFERROR(INDEX(DATA_ASSET_CLASSIFICATION!$U$8:$U$24,MATCH($C1866,DATA_ASSET_CLASSIFICATION!$A$8:$A$24,0)),"Review"))</f>
        <v>Refi Watch</v>
      </c>
      <c r="O1866" s="350" t="str">
        <f ca="1">IF($B1866="Portfolio","Portfolio",IFERROR(INDEX(DATA_ASSET_CLASSIFICATION!$AB$8:$AB$13,MATCH($N1866,DATA_ASSET_CLASSIFICATION!$AA$8:$AA$13,0)),"Review"))</f>
        <v>Bucket 2 · Legacy</v>
      </c>
      <c r="P1866" s="350" t="str">
        <f>IF($B1866="Portfolio","Portfolio",IFERROR(INDEX(DATA_ASSET_CLASSIFICATION!$C$8:$C$24,MATCH($C1866,DATA_ASSET_CLASSIFICATION!$A$8:$A$24,0)),"Review"))</f>
        <v>Yes</v>
      </c>
      <c r="Q1866" s="350" t="str">
        <f t="shared" ca="1" si="59"/>
        <v>OK</v>
      </c>
    </row>
    <row r="1867" spans="1:17" ht="30">
      <c r="A1867" s="366" t="s">
        <v>3823</v>
      </c>
      <c r="B1867" s="366" t="s">
        <v>231</v>
      </c>
      <c r="C1867" s="348" t="str">
        <f>DATA_PROPERTY_MASTER!$A$10</f>
        <v>BLD_EA</v>
      </c>
      <c r="D1867" s="380">
        <f>'00_PORTFOLIO ROLLUP'!L$12</f>
        <v>2032</v>
      </c>
      <c r="E1867" s="366" t="s">
        <v>1721</v>
      </c>
      <c r="F1867" s="366" t="s">
        <v>31</v>
      </c>
      <c r="G1867" s="348" t="str">
        <f>"'"&amp;$C1867&amp;"'!$E$61:$Y$61"</f>
        <v>'BLD_EA'!$E$61:$Y$61</v>
      </c>
      <c r="H1867" s="381">
        <f ca="1">IF(IFERROR(INDEX(DATA_PROPERTY_MASTER!$E$5:$E$21,MATCH($C1867,DATA_PROPERTY_MASTER!$A$5:$A$21,0))="Yes",FALSE),IFERROR(INDEX(INDIRECT("'"&amp;$C1867&amp;"'!$E$61:$Y$61"),1,MATCH($D1867,INDIRECT("'"&amp;$C1867&amp;"'!$E$12:$Y$12"),0)),0),0)</f>
        <v>0</v>
      </c>
      <c r="I1867" s="366" t="s">
        <v>1690</v>
      </c>
      <c r="J1867" s="348" t="str">
        <f t="shared" ca="1" si="58"/>
        <v>OK</v>
      </c>
      <c r="K1867" s="366" t="s">
        <v>1723</v>
      </c>
      <c r="L1867" s="366" t="s">
        <v>2252</v>
      </c>
      <c r="M1867" s="350" t="str">
        <f>IF($B1867="Portfolio","Portfolio",IFERROR(INDEX(DATA_ASSET_CLASSIFICATION!$B$8:$B$24,MATCH($C1867,DATA_ASSET_CLASSIFICATION!$A$8:$A$24,0)),"Review"))</f>
        <v>Evergreen Apartments</v>
      </c>
      <c r="N1867" s="350" t="str">
        <f ca="1">IF($B1867="Portfolio","Portfolio",IFERROR(INDEX(DATA_ASSET_CLASSIFICATION!$U$8:$U$24,MATCH($C1867,DATA_ASSET_CLASSIFICATION!$A$8:$A$24,0)),"Review"))</f>
        <v>Refi Watch</v>
      </c>
      <c r="O1867" s="350" t="str">
        <f ca="1">IF($B1867="Portfolio","Portfolio",IFERROR(INDEX(DATA_ASSET_CLASSIFICATION!$AB$8:$AB$13,MATCH($N1867,DATA_ASSET_CLASSIFICATION!$AA$8:$AA$13,0)),"Review"))</f>
        <v>Bucket 2 · Legacy</v>
      </c>
      <c r="P1867" s="350" t="str">
        <f>IF($B1867="Portfolio","Portfolio",IFERROR(INDEX(DATA_ASSET_CLASSIFICATION!$C$8:$C$24,MATCH($C1867,DATA_ASSET_CLASSIFICATION!$A$8:$A$24,0)),"Review"))</f>
        <v>Yes</v>
      </c>
      <c r="Q1867" s="350" t="str">
        <f t="shared" ca="1" si="59"/>
        <v>OK</v>
      </c>
    </row>
    <row r="1868" spans="1:17" ht="30">
      <c r="A1868" s="366" t="s">
        <v>3824</v>
      </c>
      <c r="B1868" s="366" t="s">
        <v>231</v>
      </c>
      <c r="C1868" s="348" t="str">
        <f>DATA_PROPERTY_MASTER!$A$10</f>
        <v>BLD_EA</v>
      </c>
      <c r="D1868" s="380">
        <f>'00_PORTFOLIO ROLLUP'!L$12</f>
        <v>2032</v>
      </c>
      <c r="E1868" s="366" t="s">
        <v>1721</v>
      </c>
      <c r="F1868" s="366" t="s">
        <v>33</v>
      </c>
      <c r="G1868" s="348" t="str">
        <f>"'"&amp;$C1868&amp;"'!$E$62:$Y$62"</f>
        <v>'BLD_EA'!$E$62:$Y$62</v>
      </c>
      <c r="H1868" s="381">
        <f ca="1">IF(IFERROR(INDEX(DATA_PROPERTY_MASTER!$E$5:$E$21,MATCH($C1868,DATA_PROPERTY_MASTER!$A$5:$A$21,0))="Yes",FALSE),IFERROR(INDEX(INDIRECT("'"&amp;$C1868&amp;"'!$E$62:$Y$62"),1,MATCH($D1868,INDIRECT("'"&amp;$C1868&amp;"'!$E$12:$Y$12"),0)),0),0)</f>
        <v>0</v>
      </c>
      <c r="I1868" s="366" t="s">
        <v>1685</v>
      </c>
      <c r="J1868" s="348" t="str">
        <f t="shared" ca="1" si="58"/>
        <v>OK</v>
      </c>
      <c r="K1868" s="366" t="s">
        <v>1727</v>
      </c>
      <c r="L1868" s="366" t="s">
        <v>2254</v>
      </c>
      <c r="M1868" s="350" t="str">
        <f>IF($B1868="Portfolio","Portfolio",IFERROR(INDEX(DATA_ASSET_CLASSIFICATION!$B$8:$B$24,MATCH($C1868,DATA_ASSET_CLASSIFICATION!$A$8:$A$24,0)),"Review"))</f>
        <v>Evergreen Apartments</v>
      </c>
      <c r="N1868" s="350" t="str">
        <f ca="1">IF($B1868="Portfolio","Portfolio",IFERROR(INDEX(DATA_ASSET_CLASSIFICATION!$U$8:$U$24,MATCH($C1868,DATA_ASSET_CLASSIFICATION!$A$8:$A$24,0)),"Review"))</f>
        <v>Refi Watch</v>
      </c>
      <c r="O1868" s="350" t="str">
        <f ca="1">IF($B1868="Portfolio","Portfolio",IFERROR(INDEX(DATA_ASSET_CLASSIFICATION!$AB$8:$AB$13,MATCH($N1868,DATA_ASSET_CLASSIFICATION!$AA$8:$AA$13,0)),"Review"))</f>
        <v>Bucket 2 · Legacy</v>
      </c>
      <c r="P1868" s="350" t="str">
        <f>IF($B1868="Portfolio","Portfolio",IFERROR(INDEX(DATA_ASSET_CLASSIFICATION!$C$8:$C$24,MATCH($C1868,DATA_ASSET_CLASSIFICATION!$A$8:$A$24,0)),"Review"))</f>
        <v>Yes</v>
      </c>
      <c r="Q1868" s="350" t="str">
        <f t="shared" ca="1" si="59"/>
        <v>OK</v>
      </c>
    </row>
    <row r="1869" spans="1:17" ht="30">
      <c r="A1869" s="366" t="s">
        <v>3825</v>
      </c>
      <c r="B1869" s="366" t="s">
        <v>231</v>
      </c>
      <c r="C1869" s="348" t="str">
        <f>DATA_PROPERTY_MASTER!$A$10</f>
        <v>BLD_EA</v>
      </c>
      <c r="D1869" s="380">
        <f>'00_PORTFOLIO ROLLUP'!L$12</f>
        <v>2032</v>
      </c>
      <c r="E1869" s="366" t="s">
        <v>1721</v>
      </c>
      <c r="F1869" s="366" t="s">
        <v>35</v>
      </c>
      <c r="G1869" s="348" t="str">
        <f>"'"&amp;$C1869&amp;"'!$E$63:$Y$63"</f>
        <v>'BLD_EA'!$E$63:$Y$63</v>
      </c>
      <c r="H1869" s="381">
        <f ca="1">IF(IFERROR(INDEX(DATA_PROPERTY_MASTER!$E$5:$E$21,MATCH($C1869,DATA_PROPERTY_MASTER!$A$5:$A$21,0))="Yes",FALSE),IFERROR(INDEX(INDIRECT("'"&amp;$C1869&amp;"'!$E$63:$Y$63"),1,MATCH($D1869,INDIRECT("'"&amp;$C1869&amp;"'!$E$12:$Y$12"),0)),0),0)</f>
        <v>0</v>
      </c>
      <c r="I1869" s="366" t="s">
        <v>1731</v>
      </c>
      <c r="J1869" s="348" t="str">
        <f t="shared" ca="1" si="58"/>
        <v>OK</v>
      </c>
      <c r="K1869" s="366" t="s">
        <v>1732</v>
      </c>
      <c r="L1869" s="366" t="s">
        <v>2256</v>
      </c>
      <c r="M1869" s="350" t="str">
        <f>IF($B1869="Portfolio","Portfolio",IFERROR(INDEX(DATA_ASSET_CLASSIFICATION!$B$8:$B$24,MATCH($C1869,DATA_ASSET_CLASSIFICATION!$A$8:$A$24,0)),"Review"))</f>
        <v>Evergreen Apartments</v>
      </c>
      <c r="N1869" s="350" t="str">
        <f ca="1">IF($B1869="Portfolio","Portfolio",IFERROR(INDEX(DATA_ASSET_CLASSIFICATION!$U$8:$U$24,MATCH($C1869,DATA_ASSET_CLASSIFICATION!$A$8:$A$24,0)),"Review"))</f>
        <v>Refi Watch</v>
      </c>
      <c r="O1869" s="350" t="str">
        <f ca="1">IF($B1869="Portfolio","Portfolio",IFERROR(INDEX(DATA_ASSET_CLASSIFICATION!$AB$8:$AB$13,MATCH($N1869,DATA_ASSET_CLASSIFICATION!$AA$8:$AA$13,0)),"Review"))</f>
        <v>Bucket 2 · Legacy</v>
      </c>
      <c r="P1869" s="350" t="str">
        <f>IF($B1869="Portfolio","Portfolio",IFERROR(INDEX(DATA_ASSET_CLASSIFICATION!$C$8:$C$24,MATCH($C1869,DATA_ASSET_CLASSIFICATION!$A$8:$A$24,0)),"Review"))</f>
        <v>Yes</v>
      </c>
      <c r="Q1869" s="350" t="str">
        <f t="shared" ca="1" si="59"/>
        <v>OK</v>
      </c>
    </row>
    <row r="1870" spans="1:17" ht="30">
      <c r="A1870" s="366" t="s">
        <v>3826</v>
      </c>
      <c r="B1870" s="366" t="s">
        <v>231</v>
      </c>
      <c r="C1870" s="348" t="str">
        <f>DATA_PROPERTY_MASTER!$A$10</f>
        <v>BLD_EA</v>
      </c>
      <c r="D1870" s="380">
        <f>'00_PORTFOLIO ROLLUP'!L$12</f>
        <v>2032</v>
      </c>
      <c r="E1870" s="366" t="s">
        <v>1721</v>
      </c>
      <c r="F1870" s="366" t="s">
        <v>37</v>
      </c>
      <c r="G1870" s="348" t="str">
        <f>"'"&amp;$C1870&amp;"'!$E$63:$Y$63"</f>
        <v>'BLD_EA'!$E$63:$Y$63</v>
      </c>
      <c r="H1870" s="381">
        <f ca="1">IF(IFERROR(INDEX(DATA_PROPERTY_MASTER!$E$5:$E$21,MATCH($C1870,DATA_PROPERTY_MASTER!$A$5:$A$21,0))="Yes",FALSE),MAX(IFERROR(INDEX(INDIRECT("'"&amp;$C1870&amp;"'!$E$63:$Y$63"),1,MATCH($D1870,INDIRECT("'"&amp;$C1870&amp;"'!$E$12:$Y$12"),0)),0),0),0)</f>
        <v>0</v>
      </c>
      <c r="I1870" s="366" t="s">
        <v>1685</v>
      </c>
      <c r="J1870" s="348" t="str">
        <f t="shared" ca="1" si="58"/>
        <v>OK</v>
      </c>
      <c r="K1870" s="366" t="s">
        <v>1735</v>
      </c>
      <c r="L1870" s="366" t="s">
        <v>2258</v>
      </c>
      <c r="M1870" s="350" t="str">
        <f>IF($B1870="Portfolio","Portfolio",IFERROR(INDEX(DATA_ASSET_CLASSIFICATION!$B$8:$B$24,MATCH($C1870,DATA_ASSET_CLASSIFICATION!$A$8:$A$24,0)),"Review"))</f>
        <v>Evergreen Apartments</v>
      </c>
      <c r="N1870" s="350" t="str">
        <f ca="1">IF($B1870="Portfolio","Portfolio",IFERROR(INDEX(DATA_ASSET_CLASSIFICATION!$U$8:$U$24,MATCH($C1870,DATA_ASSET_CLASSIFICATION!$A$8:$A$24,0)),"Review"))</f>
        <v>Refi Watch</v>
      </c>
      <c r="O1870" s="350" t="str">
        <f ca="1">IF($B1870="Portfolio","Portfolio",IFERROR(INDEX(DATA_ASSET_CLASSIFICATION!$AB$8:$AB$13,MATCH($N1870,DATA_ASSET_CLASSIFICATION!$AA$8:$AA$13,0)),"Review"))</f>
        <v>Bucket 2 · Legacy</v>
      </c>
      <c r="P1870" s="350" t="str">
        <f>IF($B1870="Portfolio","Portfolio",IFERROR(INDEX(DATA_ASSET_CLASSIFICATION!$C$8:$C$24,MATCH($C1870,DATA_ASSET_CLASSIFICATION!$A$8:$A$24,0)),"Review"))</f>
        <v>Yes</v>
      </c>
      <c r="Q1870" s="350" t="str">
        <f t="shared" ca="1" si="59"/>
        <v>OK</v>
      </c>
    </row>
    <row r="1871" spans="1:17" ht="30">
      <c r="A1871" s="366" t="s">
        <v>3827</v>
      </c>
      <c r="B1871" s="366" t="s">
        <v>231</v>
      </c>
      <c r="C1871" s="348" t="str">
        <f>DATA_PROPERTY_MASTER!$A$10</f>
        <v>BLD_EA</v>
      </c>
      <c r="D1871" s="380">
        <f>'00_PORTFOLIO ROLLUP'!L$12</f>
        <v>2032</v>
      </c>
      <c r="E1871" s="366" t="s">
        <v>1721</v>
      </c>
      <c r="F1871" s="366" t="s">
        <v>39</v>
      </c>
      <c r="G1871" s="348" t="str">
        <f>"'"&amp;$C1871&amp;"'!$E$63:$Y$63"</f>
        <v>'BLD_EA'!$E$63:$Y$63</v>
      </c>
      <c r="H1871" s="381">
        <f ca="1">IF(IFERROR(INDEX(DATA_PROPERTY_MASTER!$E$5:$E$21,MATCH($C1871,DATA_PROPERTY_MASTER!$A$5:$A$21,0))="Yes",FALSE),MAX(-IFERROR(INDEX(INDIRECT("'"&amp;$C1871&amp;"'!$E$63:$Y$63"),1,MATCH($D1871,INDIRECT("'"&amp;$C1871&amp;"'!$E$12:$Y$12"),0)),0),0),0)</f>
        <v>0</v>
      </c>
      <c r="I1871" s="366" t="s">
        <v>1690</v>
      </c>
      <c r="J1871" s="348" t="str">
        <f t="shared" ca="1" si="58"/>
        <v>OK</v>
      </c>
      <c r="K1871" s="366" t="s">
        <v>1738</v>
      </c>
      <c r="L1871" s="366" t="s">
        <v>2260</v>
      </c>
      <c r="M1871" s="350" t="str">
        <f>IF($B1871="Portfolio","Portfolio",IFERROR(INDEX(DATA_ASSET_CLASSIFICATION!$B$8:$B$24,MATCH($C1871,DATA_ASSET_CLASSIFICATION!$A$8:$A$24,0)),"Review"))</f>
        <v>Evergreen Apartments</v>
      </c>
      <c r="N1871" s="350" t="str">
        <f ca="1">IF($B1871="Portfolio","Portfolio",IFERROR(INDEX(DATA_ASSET_CLASSIFICATION!$U$8:$U$24,MATCH($C1871,DATA_ASSET_CLASSIFICATION!$A$8:$A$24,0)),"Review"))</f>
        <v>Refi Watch</v>
      </c>
      <c r="O1871" s="350" t="str">
        <f ca="1">IF($B1871="Portfolio","Portfolio",IFERROR(INDEX(DATA_ASSET_CLASSIFICATION!$AB$8:$AB$13,MATCH($N1871,DATA_ASSET_CLASSIFICATION!$AA$8:$AA$13,0)),"Review"))</f>
        <v>Bucket 2 · Legacy</v>
      </c>
      <c r="P1871" s="350" t="str">
        <f>IF($B1871="Portfolio","Portfolio",IFERROR(INDEX(DATA_ASSET_CLASSIFICATION!$C$8:$C$24,MATCH($C1871,DATA_ASSET_CLASSIFICATION!$A$8:$A$24,0)),"Review"))</f>
        <v>Yes</v>
      </c>
      <c r="Q1871" s="350" t="str">
        <f t="shared" ca="1" si="59"/>
        <v>OK</v>
      </c>
    </row>
    <row r="1872" spans="1:17" ht="30">
      <c r="A1872" s="366" t="s">
        <v>3828</v>
      </c>
      <c r="B1872" s="366" t="s">
        <v>231</v>
      </c>
      <c r="C1872" s="348" t="str">
        <f>DATA_PROPERTY_MASTER!$A$10</f>
        <v>BLD_EA</v>
      </c>
      <c r="D1872" s="380">
        <f>'00_PORTFOLIO ROLLUP'!L$12</f>
        <v>2032</v>
      </c>
      <c r="E1872" s="366" t="s">
        <v>1741</v>
      </c>
      <c r="F1872" s="366" t="s">
        <v>41</v>
      </c>
      <c r="G1872" s="348" t="str">
        <f>"'"&amp;$C1872&amp;"'!rows 56 + positive row 63"</f>
        <v>'BLD_EA'!rows 56 + positive row 63</v>
      </c>
      <c r="H1872" s="381">
        <f ca="1">IF(IFERROR(INDEX(DATA_PROPERTY_MASTER!$E$5:$E$21,MATCH($C1872,DATA_PROPERTY_MASTER!$A$5:$A$21,0))="Yes",FALSE),IFERROR(INDEX(INDIRECT("'"&amp;$C1872&amp;"'!$E$56:$Y$56"),1,MATCH($D1872,INDIRECT("'"&amp;$C1872&amp;"'!$E$12:$Y$12"),0)),0)+MAX(IFERROR(INDEX(INDIRECT("'"&amp;$C1872&amp;"'!$E$63:$Y$63"),1,MATCH($D1872,INDIRECT("'"&amp;$C1872&amp;"'!$E$12:$Y$12"),0)),0),0),0)</f>
        <v>119636.32603276777</v>
      </c>
      <c r="I1872" s="366" t="s">
        <v>1685</v>
      </c>
      <c r="J1872" s="348" t="str">
        <f t="shared" ca="1" si="58"/>
        <v>OK</v>
      </c>
      <c r="K1872" s="366" t="s">
        <v>1742</v>
      </c>
      <c r="L1872" s="366" t="s">
        <v>2262</v>
      </c>
      <c r="M1872" s="350" t="str">
        <f>IF($B1872="Portfolio","Portfolio",IFERROR(INDEX(DATA_ASSET_CLASSIFICATION!$B$8:$B$24,MATCH($C1872,DATA_ASSET_CLASSIFICATION!$A$8:$A$24,0)),"Review"))</f>
        <v>Evergreen Apartments</v>
      </c>
      <c r="N1872" s="350" t="str">
        <f ca="1">IF($B1872="Portfolio","Portfolio",IFERROR(INDEX(DATA_ASSET_CLASSIFICATION!$U$8:$U$24,MATCH($C1872,DATA_ASSET_CLASSIFICATION!$A$8:$A$24,0)),"Review"))</f>
        <v>Refi Watch</v>
      </c>
      <c r="O1872" s="350" t="str">
        <f ca="1">IF($B1872="Portfolio","Portfolio",IFERROR(INDEX(DATA_ASSET_CLASSIFICATION!$AB$8:$AB$13,MATCH($N1872,DATA_ASSET_CLASSIFICATION!$AA$8:$AA$13,0)),"Review"))</f>
        <v>Bucket 2 · Legacy</v>
      </c>
      <c r="P1872" s="350" t="str">
        <f>IF($B1872="Portfolio","Portfolio",IFERROR(INDEX(DATA_ASSET_CLASSIFICATION!$C$8:$C$24,MATCH($C1872,DATA_ASSET_CLASSIFICATION!$A$8:$A$24,0)),"Review"))</f>
        <v>Yes</v>
      </c>
      <c r="Q1872" s="350" t="str">
        <f t="shared" ca="1" si="59"/>
        <v>OK</v>
      </c>
    </row>
    <row r="1873" spans="1:17" ht="30">
      <c r="A1873" s="366" t="s">
        <v>3829</v>
      </c>
      <c r="B1873" s="366" t="s">
        <v>231</v>
      </c>
      <c r="C1873" s="348" t="str">
        <f>DATA_PROPERTY_MASTER!$A$10</f>
        <v>BLD_EA</v>
      </c>
      <c r="D1873" s="380">
        <f>'00_PORTFOLIO ROLLUP'!L$12</f>
        <v>2032</v>
      </c>
      <c r="E1873" s="366" t="s">
        <v>1741</v>
      </c>
      <c r="F1873" s="366" t="s">
        <v>43</v>
      </c>
      <c r="G1873" s="348" t="str">
        <f>"'"&amp;$C1873&amp;"'!$E$68:$Y$68"</f>
        <v>'BLD_EA'!$E$68:$Y$68</v>
      </c>
      <c r="H1873" s="381">
        <f ca="1">IF(IFERROR(INDEX(DATA_PROPERTY_MASTER!$E$5:$E$21,MATCH($C1873,DATA_PROPERTY_MASTER!$A$5:$A$21,0))="Yes",FALSE),IFERROR(INDEX(INDIRECT("'"&amp;$C1873&amp;"'!$E$68:$Y$68"),1,MATCH($D1873,INDIRECT("'"&amp;$C1873&amp;"'!$E$12:$Y$12"),0)),0),0)</f>
        <v>119636.32603276777</v>
      </c>
      <c r="I1873" s="366" t="s">
        <v>1731</v>
      </c>
      <c r="J1873" s="348" t="str">
        <f t="shared" ca="1" si="58"/>
        <v>OK</v>
      </c>
      <c r="K1873" s="366" t="s">
        <v>1746</v>
      </c>
      <c r="L1873" s="366" t="s">
        <v>2264</v>
      </c>
      <c r="M1873" s="350" t="str">
        <f>IF($B1873="Portfolio","Portfolio",IFERROR(INDEX(DATA_ASSET_CLASSIFICATION!$B$8:$B$24,MATCH($C1873,DATA_ASSET_CLASSIFICATION!$A$8:$A$24,0)),"Review"))</f>
        <v>Evergreen Apartments</v>
      </c>
      <c r="N1873" s="350" t="str">
        <f ca="1">IF($B1873="Portfolio","Portfolio",IFERROR(INDEX(DATA_ASSET_CLASSIFICATION!$U$8:$U$24,MATCH($C1873,DATA_ASSET_CLASSIFICATION!$A$8:$A$24,0)),"Review"))</f>
        <v>Refi Watch</v>
      </c>
      <c r="O1873" s="350" t="str">
        <f ca="1">IF($B1873="Portfolio","Portfolio",IFERROR(INDEX(DATA_ASSET_CLASSIFICATION!$AB$8:$AB$13,MATCH($N1873,DATA_ASSET_CLASSIFICATION!$AA$8:$AA$13,0)),"Review"))</f>
        <v>Bucket 2 · Legacy</v>
      </c>
      <c r="P1873" s="350" t="str">
        <f>IF($B1873="Portfolio","Portfolio",IFERROR(INDEX(DATA_ASSET_CLASSIFICATION!$C$8:$C$24,MATCH($C1873,DATA_ASSET_CLASSIFICATION!$A$8:$A$24,0)),"Review"))</f>
        <v>Yes</v>
      </c>
      <c r="Q1873" s="350" t="str">
        <f t="shared" ca="1" si="59"/>
        <v>OK</v>
      </c>
    </row>
    <row r="1874" spans="1:17" ht="30">
      <c r="A1874" s="366" t="s">
        <v>3830</v>
      </c>
      <c r="B1874" s="366" t="s">
        <v>231</v>
      </c>
      <c r="C1874" s="348" t="str">
        <f>DATA_PROPERTY_MASTER!$A$10</f>
        <v>BLD_EA</v>
      </c>
      <c r="D1874" s="380">
        <f>'00_PORTFOLIO ROLLUP'!L$12</f>
        <v>2032</v>
      </c>
      <c r="E1874" s="366" t="s">
        <v>1741</v>
      </c>
      <c r="F1874" s="366" t="s">
        <v>1749</v>
      </c>
      <c r="G1874" s="348" t="str">
        <f>"'"&amp;$C1874&amp;"'!rows 56, 63, 68"</f>
        <v>'BLD_EA'!rows 56, 63, 68</v>
      </c>
      <c r="H1874" s="381">
        <f ca="1">IF(IFERROR(INDEX(DATA_PROPERTY_MASTER!$E$5:$E$21,MATCH($C1874,DATA_PROPERTY_MASTER!$A$5:$A$21,0))="Yes",FALSE),(IFERROR(INDEX(INDIRECT("'"&amp;$C1874&amp;"'!$E$56:$Y$56"),1,MATCH($D1874,INDIRECT("'"&amp;$C1874&amp;"'!$E$12:$Y$12"),0)),0)+MAX(IFERROR(INDEX(INDIRECT("'"&amp;$C1874&amp;"'!$E$63:$Y$63"),1,MATCH($D1874,INDIRECT("'"&amp;$C1874&amp;"'!$E$12:$Y$12"),0)),0),0))-(IFERROR(INDEX(INDIRECT("'"&amp;$C1874&amp;"'!$E$68:$Y$68"),1,MATCH($D1874,INDIRECT("'"&amp;$C1874&amp;"'!$E$12:$Y$12"),0)),0)),0)</f>
        <v>0</v>
      </c>
      <c r="I1874" s="366" t="s">
        <v>1750</v>
      </c>
      <c r="J1874" s="348" t="str">
        <f t="shared" ca="1" si="58"/>
        <v>OK</v>
      </c>
      <c r="K1874" s="366" t="s">
        <v>1751</v>
      </c>
      <c r="L1874" s="366" t="s">
        <v>2266</v>
      </c>
      <c r="M1874" s="350" t="str">
        <f>IF($B1874="Portfolio","Portfolio",IFERROR(INDEX(DATA_ASSET_CLASSIFICATION!$B$8:$B$24,MATCH($C1874,DATA_ASSET_CLASSIFICATION!$A$8:$A$24,0)),"Review"))</f>
        <v>Evergreen Apartments</v>
      </c>
      <c r="N1874" s="350" t="str">
        <f ca="1">IF($B1874="Portfolio","Portfolio",IFERROR(INDEX(DATA_ASSET_CLASSIFICATION!$U$8:$U$24,MATCH($C1874,DATA_ASSET_CLASSIFICATION!$A$8:$A$24,0)),"Review"))</f>
        <v>Refi Watch</v>
      </c>
      <c r="O1874" s="350" t="str">
        <f ca="1">IF($B1874="Portfolio","Portfolio",IFERROR(INDEX(DATA_ASSET_CLASSIFICATION!$AB$8:$AB$13,MATCH($N1874,DATA_ASSET_CLASSIFICATION!$AA$8:$AA$13,0)),"Review"))</f>
        <v>Bucket 2 · Legacy</v>
      </c>
      <c r="P1874" s="350" t="str">
        <f>IF($B1874="Portfolio","Portfolio",IFERROR(INDEX(DATA_ASSET_CLASSIFICATION!$C$8:$C$24,MATCH($C1874,DATA_ASSET_CLASSIFICATION!$A$8:$A$24,0)),"Review"))</f>
        <v>Yes</v>
      </c>
      <c r="Q1874" s="350" t="str">
        <f t="shared" ca="1" si="59"/>
        <v>OK</v>
      </c>
    </row>
    <row r="1875" spans="1:17" ht="30">
      <c r="A1875" s="366" t="s">
        <v>3831</v>
      </c>
      <c r="B1875" s="366" t="s">
        <v>231</v>
      </c>
      <c r="C1875" s="348" t="str">
        <f>DATA_PROPERTY_MASTER!$A$10</f>
        <v>BLD_EA</v>
      </c>
      <c r="D1875" s="380">
        <f>'00_PORTFOLIO ROLLUP'!M$12</f>
        <v>2033</v>
      </c>
      <c r="E1875" s="366" t="s">
        <v>1683</v>
      </c>
      <c r="F1875" s="366" t="s">
        <v>341</v>
      </c>
      <c r="G1875" s="348" t="str">
        <f>"'"&amp;$C1875&amp;"'!$E$24:$Y$24"</f>
        <v>'BLD_EA'!$E$24:$Y$24</v>
      </c>
      <c r="H1875" s="381">
        <f ca="1">IF(IFERROR(INDEX(DATA_PROPERTY_MASTER!$E$5:$E$21,MATCH($C1875,DATA_PROPERTY_MASTER!$A$5:$A$21,0))="Yes",FALSE),IFERROR(INDEX(INDIRECT("'"&amp;$C1875&amp;"'!$E$24:$Y$24"),1,MATCH($D1875,INDIRECT("'"&amp;$C1875&amp;"'!$E$12:$Y$12"),0)),0),0)</f>
        <v>1163934.2721755472</v>
      </c>
      <c r="I1875" s="366" t="s">
        <v>1685</v>
      </c>
      <c r="J1875" s="348" t="str">
        <f t="shared" ca="1" si="58"/>
        <v>OK</v>
      </c>
      <c r="K1875" s="366" t="s">
        <v>1686</v>
      </c>
      <c r="L1875" s="366" t="s">
        <v>2234</v>
      </c>
      <c r="M1875" s="350" t="str">
        <f>IF($B1875="Portfolio","Portfolio",IFERROR(INDEX(DATA_ASSET_CLASSIFICATION!$B$8:$B$24,MATCH($C1875,DATA_ASSET_CLASSIFICATION!$A$8:$A$24,0)),"Review"))</f>
        <v>Evergreen Apartments</v>
      </c>
      <c r="N1875" s="350" t="str">
        <f ca="1">IF($B1875="Portfolio","Portfolio",IFERROR(INDEX(DATA_ASSET_CLASSIFICATION!$U$8:$U$24,MATCH($C1875,DATA_ASSET_CLASSIFICATION!$A$8:$A$24,0)),"Review"))</f>
        <v>Refi Watch</v>
      </c>
      <c r="O1875" s="350" t="str">
        <f ca="1">IF($B1875="Portfolio","Portfolio",IFERROR(INDEX(DATA_ASSET_CLASSIFICATION!$AB$8:$AB$13,MATCH($N1875,DATA_ASSET_CLASSIFICATION!$AA$8:$AA$13,0)),"Review"))</f>
        <v>Bucket 2 · Legacy</v>
      </c>
      <c r="P1875" s="350" t="str">
        <f>IF($B1875="Portfolio","Portfolio",IFERROR(INDEX(DATA_ASSET_CLASSIFICATION!$C$8:$C$24,MATCH($C1875,DATA_ASSET_CLASSIFICATION!$A$8:$A$24,0)),"Review"))</f>
        <v>Yes</v>
      </c>
      <c r="Q1875" s="350" t="str">
        <f t="shared" ca="1" si="59"/>
        <v>OK</v>
      </c>
    </row>
    <row r="1876" spans="1:17" ht="30">
      <c r="A1876" s="366" t="s">
        <v>3832</v>
      </c>
      <c r="B1876" s="366" t="s">
        <v>231</v>
      </c>
      <c r="C1876" s="348" t="str">
        <f>DATA_PROPERTY_MASTER!$A$10</f>
        <v>BLD_EA</v>
      </c>
      <c r="D1876" s="380">
        <f>'00_PORTFOLIO ROLLUP'!M$12</f>
        <v>2033</v>
      </c>
      <c r="E1876" s="366" t="s">
        <v>1683</v>
      </c>
      <c r="F1876" s="366" t="s">
        <v>355</v>
      </c>
      <c r="G1876" s="348" t="str">
        <f>"'"&amp;$C1876&amp;"'!$E$39:$Y$39"</f>
        <v>'BLD_EA'!$E$39:$Y$39</v>
      </c>
      <c r="H1876" s="381">
        <f ca="1">IF(IFERROR(INDEX(DATA_PROPERTY_MASTER!$E$5:$E$21,MATCH($C1876,DATA_PROPERTY_MASTER!$A$5:$A$21,0))="Yes",FALSE),IFERROR(INDEX(INDIRECT("'"&amp;$C1876&amp;"'!$E$39:$Y$39"),1,MATCH($D1876,INDIRECT("'"&amp;$C1876&amp;"'!$E$12:$Y$12"),0)),0),0)</f>
        <v>565948.46512124431</v>
      </c>
      <c r="I1876" s="366" t="s">
        <v>1690</v>
      </c>
      <c r="J1876" s="348" t="str">
        <f t="shared" ca="1" si="58"/>
        <v>OK</v>
      </c>
      <c r="K1876" s="366" t="s">
        <v>1686</v>
      </c>
      <c r="L1876" s="366" t="s">
        <v>2236</v>
      </c>
      <c r="M1876" s="350" t="str">
        <f>IF($B1876="Portfolio","Portfolio",IFERROR(INDEX(DATA_ASSET_CLASSIFICATION!$B$8:$B$24,MATCH($C1876,DATA_ASSET_CLASSIFICATION!$A$8:$A$24,0)),"Review"))</f>
        <v>Evergreen Apartments</v>
      </c>
      <c r="N1876" s="350" t="str">
        <f ca="1">IF($B1876="Portfolio","Portfolio",IFERROR(INDEX(DATA_ASSET_CLASSIFICATION!$U$8:$U$24,MATCH($C1876,DATA_ASSET_CLASSIFICATION!$A$8:$A$24,0)),"Review"))</f>
        <v>Refi Watch</v>
      </c>
      <c r="O1876" s="350" t="str">
        <f ca="1">IF($B1876="Portfolio","Portfolio",IFERROR(INDEX(DATA_ASSET_CLASSIFICATION!$AB$8:$AB$13,MATCH($N1876,DATA_ASSET_CLASSIFICATION!$AA$8:$AA$13,0)),"Review"))</f>
        <v>Bucket 2 · Legacy</v>
      </c>
      <c r="P1876" s="350" t="str">
        <f>IF($B1876="Portfolio","Portfolio",IFERROR(INDEX(DATA_ASSET_CLASSIFICATION!$C$8:$C$24,MATCH($C1876,DATA_ASSET_CLASSIFICATION!$A$8:$A$24,0)),"Review"))</f>
        <v>Yes</v>
      </c>
      <c r="Q1876" s="350" t="str">
        <f t="shared" ca="1" si="59"/>
        <v>OK</v>
      </c>
    </row>
    <row r="1877" spans="1:17" ht="30">
      <c r="A1877" s="366" t="s">
        <v>3833</v>
      </c>
      <c r="B1877" s="366" t="s">
        <v>231</v>
      </c>
      <c r="C1877" s="348" t="str">
        <f>DATA_PROPERTY_MASTER!$A$10</f>
        <v>BLD_EA</v>
      </c>
      <c r="D1877" s="380">
        <f>'00_PORTFOLIO ROLLUP'!M$12</f>
        <v>2033</v>
      </c>
      <c r="E1877" s="366" t="s">
        <v>1683</v>
      </c>
      <c r="F1877" s="366" t="s">
        <v>19</v>
      </c>
      <c r="G1877" s="348" t="str">
        <f>"'"&amp;$C1877&amp;"'!$E$41:$Y$41"</f>
        <v>'BLD_EA'!$E$41:$Y$41</v>
      </c>
      <c r="H1877" s="381">
        <f ca="1">IF(IFERROR(INDEX(DATA_PROPERTY_MASTER!$E$5:$E$21,MATCH($C1877,DATA_PROPERTY_MASTER!$A$5:$A$21,0))="Yes",FALSE),IFERROR(INDEX(INDIRECT("'"&amp;$C1877&amp;"'!$E$41:$Y$41"),1,MATCH($D1877,INDIRECT("'"&amp;$C1877&amp;"'!$E$12:$Y$12"),0)),0),0)</f>
        <v>597985.80705430289</v>
      </c>
      <c r="I1877" s="366" t="s">
        <v>1685</v>
      </c>
      <c r="J1877" s="348" t="str">
        <f t="shared" ca="1" si="58"/>
        <v>OK</v>
      </c>
      <c r="K1877" s="366" t="s">
        <v>1694</v>
      </c>
      <c r="L1877" s="366" t="s">
        <v>2238</v>
      </c>
      <c r="M1877" s="350" t="str">
        <f>IF($B1877="Portfolio","Portfolio",IFERROR(INDEX(DATA_ASSET_CLASSIFICATION!$B$8:$B$24,MATCH($C1877,DATA_ASSET_CLASSIFICATION!$A$8:$A$24,0)),"Review"))</f>
        <v>Evergreen Apartments</v>
      </c>
      <c r="N1877" s="350" t="str">
        <f ca="1">IF($B1877="Portfolio","Portfolio",IFERROR(INDEX(DATA_ASSET_CLASSIFICATION!$U$8:$U$24,MATCH($C1877,DATA_ASSET_CLASSIFICATION!$A$8:$A$24,0)),"Review"))</f>
        <v>Refi Watch</v>
      </c>
      <c r="O1877" s="350" t="str">
        <f ca="1">IF($B1877="Portfolio","Portfolio",IFERROR(INDEX(DATA_ASSET_CLASSIFICATION!$AB$8:$AB$13,MATCH($N1877,DATA_ASSET_CLASSIFICATION!$AA$8:$AA$13,0)),"Review"))</f>
        <v>Bucket 2 · Legacy</v>
      </c>
      <c r="P1877" s="350" t="str">
        <f>IF($B1877="Portfolio","Portfolio",IFERROR(INDEX(DATA_ASSET_CLASSIFICATION!$C$8:$C$24,MATCH($C1877,DATA_ASSET_CLASSIFICATION!$A$8:$A$24,0)),"Review"))</f>
        <v>Yes</v>
      </c>
      <c r="Q1877" s="350" t="str">
        <f t="shared" ca="1" si="59"/>
        <v>OK</v>
      </c>
    </row>
    <row r="1878" spans="1:17" ht="30">
      <c r="A1878" s="366" t="s">
        <v>3834</v>
      </c>
      <c r="B1878" s="366" t="s">
        <v>231</v>
      </c>
      <c r="C1878" s="348" t="str">
        <f>DATA_PROPERTY_MASTER!$A$10</f>
        <v>BLD_EA</v>
      </c>
      <c r="D1878" s="380">
        <f>'00_PORTFOLIO ROLLUP'!M$12</f>
        <v>2033</v>
      </c>
      <c r="E1878" s="366" t="s">
        <v>1683</v>
      </c>
      <c r="F1878" s="366" t="s">
        <v>1697</v>
      </c>
      <c r="G1878" s="348" t="str">
        <f>"'"&amp;$C1878&amp;"'!$E$44:$Y$44"</f>
        <v>'BLD_EA'!$E$44:$Y$44</v>
      </c>
      <c r="H1878" s="381">
        <f ca="1">IF(IFERROR(INDEX(DATA_PROPERTY_MASTER!$E$5:$E$21,MATCH($C1878,DATA_PROPERTY_MASTER!$A$5:$A$21,0))="Yes",FALSE),IFERROR(INDEX(INDIRECT("'"&amp;$C1878&amp;"'!$E$44:$Y$44"),1,MATCH($D1878,INDIRECT("'"&amp;$C1878&amp;"'!$E$12:$Y$12"),0)),0),0)</f>
        <v>10720.68333617073</v>
      </c>
      <c r="I1878" s="366" t="s">
        <v>1690</v>
      </c>
      <c r="J1878" s="348" t="str">
        <f t="shared" ca="1" si="58"/>
        <v>OK</v>
      </c>
      <c r="K1878" s="366" t="s">
        <v>1699</v>
      </c>
      <c r="L1878" s="366" t="s">
        <v>2240</v>
      </c>
      <c r="M1878" s="350" t="str">
        <f>IF($B1878="Portfolio","Portfolio",IFERROR(INDEX(DATA_ASSET_CLASSIFICATION!$B$8:$B$24,MATCH($C1878,DATA_ASSET_CLASSIFICATION!$A$8:$A$24,0)),"Review"))</f>
        <v>Evergreen Apartments</v>
      </c>
      <c r="N1878" s="350" t="str">
        <f ca="1">IF($B1878="Portfolio","Portfolio",IFERROR(INDEX(DATA_ASSET_CLASSIFICATION!$U$8:$U$24,MATCH($C1878,DATA_ASSET_CLASSIFICATION!$A$8:$A$24,0)),"Review"))</f>
        <v>Refi Watch</v>
      </c>
      <c r="O1878" s="350" t="str">
        <f ca="1">IF($B1878="Portfolio","Portfolio",IFERROR(INDEX(DATA_ASSET_CLASSIFICATION!$AB$8:$AB$13,MATCH($N1878,DATA_ASSET_CLASSIFICATION!$AA$8:$AA$13,0)),"Review"))</f>
        <v>Bucket 2 · Legacy</v>
      </c>
      <c r="P1878" s="350" t="str">
        <f>IF($B1878="Portfolio","Portfolio",IFERROR(INDEX(DATA_ASSET_CLASSIFICATION!$C$8:$C$24,MATCH($C1878,DATA_ASSET_CLASSIFICATION!$A$8:$A$24,0)),"Review"))</f>
        <v>Yes</v>
      </c>
      <c r="Q1878" s="350" t="str">
        <f t="shared" ca="1" si="59"/>
        <v>OK</v>
      </c>
    </row>
    <row r="1879" spans="1:17" ht="30">
      <c r="A1879" s="366" t="s">
        <v>3835</v>
      </c>
      <c r="B1879" s="366" t="s">
        <v>231</v>
      </c>
      <c r="C1879" s="348" t="str">
        <f>DATA_PROPERTY_MASTER!$A$10</f>
        <v>BLD_EA</v>
      </c>
      <c r="D1879" s="380">
        <f>'00_PORTFOLIO ROLLUP'!M$12</f>
        <v>2033</v>
      </c>
      <c r="E1879" s="366" t="s">
        <v>1683</v>
      </c>
      <c r="F1879" s="366" t="s">
        <v>21</v>
      </c>
      <c r="G1879" s="348" t="str">
        <f>"'"&amp;$C1879&amp;"'!$E$45:$Y$45"</f>
        <v>'BLD_EA'!$E$45:$Y$45</v>
      </c>
      <c r="H1879" s="381">
        <f ca="1">IF(IFERROR(INDEX(DATA_PROPERTY_MASTER!$E$5:$E$21,MATCH($C1879,DATA_PROPERTY_MASTER!$A$5:$A$21,0))="Yes",FALSE),IFERROR(INDEX(INDIRECT("'"&amp;$C1879&amp;"'!$E$45:$Y$45"),1,MATCH($D1879,INDIRECT("'"&amp;$C1879&amp;"'!$E$12:$Y$12"),0)),0),0)</f>
        <v>587265.12371813215</v>
      </c>
      <c r="I1879" s="366" t="s">
        <v>1685</v>
      </c>
      <c r="J1879" s="348" t="str">
        <f t="shared" ca="1" si="58"/>
        <v>OK</v>
      </c>
      <c r="K1879" s="366" t="s">
        <v>1694</v>
      </c>
      <c r="L1879" s="366" t="s">
        <v>2242</v>
      </c>
      <c r="M1879" s="350" t="str">
        <f>IF($B1879="Portfolio","Portfolio",IFERROR(INDEX(DATA_ASSET_CLASSIFICATION!$B$8:$B$24,MATCH($C1879,DATA_ASSET_CLASSIFICATION!$A$8:$A$24,0)),"Review"))</f>
        <v>Evergreen Apartments</v>
      </c>
      <c r="N1879" s="350" t="str">
        <f ca="1">IF($B1879="Portfolio","Portfolio",IFERROR(INDEX(DATA_ASSET_CLASSIFICATION!$U$8:$U$24,MATCH($C1879,DATA_ASSET_CLASSIFICATION!$A$8:$A$24,0)),"Review"))</f>
        <v>Refi Watch</v>
      </c>
      <c r="O1879" s="350" t="str">
        <f ca="1">IF($B1879="Portfolio","Portfolio",IFERROR(INDEX(DATA_ASSET_CLASSIFICATION!$AB$8:$AB$13,MATCH($N1879,DATA_ASSET_CLASSIFICATION!$AA$8:$AA$13,0)),"Review"))</f>
        <v>Bucket 2 · Legacy</v>
      </c>
      <c r="P1879" s="350" t="str">
        <f>IF($B1879="Portfolio","Portfolio",IFERROR(INDEX(DATA_ASSET_CLASSIFICATION!$C$8:$C$24,MATCH($C1879,DATA_ASSET_CLASSIFICATION!$A$8:$A$24,0)),"Review"))</f>
        <v>Yes</v>
      </c>
      <c r="Q1879" s="350" t="str">
        <f t="shared" ca="1" si="59"/>
        <v>OK</v>
      </c>
    </row>
    <row r="1880" spans="1:17" ht="30">
      <c r="A1880" s="366" t="s">
        <v>3836</v>
      </c>
      <c r="B1880" s="366" t="s">
        <v>231</v>
      </c>
      <c r="C1880" s="348" t="str">
        <f>DATA_PROPERTY_MASTER!$A$10</f>
        <v>BLD_EA</v>
      </c>
      <c r="D1880" s="380">
        <f>'00_PORTFOLIO ROLLUP'!M$12</f>
        <v>2033</v>
      </c>
      <c r="E1880" s="366" t="s">
        <v>23</v>
      </c>
      <c r="F1880" s="366" t="s">
        <v>23</v>
      </c>
      <c r="G1880" s="348" t="str">
        <f>"'"&amp;$C1880&amp;"'!$E$48:$Y$48"</f>
        <v>'BLD_EA'!$E$48:$Y$48</v>
      </c>
      <c r="H1880" s="381">
        <f ca="1">IF(IFERROR(INDEX(DATA_PROPERTY_MASTER!$E$5:$E$21,MATCH($C1880,DATA_PROPERTY_MASTER!$A$5:$A$21,0))="Yes",FALSE),IFERROR(INDEX(INDIRECT("'"&amp;$C1880&amp;"'!$E$48:$Y$48"),1,MATCH($D1880,INDIRECT("'"&amp;$C1880&amp;"'!$E$12:$Y$12"),0)),0),0)</f>
        <v>297840</v>
      </c>
      <c r="I1880" s="366" t="s">
        <v>1690</v>
      </c>
      <c r="J1880" s="348" t="str">
        <f t="shared" ca="1" si="58"/>
        <v>OK</v>
      </c>
      <c r="K1880" s="366" t="s">
        <v>1706</v>
      </c>
      <c r="L1880" s="366" t="s">
        <v>2244</v>
      </c>
      <c r="M1880" s="350" t="str">
        <f>IF($B1880="Portfolio","Portfolio",IFERROR(INDEX(DATA_ASSET_CLASSIFICATION!$B$8:$B$24,MATCH($C1880,DATA_ASSET_CLASSIFICATION!$A$8:$A$24,0)),"Review"))</f>
        <v>Evergreen Apartments</v>
      </c>
      <c r="N1880" s="350" t="str">
        <f ca="1">IF($B1880="Portfolio","Portfolio",IFERROR(INDEX(DATA_ASSET_CLASSIFICATION!$U$8:$U$24,MATCH($C1880,DATA_ASSET_CLASSIFICATION!$A$8:$A$24,0)),"Review"))</f>
        <v>Refi Watch</v>
      </c>
      <c r="O1880" s="350" t="str">
        <f ca="1">IF($B1880="Portfolio","Portfolio",IFERROR(INDEX(DATA_ASSET_CLASSIFICATION!$AB$8:$AB$13,MATCH($N1880,DATA_ASSET_CLASSIFICATION!$AA$8:$AA$13,0)),"Review"))</f>
        <v>Bucket 2 · Legacy</v>
      </c>
      <c r="P1880" s="350" t="str">
        <f>IF($B1880="Portfolio","Portfolio",IFERROR(INDEX(DATA_ASSET_CLASSIFICATION!$C$8:$C$24,MATCH($C1880,DATA_ASSET_CLASSIFICATION!$A$8:$A$24,0)),"Review"))</f>
        <v>Yes</v>
      </c>
      <c r="Q1880" s="350" t="str">
        <f t="shared" ca="1" si="59"/>
        <v>OK</v>
      </c>
    </row>
    <row r="1881" spans="1:17" ht="30">
      <c r="A1881" s="366" t="s">
        <v>3837</v>
      </c>
      <c r="B1881" s="366" t="s">
        <v>231</v>
      </c>
      <c r="C1881" s="348" t="str">
        <f>DATA_PROPERTY_MASTER!$A$10</f>
        <v>BLD_EA</v>
      </c>
      <c r="D1881" s="380">
        <f>'00_PORTFOLIO ROLLUP'!M$12</f>
        <v>2033</v>
      </c>
      <c r="E1881" s="366" t="s">
        <v>1683</v>
      </c>
      <c r="F1881" s="366" t="s">
        <v>25</v>
      </c>
      <c r="G1881" s="348" t="str">
        <f>"'"&amp;$C1881&amp;"'!$E$52:$Y$52"</f>
        <v>'BLD_EA'!$E$52:$Y$52</v>
      </c>
      <c r="H1881" s="381">
        <f ca="1">IF(IFERROR(INDEX(DATA_PROPERTY_MASTER!$E$5:$E$21,MATCH($C1881,DATA_PROPERTY_MASTER!$A$5:$A$21,0))="Yes",FALSE),IFERROR(INDEX(INDIRECT("'"&amp;$C1881&amp;"'!$E$52:$Y$52"),1,MATCH($D1881,INDIRECT("'"&amp;$C1881&amp;"'!$E$12:$Y$12"),0)),0),0)</f>
        <v>300145.80705430289</v>
      </c>
      <c r="I1881" s="366" t="s">
        <v>1685</v>
      </c>
      <c r="J1881" s="348" t="str">
        <f t="shared" ca="1" si="58"/>
        <v>OK</v>
      </c>
      <c r="K1881" s="366" t="s">
        <v>1710</v>
      </c>
      <c r="L1881" s="366" t="s">
        <v>2246</v>
      </c>
      <c r="M1881" s="350" t="str">
        <f>IF($B1881="Portfolio","Portfolio",IFERROR(INDEX(DATA_ASSET_CLASSIFICATION!$B$8:$B$24,MATCH($C1881,DATA_ASSET_CLASSIFICATION!$A$8:$A$24,0)),"Review"))</f>
        <v>Evergreen Apartments</v>
      </c>
      <c r="N1881" s="350" t="str">
        <f ca="1">IF($B1881="Portfolio","Portfolio",IFERROR(INDEX(DATA_ASSET_CLASSIFICATION!$U$8:$U$24,MATCH($C1881,DATA_ASSET_CLASSIFICATION!$A$8:$A$24,0)),"Review"))</f>
        <v>Refi Watch</v>
      </c>
      <c r="O1881" s="350" t="str">
        <f ca="1">IF($B1881="Portfolio","Portfolio",IFERROR(INDEX(DATA_ASSET_CLASSIFICATION!$AB$8:$AB$13,MATCH($N1881,DATA_ASSET_CLASSIFICATION!$AA$8:$AA$13,0)),"Review"))</f>
        <v>Bucket 2 · Legacy</v>
      </c>
      <c r="P1881" s="350" t="str">
        <f>IF($B1881="Portfolio","Portfolio",IFERROR(INDEX(DATA_ASSET_CLASSIFICATION!$C$8:$C$24,MATCH($C1881,DATA_ASSET_CLASSIFICATION!$A$8:$A$24,0)),"Review"))</f>
        <v>Yes</v>
      </c>
      <c r="Q1881" s="350" t="str">
        <f t="shared" ca="1" si="59"/>
        <v>OK</v>
      </c>
    </row>
    <row r="1882" spans="1:17" ht="30">
      <c r="A1882" s="366" t="s">
        <v>3838</v>
      </c>
      <c r="B1882" s="366" t="s">
        <v>231</v>
      </c>
      <c r="C1882" s="348" t="str">
        <f>DATA_PROPERTY_MASTER!$A$10</f>
        <v>BLD_EA</v>
      </c>
      <c r="D1882" s="380">
        <f>'00_PORTFOLIO ROLLUP'!M$12</f>
        <v>2033</v>
      </c>
      <c r="E1882" s="366" t="s">
        <v>1683</v>
      </c>
      <c r="F1882" s="366" t="s">
        <v>27</v>
      </c>
      <c r="G1882" s="348" t="str">
        <f>"'"&amp;$C1882&amp;"'!$E$54:$Y$54"</f>
        <v>'BLD_EA'!$E$54:$Y$54</v>
      </c>
      <c r="H1882" s="381">
        <f ca="1">IF(IFERROR(INDEX(DATA_PROPERTY_MASTER!$E$5:$E$21,MATCH($C1882,DATA_PROPERTY_MASTER!$A$5:$A$21,0))="Yes",FALSE),IFERROR(INDEX(INDIRECT("'"&amp;$C1882&amp;"'!$E$54:$Y$54"),1,MATCH($D1882,INDIRECT("'"&amp;$C1882&amp;"'!$E$12:$Y$12"),0)),0),0)</f>
        <v>180087.48423258172</v>
      </c>
      <c r="I1882" s="366" t="s">
        <v>1690</v>
      </c>
      <c r="J1882" s="348" t="str">
        <f t="shared" ca="1" si="58"/>
        <v>OK</v>
      </c>
      <c r="K1882" s="366" t="s">
        <v>1714</v>
      </c>
      <c r="L1882" s="366" t="s">
        <v>2248</v>
      </c>
      <c r="M1882" s="350" t="str">
        <f>IF($B1882="Portfolio","Portfolio",IFERROR(INDEX(DATA_ASSET_CLASSIFICATION!$B$8:$B$24,MATCH($C1882,DATA_ASSET_CLASSIFICATION!$A$8:$A$24,0)),"Review"))</f>
        <v>Evergreen Apartments</v>
      </c>
      <c r="N1882" s="350" t="str">
        <f ca="1">IF($B1882="Portfolio","Portfolio",IFERROR(INDEX(DATA_ASSET_CLASSIFICATION!$U$8:$U$24,MATCH($C1882,DATA_ASSET_CLASSIFICATION!$A$8:$A$24,0)),"Review"))</f>
        <v>Refi Watch</v>
      </c>
      <c r="O1882" s="350" t="str">
        <f ca="1">IF($B1882="Portfolio","Portfolio",IFERROR(INDEX(DATA_ASSET_CLASSIFICATION!$AB$8:$AB$13,MATCH($N1882,DATA_ASSET_CLASSIFICATION!$AA$8:$AA$13,0)),"Review"))</f>
        <v>Bucket 2 · Legacy</v>
      </c>
      <c r="P1882" s="350" t="str">
        <f>IF($B1882="Portfolio","Portfolio",IFERROR(INDEX(DATA_ASSET_CLASSIFICATION!$C$8:$C$24,MATCH($C1882,DATA_ASSET_CLASSIFICATION!$A$8:$A$24,0)),"Review"))</f>
        <v>Yes</v>
      </c>
      <c r="Q1882" s="350" t="str">
        <f t="shared" ca="1" si="59"/>
        <v>OK</v>
      </c>
    </row>
    <row r="1883" spans="1:17" ht="30">
      <c r="A1883" s="366" t="s">
        <v>3839</v>
      </c>
      <c r="B1883" s="366" t="s">
        <v>231</v>
      </c>
      <c r="C1883" s="348" t="str">
        <f>DATA_PROPERTY_MASTER!$A$10</f>
        <v>BLD_EA</v>
      </c>
      <c r="D1883" s="380">
        <f>'00_PORTFOLIO ROLLUP'!M$12</f>
        <v>2033</v>
      </c>
      <c r="E1883" s="366" t="s">
        <v>1683</v>
      </c>
      <c r="F1883" s="366" t="s">
        <v>29</v>
      </c>
      <c r="G1883" s="348" t="str">
        <f>"'"&amp;$C1883&amp;"'!$E$56:$Y$56"</f>
        <v>'BLD_EA'!$E$56:$Y$56</v>
      </c>
      <c r="H1883" s="381">
        <f ca="1">IF(IFERROR(INDEX(DATA_PROPERTY_MASTER!$E$5:$E$21,MATCH($C1883,DATA_PROPERTY_MASTER!$A$5:$A$21,0))="Yes",FALSE),IFERROR(INDEX(INDIRECT("'"&amp;$C1883&amp;"'!$E$56:$Y$56"),1,MATCH($D1883,INDIRECT("'"&amp;$C1883&amp;"'!$E$12:$Y$12"),0)),0),0)</f>
        <v>120058.32282172117</v>
      </c>
      <c r="I1883" s="366" t="s">
        <v>1685</v>
      </c>
      <c r="J1883" s="348" t="str">
        <f t="shared" ca="1" si="58"/>
        <v>OK</v>
      </c>
      <c r="K1883" s="366" t="s">
        <v>1718</v>
      </c>
      <c r="L1883" s="366" t="s">
        <v>2250</v>
      </c>
      <c r="M1883" s="350" t="str">
        <f>IF($B1883="Portfolio","Portfolio",IFERROR(INDEX(DATA_ASSET_CLASSIFICATION!$B$8:$B$24,MATCH($C1883,DATA_ASSET_CLASSIFICATION!$A$8:$A$24,0)),"Review"))</f>
        <v>Evergreen Apartments</v>
      </c>
      <c r="N1883" s="350" t="str">
        <f ca="1">IF($B1883="Portfolio","Portfolio",IFERROR(INDEX(DATA_ASSET_CLASSIFICATION!$U$8:$U$24,MATCH($C1883,DATA_ASSET_CLASSIFICATION!$A$8:$A$24,0)),"Review"))</f>
        <v>Refi Watch</v>
      </c>
      <c r="O1883" s="350" t="str">
        <f ca="1">IF($B1883="Portfolio","Portfolio",IFERROR(INDEX(DATA_ASSET_CLASSIFICATION!$AB$8:$AB$13,MATCH($N1883,DATA_ASSET_CLASSIFICATION!$AA$8:$AA$13,0)),"Review"))</f>
        <v>Bucket 2 · Legacy</v>
      </c>
      <c r="P1883" s="350" t="str">
        <f>IF($B1883="Portfolio","Portfolio",IFERROR(INDEX(DATA_ASSET_CLASSIFICATION!$C$8:$C$24,MATCH($C1883,DATA_ASSET_CLASSIFICATION!$A$8:$A$24,0)),"Review"))</f>
        <v>Yes</v>
      </c>
      <c r="Q1883" s="350" t="str">
        <f t="shared" ca="1" si="59"/>
        <v>OK</v>
      </c>
    </row>
    <row r="1884" spans="1:17" ht="30">
      <c r="A1884" s="366" t="s">
        <v>3840</v>
      </c>
      <c r="B1884" s="366" t="s">
        <v>231</v>
      </c>
      <c r="C1884" s="348" t="str">
        <f>DATA_PROPERTY_MASTER!$A$10</f>
        <v>BLD_EA</v>
      </c>
      <c r="D1884" s="380">
        <f>'00_PORTFOLIO ROLLUP'!M$12</f>
        <v>2033</v>
      </c>
      <c r="E1884" s="366" t="s">
        <v>1721</v>
      </c>
      <c r="F1884" s="366" t="s">
        <v>31</v>
      </c>
      <c r="G1884" s="348" t="str">
        <f>"'"&amp;$C1884&amp;"'!$E$61:$Y$61"</f>
        <v>'BLD_EA'!$E$61:$Y$61</v>
      </c>
      <c r="H1884" s="381">
        <f ca="1">IF(IFERROR(INDEX(DATA_PROPERTY_MASTER!$E$5:$E$21,MATCH($C1884,DATA_PROPERTY_MASTER!$A$5:$A$21,0))="Yes",FALSE),IFERROR(INDEX(INDIRECT("'"&amp;$C1884&amp;"'!$E$61:$Y$61"),1,MATCH($D1884,INDIRECT("'"&amp;$C1884&amp;"'!$E$12:$Y$12"),0)),0),0)</f>
        <v>0</v>
      </c>
      <c r="I1884" s="366" t="s">
        <v>1690</v>
      </c>
      <c r="J1884" s="348" t="str">
        <f t="shared" ca="1" si="58"/>
        <v>OK</v>
      </c>
      <c r="K1884" s="366" t="s">
        <v>1723</v>
      </c>
      <c r="L1884" s="366" t="s">
        <v>2252</v>
      </c>
      <c r="M1884" s="350" t="str">
        <f>IF($B1884="Portfolio","Portfolio",IFERROR(INDEX(DATA_ASSET_CLASSIFICATION!$B$8:$B$24,MATCH($C1884,DATA_ASSET_CLASSIFICATION!$A$8:$A$24,0)),"Review"))</f>
        <v>Evergreen Apartments</v>
      </c>
      <c r="N1884" s="350" t="str">
        <f ca="1">IF($B1884="Portfolio","Portfolio",IFERROR(INDEX(DATA_ASSET_CLASSIFICATION!$U$8:$U$24,MATCH($C1884,DATA_ASSET_CLASSIFICATION!$A$8:$A$24,0)),"Review"))</f>
        <v>Refi Watch</v>
      </c>
      <c r="O1884" s="350" t="str">
        <f ca="1">IF($B1884="Portfolio","Portfolio",IFERROR(INDEX(DATA_ASSET_CLASSIFICATION!$AB$8:$AB$13,MATCH($N1884,DATA_ASSET_CLASSIFICATION!$AA$8:$AA$13,0)),"Review"))</f>
        <v>Bucket 2 · Legacy</v>
      </c>
      <c r="P1884" s="350" t="str">
        <f>IF($B1884="Portfolio","Portfolio",IFERROR(INDEX(DATA_ASSET_CLASSIFICATION!$C$8:$C$24,MATCH($C1884,DATA_ASSET_CLASSIFICATION!$A$8:$A$24,0)),"Review"))</f>
        <v>Yes</v>
      </c>
      <c r="Q1884" s="350" t="str">
        <f t="shared" ca="1" si="59"/>
        <v>OK</v>
      </c>
    </row>
    <row r="1885" spans="1:17" ht="30">
      <c r="A1885" s="366" t="s">
        <v>3841</v>
      </c>
      <c r="B1885" s="366" t="s">
        <v>231</v>
      </c>
      <c r="C1885" s="348" t="str">
        <f>DATA_PROPERTY_MASTER!$A$10</f>
        <v>BLD_EA</v>
      </c>
      <c r="D1885" s="380">
        <f>'00_PORTFOLIO ROLLUP'!M$12</f>
        <v>2033</v>
      </c>
      <c r="E1885" s="366" t="s">
        <v>1721</v>
      </c>
      <c r="F1885" s="366" t="s">
        <v>33</v>
      </c>
      <c r="G1885" s="348" t="str">
        <f>"'"&amp;$C1885&amp;"'!$E$62:$Y$62"</f>
        <v>'BLD_EA'!$E$62:$Y$62</v>
      </c>
      <c r="H1885" s="381">
        <f ca="1">IF(IFERROR(INDEX(DATA_PROPERTY_MASTER!$E$5:$E$21,MATCH($C1885,DATA_PROPERTY_MASTER!$A$5:$A$21,0))="Yes",FALSE),IFERROR(INDEX(INDIRECT("'"&amp;$C1885&amp;"'!$E$62:$Y$62"),1,MATCH($D1885,INDIRECT("'"&amp;$C1885&amp;"'!$E$12:$Y$12"),0)),0),0)</f>
        <v>0</v>
      </c>
      <c r="I1885" s="366" t="s">
        <v>1685</v>
      </c>
      <c r="J1885" s="348" t="str">
        <f t="shared" ca="1" si="58"/>
        <v>OK</v>
      </c>
      <c r="K1885" s="366" t="s">
        <v>1727</v>
      </c>
      <c r="L1885" s="366" t="s">
        <v>2254</v>
      </c>
      <c r="M1885" s="350" t="str">
        <f>IF($B1885="Portfolio","Portfolio",IFERROR(INDEX(DATA_ASSET_CLASSIFICATION!$B$8:$B$24,MATCH($C1885,DATA_ASSET_CLASSIFICATION!$A$8:$A$24,0)),"Review"))</f>
        <v>Evergreen Apartments</v>
      </c>
      <c r="N1885" s="350" t="str">
        <f ca="1">IF($B1885="Portfolio","Portfolio",IFERROR(INDEX(DATA_ASSET_CLASSIFICATION!$U$8:$U$24,MATCH($C1885,DATA_ASSET_CLASSIFICATION!$A$8:$A$24,0)),"Review"))</f>
        <v>Refi Watch</v>
      </c>
      <c r="O1885" s="350" t="str">
        <f ca="1">IF($B1885="Portfolio","Portfolio",IFERROR(INDEX(DATA_ASSET_CLASSIFICATION!$AB$8:$AB$13,MATCH($N1885,DATA_ASSET_CLASSIFICATION!$AA$8:$AA$13,0)),"Review"))</f>
        <v>Bucket 2 · Legacy</v>
      </c>
      <c r="P1885" s="350" t="str">
        <f>IF($B1885="Portfolio","Portfolio",IFERROR(INDEX(DATA_ASSET_CLASSIFICATION!$C$8:$C$24,MATCH($C1885,DATA_ASSET_CLASSIFICATION!$A$8:$A$24,0)),"Review"))</f>
        <v>Yes</v>
      </c>
      <c r="Q1885" s="350" t="str">
        <f t="shared" ca="1" si="59"/>
        <v>OK</v>
      </c>
    </row>
    <row r="1886" spans="1:17" ht="30">
      <c r="A1886" s="366" t="s">
        <v>3842</v>
      </c>
      <c r="B1886" s="366" t="s">
        <v>231</v>
      </c>
      <c r="C1886" s="348" t="str">
        <f>DATA_PROPERTY_MASTER!$A$10</f>
        <v>BLD_EA</v>
      </c>
      <c r="D1886" s="380">
        <f>'00_PORTFOLIO ROLLUP'!M$12</f>
        <v>2033</v>
      </c>
      <c r="E1886" s="366" t="s">
        <v>1721</v>
      </c>
      <c r="F1886" s="366" t="s">
        <v>35</v>
      </c>
      <c r="G1886" s="348" t="str">
        <f>"'"&amp;$C1886&amp;"'!$E$63:$Y$63"</f>
        <v>'BLD_EA'!$E$63:$Y$63</v>
      </c>
      <c r="H1886" s="381">
        <f ca="1">IF(IFERROR(INDEX(DATA_PROPERTY_MASTER!$E$5:$E$21,MATCH($C1886,DATA_PROPERTY_MASTER!$A$5:$A$21,0))="Yes",FALSE),IFERROR(INDEX(INDIRECT("'"&amp;$C1886&amp;"'!$E$63:$Y$63"),1,MATCH($D1886,INDIRECT("'"&amp;$C1886&amp;"'!$E$12:$Y$12"),0)),0),0)</f>
        <v>0</v>
      </c>
      <c r="I1886" s="366" t="s">
        <v>1731</v>
      </c>
      <c r="J1886" s="348" t="str">
        <f t="shared" ca="1" si="58"/>
        <v>OK</v>
      </c>
      <c r="K1886" s="366" t="s">
        <v>1732</v>
      </c>
      <c r="L1886" s="366" t="s">
        <v>2256</v>
      </c>
      <c r="M1886" s="350" t="str">
        <f>IF($B1886="Portfolio","Portfolio",IFERROR(INDEX(DATA_ASSET_CLASSIFICATION!$B$8:$B$24,MATCH($C1886,DATA_ASSET_CLASSIFICATION!$A$8:$A$24,0)),"Review"))</f>
        <v>Evergreen Apartments</v>
      </c>
      <c r="N1886" s="350" t="str">
        <f ca="1">IF($B1886="Portfolio","Portfolio",IFERROR(INDEX(DATA_ASSET_CLASSIFICATION!$U$8:$U$24,MATCH($C1886,DATA_ASSET_CLASSIFICATION!$A$8:$A$24,0)),"Review"))</f>
        <v>Refi Watch</v>
      </c>
      <c r="O1886" s="350" t="str">
        <f ca="1">IF($B1886="Portfolio","Portfolio",IFERROR(INDEX(DATA_ASSET_CLASSIFICATION!$AB$8:$AB$13,MATCH($N1886,DATA_ASSET_CLASSIFICATION!$AA$8:$AA$13,0)),"Review"))</f>
        <v>Bucket 2 · Legacy</v>
      </c>
      <c r="P1886" s="350" t="str">
        <f>IF($B1886="Portfolio","Portfolio",IFERROR(INDEX(DATA_ASSET_CLASSIFICATION!$C$8:$C$24,MATCH($C1886,DATA_ASSET_CLASSIFICATION!$A$8:$A$24,0)),"Review"))</f>
        <v>Yes</v>
      </c>
      <c r="Q1886" s="350" t="str">
        <f t="shared" ca="1" si="59"/>
        <v>OK</v>
      </c>
    </row>
    <row r="1887" spans="1:17" ht="30">
      <c r="A1887" s="366" t="s">
        <v>3843</v>
      </c>
      <c r="B1887" s="366" t="s">
        <v>231</v>
      </c>
      <c r="C1887" s="348" t="str">
        <f>DATA_PROPERTY_MASTER!$A$10</f>
        <v>BLD_EA</v>
      </c>
      <c r="D1887" s="380">
        <f>'00_PORTFOLIO ROLLUP'!M$12</f>
        <v>2033</v>
      </c>
      <c r="E1887" s="366" t="s">
        <v>1721</v>
      </c>
      <c r="F1887" s="366" t="s">
        <v>37</v>
      </c>
      <c r="G1887" s="348" t="str">
        <f>"'"&amp;$C1887&amp;"'!$E$63:$Y$63"</f>
        <v>'BLD_EA'!$E$63:$Y$63</v>
      </c>
      <c r="H1887" s="381">
        <f ca="1">IF(IFERROR(INDEX(DATA_PROPERTY_MASTER!$E$5:$E$21,MATCH($C1887,DATA_PROPERTY_MASTER!$A$5:$A$21,0))="Yes",FALSE),MAX(IFERROR(INDEX(INDIRECT("'"&amp;$C1887&amp;"'!$E$63:$Y$63"),1,MATCH($D1887,INDIRECT("'"&amp;$C1887&amp;"'!$E$12:$Y$12"),0)),0),0),0)</f>
        <v>0</v>
      </c>
      <c r="I1887" s="366" t="s">
        <v>1685</v>
      </c>
      <c r="J1887" s="348" t="str">
        <f t="shared" ca="1" si="58"/>
        <v>OK</v>
      </c>
      <c r="K1887" s="366" t="s">
        <v>1735</v>
      </c>
      <c r="L1887" s="366" t="s">
        <v>2258</v>
      </c>
      <c r="M1887" s="350" t="str">
        <f>IF($B1887="Portfolio","Portfolio",IFERROR(INDEX(DATA_ASSET_CLASSIFICATION!$B$8:$B$24,MATCH($C1887,DATA_ASSET_CLASSIFICATION!$A$8:$A$24,0)),"Review"))</f>
        <v>Evergreen Apartments</v>
      </c>
      <c r="N1887" s="350" t="str">
        <f ca="1">IF($B1887="Portfolio","Portfolio",IFERROR(INDEX(DATA_ASSET_CLASSIFICATION!$U$8:$U$24,MATCH($C1887,DATA_ASSET_CLASSIFICATION!$A$8:$A$24,0)),"Review"))</f>
        <v>Refi Watch</v>
      </c>
      <c r="O1887" s="350" t="str">
        <f ca="1">IF($B1887="Portfolio","Portfolio",IFERROR(INDEX(DATA_ASSET_CLASSIFICATION!$AB$8:$AB$13,MATCH($N1887,DATA_ASSET_CLASSIFICATION!$AA$8:$AA$13,0)),"Review"))</f>
        <v>Bucket 2 · Legacy</v>
      </c>
      <c r="P1887" s="350" t="str">
        <f>IF($B1887="Portfolio","Portfolio",IFERROR(INDEX(DATA_ASSET_CLASSIFICATION!$C$8:$C$24,MATCH($C1887,DATA_ASSET_CLASSIFICATION!$A$8:$A$24,0)),"Review"))</f>
        <v>Yes</v>
      </c>
      <c r="Q1887" s="350" t="str">
        <f t="shared" ca="1" si="59"/>
        <v>OK</v>
      </c>
    </row>
    <row r="1888" spans="1:17" ht="30">
      <c r="A1888" s="366" t="s">
        <v>3844</v>
      </c>
      <c r="B1888" s="366" t="s">
        <v>231</v>
      </c>
      <c r="C1888" s="348" t="str">
        <f>DATA_PROPERTY_MASTER!$A$10</f>
        <v>BLD_EA</v>
      </c>
      <c r="D1888" s="380">
        <f>'00_PORTFOLIO ROLLUP'!M$12</f>
        <v>2033</v>
      </c>
      <c r="E1888" s="366" t="s">
        <v>1721</v>
      </c>
      <c r="F1888" s="366" t="s">
        <v>39</v>
      </c>
      <c r="G1888" s="348" t="str">
        <f>"'"&amp;$C1888&amp;"'!$E$63:$Y$63"</f>
        <v>'BLD_EA'!$E$63:$Y$63</v>
      </c>
      <c r="H1888" s="381">
        <f ca="1">IF(IFERROR(INDEX(DATA_PROPERTY_MASTER!$E$5:$E$21,MATCH($C1888,DATA_PROPERTY_MASTER!$A$5:$A$21,0))="Yes",FALSE),MAX(-IFERROR(INDEX(INDIRECT("'"&amp;$C1888&amp;"'!$E$63:$Y$63"),1,MATCH($D1888,INDIRECT("'"&amp;$C1888&amp;"'!$E$12:$Y$12"),0)),0),0),0)</f>
        <v>0</v>
      </c>
      <c r="I1888" s="366" t="s">
        <v>1690</v>
      </c>
      <c r="J1888" s="348" t="str">
        <f t="shared" ca="1" si="58"/>
        <v>OK</v>
      </c>
      <c r="K1888" s="366" t="s">
        <v>1738</v>
      </c>
      <c r="L1888" s="366" t="s">
        <v>2260</v>
      </c>
      <c r="M1888" s="350" t="str">
        <f>IF($B1888="Portfolio","Portfolio",IFERROR(INDEX(DATA_ASSET_CLASSIFICATION!$B$8:$B$24,MATCH($C1888,DATA_ASSET_CLASSIFICATION!$A$8:$A$24,0)),"Review"))</f>
        <v>Evergreen Apartments</v>
      </c>
      <c r="N1888" s="350" t="str">
        <f ca="1">IF($B1888="Portfolio","Portfolio",IFERROR(INDEX(DATA_ASSET_CLASSIFICATION!$U$8:$U$24,MATCH($C1888,DATA_ASSET_CLASSIFICATION!$A$8:$A$24,0)),"Review"))</f>
        <v>Refi Watch</v>
      </c>
      <c r="O1888" s="350" t="str">
        <f ca="1">IF($B1888="Portfolio","Portfolio",IFERROR(INDEX(DATA_ASSET_CLASSIFICATION!$AB$8:$AB$13,MATCH($N1888,DATA_ASSET_CLASSIFICATION!$AA$8:$AA$13,0)),"Review"))</f>
        <v>Bucket 2 · Legacy</v>
      </c>
      <c r="P1888" s="350" t="str">
        <f>IF($B1888="Portfolio","Portfolio",IFERROR(INDEX(DATA_ASSET_CLASSIFICATION!$C$8:$C$24,MATCH($C1888,DATA_ASSET_CLASSIFICATION!$A$8:$A$24,0)),"Review"))</f>
        <v>Yes</v>
      </c>
      <c r="Q1888" s="350" t="str">
        <f t="shared" ca="1" si="59"/>
        <v>OK</v>
      </c>
    </row>
    <row r="1889" spans="1:17" ht="30">
      <c r="A1889" s="366" t="s">
        <v>3845</v>
      </c>
      <c r="B1889" s="366" t="s">
        <v>231</v>
      </c>
      <c r="C1889" s="348" t="str">
        <f>DATA_PROPERTY_MASTER!$A$10</f>
        <v>BLD_EA</v>
      </c>
      <c r="D1889" s="380">
        <f>'00_PORTFOLIO ROLLUP'!M$12</f>
        <v>2033</v>
      </c>
      <c r="E1889" s="366" t="s">
        <v>1741</v>
      </c>
      <c r="F1889" s="366" t="s">
        <v>41</v>
      </c>
      <c r="G1889" s="348" t="str">
        <f>"'"&amp;$C1889&amp;"'!rows 56 + positive row 63"</f>
        <v>'BLD_EA'!rows 56 + positive row 63</v>
      </c>
      <c r="H1889" s="381">
        <f ca="1">IF(IFERROR(INDEX(DATA_PROPERTY_MASTER!$E$5:$E$21,MATCH($C1889,DATA_PROPERTY_MASTER!$A$5:$A$21,0))="Yes",FALSE),IFERROR(INDEX(INDIRECT("'"&amp;$C1889&amp;"'!$E$56:$Y$56"),1,MATCH($D1889,INDIRECT("'"&amp;$C1889&amp;"'!$E$12:$Y$12"),0)),0)+MAX(IFERROR(INDEX(INDIRECT("'"&amp;$C1889&amp;"'!$E$63:$Y$63"),1,MATCH($D1889,INDIRECT("'"&amp;$C1889&amp;"'!$E$12:$Y$12"),0)),0),0),0)</f>
        <v>120058.32282172117</v>
      </c>
      <c r="I1889" s="366" t="s">
        <v>1685</v>
      </c>
      <c r="J1889" s="348" t="str">
        <f t="shared" ca="1" si="58"/>
        <v>OK</v>
      </c>
      <c r="K1889" s="366" t="s">
        <v>1742</v>
      </c>
      <c r="L1889" s="366" t="s">
        <v>2262</v>
      </c>
      <c r="M1889" s="350" t="str">
        <f>IF($B1889="Portfolio","Portfolio",IFERROR(INDEX(DATA_ASSET_CLASSIFICATION!$B$8:$B$24,MATCH($C1889,DATA_ASSET_CLASSIFICATION!$A$8:$A$24,0)),"Review"))</f>
        <v>Evergreen Apartments</v>
      </c>
      <c r="N1889" s="350" t="str">
        <f ca="1">IF($B1889="Portfolio","Portfolio",IFERROR(INDEX(DATA_ASSET_CLASSIFICATION!$U$8:$U$24,MATCH($C1889,DATA_ASSET_CLASSIFICATION!$A$8:$A$24,0)),"Review"))</f>
        <v>Refi Watch</v>
      </c>
      <c r="O1889" s="350" t="str">
        <f ca="1">IF($B1889="Portfolio","Portfolio",IFERROR(INDEX(DATA_ASSET_CLASSIFICATION!$AB$8:$AB$13,MATCH($N1889,DATA_ASSET_CLASSIFICATION!$AA$8:$AA$13,0)),"Review"))</f>
        <v>Bucket 2 · Legacy</v>
      </c>
      <c r="P1889" s="350" t="str">
        <f>IF($B1889="Portfolio","Portfolio",IFERROR(INDEX(DATA_ASSET_CLASSIFICATION!$C$8:$C$24,MATCH($C1889,DATA_ASSET_CLASSIFICATION!$A$8:$A$24,0)),"Review"))</f>
        <v>Yes</v>
      </c>
      <c r="Q1889" s="350" t="str">
        <f t="shared" ca="1" si="59"/>
        <v>OK</v>
      </c>
    </row>
    <row r="1890" spans="1:17" ht="30">
      <c r="A1890" s="366" t="s">
        <v>3846</v>
      </c>
      <c r="B1890" s="366" t="s">
        <v>231</v>
      </c>
      <c r="C1890" s="348" t="str">
        <f>DATA_PROPERTY_MASTER!$A$10</f>
        <v>BLD_EA</v>
      </c>
      <c r="D1890" s="380">
        <f>'00_PORTFOLIO ROLLUP'!M$12</f>
        <v>2033</v>
      </c>
      <c r="E1890" s="366" t="s">
        <v>1741</v>
      </c>
      <c r="F1890" s="366" t="s">
        <v>43</v>
      </c>
      <c r="G1890" s="348" t="str">
        <f>"'"&amp;$C1890&amp;"'!$E$68:$Y$68"</f>
        <v>'BLD_EA'!$E$68:$Y$68</v>
      </c>
      <c r="H1890" s="381">
        <f ca="1">IF(IFERROR(INDEX(DATA_PROPERTY_MASTER!$E$5:$E$21,MATCH($C1890,DATA_PROPERTY_MASTER!$A$5:$A$21,0))="Yes",FALSE),IFERROR(INDEX(INDIRECT("'"&amp;$C1890&amp;"'!$E$68:$Y$68"),1,MATCH($D1890,INDIRECT("'"&amp;$C1890&amp;"'!$E$12:$Y$12"),0)),0),0)</f>
        <v>120058.32282172117</v>
      </c>
      <c r="I1890" s="366" t="s">
        <v>1731</v>
      </c>
      <c r="J1890" s="348" t="str">
        <f t="shared" ca="1" si="58"/>
        <v>OK</v>
      </c>
      <c r="K1890" s="366" t="s">
        <v>1746</v>
      </c>
      <c r="L1890" s="366" t="s">
        <v>2264</v>
      </c>
      <c r="M1890" s="350" t="str">
        <f>IF($B1890="Portfolio","Portfolio",IFERROR(INDEX(DATA_ASSET_CLASSIFICATION!$B$8:$B$24,MATCH($C1890,DATA_ASSET_CLASSIFICATION!$A$8:$A$24,0)),"Review"))</f>
        <v>Evergreen Apartments</v>
      </c>
      <c r="N1890" s="350" t="str">
        <f ca="1">IF($B1890="Portfolio","Portfolio",IFERROR(INDEX(DATA_ASSET_CLASSIFICATION!$U$8:$U$24,MATCH($C1890,DATA_ASSET_CLASSIFICATION!$A$8:$A$24,0)),"Review"))</f>
        <v>Refi Watch</v>
      </c>
      <c r="O1890" s="350" t="str">
        <f ca="1">IF($B1890="Portfolio","Portfolio",IFERROR(INDEX(DATA_ASSET_CLASSIFICATION!$AB$8:$AB$13,MATCH($N1890,DATA_ASSET_CLASSIFICATION!$AA$8:$AA$13,0)),"Review"))</f>
        <v>Bucket 2 · Legacy</v>
      </c>
      <c r="P1890" s="350" t="str">
        <f>IF($B1890="Portfolio","Portfolio",IFERROR(INDEX(DATA_ASSET_CLASSIFICATION!$C$8:$C$24,MATCH($C1890,DATA_ASSET_CLASSIFICATION!$A$8:$A$24,0)),"Review"))</f>
        <v>Yes</v>
      </c>
      <c r="Q1890" s="350" t="str">
        <f t="shared" ca="1" si="59"/>
        <v>OK</v>
      </c>
    </row>
    <row r="1891" spans="1:17" ht="30">
      <c r="A1891" s="366" t="s">
        <v>3847</v>
      </c>
      <c r="B1891" s="366" t="s">
        <v>231</v>
      </c>
      <c r="C1891" s="348" t="str">
        <f>DATA_PROPERTY_MASTER!$A$10</f>
        <v>BLD_EA</v>
      </c>
      <c r="D1891" s="380">
        <f>'00_PORTFOLIO ROLLUP'!M$12</f>
        <v>2033</v>
      </c>
      <c r="E1891" s="366" t="s">
        <v>1741</v>
      </c>
      <c r="F1891" s="366" t="s">
        <v>1749</v>
      </c>
      <c r="G1891" s="348" t="str">
        <f>"'"&amp;$C1891&amp;"'!rows 56, 63, 68"</f>
        <v>'BLD_EA'!rows 56, 63, 68</v>
      </c>
      <c r="H1891" s="381">
        <f ca="1">IF(IFERROR(INDEX(DATA_PROPERTY_MASTER!$E$5:$E$21,MATCH($C1891,DATA_PROPERTY_MASTER!$A$5:$A$21,0))="Yes",FALSE),(IFERROR(INDEX(INDIRECT("'"&amp;$C1891&amp;"'!$E$56:$Y$56"),1,MATCH($D1891,INDIRECT("'"&amp;$C1891&amp;"'!$E$12:$Y$12"),0)),0)+MAX(IFERROR(INDEX(INDIRECT("'"&amp;$C1891&amp;"'!$E$63:$Y$63"),1,MATCH($D1891,INDIRECT("'"&amp;$C1891&amp;"'!$E$12:$Y$12"),0)),0),0))-(IFERROR(INDEX(INDIRECT("'"&amp;$C1891&amp;"'!$E$68:$Y$68"),1,MATCH($D1891,INDIRECT("'"&amp;$C1891&amp;"'!$E$12:$Y$12"),0)),0)),0)</f>
        <v>0</v>
      </c>
      <c r="I1891" s="366" t="s">
        <v>1750</v>
      </c>
      <c r="J1891" s="348" t="str">
        <f t="shared" ca="1" si="58"/>
        <v>OK</v>
      </c>
      <c r="K1891" s="366" t="s">
        <v>1751</v>
      </c>
      <c r="L1891" s="366" t="s">
        <v>2266</v>
      </c>
      <c r="M1891" s="350" t="str">
        <f>IF($B1891="Portfolio","Portfolio",IFERROR(INDEX(DATA_ASSET_CLASSIFICATION!$B$8:$B$24,MATCH($C1891,DATA_ASSET_CLASSIFICATION!$A$8:$A$24,0)),"Review"))</f>
        <v>Evergreen Apartments</v>
      </c>
      <c r="N1891" s="350" t="str">
        <f ca="1">IF($B1891="Portfolio","Portfolio",IFERROR(INDEX(DATA_ASSET_CLASSIFICATION!$U$8:$U$24,MATCH($C1891,DATA_ASSET_CLASSIFICATION!$A$8:$A$24,0)),"Review"))</f>
        <v>Refi Watch</v>
      </c>
      <c r="O1891" s="350" t="str">
        <f ca="1">IF($B1891="Portfolio","Portfolio",IFERROR(INDEX(DATA_ASSET_CLASSIFICATION!$AB$8:$AB$13,MATCH($N1891,DATA_ASSET_CLASSIFICATION!$AA$8:$AA$13,0)),"Review"))</f>
        <v>Bucket 2 · Legacy</v>
      </c>
      <c r="P1891" s="350" t="str">
        <f>IF($B1891="Portfolio","Portfolio",IFERROR(INDEX(DATA_ASSET_CLASSIFICATION!$C$8:$C$24,MATCH($C1891,DATA_ASSET_CLASSIFICATION!$A$8:$A$24,0)),"Review"))</f>
        <v>Yes</v>
      </c>
      <c r="Q1891" s="350" t="str">
        <f t="shared" ca="1" si="59"/>
        <v>OK</v>
      </c>
    </row>
    <row r="1892" spans="1:17" ht="30">
      <c r="A1892" s="366" t="s">
        <v>3848</v>
      </c>
      <c r="B1892" s="366" t="s">
        <v>231</v>
      </c>
      <c r="C1892" s="348" t="str">
        <f>DATA_PROPERTY_MASTER!$A$10</f>
        <v>BLD_EA</v>
      </c>
      <c r="D1892" s="380">
        <f>'00_PORTFOLIO ROLLUP'!N$12</f>
        <v>2034</v>
      </c>
      <c r="E1892" s="366" t="s">
        <v>1683</v>
      </c>
      <c r="F1892" s="366" t="s">
        <v>341</v>
      </c>
      <c r="G1892" s="348" t="str">
        <f>"'"&amp;$C1892&amp;"'!$E$24:$Y$24"</f>
        <v>'BLD_EA'!$E$24:$Y$24</v>
      </c>
      <c r="H1892" s="381">
        <f ca="1">IF(IFERROR(INDEX(DATA_PROPERTY_MASTER!$E$5:$E$21,MATCH($C1892,DATA_PROPERTY_MASTER!$A$5:$A$21,0))="Yes",FALSE),IFERROR(INDEX(INDIRECT("'"&amp;$C1892&amp;"'!$E$24:$Y$24"),1,MATCH($D1892,INDIRECT("'"&amp;$C1892&amp;"'!$E$12:$Y$12"),0)),0),0)</f>
        <v>1187212.9576190582</v>
      </c>
      <c r="I1892" s="366" t="s">
        <v>1685</v>
      </c>
      <c r="J1892" s="348" t="str">
        <f t="shared" ca="1" si="58"/>
        <v>OK</v>
      </c>
      <c r="K1892" s="366" t="s">
        <v>1686</v>
      </c>
      <c r="L1892" s="366" t="s">
        <v>2234</v>
      </c>
      <c r="M1892" s="350" t="str">
        <f>IF($B1892="Portfolio","Portfolio",IFERROR(INDEX(DATA_ASSET_CLASSIFICATION!$B$8:$B$24,MATCH($C1892,DATA_ASSET_CLASSIFICATION!$A$8:$A$24,0)),"Review"))</f>
        <v>Evergreen Apartments</v>
      </c>
      <c r="N1892" s="350" t="str">
        <f ca="1">IF($B1892="Portfolio","Portfolio",IFERROR(INDEX(DATA_ASSET_CLASSIFICATION!$U$8:$U$24,MATCH($C1892,DATA_ASSET_CLASSIFICATION!$A$8:$A$24,0)),"Review"))</f>
        <v>Refi Watch</v>
      </c>
      <c r="O1892" s="350" t="str">
        <f ca="1">IF($B1892="Portfolio","Portfolio",IFERROR(INDEX(DATA_ASSET_CLASSIFICATION!$AB$8:$AB$13,MATCH($N1892,DATA_ASSET_CLASSIFICATION!$AA$8:$AA$13,0)),"Review"))</f>
        <v>Bucket 2 · Legacy</v>
      </c>
      <c r="P1892" s="350" t="str">
        <f>IF($B1892="Portfolio","Portfolio",IFERROR(INDEX(DATA_ASSET_CLASSIFICATION!$C$8:$C$24,MATCH($C1892,DATA_ASSET_CLASSIFICATION!$A$8:$A$24,0)),"Review"))</f>
        <v>Yes</v>
      </c>
      <c r="Q1892" s="350" t="str">
        <f t="shared" ca="1" si="59"/>
        <v>OK</v>
      </c>
    </row>
    <row r="1893" spans="1:17" ht="30">
      <c r="A1893" s="366" t="s">
        <v>3849</v>
      </c>
      <c r="B1893" s="366" t="s">
        <v>231</v>
      </c>
      <c r="C1893" s="348" t="str">
        <f>DATA_PROPERTY_MASTER!$A$10</f>
        <v>BLD_EA</v>
      </c>
      <c r="D1893" s="380">
        <f>'00_PORTFOLIO ROLLUP'!N$12</f>
        <v>2034</v>
      </c>
      <c r="E1893" s="366" t="s">
        <v>1683</v>
      </c>
      <c r="F1893" s="366" t="s">
        <v>355</v>
      </c>
      <c r="G1893" s="348" t="str">
        <f>"'"&amp;$C1893&amp;"'!$E$39:$Y$39"</f>
        <v>'BLD_EA'!$E$39:$Y$39</v>
      </c>
      <c r="H1893" s="381">
        <f ca="1">IF(IFERROR(INDEX(DATA_PROPERTY_MASTER!$E$5:$E$21,MATCH($C1893,DATA_PROPERTY_MASTER!$A$5:$A$21,0))="Yes",FALSE),IFERROR(INDEX(INDIRECT("'"&amp;$C1893&amp;"'!$E$39:$Y$39"),1,MATCH($D1893,INDIRECT("'"&amp;$C1893&amp;"'!$E$12:$Y$12"),0)),0),0)</f>
        <v>588586.40372609417</v>
      </c>
      <c r="I1893" s="366" t="s">
        <v>1690</v>
      </c>
      <c r="J1893" s="348" t="str">
        <f t="shared" ca="1" si="58"/>
        <v>OK</v>
      </c>
      <c r="K1893" s="366" t="s">
        <v>1686</v>
      </c>
      <c r="L1893" s="366" t="s">
        <v>2236</v>
      </c>
      <c r="M1893" s="350" t="str">
        <f>IF($B1893="Portfolio","Portfolio",IFERROR(INDEX(DATA_ASSET_CLASSIFICATION!$B$8:$B$24,MATCH($C1893,DATA_ASSET_CLASSIFICATION!$A$8:$A$24,0)),"Review"))</f>
        <v>Evergreen Apartments</v>
      </c>
      <c r="N1893" s="350" t="str">
        <f ca="1">IF($B1893="Portfolio","Portfolio",IFERROR(INDEX(DATA_ASSET_CLASSIFICATION!$U$8:$U$24,MATCH($C1893,DATA_ASSET_CLASSIFICATION!$A$8:$A$24,0)),"Review"))</f>
        <v>Refi Watch</v>
      </c>
      <c r="O1893" s="350" t="str">
        <f ca="1">IF($B1893="Portfolio","Portfolio",IFERROR(INDEX(DATA_ASSET_CLASSIFICATION!$AB$8:$AB$13,MATCH($N1893,DATA_ASSET_CLASSIFICATION!$AA$8:$AA$13,0)),"Review"))</f>
        <v>Bucket 2 · Legacy</v>
      </c>
      <c r="P1893" s="350" t="str">
        <f>IF($B1893="Portfolio","Portfolio",IFERROR(INDEX(DATA_ASSET_CLASSIFICATION!$C$8:$C$24,MATCH($C1893,DATA_ASSET_CLASSIFICATION!$A$8:$A$24,0)),"Review"))</f>
        <v>Yes</v>
      </c>
      <c r="Q1893" s="350" t="str">
        <f t="shared" ca="1" si="59"/>
        <v>OK</v>
      </c>
    </row>
    <row r="1894" spans="1:17" ht="30">
      <c r="A1894" s="366" t="s">
        <v>3850</v>
      </c>
      <c r="B1894" s="366" t="s">
        <v>231</v>
      </c>
      <c r="C1894" s="348" t="str">
        <f>DATA_PROPERTY_MASTER!$A$10</f>
        <v>BLD_EA</v>
      </c>
      <c r="D1894" s="380">
        <f>'00_PORTFOLIO ROLLUP'!N$12</f>
        <v>2034</v>
      </c>
      <c r="E1894" s="366" t="s">
        <v>1683</v>
      </c>
      <c r="F1894" s="366" t="s">
        <v>19</v>
      </c>
      <c r="G1894" s="348" t="str">
        <f>"'"&amp;$C1894&amp;"'!$E$41:$Y$41"</f>
        <v>'BLD_EA'!$E$41:$Y$41</v>
      </c>
      <c r="H1894" s="381">
        <f ca="1">IF(IFERROR(INDEX(DATA_PROPERTY_MASTER!$E$5:$E$21,MATCH($C1894,DATA_PROPERTY_MASTER!$A$5:$A$21,0))="Yes",FALSE),IFERROR(INDEX(INDIRECT("'"&amp;$C1894&amp;"'!$E$41:$Y$41"),1,MATCH($D1894,INDIRECT("'"&amp;$C1894&amp;"'!$E$12:$Y$12"),0)),0),0)</f>
        <v>598626.55389296403</v>
      </c>
      <c r="I1894" s="366" t="s">
        <v>1685</v>
      </c>
      <c r="J1894" s="348" t="str">
        <f t="shared" ca="1" si="58"/>
        <v>OK</v>
      </c>
      <c r="K1894" s="366" t="s">
        <v>1694</v>
      </c>
      <c r="L1894" s="366" t="s">
        <v>2238</v>
      </c>
      <c r="M1894" s="350" t="str">
        <f>IF($B1894="Portfolio","Portfolio",IFERROR(INDEX(DATA_ASSET_CLASSIFICATION!$B$8:$B$24,MATCH($C1894,DATA_ASSET_CLASSIFICATION!$A$8:$A$24,0)),"Review"))</f>
        <v>Evergreen Apartments</v>
      </c>
      <c r="N1894" s="350" t="str">
        <f ca="1">IF($B1894="Portfolio","Portfolio",IFERROR(INDEX(DATA_ASSET_CLASSIFICATION!$U$8:$U$24,MATCH($C1894,DATA_ASSET_CLASSIFICATION!$A$8:$A$24,0)),"Review"))</f>
        <v>Refi Watch</v>
      </c>
      <c r="O1894" s="350" t="str">
        <f ca="1">IF($B1894="Portfolio","Portfolio",IFERROR(INDEX(DATA_ASSET_CLASSIFICATION!$AB$8:$AB$13,MATCH($N1894,DATA_ASSET_CLASSIFICATION!$AA$8:$AA$13,0)),"Review"))</f>
        <v>Bucket 2 · Legacy</v>
      </c>
      <c r="P1894" s="350" t="str">
        <f>IF($B1894="Portfolio","Portfolio",IFERROR(INDEX(DATA_ASSET_CLASSIFICATION!$C$8:$C$24,MATCH($C1894,DATA_ASSET_CLASSIFICATION!$A$8:$A$24,0)),"Review"))</f>
        <v>Yes</v>
      </c>
      <c r="Q1894" s="350" t="str">
        <f t="shared" ca="1" si="59"/>
        <v>OK</v>
      </c>
    </row>
    <row r="1895" spans="1:17" ht="30">
      <c r="A1895" s="366" t="s">
        <v>3851</v>
      </c>
      <c r="B1895" s="366" t="s">
        <v>231</v>
      </c>
      <c r="C1895" s="348" t="str">
        <f>DATA_PROPERTY_MASTER!$A$10</f>
        <v>BLD_EA</v>
      </c>
      <c r="D1895" s="380">
        <f>'00_PORTFOLIO ROLLUP'!N$12</f>
        <v>2034</v>
      </c>
      <c r="E1895" s="366" t="s">
        <v>1683</v>
      </c>
      <c r="F1895" s="366" t="s">
        <v>1697</v>
      </c>
      <c r="G1895" s="348" t="str">
        <f>"'"&amp;$C1895&amp;"'!$E$44:$Y$44"</f>
        <v>'BLD_EA'!$E$44:$Y$44</v>
      </c>
      <c r="H1895" s="381">
        <f ca="1">IF(IFERROR(INDEX(DATA_PROPERTY_MASTER!$E$5:$E$21,MATCH($C1895,DATA_PROPERTY_MASTER!$A$5:$A$21,0))="Yes",FALSE),IFERROR(INDEX(INDIRECT("'"&amp;$C1895&amp;"'!$E$44:$Y$44"),1,MATCH($D1895,INDIRECT("'"&amp;$C1895&amp;"'!$E$12:$Y$12"),0)),0),0)</f>
        <v>10935.097002894145</v>
      </c>
      <c r="I1895" s="366" t="s">
        <v>1690</v>
      </c>
      <c r="J1895" s="348" t="str">
        <f t="shared" ca="1" si="58"/>
        <v>OK</v>
      </c>
      <c r="K1895" s="366" t="s">
        <v>1699</v>
      </c>
      <c r="L1895" s="366" t="s">
        <v>2240</v>
      </c>
      <c r="M1895" s="350" t="str">
        <f>IF($B1895="Portfolio","Portfolio",IFERROR(INDEX(DATA_ASSET_CLASSIFICATION!$B$8:$B$24,MATCH($C1895,DATA_ASSET_CLASSIFICATION!$A$8:$A$24,0)),"Review"))</f>
        <v>Evergreen Apartments</v>
      </c>
      <c r="N1895" s="350" t="str">
        <f ca="1">IF($B1895="Portfolio","Portfolio",IFERROR(INDEX(DATA_ASSET_CLASSIFICATION!$U$8:$U$24,MATCH($C1895,DATA_ASSET_CLASSIFICATION!$A$8:$A$24,0)),"Review"))</f>
        <v>Refi Watch</v>
      </c>
      <c r="O1895" s="350" t="str">
        <f ca="1">IF($B1895="Portfolio","Portfolio",IFERROR(INDEX(DATA_ASSET_CLASSIFICATION!$AB$8:$AB$13,MATCH($N1895,DATA_ASSET_CLASSIFICATION!$AA$8:$AA$13,0)),"Review"))</f>
        <v>Bucket 2 · Legacy</v>
      </c>
      <c r="P1895" s="350" t="str">
        <f>IF($B1895="Portfolio","Portfolio",IFERROR(INDEX(DATA_ASSET_CLASSIFICATION!$C$8:$C$24,MATCH($C1895,DATA_ASSET_CLASSIFICATION!$A$8:$A$24,0)),"Review"))</f>
        <v>Yes</v>
      </c>
      <c r="Q1895" s="350" t="str">
        <f t="shared" ca="1" si="59"/>
        <v>OK</v>
      </c>
    </row>
    <row r="1896" spans="1:17" ht="30">
      <c r="A1896" s="366" t="s">
        <v>3852</v>
      </c>
      <c r="B1896" s="366" t="s">
        <v>231</v>
      </c>
      <c r="C1896" s="348" t="str">
        <f>DATA_PROPERTY_MASTER!$A$10</f>
        <v>BLD_EA</v>
      </c>
      <c r="D1896" s="380">
        <f>'00_PORTFOLIO ROLLUP'!N$12</f>
        <v>2034</v>
      </c>
      <c r="E1896" s="366" t="s">
        <v>1683</v>
      </c>
      <c r="F1896" s="366" t="s">
        <v>21</v>
      </c>
      <c r="G1896" s="348" t="str">
        <f>"'"&amp;$C1896&amp;"'!$E$45:$Y$45"</f>
        <v>'BLD_EA'!$E$45:$Y$45</v>
      </c>
      <c r="H1896" s="381">
        <f ca="1">IF(IFERROR(INDEX(DATA_PROPERTY_MASTER!$E$5:$E$21,MATCH($C1896,DATA_PROPERTY_MASTER!$A$5:$A$21,0))="Yes",FALSE),IFERROR(INDEX(INDIRECT("'"&amp;$C1896&amp;"'!$E$45:$Y$45"),1,MATCH($D1896,INDIRECT("'"&amp;$C1896&amp;"'!$E$12:$Y$12"),0)),0),0)</f>
        <v>587691.45689006988</v>
      </c>
      <c r="I1896" s="366" t="s">
        <v>1685</v>
      </c>
      <c r="J1896" s="348" t="str">
        <f t="shared" ca="1" si="58"/>
        <v>OK</v>
      </c>
      <c r="K1896" s="366" t="s">
        <v>1694</v>
      </c>
      <c r="L1896" s="366" t="s">
        <v>2242</v>
      </c>
      <c r="M1896" s="350" t="str">
        <f>IF($B1896="Portfolio","Portfolio",IFERROR(INDEX(DATA_ASSET_CLASSIFICATION!$B$8:$B$24,MATCH($C1896,DATA_ASSET_CLASSIFICATION!$A$8:$A$24,0)),"Review"))</f>
        <v>Evergreen Apartments</v>
      </c>
      <c r="N1896" s="350" t="str">
        <f ca="1">IF($B1896="Portfolio","Portfolio",IFERROR(INDEX(DATA_ASSET_CLASSIFICATION!$U$8:$U$24,MATCH($C1896,DATA_ASSET_CLASSIFICATION!$A$8:$A$24,0)),"Review"))</f>
        <v>Refi Watch</v>
      </c>
      <c r="O1896" s="350" t="str">
        <f ca="1">IF($B1896="Portfolio","Portfolio",IFERROR(INDEX(DATA_ASSET_CLASSIFICATION!$AB$8:$AB$13,MATCH($N1896,DATA_ASSET_CLASSIFICATION!$AA$8:$AA$13,0)),"Review"))</f>
        <v>Bucket 2 · Legacy</v>
      </c>
      <c r="P1896" s="350" t="str">
        <f>IF($B1896="Portfolio","Portfolio",IFERROR(INDEX(DATA_ASSET_CLASSIFICATION!$C$8:$C$24,MATCH($C1896,DATA_ASSET_CLASSIFICATION!$A$8:$A$24,0)),"Review"))</f>
        <v>Yes</v>
      </c>
      <c r="Q1896" s="350" t="str">
        <f t="shared" ca="1" si="59"/>
        <v>OK</v>
      </c>
    </row>
    <row r="1897" spans="1:17" ht="30">
      <c r="A1897" s="366" t="s">
        <v>3853</v>
      </c>
      <c r="B1897" s="366" t="s">
        <v>231</v>
      </c>
      <c r="C1897" s="348" t="str">
        <f>DATA_PROPERTY_MASTER!$A$10</f>
        <v>BLD_EA</v>
      </c>
      <c r="D1897" s="380">
        <f>'00_PORTFOLIO ROLLUP'!N$12</f>
        <v>2034</v>
      </c>
      <c r="E1897" s="366" t="s">
        <v>23</v>
      </c>
      <c r="F1897" s="366" t="s">
        <v>23</v>
      </c>
      <c r="G1897" s="348" t="str">
        <f>"'"&amp;$C1897&amp;"'!$E$48:$Y$48"</f>
        <v>'BLD_EA'!$E$48:$Y$48</v>
      </c>
      <c r="H1897" s="381">
        <f ca="1">IF(IFERROR(INDEX(DATA_PROPERTY_MASTER!$E$5:$E$21,MATCH($C1897,DATA_PROPERTY_MASTER!$A$5:$A$21,0))="Yes",FALSE),IFERROR(INDEX(INDIRECT("'"&amp;$C1897&amp;"'!$E$48:$Y$48"),1,MATCH($D1897,INDIRECT("'"&amp;$C1897&amp;"'!$E$12:$Y$12"),0)),0),0)</f>
        <v>297840</v>
      </c>
      <c r="I1897" s="366" t="s">
        <v>1690</v>
      </c>
      <c r="J1897" s="348" t="str">
        <f t="shared" ca="1" si="58"/>
        <v>OK</v>
      </c>
      <c r="K1897" s="366" t="s">
        <v>1706</v>
      </c>
      <c r="L1897" s="366" t="s">
        <v>2244</v>
      </c>
      <c r="M1897" s="350" t="str">
        <f>IF($B1897="Portfolio","Portfolio",IFERROR(INDEX(DATA_ASSET_CLASSIFICATION!$B$8:$B$24,MATCH($C1897,DATA_ASSET_CLASSIFICATION!$A$8:$A$24,0)),"Review"))</f>
        <v>Evergreen Apartments</v>
      </c>
      <c r="N1897" s="350" t="str">
        <f ca="1">IF($B1897="Portfolio","Portfolio",IFERROR(INDEX(DATA_ASSET_CLASSIFICATION!$U$8:$U$24,MATCH($C1897,DATA_ASSET_CLASSIFICATION!$A$8:$A$24,0)),"Review"))</f>
        <v>Refi Watch</v>
      </c>
      <c r="O1897" s="350" t="str">
        <f ca="1">IF($B1897="Portfolio","Portfolio",IFERROR(INDEX(DATA_ASSET_CLASSIFICATION!$AB$8:$AB$13,MATCH($N1897,DATA_ASSET_CLASSIFICATION!$AA$8:$AA$13,0)),"Review"))</f>
        <v>Bucket 2 · Legacy</v>
      </c>
      <c r="P1897" s="350" t="str">
        <f>IF($B1897="Portfolio","Portfolio",IFERROR(INDEX(DATA_ASSET_CLASSIFICATION!$C$8:$C$24,MATCH($C1897,DATA_ASSET_CLASSIFICATION!$A$8:$A$24,0)),"Review"))</f>
        <v>Yes</v>
      </c>
      <c r="Q1897" s="350" t="str">
        <f t="shared" ca="1" si="59"/>
        <v>OK</v>
      </c>
    </row>
    <row r="1898" spans="1:17" ht="30">
      <c r="A1898" s="366" t="s">
        <v>3854</v>
      </c>
      <c r="B1898" s="366" t="s">
        <v>231</v>
      </c>
      <c r="C1898" s="348" t="str">
        <f>DATA_PROPERTY_MASTER!$A$10</f>
        <v>BLD_EA</v>
      </c>
      <c r="D1898" s="380">
        <f>'00_PORTFOLIO ROLLUP'!N$12</f>
        <v>2034</v>
      </c>
      <c r="E1898" s="366" t="s">
        <v>1683</v>
      </c>
      <c r="F1898" s="366" t="s">
        <v>25</v>
      </c>
      <c r="G1898" s="348" t="str">
        <f>"'"&amp;$C1898&amp;"'!$E$52:$Y$52"</f>
        <v>'BLD_EA'!$E$52:$Y$52</v>
      </c>
      <c r="H1898" s="381">
        <f ca="1">IF(IFERROR(INDEX(DATA_PROPERTY_MASTER!$E$5:$E$21,MATCH($C1898,DATA_PROPERTY_MASTER!$A$5:$A$21,0))="Yes",FALSE),IFERROR(INDEX(INDIRECT("'"&amp;$C1898&amp;"'!$E$52:$Y$52"),1,MATCH($D1898,INDIRECT("'"&amp;$C1898&amp;"'!$E$12:$Y$12"),0)),0),0)</f>
        <v>300786.55389296403</v>
      </c>
      <c r="I1898" s="366" t="s">
        <v>1685</v>
      </c>
      <c r="J1898" s="348" t="str">
        <f t="shared" ca="1" si="58"/>
        <v>OK</v>
      </c>
      <c r="K1898" s="366" t="s">
        <v>1710</v>
      </c>
      <c r="L1898" s="366" t="s">
        <v>2246</v>
      </c>
      <c r="M1898" s="350" t="str">
        <f>IF($B1898="Portfolio","Portfolio",IFERROR(INDEX(DATA_ASSET_CLASSIFICATION!$B$8:$B$24,MATCH($C1898,DATA_ASSET_CLASSIFICATION!$A$8:$A$24,0)),"Review"))</f>
        <v>Evergreen Apartments</v>
      </c>
      <c r="N1898" s="350" t="str">
        <f ca="1">IF($B1898="Portfolio","Portfolio",IFERROR(INDEX(DATA_ASSET_CLASSIFICATION!$U$8:$U$24,MATCH($C1898,DATA_ASSET_CLASSIFICATION!$A$8:$A$24,0)),"Review"))</f>
        <v>Refi Watch</v>
      </c>
      <c r="O1898" s="350" t="str">
        <f ca="1">IF($B1898="Portfolio","Portfolio",IFERROR(INDEX(DATA_ASSET_CLASSIFICATION!$AB$8:$AB$13,MATCH($N1898,DATA_ASSET_CLASSIFICATION!$AA$8:$AA$13,0)),"Review"))</f>
        <v>Bucket 2 · Legacy</v>
      </c>
      <c r="P1898" s="350" t="str">
        <f>IF($B1898="Portfolio","Portfolio",IFERROR(INDEX(DATA_ASSET_CLASSIFICATION!$C$8:$C$24,MATCH($C1898,DATA_ASSET_CLASSIFICATION!$A$8:$A$24,0)),"Review"))</f>
        <v>Yes</v>
      </c>
      <c r="Q1898" s="350" t="str">
        <f t="shared" ca="1" si="59"/>
        <v>OK</v>
      </c>
    </row>
    <row r="1899" spans="1:17" ht="30">
      <c r="A1899" s="366" t="s">
        <v>3855</v>
      </c>
      <c r="B1899" s="366" t="s">
        <v>231</v>
      </c>
      <c r="C1899" s="348" t="str">
        <f>DATA_PROPERTY_MASTER!$A$10</f>
        <v>BLD_EA</v>
      </c>
      <c r="D1899" s="380">
        <f>'00_PORTFOLIO ROLLUP'!N$12</f>
        <v>2034</v>
      </c>
      <c r="E1899" s="366" t="s">
        <v>1683</v>
      </c>
      <c r="F1899" s="366" t="s">
        <v>27</v>
      </c>
      <c r="G1899" s="348" t="str">
        <f>"'"&amp;$C1899&amp;"'!$E$54:$Y$54"</f>
        <v>'BLD_EA'!$E$54:$Y$54</v>
      </c>
      <c r="H1899" s="381">
        <f ca="1">IF(IFERROR(INDEX(DATA_PROPERTY_MASTER!$E$5:$E$21,MATCH($C1899,DATA_PROPERTY_MASTER!$A$5:$A$21,0))="Yes",FALSE),IFERROR(INDEX(INDIRECT("'"&amp;$C1899&amp;"'!$E$54:$Y$54"),1,MATCH($D1899,INDIRECT("'"&amp;$C1899&amp;"'!$E$12:$Y$12"),0)),0),0)</f>
        <v>180471.9323357784</v>
      </c>
      <c r="I1899" s="366" t="s">
        <v>1690</v>
      </c>
      <c r="J1899" s="348" t="str">
        <f t="shared" ca="1" si="58"/>
        <v>OK</v>
      </c>
      <c r="K1899" s="366" t="s">
        <v>1714</v>
      </c>
      <c r="L1899" s="366" t="s">
        <v>2248</v>
      </c>
      <c r="M1899" s="350" t="str">
        <f>IF($B1899="Portfolio","Portfolio",IFERROR(INDEX(DATA_ASSET_CLASSIFICATION!$B$8:$B$24,MATCH($C1899,DATA_ASSET_CLASSIFICATION!$A$8:$A$24,0)),"Review"))</f>
        <v>Evergreen Apartments</v>
      </c>
      <c r="N1899" s="350" t="str">
        <f ca="1">IF($B1899="Portfolio","Portfolio",IFERROR(INDEX(DATA_ASSET_CLASSIFICATION!$U$8:$U$24,MATCH($C1899,DATA_ASSET_CLASSIFICATION!$A$8:$A$24,0)),"Review"))</f>
        <v>Refi Watch</v>
      </c>
      <c r="O1899" s="350" t="str">
        <f ca="1">IF($B1899="Portfolio","Portfolio",IFERROR(INDEX(DATA_ASSET_CLASSIFICATION!$AB$8:$AB$13,MATCH($N1899,DATA_ASSET_CLASSIFICATION!$AA$8:$AA$13,0)),"Review"))</f>
        <v>Bucket 2 · Legacy</v>
      </c>
      <c r="P1899" s="350" t="str">
        <f>IF($B1899="Portfolio","Portfolio",IFERROR(INDEX(DATA_ASSET_CLASSIFICATION!$C$8:$C$24,MATCH($C1899,DATA_ASSET_CLASSIFICATION!$A$8:$A$24,0)),"Review"))</f>
        <v>Yes</v>
      </c>
      <c r="Q1899" s="350" t="str">
        <f t="shared" ca="1" si="59"/>
        <v>OK</v>
      </c>
    </row>
    <row r="1900" spans="1:17" ht="30">
      <c r="A1900" s="366" t="s">
        <v>3856</v>
      </c>
      <c r="B1900" s="366" t="s">
        <v>231</v>
      </c>
      <c r="C1900" s="348" t="str">
        <f>DATA_PROPERTY_MASTER!$A$10</f>
        <v>BLD_EA</v>
      </c>
      <c r="D1900" s="380">
        <f>'00_PORTFOLIO ROLLUP'!N$12</f>
        <v>2034</v>
      </c>
      <c r="E1900" s="366" t="s">
        <v>1683</v>
      </c>
      <c r="F1900" s="366" t="s">
        <v>29</v>
      </c>
      <c r="G1900" s="348" t="str">
        <f>"'"&amp;$C1900&amp;"'!$E$56:$Y$56"</f>
        <v>'BLD_EA'!$E$56:$Y$56</v>
      </c>
      <c r="H1900" s="381">
        <f ca="1">IF(IFERROR(INDEX(DATA_PROPERTY_MASTER!$E$5:$E$21,MATCH($C1900,DATA_PROPERTY_MASTER!$A$5:$A$21,0))="Yes",FALSE),IFERROR(INDEX(INDIRECT("'"&amp;$C1900&amp;"'!$E$56:$Y$56"),1,MATCH($D1900,INDIRECT("'"&amp;$C1900&amp;"'!$E$12:$Y$12"),0)),0),0)</f>
        <v>120314.62155718563</v>
      </c>
      <c r="I1900" s="366" t="s">
        <v>1685</v>
      </c>
      <c r="J1900" s="348" t="str">
        <f t="shared" ca="1" si="58"/>
        <v>OK</v>
      </c>
      <c r="K1900" s="366" t="s">
        <v>1718</v>
      </c>
      <c r="L1900" s="366" t="s">
        <v>2250</v>
      </c>
      <c r="M1900" s="350" t="str">
        <f>IF($B1900="Portfolio","Portfolio",IFERROR(INDEX(DATA_ASSET_CLASSIFICATION!$B$8:$B$24,MATCH($C1900,DATA_ASSET_CLASSIFICATION!$A$8:$A$24,0)),"Review"))</f>
        <v>Evergreen Apartments</v>
      </c>
      <c r="N1900" s="350" t="str">
        <f ca="1">IF($B1900="Portfolio","Portfolio",IFERROR(INDEX(DATA_ASSET_CLASSIFICATION!$U$8:$U$24,MATCH($C1900,DATA_ASSET_CLASSIFICATION!$A$8:$A$24,0)),"Review"))</f>
        <v>Refi Watch</v>
      </c>
      <c r="O1900" s="350" t="str">
        <f ca="1">IF($B1900="Portfolio","Portfolio",IFERROR(INDEX(DATA_ASSET_CLASSIFICATION!$AB$8:$AB$13,MATCH($N1900,DATA_ASSET_CLASSIFICATION!$AA$8:$AA$13,0)),"Review"))</f>
        <v>Bucket 2 · Legacy</v>
      </c>
      <c r="P1900" s="350" t="str">
        <f>IF($B1900="Portfolio","Portfolio",IFERROR(INDEX(DATA_ASSET_CLASSIFICATION!$C$8:$C$24,MATCH($C1900,DATA_ASSET_CLASSIFICATION!$A$8:$A$24,0)),"Review"))</f>
        <v>Yes</v>
      </c>
      <c r="Q1900" s="350" t="str">
        <f t="shared" ca="1" si="59"/>
        <v>OK</v>
      </c>
    </row>
    <row r="1901" spans="1:17" ht="30">
      <c r="A1901" s="366" t="s">
        <v>3857</v>
      </c>
      <c r="B1901" s="366" t="s">
        <v>231</v>
      </c>
      <c r="C1901" s="348" t="str">
        <f>DATA_PROPERTY_MASTER!$A$10</f>
        <v>BLD_EA</v>
      </c>
      <c r="D1901" s="380">
        <f>'00_PORTFOLIO ROLLUP'!N$12</f>
        <v>2034</v>
      </c>
      <c r="E1901" s="366" t="s">
        <v>1721</v>
      </c>
      <c r="F1901" s="366" t="s">
        <v>31</v>
      </c>
      <c r="G1901" s="348" t="str">
        <f>"'"&amp;$C1901&amp;"'!$E$61:$Y$61"</f>
        <v>'BLD_EA'!$E$61:$Y$61</v>
      </c>
      <c r="H1901" s="381">
        <f ca="1">IF(IFERROR(INDEX(DATA_PROPERTY_MASTER!$E$5:$E$21,MATCH($C1901,DATA_PROPERTY_MASTER!$A$5:$A$21,0))="Yes",FALSE),IFERROR(INDEX(INDIRECT("'"&amp;$C1901&amp;"'!$E$61:$Y$61"),1,MATCH($D1901,INDIRECT("'"&amp;$C1901&amp;"'!$E$12:$Y$12"),0)),0),0)</f>
        <v>-4659801.6325927479</v>
      </c>
      <c r="I1901" s="366" t="s">
        <v>1690</v>
      </c>
      <c r="J1901" s="348" t="str">
        <f t="shared" ca="1" si="58"/>
        <v>OK</v>
      </c>
      <c r="K1901" s="366" t="s">
        <v>1723</v>
      </c>
      <c r="L1901" s="366" t="s">
        <v>2252</v>
      </c>
      <c r="M1901" s="350" t="str">
        <f>IF($B1901="Portfolio","Portfolio",IFERROR(INDEX(DATA_ASSET_CLASSIFICATION!$B$8:$B$24,MATCH($C1901,DATA_ASSET_CLASSIFICATION!$A$8:$A$24,0)),"Review"))</f>
        <v>Evergreen Apartments</v>
      </c>
      <c r="N1901" s="350" t="str">
        <f ca="1">IF($B1901="Portfolio","Portfolio",IFERROR(INDEX(DATA_ASSET_CLASSIFICATION!$U$8:$U$24,MATCH($C1901,DATA_ASSET_CLASSIFICATION!$A$8:$A$24,0)),"Review"))</f>
        <v>Refi Watch</v>
      </c>
      <c r="O1901" s="350" t="str">
        <f ca="1">IF($B1901="Portfolio","Portfolio",IFERROR(INDEX(DATA_ASSET_CLASSIFICATION!$AB$8:$AB$13,MATCH($N1901,DATA_ASSET_CLASSIFICATION!$AA$8:$AA$13,0)),"Review"))</f>
        <v>Bucket 2 · Legacy</v>
      </c>
      <c r="P1901" s="350" t="str">
        <f>IF($B1901="Portfolio","Portfolio",IFERROR(INDEX(DATA_ASSET_CLASSIFICATION!$C$8:$C$24,MATCH($C1901,DATA_ASSET_CLASSIFICATION!$A$8:$A$24,0)),"Review"))</f>
        <v>Yes</v>
      </c>
      <c r="Q1901" s="350" t="str">
        <f t="shared" ca="1" si="59"/>
        <v>OK</v>
      </c>
    </row>
    <row r="1902" spans="1:17" ht="30">
      <c r="A1902" s="366" t="s">
        <v>3858</v>
      </c>
      <c r="B1902" s="366" t="s">
        <v>231</v>
      </c>
      <c r="C1902" s="348" t="str">
        <f>DATA_PROPERTY_MASTER!$A$10</f>
        <v>BLD_EA</v>
      </c>
      <c r="D1902" s="380">
        <f>'00_PORTFOLIO ROLLUP'!N$12</f>
        <v>2034</v>
      </c>
      <c r="E1902" s="366" t="s">
        <v>1721</v>
      </c>
      <c r="F1902" s="366" t="s">
        <v>33</v>
      </c>
      <c r="G1902" s="348" t="str">
        <f>"'"&amp;$C1902&amp;"'!$E$62:$Y$62"</f>
        <v>'BLD_EA'!$E$62:$Y$62</v>
      </c>
      <c r="H1902" s="381">
        <f ca="1">IF(IFERROR(INDEX(DATA_PROPERTY_MASTER!$E$5:$E$21,MATCH($C1902,DATA_PROPERTY_MASTER!$A$5:$A$21,0))="Yes",FALSE),IFERROR(INDEX(INDIRECT("'"&amp;$C1902&amp;"'!$E$62:$Y$62"),1,MATCH($D1902,INDIRECT("'"&amp;$C1902&amp;"'!$E$12:$Y$12"),0)),0),0)</f>
        <v>7482831.9236620506</v>
      </c>
      <c r="I1902" s="366" t="s">
        <v>1685</v>
      </c>
      <c r="J1902" s="348" t="str">
        <f t="shared" ca="1" si="58"/>
        <v>OK</v>
      </c>
      <c r="K1902" s="366" t="s">
        <v>1727</v>
      </c>
      <c r="L1902" s="366" t="s">
        <v>2254</v>
      </c>
      <c r="M1902" s="350" t="str">
        <f>IF($B1902="Portfolio","Portfolio",IFERROR(INDEX(DATA_ASSET_CLASSIFICATION!$B$8:$B$24,MATCH($C1902,DATA_ASSET_CLASSIFICATION!$A$8:$A$24,0)),"Review"))</f>
        <v>Evergreen Apartments</v>
      </c>
      <c r="N1902" s="350" t="str">
        <f ca="1">IF($B1902="Portfolio","Portfolio",IFERROR(INDEX(DATA_ASSET_CLASSIFICATION!$U$8:$U$24,MATCH($C1902,DATA_ASSET_CLASSIFICATION!$A$8:$A$24,0)),"Review"))</f>
        <v>Refi Watch</v>
      </c>
      <c r="O1902" s="350" t="str">
        <f ca="1">IF($B1902="Portfolio","Portfolio",IFERROR(INDEX(DATA_ASSET_CLASSIFICATION!$AB$8:$AB$13,MATCH($N1902,DATA_ASSET_CLASSIFICATION!$AA$8:$AA$13,0)),"Review"))</f>
        <v>Bucket 2 · Legacy</v>
      </c>
      <c r="P1902" s="350" t="str">
        <f>IF($B1902="Portfolio","Portfolio",IFERROR(INDEX(DATA_ASSET_CLASSIFICATION!$C$8:$C$24,MATCH($C1902,DATA_ASSET_CLASSIFICATION!$A$8:$A$24,0)),"Review"))</f>
        <v>Yes</v>
      </c>
      <c r="Q1902" s="350" t="str">
        <f t="shared" ca="1" si="59"/>
        <v>OK</v>
      </c>
    </row>
    <row r="1903" spans="1:17" ht="30">
      <c r="A1903" s="366" t="s">
        <v>3859</v>
      </c>
      <c r="B1903" s="366" t="s">
        <v>231</v>
      </c>
      <c r="C1903" s="348" t="str">
        <f>DATA_PROPERTY_MASTER!$A$10</f>
        <v>BLD_EA</v>
      </c>
      <c r="D1903" s="380">
        <f>'00_PORTFOLIO ROLLUP'!N$12</f>
        <v>2034</v>
      </c>
      <c r="E1903" s="366" t="s">
        <v>1721</v>
      </c>
      <c r="F1903" s="366" t="s">
        <v>35</v>
      </c>
      <c r="G1903" s="348" t="str">
        <f>"'"&amp;$C1903&amp;"'!$E$63:$Y$63"</f>
        <v>'BLD_EA'!$E$63:$Y$63</v>
      </c>
      <c r="H1903" s="381">
        <f ca="1">IF(IFERROR(INDEX(DATA_PROPERTY_MASTER!$E$5:$E$21,MATCH($C1903,DATA_PROPERTY_MASTER!$A$5:$A$21,0))="Yes",FALSE),IFERROR(INDEX(INDIRECT("'"&amp;$C1903&amp;"'!$E$63:$Y$63"),1,MATCH($D1903,INDIRECT("'"&amp;$C1903&amp;"'!$E$12:$Y$12"),0)),0),0)</f>
        <v>2823030.2910693027</v>
      </c>
      <c r="I1903" s="366" t="s">
        <v>1731</v>
      </c>
      <c r="J1903" s="348" t="str">
        <f t="shared" ca="1" si="58"/>
        <v>OK</v>
      </c>
      <c r="K1903" s="366" t="s">
        <v>1732</v>
      </c>
      <c r="L1903" s="366" t="s">
        <v>2256</v>
      </c>
      <c r="M1903" s="350" t="str">
        <f>IF($B1903="Portfolio","Portfolio",IFERROR(INDEX(DATA_ASSET_CLASSIFICATION!$B$8:$B$24,MATCH($C1903,DATA_ASSET_CLASSIFICATION!$A$8:$A$24,0)),"Review"))</f>
        <v>Evergreen Apartments</v>
      </c>
      <c r="N1903" s="350" t="str">
        <f ca="1">IF($B1903="Portfolio","Portfolio",IFERROR(INDEX(DATA_ASSET_CLASSIFICATION!$U$8:$U$24,MATCH($C1903,DATA_ASSET_CLASSIFICATION!$A$8:$A$24,0)),"Review"))</f>
        <v>Refi Watch</v>
      </c>
      <c r="O1903" s="350" t="str">
        <f ca="1">IF($B1903="Portfolio","Portfolio",IFERROR(INDEX(DATA_ASSET_CLASSIFICATION!$AB$8:$AB$13,MATCH($N1903,DATA_ASSET_CLASSIFICATION!$AA$8:$AA$13,0)),"Review"))</f>
        <v>Bucket 2 · Legacy</v>
      </c>
      <c r="P1903" s="350" t="str">
        <f>IF($B1903="Portfolio","Portfolio",IFERROR(INDEX(DATA_ASSET_CLASSIFICATION!$C$8:$C$24,MATCH($C1903,DATA_ASSET_CLASSIFICATION!$A$8:$A$24,0)),"Review"))</f>
        <v>Yes</v>
      </c>
      <c r="Q1903" s="350" t="str">
        <f t="shared" ca="1" si="59"/>
        <v>OK</v>
      </c>
    </row>
    <row r="1904" spans="1:17" ht="30">
      <c r="A1904" s="366" t="s">
        <v>3860</v>
      </c>
      <c r="B1904" s="366" t="s">
        <v>231</v>
      </c>
      <c r="C1904" s="348" t="str">
        <f>DATA_PROPERTY_MASTER!$A$10</f>
        <v>BLD_EA</v>
      </c>
      <c r="D1904" s="380">
        <f>'00_PORTFOLIO ROLLUP'!N$12</f>
        <v>2034</v>
      </c>
      <c r="E1904" s="366" t="s">
        <v>1721</v>
      </c>
      <c r="F1904" s="366" t="s">
        <v>37</v>
      </c>
      <c r="G1904" s="348" t="str">
        <f>"'"&amp;$C1904&amp;"'!$E$63:$Y$63"</f>
        <v>'BLD_EA'!$E$63:$Y$63</v>
      </c>
      <c r="H1904" s="381">
        <f ca="1">IF(IFERROR(INDEX(DATA_PROPERTY_MASTER!$E$5:$E$21,MATCH($C1904,DATA_PROPERTY_MASTER!$A$5:$A$21,0))="Yes",FALSE),MAX(IFERROR(INDEX(INDIRECT("'"&amp;$C1904&amp;"'!$E$63:$Y$63"),1,MATCH($D1904,INDIRECT("'"&amp;$C1904&amp;"'!$E$12:$Y$12"),0)),0),0),0)</f>
        <v>2823030.2910693027</v>
      </c>
      <c r="I1904" s="366" t="s">
        <v>1685</v>
      </c>
      <c r="J1904" s="348" t="str">
        <f t="shared" ca="1" si="58"/>
        <v>OK</v>
      </c>
      <c r="K1904" s="366" t="s">
        <v>1735</v>
      </c>
      <c r="L1904" s="366" t="s">
        <v>2258</v>
      </c>
      <c r="M1904" s="350" t="str">
        <f>IF($B1904="Portfolio","Portfolio",IFERROR(INDEX(DATA_ASSET_CLASSIFICATION!$B$8:$B$24,MATCH($C1904,DATA_ASSET_CLASSIFICATION!$A$8:$A$24,0)),"Review"))</f>
        <v>Evergreen Apartments</v>
      </c>
      <c r="N1904" s="350" t="str">
        <f ca="1">IF($B1904="Portfolio","Portfolio",IFERROR(INDEX(DATA_ASSET_CLASSIFICATION!$U$8:$U$24,MATCH($C1904,DATA_ASSET_CLASSIFICATION!$A$8:$A$24,0)),"Review"))</f>
        <v>Refi Watch</v>
      </c>
      <c r="O1904" s="350" t="str">
        <f ca="1">IF($B1904="Portfolio","Portfolio",IFERROR(INDEX(DATA_ASSET_CLASSIFICATION!$AB$8:$AB$13,MATCH($N1904,DATA_ASSET_CLASSIFICATION!$AA$8:$AA$13,0)),"Review"))</f>
        <v>Bucket 2 · Legacy</v>
      </c>
      <c r="P1904" s="350" t="str">
        <f>IF($B1904="Portfolio","Portfolio",IFERROR(INDEX(DATA_ASSET_CLASSIFICATION!$C$8:$C$24,MATCH($C1904,DATA_ASSET_CLASSIFICATION!$A$8:$A$24,0)),"Review"))</f>
        <v>Yes</v>
      </c>
      <c r="Q1904" s="350" t="str">
        <f t="shared" ca="1" si="59"/>
        <v>OK</v>
      </c>
    </row>
    <row r="1905" spans="1:17" ht="30">
      <c r="A1905" s="366" t="s">
        <v>3861</v>
      </c>
      <c r="B1905" s="366" t="s">
        <v>231</v>
      </c>
      <c r="C1905" s="348" t="str">
        <f>DATA_PROPERTY_MASTER!$A$10</f>
        <v>BLD_EA</v>
      </c>
      <c r="D1905" s="380">
        <f>'00_PORTFOLIO ROLLUP'!N$12</f>
        <v>2034</v>
      </c>
      <c r="E1905" s="366" t="s">
        <v>1721</v>
      </c>
      <c r="F1905" s="366" t="s">
        <v>39</v>
      </c>
      <c r="G1905" s="348" t="str">
        <f>"'"&amp;$C1905&amp;"'!$E$63:$Y$63"</f>
        <v>'BLD_EA'!$E$63:$Y$63</v>
      </c>
      <c r="H1905" s="381">
        <f ca="1">IF(IFERROR(INDEX(DATA_PROPERTY_MASTER!$E$5:$E$21,MATCH($C1905,DATA_PROPERTY_MASTER!$A$5:$A$21,0))="Yes",FALSE),MAX(-IFERROR(INDEX(INDIRECT("'"&amp;$C1905&amp;"'!$E$63:$Y$63"),1,MATCH($D1905,INDIRECT("'"&amp;$C1905&amp;"'!$E$12:$Y$12"),0)),0),0),0)</f>
        <v>0</v>
      </c>
      <c r="I1905" s="366" t="s">
        <v>1690</v>
      </c>
      <c r="J1905" s="348" t="str">
        <f t="shared" ca="1" si="58"/>
        <v>OK</v>
      </c>
      <c r="K1905" s="366" t="s">
        <v>1738</v>
      </c>
      <c r="L1905" s="366" t="s">
        <v>2260</v>
      </c>
      <c r="M1905" s="350" t="str">
        <f>IF($B1905="Portfolio","Portfolio",IFERROR(INDEX(DATA_ASSET_CLASSIFICATION!$B$8:$B$24,MATCH($C1905,DATA_ASSET_CLASSIFICATION!$A$8:$A$24,0)),"Review"))</f>
        <v>Evergreen Apartments</v>
      </c>
      <c r="N1905" s="350" t="str">
        <f ca="1">IF($B1905="Portfolio","Portfolio",IFERROR(INDEX(DATA_ASSET_CLASSIFICATION!$U$8:$U$24,MATCH($C1905,DATA_ASSET_CLASSIFICATION!$A$8:$A$24,0)),"Review"))</f>
        <v>Refi Watch</v>
      </c>
      <c r="O1905" s="350" t="str">
        <f ca="1">IF($B1905="Portfolio","Portfolio",IFERROR(INDEX(DATA_ASSET_CLASSIFICATION!$AB$8:$AB$13,MATCH($N1905,DATA_ASSET_CLASSIFICATION!$AA$8:$AA$13,0)),"Review"))</f>
        <v>Bucket 2 · Legacy</v>
      </c>
      <c r="P1905" s="350" t="str">
        <f>IF($B1905="Portfolio","Portfolio",IFERROR(INDEX(DATA_ASSET_CLASSIFICATION!$C$8:$C$24,MATCH($C1905,DATA_ASSET_CLASSIFICATION!$A$8:$A$24,0)),"Review"))</f>
        <v>Yes</v>
      </c>
      <c r="Q1905" s="350" t="str">
        <f t="shared" ca="1" si="59"/>
        <v>OK</v>
      </c>
    </row>
    <row r="1906" spans="1:17" ht="30">
      <c r="A1906" s="366" t="s">
        <v>3862</v>
      </c>
      <c r="B1906" s="366" t="s">
        <v>231</v>
      </c>
      <c r="C1906" s="348" t="str">
        <f>DATA_PROPERTY_MASTER!$A$10</f>
        <v>BLD_EA</v>
      </c>
      <c r="D1906" s="380">
        <f>'00_PORTFOLIO ROLLUP'!N$12</f>
        <v>2034</v>
      </c>
      <c r="E1906" s="366" t="s">
        <v>1741</v>
      </c>
      <c r="F1906" s="366" t="s">
        <v>41</v>
      </c>
      <c r="G1906" s="348" t="str">
        <f>"'"&amp;$C1906&amp;"'!rows 56 + positive row 63"</f>
        <v>'BLD_EA'!rows 56 + positive row 63</v>
      </c>
      <c r="H1906" s="381">
        <f ca="1">IF(IFERROR(INDEX(DATA_PROPERTY_MASTER!$E$5:$E$21,MATCH($C1906,DATA_PROPERTY_MASTER!$A$5:$A$21,0))="Yes",FALSE),IFERROR(INDEX(INDIRECT("'"&amp;$C1906&amp;"'!$E$56:$Y$56"),1,MATCH($D1906,INDIRECT("'"&amp;$C1906&amp;"'!$E$12:$Y$12"),0)),0)+MAX(IFERROR(INDEX(INDIRECT("'"&amp;$C1906&amp;"'!$E$63:$Y$63"),1,MATCH($D1906,INDIRECT("'"&amp;$C1906&amp;"'!$E$12:$Y$12"),0)),0),0),0)</f>
        <v>2943344.9126264881</v>
      </c>
      <c r="I1906" s="366" t="s">
        <v>1685</v>
      </c>
      <c r="J1906" s="348" t="str">
        <f t="shared" ca="1" si="58"/>
        <v>OK</v>
      </c>
      <c r="K1906" s="366" t="s">
        <v>1742</v>
      </c>
      <c r="L1906" s="366" t="s">
        <v>2262</v>
      </c>
      <c r="M1906" s="350" t="str">
        <f>IF($B1906="Portfolio","Portfolio",IFERROR(INDEX(DATA_ASSET_CLASSIFICATION!$B$8:$B$24,MATCH($C1906,DATA_ASSET_CLASSIFICATION!$A$8:$A$24,0)),"Review"))</f>
        <v>Evergreen Apartments</v>
      </c>
      <c r="N1906" s="350" t="str">
        <f ca="1">IF($B1906="Portfolio","Portfolio",IFERROR(INDEX(DATA_ASSET_CLASSIFICATION!$U$8:$U$24,MATCH($C1906,DATA_ASSET_CLASSIFICATION!$A$8:$A$24,0)),"Review"))</f>
        <v>Refi Watch</v>
      </c>
      <c r="O1906" s="350" t="str">
        <f ca="1">IF($B1906="Portfolio","Portfolio",IFERROR(INDEX(DATA_ASSET_CLASSIFICATION!$AB$8:$AB$13,MATCH($N1906,DATA_ASSET_CLASSIFICATION!$AA$8:$AA$13,0)),"Review"))</f>
        <v>Bucket 2 · Legacy</v>
      </c>
      <c r="P1906" s="350" t="str">
        <f>IF($B1906="Portfolio","Portfolio",IFERROR(INDEX(DATA_ASSET_CLASSIFICATION!$C$8:$C$24,MATCH($C1906,DATA_ASSET_CLASSIFICATION!$A$8:$A$24,0)),"Review"))</f>
        <v>Yes</v>
      </c>
      <c r="Q1906" s="350" t="str">
        <f t="shared" ca="1" si="59"/>
        <v>OK</v>
      </c>
    </row>
    <row r="1907" spans="1:17" ht="30">
      <c r="A1907" s="366" t="s">
        <v>3863</v>
      </c>
      <c r="B1907" s="366" t="s">
        <v>231</v>
      </c>
      <c r="C1907" s="348" t="str">
        <f>DATA_PROPERTY_MASTER!$A$10</f>
        <v>BLD_EA</v>
      </c>
      <c r="D1907" s="380">
        <f>'00_PORTFOLIO ROLLUP'!N$12</f>
        <v>2034</v>
      </c>
      <c r="E1907" s="366" t="s">
        <v>1741</v>
      </c>
      <c r="F1907" s="366" t="s">
        <v>43</v>
      </c>
      <c r="G1907" s="348" t="str">
        <f>"'"&amp;$C1907&amp;"'!$E$68:$Y$68"</f>
        <v>'BLD_EA'!$E$68:$Y$68</v>
      </c>
      <c r="H1907" s="381">
        <f ca="1">IF(IFERROR(INDEX(DATA_PROPERTY_MASTER!$E$5:$E$21,MATCH($C1907,DATA_PROPERTY_MASTER!$A$5:$A$21,0))="Yes",FALSE),IFERROR(INDEX(INDIRECT("'"&amp;$C1907&amp;"'!$E$68:$Y$68"),1,MATCH($D1907,INDIRECT("'"&amp;$C1907&amp;"'!$E$12:$Y$12"),0)),0),0)</f>
        <v>2943344.9126264881</v>
      </c>
      <c r="I1907" s="366" t="s">
        <v>1731</v>
      </c>
      <c r="J1907" s="348" t="str">
        <f t="shared" ca="1" si="58"/>
        <v>OK</v>
      </c>
      <c r="K1907" s="366" t="s">
        <v>1746</v>
      </c>
      <c r="L1907" s="366" t="s">
        <v>2264</v>
      </c>
      <c r="M1907" s="350" t="str">
        <f>IF($B1907="Portfolio","Portfolio",IFERROR(INDEX(DATA_ASSET_CLASSIFICATION!$B$8:$B$24,MATCH($C1907,DATA_ASSET_CLASSIFICATION!$A$8:$A$24,0)),"Review"))</f>
        <v>Evergreen Apartments</v>
      </c>
      <c r="N1907" s="350" t="str">
        <f ca="1">IF($B1907="Portfolio","Portfolio",IFERROR(INDEX(DATA_ASSET_CLASSIFICATION!$U$8:$U$24,MATCH($C1907,DATA_ASSET_CLASSIFICATION!$A$8:$A$24,0)),"Review"))</f>
        <v>Refi Watch</v>
      </c>
      <c r="O1907" s="350" t="str">
        <f ca="1">IF($B1907="Portfolio","Portfolio",IFERROR(INDEX(DATA_ASSET_CLASSIFICATION!$AB$8:$AB$13,MATCH($N1907,DATA_ASSET_CLASSIFICATION!$AA$8:$AA$13,0)),"Review"))</f>
        <v>Bucket 2 · Legacy</v>
      </c>
      <c r="P1907" s="350" t="str">
        <f>IF($B1907="Portfolio","Portfolio",IFERROR(INDEX(DATA_ASSET_CLASSIFICATION!$C$8:$C$24,MATCH($C1907,DATA_ASSET_CLASSIFICATION!$A$8:$A$24,0)),"Review"))</f>
        <v>Yes</v>
      </c>
      <c r="Q1907" s="350" t="str">
        <f t="shared" ca="1" si="59"/>
        <v>OK</v>
      </c>
    </row>
    <row r="1908" spans="1:17" ht="30">
      <c r="A1908" s="366" t="s">
        <v>3864</v>
      </c>
      <c r="B1908" s="366" t="s">
        <v>231</v>
      </c>
      <c r="C1908" s="348" t="str">
        <f>DATA_PROPERTY_MASTER!$A$10</f>
        <v>BLD_EA</v>
      </c>
      <c r="D1908" s="380">
        <f>'00_PORTFOLIO ROLLUP'!N$12</f>
        <v>2034</v>
      </c>
      <c r="E1908" s="366" t="s">
        <v>1741</v>
      </c>
      <c r="F1908" s="366" t="s">
        <v>1749</v>
      </c>
      <c r="G1908" s="348" t="str">
        <f>"'"&amp;$C1908&amp;"'!rows 56, 63, 68"</f>
        <v>'BLD_EA'!rows 56, 63, 68</v>
      </c>
      <c r="H1908" s="381">
        <f ca="1">IF(IFERROR(INDEX(DATA_PROPERTY_MASTER!$E$5:$E$21,MATCH($C1908,DATA_PROPERTY_MASTER!$A$5:$A$21,0))="Yes",FALSE),(IFERROR(INDEX(INDIRECT("'"&amp;$C1908&amp;"'!$E$56:$Y$56"),1,MATCH($D1908,INDIRECT("'"&amp;$C1908&amp;"'!$E$12:$Y$12"),0)),0)+MAX(IFERROR(INDEX(INDIRECT("'"&amp;$C1908&amp;"'!$E$63:$Y$63"),1,MATCH($D1908,INDIRECT("'"&amp;$C1908&amp;"'!$E$12:$Y$12"),0)),0),0))-(IFERROR(INDEX(INDIRECT("'"&amp;$C1908&amp;"'!$E$68:$Y$68"),1,MATCH($D1908,INDIRECT("'"&amp;$C1908&amp;"'!$E$12:$Y$12"),0)),0)),0)</f>
        <v>0</v>
      </c>
      <c r="I1908" s="366" t="s">
        <v>1750</v>
      </c>
      <c r="J1908" s="348" t="str">
        <f t="shared" ca="1" si="58"/>
        <v>OK</v>
      </c>
      <c r="K1908" s="366" t="s">
        <v>1751</v>
      </c>
      <c r="L1908" s="366" t="s">
        <v>2266</v>
      </c>
      <c r="M1908" s="350" t="str">
        <f>IF($B1908="Portfolio","Portfolio",IFERROR(INDEX(DATA_ASSET_CLASSIFICATION!$B$8:$B$24,MATCH($C1908,DATA_ASSET_CLASSIFICATION!$A$8:$A$24,0)),"Review"))</f>
        <v>Evergreen Apartments</v>
      </c>
      <c r="N1908" s="350" t="str">
        <f ca="1">IF($B1908="Portfolio","Portfolio",IFERROR(INDEX(DATA_ASSET_CLASSIFICATION!$U$8:$U$24,MATCH($C1908,DATA_ASSET_CLASSIFICATION!$A$8:$A$24,0)),"Review"))</f>
        <v>Refi Watch</v>
      </c>
      <c r="O1908" s="350" t="str">
        <f ca="1">IF($B1908="Portfolio","Portfolio",IFERROR(INDEX(DATA_ASSET_CLASSIFICATION!$AB$8:$AB$13,MATCH($N1908,DATA_ASSET_CLASSIFICATION!$AA$8:$AA$13,0)),"Review"))</f>
        <v>Bucket 2 · Legacy</v>
      </c>
      <c r="P1908" s="350" t="str">
        <f>IF($B1908="Portfolio","Portfolio",IFERROR(INDEX(DATA_ASSET_CLASSIFICATION!$C$8:$C$24,MATCH($C1908,DATA_ASSET_CLASSIFICATION!$A$8:$A$24,0)),"Review"))</f>
        <v>Yes</v>
      </c>
      <c r="Q1908" s="350" t="str">
        <f t="shared" ca="1" si="59"/>
        <v>OK</v>
      </c>
    </row>
    <row r="1909" spans="1:17" ht="30">
      <c r="A1909" s="366" t="s">
        <v>3865</v>
      </c>
      <c r="B1909" s="366" t="s">
        <v>231</v>
      </c>
      <c r="C1909" s="348" t="str">
        <f>DATA_PROPERTY_MASTER!$A$10</f>
        <v>BLD_EA</v>
      </c>
      <c r="D1909" s="380">
        <f>'00_PORTFOLIO ROLLUP'!O$12</f>
        <v>2035</v>
      </c>
      <c r="E1909" s="366" t="s">
        <v>1683</v>
      </c>
      <c r="F1909" s="366" t="s">
        <v>341</v>
      </c>
      <c r="G1909" s="348" t="str">
        <f>"'"&amp;$C1909&amp;"'!$E$24:$Y$24"</f>
        <v>'BLD_EA'!$E$24:$Y$24</v>
      </c>
      <c r="H1909" s="381">
        <f ca="1">IF(IFERROR(INDEX(DATA_PROPERTY_MASTER!$E$5:$E$21,MATCH($C1909,DATA_PROPERTY_MASTER!$A$5:$A$21,0))="Yes",FALSE),IFERROR(INDEX(INDIRECT("'"&amp;$C1909&amp;"'!$E$24:$Y$24"),1,MATCH($D1909,INDIRECT("'"&amp;$C1909&amp;"'!$E$12:$Y$12"),0)),0),0)</f>
        <v>1210957.2167714394</v>
      </c>
      <c r="I1909" s="366" t="s">
        <v>1685</v>
      </c>
      <c r="J1909" s="348" t="str">
        <f t="shared" ca="1" si="58"/>
        <v>OK</v>
      </c>
      <c r="K1909" s="366" t="s">
        <v>1686</v>
      </c>
      <c r="L1909" s="366" t="s">
        <v>2234</v>
      </c>
      <c r="M1909" s="350" t="str">
        <f>IF($B1909="Portfolio","Portfolio",IFERROR(INDEX(DATA_ASSET_CLASSIFICATION!$B$8:$B$24,MATCH($C1909,DATA_ASSET_CLASSIFICATION!$A$8:$A$24,0)),"Review"))</f>
        <v>Evergreen Apartments</v>
      </c>
      <c r="N1909" s="350" t="str">
        <f ca="1">IF($B1909="Portfolio","Portfolio",IFERROR(INDEX(DATA_ASSET_CLASSIFICATION!$U$8:$U$24,MATCH($C1909,DATA_ASSET_CLASSIFICATION!$A$8:$A$24,0)),"Review"))</f>
        <v>Refi Watch</v>
      </c>
      <c r="O1909" s="350" t="str">
        <f ca="1">IF($B1909="Portfolio","Portfolio",IFERROR(INDEX(DATA_ASSET_CLASSIFICATION!$AB$8:$AB$13,MATCH($N1909,DATA_ASSET_CLASSIFICATION!$AA$8:$AA$13,0)),"Review"))</f>
        <v>Bucket 2 · Legacy</v>
      </c>
      <c r="P1909" s="350" t="str">
        <f>IF($B1909="Portfolio","Portfolio",IFERROR(INDEX(DATA_ASSET_CLASSIFICATION!$C$8:$C$24,MATCH($C1909,DATA_ASSET_CLASSIFICATION!$A$8:$A$24,0)),"Review"))</f>
        <v>Yes</v>
      </c>
      <c r="Q1909" s="350" t="str">
        <f t="shared" ca="1" si="59"/>
        <v>OK</v>
      </c>
    </row>
    <row r="1910" spans="1:17" ht="30">
      <c r="A1910" s="366" t="s">
        <v>3866</v>
      </c>
      <c r="B1910" s="366" t="s">
        <v>231</v>
      </c>
      <c r="C1910" s="348" t="str">
        <f>DATA_PROPERTY_MASTER!$A$10</f>
        <v>BLD_EA</v>
      </c>
      <c r="D1910" s="380">
        <f>'00_PORTFOLIO ROLLUP'!O$12</f>
        <v>2035</v>
      </c>
      <c r="E1910" s="366" t="s">
        <v>1683</v>
      </c>
      <c r="F1910" s="366" t="s">
        <v>355</v>
      </c>
      <c r="G1910" s="348" t="str">
        <f>"'"&amp;$C1910&amp;"'!$E$39:$Y$39"</f>
        <v>'BLD_EA'!$E$39:$Y$39</v>
      </c>
      <c r="H1910" s="381">
        <f ca="1">IF(IFERROR(INDEX(DATA_PROPERTY_MASTER!$E$5:$E$21,MATCH($C1910,DATA_PROPERTY_MASTER!$A$5:$A$21,0))="Yes",FALSE),IFERROR(INDEX(INDIRECT("'"&amp;$C1910&amp;"'!$E$39:$Y$39"),1,MATCH($D1910,INDIRECT("'"&amp;$C1910&amp;"'!$E$12:$Y$12"),0)),0),0)</f>
        <v>603301.06381924625</v>
      </c>
      <c r="I1910" s="366" t="s">
        <v>1690</v>
      </c>
      <c r="J1910" s="348" t="str">
        <f t="shared" ca="1" si="58"/>
        <v>OK</v>
      </c>
      <c r="K1910" s="366" t="s">
        <v>1686</v>
      </c>
      <c r="L1910" s="366" t="s">
        <v>2236</v>
      </c>
      <c r="M1910" s="350" t="str">
        <f>IF($B1910="Portfolio","Portfolio",IFERROR(INDEX(DATA_ASSET_CLASSIFICATION!$B$8:$B$24,MATCH($C1910,DATA_ASSET_CLASSIFICATION!$A$8:$A$24,0)),"Review"))</f>
        <v>Evergreen Apartments</v>
      </c>
      <c r="N1910" s="350" t="str">
        <f ca="1">IF($B1910="Portfolio","Portfolio",IFERROR(INDEX(DATA_ASSET_CLASSIFICATION!$U$8:$U$24,MATCH($C1910,DATA_ASSET_CLASSIFICATION!$A$8:$A$24,0)),"Review"))</f>
        <v>Refi Watch</v>
      </c>
      <c r="O1910" s="350" t="str">
        <f ca="1">IF($B1910="Portfolio","Portfolio",IFERROR(INDEX(DATA_ASSET_CLASSIFICATION!$AB$8:$AB$13,MATCH($N1910,DATA_ASSET_CLASSIFICATION!$AA$8:$AA$13,0)),"Review"))</f>
        <v>Bucket 2 · Legacy</v>
      </c>
      <c r="P1910" s="350" t="str">
        <f>IF($B1910="Portfolio","Portfolio",IFERROR(INDEX(DATA_ASSET_CLASSIFICATION!$C$8:$C$24,MATCH($C1910,DATA_ASSET_CLASSIFICATION!$A$8:$A$24,0)),"Review"))</f>
        <v>Yes</v>
      </c>
      <c r="Q1910" s="350" t="str">
        <f t="shared" ca="1" si="59"/>
        <v>OK</v>
      </c>
    </row>
    <row r="1911" spans="1:17" ht="30">
      <c r="A1911" s="366" t="s">
        <v>3867</v>
      </c>
      <c r="B1911" s="366" t="s">
        <v>231</v>
      </c>
      <c r="C1911" s="348" t="str">
        <f>DATA_PROPERTY_MASTER!$A$10</f>
        <v>BLD_EA</v>
      </c>
      <c r="D1911" s="380">
        <f>'00_PORTFOLIO ROLLUP'!O$12</f>
        <v>2035</v>
      </c>
      <c r="E1911" s="366" t="s">
        <v>1683</v>
      </c>
      <c r="F1911" s="366" t="s">
        <v>19</v>
      </c>
      <c r="G1911" s="348" t="str">
        <f>"'"&amp;$C1911&amp;"'!$E$41:$Y$41"</f>
        <v>'BLD_EA'!$E$41:$Y$41</v>
      </c>
      <c r="H1911" s="381">
        <f ca="1">IF(IFERROR(INDEX(DATA_PROPERTY_MASTER!$E$5:$E$21,MATCH($C1911,DATA_PROPERTY_MASTER!$A$5:$A$21,0))="Yes",FALSE),IFERROR(INDEX(INDIRECT("'"&amp;$C1911&amp;"'!$E$41:$Y$41"),1,MATCH($D1911,INDIRECT("'"&amp;$C1911&amp;"'!$E$12:$Y$12"),0)),0),0)</f>
        <v>607656.15295219317</v>
      </c>
      <c r="I1911" s="366" t="s">
        <v>1685</v>
      </c>
      <c r="J1911" s="348" t="str">
        <f t="shared" ca="1" si="58"/>
        <v>OK</v>
      </c>
      <c r="K1911" s="366" t="s">
        <v>1694</v>
      </c>
      <c r="L1911" s="366" t="s">
        <v>2238</v>
      </c>
      <c r="M1911" s="350" t="str">
        <f>IF($B1911="Portfolio","Portfolio",IFERROR(INDEX(DATA_ASSET_CLASSIFICATION!$B$8:$B$24,MATCH($C1911,DATA_ASSET_CLASSIFICATION!$A$8:$A$24,0)),"Review"))</f>
        <v>Evergreen Apartments</v>
      </c>
      <c r="N1911" s="350" t="str">
        <f ca="1">IF($B1911="Portfolio","Portfolio",IFERROR(INDEX(DATA_ASSET_CLASSIFICATION!$U$8:$U$24,MATCH($C1911,DATA_ASSET_CLASSIFICATION!$A$8:$A$24,0)),"Review"))</f>
        <v>Refi Watch</v>
      </c>
      <c r="O1911" s="350" t="str">
        <f ca="1">IF($B1911="Portfolio","Portfolio",IFERROR(INDEX(DATA_ASSET_CLASSIFICATION!$AB$8:$AB$13,MATCH($N1911,DATA_ASSET_CLASSIFICATION!$AA$8:$AA$13,0)),"Review"))</f>
        <v>Bucket 2 · Legacy</v>
      </c>
      <c r="P1911" s="350" t="str">
        <f>IF($B1911="Portfolio","Portfolio",IFERROR(INDEX(DATA_ASSET_CLASSIFICATION!$C$8:$C$24,MATCH($C1911,DATA_ASSET_CLASSIFICATION!$A$8:$A$24,0)),"Review"))</f>
        <v>Yes</v>
      </c>
      <c r="Q1911" s="350" t="str">
        <f t="shared" ca="1" si="59"/>
        <v>OK</v>
      </c>
    </row>
    <row r="1912" spans="1:17" ht="30">
      <c r="A1912" s="366" t="s">
        <v>3868</v>
      </c>
      <c r="B1912" s="366" t="s">
        <v>231</v>
      </c>
      <c r="C1912" s="348" t="str">
        <f>DATA_PROPERTY_MASTER!$A$10</f>
        <v>BLD_EA</v>
      </c>
      <c r="D1912" s="380">
        <f>'00_PORTFOLIO ROLLUP'!O$12</f>
        <v>2035</v>
      </c>
      <c r="E1912" s="366" t="s">
        <v>1683</v>
      </c>
      <c r="F1912" s="366" t="s">
        <v>1697</v>
      </c>
      <c r="G1912" s="348" t="str">
        <f>"'"&amp;$C1912&amp;"'!$E$44:$Y$44"</f>
        <v>'BLD_EA'!$E$44:$Y$44</v>
      </c>
      <c r="H1912" s="381">
        <f ca="1">IF(IFERROR(INDEX(DATA_PROPERTY_MASTER!$E$5:$E$21,MATCH($C1912,DATA_PROPERTY_MASTER!$A$5:$A$21,0))="Yes",FALSE),IFERROR(INDEX(INDIRECT("'"&amp;$C1912&amp;"'!$E$44:$Y$44"),1,MATCH($D1912,INDIRECT("'"&amp;$C1912&amp;"'!$E$12:$Y$12"),0)),0),0)</f>
        <v>11153.798942952028</v>
      </c>
      <c r="I1912" s="366" t="s">
        <v>1690</v>
      </c>
      <c r="J1912" s="348" t="str">
        <f t="shared" ca="1" si="58"/>
        <v>OK</v>
      </c>
      <c r="K1912" s="366" t="s">
        <v>1699</v>
      </c>
      <c r="L1912" s="366" t="s">
        <v>2240</v>
      </c>
      <c r="M1912" s="350" t="str">
        <f>IF($B1912="Portfolio","Portfolio",IFERROR(INDEX(DATA_ASSET_CLASSIFICATION!$B$8:$B$24,MATCH($C1912,DATA_ASSET_CLASSIFICATION!$A$8:$A$24,0)),"Review"))</f>
        <v>Evergreen Apartments</v>
      </c>
      <c r="N1912" s="350" t="str">
        <f ca="1">IF($B1912="Portfolio","Portfolio",IFERROR(INDEX(DATA_ASSET_CLASSIFICATION!$U$8:$U$24,MATCH($C1912,DATA_ASSET_CLASSIFICATION!$A$8:$A$24,0)),"Review"))</f>
        <v>Refi Watch</v>
      </c>
      <c r="O1912" s="350" t="str">
        <f ca="1">IF($B1912="Portfolio","Portfolio",IFERROR(INDEX(DATA_ASSET_CLASSIFICATION!$AB$8:$AB$13,MATCH($N1912,DATA_ASSET_CLASSIFICATION!$AA$8:$AA$13,0)),"Review"))</f>
        <v>Bucket 2 · Legacy</v>
      </c>
      <c r="P1912" s="350" t="str">
        <f>IF($B1912="Portfolio","Portfolio",IFERROR(INDEX(DATA_ASSET_CLASSIFICATION!$C$8:$C$24,MATCH($C1912,DATA_ASSET_CLASSIFICATION!$A$8:$A$24,0)),"Review"))</f>
        <v>Yes</v>
      </c>
      <c r="Q1912" s="350" t="str">
        <f t="shared" ca="1" si="59"/>
        <v>OK</v>
      </c>
    </row>
    <row r="1913" spans="1:17" ht="30">
      <c r="A1913" s="366" t="s">
        <v>3869</v>
      </c>
      <c r="B1913" s="366" t="s">
        <v>231</v>
      </c>
      <c r="C1913" s="348" t="str">
        <f>DATA_PROPERTY_MASTER!$A$10</f>
        <v>BLD_EA</v>
      </c>
      <c r="D1913" s="380">
        <f>'00_PORTFOLIO ROLLUP'!O$12</f>
        <v>2035</v>
      </c>
      <c r="E1913" s="366" t="s">
        <v>1683</v>
      </c>
      <c r="F1913" s="366" t="s">
        <v>21</v>
      </c>
      <c r="G1913" s="348" t="str">
        <f>"'"&amp;$C1913&amp;"'!$E$45:$Y$45"</f>
        <v>'BLD_EA'!$E$45:$Y$45</v>
      </c>
      <c r="H1913" s="381">
        <f ca="1">IF(IFERROR(INDEX(DATA_PROPERTY_MASTER!$E$5:$E$21,MATCH($C1913,DATA_PROPERTY_MASTER!$A$5:$A$21,0))="Yes",FALSE),IFERROR(INDEX(INDIRECT("'"&amp;$C1913&amp;"'!$E$45:$Y$45"),1,MATCH($D1913,INDIRECT("'"&amp;$C1913&amp;"'!$E$12:$Y$12"),0)),0),0)</f>
        <v>596502.3540092411</v>
      </c>
      <c r="I1913" s="366" t="s">
        <v>1685</v>
      </c>
      <c r="J1913" s="348" t="str">
        <f t="shared" ca="1" si="58"/>
        <v>OK</v>
      </c>
      <c r="K1913" s="366" t="s">
        <v>1694</v>
      </c>
      <c r="L1913" s="366" t="s">
        <v>2242</v>
      </c>
      <c r="M1913" s="350" t="str">
        <f>IF($B1913="Portfolio","Portfolio",IFERROR(INDEX(DATA_ASSET_CLASSIFICATION!$B$8:$B$24,MATCH($C1913,DATA_ASSET_CLASSIFICATION!$A$8:$A$24,0)),"Review"))</f>
        <v>Evergreen Apartments</v>
      </c>
      <c r="N1913" s="350" t="str">
        <f ca="1">IF($B1913="Portfolio","Portfolio",IFERROR(INDEX(DATA_ASSET_CLASSIFICATION!$U$8:$U$24,MATCH($C1913,DATA_ASSET_CLASSIFICATION!$A$8:$A$24,0)),"Review"))</f>
        <v>Refi Watch</v>
      </c>
      <c r="O1913" s="350" t="str">
        <f ca="1">IF($B1913="Portfolio","Portfolio",IFERROR(INDEX(DATA_ASSET_CLASSIFICATION!$AB$8:$AB$13,MATCH($N1913,DATA_ASSET_CLASSIFICATION!$AA$8:$AA$13,0)),"Review"))</f>
        <v>Bucket 2 · Legacy</v>
      </c>
      <c r="P1913" s="350" t="str">
        <f>IF($B1913="Portfolio","Portfolio",IFERROR(INDEX(DATA_ASSET_CLASSIFICATION!$C$8:$C$24,MATCH($C1913,DATA_ASSET_CLASSIFICATION!$A$8:$A$24,0)),"Review"))</f>
        <v>Yes</v>
      </c>
      <c r="Q1913" s="350" t="str">
        <f t="shared" ca="1" si="59"/>
        <v>OK</v>
      </c>
    </row>
    <row r="1914" spans="1:17" ht="30">
      <c r="A1914" s="366" t="s">
        <v>3870</v>
      </c>
      <c r="B1914" s="366" t="s">
        <v>231</v>
      </c>
      <c r="C1914" s="348" t="str">
        <f>DATA_PROPERTY_MASTER!$A$10</f>
        <v>BLD_EA</v>
      </c>
      <c r="D1914" s="380">
        <f>'00_PORTFOLIO ROLLUP'!O$12</f>
        <v>2035</v>
      </c>
      <c r="E1914" s="366" t="s">
        <v>23</v>
      </c>
      <c r="F1914" s="366" t="s">
        <v>23</v>
      </c>
      <c r="G1914" s="348" t="str">
        <f>"'"&amp;$C1914&amp;"'!$E$48:$Y$48"</f>
        <v>'BLD_EA'!$E$48:$Y$48</v>
      </c>
      <c r="H1914" s="381">
        <f ca="1">IF(IFERROR(INDEX(DATA_PROPERTY_MASTER!$E$5:$E$21,MATCH($C1914,DATA_PROPERTY_MASTER!$A$5:$A$21,0))="Yes",FALSE),IFERROR(INDEX(INDIRECT("'"&amp;$C1914&amp;"'!$E$48:$Y$48"),1,MATCH($D1914,INDIRECT("'"&amp;$C1914&amp;"'!$E$12:$Y$12"),0)),0),0)</f>
        <v>397585.07606343459</v>
      </c>
      <c r="I1914" s="366" t="s">
        <v>1690</v>
      </c>
      <c r="J1914" s="348" t="str">
        <f t="shared" ca="1" si="58"/>
        <v>OK</v>
      </c>
      <c r="K1914" s="366" t="s">
        <v>1706</v>
      </c>
      <c r="L1914" s="366" t="s">
        <v>2244</v>
      </c>
      <c r="M1914" s="350" t="str">
        <f>IF($B1914="Portfolio","Portfolio",IFERROR(INDEX(DATA_ASSET_CLASSIFICATION!$B$8:$B$24,MATCH($C1914,DATA_ASSET_CLASSIFICATION!$A$8:$A$24,0)),"Review"))</f>
        <v>Evergreen Apartments</v>
      </c>
      <c r="N1914" s="350" t="str">
        <f ca="1">IF($B1914="Portfolio","Portfolio",IFERROR(INDEX(DATA_ASSET_CLASSIFICATION!$U$8:$U$24,MATCH($C1914,DATA_ASSET_CLASSIFICATION!$A$8:$A$24,0)),"Review"))</f>
        <v>Refi Watch</v>
      </c>
      <c r="O1914" s="350" t="str">
        <f ca="1">IF($B1914="Portfolio","Portfolio",IFERROR(INDEX(DATA_ASSET_CLASSIFICATION!$AB$8:$AB$13,MATCH($N1914,DATA_ASSET_CLASSIFICATION!$AA$8:$AA$13,0)),"Review"))</f>
        <v>Bucket 2 · Legacy</v>
      </c>
      <c r="P1914" s="350" t="str">
        <f>IF($B1914="Portfolio","Portfolio",IFERROR(INDEX(DATA_ASSET_CLASSIFICATION!$C$8:$C$24,MATCH($C1914,DATA_ASSET_CLASSIFICATION!$A$8:$A$24,0)),"Review"))</f>
        <v>Yes</v>
      </c>
      <c r="Q1914" s="350" t="str">
        <f t="shared" ca="1" si="59"/>
        <v>OK</v>
      </c>
    </row>
    <row r="1915" spans="1:17" ht="30">
      <c r="A1915" s="366" t="s">
        <v>3871</v>
      </c>
      <c r="B1915" s="366" t="s">
        <v>231</v>
      </c>
      <c r="C1915" s="348" t="str">
        <f>DATA_PROPERTY_MASTER!$A$10</f>
        <v>BLD_EA</v>
      </c>
      <c r="D1915" s="380">
        <f>'00_PORTFOLIO ROLLUP'!O$12</f>
        <v>2035</v>
      </c>
      <c r="E1915" s="366" t="s">
        <v>1683</v>
      </c>
      <c r="F1915" s="366" t="s">
        <v>25</v>
      </c>
      <c r="G1915" s="348" t="str">
        <f>"'"&amp;$C1915&amp;"'!$E$52:$Y$52"</f>
        <v>'BLD_EA'!$E$52:$Y$52</v>
      </c>
      <c r="H1915" s="381">
        <f ca="1">IF(IFERROR(INDEX(DATA_PROPERTY_MASTER!$E$5:$E$21,MATCH($C1915,DATA_PROPERTY_MASTER!$A$5:$A$21,0))="Yes",FALSE),IFERROR(INDEX(INDIRECT("'"&amp;$C1915&amp;"'!$E$52:$Y$52"),1,MATCH($D1915,INDIRECT("'"&amp;$C1915&amp;"'!$E$12:$Y$12"),0)),0),0)</f>
        <v>210071.07688875857</v>
      </c>
      <c r="I1915" s="366" t="s">
        <v>1685</v>
      </c>
      <c r="J1915" s="348" t="str">
        <f t="shared" ca="1" si="58"/>
        <v>OK</v>
      </c>
      <c r="K1915" s="366" t="s">
        <v>1710</v>
      </c>
      <c r="L1915" s="366" t="s">
        <v>2246</v>
      </c>
      <c r="M1915" s="350" t="str">
        <f>IF($B1915="Portfolio","Portfolio",IFERROR(INDEX(DATA_ASSET_CLASSIFICATION!$B$8:$B$24,MATCH($C1915,DATA_ASSET_CLASSIFICATION!$A$8:$A$24,0)),"Review"))</f>
        <v>Evergreen Apartments</v>
      </c>
      <c r="N1915" s="350" t="str">
        <f ca="1">IF($B1915="Portfolio","Portfolio",IFERROR(INDEX(DATA_ASSET_CLASSIFICATION!$U$8:$U$24,MATCH($C1915,DATA_ASSET_CLASSIFICATION!$A$8:$A$24,0)),"Review"))</f>
        <v>Refi Watch</v>
      </c>
      <c r="O1915" s="350" t="str">
        <f ca="1">IF($B1915="Portfolio","Portfolio",IFERROR(INDEX(DATA_ASSET_CLASSIFICATION!$AB$8:$AB$13,MATCH($N1915,DATA_ASSET_CLASSIFICATION!$AA$8:$AA$13,0)),"Review"))</f>
        <v>Bucket 2 · Legacy</v>
      </c>
      <c r="P1915" s="350" t="str">
        <f>IF($B1915="Portfolio","Portfolio",IFERROR(INDEX(DATA_ASSET_CLASSIFICATION!$C$8:$C$24,MATCH($C1915,DATA_ASSET_CLASSIFICATION!$A$8:$A$24,0)),"Review"))</f>
        <v>Yes</v>
      </c>
      <c r="Q1915" s="350" t="str">
        <f t="shared" ca="1" si="59"/>
        <v>OK</v>
      </c>
    </row>
    <row r="1916" spans="1:17" ht="30">
      <c r="A1916" s="366" t="s">
        <v>3872</v>
      </c>
      <c r="B1916" s="366" t="s">
        <v>231</v>
      </c>
      <c r="C1916" s="348" t="str">
        <f>DATA_PROPERTY_MASTER!$A$10</f>
        <v>BLD_EA</v>
      </c>
      <c r="D1916" s="380">
        <f>'00_PORTFOLIO ROLLUP'!O$12</f>
        <v>2035</v>
      </c>
      <c r="E1916" s="366" t="s">
        <v>1683</v>
      </c>
      <c r="F1916" s="366" t="s">
        <v>27</v>
      </c>
      <c r="G1916" s="348" t="str">
        <f>"'"&amp;$C1916&amp;"'!$E$54:$Y$54"</f>
        <v>'BLD_EA'!$E$54:$Y$54</v>
      </c>
      <c r="H1916" s="381">
        <f ca="1">IF(IFERROR(INDEX(DATA_PROPERTY_MASTER!$E$5:$E$21,MATCH($C1916,DATA_PROPERTY_MASTER!$A$5:$A$21,0))="Yes",FALSE),IFERROR(INDEX(INDIRECT("'"&amp;$C1916&amp;"'!$E$54:$Y$54"),1,MATCH($D1916,INDIRECT("'"&amp;$C1916&amp;"'!$E$12:$Y$12"),0)),0),0)</f>
        <v>126042.64613325514</v>
      </c>
      <c r="I1916" s="366" t="s">
        <v>1690</v>
      </c>
      <c r="J1916" s="348" t="str">
        <f t="shared" ca="1" si="58"/>
        <v>OK</v>
      </c>
      <c r="K1916" s="366" t="s">
        <v>1714</v>
      </c>
      <c r="L1916" s="366" t="s">
        <v>2248</v>
      </c>
      <c r="M1916" s="350" t="str">
        <f>IF($B1916="Portfolio","Portfolio",IFERROR(INDEX(DATA_ASSET_CLASSIFICATION!$B$8:$B$24,MATCH($C1916,DATA_ASSET_CLASSIFICATION!$A$8:$A$24,0)),"Review"))</f>
        <v>Evergreen Apartments</v>
      </c>
      <c r="N1916" s="350" t="str">
        <f ca="1">IF($B1916="Portfolio","Portfolio",IFERROR(INDEX(DATA_ASSET_CLASSIFICATION!$U$8:$U$24,MATCH($C1916,DATA_ASSET_CLASSIFICATION!$A$8:$A$24,0)),"Review"))</f>
        <v>Refi Watch</v>
      </c>
      <c r="O1916" s="350" t="str">
        <f ca="1">IF($B1916="Portfolio","Portfolio",IFERROR(INDEX(DATA_ASSET_CLASSIFICATION!$AB$8:$AB$13,MATCH($N1916,DATA_ASSET_CLASSIFICATION!$AA$8:$AA$13,0)),"Review"))</f>
        <v>Bucket 2 · Legacy</v>
      </c>
      <c r="P1916" s="350" t="str">
        <f>IF($B1916="Portfolio","Portfolio",IFERROR(INDEX(DATA_ASSET_CLASSIFICATION!$C$8:$C$24,MATCH($C1916,DATA_ASSET_CLASSIFICATION!$A$8:$A$24,0)),"Review"))</f>
        <v>Yes</v>
      </c>
      <c r="Q1916" s="350" t="str">
        <f t="shared" ca="1" si="59"/>
        <v>OK</v>
      </c>
    </row>
    <row r="1917" spans="1:17" ht="30">
      <c r="A1917" s="366" t="s">
        <v>3873</v>
      </c>
      <c r="B1917" s="366" t="s">
        <v>231</v>
      </c>
      <c r="C1917" s="348" t="str">
        <f>DATA_PROPERTY_MASTER!$A$10</f>
        <v>BLD_EA</v>
      </c>
      <c r="D1917" s="380">
        <f>'00_PORTFOLIO ROLLUP'!O$12</f>
        <v>2035</v>
      </c>
      <c r="E1917" s="366" t="s">
        <v>1683</v>
      </c>
      <c r="F1917" s="366" t="s">
        <v>29</v>
      </c>
      <c r="G1917" s="348" t="str">
        <f>"'"&amp;$C1917&amp;"'!$E$56:$Y$56"</f>
        <v>'BLD_EA'!$E$56:$Y$56</v>
      </c>
      <c r="H1917" s="381">
        <f ca="1">IF(IFERROR(INDEX(DATA_PROPERTY_MASTER!$E$5:$E$21,MATCH($C1917,DATA_PROPERTY_MASTER!$A$5:$A$21,0))="Yes",FALSE),IFERROR(INDEX(INDIRECT("'"&amp;$C1917&amp;"'!$E$56:$Y$56"),1,MATCH($D1917,INDIRECT("'"&amp;$C1917&amp;"'!$E$12:$Y$12"),0)),0),0)</f>
        <v>84028.430755503432</v>
      </c>
      <c r="I1917" s="366" t="s">
        <v>1685</v>
      </c>
      <c r="J1917" s="348" t="str">
        <f t="shared" ca="1" si="58"/>
        <v>OK</v>
      </c>
      <c r="K1917" s="366" t="s">
        <v>1718</v>
      </c>
      <c r="L1917" s="366" t="s">
        <v>2250</v>
      </c>
      <c r="M1917" s="350" t="str">
        <f>IF($B1917="Portfolio","Portfolio",IFERROR(INDEX(DATA_ASSET_CLASSIFICATION!$B$8:$B$24,MATCH($C1917,DATA_ASSET_CLASSIFICATION!$A$8:$A$24,0)),"Review"))</f>
        <v>Evergreen Apartments</v>
      </c>
      <c r="N1917" s="350" t="str">
        <f ca="1">IF($B1917="Portfolio","Portfolio",IFERROR(INDEX(DATA_ASSET_CLASSIFICATION!$U$8:$U$24,MATCH($C1917,DATA_ASSET_CLASSIFICATION!$A$8:$A$24,0)),"Review"))</f>
        <v>Refi Watch</v>
      </c>
      <c r="O1917" s="350" t="str">
        <f ca="1">IF($B1917="Portfolio","Portfolio",IFERROR(INDEX(DATA_ASSET_CLASSIFICATION!$AB$8:$AB$13,MATCH($N1917,DATA_ASSET_CLASSIFICATION!$AA$8:$AA$13,0)),"Review"))</f>
        <v>Bucket 2 · Legacy</v>
      </c>
      <c r="P1917" s="350" t="str">
        <f>IF($B1917="Portfolio","Portfolio",IFERROR(INDEX(DATA_ASSET_CLASSIFICATION!$C$8:$C$24,MATCH($C1917,DATA_ASSET_CLASSIFICATION!$A$8:$A$24,0)),"Review"))</f>
        <v>Yes</v>
      </c>
      <c r="Q1917" s="350" t="str">
        <f t="shared" ca="1" si="59"/>
        <v>OK</v>
      </c>
    </row>
    <row r="1918" spans="1:17" ht="30">
      <c r="A1918" s="366" t="s">
        <v>3874</v>
      </c>
      <c r="B1918" s="366" t="s">
        <v>231</v>
      </c>
      <c r="C1918" s="348" t="str">
        <f>DATA_PROPERTY_MASTER!$A$10</f>
        <v>BLD_EA</v>
      </c>
      <c r="D1918" s="380">
        <f>'00_PORTFOLIO ROLLUP'!O$12</f>
        <v>2035</v>
      </c>
      <c r="E1918" s="366" t="s">
        <v>1721</v>
      </c>
      <c r="F1918" s="366" t="s">
        <v>31</v>
      </c>
      <c r="G1918" s="348" t="str">
        <f>"'"&amp;$C1918&amp;"'!$E$61:$Y$61"</f>
        <v>'BLD_EA'!$E$61:$Y$61</v>
      </c>
      <c r="H1918" s="381">
        <f ca="1">IF(IFERROR(INDEX(DATA_PROPERTY_MASTER!$E$5:$E$21,MATCH($C1918,DATA_PROPERTY_MASTER!$A$5:$A$21,0))="Yes",FALSE),IFERROR(INDEX(INDIRECT("'"&amp;$C1918&amp;"'!$E$61:$Y$61"),1,MATCH($D1918,INDIRECT("'"&amp;$C1918&amp;"'!$E$12:$Y$12"),0)),0),0)</f>
        <v>0</v>
      </c>
      <c r="I1918" s="366" t="s">
        <v>1690</v>
      </c>
      <c r="J1918" s="348" t="str">
        <f t="shared" ca="1" si="58"/>
        <v>OK</v>
      </c>
      <c r="K1918" s="366" t="s">
        <v>1723</v>
      </c>
      <c r="L1918" s="366" t="s">
        <v>2252</v>
      </c>
      <c r="M1918" s="350" t="str">
        <f>IF($B1918="Portfolio","Portfolio",IFERROR(INDEX(DATA_ASSET_CLASSIFICATION!$B$8:$B$24,MATCH($C1918,DATA_ASSET_CLASSIFICATION!$A$8:$A$24,0)),"Review"))</f>
        <v>Evergreen Apartments</v>
      </c>
      <c r="N1918" s="350" t="str">
        <f ca="1">IF($B1918="Portfolio","Portfolio",IFERROR(INDEX(DATA_ASSET_CLASSIFICATION!$U$8:$U$24,MATCH($C1918,DATA_ASSET_CLASSIFICATION!$A$8:$A$24,0)),"Review"))</f>
        <v>Refi Watch</v>
      </c>
      <c r="O1918" s="350" t="str">
        <f ca="1">IF($B1918="Portfolio","Portfolio",IFERROR(INDEX(DATA_ASSET_CLASSIFICATION!$AB$8:$AB$13,MATCH($N1918,DATA_ASSET_CLASSIFICATION!$AA$8:$AA$13,0)),"Review"))</f>
        <v>Bucket 2 · Legacy</v>
      </c>
      <c r="P1918" s="350" t="str">
        <f>IF($B1918="Portfolio","Portfolio",IFERROR(INDEX(DATA_ASSET_CLASSIFICATION!$C$8:$C$24,MATCH($C1918,DATA_ASSET_CLASSIFICATION!$A$8:$A$24,0)),"Review"))</f>
        <v>Yes</v>
      </c>
      <c r="Q1918" s="350" t="str">
        <f t="shared" ca="1" si="59"/>
        <v>OK</v>
      </c>
    </row>
    <row r="1919" spans="1:17" ht="30">
      <c r="A1919" s="366" t="s">
        <v>3875</v>
      </c>
      <c r="B1919" s="366" t="s">
        <v>231</v>
      </c>
      <c r="C1919" s="348" t="str">
        <f>DATA_PROPERTY_MASTER!$A$10</f>
        <v>BLD_EA</v>
      </c>
      <c r="D1919" s="380">
        <f>'00_PORTFOLIO ROLLUP'!O$12</f>
        <v>2035</v>
      </c>
      <c r="E1919" s="366" t="s">
        <v>1721</v>
      </c>
      <c r="F1919" s="366" t="s">
        <v>33</v>
      </c>
      <c r="G1919" s="348" t="str">
        <f>"'"&amp;$C1919&amp;"'!$E$62:$Y$62"</f>
        <v>'BLD_EA'!$E$62:$Y$62</v>
      </c>
      <c r="H1919" s="381">
        <f ca="1">IF(IFERROR(INDEX(DATA_PROPERTY_MASTER!$E$5:$E$21,MATCH($C1919,DATA_PROPERTY_MASTER!$A$5:$A$21,0))="Yes",FALSE),IFERROR(INDEX(INDIRECT("'"&amp;$C1919&amp;"'!$E$62:$Y$62"),1,MATCH($D1919,INDIRECT("'"&amp;$C1919&amp;"'!$E$12:$Y$12"),0)),0),0)</f>
        <v>0</v>
      </c>
      <c r="I1919" s="366" t="s">
        <v>1685</v>
      </c>
      <c r="J1919" s="348" t="str">
        <f t="shared" ca="1" si="58"/>
        <v>OK</v>
      </c>
      <c r="K1919" s="366" t="s">
        <v>1727</v>
      </c>
      <c r="L1919" s="366" t="s">
        <v>2254</v>
      </c>
      <c r="M1919" s="350" t="str">
        <f>IF($B1919="Portfolio","Portfolio",IFERROR(INDEX(DATA_ASSET_CLASSIFICATION!$B$8:$B$24,MATCH($C1919,DATA_ASSET_CLASSIFICATION!$A$8:$A$24,0)),"Review"))</f>
        <v>Evergreen Apartments</v>
      </c>
      <c r="N1919" s="350" t="str">
        <f ca="1">IF($B1919="Portfolio","Portfolio",IFERROR(INDEX(DATA_ASSET_CLASSIFICATION!$U$8:$U$24,MATCH($C1919,DATA_ASSET_CLASSIFICATION!$A$8:$A$24,0)),"Review"))</f>
        <v>Refi Watch</v>
      </c>
      <c r="O1919" s="350" t="str">
        <f ca="1">IF($B1919="Portfolio","Portfolio",IFERROR(INDEX(DATA_ASSET_CLASSIFICATION!$AB$8:$AB$13,MATCH($N1919,DATA_ASSET_CLASSIFICATION!$AA$8:$AA$13,0)),"Review"))</f>
        <v>Bucket 2 · Legacy</v>
      </c>
      <c r="P1919" s="350" t="str">
        <f>IF($B1919="Portfolio","Portfolio",IFERROR(INDEX(DATA_ASSET_CLASSIFICATION!$C$8:$C$24,MATCH($C1919,DATA_ASSET_CLASSIFICATION!$A$8:$A$24,0)),"Review"))</f>
        <v>Yes</v>
      </c>
      <c r="Q1919" s="350" t="str">
        <f t="shared" ca="1" si="59"/>
        <v>OK</v>
      </c>
    </row>
    <row r="1920" spans="1:17" ht="30">
      <c r="A1920" s="366" t="s">
        <v>3876</v>
      </c>
      <c r="B1920" s="366" t="s">
        <v>231</v>
      </c>
      <c r="C1920" s="348" t="str">
        <f>DATA_PROPERTY_MASTER!$A$10</f>
        <v>BLD_EA</v>
      </c>
      <c r="D1920" s="380">
        <f>'00_PORTFOLIO ROLLUP'!O$12</f>
        <v>2035</v>
      </c>
      <c r="E1920" s="366" t="s">
        <v>1721</v>
      </c>
      <c r="F1920" s="366" t="s">
        <v>35</v>
      </c>
      <c r="G1920" s="348" t="str">
        <f>"'"&amp;$C1920&amp;"'!$E$63:$Y$63"</f>
        <v>'BLD_EA'!$E$63:$Y$63</v>
      </c>
      <c r="H1920" s="381">
        <f ca="1">IF(IFERROR(INDEX(DATA_PROPERTY_MASTER!$E$5:$E$21,MATCH($C1920,DATA_PROPERTY_MASTER!$A$5:$A$21,0))="Yes",FALSE),IFERROR(INDEX(INDIRECT("'"&amp;$C1920&amp;"'!$E$63:$Y$63"),1,MATCH($D1920,INDIRECT("'"&amp;$C1920&amp;"'!$E$12:$Y$12"),0)),0),0)</f>
        <v>0</v>
      </c>
      <c r="I1920" s="366" t="s">
        <v>1731</v>
      </c>
      <c r="J1920" s="348" t="str">
        <f t="shared" ca="1" si="58"/>
        <v>OK</v>
      </c>
      <c r="K1920" s="366" t="s">
        <v>1732</v>
      </c>
      <c r="L1920" s="366" t="s">
        <v>2256</v>
      </c>
      <c r="M1920" s="350" t="str">
        <f>IF($B1920="Portfolio","Portfolio",IFERROR(INDEX(DATA_ASSET_CLASSIFICATION!$B$8:$B$24,MATCH($C1920,DATA_ASSET_CLASSIFICATION!$A$8:$A$24,0)),"Review"))</f>
        <v>Evergreen Apartments</v>
      </c>
      <c r="N1920" s="350" t="str">
        <f ca="1">IF($B1920="Portfolio","Portfolio",IFERROR(INDEX(DATA_ASSET_CLASSIFICATION!$U$8:$U$24,MATCH($C1920,DATA_ASSET_CLASSIFICATION!$A$8:$A$24,0)),"Review"))</f>
        <v>Refi Watch</v>
      </c>
      <c r="O1920" s="350" t="str">
        <f ca="1">IF($B1920="Portfolio","Portfolio",IFERROR(INDEX(DATA_ASSET_CLASSIFICATION!$AB$8:$AB$13,MATCH($N1920,DATA_ASSET_CLASSIFICATION!$AA$8:$AA$13,0)),"Review"))</f>
        <v>Bucket 2 · Legacy</v>
      </c>
      <c r="P1920" s="350" t="str">
        <f>IF($B1920="Portfolio","Portfolio",IFERROR(INDEX(DATA_ASSET_CLASSIFICATION!$C$8:$C$24,MATCH($C1920,DATA_ASSET_CLASSIFICATION!$A$8:$A$24,0)),"Review"))</f>
        <v>Yes</v>
      </c>
      <c r="Q1920" s="350" t="str">
        <f t="shared" ca="1" si="59"/>
        <v>OK</v>
      </c>
    </row>
    <row r="1921" spans="1:17" ht="30">
      <c r="A1921" s="366" t="s">
        <v>3877</v>
      </c>
      <c r="B1921" s="366" t="s">
        <v>231</v>
      </c>
      <c r="C1921" s="348" t="str">
        <f>DATA_PROPERTY_MASTER!$A$10</f>
        <v>BLD_EA</v>
      </c>
      <c r="D1921" s="380">
        <f>'00_PORTFOLIO ROLLUP'!O$12</f>
        <v>2035</v>
      </c>
      <c r="E1921" s="366" t="s">
        <v>1721</v>
      </c>
      <c r="F1921" s="366" t="s">
        <v>37</v>
      </c>
      <c r="G1921" s="348" t="str">
        <f>"'"&amp;$C1921&amp;"'!$E$63:$Y$63"</f>
        <v>'BLD_EA'!$E$63:$Y$63</v>
      </c>
      <c r="H1921" s="381">
        <f ca="1">IF(IFERROR(INDEX(DATA_PROPERTY_MASTER!$E$5:$E$21,MATCH($C1921,DATA_PROPERTY_MASTER!$A$5:$A$21,0))="Yes",FALSE),MAX(IFERROR(INDEX(INDIRECT("'"&amp;$C1921&amp;"'!$E$63:$Y$63"),1,MATCH($D1921,INDIRECT("'"&amp;$C1921&amp;"'!$E$12:$Y$12"),0)),0),0),0)</f>
        <v>0</v>
      </c>
      <c r="I1921" s="366" t="s">
        <v>1685</v>
      </c>
      <c r="J1921" s="348" t="str">
        <f t="shared" ca="1" si="58"/>
        <v>OK</v>
      </c>
      <c r="K1921" s="366" t="s">
        <v>1735</v>
      </c>
      <c r="L1921" s="366" t="s">
        <v>2258</v>
      </c>
      <c r="M1921" s="350" t="str">
        <f>IF($B1921="Portfolio","Portfolio",IFERROR(INDEX(DATA_ASSET_CLASSIFICATION!$B$8:$B$24,MATCH($C1921,DATA_ASSET_CLASSIFICATION!$A$8:$A$24,0)),"Review"))</f>
        <v>Evergreen Apartments</v>
      </c>
      <c r="N1921" s="350" t="str">
        <f ca="1">IF($B1921="Portfolio","Portfolio",IFERROR(INDEX(DATA_ASSET_CLASSIFICATION!$U$8:$U$24,MATCH($C1921,DATA_ASSET_CLASSIFICATION!$A$8:$A$24,0)),"Review"))</f>
        <v>Refi Watch</v>
      </c>
      <c r="O1921" s="350" t="str">
        <f ca="1">IF($B1921="Portfolio","Portfolio",IFERROR(INDEX(DATA_ASSET_CLASSIFICATION!$AB$8:$AB$13,MATCH($N1921,DATA_ASSET_CLASSIFICATION!$AA$8:$AA$13,0)),"Review"))</f>
        <v>Bucket 2 · Legacy</v>
      </c>
      <c r="P1921" s="350" t="str">
        <f>IF($B1921="Portfolio","Portfolio",IFERROR(INDEX(DATA_ASSET_CLASSIFICATION!$C$8:$C$24,MATCH($C1921,DATA_ASSET_CLASSIFICATION!$A$8:$A$24,0)),"Review"))</f>
        <v>Yes</v>
      </c>
      <c r="Q1921" s="350" t="str">
        <f t="shared" ca="1" si="59"/>
        <v>OK</v>
      </c>
    </row>
    <row r="1922" spans="1:17" ht="30">
      <c r="A1922" s="366" t="s">
        <v>3878</v>
      </c>
      <c r="B1922" s="366" t="s">
        <v>231</v>
      </c>
      <c r="C1922" s="348" t="str">
        <f>DATA_PROPERTY_MASTER!$A$10</f>
        <v>BLD_EA</v>
      </c>
      <c r="D1922" s="380">
        <f>'00_PORTFOLIO ROLLUP'!O$12</f>
        <v>2035</v>
      </c>
      <c r="E1922" s="366" t="s">
        <v>1721</v>
      </c>
      <c r="F1922" s="366" t="s">
        <v>39</v>
      </c>
      <c r="G1922" s="348" t="str">
        <f>"'"&amp;$C1922&amp;"'!$E$63:$Y$63"</f>
        <v>'BLD_EA'!$E$63:$Y$63</v>
      </c>
      <c r="H1922" s="381">
        <f ca="1">IF(IFERROR(INDEX(DATA_PROPERTY_MASTER!$E$5:$E$21,MATCH($C1922,DATA_PROPERTY_MASTER!$A$5:$A$21,0))="Yes",FALSE),MAX(-IFERROR(INDEX(INDIRECT("'"&amp;$C1922&amp;"'!$E$63:$Y$63"),1,MATCH($D1922,INDIRECT("'"&amp;$C1922&amp;"'!$E$12:$Y$12"),0)),0),0),0)</f>
        <v>0</v>
      </c>
      <c r="I1922" s="366" t="s">
        <v>1690</v>
      </c>
      <c r="J1922" s="348" t="str">
        <f t="shared" ca="1" si="58"/>
        <v>OK</v>
      </c>
      <c r="K1922" s="366" t="s">
        <v>1738</v>
      </c>
      <c r="L1922" s="366" t="s">
        <v>2260</v>
      </c>
      <c r="M1922" s="350" t="str">
        <f>IF($B1922="Portfolio","Portfolio",IFERROR(INDEX(DATA_ASSET_CLASSIFICATION!$B$8:$B$24,MATCH($C1922,DATA_ASSET_CLASSIFICATION!$A$8:$A$24,0)),"Review"))</f>
        <v>Evergreen Apartments</v>
      </c>
      <c r="N1922" s="350" t="str">
        <f ca="1">IF($B1922="Portfolio","Portfolio",IFERROR(INDEX(DATA_ASSET_CLASSIFICATION!$U$8:$U$24,MATCH($C1922,DATA_ASSET_CLASSIFICATION!$A$8:$A$24,0)),"Review"))</f>
        <v>Refi Watch</v>
      </c>
      <c r="O1922" s="350" t="str">
        <f ca="1">IF($B1922="Portfolio","Portfolio",IFERROR(INDEX(DATA_ASSET_CLASSIFICATION!$AB$8:$AB$13,MATCH($N1922,DATA_ASSET_CLASSIFICATION!$AA$8:$AA$13,0)),"Review"))</f>
        <v>Bucket 2 · Legacy</v>
      </c>
      <c r="P1922" s="350" t="str">
        <f>IF($B1922="Portfolio","Portfolio",IFERROR(INDEX(DATA_ASSET_CLASSIFICATION!$C$8:$C$24,MATCH($C1922,DATA_ASSET_CLASSIFICATION!$A$8:$A$24,0)),"Review"))</f>
        <v>Yes</v>
      </c>
      <c r="Q1922" s="350" t="str">
        <f t="shared" ca="1" si="59"/>
        <v>OK</v>
      </c>
    </row>
    <row r="1923" spans="1:17" ht="30">
      <c r="A1923" s="366" t="s">
        <v>3879</v>
      </c>
      <c r="B1923" s="366" t="s">
        <v>231</v>
      </c>
      <c r="C1923" s="348" t="str">
        <f>DATA_PROPERTY_MASTER!$A$10</f>
        <v>BLD_EA</v>
      </c>
      <c r="D1923" s="380">
        <f>'00_PORTFOLIO ROLLUP'!O$12</f>
        <v>2035</v>
      </c>
      <c r="E1923" s="366" t="s">
        <v>1741</v>
      </c>
      <c r="F1923" s="366" t="s">
        <v>41</v>
      </c>
      <c r="G1923" s="348" t="str">
        <f>"'"&amp;$C1923&amp;"'!rows 56 + positive row 63"</f>
        <v>'BLD_EA'!rows 56 + positive row 63</v>
      </c>
      <c r="H1923" s="381">
        <f ca="1">IF(IFERROR(INDEX(DATA_PROPERTY_MASTER!$E$5:$E$21,MATCH($C1923,DATA_PROPERTY_MASTER!$A$5:$A$21,0))="Yes",FALSE),IFERROR(INDEX(INDIRECT("'"&amp;$C1923&amp;"'!$E$56:$Y$56"),1,MATCH($D1923,INDIRECT("'"&amp;$C1923&amp;"'!$E$12:$Y$12"),0)),0)+MAX(IFERROR(INDEX(INDIRECT("'"&amp;$C1923&amp;"'!$E$63:$Y$63"),1,MATCH($D1923,INDIRECT("'"&amp;$C1923&amp;"'!$E$12:$Y$12"),0)),0),0),0)</f>
        <v>84028.430755503432</v>
      </c>
      <c r="I1923" s="366" t="s">
        <v>1685</v>
      </c>
      <c r="J1923" s="348" t="str">
        <f t="shared" ca="1" si="58"/>
        <v>OK</v>
      </c>
      <c r="K1923" s="366" t="s">
        <v>1742</v>
      </c>
      <c r="L1923" s="366" t="s">
        <v>2262</v>
      </c>
      <c r="M1923" s="350" t="str">
        <f>IF($B1923="Portfolio","Portfolio",IFERROR(INDEX(DATA_ASSET_CLASSIFICATION!$B$8:$B$24,MATCH($C1923,DATA_ASSET_CLASSIFICATION!$A$8:$A$24,0)),"Review"))</f>
        <v>Evergreen Apartments</v>
      </c>
      <c r="N1923" s="350" t="str">
        <f ca="1">IF($B1923="Portfolio","Portfolio",IFERROR(INDEX(DATA_ASSET_CLASSIFICATION!$U$8:$U$24,MATCH($C1923,DATA_ASSET_CLASSIFICATION!$A$8:$A$24,0)),"Review"))</f>
        <v>Refi Watch</v>
      </c>
      <c r="O1923" s="350" t="str">
        <f ca="1">IF($B1923="Portfolio","Portfolio",IFERROR(INDEX(DATA_ASSET_CLASSIFICATION!$AB$8:$AB$13,MATCH($N1923,DATA_ASSET_CLASSIFICATION!$AA$8:$AA$13,0)),"Review"))</f>
        <v>Bucket 2 · Legacy</v>
      </c>
      <c r="P1923" s="350" t="str">
        <f>IF($B1923="Portfolio","Portfolio",IFERROR(INDEX(DATA_ASSET_CLASSIFICATION!$C$8:$C$24,MATCH($C1923,DATA_ASSET_CLASSIFICATION!$A$8:$A$24,0)),"Review"))</f>
        <v>Yes</v>
      </c>
      <c r="Q1923" s="350" t="str">
        <f t="shared" ca="1" si="59"/>
        <v>OK</v>
      </c>
    </row>
    <row r="1924" spans="1:17" ht="30">
      <c r="A1924" s="366" t="s">
        <v>3880</v>
      </c>
      <c r="B1924" s="366" t="s">
        <v>231</v>
      </c>
      <c r="C1924" s="348" t="str">
        <f>DATA_PROPERTY_MASTER!$A$10</f>
        <v>BLD_EA</v>
      </c>
      <c r="D1924" s="380">
        <f>'00_PORTFOLIO ROLLUP'!O$12</f>
        <v>2035</v>
      </c>
      <c r="E1924" s="366" t="s">
        <v>1741</v>
      </c>
      <c r="F1924" s="366" t="s">
        <v>43</v>
      </c>
      <c r="G1924" s="348" t="str">
        <f>"'"&amp;$C1924&amp;"'!$E$68:$Y$68"</f>
        <v>'BLD_EA'!$E$68:$Y$68</v>
      </c>
      <c r="H1924" s="381">
        <f ca="1">IF(IFERROR(INDEX(DATA_PROPERTY_MASTER!$E$5:$E$21,MATCH($C1924,DATA_PROPERTY_MASTER!$A$5:$A$21,0))="Yes",FALSE),IFERROR(INDEX(INDIRECT("'"&amp;$C1924&amp;"'!$E$68:$Y$68"),1,MATCH($D1924,INDIRECT("'"&amp;$C1924&amp;"'!$E$12:$Y$12"),0)),0),0)</f>
        <v>84028.430755503432</v>
      </c>
      <c r="I1924" s="366" t="s">
        <v>1731</v>
      </c>
      <c r="J1924" s="348" t="str">
        <f t="shared" ca="1" si="58"/>
        <v>OK</v>
      </c>
      <c r="K1924" s="366" t="s">
        <v>1746</v>
      </c>
      <c r="L1924" s="366" t="s">
        <v>2264</v>
      </c>
      <c r="M1924" s="350" t="str">
        <f>IF($B1924="Portfolio","Portfolio",IFERROR(INDEX(DATA_ASSET_CLASSIFICATION!$B$8:$B$24,MATCH($C1924,DATA_ASSET_CLASSIFICATION!$A$8:$A$24,0)),"Review"))</f>
        <v>Evergreen Apartments</v>
      </c>
      <c r="N1924" s="350" t="str">
        <f ca="1">IF($B1924="Portfolio","Portfolio",IFERROR(INDEX(DATA_ASSET_CLASSIFICATION!$U$8:$U$24,MATCH($C1924,DATA_ASSET_CLASSIFICATION!$A$8:$A$24,0)),"Review"))</f>
        <v>Refi Watch</v>
      </c>
      <c r="O1924" s="350" t="str">
        <f ca="1">IF($B1924="Portfolio","Portfolio",IFERROR(INDEX(DATA_ASSET_CLASSIFICATION!$AB$8:$AB$13,MATCH($N1924,DATA_ASSET_CLASSIFICATION!$AA$8:$AA$13,0)),"Review"))</f>
        <v>Bucket 2 · Legacy</v>
      </c>
      <c r="P1924" s="350" t="str">
        <f>IF($B1924="Portfolio","Portfolio",IFERROR(INDEX(DATA_ASSET_CLASSIFICATION!$C$8:$C$24,MATCH($C1924,DATA_ASSET_CLASSIFICATION!$A$8:$A$24,0)),"Review"))</f>
        <v>Yes</v>
      </c>
      <c r="Q1924" s="350" t="str">
        <f t="shared" ca="1" si="59"/>
        <v>OK</v>
      </c>
    </row>
    <row r="1925" spans="1:17" ht="30">
      <c r="A1925" s="366" t="s">
        <v>3881</v>
      </c>
      <c r="B1925" s="366" t="s">
        <v>231</v>
      </c>
      <c r="C1925" s="348" t="str">
        <f>DATA_PROPERTY_MASTER!$A$10</f>
        <v>BLD_EA</v>
      </c>
      <c r="D1925" s="380">
        <f>'00_PORTFOLIO ROLLUP'!O$12</f>
        <v>2035</v>
      </c>
      <c r="E1925" s="366" t="s">
        <v>1741</v>
      </c>
      <c r="F1925" s="366" t="s">
        <v>1749</v>
      </c>
      <c r="G1925" s="348" t="str">
        <f>"'"&amp;$C1925&amp;"'!rows 56, 63, 68"</f>
        <v>'BLD_EA'!rows 56, 63, 68</v>
      </c>
      <c r="H1925" s="381">
        <f ca="1">IF(IFERROR(INDEX(DATA_PROPERTY_MASTER!$E$5:$E$21,MATCH($C1925,DATA_PROPERTY_MASTER!$A$5:$A$21,0))="Yes",FALSE),(IFERROR(INDEX(INDIRECT("'"&amp;$C1925&amp;"'!$E$56:$Y$56"),1,MATCH($D1925,INDIRECT("'"&amp;$C1925&amp;"'!$E$12:$Y$12"),0)),0)+MAX(IFERROR(INDEX(INDIRECT("'"&amp;$C1925&amp;"'!$E$63:$Y$63"),1,MATCH($D1925,INDIRECT("'"&amp;$C1925&amp;"'!$E$12:$Y$12"),0)),0),0))-(IFERROR(INDEX(INDIRECT("'"&amp;$C1925&amp;"'!$E$68:$Y$68"),1,MATCH($D1925,INDIRECT("'"&amp;$C1925&amp;"'!$E$12:$Y$12"),0)),0)),0)</f>
        <v>0</v>
      </c>
      <c r="I1925" s="366" t="s">
        <v>1750</v>
      </c>
      <c r="J1925" s="348" t="str">
        <f t="shared" ref="J1925:J1988" ca="1" si="60">IF($F1925="Residual Funding Gap",IF($H1925&gt;0,"Funding Gap","OK"),IF(AND($F1925="Net Refinance Position",$H1925&lt;0),"Negative net refi position","OK"))</f>
        <v>OK</v>
      </c>
      <c r="K1925" s="366" t="s">
        <v>1751</v>
      </c>
      <c r="L1925" s="366" t="s">
        <v>2266</v>
      </c>
      <c r="M1925" s="350" t="str">
        <f>IF($B1925="Portfolio","Portfolio",IFERROR(INDEX(DATA_ASSET_CLASSIFICATION!$B$8:$B$24,MATCH($C1925,DATA_ASSET_CLASSIFICATION!$A$8:$A$24,0)),"Review"))</f>
        <v>Evergreen Apartments</v>
      </c>
      <c r="N1925" s="350" t="str">
        <f ca="1">IF($B1925="Portfolio","Portfolio",IFERROR(INDEX(DATA_ASSET_CLASSIFICATION!$U$8:$U$24,MATCH($C1925,DATA_ASSET_CLASSIFICATION!$A$8:$A$24,0)),"Review"))</f>
        <v>Refi Watch</v>
      </c>
      <c r="O1925" s="350" t="str">
        <f ca="1">IF($B1925="Portfolio","Portfolio",IFERROR(INDEX(DATA_ASSET_CLASSIFICATION!$AB$8:$AB$13,MATCH($N1925,DATA_ASSET_CLASSIFICATION!$AA$8:$AA$13,0)),"Review"))</f>
        <v>Bucket 2 · Legacy</v>
      </c>
      <c r="P1925" s="350" t="str">
        <f>IF($B1925="Portfolio","Portfolio",IFERROR(INDEX(DATA_ASSET_CLASSIFICATION!$C$8:$C$24,MATCH($C1925,DATA_ASSET_CLASSIFICATION!$A$8:$A$24,0)),"Review"))</f>
        <v>Yes</v>
      </c>
      <c r="Q1925" s="350" t="str">
        <f t="shared" ref="Q1925:Q1988" ca="1" si="61">IF(AND($B1925="Property",$F1925="Residual Funding Gap",$H1925&gt;0),"Property Funding Gap",IF($J1925&lt;&gt;"OK",$J1925,"OK"))</f>
        <v>OK</v>
      </c>
    </row>
    <row r="1926" spans="1:17" ht="30">
      <c r="A1926" s="366" t="s">
        <v>3882</v>
      </c>
      <c r="B1926" s="366" t="s">
        <v>231</v>
      </c>
      <c r="C1926" s="348" t="str">
        <f>DATA_PROPERTY_MASTER!$A$10</f>
        <v>BLD_EA</v>
      </c>
      <c r="D1926" s="380">
        <f>'00_PORTFOLIO ROLLUP'!P$12</f>
        <v>2036</v>
      </c>
      <c r="E1926" s="366" t="s">
        <v>1683</v>
      </c>
      <c r="F1926" s="366" t="s">
        <v>341</v>
      </c>
      <c r="G1926" s="348" t="str">
        <f>"'"&amp;$C1926&amp;"'!$E$24:$Y$24"</f>
        <v>'BLD_EA'!$E$24:$Y$24</v>
      </c>
      <c r="H1926" s="381">
        <f ca="1">IF(IFERROR(INDEX(DATA_PROPERTY_MASTER!$E$5:$E$21,MATCH($C1926,DATA_PROPERTY_MASTER!$A$5:$A$21,0))="Yes",FALSE),IFERROR(INDEX(INDIRECT("'"&amp;$C1926&amp;"'!$E$24:$Y$24"),1,MATCH($D1926,INDIRECT("'"&amp;$C1926&amp;"'!$E$12:$Y$12"),0)),0),0)</f>
        <v>1235176.3611068681</v>
      </c>
      <c r="I1926" s="366" t="s">
        <v>1685</v>
      </c>
      <c r="J1926" s="348" t="str">
        <f t="shared" ca="1" si="60"/>
        <v>OK</v>
      </c>
      <c r="K1926" s="366" t="s">
        <v>1686</v>
      </c>
      <c r="L1926" s="366" t="s">
        <v>2234</v>
      </c>
      <c r="M1926" s="350" t="str">
        <f>IF($B1926="Portfolio","Portfolio",IFERROR(INDEX(DATA_ASSET_CLASSIFICATION!$B$8:$B$24,MATCH($C1926,DATA_ASSET_CLASSIFICATION!$A$8:$A$24,0)),"Review"))</f>
        <v>Evergreen Apartments</v>
      </c>
      <c r="N1926" s="350" t="str">
        <f ca="1">IF($B1926="Portfolio","Portfolio",IFERROR(INDEX(DATA_ASSET_CLASSIFICATION!$U$8:$U$24,MATCH($C1926,DATA_ASSET_CLASSIFICATION!$A$8:$A$24,0)),"Review"))</f>
        <v>Refi Watch</v>
      </c>
      <c r="O1926" s="350" t="str">
        <f ca="1">IF($B1926="Portfolio","Portfolio",IFERROR(INDEX(DATA_ASSET_CLASSIFICATION!$AB$8:$AB$13,MATCH($N1926,DATA_ASSET_CLASSIFICATION!$AA$8:$AA$13,0)),"Review"))</f>
        <v>Bucket 2 · Legacy</v>
      </c>
      <c r="P1926" s="350" t="str">
        <f>IF($B1926="Portfolio","Portfolio",IFERROR(INDEX(DATA_ASSET_CLASSIFICATION!$C$8:$C$24,MATCH($C1926,DATA_ASSET_CLASSIFICATION!$A$8:$A$24,0)),"Review"))</f>
        <v>Yes</v>
      </c>
      <c r="Q1926" s="350" t="str">
        <f t="shared" ca="1" si="61"/>
        <v>OK</v>
      </c>
    </row>
    <row r="1927" spans="1:17" ht="30">
      <c r="A1927" s="366" t="s">
        <v>3883</v>
      </c>
      <c r="B1927" s="366" t="s">
        <v>231</v>
      </c>
      <c r="C1927" s="348" t="str">
        <f>DATA_PROPERTY_MASTER!$A$10</f>
        <v>BLD_EA</v>
      </c>
      <c r="D1927" s="380">
        <f>'00_PORTFOLIO ROLLUP'!P$12</f>
        <v>2036</v>
      </c>
      <c r="E1927" s="366" t="s">
        <v>1683</v>
      </c>
      <c r="F1927" s="366" t="s">
        <v>355</v>
      </c>
      <c r="G1927" s="348" t="str">
        <f>"'"&amp;$C1927&amp;"'!$E$39:$Y$39"</f>
        <v>'BLD_EA'!$E$39:$Y$39</v>
      </c>
      <c r="H1927" s="381">
        <f ca="1">IF(IFERROR(INDEX(DATA_PROPERTY_MASTER!$E$5:$E$21,MATCH($C1927,DATA_PROPERTY_MASTER!$A$5:$A$21,0))="Yes",FALSE),IFERROR(INDEX(INDIRECT("'"&amp;$C1927&amp;"'!$E$39:$Y$39"),1,MATCH($D1927,INDIRECT("'"&amp;$C1927&amp;"'!$E$12:$Y$12"),0)),0),0)</f>
        <v>618383.59041472746</v>
      </c>
      <c r="I1927" s="366" t="s">
        <v>1690</v>
      </c>
      <c r="J1927" s="348" t="str">
        <f t="shared" ca="1" si="60"/>
        <v>OK</v>
      </c>
      <c r="K1927" s="366" t="s">
        <v>1686</v>
      </c>
      <c r="L1927" s="366" t="s">
        <v>2236</v>
      </c>
      <c r="M1927" s="350" t="str">
        <f>IF($B1927="Portfolio","Portfolio",IFERROR(INDEX(DATA_ASSET_CLASSIFICATION!$B$8:$B$24,MATCH($C1927,DATA_ASSET_CLASSIFICATION!$A$8:$A$24,0)),"Review"))</f>
        <v>Evergreen Apartments</v>
      </c>
      <c r="N1927" s="350" t="str">
        <f ca="1">IF($B1927="Portfolio","Portfolio",IFERROR(INDEX(DATA_ASSET_CLASSIFICATION!$U$8:$U$24,MATCH($C1927,DATA_ASSET_CLASSIFICATION!$A$8:$A$24,0)),"Review"))</f>
        <v>Refi Watch</v>
      </c>
      <c r="O1927" s="350" t="str">
        <f ca="1">IF($B1927="Portfolio","Portfolio",IFERROR(INDEX(DATA_ASSET_CLASSIFICATION!$AB$8:$AB$13,MATCH($N1927,DATA_ASSET_CLASSIFICATION!$AA$8:$AA$13,0)),"Review"))</f>
        <v>Bucket 2 · Legacy</v>
      </c>
      <c r="P1927" s="350" t="str">
        <f>IF($B1927="Portfolio","Portfolio",IFERROR(INDEX(DATA_ASSET_CLASSIFICATION!$C$8:$C$24,MATCH($C1927,DATA_ASSET_CLASSIFICATION!$A$8:$A$24,0)),"Review"))</f>
        <v>Yes</v>
      </c>
      <c r="Q1927" s="350" t="str">
        <f t="shared" ca="1" si="61"/>
        <v>OK</v>
      </c>
    </row>
    <row r="1928" spans="1:17" ht="30">
      <c r="A1928" s="366" t="s">
        <v>3884</v>
      </c>
      <c r="B1928" s="366" t="s">
        <v>231</v>
      </c>
      <c r="C1928" s="348" t="str">
        <f>DATA_PROPERTY_MASTER!$A$10</f>
        <v>BLD_EA</v>
      </c>
      <c r="D1928" s="380">
        <f>'00_PORTFOLIO ROLLUP'!P$12</f>
        <v>2036</v>
      </c>
      <c r="E1928" s="366" t="s">
        <v>1683</v>
      </c>
      <c r="F1928" s="366" t="s">
        <v>19</v>
      </c>
      <c r="G1928" s="348" t="str">
        <f>"'"&amp;$C1928&amp;"'!$E$41:$Y$41"</f>
        <v>'BLD_EA'!$E$41:$Y$41</v>
      </c>
      <c r="H1928" s="381">
        <f ca="1">IF(IFERROR(INDEX(DATA_PROPERTY_MASTER!$E$5:$E$21,MATCH($C1928,DATA_PROPERTY_MASTER!$A$5:$A$21,0))="Yes",FALSE),IFERROR(INDEX(INDIRECT("'"&amp;$C1928&amp;"'!$E$41:$Y$41"),1,MATCH($D1928,INDIRECT("'"&amp;$C1928&amp;"'!$E$12:$Y$12"),0)),0),0)</f>
        <v>616792.77069214068</v>
      </c>
      <c r="I1928" s="366" t="s">
        <v>1685</v>
      </c>
      <c r="J1928" s="348" t="str">
        <f t="shared" ca="1" si="60"/>
        <v>OK</v>
      </c>
      <c r="K1928" s="366" t="s">
        <v>1694</v>
      </c>
      <c r="L1928" s="366" t="s">
        <v>2238</v>
      </c>
      <c r="M1928" s="350" t="str">
        <f>IF($B1928="Portfolio","Portfolio",IFERROR(INDEX(DATA_ASSET_CLASSIFICATION!$B$8:$B$24,MATCH($C1928,DATA_ASSET_CLASSIFICATION!$A$8:$A$24,0)),"Review"))</f>
        <v>Evergreen Apartments</v>
      </c>
      <c r="N1928" s="350" t="str">
        <f ca="1">IF($B1928="Portfolio","Portfolio",IFERROR(INDEX(DATA_ASSET_CLASSIFICATION!$U$8:$U$24,MATCH($C1928,DATA_ASSET_CLASSIFICATION!$A$8:$A$24,0)),"Review"))</f>
        <v>Refi Watch</v>
      </c>
      <c r="O1928" s="350" t="str">
        <f ca="1">IF($B1928="Portfolio","Portfolio",IFERROR(INDEX(DATA_ASSET_CLASSIFICATION!$AB$8:$AB$13,MATCH($N1928,DATA_ASSET_CLASSIFICATION!$AA$8:$AA$13,0)),"Review"))</f>
        <v>Bucket 2 · Legacy</v>
      </c>
      <c r="P1928" s="350" t="str">
        <f>IF($B1928="Portfolio","Portfolio",IFERROR(INDEX(DATA_ASSET_CLASSIFICATION!$C$8:$C$24,MATCH($C1928,DATA_ASSET_CLASSIFICATION!$A$8:$A$24,0)),"Review"))</f>
        <v>Yes</v>
      </c>
      <c r="Q1928" s="350" t="str">
        <f t="shared" ca="1" si="61"/>
        <v>OK</v>
      </c>
    </row>
    <row r="1929" spans="1:17" ht="30">
      <c r="A1929" s="366" t="s">
        <v>3885</v>
      </c>
      <c r="B1929" s="366" t="s">
        <v>231</v>
      </c>
      <c r="C1929" s="348" t="str">
        <f>DATA_PROPERTY_MASTER!$A$10</f>
        <v>BLD_EA</v>
      </c>
      <c r="D1929" s="380">
        <f>'00_PORTFOLIO ROLLUP'!P$12</f>
        <v>2036</v>
      </c>
      <c r="E1929" s="366" t="s">
        <v>1683</v>
      </c>
      <c r="F1929" s="366" t="s">
        <v>1697</v>
      </c>
      <c r="G1929" s="348" t="str">
        <f>"'"&amp;$C1929&amp;"'!$E$44:$Y$44"</f>
        <v>'BLD_EA'!$E$44:$Y$44</v>
      </c>
      <c r="H1929" s="381">
        <f ca="1">IF(IFERROR(INDEX(DATA_PROPERTY_MASTER!$E$5:$E$21,MATCH($C1929,DATA_PROPERTY_MASTER!$A$5:$A$21,0))="Yes",FALSE),IFERROR(INDEX(INDIRECT("'"&amp;$C1929&amp;"'!$E$44:$Y$44"),1,MATCH($D1929,INDIRECT("'"&amp;$C1929&amp;"'!$E$12:$Y$12"),0)),0),0)</f>
        <v>11376.874921811066</v>
      </c>
      <c r="I1929" s="366" t="s">
        <v>1690</v>
      </c>
      <c r="J1929" s="348" t="str">
        <f t="shared" ca="1" si="60"/>
        <v>OK</v>
      </c>
      <c r="K1929" s="366" t="s">
        <v>1699</v>
      </c>
      <c r="L1929" s="366" t="s">
        <v>2240</v>
      </c>
      <c r="M1929" s="350" t="str">
        <f>IF($B1929="Portfolio","Portfolio",IFERROR(INDEX(DATA_ASSET_CLASSIFICATION!$B$8:$B$24,MATCH($C1929,DATA_ASSET_CLASSIFICATION!$A$8:$A$24,0)),"Review"))</f>
        <v>Evergreen Apartments</v>
      </c>
      <c r="N1929" s="350" t="str">
        <f ca="1">IF($B1929="Portfolio","Portfolio",IFERROR(INDEX(DATA_ASSET_CLASSIFICATION!$U$8:$U$24,MATCH($C1929,DATA_ASSET_CLASSIFICATION!$A$8:$A$24,0)),"Review"))</f>
        <v>Refi Watch</v>
      </c>
      <c r="O1929" s="350" t="str">
        <f ca="1">IF($B1929="Portfolio","Portfolio",IFERROR(INDEX(DATA_ASSET_CLASSIFICATION!$AB$8:$AB$13,MATCH($N1929,DATA_ASSET_CLASSIFICATION!$AA$8:$AA$13,0)),"Review"))</f>
        <v>Bucket 2 · Legacy</v>
      </c>
      <c r="P1929" s="350" t="str">
        <f>IF($B1929="Portfolio","Portfolio",IFERROR(INDEX(DATA_ASSET_CLASSIFICATION!$C$8:$C$24,MATCH($C1929,DATA_ASSET_CLASSIFICATION!$A$8:$A$24,0)),"Review"))</f>
        <v>Yes</v>
      </c>
      <c r="Q1929" s="350" t="str">
        <f t="shared" ca="1" si="61"/>
        <v>OK</v>
      </c>
    </row>
    <row r="1930" spans="1:17" ht="30">
      <c r="A1930" s="366" t="s">
        <v>3886</v>
      </c>
      <c r="B1930" s="366" t="s">
        <v>231</v>
      </c>
      <c r="C1930" s="348" t="str">
        <f>DATA_PROPERTY_MASTER!$A$10</f>
        <v>BLD_EA</v>
      </c>
      <c r="D1930" s="380">
        <f>'00_PORTFOLIO ROLLUP'!P$12</f>
        <v>2036</v>
      </c>
      <c r="E1930" s="366" t="s">
        <v>1683</v>
      </c>
      <c r="F1930" s="366" t="s">
        <v>21</v>
      </c>
      <c r="G1930" s="348" t="str">
        <f>"'"&amp;$C1930&amp;"'!$E$45:$Y$45"</f>
        <v>'BLD_EA'!$E$45:$Y$45</v>
      </c>
      <c r="H1930" s="381">
        <f ca="1">IF(IFERROR(INDEX(DATA_PROPERTY_MASTER!$E$5:$E$21,MATCH($C1930,DATA_PROPERTY_MASTER!$A$5:$A$21,0))="Yes",FALSE),IFERROR(INDEX(INDIRECT("'"&amp;$C1930&amp;"'!$E$45:$Y$45"),1,MATCH($D1930,INDIRECT("'"&amp;$C1930&amp;"'!$E$12:$Y$12"),0)),0),0)</f>
        <v>605415.89577032963</v>
      </c>
      <c r="I1930" s="366" t="s">
        <v>1685</v>
      </c>
      <c r="J1930" s="348" t="str">
        <f t="shared" ca="1" si="60"/>
        <v>OK</v>
      </c>
      <c r="K1930" s="366" t="s">
        <v>1694</v>
      </c>
      <c r="L1930" s="366" t="s">
        <v>2242</v>
      </c>
      <c r="M1930" s="350" t="str">
        <f>IF($B1930="Portfolio","Portfolio",IFERROR(INDEX(DATA_ASSET_CLASSIFICATION!$B$8:$B$24,MATCH($C1930,DATA_ASSET_CLASSIFICATION!$A$8:$A$24,0)),"Review"))</f>
        <v>Evergreen Apartments</v>
      </c>
      <c r="N1930" s="350" t="str">
        <f ca="1">IF($B1930="Portfolio","Portfolio",IFERROR(INDEX(DATA_ASSET_CLASSIFICATION!$U$8:$U$24,MATCH($C1930,DATA_ASSET_CLASSIFICATION!$A$8:$A$24,0)),"Review"))</f>
        <v>Refi Watch</v>
      </c>
      <c r="O1930" s="350" t="str">
        <f ca="1">IF($B1930="Portfolio","Portfolio",IFERROR(INDEX(DATA_ASSET_CLASSIFICATION!$AB$8:$AB$13,MATCH($N1930,DATA_ASSET_CLASSIFICATION!$AA$8:$AA$13,0)),"Review"))</f>
        <v>Bucket 2 · Legacy</v>
      </c>
      <c r="P1930" s="350" t="str">
        <f>IF($B1930="Portfolio","Portfolio",IFERROR(INDEX(DATA_ASSET_CLASSIFICATION!$C$8:$C$24,MATCH($C1930,DATA_ASSET_CLASSIFICATION!$A$8:$A$24,0)),"Review"))</f>
        <v>Yes</v>
      </c>
      <c r="Q1930" s="350" t="str">
        <f t="shared" ca="1" si="61"/>
        <v>OK</v>
      </c>
    </row>
    <row r="1931" spans="1:17" ht="30">
      <c r="A1931" s="366" t="s">
        <v>3887</v>
      </c>
      <c r="B1931" s="366" t="s">
        <v>231</v>
      </c>
      <c r="C1931" s="348" t="str">
        <f>DATA_PROPERTY_MASTER!$A$10</f>
        <v>BLD_EA</v>
      </c>
      <c r="D1931" s="380">
        <f>'00_PORTFOLIO ROLLUP'!P$12</f>
        <v>2036</v>
      </c>
      <c r="E1931" s="366" t="s">
        <v>23</v>
      </c>
      <c r="F1931" s="366" t="s">
        <v>23</v>
      </c>
      <c r="G1931" s="348" t="str">
        <f>"'"&amp;$C1931&amp;"'!$E$48:$Y$48"</f>
        <v>'BLD_EA'!$E$48:$Y$48</v>
      </c>
      <c r="H1931" s="381">
        <f ca="1">IF(IFERROR(INDEX(DATA_PROPERTY_MASTER!$E$5:$E$21,MATCH($C1931,DATA_PROPERTY_MASTER!$A$5:$A$21,0))="Yes",FALSE),IFERROR(INDEX(INDIRECT("'"&amp;$C1931&amp;"'!$E$48:$Y$48"),1,MATCH($D1931,INDIRECT("'"&amp;$C1931&amp;"'!$E$12:$Y$12"),0)),0),0)</f>
        <v>397585.07606343459</v>
      </c>
      <c r="I1931" s="366" t="s">
        <v>1690</v>
      </c>
      <c r="J1931" s="348" t="str">
        <f t="shared" ca="1" si="60"/>
        <v>OK</v>
      </c>
      <c r="K1931" s="366" t="s">
        <v>1706</v>
      </c>
      <c r="L1931" s="366" t="s">
        <v>2244</v>
      </c>
      <c r="M1931" s="350" t="str">
        <f>IF($B1931="Portfolio","Portfolio",IFERROR(INDEX(DATA_ASSET_CLASSIFICATION!$B$8:$B$24,MATCH($C1931,DATA_ASSET_CLASSIFICATION!$A$8:$A$24,0)),"Review"))</f>
        <v>Evergreen Apartments</v>
      </c>
      <c r="N1931" s="350" t="str">
        <f ca="1">IF($B1931="Portfolio","Portfolio",IFERROR(INDEX(DATA_ASSET_CLASSIFICATION!$U$8:$U$24,MATCH($C1931,DATA_ASSET_CLASSIFICATION!$A$8:$A$24,0)),"Review"))</f>
        <v>Refi Watch</v>
      </c>
      <c r="O1931" s="350" t="str">
        <f ca="1">IF($B1931="Portfolio","Portfolio",IFERROR(INDEX(DATA_ASSET_CLASSIFICATION!$AB$8:$AB$13,MATCH($N1931,DATA_ASSET_CLASSIFICATION!$AA$8:$AA$13,0)),"Review"))</f>
        <v>Bucket 2 · Legacy</v>
      </c>
      <c r="P1931" s="350" t="str">
        <f>IF($B1931="Portfolio","Portfolio",IFERROR(INDEX(DATA_ASSET_CLASSIFICATION!$C$8:$C$24,MATCH($C1931,DATA_ASSET_CLASSIFICATION!$A$8:$A$24,0)),"Review"))</f>
        <v>Yes</v>
      </c>
      <c r="Q1931" s="350" t="str">
        <f t="shared" ca="1" si="61"/>
        <v>OK</v>
      </c>
    </row>
    <row r="1932" spans="1:17" ht="30">
      <c r="A1932" s="366" t="s">
        <v>3888</v>
      </c>
      <c r="B1932" s="366" t="s">
        <v>231</v>
      </c>
      <c r="C1932" s="348" t="str">
        <f>DATA_PROPERTY_MASTER!$A$10</f>
        <v>BLD_EA</v>
      </c>
      <c r="D1932" s="380">
        <f>'00_PORTFOLIO ROLLUP'!P$12</f>
        <v>2036</v>
      </c>
      <c r="E1932" s="366" t="s">
        <v>1683</v>
      </c>
      <c r="F1932" s="366" t="s">
        <v>25</v>
      </c>
      <c r="G1932" s="348" t="str">
        <f>"'"&amp;$C1932&amp;"'!$E$52:$Y$52"</f>
        <v>'BLD_EA'!$E$52:$Y$52</v>
      </c>
      <c r="H1932" s="381">
        <f ca="1">IF(IFERROR(INDEX(DATA_PROPERTY_MASTER!$E$5:$E$21,MATCH($C1932,DATA_PROPERTY_MASTER!$A$5:$A$21,0))="Yes",FALSE),IFERROR(INDEX(INDIRECT("'"&amp;$C1932&amp;"'!$E$52:$Y$52"),1,MATCH($D1932,INDIRECT("'"&amp;$C1932&amp;"'!$E$12:$Y$12"),0)),0),0)</f>
        <v>219207.69462870609</v>
      </c>
      <c r="I1932" s="366" t="s">
        <v>1685</v>
      </c>
      <c r="J1932" s="348" t="str">
        <f t="shared" ca="1" si="60"/>
        <v>OK</v>
      </c>
      <c r="K1932" s="366" t="s">
        <v>1710</v>
      </c>
      <c r="L1932" s="366" t="s">
        <v>2246</v>
      </c>
      <c r="M1932" s="350" t="str">
        <f>IF($B1932="Portfolio","Portfolio",IFERROR(INDEX(DATA_ASSET_CLASSIFICATION!$B$8:$B$24,MATCH($C1932,DATA_ASSET_CLASSIFICATION!$A$8:$A$24,0)),"Review"))</f>
        <v>Evergreen Apartments</v>
      </c>
      <c r="N1932" s="350" t="str">
        <f ca="1">IF($B1932="Portfolio","Portfolio",IFERROR(INDEX(DATA_ASSET_CLASSIFICATION!$U$8:$U$24,MATCH($C1932,DATA_ASSET_CLASSIFICATION!$A$8:$A$24,0)),"Review"))</f>
        <v>Refi Watch</v>
      </c>
      <c r="O1932" s="350" t="str">
        <f ca="1">IF($B1932="Portfolio","Portfolio",IFERROR(INDEX(DATA_ASSET_CLASSIFICATION!$AB$8:$AB$13,MATCH($N1932,DATA_ASSET_CLASSIFICATION!$AA$8:$AA$13,0)),"Review"))</f>
        <v>Bucket 2 · Legacy</v>
      </c>
      <c r="P1932" s="350" t="str">
        <f>IF($B1932="Portfolio","Portfolio",IFERROR(INDEX(DATA_ASSET_CLASSIFICATION!$C$8:$C$24,MATCH($C1932,DATA_ASSET_CLASSIFICATION!$A$8:$A$24,0)),"Review"))</f>
        <v>Yes</v>
      </c>
      <c r="Q1932" s="350" t="str">
        <f t="shared" ca="1" si="61"/>
        <v>OK</v>
      </c>
    </row>
    <row r="1933" spans="1:17" ht="30">
      <c r="A1933" s="366" t="s">
        <v>3889</v>
      </c>
      <c r="B1933" s="366" t="s">
        <v>231</v>
      </c>
      <c r="C1933" s="348" t="str">
        <f>DATA_PROPERTY_MASTER!$A$10</f>
        <v>BLD_EA</v>
      </c>
      <c r="D1933" s="380">
        <f>'00_PORTFOLIO ROLLUP'!P$12</f>
        <v>2036</v>
      </c>
      <c r="E1933" s="366" t="s">
        <v>1683</v>
      </c>
      <c r="F1933" s="366" t="s">
        <v>27</v>
      </c>
      <c r="G1933" s="348" t="str">
        <f>"'"&amp;$C1933&amp;"'!$E$54:$Y$54"</f>
        <v>'BLD_EA'!$E$54:$Y$54</v>
      </c>
      <c r="H1933" s="381">
        <f ca="1">IF(IFERROR(INDEX(DATA_PROPERTY_MASTER!$E$5:$E$21,MATCH($C1933,DATA_PROPERTY_MASTER!$A$5:$A$21,0))="Yes",FALSE),IFERROR(INDEX(INDIRECT("'"&amp;$C1933&amp;"'!$E$54:$Y$54"),1,MATCH($D1933,INDIRECT("'"&amp;$C1933&amp;"'!$E$12:$Y$12"),0)),0),0)</f>
        <v>131524.61677722365</v>
      </c>
      <c r="I1933" s="366" t="s">
        <v>1690</v>
      </c>
      <c r="J1933" s="348" t="str">
        <f t="shared" ca="1" si="60"/>
        <v>OK</v>
      </c>
      <c r="K1933" s="366" t="s">
        <v>1714</v>
      </c>
      <c r="L1933" s="366" t="s">
        <v>2248</v>
      </c>
      <c r="M1933" s="350" t="str">
        <f>IF($B1933="Portfolio","Portfolio",IFERROR(INDEX(DATA_ASSET_CLASSIFICATION!$B$8:$B$24,MATCH($C1933,DATA_ASSET_CLASSIFICATION!$A$8:$A$24,0)),"Review"))</f>
        <v>Evergreen Apartments</v>
      </c>
      <c r="N1933" s="350" t="str">
        <f ca="1">IF($B1933="Portfolio","Portfolio",IFERROR(INDEX(DATA_ASSET_CLASSIFICATION!$U$8:$U$24,MATCH($C1933,DATA_ASSET_CLASSIFICATION!$A$8:$A$24,0)),"Review"))</f>
        <v>Refi Watch</v>
      </c>
      <c r="O1933" s="350" t="str">
        <f ca="1">IF($B1933="Portfolio","Portfolio",IFERROR(INDEX(DATA_ASSET_CLASSIFICATION!$AB$8:$AB$13,MATCH($N1933,DATA_ASSET_CLASSIFICATION!$AA$8:$AA$13,0)),"Review"))</f>
        <v>Bucket 2 · Legacy</v>
      </c>
      <c r="P1933" s="350" t="str">
        <f>IF($B1933="Portfolio","Portfolio",IFERROR(INDEX(DATA_ASSET_CLASSIFICATION!$C$8:$C$24,MATCH($C1933,DATA_ASSET_CLASSIFICATION!$A$8:$A$24,0)),"Review"))</f>
        <v>Yes</v>
      </c>
      <c r="Q1933" s="350" t="str">
        <f t="shared" ca="1" si="61"/>
        <v>OK</v>
      </c>
    </row>
    <row r="1934" spans="1:17" ht="30">
      <c r="A1934" s="366" t="s">
        <v>3890</v>
      </c>
      <c r="B1934" s="366" t="s">
        <v>231</v>
      </c>
      <c r="C1934" s="348" t="str">
        <f>DATA_PROPERTY_MASTER!$A$10</f>
        <v>BLD_EA</v>
      </c>
      <c r="D1934" s="380">
        <f>'00_PORTFOLIO ROLLUP'!P$12</f>
        <v>2036</v>
      </c>
      <c r="E1934" s="366" t="s">
        <v>1683</v>
      </c>
      <c r="F1934" s="366" t="s">
        <v>29</v>
      </c>
      <c r="G1934" s="348" t="str">
        <f>"'"&amp;$C1934&amp;"'!$E$56:$Y$56"</f>
        <v>'BLD_EA'!$E$56:$Y$56</v>
      </c>
      <c r="H1934" s="381">
        <f ca="1">IF(IFERROR(INDEX(DATA_PROPERTY_MASTER!$E$5:$E$21,MATCH($C1934,DATA_PROPERTY_MASTER!$A$5:$A$21,0))="Yes",FALSE),IFERROR(INDEX(INDIRECT("'"&amp;$C1934&amp;"'!$E$56:$Y$56"),1,MATCH($D1934,INDIRECT("'"&amp;$C1934&amp;"'!$E$12:$Y$12"),0)),0),0)</f>
        <v>87683.077851482434</v>
      </c>
      <c r="I1934" s="366" t="s">
        <v>1685</v>
      </c>
      <c r="J1934" s="348" t="str">
        <f t="shared" ca="1" si="60"/>
        <v>OK</v>
      </c>
      <c r="K1934" s="366" t="s">
        <v>1718</v>
      </c>
      <c r="L1934" s="366" t="s">
        <v>2250</v>
      </c>
      <c r="M1934" s="350" t="str">
        <f>IF($B1934="Portfolio","Portfolio",IFERROR(INDEX(DATA_ASSET_CLASSIFICATION!$B$8:$B$24,MATCH($C1934,DATA_ASSET_CLASSIFICATION!$A$8:$A$24,0)),"Review"))</f>
        <v>Evergreen Apartments</v>
      </c>
      <c r="N1934" s="350" t="str">
        <f ca="1">IF($B1934="Portfolio","Portfolio",IFERROR(INDEX(DATA_ASSET_CLASSIFICATION!$U$8:$U$24,MATCH($C1934,DATA_ASSET_CLASSIFICATION!$A$8:$A$24,0)),"Review"))</f>
        <v>Refi Watch</v>
      </c>
      <c r="O1934" s="350" t="str">
        <f ca="1">IF($B1934="Portfolio","Portfolio",IFERROR(INDEX(DATA_ASSET_CLASSIFICATION!$AB$8:$AB$13,MATCH($N1934,DATA_ASSET_CLASSIFICATION!$AA$8:$AA$13,0)),"Review"))</f>
        <v>Bucket 2 · Legacy</v>
      </c>
      <c r="P1934" s="350" t="str">
        <f>IF($B1934="Portfolio","Portfolio",IFERROR(INDEX(DATA_ASSET_CLASSIFICATION!$C$8:$C$24,MATCH($C1934,DATA_ASSET_CLASSIFICATION!$A$8:$A$24,0)),"Review"))</f>
        <v>Yes</v>
      </c>
      <c r="Q1934" s="350" t="str">
        <f t="shared" ca="1" si="61"/>
        <v>OK</v>
      </c>
    </row>
    <row r="1935" spans="1:17" ht="30">
      <c r="A1935" s="366" t="s">
        <v>3891</v>
      </c>
      <c r="B1935" s="366" t="s">
        <v>231</v>
      </c>
      <c r="C1935" s="348" t="str">
        <f>DATA_PROPERTY_MASTER!$A$10</f>
        <v>BLD_EA</v>
      </c>
      <c r="D1935" s="380">
        <f>'00_PORTFOLIO ROLLUP'!P$12</f>
        <v>2036</v>
      </c>
      <c r="E1935" s="366" t="s">
        <v>1721</v>
      </c>
      <c r="F1935" s="366" t="s">
        <v>31</v>
      </c>
      <c r="G1935" s="348" t="str">
        <f>"'"&amp;$C1935&amp;"'!$E$61:$Y$61"</f>
        <v>'BLD_EA'!$E$61:$Y$61</v>
      </c>
      <c r="H1935" s="381">
        <f ca="1">IF(IFERROR(INDEX(DATA_PROPERTY_MASTER!$E$5:$E$21,MATCH($C1935,DATA_PROPERTY_MASTER!$A$5:$A$21,0))="Yes",FALSE),IFERROR(INDEX(INDIRECT("'"&amp;$C1935&amp;"'!$E$61:$Y$61"),1,MATCH($D1935,INDIRECT("'"&amp;$C1935&amp;"'!$E$12:$Y$12"),0)),0),0)</f>
        <v>0</v>
      </c>
      <c r="I1935" s="366" t="s">
        <v>1690</v>
      </c>
      <c r="J1935" s="348" t="str">
        <f t="shared" ca="1" si="60"/>
        <v>OK</v>
      </c>
      <c r="K1935" s="366" t="s">
        <v>1723</v>
      </c>
      <c r="L1935" s="366" t="s">
        <v>2252</v>
      </c>
      <c r="M1935" s="350" t="str">
        <f>IF($B1935="Portfolio","Portfolio",IFERROR(INDEX(DATA_ASSET_CLASSIFICATION!$B$8:$B$24,MATCH($C1935,DATA_ASSET_CLASSIFICATION!$A$8:$A$24,0)),"Review"))</f>
        <v>Evergreen Apartments</v>
      </c>
      <c r="N1935" s="350" t="str">
        <f ca="1">IF($B1935="Portfolio","Portfolio",IFERROR(INDEX(DATA_ASSET_CLASSIFICATION!$U$8:$U$24,MATCH($C1935,DATA_ASSET_CLASSIFICATION!$A$8:$A$24,0)),"Review"))</f>
        <v>Refi Watch</v>
      </c>
      <c r="O1935" s="350" t="str">
        <f ca="1">IF($B1935="Portfolio","Portfolio",IFERROR(INDEX(DATA_ASSET_CLASSIFICATION!$AB$8:$AB$13,MATCH($N1935,DATA_ASSET_CLASSIFICATION!$AA$8:$AA$13,0)),"Review"))</f>
        <v>Bucket 2 · Legacy</v>
      </c>
      <c r="P1935" s="350" t="str">
        <f>IF($B1935="Portfolio","Portfolio",IFERROR(INDEX(DATA_ASSET_CLASSIFICATION!$C$8:$C$24,MATCH($C1935,DATA_ASSET_CLASSIFICATION!$A$8:$A$24,0)),"Review"))</f>
        <v>Yes</v>
      </c>
      <c r="Q1935" s="350" t="str">
        <f t="shared" ca="1" si="61"/>
        <v>OK</v>
      </c>
    </row>
    <row r="1936" spans="1:17" ht="30">
      <c r="A1936" s="366" t="s">
        <v>3892</v>
      </c>
      <c r="B1936" s="366" t="s">
        <v>231</v>
      </c>
      <c r="C1936" s="348" t="str">
        <f>DATA_PROPERTY_MASTER!$A$10</f>
        <v>BLD_EA</v>
      </c>
      <c r="D1936" s="380">
        <f>'00_PORTFOLIO ROLLUP'!P$12</f>
        <v>2036</v>
      </c>
      <c r="E1936" s="366" t="s">
        <v>1721</v>
      </c>
      <c r="F1936" s="366" t="s">
        <v>33</v>
      </c>
      <c r="G1936" s="348" t="str">
        <f>"'"&amp;$C1936&amp;"'!$E$62:$Y$62"</f>
        <v>'BLD_EA'!$E$62:$Y$62</v>
      </c>
      <c r="H1936" s="381">
        <f ca="1">IF(IFERROR(INDEX(DATA_PROPERTY_MASTER!$E$5:$E$21,MATCH($C1936,DATA_PROPERTY_MASTER!$A$5:$A$21,0))="Yes",FALSE),IFERROR(INDEX(INDIRECT("'"&amp;$C1936&amp;"'!$E$62:$Y$62"),1,MATCH($D1936,INDIRECT("'"&amp;$C1936&amp;"'!$E$12:$Y$12"),0)),0),0)</f>
        <v>0</v>
      </c>
      <c r="I1936" s="366" t="s">
        <v>1685</v>
      </c>
      <c r="J1936" s="348" t="str">
        <f t="shared" ca="1" si="60"/>
        <v>OK</v>
      </c>
      <c r="K1936" s="366" t="s">
        <v>1727</v>
      </c>
      <c r="L1936" s="366" t="s">
        <v>2254</v>
      </c>
      <c r="M1936" s="350" t="str">
        <f>IF($B1936="Portfolio","Portfolio",IFERROR(INDEX(DATA_ASSET_CLASSIFICATION!$B$8:$B$24,MATCH($C1936,DATA_ASSET_CLASSIFICATION!$A$8:$A$24,0)),"Review"))</f>
        <v>Evergreen Apartments</v>
      </c>
      <c r="N1936" s="350" t="str">
        <f ca="1">IF($B1936="Portfolio","Portfolio",IFERROR(INDEX(DATA_ASSET_CLASSIFICATION!$U$8:$U$24,MATCH($C1936,DATA_ASSET_CLASSIFICATION!$A$8:$A$24,0)),"Review"))</f>
        <v>Refi Watch</v>
      </c>
      <c r="O1936" s="350" t="str">
        <f ca="1">IF($B1936="Portfolio","Portfolio",IFERROR(INDEX(DATA_ASSET_CLASSIFICATION!$AB$8:$AB$13,MATCH($N1936,DATA_ASSET_CLASSIFICATION!$AA$8:$AA$13,0)),"Review"))</f>
        <v>Bucket 2 · Legacy</v>
      </c>
      <c r="P1936" s="350" t="str">
        <f>IF($B1936="Portfolio","Portfolio",IFERROR(INDEX(DATA_ASSET_CLASSIFICATION!$C$8:$C$24,MATCH($C1936,DATA_ASSET_CLASSIFICATION!$A$8:$A$24,0)),"Review"))</f>
        <v>Yes</v>
      </c>
      <c r="Q1936" s="350" t="str">
        <f t="shared" ca="1" si="61"/>
        <v>OK</v>
      </c>
    </row>
    <row r="1937" spans="1:17" ht="30">
      <c r="A1937" s="366" t="s">
        <v>3893</v>
      </c>
      <c r="B1937" s="366" t="s">
        <v>231</v>
      </c>
      <c r="C1937" s="348" t="str">
        <f>DATA_PROPERTY_MASTER!$A$10</f>
        <v>BLD_EA</v>
      </c>
      <c r="D1937" s="380">
        <f>'00_PORTFOLIO ROLLUP'!P$12</f>
        <v>2036</v>
      </c>
      <c r="E1937" s="366" t="s">
        <v>1721</v>
      </c>
      <c r="F1937" s="366" t="s">
        <v>35</v>
      </c>
      <c r="G1937" s="348" t="str">
        <f>"'"&amp;$C1937&amp;"'!$E$63:$Y$63"</f>
        <v>'BLD_EA'!$E$63:$Y$63</v>
      </c>
      <c r="H1937" s="381">
        <f ca="1">IF(IFERROR(INDEX(DATA_PROPERTY_MASTER!$E$5:$E$21,MATCH($C1937,DATA_PROPERTY_MASTER!$A$5:$A$21,0))="Yes",FALSE),IFERROR(INDEX(INDIRECT("'"&amp;$C1937&amp;"'!$E$63:$Y$63"),1,MATCH($D1937,INDIRECT("'"&amp;$C1937&amp;"'!$E$12:$Y$12"),0)),0),0)</f>
        <v>0</v>
      </c>
      <c r="I1937" s="366" t="s">
        <v>1731</v>
      </c>
      <c r="J1937" s="348" t="str">
        <f t="shared" ca="1" si="60"/>
        <v>OK</v>
      </c>
      <c r="K1937" s="366" t="s">
        <v>1732</v>
      </c>
      <c r="L1937" s="366" t="s">
        <v>2256</v>
      </c>
      <c r="M1937" s="350" t="str">
        <f>IF($B1937="Portfolio","Portfolio",IFERROR(INDEX(DATA_ASSET_CLASSIFICATION!$B$8:$B$24,MATCH($C1937,DATA_ASSET_CLASSIFICATION!$A$8:$A$24,0)),"Review"))</f>
        <v>Evergreen Apartments</v>
      </c>
      <c r="N1937" s="350" t="str">
        <f ca="1">IF($B1937="Portfolio","Portfolio",IFERROR(INDEX(DATA_ASSET_CLASSIFICATION!$U$8:$U$24,MATCH($C1937,DATA_ASSET_CLASSIFICATION!$A$8:$A$24,0)),"Review"))</f>
        <v>Refi Watch</v>
      </c>
      <c r="O1937" s="350" t="str">
        <f ca="1">IF($B1937="Portfolio","Portfolio",IFERROR(INDEX(DATA_ASSET_CLASSIFICATION!$AB$8:$AB$13,MATCH($N1937,DATA_ASSET_CLASSIFICATION!$AA$8:$AA$13,0)),"Review"))</f>
        <v>Bucket 2 · Legacy</v>
      </c>
      <c r="P1937" s="350" t="str">
        <f>IF($B1937="Portfolio","Portfolio",IFERROR(INDEX(DATA_ASSET_CLASSIFICATION!$C$8:$C$24,MATCH($C1937,DATA_ASSET_CLASSIFICATION!$A$8:$A$24,0)),"Review"))</f>
        <v>Yes</v>
      </c>
      <c r="Q1937" s="350" t="str">
        <f t="shared" ca="1" si="61"/>
        <v>OK</v>
      </c>
    </row>
    <row r="1938" spans="1:17" ht="30">
      <c r="A1938" s="366" t="s">
        <v>3894</v>
      </c>
      <c r="B1938" s="366" t="s">
        <v>231</v>
      </c>
      <c r="C1938" s="348" t="str">
        <f>DATA_PROPERTY_MASTER!$A$10</f>
        <v>BLD_EA</v>
      </c>
      <c r="D1938" s="380">
        <f>'00_PORTFOLIO ROLLUP'!P$12</f>
        <v>2036</v>
      </c>
      <c r="E1938" s="366" t="s">
        <v>1721</v>
      </c>
      <c r="F1938" s="366" t="s">
        <v>37</v>
      </c>
      <c r="G1938" s="348" t="str">
        <f>"'"&amp;$C1938&amp;"'!$E$63:$Y$63"</f>
        <v>'BLD_EA'!$E$63:$Y$63</v>
      </c>
      <c r="H1938" s="381">
        <f ca="1">IF(IFERROR(INDEX(DATA_PROPERTY_MASTER!$E$5:$E$21,MATCH($C1938,DATA_PROPERTY_MASTER!$A$5:$A$21,0))="Yes",FALSE),MAX(IFERROR(INDEX(INDIRECT("'"&amp;$C1938&amp;"'!$E$63:$Y$63"),1,MATCH($D1938,INDIRECT("'"&amp;$C1938&amp;"'!$E$12:$Y$12"),0)),0),0),0)</f>
        <v>0</v>
      </c>
      <c r="I1938" s="366" t="s">
        <v>1685</v>
      </c>
      <c r="J1938" s="348" t="str">
        <f t="shared" ca="1" si="60"/>
        <v>OK</v>
      </c>
      <c r="K1938" s="366" t="s">
        <v>1735</v>
      </c>
      <c r="L1938" s="366" t="s">
        <v>2258</v>
      </c>
      <c r="M1938" s="350" t="str">
        <f>IF($B1938="Portfolio","Portfolio",IFERROR(INDEX(DATA_ASSET_CLASSIFICATION!$B$8:$B$24,MATCH($C1938,DATA_ASSET_CLASSIFICATION!$A$8:$A$24,0)),"Review"))</f>
        <v>Evergreen Apartments</v>
      </c>
      <c r="N1938" s="350" t="str">
        <f ca="1">IF($B1938="Portfolio","Portfolio",IFERROR(INDEX(DATA_ASSET_CLASSIFICATION!$U$8:$U$24,MATCH($C1938,DATA_ASSET_CLASSIFICATION!$A$8:$A$24,0)),"Review"))</f>
        <v>Refi Watch</v>
      </c>
      <c r="O1938" s="350" t="str">
        <f ca="1">IF($B1938="Portfolio","Portfolio",IFERROR(INDEX(DATA_ASSET_CLASSIFICATION!$AB$8:$AB$13,MATCH($N1938,DATA_ASSET_CLASSIFICATION!$AA$8:$AA$13,0)),"Review"))</f>
        <v>Bucket 2 · Legacy</v>
      </c>
      <c r="P1938" s="350" t="str">
        <f>IF($B1938="Portfolio","Portfolio",IFERROR(INDEX(DATA_ASSET_CLASSIFICATION!$C$8:$C$24,MATCH($C1938,DATA_ASSET_CLASSIFICATION!$A$8:$A$24,0)),"Review"))</f>
        <v>Yes</v>
      </c>
      <c r="Q1938" s="350" t="str">
        <f t="shared" ca="1" si="61"/>
        <v>OK</v>
      </c>
    </row>
    <row r="1939" spans="1:17" ht="30">
      <c r="A1939" s="366" t="s">
        <v>3895</v>
      </c>
      <c r="B1939" s="366" t="s">
        <v>231</v>
      </c>
      <c r="C1939" s="348" t="str">
        <f>DATA_PROPERTY_MASTER!$A$10</f>
        <v>BLD_EA</v>
      </c>
      <c r="D1939" s="380">
        <f>'00_PORTFOLIO ROLLUP'!P$12</f>
        <v>2036</v>
      </c>
      <c r="E1939" s="366" t="s">
        <v>1721</v>
      </c>
      <c r="F1939" s="366" t="s">
        <v>39</v>
      </c>
      <c r="G1939" s="348" t="str">
        <f>"'"&amp;$C1939&amp;"'!$E$63:$Y$63"</f>
        <v>'BLD_EA'!$E$63:$Y$63</v>
      </c>
      <c r="H1939" s="381">
        <f ca="1">IF(IFERROR(INDEX(DATA_PROPERTY_MASTER!$E$5:$E$21,MATCH($C1939,DATA_PROPERTY_MASTER!$A$5:$A$21,0))="Yes",FALSE),MAX(-IFERROR(INDEX(INDIRECT("'"&amp;$C1939&amp;"'!$E$63:$Y$63"),1,MATCH($D1939,INDIRECT("'"&amp;$C1939&amp;"'!$E$12:$Y$12"),0)),0),0),0)</f>
        <v>0</v>
      </c>
      <c r="I1939" s="366" t="s">
        <v>1690</v>
      </c>
      <c r="J1939" s="348" t="str">
        <f t="shared" ca="1" si="60"/>
        <v>OK</v>
      </c>
      <c r="K1939" s="366" t="s">
        <v>1738</v>
      </c>
      <c r="L1939" s="366" t="s">
        <v>2260</v>
      </c>
      <c r="M1939" s="350" t="str">
        <f>IF($B1939="Portfolio","Portfolio",IFERROR(INDEX(DATA_ASSET_CLASSIFICATION!$B$8:$B$24,MATCH($C1939,DATA_ASSET_CLASSIFICATION!$A$8:$A$24,0)),"Review"))</f>
        <v>Evergreen Apartments</v>
      </c>
      <c r="N1939" s="350" t="str">
        <f ca="1">IF($B1939="Portfolio","Portfolio",IFERROR(INDEX(DATA_ASSET_CLASSIFICATION!$U$8:$U$24,MATCH($C1939,DATA_ASSET_CLASSIFICATION!$A$8:$A$24,0)),"Review"))</f>
        <v>Refi Watch</v>
      </c>
      <c r="O1939" s="350" t="str">
        <f ca="1">IF($B1939="Portfolio","Portfolio",IFERROR(INDEX(DATA_ASSET_CLASSIFICATION!$AB$8:$AB$13,MATCH($N1939,DATA_ASSET_CLASSIFICATION!$AA$8:$AA$13,0)),"Review"))</f>
        <v>Bucket 2 · Legacy</v>
      </c>
      <c r="P1939" s="350" t="str">
        <f>IF($B1939="Portfolio","Portfolio",IFERROR(INDEX(DATA_ASSET_CLASSIFICATION!$C$8:$C$24,MATCH($C1939,DATA_ASSET_CLASSIFICATION!$A$8:$A$24,0)),"Review"))</f>
        <v>Yes</v>
      </c>
      <c r="Q1939" s="350" t="str">
        <f t="shared" ca="1" si="61"/>
        <v>OK</v>
      </c>
    </row>
    <row r="1940" spans="1:17" ht="30">
      <c r="A1940" s="366" t="s">
        <v>3896</v>
      </c>
      <c r="B1940" s="366" t="s">
        <v>231</v>
      </c>
      <c r="C1940" s="348" t="str">
        <f>DATA_PROPERTY_MASTER!$A$10</f>
        <v>BLD_EA</v>
      </c>
      <c r="D1940" s="380">
        <f>'00_PORTFOLIO ROLLUP'!P$12</f>
        <v>2036</v>
      </c>
      <c r="E1940" s="366" t="s">
        <v>1741</v>
      </c>
      <c r="F1940" s="366" t="s">
        <v>41</v>
      </c>
      <c r="G1940" s="348" t="str">
        <f>"'"&amp;$C1940&amp;"'!rows 56 + positive row 63"</f>
        <v>'BLD_EA'!rows 56 + positive row 63</v>
      </c>
      <c r="H1940" s="381">
        <f ca="1">IF(IFERROR(INDEX(DATA_PROPERTY_MASTER!$E$5:$E$21,MATCH($C1940,DATA_PROPERTY_MASTER!$A$5:$A$21,0))="Yes",FALSE),IFERROR(INDEX(INDIRECT("'"&amp;$C1940&amp;"'!$E$56:$Y$56"),1,MATCH($D1940,INDIRECT("'"&amp;$C1940&amp;"'!$E$12:$Y$12"),0)),0)+MAX(IFERROR(INDEX(INDIRECT("'"&amp;$C1940&amp;"'!$E$63:$Y$63"),1,MATCH($D1940,INDIRECT("'"&amp;$C1940&amp;"'!$E$12:$Y$12"),0)),0),0),0)</f>
        <v>87683.077851482434</v>
      </c>
      <c r="I1940" s="366" t="s">
        <v>1685</v>
      </c>
      <c r="J1940" s="348" t="str">
        <f t="shared" ca="1" si="60"/>
        <v>OK</v>
      </c>
      <c r="K1940" s="366" t="s">
        <v>1742</v>
      </c>
      <c r="L1940" s="366" t="s">
        <v>2262</v>
      </c>
      <c r="M1940" s="350" t="str">
        <f>IF($B1940="Portfolio","Portfolio",IFERROR(INDEX(DATA_ASSET_CLASSIFICATION!$B$8:$B$24,MATCH($C1940,DATA_ASSET_CLASSIFICATION!$A$8:$A$24,0)),"Review"))</f>
        <v>Evergreen Apartments</v>
      </c>
      <c r="N1940" s="350" t="str">
        <f ca="1">IF($B1940="Portfolio","Portfolio",IFERROR(INDEX(DATA_ASSET_CLASSIFICATION!$U$8:$U$24,MATCH($C1940,DATA_ASSET_CLASSIFICATION!$A$8:$A$24,0)),"Review"))</f>
        <v>Refi Watch</v>
      </c>
      <c r="O1940" s="350" t="str">
        <f ca="1">IF($B1940="Portfolio","Portfolio",IFERROR(INDEX(DATA_ASSET_CLASSIFICATION!$AB$8:$AB$13,MATCH($N1940,DATA_ASSET_CLASSIFICATION!$AA$8:$AA$13,0)),"Review"))</f>
        <v>Bucket 2 · Legacy</v>
      </c>
      <c r="P1940" s="350" t="str">
        <f>IF($B1940="Portfolio","Portfolio",IFERROR(INDEX(DATA_ASSET_CLASSIFICATION!$C$8:$C$24,MATCH($C1940,DATA_ASSET_CLASSIFICATION!$A$8:$A$24,0)),"Review"))</f>
        <v>Yes</v>
      </c>
      <c r="Q1940" s="350" t="str">
        <f t="shared" ca="1" si="61"/>
        <v>OK</v>
      </c>
    </row>
    <row r="1941" spans="1:17" ht="30">
      <c r="A1941" s="366" t="s">
        <v>3897</v>
      </c>
      <c r="B1941" s="366" t="s">
        <v>231</v>
      </c>
      <c r="C1941" s="348" t="str">
        <f>DATA_PROPERTY_MASTER!$A$10</f>
        <v>BLD_EA</v>
      </c>
      <c r="D1941" s="380">
        <f>'00_PORTFOLIO ROLLUP'!P$12</f>
        <v>2036</v>
      </c>
      <c r="E1941" s="366" t="s">
        <v>1741</v>
      </c>
      <c r="F1941" s="366" t="s">
        <v>43</v>
      </c>
      <c r="G1941" s="348" t="str">
        <f>"'"&amp;$C1941&amp;"'!$E$68:$Y$68"</f>
        <v>'BLD_EA'!$E$68:$Y$68</v>
      </c>
      <c r="H1941" s="381">
        <f ca="1">IF(IFERROR(INDEX(DATA_PROPERTY_MASTER!$E$5:$E$21,MATCH($C1941,DATA_PROPERTY_MASTER!$A$5:$A$21,0))="Yes",FALSE),IFERROR(INDEX(INDIRECT("'"&amp;$C1941&amp;"'!$E$68:$Y$68"),1,MATCH($D1941,INDIRECT("'"&amp;$C1941&amp;"'!$E$12:$Y$12"),0)),0),0)</f>
        <v>87683.077851482434</v>
      </c>
      <c r="I1941" s="366" t="s">
        <v>1731</v>
      </c>
      <c r="J1941" s="348" t="str">
        <f t="shared" ca="1" si="60"/>
        <v>OK</v>
      </c>
      <c r="K1941" s="366" t="s">
        <v>1746</v>
      </c>
      <c r="L1941" s="366" t="s">
        <v>2264</v>
      </c>
      <c r="M1941" s="350" t="str">
        <f>IF($B1941="Portfolio","Portfolio",IFERROR(INDEX(DATA_ASSET_CLASSIFICATION!$B$8:$B$24,MATCH($C1941,DATA_ASSET_CLASSIFICATION!$A$8:$A$24,0)),"Review"))</f>
        <v>Evergreen Apartments</v>
      </c>
      <c r="N1941" s="350" t="str">
        <f ca="1">IF($B1941="Portfolio","Portfolio",IFERROR(INDEX(DATA_ASSET_CLASSIFICATION!$U$8:$U$24,MATCH($C1941,DATA_ASSET_CLASSIFICATION!$A$8:$A$24,0)),"Review"))</f>
        <v>Refi Watch</v>
      </c>
      <c r="O1941" s="350" t="str">
        <f ca="1">IF($B1941="Portfolio","Portfolio",IFERROR(INDEX(DATA_ASSET_CLASSIFICATION!$AB$8:$AB$13,MATCH($N1941,DATA_ASSET_CLASSIFICATION!$AA$8:$AA$13,0)),"Review"))</f>
        <v>Bucket 2 · Legacy</v>
      </c>
      <c r="P1941" s="350" t="str">
        <f>IF($B1941="Portfolio","Portfolio",IFERROR(INDEX(DATA_ASSET_CLASSIFICATION!$C$8:$C$24,MATCH($C1941,DATA_ASSET_CLASSIFICATION!$A$8:$A$24,0)),"Review"))</f>
        <v>Yes</v>
      </c>
      <c r="Q1941" s="350" t="str">
        <f t="shared" ca="1" si="61"/>
        <v>OK</v>
      </c>
    </row>
    <row r="1942" spans="1:17" ht="30">
      <c r="A1942" s="366" t="s">
        <v>3898</v>
      </c>
      <c r="B1942" s="366" t="s">
        <v>231</v>
      </c>
      <c r="C1942" s="348" t="str">
        <f>DATA_PROPERTY_MASTER!$A$10</f>
        <v>BLD_EA</v>
      </c>
      <c r="D1942" s="380">
        <f>'00_PORTFOLIO ROLLUP'!P$12</f>
        <v>2036</v>
      </c>
      <c r="E1942" s="366" t="s">
        <v>1741</v>
      </c>
      <c r="F1942" s="366" t="s">
        <v>1749</v>
      </c>
      <c r="G1942" s="348" t="str">
        <f>"'"&amp;$C1942&amp;"'!rows 56, 63, 68"</f>
        <v>'BLD_EA'!rows 56, 63, 68</v>
      </c>
      <c r="H1942" s="381">
        <f ca="1">IF(IFERROR(INDEX(DATA_PROPERTY_MASTER!$E$5:$E$21,MATCH($C1942,DATA_PROPERTY_MASTER!$A$5:$A$21,0))="Yes",FALSE),(IFERROR(INDEX(INDIRECT("'"&amp;$C1942&amp;"'!$E$56:$Y$56"),1,MATCH($D1942,INDIRECT("'"&amp;$C1942&amp;"'!$E$12:$Y$12"),0)),0)+MAX(IFERROR(INDEX(INDIRECT("'"&amp;$C1942&amp;"'!$E$63:$Y$63"),1,MATCH($D1942,INDIRECT("'"&amp;$C1942&amp;"'!$E$12:$Y$12"),0)),0),0))-(IFERROR(INDEX(INDIRECT("'"&amp;$C1942&amp;"'!$E$68:$Y$68"),1,MATCH($D1942,INDIRECT("'"&amp;$C1942&amp;"'!$E$12:$Y$12"),0)),0)),0)</f>
        <v>0</v>
      </c>
      <c r="I1942" s="366" t="s">
        <v>1750</v>
      </c>
      <c r="J1942" s="348" t="str">
        <f t="shared" ca="1" si="60"/>
        <v>OK</v>
      </c>
      <c r="K1942" s="366" t="s">
        <v>1751</v>
      </c>
      <c r="L1942" s="366" t="s">
        <v>2266</v>
      </c>
      <c r="M1942" s="350" t="str">
        <f>IF($B1942="Portfolio","Portfolio",IFERROR(INDEX(DATA_ASSET_CLASSIFICATION!$B$8:$B$24,MATCH($C1942,DATA_ASSET_CLASSIFICATION!$A$8:$A$24,0)),"Review"))</f>
        <v>Evergreen Apartments</v>
      </c>
      <c r="N1942" s="350" t="str">
        <f ca="1">IF($B1942="Portfolio","Portfolio",IFERROR(INDEX(DATA_ASSET_CLASSIFICATION!$U$8:$U$24,MATCH($C1942,DATA_ASSET_CLASSIFICATION!$A$8:$A$24,0)),"Review"))</f>
        <v>Refi Watch</v>
      </c>
      <c r="O1942" s="350" t="str">
        <f ca="1">IF($B1942="Portfolio","Portfolio",IFERROR(INDEX(DATA_ASSET_CLASSIFICATION!$AB$8:$AB$13,MATCH($N1942,DATA_ASSET_CLASSIFICATION!$AA$8:$AA$13,0)),"Review"))</f>
        <v>Bucket 2 · Legacy</v>
      </c>
      <c r="P1942" s="350" t="str">
        <f>IF($B1942="Portfolio","Portfolio",IFERROR(INDEX(DATA_ASSET_CLASSIFICATION!$C$8:$C$24,MATCH($C1942,DATA_ASSET_CLASSIFICATION!$A$8:$A$24,0)),"Review"))</f>
        <v>Yes</v>
      </c>
      <c r="Q1942" s="350" t="str">
        <f t="shared" ca="1" si="61"/>
        <v>OK</v>
      </c>
    </row>
    <row r="1943" spans="1:17" ht="30">
      <c r="A1943" s="366" t="s">
        <v>3899</v>
      </c>
      <c r="B1943" s="366" t="s">
        <v>231</v>
      </c>
      <c r="C1943" s="348" t="str">
        <f>DATA_PROPERTY_MASTER!$A$10</f>
        <v>BLD_EA</v>
      </c>
      <c r="D1943" s="380">
        <f>'00_PORTFOLIO ROLLUP'!Q$12</f>
        <v>2037</v>
      </c>
      <c r="E1943" s="366" t="s">
        <v>1683</v>
      </c>
      <c r="F1943" s="366" t="s">
        <v>341</v>
      </c>
      <c r="G1943" s="348" t="str">
        <f>"'"&amp;$C1943&amp;"'!$E$24:$Y$24"</f>
        <v>'BLD_EA'!$E$24:$Y$24</v>
      </c>
      <c r="H1943" s="381">
        <f ca="1">IF(IFERROR(INDEX(DATA_PROPERTY_MASTER!$E$5:$E$21,MATCH($C1943,DATA_PROPERTY_MASTER!$A$5:$A$21,0))="Yes",FALSE),IFERROR(INDEX(INDIRECT("'"&amp;$C1943&amp;"'!$E$24:$Y$24"),1,MATCH($D1943,INDIRECT("'"&amp;$C1943&amp;"'!$E$12:$Y$12"),0)),0),0)</f>
        <v>1259879.8883290053</v>
      </c>
      <c r="I1943" s="366" t="s">
        <v>1685</v>
      </c>
      <c r="J1943" s="348" t="str">
        <f t="shared" ca="1" si="60"/>
        <v>OK</v>
      </c>
      <c r="K1943" s="366" t="s">
        <v>1686</v>
      </c>
      <c r="L1943" s="366" t="s">
        <v>2234</v>
      </c>
      <c r="M1943" s="350" t="str">
        <f>IF($B1943="Portfolio","Portfolio",IFERROR(INDEX(DATA_ASSET_CLASSIFICATION!$B$8:$B$24,MATCH($C1943,DATA_ASSET_CLASSIFICATION!$A$8:$A$24,0)),"Review"))</f>
        <v>Evergreen Apartments</v>
      </c>
      <c r="N1943" s="350" t="str">
        <f ca="1">IF($B1943="Portfolio","Portfolio",IFERROR(INDEX(DATA_ASSET_CLASSIFICATION!$U$8:$U$24,MATCH($C1943,DATA_ASSET_CLASSIFICATION!$A$8:$A$24,0)),"Review"))</f>
        <v>Refi Watch</v>
      </c>
      <c r="O1943" s="350" t="str">
        <f ca="1">IF($B1943="Portfolio","Portfolio",IFERROR(INDEX(DATA_ASSET_CLASSIFICATION!$AB$8:$AB$13,MATCH($N1943,DATA_ASSET_CLASSIFICATION!$AA$8:$AA$13,0)),"Review"))</f>
        <v>Bucket 2 · Legacy</v>
      </c>
      <c r="P1943" s="350" t="str">
        <f>IF($B1943="Portfolio","Portfolio",IFERROR(INDEX(DATA_ASSET_CLASSIFICATION!$C$8:$C$24,MATCH($C1943,DATA_ASSET_CLASSIFICATION!$A$8:$A$24,0)),"Review"))</f>
        <v>Yes</v>
      </c>
      <c r="Q1943" s="350" t="str">
        <f t="shared" ca="1" si="61"/>
        <v>OK</v>
      </c>
    </row>
    <row r="1944" spans="1:17" ht="30">
      <c r="A1944" s="366" t="s">
        <v>3900</v>
      </c>
      <c r="B1944" s="366" t="s">
        <v>231</v>
      </c>
      <c r="C1944" s="348" t="str">
        <f>DATA_PROPERTY_MASTER!$A$10</f>
        <v>BLD_EA</v>
      </c>
      <c r="D1944" s="380">
        <f>'00_PORTFOLIO ROLLUP'!Q$12</f>
        <v>2037</v>
      </c>
      <c r="E1944" s="366" t="s">
        <v>1683</v>
      </c>
      <c r="F1944" s="366" t="s">
        <v>355</v>
      </c>
      <c r="G1944" s="348" t="str">
        <f>"'"&amp;$C1944&amp;"'!$E$39:$Y$39"</f>
        <v>'BLD_EA'!$E$39:$Y$39</v>
      </c>
      <c r="H1944" s="381">
        <f ca="1">IF(IFERROR(INDEX(DATA_PROPERTY_MASTER!$E$5:$E$21,MATCH($C1944,DATA_PROPERTY_MASTER!$A$5:$A$21,0))="Yes",FALSE),IFERROR(INDEX(INDIRECT("'"&amp;$C1944&amp;"'!$E$39:$Y$39"),1,MATCH($D1944,INDIRECT("'"&amp;$C1944&amp;"'!$E$12:$Y$12"),0)),0),0)</f>
        <v>633843.18017509568</v>
      </c>
      <c r="I1944" s="366" t="s">
        <v>1690</v>
      </c>
      <c r="J1944" s="348" t="str">
        <f t="shared" ca="1" si="60"/>
        <v>OK</v>
      </c>
      <c r="K1944" s="366" t="s">
        <v>1686</v>
      </c>
      <c r="L1944" s="366" t="s">
        <v>2236</v>
      </c>
      <c r="M1944" s="350" t="str">
        <f>IF($B1944="Portfolio","Portfolio",IFERROR(INDEX(DATA_ASSET_CLASSIFICATION!$B$8:$B$24,MATCH($C1944,DATA_ASSET_CLASSIFICATION!$A$8:$A$24,0)),"Review"))</f>
        <v>Evergreen Apartments</v>
      </c>
      <c r="N1944" s="350" t="str">
        <f ca="1">IF($B1944="Portfolio","Portfolio",IFERROR(INDEX(DATA_ASSET_CLASSIFICATION!$U$8:$U$24,MATCH($C1944,DATA_ASSET_CLASSIFICATION!$A$8:$A$24,0)),"Review"))</f>
        <v>Refi Watch</v>
      </c>
      <c r="O1944" s="350" t="str">
        <f ca="1">IF($B1944="Portfolio","Portfolio",IFERROR(INDEX(DATA_ASSET_CLASSIFICATION!$AB$8:$AB$13,MATCH($N1944,DATA_ASSET_CLASSIFICATION!$AA$8:$AA$13,0)),"Review"))</f>
        <v>Bucket 2 · Legacy</v>
      </c>
      <c r="P1944" s="350" t="str">
        <f>IF($B1944="Portfolio","Portfolio",IFERROR(INDEX(DATA_ASSET_CLASSIFICATION!$C$8:$C$24,MATCH($C1944,DATA_ASSET_CLASSIFICATION!$A$8:$A$24,0)),"Review"))</f>
        <v>Yes</v>
      </c>
      <c r="Q1944" s="350" t="str">
        <f t="shared" ca="1" si="61"/>
        <v>OK</v>
      </c>
    </row>
    <row r="1945" spans="1:17" ht="30">
      <c r="A1945" s="366" t="s">
        <v>3901</v>
      </c>
      <c r="B1945" s="366" t="s">
        <v>231</v>
      </c>
      <c r="C1945" s="348" t="str">
        <f>DATA_PROPERTY_MASTER!$A$10</f>
        <v>BLD_EA</v>
      </c>
      <c r="D1945" s="380">
        <f>'00_PORTFOLIO ROLLUP'!Q$12</f>
        <v>2037</v>
      </c>
      <c r="E1945" s="366" t="s">
        <v>1683</v>
      </c>
      <c r="F1945" s="366" t="s">
        <v>19</v>
      </c>
      <c r="G1945" s="348" t="str">
        <f>"'"&amp;$C1945&amp;"'!$E$41:$Y$41"</f>
        <v>'BLD_EA'!$E$41:$Y$41</v>
      </c>
      <c r="H1945" s="381">
        <f ca="1">IF(IFERROR(INDEX(DATA_PROPERTY_MASTER!$E$5:$E$21,MATCH($C1945,DATA_PROPERTY_MASTER!$A$5:$A$21,0))="Yes",FALSE),IFERROR(INDEX(INDIRECT("'"&amp;$C1945&amp;"'!$E$41:$Y$41"),1,MATCH($D1945,INDIRECT("'"&amp;$C1945&amp;"'!$E$12:$Y$12"),0)),0),0)</f>
        <v>626036.70815390965</v>
      </c>
      <c r="I1945" s="366" t="s">
        <v>1685</v>
      </c>
      <c r="J1945" s="348" t="str">
        <f t="shared" ca="1" si="60"/>
        <v>OK</v>
      </c>
      <c r="K1945" s="366" t="s">
        <v>1694</v>
      </c>
      <c r="L1945" s="366" t="s">
        <v>2238</v>
      </c>
      <c r="M1945" s="350" t="str">
        <f>IF($B1945="Portfolio","Portfolio",IFERROR(INDEX(DATA_ASSET_CLASSIFICATION!$B$8:$B$24,MATCH($C1945,DATA_ASSET_CLASSIFICATION!$A$8:$A$24,0)),"Review"))</f>
        <v>Evergreen Apartments</v>
      </c>
      <c r="N1945" s="350" t="str">
        <f ca="1">IF($B1945="Portfolio","Portfolio",IFERROR(INDEX(DATA_ASSET_CLASSIFICATION!$U$8:$U$24,MATCH($C1945,DATA_ASSET_CLASSIFICATION!$A$8:$A$24,0)),"Review"))</f>
        <v>Refi Watch</v>
      </c>
      <c r="O1945" s="350" t="str">
        <f ca="1">IF($B1945="Portfolio","Portfolio",IFERROR(INDEX(DATA_ASSET_CLASSIFICATION!$AB$8:$AB$13,MATCH($N1945,DATA_ASSET_CLASSIFICATION!$AA$8:$AA$13,0)),"Review"))</f>
        <v>Bucket 2 · Legacy</v>
      </c>
      <c r="P1945" s="350" t="str">
        <f>IF($B1945="Portfolio","Portfolio",IFERROR(INDEX(DATA_ASSET_CLASSIFICATION!$C$8:$C$24,MATCH($C1945,DATA_ASSET_CLASSIFICATION!$A$8:$A$24,0)),"Review"))</f>
        <v>Yes</v>
      </c>
      <c r="Q1945" s="350" t="str">
        <f t="shared" ca="1" si="61"/>
        <v>OK</v>
      </c>
    </row>
    <row r="1946" spans="1:17" ht="30">
      <c r="A1946" s="366" t="s">
        <v>3902</v>
      </c>
      <c r="B1946" s="366" t="s">
        <v>231</v>
      </c>
      <c r="C1946" s="348" t="str">
        <f>DATA_PROPERTY_MASTER!$A$10</f>
        <v>BLD_EA</v>
      </c>
      <c r="D1946" s="380">
        <f>'00_PORTFOLIO ROLLUP'!Q$12</f>
        <v>2037</v>
      </c>
      <c r="E1946" s="366" t="s">
        <v>1683</v>
      </c>
      <c r="F1946" s="366" t="s">
        <v>1697</v>
      </c>
      <c r="G1946" s="348" t="str">
        <f>"'"&amp;$C1946&amp;"'!$E$44:$Y$44"</f>
        <v>'BLD_EA'!$E$44:$Y$44</v>
      </c>
      <c r="H1946" s="381">
        <f ca="1">IF(IFERROR(INDEX(DATA_PROPERTY_MASTER!$E$5:$E$21,MATCH($C1946,DATA_PROPERTY_MASTER!$A$5:$A$21,0))="Yes",FALSE),IFERROR(INDEX(INDIRECT("'"&amp;$C1946&amp;"'!$E$44:$Y$44"),1,MATCH($D1946,INDIRECT("'"&amp;$C1946&amp;"'!$E$12:$Y$12"),0)),0),0)</f>
        <v>11604.412420247289</v>
      </c>
      <c r="I1946" s="366" t="s">
        <v>1690</v>
      </c>
      <c r="J1946" s="348" t="str">
        <f t="shared" ca="1" si="60"/>
        <v>OK</v>
      </c>
      <c r="K1946" s="366" t="s">
        <v>1699</v>
      </c>
      <c r="L1946" s="366" t="s">
        <v>2240</v>
      </c>
      <c r="M1946" s="350" t="str">
        <f>IF($B1946="Portfolio","Portfolio",IFERROR(INDEX(DATA_ASSET_CLASSIFICATION!$B$8:$B$24,MATCH($C1946,DATA_ASSET_CLASSIFICATION!$A$8:$A$24,0)),"Review"))</f>
        <v>Evergreen Apartments</v>
      </c>
      <c r="N1946" s="350" t="str">
        <f ca="1">IF($B1946="Portfolio","Portfolio",IFERROR(INDEX(DATA_ASSET_CLASSIFICATION!$U$8:$U$24,MATCH($C1946,DATA_ASSET_CLASSIFICATION!$A$8:$A$24,0)),"Review"))</f>
        <v>Refi Watch</v>
      </c>
      <c r="O1946" s="350" t="str">
        <f ca="1">IF($B1946="Portfolio","Portfolio",IFERROR(INDEX(DATA_ASSET_CLASSIFICATION!$AB$8:$AB$13,MATCH($N1946,DATA_ASSET_CLASSIFICATION!$AA$8:$AA$13,0)),"Review"))</f>
        <v>Bucket 2 · Legacy</v>
      </c>
      <c r="P1946" s="350" t="str">
        <f>IF($B1946="Portfolio","Portfolio",IFERROR(INDEX(DATA_ASSET_CLASSIFICATION!$C$8:$C$24,MATCH($C1946,DATA_ASSET_CLASSIFICATION!$A$8:$A$24,0)),"Review"))</f>
        <v>Yes</v>
      </c>
      <c r="Q1946" s="350" t="str">
        <f t="shared" ca="1" si="61"/>
        <v>OK</v>
      </c>
    </row>
    <row r="1947" spans="1:17" ht="30">
      <c r="A1947" s="366" t="s">
        <v>3903</v>
      </c>
      <c r="B1947" s="366" t="s">
        <v>231</v>
      </c>
      <c r="C1947" s="348" t="str">
        <f>DATA_PROPERTY_MASTER!$A$10</f>
        <v>BLD_EA</v>
      </c>
      <c r="D1947" s="380">
        <f>'00_PORTFOLIO ROLLUP'!Q$12</f>
        <v>2037</v>
      </c>
      <c r="E1947" s="366" t="s">
        <v>1683</v>
      </c>
      <c r="F1947" s="366" t="s">
        <v>21</v>
      </c>
      <c r="G1947" s="348" t="str">
        <f>"'"&amp;$C1947&amp;"'!$E$45:$Y$45"</f>
        <v>'BLD_EA'!$E$45:$Y$45</v>
      </c>
      <c r="H1947" s="381">
        <f ca="1">IF(IFERROR(INDEX(DATA_PROPERTY_MASTER!$E$5:$E$21,MATCH($C1947,DATA_PROPERTY_MASTER!$A$5:$A$21,0))="Yes",FALSE),IFERROR(INDEX(INDIRECT("'"&amp;$C1947&amp;"'!$E$45:$Y$45"),1,MATCH($D1947,INDIRECT("'"&amp;$C1947&amp;"'!$E$12:$Y$12"),0)),0),0)</f>
        <v>614432.29573366232</v>
      </c>
      <c r="I1947" s="366" t="s">
        <v>1685</v>
      </c>
      <c r="J1947" s="348" t="str">
        <f t="shared" ca="1" si="60"/>
        <v>OK</v>
      </c>
      <c r="K1947" s="366" t="s">
        <v>1694</v>
      </c>
      <c r="L1947" s="366" t="s">
        <v>2242</v>
      </c>
      <c r="M1947" s="350" t="str">
        <f>IF($B1947="Portfolio","Portfolio",IFERROR(INDEX(DATA_ASSET_CLASSIFICATION!$B$8:$B$24,MATCH($C1947,DATA_ASSET_CLASSIFICATION!$A$8:$A$24,0)),"Review"))</f>
        <v>Evergreen Apartments</v>
      </c>
      <c r="N1947" s="350" t="str">
        <f ca="1">IF($B1947="Portfolio","Portfolio",IFERROR(INDEX(DATA_ASSET_CLASSIFICATION!$U$8:$U$24,MATCH($C1947,DATA_ASSET_CLASSIFICATION!$A$8:$A$24,0)),"Review"))</f>
        <v>Refi Watch</v>
      </c>
      <c r="O1947" s="350" t="str">
        <f ca="1">IF($B1947="Portfolio","Portfolio",IFERROR(INDEX(DATA_ASSET_CLASSIFICATION!$AB$8:$AB$13,MATCH($N1947,DATA_ASSET_CLASSIFICATION!$AA$8:$AA$13,0)),"Review"))</f>
        <v>Bucket 2 · Legacy</v>
      </c>
      <c r="P1947" s="350" t="str">
        <f>IF($B1947="Portfolio","Portfolio",IFERROR(INDEX(DATA_ASSET_CLASSIFICATION!$C$8:$C$24,MATCH($C1947,DATA_ASSET_CLASSIFICATION!$A$8:$A$24,0)),"Review"))</f>
        <v>Yes</v>
      </c>
      <c r="Q1947" s="350" t="str">
        <f t="shared" ca="1" si="61"/>
        <v>OK</v>
      </c>
    </row>
    <row r="1948" spans="1:17" ht="30">
      <c r="A1948" s="366" t="s">
        <v>3904</v>
      </c>
      <c r="B1948" s="366" t="s">
        <v>231</v>
      </c>
      <c r="C1948" s="348" t="str">
        <f>DATA_PROPERTY_MASTER!$A$10</f>
        <v>BLD_EA</v>
      </c>
      <c r="D1948" s="380">
        <f>'00_PORTFOLIO ROLLUP'!Q$12</f>
        <v>2037</v>
      </c>
      <c r="E1948" s="366" t="s">
        <v>23</v>
      </c>
      <c r="F1948" s="366" t="s">
        <v>23</v>
      </c>
      <c r="G1948" s="348" t="str">
        <f>"'"&amp;$C1948&amp;"'!$E$48:$Y$48"</f>
        <v>'BLD_EA'!$E$48:$Y$48</v>
      </c>
      <c r="H1948" s="381">
        <f ca="1">IF(IFERROR(INDEX(DATA_PROPERTY_MASTER!$E$5:$E$21,MATCH($C1948,DATA_PROPERTY_MASTER!$A$5:$A$21,0))="Yes",FALSE),IFERROR(INDEX(INDIRECT("'"&amp;$C1948&amp;"'!$E$48:$Y$48"),1,MATCH($D1948,INDIRECT("'"&amp;$C1948&amp;"'!$E$12:$Y$12"),0)),0),0)</f>
        <v>397585.07606343459</v>
      </c>
      <c r="I1948" s="366" t="s">
        <v>1690</v>
      </c>
      <c r="J1948" s="348" t="str">
        <f t="shared" ca="1" si="60"/>
        <v>OK</v>
      </c>
      <c r="K1948" s="366" t="s">
        <v>1706</v>
      </c>
      <c r="L1948" s="366" t="s">
        <v>2244</v>
      </c>
      <c r="M1948" s="350" t="str">
        <f>IF($B1948="Portfolio","Portfolio",IFERROR(INDEX(DATA_ASSET_CLASSIFICATION!$B$8:$B$24,MATCH($C1948,DATA_ASSET_CLASSIFICATION!$A$8:$A$24,0)),"Review"))</f>
        <v>Evergreen Apartments</v>
      </c>
      <c r="N1948" s="350" t="str">
        <f ca="1">IF($B1948="Portfolio","Portfolio",IFERROR(INDEX(DATA_ASSET_CLASSIFICATION!$U$8:$U$24,MATCH($C1948,DATA_ASSET_CLASSIFICATION!$A$8:$A$24,0)),"Review"))</f>
        <v>Refi Watch</v>
      </c>
      <c r="O1948" s="350" t="str">
        <f ca="1">IF($B1948="Portfolio","Portfolio",IFERROR(INDEX(DATA_ASSET_CLASSIFICATION!$AB$8:$AB$13,MATCH($N1948,DATA_ASSET_CLASSIFICATION!$AA$8:$AA$13,0)),"Review"))</f>
        <v>Bucket 2 · Legacy</v>
      </c>
      <c r="P1948" s="350" t="str">
        <f>IF($B1948="Portfolio","Portfolio",IFERROR(INDEX(DATA_ASSET_CLASSIFICATION!$C$8:$C$24,MATCH($C1948,DATA_ASSET_CLASSIFICATION!$A$8:$A$24,0)),"Review"))</f>
        <v>Yes</v>
      </c>
      <c r="Q1948" s="350" t="str">
        <f t="shared" ca="1" si="61"/>
        <v>OK</v>
      </c>
    </row>
    <row r="1949" spans="1:17" ht="30">
      <c r="A1949" s="366" t="s">
        <v>3905</v>
      </c>
      <c r="B1949" s="366" t="s">
        <v>231</v>
      </c>
      <c r="C1949" s="348" t="str">
        <f>DATA_PROPERTY_MASTER!$A$10</f>
        <v>BLD_EA</v>
      </c>
      <c r="D1949" s="380">
        <f>'00_PORTFOLIO ROLLUP'!Q$12</f>
        <v>2037</v>
      </c>
      <c r="E1949" s="366" t="s">
        <v>1683</v>
      </c>
      <c r="F1949" s="366" t="s">
        <v>25</v>
      </c>
      <c r="G1949" s="348" t="str">
        <f>"'"&amp;$C1949&amp;"'!$E$52:$Y$52"</f>
        <v>'BLD_EA'!$E$52:$Y$52</v>
      </c>
      <c r="H1949" s="381">
        <f ca="1">IF(IFERROR(INDEX(DATA_PROPERTY_MASTER!$E$5:$E$21,MATCH($C1949,DATA_PROPERTY_MASTER!$A$5:$A$21,0))="Yes",FALSE),IFERROR(INDEX(INDIRECT("'"&amp;$C1949&amp;"'!$E$52:$Y$52"),1,MATCH($D1949,INDIRECT("'"&amp;$C1949&amp;"'!$E$12:$Y$12"),0)),0),0)</f>
        <v>228451.63209047506</v>
      </c>
      <c r="I1949" s="366" t="s">
        <v>1685</v>
      </c>
      <c r="J1949" s="348" t="str">
        <f t="shared" ca="1" si="60"/>
        <v>OK</v>
      </c>
      <c r="K1949" s="366" t="s">
        <v>1710</v>
      </c>
      <c r="L1949" s="366" t="s">
        <v>2246</v>
      </c>
      <c r="M1949" s="350" t="str">
        <f>IF($B1949="Portfolio","Portfolio",IFERROR(INDEX(DATA_ASSET_CLASSIFICATION!$B$8:$B$24,MATCH($C1949,DATA_ASSET_CLASSIFICATION!$A$8:$A$24,0)),"Review"))</f>
        <v>Evergreen Apartments</v>
      </c>
      <c r="N1949" s="350" t="str">
        <f ca="1">IF($B1949="Portfolio","Portfolio",IFERROR(INDEX(DATA_ASSET_CLASSIFICATION!$U$8:$U$24,MATCH($C1949,DATA_ASSET_CLASSIFICATION!$A$8:$A$24,0)),"Review"))</f>
        <v>Refi Watch</v>
      </c>
      <c r="O1949" s="350" t="str">
        <f ca="1">IF($B1949="Portfolio","Portfolio",IFERROR(INDEX(DATA_ASSET_CLASSIFICATION!$AB$8:$AB$13,MATCH($N1949,DATA_ASSET_CLASSIFICATION!$AA$8:$AA$13,0)),"Review"))</f>
        <v>Bucket 2 · Legacy</v>
      </c>
      <c r="P1949" s="350" t="str">
        <f>IF($B1949="Portfolio","Portfolio",IFERROR(INDEX(DATA_ASSET_CLASSIFICATION!$C$8:$C$24,MATCH($C1949,DATA_ASSET_CLASSIFICATION!$A$8:$A$24,0)),"Review"))</f>
        <v>Yes</v>
      </c>
      <c r="Q1949" s="350" t="str">
        <f t="shared" ca="1" si="61"/>
        <v>OK</v>
      </c>
    </row>
    <row r="1950" spans="1:17" ht="30">
      <c r="A1950" s="366" t="s">
        <v>3906</v>
      </c>
      <c r="B1950" s="366" t="s">
        <v>231</v>
      </c>
      <c r="C1950" s="348" t="str">
        <f>DATA_PROPERTY_MASTER!$A$10</f>
        <v>BLD_EA</v>
      </c>
      <c r="D1950" s="380">
        <f>'00_PORTFOLIO ROLLUP'!Q$12</f>
        <v>2037</v>
      </c>
      <c r="E1950" s="366" t="s">
        <v>1683</v>
      </c>
      <c r="F1950" s="366" t="s">
        <v>27</v>
      </c>
      <c r="G1950" s="348" t="str">
        <f>"'"&amp;$C1950&amp;"'!$E$54:$Y$54"</f>
        <v>'BLD_EA'!$E$54:$Y$54</v>
      </c>
      <c r="H1950" s="381">
        <f ca="1">IF(IFERROR(INDEX(DATA_PROPERTY_MASTER!$E$5:$E$21,MATCH($C1950,DATA_PROPERTY_MASTER!$A$5:$A$21,0))="Yes",FALSE),IFERROR(INDEX(INDIRECT("'"&amp;$C1950&amp;"'!$E$54:$Y$54"),1,MATCH($D1950,INDIRECT("'"&amp;$C1950&amp;"'!$E$12:$Y$12"),0)),0),0)</f>
        <v>137070.97925428502</v>
      </c>
      <c r="I1950" s="366" t="s">
        <v>1690</v>
      </c>
      <c r="J1950" s="348" t="str">
        <f t="shared" ca="1" si="60"/>
        <v>OK</v>
      </c>
      <c r="K1950" s="366" t="s">
        <v>1714</v>
      </c>
      <c r="L1950" s="366" t="s">
        <v>2248</v>
      </c>
      <c r="M1950" s="350" t="str">
        <f>IF($B1950="Portfolio","Portfolio",IFERROR(INDEX(DATA_ASSET_CLASSIFICATION!$B$8:$B$24,MATCH($C1950,DATA_ASSET_CLASSIFICATION!$A$8:$A$24,0)),"Review"))</f>
        <v>Evergreen Apartments</v>
      </c>
      <c r="N1950" s="350" t="str">
        <f ca="1">IF($B1950="Portfolio","Portfolio",IFERROR(INDEX(DATA_ASSET_CLASSIFICATION!$U$8:$U$24,MATCH($C1950,DATA_ASSET_CLASSIFICATION!$A$8:$A$24,0)),"Review"))</f>
        <v>Refi Watch</v>
      </c>
      <c r="O1950" s="350" t="str">
        <f ca="1">IF($B1950="Portfolio","Portfolio",IFERROR(INDEX(DATA_ASSET_CLASSIFICATION!$AB$8:$AB$13,MATCH($N1950,DATA_ASSET_CLASSIFICATION!$AA$8:$AA$13,0)),"Review"))</f>
        <v>Bucket 2 · Legacy</v>
      </c>
      <c r="P1950" s="350" t="str">
        <f>IF($B1950="Portfolio","Portfolio",IFERROR(INDEX(DATA_ASSET_CLASSIFICATION!$C$8:$C$24,MATCH($C1950,DATA_ASSET_CLASSIFICATION!$A$8:$A$24,0)),"Review"))</f>
        <v>Yes</v>
      </c>
      <c r="Q1950" s="350" t="str">
        <f t="shared" ca="1" si="61"/>
        <v>OK</v>
      </c>
    </row>
    <row r="1951" spans="1:17" ht="30">
      <c r="A1951" s="366" t="s">
        <v>3907</v>
      </c>
      <c r="B1951" s="366" t="s">
        <v>231</v>
      </c>
      <c r="C1951" s="348" t="str">
        <f>DATA_PROPERTY_MASTER!$A$10</f>
        <v>BLD_EA</v>
      </c>
      <c r="D1951" s="380">
        <f>'00_PORTFOLIO ROLLUP'!Q$12</f>
        <v>2037</v>
      </c>
      <c r="E1951" s="366" t="s">
        <v>1683</v>
      </c>
      <c r="F1951" s="366" t="s">
        <v>29</v>
      </c>
      <c r="G1951" s="348" t="str">
        <f>"'"&amp;$C1951&amp;"'!$E$56:$Y$56"</f>
        <v>'BLD_EA'!$E$56:$Y$56</v>
      </c>
      <c r="H1951" s="381">
        <f ca="1">IF(IFERROR(INDEX(DATA_PROPERTY_MASTER!$E$5:$E$21,MATCH($C1951,DATA_PROPERTY_MASTER!$A$5:$A$21,0))="Yes",FALSE),IFERROR(INDEX(INDIRECT("'"&amp;$C1951&amp;"'!$E$56:$Y$56"),1,MATCH($D1951,INDIRECT("'"&amp;$C1951&amp;"'!$E$12:$Y$12"),0)),0),0)</f>
        <v>91380.652836190042</v>
      </c>
      <c r="I1951" s="366" t="s">
        <v>1685</v>
      </c>
      <c r="J1951" s="348" t="str">
        <f t="shared" ca="1" si="60"/>
        <v>OK</v>
      </c>
      <c r="K1951" s="366" t="s">
        <v>1718</v>
      </c>
      <c r="L1951" s="366" t="s">
        <v>2250</v>
      </c>
      <c r="M1951" s="350" t="str">
        <f>IF($B1951="Portfolio","Portfolio",IFERROR(INDEX(DATA_ASSET_CLASSIFICATION!$B$8:$B$24,MATCH($C1951,DATA_ASSET_CLASSIFICATION!$A$8:$A$24,0)),"Review"))</f>
        <v>Evergreen Apartments</v>
      </c>
      <c r="N1951" s="350" t="str">
        <f ca="1">IF($B1951="Portfolio","Portfolio",IFERROR(INDEX(DATA_ASSET_CLASSIFICATION!$U$8:$U$24,MATCH($C1951,DATA_ASSET_CLASSIFICATION!$A$8:$A$24,0)),"Review"))</f>
        <v>Refi Watch</v>
      </c>
      <c r="O1951" s="350" t="str">
        <f ca="1">IF($B1951="Portfolio","Portfolio",IFERROR(INDEX(DATA_ASSET_CLASSIFICATION!$AB$8:$AB$13,MATCH($N1951,DATA_ASSET_CLASSIFICATION!$AA$8:$AA$13,0)),"Review"))</f>
        <v>Bucket 2 · Legacy</v>
      </c>
      <c r="P1951" s="350" t="str">
        <f>IF($B1951="Portfolio","Portfolio",IFERROR(INDEX(DATA_ASSET_CLASSIFICATION!$C$8:$C$24,MATCH($C1951,DATA_ASSET_CLASSIFICATION!$A$8:$A$24,0)),"Review"))</f>
        <v>Yes</v>
      </c>
      <c r="Q1951" s="350" t="str">
        <f t="shared" ca="1" si="61"/>
        <v>OK</v>
      </c>
    </row>
    <row r="1952" spans="1:17" ht="30">
      <c r="A1952" s="366" t="s">
        <v>3908</v>
      </c>
      <c r="B1952" s="366" t="s">
        <v>231</v>
      </c>
      <c r="C1952" s="348" t="str">
        <f>DATA_PROPERTY_MASTER!$A$10</f>
        <v>BLD_EA</v>
      </c>
      <c r="D1952" s="380">
        <f>'00_PORTFOLIO ROLLUP'!Q$12</f>
        <v>2037</v>
      </c>
      <c r="E1952" s="366" t="s">
        <v>1721</v>
      </c>
      <c r="F1952" s="366" t="s">
        <v>31</v>
      </c>
      <c r="G1952" s="348" t="str">
        <f>"'"&amp;$C1952&amp;"'!$E$61:$Y$61"</f>
        <v>'BLD_EA'!$E$61:$Y$61</v>
      </c>
      <c r="H1952" s="381">
        <f ca="1">IF(IFERROR(INDEX(DATA_PROPERTY_MASTER!$E$5:$E$21,MATCH($C1952,DATA_PROPERTY_MASTER!$A$5:$A$21,0))="Yes",FALSE),IFERROR(INDEX(INDIRECT("'"&amp;$C1952&amp;"'!$E$61:$Y$61"),1,MATCH($D1952,INDIRECT("'"&amp;$C1952&amp;"'!$E$12:$Y$12"),0)),0),0)</f>
        <v>0</v>
      </c>
      <c r="I1952" s="366" t="s">
        <v>1690</v>
      </c>
      <c r="J1952" s="348" t="str">
        <f t="shared" ca="1" si="60"/>
        <v>OK</v>
      </c>
      <c r="K1952" s="366" t="s">
        <v>1723</v>
      </c>
      <c r="L1952" s="366" t="s">
        <v>2252</v>
      </c>
      <c r="M1952" s="350" t="str">
        <f>IF($B1952="Portfolio","Portfolio",IFERROR(INDEX(DATA_ASSET_CLASSIFICATION!$B$8:$B$24,MATCH($C1952,DATA_ASSET_CLASSIFICATION!$A$8:$A$24,0)),"Review"))</f>
        <v>Evergreen Apartments</v>
      </c>
      <c r="N1952" s="350" t="str">
        <f ca="1">IF($B1952="Portfolio","Portfolio",IFERROR(INDEX(DATA_ASSET_CLASSIFICATION!$U$8:$U$24,MATCH($C1952,DATA_ASSET_CLASSIFICATION!$A$8:$A$24,0)),"Review"))</f>
        <v>Refi Watch</v>
      </c>
      <c r="O1952" s="350" t="str">
        <f ca="1">IF($B1952="Portfolio","Portfolio",IFERROR(INDEX(DATA_ASSET_CLASSIFICATION!$AB$8:$AB$13,MATCH($N1952,DATA_ASSET_CLASSIFICATION!$AA$8:$AA$13,0)),"Review"))</f>
        <v>Bucket 2 · Legacy</v>
      </c>
      <c r="P1952" s="350" t="str">
        <f>IF($B1952="Portfolio","Portfolio",IFERROR(INDEX(DATA_ASSET_CLASSIFICATION!$C$8:$C$24,MATCH($C1952,DATA_ASSET_CLASSIFICATION!$A$8:$A$24,0)),"Review"))</f>
        <v>Yes</v>
      </c>
      <c r="Q1952" s="350" t="str">
        <f t="shared" ca="1" si="61"/>
        <v>OK</v>
      </c>
    </row>
    <row r="1953" spans="1:17" ht="30">
      <c r="A1953" s="366" t="s">
        <v>3909</v>
      </c>
      <c r="B1953" s="366" t="s">
        <v>231</v>
      </c>
      <c r="C1953" s="348" t="str">
        <f>DATA_PROPERTY_MASTER!$A$10</f>
        <v>BLD_EA</v>
      </c>
      <c r="D1953" s="380">
        <f>'00_PORTFOLIO ROLLUP'!Q$12</f>
        <v>2037</v>
      </c>
      <c r="E1953" s="366" t="s">
        <v>1721</v>
      </c>
      <c r="F1953" s="366" t="s">
        <v>33</v>
      </c>
      <c r="G1953" s="348" t="str">
        <f>"'"&amp;$C1953&amp;"'!$E$62:$Y$62"</f>
        <v>'BLD_EA'!$E$62:$Y$62</v>
      </c>
      <c r="H1953" s="381">
        <f ca="1">IF(IFERROR(INDEX(DATA_PROPERTY_MASTER!$E$5:$E$21,MATCH($C1953,DATA_PROPERTY_MASTER!$A$5:$A$21,0))="Yes",FALSE),IFERROR(INDEX(INDIRECT("'"&amp;$C1953&amp;"'!$E$62:$Y$62"),1,MATCH($D1953,INDIRECT("'"&amp;$C1953&amp;"'!$E$12:$Y$12"),0)),0),0)</f>
        <v>0</v>
      </c>
      <c r="I1953" s="366" t="s">
        <v>1685</v>
      </c>
      <c r="J1953" s="348" t="str">
        <f t="shared" ca="1" si="60"/>
        <v>OK</v>
      </c>
      <c r="K1953" s="366" t="s">
        <v>1727</v>
      </c>
      <c r="L1953" s="366" t="s">
        <v>2254</v>
      </c>
      <c r="M1953" s="350" t="str">
        <f>IF($B1953="Portfolio","Portfolio",IFERROR(INDEX(DATA_ASSET_CLASSIFICATION!$B$8:$B$24,MATCH($C1953,DATA_ASSET_CLASSIFICATION!$A$8:$A$24,0)),"Review"))</f>
        <v>Evergreen Apartments</v>
      </c>
      <c r="N1953" s="350" t="str">
        <f ca="1">IF($B1953="Portfolio","Portfolio",IFERROR(INDEX(DATA_ASSET_CLASSIFICATION!$U$8:$U$24,MATCH($C1953,DATA_ASSET_CLASSIFICATION!$A$8:$A$24,0)),"Review"))</f>
        <v>Refi Watch</v>
      </c>
      <c r="O1953" s="350" t="str">
        <f ca="1">IF($B1953="Portfolio","Portfolio",IFERROR(INDEX(DATA_ASSET_CLASSIFICATION!$AB$8:$AB$13,MATCH($N1953,DATA_ASSET_CLASSIFICATION!$AA$8:$AA$13,0)),"Review"))</f>
        <v>Bucket 2 · Legacy</v>
      </c>
      <c r="P1953" s="350" t="str">
        <f>IF($B1953="Portfolio","Portfolio",IFERROR(INDEX(DATA_ASSET_CLASSIFICATION!$C$8:$C$24,MATCH($C1953,DATA_ASSET_CLASSIFICATION!$A$8:$A$24,0)),"Review"))</f>
        <v>Yes</v>
      </c>
      <c r="Q1953" s="350" t="str">
        <f t="shared" ca="1" si="61"/>
        <v>OK</v>
      </c>
    </row>
    <row r="1954" spans="1:17" ht="30">
      <c r="A1954" s="366" t="s">
        <v>3910</v>
      </c>
      <c r="B1954" s="366" t="s">
        <v>231</v>
      </c>
      <c r="C1954" s="348" t="str">
        <f>DATA_PROPERTY_MASTER!$A$10</f>
        <v>BLD_EA</v>
      </c>
      <c r="D1954" s="380">
        <f>'00_PORTFOLIO ROLLUP'!Q$12</f>
        <v>2037</v>
      </c>
      <c r="E1954" s="366" t="s">
        <v>1721</v>
      </c>
      <c r="F1954" s="366" t="s">
        <v>35</v>
      </c>
      <c r="G1954" s="348" t="str">
        <f>"'"&amp;$C1954&amp;"'!$E$63:$Y$63"</f>
        <v>'BLD_EA'!$E$63:$Y$63</v>
      </c>
      <c r="H1954" s="381">
        <f ca="1">IF(IFERROR(INDEX(DATA_PROPERTY_MASTER!$E$5:$E$21,MATCH($C1954,DATA_PROPERTY_MASTER!$A$5:$A$21,0))="Yes",FALSE),IFERROR(INDEX(INDIRECT("'"&amp;$C1954&amp;"'!$E$63:$Y$63"),1,MATCH($D1954,INDIRECT("'"&amp;$C1954&amp;"'!$E$12:$Y$12"),0)),0),0)</f>
        <v>0</v>
      </c>
      <c r="I1954" s="366" t="s">
        <v>1731</v>
      </c>
      <c r="J1954" s="348" t="str">
        <f t="shared" ca="1" si="60"/>
        <v>OK</v>
      </c>
      <c r="K1954" s="366" t="s">
        <v>1732</v>
      </c>
      <c r="L1954" s="366" t="s">
        <v>2256</v>
      </c>
      <c r="M1954" s="350" t="str">
        <f>IF($B1954="Portfolio","Portfolio",IFERROR(INDEX(DATA_ASSET_CLASSIFICATION!$B$8:$B$24,MATCH($C1954,DATA_ASSET_CLASSIFICATION!$A$8:$A$24,0)),"Review"))</f>
        <v>Evergreen Apartments</v>
      </c>
      <c r="N1954" s="350" t="str">
        <f ca="1">IF($B1954="Portfolio","Portfolio",IFERROR(INDEX(DATA_ASSET_CLASSIFICATION!$U$8:$U$24,MATCH($C1954,DATA_ASSET_CLASSIFICATION!$A$8:$A$24,0)),"Review"))</f>
        <v>Refi Watch</v>
      </c>
      <c r="O1954" s="350" t="str">
        <f ca="1">IF($B1954="Portfolio","Portfolio",IFERROR(INDEX(DATA_ASSET_CLASSIFICATION!$AB$8:$AB$13,MATCH($N1954,DATA_ASSET_CLASSIFICATION!$AA$8:$AA$13,0)),"Review"))</f>
        <v>Bucket 2 · Legacy</v>
      </c>
      <c r="P1954" s="350" t="str">
        <f>IF($B1954="Portfolio","Portfolio",IFERROR(INDEX(DATA_ASSET_CLASSIFICATION!$C$8:$C$24,MATCH($C1954,DATA_ASSET_CLASSIFICATION!$A$8:$A$24,0)),"Review"))</f>
        <v>Yes</v>
      </c>
      <c r="Q1954" s="350" t="str">
        <f t="shared" ca="1" si="61"/>
        <v>OK</v>
      </c>
    </row>
    <row r="1955" spans="1:17" ht="30">
      <c r="A1955" s="366" t="s">
        <v>3911</v>
      </c>
      <c r="B1955" s="366" t="s">
        <v>231</v>
      </c>
      <c r="C1955" s="348" t="str">
        <f>DATA_PROPERTY_MASTER!$A$10</f>
        <v>BLD_EA</v>
      </c>
      <c r="D1955" s="380">
        <f>'00_PORTFOLIO ROLLUP'!Q$12</f>
        <v>2037</v>
      </c>
      <c r="E1955" s="366" t="s">
        <v>1721</v>
      </c>
      <c r="F1955" s="366" t="s">
        <v>37</v>
      </c>
      <c r="G1955" s="348" t="str">
        <f>"'"&amp;$C1955&amp;"'!$E$63:$Y$63"</f>
        <v>'BLD_EA'!$E$63:$Y$63</v>
      </c>
      <c r="H1955" s="381">
        <f ca="1">IF(IFERROR(INDEX(DATA_PROPERTY_MASTER!$E$5:$E$21,MATCH($C1955,DATA_PROPERTY_MASTER!$A$5:$A$21,0))="Yes",FALSE),MAX(IFERROR(INDEX(INDIRECT("'"&amp;$C1955&amp;"'!$E$63:$Y$63"),1,MATCH($D1955,INDIRECT("'"&amp;$C1955&amp;"'!$E$12:$Y$12"),0)),0),0),0)</f>
        <v>0</v>
      </c>
      <c r="I1955" s="366" t="s">
        <v>1685</v>
      </c>
      <c r="J1955" s="348" t="str">
        <f t="shared" ca="1" si="60"/>
        <v>OK</v>
      </c>
      <c r="K1955" s="366" t="s">
        <v>1735</v>
      </c>
      <c r="L1955" s="366" t="s">
        <v>2258</v>
      </c>
      <c r="M1955" s="350" t="str">
        <f>IF($B1955="Portfolio","Portfolio",IFERROR(INDEX(DATA_ASSET_CLASSIFICATION!$B$8:$B$24,MATCH($C1955,DATA_ASSET_CLASSIFICATION!$A$8:$A$24,0)),"Review"))</f>
        <v>Evergreen Apartments</v>
      </c>
      <c r="N1955" s="350" t="str">
        <f ca="1">IF($B1955="Portfolio","Portfolio",IFERROR(INDEX(DATA_ASSET_CLASSIFICATION!$U$8:$U$24,MATCH($C1955,DATA_ASSET_CLASSIFICATION!$A$8:$A$24,0)),"Review"))</f>
        <v>Refi Watch</v>
      </c>
      <c r="O1955" s="350" t="str">
        <f ca="1">IF($B1955="Portfolio","Portfolio",IFERROR(INDEX(DATA_ASSET_CLASSIFICATION!$AB$8:$AB$13,MATCH($N1955,DATA_ASSET_CLASSIFICATION!$AA$8:$AA$13,0)),"Review"))</f>
        <v>Bucket 2 · Legacy</v>
      </c>
      <c r="P1955" s="350" t="str">
        <f>IF($B1955="Portfolio","Portfolio",IFERROR(INDEX(DATA_ASSET_CLASSIFICATION!$C$8:$C$24,MATCH($C1955,DATA_ASSET_CLASSIFICATION!$A$8:$A$24,0)),"Review"))</f>
        <v>Yes</v>
      </c>
      <c r="Q1955" s="350" t="str">
        <f t="shared" ca="1" si="61"/>
        <v>OK</v>
      </c>
    </row>
    <row r="1956" spans="1:17" ht="30">
      <c r="A1956" s="366" t="s">
        <v>3912</v>
      </c>
      <c r="B1956" s="366" t="s">
        <v>231</v>
      </c>
      <c r="C1956" s="348" t="str">
        <f>DATA_PROPERTY_MASTER!$A$10</f>
        <v>BLD_EA</v>
      </c>
      <c r="D1956" s="380">
        <f>'00_PORTFOLIO ROLLUP'!Q$12</f>
        <v>2037</v>
      </c>
      <c r="E1956" s="366" t="s">
        <v>1721</v>
      </c>
      <c r="F1956" s="366" t="s">
        <v>39</v>
      </c>
      <c r="G1956" s="348" t="str">
        <f>"'"&amp;$C1956&amp;"'!$E$63:$Y$63"</f>
        <v>'BLD_EA'!$E$63:$Y$63</v>
      </c>
      <c r="H1956" s="381">
        <f ca="1">IF(IFERROR(INDEX(DATA_PROPERTY_MASTER!$E$5:$E$21,MATCH($C1956,DATA_PROPERTY_MASTER!$A$5:$A$21,0))="Yes",FALSE),MAX(-IFERROR(INDEX(INDIRECT("'"&amp;$C1956&amp;"'!$E$63:$Y$63"),1,MATCH($D1956,INDIRECT("'"&amp;$C1956&amp;"'!$E$12:$Y$12"),0)),0),0),0)</f>
        <v>0</v>
      </c>
      <c r="I1956" s="366" t="s">
        <v>1690</v>
      </c>
      <c r="J1956" s="348" t="str">
        <f t="shared" ca="1" si="60"/>
        <v>OK</v>
      </c>
      <c r="K1956" s="366" t="s">
        <v>1738</v>
      </c>
      <c r="L1956" s="366" t="s">
        <v>2260</v>
      </c>
      <c r="M1956" s="350" t="str">
        <f>IF($B1956="Portfolio","Portfolio",IFERROR(INDEX(DATA_ASSET_CLASSIFICATION!$B$8:$B$24,MATCH($C1956,DATA_ASSET_CLASSIFICATION!$A$8:$A$24,0)),"Review"))</f>
        <v>Evergreen Apartments</v>
      </c>
      <c r="N1956" s="350" t="str">
        <f ca="1">IF($B1956="Portfolio","Portfolio",IFERROR(INDEX(DATA_ASSET_CLASSIFICATION!$U$8:$U$24,MATCH($C1956,DATA_ASSET_CLASSIFICATION!$A$8:$A$24,0)),"Review"))</f>
        <v>Refi Watch</v>
      </c>
      <c r="O1956" s="350" t="str">
        <f ca="1">IF($B1956="Portfolio","Portfolio",IFERROR(INDEX(DATA_ASSET_CLASSIFICATION!$AB$8:$AB$13,MATCH($N1956,DATA_ASSET_CLASSIFICATION!$AA$8:$AA$13,0)),"Review"))</f>
        <v>Bucket 2 · Legacy</v>
      </c>
      <c r="P1956" s="350" t="str">
        <f>IF($B1956="Portfolio","Portfolio",IFERROR(INDEX(DATA_ASSET_CLASSIFICATION!$C$8:$C$24,MATCH($C1956,DATA_ASSET_CLASSIFICATION!$A$8:$A$24,0)),"Review"))</f>
        <v>Yes</v>
      </c>
      <c r="Q1956" s="350" t="str">
        <f t="shared" ca="1" si="61"/>
        <v>OK</v>
      </c>
    </row>
    <row r="1957" spans="1:17" ht="30">
      <c r="A1957" s="366" t="s">
        <v>3913</v>
      </c>
      <c r="B1957" s="366" t="s">
        <v>231</v>
      </c>
      <c r="C1957" s="348" t="str">
        <f>DATA_PROPERTY_MASTER!$A$10</f>
        <v>BLD_EA</v>
      </c>
      <c r="D1957" s="380">
        <f>'00_PORTFOLIO ROLLUP'!Q$12</f>
        <v>2037</v>
      </c>
      <c r="E1957" s="366" t="s">
        <v>1741</v>
      </c>
      <c r="F1957" s="366" t="s">
        <v>41</v>
      </c>
      <c r="G1957" s="348" t="str">
        <f>"'"&amp;$C1957&amp;"'!rows 56 + positive row 63"</f>
        <v>'BLD_EA'!rows 56 + positive row 63</v>
      </c>
      <c r="H1957" s="381">
        <f ca="1">IF(IFERROR(INDEX(DATA_PROPERTY_MASTER!$E$5:$E$21,MATCH($C1957,DATA_PROPERTY_MASTER!$A$5:$A$21,0))="Yes",FALSE),IFERROR(INDEX(INDIRECT("'"&amp;$C1957&amp;"'!$E$56:$Y$56"),1,MATCH($D1957,INDIRECT("'"&amp;$C1957&amp;"'!$E$12:$Y$12"),0)),0)+MAX(IFERROR(INDEX(INDIRECT("'"&amp;$C1957&amp;"'!$E$63:$Y$63"),1,MATCH($D1957,INDIRECT("'"&amp;$C1957&amp;"'!$E$12:$Y$12"),0)),0),0),0)</f>
        <v>91380.652836190042</v>
      </c>
      <c r="I1957" s="366" t="s">
        <v>1685</v>
      </c>
      <c r="J1957" s="348" t="str">
        <f t="shared" ca="1" si="60"/>
        <v>OK</v>
      </c>
      <c r="K1957" s="366" t="s">
        <v>1742</v>
      </c>
      <c r="L1957" s="366" t="s">
        <v>2262</v>
      </c>
      <c r="M1957" s="350" t="str">
        <f>IF($B1957="Portfolio","Portfolio",IFERROR(INDEX(DATA_ASSET_CLASSIFICATION!$B$8:$B$24,MATCH($C1957,DATA_ASSET_CLASSIFICATION!$A$8:$A$24,0)),"Review"))</f>
        <v>Evergreen Apartments</v>
      </c>
      <c r="N1957" s="350" t="str">
        <f ca="1">IF($B1957="Portfolio","Portfolio",IFERROR(INDEX(DATA_ASSET_CLASSIFICATION!$U$8:$U$24,MATCH($C1957,DATA_ASSET_CLASSIFICATION!$A$8:$A$24,0)),"Review"))</f>
        <v>Refi Watch</v>
      </c>
      <c r="O1957" s="350" t="str">
        <f ca="1">IF($B1957="Portfolio","Portfolio",IFERROR(INDEX(DATA_ASSET_CLASSIFICATION!$AB$8:$AB$13,MATCH($N1957,DATA_ASSET_CLASSIFICATION!$AA$8:$AA$13,0)),"Review"))</f>
        <v>Bucket 2 · Legacy</v>
      </c>
      <c r="P1957" s="350" t="str">
        <f>IF($B1957="Portfolio","Portfolio",IFERROR(INDEX(DATA_ASSET_CLASSIFICATION!$C$8:$C$24,MATCH($C1957,DATA_ASSET_CLASSIFICATION!$A$8:$A$24,0)),"Review"))</f>
        <v>Yes</v>
      </c>
      <c r="Q1957" s="350" t="str">
        <f t="shared" ca="1" si="61"/>
        <v>OK</v>
      </c>
    </row>
    <row r="1958" spans="1:17" ht="30">
      <c r="A1958" s="366" t="s">
        <v>3914</v>
      </c>
      <c r="B1958" s="366" t="s">
        <v>231</v>
      </c>
      <c r="C1958" s="348" t="str">
        <f>DATA_PROPERTY_MASTER!$A$10</f>
        <v>BLD_EA</v>
      </c>
      <c r="D1958" s="380">
        <f>'00_PORTFOLIO ROLLUP'!Q$12</f>
        <v>2037</v>
      </c>
      <c r="E1958" s="366" t="s">
        <v>1741</v>
      </c>
      <c r="F1958" s="366" t="s">
        <v>43</v>
      </c>
      <c r="G1958" s="348" t="str">
        <f>"'"&amp;$C1958&amp;"'!$E$68:$Y$68"</f>
        <v>'BLD_EA'!$E$68:$Y$68</v>
      </c>
      <c r="H1958" s="381">
        <f ca="1">IF(IFERROR(INDEX(DATA_PROPERTY_MASTER!$E$5:$E$21,MATCH($C1958,DATA_PROPERTY_MASTER!$A$5:$A$21,0))="Yes",FALSE),IFERROR(INDEX(INDIRECT("'"&amp;$C1958&amp;"'!$E$68:$Y$68"),1,MATCH($D1958,INDIRECT("'"&amp;$C1958&amp;"'!$E$12:$Y$12"),0)),0),0)</f>
        <v>91380.652836190042</v>
      </c>
      <c r="I1958" s="366" t="s">
        <v>1731</v>
      </c>
      <c r="J1958" s="348" t="str">
        <f t="shared" ca="1" si="60"/>
        <v>OK</v>
      </c>
      <c r="K1958" s="366" t="s">
        <v>1746</v>
      </c>
      <c r="L1958" s="366" t="s">
        <v>2264</v>
      </c>
      <c r="M1958" s="350" t="str">
        <f>IF($B1958="Portfolio","Portfolio",IFERROR(INDEX(DATA_ASSET_CLASSIFICATION!$B$8:$B$24,MATCH($C1958,DATA_ASSET_CLASSIFICATION!$A$8:$A$24,0)),"Review"))</f>
        <v>Evergreen Apartments</v>
      </c>
      <c r="N1958" s="350" t="str">
        <f ca="1">IF($B1958="Portfolio","Portfolio",IFERROR(INDEX(DATA_ASSET_CLASSIFICATION!$U$8:$U$24,MATCH($C1958,DATA_ASSET_CLASSIFICATION!$A$8:$A$24,0)),"Review"))</f>
        <v>Refi Watch</v>
      </c>
      <c r="O1958" s="350" t="str">
        <f ca="1">IF($B1958="Portfolio","Portfolio",IFERROR(INDEX(DATA_ASSET_CLASSIFICATION!$AB$8:$AB$13,MATCH($N1958,DATA_ASSET_CLASSIFICATION!$AA$8:$AA$13,0)),"Review"))</f>
        <v>Bucket 2 · Legacy</v>
      </c>
      <c r="P1958" s="350" t="str">
        <f>IF($B1958="Portfolio","Portfolio",IFERROR(INDEX(DATA_ASSET_CLASSIFICATION!$C$8:$C$24,MATCH($C1958,DATA_ASSET_CLASSIFICATION!$A$8:$A$24,0)),"Review"))</f>
        <v>Yes</v>
      </c>
      <c r="Q1958" s="350" t="str">
        <f t="shared" ca="1" si="61"/>
        <v>OK</v>
      </c>
    </row>
    <row r="1959" spans="1:17" ht="30">
      <c r="A1959" s="366" t="s">
        <v>3915</v>
      </c>
      <c r="B1959" s="366" t="s">
        <v>231</v>
      </c>
      <c r="C1959" s="348" t="str">
        <f>DATA_PROPERTY_MASTER!$A$10</f>
        <v>BLD_EA</v>
      </c>
      <c r="D1959" s="380">
        <f>'00_PORTFOLIO ROLLUP'!Q$12</f>
        <v>2037</v>
      </c>
      <c r="E1959" s="366" t="s">
        <v>1741</v>
      </c>
      <c r="F1959" s="366" t="s">
        <v>1749</v>
      </c>
      <c r="G1959" s="348" t="str">
        <f>"'"&amp;$C1959&amp;"'!rows 56, 63, 68"</f>
        <v>'BLD_EA'!rows 56, 63, 68</v>
      </c>
      <c r="H1959" s="381">
        <f ca="1">IF(IFERROR(INDEX(DATA_PROPERTY_MASTER!$E$5:$E$21,MATCH($C1959,DATA_PROPERTY_MASTER!$A$5:$A$21,0))="Yes",FALSE),(IFERROR(INDEX(INDIRECT("'"&amp;$C1959&amp;"'!$E$56:$Y$56"),1,MATCH($D1959,INDIRECT("'"&amp;$C1959&amp;"'!$E$12:$Y$12"),0)),0)+MAX(IFERROR(INDEX(INDIRECT("'"&amp;$C1959&amp;"'!$E$63:$Y$63"),1,MATCH($D1959,INDIRECT("'"&amp;$C1959&amp;"'!$E$12:$Y$12"),0)),0),0))-(IFERROR(INDEX(INDIRECT("'"&amp;$C1959&amp;"'!$E$68:$Y$68"),1,MATCH($D1959,INDIRECT("'"&amp;$C1959&amp;"'!$E$12:$Y$12"),0)),0)),0)</f>
        <v>0</v>
      </c>
      <c r="I1959" s="366" t="s">
        <v>1750</v>
      </c>
      <c r="J1959" s="348" t="str">
        <f t="shared" ca="1" si="60"/>
        <v>OK</v>
      </c>
      <c r="K1959" s="366" t="s">
        <v>1751</v>
      </c>
      <c r="L1959" s="366" t="s">
        <v>2266</v>
      </c>
      <c r="M1959" s="350" t="str">
        <f>IF($B1959="Portfolio","Portfolio",IFERROR(INDEX(DATA_ASSET_CLASSIFICATION!$B$8:$B$24,MATCH($C1959,DATA_ASSET_CLASSIFICATION!$A$8:$A$24,0)),"Review"))</f>
        <v>Evergreen Apartments</v>
      </c>
      <c r="N1959" s="350" t="str">
        <f ca="1">IF($B1959="Portfolio","Portfolio",IFERROR(INDEX(DATA_ASSET_CLASSIFICATION!$U$8:$U$24,MATCH($C1959,DATA_ASSET_CLASSIFICATION!$A$8:$A$24,0)),"Review"))</f>
        <v>Refi Watch</v>
      </c>
      <c r="O1959" s="350" t="str">
        <f ca="1">IF($B1959="Portfolio","Portfolio",IFERROR(INDEX(DATA_ASSET_CLASSIFICATION!$AB$8:$AB$13,MATCH($N1959,DATA_ASSET_CLASSIFICATION!$AA$8:$AA$13,0)),"Review"))</f>
        <v>Bucket 2 · Legacy</v>
      </c>
      <c r="P1959" s="350" t="str">
        <f>IF($B1959="Portfolio","Portfolio",IFERROR(INDEX(DATA_ASSET_CLASSIFICATION!$C$8:$C$24,MATCH($C1959,DATA_ASSET_CLASSIFICATION!$A$8:$A$24,0)),"Review"))</f>
        <v>Yes</v>
      </c>
      <c r="Q1959" s="350" t="str">
        <f t="shared" ca="1" si="61"/>
        <v>OK</v>
      </c>
    </row>
    <row r="1960" spans="1:17" ht="30">
      <c r="A1960" s="366" t="s">
        <v>3916</v>
      </c>
      <c r="B1960" s="366" t="s">
        <v>231</v>
      </c>
      <c r="C1960" s="348" t="str">
        <f>DATA_PROPERTY_MASTER!$A$10</f>
        <v>BLD_EA</v>
      </c>
      <c r="D1960" s="380">
        <f>'00_PORTFOLIO ROLLUP'!R$12</f>
        <v>2038</v>
      </c>
      <c r="E1960" s="366" t="s">
        <v>1683</v>
      </c>
      <c r="F1960" s="366" t="s">
        <v>341</v>
      </c>
      <c r="G1960" s="348" t="str">
        <f>"'"&amp;$C1960&amp;"'!$E$24:$Y$24"</f>
        <v>'BLD_EA'!$E$24:$Y$24</v>
      </c>
      <c r="H1960" s="381">
        <f ca="1">IF(IFERROR(INDEX(DATA_PROPERTY_MASTER!$E$5:$E$21,MATCH($C1960,DATA_PROPERTY_MASTER!$A$5:$A$21,0))="Yes",FALSE),IFERROR(INDEX(INDIRECT("'"&amp;$C1960&amp;"'!$E$24:$Y$24"),1,MATCH($D1960,INDIRECT("'"&amp;$C1960&amp;"'!$E$12:$Y$12"),0)),0),0)</f>
        <v>1285077.4860955856</v>
      </c>
      <c r="I1960" s="366" t="s">
        <v>1685</v>
      </c>
      <c r="J1960" s="348" t="str">
        <f t="shared" ca="1" si="60"/>
        <v>OK</v>
      </c>
      <c r="K1960" s="366" t="s">
        <v>1686</v>
      </c>
      <c r="L1960" s="366" t="s">
        <v>2234</v>
      </c>
      <c r="M1960" s="350" t="str">
        <f>IF($B1960="Portfolio","Portfolio",IFERROR(INDEX(DATA_ASSET_CLASSIFICATION!$B$8:$B$24,MATCH($C1960,DATA_ASSET_CLASSIFICATION!$A$8:$A$24,0)),"Review"))</f>
        <v>Evergreen Apartments</v>
      </c>
      <c r="N1960" s="350" t="str">
        <f ca="1">IF($B1960="Portfolio","Portfolio",IFERROR(INDEX(DATA_ASSET_CLASSIFICATION!$U$8:$U$24,MATCH($C1960,DATA_ASSET_CLASSIFICATION!$A$8:$A$24,0)),"Review"))</f>
        <v>Refi Watch</v>
      </c>
      <c r="O1960" s="350" t="str">
        <f ca="1">IF($B1960="Portfolio","Portfolio",IFERROR(INDEX(DATA_ASSET_CLASSIFICATION!$AB$8:$AB$13,MATCH($N1960,DATA_ASSET_CLASSIFICATION!$AA$8:$AA$13,0)),"Review"))</f>
        <v>Bucket 2 · Legacy</v>
      </c>
      <c r="P1960" s="350" t="str">
        <f>IF($B1960="Portfolio","Portfolio",IFERROR(INDEX(DATA_ASSET_CLASSIFICATION!$C$8:$C$24,MATCH($C1960,DATA_ASSET_CLASSIFICATION!$A$8:$A$24,0)),"Review"))</f>
        <v>Yes</v>
      </c>
      <c r="Q1960" s="350" t="str">
        <f t="shared" ca="1" si="61"/>
        <v>OK</v>
      </c>
    </row>
    <row r="1961" spans="1:17" ht="30">
      <c r="A1961" s="366" t="s">
        <v>3917</v>
      </c>
      <c r="B1961" s="366" t="s">
        <v>231</v>
      </c>
      <c r="C1961" s="348" t="str">
        <f>DATA_PROPERTY_MASTER!$A$10</f>
        <v>BLD_EA</v>
      </c>
      <c r="D1961" s="380">
        <f>'00_PORTFOLIO ROLLUP'!R$12</f>
        <v>2038</v>
      </c>
      <c r="E1961" s="366" t="s">
        <v>1683</v>
      </c>
      <c r="F1961" s="366" t="s">
        <v>355</v>
      </c>
      <c r="G1961" s="348" t="str">
        <f>"'"&amp;$C1961&amp;"'!$E$39:$Y$39"</f>
        <v>'BLD_EA'!$E$39:$Y$39</v>
      </c>
      <c r="H1961" s="381">
        <f ca="1">IF(IFERROR(INDEX(DATA_PROPERTY_MASTER!$E$5:$E$21,MATCH($C1961,DATA_PROPERTY_MASTER!$A$5:$A$21,0))="Yes",FALSE),IFERROR(INDEX(INDIRECT("'"&amp;$C1961&amp;"'!$E$39:$Y$39"),1,MATCH($D1961,INDIRECT("'"&amp;$C1961&amp;"'!$E$12:$Y$12"),0)),0),0)</f>
        <v>649689.25967947289</v>
      </c>
      <c r="I1961" s="366" t="s">
        <v>1690</v>
      </c>
      <c r="J1961" s="348" t="str">
        <f t="shared" ca="1" si="60"/>
        <v>OK</v>
      </c>
      <c r="K1961" s="366" t="s">
        <v>1686</v>
      </c>
      <c r="L1961" s="366" t="s">
        <v>2236</v>
      </c>
      <c r="M1961" s="350" t="str">
        <f>IF($B1961="Portfolio","Portfolio",IFERROR(INDEX(DATA_ASSET_CLASSIFICATION!$B$8:$B$24,MATCH($C1961,DATA_ASSET_CLASSIFICATION!$A$8:$A$24,0)),"Review"))</f>
        <v>Evergreen Apartments</v>
      </c>
      <c r="N1961" s="350" t="str">
        <f ca="1">IF($B1961="Portfolio","Portfolio",IFERROR(INDEX(DATA_ASSET_CLASSIFICATION!$U$8:$U$24,MATCH($C1961,DATA_ASSET_CLASSIFICATION!$A$8:$A$24,0)),"Review"))</f>
        <v>Refi Watch</v>
      </c>
      <c r="O1961" s="350" t="str">
        <f ca="1">IF($B1961="Portfolio","Portfolio",IFERROR(INDEX(DATA_ASSET_CLASSIFICATION!$AB$8:$AB$13,MATCH($N1961,DATA_ASSET_CLASSIFICATION!$AA$8:$AA$13,0)),"Review"))</f>
        <v>Bucket 2 · Legacy</v>
      </c>
      <c r="P1961" s="350" t="str">
        <f>IF($B1961="Portfolio","Portfolio",IFERROR(INDEX(DATA_ASSET_CLASSIFICATION!$C$8:$C$24,MATCH($C1961,DATA_ASSET_CLASSIFICATION!$A$8:$A$24,0)),"Review"))</f>
        <v>Yes</v>
      </c>
      <c r="Q1961" s="350" t="str">
        <f t="shared" ca="1" si="61"/>
        <v>OK</v>
      </c>
    </row>
    <row r="1962" spans="1:17" ht="30">
      <c r="A1962" s="366" t="s">
        <v>3918</v>
      </c>
      <c r="B1962" s="366" t="s">
        <v>231</v>
      </c>
      <c r="C1962" s="348" t="str">
        <f>DATA_PROPERTY_MASTER!$A$10</f>
        <v>BLD_EA</v>
      </c>
      <c r="D1962" s="380">
        <f>'00_PORTFOLIO ROLLUP'!R$12</f>
        <v>2038</v>
      </c>
      <c r="E1962" s="366" t="s">
        <v>1683</v>
      </c>
      <c r="F1962" s="366" t="s">
        <v>19</v>
      </c>
      <c r="G1962" s="348" t="str">
        <f>"'"&amp;$C1962&amp;"'!$E$41:$Y$41"</f>
        <v>'BLD_EA'!$E$41:$Y$41</v>
      </c>
      <c r="H1962" s="381">
        <f ca="1">IF(IFERROR(INDEX(DATA_PROPERTY_MASTER!$E$5:$E$21,MATCH($C1962,DATA_PROPERTY_MASTER!$A$5:$A$21,0))="Yes",FALSE),IFERROR(INDEX(INDIRECT("'"&amp;$C1962&amp;"'!$E$41:$Y$41"),1,MATCH($D1962,INDIRECT("'"&amp;$C1962&amp;"'!$E$12:$Y$12"),0)),0),0)</f>
        <v>635388.22641611274</v>
      </c>
      <c r="I1962" s="366" t="s">
        <v>1685</v>
      </c>
      <c r="J1962" s="348" t="str">
        <f t="shared" ca="1" si="60"/>
        <v>OK</v>
      </c>
      <c r="K1962" s="366" t="s">
        <v>1694</v>
      </c>
      <c r="L1962" s="366" t="s">
        <v>2238</v>
      </c>
      <c r="M1962" s="350" t="str">
        <f>IF($B1962="Portfolio","Portfolio",IFERROR(INDEX(DATA_ASSET_CLASSIFICATION!$B$8:$B$24,MATCH($C1962,DATA_ASSET_CLASSIFICATION!$A$8:$A$24,0)),"Review"))</f>
        <v>Evergreen Apartments</v>
      </c>
      <c r="N1962" s="350" t="str">
        <f ca="1">IF($B1962="Portfolio","Portfolio",IFERROR(INDEX(DATA_ASSET_CLASSIFICATION!$U$8:$U$24,MATCH($C1962,DATA_ASSET_CLASSIFICATION!$A$8:$A$24,0)),"Review"))</f>
        <v>Refi Watch</v>
      </c>
      <c r="O1962" s="350" t="str">
        <f ca="1">IF($B1962="Portfolio","Portfolio",IFERROR(INDEX(DATA_ASSET_CLASSIFICATION!$AB$8:$AB$13,MATCH($N1962,DATA_ASSET_CLASSIFICATION!$AA$8:$AA$13,0)),"Review"))</f>
        <v>Bucket 2 · Legacy</v>
      </c>
      <c r="P1962" s="350" t="str">
        <f>IF($B1962="Portfolio","Portfolio",IFERROR(INDEX(DATA_ASSET_CLASSIFICATION!$C$8:$C$24,MATCH($C1962,DATA_ASSET_CLASSIFICATION!$A$8:$A$24,0)),"Review"))</f>
        <v>Yes</v>
      </c>
      <c r="Q1962" s="350" t="str">
        <f t="shared" ca="1" si="61"/>
        <v>OK</v>
      </c>
    </row>
    <row r="1963" spans="1:17" ht="30">
      <c r="A1963" s="366" t="s">
        <v>3919</v>
      </c>
      <c r="B1963" s="366" t="s">
        <v>231</v>
      </c>
      <c r="C1963" s="348" t="str">
        <f>DATA_PROPERTY_MASTER!$A$10</f>
        <v>BLD_EA</v>
      </c>
      <c r="D1963" s="380">
        <f>'00_PORTFOLIO ROLLUP'!R$12</f>
        <v>2038</v>
      </c>
      <c r="E1963" s="366" t="s">
        <v>1683</v>
      </c>
      <c r="F1963" s="366" t="s">
        <v>1697</v>
      </c>
      <c r="G1963" s="348" t="str">
        <f>"'"&amp;$C1963&amp;"'!$E$44:$Y$44"</f>
        <v>'BLD_EA'!$E$44:$Y$44</v>
      </c>
      <c r="H1963" s="381">
        <f ca="1">IF(IFERROR(INDEX(DATA_PROPERTY_MASTER!$E$5:$E$21,MATCH($C1963,DATA_PROPERTY_MASTER!$A$5:$A$21,0))="Yes",FALSE),IFERROR(INDEX(INDIRECT("'"&amp;$C1963&amp;"'!$E$44:$Y$44"),1,MATCH($D1963,INDIRECT("'"&amp;$C1963&amp;"'!$E$12:$Y$12"),0)),0),0)</f>
        <v>11836.500668652234</v>
      </c>
      <c r="I1963" s="366" t="s">
        <v>1690</v>
      </c>
      <c r="J1963" s="348" t="str">
        <f t="shared" ca="1" si="60"/>
        <v>OK</v>
      </c>
      <c r="K1963" s="366" t="s">
        <v>1699</v>
      </c>
      <c r="L1963" s="366" t="s">
        <v>2240</v>
      </c>
      <c r="M1963" s="350" t="str">
        <f>IF($B1963="Portfolio","Portfolio",IFERROR(INDEX(DATA_ASSET_CLASSIFICATION!$B$8:$B$24,MATCH($C1963,DATA_ASSET_CLASSIFICATION!$A$8:$A$24,0)),"Review"))</f>
        <v>Evergreen Apartments</v>
      </c>
      <c r="N1963" s="350" t="str">
        <f ca="1">IF($B1963="Portfolio","Portfolio",IFERROR(INDEX(DATA_ASSET_CLASSIFICATION!$U$8:$U$24,MATCH($C1963,DATA_ASSET_CLASSIFICATION!$A$8:$A$24,0)),"Review"))</f>
        <v>Refi Watch</v>
      </c>
      <c r="O1963" s="350" t="str">
        <f ca="1">IF($B1963="Portfolio","Portfolio",IFERROR(INDEX(DATA_ASSET_CLASSIFICATION!$AB$8:$AB$13,MATCH($N1963,DATA_ASSET_CLASSIFICATION!$AA$8:$AA$13,0)),"Review"))</f>
        <v>Bucket 2 · Legacy</v>
      </c>
      <c r="P1963" s="350" t="str">
        <f>IF($B1963="Portfolio","Portfolio",IFERROR(INDEX(DATA_ASSET_CLASSIFICATION!$C$8:$C$24,MATCH($C1963,DATA_ASSET_CLASSIFICATION!$A$8:$A$24,0)),"Review"))</f>
        <v>Yes</v>
      </c>
      <c r="Q1963" s="350" t="str">
        <f t="shared" ca="1" si="61"/>
        <v>OK</v>
      </c>
    </row>
    <row r="1964" spans="1:17" ht="30">
      <c r="A1964" s="366" t="s">
        <v>3920</v>
      </c>
      <c r="B1964" s="366" t="s">
        <v>231</v>
      </c>
      <c r="C1964" s="348" t="str">
        <f>DATA_PROPERTY_MASTER!$A$10</f>
        <v>BLD_EA</v>
      </c>
      <c r="D1964" s="380">
        <f>'00_PORTFOLIO ROLLUP'!R$12</f>
        <v>2038</v>
      </c>
      <c r="E1964" s="366" t="s">
        <v>1683</v>
      </c>
      <c r="F1964" s="366" t="s">
        <v>21</v>
      </c>
      <c r="G1964" s="348" t="str">
        <f>"'"&amp;$C1964&amp;"'!$E$45:$Y$45"</f>
        <v>'BLD_EA'!$E$45:$Y$45</v>
      </c>
      <c r="H1964" s="381">
        <f ca="1">IF(IFERROR(INDEX(DATA_PROPERTY_MASTER!$E$5:$E$21,MATCH($C1964,DATA_PROPERTY_MASTER!$A$5:$A$21,0))="Yes",FALSE),IFERROR(INDEX(INDIRECT("'"&amp;$C1964&amp;"'!$E$45:$Y$45"),1,MATCH($D1964,INDIRECT("'"&amp;$C1964&amp;"'!$E$12:$Y$12"),0)),0),0)</f>
        <v>623551.7257474605</v>
      </c>
      <c r="I1964" s="366" t="s">
        <v>1685</v>
      </c>
      <c r="J1964" s="348" t="str">
        <f t="shared" ca="1" si="60"/>
        <v>OK</v>
      </c>
      <c r="K1964" s="366" t="s">
        <v>1694</v>
      </c>
      <c r="L1964" s="366" t="s">
        <v>2242</v>
      </c>
      <c r="M1964" s="350" t="str">
        <f>IF($B1964="Portfolio","Portfolio",IFERROR(INDEX(DATA_ASSET_CLASSIFICATION!$B$8:$B$24,MATCH($C1964,DATA_ASSET_CLASSIFICATION!$A$8:$A$24,0)),"Review"))</f>
        <v>Evergreen Apartments</v>
      </c>
      <c r="N1964" s="350" t="str">
        <f ca="1">IF($B1964="Portfolio","Portfolio",IFERROR(INDEX(DATA_ASSET_CLASSIFICATION!$U$8:$U$24,MATCH($C1964,DATA_ASSET_CLASSIFICATION!$A$8:$A$24,0)),"Review"))</f>
        <v>Refi Watch</v>
      </c>
      <c r="O1964" s="350" t="str">
        <f ca="1">IF($B1964="Portfolio","Portfolio",IFERROR(INDEX(DATA_ASSET_CLASSIFICATION!$AB$8:$AB$13,MATCH($N1964,DATA_ASSET_CLASSIFICATION!$AA$8:$AA$13,0)),"Review"))</f>
        <v>Bucket 2 · Legacy</v>
      </c>
      <c r="P1964" s="350" t="str">
        <f>IF($B1964="Portfolio","Portfolio",IFERROR(INDEX(DATA_ASSET_CLASSIFICATION!$C$8:$C$24,MATCH($C1964,DATA_ASSET_CLASSIFICATION!$A$8:$A$24,0)),"Review"))</f>
        <v>Yes</v>
      </c>
      <c r="Q1964" s="350" t="str">
        <f t="shared" ca="1" si="61"/>
        <v>OK</v>
      </c>
    </row>
    <row r="1965" spans="1:17" ht="30">
      <c r="A1965" s="366" t="s">
        <v>3921</v>
      </c>
      <c r="B1965" s="366" t="s">
        <v>231</v>
      </c>
      <c r="C1965" s="348" t="str">
        <f>DATA_PROPERTY_MASTER!$A$10</f>
        <v>BLD_EA</v>
      </c>
      <c r="D1965" s="380">
        <f>'00_PORTFOLIO ROLLUP'!R$12</f>
        <v>2038</v>
      </c>
      <c r="E1965" s="366" t="s">
        <v>23</v>
      </c>
      <c r="F1965" s="366" t="s">
        <v>23</v>
      </c>
      <c r="G1965" s="348" t="str">
        <f>"'"&amp;$C1965&amp;"'!$E$48:$Y$48"</f>
        <v>'BLD_EA'!$E$48:$Y$48</v>
      </c>
      <c r="H1965" s="381">
        <f ca="1">IF(IFERROR(INDEX(DATA_PROPERTY_MASTER!$E$5:$E$21,MATCH($C1965,DATA_PROPERTY_MASTER!$A$5:$A$21,0))="Yes",FALSE),IFERROR(INDEX(INDIRECT("'"&amp;$C1965&amp;"'!$E$48:$Y$48"),1,MATCH($D1965,INDIRECT("'"&amp;$C1965&amp;"'!$E$12:$Y$12"),0)),0),0)</f>
        <v>397585.07606343459</v>
      </c>
      <c r="I1965" s="366" t="s">
        <v>1690</v>
      </c>
      <c r="J1965" s="348" t="str">
        <f t="shared" ca="1" si="60"/>
        <v>OK</v>
      </c>
      <c r="K1965" s="366" t="s">
        <v>1706</v>
      </c>
      <c r="L1965" s="366" t="s">
        <v>2244</v>
      </c>
      <c r="M1965" s="350" t="str">
        <f>IF($B1965="Portfolio","Portfolio",IFERROR(INDEX(DATA_ASSET_CLASSIFICATION!$B$8:$B$24,MATCH($C1965,DATA_ASSET_CLASSIFICATION!$A$8:$A$24,0)),"Review"))</f>
        <v>Evergreen Apartments</v>
      </c>
      <c r="N1965" s="350" t="str">
        <f ca="1">IF($B1965="Portfolio","Portfolio",IFERROR(INDEX(DATA_ASSET_CLASSIFICATION!$U$8:$U$24,MATCH($C1965,DATA_ASSET_CLASSIFICATION!$A$8:$A$24,0)),"Review"))</f>
        <v>Refi Watch</v>
      </c>
      <c r="O1965" s="350" t="str">
        <f ca="1">IF($B1965="Portfolio","Portfolio",IFERROR(INDEX(DATA_ASSET_CLASSIFICATION!$AB$8:$AB$13,MATCH($N1965,DATA_ASSET_CLASSIFICATION!$AA$8:$AA$13,0)),"Review"))</f>
        <v>Bucket 2 · Legacy</v>
      </c>
      <c r="P1965" s="350" t="str">
        <f>IF($B1965="Portfolio","Portfolio",IFERROR(INDEX(DATA_ASSET_CLASSIFICATION!$C$8:$C$24,MATCH($C1965,DATA_ASSET_CLASSIFICATION!$A$8:$A$24,0)),"Review"))</f>
        <v>Yes</v>
      </c>
      <c r="Q1965" s="350" t="str">
        <f t="shared" ca="1" si="61"/>
        <v>OK</v>
      </c>
    </row>
    <row r="1966" spans="1:17" ht="30">
      <c r="A1966" s="366" t="s">
        <v>3922</v>
      </c>
      <c r="B1966" s="366" t="s">
        <v>231</v>
      </c>
      <c r="C1966" s="348" t="str">
        <f>DATA_PROPERTY_MASTER!$A$10</f>
        <v>BLD_EA</v>
      </c>
      <c r="D1966" s="380">
        <f>'00_PORTFOLIO ROLLUP'!R$12</f>
        <v>2038</v>
      </c>
      <c r="E1966" s="366" t="s">
        <v>1683</v>
      </c>
      <c r="F1966" s="366" t="s">
        <v>25</v>
      </c>
      <c r="G1966" s="348" t="str">
        <f>"'"&amp;$C1966&amp;"'!$E$52:$Y$52"</f>
        <v>'BLD_EA'!$E$52:$Y$52</v>
      </c>
      <c r="H1966" s="381">
        <f ca="1">IF(IFERROR(INDEX(DATA_PROPERTY_MASTER!$E$5:$E$21,MATCH($C1966,DATA_PROPERTY_MASTER!$A$5:$A$21,0))="Yes",FALSE),IFERROR(INDEX(INDIRECT("'"&amp;$C1966&amp;"'!$E$52:$Y$52"),1,MATCH($D1966,INDIRECT("'"&amp;$C1966&amp;"'!$E$12:$Y$12"),0)),0),0)</f>
        <v>237803.15035267815</v>
      </c>
      <c r="I1966" s="366" t="s">
        <v>1685</v>
      </c>
      <c r="J1966" s="348" t="str">
        <f t="shared" ca="1" si="60"/>
        <v>OK</v>
      </c>
      <c r="K1966" s="366" t="s">
        <v>1710</v>
      </c>
      <c r="L1966" s="366" t="s">
        <v>2246</v>
      </c>
      <c r="M1966" s="350" t="str">
        <f>IF($B1966="Portfolio","Portfolio",IFERROR(INDEX(DATA_ASSET_CLASSIFICATION!$B$8:$B$24,MATCH($C1966,DATA_ASSET_CLASSIFICATION!$A$8:$A$24,0)),"Review"))</f>
        <v>Evergreen Apartments</v>
      </c>
      <c r="N1966" s="350" t="str">
        <f ca="1">IF($B1966="Portfolio","Portfolio",IFERROR(INDEX(DATA_ASSET_CLASSIFICATION!$U$8:$U$24,MATCH($C1966,DATA_ASSET_CLASSIFICATION!$A$8:$A$24,0)),"Review"))</f>
        <v>Refi Watch</v>
      </c>
      <c r="O1966" s="350" t="str">
        <f ca="1">IF($B1966="Portfolio","Portfolio",IFERROR(INDEX(DATA_ASSET_CLASSIFICATION!$AB$8:$AB$13,MATCH($N1966,DATA_ASSET_CLASSIFICATION!$AA$8:$AA$13,0)),"Review"))</f>
        <v>Bucket 2 · Legacy</v>
      </c>
      <c r="P1966" s="350" t="str">
        <f>IF($B1966="Portfolio","Portfolio",IFERROR(INDEX(DATA_ASSET_CLASSIFICATION!$C$8:$C$24,MATCH($C1966,DATA_ASSET_CLASSIFICATION!$A$8:$A$24,0)),"Review"))</f>
        <v>Yes</v>
      </c>
      <c r="Q1966" s="350" t="str">
        <f t="shared" ca="1" si="61"/>
        <v>OK</v>
      </c>
    </row>
    <row r="1967" spans="1:17" ht="30">
      <c r="A1967" s="366" t="s">
        <v>3923</v>
      </c>
      <c r="B1967" s="366" t="s">
        <v>231</v>
      </c>
      <c r="C1967" s="348" t="str">
        <f>DATA_PROPERTY_MASTER!$A$10</f>
        <v>BLD_EA</v>
      </c>
      <c r="D1967" s="380">
        <f>'00_PORTFOLIO ROLLUP'!R$12</f>
        <v>2038</v>
      </c>
      <c r="E1967" s="366" t="s">
        <v>1683</v>
      </c>
      <c r="F1967" s="366" t="s">
        <v>27</v>
      </c>
      <c r="G1967" s="348" t="str">
        <f>"'"&amp;$C1967&amp;"'!$E$54:$Y$54"</f>
        <v>'BLD_EA'!$E$54:$Y$54</v>
      </c>
      <c r="H1967" s="381">
        <f ca="1">IF(IFERROR(INDEX(DATA_PROPERTY_MASTER!$E$5:$E$21,MATCH($C1967,DATA_PROPERTY_MASTER!$A$5:$A$21,0))="Yes",FALSE),IFERROR(INDEX(INDIRECT("'"&amp;$C1967&amp;"'!$E$54:$Y$54"),1,MATCH($D1967,INDIRECT("'"&amp;$C1967&amp;"'!$E$12:$Y$12"),0)),0),0)</f>
        <v>142681.89021160689</v>
      </c>
      <c r="I1967" s="366" t="s">
        <v>1690</v>
      </c>
      <c r="J1967" s="348" t="str">
        <f t="shared" ca="1" si="60"/>
        <v>OK</v>
      </c>
      <c r="K1967" s="366" t="s">
        <v>1714</v>
      </c>
      <c r="L1967" s="366" t="s">
        <v>2248</v>
      </c>
      <c r="M1967" s="350" t="str">
        <f>IF($B1967="Portfolio","Portfolio",IFERROR(INDEX(DATA_ASSET_CLASSIFICATION!$B$8:$B$24,MATCH($C1967,DATA_ASSET_CLASSIFICATION!$A$8:$A$24,0)),"Review"))</f>
        <v>Evergreen Apartments</v>
      </c>
      <c r="N1967" s="350" t="str">
        <f ca="1">IF($B1967="Portfolio","Portfolio",IFERROR(INDEX(DATA_ASSET_CLASSIFICATION!$U$8:$U$24,MATCH($C1967,DATA_ASSET_CLASSIFICATION!$A$8:$A$24,0)),"Review"))</f>
        <v>Refi Watch</v>
      </c>
      <c r="O1967" s="350" t="str">
        <f ca="1">IF($B1967="Portfolio","Portfolio",IFERROR(INDEX(DATA_ASSET_CLASSIFICATION!$AB$8:$AB$13,MATCH($N1967,DATA_ASSET_CLASSIFICATION!$AA$8:$AA$13,0)),"Review"))</f>
        <v>Bucket 2 · Legacy</v>
      </c>
      <c r="P1967" s="350" t="str">
        <f>IF($B1967="Portfolio","Portfolio",IFERROR(INDEX(DATA_ASSET_CLASSIFICATION!$C$8:$C$24,MATCH($C1967,DATA_ASSET_CLASSIFICATION!$A$8:$A$24,0)),"Review"))</f>
        <v>Yes</v>
      </c>
      <c r="Q1967" s="350" t="str">
        <f t="shared" ca="1" si="61"/>
        <v>OK</v>
      </c>
    </row>
    <row r="1968" spans="1:17" ht="30">
      <c r="A1968" s="366" t="s">
        <v>3924</v>
      </c>
      <c r="B1968" s="366" t="s">
        <v>231</v>
      </c>
      <c r="C1968" s="348" t="str">
        <f>DATA_PROPERTY_MASTER!$A$10</f>
        <v>BLD_EA</v>
      </c>
      <c r="D1968" s="380">
        <f>'00_PORTFOLIO ROLLUP'!R$12</f>
        <v>2038</v>
      </c>
      <c r="E1968" s="366" t="s">
        <v>1683</v>
      </c>
      <c r="F1968" s="366" t="s">
        <v>29</v>
      </c>
      <c r="G1968" s="348" t="str">
        <f>"'"&amp;$C1968&amp;"'!$E$56:$Y$56"</f>
        <v>'BLD_EA'!$E$56:$Y$56</v>
      </c>
      <c r="H1968" s="381">
        <f ca="1">IF(IFERROR(INDEX(DATA_PROPERTY_MASTER!$E$5:$E$21,MATCH($C1968,DATA_PROPERTY_MASTER!$A$5:$A$21,0))="Yes",FALSE),IFERROR(INDEX(INDIRECT("'"&amp;$C1968&amp;"'!$E$56:$Y$56"),1,MATCH($D1968,INDIRECT("'"&amp;$C1968&amp;"'!$E$12:$Y$12"),0)),0),0)</f>
        <v>95121.260141071252</v>
      </c>
      <c r="I1968" s="366" t="s">
        <v>1685</v>
      </c>
      <c r="J1968" s="348" t="str">
        <f t="shared" ca="1" si="60"/>
        <v>OK</v>
      </c>
      <c r="K1968" s="366" t="s">
        <v>1718</v>
      </c>
      <c r="L1968" s="366" t="s">
        <v>2250</v>
      </c>
      <c r="M1968" s="350" t="str">
        <f>IF($B1968="Portfolio","Portfolio",IFERROR(INDEX(DATA_ASSET_CLASSIFICATION!$B$8:$B$24,MATCH($C1968,DATA_ASSET_CLASSIFICATION!$A$8:$A$24,0)),"Review"))</f>
        <v>Evergreen Apartments</v>
      </c>
      <c r="N1968" s="350" t="str">
        <f ca="1">IF($B1968="Portfolio","Portfolio",IFERROR(INDEX(DATA_ASSET_CLASSIFICATION!$U$8:$U$24,MATCH($C1968,DATA_ASSET_CLASSIFICATION!$A$8:$A$24,0)),"Review"))</f>
        <v>Refi Watch</v>
      </c>
      <c r="O1968" s="350" t="str">
        <f ca="1">IF($B1968="Portfolio","Portfolio",IFERROR(INDEX(DATA_ASSET_CLASSIFICATION!$AB$8:$AB$13,MATCH($N1968,DATA_ASSET_CLASSIFICATION!$AA$8:$AA$13,0)),"Review"))</f>
        <v>Bucket 2 · Legacy</v>
      </c>
      <c r="P1968" s="350" t="str">
        <f>IF($B1968="Portfolio","Portfolio",IFERROR(INDEX(DATA_ASSET_CLASSIFICATION!$C$8:$C$24,MATCH($C1968,DATA_ASSET_CLASSIFICATION!$A$8:$A$24,0)),"Review"))</f>
        <v>Yes</v>
      </c>
      <c r="Q1968" s="350" t="str">
        <f t="shared" ca="1" si="61"/>
        <v>OK</v>
      </c>
    </row>
    <row r="1969" spans="1:17" ht="30">
      <c r="A1969" s="366" t="s">
        <v>3925</v>
      </c>
      <c r="B1969" s="366" t="s">
        <v>231</v>
      </c>
      <c r="C1969" s="348" t="str">
        <f>DATA_PROPERTY_MASTER!$A$10</f>
        <v>BLD_EA</v>
      </c>
      <c r="D1969" s="380">
        <f>'00_PORTFOLIO ROLLUP'!R$12</f>
        <v>2038</v>
      </c>
      <c r="E1969" s="366" t="s">
        <v>1721</v>
      </c>
      <c r="F1969" s="366" t="s">
        <v>31</v>
      </c>
      <c r="G1969" s="348" t="str">
        <f>"'"&amp;$C1969&amp;"'!$E$61:$Y$61"</f>
        <v>'BLD_EA'!$E$61:$Y$61</v>
      </c>
      <c r="H1969" s="381">
        <f ca="1">IF(IFERROR(INDEX(DATA_PROPERTY_MASTER!$E$5:$E$21,MATCH($C1969,DATA_PROPERTY_MASTER!$A$5:$A$21,0))="Yes",FALSE),IFERROR(INDEX(INDIRECT("'"&amp;$C1969&amp;"'!$E$61:$Y$61"),1,MATCH($D1969,INDIRECT("'"&amp;$C1969&amp;"'!$E$12:$Y$12"),0)),0),0)</f>
        <v>0</v>
      </c>
      <c r="I1969" s="366" t="s">
        <v>1690</v>
      </c>
      <c r="J1969" s="348" t="str">
        <f t="shared" ca="1" si="60"/>
        <v>OK</v>
      </c>
      <c r="K1969" s="366" t="s">
        <v>1723</v>
      </c>
      <c r="L1969" s="366" t="s">
        <v>2252</v>
      </c>
      <c r="M1969" s="350" t="str">
        <f>IF($B1969="Portfolio","Portfolio",IFERROR(INDEX(DATA_ASSET_CLASSIFICATION!$B$8:$B$24,MATCH($C1969,DATA_ASSET_CLASSIFICATION!$A$8:$A$24,0)),"Review"))</f>
        <v>Evergreen Apartments</v>
      </c>
      <c r="N1969" s="350" t="str">
        <f ca="1">IF($B1969="Portfolio","Portfolio",IFERROR(INDEX(DATA_ASSET_CLASSIFICATION!$U$8:$U$24,MATCH($C1969,DATA_ASSET_CLASSIFICATION!$A$8:$A$24,0)),"Review"))</f>
        <v>Refi Watch</v>
      </c>
      <c r="O1969" s="350" t="str">
        <f ca="1">IF($B1969="Portfolio","Portfolio",IFERROR(INDEX(DATA_ASSET_CLASSIFICATION!$AB$8:$AB$13,MATCH($N1969,DATA_ASSET_CLASSIFICATION!$AA$8:$AA$13,0)),"Review"))</f>
        <v>Bucket 2 · Legacy</v>
      </c>
      <c r="P1969" s="350" t="str">
        <f>IF($B1969="Portfolio","Portfolio",IFERROR(INDEX(DATA_ASSET_CLASSIFICATION!$C$8:$C$24,MATCH($C1969,DATA_ASSET_CLASSIFICATION!$A$8:$A$24,0)),"Review"))</f>
        <v>Yes</v>
      </c>
      <c r="Q1969" s="350" t="str">
        <f t="shared" ca="1" si="61"/>
        <v>OK</v>
      </c>
    </row>
    <row r="1970" spans="1:17" ht="30">
      <c r="A1970" s="366" t="s">
        <v>3926</v>
      </c>
      <c r="B1970" s="366" t="s">
        <v>231</v>
      </c>
      <c r="C1970" s="348" t="str">
        <f>DATA_PROPERTY_MASTER!$A$10</f>
        <v>BLD_EA</v>
      </c>
      <c r="D1970" s="380">
        <f>'00_PORTFOLIO ROLLUP'!R$12</f>
        <v>2038</v>
      </c>
      <c r="E1970" s="366" t="s">
        <v>1721</v>
      </c>
      <c r="F1970" s="366" t="s">
        <v>33</v>
      </c>
      <c r="G1970" s="348" t="str">
        <f>"'"&amp;$C1970&amp;"'!$E$62:$Y$62"</f>
        <v>'BLD_EA'!$E$62:$Y$62</v>
      </c>
      <c r="H1970" s="381">
        <f ca="1">IF(IFERROR(INDEX(DATA_PROPERTY_MASTER!$E$5:$E$21,MATCH($C1970,DATA_PROPERTY_MASTER!$A$5:$A$21,0))="Yes",FALSE),IFERROR(INDEX(INDIRECT("'"&amp;$C1970&amp;"'!$E$62:$Y$62"),1,MATCH($D1970,INDIRECT("'"&amp;$C1970&amp;"'!$E$12:$Y$12"),0)),0),0)</f>
        <v>0</v>
      </c>
      <c r="I1970" s="366" t="s">
        <v>1685</v>
      </c>
      <c r="J1970" s="348" t="str">
        <f t="shared" ca="1" si="60"/>
        <v>OK</v>
      </c>
      <c r="K1970" s="366" t="s">
        <v>1727</v>
      </c>
      <c r="L1970" s="366" t="s">
        <v>2254</v>
      </c>
      <c r="M1970" s="350" t="str">
        <f>IF($B1970="Portfolio","Portfolio",IFERROR(INDEX(DATA_ASSET_CLASSIFICATION!$B$8:$B$24,MATCH($C1970,DATA_ASSET_CLASSIFICATION!$A$8:$A$24,0)),"Review"))</f>
        <v>Evergreen Apartments</v>
      </c>
      <c r="N1970" s="350" t="str">
        <f ca="1">IF($B1970="Portfolio","Portfolio",IFERROR(INDEX(DATA_ASSET_CLASSIFICATION!$U$8:$U$24,MATCH($C1970,DATA_ASSET_CLASSIFICATION!$A$8:$A$24,0)),"Review"))</f>
        <v>Refi Watch</v>
      </c>
      <c r="O1970" s="350" t="str">
        <f ca="1">IF($B1970="Portfolio","Portfolio",IFERROR(INDEX(DATA_ASSET_CLASSIFICATION!$AB$8:$AB$13,MATCH($N1970,DATA_ASSET_CLASSIFICATION!$AA$8:$AA$13,0)),"Review"))</f>
        <v>Bucket 2 · Legacy</v>
      </c>
      <c r="P1970" s="350" t="str">
        <f>IF($B1970="Portfolio","Portfolio",IFERROR(INDEX(DATA_ASSET_CLASSIFICATION!$C$8:$C$24,MATCH($C1970,DATA_ASSET_CLASSIFICATION!$A$8:$A$24,0)),"Review"))</f>
        <v>Yes</v>
      </c>
      <c r="Q1970" s="350" t="str">
        <f t="shared" ca="1" si="61"/>
        <v>OK</v>
      </c>
    </row>
    <row r="1971" spans="1:17" ht="30">
      <c r="A1971" s="366" t="s">
        <v>3927</v>
      </c>
      <c r="B1971" s="366" t="s">
        <v>231</v>
      </c>
      <c r="C1971" s="348" t="str">
        <f>DATA_PROPERTY_MASTER!$A$10</f>
        <v>BLD_EA</v>
      </c>
      <c r="D1971" s="380">
        <f>'00_PORTFOLIO ROLLUP'!R$12</f>
        <v>2038</v>
      </c>
      <c r="E1971" s="366" t="s">
        <v>1721</v>
      </c>
      <c r="F1971" s="366" t="s">
        <v>35</v>
      </c>
      <c r="G1971" s="348" t="str">
        <f>"'"&amp;$C1971&amp;"'!$E$63:$Y$63"</f>
        <v>'BLD_EA'!$E$63:$Y$63</v>
      </c>
      <c r="H1971" s="381">
        <f ca="1">IF(IFERROR(INDEX(DATA_PROPERTY_MASTER!$E$5:$E$21,MATCH($C1971,DATA_PROPERTY_MASTER!$A$5:$A$21,0))="Yes",FALSE),IFERROR(INDEX(INDIRECT("'"&amp;$C1971&amp;"'!$E$63:$Y$63"),1,MATCH($D1971,INDIRECT("'"&amp;$C1971&amp;"'!$E$12:$Y$12"),0)),0),0)</f>
        <v>0</v>
      </c>
      <c r="I1971" s="366" t="s">
        <v>1731</v>
      </c>
      <c r="J1971" s="348" t="str">
        <f t="shared" ca="1" si="60"/>
        <v>OK</v>
      </c>
      <c r="K1971" s="366" t="s">
        <v>1732</v>
      </c>
      <c r="L1971" s="366" t="s">
        <v>2256</v>
      </c>
      <c r="M1971" s="350" t="str">
        <f>IF($B1971="Portfolio","Portfolio",IFERROR(INDEX(DATA_ASSET_CLASSIFICATION!$B$8:$B$24,MATCH($C1971,DATA_ASSET_CLASSIFICATION!$A$8:$A$24,0)),"Review"))</f>
        <v>Evergreen Apartments</v>
      </c>
      <c r="N1971" s="350" t="str">
        <f ca="1">IF($B1971="Portfolio","Portfolio",IFERROR(INDEX(DATA_ASSET_CLASSIFICATION!$U$8:$U$24,MATCH($C1971,DATA_ASSET_CLASSIFICATION!$A$8:$A$24,0)),"Review"))</f>
        <v>Refi Watch</v>
      </c>
      <c r="O1971" s="350" t="str">
        <f ca="1">IF($B1971="Portfolio","Portfolio",IFERROR(INDEX(DATA_ASSET_CLASSIFICATION!$AB$8:$AB$13,MATCH($N1971,DATA_ASSET_CLASSIFICATION!$AA$8:$AA$13,0)),"Review"))</f>
        <v>Bucket 2 · Legacy</v>
      </c>
      <c r="P1971" s="350" t="str">
        <f>IF($B1971="Portfolio","Portfolio",IFERROR(INDEX(DATA_ASSET_CLASSIFICATION!$C$8:$C$24,MATCH($C1971,DATA_ASSET_CLASSIFICATION!$A$8:$A$24,0)),"Review"))</f>
        <v>Yes</v>
      </c>
      <c r="Q1971" s="350" t="str">
        <f t="shared" ca="1" si="61"/>
        <v>OK</v>
      </c>
    </row>
    <row r="1972" spans="1:17" ht="30">
      <c r="A1972" s="366" t="s">
        <v>3928</v>
      </c>
      <c r="B1972" s="366" t="s">
        <v>231</v>
      </c>
      <c r="C1972" s="348" t="str">
        <f>DATA_PROPERTY_MASTER!$A$10</f>
        <v>BLD_EA</v>
      </c>
      <c r="D1972" s="380">
        <f>'00_PORTFOLIO ROLLUP'!R$12</f>
        <v>2038</v>
      </c>
      <c r="E1972" s="366" t="s">
        <v>1721</v>
      </c>
      <c r="F1972" s="366" t="s">
        <v>37</v>
      </c>
      <c r="G1972" s="348" t="str">
        <f>"'"&amp;$C1972&amp;"'!$E$63:$Y$63"</f>
        <v>'BLD_EA'!$E$63:$Y$63</v>
      </c>
      <c r="H1972" s="381">
        <f ca="1">IF(IFERROR(INDEX(DATA_PROPERTY_MASTER!$E$5:$E$21,MATCH($C1972,DATA_PROPERTY_MASTER!$A$5:$A$21,0))="Yes",FALSE),MAX(IFERROR(INDEX(INDIRECT("'"&amp;$C1972&amp;"'!$E$63:$Y$63"),1,MATCH($D1972,INDIRECT("'"&amp;$C1972&amp;"'!$E$12:$Y$12"),0)),0),0),0)</f>
        <v>0</v>
      </c>
      <c r="I1972" s="366" t="s">
        <v>1685</v>
      </c>
      <c r="J1972" s="348" t="str">
        <f t="shared" ca="1" si="60"/>
        <v>OK</v>
      </c>
      <c r="K1972" s="366" t="s">
        <v>1735</v>
      </c>
      <c r="L1972" s="366" t="s">
        <v>2258</v>
      </c>
      <c r="M1972" s="350" t="str">
        <f>IF($B1972="Portfolio","Portfolio",IFERROR(INDEX(DATA_ASSET_CLASSIFICATION!$B$8:$B$24,MATCH($C1972,DATA_ASSET_CLASSIFICATION!$A$8:$A$24,0)),"Review"))</f>
        <v>Evergreen Apartments</v>
      </c>
      <c r="N1972" s="350" t="str">
        <f ca="1">IF($B1972="Portfolio","Portfolio",IFERROR(INDEX(DATA_ASSET_CLASSIFICATION!$U$8:$U$24,MATCH($C1972,DATA_ASSET_CLASSIFICATION!$A$8:$A$24,0)),"Review"))</f>
        <v>Refi Watch</v>
      </c>
      <c r="O1972" s="350" t="str">
        <f ca="1">IF($B1972="Portfolio","Portfolio",IFERROR(INDEX(DATA_ASSET_CLASSIFICATION!$AB$8:$AB$13,MATCH($N1972,DATA_ASSET_CLASSIFICATION!$AA$8:$AA$13,0)),"Review"))</f>
        <v>Bucket 2 · Legacy</v>
      </c>
      <c r="P1972" s="350" t="str">
        <f>IF($B1972="Portfolio","Portfolio",IFERROR(INDEX(DATA_ASSET_CLASSIFICATION!$C$8:$C$24,MATCH($C1972,DATA_ASSET_CLASSIFICATION!$A$8:$A$24,0)),"Review"))</f>
        <v>Yes</v>
      </c>
      <c r="Q1972" s="350" t="str">
        <f t="shared" ca="1" si="61"/>
        <v>OK</v>
      </c>
    </row>
    <row r="1973" spans="1:17" ht="30">
      <c r="A1973" s="366" t="s">
        <v>3929</v>
      </c>
      <c r="B1973" s="366" t="s">
        <v>231</v>
      </c>
      <c r="C1973" s="348" t="str">
        <f>DATA_PROPERTY_MASTER!$A$10</f>
        <v>BLD_EA</v>
      </c>
      <c r="D1973" s="380">
        <f>'00_PORTFOLIO ROLLUP'!R$12</f>
        <v>2038</v>
      </c>
      <c r="E1973" s="366" t="s">
        <v>1721</v>
      </c>
      <c r="F1973" s="366" t="s">
        <v>39</v>
      </c>
      <c r="G1973" s="348" t="str">
        <f>"'"&amp;$C1973&amp;"'!$E$63:$Y$63"</f>
        <v>'BLD_EA'!$E$63:$Y$63</v>
      </c>
      <c r="H1973" s="381">
        <f ca="1">IF(IFERROR(INDEX(DATA_PROPERTY_MASTER!$E$5:$E$21,MATCH($C1973,DATA_PROPERTY_MASTER!$A$5:$A$21,0))="Yes",FALSE),MAX(-IFERROR(INDEX(INDIRECT("'"&amp;$C1973&amp;"'!$E$63:$Y$63"),1,MATCH($D1973,INDIRECT("'"&amp;$C1973&amp;"'!$E$12:$Y$12"),0)),0),0),0)</f>
        <v>0</v>
      </c>
      <c r="I1973" s="366" t="s">
        <v>1690</v>
      </c>
      <c r="J1973" s="348" t="str">
        <f t="shared" ca="1" si="60"/>
        <v>OK</v>
      </c>
      <c r="K1973" s="366" t="s">
        <v>1738</v>
      </c>
      <c r="L1973" s="366" t="s">
        <v>2260</v>
      </c>
      <c r="M1973" s="350" t="str">
        <f>IF($B1973="Portfolio","Portfolio",IFERROR(INDEX(DATA_ASSET_CLASSIFICATION!$B$8:$B$24,MATCH($C1973,DATA_ASSET_CLASSIFICATION!$A$8:$A$24,0)),"Review"))</f>
        <v>Evergreen Apartments</v>
      </c>
      <c r="N1973" s="350" t="str">
        <f ca="1">IF($B1973="Portfolio","Portfolio",IFERROR(INDEX(DATA_ASSET_CLASSIFICATION!$U$8:$U$24,MATCH($C1973,DATA_ASSET_CLASSIFICATION!$A$8:$A$24,0)),"Review"))</f>
        <v>Refi Watch</v>
      </c>
      <c r="O1973" s="350" t="str">
        <f ca="1">IF($B1973="Portfolio","Portfolio",IFERROR(INDEX(DATA_ASSET_CLASSIFICATION!$AB$8:$AB$13,MATCH($N1973,DATA_ASSET_CLASSIFICATION!$AA$8:$AA$13,0)),"Review"))</f>
        <v>Bucket 2 · Legacy</v>
      </c>
      <c r="P1973" s="350" t="str">
        <f>IF($B1973="Portfolio","Portfolio",IFERROR(INDEX(DATA_ASSET_CLASSIFICATION!$C$8:$C$24,MATCH($C1973,DATA_ASSET_CLASSIFICATION!$A$8:$A$24,0)),"Review"))</f>
        <v>Yes</v>
      </c>
      <c r="Q1973" s="350" t="str">
        <f t="shared" ca="1" si="61"/>
        <v>OK</v>
      </c>
    </row>
    <row r="1974" spans="1:17" ht="30">
      <c r="A1974" s="366" t="s">
        <v>3930</v>
      </c>
      <c r="B1974" s="366" t="s">
        <v>231</v>
      </c>
      <c r="C1974" s="348" t="str">
        <f>DATA_PROPERTY_MASTER!$A$10</f>
        <v>BLD_EA</v>
      </c>
      <c r="D1974" s="380">
        <f>'00_PORTFOLIO ROLLUP'!R$12</f>
        <v>2038</v>
      </c>
      <c r="E1974" s="366" t="s">
        <v>1741</v>
      </c>
      <c r="F1974" s="366" t="s">
        <v>41</v>
      </c>
      <c r="G1974" s="348" t="str">
        <f>"'"&amp;$C1974&amp;"'!rows 56 + positive row 63"</f>
        <v>'BLD_EA'!rows 56 + positive row 63</v>
      </c>
      <c r="H1974" s="381">
        <f ca="1">IF(IFERROR(INDEX(DATA_PROPERTY_MASTER!$E$5:$E$21,MATCH($C1974,DATA_PROPERTY_MASTER!$A$5:$A$21,0))="Yes",FALSE),IFERROR(INDEX(INDIRECT("'"&amp;$C1974&amp;"'!$E$56:$Y$56"),1,MATCH($D1974,INDIRECT("'"&amp;$C1974&amp;"'!$E$12:$Y$12"),0)),0)+MAX(IFERROR(INDEX(INDIRECT("'"&amp;$C1974&amp;"'!$E$63:$Y$63"),1,MATCH($D1974,INDIRECT("'"&amp;$C1974&amp;"'!$E$12:$Y$12"),0)),0),0),0)</f>
        <v>95121.260141071252</v>
      </c>
      <c r="I1974" s="366" t="s">
        <v>1685</v>
      </c>
      <c r="J1974" s="348" t="str">
        <f t="shared" ca="1" si="60"/>
        <v>OK</v>
      </c>
      <c r="K1974" s="366" t="s">
        <v>1742</v>
      </c>
      <c r="L1974" s="366" t="s">
        <v>2262</v>
      </c>
      <c r="M1974" s="350" t="str">
        <f>IF($B1974="Portfolio","Portfolio",IFERROR(INDEX(DATA_ASSET_CLASSIFICATION!$B$8:$B$24,MATCH($C1974,DATA_ASSET_CLASSIFICATION!$A$8:$A$24,0)),"Review"))</f>
        <v>Evergreen Apartments</v>
      </c>
      <c r="N1974" s="350" t="str">
        <f ca="1">IF($B1974="Portfolio","Portfolio",IFERROR(INDEX(DATA_ASSET_CLASSIFICATION!$U$8:$U$24,MATCH($C1974,DATA_ASSET_CLASSIFICATION!$A$8:$A$24,0)),"Review"))</f>
        <v>Refi Watch</v>
      </c>
      <c r="O1974" s="350" t="str">
        <f ca="1">IF($B1974="Portfolio","Portfolio",IFERROR(INDEX(DATA_ASSET_CLASSIFICATION!$AB$8:$AB$13,MATCH($N1974,DATA_ASSET_CLASSIFICATION!$AA$8:$AA$13,0)),"Review"))</f>
        <v>Bucket 2 · Legacy</v>
      </c>
      <c r="P1974" s="350" t="str">
        <f>IF($B1974="Portfolio","Portfolio",IFERROR(INDEX(DATA_ASSET_CLASSIFICATION!$C$8:$C$24,MATCH($C1974,DATA_ASSET_CLASSIFICATION!$A$8:$A$24,0)),"Review"))</f>
        <v>Yes</v>
      </c>
      <c r="Q1974" s="350" t="str">
        <f t="shared" ca="1" si="61"/>
        <v>OK</v>
      </c>
    </row>
    <row r="1975" spans="1:17" ht="30">
      <c r="A1975" s="366" t="s">
        <v>3931</v>
      </c>
      <c r="B1975" s="366" t="s">
        <v>231</v>
      </c>
      <c r="C1975" s="348" t="str">
        <f>DATA_PROPERTY_MASTER!$A$10</f>
        <v>BLD_EA</v>
      </c>
      <c r="D1975" s="380">
        <f>'00_PORTFOLIO ROLLUP'!R$12</f>
        <v>2038</v>
      </c>
      <c r="E1975" s="366" t="s">
        <v>1741</v>
      </c>
      <c r="F1975" s="366" t="s">
        <v>43</v>
      </c>
      <c r="G1975" s="348" t="str">
        <f>"'"&amp;$C1975&amp;"'!$E$68:$Y$68"</f>
        <v>'BLD_EA'!$E$68:$Y$68</v>
      </c>
      <c r="H1975" s="381">
        <f ca="1">IF(IFERROR(INDEX(DATA_PROPERTY_MASTER!$E$5:$E$21,MATCH($C1975,DATA_PROPERTY_MASTER!$A$5:$A$21,0))="Yes",FALSE),IFERROR(INDEX(INDIRECT("'"&amp;$C1975&amp;"'!$E$68:$Y$68"),1,MATCH($D1975,INDIRECT("'"&amp;$C1975&amp;"'!$E$12:$Y$12"),0)),0),0)</f>
        <v>95121.260141071252</v>
      </c>
      <c r="I1975" s="366" t="s">
        <v>1731</v>
      </c>
      <c r="J1975" s="348" t="str">
        <f t="shared" ca="1" si="60"/>
        <v>OK</v>
      </c>
      <c r="K1975" s="366" t="s">
        <v>1746</v>
      </c>
      <c r="L1975" s="366" t="s">
        <v>2264</v>
      </c>
      <c r="M1975" s="350" t="str">
        <f>IF($B1975="Portfolio","Portfolio",IFERROR(INDEX(DATA_ASSET_CLASSIFICATION!$B$8:$B$24,MATCH($C1975,DATA_ASSET_CLASSIFICATION!$A$8:$A$24,0)),"Review"))</f>
        <v>Evergreen Apartments</v>
      </c>
      <c r="N1975" s="350" t="str">
        <f ca="1">IF($B1975="Portfolio","Portfolio",IFERROR(INDEX(DATA_ASSET_CLASSIFICATION!$U$8:$U$24,MATCH($C1975,DATA_ASSET_CLASSIFICATION!$A$8:$A$24,0)),"Review"))</f>
        <v>Refi Watch</v>
      </c>
      <c r="O1975" s="350" t="str">
        <f ca="1">IF($B1975="Portfolio","Portfolio",IFERROR(INDEX(DATA_ASSET_CLASSIFICATION!$AB$8:$AB$13,MATCH($N1975,DATA_ASSET_CLASSIFICATION!$AA$8:$AA$13,0)),"Review"))</f>
        <v>Bucket 2 · Legacy</v>
      </c>
      <c r="P1975" s="350" t="str">
        <f>IF($B1975="Portfolio","Portfolio",IFERROR(INDEX(DATA_ASSET_CLASSIFICATION!$C$8:$C$24,MATCH($C1975,DATA_ASSET_CLASSIFICATION!$A$8:$A$24,0)),"Review"))</f>
        <v>Yes</v>
      </c>
      <c r="Q1975" s="350" t="str">
        <f t="shared" ca="1" si="61"/>
        <v>OK</v>
      </c>
    </row>
    <row r="1976" spans="1:17" ht="30">
      <c r="A1976" s="366" t="s">
        <v>3932</v>
      </c>
      <c r="B1976" s="366" t="s">
        <v>231</v>
      </c>
      <c r="C1976" s="348" t="str">
        <f>DATA_PROPERTY_MASTER!$A$10</f>
        <v>BLD_EA</v>
      </c>
      <c r="D1976" s="380">
        <f>'00_PORTFOLIO ROLLUP'!R$12</f>
        <v>2038</v>
      </c>
      <c r="E1976" s="366" t="s">
        <v>1741</v>
      </c>
      <c r="F1976" s="366" t="s">
        <v>1749</v>
      </c>
      <c r="G1976" s="348" t="str">
        <f>"'"&amp;$C1976&amp;"'!rows 56, 63, 68"</f>
        <v>'BLD_EA'!rows 56, 63, 68</v>
      </c>
      <c r="H1976" s="381">
        <f ca="1">IF(IFERROR(INDEX(DATA_PROPERTY_MASTER!$E$5:$E$21,MATCH($C1976,DATA_PROPERTY_MASTER!$A$5:$A$21,0))="Yes",FALSE),(IFERROR(INDEX(INDIRECT("'"&amp;$C1976&amp;"'!$E$56:$Y$56"),1,MATCH($D1976,INDIRECT("'"&amp;$C1976&amp;"'!$E$12:$Y$12"),0)),0)+MAX(IFERROR(INDEX(INDIRECT("'"&amp;$C1976&amp;"'!$E$63:$Y$63"),1,MATCH($D1976,INDIRECT("'"&amp;$C1976&amp;"'!$E$12:$Y$12"),0)),0),0))-(IFERROR(INDEX(INDIRECT("'"&amp;$C1976&amp;"'!$E$68:$Y$68"),1,MATCH($D1976,INDIRECT("'"&amp;$C1976&amp;"'!$E$12:$Y$12"),0)),0)),0)</f>
        <v>0</v>
      </c>
      <c r="I1976" s="366" t="s">
        <v>1750</v>
      </c>
      <c r="J1976" s="348" t="str">
        <f t="shared" ca="1" si="60"/>
        <v>OK</v>
      </c>
      <c r="K1976" s="366" t="s">
        <v>1751</v>
      </c>
      <c r="L1976" s="366" t="s">
        <v>2266</v>
      </c>
      <c r="M1976" s="350" t="str">
        <f>IF($B1976="Portfolio","Portfolio",IFERROR(INDEX(DATA_ASSET_CLASSIFICATION!$B$8:$B$24,MATCH($C1976,DATA_ASSET_CLASSIFICATION!$A$8:$A$24,0)),"Review"))</f>
        <v>Evergreen Apartments</v>
      </c>
      <c r="N1976" s="350" t="str">
        <f ca="1">IF($B1976="Portfolio","Portfolio",IFERROR(INDEX(DATA_ASSET_CLASSIFICATION!$U$8:$U$24,MATCH($C1976,DATA_ASSET_CLASSIFICATION!$A$8:$A$24,0)),"Review"))</f>
        <v>Refi Watch</v>
      </c>
      <c r="O1976" s="350" t="str">
        <f ca="1">IF($B1976="Portfolio","Portfolio",IFERROR(INDEX(DATA_ASSET_CLASSIFICATION!$AB$8:$AB$13,MATCH($N1976,DATA_ASSET_CLASSIFICATION!$AA$8:$AA$13,0)),"Review"))</f>
        <v>Bucket 2 · Legacy</v>
      </c>
      <c r="P1976" s="350" t="str">
        <f>IF($B1976="Portfolio","Portfolio",IFERROR(INDEX(DATA_ASSET_CLASSIFICATION!$C$8:$C$24,MATCH($C1976,DATA_ASSET_CLASSIFICATION!$A$8:$A$24,0)),"Review"))</f>
        <v>Yes</v>
      </c>
      <c r="Q1976" s="350" t="str">
        <f t="shared" ca="1" si="61"/>
        <v>OK</v>
      </c>
    </row>
    <row r="1977" spans="1:17" ht="30">
      <c r="A1977" s="366" t="s">
        <v>3933</v>
      </c>
      <c r="B1977" s="366" t="s">
        <v>231</v>
      </c>
      <c r="C1977" s="348" t="str">
        <f>DATA_PROPERTY_MASTER!$A$10</f>
        <v>BLD_EA</v>
      </c>
      <c r="D1977" s="380">
        <f>'00_PORTFOLIO ROLLUP'!S$12</f>
        <v>2039</v>
      </c>
      <c r="E1977" s="366" t="s">
        <v>1683</v>
      </c>
      <c r="F1977" s="366" t="s">
        <v>341</v>
      </c>
      <c r="G1977" s="348" t="str">
        <f>"'"&amp;$C1977&amp;"'!$E$24:$Y$24"</f>
        <v>'BLD_EA'!$E$24:$Y$24</v>
      </c>
      <c r="H1977" s="381">
        <f ca="1">IF(IFERROR(INDEX(DATA_PROPERTY_MASTER!$E$5:$E$21,MATCH($C1977,DATA_PROPERTY_MASTER!$A$5:$A$21,0))="Yes",FALSE),IFERROR(INDEX(INDIRECT("'"&amp;$C1977&amp;"'!$E$24:$Y$24"),1,MATCH($D1977,INDIRECT("'"&amp;$C1977&amp;"'!$E$12:$Y$12"),0)),0),0)</f>
        <v>1310779.0358174974</v>
      </c>
      <c r="I1977" s="366" t="s">
        <v>1685</v>
      </c>
      <c r="J1977" s="348" t="str">
        <f t="shared" ca="1" si="60"/>
        <v>OK</v>
      </c>
      <c r="K1977" s="366" t="s">
        <v>1686</v>
      </c>
      <c r="L1977" s="366" t="s">
        <v>2234</v>
      </c>
      <c r="M1977" s="350" t="str">
        <f>IF($B1977="Portfolio","Portfolio",IFERROR(INDEX(DATA_ASSET_CLASSIFICATION!$B$8:$B$24,MATCH($C1977,DATA_ASSET_CLASSIFICATION!$A$8:$A$24,0)),"Review"))</f>
        <v>Evergreen Apartments</v>
      </c>
      <c r="N1977" s="350" t="str">
        <f ca="1">IF($B1977="Portfolio","Portfolio",IFERROR(INDEX(DATA_ASSET_CLASSIFICATION!$U$8:$U$24,MATCH($C1977,DATA_ASSET_CLASSIFICATION!$A$8:$A$24,0)),"Review"))</f>
        <v>Refi Watch</v>
      </c>
      <c r="O1977" s="350" t="str">
        <f ca="1">IF($B1977="Portfolio","Portfolio",IFERROR(INDEX(DATA_ASSET_CLASSIFICATION!$AB$8:$AB$13,MATCH($N1977,DATA_ASSET_CLASSIFICATION!$AA$8:$AA$13,0)),"Review"))</f>
        <v>Bucket 2 · Legacy</v>
      </c>
      <c r="P1977" s="350" t="str">
        <f>IF($B1977="Portfolio","Portfolio",IFERROR(INDEX(DATA_ASSET_CLASSIFICATION!$C$8:$C$24,MATCH($C1977,DATA_ASSET_CLASSIFICATION!$A$8:$A$24,0)),"Review"))</f>
        <v>Yes</v>
      </c>
      <c r="Q1977" s="350" t="str">
        <f t="shared" ca="1" si="61"/>
        <v>OK</v>
      </c>
    </row>
    <row r="1978" spans="1:17" ht="30">
      <c r="A1978" s="366" t="s">
        <v>3934</v>
      </c>
      <c r="B1978" s="366" t="s">
        <v>231</v>
      </c>
      <c r="C1978" s="348" t="str">
        <f>DATA_PROPERTY_MASTER!$A$10</f>
        <v>BLD_EA</v>
      </c>
      <c r="D1978" s="380">
        <f>'00_PORTFOLIO ROLLUP'!S$12</f>
        <v>2039</v>
      </c>
      <c r="E1978" s="366" t="s">
        <v>1683</v>
      </c>
      <c r="F1978" s="366" t="s">
        <v>355</v>
      </c>
      <c r="G1978" s="348" t="str">
        <f>"'"&amp;$C1978&amp;"'!$E$39:$Y$39"</f>
        <v>'BLD_EA'!$E$39:$Y$39</v>
      </c>
      <c r="H1978" s="381">
        <f ca="1">IF(IFERROR(INDEX(DATA_PROPERTY_MASTER!$E$5:$E$21,MATCH($C1978,DATA_PROPERTY_MASTER!$A$5:$A$21,0))="Yes",FALSE),IFERROR(INDEX(INDIRECT("'"&amp;$C1978&amp;"'!$E$39:$Y$39"),1,MATCH($D1978,INDIRECT("'"&amp;$C1978&amp;"'!$E$12:$Y$12"),0)),0),0)</f>
        <v>665931.49117145967</v>
      </c>
      <c r="I1978" s="366" t="s">
        <v>1690</v>
      </c>
      <c r="J1978" s="348" t="str">
        <f t="shared" ca="1" si="60"/>
        <v>OK</v>
      </c>
      <c r="K1978" s="366" t="s">
        <v>1686</v>
      </c>
      <c r="L1978" s="366" t="s">
        <v>2236</v>
      </c>
      <c r="M1978" s="350" t="str">
        <f>IF($B1978="Portfolio","Portfolio",IFERROR(INDEX(DATA_ASSET_CLASSIFICATION!$B$8:$B$24,MATCH($C1978,DATA_ASSET_CLASSIFICATION!$A$8:$A$24,0)),"Review"))</f>
        <v>Evergreen Apartments</v>
      </c>
      <c r="N1978" s="350" t="str">
        <f ca="1">IF($B1978="Portfolio","Portfolio",IFERROR(INDEX(DATA_ASSET_CLASSIFICATION!$U$8:$U$24,MATCH($C1978,DATA_ASSET_CLASSIFICATION!$A$8:$A$24,0)),"Review"))</f>
        <v>Refi Watch</v>
      </c>
      <c r="O1978" s="350" t="str">
        <f ca="1">IF($B1978="Portfolio","Portfolio",IFERROR(INDEX(DATA_ASSET_CLASSIFICATION!$AB$8:$AB$13,MATCH($N1978,DATA_ASSET_CLASSIFICATION!$AA$8:$AA$13,0)),"Review"))</f>
        <v>Bucket 2 · Legacy</v>
      </c>
      <c r="P1978" s="350" t="str">
        <f>IF($B1978="Portfolio","Portfolio",IFERROR(INDEX(DATA_ASSET_CLASSIFICATION!$C$8:$C$24,MATCH($C1978,DATA_ASSET_CLASSIFICATION!$A$8:$A$24,0)),"Review"))</f>
        <v>Yes</v>
      </c>
      <c r="Q1978" s="350" t="str">
        <f t="shared" ca="1" si="61"/>
        <v>OK</v>
      </c>
    </row>
    <row r="1979" spans="1:17" ht="30">
      <c r="A1979" s="366" t="s">
        <v>3935</v>
      </c>
      <c r="B1979" s="366" t="s">
        <v>231</v>
      </c>
      <c r="C1979" s="348" t="str">
        <f>DATA_PROPERTY_MASTER!$A$10</f>
        <v>BLD_EA</v>
      </c>
      <c r="D1979" s="380">
        <f>'00_PORTFOLIO ROLLUP'!S$12</f>
        <v>2039</v>
      </c>
      <c r="E1979" s="366" t="s">
        <v>1683</v>
      </c>
      <c r="F1979" s="366" t="s">
        <v>19</v>
      </c>
      <c r="G1979" s="348" t="str">
        <f>"'"&amp;$C1979&amp;"'!$E$41:$Y$41"</f>
        <v>'BLD_EA'!$E$41:$Y$41</v>
      </c>
      <c r="H1979" s="381">
        <f ca="1">IF(IFERROR(INDEX(DATA_PROPERTY_MASTER!$E$5:$E$21,MATCH($C1979,DATA_PROPERTY_MASTER!$A$5:$A$21,0))="Yes",FALSE),IFERROR(INDEX(INDIRECT("'"&amp;$C1979&amp;"'!$E$41:$Y$41"),1,MATCH($D1979,INDIRECT("'"&amp;$C1979&amp;"'!$E$12:$Y$12"),0)),0),0)</f>
        <v>644847.54464603774</v>
      </c>
      <c r="I1979" s="366" t="s">
        <v>1685</v>
      </c>
      <c r="J1979" s="348" t="str">
        <f t="shared" ca="1" si="60"/>
        <v>OK</v>
      </c>
      <c r="K1979" s="366" t="s">
        <v>1694</v>
      </c>
      <c r="L1979" s="366" t="s">
        <v>2238</v>
      </c>
      <c r="M1979" s="350" t="str">
        <f>IF($B1979="Portfolio","Portfolio",IFERROR(INDEX(DATA_ASSET_CLASSIFICATION!$B$8:$B$24,MATCH($C1979,DATA_ASSET_CLASSIFICATION!$A$8:$A$24,0)),"Review"))</f>
        <v>Evergreen Apartments</v>
      </c>
      <c r="N1979" s="350" t="str">
        <f ca="1">IF($B1979="Portfolio","Portfolio",IFERROR(INDEX(DATA_ASSET_CLASSIFICATION!$U$8:$U$24,MATCH($C1979,DATA_ASSET_CLASSIFICATION!$A$8:$A$24,0)),"Review"))</f>
        <v>Refi Watch</v>
      </c>
      <c r="O1979" s="350" t="str">
        <f ca="1">IF($B1979="Portfolio","Portfolio",IFERROR(INDEX(DATA_ASSET_CLASSIFICATION!$AB$8:$AB$13,MATCH($N1979,DATA_ASSET_CLASSIFICATION!$AA$8:$AA$13,0)),"Review"))</f>
        <v>Bucket 2 · Legacy</v>
      </c>
      <c r="P1979" s="350" t="str">
        <f>IF($B1979="Portfolio","Portfolio",IFERROR(INDEX(DATA_ASSET_CLASSIFICATION!$C$8:$C$24,MATCH($C1979,DATA_ASSET_CLASSIFICATION!$A$8:$A$24,0)),"Review"))</f>
        <v>Yes</v>
      </c>
      <c r="Q1979" s="350" t="str">
        <f t="shared" ca="1" si="61"/>
        <v>OK</v>
      </c>
    </row>
    <row r="1980" spans="1:17" ht="30">
      <c r="A1980" s="366" t="s">
        <v>3936</v>
      </c>
      <c r="B1980" s="366" t="s">
        <v>231</v>
      </c>
      <c r="C1980" s="348" t="str">
        <f>DATA_PROPERTY_MASTER!$A$10</f>
        <v>BLD_EA</v>
      </c>
      <c r="D1980" s="380">
        <f>'00_PORTFOLIO ROLLUP'!S$12</f>
        <v>2039</v>
      </c>
      <c r="E1980" s="366" t="s">
        <v>1683</v>
      </c>
      <c r="F1980" s="366" t="s">
        <v>1697</v>
      </c>
      <c r="G1980" s="348" t="str">
        <f>"'"&amp;$C1980&amp;"'!$E$44:$Y$44"</f>
        <v>'BLD_EA'!$E$44:$Y$44</v>
      </c>
      <c r="H1980" s="381">
        <f ca="1">IF(IFERROR(INDEX(DATA_PROPERTY_MASTER!$E$5:$E$21,MATCH($C1980,DATA_PROPERTY_MASTER!$A$5:$A$21,0))="Yes",FALSE),IFERROR(INDEX(INDIRECT("'"&amp;$C1980&amp;"'!$E$44:$Y$44"),1,MATCH($D1980,INDIRECT("'"&amp;$C1980&amp;"'!$E$12:$Y$12"),0)),0),0)</f>
        <v>12073.23068202528</v>
      </c>
      <c r="I1980" s="366" t="s">
        <v>1690</v>
      </c>
      <c r="J1980" s="348" t="str">
        <f t="shared" ca="1" si="60"/>
        <v>OK</v>
      </c>
      <c r="K1980" s="366" t="s">
        <v>1699</v>
      </c>
      <c r="L1980" s="366" t="s">
        <v>2240</v>
      </c>
      <c r="M1980" s="350" t="str">
        <f>IF($B1980="Portfolio","Portfolio",IFERROR(INDEX(DATA_ASSET_CLASSIFICATION!$B$8:$B$24,MATCH($C1980,DATA_ASSET_CLASSIFICATION!$A$8:$A$24,0)),"Review"))</f>
        <v>Evergreen Apartments</v>
      </c>
      <c r="N1980" s="350" t="str">
        <f ca="1">IF($B1980="Portfolio","Portfolio",IFERROR(INDEX(DATA_ASSET_CLASSIFICATION!$U$8:$U$24,MATCH($C1980,DATA_ASSET_CLASSIFICATION!$A$8:$A$24,0)),"Review"))</f>
        <v>Refi Watch</v>
      </c>
      <c r="O1980" s="350" t="str">
        <f ca="1">IF($B1980="Portfolio","Portfolio",IFERROR(INDEX(DATA_ASSET_CLASSIFICATION!$AB$8:$AB$13,MATCH($N1980,DATA_ASSET_CLASSIFICATION!$AA$8:$AA$13,0)),"Review"))</f>
        <v>Bucket 2 · Legacy</v>
      </c>
      <c r="P1980" s="350" t="str">
        <f>IF($B1980="Portfolio","Portfolio",IFERROR(INDEX(DATA_ASSET_CLASSIFICATION!$C$8:$C$24,MATCH($C1980,DATA_ASSET_CLASSIFICATION!$A$8:$A$24,0)),"Review"))</f>
        <v>Yes</v>
      </c>
      <c r="Q1980" s="350" t="str">
        <f t="shared" ca="1" si="61"/>
        <v>OK</v>
      </c>
    </row>
    <row r="1981" spans="1:17" ht="30">
      <c r="A1981" s="366" t="s">
        <v>3937</v>
      </c>
      <c r="B1981" s="366" t="s">
        <v>231</v>
      </c>
      <c r="C1981" s="348" t="str">
        <f>DATA_PROPERTY_MASTER!$A$10</f>
        <v>BLD_EA</v>
      </c>
      <c r="D1981" s="380">
        <f>'00_PORTFOLIO ROLLUP'!S$12</f>
        <v>2039</v>
      </c>
      <c r="E1981" s="366" t="s">
        <v>1683</v>
      </c>
      <c r="F1981" s="366" t="s">
        <v>21</v>
      </c>
      <c r="G1981" s="348" t="str">
        <f>"'"&amp;$C1981&amp;"'!$E$45:$Y$45"</f>
        <v>'BLD_EA'!$E$45:$Y$45</v>
      </c>
      <c r="H1981" s="381">
        <f ca="1">IF(IFERROR(INDEX(DATA_PROPERTY_MASTER!$E$5:$E$21,MATCH($C1981,DATA_PROPERTY_MASTER!$A$5:$A$21,0))="Yes",FALSE),IFERROR(INDEX(INDIRECT("'"&amp;$C1981&amp;"'!$E$45:$Y$45"),1,MATCH($D1981,INDIRECT("'"&amp;$C1981&amp;"'!$E$12:$Y$12"),0)),0),0)</f>
        <v>632774.31396401243</v>
      </c>
      <c r="I1981" s="366" t="s">
        <v>1685</v>
      </c>
      <c r="J1981" s="348" t="str">
        <f t="shared" ca="1" si="60"/>
        <v>OK</v>
      </c>
      <c r="K1981" s="366" t="s">
        <v>1694</v>
      </c>
      <c r="L1981" s="366" t="s">
        <v>2242</v>
      </c>
      <c r="M1981" s="350" t="str">
        <f>IF($B1981="Portfolio","Portfolio",IFERROR(INDEX(DATA_ASSET_CLASSIFICATION!$B$8:$B$24,MATCH($C1981,DATA_ASSET_CLASSIFICATION!$A$8:$A$24,0)),"Review"))</f>
        <v>Evergreen Apartments</v>
      </c>
      <c r="N1981" s="350" t="str">
        <f ca="1">IF($B1981="Portfolio","Portfolio",IFERROR(INDEX(DATA_ASSET_CLASSIFICATION!$U$8:$U$24,MATCH($C1981,DATA_ASSET_CLASSIFICATION!$A$8:$A$24,0)),"Review"))</f>
        <v>Refi Watch</v>
      </c>
      <c r="O1981" s="350" t="str">
        <f ca="1">IF($B1981="Portfolio","Portfolio",IFERROR(INDEX(DATA_ASSET_CLASSIFICATION!$AB$8:$AB$13,MATCH($N1981,DATA_ASSET_CLASSIFICATION!$AA$8:$AA$13,0)),"Review"))</f>
        <v>Bucket 2 · Legacy</v>
      </c>
      <c r="P1981" s="350" t="str">
        <f>IF($B1981="Portfolio","Portfolio",IFERROR(INDEX(DATA_ASSET_CLASSIFICATION!$C$8:$C$24,MATCH($C1981,DATA_ASSET_CLASSIFICATION!$A$8:$A$24,0)),"Review"))</f>
        <v>Yes</v>
      </c>
      <c r="Q1981" s="350" t="str">
        <f t="shared" ca="1" si="61"/>
        <v>OK</v>
      </c>
    </row>
    <row r="1982" spans="1:17" ht="30">
      <c r="A1982" s="366" t="s">
        <v>3938</v>
      </c>
      <c r="B1982" s="366" t="s">
        <v>231</v>
      </c>
      <c r="C1982" s="348" t="str">
        <f>DATA_PROPERTY_MASTER!$A$10</f>
        <v>BLD_EA</v>
      </c>
      <c r="D1982" s="380">
        <f>'00_PORTFOLIO ROLLUP'!S$12</f>
        <v>2039</v>
      </c>
      <c r="E1982" s="366" t="s">
        <v>23</v>
      </c>
      <c r="F1982" s="366" t="s">
        <v>23</v>
      </c>
      <c r="G1982" s="348" t="str">
        <f>"'"&amp;$C1982&amp;"'!$E$48:$Y$48"</f>
        <v>'BLD_EA'!$E$48:$Y$48</v>
      </c>
      <c r="H1982" s="381">
        <f ca="1">IF(IFERROR(INDEX(DATA_PROPERTY_MASTER!$E$5:$E$21,MATCH($C1982,DATA_PROPERTY_MASTER!$A$5:$A$21,0))="Yes",FALSE),IFERROR(INDEX(INDIRECT("'"&amp;$C1982&amp;"'!$E$48:$Y$48"),1,MATCH($D1982,INDIRECT("'"&amp;$C1982&amp;"'!$E$12:$Y$12"),0)),0),0)</f>
        <v>397585.07606343459</v>
      </c>
      <c r="I1982" s="366" t="s">
        <v>1690</v>
      </c>
      <c r="J1982" s="348" t="str">
        <f t="shared" ca="1" si="60"/>
        <v>OK</v>
      </c>
      <c r="K1982" s="366" t="s">
        <v>1706</v>
      </c>
      <c r="L1982" s="366" t="s">
        <v>2244</v>
      </c>
      <c r="M1982" s="350" t="str">
        <f>IF($B1982="Portfolio","Portfolio",IFERROR(INDEX(DATA_ASSET_CLASSIFICATION!$B$8:$B$24,MATCH($C1982,DATA_ASSET_CLASSIFICATION!$A$8:$A$24,0)),"Review"))</f>
        <v>Evergreen Apartments</v>
      </c>
      <c r="N1982" s="350" t="str">
        <f ca="1">IF($B1982="Portfolio","Portfolio",IFERROR(INDEX(DATA_ASSET_CLASSIFICATION!$U$8:$U$24,MATCH($C1982,DATA_ASSET_CLASSIFICATION!$A$8:$A$24,0)),"Review"))</f>
        <v>Refi Watch</v>
      </c>
      <c r="O1982" s="350" t="str">
        <f ca="1">IF($B1982="Portfolio","Portfolio",IFERROR(INDEX(DATA_ASSET_CLASSIFICATION!$AB$8:$AB$13,MATCH($N1982,DATA_ASSET_CLASSIFICATION!$AA$8:$AA$13,0)),"Review"))</f>
        <v>Bucket 2 · Legacy</v>
      </c>
      <c r="P1982" s="350" t="str">
        <f>IF($B1982="Portfolio","Portfolio",IFERROR(INDEX(DATA_ASSET_CLASSIFICATION!$C$8:$C$24,MATCH($C1982,DATA_ASSET_CLASSIFICATION!$A$8:$A$24,0)),"Review"))</f>
        <v>Yes</v>
      </c>
      <c r="Q1982" s="350" t="str">
        <f t="shared" ca="1" si="61"/>
        <v>OK</v>
      </c>
    </row>
    <row r="1983" spans="1:17" ht="30">
      <c r="A1983" s="366" t="s">
        <v>3939</v>
      </c>
      <c r="B1983" s="366" t="s">
        <v>231</v>
      </c>
      <c r="C1983" s="348" t="str">
        <f>DATA_PROPERTY_MASTER!$A$10</f>
        <v>BLD_EA</v>
      </c>
      <c r="D1983" s="380">
        <f>'00_PORTFOLIO ROLLUP'!S$12</f>
        <v>2039</v>
      </c>
      <c r="E1983" s="366" t="s">
        <v>1683</v>
      </c>
      <c r="F1983" s="366" t="s">
        <v>25</v>
      </c>
      <c r="G1983" s="348" t="str">
        <f>"'"&amp;$C1983&amp;"'!$E$52:$Y$52"</f>
        <v>'BLD_EA'!$E$52:$Y$52</v>
      </c>
      <c r="H1983" s="381">
        <f ca="1">IF(IFERROR(INDEX(DATA_PROPERTY_MASTER!$E$5:$E$21,MATCH($C1983,DATA_PROPERTY_MASTER!$A$5:$A$21,0))="Yes",FALSE),IFERROR(INDEX(INDIRECT("'"&amp;$C1983&amp;"'!$E$52:$Y$52"),1,MATCH($D1983,INDIRECT("'"&amp;$C1983&amp;"'!$E$12:$Y$12"),0)),0),0)</f>
        <v>247262.46858260315</v>
      </c>
      <c r="I1983" s="366" t="s">
        <v>1685</v>
      </c>
      <c r="J1983" s="348" t="str">
        <f t="shared" ca="1" si="60"/>
        <v>OK</v>
      </c>
      <c r="K1983" s="366" t="s">
        <v>1710</v>
      </c>
      <c r="L1983" s="366" t="s">
        <v>2246</v>
      </c>
      <c r="M1983" s="350" t="str">
        <f>IF($B1983="Portfolio","Portfolio",IFERROR(INDEX(DATA_ASSET_CLASSIFICATION!$B$8:$B$24,MATCH($C1983,DATA_ASSET_CLASSIFICATION!$A$8:$A$24,0)),"Review"))</f>
        <v>Evergreen Apartments</v>
      </c>
      <c r="N1983" s="350" t="str">
        <f ca="1">IF($B1983="Portfolio","Portfolio",IFERROR(INDEX(DATA_ASSET_CLASSIFICATION!$U$8:$U$24,MATCH($C1983,DATA_ASSET_CLASSIFICATION!$A$8:$A$24,0)),"Review"))</f>
        <v>Refi Watch</v>
      </c>
      <c r="O1983" s="350" t="str">
        <f ca="1">IF($B1983="Portfolio","Portfolio",IFERROR(INDEX(DATA_ASSET_CLASSIFICATION!$AB$8:$AB$13,MATCH($N1983,DATA_ASSET_CLASSIFICATION!$AA$8:$AA$13,0)),"Review"))</f>
        <v>Bucket 2 · Legacy</v>
      </c>
      <c r="P1983" s="350" t="str">
        <f>IF($B1983="Portfolio","Portfolio",IFERROR(INDEX(DATA_ASSET_CLASSIFICATION!$C$8:$C$24,MATCH($C1983,DATA_ASSET_CLASSIFICATION!$A$8:$A$24,0)),"Review"))</f>
        <v>Yes</v>
      </c>
      <c r="Q1983" s="350" t="str">
        <f t="shared" ca="1" si="61"/>
        <v>OK</v>
      </c>
    </row>
    <row r="1984" spans="1:17" ht="30">
      <c r="A1984" s="366" t="s">
        <v>3940</v>
      </c>
      <c r="B1984" s="366" t="s">
        <v>231</v>
      </c>
      <c r="C1984" s="348" t="str">
        <f>DATA_PROPERTY_MASTER!$A$10</f>
        <v>BLD_EA</v>
      </c>
      <c r="D1984" s="380">
        <f>'00_PORTFOLIO ROLLUP'!S$12</f>
        <v>2039</v>
      </c>
      <c r="E1984" s="366" t="s">
        <v>1683</v>
      </c>
      <c r="F1984" s="366" t="s">
        <v>27</v>
      </c>
      <c r="G1984" s="348" t="str">
        <f>"'"&amp;$C1984&amp;"'!$E$54:$Y$54"</f>
        <v>'BLD_EA'!$E$54:$Y$54</v>
      </c>
      <c r="H1984" s="381">
        <f ca="1">IF(IFERROR(INDEX(DATA_PROPERTY_MASTER!$E$5:$E$21,MATCH($C1984,DATA_PROPERTY_MASTER!$A$5:$A$21,0))="Yes",FALSE),IFERROR(INDEX(INDIRECT("'"&amp;$C1984&amp;"'!$E$54:$Y$54"),1,MATCH($D1984,INDIRECT("'"&amp;$C1984&amp;"'!$E$12:$Y$12"),0)),0),0)</f>
        <v>148357.48114956188</v>
      </c>
      <c r="I1984" s="366" t="s">
        <v>1690</v>
      </c>
      <c r="J1984" s="348" t="str">
        <f t="shared" ca="1" si="60"/>
        <v>OK</v>
      </c>
      <c r="K1984" s="366" t="s">
        <v>1714</v>
      </c>
      <c r="L1984" s="366" t="s">
        <v>2248</v>
      </c>
      <c r="M1984" s="350" t="str">
        <f>IF($B1984="Portfolio","Portfolio",IFERROR(INDEX(DATA_ASSET_CLASSIFICATION!$B$8:$B$24,MATCH($C1984,DATA_ASSET_CLASSIFICATION!$A$8:$A$24,0)),"Review"))</f>
        <v>Evergreen Apartments</v>
      </c>
      <c r="N1984" s="350" t="str">
        <f ca="1">IF($B1984="Portfolio","Portfolio",IFERROR(INDEX(DATA_ASSET_CLASSIFICATION!$U$8:$U$24,MATCH($C1984,DATA_ASSET_CLASSIFICATION!$A$8:$A$24,0)),"Review"))</f>
        <v>Refi Watch</v>
      </c>
      <c r="O1984" s="350" t="str">
        <f ca="1">IF($B1984="Portfolio","Portfolio",IFERROR(INDEX(DATA_ASSET_CLASSIFICATION!$AB$8:$AB$13,MATCH($N1984,DATA_ASSET_CLASSIFICATION!$AA$8:$AA$13,0)),"Review"))</f>
        <v>Bucket 2 · Legacy</v>
      </c>
      <c r="P1984" s="350" t="str">
        <f>IF($B1984="Portfolio","Portfolio",IFERROR(INDEX(DATA_ASSET_CLASSIFICATION!$C$8:$C$24,MATCH($C1984,DATA_ASSET_CLASSIFICATION!$A$8:$A$24,0)),"Review"))</f>
        <v>Yes</v>
      </c>
      <c r="Q1984" s="350" t="str">
        <f t="shared" ca="1" si="61"/>
        <v>OK</v>
      </c>
    </row>
    <row r="1985" spans="1:17" ht="30">
      <c r="A1985" s="366" t="s">
        <v>3941</v>
      </c>
      <c r="B1985" s="366" t="s">
        <v>231</v>
      </c>
      <c r="C1985" s="348" t="str">
        <f>DATA_PROPERTY_MASTER!$A$10</f>
        <v>BLD_EA</v>
      </c>
      <c r="D1985" s="380">
        <f>'00_PORTFOLIO ROLLUP'!S$12</f>
        <v>2039</v>
      </c>
      <c r="E1985" s="366" t="s">
        <v>1683</v>
      </c>
      <c r="F1985" s="366" t="s">
        <v>29</v>
      </c>
      <c r="G1985" s="348" t="str">
        <f>"'"&amp;$C1985&amp;"'!$E$56:$Y$56"</f>
        <v>'BLD_EA'!$E$56:$Y$56</v>
      </c>
      <c r="H1985" s="381">
        <f ca="1">IF(IFERROR(INDEX(DATA_PROPERTY_MASTER!$E$5:$E$21,MATCH($C1985,DATA_PROPERTY_MASTER!$A$5:$A$21,0))="Yes",FALSE),IFERROR(INDEX(INDIRECT("'"&amp;$C1985&amp;"'!$E$56:$Y$56"),1,MATCH($D1985,INDIRECT("'"&amp;$C1985&amp;"'!$E$12:$Y$12"),0)),0),0)</f>
        <v>98904.987433041271</v>
      </c>
      <c r="I1985" s="366" t="s">
        <v>1685</v>
      </c>
      <c r="J1985" s="348" t="str">
        <f t="shared" ca="1" si="60"/>
        <v>OK</v>
      </c>
      <c r="K1985" s="366" t="s">
        <v>1718</v>
      </c>
      <c r="L1985" s="366" t="s">
        <v>2250</v>
      </c>
      <c r="M1985" s="350" t="str">
        <f>IF($B1985="Portfolio","Portfolio",IFERROR(INDEX(DATA_ASSET_CLASSIFICATION!$B$8:$B$24,MATCH($C1985,DATA_ASSET_CLASSIFICATION!$A$8:$A$24,0)),"Review"))</f>
        <v>Evergreen Apartments</v>
      </c>
      <c r="N1985" s="350" t="str">
        <f ca="1">IF($B1985="Portfolio","Portfolio",IFERROR(INDEX(DATA_ASSET_CLASSIFICATION!$U$8:$U$24,MATCH($C1985,DATA_ASSET_CLASSIFICATION!$A$8:$A$24,0)),"Review"))</f>
        <v>Refi Watch</v>
      </c>
      <c r="O1985" s="350" t="str">
        <f ca="1">IF($B1985="Portfolio","Portfolio",IFERROR(INDEX(DATA_ASSET_CLASSIFICATION!$AB$8:$AB$13,MATCH($N1985,DATA_ASSET_CLASSIFICATION!$AA$8:$AA$13,0)),"Review"))</f>
        <v>Bucket 2 · Legacy</v>
      </c>
      <c r="P1985" s="350" t="str">
        <f>IF($B1985="Portfolio","Portfolio",IFERROR(INDEX(DATA_ASSET_CLASSIFICATION!$C$8:$C$24,MATCH($C1985,DATA_ASSET_CLASSIFICATION!$A$8:$A$24,0)),"Review"))</f>
        <v>Yes</v>
      </c>
      <c r="Q1985" s="350" t="str">
        <f t="shared" ca="1" si="61"/>
        <v>OK</v>
      </c>
    </row>
    <row r="1986" spans="1:17" ht="30">
      <c r="A1986" s="366" t="s">
        <v>3942</v>
      </c>
      <c r="B1986" s="366" t="s">
        <v>231</v>
      </c>
      <c r="C1986" s="348" t="str">
        <f>DATA_PROPERTY_MASTER!$A$10</f>
        <v>BLD_EA</v>
      </c>
      <c r="D1986" s="380">
        <f>'00_PORTFOLIO ROLLUP'!S$12</f>
        <v>2039</v>
      </c>
      <c r="E1986" s="366" t="s">
        <v>1721</v>
      </c>
      <c r="F1986" s="366" t="s">
        <v>31</v>
      </c>
      <c r="G1986" s="348" t="str">
        <f>"'"&amp;$C1986&amp;"'!$E$61:$Y$61"</f>
        <v>'BLD_EA'!$E$61:$Y$61</v>
      </c>
      <c r="H1986" s="381">
        <f ca="1">IF(IFERROR(INDEX(DATA_PROPERTY_MASTER!$E$5:$E$21,MATCH($C1986,DATA_PROPERTY_MASTER!$A$5:$A$21,0))="Yes",FALSE),IFERROR(INDEX(INDIRECT("'"&amp;$C1986&amp;"'!$E$61:$Y$61"),1,MATCH($D1986,INDIRECT("'"&amp;$C1986&amp;"'!$E$12:$Y$12"),0)),0),0)</f>
        <v>0</v>
      </c>
      <c r="I1986" s="366" t="s">
        <v>1690</v>
      </c>
      <c r="J1986" s="348" t="str">
        <f t="shared" ca="1" si="60"/>
        <v>OK</v>
      </c>
      <c r="K1986" s="366" t="s">
        <v>1723</v>
      </c>
      <c r="L1986" s="366" t="s">
        <v>2252</v>
      </c>
      <c r="M1986" s="350" t="str">
        <f>IF($B1986="Portfolio","Portfolio",IFERROR(INDEX(DATA_ASSET_CLASSIFICATION!$B$8:$B$24,MATCH($C1986,DATA_ASSET_CLASSIFICATION!$A$8:$A$24,0)),"Review"))</f>
        <v>Evergreen Apartments</v>
      </c>
      <c r="N1986" s="350" t="str">
        <f ca="1">IF($B1986="Portfolio","Portfolio",IFERROR(INDEX(DATA_ASSET_CLASSIFICATION!$U$8:$U$24,MATCH($C1986,DATA_ASSET_CLASSIFICATION!$A$8:$A$24,0)),"Review"))</f>
        <v>Refi Watch</v>
      </c>
      <c r="O1986" s="350" t="str">
        <f ca="1">IF($B1986="Portfolio","Portfolio",IFERROR(INDEX(DATA_ASSET_CLASSIFICATION!$AB$8:$AB$13,MATCH($N1986,DATA_ASSET_CLASSIFICATION!$AA$8:$AA$13,0)),"Review"))</f>
        <v>Bucket 2 · Legacy</v>
      </c>
      <c r="P1986" s="350" t="str">
        <f>IF($B1986="Portfolio","Portfolio",IFERROR(INDEX(DATA_ASSET_CLASSIFICATION!$C$8:$C$24,MATCH($C1986,DATA_ASSET_CLASSIFICATION!$A$8:$A$24,0)),"Review"))</f>
        <v>Yes</v>
      </c>
      <c r="Q1986" s="350" t="str">
        <f t="shared" ca="1" si="61"/>
        <v>OK</v>
      </c>
    </row>
    <row r="1987" spans="1:17" ht="30">
      <c r="A1987" s="366" t="s">
        <v>3943</v>
      </c>
      <c r="B1987" s="366" t="s">
        <v>231</v>
      </c>
      <c r="C1987" s="348" t="str">
        <f>DATA_PROPERTY_MASTER!$A$10</f>
        <v>BLD_EA</v>
      </c>
      <c r="D1987" s="380">
        <f>'00_PORTFOLIO ROLLUP'!S$12</f>
        <v>2039</v>
      </c>
      <c r="E1987" s="366" t="s">
        <v>1721</v>
      </c>
      <c r="F1987" s="366" t="s">
        <v>33</v>
      </c>
      <c r="G1987" s="348" t="str">
        <f>"'"&amp;$C1987&amp;"'!$E$62:$Y$62"</f>
        <v>'BLD_EA'!$E$62:$Y$62</v>
      </c>
      <c r="H1987" s="381">
        <f ca="1">IF(IFERROR(INDEX(DATA_PROPERTY_MASTER!$E$5:$E$21,MATCH($C1987,DATA_PROPERTY_MASTER!$A$5:$A$21,0))="Yes",FALSE),IFERROR(INDEX(INDIRECT("'"&amp;$C1987&amp;"'!$E$62:$Y$62"),1,MATCH($D1987,INDIRECT("'"&amp;$C1987&amp;"'!$E$12:$Y$12"),0)),0),0)</f>
        <v>0</v>
      </c>
      <c r="I1987" s="366" t="s">
        <v>1685</v>
      </c>
      <c r="J1987" s="348" t="str">
        <f t="shared" ca="1" si="60"/>
        <v>OK</v>
      </c>
      <c r="K1987" s="366" t="s">
        <v>1727</v>
      </c>
      <c r="L1987" s="366" t="s">
        <v>2254</v>
      </c>
      <c r="M1987" s="350" t="str">
        <f>IF($B1987="Portfolio","Portfolio",IFERROR(INDEX(DATA_ASSET_CLASSIFICATION!$B$8:$B$24,MATCH($C1987,DATA_ASSET_CLASSIFICATION!$A$8:$A$24,0)),"Review"))</f>
        <v>Evergreen Apartments</v>
      </c>
      <c r="N1987" s="350" t="str">
        <f ca="1">IF($B1987="Portfolio","Portfolio",IFERROR(INDEX(DATA_ASSET_CLASSIFICATION!$U$8:$U$24,MATCH($C1987,DATA_ASSET_CLASSIFICATION!$A$8:$A$24,0)),"Review"))</f>
        <v>Refi Watch</v>
      </c>
      <c r="O1987" s="350" t="str">
        <f ca="1">IF($B1987="Portfolio","Portfolio",IFERROR(INDEX(DATA_ASSET_CLASSIFICATION!$AB$8:$AB$13,MATCH($N1987,DATA_ASSET_CLASSIFICATION!$AA$8:$AA$13,0)),"Review"))</f>
        <v>Bucket 2 · Legacy</v>
      </c>
      <c r="P1987" s="350" t="str">
        <f>IF($B1987="Portfolio","Portfolio",IFERROR(INDEX(DATA_ASSET_CLASSIFICATION!$C$8:$C$24,MATCH($C1987,DATA_ASSET_CLASSIFICATION!$A$8:$A$24,0)),"Review"))</f>
        <v>Yes</v>
      </c>
      <c r="Q1987" s="350" t="str">
        <f t="shared" ca="1" si="61"/>
        <v>OK</v>
      </c>
    </row>
    <row r="1988" spans="1:17" ht="30">
      <c r="A1988" s="366" t="s">
        <v>3944</v>
      </c>
      <c r="B1988" s="366" t="s">
        <v>231</v>
      </c>
      <c r="C1988" s="348" t="str">
        <f>DATA_PROPERTY_MASTER!$A$10</f>
        <v>BLD_EA</v>
      </c>
      <c r="D1988" s="380">
        <f>'00_PORTFOLIO ROLLUP'!S$12</f>
        <v>2039</v>
      </c>
      <c r="E1988" s="366" t="s">
        <v>1721</v>
      </c>
      <c r="F1988" s="366" t="s">
        <v>35</v>
      </c>
      <c r="G1988" s="348" t="str">
        <f>"'"&amp;$C1988&amp;"'!$E$63:$Y$63"</f>
        <v>'BLD_EA'!$E$63:$Y$63</v>
      </c>
      <c r="H1988" s="381">
        <f ca="1">IF(IFERROR(INDEX(DATA_PROPERTY_MASTER!$E$5:$E$21,MATCH($C1988,DATA_PROPERTY_MASTER!$A$5:$A$21,0))="Yes",FALSE),IFERROR(INDEX(INDIRECT("'"&amp;$C1988&amp;"'!$E$63:$Y$63"),1,MATCH($D1988,INDIRECT("'"&amp;$C1988&amp;"'!$E$12:$Y$12"),0)),0),0)</f>
        <v>0</v>
      </c>
      <c r="I1988" s="366" t="s">
        <v>1731</v>
      </c>
      <c r="J1988" s="348" t="str">
        <f t="shared" ca="1" si="60"/>
        <v>OK</v>
      </c>
      <c r="K1988" s="366" t="s">
        <v>1732</v>
      </c>
      <c r="L1988" s="366" t="s">
        <v>2256</v>
      </c>
      <c r="M1988" s="350" t="str">
        <f>IF($B1988="Portfolio","Portfolio",IFERROR(INDEX(DATA_ASSET_CLASSIFICATION!$B$8:$B$24,MATCH($C1988,DATA_ASSET_CLASSIFICATION!$A$8:$A$24,0)),"Review"))</f>
        <v>Evergreen Apartments</v>
      </c>
      <c r="N1988" s="350" t="str">
        <f ca="1">IF($B1988="Portfolio","Portfolio",IFERROR(INDEX(DATA_ASSET_CLASSIFICATION!$U$8:$U$24,MATCH($C1988,DATA_ASSET_CLASSIFICATION!$A$8:$A$24,0)),"Review"))</f>
        <v>Refi Watch</v>
      </c>
      <c r="O1988" s="350" t="str">
        <f ca="1">IF($B1988="Portfolio","Portfolio",IFERROR(INDEX(DATA_ASSET_CLASSIFICATION!$AB$8:$AB$13,MATCH($N1988,DATA_ASSET_CLASSIFICATION!$AA$8:$AA$13,0)),"Review"))</f>
        <v>Bucket 2 · Legacy</v>
      </c>
      <c r="P1988" s="350" t="str">
        <f>IF($B1988="Portfolio","Portfolio",IFERROR(INDEX(DATA_ASSET_CLASSIFICATION!$C$8:$C$24,MATCH($C1988,DATA_ASSET_CLASSIFICATION!$A$8:$A$24,0)),"Review"))</f>
        <v>Yes</v>
      </c>
      <c r="Q1988" s="350" t="str">
        <f t="shared" ca="1" si="61"/>
        <v>OK</v>
      </c>
    </row>
    <row r="1989" spans="1:17" ht="30">
      <c r="A1989" s="366" t="s">
        <v>3945</v>
      </c>
      <c r="B1989" s="366" t="s">
        <v>231</v>
      </c>
      <c r="C1989" s="348" t="str">
        <f>DATA_PROPERTY_MASTER!$A$10</f>
        <v>BLD_EA</v>
      </c>
      <c r="D1989" s="380">
        <f>'00_PORTFOLIO ROLLUP'!S$12</f>
        <v>2039</v>
      </c>
      <c r="E1989" s="366" t="s">
        <v>1721</v>
      </c>
      <c r="F1989" s="366" t="s">
        <v>37</v>
      </c>
      <c r="G1989" s="348" t="str">
        <f>"'"&amp;$C1989&amp;"'!$E$63:$Y$63"</f>
        <v>'BLD_EA'!$E$63:$Y$63</v>
      </c>
      <c r="H1989" s="381">
        <f ca="1">IF(IFERROR(INDEX(DATA_PROPERTY_MASTER!$E$5:$E$21,MATCH($C1989,DATA_PROPERTY_MASTER!$A$5:$A$21,0))="Yes",FALSE),MAX(IFERROR(INDEX(INDIRECT("'"&amp;$C1989&amp;"'!$E$63:$Y$63"),1,MATCH($D1989,INDIRECT("'"&amp;$C1989&amp;"'!$E$12:$Y$12"),0)),0),0),0)</f>
        <v>0</v>
      </c>
      <c r="I1989" s="366" t="s">
        <v>1685</v>
      </c>
      <c r="J1989" s="348" t="str">
        <f t="shared" ref="J1989:J2052" ca="1" si="62">IF($F1989="Residual Funding Gap",IF($H1989&gt;0,"Funding Gap","OK"),IF(AND($F1989="Net Refinance Position",$H1989&lt;0),"Negative net refi position","OK"))</f>
        <v>OK</v>
      </c>
      <c r="K1989" s="366" t="s">
        <v>1735</v>
      </c>
      <c r="L1989" s="366" t="s">
        <v>2258</v>
      </c>
      <c r="M1989" s="350" t="str">
        <f>IF($B1989="Portfolio","Portfolio",IFERROR(INDEX(DATA_ASSET_CLASSIFICATION!$B$8:$B$24,MATCH($C1989,DATA_ASSET_CLASSIFICATION!$A$8:$A$24,0)),"Review"))</f>
        <v>Evergreen Apartments</v>
      </c>
      <c r="N1989" s="350" t="str">
        <f ca="1">IF($B1989="Portfolio","Portfolio",IFERROR(INDEX(DATA_ASSET_CLASSIFICATION!$U$8:$U$24,MATCH($C1989,DATA_ASSET_CLASSIFICATION!$A$8:$A$24,0)),"Review"))</f>
        <v>Refi Watch</v>
      </c>
      <c r="O1989" s="350" t="str">
        <f ca="1">IF($B1989="Portfolio","Portfolio",IFERROR(INDEX(DATA_ASSET_CLASSIFICATION!$AB$8:$AB$13,MATCH($N1989,DATA_ASSET_CLASSIFICATION!$AA$8:$AA$13,0)),"Review"))</f>
        <v>Bucket 2 · Legacy</v>
      </c>
      <c r="P1989" s="350" t="str">
        <f>IF($B1989="Portfolio","Portfolio",IFERROR(INDEX(DATA_ASSET_CLASSIFICATION!$C$8:$C$24,MATCH($C1989,DATA_ASSET_CLASSIFICATION!$A$8:$A$24,0)),"Review"))</f>
        <v>Yes</v>
      </c>
      <c r="Q1989" s="350" t="str">
        <f t="shared" ref="Q1989:Q2052" ca="1" si="63">IF(AND($B1989="Property",$F1989="Residual Funding Gap",$H1989&gt;0),"Property Funding Gap",IF($J1989&lt;&gt;"OK",$J1989,"OK"))</f>
        <v>OK</v>
      </c>
    </row>
    <row r="1990" spans="1:17" ht="30">
      <c r="A1990" s="366" t="s">
        <v>3946</v>
      </c>
      <c r="B1990" s="366" t="s">
        <v>231</v>
      </c>
      <c r="C1990" s="348" t="str">
        <f>DATA_PROPERTY_MASTER!$A$10</f>
        <v>BLD_EA</v>
      </c>
      <c r="D1990" s="380">
        <f>'00_PORTFOLIO ROLLUP'!S$12</f>
        <v>2039</v>
      </c>
      <c r="E1990" s="366" t="s">
        <v>1721</v>
      </c>
      <c r="F1990" s="366" t="s">
        <v>39</v>
      </c>
      <c r="G1990" s="348" t="str">
        <f>"'"&amp;$C1990&amp;"'!$E$63:$Y$63"</f>
        <v>'BLD_EA'!$E$63:$Y$63</v>
      </c>
      <c r="H1990" s="381">
        <f ca="1">IF(IFERROR(INDEX(DATA_PROPERTY_MASTER!$E$5:$E$21,MATCH($C1990,DATA_PROPERTY_MASTER!$A$5:$A$21,0))="Yes",FALSE),MAX(-IFERROR(INDEX(INDIRECT("'"&amp;$C1990&amp;"'!$E$63:$Y$63"),1,MATCH($D1990,INDIRECT("'"&amp;$C1990&amp;"'!$E$12:$Y$12"),0)),0),0),0)</f>
        <v>0</v>
      </c>
      <c r="I1990" s="366" t="s">
        <v>1690</v>
      </c>
      <c r="J1990" s="348" t="str">
        <f t="shared" ca="1" si="62"/>
        <v>OK</v>
      </c>
      <c r="K1990" s="366" t="s">
        <v>1738</v>
      </c>
      <c r="L1990" s="366" t="s">
        <v>2260</v>
      </c>
      <c r="M1990" s="350" t="str">
        <f>IF($B1990="Portfolio","Portfolio",IFERROR(INDEX(DATA_ASSET_CLASSIFICATION!$B$8:$B$24,MATCH($C1990,DATA_ASSET_CLASSIFICATION!$A$8:$A$24,0)),"Review"))</f>
        <v>Evergreen Apartments</v>
      </c>
      <c r="N1990" s="350" t="str">
        <f ca="1">IF($B1990="Portfolio","Portfolio",IFERROR(INDEX(DATA_ASSET_CLASSIFICATION!$U$8:$U$24,MATCH($C1990,DATA_ASSET_CLASSIFICATION!$A$8:$A$24,0)),"Review"))</f>
        <v>Refi Watch</v>
      </c>
      <c r="O1990" s="350" t="str">
        <f ca="1">IF($B1990="Portfolio","Portfolio",IFERROR(INDEX(DATA_ASSET_CLASSIFICATION!$AB$8:$AB$13,MATCH($N1990,DATA_ASSET_CLASSIFICATION!$AA$8:$AA$13,0)),"Review"))</f>
        <v>Bucket 2 · Legacy</v>
      </c>
      <c r="P1990" s="350" t="str">
        <f>IF($B1990="Portfolio","Portfolio",IFERROR(INDEX(DATA_ASSET_CLASSIFICATION!$C$8:$C$24,MATCH($C1990,DATA_ASSET_CLASSIFICATION!$A$8:$A$24,0)),"Review"))</f>
        <v>Yes</v>
      </c>
      <c r="Q1990" s="350" t="str">
        <f t="shared" ca="1" si="63"/>
        <v>OK</v>
      </c>
    </row>
    <row r="1991" spans="1:17" ht="30">
      <c r="A1991" s="366" t="s">
        <v>3947</v>
      </c>
      <c r="B1991" s="366" t="s">
        <v>231</v>
      </c>
      <c r="C1991" s="348" t="str">
        <f>DATA_PROPERTY_MASTER!$A$10</f>
        <v>BLD_EA</v>
      </c>
      <c r="D1991" s="380">
        <f>'00_PORTFOLIO ROLLUP'!S$12</f>
        <v>2039</v>
      </c>
      <c r="E1991" s="366" t="s">
        <v>1741</v>
      </c>
      <c r="F1991" s="366" t="s">
        <v>41</v>
      </c>
      <c r="G1991" s="348" t="str">
        <f>"'"&amp;$C1991&amp;"'!rows 56 + positive row 63"</f>
        <v>'BLD_EA'!rows 56 + positive row 63</v>
      </c>
      <c r="H1991" s="381">
        <f ca="1">IF(IFERROR(INDEX(DATA_PROPERTY_MASTER!$E$5:$E$21,MATCH($C1991,DATA_PROPERTY_MASTER!$A$5:$A$21,0))="Yes",FALSE),IFERROR(INDEX(INDIRECT("'"&amp;$C1991&amp;"'!$E$56:$Y$56"),1,MATCH($D1991,INDIRECT("'"&amp;$C1991&amp;"'!$E$12:$Y$12"),0)),0)+MAX(IFERROR(INDEX(INDIRECT("'"&amp;$C1991&amp;"'!$E$63:$Y$63"),1,MATCH($D1991,INDIRECT("'"&amp;$C1991&amp;"'!$E$12:$Y$12"),0)),0),0),0)</f>
        <v>98904.987433041271</v>
      </c>
      <c r="I1991" s="366" t="s">
        <v>1685</v>
      </c>
      <c r="J1991" s="348" t="str">
        <f t="shared" ca="1" si="62"/>
        <v>OK</v>
      </c>
      <c r="K1991" s="366" t="s">
        <v>1742</v>
      </c>
      <c r="L1991" s="366" t="s">
        <v>2262</v>
      </c>
      <c r="M1991" s="350" t="str">
        <f>IF($B1991="Portfolio","Portfolio",IFERROR(INDEX(DATA_ASSET_CLASSIFICATION!$B$8:$B$24,MATCH($C1991,DATA_ASSET_CLASSIFICATION!$A$8:$A$24,0)),"Review"))</f>
        <v>Evergreen Apartments</v>
      </c>
      <c r="N1991" s="350" t="str">
        <f ca="1">IF($B1991="Portfolio","Portfolio",IFERROR(INDEX(DATA_ASSET_CLASSIFICATION!$U$8:$U$24,MATCH($C1991,DATA_ASSET_CLASSIFICATION!$A$8:$A$24,0)),"Review"))</f>
        <v>Refi Watch</v>
      </c>
      <c r="O1991" s="350" t="str">
        <f ca="1">IF($B1991="Portfolio","Portfolio",IFERROR(INDEX(DATA_ASSET_CLASSIFICATION!$AB$8:$AB$13,MATCH($N1991,DATA_ASSET_CLASSIFICATION!$AA$8:$AA$13,0)),"Review"))</f>
        <v>Bucket 2 · Legacy</v>
      </c>
      <c r="P1991" s="350" t="str">
        <f>IF($B1991="Portfolio","Portfolio",IFERROR(INDEX(DATA_ASSET_CLASSIFICATION!$C$8:$C$24,MATCH($C1991,DATA_ASSET_CLASSIFICATION!$A$8:$A$24,0)),"Review"))</f>
        <v>Yes</v>
      </c>
      <c r="Q1991" s="350" t="str">
        <f t="shared" ca="1" si="63"/>
        <v>OK</v>
      </c>
    </row>
    <row r="1992" spans="1:17" ht="30">
      <c r="A1992" s="366" t="s">
        <v>3948</v>
      </c>
      <c r="B1992" s="366" t="s">
        <v>231</v>
      </c>
      <c r="C1992" s="348" t="str">
        <f>DATA_PROPERTY_MASTER!$A$10</f>
        <v>BLD_EA</v>
      </c>
      <c r="D1992" s="380">
        <f>'00_PORTFOLIO ROLLUP'!S$12</f>
        <v>2039</v>
      </c>
      <c r="E1992" s="366" t="s">
        <v>1741</v>
      </c>
      <c r="F1992" s="366" t="s">
        <v>43</v>
      </c>
      <c r="G1992" s="348" t="str">
        <f>"'"&amp;$C1992&amp;"'!$E$68:$Y$68"</f>
        <v>'BLD_EA'!$E$68:$Y$68</v>
      </c>
      <c r="H1992" s="381">
        <f ca="1">IF(IFERROR(INDEX(DATA_PROPERTY_MASTER!$E$5:$E$21,MATCH($C1992,DATA_PROPERTY_MASTER!$A$5:$A$21,0))="Yes",FALSE),IFERROR(INDEX(INDIRECT("'"&amp;$C1992&amp;"'!$E$68:$Y$68"),1,MATCH($D1992,INDIRECT("'"&amp;$C1992&amp;"'!$E$12:$Y$12"),0)),0),0)</f>
        <v>98904.987433041271</v>
      </c>
      <c r="I1992" s="366" t="s">
        <v>1731</v>
      </c>
      <c r="J1992" s="348" t="str">
        <f t="shared" ca="1" si="62"/>
        <v>OK</v>
      </c>
      <c r="K1992" s="366" t="s">
        <v>1746</v>
      </c>
      <c r="L1992" s="366" t="s">
        <v>2264</v>
      </c>
      <c r="M1992" s="350" t="str">
        <f>IF($B1992="Portfolio","Portfolio",IFERROR(INDEX(DATA_ASSET_CLASSIFICATION!$B$8:$B$24,MATCH($C1992,DATA_ASSET_CLASSIFICATION!$A$8:$A$24,0)),"Review"))</f>
        <v>Evergreen Apartments</v>
      </c>
      <c r="N1992" s="350" t="str">
        <f ca="1">IF($B1992="Portfolio","Portfolio",IFERROR(INDEX(DATA_ASSET_CLASSIFICATION!$U$8:$U$24,MATCH($C1992,DATA_ASSET_CLASSIFICATION!$A$8:$A$24,0)),"Review"))</f>
        <v>Refi Watch</v>
      </c>
      <c r="O1992" s="350" t="str">
        <f ca="1">IF($B1992="Portfolio","Portfolio",IFERROR(INDEX(DATA_ASSET_CLASSIFICATION!$AB$8:$AB$13,MATCH($N1992,DATA_ASSET_CLASSIFICATION!$AA$8:$AA$13,0)),"Review"))</f>
        <v>Bucket 2 · Legacy</v>
      </c>
      <c r="P1992" s="350" t="str">
        <f>IF($B1992="Portfolio","Portfolio",IFERROR(INDEX(DATA_ASSET_CLASSIFICATION!$C$8:$C$24,MATCH($C1992,DATA_ASSET_CLASSIFICATION!$A$8:$A$24,0)),"Review"))</f>
        <v>Yes</v>
      </c>
      <c r="Q1992" s="350" t="str">
        <f t="shared" ca="1" si="63"/>
        <v>OK</v>
      </c>
    </row>
    <row r="1993" spans="1:17" ht="30">
      <c r="A1993" s="366" t="s">
        <v>3949</v>
      </c>
      <c r="B1993" s="366" t="s">
        <v>231</v>
      </c>
      <c r="C1993" s="348" t="str">
        <f>DATA_PROPERTY_MASTER!$A$10</f>
        <v>BLD_EA</v>
      </c>
      <c r="D1993" s="380">
        <f>'00_PORTFOLIO ROLLUP'!S$12</f>
        <v>2039</v>
      </c>
      <c r="E1993" s="366" t="s">
        <v>1741</v>
      </c>
      <c r="F1993" s="366" t="s">
        <v>1749</v>
      </c>
      <c r="G1993" s="348" t="str">
        <f>"'"&amp;$C1993&amp;"'!rows 56, 63, 68"</f>
        <v>'BLD_EA'!rows 56, 63, 68</v>
      </c>
      <c r="H1993" s="381">
        <f ca="1">IF(IFERROR(INDEX(DATA_PROPERTY_MASTER!$E$5:$E$21,MATCH($C1993,DATA_PROPERTY_MASTER!$A$5:$A$21,0))="Yes",FALSE),(IFERROR(INDEX(INDIRECT("'"&amp;$C1993&amp;"'!$E$56:$Y$56"),1,MATCH($D1993,INDIRECT("'"&amp;$C1993&amp;"'!$E$12:$Y$12"),0)),0)+MAX(IFERROR(INDEX(INDIRECT("'"&amp;$C1993&amp;"'!$E$63:$Y$63"),1,MATCH($D1993,INDIRECT("'"&amp;$C1993&amp;"'!$E$12:$Y$12"),0)),0),0))-(IFERROR(INDEX(INDIRECT("'"&amp;$C1993&amp;"'!$E$68:$Y$68"),1,MATCH($D1993,INDIRECT("'"&amp;$C1993&amp;"'!$E$12:$Y$12"),0)),0)),0)</f>
        <v>0</v>
      </c>
      <c r="I1993" s="366" t="s">
        <v>1750</v>
      </c>
      <c r="J1993" s="348" t="str">
        <f t="shared" ca="1" si="62"/>
        <v>OK</v>
      </c>
      <c r="K1993" s="366" t="s">
        <v>1751</v>
      </c>
      <c r="L1993" s="366" t="s">
        <v>2266</v>
      </c>
      <c r="M1993" s="350" t="str">
        <f>IF($B1993="Portfolio","Portfolio",IFERROR(INDEX(DATA_ASSET_CLASSIFICATION!$B$8:$B$24,MATCH($C1993,DATA_ASSET_CLASSIFICATION!$A$8:$A$24,0)),"Review"))</f>
        <v>Evergreen Apartments</v>
      </c>
      <c r="N1993" s="350" t="str">
        <f ca="1">IF($B1993="Portfolio","Portfolio",IFERROR(INDEX(DATA_ASSET_CLASSIFICATION!$U$8:$U$24,MATCH($C1993,DATA_ASSET_CLASSIFICATION!$A$8:$A$24,0)),"Review"))</f>
        <v>Refi Watch</v>
      </c>
      <c r="O1993" s="350" t="str">
        <f ca="1">IF($B1993="Portfolio","Portfolio",IFERROR(INDEX(DATA_ASSET_CLASSIFICATION!$AB$8:$AB$13,MATCH($N1993,DATA_ASSET_CLASSIFICATION!$AA$8:$AA$13,0)),"Review"))</f>
        <v>Bucket 2 · Legacy</v>
      </c>
      <c r="P1993" s="350" t="str">
        <f>IF($B1993="Portfolio","Portfolio",IFERROR(INDEX(DATA_ASSET_CLASSIFICATION!$C$8:$C$24,MATCH($C1993,DATA_ASSET_CLASSIFICATION!$A$8:$A$24,0)),"Review"))</f>
        <v>Yes</v>
      </c>
      <c r="Q1993" s="350" t="str">
        <f t="shared" ca="1" si="63"/>
        <v>OK</v>
      </c>
    </row>
    <row r="1994" spans="1:17" ht="30">
      <c r="A1994" s="366" t="s">
        <v>3950</v>
      </c>
      <c r="B1994" s="366" t="s">
        <v>231</v>
      </c>
      <c r="C1994" s="348" t="str">
        <f>DATA_PROPERTY_MASTER!$A$10</f>
        <v>BLD_EA</v>
      </c>
      <c r="D1994" s="380">
        <f>'00_PORTFOLIO ROLLUP'!T$12</f>
        <v>2040</v>
      </c>
      <c r="E1994" s="366" t="s">
        <v>1683</v>
      </c>
      <c r="F1994" s="366" t="s">
        <v>341</v>
      </c>
      <c r="G1994" s="348" t="str">
        <f>"'"&amp;$C1994&amp;"'!$E$24:$Y$24"</f>
        <v>'BLD_EA'!$E$24:$Y$24</v>
      </c>
      <c r="H1994" s="381">
        <f ca="1">IF(IFERROR(INDEX(DATA_PROPERTY_MASTER!$E$5:$E$21,MATCH($C1994,DATA_PROPERTY_MASTER!$A$5:$A$21,0))="Yes",FALSE),IFERROR(INDEX(INDIRECT("'"&amp;$C1994&amp;"'!$E$24:$Y$24"),1,MATCH($D1994,INDIRECT("'"&amp;$C1994&amp;"'!$E$12:$Y$12"),0)),0),0)</f>
        <v>1336994.6165338468</v>
      </c>
      <c r="I1994" s="366" t="s">
        <v>1685</v>
      </c>
      <c r="J1994" s="348" t="str">
        <f t="shared" ca="1" si="62"/>
        <v>OK</v>
      </c>
      <c r="K1994" s="366" t="s">
        <v>1686</v>
      </c>
      <c r="L1994" s="366" t="s">
        <v>2234</v>
      </c>
      <c r="M1994" s="350" t="str">
        <f>IF($B1994="Portfolio","Portfolio",IFERROR(INDEX(DATA_ASSET_CLASSIFICATION!$B$8:$B$24,MATCH($C1994,DATA_ASSET_CLASSIFICATION!$A$8:$A$24,0)),"Review"))</f>
        <v>Evergreen Apartments</v>
      </c>
      <c r="N1994" s="350" t="str">
        <f ca="1">IF($B1994="Portfolio","Portfolio",IFERROR(INDEX(DATA_ASSET_CLASSIFICATION!$U$8:$U$24,MATCH($C1994,DATA_ASSET_CLASSIFICATION!$A$8:$A$24,0)),"Review"))</f>
        <v>Refi Watch</v>
      </c>
      <c r="O1994" s="350" t="str">
        <f ca="1">IF($B1994="Portfolio","Portfolio",IFERROR(INDEX(DATA_ASSET_CLASSIFICATION!$AB$8:$AB$13,MATCH($N1994,DATA_ASSET_CLASSIFICATION!$AA$8:$AA$13,0)),"Review"))</f>
        <v>Bucket 2 · Legacy</v>
      </c>
      <c r="P1994" s="350" t="str">
        <f>IF($B1994="Portfolio","Portfolio",IFERROR(INDEX(DATA_ASSET_CLASSIFICATION!$C$8:$C$24,MATCH($C1994,DATA_ASSET_CLASSIFICATION!$A$8:$A$24,0)),"Review"))</f>
        <v>Yes</v>
      </c>
      <c r="Q1994" s="350" t="str">
        <f t="shared" ca="1" si="63"/>
        <v>OK</v>
      </c>
    </row>
    <row r="1995" spans="1:17" ht="30">
      <c r="A1995" s="366" t="s">
        <v>3951</v>
      </c>
      <c r="B1995" s="366" t="s">
        <v>231</v>
      </c>
      <c r="C1995" s="348" t="str">
        <f>DATA_PROPERTY_MASTER!$A$10</f>
        <v>BLD_EA</v>
      </c>
      <c r="D1995" s="380">
        <f>'00_PORTFOLIO ROLLUP'!T$12</f>
        <v>2040</v>
      </c>
      <c r="E1995" s="366" t="s">
        <v>1683</v>
      </c>
      <c r="F1995" s="366" t="s">
        <v>355</v>
      </c>
      <c r="G1995" s="348" t="str">
        <f>"'"&amp;$C1995&amp;"'!$E$39:$Y$39"</f>
        <v>'BLD_EA'!$E$39:$Y$39</v>
      </c>
      <c r="H1995" s="381">
        <f ca="1">IF(IFERROR(INDEX(DATA_PROPERTY_MASTER!$E$5:$E$21,MATCH($C1995,DATA_PROPERTY_MASTER!$A$5:$A$21,0))="Yes",FALSE),IFERROR(INDEX(INDIRECT("'"&amp;$C1995&amp;"'!$E$39:$Y$39"),1,MATCH($D1995,INDIRECT("'"&amp;$C1995&amp;"'!$E$12:$Y$12"),0)),0),0)</f>
        <v>682579.77845074621</v>
      </c>
      <c r="I1995" s="366" t="s">
        <v>1690</v>
      </c>
      <c r="J1995" s="348" t="str">
        <f t="shared" ca="1" si="62"/>
        <v>OK</v>
      </c>
      <c r="K1995" s="366" t="s">
        <v>1686</v>
      </c>
      <c r="L1995" s="366" t="s">
        <v>2236</v>
      </c>
      <c r="M1995" s="350" t="str">
        <f>IF($B1995="Portfolio","Portfolio",IFERROR(INDEX(DATA_ASSET_CLASSIFICATION!$B$8:$B$24,MATCH($C1995,DATA_ASSET_CLASSIFICATION!$A$8:$A$24,0)),"Review"))</f>
        <v>Evergreen Apartments</v>
      </c>
      <c r="N1995" s="350" t="str">
        <f ca="1">IF($B1995="Portfolio","Portfolio",IFERROR(INDEX(DATA_ASSET_CLASSIFICATION!$U$8:$U$24,MATCH($C1995,DATA_ASSET_CLASSIFICATION!$A$8:$A$24,0)),"Review"))</f>
        <v>Refi Watch</v>
      </c>
      <c r="O1995" s="350" t="str">
        <f ca="1">IF($B1995="Portfolio","Portfolio",IFERROR(INDEX(DATA_ASSET_CLASSIFICATION!$AB$8:$AB$13,MATCH($N1995,DATA_ASSET_CLASSIFICATION!$AA$8:$AA$13,0)),"Review"))</f>
        <v>Bucket 2 · Legacy</v>
      </c>
      <c r="P1995" s="350" t="str">
        <f>IF($B1995="Portfolio","Portfolio",IFERROR(INDEX(DATA_ASSET_CLASSIFICATION!$C$8:$C$24,MATCH($C1995,DATA_ASSET_CLASSIFICATION!$A$8:$A$24,0)),"Review"))</f>
        <v>Yes</v>
      </c>
      <c r="Q1995" s="350" t="str">
        <f t="shared" ca="1" si="63"/>
        <v>OK</v>
      </c>
    </row>
    <row r="1996" spans="1:17" ht="30">
      <c r="A1996" s="366" t="s">
        <v>3952</v>
      </c>
      <c r="B1996" s="366" t="s">
        <v>231</v>
      </c>
      <c r="C1996" s="348" t="str">
        <f>DATA_PROPERTY_MASTER!$A$10</f>
        <v>BLD_EA</v>
      </c>
      <c r="D1996" s="380">
        <f>'00_PORTFOLIO ROLLUP'!T$12</f>
        <v>2040</v>
      </c>
      <c r="E1996" s="366" t="s">
        <v>1683</v>
      </c>
      <c r="F1996" s="366" t="s">
        <v>19</v>
      </c>
      <c r="G1996" s="348" t="str">
        <f>"'"&amp;$C1996&amp;"'!$E$41:$Y$41"</f>
        <v>'BLD_EA'!$E$41:$Y$41</v>
      </c>
      <c r="H1996" s="381">
        <f ca="1">IF(IFERROR(INDEX(DATA_PROPERTY_MASTER!$E$5:$E$21,MATCH($C1996,DATA_PROPERTY_MASTER!$A$5:$A$21,0))="Yes",FALSE),IFERROR(INDEX(INDIRECT("'"&amp;$C1996&amp;"'!$E$41:$Y$41"),1,MATCH($D1996,INDIRECT("'"&amp;$C1996&amp;"'!$E$12:$Y$12"),0)),0),0)</f>
        <v>654414.83808310062</v>
      </c>
      <c r="I1996" s="366" t="s">
        <v>1685</v>
      </c>
      <c r="J1996" s="348" t="str">
        <f t="shared" ca="1" si="62"/>
        <v>OK</v>
      </c>
      <c r="K1996" s="366" t="s">
        <v>1694</v>
      </c>
      <c r="L1996" s="366" t="s">
        <v>2238</v>
      </c>
      <c r="M1996" s="350" t="str">
        <f>IF($B1996="Portfolio","Portfolio",IFERROR(INDEX(DATA_ASSET_CLASSIFICATION!$B$8:$B$24,MATCH($C1996,DATA_ASSET_CLASSIFICATION!$A$8:$A$24,0)),"Review"))</f>
        <v>Evergreen Apartments</v>
      </c>
      <c r="N1996" s="350" t="str">
        <f ca="1">IF($B1996="Portfolio","Portfolio",IFERROR(INDEX(DATA_ASSET_CLASSIFICATION!$U$8:$U$24,MATCH($C1996,DATA_ASSET_CLASSIFICATION!$A$8:$A$24,0)),"Review"))</f>
        <v>Refi Watch</v>
      </c>
      <c r="O1996" s="350" t="str">
        <f ca="1">IF($B1996="Portfolio","Portfolio",IFERROR(INDEX(DATA_ASSET_CLASSIFICATION!$AB$8:$AB$13,MATCH($N1996,DATA_ASSET_CLASSIFICATION!$AA$8:$AA$13,0)),"Review"))</f>
        <v>Bucket 2 · Legacy</v>
      </c>
      <c r="P1996" s="350" t="str">
        <f>IF($B1996="Portfolio","Portfolio",IFERROR(INDEX(DATA_ASSET_CLASSIFICATION!$C$8:$C$24,MATCH($C1996,DATA_ASSET_CLASSIFICATION!$A$8:$A$24,0)),"Review"))</f>
        <v>Yes</v>
      </c>
      <c r="Q1996" s="350" t="str">
        <f t="shared" ca="1" si="63"/>
        <v>OK</v>
      </c>
    </row>
    <row r="1997" spans="1:17" ht="30">
      <c r="A1997" s="366" t="s">
        <v>3953</v>
      </c>
      <c r="B1997" s="366" t="s">
        <v>231</v>
      </c>
      <c r="C1997" s="348" t="str">
        <f>DATA_PROPERTY_MASTER!$A$10</f>
        <v>BLD_EA</v>
      </c>
      <c r="D1997" s="380">
        <f>'00_PORTFOLIO ROLLUP'!T$12</f>
        <v>2040</v>
      </c>
      <c r="E1997" s="366" t="s">
        <v>1683</v>
      </c>
      <c r="F1997" s="366" t="s">
        <v>1697</v>
      </c>
      <c r="G1997" s="348" t="str">
        <f>"'"&amp;$C1997&amp;"'!$E$44:$Y$44"</f>
        <v>'BLD_EA'!$E$44:$Y$44</v>
      </c>
      <c r="H1997" s="381">
        <f ca="1">IF(IFERROR(INDEX(DATA_PROPERTY_MASTER!$E$5:$E$21,MATCH($C1997,DATA_PROPERTY_MASTER!$A$5:$A$21,0))="Yes",FALSE),IFERROR(INDEX(INDIRECT("'"&amp;$C1997&amp;"'!$E$44:$Y$44"),1,MATCH($D1997,INDIRECT("'"&amp;$C1997&amp;"'!$E$12:$Y$12"),0)),0),0)</f>
        <v>12314.695295665782</v>
      </c>
      <c r="I1997" s="366" t="s">
        <v>1690</v>
      </c>
      <c r="J1997" s="348" t="str">
        <f t="shared" ca="1" si="62"/>
        <v>OK</v>
      </c>
      <c r="K1997" s="366" t="s">
        <v>1699</v>
      </c>
      <c r="L1997" s="366" t="s">
        <v>2240</v>
      </c>
      <c r="M1997" s="350" t="str">
        <f>IF($B1997="Portfolio","Portfolio",IFERROR(INDEX(DATA_ASSET_CLASSIFICATION!$B$8:$B$24,MATCH($C1997,DATA_ASSET_CLASSIFICATION!$A$8:$A$24,0)),"Review"))</f>
        <v>Evergreen Apartments</v>
      </c>
      <c r="N1997" s="350" t="str">
        <f ca="1">IF($B1997="Portfolio","Portfolio",IFERROR(INDEX(DATA_ASSET_CLASSIFICATION!$U$8:$U$24,MATCH($C1997,DATA_ASSET_CLASSIFICATION!$A$8:$A$24,0)),"Review"))</f>
        <v>Refi Watch</v>
      </c>
      <c r="O1997" s="350" t="str">
        <f ca="1">IF($B1997="Portfolio","Portfolio",IFERROR(INDEX(DATA_ASSET_CLASSIFICATION!$AB$8:$AB$13,MATCH($N1997,DATA_ASSET_CLASSIFICATION!$AA$8:$AA$13,0)),"Review"))</f>
        <v>Bucket 2 · Legacy</v>
      </c>
      <c r="P1997" s="350" t="str">
        <f>IF($B1997="Portfolio","Portfolio",IFERROR(INDEX(DATA_ASSET_CLASSIFICATION!$C$8:$C$24,MATCH($C1997,DATA_ASSET_CLASSIFICATION!$A$8:$A$24,0)),"Review"))</f>
        <v>Yes</v>
      </c>
      <c r="Q1997" s="350" t="str">
        <f t="shared" ca="1" si="63"/>
        <v>OK</v>
      </c>
    </row>
    <row r="1998" spans="1:17" ht="30">
      <c r="A1998" s="366" t="s">
        <v>3954</v>
      </c>
      <c r="B1998" s="366" t="s">
        <v>231</v>
      </c>
      <c r="C1998" s="348" t="str">
        <f>DATA_PROPERTY_MASTER!$A$10</f>
        <v>BLD_EA</v>
      </c>
      <c r="D1998" s="380">
        <f>'00_PORTFOLIO ROLLUP'!T$12</f>
        <v>2040</v>
      </c>
      <c r="E1998" s="366" t="s">
        <v>1683</v>
      </c>
      <c r="F1998" s="366" t="s">
        <v>21</v>
      </c>
      <c r="G1998" s="348" t="str">
        <f>"'"&amp;$C1998&amp;"'!$E$45:$Y$45"</f>
        <v>'BLD_EA'!$E$45:$Y$45</v>
      </c>
      <c r="H1998" s="381">
        <f ca="1">IF(IFERROR(INDEX(DATA_PROPERTY_MASTER!$E$5:$E$21,MATCH($C1998,DATA_PROPERTY_MASTER!$A$5:$A$21,0))="Yes",FALSE),IFERROR(INDEX(INDIRECT("'"&amp;$C1998&amp;"'!$E$45:$Y$45"),1,MATCH($D1998,INDIRECT("'"&amp;$C1998&amp;"'!$E$12:$Y$12"),0)),0),0)</f>
        <v>642100.14278743486</v>
      </c>
      <c r="I1998" s="366" t="s">
        <v>1685</v>
      </c>
      <c r="J1998" s="348" t="str">
        <f t="shared" ca="1" si="62"/>
        <v>OK</v>
      </c>
      <c r="K1998" s="366" t="s">
        <v>1694</v>
      </c>
      <c r="L1998" s="366" t="s">
        <v>2242</v>
      </c>
      <c r="M1998" s="350" t="str">
        <f>IF($B1998="Portfolio","Portfolio",IFERROR(INDEX(DATA_ASSET_CLASSIFICATION!$B$8:$B$24,MATCH($C1998,DATA_ASSET_CLASSIFICATION!$A$8:$A$24,0)),"Review"))</f>
        <v>Evergreen Apartments</v>
      </c>
      <c r="N1998" s="350" t="str">
        <f ca="1">IF($B1998="Portfolio","Portfolio",IFERROR(INDEX(DATA_ASSET_CLASSIFICATION!$U$8:$U$24,MATCH($C1998,DATA_ASSET_CLASSIFICATION!$A$8:$A$24,0)),"Review"))</f>
        <v>Refi Watch</v>
      </c>
      <c r="O1998" s="350" t="str">
        <f ca="1">IF($B1998="Portfolio","Portfolio",IFERROR(INDEX(DATA_ASSET_CLASSIFICATION!$AB$8:$AB$13,MATCH($N1998,DATA_ASSET_CLASSIFICATION!$AA$8:$AA$13,0)),"Review"))</f>
        <v>Bucket 2 · Legacy</v>
      </c>
      <c r="P1998" s="350" t="str">
        <f>IF($B1998="Portfolio","Portfolio",IFERROR(INDEX(DATA_ASSET_CLASSIFICATION!$C$8:$C$24,MATCH($C1998,DATA_ASSET_CLASSIFICATION!$A$8:$A$24,0)),"Review"))</f>
        <v>Yes</v>
      </c>
      <c r="Q1998" s="350" t="str">
        <f t="shared" ca="1" si="63"/>
        <v>OK</v>
      </c>
    </row>
    <row r="1999" spans="1:17" ht="30">
      <c r="A1999" s="366" t="s">
        <v>3955</v>
      </c>
      <c r="B1999" s="366" t="s">
        <v>231</v>
      </c>
      <c r="C1999" s="348" t="str">
        <f>DATA_PROPERTY_MASTER!$A$10</f>
        <v>BLD_EA</v>
      </c>
      <c r="D1999" s="380">
        <f>'00_PORTFOLIO ROLLUP'!T$12</f>
        <v>2040</v>
      </c>
      <c r="E1999" s="366" t="s">
        <v>23</v>
      </c>
      <c r="F1999" s="366" t="s">
        <v>23</v>
      </c>
      <c r="G1999" s="348" t="str">
        <f>"'"&amp;$C1999&amp;"'!$E$48:$Y$48"</f>
        <v>'BLD_EA'!$E$48:$Y$48</v>
      </c>
      <c r="H1999" s="381">
        <f ca="1">IF(IFERROR(INDEX(DATA_PROPERTY_MASTER!$E$5:$E$21,MATCH($C1999,DATA_PROPERTY_MASTER!$A$5:$A$21,0))="Yes",FALSE),IFERROR(INDEX(INDIRECT("'"&amp;$C1999&amp;"'!$E$48:$Y$48"),1,MATCH($D1999,INDIRECT("'"&amp;$C1999&amp;"'!$E$12:$Y$12"),0)),0),0)</f>
        <v>397585.07606343459</v>
      </c>
      <c r="I1999" s="366" t="s">
        <v>1690</v>
      </c>
      <c r="J1999" s="348" t="str">
        <f t="shared" ca="1" si="62"/>
        <v>OK</v>
      </c>
      <c r="K1999" s="366" t="s">
        <v>1706</v>
      </c>
      <c r="L1999" s="366" t="s">
        <v>2244</v>
      </c>
      <c r="M1999" s="350" t="str">
        <f>IF($B1999="Portfolio","Portfolio",IFERROR(INDEX(DATA_ASSET_CLASSIFICATION!$B$8:$B$24,MATCH($C1999,DATA_ASSET_CLASSIFICATION!$A$8:$A$24,0)),"Review"))</f>
        <v>Evergreen Apartments</v>
      </c>
      <c r="N1999" s="350" t="str">
        <f ca="1">IF($B1999="Portfolio","Portfolio",IFERROR(INDEX(DATA_ASSET_CLASSIFICATION!$U$8:$U$24,MATCH($C1999,DATA_ASSET_CLASSIFICATION!$A$8:$A$24,0)),"Review"))</f>
        <v>Refi Watch</v>
      </c>
      <c r="O1999" s="350" t="str">
        <f ca="1">IF($B1999="Portfolio","Portfolio",IFERROR(INDEX(DATA_ASSET_CLASSIFICATION!$AB$8:$AB$13,MATCH($N1999,DATA_ASSET_CLASSIFICATION!$AA$8:$AA$13,0)),"Review"))</f>
        <v>Bucket 2 · Legacy</v>
      </c>
      <c r="P1999" s="350" t="str">
        <f>IF($B1999="Portfolio","Portfolio",IFERROR(INDEX(DATA_ASSET_CLASSIFICATION!$C$8:$C$24,MATCH($C1999,DATA_ASSET_CLASSIFICATION!$A$8:$A$24,0)),"Review"))</f>
        <v>Yes</v>
      </c>
      <c r="Q1999" s="350" t="str">
        <f t="shared" ca="1" si="63"/>
        <v>OK</v>
      </c>
    </row>
    <row r="2000" spans="1:17" ht="30">
      <c r="A2000" s="366" t="s">
        <v>3956</v>
      </c>
      <c r="B2000" s="366" t="s">
        <v>231</v>
      </c>
      <c r="C2000" s="348" t="str">
        <f>DATA_PROPERTY_MASTER!$A$10</f>
        <v>BLD_EA</v>
      </c>
      <c r="D2000" s="380">
        <f>'00_PORTFOLIO ROLLUP'!T$12</f>
        <v>2040</v>
      </c>
      <c r="E2000" s="366" t="s">
        <v>1683</v>
      </c>
      <c r="F2000" s="366" t="s">
        <v>25</v>
      </c>
      <c r="G2000" s="348" t="str">
        <f>"'"&amp;$C2000&amp;"'!$E$52:$Y$52"</f>
        <v>'BLD_EA'!$E$52:$Y$52</v>
      </c>
      <c r="H2000" s="381">
        <f ca="1">IF(IFERROR(INDEX(DATA_PROPERTY_MASTER!$E$5:$E$21,MATCH($C2000,DATA_PROPERTY_MASTER!$A$5:$A$21,0))="Yes",FALSE),IFERROR(INDEX(INDIRECT("'"&amp;$C2000&amp;"'!$E$52:$Y$52"),1,MATCH($D2000,INDIRECT("'"&amp;$C2000&amp;"'!$E$12:$Y$12"),0)),0),0)</f>
        <v>256829.76201966603</v>
      </c>
      <c r="I2000" s="366" t="s">
        <v>1685</v>
      </c>
      <c r="J2000" s="348" t="str">
        <f t="shared" ca="1" si="62"/>
        <v>OK</v>
      </c>
      <c r="K2000" s="366" t="s">
        <v>1710</v>
      </c>
      <c r="L2000" s="366" t="s">
        <v>2246</v>
      </c>
      <c r="M2000" s="350" t="str">
        <f>IF($B2000="Portfolio","Portfolio",IFERROR(INDEX(DATA_ASSET_CLASSIFICATION!$B$8:$B$24,MATCH($C2000,DATA_ASSET_CLASSIFICATION!$A$8:$A$24,0)),"Review"))</f>
        <v>Evergreen Apartments</v>
      </c>
      <c r="N2000" s="350" t="str">
        <f ca="1">IF($B2000="Portfolio","Portfolio",IFERROR(INDEX(DATA_ASSET_CLASSIFICATION!$U$8:$U$24,MATCH($C2000,DATA_ASSET_CLASSIFICATION!$A$8:$A$24,0)),"Review"))</f>
        <v>Refi Watch</v>
      </c>
      <c r="O2000" s="350" t="str">
        <f ca="1">IF($B2000="Portfolio","Portfolio",IFERROR(INDEX(DATA_ASSET_CLASSIFICATION!$AB$8:$AB$13,MATCH($N2000,DATA_ASSET_CLASSIFICATION!$AA$8:$AA$13,0)),"Review"))</f>
        <v>Bucket 2 · Legacy</v>
      </c>
      <c r="P2000" s="350" t="str">
        <f>IF($B2000="Portfolio","Portfolio",IFERROR(INDEX(DATA_ASSET_CLASSIFICATION!$C$8:$C$24,MATCH($C2000,DATA_ASSET_CLASSIFICATION!$A$8:$A$24,0)),"Review"))</f>
        <v>Yes</v>
      </c>
      <c r="Q2000" s="350" t="str">
        <f t="shared" ca="1" si="63"/>
        <v>OK</v>
      </c>
    </row>
    <row r="2001" spans="1:17" ht="30">
      <c r="A2001" s="366" t="s">
        <v>3957</v>
      </c>
      <c r="B2001" s="366" t="s">
        <v>231</v>
      </c>
      <c r="C2001" s="348" t="str">
        <f>DATA_PROPERTY_MASTER!$A$10</f>
        <v>BLD_EA</v>
      </c>
      <c r="D2001" s="380">
        <f>'00_PORTFOLIO ROLLUP'!T$12</f>
        <v>2040</v>
      </c>
      <c r="E2001" s="366" t="s">
        <v>1683</v>
      </c>
      <c r="F2001" s="366" t="s">
        <v>27</v>
      </c>
      <c r="G2001" s="348" t="str">
        <f>"'"&amp;$C2001&amp;"'!$E$54:$Y$54"</f>
        <v>'BLD_EA'!$E$54:$Y$54</v>
      </c>
      <c r="H2001" s="381">
        <f ca="1">IF(IFERROR(INDEX(DATA_PROPERTY_MASTER!$E$5:$E$21,MATCH($C2001,DATA_PROPERTY_MASTER!$A$5:$A$21,0))="Yes",FALSE),IFERROR(INDEX(INDIRECT("'"&amp;$C2001&amp;"'!$E$54:$Y$54"),1,MATCH($D2001,INDIRECT("'"&amp;$C2001&amp;"'!$E$12:$Y$12"),0)),0),0)</f>
        <v>154097.85721179962</v>
      </c>
      <c r="I2001" s="366" t="s">
        <v>1690</v>
      </c>
      <c r="J2001" s="348" t="str">
        <f t="shared" ca="1" si="62"/>
        <v>OK</v>
      </c>
      <c r="K2001" s="366" t="s">
        <v>1714</v>
      </c>
      <c r="L2001" s="366" t="s">
        <v>2248</v>
      </c>
      <c r="M2001" s="350" t="str">
        <f>IF($B2001="Portfolio","Portfolio",IFERROR(INDEX(DATA_ASSET_CLASSIFICATION!$B$8:$B$24,MATCH($C2001,DATA_ASSET_CLASSIFICATION!$A$8:$A$24,0)),"Review"))</f>
        <v>Evergreen Apartments</v>
      </c>
      <c r="N2001" s="350" t="str">
        <f ca="1">IF($B2001="Portfolio","Portfolio",IFERROR(INDEX(DATA_ASSET_CLASSIFICATION!$U$8:$U$24,MATCH($C2001,DATA_ASSET_CLASSIFICATION!$A$8:$A$24,0)),"Review"))</f>
        <v>Refi Watch</v>
      </c>
      <c r="O2001" s="350" t="str">
        <f ca="1">IF($B2001="Portfolio","Portfolio",IFERROR(INDEX(DATA_ASSET_CLASSIFICATION!$AB$8:$AB$13,MATCH($N2001,DATA_ASSET_CLASSIFICATION!$AA$8:$AA$13,0)),"Review"))</f>
        <v>Bucket 2 · Legacy</v>
      </c>
      <c r="P2001" s="350" t="str">
        <f>IF($B2001="Portfolio","Portfolio",IFERROR(INDEX(DATA_ASSET_CLASSIFICATION!$C$8:$C$24,MATCH($C2001,DATA_ASSET_CLASSIFICATION!$A$8:$A$24,0)),"Review"))</f>
        <v>Yes</v>
      </c>
      <c r="Q2001" s="350" t="str">
        <f t="shared" ca="1" si="63"/>
        <v>OK</v>
      </c>
    </row>
    <row r="2002" spans="1:17" ht="30">
      <c r="A2002" s="366" t="s">
        <v>3958</v>
      </c>
      <c r="B2002" s="366" t="s">
        <v>231</v>
      </c>
      <c r="C2002" s="348" t="str">
        <f>DATA_PROPERTY_MASTER!$A$10</f>
        <v>BLD_EA</v>
      </c>
      <c r="D2002" s="380">
        <f>'00_PORTFOLIO ROLLUP'!T$12</f>
        <v>2040</v>
      </c>
      <c r="E2002" s="366" t="s">
        <v>1683</v>
      </c>
      <c r="F2002" s="366" t="s">
        <v>29</v>
      </c>
      <c r="G2002" s="348" t="str">
        <f>"'"&amp;$C2002&amp;"'!$E$56:$Y$56"</f>
        <v>'BLD_EA'!$E$56:$Y$56</v>
      </c>
      <c r="H2002" s="381">
        <f ca="1">IF(IFERROR(INDEX(DATA_PROPERTY_MASTER!$E$5:$E$21,MATCH($C2002,DATA_PROPERTY_MASTER!$A$5:$A$21,0))="Yes",FALSE),IFERROR(INDEX(INDIRECT("'"&amp;$C2002&amp;"'!$E$56:$Y$56"),1,MATCH($D2002,INDIRECT("'"&amp;$C2002&amp;"'!$E$12:$Y$12"),0)),0),0)</f>
        <v>102731.90480786641</v>
      </c>
      <c r="I2002" s="366" t="s">
        <v>1685</v>
      </c>
      <c r="J2002" s="348" t="str">
        <f t="shared" ca="1" si="62"/>
        <v>OK</v>
      </c>
      <c r="K2002" s="366" t="s">
        <v>1718</v>
      </c>
      <c r="L2002" s="366" t="s">
        <v>2250</v>
      </c>
      <c r="M2002" s="350" t="str">
        <f>IF($B2002="Portfolio","Portfolio",IFERROR(INDEX(DATA_ASSET_CLASSIFICATION!$B$8:$B$24,MATCH($C2002,DATA_ASSET_CLASSIFICATION!$A$8:$A$24,0)),"Review"))</f>
        <v>Evergreen Apartments</v>
      </c>
      <c r="N2002" s="350" t="str">
        <f ca="1">IF($B2002="Portfolio","Portfolio",IFERROR(INDEX(DATA_ASSET_CLASSIFICATION!$U$8:$U$24,MATCH($C2002,DATA_ASSET_CLASSIFICATION!$A$8:$A$24,0)),"Review"))</f>
        <v>Refi Watch</v>
      </c>
      <c r="O2002" s="350" t="str">
        <f ca="1">IF($B2002="Portfolio","Portfolio",IFERROR(INDEX(DATA_ASSET_CLASSIFICATION!$AB$8:$AB$13,MATCH($N2002,DATA_ASSET_CLASSIFICATION!$AA$8:$AA$13,0)),"Review"))</f>
        <v>Bucket 2 · Legacy</v>
      </c>
      <c r="P2002" s="350" t="str">
        <f>IF($B2002="Portfolio","Portfolio",IFERROR(INDEX(DATA_ASSET_CLASSIFICATION!$C$8:$C$24,MATCH($C2002,DATA_ASSET_CLASSIFICATION!$A$8:$A$24,0)),"Review"))</f>
        <v>Yes</v>
      </c>
      <c r="Q2002" s="350" t="str">
        <f t="shared" ca="1" si="63"/>
        <v>OK</v>
      </c>
    </row>
    <row r="2003" spans="1:17" ht="30">
      <c r="A2003" s="366" t="s">
        <v>3959</v>
      </c>
      <c r="B2003" s="366" t="s">
        <v>231</v>
      </c>
      <c r="C2003" s="348" t="str">
        <f>DATA_PROPERTY_MASTER!$A$10</f>
        <v>BLD_EA</v>
      </c>
      <c r="D2003" s="380">
        <f>'00_PORTFOLIO ROLLUP'!T$12</f>
        <v>2040</v>
      </c>
      <c r="E2003" s="366" t="s">
        <v>1721</v>
      </c>
      <c r="F2003" s="366" t="s">
        <v>31</v>
      </c>
      <c r="G2003" s="348" t="str">
        <f>"'"&amp;$C2003&amp;"'!$E$61:$Y$61"</f>
        <v>'BLD_EA'!$E$61:$Y$61</v>
      </c>
      <c r="H2003" s="381">
        <f ca="1">IF(IFERROR(INDEX(DATA_PROPERTY_MASTER!$E$5:$E$21,MATCH($C2003,DATA_PROPERTY_MASTER!$A$5:$A$21,0))="Yes",FALSE),IFERROR(INDEX(INDIRECT("'"&amp;$C2003&amp;"'!$E$61:$Y$61"),1,MATCH($D2003,INDIRECT("'"&amp;$C2003&amp;"'!$E$12:$Y$12"),0)),0),0)</f>
        <v>0</v>
      </c>
      <c r="I2003" s="366" t="s">
        <v>1690</v>
      </c>
      <c r="J2003" s="348" t="str">
        <f t="shared" ca="1" si="62"/>
        <v>OK</v>
      </c>
      <c r="K2003" s="366" t="s">
        <v>1723</v>
      </c>
      <c r="L2003" s="366" t="s">
        <v>2252</v>
      </c>
      <c r="M2003" s="350" t="str">
        <f>IF($B2003="Portfolio","Portfolio",IFERROR(INDEX(DATA_ASSET_CLASSIFICATION!$B$8:$B$24,MATCH($C2003,DATA_ASSET_CLASSIFICATION!$A$8:$A$24,0)),"Review"))</f>
        <v>Evergreen Apartments</v>
      </c>
      <c r="N2003" s="350" t="str">
        <f ca="1">IF($B2003="Portfolio","Portfolio",IFERROR(INDEX(DATA_ASSET_CLASSIFICATION!$U$8:$U$24,MATCH($C2003,DATA_ASSET_CLASSIFICATION!$A$8:$A$24,0)),"Review"))</f>
        <v>Refi Watch</v>
      </c>
      <c r="O2003" s="350" t="str">
        <f ca="1">IF($B2003="Portfolio","Portfolio",IFERROR(INDEX(DATA_ASSET_CLASSIFICATION!$AB$8:$AB$13,MATCH($N2003,DATA_ASSET_CLASSIFICATION!$AA$8:$AA$13,0)),"Review"))</f>
        <v>Bucket 2 · Legacy</v>
      </c>
      <c r="P2003" s="350" t="str">
        <f>IF($B2003="Portfolio","Portfolio",IFERROR(INDEX(DATA_ASSET_CLASSIFICATION!$C$8:$C$24,MATCH($C2003,DATA_ASSET_CLASSIFICATION!$A$8:$A$24,0)),"Review"))</f>
        <v>Yes</v>
      </c>
      <c r="Q2003" s="350" t="str">
        <f t="shared" ca="1" si="63"/>
        <v>OK</v>
      </c>
    </row>
    <row r="2004" spans="1:17" ht="30">
      <c r="A2004" s="366" t="s">
        <v>3960</v>
      </c>
      <c r="B2004" s="366" t="s">
        <v>231</v>
      </c>
      <c r="C2004" s="348" t="str">
        <f>DATA_PROPERTY_MASTER!$A$10</f>
        <v>BLD_EA</v>
      </c>
      <c r="D2004" s="380">
        <f>'00_PORTFOLIO ROLLUP'!T$12</f>
        <v>2040</v>
      </c>
      <c r="E2004" s="366" t="s">
        <v>1721</v>
      </c>
      <c r="F2004" s="366" t="s">
        <v>33</v>
      </c>
      <c r="G2004" s="348" t="str">
        <f>"'"&amp;$C2004&amp;"'!$E$62:$Y$62"</f>
        <v>'BLD_EA'!$E$62:$Y$62</v>
      </c>
      <c r="H2004" s="381">
        <f ca="1">IF(IFERROR(INDEX(DATA_PROPERTY_MASTER!$E$5:$E$21,MATCH($C2004,DATA_PROPERTY_MASTER!$A$5:$A$21,0))="Yes",FALSE),IFERROR(INDEX(INDIRECT("'"&amp;$C2004&amp;"'!$E$62:$Y$62"),1,MATCH($D2004,INDIRECT("'"&amp;$C2004&amp;"'!$E$12:$Y$12"),0)),0),0)</f>
        <v>0</v>
      </c>
      <c r="I2004" s="366" t="s">
        <v>1685</v>
      </c>
      <c r="J2004" s="348" t="str">
        <f t="shared" ca="1" si="62"/>
        <v>OK</v>
      </c>
      <c r="K2004" s="366" t="s">
        <v>1727</v>
      </c>
      <c r="L2004" s="366" t="s">
        <v>2254</v>
      </c>
      <c r="M2004" s="350" t="str">
        <f>IF($B2004="Portfolio","Portfolio",IFERROR(INDEX(DATA_ASSET_CLASSIFICATION!$B$8:$B$24,MATCH($C2004,DATA_ASSET_CLASSIFICATION!$A$8:$A$24,0)),"Review"))</f>
        <v>Evergreen Apartments</v>
      </c>
      <c r="N2004" s="350" t="str">
        <f ca="1">IF($B2004="Portfolio","Portfolio",IFERROR(INDEX(DATA_ASSET_CLASSIFICATION!$U$8:$U$24,MATCH($C2004,DATA_ASSET_CLASSIFICATION!$A$8:$A$24,0)),"Review"))</f>
        <v>Refi Watch</v>
      </c>
      <c r="O2004" s="350" t="str">
        <f ca="1">IF($B2004="Portfolio","Portfolio",IFERROR(INDEX(DATA_ASSET_CLASSIFICATION!$AB$8:$AB$13,MATCH($N2004,DATA_ASSET_CLASSIFICATION!$AA$8:$AA$13,0)),"Review"))</f>
        <v>Bucket 2 · Legacy</v>
      </c>
      <c r="P2004" s="350" t="str">
        <f>IF($B2004="Portfolio","Portfolio",IFERROR(INDEX(DATA_ASSET_CLASSIFICATION!$C$8:$C$24,MATCH($C2004,DATA_ASSET_CLASSIFICATION!$A$8:$A$24,0)),"Review"))</f>
        <v>Yes</v>
      </c>
      <c r="Q2004" s="350" t="str">
        <f t="shared" ca="1" si="63"/>
        <v>OK</v>
      </c>
    </row>
    <row r="2005" spans="1:17" ht="30">
      <c r="A2005" s="366" t="s">
        <v>3961</v>
      </c>
      <c r="B2005" s="366" t="s">
        <v>231</v>
      </c>
      <c r="C2005" s="348" t="str">
        <f>DATA_PROPERTY_MASTER!$A$10</f>
        <v>BLD_EA</v>
      </c>
      <c r="D2005" s="380">
        <f>'00_PORTFOLIO ROLLUP'!T$12</f>
        <v>2040</v>
      </c>
      <c r="E2005" s="366" t="s">
        <v>1721</v>
      </c>
      <c r="F2005" s="366" t="s">
        <v>35</v>
      </c>
      <c r="G2005" s="348" t="str">
        <f>"'"&amp;$C2005&amp;"'!$E$63:$Y$63"</f>
        <v>'BLD_EA'!$E$63:$Y$63</v>
      </c>
      <c r="H2005" s="381">
        <f ca="1">IF(IFERROR(INDEX(DATA_PROPERTY_MASTER!$E$5:$E$21,MATCH($C2005,DATA_PROPERTY_MASTER!$A$5:$A$21,0))="Yes",FALSE),IFERROR(INDEX(INDIRECT("'"&amp;$C2005&amp;"'!$E$63:$Y$63"),1,MATCH($D2005,INDIRECT("'"&amp;$C2005&amp;"'!$E$12:$Y$12"),0)),0),0)</f>
        <v>0</v>
      </c>
      <c r="I2005" s="366" t="s">
        <v>1731</v>
      </c>
      <c r="J2005" s="348" t="str">
        <f t="shared" ca="1" si="62"/>
        <v>OK</v>
      </c>
      <c r="K2005" s="366" t="s">
        <v>1732</v>
      </c>
      <c r="L2005" s="366" t="s">
        <v>2256</v>
      </c>
      <c r="M2005" s="350" t="str">
        <f>IF($B2005="Portfolio","Portfolio",IFERROR(INDEX(DATA_ASSET_CLASSIFICATION!$B$8:$B$24,MATCH($C2005,DATA_ASSET_CLASSIFICATION!$A$8:$A$24,0)),"Review"))</f>
        <v>Evergreen Apartments</v>
      </c>
      <c r="N2005" s="350" t="str">
        <f ca="1">IF($B2005="Portfolio","Portfolio",IFERROR(INDEX(DATA_ASSET_CLASSIFICATION!$U$8:$U$24,MATCH($C2005,DATA_ASSET_CLASSIFICATION!$A$8:$A$24,0)),"Review"))</f>
        <v>Refi Watch</v>
      </c>
      <c r="O2005" s="350" t="str">
        <f ca="1">IF($B2005="Portfolio","Portfolio",IFERROR(INDEX(DATA_ASSET_CLASSIFICATION!$AB$8:$AB$13,MATCH($N2005,DATA_ASSET_CLASSIFICATION!$AA$8:$AA$13,0)),"Review"))</f>
        <v>Bucket 2 · Legacy</v>
      </c>
      <c r="P2005" s="350" t="str">
        <f>IF($B2005="Portfolio","Portfolio",IFERROR(INDEX(DATA_ASSET_CLASSIFICATION!$C$8:$C$24,MATCH($C2005,DATA_ASSET_CLASSIFICATION!$A$8:$A$24,0)),"Review"))</f>
        <v>Yes</v>
      </c>
      <c r="Q2005" s="350" t="str">
        <f t="shared" ca="1" si="63"/>
        <v>OK</v>
      </c>
    </row>
    <row r="2006" spans="1:17" ht="30">
      <c r="A2006" s="366" t="s">
        <v>3962</v>
      </c>
      <c r="B2006" s="366" t="s">
        <v>231</v>
      </c>
      <c r="C2006" s="348" t="str">
        <f>DATA_PROPERTY_MASTER!$A$10</f>
        <v>BLD_EA</v>
      </c>
      <c r="D2006" s="380">
        <f>'00_PORTFOLIO ROLLUP'!T$12</f>
        <v>2040</v>
      </c>
      <c r="E2006" s="366" t="s">
        <v>1721</v>
      </c>
      <c r="F2006" s="366" t="s">
        <v>37</v>
      </c>
      <c r="G2006" s="348" t="str">
        <f>"'"&amp;$C2006&amp;"'!$E$63:$Y$63"</f>
        <v>'BLD_EA'!$E$63:$Y$63</v>
      </c>
      <c r="H2006" s="381">
        <f ca="1">IF(IFERROR(INDEX(DATA_PROPERTY_MASTER!$E$5:$E$21,MATCH($C2006,DATA_PROPERTY_MASTER!$A$5:$A$21,0))="Yes",FALSE),MAX(IFERROR(INDEX(INDIRECT("'"&amp;$C2006&amp;"'!$E$63:$Y$63"),1,MATCH($D2006,INDIRECT("'"&amp;$C2006&amp;"'!$E$12:$Y$12"),0)),0),0),0)</f>
        <v>0</v>
      </c>
      <c r="I2006" s="366" t="s">
        <v>1685</v>
      </c>
      <c r="J2006" s="348" t="str">
        <f t="shared" ca="1" si="62"/>
        <v>OK</v>
      </c>
      <c r="K2006" s="366" t="s">
        <v>1735</v>
      </c>
      <c r="L2006" s="366" t="s">
        <v>2258</v>
      </c>
      <c r="M2006" s="350" t="str">
        <f>IF($B2006="Portfolio","Portfolio",IFERROR(INDEX(DATA_ASSET_CLASSIFICATION!$B$8:$B$24,MATCH($C2006,DATA_ASSET_CLASSIFICATION!$A$8:$A$24,0)),"Review"))</f>
        <v>Evergreen Apartments</v>
      </c>
      <c r="N2006" s="350" t="str">
        <f ca="1">IF($B2006="Portfolio","Portfolio",IFERROR(INDEX(DATA_ASSET_CLASSIFICATION!$U$8:$U$24,MATCH($C2006,DATA_ASSET_CLASSIFICATION!$A$8:$A$24,0)),"Review"))</f>
        <v>Refi Watch</v>
      </c>
      <c r="O2006" s="350" t="str">
        <f ca="1">IF($B2006="Portfolio","Portfolio",IFERROR(INDEX(DATA_ASSET_CLASSIFICATION!$AB$8:$AB$13,MATCH($N2006,DATA_ASSET_CLASSIFICATION!$AA$8:$AA$13,0)),"Review"))</f>
        <v>Bucket 2 · Legacy</v>
      </c>
      <c r="P2006" s="350" t="str">
        <f>IF($B2006="Portfolio","Portfolio",IFERROR(INDEX(DATA_ASSET_CLASSIFICATION!$C$8:$C$24,MATCH($C2006,DATA_ASSET_CLASSIFICATION!$A$8:$A$24,0)),"Review"))</f>
        <v>Yes</v>
      </c>
      <c r="Q2006" s="350" t="str">
        <f t="shared" ca="1" si="63"/>
        <v>OK</v>
      </c>
    </row>
    <row r="2007" spans="1:17" ht="30">
      <c r="A2007" s="366" t="s">
        <v>3963</v>
      </c>
      <c r="B2007" s="366" t="s">
        <v>231</v>
      </c>
      <c r="C2007" s="348" t="str">
        <f>DATA_PROPERTY_MASTER!$A$10</f>
        <v>BLD_EA</v>
      </c>
      <c r="D2007" s="380">
        <f>'00_PORTFOLIO ROLLUP'!T$12</f>
        <v>2040</v>
      </c>
      <c r="E2007" s="366" t="s">
        <v>1721</v>
      </c>
      <c r="F2007" s="366" t="s">
        <v>39</v>
      </c>
      <c r="G2007" s="348" t="str">
        <f>"'"&amp;$C2007&amp;"'!$E$63:$Y$63"</f>
        <v>'BLD_EA'!$E$63:$Y$63</v>
      </c>
      <c r="H2007" s="381">
        <f ca="1">IF(IFERROR(INDEX(DATA_PROPERTY_MASTER!$E$5:$E$21,MATCH($C2007,DATA_PROPERTY_MASTER!$A$5:$A$21,0))="Yes",FALSE),MAX(-IFERROR(INDEX(INDIRECT("'"&amp;$C2007&amp;"'!$E$63:$Y$63"),1,MATCH($D2007,INDIRECT("'"&amp;$C2007&amp;"'!$E$12:$Y$12"),0)),0),0),0)</f>
        <v>0</v>
      </c>
      <c r="I2007" s="366" t="s">
        <v>1690</v>
      </c>
      <c r="J2007" s="348" t="str">
        <f t="shared" ca="1" si="62"/>
        <v>OK</v>
      </c>
      <c r="K2007" s="366" t="s">
        <v>1738</v>
      </c>
      <c r="L2007" s="366" t="s">
        <v>2260</v>
      </c>
      <c r="M2007" s="350" t="str">
        <f>IF($B2007="Portfolio","Portfolio",IFERROR(INDEX(DATA_ASSET_CLASSIFICATION!$B$8:$B$24,MATCH($C2007,DATA_ASSET_CLASSIFICATION!$A$8:$A$24,0)),"Review"))</f>
        <v>Evergreen Apartments</v>
      </c>
      <c r="N2007" s="350" t="str">
        <f ca="1">IF($B2007="Portfolio","Portfolio",IFERROR(INDEX(DATA_ASSET_CLASSIFICATION!$U$8:$U$24,MATCH($C2007,DATA_ASSET_CLASSIFICATION!$A$8:$A$24,0)),"Review"))</f>
        <v>Refi Watch</v>
      </c>
      <c r="O2007" s="350" t="str">
        <f ca="1">IF($B2007="Portfolio","Portfolio",IFERROR(INDEX(DATA_ASSET_CLASSIFICATION!$AB$8:$AB$13,MATCH($N2007,DATA_ASSET_CLASSIFICATION!$AA$8:$AA$13,0)),"Review"))</f>
        <v>Bucket 2 · Legacy</v>
      </c>
      <c r="P2007" s="350" t="str">
        <f>IF($B2007="Portfolio","Portfolio",IFERROR(INDEX(DATA_ASSET_CLASSIFICATION!$C$8:$C$24,MATCH($C2007,DATA_ASSET_CLASSIFICATION!$A$8:$A$24,0)),"Review"))</f>
        <v>Yes</v>
      </c>
      <c r="Q2007" s="350" t="str">
        <f t="shared" ca="1" si="63"/>
        <v>OK</v>
      </c>
    </row>
    <row r="2008" spans="1:17" ht="30">
      <c r="A2008" s="366" t="s">
        <v>3964</v>
      </c>
      <c r="B2008" s="366" t="s">
        <v>231</v>
      </c>
      <c r="C2008" s="348" t="str">
        <f>DATA_PROPERTY_MASTER!$A$10</f>
        <v>BLD_EA</v>
      </c>
      <c r="D2008" s="380">
        <f>'00_PORTFOLIO ROLLUP'!T$12</f>
        <v>2040</v>
      </c>
      <c r="E2008" s="366" t="s">
        <v>1741</v>
      </c>
      <c r="F2008" s="366" t="s">
        <v>41</v>
      </c>
      <c r="G2008" s="348" t="str">
        <f>"'"&amp;$C2008&amp;"'!rows 56 + positive row 63"</f>
        <v>'BLD_EA'!rows 56 + positive row 63</v>
      </c>
      <c r="H2008" s="381">
        <f ca="1">IF(IFERROR(INDEX(DATA_PROPERTY_MASTER!$E$5:$E$21,MATCH($C2008,DATA_PROPERTY_MASTER!$A$5:$A$21,0))="Yes",FALSE),IFERROR(INDEX(INDIRECT("'"&amp;$C2008&amp;"'!$E$56:$Y$56"),1,MATCH($D2008,INDIRECT("'"&amp;$C2008&amp;"'!$E$12:$Y$12"),0)),0)+MAX(IFERROR(INDEX(INDIRECT("'"&amp;$C2008&amp;"'!$E$63:$Y$63"),1,MATCH($D2008,INDIRECT("'"&amp;$C2008&amp;"'!$E$12:$Y$12"),0)),0),0),0)</f>
        <v>102731.90480786641</v>
      </c>
      <c r="I2008" s="366" t="s">
        <v>1685</v>
      </c>
      <c r="J2008" s="348" t="str">
        <f t="shared" ca="1" si="62"/>
        <v>OK</v>
      </c>
      <c r="K2008" s="366" t="s">
        <v>1742</v>
      </c>
      <c r="L2008" s="366" t="s">
        <v>2262</v>
      </c>
      <c r="M2008" s="350" t="str">
        <f>IF($B2008="Portfolio","Portfolio",IFERROR(INDEX(DATA_ASSET_CLASSIFICATION!$B$8:$B$24,MATCH($C2008,DATA_ASSET_CLASSIFICATION!$A$8:$A$24,0)),"Review"))</f>
        <v>Evergreen Apartments</v>
      </c>
      <c r="N2008" s="350" t="str">
        <f ca="1">IF($B2008="Portfolio","Portfolio",IFERROR(INDEX(DATA_ASSET_CLASSIFICATION!$U$8:$U$24,MATCH($C2008,DATA_ASSET_CLASSIFICATION!$A$8:$A$24,0)),"Review"))</f>
        <v>Refi Watch</v>
      </c>
      <c r="O2008" s="350" t="str">
        <f ca="1">IF($B2008="Portfolio","Portfolio",IFERROR(INDEX(DATA_ASSET_CLASSIFICATION!$AB$8:$AB$13,MATCH($N2008,DATA_ASSET_CLASSIFICATION!$AA$8:$AA$13,0)),"Review"))</f>
        <v>Bucket 2 · Legacy</v>
      </c>
      <c r="P2008" s="350" t="str">
        <f>IF($B2008="Portfolio","Portfolio",IFERROR(INDEX(DATA_ASSET_CLASSIFICATION!$C$8:$C$24,MATCH($C2008,DATA_ASSET_CLASSIFICATION!$A$8:$A$24,0)),"Review"))</f>
        <v>Yes</v>
      </c>
      <c r="Q2008" s="350" t="str">
        <f t="shared" ca="1" si="63"/>
        <v>OK</v>
      </c>
    </row>
    <row r="2009" spans="1:17" ht="30">
      <c r="A2009" s="366" t="s">
        <v>3965</v>
      </c>
      <c r="B2009" s="366" t="s">
        <v>231</v>
      </c>
      <c r="C2009" s="348" t="str">
        <f>DATA_PROPERTY_MASTER!$A$10</f>
        <v>BLD_EA</v>
      </c>
      <c r="D2009" s="380">
        <f>'00_PORTFOLIO ROLLUP'!T$12</f>
        <v>2040</v>
      </c>
      <c r="E2009" s="366" t="s">
        <v>1741</v>
      </c>
      <c r="F2009" s="366" t="s">
        <v>43</v>
      </c>
      <c r="G2009" s="348" t="str">
        <f>"'"&amp;$C2009&amp;"'!$E$68:$Y$68"</f>
        <v>'BLD_EA'!$E$68:$Y$68</v>
      </c>
      <c r="H2009" s="381">
        <f ca="1">IF(IFERROR(INDEX(DATA_PROPERTY_MASTER!$E$5:$E$21,MATCH($C2009,DATA_PROPERTY_MASTER!$A$5:$A$21,0))="Yes",FALSE),IFERROR(INDEX(INDIRECT("'"&amp;$C2009&amp;"'!$E$68:$Y$68"),1,MATCH($D2009,INDIRECT("'"&amp;$C2009&amp;"'!$E$12:$Y$12"),0)),0),0)</f>
        <v>102731.90480786641</v>
      </c>
      <c r="I2009" s="366" t="s">
        <v>1731</v>
      </c>
      <c r="J2009" s="348" t="str">
        <f t="shared" ca="1" si="62"/>
        <v>OK</v>
      </c>
      <c r="K2009" s="366" t="s">
        <v>1746</v>
      </c>
      <c r="L2009" s="366" t="s">
        <v>2264</v>
      </c>
      <c r="M2009" s="350" t="str">
        <f>IF($B2009="Portfolio","Portfolio",IFERROR(INDEX(DATA_ASSET_CLASSIFICATION!$B$8:$B$24,MATCH($C2009,DATA_ASSET_CLASSIFICATION!$A$8:$A$24,0)),"Review"))</f>
        <v>Evergreen Apartments</v>
      </c>
      <c r="N2009" s="350" t="str">
        <f ca="1">IF($B2009="Portfolio","Portfolio",IFERROR(INDEX(DATA_ASSET_CLASSIFICATION!$U$8:$U$24,MATCH($C2009,DATA_ASSET_CLASSIFICATION!$A$8:$A$24,0)),"Review"))</f>
        <v>Refi Watch</v>
      </c>
      <c r="O2009" s="350" t="str">
        <f ca="1">IF($B2009="Portfolio","Portfolio",IFERROR(INDEX(DATA_ASSET_CLASSIFICATION!$AB$8:$AB$13,MATCH($N2009,DATA_ASSET_CLASSIFICATION!$AA$8:$AA$13,0)),"Review"))</f>
        <v>Bucket 2 · Legacy</v>
      </c>
      <c r="P2009" s="350" t="str">
        <f>IF($B2009="Portfolio","Portfolio",IFERROR(INDEX(DATA_ASSET_CLASSIFICATION!$C$8:$C$24,MATCH($C2009,DATA_ASSET_CLASSIFICATION!$A$8:$A$24,0)),"Review"))</f>
        <v>Yes</v>
      </c>
      <c r="Q2009" s="350" t="str">
        <f t="shared" ca="1" si="63"/>
        <v>OK</v>
      </c>
    </row>
    <row r="2010" spans="1:17" ht="30">
      <c r="A2010" s="366" t="s">
        <v>3966</v>
      </c>
      <c r="B2010" s="366" t="s">
        <v>231</v>
      </c>
      <c r="C2010" s="348" t="str">
        <f>DATA_PROPERTY_MASTER!$A$10</f>
        <v>BLD_EA</v>
      </c>
      <c r="D2010" s="380">
        <f>'00_PORTFOLIO ROLLUP'!T$12</f>
        <v>2040</v>
      </c>
      <c r="E2010" s="366" t="s">
        <v>1741</v>
      </c>
      <c r="F2010" s="366" t="s">
        <v>1749</v>
      </c>
      <c r="G2010" s="348" t="str">
        <f>"'"&amp;$C2010&amp;"'!rows 56, 63, 68"</f>
        <v>'BLD_EA'!rows 56, 63, 68</v>
      </c>
      <c r="H2010" s="381">
        <f ca="1">IF(IFERROR(INDEX(DATA_PROPERTY_MASTER!$E$5:$E$21,MATCH($C2010,DATA_PROPERTY_MASTER!$A$5:$A$21,0))="Yes",FALSE),(IFERROR(INDEX(INDIRECT("'"&amp;$C2010&amp;"'!$E$56:$Y$56"),1,MATCH($D2010,INDIRECT("'"&amp;$C2010&amp;"'!$E$12:$Y$12"),0)),0)+MAX(IFERROR(INDEX(INDIRECT("'"&amp;$C2010&amp;"'!$E$63:$Y$63"),1,MATCH($D2010,INDIRECT("'"&amp;$C2010&amp;"'!$E$12:$Y$12"),0)),0),0))-(IFERROR(INDEX(INDIRECT("'"&amp;$C2010&amp;"'!$E$68:$Y$68"),1,MATCH($D2010,INDIRECT("'"&amp;$C2010&amp;"'!$E$12:$Y$12"),0)),0)),0)</f>
        <v>0</v>
      </c>
      <c r="I2010" s="366" t="s">
        <v>1750</v>
      </c>
      <c r="J2010" s="348" t="str">
        <f t="shared" ca="1" si="62"/>
        <v>OK</v>
      </c>
      <c r="K2010" s="366" t="s">
        <v>1751</v>
      </c>
      <c r="L2010" s="366" t="s">
        <v>2266</v>
      </c>
      <c r="M2010" s="350" t="str">
        <f>IF($B2010="Portfolio","Portfolio",IFERROR(INDEX(DATA_ASSET_CLASSIFICATION!$B$8:$B$24,MATCH($C2010,DATA_ASSET_CLASSIFICATION!$A$8:$A$24,0)),"Review"))</f>
        <v>Evergreen Apartments</v>
      </c>
      <c r="N2010" s="350" t="str">
        <f ca="1">IF($B2010="Portfolio","Portfolio",IFERROR(INDEX(DATA_ASSET_CLASSIFICATION!$U$8:$U$24,MATCH($C2010,DATA_ASSET_CLASSIFICATION!$A$8:$A$24,0)),"Review"))</f>
        <v>Refi Watch</v>
      </c>
      <c r="O2010" s="350" t="str">
        <f ca="1">IF($B2010="Portfolio","Portfolio",IFERROR(INDEX(DATA_ASSET_CLASSIFICATION!$AB$8:$AB$13,MATCH($N2010,DATA_ASSET_CLASSIFICATION!$AA$8:$AA$13,0)),"Review"))</f>
        <v>Bucket 2 · Legacy</v>
      </c>
      <c r="P2010" s="350" t="str">
        <f>IF($B2010="Portfolio","Portfolio",IFERROR(INDEX(DATA_ASSET_CLASSIFICATION!$C$8:$C$24,MATCH($C2010,DATA_ASSET_CLASSIFICATION!$A$8:$A$24,0)),"Review"))</f>
        <v>Yes</v>
      </c>
      <c r="Q2010" s="350" t="str">
        <f t="shared" ca="1" si="63"/>
        <v>OK</v>
      </c>
    </row>
    <row r="2011" spans="1:17" ht="30">
      <c r="A2011" s="366" t="s">
        <v>3967</v>
      </c>
      <c r="B2011" s="366" t="s">
        <v>231</v>
      </c>
      <c r="C2011" s="348" t="str">
        <f>DATA_PROPERTY_MASTER!$A$10</f>
        <v>BLD_EA</v>
      </c>
      <c r="D2011" s="380">
        <f>'00_PORTFOLIO ROLLUP'!U$12</f>
        <v>2041</v>
      </c>
      <c r="E2011" s="366" t="s">
        <v>1683</v>
      </c>
      <c r="F2011" s="366" t="s">
        <v>341</v>
      </c>
      <c r="G2011" s="348" t="str">
        <f>"'"&amp;$C2011&amp;"'!$E$24:$Y$24"</f>
        <v>'BLD_EA'!$E$24:$Y$24</v>
      </c>
      <c r="H2011" s="381">
        <f ca="1">IF(IFERROR(INDEX(DATA_PROPERTY_MASTER!$E$5:$E$21,MATCH($C2011,DATA_PROPERTY_MASTER!$A$5:$A$21,0))="Yes",FALSE),IFERROR(INDEX(INDIRECT("'"&amp;$C2011&amp;"'!$E$24:$Y$24"),1,MATCH($D2011,INDIRECT("'"&amp;$C2011&amp;"'!$E$12:$Y$12"),0)),0),0)</f>
        <v>1363734.5088645238</v>
      </c>
      <c r="I2011" s="366" t="s">
        <v>1685</v>
      </c>
      <c r="J2011" s="348" t="str">
        <f t="shared" ca="1" si="62"/>
        <v>OK</v>
      </c>
      <c r="K2011" s="366" t="s">
        <v>1686</v>
      </c>
      <c r="L2011" s="366" t="s">
        <v>2234</v>
      </c>
      <c r="M2011" s="350" t="str">
        <f>IF($B2011="Portfolio","Portfolio",IFERROR(INDEX(DATA_ASSET_CLASSIFICATION!$B$8:$B$24,MATCH($C2011,DATA_ASSET_CLASSIFICATION!$A$8:$A$24,0)),"Review"))</f>
        <v>Evergreen Apartments</v>
      </c>
      <c r="N2011" s="350" t="str">
        <f ca="1">IF($B2011="Portfolio","Portfolio",IFERROR(INDEX(DATA_ASSET_CLASSIFICATION!$U$8:$U$24,MATCH($C2011,DATA_ASSET_CLASSIFICATION!$A$8:$A$24,0)),"Review"))</f>
        <v>Refi Watch</v>
      </c>
      <c r="O2011" s="350" t="str">
        <f ca="1">IF($B2011="Portfolio","Portfolio",IFERROR(INDEX(DATA_ASSET_CLASSIFICATION!$AB$8:$AB$13,MATCH($N2011,DATA_ASSET_CLASSIFICATION!$AA$8:$AA$13,0)),"Review"))</f>
        <v>Bucket 2 · Legacy</v>
      </c>
      <c r="P2011" s="350" t="str">
        <f>IF($B2011="Portfolio","Portfolio",IFERROR(INDEX(DATA_ASSET_CLASSIFICATION!$C$8:$C$24,MATCH($C2011,DATA_ASSET_CLASSIFICATION!$A$8:$A$24,0)),"Review"))</f>
        <v>Yes</v>
      </c>
      <c r="Q2011" s="350" t="str">
        <f t="shared" ca="1" si="63"/>
        <v>OK</v>
      </c>
    </row>
    <row r="2012" spans="1:17" ht="30">
      <c r="A2012" s="366" t="s">
        <v>3968</v>
      </c>
      <c r="B2012" s="366" t="s">
        <v>231</v>
      </c>
      <c r="C2012" s="348" t="str">
        <f>DATA_PROPERTY_MASTER!$A$10</f>
        <v>BLD_EA</v>
      </c>
      <c r="D2012" s="380">
        <f>'00_PORTFOLIO ROLLUP'!U$12</f>
        <v>2041</v>
      </c>
      <c r="E2012" s="366" t="s">
        <v>1683</v>
      </c>
      <c r="F2012" s="366" t="s">
        <v>355</v>
      </c>
      <c r="G2012" s="348" t="str">
        <f>"'"&amp;$C2012&amp;"'!$E$39:$Y$39"</f>
        <v>'BLD_EA'!$E$39:$Y$39</v>
      </c>
      <c r="H2012" s="381">
        <f ca="1">IF(IFERROR(INDEX(DATA_PROPERTY_MASTER!$E$5:$E$21,MATCH($C2012,DATA_PROPERTY_MASTER!$A$5:$A$21,0))="Yes",FALSE),IFERROR(INDEX(INDIRECT("'"&amp;$C2012&amp;"'!$E$39:$Y$39"),1,MATCH($D2012,INDIRECT("'"&amp;$C2012&amp;"'!$E$12:$Y$12"),0)),0),0)</f>
        <v>699644.27291201486</v>
      </c>
      <c r="I2012" s="366" t="s">
        <v>1690</v>
      </c>
      <c r="J2012" s="348" t="str">
        <f t="shared" ca="1" si="62"/>
        <v>OK</v>
      </c>
      <c r="K2012" s="366" t="s">
        <v>1686</v>
      </c>
      <c r="L2012" s="366" t="s">
        <v>2236</v>
      </c>
      <c r="M2012" s="350" t="str">
        <f>IF($B2012="Portfolio","Portfolio",IFERROR(INDEX(DATA_ASSET_CLASSIFICATION!$B$8:$B$24,MATCH($C2012,DATA_ASSET_CLASSIFICATION!$A$8:$A$24,0)),"Review"))</f>
        <v>Evergreen Apartments</v>
      </c>
      <c r="N2012" s="350" t="str">
        <f ca="1">IF($B2012="Portfolio","Portfolio",IFERROR(INDEX(DATA_ASSET_CLASSIFICATION!$U$8:$U$24,MATCH($C2012,DATA_ASSET_CLASSIFICATION!$A$8:$A$24,0)),"Review"))</f>
        <v>Refi Watch</v>
      </c>
      <c r="O2012" s="350" t="str">
        <f ca="1">IF($B2012="Portfolio","Portfolio",IFERROR(INDEX(DATA_ASSET_CLASSIFICATION!$AB$8:$AB$13,MATCH($N2012,DATA_ASSET_CLASSIFICATION!$AA$8:$AA$13,0)),"Review"))</f>
        <v>Bucket 2 · Legacy</v>
      </c>
      <c r="P2012" s="350" t="str">
        <f>IF($B2012="Portfolio","Portfolio",IFERROR(INDEX(DATA_ASSET_CLASSIFICATION!$C$8:$C$24,MATCH($C2012,DATA_ASSET_CLASSIFICATION!$A$8:$A$24,0)),"Review"))</f>
        <v>Yes</v>
      </c>
      <c r="Q2012" s="350" t="str">
        <f t="shared" ca="1" si="63"/>
        <v>OK</v>
      </c>
    </row>
    <row r="2013" spans="1:17" ht="30">
      <c r="A2013" s="366" t="s">
        <v>3969</v>
      </c>
      <c r="B2013" s="366" t="s">
        <v>231</v>
      </c>
      <c r="C2013" s="348" t="str">
        <f>DATA_PROPERTY_MASTER!$A$10</f>
        <v>BLD_EA</v>
      </c>
      <c r="D2013" s="380">
        <f>'00_PORTFOLIO ROLLUP'!U$12</f>
        <v>2041</v>
      </c>
      <c r="E2013" s="366" t="s">
        <v>1683</v>
      </c>
      <c r="F2013" s="366" t="s">
        <v>19</v>
      </c>
      <c r="G2013" s="348" t="str">
        <f>"'"&amp;$C2013&amp;"'!$E$41:$Y$41"</f>
        <v>'BLD_EA'!$E$41:$Y$41</v>
      </c>
      <c r="H2013" s="381">
        <f ca="1">IF(IFERROR(INDEX(DATA_PROPERTY_MASTER!$E$5:$E$21,MATCH($C2013,DATA_PROPERTY_MASTER!$A$5:$A$21,0))="Yes",FALSE),IFERROR(INDEX(INDIRECT("'"&amp;$C2013&amp;"'!$E$41:$Y$41"),1,MATCH($D2013,INDIRECT("'"&amp;$C2013&amp;"'!$E$12:$Y$12"),0)),0),0)</f>
        <v>664090.23595250899</v>
      </c>
      <c r="I2013" s="366" t="s">
        <v>1685</v>
      </c>
      <c r="J2013" s="348" t="str">
        <f t="shared" ca="1" si="62"/>
        <v>OK</v>
      </c>
      <c r="K2013" s="366" t="s">
        <v>1694</v>
      </c>
      <c r="L2013" s="366" t="s">
        <v>2238</v>
      </c>
      <c r="M2013" s="350" t="str">
        <f>IF($B2013="Portfolio","Portfolio",IFERROR(INDEX(DATA_ASSET_CLASSIFICATION!$B$8:$B$24,MATCH($C2013,DATA_ASSET_CLASSIFICATION!$A$8:$A$24,0)),"Review"))</f>
        <v>Evergreen Apartments</v>
      </c>
      <c r="N2013" s="350" t="str">
        <f ca="1">IF($B2013="Portfolio","Portfolio",IFERROR(INDEX(DATA_ASSET_CLASSIFICATION!$U$8:$U$24,MATCH($C2013,DATA_ASSET_CLASSIFICATION!$A$8:$A$24,0)),"Review"))</f>
        <v>Refi Watch</v>
      </c>
      <c r="O2013" s="350" t="str">
        <f ca="1">IF($B2013="Portfolio","Portfolio",IFERROR(INDEX(DATA_ASSET_CLASSIFICATION!$AB$8:$AB$13,MATCH($N2013,DATA_ASSET_CLASSIFICATION!$AA$8:$AA$13,0)),"Review"))</f>
        <v>Bucket 2 · Legacy</v>
      </c>
      <c r="P2013" s="350" t="str">
        <f>IF($B2013="Portfolio","Portfolio",IFERROR(INDEX(DATA_ASSET_CLASSIFICATION!$C$8:$C$24,MATCH($C2013,DATA_ASSET_CLASSIFICATION!$A$8:$A$24,0)),"Review"))</f>
        <v>Yes</v>
      </c>
      <c r="Q2013" s="350" t="str">
        <f t="shared" ca="1" si="63"/>
        <v>OK</v>
      </c>
    </row>
    <row r="2014" spans="1:17" ht="30">
      <c r="A2014" s="366" t="s">
        <v>3970</v>
      </c>
      <c r="B2014" s="366" t="s">
        <v>231</v>
      </c>
      <c r="C2014" s="348" t="str">
        <f>DATA_PROPERTY_MASTER!$A$10</f>
        <v>BLD_EA</v>
      </c>
      <c r="D2014" s="380">
        <f>'00_PORTFOLIO ROLLUP'!U$12</f>
        <v>2041</v>
      </c>
      <c r="E2014" s="366" t="s">
        <v>1683</v>
      </c>
      <c r="F2014" s="366" t="s">
        <v>1697</v>
      </c>
      <c r="G2014" s="348" t="str">
        <f>"'"&amp;$C2014&amp;"'!$E$44:$Y$44"</f>
        <v>'BLD_EA'!$E$44:$Y$44</v>
      </c>
      <c r="H2014" s="381">
        <f ca="1">IF(IFERROR(INDEX(DATA_PROPERTY_MASTER!$E$5:$E$21,MATCH($C2014,DATA_PROPERTY_MASTER!$A$5:$A$21,0))="Yes",FALSE),IFERROR(INDEX(INDIRECT("'"&amp;$C2014&amp;"'!$E$44:$Y$44"),1,MATCH($D2014,INDIRECT("'"&amp;$C2014&amp;"'!$E$12:$Y$12"),0)),0),0)</f>
        <v>12560.989201579101</v>
      </c>
      <c r="I2014" s="366" t="s">
        <v>1690</v>
      </c>
      <c r="J2014" s="348" t="str">
        <f t="shared" ca="1" si="62"/>
        <v>OK</v>
      </c>
      <c r="K2014" s="366" t="s">
        <v>1699</v>
      </c>
      <c r="L2014" s="366" t="s">
        <v>2240</v>
      </c>
      <c r="M2014" s="350" t="str">
        <f>IF($B2014="Portfolio","Portfolio",IFERROR(INDEX(DATA_ASSET_CLASSIFICATION!$B$8:$B$24,MATCH($C2014,DATA_ASSET_CLASSIFICATION!$A$8:$A$24,0)),"Review"))</f>
        <v>Evergreen Apartments</v>
      </c>
      <c r="N2014" s="350" t="str">
        <f ca="1">IF($B2014="Portfolio","Portfolio",IFERROR(INDEX(DATA_ASSET_CLASSIFICATION!$U$8:$U$24,MATCH($C2014,DATA_ASSET_CLASSIFICATION!$A$8:$A$24,0)),"Review"))</f>
        <v>Refi Watch</v>
      </c>
      <c r="O2014" s="350" t="str">
        <f ca="1">IF($B2014="Portfolio","Portfolio",IFERROR(INDEX(DATA_ASSET_CLASSIFICATION!$AB$8:$AB$13,MATCH($N2014,DATA_ASSET_CLASSIFICATION!$AA$8:$AA$13,0)),"Review"))</f>
        <v>Bucket 2 · Legacy</v>
      </c>
      <c r="P2014" s="350" t="str">
        <f>IF($B2014="Portfolio","Portfolio",IFERROR(INDEX(DATA_ASSET_CLASSIFICATION!$C$8:$C$24,MATCH($C2014,DATA_ASSET_CLASSIFICATION!$A$8:$A$24,0)),"Review"))</f>
        <v>Yes</v>
      </c>
      <c r="Q2014" s="350" t="str">
        <f t="shared" ca="1" si="63"/>
        <v>OK</v>
      </c>
    </row>
    <row r="2015" spans="1:17" ht="30">
      <c r="A2015" s="366" t="s">
        <v>3971</v>
      </c>
      <c r="B2015" s="366" t="s">
        <v>231</v>
      </c>
      <c r="C2015" s="348" t="str">
        <f>DATA_PROPERTY_MASTER!$A$10</f>
        <v>BLD_EA</v>
      </c>
      <c r="D2015" s="380">
        <f>'00_PORTFOLIO ROLLUP'!U$12</f>
        <v>2041</v>
      </c>
      <c r="E2015" s="366" t="s">
        <v>1683</v>
      </c>
      <c r="F2015" s="366" t="s">
        <v>21</v>
      </c>
      <c r="G2015" s="348" t="str">
        <f>"'"&amp;$C2015&amp;"'!$E$45:$Y$45"</f>
        <v>'BLD_EA'!$E$45:$Y$45</v>
      </c>
      <c r="H2015" s="381">
        <f ca="1">IF(IFERROR(INDEX(DATA_PROPERTY_MASTER!$E$5:$E$21,MATCH($C2015,DATA_PROPERTY_MASTER!$A$5:$A$21,0))="Yes",FALSE),IFERROR(INDEX(INDIRECT("'"&amp;$C2015&amp;"'!$E$45:$Y$45"),1,MATCH($D2015,INDIRECT("'"&amp;$C2015&amp;"'!$E$12:$Y$12"),0)),0),0)</f>
        <v>651529.24675092986</v>
      </c>
      <c r="I2015" s="366" t="s">
        <v>1685</v>
      </c>
      <c r="J2015" s="348" t="str">
        <f t="shared" ca="1" si="62"/>
        <v>OK</v>
      </c>
      <c r="K2015" s="366" t="s">
        <v>1694</v>
      </c>
      <c r="L2015" s="366" t="s">
        <v>2242</v>
      </c>
      <c r="M2015" s="350" t="str">
        <f>IF($B2015="Portfolio","Portfolio",IFERROR(INDEX(DATA_ASSET_CLASSIFICATION!$B$8:$B$24,MATCH($C2015,DATA_ASSET_CLASSIFICATION!$A$8:$A$24,0)),"Review"))</f>
        <v>Evergreen Apartments</v>
      </c>
      <c r="N2015" s="350" t="str">
        <f ca="1">IF($B2015="Portfolio","Portfolio",IFERROR(INDEX(DATA_ASSET_CLASSIFICATION!$U$8:$U$24,MATCH($C2015,DATA_ASSET_CLASSIFICATION!$A$8:$A$24,0)),"Review"))</f>
        <v>Refi Watch</v>
      </c>
      <c r="O2015" s="350" t="str">
        <f ca="1">IF($B2015="Portfolio","Portfolio",IFERROR(INDEX(DATA_ASSET_CLASSIFICATION!$AB$8:$AB$13,MATCH($N2015,DATA_ASSET_CLASSIFICATION!$AA$8:$AA$13,0)),"Review"))</f>
        <v>Bucket 2 · Legacy</v>
      </c>
      <c r="P2015" s="350" t="str">
        <f>IF($B2015="Portfolio","Portfolio",IFERROR(INDEX(DATA_ASSET_CLASSIFICATION!$C$8:$C$24,MATCH($C2015,DATA_ASSET_CLASSIFICATION!$A$8:$A$24,0)),"Review"))</f>
        <v>Yes</v>
      </c>
      <c r="Q2015" s="350" t="str">
        <f t="shared" ca="1" si="63"/>
        <v>OK</v>
      </c>
    </row>
    <row r="2016" spans="1:17" ht="30">
      <c r="A2016" s="366" t="s">
        <v>3972</v>
      </c>
      <c r="B2016" s="366" t="s">
        <v>231</v>
      </c>
      <c r="C2016" s="348" t="str">
        <f>DATA_PROPERTY_MASTER!$A$10</f>
        <v>BLD_EA</v>
      </c>
      <c r="D2016" s="380">
        <f>'00_PORTFOLIO ROLLUP'!U$12</f>
        <v>2041</v>
      </c>
      <c r="E2016" s="366" t="s">
        <v>23</v>
      </c>
      <c r="F2016" s="366" t="s">
        <v>23</v>
      </c>
      <c r="G2016" s="348" t="str">
        <f>"'"&amp;$C2016&amp;"'!$E$48:$Y$48"</f>
        <v>'BLD_EA'!$E$48:$Y$48</v>
      </c>
      <c r="H2016" s="381">
        <f ca="1">IF(IFERROR(INDEX(DATA_PROPERTY_MASTER!$E$5:$E$21,MATCH($C2016,DATA_PROPERTY_MASTER!$A$5:$A$21,0))="Yes",FALSE),IFERROR(INDEX(INDIRECT("'"&amp;$C2016&amp;"'!$E$48:$Y$48"),1,MATCH($D2016,INDIRECT("'"&amp;$C2016&amp;"'!$E$12:$Y$12"),0)),0),0)</f>
        <v>397585.07606343459</v>
      </c>
      <c r="I2016" s="366" t="s">
        <v>1690</v>
      </c>
      <c r="J2016" s="348" t="str">
        <f t="shared" ca="1" si="62"/>
        <v>OK</v>
      </c>
      <c r="K2016" s="366" t="s">
        <v>1706</v>
      </c>
      <c r="L2016" s="366" t="s">
        <v>2244</v>
      </c>
      <c r="M2016" s="350" t="str">
        <f>IF($B2016="Portfolio","Portfolio",IFERROR(INDEX(DATA_ASSET_CLASSIFICATION!$B$8:$B$24,MATCH($C2016,DATA_ASSET_CLASSIFICATION!$A$8:$A$24,0)),"Review"))</f>
        <v>Evergreen Apartments</v>
      </c>
      <c r="N2016" s="350" t="str">
        <f ca="1">IF($B2016="Portfolio","Portfolio",IFERROR(INDEX(DATA_ASSET_CLASSIFICATION!$U$8:$U$24,MATCH($C2016,DATA_ASSET_CLASSIFICATION!$A$8:$A$24,0)),"Review"))</f>
        <v>Refi Watch</v>
      </c>
      <c r="O2016" s="350" t="str">
        <f ca="1">IF($B2016="Portfolio","Portfolio",IFERROR(INDEX(DATA_ASSET_CLASSIFICATION!$AB$8:$AB$13,MATCH($N2016,DATA_ASSET_CLASSIFICATION!$AA$8:$AA$13,0)),"Review"))</f>
        <v>Bucket 2 · Legacy</v>
      </c>
      <c r="P2016" s="350" t="str">
        <f>IF($B2016="Portfolio","Portfolio",IFERROR(INDEX(DATA_ASSET_CLASSIFICATION!$C$8:$C$24,MATCH($C2016,DATA_ASSET_CLASSIFICATION!$A$8:$A$24,0)),"Review"))</f>
        <v>Yes</v>
      </c>
      <c r="Q2016" s="350" t="str">
        <f t="shared" ca="1" si="63"/>
        <v>OK</v>
      </c>
    </row>
    <row r="2017" spans="1:17" ht="30">
      <c r="A2017" s="366" t="s">
        <v>3973</v>
      </c>
      <c r="B2017" s="366" t="s">
        <v>231</v>
      </c>
      <c r="C2017" s="348" t="str">
        <f>DATA_PROPERTY_MASTER!$A$10</f>
        <v>BLD_EA</v>
      </c>
      <c r="D2017" s="380">
        <f>'00_PORTFOLIO ROLLUP'!U$12</f>
        <v>2041</v>
      </c>
      <c r="E2017" s="366" t="s">
        <v>1683</v>
      </c>
      <c r="F2017" s="366" t="s">
        <v>25</v>
      </c>
      <c r="G2017" s="348" t="str">
        <f>"'"&amp;$C2017&amp;"'!$E$52:$Y$52"</f>
        <v>'BLD_EA'!$E$52:$Y$52</v>
      </c>
      <c r="H2017" s="381">
        <f ca="1">IF(IFERROR(INDEX(DATA_PROPERTY_MASTER!$E$5:$E$21,MATCH($C2017,DATA_PROPERTY_MASTER!$A$5:$A$21,0))="Yes",FALSE),IFERROR(INDEX(INDIRECT("'"&amp;$C2017&amp;"'!$E$52:$Y$52"),1,MATCH($D2017,INDIRECT("'"&amp;$C2017&amp;"'!$E$12:$Y$12"),0)),0),0)</f>
        <v>266505.15988907439</v>
      </c>
      <c r="I2017" s="366" t="s">
        <v>1685</v>
      </c>
      <c r="J2017" s="348" t="str">
        <f t="shared" ca="1" si="62"/>
        <v>OK</v>
      </c>
      <c r="K2017" s="366" t="s">
        <v>1710</v>
      </c>
      <c r="L2017" s="366" t="s">
        <v>2246</v>
      </c>
      <c r="M2017" s="350" t="str">
        <f>IF($B2017="Portfolio","Portfolio",IFERROR(INDEX(DATA_ASSET_CLASSIFICATION!$B$8:$B$24,MATCH($C2017,DATA_ASSET_CLASSIFICATION!$A$8:$A$24,0)),"Review"))</f>
        <v>Evergreen Apartments</v>
      </c>
      <c r="N2017" s="350" t="str">
        <f ca="1">IF($B2017="Portfolio","Portfolio",IFERROR(INDEX(DATA_ASSET_CLASSIFICATION!$U$8:$U$24,MATCH($C2017,DATA_ASSET_CLASSIFICATION!$A$8:$A$24,0)),"Review"))</f>
        <v>Refi Watch</v>
      </c>
      <c r="O2017" s="350" t="str">
        <f ca="1">IF($B2017="Portfolio","Portfolio",IFERROR(INDEX(DATA_ASSET_CLASSIFICATION!$AB$8:$AB$13,MATCH($N2017,DATA_ASSET_CLASSIFICATION!$AA$8:$AA$13,0)),"Review"))</f>
        <v>Bucket 2 · Legacy</v>
      </c>
      <c r="P2017" s="350" t="str">
        <f>IF($B2017="Portfolio","Portfolio",IFERROR(INDEX(DATA_ASSET_CLASSIFICATION!$C$8:$C$24,MATCH($C2017,DATA_ASSET_CLASSIFICATION!$A$8:$A$24,0)),"Review"))</f>
        <v>Yes</v>
      </c>
      <c r="Q2017" s="350" t="str">
        <f t="shared" ca="1" si="63"/>
        <v>OK</v>
      </c>
    </row>
    <row r="2018" spans="1:17" ht="30">
      <c r="A2018" s="366" t="s">
        <v>3974</v>
      </c>
      <c r="B2018" s="366" t="s">
        <v>231</v>
      </c>
      <c r="C2018" s="348" t="str">
        <f>DATA_PROPERTY_MASTER!$A$10</f>
        <v>BLD_EA</v>
      </c>
      <c r="D2018" s="380">
        <f>'00_PORTFOLIO ROLLUP'!U$12</f>
        <v>2041</v>
      </c>
      <c r="E2018" s="366" t="s">
        <v>1683</v>
      </c>
      <c r="F2018" s="366" t="s">
        <v>27</v>
      </c>
      <c r="G2018" s="348" t="str">
        <f>"'"&amp;$C2018&amp;"'!$E$54:$Y$54"</f>
        <v>'BLD_EA'!$E$54:$Y$54</v>
      </c>
      <c r="H2018" s="381">
        <f ca="1">IF(IFERROR(INDEX(DATA_PROPERTY_MASTER!$E$5:$E$21,MATCH($C2018,DATA_PROPERTY_MASTER!$A$5:$A$21,0))="Yes",FALSE),IFERROR(INDEX(INDIRECT("'"&amp;$C2018&amp;"'!$E$54:$Y$54"),1,MATCH($D2018,INDIRECT("'"&amp;$C2018&amp;"'!$E$12:$Y$12"),0)),0),0)</f>
        <v>159903.09593344462</v>
      </c>
      <c r="I2018" s="366" t="s">
        <v>1690</v>
      </c>
      <c r="J2018" s="348" t="str">
        <f t="shared" ca="1" si="62"/>
        <v>OK</v>
      </c>
      <c r="K2018" s="366" t="s">
        <v>1714</v>
      </c>
      <c r="L2018" s="366" t="s">
        <v>2248</v>
      </c>
      <c r="M2018" s="350" t="str">
        <f>IF($B2018="Portfolio","Portfolio",IFERROR(INDEX(DATA_ASSET_CLASSIFICATION!$B$8:$B$24,MATCH($C2018,DATA_ASSET_CLASSIFICATION!$A$8:$A$24,0)),"Review"))</f>
        <v>Evergreen Apartments</v>
      </c>
      <c r="N2018" s="350" t="str">
        <f ca="1">IF($B2018="Portfolio","Portfolio",IFERROR(INDEX(DATA_ASSET_CLASSIFICATION!$U$8:$U$24,MATCH($C2018,DATA_ASSET_CLASSIFICATION!$A$8:$A$24,0)),"Review"))</f>
        <v>Refi Watch</v>
      </c>
      <c r="O2018" s="350" t="str">
        <f ca="1">IF($B2018="Portfolio","Portfolio",IFERROR(INDEX(DATA_ASSET_CLASSIFICATION!$AB$8:$AB$13,MATCH($N2018,DATA_ASSET_CLASSIFICATION!$AA$8:$AA$13,0)),"Review"))</f>
        <v>Bucket 2 · Legacy</v>
      </c>
      <c r="P2018" s="350" t="str">
        <f>IF($B2018="Portfolio","Portfolio",IFERROR(INDEX(DATA_ASSET_CLASSIFICATION!$C$8:$C$24,MATCH($C2018,DATA_ASSET_CLASSIFICATION!$A$8:$A$24,0)),"Review"))</f>
        <v>Yes</v>
      </c>
      <c r="Q2018" s="350" t="str">
        <f t="shared" ca="1" si="63"/>
        <v>OK</v>
      </c>
    </row>
    <row r="2019" spans="1:17" ht="30">
      <c r="A2019" s="366" t="s">
        <v>3975</v>
      </c>
      <c r="B2019" s="366" t="s">
        <v>231</v>
      </c>
      <c r="C2019" s="348" t="str">
        <f>DATA_PROPERTY_MASTER!$A$10</f>
        <v>BLD_EA</v>
      </c>
      <c r="D2019" s="380">
        <f>'00_PORTFOLIO ROLLUP'!U$12</f>
        <v>2041</v>
      </c>
      <c r="E2019" s="366" t="s">
        <v>1683</v>
      </c>
      <c r="F2019" s="366" t="s">
        <v>29</v>
      </c>
      <c r="G2019" s="348" t="str">
        <f>"'"&amp;$C2019&amp;"'!$E$56:$Y$56"</f>
        <v>'BLD_EA'!$E$56:$Y$56</v>
      </c>
      <c r="H2019" s="381">
        <f ca="1">IF(IFERROR(INDEX(DATA_PROPERTY_MASTER!$E$5:$E$21,MATCH($C2019,DATA_PROPERTY_MASTER!$A$5:$A$21,0))="Yes",FALSE),IFERROR(INDEX(INDIRECT("'"&amp;$C2019&amp;"'!$E$56:$Y$56"),1,MATCH($D2019,INDIRECT("'"&amp;$C2019&amp;"'!$E$12:$Y$12"),0)),0),0)</f>
        <v>106602.06395562977</v>
      </c>
      <c r="I2019" s="366" t="s">
        <v>1685</v>
      </c>
      <c r="J2019" s="348" t="str">
        <f t="shared" ca="1" si="62"/>
        <v>OK</v>
      </c>
      <c r="K2019" s="366" t="s">
        <v>1718</v>
      </c>
      <c r="L2019" s="366" t="s">
        <v>2250</v>
      </c>
      <c r="M2019" s="350" t="str">
        <f>IF($B2019="Portfolio","Portfolio",IFERROR(INDEX(DATA_ASSET_CLASSIFICATION!$B$8:$B$24,MATCH($C2019,DATA_ASSET_CLASSIFICATION!$A$8:$A$24,0)),"Review"))</f>
        <v>Evergreen Apartments</v>
      </c>
      <c r="N2019" s="350" t="str">
        <f ca="1">IF($B2019="Portfolio","Portfolio",IFERROR(INDEX(DATA_ASSET_CLASSIFICATION!$U$8:$U$24,MATCH($C2019,DATA_ASSET_CLASSIFICATION!$A$8:$A$24,0)),"Review"))</f>
        <v>Refi Watch</v>
      </c>
      <c r="O2019" s="350" t="str">
        <f ca="1">IF($B2019="Portfolio","Portfolio",IFERROR(INDEX(DATA_ASSET_CLASSIFICATION!$AB$8:$AB$13,MATCH($N2019,DATA_ASSET_CLASSIFICATION!$AA$8:$AA$13,0)),"Review"))</f>
        <v>Bucket 2 · Legacy</v>
      </c>
      <c r="P2019" s="350" t="str">
        <f>IF($B2019="Portfolio","Portfolio",IFERROR(INDEX(DATA_ASSET_CLASSIFICATION!$C$8:$C$24,MATCH($C2019,DATA_ASSET_CLASSIFICATION!$A$8:$A$24,0)),"Review"))</f>
        <v>Yes</v>
      </c>
      <c r="Q2019" s="350" t="str">
        <f t="shared" ca="1" si="63"/>
        <v>OK</v>
      </c>
    </row>
    <row r="2020" spans="1:17" ht="30">
      <c r="A2020" s="366" t="s">
        <v>3976</v>
      </c>
      <c r="B2020" s="366" t="s">
        <v>231</v>
      </c>
      <c r="C2020" s="348" t="str">
        <f>DATA_PROPERTY_MASTER!$A$10</f>
        <v>BLD_EA</v>
      </c>
      <c r="D2020" s="380">
        <f>'00_PORTFOLIO ROLLUP'!U$12</f>
        <v>2041</v>
      </c>
      <c r="E2020" s="366" t="s">
        <v>1721</v>
      </c>
      <c r="F2020" s="366" t="s">
        <v>31</v>
      </c>
      <c r="G2020" s="348" t="str">
        <f>"'"&amp;$C2020&amp;"'!$E$61:$Y$61"</f>
        <v>'BLD_EA'!$E$61:$Y$61</v>
      </c>
      <c r="H2020" s="381">
        <f ca="1">IF(IFERROR(INDEX(DATA_PROPERTY_MASTER!$E$5:$E$21,MATCH($C2020,DATA_PROPERTY_MASTER!$A$5:$A$21,0))="Yes",FALSE),IFERROR(INDEX(INDIRECT("'"&amp;$C2020&amp;"'!$E$61:$Y$61"),1,MATCH($D2020,INDIRECT("'"&amp;$C2020&amp;"'!$E$12:$Y$12"),0)),0),0)</f>
        <v>0</v>
      </c>
      <c r="I2020" s="366" t="s">
        <v>1690</v>
      </c>
      <c r="J2020" s="348" t="str">
        <f t="shared" ca="1" si="62"/>
        <v>OK</v>
      </c>
      <c r="K2020" s="366" t="s">
        <v>1723</v>
      </c>
      <c r="L2020" s="366" t="s">
        <v>2252</v>
      </c>
      <c r="M2020" s="350" t="str">
        <f>IF($B2020="Portfolio","Portfolio",IFERROR(INDEX(DATA_ASSET_CLASSIFICATION!$B$8:$B$24,MATCH($C2020,DATA_ASSET_CLASSIFICATION!$A$8:$A$24,0)),"Review"))</f>
        <v>Evergreen Apartments</v>
      </c>
      <c r="N2020" s="350" t="str">
        <f ca="1">IF($B2020="Portfolio","Portfolio",IFERROR(INDEX(DATA_ASSET_CLASSIFICATION!$U$8:$U$24,MATCH($C2020,DATA_ASSET_CLASSIFICATION!$A$8:$A$24,0)),"Review"))</f>
        <v>Refi Watch</v>
      </c>
      <c r="O2020" s="350" t="str">
        <f ca="1">IF($B2020="Portfolio","Portfolio",IFERROR(INDEX(DATA_ASSET_CLASSIFICATION!$AB$8:$AB$13,MATCH($N2020,DATA_ASSET_CLASSIFICATION!$AA$8:$AA$13,0)),"Review"))</f>
        <v>Bucket 2 · Legacy</v>
      </c>
      <c r="P2020" s="350" t="str">
        <f>IF($B2020="Portfolio","Portfolio",IFERROR(INDEX(DATA_ASSET_CLASSIFICATION!$C$8:$C$24,MATCH($C2020,DATA_ASSET_CLASSIFICATION!$A$8:$A$24,0)),"Review"))</f>
        <v>Yes</v>
      </c>
      <c r="Q2020" s="350" t="str">
        <f t="shared" ca="1" si="63"/>
        <v>OK</v>
      </c>
    </row>
    <row r="2021" spans="1:17" ht="30">
      <c r="A2021" s="366" t="s">
        <v>3977</v>
      </c>
      <c r="B2021" s="366" t="s">
        <v>231</v>
      </c>
      <c r="C2021" s="348" t="str">
        <f>DATA_PROPERTY_MASTER!$A$10</f>
        <v>BLD_EA</v>
      </c>
      <c r="D2021" s="380">
        <f>'00_PORTFOLIO ROLLUP'!U$12</f>
        <v>2041</v>
      </c>
      <c r="E2021" s="366" t="s">
        <v>1721</v>
      </c>
      <c r="F2021" s="366" t="s">
        <v>33</v>
      </c>
      <c r="G2021" s="348" t="str">
        <f>"'"&amp;$C2021&amp;"'!$E$62:$Y$62"</f>
        <v>'BLD_EA'!$E$62:$Y$62</v>
      </c>
      <c r="H2021" s="381">
        <f ca="1">IF(IFERROR(INDEX(DATA_PROPERTY_MASTER!$E$5:$E$21,MATCH($C2021,DATA_PROPERTY_MASTER!$A$5:$A$21,0))="Yes",FALSE),IFERROR(INDEX(INDIRECT("'"&amp;$C2021&amp;"'!$E$62:$Y$62"),1,MATCH($D2021,INDIRECT("'"&amp;$C2021&amp;"'!$E$12:$Y$12"),0)),0),0)</f>
        <v>0</v>
      </c>
      <c r="I2021" s="366" t="s">
        <v>1685</v>
      </c>
      <c r="J2021" s="348" t="str">
        <f t="shared" ca="1" si="62"/>
        <v>OK</v>
      </c>
      <c r="K2021" s="366" t="s">
        <v>1727</v>
      </c>
      <c r="L2021" s="366" t="s">
        <v>2254</v>
      </c>
      <c r="M2021" s="350" t="str">
        <f>IF($B2021="Portfolio","Portfolio",IFERROR(INDEX(DATA_ASSET_CLASSIFICATION!$B$8:$B$24,MATCH($C2021,DATA_ASSET_CLASSIFICATION!$A$8:$A$24,0)),"Review"))</f>
        <v>Evergreen Apartments</v>
      </c>
      <c r="N2021" s="350" t="str">
        <f ca="1">IF($B2021="Portfolio","Portfolio",IFERROR(INDEX(DATA_ASSET_CLASSIFICATION!$U$8:$U$24,MATCH($C2021,DATA_ASSET_CLASSIFICATION!$A$8:$A$24,0)),"Review"))</f>
        <v>Refi Watch</v>
      </c>
      <c r="O2021" s="350" t="str">
        <f ca="1">IF($B2021="Portfolio","Portfolio",IFERROR(INDEX(DATA_ASSET_CLASSIFICATION!$AB$8:$AB$13,MATCH($N2021,DATA_ASSET_CLASSIFICATION!$AA$8:$AA$13,0)),"Review"))</f>
        <v>Bucket 2 · Legacy</v>
      </c>
      <c r="P2021" s="350" t="str">
        <f>IF($B2021="Portfolio","Portfolio",IFERROR(INDEX(DATA_ASSET_CLASSIFICATION!$C$8:$C$24,MATCH($C2021,DATA_ASSET_CLASSIFICATION!$A$8:$A$24,0)),"Review"))</f>
        <v>Yes</v>
      </c>
      <c r="Q2021" s="350" t="str">
        <f t="shared" ca="1" si="63"/>
        <v>OK</v>
      </c>
    </row>
    <row r="2022" spans="1:17" ht="30">
      <c r="A2022" s="366" t="s">
        <v>3978</v>
      </c>
      <c r="B2022" s="366" t="s">
        <v>231</v>
      </c>
      <c r="C2022" s="348" t="str">
        <f>DATA_PROPERTY_MASTER!$A$10</f>
        <v>BLD_EA</v>
      </c>
      <c r="D2022" s="380">
        <f>'00_PORTFOLIO ROLLUP'!U$12</f>
        <v>2041</v>
      </c>
      <c r="E2022" s="366" t="s">
        <v>1721</v>
      </c>
      <c r="F2022" s="366" t="s">
        <v>35</v>
      </c>
      <c r="G2022" s="348" t="str">
        <f>"'"&amp;$C2022&amp;"'!$E$63:$Y$63"</f>
        <v>'BLD_EA'!$E$63:$Y$63</v>
      </c>
      <c r="H2022" s="381">
        <f ca="1">IF(IFERROR(INDEX(DATA_PROPERTY_MASTER!$E$5:$E$21,MATCH($C2022,DATA_PROPERTY_MASTER!$A$5:$A$21,0))="Yes",FALSE),IFERROR(INDEX(INDIRECT("'"&amp;$C2022&amp;"'!$E$63:$Y$63"),1,MATCH($D2022,INDIRECT("'"&amp;$C2022&amp;"'!$E$12:$Y$12"),0)),0),0)</f>
        <v>0</v>
      </c>
      <c r="I2022" s="366" t="s">
        <v>1731</v>
      </c>
      <c r="J2022" s="348" t="str">
        <f t="shared" ca="1" si="62"/>
        <v>OK</v>
      </c>
      <c r="K2022" s="366" t="s">
        <v>1732</v>
      </c>
      <c r="L2022" s="366" t="s">
        <v>2256</v>
      </c>
      <c r="M2022" s="350" t="str">
        <f>IF($B2022="Portfolio","Portfolio",IFERROR(INDEX(DATA_ASSET_CLASSIFICATION!$B$8:$B$24,MATCH($C2022,DATA_ASSET_CLASSIFICATION!$A$8:$A$24,0)),"Review"))</f>
        <v>Evergreen Apartments</v>
      </c>
      <c r="N2022" s="350" t="str">
        <f ca="1">IF($B2022="Portfolio","Portfolio",IFERROR(INDEX(DATA_ASSET_CLASSIFICATION!$U$8:$U$24,MATCH($C2022,DATA_ASSET_CLASSIFICATION!$A$8:$A$24,0)),"Review"))</f>
        <v>Refi Watch</v>
      </c>
      <c r="O2022" s="350" t="str">
        <f ca="1">IF($B2022="Portfolio","Portfolio",IFERROR(INDEX(DATA_ASSET_CLASSIFICATION!$AB$8:$AB$13,MATCH($N2022,DATA_ASSET_CLASSIFICATION!$AA$8:$AA$13,0)),"Review"))</f>
        <v>Bucket 2 · Legacy</v>
      </c>
      <c r="P2022" s="350" t="str">
        <f>IF($B2022="Portfolio","Portfolio",IFERROR(INDEX(DATA_ASSET_CLASSIFICATION!$C$8:$C$24,MATCH($C2022,DATA_ASSET_CLASSIFICATION!$A$8:$A$24,0)),"Review"))</f>
        <v>Yes</v>
      </c>
      <c r="Q2022" s="350" t="str">
        <f t="shared" ca="1" si="63"/>
        <v>OK</v>
      </c>
    </row>
    <row r="2023" spans="1:17" ht="30">
      <c r="A2023" s="366" t="s">
        <v>3979</v>
      </c>
      <c r="B2023" s="366" t="s">
        <v>231</v>
      </c>
      <c r="C2023" s="348" t="str">
        <f>DATA_PROPERTY_MASTER!$A$10</f>
        <v>BLD_EA</v>
      </c>
      <c r="D2023" s="380">
        <f>'00_PORTFOLIO ROLLUP'!U$12</f>
        <v>2041</v>
      </c>
      <c r="E2023" s="366" t="s">
        <v>1721</v>
      </c>
      <c r="F2023" s="366" t="s">
        <v>37</v>
      </c>
      <c r="G2023" s="348" t="str">
        <f>"'"&amp;$C2023&amp;"'!$E$63:$Y$63"</f>
        <v>'BLD_EA'!$E$63:$Y$63</v>
      </c>
      <c r="H2023" s="381">
        <f ca="1">IF(IFERROR(INDEX(DATA_PROPERTY_MASTER!$E$5:$E$21,MATCH($C2023,DATA_PROPERTY_MASTER!$A$5:$A$21,0))="Yes",FALSE),MAX(IFERROR(INDEX(INDIRECT("'"&amp;$C2023&amp;"'!$E$63:$Y$63"),1,MATCH($D2023,INDIRECT("'"&amp;$C2023&amp;"'!$E$12:$Y$12"),0)),0),0),0)</f>
        <v>0</v>
      </c>
      <c r="I2023" s="366" t="s">
        <v>1685</v>
      </c>
      <c r="J2023" s="348" t="str">
        <f t="shared" ca="1" si="62"/>
        <v>OK</v>
      </c>
      <c r="K2023" s="366" t="s">
        <v>1735</v>
      </c>
      <c r="L2023" s="366" t="s">
        <v>2258</v>
      </c>
      <c r="M2023" s="350" t="str">
        <f>IF($B2023="Portfolio","Portfolio",IFERROR(INDEX(DATA_ASSET_CLASSIFICATION!$B$8:$B$24,MATCH($C2023,DATA_ASSET_CLASSIFICATION!$A$8:$A$24,0)),"Review"))</f>
        <v>Evergreen Apartments</v>
      </c>
      <c r="N2023" s="350" t="str">
        <f ca="1">IF($B2023="Portfolio","Portfolio",IFERROR(INDEX(DATA_ASSET_CLASSIFICATION!$U$8:$U$24,MATCH($C2023,DATA_ASSET_CLASSIFICATION!$A$8:$A$24,0)),"Review"))</f>
        <v>Refi Watch</v>
      </c>
      <c r="O2023" s="350" t="str">
        <f ca="1">IF($B2023="Portfolio","Portfolio",IFERROR(INDEX(DATA_ASSET_CLASSIFICATION!$AB$8:$AB$13,MATCH($N2023,DATA_ASSET_CLASSIFICATION!$AA$8:$AA$13,0)),"Review"))</f>
        <v>Bucket 2 · Legacy</v>
      </c>
      <c r="P2023" s="350" t="str">
        <f>IF($B2023="Portfolio","Portfolio",IFERROR(INDEX(DATA_ASSET_CLASSIFICATION!$C$8:$C$24,MATCH($C2023,DATA_ASSET_CLASSIFICATION!$A$8:$A$24,0)),"Review"))</f>
        <v>Yes</v>
      </c>
      <c r="Q2023" s="350" t="str">
        <f t="shared" ca="1" si="63"/>
        <v>OK</v>
      </c>
    </row>
    <row r="2024" spans="1:17" ht="30">
      <c r="A2024" s="366" t="s">
        <v>3980</v>
      </c>
      <c r="B2024" s="366" t="s">
        <v>231</v>
      </c>
      <c r="C2024" s="348" t="str">
        <f>DATA_PROPERTY_MASTER!$A$10</f>
        <v>BLD_EA</v>
      </c>
      <c r="D2024" s="380">
        <f>'00_PORTFOLIO ROLLUP'!U$12</f>
        <v>2041</v>
      </c>
      <c r="E2024" s="366" t="s">
        <v>1721</v>
      </c>
      <c r="F2024" s="366" t="s">
        <v>39</v>
      </c>
      <c r="G2024" s="348" t="str">
        <f>"'"&amp;$C2024&amp;"'!$E$63:$Y$63"</f>
        <v>'BLD_EA'!$E$63:$Y$63</v>
      </c>
      <c r="H2024" s="381">
        <f ca="1">IF(IFERROR(INDEX(DATA_PROPERTY_MASTER!$E$5:$E$21,MATCH($C2024,DATA_PROPERTY_MASTER!$A$5:$A$21,0))="Yes",FALSE),MAX(-IFERROR(INDEX(INDIRECT("'"&amp;$C2024&amp;"'!$E$63:$Y$63"),1,MATCH($D2024,INDIRECT("'"&amp;$C2024&amp;"'!$E$12:$Y$12"),0)),0),0),0)</f>
        <v>0</v>
      </c>
      <c r="I2024" s="366" t="s">
        <v>1690</v>
      </c>
      <c r="J2024" s="348" t="str">
        <f t="shared" ca="1" si="62"/>
        <v>OK</v>
      </c>
      <c r="K2024" s="366" t="s">
        <v>1738</v>
      </c>
      <c r="L2024" s="366" t="s">
        <v>2260</v>
      </c>
      <c r="M2024" s="350" t="str">
        <f>IF($B2024="Portfolio","Portfolio",IFERROR(INDEX(DATA_ASSET_CLASSIFICATION!$B$8:$B$24,MATCH($C2024,DATA_ASSET_CLASSIFICATION!$A$8:$A$24,0)),"Review"))</f>
        <v>Evergreen Apartments</v>
      </c>
      <c r="N2024" s="350" t="str">
        <f ca="1">IF($B2024="Portfolio","Portfolio",IFERROR(INDEX(DATA_ASSET_CLASSIFICATION!$U$8:$U$24,MATCH($C2024,DATA_ASSET_CLASSIFICATION!$A$8:$A$24,0)),"Review"))</f>
        <v>Refi Watch</v>
      </c>
      <c r="O2024" s="350" t="str">
        <f ca="1">IF($B2024="Portfolio","Portfolio",IFERROR(INDEX(DATA_ASSET_CLASSIFICATION!$AB$8:$AB$13,MATCH($N2024,DATA_ASSET_CLASSIFICATION!$AA$8:$AA$13,0)),"Review"))</f>
        <v>Bucket 2 · Legacy</v>
      </c>
      <c r="P2024" s="350" t="str">
        <f>IF($B2024="Portfolio","Portfolio",IFERROR(INDEX(DATA_ASSET_CLASSIFICATION!$C$8:$C$24,MATCH($C2024,DATA_ASSET_CLASSIFICATION!$A$8:$A$24,0)),"Review"))</f>
        <v>Yes</v>
      </c>
      <c r="Q2024" s="350" t="str">
        <f t="shared" ca="1" si="63"/>
        <v>OK</v>
      </c>
    </row>
    <row r="2025" spans="1:17" ht="30">
      <c r="A2025" s="366" t="s">
        <v>3981</v>
      </c>
      <c r="B2025" s="366" t="s">
        <v>231</v>
      </c>
      <c r="C2025" s="348" t="str">
        <f>DATA_PROPERTY_MASTER!$A$10</f>
        <v>BLD_EA</v>
      </c>
      <c r="D2025" s="380">
        <f>'00_PORTFOLIO ROLLUP'!U$12</f>
        <v>2041</v>
      </c>
      <c r="E2025" s="366" t="s">
        <v>1741</v>
      </c>
      <c r="F2025" s="366" t="s">
        <v>41</v>
      </c>
      <c r="G2025" s="348" t="str">
        <f>"'"&amp;$C2025&amp;"'!rows 56 + positive row 63"</f>
        <v>'BLD_EA'!rows 56 + positive row 63</v>
      </c>
      <c r="H2025" s="381">
        <f ca="1">IF(IFERROR(INDEX(DATA_PROPERTY_MASTER!$E$5:$E$21,MATCH($C2025,DATA_PROPERTY_MASTER!$A$5:$A$21,0))="Yes",FALSE),IFERROR(INDEX(INDIRECT("'"&amp;$C2025&amp;"'!$E$56:$Y$56"),1,MATCH($D2025,INDIRECT("'"&amp;$C2025&amp;"'!$E$12:$Y$12"),0)),0)+MAX(IFERROR(INDEX(INDIRECT("'"&amp;$C2025&amp;"'!$E$63:$Y$63"),1,MATCH($D2025,INDIRECT("'"&amp;$C2025&amp;"'!$E$12:$Y$12"),0)),0),0),0)</f>
        <v>106602.06395562977</v>
      </c>
      <c r="I2025" s="366" t="s">
        <v>1685</v>
      </c>
      <c r="J2025" s="348" t="str">
        <f t="shared" ca="1" si="62"/>
        <v>OK</v>
      </c>
      <c r="K2025" s="366" t="s">
        <v>1742</v>
      </c>
      <c r="L2025" s="366" t="s">
        <v>2262</v>
      </c>
      <c r="M2025" s="350" t="str">
        <f>IF($B2025="Portfolio","Portfolio",IFERROR(INDEX(DATA_ASSET_CLASSIFICATION!$B$8:$B$24,MATCH($C2025,DATA_ASSET_CLASSIFICATION!$A$8:$A$24,0)),"Review"))</f>
        <v>Evergreen Apartments</v>
      </c>
      <c r="N2025" s="350" t="str">
        <f ca="1">IF($B2025="Portfolio","Portfolio",IFERROR(INDEX(DATA_ASSET_CLASSIFICATION!$U$8:$U$24,MATCH($C2025,DATA_ASSET_CLASSIFICATION!$A$8:$A$24,0)),"Review"))</f>
        <v>Refi Watch</v>
      </c>
      <c r="O2025" s="350" t="str">
        <f ca="1">IF($B2025="Portfolio","Portfolio",IFERROR(INDEX(DATA_ASSET_CLASSIFICATION!$AB$8:$AB$13,MATCH($N2025,DATA_ASSET_CLASSIFICATION!$AA$8:$AA$13,0)),"Review"))</f>
        <v>Bucket 2 · Legacy</v>
      </c>
      <c r="P2025" s="350" t="str">
        <f>IF($B2025="Portfolio","Portfolio",IFERROR(INDEX(DATA_ASSET_CLASSIFICATION!$C$8:$C$24,MATCH($C2025,DATA_ASSET_CLASSIFICATION!$A$8:$A$24,0)),"Review"))</f>
        <v>Yes</v>
      </c>
      <c r="Q2025" s="350" t="str">
        <f t="shared" ca="1" si="63"/>
        <v>OK</v>
      </c>
    </row>
    <row r="2026" spans="1:17" ht="30">
      <c r="A2026" s="366" t="s">
        <v>3982</v>
      </c>
      <c r="B2026" s="366" t="s">
        <v>231</v>
      </c>
      <c r="C2026" s="348" t="str">
        <f>DATA_PROPERTY_MASTER!$A$10</f>
        <v>BLD_EA</v>
      </c>
      <c r="D2026" s="380">
        <f>'00_PORTFOLIO ROLLUP'!U$12</f>
        <v>2041</v>
      </c>
      <c r="E2026" s="366" t="s">
        <v>1741</v>
      </c>
      <c r="F2026" s="366" t="s">
        <v>43</v>
      </c>
      <c r="G2026" s="348" t="str">
        <f>"'"&amp;$C2026&amp;"'!$E$68:$Y$68"</f>
        <v>'BLD_EA'!$E$68:$Y$68</v>
      </c>
      <c r="H2026" s="381">
        <f ca="1">IF(IFERROR(INDEX(DATA_PROPERTY_MASTER!$E$5:$E$21,MATCH($C2026,DATA_PROPERTY_MASTER!$A$5:$A$21,0))="Yes",FALSE),IFERROR(INDEX(INDIRECT("'"&amp;$C2026&amp;"'!$E$68:$Y$68"),1,MATCH($D2026,INDIRECT("'"&amp;$C2026&amp;"'!$E$12:$Y$12"),0)),0),0)</f>
        <v>106602.06395562977</v>
      </c>
      <c r="I2026" s="366" t="s">
        <v>1731</v>
      </c>
      <c r="J2026" s="348" t="str">
        <f t="shared" ca="1" si="62"/>
        <v>OK</v>
      </c>
      <c r="K2026" s="366" t="s">
        <v>1746</v>
      </c>
      <c r="L2026" s="366" t="s">
        <v>2264</v>
      </c>
      <c r="M2026" s="350" t="str">
        <f>IF($B2026="Portfolio","Portfolio",IFERROR(INDEX(DATA_ASSET_CLASSIFICATION!$B$8:$B$24,MATCH($C2026,DATA_ASSET_CLASSIFICATION!$A$8:$A$24,0)),"Review"))</f>
        <v>Evergreen Apartments</v>
      </c>
      <c r="N2026" s="350" t="str">
        <f ca="1">IF($B2026="Portfolio","Portfolio",IFERROR(INDEX(DATA_ASSET_CLASSIFICATION!$U$8:$U$24,MATCH($C2026,DATA_ASSET_CLASSIFICATION!$A$8:$A$24,0)),"Review"))</f>
        <v>Refi Watch</v>
      </c>
      <c r="O2026" s="350" t="str">
        <f ca="1">IF($B2026="Portfolio","Portfolio",IFERROR(INDEX(DATA_ASSET_CLASSIFICATION!$AB$8:$AB$13,MATCH($N2026,DATA_ASSET_CLASSIFICATION!$AA$8:$AA$13,0)),"Review"))</f>
        <v>Bucket 2 · Legacy</v>
      </c>
      <c r="P2026" s="350" t="str">
        <f>IF($B2026="Portfolio","Portfolio",IFERROR(INDEX(DATA_ASSET_CLASSIFICATION!$C$8:$C$24,MATCH($C2026,DATA_ASSET_CLASSIFICATION!$A$8:$A$24,0)),"Review"))</f>
        <v>Yes</v>
      </c>
      <c r="Q2026" s="350" t="str">
        <f t="shared" ca="1" si="63"/>
        <v>OK</v>
      </c>
    </row>
    <row r="2027" spans="1:17" ht="30">
      <c r="A2027" s="366" t="s">
        <v>3983</v>
      </c>
      <c r="B2027" s="366" t="s">
        <v>231</v>
      </c>
      <c r="C2027" s="348" t="str">
        <f>DATA_PROPERTY_MASTER!$A$10</f>
        <v>BLD_EA</v>
      </c>
      <c r="D2027" s="380">
        <f>'00_PORTFOLIO ROLLUP'!U$12</f>
        <v>2041</v>
      </c>
      <c r="E2027" s="366" t="s">
        <v>1741</v>
      </c>
      <c r="F2027" s="366" t="s">
        <v>1749</v>
      </c>
      <c r="G2027" s="348" t="str">
        <f>"'"&amp;$C2027&amp;"'!rows 56, 63, 68"</f>
        <v>'BLD_EA'!rows 56, 63, 68</v>
      </c>
      <c r="H2027" s="381">
        <f ca="1">IF(IFERROR(INDEX(DATA_PROPERTY_MASTER!$E$5:$E$21,MATCH($C2027,DATA_PROPERTY_MASTER!$A$5:$A$21,0))="Yes",FALSE),(IFERROR(INDEX(INDIRECT("'"&amp;$C2027&amp;"'!$E$56:$Y$56"),1,MATCH($D2027,INDIRECT("'"&amp;$C2027&amp;"'!$E$12:$Y$12"),0)),0)+MAX(IFERROR(INDEX(INDIRECT("'"&amp;$C2027&amp;"'!$E$63:$Y$63"),1,MATCH($D2027,INDIRECT("'"&amp;$C2027&amp;"'!$E$12:$Y$12"),0)),0),0))-(IFERROR(INDEX(INDIRECT("'"&amp;$C2027&amp;"'!$E$68:$Y$68"),1,MATCH($D2027,INDIRECT("'"&amp;$C2027&amp;"'!$E$12:$Y$12"),0)),0)),0)</f>
        <v>0</v>
      </c>
      <c r="I2027" s="366" t="s">
        <v>1750</v>
      </c>
      <c r="J2027" s="348" t="str">
        <f t="shared" ca="1" si="62"/>
        <v>OK</v>
      </c>
      <c r="K2027" s="366" t="s">
        <v>1751</v>
      </c>
      <c r="L2027" s="366" t="s">
        <v>2266</v>
      </c>
      <c r="M2027" s="350" t="str">
        <f>IF($B2027="Portfolio","Portfolio",IFERROR(INDEX(DATA_ASSET_CLASSIFICATION!$B$8:$B$24,MATCH($C2027,DATA_ASSET_CLASSIFICATION!$A$8:$A$24,0)),"Review"))</f>
        <v>Evergreen Apartments</v>
      </c>
      <c r="N2027" s="350" t="str">
        <f ca="1">IF($B2027="Portfolio","Portfolio",IFERROR(INDEX(DATA_ASSET_CLASSIFICATION!$U$8:$U$24,MATCH($C2027,DATA_ASSET_CLASSIFICATION!$A$8:$A$24,0)),"Review"))</f>
        <v>Refi Watch</v>
      </c>
      <c r="O2027" s="350" t="str">
        <f ca="1">IF($B2027="Portfolio","Portfolio",IFERROR(INDEX(DATA_ASSET_CLASSIFICATION!$AB$8:$AB$13,MATCH($N2027,DATA_ASSET_CLASSIFICATION!$AA$8:$AA$13,0)),"Review"))</f>
        <v>Bucket 2 · Legacy</v>
      </c>
      <c r="P2027" s="350" t="str">
        <f>IF($B2027="Portfolio","Portfolio",IFERROR(INDEX(DATA_ASSET_CLASSIFICATION!$C$8:$C$24,MATCH($C2027,DATA_ASSET_CLASSIFICATION!$A$8:$A$24,0)),"Review"))</f>
        <v>Yes</v>
      </c>
      <c r="Q2027" s="350" t="str">
        <f t="shared" ca="1" si="63"/>
        <v>OK</v>
      </c>
    </row>
    <row r="2028" spans="1:17">
      <c r="A2028" s="366" t="s">
        <v>3984</v>
      </c>
      <c r="B2028" s="366" t="s">
        <v>231</v>
      </c>
      <c r="C2028" s="348" t="str">
        <f>DATA_PROPERTY_MASTER!$A$11</f>
        <v>BLD_EE</v>
      </c>
      <c r="D2028" s="380">
        <f>'00_PORTFOLIO ROLLUP'!E$12</f>
        <v>2025</v>
      </c>
      <c r="E2028" s="366" t="s">
        <v>1683</v>
      </c>
      <c r="F2028" s="366" t="s">
        <v>341</v>
      </c>
      <c r="G2028" s="348" t="str">
        <f>"'"&amp;$C2028&amp;"'!$E$24:$Y$24"</f>
        <v>'BLD_EE'!$E$24:$Y$24</v>
      </c>
      <c r="H2028" s="381">
        <f ca="1">IF(IFERROR(INDEX(DATA_PROPERTY_MASTER!$E$5:$E$21,MATCH($C2028,DATA_PROPERTY_MASTER!$A$5:$A$21,0))="Yes",FALSE),IFERROR(INDEX(INDIRECT("'"&amp;$C2028&amp;"'!$E$24:$Y$24"),1,MATCH($D2028,INDIRECT("'"&amp;$C2028&amp;"'!$E$12:$Y$12"),0)),0),0)</f>
        <v>424516.00800000003</v>
      </c>
      <c r="I2028" s="366" t="s">
        <v>1685</v>
      </c>
      <c r="J2028" s="348" t="str">
        <f t="shared" ca="1" si="62"/>
        <v>OK</v>
      </c>
      <c r="K2028" s="366" t="s">
        <v>1686</v>
      </c>
      <c r="L2028" s="366" t="s">
        <v>2234</v>
      </c>
      <c r="M2028" s="350" t="str">
        <f>IF($B2028="Portfolio","Portfolio",IFERROR(INDEX(DATA_ASSET_CLASSIFICATION!$B$8:$B$24,MATCH($C2028,DATA_ASSET_CLASSIFICATION!$A$8:$A$24,0)),"Review"))</f>
        <v>Evelyn Estates</v>
      </c>
      <c r="N2028" s="350" t="str">
        <f ca="1">IF($B2028="Portfolio","Portfolio",IFERROR(INDEX(DATA_ASSET_CLASSIFICATION!$U$8:$U$24,MATCH($C2028,DATA_ASSET_CLASSIFICATION!$A$8:$A$24,0)),"Review"))</f>
        <v>Refi Watch</v>
      </c>
      <c r="O2028" s="350" t="str">
        <f ca="1">IF($B2028="Portfolio","Portfolio",IFERROR(INDEX(DATA_ASSET_CLASSIFICATION!$AB$8:$AB$13,MATCH($N2028,DATA_ASSET_CLASSIFICATION!$AA$8:$AA$13,0)),"Review"))</f>
        <v>Bucket 2 · Legacy</v>
      </c>
      <c r="P2028" s="350" t="str">
        <f>IF($B2028="Portfolio","Portfolio",IFERROR(INDEX(DATA_ASSET_CLASSIFICATION!$C$8:$C$24,MATCH($C2028,DATA_ASSET_CLASSIFICATION!$A$8:$A$24,0)),"Review"))</f>
        <v>Yes</v>
      </c>
      <c r="Q2028" s="350" t="str">
        <f t="shared" ca="1" si="63"/>
        <v>OK</v>
      </c>
    </row>
    <row r="2029" spans="1:17">
      <c r="A2029" s="366" t="s">
        <v>3985</v>
      </c>
      <c r="B2029" s="366" t="s">
        <v>231</v>
      </c>
      <c r="C2029" s="348" t="str">
        <f>DATA_PROPERTY_MASTER!$A$11</f>
        <v>BLD_EE</v>
      </c>
      <c r="D2029" s="380">
        <f>'00_PORTFOLIO ROLLUP'!E$12</f>
        <v>2025</v>
      </c>
      <c r="E2029" s="366" t="s">
        <v>1683</v>
      </c>
      <c r="F2029" s="366" t="s">
        <v>355</v>
      </c>
      <c r="G2029" s="348" t="str">
        <f>"'"&amp;$C2029&amp;"'!$E$39:$Y$39"</f>
        <v>'BLD_EE'!$E$39:$Y$39</v>
      </c>
      <c r="H2029" s="381">
        <f ca="1">IF(IFERROR(INDEX(DATA_PROPERTY_MASTER!$E$5:$E$21,MATCH($C2029,DATA_PROPERTY_MASTER!$A$5:$A$21,0))="Yes",FALSE),IFERROR(INDEX(INDIRECT("'"&amp;$C2029&amp;"'!$E$39:$Y$39"),1,MATCH($D2029,INDIRECT("'"&amp;$C2029&amp;"'!$E$12:$Y$12"),0)),0),0)</f>
        <v>216979</v>
      </c>
      <c r="I2029" s="366" t="s">
        <v>1690</v>
      </c>
      <c r="J2029" s="348" t="str">
        <f t="shared" ca="1" si="62"/>
        <v>OK</v>
      </c>
      <c r="K2029" s="366" t="s">
        <v>1686</v>
      </c>
      <c r="L2029" s="366" t="s">
        <v>2236</v>
      </c>
      <c r="M2029" s="350" t="str">
        <f>IF($B2029="Portfolio","Portfolio",IFERROR(INDEX(DATA_ASSET_CLASSIFICATION!$B$8:$B$24,MATCH($C2029,DATA_ASSET_CLASSIFICATION!$A$8:$A$24,0)),"Review"))</f>
        <v>Evelyn Estates</v>
      </c>
      <c r="N2029" s="350" t="str">
        <f ca="1">IF($B2029="Portfolio","Portfolio",IFERROR(INDEX(DATA_ASSET_CLASSIFICATION!$U$8:$U$24,MATCH($C2029,DATA_ASSET_CLASSIFICATION!$A$8:$A$24,0)),"Review"))</f>
        <v>Refi Watch</v>
      </c>
      <c r="O2029" s="350" t="str">
        <f ca="1">IF($B2029="Portfolio","Portfolio",IFERROR(INDEX(DATA_ASSET_CLASSIFICATION!$AB$8:$AB$13,MATCH($N2029,DATA_ASSET_CLASSIFICATION!$AA$8:$AA$13,0)),"Review"))</f>
        <v>Bucket 2 · Legacy</v>
      </c>
      <c r="P2029" s="350" t="str">
        <f>IF($B2029="Portfolio","Portfolio",IFERROR(INDEX(DATA_ASSET_CLASSIFICATION!$C$8:$C$24,MATCH($C2029,DATA_ASSET_CLASSIFICATION!$A$8:$A$24,0)),"Review"))</f>
        <v>Yes</v>
      </c>
      <c r="Q2029" s="350" t="str">
        <f t="shared" ca="1" si="63"/>
        <v>OK</v>
      </c>
    </row>
    <row r="2030" spans="1:17">
      <c r="A2030" s="366" t="s">
        <v>3986</v>
      </c>
      <c r="B2030" s="366" t="s">
        <v>231</v>
      </c>
      <c r="C2030" s="348" t="str">
        <f>DATA_PROPERTY_MASTER!$A$11</f>
        <v>BLD_EE</v>
      </c>
      <c r="D2030" s="380">
        <f>'00_PORTFOLIO ROLLUP'!E$12</f>
        <v>2025</v>
      </c>
      <c r="E2030" s="366" t="s">
        <v>1683</v>
      </c>
      <c r="F2030" s="366" t="s">
        <v>19</v>
      </c>
      <c r="G2030" s="348" t="str">
        <f>"'"&amp;$C2030&amp;"'!$E$41:$Y$41"</f>
        <v>'BLD_EE'!$E$41:$Y$41</v>
      </c>
      <c r="H2030" s="381">
        <f ca="1">IF(IFERROR(INDEX(DATA_PROPERTY_MASTER!$E$5:$E$21,MATCH($C2030,DATA_PROPERTY_MASTER!$A$5:$A$21,0))="Yes",FALSE),IFERROR(INDEX(INDIRECT("'"&amp;$C2030&amp;"'!$E$41:$Y$41"),1,MATCH($D2030,INDIRECT("'"&amp;$C2030&amp;"'!$E$12:$Y$12"),0)),0),0)</f>
        <v>207537.00800000003</v>
      </c>
      <c r="I2030" s="366" t="s">
        <v>1685</v>
      </c>
      <c r="J2030" s="348" t="str">
        <f t="shared" ca="1" si="62"/>
        <v>OK</v>
      </c>
      <c r="K2030" s="366" t="s">
        <v>1694</v>
      </c>
      <c r="L2030" s="366" t="s">
        <v>2238</v>
      </c>
      <c r="M2030" s="350" t="str">
        <f>IF($B2030="Portfolio","Portfolio",IFERROR(INDEX(DATA_ASSET_CLASSIFICATION!$B$8:$B$24,MATCH($C2030,DATA_ASSET_CLASSIFICATION!$A$8:$A$24,0)),"Review"))</f>
        <v>Evelyn Estates</v>
      </c>
      <c r="N2030" s="350" t="str">
        <f ca="1">IF($B2030="Portfolio","Portfolio",IFERROR(INDEX(DATA_ASSET_CLASSIFICATION!$U$8:$U$24,MATCH($C2030,DATA_ASSET_CLASSIFICATION!$A$8:$A$24,0)),"Review"))</f>
        <v>Refi Watch</v>
      </c>
      <c r="O2030" s="350" t="str">
        <f ca="1">IF($B2030="Portfolio","Portfolio",IFERROR(INDEX(DATA_ASSET_CLASSIFICATION!$AB$8:$AB$13,MATCH($N2030,DATA_ASSET_CLASSIFICATION!$AA$8:$AA$13,0)),"Review"))</f>
        <v>Bucket 2 · Legacy</v>
      </c>
      <c r="P2030" s="350" t="str">
        <f>IF($B2030="Portfolio","Portfolio",IFERROR(INDEX(DATA_ASSET_CLASSIFICATION!$C$8:$C$24,MATCH($C2030,DATA_ASSET_CLASSIFICATION!$A$8:$A$24,0)),"Review"))</f>
        <v>Yes</v>
      </c>
      <c r="Q2030" s="350" t="str">
        <f t="shared" ca="1" si="63"/>
        <v>OK</v>
      </c>
    </row>
    <row r="2031" spans="1:17">
      <c r="A2031" s="366" t="s">
        <v>3987</v>
      </c>
      <c r="B2031" s="366" t="s">
        <v>231</v>
      </c>
      <c r="C2031" s="348" t="str">
        <f>DATA_PROPERTY_MASTER!$A$11</f>
        <v>BLD_EE</v>
      </c>
      <c r="D2031" s="380">
        <f>'00_PORTFOLIO ROLLUP'!E$12</f>
        <v>2025</v>
      </c>
      <c r="E2031" s="366" t="s">
        <v>1683</v>
      </c>
      <c r="F2031" s="366" t="s">
        <v>1697</v>
      </c>
      <c r="G2031" s="348" t="str">
        <f>"'"&amp;$C2031&amp;"'!$E$44:$Y$44"</f>
        <v>'BLD_EE'!$E$44:$Y$44</v>
      </c>
      <c r="H2031" s="381">
        <f ca="1">IF(IFERROR(INDEX(DATA_PROPERTY_MASTER!$E$5:$E$21,MATCH($C2031,DATA_PROPERTY_MASTER!$A$5:$A$21,0))="Yes",FALSE),IFERROR(INDEX(INDIRECT("'"&amp;$C2031&amp;"'!$E$44:$Y$44"),1,MATCH($D2031,INDIRECT("'"&amp;$C2031&amp;"'!$E$12:$Y$12"),0)),0),0)</f>
        <v>5400</v>
      </c>
      <c r="I2031" s="366" t="s">
        <v>1690</v>
      </c>
      <c r="J2031" s="348" t="str">
        <f t="shared" ca="1" si="62"/>
        <v>OK</v>
      </c>
      <c r="K2031" s="366" t="s">
        <v>1699</v>
      </c>
      <c r="L2031" s="366" t="s">
        <v>2240</v>
      </c>
      <c r="M2031" s="350" t="str">
        <f>IF($B2031="Portfolio","Portfolio",IFERROR(INDEX(DATA_ASSET_CLASSIFICATION!$B$8:$B$24,MATCH($C2031,DATA_ASSET_CLASSIFICATION!$A$8:$A$24,0)),"Review"))</f>
        <v>Evelyn Estates</v>
      </c>
      <c r="N2031" s="350" t="str">
        <f ca="1">IF($B2031="Portfolio","Portfolio",IFERROR(INDEX(DATA_ASSET_CLASSIFICATION!$U$8:$U$24,MATCH($C2031,DATA_ASSET_CLASSIFICATION!$A$8:$A$24,0)),"Review"))</f>
        <v>Refi Watch</v>
      </c>
      <c r="O2031" s="350" t="str">
        <f ca="1">IF($B2031="Portfolio","Portfolio",IFERROR(INDEX(DATA_ASSET_CLASSIFICATION!$AB$8:$AB$13,MATCH($N2031,DATA_ASSET_CLASSIFICATION!$AA$8:$AA$13,0)),"Review"))</f>
        <v>Bucket 2 · Legacy</v>
      </c>
      <c r="P2031" s="350" t="str">
        <f>IF($B2031="Portfolio","Portfolio",IFERROR(INDEX(DATA_ASSET_CLASSIFICATION!$C$8:$C$24,MATCH($C2031,DATA_ASSET_CLASSIFICATION!$A$8:$A$24,0)),"Review"))</f>
        <v>Yes</v>
      </c>
      <c r="Q2031" s="350" t="str">
        <f t="shared" ca="1" si="63"/>
        <v>OK</v>
      </c>
    </row>
    <row r="2032" spans="1:17">
      <c r="A2032" s="366" t="s">
        <v>3988</v>
      </c>
      <c r="B2032" s="366" t="s">
        <v>231</v>
      </c>
      <c r="C2032" s="348" t="str">
        <f>DATA_PROPERTY_MASTER!$A$11</f>
        <v>BLD_EE</v>
      </c>
      <c r="D2032" s="380">
        <f>'00_PORTFOLIO ROLLUP'!E$12</f>
        <v>2025</v>
      </c>
      <c r="E2032" s="366" t="s">
        <v>1683</v>
      </c>
      <c r="F2032" s="366" t="s">
        <v>21</v>
      </c>
      <c r="G2032" s="348" t="str">
        <f>"'"&amp;$C2032&amp;"'!$E$45:$Y$45"</f>
        <v>'BLD_EE'!$E$45:$Y$45</v>
      </c>
      <c r="H2032" s="381">
        <f ca="1">IF(IFERROR(INDEX(DATA_PROPERTY_MASTER!$E$5:$E$21,MATCH($C2032,DATA_PROPERTY_MASTER!$A$5:$A$21,0))="Yes",FALSE),IFERROR(INDEX(INDIRECT("'"&amp;$C2032&amp;"'!$E$45:$Y$45"),1,MATCH($D2032,INDIRECT("'"&amp;$C2032&amp;"'!$E$12:$Y$12"),0)),0),0)</f>
        <v>202137.00800000003</v>
      </c>
      <c r="I2032" s="366" t="s">
        <v>1685</v>
      </c>
      <c r="J2032" s="348" t="str">
        <f t="shared" ca="1" si="62"/>
        <v>OK</v>
      </c>
      <c r="K2032" s="366" t="s">
        <v>1694</v>
      </c>
      <c r="L2032" s="366" t="s">
        <v>2242</v>
      </c>
      <c r="M2032" s="350" t="str">
        <f>IF($B2032="Portfolio","Portfolio",IFERROR(INDEX(DATA_ASSET_CLASSIFICATION!$B$8:$B$24,MATCH($C2032,DATA_ASSET_CLASSIFICATION!$A$8:$A$24,0)),"Review"))</f>
        <v>Evelyn Estates</v>
      </c>
      <c r="N2032" s="350" t="str">
        <f ca="1">IF($B2032="Portfolio","Portfolio",IFERROR(INDEX(DATA_ASSET_CLASSIFICATION!$U$8:$U$24,MATCH($C2032,DATA_ASSET_CLASSIFICATION!$A$8:$A$24,0)),"Review"))</f>
        <v>Refi Watch</v>
      </c>
      <c r="O2032" s="350" t="str">
        <f ca="1">IF($B2032="Portfolio","Portfolio",IFERROR(INDEX(DATA_ASSET_CLASSIFICATION!$AB$8:$AB$13,MATCH($N2032,DATA_ASSET_CLASSIFICATION!$AA$8:$AA$13,0)),"Review"))</f>
        <v>Bucket 2 · Legacy</v>
      </c>
      <c r="P2032" s="350" t="str">
        <f>IF($B2032="Portfolio","Portfolio",IFERROR(INDEX(DATA_ASSET_CLASSIFICATION!$C$8:$C$24,MATCH($C2032,DATA_ASSET_CLASSIFICATION!$A$8:$A$24,0)),"Review"))</f>
        <v>Yes</v>
      </c>
      <c r="Q2032" s="350" t="str">
        <f t="shared" ca="1" si="63"/>
        <v>OK</v>
      </c>
    </row>
    <row r="2033" spans="1:17">
      <c r="A2033" s="366" t="s">
        <v>3989</v>
      </c>
      <c r="B2033" s="366" t="s">
        <v>231</v>
      </c>
      <c r="C2033" s="348" t="str">
        <f>DATA_PROPERTY_MASTER!$A$11</f>
        <v>BLD_EE</v>
      </c>
      <c r="D2033" s="380">
        <f>'00_PORTFOLIO ROLLUP'!E$12</f>
        <v>2025</v>
      </c>
      <c r="E2033" s="366" t="s">
        <v>23</v>
      </c>
      <c r="F2033" s="366" t="s">
        <v>23</v>
      </c>
      <c r="G2033" s="348" t="str">
        <f>"'"&amp;$C2033&amp;"'!$E$48:$Y$48"</f>
        <v>'BLD_EE'!$E$48:$Y$48</v>
      </c>
      <c r="H2033" s="381">
        <f ca="1">IF(IFERROR(INDEX(DATA_PROPERTY_MASTER!$E$5:$E$21,MATCH($C2033,DATA_PROPERTY_MASTER!$A$5:$A$21,0))="Yes",FALSE),IFERROR(INDEX(INDIRECT("'"&amp;$C2033&amp;"'!$E$48:$Y$48"),1,MATCH($D2033,INDIRECT("'"&amp;$C2033&amp;"'!$E$12:$Y$12"),0)),0),0)</f>
        <v>244376.04</v>
      </c>
      <c r="I2033" s="366" t="s">
        <v>1690</v>
      </c>
      <c r="J2033" s="348" t="str">
        <f t="shared" ca="1" si="62"/>
        <v>OK</v>
      </c>
      <c r="K2033" s="366" t="s">
        <v>1706</v>
      </c>
      <c r="L2033" s="366" t="s">
        <v>2244</v>
      </c>
      <c r="M2033" s="350" t="str">
        <f>IF($B2033="Portfolio","Portfolio",IFERROR(INDEX(DATA_ASSET_CLASSIFICATION!$B$8:$B$24,MATCH($C2033,DATA_ASSET_CLASSIFICATION!$A$8:$A$24,0)),"Review"))</f>
        <v>Evelyn Estates</v>
      </c>
      <c r="N2033" s="350" t="str">
        <f ca="1">IF($B2033="Portfolio","Portfolio",IFERROR(INDEX(DATA_ASSET_CLASSIFICATION!$U$8:$U$24,MATCH($C2033,DATA_ASSET_CLASSIFICATION!$A$8:$A$24,0)),"Review"))</f>
        <v>Refi Watch</v>
      </c>
      <c r="O2033" s="350" t="str">
        <f ca="1">IF($B2033="Portfolio","Portfolio",IFERROR(INDEX(DATA_ASSET_CLASSIFICATION!$AB$8:$AB$13,MATCH($N2033,DATA_ASSET_CLASSIFICATION!$AA$8:$AA$13,0)),"Review"))</f>
        <v>Bucket 2 · Legacy</v>
      </c>
      <c r="P2033" s="350" t="str">
        <f>IF($B2033="Portfolio","Portfolio",IFERROR(INDEX(DATA_ASSET_CLASSIFICATION!$C$8:$C$24,MATCH($C2033,DATA_ASSET_CLASSIFICATION!$A$8:$A$24,0)),"Review"))</f>
        <v>Yes</v>
      </c>
      <c r="Q2033" s="350" t="str">
        <f t="shared" ca="1" si="63"/>
        <v>OK</v>
      </c>
    </row>
    <row r="2034" spans="1:17">
      <c r="A2034" s="366" t="s">
        <v>3990</v>
      </c>
      <c r="B2034" s="366" t="s">
        <v>231</v>
      </c>
      <c r="C2034" s="348" t="str">
        <f>DATA_PROPERTY_MASTER!$A$11</f>
        <v>BLD_EE</v>
      </c>
      <c r="D2034" s="380">
        <f>'00_PORTFOLIO ROLLUP'!E$12</f>
        <v>2025</v>
      </c>
      <c r="E2034" s="366" t="s">
        <v>1683</v>
      </c>
      <c r="F2034" s="366" t="s">
        <v>25</v>
      </c>
      <c r="G2034" s="348" t="str">
        <f>"'"&amp;$C2034&amp;"'!$E$52:$Y$52"</f>
        <v>'BLD_EE'!$E$52:$Y$52</v>
      </c>
      <c r="H2034" s="381">
        <f ca="1">IF(IFERROR(INDEX(DATA_PROPERTY_MASTER!$E$5:$E$21,MATCH($C2034,DATA_PROPERTY_MASTER!$A$5:$A$21,0))="Yes",FALSE),IFERROR(INDEX(INDIRECT("'"&amp;$C2034&amp;"'!$E$52:$Y$52"),1,MATCH($D2034,INDIRECT("'"&amp;$C2034&amp;"'!$E$12:$Y$12"),0)),0),0)</f>
        <v>-36839.031999999977</v>
      </c>
      <c r="I2034" s="366" t="s">
        <v>1685</v>
      </c>
      <c r="J2034" s="348" t="str">
        <f t="shared" ca="1" si="62"/>
        <v>OK</v>
      </c>
      <c r="K2034" s="366" t="s">
        <v>1710</v>
      </c>
      <c r="L2034" s="366" t="s">
        <v>2246</v>
      </c>
      <c r="M2034" s="350" t="str">
        <f>IF($B2034="Portfolio","Portfolio",IFERROR(INDEX(DATA_ASSET_CLASSIFICATION!$B$8:$B$24,MATCH($C2034,DATA_ASSET_CLASSIFICATION!$A$8:$A$24,0)),"Review"))</f>
        <v>Evelyn Estates</v>
      </c>
      <c r="N2034" s="350" t="str">
        <f ca="1">IF($B2034="Portfolio","Portfolio",IFERROR(INDEX(DATA_ASSET_CLASSIFICATION!$U$8:$U$24,MATCH($C2034,DATA_ASSET_CLASSIFICATION!$A$8:$A$24,0)),"Review"))</f>
        <v>Refi Watch</v>
      </c>
      <c r="O2034" s="350" t="str">
        <f ca="1">IF($B2034="Portfolio","Portfolio",IFERROR(INDEX(DATA_ASSET_CLASSIFICATION!$AB$8:$AB$13,MATCH($N2034,DATA_ASSET_CLASSIFICATION!$AA$8:$AA$13,0)),"Review"))</f>
        <v>Bucket 2 · Legacy</v>
      </c>
      <c r="P2034" s="350" t="str">
        <f>IF($B2034="Portfolio","Portfolio",IFERROR(INDEX(DATA_ASSET_CLASSIFICATION!$C$8:$C$24,MATCH($C2034,DATA_ASSET_CLASSIFICATION!$A$8:$A$24,0)),"Review"))</f>
        <v>Yes</v>
      </c>
      <c r="Q2034" s="350" t="str">
        <f t="shared" ca="1" si="63"/>
        <v>OK</v>
      </c>
    </row>
    <row r="2035" spans="1:17">
      <c r="A2035" s="366" t="s">
        <v>3991</v>
      </c>
      <c r="B2035" s="366" t="s">
        <v>231</v>
      </c>
      <c r="C2035" s="348" t="str">
        <f>DATA_PROPERTY_MASTER!$A$11</f>
        <v>BLD_EE</v>
      </c>
      <c r="D2035" s="380">
        <f>'00_PORTFOLIO ROLLUP'!E$12</f>
        <v>2025</v>
      </c>
      <c r="E2035" s="366" t="s">
        <v>1683</v>
      </c>
      <c r="F2035" s="366" t="s">
        <v>27</v>
      </c>
      <c r="G2035" s="348" t="str">
        <f>"'"&amp;$C2035&amp;"'!$E$54:$Y$54"</f>
        <v>'BLD_EE'!$E$54:$Y$54</v>
      </c>
      <c r="H2035" s="381">
        <f ca="1">IF(IFERROR(INDEX(DATA_PROPERTY_MASTER!$E$5:$E$21,MATCH($C2035,DATA_PROPERTY_MASTER!$A$5:$A$21,0))="Yes",FALSE),IFERROR(INDEX(INDIRECT("'"&amp;$C2035&amp;"'!$E$54:$Y$54"),1,MATCH($D2035,INDIRECT("'"&amp;$C2035&amp;"'!$E$12:$Y$12"),0)),0),0)</f>
        <v>0</v>
      </c>
      <c r="I2035" s="366" t="s">
        <v>1690</v>
      </c>
      <c r="J2035" s="348" t="str">
        <f t="shared" ca="1" si="62"/>
        <v>OK</v>
      </c>
      <c r="K2035" s="366" t="s">
        <v>1714</v>
      </c>
      <c r="L2035" s="366" t="s">
        <v>2248</v>
      </c>
      <c r="M2035" s="350" t="str">
        <f>IF($B2035="Portfolio","Portfolio",IFERROR(INDEX(DATA_ASSET_CLASSIFICATION!$B$8:$B$24,MATCH($C2035,DATA_ASSET_CLASSIFICATION!$A$8:$A$24,0)),"Review"))</f>
        <v>Evelyn Estates</v>
      </c>
      <c r="N2035" s="350" t="str">
        <f ca="1">IF($B2035="Portfolio","Portfolio",IFERROR(INDEX(DATA_ASSET_CLASSIFICATION!$U$8:$U$24,MATCH($C2035,DATA_ASSET_CLASSIFICATION!$A$8:$A$24,0)),"Review"))</f>
        <v>Refi Watch</v>
      </c>
      <c r="O2035" s="350" t="str">
        <f ca="1">IF($B2035="Portfolio","Portfolio",IFERROR(INDEX(DATA_ASSET_CLASSIFICATION!$AB$8:$AB$13,MATCH($N2035,DATA_ASSET_CLASSIFICATION!$AA$8:$AA$13,0)),"Review"))</f>
        <v>Bucket 2 · Legacy</v>
      </c>
      <c r="P2035" s="350" t="str">
        <f>IF($B2035="Portfolio","Portfolio",IFERROR(INDEX(DATA_ASSET_CLASSIFICATION!$C$8:$C$24,MATCH($C2035,DATA_ASSET_CLASSIFICATION!$A$8:$A$24,0)),"Review"))</f>
        <v>Yes</v>
      </c>
      <c r="Q2035" s="350" t="str">
        <f t="shared" ca="1" si="63"/>
        <v>OK</v>
      </c>
    </row>
    <row r="2036" spans="1:17">
      <c r="A2036" s="366" t="s">
        <v>3992</v>
      </c>
      <c r="B2036" s="366" t="s">
        <v>231</v>
      </c>
      <c r="C2036" s="348" t="str">
        <f>DATA_PROPERTY_MASTER!$A$11</f>
        <v>BLD_EE</v>
      </c>
      <c r="D2036" s="380">
        <f>'00_PORTFOLIO ROLLUP'!E$12</f>
        <v>2025</v>
      </c>
      <c r="E2036" s="366" t="s">
        <v>1683</v>
      </c>
      <c r="F2036" s="366" t="s">
        <v>29</v>
      </c>
      <c r="G2036" s="348" t="str">
        <f>"'"&amp;$C2036&amp;"'!$E$56:$Y$56"</f>
        <v>'BLD_EE'!$E$56:$Y$56</v>
      </c>
      <c r="H2036" s="381">
        <f ca="1">IF(IFERROR(INDEX(DATA_PROPERTY_MASTER!$E$5:$E$21,MATCH($C2036,DATA_PROPERTY_MASTER!$A$5:$A$21,0))="Yes",FALSE),IFERROR(INDEX(INDIRECT("'"&amp;$C2036&amp;"'!$E$56:$Y$56"),1,MATCH($D2036,INDIRECT("'"&amp;$C2036&amp;"'!$E$12:$Y$12"),0)),0),0)</f>
        <v>-36839.031999999977</v>
      </c>
      <c r="I2036" s="366" t="s">
        <v>1685</v>
      </c>
      <c r="J2036" s="348" t="str">
        <f t="shared" ca="1" si="62"/>
        <v>OK</v>
      </c>
      <c r="K2036" s="366" t="s">
        <v>1718</v>
      </c>
      <c r="L2036" s="366" t="s">
        <v>2250</v>
      </c>
      <c r="M2036" s="350" t="str">
        <f>IF($B2036="Portfolio","Portfolio",IFERROR(INDEX(DATA_ASSET_CLASSIFICATION!$B$8:$B$24,MATCH($C2036,DATA_ASSET_CLASSIFICATION!$A$8:$A$24,0)),"Review"))</f>
        <v>Evelyn Estates</v>
      </c>
      <c r="N2036" s="350" t="str">
        <f ca="1">IF($B2036="Portfolio","Portfolio",IFERROR(INDEX(DATA_ASSET_CLASSIFICATION!$U$8:$U$24,MATCH($C2036,DATA_ASSET_CLASSIFICATION!$A$8:$A$24,0)),"Review"))</f>
        <v>Refi Watch</v>
      </c>
      <c r="O2036" s="350" t="str">
        <f ca="1">IF($B2036="Portfolio","Portfolio",IFERROR(INDEX(DATA_ASSET_CLASSIFICATION!$AB$8:$AB$13,MATCH($N2036,DATA_ASSET_CLASSIFICATION!$AA$8:$AA$13,0)),"Review"))</f>
        <v>Bucket 2 · Legacy</v>
      </c>
      <c r="P2036" s="350" t="str">
        <f>IF($B2036="Portfolio","Portfolio",IFERROR(INDEX(DATA_ASSET_CLASSIFICATION!$C$8:$C$24,MATCH($C2036,DATA_ASSET_CLASSIFICATION!$A$8:$A$24,0)),"Review"))</f>
        <v>Yes</v>
      </c>
      <c r="Q2036" s="350" t="str">
        <f t="shared" ca="1" si="63"/>
        <v>OK</v>
      </c>
    </row>
    <row r="2037" spans="1:17">
      <c r="A2037" s="366" t="s">
        <v>3993</v>
      </c>
      <c r="B2037" s="366" t="s">
        <v>231</v>
      </c>
      <c r="C2037" s="348" t="str">
        <f>DATA_PROPERTY_MASTER!$A$11</f>
        <v>BLD_EE</v>
      </c>
      <c r="D2037" s="380">
        <f>'00_PORTFOLIO ROLLUP'!E$12</f>
        <v>2025</v>
      </c>
      <c r="E2037" s="366" t="s">
        <v>1721</v>
      </c>
      <c r="F2037" s="366" t="s">
        <v>31</v>
      </c>
      <c r="G2037" s="348" t="str">
        <f>"'"&amp;$C2037&amp;"'!$E$61:$Y$61"</f>
        <v>'BLD_EE'!$E$61:$Y$61</v>
      </c>
      <c r="H2037" s="381">
        <f ca="1">IF(IFERROR(INDEX(DATA_PROPERTY_MASTER!$E$5:$E$21,MATCH($C2037,DATA_PROPERTY_MASTER!$A$5:$A$21,0))="Yes",FALSE),IFERROR(INDEX(INDIRECT("'"&amp;$C2037&amp;"'!$E$61:$Y$61"),1,MATCH($D2037,INDIRECT("'"&amp;$C2037&amp;"'!$E$12:$Y$12"),0)),0),0)</f>
        <v>0</v>
      </c>
      <c r="I2037" s="366" t="s">
        <v>1690</v>
      </c>
      <c r="J2037" s="348" t="str">
        <f t="shared" ca="1" si="62"/>
        <v>OK</v>
      </c>
      <c r="K2037" s="366" t="s">
        <v>1723</v>
      </c>
      <c r="L2037" s="366" t="s">
        <v>2252</v>
      </c>
      <c r="M2037" s="350" t="str">
        <f>IF($B2037="Portfolio","Portfolio",IFERROR(INDEX(DATA_ASSET_CLASSIFICATION!$B$8:$B$24,MATCH($C2037,DATA_ASSET_CLASSIFICATION!$A$8:$A$24,0)),"Review"))</f>
        <v>Evelyn Estates</v>
      </c>
      <c r="N2037" s="350" t="str">
        <f ca="1">IF($B2037="Portfolio","Portfolio",IFERROR(INDEX(DATA_ASSET_CLASSIFICATION!$U$8:$U$24,MATCH($C2037,DATA_ASSET_CLASSIFICATION!$A$8:$A$24,0)),"Review"))</f>
        <v>Refi Watch</v>
      </c>
      <c r="O2037" s="350" t="str">
        <f ca="1">IF($B2037="Portfolio","Portfolio",IFERROR(INDEX(DATA_ASSET_CLASSIFICATION!$AB$8:$AB$13,MATCH($N2037,DATA_ASSET_CLASSIFICATION!$AA$8:$AA$13,0)),"Review"))</f>
        <v>Bucket 2 · Legacy</v>
      </c>
      <c r="P2037" s="350" t="str">
        <f>IF($B2037="Portfolio","Portfolio",IFERROR(INDEX(DATA_ASSET_CLASSIFICATION!$C$8:$C$24,MATCH($C2037,DATA_ASSET_CLASSIFICATION!$A$8:$A$24,0)),"Review"))</f>
        <v>Yes</v>
      </c>
      <c r="Q2037" s="350" t="str">
        <f t="shared" ca="1" si="63"/>
        <v>OK</v>
      </c>
    </row>
    <row r="2038" spans="1:17">
      <c r="A2038" s="366" t="s">
        <v>3994</v>
      </c>
      <c r="B2038" s="366" t="s">
        <v>231</v>
      </c>
      <c r="C2038" s="348" t="str">
        <f>DATA_PROPERTY_MASTER!$A$11</f>
        <v>BLD_EE</v>
      </c>
      <c r="D2038" s="380">
        <f>'00_PORTFOLIO ROLLUP'!E$12</f>
        <v>2025</v>
      </c>
      <c r="E2038" s="366" t="s">
        <v>1721</v>
      </c>
      <c r="F2038" s="366" t="s">
        <v>33</v>
      </c>
      <c r="G2038" s="348" t="str">
        <f>"'"&amp;$C2038&amp;"'!$E$62:$Y$62"</f>
        <v>'BLD_EE'!$E$62:$Y$62</v>
      </c>
      <c r="H2038" s="381">
        <f ca="1">IF(IFERROR(INDEX(DATA_PROPERTY_MASTER!$E$5:$E$21,MATCH($C2038,DATA_PROPERTY_MASTER!$A$5:$A$21,0))="Yes",FALSE),IFERROR(INDEX(INDIRECT("'"&amp;$C2038&amp;"'!$E$62:$Y$62"),1,MATCH($D2038,INDIRECT("'"&amp;$C2038&amp;"'!$E$12:$Y$12"),0)),0),0)</f>
        <v>0</v>
      </c>
      <c r="I2038" s="366" t="s">
        <v>1685</v>
      </c>
      <c r="J2038" s="348" t="str">
        <f t="shared" ca="1" si="62"/>
        <v>OK</v>
      </c>
      <c r="K2038" s="366" t="s">
        <v>1727</v>
      </c>
      <c r="L2038" s="366" t="s">
        <v>2254</v>
      </c>
      <c r="M2038" s="350" t="str">
        <f>IF($B2038="Portfolio","Portfolio",IFERROR(INDEX(DATA_ASSET_CLASSIFICATION!$B$8:$B$24,MATCH($C2038,DATA_ASSET_CLASSIFICATION!$A$8:$A$24,0)),"Review"))</f>
        <v>Evelyn Estates</v>
      </c>
      <c r="N2038" s="350" t="str">
        <f ca="1">IF($B2038="Portfolio","Portfolio",IFERROR(INDEX(DATA_ASSET_CLASSIFICATION!$U$8:$U$24,MATCH($C2038,DATA_ASSET_CLASSIFICATION!$A$8:$A$24,0)),"Review"))</f>
        <v>Refi Watch</v>
      </c>
      <c r="O2038" s="350" t="str">
        <f ca="1">IF($B2038="Portfolio","Portfolio",IFERROR(INDEX(DATA_ASSET_CLASSIFICATION!$AB$8:$AB$13,MATCH($N2038,DATA_ASSET_CLASSIFICATION!$AA$8:$AA$13,0)),"Review"))</f>
        <v>Bucket 2 · Legacy</v>
      </c>
      <c r="P2038" s="350" t="str">
        <f>IF($B2038="Portfolio","Portfolio",IFERROR(INDEX(DATA_ASSET_CLASSIFICATION!$C$8:$C$24,MATCH($C2038,DATA_ASSET_CLASSIFICATION!$A$8:$A$24,0)),"Review"))</f>
        <v>Yes</v>
      </c>
      <c r="Q2038" s="350" t="str">
        <f t="shared" ca="1" si="63"/>
        <v>OK</v>
      </c>
    </row>
    <row r="2039" spans="1:17">
      <c r="A2039" s="366" t="s">
        <v>3995</v>
      </c>
      <c r="B2039" s="366" t="s">
        <v>231</v>
      </c>
      <c r="C2039" s="348" t="str">
        <f>DATA_PROPERTY_MASTER!$A$11</f>
        <v>BLD_EE</v>
      </c>
      <c r="D2039" s="380">
        <f>'00_PORTFOLIO ROLLUP'!E$12</f>
        <v>2025</v>
      </c>
      <c r="E2039" s="366" t="s">
        <v>1721</v>
      </c>
      <c r="F2039" s="366" t="s">
        <v>35</v>
      </c>
      <c r="G2039" s="348" t="str">
        <f>"'"&amp;$C2039&amp;"'!$E$63:$Y$63"</f>
        <v>'BLD_EE'!$E$63:$Y$63</v>
      </c>
      <c r="H2039" s="381">
        <f ca="1">IF(IFERROR(INDEX(DATA_PROPERTY_MASTER!$E$5:$E$21,MATCH($C2039,DATA_PROPERTY_MASTER!$A$5:$A$21,0))="Yes",FALSE),IFERROR(INDEX(INDIRECT("'"&amp;$C2039&amp;"'!$E$63:$Y$63"),1,MATCH($D2039,INDIRECT("'"&amp;$C2039&amp;"'!$E$12:$Y$12"),0)),0),0)</f>
        <v>0</v>
      </c>
      <c r="I2039" s="366" t="s">
        <v>1731</v>
      </c>
      <c r="J2039" s="348" t="str">
        <f t="shared" ca="1" si="62"/>
        <v>OK</v>
      </c>
      <c r="K2039" s="366" t="s">
        <v>1732</v>
      </c>
      <c r="L2039" s="366" t="s">
        <v>2256</v>
      </c>
      <c r="M2039" s="350" t="str">
        <f>IF($B2039="Portfolio","Portfolio",IFERROR(INDEX(DATA_ASSET_CLASSIFICATION!$B$8:$B$24,MATCH($C2039,DATA_ASSET_CLASSIFICATION!$A$8:$A$24,0)),"Review"))</f>
        <v>Evelyn Estates</v>
      </c>
      <c r="N2039" s="350" t="str">
        <f ca="1">IF($B2039="Portfolio","Portfolio",IFERROR(INDEX(DATA_ASSET_CLASSIFICATION!$U$8:$U$24,MATCH($C2039,DATA_ASSET_CLASSIFICATION!$A$8:$A$24,0)),"Review"))</f>
        <v>Refi Watch</v>
      </c>
      <c r="O2039" s="350" t="str">
        <f ca="1">IF($B2039="Portfolio","Portfolio",IFERROR(INDEX(DATA_ASSET_CLASSIFICATION!$AB$8:$AB$13,MATCH($N2039,DATA_ASSET_CLASSIFICATION!$AA$8:$AA$13,0)),"Review"))</f>
        <v>Bucket 2 · Legacy</v>
      </c>
      <c r="P2039" s="350" t="str">
        <f>IF($B2039="Portfolio","Portfolio",IFERROR(INDEX(DATA_ASSET_CLASSIFICATION!$C$8:$C$24,MATCH($C2039,DATA_ASSET_CLASSIFICATION!$A$8:$A$24,0)),"Review"))</f>
        <v>Yes</v>
      </c>
      <c r="Q2039" s="350" t="str">
        <f t="shared" ca="1" si="63"/>
        <v>OK</v>
      </c>
    </row>
    <row r="2040" spans="1:17">
      <c r="A2040" s="366" t="s">
        <v>3996</v>
      </c>
      <c r="B2040" s="366" t="s">
        <v>231</v>
      </c>
      <c r="C2040" s="348" t="str">
        <f>DATA_PROPERTY_MASTER!$A$11</f>
        <v>BLD_EE</v>
      </c>
      <c r="D2040" s="380">
        <f>'00_PORTFOLIO ROLLUP'!E$12</f>
        <v>2025</v>
      </c>
      <c r="E2040" s="366" t="s">
        <v>1721</v>
      </c>
      <c r="F2040" s="366" t="s">
        <v>37</v>
      </c>
      <c r="G2040" s="348" t="str">
        <f>"'"&amp;$C2040&amp;"'!$E$63:$Y$63"</f>
        <v>'BLD_EE'!$E$63:$Y$63</v>
      </c>
      <c r="H2040" s="381">
        <f ca="1">IF(IFERROR(INDEX(DATA_PROPERTY_MASTER!$E$5:$E$21,MATCH($C2040,DATA_PROPERTY_MASTER!$A$5:$A$21,0))="Yes",FALSE),MAX(IFERROR(INDEX(INDIRECT("'"&amp;$C2040&amp;"'!$E$63:$Y$63"),1,MATCH($D2040,INDIRECT("'"&amp;$C2040&amp;"'!$E$12:$Y$12"),0)),0),0),0)</f>
        <v>0</v>
      </c>
      <c r="I2040" s="366" t="s">
        <v>1685</v>
      </c>
      <c r="J2040" s="348" t="str">
        <f t="shared" ca="1" si="62"/>
        <v>OK</v>
      </c>
      <c r="K2040" s="366" t="s">
        <v>1735</v>
      </c>
      <c r="L2040" s="366" t="s">
        <v>2258</v>
      </c>
      <c r="M2040" s="350" t="str">
        <f>IF($B2040="Portfolio","Portfolio",IFERROR(INDEX(DATA_ASSET_CLASSIFICATION!$B$8:$B$24,MATCH($C2040,DATA_ASSET_CLASSIFICATION!$A$8:$A$24,0)),"Review"))</f>
        <v>Evelyn Estates</v>
      </c>
      <c r="N2040" s="350" t="str">
        <f ca="1">IF($B2040="Portfolio","Portfolio",IFERROR(INDEX(DATA_ASSET_CLASSIFICATION!$U$8:$U$24,MATCH($C2040,DATA_ASSET_CLASSIFICATION!$A$8:$A$24,0)),"Review"))</f>
        <v>Refi Watch</v>
      </c>
      <c r="O2040" s="350" t="str">
        <f ca="1">IF($B2040="Portfolio","Portfolio",IFERROR(INDEX(DATA_ASSET_CLASSIFICATION!$AB$8:$AB$13,MATCH($N2040,DATA_ASSET_CLASSIFICATION!$AA$8:$AA$13,0)),"Review"))</f>
        <v>Bucket 2 · Legacy</v>
      </c>
      <c r="P2040" s="350" t="str">
        <f>IF($B2040="Portfolio","Portfolio",IFERROR(INDEX(DATA_ASSET_CLASSIFICATION!$C$8:$C$24,MATCH($C2040,DATA_ASSET_CLASSIFICATION!$A$8:$A$24,0)),"Review"))</f>
        <v>Yes</v>
      </c>
      <c r="Q2040" s="350" t="str">
        <f t="shared" ca="1" si="63"/>
        <v>OK</v>
      </c>
    </row>
    <row r="2041" spans="1:17">
      <c r="A2041" s="366" t="s">
        <v>3997</v>
      </c>
      <c r="B2041" s="366" t="s">
        <v>231</v>
      </c>
      <c r="C2041" s="348" t="str">
        <f>DATA_PROPERTY_MASTER!$A$11</f>
        <v>BLD_EE</v>
      </c>
      <c r="D2041" s="380">
        <f>'00_PORTFOLIO ROLLUP'!E$12</f>
        <v>2025</v>
      </c>
      <c r="E2041" s="366" t="s">
        <v>1721</v>
      </c>
      <c r="F2041" s="366" t="s">
        <v>39</v>
      </c>
      <c r="G2041" s="348" t="str">
        <f>"'"&amp;$C2041&amp;"'!$E$63:$Y$63"</f>
        <v>'BLD_EE'!$E$63:$Y$63</v>
      </c>
      <c r="H2041" s="381">
        <f ca="1">IF(IFERROR(INDEX(DATA_PROPERTY_MASTER!$E$5:$E$21,MATCH($C2041,DATA_PROPERTY_MASTER!$A$5:$A$21,0))="Yes",FALSE),MAX(-IFERROR(INDEX(INDIRECT("'"&amp;$C2041&amp;"'!$E$63:$Y$63"),1,MATCH($D2041,INDIRECT("'"&amp;$C2041&amp;"'!$E$12:$Y$12"),0)),0),0),0)</f>
        <v>0</v>
      </c>
      <c r="I2041" s="366" t="s">
        <v>1690</v>
      </c>
      <c r="J2041" s="348" t="str">
        <f t="shared" ca="1" si="62"/>
        <v>OK</v>
      </c>
      <c r="K2041" s="366" t="s">
        <v>1738</v>
      </c>
      <c r="L2041" s="366" t="s">
        <v>2260</v>
      </c>
      <c r="M2041" s="350" t="str">
        <f>IF($B2041="Portfolio","Portfolio",IFERROR(INDEX(DATA_ASSET_CLASSIFICATION!$B$8:$B$24,MATCH($C2041,DATA_ASSET_CLASSIFICATION!$A$8:$A$24,0)),"Review"))</f>
        <v>Evelyn Estates</v>
      </c>
      <c r="N2041" s="350" t="str">
        <f ca="1">IF($B2041="Portfolio","Portfolio",IFERROR(INDEX(DATA_ASSET_CLASSIFICATION!$U$8:$U$24,MATCH($C2041,DATA_ASSET_CLASSIFICATION!$A$8:$A$24,0)),"Review"))</f>
        <v>Refi Watch</v>
      </c>
      <c r="O2041" s="350" t="str">
        <f ca="1">IF($B2041="Portfolio","Portfolio",IFERROR(INDEX(DATA_ASSET_CLASSIFICATION!$AB$8:$AB$13,MATCH($N2041,DATA_ASSET_CLASSIFICATION!$AA$8:$AA$13,0)),"Review"))</f>
        <v>Bucket 2 · Legacy</v>
      </c>
      <c r="P2041" s="350" t="str">
        <f>IF($B2041="Portfolio","Portfolio",IFERROR(INDEX(DATA_ASSET_CLASSIFICATION!$C$8:$C$24,MATCH($C2041,DATA_ASSET_CLASSIFICATION!$A$8:$A$24,0)),"Review"))</f>
        <v>Yes</v>
      </c>
      <c r="Q2041" s="350" t="str">
        <f t="shared" ca="1" si="63"/>
        <v>OK</v>
      </c>
    </row>
    <row r="2042" spans="1:17">
      <c r="A2042" s="366" t="s">
        <v>3998</v>
      </c>
      <c r="B2042" s="366" t="s">
        <v>231</v>
      </c>
      <c r="C2042" s="348" t="str">
        <f>DATA_PROPERTY_MASTER!$A$11</f>
        <v>BLD_EE</v>
      </c>
      <c r="D2042" s="380">
        <f>'00_PORTFOLIO ROLLUP'!E$12</f>
        <v>2025</v>
      </c>
      <c r="E2042" s="366" t="s">
        <v>1741</v>
      </c>
      <c r="F2042" s="366" t="s">
        <v>41</v>
      </c>
      <c r="G2042" s="348" t="str">
        <f>"'"&amp;$C2042&amp;"'!rows 56 + positive row 63"</f>
        <v>'BLD_EE'!rows 56 + positive row 63</v>
      </c>
      <c r="H2042" s="381">
        <f ca="1">IF(IFERROR(INDEX(DATA_PROPERTY_MASTER!$E$5:$E$21,MATCH($C2042,DATA_PROPERTY_MASTER!$A$5:$A$21,0))="Yes",FALSE),IFERROR(INDEX(INDIRECT("'"&amp;$C2042&amp;"'!$E$56:$Y$56"),1,MATCH($D2042,INDIRECT("'"&amp;$C2042&amp;"'!$E$12:$Y$12"),0)),0)+MAX(IFERROR(INDEX(INDIRECT("'"&amp;$C2042&amp;"'!$E$63:$Y$63"),1,MATCH($D2042,INDIRECT("'"&amp;$C2042&amp;"'!$E$12:$Y$12"),0)),0),0),0)</f>
        <v>-36839.031999999977</v>
      </c>
      <c r="I2042" s="366" t="s">
        <v>1685</v>
      </c>
      <c r="J2042" s="348" t="str">
        <f t="shared" ca="1" si="62"/>
        <v>OK</v>
      </c>
      <c r="K2042" s="366" t="s">
        <v>1742</v>
      </c>
      <c r="L2042" s="366" t="s">
        <v>2262</v>
      </c>
      <c r="M2042" s="350" t="str">
        <f>IF($B2042="Portfolio","Portfolio",IFERROR(INDEX(DATA_ASSET_CLASSIFICATION!$B$8:$B$24,MATCH($C2042,DATA_ASSET_CLASSIFICATION!$A$8:$A$24,0)),"Review"))</f>
        <v>Evelyn Estates</v>
      </c>
      <c r="N2042" s="350" t="str">
        <f ca="1">IF($B2042="Portfolio","Portfolio",IFERROR(INDEX(DATA_ASSET_CLASSIFICATION!$U$8:$U$24,MATCH($C2042,DATA_ASSET_CLASSIFICATION!$A$8:$A$24,0)),"Review"))</f>
        <v>Refi Watch</v>
      </c>
      <c r="O2042" s="350" t="str">
        <f ca="1">IF($B2042="Portfolio","Portfolio",IFERROR(INDEX(DATA_ASSET_CLASSIFICATION!$AB$8:$AB$13,MATCH($N2042,DATA_ASSET_CLASSIFICATION!$AA$8:$AA$13,0)),"Review"))</f>
        <v>Bucket 2 · Legacy</v>
      </c>
      <c r="P2042" s="350" t="str">
        <f>IF($B2042="Portfolio","Portfolio",IFERROR(INDEX(DATA_ASSET_CLASSIFICATION!$C$8:$C$24,MATCH($C2042,DATA_ASSET_CLASSIFICATION!$A$8:$A$24,0)),"Review"))</f>
        <v>Yes</v>
      </c>
      <c r="Q2042" s="350" t="str">
        <f t="shared" ca="1" si="63"/>
        <v>OK</v>
      </c>
    </row>
    <row r="2043" spans="1:17">
      <c r="A2043" s="366" t="s">
        <v>3999</v>
      </c>
      <c r="B2043" s="366" t="s">
        <v>231</v>
      </c>
      <c r="C2043" s="348" t="str">
        <f>DATA_PROPERTY_MASTER!$A$11</f>
        <v>BLD_EE</v>
      </c>
      <c r="D2043" s="380">
        <f>'00_PORTFOLIO ROLLUP'!E$12</f>
        <v>2025</v>
      </c>
      <c r="E2043" s="366" t="s">
        <v>1741</v>
      </c>
      <c r="F2043" s="366" t="s">
        <v>43</v>
      </c>
      <c r="G2043" s="348" t="str">
        <f>"'"&amp;$C2043&amp;"'!$E$68:$Y$68"</f>
        <v>'BLD_EE'!$E$68:$Y$68</v>
      </c>
      <c r="H2043" s="381">
        <f ca="1">IF(IFERROR(INDEX(DATA_PROPERTY_MASTER!$E$5:$E$21,MATCH($C2043,DATA_PROPERTY_MASTER!$A$5:$A$21,0))="Yes",FALSE),IFERROR(INDEX(INDIRECT("'"&amp;$C2043&amp;"'!$E$68:$Y$68"),1,MATCH($D2043,INDIRECT("'"&amp;$C2043&amp;"'!$E$12:$Y$12"),0)),0),0)</f>
        <v>-36839.031999999977</v>
      </c>
      <c r="I2043" s="366" t="s">
        <v>1731</v>
      </c>
      <c r="J2043" s="348" t="str">
        <f t="shared" ca="1" si="62"/>
        <v>OK</v>
      </c>
      <c r="K2043" s="366" t="s">
        <v>1746</v>
      </c>
      <c r="L2043" s="366" t="s">
        <v>2264</v>
      </c>
      <c r="M2043" s="350" t="str">
        <f>IF($B2043="Portfolio","Portfolio",IFERROR(INDEX(DATA_ASSET_CLASSIFICATION!$B$8:$B$24,MATCH($C2043,DATA_ASSET_CLASSIFICATION!$A$8:$A$24,0)),"Review"))</f>
        <v>Evelyn Estates</v>
      </c>
      <c r="N2043" s="350" t="str">
        <f ca="1">IF($B2043="Portfolio","Portfolio",IFERROR(INDEX(DATA_ASSET_CLASSIFICATION!$U$8:$U$24,MATCH($C2043,DATA_ASSET_CLASSIFICATION!$A$8:$A$24,0)),"Review"))</f>
        <v>Refi Watch</v>
      </c>
      <c r="O2043" s="350" t="str">
        <f ca="1">IF($B2043="Portfolio","Portfolio",IFERROR(INDEX(DATA_ASSET_CLASSIFICATION!$AB$8:$AB$13,MATCH($N2043,DATA_ASSET_CLASSIFICATION!$AA$8:$AA$13,0)),"Review"))</f>
        <v>Bucket 2 · Legacy</v>
      </c>
      <c r="P2043" s="350" t="str">
        <f>IF($B2043="Portfolio","Portfolio",IFERROR(INDEX(DATA_ASSET_CLASSIFICATION!$C$8:$C$24,MATCH($C2043,DATA_ASSET_CLASSIFICATION!$A$8:$A$24,0)),"Review"))</f>
        <v>Yes</v>
      </c>
      <c r="Q2043" s="350" t="str">
        <f t="shared" ca="1" si="63"/>
        <v>OK</v>
      </c>
    </row>
    <row r="2044" spans="1:17">
      <c r="A2044" s="366" t="s">
        <v>4000</v>
      </c>
      <c r="B2044" s="366" t="s">
        <v>231</v>
      </c>
      <c r="C2044" s="348" t="str">
        <f>DATA_PROPERTY_MASTER!$A$11</f>
        <v>BLD_EE</v>
      </c>
      <c r="D2044" s="380">
        <f>'00_PORTFOLIO ROLLUP'!E$12</f>
        <v>2025</v>
      </c>
      <c r="E2044" s="366" t="s">
        <v>1741</v>
      </c>
      <c r="F2044" s="366" t="s">
        <v>1749</v>
      </c>
      <c r="G2044" s="348" t="str">
        <f>"'"&amp;$C2044&amp;"'!rows 56, 63, 68"</f>
        <v>'BLD_EE'!rows 56, 63, 68</v>
      </c>
      <c r="H2044" s="381">
        <f ca="1">IF(IFERROR(INDEX(DATA_PROPERTY_MASTER!$E$5:$E$21,MATCH($C2044,DATA_PROPERTY_MASTER!$A$5:$A$21,0))="Yes",FALSE),(IFERROR(INDEX(INDIRECT("'"&amp;$C2044&amp;"'!$E$56:$Y$56"),1,MATCH($D2044,INDIRECT("'"&amp;$C2044&amp;"'!$E$12:$Y$12"),0)),0)+MAX(IFERROR(INDEX(INDIRECT("'"&amp;$C2044&amp;"'!$E$63:$Y$63"),1,MATCH($D2044,INDIRECT("'"&amp;$C2044&amp;"'!$E$12:$Y$12"),0)),0),0))-(IFERROR(INDEX(INDIRECT("'"&amp;$C2044&amp;"'!$E$68:$Y$68"),1,MATCH($D2044,INDIRECT("'"&amp;$C2044&amp;"'!$E$12:$Y$12"),0)),0)),0)</f>
        <v>0</v>
      </c>
      <c r="I2044" s="366" t="s">
        <v>1750</v>
      </c>
      <c r="J2044" s="348" t="str">
        <f t="shared" ca="1" si="62"/>
        <v>OK</v>
      </c>
      <c r="K2044" s="366" t="s">
        <v>1751</v>
      </c>
      <c r="L2044" s="366" t="s">
        <v>2266</v>
      </c>
      <c r="M2044" s="350" t="str">
        <f>IF($B2044="Portfolio","Portfolio",IFERROR(INDEX(DATA_ASSET_CLASSIFICATION!$B$8:$B$24,MATCH($C2044,DATA_ASSET_CLASSIFICATION!$A$8:$A$24,0)),"Review"))</f>
        <v>Evelyn Estates</v>
      </c>
      <c r="N2044" s="350" t="str">
        <f ca="1">IF($B2044="Portfolio","Portfolio",IFERROR(INDEX(DATA_ASSET_CLASSIFICATION!$U$8:$U$24,MATCH($C2044,DATA_ASSET_CLASSIFICATION!$A$8:$A$24,0)),"Review"))</f>
        <v>Refi Watch</v>
      </c>
      <c r="O2044" s="350" t="str">
        <f ca="1">IF($B2044="Portfolio","Portfolio",IFERROR(INDEX(DATA_ASSET_CLASSIFICATION!$AB$8:$AB$13,MATCH($N2044,DATA_ASSET_CLASSIFICATION!$AA$8:$AA$13,0)),"Review"))</f>
        <v>Bucket 2 · Legacy</v>
      </c>
      <c r="P2044" s="350" t="str">
        <f>IF($B2044="Portfolio","Portfolio",IFERROR(INDEX(DATA_ASSET_CLASSIFICATION!$C$8:$C$24,MATCH($C2044,DATA_ASSET_CLASSIFICATION!$A$8:$A$24,0)),"Review"))</f>
        <v>Yes</v>
      </c>
      <c r="Q2044" s="350" t="str">
        <f t="shared" ca="1" si="63"/>
        <v>OK</v>
      </c>
    </row>
    <row r="2045" spans="1:17">
      <c r="A2045" s="366" t="s">
        <v>4001</v>
      </c>
      <c r="B2045" s="366" t="s">
        <v>231</v>
      </c>
      <c r="C2045" s="348" t="str">
        <f>DATA_PROPERTY_MASTER!$A$11</f>
        <v>BLD_EE</v>
      </c>
      <c r="D2045" s="380">
        <f>'00_PORTFOLIO ROLLUP'!F$12</f>
        <v>2026</v>
      </c>
      <c r="E2045" s="366" t="s">
        <v>1683</v>
      </c>
      <c r="F2045" s="366" t="s">
        <v>341</v>
      </c>
      <c r="G2045" s="348" t="str">
        <f>"'"&amp;$C2045&amp;"'!$E$24:$Y$24"</f>
        <v>'BLD_EE'!$E$24:$Y$24</v>
      </c>
      <c r="H2045" s="381">
        <f ca="1">IF(IFERROR(INDEX(DATA_PROPERTY_MASTER!$E$5:$E$21,MATCH($C2045,DATA_PROPERTY_MASTER!$A$5:$A$21,0))="Yes",FALSE),IFERROR(INDEX(INDIRECT("'"&amp;$C2045&amp;"'!$E$24:$Y$24"),1,MATCH($D2045,INDIRECT("'"&amp;$C2045&amp;"'!$E$12:$Y$12"),0)),0),0)</f>
        <v>433006.32816000003</v>
      </c>
      <c r="I2045" s="366" t="s">
        <v>1685</v>
      </c>
      <c r="J2045" s="348" t="str">
        <f t="shared" ca="1" si="62"/>
        <v>OK</v>
      </c>
      <c r="K2045" s="366" t="s">
        <v>1686</v>
      </c>
      <c r="L2045" s="366" t="s">
        <v>2234</v>
      </c>
      <c r="M2045" s="350" t="str">
        <f>IF($B2045="Portfolio","Portfolio",IFERROR(INDEX(DATA_ASSET_CLASSIFICATION!$B$8:$B$24,MATCH($C2045,DATA_ASSET_CLASSIFICATION!$A$8:$A$24,0)),"Review"))</f>
        <v>Evelyn Estates</v>
      </c>
      <c r="N2045" s="350" t="str">
        <f ca="1">IF($B2045="Portfolio","Portfolio",IFERROR(INDEX(DATA_ASSET_CLASSIFICATION!$U$8:$U$24,MATCH($C2045,DATA_ASSET_CLASSIFICATION!$A$8:$A$24,0)),"Review"))</f>
        <v>Refi Watch</v>
      </c>
      <c r="O2045" s="350" t="str">
        <f ca="1">IF($B2045="Portfolio","Portfolio",IFERROR(INDEX(DATA_ASSET_CLASSIFICATION!$AB$8:$AB$13,MATCH($N2045,DATA_ASSET_CLASSIFICATION!$AA$8:$AA$13,0)),"Review"))</f>
        <v>Bucket 2 · Legacy</v>
      </c>
      <c r="P2045" s="350" t="str">
        <f>IF($B2045="Portfolio","Portfolio",IFERROR(INDEX(DATA_ASSET_CLASSIFICATION!$C$8:$C$24,MATCH($C2045,DATA_ASSET_CLASSIFICATION!$A$8:$A$24,0)),"Review"))</f>
        <v>Yes</v>
      </c>
      <c r="Q2045" s="350" t="str">
        <f t="shared" ca="1" si="63"/>
        <v>OK</v>
      </c>
    </row>
    <row r="2046" spans="1:17">
      <c r="A2046" s="366" t="s">
        <v>4002</v>
      </c>
      <c r="B2046" s="366" t="s">
        <v>231</v>
      </c>
      <c r="C2046" s="348" t="str">
        <f>DATA_PROPERTY_MASTER!$A$11</f>
        <v>BLD_EE</v>
      </c>
      <c r="D2046" s="380">
        <f>'00_PORTFOLIO ROLLUP'!F$12</f>
        <v>2026</v>
      </c>
      <c r="E2046" s="366" t="s">
        <v>1683</v>
      </c>
      <c r="F2046" s="366" t="s">
        <v>355</v>
      </c>
      <c r="G2046" s="348" t="str">
        <f>"'"&amp;$C2046&amp;"'!$E$39:$Y$39"</f>
        <v>'BLD_EE'!$E$39:$Y$39</v>
      </c>
      <c r="H2046" s="381">
        <f ca="1">IF(IFERROR(INDEX(DATA_PROPERTY_MASTER!$E$5:$E$21,MATCH($C2046,DATA_PROPERTY_MASTER!$A$5:$A$21,0))="Yes",FALSE),IFERROR(INDEX(INDIRECT("'"&amp;$C2046&amp;"'!$E$39:$Y$39"),1,MATCH($D2046,INDIRECT("'"&amp;$C2046&amp;"'!$E$12:$Y$12"),0)),0),0)</f>
        <v>225658.16000000003</v>
      </c>
      <c r="I2046" s="366" t="s">
        <v>1690</v>
      </c>
      <c r="J2046" s="348" t="str">
        <f t="shared" ca="1" si="62"/>
        <v>OK</v>
      </c>
      <c r="K2046" s="366" t="s">
        <v>1686</v>
      </c>
      <c r="L2046" s="366" t="s">
        <v>2236</v>
      </c>
      <c r="M2046" s="350" t="str">
        <f>IF($B2046="Portfolio","Portfolio",IFERROR(INDEX(DATA_ASSET_CLASSIFICATION!$B$8:$B$24,MATCH($C2046,DATA_ASSET_CLASSIFICATION!$A$8:$A$24,0)),"Review"))</f>
        <v>Evelyn Estates</v>
      </c>
      <c r="N2046" s="350" t="str">
        <f ca="1">IF($B2046="Portfolio","Portfolio",IFERROR(INDEX(DATA_ASSET_CLASSIFICATION!$U$8:$U$24,MATCH($C2046,DATA_ASSET_CLASSIFICATION!$A$8:$A$24,0)),"Review"))</f>
        <v>Refi Watch</v>
      </c>
      <c r="O2046" s="350" t="str">
        <f ca="1">IF($B2046="Portfolio","Portfolio",IFERROR(INDEX(DATA_ASSET_CLASSIFICATION!$AB$8:$AB$13,MATCH($N2046,DATA_ASSET_CLASSIFICATION!$AA$8:$AA$13,0)),"Review"))</f>
        <v>Bucket 2 · Legacy</v>
      </c>
      <c r="P2046" s="350" t="str">
        <f>IF($B2046="Portfolio","Portfolio",IFERROR(INDEX(DATA_ASSET_CLASSIFICATION!$C$8:$C$24,MATCH($C2046,DATA_ASSET_CLASSIFICATION!$A$8:$A$24,0)),"Review"))</f>
        <v>Yes</v>
      </c>
      <c r="Q2046" s="350" t="str">
        <f t="shared" ca="1" si="63"/>
        <v>OK</v>
      </c>
    </row>
    <row r="2047" spans="1:17">
      <c r="A2047" s="366" t="s">
        <v>4003</v>
      </c>
      <c r="B2047" s="366" t="s">
        <v>231</v>
      </c>
      <c r="C2047" s="348" t="str">
        <f>DATA_PROPERTY_MASTER!$A$11</f>
        <v>BLD_EE</v>
      </c>
      <c r="D2047" s="380">
        <f>'00_PORTFOLIO ROLLUP'!F$12</f>
        <v>2026</v>
      </c>
      <c r="E2047" s="366" t="s">
        <v>1683</v>
      </c>
      <c r="F2047" s="366" t="s">
        <v>19</v>
      </c>
      <c r="G2047" s="348" t="str">
        <f>"'"&amp;$C2047&amp;"'!$E$41:$Y$41"</f>
        <v>'BLD_EE'!$E$41:$Y$41</v>
      </c>
      <c r="H2047" s="381">
        <f ca="1">IF(IFERROR(INDEX(DATA_PROPERTY_MASTER!$E$5:$E$21,MATCH($C2047,DATA_PROPERTY_MASTER!$A$5:$A$21,0))="Yes",FALSE),IFERROR(INDEX(INDIRECT("'"&amp;$C2047&amp;"'!$E$41:$Y$41"),1,MATCH($D2047,INDIRECT("'"&amp;$C2047&amp;"'!$E$12:$Y$12"),0)),0),0)</f>
        <v>207348.16816</v>
      </c>
      <c r="I2047" s="366" t="s">
        <v>1685</v>
      </c>
      <c r="J2047" s="348" t="str">
        <f t="shared" ca="1" si="62"/>
        <v>OK</v>
      </c>
      <c r="K2047" s="366" t="s">
        <v>1694</v>
      </c>
      <c r="L2047" s="366" t="s">
        <v>2238</v>
      </c>
      <c r="M2047" s="350" t="str">
        <f>IF($B2047="Portfolio","Portfolio",IFERROR(INDEX(DATA_ASSET_CLASSIFICATION!$B$8:$B$24,MATCH($C2047,DATA_ASSET_CLASSIFICATION!$A$8:$A$24,0)),"Review"))</f>
        <v>Evelyn Estates</v>
      </c>
      <c r="N2047" s="350" t="str">
        <f ca="1">IF($B2047="Portfolio","Portfolio",IFERROR(INDEX(DATA_ASSET_CLASSIFICATION!$U$8:$U$24,MATCH($C2047,DATA_ASSET_CLASSIFICATION!$A$8:$A$24,0)),"Review"))</f>
        <v>Refi Watch</v>
      </c>
      <c r="O2047" s="350" t="str">
        <f ca="1">IF($B2047="Portfolio","Portfolio",IFERROR(INDEX(DATA_ASSET_CLASSIFICATION!$AB$8:$AB$13,MATCH($N2047,DATA_ASSET_CLASSIFICATION!$AA$8:$AA$13,0)),"Review"))</f>
        <v>Bucket 2 · Legacy</v>
      </c>
      <c r="P2047" s="350" t="str">
        <f>IF($B2047="Portfolio","Portfolio",IFERROR(INDEX(DATA_ASSET_CLASSIFICATION!$C$8:$C$24,MATCH($C2047,DATA_ASSET_CLASSIFICATION!$A$8:$A$24,0)),"Review"))</f>
        <v>Yes</v>
      </c>
      <c r="Q2047" s="350" t="str">
        <f t="shared" ca="1" si="63"/>
        <v>OK</v>
      </c>
    </row>
    <row r="2048" spans="1:17">
      <c r="A2048" s="366" t="s">
        <v>4004</v>
      </c>
      <c r="B2048" s="366" t="s">
        <v>231</v>
      </c>
      <c r="C2048" s="348" t="str">
        <f>DATA_PROPERTY_MASTER!$A$11</f>
        <v>BLD_EE</v>
      </c>
      <c r="D2048" s="380">
        <f>'00_PORTFOLIO ROLLUP'!F$12</f>
        <v>2026</v>
      </c>
      <c r="E2048" s="366" t="s">
        <v>1683</v>
      </c>
      <c r="F2048" s="366" t="s">
        <v>1697</v>
      </c>
      <c r="G2048" s="348" t="str">
        <f>"'"&amp;$C2048&amp;"'!$E$44:$Y$44"</f>
        <v>'BLD_EE'!$E$44:$Y$44</v>
      </c>
      <c r="H2048" s="381">
        <f ca="1">IF(IFERROR(INDEX(DATA_PROPERTY_MASTER!$E$5:$E$21,MATCH($C2048,DATA_PROPERTY_MASTER!$A$5:$A$21,0))="Yes",FALSE),IFERROR(INDEX(INDIRECT("'"&amp;$C2048&amp;"'!$E$44:$Y$44"),1,MATCH($D2048,INDIRECT("'"&amp;$C2048&amp;"'!$E$12:$Y$12"),0)),0),0)</f>
        <v>5508</v>
      </c>
      <c r="I2048" s="366" t="s">
        <v>1690</v>
      </c>
      <c r="J2048" s="348" t="str">
        <f t="shared" ca="1" si="62"/>
        <v>OK</v>
      </c>
      <c r="K2048" s="366" t="s">
        <v>1699</v>
      </c>
      <c r="L2048" s="366" t="s">
        <v>2240</v>
      </c>
      <c r="M2048" s="350" t="str">
        <f>IF($B2048="Portfolio","Portfolio",IFERROR(INDEX(DATA_ASSET_CLASSIFICATION!$B$8:$B$24,MATCH($C2048,DATA_ASSET_CLASSIFICATION!$A$8:$A$24,0)),"Review"))</f>
        <v>Evelyn Estates</v>
      </c>
      <c r="N2048" s="350" t="str">
        <f ca="1">IF($B2048="Portfolio","Portfolio",IFERROR(INDEX(DATA_ASSET_CLASSIFICATION!$U$8:$U$24,MATCH($C2048,DATA_ASSET_CLASSIFICATION!$A$8:$A$24,0)),"Review"))</f>
        <v>Refi Watch</v>
      </c>
      <c r="O2048" s="350" t="str">
        <f ca="1">IF($B2048="Portfolio","Portfolio",IFERROR(INDEX(DATA_ASSET_CLASSIFICATION!$AB$8:$AB$13,MATCH($N2048,DATA_ASSET_CLASSIFICATION!$AA$8:$AA$13,0)),"Review"))</f>
        <v>Bucket 2 · Legacy</v>
      </c>
      <c r="P2048" s="350" t="str">
        <f>IF($B2048="Portfolio","Portfolio",IFERROR(INDEX(DATA_ASSET_CLASSIFICATION!$C$8:$C$24,MATCH($C2048,DATA_ASSET_CLASSIFICATION!$A$8:$A$24,0)),"Review"))</f>
        <v>Yes</v>
      </c>
      <c r="Q2048" s="350" t="str">
        <f t="shared" ca="1" si="63"/>
        <v>OK</v>
      </c>
    </row>
    <row r="2049" spans="1:17">
      <c r="A2049" s="366" t="s">
        <v>4005</v>
      </c>
      <c r="B2049" s="366" t="s">
        <v>231</v>
      </c>
      <c r="C2049" s="348" t="str">
        <f>DATA_PROPERTY_MASTER!$A$11</f>
        <v>BLD_EE</v>
      </c>
      <c r="D2049" s="380">
        <f>'00_PORTFOLIO ROLLUP'!F$12</f>
        <v>2026</v>
      </c>
      <c r="E2049" s="366" t="s">
        <v>1683</v>
      </c>
      <c r="F2049" s="366" t="s">
        <v>21</v>
      </c>
      <c r="G2049" s="348" t="str">
        <f>"'"&amp;$C2049&amp;"'!$E$45:$Y$45"</f>
        <v>'BLD_EE'!$E$45:$Y$45</v>
      </c>
      <c r="H2049" s="381">
        <f ca="1">IF(IFERROR(INDEX(DATA_PROPERTY_MASTER!$E$5:$E$21,MATCH($C2049,DATA_PROPERTY_MASTER!$A$5:$A$21,0))="Yes",FALSE),IFERROR(INDEX(INDIRECT("'"&amp;$C2049&amp;"'!$E$45:$Y$45"),1,MATCH($D2049,INDIRECT("'"&amp;$C2049&amp;"'!$E$12:$Y$12"),0)),0),0)</f>
        <v>201840.16816</v>
      </c>
      <c r="I2049" s="366" t="s">
        <v>1685</v>
      </c>
      <c r="J2049" s="348" t="str">
        <f t="shared" ca="1" si="62"/>
        <v>OK</v>
      </c>
      <c r="K2049" s="366" t="s">
        <v>1694</v>
      </c>
      <c r="L2049" s="366" t="s">
        <v>2242</v>
      </c>
      <c r="M2049" s="350" t="str">
        <f>IF($B2049="Portfolio","Portfolio",IFERROR(INDEX(DATA_ASSET_CLASSIFICATION!$B$8:$B$24,MATCH($C2049,DATA_ASSET_CLASSIFICATION!$A$8:$A$24,0)),"Review"))</f>
        <v>Evelyn Estates</v>
      </c>
      <c r="N2049" s="350" t="str">
        <f ca="1">IF($B2049="Portfolio","Portfolio",IFERROR(INDEX(DATA_ASSET_CLASSIFICATION!$U$8:$U$24,MATCH($C2049,DATA_ASSET_CLASSIFICATION!$A$8:$A$24,0)),"Review"))</f>
        <v>Refi Watch</v>
      </c>
      <c r="O2049" s="350" t="str">
        <f ca="1">IF($B2049="Portfolio","Portfolio",IFERROR(INDEX(DATA_ASSET_CLASSIFICATION!$AB$8:$AB$13,MATCH($N2049,DATA_ASSET_CLASSIFICATION!$AA$8:$AA$13,0)),"Review"))</f>
        <v>Bucket 2 · Legacy</v>
      </c>
      <c r="P2049" s="350" t="str">
        <f>IF($B2049="Portfolio","Portfolio",IFERROR(INDEX(DATA_ASSET_CLASSIFICATION!$C$8:$C$24,MATCH($C2049,DATA_ASSET_CLASSIFICATION!$A$8:$A$24,0)),"Review"))</f>
        <v>Yes</v>
      </c>
      <c r="Q2049" s="350" t="str">
        <f t="shared" ca="1" si="63"/>
        <v>OK</v>
      </c>
    </row>
    <row r="2050" spans="1:17">
      <c r="A2050" s="366" t="s">
        <v>4006</v>
      </c>
      <c r="B2050" s="366" t="s">
        <v>231</v>
      </c>
      <c r="C2050" s="348" t="str">
        <f>DATA_PROPERTY_MASTER!$A$11</f>
        <v>BLD_EE</v>
      </c>
      <c r="D2050" s="380">
        <f>'00_PORTFOLIO ROLLUP'!F$12</f>
        <v>2026</v>
      </c>
      <c r="E2050" s="366" t="s">
        <v>23</v>
      </c>
      <c r="F2050" s="366" t="s">
        <v>23</v>
      </c>
      <c r="G2050" s="348" t="str">
        <f>"'"&amp;$C2050&amp;"'!$E$48:$Y$48"</f>
        <v>'BLD_EE'!$E$48:$Y$48</v>
      </c>
      <c r="H2050" s="381">
        <f ca="1">IF(IFERROR(INDEX(DATA_PROPERTY_MASTER!$E$5:$E$21,MATCH($C2050,DATA_PROPERTY_MASTER!$A$5:$A$21,0))="Yes",FALSE),IFERROR(INDEX(INDIRECT("'"&amp;$C2050&amp;"'!$E$48:$Y$48"),1,MATCH($D2050,INDIRECT("'"&amp;$C2050&amp;"'!$E$12:$Y$12"),0)),0),0)</f>
        <v>244376.04</v>
      </c>
      <c r="I2050" s="366" t="s">
        <v>1690</v>
      </c>
      <c r="J2050" s="348" t="str">
        <f t="shared" ca="1" si="62"/>
        <v>OK</v>
      </c>
      <c r="K2050" s="366" t="s">
        <v>1706</v>
      </c>
      <c r="L2050" s="366" t="s">
        <v>2244</v>
      </c>
      <c r="M2050" s="350" t="str">
        <f>IF($B2050="Portfolio","Portfolio",IFERROR(INDEX(DATA_ASSET_CLASSIFICATION!$B$8:$B$24,MATCH($C2050,DATA_ASSET_CLASSIFICATION!$A$8:$A$24,0)),"Review"))</f>
        <v>Evelyn Estates</v>
      </c>
      <c r="N2050" s="350" t="str">
        <f ca="1">IF($B2050="Portfolio","Portfolio",IFERROR(INDEX(DATA_ASSET_CLASSIFICATION!$U$8:$U$24,MATCH($C2050,DATA_ASSET_CLASSIFICATION!$A$8:$A$24,0)),"Review"))</f>
        <v>Refi Watch</v>
      </c>
      <c r="O2050" s="350" t="str">
        <f ca="1">IF($B2050="Portfolio","Portfolio",IFERROR(INDEX(DATA_ASSET_CLASSIFICATION!$AB$8:$AB$13,MATCH($N2050,DATA_ASSET_CLASSIFICATION!$AA$8:$AA$13,0)),"Review"))</f>
        <v>Bucket 2 · Legacy</v>
      </c>
      <c r="P2050" s="350" t="str">
        <f>IF($B2050="Portfolio","Portfolio",IFERROR(INDEX(DATA_ASSET_CLASSIFICATION!$C$8:$C$24,MATCH($C2050,DATA_ASSET_CLASSIFICATION!$A$8:$A$24,0)),"Review"))</f>
        <v>Yes</v>
      </c>
      <c r="Q2050" s="350" t="str">
        <f t="shared" ca="1" si="63"/>
        <v>OK</v>
      </c>
    </row>
    <row r="2051" spans="1:17">
      <c r="A2051" s="366" t="s">
        <v>4007</v>
      </c>
      <c r="B2051" s="366" t="s">
        <v>231</v>
      </c>
      <c r="C2051" s="348" t="str">
        <f>DATA_PROPERTY_MASTER!$A$11</f>
        <v>BLD_EE</v>
      </c>
      <c r="D2051" s="380">
        <f>'00_PORTFOLIO ROLLUP'!F$12</f>
        <v>2026</v>
      </c>
      <c r="E2051" s="366" t="s">
        <v>1683</v>
      </c>
      <c r="F2051" s="366" t="s">
        <v>25</v>
      </c>
      <c r="G2051" s="348" t="str">
        <f>"'"&amp;$C2051&amp;"'!$E$52:$Y$52"</f>
        <v>'BLD_EE'!$E$52:$Y$52</v>
      </c>
      <c r="H2051" s="381">
        <f ca="1">IF(IFERROR(INDEX(DATA_PROPERTY_MASTER!$E$5:$E$21,MATCH($C2051,DATA_PROPERTY_MASTER!$A$5:$A$21,0))="Yes",FALSE),IFERROR(INDEX(INDIRECT("'"&amp;$C2051&amp;"'!$E$52:$Y$52"),1,MATCH($D2051,INDIRECT("'"&amp;$C2051&amp;"'!$E$12:$Y$12"),0)),0),0)</f>
        <v>-37027.871840000007</v>
      </c>
      <c r="I2051" s="366" t="s">
        <v>1685</v>
      </c>
      <c r="J2051" s="348" t="str">
        <f t="shared" ca="1" si="62"/>
        <v>OK</v>
      </c>
      <c r="K2051" s="366" t="s">
        <v>1710</v>
      </c>
      <c r="L2051" s="366" t="s">
        <v>2246</v>
      </c>
      <c r="M2051" s="350" t="str">
        <f>IF($B2051="Portfolio","Portfolio",IFERROR(INDEX(DATA_ASSET_CLASSIFICATION!$B$8:$B$24,MATCH($C2051,DATA_ASSET_CLASSIFICATION!$A$8:$A$24,0)),"Review"))</f>
        <v>Evelyn Estates</v>
      </c>
      <c r="N2051" s="350" t="str">
        <f ca="1">IF($B2051="Portfolio","Portfolio",IFERROR(INDEX(DATA_ASSET_CLASSIFICATION!$U$8:$U$24,MATCH($C2051,DATA_ASSET_CLASSIFICATION!$A$8:$A$24,0)),"Review"))</f>
        <v>Refi Watch</v>
      </c>
      <c r="O2051" s="350" t="str">
        <f ca="1">IF($B2051="Portfolio","Portfolio",IFERROR(INDEX(DATA_ASSET_CLASSIFICATION!$AB$8:$AB$13,MATCH($N2051,DATA_ASSET_CLASSIFICATION!$AA$8:$AA$13,0)),"Review"))</f>
        <v>Bucket 2 · Legacy</v>
      </c>
      <c r="P2051" s="350" t="str">
        <f>IF($B2051="Portfolio","Portfolio",IFERROR(INDEX(DATA_ASSET_CLASSIFICATION!$C$8:$C$24,MATCH($C2051,DATA_ASSET_CLASSIFICATION!$A$8:$A$24,0)),"Review"))</f>
        <v>Yes</v>
      </c>
      <c r="Q2051" s="350" t="str">
        <f t="shared" ca="1" si="63"/>
        <v>OK</v>
      </c>
    </row>
    <row r="2052" spans="1:17">
      <c r="A2052" s="366" t="s">
        <v>4008</v>
      </c>
      <c r="B2052" s="366" t="s">
        <v>231</v>
      </c>
      <c r="C2052" s="348" t="str">
        <f>DATA_PROPERTY_MASTER!$A$11</f>
        <v>BLD_EE</v>
      </c>
      <c r="D2052" s="380">
        <f>'00_PORTFOLIO ROLLUP'!F$12</f>
        <v>2026</v>
      </c>
      <c r="E2052" s="366" t="s">
        <v>1683</v>
      </c>
      <c r="F2052" s="366" t="s">
        <v>27</v>
      </c>
      <c r="G2052" s="348" t="str">
        <f>"'"&amp;$C2052&amp;"'!$E$54:$Y$54"</f>
        <v>'BLD_EE'!$E$54:$Y$54</v>
      </c>
      <c r="H2052" s="381">
        <f ca="1">IF(IFERROR(INDEX(DATA_PROPERTY_MASTER!$E$5:$E$21,MATCH($C2052,DATA_PROPERTY_MASTER!$A$5:$A$21,0))="Yes",FALSE),IFERROR(INDEX(INDIRECT("'"&amp;$C2052&amp;"'!$E$54:$Y$54"),1,MATCH($D2052,INDIRECT("'"&amp;$C2052&amp;"'!$E$12:$Y$12"),0)),0),0)</f>
        <v>0</v>
      </c>
      <c r="I2052" s="366" t="s">
        <v>1690</v>
      </c>
      <c r="J2052" s="348" t="str">
        <f t="shared" ca="1" si="62"/>
        <v>OK</v>
      </c>
      <c r="K2052" s="366" t="s">
        <v>1714</v>
      </c>
      <c r="L2052" s="366" t="s">
        <v>2248</v>
      </c>
      <c r="M2052" s="350" t="str">
        <f>IF($B2052="Portfolio","Portfolio",IFERROR(INDEX(DATA_ASSET_CLASSIFICATION!$B$8:$B$24,MATCH($C2052,DATA_ASSET_CLASSIFICATION!$A$8:$A$24,0)),"Review"))</f>
        <v>Evelyn Estates</v>
      </c>
      <c r="N2052" s="350" t="str">
        <f ca="1">IF($B2052="Portfolio","Portfolio",IFERROR(INDEX(DATA_ASSET_CLASSIFICATION!$U$8:$U$24,MATCH($C2052,DATA_ASSET_CLASSIFICATION!$A$8:$A$24,0)),"Review"))</f>
        <v>Refi Watch</v>
      </c>
      <c r="O2052" s="350" t="str">
        <f ca="1">IF($B2052="Portfolio","Portfolio",IFERROR(INDEX(DATA_ASSET_CLASSIFICATION!$AB$8:$AB$13,MATCH($N2052,DATA_ASSET_CLASSIFICATION!$AA$8:$AA$13,0)),"Review"))</f>
        <v>Bucket 2 · Legacy</v>
      </c>
      <c r="P2052" s="350" t="str">
        <f>IF($B2052="Portfolio","Portfolio",IFERROR(INDEX(DATA_ASSET_CLASSIFICATION!$C$8:$C$24,MATCH($C2052,DATA_ASSET_CLASSIFICATION!$A$8:$A$24,0)),"Review"))</f>
        <v>Yes</v>
      </c>
      <c r="Q2052" s="350" t="str">
        <f t="shared" ca="1" si="63"/>
        <v>OK</v>
      </c>
    </row>
    <row r="2053" spans="1:17">
      <c r="A2053" s="366" t="s">
        <v>4009</v>
      </c>
      <c r="B2053" s="366" t="s">
        <v>231</v>
      </c>
      <c r="C2053" s="348" t="str">
        <f>DATA_PROPERTY_MASTER!$A$11</f>
        <v>BLD_EE</v>
      </c>
      <c r="D2053" s="380">
        <f>'00_PORTFOLIO ROLLUP'!F$12</f>
        <v>2026</v>
      </c>
      <c r="E2053" s="366" t="s">
        <v>1683</v>
      </c>
      <c r="F2053" s="366" t="s">
        <v>29</v>
      </c>
      <c r="G2053" s="348" t="str">
        <f>"'"&amp;$C2053&amp;"'!$E$56:$Y$56"</f>
        <v>'BLD_EE'!$E$56:$Y$56</v>
      </c>
      <c r="H2053" s="381">
        <f ca="1">IF(IFERROR(INDEX(DATA_PROPERTY_MASTER!$E$5:$E$21,MATCH($C2053,DATA_PROPERTY_MASTER!$A$5:$A$21,0))="Yes",FALSE),IFERROR(INDEX(INDIRECT("'"&amp;$C2053&amp;"'!$E$56:$Y$56"),1,MATCH($D2053,INDIRECT("'"&amp;$C2053&amp;"'!$E$12:$Y$12"),0)),0),0)</f>
        <v>-37027.871840000007</v>
      </c>
      <c r="I2053" s="366" t="s">
        <v>1685</v>
      </c>
      <c r="J2053" s="348" t="str">
        <f t="shared" ref="J2053:J2116" ca="1" si="64">IF($F2053="Residual Funding Gap",IF($H2053&gt;0,"Funding Gap","OK"),IF(AND($F2053="Net Refinance Position",$H2053&lt;0),"Negative net refi position","OK"))</f>
        <v>OK</v>
      </c>
      <c r="K2053" s="366" t="s">
        <v>1718</v>
      </c>
      <c r="L2053" s="366" t="s">
        <v>2250</v>
      </c>
      <c r="M2053" s="350" t="str">
        <f>IF($B2053="Portfolio","Portfolio",IFERROR(INDEX(DATA_ASSET_CLASSIFICATION!$B$8:$B$24,MATCH($C2053,DATA_ASSET_CLASSIFICATION!$A$8:$A$24,0)),"Review"))</f>
        <v>Evelyn Estates</v>
      </c>
      <c r="N2053" s="350" t="str">
        <f ca="1">IF($B2053="Portfolio","Portfolio",IFERROR(INDEX(DATA_ASSET_CLASSIFICATION!$U$8:$U$24,MATCH($C2053,DATA_ASSET_CLASSIFICATION!$A$8:$A$24,0)),"Review"))</f>
        <v>Refi Watch</v>
      </c>
      <c r="O2053" s="350" t="str">
        <f ca="1">IF($B2053="Portfolio","Portfolio",IFERROR(INDEX(DATA_ASSET_CLASSIFICATION!$AB$8:$AB$13,MATCH($N2053,DATA_ASSET_CLASSIFICATION!$AA$8:$AA$13,0)),"Review"))</f>
        <v>Bucket 2 · Legacy</v>
      </c>
      <c r="P2053" s="350" t="str">
        <f>IF($B2053="Portfolio","Portfolio",IFERROR(INDEX(DATA_ASSET_CLASSIFICATION!$C$8:$C$24,MATCH($C2053,DATA_ASSET_CLASSIFICATION!$A$8:$A$24,0)),"Review"))</f>
        <v>Yes</v>
      </c>
      <c r="Q2053" s="350" t="str">
        <f t="shared" ref="Q2053:Q2116" ca="1" si="65">IF(AND($B2053="Property",$F2053="Residual Funding Gap",$H2053&gt;0),"Property Funding Gap",IF($J2053&lt;&gt;"OK",$J2053,"OK"))</f>
        <v>OK</v>
      </c>
    </row>
    <row r="2054" spans="1:17">
      <c r="A2054" s="366" t="s">
        <v>4010</v>
      </c>
      <c r="B2054" s="366" t="s">
        <v>231</v>
      </c>
      <c r="C2054" s="348" t="str">
        <f>DATA_PROPERTY_MASTER!$A$11</f>
        <v>BLD_EE</v>
      </c>
      <c r="D2054" s="380">
        <f>'00_PORTFOLIO ROLLUP'!F$12</f>
        <v>2026</v>
      </c>
      <c r="E2054" s="366" t="s">
        <v>1721</v>
      </c>
      <c r="F2054" s="366" t="s">
        <v>31</v>
      </c>
      <c r="G2054" s="348" t="str">
        <f>"'"&amp;$C2054&amp;"'!$E$61:$Y$61"</f>
        <v>'BLD_EE'!$E$61:$Y$61</v>
      </c>
      <c r="H2054" s="381">
        <f ca="1">IF(IFERROR(INDEX(DATA_PROPERTY_MASTER!$E$5:$E$21,MATCH($C2054,DATA_PROPERTY_MASTER!$A$5:$A$21,0))="Yes",FALSE),IFERROR(INDEX(INDIRECT("'"&amp;$C2054&amp;"'!$E$61:$Y$61"),1,MATCH($D2054,INDIRECT("'"&amp;$C2054&amp;"'!$E$12:$Y$12"),0)),0),0)</f>
        <v>0</v>
      </c>
      <c r="I2054" s="366" t="s">
        <v>1690</v>
      </c>
      <c r="J2054" s="348" t="str">
        <f t="shared" ca="1" si="64"/>
        <v>OK</v>
      </c>
      <c r="K2054" s="366" t="s">
        <v>1723</v>
      </c>
      <c r="L2054" s="366" t="s">
        <v>2252</v>
      </c>
      <c r="M2054" s="350" t="str">
        <f>IF($B2054="Portfolio","Portfolio",IFERROR(INDEX(DATA_ASSET_CLASSIFICATION!$B$8:$B$24,MATCH($C2054,DATA_ASSET_CLASSIFICATION!$A$8:$A$24,0)),"Review"))</f>
        <v>Evelyn Estates</v>
      </c>
      <c r="N2054" s="350" t="str">
        <f ca="1">IF($B2054="Portfolio","Portfolio",IFERROR(INDEX(DATA_ASSET_CLASSIFICATION!$U$8:$U$24,MATCH($C2054,DATA_ASSET_CLASSIFICATION!$A$8:$A$24,0)),"Review"))</f>
        <v>Refi Watch</v>
      </c>
      <c r="O2054" s="350" t="str">
        <f ca="1">IF($B2054="Portfolio","Portfolio",IFERROR(INDEX(DATA_ASSET_CLASSIFICATION!$AB$8:$AB$13,MATCH($N2054,DATA_ASSET_CLASSIFICATION!$AA$8:$AA$13,0)),"Review"))</f>
        <v>Bucket 2 · Legacy</v>
      </c>
      <c r="P2054" s="350" t="str">
        <f>IF($B2054="Portfolio","Portfolio",IFERROR(INDEX(DATA_ASSET_CLASSIFICATION!$C$8:$C$24,MATCH($C2054,DATA_ASSET_CLASSIFICATION!$A$8:$A$24,0)),"Review"))</f>
        <v>Yes</v>
      </c>
      <c r="Q2054" s="350" t="str">
        <f t="shared" ca="1" si="65"/>
        <v>OK</v>
      </c>
    </row>
    <row r="2055" spans="1:17">
      <c r="A2055" s="366" t="s">
        <v>4011</v>
      </c>
      <c r="B2055" s="366" t="s">
        <v>231</v>
      </c>
      <c r="C2055" s="348" t="str">
        <f>DATA_PROPERTY_MASTER!$A$11</f>
        <v>BLD_EE</v>
      </c>
      <c r="D2055" s="380">
        <f>'00_PORTFOLIO ROLLUP'!F$12</f>
        <v>2026</v>
      </c>
      <c r="E2055" s="366" t="s">
        <v>1721</v>
      </c>
      <c r="F2055" s="366" t="s">
        <v>33</v>
      </c>
      <c r="G2055" s="348" t="str">
        <f>"'"&amp;$C2055&amp;"'!$E$62:$Y$62"</f>
        <v>'BLD_EE'!$E$62:$Y$62</v>
      </c>
      <c r="H2055" s="381">
        <f ca="1">IF(IFERROR(INDEX(DATA_PROPERTY_MASTER!$E$5:$E$21,MATCH($C2055,DATA_PROPERTY_MASTER!$A$5:$A$21,0))="Yes",FALSE),IFERROR(INDEX(INDIRECT("'"&amp;$C2055&amp;"'!$E$62:$Y$62"),1,MATCH($D2055,INDIRECT("'"&amp;$C2055&amp;"'!$E$12:$Y$12"),0)),0),0)</f>
        <v>0</v>
      </c>
      <c r="I2055" s="366" t="s">
        <v>1685</v>
      </c>
      <c r="J2055" s="348" t="str">
        <f t="shared" ca="1" si="64"/>
        <v>OK</v>
      </c>
      <c r="K2055" s="366" t="s">
        <v>1727</v>
      </c>
      <c r="L2055" s="366" t="s">
        <v>2254</v>
      </c>
      <c r="M2055" s="350" t="str">
        <f>IF($B2055="Portfolio","Portfolio",IFERROR(INDEX(DATA_ASSET_CLASSIFICATION!$B$8:$B$24,MATCH($C2055,DATA_ASSET_CLASSIFICATION!$A$8:$A$24,0)),"Review"))</f>
        <v>Evelyn Estates</v>
      </c>
      <c r="N2055" s="350" t="str">
        <f ca="1">IF($B2055="Portfolio","Portfolio",IFERROR(INDEX(DATA_ASSET_CLASSIFICATION!$U$8:$U$24,MATCH($C2055,DATA_ASSET_CLASSIFICATION!$A$8:$A$24,0)),"Review"))</f>
        <v>Refi Watch</v>
      </c>
      <c r="O2055" s="350" t="str">
        <f ca="1">IF($B2055="Portfolio","Portfolio",IFERROR(INDEX(DATA_ASSET_CLASSIFICATION!$AB$8:$AB$13,MATCH($N2055,DATA_ASSET_CLASSIFICATION!$AA$8:$AA$13,0)),"Review"))</f>
        <v>Bucket 2 · Legacy</v>
      </c>
      <c r="P2055" s="350" t="str">
        <f>IF($B2055="Portfolio","Portfolio",IFERROR(INDEX(DATA_ASSET_CLASSIFICATION!$C$8:$C$24,MATCH($C2055,DATA_ASSET_CLASSIFICATION!$A$8:$A$24,0)),"Review"))</f>
        <v>Yes</v>
      </c>
      <c r="Q2055" s="350" t="str">
        <f t="shared" ca="1" si="65"/>
        <v>OK</v>
      </c>
    </row>
    <row r="2056" spans="1:17">
      <c r="A2056" s="366" t="s">
        <v>4012</v>
      </c>
      <c r="B2056" s="366" t="s">
        <v>231</v>
      </c>
      <c r="C2056" s="348" t="str">
        <f>DATA_PROPERTY_MASTER!$A$11</f>
        <v>BLD_EE</v>
      </c>
      <c r="D2056" s="380">
        <f>'00_PORTFOLIO ROLLUP'!F$12</f>
        <v>2026</v>
      </c>
      <c r="E2056" s="366" t="s">
        <v>1721</v>
      </c>
      <c r="F2056" s="366" t="s">
        <v>35</v>
      </c>
      <c r="G2056" s="348" t="str">
        <f>"'"&amp;$C2056&amp;"'!$E$63:$Y$63"</f>
        <v>'BLD_EE'!$E$63:$Y$63</v>
      </c>
      <c r="H2056" s="381">
        <f ca="1">IF(IFERROR(INDEX(DATA_PROPERTY_MASTER!$E$5:$E$21,MATCH($C2056,DATA_PROPERTY_MASTER!$A$5:$A$21,0))="Yes",FALSE),IFERROR(INDEX(INDIRECT("'"&amp;$C2056&amp;"'!$E$63:$Y$63"),1,MATCH($D2056,INDIRECT("'"&amp;$C2056&amp;"'!$E$12:$Y$12"),0)),0),0)</f>
        <v>0</v>
      </c>
      <c r="I2056" s="366" t="s">
        <v>1731</v>
      </c>
      <c r="J2056" s="348" t="str">
        <f t="shared" ca="1" si="64"/>
        <v>OK</v>
      </c>
      <c r="K2056" s="366" t="s">
        <v>1732</v>
      </c>
      <c r="L2056" s="366" t="s">
        <v>2256</v>
      </c>
      <c r="M2056" s="350" t="str">
        <f>IF($B2056="Portfolio","Portfolio",IFERROR(INDEX(DATA_ASSET_CLASSIFICATION!$B$8:$B$24,MATCH($C2056,DATA_ASSET_CLASSIFICATION!$A$8:$A$24,0)),"Review"))</f>
        <v>Evelyn Estates</v>
      </c>
      <c r="N2056" s="350" t="str">
        <f ca="1">IF($B2056="Portfolio","Portfolio",IFERROR(INDEX(DATA_ASSET_CLASSIFICATION!$U$8:$U$24,MATCH($C2056,DATA_ASSET_CLASSIFICATION!$A$8:$A$24,0)),"Review"))</f>
        <v>Refi Watch</v>
      </c>
      <c r="O2056" s="350" t="str">
        <f ca="1">IF($B2056="Portfolio","Portfolio",IFERROR(INDEX(DATA_ASSET_CLASSIFICATION!$AB$8:$AB$13,MATCH($N2056,DATA_ASSET_CLASSIFICATION!$AA$8:$AA$13,0)),"Review"))</f>
        <v>Bucket 2 · Legacy</v>
      </c>
      <c r="P2056" s="350" t="str">
        <f>IF($B2056="Portfolio","Portfolio",IFERROR(INDEX(DATA_ASSET_CLASSIFICATION!$C$8:$C$24,MATCH($C2056,DATA_ASSET_CLASSIFICATION!$A$8:$A$24,0)),"Review"))</f>
        <v>Yes</v>
      </c>
      <c r="Q2056" s="350" t="str">
        <f t="shared" ca="1" si="65"/>
        <v>OK</v>
      </c>
    </row>
    <row r="2057" spans="1:17">
      <c r="A2057" s="366" t="s">
        <v>4013</v>
      </c>
      <c r="B2057" s="366" t="s">
        <v>231</v>
      </c>
      <c r="C2057" s="348" t="str">
        <f>DATA_PROPERTY_MASTER!$A$11</f>
        <v>BLD_EE</v>
      </c>
      <c r="D2057" s="380">
        <f>'00_PORTFOLIO ROLLUP'!F$12</f>
        <v>2026</v>
      </c>
      <c r="E2057" s="366" t="s">
        <v>1721</v>
      </c>
      <c r="F2057" s="366" t="s">
        <v>37</v>
      </c>
      <c r="G2057" s="348" t="str">
        <f>"'"&amp;$C2057&amp;"'!$E$63:$Y$63"</f>
        <v>'BLD_EE'!$E$63:$Y$63</v>
      </c>
      <c r="H2057" s="381">
        <f ca="1">IF(IFERROR(INDEX(DATA_PROPERTY_MASTER!$E$5:$E$21,MATCH($C2057,DATA_PROPERTY_MASTER!$A$5:$A$21,0))="Yes",FALSE),MAX(IFERROR(INDEX(INDIRECT("'"&amp;$C2057&amp;"'!$E$63:$Y$63"),1,MATCH($D2057,INDIRECT("'"&amp;$C2057&amp;"'!$E$12:$Y$12"),0)),0),0),0)</f>
        <v>0</v>
      </c>
      <c r="I2057" s="366" t="s">
        <v>1685</v>
      </c>
      <c r="J2057" s="348" t="str">
        <f t="shared" ca="1" si="64"/>
        <v>OK</v>
      </c>
      <c r="K2057" s="366" t="s">
        <v>1735</v>
      </c>
      <c r="L2057" s="366" t="s">
        <v>2258</v>
      </c>
      <c r="M2057" s="350" t="str">
        <f>IF($B2057="Portfolio","Portfolio",IFERROR(INDEX(DATA_ASSET_CLASSIFICATION!$B$8:$B$24,MATCH($C2057,DATA_ASSET_CLASSIFICATION!$A$8:$A$24,0)),"Review"))</f>
        <v>Evelyn Estates</v>
      </c>
      <c r="N2057" s="350" t="str">
        <f ca="1">IF($B2057="Portfolio","Portfolio",IFERROR(INDEX(DATA_ASSET_CLASSIFICATION!$U$8:$U$24,MATCH($C2057,DATA_ASSET_CLASSIFICATION!$A$8:$A$24,0)),"Review"))</f>
        <v>Refi Watch</v>
      </c>
      <c r="O2057" s="350" t="str">
        <f ca="1">IF($B2057="Portfolio","Portfolio",IFERROR(INDEX(DATA_ASSET_CLASSIFICATION!$AB$8:$AB$13,MATCH($N2057,DATA_ASSET_CLASSIFICATION!$AA$8:$AA$13,0)),"Review"))</f>
        <v>Bucket 2 · Legacy</v>
      </c>
      <c r="P2057" s="350" t="str">
        <f>IF($B2057="Portfolio","Portfolio",IFERROR(INDEX(DATA_ASSET_CLASSIFICATION!$C$8:$C$24,MATCH($C2057,DATA_ASSET_CLASSIFICATION!$A$8:$A$24,0)),"Review"))</f>
        <v>Yes</v>
      </c>
      <c r="Q2057" s="350" t="str">
        <f t="shared" ca="1" si="65"/>
        <v>OK</v>
      </c>
    </row>
    <row r="2058" spans="1:17">
      <c r="A2058" s="366" t="s">
        <v>4014</v>
      </c>
      <c r="B2058" s="366" t="s">
        <v>231</v>
      </c>
      <c r="C2058" s="348" t="str">
        <f>DATA_PROPERTY_MASTER!$A$11</f>
        <v>BLD_EE</v>
      </c>
      <c r="D2058" s="380">
        <f>'00_PORTFOLIO ROLLUP'!F$12</f>
        <v>2026</v>
      </c>
      <c r="E2058" s="366" t="s">
        <v>1721</v>
      </c>
      <c r="F2058" s="366" t="s">
        <v>39</v>
      </c>
      <c r="G2058" s="348" t="str">
        <f>"'"&amp;$C2058&amp;"'!$E$63:$Y$63"</f>
        <v>'BLD_EE'!$E$63:$Y$63</v>
      </c>
      <c r="H2058" s="381">
        <f ca="1">IF(IFERROR(INDEX(DATA_PROPERTY_MASTER!$E$5:$E$21,MATCH($C2058,DATA_PROPERTY_MASTER!$A$5:$A$21,0))="Yes",FALSE),MAX(-IFERROR(INDEX(INDIRECT("'"&amp;$C2058&amp;"'!$E$63:$Y$63"),1,MATCH($D2058,INDIRECT("'"&amp;$C2058&amp;"'!$E$12:$Y$12"),0)),0),0),0)</f>
        <v>0</v>
      </c>
      <c r="I2058" s="366" t="s">
        <v>1690</v>
      </c>
      <c r="J2058" s="348" t="str">
        <f t="shared" ca="1" si="64"/>
        <v>OK</v>
      </c>
      <c r="K2058" s="366" t="s">
        <v>1738</v>
      </c>
      <c r="L2058" s="366" t="s">
        <v>2260</v>
      </c>
      <c r="M2058" s="350" t="str">
        <f>IF($B2058="Portfolio","Portfolio",IFERROR(INDEX(DATA_ASSET_CLASSIFICATION!$B$8:$B$24,MATCH($C2058,DATA_ASSET_CLASSIFICATION!$A$8:$A$24,0)),"Review"))</f>
        <v>Evelyn Estates</v>
      </c>
      <c r="N2058" s="350" t="str">
        <f ca="1">IF($B2058="Portfolio","Portfolio",IFERROR(INDEX(DATA_ASSET_CLASSIFICATION!$U$8:$U$24,MATCH($C2058,DATA_ASSET_CLASSIFICATION!$A$8:$A$24,0)),"Review"))</f>
        <v>Refi Watch</v>
      </c>
      <c r="O2058" s="350" t="str">
        <f ca="1">IF($B2058="Portfolio","Portfolio",IFERROR(INDEX(DATA_ASSET_CLASSIFICATION!$AB$8:$AB$13,MATCH($N2058,DATA_ASSET_CLASSIFICATION!$AA$8:$AA$13,0)),"Review"))</f>
        <v>Bucket 2 · Legacy</v>
      </c>
      <c r="P2058" s="350" t="str">
        <f>IF($B2058="Portfolio","Portfolio",IFERROR(INDEX(DATA_ASSET_CLASSIFICATION!$C$8:$C$24,MATCH($C2058,DATA_ASSET_CLASSIFICATION!$A$8:$A$24,0)),"Review"))</f>
        <v>Yes</v>
      </c>
      <c r="Q2058" s="350" t="str">
        <f t="shared" ca="1" si="65"/>
        <v>OK</v>
      </c>
    </row>
    <row r="2059" spans="1:17">
      <c r="A2059" s="366" t="s">
        <v>4015</v>
      </c>
      <c r="B2059" s="366" t="s">
        <v>231</v>
      </c>
      <c r="C2059" s="348" t="str">
        <f>DATA_PROPERTY_MASTER!$A$11</f>
        <v>BLD_EE</v>
      </c>
      <c r="D2059" s="380">
        <f>'00_PORTFOLIO ROLLUP'!F$12</f>
        <v>2026</v>
      </c>
      <c r="E2059" s="366" t="s">
        <v>1741</v>
      </c>
      <c r="F2059" s="366" t="s">
        <v>41</v>
      </c>
      <c r="G2059" s="348" t="str">
        <f>"'"&amp;$C2059&amp;"'!rows 56 + positive row 63"</f>
        <v>'BLD_EE'!rows 56 + positive row 63</v>
      </c>
      <c r="H2059" s="381">
        <f ca="1">IF(IFERROR(INDEX(DATA_PROPERTY_MASTER!$E$5:$E$21,MATCH($C2059,DATA_PROPERTY_MASTER!$A$5:$A$21,0))="Yes",FALSE),IFERROR(INDEX(INDIRECT("'"&amp;$C2059&amp;"'!$E$56:$Y$56"),1,MATCH($D2059,INDIRECT("'"&amp;$C2059&amp;"'!$E$12:$Y$12"),0)),0)+MAX(IFERROR(INDEX(INDIRECT("'"&amp;$C2059&amp;"'!$E$63:$Y$63"),1,MATCH($D2059,INDIRECT("'"&amp;$C2059&amp;"'!$E$12:$Y$12"),0)),0),0),0)</f>
        <v>-37027.871840000007</v>
      </c>
      <c r="I2059" s="366" t="s">
        <v>1685</v>
      </c>
      <c r="J2059" s="348" t="str">
        <f t="shared" ca="1" si="64"/>
        <v>OK</v>
      </c>
      <c r="K2059" s="366" t="s">
        <v>1742</v>
      </c>
      <c r="L2059" s="366" t="s">
        <v>2262</v>
      </c>
      <c r="M2059" s="350" t="str">
        <f>IF($B2059="Portfolio","Portfolio",IFERROR(INDEX(DATA_ASSET_CLASSIFICATION!$B$8:$B$24,MATCH($C2059,DATA_ASSET_CLASSIFICATION!$A$8:$A$24,0)),"Review"))</f>
        <v>Evelyn Estates</v>
      </c>
      <c r="N2059" s="350" t="str">
        <f ca="1">IF($B2059="Portfolio","Portfolio",IFERROR(INDEX(DATA_ASSET_CLASSIFICATION!$U$8:$U$24,MATCH($C2059,DATA_ASSET_CLASSIFICATION!$A$8:$A$24,0)),"Review"))</f>
        <v>Refi Watch</v>
      </c>
      <c r="O2059" s="350" t="str">
        <f ca="1">IF($B2059="Portfolio","Portfolio",IFERROR(INDEX(DATA_ASSET_CLASSIFICATION!$AB$8:$AB$13,MATCH($N2059,DATA_ASSET_CLASSIFICATION!$AA$8:$AA$13,0)),"Review"))</f>
        <v>Bucket 2 · Legacy</v>
      </c>
      <c r="P2059" s="350" t="str">
        <f>IF($B2059="Portfolio","Portfolio",IFERROR(INDEX(DATA_ASSET_CLASSIFICATION!$C$8:$C$24,MATCH($C2059,DATA_ASSET_CLASSIFICATION!$A$8:$A$24,0)),"Review"))</f>
        <v>Yes</v>
      </c>
      <c r="Q2059" s="350" t="str">
        <f t="shared" ca="1" si="65"/>
        <v>OK</v>
      </c>
    </row>
    <row r="2060" spans="1:17">
      <c r="A2060" s="366" t="s">
        <v>4016</v>
      </c>
      <c r="B2060" s="366" t="s">
        <v>231</v>
      </c>
      <c r="C2060" s="348" t="str">
        <f>DATA_PROPERTY_MASTER!$A$11</f>
        <v>BLD_EE</v>
      </c>
      <c r="D2060" s="380">
        <f>'00_PORTFOLIO ROLLUP'!F$12</f>
        <v>2026</v>
      </c>
      <c r="E2060" s="366" t="s">
        <v>1741</v>
      </c>
      <c r="F2060" s="366" t="s">
        <v>43</v>
      </c>
      <c r="G2060" s="348" t="str">
        <f>"'"&amp;$C2060&amp;"'!$E$68:$Y$68"</f>
        <v>'BLD_EE'!$E$68:$Y$68</v>
      </c>
      <c r="H2060" s="381">
        <f ca="1">IF(IFERROR(INDEX(DATA_PROPERTY_MASTER!$E$5:$E$21,MATCH($C2060,DATA_PROPERTY_MASTER!$A$5:$A$21,0))="Yes",FALSE),IFERROR(INDEX(INDIRECT("'"&amp;$C2060&amp;"'!$E$68:$Y$68"),1,MATCH($D2060,INDIRECT("'"&amp;$C2060&amp;"'!$E$12:$Y$12"),0)),0),0)</f>
        <v>-37027.871840000007</v>
      </c>
      <c r="I2060" s="366" t="s">
        <v>1731</v>
      </c>
      <c r="J2060" s="348" t="str">
        <f t="shared" ca="1" si="64"/>
        <v>OK</v>
      </c>
      <c r="K2060" s="366" t="s">
        <v>1746</v>
      </c>
      <c r="L2060" s="366" t="s">
        <v>2264</v>
      </c>
      <c r="M2060" s="350" t="str">
        <f>IF($B2060="Portfolio","Portfolio",IFERROR(INDEX(DATA_ASSET_CLASSIFICATION!$B$8:$B$24,MATCH($C2060,DATA_ASSET_CLASSIFICATION!$A$8:$A$24,0)),"Review"))</f>
        <v>Evelyn Estates</v>
      </c>
      <c r="N2060" s="350" t="str">
        <f ca="1">IF($B2060="Portfolio","Portfolio",IFERROR(INDEX(DATA_ASSET_CLASSIFICATION!$U$8:$U$24,MATCH($C2060,DATA_ASSET_CLASSIFICATION!$A$8:$A$24,0)),"Review"))</f>
        <v>Refi Watch</v>
      </c>
      <c r="O2060" s="350" t="str">
        <f ca="1">IF($B2060="Portfolio","Portfolio",IFERROR(INDEX(DATA_ASSET_CLASSIFICATION!$AB$8:$AB$13,MATCH($N2060,DATA_ASSET_CLASSIFICATION!$AA$8:$AA$13,0)),"Review"))</f>
        <v>Bucket 2 · Legacy</v>
      </c>
      <c r="P2060" s="350" t="str">
        <f>IF($B2060="Portfolio","Portfolio",IFERROR(INDEX(DATA_ASSET_CLASSIFICATION!$C$8:$C$24,MATCH($C2060,DATA_ASSET_CLASSIFICATION!$A$8:$A$24,0)),"Review"))</f>
        <v>Yes</v>
      </c>
      <c r="Q2060" s="350" t="str">
        <f t="shared" ca="1" si="65"/>
        <v>OK</v>
      </c>
    </row>
    <row r="2061" spans="1:17">
      <c r="A2061" s="366" t="s">
        <v>4017</v>
      </c>
      <c r="B2061" s="366" t="s">
        <v>231</v>
      </c>
      <c r="C2061" s="348" t="str">
        <f>DATA_PROPERTY_MASTER!$A$11</f>
        <v>BLD_EE</v>
      </c>
      <c r="D2061" s="380">
        <f>'00_PORTFOLIO ROLLUP'!F$12</f>
        <v>2026</v>
      </c>
      <c r="E2061" s="366" t="s">
        <v>1741</v>
      </c>
      <c r="F2061" s="366" t="s">
        <v>1749</v>
      </c>
      <c r="G2061" s="348" t="str">
        <f>"'"&amp;$C2061&amp;"'!rows 56, 63, 68"</f>
        <v>'BLD_EE'!rows 56, 63, 68</v>
      </c>
      <c r="H2061" s="381">
        <f ca="1">IF(IFERROR(INDEX(DATA_PROPERTY_MASTER!$E$5:$E$21,MATCH($C2061,DATA_PROPERTY_MASTER!$A$5:$A$21,0))="Yes",FALSE),(IFERROR(INDEX(INDIRECT("'"&amp;$C2061&amp;"'!$E$56:$Y$56"),1,MATCH($D2061,INDIRECT("'"&amp;$C2061&amp;"'!$E$12:$Y$12"),0)),0)+MAX(IFERROR(INDEX(INDIRECT("'"&amp;$C2061&amp;"'!$E$63:$Y$63"),1,MATCH($D2061,INDIRECT("'"&amp;$C2061&amp;"'!$E$12:$Y$12"),0)),0),0))-(IFERROR(INDEX(INDIRECT("'"&amp;$C2061&amp;"'!$E$68:$Y$68"),1,MATCH($D2061,INDIRECT("'"&amp;$C2061&amp;"'!$E$12:$Y$12"),0)),0)),0)</f>
        <v>0</v>
      </c>
      <c r="I2061" s="366" t="s">
        <v>1750</v>
      </c>
      <c r="J2061" s="348" t="str">
        <f t="shared" ca="1" si="64"/>
        <v>OK</v>
      </c>
      <c r="K2061" s="366" t="s">
        <v>1751</v>
      </c>
      <c r="L2061" s="366" t="s">
        <v>2266</v>
      </c>
      <c r="M2061" s="350" t="str">
        <f>IF($B2061="Portfolio","Portfolio",IFERROR(INDEX(DATA_ASSET_CLASSIFICATION!$B$8:$B$24,MATCH($C2061,DATA_ASSET_CLASSIFICATION!$A$8:$A$24,0)),"Review"))</f>
        <v>Evelyn Estates</v>
      </c>
      <c r="N2061" s="350" t="str">
        <f ca="1">IF($B2061="Portfolio","Portfolio",IFERROR(INDEX(DATA_ASSET_CLASSIFICATION!$U$8:$U$24,MATCH($C2061,DATA_ASSET_CLASSIFICATION!$A$8:$A$24,0)),"Review"))</f>
        <v>Refi Watch</v>
      </c>
      <c r="O2061" s="350" t="str">
        <f ca="1">IF($B2061="Portfolio","Portfolio",IFERROR(INDEX(DATA_ASSET_CLASSIFICATION!$AB$8:$AB$13,MATCH($N2061,DATA_ASSET_CLASSIFICATION!$AA$8:$AA$13,0)),"Review"))</f>
        <v>Bucket 2 · Legacy</v>
      </c>
      <c r="P2061" s="350" t="str">
        <f>IF($B2061="Portfolio","Portfolio",IFERROR(INDEX(DATA_ASSET_CLASSIFICATION!$C$8:$C$24,MATCH($C2061,DATA_ASSET_CLASSIFICATION!$A$8:$A$24,0)),"Review"))</f>
        <v>Yes</v>
      </c>
      <c r="Q2061" s="350" t="str">
        <f t="shared" ca="1" si="65"/>
        <v>OK</v>
      </c>
    </row>
    <row r="2062" spans="1:17">
      <c r="A2062" s="366" t="s">
        <v>4018</v>
      </c>
      <c r="B2062" s="366" t="s">
        <v>231</v>
      </c>
      <c r="C2062" s="348" t="str">
        <f>DATA_PROPERTY_MASTER!$A$11</f>
        <v>BLD_EE</v>
      </c>
      <c r="D2062" s="380">
        <f>'00_PORTFOLIO ROLLUP'!G$12</f>
        <v>2027</v>
      </c>
      <c r="E2062" s="366" t="s">
        <v>1683</v>
      </c>
      <c r="F2062" s="366" t="s">
        <v>341</v>
      </c>
      <c r="G2062" s="348" t="str">
        <f>"'"&amp;$C2062&amp;"'!$E$24:$Y$24"</f>
        <v>'BLD_EE'!$E$24:$Y$24</v>
      </c>
      <c r="H2062" s="381">
        <f ca="1">IF(IFERROR(INDEX(DATA_PROPERTY_MASTER!$E$5:$E$21,MATCH($C2062,DATA_PROPERTY_MASTER!$A$5:$A$21,0))="Yes",FALSE),IFERROR(INDEX(INDIRECT("'"&amp;$C2062&amp;"'!$E$24:$Y$24"),1,MATCH($D2062,INDIRECT("'"&amp;$C2062&amp;"'!$E$12:$Y$12"),0)),0),0)</f>
        <v>441666.4547232</v>
      </c>
      <c r="I2062" s="366" t="s">
        <v>1685</v>
      </c>
      <c r="J2062" s="348" t="str">
        <f t="shared" ca="1" si="64"/>
        <v>OK</v>
      </c>
      <c r="K2062" s="366" t="s">
        <v>1686</v>
      </c>
      <c r="L2062" s="366" t="s">
        <v>2234</v>
      </c>
      <c r="M2062" s="350" t="str">
        <f>IF($B2062="Portfolio","Portfolio",IFERROR(INDEX(DATA_ASSET_CLASSIFICATION!$B$8:$B$24,MATCH($C2062,DATA_ASSET_CLASSIFICATION!$A$8:$A$24,0)),"Review"))</f>
        <v>Evelyn Estates</v>
      </c>
      <c r="N2062" s="350" t="str">
        <f ca="1">IF($B2062="Portfolio","Portfolio",IFERROR(INDEX(DATA_ASSET_CLASSIFICATION!$U$8:$U$24,MATCH($C2062,DATA_ASSET_CLASSIFICATION!$A$8:$A$24,0)),"Review"))</f>
        <v>Refi Watch</v>
      </c>
      <c r="O2062" s="350" t="str">
        <f ca="1">IF($B2062="Portfolio","Portfolio",IFERROR(INDEX(DATA_ASSET_CLASSIFICATION!$AB$8:$AB$13,MATCH($N2062,DATA_ASSET_CLASSIFICATION!$AA$8:$AA$13,0)),"Review"))</f>
        <v>Bucket 2 · Legacy</v>
      </c>
      <c r="P2062" s="350" t="str">
        <f>IF($B2062="Portfolio","Portfolio",IFERROR(INDEX(DATA_ASSET_CLASSIFICATION!$C$8:$C$24,MATCH($C2062,DATA_ASSET_CLASSIFICATION!$A$8:$A$24,0)),"Review"))</f>
        <v>Yes</v>
      </c>
      <c r="Q2062" s="350" t="str">
        <f t="shared" ca="1" si="65"/>
        <v>OK</v>
      </c>
    </row>
    <row r="2063" spans="1:17">
      <c r="A2063" s="366" t="s">
        <v>4019</v>
      </c>
      <c r="B2063" s="366" t="s">
        <v>231</v>
      </c>
      <c r="C2063" s="348" t="str">
        <f>DATA_PROPERTY_MASTER!$A$11</f>
        <v>BLD_EE</v>
      </c>
      <c r="D2063" s="380">
        <f>'00_PORTFOLIO ROLLUP'!G$12</f>
        <v>2027</v>
      </c>
      <c r="E2063" s="366" t="s">
        <v>1683</v>
      </c>
      <c r="F2063" s="366" t="s">
        <v>355</v>
      </c>
      <c r="G2063" s="348" t="str">
        <f>"'"&amp;$C2063&amp;"'!$E$39:$Y$39"</f>
        <v>'BLD_EE'!$E$39:$Y$39</v>
      </c>
      <c r="H2063" s="381">
        <f ca="1">IF(IFERROR(INDEX(DATA_PROPERTY_MASTER!$E$5:$E$21,MATCH($C2063,DATA_PROPERTY_MASTER!$A$5:$A$21,0))="Yes",FALSE),IFERROR(INDEX(INDIRECT("'"&amp;$C2063&amp;"'!$E$39:$Y$39"),1,MATCH($D2063,INDIRECT("'"&amp;$C2063&amp;"'!$E$12:$Y$12"),0)),0),0)</f>
        <v>234684.48640000002</v>
      </c>
      <c r="I2063" s="366" t="s">
        <v>1690</v>
      </c>
      <c r="J2063" s="348" t="str">
        <f t="shared" ca="1" si="64"/>
        <v>OK</v>
      </c>
      <c r="K2063" s="366" t="s">
        <v>1686</v>
      </c>
      <c r="L2063" s="366" t="s">
        <v>2236</v>
      </c>
      <c r="M2063" s="350" t="str">
        <f>IF($B2063="Portfolio","Portfolio",IFERROR(INDEX(DATA_ASSET_CLASSIFICATION!$B$8:$B$24,MATCH($C2063,DATA_ASSET_CLASSIFICATION!$A$8:$A$24,0)),"Review"))</f>
        <v>Evelyn Estates</v>
      </c>
      <c r="N2063" s="350" t="str">
        <f ca="1">IF($B2063="Portfolio","Portfolio",IFERROR(INDEX(DATA_ASSET_CLASSIFICATION!$U$8:$U$24,MATCH($C2063,DATA_ASSET_CLASSIFICATION!$A$8:$A$24,0)),"Review"))</f>
        <v>Refi Watch</v>
      </c>
      <c r="O2063" s="350" t="str">
        <f ca="1">IF($B2063="Portfolio","Portfolio",IFERROR(INDEX(DATA_ASSET_CLASSIFICATION!$AB$8:$AB$13,MATCH($N2063,DATA_ASSET_CLASSIFICATION!$AA$8:$AA$13,0)),"Review"))</f>
        <v>Bucket 2 · Legacy</v>
      </c>
      <c r="P2063" s="350" t="str">
        <f>IF($B2063="Portfolio","Portfolio",IFERROR(INDEX(DATA_ASSET_CLASSIFICATION!$C$8:$C$24,MATCH($C2063,DATA_ASSET_CLASSIFICATION!$A$8:$A$24,0)),"Review"))</f>
        <v>Yes</v>
      </c>
      <c r="Q2063" s="350" t="str">
        <f t="shared" ca="1" si="65"/>
        <v>OK</v>
      </c>
    </row>
    <row r="2064" spans="1:17">
      <c r="A2064" s="366" t="s">
        <v>4020</v>
      </c>
      <c r="B2064" s="366" t="s">
        <v>231</v>
      </c>
      <c r="C2064" s="348" t="str">
        <f>DATA_PROPERTY_MASTER!$A$11</f>
        <v>BLD_EE</v>
      </c>
      <c r="D2064" s="380">
        <f>'00_PORTFOLIO ROLLUP'!G$12</f>
        <v>2027</v>
      </c>
      <c r="E2064" s="366" t="s">
        <v>1683</v>
      </c>
      <c r="F2064" s="366" t="s">
        <v>19</v>
      </c>
      <c r="G2064" s="348" t="str">
        <f>"'"&amp;$C2064&amp;"'!$E$41:$Y$41"</f>
        <v>'BLD_EE'!$E$41:$Y$41</v>
      </c>
      <c r="H2064" s="381">
        <f ca="1">IF(IFERROR(INDEX(DATA_PROPERTY_MASTER!$E$5:$E$21,MATCH($C2064,DATA_PROPERTY_MASTER!$A$5:$A$21,0))="Yes",FALSE),IFERROR(INDEX(INDIRECT("'"&amp;$C2064&amp;"'!$E$41:$Y$41"),1,MATCH($D2064,INDIRECT("'"&amp;$C2064&amp;"'!$E$12:$Y$12"),0)),0),0)</f>
        <v>206981.96832319998</v>
      </c>
      <c r="I2064" s="366" t="s">
        <v>1685</v>
      </c>
      <c r="J2064" s="348" t="str">
        <f t="shared" ca="1" si="64"/>
        <v>OK</v>
      </c>
      <c r="K2064" s="366" t="s">
        <v>1694</v>
      </c>
      <c r="L2064" s="366" t="s">
        <v>2238</v>
      </c>
      <c r="M2064" s="350" t="str">
        <f>IF($B2064="Portfolio","Portfolio",IFERROR(INDEX(DATA_ASSET_CLASSIFICATION!$B$8:$B$24,MATCH($C2064,DATA_ASSET_CLASSIFICATION!$A$8:$A$24,0)),"Review"))</f>
        <v>Evelyn Estates</v>
      </c>
      <c r="N2064" s="350" t="str">
        <f ca="1">IF($B2064="Portfolio","Portfolio",IFERROR(INDEX(DATA_ASSET_CLASSIFICATION!$U$8:$U$24,MATCH($C2064,DATA_ASSET_CLASSIFICATION!$A$8:$A$24,0)),"Review"))</f>
        <v>Refi Watch</v>
      </c>
      <c r="O2064" s="350" t="str">
        <f ca="1">IF($B2064="Portfolio","Portfolio",IFERROR(INDEX(DATA_ASSET_CLASSIFICATION!$AB$8:$AB$13,MATCH($N2064,DATA_ASSET_CLASSIFICATION!$AA$8:$AA$13,0)),"Review"))</f>
        <v>Bucket 2 · Legacy</v>
      </c>
      <c r="P2064" s="350" t="str">
        <f>IF($B2064="Portfolio","Portfolio",IFERROR(INDEX(DATA_ASSET_CLASSIFICATION!$C$8:$C$24,MATCH($C2064,DATA_ASSET_CLASSIFICATION!$A$8:$A$24,0)),"Review"))</f>
        <v>Yes</v>
      </c>
      <c r="Q2064" s="350" t="str">
        <f t="shared" ca="1" si="65"/>
        <v>OK</v>
      </c>
    </row>
    <row r="2065" spans="1:17">
      <c r="A2065" s="366" t="s">
        <v>4021</v>
      </c>
      <c r="B2065" s="366" t="s">
        <v>231</v>
      </c>
      <c r="C2065" s="348" t="str">
        <f>DATA_PROPERTY_MASTER!$A$11</f>
        <v>BLD_EE</v>
      </c>
      <c r="D2065" s="380">
        <f>'00_PORTFOLIO ROLLUP'!G$12</f>
        <v>2027</v>
      </c>
      <c r="E2065" s="366" t="s">
        <v>1683</v>
      </c>
      <c r="F2065" s="366" t="s">
        <v>1697</v>
      </c>
      <c r="G2065" s="348" t="str">
        <f>"'"&amp;$C2065&amp;"'!$E$44:$Y$44"</f>
        <v>'BLD_EE'!$E$44:$Y$44</v>
      </c>
      <c r="H2065" s="381">
        <f ca="1">IF(IFERROR(INDEX(DATA_PROPERTY_MASTER!$E$5:$E$21,MATCH($C2065,DATA_PROPERTY_MASTER!$A$5:$A$21,0))="Yes",FALSE),IFERROR(INDEX(INDIRECT("'"&amp;$C2065&amp;"'!$E$44:$Y$44"),1,MATCH($D2065,INDIRECT("'"&amp;$C2065&amp;"'!$E$12:$Y$12"),0)),0),0)</f>
        <v>5618.16</v>
      </c>
      <c r="I2065" s="366" t="s">
        <v>1690</v>
      </c>
      <c r="J2065" s="348" t="str">
        <f t="shared" ca="1" si="64"/>
        <v>OK</v>
      </c>
      <c r="K2065" s="366" t="s">
        <v>1699</v>
      </c>
      <c r="L2065" s="366" t="s">
        <v>2240</v>
      </c>
      <c r="M2065" s="350" t="str">
        <f>IF($B2065="Portfolio","Portfolio",IFERROR(INDEX(DATA_ASSET_CLASSIFICATION!$B$8:$B$24,MATCH($C2065,DATA_ASSET_CLASSIFICATION!$A$8:$A$24,0)),"Review"))</f>
        <v>Evelyn Estates</v>
      </c>
      <c r="N2065" s="350" t="str">
        <f ca="1">IF($B2065="Portfolio","Portfolio",IFERROR(INDEX(DATA_ASSET_CLASSIFICATION!$U$8:$U$24,MATCH($C2065,DATA_ASSET_CLASSIFICATION!$A$8:$A$24,0)),"Review"))</f>
        <v>Refi Watch</v>
      </c>
      <c r="O2065" s="350" t="str">
        <f ca="1">IF($B2065="Portfolio","Portfolio",IFERROR(INDEX(DATA_ASSET_CLASSIFICATION!$AB$8:$AB$13,MATCH($N2065,DATA_ASSET_CLASSIFICATION!$AA$8:$AA$13,0)),"Review"))</f>
        <v>Bucket 2 · Legacy</v>
      </c>
      <c r="P2065" s="350" t="str">
        <f>IF($B2065="Portfolio","Portfolio",IFERROR(INDEX(DATA_ASSET_CLASSIFICATION!$C$8:$C$24,MATCH($C2065,DATA_ASSET_CLASSIFICATION!$A$8:$A$24,0)),"Review"))</f>
        <v>Yes</v>
      </c>
      <c r="Q2065" s="350" t="str">
        <f t="shared" ca="1" si="65"/>
        <v>OK</v>
      </c>
    </row>
    <row r="2066" spans="1:17">
      <c r="A2066" s="366" t="s">
        <v>4022</v>
      </c>
      <c r="B2066" s="366" t="s">
        <v>231</v>
      </c>
      <c r="C2066" s="348" t="str">
        <f>DATA_PROPERTY_MASTER!$A$11</f>
        <v>BLD_EE</v>
      </c>
      <c r="D2066" s="380">
        <f>'00_PORTFOLIO ROLLUP'!G$12</f>
        <v>2027</v>
      </c>
      <c r="E2066" s="366" t="s">
        <v>1683</v>
      </c>
      <c r="F2066" s="366" t="s">
        <v>21</v>
      </c>
      <c r="G2066" s="348" t="str">
        <f>"'"&amp;$C2066&amp;"'!$E$45:$Y$45"</f>
        <v>'BLD_EE'!$E$45:$Y$45</v>
      </c>
      <c r="H2066" s="381">
        <f ca="1">IF(IFERROR(INDEX(DATA_PROPERTY_MASTER!$E$5:$E$21,MATCH($C2066,DATA_PROPERTY_MASTER!$A$5:$A$21,0))="Yes",FALSE),IFERROR(INDEX(INDIRECT("'"&amp;$C2066&amp;"'!$E$45:$Y$45"),1,MATCH($D2066,INDIRECT("'"&amp;$C2066&amp;"'!$E$12:$Y$12"),0)),0),0)</f>
        <v>201363.80832319998</v>
      </c>
      <c r="I2066" s="366" t="s">
        <v>1685</v>
      </c>
      <c r="J2066" s="348" t="str">
        <f t="shared" ca="1" si="64"/>
        <v>OK</v>
      </c>
      <c r="K2066" s="366" t="s">
        <v>1694</v>
      </c>
      <c r="L2066" s="366" t="s">
        <v>2242</v>
      </c>
      <c r="M2066" s="350" t="str">
        <f>IF($B2066="Portfolio","Portfolio",IFERROR(INDEX(DATA_ASSET_CLASSIFICATION!$B$8:$B$24,MATCH($C2066,DATA_ASSET_CLASSIFICATION!$A$8:$A$24,0)),"Review"))</f>
        <v>Evelyn Estates</v>
      </c>
      <c r="N2066" s="350" t="str">
        <f ca="1">IF($B2066="Portfolio","Portfolio",IFERROR(INDEX(DATA_ASSET_CLASSIFICATION!$U$8:$U$24,MATCH($C2066,DATA_ASSET_CLASSIFICATION!$A$8:$A$24,0)),"Review"))</f>
        <v>Refi Watch</v>
      </c>
      <c r="O2066" s="350" t="str">
        <f ca="1">IF($B2066="Portfolio","Portfolio",IFERROR(INDEX(DATA_ASSET_CLASSIFICATION!$AB$8:$AB$13,MATCH($N2066,DATA_ASSET_CLASSIFICATION!$AA$8:$AA$13,0)),"Review"))</f>
        <v>Bucket 2 · Legacy</v>
      </c>
      <c r="P2066" s="350" t="str">
        <f>IF($B2066="Portfolio","Portfolio",IFERROR(INDEX(DATA_ASSET_CLASSIFICATION!$C$8:$C$24,MATCH($C2066,DATA_ASSET_CLASSIFICATION!$A$8:$A$24,0)),"Review"))</f>
        <v>Yes</v>
      </c>
      <c r="Q2066" s="350" t="str">
        <f t="shared" ca="1" si="65"/>
        <v>OK</v>
      </c>
    </row>
    <row r="2067" spans="1:17">
      <c r="A2067" s="366" t="s">
        <v>4023</v>
      </c>
      <c r="B2067" s="366" t="s">
        <v>231</v>
      </c>
      <c r="C2067" s="348" t="str">
        <f>DATA_PROPERTY_MASTER!$A$11</f>
        <v>BLD_EE</v>
      </c>
      <c r="D2067" s="380">
        <f>'00_PORTFOLIO ROLLUP'!G$12</f>
        <v>2027</v>
      </c>
      <c r="E2067" s="366" t="s">
        <v>23</v>
      </c>
      <c r="F2067" s="366" t="s">
        <v>23</v>
      </c>
      <c r="G2067" s="348" t="str">
        <f>"'"&amp;$C2067&amp;"'!$E$48:$Y$48"</f>
        <v>'BLD_EE'!$E$48:$Y$48</v>
      </c>
      <c r="H2067" s="381">
        <f ca="1">IF(IFERROR(INDEX(DATA_PROPERTY_MASTER!$E$5:$E$21,MATCH($C2067,DATA_PROPERTY_MASTER!$A$5:$A$21,0))="Yes",FALSE),IFERROR(INDEX(INDIRECT("'"&amp;$C2067&amp;"'!$E$48:$Y$48"),1,MATCH($D2067,INDIRECT("'"&amp;$C2067&amp;"'!$E$12:$Y$12"),0)),0),0)</f>
        <v>197958.03627290428</v>
      </c>
      <c r="I2067" s="366" t="s">
        <v>1690</v>
      </c>
      <c r="J2067" s="348" t="str">
        <f t="shared" ca="1" si="64"/>
        <v>OK</v>
      </c>
      <c r="K2067" s="366" t="s">
        <v>1706</v>
      </c>
      <c r="L2067" s="366" t="s">
        <v>2244</v>
      </c>
      <c r="M2067" s="350" t="str">
        <f>IF($B2067="Portfolio","Portfolio",IFERROR(INDEX(DATA_ASSET_CLASSIFICATION!$B$8:$B$24,MATCH($C2067,DATA_ASSET_CLASSIFICATION!$A$8:$A$24,0)),"Review"))</f>
        <v>Evelyn Estates</v>
      </c>
      <c r="N2067" s="350" t="str">
        <f ca="1">IF($B2067="Portfolio","Portfolio",IFERROR(INDEX(DATA_ASSET_CLASSIFICATION!$U$8:$U$24,MATCH($C2067,DATA_ASSET_CLASSIFICATION!$A$8:$A$24,0)),"Review"))</f>
        <v>Refi Watch</v>
      </c>
      <c r="O2067" s="350" t="str">
        <f ca="1">IF($B2067="Portfolio","Portfolio",IFERROR(INDEX(DATA_ASSET_CLASSIFICATION!$AB$8:$AB$13,MATCH($N2067,DATA_ASSET_CLASSIFICATION!$AA$8:$AA$13,0)),"Review"))</f>
        <v>Bucket 2 · Legacy</v>
      </c>
      <c r="P2067" s="350" t="str">
        <f>IF($B2067="Portfolio","Portfolio",IFERROR(INDEX(DATA_ASSET_CLASSIFICATION!$C$8:$C$24,MATCH($C2067,DATA_ASSET_CLASSIFICATION!$A$8:$A$24,0)),"Review"))</f>
        <v>Yes</v>
      </c>
      <c r="Q2067" s="350" t="str">
        <f t="shared" ca="1" si="65"/>
        <v>OK</v>
      </c>
    </row>
    <row r="2068" spans="1:17">
      <c r="A2068" s="366" t="s">
        <v>4024</v>
      </c>
      <c r="B2068" s="366" t="s">
        <v>231</v>
      </c>
      <c r="C2068" s="348" t="str">
        <f>DATA_PROPERTY_MASTER!$A$11</f>
        <v>BLD_EE</v>
      </c>
      <c r="D2068" s="380">
        <f>'00_PORTFOLIO ROLLUP'!G$12</f>
        <v>2027</v>
      </c>
      <c r="E2068" s="366" t="s">
        <v>1683</v>
      </c>
      <c r="F2068" s="366" t="s">
        <v>25</v>
      </c>
      <c r="G2068" s="348" t="str">
        <f>"'"&amp;$C2068&amp;"'!$E$52:$Y$52"</f>
        <v>'BLD_EE'!$E$52:$Y$52</v>
      </c>
      <c r="H2068" s="381">
        <f ca="1">IF(IFERROR(INDEX(DATA_PROPERTY_MASTER!$E$5:$E$21,MATCH($C2068,DATA_PROPERTY_MASTER!$A$5:$A$21,0))="Yes",FALSE),IFERROR(INDEX(INDIRECT("'"&amp;$C2068&amp;"'!$E$52:$Y$52"),1,MATCH($D2068,INDIRECT("'"&amp;$C2068&amp;"'!$E$12:$Y$12"),0)),0),0)</f>
        <v>9023.932050295698</v>
      </c>
      <c r="I2068" s="366" t="s">
        <v>1685</v>
      </c>
      <c r="J2068" s="348" t="str">
        <f t="shared" ca="1" si="64"/>
        <v>OK</v>
      </c>
      <c r="K2068" s="366" t="s">
        <v>1710</v>
      </c>
      <c r="L2068" s="366" t="s">
        <v>2246</v>
      </c>
      <c r="M2068" s="350" t="str">
        <f>IF($B2068="Portfolio","Portfolio",IFERROR(INDEX(DATA_ASSET_CLASSIFICATION!$B$8:$B$24,MATCH($C2068,DATA_ASSET_CLASSIFICATION!$A$8:$A$24,0)),"Review"))</f>
        <v>Evelyn Estates</v>
      </c>
      <c r="N2068" s="350" t="str">
        <f ca="1">IF($B2068="Portfolio","Portfolio",IFERROR(INDEX(DATA_ASSET_CLASSIFICATION!$U$8:$U$24,MATCH($C2068,DATA_ASSET_CLASSIFICATION!$A$8:$A$24,0)),"Review"))</f>
        <v>Refi Watch</v>
      </c>
      <c r="O2068" s="350" t="str">
        <f ca="1">IF($B2068="Portfolio","Portfolio",IFERROR(INDEX(DATA_ASSET_CLASSIFICATION!$AB$8:$AB$13,MATCH($N2068,DATA_ASSET_CLASSIFICATION!$AA$8:$AA$13,0)),"Review"))</f>
        <v>Bucket 2 · Legacy</v>
      </c>
      <c r="P2068" s="350" t="str">
        <f>IF($B2068="Portfolio","Portfolio",IFERROR(INDEX(DATA_ASSET_CLASSIFICATION!$C$8:$C$24,MATCH($C2068,DATA_ASSET_CLASSIFICATION!$A$8:$A$24,0)),"Review"))</f>
        <v>Yes</v>
      </c>
      <c r="Q2068" s="350" t="str">
        <f t="shared" ca="1" si="65"/>
        <v>OK</v>
      </c>
    </row>
    <row r="2069" spans="1:17">
      <c r="A2069" s="366" t="s">
        <v>4025</v>
      </c>
      <c r="B2069" s="366" t="s">
        <v>231</v>
      </c>
      <c r="C2069" s="348" t="str">
        <f>DATA_PROPERTY_MASTER!$A$11</f>
        <v>BLD_EE</v>
      </c>
      <c r="D2069" s="380">
        <f>'00_PORTFOLIO ROLLUP'!G$12</f>
        <v>2027</v>
      </c>
      <c r="E2069" s="366" t="s">
        <v>1683</v>
      </c>
      <c r="F2069" s="366" t="s">
        <v>27</v>
      </c>
      <c r="G2069" s="348" t="str">
        <f>"'"&amp;$C2069&amp;"'!$E$54:$Y$54"</f>
        <v>'BLD_EE'!$E$54:$Y$54</v>
      </c>
      <c r="H2069" s="381">
        <f ca="1">IF(IFERROR(INDEX(DATA_PROPERTY_MASTER!$E$5:$E$21,MATCH($C2069,DATA_PROPERTY_MASTER!$A$5:$A$21,0))="Yes",FALSE),IFERROR(INDEX(INDIRECT("'"&amp;$C2069&amp;"'!$E$54:$Y$54"),1,MATCH($D2069,INDIRECT("'"&amp;$C2069&amp;"'!$E$12:$Y$12"),0)),0),0)</f>
        <v>5414.3592301774188</v>
      </c>
      <c r="I2069" s="366" t="s">
        <v>1690</v>
      </c>
      <c r="J2069" s="348" t="str">
        <f t="shared" ca="1" si="64"/>
        <v>OK</v>
      </c>
      <c r="K2069" s="366" t="s">
        <v>1714</v>
      </c>
      <c r="L2069" s="366" t="s">
        <v>2248</v>
      </c>
      <c r="M2069" s="350" t="str">
        <f>IF($B2069="Portfolio","Portfolio",IFERROR(INDEX(DATA_ASSET_CLASSIFICATION!$B$8:$B$24,MATCH($C2069,DATA_ASSET_CLASSIFICATION!$A$8:$A$24,0)),"Review"))</f>
        <v>Evelyn Estates</v>
      </c>
      <c r="N2069" s="350" t="str">
        <f ca="1">IF($B2069="Portfolio","Portfolio",IFERROR(INDEX(DATA_ASSET_CLASSIFICATION!$U$8:$U$24,MATCH($C2069,DATA_ASSET_CLASSIFICATION!$A$8:$A$24,0)),"Review"))</f>
        <v>Refi Watch</v>
      </c>
      <c r="O2069" s="350" t="str">
        <f ca="1">IF($B2069="Portfolio","Portfolio",IFERROR(INDEX(DATA_ASSET_CLASSIFICATION!$AB$8:$AB$13,MATCH($N2069,DATA_ASSET_CLASSIFICATION!$AA$8:$AA$13,0)),"Review"))</f>
        <v>Bucket 2 · Legacy</v>
      </c>
      <c r="P2069" s="350" t="str">
        <f>IF($B2069="Portfolio","Portfolio",IFERROR(INDEX(DATA_ASSET_CLASSIFICATION!$C$8:$C$24,MATCH($C2069,DATA_ASSET_CLASSIFICATION!$A$8:$A$24,0)),"Review"))</f>
        <v>Yes</v>
      </c>
      <c r="Q2069" s="350" t="str">
        <f t="shared" ca="1" si="65"/>
        <v>OK</v>
      </c>
    </row>
    <row r="2070" spans="1:17">
      <c r="A2070" s="366" t="s">
        <v>4026</v>
      </c>
      <c r="B2070" s="366" t="s">
        <v>231</v>
      </c>
      <c r="C2070" s="348" t="str">
        <f>DATA_PROPERTY_MASTER!$A$11</f>
        <v>BLD_EE</v>
      </c>
      <c r="D2070" s="380">
        <f>'00_PORTFOLIO ROLLUP'!G$12</f>
        <v>2027</v>
      </c>
      <c r="E2070" s="366" t="s">
        <v>1683</v>
      </c>
      <c r="F2070" s="366" t="s">
        <v>29</v>
      </c>
      <c r="G2070" s="348" t="str">
        <f>"'"&amp;$C2070&amp;"'!$E$56:$Y$56"</f>
        <v>'BLD_EE'!$E$56:$Y$56</v>
      </c>
      <c r="H2070" s="381">
        <f ca="1">IF(IFERROR(INDEX(DATA_PROPERTY_MASTER!$E$5:$E$21,MATCH($C2070,DATA_PROPERTY_MASTER!$A$5:$A$21,0))="Yes",FALSE),IFERROR(INDEX(INDIRECT("'"&amp;$C2070&amp;"'!$E$56:$Y$56"),1,MATCH($D2070,INDIRECT("'"&amp;$C2070&amp;"'!$E$12:$Y$12"),0)),0),0)</f>
        <v>3609.5728201182792</v>
      </c>
      <c r="I2070" s="366" t="s">
        <v>1685</v>
      </c>
      <c r="J2070" s="348" t="str">
        <f t="shared" ca="1" si="64"/>
        <v>OK</v>
      </c>
      <c r="K2070" s="366" t="s">
        <v>1718</v>
      </c>
      <c r="L2070" s="366" t="s">
        <v>2250</v>
      </c>
      <c r="M2070" s="350" t="str">
        <f>IF($B2070="Portfolio","Portfolio",IFERROR(INDEX(DATA_ASSET_CLASSIFICATION!$B$8:$B$24,MATCH($C2070,DATA_ASSET_CLASSIFICATION!$A$8:$A$24,0)),"Review"))</f>
        <v>Evelyn Estates</v>
      </c>
      <c r="N2070" s="350" t="str">
        <f ca="1">IF($B2070="Portfolio","Portfolio",IFERROR(INDEX(DATA_ASSET_CLASSIFICATION!$U$8:$U$24,MATCH($C2070,DATA_ASSET_CLASSIFICATION!$A$8:$A$24,0)),"Review"))</f>
        <v>Refi Watch</v>
      </c>
      <c r="O2070" s="350" t="str">
        <f ca="1">IF($B2070="Portfolio","Portfolio",IFERROR(INDEX(DATA_ASSET_CLASSIFICATION!$AB$8:$AB$13,MATCH($N2070,DATA_ASSET_CLASSIFICATION!$AA$8:$AA$13,0)),"Review"))</f>
        <v>Bucket 2 · Legacy</v>
      </c>
      <c r="P2070" s="350" t="str">
        <f>IF($B2070="Portfolio","Portfolio",IFERROR(INDEX(DATA_ASSET_CLASSIFICATION!$C$8:$C$24,MATCH($C2070,DATA_ASSET_CLASSIFICATION!$A$8:$A$24,0)),"Review"))</f>
        <v>Yes</v>
      </c>
      <c r="Q2070" s="350" t="str">
        <f t="shared" ca="1" si="65"/>
        <v>OK</v>
      </c>
    </row>
    <row r="2071" spans="1:17">
      <c r="A2071" s="366" t="s">
        <v>4027</v>
      </c>
      <c r="B2071" s="366" t="s">
        <v>231</v>
      </c>
      <c r="C2071" s="348" t="str">
        <f>DATA_PROPERTY_MASTER!$A$11</f>
        <v>BLD_EE</v>
      </c>
      <c r="D2071" s="380">
        <f>'00_PORTFOLIO ROLLUP'!G$12</f>
        <v>2027</v>
      </c>
      <c r="E2071" s="366" t="s">
        <v>1721</v>
      </c>
      <c r="F2071" s="366" t="s">
        <v>31</v>
      </c>
      <c r="G2071" s="348" t="str">
        <f>"'"&amp;$C2071&amp;"'!$E$61:$Y$61"</f>
        <v>'BLD_EE'!$E$61:$Y$61</v>
      </c>
      <c r="H2071" s="381">
        <f ca="1">IF(IFERROR(INDEX(DATA_PROPERTY_MASTER!$E$5:$E$21,MATCH($C2071,DATA_PROPERTY_MASTER!$A$5:$A$21,0))="Yes",FALSE),IFERROR(INDEX(INDIRECT("'"&amp;$C2071&amp;"'!$E$61:$Y$61"),1,MATCH($D2071,INDIRECT("'"&amp;$C2071&amp;"'!$E$12:$Y$12"),0)),0),0)</f>
        <v>0</v>
      </c>
      <c r="I2071" s="366" t="s">
        <v>1690</v>
      </c>
      <c r="J2071" s="348" t="str">
        <f t="shared" ca="1" si="64"/>
        <v>OK</v>
      </c>
      <c r="K2071" s="366" t="s">
        <v>1723</v>
      </c>
      <c r="L2071" s="366" t="s">
        <v>2252</v>
      </c>
      <c r="M2071" s="350" t="str">
        <f>IF($B2071="Portfolio","Portfolio",IFERROR(INDEX(DATA_ASSET_CLASSIFICATION!$B$8:$B$24,MATCH($C2071,DATA_ASSET_CLASSIFICATION!$A$8:$A$24,0)),"Review"))</f>
        <v>Evelyn Estates</v>
      </c>
      <c r="N2071" s="350" t="str">
        <f ca="1">IF($B2071="Portfolio","Portfolio",IFERROR(INDEX(DATA_ASSET_CLASSIFICATION!$U$8:$U$24,MATCH($C2071,DATA_ASSET_CLASSIFICATION!$A$8:$A$24,0)),"Review"))</f>
        <v>Refi Watch</v>
      </c>
      <c r="O2071" s="350" t="str">
        <f ca="1">IF($B2071="Portfolio","Portfolio",IFERROR(INDEX(DATA_ASSET_CLASSIFICATION!$AB$8:$AB$13,MATCH($N2071,DATA_ASSET_CLASSIFICATION!$AA$8:$AA$13,0)),"Review"))</f>
        <v>Bucket 2 · Legacy</v>
      </c>
      <c r="P2071" s="350" t="str">
        <f>IF($B2071="Portfolio","Portfolio",IFERROR(INDEX(DATA_ASSET_CLASSIFICATION!$C$8:$C$24,MATCH($C2071,DATA_ASSET_CLASSIFICATION!$A$8:$A$24,0)),"Review"))</f>
        <v>Yes</v>
      </c>
      <c r="Q2071" s="350" t="str">
        <f t="shared" ca="1" si="65"/>
        <v>OK</v>
      </c>
    </row>
    <row r="2072" spans="1:17">
      <c r="A2072" s="366" t="s">
        <v>4028</v>
      </c>
      <c r="B2072" s="366" t="s">
        <v>231</v>
      </c>
      <c r="C2072" s="348" t="str">
        <f>DATA_PROPERTY_MASTER!$A$11</f>
        <v>BLD_EE</v>
      </c>
      <c r="D2072" s="380">
        <f>'00_PORTFOLIO ROLLUP'!G$12</f>
        <v>2027</v>
      </c>
      <c r="E2072" s="366" t="s">
        <v>1721</v>
      </c>
      <c r="F2072" s="366" t="s">
        <v>33</v>
      </c>
      <c r="G2072" s="348" t="str">
        <f>"'"&amp;$C2072&amp;"'!$E$62:$Y$62"</f>
        <v>'BLD_EE'!$E$62:$Y$62</v>
      </c>
      <c r="H2072" s="381">
        <f ca="1">IF(IFERROR(INDEX(DATA_PROPERTY_MASTER!$E$5:$E$21,MATCH($C2072,DATA_PROPERTY_MASTER!$A$5:$A$21,0))="Yes",FALSE),IFERROR(INDEX(INDIRECT("'"&amp;$C2072&amp;"'!$E$62:$Y$62"),1,MATCH($D2072,INDIRECT("'"&amp;$C2072&amp;"'!$E$12:$Y$12"),0)),0),0)</f>
        <v>0</v>
      </c>
      <c r="I2072" s="366" t="s">
        <v>1685</v>
      </c>
      <c r="J2072" s="348" t="str">
        <f t="shared" ca="1" si="64"/>
        <v>OK</v>
      </c>
      <c r="K2072" s="366" t="s">
        <v>1727</v>
      </c>
      <c r="L2072" s="366" t="s">
        <v>2254</v>
      </c>
      <c r="M2072" s="350" t="str">
        <f>IF($B2072="Portfolio","Portfolio",IFERROR(INDEX(DATA_ASSET_CLASSIFICATION!$B$8:$B$24,MATCH($C2072,DATA_ASSET_CLASSIFICATION!$A$8:$A$24,0)),"Review"))</f>
        <v>Evelyn Estates</v>
      </c>
      <c r="N2072" s="350" t="str">
        <f ca="1">IF($B2072="Portfolio","Portfolio",IFERROR(INDEX(DATA_ASSET_CLASSIFICATION!$U$8:$U$24,MATCH($C2072,DATA_ASSET_CLASSIFICATION!$A$8:$A$24,0)),"Review"))</f>
        <v>Refi Watch</v>
      </c>
      <c r="O2072" s="350" t="str">
        <f ca="1">IF($B2072="Portfolio","Portfolio",IFERROR(INDEX(DATA_ASSET_CLASSIFICATION!$AB$8:$AB$13,MATCH($N2072,DATA_ASSET_CLASSIFICATION!$AA$8:$AA$13,0)),"Review"))</f>
        <v>Bucket 2 · Legacy</v>
      </c>
      <c r="P2072" s="350" t="str">
        <f>IF($B2072="Portfolio","Portfolio",IFERROR(INDEX(DATA_ASSET_CLASSIFICATION!$C$8:$C$24,MATCH($C2072,DATA_ASSET_CLASSIFICATION!$A$8:$A$24,0)),"Review"))</f>
        <v>Yes</v>
      </c>
      <c r="Q2072" s="350" t="str">
        <f t="shared" ca="1" si="65"/>
        <v>OK</v>
      </c>
    </row>
    <row r="2073" spans="1:17">
      <c r="A2073" s="366" t="s">
        <v>4029</v>
      </c>
      <c r="B2073" s="366" t="s">
        <v>231</v>
      </c>
      <c r="C2073" s="348" t="str">
        <f>DATA_PROPERTY_MASTER!$A$11</f>
        <v>BLD_EE</v>
      </c>
      <c r="D2073" s="380">
        <f>'00_PORTFOLIO ROLLUP'!G$12</f>
        <v>2027</v>
      </c>
      <c r="E2073" s="366" t="s">
        <v>1721</v>
      </c>
      <c r="F2073" s="366" t="s">
        <v>35</v>
      </c>
      <c r="G2073" s="348" t="str">
        <f>"'"&amp;$C2073&amp;"'!$E$63:$Y$63"</f>
        <v>'BLD_EE'!$E$63:$Y$63</v>
      </c>
      <c r="H2073" s="381">
        <f ca="1">IF(IFERROR(INDEX(DATA_PROPERTY_MASTER!$E$5:$E$21,MATCH($C2073,DATA_PROPERTY_MASTER!$A$5:$A$21,0))="Yes",FALSE),IFERROR(INDEX(INDIRECT("'"&amp;$C2073&amp;"'!$E$63:$Y$63"),1,MATCH($D2073,INDIRECT("'"&amp;$C2073&amp;"'!$E$12:$Y$12"),0)),0),0)</f>
        <v>0</v>
      </c>
      <c r="I2073" s="366" t="s">
        <v>1731</v>
      </c>
      <c r="J2073" s="348" t="str">
        <f t="shared" ca="1" si="64"/>
        <v>OK</v>
      </c>
      <c r="K2073" s="366" t="s">
        <v>1732</v>
      </c>
      <c r="L2073" s="366" t="s">
        <v>2256</v>
      </c>
      <c r="M2073" s="350" t="str">
        <f>IF($B2073="Portfolio","Portfolio",IFERROR(INDEX(DATA_ASSET_CLASSIFICATION!$B$8:$B$24,MATCH($C2073,DATA_ASSET_CLASSIFICATION!$A$8:$A$24,0)),"Review"))</f>
        <v>Evelyn Estates</v>
      </c>
      <c r="N2073" s="350" t="str">
        <f ca="1">IF($B2073="Portfolio","Portfolio",IFERROR(INDEX(DATA_ASSET_CLASSIFICATION!$U$8:$U$24,MATCH($C2073,DATA_ASSET_CLASSIFICATION!$A$8:$A$24,0)),"Review"))</f>
        <v>Refi Watch</v>
      </c>
      <c r="O2073" s="350" t="str">
        <f ca="1">IF($B2073="Portfolio","Portfolio",IFERROR(INDEX(DATA_ASSET_CLASSIFICATION!$AB$8:$AB$13,MATCH($N2073,DATA_ASSET_CLASSIFICATION!$AA$8:$AA$13,0)),"Review"))</f>
        <v>Bucket 2 · Legacy</v>
      </c>
      <c r="P2073" s="350" t="str">
        <f>IF($B2073="Portfolio","Portfolio",IFERROR(INDEX(DATA_ASSET_CLASSIFICATION!$C$8:$C$24,MATCH($C2073,DATA_ASSET_CLASSIFICATION!$A$8:$A$24,0)),"Review"))</f>
        <v>Yes</v>
      </c>
      <c r="Q2073" s="350" t="str">
        <f t="shared" ca="1" si="65"/>
        <v>OK</v>
      </c>
    </row>
    <row r="2074" spans="1:17">
      <c r="A2074" s="366" t="s">
        <v>4030</v>
      </c>
      <c r="B2074" s="366" t="s">
        <v>231</v>
      </c>
      <c r="C2074" s="348" t="str">
        <f>DATA_PROPERTY_MASTER!$A$11</f>
        <v>BLD_EE</v>
      </c>
      <c r="D2074" s="380">
        <f>'00_PORTFOLIO ROLLUP'!G$12</f>
        <v>2027</v>
      </c>
      <c r="E2074" s="366" t="s">
        <v>1721</v>
      </c>
      <c r="F2074" s="366" t="s">
        <v>37</v>
      </c>
      <c r="G2074" s="348" t="str">
        <f>"'"&amp;$C2074&amp;"'!$E$63:$Y$63"</f>
        <v>'BLD_EE'!$E$63:$Y$63</v>
      </c>
      <c r="H2074" s="381">
        <f ca="1">IF(IFERROR(INDEX(DATA_PROPERTY_MASTER!$E$5:$E$21,MATCH($C2074,DATA_PROPERTY_MASTER!$A$5:$A$21,0))="Yes",FALSE),MAX(IFERROR(INDEX(INDIRECT("'"&amp;$C2074&amp;"'!$E$63:$Y$63"),1,MATCH($D2074,INDIRECT("'"&amp;$C2074&amp;"'!$E$12:$Y$12"),0)),0),0),0)</f>
        <v>0</v>
      </c>
      <c r="I2074" s="366" t="s">
        <v>1685</v>
      </c>
      <c r="J2074" s="348" t="str">
        <f t="shared" ca="1" si="64"/>
        <v>OK</v>
      </c>
      <c r="K2074" s="366" t="s">
        <v>1735</v>
      </c>
      <c r="L2074" s="366" t="s">
        <v>2258</v>
      </c>
      <c r="M2074" s="350" t="str">
        <f>IF($B2074="Portfolio","Portfolio",IFERROR(INDEX(DATA_ASSET_CLASSIFICATION!$B$8:$B$24,MATCH($C2074,DATA_ASSET_CLASSIFICATION!$A$8:$A$24,0)),"Review"))</f>
        <v>Evelyn Estates</v>
      </c>
      <c r="N2074" s="350" t="str">
        <f ca="1">IF($B2074="Portfolio","Portfolio",IFERROR(INDEX(DATA_ASSET_CLASSIFICATION!$U$8:$U$24,MATCH($C2074,DATA_ASSET_CLASSIFICATION!$A$8:$A$24,0)),"Review"))</f>
        <v>Refi Watch</v>
      </c>
      <c r="O2074" s="350" t="str">
        <f ca="1">IF($B2074="Portfolio","Portfolio",IFERROR(INDEX(DATA_ASSET_CLASSIFICATION!$AB$8:$AB$13,MATCH($N2074,DATA_ASSET_CLASSIFICATION!$AA$8:$AA$13,0)),"Review"))</f>
        <v>Bucket 2 · Legacy</v>
      </c>
      <c r="P2074" s="350" t="str">
        <f>IF($B2074="Portfolio","Portfolio",IFERROR(INDEX(DATA_ASSET_CLASSIFICATION!$C$8:$C$24,MATCH($C2074,DATA_ASSET_CLASSIFICATION!$A$8:$A$24,0)),"Review"))</f>
        <v>Yes</v>
      </c>
      <c r="Q2074" s="350" t="str">
        <f t="shared" ca="1" si="65"/>
        <v>OK</v>
      </c>
    </row>
    <row r="2075" spans="1:17">
      <c r="A2075" s="366" t="s">
        <v>4031</v>
      </c>
      <c r="B2075" s="366" t="s">
        <v>231</v>
      </c>
      <c r="C2075" s="348" t="str">
        <f>DATA_PROPERTY_MASTER!$A$11</f>
        <v>BLD_EE</v>
      </c>
      <c r="D2075" s="380">
        <f>'00_PORTFOLIO ROLLUP'!G$12</f>
        <v>2027</v>
      </c>
      <c r="E2075" s="366" t="s">
        <v>1721</v>
      </c>
      <c r="F2075" s="366" t="s">
        <v>39</v>
      </c>
      <c r="G2075" s="348" t="str">
        <f>"'"&amp;$C2075&amp;"'!$E$63:$Y$63"</f>
        <v>'BLD_EE'!$E$63:$Y$63</v>
      </c>
      <c r="H2075" s="381">
        <f ca="1">IF(IFERROR(INDEX(DATA_PROPERTY_MASTER!$E$5:$E$21,MATCH($C2075,DATA_PROPERTY_MASTER!$A$5:$A$21,0))="Yes",FALSE),MAX(-IFERROR(INDEX(INDIRECT("'"&amp;$C2075&amp;"'!$E$63:$Y$63"),1,MATCH($D2075,INDIRECT("'"&amp;$C2075&amp;"'!$E$12:$Y$12"),0)),0),0),0)</f>
        <v>0</v>
      </c>
      <c r="I2075" s="366" t="s">
        <v>1690</v>
      </c>
      <c r="J2075" s="348" t="str">
        <f t="shared" ca="1" si="64"/>
        <v>OK</v>
      </c>
      <c r="K2075" s="366" t="s">
        <v>1738</v>
      </c>
      <c r="L2075" s="366" t="s">
        <v>2260</v>
      </c>
      <c r="M2075" s="350" t="str">
        <f>IF($B2075="Portfolio","Portfolio",IFERROR(INDEX(DATA_ASSET_CLASSIFICATION!$B$8:$B$24,MATCH($C2075,DATA_ASSET_CLASSIFICATION!$A$8:$A$24,0)),"Review"))</f>
        <v>Evelyn Estates</v>
      </c>
      <c r="N2075" s="350" t="str">
        <f ca="1">IF($B2075="Portfolio","Portfolio",IFERROR(INDEX(DATA_ASSET_CLASSIFICATION!$U$8:$U$24,MATCH($C2075,DATA_ASSET_CLASSIFICATION!$A$8:$A$24,0)),"Review"))</f>
        <v>Refi Watch</v>
      </c>
      <c r="O2075" s="350" t="str">
        <f ca="1">IF($B2075="Portfolio","Portfolio",IFERROR(INDEX(DATA_ASSET_CLASSIFICATION!$AB$8:$AB$13,MATCH($N2075,DATA_ASSET_CLASSIFICATION!$AA$8:$AA$13,0)),"Review"))</f>
        <v>Bucket 2 · Legacy</v>
      </c>
      <c r="P2075" s="350" t="str">
        <f>IF($B2075="Portfolio","Portfolio",IFERROR(INDEX(DATA_ASSET_CLASSIFICATION!$C$8:$C$24,MATCH($C2075,DATA_ASSET_CLASSIFICATION!$A$8:$A$24,0)),"Review"))</f>
        <v>Yes</v>
      </c>
      <c r="Q2075" s="350" t="str">
        <f t="shared" ca="1" si="65"/>
        <v>OK</v>
      </c>
    </row>
    <row r="2076" spans="1:17">
      <c r="A2076" s="366" t="s">
        <v>4032</v>
      </c>
      <c r="B2076" s="366" t="s">
        <v>231</v>
      </c>
      <c r="C2076" s="348" t="str">
        <f>DATA_PROPERTY_MASTER!$A$11</f>
        <v>BLD_EE</v>
      </c>
      <c r="D2076" s="380">
        <f>'00_PORTFOLIO ROLLUP'!G$12</f>
        <v>2027</v>
      </c>
      <c r="E2076" s="366" t="s">
        <v>1741</v>
      </c>
      <c r="F2076" s="366" t="s">
        <v>41</v>
      </c>
      <c r="G2076" s="348" t="str">
        <f>"'"&amp;$C2076&amp;"'!rows 56 + positive row 63"</f>
        <v>'BLD_EE'!rows 56 + positive row 63</v>
      </c>
      <c r="H2076" s="381">
        <f ca="1">IF(IFERROR(INDEX(DATA_PROPERTY_MASTER!$E$5:$E$21,MATCH($C2076,DATA_PROPERTY_MASTER!$A$5:$A$21,0))="Yes",FALSE),IFERROR(INDEX(INDIRECT("'"&amp;$C2076&amp;"'!$E$56:$Y$56"),1,MATCH($D2076,INDIRECT("'"&amp;$C2076&amp;"'!$E$12:$Y$12"),0)),0)+MAX(IFERROR(INDEX(INDIRECT("'"&amp;$C2076&amp;"'!$E$63:$Y$63"),1,MATCH($D2076,INDIRECT("'"&amp;$C2076&amp;"'!$E$12:$Y$12"),0)),0),0),0)</f>
        <v>3609.5728201182792</v>
      </c>
      <c r="I2076" s="366" t="s">
        <v>1685</v>
      </c>
      <c r="J2076" s="348" t="str">
        <f t="shared" ca="1" si="64"/>
        <v>OK</v>
      </c>
      <c r="K2076" s="366" t="s">
        <v>1742</v>
      </c>
      <c r="L2076" s="366" t="s">
        <v>2262</v>
      </c>
      <c r="M2076" s="350" t="str">
        <f>IF($B2076="Portfolio","Portfolio",IFERROR(INDEX(DATA_ASSET_CLASSIFICATION!$B$8:$B$24,MATCH($C2076,DATA_ASSET_CLASSIFICATION!$A$8:$A$24,0)),"Review"))</f>
        <v>Evelyn Estates</v>
      </c>
      <c r="N2076" s="350" t="str">
        <f ca="1">IF($B2076="Portfolio","Portfolio",IFERROR(INDEX(DATA_ASSET_CLASSIFICATION!$U$8:$U$24,MATCH($C2076,DATA_ASSET_CLASSIFICATION!$A$8:$A$24,0)),"Review"))</f>
        <v>Refi Watch</v>
      </c>
      <c r="O2076" s="350" t="str">
        <f ca="1">IF($B2076="Portfolio","Portfolio",IFERROR(INDEX(DATA_ASSET_CLASSIFICATION!$AB$8:$AB$13,MATCH($N2076,DATA_ASSET_CLASSIFICATION!$AA$8:$AA$13,0)),"Review"))</f>
        <v>Bucket 2 · Legacy</v>
      </c>
      <c r="P2076" s="350" t="str">
        <f>IF($B2076="Portfolio","Portfolio",IFERROR(INDEX(DATA_ASSET_CLASSIFICATION!$C$8:$C$24,MATCH($C2076,DATA_ASSET_CLASSIFICATION!$A$8:$A$24,0)),"Review"))</f>
        <v>Yes</v>
      </c>
      <c r="Q2076" s="350" t="str">
        <f t="shared" ca="1" si="65"/>
        <v>OK</v>
      </c>
    </row>
    <row r="2077" spans="1:17">
      <c r="A2077" s="366" t="s">
        <v>4033</v>
      </c>
      <c r="B2077" s="366" t="s">
        <v>231</v>
      </c>
      <c r="C2077" s="348" t="str">
        <f>DATA_PROPERTY_MASTER!$A$11</f>
        <v>BLD_EE</v>
      </c>
      <c r="D2077" s="380">
        <f>'00_PORTFOLIO ROLLUP'!G$12</f>
        <v>2027</v>
      </c>
      <c r="E2077" s="366" t="s">
        <v>1741</v>
      </c>
      <c r="F2077" s="366" t="s">
        <v>43</v>
      </c>
      <c r="G2077" s="348" t="str">
        <f>"'"&amp;$C2077&amp;"'!$E$68:$Y$68"</f>
        <v>'BLD_EE'!$E$68:$Y$68</v>
      </c>
      <c r="H2077" s="381">
        <f ca="1">IF(IFERROR(INDEX(DATA_PROPERTY_MASTER!$E$5:$E$21,MATCH($C2077,DATA_PROPERTY_MASTER!$A$5:$A$21,0))="Yes",FALSE),IFERROR(INDEX(INDIRECT("'"&amp;$C2077&amp;"'!$E$68:$Y$68"),1,MATCH($D2077,INDIRECT("'"&amp;$C2077&amp;"'!$E$12:$Y$12"),0)),0),0)</f>
        <v>3609.5728201182792</v>
      </c>
      <c r="I2077" s="366" t="s">
        <v>1731</v>
      </c>
      <c r="J2077" s="348" t="str">
        <f t="shared" ca="1" si="64"/>
        <v>OK</v>
      </c>
      <c r="K2077" s="366" t="s">
        <v>1746</v>
      </c>
      <c r="L2077" s="366" t="s">
        <v>2264</v>
      </c>
      <c r="M2077" s="350" t="str">
        <f>IF($B2077="Portfolio","Portfolio",IFERROR(INDEX(DATA_ASSET_CLASSIFICATION!$B$8:$B$24,MATCH($C2077,DATA_ASSET_CLASSIFICATION!$A$8:$A$24,0)),"Review"))</f>
        <v>Evelyn Estates</v>
      </c>
      <c r="N2077" s="350" t="str">
        <f ca="1">IF($B2077="Portfolio","Portfolio",IFERROR(INDEX(DATA_ASSET_CLASSIFICATION!$U$8:$U$24,MATCH($C2077,DATA_ASSET_CLASSIFICATION!$A$8:$A$24,0)),"Review"))</f>
        <v>Refi Watch</v>
      </c>
      <c r="O2077" s="350" t="str">
        <f ca="1">IF($B2077="Portfolio","Portfolio",IFERROR(INDEX(DATA_ASSET_CLASSIFICATION!$AB$8:$AB$13,MATCH($N2077,DATA_ASSET_CLASSIFICATION!$AA$8:$AA$13,0)),"Review"))</f>
        <v>Bucket 2 · Legacy</v>
      </c>
      <c r="P2077" s="350" t="str">
        <f>IF($B2077="Portfolio","Portfolio",IFERROR(INDEX(DATA_ASSET_CLASSIFICATION!$C$8:$C$24,MATCH($C2077,DATA_ASSET_CLASSIFICATION!$A$8:$A$24,0)),"Review"))</f>
        <v>Yes</v>
      </c>
      <c r="Q2077" s="350" t="str">
        <f t="shared" ca="1" si="65"/>
        <v>OK</v>
      </c>
    </row>
    <row r="2078" spans="1:17">
      <c r="A2078" s="366" t="s">
        <v>4034</v>
      </c>
      <c r="B2078" s="366" t="s">
        <v>231</v>
      </c>
      <c r="C2078" s="348" t="str">
        <f>DATA_PROPERTY_MASTER!$A$11</f>
        <v>BLD_EE</v>
      </c>
      <c r="D2078" s="380">
        <f>'00_PORTFOLIO ROLLUP'!G$12</f>
        <v>2027</v>
      </c>
      <c r="E2078" s="366" t="s">
        <v>1741</v>
      </c>
      <c r="F2078" s="366" t="s">
        <v>1749</v>
      </c>
      <c r="G2078" s="348" t="str">
        <f>"'"&amp;$C2078&amp;"'!rows 56, 63, 68"</f>
        <v>'BLD_EE'!rows 56, 63, 68</v>
      </c>
      <c r="H2078" s="381">
        <f ca="1">IF(IFERROR(INDEX(DATA_PROPERTY_MASTER!$E$5:$E$21,MATCH($C2078,DATA_PROPERTY_MASTER!$A$5:$A$21,0))="Yes",FALSE),(IFERROR(INDEX(INDIRECT("'"&amp;$C2078&amp;"'!$E$56:$Y$56"),1,MATCH($D2078,INDIRECT("'"&amp;$C2078&amp;"'!$E$12:$Y$12"),0)),0)+MAX(IFERROR(INDEX(INDIRECT("'"&amp;$C2078&amp;"'!$E$63:$Y$63"),1,MATCH($D2078,INDIRECT("'"&amp;$C2078&amp;"'!$E$12:$Y$12"),0)),0),0))-(IFERROR(INDEX(INDIRECT("'"&amp;$C2078&amp;"'!$E$68:$Y$68"),1,MATCH($D2078,INDIRECT("'"&amp;$C2078&amp;"'!$E$12:$Y$12"),0)),0)),0)</f>
        <v>0</v>
      </c>
      <c r="I2078" s="366" t="s">
        <v>1750</v>
      </c>
      <c r="J2078" s="348" t="str">
        <f t="shared" ca="1" si="64"/>
        <v>OK</v>
      </c>
      <c r="K2078" s="366" t="s">
        <v>1751</v>
      </c>
      <c r="L2078" s="366" t="s">
        <v>2266</v>
      </c>
      <c r="M2078" s="350" t="str">
        <f>IF($B2078="Portfolio","Portfolio",IFERROR(INDEX(DATA_ASSET_CLASSIFICATION!$B$8:$B$24,MATCH($C2078,DATA_ASSET_CLASSIFICATION!$A$8:$A$24,0)),"Review"))</f>
        <v>Evelyn Estates</v>
      </c>
      <c r="N2078" s="350" t="str">
        <f ca="1">IF($B2078="Portfolio","Portfolio",IFERROR(INDEX(DATA_ASSET_CLASSIFICATION!$U$8:$U$24,MATCH($C2078,DATA_ASSET_CLASSIFICATION!$A$8:$A$24,0)),"Review"))</f>
        <v>Refi Watch</v>
      </c>
      <c r="O2078" s="350" t="str">
        <f ca="1">IF($B2078="Portfolio","Portfolio",IFERROR(INDEX(DATA_ASSET_CLASSIFICATION!$AB$8:$AB$13,MATCH($N2078,DATA_ASSET_CLASSIFICATION!$AA$8:$AA$13,0)),"Review"))</f>
        <v>Bucket 2 · Legacy</v>
      </c>
      <c r="P2078" s="350" t="str">
        <f>IF($B2078="Portfolio","Portfolio",IFERROR(INDEX(DATA_ASSET_CLASSIFICATION!$C$8:$C$24,MATCH($C2078,DATA_ASSET_CLASSIFICATION!$A$8:$A$24,0)),"Review"))</f>
        <v>Yes</v>
      </c>
      <c r="Q2078" s="350" t="str">
        <f t="shared" ca="1" si="65"/>
        <v>OK</v>
      </c>
    </row>
    <row r="2079" spans="1:17">
      <c r="A2079" s="366" t="s">
        <v>4035</v>
      </c>
      <c r="B2079" s="366" t="s">
        <v>231</v>
      </c>
      <c r="C2079" s="348" t="str">
        <f>DATA_PROPERTY_MASTER!$A$11</f>
        <v>BLD_EE</v>
      </c>
      <c r="D2079" s="380">
        <f>'00_PORTFOLIO ROLLUP'!H$12</f>
        <v>2028</v>
      </c>
      <c r="E2079" s="366" t="s">
        <v>1683</v>
      </c>
      <c r="F2079" s="366" t="s">
        <v>341</v>
      </c>
      <c r="G2079" s="348" t="str">
        <f>"'"&amp;$C2079&amp;"'!$E$24:$Y$24"</f>
        <v>'BLD_EE'!$E$24:$Y$24</v>
      </c>
      <c r="H2079" s="381">
        <f ca="1">IF(IFERROR(INDEX(DATA_PROPERTY_MASTER!$E$5:$E$21,MATCH($C2079,DATA_PROPERTY_MASTER!$A$5:$A$21,0))="Yes",FALSE),IFERROR(INDEX(INDIRECT("'"&amp;$C2079&amp;"'!$E$24:$Y$24"),1,MATCH($D2079,INDIRECT("'"&amp;$C2079&amp;"'!$E$12:$Y$12"),0)),0),0)</f>
        <v>533573.27696332801</v>
      </c>
      <c r="I2079" s="366" t="s">
        <v>1685</v>
      </c>
      <c r="J2079" s="348" t="str">
        <f t="shared" ca="1" si="64"/>
        <v>OK</v>
      </c>
      <c r="K2079" s="366" t="s">
        <v>1686</v>
      </c>
      <c r="L2079" s="366" t="s">
        <v>2234</v>
      </c>
      <c r="M2079" s="350" t="str">
        <f>IF($B2079="Portfolio","Portfolio",IFERROR(INDEX(DATA_ASSET_CLASSIFICATION!$B$8:$B$24,MATCH($C2079,DATA_ASSET_CLASSIFICATION!$A$8:$A$24,0)),"Review"))</f>
        <v>Evelyn Estates</v>
      </c>
      <c r="N2079" s="350" t="str">
        <f ca="1">IF($B2079="Portfolio","Portfolio",IFERROR(INDEX(DATA_ASSET_CLASSIFICATION!$U$8:$U$24,MATCH($C2079,DATA_ASSET_CLASSIFICATION!$A$8:$A$24,0)),"Review"))</f>
        <v>Refi Watch</v>
      </c>
      <c r="O2079" s="350" t="str">
        <f ca="1">IF($B2079="Portfolio","Portfolio",IFERROR(INDEX(DATA_ASSET_CLASSIFICATION!$AB$8:$AB$13,MATCH($N2079,DATA_ASSET_CLASSIFICATION!$AA$8:$AA$13,0)),"Review"))</f>
        <v>Bucket 2 · Legacy</v>
      </c>
      <c r="P2079" s="350" t="str">
        <f>IF($B2079="Portfolio","Portfolio",IFERROR(INDEX(DATA_ASSET_CLASSIFICATION!$C$8:$C$24,MATCH($C2079,DATA_ASSET_CLASSIFICATION!$A$8:$A$24,0)),"Review"))</f>
        <v>Yes</v>
      </c>
      <c r="Q2079" s="350" t="str">
        <f t="shared" ca="1" si="65"/>
        <v>OK</v>
      </c>
    </row>
    <row r="2080" spans="1:17">
      <c r="A2080" s="366" t="s">
        <v>4036</v>
      </c>
      <c r="B2080" s="366" t="s">
        <v>231</v>
      </c>
      <c r="C2080" s="348" t="str">
        <f>DATA_PROPERTY_MASTER!$A$11</f>
        <v>BLD_EE</v>
      </c>
      <c r="D2080" s="380">
        <f>'00_PORTFOLIO ROLLUP'!H$12</f>
        <v>2028</v>
      </c>
      <c r="E2080" s="366" t="s">
        <v>1683</v>
      </c>
      <c r="F2080" s="366" t="s">
        <v>355</v>
      </c>
      <c r="G2080" s="348" t="str">
        <f>"'"&amp;$C2080&amp;"'!$E$39:$Y$39"</f>
        <v>'BLD_EE'!$E$39:$Y$39</v>
      </c>
      <c r="H2080" s="381">
        <f ca="1">IF(IFERROR(INDEX(DATA_PROPERTY_MASTER!$E$5:$E$21,MATCH($C2080,DATA_PROPERTY_MASTER!$A$5:$A$21,0))="Yes",FALSE),IFERROR(INDEX(INDIRECT("'"&amp;$C2080&amp;"'!$E$39:$Y$39"),1,MATCH($D2080,INDIRECT("'"&amp;$C2080&amp;"'!$E$12:$Y$12"),0)),0),0)</f>
        <v>244071.86585600005</v>
      </c>
      <c r="I2080" s="366" t="s">
        <v>1690</v>
      </c>
      <c r="J2080" s="348" t="str">
        <f t="shared" ca="1" si="64"/>
        <v>OK</v>
      </c>
      <c r="K2080" s="366" t="s">
        <v>1686</v>
      </c>
      <c r="L2080" s="366" t="s">
        <v>2236</v>
      </c>
      <c r="M2080" s="350" t="str">
        <f>IF($B2080="Portfolio","Portfolio",IFERROR(INDEX(DATA_ASSET_CLASSIFICATION!$B$8:$B$24,MATCH($C2080,DATA_ASSET_CLASSIFICATION!$A$8:$A$24,0)),"Review"))</f>
        <v>Evelyn Estates</v>
      </c>
      <c r="N2080" s="350" t="str">
        <f ca="1">IF($B2080="Portfolio","Portfolio",IFERROR(INDEX(DATA_ASSET_CLASSIFICATION!$U$8:$U$24,MATCH($C2080,DATA_ASSET_CLASSIFICATION!$A$8:$A$24,0)),"Review"))</f>
        <v>Refi Watch</v>
      </c>
      <c r="O2080" s="350" t="str">
        <f ca="1">IF($B2080="Portfolio","Portfolio",IFERROR(INDEX(DATA_ASSET_CLASSIFICATION!$AB$8:$AB$13,MATCH($N2080,DATA_ASSET_CLASSIFICATION!$AA$8:$AA$13,0)),"Review"))</f>
        <v>Bucket 2 · Legacy</v>
      </c>
      <c r="P2080" s="350" t="str">
        <f>IF($B2080="Portfolio","Portfolio",IFERROR(INDEX(DATA_ASSET_CLASSIFICATION!$C$8:$C$24,MATCH($C2080,DATA_ASSET_CLASSIFICATION!$A$8:$A$24,0)),"Review"))</f>
        <v>Yes</v>
      </c>
      <c r="Q2080" s="350" t="str">
        <f t="shared" ca="1" si="65"/>
        <v>OK</v>
      </c>
    </row>
    <row r="2081" spans="1:17">
      <c r="A2081" s="366" t="s">
        <v>4037</v>
      </c>
      <c r="B2081" s="366" t="s">
        <v>231</v>
      </c>
      <c r="C2081" s="348" t="str">
        <f>DATA_PROPERTY_MASTER!$A$11</f>
        <v>BLD_EE</v>
      </c>
      <c r="D2081" s="380">
        <f>'00_PORTFOLIO ROLLUP'!H$12</f>
        <v>2028</v>
      </c>
      <c r="E2081" s="366" t="s">
        <v>1683</v>
      </c>
      <c r="F2081" s="366" t="s">
        <v>19</v>
      </c>
      <c r="G2081" s="348" t="str">
        <f>"'"&amp;$C2081&amp;"'!$E$41:$Y$41"</f>
        <v>'BLD_EE'!$E$41:$Y$41</v>
      </c>
      <c r="H2081" s="381">
        <f ca="1">IF(IFERROR(INDEX(DATA_PROPERTY_MASTER!$E$5:$E$21,MATCH($C2081,DATA_PROPERTY_MASTER!$A$5:$A$21,0))="Yes",FALSE),IFERROR(INDEX(INDIRECT("'"&amp;$C2081&amp;"'!$E$41:$Y$41"),1,MATCH($D2081,INDIRECT("'"&amp;$C2081&amp;"'!$E$12:$Y$12"),0)),0),0)</f>
        <v>289501.41110732796</v>
      </c>
      <c r="I2081" s="366" t="s">
        <v>1685</v>
      </c>
      <c r="J2081" s="348" t="str">
        <f t="shared" ca="1" si="64"/>
        <v>OK</v>
      </c>
      <c r="K2081" s="366" t="s">
        <v>1694</v>
      </c>
      <c r="L2081" s="366" t="s">
        <v>2238</v>
      </c>
      <c r="M2081" s="350" t="str">
        <f>IF($B2081="Portfolio","Portfolio",IFERROR(INDEX(DATA_ASSET_CLASSIFICATION!$B$8:$B$24,MATCH($C2081,DATA_ASSET_CLASSIFICATION!$A$8:$A$24,0)),"Review"))</f>
        <v>Evelyn Estates</v>
      </c>
      <c r="N2081" s="350" t="str">
        <f ca="1">IF($B2081="Portfolio","Portfolio",IFERROR(INDEX(DATA_ASSET_CLASSIFICATION!$U$8:$U$24,MATCH($C2081,DATA_ASSET_CLASSIFICATION!$A$8:$A$24,0)),"Review"))</f>
        <v>Refi Watch</v>
      </c>
      <c r="O2081" s="350" t="str">
        <f ca="1">IF($B2081="Portfolio","Portfolio",IFERROR(INDEX(DATA_ASSET_CLASSIFICATION!$AB$8:$AB$13,MATCH($N2081,DATA_ASSET_CLASSIFICATION!$AA$8:$AA$13,0)),"Review"))</f>
        <v>Bucket 2 · Legacy</v>
      </c>
      <c r="P2081" s="350" t="str">
        <f>IF($B2081="Portfolio","Portfolio",IFERROR(INDEX(DATA_ASSET_CLASSIFICATION!$C$8:$C$24,MATCH($C2081,DATA_ASSET_CLASSIFICATION!$A$8:$A$24,0)),"Review"))</f>
        <v>Yes</v>
      </c>
      <c r="Q2081" s="350" t="str">
        <f t="shared" ca="1" si="65"/>
        <v>OK</v>
      </c>
    </row>
    <row r="2082" spans="1:17">
      <c r="A2082" s="366" t="s">
        <v>4038</v>
      </c>
      <c r="B2082" s="366" t="s">
        <v>231</v>
      </c>
      <c r="C2082" s="348" t="str">
        <f>DATA_PROPERTY_MASTER!$A$11</f>
        <v>BLD_EE</v>
      </c>
      <c r="D2082" s="380">
        <f>'00_PORTFOLIO ROLLUP'!H$12</f>
        <v>2028</v>
      </c>
      <c r="E2082" s="366" t="s">
        <v>1683</v>
      </c>
      <c r="F2082" s="366" t="s">
        <v>1697</v>
      </c>
      <c r="G2082" s="348" t="str">
        <f>"'"&amp;$C2082&amp;"'!$E$44:$Y$44"</f>
        <v>'BLD_EE'!$E$44:$Y$44</v>
      </c>
      <c r="H2082" s="381">
        <f ca="1">IF(IFERROR(INDEX(DATA_PROPERTY_MASTER!$E$5:$E$21,MATCH($C2082,DATA_PROPERTY_MASTER!$A$5:$A$21,0))="Yes",FALSE),IFERROR(INDEX(INDIRECT("'"&amp;$C2082&amp;"'!$E$44:$Y$44"),1,MATCH($D2082,INDIRECT("'"&amp;$C2082&amp;"'!$E$12:$Y$12"),0)),0),0)</f>
        <v>5730.5231999999996</v>
      </c>
      <c r="I2082" s="366" t="s">
        <v>1690</v>
      </c>
      <c r="J2082" s="348" t="str">
        <f t="shared" ca="1" si="64"/>
        <v>OK</v>
      </c>
      <c r="K2082" s="366" t="s">
        <v>1699</v>
      </c>
      <c r="L2082" s="366" t="s">
        <v>2240</v>
      </c>
      <c r="M2082" s="350" t="str">
        <f>IF($B2082="Portfolio","Portfolio",IFERROR(INDEX(DATA_ASSET_CLASSIFICATION!$B$8:$B$24,MATCH($C2082,DATA_ASSET_CLASSIFICATION!$A$8:$A$24,0)),"Review"))</f>
        <v>Evelyn Estates</v>
      </c>
      <c r="N2082" s="350" t="str">
        <f ca="1">IF($B2082="Portfolio","Portfolio",IFERROR(INDEX(DATA_ASSET_CLASSIFICATION!$U$8:$U$24,MATCH($C2082,DATA_ASSET_CLASSIFICATION!$A$8:$A$24,0)),"Review"))</f>
        <v>Refi Watch</v>
      </c>
      <c r="O2082" s="350" t="str">
        <f ca="1">IF($B2082="Portfolio","Portfolio",IFERROR(INDEX(DATA_ASSET_CLASSIFICATION!$AB$8:$AB$13,MATCH($N2082,DATA_ASSET_CLASSIFICATION!$AA$8:$AA$13,0)),"Review"))</f>
        <v>Bucket 2 · Legacy</v>
      </c>
      <c r="P2082" s="350" t="str">
        <f>IF($B2082="Portfolio","Portfolio",IFERROR(INDEX(DATA_ASSET_CLASSIFICATION!$C$8:$C$24,MATCH($C2082,DATA_ASSET_CLASSIFICATION!$A$8:$A$24,0)),"Review"))</f>
        <v>Yes</v>
      </c>
      <c r="Q2082" s="350" t="str">
        <f t="shared" ca="1" si="65"/>
        <v>OK</v>
      </c>
    </row>
    <row r="2083" spans="1:17">
      <c r="A2083" s="366" t="s">
        <v>4039</v>
      </c>
      <c r="B2083" s="366" t="s">
        <v>231</v>
      </c>
      <c r="C2083" s="348" t="str">
        <f>DATA_PROPERTY_MASTER!$A$11</f>
        <v>BLD_EE</v>
      </c>
      <c r="D2083" s="380">
        <f>'00_PORTFOLIO ROLLUP'!H$12</f>
        <v>2028</v>
      </c>
      <c r="E2083" s="366" t="s">
        <v>1683</v>
      </c>
      <c r="F2083" s="366" t="s">
        <v>21</v>
      </c>
      <c r="G2083" s="348" t="str">
        <f>"'"&amp;$C2083&amp;"'!$E$45:$Y$45"</f>
        <v>'BLD_EE'!$E$45:$Y$45</v>
      </c>
      <c r="H2083" s="381">
        <f ca="1">IF(IFERROR(INDEX(DATA_PROPERTY_MASTER!$E$5:$E$21,MATCH($C2083,DATA_PROPERTY_MASTER!$A$5:$A$21,0))="Yes",FALSE),IFERROR(INDEX(INDIRECT("'"&amp;$C2083&amp;"'!$E$45:$Y$45"),1,MATCH($D2083,INDIRECT("'"&amp;$C2083&amp;"'!$E$12:$Y$12"),0)),0),0)</f>
        <v>283770.88790732797</v>
      </c>
      <c r="I2083" s="366" t="s">
        <v>1685</v>
      </c>
      <c r="J2083" s="348" t="str">
        <f t="shared" ca="1" si="64"/>
        <v>OK</v>
      </c>
      <c r="K2083" s="366" t="s">
        <v>1694</v>
      </c>
      <c r="L2083" s="366" t="s">
        <v>2242</v>
      </c>
      <c r="M2083" s="350" t="str">
        <f>IF($B2083="Portfolio","Portfolio",IFERROR(INDEX(DATA_ASSET_CLASSIFICATION!$B$8:$B$24,MATCH($C2083,DATA_ASSET_CLASSIFICATION!$A$8:$A$24,0)),"Review"))</f>
        <v>Evelyn Estates</v>
      </c>
      <c r="N2083" s="350" t="str">
        <f ca="1">IF($B2083="Portfolio","Portfolio",IFERROR(INDEX(DATA_ASSET_CLASSIFICATION!$U$8:$U$24,MATCH($C2083,DATA_ASSET_CLASSIFICATION!$A$8:$A$24,0)),"Review"))</f>
        <v>Refi Watch</v>
      </c>
      <c r="O2083" s="350" t="str">
        <f ca="1">IF($B2083="Portfolio","Portfolio",IFERROR(INDEX(DATA_ASSET_CLASSIFICATION!$AB$8:$AB$13,MATCH($N2083,DATA_ASSET_CLASSIFICATION!$AA$8:$AA$13,0)),"Review"))</f>
        <v>Bucket 2 · Legacy</v>
      </c>
      <c r="P2083" s="350" t="str">
        <f>IF($B2083="Portfolio","Portfolio",IFERROR(INDEX(DATA_ASSET_CLASSIFICATION!$C$8:$C$24,MATCH($C2083,DATA_ASSET_CLASSIFICATION!$A$8:$A$24,0)),"Review"))</f>
        <v>Yes</v>
      </c>
      <c r="Q2083" s="350" t="str">
        <f t="shared" ca="1" si="65"/>
        <v>OK</v>
      </c>
    </row>
    <row r="2084" spans="1:17">
      <c r="A2084" s="366" t="s">
        <v>4040</v>
      </c>
      <c r="B2084" s="366" t="s">
        <v>231</v>
      </c>
      <c r="C2084" s="348" t="str">
        <f>DATA_PROPERTY_MASTER!$A$11</f>
        <v>BLD_EE</v>
      </c>
      <c r="D2084" s="380">
        <f>'00_PORTFOLIO ROLLUP'!H$12</f>
        <v>2028</v>
      </c>
      <c r="E2084" s="366" t="s">
        <v>23</v>
      </c>
      <c r="F2084" s="366" t="s">
        <v>23</v>
      </c>
      <c r="G2084" s="348" t="str">
        <f>"'"&amp;$C2084&amp;"'!$E$48:$Y$48"</f>
        <v>'BLD_EE'!$E$48:$Y$48</v>
      </c>
      <c r="H2084" s="381">
        <f ca="1">IF(IFERROR(INDEX(DATA_PROPERTY_MASTER!$E$5:$E$21,MATCH($C2084,DATA_PROPERTY_MASTER!$A$5:$A$21,0))="Yes",FALSE),IFERROR(INDEX(INDIRECT("'"&amp;$C2084&amp;"'!$E$48:$Y$48"),1,MATCH($D2084,INDIRECT("'"&amp;$C2084&amp;"'!$E$12:$Y$12"),0)),0),0)</f>
        <v>0</v>
      </c>
      <c r="I2084" s="366" t="s">
        <v>1690</v>
      </c>
      <c r="J2084" s="348" t="str">
        <f t="shared" ca="1" si="64"/>
        <v>OK</v>
      </c>
      <c r="K2084" s="366" t="s">
        <v>1706</v>
      </c>
      <c r="L2084" s="366" t="s">
        <v>2244</v>
      </c>
      <c r="M2084" s="350" t="str">
        <f>IF($B2084="Portfolio","Portfolio",IFERROR(INDEX(DATA_ASSET_CLASSIFICATION!$B$8:$B$24,MATCH($C2084,DATA_ASSET_CLASSIFICATION!$A$8:$A$24,0)),"Review"))</f>
        <v>Evelyn Estates</v>
      </c>
      <c r="N2084" s="350" t="str">
        <f ca="1">IF($B2084="Portfolio","Portfolio",IFERROR(INDEX(DATA_ASSET_CLASSIFICATION!$U$8:$U$24,MATCH($C2084,DATA_ASSET_CLASSIFICATION!$A$8:$A$24,0)),"Review"))</f>
        <v>Refi Watch</v>
      </c>
      <c r="O2084" s="350" t="str">
        <f ca="1">IF($B2084="Portfolio","Portfolio",IFERROR(INDEX(DATA_ASSET_CLASSIFICATION!$AB$8:$AB$13,MATCH($N2084,DATA_ASSET_CLASSIFICATION!$AA$8:$AA$13,0)),"Review"))</f>
        <v>Bucket 2 · Legacy</v>
      </c>
      <c r="P2084" s="350" t="str">
        <f>IF($B2084="Portfolio","Portfolio",IFERROR(INDEX(DATA_ASSET_CLASSIFICATION!$C$8:$C$24,MATCH($C2084,DATA_ASSET_CLASSIFICATION!$A$8:$A$24,0)),"Review"))</f>
        <v>Yes</v>
      </c>
      <c r="Q2084" s="350" t="str">
        <f t="shared" ca="1" si="65"/>
        <v>OK</v>
      </c>
    </row>
    <row r="2085" spans="1:17">
      <c r="A2085" s="366" t="s">
        <v>4041</v>
      </c>
      <c r="B2085" s="366" t="s">
        <v>231</v>
      </c>
      <c r="C2085" s="348" t="str">
        <f>DATA_PROPERTY_MASTER!$A$11</f>
        <v>BLD_EE</v>
      </c>
      <c r="D2085" s="380">
        <f>'00_PORTFOLIO ROLLUP'!H$12</f>
        <v>2028</v>
      </c>
      <c r="E2085" s="366" t="s">
        <v>1683</v>
      </c>
      <c r="F2085" s="366" t="s">
        <v>25</v>
      </c>
      <c r="G2085" s="348" t="str">
        <f>"'"&amp;$C2085&amp;"'!$E$52:$Y$52"</f>
        <v>'BLD_EE'!$E$52:$Y$52</v>
      </c>
      <c r="H2085" s="381">
        <f ca="1">IF(IFERROR(INDEX(DATA_PROPERTY_MASTER!$E$5:$E$21,MATCH($C2085,DATA_PROPERTY_MASTER!$A$5:$A$21,0))="Yes",FALSE),IFERROR(INDEX(INDIRECT("'"&amp;$C2085&amp;"'!$E$52:$Y$52"),1,MATCH($D2085,INDIRECT("'"&amp;$C2085&amp;"'!$E$12:$Y$12"),0)),0),0)</f>
        <v>289501.41110732796</v>
      </c>
      <c r="I2085" s="366" t="s">
        <v>1685</v>
      </c>
      <c r="J2085" s="348" t="str">
        <f t="shared" ca="1" si="64"/>
        <v>OK</v>
      </c>
      <c r="K2085" s="366" t="s">
        <v>1710</v>
      </c>
      <c r="L2085" s="366" t="s">
        <v>2246</v>
      </c>
      <c r="M2085" s="350" t="str">
        <f>IF($B2085="Portfolio","Portfolio",IFERROR(INDEX(DATA_ASSET_CLASSIFICATION!$B$8:$B$24,MATCH($C2085,DATA_ASSET_CLASSIFICATION!$A$8:$A$24,0)),"Review"))</f>
        <v>Evelyn Estates</v>
      </c>
      <c r="N2085" s="350" t="str">
        <f ca="1">IF($B2085="Portfolio","Portfolio",IFERROR(INDEX(DATA_ASSET_CLASSIFICATION!$U$8:$U$24,MATCH($C2085,DATA_ASSET_CLASSIFICATION!$A$8:$A$24,0)),"Review"))</f>
        <v>Refi Watch</v>
      </c>
      <c r="O2085" s="350" t="str">
        <f ca="1">IF($B2085="Portfolio","Portfolio",IFERROR(INDEX(DATA_ASSET_CLASSIFICATION!$AB$8:$AB$13,MATCH($N2085,DATA_ASSET_CLASSIFICATION!$AA$8:$AA$13,0)),"Review"))</f>
        <v>Bucket 2 · Legacy</v>
      </c>
      <c r="P2085" s="350" t="str">
        <f>IF($B2085="Portfolio","Portfolio",IFERROR(INDEX(DATA_ASSET_CLASSIFICATION!$C$8:$C$24,MATCH($C2085,DATA_ASSET_CLASSIFICATION!$A$8:$A$24,0)),"Review"))</f>
        <v>Yes</v>
      </c>
      <c r="Q2085" s="350" t="str">
        <f t="shared" ca="1" si="65"/>
        <v>OK</v>
      </c>
    </row>
    <row r="2086" spans="1:17">
      <c r="A2086" s="366" t="s">
        <v>4042</v>
      </c>
      <c r="B2086" s="366" t="s">
        <v>231</v>
      </c>
      <c r="C2086" s="348" t="str">
        <f>DATA_PROPERTY_MASTER!$A$11</f>
        <v>BLD_EE</v>
      </c>
      <c r="D2086" s="380">
        <f>'00_PORTFOLIO ROLLUP'!H$12</f>
        <v>2028</v>
      </c>
      <c r="E2086" s="366" t="s">
        <v>1683</v>
      </c>
      <c r="F2086" s="366" t="s">
        <v>27</v>
      </c>
      <c r="G2086" s="348" t="str">
        <f>"'"&amp;$C2086&amp;"'!$E$54:$Y$54"</f>
        <v>'BLD_EE'!$E$54:$Y$54</v>
      </c>
      <c r="H2086" s="381">
        <f ca="1">IF(IFERROR(INDEX(DATA_PROPERTY_MASTER!$E$5:$E$21,MATCH($C2086,DATA_PROPERTY_MASTER!$A$5:$A$21,0))="Yes",FALSE),IFERROR(INDEX(INDIRECT("'"&amp;$C2086&amp;"'!$E$54:$Y$54"),1,MATCH($D2086,INDIRECT("'"&amp;$C2086&amp;"'!$E$12:$Y$12"),0)),0),0)</f>
        <v>173700.84666439678</v>
      </c>
      <c r="I2086" s="366" t="s">
        <v>1690</v>
      </c>
      <c r="J2086" s="348" t="str">
        <f t="shared" ca="1" si="64"/>
        <v>OK</v>
      </c>
      <c r="K2086" s="366" t="s">
        <v>1714</v>
      </c>
      <c r="L2086" s="366" t="s">
        <v>2248</v>
      </c>
      <c r="M2086" s="350" t="str">
        <f>IF($B2086="Portfolio","Portfolio",IFERROR(INDEX(DATA_ASSET_CLASSIFICATION!$B$8:$B$24,MATCH($C2086,DATA_ASSET_CLASSIFICATION!$A$8:$A$24,0)),"Review"))</f>
        <v>Evelyn Estates</v>
      </c>
      <c r="N2086" s="350" t="str">
        <f ca="1">IF($B2086="Portfolio","Portfolio",IFERROR(INDEX(DATA_ASSET_CLASSIFICATION!$U$8:$U$24,MATCH($C2086,DATA_ASSET_CLASSIFICATION!$A$8:$A$24,0)),"Review"))</f>
        <v>Refi Watch</v>
      </c>
      <c r="O2086" s="350" t="str">
        <f ca="1">IF($B2086="Portfolio","Portfolio",IFERROR(INDEX(DATA_ASSET_CLASSIFICATION!$AB$8:$AB$13,MATCH($N2086,DATA_ASSET_CLASSIFICATION!$AA$8:$AA$13,0)),"Review"))</f>
        <v>Bucket 2 · Legacy</v>
      </c>
      <c r="P2086" s="350" t="str">
        <f>IF($B2086="Portfolio","Portfolio",IFERROR(INDEX(DATA_ASSET_CLASSIFICATION!$C$8:$C$24,MATCH($C2086,DATA_ASSET_CLASSIFICATION!$A$8:$A$24,0)),"Review"))</f>
        <v>Yes</v>
      </c>
      <c r="Q2086" s="350" t="str">
        <f t="shared" ca="1" si="65"/>
        <v>OK</v>
      </c>
    </row>
    <row r="2087" spans="1:17">
      <c r="A2087" s="366" t="s">
        <v>4043</v>
      </c>
      <c r="B2087" s="366" t="s">
        <v>231</v>
      </c>
      <c r="C2087" s="348" t="str">
        <f>DATA_PROPERTY_MASTER!$A$11</f>
        <v>BLD_EE</v>
      </c>
      <c r="D2087" s="380">
        <f>'00_PORTFOLIO ROLLUP'!H$12</f>
        <v>2028</v>
      </c>
      <c r="E2087" s="366" t="s">
        <v>1683</v>
      </c>
      <c r="F2087" s="366" t="s">
        <v>29</v>
      </c>
      <c r="G2087" s="348" t="str">
        <f>"'"&amp;$C2087&amp;"'!$E$56:$Y$56"</f>
        <v>'BLD_EE'!$E$56:$Y$56</v>
      </c>
      <c r="H2087" s="381">
        <f ca="1">IF(IFERROR(INDEX(DATA_PROPERTY_MASTER!$E$5:$E$21,MATCH($C2087,DATA_PROPERTY_MASTER!$A$5:$A$21,0))="Yes",FALSE),IFERROR(INDEX(INDIRECT("'"&amp;$C2087&amp;"'!$E$56:$Y$56"),1,MATCH($D2087,INDIRECT("'"&amp;$C2087&amp;"'!$E$12:$Y$12"),0)),0),0)</f>
        <v>115800.56444293118</v>
      </c>
      <c r="I2087" s="366" t="s">
        <v>1685</v>
      </c>
      <c r="J2087" s="348" t="str">
        <f t="shared" ca="1" si="64"/>
        <v>OK</v>
      </c>
      <c r="K2087" s="366" t="s">
        <v>1718</v>
      </c>
      <c r="L2087" s="366" t="s">
        <v>2250</v>
      </c>
      <c r="M2087" s="350" t="str">
        <f>IF($B2087="Portfolio","Portfolio",IFERROR(INDEX(DATA_ASSET_CLASSIFICATION!$B$8:$B$24,MATCH($C2087,DATA_ASSET_CLASSIFICATION!$A$8:$A$24,0)),"Review"))</f>
        <v>Evelyn Estates</v>
      </c>
      <c r="N2087" s="350" t="str">
        <f ca="1">IF($B2087="Portfolio","Portfolio",IFERROR(INDEX(DATA_ASSET_CLASSIFICATION!$U$8:$U$24,MATCH($C2087,DATA_ASSET_CLASSIFICATION!$A$8:$A$24,0)),"Review"))</f>
        <v>Refi Watch</v>
      </c>
      <c r="O2087" s="350" t="str">
        <f ca="1">IF($B2087="Portfolio","Portfolio",IFERROR(INDEX(DATA_ASSET_CLASSIFICATION!$AB$8:$AB$13,MATCH($N2087,DATA_ASSET_CLASSIFICATION!$AA$8:$AA$13,0)),"Review"))</f>
        <v>Bucket 2 · Legacy</v>
      </c>
      <c r="P2087" s="350" t="str">
        <f>IF($B2087="Portfolio","Portfolio",IFERROR(INDEX(DATA_ASSET_CLASSIFICATION!$C$8:$C$24,MATCH($C2087,DATA_ASSET_CLASSIFICATION!$A$8:$A$24,0)),"Review"))</f>
        <v>Yes</v>
      </c>
      <c r="Q2087" s="350" t="str">
        <f t="shared" ca="1" si="65"/>
        <v>OK</v>
      </c>
    </row>
    <row r="2088" spans="1:17">
      <c r="A2088" s="366" t="s">
        <v>4044</v>
      </c>
      <c r="B2088" s="366" t="s">
        <v>231</v>
      </c>
      <c r="C2088" s="348" t="str">
        <f>DATA_PROPERTY_MASTER!$A$11</f>
        <v>BLD_EE</v>
      </c>
      <c r="D2088" s="380">
        <f>'00_PORTFOLIO ROLLUP'!H$12</f>
        <v>2028</v>
      </c>
      <c r="E2088" s="366" t="s">
        <v>1721</v>
      </c>
      <c r="F2088" s="366" t="s">
        <v>31</v>
      </c>
      <c r="G2088" s="348" t="str">
        <f>"'"&amp;$C2088&amp;"'!$E$61:$Y$61"</f>
        <v>'BLD_EE'!$E$61:$Y$61</v>
      </c>
      <c r="H2088" s="381">
        <f ca="1">IF(IFERROR(INDEX(DATA_PROPERTY_MASTER!$E$5:$E$21,MATCH($C2088,DATA_PROPERTY_MASTER!$A$5:$A$21,0))="Yes",FALSE),IFERROR(INDEX(INDIRECT("'"&amp;$C2088&amp;"'!$E$61:$Y$61"),1,MATCH($D2088,INDIRECT("'"&amp;$C2088&amp;"'!$E$12:$Y$12"),0)),0),0)</f>
        <v>0</v>
      </c>
      <c r="I2088" s="366" t="s">
        <v>1690</v>
      </c>
      <c r="J2088" s="348" t="str">
        <f t="shared" ca="1" si="64"/>
        <v>OK</v>
      </c>
      <c r="K2088" s="366" t="s">
        <v>1723</v>
      </c>
      <c r="L2088" s="366" t="s">
        <v>2252</v>
      </c>
      <c r="M2088" s="350" t="str">
        <f>IF($B2088="Portfolio","Portfolio",IFERROR(INDEX(DATA_ASSET_CLASSIFICATION!$B$8:$B$24,MATCH($C2088,DATA_ASSET_CLASSIFICATION!$A$8:$A$24,0)),"Review"))</f>
        <v>Evelyn Estates</v>
      </c>
      <c r="N2088" s="350" t="str">
        <f ca="1">IF($B2088="Portfolio","Portfolio",IFERROR(INDEX(DATA_ASSET_CLASSIFICATION!$U$8:$U$24,MATCH($C2088,DATA_ASSET_CLASSIFICATION!$A$8:$A$24,0)),"Review"))</f>
        <v>Refi Watch</v>
      </c>
      <c r="O2088" s="350" t="str">
        <f ca="1">IF($B2088="Portfolio","Portfolio",IFERROR(INDEX(DATA_ASSET_CLASSIFICATION!$AB$8:$AB$13,MATCH($N2088,DATA_ASSET_CLASSIFICATION!$AA$8:$AA$13,0)),"Review"))</f>
        <v>Bucket 2 · Legacy</v>
      </c>
      <c r="P2088" s="350" t="str">
        <f>IF($B2088="Portfolio","Portfolio",IFERROR(INDEX(DATA_ASSET_CLASSIFICATION!$C$8:$C$24,MATCH($C2088,DATA_ASSET_CLASSIFICATION!$A$8:$A$24,0)),"Review"))</f>
        <v>Yes</v>
      </c>
      <c r="Q2088" s="350" t="str">
        <f t="shared" ca="1" si="65"/>
        <v>OK</v>
      </c>
    </row>
    <row r="2089" spans="1:17">
      <c r="A2089" s="366" t="s">
        <v>4045</v>
      </c>
      <c r="B2089" s="366" t="s">
        <v>231</v>
      </c>
      <c r="C2089" s="348" t="str">
        <f>DATA_PROPERTY_MASTER!$A$11</f>
        <v>BLD_EE</v>
      </c>
      <c r="D2089" s="380">
        <f>'00_PORTFOLIO ROLLUP'!H$12</f>
        <v>2028</v>
      </c>
      <c r="E2089" s="366" t="s">
        <v>1721</v>
      </c>
      <c r="F2089" s="366" t="s">
        <v>33</v>
      </c>
      <c r="G2089" s="348" t="str">
        <f>"'"&amp;$C2089&amp;"'!$E$62:$Y$62"</f>
        <v>'BLD_EE'!$E$62:$Y$62</v>
      </c>
      <c r="H2089" s="381">
        <f ca="1">IF(IFERROR(INDEX(DATA_PROPERTY_MASTER!$E$5:$E$21,MATCH($C2089,DATA_PROPERTY_MASTER!$A$5:$A$21,0))="Yes",FALSE),IFERROR(INDEX(INDIRECT("'"&amp;$C2089&amp;"'!$E$62:$Y$62"),1,MATCH($D2089,INDIRECT("'"&amp;$C2089&amp;"'!$E$12:$Y$12"),0)),0),0)</f>
        <v>0</v>
      </c>
      <c r="I2089" s="366" t="s">
        <v>1685</v>
      </c>
      <c r="J2089" s="348" t="str">
        <f t="shared" ca="1" si="64"/>
        <v>OK</v>
      </c>
      <c r="K2089" s="366" t="s">
        <v>1727</v>
      </c>
      <c r="L2089" s="366" t="s">
        <v>2254</v>
      </c>
      <c r="M2089" s="350" t="str">
        <f>IF($B2089="Portfolio","Portfolio",IFERROR(INDEX(DATA_ASSET_CLASSIFICATION!$B$8:$B$24,MATCH($C2089,DATA_ASSET_CLASSIFICATION!$A$8:$A$24,0)),"Review"))</f>
        <v>Evelyn Estates</v>
      </c>
      <c r="N2089" s="350" t="str">
        <f ca="1">IF($B2089="Portfolio","Portfolio",IFERROR(INDEX(DATA_ASSET_CLASSIFICATION!$U$8:$U$24,MATCH($C2089,DATA_ASSET_CLASSIFICATION!$A$8:$A$24,0)),"Review"))</f>
        <v>Refi Watch</v>
      </c>
      <c r="O2089" s="350" t="str">
        <f ca="1">IF($B2089="Portfolio","Portfolio",IFERROR(INDEX(DATA_ASSET_CLASSIFICATION!$AB$8:$AB$13,MATCH($N2089,DATA_ASSET_CLASSIFICATION!$AA$8:$AA$13,0)),"Review"))</f>
        <v>Bucket 2 · Legacy</v>
      </c>
      <c r="P2089" s="350" t="str">
        <f>IF($B2089="Portfolio","Portfolio",IFERROR(INDEX(DATA_ASSET_CLASSIFICATION!$C$8:$C$24,MATCH($C2089,DATA_ASSET_CLASSIFICATION!$A$8:$A$24,0)),"Review"))</f>
        <v>Yes</v>
      </c>
      <c r="Q2089" s="350" t="str">
        <f t="shared" ca="1" si="65"/>
        <v>OK</v>
      </c>
    </row>
    <row r="2090" spans="1:17">
      <c r="A2090" s="366" t="s">
        <v>4046</v>
      </c>
      <c r="B2090" s="366" t="s">
        <v>231</v>
      </c>
      <c r="C2090" s="348" t="str">
        <f>DATA_PROPERTY_MASTER!$A$11</f>
        <v>BLD_EE</v>
      </c>
      <c r="D2090" s="380">
        <f>'00_PORTFOLIO ROLLUP'!H$12</f>
        <v>2028</v>
      </c>
      <c r="E2090" s="366" t="s">
        <v>1721</v>
      </c>
      <c r="F2090" s="366" t="s">
        <v>35</v>
      </c>
      <c r="G2090" s="348" t="str">
        <f>"'"&amp;$C2090&amp;"'!$E$63:$Y$63"</f>
        <v>'BLD_EE'!$E$63:$Y$63</v>
      </c>
      <c r="H2090" s="381">
        <f ca="1">IF(IFERROR(INDEX(DATA_PROPERTY_MASTER!$E$5:$E$21,MATCH($C2090,DATA_PROPERTY_MASTER!$A$5:$A$21,0))="Yes",FALSE),IFERROR(INDEX(INDIRECT("'"&amp;$C2090&amp;"'!$E$63:$Y$63"),1,MATCH($D2090,INDIRECT("'"&amp;$C2090&amp;"'!$E$12:$Y$12"),0)),0),0)</f>
        <v>0</v>
      </c>
      <c r="I2090" s="366" t="s">
        <v>1731</v>
      </c>
      <c r="J2090" s="348" t="str">
        <f t="shared" ca="1" si="64"/>
        <v>OK</v>
      </c>
      <c r="K2090" s="366" t="s">
        <v>1732</v>
      </c>
      <c r="L2090" s="366" t="s">
        <v>2256</v>
      </c>
      <c r="M2090" s="350" t="str">
        <f>IF($B2090="Portfolio","Portfolio",IFERROR(INDEX(DATA_ASSET_CLASSIFICATION!$B$8:$B$24,MATCH($C2090,DATA_ASSET_CLASSIFICATION!$A$8:$A$24,0)),"Review"))</f>
        <v>Evelyn Estates</v>
      </c>
      <c r="N2090" s="350" t="str">
        <f ca="1">IF($B2090="Portfolio","Portfolio",IFERROR(INDEX(DATA_ASSET_CLASSIFICATION!$U$8:$U$24,MATCH($C2090,DATA_ASSET_CLASSIFICATION!$A$8:$A$24,0)),"Review"))</f>
        <v>Refi Watch</v>
      </c>
      <c r="O2090" s="350" t="str">
        <f ca="1">IF($B2090="Portfolio","Portfolio",IFERROR(INDEX(DATA_ASSET_CLASSIFICATION!$AB$8:$AB$13,MATCH($N2090,DATA_ASSET_CLASSIFICATION!$AA$8:$AA$13,0)),"Review"))</f>
        <v>Bucket 2 · Legacy</v>
      </c>
      <c r="P2090" s="350" t="str">
        <f>IF($B2090="Portfolio","Portfolio",IFERROR(INDEX(DATA_ASSET_CLASSIFICATION!$C$8:$C$24,MATCH($C2090,DATA_ASSET_CLASSIFICATION!$A$8:$A$24,0)),"Review"))</f>
        <v>Yes</v>
      </c>
      <c r="Q2090" s="350" t="str">
        <f t="shared" ca="1" si="65"/>
        <v>OK</v>
      </c>
    </row>
    <row r="2091" spans="1:17">
      <c r="A2091" s="366" t="s">
        <v>4047</v>
      </c>
      <c r="B2091" s="366" t="s">
        <v>231</v>
      </c>
      <c r="C2091" s="348" t="str">
        <f>DATA_PROPERTY_MASTER!$A$11</f>
        <v>BLD_EE</v>
      </c>
      <c r="D2091" s="380">
        <f>'00_PORTFOLIO ROLLUP'!H$12</f>
        <v>2028</v>
      </c>
      <c r="E2091" s="366" t="s">
        <v>1721</v>
      </c>
      <c r="F2091" s="366" t="s">
        <v>37</v>
      </c>
      <c r="G2091" s="348" t="str">
        <f>"'"&amp;$C2091&amp;"'!$E$63:$Y$63"</f>
        <v>'BLD_EE'!$E$63:$Y$63</v>
      </c>
      <c r="H2091" s="381">
        <f ca="1">IF(IFERROR(INDEX(DATA_PROPERTY_MASTER!$E$5:$E$21,MATCH($C2091,DATA_PROPERTY_MASTER!$A$5:$A$21,0))="Yes",FALSE),MAX(IFERROR(INDEX(INDIRECT("'"&amp;$C2091&amp;"'!$E$63:$Y$63"),1,MATCH($D2091,INDIRECT("'"&amp;$C2091&amp;"'!$E$12:$Y$12"),0)),0),0),0)</f>
        <v>0</v>
      </c>
      <c r="I2091" s="366" t="s">
        <v>1685</v>
      </c>
      <c r="J2091" s="348" t="str">
        <f t="shared" ca="1" si="64"/>
        <v>OK</v>
      </c>
      <c r="K2091" s="366" t="s">
        <v>1735</v>
      </c>
      <c r="L2091" s="366" t="s">
        <v>2258</v>
      </c>
      <c r="M2091" s="350" t="str">
        <f>IF($B2091="Portfolio","Portfolio",IFERROR(INDEX(DATA_ASSET_CLASSIFICATION!$B$8:$B$24,MATCH($C2091,DATA_ASSET_CLASSIFICATION!$A$8:$A$24,0)),"Review"))</f>
        <v>Evelyn Estates</v>
      </c>
      <c r="N2091" s="350" t="str">
        <f ca="1">IF($B2091="Portfolio","Portfolio",IFERROR(INDEX(DATA_ASSET_CLASSIFICATION!$U$8:$U$24,MATCH($C2091,DATA_ASSET_CLASSIFICATION!$A$8:$A$24,0)),"Review"))</f>
        <v>Refi Watch</v>
      </c>
      <c r="O2091" s="350" t="str">
        <f ca="1">IF($B2091="Portfolio","Portfolio",IFERROR(INDEX(DATA_ASSET_CLASSIFICATION!$AB$8:$AB$13,MATCH($N2091,DATA_ASSET_CLASSIFICATION!$AA$8:$AA$13,0)),"Review"))</f>
        <v>Bucket 2 · Legacy</v>
      </c>
      <c r="P2091" s="350" t="str">
        <f>IF($B2091="Portfolio","Portfolio",IFERROR(INDEX(DATA_ASSET_CLASSIFICATION!$C$8:$C$24,MATCH($C2091,DATA_ASSET_CLASSIFICATION!$A$8:$A$24,0)),"Review"))</f>
        <v>Yes</v>
      </c>
      <c r="Q2091" s="350" t="str">
        <f t="shared" ca="1" si="65"/>
        <v>OK</v>
      </c>
    </row>
    <row r="2092" spans="1:17">
      <c r="A2092" s="366" t="s">
        <v>4048</v>
      </c>
      <c r="B2092" s="366" t="s">
        <v>231</v>
      </c>
      <c r="C2092" s="348" t="str">
        <f>DATA_PROPERTY_MASTER!$A$11</f>
        <v>BLD_EE</v>
      </c>
      <c r="D2092" s="380">
        <f>'00_PORTFOLIO ROLLUP'!H$12</f>
        <v>2028</v>
      </c>
      <c r="E2092" s="366" t="s">
        <v>1721</v>
      </c>
      <c r="F2092" s="366" t="s">
        <v>39</v>
      </c>
      <c r="G2092" s="348" t="str">
        <f>"'"&amp;$C2092&amp;"'!$E$63:$Y$63"</f>
        <v>'BLD_EE'!$E$63:$Y$63</v>
      </c>
      <c r="H2092" s="381">
        <f ca="1">IF(IFERROR(INDEX(DATA_PROPERTY_MASTER!$E$5:$E$21,MATCH($C2092,DATA_PROPERTY_MASTER!$A$5:$A$21,0))="Yes",FALSE),MAX(-IFERROR(INDEX(INDIRECT("'"&amp;$C2092&amp;"'!$E$63:$Y$63"),1,MATCH($D2092,INDIRECT("'"&amp;$C2092&amp;"'!$E$12:$Y$12"),0)),0),0),0)</f>
        <v>0</v>
      </c>
      <c r="I2092" s="366" t="s">
        <v>1690</v>
      </c>
      <c r="J2092" s="348" t="str">
        <f t="shared" ca="1" si="64"/>
        <v>OK</v>
      </c>
      <c r="K2092" s="366" t="s">
        <v>1738</v>
      </c>
      <c r="L2092" s="366" t="s">
        <v>2260</v>
      </c>
      <c r="M2092" s="350" t="str">
        <f>IF($B2092="Portfolio","Portfolio",IFERROR(INDEX(DATA_ASSET_CLASSIFICATION!$B$8:$B$24,MATCH($C2092,DATA_ASSET_CLASSIFICATION!$A$8:$A$24,0)),"Review"))</f>
        <v>Evelyn Estates</v>
      </c>
      <c r="N2092" s="350" t="str">
        <f ca="1">IF($B2092="Portfolio","Portfolio",IFERROR(INDEX(DATA_ASSET_CLASSIFICATION!$U$8:$U$24,MATCH($C2092,DATA_ASSET_CLASSIFICATION!$A$8:$A$24,0)),"Review"))</f>
        <v>Refi Watch</v>
      </c>
      <c r="O2092" s="350" t="str">
        <f ca="1">IF($B2092="Portfolio","Portfolio",IFERROR(INDEX(DATA_ASSET_CLASSIFICATION!$AB$8:$AB$13,MATCH($N2092,DATA_ASSET_CLASSIFICATION!$AA$8:$AA$13,0)),"Review"))</f>
        <v>Bucket 2 · Legacy</v>
      </c>
      <c r="P2092" s="350" t="str">
        <f>IF($B2092="Portfolio","Portfolio",IFERROR(INDEX(DATA_ASSET_CLASSIFICATION!$C$8:$C$24,MATCH($C2092,DATA_ASSET_CLASSIFICATION!$A$8:$A$24,0)),"Review"))</f>
        <v>Yes</v>
      </c>
      <c r="Q2092" s="350" t="str">
        <f t="shared" ca="1" si="65"/>
        <v>OK</v>
      </c>
    </row>
    <row r="2093" spans="1:17">
      <c r="A2093" s="366" t="s">
        <v>4049</v>
      </c>
      <c r="B2093" s="366" t="s">
        <v>231</v>
      </c>
      <c r="C2093" s="348" t="str">
        <f>DATA_PROPERTY_MASTER!$A$11</f>
        <v>BLD_EE</v>
      </c>
      <c r="D2093" s="380">
        <f>'00_PORTFOLIO ROLLUP'!H$12</f>
        <v>2028</v>
      </c>
      <c r="E2093" s="366" t="s">
        <v>1741</v>
      </c>
      <c r="F2093" s="366" t="s">
        <v>41</v>
      </c>
      <c r="G2093" s="348" t="str">
        <f>"'"&amp;$C2093&amp;"'!rows 56 + positive row 63"</f>
        <v>'BLD_EE'!rows 56 + positive row 63</v>
      </c>
      <c r="H2093" s="381">
        <f ca="1">IF(IFERROR(INDEX(DATA_PROPERTY_MASTER!$E$5:$E$21,MATCH($C2093,DATA_PROPERTY_MASTER!$A$5:$A$21,0))="Yes",FALSE),IFERROR(INDEX(INDIRECT("'"&amp;$C2093&amp;"'!$E$56:$Y$56"),1,MATCH($D2093,INDIRECT("'"&amp;$C2093&amp;"'!$E$12:$Y$12"),0)),0)+MAX(IFERROR(INDEX(INDIRECT("'"&amp;$C2093&amp;"'!$E$63:$Y$63"),1,MATCH($D2093,INDIRECT("'"&amp;$C2093&amp;"'!$E$12:$Y$12"),0)),0),0),0)</f>
        <v>115800.56444293118</v>
      </c>
      <c r="I2093" s="366" t="s">
        <v>1685</v>
      </c>
      <c r="J2093" s="348" t="str">
        <f t="shared" ca="1" si="64"/>
        <v>OK</v>
      </c>
      <c r="K2093" s="366" t="s">
        <v>1742</v>
      </c>
      <c r="L2093" s="366" t="s">
        <v>2262</v>
      </c>
      <c r="M2093" s="350" t="str">
        <f>IF($B2093="Portfolio","Portfolio",IFERROR(INDEX(DATA_ASSET_CLASSIFICATION!$B$8:$B$24,MATCH($C2093,DATA_ASSET_CLASSIFICATION!$A$8:$A$24,0)),"Review"))</f>
        <v>Evelyn Estates</v>
      </c>
      <c r="N2093" s="350" t="str">
        <f ca="1">IF($B2093="Portfolio","Portfolio",IFERROR(INDEX(DATA_ASSET_CLASSIFICATION!$U$8:$U$24,MATCH($C2093,DATA_ASSET_CLASSIFICATION!$A$8:$A$24,0)),"Review"))</f>
        <v>Refi Watch</v>
      </c>
      <c r="O2093" s="350" t="str">
        <f ca="1">IF($B2093="Portfolio","Portfolio",IFERROR(INDEX(DATA_ASSET_CLASSIFICATION!$AB$8:$AB$13,MATCH($N2093,DATA_ASSET_CLASSIFICATION!$AA$8:$AA$13,0)),"Review"))</f>
        <v>Bucket 2 · Legacy</v>
      </c>
      <c r="P2093" s="350" t="str">
        <f>IF($B2093="Portfolio","Portfolio",IFERROR(INDEX(DATA_ASSET_CLASSIFICATION!$C$8:$C$24,MATCH($C2093,DATA_ASSET_CLASSIFICATION!$A$8:$A$24,0)),"Review"))</f>
        <v>Yes</v>
      </c>
      <c r="Q2093" s="350" t="str">
        <f t="shared" ca="1" si="65"/>
        <v>OK</v>
      </c>
    </row>
    <row r="2094" spans="1:17">
      <c r="A2094" s="366" t="s">
        <v>4050</v>
      </c>
      <c r="B2094" s="366" t="s">
        <v>231</v>
      </c>
      <c r="C2094" s="348" t="str">
        <f>DATA_PROPERTY_MASTER!$A$11</f>
        <v>BLD_EE</v>
      </c>
      <c r="D2094" s="380">
        <f>'00_PORTFOLIO ROLLUP'!H$12</f>
        <v>2028</v>
      </c>
      <c r="E2094" s="366" t="s">
        <v>1741</v>
      </c>
      <c r="F2094" s="366" t="s">
        <v>43</v>
      </c>
      <c r="G2094" s="348" t="str">
        <f>"'"&amp;$C2094&amp;"'!$E$68:$Y$68"</f>
        <v>'BLD_EE'!$E$68:$Y$68</v>
      </c>
      <c r="H2094" s="381">
        <f ca="1">IF(IFERROR(INDEX(DATA_PROPERTY_MASTER!$E$5:$E$21,MATCH($C2094,DATA_PROPERTY_MASTER!$A$5:$A$21,0))="Yes",FALSE),IFERROR(INDEX(INDIRECT("'"&amp;$C2094&amp;"'!$E$68:$Y$68"),1,MATCH($D2094,INDIRECT("'"&amp;$C2094&amp;"'!$E$12:$Y$12"),0)),0),0)</f>
        <v>115800.56444293118</v>
      </c>
      <c r="I2094" s="366" t="s">
        <v>1731</v>
      </c>
      <c r="J2094" s="348" t="str">
        <f t="shared" ca="1" si="64"/>
        <v>OK</v>
      </c>
      <c r="K2094" s="366" t="s">
        <v>1746</v>
      </c>
      <c r="L2094" s="366" t="s">
        <v>2264</v>
      </c>
      <c r="M2094" s="350" t="str">
        <f>IF($B2094="Portfolio","Portfolio",IFERROR(INDEX(DATA_ASSET_CLASSIFICATION!$B$8:$B$24,MATCH($C2094,DATA_ASSET_CLASSIFICATION!$A$8:$A$24,0)),"Review"))</f>
        <v>Evelyn Estates</v>
      </c>
      <c r="N2094" s="350" t="str">
        <f ca="1">IF($B2094="Portfolio","Portfolio",IFERROR(INDEX(DATA_ASSET_CLASSIFICATION!$U$8:$U$24,MATCH($C2094,DATA_ASSET_CLASSIFICATION!$A$8:$A$24,0)),"Review"))</f>
        <v>Refi Watch</v>
      </c>
      <c r="O2094" s="350" t="str">
        <f ca="1">IF($B2094="Portfolio","Portfolio",IFERROR(INDEX(DATA_ASSET_CLASSIFICATION!$AB$8:$AB$13,MATCH($N2094,DATA_ASSET_CLASSIFICATION!$AA$8:$AA$13,0)),"Review"))</f>
        <v>Bucket 2 · Legacy</v>
      </c>
      <c r="P2094" s="350" t="str">
        <f>IF($B2094="Portfolio","Portfolio",IFERROR(INDEX(DATA_ASSET_CLASSIFICATION!$C$8:$C$24,MATCH($C2094,DATA_ASSET_CLASSIFICATION!$A$8:$A$24,0)),"Review"))</f>
        <v>Yes</v>
      </c>
      <c r="Q2094" s="350" t="str">
        <f t="shared" ca="1" si="65"/>
        <v>OK</v>
      </c>
    </row>
    <row r="2095" spans="1:17">
      <c r="A2095" s="366" t="s">
        <v>4051</v>
      </c>
      <c r="B2095" s="366" t="s">
        <v>231</v>
      </c>
      <c r="C2095" s="348" t="str">
        <f>DATA_PROPERTY_MASTER!$A$11</f>
        <v>BLD_EE</v>
      </c>
      <c r="D2095" s="380">
        <f>'00_PORTFOLIO ROLLUP'!H$12</f>
        <v>2028</v>
      </c>
      <c r="E2095" s="366" t="s">
        <v>1741</v>
      </c>
      <c r="F2095" s="366" t="s">
        <v>1749</v>
      </c>
      <c r="G2095" s="348" t="str">
        <f>"'"&amp;$C2095&amp;"'!rows 56, 63, 68"</f>
        <v>'BLD_EE'!rows 56, 63, 68</v>
      </c>
      <c r="H2095" s="381">
        <f ca="1">IF(IFERROR(INDEX(DATA_PROPERTY_MASTER!$E$5:$E$21,MATCH($C2095,DATA_PROPERTY_MASTER!$A$5:$A$21,0))="Yes",FALSE),(IFERROR(INDEX(INDIRECT("'"&amp;$C2095&amp;"'!$E$56:$Y$56"),1,MATCH($D2095,INDIRECT("'"&amp;$C2095&amp;"'!$E$12:$Y$12"),0)),0)+MAX(IFERROR(INDEX(INDIRECT("'"&amp;$C2095&amp;"'!$E$63:$Y$63"),1,MATCH($D2095,INDIRECT("'"&amp;$C2095&amp;"'!$E$12:$Y$12"),0)),0),0))-(IFERROR(INDEX(INDIRECT("'"&amp;$C2095&amp;"'!$E$68:$Y$68"),1,MATCH($D2095,INDIRECT("'"&amp;$C2095&amp;"'!$E$12:$Y$12"),0)),0)),0)</f>
        <v>0</v>
      </c>
      <c r="I2095" s="366" t="s">
        <v>1750</v>
      </c>
      <c r="J2095" s="348" t="str">
        <f t="shared" ca="1" si="64"/>
        <v>OK</v>
      </c>
      <c r="K2095" s="366" t="s">
        <v>1751</v>
      </c>
      <c r="L2095" s="366" t="s">
        <v>2266</v>
      </c>
      <c r="M2095" s="350" t="str">
        <f>IF($B2095="Portfolio","Portfolio",IFERROR(INDEX(DATA_ASSET_CLASSIFICATION!$B$8:$B$24,MATCH($C2095,DATA_ASSET_CLASSIFICATION!$A$8:$A$24,0)),"Review"))</f>
        <v>Evelyn Estates</v>
      </c>
      <c r="N2095" s="350" t="str">
        <f ca="1">IF($B2095="Portfolio","Portfolio",IFERROR(INDEX(DATA_ASSET_CLASSIFICATION!$U$8:$U$24,MATCH($C2095,DATA_ASSET_CLASSIFICATION!$A$8:$A$24,0)),"Review"))</f>
        <v>Refi Watch</v>
      </c>
      <c r="O2095" s="350" t="str">
        <f ca="1">IF($B2095="Portfolio","Portfolio",IFERROR(INDEX(DATA_ASSET_CLASSIFICATION!$AB$8:$AB$13,MATCH($N2095,DATA_ASSET_CLASSIFICATION!$AA$8:$AA$13,0)),"Review"))</f>
        <v>Bucket 2 · Legacy</v>
      </c>
      <c r="P2095" s="350" t="str">
        <f>IF($B2095="Portfolio","Portfolio",IFERROR(INDEX(DATA_ASSET_CLASSIFICATION!$C$8:$C$24,MATCH($C2095,DATA_ASSET_CLASSIFICATION!$A$8:$A$24,0)),"Review"))</f>
        <v>Yes</v>
      </c>
      <c r="Q2095" s="350" t="str">
        <f t="shared" ca="1" si="65"/>
        <v>OK</v>
      </c>
    </row>
    <row r="2096" spans="1:17">
      <c r="A2096" s="366" t="s">
        <v>4052</v>
      </c>
      <c r="B2096" s="366" t="s">
        <v>231</v>
      </c>
      <c r="C2096" s="348" t="str">
        <f>DATA_PROPERTY_MASTER!$A$11</f>
        <v>BLD_EE</v>
      </c>
      <c r="D2096" s="380">
        <f>'00_PORTFOLIO ROLLUP'!I$12</f>
        <v>2029</v>
      </c>
      <c r="E2096" s="366" t="s">
        <v>1683</v>
      </c>
      <c r="F2096" s="366" t="s">
        <v>341</v>
      </c>
      <c r="G2096" s="348" t="str">
        <f>"'"&amp;$C2096&amp;"'!$E$24:$Y$24"</f>
        <v>'BLD_EE'!$E$24:$Y$24</v>
      </c>
      <c r="H2096" s="381">
        <f ca="1">IF(IFERROR(INDEX(DATA_PROPERTY_MASTER!$E$5:$E$21,MATCH($C2096,DATA_PROPERTY_MASTER!$A$5:$A$21,0))="Yes",FALSE),IFERROR(INDEX(INDIRECT("'"&amp;$C2096&amp;"'!$E$24:$Y$24"),1,MATCH($D2096,INDIRECT("'"&amp;$C2096&amp;"'!$E$12:$Y$12"),0)),0),0)</f>
        <v>544244.7425025946</v>
      </c>
      <c r="I2096" s="366" t="s">
        <v>1685</v>
      </c>
      <c r="J2096" s="348" t="str">
        <f t="shared" ca="1" si="64"/>
        <v>OK</v>
      </c>
      <c r="K2096" s="366" t="s">
        <v>1686</v>
      </c>
      <c r="L2096" s="366" t="s">
        <v>2234</v>
      </c>
      <c r="M2096" s="350" t="str">
        <f>IF($B2096="Portfolio","Portfolio",IFERROR(INDEX(DATA_ASSET_CLASSIFICATION!$B$8:$B$24,MATCH($C2096,DATA_ASSET_CLASSIFICATION!$A$8:$A$24,0)),"Review"))</f>
        <v>Evelyn Estates</v>
      </c>
      <c r="N2096" s="350" t="str">
        <f ca="1">IF($B2096="Portfolio","Portfolio",IFERROR(INDEX(DATA_ASSET_CLASSIFICATION!$U$8:$U$24,MATCH($C2096,DATA_ASSET_CLASSIFICATION!$A$8:$A$24,0)),"Review"))</f>
        <v>Refi Watch</v>
      </c>
      <c r="O2096" s="350" t="str">
        <f ca="1">IF($B2096="Portfolio","Portfolio",IFERROR(INDEX(DATA_ASSET_CLASSIFICATION!$AB$8:$AB$13,MATCH($N2096,DATA_ASSET_CLASSIFICATION!$AA$8:$AA$13,0)),"Review"))</f>
        <v>Bucket 2 · Legacy</v>
      </c>
      <c r="P2096" s="350" t="str">
        <f>IF($B2096="Portfolio","Portfolio",IFERROR(INDEX(DATA_ASSET_CLASSIFICATION!$C$8:$C$24,MATCH($C2096,DATA_ASSET_CLASSIFICATION!$A$8:$A$24,0)),"Review"))</f>
        <v>Yes</v>
      </c>
      <c r="Q2096" s="350" t="str">
        <f t="shared" ca="1" si="65"/>
        <v>OK</v>
      </c>
    </row>
    <row r="2097" spans="1:17">
      <c r="A2097" s="366" t="s">
        <v>4053</v>
      </c>
      <c r="B2097" s="366" t="s">
        <v>231</v>
      </c>
      <c r="C2097" s="348" t="str">
        <f>DATA_PROPERTY_MASTER!$A$11</f>
        <v>BLD_EE</v>
      </c>
      <c r="D2097" s="380">
        <f>'00_PORTFOLIO ROLLUP'!I$12</f>
        <v>2029</v>
      </c>
      <c r="E2097" s="366" t="s">
        <v>1683</v>
      </c>
      <c r="F2097" s="366" t="s">
        <v>355</v>
      </c>
      <c r="G2097" s="348" t="str">
        <f>"'"&amp;$C2097&amp;"'!$E$39:$Y$39"</f>
        <v>'BLD_EE'!$E$39:$Y$39</v>
      </c>
      <c r="H2097" s="381">
        <f ca="1">IF(IFERROR(INDEX(DATA_PROPERTY_MASTER!$E$5:$E$21,MATCH($C2097,DATA_PROPERTY_MASTER!$A$5:$A$21,0))="Yes",FALSE),IFERROR(INDEX(INDIRECT("'"&amp;$C2097&amp;"'!$E$39:$Y$39"),1,MATCH($D2097,INDIRECT("'"&amp;$C2097&amp;"'!$E$12:$Y$12"),0)),0),0)</f>
        <v>253834.74049024002</v>
      </c>
      <c r="I2097" s="366" t="s">
        <v>1690</v>
      </c>
      <c r="J2097" s="348" t="str">
        <f t="shared" ca="1" si="64"/>
        <v>OK</v>
      </c>
      <c r="K2097" s="366" t="s">
        <v>1686</v>
      </c>
      <c r="L2097" s="366" t="s">
        <v>2236</v>
      </c>
      <c r="M2097" s="350" t="str">
        <f>IF($B2097="Portfolio","Portfolio",IFERROR(INDEX(DATA_ASSET_CLASSIFICATION!$B$8:$B$24,MATCH($C2097,DATA_ASSET_CLASSIFICATION!$A$8:$A$24,0)),"Review"))</f>
        <v>Evelyn Estates</v>
      </c>
      <c r="N2097" s="350" t="str">
        <f ca="1">IF($B2097="Portfolio","Portfolio",IFERROR(INDEX(DATA_ASSET_CLASSIFICATION!$U$8:$U$24,MATCH($C2097,DATA_ASSET_CLASSIFICATION!$A$8:$A$24,0)),"Review"))</f>
        <v>Refi Watch</v>
      </c>
      <c r="O2097" s="350" t="str">
        <f ca="1">IF($B2097="Portfolio","Portfolio",IFERROR(INDEX(DATA_ASSET_CLASSIFICATION!$AB$8:$AB$13,MATCH($N2097,DATA_ASSET_CLASSIFICATION!$AA$8:$AA$13,0)),"Review"))</f>
        <v>Bucket 2 · Legacy</v>
      </c>
      <c r="P2097" s="350" t="str">
        <f>IF($B2097="Portfolio","Portfolio",IFERROR(INDEX(DATA_ASSET_CLASSIFICATION!$C$8:$C$24,MATCH($C2097,DATA_ASSET_CLASSIFICATION!$A$8:$A$24,0)),"Review"))</f>
        <v>Yes</v>
      </c>
      <c r="Q2097" s="350" t="str">
        <f t="shared" ca="1" si="65"/>
        <v>OK</v>
      </c>
    </row>
    <row r="2098" spans="1:17">
      <c r="A2098" s="366" t="s">
        <v>4054</v>
      </c>
      <c r="B2098" s="366" t="s">
        <v>231</v>
      </c>
      <c r="C2098" s="348" t="str">
        <f>DATA_PROPERTY_MASTER!$A$11</f>
        <v>BLD_EE</v>
      </c>
      <c r="D2098" s="380">
        <f>'00_PORTFOLIO ROLLUP'!I$12</f>
        <v>2029</v>
      </c>
      <c r="E2098" s="366" t="s">
        <v>1683</v>
      </c>
      <c r="F2098" s="366" t="s">
        <v>19</v>
      </c>
      <c r="G2098" s="348" t="str">
        <f>"'"&amp;$C2098&amp;"'!$E$41:$Y$41"</f>
        <v>'BLD_EE'!$E$41:$Y$41</v>
      </c>
      <c r="H2098" s="381">
        <f ca="1">IF(IFERROR(INDEX(DATA_PROPERTY_MASTER!$E$5:$E$21,MATCH($C2098,DATA_PROPERTY_MASTER!$A$5:$A$21,0))="Yes",FALSE),IFERROR(INDEX(INDIRECT("'"&amp;$C2098&amp;"'!$E$41:$Y$41"),1,MATCH($D2098,INDIRECT("'"&amp;$C2098&amp;"'!$E$12:$Y$12"),0)),0),0)</f>
        <v>290410.00201235455</v>
      </c>
      <c r="I2098" s="366" t="s">
        <v>1685</v>
      </c>
      <c r="J2098" s="348" t="str">
        <f t="shared" ca="1" si="64"/>
        <v>OK</v>
      </c>
      <c r="K2098" s="366" t="s">
        <v>1694</v>
      </c>
      <c r="L2098" s="366" t="s">
        <v>2238</v>
      </c>
      <c r="M2098" s="350" t="str">
        <f>IF($B2098="Portfolio","Portfolio",IFERROR(INDEX(DATA_ASSET_CLASSIFICATION!$B$8:$B$24,MATCH($C2098,DATA_ASSET_CLASSIFICATION!$A$8:$A$24,0)),"Review"))</f>
        <v>Evelyn Estates</v>
      </c>
      <c r="N2098" s="350" t="str">
        <f ca="1">IF($B2098="Portfolio","Portfolio",IFERROR(INDEX(DATA_ASSET_CLASSIFICATION!$U$8:$U$24,MATCH($C2098,DATA_ASSET_CLASSIFICATION!$A$8:$A$24,0)),"Review"))</f>
        <v>Refi Watch</v>
      </c>
      <c r="O2098" s="350" t="str">
        <f ca="1">IF($B2098="Portfolio","Portfolio",IFERROR(INDEX(DATA_ASSET_CLASSIFICATION!$AB$8:$AB$13,MATCH($N2098,DATA_ASSET_CLASSIFICATION!$AA$8:$AA$13,0)),"Review"))</f>
        <v>Bucket 2 · Legacy</v>
      </c>
      <c r="P2098" s="350" t="str">
        <f>IF($B2098="Portfolio","Portfolio",IFERROR(INDEX(DATA_ASSET_CLASSIFICATION!$C$8:$C$24,MATCH($C2098,DATA_ASSET_CLASSIFICATION!$A$8:$A$24,0)),"Review"))</f>
        <v>Yes</v>
      </c>
      <c r="Q2098" s="350" t="str">
        <f t="shared" ca="1" si="65"/>
        <v>OK</v>
      </c>
    </row>
    <row r="2099" spans="1:17">
      <c r="A2099" s="366" t="s">
        <v>4055</v>
      </c>
      <c r="B2099" s="366" t="s">
        <v>231</v>
      </c>
      <c r="C2099" s="348" t="str">
        <f>DATA_PROPERTY_MASTER!$A$11</f>
        <v>BLD_EE</v>
      </c>
      <c r="D2099" s="380">
        <f>'00_PORTFOLIO ROLLUP'!I$12</f>
        <v>2029</v>
      </c>
      <c r="E2099" s="366" t="s">
        <v>1683</v>
      </c>
      <c r="F2099" s="366" t="s">
        <v>1697</v>
      </c>
      <c r="G2099" s="348" t="str">
        <f>"'"&amp;$C2099&amp;"'!$E$44:$Y$44"</f>
        <v>'BLD_EE'!$E$44:$Y$44</v>
      </c>
      <c r="H2099" s="381">
        <f ca="1">IF(IFERROR(INDEX(DATA_PROPERTY_MASTER!$E$5:$E$21,MATCH($C2099,DATA_PROPERTY_MASTER!$A$5:$A$21,0))="Yes",FALSE),IFERROR(INDEX(INDIRECT("'"&amp;$C2099&amp;"'!$E$44:$Y$44"),1,MATCH($D2099,INDIRECT("'"&amp;$C2099&amp;"'!$E$12:$Y$12"),0)),0),0)</f>
        <v>5845.133664</v>
      </c>
      <c r="I2099" s="366" t="s">
        <v>1690</v>
      </c>
      <c r="J2099" s="348" t="str">
        <f t="shared" ca="1" si="64"/>
        <v>OK</v>
      </c>
      <c r="K2099" s="366" t="s">
        <v>1699</v>
      </c>
      <c r="L2099" s="366" t="s">
        <v>2240</v>
      </c>
      <c r="M2099" s="350" t="str">
        <f>IF($B2099="Portfolio","Portfolio",IFERROR(INDEX(DATA_ASSET_CLASSIFICATION!$B$8:$B$24,MATCH($C2099,DATA_ASSET_CLASSIFICATION!$A$8:$A$24,0)),"Review"))</f>
        <v>Evelyn Estates</v>
      </c>
      <c r="N2099" s="350" t="str">
        <f ca="1">IF($B2099="Portfolio","Portfolio",IFERROR(INDEX(DATA_ASSET_CLASSIFICATION!$U$8:$U$24,MATCH($C2099,DATA_ASSET_CLASSIFICATION!$A$8:$A$24,0)),"Review"))</f>
        <v>Refi Watch</v>
      </c>
      <c r="O2099" s="350" t="str">
        <f ca="1">IF($B2099="Portfolio","Portfolio",IFERROR(INDEX(DATA_ASSET_CLASSIFICATION!$AB$8:$AB$13,MATCH($N2099,DATA_ASSET_CLASSIFICATION!$AA$8:$AA$13,0)),"Review"))</f>
        <v>Bucket 2 · Legacy</v>
      </c>
      <c r="P2099" s="350" t="str">
        <f>IF($B2099="Portfolio","Portfolio",IFERROR(INDEX(DATA_ASSET_CLASSIFICATION!$C$8:$C$24,MATCH($C2099,DATA_ASSET_CLASSIFICATION!$A$8:$A$24,0)),"Review"))</f>
        <v>Yes</v>
      </c>
      <c r="Q2099" s="350" t="str">
        <f t="shared" ca="1" si="65"/>
        <v>OK</v>
      </c>
    </row>
    <row r="2100" spans="1:17">
      <c r="A2100" s="366" t="s">
        <v>4056</v>
      </c>
      <c r="B2100" s="366" t="s">
        <v>231</v>
      </c>
      <c r="C2100" s="348" t="str">
        <f>DATA_PROPERTY_MASTER!$A$11</f>
        <v>BLD_EE</v>
      </c>
      <c r="D2100" s="380">
        <f>'00_PORTFOLIO ROLLUP'!I$12</f>
        <v>2029</v>
      </c>
      <c r="E2100" s="366" t="s">
        <v>1683</v>
      </c>
      <c r="F2100" s="366" t="s">
        <v>21</v>
      </c>
      <c r="G2100" s="348" t="str">
        <f>"'"&amp;$C2100&amp;"'!$E$45:$Y$45"</f>
        <v>'BLD_EE'!$E$45:$Y$45</v>
      </c>
      <c r="H2100" s="381">
        <f ca="1">IF(IFERROR(INDEX(DATA_PROPERTY_MASTER!$E$5:$E$21,MATCH($C2100,DATA_PROPERTY_MASTER!$A$5:$A$21,0))="Yes",FALSE),IFERROR(INDEX(INDIRECT("'"&amp;$C2100&amp;"'!$E$45:$Y$45"),1,MATCH($D2100,INDIRECT("'"&amp;$C2100&amp;"'!$E$12:$Y$12"),0)),0),0)</f>
        <v>284564.86834835453</v>
      </c>
      <c r="I2100" s="366" t="s">
        <v>1685</v>
      </c>
      <c r="J2100" s="348" t="str">
        <f t="shared" ca="1" si="64"/>
        <v>OK</v>
      </c>
      <c r="K2100" s="366" t="s">
        <v>1694</v>
      </c>
      <c r="L2100" s="366" t="s">
        <v>2242</v>
      </c>
      <c r="M2100" s="350" t="str">
        <f>IF($B2100="Portfolio","Portfolio",IFERROR(INDEX(DATA_ASSET_CLASSIFICATION!$B$8:$B$24,MATCH($C2100,DATA_ASSET_CLASSIFICATION!$A$8:$A$24,0)),"Review"))</f>
        <v>Evelyn Estates</v>
      </c>
      <c r="N2100" s="350" t="str">
        <f ca="1">IF($B2100="Portfolio","Portfolio",IFERROR(INDEX(DATA_ASSET_CLASSIFICATION!$U$8:$U$24,MATCH($C2100,DATA_ASSET_CLASSIFICATION!$A$8:$A$24,0)),"Review"))</f>
        <v>Refi Watch</v>
      </c>
      <c r="O2100" s="350" t="str">
        <f ca="1">IF($B2100="Portfolio","Portfolio",IFERROR(INDEX(DATA_ASSET_CLASSIFICATION!$AB$8:$AB$13,MATCH($N2100,DATA_ASSET_CLASSIFICATION!$AA$8:$AA$13,0)),"Review"))</f>
        <v>Bucket 2 · Legacy</v>
      </c>
      <c r="P2100" s="350" t="str">
        <f>IF($B2100="Portfolio","Portfolio",IFERROR(INDEX(DATA_ASSET_CLASSIFICATION!$C$8:$C$24,MATCH($C2100,DATA_ASSET_CLASSIFICATION!$A$8:$A$24,0)),"Review"))</f>
        <v>Yes</v>
      </c>
      <c r="Q2100" s="350" t="str">
        <f t="shared" ca="1" si="65"/>
        <v>OK</v>
      </c>
    </row>
    <row r="2101" spans="1:17">
      <c r="A2101" s="366" t="s">
        <v>4057</v>
      </c>
      <c r="B2101" s="366" t="s">
        <v>231</v>
      </c>
      <c r="C2101" s="348" t="str">
        <f>DATA_PROPERTY_MASTER!$A$11</f>
        <v>BLD_EE</v>
      </c>
      <c r="D2101" s="380">
        <f>'00_PORTFOLIO ROLLUP'!I$12</f>
        <v>2029</v>
      </c>
      <c r="E2101" s="366" t="s">
        <v>23</v>
      </c>
      <c r="F2101" s="366" t="s">
        <v>23</v>
      </c>
      <c r="G2101" s="348" t="str">
        <f>"'"&amp;$C2101&amp;"'!$E$48:$Y$48"</f>
        <v>'BLD_EE'!$E$48:$Y$48</v>
      </c>
      <c r="H2101" s="381">
        <f ca="1">IF(IFERROR(INDEX(DATA_PROPERTY_MASTER!$E$5:$E$21,MATCH($C2101,DATA_PROPERTY_MASTER!$A$5:$A$21,0))="Yes",FALSE),IFERROR(INDEX(INDIRECT("'"&amp;$C2101&amp;"'!$E$48:$Y$48"),1,MATCH($D2101,INDIRECT("'"&amp;$C2101&amp;"'!$E$12:$Y$12"),0)),0),0)</f>
        <v>0</v>
      </c>
      <c r="I2101" s="366" t="s">
        <v>1690</v>
      </c>
      <c r="J2101" s="348" t="str">
        <f t="shared" ca="1" si="64"/>
        <v>OK</v>
      </c>
      <c r="K2101" s="366" t="s">
        <v>1706</v>
      </c>
      <c r="L2101" s="366" t="s">
        <v>2244</v>
      </c>
      <c r="M2101" s="350" t="str">
        <f>IF($B2101="Portfolio","Portfolio",IFERROR(INDEX(DATA_ASSET_CLASSIFICATION!$B$8:$B$24,MATCH($C2101,DATA_ASSET_CLASSIFICATION!$A$8:$A$24,0)),"Review"))</f>
        <v>Evelyn Estates</v>
      </c>
      <c r="N2101" s="350" t="str">
        <f ca="1">IF($B2101="Portfolio","Portfolio",IFERROR(INDEX(DATA_ASSET_CLASSIFICATION!$U$8:$U$24,MATCH($C2101,DATA_ASSET_CLASSIFICATION!$A$8:$A$24,0)),"Review"))</f>
        <v>Refi Watch</v>
      </c>
      <c r="O2101" s="350" t="str">
        <f ca="1">IF($B2101="Portfolio","Portfolio",IFERROR(INDEX(DATA_ASSET_CLASSIFICATION!$AB$8:$AB$13,MATCH($N2101,DATA_ASSET_CLASSIFICATION!$AA$8:$AA$13,0)),"Review"))</f>
        <v>Bucket 2 · Legacy</v>
      </c>
      <c r="P2101" s="350" t="str">
        <f>IF($B2101="Portfolio","Portfolio",IFERROR(INDEX(DATA_ASSET_CLASSIFICATION!$C$8:$C$24,MATCH($C2101,DATA_ASSET_CLASSIFICATION!$A$8:$A$24,0)),"Review"))</f>
        <v>Yes</v>
      </c>
      <c r="Q2101" s="350" t="str">
        <f t="shared" ca="1" si="65"/>
        <v>OK</v>
      </c>
    </row>
    <row r="2102" spans="1:17">
      <c r="A2102" s="366" t="s">
        <v>4058</v>
      </c>
      <c r="B2102" s="366" t="s">
        <v>231</v>
      </c>
      <c r="C2102" s="348" t="str">
        <f>DATA_PROPERTY_MASTER!$A$11</f>
        <v>BLD_EE</v>
      </c>
      <c r="D2102" s="380">
        <f>'00_PORTFOLIO ROLLUP'!I$12</f>
        <v>2029</v>
      </c>
      <c r="E2102" s="366" t="s">
        <v>1683</v>
      </c>
      <c r="F2102" s="366" t="s">
        <v>25</v>
      </c>
      <c r="G2102" s="348" t="str">
        <f>"'"&amp;$C2102&amp;"'!$E$52:$Y$52"</f>
        <v>'BLD_EE'!$E$52:$Y$52</v>
      </c>
      <c r="H2102" s="381">
        <f ca="1">IF(IFERROR(INDEX(DATA_PROPERTY_MASTER!$E$5:$E$21,MATCH($C2102,DATA_PROPERTY_MASTER!$A$5:$A$21,0))="Yes",FALSE),IFERROR(INDEX(INDIRECT("'"&amp;$C2102&amp;"'!$E$52:$Y$52"),1,MATCH($D2102,INDIRECT("'"&amp;$C2102&amp;"'!$E$12:$Y$12"),0)),0),0)</f>
        <v>290410.00201235455</v>
      </c>
      <c r="I2102" s="366" t="s">
        <v>1685</v>
      </c>
      <c r="J2102" s="348" t="str">
        <f t="shared" ca="1" si="64"/>
        <v>OK</v>
      </c>
      <c r="K2102" s="366" t="s">
        <v>1710</v>
      </c>
      <c r="L2102" s="366" t="s">
        <v>2246</v>
      </c>
      <c r="M2102" s="350" t="str">
        <f>IF($B2102="Portfolio","Portfolio",IFERROR(INDEX(DATA_ASSET_CLASSIFICATION!$B$8:$B$24,MATCH($C2102,DATA_ASSET_CLASSIFICATION!$A$8:$A$24,0)),"Review"))</f>
        <v>Evelyn Estates</v>
      </c>
      <c r="N2102" s="350" t="str">
        <f ca="1">IF($B2102="Portfolio","Portfolio",IFERROR(INDEX(DATA_ASSET_CLASSIFICATION!$U$8:$U$24,MATCH($C2102,DATA_ASSET_CLASSIFICATION!$A$8:$A$24,0)),"Review"))</f>
        <v>Refi Watch</v>
      </c>
      <c r="O2102" s="350" t="str">
        <f ca="1">IF($B2102="Portfolio","Portfolio",IFERROR(INDEX(DATA_ASSET_CLASSIFICATION!$AB$8:$AB$13,MATCH($N2102,DATA_ASSET_CLASSIFICATION!$AA$8:$AA$13,0)),"Review"))</f>
        <v>Bucket 2 · Legacy</v>
      </c>
      <c r="P2102" s="350" t="str">
        <f>IF($B2102="Portfolio","Portfolio",IFERROR(INDEX(DATA_ASSET_CLASSIFICATION!$C$8:$C$24,MATCH($C2102,DATA_ASSET_CLASSIFICATION!$A$8:$A$24,0)),"Review"))</f>
        <v>Yes</v>
      </c>
      <c r="Q2102" s="350" t="str">
        <f t="shared" ca="1" si="65"/>
        <v>OK</v>
      </c>
    </row>
    <row r="2103" spans="1:17">
      <c r="A2103" s="366" t="s">
        <v>4059</v>
      </c>
      <c r="B2103" s="366" t="s">
        <v>231</v>
      </c>
      <c r="C2103" s="348" t="str">
        <f>DATA_PROPERTY_MASTER!$A$11</f>
        <v>BLD_EE</v>
      </c>
      <c r="D2103" s="380">
        <f>'00_PORTFOLIO ROLLUP'!I$12</f>
        <v>2029</v>
      </c>
      <c r="E2103" s="366" t="s">
        <v>1683</v>
      </c>
      <c r="F2103" s="366" t="s">
        <v>27</v>
      </c>
      <c r="G2103" s="348" t="str">
        <f>"'"&amp;$C2103&amp;"'!$E$54:$Y$54"</f>
        <v>'BLD_EE'!$E$54:$Y$54</v>
      </c>
      <c r="H2103" s="381">
        <f ca="1">IF(IFERROR(INDEX(DATA_PROPERTY_MASTER!$E$5:$E$21,MATCH($C2103,DATA_PROPERTY_MASTER!$A$5:$A$21,0))="Yes",FALSE),IFERROR(INDEX(INDIRECT("'"&amp;$C2103&amp;"'!$E$54:$Y$54"),1,MATCH($D2103,INDIRECT("'"&amp;$C2103&amp;"'!$E$12:$Y$12"),0)),0),0)</f>
        <v>174246.00120741272</v>
      </c>
      <c r="I2103" s="366" t="s">
        <v>1690</v>
      </c>
      <c r="J2103" s="348" t="str">
        <f t="shared" ca="1" si="64"/>
        <v>OK</v>
      </c>
      <c r="K2103" s="366" t="s">
        <v>1714</v>
      </c>
      <c r="L2103" s="366" t="s">
        <v>2248</v>
      </c>
      <c r="M2103" s="350" t="str">
        <f>IF($B2103="Portfolio","Portfolio",IFERROR(INDEX(DATA_ASSET_CLASSIFICATION!$B$8:$B$24,MATCH($C2103,DATA_ASSET_CLASSIFICATION!$A$8:$A$24,0)),"Review"))</f>
        <v>Evelyn Estates</v>
      </c>
      <c r="N2103" s="350" t="str">
        <f ca="1">IF($B2103="Portfolio","Portfolio",IFERROR(INDEX(DATA_ASSET_CLASSIFICATION!$U$8:$U$24,MATCH($C2103,DATA_ASSET_CLASSIFICATION!$A$8:$A$24,0)),"Review"))</f>
        <v>Refi Watch</v>
      </c>
      <c r="O2103" s="350" t="str">
        <f ca="1">IF($B2103="Portfolio","Portfolio",IFERROR(INDEX(DATA_ASSET_CLASSIFICATION!$AB$8:$AB$13,MATCH($N2103,DATA_ASSET_CLASSIFICATION!$AA$8:$AA$13,0)),"Review"))</f>
        <v>Bucket 2 · Legacy</v>
      </c>
      <c r="P2103" s="350" t="str">
        <f>IF($B2103="Portfolio","Portfolio",IFERROR(INDEX(DATA_ASSET_CLASSIFICATION!$C$8:$C$24,MATCH($C2103,DATA_ASSET_CLASSIFICATION!$A$8:$A$24,0)),"Review"))</f>
        <v>Yes</v>
      </c>
      <c r="Q2103" s="350" t="str">
        <f t="shared" ca="1" si="65"/>
        <v>OK</v>
      </c>
    </row>
    <row r="2104" spans="1:17">
      <c r="A2104" s="366" t="s">
        <v>4060</v>
      </c>
      <c r="B2104" s="366" t="s">
        <v>231</v>
      </c>
      <c r="C2104" s="348" t="str">
        <f>DATA_PROPERTY_MASTER!$A$11</f>
        <v>BLD_EE</v>
      </c>
      <c r="D2104" s="380">
        <f>'00_PORTFOLIO ROLLUP'!I$12</f>
        <v>2029</v>
      </c>
      <c r="E2104" s="366" t="s">
        <v>1683</v>
      </c>
      <c r="F2104" s="366" t="s">
        <v>29</v>
      </c>
      <c r="G2104" s="348" t="str">
        <f>"'"&amp;$C2104&amp;"'!$E$56:$Y$56"</f>
        <v>'BLD_EE'!$E$56:$Y$56</v>
      </c>
      <c r="H2104" s="381">
        <f ca="1">IF(IFERROR(INDEX(DATA_PROPERTY_MASTER!$E$5:$E$21,MATCH($C2104,DATA_PROPERTY_MASTER!$A$5:$A$21,0))="Yes",FALSE),IFERROR(INDEX(INDIRECT("'"&amp;$C2104&amp;"'!$E$56:$Y$56"),1,MATCH($D2104,INDIRECT("'"&amp;$C2104&amp;"'!$E$12:$Y$12"),0)),0),0)</f>
        <v>116164.00080494184</v>
      </c>
      <c r="I2104" s="366" t="s">
        <v>1685</v>
      </c>
      <c r="J2104" s="348" t="str">
        <f t="shared" ca="1" si="64"/>
        <v>OK</v>
      </c>
      <c r="K2104" s="366" t="s">
        <v>1718</v>
      </c>
      <c r="L2104" s="366" t="s">
        <v>2250</v>
      </c>
      <c r="M2104" s="350" t="str">
        <f>IF($B2104="Portfolio","Portfolio",IFERROR(INDEX(DATA_ASSET_CLASSIFICATION!$B$8:$B$24,MATCH($C2104,DATA_ASSET_CLASSIFICATION!$A$8:$A$24,0)),"Review"))</f>
        <v>Evelyn Estates</v>
      </c>
      <c r="N2104" s="350" t="str">
        <f ca="1">IF($B2104="Portfolio","Portfolio",IFERROR(INDEX(DATA_ASSET_CLASSIFICATION!$U$8:$U$24,MATCH($C2104,DATA_ASSET_CLASSIFICATION!$A$8:$A$24,0)),"Review"))</f>
        <v>Refi Watch</v>
      </c>
      <c r="O2104" s="350" t="str">
        <f ca="1">IF($B2104="Portfolio","Portfolio",IFERROR(INDEX(DATA_ASSET_CLASSIFICATION!$AB$8:$AB$13,MATCH($N2104,DATA_ASSET_CLASSIFICATION!$AA$8:$AA$13,0)),"Review"))</f>
        <v>Bucket 2 · Legacy</v>
      </c>
      <c r="P2104" s="350" t="str">
        <f>IF($B2104="Portfolio","Portfolio",IFERROR(INDEX(DATA_ASSET_CLASSIFICATION!$C$8:$C$24,MATCH($C2104,DATA_ASSET_CLASSIFICATION!$A$8:$A$24,0)),"Review"))</f>
        <v>Yes</v>
      </c>
      <c r="Q2104" s="350" t="str">
        <f t="shared" ca="1" si="65"/>
        <v>OK</v>
      </c>
    </row>
    <row r="2105" spans="1:17">
      <c r="A2105" s="366" t="s">
        <v>4061</v>
      </c>
      <c r="B2105" s="366" t="s">
        <v>231</v>
      </c>
      <c r="C2105" s="348" t="str">
        <f>DATA_PROPERTY_MASTER!$A$11</f>
        <v>BLD_EE</v>
      </c>
      <c r="D2105" s="380">
        <f>'00_PORTFOLIO ROLLUP'!I$12</f>
        <v>2029</v>
      </c>
      <c r="E2105" s="366" t="s">
        <v>1721</v>
      </c>
      <c r="F2105" s="366" t="s">
        <v>31</v>
      </c>
      <c r="G2105" s="348" t="str">
        <f>"'"&amp;$C2105&amp;"'!$E$61:$Y$61"</f>
        <v>'BLD_EE'!$E$61:$Y$61</v>
      </c>
      <c r="H2105" s="381">
        <f ca="1">IF(IFERROR(INDEX(DATA_PROPERTY_MASTER!$E$5:$E$21,MATCH($C2105,DATA_PROPERTY_MASTER!$A$5:$A$21,0))="Yes",FALSE),IFERROR(INDEX(INDIRECT("'"&amp;$C2105&amp;"'!$E$61:$Y$61"),1,MATCH($D2105,INDIRECT("'"&amp;$C2105&amp;"'!$E$12:$Y$12"),0)),0),0)</f>
        <v>0</v>
      </c>
      <c r="I2105" s="366" t="s">
        <v>1690</v>
      </c>
      <c r="J2105" s="348" t="str">
        <f t="shared" ca="1" si="64"/>
        <v>OK</v>
      </c>
      <c r="K2105" s="366" t="s">
        <v>1723</v>
      </c>
      <c r="L2105" s="366" t="s">
        <v>2252</v>
      </c>
      <c r="M2105" s="350" t="str">
        <f>IF($B2105="Portfolio","Portfolio",IFERROR(INDEX(DATA_ASSET_CLASSIFICATION!$B$8:$B$24,MATCH($C2105,DATA_ASSET_CLASSIFICATION!$A$8:$A$24,0)),"Review"))</f>
        <v>Evelyn Estates</v>
      </c>
      <c r="N2105" s="350" t="str">
        <f ca="1">IF($B2105="Portfolio","Portfolio",IFERROR(INDEX(DATA_ASSET_CLASSIFICATION!$U$8:$U$24,MATCH($C2105,DATA_ASSET_CLASSIFICATION!$A$8:$A$24,0)),"Review"))</f>
        <v>Refi Watch</v>
      </c>
      <c r="O2105" s="350" t="str">
        <f ca="1">IF($B2105="Portfolio","Portfolio",IFERROR(INDEX(DATA_ASSET_CLASSIFICATION!$AB$8:$AB$13,MATCH($N2105,DATA_ASSET_CLASSIFICATION!$AA$8:$AA$13,0)),"Review"))</f>
        <v>Bucket 2 · Legacy</v>
      </c>
      <c r="P2105" s="350" t="str">
        <f>IF($B2105="Portfolio","Portfolio",IFERROR(INDEX(DATA_ASSET_CLASSIFICATION!$C$8:$C$24,MATCH($C2105,DATA_ASSET_CLASSIFICATION!$A$8:$A$24,0)),"Review"))</f>
        <v>Yes</v>
      </c>
      <c r="Q2105" s="350" t="str">
        <f t="shared" ca="1" si="65"/>
        <v>OK</v>
      </c>
    </row>
    <row r="2106" spans="1:17">
      <c r="A2106" s="366" t="s">
        <v>4062</v>
      </c>
      <c r="B2106" s="366" t="s">
        <v>231</v>
      </c>
      <c r="C2106" s="348" t="str">
        <f>DATA_PROPERTY_MASTER!$A$11</f>
        <v>BLD_EE</v>
      </c>
      <c r="D2106" s="380">
        <f>'00_PORTFOLIO ROLLUP'!I$12</f>
        <v>2029</v>
      </c>
      <c r="E2106" s="366" t="s">
        <v>1721</v>
      </c>
      <c r="F2106" s="366" t="s">
        <v>33</v>
      </c>
      <c r="G2106" s="348" t="str">
        <f>"'"&amp;$C2106&amp;"'!$E$62:$Y$62"</f>
        <v>'BLD_EE'!$E$62:$Y$62</v>
      </c>
      <c r="H2106" s="381">
        <f ca="1">IF(IFERROR(INDEX(DATA_PROPERTY_MASTER!$E$5:$E$21,MATCH($C2106,DATA_PROPERTY_MASTER!$A$5:$A$21,0))="Yes",FALSE),IFERROR(INDEX(INDIRECT("'"&amp;$C2106&amp;"'!$E$62:$Y$62"),1,MATCH($D2106,INDIRECT("'"&amp;$C2106&amp;"'!$E$12:$Y$12"),0)),0),0)</f>
        <v>0</v>
      </c>
      <c r="I2106" s="366" t="s">
        <v>1685</v>
      </c>
      <c r="J2106" s="348" t="str">
        <f t="shared" ca="1" si="64"/>
        <v>OK</v>
      </c>
      <c r="K2106" s="366" t="s">
        <v>1727</v>
      </c>
      <c r="L2106" s="366" t="s">
        <v>2254</v>
      </c>
      <c r="M2106" s="350" t="str">
        <f>IF($B2106="Portfolio","Portfolio",IFERROR(INDEX(DATA_ASSET_CLASSIFICATION!$B$8:$B$24,MATCH($C2106,DATA_ASSET_CLASSIFICATION!$A$8:$A$24,0)),"Review"))</f>
        <v>Evelyn Estates</v>
      </c>
      <c r="N2106" s="350" t="str">
        <f ca="1">IF($B2106="Portfolio","Portfolio",IFERROR(INDEX(DATA_ASSET_CLASSIFICATION!$U$8:$U$24,MATCH($C2106,DATA_ASSET_CLASSIFICATION!$A$8:$A$24,0)),"Review"))</f>
        <v>Refi Watch</v>
      </c>
      <c r="O2106" s="350" t="str">
        <f ca="1">IF($B2106="Portfolio","Portfolio",IFERROR(INDEX(DATA_ASSET_CLASSIFICATION!$AB$8:$AB$13,MATCH($N2106,DATA_ASSET_CLASSIFICATION!$AA$8:$AA$13,0)),"Review"))</f>
        <v>Bucket 2 · Legacy</v>
      </c>
      <c r="P2106" s="350" t="str">
        <f>IF($B2106="Portfolio","Portfolio",IFERROR(INDEX(DATA_ASSET_CLASSIFICATION!$C$8:$C$24,MATCH($C2106,DATA_ASSET_CLASSIFICATION!$A$8:$A$24,0)),"Review"))</f>
        <v>Yes</v>
      </c>
      <c r="Q2106" s="350" t="str">
        <f t="shared" ca="1" si="65"/>
        <v>OK</v>
      </c>
    </row>
    <row r="2107" spans="1:17">
      <c r="A2107" s="366" t="s">
        <v>4063</v>
      </c>
      <c r="B2107" s="366" t="s">
        <v>231</v>
      </c>
      <c r="C2107" s="348" t="str">
        <f>DATA_PROPERTY_MASTER!$A$11</f>
        <v>BLD_EE</v>
      </c>
      <c r="D2107" s="380">
        <f>'00_PORTFOLIO ROLLUP'!I$12</f>
        <v>2029</v>
      </c>
      <c r="E2107" s="366" t="s">
        <v>1721</v>
      </c>
      <c r="F2107" s="366" t="s">
        <v>35</v>
      </c>
      <c r="G2107" s="348" t="str">
        <f>"'"&amp;$C2107&amp;"'!$E$63:$Y$63"</f>
        <v>'BLD_EE'!$E$63:$Y$63</v>
      </c>
      <c r="H2107" s="381">
        <f ca="1">IF(IFERROR(INDEX(DATA_PROPERTY_MASTER!$E$5:$E$21,MATCH($C2107,DATA_PROPERTY_MASTER!$A$5:$A$21,0))="Yes",FALSE),IFERROR(INDEX(INDIRECT("'"&amp;$C2107&amp;"'!$E$63:$Y$63"),1,MATCH($D2107,INDIRECT("'"&amp;$C2107&amp;"'!$E$12:$Y$12"),0)),0),0)</f>
        <v>0</v>
      </c>
      <c r="I2107" s="366" t="s">
        <v>1731</v>
      </c>
      <c r="J2107" s="348" t="str">
        <f t="shared" ca="1" si="64"/>
        <v>OK</v>
      </c>
      <c r="K2107" s="366" t="s">
        <v>1732</v>
      </c>
      <c r="L2107" s="366" t="s">
        <v>2256</v>
      </c>
      <c r="M2107" s="350" t="str">
        <f>IF($B2107="Portfolio","Portfolio",IFERROR(INDEX(DATA_ASSET_CLASSIFICATION!$B$8:$B$24,MATCH($C2107,DATA_ASSET_CLASSIFICATION!$A$8:$A$24,0)),"Review"))</f>
        <v>Evelyn Estates</v>
      </c>
      <c r="N2107" s="350" t="str">
        <f ca="1">IF($B2107="Portfolio","Portfolio",IFERROR(INDEX(DATA_ASSET_CLASSIFICATION!$U$8:$U$24,MATCH($C2107,DATA_ASSET_CLASSIFICATION!$A$8:$A$24,0)),"Review"))</f>
        <v>Refi Watch</v>
      </c>
      <c r="O2107" s="350" t="str">
        <f ca="1">IF($B2107="Portfolio","Portfolio",IFERROR(INDEX(DATA_ASSET_CLASSIFICATION!$AB$8:$AB$13,MATCH($N2107,DATA_ASSET_CLASSIFICATION!$AA$8:$AA$13,0)),"Review"))</f>
        <v>Bucket 2 · Legacy</v>
      </c>
      <c r="P2107" s="350" t="str">
        <f>IF($B2107="Portfolio","Portfolio",IFERROR(INDEX(DATA_ASSET_CLASSIFICATION!$C$8:$C$24,MATCH($C2107,DATA_ASSET_CLASSIFICATION!$A$8:$A$24,0)),"Review"))</f>
        <v>Yes</v>
      </c>
      <c r="Q2107" s="350" t="str">
        <f t="shared" ca="1" si="65"/>
        <v>OK</v>
      </c>
    </row>
    <row r="2108" spans="1:17">
      <c r="A2108" s="366" t="s">
        <v>4064</v>
      </c>
      <c r="B2108" s="366" t="s">
        <v>231</v>
      </c>
      <c r="C2108" s="348" t="str">
        <f>DATA_PROPERTY_MASTER!$A$11</f>
        <v>BLD_EE</v>
      </c>
      <c r="D2108" s="380">
        <f>'00_PORTFOLIO ROLLUP'!I$12</f>
        <v>2029</v>
      </c>
      <c r="E2108" s="366" t="s">
        <v>1721</v>
      </c>
      <c r="F2108" s="366" t="s">
        <v>37</v>
      </c>
      <c r="G2108" s="348" t="str">
        <f>"'"&amp;$C2108&amp;"'!$E$63:$Y$63"</f>
        <v>'BLD_EE'!$E$63:$Y$63</v>
      </c>
      <c r="H2108" s="381">
        <f ca="1">IF(IFERROR(INDEX(DATA_PROPERTY_MASTER!$E$5:$E$21,MATCH($C2108,DATA_PROPERTY_MASTER!$A$5:$A$21,0))="Yes",FALSE),MAX(IFERROR(INDEX(INDIRECT("'"&amp;$C2108&amp;"'!$E$63:$Y$63"),1,MATCH($D2108,INDIRECT("'"&amp;$C2108&amp;"'!$E$12:$Y$12"),0)),0),0),0)</f>
        <v>0</v>
      </c>
      <c r="I2108" s="366" t="s">
        <v>1685</v>
      </c>
      <c r="J2108" s="348" t="str">
        <f t="shared" ca="1" si="64"/>
        <v>OK</v>
      </c>
      <c r="K2108" s="366" t="s">
        <v>1735</v>
      </c>
      <c r="L2108" s="366" t="s">
        <v>2258</v>
      </c>
      <c r="M2108" s="350" t="str">
        <f>IF($B2108="Portfolio","Portfolio",IFERROR(INDEX(DATA_ASSET_CLASSIFICATION!$B$8:$B$24,MATCH($C2108,DATA_ASSET_CLASSIFICATION!$A$8:$A$24,0)),"Review"))</f>
        <v>Evelyn Estates</v>
      </c>
      <c r="N2108" s="350" t="str">
        <f ca="1">IF($B2108="Portfolio","Portfolio",IFERROR(INDEX(DATA_ASSET_CLASSIFICATION!$U$8:$U$24,MATCH($C2108,DATA_ASSET_CLASSIFICATION!$A$8:$A$24,0)),"Review"))</f>
        <v>Refi Watch</v>
      </c>
      <c r="O2108" s="350" t="str">
        <f ca="1">IF($B2108="Portfolio","Portfolio",IFERROR(INDEX(DATA_ASSET_CLASSIFICATION!$AB$8:$AB$13,MATCH($N2108,DATA_ASSET_CLASSIFICATION!$AA$8:$AA$13,0)),"Review"))</f>
        <v>Bucket 2 · Legacy</v>
      </c>
      <c r="P2108" s="350" t="str">
        <f>IF($B2108="Portfolio","Portfolio",IFERROR(INDEX(DATA_ASSET_CLASSIFICATION!$C$8:$C$24,MATCH($C2108,DATA_ASSET_CLASSIFICATION!$A$8:$A$24,0)),"Review"))</f>
        <v>Yes</v>
      </c>
      <c r="Q2108" s="350" t="str">
        <f t="shared" ca="1" si="65"/>
        <v>OK</v>
      </c>
    </row>
    <row r="2109" spans="1:17">
      <c r="A2109" s="366" t="s">
        <v>4065</v>
      </c>
      <c r="B2109" s="366" t="s">
        <v>231</v>
      </c>
      <c r="C2109" s="348" t="str">
        <f>DATA_PROPERTY_MASTER!$A$11</f>
        <v>BLD_EE</v>
      </c>
      <c r="D2109" s="380">
        <f>'00_PORTFOLIO ROLLUP'!I$12</f>
        <v>2029</v>
      </c>
      <c r="E2109" s="366" t="s">
        <v>1721</v>
      </c>
      <c r="F2109" s="366" t="s">
        <v>39</v>
      </c>
      <c r="G2109" s="348" t="str">
        <f>"'"&amp;$C2109&amp;"'!$E$63:$Y$63"</f>
        <v>'BLD_EE'!$E$63:$Y$63</v>
      </c>
      <c r="H2109" s="381">
        <f ca="1">IF(IFERROR(INDEX(DATA_PROPERTY_MASTER!$E$5:$E$21,MATCH($C2109,DATA_PROPERTY_MASTER!$A$5:$A$21,0))="Yes",FALSE),MAX(-IFERROR(INDEX(INDIRECT("'"&amp;$C2109&amp;"'!$E$63:$Y$63"),1,MATCH($D2109,INDIRECT("'"&amp;$C2109&amp;"'!$E$12:$Y$12"),0)),0),0),0)</f>
        <v>0</v>
      </c>
      <c r="I2109" s="366" t="s">
        <v>1690</v>
      </c>
      <c r="J2109" s="348" t="str">
        <f t="shared" ca="1" si="64"/>
        <v>OK</v>
      </c>
      <c r="K2109" s="366" t="s">
        <v>1738</v>
      </c>
      <c r="L2109" s="366" t="s">
        <v>2260</v>
      </c>
      <c r="M2109" s="350" t="str">
        <f>IF($B2109="Portfolio","Portfolio",IFERROR(INDEX(DATA_ASSET_CLASSIFICATION!$B$8:$B$24,MATCH($C2109,DATA_ASSET_CLASSIFICATION!$A$8:$A$24,0)),"Review"))</f>
        <v>Evelyn Estates</v>
      </c>
      <c r="N2109" s="350" t="str">
        <f ca="1">IF($B2109="Portfolio","Portfolio",IFERROR(INDEX(DATA_ASSET_CLASSIFICATION!$U$8:$U$24,MATCH($C2109,DATA_ASSET_CLASSIFICATION!$A$8:$A$24,0)),"Review"))</f>
        <v>Refi Watch</v>
      </c>
      <c r="O2109" s="350" t="str">
        <f ca="1">IF($B2109="Portfolio","Portfolio",IFERROR(INDEX(DATA_ASSET_CLASSIFICATION!$AB$8:$AB$13,MATCH($N2109,DATA_ASSET_CLASSIFICATION!$AA$8:$AA$13,0)),"Review"))</f>
        <v>Bucket 2 · Legacy</v>
      </c>
      <c r="P2109" s="350" t="str">
        <f>IF($B2109="Portfolio","Portfolio",IFERROR(INDEX(DATA_ASSET_CLASSIFICATION!$C$8:$C$24,MATCH($C2109,DATA_ASSET_CLASSIFICATION!$A$8:$A$24,0)),"Review"))</f>
        <v>Yes</v>
      </c>
      <c r="Q2109" s="350" t="str">
        <f t="shared" ca="1" si="65"/>
        <v>OK</v>
      </c>
    </row>
    <row r="2110" spans="1:17">
      <c r="A2110" s="366" t="s">
        <v>4066</v>
      </c>
      <c r="B2110" s="366" t="s">
        <v>231</v>
      </c>
      <c r="C2110" s="348" t="str">
        <f>DATA_PROPERTY_MASTER!$A$11</f>
        <v>BLD_EE</v>
      </c>
      <c r="D2110" s="380">
        <f>'00_PORTFOLIO ROLLUP'!I$12</f>
        <v>2029</v>
      </c>
      <c r="E2110" s="366" t="s">
        <v>1741</v>
      </c>
      <c r="F2110" s="366" t="s">
        <v>41</v>
      </c>
      <c r="G2110" s="348" t="str">
        <f>"'"&amp;$C2110&amp;"'!rows 56 + positive row 63"</f>
        <v>'BLD_EE'!rows 56 + positive row 63</v>
      </c>
      <c r="H2110" s="381">
        <f ca="1">IF(IFERROR(INDEX(DATA_PROPERTY_MASTER!$E$5:$E$21,MATCH($C2110,DATA_PROPERTY_MASTER!$A$5:$A$21,0))="Yes",FALSE),IFERROR(INDEX(INDIRECT("'"&amp;$C2110&amp;"'!$E$56:$Y$56"),1,MATCH($D2110,INDIRECT("'"&amp;$C2110&amp;"'!$E$12:$Y$12"),0)),0)+MAX(IFERROR(INDEX(INDIRECT("'"&amp;$C2110&amp;"'!$E$63:$Y$63"),1,MATCH($D2110,INDIRECT("'"&amp;$C2110&amp;"'!$E$12:$Y$12"),0)),0),0),0)</f>
        <v>116164.00080494184</v>
      </c>
      <c r="I2110" s="366" t="s">
        <v>1685</v>
      </c>
      <c r="J2110" s="348" t="str">
        <f t="shared" ca="1" si="64"/>
        <v>OK</v>
      </c>
      <c r="K2110" s="366" t="s">
        <v>1742</v>
      </c>
      <c r="L2110" s="366" t="s">
        <v>2262</v>
      </c>
      <c r="M2110" s="350" t="str">
        <f>IF($B2110="Portfolio","Portfolio",IFERROR(INDEX(DATA_ASSET_CLASSIFICATION!$B$8:$B$24,MATCH($C2110,DATA_ASSET_CLASSIFICATION!$A$8:$A$24,0)),"Review"))</f>
        <v>Evelyn Estates</v>
      </c>
      <c r="N2110" s="350" t="str">
        <f ca="1">IF($B2110="Portfolio","Portfolio",IFERROR(INDEX(DATA_ASSET_CLASSIFICATION!$U$8:$U$24,MATCH($C2110,DATA_ASSET_CLASSIFICATION!$A$8:$A$24,0)),"Review"))</f>
        <v>Refi Watch</v>
      </c>
      <c r="O2110" s="350" t="str">
        <f ca="1">IF($B2110="Portfolio","Portfolio",IFERROR(INDEX(DATA_ASSET_CLASSIFICATION!$AB$8:$AB$13,MATCH($N2110,DATA_ASSET_CLASSIFICATION!$AA$8:$AA$13,0)),"Review"))</f>
        <v>Bucket 2 · Legacy</v>
      </c>
      <c r="P2110" s="350" t="str">
        <f>IF($B2110="Portfolio","Portfolio",IFERROR(INDEX(DATA_ASSET_CLASSIFICATION!$C$8:$C$24,MATCH($C2110,DATA_ASSET_CLASSIFICATION!$A$8:$A$24,0)),"Review"))</f>
        <v>Yes</v>
      </c>
      <c r="Q2110" s="350" t="str">
        <f t="shared" ca="1" si="65"/>
        <v>OK</v>
      </c>
    </row>
    <row r="2111" spans="1:17">
      <c r="A2111" s="366" t="s">
        <v>4067</v>
      </c>
      <c r="B2111" s="366" t="s">
        <v>231</v>
      </c>
      <c r="C2111" s="348" t="str">
        <f>DATA_PROPERTY_MASTER!$A$11</f>
        <v>BLD_EE</v>
      </c>
      <c r="D2111" s="380">
        <f>'00_PORTFOLIO ROLLUP'!I$12</f>
        <v>2029</v>
      </c>
      <c r="E2111" s="366" t="s">
        <v>1741</v>
      </c>
      <c r="F2111" s="366" t="s">
        <v>43</v>
      </c>
      <c r="G2111" s="348" t="str">
        <f>"'"&amp;$C2111&amp;"'!$E$68:$Y$68"</f>
        <v>'BLD_EE'!$E$68:$Y$68</v>
      </c>
      <c r="H2111" s="381">
        <f ca="1">IF(IFERROR(INDEX(DATA_PROPERTY_MASTER!$E$5:$E$21,MATCH($C2111,DATA_PROPERTY_MASTER!$A$5:$A$21,0))="Yes",FALSE),IFERROR(INDEX(INDIRECT("'"&amp;$C2111&amp;"'!$E$68:$Y$68"),1,MATCH($D2111,INDIRECT("'"&amp;$C2111&amp;"'!$E$12:$Y$12"),0)),0),0)</f>
        <v>116164.00080494184</v>
      </c>
      <c r="I2111" s="366" t="s">
        <v>1731</v>
      </c>
      <c r="J2111" s="348" t="str">
        <f t="shared" ca="1" si="64"/>
        <v>OK</v>
      </c>
      <c r="K2111" s="366" t="s">
        <v>1746</v>
      </c>
      <c r="L2111" s="366" t="s">
        <v>2264</v>
      </c>
      <c r="M2111" s="350" t="str">
        <f>IF($B2111="Portfolio","Portfolio",IFERROR(INDEX(DATA_ASSET_CLASSIFICATION!$B$8:$B$24,MATCH($C2111,DATA_ASSET_CLASSIFICATION!$A$8:$A$24,0)),"Review"))</f>
        <v>Evelyn Estates</v>
      </c>
      <c r="N2111" s="350" t="str">
        <f ca="1">IF($B2111="Portfolio","Portfolio",IFERROR(INDEX(DATA_ASSET_CLASSIFICATION!$U$8:$U$24,MATCH($C2111,DATA_ASSET_CLASSIFICATION!$A$8:$A$24,0)),"Review"))</f>
        <v>Refi Watch</v>
      </c>
      <c r="O2111" s="350" t="str">
        <f ca="1">IF($B2111="Portfolio","Portfolio",IFERROR(INDEX(DATA_ASSET_CLASSIFICATION!$AB$8:$AB$13,MATCH($N2111,DATA_ASSET_CLASSIFICATION!$AA$8:$AA$13,0)),"Review"))</f>
        <v>Bucket 2 · Legacy</v>
      </c>
      <c r="P2111" s="350" t="str">
        <f>IF($B2111="Portfolio","Portfolio",IFERROR(INDEX(DATA_ASSET_CLASSIFICATION!$C$8:$C$24,MATCH($C2111,DATA_ASSET_CLASSIFICATION!$A$8:$A$24,0)),"Review"))</f>
        <v>Yes</v>
      </c>
      <c r="Q2111" s="350" t="str">
        <f t="shared" ca="1" si="65"/>
        <v>OK</v>
      </c>
    </row>
    <row r="2112" spans="1:17">
      <c r="A2112" s="366" t="s">
        <v>4068</v>
      </c>
      <c r="B2112" s="366" t="s">
        <v>231</v>
      </c>
      <c r="C2112" s="348" t="str">
        <f>DATA_PROPERTY_MASTER!$A$11</f>
        <v>BLD_EE</v>
      </c>
      <c r="D2112" s="380">
        <f>'00_PORTFOLIO ROLLUP'!I$12</f>
        <v>2029</v>
      </c>
      <c r="E2112" s="366" t="s">
        <v>1741</v>
      </c>
      <c r="F2112" s="366" t="s">
        <v>1749</v>
      </c>
      <c r="G2112" s="348" t="str">
        <f>"'"&amp;$C2112&amp;"'!rows 56, 63, 68"</f>
        <v>'BLD_EE'!rows 56, 63, 68</v>
      </c>
      <c r="H2112" s="381">
        <f ca="1">IF(IFERROR(INDEX(DATA_PROPERTY_MASTER!$E$5:$E$21,MATCH($C2112,DATA_PROPERTY_MASTER!$A$5:$A$21,0))="Yes",FALSE),(IFERROR(INDEX(INDIRECT("'"&amp;$C2112&amp;"'!$E$56:$Y$56"),1,MATCH($D2112,INDIRECT("'"&amp;$C2112&amp;"'!$E$12:$Y$12"),0)),0)+MAX(IFERROR(INDEX(INDIRECT("'"&amp;$C2112&amp;"'!$E$63:$Y$63"),1,MATCH($D2112,INDIRECT("'"&amp;$C2112&amp;"'!$E$12:$Y$12"),0)),0),0))-(IFERROR(INDEX(INDIRECT("'"&amp;$C2112&amp;"'!$E$68:$Y$68"),1,MATCH($D2112,INDIRECT("'"&amp;$C2112&amp;"'!$E$12:$Y$12"),0)),0)),0)</f>
        <v>0</v>
      </c>
      <c r="I2112" s="366" t="s">
        <v>1750</v>
      </c>
      <c r="J2112" s="348" t="str">
        <f t="shared" ca="1" si="64"/>
        <v>OK</v>
      </c>
      <c r="K2112" s="366" t="s">
        <v>1751</v>
      </c>
      <c r="L2112" s="366" t="s">
        <v>2266</v>
      </c>
      <c r="M2112" s="350" t="str">
        <f>IF($B2112="Portfolio","Portfolio",IFERROR(INDEX(DATA_ASSET_CLASSIFICATION!$B$8:$B$24,MATCH($C2112,DATA_ASSET_CLASSIFICATION!$A$8:$A$24,0)),"Review"))</f>
        <v>Evelyn Estates</v>
      </c>
      <c r="N2112" s="350" t="str">
        <f ca="1">IF($B2112="Portfolio","Portfolio",IFERROR(INDEX(DATA_ASSET_CLASSIFICATION!$U$8:$U$24,MATCH($C2112,DATA_ASSET_CLASSIFICATION!$A$8:$A$24,0)),"Review"))</f>
        <v>Refi Watch</v>
      </c>
      <c r="O2112" s="350" t="str">
        <f ca="1">IF($B2112="Portfolio","Portfolio",IFERROR(INDEX(DATA_ASSET_CLASSIFICATION!$AB$8:$AB$13,MATCH($N2112,DATA_ASSET_CLASSIFICATION!$AA$8:$AA$13,0)),"Review"))</f>
        <v>Bucket 2 · Legacy</v>
      </c>
      <c r="P2112" s="350" t="str">
        <f>IF($B2112="Portfolio","Portfolio",IFERROR(INDEX(DATA_ASSET_CLASSIFICATION!$C$8:$C$24,MATCH($C2112,DATA_ASSET_CLASSIFICATION!$A$8:$A$24,0)),"Review"))</f>
        <v>Yes</v>
      </c>
      <c r="Q2112" s="350" t="str">
        <f t="shared" ca="1" si="65"/>
        <v>OK</v>
      </c>
    </row>
    <row r="2113" spans="1:17">
      <c r="A2113" s="366" t="s">
        <v>4069</v>
      </c>
      <c r="B2113" s="366" t="s">
        <v>231</v>
      </c>
      <c r="C2113" s="348" t="str">
        <f>DATA_PROPERTY_MASTER!$A$11</f>
        <v>BLD_EE</v>
      </c>
      <c r="D2113" s="380">
        <f>'00_PORTFOLIO ROLLUP'!J$12</f>
        <v>2030</v>
      </c>
      <c r="E2113" s="366" t="s">
        <v>1683</v>
      </c>
      <c r="F2113" s="366" t="s">
        <v>341</v>
      </c>
      <c r="G2113" s="348" t="str">
        <f>"'"&amp;$C2113&amp;"'!$E$24:$Y$24"</f>
        <v>'BLD_EE'!$E$24:$Y$24</v>
      </c>
      <c r="H2113" s="381">
        <f ca="1">IF(IFERROR(INDEX(DATA_PROPERTY_MASTER!$E$5:$E$21,MATCH($C2113,DATA_PROPERTY_MASTER!$A$5:$A$21,0))="Yes",FALSE),IFERROR(INDEX(INDIRECT("'"&amp;$C2113&amp;"'!$E$24:$Y$24"),1,MATCH($D2113,INDIRECT("'"&amp;$C2113&amp;"'!$E$12:$Y$12"),0)),0),0)</f>
        <v>555129.63735264644</v>
      </c>
      <c r="I2113" s="366" t="s">
        <v>1685</v>
      </c>
      <c r="J2113" s="348" t="str">
        <f t="shared" ca="1" si="64"/>
        <v>OK</v>
      </c>
      <c r="K2113" s="366" t="s">
        <v>1686</v>
      </c>
      <c r="L2113" s="366" t="s">
        <v>2234</v>
      </c>
      <c r="M2113" s="350" t="str">
        <f>IF($B2113="Portfolio","Portfolio",IFERROR(INDEX(DATA_ASSET_CLASSIFICATION!$B$8:$B$24,MATCH($C2113,DATA_ASSET_CLASSIFICATION!$A$8:$A$24,0)),"Review"))</f>
        <v>Evelyn Estates</v>
      </c>
      <c r="N2113" s="350" t="str">
        <f ca="1">IF($B2113="Portfolio","Portfolio",IFERROR(INDEX(DATA_ASSET_CLASSIFICATION!$U$8:$U$24,MATCH($C2113,DATA_ASSET_CLASSIFICATION!$A$8:$A$24,0)),"Review"))</f>
        <v>Refi Watch</v>
      </c>
      <c r="O2113" s="350" t="str">
        <f ca="1">IF($B2113="Portfolio","Portfolio",IFERROR(INDEX(DATA_ASSET_CLASSIFICATION!$AB$8:$AB$13,MATCH($N2113,DATA_ASSET_CLASSIFICATION!$AA$8:$AA$13,0)),"Review"))</f>
        <v>Bucket 2 · Legacy</v>
      </c>
      <c r="P2113" s="350" t="str">
        <f>IF($B2113="Portfolio","Portfolio",IFERROR(INDEX(DATA_ASSET_CLASSIFICATION!$C$8:$C$24,MATCH($C2113,DATA_ASSET_CLASSIFICATION!$A$8:$A$24,0)),"Review"))</f>
        <v>Yes</v>
      </c>
      <c r="Q2113" s="350" t="str">
        <f t="shared" ca="1" si="65"/>
        <v>OK</v>
      </c>
    </row>
    <row r="2114" spans="1:17">
      <c r="A2114" s="366" t="s">
        <v>4070</v>
      </c>
      <c r="B2114" s="366" t="s">
        <v>231</v>
      </c>
      <c r="C2114" s="348" t="str">
        <f>DATA_PROPERTY_MASTER!$A$11</f>
        <v>BLD_EE</v>
      </c>
      <c r="D2114" s="380">
        <f>'00_PORTFOLIO ROLLUP'!J$12</f>
        <v>2030</v>
      </c>
      <c r="E2114" s="366" t="s">
        <v>1683</v>
      </c>
      <c r="F2114" s="366" t="s">
        <v>355</v>
      </c>
      <c r="G2114" s="348" t="str">
        <f>"'"&amp;$C2114&amp;"'!$E$39:$Y$39"</f>
        <v>'BLD_EE'!$E$39:$Y$39</v>
      </c>
      <c r="H2114" s="381">
        <f ca="1">IF(IFERROR(INDEX(DATA_PROPERTY_MASTER!$E$5:$E$21,MATCH($C2114,DATA_PROPERTY_MASTER!$A$5:$A$21,0))="Yes",FALSE),IFERROR(INDEX(INDIRECT("'"&amp;$C2114&amp;"'!$E$39:$Y$39"),1,MATCH($D2114,INDIRECT("'"&amp;$C2114&amp;"'!$E$12:$Y$12"),0)),0),0)</f>
        <v>263988.13010984956</v>
      </c>
      <c r="I2114" s="366" t="s">
        <v>1690</v>
      </c>
      <c r="J2114" s="348" t="str">
        <f t="shared" ca="1" si="64"/>
        <v>OK</v>
      </c>
      <c r="K2114" s="366" t="s">
        <v>1686</v>
      </c>
      <c r="L2114" s="366" t="s">
        <v>2236</v>
      </c>
      <c r="M2114" s="350" t="str">
        <f>IF($B2114="Portfolio","Portfolio",IFERROR(INDEX(DATA_ASSET_CLASSIFICATION!$B$8:$B$24,MATCH($C2114,DATA_ASSET_CLASSIFICATION!$A$8:$A$24,0)),"Review"))</f>
        <v>Evelyn Estates</v>
      </c>
      <c r="N2114" s="350" t="str">
        <f ca="1">IF($B2114="Portfolio","Portfolio",IFERROR(INDEX(DATA_ASSET_CLASSIFICATION!$U$8:$U$24,MATCH($C2114,DATA_ASSET_CLASSIFICATION!$A$8:$A$24,0)),"Review"))</f>
        <v>Refi Watch</v>
      </c>
      <c r="O2114" s="350" t="str">
        <f ca="1">IF($B2114="Portfolio","Portfolio",IFERROR(INDEX(DATA_ASSET_CLASSIFICATION!$AB$8:$AB$13,MATCH($N2114,DATA_ASSET_CLASSIFICATION!$AA$8:$AA$13,0)),"Review"))</f>
        <v>Bucket 2 · Legacy</v>
      </c>
      <c r="P2114" s="350" t="str">
        <f>IF($B2114="Portfolio","Portfolio",IFERROR(INDEX(DATA_ASSET_CLASSIFICATION!$C$8:$C$24,MATCH($C2114,DATA_ASSET_CLASSIFICATION!$A$8:$A$24,0)),"Review"))</f>
        <v>Yes</v>
      </c>
      <c r="Q2114" s="350" t="str">
        <f t="shared" ca="1" si="65"/>
        <v>OK</v>
      </c>
    </row>
    <row r="2115" spans="1:17">
      <c r="A2115" s="366" t="s">
        <v>4071</v>
      </c>
      <c r="B2115" s="366" t="s">
        <v>231</v>
      </c>
      <c r="C2115" s="348" t="str">
        <f>DATA_PROPERTY_MASTER!$A$11</f>
        <v>BLD_EE</v>
      </c>
      <c r="D2115" s="380">
        <f>'00_PORTFOLIO ROLLUP'!J$12</f>
        <v>2030</v>
      </c>
      <c r="E2115" s="366" t="s">
        <v>1683</v>
      </c>
      <c r="F2115" s="366" t="s">
        <v>19</v>
      </c>
      <c r="G2115" s="348" t="str">
        <f>"'"&amp;$C2115&amp;"'!$E$41:$Y$41"</f>
        <v>'BLD_EE'!$E$41:$Y$41</v>
      </c>
      <c r="H2115" s="381">
        <f ca="1">IF(IFERROR(INDEX(DATA_PROPERTY_MASTER!$E$5:$E$21,MATCH($C2115,DATA_PROPERTY_MASTER!$A$5:$A$21,0))="Yes",FALSE),IFERROR(INDEX(INDIRECT("'"&amp;$C2115&amp;"'!$E$41:$Y$41"),1,MATCH($D2115,INDIRECT("'"&amp;$C2115&amp;"'!$E$12:$Y$12"),0)),0),0)</f>
        <v>291141.50724279688</v>
      </c>
      <c r="I2115" s="366" t="s">
        <v>1685</v>
      </c>
      <c r="J2115" s="348" t="str">
        <f t="shared" ca="1" si="64"/>
        <v>OK</v>
      </c>
      <c r="K2115" s="366" t="s">
        <v>1694</v>
      </c>
      <c r="L2115" s="366" t="s">
        <v>2238</v>
      </c>
      <c r="M2115" s="350" t="str">
        <f>IF($B2115="Portfolio","Portfolio",IFERROR(INDEX(DATA_ASSET_CLASSIFICATION!$B$8:$B$24,MATCH($C2115,DATA_ASSET_CLASSIFICATION!$A$8:$A$24,0)),"Review"))</f>
        <v>Evelyn Estates</v>
      </c>
      <c r="N2115" s="350" t="str">
        <f ca="1">IF($B2115="Portfolio","Portfolio",IFERROR(INDEX(DATA_ASSET_CLASSIFICATION!$U$8:$U$24,MATCH($C2115,DATA_ASSET_CLASSIFICATION!$A$8:$A$24,0)),"Review"))</f>
        <v>Refi Watch</v>
      </c>
      <c r="O2115" s="350" t="str">
        <f ca="1">IF($B2115="Portfolio","Portfolio",IFERROR(INDEX(DATA_ASSET_CLASSIFICATION!$AB$8:$AB$13,MATCH($N2115,DATA_ASSET_CLASSIFICATION!$AA$8:$AA$13,0)),"Review"))</f>
        <v>Bucket 2 · Legacy</v>
      </c>
      <c r="P2115" s="350" t="str">
        <f>IF($B2115="Portfolio","Portfolio",IFERROR(INDEX(DATA_ASSET_CLASSIFICATION!$C$8:$C$24,MATCH($C2115,DATA_ASSET_CLASSIFICATION!$A$8:$A$24,0)),"Review"))</f>
        <v>Yes</v>
      </c>
      <c r="Q2115" s="350" t="str">
        <f t="shared" ca="1" si="65"/>
        <v>OK</v>
      </c>
    </row>
    <row r="2116" spans="1:17">
      <c r="A2116" s="366" t="s">
        <v>4072</v>
      </c>
      <c r="B2116" s="366" t="s">
        <v>231</v>
      </c>
      <c r="C2116" s="348" t="str">
        <f>DATA_PROPERTY_MASTER!$A$11</f>
        <v>BLD_EE</v>
      </c>
      <c r="D2116" s="380">
        <f>'00_PORTFOLIO ROLLUP'!J$12</f>
        <v>2030</v>
      </c>
      <c r="E2116" s="366" t="s">
        <v>1683</v>
      </c>
      <c r="F2116" s="366" t="s">
        <v>1697</v>
      </c>
      <c r="G2116" s="348" t="str">
        <f>"'"&amp;$C2116&amp;"'!$E$44:$Y$44"</f>
        <v>'BLD_EE'!$E$44:$Y$44</v>
      </c>
      <c r="H2116" s="381">
        <f ca="1">IF(IFERROR(INDEX(DATA_PROPERTY_MASTER!$E$5:$E$21,MATCH($C2116,DATA_PROPERTY_MASTER!$A$5:$A$21,0))="Yes",FALSE),IFERROR(INDEX(INDIRECT("'"&amp;$C2116&amp;"'!$E$44:$Y$44"),1,MATCH($D2116,INDIRECT("'"&amp;$C2116&amp;"'!$E$12:$Y$12"),0)),0),0)</f>
        <v>5962.0363372800002</v>
      </c>
      <c r="I2116" s="366" t="s">
        <v>1690</v>
      </c>
      <c r="J2116" s="348" t="str">
        <f t="shared" ca="1" si="64"/>
        <v>OK</v>
      </c>
      <c r="K2116" s="366" t="s">
        <v>1699</v>
      </c>
      <c r="L2116" s="366" t="s">
        <v>2240</v>
      </c>
      <c r="M2116" s="350" t="str">
        <f>IF($B2116="Portfolio","Portfolio",IFERROR(INDEX(DATA_ASSET_CLASSIFICATION!$B$8:$B$24,MATCH($C2116,DATA_ASSET_CLASSIFICATION!$A$8:$A$24,0)),"Review"))</f>
        <v>Evelyn Estates</v>
      </c>
      <c r="N2116" s="350" t="str">
        <f ca="1">IF($B2116="Portfolio","Portfolio",IFERROR(INDEX(DATA_ASSET_CLASSIFICATION!$U$8:$U$24,MATCH($C2116,DATA_ASSET_CLASSIFICATION!$A$8:$A$24,0)),"Review"))</f>
        <v>Refi Watch</v>
      </c>
      <c r="O2116" s="350" t="str">
        <f ca="1">IF($B2116="Portfolio","Portfolio",IFERROR(INDEX(DATA_ASSET_CLASSIFICATION!$AB$8:$AB$13,MATCH($N2116,DATA_ASSET_CLASSIFICATION!$AA$8:$AA$13,0)),"Review"))</f>
        <v>Bucket 2 · Legacy</v>
      </c>
      <c r="P2116" s="350" t="str">
        <f>IF($B2116="Portfolio","Portfolio",IFERROR(INDEX(DATA_ASSET_CLASSIFICATION!$C$8:$C$24,MATCH($C2116,DATA_ASSET_CLASSIFICATION!$A$8:$A$24,0)),"Review"))</f>
        <v>Yes</v>
      </c>
      <c r="Q2116" s="350" t="str">
        <f t="shared" ca="1" si="65"/>
        <v>OK</v>
      </c>
    </row>
    <row r="2117" spans="1:17">
      <c r="A2117" s="366" t="s">
        <v>4073</v>
      </c>
      <c r="B2117" s="366" t="s">
        <v>231</v>
      </c>
      <c r="C2117" s="348" t="str">
        <f>DATA_PROPERTY_MASTER!$A$11</f>
        <v>BLD_EE</v>
      </c>
      <c r="D2117" s="380">
        <f>'00_PORTFOLIO ROLLUP'!J$12</f>
        <v>2030</v>
      </c>
      <c r="E2117" s="366" t="s">
        <v>1683</v>
      </c>
      <c r="F2117" s="366" t="s">
        <v>21</v>
      </c>
      <c r="G2117" s="348" t="str">
        <f>"'"&amp;$C2117&amp;"'!$E$45:$Y$45"</f>
        <v>'BLD_EE'!$E$45:$Y$45</v>
      </c>
      <c r="H2117" s="381">
        <f ca="1">IF(IFERROR(INDEX(DATA_PROPERTY_MASTER!$E$5:$E$21,MATCH($C2117,DATA_PROPERTY_MASTER!$A$5:$A$21,0))="Yes",FALSE),IFERROR(INDEX(INDIRECT("'"&amp;$C2117&amp;"'!$E$45:$Y$45"),1,MATCH($D2117,INDIRECT("'"&amp;$C2117&amp;"'!$E$12:$Y$12"),0)),0),0)</f>
        <v>285179.47090551688</v>
      </c>
      <c r="I2117" s="366" t="s">
        <v>1685</v>
      </c>
      <c r="J2117" s="348" t="str">
        <f t="shared" ref="J2117:J2180" ca="1" si="66">IF($F2117="Residual Funding Gap",IF($H2117&gt;0,"Funding Gap","OK"),IF(AND($F2117="Net Refinance Position",$H2117&lt;0),"Negative net refi position","OK"))</f>
        <v>OK</v>
      </c>
      <c r="K2117" s="366" t="s">
        <v>1694</v>
      </c>
      <c r="L2117" s="366" t="s">
        <v>2242</v>
      </c>
      <c r="M2117" s="350" t="str">
        <f>IF($B2117="Portfolio","Portfolio",IFERROR(INDEX(DATA_ASSET_CLASSIFICATION!$B$8:$B$24,MATCH($C2117,DATA_ASSET_CLASSIFICATION!$A$8:$A$24,0)),"Review"))</f>
        <v>Evelyn Estates</v>
      </c>
      <c r="N2117" s="350" t="str">
        <f ca="1">IF($B2117="Portfolio","Portfolio",IFERROR(INDEX(DATA_ASSET_CLASSIFICATION!$U$8:$U$24,MATCH($C2117,DATA_ASSET_CLASSIFICATION!$A$8:$A$24,0)),"Review"))</f>
        <v>Refi Watch</v>
      </c>
      <c r="O2117" s="350" t="str">
        <f ca="1">IF($B2117="Portfolio","Portfolio",IFERROR(INDEX(DATA_ASSET_CLASSIFICATION!$AB$8:$AB$13,MATCH($N2117,DATA_ASSET_CLASSIFICATION!$AA$8:$AA$13,0)),"Review"))</f>
        <v>Bucket 2 · Legacy</v>
      </c>
      <c r="P2117" s="350" t="str">
        <f>IF($B2117="Portfolio","Portfolio",IFERROR(INDEX(DATA_ASSET_CLASSIFICATION!$C$8:$C$24,MATCH($C2117,DATA_ASSET_CLASSIFICATION!$A$8:$A$24,0)),"Review"))</f>
        <v>Yes</v>
      </c>
      <c r="Q2117" s="350" t="str">
        <f t="shared" ref="Q2117:Q2180" ca="1" si="67">IF(AND($B2117="Property",$F2117="Residual Funding Gap",$H2117&gt;0),"Property Funding Gap",IF($J2117&lt;&gt;"OK",$J2117,"OK"))</f>
        <v>OK</v>
      </c>
    </row>
    <row r="2118" spans="1:17">
      <c r="A2118" s="366" t="s">
        <v>4074</v>
      </c>
      <c r="B2118" s="366" t="s">
        <v>231</v>
      </c>
      <c r="C2118" s="348" t="str">
        <f>DATA_PROPERTY_MASTER!$A$11</f>
        <v>BLD_EE</v>
      </c>
      <c r="D2118" s="380">
        <f>'00_PORTFOLIO ROLLUP'!J$12</f>
        <v>2030</v>
      </c>
      <c r="E2118" s="366" t="s">
        <v>23</v>
      </c>
      <c r="F2118" s="366" t="s">
        <v>23</v>
      </c>
      <c r="G2118" s="348" t="str">
        <f>"'"&amp;$C2118&amp;"'!$E$48:$Y$48"</f>
        <v>'BLD_EE'!$E$48:$Y$48</v>
      </c>
      <c r="H2118" s="381">
        <f ca="1">IF(IFERROR(INDEX(DATA_PROPERTY_MASTER!$E$5:$E$21,MATCH($C2118,DATA_PROPERTY_MASTER!$A$5:$A$21,0))="Yes",FALSE),IFERROR(INDEX(INDIRECT("'"&amp;$C2118&amp;"'!$E$48:$Y$48"),1,MATCH($D2118,INDIRECT("'"&amp;$C2118&amp;"'!$E$12:$Y$12"),0)),0),0)</f>
        <v>0</v>
      </c>
      <c r="I2118" s="366" t="s">
        <v>1690</v>
      </c>
      <c r="J2118" s="348" t="str">
        <f t="shared" ca="1" si="66"/>
        <v>OK</v>
      </c>
      <c r="K2118" s="366" t="s">
        <v>1706</v>
      </c>
      <c r="L2118" s="366" t="s">
        <v>2244</v>
      </c>
      <c r="M2118" s="350" t="str">
        <f>IF($B2118="Portfolio","Portfolio",IFERROR(INDEX(DATA_ASSET_CLASSIFICATION!$B$8:$B$24,MATCH($C2118,DATA_ASSET_CLASSIFICATION!$A$8:$A$24,0)),"Review"))</f>
        <v>Evelyn Estates</v>
      </c>
      <c r="N2118" s="350" t="str">
        <f ca="1">IF($B2118="Portfolio","Portfolio",IFERROR(INDEX(DATA_ASSET_CLASSIFICATION!$U$8:$U$24,MATCH($C2118,DATA_ASSET_CLASSIFICATION!$A$8:$A$24,0)),"Review"))</f>
        <v>Refi Watch</v>
      </c>
      <c r="O2118" s="350" t="str">
        <f ca="1">IF($B2118="Portfolio","Portfolio",IFERROR(INDEX(DATA_ASSET_CLASSIFICATION!$AB$8:$AB$13,MATCH($N2118,DATA_ASSET_CLASSIFICATION!$AA$8:$AA$13,0)),"Review"))</f>
        <v>Bucket 2 · Legacy</v>
      </c>
      <c r="P2118" s="350" t="str">
        <f>IF($B2118="Portfolio","Portfolio",IFERROR(INDEX(DATA_ASSET_CLASSIFICATION!$C$8:$C$24,MATCH($C2118,DATA_ASSET_CLASSIFICATION!$A$8:$A$24,0)),"Review"))</f>
        <v>Yes</v>
      </c>
      <c r="Q2118" s="350" t="str">
        <f t="shared" ca="1" si="67"/>
        <v>OK</v>
      </c>
    </row>
    <row r="2119" spans="1:17">
      <c r="A2119" s="366" t="s">
        <v>4075</v>
      </c>
      <c r="B2119" s="366" t="s">
        <v>231</v>
      </c>
      <c r="C2119" s="348" t="str">
        <f>DATA_PROPERTY_MASTER!$A$11</f>
        <v>BLD_EE</v>
      </c>
      <c r="D2119" s="380">
        <f>'00_PORTFOLIO ROLLUP'!J$12</f>
        <v>2030</v>
      </c>
      <c r="E2119" s="366" t="s">
        <v>1683</v>
      </c>
      <c r="F2119" s="366" t="s">
        <v>25</v>
      </c>
      <c r="G2119" s="348" t="str">
        <f>"'"&amp;$C2119&amp;"'!$E$52:$Y$52"</f>
        <v>'BLD_EE'!$E$52:$Y$52</v>
      </c>
      <c r="H2119" s="381">
        <f ca="1">IF(IFERROR(INDEX(DATA_PROPERTY_MASTER!$E$5:$E$21,MATCH($C2119,DATA_PROPERTY_MASTER!$A$5:$A$21,0))="Yes",FALSE),IFERROR(INDEX(INDIRECT("'"&amp;$C2119&amp;"'!$E$52:$Y$52"),1,MATCH($D2119,INDIRECT("'"&amp;$C2119&amp;"'!$E$12:$Y$12"),0)),0),0)</f>
        <v>291141.50724279688</v>
      </c>
      <c r="I2119" s="366" t="s">
        <v>1685</v>
      </c>
      <c r="J2119" s="348" t="str">
        <f t="shared" ca="1" si="66"/>
        <v>OK</v>
      </c>
      <c r="K2119" s="366" t="s">
        <v>1710</v>
      </c>
      <c r="L2119" s="366" t="s">
        <v>2246</v>
      </c>
      <c r="M2119" s="350" t="str">
        <f>IF($B2119="Portfolio","Portfolio",IFERROR(INDEX(DATA_ASSET_CLASSIFICATION!$B$8:$B$24,MATCH($C2119,DATA_ASSET_CLASSIFICATION!$A$8:$A$24,0)),"Review"))</f>
        <v>Evelyn Estates</v>
      </c>
      <c r="N2119" s="350" t="str">
        <f ca="1">IF($B2119="Portfolio","Portfolio",IFERROR(INDEX(DATA_ASSET_CLASSIFICATION!$U$8:$U$24,MATCH($C2119,DATA_ASSET_CLASSIFICATION!$A$8:$A$24,0)),"Review"))</f>
        <v>Refi Watch</v>
      </c>
      <c r="O2119" s="350" t="str">
        <f ca="1">IF($B2119="Portfolio","Portfolio",IFERROR(INDEX(DATA_ASSET_CLASSIFICATION!$AB$8:$AB$13,MATCH($N2119,DATA_ASSET_CLASSIFICATION!$AA$8:$AA$13,0)),"Review"))</f>
        <v>Bucket 2 · Legacy</v>
      </c>
      <c r="P2119" s="350" t="str">
        <f>IF($B2119="Portfolio","Portfolio",IFERROR(INDEX(DATA_ASSET_CLASSIFICATION!$C$8:$C$24,MATCH($C2119,DATA_ASSET_CLASSIFICATION!$A$8:$A$24,0)),"Review"))</f>
        <v>Yes</v>
      </c>
      <c r="Q2119" s="350" t="str">
        <f t="shared" ca="1" si="67"/>
        <v>OK</v>
      </c>
    </row>
    <row r="2120" spans="1:17">
      <c r="A2120" s="366" t="s">
        <v>4076</v>
      </c>
      <c r="B2120" s="366" t="s">
        <v>231</v>
      </c>
      <c r="C2120" s="348" t="str">
        <f>DATA_PROPERTY_MASTER!$A$11</f>
        <v>BLD_EE</v>
      </c>
      <c r="D2120" s="380">
        <f>'00_PORTFOLIO ROLLUP'!J$12</f>
        <v>2030</v>
      </c>
      <c r="E2120" s="366" t="s">
        <v>1683</v>
      </c>
      <c r="F2120" s="366" t="s">
        <v>27</v>
      </c>
      <c r="G2120" s="348" t="str">
        <f>"'"&amp;$C2120&amp;"'!$E$54:$Y$54"</f>
        <v>'BLD_EE'!$E$54:$Y$54</v>
      </c>
      <c r="H2120" s="381">
        <f ca="1">IF(IFERROR(INDEX(DATA_PROPERTY_MASTER!$E$5:$E$21,MATCH($C2120,DATA_PROPERTY_MASTER!$A$5:$A$21,0))="Yes",FALSE),IFERROR(INDEX(INDIRECT("'"&amp;$C2120&amp;"'!$E$54:$Y$54"),1,MATCH($D2120,INDIRECT("'"&amp;$C2120&amp;"'!$E$12:$Y$12"),0)),0),0)</f>
        <v>174684.90434567814</v>
      </c>
      <c r="I2120" s="366" t="s">
        <v>1690</v>
      </c>
      <c r="J2120" s="348" t="str">
        <f t="shared" ca="1" si="66"/>
        <v>OK</v>
      </c>
      <c r="K2120" s="366" t="s">
        <v>1714</v>
      </c>
      <c r="L2120" s="366" t="s">
        <v>2248</v>
      </c>
      <c r="M2120" s="350" t="str">
        <f>IF($B2120="Portfolio","Portfolio",IFERROR(INDEX(DATA_ASSET_CLASSIFICATION!$B$8:$B$24,MATCH($C2120,DATA_ASSET_CLASSIFICATION!$A$8:$A$24,0)),"Review"))</f>
        <v>Evelyn Estates</v>
      </c>
      <c r="N2120" s="350" t="str">
        <f ca="1">IF($B2120="Portfolio","Portfolio",IFERROR(INDEX(DATA_ASSET_CLASSIFICATION!$U$8:$U$24,MATCH($C2120,DATA_ASSET_CLASSIFICATION!$A$8:$A$24,0)),"Review"))</f>
        <v>Refi Watch</v>
      </c>
      <c r="O2120" s="350" t="str">
        <f ca="1">IF($B2120="Portfolio","Portfolio",IFERROR(INDEX(DATA_ASSET_CLASSIFICATION!$AB$8:$AB$13,MATCH($N2120,DATA_ASSET_CLASSIFICATION!$AA$8:$AA$13,0)),"Review"))</f>
        <v>Bucket 2 · Legacy</v>
      </c>
      <c r="P2120" s="350" t="str">
        <f>IF($B2120="Portfolio","Portfolio",IFERROR(INDEX(DATA_ASSET_CLASSIFICATION!$C$8:$C$24,MATCH($C2120,DATA_ASSET_CLASSIFICATION!$A$8:$A$24,0)),"Review"))</f>
        <v>Yes</v>
      </c>
      <c r="Q2120" s="350" t="str">
        <f t="shared" ca="1" si="67"/>
        <v>OK</v>
      </c>
    </row>
    <row r="2121" spans="1:17">
      <c r="A2121" s="366" t="s">
        <v>4077</v>
      </c>
      <c r="B2121" s="366" t="s">
        <v>231</v>
      </c>
      <c r="C2121" s="348" t="str">
        <f>DATA_PROPERTY_MASTER!$A$11</f>
        <v>BLD_EE</v>
      </c>
      <c r="D2121" s="380">
        <f>'00_PORTFOLIO ROLLUP'!J$12</f>
        <v>2030</v>
      </c>
      <c r="E2121" s="366" t="s">
        <v>1683</v>
      </c>
      <c r="F2121" s="366" t="s">
        <v>29</v>
      </c>
      <c r="G2121" s="348" t="str">
        <f>"'"&amp;$C2121&amp;"'!$E$56:$Y$56"</f>
        <v>'BLD_EE'!$E$56:$Y$56</v>
      </c>
      <c r="H2121" s="381">
        <f ca="1">IF(IFERROR(INDEX(DATA_PROPERTY_MASTER!$E$5:$E$21,MATCH($C2121,DATA_PROPERTY_MASTER!$A$5:$A$21,0))="Yes",FALSE),IFERROR(INDEX(INDIRECT("'"&amp;$C2121&amp;"'!$E$56:$Y$56"),1,MATCH($D2121,INDIRECT("'"&amp;$C2121&amp;"'!$E$12:$Y$12"),0)),0),0)</f>
        <v>116456.60289711875</v>
      </c>
      <c r="I2121" s="366" t="s">
        <v>1685</v>
      </c>
      <c r="J2121" s="348" t="str">
        <f t="shared" ca="1" si="66"/>
        <v>OK</v>
      </c>
      <c r="K2121" s="366" t="s">
        <v>1718</v>
      </c>
      <c r="L2121" s="366" t="s">
        <v>2250</v>
      </c>
      <c r="M2121" s="350" t="str">
        <f>IF($B2121="Portfolio","Portfolio",IFERROR(INDEX(DATA_ASSET_CLASSIFICATION!$B$8:$B$24,MATCH($C2121,DATA_ASSET_CLASSIFICATION!$A$8:$A$24,0)),"Review"))</f>
        <v>Evelyn Estates</v>
      </c>
      <c r="N2121" s="350" t="str">
        <f ca="1">IF($B2121="Portfolio","Portfolio",IFERROR(INDEX(DATA_ASSET_CLASSIFICATION!$U$8:$U$24,MATCH($C2121,DATA_ASSET_CLASSIFICATION!$A$8:$A$24,0)),"Review"))</f>
        <v>Refi Watch</v>
      </c>
      <c r="O2121" s="350" t="str">
        <f ca="1">IF($B2121="Portfolio","Portfolio",IFERROR(INDEX(DATA_ASSET_CLASSIFICATION!$AB$8:$AB$13,MATCH($N2121,DATA_ASSET_CLASSIFICATION!$AA$8:$AA$13,0)),"Review"))</f>
        <v>Bucket 2 · Legacy</v>
      </c>
      <c r="P2121" s="350" t="str">
        <f>IF($B2121="Portfolio","Portfolio",IFERROR(INDEX(DATA_ASSET_CLASSIFICATION!$C$8:$C$24,MATCH($C2121,DATA_ASSET_CLASSIFICATION!$A$8:$A$24,0)),"Review"))</f>
        <v>Yes</v>
      </c>
      <c r="Q2121" s="350" t="str">
        <f t="shared" ca="1" si="67"/>
        <v>OK</v>
      </c>
    </row>
    <row r="2122" spans="1:17">
      <c r="A2122" s="366" t="s">
        <v>4078</v>
      </c>
      <c r="B2122" s="366" t="s">
        <v>231</v>
      </c>
      <c r="C2122" s="348" t="str">
        <f>DATA_PROPERTY_MASTER!$A$11</f>
        <v>BLD_EE</v>
      </c>
      <c r="D2122" s="380">
        <f>'00_PORTFOLIO ROLLUP'!J$12</f>
        <v>2030</v>
      </c>
      <c r="E2122" s="366" t="s">
        <v>1721</v>
      </c>
      <c r="F2122" s="366" t="s">
        <v>31</v>
      </c>
      <c r="G2122" s="348" t="str">
        <f>"'"&amp;$C2122&amp;"'!$E$61:$Y$61"</f>
        <v>'BLD_EE'!$E$61:$Y$61</v>
      </c>
      <c r="H2122" s="381">
        <f ca="1">IF(IFERROR(INDEX(DATA_PROPERTY_MASTER!$E$5:$E$21,MATCH($C2122,DATA_PROPERTY_MASTER!$A$5:$A$21,0))="Yes",FALSE),IFERROR(INDEX(INDIRECT("'"&amp;$C2122&amp;"'!$E$61:$Y$61"),1,MATCH($D2122,INDIRECT("'"&amp;$C2122&amp;"'!$E$12:$Y$12"),0)),0),0)</f>
        <v>0</v>
      </c>
      <c r="I2122" s="366" t="s">
        <v>1690</v>
      </c>
      <c r="J2122" s="348" t="str">
        <f t="shared" ca="1" si="66"/>
        <v>OK</v>
      </c>
      <c r="K2122" s="366" t="s">
        <v>1723</v>
      </c>
      <c r="L2122" s="366" t="s">
        <v>2252</v>
      </c>
      <c r="M2122" s="350" t="str">
        <f>IF($B2122="Portfolio","Portfolio",IFERROR(INDEX(DATA_ASSET_CLASSIFICATION!$B$8:$B$24,MATCH($C2122,DATA_ASSET_CLASSIFICATION!$A$8:$A$24,0)),"Review"))</f>
        <v>Evelyn Estates</v>
      </c>
      <c r="N2122" s="350" t="str">
        <f ca="1">IF($B2122="Portfolio","Portfolio",IFERROR(INDEX(DATA_ASSET_CLASSIFICATION!$U$8:$U$24,MATCH($C2122,DATA_ASSET_CLASSIFICATION!$A$8:$A$24,0)),"Review"))</f>
        <v>Refi Watch</v>
      </c>
      <c r="O2122" s="350" t="str">
        <f ca="1">IF($B2122="Portfolio","Portfolio",IFERROR(INDEX(DATA_ASSET_CLASSIFICATION!$AB$8:$AB$13,MATCH($N2122,DATA_ASSET_CLASSIFICATION!$AA$8:$AA$13,0)),"Review"))</f>
        <v>Bucket 2 · Legacy</v>
      </c>
      <c r="P2122" s="350" t="str">
        <f>IF($B2122="Portfolio","Portfolio",IFERROR(INDEX(DATA_ASSET_CLASSIFICATION!$C$8:$C$24,MATCH($C2122,DATA_ASSET_CLASSIFICATION!$A$8:$A$24,0)),"Review"))</f>
        <v>Yes</v>
      </c>
      <c r="Q2122" s="350" t="str">
        <f t="shared" ca="1" si="67"/>
        <v>OK</v>
      </c>
    </row>
    <row r="2123" spans="1:17">
      <c r="A2123" s="366" t="s">
        <v>4079</v>
      </c>
      <c r="B2123" s="366" t="s">
        <v>231</v>
      </c>
      <c r="C2123" s="348" t="str">
        <f>DATA_PROPERTY_MASTER!$A$11</f>
        <v>BLD_EE</v>
      </c>
      <c r="D2123" s="380">
        <f>'00_PORTFOLIO ROLLUP'!J$12</f>
        <v>2030</v>
      </c>
      <c r="E2123" s="366" t="s">
        <v>1721</v>
      </c>
      <c r="F2123" s="366" t="s">
        <v>33</v>
      </c>
      <c r="G2123" s="348" t="str">
        <f>"'"&amp;$C2123&amp;"'!$E$62:$Y$62"</f>
        <v>'BLD_EE'!$E$62:$Y$62</v>
      </c>
      <c r="H2123" s="381">
        <f ca="1">IF(IFERROR(INDEX(DATA_PROPERTY_MASTER!$E$5:$E$21,MATCH($C2123,DATA_PROPERTY_MASTER!$A$5:$A$21,0))="Yes",FALSE),IFERROR(INDEX(INDIRECT("'"&amp;$C2123&amp;"'!$E$62:$Y$62"),1,MATCH($D2123,INDIRECT("'"&amp;$C2123&amp;"'!$E$12:$Y$12"),0)),0),0)</f>
        <v>0</v>
      </c>
      <c r="I2123" s="366" t="s">
        <v>1685</v>
      </c>
      <c r="J2123" s="348" t="str">
        <f t="shared" ca="1" si="66"/>
        <v>OK</v>
      </c>
      <c r="K2123" s="366" t="s">
        <v>1727</v>
      </c>
      <c r="L2123" s="366" t="s">
        <v>2254</v>
      </c>
      <c r="M2123" s="350" t="str">
        <f>IF($B2123="Portfolio","Portfolio",IFERROR(INDEX(DATA_ASSET_CLASSIFICATION!$B$8:$B$24,MATCH($C2123,DATA_ASSET_CLASSIFICATION!$A$8:$A$24,0)),"Review"))</f>
        <v>Evelyn Estates</v>
      </c>
      <c r="N2123" s="350" t="str">
        <f ca="1">IF($B2123="Portfolio","Portfolio",IFERROR(INDEX(DATA_ASSET_CLASSIFICATION!$U$8:$U$24,MATCH($C2123,DATA_ASSET_CLASSIFICATION!$A$8:$A$24,0)),"Review"))</f>
        <v>Refi Watch</v>
      </c>
      <c r="O2123" s="350" t="str">
        <f ca="1">IF($B2123="Portfolio","Portfolio",IFERROR(INDEX(DATA_ASSET_CLASSIFICATION!$AB$8:$AB$13,MATCH($N2123,DATA_ASSET_CLASSIFICATION!$AA$8:$AA$13,0)),"Review"))</f>
        <v>Bucket 2 · Legacy</v>
      </c>
      <c r="P2123" s="350" t="str">
        <f>IF($B2123="Portfolio","Portfolio",IFERROR(INDEX(DATA_ASSET_CLASSIFICATION!$C$8:$C$24,MATCH($C2123,DATA_ASSET_CLASSIFICATION!$A$8:$A$24,0)),"Review"))</f>
        <v>Yes</v>
      </c>
      <c r="Q2123" s="350" t="str">
        <f t="shared" ca="1" si="67"/>
        <v>OK</v>
      </c>
    </row>
    <row r="2124" spans="1:17">
      <c r="A2124" s="366" t="s">
        <v>4080</v>
      </c>
      <c r="B2124" s="366" t="s">
        <v>231</v>
      </c>
      <c r="C2124" s="348" t="str">
        <f>DATA_PROPERTY_MASTER!$A$11</f>
        <v>BLD_EE</v>
      </c>
      <c r="D2124" s="380">
        <f>'00_PORTFOLIO ROLLUP'!J$12</f>
        <v>2030</v>
      </c>
      <c r="E2124" s="366" t="s">
        <v>1721</v>
      </c>
      <c r="F2124" s="366" t="s">
        <v>35</v>
      </c>
      <c r="G2124" s="348" t="str">
        <f>"'"&amp;$C2124&amp;"'!$E$63:$Y$63"</f>
        <v>'BLD_EE'!$E$63:$Y$63</v>
      </c>
      <c r="H2124" s="381">
        <f ca="1">IF(IFERROR(INDEX(DATA_PROPERTY_MASTER!$E$5:$E$21,MATCH($C2124,DATA_PROPERTY_MASTER!$A$5:$A$21,0))="Yes",FALSE),IFERROR(INDEX(INDIRECT("'"&amp;$C2124&amp;"'!$E$63:$Y$63"),1,MATCH($D2124,INDIRECT("'"&amp;$C2124&amp;"'!$E$12:$Y$12"),0)),0),0)</f>
        <v>0</v>
      </c>
      <c r="I2124" s="366" t="s">
        <v>1731</v>
      </c>
      <c r="J2124" s="348" t="str">
        <f t="shared" ca="1" si="66"/>
        <v>OK</v>
      </c>
      <c r="K2124" s="366" t="s">
        <v>1732</v>
      </c>
      <c r="L2124" s="366" t="s">
        <v>2256</v>
      </c>
      <c r="M2124" s="350" t="str">
        <f>IF($B2124="Portfolio","Portfolio",IFERROR(INDEX(DATA_ASSET_CLASSIFICATION!$B$8:$B$24,MATCH($C2124,DATA_ASSET_CLASSIFICATION!$A$8:$A$24,0)),"Review"))</f>
        <v>Evelyn Estates</v>
      </c>
      <c r="N2124" s="350" t="str">
        <f ca="1">IF($B2124="Portfolio","Portfolio",IFERROR(INDEX(DATA_ASSET_CLASSIFICATION!$U$8:$U$24,MATCH($C2124,DATA_ASSET_CLASSIFICATION!$A$8:$A$24,0)),"Review"))</f>
        <v>Refi Watch</v>
      </c>
      <c r="O2124" s="350" t="str">
        <f ca="1">IF($B2124="Portfolio","Portfolio",IFERROR(INDEX(DATA_ASSET_CLASSIFICATION!$AB$8:$AB$13,MATCH($N2124,DATA_ASSET_CLASSIFICATION!$AA$8:$AA$13,0)),"Review"))</f>
        <v>Bucket 2 · Legacy</v>
      </c>
      <c r="P2124" s="350" t="str">
        <f>IF($B2124="Portfolio","Portfolio",IFERROR(INDEX(DATA_ASSET_CLASSIFICATION!$C$8:$C$24,MATCH($C2124,DATA_ASSET_CLASSIFICATION!$A$8:$A$24,0)),"Review"))</f>
        <v>Yes</v>
      </c>
      <c r="Q2124" s="350" t="str">
        <f t="shared" ca="1" si="67"/>
        <v>OK</v>
      </c>
    </row>
    <row r="2125" spans="1:17">
      <c r="A2125" s="366" t="s">
        <v>4081</v>
      </c>
      <c r="B2125" s="366" t="s">
        <v>231</v>
      </c>
      <c r="C2125" s="348" t="str">
        <f>DATA_PROPERTY_MASTER!$A$11</f>
        <v>BLD_EE</v>
      </c>
      <c r="D2125" s="380">
        <f>'00_PORTFOLIO ROLLUP'!J$12</f>
        <v>2030</v>
      </c>
      <c r="E2125" s="366" t="s">
        <v>1721</v>
      </c>
      <c r="F2125" s="366" t="s">
        <v>37</v>
      </c>
      <c r="G2125" s="348" t="str">
        <f>"'"&amp;$C2125&amp;"'!$E$63:$Y$63"</f>
        <v>'BLD_EE'!$E$63:$Y$63</v>
      </c>
      <c r="H2125" s="381">
        <f ca="1">IF(IFERROR(INDEX(DATA_PROPERTY_MASTER!$E$5:$E$21,MATCH($C2125,DATA_PROPERTY_MASTER!$A$5:$A$21,0))="Yes",FALSE),MAX(IFERROR(INDEX(INDIRECT("'"&amp;$C2125&amp;"'!$E$63:$Y$63"),1,MATCH($D2125,INDIRECT("'"&amp;$C2125&amp;"'!$E$12:$Y$12"),0)),0),0),0)</f>
        <v>0</v>
      </c>
      <c r="I2125" s="366" t="s">
        <v>1685</v>
      </c>
      <c r="J2125" s="348" t="str">
        <f t="shared" ca="1" si="66"/>
        <v>OK</v>
      </c>
      <c r="K2125" s="366" t="s">
        <v>1735</v>
      </c>
      <c r="L2125" s="366" t="s">
        <v>2258</v>
      </c>
      <c r="M2125" s="350" t="str">
        <f>IF($B2125="Portfolio","Portfolio",IFERROR(INDEX(DATA_ASSET_CLASSIFICATION!$B$8:$B$24,MATCH($C2125,DATA_ASSET_CLASSIFICATION!$A$8:$A$24,0)),"Review"))</f>
        <v>Evelyn Estates</v>
      </c>
      <c r="N2125" s="350" t="str">
        <f ca="1">IF($B2125="Portfolio","Portfolio",IFERROR(INDEX(DATA_ASSET_CLASSIFICATION!$U$8:$U$24,MATCH($C2125,DATA_ASSET_CLASSIFICATION!$A$8:$A$24,0)),"Review"))</f>
        <v>Refi Watch</v>
      </c>
      <c r="O2125" s="350" t="str">
        <f ca="1">IF($B2125="Portfolio","Portfolio",IFERROR(INDEX(DATA_ASSET_CLASSIFICATION!$AB$8:$AB$13,MATCH($N2125,DATA_ASSET_CLASSIFICATION!$AA$8:$AA$13,0)),"Review"))</f>
        <v>Bucket 2 · Legacy</v>
      </c>
      <c r="P2125" s="350" t="str">
        <f>IF($B2125="Portfolio","Portfolio",IFERROR(INDEX(DATA_ASSET_CLASSIFICATION!$C$8:$C$24,MATCH($C2125,DATA_ASSET_CLASSIFICATION!$A$8:$A$24,0)),"Review"))</f>
        <v>Yes</v>
      </c>
      <c r="Q2125" s="350" t="str">
        <f t="shared" ca="1" si="67"/>
        <v>OK</v>
      </c>
    </row>
    <row r="2126" spans="1:17">
      <c r="A2126" s="366" t="s">
        <v>4082</v>
      </c>
      <c r="B2126" s="366" t="s">
        <v>231</v>
      </c>
      <c r="C2126" s="348" t="str">
        <f>DATA_PROPERTY_MASTER!$A$11</f>
        <v>BLD_EE</v>
      </c>
      <c r="D2126" s="380">
        <f>'00_PORTFOLIO ROLLUP'!J$12</f>
        <v>2030</v>
      </c>
      <c r="E2126" s="366" t="s">
        <v>1721</v>
      </c>
      <c r="F2126" s="366" t="s">
        <v>39</v>
      </c>
      <c r="G2126" s="348" t="str">
        <f>"'"&amp;$C2126&amp;"'!$E$63:$Y$63"</f>
        <v>'BLD_EE'!$E$63:$Y$63</v>
      </c>
      <c r="H2126" s="381">
        <f ca="1">IF(IFERROR(INDEX(DATA_PROPERTY_MASTER!$E$5:$E$21,MATCH($C2126,DATA_PROPERTY_MASTER!$A$5:$A$21,0))="Yes",FALSE),MAX(-IFERROR(INDEX(INDIRECT("'"&amp;$C2126&amp;"'!$E$63:$Y$63"),1,MATCH($D2126,INDIRECT("'"&amp;$C2126&amp;"'!$E$12:$Y$12"),0)),0),0),0)</f>
        <v>0</v>
      </c>
      <c r="I2126" s="366" t="s">
        <v>1690</v>
      </c>
      <c r="J2126" s="348" t="str">
        <f t="shared" ca="1" si="66"/>
        <v>OK</v>
      </c>
      <c r="K2126" s="366" t="s">
        <v>1738</v>
      </c>
      <c r="L2126" s="366" t="s">
        <v>2260</v>
      </c>
      <c r="M2126" s="350" t="str">
        <f>IF($B2126="Portfolio","Portfolio",IFERROR(INDEX(DATA_ASSET_CLASSIFICATION!$B$8:$B$24,MATCH($C2126,DATA_ASSET_CLASSIFICATION!$A$8:$A$24,0)),"Review"))</f>
        <v>Evelyn Estates</v>
      </c>
      <c r="N2126" s="350" t="str">
        <f ca="1">IF($B2126="Portfolio","Portfolio",IFERROR(INDEX(DATA_ASSET_CLASSIFICATION!$U$8:$U$24,MATCH($C2126,DATA_ASSET_CLASSIFICATION!$A$8:$A$24,0)),"Review"))</f>
        <v>Refi Watch</v>
      </c>
      <c r="O2126" s="350" t="str">
        <f ca="1">IF($B2126="Portfolio","Portfolio",IFERROR(INDEX(DATA_ASSET_CLASSIFICATION!$AB$8:$AB$13,MATCH($N2126,DATA_ASSET_CLASSIFICATION!$AA$8:$AA$13,0)),"Review"))</f>
        <v>Bucket 2 · Legacy</v>
      </c>
      <c r="P2126" s="350" t="str">
        <f>IF($B2126="Portfolio","Portfolio",IFERROR(INDEX(DATA_ASSET_CLASSIFICATION!$C$8:$C$24,MATCH($C2126,DATA_ASSET_CLASSIFICATION!$A$8:$A$24,0)),"Review"))</f>
        <v>Yes</v>
      </c>
      <c r="Q2126" s="350" t="str">
        <f t="shared" ca="1" si="67"/>
        <v>OK</v>
      </c>
    </row>
    <row r="2127" spans="1:17">
      <c r="A2127" s="366" t="s">
        <v>4083</v>
      </c>
      <c r="B2127" s="366" t="s">
        <v>231</v>
      </c>
      <c r="C2127" s="348" t="str">
        <f>DATA_PROPERTY_MASTER!$A$11</f>
        <v>BLD_EE</v>
      </c>
      <c r="D2127" s="380">
        <f>'00_PORTFOLIO ROLLUP'!J$12</f>
        <v>2030</v>
      </c>
      <c r="E2127" s="366" t="s">
        <v>1741</v>
      </c>
      <c r="F2127" s="366" t="s">
        <v>41</v>
      </c>
      <c r="G2127" s="348" t="str">
        <f>"'"&amp;$C2127&amp;"'!rows 56 + positive row 63"</f>
        <v>'BLD_EE'!rows 56 + positive row 63</v>
      </c>
      <c r="H2127" s="381">
        <f ca="1">IF(IFERROR(INDEX(DATA_PROPERTY_MASTER!$E$5:$E$21,MATCH($C2127,DATA_PROPERTY_MASTER!$A$5:$A$21,0))="Yes",FALSE),IFERROR(INDEX(INDIRECT("'"&amp;$C2127&amp;"'!$E$56:$Y$56"),1,MATCH($D2127,INDIRECT("'"&amp;$C2127&amp;"'!$E$12:$Y$12"),0)),0)+MAX(IFERROR(INDEX(INDIRECT("'"&amp;$C2127&amp;"'!$E$63:$Y$63"),1,MATCH($D2127,INDIRECT("'"&amp;$C2127&amp;"'!$E$12:$Y$12"),0)),0),0),0)</f>
        <v>116456.60289711875</v>
      </c>
      <c r="I2127" s="366" t="s">
        <v>1685</v>
      </c>
      <c r="J2127" s="348" t="str">
        <f t="shared" ca="1" si="66"/>
        <v>OK</v>
      </c>
      <c r="K2127" s="366" t="s">
        <v>1742</v>
      </c>
      <c r="L2127" s="366" t="s">
        <v>2262</v>
      </c>
      <c r="M2127" s="350" t="str">
        <f>IF($B2127="Portfolio","Portfolio",IFERROR(INDEX(DATA_ASSET_CLASSIFICATION!$B$8:$B$24,MATCH($C2127,DATA_ASSET_CLASSIFICATION!$A$8:$A$24,0)),"Review"))</f>
        <v>Evelyn Estates</v>
      </c>
      <c r="N2127" s="350" t="str">
        <f ca="1">IF($B2127="Portfolio","Portfolio",IFERROR(INDEX(DATA_ASSET_CLASSIFICATION!$U$8:$U$24,MATCH($C2127,DATA_ASSET_CLASSIFICATION!$A$8:$A$24,0)),"Review"))</f>
        <v>Refi Watch</v>
      </c>
      <c r="O2127" s="350" t="str">
        <f ca="1">IF($B2127="Portfolio","Portfolio",IFERROR(INDEX(DATA_ASSET_CLASSIFICATION!$AB$8:$AB$13,MATCH($N2127,DATA_ASSET_CLASSIFICATION!$AA$8:$AA$13,0)),"Review"))</f>
        <v>Bucket 2 · Legacy</v>
      </c>
      <c r="P2127" s="350" t="str">
        <f>IF($B2127="Portfolio","Portfolio",IFERROR(INDEX(DATA_ASSET_CLASSIFICATION!$C$8:$C$24,MATCH($C2127,DATA_ASSET_CLASSIFICATION!$A$8:$A$24,0)),"Review"))</f>
        <v>Yes</v>
      </c>
      <c r="Q2127" s="350" t="str">
        <f t="shared" ca="1" si="67"/>
        <v>OK</v>
      </c>
    </row>
    <row r="2128" spans="1:17">
      <c r="A2128" s="366" t="s">
        <v>4084</v>
      </c>
      <c r="B2128" s="366" t="s">
        <v>231</v>
      </c>
      <c r="C2128" s="348" t="str">
        <f>DATA_PROPERTY_MASTER!$A$11</f>
        <v>BLD_EE</v>
      </c>
      <c r="D2128" s="380">
        <f>'00_PORTFOLIO ROLLUP'!J$12</f>
        <v>2030</v>
      </c>
      <c r="E2128" s="366" t="s">
        <v>1741</v>
      </c>
      <c r="F2128" s="366" t="s">
        <v>43</v>
      </c>
      <c r="G2128" s="348" t="str">
        <f>"'"&amp;$C2128&amp;"'!$E$68:$Y$68"</f>
        <v>'BLD_EE'!$E$68:$Y$68</v>
      </c>
      <c r="H2128" s="381">
        <f ca="1">IF(IFERROR(INDEX(DATA_PROPERTY_MASTER!$E$5:$E$21,MATCH($C2128,DATA_PROPERTY_MASTER!$A$5:$A$21,0))="Yes",FALSE),IFERROR(INDEX(INDIRECT("'"&amp;$C2128&amp;"'!$E$68:$Y$68"),1,MATCH($D2128,INDIRECT("'"&amp;$C2128&amp;"'!$E$12:$Y$12"),0)),0),0)</f>
        <v>116456.60289711875</v>
      </c>
      <c r="I2128" s="366" t="s">
        <v>1731</v>
      </c>
      <c r="J2128" s="348" t="str">
        <f t="shared" ca="1" si="66"/>
        <v>OK</v>
      </c>
      <c r="K2128" s="366" t="s">
        <v>1746</v>
      </c>
      <c r="L2128" s="366" t="s">
        <v>2264</v>
      </c>
      <c r="M2128" s="350" t="str">
        <f>IF($B2128="Portfolio","Portfolio",IFERROR(INDEX(DATA_ASSET_CLASSIFICATION!$B$8:$B$24,MATCH($C2128,DATA_ASSET_CLASSIFICATION!$A$8:$A$24,0)),"Review"))</f>
        <v>Evelyn Estates</v>
      </c>
      <c r="N2128" s="350" t="str">
        <f ca="1">IF($B2128="Portfolio","Portfolio",IFERROR(INDEX(DATA_ASSET_CLASSIFICATION!$U$8:$U$24,MATCH($C2128,DATA_ASSET_CLASSIFICATION!$A$8:$A$24,0)),"Review"))</f>
        <v>Refi Watch</v>
      </c>
      <c r="O2128" s="350" t="str">
        <f ca="1">IF($B2128="Portfolio","Portfolio",IFERROR(INDEX(DATA_ASSET_CLASSIFICATION!$AB$8:$AB$13,MATCH($N2128,DATA_ASSET_CLASSIFICATION!$AA$8:$AA$13,0)),"Review"))</f>
        <v>Bucket 2 · Legacy</v>
      </c>
      <c r="P2128" s="350" t="str">
        <f>IF($B2128="Portfolio","Portfolio",IFERROR(INDEX(DATA_ASSET_CLASSIFICATION!$C$8:$C$24,MATCH($C2128,DATA_ASSET_CLASSIFICATION!$A$8:$A$24,0)),"Review"))</f>
        <v>Yes</v>
      </c>
      <c r="Q2128" s="350" t="str">
        <f t="shared" ca="1" si="67"/>
        <v>OK</v>
      </c>
    </row>
    <row r="2129" spans="1:17">
      <c r="A2129" s="366" t="s">
        <v>4085</v>
      </c>
      <c r="B2129" s="366" t="s">
        <v>231</v>
      </c>
      <c r="C2129" s="348" t="str">
        <f>DATA_PROPERTY_MASTER!$A$11</f>
        <v>BLD_EE</v>
      </c>
      <c r="D2129" s="380">
        <f>'00_PORTFOLIO ROLLUP'!J$12</f>
        <v>2030</v>
      </c>
      <c r="E2129" s="366" t="s">
        <v>1741</v>
      </c>
      <c r="F2129" s="366" t="s">
        <v>1749</v>
      </c>
      <c r="G2129" s="348" t="str">
        <f>"'"&amp;$C2129&amp;"'!rows 56, 63, 68"</f>
        <v>'BLD_EE'!rows 56, 63, 68</v>
      </c>
      <c r="H2129" s="381">
        <f ca="1">IF(IFERROR(INDEX(DATA_PROPERTY_MASTER!$E$5:$E$21,MATCH($C2129,DATA_PROPERTY_MASTER!$A$5:$A$21,0))="Yes",FALSE),(IFERROR(INDEX(INDIRECT("'"&amp;$C2129&amp;"'!$E$56:$Y$56"),1,MATCH($D2129,INDIRECT("'"&amp;$C2129&amp;"'!$E$12:$Y$12"),0)),0)+MAX(IFERROR(INDEX(INDIRECT("'"&amp;$C2129&amp;"'!$E$63:$Y$63"),1,MATCH($D2129,INDIRECT("'"&amp;$C2129&amp;"'!$E$12:$Y$12"),0)),0),0))-(IFERROR(INDEX(INDIRECT("'"&amp;$C2129&amp;"'!$E$68:$Y$68"),1,MATCH($D2129,INDIRECT("'"&amp;$C2129&amp;"'!$E$12:$Y$12"),0)),0)),0)</f>
        <v>0</v>
      </c>
      <c r="I2129" s="366" t="s">
        <v>1750</v>
      </c>
      <c r="J2129" s="348" t="str">
        <f t="shared" ca="1" si="66"/>
        <v>OK</v>
      </c>
      <c r="K2129" s="366" t="s">
        <v>1751</v>
      </c>
      <c r="L2129" s="366" t="s">
        <v>2266</v>
      </c>
      <c r="M2129" s="350" t="str">
        <f>IF($B2129="Portfolio","Portfolio",IFERROR(INDEX(DATA_ASSET_CLASSIFICATION!$B$8:$B$24,MATCH($C2129,DATA_ASSET_CLASSIFICATION!$A$8:$A$24,0)),"Review"))</f>
        <v>Evelyn Estates</v>
      </c>
      <c r="N2129" s="350" t="str">
        <f ca="1">IF($B2129="Portfolio","Portfolio",IFERROR(INDEX(DATA_ASSET_CLASSIFICATION!$U$8:$U$24,MATCH($C2129,DATA_ASSET_CLASSIFICATION!$A$8:$A$24,0)),"Review"))</f>
        <v>Refi Watch</v>
      </c>
      <c r="O2129" s="350" t="str">
        <f ca="1">IF($B2129="Portfolio","Portfolio",IFERROR(INDEX(DATA_ASSET_CLASSIFICATION!$AB$8:$AB$13,MATCH($N2129,DATA_ASSET_CLASSIFICATION!$AA$8:$AA$13,0)),"Review"))</f>
        <v>Bucket 2 · Legacy</v>
      </c>
      <c r="P2129" s="350" t="str">
        <f>IF($B2129="Portfolio","Portfolio",IFERROR(INDEX(DATA_ASSET_CLASSIFICATION!$C$8:$C$24,MATCH($C2129,DATA_ASSET_CLASSIFICATION!$A$8:$A$24,0)),"Review"))</f>
        <v>Yes</v>
      </c>
      <c r="Q2129" s="350" t="str">
        <f t="shared" ca="1" si="67"/>
        <v>OK</v>
      </c>
    </row>
    <row r="2130" spans="1:17">
      <c r="A2130" s="366" t="s">
        <v>4086</v>
      </c>
      <c r="B2130" s="366" t="s">
        <v>231</v>
      </c>
      <c r="C2130" s="348" t="str">
        <f>DATA_PROPERTY_MASTER!$A$11</f>
        <v>BLD_EE</v>
      </c>
      <c r="D2130" s="380">
        <f>'00_PORTFOLIO ROLLUP'!K$12</f>
        <v>2031</v>
      </c>
      <c r="E2130" s="366" t="s">
        <v>1683</v>
      </c>
      <c r="F2130" s="366" t="s">
        <v>341</v>
      </c>
      <c r="G2130" s="348" t="str">
        <f>"'"&amp;$C2130&amp;"'!$E$24:$Y$24"</f>
        <v>'BLD_EE'!$E$24:$Y$24</v>
      </c>
      <c r="H2130" s="381">
        <f ca="1">IF(IFERROR(INDEX(DATA_PROPERTY_MASTER!$E$5:$E$21,MATCH($C2130,DATA_PROPERTY_MASTER!$A$5:$A$21,0))="Yes",FALSE),IFERROR(INDEX(INDIRECT("'"&amp;$C2130&amp;"'!$E$24:$Y$24"),1,MATCH($D2130,INDIRECT("'"&amp;$C2130&amp;"'!$E$12:$Y$12"),0)),0),0)</f>
        <v>566232.23009969946</v>
      </c>
      <c r="I2130" s="366" t="s">
        <v>1685</v>
      </c>
      <c r="J2130" s="348" t="str">
        <f t="shared" ca="1" si="66"/>
        <v>OK</v>
      </c>
      <c r="K2130" s="366" t="s">
        <v>1686</v>
      </c>
      <c r="L2130" s="366" t="s">
        <v>2234</v>
      </c>
      <c r="M2130" s="350" t="str">
        <f>IF($B2130="Portfolio","Portfolio",IFERROR(INDEX(DATA_ASSET_CLASSIFICATION!$B$8:$B$24,MATCH($C2130,DATA_ASSET_CLASSIFICATION!$A$8:$A$24,0)),"Review"))</f>
        <v>Evelyn Estates</v>
      </c>
      <c r="N2130" s="350" t="str">
        <f ca="1">IF($B2130="Portfolio","Portfolio",IFERROR(INDEX(DATA_ASSET_CLASSIFICATION!$U$8:$U$24,MATCH($C2130,DATA_ASSET_CLASSIFICATION!$A$8:$A$24,0)),"Review"))</f>
        <v>Refi Watch</v>
      </c>
      <c r="O2130" s="350" t="str">
        <f ca="1">IF($B2130="Portfolio","Portfolio",IFERROR(INDEX(DATA_ASSET_CLASSIFICATION!$AB$8:$AB$13,MATCH($N2130,DATA_ASSET_CLASSIFICATION!$AA$8:$AA$13,0)),"Review"))</f>
        <v>Bucket 2 · Legacy</v>
      </c>
      <c r="P2130" s="350" t="str">
        <f>IF($B2130="Portfolio","Portfolio",IFERROR(INDEX(DATA_ASSET_CLASSIFICATION!$C$8:$C$24,MATCH($C2130,DATA_ASSET_CLASSIFICATION!$A$8:$A$24,0)),"Review"))</f>
        <v>Yes</v>
      </c>
      <c r="Q2130" s="350" t="str">
        <f t="shared" ca="1" si="67"/>
        <v>OK</v>
      </c>
    </row>
    <row r="2131" spans="1:17">
      <c r="A2131" s="366" t="s">
        <v>4087</v>
      </c>
      <c r="B2131" s="366" t="s">
        <v>231</v>
      </c>
      <c r="C2131" s="348" t="str">
        <f>DATA_PROPERTY_MASTER!$A$11</f>
        <v>BLD_EE</v>
      </c>
      <c r="D2131" s="380">
        <f>'00_PORTFOLIO ROLLUP'!K$12</f>
        <v>2031</v>
      </c>
      <c r="E2131" s="366" t="s">
        <v>1683</v>
      </c>
      <c r="F2131" s="366" t="s">
        <v>355</v>
      </c>
      <c r="G2131" s="348" t="str">
        <f>"'"&amp;$C2131&amp;"'!$E$39:$Y$39"</f>
        <v>'BLD_EE'!$E$39:$Y$39</v>
      </c>
      <c r="H2131" s="381">
        <f ca="1">IF(IFERROR(INDEX(DATA_PROPERTY_MASTER!$E$5:$E$21,MATCH($C2131,DATA_PROPERTY_MASTER!$A$5:$A$21,0))="Yes",FALSE),IFERROR(INDEX(INDIRECT("'"&amp;$C2131&amp;"'!$E$39:$Y$39"),1,MATCH($D2131,INDIRECT("'"&amp;$C2131&amp;"'!$E$12:$Y$12"),0)),0),0)</f>
        <v>274547.65531424369</v>
      </c>
      <c r="I2131" s="366" t="s">
        <v>1690</v>
      </c>
      <c r="J2131" s="348" t="str">
        <f t="shared" ca="1" si="66"/>
        <v>OK</v>
      </c>
      <c r="K2131" s="366" t="s">
        <v>1686</v>
      </c>
      <c r="L2131" s="366" t="s">
        <v>2236</v>
      </c>
      <c r="M2131" s="350" t="str">
        <f>IF($B2131="Portfolio","Portfolio",IFERROR(INDEX(DATA_ASSET_CLASSIFICATION!$B$8:$B$24,MATCH($C2131,DATA_ASSET_CLASSIFICATION!$A$8:$A$24,0)),"Review"))</f>
        <v>Evelyn Estates</v>
      </c>
      <c r="N2131" s="350" t="str">
        <f ca="1">IF($B2131="Portfolio","Portfolio",IFERROR(INDEX(DATA_ASSET_CLASSIFICATION!$U$8:$U$24,MATCH($C2131,DATA_ASSET_CLASSIFICATION!$A$8:$A$24,0)),"Review"))</f>
        <v>Refi Watch</v>
      </c>
      <c r="O2131" s="350" t="str">
        <f ca="1">IF($B2131="Portfolio","Portfolio",IFERROR(INDEX(DATA_ASSET_CLASSIFICATION!$AB$8:$AB$13,MATCH($N2131,DATA_ASSET_CLASSIFICATION!$AA$8:$AA$13,0)),"Review"))</f>
        <v>Bucket 2 · Legacy</v>
      </c>
      <c r="P2131" s="350" t="str">
        <f>IF($B2131="Portfolio","Portfolio",IFERROR(INDEX(DATA_ASSET_CLASSIFICATION!$C$8:$C$24,MATCH($C2131,DATA_ASSET_CLASSIFICATION!$A$8:$A$24,0)),"Review"))</f>
        <v>Yes</v>
      </c>
      <c r="Q2131" s="350" t="str">
        <f t="shared" ca="1" si="67"/>
        <v>OK</v>
      </c>
    </row>
    <row r="2132" spans="1:17">
      <c r="A2132" s="366" t="s">
        <v>4088</v>
      </c>
      <c r="B2132" s="366" t="s">
        <v>231</v>
      </c>
      <c r="C2132" s="348" t="str">
        <f>DATA_PROPERTY_MASTER!$A$11</f>
        <v>BLD_EE</v>
      </c>
      <c r="D2132" s="380">
        <f>'00_PORTFOLIO ROLLUP'!K$12</f>
        <v>2031</v>
      </c>
      <c r="E2132" s="366" t="s">
        <v>1683</v>
      </c>
      <c r="F2132" s="366" t="s">
        <v>19</v>
      </c>
      <c r="G2132" s="348" t="str">
        <f>"'"&amp;$C2132&amp;"'!$E$41:$Y$41"</f>
        <v>'BLD_EE'!$E$41:$Y$41</v>
      </c>
      <c r="H2132" s="381">
        <f ca="1">IF(IFERROR(INDEX(DATA_PROPERTY_MASTER!$E$5:$E$21,MATCH($C2132,DATA_PROPERTY_MASTER!$A$5:$A$21,0))="Yes",FALSE),IFERROR(INDEX(INDIRECT("'"&amp;$C2132&amp;"'!$E$41:$Y$41"),1,MATCH($D2132,INDIRECT("'"&amp;$C2132&amp;"'!$E$12:$Y$12"),0)),0),0)</f>
        <v>291684.57478545577</v>
      </c>
      <c r="I2132" s="366" t="s">
        <v>1685</v>
      </c>
      <c r="J2132" s="348" t="str">
        <f t="shared" ca="1" si="66"/>
        <v>OK</v>
      </c>
      <c r="K2132" s="366" t="s">
        <v>1694</v>
      </c>
      <c r="L2132" s="366" t="s">
        <v>2238</v>
      </c>
      <c r="M2132" s="350" t="str">
        <f>IF($B2132="Portfolio","Portfolio",IFERROR(INDEX(DATA_ASSET_CLASSIFICATION!$B$8:$B$24,MATCH($C2132,DATA_ASSET_CLASSIFICATION!$A$8:$A$24,0)),"Review"))</f>
        <v>Evelyn Estates</v>
      </c>
      <c r="N2132" s="350" t="str">
        <f ca="1">IF($B2132="Portfolio","Portfolio",IFERROR(INDEX(DATA_ASSET_CLASSIFICATION!$U$8:$U$24,MATCH($C2132,DATA_ASSET_CLASSIFICATION!$A$8:$A$24,0)),"Review"))</f>
        <v>Refi Watch</v>
      </c>
      <c r="O2132" s="350" t="str">
        <f ca="1">IF($B2132="Portfolio","Portfolio",IFERROR(INDEX(DATA_ASSET_CLASSIFICATION!$AB$8:$AB$13,MATCH($N2132,DATA_ASSET_CLASSIFICATION!$AA$8:$AA$13,0)),"Review"))</f>
        <v>Bucket 2 · Legacy</v>
      </c>
      <c r="P2132" s="350" t="str">
        <f>IF($B2132="Portfolio","Portfolio",IFERROR(INDEX(DATA_ASSET_CLASSIFICATION!$C$8:$C$24,MATCH($C2132,DATA_ASSET_CLASSIFICATION!$A$8:$A$24,0)),"Review"))</f>
        <v>Yes</v>
      </c>
      <c r="Q2132" s="350" t="str">
        <f t="shared" ca="1" si="67"/>
        <v>OK</v>
      </c>
    </row>
    <row r="2133" spans="1:17">
      <c r="A2133" s="366" t="s">
        <v>4089</v>
      </c>
      <c r="B2133" s="366" t="s">
        <v>231</v>
      </c>
      <c r="C2133" s="348" t="str">
        <f>DATA_PROPERTY_MASTER!$A$11</f>
        <v>BLD_EE</v>
      </c>
      <c r="D2133" s="380">
        <f>'00_PORTFOLIO ROLLUP'!K$12</f>
        <v>2031</v>
      </c>
      <c r="E2133" s="366" t="s">
        <v>1683</v>
      </c>
      <c r="F2133" s="366" t="s">
        <v>1697</v>
      </c>
      <c r="G2133" s="348" t="str">
        <f>"'"&amp;$C2133&amp;"'!$E$44:$Y$44"</f>
        <v>'BLD_EE'!$E$44:$Y$44</v>
      </c>
      <c r="H2133" s="381">
        <f ca="1">IF(IFERROR(INDEX(DATA_PROPERTY_MASTER!$E$5:$E$21,MATCH($C2133,DATA_PROPERTY_MASTER!$A$5:$A$21,0))="Yes",FALSE),IFERROR(INDEX(INDIRECT("'"&amp;$C2133&amp;"'!$E$44:$Y$44"),1,MATCH($D2133,INDIRECT("'"&amp;$C2133&amp;"'!$E$12:$Y$12"),0)),0),0)</f>
        <v>6081.2770640256003</v>
      </c>
      <c r="I2133" s="366" t="s">
        <v>1690</v>
      </c>
      <c r="J2133" s="348" t="str">
        <f t="shared" ca="1" si="66"/>
        <v>OK</v>
      </c>
      <c r="K2133" s="366" t="s">
        <v>1699</v>
      </c>
      <c r="L2133" s="366" t="s">
        <v>2240</v>
      </c>
      <c r="M2133" s="350" t="str">
        <f>IF($B2133="Portfolio","Portfolio",IFERROR(INDEX(DATA_ASSET_CLASSIFICATION!$B$8:$B$24,MATCH($C2133,DATA_ASSET_CLASSIFICATION!$A$8:$A$24,0)),"Review"))</f>
        <v>Evelyn Estates</v>
      </c>
      <c r="N2133" s="350" t="str">
        <f ca="1">IF($B2133="Portfolio","Portfolio",IFERROR(INDEX(DATA_ASSET_CLASSIFICATION!$U$8:$U$24,MATCH($C2133,DATA_ASSET_CLASSIFICATION!$A$8:$A$24,0)),"Review"))</f>
        <v>Refi Watch</v>
      </c>
      <c r="O2133" s="350" t="str">
        <f ca="1">IF($B2133="Portfolio","Portfolio",IFERROR(INDEX(DATA_ASSET_CLASSIFICATION!$AB$8:$AB$13,MATCH($N2133,DATA_ASSET_CLASSIFICATION!$AA$8:$AA$13,0)),"Review"))</f>
        <v>Bucket 2 · Legacy</v>
      </c>
      <c r="P2133" s="350" t="str">
        <f>IF($B2133="Portfolio","Portfolio",IFERROR(INDEX(DATA_ASSET_CLASSIFICATION!$C$8:$C$24,MATCH($C2133,DATA_ASSET_CLASSIFICATION!$A$8:$A$24,0)),"Review"))</f>
        <v>Yes</v>
      </c>
      <c r="Q2133" s="350" t="str">
        <f t="shared" ca="1" si="67"/>
        <v>OK</v>
      </c>
    </row>
    <row r="2134" spans="1:17">
      <c r="A2134" s="366" t="s">
        <v>4090</v>
      </c>
      <c r="B2134" s="366" t="s">
        <v>231</v>
      </c>
      <c r="C2134" s="348" t="str">
        <f>DATA_PROPERTY_MASTER!$A$11</f>
        <v>BLD_EE</v>
      </c>
      <c r="D2134" s="380">
        <f>'00_PORTFOLIO ROLLUP'!K$12</f>
        <v>2031</v>
      </c>
      <c r="E2134" s="366" t="s">
        <v>1683</v>
      </c>
      <c r="F2134" s="366" t="s">
        <v>21</v>
      </c>
      <c r="G2134" s="348" t="str">
        <f>"'"&amp;$C2134&amp;"'!$E$45:$Y$45"</f>
        <v>'BLD_EE'!$E$45:$Y$45</v>
      </c>
      <c r="H2134" s="381">
        <f ca="1">IF(IFERROR(INDEX(DATA_PROPERTY_MASTER!$E$5:$E$21,MATCH($C2134,DATA_PROPERTY_MASTER!$A$5:$A$21,0))="Yes",FALSE),IFERROR(INDEX(INDIRECT("'"&amp;$C2134&amp;"'!$E$45:$Y$45"),1,MATCH($D2134,INDIRECT("'"&amp;$C2134&amp;"'!$E$12:$Y$12"),0)),0),0)</f>
        <v>285603.29772143019</v>
      </c>
      <c r="I2134" s="366" t="s">
        <v>1685</v>
      </c>
      <c r="J2134" s="348" t="str">
        <f t="shared" ca="1" si="66"/>
        <v>OK</v>
      </c>
      <c r="K2134" s="366" t="s">
        <v>1694</v>
      </c>
      <c r="L2134" s="366" t="s">
        <v>2242</v>
      </c>
      <c r="M2134" s="350" t="str">
        <f>IF($B2134="Portfolio","Portfolio",IFERROR(INDEX(DATA_ASSET_CLASSIFICATION!$B$8:$B$24,MATCH($C2134,DATA_ASSET_CLASSIFICATION!$A$8:$A$24,0)),"Review"))</f>
        <v>Evelyn Estates</v>
      </c>
      <c r="N2134" s="350" t="str">
        <f ca="1">IF($B2134="Portfolio","Portfolio",IFERROR(INDEX(DATA_ASSET_CLASSIFICATION!$U$8:$U$24,MATCH($C2134,DATA_ASSET_CLASSIFICATION!$A$8:$A$24,0)),"Review"))</f>
        <v>Refi Watch</v>
      </c>
      <c r="O2134" s="350" t="str">
        <f ca="1">IF($B2134="Portfolio","Portfolio",IFERROR(INDEX(DATA_ASSET_CLASSIFICATION!$AB$8:$AB$13,MATCH($N2134,DATA_ASSET_CLASSIFICATION!$AA$8:$AA$13,0)),"Review"))</f>
        <v>Bucket 2 · Legacy</v>
      </c>
      <c r="P2134" s="350" t="str">
        <f>IF($B2134="Portfolio","Portfolio",IFERROR(INDEX(DATA_ASSET_CLASSIFICATION!$C$8:$C$24,MATCH($C2134,DATA_ASSET_CLASSIFICATION!$A$8:$A$24,0)),"Review"))</f>
        <v>Yes</v>
      </c>
      <c r="Q2134" s="350" t="str">
        <f t="shared" ca="1" si="67"/>
        <v>OK</v>
      </c>
    </row>
    <row r="2135" spans="1:17">
      <c r="A2135" s="366" t="s">
        <v>4091</v>
      </c>
      <c r="B2135" s="366" t="s">
        <v>231</v>
      </c>
      <c r="C2135" s="348" t="str">
        <f>DATA_PROPERTY_MASTER!$A$11</f>
        <v>BLD_EE</v>
      </c>
      <c r="D2135" s="380">
        <f>'00_PORTFOLIO ROLLUP'!K$12</f>
        <v>2031</v>
      </c>
      <c r="E2135" s="366" t="s">
        <v>23</v>
      </c>
      <c r="F2135" s="366" t="s">
        <v>23</v>
      </c>
      <c r="G2135" s="348" t="str">
        <f>"'"&amp;$C2135&amp;"'!$E$48:$Y$48"</f>
        <v>'BLD_EE'!$E$48:$Y$48</v>
      </c>
      <c r="H2135" s="381">
        <f ca="1">IF(IFERROR(INDEX(DATA_PROPERTY_MASTER!$E$5:$E$21,MATCH($C2135,DATA_PROPERTY_MASTER!$A$5:$A$21,0))="Yes",FALSE),IFERROR(INDEX(INDIRECT("'"&amp;$C2135&amp;"'!$E$48:$Y$48"),1,MATCH($D2135,INDIRECT("'"&amp;$C2135&amp;"'!$E$12:$Y$12"),0)),0),0)</f>
        <v>0</v>
      </c>
      <c r="I2135" s="366" t="s">
        <v>1690</v>
      </c>
      <c r="J2135" s="348" t="str">
        <f t="shared" ca="1" si="66"/>
        <v>OK</v>
      </c>
      <c r="K2135" s="366" t="s">
        <v>1706</v>
      </c>
      <c r="L2135" s="366" t="s">
        <v>2244</v>
      </c>
      <c r="M2135" s="350" t="str">
        <f>IF($B2135="Portfolio","Portfolio",IFERROR(INDEX(DATA_ASSET_CLASSIFICATION!$B$8:$B$24,MATCH($C2135,DATA_ASSET_CLASSIFICATION!$A$8:$A$24,0)),"Review"))</f>
        <v>Evelyn Estates</v>
      </c>
      <c r="N2135" s="350" t="str">
        <f ca="1">IF($B2135="Portfolio","Portfolio",IFERROR(INDEX(DATA_ASSET_CLASSIFICATION!$U$8:$U$24,MATCH($C2135,DATA_ASSET_CLASSIFICATION!$A$8:$A$24,0)),"Review"))</f>
        <v>Refi Watch</v>
      </c>
      <c r="O2135" s="350" t="str">
        <f ca="1">IF($B2135="Portfolio","Portfolio",IFERROR(INDEX(DATA_ASSET_CLASSIFICATION!$AB$8:$AB$13,MATCH($N2135,DATA_ASSET_CLASSIFICATION!$AA$8:$AA$13,0)),"Review"))</f>
        <v>Bucket 2 · Legacy</v>
      </c>
      <c r="P2135" s="350" t="str">
        <f>IF($B2135="Portfolio","Portfolio",IFERROR(INDEX(DATA_ASSET_CLASSIFICATION!$C$8:$C$24,MATCH($C2135,DATA_ASSET_CLASSIFICATION!$A$8:$A$24,0)),"Review"))</f>
        <v>Yes</v>
      </c>
      <c r="Q2135" s="350" t="str">
        <f t="shared" ca="1" si="67"/>
        <v>OK</v>
      </c>
    </row>
    <row r="2136" spans="1:17">
      <c r="A2136" s="366" t="s">
        <v>4092</v>
      </c>
      <c r="B2136" s="366" t="s">
        <v>231</v>
      </c>
      <c r="C2136" s="348" t="str">
        <f>DATA_PROPERTY_MASTER!$A$11</f>
        <v>BLD_EE</v>
      </c>
      <c r="D2136" s="380">
        <f>'00_PORTFOLIO ROLLUP'!K$12</f>
        <v>2031</v>
      </c>
      <c r="E2136" s="366" t="s">
        <v>1683</v>
      </c>
      <c r="F2136" s="366" t="s">
        <v>25</v>
      </c>
      <c r="G2136" s="348" t="str">
        <f>"'"&amp;$C2136&amp;"'!$E$52:$Y$52"</f>
        <v>'BLD_EE'!$E$52:$Y$52</v>
      </c>
      <c r="H2136" s="381">
        <f ca="1">IF(IFERROR(INDEX(DATA_PROPERTY_MASTER!$E$5:$E$21,MATCH($C2136,DATA_PROPERTY_MASTER!$A$5:$A$21,0))="Yes",FALSE),IFERROR(INDEX(INDIRECT("'"&amp;$C2136&amp;"'!$E$52:$Y$52"),1,MATCH($D2136,INDIRECT("'"&amp;$C2136&amp;"'!$E$12:$Y$12"),0)),0),0)</f>
        <v>291684.57478545577</v>
      </c>
      <c r="I2136" s="366" t="s">
        <v>1685</v>
      </c>
      <c r="J2136" s="348" t="str">
        <f t="shared" ca="1" si="66"/>
        <v>OK</v>
      </c>
      <c r="K2136" s="366" t="s">
        <v>1710</v>
      </c>
      <c r="L2136" s="366" t="s">
        <v>2246</v>
      </c>
      <c r="M2136" s="350" t="str">
        <f>IF($B2136="Portfolio","Portfolio",IFERROR(INDEX(DATA_ASSET_CLASSIFICATION!$B$8:$B$24,MATCH($C2136,DATA_ASSET_CLASSIFICATION!$A$8:$A$24,0)),"Review"))</f>
        <v>Evelyn Estates</v>
      </c>
      <c r="N2136" s="350" t="str">
        <f ca="1">IF($B2136="Portfolio","Portfolio",IFERROR(INDEX(DATA_ASSET_CLASSIFICATION!$U$8:$U$24,MATCH($C2136,DATA_ASSET_CLASSIFICATION!$A$8:$A$24,0)),"Review"))</f>
        <v>Refi Watch</v>
      </c>
      <c r="O2136" s="350" t="str">
        <f ca="1">IF($B2136="Portfolio","Portfolio",IFERROR(INDEX(DATA_ASSET_CLASSIFICATION!$AB$8:$AB$13,MATCH($N2136,DATA_ASSET_CLASSIFICATION!$AA$8:$AA$13,0)),"Review"))</f>
        <v>Bucket 2 · Legacy</v>
      </c>
      <c r="P2136" s="350" t="str">
        <f>IF($B2136="Portfolio","Portfolio",IFERROR(INDEX(DATA_ASSET_CLASSIFICATION!$C$8:$C$24,MATCH($C2136,DATA_ASSET_CLASSIFICATION!$A$8:$A$24,0)),"Review"))</f>
        <v>Yes</v>
      </c>
      <c r="Q2136" s="350" t="str">
        <f t="shared" ca="1" si="67"/>
        <v>OK</v>
      </c>
    </row>
    <row r="2137" spans="1:17">
      <c r="A2137" s="366" t="s">
        <v>4093</v>
      </c>
      <c r="B2137" s="366" t="s">
        <v>231</v>
      </c>
      <c r="C2137" s="348" t="str">
        <f>DATA_PROPERTY_MASTER!$A$11</f>
        <v>BLD_EE</v>
      </c>
      <c r="D2137" s="380">
        <f>'00_PORTFOLIO ROLLUP'!K$12</f>
        <v>2031</v>
      </c>
      <c r="E2137" s="366" t="s">
        <v>1683</v>
      </c>
      <c r="F2137" s="366" t="s">
        <v>27</v>
      </c>
      <c r="G2137" s="348" t="str">
        <f>"'"&amp;$C2137&amp;"'!$E$54:$Y$54"</f>
        <v>'BLD_EE'!$E$54:$Y$54</v>
      </c>
      <c r="H2137" s="381">
        <f ca="1">IF(IFERROR(INDEX(DATA_PROPERTY_MASTER!$E$5:$E$21,MATCH($C2137,DATA_PROPERTY_MASTER!$A$5:$A$21,0))="Yes",FALSE),IFERROR(INDEX(INDIRECT("'"&amp;$C2137&amp;"'!$E$54:$Y$54"),1,MATCH($D2137,INDIRECT("'"&amp;$C2137&amp;"'!$E$12:$Y$12"),0)),0),0)</f>
        <v>175010.74487127346</v>
      </c>
      <c r="I2137" s="366" t="s">
        <v>1690</v>
      </c>
      <c r="J2137" s="348" t="str">
        <f t="shared" ca="1" si="66"/>
        <v>OK</v>
      </c>
      <c r="K2137" s="366" t="s">
        <v>1714</v>
      </c>
      <c r="L2137" s="366" t="s">
        <v>2248</v>
      </c>
      <c r="M2137" s="350" t="str">
        <f>IF($B2137="Portfolio","Portfolio",IFERROR(INDEX(DATA_ASSET_CLASSIFICATION!$B$8:$B$24,MATCH($C2137,DATA_ASSET_CLASSIFICATION!$A$8:$A$24,0)),"Review"))</f>
        <v>Evelyn Estates</v>
      </c>
      <c r="N2137" s="350" t="str">
        <f ca="1">IF($B2137="Portfolio","Portfolio",IFERROR(INDEX(DATA_ASSET_CLASSIFICATION!$U$8:$U$24,MATCH($C2137,DATA_ASSET_CLASSIFICATION!$A$8:$A$24,0)),"Review"))</f>
        <v>Refi Watch</v>
      </c>
      <c r="O2137" s="350" t="str">
        <f ca="1">IF($B2137="Portfolio","Portfolio",IFERROR(INDEX(DATA_ASSET_CLASSIFICATION!$AB$8:$AB$13,MATCH($N2137,DATA_ASSET_CLASSIFICATION!$AA$8:$AA$13,0)),"Review"))</f>
        <v>Bucket 2 · Legacy</v>
      </c>
      <c r="P2137" s="350" t="str">
        <f>IF($B2137="Portfolio","Portfolio",IFERROR(INDEX(DATA_ASSET_CLASSIFICATION!$C$8:$C$24,MATCH($C2137,DATA_ASSET_CLASSIFICATION!$A$8:$A$24,0)),"Review"))</f>
        <v>Yes</v>
      </c>
      <c r="Q2137" s="350" t="str">
        <f t="shared" ca="1" si="67"/>
        <v>OK</v>
      </c>
    </row>
    <row r="2138" spans="1:17">
      <c r="A2138" s="366" t="s">
        <v>4094</v>
      </c>
      <c r="B2138" s="366" t="s">
        <v>231</v>
      </c>
      <c r="C2138" s="348" t="str">
        <f>DATA_PROPERTY_MASTER!$A$11</f>
        <v>BLD_EE</v>
      </c>
      <c r="D2138" s="380">
        <f>'00_PORTFOLIO ROLLUP'!K$12</f>
        <v>2031</v>
      </c>
      <c r="E2138" s="366" t="s">
        <v>1683</v>
      </c>
      <c r="F2138" s="366" t="s">
        <v>29</v>
      </c>
      <c r="G2138" s="348" t="str">
        <f>"'"&amp;$C2138&amp;"'!$E$56:$Y$56"</f>
        <v>'BLD_EE'!$E$56:$Y$56</v>
      </c>
      <c r="H2138" s="381">
        <f ca="1">IF(IFERROR(INDEX(DATA_PROPERTY_MASTER!$E$5:$E$21,MATCH($C2138,DATA_PROPERTY_MASTER!$A$5:$A$21,0))="Yes",FALSE),IFERROR(INDEX(INDIRECT("'"&amp;$C2138&amp;"'!$E$56:$Y$56"),1,MATCH($D2138,INDIRECT("'"&amp;$C2138&amp;"'!$E$12:$Y$12"),0)),0),0)</f>
        <v>116673.82991418231</v>
      </c>
      <c r="I2138" s="366" t="s">
        <v>1685</v>
      </c>
      <c r="J2138" s="348" t="str">
        <f t="shared" ca="1" si="66"/>
        <v>OK</v>
      </c>
      <c r="K2138" s="366" t="s">
        <v>1718</v>
      </c>
      <c r="L2138" s="366" t="s">
        <v>2250</v>
      </c>
      <c r="M2138" s="350" t="str">
        <f>IF($B2138="Portfolio","Portfolio",IFERROR(INDEX(DATA_ASSET_CLASSIFICATION!$B$8:$B$24,MATCH($C2138,DATA_ASSET_CLASSIFICATION!$A$8:$A$24,0)),"Review"))</f>
        <v>Evelyn Estates</v>
      </c>
      <c r="N2138" s="350" t="str">
        <f ca="1">IF($B2138="Portfolio","Portfolio",IFERROR(INDEX(DATA_ASSET_CLASSIFICATION!$U$8:$U$24,MATCH($C2138,DATA_ASSET_CLASSIFICATION!$A$8:$A$24,0)),"Review"))</f>
        <v>Refi Watch</v>
      </c>
      <c r="O2138" s="350" t="str">
        <f ca="1">IF($B2138="Portfolio","Portfolio",IFERROR(INDEX(DATA_ASSET_CLASSIFICATION!$AB$8:$AB$13,MATCH($N2138,DATA_ASSET_CLASSIFICATION!$AA$8:$AA$13,0)),"Review"))</f>
        <v>Bucket 2 · Legacy</v>
      </c>
      <c r="P2138" s="350" t="str">
        <f>IF($B2138="Portfolio","Portfolio",IFERROR(INDEX(DATA_ASSET_CLASSIFICATION!$C$8:$C$24,MATCH($C2138,DATA_ASSET_CLASSIFICATION!$A$8:$A$24,0)),"Review"))</f>
        <v>Yes</v>
      </c>
      <c r="Q2138" s="350" t="str">
        <f t="shared" ca="1" si="67"/>
        <v>OK</v>
      </c>
    </row>
    <row r="2139" spans="1:17">
      <c r="A2139" s="366" t="s">
        <v>4095</v>
      </c>
      <c r="B2139" s="366" t="s">
        <v>231</v>
      </c>
      <c r="C2139" s="348" t="str">
        <f>DATA_PROPERTY_MASTER!$A$11</f>
        <v>BLD_EE</v>
      </c>
      <c r="D2139" s="380">
        <f>'00_PORTFOLIO ROLLUP'!K$12</f>
        <v>2031</v>
      </c>
      <c r="E2139" s="366" t="s">
        <v>1721</v>
      </c>
      <c r="F2139" s="366" t="s">
        <v>31</v>
      </c>
      <c r="G2139" s="348" t="str">
        <f>"'"&amp;$C2139&amp;"'!$E$61:$Y$61"</f>
        <v>'BLD_EE'!$E$61:$Y$61</v>
      </c>
      <c r="H2139" s="381">
        <f ca="1">IF(IFERROR(INDEX(DATA_PROPERTY_MASTER!$E$5:$E$21,MATCH($C2139,DATA_PROPERTY_MASTER!$A$5:$A$21,0))="Yes",FALSE),IFERROR(INDEX(INDIRECT("'"&amp;$C2139&amp;"'!$E$61:$Y$61"),1,MATCH($D2139,INDIRECT("'"&amp;$C2139&amp;"'!$E$12:$Y$12"),0)),0),0)</f>
        <v>0</v>
      </c>
      <c r="I2139" s="366" t="s">
        <v>1690</v>
      </c>
      <c r="J2139" s="348" t="str">
        <f t="shared" ca="1" si="66"/>
        <v>OK</v>
      </c>
      <c r="K2139" s="366" t="s">
        <v>1723</v>
      </c>
      <c r="L2139" s="366" t="s">
        <v>2252</v>
      </c>
      <c r="M2139" s="350" t="str">
        <f>IF($B2139="Portfolio","Portfolio",IFERROR(INDEX(DATA_ASSET_CLASSIFICATION!$B$8:$B$24,MATCH($C2139,DATA_ASSET_CLASSIFICATION!$A$8:$A$24,0)),"Review"))</f>
        <v>Evelyn Estates</v>
      </c>
      <c r="N2139" s="350" t="str">
        <f ca="1">IF($B2139="Portfolio","Portfolio",IFERROR(INDEX(DATA_ASSET_CLASSIFICATION!$U$8:$U$24,MATCH($C2139,DATA_ASSET_CLASSIFICATION!$A$8:$A$24,0)),"Review"))</f>
        <v>Refi Watch</v>
      </c>
      <c r="O2139" s="350" t="str">
        <f ca="1">IF($B2139="Portfolio","Portfolio",IFERROR(INDEX(DATA_ASSET_CLASSIFICATION!$AB$8:$AB$13,MATCH($N2139,DATA_ASSET_CLASSIFICATION!$AA$8:$AA$13,0)),"Review"))</f>
        <v>Bucket 2 · Legacy</v>
      </c>
      <c r="P2139" s="350" t="str">
        <f>IF($B2139="Portfolio","Portfolio",IFERROR(INDEX(DATA_ASSET_CLASSIFICATION!$C$8:$C$24,MATCH($C2139,DATA_ASSET_CLASSIFICATION!$A$8:$A$24,0)),"Review"))</f>
        <v>Yes</v>
      </c>
      <c r="Q2139" s="350" t="str">
        <f t="shared" ca="1" si="67"/>
        <v>OK</v>
      </c>
    </row>
    <row r="2140" spans="1:17">
      <c r="A2140" s="366" t="s">
        <v>4096</v>
      </c>
      <c r="B2140" s="366" t="s">
        <v>231</v>
      </c>
      <c r="C2140" s="348" t="str">
        <f>DATA_PROPERTY_MASTER!$A$11</f>
        <v>BLD_EE</v>
      </c>
      <c r="D2140" s="380">
        <f>'00_PORTFOLIO ROLLUP'!K$12</f>
        <v>2031</v>
      </c>
      <c r="E2140" s="366" t="s">
        <v>1721</v>
      </c>
      <c r="F2140" s="366" t="s">
        <v>33</v>
      </c>
      <c r="G2140" s="348" t="str">
        <f>"'"&amp;$C2140&amp;"'!$E$62:$Y$62"</f>
        <v>'BLD_EE'!$E$62:$Y$62</v>
      </c>
      <c r="H2140" s="381">
        <f ca="1">IF(IFERROR(INDEX(DATA_PROPERTY_MASTER!$E$5:$E$21,MATCH($C2140,DATA_PROPERTY_MASTER!$A$5:$A$21,0))="Yes",FALSE),IFERROR(INDEX(INDIRECT("'"&amp;$C2140&amp;"'!$E$62:$Y$62"),1,MATCH($D2140,INDIRECT("'"&amp;$C2140&amp;"'!$E$12:$Y$12"),0)),0),0)</f>
        <v>0</v>
      </c>
      <c r="I2140" s="366" t="s">
        <v>1685</v>
      </c>
      <c r="J2140" s="348" t="str">
        <f t="shared" ca="1" si="66"/>
        <v>OK</v>
      </c>
      <c r="K2140" s="366" t="s">
        <v>1727</v>
      </c>
      <c r="L2140" s="366" t="s">
        <v>2254</v>
      </c>
      <c r="M2140" s="350" t="str">
        <f>IF($B2140="Portfolio","Portfolio",IFERROR(INDEX(DATA_ASSET_CLASSIFICATION!$B$8:$B$24,MATCH($C2140,DATA_ASSET_CLASSIFICATION!$A$8:$A$24,0)),"Review"))</f>
        <v>Evelyn Estates</v>
      </c>
      <c r="N2140" s="350" t="str">
        <f ca="1">IF($B2140="Portfolio","Portfolio",IFERROR(INDEX(DATA_ASSET_CLASSIFICATION!$U$8:$U$24,MATCH($C2140,DATA_ASSET_CLASSIFICATION!$A$8:$A$24,0)),"Review"))</f>
        <v>Refi Watch</v>
      </c>
      <c r="O2140" s="350" t="str">
        <f ca="1">IF($B2140="Portfolio","Portfolio",IFERROR(INDEX(DATA_ASSET_CLASSIFICATION!$AB$8:$AB$13,MATCH($N2140,DATA_ASSET_CLASSIFICATION!$AA$8:$AA$13,0)),"Review"))</f>
        <v>Bucket 2 · Legacy</v>
      </c>
      <c r="P2140" s="350" t="str">
        <f>IF($B2140="Portfolio","Portfolio",IFERROR(INDEX(DATA_ASSET_CLASSIFICATION!$C$8:$C$24,MATCH($C2140,DATA_ASSET_CLASSIFICATION!$A$8:$A$24,0)),"Review"))</f>
        <v>Yes</v>
      </c>
      <c r="Q2140" s="350" t="str">
        <f t="shared" ca="1" si="67"/>
        <v>OK</v>
      </c>
    </row>
    <row r="2141" spans="1:17">
      <c r="A2141" s="366" t="s">
        <v>4097</v>
      </c>
      <c r="B2141" s="366" t="s">
        <v>231</v>
      </c>
      <c r="C2141" s="348" t="str">
        <f>DATA_PROPERTY_MASTER!$A$11</f>
        <v>BLD_EE</v>
      </c>
      <c r="D2141" s="380">
        <f>'00_PORTFOLIO ROLLUP'!K$12</f>
        <v>2031</v>
      </c>
      <c r="E2141" s="366" t="s">
        <v>1721</v>
      </c>
      <c r="F2141" s="366" t="s">
        <v>35</v>
      </c>
      <c r="G2141" s="348" t="str">
        <f>"'"&amp;$C2141&amp;"'!$E$63:$Y$63"</f>
        <v>'BLD_EE'!$E$63:$Y$63</v>
      </c>
      <c r="H2141" s="381">
        <f ca="1">IF(IFERROR(INDEX(DATA_PROPERTY_MASTER!$E$5:$E$21,MATCH($C2141,DATA_PROPERTY_MASTER!$A$5:$A$21,0))="Yes",FALSE),IFERROR(INDEX(INDIRECT("'"&amp;$C2141&amp;"'!$E$63:$Y$63"),1,MATCH($D2141,INDIRECT("'"&amp;$C2141&amp;"'!$E$12:$Y$12"),0)),0),0)</f>
        <v>0</v>
      </c>
      <c r="I2141" s="366" t="s">
        <v>1731</v>
      </c>
      <c r="J2141" s="348" t="str">
        <f t="shared" ca="1" si="66"/>
        <v>OK</v>
      </c>
      <c r="K2141" s="366" t="s">
        <v>1732</v>
      </c>
      <c r="L2141" s="366" t="s">
        <v>2256</v>
      </c>
      <c r="M2141" s="350" t="str">
        <f>IF($B2141="Portfolio","Portfolio",IFERROR(INDEX(DATA_ASSET_CLASSIFICATION!$B$8:$B$24,MATCH($C2141,DATA_ASSET_CLASSIFICATION!$A$8:$A$24,0)),"Review"))</f>
        <v>Evelyn Estates</v>
      </c>
      <c r="N2141" s="350" t="str">
        <f ca="1">IF($B2141="Portfolio","Portfolio",IFERROR(INDEX(DATA_ASSET_CLASSIFICATION!$U$8:$U$24,MATCH($C2141,DATA_ASSET_CLASSIFICATION!$A$8:$A$24,0)),"Review"))</f>
        <v>Refi Watch</v>
      </c>
      <c r="O2141" s="350" t="str">
        <f ca="1">IF($B2141="Portfolio","Portfolio",IFERROR(INDEX(DATA_ASSET_CLASSIFICATION!$AB$8:$AB$13,MATCH($N2141,DATA_ASSET_CLASSIFICATION!$AA$8:$AA$13,0)),"Review"))</f>
        <v>Bucket 2 · Legacy</v>
      </c>
      <c r="P2141" s="350" t="str">
        <f>IF($B2141="Portfolio","Portfolio",IFERROR(INDEX(DATA_ASSET_CLASSIFICATION!$C$8:$C$24,MATCH($C2141,DATA_ASSET_CLASSIFICATION!$A$8:$A$24,0)),"Review"))</f>
        <v>Yes</v>
      </c>
      <c r="Q2141" s="350" t="str">
        <f t="shared" ca="1" si="67"/>
        <v>OK</v>
      </c>
    </row>
    <row r="2142" spans="1:17">
      <c r="A2142" s="366" t="s">
        <v>4098</v>
      </c>
      <c r="B2142" s="366" t="s">
        <v>231</v>
      </c>
      <c r="C2142" s="348" t="str">
        <f>DATA_PROPERTY_MASTER!$A$11</f>
        <v>BLD_EE</v>
      </c>
      <c r="D2142" s="380">
        <f>'00_PORTFOLIO ROLLUP'!K$12</f>
        <v>2031</v>
      </c>
      <c r="E2142" s="366" t="s">
        <v>1721</v>
      </c>
      <c r="F2142" s="366" t="s">
        <v>37</v>
      </c>
      <c r="G2142" s="348" t="str">
        <f>"'"&amp;$C2142&amp;"'!$E$63:$Y$63"</f>
        <v>'BLD_EE'!$E$63:$Y$63</v>
      </c>
      <c r="H2142" s="381">
        <f ca="1">IF(IFERROR(INDEX(DATA_PROPERTY_MASTER!$E$5:$E$21,MATCH($C2142,DATA_PROPERTY_MASTER!$A$5:$A$21,0))="Yes",FALSE),MAX(IFERROR(INDEX(INDIRECT("'"&amp;$C2142&amp;"'!$E$63:$Y$63"),1,MATCH($D2142,INDIRECT("'"&amp;$C2142&amp;"'!$E$12:$Y$12"),0)),0),0),0)</f>
        <v>0</v>
      </c>
      <c r="I2142" s="366" t="s">
        <v>1685</v>
      </c>
      <c r="J2142" s="348" t="str">
        <f t="shared" ca="1" si="66"/>
        <v>OK</v>
      </c>
      <c r="K2142" s="366" t="s">
        <v>1735</v>
      </c>
      <c r="L2142" s="366" t="s">
        <v>2258</v>
      </c>
      <c r="M2142" s="350" t="str">
        <f>IF($B2142="Portfolio","Portfolio",IFERROR(INDEX(DATA_ASSET_CLASSIFICATION!$B$8:$B$24,MATCH($C2142,DATA_ASSET_CLASSIFICATION!$A$8:$A$24,0)),"Review"))</f>
        <v>Evelyn Estates</v>
      </c>
      <c r="N2142" s="350" t="str">
        <f ca="1">IF($B2142="Portfolio","Portfolio",IFERROR(INDEX(DATA_ASSET_CLASSIFICATION!$U$8:$U$24,MATCH($C2142,DATA_ASSET_CLASSIFICATION!$A$8:$A$24,0)),"Review"))</f>
        <v>Refi Watch</v>
      </c>
      <c r="O2142" s="350" t="str">
        <f ca="1">IF($B2142="Portfolio","Portfolio",IFERROR(INDEX(DATA_ASSET_CLASSIFICATION!$AB$8:$AB$13,MATCH($N2142,DATA_ASSET_CLASSIFICATION!$AA$8:$AA$13,0)),"Review"))</f>
        <v>Bucket 2 · Legacy</v>
      </c>
      <c r="P2142" s="350" t="str">
        <f>IF($B2142="Portfolio","Portfolio",IFERROR(INDEX(DATA_ASSET_CLASSIFICATION!$C$8:$C$24,MATCH($C2142,DATA_ASSET_CLASSIFICATION!$A$8:$A$24,0)),"Review"))</f>
        <v>Yes</v>
      </c>
      <c r="Q2142" s="350" t="str">
        <f t="shared" ca="1" si="67"/>
        <v>OK</v>
      </c>
    </row>
    <row r="2143" spans="1:17">
      <c r="A2143" s="366" t="s">
        <v>4099</v>
      </c>
      <c r="B2143" s="366" t="s">
        <v>231</v>
      </c>
      <c r="C2143" s="348" t="str">
        <f>DATA_PROPERTY_MASTER!$A$11</f>
        <v>BLD_EE</v>
      </c>
      <c r="D2143" s="380">
        <f>'00_PORTFOLIO ROLLUP'!K$12</f>
        <v>2031</v>
      </c>
      <c r="E2143" s="366" t="s">
        <v>1721</v>
      </c>
      <c r="F2143" s="366" t="s">
        <v>39</v>
      </c>
      <c r="G2143" s="348" t="str">
        <f>"'"&amp;$C2143&amp;"'!$E$63:$Y$63"</f>
        <v>'BLD_EE'!$E$63:$Y$63</v>
      </c>
      <c r="H2143" s="381">
        <f ca="1">IF(IFERROR(INDEX(DATA_PROPERTY_MASTER!$E$5:$E$21,MATCH($C2143,DATA_PROPERTY_MASTER!$A$5:$A$21,0))="Yes",FALSE),MAX(-IFERROR(INDEX(INDIRECT("'"&amp;$C2143&amp;"'!$E$63:$Y$63"),1,MATCH($D2143,INDIRECT("'"&amp;$C2143&amp;"'!$E$12:$Y$12"),0)),0),0),0)</f>
        <v>0</v>
      </c>
      <c r="I2143" s="366" t="s">
        <v>1690</v>
      </c>
      <c r="J2143" s="348" t="str">
        <f t="shared" ca="1" si="66"/>
        <v>OK</v>
      </c>
      <c r="K2143" s="366" t="s">
        <v>1738</v>
      </c>
      <c r="L2143" s="366" t="s">
        <v>2260</v>
      </c>
      <c r="M2143" s="350" t="str">
        <f>IF($B2143="Portfolio","Portfolio",IFERROR(INDEX(DATA_ASSET_CLASSIFICATION!$B$8:$B$24,MATCH($C2143,DATA_ASSET_CLASSIFICATION!$A$8:$A$24,0)),"Review"))</f>
        <v>Evelyn Estates</v>
      </c>
      <c r="N2143" s="350" t="str">
        <f ca="1">IF($B2143="Portfolio","Portfolio",IFERROR(INDEX(DATA_ASSET_CLASSIFICATION!$U$8:$U$24,MATCH($C2143,DATA_ASSET_CLASSIFICATION!$A$8:$A$24,0)),"Review"))</f>
        <v>Refi Watch</v>
      </c>
      <c r="O2143" s="350" t="str">
        <f ca="1">IF($B2143="Portfolio","Portfolio",IFERROR(INDEX(DATA_ASSET_CLASSIFICATION!$AB$8:$AB$13,MATCH($N2143,DATA_ASSET_CLASSIFICATION!$AA$8:$AA$13,0)),"Review"))</f>
        <v>Bucket 2 · Legacy</v>
      </c>
      <c r="P2143" s="350" t="str">
        <f>IF($B2143="Portfolio","Portfolio",IFERROR(INDEX(DATA_ASSET_CLASSIFICATION!$C$8:$C$24,MATCH($C2143,DATA_ASSET_CLASSIFICATION!$A$8:$A$24,0)),"Review"))</f>
        <v>Yes</v>
      </c>
      <c r="Q2143" s="350" t="str">
        <f t="shared" ca="1" si="67"/>
        <v>OK</v>
      </c>
    </row>
    <row r="2144" spans="1:17">
      <c r="A2144" s="366" t="s">
        <v>4100</v>
      </c>
      <c r="B2144" s="366" t="s">
        <v>231</v>
      </c>
      <c r="C2144" s="348" t="str">
        <f>DATA_PROPERTY_MASTER!$A$11</f>
        <v>BLD_EE</v>
      </c>
      <c r="D2144" s="380">
        <f>'00_PORTFOLIO ROLLUP'!K$12</f>
        <v>2031</v>
      </c>
      <c r="E2144" s="366" t="s">
        <v>1741</v>
      </c>
      <c r="F2144" s="366" t="s">
        <v>41</v>
      </c>
      <c r="G2144" s="348" t="str">
        <f>"'"&amp;$C2144&amp;"'!rows 56 + positive row 63"</f>
        <v>'BLD_EE'!rows 56 + positive row 63</v>
      </c>
      <c r="H2144" s="381">
        <f ca="1">IF(IFERROR(INDEX(DATA_PROPERTY_MASTER!$E$5:$E$21,MATCH($C2144,DATA_PROPERTY_MASTER!$A$5:$A$21,0))="Yes",FALSE),IFERROR(INDEX(INDIRECT("'"&amp;$C2144&amp;"'!$E$56:$Y$56"),1,MATCH($D2144,INDIRECT("'"&amp;$C2144&amp;"'!$E$12:$Y$12"),0)),0)+MAX(IFERROR(INDEX(INDIRECT("'"&amp;$C2144&amp;"'!$E$63:$Y$63"),1,MATCH($D2144,INDIRECT("'"&amp;$C2144&amp;"'!$E$12:$Y$12"),0)),0),0),0)</f>
        <v>116673.82991418231</v>
      </c>
      <c r="I2144" s="366" t="s">
        <v>1685</v>
      </c>
      <c r="J2144" s="348" t="str">
        <f t="shared" ca="1" si="66"/>
        <v>OK</v>
      </c>
      <c r="K2144" s="366" t="s">
        <v>1742</v>
      </c>
      <c r="L2144" s="366" t="s">
        <v>2262</v>
      </c>
      <c r="M2144" s="350" t="str">
        <f>IF($B2144="Portfolio","Portfolio",IFERROR(INDEX(DATA_ASSET_CLASSIFICATION!$B$8:$B$24,MATCH($C2144,DATA_ASSET_CLASSIFICATION!$A$8:$A$24,0)),"Review"))</f>
        <v>Evelyn Estates</v>
      </c>
      <c r="N2144" s="350" t="str">
        <f ca="1">IF($B2144="Portfolio","Portfolio",IFERROR(INDEX(DATA_ASSET_CLASSIFICATION!$U$8:$U$24,MATCH($C2144,DATA_ASSET_CLASSIFICATION!$A$8:$A$24,0)),"Review"))</f>
        <v>Refi Watch</v>
      </c>
      <c r="O2144" s="350" t="str">
        <f ca="1">IF($B2144="Portfolio","Portfolio",IFERROR(INDEX(DATA_ASSET_CLASSIFICATION!$AB$8:$AB$13,MATCH($N2144,DATA_ASSET_CLASSIFICATION!$AA$8:$AA$13,0)),"Review"))</f>
        <v>Bucket 2 · Legacy</v>
      </c>
      <c r="P2144" s="350" t="str">
        <f>IF($B2144="Portfolio","Portfolio",IFERROR(INDEX(DATA_ASSET_CLASSIFICATION!$C$8:$C$24,MATCH($C2144,DATA_ASSET_CLASSIFICATION!$A$8:$A$24,0)),"Review"))</f>
        <v>Yes</v>
      </c>
      <c r="Q2144" s="350" t="str">
        <f t="shared" ca="1" si="67"/>
        <v>OK</v>
      </c>
    </row>
    <row r="2145" spans="1:17">
      <c r="A2145" s="366" t="s">
        <v>4101</v>
      </c>
      <c r="B2145" s="366" t="s">
        <v>231</v>
      </c>
      <c r="C2145" s="348" t="str">
        <f>DATA_PROPERTY_MASTER!$A$11</f>
        <v>BLD_EE</v>
      </c>
      <c r="D2145" s="380">
        <f>'00_PORTFOLIO ROLLUP'!K$12</f>
        <v>2031</v>
      </c>
      <c r="E2145" s="366" t="s">
        <v>1741</v>
      </c>
      <c r="F2145" s="366" t="s">
        <v>43</v>
      </c>
      <c r="G2145" s="348" t="str">
        <f>"'"&amp;$C2145&amp;"'!$E$68:$Y$68"</f>
        <v>'BLD_EE'!$E$68:$Y$68</v>
      </c>
      <c r="H2145" s="381">
        <f ca="1">IF(IFERROR(INDEX(DATA_PROPERTY_MASTER!$E$5:$E$21,MATCH($C2145,DATA_PROPERTY_MASTER!$A$5:$A$21,0))="Yes",FALSE),IFERROR(INDEX(INDIRECT("'"&amp;$C2145&amp;"'!$E$68:$Y$68"),1,MATCH($D2145,INDIRECT("'"&amp;$C2145&amp;"'!$E$12:$Y$12"),0)),0),0)</f>
        <v>116673.82991418231</v>
      </c>
      <c r="I2145" s="366" t="s">
        <v>1731</v>
      </c>
      <c r="J2145" s="348" t="str">
        <f t="shared" ca="1" si="66"/>
        <v>OK</v>
      </c>
      <c r="K2145" s="366" t="s">
        <v>1746</v>
      </c>
      <c r="L2145" s="366" t="s">
        <v>2264</v>
      </c>
      <c r="M2145" s="350" t="str">
        <f>IF($B2145="Portfolio","Portfolio",IFERROR(INDEX(DATA_ASSET_CLASSIFICATION!$B$8:$B$24,MATCH($C2145,DATA_ASSET_CLASSIFICATION!$A$8:$A$24,0)),"Review"))</f>
        <v>Evelyn Estates</v>
      </c>
      <c r="N2145" s="350" t="str">
        <f ca="1">IF($B2145="Portfolio","Portfolio",IFERROR(INDEX(DATA_ASSET_CLASSIFICATION!$U$8:$U$24,MATCH($C2145,DATA_ASSET_CLASSIFICATION!$A$8:$A$24,0)),"Review"))</f>
        <v>Refi Watch</v>
      </c>
      <c r="O2145" s="350" t="str">
        <f ca="1">IF($B2145="Portfolio","Portfolio",IFERROR(INDEX(DATA_ASSET_CLASSIFICATION!$AB$8:$AB$13,MATCH($N2145,DATA_ASSET_CLASSIFICATION!$AA$8:$AA$13,0)),"Review"))</f>
        <v>Bucket 2 · Legacy</v>
      </c>
      <c r="P2145" s="350" t="str">
        <f>IF($B2145="Portfolio","Portfolio",IFERROR(INDEX(DATA_ASSET_CLASSIFICATION!$C$8:$C$24,MATCH($C2145,DATA_ASSET_CLASSIFICATION!$A$8:$A$24,0)),"Review"))</f>
        <v>Yes</v>
      </c>
      <c r="Q2145" s="350" t="str">
        <f t="shared" ca="1" si="67"/>
        <v>OK</v>
      </c>
    </row>
    <row r="2146" spans="1:17">
      <c r="A2146" s="366" t="s">
        <v>4102</v>
      </c>
      <c r="B2146" s="366" t="s">
        <v>231</v>
      </c>
      <c r="C2146" s="348" t="str">
        <f>DATA_PROPERTY_MASTER!$A$11</f>
        <v>BLD_EE</v>
      </c>
      <c r="D2146" s="380">
        <f>'00_PORTFOLIO ROLLUP'!K$12</f>
        <v>2031</v>
      </c>
      <c r="E2146" s="366" t="s">
        <v>1741</v>
      </c>
      <c r="F2146" s="366" t="s">
        <v>1749</v>
      </c>
      <c r="G2146" s="348" t="str">
        <f>"'"&amp;$C2146&amp;"'!rows 56, 63, 68"</f>
        <v>'BLD_EE'!rows 56, 63, 68</v>
      </c>
      <c r="H2146" s="381">
        <f ca="1">IF(IFERROR(INDEX(DATA_PROPERTY_MASTER!$E$5:$E$21,MATCH($C2146,DATA_PROPERTY_MASTER!$A$5:$A$21,0))="Yes",FALSE),(IFERROR(INDEX(INDIRECT("'"&amp;$C2146&amp;"'!$E$56:$Y$56"),1,MATCH($D2146,INDIRECT("'"&amp;$C2146&amp;"'!$E$12:$Y$12"),0)),0)+MAX(IFERROR(INDEX(INDIRECT("'"&amp;$C2146&amp;"'!$E$63:$Y$63"),1,MATCH($D2146,INDIRECT("'"&amp;$C2146&amp;"'!$E$12:$Y$12"),0)),0),0))-(IFERROR(INDEX(INDIRECT("'"&amp;$C2146&amp;"'!$E$68:$Y$68"),1,MATCH($D2146,INDIRECT("'"&amp;$C2146&amp;"'!$E$12:$Y$12"),0)),0)),0)</f>
        <v>0</v>
      </c>
      <c r="I2146" s="366" t="s">
        <v>1750</v>
      </c>
      <c r="J2146" s="348" t="str">
        <f t="shared" ca="1" si="66"/>
        <v>OK</v>
      </c>
      <c r="K2146" s="366" t="s">
        <v>1751</v>
      </c>
      <c r="L2146" s="366" t="s">
        <v>2266</v>
      </c>
      <c r="M2146" s="350" t="str">
        <f>IF($B2146="Portfolio","Portfolio",IFERROR(INDEX(DATA_ASSET_CLASSIFICATION!$B$8:$B$24,MATCH($C2146,DATA_ASSET_CLASSIFICATION!$A$8:$A$24,0)),"Review"))</f>
        <v>Evelyn Estates</v>
      </c>
      <c r="N2146" s="350" t="str">
        <f ca="1">IF($B2146="Portfolio","Portfolio",IFERROR(INDEX(DATA_ASSET_CLASSIFICATION!$U$8:$U$24,MATCH($C2146,DATA_ASSET_CLASSIFICATION!$A$8:$A$24,0)),"Review"))</f>
        <v>Refi Watch</v>
      </c>
      <c r="O2146" s="350" t="str">
        <f ca="1">IF($B2146="Portfolio","Portfolio",IFERROR(INDEX(DATA_ASSET_CLASSIFICATION!$AB$8:$AB$13,MATCH($N2146,DATA_ASSET_CLASSIFICATION!$AA$8:$AA$13,0)),"Review"))</f>
        <v>Bucket 2 · Legacy</v>
      </c>
      <c r="P2146" s="350" t="str">
        <f>IF($B2146="Portfolio","Portfolio",IFERROR(INDEX(DATA_ASSET_CLASSIFICATION!$C$8:$C$24,MATCH($C2146,DATA_ASSET_CLASSIFICATION!$A$8:$A$24,0)),"Review"))</f>
        <v>Yes</v>
      </c>
      <c r="Q2146" s="350" t="str">
        <f t="shared" ca="1" si="67"/>
        <v>OK</v>
      </c>
    </row>
    <row r="2147" spans="1:17">
      <c r="A2147" s="366" t="s">
        <v>4103</v>
      </c>
      <c r="B2147" s="366" t="s">
        <v>231</v>
      </c>
      <c r="C2147" s="348" t="str">
        <f>DATA_PROPERTY_MASTER!$A$11</f>
        <v>BLD_EE</v>
      </c>
      <c r="D2147" s="380">
        <f>'00_PORTFOLIO ROLLUP'!L$12</f>
        <v>2032</v>
      </c>
      <c r="E2147" s="366" t="s">
        <v>1683</v>
      </c>
      <c r="F2147" s="366" t="s">
        <v>341</v>
      </c>
      <c r="G2147" s="348" t="str">
        <f>"'"&amp;$C2147&amp;"'!$E$24:$Y$24"</f>
        <v>'BLD_EE'!$E$24:$Y$24</v>
      </c>
      <c r="H2147" s="381">
        <f ca="1">IF(IFERROR(INDEX(DATA_PROPERTY_MASTER!$E$5:$E$21,MATCH($C2147,DATA_PROPERTY_MASTER!$A$5:$A$21,0))="Yes",FALSE),IFERROR(INDEX(INDIRECT("'"&amp;$C2147&amp;"'!$E$24:$Y$24"),1,MATCH($D2147,INDIRECT("'"&amp;$C2147&amp;"'!$E$12:$Y$12"),0)),0),0)</f>
        <v>577556.87470169354</v>
      </c>
      <c r="I2147" s="366" t="s">
        <v>1685</v>
      </c>
      <c r="J2147" s="348" t="str">
        <f t="shared" ca="1" si="66"/>
        <v>OK</v>
      </c>
      <c r="K2147" s="366" t="s">
        <v>1686</v>
      </c>
      <c r="L2147" s="366" t="s">
        <v>2234</v>
      </c>
      <c r="M2147" s="350" t="str">
        <f>IF($B2147="Portfolio","Portfolio",IFERROR(INDEX(DATA_ASSET_CLASSIFICATION!$B$8:$B$24,MATCH($C2147,DATA_ASSET_CLASSIFICATION!$A$8:$A$24,0)),"Review"))</f>
        <v>Evelyn Estates</v>
      </c>
      <c r="N2147" s="350" t="str">
        <f ca="1">IF($B2147="Portfolio","Portfolio",IFERROR(INDEX(DATA_ASSET_CLASSIFICATION!$U$8:$U$24,MATCH($C2147,DATA_ASSET_CLASSIFICATION!$A$8:$A$24,0)),"Review"))</f>
        <v>Refi Watch</v>
      </c>
      <c r="O2147" s="350" t="str">
        <f ca="1">IF($B2147="Portfolio","Portfolio",IFERROR(INDEX(DATA_ASSET_CLASSIFICATION!$AB$8:$AB$13,MATCH($N2147,DATA_ASSET_CLASSIFICATION!$AA$8:$AA$13,0)),"Review"))</f>
        <v>Bucket 2 · Legacy</v>
      </c>
      <c r="P2147" s="350" t="str">
        <f>IF($B2147="Portfolio","Portfolio",IFERROR(INDEX(DATA_ASSET_CLASSIFICATION!$C$8:$C$24,MATCH($C2147,DATA_ASSET_CLASSIFICATION!$A$8:$A$24,0)),"Review"))</f>
        <v>Yes</v>
      </c>
      <c r="Q2147" s="350" t="str">
        <f t="shared" ca="1" si="67"/>
        <v>OK</v>
      </c>
    </row>
    <row r="2148" spans="1:17">
      <c r="A2148" s="366" t="s">
        <v>4104</v>
      </c>
      <c r="B2148" s="366" t="s">
        <v>231</v>
      </c>
      <c r="C2148" s="348" t="str">
        <f>DATA_PROPERTY_MASTER!$A$11</f>
        <v>BLD_EE</v>
      </c>
      <c r="D2148" s="380">
        <f>'00_PORTFOLIO ROLLUP'!L$12</f>
        <v>2032</v>
      </c>
      <c r="E2148" s="366" t="s">
        <v>1683</v>
      </c>
      <c r="F2148" s="366" t="s">
        <v>355</v>
      </c>
      <c r="G2148" s="348" t="str">
        <f>"'"&amp;$C2148&amp;"'!$E$39:$Y$39"</f>
        <v>'BLD_EE'!$E$39:$Y$39</v>
      </c>
      <c r="H2148" s="381">
        <f ca="1">IF(IFERROR(INDEX(DATA_PROPERTY_MASTER!$E$5:$E$21,MATCH($C2148,DATA_PROPERTY_MASTER!$A$5:$A$21,0))="Yes",FALSE),IFERROR(INDEX(INDIRECT("'"&amp;$C2148&amp;"'!$E$39:$Y$39"),1,MATCH($D2148,INDIRECT("'"&amp;$C2148&amp;"'!$E$12:$Y$12"),0)),0),0)</f>
        <v>285529.56152681337</v>
      </c>
      <c r="I2148" s="366" t="s">
        <v>1690</v>
      </c>
      <c r="J2148" s="348" t="str">
        <f t="shared" ca="1" si="66"/>
        <v>OK</v>
      </c>
      <c r="K2148" s="366" t="s">
        <v>1686</v>
      </c>
      <c r="L2148" s="366" t="s">
        <v>2236</v>
      </c>
      <c r="M2148" s="350" t="str">
        <f>IF($B2148="Portfolio","Portfolio",IFERROR(INDEX(DATA_ASSET_CLASSIFICATION!$B$8:$B$24,MATCH($C2148,DATA_ASSET_CLASSIFICATION!$A$8:$A$24,0)),"Review"))</f>
        <v>Evelyn Estates</v>
      </c>
      <c r="N2148" s="350" t="str">
        <f ca="1">IF($B2148="Portfolio","Portfolio",IFERROR(INDEX(DATA_ASSET_CLASSIFICATION!$U$8:$U$24,MATCH($C2148,DATA_ASSET_CLASSIFICATION!$A$8:$A$24,0)),"Review"))</f>
        <v>Refi Watch</v>
      </c>
      <c r="O2148" s="350" t="str">
        <f ca="1">IF($B2148="Portfolio","Portfolio",IFERROR(INDEX(DATA_ASSET_CLASSIFICATION!$AB$8:$AB$13,MATCH($N2148,DATA_ASSET_CLASSIFICATION!$AA$8:$AA$13,0)),"Review"))</f>
        <v>Bucket 2 · Legacy</v>
      </c>
      <c r="P2148" s="350" t="str">
        <f>IF($B2148="Portfolio","Portfolio",IFERROR(INDEX(DATA_ASSET_CLASSIFICATION!$C$8:$C$24,MATCH($C2148,DATA_ASSET_CLASSIFICATION!$A$8:$A$24,0)),"Review"))</f>
        <v>Yes</v>
      </c>
      <c r="Q2148" s="350" t="str">
        <f t="shared" ca="1" si="67"/>
        <v>OK</v>
      </c>
    </row>
    <row r="2149" spans="1:17">
      <c r="A2149" s="366" t="s">
        <v>4105</v>
      </c>
      <c r="B2149" s="366" t="s">
        <v>231</v>
      </c>
      <c r="C2149" s="348" t="str">
        <f>DATA_PROPERTY_MASTER!$A$11</f>
        <v>BLD_EE</v>
      </c>
      <c r="D2149" s="380">
        <f>'00_PORTFOLIO ROLLUP'!L$12</f>
        <v>2032</v>
      </c>
      <c r="E2149" s="366" t="s">
        <v>1683</v>
      </c>
      <c r="F2149" s="366" t="s">
        <v>19</v>
      </c>
      <c r="G2149" s="348" t="str">
        <f>"'"&amp;$C2149&amp;"'!$E$41:$Y$41"</f>
        <v>'BLD_EE'!$E$41:$Y$41</v>
      </c>
      <c r="H2149" s="381">
        <f ca="1">IF(IFERROR(INDEX(DATA_PROPERTY_MASTER!$E$5:$E$21,MATCH($C2149,DATA_PROPERTY_MASTER!$A$5:$A$21,0))="Yes",FALSE),IFERROR(INDEX(INDIRECT("'"&amp;$C2149&amp;"'!$E$41:$Y$41"),1,MATCH($D2149,INDIRECT("'"&amp;$C2149&amp;"'!$E$12:$Y$12"),0)),0),0)</f>
        <v>292027.31317488017</v>
      </c>
      <c r="I2149" s="366" t="s">
        <v>1685</v>
      </c>
      <c r="J2149" s="348" t="str">
        <f t="shared" ca="1" si="66"/>
        <v>OK</v>
      </c>
      <c r="K2149" s="366" t="s">
        <v>1694</v>
      </c>
      <c r="L2149" s="366" t="s">
        <v>2238</v>
      </c>
      <c r="M2149" s="350" t="str">
        <f>IF($B2149="Portfolio","Portfolio",IFERROR(INDEX(DATA_ASSET_CLASSIFICATION!$B$8:$B$24,MATCH($C2149,DATA_ASSET_CLASSIFICATION!$A$8:$A$24,0)),"Review"))</f>
        <v>Evelyn Estates</v>
      </c>
      <c r="N2149" s="350" t="str">
        <f ca="1">IF($B2149="Portfolio","Portfolio",IFERROR(INDEX(DATA_ASSET_CLASSIFICATION!$U$8:$U$24,MATCH($C2149,DATA_ASSET_CLASSIFICATION!$A$8:$A$24,0)),"Review"))</f>
        <v>Refi Watch</v>
      </c>
      <c r="O2149" s="350" t="str">
        <f ca="1">IF($B2149="Portfolio","Portfolio",IFERROR(INDEX(DATA_ASSET_CLASSIFICATION!$AB$8:$AB$13,MATCH($N2149,DATA_ASSET_CLASSIFICATION!$AA$8:$AA$13,0)),"Review"))</f>
        <v>Bucket 2 · Legacy</v>
      </c>
      <c r="P2149" s="350" t="str">
        <f>IF($B2149="Portfolio","Portfolio",IFERROR(INDEX(DATA_ASSET_CLASSIFICATION!$C$8:$C$24,MATCH($C2149,DATA_ASSET_CLASSIFICATION!$A$8:$A$24,0)),"Review"))</f>
        <v>Yes</v>
      </c>
      <c r="Q2149" s="350" t="str">
        <f t="shared" ca="1" si="67"/>
        <v>OK</v>
      </c>
    </row>
    <row r="2150" spans="1:17">
      <c r="A2150" s="366" t="s">
        <v>4106</v>
      </c>
      <c r="B2150" s="366" t="s">
        <v>231</v>
      </c>
      <c r="C2150" s="348" t="str">
        <f>DATA_PROPERTY_MASTER!$A$11</f>
        <v>BLD_EE</v>
      </c>
      <c r="D2150" s="380">
        <f>'00_PORTFOLIO ROLLUP'!L$12</f>
        <v>2032</v>
      </c>
      <c r="E2150" s="366" t="s">
        <v>1683</v>
      </c>
      <c r="F2150" s="366" t="s">
        <v>1697</v>
      </c>
      <c r="G2150" s="348" t="str">
        <f>"'"&amp;$C2150&amp;"'!$E$44:$Y$44"</f>
        <v>'BLD_EE'!$E$44:$Y$44</v>
      </c>
      <c r="H2150" s="381">
        <f ca="1">IF(IFERROR(INDEX(DATA_PROPERTY_MASTER!$E$5:$E$21,MATCH($C2150,DATA_PROPERTY_MASTER!$A$5:$A$21,0))="Yes",FALSE),IFERROR(INDEX(INDIRECT("'"&amp;$C2150&amp;"'!$E$44:$Y$44"),1,MATCH($D2150,INDIRECT("'"&amp;$C2150&amp;"'!$E$12:$Y$12"),0)),0),0)</f>
        <v>6202.9026053061107</v>
      </c>
      <c r="I2150" s="366" t="s">
        <v>1690</v>
      </c>
      <c r="J2150" s="348" t="str">
        <f t="shared" ca="1" si="66"/>
        <v>OK</v>
      </c>
      <c r="K2150" s="366" t="s">
        <v>1699</v>
      </c>
      <c r="L2150" s="366" t="s">
        <v>2240</v>
      </c>
      <c r="M2150" s="350" t="str">
        <f>IF($B2150="Portfolio","Portfolio",IFERROR(INDEX(DATA_ASSET_CLASSIFICATION!$B$8:$B$24,MATCH($C2150,DATA_ASSET_CLASSIFICATION!$A$8:$A$24,0)),"Review"))</f>
        <v>Evelyn Estates</v>
      </c>
      <c r="N2150" s="350" t="str">
        <f ca="1">IF($B2150="Portfolio","Portfolio",IFERROR(INDEX(DATA_ASSET_CLASSIFICATION!$U$8:$U$24,MATCH($C2150,DATA_ASSET_CLASSIFICATION!$A$8:$A$24,0)),"Review"))</f>
        <v>Refi Watch</v>
      </c>
      <c r="O2150" s="350" t="str">
        <f ca="1">IF($B2150="Portfolio","Portfolio",IFERROR(INDEX(DATA_ASSET_CLASSIFICATION!$AB$8:$AB$13,MATCH($N2150,DATA_ASSET_CLASSIFICATION!$AA$8:$AA$13,0)),"Review"))</f>
        <v>Bucket 2 · Legacy</v>
      </c>
      <c r="P2150" s="350" t="str">
        <f>IF($B2150="Portfolio","Portfolio",IFERROR(INDEX(DATA_ASSET_CLASSIFICATION!$C$8:$C$24,MATCH($C2150,DATA_ASSET_CLASSIFICATION!$A$8:$A$24,0)),"Review"))</f>
        <v>Yes</v>
      </c>
      <c r="Q2150" s="350" t="str">
        <f t="shared" ca="1" si="67"/>
        <v>OK</v>
      </c>
    </row>
    <row r="2151" spans="1:17">
      <c r="A2151" s="366" t="s">
        <v>4107</v>
      </c>
      <c r="B2151" s="366" t="s">
        <v>231</v>
      </c>
      <c r="C2151" s="348" t="str">
        <f>DATA_PROPERTY_MASTER!$A$11</f>
        <v>BLD_EE</v>
      </c>
      <c r="D2151" s="380">
        <f>'00_PORTFOLIO ROLLUP'!L$12</f>
        <v>2032</v>
      </c>
      <c r="E2151" s="366" t="s">
        <v>1683</v>
      </c>
      <c r="F2151" s="366" t="s">
        <v>21</v>
      </c>
      <c r="G2151" s="348" t="str">
        <f>"'"&amp;$C2151&amp;"'!$E$45:$Y$45"</f>
        <v>'BLD_EE'!$E$45:$Y$45</v>
      </c>
      <c r="H2151" s="381">
        <f ca="1">IF(IFERROR(INDEX(DATA_PROPERTY_MASTER!$E$5:$E$21,MATCH($C2151,DATA_PROPERTY_MASTER!$A$5:$A$21,0))="Yes",FALSE),IFERROR(INDEX(INDIRECT("'"&amp;$C2151&amp;"'!$E$45:$Y$45"),1,MATCH($D2151,INDIRECT("'"&amp;$C2151&amp;"'!$E$12:$Y$12"),0)),0),0)</f>
        <v>285824.41056957404</v>
      </c>
      <c r="I2151" s="366" t="s">
        <v>1685</v>
      </c>
      <c r="J2151" s="348" t="str">
        <f t="shared" ca="1" si="66"/>
        <v>OK</v>
      </c>
      <c r="K2151" s="366" t="s">
        <v>1694</v>
      </c>
      <c r="L2151" s="366" t="s">
        <v>2242</v>
      </c>
      <c r="M2151" s="350" t="str">
        <f>IF($B2151="Portfolio","Portfolio",IFERROR(INDEX(DATA_ASSET_CLASSIFICATION!$B$8:$B$24,MATCH($C2151,DATA_ASSET_CLASSIFICATION!$A$8:$A$24,0)),"Review"))</f>
        <v>Evelyn Estates</v>
      </c>
      <c r="N2151" s="350" t="str">
        <f ca="1">IF($B2151="Portfolio","Portfolio",IFERROR(INDEX(DATA_ASSET_CLASSIFICATION!$U$8:$U$24,MATCH($C2151,DATA_ASSET_CLASSIFICATION!$A$8:$A$24,0)),"Review"))</f>
        <v>Refi Watch</v>
      </c>
      <c r="O2151" s="350" t="str">
        <f ca="1">IF($B2151="Portfolio","Portfolio",IFERROR(INDEX(DATA_ASSET_CLASSIFICATION!$AB$8:$AB$13,MATCH($N2151,DATA_ASSET_CLASSIFICATION!$AA$8:$AA$13,0)),"Review"))</f>
        <v>Bucket 2 · Legacy</v>
      </c>
      <c r="P2151" s="350" t="str">
        <f>IF($B2151="Portfolio","Portfolio",IFERROR(INDEX(DATA_ASSET_CLASSIFICATION!$C$8:$C$24,MATCH($C2151,DATA_ASSET_CLASSIFICATION!$A$8:$A$24,0)),"Review"))</f>
        <v>Yes</v>
      </c>
      <c r="Q2151" s="350" t="str">
        <f t="shared" ca="1" si="67"/>
        <v>OK</v>
      </c>
    </row>
    <row r="2152" spans="1:17">
      <c r="A2152" s="366" t="s">
        <v>4108</v>
      </c>
      <c r="B2152" s="366" t="s">
        <v>231</v>
      </c>
      <c r="C2152" s="348" t="str">
        <f>DATA_PROPERTY_MASTER!$A$11</f>
        <v>BLD_EE</v>
      </c>
      <c r="D2152" s="380">
        <f>'00_PORTFOLIO ROLLUP'!L$12</f>
        <v>2032</v>
      </c>
      <c r="E2152" s="366" t="s">
        <v>23</v>
      </c>
      <c r="F2152" s="366" t="s">
        <v>23</v>
      </c>
      <c r="G2152" s="348" t="str">
        <f>"'"&amp;$C2152&amp;"'!$E$48:$Y$48"</f>
        <v>'BLD_EE'!$E$48:$Y$48</v>
      </c>
      <c r="H2152" s="381">
        <f ca="1">IF(IFERROR(INDEX(DATA_PROPERTY_MASTER!$E$5:$E$21,MATCH($C2152,DATA_PROPERTY_MASTER!$A$5:$A$21,0))="Yes",FALSE),IFERROR(INDEX(INDIRECT("'"&amp;$C2152&amp;"'!$E$48:$Y$48"),1,MATCH($D2152,INDIRECT("'"&amp;$C2152&amp;"'!$E$12:$Y$12"),0)),0),0)</f>
        <v>0</v>
      </c>
      <c r="I2152" s="366" t="s">
        <v>1690</v>
      </c>
      <c r="J2152" s="348" t="str">
        <f t="shared" ca="1" si="66"/>
        <v>OK</v>
      </c>
      <c r="K2152" s="366" t="s">
        <v>1706</v>
      </c>
      <c r="L2152" s="366" t="s">
        <v>2244</v>
      </c>
      <c r="M2152" s="350" t="str">
        <f>IF($B2152="Portfolio","Portfolio",IFERROR(INDEX(DATA_ASSET_CLASSIFICATION!$B$8:$B$24,MATCH($C2152,DATA_ASSET_CLASSIFICATION!$A$8:$A$24,0)),"Review"))</f>
        <v>Evelyn Estates</v>
      </c>
      <c r="N2152" s="350" t="str">
        <f ca="1">IF($B2152="Portfolio","Portfolio",IFERROR(INDEX(DATA_ASSET_CLASSIFICATION!$U$8:$U$24,MATCH($C2152,DATA_ASSET_CLASSIFICATION!$A$8:$A$24,0)),"Review"))</f>
        <v>Refi Watch</v>
      </c>
      <c r="O2152" s="350" t="str">
        <f ca="1">IF($B2152="Portfolio","Portfolio",IFERROR(INDEX(DATA_ASSET_CLASSIFICATION!$AB$8:$AB$13,MATCH($N2152,DATA_ASSET_CLASSIFICATION!$AA$8:$AA$13,0)),"Review"))</f>
        <v>Bucket 2 · Legacy</v>
      </c>
      <c r="P2152" s="350" t="str">
        <f>IF($B2152="Portfolio","Portfolio",IFERROR(INDEX(DATA_ASSET_CLASSIFICATION!$C$8:$C$24,MATCH($C2152,DATA_ASSET_CLASSIFICATION!$A$8:$A$24,0)),"Review"))</f>
        <v>Yes</v>
      </c>
      <c r="Q2152" s="350" t="str">
        <f t="shared" ca="1" si="67"/>
        <v>OK</v>
      </c>
    </row>
    <row r="2153" spans="1:17">
      <c r="A2153" s="366" t="s">
        <v>4109</v>
      </c>
      <c r="B2153" s="366" t="s">
        <v>231</v>
      </c>
      <c r="C2153" s="348" t="str">
        <f>DATA_PROPERTY_MASTER!$A$11</f>
        <v>BLD_EE</v>
      </c>
      <c r="D2153" s="380">
        <f>'00_PORTFOLIO ROLLUP'!L$12</f>
        <v>2032</v>
      </c>
      <c r="E2153" s="366" t="s">
        <v>1683</v>
      </c>
      <c r="F2153" s="366" t="s">
        <v>25</v>
      </c>
      <c r="G2153" s="348" t="str">
        <f>"'"&amp;$C2153&amp;"'!$E$52:$Y$52"</f>
        <v>'BLD_EE'!$E$52:$Y$52</v>
      </c>
      <c r="H2153" s="381">
        <f ca="1">IF(IFERROR(INDEX(DATA_PROPERTY_MASTER!$E$5:$E$21,MATCH($C2153,DATA_PROPERTY_MASTER!$A$5:$A$21,0))="Yes",FALSE),IFERROR(INDEX(INDIRECT("'"&amp;$C2153&amp;"'!$E$52:$Y$52"),1,MATCH($D2153,INDIRECT("'"&amp;$C2153&amp;"'!$E$12:$Y$12"),0)),0),0)</f>
        <v>292027.31317488017</v>
      </c>
      <c r="I2153" s="366" t="s">
        <v>1685</v>
      </c>
      <c r="J2153" s="348" t="str">
        <f t="shared" ca="1" si="66"/>
        <v>OK</v>
      </c>
      <c r="K2153" s="366" t="s">
        <v>1710</v>
      </c>
      <c r="L2153" s="366" t="s">
        <v>2246</v>
      </c>
      <c r="M2153" s="350" t="str">
        <f>IF($B2153="Portfolio","Portfolio",IFERROR(INDEX(DATA_ASSET_CLASSIFICATION!$B$8:$B$24,MATCH($C2153,DATA_ASSET_CLASSIFICATION!$A$8:$A$24,0)),"Review"))</f>
        <v>Evelyn Estates</v>
      </c>
      <c r="N2153" s="350" t="str">
        <f ca="1">IF($B2153="Portfolio","Portfolio",IFERROR(INDEX(DATA_ASSET_CLASSIFICATION!$U$8:$U$24,MATCH($C2153,DATA_ASSET_CLASSIFICATION!$A$8:$A$24,0)),"Review"))</f>
        <v>Refi Watch</v>
      </c>
      <c r="O2153" s="350" t="str">
        <f ca="1">IF($B2153="Portfolio","Portfolio",IFERROR(INDEX(DATA_ASSET_CLASSIFICATION!$AB$8:$AB$13,MATCH($N2153,DATA_ASSET_CLASSIFICATION!$AA$8:$AA$13,0)),"Review"))</f>
        <v>Bucket 2 · Legacy</v>
      </c>
      <c r="P2153" s="350" t="str">
        <f>IF($B2153="Portfolio","Portfolio",IFERROR(INDEX(DATA_ASSET_CLASSIFICATION!$C$8:$C$24,MATCH($C2153,DATA_ASSET_CLASSIFICATION!$A$8:$A$24,0)),"Review"))</f>
        <v>Yes</v>
      </c>
      <c r="Q2153" s="350" t="str">
        <f t="shared" ca="1" si="67"/>
        <v>OK</v>
      </c>
    </row>
    <row r="2154" spans="1:17">
      <c r="A2154" s="366" t="s">
        <v>4110</v>
      </c>
      <c r="B2154" s="366" t="s">
        <v>231</v>
      </c>
      <c r="C2154" s="348" t="str">
        <f>DATA_PROPERTY_MASTER!$A$11</f>
        <v>BLD_EE</v>
      </c>
      <c r="D2154" s="380">
        <f>'00_PORTFOLIO ROLLUP'!L$12</f>
        <v>2032</v>
      </c>
      <c r="E2154" s="366" t="s">
        <v>1683</v>
      </c>
      <c r="F2154" s="366" t="s">
        <v>27</v>
      </c>
      <c r="G2154" s="348" t="str">
        <f>"'"&amp;$C2154&amp;"'!$E$54:$Y$54"</f>
        <v>'BLD_EE'!$E$54:$Y$54</v>
      </c>
      <c r="H2154" s="381">
        <f ca="1">IF(IFERROR(INDEX(DATA_PROPERTY_MASTER!$E$5:$E$21,MATCH($C2154,DATA_PROPERTY_MASTER!$A$5:$A$21,0))="Yes",FALSE),IFERROR(INDEX(INDIRECT("'"&amp;$C2154&amp;"'!$E$54:$Y$54"),1,MATCH($D2154,INDIRECT("'"&amp;$C2154&amp;"'!$E$12:$Y$12"),0)),0),0)</f>
        <v>175216.38790492809</v>
      </c>
      <c r="I2154" s="366" t="s">
        <v>1690</v>
      </c>
      <c r="J2154" s="348" t="str">
        <f t="shared" ca="1" si="66"/>
        <v>OK</v>
      </c>
      <c r="K2154" s="366" t="s">
        <v>1714</v>
      </c>
      <c r="L2154" s="366" t="s">
        <v>2248</v>
      </c>
      <c r="M2154" s="350" t="str">
        <f>IF($B2154="Portfolio","Portfolio",IFERROR(INDEX(DATA_ASSET_CLASSIFICATION!$B$8:$B$24,MATCH($C2154,DATA_ASSET_CLASSIFICATION!$A$8:$A$24,0)),"Review"))</f>
        <v>Evelyn Estates</v>
      </c>
      <c r="N2154" s="350" t="str">
        <f ca="1">IF($B2154="Portfolio","Portfolio",IFERROR(INDEX(DATA_ASSET_CLASSIFICATION!$U$8:$U$24,MATCH($C2154,DATA_ASSET_CLASSIFICATION!$A$8:$A$24,0)),"Review"))</f>
        <v>Refi Watch</v>
      </c>
      <c r="O2154" s="350" t="str">
        <f ca="1">IF($B2154="Portfolio","Portfolio",IFERROR(INDEX(DATA_ASSET_CLASSIFICATION!$AB$8:$AB$13,MATCH($N2154,DATA_ASSET_CLASSIFICATION!$AA$8:$AA$13,0)),"Review"))</f>
        <v>Bucket 2 · Legacy</v>
      </c>
      <c r="P2154" s="350" t="str">
        <f>IF($B2154="Portfolio","Portfolio",IFERROR(INDEX(DATA_ASSET_CLASSIFICATION!$C$8:$C$24,MATCH($C2154,DATA_ASSET_CLASSIFICATION!$A$8:$A$24,0)),"Review"))</f>
        <v>Yes</v>
      </c>
      <c r="Q2154" s="350" t="str">
        <f t="shared" ca="1" si="67"/>
        <v>OK</v>
      </c>
    </row>
    <row r="2155" spans="1:17">
      <c r="A2155" s="366" t="s">
        <v>4111</v>
      </c>
      <c r="B2155" s="366" t="s">
        <v>231</v>
      </c>
      <c r="C2155" s="348" t="str">
        <f>DATA_PROPERTY_MASTER!$A$11</f>
        <v>BLD_EE</v>
      </c>
      <c r="D2155" s="380">
        <f>'00_PORTFOLIO ROLLUP'!L$12</f>
        <v>2032</v>
      </c>
      <c r="E2155" s="366" t="s">
        <v>1683</v>
      </c>
      <c r="F2155" s="366" t="s">
        <v>29</v>
      </c>
      <c r="G2155" s="348" t="str">
        <f>"'"&amp;$C2155&amp;"'!$E$56:$Y$56"</f>
        <v>'BLD_EE'!$E$56:$Y$56</v>
      </c>
      <c r="H2155" s="381">
        <f ca="1">IF(IFERROR(INDEX(DATA_PROPERTY_MASTER!$E$5:$E$21,MATCH($C2155,DATA_PROPERTY_MASTER!$A$5:$A$21,0))="Yes",FALSE),IFERROR(INDEX(INDIRECT("'"&amp;$C2155&amp;"'!$E$56:$Y$56"),1,MATCH($D2155,INDIRECT("'"&amp;$C2155&amp;"'!$E$12:$Y$12"),0)),0),0)</f>
        <v>116810.92526995207</v>
      </c>
      <c r="I2155" s="366" t="s">
        <v>1685</v>
      </c>
      <c r="J2155" s="348" t="str">
        <f t="shared" ca="1" si="66"/>
        <v>OK</v>
      </c>
      <c r="K2155" s="366" t="s">
        <v>1718</v>
      </c>
      <c r="L2155" s="366" t="s">
        <v>2250</v>
      </c>
      <c r="M2155" s="350" t="str">
        <f>IF($B2155="Portfolio","Portfolio",IFERROR(INDEX(DATA_ASSET_CLASSIFICATION!$B$8:$B$24,MATCH($C2155,DATA_ASSET_CLASSIFICATION!$A$8:$A$24,0)),"Review"))</f>
        <v>Evelyn Estates</v>
      </c>
      <c r="N2155" s="350" t="str">
        <f ca="1">IF($B2155="Portfolio","Portfolio",IFERROR(INDEX(DATA_ASSET_CLASSIFICATION!$U$8:$U$24,MATCH($C2155,DATA_ASSET_CLASSIFICATION!$A$8:$A$24,0)),"Review"))</f>
        <v>Refi Watch</v>
      </c>
      <c r="O2155" s="350" t="str">
        <f ca="1">IF($B2155="Portfolio","Portfolio",IFERROR(INDEX(DATA_ASSET_CLASSIFICATION!$AB$8:$AB$13,MATCH($N2155,DATA_ASSET_CLASSIFICATION!$AA$8:$AA$13,0)),"Review"))</f>
        <v>Bucket 2 · Legacy</v>
      </c>
      <c r="P2155" s="350" t="str">
        <f>IF($B2155="Portfolio","Portfolio",IFERROR(INDEX(DATA_ASSET_CLASSIFICATION!$C$8:$C$24,MATCH($C2155,DATA_ASSET_CLASSIFICATION!$A$8:$A$24,0)),"Review"))</f>
        <v>Yes</v>
      </c>
      <c r="Q2155" s="350" t="str">
        <f t="shared" ca="1" si="67"/>
        <v>OK</v>
      </c>
    </row>
    <row r="2156" spans="1:17">
      <c r="A2156" s="366" t="s">
        <v>4112</v>
      </c>
      <c r="B2156" s="366" t="s">
        <v>231</v>
      </c>
      <c r="C2156" s="348" t="str">
        <f>DATA_PROPERTY_MASTER!$A$11</f>
        <v>BLD_EE</v>
      </c>
      <c r="D2156" s="380">
        <f>'00_PORTFOLIO ROLLUP'!L$12</f>
        <v>2032</v>
      </c>
      <c r="E2156" s="366" t="s">
        <v>1721</v>
      </c>
      <c r="F2156" s="366" t="s">
        <v>31</v>
      </c>
      <c r="G2156" s="348" t="str">
        <f>"'"&amp;$C2156&amp;"'!$E$61:$Y$61"</f>
        <v>'BLD_EE'!$E$61:$Y$61</v>
      </c>
      <c r="H2156" s="381">
        <f ca="1">IF(IFERROR(INDEX(DATA_PROPERTY_MASTER!$E$5:$E$21,MATCH($C2156,DATA_PROPERTY_MASTER!$A$5:$A$21,0))="Yes",FALSE),IFERROR(INDEX(INDIRECT("'"&amp;$C2156&amp;"'!$E$61:$Y$61"),1,MATCH($D2156,INDIRECT("'"&amp;$C2156&amp;"'!$E$12:$Y$12"),0)),0),0)</f>
        <v>0</v>
      </c>
      <c r="I2156" s="366" t="s">
        <v>1690</v>
      </c>
      <c r="J2156" s="348" t="str">
        <f t="shared" ca="1" si="66"/>
        <v>OK</v>
      </c>
      <c r="K2156" s="366" t="s">
        <v>1723</v>
      </c>
      <c r="L2156" s="366" t="s">
        <v>2252</v>
      </c>
      <c r="M2156" s="350" t="str">
        <f>IF($B2156="Portfolio","Portfolio",IFERROR(INDEX(DATA_ASSET_CLASSIFICATION!$B$8:$B$24,MATCH($C2156,DATA_ASSET_CLASSIFICATION!$A$8:$A$24,0)),"Review"))</f>
        <v>Evelyn Estates</v>
      </c>
      <c r="N2156" s="350" t="str">
        <f ca="1">IF($B2156="Portfolio","Portfolio",IFERROR(INDEX(DATA_ASSET_CLASSIFICATION!$U$8:$U$24,MATCH($C2156,DATA_ASSET_CLASSIFICATION!$A$8:$A$24,0)),"Review"))</f>
        <v>Refi Watch</v>
      </c>
      <c r="O2156" s="350" t="str">
        <f ca="1">IF($B2156="Portfolio","Portfolio",IFERROR(INDEX(DATA_ASSET_CLASSIFICATION!$AB$8:$AB$13,MATCH($N2156,DATA_ASSET_CLASSIFICATION!$AA$8:$AA$13,0)),"Review"))</f>
        <v>Bucket 2 · Legacy</v>
      </c>
      <c r="P2156" s="350" t="str">
        <f>IF($B2156="Portfolio","Portfolio",IFERROR(INDEX(DATA_ASSET_CLASSIFICATION!$C$8:$C$24,MATCH($C2156,DATA_ASSET_CLASSIFICATION!$A$8:$A$24,0)),"Review"))</f>
        <v>Yes</v>
      </c>
      <c r="Q2156" s="350" t="str">
        <f t="shared" ca="1" si="67"/>
        <v>OK</v>
      </c>
    </row>
    <row r="2157" spans="1:17">
      <c r="A2157" s="366" t="s">
        <v>4113</v>
      </c>
      <c r="B2157" s="366" t="s">
        <v>231</v>
      </c>
      <c r="C2157" s="348" t="str">
        <f>DATA_PROPERTY_MASTER!$A$11</f>
        <v>BLD_EE</v>
      </c>
      <c r="D2157" s="380">
        <f>'00_PORTFOLIO ROLLUP'!L$12</f>
        <v>2032</v>
      </c>
      <c r="E2157" s="366" t="s">
        <v>1721</v>
      </c>
      <c r="F2157" s="366" t="s">
        <v>33</v>
      </c>
      <c r="G2157" s="348" t="str">
        <f>"'"&amp;$C2157&amp;"'!$E$62:$Y$62"</f>
        <v>'BLD_EE'!$E$62:$Y$62</v>
      </c>
      <c r="H2157" s="381">
        <f ca="1">IF(IFERROR(INDEX(DATA_PROPERTY_MASTER!$E$5:$E$21,MATCH($C2157,DATA_PROPERTY_MASTER!$A$5:$A$21,0))="Yes",FALSE),IFERROR(INDEX(INDIRECT("'"&amp;$C2157&amp;"'!$E$62:$Y$62"),1,MATCH($D2157,INDIRECT("'"&amp;$C2157&amp;"'!$E$12:$Y$12"),0)),0),0)</f>
        <v>0</v>
      </c>
      <c r="I2157" s="366" t="s">
        <v>1685</v>
      </c>
      <c r="J2157" s="348" t="str">
        <f t="shared" ca="1" si="66"/>
        <v>OK</v>
      </c>
      <c r="K2157" s="366" t="s">
        <v>1727</v>
      </c>
      <c r="L2157" s="366" t="s">
        <v>2254</v>
      </c>
      <c r="M2157" s="350" t="str">
        <f>IF($B2157="Portfolio","Portfolio",IFERROR(INDEX(DATA_ASSET_CLASSIFICATION!$B$8:$B$24,MATCH($C2157,DATA_ASSET_CLASSIFICATION!$A$8:$A$24,0)),"Review"))</f>
        <v>Evelyn Estates</v>
      </c>
      <c r="N2157" s="350" t="str">
        <f ca="1">IF($B2157="Portfolio","Portfolio",IFERROR(INDEX(DATA_ASSET_CLASSIFICATION!$U$8:$U$24,MATCH($C2157,DATA_ASSET_CLASSIFICATION!$A$8:$A$24,0)),"Review"))</f>
        <v>Refi Watch</v>
      </c>
      <c r="O2157" s="350" t="str">
        <f ca="1">IF($B2157="Portfolio","Portfolio",IFERROR(INDEX(DATA_ASSET_CLASSIFICATION!$AB$8:$AB$13,MATCH($N2157,DATA_ASSET_CLASSIFICATION!$AA$8:$AA$13,0)),"Review"))</f>
        <v>Bucket 2 · Legacy</v>
      </c>
      <c r="P2157" s="350" t="str">
        <f>IF($B2157="Portfolio","Portfolio",IFERROR(INDEX(DATA_ASSET_CLASSIFICATION!$C$8:$C$24,MATCH($C2157,DATA_ASSET_CLASSIFICATION!$A$8:$A$24,0)),"Review"))</f>
        <v>Yes</v>
      </c>
      <c r="Q2157" s="350" t="str">
        <f t="shared" ca="1" si="67"/>
        <v>OK</v>
      </c>
    </row>
    <row r="2158" spans="1:17">
      <c r="A2158" s="366" t="s">
        <v>4114</v>
      </c>
      <c r="B2158" s="366" t="s">
        <v>231</v>
      </c>
      <c r="C2158" s="348" t="str">
        <f>DATA_PROPERTY_MASTER!$A$11</f>
        <v>BLD_EE</v>
      </c>
      <c r="D2158" s="380">
        <f>'00_PORTFOLIO ROLLUP'!L$12</f>
        <v>2032</v>
      </c>
      <c r="E2158" s="366" t="s">
        <v>1721</v>
      </c>
      <c r="F2158" s="366" t="s">
        <v>35</v>
      </c>
      <c r="G2158" s="348" t="str">
        <f>"'"&amp;$C2158&amp;"'!$E$63:$Y$63"</f>
        <v>'BLD_EE'!$E$63:$Y$63</v>
      </c>
      <c r="H2158" s="381">
        <f ca="1">IF(IFERROR(INDEX(DATA_PROPERTY_MASTER!$E$5:$E$21,MATCH($C2158,DATA_PROPERTY_MASTER!$A$5:$A$21,0))="Yes",FALSE),IFERROR(INDEX(INDIRECT("'"&amp;$C2158&amp;"'!$E$63:$Y$63"),1,MATCH($D2158,INDIRECT("'"&amp;$C2158&amp;"'!$E$12:$Y$12"),0)),0),0)</f>
        <v>0</v>
      </c>
      <c r="I2158" s="366" t="s">
        <v>1731</v>
      </c>
      <c r="J2158" s="348" t="str">
        <f t="shared" ca="1" si="66"/>
        <v>OK</v>
      </c>
      <c r="K2158" s="366" t="s">
        <v>1732</v>
      </c>
      <c r="L2158" s="366" t="s">
        <v>2256</v>
      </c>
      <c r="M2158" s="350" t="str">
        <f>IF($B2158="Portfolio","Portfolio",IFERROR(INDEX(DATA_ASSET_CLASSIFICATION!$B$8:$B$24,MATCH($C2158,DATA_ASSET_CLASSIFICATION!$A$8:$A$24,0)),"Review"))</f>
        <v>Evelyn Estates</v>
      </c>
      <c r="N2158" s="350" t="str">
        <f ca="1">IF($B2158="Portfolio","Portfolio",IFERROR(INDEX(DATA_ASSET_CLASSIFICATION!$U$8:$U$24,MATCH($C2158,DATA_ASSET_CLASSIFICATION!$A$8:$A$24,0)),"Review"))</f>
        <v>Refi Watch</v>
      </c>
      <c r="O2158" s="350" t="str">
        <f ca="1">IF($B2158="Portfolio","Portfolio",IFERROR(INDEX(DATA_ASSET_CLASSIFICATION!$AB$8:$AB$13,MATCH($N2158,DATA_ASSET_CLASSIFICATION!$AA$8:$AA$13,0)),"Review"))</f>
        <v>Bucket 2 · Legacy</v>
      </c>
      <c r="P2158" s="350" t="str">
        <f>IF($B2158="Portfolio","Portfolio",IFERROR(INDEX(DATA_ASSET_CLASSIFICATION!$C$8:$C$24,MATCH($C2158,DATA_ASSET_CLASSIFICATION!$A$8:$A$24,0)),"Review"))</f>
        <v>Yes</v>
      </c>
      <c r="Q2158" s="350" t="str">
        <f t="shared" ca="1" si="67"/>
        <v>OK</v>
      </c>
    </row>
    <row r="2159" spans="1:17">
      <c r="A2159" s="366" t="s">
        <v>4115</v>
      </c>
      <c r="B2159" s="366" t="s">
        <v>231</v>
      </c>
      <c r="C2159" s="348" t="str">
        <f>DATA_PROPERTY_MASTER!$A$11</f>
        <v>BLD_EE</v>
      </c>
      <c r="D2159" s="380">
        <f>'00_PORTFOLIO ROLLUP'!L$12</f>
        <v>2032</v>
      </c>
      <c r="E2159" s="366" t="s">
        <v>1721</v>
      </c>
      <c r="F2159" s="366" t="s">
        <v>37</v>
      </c>
      <c r="G2159" s="348" t="str">
        <f>"'"&amp;$C2159&amp;"'!$E$63:$Y$63"</f>
        <v>'BLD_EE'!$E$63:$Y$63</v>
      </c>
      <c r="H2159" s="381">
        <f ca="1">IF(IFERROR(INDEX(DATA_PROPERTY_MASTER!$E$5:$E$21,MATCH($C2159,DATA_PROPERTY_MASTER!$A$5:$A$21,0))="Yes",FALSE),MAX(IFERROR(INDEX(INDIRECT("'"&amp;$C2159&amp;"'!$E$63:$Y$63"),1,MATCH($D2159,INDIRECT("'"&amp;$C2159&amp;"'!$E$12:$Y$12"),0)),0),0),0)</f>
        <v>0</v>
      </c>
      <c r="I2159" s="366" t="s">
        <v>1685</v>
      </c>
      <c r="J2159" s="348" t="str">
        <f t="shared" ca="1" si="66"/>
        <v>OK</v>
      </c>
      <c r="K2159" s="366" t="s">
        <v>1735</v>
      </c>
      <c r="L2159" s="366" t="s">
        <v>2258</v>
      </c>
      <c r="M2159" s="350" t="str">
        <f>IF($B2159="Portfolio","Portfolio",IFERROR(INDEX(DATA_ASSET_CLASSIFICATION!$B$8:$B$24,MATCH($C2159,DATA_ASSET_CLASSIFICATION!$A$8:$A$24,0)),"Review"))</f>
        <v>Evelyn Estates</v>
      </c>
      <c r="N2159" s="350" t="str">
        <f ca="1">IF($B2159="Portfolio","Portfolio",IFERROR(INDEX(DATA_ASSET_CLASSIFICATION!$U$8:$U$24,MATCH($C2159,DATA_ASSET_CLASSIFICATION!$A$8:$A$24,0)),"Review"))</f>
        <v>Refi Watch</v>
      </c>
      <c r="O2159" s="350" t="str">
        <f ca="1">IF($B2159="Portfolio","Portfolio",IFERROR(INDEX(DATA_ASSET_CLASSIFICATION!$AB$8:$AB$13,MATCH($N2159,DATA_ASSET_CLASSIFICATION!$AA$8:$AA$13,0)),"Review"))</f>
        <v>Bucket 2 · Legacy</v>
      </c>
      <c r="P2159" s="350" t="str">
        <f>IF($B2159="Portfolio","Portfolio",IFERROR(INDEX(DATA_ASSET_CLASSIFICATION!$C$8:$C$24,MATCH($C2159,DATA_ASSET_CLASSIFICATION!$A$8:$A$24,0)),"Review"))</f>
        <v>Yes</v>
      </c>
      <c r="Q2159" s="350" t="str">
        <f t="shared" ca="1" si="67"/>
        <v>OK</v>
      </c>
    </row>
    <row r="2160" spans="1:17">
      <c r="A2160" s="366" t="s">
        <v>4116</v>
      </c>
      <c r="B2160" s="366" t="s">
        <v>231</v>
      </c>
      <c r="C2160" s="348" t="str">
        <f>DATA_PROPERTY_MASTER!$A$11</f>
        <v>BLD_EE</v>
      </c>
      <c r="D2160" s="380">
        <f>'00_PORTFOLIO ROLLUP'!L$12</f>
        <v>2032</v>
      </c>
      <c r="E2160" s="366" t="s">
        <v>1721</v>
      </c>
      <c r="F2160" s="366" t="s">
        <v>39</v>
      </c>
      <c r="G2160" s="348" t="str">
        <f>"'"&amp;$C2160&amp;"'!$E$63:$Y$63"</f>
        <v>'BLD_EE'!$E$63:$Y$63</v>
      </c>
      <c r="H2160" s="381">
        <f ca="1">IF(IFERROR(INDEX(DATA_PROPERTY_MASTER!$E$5:$E$21,MATCH($C2160,DATA_PROPERTY_MASTER!$A$5:$A$21,0))="Yes",FALSE),MAX(-IFERROR(INDEX(INDIRECT("'"&amp;$C2160&amp;"'!$E$63:$Y$63"),1,MATCH($D2160,INDIRECT("'"&amp;$C2160&amp;"'!$E$12:$Y$12"),0)),0),0),0)</f>
        <v>0</v>
      </c>
      <c r="I2160" s="366" t="s">
        <v>1690</v>
      </c>
      <c r="J2160" s="348" t="str">
        <f t="shared" ca="1" si="66"/>
        <v>OK</v>
      </c>
      <c r="K2160" s="366" t="s">
        <v>1738</v>
      </c>
      <c r="L2160" s="366" t="s">
        <v>2260</v>
      </c>
      <c r="M2160" s="350" t="str">
        <f>IF($B2160="Portfolio","Portfolio",IFERROR(INDEX(DATA_ASSET_CLASSIFICATION!$B$8:$B$24,MATCH($C2160,DATA_ASSET_CLASSIFICATION!$A$8:$A$24,0)),"Review"))</f>
        <v>Evelyn Estates</v>
      </c>
      <c r="N2160" s="350" t="str">
        <f ca="1">IF($B2160="Portfolio","Portfolio",IFERROR(INDEX(DATA_ASSET_CLASSIFICATION!$U$8:$U$24,MATCH($C2160,DATA_ASSET_CLASSIFICATION!$A$8:$A$24,0)),"Review"))</f>
        <v>Refi Watch</v>
      </c>
      <c r="O2160" s="350" t="str">
        <f ca="1">IF($B2160="Portfolio","Portfolio",IFERROR(INDEX(DATA_ASSET_CLASSIFICATION!$AB$8:$AB$13,MATCH($N2160,DATA_ASSET_CLASSIFICATION!$AA$8:$AA$13,0)),"Review"))</f>
        <v>Bucket 2 · Legacy</v>
      </c>
      <c r="P2160" s="350" t="str">
        <f>IF($B2160="Portfolio","Portfolio",IFERROR(INDEX(DATA_ASSET_CLASSIFICATION!$C$8:$C$24,MATCH($C2160,DATA_ASSET_CLASSIFICATION!$A$8:$A$24,0)),"Review"))</f>
        <v>Yes</v>
      </c>
      <c r="Q2160" s="350" t="str">
        <f t="shared" ca="1" si="67"/>
        <v>OK</v>
      </c>
    </row>
    <row r="2161" spans="1:17">
      <c r="A2161" s="366" t="s">
        <v>4117</v>
      </c>
      <c r="B2161" s="366" t="s">
        <v>231</v>
      </c>
      <c r="C2161" s="348" t="str">
        <f>DATA_PROPERTY_MASTER!$A$11</f>
        <v>BLD_EE</v>
      </c>
      <c r="D2161" s="380">
        <f>'00_PORTFOLIO ROLLUP'!L$12</f>
        <v>2032</v>
      </c>
      <c r="E2161" s="366" t="s">
        <v>1741</v>
      </c>
      <c r="F2161" s="366" t="s">
        <v>41</v>
      </c>
      <c r="G2161" s="348" t="str">
        <f>"'"&amp;$C2161&amp;"'!rows 56 + positive row 63"</f>
        <v>'BLD_EE'!rows 56 + positive row 63</v>
      </c>
      <c r="H2161" s="381">
        <f ca="1">IF(IFERROR(INDEX(DATA_PROPERTY_MASTER!$E$5:$E$21,MATCH($C2161,DATA_PROPERTY_MASTER!$A$5:$A$21,0))="Yes",FALSE),IFERROR(INDEX(INDIRECT("'"&amp;$C2161&amp;"'!$E$56:$Y$56"),1,MATCH($D2161,INDIRECT("'"&amp;$C2161&amp;"'!$E$12:$Y$12"),0)),0)+MAX(IFERROR(INDEX(INDIRECT("'"&amp;$C2161&amp;"'!$E$63:$Y$63"),1,MATCH($D2161,INDIRECT("'"&amp;$C2161&amp;"'!$E$12:$Y$12"),0)),0),0),0)</f>
        <v>116810.92526995207</v>
      </c>
      <c r="I2161" s="366" t="s">
        <v>1685</v>
      </c>
      <c r="J2161" s="348" t="str">
        <f t="shared" ca="1" si="66"/>
        <v>OK</v>
      </c>
      <c r="K2161" s="366" t="s">
        <v>1742</v>
      </c>
      <c r="L2161" s="366" t="s">
        <v>2262</v>
      </c>
      <c r="M2161" s="350" t="str">
        <f>IF($B2161="Portfolio","Portfolio",IFERROR(INDEX(DATA_ASSET_CLASSIFICATION!$B$8:$B$24,MATCH($C2161,DATA_ASSET_CLASSIFICATION!$A$8:$A$24,0)),"Review"))</f>
        <v>Evelyn Estates</v>
      </c>
      <c r="N2161" s="350" t="str">
        <f ca="1">IF($B2161="Portfolio","Portfolio",IFERROR(INDEX(DATA_ASSET_CLASSIFICATION!$U$8:$U$24,MATCH($C2161,DATA_ASSET_CLASSIFICATION!$A$8:$A$24,0)),"Review"))</f>
        <v>Refi Watch</v>
      </c>
      <c r="O2161" s="350" t="str">
        <f ca="1">IF($B2161="Portfolio","Portfolio",IFERROR(INDEX(DATA_ASSET_CLASSIFICATION!$AB$8:$AB$13,MATCH($N2161,DATA_ASSET_CLASSIFICATION!$AA$8:$AA$13,0)),"Review"))</f>
        <v>Bucket 2 · Legacy</v>
      </c>
      <c r="P2161" s="350" t="str">
        <f>IF($B2161="Portfolio","Portfolio",IFERROR(INDEX(DATA_ASSET_CLASSIFICATION!$C$8:$C$24,MATCH($C2161,DATA_ASSET_CLASSIFICATION!$A$8:$A$24,0)),"Review"))</f>
        <v>Yes</v>
      </c>
      <c r="Q2161" s="350" t="str">
        <f t="shared" ca="1" si="67"/>
        <v>OK</v>
      </c>
    </row>
    <row r="2162" spans="1:17">
      <c r="A2162" s="366" t="s">
        <v>4118</v>
      </c>
      <c r="B2162" s="366" t="s">
        <v>231</v>
      </c>
      <c r="C2162" s="348" t="str">
        <f>DATA_PROPERTY_MASTER!$A$11</f>
        <v>BLD_EE</v>
      </c>
      <c r="D2162" s="380">
        <f>'00_PORTFOLIO ROLLUP'!L$12</f>
        <v>2032</v>
      </c>
      <c r="E2162" s="366" t="s">
        <v>1741</v>
      </c>
      <c r="F2162" s="366" t="s">
        <v>43</v>
      </c>
      <c r="G2162" s="348" t="str">
        <f>"'"&amp;$C2162&amp;"'!$E$68:$Y$68"</f>
        <v>'BLD_EE'!$E$68:$Y$68</v>
      </c>
      <c r="H2162" s="381">
        <f ca="1">IF(IFERROR(INDEX(DATA_PROPERTY_MASTER!$E$5:$E$21,MATCH($C2162,DATA_PROPERTY_MASTER!$A$5:$A$21,0))="Yes",FALSE),IFERROR(INDEX(INDIRECT("'"&amp;$C2162&amp;"'!$E$68:$Y$68"),1,MATCH($D2162,INDIRECT("'"&amp;$C2162&amp;"'!$E$12:$Y$12"),0)),0),0)</f>
        <v>116810.92526995207</v>
      </c>
      <c r="I2162" s="366" t="s">
        <v>1731</v>
      </c>
      <c r="J2162" s="348" t="str">
        <f t="shared" ca="1" si="66"/>
        <v>OK</v>
      </c>
      <c r="K2162" s="366" t="s">
        <v>1746</v>
      </c>
      <c r="L2162" s="366" t="s">
        <v>2264</v>
      </c>
      <c r="M2162" s="350" t="str">
        <f>IF($B2162="Portfolio","Portfolio",IFERROR(INDEX(DATA_ASSET_CLASSIFICATION!$B$8:$B$24,MATCH($C2162,DATA_ASSET_CLASSIFICATION!$A$8:$A$24,0)),"Review"))</f>
        <v>Evelyn Estates</v>
      </c>
      <c r="N2162" s="350" t="str">
        <f ca="1">IF($B2162="Portfolio","Portfolio",IFERROR(INDEX(DATA_ASSET_CLASSIFICATION!$U$8:$U$24,MATCH($C2162,DATA_ASSET_CLASSIFICATION!$A$8:$A$24,0)),"Review"))</f>
        <v>Refi Watch</v>
      </c>
      <c r="O2162" s="350" t="str">
        <f ca="1">IF($B2162="Portfolio","Portfolio",IFERROR(INDEX(DATA_ASSET_CLASSIFICATION!$AB$8:$AB$13,MATCH($N2162,DATA_ASSET_CLASSIFICATION!$AA$8:$AA$13,0)),"Review"))</f>
        <v>Bucket 2 · Legacy</v>
      </c>
      <c r="P2162" s="350" t="str">
        <f>IF($B2162="Portfolio","Portfolio",IFERROR(INDEX(DATA_ASSET_CLASSIFICATION!$C$8:$C$24,MATCH($C2162,DATA_ASSET_CLASSIFICATION!$A$8:$A$24,0)),"Review"))</f>
        <v>Yes</v>
      </c>
      <c r="Q2162" s="350" t="str">
        <f t="shared" ca="1" si="67"/>
        <v>OK</v>
      </c>
    </row>
    <row r="2163" spans="1:17">
      <c r="A2163" s="366" t="s">
        <v>4119</v>
      </c>
      <c r="B2163" s="366" t="s">
        <v>231</v>
      </c>
      <c r="C2163" s="348" t="str">
        <f>DATA_PROPERTY_MASTER!$A$11</f>
        <v>BLD_EE</v>
      </c>
      <c r="D2163" s="380">
        <f>'00_PORTFOLIO ROLLUP'!L$12</f>
        <v>2032</v>
      </c>
      <c r="E2163" s="366" t="s">
        <v>1741</v>
      </c>
      <c r="F2163" s="366" t="s">
        <v>1749</v>
      </c>
      <c r="G2163" s="348" t="str">
        <f>"'"&amp;$C2163&amp;"'!rows 56, 63, 68"</f>
        <v>'BLD_EE'!rows 56, 63, 68</v>
      </c>
      <c r="H2163" s="381">
        <f ca="1">IF(IFERROR(INDEX(DATA_PROPERTY_MASTER!$E$5:$E$21,MATCH($C2163,DATA_PROPERTY_MASTER!$A$5:$A$21,0))="Yes",FALSE),(IFERROR(INDEX(INDIRECT("'"&amp;$C2163&amp;"'!$E$56:$Y$56"),1,MATCH($D2163,INDIRECT("'"&amp;$C2163&amp;"'!$E$12:$Y$12"),0)),0)+MAX(IFERROR(INDEX(INDIRECT("'"&amp;$C2163&amp;"'!$E$63:$Y$63"),1,MATCH($D2163,INDIRECT("'"&amp;$C2163&amp;"'!$E$12:$Y$12"),0)),0),0))-(IFERROR(INDEX(INDIRECT("'"&amp;$C2163&amp;"'!$E$68:$Y$68"),1,MATCH($D2163,INDIRECT("'"&amp;$C2163&amp;"'!$E$12:$Y$12"),0)),0)),0)</f>
        <v>0</v>
      </c>
      <c r="I2163" s="366" t="s">
        <v>1750</v>
      </c>
      <c r="J2163" s="348" t="str">
        <f t="shared" ca="1" si="66"/>
        <v>OK</v>
      </c>
      <c r="K2163" s="366" t="s">
        <v>1751</v>
      </c>
      <c r="L2163" s="366" t="s">
        <v>2266</v>
      </c>
      <c r="M2163" s="350" t="str">
        <f>IF($B2163="Portfolio","Portfolio",IFERROR(INDEX(DATA_ASSET_CLASSIFICATION!$B$8:$B$24,MATCH($C2163,DATA_ASSET_CLASSIFICATION!$A$8:$A$24,0)),"Review"))</f>
        <v>Evelyn Estates</v>
      </c>
      <c r="N2163" s="350" t="str">
        <f ca="1">IF($B2163="Portfolio","Portfolio",IFERROR(INDEX(DATA_ASSET_CLASSIFICATION!$U$8:$U$24,MATCH($C2163,DATA_ASSET_CLASSIFICATION!$A$8:$A$24,0)),"Review"))</f>
        <v>Refi Watch</v>
      </c>
      <c r="O2163" s="350" t="str">
        <f ca="1">IF($B2163="Portfolio","Portfolio",IFERROR(INDEX(DATA_ASSET_CLASSIFICATION!$AB$8:$AB$13,MATCH($N2163,DATA_ASSET_CLASSIFICATION!$AA$8:$AA$13,0)),"Review"))</f>
        <v>Bucket 2 · Legacy</v>
      </c>
      <c r="P2163" s="350" t="str">
        <f>IF($B2163="Portfolio","Portfolio",IFERROR(INDEX(DATA_ASSET_CLASSIFICATION!$C$8:$C$24,MATCH($C2163,DATA_ASSET_CLASSIFICATION!$A$8:$A$24,0)),"Review"))</f>
        <v>Yes</v>
      </c>
      <c r="Q2163" s="350" t="str">
        <f t="shared" ca="1" si="67"/>
        <v>OK</v>
      </c>
    </row>
    <row r="2164" spans="1:17">
      <c r="A2164" s="366" t="s">
        <v>4120</v>
      </c>
      <c r="B2164" s="366" t="s">
        <v>231</v>
      </c>
      <c r="C2164" s="348" t="str">
        <f>DATA_PROPERTY_MASTER!$A$11</f>
        <v>BLD_EE</v>
      </c>
      <c r="D2164" s="380">
        <f>'00_PORTFOLIO ROLLUP'!M$12</f>
        <v>2033</v>
      </c>
      <c r="E2164" s="366" t="s">
        <v>1683</v>
      </c>
      <c r="F2164" s="366" t="s">
        <v>341</v>
      </c>
      <c r="G2164" s="348" t="str">
        <f>"'"&amp;$C2164&amp;"'!$E$24:$Y$24"</f>
        <v>'BLD_EE'!$E$24:$Y$24</v>
      </c>
      <c r="H2164" s="381">
        <f ca="1">IF(IFERROR(INDEX(DATA_PROPERTY_MASTER!$E$5:$E$21,MATCH($C2164,DATA_PROPERTY_MASTER!$A$5:$A$21,0))="Yes",FALSE),IFERROR(INDEX(INDIRECT("'"&amp;$C2164&amp;"'!$E$24:$Y$24"),1,MATCH($D2164,INDIRECT("'"&amp;$C2164&amp;"'!$E$12:$Y$12"),0)),0),0)</f>
        <v>589108.01219572744</v>
      </c>
      <c r="I2164" s="366" t="s">
        <v>1685</v>
      </c>
      <c r="J2164" s="348" t="str">
        <f t="shared" ca="1" si="66"/>
        <v>OK</v>
      </c>
      <c r="K2164" s="366" t="s">
        <v>1686</v>
      </c>
      <c r="L2164" s="366" t="s">
        <v>2234</v>
      </c>
      <c r="M2164" s="350" t="str">
        <f>IF($B2164="Portfolio","Portfolio",IFERROR(INDEX(DATA_ASSET_CLASSIFICATION!$B$8:$B$24,MATCH($C2164,DATA_ASSET_CLASSIFICATION!$A$8:$A$24,0)),"Review"))</f>
        <v>Evelyn Estates</v>
      </c>
      <c r="N2164" s="350" t="str">
        <f ca="1">IF($B2164="Portfolio","Portfolio",IFERROR(INDEX(DATA_ASSET_CLASSIFICATION!$U$8:$U$24,MATCH($C2164,DATA_ASSET_CLASSIFICATION!$A$8:$A$24,0)),"Review"))</f>
        <v>Refi Watch</v>
      </c>
      <c r="O2164" s="350" t="str">
        <f ca="1">IF($B2164="Portfolio","Portfolio",IFERROR(INDEX(DATA_ASSET_CLASSIFICATION!$AB$8:$AB$13,MATCH($N2164,DATA_ASSET_CLASSIFICATION!$AA$8:$AA$13,0)),"Review"))</f>
        <v>Bucket 2 · Legacy</v>
      </c>
      <c r="P2164" s="350" t="str">
        <f>IF($B2164="Portfolio","Portfolio",IFERROR(INDEX(DATA_ASSET_CLASSIFICATION!$C$8:$C$24,MATCH($C2164,DATA_ASSET_CLASSIFICATION!$A$8:$A$24,0)),"Review"))</f>
        <v>Yes</v>
      </c>
      <c r="Q2164" s="350" t="str">
        <f t="shared" ca="1" si="67"/>
        <v>OK</v>
      </c>
    </row>
    <row r="2165" spans="1:17">
      <c r="A2165" s="366" t="s">
        <v>4121</v>
      </c>
      <c r="B2165" s="366" t="s">
        <v>231</v>
      </c>
      <c r="C2165" s="348" t="str">
        <f>DATA_PROPERTY_MASTER!$A$11</f>
        <v>BLD_EE</v>
      </c>
      <c r="D2165" s="380">
        <f>'00_PORTFOLIO ROLLUP'!M$12</f>
        <v>2033</v>
      </c>
      <c r="E2165" s="366" t="s">
        <v>1683</v>
      </c>
      <c r="F2165" s="366" t="s">
        <v>355</v>
      </c>
      <c r="G2165" s="348" t="str">
        <f>"'"&amp;$C2165&amp;"'!$E$39:$Y$39"</f>
        <v>'BLD_EE'!$E$39:$Y$39</v>
      </c>
      <c r="H2165" s="381">
        <f ca="1">IF(IFERROR(INDEX(DATA_PROPERTY_MASTER!$E$5:$E$21,MATCH($C2165,DATA_PROPERTY_MASTER!$A$5:$A$21,0))="Yes",FALSE),IFERROR(INDEX(INDIRECT("'"&amp;$C2165&amp;"'!$E$39:$Y$39"),1,MATCH($D2165,INDIRECT("'"&amp;$C2165&amp;"'!$E$12:$Y$12"),0)),0),0)</f>
        <v>296950.743987886</v>
      </c>
      <c r="I2165" s="366" t="s">
        <v>1690</v>
      </c>
      <c r="J2165" s="348" t="str">
        <f t="shared" ca="1" si="66"/>
        <v>OK</v>
      </c>
      <c r="K2165" s="366" t="s">
        <v>1686</v>
      </c>
      <c r="L2165" s="366" t="s">
        <v>2236</v>
      </c>
      <c r="M2165" s="350" t="str">
        <f>IF($B2165="Portfolio","Portfolio",IFERROR(INDEX(DATA_ASSET_CLASSIFICATION!$B$8:$B$24,MATCH($C2165,DATA_ASSET_CLASSIFICATION!$A$8:$A$24,0)),"Review"))</f>
        <v>Evelyn Estates</v>
      </c>
      <c r="N2165" s="350" t="str">
        <f ca="1">IF($B2165="Portfolio","Portfolio",IFERROR(INDEX(DATA_ASSET_CLASSIFICATION!$U$8:$U$24,MATCH($C2165,DATA_ASSET_CLASSIFICATION!$A$8:$A$24,0)),"Review"))</f>
        <v>Refi Watch</v>
      </c>
      <c r="O2165" s="350" t="str">
        <f ca="1">IF($B2165="Portfolio","Portfolio",IFERROR(INDEX(DATA_ASSET_CLASSIFICATION!$AB$8:$AB$13,MATCH($N2165,DATA_ASSET_CLASSIFICATION!$AA$8:$AA$13,0)),"Review"))</f>
        <v>Bucket 2 · Legacy</v>
      </c>
      <c r="P2165" s="350" t="str">
        <f>IF($B2165="Portfolio","Portfolio",IFERROR(INDEX(DATA_ASSET_CLASSIFICATION!$C$8:$C$24,MATCH($C2165,DATA_ASSET_CLASSIFICATION!$A$8:$A$24,0)),"Review"))</f>
        <v>Yes</v>
      </c>
      <c r="Q2165" s="350" t="str">
        <f t="shared" ca="1" si="67"/>
        <v>OK</v>
      </c>
    </row>
    <row r="2166" spans="1:17">
      <c r="A2166" s="366" t="s">
        <v>4122</v>
      </c>
      <c r="B2166" s="366" t="s">
        <v>231</v>
      </c>
      <c r="C2166" s="348" t="str">
        <f>DATA_PROPERTY_MASTER!$A$11</f>
        <v>BLD_EE</v>
      </c>
      <c r="D2166" s="380">
        <f>'00_PORTFOLIO ROLLUP'!M$12</f>
        <v>2033</v>
      </c>
      <c r="E2166" s="366" t="s">
        <v>1683</v>
      </c>
      <c r="F2166" s="366" t="s">
        <v>19</v>
      </c>
      <c r="G2166" s="348" t="str">
        <f>"'"&amp;$C2166&amp;"'!$E$41:$Y$41"</f>
        <v>'BLD_EE'!$E$41:$Y$41</v>
      </c>
      <c r="H2166" s="381">
        <f ca="1">IF(IFERROR(INDEX(DATA_PROPERTY_MASTER!$E$5:$E$21,MATCH($C2166,DATA_PROPERTY_MASTER!$A$5:$A$21,0))="Yes",FALSE),IFERROR(INDEX(INDIRECT("'"&amp;$C2166&amp;"'!$E$41:$Y$41"),1,MATCH($D2166,INDIRECT("'"&amp;$C2166&amp;"'!$E$12:$Y$12"),0)),0),0)</f>
        <v>292157.26820784144</v>
      </c>
      <c r="I2166" s="366" t="s">
        <v>1685</v>
      </c>
      <c r="J2166" s="348" t="str">
        <f t="shared" ca="1" si="66"/>
        <v>OK</v>
      </c>
      <c r="K2166" s="366" t="s">
        <v>1694</v>
      </c>
      <c r="L2166" s="366" t="s">
        <v>2238</v>
      </c>
      <c r="M2166" s="350" t="str">
        <f>IF($B2166="Portfolio","Portfolio",IFERROR(INDEX(DATA_ASSET_CLASSIFICATION!$B$8:$B$24,MATCH($C2166,DATA_ASSET_CLASSIFICATION!$A$8:$A$24,0)),"Review"))</f>
        <v>Evelyn Estates</v>
      </c>
      <c r="N2166" s="350" t="str">
        <f ca="1">IF($B2166="Portfolio","Portfolio",IFERROR(INDEX(DATA_ASSET_CLASSIFICATION!$U$8:$U$24,MATCH($C2166,DATA_ASSET_CLASSIFICATION!$A$8:$A$24,0)),"Review"))</f>
        <v>Refi Watch</v>
      </c>
      <c r="O2166" s="350" t="str">
        <f ca="1">IF($B2166="Portfolio","Portfolio",IFERROR(INDEX(DATA_ASSET_CLASSIFICATION!$AB$8:$AB$13,MATCH($N2166,DATA_ASSET_CLASSIFICATION!$AA$8:$AA$13,0)),"Review"))</f>
        <v>Bucket 2 · Legacy</v>
      </c>
      <c r="P2166" s="350" t="str">
        <f>IF($B2166="Portfolio","Portfolio",IFERROR(INDEX(DATA_ASSET_CLASSIFICATION!$C$8:$C$24,MATCH($C2166,DATA_ASSET_CLASSIFICATION!$A$8:$A$24,0)),"Review"))</f>
        <v>Yes</v>
      </c>
      <c r="Q2166" s="350" t="str">
        <f t="shared" ca="1" si="67"/>
        <v>OK</v>
      </c>
    </row>
    <row r="2167" spans="1:17">
      <c r="A2167" s="366" t="s">
        <v>4123</v>
      </c>
      <c r="B2167" s="366" t="s">
        <v>231</v>
      </c>
      <c r="C2167" s="348" t="str">
        <f>DATA_PROPERTY_MASTER!$A$11</f>
        <v>BLD_EE</v>
      </c>
      <c r="D2167" s="380">
        <f>'00_PORTFOLIO ROLLUP'!M$12</f>
        <v>2033</v>
      </c>
      <c r="E2167" s="366" t="s">
        <v>1683</v>
      </c>
      <c r="F2167" s="366" t="s">
        <v>1697</v>
      </c>
      <c r="G2167" s="348" t="str">
        <f>"'"&amp;$C2167&amp;"'!$E$44:$Y$44"</f>
        <v>'BLD_EE'!$E$44:$Y$44</v>
      </c>
      <c r="H2167" s="381">
        <f ca="1">IF(IFERROR(INDEX(DATA_PROPERTY_MASTER!$E$5:$E$21,MATCH($C2167,DATA_PROPERTY_MASTER!$A$5:$A$21,0))="Yes",FALSE),IFERROR(INDEX(INDIRECT("'"&amp;$C2167&amp;"'!$E$44:$Y$44"),1,MATCH($D2167,INDIRECT("'"&amp;$C2167&amp;"'!$E$12:$Y$12"),0)),0),0)</f>
        <v>6326.9606574122336</v>
      </c>
      <c r="I2167" s="366" t="s">
        <v>1690</v>
      </c>
      <c r="J2167" s="348" t="str">
        <f t="shared" ca="1" si="66"/>
        <v>OK</v>
      </c>
      <c r="K2167" s="366" t="s">
        <v>1699</v>
      </c>
      <c r="L2167" s="366" t="s">
        <v>2240</v>
      </c>
      <c r="M2167" s="350" t="str">
        <f>IF($B2167="Portfolio","Portfolio",IFERROR(INDEX(DATA_ASSET_CLASSIFICATION!$B$8:$B$24,MATCH($C2167,DATA_ASSET_CLASSIFICATION!$A$8:$A$24,0)),"Review"))</f>
        <v>Evelyn Estates</v>
      </c>
      <c r="N2167" s="350" t="str">
        <f ca="1">IF($B2167="Portfolio","Portfolio",IFERROR(INDEX(DATA_ASSET_CLASSIFICATION!$U$8:$U$24,MATCH($C2167,DATA_ASSET_CLASSIFICATION!$A$8:$A$24,0)),"Review"))</f>
        <v>Refi Watch</v>
      </c>
      <c r="O2167" s="350" t="str">
        <f ca="1">IF($B2167="Portfolio","Portfolio",IFERROR(INDEX(DATA_ASSET_CLASSIFICATION!$AB$8:$AB$13,MATCH($N2167,DATA_ASSET_CLASSIFICATION!$AA$8:$AA$13,0)),"Review"))</f>
        <v>Bucket 2 · Legacy</v>
      </c>
      <c r="P2167" s="350" t="str">
        <f>IF($B2167="Portfolio","Portfolio",IFERROR(INDEX(DATA_ASSET_CLASSIFICATION!$C$8:$C$24,MATCH($C2167,DATA_ASSET_CLASSIFICATION!$A$8:$A$24,0)),"Review"))</f>
        <v>Yes</v>
      </c>
      <c r="Q2167" s="350" t="str">
        <f t="shared" ca="1" si="67"/>
        <v>OK</v>
      </c>
    </row>
    <row r="2168" spans="1:17">
      <c r="A2168" s="366" t="s">
        <v>4124</v>
      </c>
      <c r="B2168" s="366" t="s">
        <v>231</v>
      </c>
      <c r="C2168" s="348" t="str">
        <f>DATA_PROPERTY_MASTER!$A$11</f>
        <v>BLD_EE</v>
      </c>
      <c r="D2168" s="380">
        <f>'00_PORTFOLIO ROLLUP'!M$12</f>
        <v>2033</v>
      </c>
      <c r="E2168" s="366" t="s">
        <v>1683</v>
      </c>
      <c r="F2168" s="366" t="s">
        <v>21</v>
      </c>
      <c r="G2168" s="348" t="str">
        <f>"'"&amp;$C2168&amp;"'!$E$45:$Y$45"</f>
        <v>'BLD_EE'!$E$45:$Y$45</v>
      </c>
      <c r="H2168" s="381">
        <f ca="1">IF(IFERROR(INDEX(DATA_PROPERTY_MASTER!$E$5:$E$21,MATCH($C2168,DATA_PROPERTY_MASTER!$A$5:$A$21,0))="Yes",FALSE),IFERROR(INDEX(INDIRECT("'"&amp;$C2168&amp;"'!$E$45:$Y$45"),1,MATCH($D2168,INDIRECT("'"&amp;$C2168&amp;"'!$E$12:$Y$12"),0)),0),0)</f>
        <v>285830.30755042919</v>
      </c>
      <c r="I2168" s="366" t="s">
        <v>1685</v>
      </c>
      <c r="J2168" s="348" t="str">
        <f t="shared" ca="1" si="66"/>
        <v>OK</v>
      </c>
      <c r="K2168" s="366" t="s">
        <v>1694</v>
      </c>
      <c r="L2168" s="366" t="s">
        <v>2242</v>
      </c>
      <c r="M2168" s="350" t="str">
        <f>IF($B2168="Portfolio","Portfolio",IFERROR(INDEX(DATA_ASSET_CLASSIFICATION!$B$8:$B$24,MATCH($C2168,DATA_ASSET_CLASSIFICATION!$A$8:$A$24,0)),"Review"))</f>
        <v>Evelyn Estates</v>
      </c>
      <c r="N2168" s="350" t="str">
        <f ca="1">IF($B2168="Portfolio","Portfolio",IFERROR(INDEX(DATA_ASSET_CLASSIFICATION!$U$8:$U$24,MATCH($C2168,DATA_ASSET_CLASSIFICATION!$A$8:$A$24,0)),"Review"))</f>
        <v>Refi Watch</v>
      </c>
      <c r="O2168" s="350" t="str">
        <f ca="1">IF($B2168="Portfolio","Portfolio",IFERROR(INDEX(DATA_ASSET_CLASSIFICATION!$AB$8:$AB$13,MATCH($N2168,DATA_ASSET_CLASSIFICATION!$AA$8:$AA$13,0)),"Review"))</f>
        <v>Bucket 2 · Legacy</v>
      </c>
      <c r="P2168" s="350" t="str">
        <f>IF($B2168="Portfolio","Portfolio",IFERROR(INDEX(DATA_ASSET_CLASSIFICATION!$C$8:$C$24,MATCH($C2168,DATA_ASSET_CLASSIFICATION!$A$8:$A$24,0)),"Review"))</f>
        <v>Yes</v>
      </c>
      <c r="Q2168" s="350" t="str">
        <f t="shared" ca="1" si="67"/>
        <v>OK</v>
      </c>
    </row>
    <row r="2169" spans="1:17">
      <c r="A2169" s="366" t="s">
        <v>4125</v>
      </c>
      <c r="B2169" s="366" t="s">
        <v>231</v>
      </c>
      <c r="C2169" s="348" t="str">
        <f>DATA_PROPERTY_MASTER!$A$11</f>
        <v>BLD_EE</v>
      </c>
      <c r="D2169" s="380">
        <f>'00_PORTFOLIO ROLLUP'!M$12</f>
        <v>2033</v>
      </c>
      <c r="E2169" s="366" t="s">
        <v>23</v>
      </c>
      <c r="F2169" s="366" t="s">
        <v>23</v>
      </c>
      <c r="G2169" s="348" t="str">
        <f>"'"&amp;$C2169&amp;"'!$E$48:$Y$48"</f>
        <v>'BLD_EE'!$E$48:$Y$48</v>
      </c>
      <c r="H2169" s="381">
        <f ca="1">IF(IFERROR(INDEX(DATA_PROPERTY_MASTER!$E$5:$E$21,MATCH($C2169,DATA_PROPERTY_MASTER!$A$5:$A$21,0))="Yes",FALSE),IFERROR(INDEX(INDIRECT("'"&amp;$C2169&amp;"'!$E$48:$Y$48"),1,MATCH($D2169,INDIRECT("'"&amp;$C2169&amp;"'!$E$12:$Y$12"),0)),0),0)</f>
        <v>0</v>
      </c>
      <c r="I2169" s="366" t="s">
        <v>1690</v>
      </c>
      <c r="J2169" s="348" t="str">
        <f t="shared" ca="1" si="66"/>
        <v>OK</v>
      </c>
      <c r="K2169" s="366" t="s">
        <v>1706</v>
      </c>
      <c r="L2169" s="366" t="s">
        <v>2244</v>
      </c>
      <c r="M2169" s="350" t="str">
        <f>IF($B2169="Portfolio","Portfolio",IFERROR(INDEX(DATA_ASSET_CLASSIFICATION!$B$8:$B$24,MATCH($C2169,DATA_ASSET_CLASSIFICATION!$A$8:$A$24,0)),"Review"))</f>
        <v>Evelyn Estates</v>
      </c>
      <c r="N2169" s="350" t="str">
        <f ca="1">IF($B2169="Portfolio","Portfolio",IFERROR(INDEX(DATA_ASSET_CLASSIFICATION!$U$8:$U$24,MATCH($C2169,DATA_ASSET_CLASSIFICATION!$A$8:$A$24,0)),"Review"))</f>
        <v>Refi Watch</v>
      </c>
      <c r="O2169" s="350" t="str">
        <f ca="1">IF($B2169="Portfolio","Portfolio",IFERROR(INDEX(DATA_ASSET_CLASSIFICATION!$AB$8:$AB$13,MATCH($N2169,DATA_ASSET_CLASSIFICATION!$AA$8:$AA$13,0)),"Review"))</f>
        <v>Bucket 2 · Legacy</v>
      </c>
      <c r="P2169" s="350" t="str">
        <f>IF($B2169="Portfolio","Portfolio",IFERROR(INDEX(DATA_ASSET_CLASSIFICATION!$C$8:$C$24,MATCH($C2169,DATA_ASSET_CLASSIFICATION!$A$8:$A$24,0)),"Review"))</f>
        <v>Yes</v>
      </c>
      <c r="Q2169" s="350" t="str">
        <f t="shared" ca="1" si="67"/>
        <v>OK</v>
      </c>
    </row>
    <row r="2170" spans="1:17">
      <c r="A2170" s="366" t="s">
        <v>4126</v>
      </c>
      <c r="B2170" s="366" t="s">
        <v>231</v>
      </c>
      <c r="C2170" s="348" t="str">
        <f>DATA_PROPERTY_MASTER!$A$11</f>
        <v>BLD_EE</v>
      </c>
      <c r="D2170" s="380">
        <f>'00_PORTFOLIO ROLLUP'!M$12</f>
        <v>2033</v>
      </c>
      <c r="E2170" s="366" t="s">
        <v>1683</v>
      </c>
      <c r="F2170" s="366" t="s">
        <v>25</v>
      </c>
      <c r="G2170" s="348" t="str">
        <f>"'"&amp;$C2170&amp;"'!$E$52:$Y$52"</f>
        <v>'BLD_EE'!$E$52:$Y$52</v>
      </c>
      <c r="H2170" s="381">
        <f ca="1">IF(IFERROR(INDEX(DATA_PROPERTY_MASTER!$E$5:$E$21,MATCH($C2170,DATA_PROPERTY_MASTER!$A$5:$A$21,0))="Yes",FALSE),IFERROR(INDEX(INDIRECT("'"&amp;$C2170&amp;"'!$E$52:$Y$52"),1,MATCH($D2170,INDIRECT("'"&amp;$C2170&amp;"'!$E$12:$Y$12"),0)),0),0)</f>
        <v>292157.26820784144</v>
      </c>
      <c r="I2170" s="366" t="s">
        <v>1685</v>
      </c>
      <c r="J2170" s="348" t="str">
        <f t="shared" ca="1" si="66"/>
        <v>OK</v>
      </c>
      <c r="K2170" s="366" t="s">
        <v>1710</v>
      </c>
      <c r="L2170" s="366" t="s">
        <v>2246</v>
      </c>
      <c r="M2170" s="350" t="str">
        <f>IF($B2170="Portfolio","Portfolio",IFERROR(INDEX(DATA_ASSET_CLASSIFICATION!$B$8:$B$24,MATCH($C2170,DATA_ASSET_CLASSIFICATION!$A$8:$A$24,0)),"Review"))</f>
        <v>Evelyn Estates</v>
      </c>
      <c r="N2170" s="350" t="str">
        <f ca="1">IF($B2170="Portfolio","Portfolio",IFERROR(INDEX(DATA_ASSET_CLASSIFICATION!$U$8:$U$24,MATCH($C2170,DATA_ASSET_CLASSIFICATION!$A$8:$A$24,0)),"Review"))</f>
        <v>Refi Watch</v>
      </c>
      <c r="O2170" s="350" t="str">
        <f ca="1">IF($B2170="Portfolio","Portfolio",IFERROR(INDEX(DATA_ASSET_CLASSIFICATION!$AB$8:$AB$13,MATCH($N2170,DATA_ASSET_CLASSIFICATION!$AA$8:$AA$13,0)),"Review"))</f>
        <v>Bucket 2 · Legacy</v>
      </c>
      <c r="P2170" s="350" t="str">
        <f>IF($B2170="Portfolio","Portfolio",IFERROR(INDEX(DATA_ASSET_CLASSIFICATION!$C$8:$C$24,MATCH($C2170,DATA_ASSET_CLASSIFICATION!$A$8:$A$24,0)),"Review"))</f>
        <v>Yes</v>
      </c>
      <c r="Q2170" s="350" t="str">
        <f t="shared" ca="1" si="67"/>
        <v>OK</v>
      </c>
    </row>
    <row r="2171" spans="1:17">
      <c r="A2171" s="366" t="s">
        <v>4127</v>
      </c>
      <c r="B2171" s="366" t="s">
        <v>231</v>
      </c>
      <c r="C2171" s="348" t="str">
        <f>DATA_PROPERTY_MASTER!$A$11</f>
        <v>BLD_EE</v>
      </c>
      <c r="D2171" s="380">
        <f>'00_PORTFOLIO ROLLUP'!M$12</f>
        <v>2033</v>
      </c>
      <c r="E2171" s="366" t="s">
        <v>1683</v>
      </c>
      <c r="F2171" s="366" t="s">
        <v>27</v>
      </c>
      <c r="G2171" s="348" t="str">
        <f>"'"&amp;$C2171&amp;"'!$E$54:$Y$54"</f>
        <v>'BLD_EE'!$E$54:$Y$54</v>
      </c>
      <c r="H2171" s="381">
        <f ca="1">IF(IFERROR(INDEX(DATA_PROPERTY_MASTER!$E$5:$E$21,MATCH($C2171,DATA_PROPERTY_MASTER!$A$5:$A$21,0))="Yes",FALSE),IFERROR(INDEX(INDIRECT("'"&amp;$C2171&amp;"'!$E$54:$Y$54"),1,MATCH($D2171,INDIRECT("'"&amp;$C2171&amp;"'!$E$12:$Y$12"),0)),0),0)</f>
        <v>175294.36092470484</v>
      </c>
      <c r="I2171" s="366" t="s">
        <v>1690</v>
      </c>
      <c r="J2171" s="348" t="str">
        <f t="shared" ca="1" si="66"/>
        <v>OK</v>
      </c>
      <c r="K2171" s="366" t="s">
        <v>1714</v>
      </c>
      <c r="L2171" s="366" t="s">
        <v>2248</v>
      </c>
      <c r="M2171" s="350" t="str">
        <f>IF($B2171="Portfolio","Portfolio",IFERROR(INDEX(DATA_ASSET_CLASSIFICATION!$B$8:$B$24,MATCH($C2171,DATA_ASSET_CLASSIFICATION!$A$8:$A$24,0)),"Review"))</f>
        <v>Evelyn Estates</v>
      </c>
      <c r="N2171" s="350" t="str">
        <f ca="1">IF($B2171="Portfolio","Portfolio",IFERROR(INDEX(DATA_ASSET_CLASSIFICATION!$U$8:$U$24,MATCH($C2171,DATA_ASSET_CLASSIFICATION!$A$8:$A$24,0)),"Review"))</f>
        <v>Refi Watch</v>
      </c>
      <c r="O2171" s="350" t="str">
        <f ca="1">IF($B2171="Portfolio","Portfolio",IFERROR(INDEX(DATA_ASSET_CLASSIFICATION!$AB$8:$AB$13,MATCH($N2171,DATA_ASSET_CLASSIFICATION!$AA$8:$AA$13,0)),"Review"))</f>
        <v>Bucket 2 · Legacy</v>
      </c>
      <c r="P2171" s="350" t="str">
        <f>IF($B2171="Portfolio","Portfolio",IFERROR(INDEX(DATA_ASSET_CLASSIFICATION!$C$8:$C$24,MATCH($C2171,DATA_ASSET_CLASSIFICATION!$A$8:$A$24,0)),"Review"))</f>
        <v>Yes</v>
      </c>
      <c r="Q2171" s="350" t="str">
        <f t="shared" ca="1" si="67"/>
        <v>OK</v>
      </c>
    </row>
    <row r="2172" spans="1:17">
      <c r="A2172" s="366" t="s">
        <v>4128</v>
      </c>
      <c r="B2172" s="366" t="s">
        <v>231</v>
      </c>
      <c r="C2172" s="348" t="str">
        <f>DATA_PROPERTY_MASTER!$A$11</f>
        <v>BLD_EE</v>
      </c>
      <c r="D2172" s="380">
        <f>'00_PORTFOLIO ROLLUP'!M$12</f>
        <v>2033</v>
      </c>
      <c r="E2172" s="366" t="s">
        <v>1683</v>
      </c>
      <c r="F2172" s="366" t="s">
        <v>29</v>
      </c>
      <c r="G2172" s="348" t="str">
        <f>"'"&amp;$C2172&amp;"'!$E$56:$Y$56"</f>
        <v>'BLD_EE'!$E$56:$Y$56</v>
      </c>
      <c r="H2172" s="381">
        <f ca="1">IF(IFERROR(INDEX(DATA_PROPERTY_MASTER!$E$5:$E$21,MATCH($C2172,DATA_PROPERTY_MASTER!$A$5:$A$21,0))="Yes",FALSE),IFERROR(INDEX(INDIRECT("'"&amp;$C2172&amp;"'!$E$56:$Y$56"),1,MATCH($D2172,INDIRECT("'"&amp;$C2172&amp;"'!$E$12:$Y$12"),0)),0),0)</f>
        <v>116862.90728313659</v>
      </c>
      <c r="I2172" s="366" t="s">
        <v>1685</v>
      </c>
      <c r="J2172" s="348" t="str">
        <f t="shared" ca="1" si="66"/>
        <v>OK</v>
      </c>
      <c r="K2172" s="366" t="s">
        <v>1718</v>
      </c>
      <c r="L2172" s="366" t="s">
        <v>2250</v>
      </c>
      <c r="M2172" s="350" t="str">
        <f>IF($B2172="Portfolio","Portfolio",IFERROR(INDEX(DATA_ASSET_CLASSIFICATION!$B$8:$B$24,MATCH($C2172,DATA_ASSET_CLASSIFICATION!$A$8:$A$24,0)),"Review"))</f>
        <v>Evelyn Estates</v>
      </c>
      <c r="N2172" s="350" t="str">
        <f ca="1">IF($B2172="Portfolio","Portfolio",IFERROR(INDEX(DATA_ASSET_CLASSIFICATION!$U$8:$U$24,MATCH($C2172,DATA_ASSET_CLASSIFICATION!$A$8:$A$24,0)),"Review"))</f>
        <v>Refi Watch</v>
      </c>
      <c r="O2172" s="350" t="str">
        <f ca="1">IF($B2172="Portfolio","Portfolio",IFERROR(INDEX(DATA_ASSET_CLASSIFICATION!$AB$8:$AB$13,MATCH($N2172,DATA_ASSET_CLASSIFICATION!$AA$8:$AA$13,0)),"Review"))</f>
        <v>Bucket 2 · Legacy</v>
      </c>
      <c r="P2172" s="350" t="str">
        <f>IF($B2172="Portfolio","Portfolio",IFERROR(INDEX(DATA_ASSET_CLASSIFICATION!$C$8:$C$24,MATCH($C2172,DATA_ASSET_CLASSIFICATION!$A$8:$A$24,0)),"Review"))</f>
        <v>Yes</v>
      </c>
      <c r="Q2172" s="350" t="str">
        <f t="shared" ca="1" si="67"/>
        <v>OK</v>
      </c>
    </row>
    <row r="2173" spans="1:17">
      <c r="A2173" s="366" t="s">
        <v>4129</v>
      </c>
      <c r="B2173" s="366" t="s">
        <v>231</v>
      </c>
      <c r="C2173" s="348" t="str">
        <f>DATA_PROPERTY_MASTER!$A$11</f>
        <v>BLD_EE</v>
      </c>
      <c r="D2173" s="380">
        <f>'00_PORTFOLIO ROLLUP'!M$12</f>
        <v>2033</v>
      </c>
      <c r="E2173" s="366" t="s">
        <v>1721</v>
      </c>
      <c r="F2173" s="366" t="s">
        <v>31</v>
      </c>
      <c r="G2173" s="348" t="str">
        <f>"'"&amp;$C2173&amp;"'!$E$61:$Y$61"</f>
        <v>'BLD_EE'!$E$61:$Y$61</v>
      </c>
      <c r="H2173" s="381">
        <f ca="1">IF(IFERROR(INDEX(DATA_PROPERTY_MASTER!$E$5:$E$21,MATCH($C2173,DATA_PROPERTY_MASTER!$A$5:$A$21,0))="Yes",FALSE),IFERROR(INDEX(INDIRECT("'"&amp;$C2173&amp;"'!$E$61:$Y$61"),1,MATCH($D2173,INDIRECT("'"&amp;$C2173&amp;"'!$E$12:$Y$12"),0)),0),0)</f>
        <v>0</v>
      </c>
      <c r="I2173" s="366" t="s">
        <v>1690</v>
      </c>
      <c r="J2173" s="348" t="str">
        <f t="shared" ca="1" si="66"/>
        <v>OK</v>
      </c>
      <c r="K2173" s="366" t="s">
        <v>1723</v>
      </c>
      <c r="L2173" s="366" t="s">
        <v>2252</v>
      </c>
      <c r="M2173" s="350" t="str">
        <f>IF($B2173="Portfolio","Portfolio",IFERROR(INDEX(DATA_ASSET_CLASSIFICATION!$B$8:$B$24,MATCH($C2173,DATA_ASSET_CLASSIFICATION!$A$8:$A$24,0)),"Review"))</f>
        <v>Evelyn Estates</v>
      </c>
      <c r="N2173" s="350" t="str">
        <f ca="1">IF($B2173="Portfolio","Portfolio",IFERROR(INDEX(DATA_ASSET_CLASSIFICATION!$U$8:$U$24,MATCH($C2173,DATA_ASSET_CLASSIFICATION!$A$8:$A$24,0)),"Review"))</f>
        <v>Refi Watch</v>
      </c>
      <c r="O2173" s="350" t="str">
        <f ca="1">IF($B2173="Portfolio","Portfolio",IFERROR(INDEX(DATA_ASSET_CLASSIFICATION!$AB$8:$AB$13,MATCH($N2173,DATA_ASSET_CLASSIFICATION!$AA$8:$AA$13,0)),"Review"))</f>
        <v>Bucket 2 · Legacy</v>
      </c>
      <c r="P2173" s="350" t="str">
        <f>IF($B2173="Portfolio","Portfolio",IFERROR(INDEX(DATA_ASSET_CLASSIFICATION!$C$8:$C$24,MATCH($C2173,DATA_ASSET_CLASSIFICATION!$A$8:$A$24,0)),"Review"))</f>
        <v>Yes</v>
      </c>
      <c r="Q2173" s="350" t="str">
        <f t="shared" ca="1" si="67"/>
        <v>OK</v>
      </c>
    </row>
    <row r="2174" spans="1:17">
      <c r="A2174" s="366" t="s">
        <v>4130</v>
      </c>
      <c r="B2174" s="366" t="s">
        <v>231</v>
      </c>
      <c r="C2174" s="348" t="str">
        <f>DATA_PROPERTY_MASTER!$A$11</f>
        <v>BLD_EE</v>
      </c>
      <c r="D2174" s="380">
        <f>'00_PORTFOLIO ROLLUP'!M$12</f>
        <v>2033</v>
      </c>
      <c r="E2174" s="366" t="s">
        <v>1721</v>
      </c>
      <c r="F2174" s="366" t="s">
        <v>33</v>
      </c>
      <c r="G2174" s="348" t="str">
        <f>"'"&amp;$C2174&amp;"'!$E$62:$Y$62"</f>
        <v>'BLD_EE'!$E$62:$Y$62</v>
      </c>
      <c r="H2174" s="381">
        <f ca="1">IF(IFERROR(INDEX(DATA_PROPERTY_MASTER!$E$5:$E$21,MATCH($C2174,DATA_PROPERTY_MASTER!$A$5:$A$21,0))="Yes",FALSE),IFERROR(INDEX(INDIRECT("'"&amp;$C2174&amp;"'!$E$62:$Y$62"),1,MATCH($D2174,INDIRECT("'"&amp;$C2174&amp;"'!$E$12:$Y$12"),0)),0),0)</f>
        <v>0</v>
      </c>
      <c r="I2174" s="366" t="s">
        <v>1685</v>
      </c>
      <c r="J2174" s="348" t="str">
        <f t="shared" ca="1" si="66"/>
        <v>OK</v>
      </c>
      <c r="K2174" s="366" t="s">
        <v>1727</v>
      </c>
      <c r="L2174" s="366" t="s">
        <v>2254</v>
      </c>
      <c r="M2174" s="350" t="str">
        <f>IF($B2174="Portfolio","Portfolio",IFERROR(INDEX(DATA_ASSET_CLASSIFICATION!$B$8:$B$24,MATCH($C2174,DATA_ASSET_CLASSIFICATION!$A$8:$A$24,0)),"Review"))</f>
        <v>Evelyn Estates</v>
      </c>
      <c r="N2174" s="350" t="str">
        <f ca="1">IF($B2174="Portfolio","Portfolio",IFERROR(INDEX(DATA_ASSET_CLASSIFICATION!$U$8:$U$24,MATCH($C2174,DATA_ASSET_CLASSIFICATION!$A$8:$A$24,0)),"Review"))</f>
        <v>Refi Watch</v>
      </c>
      <c r="O2174" s="350" t="str">
        <f ca="1">IF($B2174="Portfolio","Portfolio",IFERROR(INDEX(DATA_ASSET_CLASSIFICATION!$AB$8:$AB$13,MATCH($N2174,DATA_ASSET_CLASSIFICATION!$AA$8:$AA$13,0)),"Review"))</f>
        <v>Bucket 2 · Legacy</v>
      </c>
      <c r="P2174" s="350" t="str">
        <f>IF($B2174="Portfolio","Portfolio",IFERROR(INDEX(DATA_ASSET_CLASSIFICATION!$C$8:$C$24,MATCH($C2174,DATA_ASSET_CLASSIFICATION!$A$8:$A$24,0)),"Review"))</f>
        <v>Yes</v>
      </c>
      <c r="Q2174" s="350" t="str">
        <f t="shared" ca="1" si="67"/>
        <v>OK</v>
      </c>
    </row>
    <row r="2175" spans="1:17">
      <c r="A2175" s="366" t="s">
        <v>4131</v>
      </c>
      <c r="B2175" s="366" t="s">
        <v>231</v>
      </c>
      <c r="C2175" s="348" t="str">
        <f>DATA_PROPERTY_MASTER!$A$11</f>
        <v>BLD_EE</v>
      </c>
      <c r="D2175" s="380">
        <f>'00_PORTFOLIO ROLLUP'!M$12</f>
        <v>2033</v>
      </c>
      <c r="E2175" s="366" t="s">
        <v>1721</v>
      </c>
      <c r="F2175" s="366" t="s">
        <v>35</v>
      </c>
      <c r="G2175" s="348" t="str">
        <f>"'"&amp;$C2175&amp;"'!$E$63:$Y$63"</f>
        <v>'BLD_EE'!$E$63:$Y$63</v>
      </c>
      <c r="H2175" s="381">
        <f ca="1">IF(IFERROR(INDEX(DATA_PROPERTY_MASTER!$E$5:$E$21,MATCH($C2175,DATA_PROPERTY_MASTER!$A$5:$A$21,0))="Yes",FALSE),IFERROR(INDEX(INDIRECT("'"&amp;$C2175&amp;"'!$E$63:$Y$63"),1,MATCH($D2175,INDIRECT("'"&amp;$C2175&amp;"'!$E$12:$Y$12"),0)),0),0)</f>
        <v>0</v>
      </c>
      <c r="I2175" s="366" t="s">
        <v>1731</v>
      </c>
      <c r="J2175" s="348" t="str">
        <f t="shared" ca="1" si="66"/>
        <v>OK</v>
      </c>
      <c r="K2175" s="366" t="s">
        <v>1732</v>
      </c>
      <c r="L2175" s="366" t="s">
        <v>2256</v>
      </c>
      <c r="M2175" s="350" t="str">
        <f>IF($B2175="Portfolio","Portfolio",IFERROR(INDEX(DATA_ASSET_CLASSIFICATION!$B$8:$B$24,MATCH($C2175,DATA_ASSET_CLASSIFICATION!$A$8:$A$24,0)),"Review"))</f>
        <v>Evelyn Estates</v>
      </c>
      <c r="N2175" s="350" t="str">
        <f ca="1">IF($B2175="Portfolio","Portfolio",IFERROR(INDEX(DATA_ASSET_CLASSIFICATION!$U$8:$U$24,MATCH($C2175,DATA_ASSET_CLASSIFICATION!$A$8:$A$24,0)),"Review"))</f>
        <v>Refi Watch</v>
      </c>
      <c r="O2175" s="350" t="str">
        <f ca="1">IF($B2175="Portfolio","Portfolio",IFERROR(INDEX(DATA_ASSET_CLASSIFICATION!$AB$8:$AB$13,MATCH($N2175,DATA_ASSET_CLASSIFICATION!$AA$8:$AA$13,0)),"Review"))</f>
        <v>Bucket 2 · Legacy</v>
      </c>
      <c r="P2175" s="350" t="str">
        <f>IF($B2175="Portfolio","Portfolio",IFERROR(INDEX(DATA_ASSET_CLASSIFICATION!$C$8:$C$24,MATCH($C2175,DATA_ASSET_CLASSIFICATION!$A$8:$A$24,0)),"Review"))</f>
        <v>Yes</v>
      </c>
      <c r="Q2175" s="350" t="str">
        <f t="shared" ca="1" si="67"/>
        <v>OK</v>
      </c>
    </row>
    <row r="2176" spans="1:17">
      <c r="A2176" s="366" t="s">
        <v>4132</v>
      </c>
      <c r="B2176" s="366" t="s">
        <v>231</v>
      </c>
      <c r="C2176" s="348" t="str">
        <f>DATA_PROPERTY_MASTER!$A$11</f>
        <v>BLD_EE</v>
      </c>
      <c r="D2176" s="380">
        <f>'00_PORTFOLIO ROLLUP'!M$12</f>
        <v>2033</v>
      </c>
      <c r="E2176" s="366" t="s">
        <v>1721</v>
      </c>
      <c r="F2176" s="366" t="s">
        <v>37</v>
      </c>
      <c r="G2176" s="348" t="str">
        <f>"'"&amp;$C2176&amp;"'!$E$63:$Y$63"</f>
        <v>'BLD_EE'!$E$63:$Y$63</v>
      </c>
      <c r="H2176" s="381">
        <f ca="1">IF(IFERROR(INDEX(DATA_PROPERTY_MASTER!$E$5:$E$21,MATCH($C2176,DATA_PROPERTY_MASTER!$A$5:$A$21,0))="Yes",FALSE),MAX(IFERROR(INDEX(INDIRECT("'"&amp;$C2176&amp;"'!$E$63:$Y$63"),1,MATCH($D2176,INDIRECT("'"&amp;$C2176&amp;"'!$E$12:$Y$12"),0)),0),0),0)</f>
        <v>0</v>
      </c>
      <c r="I2176" s="366" t="s">
        <v>1685</v>
      </c>
      <c r="J2176" s="348" t="str">
        <f t="shared" ca="1" si="66"/>
        <v>OK</v>
      </c>
      <c r="K2176" s="366" t="s">
        <v>1735</v>
      </c>
      <c r="L2176" s="366" t="s">
        <v>2258</v>
      </c>
      <c r="M2176" s="350" t="str">
        <f>IF($B2176="Portfolio","Portfolio",IFERROR(INDEX(DATA_ASSET_CLASSIFICATION!$B$8:$B$24,MATCH($C2176,DATA_ASSET_CLASSIFICATION!$A$8:$A$24,0)),"Review"))</f>
        <v>Evelyn Estates</v>
      </c>
      <c r="N2176" s="350" t="str">
        <f ca="1">IF($B2176="Portfolio","Portfolio",IFERROR(INDEX(DATA_ASSET_CLASSIFICATION!$U$8:$U$24,MATCH($C2176,DATA_ASSET_CLASSIFICATION!$A$8:$A$24,0)),"Review"))</f>
        <v>Refi Watch</v>
      </c>
      <c r="O2176" s="350" t="str">
        <f ca="1">IF($B2176="Portfolio","Portfolio",IFERROR(INDEX(DATA_ASSET_CLASSIFICATION!$AB$8:$AB$13,MATCH($N2176,DATA_ASSET_CLASSIFICATION!$AA$8:$AA$13,0)),"Review"))</f>
        <v>Bucket 2 · Legacy</v>
      </c>
      <c r="P2176" s="350" t="str">
        <f>IF($B2176="Portfolio","Portfolio",IFERROR(INDEX(DATA_ASSET_CLASSIFICATION!$C$8:$C$24,MATCH($C2176,DATA_ASSET_CLASSIFICATION!$A$8:$A$24,0)),"Review"))</f>
        <v>Yes</v>
      </c>
      <c r="Q2176" s="350" t="str">
        <f t="shared" ca="1" si="67"/>
        <v>OK</v>
      </c>
    </row>
    <row r="2177" spans="1:17">
      <c r="A2177" s="366" t="s">
        <v>4133</v>
      </c>
      <c r="B2177" s="366" t="s">
        <v>231</v>
      </c>
      <c r="C2177" s="348" t="str">
        <f>DATA_PROPERTY_MASTER!$A$11</f>
        <v>BLD_EE</v>
      </c>
      <c r="D2177" s="380">
        <f>'00_PORTFOLIO ROLLUP'!M$12</f>
        <v>2033</v>
      </c>
      <c r="E2177" s="366" t="s">
        <v>1721</v>
      </c>
      <c r="F2177" s="366" t="s">
        <v>39</v>
      </c>
      <c r="G2177" s="348" t="str">
        <f>"'"&amp;$C2177&amp;"'!$E$63:$Y$63"</f>
        <v>'BLD_EE'!$E$63:$Y$63</v>
      </c>
      <c r="H2177" s="381">
        <f ca="1">IF(IFERROR(INDEX(DATA_PROPERTY_MASTER!$E$5:$E$21,MATCH($C2177,DATA_PROPERTY_MASTER!$A$5:$A$21,0))="Yes",FALSE),MAX(-IFERROR(INDEX(INDIRECT("'"&amp;$C2177&amp;"'!$E$63:$Y$63"),1,MATCH($D2177,INDIRECT("'"&amp;$C2177&amp;"'!$E$12:$Y$12"),0)),0),0),0)</f>
        <v>0</v>
      </c>
      <c r="I2177" s="366" t="s">
        <v>1690</v>
      </c>
      <c r="J2177" s="348" t="str">
        <f t="shared" ca="1" si="66"/>
        <v>OK</v>
      </c>
      <c r="K2177" s="366" t="s">
        <v>1738</v>
      </c>
      <c r="L2177" s="366" t="s">
        <v>2260</v>
      </c>
      <c r="M2177" s="350" t="str">
        <f>IF($B2177="Portfolio","Portfolio",IFERROR(INDEX(DATA_ASSET_CLASSIFICATION!$B$8:$B$24,MATCH($C2177,DATA_ASSET_CLASSIFICATION!$A$8:$A$24,0)),"Review"))</f>
        <v>Evelyn Estates</v>
      </c>
      <c r="N2177" s="350" t="str">
        <f ca="1">IF($B2177="Portfolio","Portfolio",IFERROR(INDEX(DATA_ASSET_CLASSIFICATION!$U$8:$U$24,MATCH($C2177,DATA_ASSET_CLASSIFICATION!$A$8:$A$24,0)),"Review"))</f>
        <v>Refi Watch</v>
      </c>
      <c r="O2177" s="350" t="str">
        <f ca="1">IF($B2177="Portfolio","Portfolio",IFERROR(INDEX(DATA_ASSET_CLASSIFICATION!$AB$8:$AB$13,MATCH($N2177,DATA_ASSET_CLASSIFICATION!$AA$8:$AA$13,0)),"Review"))</f>
        <v>Bucket 2 · Legacy</v>
      </c>
      <c r="P2177" s="350" t="str">
        <f>IF($B2177="Portfolio","Portfolio",IFERROR(INDEX(DATA_ASSET_CLASSIFICATION!$C$8:$C$24,MATCH($C2177,DATA_ASSET_CLASSIFICATION!$A$8:$A$24,0)),"Review"))</f>
        <v>Yes</v>
      </c>
      <c r="Q2177" s="350" t="str">
        <f t="shared" ca="1" si="67"/>
        <v>OK</v>
      </c>
    </row>
    <row r="2178" spans="1:17">
      <c r="A2178" s="366" t="s">
        <v>4134</v>
      </c>
      <c r="B2178" s="366" t="s">
        <v>231</v>
      </c>
      <c r="C2178" s="348" t="str">
        <f>DATA_PROPERTY_MASTER!$A$11</f>
        <v>BLD_EE</v>
      </c>
      <c r="D2178" s="380">
        <f>'00_PORTFOLIO ROLLUP'!M$12</f>
        <v>2033</v>
      </c>
      <c r="E2178" s="366" t="s">
        <v>1741</v>
      </c>
      <c r="F2178" s="366" t="s">
        <v>41</v>
      </c>
      <c r="G2178" s="348" t="str">
        <f>"'"&amp;$C2178&amp;"'!rows 56 + positive row 63"</f>
        <v>'BLD_EE'!rows 56 + positive row 63</v>
      </c>
      <c r="H2178" s="381">
        <f ca="1">IF(IFERROR(INDEX(DATA_PROPERTY_MASTER!$E$5:$E$21,MATCH($C2178,DATA_PROPERTY_MASTER!$A$5:$A$21,0))="Yes",FALSE),IFERROR(INDEX(INDIRECT("'"&amp;$C2178&amp;"'!$E$56:$Y$56"),1,MATCH($D2178,INDIRECT("'"&amp;$C2178&amp;"'!$E$12:$Y$12"),0)),0)+MAX(IFERROR(INDEX(INDIRECT("'"&amp;$C2178&amp;"'!$E$63:$Y$63"),1,MATCH($D2178,INDIRECT("'"&amp;$C2178&amp;"'!$E$12:$Y$12"),0)),0),0),0)</f>
        <v>116862.90728313659</v>
      </c>
      <c r="I2178" s="366" t="s">
        <v>1685</v>
      </c>
      <c r="J2178" s="348" t="str">
        <f t="shared" ca="1" si="66"/>
        <v>OK</v>
      </c>
      <c r="K2178" s="366" t="s">
        <v>1742</v>
      </c>
      <c r="L2178" s="366" t="s">
        <v>2262</v>
      </c>
      <c r="M2178" s="350" t="str">
        <f>IF($B2178="Portfolio","Portfolio",IFERROR(INDEX(DATA_ASSET_CLASSIFICATION!$B$8:$B$24,MATCH($C2178,DATA_ASSET_CLASSIFICATION!$A$8:$A$24,0)),"Review"))</f>
        <v>Evelyn Estates</v>
      </c>
      <c r="N2178" s="350" t="str">
        <f ca="1">IF($B2178="Portfolio","Portfolio",IFERROR(INDEX(DATA_ASSET_CLASSIFICATION!$U$8:$U$24,MATCH($C2178,DATA_ASSET_CLASSIFICATION!$A$8:$A$24,0)),"Review"))</f>
        <v>Refi Watch</v>
      </c>
      <c r="O2178" s="350" t="str">
        <f ca="1">IF($B2178="Portfolio","Portfolio",IFERROR(INDEX(DATA_ASSET_CLASSIFICATION!$AB$8:$AB$13,MATCH($N2178,DATA_ASSET_CLASSIFICATION!$AA$8:$AA$13,0)),"Review"))</f>
        <v>Bucket 2 · Legacy</v>
      </c>
      <c r="P2178" s="350" t="str">
        <f>IF($B2178="Portfolio","Portfolio",IFERROR(INDEX(DATA_ASSET_CLASSIFICATION!$C$8:$C$24,MATCH($C2178,DATA_ASSET_CLASSIFICATION!$A$8:$A$24,0)),"Review"))</f>
        <v>Yes</v>
      </c>
      <c r="Q2178" s="350" t="str">
        <f t="shared" ca="1" si="67"/>
        <v>OK</v>
      </c>
    </row>
    <row r="2179" spans="1:17">
      <c r="A2179" s="366" t="s">
        <v>4135</v>
      </c>
      <c r="B2179" s="366" t="s">
        <v>231</v>
      </c>
      <c r="C2179" s="348" t="str">
        <f>DATA_PROPERTY_MASTER!$A$11</f>
        <v>BLD_EE</v>
      </c>
      <c r="D2179" s="380">
        <f>'00_PORTFOLIO ROLLUP'!M$12</f>
        <v>2033</v>
      </c>
      <c r="E2179" s="366" t="s">
        <v>1741</v>
      </c>
      <c r="F2179" s="366" t="s">
        <v>43</v>
      </c>
      <c r="G2179" s="348" t="str">
        <f>"'"&amp;$C2179&amp;"'!$E$68:$Y$68"</f>
        <v>'BLD_EE'!$E$68:$Y$68</v>
      </c>
      <c r="H2179" s="381">
        <f ca="1">IF(IFERROR(INDEX(DATA_PROPERTY_MASTER!$E$5:$E$21,MATCH($C2179,DATA_PROPERTY_MASTER!$A$5:$A$21,0))="Yes",FALSE),IFERROR(INDEX(INDIRECT("'"&amp;$C2179&amp;"'!$E$68:$Y$68"),1,MATCH($D2179,INDIRECT("'"&amp;$C2179&amp;"'!$E$12:$Y$12"),0)),0),0)</f>
        <v>116862.90728313659</v>
      </c>
      <c r="I2179" s="366" t="s">
        <v>1731</v>
      </c>
      <c r="J2179" s="348" t="str">
        <f t="shared" ca="1" si="66"/>
        <v>OK</v>
      </c>
      <c r="K2179" s="366" t="s">
        <v>1746</v>
      </c>
      <c r="L2179" s="366" t="s">
        <v>2264</v>
      </c>
      <c r="M2179" s="350" t="str">
        <f>IF($B2179="Portfolio","Portfolio",IFERROR(INDEX(DATA_ASSET_CLASSIFICATION!$B$8:$B$24,MATCH($C2179,DATA_ASSET_CLASSIFICATION!$A$8:$A$24,0)),"Review"))</f>
        <v>Evelyn Estates</v>
      </c>
      <c r="N2179" s="350" t="str">
        <f ca="1">IF($B2179="Portfolio","Portfolio",IFERROR(INDEX(DATA_ASSET_CLASSIFICATION!$U$8:$U$24,MATCH($C2179,DATA_ASSET_CLASSIFICATION!$A$8:$A$24,0)),"Review"))</f>
        <v>Refi Watch</v>
      </c>
      <c r="O2179" s="350" t="str">
        <f ca="1">IF($B2179="Portfolio","Portfolio",IFERROR(INDEX(DATA_ASSET_CLASSIFICATION!$AB$8:$AB$13,MATCH($N2179,DATA_ASSET_CLASSIFICATION!$AA$8:$AA$13,0)),"Review"))</f>
        <v>Bucket 2 · Legacy</v>
      </c>
      <c r="P2179" s="350" t="str">
        <f>IF($B2179="Portfolio","Portfolio",IFERROR(INDEX(DATA_ASSET_CLASSIFICATION!$C$8:$C$24,MATCH($C2179,DATA_ASSET_CLASSIFICATION!$A$8:$A$24,0)),"Review"))</f>
        <v>Yes</v>
      </c>
      <c r="Q2179" s="350" t="str">
        <f t="shared" ca="1" si="67"/>
        <v>OK</v>
      </c>
    </row>
    <row r="2180" spans="1:17">
      <c r="A2180" s="366" t="s">
        <v>4136</v>
      </c>
      <c r="B2180" s="366" t="s">
        <v>231</v>
      </c>
      <c r="C2180" s="348" t="str">
        <f>DATA_PROPERTY_MASTER!$A$11</f>
        <v>BLD_EE</v>
      </c>
      <c r="D2180" s="380">
        <f>'00_PORTFOLIO ROLLUP'!M$12</f>
        <v>2033</v>
      </c>
      <c r="E2180" s="366" t="s">
        <v>1741</v>
      </c>
      <c r="F2180" s="366" t="s">
        <v>1749</v>
      </c>
      <c r="G2180" s="348" t="str">
        <f>"'"&amp;$C2180&amp;"'!rows 56, 63, 68"</f>
        <v>'BLD_EE'!rows 56, 63, 68</v>
      </c>
      <c r="H2180" s="381">
        <f ca="1">IF(IFERROR(INDEX(DATA_PROPERTY_MASTER!$E$5:$E$21,MATCH($C2180,DATA_PROPERTY_MASTER!$A$5:$A$21,0))="Yes",FALSE),(IFERROR(INDEX(INDIRECT("'"&amp;$C2180&amp;"'!$E$56:$Y$56"),1,MATCH($D2180,INDIRECT("'"&amp;$C2180&amp;"'!$E$12:$Y$12"),0)),0)+MAX(IFERROR(INDEX(INDIRECT("'"&amp;$C2180&amp;"'!$E$63:$Y$63"),1,MATCH($D2180,INDIRECT("'"&amp;$C2180&amp;"'!$E$12:$Y$12"),0)),0),0))-(IFERROR(INDEX(INDIRECT("'"&amp;$C2180&amp;"'!$E$68:$Y$68"),1,MATCH($D2180,INDIRECT("'"&amp;$C2180&amp;"'!$E$12:$Y$12"),0)),0)),0)</f>
        <v>0</v>
      </c>
      <c r="I2180" s="366" t="s">
        <v>1750</v>
      </c>
      <c r="J2180" s="348" t="str">
        <f t="shared" ca="1" si="66"/>
        <v>OK</v>
      </c>
      <c r="K2180" s="366" t="s">
        <v>1751</v>
      </c>
      <c r="L2180" s="366" t="s">
        <v>2266</v>
      </c>
      <c r="M2180" s="350" t="str">
        <f>IF($B2180="Portfolio","Portfolio",IFERROR(INDEX(DATA_ASSET_CLASSIFICATION!$B$8:$B$24,MATCH($C2180,DATA_ASSET_CLASSIFICATION!$A$8:$A$24,0)),"Review"))</f>
        <v>Evelyn Estates</v>
      </c>
      <c r="N2180" s="350" t="str">
        <f ca="1">IF($B2180="Portfolio","Portfolio",IFERROR(INDEX(DATA_ASSET_CLASSIFICATION!$U$8:$U$24,MATCH($C2180,DATA_ASSET_CLASSIFICATION!$A$8:$A$24,0)),"Review"))</f>
        <v>Refi Watch</v>
      </c>
      <c r="O2180" s="350" t="str">
        <f ca="1">IF($B2180="Portfolio","Portfolio",IFERROR(INDEX(DATA_ASSET_CLASSIFICATION!$AB$8:$AB$13,MATCH($N2180,DATA_ASSET_CLASSIFICATION!$AA$8:$AA$13,0)),"Review"))</f>
        <v>Bucket 2 · Legacy</v>
      </c>
      <c r="P2180" s="350" t="str">
        <f>IF($B2180="Portfolio","Portfolio",IFERROR(INDEX(DATA_ASSET_CLASSIFICATION!$C$8:$C$24,MATCH($C2180,DATA_ASSET_CLASSIFICATION!$A$8:$A$24,0)),"Review"))</f>
        <v>Yes</v>
      </c>
      <c r="Q2180" s="350" t="str">
        <f t="shared" ca="1" si="67"/>
        <v>OK</v>
      </c>
    </row>
    <row r="2181" spans="1:17">
      <c r="A2181" s="366" t="s">
        <v>4137</v>
      </c>
      <c r="B2181" s="366" t="s">
        <v>231</v>
      </c>
      <c r="C2181" s="348" t="str">
        <f>DATA_PROPERTY_MASTER!$A$11</f>
        <v>BLD_EE</v>
      </c>
      <c r="D2181" s="380">
        <f>'00_PORTFOLIO ROLLUP'!N$12</f>
        <v>2034</v>
      </c>
      <c r="E2181" s="366" t="s">
        <v>1683</v>
      </c>
      <c r="F2181" s="366" t="s">
        <v>341</v>
      </c>
      <c r="G2181" s="348" t="str">
        <f>"'"&amp;$C2181&amp;"'!$E$24:$Y$24"</f>
        <v>'BLD_EE'!$E$24:$Y$24</v>
      </c>
      <c r="H2181" s="381">
        <f ca="1">IF(IFERROR(INDEX(DATA_PROPERTY_MASTER!$E$5:$E$21,MATCH($C2181,DATA_PROPERTY_MASTER!$A$5:$A$21,0))="Yes",FALSE),IFERROR(INDEX(INDIRECT("'"&amp;$C2181&amp;"'!$E$24:$Y$24"),1,MATCH($D2181,INDIRECT("'"&amp;$C2181&amp;"'!$E$12:$Y$12"),0)),0),0)</f>
        <v>600890.17243964155</v>
      </c>
      <c r="I2181" s="366" t="s">
        <v>1685</v>
      </c>
      <c r="J2181" s="348" t="str">
        <f t="shared" ref="J2181:J2244" ca="1" si="68">IF($F2181="Residual Funding Gap",IF($H2181&gt;0,"Funding Gap","OK"),IF(AND($F2181="Net Refinance Position",$H2181&lt;0),"Negative net refi position","OK"))</f>
        <v>OK</v>
      </c>
      <c r="K2181" s="366" t="s">
        <v>1686</v>
      </c>
      <c r="L2181" s="366" t="s">
        <v>2234</v>
      </c>
      <c r="M2181" s="350" t="str">
        <f>IF($B2181="Portfolio","Portfolio",IFERROR(INDEX(DATA_ASSET_CLASSIFICATION!$B$8:$B$24,MATCH($C2181,DATA_ASSET_CLASSIFICATION!$A$8:$A$24,0)),"Review"))</f>
        <v>Evelyn Estates</v>
      </c>
      <c r="N2181" s="350" t="str">
        <f ca="1">IF($B2181="Portfolio","Portfolio",IFERROR(INDEX(DATA_ASSET_CLASSIFICATION!$U$8:$U$24,MATCH($C2181,DATA_ASSET_CLASSIFICATION!$A$8:$A$24,0)),"Review"))</f>
        <v>Refi Watch</v>
      </c>
      <c r="O2181" s="350" t="str">
        <f ca="1">IF($B2181="Portfolio","Portfolio",IFERROR(INDEX(DATA_ASSET_CLASSIFICATION!$AB$8:$AB$13,MATCH($N2181,DATA_ASSET_CLASSIFICATION!$AA$8:$AA$13,0)),"Review"))</f>
        <v>Bucket 2 · Legacy</v>
      </c>
      <c r="P2181" s="350" t="str">
        <f>IF($B2181="Portfolio","Portfolio",IFERROR(INDEX(DATA_ASSET_CLASSIFICATION!$C$8:$C$24,MATCH($C2181,DATA_ASSET_CLASSIFICATION!$A$8:$A$24,0)),"Review"))</f>
        <v>Yes</v>
      </c>
      <c r="Q2181" s="350" t="str">
        <f t="shared" ref="Q2181:Q2244" ca="1" si="69">IF(AND($B2181="Property",$F2181="Residual Funding Gap",$H2181&gt;0),"Property Funding Gap",IF($J2181&lt;&gt;"OK",$J2181,"OK"))</f>
        <v>OK</v>
      </c>
    </row>
    <row r="2182" spans="1:17">
      <c r="A2182" s="366" t="s">
        <v>4138</v>
      </c>
      <c r="B2182" s="366" t="s">
        <v>231</v>
      </c>
      <c r="C2182" s="348" t="str">
        <f>DATA_PROPERTY_MASTER!$A$11</f>
        <v>BLD_EE</v>
      </c>
      <c r="D2182" s="380">
        <f>'00_PORTFOLIO ROLLUP'!N$12</f>
        <v>2034</v>
      </c>
      <c r="E2182" s="366" t="s">
        <v>1683</v>
      </c>
      <c r="F2182" s="366" t="s">
        <v>355</v>
      </c>
      <c r="G2182" s="348" t="str">
        <f>"'"&amp;$C2182&amp;"'!$E$39:$Y$39"</f>
        <v>'BLD_EE'!$E$39:$Y$39</v>
      </c>
      <c r="H2182" s="381">
        <f ca="1">IF(IFERROR(INDEX(DATA_PROPERTY_MASTER!$E$5:$E$21,MATCH($C2182,DATA_PROPERTY_MASTER!$A$5:$A$21,0))="Yes",FALSE),IFERROR(INDEX(INDIRECT("'"&amp;$C2182&amp;"'!$E$39:$Y$39"),1,MATCH($D2182,INDIRECT("'"&amp;$C2182&amp;"'!$E$12:$Y$12"),0)),0),0)</f>
        <v>308828.77374740137</v>
      </c>
      <c r="I2182" s="366" t="s">
        <v>1690</v>
      </c>
      <c r="J2182" s="348" t="str">
        <f t="shared" ca="1" si="68"/>
        <v>OK</v>
      </c>
      <c r="K2182" s="366" t="s">
        <v>1686</v>
      </c>
      <c r="L2182" s="366" t="s">
        <v>2236</v>
      </c>
      <c r="M2182" s="350" t="str">
        <f>IF($B2182="Portfolio","Portfolio",IFERROR(INDEX(DATA_ASSET_CLASSIFICATION!$B$8:$B$24,MATCH($C2182,DATA_ASSET_CLASSIFICATION!$A$8:$A$24,0)),"Review"))</f>
        <v>Evelyn Estates</v>
      </c>
      <c r="N2182" s="350" t="str">
        <f ca="1">IF($B2182="Portfolio","Portfolio",IFERROR(INDEX(DATA_ASSET_CLASSIFICATION!$U$8:$U$24,MATCH($C2182,DATA_ASSET_CLASSIFICATION!$A$8:$A$24,0)),"Review"))</f>
        <v>Refi Watch</v>
      </c>
      <c r="O2182" s="350" t="str">
        <f ca="1">IF($B2182="Portfolio","Portfolio",IFERROR(INDEX(DATA_ASSET_CLASSIFICATION!$AB$8:$AB$13,MATCH($N2182,DATA_ASSET_CLASSIFICATION!$AA$8:$AA$13,0)),"Review"))</f>
        <v>Bucket 2 · Legacy</v>
      </c>
      <c r="P2182" s="350" t="str">
        <f>IF($B2182="Portfolio","Portfolio",IFERROR(INDEX(DATA_ASSET_CLASSIFICATION!$C$8:$C$24,MATCH($C2182,DATA_ASSET_CLASSIFICATION!$A$8:$A$24,0)),"Review"))</f>
        <v>Yes</v>
      </c>
      <c r="Q2182" s="350" t="str">
        <f t="shared" ca="1" si="69"/>
        <v>OK</v>
      </c>
    </row>
    <row r="2183" spans="1:17">
      <c r="A2183" s="366" t="s">
        <v>4139</v>
      </c>
      <c r="B2183" s="366" t="s">
        <v>231</v>
      </c>
      <c r="C2183" s="348" t="str">
        <f>DATA_PROPERTY_MASTER!$A$11</f>
        <v>BLD_EE</v>
      </c>
      <c r="D2183" s="380">
        <f>'00_PORTFOLIO ROLLUP'!N$12</f>
        <v>2034</v>
      </c>
      <c r="E2183" s="366" t="s">
        <v>1683</v>
      </c>
      <c r="F2183" s="366" t="s">
        <v>19</v>
      </c>
      <c r="G2183" s="348" t="str">
        <f>"'"&amp;$C2183&amp;"'!$E$41:$Y$41"</f>
        <v>'BLD_EE'!$E$41:$Y$41</v>
      </c>
      <c r="H2183" s="381">
        <f ca="1">IF(IFERROR(INDEX(DATA_PROPERTY_MASTER!$E$5:$E$21,MATCH($C2183,DATA_PROPERTY_MASTER!$A$5:$A$21,0))="Yes",FALSE),IFERROR(INDEX(INDIRECT("'"&amp;$C2183&amp;"'!$E$41:$Y$41"),1,MATCH($D2183,INDIRECT("'"&amp;$C2183&amp;"'!$E$12:$Y$12"),0)),0),0)</f>
        <v>292061.39869224018</v>
      </c>
      <c r="I2183" s="366" t="s">
        <v>1685</v>
      </c>
      <c r="J2183" s="348" t="str">
        <f t="shared" ca="1" si="68"/>
        <v>OK</v>
      </c>
      <c r="K2183" s="366" t="s">
        <v>1694</v>
      </c>
      <c r="L2183" s="366" t="s">
        <v>2238</v>
      </c>
      <c r="M2183" s="350" t="str">
        <f>IF($B2183="Portfolio","Portfolio",IFERROR(INDEX(DATA_ASSET_CLASSIFICATION!$B$8:$B$24,MATCH($C2183,DATA_ASSET_CLASSIFICATION!$A$8:$A$24,0)),"Review"))</f>
        <v>Evelyn Estates</v>
      </c>
      <c r="N2183" s="350" t="str">
        <f ca="1">IF($B2183="Portfolio","Portfolio",IFERROR(INDEX(DATA_ASSET_CLASSIFICATION!$U$8:$U$24,MATCH($C2183,DATA_ASSET_CLASSIFICATION!$A$8:$A$24,0)),"Review"))</f>
        <v>Refi Watch</v>
      </c>
      <c r="O2183" s="350" t="str">
        <f ca="1">IF($B2183="Portfolio","Portfolio",IFERROR(INDEX(DATA_ASSET_CLASSIFICATION!$AB$8:$AB$13,MATCH($N2183,DATA_ASSET_CLASSIFICATION!$AA$8:$AA$13,0)),"Review"))</f>
        <v>Bucket 2 · Legacy</v>
      </c>
      <c r="P2183" s="350" t="str">
        <f>IF($B2183="Portfolio","Portfolio",IFERROR(INDEX(DATA_ASSET_CLASSIFICATION!$C$8:$C$24,MATCH($C2183,DATA_ASSET_CLASSIFICATION!$A$8:$A$24,0)),"Review"))</f>
        <v>Yes</v>
      </c>
      <c r="Q2183" s="350" t="str">
        <f t="shared" ca="1" si="69"/>
        <v>OK</v>
      </c>
    </row>
    <row r="2184" spans="1:17">
      <c r="A2184" s="366" t="s">
        <v>4140</v>
      </c>
      <c r="B2184" s="366" t="s">
        <v>231</v>
      </c>
      <c r="C2184" s="348" t="str">
        <f>DATA_PROPERTY_MASTER!$A$11</f>
        <v>BLD_EE</v>
      </c>
      <c r="D2184" s="380">
        <f>'00_PORTFOLIO ROLLUP'!N$12</f>
        <v>2034</v>
      </c>
      <c r="E2184" s="366" t="s">
        <v>1683</v>
      </c>
      <c r="F2184" s="366" t="s">
        <v>1697</v>
      </c>
      <c r="G2184" s="348" t="str">
        <f>"'"&amp;$C2184&amp;"'!$E$44:$Y$44"</f>
        <v>'BLD_EE'!$E$44:$Y$44</v>
      </c>
      <c r="H2184" s="381">
        <f ca="1">IF(IFERROR(INDEX(DATA_PROPERTY_MASTER!$E$5:$E$21,MATCH($C2184,DATA_PROPERTY_MASTER!$A$5:$A$21,0))="Yes",FALSE),IFERROR(INDEX(INDIRECT("'"&amp;$C2184&amp;"'!$E$44:$Y$44"),1,MATCH($D2184,INDIRECT("'"&amp;$C2184&amp;"'!$E$12:$Y$12"),0)),0),0)</f>
        <v>6453.4998705604785</v>
      </c>
      <c r="I2184" s="366" t="s">
        <v>1690</v>
      </c>
      <c r="J2184" s="348" t="str">
        <f t="shared" ca="1" si="68"/>
        <v>OK</v>
      </c>
      <c r="K2184" s="366" t="s">
        <v>1699</v>
      </c>
      <c r="L2184" s="366" t="s">
        <v>2240</v>
      </c>
      <c r="M2184" s="350" t="str">
        <f>IF($B2184="Portfolio","Portfolio",IFERROR(INDEX(DATA_ASSET_CLASSIFICATION!$B$8:$B$24,MATCH($C2184,DATA_ASSET_CLASSIFICATION!$A$8:$A$24,0)),"Review"))</f>
        <v>Evelyn Estates</v>
      </c>
      <c r="N2184" s="350" t="str">
        <f ca="1">IF($B2184="Portfolio","Portfolio",IFERROR(INDEX(DATA_ASSET_CLASSIFICATION!$U$8:$U$24,MATCH($C2184,DATA_ASSET_CLASSIFICATION!$A$8:$A$24,0)),"Review"))</f>
        <v>Refi Watch</v>
      </c>
      <c r="O2184" s="350" t="str">
        <f ca="1">IF($B2184="Portfolio","Portfolio",IFERROR(INDEX(DATA_ASSET_CLASSIFICATION!$AB$8:$AB$13,MATCH($N2184,DATA_ASSET_CLASSIFICATION!$AA$8:$AA$13,0)),"Review"))</f>
        <v>Bucket 2 · Legacy</v>
      </c>
      <c r="P2184" s="350" t="str">
        <f>IF($B2184="Portfolio","Portfolio",IFERROR(INDEX(DATA_ASSET_CLASSIFICATION!$C$8:$C$24,MATCH($C2184,DATA_ASSET_CLASSIFICATION!$A$8:$A$24,0)),"Review"))</f>
        <v>Yes</v>
      </c>
      <c r="Q2184" s="350" t="str">
        <f t="shared" ca="1" si="69"/>
        <v>OK</v>
      </c>
    </row>
    <row r="2185" spans="1:17">
      <c r="A2185" s="366" t="s">
        <v>4141</v>
      </c>
      <c r="B2185" s="366" t="s">
        <v>231</v>
      </c>
      <c r="C2185" s="348" t="str">
        <f>DATA_PROPERTY_MASTER!$A$11</f>
        <v>BLD_EE</v>
      </c>
      <c r="D2185" s="380">
        <f>'00_PORTFOLIO ROLLUP'!N$12</f>
        <v>2034</v>
      </c>
      <c r="E2185" s="366" t="s">
        <v>1683</v>
      </c>
      <c r="F2185" s="366" t="s">
        <v>21</v>
      </c>
      <c r="G2185" s="348" t="str">
        <f>"'"&amp;$C2185&amp;"'!$E$45:$Y$45"</f>
        <v>'BLD_EE'!$E$45:$Y$45</v>
      </c>
      <c r="H2185" s="381">
        <f ca="1">IF(IFERROR(INDEX(DATA_PROPERTY_MASTER!$E$5:$E$21,MATCH($C2185,DATA_PROPERTY_MASTER!$A$5:$A$21,0))="Yes",FALSE),IFERROR(INDEX(INDIRECT("'"&amp;$C2185&amp;"'!$E$45:$Y$45"),1,MATCH($D2185,INDIRECT("'"&amp;$C2185&amp;"'!$E$12:$Y$12"),0)),0),0)</f>
        <v>285607.8988216797</v>
      </c>
      <c r="I2185" s="366" t="s">
        <v>1685</v>
      </c>
      <c r="J2185" s="348" t="str">
        <f t="shared" ca="1" si="68"/>
        <v>OK</v>
      </c>
      <c r="K2185" s="366" t="s">
        <v>1694</v>
      </c>
      <c r="L2185" s="366" t="s">
        <v>2242</v>
      </c>
      <c r="M2185" s="350" t="str">
        <f>IF($B2185="Portfolio","Portfolio",IFERROR(INDEX(DATA_ASSET_CLASSIFICATION!$B$8:$B$24,MATCH($C2185,DATA_ASSET_CLASSIFICATION!$A$8:$A$24,0)),"Review"))</f>
        <v>Evelyn Estates</v>
      </c>
      <c r="N2185" s="350" t="str">
        <f ca="1">IF($B2185="Portfolio","Portfolio",IFERROR(INDEX(DATA_ASSET_CLASSIFICATION!$U$8:$U$24,MATCH($C2185,DATA_ASSET_CLASSIFICATION!$A$8:$A$24,0)),"Review"))</f>
        <v>Refi Watch</v>
      </c>
      <c r="O2185" s="350" t="str">
        <f ca="1">IF($B2185="Portfolio","Portfolio",IFERROR(INDEX(DATA_ASSET_CLASSIFICATION!$AB$8:$AB$13,MATCH($N2185,DATA_ASSET_CLASSIFICATION!$AA$8:$AA$13,0)),"Review"))</f>
        <v>Bucket 2 · Legacy</v>
      </c>
      <c r="P2185" s="350" t="str">
        <f>IF($B2185="Portfolio","Portfolio",IFERROR(INDEX(DATA_ASSET_CLASSIFICATION!$C$8:$C$24,MATCH($C2185,DATA_ASSET_CLASSIFICATION!$A$8:$A$24,0)),"Review"))</f>
        <v>Yes</v>
      </c>
      <c r="Q2185" s="350" t="str">
        <f t="shared" ca="1" si="69"/>
        <v>OK</v>
      </c>
    </row>
    <row r="2186" spans="1:17">
      <c r="A2186" s="366" t="s">
        <v>4142</v>
      </c>
      <c r="B2186" s="366" t="s">
        <v>231</v>
      </c>
      <c r="C2186" s="348" t="str">
        <f>DATA_PROPERTY_MASTER!$A$11</f>
        <v>BLD_EE</v>
      </c>
      <c r="D2186" s="380">
        <f>'00_PORTFOLIO ROLLUP'!N$12</f>
        <v>2034</v>
      </c>
      <c r="E2186" s="366" t="s">
        <v>23</v>
      </c>
      <c r="F2186" s="366" t="s">
        <v>23</v>
      </c>
      <c r="G2186" s="348" t="str">
        <f>"'"&amp;$C2186&amp;"'!$E$48:$Y$48"</f>
        <v>'BLD_EE'!$E$48:$Y$48</v>
      </c>
      <c r="H2186" s="381">
        <f ca="1">IF(IFERROR(INDEX(DATA_PROPERTY_MASTER!$E$5:$E$21,MATCH($C2186,DATA_PROPERTY_MASTER!$A$5:$A$21,0))="Yes",FALSE),IFERROR(INDEX(INDIRECT("'"&amp;$C2186&amp;"'!$E$48:$Y$48"),1,MATCH($D2186,INDIRECT("'"&amp;$C2186&amp;"'!$E$12:$Y$12"),0)),0),0)</f>
        <v>0</v>
      </c>
      <c r="I2186" s="366" t="s">
        <v>1690</v>
      </c>
      <c r="J2186" s="348" t="str">
        <f t="shared" ca="1" si="68"/>
        <v>OK</v>
      </c>
      <c r="K2186" s="366" t="s">
        <v>1706</v>
      </c>
      <c r="L2186" s="366" t="s">
        <v>2244</v>
      </c>
      <c r="M2186" s="350" t="str">
        <f>IF($B2186="Portfolio","Portfolio",IFERROR(INDEX(DATA_ASSET_CLASSIFICATION!$B$8:$B$24,MATCH($C2186,DATA_ASSET_CLASSIFICATION!$A$8:$A$24,0)),"Review"))</f>
        <v>Evelyn Estates</v>
      </c>
      <c r="N2186" s="350" t="str">
        <f ca="1">IF($B2186="Portfolio","Portfolio",IFERROR(INDEX(DATA_ASSET_CLASSIFICATION!$U$8:$U$24,MATCH($C2186,DATA_ASSET_CLASSIFICATION!$A$8:$A$24,0)),"Review"))</f>
        <v>Refi Watch</v>
      </c>
      <c r="O2186" s="350" t="str">
        <f ca="1">IF($B2186="Portfolio","Portfolio",IFERROR(INDEX(DATA_ASSET_CLASSIFICATION!$AB$8:$AB$13,MATCH($N2186,DATA_ASSET_CLASSIFICATION!$AA$8:$AA$13,0)),"Review"))</f>
        <v>Bucket 2 · Legacy</v>
      </c>
      <c r="P2186" s="350" t="str">
        <f>IF($B2186="Portfolio","Portfolio",IFERROR(INDEX(DATA_ASSET_CLASSIFICATION!$C$8:$C$24,MATCH($C2186,DATA_ASSET_CLASSIFICATION!$A$8:$A$24,0)),"Review"))</f>
        <v>Yes</v>
      </c>
      <c r="Q2186" s="350" t="str">
        <f t="shared" ca="1" si="69"/>
        <v>OK</v>
      </c>
    </row>
    <row r="2187" spans="1:17">
      <c r="A2187" s="366" t="s">
        <v>4143</v>
      </c>
      <c r="B2187" s="366" t="s">
        <v>231</v>
      </c>
      <c r="C2187" s="348" t="str">
        <f>DATA_PROPERTY_MASTER!$A$11</f>
        <v>BLD_EE</v>
      </c>
      <c r="D2187" s="380">
        <f>'00_PORTFOLIO ROLLUP'!N$12</f>
        <v>2034</v>
      </c>
      <c r="E2187" s="366" t="s">
        <v>1683</v>
      </c>
      <c r="F2187" s="366" t="s">
        <v>25</v>
      </c>
      <c r="G2187" s="348" t="str">
        <f>"'"&amp;$C2187&amp;"'!$E$52:$Y$52"</f>
        <v>'BLD_EE'!$E$52:$Y$52</v>
      </c>
      <c r="H2187" s="381">
        <f ca="1">IF(IFERROR(INDEX(DATA_PROPERTY_MASTER!$E$5:$E$21,MATCH($C2187,DATA_PROPERTY_MASTER!$A$5:$A$21,0))="Yes",FALSE),IFERROR(INDEX(INDIRECT("'"&amp;$C2187&amp;"'!$E$52:$Y$52"),1,MATCH($D2187,INDIRECT("'"&amp;$C2187&amp;"'!$E$12:$Y$12"),0)),0),0)</f>
        <v>292061.39869224018</v>
      </c>
      <c r="I2187" s="366" t="s">
        <v>1685</v>
      </c>
      <c r="J2187" s="348" t="str">
        <f t="shared" ca="1" si="68"/>
        <v>OK</v>
      </c>
      <c r="K2187" s="366" t="s">
        <v>1710</v>
      </c>
      <c r="L2187" s="366" t="s">
        <v>2246</v>
      </c>
      <c r="M2187" s="350" t="str">
        <f>IF($B2187="Portfolio","Portfolio",IFERROR(INDEX(DATA_ASSET_CLASSIFICATION!$B$8:$B$24,MATCH($C2187,DATA_ASSET_CLASSIFICATION!$A$8:$A$24,0)),"Review"))</f>
        <v>Evelyn Estates</v>
      </c>
      <c r="N2187" s="350" t="str">
        <f ca="1">IF($B2187="Portfolio","Portfolio",IFERROR(INDEX(DATA_ASSET_CLASSIFICATION!$U$8:$U$24,MATCH($C2187,DATA_ASSET_CLASSIFICATION!$A$8:$A$24,0)),"Review"))</f>
        <v>Refi Watch</v>
      </c>
      <c r="O2187" s="350" t="str">
        <f ca="1">IF($B2187="Portfolio","Portfolio",IFERROR(INDEX(DATA_ASSET_CLASSIFICATION!$AB$8:$AB$13,MATCH($N2187,DATA_ASSET_CLASSIFICATION!$AA$8:$AA$13,0)),"Review"))</f>
        <v>Bucket 2 · Legacy</v>
      </c>
      <c r="P2187" s="350" t="str">
        <f>IF($B2187="Portfolio","Portfolio",IFERROR(INDEX(DATA_ASSET_CLASSIFICATION!$C$8:$C$24,MATCH($C2187,DATA_ASSET_CLASSIFICATION!$A$8:$A$24,0)),"Review"))</f>
        <v>Yes</v>
      </c>
      <c r="Q2187" s="350" t="str">
        <f t="shared" ca="1" si="69"/>
        <v>OK</v>
      </c>
    </row>
    <row r="2188" spans="1:17">
      <c r="A2188" s="366" t="s">
        <v>4144</v>
      </c>
      <c r="B2188" s="366" t="s">
        <v>231</v>
      </c>
      <c r="C2188" s="348" t="str">
        <f>DATA_PROPERTY_MASTER!$A$11</f>
        <v>BLD_EE</v>
      </c>
      <c r="D2188" s="380">
        <f>'00_PORTFOLIO ROLLUP'!N$12</f>
        <v>2034</v>
      </c>
      <c r="E2188" s="366" t="s">
        <v>1683</v>
      </c>
      <c r="F2188" s="366" t="s">
        <v>27</v>
      </c>
      <c r="G2188" s="348" t="str">
        <f>"'"&amp;$C2188&amp;"'!$E$54:$Y$54"</f>
        <v>'BLD_EE'!$E$54:$Y$54</v>
      </c>
      <c r="H2188" s="381">
        <f ca="1">IF(IFERROR(INDEX(DATA_PROPERTY_MASTER!$E$5:$E$21,MATCH($C2188,DATA_PROPERTY_MASTER!$A$5:$A$21,0))="Yes",FALSE),IFERROR(INDEX(INDIRECT("'"&amp;$C2188&amp;"'!$E$54:$Y$54"),1,MATCH($D2188,INDIRECT("'"&amp;$C2188&amp;"'!$E$12:$Y$12"),0)),0),0)</f>
        <v>175236.83921534411</v>
      </c>
      <c r="I2188" s="366" t="s">
        <v>1690</v>
      </c>
      <c r="J2188" s="348" t="str">
        <f t="shared" ca="1" si="68"/>
        <v>OK</v>
      </c>
      <c r="K2188" s="366" t="s">
        <v>1714</v>
      </c>
      <c r="L2188" s="366" t="s">
        <v>2248</v>
      </c>
      <c r="M2188" s="350" t="str">
        <f>IF($B2188="Portfolio","Portfolio",IFERROR(INDEX(DATA_ASSET_CLASSIFICATION!$B$8:$B$24,MATCH($C2188,DATA_ASSET_CLASSIFICATION!$A$8:$A$24,0)),"Review"))</f>
        <v>Evelyn Estates</v>
      </c>
      <c r="N2188" s="350" t="str">
        <f ca="1">IF($B2188="Portfolio","Portfolio",IFERROR(INDEX(DATA_ASSET_CLASSIFICATION!$U$8:$U$24,MATCH($C2188,DATA_ASSET_CLASSIFICATION!$A$8:$A$24,0)),"Review"))</f>
        <v>Refi Watch</v>
      </c>
      <c r="O2188" s="350" t="str">
        <f ca="1">IF($B2188="Portfolio","Portfolio",IFERROR(INDEX(DATA_ASSET_CLASSIFICATION!$AB$8:$AB$13,MATCH($N2188,DATA_ASSET_CLASSIFICATION!$AA$8:$AA$13,0)),"Review"))</f>
        <v>Bucket 2 · Legacy</v>
      </c>
      <c r="P2188" s="350" t="str">
        <f>IF($B2188="Portfolio","Portfolio",IFERROR(INDEX(DATA_ASSET_CLASSIFICATION!$C$8:$C$24,MATCH($C2188,DATA_ASSET_CLASSIFICATION!$A$8:$A$24,0)),"Review"))</f>
        <v>Yes</v>
      </c>
      <c r="Q2188" s="350" t="str">
        <f t="shared" ca="1" si="69"/>
        <v>OK</v>
      </c>
    </row>
    <row r="2189" spans="1:17">
      <c r="A2189" s="366" t="s">
        <v>4145</v>
      </c>
      <c r="B2189" s="366" t="s">
        <v>231</v>
      </c>
      <c r="C2189" s="348" t="str">
        <f>DATA_PROPERTY_MASTER!$A$11</f>
        <v>BLD_EE</v>
      </c>
      <c r="D2189" s="380">
        <f>'00_PORTFOLIO ROLLUP'!N$12</f>
        <v>2034</v>
      </c>
      <c r="E2189" s="366" t="s">
        <v>1683</v>
      </c>
      <c r="F2189" s="366" t="s">
        <v>29</v>
      </c>
      <c r="G2189" s="348" t="str">
        <f>"'"&amp;$C2189&amp;"'!$E$56:$Y$56"</f>
        <v>'BLD_EE'!$E$56:$Y$56</v>
      </c>
      <c r="H2189" s="381">
        <f ca="1">IF(IFERROR(INDEX(DATA_PROPERTY_MASTER!$E$5:$E$21,MATCH($C2189,DATA_PROPERTY_MASTER!$A$5:$A$21,0))="Yes",FALSE),IFERROR(INDEX(INDIRECT("'"&amp;$C2189&amp;"'!$E$56:$Y$56"),1,MATCH($D2189,INDIRECT("'"&amp;$C2189&amp;"'!$E$12:$Y$12"),0)),0),0)</f>
        <v>116824.55947689607</v>
      </c>
      <c r="I2189" s="366" t="s">
        <v>1685</v>
      </c>
      <c r="J2189" s="348" t="str">
        <f t="shared" ca="1" si="68"/>
        <v>OK</v>
      </c>
      <c r="K2189" s="366" t="s">
        <v>1718</v>
      </c>
      <c r="L2189" s="366" t="s">
        <v>2250</v>
      </c>
      <c r="M2189" s="350" t="str">
        <f>IF($B2189="Portfolio","Portfolio",IFERROR(INDEX(DATA_ASSET_CLASSIFICATION!$B$8:$B$24,MATCH($C2189,DATA_ASSET_CLASSIFICATION!$A$8:$A$24,0)),"Review"))</f>
        <v>Evelyn Estates</v>
      </c>
      <c r="N2189" s="350" t="str">
        <f ca="1">IF($B2189="Portfolio","Portfolio",IFERROR(INDEX(DATA_ASSET_CLASSIFICATION!$U$8:$U$24,MATCH($C2189,DATA_ASSET_CLASSIFICATION!$A$8:$A$24,0)),"Review"))</f>
        <v>Refi Watch</v>
      </c>
      <c r="O2189" s="350" t="str">
        <f ca="1">IF($B2189="Portfolio","Portfolio",IFERROR(INDEX(DATA_ASSET_CLASSIFICATION!$AB$8:$AB$13,MATCH($N2189,DATA_ASSET_CLASSIFICATION!$AA$8:$AA$13,0)),"Review"))</f>
        <v>Bucket 2 · Legacy</v>
      </c>
      <c r="P2189" s="350" t="str">
        <f>IF($B2189="Portfolio","Portfolio",IFERROR(INDEX(DATA_ASSET_CLASSIFICATION!$C$8:$C$24,MATCH($C2189,DATA_ASSET_CLASSIFICATION!$A$8:$A$24,0)),"Review"))</f>
        <v>Yes</v>
      </c>
      <c r="Q2189" s="350" t="str">
        <f t="shared" ca="1" si="69"/>
        <v>OK</v>
      </c>
    </row>
    <row r="2190" spans="1:17">
      <c r="A2190" s="366" t="s">
        <v>4146</v>
      </c>
      <c r="B2190" s="366" t="s">
        <v>231</v>
      </c>
      <c r="C2190" s="348" t="str">
        <f>DATA_PROPERTY_MASTER!$A$11</f>
        <v>BLD_EE</v>
      </c>
      <c r="D2190" s="380">
        <f>'00_PORTFOLIO ROLLUP'!N$12</f>
        <v>2034</v>
      </c>
      <c r="E2190" s="366" t="s">
        <v>1721</v>
      </c>
      <c r="F2190" s="366" t="s">
        <v>31</v>
      </c>
      <c r="G2190" s="348" t="str">
        <f>"'"&amp;$C2190&amp;"'!$E$61:$Y$61"</f>
        <v>'BLD_EE'!$E$61:$Y$61</v>
      </c>
      <c r="H2190" s="381">
        <f ca="1">IF(IFERROR(INDEX(DATA_PROPERTY_MASTER!$E$5:$E$21,MATCH($C2190,DATA_PROPERTY_MASTER!$A$5:$A$21,0))="Yes",FALSE),IFERROR(INDEX(INDIRECT("'"&amp;$C2190&amp;"'!$E$61:$Y$61"),1,MATCH($D2190,INDIRECT("'"&amp;$C2190&amp;"'!$E$12:$Y$12"),0)),0),0)</f>
        <v>0</v>
      </c>
      <c r="I2190" s="366" t="s">
        <v>1690</v>
      </c>
      <c r="J2190" s="348" t="str">
        <f t="shared" ca="1" si="68"/>
        <v>OK</v>
      </c>
      <c r="K2190" s="366" t="s">
        <v>1723</v>
      </c>
      <c r="L2190" s="366" t="s">
        <v>2252</v>
      </c>
      <c r="M2190" s="350" t="str">
        <f>IF($B2190="Portfolio","Portfolio",IFERROR(INDEX(DATA_ASSET_CLASSIFICATION!$B$8:$B$24,MATCH($C2190,DATA_ASSET_CLASSIFICATION!$A$8:$A$24,0)),"Review"))</f>
        <v>Evelyn Estates</v>
      </c>
      <c r="N2190" s="350" t="str">
        <f ca="1">IF($B2190="Portfolio","Portfolio",IFERROR(INDEX(DATA_ASSET_CLASSIFICATION!$U$8:$U$24,MATCH($C2190,DATA_ASSET_CLASSIFICATION!$A$8:$A$24,0)),"Review"))</f>
        <v>Refi Watch</v>
      </c>
      <c r="O2190" s="350" t="str">
        <f ca="1">IF($B2190="Portfolio","Portfolio",IFERROR(INDEX(DATA_ASSET_CLASSIFICATION!$AB$8:$AB$13,MATCH($N2190,DATA_ASSET_CLASSIFICATION!$AA$8:$AA$13,0)),"Review"))</f>
        <v>Bucket 2 · Legacy</v>
      </c>
      <c r="P2190" s="350" t="str">
        <f>IF($B2190="Portfolio","Portfolio",IFERROR(INDEX(DATA_ASSET_CLASSIFICATION!$C$8:$C$24,MATCH($C2190,DATA_ASSET_CLASSIFICATION!$A$8:$A$24,0)),"Review"))</f>
        <v>Yes</v>
      </c>
      <c r="Q2190" s="350" t="str">
        <f t="shared" ca="1" si="69"/>
        <v>OK</v>
      </c>
    </row>
    <row r="2191" spans="1:17">
      <c r="A2191" s="366" t="s">
        <v>4147</v>
      </c>
      <c r="B2191" s="366" t="s">
        <v>231</v>
      </c>
      <c r="C2191" s="348" t="str">
        <f>DATA_PROPERTY_MASTER!$A$11</f>
        <v>BLD_EE</v>
      </c>
      <c r="D2191" s="380">
        <f>'00_PORTFOLIO ROLLUP'!N$12</f>
        <v>2034</v>
      </c>
      <c r="E2191" s="366" t="s">
        <v>1721</v>
      </c>
      <c r="F2191" s="366" t="s">
        <v>33</v>
      </c>
      <c r="G2191" s="348" t="str">
        <f>"'"&amp;$C2191&amp;"'!$E$62:$Y$62"</f>
        <v>'BLD_EE'!$E$62:$Y$62</v>
      </c>
      <c r="H2191" s="381">
        <f ca="1">IF(IFERROR(INDEX(DATA_PROPERTY_MASTER!$E$5:$E$21,MATCH($C2191,DATA_PROPERTY_MASTER!$A$5:$A$21,0))="Yes",FALSE),IFERROR(INDEX(INDIRECT("'"&amp;$C2191&amp;"'!$E$62:$Y$62"),1,MATCH($D2191,INDIRECT("'"&amp;$C2191&amp;"'!$E$12:$Y$12"),0)),0),0)</f>
        <v>0</v>
      </c>
      <c r="I2191" s="366" t="s">
        <v>1685</v>
      </c>
      <c r="J2191" s="348" t="str">
        <f t="shared" ca="1" si="68"/>
        <v>OK</v>
      </c>
      <c r="K2191" s="366" t="s">
        <v>1727</v>
      </c>
      <c r="L2191" s="366" t="s">
        <v>2254</v>
      </c>
      <c r="M2191" s="350" t="str">
        <f>IF($B2191="Portfolio","Portfolio",IFERROR(INDEX(DATA_ASSET_CLASSIFICATION!$B$8:$B$24,MATCH($C2191,DATA_ASSET_CLASSIFICATION!$A$8:$A$24,0)),"Review"))</f>
        <v>Evelyn Estates</v>
      </c>
      <c r="N2191" s="350" t="str">
        <f ca="1">IF($B2191="Portfolio","Portfolio",IFERROR(INDEX(DATA_ASSET_CLASSIFICATION!$U$8:$U$24,MATCH($C2191,DATA_ASSET_CLASSIFICATION!$A$8:$A$24,0)),"Review"))</f>
        <v>Refi Watch</v>
      </c>
      <c r="O2191" s="350" t="str">
        <f ca="1">IF($B2191="Portfolio","Portfolio",IFERROR(INDEX(DATA_ASSET_CLASSIFICATION!$AB$8:$AB$13,MATCH($N2191,DATA_ASSET_CLASSIFICATION!$AA$8:$AA$13,0)),"Review"))</f>
        <v>Bucket 2 · Legacy</v>
      </c>
      <c r="P2191" s="350" t="str">
        <f>IF($B2191="Portfolio","Portfolio",IFERROR(INDEX(DATA_ASSET_CLASSIFICATION!$C$8:$C$24,MATCH($C2191,DATA_ASSET_CLASSIFICATION!$A$8:$A$24,0)),"Review"))</f>
        <v>Yes</v>
      </c>
      <c r="Q2191" s="350" t="str">
        <f t="shared" ca="1" si="69"/>
        <v>OK</v>
      </c>
    </row>
    <row r="2192" spans="1:17">
      <c r="A2192" s="366" t="s">
        <v>4148</v>
      </c>
      <c r="B2192" s="366" t="s">
        <v>231</v>
      </c>
      <c r="C2192" s="348" t="str">
        <f>DATA_PROPERTY_MASTER!$A$11</f>
        <v>BLD_EE</v>
      </c>
      <c r="D2192" s="380">
        <f>'00_PORTFOLIO ROLLUP'!N$12</f>
        <v>2034</v>
      </c>
      <c r="E2192" s="366" t="s">
        <v>1721</v>
      </c>
      <c r="F2192" s="366" t="s">
        <v>35</v>
      </c>
      <c r="G2192" s="348" t="str">
        <f>"'"&amp;$C2192&amp;"'!$E$63:$Y$63"</f>
        <v>'BLD_EE'!$E$63:$Y$63</v>
      </c>
      <c r="H2192" s="381">
        <f ca="1">IF(IFERROR(INDEX(DATA_PROPERTY_MASTER!$E$5:$E$21,MATCH($C2192,DATA_PROPERTY_MASTER!$A$5:$A$21,0))="Yes",FALSE),IFERROR(INDEX(INDIRECT("'"&amp;$C2192&amp;"'!$E$63:$Y$63"),1,MATCH($D2192,INDIRECT("'"&amp;$C2192&amp;"'!$E$12:$Y$12"),0)),0),0)</f>
        <v>0</v>
      </c>
      <c r="I2192" s="366" t="s">
        <v>1731</v>
      </c>
      <c r="J2192" s="348" t="str">
        <f t="shared" ca="1" si="68"/>
        <v>OK</v>
      </c>
      <c r="K2192" s="366" t="s">
        <v>1732</v>
      </c>
      <c r="L2192" s="366" t="s">
        <v>2256</v>
      </c>
      <c r="M2192" s="350" t="str">
        <f>IF($B2192="Portfolio","Portfolio",IFERROR(INDEX(DATA_ASSET_CLASSIFICATION!$B$8:$B$24,MATCH($C2192,DATA_ASSET_CLASSIFICATION!$A$8:$A$24,0)),"Review"))</f>
        <v>Evelyn Estates</v>
      </c>
      <c r="N2192" s="350" t="str">
        <f ca="1">IF($B2192="Portfolio","Portfolio",IFERROR(INDEX(DATA_ASSET_CLASSIFICATION!$U$8:$U$24,MATCH($C2192,DATA_ASSET_CLASSIFICATION!$A$8:$A$24,0)),"Review"))</f>
        <v>Refi Watch</v>
      </c>
      <c r="O2192" s="350" t="str">
        <f ca="1">IF($B2192="Portfolio","Portfolio",IFERROR(INDEX(DATA_ASSET_CLASSIFICATION!$AB$8:$AB$13,MATCH($N2192,DATA_ASSET_CLASSIFICATION!$AA$8:$AA$13,0)),"Review"))</f>
        <v>Bucket 2 · Legacy</v>
      </c>
      <c r="P2192" s="350" t="str">
        <f>IF($B2192="Portfolio","Portfolio",IFERROR(INDEX(DATA_ASSET_CLASSIFICATION!$C$8:$C$24,MATCH($C2192,DATA_ASSET_CLASSIFICATION!$A$8:$A$24,0)),"Review"))</f>
        <v>Yes</v>
      </c>
      <c r="Q2192" s="350" t="str">
        <f t="shared" ca="1" si="69"/>
        <v>OK</v>
      </c>
    </row>
    <row r="2193" spans="1:17">
      <c r="A2193" s="366" t="s">
        <v>4149</v>
      </c>
      <c r="B2193" s="366" t="s">
        <v>231</v>
      </c>
      <c r="C2193" s="348" t="str">
        <f>DATA_PROPERTY_MASTER!$A$11</f>
        <v>BLD_EE</v>
      </c>
      <c r="D2193" s="380">
        <f>'00_PORTFOLIO ROLLUP'!N$12</f>
        <v>2034</v>
      </c>
      <c r="E2193" s="366" t="s">
        <v>1721</v>
      </c>
      <c r="F2193" s="366" t="s">
        <v>37</v>
      </c>
      <c r="G2193" s="348" t="str">
        <f>"'"&amp;$C2193&amp;"'!$E$63:$Y$63"</f>
        <v>'BLD_EE'!$E$63:$Y$63</v>
      </c>
      <c r="H2193" s="381">
        <f ca="1">IF(IFERROR(INDEX(DATA_PROPERTY_MASTER!$E$5:$E$21,MATCH($C2193,DATA_PROPERTY_MASTER!$A$5:$A$21,0))="Yes",FALSE),MAX(IFERROR(INDEX(INDIRECT("'"&amp;$C2193&amp;"'!$E$63:$Y$63"),1,MATCH($D2193,INDIRECT("'"&amp;$C2193&amp;"'!$E$12:$Y$12"),0)),0),0),0)</f>
        <v>0</v>
      </c>
      <c r="I2193" s="366" t="s">
        <v>1685</v>
      </c>
      <c r="J2193" s="348" t="str">
        <f t="shared" ca="1" si="68"/>
        <v>OK</v>
      </c>
      <c r="K2193" s="366" t="s">
        <v>1735</v>
      </c>
      <c r="L2193" s="366" t="s">
        <v>2258</v>
      </c>
      <c r="M2193" s="350" t="str">
        <f>IF($B2193="Portfolio","Portfolio",IFERROR(INDEX(DATA_ASSET_CLASSIFICATION!$B$8:$B$24,MATCH($C2193,DATA_ASSET_CLASSIFICATION!$A$8:$A$24,0)),"Review"))</f>
        <v>Evelyn Estates</v>
      </c>
      <c r="N2193" s="350" t="str">
        <f ca="1">IF($B2193="Portfolio","Portfolio",IFERROR(INDEX(DATA_ASSET_CLASSIFICATION!$U$8:$U$24,MATCH($C2193,DATA_ASSET_CLASSIFICATION!$A$8:$A$24,0)),"Review"))</f>
        <v>Refi Watch</v>
      </c>
      <c r="O2193" s="350" t="str">
        <f ca="1">IF($B2193="Portfolio","Portfolio",IFERROR(INDEX(DATA_ASSET_CLASSIFICATION!$AB$8:$AB$13,MATCH($N2193,DATA_ASSET_CLASSIFICATION!$AA$8:$AA$13,0)),"Review"))</f>
        <v>Bucket 2 · Legacy</v>
      </c>
      <c r="P2193" s="350" t="str">
        <f>IF($B2193="Portfolio","Portfolio",IFERROR(INDEX(DATA_ASSET_CLASSIFICATION!$C$8:$C$24,MATCH($C2193,DATA_ASSET_CLASSIFICATION!$A$8:$A$24,0)),"Review"))</f>
        <v>Yes</v>
      </c>
      <c r="Q2193" s="350" t="str">
        <f t="shared" ca="1" si="69"/>
        <v>OK</v>
      </c>
    </row>
    <row r="2194" spans="1:17">
      <c r="A2194" s="366" t="s">
        <v>4150</v>
      </c>
      <c r="B2194" s="366" t="s">
        <v>231</v>
      </c>
      <c r="C2194" s="348" t="str">
        <f>DATA_PROPERTY_MASTER!$A$11</f>
        <v>BLD_EE</v>
      </c>
      <c r="D2194" s="380">
        <f>'00_PORTFOLIO ROLLUP'!N$12</f>
        <v>2034</v>
      </c>
      <c r="E2194" s="366" t="s">
        <v>1721</v>
      </c>
      <c r="F2194" s="366" t="s">
        <v>39</v>
      </c>
      <c r="G2194" s="348" t="str">
        <f>"'"&amp;$C2194&amp;"'!$E$63:$Y$63"</f>
        <v>'BLD_EE'!$E$63:$Y$63</v>
      </c>
      <c r="H2194" s="381">
        <f ca="1">IF(IFERROR(INDEX(DATA_PROPERTY_MASTER!$E$5:$E$21,MATCH($C2194,DATA_PROPERTY_MASTER!$A$5:$A$21,0))="Yes",FALSE),MAX(-IFERROR(INDEX(INDIRECT("'"&amp;$C2194&amp;"'!$E$63:$Y$63"),1,MATCH($D2194,INDIRECT("'"&amp;$C2194&amp;"'!$E$12:$Y$12"),0)),0),0),0)</f>
        <v>0</v>
      </c>
      <c r="I2194" s="366" t="s">
        <v>1690</v>
      </c>
      <c r="J2194" s="348" t="str">
        <f t="shared" ca="1" si="68"/>
        <v>OK</v>
      </c>
      <c r="K2194" s="366" t="s">
        <v>1738</v>
      </c>
      <c r="L2194" s="366" t="s">
        <v>2260</v>
      </c>
      <c r="M2194" s="350" t="str">
        <f>IF($B2194="Portfolio","Portfolio",IFERROR(INDEX(DATA_ASSET_CLASSIFICATION!$B$8:$B$24,MATCH($C2194,DATA_ASSET_CLASSIFICATION!$A$8:$A$24,0)),"Review"))</f>
        <v>Evelyn Estates</v>
      </c>
      <c r="N2194" s="350" t="str">
        <f ca="1">IF($B2194="Portfolio","Portfolio",IFERROR(INDEX(DATA_ASSET_CLASSIFICATION!$U$8:$U$24,MATCH($C2194,DATA_ASSET_CLASSIFICATION!$A$8:$A$24,0)),"Review"))</f>
        <v>Refi Watch</v>
      </c>
      <c r="O2194" s="350" t="str">
        <f ca="1">IF($B2194="Portfolio","Portfolio",IFERROR(INDEX(DATA_ASSET_CLASSIFICATION!$AB$8:$AB$13,MATCH($N2194,DATA_ASSET_CLASSIFICATION!$AA$8:$AA$13,0)),"Review"))</f>
        <v>Bucket 2 · Legacy</v>
      </c>
      <c r="P2194" s="350" t="str">
        <f>IF($B2194="Portfolio","Portfolio",IFERROR(INDEX(DATA_ASSET_CLASSIFICATION!$C$8:$C$24,MATCH($C2194,DATA_ASSET_CLASSIFICATION!$A$8:$A$24,0)),"Review"))</f>
        <v>Yes</v>
      </c>
      <c r="Q2194" s="350" t="str">
        <f t="shared" ca="1" si="69"/>
        <v>OK</v>
      </c>
    </row>
    <row r="2195" spans="1:17">
      <c r="A2195" s="366" t="s">
        <v>4151</v>
      </c>
      <c r="B2195" s="366" t="s">
        <v>231</v>
      </c>
      <c r="C2195" s="348" t="str">
        <f>DATA_PROPERTY_MASTER!$A$11</f>
        <v>BLD_EE</v>
      </c>
      <c r="D2195" s="380">
        <f>'00_PORTFOLIO ROLLUP'!N$12</f>
        <v>2034</v>
      </c>
      <c r="E2195" s="366" t="s">
        <v>1741</v>
      </c>
      <c r="F2195" s="366" t="s">
        <v>41</v>
      </c>
      <c r="G2195" s="348" t="str">
        <f>"'"&amp;$C2195&amp;"'!rows 56 + positive row 63"</f>
        <v>'BLD_EE'!rows 56 + positive row 63</v>
      </c>
      <c r="H2195" s="381">
        <f ca="1">IF(IFERROR(INDEX(DATA_PROPERTY_MASTER!$E$5:$E$21,MATCH($C2195,DATA_PROPERTY_MASTER!$A$5:$A$21,0))="Yes",FALSE),IFERROR(INDEX(INDIRECT("'"&amp;$C2195&amp;"'!$E$56:$Y$56"),1,MATCH($D2195,INDIRECT("'"&amp;$C2195&amp;"'!$E$12:$Y$12"),0)),0)+MAX(IFERROR(INDEX(INDIRECT("'"&amp;$C2195&amp;"'!$E$63:$Y$63"),1,MATCH($D2195,INDIRECT("'"&amp;$C2195&amp;"'!$E$12:$Y$12"),0)),0),0),0)</f>
        <v>116824.55947689607</v>
      </c>
      <c r="I2195" s="366" t="s">
        <v>1685</v>
      </c>
      <c r="J2195" s="348" t="str">
        <f t="shared" ca="1" si="68"/>
        <v>OK</v>
      </c>
      <c r="K2195" s="366" t="s">
        <v>1742</v>
      </c>
      <c r="L2195" s="366" t="s">
        <v>2262</v>
      </c>
      <c r="M2195" s="350" t="str">
        <f>IF($B2195="Portfolio","Portfolio",IFERROR(INDEX(DATA_ASSET_CLASSIFICATION!$B$8:$B$24,MATCH($C2195,DATA_ASSET_CLASSIFICATION!$A$8:$A$24,0)),"Review"))</f>
        <v>Evelyn Estates</v>
      </c>
      <c r="N2195" s="350" t="str">
        <f ca="1">IF($B2195="Portfolio","Portfolio",IFERROR(INDEX(DATA_ASSET_CLASSIFICATION!$U$8:$U$24,MATCH($C2195,DATA_ASSET_CLASSIFICATION!$A$8:$A$24,0)),"Review"))</f>
        <v>Refi Watch</v>
      </c>
      <c r="O2195" s="350" t="str">
        <f ca="1">IF($B2195="Portfolio","Portfolio",IFERROR(INDEX(DATA_ASSET_CLASSIFICATION!$AB$8:$AB$13,MATCH($N2195,DATA_ASSET_CLASSIFICATION!$AA$8:$AA$13,0)),"Review"))</f>
        <v>Bucket 2 · Legacy</v>
      </c>
      <c r="P2195" s="350" t="str">
        <f>IF($B2195="Portfolio","Portfolio",IFERROR(INDEX(DATA_ASSET_CLASSIFICATION!$C$8:$C$24,MATCH($C2195,DATA_ASSET_CLASSIFICATION!$A$8:$A$24,0)),"Review"))</f>
        <v>Yes</v>
      </c>
      <c r="Q2195" s="350" t="str">
        <f t="shared" ca="1" si="69"/>
        <v>OK</v>
      </c>
    </row>
    <row r="2196" spans="1:17">
      <c r="A2196" s="366" t="s">
        <v>4152</v>
      </c>
      <c r="B2196" s="366" t="s">
        <v>231</v>
      </c>
      <c r="C2196" s="348" t="str">
        <f>DATA_PROPERTY_MASTER!$A$11</f>
        <v>BLD_EE</v>
      </c>
      <c r="D2196" s="380">
        <f>'00_PORTFOLIO ROLLUP'!N$12</f>
        <v>2034</v>
      </c>
      <c r="E2196" s="366" t="s">
        <v>1741</v>
      </c>
      <c r="F2196" s="366" t="s">
        <v>43</v>
      </c>
      <c r="G2196" s="348" t="str">
        <f>"'"&amp;$C2196&amp;"'!$E$68:$Y$68"</f>
        <v>'BLD_EE'!$E$68:$Y$68</v>
      </c>
      <c r="H2196" s="381">
        <f ca="1">IF(IFERROR(INDEX(DATA_PROPERTY_MASTER!$E$5:$E$21,MATCH($C2196,DATA_PROPERTY_MASTER!$A$5:$A$21,0))="Yes",FALSE),IFERROR(INDEX(INDIRECT("'"&amp;$C2196&amp;"'!$E$68:$Y$68"),1,MATCH($D2196,INDIRECT("'"&amp;$C2196&amp;"'!$E$12:$Y$12"),0)),0),0)</f>
        <v>116824.55947689607</v>
      </c>
      <c r="I2196" s="366" t="s">
        <v>1731</v>
      </c>
      <c r="J2196" s="348" t="str">
        <f t="shared" ca="1" si="68"/>
        <v>OK</v>
      </c>
      <c r="K2196" s="366" t="s">
        <v>1746</v>
      </c>
      <c r="L2196" s="366" t="s">
        <v>2264</v>
      </c>
      <c r="M2196" s="350" t="str">
        <f>IF($B2196="Portfolio","Portfolio",IFERROR(INDEX(DATA_ASSET_CLASSIFICATION!$B$8:$B$24,MATCH($C2196,DATA_ASSET_CLASSIFICATION!$A$8:$A$24,0)),"Review"))</f>
        <v>Evelyn Estates</v>
      </c>
      <c r="N2196" s="350" t="str">
        <f ca="1">IF($B2196="Portfolio","Portfolio",IFERROR(INDEX(DATA_ASSET_CLASSIFICATION!$U$8:$U$24,MATCH($C2196,DATA_ASSET_CLASSIFICATION!$A$8:$A$24,0)),"Review"))</f>
        <v>Refi Watch</v>
      </c>
      <c r="O2196" s="350" t="str">
        <f ca="1">IF($B2196="Portfolio","Portfolio",IFERROR(INDEX(DATA_ASSET_CLASSIFICATION!$AB$8:$AB$13,MATCH($N2196,DATA_ASSET_CLASSIFICATION!$AA$8:$AA$13,0)),"Review"))</f>
        <v>Bucket 2 · Legacy</v>
      </c>
      <c r="P2196" s="350" t="str">
        <f>IF($B2196="Portfolio","Portfolio",IFERROR(INDEX(DATA_ASSET_CLASSIFICATION!$C$8:$C$24,MATCH($C2196,DATA_ASSET_CLASSIFICATION!$A$8:$A$24,0)),"Review"))</f>
        <v>Yes</v>
      </c>
      <c r="Q2196" s="350" t="str">
        <f t="shared" ca="1" si="69"/>
        <v>OK</v>
      </c>
    </row>
    <row r="2197" spans="1:17">
      <c r="A2197" s="366" t="s">
        <v>4153</v>
      </c>
      <c r="B2197" s="366" t="s">
        <v>231</v>
      </c>
      <c r="C2197" s="348" t="str">
        <f>DATA_PROPERTY_MASTER!$A$11</f>
        <v>BLD_EE</v>
      </c>
      <c r="D2197" s="380">
        <f>'00_PORTFOLIO ROLLUP'!N$12</f>
        <v>2034</v>
      </c>
      <c r="E2197" s="366" t="s">
        <v>1741</v>
      </c>
      <c r="F2197" s="366" t="s">
        <v>1749</v>
      </c>
      <c r="G2197" s="348" t="str">
        <f>"'"&amp;$C2197&amp;"'!rows 56, 63, 68"</f>
        <v>'BLD_EE'!rows 56, 63, 68</v>
      </c>
      <c r="H2197" s="381">
        <f ca="1">IF(IFERROR(INDEX(DATA_PROPERTY_MASTER!$E$5:$E$21,MATCH($C2197,DATA_PROPERTY_MASTER!$A$5:$A$21,0))="Yes",FALSE),(IFERROR(INDEX(INDIRECT("'"&amp;$C2197&amp;"'!$E$56:$Y$56"),1,MATCH($D2197,INDIRECT("'"&amp;$C2197&amp;"'!$E$12:$Y$12"),0)),0)+MAX(IFERROR(INDEX(INDIRECT("'"&amp;$C2197&amp;"'!$E$63:$Y$63"),1,MATCH($D2197,INDIRECT("'"&amp;$C2197&amp;"'!$E$12:$Y$12"),0)),0),0))-(IFERROR(INDEX(INDIRECT("'"&amp;$C2197&amp;"'!$E$68:$Y$68"),1,MATCH($D2197,INDIRECT("'"&amp;$C2197&amp;"'!$E$12:$Y$12"),0)),0)),0)</f>
        <v>0</v>
      </c>
      <c r="I2197" s="366" t="s">
        <v>1750</v>
      </c>
      <c r="J2197" s="348" t="str">
        <f t="shared" ca="1" si="68"/>
        <v>OK</v>
      </c>
      <c r="K2197" s="366" t="s">
        <v>1751</v>
      </c>
      <c r="L2197" s="366" t="s">
        <v>2266</v>
      </c>
      <c r="M2197" s="350" t="str">
        <f>IF($B2197="Portfolio","Portfolio",IFERROR(INDEX(DATA_ASSET_CLASSIFICATION!$B$8:$B$24,MATCH($C2197,DATA_ASSET_CLASSIFICATION!$A$8:$A$24,0)),"Review"))</f>
        <v>Evelyn Estates</v>
      </c>
      <c r="N2197" s="350" t="str">
        <f ca="1">IF($B2197="Portfolio","Portfolio",IFERROR(INDEX(DATA_ASSET_CLASSIFICATION!$U$8:$U$24,MATCH($C2197,DATA_ASSET_CLASSIFICATION!$A$8:$A$24,0)),"Review"))</f>
        <v>Refi Watch</v>
      </c>
      <c r="O2197" s="350" t="str">
        <f ca="1">IF($B2197="Portfolio","Portfolio",IFERROR(INDEX(DATA_ASSET_CLASSIFICATION!$AB$8:$AB$13,MATCH($N2197,DATA_ASSET_CLASSIFICATION!$AA$8:$AA$13,0)),"Review"))</f>
        <v>Bucket 2 · Legacy</v>
      </c>
      <c r="P2197" s="350" t="str">
        <f>IF($B2197="Portfolio","Portfolio",IFERROR(INDEX(DATA_ASSET_CLASSIFICATION!$C$8:$C$24,MATCH($C2197,DATA_ASSET_CLASSIFICATION!$A$8:$A$24,0)),"Review"))</f>
        <v>Yes</v>
      </c>
      <c r="Q2197" s="350" t="str">
        <f t="shared" ca="1" si="69"/>
        <v>OK</v>
      </c>
    </row>
    <row r="2198" spans="1:17">
      <c r="A2198" s="366" t="s">
        <v>4154</v>
      </c>
      <c r="B2198" s="366" t="s">
        <v>231</v>
      </c>
      <c r="C2198" s="348" t="str">
        <f>DATA_PROPERTY_MASTER!$A$11</f>
        <v>BLD_EE</v>
      </c>
      <c r="D2198" s="380">
        <f>'00_PORTFOLIO ROLLUP'!O$12</f>
        <v>2035</v>
      </c>
      <c r="E2198" s="366" t="s">
        <v>1683</v>
      </c>
      <c r="F2198" s="366" t="s">
        <v>341</v>
      </c>
      <c r="G2198" s="348" t="str">
        <f>"'"&amp;$C2198&amp;"'!$E$24:$Y$24"</f>
        <v>'BLD_EE'!$E$24:$Y$24</v>
      </c>
      <c r="H2198" s="381">
        <f ca="1">IF(IFERROR(INDEX(DATA_PROPERTY_MASTER!$E$5:$E$21,MATCH($C2198,DATA_PROPERTY_MASTER!$A$5:$A$21,0))="Yes",FALSE),IFERROR(INDEX(INDIRECT("'"&amp;$C2198&amp;"'!$E$24:$Y$24"),1,MATCH($D2198,INDIRECT("'"&amp;$C2198&amp;"'!$E$12:$Y$12"),0)),0),0)</f>
        <v>612907.97588843445</v>
      </c>
      <c r="I2198" s="366" t="s">
        <v>1685</v>
      </c>
      <c r="J2198" s="348" t="str">
        <f t="shared" ca="1" si="68"/>
        <v>OK</v>
      </c>
      <c r="K2198" s="366" t="s">
        <v>1686</v>
      </c>
      <c r="L2198" s="366" t="s">
        <v>2234</v>
      </c>
      <c r="M2198" s="350" t="str">
        <f>IF($B2198="Portfolio","Portfolio",IFERROR(INDEX(DATA_ASSET_CLASSIFICATION!$B$8:$B$24,MATCH($C2198,DATA_ASSET_CLASSIFICATION!$A$8:$A$24,0)),"Review"))</f>
        <v>Evelyn Estates</v>
      </c>
      <c r="N2198" s="350" t="str">
        <f ca="1">IF($B2198="Portfolio","Portfolio",IFERROR(INDEX(DATA_ASSET_CLASSIFICATION!$U$8:$U$24,MATCH($C2198,DATA_ASSET_CLASSIFICATION!$A$8:$A$24,0)),"Review"))</f>
        <v>Refi Watch</v>
      </c>
      <c r="O2198" s="350" t="str">
        <f ca="1">IF($B2198="Portfolio","Portfolio",IFERROR(INDEX(DATA_ASSET_CLASSIFICATION!$AB$8:$AB$13,MATCH($N2198,DATA_ASSET_CLASSIFICATION!$AA$8:$AA$13,0)),"Review"))</f>
        <v>Bucket 2 · Legacy</v>
      </c>
      <c r="P2198" s="350" t="str">
        <f>IF($B2198="Portfolio","Portfolio",IFERROR(INDEX(DATA_ASSET_CLASSIFICATION!$C$8:$C$24,MATCH($C2198,DATA_ASSET_CLASSIFICATION!$A$8:$A$24,0)),"Review"))</f>
        <v>Yes</v>
      </c>
      <c r="Q2198" s="350" t="str">
        <f t="shared" ca="1" si="69"/>
        <v>OK</v>
      </c>
    </row>
    <row r="2199" spans="1:17">
      <c r="A2199" s="366" t="s">
        <v>4155</v>
      </c>
      <c r="B2199" s="366" t="s">
        <v>231</v>
      </c>
      <c r="C2199" s="348" t="str">
        <f>DATA_PROPERTY_MASTER!$A$11</f>
        <v>BLD_EE</v>
      </c>
      <c r="D2199" s="380">
        <f>'00_PORTFOLIO ROLLUP'!O$12</f>
        <v>2035</v>
      </c>
      <c r="E2199" s="366" t="s">
        <v>1683</v>
      </c>
      <c r="F2199" s="366" t="s">
        <v>355</v>
      </c>
      <c r="G2199" s="348" t="str">
        <f>"'"&amp;$C2199&amp;"'!$E$39:$Y$39"</f>
        <v>'BLD_EE'!$E$39:$Y$39</v>
      </c>
      <c r="H2199" s="381">
        <f ca="1">IF(IFERROR(INDEX(DATA_PROPERTY_MASTER!$E$5:$E$21,MATCH($C2199,DATA_PROPERTY_MASTER!$A$5:$A$21,0))="Yes",FALSE),IFERROR(INDEX(INDIRECT("'"&amp;$C2199&amp;"'!$E$39:$Y$39"),1,MATCH($D2199,INDIRECT("'"&amp;$C2199&amp;"'!$E$12:$Y$12"),0)),0),0)</f>
        <v>316549.49309108645</v>
      </c>
      <c r="I2199" s="366" t="s">
        <v>1690</v>
      </c>
      <c r="J2199" s="348" t="str">
        <f t="shared" ca="1" si="68"/>
        <v>OK</v>
      </c>
      <c r="K2199" s="366" t="s">
        <v>1686</v>
      </c>
      <c r="L2199" s="366" t="s">
        <v>2236</v>
      </c>
      <c r="M2199" s="350" t="str">
        <f>IF($B2199="Portfolio","Portfolio",IFERROR(INDEX(DATA_ASSET_CLASSIFICATION!$B$8:$B$24,MATCH($C2199,DATA_ASSET_CLASSIFICATION!$A$8:$A$24,0)),"Review"))</f>
        <v>Evelyn Estates</v>
      </c>
      <c r="N2199" s="350" t="str">
        <f ca="1">IF($B2199="Portfolio","Portfolio",IFERROR(INDEX(DATA_ASSET_CLASSIFICATION!$U$8:$U$24,MATCH($C2199,DATA_ASSET_CLASSIFICATION!$A$8:$A$24,0)),"Review"))</f>
        <v>Refi Watch</v>
      </c>
      <c r="O2199" s="350" t="str">
        <f ca="1">IF($B2199="Portfolio","Portfolio",IFERROR(INDEX(DATA_ASSET_CLASSIFICATION!$AB$8:$AB$13,MATCH($N2199,DATA_ASSET_CLASSIFICATION!$AA$8:$AA$13,0)),"Review"))</f>
        <v>Bucket 2 · Legacy</v>
      </c>
      <c r="P2199" s="350" t="str">
        <f>IF($B2199="Portfolio","Portfolio",IFERROR(INDEX(DATA_ASSET_CLASSIFICATION!$C$8:$C$24,MATCH($C2199,DATA_ASSET_CLASSIFICATION!$A$8:$A$24,0)),"Review"))</f>
        <v>Yes</v>
      </c>
      <c r="Q2199" s="350" t="str">
        <f t="shared" ca="1" si="69"/>
        <v>OK</v>
      </c>
    </row>
    <row r="2200" spans="1:17">
      <c r="A2200" s="366" t="s">
        <v>4156</v>
      </c>
      <c r="B2200" s="366" t="s">
        <v>231</v>
      </c>
      <c r="C2200" s="348" t="str">
        <f>DATA_PROPERTY_MASTER!$A$11</f>
        <v>BLD_EE</v>
      </c>
      <c r="D2200" s="380">
        <f>'00_PORTFOLIO ROLLUP'!O$12</f>
        <v>2035</v>
      </c>
      <c r="E2200" s="366" t="s">
        <v>1683</v>
      </c>
      <c r="F2200" s="366" t="s">
        <v>19</v>
      </c>
      <c r="G2200" s="348" t="str">
        <f>"'"&amp;$C2200&amp;"'!$E$41:$Y$41"</f>
        <v>'BLD_EE'!$E$41:$Y$41</v>
      </c>
      <c r="H2200" s="381">
        <f ca="1">IF(IFERROR(INDEX(DATA_PROPERTY_MASTER!$E$5:$E$21,MATCH($C2200,DATA_PROPERTY_MASTER!$A$5:$A$21,0))="Yes",FALSE),IFERROR(INDEX(INDIRECT("'"&amp;$C2200&amp;"'!$E$41:$Y$41"),1,MATCH($D2200,INDIRECT("'"&amp;$C2200&amp;"'!$E$12:$Y$12"),0)),0),0)</f>
        <v>296358.482797348</v>
      </c>
      <c r="I2200" s="366" t="s">
        <v>1685</v>
      </c>
      <c r="J2200" s="348" t="str">
        <f t="shared" ca="1" si="68"/>
        <v>OK</v>
      </c>
      <c r="K2200" s="366" t="s">
        <v>1694</v>
      </c>
      <c r="L2200" s="366" t="s">
        <v>2238</v>
      </c>
      <c r="M2200" s="350" t="str">
        <f>IF($B2200="Portfolio","Portfolio",IFERROR(INDEX(DATA_ASSET_CLASSIFICATION!$B$8:$B$24,MATCH($C2200,DATA_ASSET_CLASSIFICATION!$A$8:$A$24,0)),"Review"))</f>
        <v>Evelyn Estates</v>
      </c>
      <c r="N2200" s="350" t="str">
        <f ca="1">IF($B2200="Portfolio","Portfolio",IFERROR(INDEX(DATA_ASSET_CLASSIFICATION!$U$8:$U$24,MATCH($C2200,DATA_ASSET_CLASSIFICATION!$A$8:$A$24,0)),"Review"))</f>
        <v>Refi Watch</v>
      </c>
      <c r="O2200" s="350" t="str">
        <f ca="1">IF($B2200="Portfolio","Portfolio",IFERROR(INDEX(DATA_ASSET_CLASSIFICATION!$AB$8:$AB$13,MATCH($N2200,DATA_ASSET_CLASSIFICATION!$AA$8:$AA$13,0)),"Review"))</f>
        <v>Bucket 2 · Legacy</v>
      </c>
      <c r="P2200" s="350" t="str">
        <f>IF($B2200="Portfolio","Portfolio",IFERROR(INDEX(DATA_ASSET_CLASSIFICATION!$C$8:$C$24,MATCH($C2200,DATA_ASSET_CLASSIFICATION!$A$8:$A$24,0)),"Review"))</f>
        <v>Yes</v>
      </c>
      <c r="Q2200" s="350" t="str">
        <f t="shared" ca="1" si="69"/>
        <v>OK</v>
      </c>
    </row>
    <row r="2201" spans="1:17">
      <c r="A2201" s="366" t="s">
        <v>4157</v>
      </c>
      <c r="B2201" s="366" t="s">
        <v>231</v>
      </c>
      <c r="C2201" s="348" t="str">
        <f>DATA_PROPERTY_MASTER!$A$11</f>
        <v>BLD_EE</v>
      </c>
      <c r="D2201" s="380">
        <f>'00_PORTFOLIO ROLLUP'!O$12</f>
        <v>2035</v>
      </c>
      <c r="E2201" s="366" t="s">
        <v>1683</v>
      </c>
      <c r="F2201" s="366" t="s">
        <v>1697</v>
      </c>
      <c r="G2201" s="348" t="str">
        <f>"'"&amp;$C2201&amp;"'!$E$44:$Y$44"</f>
        <v>'BLD_EE'!$E$44:$Y$44</v>
      </c>
      <c r="H2201" s="381">
        <f ca="1">IF(IFERROR(INDEX(DATA_PROPERTY_MASTER!$E$5:$E$21,MATCH($C2201,DATA_PROPERTY_MASTER!$A$5:$A$21,0))="Yes",FALSE),IFERROR(INDEX(INDIRECT("'"&amp;$C2201&amp;"'!$E$44:$Y$44"),1,MATCH($D2201,INDIRECT("'"&amp;$C2201&amp;"'!$E$12:$Y$12"),0)),0),0)</f>
        <v>6582.5698679716879</v>
      </c>
      <c r="I2201" s="366" t="s">
        <v>1690</v>
      </c>
      <c r="J2201" s="348" t="str">
        <f t="shared" ca="1" si="68"/>
        <v>OK</v>
      </c>
      <c r="K2201" s="366" t="s">
        <v>1699</v>
      </c>
      <c r="L2201" s="366" t="s">
        <v>2240</v>
      </c>
      <c r="M2201" s="350" t="str">
        <f>IF($B2201="Portfolio","Portfolio",IFERROR(INDEX(DATA_ASSET_CLASSIFICATION!$B$8:$B$24,MATCH($C2201,DATA_ASSET_CLASSIFICATION!$A$8:$A$24,0)),"Review"))</f>
        <v>Evelyn Estates</v>
      </c>
      <c r="N2201" s="350" t="str">
        <f ca="1">IF($B2201="Portfolio","Portfolio",IFERROR(INDEX(DATA_ASSET_CLASSIFICATION!$U$8:$U$24,MATCH($C2201,DATA_ASSET_CLASSIFICATION!$A$8:$A$24,0)),"Review"))</f>
        <v>Refi Watch</v>
      </c>
      <c r="O2201" s="350" t="str">
        <f ca="1">IF($B2201="Portfolio","Portfolio",IFERROR(INDEX(DATA_ASSET_CLASSIFICATION!$AB$8:$AB$13,MATCH($N2201,DATA_ASSET_CLASSIFICATION!$AA$8:$AA$13,0)),"Review"))</f>
        <v>Bucket 2 · Legacy</v>
      </c>
      <c r="P2201" s="350" t="str">
        <f>IF($B2201="Portfolio","Portfolio",IFERROR(INDEX(DATA_ASSET_CLASSIFICATION!$C$8:$C$24,MATCH($C2201,DATA_ASSET_CLASSIFICATION!$A$8:$A$24,0)),"Review"))</f>
        <v>Yes</v>
      </c>
      <c r="Q2201" s="350" t="str">
        <f t="shared" ca="1" si="69"/>
        <v>OK</v>
      </c>
    </row>
    <row r="2202" spans="1:17">
      <c r="A2202" s="366" t="s">
        <v>4158</v>
      </c>
      <c r="B2202" s="366" t="s">
        <v>231</v>
      </c>
      <c r="C2202" s="348" t="str">
        <f>DATA_PROPERTY_MASTER!$A$11</f>
        <v>BLD_EE</v>
      </c>
      <c r="D2202" s="380">
        <f>'00_PORTFOLIO ROLLUP'!O$12</f>
        <v>2035</v>
      </c>
      <c r="E2202" s="366" t="s">
        <v>1683</v>
      </c>
      <c r="F2202" s="366" t="s">
        <v>21</v>
      </c>
      <c r="G2202" s="348" t="str">
        <f>"'"&amp;$C2202&amp;"'!$E$45:$Y$45"</f>
        <v>'BLD_EE'!$E$45:$Y$45</v>
      </c>
      <c r="H2202" s="381">
        <f ca="1">IF(IFERROR(INDEX(DATA_PROPERTY_MASTER!$E$5:$E$21,MATCH($C2202,DATA_PROPERTY_MASTER!$A$5:$A$21,0))="Yes",FALSE),IFERROR(INDEX(INDIRECT("'"&amp;$C2202&amp;"'!$E$45:$Y$45"),1,MATCH($D2202,INDIRECT("'"&amp;$C2202&amp;"'!$E$12:$Y$12"),0)),0),0)</f>
        <v>289775.9129293763</v>
      </c>
      <c r="I2202" s="366" t="s">
        <v>1685</v>
      </c>
      <c r="J2202" s="348" t="str">
        <f t="shared" ca="1" si="68"/>
        <v>OK</v>
      </c>
      <c r="K2202" s="366" t="s">
        <v>1694</v>
      </c>
      <c r="L2202" s="366" t="s">
        <v>2242</v>
      </c>
      <c r="M2202" s="350" t="str">
        <f>IF($B2202="Portfolio","Portfolio",IFERROR(INDEX(DATA_ASSET_CLASSIFICATION!$B$8:$B$24,MATCH($C2202,DATA_ASSET_CLASSIFICATION!$A$8:$A$24,0)),"Review"))</f>
        <v>Evelyn Estates</v>
      </c>
      <c r="N2202" s="350" t="str">
        <f ca="1">IF($B2202="Portfolio","Portfolio",IFERROR(INDEX(DATA_ASSET_CLASSIFICATION!$U$8:$U$24,MATCH($C2202,DATA_ASSET_CLASSIFICATION!$A$8:$A$24,0)),"Review"))</f>
        <v>Refi Watch</v>
      </c>
      <c r="O2202" s="350" t="str">
        <f ca="1">IF($B2202="Portfolio","Portfolio",IFERROR(INDEX(DATA_ASSET_CLASSIFICATION!$AB$8:$AB$13,MATCH($N2202,DATA_ASSET_CLASSIFICATION!$AA$8:$AA$13,0)),"Review"))</f>
        <v>Bucket 2 · Legacy</v>
      </c>
      <c r="P2202" s="350" t="str">
        <f>IF($B2202="Portfolio","Portfolio",IFERROR(INDEX(DATA_ASSET_CLASSIFICATION!$C$8:$C$24,MATCH($C2202,DATA_ASSET_CLASSIFICATION!$A$8:$A$24,0)),"Review"))</f>
        <v>Yes</v>
      </c>
      <c r="Q2202" s="350" t="str">
        <f t="shared" ca="1" si="69"/>
        <v>OK</v>
      </c>
    </row>
    <row r="2203" spans="1:17">
      <c r="A2203" s="366" t="s">
        <v>4159</v>
      </c>
      <c r="B2203" s="366" t="s">
        <v>231</v>
      </c>
      <c r="C2203" s="348" t="str">
        <f>DATA_PROPERTY_MASTER!$A$11</f>
        <v>BLD_EE</v>
      </c>
      <c r="D2203" s="380">
        <f>'00_PORTFOLIO ROLLUP'!O$12</f>
        <v>2035</v>
      </c>
      <c r="E2203" s="366" t="s">
        <v>23</v>
      </c>
      <c r="F2203" s="366" t="s">
        <v>23</v>
      </c>
      <c r="G2203" s="348" t="str">
        <f>"'"&amp;$C2203&amp;"'!$E$48:$Y$48"</f>
        <v>'BLD_EE'!$E$48:$Y$48</v>
      </c>
      <c r="H2203" s="381">
        <f ca="1">IF(IFERROR(INDEX(DATA_PROPERTY_MASTER!$E$5:$E$21,MATCH($C2203,DATA_PROPERTY_MASTER!$A$5:$A$21,0))="Yes",FALSE),IFERROR(INDEX(INDIRECT("'"&amp;$C2203&amp;"'!$E$48:$Y$48"),1,MATCH($D2203,INDIRECT("'"&amp;$C2203&amp;"'!$E$12:$Y$12"),0)),0),0)</f>
        <v>0</v>
      </c>
      <c r="I2203" s="366" t="s">
        <v>1690</v>
      </c>
      <c r="J2203" s="348" t="str">
        <f t="shared" ca="1" si="68"/>
        <v>OK</v>
      </c>
      <c r="K2203" s="366" t="s">
        <v>1706</v>
      </c>
      <c r="L2203" s="366" t="s">
        <v>2244</v>
      </c>
      <c r="M2203" s="350" t="str">
        <f>IF($B2203="Portfolio","Portfolio",IFERROR(INDEX(DATA_ASSET_CLASSIFICATION!$B$8:$B$24,MATCH($C2203,DATA_ASSET_CLASSIFICATION!$A$8:$A$24,0)),"Review"))</f>
        <v>Evelyn Estates</v>
      </c>
      <c r="N2203" s="350" t="str">
        <f ca="1">IF($B2203="Portfolio","Portfolio",IFERROR(INDEX(DATA_ASSET_CLASSIFICATION!$U$8:$U$24,MATCH($C2203,DATA_ASSET_CLASSIFICATION!$A$8:$A$24,0)),"Review"))</f>
        <v>Refi Watch</v>
      </c>
      <c r="O2203" s="350" t="str">
        <f ca="1">IF($B2203="Portfolio","Portfolio",IFERROR(INDEX(DATA_ASSET_CLASSIFICATION!$AB$8:$AB$13,MATCH($N2203,DATA_ASSET_CLASSIFICATION!$AA$8:$AA$13,0)),"Review"))</f>
        <v>Bucket 2 · Legacy</v>
      </c>
      <c r="P2203" s="350" t="str">
        <f>IF($B2203="Portfolio","Portfolio",IFERROR(INDEX(DATA_ASSET_CLASSIFICATION!$C$8:$C$24,MATCH($C2203,DATA_ASSET_CLASSIFICATION!$A$8:$A$24,0)),"Review"))</f>
        <v>Yes</v>
      </c>
      <c r="Q2203" s="350" t="str">
        <f t="shared" ca="1" si="69"/>
        <v>OK</v>
      </c>
    </row>
    <row r="2204" spans="1:17">
      <c r="A2204" s="366" t="s">
        <v>4160</v>
      </c>
      <c r="B2204" s="366" t="s">
        <v>231</v>
      </c>
      <c r="C2204" s="348" t="str">
        <f>DATA_PROPERTY_MASTER!$A$11</f>
        <v>BLD_EE</v>
      </c>
      <c r="D2204" s="380">
        <f>'00_PORTFOLIO ROLLUP'!O$12</f>
        <v>2035</v>
      </c>
      <c r="E2204" s="366" t="s">
        <v>1683</v>
      </c>
      <c r="F2204" s="366" t="s">
        <v>25</v>
      </c>
      <c r="G2204" s="348" t="str">
        <f>"'"&amp;$C2204&amp;"'!$E$52:$Y$52"</f>
        <v>'BLD_EE'!$E$52:$Y$52</v>
      </c>
      <c r="H2204" s="381">
        <f ca="1">IF(IFERROR(INDEX(DATA_PROPERTY_MASTER!$E$5:$E$21,MATCH($C2204,DATA_PROPERTY_MASTER!$A$5:$A$21,0))="Yes",FALSE),IFERROR(INDEX(INDIRECT("'"&amp;$C2204&amp;"'!$E$52:$Y$52"),1,MATCH($D2204,INDIRECT("'"&amp;$C2204&amp;"'!$E$12:$Y$12"),0)),0),0)</f>
        <v>296358.482797348</v>
      </c>
      <c r="I2204" s="366" t="s">
        <v>1685</v>
      </c>
      <c r="J2204" s="348" t="str">
        <f t="shared" ca="1" si="68"/>
        <v>OK</v>
      </c>
      <c r="K2204" s="366" t="s">
        <v>1710</v>
      </c>
      <c r="L2204" s="366" t="s">
        <v>2246</v>
      </c>
      <c r="M2204" s="350" t="str">
        <f>IF($B2204="Portfolio","Portfolio",IFERROR(INDEX(DATA_ASSET_CLASSIFICATION!$B$8:$B$24,MATCH($C2204,DATA_ASSET_CLASSIFICATION!$A$8:$A$24,0)),"Review"))</f>
        <v>Evelyn Estates</v>
      </c>
      <c r="N2204" s="350" t="str">
        <f ca="1">IF($B2204="Portfolio","Portfolio",IFERROR(INDEX(DATA_ASSET_CLASSIFICATION!$U$8:$U$24,MATCH($C2204,DATA_ASSET_CLASSIFICATION!$A$8:$A$24,0)),"Review"))</f>
        <v>Refi Watch</v>
      </c>
      <c r="O2204" s="350" t="str">
        <f ca="1">IF($B2204="Portfolio","Portfolio",IFERROR(INDEX(DATA_ASSET_CLASSIFICATION!$AB$8:$AB$13,MATCH($N2204,DATA_ASSET_CLASSIFICATION!$AA$8:$AA$13,0)),"Review"))</f>
        <v>Bucket 2 · Legacy</v>
      </c>
      <c r="P2204" s="350" t="str">
        <f>IF($B2204="Portfolio","Portfolio",IFERROR(INDEX(DATA_ASSET_CLASSIFICATION!$C$8:$C$24,MATCH($C2204,DATA_ASSET_CLASSIFICATION!$A$8:$A$24,0)),"Review"))</f>
        <v>Yes</v>
      </c>
      <c r="Q2204" s="350" t="str">
        <f t="shared" ca="1" si="69"/>
        <v>OK</v>
      </c>
    </row>
    <row r="2205" spans="1:17">
      <c r="A2205" s="366" t="s">
        <v>4161</v>
      </c>
      <c r="B2205" s="366" t="s">
        <v>231</v>
      </c>
      <c r="C2205" s="348" t="str">
        <f>DATA_PROPERTY_MASTER!$A$11</f>
        <v>BLD_EE</v>
      </c>
      <c r="D2205" s="380">
        <f>'00_PORTFOLIO ROLLUP'!O$12</f>
        <v>2035</v>
      </c>
      <c r="E2205" s="366" t="s">
        <v>1683</v>
      </c>
      <c r="F2205" s="366" t="s">
        <v>27</v>
      </c>
      <c r="G2205" s="348" t="str">
        <f>"'"&amp;$C2205&amp;"'!$E$54:$Y$54"</f>
        <v>'BLD_EE'!$E$54:$Y$54</v>
      </c>
      <c r="H2205" s="381">
        <f ca="1">IF(IFERROR(INDEX(DATA_PROPERTY_MASTER!$E$5:$E$21,MATCH($C2205,DATA_PROPERTY_MASTER!$A$5:$A$21,0))="Yes",FALSE),IFERROR(INDEX(INDIRECT("'"&amp;$C2205&amp;"'!$E$54:$Y$54"),1,MATCH($D2205,INDIRECT("'"&amp;$C2205&amp;"'!$E$12:$Y$12"),0)),0),0)</f>
        <v>177815.08967840878</v>
      </c>
      <c r="I2205" s="366" t="s">
        <v>1690</v>
      </c>
      <c r="J2205" s="348" t="str">
        <f t="shared" ca="1" si="68"/>
        <v>OK</v>
      </c>
      <c r="K2205" s="366" t="s">
        <v>1714</v>
      </c>
      <c r="L2205" s="366" t="s">
        <v>2248</v>
      </c>
      <c r="M2205" s="350" t="str">
        <f>IF($B2205="Portfolio","Portfolio",IFERROR(INDEX(DATA_ASSET_CLASSIFICATION!$B$8:$B$24,MATCH($C2205,DATA_ASSET_CLASSIFICATION!$A$8:$A$24,0)),"Review"))</f>
        <v>Evelyn Estates</v>
      </c>
      <c r="N2205" s="350" t="str">
        <f ca="1">IF($B2205="Portfolio","Portfolio",IFERROR(INDEX(DATA_ASSET_CLASSIFICATION!$U$8:$U$24,MATCH($C2205,DATA_ASSET_CLASSIFICATION!$A$8:$A$24,0)),"Review"))</f>
        <v>Refi Watch</v>
      </c>
      <c r="O2205" s="350" t="str">
        <f ca="1">IF($B2205="Portfolio","Portfolio",IFERROR(INDEX(DATA_ASSET_CLASSIFICATION!$AB$8:$AB$13,MATCH($N2205,DATA_ASSET_CLASSIFICATION!$AA$8:$AA$13,0)),"Review"))</f>
        <v>Bucket 2 · Legacy</v>
      </c>
      <c r="P2205" s="350" t="str">
        <f>IF($B2205="Portfolio","Portfolio",IFERROR(INDEX(DATA_ASSET_CLASSIFICATION!$C$8:$C$24,MATCH($C2205,DATA_ASSET_CLASSIFICATION!$A$8:$A$24,0)),"Review"))</f>
        <v>Yes</v>
      </c>
      <c r="Q2205" s="350" t="str">
        <f t="shared" ca="1" si="69"/>
        <v>OK</v>
      </c>
    </row>
    <row r="2206" spans="1:17">
      <c r="A2206" s="366" t="s">
        <v>4162</v>
      </c>
      <c r="B2206" s="366" t="s">
        <v>231</v>
      </c>
      <c r="C2206" s="348" t="str">
        <f>DATA_PROPERTY_MASTER!$A$11</f>
        <v>BLD_EE</v>
      </c>
      <c r="D2206" s="380">
        <f>'00_PORTFOLIO ROLLUP'!O$12</f>
        <v>2035</v>
      </c>
      <c r="E2206" s="366" t="s">
        <v>1683</v>
      </c>
      <c r="F2206" s="366" t="s">
        <v>29</v>
      </c>
      <c r="G2206" s="348" t="str">
        <f>"'"&amp;$C2206&amp;"'!$E$56:$Y$56"</f>
        <v>'BLD_EE'!$E$56:$Y$56</v>
      </c>
      <c r="H2206" s="381">
        <f ca="1">IF(IFERROR(INDEX(DATA_PROPERTY_MASTER!$E$5:$E$21,MATCH($C2206,DATA_PROPERTY_MASTER!$A$5:$A$21,0))="Yes",FALSE),IFERROR(INDEX(INDIRECT("'"&amp;$C2206&amp;"'!$E$56:$Y$56"),1,MATCH($D2206,INDIRECT("'"&amp;$C2206&amp;"'!$E$12:$Y$12"),0)),0),0)</f>
        <v>118543.39311893922</v>
      </c>
      <c r="I2206" s="366" t="s">
        <v>1685</v>
      </c>
      <c r="J2206" s="348" t="str">
        <f t="shared" ca="1" si="68"/>
        <v>OK</v>
      </c>
      <c r="K2206" s="366" t="s">
        <v>1718</v>
      </c>
      <c r="L2206" s="366" t="s">
        <v>2250</v>
      </c>
      <c r="M2206" s="350" t="str">
        <f>IF($B2206="Portfolio","Portfolio",IFERROR(INDEX(DATA_ASSET_CLASSIFICATION!$B$8:$B$24,MATCH($C2206,DATA_ASSET_CLASSIFICATION!$A$8:$A$24,0)),"Review"))</f>
        <v>Evelyn Estates</v>
      </c>
      <c r="N2206" s="350" t="str">
        <f ca="1">IF($B2206="Portfolio","Portfolio",IFERROR(INDEX(DATA_ASSET_CLASSIFICATION!$U$8:$U$24,MATCH($C2206,DATA_ASSET_CLASSIFICATION!$A$8:$A$24,0)),"Review"))</f>
        <v>Refi Watch</v>
      </c>
      <c r="O2206" s="350" t="str">
        <f ca="1">IF($B2206="Portfolio","Portfolio",IFERROR(INDEX(DATA_ASSET_CLASSIFICATION!$AB$8:$AB$13,MATCH($N2206,DATA_ASSET_CLASSIFICATION!$AA$8:$AA$13,0)),"Review"))</f>
        <v>Bucket 2 · Legacy</v>
      </c>
      <c r="P2206" s="350" t="str">
        <f>IF($B2206="Portfolio","Portfolio",IFERROR(INDEX(DATA_ASSET_CLASSIFICATION!$C$8:$C$24,MATCH($C2206,DATA_ASSET_CLASSIFICATION!$A$8:$A$24,0)),"Review"))</f>
        <v>Yes</v>
      </c>
      <c r="Q2206" s="350" t="str">
        <f t="shared" ca="1" si="69"/>
        <v>OK</v>
      </c>
    </row>
    <row r="2207" spans="1:17">
      <c r="A2207" s="366" t="s">
        <v>4163</v>
      </c>
      <c r="B2207" s="366" t="s">
        <v>231</v>
      </c>
      <c r="C2207" s="348" t="str">
        <f>DATA_PROPERTY_MASTER!$A$11</f>
        <v>BLD_EE</v>
      </c>
      <c r="D2207" s="380">
        <f>'00_PORTFOLIO ROLLUP'!O$12</f>
        <v>2035</v>
      </c>
      <c r="E2207" s="366" t="s">
        <v>1721</v>
      </c>
      <c r="F2207" s="366" t="s">
        <v>31</v>
      </c>
      <c r="G2207" s="348" t="str">
        <f>"'"&amp;$C2207&amp;"'!$E$61:$Y$61"</f>
        <v>'BLD_EE'!$E$61:$Y$61</v>
      </c>
      <c r="H2207" s="381">
        <f ca="1">IF(IFERROR(INDEX(DATA_PROPERTY_MASTER!$E$5:$E$21,MATCH($C2207,DATA_PROPERTY_MASTER!$A$5:$A$21,0))="Yes",FALSE),IFERROR(INDEX(INDIRECT("'"&amp;$C2207&amp;"'!$E$61:$Y$61"),1,MATCH($D2207,INDIRECT("'"&amp;$C2207&amp;"'!$E$12:$Y$12"),0)),0),0)</f>
        <v>0</v>
      </c>
      <c r="I2207" s="366" t="s">
        <v>1690</v>
      </c>
      <c r="J2207" s="348" t="str">
        <f t="shared" ca="1" si="68"/>
        <v>OK</v>
      </c>
      <c r="K2207" s="366" t="s">
        <v>1723</v>
      </c>
      <c r="L2207" s="366" t="s">
        <v>2252</v>
      </c>
      <c r="M2207" s="350" t="str">
        <f>IF($B2207="Portfolio","Portfolio",IFERROR(INDEX(DATA_ASSET_CLASSIFICATION!$B$8:$B$24,MATCH($C2207,DATA_ASSET_CLASSIFICATION!$A$8:$A$24,0)),"Review"))</f>
        <v>Evelyn Estates</v>
      </c>
      <c r="N2207" s="350" t="str">
        <f ca="1">IF($B2207="Portfolio","Portfolio",IFERROR(INDEX(DATA_ASSET_CLASSIFICATION!$U$8:$U$24,MATCH($C2207,DATA_ASSET_CLASSIFICATION!$A$8:$A$24,0)),"Review"))</f>
        <v>Refi Watch</v>
      </c>
      <c r="O2207" s="350" t="str">
        <f ca="1">IF($B2207="Portfolio","Portfolio",IFERROR(INDEX(DATA_ASSET_CLASSIFICATION!$AB$8:$AB$13,MATCH($N2207,DATA_ASSET_CLASSIFICATION!$AA$8:$AA$13,0)),"Review"))</f>
        <v>Bucket 2 · Legacy</v>
      </c>
      <c r="P2207" s="350" t="str">
        <f>IF($B2207="Portfolio","Portfolio",IFERROR(INDEX(DATA_ASSET_CLASSIFICATION!$C$8:$C$24,MATCH($C2207,DATA_ASSET_CLASSIFICATION!$A$8:$A$24,0)),"Review"))</f>
        <v>Yes</v>
      </c>
      <c r="Q2207" s="350" t="str">
        <f t="shared" ca="1" si="69"/>
        <v>OK</v>
      </c>
    </row>
    <row r="2208" spans="1:17">
      <c r="A2208" s="366" t="s">
        <v>4164</v>
      </c>
      <c r="B2208" s="366" t="s">
        <v>231</v>
      </c>
      <c r="C2208" s="348" t="str">
        <f>DATA_PROPERTY_MASTER!$A$11</f>
        <v>BLD_EE</v>
      </c>
      <c r="D2208" s="380">
        <f>'00_PORTFOLIO ROLLUP'!O$12</f>
        <v>2035</v>
      </c>
      <c r="E2208" s="366" t="s">
        <v>1721</v>
      </c>
      <c r="F2208" s="366" t="s">
        <v>33</v>
      </c>
      <c r="G2208" s="348" t="str">
        <f>"'"&amp;$C2208&amp;"'!$E$62:$Y$62"</f>
        <v>'BLD_EE'!$E$62:$Y$62</v>
      </c>
      <c r="H2208" s="381">
        <f ca="1">IF(IFERROR(INDEX(DATA_PROPERTY_MASTER!$E$5:$E$21,MATCH($C2208,DATA_PROPERTY_MASTER!$A$5:$A$21,0))="Yes",FALSE),IFERROR(INDEX(INDIRECT("'"&amp;$C2208&amp;"'!$E$62:$Y$62"),1,MATCH($D2208,INDIRECT("'"&amp;$C2208&amp;"'!$E$12:$Y$12"),0)),0),0)</f>
        <v>0</v>
      </c>
      <c r="I2208" s="366" t="s">
        <v>1685</v>
      </c>
      <c r="J2208" s="348" t="str">
        <f t="shared" ca="1" si="68"/>
        <v>OK</v>
      </c>
      <c r="K2208" s="366" t="s">
        <v>1727</v>
      </c>
      <c r="L2208" s="366" t="s">
        <v>2254</v>
      </c>
      <c r="M2208" s="350" t="str">
        <f>IF($B2208="Portfolio","Portfolio",IFERROR(INDEX(DATA_ASSET_CLASSIFICATION!$B$8:$B$24,MATCH($C2208,DATA_ASSET_CLASSIFICATION!$A$8:$A$24,0)),"Review"))</f>
        <v>Evelyn Estates</v>
      </c>
      <c r="N2208" s="350" t="str">
        <f ca="1">IF($B2208="Portfolio","Portfolio",IFERROR(INDEX(DATA_ASSET_CLASSIFICATION!$U$8:$U$24,MATCH($C2208,DATA_ASSET_CLASSIFICATION!$A$8:$A$24,0)),"Review"))</f>
        <v>Refi Watch</v>
      </c>
      <c r="O2208" s="350" t="str">
        <f ca="1">IF($B2208="Portfolio","Portfolio",IFERROR(INDEX(DATA_ASSET_CLASSIFICATION!$AB$8:$AB$13,MATCH($N2208,DATA_ASSET_CLASSIFICATION!$AA$8:$AA$13,0)),"Review"))</f>
        <v>Bucket 2 · Legacy</v>
      </c>
      <c r="P2208" s="350" t="str">
        <f>IF($B2208="Portfolio","Portfolio",IFERROR(INDEX(DATA_ASSET_CLASSIFICATION!$C$8:$C$24,MATCH($C2208,DATA_ASSET_CLASSIFICATION!$A$8:$A$24,0)),"Review"))</f>
        <v>Yes</v>
      </c>
      <c r="Q2208" s="350" t="str">
        <f t="shared" ca="1" si="69"/>
        <v>OK</v>
      </c>
    </row>
    <row r="2209" spans="1:17">
      <c r="A2209" s="366" t="s">
        <v>4165</v>
      </c>
      <c r="B2209" s="366" t="s">
        <v>231</v>
      </c>
      <c r="C2209" s="348" t="str">
        <f>DATA_PROPERTY_MASTER!$A$11</f>
        <v>BLD_EE</v>
      </c>
      <c r="D2209" s="380">
        <f>'00_PORTFOLIO ROLLUP'!O$12</f>
        <v>2035</v>
      </c>
      <c r="E2209" s="366" t="s">
        <v>1721</v>
      </c>
      <c r="F2209" s="366" t="s">
        <v>35</v>
      </c>
      <c r="G2209" s="348" t="str">
        <f>"'"&amp;$C2209&amp;"'!$E$63:$Y$63"</f>
        <v>'BLD_EE'!$E$63:$Y$63</v>
      </c>
      <c r="H2209" s="381">
        <f ca="1">IF(IFERROR(INDEX(DATA_PROPERTY_MASTER!$E$5:$E$21,MATCH($C2209,DATA_PROPERTY_MASTER!$A$5:$A$21,0))="Yes",FALSE),IFERROR(INDEX(INDIRECT("'"&amp;$C2209&amp;"'!$E$63:$Y$63"),1,MATCH($D2209,INDIRECT("'"&amp;$C2209&amp;"'!$E$12:$Y$12"),0)),0),0)</f>
        <v>0</v>
      </c>
      <c r="I2209" s="366" t="s">
        <v>1731</v>
      </c>
      <c r="J2209" s="348" t="str">
        <f t="shared" ca="1" si="68"/>
        <v>OK</v>
      </c>
      <c r="K2209" s="366" t="s">
        <v>1732</v>
      </c>
      <c r="L2209" s="366" t="s">
        <v>2256</v>
      </c>
      <c r="M2209" s="350" t="str">
        <f>IF($B2209="Portfolio","Portfolio",IFERROR(INDEX(DATA_ASSET_CLASSIFICATION!$B$8:$B$24,MATCH($C2209,DATA_ASSET_CLASSIFICATION!$A$8:$A$24,0)),"Review"))</f>
        <v>Evelyn Estates</v>
      </c>
      <c r="N2209" s="350" t="str">
        <f ca="1">IF($B2209="Portfolio","Portfolio",IFERROR(INDEX(DATA_ASSET_CLASSIFICATION!$U$8:$U$24,MATCH($C2209,DATA_ASSET_CLASSIFICATION!$A$8:$A$24,0)),"Review"))</f>
        <v>Refi Watch</v>
      </c>
      <c r="O2209" s="350" t="str">
        <f ca="1">IF($B2209="Portfolio","Portfolio",IFERROR(INDEX(DATA_ASSET_CLASSIFICATION!$AB$8:$AB$13,MATCH($N2209,DATA_ASSET_CLASSIFICATION!$AA$8:$AA$13,0)),"Review"))</f>
        <v>Bucket 2 · Legacy</v>
      </c>
      <c r="P2209" s="350" t="str">
        <f>IF($B2209="Portfolio","Portfolio",IFERROR(INDEX(DATA_ASSET_CLASSIFICATION!$C$8:$C$24,MATCH($C2209,DATA_ASSET_CLASSIFICATION!$A$8:$A$24,0)),"Review"))</f>
        <v>Yes</v>
      </c>
      <c r="Q2209" s="350" t="str">
        <f t="shared" ca="1" si="69"/>
        <v>OK</v>
      </c>
    </row>
    <row r="2210" spans="1:17">
      <c r="A2210" s="366" t="s">
        <v>4166</v>
      </c>
      <c r="B2210" s="366" t="s">
        <v>231</v>
      </c>
      <c r="C2210" s="348" t="str">
        <f>DATA_PROPERTY_MASTER!$A$11</f>
        <v>BLD_EE</v>
      </c>
      <c r="D2210" s="380">
        <f>'00_PORTFOLIO ROLLUP'!O$12</f>
        <v>2035</v>
      </c>
      <c r="E2210" s="366" t="s">
        <v>1721</v>
      </c>
      <c r="F2210" s="366" t="s">
        <v>37</v>
      </c>
      <c r="G2210" s="348" t="str">
        <f>"'"&amp;$C2210&amp;"'!$E$63:$Y$63"</f>
        <v>'BLD_EE'!$E$63:$Y$63</v>
      </c>
      <c r="H2210" s="381">
        <f ca="1">IF(IFERROR(INDEX(DATA_PROPERTY_MASTER!$E$5:$E$21,MATCH($C2210,DATA_PROPERTY_MASTER!$A$5:$A$21,0))="Yes",FALSE),MAX(IFERROR(INDEX(INDIRECT("'"&amp;$C2210&amp;"'!$E$63:$Y$63"),1,MATCH($D2210,INDIRECT("'"&amp;$C2210&amp;"'!$E$12:$Y$12"),0)),0),0),0)</f>
        <v>0</v>
      </c>
      <c r="I2210" s="366" t="s">
        <v>1685</v>
      </c>
      <c r="J2210" s="348" t="str">
        <f t="shared" ca="1" si="68"/>
        <v>OK</v>
      </c>
      <c r="K2210" s="366" t="s">
        <v>1735</v>
      </c>
      <c r="L2210" s="366" t="s">
        <v>2258</v>
      </c>
      <c r="M2210" s="350" t="str">
        <f>IF($B2210="Portfolio","Portfolio",IFERROR(INDEX(DATA_ASSET_CLASSIFICATION!$B$8:$B$24,MATCH($C2210,DATA_ASSET_CLASSIFICATION!$A$8:$A$24,0)),"Review"))</f>
        <v>Evelyn Estates</v>
      </c>
      <c r="N2210" s="350" t="str">
        <f ca="1">IF($B2210="Portfolio","Portfolio",IFERROR(INDEX(DATA_ASSET_CLASSIFICATION!$U$8:$U$24,MATCH($C2210,DATA_ASSET_CLASSIFICATION!$A$8:$A$24,0)),"Review"))</f>
        <v>Refi Watch</v>
      </c>
      <c r="O2210" s="350" t="str">
        <f ca="1">IF($B2210="Portfolio","Portfolio",IFERROR(INDEX(DATA_ASSET_CLASSIFICATION!$AB$8:$AB$13,MATCH($N2210,DATA_ASSET_CLASSIFICATION!$AA$8:$AA$13,0)),"Review"))</f>
        <v>Bucket 2 · Legacy</v>
      </c>
      <c r="P2210" s="350" t="str">
        <f>IF($B2210="Portfolio","Portfolio",IFERROR(INDEX(DATA_ASSET_CLASSIFICATION!$C$8:$C$24,MATCH($C2210,DATA_ASSET_CLASSIFICATION!$A$8:$A$24,0)),"Review"))</f>
        <v>Yes</v>
      </c>
      <c r="Q2210" s="350" t="str">
        <f t="shared" ca="1" si="69"/>
        <v>OK</v>
      </c>
    </row>
    <row r="2211" spans="1:17">
      <c r="A2211" s="366" t="s">
        <v>4167</v>
      </c>
      <c r="B2211" s="366" t="s">
        <v>231</v>
      </c>
      <c r="C2211" s="348" t="str">
        <f>DATA_PROPERTY_MASTER!$A$11</f>
        <v>BLD_EE</v>
      </c>
      <c r="D2211" s="380">
        <f>'00_PORTFOLIO ROLLUP'!O$12</f>
        <v>2035</v>
      </c>
      <c r="E2211" s="366" t="s">
        <v>1721</v>
      </c>
      <c r="F2211" s="366" t="s">
        <v>39</v>
      </c>
      <c r="G2211" s="348" t="str">
        <f>"'"&amp;$C2211&amp;"'!$E$63:$Y$63"</f>
        <v>'BLD_EE'!$E$63:$Y$63</v>
      </c>
      <c r="H2211" s="381">
        <f ca="1">IF(IFERROR(INDEX(DATA_PROPERTY_MASTER!$E$5:$E$21,MATCH($C2211,DATA_PROPERTY_MASTER!$A$5:$A$21,0))="Yes",FALSE),MAX(-IFERROR(INDEX(INDIRECT("'"&amp;$C2211&amp;"'!$E$63:$Y$63"),1,MATCH($D2211,INDIRECT("'"&amp;$C2211&amp;"'!$E$12:$Y$12"),0)),0),0),0)</f>
        <v>0</v>
      </c>
      <c r="I2211" s="366" t="s">
        <v>1690</v>
      </c>
      <c r="J2211" s="348" t="str">
        <f t="shared" ca="1" si="68"/>
        <v>OK</v>
      </c>
      <c r="K2211" s="366" t="s">
        <v>1738</v>
      </c>
      <c r="L2211" s="366" t="s">
        <v>2260</v>
      </c>
      <c r="M2211" s="350" t="str">
        <f>IF($B2211="Portfolio","Portfolio",IFERROR(INDEX(DATA_ASSET_CLASSIFICATION!$B$8:$B$24,MATCH($C2211,DATA_ASSET_CLASSIFICATION!$A$8:$A$24,0)),"Review"))</f>
        <v>Evelyn Estates</v>
      </c>
      <c r="N2211" s="350" t="str">
        <f ca="1">IF($B2211="Portfolio","Portfolio",IFERROR(INDEX(DATA_ASSET_CLASSIFICATION!$U$8:$U$24,MATCH($C2211,DATA_ASSET_CLASSIFICATION!$A$8:$A$24,0)),"Review"))</f>
        <v>Refi Watch</v>
      </c>
      <c r="O2211" s="350" t="str">
        <f ca="1">IF($B2211="Portfolio","Portfolio",IFERROR(INDEX(DATA_ASSET_CLASSIFICATION!$AB$8:$AB$13,MATCH($N2211,DATA_ASSET_CLASSIFICATION!$AA$8:$AA$13,0)),"Review"))</f>
        <v>Bucket 2 · Legacy</v>
      </c>
      <c r="P2211" s="350" t="str">
        <f>IF($B2211="Portfolio","Portfolio",IFERROR(INDEX(DATA_ASSET_CLASSIFICATION!$C$8:$C$24,MATCH($C2211,DATA_ASSET_CLASSIFICATION!$A$8:$A$24,0)),"Review"))</f>
        <v>Yes</v>
      </c>
      <c r="Q2211" s="350" t="str">
        <f t="shared" ca="1" si="69"/>
        <v>OK</v>
      </c>
    </row>
    <row r="2212" spans="1:17">
      <c r="A2212" s="366" t="s">
        <v>4168</v>
      </c>
      <c r="B2212" s="366" t="s">
        <v>231</v>
      </c>
      <c r="C2212" s="348" t="str">
        <f>DATA_PROPERTY_MASTER!$A$11</f>
        <v>BLD_EE</v>
      </c>
      <c r="D2212" s="380">
        <f>'00_PORTFOLIO ROLLUP'!O$12</f>
        <v>2035</v>
      </c>
      <c r="E2212" s="366" t="s">
        <v>1741</v>
      </c>
      <c r="F2212" s="366" t="s">
        <v>41</v>
      </c>
      <c r="G2212" s="348" t="str">
        <f>"'"&amp;$C2212&amp;"'!rows 56 + positive row 63"</f>
        <v>'BLD_EE'!rows 56 + positive row 63</v>
      </c>
      <c r="H2212" s="381">
        <f ca="1">IF(IFERROR(INDEX(DATA_PROPERTY_MASTER!$E$5:$E$21,MATCH($C2212,DATA_PROPERTY_MASTER!$A$5:$A$21,0))="Yes",FALSE),IFERROR(INDEX(INDIRECT("'"&amp;$C2212&amp;"'!$E$56:$Y$56"),1,MATCH($D2212,INDIRECT("'"&amp;$C2212&amp;"'!$E$12:$Y$12"),0)),0)+MAX(IFERROR(INDEX(INDIRECT("'"&amp;$C2212&amp;"'!$E$63:$Y$63"),1,MATCH($D2212,INDIRECT("'"&amp;$C2212&amp;"'!$E$12:$Y$12"),0)),0),0),0)</f>
        <v>118543.39311893922</v>
      </c>
      <c r="I2212" s="366" t="s">
        <v>1685</v>
      </c>
      <c r="J2212" s="348" t="str">
        <f t="shared" ca="1" si="68"/>
        <v>OK</v>
      </c>
      <c r="K2212" s="366" t="s">
        <v>1742</v>
      </c>
      <c r="L2212" s="366" t="s">
        <v>2262</v>
      </c>
      <c r="M2212" s="350" t="str">
        <f>IF($B2212="Portfolio","Portfolio",IFERROR(INDEX(DATA_ASSET_CLASSIFICATION!$B$8:$B$24,MATCH($C2212,DATA_ASSET_CLASSIFICATION!$A$8:$A$24,0)),"Review"))</f>
        <v>Evelyn Estates</v>
      </c>
      <c r="N2212" s="350" t="str">
        <f ca="1">IF($B2212="Portfolio","Portfolio",IFERROR(INDEX(DATA_ASSET_CLASSIFICATION!$U$8:$U$24,MATCH($C2212,DATA_ASSET_CLASSIFICATION!$A$8:$A$24,0)),"Review"))</f>
        <v>Refi Watch</v>
      </c>
      <c r="O2212" s="350" t="str">
        <f ca="1">IF($B2212="Portfolio","Portfolio",IFERROR(INDEX(DATA_ASSET_CLASSIFICATION!$AB$8:$AB$13,MATCH($N2212,DATA_ASSET_CLASSIFICATION!$AA$8:$AA$13,0)),"Review"))</f>
        <v>Bucket 2 · Legacy</v>
      </c>
      <c r="P2212" s="350" t="str">
        <f>IF($B2212="Portfolio","Portfolio",IFERROR(INDEX(DATA_ASSET_CLASSIFICATION!$C$8:$C$24,MATCH($C2212,DATA_ASSET_CLASSIFICATION!$A$8:$A$24,0)),"Review"))</f>
        <v>Yes</v>
      </c>
      <c r="Q2212" s="350" t="str">
        <f t="shared" ca="1" si="69"/>
        <v>OK</v>
      </c>
    </row>
    <row r="2213" spans="1:17">
      <c r="A2213" s="366" t="s">
        <v>4169</v>
      </c>
      <c r="B2213" s="366" t="s">
        <v>231</v>
      </c>
      <c r="C2213" s="348" t="str">
        <f>DATA_PROPERTY_MASTER!$A$11</f>
        <v>BLD_EE</v>
      </c>
      <c r="D2213" s="380">
        <f>'00_PORTFOLIO ROLLUP'!O$12</f>
        <v>2035</v>
      </c>
      <c r="E2213" s="366" t="s">
        <v>1741</v>
      </c>
      <c r="F2213" s="366" t="s">
        <v>43</v>
      </c>
      <c r="G2213" s="348" t="str">
        <f>"'"&amp;$C2213&amp;"'!$E$68:$Y$68"</f>
        <v>'BLD_EE'!$E$68:$Y$68</v>
      </c>
      <c r="H2213" s="381">
        <f ca="1">IF(IFERROR(INDEX(DATA_PROPERTY_MASTER!$E$5:$E$21,MATCH($C2213,DATA_PROPERTY_MASTER!$A$5:$A$21,0))="Yes",FALSE),IFERROR(INDEX(INDIRECT("'"&amp;$C2213&amp;"'!$E$68:$Y$68"),1,MATCH($D2213,INDIRECT("'"&amp;$C2213&amp;"'!$E$12:$Y$12"),0)),0),0)</f>
        <v>118543.39311893922</v>
      </c>
      <c r="I2213" s="366" t="s">
        <v>1731</v>
      </c>
      <c r="J2213" s="348" t="str">
        <f t="shared" ca="1" si="68"/>
        <v>OK</v>
      </c>
      <c r="K2213" s="366" t="s">
        <v>1746</v>
      </c>
      <c r="L2213" s="366" t="s">
        <v>2264</v>
      </c>
      <c r="M2213" s="350" t="str">
        <f>IF($B2213="Portfolio","Portfolio",IFERROR(INDEX(DATA_ASSET_CLASSIFICATION!$B$8:$B$24,MATCH($C2213,DATA_ASSET_CLASSIFICATION!$A$8:$A$24,0)),"Review"))</f>
        <v>Evelyn Estates</v>
      </c>
      <c r="N2213" s="350" t="str">
        <f ca="1">IF($B2213="Portfolio","Portfolio",IFERROR(INDEX(DATA_ASSET_CLASSIFICATION!$U$8:$U$24,MATCH($C2213,DATA_ASSET_CLASSIFICATION!$A$8:$A$24,0)),"Review"))</f>
        <v>Refi Watch</v>
      </c>
      <c r="O2213" s="350" t="str">
        <f ca="1">IF($B2213="Portfolio","Portfolio",IFERROR(INDEX(DATA_ASSET_CLASSIFICATION!$AB$8:$AB$13,MATCH($N2213,DATA_ASSET_CLASSIFICATION!$AA$8:$AA$13,0)),"Review"))</f>
        <v>Bucket 2 · Legacy</v>
      </c>
      <c r="P2213" s="350" t="str">
        <f>IF($B2213="Portfolio","Portfolio",IFERROR(INDEX(DATA_ASSET_CLASSIFICATION!$C$8:$C$24,MATCH($C2213,DATA_ASSET_CLASSIFICATION!$A$8:$A$24,0)),"Review"))</f>
        <v>Yes</v>
      </c>
      <c r="Q2213" s="350" t="str">
        <f t="shared" ca="1" si="69"/>
        <v>OK</v>
      </c>
    </row>
    <row r="2214" spans="1:17">
      <c r="A2214" s="366" t="s">
        <v>4170</v>
      </c>
      <c r="B2214" s="366" t="s">
        <v>231</v>
      </c>
      <c r="C2214" s="348" t="str">
        <f>DATA_PROPERTY_MASTER!$A$11</f>
        <v>BLD_EE</v>
      </c>
      <c r="D2214" s="380">
        <f>'00_PORTFOLIO ROLLUP'!O$12</f>
        <v>2035</v>
      </c>
      <c r="E2214" s="366" t="s">
        <v>1741</v>
      </c>
      <c r="F2214" s="366" t="s">
        <v>1749</v>
      </c>
      <c r="G2214" s="348" t="str">
        <f>"'"&amp;$C2214&amp;"'!rows 56, 63, 68"</f>
        <v>'BLD_EE'!rows 56, 63, 68</v>
      </c>
      <c r="H2214" s="381">
        <f ca="1">IF(IFERROR(INDEX(DATA_PROPERTY_MASTER!$E$5:$E$21,MATCH($C2214,DATA_PROPERTY_MASTER!$A$5:$A$21,0))="Yes",FALSE),(IFERROR(INDEX(INDIRECT("'"&amp;$C2214&amp;"'!$E$56:$Y$56"),1,MATCH($D2214,INDIRECT("'"&amp;$C2214&amp;"'!$E$12:$Y$12"),0)),0)+MAX(IFERROR(INDEX(INDIRECT("'"&amp;$C2214&amp;"'!$E$63:$Y$63"),1,MATCH($D2214,INDIRECT("'"&amp;$C2214&amp;"'!$E$12:$Y$12"),0)),0),0))-(IFERROR(INDEX(INDIRECT("'"&amp;$C2214&amp;"'!$E$68:$Y$68"),1,MATCH($D2214,INDIRECT("'"&amp;$C2214&amp;"'!$E$12:$Y$12"),0)),0)),0)</f>
        <v>0</v>
      </c>
      <c r="I2214" s="366" t="s">
        <v>1750</v>
      </c>
      <c r="J2214" s="348" t="str">
        <f t="shared" ca="1" si="68"/>
        <v>OK</v>
      </c>
      <c r="K2214" s="366" t="s">
        <v>1751</v>
      </c>
      <c r="L2214" s="366" t="s">
        <v>2266</v>
      </c>
      <c r="M2214" s="350" t="str">
        <f>IF($B2214="Portfolio","Portfolio",IFERROR(INDEX(DATA_ASSET_CLASSIFICATION!$B$8:$B$24,MATCH($C2214,DATA_ASSET_CLASSIFICATION!$A$8:$A$24,0)),"Review"))</f>
        <v>Evelyn Estates</v>
      </c>
      <c r="N2214" s="350" t="str">
        <f ca="1">IF($B2214="Portfolio","Portfolio",IFERROR(INDEX(DATA_ASSET_CLASSIFICATION!$U$8:$U$24,MATCH($C2214,DATA_ASSET_CLASSIFICATION!$A$8:$A$24,0)),"Review"))</f>
        <v>Refi Watch</v>
      </c>
      <c r="O2214" s="350" t="str">
        <f ca="1">IF($B2214="Portfolio","Portfolio",IFERROR(INDEX(DATA_ASSET_CLASSIFICATION!$AB$8:$AB$13,MATCH($N2214,DATA_ASSET_CLASSIFICATION!$AA$8:$AA$13,0)),"Review"))</f>
        <v>Bucket 2 · Legacy</v>
      </c>
      <c r="P2214" s="350" t="str">
        <f>IF($B2214="Portfolio","Portfolio",IFERROR(INDEX(DATA_ASSET_CLASSIFICATION!$C$8:$C$24,MATCH($C2214,DATA_ASSET_CLASSIFICATION!$A$8:$A$24,0)),"Review"))</f>
        <v>Yes</v>
      </c>
      <c r="Q2214" s="350" t="str">
        <f t="shared" ca="1" si="69"/>
        <v>OK</v>
      </c>
    </row>
    <row r="2215" spans="1:17">
      <c r="A2215" s="366" t="s">
        <v>4171</v>
      </c>
      <c r="B2215" s="366" t="s">
        <v>231</v>
      </c>
      <c r="C2215" s="348" t="str">
        <f>DATA_PROPERTY_MASTER!$A$11</f>
        <v>BLD_EE</v>
      </c>
      <c r="D2215" s="380">
        <f>'00_PORTFOLIO ROLLUP'!P$12</f>
        <v>2036</v>
      </c>
      <c r="E2215" s="366" t="s">
        <v>1683</v>
      </c>
      <c r="F2215" s="366" t="s">
        <v>341</v>
      </c>
      <c r="G2215" s="348" t="str">
        <f>"'"&amp;$C2215&amp;"'!$E$24:$Y$24"</f>
        <v>'BLD_EE'!$E$24:$Y$24</v>
      </c>
      <c r="H2215" s="381">
        <f ca="1">IF(IFERROR(INDEX(DATA_PROPERTY_MASTER!$E$5:$E$21,MATCH($C2215,DATA_PROPERTY_MASTER!$A$5:$A$21,0))="Yes",FALSE),IFERROR(INDEX(INDIRECT("'"&amp;$C2215&amp;"'!$E$24:$Y$24"),1,MATCH($D2215,INDIRECT("'"&amp;$C2215&amp;"'!$E$12:$Y$12"),0)),0),0)</f>
        <v>625166.13540620334</v>
      </c>
      <c r="I2215" s="366" t="s">
        <v>1685</v>
      </c>
      <c r="J2215" s="348" t="str">
        <f t="shared" ca="1" si="68"/>
        <v>OK</v>
      </c>
      <c r="K2215" s="366" t="s">
        <v>1686</v>
      </c>
      <c r="L2215" s="366" t="s">
        <v>2234</v>
      </c>
      <c r="M2215" s="350" t="str">
        <f>IF($B2215="Portfolio","Portfolio",IFERROR(INDEX(DATA_ASSET_CLASSIFICATION!$B$8:$B$24,MATCH($C2215,DATA_ASSET_CLASSIFICATION!$A$8:$A$24,0)),"Review"))</f>
        <v>Evelyn Estates</v>
      </c>
      <c r="N2215" s="350" t="str">
        <f ca="1">IF($B2215="Portfolio","Portfolio",IFERROR(INDEX(DATA_ASSET_CLASSIFICATION!$U$8:$U$24,MATCH($C2215,DATA_ASSET_CLASSIFICATION!$A$8:$A$24,0)),"Review"))</f>
        <v>Refi Watch</v>
      </c>
      <c r="O2215" s="350" t="str">
        <f ca="1">IF($B2215="Portfolio","Portfolio",IFERROR(INDEX(DATA_ASSET_CLASSIFICATION!$AB$8:$AB$13,MATCH($N2215,DATA_ASSET_CLASSIFICATION!$AA$8:$AA$13,0)),"Review"))</f>
        <v>Bucket 2 · Legacy</v>
      </c>
      <c r="P2215" s="350" t="str">
        <f>IF($B2215="Portfolio","Portfolio",IFERROR(INDEX(DATA_ASSET_CLASSIFICATION!$C$8:$C$24,MATCH($C2215,DATA_ASSET_CLASSIFICATION!$A$8:$A$24,0)),"Review"))</f>
        <v>Yes</v>
      </c>
      <c r="Q2215" s="350" t="str">
        <f t="shared" ca="1" si="69"/>
        <v>OK</v>
      </c>
    </row>
    <row r="2216" spans="1:17">
      <c r="A2216" s="366" t="s">
        <v>4172</v>
      </c>
      <c r="B2216" s="366" t="s">
        <v>231</v>
      </c>
      <c r="C2216" s="348" t="str">
        <f>DATA_PROPERTY_MASTER!$A$11</f>
        <v>BLD_EE</v>
      </c>
      <c r="D2216" s="380">
        <f>'00_PORTFOLIO ROLLUP'!P$12</f>
        <v>2036</v>
      </c>
      <c r="E2216" s="366" t="s">
        <v>1683</v>
      </c>
      <c r="F2216" s="366" t="s">
        <v>355</v>
      </c>
      <c r="G2216" s="348" t="str">
        <f>"'"&amp;$C2216&amp;"'!$E$39:$Y$39"</f>
        <v>'BLD_EE'!$E$39:$Y$39</v>
      </c>
      <c r="H2216" s="381">
        <f ca="1">IF(IFERROR(INDEX(DATA_PROPERTY_MASTER!$E$5:$E$21,MATCH($C2216,DATA_PROPERTY_MASTER!$A$5:$A$21,0))="Yes",FALSE),IFERROR(INDEX(INDIRECT("'"&amp;$C2216&amp;"'!$E$39:$Y$39"),1,MATCH($D2216,INDIRECT("'"&amp;$C2216&amp;"'!$E$12:$Y$12"),0)),0),0)</f>
        <v>324463.23041836353</v>
      </c>
      <c r="I2216" s="366" t="s">
        <v>1690</v>
      </c>
      <c r="J2216" s="348" t="str">
        <f t="shared" ca="1" si="68"/>
        <v>OK</v>
      </c>
      <c r="K2216" s="366" t="s">
        <v>1686</v>
      </c>
      <c r="L2216" s="366" t="s">
        <v>2236</v>
      </c>
      <c r="M2216" s="350" t="str">
        <f>IF($B2216="Portfolio","Portfolio",IFERROR(INDEX(DATA_ASSET_CLASSIFICATION!$B$8:$B$24,MATCH($C2216,DATA_ASSET_CLASSIFICATION!$A$8:$A$24,0)),"Review"))</f>
        <v>Evelyn Estates</v>
      </c>
      <c r="N2216" s="350" t="str">
        <f ca="1">IF($B2216="Portfolio","Portfolio",IFERROR(INDEX(DATA_ASSET_CLASSIFICATION!$U$8:$U$24,MATCH($C2216,DATA_ASSET_CLASSIFICATION!$A$8:$A$24,0)),"Review"))</f>
        <v>Refi Watch</v>
      </c>
      <c r="O2216" s="350" t="str">
        <f ca="1">IF($B2216="Portfolio","Portfolio",IFERROR(INDEX(DATA_ASSET_CLASSIFICATION!$AB$8:$AB$13,MATCH($N2216,DATA_ASSET_CLASSIFICATION!$AA$8:$AA$13,0)),"Review"))</f>
        <v>Bucket 2 · Legacy</v>
      </c>
      <c r="P2216" s="350" t="str">
        <f>IF($B2216="Portfolio","Portfolio",IFERROR(INDEX(DATA_ASSET_CLASSIFICATION!$C$8:$C$24,MATCH($C2216,DATA_ASSET_CLASSIFICATION!$A$8:$A$24,0)),"Review"))</f>
        <v>Yes</v>
      </c>
      <c r="Q2216" s="350" t="str">
        <f t="shared" ca="1" si="69"/>
        <v>OK</v>
      </c>
    </row>
    <row r="2217" spans="1:17">
      <c r="A2217" s="366" t="s">
        <v>4173</v>
      </c>
      <c r="B2217" s="366" t="s">
        <v>231</v>
      </c>
      <c r="C2217" s="348" t="str">
        <f>DATA_PROPERTY_MASTER!$A$11</f>
        <v>BLD_EE</v>
      </c>
      <c r="D2217" s="380">
        <f>'00_PORTFOLIO ROLLUP'!P$12</f>
        <v>2036</v>
      </c>
      <c r="E2217" s="366" t="s">
        <v>1683</v>
      </c>
      <c r="F2217" s="366" t="s">
        <v>19</v>
      </c>
      <c r="G2217" s="348" t="str">
        <f>"'"&amp;$C2217&amp;"'!$E$41:$Y$41"</f>
        <v>'BLD_EE'!$E$41:$Y$41</v>
      </c>
      <c r="H2217" s="381">
        <f ca="1">IF(IFERROR(INDEX(DATA_PROPERTY_MASTER!$E$5:$E$21,MATCH($C2217,DATA_PROPERTY_MASTER!$A$5:$A$21,0))="Yes",FALSE),IFERROR(INDEX(INDIRECT("'"&amp;$C2217&amp;"'!$E$41:$Y$41"),1,MATCH($D2217,INDIRECT("'"&amp;$C2217&amp;"'!$E$12:$Y$12"),0)),0),0)</f>
        <v>300702.90498783981</v>
      </c>
      <c r="I2217" s="366" t="s">
        <v>1685</v>
      </c>
      <c r="J2217" s="348" t="str">
        <f t="shared" ca="1" si="68"/>
        <v>OK</v>
      </c>
      <c r="K2217" s="366" t="s">
        <v>1694</v>
      </c>
      <c r="L2217" s="366" t="s">
        <v>2238</v>
      </c>
      <c r="M2217" s="350" t="str">
        <f>IF($B2217="Portfolio","Portfolio",IFERROR(INDEX(DATA_ASSET_CLASSIFICATION!$B$8:$B$24,MATCH($C2217,DATA_ASSET_CLASSIFICATION!$A$8:$A$24,0)),"Review"))</f>
        <v>Evelyn Estates</v>
      </c>
      <c r="N2217" s="350" t="str">
        <f ca="1">IF($B2217="Portfolio","Portfolio",IFERROR(INDEX(DATA_ASSET_CLASSIFICATION!$U$8:$U$24,MATCH($C2217,DATA_ASSET_CLASSIFICATION!$A$8:$A$24,0)),"Review"))</f>
        <v>Refi Watch</v>
      </c>
      <c r="O2217" s="350" t="str">
        <f ca="1">IF($B2217="Portfolio","Portfolio",IFERROR(INDEX(DATA_ASSET_CLASSIFICATION!$AB$8:$AB$13,MATCH($N2217,DATA_ASSET_CLASSIFICATION!$AA$8:$AA$13,0)),"Review"))</f>
        <v>Bucket 2 · Legacy</v>
      </c>
      <c r="P2217" s="350" t="str">
        <f>IF($B2217="Portfolio","Portfolio",IFERROR(INDEX(DATA_ASSET_CLASSIFICATION!$C$8:$C$24,MATCH($C2217,DATA_ASSET_CLASSIFICATION!$A$8:$A$24,0)),"Review"))</f>
        <v>Yes</v>
      </c>
      <c r="Q2217" s="350" t="str">
        <f t="shared" ca="1" si="69"/>
        <v>OK</v>
      </c>
    </row>
    <row r="2218" spans="1:17">
      <c r="A2218" s="366" t="s">
        <v>4174</v>
      </c>
      <c r="B2218" s="366" t="s">
        <v>231</v>
      </c>
      <c r="C2218" s="348" t="str">
        <f>DATA_PROPERTY_MASTER!$A$11</f>
        <v>BLD_EE</v>
      </c>
      <c r="D2218" s="380">
        <f>'00_PORTFOLIO ROLLUP'!P$12</f>
        <v>2036</v>
      </c>
      <c r="E2218" s="366" t="s">
        <v>1683</v>
      </c>
      <c r="F2218" s="366" t="s">
        <v>1697</v>
      </c>
      <c r="G2218" s="348" t="str">
        <f>"'"&amp;$C2218&amp;"'!$E$44:$Y$44"</f>
        <v>'BLD_EE'!$E$44:$Y$44</v>
      </c>
      <c r="H2218" s="381">
        <f ca="1">IF(IFERROR(INDEX(DATA_PROPERTY_MASTER!$E$5:$E$21,MATCH($C2218,DATA_PROPERTY_MASTER!$A$5:$A$21,0))="Yes",FALSE),IFERROR(INDEX(INDIRECT("'"&amp;$C2218&amp;"'!$E$44:$Y$44"),1,MATCH($D2218,INDIRECT("'"&amp;$C2218&amp;"'!$E$12:$Y$12"),0)),0),0)</f>
        <v>6714.2212653311208</v>
      </c>
      <c r="I2218" s="366" t="s">
        <v>1690</v>
      </c>
      <c r="J2218" s="348" t="str">
        <f t="shared" ca="1" si="68"/>
        <v>OK</v>
      </c>
      <c r="K2218" s="366" t="s">
        <v>1699</v>
      </c>
      <c r="L2218" s="366" t="s">
        <v>2240</v>
      </c>
      <c r="M2218" s="350" t="str">
        <f>IF($B2218="Portfolio","Portfolio",IFERROR(INDEX(DATA_ASSET_CLASSIFICATION!$B$8:$B$24,MATCH($C2218,DATA_ASSET_CLASSIFICATION!$A$8:$A$24,0)),"Review"))</f>
        <v>Evelyn Estates</v>
      </c>
      <c r="N2218" s="350" t="str">
        <f ca="1">IF($B2218="Portfolio","Portfolio",IFERROR(INDEX(DATA_ASSET_CLASSIFICATION!$U$8:$U$24,MATCH($C2218,DATA_ASSET_CLASSIFICATION!$A$8:$A$24,0)),"Review"))</f>
        <v>Refi Watch</v>
      </c>
      <c r="O2218" s="350" t="str">
        <f ca="1">IF($B2218="Portfolio","Portfolio",IFERROR(INDEX(DATA_ASSET_CLASSIFICATION!$AB$8:$AB$13,MATCH($N2218,DATA_ASSET_CLASSIFICATION!$AA$8:$AA$13,0)),"Review"))</f>
        <v>Bucket 2 · Legacy</v>
      </c>
      <c r="P2218" s="350" t="str">
        <f>IF($B2218="Portfolio","Portfolio",IFERROR(INDEX(DATA_ASSET_CLASSIFICATION!$C$8:$C$24,MATCH($C2218,DATA_ASSET_CLASSIFICATION!$A$8:$A$24,0)),"Review"))</f>
        <v>Yes</v>
      </c>
      <c r="Q2218" s="350" t="str">
        <f t="shared" ca="1" si="69"/>
        <v>OK</v>
      </c>
    </row>
    <row r="2219" spans="1:17">
      <c r="A2219" s="366" t="s">
        <v>4175</v>
      </c>
      <c r="B2219" s="366" t="s">
        <v>231</v>
      </c>
      <c r="C2219" s="348" t="str">
        <f>DATA_PROPERTY_MASTER!$A$11</f>
        <v>BLD_EE</v>
      </c>
      <c r="D2219" s="380">
        <f>'00_PORTFOLIO ROLLUP'!P$12</f>
        <v>2036</v>
      </c>
      <c r="E2219" s="366" t="s">
        <v>1683</v>
      </c>
      <c r="F2219" s="366" t="s">
        <v>21</v>
      </c>
      <c r="G2219" s="348" t="str">
        <f>"'"&amp;$C2219&amp;"'!$E$45:$Y$45"</f>
        <v>'BLD_EE'!$E$45:$Y$45</v>
      </c>
      <c r="H2219" s="381">
        <f ca="1">IF(IFERROR(INDEX(DATA_PROPERTY_MASTER!$E$5:$E$21,MATCH($C2219,DATA_PROPERTY_MASTER!$A$5:$A$21,0))="Yes",FALSE),IFERROR(INDEX(INDIRECT("'"&amp;$C2219&amp;"'!$E$45:$Y$45"),1,MATCH($D2219,INDIRECT("'"&amp;$C2219&amp;"'!$E$12:$Y$12"),0)),0),0)</f>
        <v>293988.68372250866</v>
      </c>
      <c r="I2219" s="366" t="s">
        <v>1685</v>
      </c>
      <c r="J2219" s="348" t="str">
        <f t="shared" ca="1" si="68"/>
        <v>OK</v>
      </c>
      <c r="K2219" s="366" t="s">
        <v>1694</v>
      </c>
      <c r="L2219" s="366" t="s">
        <v>2242</v>
      </c>
      <c r="M2219" s="350" t="str">
        <f>IF($B2219="Portfolio","Portfolio",IFERROR(INDEX(DATA_ASSET_CLASSIFICATION!$B$8:$B$24,MATCH($C2219,DATA_ASSET_CLASSIFICATION!$A$8:$A$24,0)),"Review"))</f>
        <v>Evelyn Estates</v>
      </c>
      <c r="N2219" s="350" t="str">
        <f ca="1">IF($B2219="Portfolio","Portfolio",IFERROR(INDEX(DATA_ASSET_CLASSIFICATION!$U$8:$U$24,MATCH($C2219,DATA_ASSET_CLASSIFICATION!$A$8:$A$24,0)),"Review"))</f>
        <v>Refi Watch</v>
      </c>
      <c r="O2219" s="350" t="str">
        <f ca="1">IF($B2219="Portfolio","Portfolio",IFERROR(INDEX(DATA_ASSET_CLASSIFICATION!$AB$8:$AB$13,MATCH($N2219,DATA_ASSET_CLASSIFICATION!$AA$8:$AA$13,0)),"Review"))</f>
        <v>Bucket 2 · Legacy</v>
      </c>
      <c r="P2219" s="350" t="str">
        <f>IF($B2219="Portfolio","Portfolio",IFERROR(INDEX(DATA_ASSET_CLASSIFICATION!$C$8:$C$24,MATCH($C2219,DATA_ASSET_CLASSIFICATION!$A$8:$A$24,0)),"Review"))</f>
        <v>Yes</v>
      </c>
      <c r="Q2219" s="350" t="str">
        <f t="shared" ca="1" si="69"/>
        <v>OK</v>
      </c>
    </row>
    <row r="2220" spans="1:17">
      <c r="A2220" s="366" t="s">
        <v>4176</v>
      </c>
      <c r="B2220" s="366" t="s">
        <v>231</v>
      </c>
      <c r="C2220" s="348" t="str">
        <f>DATA_PROPERTY_MASTER!$A$11</f>
        <v>BLD_EE</v>
      </c>
      <c r="D2220" s="380">
        <f>'00_PORTFOLIO ROLLUP'!P$12</f>
        <v>2036</v>
      </c>
      <c r="E2220" s="366" t="s">
        <v>23</v>
      </c>
      <c r="F2220" s="366" t="s">
        <v>23</v>
      </c>
      <c r="G2220" s="348" t="str">
        <f>"'"&amp;$C2220&amp;"'!$E$48:$Y$48"</f>
        <v>'BLD_EE'!$E$48:$Y$48</v>
      </c>
      <c r="H2220" s="381">
        <f ca="1">IF(IFERROR(INDEX(DATA_PROPERTY_MASTER!$E$5:$E$21,MATCH($C2220,DATA_PROPERTY_MASTER!$A$5:$A$21,0))="Yes",FALSE),IFERROR(INDEX(INDIRECT("'"&amp;$C2220&amp;"'!$E$48:$Y$48"),1,MATCH($D2220,INDIRECT("'"&amp;$C2220&amp;"'!$E$12:$Y$12"),0)),0),0)</f>
        <v>0</v>
      </c>
      <c r="I2220" s="366" t="s">
        <v>1690</v>
      </c>
      <c r="J2220" s="348" t="str">
        <f t="shared" ca="1" si="68"/>
        <v>OK</v>
      </c>
      <c r="K2220" s="366" t="s">
        <v>1706</v>
      </c>
      <c r="L2220" s="366" t="s">
        <v>2244</v>
      </c>
      <c r="M2220" s="350" t="str">
        <f>IF($B2220="Portfolio","Portfolio",IFERROR(INDEX(DATA_ASSET_CLASSIFICATION!$B$8:$B$24,MATCH($C2220,DATA_ASSET_CLASSIFICATION!$A$8:$A$24,0)),"Review"))</f>
        <v>Evelyn Estates</v>
      </c>
      <c r="N2220" s="350" t="str">
        <f ca="1">IF($B2220="Portfolio","Portfolio",IFERROR(INDEX(DATA_ASSET_CLASSIFICATION!$U$8:$U$24,MATCH($C2220,DATA_ASSET_CLASSIFICATION!$A$8:$A$24,0)),"Review"))</f>
        <v>Refi Watch</v>
      </c>
      <c r="O2220" s="350" t="str">
        <f ca="1">IF($B2220="Portfolio","Portfolio",IFERROR(INDEX(DATA_ASSET_CLASSIFICATION!$AB$8:$AB$13,MATCH($N2220,DATA_ASSET_CLASSIFICATION!$AA$8:$AA$13,0)),"Review"))</f>
        <v>Bucket 2 · Legacy</v>
      </c>
      <c r="P2220" s="350" t="str">
        <f>IF($B2220="Portfolio","Portfolio",IFERROR(INDEX(DATA_ASSET_CLASSIFICATION!$C$8:$C$24,MATCH($C2220,DATA_ASSET_CLASSIFICATION!$A$8:$A$24,0)),"Review"))</f>
        <v>Yes</v>
      </c>
      <c r="Q2220" s="350" t="str">
        <f t="shared" ca="1" si="69"/>
        <v>OK</v>
      </c>
    </row>
    <row r="2221" spans="1:17">
      <c r="A2221" s="366" t="s">
        <v>4177</v>
      </c>
      <c r="B2221" s="366" t="s">
        <v>231</v>
      </c>
      <c r="C2221" s="348" t="str">
        <f>DATA_PROPERTY_MASTER!$A$11</f>
        <v>BLD_EE</v>
      </c>
      <c r="D2221" s="380">
        <f>'00_PORTFOLIO ROLLUP'!P$12</f>
        <v>2036</v>
      </c>
      <c r="E2221" s="366" t="s">
        <v>1683</v>
      </c>
      <c r="F2221" s="366" t="s">
        <v>25</v>
      </c>
      <c r="G2221" s="348" t="str">
        <f>"'"&amp;$C2221&amp;"'!$E$52:$Y$52"</f>
        <v>'BLD_EE'!$E$52:$Y$52</v>
      </c>
      <c r="H2221" s="381">
        <f ca="1">IF(IFERROR(INDEX(DATA_PROPERTY_MASTER!$E$5:$E$21,MATCH($C2221,DATA_PROPERTY_MASTER!$A$5:$A$21,0))="Yes",FALSE),IFERROR(INDEX(INDIRECT("'"&amp;$C2221&amp;"'!$E$52:$Y$52"),1,MATCH($D2221,INDIRECT("'"&amp;$C2221&amp;"'!$E$12:$Y$12"),0)),0),0)</f>
        <v>300702.90498783981</v>
      </c>
      <c r="I2221" s="366" t="s">
        <v>1685</v>
      </c>
      <c r="J2221" s="348" t="str">
        <f t="shared" ca="1" si="68"/>
        <v>OK</v>
      </c>
      <c r="K2221" s="366" t="s">
        <v>1710</v>
      </c>
      <c r="L2221" s="366" t="s">
        <v>2246</v>
      </c>
      <c r="M2221" s="350" t="str">
        <f>IF($B2221="Portfolio","Portfolio",IFERROR(INDEX(DATA_ASSET_CLASSIFICATION!$B$8:$B$24,MATCH($C2221,DATA_ASSET_CLASSIFICATION!$A$8:$A$24,0)),"Review"))</f>
        <v>Evelyn Estates</v>
      </c>
      <c r="N2221" s="350" t="str">
        <f ca="1">IF($B2221="Portfolio","Portfolio",IFERROR(INDEX(DATA_ASSET_CLASSIFICATION!$U$8:$U$24,MATCH($C2221,DATA_ASSET_CLASSIFICATION!$A$8:$A$24,0)),"Review"))</f>
        <v>Refi Watch</v>
      </c>
      <c r="O2221" s="350" t="str">
        <f ca="1">IF($B2221="Portfolio","Portfolio",IFERROR(INDEX(DATA_ASSET_CLASSIFICATION!$AB$8:$AB$13,MATCH($N2221,DATA_ASSET_CLASSIFICATION!$AA$8:$AA$13,0)),"Review"))</f>
        <v>Bucket 2 · Legacy</v>
      </c>
      <c r="P2221" s="350" t="str">
        <f>IF($B2221="Portfolio","Portfolio",IFERROR(INDEX(DATA_ASSET_CLASSIFICATION!$C$8:$C$24,MATCH($C2221,DATA_ASSET_CLASSIFICATION!$A$8:$A$24,0)),"Review"))</f>
        <v>Yes</v>
      </c>
      <c r="Q2221" s="350" t="str">
        <f t="shared" ca="1" si="69"/>
        <v>OK</v>
      </c>
    </row>
    <row r="2222" spans="1:17">
      <c r="A2222" s="366" t="s">
        <v>4178</v>
      </c>
      <c r="B2222" s="366" t="s">
        <v>231</v>
      </c>
      <c r="C2222" s="348" t="str">
        <f>DATA_PROPERTY_MASTER!$A$11</f>
        <v>BLD_EE</v>
      </c>
      <c r="D2222" s="380">
        <f>'00_PORTFOLIO ROLLUP'!P$12</f>
        <v>2036</v>
      </c>
      <c r="E2222" s="366" t="s">
        <v>1683</v>
      </c>
      <c r="F2222" s="366" t="s">
        <v>27</v>
      </c>
      <c r="G2222" s="348" t="str">
        <f>"'"&amp;$C2222&amp;"'!$E$54:$Y$54"</f>
        <v>'BLD_EE'!$E$54:$Y$54</v>
      </c>
      <c r="H2222" s="381">
        <f ca="1">IF(IFERROR(INDEX(DATA_PROPERTY_MASTER!$E$5:$E$21,MATCH($C2222,DATA_PROPERTY_MASTER!$A$5:$A$21,0))="Yes",FALSE),IFERROR(INDEX(INDIRECT("'"&amp;$C2222&amp;"'!$E$54:$Y$54"),1,MATCH($D2222,INDIRECT("'"&amp;$C2222&amp;"'!$E$12:$Y$12"),0)),0),0)</f>
        <v>180421.74299270389</v>
      </c>
      <c r="I2222" s="366" t="s">
        <v>1690</v>
      </c>
      <c r="J2222" s="348" t="str">
        <f t="shared" ca="1" si="68"/>
        <v>OK</v>
      </c>
      <c r="K2222" s="366" t="s">
        <v>1714</v>
      </c>
      <c r="L2222" s="366" t="s">
        <v>2248</v>
      </c>
      <c r="M2222" s="350" t="str">
        <f>IF($B2222="Portfolio","Portfolio",IFERROR(INDEX(DATA_ASSET_CLASSIFICATION!$B$8:$B$24,MATCH($C2222,DATA_ASSET_CLASSIFICATION!$A$8:$A$24,0)),"Review"))</f>
        <v>Evelyn Estates</v>
      </c>
      <c r="N2222" s="350" t="str">
        <f ca="1">IF($B2222="Portfolio","Portfolio",IFERROR(INDEX(DATA_ASSET_CLASSIFICATION!$U$8:$U$24,MATCH($C2222,DATA_ASSET_CLASSIFICATION!$A$8:$A$24,0)),"Review"))</f>
        <v>Refi Watch</v>
      </c>
      <c r="O2222" s="350" t="str">
        <f ca="1">IF($B2222="Portfolio","Portfolio",IFERROR(INDEX(DATA_ASSET_CLASSIFICATION!$AB$8:$AB$13,MATCH($N2222,DATA_ASSET_CLASSIFICATION!$AA$8:$AA$13,0)),"Review"))</f>
        <v>Bucket 2 · Legacy</v>
      </c>
      <c r="P2222" s="350" t="str">
        <f>IF($B2222="Portfolio","Portfolio",IFERROR(INDEX(DATA_ASSET_CLASSIFICATION!$C$8:$C$24,MATCH($C2222,DATA_ASSET_CLASSIFICATION!$A$8:$A$24,0)),"Review"))</f>
        <v>Yes</v>
      </c>
      <c r="Q2222" s="350" t="str">
        <f t="shared" ca="1" si="69"/>
        <v>OK</v>
      </c>
    </row>
    <row r="2223" spans="1:17">
      <c r="A2223" s="366" t="s">
        <v>4179</v>
      </c>
      <c r="B2223" s="366" t="s">
        <v>231</v>
      </c>
      <c r="C2223" s="348" t="str">
        <f>DATA_PROPERTY_MASTER!$A$11</f>
        <v>BLD_EE</v>
      </c>
      <c r="D2223" s="380">
        <f>'00_PORTFOLIO ROLLUP'!P$12</f>
        <v>2036</v>
      </c>
      <c r="E2223" s="366" t="s">
        <v>1683</v>
      </c>
      <c r="F2223" s="366" t="s">
        <v>29</v>
      </c>
      <c r="G2223" s="348" t="str">
        <f>"'"&amp;$C2223&amp;"'!$E$56:$Y$56"</f>
        <v>'BLD_EE'!$E$56:$Y$56</v>
      </c>
      <c r="H2223" s="381">
        <f ca="1">IF(IFERROR(INDEX(DATA_PROPERTY_MASTER!$E$5:$E$21,MATCH($C2223,DATA_PROPERTY_MASTER!$A$5:$A$21,0))="Yes",FALSE),IFERROR(INDEX(INDIRECT("'"&amp;$C2223&amp;"'!$E$56:$Y$56"),1,MATCH($D2223,INDIRECT("'"&amp;$C2223&amp;"'!$E$12:$Y$12"),0)),0),0)</f>
        <v>120281.16199513592</v>
      </c>
      <c r="I2223" s="366" t="s">
        <v>1685</v>
      </c>
      <c r="J2223" s="348" t="str">
        <f t="shared" ca="1" si="68"/>
        <v>OK</v>
      </c>
      <c r="K2223" s="366" t="s">
        <v>1718</v>
      </c>
      <c r="L2223" s="366" t="s">
        <v>2250</v>
      </c>
      <c r="M2223" s="350" t="str">
        <f>IF($B2223="Portfolio","Portfolio",IFERROR(INDEX(DATA_ASSET_CLASSIFICATION!$B$8:$B$24,MATCH($C2223,DATA_ASSET_CLASSIFICATION!$A$8:$A$24,0)),"Review"))</f>
        <v>Evelyn Estates</v>
      </c>
      <c r="N2223" s="350" t="str">
        <f ca="1">IF($B2223="Portfolio","Portfolio",IFERROR(INDEX(DATA_ASSET_CLASSIFICATION!$U$8:$U$24,MATCH($C2223,DATA_ASSET_CLASSIFICATION!$A$8:$A$24,0)),"Review"))</f>
        <v>Refi Watch</v>
      </c>
      <c r="O2223" s="350" t="str">
        <f ca="1">IF($B2223="Portfolio","Portfolio",IFERROR(INDEX(DATA_ASSET_CLASSIFICATION!$AB$8:$AB$13,MATCH($N2223,DATA_ASSET_CLASSIFICATION!$AA$8:$AA$13,0)),"Review"))</f>
        <v>Bucket 2 · Legacy</v>
      </c>
      <c r="P2223" s="350" t="str">
        <f>IF($B2223="Portfolio","Portfolio",IFERROR(INDEX(DATA_ASSET_CLASSIFICATION!$C$8:$C$24,MATCH($C2223,DATA_ASSET_CLASSIFICATION!$A$8:$A$24,0)),"Review"))</f>
        <v>Yes</v>
      </c>
      <c r="Q2223" s="350" t="str">
        <f t="shared" ca="1" si="69"/>
        <v>OK</v>
      </c>
    </row>
    <row r="2224" spans="1:17">
      <c r="A2224" s="366" t="s">
        <v>4180</v>
      </c>
      <c r="B2224" s="366" t="s">
        <v>231</v>
      </c>
      <c r="C2224" s="348" t="str">
        <f>DATA_PROPERTY_MASTER!$A$11</f>
        <v>BLD_EE</v>
      </c>
      <c r="D2224" s="380">
        <f>'00_PORTFOLIO ROLLUP'!P$12</f>
        <v>2036</v>
      </c>
      <c r="E2224" s="366" t="s">
        <v>1721</v>
      </c>
      <c r="F2224" s="366" t="s">
        <v>31</v>
      </c>
      <c r="G2224" s="348" t="str">
        <f>"'"&amp;$C2224&amp;"'!$E$61:$Y$61"</f>
        <v>'BLD_EE'!$E$61:$Y$61</v>
      </c>
      <c r="H2224" s="381">
        <f ca="1">IF(IFERROR(INDEX(DATA_PROPERTY_MASTER!$E$5:$E$21,MATCH($C2224,DATA_PROPERTY_MASTER!$A$5:$A$21,0))="Yes",FALSE),IFERROR(INDEX(INDIRECT("'"&amp;$C2224&amp;"'!$E$61:$Y$61"),1,MATCH($D2224,INDIRECT("'"&amp;$C2224&amp;"'!$E$12:$Y$12"),0)),0),0)</f>
        <v>0</v>
      </c>
      <c r="I2224" s="366" t="s">
        <v>1690</v>
      </c>
      <c r="J2224" s="348" t="str">
        <f t="shared" ca="1" si="68"/>
        <v>OK</v>
      </c>
      <c r="K2224" s="366" t="s">
        <v>1723</v>
      </c>
      <c r="L2224" s="366" t="s">
        <v>2252</v>
      </c>
      <c r="M2224" s="350" t="str">
        <f>IF($B2224="Portfolio","Portfolio",IFERROR(INDEX(DATA_ASSET_CLASSIFICATION!$B$8:$B$24,MATCH($C2224,DATA_ASSET_CLASSIFICATION!$A$8:$A$24,0)),"Review"))</f>
        <v>Evelyn Estates</v>
      </c>
      <c r="N2224" s="350" t="str">
        <f ca="1">IF($B2224="Portfolio","Portfolio",IFERROR(INDEX(DATA_ASSET_CLASSIFICATION!$U$8:$U$24,MATCH($C2224,DATA_ASSET_CLASSIFICATION!$A$8:$A$24,0)),"Review"))</f>
        <v>Refi Watch</v>
      </c>
      <c r="O2224" s="350" t="str">
        <f ca="1">IF($B2224="Portfolio","Portfolio",IFERROR(INDEX(DATA_ASSET_CLASSIFICATION!$AB$8:$AB$13,MATCH($N2224,DATA_ASSET_CLASSIFICATION!$AA$8:$AA$13,0)),"Review"))</f>
        <v>Bucket 2 · Legacy</v>
      </c>
      <c r="P2224" s="350" t="str">
        <f>IF($B2224="Portfolio","Portfolio",IFERROR(INDEX(DATA_ASSET_CLASSIFICATION!$C$8:$C$24,MATCH($C2224,DATA_ASSET_CLASSIFICATION!$A$8:$A$24,0)),"Review"))</f>
        <v>Yes</v>
      </c>
      <c r="Q2224" s="350" t="str">
        <f t="shared" ca="1" si="69"/>
        <v>OK</v>
      </c>
    </row>
    <row r="2225" spans="1:17">
      <c r="A2225" s="366" t="s">
        <v>4181</v>
      </c>
      <c r="B2225" s="366" t="s">
        <v>231</v>
      </c>
      <c r="C2225" s="348" t="str">
        <f>DATA_PROPERTY_MASTER!$A$11</f>
        <v>BLD_EE</v>
      </c>
      <c r="D2225" s="380">
        <f>'00_PORTFOLIO ROLLUP'!P$12</f>
        <v>2036</v>
      </c>
      <c r="E2225" s="366" t="s">
        <v>1721</v>
      </c>
      <c r="F2225" s="366" t="s">
        <v>33</v>
      </c>
      <c r="G2225" s="348" t="str">
        <f>"'"&amp;$C2225&amp;"'!$E$62:$Y$62"</f>
        <v>'BLD_EE'!$E$62:$Y$62</v>
      </c>
      <c r="H2225" s="381">
        <f ca="1">IF(IFERROR(INDEX(DATA_PROPERTY_MASTER!$E$5:$E$21,MATCH($C2225,DATA_PROPERTY_MASTER!$A$5:$A$21,0))="Yes",FALSE),IFERROR(INDEX(INDIRECT("'"&amp;$C2225&amp;"'!$E$62:$Y$62"),1,MATCH($D2225,INDIRECT("'"&amp;$C2225&amp;"'!$E$12:$Y$12"),0)),0),0)</f>
        <v>0</v>
      </c>
      <c r="I2225" s="366" t="s">
        <v>1685</v>
      </c>
      <c r="J2225" s="348" t="str">
        <f t="shared" ca="1" si="68"/>
        <v>OK</v>
      </c>
      <c r="K2225" s="366" t="s">
        <v>1727</v>
      </c>
      <c r="L2225" s="366" t="s">
        <v>2254</v>
      </c>
      <c r="M2225" s="350" t="str">
        <f>IF($B2225="Portfolio","Portfolio",IFERROR(INDEX(DATA_ASSET_CLASSIFICATION!$B$8:$B$24,MATCH($C2225,DATA_ASSET_CLASSIFICATION!$A$8:$A$24,0)),"Review"))</f>
        <v>Evelyn Estates</v>
      </c>
      <c r="N2225" s="350" t="str">
        <f ca="1">IF($B2225="Portfolio","Portfolio",IFERROR(INDEX(DATA_ASSET_CLASSIFICATION!$U$8:$U$24,MATCH($C2225,DATA_ASSET_CLASSIFICATION!$A$8:$A$24,0)),"Review"))</f>
        <v>Refi Watch</v>
      </c>
      <c r="O2225" s="350" t="str">
        <f ca="1">IF($B2225="Portfolio","Portfolio",IFERROR(INDEX(DATA_ASSET_CLASSIFICATION!$AB$8:$AB$13,MATCH($N2225,DATA_ASSET_CLASSIFICATION!$AA$8:$AA$13,0)),"Review"))</f>
        <v>Bucket 2 · Legacy</v>
      </c>
      <c r="P2225" s="350" t="str">
        <f>IF($B2225="Portfolio","Portfolio",IFERROR(INDEX(DATA_ASSET_CLASSIFICATION!$C$8:$C$24,MATCH($C2225,DATA_ASSET_CLASSIFICATION!$A$8:$A$24,0)),"Review"))</f>
        <v>Yes</v>
      </c>
      <c r="Q2225" s="350" t="str">
        <f t="shared" ca="1" si="69"/>
        <v>OK</v>
      </c>
    </row>
    <row r="2226" spans="1:17">
      <c r="A2226" s="366" t="s">
        <v>4182</v>
      </c>
      <c r="B2226" s="366" t="s">
        <v>231</v>
      </c>
      <c r="C2226" s="348" t="str">
        <f>DATA_PROPERTY_MASTER!$A$11</f>
        <v>BLD_EE</v>
      </c>
      <c r="D2226" s="380">
        <f>'00_PORTFOLIO ROLLUP'!P$12</f>
        <v>2036</v>
      </c>
      <c r="E2226" s="366" t="s">
        <v>1721</v>
      </c>
      <c r="F2226" s="366" t="s">
        <v>35</v>
      </c>
      <c r="G2226" s="348" t="str">
        <f>"'"&amp;$C2226&amp;"'!$E$63:$Y$63"</f>
        <v>'BLD_EE'!$E$63:$Y$63</v>
      </c>
      <c r="H2226" s="381">
        <f ca="1">IF(IFERROR(INDEX(DATA_PROPERTY_MASTER!$E$5:$E$21,MATCH($C2226,DATA_PROPERTY_MASTER!$A$5:$A$21,0))="Yes",FALSE),IFERROR(INDEX(INDIRECT("'"&amp;$C2226&amp;"'!$E$63:$Y$63"),1,MATCH($D2226,INDIRECT("'"&amp;$C2226&amp;"'!$E$12:$Y$12"),0)),0),0)</f>
        <v>0</v>
      </c>
      <c r="I2226" s="366" t="s">
        <v>1731</v>
      </c>
      <c r="J2226" s="348" t="str">
        <f t="shared" ca="1" si="68"/>
        <v>OK</v>
      </c>
      <c r="K2226" s="366" t="s">
        <v>1732</v>
      </c>
      <c r="L2226" s="366" t="s">
        <v>2256</v>
      </c>
      <c r="M2226" s="350" t="str">
        <f>IF($B2226="Portfolio","Portfolio",IFERROR(INDEX(DATA_ASSET_CLASSIFICATION!$B$8:$B$24,MATCH($C2226,DATA_ASSET_CLASSIFICATION!$A$8:$A$24,0)),"Review"))</f>
        <v>Evelyn Estates</v>
      </c>
      <c r="N2226" s="350" t="str">
        <f ca="1">IF($B2226="Portfolio","Portfolio",IFERROR(INDEX(DATA_ASSET_CLASSIFICATION!$U$8:$U$24,MATCH($C2226,DATA_ASSET_CLASSIFICATION!$A$8:$A$24,0)),"Review"))</f>
        <v>Refi Watch</v>
      </c>
      <c r="O2226" s="350" t="str">
        <f ca="1">IF($B2226="Portfolio","Portfolio",IFERROR(INDEX(DATA_ASSET_CLASSIFICATION!$AB$8:$AB$13,MATCH($N2226,DATA_ASSET_CLASSIFICATION!$AA$8:$AA$13,0)),"Review"))</f>
        <v>Bucket 2 · Legacy</v>
      </c>
      <c r="P2226" s="350" t="str">
        <f>IF($B2226="Portfolio","Portfolio",IFERROR(INDEX(DATA_ASSET_CLASSIFICATION!$C$8:$C$24,MATCH($C2226,DATA_ASSET_CLASSIFICATION!$A$8:$A$24,0)),"Review"))</f>
        <v>Yes</v>
      </c>
      <c r="Q2226" s="350" t="str">
        <f t="shared" ca="1" si="69"/>
        <v>OK</v>
      </c>
    </row>
    <row r="2227" spans="1:17">
      <c r="A2227" s="366" t="s">
        <v>4183</v>
      </c>
      <c r="B2227" s="366" t="s">
        <v>231</v>
      </c>
      <c r="C2227" s="348" t="str">
        <f>DATA_PROPERTY_MASTER!$A$11</f>
        <v>BLD_EE</v>
      </c>
      <c r="D2227" s="380">
        <f>'00_PORTFOLIO ROLLUP'!P$12</f>
        <v>2036</v>
      </c>
      <c r="E2227" s="366" t="s">
        <v>1721</v>
      </c>
      <c r="F2227" s="366" t="s">
        <v>37</v>
      </c>
      <c r="G2227" s="348" t="str">
        <f>"'"&amp;$C2227&amp;"'!$E$63:$Y$63"</f>
        <v>'BLD_EE'!$E$63:$Y$63</v>
      </c>
      <c r="H2227" s="381">
        <f ca="1">IF(IFERROR(INDEX(DATA_PROPERTY_MASTER!$E$5:$E$21,MATCH($C2227,DATA_PROPERTY_MASTER!$A$5:$A$21,0))="Yes",FALSE),MAX(IFERROR(INDEX(INDIRECT("'"&amp;$C2227&amp;"'!$E$63:$Y$63"),1,MATCH($D2227,INDIRECT("'"&amp;$C2227&amp;"'!$E$12:$Y$12"),0)),0),0),0)</f>
        <v>0</v>
      </c>
      <c r="I2227" s="366" t="s">
        <v>1685</v>
      </c>
      <c r="J2227" s="348" t="str">
        <f t="shared" ca="1" si="68"/>
        <v>OK</v>
      </c>
      <c r="K2227" s="366" t="s">
        <v>1735</v>
      </c>
      <c r="L2227" s="366" t="s">
        <v>2258</v>
      </c>
      <c r="M2227" s="350" t="str">
        <f>IF($B2227="Portfolio","Portfolio",IFERROR(INDEX(DATA_ASSET_CLASSIFICATION!$B$8:$B$24,MATCH($C2227,DATA_ASSET_CLASSIFICATION!$A$8:$A$24,0)),"Review"))</f>
        <v>Evelyn Estates</v>
      </c>
      <c r="N2227" s="350" t="str">
        <f ca="1">IF($B2227="Portfolio","Portfolio",IFERROR(INDEX(DATA_ASSET_CLASSIFICATION!$U$8:$U$24,MATCH($C2227,DATA_ASSET_CLASSIFICATION!$A$8:$A$24,0)),"Review"))</f>
        <v>Refi Watch</v>
      </c>
      <c r="O2227" s="350" t="str">
        <f ca="1">IF($B2227="Portfolio","Portfolio",IFERROR(INDEX(DATA_ASSET_CLASSIFICATION!$AB$8:$AB$13,MATCH($N2227,DATA_ASSET_CLASSIFICATION!$AA$8:$AA$13,0)),"Review"))</f>
        <v>Bucket 2 · Legacy</v>
      </c>
      <c r="P2227" s="350" t="str">
        <f>IF($B2227="Portfolio","Portfolio",IFERROR(INDEX(DATA_ASSET_CLASSIFICATION!$C$8:$C$24,MATCH($C2227,DATA_ASSET_CLASSIFICATION!$A$8:$A$24,0)),"Review"))</f>
        <v>Yes</v>
      </c>
      <c r="Q2227" s="350" t="str">
        <f t="shared" ca="1" si="69"/>
        <v>OK</v>
      </c>
    </row>
    <row r="2228" spans="1:17">
      <c r="A2228" s="366" t="s">
        <v>4184</v>
      </c>
      <c r="B2228" s="366" t="s">
        <v>231</v>
      </c>
      <c r="C2228" s="348" t="str">
        <f>DATA_PROPERTY_MASTER!$A$11</f>
        <v>BLD_EE</v>
      </c>
      <c r="D2228" s="380">
        <f>'00_PORTFOLIO ROLLUP'!P$12</f>
        <v>2036</v>
      </c>
      <c r="E2228" s="366" t="s">
        <v>1721</v>
      </c>
      <c r="F2228" s="366" t="s">
        <v>39</v>
      </c>
      <c r="G2228" s="348" t="str">
        <f>"'"&amp;$C2228&amp;"'!$E$63:$Y$63"</f>
        <v>'BLD_EE'!$E$63:$Y$63</v>
      </c>
      <c r="H2228" s="381">
        <f ca="1">IF(IFERROR(INDEX(DATA_PROPERTY_MASTER!$E$5:$E$21,MATCH($C2228,DATA_PROPERTY_MASTER!$A$5:$A$21,0))="Yes",FALSE),MAX(-IFERROR(INDEX(INDIRECT("'"&amp;$C2228&amp;"'!$E$63:$Y$63"),1,MATCH($D2228,INDIRECT("'"&amp;$C2228&amp;"'!$E$12:$Y$12"),0)),0),0),0)</f>
        <v>0</v>
      </c>
      <c r="I2228" s="366" t="s">
        <v>1690</v>
      </c>
      <c r="J2228" s="348" t="str">
        <f t="shared" ca="1" si="68"/>
        <v>OK</v>
      </c>
      <c r="K2228" s="366" t="s">
        <v>1738</v>
      </c>
      <c r="L2228" s="366" t="s">
        <v>2260</v>
      </c>
      <c r="M2228" s="350" t="str">
        <f>IF($B2228="Portfolio","Portfolio",IFERROR(INDEX(DATA_ASSET_CLASSIFICATION!$B$8:$B$24,MATCH($C2228,DATA_ASSET_CLASSIFICATION!$A$8:$A$24,0)),"Review"))</f>
        <v>Evelyn Estates</v>
      </c>
      <c r="N2228" s="350" t="str">
        <f ca="1">IF($B2228="Portfolio","Portfolio",IFERROR(INDEX(DATA_ASSET_CLASSIFICATION!$U$8:$U$24,MATCH($C2228,DATA_ASSET_CLASSIFICATION!$A$8:$A$24,0)),"Review"))</f>
        <v>Refi Watch</v>
      </c>
      <c r="O2228" s="350" t="str">
        <f ca="1">IF($B2228="Portfolio","Portfolio",IFERROR(INDEX(DATA_ASSET_CLASSIFICATION!$AB$8:$AB$13,MATCH($N2228,DATA_ASSET_CLASSIFICATION!$AA$8:$AA$13,0)),"Review"))</f>
        <v>Bucket 2 · Legacy</v>
      </c>
      <c r="P2228" s="350" t="str">
        <f>IF($B2228="Portfolio","Portfolio",IFERROR(INDEX(DATA_ASSET_CLASSIFICATION!$C$8:$C$24,MATCH($C2228,DATA_ASSET_CLASSIFICATION!$A$8:$A$24,0)),"Review"))</f>
        <v>Yes</v>
      </c>
      <c r="Q2228" s="350" t="str">
        <f t="shared" ca="1" si="69"/>
        <v>OK</v>
      </c>
    </row>
    <row r="2229" spans="1:17">
      <c r="A2229" s="366" t="s">
        <v>4185</v>
      </c>
      <c r="B2229" s="366" t="s">
        <v>231</v>
      </c>
      <c r="C2229" s="348" t="str">
        <f>DATA_PROPERTY_MASTER!$A$11</f>
        <v>BLD_EE</v>
      </c>
      <c r="D2229" s="380">
        <f>'00_PORTFOLIO ROLLUP'!P$12</f>
        <v>2036</v>
      </c>
      <c r="E2229" s="366" t="s">
        <v>1741</v>
      </c>
      <c r="F2229" s="366" t="s">
        <v>41</v>
      </c>
      <c r="G2229" s="348" t="str">
        <f>"'"&amp;$C2229&amp;"'!rows 56 + positive row 63"</f>
        <v>'BLD_EE'!rows 56 + positive row 63</v>
      </c>
      <c r="H2229" s="381">
        <f ca="1">IF(IFERROR(INDEX(DATA_PROPERTY_MASTER!$E$5:$E$21,MATCH($C2229,DATA_PROPERTY_MASTER!$A$5:$A$21,0))="Yes",FALSE),IFERROR(INDEX(INDIRECT("'"&amp;$C2229&amp;"'!$E$56:$Y$56"),1,MATCH($D2229,INDIRECT("'"&amp;$C2229&amp;"'!$E$12:$Y$12"),0)),0)+MAX(IFERROR(INDEX(INDIRECT("'"&amp;$C2229&amp;"'!$E$63:$Y$63"),1,MATCH($D2229,INDIRECT("'"&amp;$C2229&amp;"'!$E$12:$Y$12"),0)),0),0),0)</f>
        <v>120281.16199513592</v>
      </c>
      <c r="I2229" s="366" t="s">
        <v>1685</v>
      </c>
      <c r="J2229" s="348" t="str">
        <f t="shared" ca="1" si="68"/>
        <v>OK</v>
      </c>
      <c r="K2229" s="366" t="s">
        <v>1742</v>
      </c>
      <c r="L2229" s="366" t="s">
        <v>2262</v>
      </c>
      <c r="M2229" s="350" t="str">
        <f>IF($B2229="Portfolio","Portfolio",IFERROR(INDEX(DATA_ASSET_CLASSIFICATION!$B$8:$B$24,MATCH($C2229,DATA_ASSET_CLASSIFICATION!$A$8:$A$24,0)),"Review"))</f>
        <v>Evelyn Estates</v>
      </c>
      <c r="N2229" s="350" t="str">
        <f ca="1">IF($B2229="Portfolio","Portfolio",IFERROR(INDEX(DATA_ASSET_CLASSIFICATION!$U$8:$U$24,MATCH($C2229,DATA_ASSET_CLASSIFICATION!$A$8:$A$24,0)),"Review"))</f>
        <v>Refi Watch</v>
      </c>
      <c r="O2229" s="350" t="str">
        <f ca="1">IF($B2229="Portfolio","Portfolio",IFERROR(INDEX(DATA_ASSET_CLASSIFICATION!$AB$8:$AB$13,MATCH($N2229,DATA_ASSET_CLASSIFICATION!$AA$8:$AA$13,0)),"Review"))</f>
        <v>Bucket 2 · Legacy</v>
      </c>
      <c r="P2229" s="350" t="str">
        <f>IF($B2229="Portfolio","Portfolio",IFERROR(INDEX(DATA_ASSET_CLASSIFICATION!$C$8:$C$24,MATCH($C2229,DATA_ASSET_CLASSIFICATION!$A$8:$A$24,0)),"Review"))</f>
        <v>Yes</v>
      </c>
      <c r="Q2229" s="350" t="str">
        <f t="shared" ca="1" si="69"/>
        <v>OK</v>
      </c>
    </row>
    <row r="2230" spans="1:17">
      <c r="A2230" s="366" t="s">
        <v>4186</v>
      </c>
      <c r="B2230" s="366" t="s">
        <v>231</v>
      </c>
      <c r="C2230" s="348" t="str">
        <f>DATA_PROPERTY_MASTER!$A$11</f>
        <v>BLD_EE</v>
      </c>
      <c r="D2230" s="380">
        <f>'00_PORTFOLIO ROLLUP'!P$12</f>
        <v>2036</v>
      </c>
      <c r="E2230" s="366" t="s">
        <v>1741</v>
      </c>
      <c r="F2230" s="366" t="s">
        <v>43</v>
      </c>
      <c r="G2230" s="348" t="str">
        <f>"'"&amp;$C2230&amp;"'!$E$68:$Y$68"</f>
        <v>'BLD_EE'!$E$68:$Y$68</v>
      </c>
      <c r="H2230" s="381">
        <f ca="1">IF(IFERROR(INDEX(DATA_PROPERTY_MASTER!$E$5:$E$21,MATCH($C2230,DATA_PROPERTY_MASTER!$A$5:$A$21,0))="Yes",FALSE),IFERROR(INDEX(INDIRECT("'"&amp;$C2230&amp;"'!$E$68:$Y$68"),1,MATCH($D2230,INDIRECT("'"&amp;$C2230&amp;"'!$E$12:$Y$12"),0)),0),0)</f>
        <v>120281.16199513592</v>
      </c>
      <c r="I2230" s="366" t="s">
        <v>1731</v>
      </c>
      <c r="J2230" s="348" t="str">
        <f t="shared" ca="1" si="68"/>
        <v>OK</v>
      </c>
      <c r="K2230" s="366" t="s">
        <v>1746</v>
      </c>
      <c r="L2230" s="366" t="s">
        <v>2264</v>
      </c>
      <c r="M2230" s="350" t="str">
        <f>IF($B2230="Portfolio","Portfolio",IFERROR(INDEX(DATA_ASSET_CLASSIFICATION!$B$8:$B$24,MATCH($C2230,DATA_ASSET_CLASSIFICATION!$A$8:$A$24,0)),"Review"))</f>
        <v>Evelyn Estates</v>
      </c>
      <c r="N2230" s="350" t="str">
        <f ca="1">IF($B2230="Portfolio","Portfolio",IFERROR(INDEX(DATA_ASSET_CLASSIFICATION!$U$8:$U$24,MATCH($C2230,DATA_ASSET_CLASSIFICATION!$A$8:$A$24,0)),"Review"))</f>
        <v>Refi Watch</v>
      </c>
      <c r="O2230" s="350" t="str">
        <f ca="1">IF($B2230="Portfolio","Portfolio",IFERROR(INDEX(DATA_ASSET_CLASSIFICATION!$AB$8:$AB$13,MATCH($N2230,DATA_ASSET_CLASSIFICATION!$AA$8:$AA$13,0)),"Review"))</f>
        <v>Bucket 2 · Legacy</v>
      </c>
      <c r="P2230" s="350" t="str">
        <f>IF($B2230="Portfolio","Portfolio",IFERROR(INDEX(DATA_ASSET_CLASSIFICATION!$C$8:$C$24,MATCH($C2230,DATA_ASSET_CLASSIFICATION!$A$8:$A$24,0)),"Review"))</f>
        <v>Yes</v>
      </c>
      <c r="Q2230" s="350" t="str">
        <f t="shared" ca="1" si="69"/>
        <v>OK</v>
      </c>
    </row>
    <row r="2231" spans="1:17">
      <c r="A2231" s="366" t="s">
        <v>4187</v>
      </c>
      <c r="B2231" s="366" t="s">
        <v>231</v>
      </c>
      <c r="C2231" s="348" t="str">
        <f>DATA_PROPERTY_MASTER!$A$11</f>
        <v>BLD_EE</v>
      </c>
      <c r="D2231" s="380">
        <f>'00_PORTFOLIO ROLLUP'!P$12</f>
        <v>2036</v>
      </c>
      <c r="E2231" s="366" t="s">
        <v>1741</v>
      </c>
      <c r="F2231" s="366" t="s">
        <v>1749</v>
      </c>
      <c r="G2231" s="348" t="str">
        <f>"'"&amp;$C2231&amp;"'!rows 56, 63, 68"</f>
        <v>'BLD_EE'!rows 56, 63, 68</v>
      </c>
      <c r="H2231" s="381">
        <f ca="1">IF(IFERROR(INDEX(DATA_PROPERTY_MASTER!$E$5:$E$21,MATCH($C2231,DATA_PROPERTY_MASTER!$A$5:$A$21,0))="Yes",FALSE),(IFERROR(INDEX(INDIRECT("'"&amp;$C2231&amp;"'!$E$56:$Y$56"),1,MATCH($D2231,INDIRECT("'"&amp;$C2231&amp;"'!$E$12:$Y$12"),0)),0)+MAX(IFERROR(INDEX(INDIRECT("'"&amp;$C2231&amp;"'!$E$63:$Y$63"),1,MATCH($D2231,INDIRECT("'"&amp;$C2231&amp;"'!$E$12:$Y$12"),0)),0),0))-(IFERROR(INDEX(INDIRECT("'"&amp;$C2231&amp;"'!$E$68:$Y$68"),1,MATCH($D2231,INDIRECT("'"&amp;$C2231&amp;"'!$E$12:$Y$12"),0)),0)),0)</f>
        <v>0</v>
      </c>
      <c r="I2231" s="366" t="s">
        <v>1750</v>
      </c>
      <c r="J2231" s="348" t="str">
        <f t="shared" ca="1" si="68"/>
        <v>OK</v>
      </c>
      <c r="K2231" s="366" t="s">
        <v>1751</v>
      </c>
      <c r="L2231" s="366" t="s">
        <v>2266</v>
      </c>
      <c r="M2231" s="350" t="str">
        <f>IF($B2231="Portfolio","Portfolio",IFERROR(INDEX(DATA_ASSET_CLASSIFICATION!$B$8:$B$24,MATCH($C2231,DATA_ASSET_CLASSIFICATION!$A$8:$A$24,0)),"Review"))</f>
        <v>Evelyn Estates</v>
      </c>
      <c r="N2231" s="350" t="str">
        <f ca="1">IF($B2231="Portfolio","Portfolio",IFERROR(INDEX(DATA_ASSET_CLASSIFICATION!$U$8:$U$24,MATCH($C2231,DATA_ASSET_CLASSIFICATION!$A$8:$A$24,0)),"Review"))</f>
        <v>Refi Watch</v>
      </c>
      <c r="O2231" s="350" t="str">
        <f ca="1">IF($B2231="Portfolio","Portfolio",IFERROR(INDEX(DATA_ASSET_CLASSIFICATION!$AB$8:$AB$13,MATCH($N2231,DATA_ASSET_CLASSIFICATION!$AA$8:$AA$13,0)),"Review"))</f>
        <v>Bucket 2 · Legacy</v>
      </c>
      <c r="P2231" s="350" t="str">
        <f>IF($B2231="Portfolio","Portfolio",IFERROR(INDEX(DATA_ASSET_CLASSIFICATION!$C$8:$C$24,MATCH($C2231,DATA_ASSET_CLASSIFICATION!$A$8:$A$24,0)),"Review"))</f>
        <v>Yes</v>
      </c>
      <c r="Q2231" s="350" t="str">
        <f t="shared" ca="1" si="69"/>
        <v>OK</v>
      </c>
    </row>
    <row r="2232" spans="1:17">
      <c r="A2232" s="366" t="s">
        <v>4188</v>
      </c>
      <c r="B2232" s="366" t="s">
        <v>231</v>
      </c>
      <c r="C2232" s="348" t="str">
        <f>DATA_PROPERTY_MASTER!$A$11</f>
        <v>BLD_EE</v>
      </c>
      <c r="D2232" s="380">
        <f>'00_PORTFOLIO ROLLUP'!Q$12</f>
        <v>2037</v>
      </c>
      <c r="E2232" s="366" t="s">
        <v>1683</v>
      </c>
      <c r="F2232" s="366" t="s">
        <v>341</v>
      </c>
      <c r="G2232" s="348" t="str">
        <f>"'"&amp;$C2232&amp;"'!$E$24:$Y$24"</f>
        <v>'BLD_EE'!$E$24:$Y$24</v>
      </c>
      <c r="H2232" s="381">
        <f ca="1">IF(IFERROR(INDEX(DATA_PROPERTY_MASTER!$E$5:$E$21,MATCH($C2232,DATA_PROPERTY_MASTER!$A$5:$A$21,0))="Yes",FALSE),IFERROR(INDEX(INDIRECT("'"&amp;$C2232&amp;"'!$E$24:$Y$24"),1,MATCH($D2232,INDIRECT("'"&amp;$C2232&amp;"'!$E$12:$Y$12"),0)),0),0)</f>
        <v>637669.4581143274</v>
      </c>
      <c r="I2232" s="366" t="s">
        <v>1685</v>
      </c>
      <c r="J2232" s="348" t="str">
        <f t="shared" ca="1" si="68"/>
        <v>OK</v>
      </c>
      <c r="K2232" s="366" t="s">
        <v>1686</v>
      </c>
      <c r="L2232" s="366" t="s">
        <v>2234</v>
      </c>
      <c r="M2232" s="350" t="str">
        <f>IF($B2232="Portfolio","Portfolio",IFERROR(INDEX(DATA_ASSET_CLASSIFICATION!$B$8:$B$24,MATCH($C2232,DATA_ASSET_CLASSIFICATION!$A$8:$A$24,0)),"Review"))</f>
        <v>Evelyn Estates</v>
      </c>
      <c r="N2232" s="350" t="str">
        <f ca="1">IF($B2232="Portfolio","Portfolio",IFERROR(INDEX(DATA_ASSET_CLASSIFICATION!$U$8:$U$24,MATCH($C2232,DATA_ASSET_CLASSIFICATION!$A$8:$A$24,0)),"Review"))</f>
        <v>Refi Watch</v>
      </c>
      <c r="O2232" s="350" t="str">
        <f ca="1">IF($B2232="Portfolio","Portfolio",IFERROR(INDEX(DATA_ASSET_CLASSIFICATION!$AB$8:$AB$13,MATCH($N2232,DATA_ASSET_CLASSIFICATION!$AA$8:$AA$13,0)),"Review"))</f>
        <v>Bucket 2 · Legacy</v>
      </c>
      <c r="P2232" s="350" t="str">
        <f>IF($B2232="Portfolio","Portfolio",IFERROR(INDEX(DATA_ASSET_CLASSIFICATION!$C$8:$C$24,MATCH($C2232,DATA_ASSET_CLASSIFICATION!$A$8:$A$24,0)),"Review"))</f>
        <v>Yes</v>
      </c>
      <c r="Q2232" s="350" t="str">
        <f t="shared" ca="1" si="69"/>
        <v>OK</v>
      </c>
    </row>
    <row r="2233" spans="1:17">
      <c r="A2233" s="366" t="s">
        <v>4189</v>
      </c>
      <c r="B2233" s="366" t="s">
        <v>231</v>
      </c>
      <c r="C2233" s="348" t="str">
        <f>DATA_PROPERTY_MASTER!$A$11</f>
        <v>BLD_EE</v>
      </c>
      <c r="D2233" s="380">
        <f>'00_PORTFOLIO ROLLUP'!Q$12</f>
        <v>2037</v>
      </c>
      <c r="E2233" s="366" t="s">
        <v>1683</v>
      </c>
      <c r="F2233" s="366" t="s">
        <v>355</v>
      </c>
      <c r="G2233" s="348" t="str">
        <f>"'"&amp;$C2233&amp;"'!$E$39:$Y$39"</f>
        <v>'BLD_EE'!$E$39:$Y$39</v>
      </c>
      <c r="H2233" s="381">
        <f ca="1">IF(IFERROR(INDEX(DATA_PROPERTY_MASTER!$E$5:$E$21,MATCH($C2233,DATA_PROPERTY_MASTER!$A$5:$A$21,0))="Yes",FALSE),IFERROR(INDEX(INDIRECT("'"&amp;$C2233&amp;"'!$E$39:$Y$39"),1,MATCH($D2233,INDIRECT("'"&amp;$C2233&amp;"'!$E$12:$Y$12"),0)),0),0)</f>
        <v>332574.81117882271</v>
      </c>
      <c r="I2233" s="366" t="s">
        <v>1690</v>
      </c>
      <c r="J2233" s="348" t="str">
        <f t="shared" ca="1" si="68"/>
        <v>OK</v>
      </c>
      <c r="K2233" s="366" t="s">
        <v>1686</v>
      </c>
      <c r="L2233" s="366" t="s">
        <v>2236</v>
      </c>
      <c r="M2233" s="350" t="str">
        <f>IF($B2233="Portfolio","Portfolio",IFERROR(INDEX(DATA_ASSET_CLASSIFICATION!$B$8:$B$24,MATCH($C2233,DATA_ASSET_CLASSIFICATION!$A$8:$A$24,0)),"Review"))</f>
        <v>Evelyn Estates</v>
      </c>
      <c r="N2233" s="350" t="str">
        <f ca="1">IF($B2233="Portfolio","Portfolio",IFERROR(INDEX(DATA_ASSET_CLASSIFICATION!$U$8:$U$24,MATCH($C2233,DATA_ASSET_CLASSIFICATION!$A$8:$A$24,0)),"Review"))</f>
        <v>Refi Watch</v>
      </c>
      <c r="O2233" s="350" t="str">
        <f ca="1">IF($B2233="Portfolio","Portfolio",IFERROR(INDEX(DATA_ASSET_CLASSIFICATION!$AB$8:$AB$13,MATCH($N2233,DATA_ASSET_CLASSIFICATION!$AA$8:$AA$13,0)),"Review"))</f>
        <v>Bucket 2 · Legacy</v>
      </c>
      <c r="P2233" s="350" t="str">
        <f>IF($B2233="Portfolio","Portfolio",IFERROR(INDEX(DATA_ASSET_CLASSIFICATION!$C$8:$C$24,MATCH($C2233,DATA_ASSET_CLASSIFICATION!$A$8:$A$24,0)),"Review"))</f>
        <v>Yes</v>
      </c>
      <c r="Q2233" s="350" t="str">
        <f t="shared" ca="1" si="69"/>
        <v>OK</v>
      </c>
    </row>
    <row r="2234" spans="1:17">
      <c r="A2234" s="366" t="s">
        <v>4190</v>
      </c>
      <c r="B2234" s="366" t="s">
        <v>231</v>
      </c>
      <c r="C2234" s="348" t="str">
        <f>DATA_PROPERTY_MASTER!$A$11</f>
        <v>BLD_EE</v>
      </c>
      <c r="D2234" s="380">
        <f>'00_PORTFOLIO ROLLUP'!Q$12</f>
        <v>2037</v>
      </c>
      <c r="E2234" s="366" t="s">
        <v>1683</v>
      </c>
      <c r="F2234" s="366" t="s">
        <v>19</v>
      </c>
      <c r="G2234" s="348" t="str">
        <f>"'"&amp;$C2234&amp;"'!$E$41:$Y$41"</f>
        <v>'BLD_EE'!$E$41:$Y$41</v>
      </c>
      <c r="H2234" s="381">
        <f ca="1">IF(IFERROR(INDEX(DATA_PROPERTY_MASTER!$E$5:$E$21,MATCH($C2234,DATA_PROPERTY_MASTER!$A$5:$A$21,0))="Yes",FALSE),IFERROR(INDEX(INDIRECT("'"&amp;$C2234&amp;"'!$E$41:$Y$41"),1,MATCH($D2234,INDIRECT("'"&amp;$C2234&amp;"'!$E$12:$Y$12"),0)),0),0)</f>
        <v>305094.64693550469</v>
      </c>
      <c r="I2234" s="366" t="s">
        <v>1685</v>
      </c>
      <c r="J2234" s="348" t="str">
        <f t="shared" ca="1" si="68"/>
        <v>OK</v>
      </c>
      <c r="K2234" s="366" t="s">
        <v>1694</v>
      </c>
      <c r="L2234" s="366" t="s">
        <v>2238</v>
      </c>
      <c r="M2234" s="350" t="str">
        <f>IF($B2234="Portfolio","Portfolio",IFERROR(INDEX(DATA_ASSET_CLASSIFICATION!$B$8:$B$24,MATCH($C2234,DATA_ASSET_CLASSIFICATION!$A$8:$A$24,0)),"Review"))</f>
        <v>Evelyn Estates</v>
      </c>
      <c r="N2234" s="350" t="str">
        <f ca="1">IF($B2234="Portfolio","Portfolio",IFERROR(INDEX(DATA_ASSET_CLASSIFICATION!$U$8:$U$24,MATCH($C2234,DATA_ASSET_CLASSIFICATION!$A$8:$A$24,0)),"Review"))</f>
        <v>Refi Watch</v>
      </c>
      <c r="O2234" s="350" t="str">
        <f ca="1">IF($B2234="Portfolio","Portfolio",IFERROR(INDEX(DATA_ASSET_CLASSIFICATION!$AB$8:$AB$13,MATCH($N2234,DATA_ASSET_CLASSIFICATION!$AA$8:$AA$13,0)),"Review"))</f>
        <v>Bucket 2 · Legacy</v>
      </c>
      <c r="P2234" s="350" t="str">
        <f>IF($B2234="Portfolio","Portfolio",IFERROR(INDEX(DATA_ASSET_CLASSIFICATION!$C$8:$C$24,MATCH($C2234,DATA_ASSET_CLASSIFICATION!$A$8:$A$24,0)),"Review"))</f>
        <v>Yes</v>
      </c>
      <c r="Q2234" s="350" t="str">
        <f t="shared" ca="1" si="69"/>
        <v>OK</v>
      </c>
    </row>
    <row r="2235" spans="1:17">
      <c r="A2235" s="366" t="s">
        <v>4191</v>
      </c>
      <c r="B2235" s="366" t="s">
        <v>231</v>
      </c>
      <c r="C2235" s="348" t="str">
        <f>DATA_PROPERTY_MASTER!$A$11</f>
        <v>BLD_EE</v>
      </c>
      <c r="D2235" s="380">
        <f>'00_PORTFOLIO ROLLUP'!Q$12</f>
        <v>2037</v>
      </c>
      <c r="E2235" s="366" t="s">
        <v>1683</v>
      </c>
      <c r="F2235" s="366" t="s">
        <v>1697</v>
      </c>
      <c r="G2235" s="348" t="str">
        <f>"'"&amp;$C2235&amp;"'!$E$44:$Y$44"</f>
        <v>'BLD_EE'!$E$44:$Y$44</v>
      </c>
      <c r="H2235" s="381">
        <f ca="1">IF(IFERROR(INDEX(DATA_PROPERTY_MASTER!$E$5:$E$21,MATCH($C2235,DATA_PROPERTY_MASTER!$A$5:$A$21,0))="Yes",FALSE),IFERROR(INDEX(INDIRECT("'"&amp;$C2235&amp;"'!$E$44:$Y$44"),1,MATCH($D2235,INDIRECT("'"&amp;$C2235&amp;"'!$E$12:$Y$12"),0)),0),0)</f>
        <v>6848.505690637744</v>
      </c>
      <c r="I2235" s="366" t="s">
        <v>1690</v>
      </c>
      <c r="J2235" s="348" t="str">
        <f t="shared" ca="1" si="68"/>
        <v>OK</v>
      </c>
      <c r="K2235" s="366" t="s">
        <v>1699</v>
      </c>
      <c r="L2235" s="366" t="s">
        <v>2240</v>
      </c>
      <c r="M2235" s="350" t="str">
        <f>IF($B2235="Portfolio","Portfolio",IFERROR(INDEX(DATA_ASSET_CLASSIFICATION!$B$8:$B$24,MATCH($C2235,DATA_ASSET_CLASSIFICATION!$A$8:$A$24,0)),"Review"))</f>
        <v>Evelyn Estates</v>
      </c>
      <c r="N2235" s="350" t="str">
        <f ca="1">IF($B2235="Portfolio","Portfolio",IFERROR(INDEX(DATA_ASSET_CLASSIFICATION!$U$8:$U$24,MATCH($C2235,DATA_ASSET_CLASSIFICATION!$A$8:$A$24,0)),"Review"))</f>
        <v>Refi Watch</v>
      </c>
      <c r="O2235" s="350" t="str">
        <f ca="1">IF($B2235="Portfolio","Portfolio",IFERROR(INDEX(DATA_ASSET_CLASSIFICATION!$AB$8:$AB$13,MATCH($N2235,DATA_ASSET_CLASSIFICATION!$AA$8:$AA$13,0)),"Review"))</f>
        <v>Bucket 2 · Legacy</v>
      </c>
      <c r="P2235" s="350" t="str">
        <f>IF($B2235="Portfolio","Portfolio",IFERROR(INDEX(DATA_ASSET_CLASSIFICATION!$C$8:$C$24,MATCH($C2235,DATA_ASSET_CLASSIFICATION!$A$8:$A$24,0)),"Review"))</f>
        <v>Yes</v>
      </c>
      <c r="Q2235" s="350" t="str">
        <f t="shared" ca="1" si="69"/>
        <v>OK</v>
      </c>
    </row>
    <row r="2236" spans="1:17">
      <c r="A2236" s="366" t="s">
        <v>4192</v>
      </c>
      <c r="B2236" s="366" t="s">
        <v>231</v>
      </c>
      <c r="C2236" s="348" t="str">
        <f>DATA_PROPERTY_MASTER!$A$11</f>
        <v>BLD_EE</v>
      </c>
      <c r="D2236" s="380">
        <f>'00_PORTFOLIO ROLLUP'!Q$12</f>
        <v>2037</v>
      </c>
      <c r="E2236" s="366" t="s">
        <v>1683</v>
      </c>
      <c r="F2236" s="366" t="s">
        <v>21</v>
      </c>
      <c r="G2236" s="348" t="str">
        <f>"'"&amp;$C2236&amp;"'!$E$45:$Y$45"</f>
        <v>'BLD_EE'!$E$45:$Y$45</v>
      </c>
      <c r="H2236" s="381">
        <f ca="1">IF(IFERROR(INDEX(DATA_PROPERTY_MASTER!$E$5:$E$21,MATCH($C2236,DATA_PROPERTY_MASTER!$A$5:$A$21,0))="Yes",FALSE),IFERROR(INDEX(INDIRECT("'"&amp;$C2236&amp;"'!$E$45:$Y$45"),1,MATCH($D2236,INDIRECT("'"&amp;$C2236&amp;"'!$E$12:$Y$12"),0)),0),0)</f>
        <v>298246.14124486694</v>
      </c>
      <c r="I2236" s="366" t="s">
        <v>1685</v>
      </c>
      <c r="J2236" s="348" t="str">
        <f t="shared" ca="1" si="68"/>
        <v>OK</v>
      </c>
      <c r="K2236" s="366" t="s">
        <v>1694</v>
      </c>
      <c r="L2236" s="366" t="s">
        <v>2242</v>
      </c>
      <c r="M2236" s="350" t="str">
        <f>IF($B2236="Portfolio","Portfolio",IFERROR(INDEX(DATA_ASSET_CLASSIFICATION!$B$8:$B$24,MATCH($C2236,DATA_ASSET_CLASSIFICATION!$A$8:$A$24,0)),"Review"))</f>
        <v>Evelyn Estates</v>
      </c>
      <c r="N2236" s="350" t="str">
        <f ca="1">IF($B2236="Portfolio","Portfolio",IFERROR(INDEX(DATA_ASSET_CLASSIFICATION!$U$8:$U$24,MATCH($C2236,DATA_ASSET_CLASSIFICATION!$A$8:$A$24,0)),"Review"))</f>
        <v>Refi Watch</v>
      </c>
      <c r="O2236" s="350" t="str">
        <f ca="1">IF($B2236="Portfolio","Portfolio",IFERROR(INDEX(DATA_ASSET_CLASSIFICATION!$AB$8:$AB$13,MATCH($N2236,DATA_ASSET_CLASSIFICATION!$AA$8:$AA$13,0)),"Review"))</f>
        <v>Bucket 2 · Legacy</v>
      </c>
      <c r="P2236" s="350" t="str">
        <f>IF($B2236="Portfolio","Portfolio",IFERROR(INDEX(DATA_ASSET_CLASSIFICATION!$C$8:$C$24,MATCH($C2236,DATA_ASSET_CLASSIFICATION!$A$8:$A$24,0)),"Review"))</f>
        <v>Yes</v>
      </c>
      <c r="Q2236" s="350" t="str">
        <f t="shared" ca="1" si="69"/>
        <v>OK</v>
      </c>
    </row>
    <row r="2237" spans="1:17">
      <c r="A2237" s="366" t="s">
        <v>4193</v>
      </c>
      <c r="B2237" s="366" t="s">
        <v>231</v>
      </c>
      <c r="C2237" s="348" t="str">
        <f>DATA_PROPERTY_MASTER!$A$11</f>
        <v>BLD_EE</v>
      </c>
      <c r="D2237" s="380">
        <f>'00_PORTFOLIO ROLLUP'!Q$12</f>
        <v>2037</v>
      </c>
      <c r="E2237" s="366" t="s">
        <v>23</v>
      </c>
      <c r="F2237" s="366" t="s">
        <v>23</v>
      </c>
      <c r="G2237" s="348" t="str">
        <f>"'"&amp;$C2237&amp;"'!$E$48:$Y$48"</f>
        <v>'BLD_EE'!$E$48:$Y$48</v>
      </c>
      <c r="H2237" s="381">
        <f ca="1">IF(IFERROR(INDEX(DATA_PROPERTY_MASTER!$E$5:$E$21,MATCH($C2237,DATA_PROPERTY_MASTER!$A$5:$A$21,0))="Yes",FALSE),IFERROR(INDEX(INDIRECT("'"&amp;$C2237&amp;"'!$E$48:$Y$48"),1,MATCH($D2237,INDIRECT("'"&amp;$C2237&amp;"'!$E$12:$Y$12"),0)),0),0)</f>
        <v>0</v>
      </c>
      <c r="I2237" s="366" t="s">
        <v>1690</v>
      </c>
      <c r="J2237" s="348" t="str">
        <f t="shared" ca="1" si="68"/>
        <v>OK</v>
      </c>
      <c r="K2237" s="366" t="s">
        <v>1706</v>
      </c>
      <c r="L2237" s="366" t="s">
        <v>2244</v>
      </c>
      <c r="M2237" s="350" t="str">
        <f>IF($B2237="Portfolio","Portfolio",IFERROR(INDEX(DATA_ASSET_CLASSIFICATION!$B$8:$B$24,MATCH($C2237,DATA_ASSET_CLASSIFICATION!$A$8:$A$24,0)),"Review"))</f>
        <v>Evelyn Estates</v>
      </c>
      <c r="N2237" s="350" t="str">
        <f ca="1">IF($B2237="Portfolio","Portfolio",IFERROR(INDEX(DATA_ASSET_CLASSIFICATION!$U$8:$U$24,MATCH($C2237,DATA_ASSET_CLASSIFICATION!$A$8:$A$24,0)),"Review"))</f>
        <v>Refi Watch</v>
      </c>
      <c r="O2237" s="350" t="str">
        <f ca="1">IF($B2237="Portfolio","Portfolio",IFERROR(INDEX(DATA_ASSET_CLASSIFICATION!$AB$8:$AB$13,MATCH($N2237,DATA_ASSET_CLASSIFICATION!$AA$8:$AA$13,0)),"Review"))</f>
        <v>Bucket 2 · Legacy</v>
      </c>
      <c r="P2237" s="350" t="str">
        <f>IF($B2237="Portfolio","Portfolio",IFERROR(INDEX(DATA_ASSET_CLASSIFICATION!$C$8:$C$24,MATCH($C2237,DATA_ASSET_CLASSIFICATION!$A$8:$A$24,0)),"Review"))</f>
        <v>Yes</v>
      </c>
      <c r="Q2237" s="350" t="str">
        <f t="shared" ca="1" si="69"/>
        <v>OK</v>
      </c>
    </row>
    <row r="2238" spans="1:17">
      <c r="A2238" s="366" t="s">
        <v>4194</v>
      </c>
      <c r="B2238" s="366" t="s">
        <v>231</v>
      </c>
      <c r="C2238" s="348" t="str">
        <f>DATA_PROPERTY_MASTER!$A$11</f>
        <v>BLD_EE</v>
      </c>
      <c r="D2238" s="380">
        <f>'00_PORTFOLIO ROLLUP'!Q$12</f>
        <v>2037</v>
      </c>
      <c r="E2238" s="366" t="s">
        <v>1683</v>
      </c>
      <c r="F2238" s="366" t="s">
        <v>25</v>
      </c>
      <c r="G2238" s="348" t="str">
        <f>"'"&amp;$C2238&amp;"'!$E$52:$Y$52"</f>
        <v>'BLD_EE'!$E$52:$Y$52</v>
      </c>
      <c r="H2238" s="381">
        <f ca="1">IF(IFERROR(INDEX(DATA_PROPERTY_MASTER!$E$5:$E$21,MATCH($C2238,DATA_PROPERTY_MASTER!$A$5:$A$21,0))="Yes",FALSE),IFERROR(INDEX(INDIRECT("'"&amp;$C2238&amp;"'!$E$52:$Y$52"),1,MATCH($D2238,INDIRECT("'"&amp;$C2238&amp;"'!$E$12:$Y$12"),0)),0),0)</f>
        <v>305094.64693550469</v>
      </c>
      <c r="I2238" s="366" t="s">
        <v>1685</v>
      </c>
      <c r="J2238" s="348" t="str">
        <f t="shared" ca="1" si="68"/>
        <v>OK</v>
      </c>
      <c r="K2238" s="366" t="s">
        <v>1710</v>
      </c>
      <c r="L2238" s="366" t="s">
        <v>2246</v>
      </c>
      <c r="M2238" s="350" t="str">
        <f>IF($B2238="Portfolio","Portfolio",IFERROR(INDEX(DATA_ASSET_CLASSIFICATION!$B$8:$B$24,MATCH($C2238,DATA_ASSET_CLASSIFICATION!$A$8:$A$24,0)),"Review"))</f>
        <v>Evelyn Estates</v>
      </c>
      <c r="N2238" s="350" t="str">
        <f ca="1">IF($B2238="Portfolio","Portfolio",IFERROR(INDEX(DATA_ASSET_CLASSIFICATION!$U$8:$U$24,MATCH($C2238,DATA_ASSET_CLASSIFICATION!$A$8:$A$24,0)),"Review"))</f>
        <v>Refi Watch</v>
      </c>
      <c r="O2238" s="350" t="str">
        <f ca="1">IF($B2238="Portfolio","Portfolio",IFERROR(INDEX(DATA_ASSET_CLASSIFICATION!$AB$8:$AB$13,MATCH($N2238,DATA_ASSET_CLASSIFICATION!$AA$8:$AA$13,0)),"Review"))</f>
        <v>Bucket 2 · Legacy</v>
      </c>
      <c r="P2238" s="350" t="str">
        <f>IF($B2238="Portfolio","Portfolio",IFERROR(INDEX(DATA_ASSET_CLASSIFICATION!$C$8:$C$24,MATCH($C2238,DATA_ASSET_CLASSIFICATION!$A$8:$A$24,0)),"Review"))</f>
        <v>Yes</v>
      </c>
      <c r="Q2238" s="350" t="str">
        <f t="shared" ca="1" si="69"/>
        <v>OK</v>
      </c>
    </row>
    <row r="2239" spans="1:17">
      <c r="A2239" s="366" t="s">
        <v>4195</v>
      </c>
      <c r="B2239" s="366" t="s">
        <v>231</v>
      </c>
      <c r="C2239" s="348" t="str">
        <f>DATA_PROPERTY_MASTER!$A$11</f>
        <v>BLD_EE</v>
      </c>
      <c r="D2239" s="380">
        <f>'00_PORTFOLIO ROLLUP'!Q$12</f>
        <v>2037</v>
      </c>
      <c r="E2239" s="366" t="s">
        <v>1683</v>
      </c>
      <c r="F2239" s="366" t="s">
        <v>27</v>
      </c>
      <c r="G2239" s="348" t="str">
        <f>"'"&amp;$C2239&amp;"'!$E$54:$Y$54"</f>
        <v>'BLD_EE'!$E$54:$Y$54</v>
      </c>
      <c r="H2239" s="381">
        <f ca="1">IF(IFERROR(INDEX(DATA_PROPERTY_MASTER!$E$5:$E$21,MATCH($C2239,DATA_PROPERTY_MASTER!$A$5:$A$21,0))="Yes",FALSE),IFERROR(INDEX(INDIRECT("'"&amp;$C2239&amp;"'!$E$54:$Y$54"),1,MATCH($D2239,INDIRECT("'"&amp;$C2239&amp;"'!$E$12:$Y$12"),0)),0),0)</f>
        <v>183056.7881613028</v>
      </c>
      <c r="I2239" s="366" t="s">
        <v>1690</v>
      </c>
      <c r="J2239" s="348" t="str">
        <f t="shared" ca="1" si="68"/>
        <v>OK</v>
      </c>
      <c r="K2239" s="366" t="s">
        <v>1714</v>
      </c>
      <c r="L2239" s="366" t="s">
        <v>2248</v>
      </c>
      <c r="M2239" s="350" t="str">
        <f>IF($B2239="Portfolio","Portfolio",IFERROR(INDEX(DATA_ASSET_CLASSIFICATION!$B$8:$B$24,MATCH($C2239,DATA_ASSET_CLASSIFICATION!$A$8:$A$24,0)),"Review"))</f>
        <v>Evelyn Estates</v>
      </c>
      <c r="N2239" s="350" t="str">
        <f ca="1">IF($B2239="Portfolio","Portfolio",IFERROR(INDEX(DATA_ASSET_CLASSIFICATION!$U$8:$U$24,MATCH($C2239,DATA_ASSET_CLASSIFICATION!$A$8:$A$24,0)),"Review"))</f>
        <v>Refi Watch</v>
      </c>
      <c r="O2239" s="350" t="str">
        <f ca="1">IF($B2239="Portfolio","Portfolio",IFERROR(INDEX(DATA_ASSET_CLASSIFICATION!$AB$8:$AB$13,MATCH($N2239,DATA_ASSET_CLASSIFICATION!$AA$8:$AA$13,0)),"Review"))</f>
        <v>Bucket 2 · Legacy</v>
      </c>
      <c r="P2239" s="350" t="str">
        <f>IF($B2239="Portfolio","Portfolio",IFERROR(INDEX(DATA_ASSET_CLASSIFICATION!$C$8:$C$24,MATCH($C2239,DATA_ASSET_CLASSIFICATION!$A$8:$A$24,0)),"Review"))</f>
        <v>Yes</v>
      </c>
      <c r="Q2239" s="350" t="str">
        <f t="shared" ca="1" si="69"/>
        <v>OK</v>
      </c>
    </row>
    <row r="2240" spans="1:17">
      <c r="A2240" s="366" t="s">
        <v>4196</v>
      </c>
      <c r="B2240" s="366" t="s">
        <v>231</v>
      </c>
      <c r="C2240" s="348" t="str">
        <f>DATA_PROPERTY_MASTER!$A$11</f>
        <v>BLD_EE</v>
      </c>
      <c r="D2240" s="380">
        <f>'00_PORTFOLIO ROLLUP'!Q$12</f>
        <v>2037</v>
      </c>
      <c r="E2240" s="366" t="s">
        <v>1683</v>
      </c>
      <c r="F2240" s="366" t="s">
        <v>29</v>
      </c>
      <c r="G2240" s="348" t="str">
        <f>"'"&amp;$C2240&amp;"'!$E$56:$Y$56"</f>
        <v>'BLD_EE'!$E$56:$Y$56</v>
      </c>
      <c r="H2240" s="381">
        <f ca="1">IF(IFERROR(INDEX(DATA_PROPERTY_MASTER!$E$5:$E$21,MATCH($C2240,DATA_PROPERTY_MASTER!$A$5:$A$21,0))="Yes",FALSE),IFERROR(INDEX(INDIRECT("'"&amp;$C2240&amp;"'!$E$56:$Y$56"),1,MATCH($D2240,INDIRECT("'"&amp;$C2240&amp;"'!$E$12:$Y$12"),0)),0),0)</f>
        <v>122037.85877420189</v>
      </c>
      <c r="I2240" s="366" t="s">
        <v>1685</v>
      </c>
      <c r="J2240" s="348" t="str">
        <f t="shared" ca="1" si="68"/>
        <v>OK</v>
      </c>
      <c r="K2240" s="366" t="s">
        <v>1718</v>
      </c>
      <c r="L2240" s="366" t="s">
        <v>2250</v>
      </c>
      <c r="M2240" s="350" t="str">
        <f>IF($B2240="Portfolio","Portfolio",IFERROR(INDEX(DATA_ASSET_CLASSIFICATION!$B$8:$B$24,MATCH($C2240,DATA_ASSET_CLASSIFICATION!$A$8:$A$24,0)),"Review"))</f>
        <v>Evelyn Estates</v>
      </c>
      <c r="N2240" s="350" t="str">
        <f ca="1">IF($B2240="Portfolio","Portfolio",IFERROR(INDEX(DATA_ASSET_CLASSIFICATION!$U$8:$U$24,MATCH($C2240,DATA_ASSET_CLASSIFICATION!$A$8:$A$24,0)),"Review"))</f>
        <v>Refi Watch</v>
      </c>
      <c r="O2240" s="350" t="str">
        <f ca="1">IF($B2240="Portfolio","Portfolio",IFERROR(INDEX(DATA_ASSET_CLASSIFICATION!$AB$8:$AB$13,MATCH($N2240,DATA_ASSET_CLASSIFICATION!$AA$8:$AA$13,0)),"Review"))</f>
        <v>Bucket 2 · Legacy</v>
      </c>
      <c r="P2240" s="350" t="str">
        <f>IF($B2240="Portfolio","Portfolio",IFERROR(INDEX(DATA_ASSET_CLASSIFICATION!$C$8:$C$24,MATCH($C2240,DATA_ASSET_CLASSIFICATION!$A$8:$A$24,0)),"Review"))</f>
        <v>Yes</v>
      </c>
      <c r="Q2240" s="350" t="str">
        <f t="shared" ca="1" si="69"/>
        <v>OK</v>
      </c>
    </row>
    <row r="2241" spans="1:17">
      <c r="A2241" s="366" t="s">
        <v>4197</v>
      </c>
      <c r="B2241" s="366" t="s">
        <v>231</v>
      </c>
      <c r="C2241" s="348" t="str">
        <f>DATA_PROPERTY_MASTER!$A$11</f>
        <v>BLD_EE</v>
      </c>
      <c r="D2241" s="380">
        <f>'00_PORTFOLIO ROLLUP'!Q$12</f>
        <v>2037</v>
      </c>
      <c r="E2241" s="366" t="s">
        <v>1721</v>
      </c>
      <c r="F2241" s="366" t="s">
        <v>31</v>
      </c>
      <c r="G2241" s="348" t="str">
        <f>"'"&amp;$C2241&amp;"'!$E$61:$Y$61"</f>
        <v>'BLD_EE'!$E$61:$Y$61</v>
      </c>
      <c r="H2241" s="381">
        <f ca="1">IF(IFERROR(INDEX(DATA_PROPERTY_MASTER!$E$5:$E$21,MATCH($C2241,DATA_PROPERTY_MASTER!$A$5:$A$21,0))="Yes",FALSE),IFERROR(INDEX(INDIRECT("'"&amp;$C2241&amp;"'!$E$61:$Y$61"),1,MATCH($D2241,INDIRECT("'"&amp;$C2241&amp;"'!$E$12:$Y$12"),0)),0),0)</f>
        <v>0</v>
      </c>
      <c r="I2241" s="366" t="s">
        <v>1690</v>
      </c>
      <c r="J2241" s="348" t="str">
        <f t="shared" ca="1" si="68"/>
        <v>OK</v>
      </c>
      <c r="K2241" s="366" t="s">
        <v>1723</v>
      </c>
      <c r="L2241" s="366" t="s">
        <v>2252</v>
      </c>
      <c r="M2241" s="350" t="str">
        <f>IF($B2241="Portfolio","Portfolio",IFERROR(INDEX(DATA_ASSET_CLASSIFICATION!$B$8:$B$24,MATCH($C2241,DATA_ASSET_CLASSIFICATION!$A$8:$A$24,0)),"Review"))</f>
        <v>Evelyn Estates</v>
      </c>
      <c r="N2241" s="350" t="str">
        <f ca="1">IF($B2241="Portfolio","Portfolio",IFERROR(INDEX(DATA_ASSET_CLASSIFICATION!$U$8:$U$24,MATCH($C2241,DATA_ASSET_CLASSIFICATION!$A$8:$A$24,0)),"Review"))</f>
        <v>Refi Watch</v>
      </c>
      <c r="O2241" s="350" t="str">
        <f ca="1">IF($B2241="Portfolio","Portfolio",IFERROR(INDEX(DATA_ASSET_CLASSIFICATION!$AB$8:$AB$13,MATCH($N2241,DATA_ASSET_CLASSIFICATION!$AA$8:$AA$13,0)),"Review"))</f>
        <v>Bucket 2 · Legacy</v>
      </c>
      <c r="P2241" s="350" t="str">
        <f>IF($B2241="Portfolio","Portfolio",IFERROR(INDEX(DATA_ASSET_CLASSIFICATION!$C$8:$C$24,MATCH($C2241,DATA_ASSET_CLASSIFICATION!$A$8:$A$24,0)),"Review"))</f>
        <v>Yes</v>
      </c>
      <c r="Q2241" s="350" t="str">
        <f t="shared" ca="1" si="69"/>
        <v>OK</v>
      </c>
    </row>
    <row r="2242" spans="1:17">
      <c r="A2242" s="366" t="s">
        <v>4198</v>
      </c>
      <c r="B2242" s="366" t="s">
        <v>231</v>
      </c>
      <c r="C2242" s="348" t="str">
        <f>DATA_PROPERTY_MASTER!$A$11</f>
        <v>BLD_EE</v>
      </c>
      <c r="D2242" s="380">
        <f>'00_PORTFOLIO ROLLUP'!Q$12</f>
        <v>2037</v>
      </c>
      <c r="E2242" s="366" t="s">
        <v>1721</v>
      </c>
      <c r="F2242" s="366" t="s">
        <v>33</v>
      </c>
      <c r="G2242" s="348" t="str">
        <f>"'"&amp;$C2242&amp;"'!$E$62:$Y$62"</f>
        <v>'BLD_EE'!$E$62:$Y$62</v>
      </c>
      <c r="H2242" s="381">
        <f ca="1">IF(IFERROR(INDEX(DATA_PROPERTY_MASTER!$E$5:$E$21,MATCH($C2242,DATA_PROPERTY_MASTER!$A$5:$A$21,0))="Yes",FALSE),IFERROR(INDEX(INDIRECT("'"&amp;$C2242&amp;"'!$E$62:$Y$62"),1,MATCH($D2242,INDIRECT("'"&amp;$C2242&amp;"'!$E$12:$Y$12"),0)),0),0)</f>
        <v>0</v>
      </c>
      <c r="I2242" s="366" t="s">
        <v>1685</v>
      </c>
      <c r="J2242" s="348" t="str">
        <f t="shared" ca="1" si="68"/>
        <v>OK</v>
      </c>
      <c r="K2242" s="366" t="s">
        <v>1727</v>
      </c>
      <c r="L2242" s="366" t="s">
        <v>2254</v>
      </c>
      <c r="M2242" s="350" t="str">
        <f>IF($B2242="Portfolio","Portfolio",IFERROR(INDEX(DATA_ASSET_CLASSIFICATION!$B$8:$B$24,MATCH($C2242,DATA_ASSET_CLASSIFICATION!$A$8:$A$24,0)),"Review"))</f>
        <v>Evelyn Estates</v>
      </c>
      <c r="N2242" s="350" t="str">
        <f ca="1">IF($B2242="Portfolio","Portfolio",IFERROR(INDEX(DATA_ASSET_CLASSIFICATION!$U$8:$U$24,MATCH($C2242,DATA_ASSET_CLASSIFICATION!$A$8:$A$24,0)),"Review"))</f>
        <v>Refi Watch</v>
      </c>
      <c r="O2242" s="350" t="str">
        <f ca="1">IF($B2242="Portfolio","Portfolio",IFERROR(INDEX(DATA_ASSET_CLASSIFICATION!$AB$8:$AB$13,MATCH($N2242,DATA_ASSET_CLASSIFICATION!$AA$8:$AA$13,0)),"Review"))</f>
        <v>Bucket 2 · Legacy</v>
      </c>
      <c r="P2242" s="350" t="str">
        <f>IF($B2242="Portfolio","Portfolio",IFERROR(INDEX(DATA_ASSET_CLASSIFICATION!$C$8:$C$24,MATCH($C2242,DATA_ASSET_CLASSIFICATION!$A$8:$A$24,0)),"Review"))</f>
        <v>Yes</v>
      </c>
      <c r="Q2242" s="350" t="str">
        <f t="shared" ca="1" si="69"/>
        <v>OK</v>
      </c>
    </row>
    <row r="2243" spans="1:17">
      <c r="A2243" s="366" t="s">
        <v>4199</v>
      </c>
      <c r="B2243" s="366" t="s">
        <v>231</v>
      </c>
      <c r="C2243" s="348" t="str">
        <f>DATA_PROPERTY_MASTER!$A$11</f>
        <v>BLD_EE</v>
      </c>
      <c r="D2243" s="380">
        <f>'00_PORTFOLIO ROLLUP'!Q$12</f>
        <v>2037</v>
      </c>
      <c r="E2243" s="366" t="s">
        <v>1721</v>
      </c>
      <c r="F2243" s="366" t="s">
        <v>35</v>
      </c>
      <c r="G2243" s="348" t="str">
        <f>"'"&amp;$C2243&amp;"'!$E$63:$Y$63"</f>
        <v>'BLD_EE'!$E$63:$Y$63</v>
      </c>
      <c r="H2243" s="381">
        <f ca="1">IF(IFERROR(INDEX(DATA_PROPERTY_MASTER!$E$5:$E$21,MATCH($C2243,DATA_PROPERTY_MASTER!$A$5:$A$21,0))="Yes",FALSE),IFERROR(INDEX(INDIRECT("'"&amp;$C2243&amp;"'!$E$63:$Y$63"),1,MATCH($D2243,INDIRECT("'"&amp;$C2243&amp;"'!$E$12:$Y$12"),0)),0),0)</f>
        <v>0</v>
      </c>
      <c r="I2243" s="366" t="s">
        <v>1731</v>
      </c>
      <c r="J2243" s="348" t="str">
        <f t="shared" ca="1" si="68"/>
        <v>OK</v>
      </c>
      <c r="K2243" s="366" t="s">
        <v>1732</v>
      </c>
      <c r="L2243" s="366" t="s">
        <v>2256</v>
      </c>
      <c r="M2243" s="350" t="str">
        <f>IF($B2243="Portfolio","Portfolio",IFERROR(INDEX(DATA_ASSET_CLASSIFICATION!$B$8:$B$24,MATCH($C2243,DATA_ASSET_CLASSIFICATION!$A$8:$A$24,0)),"Review"))</f>
        <v>Evelyn Estates</v>
      </c>
      <c r="N2243" s="350" t="str">
        <f ca="1">IF($B2243="Portfolio","Portfolio",IFERROR(INDEX(DATA_ASSET_CLASSIFICATION!$U$8:$U$24,MATCH($C2243,DATA_ASSET_CLASSIFICATION!$A$8:$A$24,0)),"Review"))</f>
        <v>Refi Watch</v>
      </c>
      <c r="O2243" s="350" t="str">
        <f ca="1">IF($B2243="Portfolio","Portfolio",IFERROR(INDEX(DATA_ASSET_CLASSIFICATION!$AB$8:$AB$13,MATCH($N2243,DATA_ASSET_CLASSIFICATION!$AA$8:$AA$13,0)),"Review"))</f>
        <v>Bucket 2 · Legacy</v>
      </c>
      <c r="P2243" s="350" t="str">
        <f>IF($B2243="Portfolio","Portfolio",IFERROR(INDEX(DATA_ASSET_CLASSIFICATION!$C$8:$C$24,MATCH($C2243,DATA_ASSET_CLASSIFICATION!$A$8:$A$24,0)),"Review"))</f>
        <v>Yes</v>
      </c>
      <c r="Q2243" s="350" t="str">
        <f t="shared" ca="1" si="69"/>
        <v>OK</v>
      </c>
    </row>
    <row r="2244" spans="1:17">
      <c r="A2244" s="366" t="s">
        <v>4200</v>
      </c>
      <c r="B2244" s="366" t="s">
        <v>231</v>
      </c>
      <c r="C2244" s="348" t="str">
        <f>DATA_PROPERTY_MASTER!$A$11</f>
        <v>BLD_EE</v>
      </c>
      <c r="D2244" s="380">
        <f>'00_PORTFOLIO ROLLUP'!Q$12</f>
        <v>2037</v>
      </c>
      <c r="E2244" s="366" t="s">
        <v>1721</v>
      </c>
      <c r="F2244" s="366" t="s">
        <v>37</v>
      </c>
      <c r="G2244" s="348" t="str">
        <f>"'"&amp;$C2244&amp;"'!$E$63:$Y$63"</f>
        <v>'BLD_EE'!$E$63:$Y$63</v>
      </c>
      <c r="H2244" s="381">
        <f ca="1">IF(IFERROR(INDEX(DATA_PROPERTY_MASTER!$E$5:$E$21,MATCH($C2244,DATA_PROPERTY_MASTER!$A$5:$A$21,0))="Yes",FALSE),MAX(IFERROR(INDEX(INDIRECT("'"&amp;$C2244&amp;"'!$E$63:$Y$63"),1,MATCH($D2244,INDIRECT("'"&amp;$C2244&amp;"'!$E$12:$Y$12"),0)),0),0),0)</f>
        <v>0</v>
      </c>
      <c r="I2244" s="366" t="s">
        <v>1685</v>
      </c>
      <c r="J2244" s="348" t="str">
        <f t="shared" ca="1" si="68"/>
        <v>OK</v>
      </c>
      <c r="K2244" s="366" t="s">
        <v>1735</v>
      </c>
      <c r="L2244" s="366" t="s">
        <v>2258</v>
      </c>
      <c r="M2244" s="350" t="str">
        <f>IF($B2244="Portfolio","Portfolio",IFERROR(INDEX(DATA_ASSET_CLASSIFICATION!$B$8:$B$24,MATCH($C2244,DATA_ASSET_CLASSIFICATION!$A$8:$A$24,0)),"Review"))</f>
        <v>Evelyn Estates</v>
      </c>
      <c r="N2244" s="350" t="str">
        <f ca="1">IF($B2244="Portfolio","Portfolio",IFERROR(INDEX(DATA_ASSET_CLASSIFICATION!$U$8:$U$24,MATCH($C2244,DATA_ASSET_CLASSIFICATION!$A$8:$A$24,0)),"Review"))</f>
        <v>Refi Watch</v>
      </c>
      <c r="O2244" s="350" t="str">
        <f ca="1">IF($B2244="Portfolio","Portfolio",IFERROR(INDEX(DATA_ASSET_CLASSIFICATION!$AB$8:$AB$13,MATCH($N2244,DATA_ASSET_CLASSIFICATION!$AA$8:$AA$13,0)),"Review"))</f>
        <v>Bucket 2 · Legacy</v>
      </c>
      <c r="P2244" s="350" t="str">
        <f>IF($B2244="Portfolio","Portfolio",IFERROR(INDEX(DATA_ASSET_CLASSIFICATION!$C$8:$C$24,MATCH($C2244,DATA_ASSET_CLASSIFICATION!$A$8:$A$24,0)),"Review"))</f>
        <v>Yes</v>
      </c>
      <c r="Q2244" s="350" t="str">
        <f t="shared" ca="1" si="69"/>
        <v>OK</v>
      </c>
    </row>
    <row r="2245" spans="1:17">
      <c r="A2245" s="366" t="s">
        <v>4201</v>
      </c>
      <c r="B2245" s="366" t="s">
        <v>231</v>
      </c>
      <c r="C2245" s="348" t="str">
        <f>DATA_PROPERTY_MASTER!$A$11</f>
        <v>BLD_EE</v>
      </c>
      <c r="D2245" s="380">
        <f>'00_PORTFOLIO ROLLUP'!Q$12</f>
        <v>2037</v>
      </c>
      <c r="E2245" s="366" t="s">
        <v>1721</v>
      </c>
      <c r="F2245" s="366" t="s">
        <v>39</v>
      </c>
      <c r="G2245" s="348" t="str">
        <f>"'"&amp;$C2245&amp;"'!$E$63:$Y$63"</f>
        <v>'BLD_EE'!$E$63:$Y$63</v>
      </c>
      <c r="H2245" s="381">
        <f ca="1">IF(IFERROR(INDEX(DATA_PROPERTY_MASTER!$E$5:$E$21,MATCH($C2245,DATA_PROPERTY_MASTER!$A$5:$A$21,0))="Yes",FALSE),MAX(-IFERROR(INDEX(INDIRECT("'"&amp;$C2245&amp;"'!$E$63:$Y$63"),1,MATCH($D2245,INDIRECT("'"&amp;$C2245&amp;"'!$E$12:$Y$12"),0)),0),0),0)</f>
        <v>0</v>
      </c>
      <c r="I2245" s="366" t="s">
        <v>1690</v>
      </c>
      <c r="J2245" s="348" t="str">
        <f t="shared" ref="J2245:J2308" ca="1" si="70">IF($F2245="Residual Funding Gap",IF($H2245&gt;0,"Funding Gap","OK"),IF(AND($F2245="Net Refinance Position",$H2245&lt;0),"Negative net refi position","OK"))</f>
        <v>OK</v>
      </c>
      <c r="K2245" s="366" t="s">
        <v>1738</v>
      </c>
      <c r="L2245" s="366" t="s">
        <v>2260</v>
      </c>
      <c r="M2245" s="350" t="str">
        <f>IF($B2245="Portfolio","Portfolio",IFERROR(INDEX(DATA_ASSET_CLASSIFICATION!$B$8:$B$24,MATCH($C2245,DATA_ASSET_CLASSIFICATION!$A$8:$A$24,0)),"Review"))</f>
        <v>Evelyn Estates</v>
      </c>
      <c r="N2245" s="350" t="str">
        <f ca="1">IF($B2245="Portfolio","Portfolio",IFERROR(INDEX(DATA_ASSET_CLASSIFICATION!$U$8:$U$24,MATCH($C2245,DATA_ASSET_CLASSIFICATION!$A$8:$A$24,0)),"Review"))</f>
        <v>Refi Watch</v>
      </c>
      <c r="O2245" s="350" t="str">
        <f ca="1">IF($B2245="Portfolio","Portfolio",IFERROR(INDEX(DATA_ASSET_CLASSIFICATION!$AB$8:$AB$13,MATCH($N2245,DATA_ASSET_CLASSIFICATION!$AA$8:$AA$13,0)),"Review"))</f>
        <v>Bucket 2 · Legacy</v>
      </c>
      <c r="P2245" s="350" t="str">
        <f>IF($B2245="Portfolio","Portfolio",IFERROR(INDEX(DATA_ASSET_CLASSIFICATION!$C$8:$C$24,MATCH($C2245,DATA_ASSET_CLASSIFICATION!$A$8:$A$24,0)),"Review"))</f>
        <v>Yes</v>
      </c>
      <c r="Q2245" s="350" t="str">
        <f t="shared" ref="Q2245:Q2308" ca="1" si="71">IF(AND($B2245="Property",$F2245="Residual Funding Gap",$H2245&gt;0),"Property Funding Gap",IF($J2245&lt;&gt;"OK",$J2245,"OK"))</f>
        <v>OK</v>
      </c>
    </row>
    <row r="2246" spans="1:17">
      <c r="A2246" s="366" t="s">
        <v>4202</v>
      </c>
      <c r="B2246" s="366" t="s">
        <v>231</v>
      </c>
      <c r="C2246" s="348" t="str">
        <f>DATA_PROPERTY_MASTER!$A$11</f>
        <v>BLD_EE</v>
      </c>
      <c r="D2246" s="380">
        <f>'00_PORTFOLIO ROLLUP'!Q$12</f>
        <v>2037</v>
      </c>
      <c r="E2246" s="366" t="s">
        <v>1741</v>
      </c>
      <c r="F2246" s="366" t="s">
        <v>41</v>
      </c>
      <c r="G2246" s="348" t="str">
        <f>"'"&amp;$C2246&amp;"'!rows 56 + positive row 63"</f>
        <v>'BLD_EE'!rows 56 + positive row 63</v>
      </c>
      <c r="H2246" s="381">
        <f ca="1">IF(IFERROR(INDEX(DATA_PROPERTY_MASTER!$E$5:$E$21,MATCH($C2246,DATA_PROPERTY_MASTER!$A$5:$A$21,0))="Yes",FALSE),IFERROR(INDEX(INDIRECT("'"&amp;$C2246&amp;"'!$E$56:$Y$56"),1,MATCH($D2246,INDIRECT("'"&amp;$C2246&amp;"'!$E$12:$Y$12"),0)),0)+MAX(IFERROR(INDEX(INDIRECT("'"&amp;$C2246&amp;"'!$E$63:$Y$63"),1,MATCH($D2246,INDIRECT("'"&amp;$C2246&amp;"'!$E$12:$Y$12"),0)),0),0),0)</f>
        <v>122037.85877420189</v>
      </c>
      <c r="I2246" s="366" t="s">
        <v>1685</v>
      </c>
      <c r="J2246" s="348" t="str">
        <f t="shared" ca="1" si="70"/>
        <v>OK</v>
      </c>
      <c r="K2246" s="366" t="s">
        <v>1742</v>
      </c>
      <c r="L2246" s="366" t="s">
        <v>2262</v>
      </c>
      <c r="M2246" s="350" t="str">
        <f>IF($B2246="Portfolio","Portfolio",IFERROR(INDEX(DATA_ASSET_CLASSIFICATION!$B$8:$B$24,MATCH($C2246,DATA_ASSET_CLASSIFICATION!$A$8:$A$24,0)),"Review"))</f>
        <v>Evelyn Estates</v>
      </c>
      <c r="N2246" s="350" t="str">
        <f ca="1">IF($B2246="Portfolio","Portfolio",IFERROR(INDEX(DATA_ASSET_CLASSIFICATION!$U$8:$U$24,MATCH($C2246,DATA_ASSET_CLASSIFICATION!$A$8:$A$24,0)),"Review"))</f>
        <v>Refi Watch</v>
      </c>
      <c r="O2246" s="350" t="str">
        <f ca="1">IF($B2246="Portfolio","Portfolio",IFERROR(INDEX(DATA_ASSET_CLASSIFICATION!$AB$8:$AB$13,MATCH($N2246,DATA_ASSET_CLASSIFICATION!$AA$8:$AA$13,0)),"Review"))</f>
        <v>Bucket 2 · Legacy</v>
      </c>
      <c r="P2246" s="350" t="str">
        <f>IF($B2246="Portfolio","Portfolio",IFERROR(INDEX(DATA_ASSET_CLASSIFICATION!$C$8:$C$24,MATCH($C2246,DATA_ASSET_CLASSIFICATION!$A$8:$A$24,0)),"Review"))</f>
        <v>Yes</v>
      </c>
      <c r="Q2246" s="350" t="str">
        <f t="shared" ca="1" si="71"/>
        <v>OK</v>
      </c>
    </row>
    <row r="2247" spans="1:17">
      <c r="A2247" s="366" t="s">
        <v>4203</v>
      </c>
      <c r="B2247" s="366" t="s">
        <v>231</v>
      </c>
      <c r="C2247" s="348" t="str">
        <f>DATA_PROPERTY_MASTER!$A$11</f>
        <v>BLD_EE</v>
      </c>
      <c r="D2247" s="380">
        <f>'00_PORTFOLIO ROLLUP'!Q$12</f>
        <v>2037</v>
      </c>
      <c r="E2247" s="366" t="s">
        <v>1741</v>
      </c>
      <c r="F2247" s="366" t="s">
        <v>43</v>
      </c>
      <c r="G2247" s="348" t="str">
        <f>"'"&amp;$C2247&amp;"'!$E$68:$Y$68"</f>
        <v>'BLD_EE'!$E$68:$Y$68</v>
      </c>
      <c r="H2247" s="381">
        <f ca="1">IF(IFERROR(INDEX(DATA_PROPERTY_MASTER!$E$5:$E$21,MATCH($C2247,DATA_PROPERTY_MASTER!$A$5:$A$21,0))="Yes",FALSE),IFERROR(INDEX(INDIRECT("'"&amp;$C2247&amp;"'!$E$68:$Y$68"),1,MATCH($D2247,INDIRECT("'"&amp;$C2247&amp;"'!$E$12:$Y$12"),0)),0),0)</f>
        <v>122037.85877420189</v>
      </c>
      <c r="I2247" s="366" t="s">
        <v>1731</v>
      </c>
      <c r="J2247" s="348" t="str">
        <f t="shared" ca="1" si="70"/>
        <v>OK</v>
      </c>
      <c r="K2247" s="366" t="s">
        <v>1746</v>
      </c>
      <c r="L2247" s="366" t="s">
        <v>2264</v>
      </c>
      <c r="M2247" s="350" t="str">
        <f>IF($B2247="Portfolio","Portfolio",IFERROR(INDEX(DATA_ASSET_CLASSIFICATION!$B$8:$B$24,MATCH($C2247,DATA_ASSET_CLASSIFICATION!$A$8:$A$24,0)),"Review"))</f>
        <v>Evelyn Estates</v>
      </c>
      <c r="N2247" s="350" t="str">
        <f ca="1">IF($B2247="Portfolio","Portfolio",IFERROR(INDEX(DATA_ASSET_CLASSIFICATION!$U$8:$U$24,MATCH($C2247,DATA_ASSET_CLASSIFICATION!$A$8:$A$24,0)),"Review"))</f>
        <v>Refi Watch</v>
      </c>
      <c r="O2247" s="350" t="str">
        <f ca="1">IF($B2247="Portfolio","Portfolio",IFERROR(INDEX(DATA_ASSET_CLASSIFICATION!$AB$8:$AB$13,MATCH($N2247,DATA_ASSET_CLASSIFICATION!$AA$8:$AA$13,0)),"Review"))</f>
        <v>Bucket 2 · Legacy</v>
      </c>
      <c r="P2247" s="350" t="str">
        <f>IF($B2247="Portfolio","Portfolio",IFERROR(INDEX(DATA_ASSET_CLASSIFICATION!$C$8:$C$24,MATCH($C2247,DATA_ASSET_CLASSIFICATION!$A$8:$A$24,0)),"Review"))</f>
        <v>Yes</v>
      </c>
      <c r="Q2247" s="350" t="str">
        <f t="shared" ca="1" si="71"/>
        <v>OK</v>
      </c>
    </row>
    <row r="2248" spans="1:17">
      <c r="A2248" s="366" t="s">
        <v>4204</v>
      </c>
      <c r="B2248" s="366" t="s">
        <v>231</v>
      </c>
      <c r="C2248" s="348" t="str">
        <f>DATA_PROPERTY_MASTER!$A$11</f>
        <v>BLD_EE</v>
      </c>
      <c r="D2248" s="380">
        <f>'00_PORTFOLIO ROLLUP'!Q$12</f>
        <v>2037</v>
      </c>
      <c r="E2248" s="366" t="s">
        <v>1741</v>
      </c>
      <c r="F2248" s="366" t="s">
        <v>1749</v>
      </c>
      <c r="G2248" s="348" t="str">
        <f>"'"&amp;$C2248&amp;"'!rows 56, 63, 68"</f>
        <v>'BLD_EE'!rows 56, 63, 68</v>
      </c>
      <c r="H2248" s="381">
        <f ca="1">IF(IFERROR(INDEX(DATA_PROPERTY_MASTER!$E$5:$E$21,MATCH($C2248,DATA_PROPERTY_MASTER!$A$5:$A$21,0))="Yes",FALSE),(IFERROR(INDEX(INDIRECT("'"&amp;$C2248&amp;"'!$E$56:$Y$56"),1,MATCH($D2248,INDIRECT("'"&amp;$C2248&amp;"'!$E$12:$Y$12"),0)),0)+MAX(IFERROR(INDEX(INDIRECT("'"&amp;$C2248&amp;"'!$E$63:$Y$63"),1,MATCH($D2248,INDIRECT("'"&amp;$C2248&amp;"'!$E$12:$Y$12"),0)),0),0))-(IFERROR(INDEX(INDIRECT("'"&amp;$C2248&amp;"'!$E$68:$Y$68"),1,MATCH($D2248,INDIRECT("'"&amp;$C2248&amp;"'!$E$12:$Y$12"),0)),0)),0)</f>
        <v>0</v>
      </c>
      <c r="I2248" s="366" t="s">
        <v>1750</v>
      </c>
      <c r="J2248" s="348" t="str">
        <f t="shared" ca="1" si="70"/>
        <v>OK</v>
      </c>
      <c r="K2248" s="366" t="s">
        <v>1751</v>
      </c>
      <c r="L2248" s="366" t="s">
        <v>2266</v>
      </c>
      <c r="M2248" s="350" t="str">
        <f>IF($B2248="Portfolio","Portfolio",IFERROR(INDEX(DATA_ASSET_CLASSIFICATION!$B$8:$B$24,MATCH($C2248,DATA_ASSET_CLASSIFICATION!$A$8:$A$24,0)),"Review"))</f>
        <v>Evelyn Estates</v>
      </c>
      <c r="N2248" s="350" t="str">
        <f ca="1">IF($B2248="Portfolio","Portfolio",IFERROR(INDEX(DATA_ASSET_CLASSIFICATION!$U$8:$U$24,MATCH($C2248,DATA_ASSET_CLASSIFICATION!$A$8:$A$24,0)),"Review"))</f>
        <v>Refi Watch</v>
      </c>
      <c r="O2248" s="350" t="str">
        <f ca="1">IF($B2248="Portfolio","Portfolio",IFERROR(INDEX(DATA_ASSET_CLASSIFICATION!$AB$8:$AB$13,MATCH($N2248,DATA_ASSET_CLASSIFICATION!$AA$8:$AA$13,0)),"Review"))</f>
        <v>Bucket 2 · Legacy</v>
      </c>
      <c r="P2248" s="350" t="str">
        <f>IF($B2248="Portfolio","Portfolio",IFERROR(INDEX(DATA_ASSET_CLASSIFICATION!$C$8:$C$24,MATCH($C2248,DATA_ASSET_CLASSIFICATION!$A$8:$A$24,0)),"Review"))</f>
        <v>Yes</v>
      </c>
      <c r="Q2248" s="350" t="str">
        <f t="shared" ca="1" si="71"/>
        <v>OK</v>
      </c>
    </row>
    <row r="2249" spans="1:17">
      <c r="A2249" s="366" t="s">
        <v>4205</v>
      </c>
      <c r="B2249" s="366" t="s">
        <v>231</v>
      </c>
      <c r="C2249" s="348" t="str">
        <f>DATA_PROPERTY_MASTER!$A$11</f>
        <v>BLD_EE</v>
      </c>
      <c r="D2249" s="380">
        <f>'00_PORTFOLIO ROLLUP'!R$12</f>
        <v>2038</v>
      </c>
      <c r="E2249" s="366" t="s">
        <v>1683</v>
      </c>
      <c r="F2249" s="366" t="s">
        <v>341</v>
      </c>
      <c r="G2249" s="348" t="str">
        <f>"'"&amp;$C2249&amp;"'!$E$24:$Y$24"</f>
        <v>'BLD_EE'!$E$24:$Y$24</v>
      </c>
      <c r="H2249" s="381">
        <f ca="1">IF(IFERROR(INDEX(DATA_PROPERTY_MASTER!$E$5:$E$21,MATCH($C2249,DATA_PROPERTY_MASTER!$A$5:$A$21,0))="Yes",FALSE),IFERROR(INDEX(INDIRECT("'"&amp;$C2249&amp;"'!$E$24:$Y$24"),1,MATCH($D2249,INDIRECT("'"&amp;$C2249&amp;"'!$E$12:$Y$12"),0)),0),0)</f>
        <v>650422.84727661393</v>
      </c>
      <c r="I2249" s="366" t="s">
        <v>1685</v>
      </c>
      <c r="J2249" s="348" t="str">
        <f t="shared" ca="1" si="70"/>
        <v>OK</v>
      </c>
      <c r="K2249" s="366" t="s">
        <v>1686</v>
      </c>
      <c r="L2249" s="366" t="s">
        <v>2234</v>
      </c>
      <c r="M2249" s="350" t="str">
        <f>IF($B2249="Portfolio","Portfolio",IFERROR(INDEX(DATA_ASSET_CLASSIFICATION!$B$8:$B$24,MATCH($C2249,DATA_ASSET_CLASSIFICATION!$A$8:$A$24,0)),"Review"))</f>
        <v>Evelyn Estates</v>
      </c>
      <c r="N2249" s="350" t="str">
        <f ca="1">IF($B2249="Portfolio","Portfolio",IFERROR(INDEX(DATA_ASSET_CLASSIFICATION!$U$8:$U$24,MATCH($C2249,DATA_ASSET_CLASSIFICATION!$A$8:$A$24,0)),"Review"))</f>
        <v>Refi Watch</v>
      </c>
      <c r="O2249" s="350" t="str">
        <f ca="1">IF($B2249="Portfolio","Portfolio",IFERROR(INDEX(DATA_ASSET_CLASSIFICATION!$AB$8:$AB$13,MATCH($N2249,DATA_ASSET_CLASSIFICATION!$AA$8:$AA$13,0)),"Review"))</f>
        <v>Bucket 2 · Legacy</v>
      </c>
      <c r="P2249" s="350" t="str">
        <f>IF($B2249="Portfolio","Portfolio",IFERROR(INDEX(DATA_ASSET_CLASSIFICATION!$C$8:$C$24,MATCH($C2249,DATA_ASSET_CLASSIFICATION!$A$8:$A$24,0)),"Review"))</f>
        <v>Yes</v>
      </c>
      <c r="Q2249" s="350" t="str">
        <f t="shared" ca="1" si="71"/>
        <v>OK</v>
      </c>
    </row>
    <row r="2250" spans="1:17">
      <c r="A2250" s="366" t="s">
        <v>4206</v>
      </c>
      <c r="B2250" s="366" t="s">
        <v>231</v>
      </c>
      <c r="C2250" s="348" t="str">
        <f>DATA_PROPERTY_MASTER!$A$11</f>
        <v>BLD_EE</v>
      </c>
      <c r="D2250" s="380">
        <f>'00_PORTFOLIO ROLLUP'!R$12</f>
        <v>2038</v>
      </c>
      <c r="E2250" s="366" t="s">
        <v>1683</v>
      </c>
      <c r="F2250" s="366" t="s">
        <v>355</v>
      </c>
      <c r="G2250" s="348" t="str">
        <f>"'"&amp;$C2250&amp;"'!$E$39:$Y$39"</f>
        <v>'BLD_EE'!$E$39:$Y$39</v>
      </c>
      <c r="H2250" s="381">
        <f ca="1">IF(IFERROR(INDEX(DATA_PROPERTY_MASTER!$E$5:$E$21,MATCH($C2250,DATA_PROPERTY_MASTER!$A$5:$A$21,0))="Yes",FALSE),IFERROR(INDEX(INDIRECT("'"&amp;$C2250&amp;"'!$E$39:$Y$39"),1,MATCH($D2250,INDIRECT("'"&amp;$C2250&amp;"'!$E$12:$Y$12"),0)),0),0)</f>
        <v>340889.18145829323</v>
      </c>
      <c r="I2250" s="366" t="s">
        <v>1690</v>
      </c>
      <c r="J2250" s="348" t="str">
        <f t="shared" ca="1" si="70"/>
        <v>OK</v>
      </c>
      <c r="K2250" s="366" t="s">
        <v>1686</v>
      </c>
      <c r="L2250" s="366" t="s">
        <v>2236</v>
      </c>
      <c r="M2250" s="350" t="str">
        <f>IF($B2250="Portfolio","Portfolio",IFERROR(INDEX(DATA_ASSET_CLASSIFICATION!$B$8:$B$24,MATCH($C2250,DATA_ASSET_CLASSIFICATION!$A$8:$A$24,0)),"Review"))</f>
        <v>Evelyn Estates</v>
      </c>
      <c r="N2250" s="350" t="str">
        <f ca="1">IF($B2250="Portfolio","Portfolio",IFERROR(INDEX(DATA_ASSET_CLASSIFICATION!$U$8:$U$24,MATCH($C2250,DATA_ASSET_CLASSIFICATION!$A$8:$A$24,0)),"Review"))</f>
        <v>Refi Watch</v>
      </c>
      <c r="O2250" s="350" t="str">
        <f ca="1">IF($B2250="Portfolio","Portfolio",IFERROR(INDEX(DATA_ASSET_CLASSIFICATION!$AB$8:$AB$13,MATCH($N2250,DATA_ASSET_CLASSIFICATION!$AA$8:$AA$13,0)),"Review"))</f>
        <v>Bucket 2 · Legacy</v>
      </c>
      <c r="P2250" s="350" t="str">
        <f>IF($B2250="Portfolio","Portfolio",IFERROR(INDEX(DATA_ASSET_CLASSIFICATION!$C$8:$C$24,MATCH($C2250,DATA_ASSET_CLASSIFICATION!$A$8:$A$24,0)),"Review"))</f>
        <v>Yes</v>
      </c>
      <c r="Q2250" s="350" t="str">
        <f t="shared" ca="1" si="71"/>
        <v>OK</v>
      </c>
    </row>
    <row r="2251" spans="1:17">
      <c r="A2251" s="366" t="s">
        <v>4207</v>
      </c>
      <c r="B2251" s="366" t="s">
        <v>231</v>
      </c>
      <c r="C2251" s="348" t="str">
        <f>DATA_PROPERTY_MASTER!$A$11</f>
        <v>BLD_EE</v>
      </c>
      <c r="D2251" s="380">
        <f>'00_PORTFOLIO ROLLUP'!R$12</f>
        <v>2038</v>
      </c>
      <c r="E2251" s="366" t="s">
        <v>1683</v>
      </c>
      <c r="F2251" s="366" t="s">
        <v>19</v>
      </c>
      <c r="G2251" s="348" t="str">
        <f>"'"&amp;$C2251&amp;"'!$E$41:$Y$41"</f>
        <v>'BLD_EE'!$E$41:$Y$41</v>
      </c>
      <c r="H2251" s="381">
        <f ca="1">IF(IFERROR(INDEX(DATA_PROPERTY_MASTER!$E$5:$E$21,MATCH($C2251,DATA_PROPERTY_MASTER!$A$5:$A$21,0))="Yes",FALSE),IFERROR(INDEX(INDIRECT("'"&amp;$C2251&amp;"'!$E$41:$Y$41"),1,MATCH($D2251,INDIRECT("'"&amp;$C2251&amp;"'!$E$12:$Y$12"),0)),0),0)</f>
        <v>309533.6658183207</v>
      </c>
      <c r="I2251" s="366" t="s">
        <v>1685</v>
      </c>
      <c r="J2251" s="348" t="str">
        <f t="shared" ca="1" si="70"/>
        <v>OK</v>
      </c>
      <c r="K2251" s="366" t="s">
        <v>1694</v>
      </c>
      <c r="L2251" s="366" t="s">
        <v>2238</v>
      </c>
      <c r="M2251" s="350" t="str">
        <f>IF($B2251="Portfolio","Portfolio",IFERROR(INDEX(DATA_ASSET_CLASSIFICATION!$B$8:$B$24,MATCH($C2251,DATA_ASSET_CLASSIFICATION!$A$8:$A$24,0)),"Review"))</f>
        <v>Evelyn Estates</v>
      </c>
      <c r="N2251" s="350" t="str">
        <f ca="1">IF($B2251="Portfolio","Portfolio",IFERROR(INDEX(DATA_ASSET_CLASSIFICATION!$U$8:$U$24,MATCH($C2251,DATA_ASSET_CLASSIFICATION!$A$8:$A$24,0)),"Review"))</f>
        <v>Refi Watch</v>
      </c>
      <c r="O2251" s="350" t="str">
        <f ca="1">IF($B2251="Portfolio","Portfolio",IFERROR(INDEX(DATA_ASSET_CLASSIFICATION!$AB$8:$AB$13,MATCH($N2251,DATA_ASSET_CLASSIFICATION!$AA$8:$AA$13,0)),"Review"))</f>
        <v>Bucket 2 · Legacy</v>
      </c>
      <c r="P2251" s="350" t="str">
        <f>IF($B2251="Portfolio","Portfolio",IFERROR(INDEX(DATA_ASSET_CLASSIFICATION!$C$8:$C$24,MATCH($C2251,DATA_ASSET_CLASSIFICATION!$A$8:$A$24,0)),"Review"))</f>
        <v>Yes</v>
      </c>
      <c r="Q2251" s="350" t="str">
        <f t="shared" ca="1" si="71"/>
        <v>OK</v>
      </c>
    </row>
    <row r="2252" spans="1:17">
      <c r="A2252" s="366" t="s">
        <v>4208</v>
      </c>
      <c r="B2252" s="366" t="s">
        <v>231</v>
      </c>
      <c r="C2252" s="348" t="str">
        <f>DATA_PROPERTY_MASTER!$A$11</f>
        <v>BLD_EE</v>
      </c>
      <c r="D2252" s="380">
        <f>'00_PORTFOLIO ROLLUP'!R$12</f>
        <v>2038</v>
      </c>
      <c r="E2252" s="366" t="s">
        <v>1683</v>
      </c>
      <c r="F2252" s="366" t="s">
        <v>1697</v>
      </c>
      <c r="G2252" s="348" t="str">
        <f>"'"&amp;$C2252&amp;"'!$E$44:$Y$44"</f>
        <v>'BLD_EE'!$E$44:$Y$44</v>
      </c>
      <c r="H2252" s="381">
        <f ca="1">IF(IFERROR(INDEX(DATA_PROPERTY_MASTER!$E$5:$E$21,MATCH($C2252,DATA_PROPERTY_MASTER!$A$5:$A$21,0))="Yes",FALSE),IFERROR(INDEX(INDIRECT("'"&amp;$C2252&amp;"'!$E$44:$Y$44"),1,MATCH($D2252,INDIRECT("'"&amp;$C2252&amp;"'!$E$12:$Y$12"),0)),0),0)</f>
        <v>6985.4758044504988</v>
      </c>
      <c r="I2252" s="366" t="s">
        <v>1690</v>
      </c>
      <c r="J2252" s="348" t="str">
        <f t="shared" ca="1" si="70"/>
        <v>OK</v>
      </c>
      <c r="K2252" s="366" t="s">
        <v>1699</v>
      </c>
      <c r="L2252" s="366" t="s">
        <v>2240</v>
      </c>
      <c r="M2252" s="350" t="str">
        <f>IF($B2252="Portfolio","Portfolio",IFERROR(INDEX(DATA_ASSET_CLASSIFICATION!$B$8:$B$24,MATCH($C2252,DATA_ASSET_CLASSIFICATION!$A$8:$A$24,0)),"Review"))</f>
        <v>Evelyn Estates</v>
      </c>
      <c r="N2252" s="350" t="str">
        <f ca="1">IF($B2252="Portfolio","Portfolio",IFERROR(INDEX(DATA_ASSET_CLASSIFICATION!$U$8:$U$24,MATCH($C2252,DATA_ASSET_CLASSIFICATION!$A$8:$A$24,0)),"Review"))</f>
        <v>Refi Watch</v>
      </c>
      <c r="O2252" s="350" t="str">
        <f ca="1">IF($B2252="Portfolio","Portfolio",IFERROR(INDEX(DATA_ASSET_CLASSIFICATION!$AB$8:$AB$13,MATCH($N2252,DATA_ASSET_CLASSIFICATION!$AA$8:$AA$13,0)),"Review"))</f>
        <v>Bucket 2 · Legacy</v>
      </c>
      <c r="P2252" s="350" t="str">
        <f>IF($B2252="Portfolio","Portfolio",IFERROR(INDEX(DATA_ASSET_CLASSIFICATION!$C$8:$C$24,MATCH($C2252,DATA_ASSET_CLASSIFICATION!$A$8:$A$24,0)),"Review"))</f>
        <v>Yes</v>
      </c>
      <c r="Q2252" s="350" t="str">
        <f t="shared" ca="1" si="71"/>
        <v>OK</v>
      </c>
    </row>
    <row r="2253" spans="1:17">
      <c r="A2253" s="366" t="s">
        <v>4209</v>
      </c>
      <c r="B2253" s="366" t="s">
        <v>231</v>
      </c>
      <c r="C2253" s="348" t="str">
        <f>DATA_PROPERTY_MASTER!$A$11</f>
        <v>BLD_EE</v>
      </c>
      <c r="D2253" s="380">
        <f>'00_PORTFOLIO ROLLUP'!R$12</f>
        <v>2038</v>
      </c>
      <c r="E2253" s="366" t="s">
        <v>1683</v>
      </c>
      <c r="F2253" s="366" t="s">
        <v>21</v>
      </c>
      <c r="G2253" s="348" t="str">
        <f>"'"&amp;$C2253&amp;"'!$E$45:$Y$45"</f>
        <v>'BLD_EE'!$E$45:$Y$45</v>
      </c>
      <c r="H2253" s="381">
        <f ca="1">IF(IFERROR(INDEX(DATA_PROPERTY_MASTER!$E$5:$E$21,MATCH($C2253,DATA_PROPERTY_MASTER!$A$5:$A$21,0))="Yes",FALSE),IFERROR(INDEX(INDIRECT("'"&amp;$C2253&amp;"'!$E$45:$Y$45"),1,MATCH($D2253,INDIRECT("'"&amp;$C2253&amp;"'!$E$12:$Y$12"),0)),0),0)</f>
        <v>302548.19001387019</v>
      </c>
      <c r="I2253" s="366" t="s">
        <v>1685</v>
      </c>
      <c r="J2253" s="348" t="str">
        <f t="shared" ca="1" si="70"/>
        <v>OK</v>
      </c>
      <c r="K2253" s="366" t="s">
        <v>1694</v>
      </c>
      <c r="L2253" s="366" t="s">
        <v>2242</v>
      </c>
      <c r="M2253" s="350" t="str">
        <f>IF($B2253="Portfolio","Portfolio",IFERROR(INDEX(DATA_ASSET_CLASSIFICATION!$B$8:$B$24,MATCH($C2253,DATA_ASSET_CLASSIFICATION!$A$8:$A$24,0)),"Review"))</f>
        <v>Evelyn Estates</v>
      </c>
      <c r="N2253" s="350" t="str">
        <f ca="1">IF($B2253="Portfolio","Portfolio",IFERROR(INDEX(DATA_ASSET_CLASSIFICATION!$U$8:$U$24,MATCH($C2253,DATA_ASSET_CLASSIFICATION!$A$8:$A$24,0)),"Review"))</f>
        <v>Refi Watch</v>
      </c>
      <c r="O2253" s="350" t="str">
        <f ca="1">IF($B2253="Portfolio","Portfolio",IFERROR(INDEX(DATA_ASSET_CLASSIFICATION!$AB$8:$AB$13,MATCH($N2253,DATA_ASSET_CLASSIFICATION!$AA$8:$AA$13,0)),"Review"))</f>
        <v>Bucket 2 · Legacy</v>
      </c>
      <c r="P2253" s="350" t="str">
        <f>IF($B2253="Portfolio","Portfolio",IFERROR(INDEX(DATA_ASSET_CLASSIFICATION!$C$8:$C$24,MATCH($C2253,DATA_ASSET_CLASSIFICATION!$A$8:$A$24,0)),"Review"))</f>
        <v>Yes</v>
      </c>
      <c r="Q2253" s="350" t="str">
        <f t="shared" ca="1" si="71"/>
        <v>OK</v>
      </c>
    </row>
    <row r="2254" spans="1:17">
      <c r="A2254" s="366" t="s">
        <v>4210</v>
      </c>
      <c r="B2254" s="366" t="s">
        <v>231</v>
      </c>
      <c r="C2254" s="348" t="str">
        <f>DATA_PROPERTY_MASTER!$A$11</f>
        <v>BLD_EE</v>
      </c>
      <c r="D2254" s="380">
        <f>'00_PORTFOLIO ROLLUP'!R$12</f>
        <v>2038</v>
      </c>
      <c r="E2254" s="366" t="s">
        <v>23</v>
      </c>
      <c r="F2254" s="366" t="s">
        <v>23</v>
      </c>
      <c r="G2254" s="348" t="str">
        <f>"'"&amp;$C2254&amp;"'!$E$48:$Y$48"</f>
        <v>'BLD_EE'!$E$48:$Y$48</v>
      </c>
      <c r="H2254" s="381">
        <f ca="1">IF(IFERROR(INDEX(DATA_PROPERTY_MASTER!$E$5:$E$21,MATCH($C2254,DATA_PROPERTY_MASTER!$A$5:$A$21,0))="Yes",FALSE),IFERROR(INDEX(INDIRECT("'"&amp;$C2254&amp;"'!$E$48:$Y$48"),1,MATCH($D2254,INDIRECT("'"&amp;$C2254&amp;"'!$E$12:$Y$12"),0)),0),0)</f>
        <v>0</v>
      </c>
      <c r="I2254" s="366" t="s">
        <v>1690</v>
      </c>
      <c r="J2254" s="348" t="str">
        <f t="shared" ca="1" si="70"/>
        <v>OK</v>
      </c>
      <c r="K2254" s="366" t="s">
        <v>1706</v>
      </c>
      <c r="L2254" s="366" t="s">
        <v>2244</v>
      </c>
      <c r="M2254" s="350" t="str">
        <f>IF($B2254="Portfolio","Portfolio",IFERROR(INDEX(DATA_ASSET_CLASSIFICATION!$B$8:$B$24,MATCH($C2254,DATA_ASSET_CLASSIFICATION!$A$8:$A$24,0)),"Review"))</f>
        <v>Evelyn Estates</v>
      </c>
      <c r="N2254" s="350" t="str">
        <f ca="1">IF($B2254="Portfolio","Portfolio",IFERROR(INDEX(DATA_ASSET_CLASSIFICATION!$U$8:$U$24,MATCH($C2254,DATA_ASSET_CLASSIFICATION!$A$8:$A$24,0)),"Review"))</f>
        <v>Refi Watch</v>
      </c>
      <c r="O2254" s="350" t="str">
        <f ca="1">IF($B2254="Portfolio","Portfolio",IFERROR(INDEX(DATA_ASSET_CLASSIFICATION!$AB$8:$AB$13,MATCH($N2254,DATA_ASSET_CLASSIFICATION!$AA$8:$AA$13,0)),"Review"))</f>
        <v>Bucket 2 · Legacy</v>
      </c>
      <c r="P2254" s="350" t="str">
        <f>IF($B2254="Portfolio","Portfolio",IFERROR(INDEX(DATA_ASSET_CLASSIFICATION!$C$8:$C$24,MATCH($C2254,DATA_ASSET_CLASSIFICATION!$A$8:$A$24,0)),"Review"))</f>
        <v>Yes</v>
      </c>
      <c r="Q2254" s="350" t="str">
        <f t="shared" ca="1" si="71"/>
        <v>OK</v>
      </c>
    </row>
    <row r="2255" spans="1:17">
      <c r="A2255" s="366" t="s">
        <v>4211</v>
      </c>
      <c r="B2255" s="366" t="s">
        <v>231</v>
      </c>
      <c r="C2255" s="348" t="str">
        <f>DATA_PROPERTY_MASTER!$A$11</f>
        <v>BLD_EE</v>
      </c>
      <c r="D2255" s="380">
        <f>'00_PORTFOLIO ROLLUP'!R$12</f>
        <v>2038</v>
      </c>
      <c r="E2255" s="366" t="s">
        <v>1683</v>
      </c>
      <c r="F2255" s="366" t="s">
        <v>25</v>
      </c>
      <c r="G2255" s="348" t="str">
        <f>"'"&amp;$C2255&amp;"'!$E$52:$Y$52"</f>
        <v>'BLD_EE'!$E$52:$Y$52</v>
      </c>
      <c r="H2255" s="381">
        <f ca="1">IF(IFERROR(INDEX(DATA_PROPERTY_MASTER!$E$5:$E$21,MATCH($C2255,DATA_PROPERTY_MASTER!$A$5:$A$21,0))="Yes",FALSE),IFERROR(INDEX(INDIRECT("'"&amp;$C2255&amp;"'!$E$52:$Y$52"),1,MATCH($D2255,INDIRECT("'"&amp;$C2255&amp;"'!$E$12:$Y$12"),0)),0),0)</f>
        <v>309533.6658183207</v>
      </c>
      <c r="I2255" s="366" t="s">
        <v>1685</v>
      </c>
      <c r="J2255" s="348" t="str">
        <f t="shared" ca="1" si="70"/>
        <v>OK</v>
      </c>
      <c r="K2255" s="366" t="s">
        <v>1710</v>
      </c>
      <c r="L2255" s="366" t="s">
        <v>2246</v>
      </c>
      <c r="M2255" s="350" t="str">
        <f>IF($B2255="Portfolio","Portfolio",IFERROR(INDEX(DATA_ASSET_CLASSIFICATION!$B$8:$B$24,MATCH($C2255,DATA_ASSET_CLASSIFICATION!$A$8:$A$24,0)),"Review"))</f>
        <v>Evelyn Estates</v>
      </c>
      <c r="N2255" s="350" t="str">
        <f ca="1">IF($B2255="Portfolio","Portfolio",IFERROR(INDEX(DATA_ASSET_CLASSIFICATION!$U$8:$U$24,MATCH($C2255,DATA_ASSET_CLASSIFICATION!$A$8:$A$24,0)),"Review"))</f>
        <v>Refi Watch</v>
      </c>
      <c r="O2255" s="350" t="str">
        <f ca="1">IF($B2255="Portfolio","Portfolio",IFERROR(INDEX(DATA_ASSET_CLASSIFICATION!$AB$8:$AB$13,MATCH($N2255,DATA_ASSET_CLASSIFICATION!$AA$8:$AA$13,0)),"Review"))</f>
        <v>Bucket 2 · Legacy</v>
      </c>
      <c r="P2255" s="350" t="str">
        <f>IF($B2255="Portfolio","Portfolio",IFERROR(INDEX(DATA_ASSET_CLASSIFICATION!$C$8:$C$24,MATCH($C2255,DATA_ASSET_CLASSIFICATION!$A$8:$A$24,0)),"Review"))</f>
        <v>Yes</v>
      </c>
      <c r="Q2255" s="350" t="str">
        <f t="shared" ca="1" si="71"/>
        <v>OK</v>
      </c>
    </row>
    <row r="2256" spans="1:17">
      <c r="A2256" s="366" t="s">
        <v>4212</v>
      </c>
      <c r="B2256" s="366" t="s">
        <v>231</v>
      </c>
      <c r="C2256" s="348" t="str">
        <f>DATA_PROPERTY_MASTER!$A$11</f>
        <v>BLD_EE</v>
      </c>
      <c r="D2256" s="380">
        <f>'00_PORTFOLIO ROLLUP'!R$12</f>
        <v>2038</v>
      </c>
      <c r="E2256" s="366" t="s">
        <v>1683</v>
      </c>
      <c r="F2256" s="366" t="s">
        <v>27</v>
      </c>
      <c r="G2256" s="348" t="str">
        <f>"'"&amp;$C2256&amp;"'!$E$54:$Y$54"</f>
        <v>'BLD_EE'!$E$54:$Y$54</v>
      </c>
      <c r="H2256" s="381">
        <f ca="1">IF(IFERROR(INDEX(DATA_PROPERTY_MASTER!$E$5:$E$21,MATCH($C2256,DATA_PROPERTY_MASTER!$A$5:$A$21,0))="Yes",FALSE),IFERROR(INDEX(INDIRECT("'"&amp;$C2256&amp;"'!$E$54:$Y$54"),1,MATCH($D2256,INDIRECT("'"&amp;$C2256&amp;"'!$E$12:$Y$12"),0)),0),0)</f>
        <v>185720.19949099241</v>
      </c>
      <c r="I2256" s="366" t="s">
        <v>1690</v>
      </c>
      <c r="J2256" s="348" t="str">
        <f t="shared" ca="1" si="70"/>
        <v>OK</v>
      </c>
      <c r="K2256" s="366" t="s">
        <v>1714</v>
      </c>
      <c r="L2256" s="366" t="s">
        <v>2248</v>
      </c>
      <c r="M2256" s="350" t="str">
        <f>IF($B2256="Portfolio","Portfolio",IFERROR(INDEX(DATA_ASSET_CLASSIFICATION!$B$8:$B$24,MATCH($C2256,DATA_ASSET_CLASSIFICATION!$A$8:$A$24,0)),"Review"))</f>
        <v>Evelyn Estates</v>
      </c>
      <c r="N2256" s="350" t="str">
        <f ca="1">IF($B2256="Portfolio","Portfolio",IFERROR(INDEX(DATA_ASSET_CLASSIFICATION!$U$8:$U$24,MATCH($C2256,DATA_ASSET_CLASSIFICATION!$A$8:$A$24,0)),"Review"))</f>
        <v>Refi Watch</v>
      </c>
      <c r="O2256" s="350" t="str">
        <f ca="1">IF($B2256="Portfolio","Portfolio",IFERROR(INDEX(DATA_ASSET_CLASSIFICATION!$AB$8:$AB$13,MATCH($N2256,DATA_ASSET_CLASSIFICATION!$AA$8:$AA$13,0)),"Review"))</f>
        <v>Bucket 2 · Legacy</v>
      </c>
      <c r="P2256" s="350" t="str">
        <f>IF($B2256="Portfolio","Portfolio",IFERROR(INDEX(DATA_ASSET_CLASSIFICATION!$C$8:$C$24,MATCH($C2256,DATA_ASSET_CLASSIFICATION!$A$8:$A$24,0)),"Review"))</f>
        <v>Yes</v>
      </c>
      <c r="Q2256" s="350" t="str">
        <f t="shared" ca="1" si="71"/>
        <v>OK</v>
      </c>
    </row>
    <row r="2257" spans="1:17">
      <c r="A2257" s="366" t="s">
        <v>4213</v>
      </c>
      <c r="B2257" s="366" t="s">
        <v>231</v>
      </c>
      <c r="C2257" s="348" t="str">
        <f>DATA_PROPERTY_MASTER!$A$11</f>
        <v>BLD_EE</v>
      </c>
      <c r="D2257" s="380">
        <f>'00_PORTFOLIO ROLLUP'!R$12</f>
        <v>2038</v>
      </c>
      <c r="E2257" s="366" t="s">
        <v>1683</v>
      </c>
      <c r="F2257" s="366" t="s">
        <v>29</v>
      </c>
      <c r="G2257" s="348" t="str">
        <f>"'"&amp;$C2257&amp;"'!$E$56:$Y$56"</f>
        <v>'BLD_EE'!$E$56:$Y$56</v>
      </c>
      <c r="H2257" s="381">
        <f ca="1">IF(IFERROR(INDEX(DATA_PROPERTY_MASTER!$E$5:$E$21,MATCH($C2257,DATA_PROPERTY_MASTER!$A$5:$A$21,0))="Yes",FALSE),IFERROR(INDEX(INDIRECT("'"&amp;$C2257&amp;"'!$E$56:$Y$56"),1,MATCH($D2257,INDIRECT("'"&amp;$C2257&amp;"'!$E$12:$Y$12"),0)),0),0)</f>
        <v>123813.46632732829</v>
      </c>
      <c r="I2257" s="366" t="s">
        <v>1685</v>
      </c>
      <c r="J2257" s="348" t="str">
        <f t="shared" ca="1" si="70"/>
        <v>OK</v>
      </c>
      <c r="K2257" s="366" t="s">
        <v>1718</v>
      </c>
      <c r="L2257" s="366" t="s">
        <v>2250</v>
      </c>
      <c r="M2257" s="350" t="str">
        <f>IF($B2257="Portfolio","Portfolio",IFERROR(INDEX(DATA_ASSET_CLASSIFICATION!$B$8:$B$24,MATCH($C2257,DATA_ASSET_CLASSIFICATION!$A$8:$A$24,0)),"Review"))</f>
        <v>Evelyn Estates</v>
      </c>
      <c r="N2257" s="350" t="str">
        <f ca="1">IF($B2257="Portfolio","Portfolio",IFERROR(INDEX(DATA_ASSET_CLASSIFICATION!$U$8:$U$24,MATCH($C2257,DATA_ASSET_CLASSIFICATION!$A$8:$A$24,0)),"Review"))</f>
        <v>Refi Watch</v>
      </c>
      <c r="O2257" s="350" t="str">
        <f ca="1">IF($B2257="Portfolio","Portfolio",IFERROR(INDEX(DATA_ASSET_CLASSIFICATION!$AB$8:$AB$13,MATCH($N2257,DATA_ASSET_CLASSIFICATION!$AA$8:$AA$13,0)),"Review"))</f>
        <v>Bucket 2 · Legacy</v>
      </c>
      <c r="P2257" s="350" t="str">
        <f>IF($B2257="Portfolio","Portfolio",IFERROR(INDEX(DATA_ASSET_CLASSIFICATION!$C$8:$C$24,MATCH($C2257,DATA_ASSET_CLASSIFICATION!$A$8:$A$24,0)),"Review"))</f>
        <v>Yes</v>
      </c>
      <c r="Q2257" s="350" t="str">
        <f t="shared" ca="1" si="71"/>
        <v>OK</v>
      </c>
    </row>
    <row r="2258" spans="1:17">
      <c r="A2258" s="366" t="s">
        <v>4214</v>
      </c>
      <c r="B2258" s="366" t="s">
        <v>231</v>
      </c>
      <c r="C2258" s="348" t="str">
        <f>DATA_PROPERTY_MASTER!$A$11</f>
        <v>BLD_EE</v>
      </c>
      <c r="D2258" s="380">
        <f>'00_PORTFOLIO ROLLUP'!R$12</f>
        <v>2038</v>
      </c>
      <c r="E2258" s="366" t="s">
        <v>1721</v>
      </c>
      <c r="F2258" s="366" t="s">
        <v>31</v>
      </c>
      <c r="G2258" s="348" t="str">
        <f>"'"&amp;$C2258&amp;"'!$E$61:$Y$61"</f>
        <v>'BLD_EE'!$E$61:$Y$61</v>
      </c>
      <c r="H2258" s="381">
        <f ca="1">IF(IFERROR(INDEX(DATA_PROPERTY_MASTER!$E$5:$E$21,MATCH($C2258,DATA_PROPERTY_MASTER!$A$5:$A$21,0))="Yes",FALSE),IFERROR(INDEX(INDIRECT("'"&amp;$C2258&amp;"'!$E$61:$Y$61"),1,MATCH($D2258,INDIRECT("'"&amp;$C2258&amp;"'!$E$12:$Y$12"),0)),0),0)</f>
        <v>0</v>
      </c>
      <c r="I2258" s="366" t="s">
        <v>1690</v>
      </c>
      <c r="J2258" s="348" t="str">
        <f t="shared" ca="1" si="70"/>
        <v>OK</v>
      </c>
      <c r="K2258" s="366" t="s">
        <v>1723</v>
      </c>
      <c r="L2258" s="366" t="s">
        <v>2252</v>
      </c>
      <c r="M2258" s="350" t="str">
        <f>IF($B2258="Portfolio","Portfolio",IFERROR(INDEX(DATA_ASSET_CLASSIFICATION!$B$8:$B$24,MATCH($C2258,DATA_ASSET_CLASSIFICATION!$A$8:$A$24,0)),"Review"))</f>
        <v>Evelyn Estates</v>
      </c>
      <c r="N2258" s="350" t="str">
        <f ca="1">IF($B2258="Portfolio","Portfolio",IFERROR(INDEX(DATA_ASSET_CLASSIFICATION!$U$8:$U$24,MATCH($C2258,DATA_ASSET_CLASSIFICATION!$A$8:$A$24,0)),"Review"))</f>
        <v>Refi Watch</v>
      </c>
      <c r="O2258" s="350" t="str">
        <f ca="1">IF($B2258="Portfolio","Portfolio",IFERROR(INDEX(DATA_ASSET_CLASSIFICATION!$AB$8:$AB$13,MATCH($N2258,DATA_ASSET_CLASSIFICATION!$AA$8:$AA$13,0)),"Review"))</f>
        <v>Bucket 2 · Legacy</v>
      </c>
      <c r="P2258" s="350" t="str">
        <f>IF($B2258="Portfolio","Portfolio",IFERROR(INDEX(DATA_ASSET_CLASSIFICATION!$C$8:$C$24,MATCH($C2258,DATA_ASSET_CLASSIFICATION!$A$8:$A$24,0)),"Review"))</f>
        <v>Yes</v>
      </c>
      <c r="Q2258" s="350" t="str">
        <f t="shared" ca="1" si="71"/>
        <v>OK</v>
      </c>
    </row>
    <row r="2259" spans="1:17">
      <c r="A2259" s="366" t="s">
        <v>4215</v>
      </c>
      <c r="B2259" s="366" t="s">
        <v>231</v>
      </c>
      <c r="C2259" s="348" t="str">
        <f>DATA_PROPERTY_MASTER!$A$11</f>
        <v>BLD_EE</v>
      </c>
      <c r="D2259" s="380">
        <f>'00_PORTFOLIO ROLLUP'!R$12</f>
        <v>2038</v>
      </c>
      <c r="E2259" s="366" t="s">
        <v>1721</v>
      </c>
      <c r="F2259" s="366" t="s">
        <v>33</v>
      </c>
      <c r="G2259" s="348" t="str">
        <f>"'"&amp;$C2259&amp;"'!$E$62:$Y$62"</f>
        <v>'BLD_EE'!$E$62:$Y$62</v>
      </c>
      <c r="H2259" s="381">
        <f ca="1">IF(IFERROR(INDEX(DATA_PROPERTY_MASTER!$E$5:$E$21,MATCH($C2259,DATA_PROPERTY_MASTER!$A$5:$A$21,0))="Yes",FALSE),IFERROR(INDEX(INDIRECT("'"&amp;$C2259&amp;"'!$E$62:$Y$62"),1,MATCH($D2259,INDIRECT("'"&amp;$C2259&amp;"'!$E$12:$Y$12"),0)),0),0)</f>
        <v>0</v>
      </c>
      <c r="I2259" s="366" t="s">
        <v>1685</v>
      </c>
      <c r="J2259" s="348" t="str">
        <f t="shared" ca="1" si="70"/>
        <v>OK</v>
      </c>
      <c r="K2259" s="366" t="s">
        <v>1727</v>
      </c>
      <c r="L2259" s="366" t="s">
        <v>2254</v>
      </c>
      <c r="M2259" s="350" t="str">
        <f>IF($B2259="Portfolio","Portfolio",IFERROR(INDEX(DATA_ASSET_CLASSIFICATION!$B$8:$B$24,MATCH($C2259,DATA_ASSET_CLASSIFICATION!$A$8:$A$24,0)),"Review"))</f>
        <v>Evelyn Estates</v>
      </c>
      <c r="N2259" s="350" t="str">
        <f ca="1">IF($B2259="Portfolio","Portfolio",IFERROR(INDEX(DATA_ASSET_CLASSIFICATION!$U$8:$U$24,MATCH($C2259,DATA_ASSET_CLASSIFICATION!$A$8:$A$24,0)),"Review"))</f>
        <v>Refi Watch</v>
      </c>
      <c r="O2259" s="350" t="str">
        <f ca="1">IF($B2259="Portfolio","Portfolio",IFERROR(INDEX(DATA_ASSET_CLASSIFICATION!$AB$8:$AB$13,MATCH($N2259,DATA_ASSET_CLASSIFICATION!$AA$8:$AA$13,0)),"Review"))</f>
        <v>Bucket 2 · Legacy</v>
      </c>
      <c r="P2259" s="350" t="str">
        <f>IF($B2259="Portfolio","Portfolio",IFERROR(INDEX(DATA_ASSET_CLASSIFICATION!$C$8:$C$24,MATCH($C2259,DATA_ASSET_CLASSIFICATION!$A$8:$A$24,0)),"Review"))</f>
        <v>Yes</v>
      </c>
      <c r="Q2259" s="350" t="str">
        <f t="shared" ca="1" si="71"/>
        <v>OK</v>
      </c>
    </row>
    <row r="2260" spans="1:17">
      <c r="A2260" s="366" t="s">
        <v>4216</v>
      </c>
      <c r="B2260" s="366" t="s">
        <v>231</v>
      </c>
      <c r="C2260" s="348" t="str">
        <f>DATA_PROPERTY_MASTER!$A$11</f>
        <v>BLD_EE</v>
      </c>
      <c r="D2260" s="380">
        <f>'00_PORTFOLIO ROLLUP'!R$12</f>
        <v>2038</v>
      </c>
      <c r="E2260" s="366" t="s">
        <v>1721</v>
      </c>
      <c r="F2260" s="366" t="s">
        <v>35</v>
      </c>
      <c r="G2260" s="348" t="str">
        <f>"'"&amp;$C2260&amp;"'!$E$63:$Y$63"</f>
        <v>'BLD_EE'!$E$63:$Y$63</v>
      </c>
      <c r="H2260" s="381">
        <f ca="1">IF(IFERROR(INDEX(DATA_PROPERTY_MASTER!$E$5:$E$21,MATCH($C2260,DATA_PROPERTY_MASTER!$A$5:$A$21,0))="Yes",FALSE),IFERROR(INDEX(INDIRECT("'"&amp;$C2260&amp;"'!$E$63:$Y$63"),1,MATCH($D2260,INDIRECT("'"&amp;$C2260&amp;"'!$E$12:$Y$12"),0)),0),0)</f>
        <v>0</v>
      </c>
      <c r="I2260" s="366" t="s">
        <v>1731</v>
      </c>
      <c r="J2260" s="348" t="str">
        <f t="shared" ca="1" si="70"/>
        <v>OK</v>
      </c>
      <c r="K2260" s="366" t="s">
        <v>1732</v>
      </c>
      <c r="L2260" s="366" t="s">
        <v>2256</v>
      </c>
      <c r="M2260" s="350" t="str">
        <f>IF($B2260="Portfolio","Portfolio",IFERROR(INDEX(DATA_ASSET_CLASSIFICATION!$B$8:$B$24,MATCH($C2260,DATA_ASSET_CLASSIFICATION!$A$8:$A$24,0)),"Review"))</f>
        <v>Evelyn Estates</v>
      </c>
      <c r="N2260" s="350" t="str">
        <f ca="1">IF($B2260="Portfolio","Portfolio",IFERROR(INDEX(DATA_ASSET_CLASSIFICATION!$U$8:$U$24,MATCH($C2260,DATA_ASSET_CLASSIFICATION!$A$8:$A$24,0)),"Review"))</f>
        <v>Refi Watch</v>
      </c>
      <c r="O2260" s="350" t="str">
        <f ca="1">IF($B2260="Portfolio","Portfolio",IFERROR(INDEX(DATA_ASSET_CLASSIFICATION!$AB$8:$AB$13,MATCH($N2260,DATA_ASSET_CLASSIFICATION!$AA$8:$AA$13,0)),"Review"))</f>
        <v>Bucket 2 · Legacy</v>
      </c>
      <c r="P2260" s="350" t="str">
        <f>IF($B2260="Portfolio","Portfolio",IFERROR(INDEX(DATA_ASSET_CLASSIFICATION!$C$8:$C$24,MATCH($C2260,DATA_ASSET_CLASSIFICATION!$A$8:$A$24,0)),"Review"))</f>
        <v>Yes</v>
      </c>
      <c r="Q2260" s="350" t="str">
        <f t="shared" ca="1" si="71"/>
        <v>OK</v>
      </c>
    </row>
    <row r="2261" spans="1:17">
      <c r="A2261" s="366" t="s">
        <v>4217</v>
      </c>
      <c r="B2261" s="366" t="s">
        <v>231</v>
      </c>
      <c r="C2261" s="348" t="str">
        <f>DATA_PROPERTY_MASTER!$A$11</f>
        <v>BLD_EE</v>
      </c>
      <c r="D2261" s="380">
        <f>'00_PORTFOLIO ROLLUP'!R$12</f>
        <v>2038</v>
      </c>
      <c r="E2261" s="366" t="s">
        <v>1721</v>
      </c>
      <c r="F2261" s="366" t="s">
        <v>37</v>
      </c>
      <c r="G2261" s="348" t="str">
        <f>"'"&amp;$C2261&amp;"'!$E$63:$Y$63"</f>
        <v>'BLD_EE'!$E$63:$Y$63</v>
      </c>
      <c r="H2261" s="381">
        <f ca="1">IF(IFERROR(INDEX(DATA_PROPERTY_MASTER!$E$5:$E$21,MATCH($C2261,DATA_PROPERTY_MASTER!$A$5:$A$21,0))="Yes",FALSE),MAX(IFERROR(INDEX(INDIRECT("'"&amp;$C2261&amp;"'!$E$63:$Y$63"),1,MATCH($D2261,INDIRECT("'"&amp;$C2261&amp;"'!$E$12:$Y$12"),0)),0),0),0)</f>
        <v>0</v>
      </c>
      <c r="I2261" s="366" t="s">
        <v>1685</v>
      </c>
      <c r="J2261" s="348" t="str">
        <f t="shared" ca="1" si="70"/>
        <v>OK</v>
      </c>
      <c r="K2261" s="366" t="s">
        <v>1735</v>
      </c>
      <c r="L2261" s="366" t="s">
        <v>2258</v>
      </c>
      <c r="M2261" s="350" t="str">
        <f>IF($B2261="Portfolio","Portfolio",IFERROR(INDEX(DATA_ASSET_CLASSIFICATION!$B$8:$B$24,MATCH($C2261,DATA_ASSET_CLASSIFICATION!$A$8:$A$24,0)),"Review"))</f>
        <v>Evelyn Estates</v>
      </c>
      <c r="N2261" s="350" t="str">
        <f ca="1">IF($B2261="Portfolio","Portfolio",IFERROR(INDEX(DATA_ASSET_CLASSIFICATION!$U$8:$U$24,MATCH($C2261,DATA_ASSET_CLASSIFICATION!$A$8:$A$24,0)),"Review"))</f>
        <v>Refi Watch</v>
      </c>
      <c r="O2261" s="350" t="str">
        <f ca="1">IF($B2261="Portfolio","Portfolio",IFERROR(INDEX(DATA_ASSET_CLASSIFICATION!$AB$8:$AB$13,MATCH($N2261,DATA_ASSET_CLASSIFICATION!$AA$8:$AA$13,0)),"Review"))</f>
        <v>Bucket 2 · Legacy</v>
      </c>
      <c r="P2261" s="350" t="str">
        <f>IF($B2261="Portfolio","Portfolio",IFERROR(INDEX(DATA_ASSET_CLASSIFICATION!$C$8:$C$24,MATCH($C2261,DATA_ASSET_CLASSIFICATION!$A$8:$A$24,0)),"Review"))</f>
        <v>Yes</v>
      </c>
      <c r="Q2261" s="350" t="str">
        <f t="shared" ca="1" si="71"/>
        <v>OK</v>
      </c>
    </row>
    <row r="2262" spans="1:17">
      <c r="A2262" s="366" t="s">
        <v>4218</v>
      </c>
      <c r="B2262" s="366" t="s">
        <v>231</v>
      </c>
      <c r="C2262" s="348" t="str">
        <f>DATA_PROPERTY_MASTER!$A$11</f>
        <v>BLD_EE</v>
      </c>
      <c r="D2262" s="380">
        <f>'00_PORTFOLIO ROLLUP'!R$12</f>
        <v>2038</v>
      </c>
      <c r="E2262" s="366" t="s">
        <v>1721</v>
      </c>
      <c r="F2262" s="366" t="s">
        <v>39</v>
      </c>
      <c r="G2262" s="348" t="str">
        <f>"'"&amp;$C2262&amp;"'!$E$63:$Y$63"</f>
        <v>'BLD_EE'!$E$63:$Y$63</v>
      </c>
      <c r="H2262" s="381">
        <f ca="1">IF(IFERROR(INDEX(DATA_PROPERTY_MASTER!$E$5:$E$21,MATCH($C2262,DATA_PROPERTY_MASTER!$A$5:$A$21,0))="Yes",FALSE),MAX(-IFERROR(INDEX(INDIRECT("'"&amp;$C2262&amp;"'!$E$63:$Y$63"),1,MATCH($D2262,INDIRECT("'"&amp;$C2262&amp;"'!$E$12:$Y$12"),0)),0),0),0)</f>
        <v>0</v>
      </c>
      <c r="I2262" s="366" t="s">
        <v>1690</v>
      </c>
      <c r="J2262" s="348" t="str">
        <f t="shared" ca="1" si="70"/>
        <v>OK</v>
      </c>
      <c r="K2262" s="366" t="s">
        <v>1738</v>
      </c>
      <c r="L2262" s="366" t="s">
        <v>2260</v>
      </c>
      <c r="M2262" s="350" t="str">
        <f>IF($B2262="Portfolio","Portfolio",IFERROR(INDEX(DATA_ASSET_CLASSIFICATION!$B$8:$B$24,MATCH($C2262,DATA_ASSET_CLASSIFICATION!$A$8:$A$24,0)),"Review"))</f>
        <v>Evelyn Estates</v>
      </c>
      <c r="N2262" s="350" t="str">
        <f ca="1">IF($B2262="Portfolio","Portfolio",IFERROR(INDEX(DATA_ASSET_CLASSIFICATION!$U$8:$U$24,MATCH($C2262,DATA_ASSET_CLASSIFICATION!$A$8:$A$24,0)),"Review"))</f>
        <v>Refi Watch</v>
      </c>
      <c r="O2262" s="350" t="str">
        <f ca="1">IF($B2262="Portfolio","Portfolio",IFERROR(INDEX(DATA_ASSET_CLASSIFICATION!$AB$8:$AB$13,MATCH($N2262,DATA_ASSET_CLASSIFICATION!$AA$8:$AA$13,0)),"Review"))</f>
        <v>Bucket 2 · Legacy</v>
      </c>
      <c r="P2262" s="350" t="str">
        <f>IF($B2262="Portfolio","Portfolio",IFERROR(INDEX(DATA_ASSET_CLASSIFICATION!$C$8:$C$24,MATCH($C2262,DATA_ASSET_CLASSIFICATION!$A$8:$A$24,0)),"Review"))</f>
        <v>Yes</v>
      </c>
      <c r="Q2262" s="350" t="str">
        <f t="shared" ca="1" si="71"/>
        <v>OK</v>
      </c>
    </row>
    <row r="2263" spans="1:17">
      <c r="A2263" s="366" t="s">
        <v>4219</v>
      </c>
      <c r="B2263" s="366" t="s">
        <v>231</v>
      </c>
      <c r="C2263" s="348" t="str">
        <f>DATA_PROPERTY_MASTER!$A$11</f>
        <v>BLD_EE</v>
      </c>
      <c r="D2263" s="380">
        <f>'00_PORTFOLIO ROLLUP'!R$12</f>
        <v>2038</v>
      </c>
      <c r="E2263" s="366" t="s">
        <v>1741</v>
      </c>
      <c r="F2263" s="366" t="s">
        <v>41</v>
      </c>
      <c r="G2263" s="348" t="str">
        <f>"'"&amp;$C2263&amp;"'!rows 56 + positive row 63"</f>
        <v>'BLD_EE'!rows 56 + positive row 63</v>
      </c>
      <c r="H2263" s="381">
        <f ca="1">IF(IFERROR(INDEX(DATA_PROPERTY_MASTER!$E$5:$E$21,MATCH($C2263,DATA_PROPERTY_MASTER!$A$5:$A$21,0))="Yes",FALSE),IFERROR(INDEX(INDIRECT("'"&amp;$C2263&amp;"'!$E$56:$Y$56"),1,MATCH($D2263,INDIRECT("'"&amp;$C2263&amp;"'!$E$12:$Y$12"),0)),0)+MAX(IFERROR(INDEX(INDIRECT("'"&amp;$C2263&amp;"'!$E$63:$Y$63"),1,MATCH($D2263,INDIRECT("'"&amp;$C2263&amp;"'!$E$12:$Y$12"),0)),0),0),0)</f>
        <v>123813.46632732829</v>
      </c>
      <c r="I2263" s="366" t="s">
        <v>1685</v>
      </c>
      <c r="J2263" s="348" t="str">
        <f t="shared" ca="1" si="70"/>
        <v>OK</v>
      </c>
      <c r="K2263" s="366" t="s">
        <v>1742</v>
      </c>
      <c r="L2263" s="366" t="s">
        <v>2262</v>
      </c>
      <c r="M2263" s="350" t="str">
        <f>IF($B2263="Portfolio","Portfolio",IFERROR(INDEX(DATA_ASSET_CLASSIFICATION!$B$8:$B$24,MATCH($C2263,DATA_ASSET_CLASSIFICATION!$A$8:$A$24,0)),"Review"))</f>
        <v>Evelyn Estates</v>
      </c>
      <c r="N2263" s="350" t="str">
        <f ca="1">IF($B2263="Portfolio","Portfolio",IFERROR(INDEX(DATA_ASSET_CLASSIFICATION!$U$8:$U$24,MATCH($C2263,DATA_ASSET_CLASSIFICATION!$A$8:$A$24,0)),"Review"))</f>
        <v>Refi Watch</v>
      </c>
      <c r="O2263" s="350" t="str">
        <f ca="1">IF($B2263="Portfolio","Portfolio",IFERROR(INDEX(DATA_ASSET_CLASSIFICATION!$AB$8:$AB$13,MATCH($N2263,DATA_ASSET_CLASSIFICATION!$AA$8:$AA$13,0)),"Review"))</f>
        <v>Bucket 2 · Legacy</v>
      </c>
      <c r="P2263" s="350" t="str">
        <f>IF($B2263="Portfolio","Portfolio",IFERROR(INDEX(DATA_ASSET_CLASSIFICATION!$C$8:$C$24,MATCH($C2263,DATA_ASSET_CLASSIFICATION!$A$8:$A$24,0)),"Review"))</f>
        <v>Yes</v>
      </c>
      <c r="Q2263" s="350" t="str">
        <f t="shared" ca="1" si="71"/>
        <v>OK</v>
      </c>
    </row>
    <row r="2264" spans="1:17">
      <c r="A2264" s="366" t="s">
        <v>4220</v>
      </c>
      <c r="B2264" s="366" t="s">
        <v>231</v>
      </c>
      <c r="C2264" s="348" t="str">
        <f>DATA_PROPERTY_MASTER!$A$11</f>
        <v>BLD_EE</v>
      </c>
      <c r="D2264" s="380">
        <f>'00_PORTFOLIO ROLLUP'!R$12</f>
        <v>2038</v>
      </c>
      <c r="E2264" s="366" t="s">
        <v>1741</v>
      </c>
      <c r="F2264" s="366" t="s">
        <v>43</v>
      </c>
      <c r="G2264" s="348" t="str">
        <f>"'"&amp;$C2264&amp;"'!$E$68:$Y$68"</f>
        <v>'BLD_EE'!$E$68:$Y$68</v>
      </c>
      <c r="H2264" s="381">
        <f ca="1">IF(IFERROR(INDEX(DATA_PROPERTY_MASTER!$E$5:$E$21,MATCH($C2264,DATA_PROPERTY_MASTER!$A$5:$A$21,0))="Yes",FALSE),IFERROR(INDEX(INDIRECT("'"&amp;$C2264&amp;"'!$E$68:$Y$68"),1,MATCH($D2264,INDIRECT("'"&amp;$C2264&amp;"'!$E$12:$Y$12"),0)),0),0)</f>
        <v>123813.46632732829</v>
      </c>
      <c r="I2264" s="366" t="s">
        <v>1731</v>
      </c>
      <c r="J2264" s="348" t="str">
        <f t="shared" ca="1" si="70"/>
        <v>OK</v>
      </c>
      <c r="K2264" s="366" t="s">
        <v>1746</v>
      </c>
      <c r="L2264" s="366" t="s">
        <v>2264</v>
      </c>
      <c r="M2264" s="350" t="str">
        <f>IF($B2264="Portfolio","Portfolio",IFERROR(INDEX(DATA_ASSET_CLASSIFICATION!$B$8:$B$24,MATCH($C2264,DATA_ASSET_CLASSIFICATION!$A$8:$A$24,0)),"Review"))</f>
        <v>Evelyn Estates</v>
      </c>
      <c r="N2264" s="350" t="str">
        <f ca="1">IF($B2264="Portfolio","Portfolio",IFERROR(INDEX(DATA_ASSET_CLASSIFICATION!$U$8:$U$24,MATCH($C2264,DATA_ASSET_CLASSIFICATION!$A$8:$A$24,0)),"Review"))</f>
        <v>Refi Watch</v>
      </c>
      <c r="O2264" s="350" t="str">
        <f ca="1">IF($B2264="Portfolio","Portfolio",IFERROR(INDEX(DATA_ASSET_CLASSIFICATION!$AB$8:$AB$13,MATCH($N2264,DATA_ASSET_CLASSIFICATION!$AA$8:$AA$13,0)),"Review"))</f>
        <v>Bucket 2 · Legacy</v>
      </c>
      <c r="P2264" s="350" t="str">
        <f>IF($B2264="Portfolio","Portfolio",IFERROR(INDEX(DATA_ASSET_CLASSIFICATION!$C$8:$C$24,MATCH($C2264,DATA_ASSET_CLASSIFICATION!$A$8:$A$24,0)),"Review"))</f>
        <v>Yes</v>
      </c>
      <c r="Q2264" s="350" t="str">
        <f t="shared" ca="1" si="71"/>
        <v>OK</v>
      </c>
    </row>
    <row r="2265" spans="1:17">
      <c r="A2265" s="366" t="s">
        <v>4221</v>
      </c>
      <c r="B2265" s="366" t="s">
        <v>231</v>
      </c>
      <c r="C2265" s="348" t="str">
        <f>DATA_PROPERTY_MASTER!$A$11</f>
        <v>BLD_EE</v>
      </c>
      <c r="D2265" s="380">
        <f>'00_PORTFOLIO ROLLUP'!R$12</f>
        <v>2038</v>
      </c>
      <c r="E2265" s="366" t="s">
        <v>1741</v>
      </c>
      <c r="F2265" s="366" t="s">
        <v>1749</v>
      </c>
      <c r="G2265" s="348" t="str">
        <f>"'"&amp;$C2265&amp;"'!rows 56, 63, 68"</f>
        <v>'BLD_EE'!rows 56, 63, 68</v>
      </c>
      <c r="H2265" s="381">
        <f ca="1">IF(IFERROR(INDEX(DATA_PROPERTY_MASTER!$E$5:$E$21,MATCH($C2265,DATA_PROPERTY_MASTER!$A$5:$A$21,0))="Yes",FALSE),(IFERROR(INDEX(INDIRECT("'"&amp;$C2265&amp;"'!$E$56:$Y$56"),1,MATCH($D2265,INDIRECT("'"&amp;$C2265&amp;"'!$E$12:$Y$12"),0)),0)+MAX(IFERROR(INDEX(INDIRECT("'"&amp;$C2265&amp;"'!$E$63:$Y$63"),1,MATCH($D2265,INDIRECT("'"&amp;$C2265&amp;"'!$E$12:$Y$12"),0)),0),0))-(IFERROR(INDEX(INDIRECT("'"&amp;$C2265&amp;"'!$E$68:$Y$68"),1,MATCH($D2265,INDIRECT("'"&amp;$C2265&amp;"'!$E$12:$Y$12"),0)),0)),0)</f>
        <v>0</v>
      </c>
      <c r="I2265" s="366" t="s">
        <v>1750</v>
      </c>
      <c r="J2265" s="348" t="str">
        <f t="shared" ca="1" si="70"/>
        <v>OK</v>
      </c>
      <c r="K2265" s="366" t="s">
        <v>1751</v>
      </c>
      <c r="L2265" s="366" t="s">
        <v>2266</v>
      </c>
      <c r="M2265" s="350" t="str">
        <f>IF($B2265="Portfolio","Portfolio",IFERROR(INDEX(DATA_ASSET_CLASSIFICATION!$B$8:$B$24,MATCH($C2265,DATA_ASSET_CLASSIFICATION!$A$8:$A$24,0)),"Review"))</f>
        <v>Evelyn Estates</v>
      </c>
      <c r="N2265" s="350" t="str">
        <f ca="1">IF($B2265="Portfolio","Portfolio",IFERROR(INDEX(DATA_ASSET_CLASSIFICATION!$U$8:$U$24,MATCH($C2265,DATA_ASSET_CLASSIFICATION!$A$8:$A$24,0)),"Review"))</f>
        <v>Refi Watch</v>
      </c>
      <c r="O2265" s="350" t="str">
        <f ca="1">IF($B2265="Portfolio","Portfolio",IFERROR(INDEX(DATA_ASSET_CLASSIFICATION!$AB$8:$AB$13,MATCH($N2265,DATA_ASSET_CLASSIFICATION!$AA$8:$AA$13,0)),"Review"))</f>
        <v>Bucket 2 · Legacy</v>
      </c>
      <c r="P2265" s="350" t="str">
        <f>IF($B2265="Portfolio","Portfolio",IFERROR(INDEX(DATA_ASSET_CLASSIFICATION!$C$8:$C$24,MATCH($C2265,DATA_ASSET_CLASSIFICATION!$A$8:$A$24,0)),"Review"))</f>
        <v>Yes</v>
      </c>
      <c r="Q2265" s="350" t="str">
        <f t="shared" ca="1" si="71"/>
        <v>OK</v>
      </c>
    </row>
    <row r="2266" spans="1:17">
      <c r="A2266" s="366" t="s">
        <v>4222</v>
      </c>
      <c r="B2266" s="366" t="s">
        <v>231</v>
      </c>
      <c r="C2266" s="348" t="str">
        <f>DATA_PROPERTY_MASTER!$A$11</f>
        <v>BLD_EE</v>
      </c>
      <c r="D2266" s="380">
        <f>'00_PORTFOLIO ROLLUP'!S$12</f>
        <v>2039</v>
      </c>
      <c r="E2266" s="366" t="s">
        <v>1683</v>
      </c>
      <c r="F2266" s="366" t="s">
        <v>341</v>
      </c>
      <c r="G2266" s="348" t="str">
        <f>"'"&amp;$C2266&amp;"'!$E$24:$Y$24"</f>
        <v>'BLD_EE'!$E$24:$Y$24</v>
      </c>
      <c r="H2266" s="381">
        <f ca="1">IF(IFERROR(INDEX(DATA_PROPERTY_MASTER!$E$5:$E$21,MATCH($C2266,DATA_PROPERTY_MASTER!$A$5:$A$21,0))="Yes",FALSE),IFERROR(INDEX(INDIRECT("'"&amp;$C2266&amp;"'!$E$24:$Y$24"),1,MATCH($D2266,INDIRECT("'"&amp;$C2266&amp;"'!$E$12:$Y$12"),0)),0),0)</f>
        <v>663431.30422214617</v>
      </c>
      <c r="I2266" s="366" t="s">
        <v>1685</v>
      </c>
      <c r="J2266" s="348" t="str">
        <f t="shared" ca="1" si="70"/>
        <v>OK</v>
      </c>
      <c r="K2266" s="366" t="s">
        <v>1686</v>
      </c>
      <c r="L2266" s="366" t="s">
        <v>2234</v>
      </c>
      <c r="M2266" s="350" t="str">
        <f>IF($B2266="Portfolio","Portfolio",IFERROR(INDEX(DATA_ASSET_CLASSIFICATION!$B$8:$B$24,MATCH($C2266,DATA_ASSET_CLASSIFICATION!$A$8:$A$24,0)),"Review"))</f>
        <v>Evelyn Estates</v>
      </c>
      <c r="N2266" s="350" t="str">
        <f ca="1">IF($B2266="Portfolio","Portfolio",IFERROR(INDEX(DATA_ASSET_CLASSIFICATION!$U$8:$U$24,MATCH($C2266,DATA_ASSET_CLASSIFICATION!$A$8:$A$24,0)),"Review"))</f>
        <v>Refi Watch</v>
      </c>
      <c r="O2266" s="350" t="str">
        <f ca="1">IF($B2266="Portfolio","Portfolio",IFERROR(INDEX(DATA_ASSET_CLASSIFICATION!$AB$8:$AB$13,MATCH($N2266,DATA_ASSET_CLASSIFICATION!$AA$8:$AA$13,0)),"Review"))</f>
        <v>Bucket 2 · Legacy</v>
      </c>
      <c r="P2266" s="350" t="str">
        <f>IF($B2266="Portfolio","Portfolio",IFERROR(INDEX(DATA_ASSET_CLASSIFICATION!$C$8:$C$24,MATCH($C2266,DATA_ASSET_CLASSIFICATION!$A$8:$A$24,0)),"Review"))</f>
        <v>Yes</v>
      </c>
      <c r="Q2266" s="350" t="str">
        <f t="shared" ca="1" si="71"/>
        <v>OK</v>
      </c>
    </row>
    <row r="2267" spans="1:17">
      <c r="A2267" s="366" t="s">
        <v>4223</v>
      </c>
      <c r="B2267" s="366" t="s">
        <v>231</v>
      </c>
      <c r="C2267" s="348" t="str">
        <f>DATA_PROPERTY_MASTER!$A$11</f>
        <v>BLD_EE</v>
      </c>
      <c r="D2267" s="380">
        <f>'00_PORTFOLIO ROLLUP'!S$12</f>
        <v>2039</v>
      </c>
      <c r="E2267" s="366" t="s">
        <v>1683</v>
      </c>
      <c r="F2267" s="366" t="s">
        <v>355</v>
      </c>
      <c r="G2267" s="348" t="str">
        <f>"'"&amp;$C2267&amp;"'!$E$39:$Y$39"</f>
        <v>'BLD_EE'!$E$39:$Y$39</v>
      </c>
      <c r="H2267" s="381">
        <f ca="1">IF(IFERROR(INDEX(DATA_PROPERTY_MASTER!$E$5:$E$21,MATCH($C2267,DATA_PROPERTY_MASTER!$A$5:$A$21,0))="Yes",FALSE),IFERROR(INDEX(INDIRECT("'"&amp;$C2267&amp;"'!$E$39:$Y$39"),1,MATCH($D2267,INDIRECT("'"&amp;$C2267&amp;"'!$E$12:$Y$12"),0)),0),0)</f>
        <v>349411.41099475056</v>
      </c>
      <c r="I2267" s="366" t="s">
        <v>1690</v>
      </c>
      <c r="J2267" s="348" t="str">
        <f t="shared" ca="1" si="70"/>
        <v>OK</v>
      </c>
      <c r="K2267" s="366" t="s">
        <v>1686</v>
      </c>
      <c r="L2267" s="366" t="s">
        <v>2236</v>
      </c>
      <c r="M2267" s="350" t="str">
        <f>IF($B2267="Portfolio","Portfolio",IFERROR(INDEX(DATA_ASSET_CLASSIFICATION!$B$8:$B$24,MATCH($C2267,DATA_ASSET_CLASSIFICATION!$A$8:$A$24,0)),"Review"))</f>
        <v>Evelyn Estates</v>
      </c>
      <c r="N2267" s="350" t="str">
        <f ca="1">IF($B2267="Portfolio","Portfolio",IFERROR(INDEX(DATA_ASSET_CLASSIFICATION!$U$8:$U$24,MATCH($C2267,DATA_ASSET_CLASSIFICATION!$A$8:$A$24,0)),"Review"))</f>
        <v>Refi Watch</v>
      </c>
      <c r="O2267" s="350" t="str">
        <f ca="1">IF($B2267="Portfolio","Portfolio",IFERROR(INDEX(DATA_ASSET_CLASSIFICATION!$AB$8:$AB$13,MATCH($N2267,DATA_ASSET_CLASSIFICATION!$AA$8:$AA$13,0)),"Review"))</f>
        <v>Bucket 2 · Legacy</v>
      </c>
      <c r="P2267" s="350" t="str">
        <f>IF($B2267="Portfolio","Portfolio",IFERROR(INDEX(DATA_ASSET_CLASSIFICATION!$C$8:$C$24,MATCH($C2267,DATA_ASSET_CLASSIFICATION!$A$8:$A$24,0)),"Review"))</f>
        <v>Yes</v>
      </c>
      <c r="Q2267" s="350" t="str">
        <f t="shared" ca="1" si="71"/>
        <v>OK</v>
      </c>
    </row>
    <row r="2268" spans="1:17">
      <c r="A2268" s="366" t="s">
        <v>4224</v>
      </c>
      <c r="B2268" s="366" t="s">
        <v>231</v>
      </c>
      <c r="C2268" s="348" t="str">
        <f>DATA_PROPERTY_MASTER!$A$11</f>
        <v>BLD_EE</v>
      </c>
      <c r="D2268" s="380">
        <f>'00_PORTFOLIO ROLLUP'!S$12</f>
        <v>2039</v>
      </c>
      <c r="E2268" s="366" t="s">
        <v>1683</v>
      </c>
      <c r="F2268" s="366" t="s">
        <v>19</v>
      </c>
      <c r="G2268" s="348" t="str">
        <f>"'"&amp;$C2268&amp;"'!$E$41:$Y$41"</f>
        <v>'BLD_EE'!$E$41:$Y$41</v>
      </c>
      <c r="H2268" s="381">
        <f ca="1">IF(IFERROR(INDEX(DATA_PROPERTY_MASTER!$E$5:$E$21,MATCH($C2268,DATA_PROPERTY_MASTER!$A$5:$A$21,0))="Yes",FALSE),IFERROR(INDEX(INDIRECT("'"&amp;$C2268&amp;"'!$E$41:$Y$41"),1,MATCH($D2268,INDIRECT("'"&amp;$C2268&amp;"'!$E$12:$Y$12"),0)),0),0)</f>
        <v>314019.8932273956</v>
      </c>
      <c r="I2268" s="366" t="s">
        <v>1685</v>
      </c>
      <c r="J2268" s="348" t="str">
        <f t="shared" ca="1" si="70"/>
        <v>OK</v>
      </c>
      <c r="K2268" s="366" t="s">
        <v>1694</v>
      </c>
      <c r="L2268" s="366" t="s">
        <v>2238</v>
      </c>
      <c r="M2268" s="350" t="str">
        <f>IF($B2268="Portfolio","Portfolio",IFERROR(INDEX(DATA_ASSET_CLASSIFICATION!$B$8:$B$24,MATCH($C2268,DATA_ASSET_CLASSIFICATION!$A$8:$A$24,0)),"Review"))</f>
        <v>Evelyn Estates</v>
      </c>
      <c r="N2268" s="350" t="str">
        <f ca="1">IF($B2268="Portfolio","Portfolio",IFERROR(INDEX(DATA_ASSET_CLASSIFICATION!$U$8:$U$24,MATCH($C2268,DATA_ASSET_CLASSIFICATION!$A$8:$A$24,0)),"Review"))</f>
        <v>Refi Watch</v>
      </c>
      <c r="O2268" s="350" t="str">
        <f ca="1">IF($B2268="Portfolio","Portfolio",IFERROR(INDEX(DATA_ASSET_CLASSIFICATION!$AB$8:$AB$13,MATCH($N2268,DATA_ASSET_CLASSIFICATION!$AA$8:$AA$13,0)),"Review"))</f>
        <v>Bucket 2 · Legacy</v>
      </c>
      <c r="P2268" s="350" t="str">
        <f>IF($B2268="Portfolio","Portfolio",IFERROR(INDEX(DATA_ASSET_CLASSIFICATION!$C$8:$C$24,MATCH($C2268,DATA_ASSET_CLASSIFICATION!$A$8:$A$24,0)),"Review"))</f>
        <v>Yes</v>
      </c>
      <c r="Q2268" s="350" t="str">
        <f t="shared" ca="1" si="71"/>
        <v>OK</v>
      </c>
    </row>
    <row r="2269" spans="1:17">
      <c r="A2269" s="366" t="s">
        <v>4225</v>
      </c>
      <c r="B2269" s="366" t="s">
        <v>231</v>
      </c>
      <c r="C2269" s="348" t="str">
        <f>DATA_PROPERTY_MASTER!$A$11</f>
        <v>BLD_EE</v>
      </c>
      <c r="D2269" s="380">
        <f>'00_PORTFOLIO ROLLUP'!S$12</f>
        <v>2039</v>
      </c>
      <c r="E2269" s="366" t="s">
        <v>1683</v>
      </c>
      <c r="F2269" s="366" t="s">
        <v>1697</v>
      </c>
      <c r="G2269" s="348" t="str">
        <f>"'"&amp;$C2269&amp;"'!$E$44:$Y$44"</f>
        <v>'BLD_EE'!$E$44:$Y$44</v>
      </c>
      <c r="H2269" s="381">
        <f ca="1">IF(IFERROR(INDEX(DATA_PROPERTY_MASTER!$E$5:$E$21,MATCH($C2269,DATA_PROPERTY_MASTER!$A$5:$A$21,0))="Yes",FALSE),IFERROR(INDEX(INDIRECT("'"&amp;$C2269&amp;"'!$E$44:$Y$44"),1,MATCH($D2269,INDIRECT("'"&amp;$C2269&amp;"'!$E$12:$Y$12"),0)),0),0)</f>
        <v>7125.18532053951</v>
      </c>
      <c r="I2269" s="366" t="s">
        <v>1690</v>
      </c>
      <c r="J2269" s="348" t="str">
        <f t="shared" ca="1" si="70"/>
        <v>OK</v>
      </c>
      <c r="K2269" s="366" t="s">
        <v>1699</v>
      </c>
      <c r="L2269" s="366" t="s">
        <v>2240</v>
      </c>
      <c r="M2269" s="350" t="str">
        <f>IF($B2269="Portfolio","Portfolio",IFERROR(INDEX(DATA_ASSET_CLASSIFICATION!$B$8:$B$24,MATCH($C2269,DATA_ASSET_CLASSIFICATION!$A$8:$A$24,0)),"Review"))</f>
        <v>Evelyn Estates</v>
      </c>
      <c r="N2269" s="350" t="str">
        <f ca="1">IF($B2269="Portfolio","Portfolio",IFERROR(INDEX(DATA_ASSET_CLASSIFICATION!$U$8:$U$24,MATCH($C2269,DATA_ASSET_CLASSIFICATION!$A$8:$A$24,0)),"Review"))</f>
        <v>Refi Watch</v>
      </c>
      <c r="O2269" s="350" t="str">
        <f ca="1">IF($B2269="Portfolio","Portfolio",IFERROR(INDEX(DATA_ASSET_CLASSIFICATION!$AB$8:$AB$13,MATCH($N2269,DATA_ASSET_CLASSIFICATION!$AA$8:$AA$13,0)),"Review"))</f>
        <v>Bucket 2 · Legacy</v>
      </c>
      <c r="P2269" s="350" t="str">
        <f>IF($B2269="Portfolio","Portfolio",IFERROR(INDEX(DATA_ASSET_CLASSIFICATION!$C$8:$C$24,MATCH($C2269,DATA_ASSET_CLASSIFICATION!$A$8:$A$24,0)),"Review"))</f>
        <v>Yes</v>
      </c>
      <c r="Q2269" s="350" t="str">
        <f t="shared" ca="1" si="71"/>
        <v>OK</v>
      </c>
    </row>
    <row r="2270" spans="1:17">
      <c r="A2270" s="366" t="s">
        <v>4226</v>
      </c>
      <c r="B2270" s="366" t="s">
        <v>231</v>
      </c>
      <c r="C2270" s="348" t="str">
        <f>DATA_PROPERTY_MASTER!$A$11</f>
        <v>BLD_EE</v>
      </c>
      <c r="D2270" s="380">
        <f>'00_PORTFOLIO ROLLUP'!S$12</f>
        <v>2039</v>
      </c>
      <c r="E2270" s="366" t="s">
        <v>1683</v>
      </c>
      <c r="F2270" s="366" t="s">
        <v>21</v>
      </c>
      <c r="G2270" s="348" t="str">
        <f>"'"&amp;$C2270&amp;"'!$E$45:$Y$45"</f>
        <v>'BLD_EE'!$E$45:$Y$45</v>
      </c>
      <c r="H2270" s="381">
        <f ca="1">IF(IFERROR(INDEX(DATA_PROPERTY_MASTER!$E$5:$E$21,MATCH($C2270,DATA_PROPERTY_MASTER!$A$5:$A$21,0))="Yes",FALSE),IFERROR(INDEX(INDIRECT("'"&amp;$C2270&amp;"'!$E$45:$Y$45"),1,MATCH($D2270,INDIRECT("'"&amp;$C2270&amp;"'!$E$12:$Y$12"),0)),0),0)</f>
        <v>306894.70790685609</v>
      </c>
      <c r="I2270" s="366" t="s">
        <v>1685</v>
      </c>
      <c r="J2270" s="348" t="str">
        <f t="shared" ca="1" si="70"/>
        <v>OK</v>
      </c>
      <c r="K2270" s="366" t="s">
        <v>1694</v>
      </c>
      <c r="L2270" s="366" t="s">
        <v>2242</v>
      </c>
      <c r="M2270" s="350" t="str">
        <f>IF($B2270="Portfolio","Portfolio",IFERROR(INDEX(DATA_ASSET_CLASSIFICATION!$B$8:$B$24,MATCH($C2270,DATA_ASSET_CLASSIFICATION!$A$8:$A$24,0)),"Review"))</f>
        <v>Evelyn Estates</v>
      </c>
      <c r="N2270" s="350" t="str">
        <f ca="1">IF($B2270="Portfolio","Portfolio",IFERROR(INDEX(DATA_ASSET_CLASSIFICATION!$U$8:$U$24,MATCH($C2270,DATA_ASSET_CLASSIFICATION!$A$8:$A$24,0)),"Review"))</f>
        <v>Refi Watch</v>
      </c>
      <c r="O2270" s="350" t="str">
        <f ca="1">IF($B2270="Portfolio","Portfolio",IFERROR(INDEX(DATA_ASSET_CLASSIFICATION!$AB$8:$AB$13,MATCH($N2270,DATA_ASSET_CLASSIFICATION!$AA$8:$AA$13,0)),"Review"))</f>
        <v>Bucket 2 · Legacy</v>
      </c>
      <c r="P2270" s="350" t="str">
        <f>IF($B2270="Portfolio","Portfolio",IFERROR(INDEX(DATA_ASSET_CLASSIFICATION!$C$8:$C$24,MATCH($C2270,DATA_ASSET_CLASSIFICATION!$A$8:$A$24,0)),"Review"))</f>
        <v>Yes</v>
      </c>
      <c r="Q2270" s="350" t="str">
        <f t="shared" ca="1" si="71"/>
        <v>OK</v>
      </c>
    </row>
    <row r="2271" spans="1:17">
      <c r="A2271" s="366" t="s">
        <v>4227</v>
      </c>
      <c r="B2271" s="366" t="s">
        <v>231</v>
      </c>
      <c r="C2271" s="348" t="str">
        <f>DATA_PROPERTY_MASTER!$A$11</f>
        <v>BLD_EE</v>
      </c>
      <c r="D2271" s="380">
        <f>'00_PORTFOLIO ROLLUP'!S$12</f>
        <v>2039</v>
      </c>
      <c r="E2271" s="366" t="s">
        <v>23</v>
      </c>
      <c r="F2271" s="366" t="s">
        <v>23</v>
      </c>
      <c r="G2271" s="348" t="str">
        <f>"'"&amp;$C2271&amp;"'!$E$48:$Y$48"</f>
        <v>'BLD_EE'!$E$48:$Y$48</v>
      </c>
      <c r="H2271" s="381">
        <f ca="1">IF(IFERROR(INDEX(DATA_PROPERTY_MASTER!$E$5:$E$21,MATCH($C2271,DATA_PROPERTY_MASTER!$A$5:$A$21,0))="Yes",FALSE),IFERROR(INDEX(INDIRECT("'"&amp;$C2271&amp;"'!$E$48:$Y$48"),1,MATCH($D2271,INDIRECT("'"&amp;$C2271&amp;"'!$E$12:$Y$12"),0)),0),0)</f>
        <v>0</v>
      </c>
      <c r="I2271" s="366" t="s">
        <v>1690</v>
      </c>
      <c r="J2271" s="348" t="str">
        <f t="shared" ca="1" si="70"/>
        <v>OK</v>
      </c>
      <c r="K2271" s="366" t="s">
        <v>1706</v>
      </c>
      <c r="L2271" s="366" t="s">
        <v>2244</v>
      </c>
      <c r="M2271" s="350" t="str">
        <f>IF($B2271="Portfolio","Portfolio",IFERROR(INDEX(DATA_ASSET_CLASSIFICATION!$B$8:$B$24,MATCH($C2271,DATA_ASSET_CLASSIFICATION!$A$8:$A$24,0)),"Review"))</f>
        <v>Evelyn Estates</v>
      </c>
      <c r="N2271" s="350" t="str">
        <f ca="1">IF($B2271="Portfolio","Portfolio",IFERROR(INDEX(DATA_ASSET_CLASSIFICATION!$U$8:$U$24,MATCH($C2271,DATA_ASSET_CLASSIFICATION!$A$8:$A$24,0)),"Review"))</f>
        <v>Refi Watch</v>
      </c>
      <c r="O2271" s="350" t="str">
        <f ca="1">IF($B2271="Portfolio","Portfolio",IFERROR(INDEX(DATA_ASSET_CLASSIFICATION!$AB$8:$AB$13,MATCH($N2271,DATA_ASSET_CLASSIFICATION!$AA$8:$AA$13,0)),"Review"))</f>
        <v>Bucket 2 · Legacy</v>
      </c>
      <c r="P2271" s="350" t="str">
        <f>IF($B2271="Portfolio","Portfolio",IFERROR(INDEX(DATA_ASSET_CLASSIFICATION!$C$8:$C$24,MATCH($C2271,DATA_ASSET_CLASSIFICATION!$A$8:$A$24,0)),"Review"))</f>
        <v>Yes</v>
      </c>
      <c r="Q2271" s="350" t="str">
        <f t="shared" ca="1" si="71"/>
        <v>OK</v>
      </c>
    </row>
    <row r="2272" spans="1:17">
      <c r="A2272" s="366" t="s">
        <v>4228</v>
      </c>
      <c r="B2272" s="366" t="s">
        <v>231</v>
      </c>
      <c r="C2272" s="348" t="str">
        <f>DATA_PROPERTY_MASTER!$A$11</f>
        <v>BLD_EE</v>
      </c>
      <c r="D2272" s="380">
        <f>'00_PORTFOLIO ROLLUP'!S$12</f>
        <v>2039</v>
      </c>
      <c r="E2272" s="366" t="s">
        <v>1683</v>
      </c>
      <c r="F2272" s="366" t="s">
        <v>25</v>
      </c>
      <c r="G2272" s="348" t="str">
        <f>"'"&amp;$C2272&amp;"'!$E$52:$Y$52"</f>
        <v>'BLD_EE'!$E$52:$Y$52</v>
      </c>
      <c r="H2272" s="381">
        <f ca="1">IF(IFERROR(INDEX(DATA_PROPERTY_MASTER!$E$5:$E$21,MATCH($C2272,DATA_PROPERTY_MASTER!$A$5:$A$21,0))="Yes",FALSE),IFERROR(INDEX(INDIRECT("'"&amp;$C2272&amp;"'!$E$52:$Y$52"),1,MATCH($D2272,INDIRECT("'"&amp;$C2272&amp;"'!$E$12:$Y$12"),0)),0),0)</f>
        <v>314019.8932273956</v>
      </c>
      <c r="I2272" s="366" t="s">
        <v>1685</v>
      </c>
      <c r="J2272" s="348" t="str">
        <f t="shared" ca="1" si="70"/>
        <v>OK</v>
      </c>
      <c r="K2272" s="366" t="s">
        <v>1710</v>
      </c>
      <c r="L2272" s="366" t="s">
        <v>2246</v>
      </c>
      <c r="M2272" s="350" t="str">
        <f>IF($B2272="Portfolio","Portfolio",IFERROR(INDEX(DATA_ASSET_CLASSIFICATION!$B$8:$B$24,MATCH($C2272,DATA_ASSET_CLASSIFICATION!$A$8:$A$24,0)),"Review"))</f>
        <v>Evelyn Estates</v>
      </c>
      <c r="N2272" s="350" t="str">
        <f ca="1">IF($B2272="Portfolio","Portfolio",IFERROR(INDEX(DATA_ASSET_CLASSIFICATION!$U$8:$U$24,MATCH($C2272,DATA_ASSET_CLASSIFICATION!$A$8:$A$24,0)),"Review"))</f>
        <v>Refi Watch</v>
      </c>
      <c r="O2272" s="350" t="str">
        <f ca="1">IF($B2272="Portfolio","Portfolio",IFERROR(INDEX(DATA_ASSET_CLASSIFICATION!$AB$8:$AB$13,MATCH($N2272,DATA_ASSET_CLASSIFICATION!$AA$8:$AA$13,0)),"Review"))</f>
        <v>Bucket 2 · Legacy</v>
      </c>
      <c r="P2272" s="350" t="str">
        <f>IF($B2272="Portfolio","Portfolio",IFERROR(INDEX(DATA_ASSET_CLASSIFICATION!$C$8:$C$24,MATCH($C2272,DATA_ASSET_CLASSIFICATION!$A$8:$A$24,0)),"Review"))</f>
        <v>Yes</v>
      </c>
      <c r="Q2272" s="350" t="str">
        <f t="shared" ca="1" si="71"/>
        <v>OK</v>
      </c>
    </row>
    <row r="2273" spans="1:17">
      <c r="A2273" s="366" t="s">
        <v>4229</v>
      </c>
      <c r="B2273" s="366" t="s">
        <v>231</v>
      </c>
      <c r="C2273" s="348" t="str">
        <f>DATA_PROPERTY_MASTER!$A$11</f>
        <v>BLD_EE</v>
      </c>
      <c r="D2273" s="380">
        <f>'00_PORTFOLIO ROLLUP'!S$12</f>
        <v>2039</v>
      </c>
      <c r="E2273" s="366" t="s">
        <v>1683</v>
      </c>
      <c r="F2273" s="366" t="s">
        <v>27</v>
      </c>
      <c r="G2273" s="348" t="str">
        <f>"'"&amp;$C2273&amp;"'!$E$54:$Y$54"</f>
        <v>'BLD_EE'!$E$54:$Y$54</v>
      </c>
      <c r="H2273" s="381">
        <f ca="1">IF(IFERROR(INDEX(DATA_PROPERTY_MASTER!$E$5:$E$21,MATCH($C2273,DATA_PROPERTY_MASTER!$A$5:$A$21,0))="Yes",FALSE),IFERROR(INDEX(INDIRECT("'"&amp;$C2273&amp;"'!$E$54:$Y$54"),1,MATCH($D2273,INDIRECT("'"&amp;$C2273&amp;"'!$E$12:$Y$12"),0)),0),0)</f>
        <v>188411.93593643737</v>
      </c>
      <c r="I2273" s="366" t="s">
        <v>1690</v>
      </c>
      <c r="J2273" s="348" t="str">
        <f t="shared" ca="1" si="70"/>
        <v>OK</v>
      </c>
      <c r="K2273" s="366" t="s">
        <v>1714</v>
      </c>
      <c r="L2273" s="366" t="s">
        <v>2248</v>
      </c>
      <c r="M2273" s="350" t="str">
        <f>IF($B2273="Portfolio","Portfolio",IFERROR(INDEX(DATA_ASSET_CLASSIFICATION!$B$8:$B$24,MATCH($C2273,DATA_ASSET_CLASSIFICATION!$A$8:$A$24,0)),"Review"))</f>
        <v>Evelyn Estates</v>
      </c>
      <c r="N2273" s="350" t="str">
        <f ca="1">IF($B2273="Portfolio","Portfolio",IFERROR(INDEX(DATA_ASSET_CLASSIFICATION!$U$8:$U$24,MATCH($C2273,DATA_ASSET_CLASSIFICATION!$A$8:$A$24,0)),"Review"))</f>
        <v>Refi Watch</v>
      </c>
      <c r="O2273" s="350" t="str">
        <f ca="1">IF($B2273="Portfolio","Portfolio",IFERROR(INDEX(DATA_ASSET_CLASSIFICATION!$AB$8:$AB$13,MATCH($N2273,DATA_ASSET_CLASSIFICATION!$AA$8:$AA$13,0)),"Review"))</f>
        <v>Bucket 2 · Legacy</v>
      </c>
      <c r="P2273" s="350" t="str">
        <f>IF($B2273="Portfolio","Portfolio",IFERROR(INDEX(DATA_ASSET_CLASSIFICATION!$C$8:$C$24,MATCH($C2273,DATA_ASSET_CLASSIFICATION!$A$8:$A$24,0)),"Review"))</f>
        <v>Yes</v>
      </c>
      <c r="Q2273" s="350" t="str">
        <f t="shared" ca="1" si="71"/>
        <v>OK</v>
      </c>
    </row>
    <row r="2274" spans="1:17">
      <c r="A2274" s="366" t="s">
        <v>4230</v>
      </c>
      <c r="B2274" s="366" t="s">
        <v>231</v>
      </c>
      <c r="C2274" s="348" t="str">
        <f>DATA_PROPERTY_MASTER!$A$11</f>
        <v>BLD_EE</v>
      </c>
      <c r="D2274" s="380">
        <f>'00_PORTFOLIO ROLLUP'!S$12</f>
        <v>2039</v>
      </c>
      <c r="E2274" s="366" t="s">
        <v>1683</v>
      </c>
      <c r="F2274" s="366" t="s">
        <v>29</v>
      </c>
      <c r="G2274" s="348" t="str">
        <f>"'"&amp;$C2274&amp;"'!$E$56:$Y$56"</f>
        <v>'BLD_EE'!$E$56:$Y$56</v>
      </c>
      <c r="H2274" s="381">
        <f ca="1">IF(IFERROR(INDEX(DATA_PROPERTY_MASTER!$E$5:$E$21,MATCH($C2274,DATA_PROPERTY_MASTER!$A$5:$A$21,0))="Yes",FALSE),IFERROR(INDEX(INDIRECT("'"&amp;$C2274&amp;"'!$E$56:$Y$56"),1,MATCH($D2274,INDIRECT("'"&amp;$C2274&amp;"'!$E$12:$Y$12"),0)),0),0)</f>
        <v>125607.95729095823</v>
      </c>
      <c r="I2274" s="366" t="s">
        <v>1685</v>
      </c>
      <c r="J2274" s="348" t="str">
        <f t="shared" ca="1" si="70"/>
        <v>OK</v>
      </c>
      <c r="K2274" s="366" t="s">
        <v>1718</v>
      </c>
      <c r="L2274" s="366" t="s">
        <v>2250</v>
      </c>
      <c r="M2274" s="350" t="str">
        <f>IF($B2274="Portfolio","Portfolio",IFERROR(INDEX(DATA_ASSET_CLASSIFICATION!$B$8:$B$24,MATCH($C2274,DATA_ASSET_CLASSIFICATION!$A$8:$A$24,0)),"Review"))</f>
        <v>Evelyn Estates</v>
      </c>
      <c r="N2274" s="350" t="str">
        <f ca="1">IF($B2274="Portfolio","Portfolio",IFERROR(INDEX(DATA_ASSET_CLASSIFICATION!$U$8:$U$24,MATCH($C2274,DATA_ASSET_CLASSIFICATION!$A$8:$A$24,0)),"Review"))</f>
        <v>Refi Watch</v>
      </c>
      <c r="O2274" s="350" t="str">
        <f ca="1">IF($B2274="Portfolio","Portfolio",IFERROR(INDEX(DATA_ASSET_CLASSIFICATION!$AB$8:$AB$13,MATCH($N2274,DATA_ASSET_CLASSIFICATION!$AA$8:$AA$13,0)),"Review"))</f>
        <v>Bucket 2 · Legacy</v>
      </c>
      <c r="P2274" s="350" t="str">
        <f>IF($B2274="Portfolio","Portfolio",IFERROR(INDEX(DATA_ASSET_CLASSIFICATION!$C$8:$C$24,MATCH($C2274,DATA_ASSET_CLASSIFICATION!$A$8:$A$24,0)),"Review"))</f>
        <v>Yes</v>
      </c>
      <c r="Q2274" s="350" t="str">
        <f t="shared" ca="1" si="71"/>
        <v>OK</v>
      </c>
    </row>
    <row r="2275" spans="1:17">
      <c r="A2275" s="366" t="s">
        <v>4231</v>
      </c>
      <c r="B2275" s="366" t="s">
        <v>231</v>
      </c>
      <c r="C2275" s="348" t="str">
        <f>DATA_PROPERTY_MASTER!$A$11</f>
        <v>BLD_EE</v>
      </c>
      <c r="D2275" s="380">
        <f>'00_PORTFOLIO ROLLUP'!S$12</f>
        <v>2039</v>
      </c>
      <c r="E2275" s="366" t="s">
        <v>1721</v>
      </c>
      <c r="F2275" s="366" t="s">
        <v>31</v>
      </c>
      <c r="G2275" s="348" t="str">
        <f>"'"&amp;$C2275&amp;"'!$E$61:$Y$61"</f>
        <v>'BLD_EE'!$E$61:$Y$61</v>
      </c>
      <c r="H2275" s="381">
        <f ca="1">IF(IFERROR(INDEX(DATA_PROPERTY_MASTER!$E$5:$E$21,MATCH($C2275,DATA_PROPERTY_MASTER!$A$5:$A$21,0))="Yes",FALSE),IFERROR(INDEX(INDIRECT("'"&amp;$C2275&amp;"'!$E$61:$Y$61"),1,MATCH($D2275,INDIRECT("'"&amp;$C2275&amp;"'!$E$12:$Y$12"),0)),0),0)</f>
        <v>0</v>
      </c>
      <c r="I2275" s="366" t="s">
        <v>1690</v>
      </c>
      <c r="J2275" s="348" t="str">
        <f t="shared" ca="1" si="70"/>
        <v>OK</v>
      </c>
      <c r="K2275" s="366" t="s">
        <v>1723</v>
      </c>
      <c r="L2275" s="366" t="s">
        <v>2252</v>
      </c>
      <c r="M2275" s="350" t="str">
        <f>IF($B2275="Portfolio","Portfolio",IFERROR(INDEX(DATA_ASSET_CLASSIFICATION!$B$8:$B$24,MATCH($C2275,DATA_ASSET_CLASSIFICATION!$A$8:$A$24,0)),"Review"))</f>
        <v>Evelyn Estates</v>
      </c>
      <c r="N2275" s="350" t="str">
        <f ca="1">IF($B2275="Portfolio","Portfolio",IFERROR(INDEX(DATA_ASSET_CLASSIFICATION!$U$8:$U$24,MATCH($C2275,DATA_ASSET_CLASSIFICATION!$A$8:$A$24,0)),"Review"))</f>
        <v>Refi Watch</v>
      </c>
      <c r="O2275" s="350" t="str">
        <f ca="1">IF($B2275="Portfolio","Portfolio",IFERROR(INDEX(DATA_ASSET_CLASSIFICATION!$AB$8:$AB$13,MATCH($N2275,DATA_ASSET_CLASSIFICATION!$AA$8:$AA$13,0)),"Review"))</f>
        <v>Bucket 2 · Legacy</v>
      </c>
      <c r="P2275" s="350" t="str">
        <f>IF($B2275="Portfolio","Portfolio",IFERROR(INDEX(DATA_ASSET_CLASSIFICATION!$C$8:$C$24,MATCH($C2275,DATA_ASSET_CLASSIFICATION!$A$8:$A$24,0)),"Review"))</f>
        <v>Yes</v>
      </c>
      <c r="Q2275" s="350" t="str">
        <f t="shared" ca="1" si="71"/>
        <v>OK</v>
      </c>
    </row>
    <row r="2276" spans="1:17">
      <c r="A2276" s="366" t="s">
        <v>4232</v>
      </c>
      <c r="B2276" s="366" t="s">
        <v>231</v>
      </c>
      <c r="C2276" s="348" t="str">
        <f>DATA_PROPERTY_MASTER!$A$11</f>
        <v>BLD_EE</v>
      </c>
      <c r="D2276" s="380">
        <f>'00_PORTFOLIO ROLLUP'!S$12</f>
        <v>2039</v>
      </c>
      <c r="E2276" s="366" t="s">
        <v>1721</v>
      </c>
      <c r="F2276" s="366" t="s">
        <v>33</v>
      </c>
      <c r="G2276" s="348" t="str">
        <f>"'"&amp;$C2276&amp;"'!$E$62:$Y$62"</f>
        <v>'BLD_EE'!$E$62:$Y$62</v>
      </c>
      <c r="H2276" s="381">
        <f ca="1">IF(IFERROR(INDEX(DATA_PROPERTY_MASTER!$E$5:$E$21,MATCH($C2276,DATA_PROPERTY_MASTER!$A$5:$A$21,0))="Yes",FALSE),IFERROR(INDEX(INDIRECT("'"&amp;$C2276&amp;"'!$E$62:$Y$62"),1,MATCH($D2276,INDIRECT("'"&amp;$C2276&amp;"'!$E$12:$Y$12"),0)),0),0)</f>
        <v>0</v>
      </c>
      <c r="I2276" s="366" t="s">
        <v>1685</v>
      </c>
      <c r="J2276" s="348" t="str">
        <f t="shared" ca="1" si="70"/>
        <v>OK</v>
      </c>
      <c r="K2276" s="366" t="s">
        <v>1727</v>
      </c>
      <c r="L2276" s="366" t="s">
        <v>2254</v>
      </c>
      <c r="M2276" s="350" t="str">
        <f>IF($B2276="Portfolio","Portfolio",IFERROR(INDEX(DATA_ASSET_CLASSIFICATION!$B$8:$B$24,MATCH($C2276,DATA_ASSET_CLASSIFICATION!$A$8:$A$24,0)),"Review"))</f>
        <v>Evelyn Estates</v>
      </c>
      <c r="N2276" s="350" t="str">
        <f ca="1">IF($B2276="Portfolio","Portfolio",IFERROR(INDEX(DATA_ASSET_CLASSIFICATION!$U$8:$U$24,MATCH($C2276,DATA_ASSET_CLASSIFICATION!$A$8:$A$24,0)),"Review"))</f>
        <v>Refi Watch</v>
      </c>
      <c r="O2276" s="350" t="str">
        <f ca="1">IF($B2276="Portfolio","Portfolio",IFERROR(INDEX(DATA_ASSET_CLASSIFICATION!$AB$8:$AB$13,MATCH($N2276,DATA_ASSET_CLASSIFICATION!$AA$8:$AA$13,0)),"Review"))</f>
        <v>Bucket 2 · Legacy</v>
      </c>
      <c r="P2276" s="350" t="str">
        <f>IF($B2276="Portfolio","Portfolio",IFERROR(INDEX(DATA_ASSET_CLASSIFICATION!$C$8:$C$24,MATCH($C2276,DATA_ASSET_CLASSIFICATION!$A$8:$A$24,0)),"Review"))</f>
        <v>Yes</v>
      </c>
      <c r="Q2276" s="350" t="str">
        <f t="shared" ca="1" si="71"/>
        <v>OK</v>
      </c>
    </row>
    <row r="2277" spans="1:17">
      <c r="A2277" s="366" t="s">
        <v>4233</v>
      </c>
      <c r="B2277" s="366" t="s">
        <v>231</v>
      </c>
      <c r="C2277" s="348" t="str">
        <f>DATA_PROPERTY_MASTER!$A$11</f>
        <v>BLD_EE</v>
      </c>
      <c r="D2277" s="380">
        <f>'00_PORTFOLIO ROLLUP'!S$12</f>
        <v>2039</v>
      </c>
      <c r="E2277" s="366" t="s">
        <v>1721</v>
      </c>
      <c r="F2277" s="366" t="s">
        <v>35</v>
      </c>
      <c r="G2277" s="348" t="str">
        <f>"'"&amp;$C2277&amp;"'!$E$63:$Y$63"</f>
        <v>'BLD_EE'!$E$63:$Y$63</v>
      </c>
      <c r="H2277" s="381">
        <f ca="1">IF(IFERROR(INDEX(DATA_PROPERTY_MASTER!$E$5:$E$21,MATCH($C2277,DATA_PROPERTY_MASTER!$A$5:$A$21,0))="Yes",FALSE),IFERROR(INDEX(INDIRECT("'"&amp;$C2277&amp;"'!$E$63:$Y$63"),1,MATCH($D2277,INDIRECT("'"&amp;$C2277&amp;"'!$E$12:$Y$12"),0)),0),0)</f>
        <v>0</v>
      </c>
      <c r="I2277" s="366" t="s">
        <v>1731</v>
      </c>
      <c r="J2277" s="348" t="str">
        <f t="shared" ca="1" si="70"/>
        <v>OK</v>
      </c>
      <c r="K2277" s="366" t="s">
        <v>1732</v>
      </c>
      <c r="L2277" s="366" t="s">
        <v>2256</v>
      </c>
      <c r="M2277" s="350" t="str">
        <f>IF($B2277="Portfolio","Portfolio",IFERROR(INDEX(DATA_ASSET_CLASSIFICATION!$B$8:$B$24,MATCH($C2277,DATA_ASSET_CLASSIFICATION!$A$8:$A$24,0)),"Review"))</f>
        <v>Evelyn Estates</v>
      </c>
      <c r="N2277" s="350" t="str">
        <f ca="1">IF($B2277="Portfolio","Portfolio",IFERROR(INDEX(DATA_ASSET_CLASSIFICATION!$U$8:$U$24,MATCH($C2277,DATA_ASSET_CLASSIFICATION!$A$8:$A$24,0)),"Review"))</f>
        <v>Refi Watch</v>
      </c>
      <c r="O2277" s="350" t="str">
        <f ca="1">IF($B2277="Portfolio","Portfolio",IFERROR(INDEX(DATA_ASSET_CLASSIFICATION!$AB$8:$AB$13,MATCH($N2277,DATA_ASSET_CLASSIFICATION!$AA$8:$AA$13,0)),"Review"))</f>
        <v>Bucket 2 · Legacy</v>
      </c>
      <c r="P2277" s="350" t="str">
        <f>IF($B2277="Portfolio","Portfolio",IFERROR(INDEX(DATA_ASSET_CLASSIFICATION!$C$8:$C$24,MATCH($C2277,DATA_ASSET_CLASSIFICATION!$A$8:$A$24,0)),"Review"))</f>
        <v>Yes</v>
      </c>
      <c r="Q2277" s="350" t="str">
        <f t="shared" ca="1" si="71"/>
        <v>OK</v>
      </c>
    </row>
    <row r="2278" spans="1:17">
      <c r="A2278" s="366" t="s">
        <v>4234</v>
      </c>
      <c r="B2278" s="366" t="s">
        <v>231</v>
      </c>
      <c r="C2278" s="348" t="str">
        <f>DATA_PROPERTY_MASTER!$A$11</f>
        <v>BLD_EE</v>
      </c>
      <c r="D2278" s="380">
        <f>'00_PORTFOLIO ROLLUP'!S$12</f>
        <v>2039</v>
      </c>
      <c r="E2278" s="366" t="s">
        <v>1721</v>
      </c>
      <c r="F2278" s="366" t="s">
        <v>37</v>
      </c>
      <c r="G2278" s="348" t="str">
        <f>"'"&amp;$C2278&amp;"'!$E$63:$Y$63"</f>
        <v>'BLD_EE'!$E$63:$Y$63</v>
      </c>
      <c r="H2278" s="381">
        <f ca="1">IF(IFERROR(INDEX(DATA_PROPERTY_MASTER!$E$5:$E$21,MATCH($C2278,DATA_PROPERTY_MASTER!$A$5:$A$21,0))="Yes",FALSE),MAX(IFERROR(INDEX(INDIRECT("'"&amp;$C2278&amp;"'!$E$63:$Y$63"),1,MATCH($D2278,INDIRECT("'"&amp;$C2278&amp;"'!$E$12:$Y$12"),0)),0),0),0)</f>
        <v>0</v>
      </c>
      <c r="I2278" s="366" t="s">
        <v>1685</v>
      </c>
      <c r="J2278" s="348" t="str">
        <f t="shared" ca="1" si="70"/>
        <v>OK</v>
      </c>
      <c r="K2278" s="366" t="s">
        <v>1735</v>
      </c>
      <c r="L2278" s="366" t="s">
        <v>2258</v>
      </c>
      <c r="M2278" s="350" t="str">
        <f>IF($B2278="Portfolio","Portfolio",IFERROR(INDEX(DATA_ASSET_CLASSIFICATION!$B$8:$B$24,MATCH($C2278,DATA_ASSET_CLASSIFICATION!$A$8:$A$24,0)),"Review"))</f>
        <v>Evelyn Estates</v>
      </c>
      <c r="N2278" s="350" t="str">
        <f ca="1">IF($B2278="Portfolio","Portfolio",IFERROR(INDEX(DATA_ASSET_CLASSIFICATION!$U$8:$U$24,MATCH($C2278,DATA_ASSET_CLASSIFICATION!$A$8:$A$24,0)),"Review"))</f>
        <v>Refi Watch</v>
      </c>
      <c r="O2278" s="350" t="str">
        <f ca="1">IF($B2278="Portfolio","Portfolio",IFERROR(INDEX(DATA_ASSET_CLASSIFICATION!$AB$8:$AB$13,MATCH($N2278,DATA_ASSET_CLASSIFICATION!$AA$8:$AA$13,0)),"Review"))</f>
        <v>Bucket 2 · Legacy</v>
      </c>
      <c r="P2278" s="350" t="str">
        <f>IF($B2278="Portfolio","Portfolio",IFERROR(INDEX(DATA_ASSET_CLASSIFICATION!$C$8:$C$24,MATCH($C2278,DATA_ASSET_CLASSIFICATION!$A$8:$A$24,0)),"Review"))</f>
        <v>Yes</v>
      </c>
      <c r="Q2278" s="350" t="str">
        <f t="shared" ca="1" si="71"/>
        <v>OK</v>
      </c>
    </row>
    <row r="2279" spans="1:17">
      <c r="A2279" s="366" t="s">
        <v>4235</v>
      </c>
      <c r="B2279" s="366" t="s">
        <v>231</v>
      </c>
      <c r="C2279" s="348" t="str">
        <f>DATA_PROPERTY_MASTER!$A$11</f>
        <v>BLD_EE</v>
      </c>
      <c r="D2279" s="380">
        <f>'00_PORTFOLIO ROLLUP'!S$12</f>
        <v>2039</v>
      </c>
      <c r="E2279" s="366" t="s">
        <v>1721</v>
      </c>
      <c r="F2279" s="366" t="s">
        <v>39</v>
      </c>
      <c r="G2279" s="348" t="str">
        <f>"'"&amp;$C2279&amp;"'!$E$63:$Y$63"</f>
        <v>'BLD_EE'!$E$63:$Y$63</v>
      </c>
      <c r="H2279" s="381">
        <f ca="1">IF(IFERROR(INDEX(DATA_PROPERTY_MASTER!$E$5:$E$21,MATCH($C2279,DATA_PROPERTY_MASTER!$A$5:$A$21,0))="Yes",FALSE),MAX(-IFERROR(INDEX(INDIRECT("'"&amp;$C2279&amp;"'!$E$63:$Y$63"),1,MATCH($D2279,INDIRECT("'"&amp;$C2279&amp;"'!$E$12:$Y$12"),0)),0),0),0)</f>
        <v>0</v>
      </c>
      <c r="I2279" s="366" t="s">
        <v>1690</v>
      </c>
      <c r="J2279" s="348" t="str">
        <f t="shared" ca="1" si="70"/>
        <v>OK</v>
      </c>
      <c r="K2279" s="366" t="s">
        <v>1738</v>
      </c>
      <c r="L2279" s="366" t="s">
        <v>2260</v>
      </c>
      <c r="M2279" s="350" t="str">
        <f>IF($B2279="Portfolio","Portfolio",IFERROR(INDEX(DATA_ASSET_CLASSIFICATION!$B$8:$B$24,MATCH($C2279,DATA_ASSET_CLASSIFICATION!$A$8:$A$24,0)),"Review"))</f>
        <v>Evelyn Estates</v>
      </c>
      <c r="N2279" s="350" t="str">
        <f ca="1">IF($B2279="Portfolio","Portfolio",IFERROR(INDEX(DATA_ASSET_CLASSIFICATION!$U$8:$U$24,MATCH($C2279,DATA_ASSET_CLASSIFICATION!$A$8:$A$24,0)),"Review"))</f>
        <v>Refi Watch</v>
      </c>
      <c r="O2279" s="350" t="str">
        <f ca="1">IF($B2279="Portfolio","Portfolio",IFERROR(INDEX(DATA_ASSET_CLASSIFICATION!$AB$8:$AB$13,MATCH($N2279,DATA_ASSET_CLASSIFICATION!$AA$8:$AA$13,0)),"Review"))</f>
        <v>Bucket 2 · Legacy</v>
      </c>
      <c r="P2279" s="350" t="str">
        <f>IF($B2279="Portfolio","Portfolio",IFERROR(INDEX(DATA_ASSET_CLASSIFICATION!$C$8:$C$24,MATCH($C2279,DATA_ASSET_CLASSIFICATION!$A$8:$A$24,0)),"Review"))</f>
        <v>Yes</v>
      </c>
      <c r="Q2279" s="350" t="str">
        <f t="shared" ca="1" si="71"/>
        <v>OK</v>
      </c>
    </row>
    <row r="2280" spans="1:17">
      <c r="A2280" s="366" t="s">
        <v>4236</v>
      </c>
      <c r="B2280" s="366" t="s">
        <v>231</v>
      </c>
      <c r="C2280" s="348" t="str">
        <f>DATA_PROPERTY_MASTER!$A$11</f>
        <v>BLD_EE</v>
      </c>
      <c r="D2280" s="380">
        <f>'00_PORTFOLIO ROLLUP'!S$12</f>
        <v>2039</v>
      </c>
      <c r="E2280" s="366" t="s">
        <v>1741</v>
      </c>
      <c r="F2280" s="366" t="s">
        <v>41</v>
      </c>
      <c r="G2280" s="348" t="str">
        <f>"'"&amp;$C2280&amp;"'!rows 56 + positive row 63"</f>
        <v>'BLD_EE'!rows 56 + positive row 63</v>
      </c>
      <c r="H2280" s="381">
        <f ca="1">IF(IFERROR(INDEX(DATA_PROPERTY_MASTER!$E$5:$E$21,MATCH($C2280,DATA_PROPERTY_MASTER!$A$5:$A$21,0))="Yes",FALSE),IFERROR(INDEX(INDIRECT("'"&amp;$C2280&amp;"'!$E$56:$Y$56"),1,MATCH($D2280,INDIRECT("'"&amp;$C2280&amp;"'!$E$12:$Y$12"),0)),0)+MAX(IFERROR(INDEX(INDIRECT("'"&amp;$C2280&amp;"'!$E$63:$Y$63"),1,MATCH($D2280,INDIRECT("'"&amp;$C2280&amp;"'!$E$12:$Y$12"),0)),0),0),0)</f>
        <v>125607.95729095823</v>
      </c>
      <c r="I2280" s="366" t="s">
        <v>1685</v>
      </c>
      <c r="J2280" s="348" t="str">
        <f t="shared" ca="1" si="70"/>
        <v>OK</v>
      </c>
      <c r="K2280" s="366" t="s">
        <v>1742</v>
      </c>
      <c r="L2280" s="366" t="s">
        <v>2262</v>
      </c>
      <c r="M2280" s="350" t="str">
        <f>IF($B2280="Portfolio","Portfolio",IFERROR(INDEX(DATA_ASSET_CLASSIFICATION!$B$8:$B$24,MATCH($C2280,DATA_ASSET_CLASSIFICATION!$A$8:$A$24,0)),"Review"))</f>
        <v>Evelyn Estates</v>
      </c>
      <c r="N2280" s="350" t="str">
        <f ca="1">IF($B2280="Portfolio","Portfolio",IFERROR(INDEX(DATA_ASSET_CLASSIFICATION!$U$8:$U$24,MATCH($C2280,DATA_ASSET_CLASSIFICATION!$A$8:$A$24,0)),"Review"))</f>
        <v>Refi Watch</v>
      </c>
      <c r="O2280" s="350" t="str">
        <f ca="1">IF($B2280="Portfolio","Portfolio",IFERROR(INDEX(DATA_ASSET_CLASSIFICATION!$AB$8:$AB$13,MATCH($N2280,DATA_ASSET_CLASSIFICATION!$AA$8:$AA$13,0)),"Review"))</f>
        <v>Bucket 2 · Legacy</v>
      </c>
      <c r="P2280" s="350" t="str">
        <f>IF($B2280="Portfolio","Portfolio",IFERROR(INDEX(DATA_ASSET_CLASSIFICATION!$C$8:$C$24,MATCH($C2280,DATA_ASSET_CLASSIFICATION!$A$8:$A$24,0)),"Review"))</f>
        <v>Yes</v>
      </c>
      <c r="Q2280" s="350" t="str">
        <f t="shared" ca="1" si="71"/>
        <v>OK</v>
      </c>
    </row>
    <row r="2281" spans="1:17">
      <c r="A2281" s="366" t="s">
        <v>4237</v>
      </c>
      <c r="B2281" s="366" t="s">
        <v>231</v>
      </c>
      <c r="C2281" s="348" t="str">
        <f>DATA_PROPERTY_MASTER!$A$11</f>
        <v>BLD_EE</v>
      </c>
      <c r="D2281" s="380">
        <f>'00_PORTFOLIO ROLLUP'!S$12</f>
        <v>2039</v>
      </c>
      <c r="E2281" s="366" t="s">
        <v>1741</v>
      </c>
      <c r="F2281" s="366" t="s">
        <v>43</v>
      </c>
      <c r="G2281" s="348" t="str">
        <f>"'"&amp;$C2281&amp;"'!$E$68:$Y$68"</f>
        <v>'BLD_EE'!$E$68:$Y$68</v>
      </c>
      <c r="H2281" s="381">
        <f ca="1">IF(IFERROR(INDEX(DATA_PROPERTY_MASTER!$E$5:$E$21,MATCH($C2281,DATA_PROPERTY_MASTER!$A$5:$A$21,0))="Yes",FALSE),IFERROR(INDEX(INDIRECT("'"&amp;$C2281&amp;"'!$E$68:$Y$68"),1,MATCH($D2281,INDIRECT("'"&amp;$C2281&amp;"'!$E$12:$Y$12"),0)),0),0)</f>
        <v>125607.95729095823</v>
      </c>
      <c r="I2281" s="366" t="s">
        <v>1731</v>
      </c>
      <c r="J2281" s="348" t="str">
        <f t="shared" ca="1" si="70"/>
        <v>OK</v>
      </c>
      <c r="K2281" s="366" t="s">
        <v>1746</v>
      </c>
      <c r="L2281" s="366" t="s">
        <v>2264</v>
      </c>
      <c r="M2281" s="350" t="str">
        <f>IF($B2281="Portfolio","Portfolio",IFERROR(INDEX(DATA_ASSET_CLASSIFICATION!$B$8:$B$24,MATCH($C2281,DATA_ASSET_CLASSIFICATION!$A$8:$A$24,0)),"Review"))</f>
        <v>Evelyn Estates</v>
      </c>
      <c r="N2281" s="350" t="str">
        <f ca="1">IF($B2281="Portfolio","Portfolio",IFERROR(INDEX(DATA_ASSET_CLASSIFICATION!$U$8:$U$24,MATCH($C2281,DATA_ASSET_CLASSIFICATION!$A$8:$A$24,0)),"Review"))</f>
        <v>Refi Watch</v>
      </c>
      <c r="O2281" s="350" t="str">
        <f ca="1">IF($B2281="Portfolio","Portfolio",IFERROR(INDEX(DATA_ASSET_CLASSIFICATION!$AB$8:$AB$13,MATCH($N2281,DATA_ASSET_CLASSIFICATION!$AA$8:$AA$13,0)),"Review"))</f>
        <v>Bucket 2 · Legacy</v>
      </c>
      <c r="P2281" s="350" t="str">
        <f>IF($B2281="Portfolio","Portfolio",IFERROR(INDEX(DATA_ASSET_CLASSIFICATION!$C$8:$C$24,MATCH($C2281,DATA_ASSET_CLASSIFICATION!$A$8:$A$24,0)),"Review"))</f>
        <v>Yes</v>
      </c>
      <c r="Q2281" s="350" t="str">
        <f t="shared" ca="1" si="71"/>
        <v>OK</v>
      </c>
    </row>
    <row r="2282" spans="1:17">
      <c r="A2282" s="366" t="s">
        <v>4238</v>
      </c>
      <c r="B2282" s="366" t="s">
        <v>231</v>
      </c>
      <c r="C2282" s="348" t="str">
        <f>DATA_PROPERTY_MASTER!$A$11</f>
        <v>BLD_EE</v>
      </c>
      <c r="D2282" s="380">
        <f>'00_PORTFOLIO ROLLUP'!S$12</f>
        <v>2039</v>
      </c>
      <c r="E2282" s="366" t="s">
        <v>1741</v>
      </c>
      <c r="F2282" s="366" t="s">
        <v>1749</v>
      </c>
      <c r="G2282" s="348" t="str">
        <f>"'"&amp;$C2282&amp;"'!rows 56, 63, 68"</f>
        <v>'BLD_EE'!rows 56, 63, 68</v>
      </c>
      <c r="H2282" s="381">
        <f ca="1">IF(IFERROR(INDEX(DATA_PROPERTY_MASTER!$E$5:$E$21,MATCH($C2282,DATA_PROPERTY_MASTER!$A$5:$A$21,0))="Yes",FALSE),(IFERROR(INDEX(INDIRECT("'"&amp;$C2282&amp;"'!$E$56:$Y$56"),1,MATCH($D2282,INDIRECT("'"&amp;$C2282&amp;"'!$E$12:$Y$12"),0)),0)+MAX(IFERROR(INDEX(INDIRECT("'"&amp;$C2282&amp;"'!$E$63:$Y$63"),1,MATCH($D2282,INDIRECT("'"&amp;$C2282&amp;"'!$E$12:$Y$12"),0)),0),0))-(IFERROR(INDEX(INDIRECT("'"&amp;$C2282&amp;"'!$E$68:$Y$68"),1,MATCH($D2282,INDIRECT("'"&amp;$C2282&amp;"'!$E$12:$Y$12"),0)),0)),0)</f>
        <v>0</v>
      </c>
      <c r="I2282" s="366" t="s">
        <v>1750</v>
      </c>
      <c r="J2282" s="348" t="str">
        <f t="shared" ca="1" si="70"/>
        <v>OK</v>
      </c>
      <c r="K2282" s="366" t="s">
        <v>1751</v>
      </c>
      <c r="L2282" s="366" t="s">
        <v>2266</v>
      </c>
      <c r="M2282" s="350" t="str">
        <f>IF($B2282="Portfolio","Portfolio",IFERROR(INDEX(DATA_ASSET_CLASSIFICATION!$B$8:$B$24,MATCH($C2282,DATA_ASSET_CLASSIFICATION!$A$8:$A$24,0)),"Review"))</f>
        <v>Evelyn Estates</v>
      </c>
      <c r="N2282" s="350" t="str">
        <f ca="1">IF($B2282="Portfolio","Portfolio",IFERROR(INDEX(DATA_ASSET_CLASSIFICATION!$U$8:$U$24,MATCH($C2282,DATA_ASSET_CLASSIFICATION!$A$8:$A$24,0)),"Review"))</f>
        <v>Refi Watch</v>
      </c>
      <c r="O2282" s="350" t="str">
        <f ca="1">IF($B2282="Portfolio","Portfolio",IFERROR(INDEX(DATA_ASSET_CLASSIFICATION!$AB$8:$AB$13,MATCH($N2282,DATA_ASSET_CLASSIFICATION!$AA$8:$AA$13,0)),"Review"))</f>
        <v>Bucket 2 · Legacy</v>
      </c>
      <c r="P2282" s="350" t="str">
        <f>IF($B2282="Portfolio","Portfolio",IFERROR(INDEX(DATA_ASSET_CLASSIFICATION!$C$8:$C$24,MATCH($C2282,DATA_ASSET_CLASSIFICATION!$A$8:$A$24,0)),"Review"))</f>
        <v>Yes</v>
      </c>
      <c r="Q2282" s="350" t="str">
        <f t="shared" ca="1" si="71"/>
        <v>OK</v>
      </c>
    </row>
    <row r="2283" spans="1:17">
      <c r="A2283" s="366" t="s">
        <v>4239</v>
      </c>
      <c r="B2283" s="366" t="s">
        <v>231</v>
      </c>
      <c r="C2283" s="348" t="str">
        <f>DATA_PROPERTY_MASTER!$A$11</f>
        <v>BLD_EE</v>
      </c>
      <c r="D2283" s="380">
        <f>'00_PORTFOLIO ROLLUP'!T$12</f>
        <v>2040</v>
      </c>
      <c r="E2283" s="366" t="s">
        <v>1683</v>
      </c>
      <c r="F2283" s="366" t="s">
        <v>341</v>
      </c>
      <c r="G2283" s="348" t="str">
        <f>"'"&amp;$C2283&amp;"'!$E$24:$Y$24"</f>
        <v>'BLD_EE'!$E$24:$Y$24</v>
      </c>
      <c r="H2283" s="381">
        <f ca="1">IF(IFERROR(INDEX(DATA_PROPERTY_MASTER!$E$5:$E$21,MATCH($C2283,DATA_PROPERTY_MASTER!$A$5:$A$21,0))="Yes",FALSE),IFERROR(INDEX(INDIRECT("'"&amp;$C2283&amp;"'!$E$24:$Y$24"),1,MATCH($D2283,INDIRECT("'"&amp;$C2283&amp;"'!$E$12:$Y$12"),0)),0),0)</f>
        <v>676699.93030658911</v>
      </c>
      <c r="I2283" s="366" t="s">
        <v>1685</v>
      </c>
      <c r="J2283" s="348" t="str">
        <f t="shared" ca="1" si="70"/>
        <v>OK</v>
      </c>
      <c r="K2283" s="366" t="s">
        <v>1686</v>
      </c>
      <c r="L2283" s="366" t="s">
        <v>2234</v>
      </c>
      <c r="M2283" s="350" t="str">
        <f>IF($B2283="Portfolio","Portfolio",IFERROR(INDEX(DATA_ASSET_CLASSIFICATION!$B$8:$B$24,MATCH($C2283,DATA_ASSET_CLASSIFICATION!$A$8:$A$24,0)),"Review"))</f>
        <v>Evelyn Estates</v>
      </c>
      <c r="N2283" s="350" t="str">
        <f ca="1">IF($B2283="Portfolio","Portfolio",IFERROR(INDEX(DATA_ASSET_CLASSIFICATION!$U$8:$U$24,MATCH($C2283,DATA_ASSET_CLASSIFICATION!$A$8:$A$24,0)),"Review"))</f>
        <v>Refi Watch</v>
      </c>
      <c r="O2283" s="350" t="str">
        <f ca="1">IF($B2283="Portfolio","Portfolio",IFERROR(INDEX(DATA_ASSET_CLASSIFICATION!$AB$8:$AB$13,MATCH($N2283,DATA_ASSET_CLASSIFICATION!$AA$8:$AA$13,0)),"Review"))</f>
        <v>Bucket 2 · Legacy</v>
      </c>
      <c r="P2283" s="350" t="str">
        <f>IF($B2283="Portfolio","Portfolio",IFERROR(INDEX(DATA_ASSET_CLASSIFICATION!$C$8:$C$24,MATCH($C2283,DATA_ASSET_CLASSIFICATION!$A$8:$A$24,0)),"Review"))</f>
        <v>Yes</v>
      </c>
      <c r="Q2283" s="350" t="str">
        <f t="shared" ca="1" si="71"/>
        <v>OK</v>
      </c>
    </row>
    <row r="2284" spans="1:17">
      <c r="A2284" s="366" t="s">
        <v>4240</v>
      </c>
      <c r="B2284" s="366" t="s">
        <v>231</v>
      </c>
      <c r="C2284" s="348" t="str">
        <f>DATA_PROPERTY_MASTER!$A$11</f>
        <v>BLD_EE</v>
      </c>
      <c r="D2284" s="380">
        <f>'00_PORTFOLIO ROLLUP'!T$12</f>
        <v>2040</v>
      </c>
      <c r="E2284" s="366" t="s">
        <v>1683</v>
      </c>
      <c r="F2284" s="366" t="s">
        <v>355</v>
      </c>
      <c r="G2284" s="348" t="str">
        <f>"'"&amp;$C2284&amp;"'!$E$39:$Y$39"</f>
        <v>'BLD_EE'!$E$39:$Y$39</v>
      </c>
      <c r="H2284" s="381">
        <f ca="1">IF(IFERROR(INDEX(DATA_PROPERTY_MASTER!$E$5:$E$21,MATCH($C2284,DATA_PROPERTY_MASTER!$A$5:$A$21,0))="Yes",FALSE),IFERROR(INDEX(INDIRECT("'"&amp;$C2284&amp;"'!$E$39:$Y$39"),1,MATCH($D2284,INDIRECT("'"&amp;$C2284&amp;"'!$E$12:$Y$12"),0)),0),0)</f>
        <v>358146.69626961928</v>
      </c>
      <c r="I2284" s="366" t="s">
        <v>1690</v>
      </c>
      <c r="J2284" s="348" t="str">
        <f t="shared" ca="1" si="70"/>
        <v>OK</v>
      </c>
      <c r="K2284" s="366" t="s">
        <v>1686</v>
      </c>
      <c r="L2284" s="366" t="s">
        <v>2236</v>
      </c>
      <c r="M2284" s="350" t="str">
        <f>IF($B2284="Portfolio","Portfolio",IFERROR(INDEX(DATA_ASSET_CLASSIFICATION!$B$8:$B$24,MATCH($C2284,DATA_ASSET_CLASSIFICATION!$A$8:$A$24,0)),"Review"))</f>
        <v>Evelyn Estates</v>
      </c>
      <c r="N2284" s="350" t="str">
        <f ca="1">IF($B2284="Portfolio","Portfolio",IFERROR(INDEX(DATA_ASSET_CLASSIFICATION!$U$8:$U$24,MATCH($C2284,DATA_ASSET_CLASSIFICATION!$A$8:$A$24,0)),"Review"))</f>
        <v>Refi Watch</v>
      </c>
      <c r="O2284" s="350" t="str">
        <f ca="1">IF($B2284="Portfolio","Portfolio",IFERROR(INDEX(DATA_ASSET_CLASSIFICATION!$AB$8:$AB$13,MATCH($N2284,DATA_ASSET_CLASSIFICATION!$AA$8:$AA$13,0)),"Review"))</f>
        <v>Bucket 2 · Legacy</v>
      </c>
      <c r="P2284" s="350" t="str">
        <f>IF($B2284="Portfolio","Portfolio",IFERROR(INDEX(DATA_ASSET_CLASSIFICATION!$C$8:$C$24,MATCH($C2284,DATA_ASSET_CLASSIFICATION!$A$8:$A$24,0)),"Review"))</f>
        <v>Yes</v>
      </c>
      <c r="Q2284" s="350" t="str">
        <f t="shared" ca="1" si="71"/>
        <v>OK</v>
      </c>
    </row>
    <row r="2285" spans="1:17">
      <c r="A2285" s="366" t="s">
        <v>4241</v>
      </c>
      <c r="B2285" s="366" t="s">
        <v>231</v>
      </c>
      <c r="C2285" s="348" t="str">
        <f>DATA_PROPERTY_MASTER!$A$11</f>
        <v>BLD_EE</v>
      </c>
      <c r="D2285" s="380">
        <f>'00_PORTFOLIO ROLLUP'!T$12</f>
        <v>2040</v>
      </c>
      <c r="E2285" s="366" t="s">
        <v>1683</v>
      </c>
      <c r="F2285" s="366" t="s">
        <v>19</v>
      </c>
      <c r="G2285" s="348" t="str">
        <f>"'"&amp;$C2285&amp;"'!$E$41:$Y$41"</f>
        <v>'BLD_EE'!$E$41:$Y$41</v>
      </c>
      <c r="H2285" s="381">
        <f ca="1">IF(IFERROR(INDEX(DATA_PROPERTY_MASTER!$E$5:$E$21,MATCH($C2285,DATA_PROPERTY_MASTER!$A$5:$A$21,0))="Yes",FALSE),IFERROR(INDEX(INDIRECT("'"&amp;$C2285&amp;"'!$E$41:$Y$41"),1,MATCH($D2285,INDIRECT("'"&amp;$C2285&amp;"'!$E$12:$Y$12"),0)),0),0)</f>
        <v>318553.23403696984</v>
      </c>
      <c r="I2285" s="366" t="s">
        <v>1685</v>
      </c>
      <c r="J2285" s="348" t="str">
        <f t="shared" ca="1" si="70"/>
        <v>OK</v>
      </c>
      <c r="K2285" s="366" t="s">
        <v>1694</v>
      </c>
      <c r="L2285" s="366" t="s">
        <v>2238</v>
      </c>
      <c r="M2285" s="350" t="str">
        <f>IF($B2285="Portfolio","Portfolio",IFERROR(INDEX(DATA_ASSET_CLASSIFICATION!$B$8:$B$24,MATCH($C2285,DATA_ASSET_CLASSIFICATION!$A$8:$A$24,0)),"Review"))</f>
        <v>Evelyn Estates</v>
      </c>
      <c r="N2285" s="350" t="str">
        <f ca="1">IF($B2285="Portfolio","Portfolio",IFERROR(INDEX(DATA_ASSET_CLASSIFICATION!$U$8:$U$24,MATCH($C2285,DATA_ASSET_CLASSIFICATION!$A$8:$A$24,0)),"Review"))</f>
        <v>Refi Watch</v>
      </c>
      <c r="O2285" s="350" t="str">
        <f ca="1">IF($B2285="Portfolio","Portfolio",IFERROR(INDEX(DATA_ASSET_CLASSIFICATION!$AB$8:$AB$13,MATCH($N2285,DATA_ASSET_CLASSIFICATION!$AA$8:$AA$13,0)),"Review"))</f>
        <v>Bucket 2 · Legacy</v>
      </c>
      <c r="P2285" s="350" t="str">
        <f>IF($B2285="Portfolio","Portfolio",IFERROR(INDEX(DATA_ASSET_CLASSIFICATION!$C$8:$C$24,MATCH($C2285,DATA_ASSET_CLASSIFICATION!$A$8:$A$24,0)),"Review"))</f>
        <v>Yes</v>
      </c>
      <c r="Q2285" s="350" t="str">
        <f t="shared" ca="1" si="71"/>
        <v>OK</v>
      </c>
    </row>
    <row r="2286" spans="1:17">
      <c r="A2286" s="366" t="s">
        <v>4242</v>
      </c>
      <c r="B2286" s="366" t="s">
        <v>231</v>
      </c>
      <c r="C2286" s="348" t="str">
        <f>DATA_PROPERTY_MASTER!$A$11</f>
        <v>BLD_EE</v>
      </c>
      <c r="D2286" s="380">
        <f>'00_PORTFOLIO ROLLUP'!T$12</f>
        <v>2040</v>
      </c>
      <c r="E2286" s="366" t="s">
        <v>1683</v>
      </c>
      <c r="F2286" s="366" t="s">
        <v>1697</v>
      </c>
      <c r="G2286" s="348" t="str">
        <f>"'"&amp;$C2286&amp;"'!$E$44:$Y$44"</f>
        <v>'BLD_EE'!$E$44:$Y$44</v>
      </c>
      <c r="H2286" s="381">
        <f ca="1">IF(IFERROR(INDEX(DATA_PROPERTY_MASTER!$E$5:$E$21,MATCH($C2286,DATA_PROPERTY_MASTER!$A$5:$A$21,0))="Yes",FALSE),IFERROR(INDEX(INDIRECT("'"&amp;$C2286&amp;"'!$E$44:$Y$44"),1,MATCH($D2286,INDIRECT("'"&amp;$C2286&amp;"'!$E$12:$Y$12"),0)),0),0)</f>
        <v>7267.6890269502974</v>
      </c>
      <c r="I2286" s="366" t="s">
        <v>1690</v>
      </c>
      <c r="J2286" s="348" t="str">
        <f t="shared" ca="1" si="70"/>
        <v>OK</v>
      </c>
      <c r="K2286" s="366" t="s">
        <v>1699</v>
      </c>
      <c r="L2286" s="366" t="s">
        <v>2240</v>
      </c>
      <c r="M2286" s="350" t="str">
        <f>IF($B2286="Portfolio","Portfolio",IFERROR(INDEX(DATA_ASSET_CLASSIFICATION!$B$8:$B$24,MATCH($C2286,DATA_ASSET_CLASSIFICATION!$A$8:$A$24,0)),"Review"))</f>
        <v>Evelyn Estates</v>
      </c>
      <c r="N2286" s="350" t="str">
        <f ca="1">IF($B2286="Portfolio","Portfolio",IFERROR(INDEX(DATA_ASSET_CLASSIFICATION!$U$8:$U$24,MATCH($C2286,DATA_ASSET_CLASSIFICATION!$A$8:$A$24,0)),"Review"))</f>
        <v>Refi Watch</v>
      </c>
      <c r="O2286" s="350" t="str">
        <f ca="1">IF($B2286="Portfolio","Portfolio",IFERROR(INDEX(DATA_ASSET_CLASSIFICATION!$AB$8:$AB$13,MATCH($N2286,DATA_ASSET_CLASSIFICATION!$AA$8:$AA$13,0)),"Review"))</f>
        <v>Bucket 2 · Legacy</v>
      </c>
      <c r="P2286" s="350" t="str">
        <f>IF($B2286="Portfolio","Portfolio",IFERROR(INDEX(DATA_ASSET_CLASSIFICATION!$C$8:$C$24,MATCH($C2286,DATA_ASSET_CLASSIFICATION!$A$8:$A$24,0)),"Review"))</f>
        <v>Yes</v>
      </c>
      <c r="Q2286" s="350" t="str">
        <f t="shared" ca="1" si="71"/>
        <v>OK</v>
      </c>
    </row>
    <row r="2287" spans="1:17">
      <c r="A2287" s="366" t="s">
        <v>4243</v>
      </c>
      <c r="B2287" s="366" t="s">
        <v>231</v>
      </c>
      <c r="C2287" s="348" t="str">
        <f>DATA_PROPERTY_MASTER!$A$11</f>
        <v>BLD_EE</v>
      </c>
      <c r="D2287" s="380">
        <f>'00_PORTFOLIO ROLLUP'!T$12</f>
        <v>2040</v>
      </c>
      <c r="E2287" s="366" t="s">
        <v>1683</v>
      </c>
      <c r="F2287" s="366" t="s">
        <v>21</v>
      </c>
      <c r="G2287" s="348" t="str">
        <f>"'"&amp;$C2287&amp;"'!$E$45:$Y$45"</f>
        <v>'BLD_EE'!$E$45:$Y$45</v>
      </c>
      <c r="H2287" s="381">
        <f ca="1">IF(IFERROR(INDEX(DATA_PROPERTY_MASTER!$E$5:$E$21,MATCH($C2287,DATA_PROPERTY_MASTER!$A$5:$A$21,0))="Yes",FALSE),IFERROR(INDEX(INDIRECT("'"&amp;$C2287&amp;"'!$E$45:$Y$45"),1,MATCH($D2287,INDIRECT("'"&amp;$C2287&amp;"'!$E$12:$Y$12"),0)),0),0)</f>
        <v>311285.54501001956</v>
      </c>
      <c r="I2287" s="366" t="s">
        <v>1685</v>
      </c>
      <c r="J2287" s="348" t="str">
        <f t="shared" ca="1" si="70"/>
        <v>OK</v>
      </c>
      <c r="K2287" s="366" t="s">
        <v>1694</v>
      </c>
      <c r="L2287" s="366" t="s">
        <v>2242</v>
      </c>
      <c r="M2287" s="350" t="str">
        <f>IF($B2287="Portfolio","Portfolio",IFERROR(INDEX(DATA_ASSET_CLASSIFICATION!$B$8:$B$24,MATCH($C2287,DATA_ASSET_CLASSIFICATION!$A$8:$A$24,0)),"Review"))</f>
        <v>Evelyn Estates</v>
      </c>
      <c r="N2287" s="350" t="str">
        <f ca="1">IF($B2287="Portfolio","Portfolio",IFERROR(INDEX(DATA_ASSET_CLASSIFICATION!$U$8:$U$24,MATCH($C2287,DATA_ASSET_CLASSIFICATION!$A$8:$A$24,0)),"Review"))</f>
        <v>Refi Watch</v>
      </c>
      <c r="O2287" s="350" t="str">
        <f ca="1">IF($B2287="Portfolio","Portfolio",IFERROR(INDEX(DATA_ASSET_CLASSIFICATION!$AB$8:$AB$13,MATCH($N2287,DATA_ASSET_CLASSIFICATION!$AA$8:$AA$13,0)),"Review"))</f>
        <v>Bucket 2 · Legacy</v>
      </c>
      <c r="P2287" s="350" t="str">
        <f>IF($B2287="Portfolio","Portfolio",IFERROR(INDEX(DATA_ASSET_CLASSIFICATION!$C$8:$C$24,MATCH($C2287,DATA_ASSET_CLASSIFICATION!$A$8:$A$24,0)),"Review"))</f>
        <v>Yes</v>
      </c>
      <c r="Q2287" s="350" t="str">
        <f t="shared" ca="1" si="71"/>
        <v>OK</v>
      </c>
    </row>
    <row r="2288" spans="1:17">
      <c r="A2288" s="366" t="s">
        <v>4244</v>
      </c>
      <c r="B2288" s="366" t="s">
        <v>231</v>
      </c>
      <c r="C2288" s="348" t="str">
        <f>DATA_PROPERTY_MASTER!$A$11</f>
        <v>BLD_EE</v>
      </c>
      <c r="D2288" s="380">
        <f>'00_PORTFOLIO ROLLUP'!T$12</f>
        <v>2040</v>
      </c>
      <c r="E2288" s="366" t="s">
        <v>23</v>
      </c>
      <c r="F2288" s="366" t="s">
        <v>23</v>
      </c>
      <c r="G2288" s="348" t="str">
        <f>"'"&amp;$C2288&amp;"'!$E$48:$Y$48"</f>
        <v>'BLD_EE'!$E$48:$Y$48</v>
      </c>
      <c r="H2288" s="381">
        <f ca="1">IF(IFERROR(INDEX(DATA_PROPERTY_MASTER!$E$5:$E$21,MATCH($C2288,DATA_PROPERTY_MASTER!$A$5:$A$21,0))="Yes",FALSE),IFERROR(INDEX(INDIRECT("'"&amp;$C2288&amp;"'!$E$48:$Y$48"),1,MATCH($D2288,INDIRECT("'"&amp;$C2288&amp;"'!$E$12:$Y$12"),0)),0),0)</f>
        <v>0</v>
      </c>
      <c r="I2288" s="366" t="s">
        <v>1690</v>
      </c>
      <c r="J2288" s="348" t="str">
        <f t="shared" ca="1" si="70"/>
        <v>OK</v>
      </c>
      <c r="K2288" s="366" t="s">
        <v>1706</v>
      </c>
      <c r="L2288" s="366" t="s">
        <v>2244</v>
      </c>
      <c r="M2288" s="350" t="str">
        <f>IF($B2288="Portfolio","Portfolio",IFERROR(INDEX(DATA_ASSET_CLASSIFICATION!$B$8:$B$24,MATCH($C2288,DATA_ASSET_CLASSIFICATION!$A$8:$A$24,0)),"Review"))</f>
        <v>Evelyn Estates</v>
      </c>
      <c r="N2288" s="350" t="str">
        <f ca="1">IF($B2288="Portfolio","Portfolio",IFERROR(INDEX(DATA_ASSET_CLASSIFICATION!$U$8:$U$24,MATCH($C2288,DATA_ASSET_CLASSIFICATION!$A$8:$A$24,0)),"Review"))</f>
        <v>Refi Watch</v>
      </c>
      <c r="O2288" s="350" t="str">
        <f ca="1">IF($B2288="Portfolio","Portfolio",IFERROR(INDEX(DATA_ASSET_CLASSIFICATION!$AB$8:$AB$13,MATCH($N2288,DATA_ASSET_CLASSIFICATION!$AA$8:$AA$13,0)),"Review"))</f>
        <v>Bucket 2 · Legacy</v>
      </c>
      <c r="P2288" s="350" t="str">
        <f>IF($B2288="Portfolio","Portfolio",IFERROR(INDEX(DATA_ASSET_CLASSIFICATION!$C$8:$C$24,MATCH($C2288,DATA_ASSET_CLASSIFICATION!$A$8:$A$24,0)),"Review"))</f>
        <v>Yes</v>
      </c>
      <c r="Q2288" s="350" t="str">
        <f t="shared" ca="1" si="71"/>
        <v>OK</v>
      </c>
    </row>
    <row r="2289" spans="1:17">
      <c r="A2289" s="366" t="s">
        <v>4245</v>
      </c>
      <c r="B2289" s="366" t="s">
        <v>231</v>
      </c>
      <c r="C2289" s="348" t="str">
        <f>DATA_PROPERTY_MASTER!$A$11</f>
        <v>BLD_EE</v>
      </c>
      <c r="D2289" s="380">
        <f>'00_PORTFOLIO ROLLUP'!T$12</f>
        <v>2040</v>
      </c>
      <c r="E2289" s="366" t="s">
        <v>1683</v>
      </c>
      <c r="F2289" s="366" t="s">
        <v>25</v>
      </c>
      <c r="G2289" s="348" t="str">
        <f>"'"&amp;$C2289&amp;"'!$E$52:$Y$52"</f>
        <v>'BLD_EE'!$E$52:$Y$52</v>
      </c>
      <c r="H2289" s="381">
        <f ca="1">IF(IFERROR(INDEX(DATA_PROPERTY_MASTER!$E$5:$E$21,MATCH($C2289,DATA_PROPERTY_MASTER!$A$5:$A$21,0))="Yes",FALSE),IFERROR(INDEX(INDIRECT("'"&amp;$C2289&amp;"'!$E$52:$Y$52"),1,MATCH($D2289,INDIRECT("'"&amp;$C2289&amp;"'!$E$12:$Y$12"),0)),0),0)</f>
        <v>318553.23403696984</v>
      </c>
      <c r="I2289" s="366" t="s">
        <v>1685</v>
      </c>
      <c r="J2289" s="348" t="str">
        <f t="shared" ca="1" si="70"/>
        <v>OK</v>
      </c>
      <c r="K2289" s="366" t="s">
        <v>1710</v>
      </c>
      <c r="L2289" s="366" t="s">
        <v>2246</v>
      </c>
      <c r="M2289" s="350" t="str">
        <f>IF($B2289="Portfolio","Portfolio",IFERROR(INDEX(DATA_ASSET_CLASSIFICATION!$B$8:$B$24,MATCH($C2289,DATA_ASSET_CLASSIFICATION!$A$8:$A$24,0)),"Review"))</f>
        <v>Evelyn Estates</v>
      </c>
      <c r="N2289" s="350" t="str">
        <f ca="1">IF($B2289="Portfolio","Portfolio",IFERROR(INDEX(DATA_ASSET_CLASSIFICATION!$U$8:$U$24,MATCH($C2289,DATA_ASSET_CLASSIFICATION!$A$8:$A$24,0)),"Review"))</f>
        <v>Refi Watch</v>
      </c>
      <c r="O2289" s="350" t="str">
        <f ca="1">IF($B2289="Portfolio","Portfolio",IFERROR(INDEX(DATA_ASSET_CLASSIFICATION!$AB$8:$AB$13,MATCH($N2289,DATA_ASSET_CLASSIFICATION!$AA$8:$AA$13,0)),"Review"))</f>
        <v>Bucket 2 · Legacy</v>
      </c>
      <c r="P2289" s="350" t="str">
        <f>IF($B2289="Portfolio","Portfolio",IFERROR(INDEX(DATA_ASSET_CLASSIFICATION!$C$8:$C$24,MATCH($C2289,DATA_ASSET_CLASSIFICATION!$A$8:$A$24,0)),"Review"))</f>
        <v>Yes</v>
      </c>
      <c r="Q2289" s="350" t="str">
        <f t="shared" ca="1" si="71"/>
        <v>OK</v>
      </c>
    </row>
    <row r="2290" spans="1:17">
      <c r="A2290" s="366" t="s">
        <v>4246</v>
      </c>
      <c r="B2290" s="366" t="s">
        <v>231</v>
      </c>
      <c r="C2290" s="348" t="str">
        <f>DATA_PROPERTY_MASTER!$A$11</f>
        <v>BLD_EE</v>
      </c>
      <c r="D2290" s="380">
        <f>'00_PORTFOLIO ROLLUP'!T$12</f>
        <v>2040</v>
      </c>
      <c r="E2290" s="366" t="s">
        <v>1683</v>
      </c>
      <c r="F2290" s="366" t="s">
        <v>27</v>
      </c>
      <c r="G2290" s="348" t="str">
        <f>"'"&amp;$C2290&amp;"'!$E$54:$Y$54"</f>
        <v>'BLD_EE'!$E$54:$Y$54</v>
      </c>
      <c r="H2290" s="381">
        <f ca="1">IF(IFERROR(INDEX(DATA_PROPERTY_MASTER!$E$5:$E$21,MATCH($C2290,DATA_PROPERTY_MASTER!$A$5:$A$21,0))="Yes",FALSE),IFERROR(INDEX(INDIRECT("'"&amp;$C2290&amp;"'!$E$54:$Y$54"),1,MATCH($D2290,INDIRECT("'"&amp;$C2290&amp;"'!$E$12:$Y$12"),0)),0),0)</f>
        <v>191131.94042218188</v>
      </c>
      <c r="I2290" s="366" t="s">
        <v>1690</v>
      </c>
      <c r="J2290" s="348" t="str">
        <f t="shared" ca="1" si="70"/>
        <v>OK</v>
      </c>
      <c r="K2290" s="366" t="s">
        <v>1714</v>
      </c>
      <c r="L2290" s="366" t="s">
        <v>2248</v>
      </c>
      <c r="M2290" s="350" t="str">
        <f>IF($B2290="Portfolio","Portfolio",IFERROR(INDEX(DATA_ASSET_CLASSIFICATION!$B$8:$B$24,MATCH($C2290,DATA_ASSET_CLASSIFICATION!$A$8:$A$24,0)),"Review"))</f>
        <v>Evelyn Estates</v>
      </c>
      <c r="N2290" s="350" t="str">
        <f ca="1">IF($B2290="Portfolio","Portfolio",IFERROR(INDEX(DATA_ASSET_CLASSIFICATION!$U$8:$U$24,MATCH($C2290,DATA_ASSET_CLASSIFICATION!$A$8:$A$24,0)),"Review"))</f>
        <v>Refi Watch</v>
      </c>
      <c r="O2290" s="350" t="str">
        <f ca="1">IF($B2290="Portfolio","Portfolio",IFERROR(INDEX(DATA_ASSET_CLASSIFICATION!$AB$8:$AB$13,MATCH($N2290,DATA_ASSET_CLASSIFICATION!$AA$8:$AA$13,0)),"Review"))</f>
        <v>Bucket 2 · Legacy</v>
      </c>
      <c r="P2290" s="350" t="str">
        <f>IF($B2290="Portfolio","Portfolio",IFERROR(INDEX(DATA_ASSET_CLASSIFICATION!$C$8:$C$24,MATCH($C2290,DATA_ASSET_CLASSIFICATION!$A$8:$A$24,0)),"Review"))</f>
        <v>Yes</v>
      </c>
      <c r="Q2290" s="350" t="str">
        <f t="shared" ca="1" si="71"/>
        <v>OK</v>
      </c>
    </row>
    <row r="2291" spans="1:17">
      <c r="A2291" s="366" t="s">
        <v>4247</v>
      </c>
      <c r="B2291" s="366" t="s">
        <v>231</v>
      </c>
      <c r="C2291" s="348" t="str">
        <f>DATA_PROPERTY_MASTER!$A$11</f>
        <v>BLD_EE</v>
      </c>
      <c r="D2291" s="380">
        <f>'00_PORTFOLIO ROLLUP'!T$12</f>
        <v>2040</v>
      </c>
      <c r="E2291" s="366" t="s">
        <v>1683</v>
      </c>
      <c r="F2291" s="366" t="s">
        <v>29</v>
      </c>
      <c r="G2291" s="348" t="str">
        <f>"'"&amp;$C2291&amp;"'!$E$56:$Y$56"</f>
        <v>'BLD_EE'!$E$56:$Y$56</v>
      </c>
      <c r="H2291" s="381">
        <f ca="1">IF(IFERROR(INDEX(DATA_PROPERTY_MASTER!$E$5:$E$21,MATCH($C2291,DATA_PROPERTY_MASTER!$A$5:$A$21,0))="Yes",FALSE),IFERROR(INDEX(INDIRECT("'"&amp;$C2291&amp;"'!$E$56:$Y$56"),1,MATCH($D2291,INDIRECT("'"&amp;$C2291&amp;"'!$E$12:$Y$12"),0)),0),0)</f>
        <v>127421.29361478795</v>
      </c>
      <c r="I2291" s="366" t="s">
        <v>1685</v>
      </c>
      <c r="J2291" s="348" t="str">
        <f t="shared" ca="1" si="70"/>
        <v>OK</v>
      </c>
      <c r="K2291" s="366" t="s">
        <v>1718</v>
      </c>
      <c r="L2291" s="366" t="s">
        <v>2250</v>
      </c>
      <c r="M2291" s="350" t="str">
        <f>IF($B2291="Portfolio","Portfolio",IFERROR(INDEX(DATA_ASSET_CLASSIFICATION!$B$8:$B$24,MATCH($C2291,DATA_ASSET_CLASSIFICATION!$A$8:$A$24,0)),"Review"))</f>
        <v>Evelyn Estates</v>
      </c>
      <c r="N2291" s="350" t="str">
        <f ca="1">IF($B2291="Portfolio","Portfolio",IFERROR(INDEX(DATA_ASSET_CLASSIFICATION!$U$8:$U$24,MATCH($C2291,DATA_ASSET_CLASSIFICATION!$A$8:$A$24,0)),"Review"))</f>
        <v>Refi Watch</v>
      </c>
      <c r="O2291" s="350" t="str">
        <f ca="1">IF($B2291="Portfolio","Portfolio",IFERROR(INDEX(DATA_ASSET_CLASSIFICATION!$AB$8:$AB$13,MATCH($N2291,DATA_ASSET_CLASSIFICATION!$AA$8:$AA$13,0)),"Review"))</f>
        <v>Bucket 2 · Legacy</v>
      </c>
      <c r="P2291" s="350" t="str">
        <f>IF($B2291="Portfolio","Portfolio",IFERROR(INDEX(DATA_ASSET_CLASSIFICATION!$C$8:$C$24,MATCH($C2291,DATA_ASSET_CLASSIFICATION!$A$8:$A$24,0)),"Review"))</f>
        <v>Yes</v>
      </c>
      <c r="Q2291" s="350" t="str">
        <f t="shared" ca="1" si="71"/>
        <v>OK</v>
      </c>
    </row>
    <row r="2292" spans="1:17">
      <c r="A2292" s="366" t="s">
        <v>4248</v>
      </c>
      <c r="B2292" s="366" t="s">
        <v>231</v>
      </c>
      <c r="C2292" s="348" t="str">
        <f>DATA_PROPERTY_MASTER!$A$11</f>
        <v>BLD_EE</v>
      </c>
      <c r="D2292" s="380">
        <f>'00_PORTFOLIO ROLLUP'!T$12</f>
        <v>2040</v>
      </c>
      <c r="E2292" s="366" t="s">
        <v>1721</v>
      </c>
      <c r="F2292" s="366" t="s">
        <v>31</v>
      </c>
      <c r="G2292" s="348" t="str">
        <f>"'"&amp;$C2292&amp;"'!$E$61:$Y$61"</f>
        <v>'BLD_EE'!$E$61:$Y$61</v>
      </c>
      <c r="H2292" s="381">
        <f ca="1">IF(IFERROR(INDEX(DATA_PROPERTY_MASTER!$E$5:$E$21,MATCH($C2292,DATA_PROPERTY_MASTER!$A$5:$A$21,0))="Yes",FALSE),IFERROR(INDEX(INDIRECT("'"&amp;$C2292&amp;"'!$E$61:$Y$61"),1,MATCH($D2292,INDIRECT("'"&amp;$C2292&amp;"'!$E$12:$Y$12"),0)),0),0)</f>
        <v>0</v>
      </c>
      <c r="I2292" s="366" t="s">
        <v>1690</v>
      </c>
      <c r="J2292" s="348" t="str">
        <f t="shared" ca="1" si="70"/>
        <v>OK</v>
      </c>
      <c r="K2292" s="366" t="s">
        <v>1723</v>
      </c>
      <c r="L2292" s="366" t="s">
        <v>2252</v>
      </c>
      <c r="M2292" s="350" t="str">
        <f>IF($B2292="Portfolio","Portfolio",IFERROR(INDEX(DATA_ASSET_CLASSIFICATION!$B$8:$B$24,MATCH($C2292,DATA_ASSET_CLASSIFICATION!$A$8:$A$24,0)),"Review"))</f>
        <v>Evelyn Estates</v>
      </c>
      <c r="N2292" s="350" t="str">
        <f ca="1">IF($B2292="Portfolio","Portfolio",IFERROR(INDEX(DATA_ASSET_CLASSIFICATION!$U$8:$U$24,MATCH($C2292,DATA_ASSET_CLASSIFICATION!$A$8:$A$24,0)),"Review"))</f>
        <v>Refi Watch</v>
      </c>
      <c r="O2292" s="350" t="str">
        <f ca="1">IF($B2292="Portfolio","Portfolio",IFERROR(INDEX(DATA_ASSET_CLASSIFICATION!$AB$8:$AB$13,MATCH($N2292,DATA_ASSET_CLASSIFICATION!$AA$8:$AA$13,0)),"Review"))</f>
        <v>Bucket 2 · Legacy</v>
      </c>
      <c r="P2292" s="350" t="str">
        <f>IF($B2292="Portfolio","Portfolio",IFERROR(INDEX(DATA_ASSET_CLASSIFICATION!$C$8:$C$24,MATCH($C2292,DATA_ASSET_CLASSIFICATION!$A$8:$A$24,0)),"Review"))</f>
        <v>Yes</v>
      </c>
      <c r="Q2292" s="350" t="str">
        <f t="shared" ca="1" si="71"/>
        <v>OK</v>
      </c>
    </row>
    <row r="2293" spans="1:17">
      <c r="A2293" s="366" t="s">
        <v>4249</v>
      </c>
      <c r="B2293" s="366" t="s">
        <v>231</v>
      </c>
      <c r="C2293" s="348" t="str">
        <f>DATA_PROPERTY_MASTER!$A$11</f>
        <v>BLD_EE</v>
      </c>
      <c r="D2293" s="380">
        <f>'00_PORTFOLIO ROLLUP'!T$12</f>
        <v>2040</v>
      </c>
      <c r="E2293" s="366" t="s">
        <v>1721</v>
      </c>
      <c r="F2293" s="366" t="s">
        <v>33</v>
      </c>
      <c r="G2293" s="348" t="str">
        <f>"'"&amp;$C2293&amp;"'!$E$62:$Y$62"</f>
        <v>'BLD_EE'!$E$62:$Y$62</v>
      </c>
      <c r="H2293" s="381">
        <f ca="1">IF(IFERROR(INDEX(DATA_PROPERTY_MASTER!$E$5:$E$21,MATCH($C2293,DATA_PROPERTY_MASTER!$A$5:$A$21,0))="Yes",FALSE),IFERROR(INDEX(INDIRECT("'"&amp;$C2293&amp;"'!$E$62:$Y$62"),1,MATCH($D2293,INDIRECT("'"&amp;$C2293&amp;"'!$E$12:$Y$12"),0)),0),0)</f>
        <v>0</v>
      </c>
      <c r="I2293" s="366" t="s">
        <v>1685</v>
      </c>
      <c r="J2293" s="348" t="str">
        <f t="shared" ca="1" si="70"/>
        <v>OK</v>
      </c>
      <c r="K2293" s="366" t="s">
        <v>1727</v>
      </c>
      <c r="L2293" s="366" t="s">
        <v>2254</v>
      </c>
      <c r="M2293" s="350" t="str">
        <f>IF($B2293="Portfolio","Portfolio",IFERROR(INDEX(DATA_ASSET_CLASSIFICATION!$B$8:$B$24,MATCH($C2293,DATA_ASSET_CLASSIFICATION!$A$8:$A$24,0)),"Review"))</f>
        <v>Evelyn Estates</v>
      </c>
      <c r="N2293" s="350" t="str">
        <f ca="1">IF($B2293="Portfolio","Portfolio",IFERROR(INDEX(DATA_ASSET_CLASSIFICATION!$U$8:$U$24,MATCH($C2293,DATA_ASSET_CLASSIFICATION!$A$8:$A$24,0)),"Review"))</f>
        <v>Refi Watch</v>
      </c>
      <c r="O2293" s="350" t="str">
        <f ca="1">IF($B2293="Portfolio","Portfolio",IFERROR(INDEX(DATA_ASSET_CLASSIFICATION!$AB$8:$AB$13,MATCH($N2293,DATA_ASSET_CLASSIFICATION!$AA$8:$AA$13,0)),"Review"))</f>
        <v>Bucket 2 · Legacy</v>
      </c>
      <c r="P2293" s="350" t="str">
        <f>IF($B2293="Portfolio","Portfolio",IFERROR(INDEX(DATA_ASSET_CLASSIFICATION!$C$8:$C$24,MATCH($C2293,DATA_ASSET_CLASSIFICATION!$A$8:$A$24,0)),"Review"))</f>
        <v>Yes</v>
      </c>
      <c r="Q2293" s="350" t="str">
        <f t="shared" ca="1" si="71"/>
        <v>OK</v>
      </c>
    </row>
    <row r="2294" spans="1:17">
      <c r="A2294" s="366" t="s">
        <v>4250</v>
      </c>
      <c r="B2294" s="366" t="s">
        <v>231</v>
      </c>
      <c r="C2294" s="348" t="str">
        <f>DATA_PROPERTY_MASTER!$A$11</f>
        <v>BLD_EE</v>
      </c>
      <c r="D2294" s="380">
        <f>'00_PORTFOLIO ROLLUP'!T$12</f>
        <v>2040</v>
      </c>
      <c r="E2294" s="366" t="s">
        <v>1721</v>
      </c>
      <c r="F2294" s="366" t="s">
        <v>35</v>
      </c>
      <c r="G2294" s="348" t="str">
        <f>"'"&amp;$C2294&amp;"'!$E$63:$Y$63"</f>
        <v>'BLD_EE'!$E$63:$Y$63</v>
      </c>
      <c r="H2294" s="381">
        <f ca="1">IF(IFERROR(INDEX(DATA_PROPERTY_MASTER!$E$5:$E$21,MATCH($C2294,DATA_PROPERTY_MASTER!$A$5:$A$21,0))="Yes",FALSE),IFERROR(INDEX(INDIRECT("'"&amp;$C2294&amp;"'!$E$63:$Y$63"),1,MATCH($D2294,INDIRECT("'"&amp;$C2294&amp;"'!$E$12:$Y$12"),0)),0),0)</f>
        <v>0</v>
      </c>
      <c r="I2294" s="366" t="s">
        <v>1731</v>
      </c>
      <c r="J2294" s="348" t="str">
        <f t="shared" ca="1" si="70"/>
        <v>OK</v>
      </c>
      <c r="K2294" s="366" t="s">
        <v>1732</v>
      </c>
      <c r="L2294" s="366" t="s">
        <v>2256</v>
      </c>
      <c r="M2294" s="350" t="str">
        <f>IF($B2294="Portfolio","Portfolio",IFERROR(INDEX(DATA_ASSET_CLASSIFICATION!$B$8:$B$24,MATCH($C2294,DATA_ASSET_CLASSIFICATION!$A$8:$A$24,0)),"Review"))</f>
        <v>Evelyn Estates</v>
      </c>
      <c r="N2294" s="350" t="str">
        <f ca="1">IF($B2294="Portfolio","Portfolio",IFERROR(INDEX(DATA_ASSET_CLASSIFICATION!$U$8:$U$24,MATCH($C2294,DATA_ASSET_CLASSIFICATION!$A$8:$A$24,0)),"Review"))</f>
        <v>Refi Watch</v>
      </c>
      <c r="O2294" s="350" t="str">
        <f ca="1">IF($B2294="Portfolio","Portfolio",IFERROR(INDEX(DATA_ASSET_CLASSIFICATION!$AB$8:$AB$13,MATCH($N2294,DATA_ASSET_CLASSIFICATION!$AA$8:$AA$13,0)),"Review"))</f>
        <v>Bucket 2 · Legacy</v>
      </c>
      <c r="P2294" s="350" t="str">
        <f>IF($B2294="Portfolio","Portfolio",IFERROR(INDEX(DATA_ASSET_CLASSIFICATION!$C$8:$C$24,MATCH($C2294,DATA_ASSET_CLASSIFICATION!$A$8:$A$24,0)),"Review"))</f>
        <v>Yes</v>
      </c>
      <c r="Q2294" s="350" t="str">
        <f t="shared" ca="1" si="71"/>
        <v>OK</v>
      </c>
    </row>
    <row r="2295" spans="1:17">
      <c r="A2295" s="366" t="s">
        <v>4251</v>
      </c>
      <c r="B2295" s="366" t="s">
        <v>231</v>
      </c>
      <c r="C2295" s="348" t="str">
        <f>DATA_PROPERTY_MASTER!$A$11</f>
        <v>BLD_EE</v>
      </c>
      <c r="D2295" s="380">
        <f>'00_PORTFOLIO ROLLUP'!T$12</f>
        <v>2040</v>
      </c>
      <c r="E2295" s="366" t="s">
        <v>1721</v>
      </c>
      <c r="F2295" s="366" t="s">
        <v>37</v>
      </c>
      <c r="G2295" s="348" t="str">
        <f>"'"&amp;$C2295&amp;"'!$E$63:$Y$63"</f>
        <v>'BLD_EE'!$E$63:$Y$63</v>
      </c>
      <c r="H2295" s="381">
        <f ca="1">IF(IFERROR(INDEX(DATA_PROPERTY_MASTER!$E$5:$E$21,MATCH($C2295,DATA_PROPERTY_MASTER!$A$5:$A$21,0))="Yes",FALSE),MAX(IFERROR(INDEX(INDIRECT("'"&amp;$C2295&amp;"'!$E$63:$Y$63"),1,MATCH($D2295,INDIRECT("'"&amp;$C2295&amp;"'!$E$12:$Y$12"),0)),0),0),0)</f>
        <v>0</v>
      </c>
      <c r="I2295" s="366" t="s">
        <v>1685</v>
      </c>
      <c r="J2295" s="348" t="str">
        <f t="shared" ca="1" si="70"/>
        <v>OK</v>
      </c>
      <c r="K2295" s="366" t="s">
        <v>1735</v>
      </c>
      <c r="L2295" s="366" t="s">
        <v>2258</v>
      </c>
      <c r="M2295" s="350" t="str">
        <f>IF($B2295="Portfolio","Portfolio",IFERROR(INDEX(DATA_ASSET_CLASSIFICATION!$B$8:$B$24,MATCH($C2295,DATA_ASSET_CLASSIFICATION!$A$8:$A$24,0)),"Review"))</f>
        <v>Evelyn Estates</v>
      </c>
      <c r="N2295" s="350" t="str">
        <f ca="1">IF($B2295="Portfolio","Portfolio",IFERROR(INDEX(DATA_ASSET_CLASSIFICATION!$U$8:$U$24,MATCH($C2295,DATA_ASSET_CLASSIFICATION!$A$8:$A$24,0)),"Review"))</f>
        <v>Refi Watch</v>
      </c>
      <c r="O2295" s="350" t="str">
        <f ca="1">IF($B2295="Portfolio","Portfolio",IFERROR(INDEX(DATA_ASSET_CLASSIFICATION!$AB$8:$AB$13,MATCH($N2295,DATA_ASSET_CLASSIFICATION!$AA$8:$AA$13,0)),"Review"))</f>
        <v>Bucket 2 · Legacy</v>
      </c>
      <c r="P2295" s="350" t="str">
        <f>IF($B2295="Portfolio","Portfolio",IFERROR(INDEX(DATA_ASSET_CLASSIFICATION!$C$8:$C$24,MATCH($C2295,DATA_ASSET_CLASSIFICATION!$A$8:$A$24,0)),"Review"))</f>
        <v>Yes</v>
      </c>
      <c r="Q2295" s="350" t="str">
        <f t="shared" ca="1" si="71"/>
        <v>OK</v>
      </c>
    </row>
    <row r="2296" spans="1:17">
      <c r="A2296" s="366" t="s">
        <v>4252</v>
      </c>
      <c r="B2296" s="366" t="s">
        <v>231</v>
      </c>
      <c r="C2296" s="348" t="str">
        <f>DATA_PROPERTY_MASTER!$A$11</f>
        <v>BLD_EE</v>
      </c>
      <c r="D2296" s="380">
        <f>'00_PORTFOLIO ROLLUP'!T$12</f>
        <v>2040</v>
      </c>
      <c r="E2296" s="366" t="s">
        <v>1721</v>
      </c>
      <c r="F2296" s="366" t="s">
        <v>39</v>
      </c>
      <c r="G2296" s="348" t="str">
        <f>"'"&amp;$C2296&amp;"'!$E$63:$Y$63"</f>
        <v>'BLD_EE'!$E$63:$Y$63</v>
      </c>
      <c r="H2296" s="381">
        <f ca="1">IF(IFERROR(INDEX(DATA_PROPERTY_MASTER!$E$5:$E$21,MATCH($C2296,DATA_PROPERTY_MASTER!$A$5:$A$21,0))="Yes",FALSE),MAX(-IFERROR(INDEX(INDIRECT("'"&amp;$C2296&amp;"'!$E$63:$Y$63"),1,MATCH($D2296,INDIRECT("'"&amp;$C2296&amp;"'!$E$12:$Y$12"),0)),0),0),0)</f>
        <v>0</v>
      </c>
      <c r="I2296" s="366" t="s">
        <v>1690</v>
      </c>
      <c r="J2296" s="348" t="str">
        <f t="shared" ca="1" si="70"/>
        <v>OK</v>
      </c>
      <c r="K2296" s="366" t="s">
        <v>1738</v>
      </c>
      <c r="L2296" s="366" t="s">
        <v>2260</v>
      </c>
      <c r="M2296" s="350" t="str">
        <f>IF($B2296="Portfolio","Portfolio",IFERROR(INDEX(DATA_ASSET_CLASSIFICATION!$B$8:$B$24,MATCH($C2296,DATA_ASSET_CLASSIFICATION!$A$8:$A$24,0)),"Review"))</f>
        <v>Evelyn Estates</v>
      </c>
      <c r="N2296" s="350" t="str">
        <f ca="1">IF($B2296="Portfolio","Portfolio",IFERROR(INDEX(DATA_ASSET_CLASSIFICATION!$U$8:$U$24,MATCH($C2296,DATA_ASSET_CLASSIFICATION!$A$8:$A$24,0)),"Review"))</f>
        <v>Refi Watch</v>
      </c>
      <c r="O2296" s="350" t="str">
        <f ca="1">IF($B2296="Portfolio","Portfolio",IFERROR(INDEX(DATA_ASSET_CLASSIFICATION!$AB$8:$AB$13,MATCH($N2296,DATA_ASSET_CLASSIFICATION!$AA$8:$AA$13,0)),"Review"))</f>
        <v>Bucket 2 · Legacy</v>
      </c>
      <c r="P2296" s="350" t="str">
        <f>IF($B2296="Portfolio","Portfolio",IFERROR(INDEX(DATA_ASSET_CLASSIFICATION!$C$8:$C$24,MATCH($C2296,DATA_ASSET_CLASSIFICATION!$A$8:$A$24,0)),"Review"))</f>
        <v>Yes</v>
      </c>
      <c r="Q2296" s="350" t="str">
        <f t="shared" ca="1" si="71"/>
        <v>OK</v>
      </c>
    </row>
    <row r="2297" spans="1:17">
      <c r="A2297" s="366" t="s">
        <v>4253</v>
      </c>
      <c r="B2297" s="366" t="s">
        <v>231</v>
      </c>
      <c r="C2297" s="348" t="str">
        <f>DATA_PROPERTY_MASTER!$A$11</f>
        <v>BLD_EE</v>
      </c>
      <c r="D2297" s="380">
        <f>'00_PORTFOLIO ROLLUP'!T$12</f>
        <v>2040</v>
      </c>
      <c r="E2297" s="366" t="s">
        <v>1741</v>
      </c>
      <c r="F2297" s="366" t="s">
        <v>41</v>
      </c>
      <c r="G2297" s="348" t="str">
        <f>"'"&amp;$C2297&amp;"'!rows 56 + positive row 63"</f>
        <v>'BLD_EE'!rows 56 + positive row 63</v>
      </c>
      <c r="H2297" s="381">
        <f ca="1">IF(IFERROR(INDEX(DATA_PROPERTY_MASTER!$E$5:$E$21,MATCH($C2297,DATA_PROPERTY_MASTER!$A$5:$A$21,0))="Yes",FALSE),IFERROR(INDEX(INDIRECT("'"&amp;$C2297&amp;"'!$E$56:$Y$56"),1,MATCH($D2297,INDIRECT("'"&amp;$C2297&amp;"'!$E$12:$Y$12"),0)),0)+MAX(IFERROR(INDEX(INDIRECT("'"&amp;$C2297&amp;"'!$E$63:$Y$63"),1,MATCH($D2297,INDIRECT("'"&amp;$C2297&amp;"'!$E$12:$Y$12"),0)),0),0),0)</f>
        <v>127421.29361478795</v>
      </c>
      <c r="I2297" s="366" t="s">
        <v>1685</v>
      </c>
      <c r="J2297" s="348" t="str">
        <f t="shared" ca="1" si="70"/>
        <v>OK</v>
      </c>
      <c r="K2297" s="366" t="s">
        <v>1742</v>
      </c>
      <c r="L2297" s="366" t="s">
        <v>2262</v>
      </c>
      <c r="M2297" s="350" t="str">
        <f>IF($B2297="Portfolio","Portfolio",IFERROR(INDEX(DATA_ASSET_CLASSIFICATION!$B$8:$B$24,MATCH($C2297,DATA_ASSET_CLASSIFICATION!$A$8:$A$24,0)),"Review"))</f>
        <v>Evelyn Estates</v>
      </c>
      <c r="N2297" s="350" t="str">
        <f ca="1">IF($B2297="Portfolio","Portfolio",IFERROR(INDEX(DATA_ASSET_CLASSIFICATION!$U$8:$U$24,MATCH($C2297,DATA_ASSET_CLASSIFICATION!$A$8:$A$24,0)),"Review"))</f>
        <v>Refi Watch</v>
      </c>
      <c r="O2297" s="350" t="str">
        <f ca="1">IF($B2297="Portfolio","Portfolio",IFERROR(INDEX(DATA_ASSET_CLASSIFICATION!$AB$8:$AB$13,MATCH($N2297,DATA_ASSET_CLASSIFICATION!$AA$8:$AA$13,0)),"Review"))</f>
        <v>Bucket 2 · Legacy</v>
      </c>
      <c r="P2297" s="350" t="str">
        <f>IF($B2297="Portfolio","Portfolio",IFERROR(INDEX(DATA_ASSET_CLASSIFICATION!$C$8:$C$24,MATCH($C2297,DATA_ASSET_CLASSIFICATION!$A$8:$A$24,0)),"Review"))</f>
        <v>Yes</v>
      </c>
      <c r="Q2297" s="350" t="str">
        <f t="shared" ca="1" si="71"/>
        <v>OK</v>
      </c>
    </row>
    <row r="2298" spans="1:17">
      <c r="A2298" s="366" t="s">
        <v>4254</v>
      </c>
      <c r="B2298" s="366" t="s">
        <v>231</v>
      </c>
      <c r="C2298" s="348" t="str">
        <f>DATA_PROPERTY_MASTER!$A$11</f>
        <v>BLD_EE</v>
      </c>
      <c r="D2298" s="380">
        <f>'00_PORTFOLIO ROLLUP'!T$12</f>
        <v>2040</v>
      </c>
      <c r="E2298" s="366" t="s">
        <v>1741</v>
      </c>
      <c r="F2298" s="366" t="s">
        <v>43</v>
      </c>
      <c r="G2298" s="348" t="str">
        <f>"'"&amp;$C2298&amp;"'!$E$68:$Y$68"</f>
        <v>'BLD_EE'!$E$68:$Y$68</v>
      </c>
      <c r="H2298" s="381">
        <f ca="1">IF(IFERROR(INDEX(DATA_PROPERTY_MASTER!$E$5:$E$21,MATCH($C2298,DATA_PROPERTY_MASTER!$A$5:$A$21,0))="Yes",FALSE),IFERROR(INDEX(INDIRECT("'"&amp;$C2298&amp;"'!$E$68:$Y$68"),1,MATCH($D2298,INDIRECT("'"&amp;$C2298&amp;"'!$E$12:$Y$12"),0)),0),0)</f>
        <v>127421.29361478795</v>
      </c>
      <c r="I2298" s="366" t="s">
        <v>1731</v>
      </c>
      <c r="J2298" s="348" t="str">
        <f t="shared" ca="1" si="70"/>
        <v>OK</v>
      </c>
      <c r="K2298" s="366" t="s">
        <v>1746</v>
      </c>
      <c r="L2298" s="366" t="s">
        <v>2264</v>
      </c>
      <c r="M2298" s="350" t="str">
        <f>IF($B2298="Portfolio","Portfolio",IFERROR(INDEX(DATA_ASSET_CLASSIFICATION!$B$8:$B$24,MATCH($C2298,DATA_ASSET_CLASSIFICATION!$A$8:$A$24,0)),"Review"))</f>
        <v>Evelyn Estates</v>
      </c>
      <c r="N2298" s="350" t="str">
        <f ca="1">IF($B2298="Portfolio","Portfolio",IFERROR(INDEX(DATA_ASSET_CLASSIFICATION!$U$8:$U$24,MATCH($C2298,DATA_ASSET_CLASSIFICATION!$A$8:$A$24,0)),"Review"))</f>
        <v>Refi Watch</v>
      </c>
      <c r="O2298" s="350" t="str">
        <f ca="1">IF($B2298="Portfolio","Portfolio",IFERROR(INDEX(DATA_ASSET_CLASSIFICATION!$AB$8:$AB$13,MATCH($N2298,DATA_ASSET_CLASSIFICATION!$AA$8:$AA$13,0)),"Review"))</f>
        <v>Bucket 2 · Legacy</v>
      </c>
      <c r="P2298" s="350" t="str">
        <f>IF($B2298="Portfolio","Portfolio",IFERROR(INDEX(DATA_ASSET_CLASSIFICATION!$C$8:$C$24,MATCH($C2298,DATA_ASSET_CLASSIFICATION!$A$8:$A$24,0)),"Review"))</f>
        <v>Yes</v>
      </c>
      <c r="Q2298" s="350" t="str">
        <f t="shared" ca="1" si="71"/>
        <v>OK</v>
      </c>
    </row>
    <row r="2299" spans="1:17">
      <c r="A2299" s="366" t="s">
        <v>4255</v>
      </c>
      <c r="B2299" s="366" t="s">
        <v>231</v>
      </c>
      <c r="C2299" s="348" t="str">
        <f>DATA_PROPERTY_MASTER!$A$11</f>
        <v>BLD_EE</v>
      </c>
      <c r="D2299" s="380">
        <f>'00_PORTFOLIO ROLLUP'!T$12</f>
        <v>2040</v>
      </c>
      <c r="E2299" s="366" t="s">
        <v>1741</v>
      </c>
      <c r="F2299" s="366" t="s">
        <v>1749</v>
      </c>
      <c r="G2299" s="348" t="str">
        <f>"'"&amp;$C2299&amp;"'!rows 56, 63, 68"</f>
        <v>'BLD_EE'!rows 56, 63, 68</v>
      </c>
      <c r="H2299" s="381">
        <f ca="1">IF(IFERROR(INDEX(DATA_PROPERTY_MASTER!$E$5:$E$21,MATCH($C2299,DATA_PROPERTY_MASTER!$A$5:$A$21,0))="Yes",FALSE),(IFERROR(INDEX(INDIRECT("'"&amp;$C2299&amp;"'!$E$56:$Y$56"),1,MATCH($D2299,INDIRECT("'"&amp;$C2299&amp;"'!$E$12:$Y$12"),0)),0)+MAX(IFERROR(INDEX(INDIRECT("'"&amp;$C2299&amp;"'!$E$63:$Y$63"),1,MATCH($D2299,INDIRECT("'"&amp;$C2299&amp;"'!$E$12:$Y$12"),0)),0),0))-(IFERROR(INDEX(INDIRECT("'"&amp;$C2299&amp;"'!$E$68:$Y$68"),1,MATCH($D2299,INDIRECT("'"&amp;$C2299&amp;"'!$E$12:$Y$12"),0)),0)),0)</f>
        <v>0</v>
      </c>
      <c r="I2299" s="366" t="s">
        <v>1750</v>
      </c>
      <c r="J2299" s="348" t="str">
        <f t="shared" ca="1" si="70"/>
        <v>OK</v>
      </c>
      <c r="K2299" s="366" t="s">
        <v>1751</v>
      </c>
      <c r="L2299" s="366" t="s">
        <v>2266</v>
      </c>
      <c r="M2299" s="350" t="str">
        <f>IF($B2299="Portfolio","Portfolio",IFERROR(INDEX(DATA_ASSET_CLASSIFICATION!$B$8:$B$24,MATCH($C2299,DATA_ASSET_CLASSIFICATION!$A$8:$A$24,0)),"Review"))</f>
        <v>Evelyn Estates</v>
      </c>
      <c r="N2299" s="350" t="str">
        <f ca="1">IF($B2299="Portfolio","Portfolio",IFERROR(INDEX(DATA_ASSET_CLASSIFICATION!$U$8:$U$24,MATCH($C2299,DATA_ASSET_CLASSIFICATION!$A$8:$A$24,0)),"Review"))</f>
        <v>Refi Watch</v>
      </c>
      <c r="O2299" s="350" t="str">
        <f ca="1">IF($B2299="Portfolio","Portfolio",IFERROR(INDEX(DATA_ASSET_CLASSIFICATION!$AB$8:$AB$13,MATCH($N2299,DATA_ASSET_CLASSIFICATION!$AA$8:$AA$13,0)),"Review"))</f>
        <v>Bucket 2 · Legacy</v>
      </c>
      <c r="P2299" s="350" t="str">
        <f>IF($B2299="Portfolio","Portfolio",IFERROR(INDEX(DATA_ASSET_CLASSIFICATION!$C$8:$C$24,MATCH($C2299,DATA_ASSET_CLASSIFICATION!$A$8:$A$24,0)),"Review"))</f>
        <v>Yes</v>
      </c>
      <c r="Q2299" s="350" t="str">
        <f t="shared" ca="1" si="71"/>
        <v>OK</v>
      </c>
    </row>
    <row r="2300" spans="1:17">
      <c r="A2300" s="366" t="s">
        <v>4256</v>
      </c>
      <c r="B2300" s="366" t="s">
        <v>231</v>
      </c>
      <c r="C2300" s="348" t="str">
        <f>DATA_PROPERTY_MASTER!$A$11</f>
        <v>BLD_EE</v>
      </c>
      <c r="D2300" s="380">
        <f>'00_PORTFOLIO ROLLUP'!U$12</f>
        <v>2041</v>
      </c>
      <c r="E2300" s="366" t="s">
        <v>1683</v>
      </c>
      <c r="F2300" s="366" t="s">
        <v>341</v>
      </c>
      <c r="G2300" s="348" t="str">
        <f>"'"&amp;$C2300&amp;"'!$E$24:$Y$24"</f>
        <v>'BLD_EE'!$E$24:$Y$24</v>
      </c>
      <c r="H2300" s="381">
        <f ca="1">IF(IFERROR(INDEX(DATA_PROPERTY_MASTER!$E$5:$E$21,MATCH($C2300,DATA_PROPERTY_MASTER!$A$5:$A$21,0))="Yes",FALSE),IFERROR(INDEX(INDIRECT("'"&amp;$C2300&amp;"'!$E$24:$Y$24"),1,MATCH($D2300,INDIRECT("'"&amp;$C2300&amp;"'!$E$12:$Y$12"),0)),0),0)</f>
        <v>690233.92891272099</v>
      </c>
      <c r="I2300" s="366" t="s">
        <v>1685</v>
      </c>
      <c r="J2300" s="348" t="str">
        <f t="shared" ca="1" si="70"/>
        <v>OK</v>
      </c>
      <c r="K2300" s="366" t="s">
        <v>1686</v>
      </c>
      <c r="L2300" s="366" t="s">
        <v>2234</v>
      </c>
      <c r="M2300" s="350" t="str">
        <f>IF($B2300="Portfolio","Portfolio",IFERROR(INDEX(DATA_ASSET_CLASSIFICATION!$B$8:$B$24,MATCH($C2300,DATA_ASSET_CLASSIFICATION!$A$8:$A$24,0)),"Review"))</f>
        <v>Evelyn Estates</v>
      </c>
      <c r="N2300" s="350" t="str">
        <f ca="1">IF($B2300="Portfolio","Portfolio",IFERROR(INDEX(DATA_ASSET_CLASSIFICATION!$U$8:$U$24,MATCH($C2300,DATA_ASSET_CLASSIFICATION!$A$8:$A$24,0)),"Review"))</f>
        <v>Refi Watch</v>
      </c>
      <c r="O2300" s="350" t="str">
        <f ca="1">IF($B2300="Portfolio","Portfolio",IFERROR(INDEX(DATA_ASSET_CLASSIFICATION!$AB$8:$AB$13,MATCH($N2300,DATA_ASSET_CLASSIFICATION!$AA$8:$AA$13,0)),"Review"))</f>
        <v>Bucket 2 · Legacy</v>
      </c>
      <c r="P2300" s="350" t="str">
        <f>IF($B2300="Portfolio","Portfolio",IFERROR(INDEX(DATA_ASSET_CLASSIFICATION!$C$8:$C$24,MATCH($C2300,DATA_ASSET_CLASSIFICATION!$A$8:$A$24,0)),"Review"))</f>
        <v>Yes</v>
      </c>
      <c r="Q2300" s="350" t="str">
        <f t="shared" ca="1" si="71"/>
        <v>OK</v>
      </c>
    </row>
    <row r="2301" spans="1:17">
      <c r="A2301" s="366" t="s">
        <v>4257</v>
      </c>
      <c r="B2301" s="366" t="s">
        <v>231</v>
      </c>
      <c r="C2301" s="348" t="str">
        <f>DATA_PROPERTY_MASTER!$A$11</f>
        <v>BLD_EE</v>
      </c>
      <c r="D2301" s="380">
        <f>'00_PORTFOLIO ROLLUP'!U$12</f>
        <v>2041</v>
      </c>
      <c r="E2301" s="366" t="s">
        <v>1683</v>
      </c>
      <c r="F2301" s="366" t="s">
        <v>355</v>
      </c>
      <c r="G2301" s="348" t="str">
        <f>"'"&amp;$C2301&amp;"'!$E$39:$Y$39"</f>
        <v>'BLD_EE'!$E$39:$Y$39</v>
      </c>
      <c r="H2301" s="381">
        <f ca="1">IF(IFERROR(INDEX(DATA_PROPERTY_MASTER!$E$5:$E$21,MATCH($C2301,DATA_PROPERTY_MASTER!$A$5:$A$21,0))="Yes",FALSE),IFERROR(INDEX(INDIRECT("'"&amp;$C2301&amp;"'!$E$39:$Y$39"),1,MATCH($D2301,INDIRECT("'"&amp;$C2301&amp;"'!$E$12:$Y$12"),0)),0),0)</f>
        <v>367100.36367635976</v>
      </c>
      <c r="I2301" s="366" t="s">
        <v>1690</v>
      </c>
      <c r="J2301" s="348" t="str">
        <f t="shared" ca="1" si="70"/>
        <v>OK</v>
      </c>
      <c r="K2301" s="366" t="s">
        <v>1686</v>
      </c>
      <c r="L2301" s="366" t="s">
        <v>2236</v>
      </c>
      <c r="M2301" s="350" t="str">
        <f>IF($B2301="Portfolio","Portfolio",IFERROR(INDEX(DATA_ASSET_CLASSIFICATION!$B$8:$B$24,MATCH($C2301,DATA_ASSET_CLASSIFICATION!$A$8:$A$24,0)),"Review"))</f>
        <v>Evelyn Estates</v>
      </c>
      <c r="N2301" s="350" t="str">
        <f ca="1">IF($B2301="Portfolio","Portfolio",IFERROR(INDEX(DATA_ASSET_CLASSIFICATION!$U$8:$U$24,MATCH($C2301,DATA_ASSET_CLASSIFICATION!$A$8:$A$24,0)),"Review"))</f>
        <v>Refi Watch</v>
      </c>
      <c r="O2301" s="350" t="str">
        <f ca="1">IF($B2301="Portfolio","Portfolio",IFERROR(INDEX(DATA_ASSET_CLASSIFICATION!$AB$8:$AB$13,MATCH($N2301,DATA_ASSET_CLASSIFICATION!$AA$8:$AA$13,0)),"Review"))</f>
        <v>Bucket 2 · Legacy</v>
      </c>
      <c r="P2301" s="350" t="str">
        <f>IF($B2301="Portfolio","Portfolio",IFERROR(INDEX(DATA_ASSET_CLASSIFICATION!$C$8:$C$24,MATCH($C2301,DATA_ASSET_CLASSIFICATION!$A$8:$A$24,0)),"Review"))</f>
        <v>Yes</v>
      </c>
      <c r="Q2301" s="350" t="str">
        <f t="shared" ca="1" si="71"/>
        <v>OK</v>
      </c>
    </row>
    <row r="2302" spans="1:17">
      <c r="A2302" s="366" t="s">
        <v>4258</v>
      </c>
      <c r="B2302" s="366" t="s">
        <v>231</v>
      </c>
      <c r="C2302" s="348" t="str">
        <f>DATA_PROPERTY_MASTER!$A$11</f>
        <v>BLD_EE</v>
      </c>
      <c r="D2302" s="380">
        <f>'00_PORTFOLIO ROLLUP'!U$12</f>
        <v>2041</v>
      </c>
      <c r="E2302" s="366" t="s">
        <v>1683</v>
      </c>
      <c r="F2302" s="366" t="s">
        <v>19</v>
      </c>
      <c r="G2302" s="348" t="str">
        <f>"'"&amp;$C2302&amp;"'!$E$41:$Y$41"</f>
        <v>'BLD_EE'!$E$41:$Y$41</v>
      </c>
      <c r="H2302" s="381">
        <f ca="1">IF(IFERROR(INDEX(DATA_PROPERTY_MASTER!$E$5:$E$21,MATCH($C2302,DATA_PROPERTY_MASTER!$A$5:$A$21,0))="Yes",FALSE),IFERROR(INDEX(INDIRECT("'"&amp;$C2302&amp;"'!$E$41:$Y$41"),1,MATCH($D2302,INDIRECT("'"&amp;$C2302&amp;"'!$E$12:$Y$12"),0)),0),0)</f>
        <v>323133.56523636123</v>
      </c>
      <c r="I2302" s="366" t="s">
        <v>1685</v>
      </c>
      <c r="J2302" s="348" t="str">
        <f t="shared" ca="1" si="70"/>
        <v>OK</v>
      </c>
      <c r="K2302" s="366" t="s">
        <v>1694</v>
      </c>
      <c r="L2302" s="366" t="s">
        <v>2238</v>
      </c>
      <c r="M2302" s="350" t="str">
        <f>IF($B2302="Portfolio","Portfolio",IFERROR(INDEX(DATA_ASSET_CLASSIFICATION!$B$8:$B$24,MATCH($C2302,DATA_ASSET_CLASSIFICATION!$A$8:$A$24,0)),"Review"))</f>
        <v>Evelyn Estates</v>
      </c>
      <c r="N2302" s="350" t="str">
        <f ca="1">IF($B2302="Portfolio","Portfolio",IFERROR(INDEX(DATA_ASSET_CLASSIFICATION!$U$8:$U$24,MATCH($C2302,DATA_ASSET_CLASSIFICATION!$A$8:$A$24,0)),"Review"))</f>
        <v>Refi Watch</v>
      </c>
      <c r="O2302" s="350" t="str">
        <f ca="1">IF($B2302="Portfolio","Portfolio",IFERROR(INDEX(DATA_ASSET_CLASSIFICATION!$AB$8:$AB$13,MATCH($N2302,DATA_ASSET_CLASSIFICATION!$AA$8:$AA$13,0)),"Review"))</f>
        <v>Bucket 2 · Legacy</v>
      </c>
      <c r="P2302" s="350" t="str">
        <f>IF($B2302="Portfolio","Portfolio",IFERROR(INDEX(DATA_ASSET_CLASSIFICATION!$C$8:$C$24,MATCH($C2302,DATA_ASSET_CLASSIFICATION!$A$8:$A$24,0)),"Review"))</f>
        <v>Yes</v>
      </c>
      <c r="Q2302" s="350" t="str">
        <f t="shared" ca="1" si="71"/>
        <v>OK</v>
      </c>
    </row>
    <row r="2303" spans="1:17">
      <c r="A2303" s="366" t="s">
        <v>4259</v>
      </c>
      <c r="B2303" s="366" t="s">
        <v>231</v>
      </c>
      <c r="C2303" s="348" t="str">
        <f>DATA_PROPERTY_MASTER!$A$11</f>
        <v>BLD_EE</v>
      </c>
      <c r="D2303" s="380">
        <f>'00_PORTFOLIO ROLLUP'!U$12</f>
        <v>2041</v>
      </c>
      <c r="E2303" s="366" t="s">
        <v>1683</v>
      </c>
      <c r="F2303" s="366" t="s">
        <v>1697</v>
      </c>
      <c r="G2303" s="348" t="str">
        <f>"'"&amp;$C2303&amp;"'!$E$44:$Y$44"</f>
        <v>'BLD_EE'!$E$44:$Y$44</v>
      </c>
      <c r="H2303" s="381">
        <f ca="1">IF(IFERROR(INDEX(DATA_PROPERTY_MASTER!$E$5:$E$21,MATCH($C2303,DATA_PROPERTY_MASTER!$A$5:$A$21,0))="Yes",FALSE),IFERROR(INDEX(INDIRECT("'"&amp;$C2303&amp;"'!$E$44:$Y$44"),1,MATCH($D2303,INDIRECT("'"&amp;$C2303&amp;"'!$E$12:$Y$12"),0)),0),0)</f>
        <v>7413.0428074893052</v>
      </c>
      <c r="I2303" s="366" t="s">
        <v>1690</v>
      </c>
      <c r="J2303" s="348" t="str">
        <f t="shared" ca="1" si="70"/>
        <v>OK</v>
      </c>
      <c r="K2303" s="366" t="s">
        <v>1699</v>
      </c>
      <c r="L2303" s="366" t="s">
        <v>2240</v>
      </c>
      <c r="M2303" s="350" t="str">
        <f>IF($B2303="Portfolio","Portfolio",IFERROR(INDEX(DATA_ASSET_CLASSIFICATION!$B$8:$B$24,MATCH($C2303,DATA_ASSET_CLASSIFICATION!$A$8:$A$24,0)),"Review"))</f>
        <v>Evelyn Estates</v>
      </c>
      <c r="N2303" s="350" t="str">
        <f ca="1">IF($B2303="Portfolio","Portfolio",IFERROR(INDEX(DATA_ASSET_CLASSIFICATION!$U$8:$U$24,MATCH($C2303,DATA_ASSET_CLASSIFICATION!$A$8:$A$24,0)),"Review"))</f>
        <v>Refi Watch</v>
      </c>
      <c r="O2303" s="350" t="str">
        <f ca="1">IF($B2303="Portfolio","Portfolio",IFERROR(INDEX(DATA_ASSET_CLASSIFICATION!$AB$8:$AB$13,MATCH($N2303,DATA_ASSET_CLASSIFICATION!$AA$8:$AA$13,0)),"Review"))</f>
        <v>Bucket 2 · Legacy</v>
      </c>
      <c r="P2303" s="350" t="str">
        <f>IF($B2303="Portfolio","Portfolio",IFERROR(INDEX(DATA_ASSET_CLASSIFICATION!$C$8:$C$24,MATCH($C2303,DATA_ASSET_CLASSIFICATION!$A$8:$A$24,0)),"Review"))</f>
        <v>Yes</v>
      </c>
      <c r="Q2303" s="350" t="str">
        <f t="shared" ca="1" si="71"/>
        <v>OK</v>
      </c>
    </row>
    <row r="2304" spans="1:17">
      <c r="A2304" s="366" t="s">
        <v>4260</v>
      </c>
      <c r="B2304" s="366" t="s">
        <v>231</v>
      </c>
      <c r="C2304" s="348" t="str">
        <f>DATA_PROPERTY_MASTER!$A$11</f>
        <v>BLD_EE</v>
      </c>
      <c r="D2304" s="380">
        <f>'00_PORTFOLIO ROLLUP'!U$12</f>
        <v>2041</v>
      </c>
      <c r="E2304" s="366" t="s">
        <v>1683</v>
      </c>
      <c r="F2304" s="366" t="s">
        <v>21</v>
      </c>
      <c r="G2304" s="348" t="str">
        <f>"'"&amp;$C2304&amp;"'!$E$45:$Y$45"</f>
        <v>'BLD_EE'!$E$45:$Y$45</v>
      </c>
      <c r="H2304" s="381">
        <f ca="1">IF(IFERROR(INDEX(DATA_PROPERTY_MASTER!$E$5:$E$21,MATCH($C2304,DATA_PROPERTY_MASTER!$A$5:$A$21,0))="Yes",FALSE),IFERROR(INDEX(INDIRECT("'"&amp;$C2304&amp;"'!$E$45:$Y$45"),1,MATCH($D2304,INDIRECT("'"&amp;$C2304&amp;"'!$E$12:$Y$12"),0)),0),0)</f>
        <v>315720.52242887195</v>
      </c>
      <c r="I2304" s="366" t="s">
        <v>1685</v>
      </c>
      <c r="J2304" s="348" t="str">
        <f t="shared" ca="1" si="70"/>
        <v>OK</v>
      </c>
      <c r="K2304" s="366" t="s">
        <v>1694</v>
      </c>
      <c r="L2304" s="366" t="s">
        <v>2242</v>
      </c>
      <c r="M2304" s="350" t="str">
        <f>IF($B2304="Portfolio","Portfolio",IFERROR(INDEX(DATA_ASSET_CLASSIFICATION!$B$8:$B$24,MATCH($C2304,DATA_ASSET_CLASSIFICATION!$A$8:$A$24,0)),"Review"))</f>
        <v>Evelyn Estates</v>
      </c>
      <c r="N2304" s="350" t="str">
        <f ca="1">IF($B2304="Portfolio","Portfolio",IFERROR(INDEX(DATA_ASSET_CLASSIFICATION!$U$8:$U$24,MATCH($C2304,DATA_ASSET_CLASSIFICATION!$A$8:$A$24,0)),"Review"))</f>
        <v>Refi Watch</v>
      </c>
      <c r="O2304" s="350" t="str">
        <f ca="1">IF($B2304="Portfolio","Portfolio",IFERROR(INDEX(DATA_ASSET_CLASSIFICATION!$AB$8:$AB$13,MATCH($N2304,DATA_ASSET_CLASSIFICATION!$AA$8:$AA$13,0)),"Review"))</f>
        <v>Bucket 2 · Legacy</v>
      </c>
      <c r="P2304" s="350" t="str">
        <f>IF($B2304="Portfolio","Portfolio",IFERROR(INDEX(DATA_ASSET_CLASSIFICATION!$C$8:$C$24,MATCH($C2304,DATA_ASSET_CLASSIFICATION!$A$8:$A$24,0)),"Review"))</f>
        <v>Yes</v>
      </c>
      <c r="Q2304" s="350" t="str">
        <f t="shared" ca="1" si="71"/>
        <v>OK</v>
      </c>
    </row>
    <row r="2305" spans="1:17">
      <c r="A2305" s="366" t="s">
        <v>4261</v>
      </c>
      <c r="B2305" s="366" t="s">
        <v>231</v>
      </c>
      <c r="C2305" s="348" t="str">
        <f>DATA_PROPERTY_MASTER!$A$11</f>
        <v>BLD_EE</v>
      </c>
      <c r="D2305" s="380">
        <f>'00_PORTFOLIO ROLLUP'!U$12</f>
        <v>2041</v>
      </c>
      <c r="E2305" s="366" t="s">
        <v>23</v>
      </c>
      <c r="F2305" s="366" t="s">
        <v>23</v>
      </c>
      <c r="G2305" s="348" t="str">
        <f>"'"&amp;$C2305&amp;"'!$E$48:$Y$48"</f>
        <v>'BLD_EE'!$E$48:$Y$48</v>
      </c>
      <c r="H2305" s="381">
        <f ca="1">IF(IFERROR(INDEX(DATA_PROPERTY_MASTER!$E$5:$E$21,MATCH($C2305,DATA_PROPERTY_MASTER!$A$5:$A$21,0))="Yes",FALSE),IFERROR(INDEX(INDIRECT("'"&amp;$C2305&amp;"'!$E$48:$Y$48"),1,MATCH($D2305,INDIRECT("'"&amp;$C2305&amp;"'!$E$12:$Y$12"),0)),0),0)</f>
        <v>0</v>
      </c>
      <c r="I2305" s="366" t="s">
        <v>1690</v>
      </c>
      <c r="J2305" s="348" t="str">
        <f t="shared" ca="1" si="70"/>
        <v>OK</v>
      </c>
      <c r="K2305" s="366" t="s">
        <v>1706</v>
      </c>
      <c r="L2305" s="366" t="s">
        <v>2244</v>
      </c>
      <c r="M2305" s="350" t="str">
        <f>IF($B2305="Portfolio","Portfolio",IFERROR(INDEX(DATA_ASSET_CLASSIFICATION!$B$8:$B$24,MATCH($C2305,DATA_ASSET_CLASSIFICATION!$A$8:$A$24,0)),"Review"))</f>
        <v>Evelyn Estates</v>
      </c>
      <c r="N2305" s="350" t="str">
        <f ca="1">IF($B2305="Portfolio","Portfolio",IFERROR(INDEX(DATA_ASSET_CLASSIFICATION!$U$8:$U$24,MATCH($C2305,DATA_ASSET_CLASSIFICATION!$A$8:$A$24,0)),"Review"))</f>
        <v>Refi Watch</v>
      </c>
      <c r="O2305" s="350" t="str">
        <f ca="1">IF($B2305="Portfolio","Portfolio",IFERROR(INDEX(DATA_ASSET_CLASSIFICATION!$AB$8:$AB$13,MATCH($N2305,DATA_ASSET_CLASSIFICATION!$AA$8:$AA$13,0)),"Review"))</f>
        <v>Bucket 2 · Legacy</v>
      </c>
      <c r="P2305" s="350" t="str">
        <f>IF($B2305="Portfolio","Portfolio",IFERROR(INDEX(DATA_ASSET_CLASSIFICATION!$C$8:$C$24,MATCH($C2305,DATA_ASSET_CLASSIFICATION!$A$8:$A$24,0)),"Review"))</f>
        <v>Yes</v>
      </c>
      <c r="Q2305" s="350" t="str">
        <f t="shared" ca="1" si="71"/>
        <v>OK</v>
      </c>
    </row>
    <row r="2306" spans="1:17">
      <c r="A2306" s="366" t="s">
        <v>4262</v>
      </c>
      <c r="B2306" s="366" t="s">
        <v>231</v>
      </c>
      <c r="C2306" s="348" t="str">
        <f>DATA_PROPERTY_MASTER!$A$11</f>
        <v>BLD_EE</v>
      </c>
      <c r="D2306" s="380">
        <f>'00_PORTFOLIO ROLLUP'!U$12</f>
        <v>2041</v>
      </c>
      <c r="E2306" s="366" t="s">
        <v>1683</v>
      </c>
      <c r="F2306" s="366" t="s">
        <v>25</v>
      </c>
      <c r="G2306" s="348" t="str">
        <f>"'"&amp;$C2306&amp;"'!$E$52:$Y$52"</f>
        <v>'BLD_EE'!$E$52:$Y$52</v>
      </c>
      <c r="H2306" s="381">
        <f ca="1">IF(IFERROR(INDEX(DATA_PROPERTY_MASTER!$E$5:$E$21,MATCH($C2306,DATA_PROPERTY_MASTER!$A$5:$A$21,0))="Yes",FALSE),IFERROR(INDEX(INDIRECT("'"&amp;$C2306&amp;"'!$E$52:$Y$52"),1,MATCH($D2306,INDIRECT("'"&amp;$C2306&amp;"'!$E$12:$Y$12"),0)),0),0)</f>
        <v>323133.56523636123</v>
      </c>
      <c r="I2306" s="366" t="s">
        <v>1685</v>
      </c>
      <c r="J2306" s="348" t="str">
        <f t="shared" ca="1" si="70"/>
        <v>OK</v>
      </c>
      <c r="K2306" s="366" t="s">
        <v>1710</v>
      </c>
      <c r="L2306" s="366" t="s">
        <v>2246</v>
      </c>
      <c r="M2306" s="350" t="str">
        <f>IF($B2306="Portfolio","Portfolio",IFERROR(INDEX(DATA_ASSET_CLASSIFICATION!$B$8:$B$24,MATCH($C2306,DATA_ASSET_CLASSIFICATION!$A$8:$A$24,0)),"Review"))</f>
        <v>Evelyn Estates</v>
      </c>
      <c r="N2306" s="350" t="str">
        <f ca="1">IF($B2306="Portfolio","Portfolio",IFERROR(INDEX(DATA_ASSET_CLASSIFICATION!$U$8:$U$24,MATCH($C2306,DATA_ASSET_CLASSIFICATION!$A$8:$A$24,0)),"Review"))</f>
        <v>Refi Watch</v>
      </c>
      <c r="O2306" s="350" t="str">
        <f ca="1">IF($B2306="Portfolio","Portfolio",IFERROR(INDEX(DATA_ASSET_CLASSIFICATION!$AB$8:$AB$13,MATCH($N2306,DATA_ASSET_CLASSIFICATION!$AA$8:$AA$13,0)),"Review"))</f>
        <v>Bucket 2 · Legacy</v>
      </c>
      <c r="P2306" s="350" t="str">
        <f>IF($B2306="Portfolio","Portfolio",IFERROR(INDEX(DATA_ASSET_CLASSIFICATION!$C$8:$C$24,MATCH($C2306,DATA_ASSET_CLASSIFICATION!$A$8:$A$24,0)),"Review"))</f>
        <v>Yes</v>
      </c>
      <c r="Q2306" s="350" t="str">
        <f t="shared" ca="1" si="71"/>
        <v>OK</v>
      </c>
    </row>
    <row r="2307" spans="1:17">
      <c r="A2307" s="366" t="s">
        <v>4263</v>
      </c>
      <c r="B2307" s="366" t="s">
        <v>231</v>
      </c>
      <c r="C2307" s="348" t="str">
        <f>DATA_PROPERTY_MASTER!$A$11</f>
        <v>BLD_EE</v>
      </c>
      <c r="D2307" s="380">
        <f>'00_PORTFOLIO ROLLUP'!U$12</f>
        <v>2041</v>
      </c>
      <c r="E2307" s="366" t="s">
        <v>1683</v>
      </c>
      <c r="F2307" s="366" t="s">
        <v>27</v>
      </c>
      <c r="G2307" s="348" t="str">
        <f>"'"&amp;$C2307&amp;"'!$E$54:$Y$54"</f>
        <v>'BLD_EE'!$E$54:$Y$54</v>
      </c>
      <c r="H2307" s="381">
        <f ca="1">IF(IFERROR(INDEX(DATA_PROPERTY_MASTER!$E$5:$E$21,MATCH($C2307,DATA_PROPERTY_MASTER!$A$5:$A$21,0))="Yes",FALSE),IFERROR(INDEX(INDIRECT("'"&amp;$C2307&amp;"'!$E$54:$Y$54"),1,MATCH($D2307,INDIRECT("'"&amp;$C2307&amp;"'!$E$12:$Y$12"),0)),0),0)</f>
        <v>193880.13914181673</v>
      </c>
      <c r="I2307" s="366" t="s">
        <v>1690</v>
      </c>
      <c r="J2307" s="348" t="str">
        <f t="shared" ca="1" si="70"/>
        <v>OK</v>
      </c>
      <c r="K2307" s="366" t="s">
        <v>1714</v>
      </c>
      <c r="L2307" s="366" t="s">
        <v>2248</v>
      </c>
      <c r="M2307" s="350" t="str">
        <f>IF($B2307="Portfolio","Portfolio",IFERROR(INDEX(DATA_ASSET_CLASSIFICATION!$B$8:$B$24,MATCH($C2307,DATA_ASSET_CLASSIFICATION!$A$8:$A$24,0)),"Review"))</f>
        <v>Evelyn Estates</v>
      </c>
      <c r="N2307" s="350" t="str">
        <f ca="1">IF($B2307="Portfolio","Portfolio",IFERROR(INDEX(DATA_ASSET_CLASSIFICATION!$U$8:$U$24,MATCH($C2307,DATA_ASSET_CLASSIFICATION!$A$8:$A$24,0)),"Review"))</f>
        <v>Refi Watch</v>
      </c>
      <c r="O2307" s="350" t="str">
        <f ca="1">IF($B2307="Portfolio","Portfolio",IFERROR(INDEX(DATA_ASSET_CLASSIFICATION!$AB$8:$AB$13,MATCH($N2307,DATA_ASSET_CLASSIFICATION!$AA$8:$AA$13,0)),"Review"))</f>
        <v>Bucket 2 · Legacy</v>
      </c>
      <c r="P2307" s="350" t="str">
        <f>IF($B2307="Portfolio","Portfolio",IFERROR(INDEX(DATA_ASSET_CLASSIFICATION!$C$8:$C$24,MATCH($C2307,DATA_ASSET_CLASSIFICATION!$A$8:$A$24,0)),"Review"))</f>
        <v>Yes</v>
      </c>
      <c r="Q2307" s="350" t="str">
        <f t="shared" ca="1" si="71"/>
        <v>OK</v>
      </c>
    </row>
    <row r="2308" spans="1:17">
      <c r="A2308" s="366" t="s">
        <v>4264</v>
      </c>
      <c r="B2308" s="366" t="s">
        <v>231</v>
      </c>
      <c r="C2308" s="348" t="str">
        <f>DATA_PROPERTY_MASTER!$A$11</f>
        <v>BLD_EE</v>
      </c>
      <c r="D2308" s="380">
        <f>'00_PORTFOLIO ROLLUP'!U$12</f>
        <v>2041</v>
      </c>
      <c r="E2308" s="366" t="s">
        <v>1683</v>
      </c>
      <c r="F2308" s="366" t="s">
        <v>29</v>
      </c>
      <c r="G2308" s="348" t="str">
        <f>"'"&amp;$C2308&amp;"'!$E$56:$Y$56"</f>
        <v>'BLD_EE'!$E$56:$Y$56</v>
      </c>
      <c r="H2308" s="381">
        <f ca="1">IF(IFERROR(INDEX(DATA_PROPERTY_MASTER!$E$5:$E$21,MATCH($C2308,DATA_PROPERTY_MASTER!$A$5:$A$21,0))="Yes",FALSE),IFERROR(INDEX(INDIRECT("'"&amp;$C2308&amp;"'!$E$56:$Y$56"),1,MATCH($D2308,INDIRECT("'"&amp;$C2308&amp;"'!$E$12:$Y$12"),0)),0),0)</f>
        <v>129253.4260945445</v>
      </c>
      <c r="I2308" s="366" t="s">
        <v>1685</v>
      </c>
      <c r="J2308" s="348" t="str">
        <f t="shared" ca="1" si="70"/>
        <v>OK</v>
      </c>
      <c r="K2308" s="366" t="s">
        <v>1718</v>
      </c>
      <c r="L2308" s="366" t="s">
        <v>2250</v>
      </c>
      <c r="M2308" s="350" t="str">
        <f>IF($B2308="Portfolio","Portfolio",IFERROR(INDEX(DATA_ASSET_CLASSIFICATION!$B$8:$B$24,MATCH($C2308,DATA_ASSET_CLASSIFICATION!$A$8:$A$24,0)),"Review"))</f>
        <v>Evelyn Estates</v>
      </c>
      <c r="N2308" s="350" t="str">
        <f ca="1">IF($B2308="Portfolio","Portfolio",IFERROR(INDEX(DATA_ASSET_CLASSIFICATION!$U$8:$U$24,MATCH($C2308,DATA_ASSET_CLASSIFICATION!$A$8:$A$24,0)),"Review"))</f>
        <v>Refi Watch</v>
      </c>
      <c r="O2308" s="350" t="str">
        <f ca="1">IF($B2308="Portfolio","Portfolio",IFERROR(INDEX(DATA_ASSET_CLASSIFICATION!$AB$8:$AB$13,MATCH($N2308,DATA_ASSET_CLASSIFICATION!$AA$8:$AA$13,0)),"Review"))</f>
        <v>Bucket 2 · Legacy</v>
      </c>
      <c r="P2308" s="350" t="str">
        <f>IF($B2308="Portfolio","Portfolio",IFERROR(INDEX(DATA_ASSET_CLASSIFICATION!$C$8:$C$24,MATCH($C2308,DATA_ASSET_CLASSIFICATION!$A$8:$A$24,0)),"Review"))</f>
        <v>Yes</v>
      </c>
      <c r="Q2308" s="350" t="str">
        <f t="shared" ca="1" si="71"/>
        <v>OK</v>
      </c>
    </row>
    <row r="2309" spans="1:17">
      <c r="A2309" s="366" t="s">
        <v>4265</v>
      </c>
      <c r="B2309" s="366" t="s">
        <v>231</v>
      </c>
      <c r="C2309" s="348" t="str">
        <f>DATA_PROPERTY_MASTER!$A$11</f>
        <v>BLD_EE</v>
      </c>
      <c r="D2309" s="380">
        <f>'00_PORTFOLIO ROLLUP'!U$12</f>
        <v>2041</v>
      </c>
      <c r="E2309" s="366" t="s">
        <v>1721</v>
      </c>
      <c r="F2309" s="366" t="s">
        <v>31</v>
      </c>
      <c r="G2309" s="348" t="str">
        <f>"'"&amp;$C2309&amp;"'!$E$61:$Y$61"</f>
        <v>'BLD_EE'!$E$61:$Y$61</v>
      </c>
      <c r="H2309" s="381">
        <f ca="1">IF(IFERROR(INDEX(DATA_PROPERTY_MASTER!$E$5:$E$21,MATCH($C2309,DATA_PROPERTY_MASTER!$A$5:$A$21,0))="Yes",FALSE),IFERROR(INDEX(INDIRECT("'"&amp;$C2309&amp;"'!$E$61:$Y$61"),1,MATCH($D2309,INDIRECT("'"&amp;$C2309&amp;"'!$E$12:$Y$12"),0)),0),0)</f>
        <v>0</v>
      </c>
      <c r="I2309" s="366" t="s">
        <v>1690</v>
      </c>
      <c r="J2309" s="348" t="str">
        <f t="shared" ref="J2309:J2372" ca="1" si="72">IF($F2309="Residual Funding Gap",IF($H2309&gt;0,"Funding Gap","OK"),IF(AND($F2309="Net Refinance Position",$H2309&lt;0),"Negative net refi position","OK"))</f>
        <v>OK</v>
      </c>
      <c r="K2309" s="366" t="s">
        <v>1723</v>
      </c>
      <c r="L2309" s="366" t="s">
        <v>2252</v>
      </c>
      <c r="M2309" s="350" t="str">
        <f>IF($B2309="Portfolio","Portfolio",IFERROR(INDEX(DATA_ASSET_CLASSIFICATION!$B$8:$B$24,MATCH($C2309,DATA_ASSET_CLASSIFICATION!$A$8:$A$24,0)),"Review"))</f>
        <v>Evelyn Estates</v>
      </c>
      <c r="N2309" s="350" t="str">
        <f ca="1">IF($B2309="Portfolio","Portfolio",IFERROR(INDEX(DATA_ASSET_CLASSIFICATION!$U$8:$U$24,MATCH($C2309,DATA_ASSET_CLASSIFICATION!$A$8:$A$24,0)),"Review"))</f>
        <v>Refi Watch</v>
      </c>
      <c r="O2309" s="350" t="str">
        <f ca="1">IF($B2309="Portfolio","Portfolio",IFERROR(INDEX(DATA_ASSET_CLASSIFICATION!$AB$8:$AB$13,MATCH($N2309,DATA_ASSET_CLASSIFICATION!$AA$8:$AA$13,0)),"Review"))</f>
        <v>Bucket 2 · Legacy</v>
      </c>
      <c r="P2309" s="350" t="str">
        <f>IF($B2309="Portfolio","Portfolio",IFERROR(INDEX(DATA_ASSET_CLASSIFICATION!$C$8:$C$24,MATCH($C2309,DATA_ASSET_CLASSIFICATION!$A$8:$A$24,0)),"Review"))</f>
        <v>Yes</v>
      </c>
      <c r="Q2309" s="350" t="str">
        <f t="shared" ref="Q2309:Q2372" ca="1" si="73">IF(AND($B2309="Property",$F2309="Residual Funding Gap",$H2309&gt;0),"Property Funding Gap",IF($J2309&lt;&gt;"OK",$J2309,"OK"))</f>
        <v>OK</v>
      </c>
    </row>
    <row r="2310" spans="1:17">
      <c r="A2310" s="366" t="s">
        <v>4266</v>
      </c>
      <c r="B2310" s="366" t="s">
        <v>231</v>
      </c>
      <c r="C2310" s="348" t="str">
        <f>DATA_PROPERTY_MASTER!$A$11</f>
        <v>BLD_EE</v>
      </c>
      <c r="D2310" s="380">
        <f>'00_PORTFOLIO ROLLUP'!U$12</f>
        <v>2041</v>
      </c>
      <c r="E2310" s="366" t="s">
        <v>1721</v>
      </c>
      <c r="F2310" s="366" t="s">
        <v>33</v>
      </c>
      <c r="G2310" s="348" t="str">
        <f>"'"&amp;$C2310&amp;"'!$E$62:$Y$62"</f>
        <v>'BLD_EE'!$E$62:$Y$62</v>
      </c>
      <c r="H2310" s="381">
        <f ca="1">IF(IFERROR(INDEX(DATA_PROPERTY_MASTER!$E$5:$E$21,MATCH($C2310,DATA_PROPERTY_MASTER!$A$5:$A$21,0))="Yes",FALSE),IFERROR(INDEX(INDIRECT("'"&amp;$C2310&amp;"'!$E$62:$Y$62"),1,MATCH($D2310,INDIRECT("'"&amp;$C2310&amp;"'!$E$12:$Y$12"),0)),0),0)</f>
        <v>0</v>
      </c>
      <c r="I2310" s="366" t="s">
        <v>1685</v>
      </c>
      <c r="J2310" s="348" t="str">
        <f t="shared" ca="1" si="72"/>
        <v>OK</v>
      </c>
      <c r="K2310" s="366" t="s">
        <v>1727</v>
      </c>
      <c r="L2310" s="366" t="s">
        <v>2254</v>
      </c>
      <c r="M2310" s="350" t="str">
        <f>IF($B2310="Portfolio","Portfolio",IFERROR(INDEX(DATA_ASSET_CLASSIFICATION!$B$8:$B$24,MATCH($C2310,DATA_ASSET_CLASSIFICATION!$A$8:$A$24,0)),"Review"))</f>
        <v>Evelyn Estates</v>
      </c>
      <c r="N2310" s="350" t="str">
        <f ca="1">IF($B2310="Portfolio","Portfolio",IFERROR(INDEX(DATA_ASSET_CLASSIFICATION!$U$8:$U$24,MATCH($C2310,DATA_ASSET_CLASSIFICATION!$A$8:$A$24,0)),"Review"))</f>
        <v>Refi Watch</v>
      </c>
      <c r="O2310" s="350" t="str">
        <f ca="1">IF($B2310="Portfolio","Portfolio",IFERROR(INDEX(DATA_ASSET_CLASSIFICATION!$AB$8:$AB$13,MATCH($N2310,DATA_ASSET_CLASSIFICATION!$AA$8:$AA$13,0)),"Review"))</f>
        <v>Bucket 2 · Legacy</v>
      </c>
      <c r="P2310" s="350" t="str">
        <f>IF($B2310="Portfolio","Portfolio",IFERROR(INDEX(DATA_ASSET_CLASSIFICATION!$C$8:$C$24,MATCH($C2310,DATA_ASSET_CLASSIFICATION!$A$8:$A$24,0)),"Review"))</f>
        <v>Yes</v>
      </c>
      <c r="Q2310" s="350" t="str">
        <f t="shared" ca="1" si="73"/>
        <v>OK</v>
      </c>
    </row>
    <row r="2311" spans="1:17">
      <c r="A2311" s="366" t="s">
        <v>4267</v>
      </c>
      <c r="B2311" s="366" t="s">
        <v>231</v>
      </c>
      <c r="C2311" s="348" t="str">
        <f>DATA_PROPERTY_MASTER!$A$11</f>
        <v>BLD_EE</v>
      </c>
      <c r="D2311" s="380">
        <f>'00_PORTFOLIO ROLLUP'!U$12</f>
        <v>2041</v>
      </c>
      <c r="E2311" s="366" t="s">
        <v>1721</v>
      </c>
      <c r="F2311" s="366" t="s">
        <v>35</v>
      </c>
      <c r="G2311" s="348" t="str">
        <f>"'"&amp;$C2311&amp;"'!$E$63:$Y$63"</f>
        <v>'BLD_EE'!$E$63:$Y$63</v>
      </c>
      <c r="H2311" s="381">
        <f ca="1">IF(IFERROR(INDEX(DATA_PROPERTY_MASTER!$E$5:$E$21,MATCH($C2311,DATA_PROPERTY_MASTER!$A$5:$A$21,0))="Yes",FALSE),IFERROR(INDEX(INDIRECT("'"&amp;$C2311&amp;"'!$E$63:$Y$63"),1,MATCH($D2311,INDIRECT("'"&amp;$C2311&amp;"'!$E$12:$Y$12"),0)),0),0)</f>
        <v>0</v>
      </c>
      <c r="I2311" s="366" t="s">
        <v>1731</v>
      </c>
      <c r="J2311" s="348" t="str">
        <f t="shared" ca="1" si="72"/>
        <v>OK</v>
      </c>
      <c r="K2311" s="366" t="s">
        <v>1732</v>
      </c>
      <c r="L2311" s="366" t="s">
        <v>2256</v>
      </c>
      <c r="M2311" s="350" t="str">
        <f>IF($B2311="Portfolio","Portfolio",IFERROR(INDEX(DATA_ASSET_CLASSIFICATION!$B$8:$B$24,MATCH($C2311,DATA_ASSET_CLASSIFICATION!$A$8:$A$24,0)),"Review"))</f>
        <v>Evelyn Estates</v>
      </c>
      <c r="N2311" s="350" t="str">
        <f ca="1">IF($B2311="Portfolio","Portfolio",IFERROR(INDEX(DATA_ASSET_CLASSIFICATION!$U$8:$U$24,MATCH($C2311,DATA_ASSET_CLASSIFICATION!$A$8:$A$24,0)),"Review"))</f>
        <v>Refi Watch</v>
      </c>
      <c r="O2311" s="350" t="str">
        <f ca="1">IF($B2311="Portfolio","Portfolio",IFERROR(INDEX(DATA_ASSET_CLASSIFICATION!$AB$8:$AB$13,MATCH($N2311,DATA_ASSET_CLASSIFICATION!$AA$8:$AA$13,0)),"Review"))</f>
        <v>Bucket 2 · Legacy</v>
      </c>
      <c r="P2311" s="350" t="str">
        <f>IF($B2311="Portfolio","Portfolio",IFERROR(INDEX(DATA_ASSET_CLASSIFICATION!$C$8:$C$24,MATCH($C2311,DATA_ASSET_CLASSIFICATION!$A$8:$A$24,0)),"Review"))</f>
        <v>Yes</v>
      </c>
      <c r="Q2311" s="350" t="str">
        <f t="shared" ca="1" si="73"/>
        <v>OK</v>
      </c>
    </row>
    <row r="2312" spans="1:17">
      <c r="A2312" s="366" t="s">
        <v>4268</v>
      </c>
      <c r="B2312" s="366" t="s">
        <v>231</v>
      </c>
      <c r="C2312" s="348" t="str">
        <f>DATA_PROPERTY_MASTER!$A$11</f>
        <v>BLD_EE</v>
      </c>
      <c r="D2312" s="380">
        <f>'00_PORTFOLIO ROLLUP'!U$12</f>
        <v>2041</v>
      </c>
      <c r="E2312" s="366" t="s">
        <v>1721</v>
      </c>
      <c r="F2312" s="366" t="s">
        <v>37</v>
      </c>
      <c r="G2312" s="348" t="str">
        <f>"'"&amp;$C2312&amp;"'!$E$63:$Y$63"</f>
        <v>'BLD_EE'!$E$63:$Y$63</v>
      </c>
      <c r="H2312" s="381">
        <f ca="1">IF(IFERROR(INDEX(DATA_PROPERTY_MASTER!$E$5:$E$21,MATCH($C2312,DATA_PROPERTY_MASTER!$A$5:$A$21,0))="Yes",FALSE),MAX(IFERROR(INDEX(INDIRECT("'"&amp;$C2312&amp;"'!$E$63:$Y$63"),1,MATCH($D2312,INDIRECT("'"&amp;$C2312&amp;"'!$E$12:$Y$12"),0)),0),0),0)</f>
        <v>0</v>
      </c>
      <c r="I2312" s="366" t="s">
        <v>1685</v>
      </c>
      <c r="J2312" s="348" t="str">
        <f t="shared" ca="1" si="72"/>
        <v>OK</v>
      </c>
      <c r="K2312" s="366" t="s">
        <v>1735</v>
      </c>
      <c r="L2312" s="366" t="s">
        <v>2258</v>
      </c>
      <c r="M2312" s="350" t="str">
        <f>IF($B2312="Portfolio","Portfolio",IFERROR(INDEX(DATA_ASSET_CLASSIFICATION!$B$8:$B$24,MATCH($C2312,DATA_ASSET_CLASSIFICATION!$A$8:$A$24,0)),"Review"))</f>
        <v>Evelyn Estates</v>
      </c>
      <c r="N2312" s="350" t="str">
        <f ca="1">IF($B2312="Portfolio","Portfolio",IFERROR(INDEX(DATA_ASSET_CLASSIFICATION!$U$8:$U$24,MATCH($C2312,DATA_ASSET_CLASSIFICATION!$A$8:$A$24,0)),"Review"))</f>
        <v>Refi Watch</v>
      </c>
      <c r="O2312" s="350" t="str">
        <f ca="1">IF($B2312="Portfolio","Portfolio",IFERROR(INDEX(DATA_ASSET_CLASSIFICATION!$AB$8:$AB$13,MATCH($N2312,DATA_ASSET_CLASSIFICATION!$AA$8:$AA$13,0)),"Review"))</f>
        <v>Bucket 2 · Legacy</v>
      </c>
      <c r="P2312" s="350" t="str">
        <f>IF($B2312="Portfolio","Portfolio",IFERROR(INDEX(DATA_ASSET_CLASSIFICATION!$C$8:$C$24,MATCH($C2312,DATA_ASSET_CLASSIFICATION!$A$8:$A$24,0)),"Review"))</f>
        <v>Yes</v>
      </c>
      <c r="Q2312" s="350" t="str">
        <f t="shared" ca="1" si="73"/>
        <v>OK</v>
      </c>
    </row>
    <row r="2313" spans="1:17">
      <c r="A2313" s="366" t="s">
        <v>4269</v>
      </c>
      <c r="B2313" s="366" t="s">
        <v>231</v>
      </c>
      <c r="C2313" s="348" t="str">
        <f>DATA_PROPERTY_MASTER!$A$11</f>
        <v>BLD_EE</v>
      </c>
      <c r="D2313" s="380">
        <f>'00_PORTFOLIO ROLLUP'!U$12</f>
        <v>2041</v>
      </c>
      <c r="E2313" s="366" t="s">
        <v>1721</v>
      </c>
      <c r="F2313" s="366" t="s">
        <v>39</v>
      </c>
      <c r="G2313" s="348" t="str">
        <f>"'"&amp;$C2313&amp;"'!$E$63:$Y$63"</f>
        <v>'BLD_EE'!$E$63:$Y$63</v>
      </c>
      <c r="H2313" s="381">
        <f ca="1">IF(IFERROR(INDEX(DATA_PROPERTY_MASTER!$E$5:$E$21,MATCH($C2313,DATA_PROPERTY_MASTER!$A$5:$A$21,0))="Yes",FALSE),MAX(-IFERROR(INDEX(INDIRECT("'"&amp;$C2313&amp;"'!$E$63:$Y$63"),1,MATCH($D2313,INDIRECT("'"&amp;$C2313&amp;"'!$E$12:$Y$12"),0)),0),0),0)</f>
        <v>0</v>
      </c>
      <c r="I2313" s="366" t="s">
        <v>1690</v>
      </c>
      <c r="J2313" s="348" t="str">
        <f t="shared" ca="1" si="72"/>
        <v>OK</v>
      </c>
      <c r="K2313" s="366" t="s">
        <v>1738</v>
      </c>
      <c r="L2313" s="366" t="s">
        <v>2260</v>
      </c>
      <c r="M2313" s="350" t="str">
        <f>IF($B2313="Portfolio","Portfolio",IFERROR(INDEX(DATA_ASSET_CLASSIFICATION!$B$8:$B$24,MATCH($C2313,DATA_ASSET_CLASSIFICATION!$A$8:$A$24,0)),"Review"))</f>
        <v>Evelyn Estates</v>
      </c>
      <c r="N2313" s="350" t="str">
        <f ca="1">IF($B2313="Portfolio","Portfolio",IFERROR(INDEX(DATA_ASSET_CLASSIFICATION!$U$8:$U$24,MATCH($C2313,DATA_ASSET_CLASSIFICATION!$A$8:$A$24,0)),"Review"))</f>
        <v>Refi Watch</v>
      </c>
      <c r="O2313" s="350" t="str">
        <f ca="1">IF($B2313="Portfolio","Portfolio",IFERROR(INDEX(DATA_ASSET_CLASSIFICATION!$AB$8:$AB$13,MATCH($N2313,DATA_ASSET_CLASSIFICATION!$AA$8:$AA$13,0)),"Review"))</f>
        <v>Bucket 2 · Legacy</v>
      </c>
      <c r="P2313" s="350" t="str">
        <f>IF($B2313="Portfolio","Portfolio",IFERROR(INDEX(DATA_ASSET_CLASSIFICATION!$C$8:$C$24,MATCH($C2313,DATA_ASSET_CLASSIFICATION!$A$8:$A$24,0)),"Review"))</f>
        <v>Yes</v>
      </c>
      <c r="Q2313" s="350" t="str">
        <f t="shared" ca="1" si="73"/>
        <v>OK</v>
      </c>
    </row>
    <row r="2314" spans="1:17">
      <c r="A2314" s="366" t="s">
        <v>4270</v>
      </c>
      <c r="B2314" s="366" t="s">
        <v>231</v>
      </c>
      <c r="C2314" s="348" t="str">
        <f>DATA_PROPERTY_MASTER!$A$11</f>
        <v>BLD_EE</v>
      </c>
      <c r="D2314" s="380">
        <f>'00_PORTFOLIO ROLLUP'!U$12</f>
        <v>2041</v>
      </c>
      <c r="E2314" s="366" t="s">
        <v>1741</v>
      </c>
      <c r="F2314" s="366" t="s">
        <v>41</v>
      </c>
      <c r="G2314" s="348" t="str">
        <f>"'"&amp;$C2314&amp;"'!rows 56 + positive row 63"</f>
        <v>'BLD_EE'!rows 56 + positive row 63</v>
      </c>
      <c r="H2314" s="381">
        <f ca="1">IF(IFERROR(INDEX(DATA_PROPERTY_MASTER!$E$5:$E$21,MATCH($C2314,DATA_PROPERTY_MASTER!$A$5:$A$21,0))="Yes",FALSE),IFERROR(INDEX(INDIRECT("'"&amp;$C2314&amp;"'!$E$56:$Y$56"),1,MATCH($D2314,INDIRECT("'"&amp;$C2314&amp;"'!$E$12:$Y$12"),0)),0)+MAX(IFERROR(INDEX(INDIRECT("'"&amp;$C2314&amp;"'!$E$63:$Y$63"),1,MATCH($D2314,INDIRECT("'"&amp;$C2314&amp;"'!$E$12:$Y$12"),0)),0),0),0)</f>
        <v>129253.4260945445</v>
      </c>
      <c r="I2314" s="366" t="s">
        <v>1685</v>
      </c>
      <c r="J2314" s="348" t="str">
        <f t="shared" ca="1" si="72"/>
        <v>OK</v>
      </c>
      <c r="K2314" s="366" t="s">
        <v>1742</v>
      </c>
      <c r="L2314" s="366" t="s">
        <v>2262</v>
      </c>
      <c r="M2314" s="350" t="str">
        <f>IF($B2314="Portfolio","Portfolio",IFERROR(INDEX(DATA_ASSET_CLASSIFICATION!$B$8:$B$24,MATCH($C2314,DATA_ASSET_CLASSIFICATION!$A$8:$A$24,0)),"Review"))</f>
        <v>Evelyn Estates</v>
      </c>
      <c r="N2314" s="350" t="str">
        <f ca="1">IF($B2314="Portfolio","Portfolio",IFERROR(INDEX(DATA_ASSET_CLASSIFICATION!$U$8:$U$24,MATCH($C2314,DATA_ASSET_CLASSIFICATION!$A$8:$A$24,0)),"Review"))</f>
        <v>Refi Watch</v>
      </c>
      <c r="O2314" s="350" t="str">
        <f ca="1">IF($B2314="Portfolio","Portfolio",IFERROR(INDEX(DATA_ASSET_CLASSIFICATION!$AB$8:$AB$13,MATCH($N2314,DATA_ASSET_CLASSIFICATION!$AA$8:$AA$13,0)),"Review"))</f>
        <v>Bucket 2 · Legacy</v>
      </c>
      <c r="P2314" s="350" t="str">
        <f>IF($B2314="Portfolio","Portfolio",IFERROR(INDEX(DATA_ASSET_CLASSIFICATION!$C$8:$C$24,MATCH($C2314,DATA_ASSET_CLASSIFICATION!$A$8:$A$24,0)),"Review"))</f>
        <v>Yes</v>
      </c>
      <c r="Q2314" s="350" t="str">
        <f t="shared" ca="1" si="73"/>
        <v>OK</v>
      </c>
    </row>
    <row r="2315" spans="1:17">
      <c r="A2315" s="366" t="s">
        <v>4271</v>
      </c>
      <c r="B2315" s="366" t="s">
        <v>231</v>
      </c>
      <c r="C2315" s="348" t="str">
        <f>DATA_PROPERTY_MASTER!$A$11</f>
        <v>BLD_EE</v>
      </c>
      <c r="D2315" s="380">
        <f>'00_PORTFOLIO ROLLUP'!U$12</f>
        <v>2041</v>
      </c>
      <c r="E2315" s="366" t="s">
        <v>1741</v>
      </c>
      <c r="F2315" s="366" t="s">
        <v>43</v>
      </c>
      <c r="G2315" s="348" t="str">
        <f>"'"&amp;$C2315&amp;"'!$E$68:$Y$68"</f>
        <v>'BLD_EE'!$E$68:$Y$68</v>
      </c>
      <c r="H2315" s="381">
        <f ca="1">IF(IFERROR(INDEX(DATA_PROPERTY_MASTER!$E$5:$E$21,MATCH($C2315,DATA_PROPERTY_MASTER!$A$5:$A$21,0))="Yes",FALSE),IFERROR(INDEX(INDIRECT("'"&amp;$C2315&amp;"'!$E$68:$Y$68"),1,MATCH($D2315,INDIRECT("'"&amp;$C2315&amp;"'!$E$12:$Y$12"),0)),0),0)</f>
        <v>129253.4260945445</v>
      </c>
      <c r="I2315" s="366" t="s">
        <v>1731</v>
      </c>
      <c r="J2315" s="348" t="str">
        <f t="shared" ca="1" si="72"/>
        <v>OK</v>
      </c>
      <c r="K2315" s="366" t="s">
        <v>1746</v>
      </c>
      <c r="L2315" s="366" t="s">
        <v>2264</v>
      </c>
      <c r="M2315" s="350" t="str">
        <f>IF($B2315="Portfolio","Portfolio",IFERROR(INDEX(DATA_ASSET_CLASSIFICATION!$B$8:$B$24,MATCH($C2315,DATA_ASSET_CLASSIFICATION!$A$8:$A$24,0)),"Review"))</f>
        <v>Evelyn Estates</v>
      </c>
      <c r="N2315" s="350" t="str">
        <f ca="1">IF($B2315="Portfolio","Portfolio",IFERROR(INDEX(DATA_ASSET_CLASSIFICATION!$U$8:$U$24,MATCH($C2315,DATA_ASSET_CLASSIFICATION!$A$8:$A$24,0)),"Review"))</f>
        <v>Refi Watch</v>
      </c>
      <c r="O2315" s="350" t="str">
        <f ca="1">IF($B2315="Portfolio","Portfolio",IFERROR(INDEX(DATA_ASSET_CLASSIFICATION!$AB$8:$AB$13,MATCH($N2315,DATA_ASSET_CLASSIFICATION!$AA$8:$AA$13,0)),"Review"))</f>
        <v>Bucket 2 · Legacy</v>
      </c>
      <c r="P2315" s="350" t="str">
        <f>IF($B2315="Portfolio","Portfolio",IFERROR(INDEX(DATA_ASSET_CLASSIFICATION!$C$8:$C$24,MATCH($C2315,DATA_ASSET_CLASSIFICATION!$A$8:$A$24,0)),"Review"))</f>
        <v>Yes</v>
      </c>
      <c r="Q2315" s="350" t="str">
        <f t="shared" ca="1" si="73"/>
        <v>OK</v>
      </c>
    </row>
    <row r="2316" spans="1:17">
      <c r="A2316" s="366" t="s">
        <v>4272</v>
      </c>
      <c r="B2316" s="366" t="s">
        <v>231</v>
      </c>
      <c r="C2316" s="348" t="str">
        <f>DATA_PROPERTY_MASTER!$A$11</f>
        <v>BLD_EE</v>
      </c>
      <c r="D2316" s="380">
        <f>'00_PORTFOLIO ROLLUP'!U$12</f>
        <v>2041</v>
      </c>
      <c r="E2316" s="366" t="s">
        <v>1741</v>
      </c>
      <c r="F2316" s="366" t="s">
        <v>1749</v>
      </c>
      <c r="G2316" s="348" t="str">
        <f>"'"&amp;$C2316&amp;"'!rows 56, 63, 68"</f>
        <v>'BLD_EE'!rows 56, 63, 68</v>
      </c>
      <c r="H2316" s="381">
        <f ca="1">IF(IFERROR(INDEX(DATA_PROPERTY_MASTER!$E$5:$E$21,MATCH($C2316,DATA_PROPERTY_MASTER!$A$5:$A$21,0))="Yes",FALSE),(IFERROR(INDEX(INDIRECT("'"&amp;$C2316&amp;"'!$E$56:$Y$56"),1,MATCH($D2316,INDIRECT("'"&amp;$C2316&amp;"'!$E$12:$Y$12"),0)),0)+MAX(IFERROR(INDEX(INDIRECT("'"&amp;$C2316&amp;"'!$E$63:$Y$63"),1,MATCH($D2316,INDIRECT("'"&amp;$C2316&amp;"'!$E$12:$Y$12"),0)),0),0))-(IFERROR(INDEX(INDIRECT("'"&amp;$C2316&amp;"'!$E$68:$Y$68"),1,MATCH($D2316,INDIRECT("'"&amp;$C2316&amp;"'!$E$12:$Y$12"),0)),0)),0)</f>
        <v>0</v>
      </c>
      <c r="I2316" s="366" t="s">
        <v>1750</v>
      </c>
      <c r="J2316" s="348" t="str">
        <f t="shared" ca="1" si="72"/>
        <v>OK</v>
      </c>
      <c r="K2316" s="366" t="s">
        <v>1751</v>
      </c>
      <c r="L2316" s="366" t="s">
        <v>2266</v>
      </c>
      <c r="M2316" s="350" t="str">
        <f>IF($B2316="Portfolio","Portfolio",IFERROR(INDEX(DATA_ASSET_CLASSIFICATION!$B$8:$B$24,MATCH($C2316,DATA_ASSET_CLASSIFICATION!$A$8:$A$24,0)),"Review"))</f>
        <v>Evelyn Estates</v>
      </c>
      <c r="N2316" s="350" t="str">
        <f ca="1">IF($B2316="Portfolio","Portfolio",IFERROR(INDEX(DATA_ASSET_CLASSIFICATION!$U$8:$U$24,MATCH($C2316,DATA_ASSET_CLASSIFICATION!$A$8:$A$24,0)),"Review"))</f>
        <v>Refi Watch</v>
      </c>
      <c r="O2316" s="350" t="str">
        <f ca="1">IF($B2316="Portfolio","Portfolio",IFERROR(INDEX(DATA_ASSET_CLASSIFICATION!$AB$8:$AB$13,MATCH($N2316,DATA_ASSET_CLASSIFICATION!$AA$8:$AA$13,0)),"Review"))</f>
        <v>Bucket 2 · Legacy</v>
      </c>
      <c r="P2316" s="350" t="str">
        <f>IF($B2316="Portfolio","Portfolio",IFERROR(INDEX(DATA_ASSET_CLASSIFICATION!$C$8:$C$24,MATCH($C2316,DATA_ASSET_CLASSIFICATION!$A$8:$A$24,0)),"Review"))</f>
        <v>Yes</v>
      </c>
      <c r="Q2316" s="350" t="str">
        <f t="shared" ca="1" si="73"/>
        <v>OK</v>
      </c>
    </row>
    <row r="2317" spans="1:17">
      <c r="A2317" s="366" t="s">
        <v>4273</v>
      </c>
      <c r="B2317" s="366" t="s">
        <v>231</v>
      </c>
      <c r="C2317" s="348" t="str">
        <f>DATA_PROPERTY_MASTER!$A$12</f>
        <v>BLD_JP</v>
      </c>
      <c r="D2317" s="380">
        <f>'00_PORTFOLIO ROLLUP'!E$12</f>
        <v>2025</v>
      </c>
      <c r="E2317" s="366" t="s">
        <v>1683</v>
      </c>
      <c r="F2317" s="366" t="s">
        <v>341</v>
      </c>
      <c r="G2317" s="348" t="str">
        <f>"'"&amp;$C2317&amp;"'!$E$24:$Y$24"</f>
        <v>'BLD_JP'!$E$24:$Y$24</v>
      </c>
      <c r="H2317" s="381">
        <f ca="1">IF(IFERROR(INDEX(DATA_PROPERTY_MASTER!$E$5:$E$21,MATCH($C2317,DATA_PROPERTY_MASTER!$A$5:$A$21,0))="Yes",FALSE),IFERROR(INDEX(INDIRECT("'"&amp;$C2317&amp;"'!$E$24:$Y$24"),1,MATCH($D2317,INDIRECT("'"&amp;$C2317&amp;"'!$E$12:$Y$12"),0)),0),0)</f>
        <v>396061.12</v>
      </c>
      <c r="I2317" s="366" t="s">
        <v>1685</v>
      </c>
      <c r="J2317" s="348" t="str">
        <f t="shared" ca="1" si="72"/>
        <v>OK</v>
      </c>
      <c r="K2317" s="366" t="s">
        <v>1686</v>
      </c>
      <c r="L2317" s="366" t="s">
        <v>2234</v>
      </c>
      <c r="M2317" s="350" t="str">
        <f>IF($B2317="Portfolio","Portfolio",IFERROR(INDEX(DATA_ASSET_CLASSIFICATION!$B$8:$B$24,MATCH($C2317,DATA_ASSET_CLASSIFICATION!$A$8:$A$24,0)),"Review"))</f>
        <v>Jessica Place</v>
      </c>
      <c r="N2317" s="350" t="str">
        <f ca="1">IF($B2317="Portfolio","Portfolio",IFERROR(INDEX(DATA_ASSET_CLASSIFICATION!$U$8:$U$24,MATCH($C2317,DATA_ASSET_CLASSIFICATION!$A$8:$A$24,0)),"Review"))</f>
        <v>Refi Watch</v>
      </c>
      <c r="O2317" s="350" t="str">
        <f ca="1">IF($B2317="Portfolio","Portfolio",IFERROR(INDEX(DATA_ASSET_CLASSIFICATION!$AB$8:$AB$13,MATCH($N2317,DATA_ASSET_CLASSIFICATION!$AA$8:$AA$13,0)),"Review"))</f>
        <v>Bucket 2 · Legacy</v>
      </c>
      <c r="P2317" s="350" t="str">
        <f>IF($B2317="Portfolio","Portfolio",IFERROR(INDEX(DATA_ASSET_CLASSIFICATION!$C$8:$C$24,MATCH($C2317,DATA_ASSET_CLASSIFICATION!$A$8:$A$24,0)),"Review"))</f>
        <v>Yes</v>
      </c>
      <c r="Q2317" s="350" t="str">
        <f t="shared" ca="1" si="73"/>
        <v>OK</v>
      </c>
    </row>
    <row r="2318" spans="1:17">
      <c r="A2318" s="366" t="s">
        <v>4274</v>
      </c>
      <c r="B2318" s="366" t="s">
        <v>231</v>
      </c>
      <c r="C2318" s="348" t="str">
        <f>DATA_PROPERTY_MASTER!$A$12</f>
        <v>BLD_JP</v>
      </c>
      <c r="D2318" s="380">
        <f>'00_PORTFOLIO ROLLUP'!E$12</f>
        <v>2025</v>
      </c>
      <c r="E2318" s="366" t="s">
        <v>1683</v>
      </c>
      <c r="F2318" s="366" t="s">
        <v>355</v>
      </c>
      <c r="G2318" s="348" t="str">
        <f>"'"&amp;$C2318&amp;"'!$E$39:$Y$39"</f>
        <v>'BLD_JP'!$E$39:$Y$39</v>
      </c>
      <c r="H2318" s="381">
        <f ca="1">IF(IFERROR(INDEX(DATA_PROPERTY_MASTER!$E$5:$E$21,MATCH($C2318,DATA_PROPERTY_MASTER!$A$5:$A$21,0))="Yes",FALSE),IFERROR(INDEX(INDIRECT("'"&amp;$C2318&amp;"'!$E$39:$Y$39"),1,MATCH($D2318,INDIRECT("'"&amp;$C2318&amp;"'!$E$12:$Y$12"),0)),0),0)</f>
        <v>254697</v>
      </c>
      <c r="I2318" s="366" t="s">
        <v>1690</v>
      </c>
      <c r="J2318" s="348" t="str">
        <f t="shared" ca="1" si="72"/>
        <v>OK</v>
      </c>
      <c r="K2318" s="366" t="s">
        <v>1686</v>
      </c>
      <c r="L2318" s="366" t="s">
        <v>2236</v>
      </c>
      <c r="M2318" s="350" t="str">
        <f>IF($B2318="Portfolio","Portfolio",IFERROR(INDEX(DATA_ASSET_CLASSIFICATION!$B$8:$B$24,MATCH($C2318,DATA_ASSET_CLASSIFICATION!$A$8:$A$24,0)),"Review"))</f>
        <v>Jessica Place</v>
      </c>
      <c r="N2318" s="350" t="str">
        <f ca="1">IF($B2318="Portfolio","Portfolio",IFERROR(INDEX(DATA_ASSET_CLASSIFICATION!$U$8:$U$24,MATCH($C2318,DATA_ASSET_CLASSIFICATION!$A$8:$A$24,0)),"Review"))</f>
        <v>Refi Watch</v>
      </c>
      <c r="O2318" s="350" t="str">
        <f ca="1">IF($B2318="Portfolio","Portfolio",IFERROR(INDEX(DATA_ASSET_CLASSIFICATION!$AB$8:$AB$13,MATCH($N2318,DATA_ASSET_CLASSIFICATION!$AA$8:$AA$13,0)),"Review"))</f>
        <v>Bucket 2 · Legacy</v>
      </c>
      <c r="P2318" s="350" t="str">
        <f>IF($B2318="Portfolio","Portfolio",IFERROR(INDEX(DATA_ASSET_CLASSIFICATION!$C$8:$C$24,MATCH($C2318,DATA_ASSET_CLASSIFICATION!$A$8:$A$24,0)),"Review"))</f>
        <v>Yes</v>
      </c>
      <c r="Q2318" s="350" t="str">
        <f t="shared" ca="1" si="73"/>
        <v>OK</v>
      </c>
    </row>
    <row r="2319" spans="1:17">
      <c r="A2319" s="366" t="s">
        <v>4275</v>
      </c>
      <c r="B2319" s="366" t="s">
        <v>231</v>
      </c>
      <c r="C2319" s="348" t="str">
        <f>DATA_PROPERTY_MASTER!$A$12</f>
        <v>BLD_JP</v>
      </c>
      <c r="D2319" s="380">
        <f>'00_PORTFOLIO ROLLUP'!E$12</f>
        <v>2025</v>
      </c>
      <c r="E2319" s="366" t="s">
        <v>1683</v>
      </c>
      <c r="F2319" s="366" t="s">
        <v>19</v>
      </c>
      <c r="G2319" s="348" t="str">
        <f>"'"&amp;$C2319&amp;"'!$E$41:$Y$41"</f>
        <v>'BLD_JP'!$E$41:$Y$41</v>
      </c>
      <c r="H2319" s="381">
        <f ca="1">IF(IFERROR(INDEX(DATA_PROPERTY_MASTER!$E$5:$E$21,MATCH($C2319,DATA_PROPERTY_MASTER!$A$5:$A$21,0))="Yes",FALSE),IFERROR(INDEX(INDIRECT("'"&amp;$C2319&amp;"'!$E$41:$Y$41"),1,MATCH($D2319,INDIRECT("'"&amp;$C2319&amp;"'!$E$12:$Y$12"),0)),0),0)</f>
        <v>141364.12</v>
      </c>
      <c r="I2319" s="366" t="s">
        <v>1685</v>
      </c>
      <c r="J2319" s="348" t="str">
        <f t="shared" ca="1" si="72"/>
        <v>OK</v>
      </c>
      <c r="K2319" s="366" t="s">
        <v>1694</v>
      </c>
      <c r="L2319" s="366" t="s">
        <v>2238</v>
      </c>
      <c r="M2319" s="350" t="str">
        <f>IF($B2319="Portfolio","Portfolio",IFERROR(INDEX(DATA_ASSET_CLASSIFICATION!$B$8:$B$24,MATCH($C2319,DATA_ASSET_CLASSIFICATION!$A$8:$A$24,0)),"Review"))</f>
        <v>Jessica Place</v>
      </c>
      <c r="N2319" s="350" t="str">
        <f ca="1">IF($B2319="Portfolio","Portfolio",IFERROR(INDEX(DATA_ASSET_CLASSIFICATION!$U$8:$U$24,MATCH($C2319,DATA_ASSET_CLASSIFICATION!$A$8:$A$24,0)),"Review"))</f>
        <v>Refi Watch</v>
      </c>
      <c r="O2319" s="350" t="str">
        <f ca="1">IF($B2319="Portfolio","Portfolio",IFERROR(INDEX(DATA_ASSET_CLASSIFICATION!$AB$8:$AB$13,MATCH($N2319,DATA_ASSET_CLASSIFICATION!$AA$8:$AA$13,0)),"Review"))</f>
        <v>Bucket 2 · Legacy</v>
      </c>
      <c r="P2319" s="350" t="str">
        <f>IF($B2319="Portfolio","Portfolio",IFERROR(INDEX(DATA_ASSET_CLASSIFICATION!$C$8:$C$24,MATCH($C2319,DATA_ASSET_CLASSIFICATION!$A$8:$A$24,0)),"Review"))</f>
        <v>Yes</v>
      </c>
      <c r="Q2319" s="350" t="str">
        <f t="shared" ca="1" si="73"/>
        <v>OK</v>
      </c>
    </row>
    <row r="2320" spans="1:17">
      <c r="A2320" s="366" t="s">
        <v>4276</v>
      </c>
      <c r="B2320" s="366" t="s">
        <v>231</v>
      </c>
      <c r="C2320" s="348" t="str">
        <f>DATA_PROPERTY_MASTER!$A$12</f>
        <v>BLD_JP</v>
      </c>
      <c r="D2320" s="380">
        <f>'00_PORTFOLIO ROLLUP'!E$12</f>
        <v>2025</v>
      </c>
      <c r="E2320" s="366" t="s">
        <v>1683</v>
      </c>
      <c r="F2320" s="366" t="s">
        <v>1697</v>
      </c>
      <c r="G2320" s="348" t="str">
        <f>"'"&amp;$C2320&amp;"'!$E$44:$Y$44"</f>
        <v>'BLD_JP'!$E$44:$Y$44</v>
      </c>
      <c r="H2320" s="381">
        <f ca="1">IF(IFERROR(INDEX(DATA_PROPERTY_MASTER!$E$5:$E$21,MATCH($C2320,DATA_PROPERTY_MASTER!$A$5:$A$21,0))="Yes",FALSE),IFERROR(INDEX(INDIRECT("'"&amp;$C2320&amp;"'!$E$44:$Y$44"),1,MATCH($D2320,INDIRECT("'"&amp;$C2320&amp;"'!$E$12:$Y$12"),0)),0),0)</f>
        <v>6000</v>
      </c>
      <c r="I2320" s="366" t="s">
        <v>1690</v>
      </c>
      <c r="J2320" s="348" t="str">
        <f t="shared" ca="1" si="72"/>
        <v>OK</v>
      </c>
      <c r="K2320" s="366" t="s">
        <v>1699</v>
      </c>
      <c r="L2320" s="366" t="s">
        <v>2240</v>
      </c>
      <c r="M2320" s="350" t="str">
        <f>IF($B2320="Portfolio","Portfolio",IFERROR(INDEX(DATA_ASSET_CLASSIFICATION!$B$8:$B$24,MATCH($C2320,DATA_ASSET_CLASSIFICATION!$A$8:$A$24,0)),"Review"))</f>
        <v>Jessica Place</v>
      </c>
      <c r="N2320" s="350" t="str">
        <f ca="1">IF($B2320="Portfolio","Portfolio",IFERROR(INDEX(DATA_ASSET_CLASSIFICATION!$U$8:$U$24,MATCH($C2320,DATA_ASSET_CLASSIFICATION!$A$8:$A$24,0)),"Review"))</f>
        <v>Refi Watch</v>
      </c>
      <c r="O2320" s="350" t="str">
        <f ca="1">IF($B2320="Portfolio","Portfolio",IFERROR(INDEX(DATA_ASSET_CLASSIFICATION!$AB$8:$AB$13,MATCH($N2320,DATA_ASSET_CLASSIFICATION!$AA$8:$AA$13,0)),"Review"))</f>
        <v>Bucket 2 · Legacy</v>
      </c>
      <c r="P2320" s="350" t="str">
        <f>IF($B2320="Portfolio","Portfolio",IFERROR(INDEX(DATA_ASSET_CLASSIFICATION!$C$8:$C$24,MATCH($C2320,DATA_ASSET_CLASSIFICATION!$A$8:$A$24,0)),"Review"))</f>
        <v>Yes</v>
      </c>
      <c r="Q2320" s="350" t="str">
        <f t="shared" ca="1" si="73"/>
        <v>OK</v>
      </c>
    </row>
    <row r="2321" spans="1:17">
      <c r="A2321" s="366" t="s">
        <v>4277</v>
      </c>
      <c r="B2321" s="366" t="s">
        <v>231</v>
      </c>
      <c r="C2321" s="348" t="str">
        <f>DATA_PROPERTY_MASTER!$A$12</f>
        <v>BLD_JP</v>
      </c>
      <c r="D2321" s="380">
        <f>'00_PORTFOLIO ROLLUP'!E$12</f>
        <v>2025</v>
      </c>
      <c r="E2321" s="366" t="s">
        <v>1683</v>
      </c>
      <c r="F2321" s="366" t="s">
        <v>21</v>
      </c>
      <c r="G2321" s="348" t="str">
        <f>"'"&amp;$C2321&amp;"'!$E$45:$Y$45"</f>
        <v>'BLD_JP'!$E$45:$Y$45</v>
      </c>
      <c r="H2321" s="381">
        <f ca="1">IF(IFERROR(INDEX(DATA_PROPERTY_MASTER!$E$5:$E$21,MATCH($C2321,DATA_PROPERTY_MASTER!$A$5:$A$21,0))="Yes",FALSE),IFERROR(INDEX(INDIRECT("'"&amp;$C2321&amp;"'!$E$45:$Y$45"),1,MATCH($D2321,INDIRECT("'"&amp;$C2321&amp;"'!$E$12:$Y$12"),0)),0),0)</f>
        <v>135364.12</v>
      </c>
      <c r="I2321" s="366" t="s">
        <v>1685</v>
      </c>
      <c r="J2321" s="348" t="str">
        <f t="shared" ca="1" si="72"/>
        <v>OK</v>
      </c>
      <c r="K2321" s="366" t="s">
        <v>1694</v>
      </c>
      <c r="L2321" s="366" t="s">
        <v>2242</v>
      </c>
      <c r="M2321" s="350" t="str">
        <f>IF($B2321="Portfolio","Portfolio",IFERROR(INDEX(DATA_ASSET_CLASSIFICATION!$B$8:$B$24,MATCH($C2321,DATA_ASSET_CLASSIFICATION!$A$8:$A$24,0)),"Review"))</f>
        <v>Jessica Place</v>
      </c>
      <c r="N2321" s="350" t="str">
        <f ca="1">IF($B2321="Portfolio","Portfolio",IFERROR(INDEX(DATA_ASSET_CLASSIFICATION!$U$8:$U$24,MATCH($C2321,DATA_ASSET_CLASSIFICATION!$A$8:$A$24,0)),"Review"))</f>
        <v>Refi Watch</v>
      </c>
      <c r="O2321" s="350" t="str">
        <f ca="1">IF($B2321="Portfolio","Portfolio",IFERROR(INDEX(DATA_ASSET_CLASSIFICATION!$AB$8:$AB$13,MATCH($N2321,DATA_ASSET_CLASSIFICATION!$AA$8:$AA$13,0)),"Review"))</f>
        <v>Bucket 2 · Legacy</v>
      </c>
      <c r="P2321" s="350" t="str">
        <f>IF($B2321="Portfolio","Portfolio",IFERROR(INDEX(DATA_ASSET_CLASSIFICATION!$C$8:$C$24,MATCH($C2321,DATA_ASSET_CLASSIFICATION!$A$8:$A$24,0)),"Review"))</f>
        <v>Yes</v>
      </c>
      <c r="Q2321" s="350" t="str">
        <f t="shared" ca="1" si="73"/>
        <v>OK</v>
      </c>
    </row>
    <row r="2322" spans="1:17">
      <c r="A2322" s="366" t="s">
        <v>4278</v>
      </c>
      <c r="B2322" s="366" t="s">
        <v>231</v>
      </c>
      <c r="C2322" s="348" t="str">
        <f>DATA_PROPERTY_MASTER!$A$12</f>
        <v>BLD_JP</v>
      </c>
      <c r="D2322" s="380">
        <f>'00_PORTFOLIO ROLLUP'!E$12</f>
        <v>2025</v>
      </c>
      <c r="E2322" s="366" t="s">
        <v>23</v>
      </c>
      <c r="F2322" s="366" t="s">
        <v>23</v>
      </c>
      <c r="G2322" s="348" t="str">
        <f>"'"&amp;$C2322&amp;"'!$E$48:$Y$48"</f>
        <v>'BLD_JP'!$E$48:$Y$48</v>
      </c>
      <c r="H2322" s="381">
        <f ca="1">IF(IFERROR(INDEX(DATA_PROPERTY_MASTER!$E$5:$E$21,MATCH($C2322,DATA_PROPERTY_MASTER!$A$5:$A$21,0))="Yes",FALSE),IFERROR(INDEX(INDIRECT("'"&amp;$C2322&amp;"'!$E$48:$Y$48"),1,MATCH($D2322,INDIRECT("'"&amp;$C2322&amp;"'!$E$12:$Y$12"),0)),0),0)</f>
        <v>176698.83</v>
      </c>
      <c r="I2322" s="366" t="s">
        <v>1690</v>
      </c>
      <c r="J2322" s="348" t="str">
        <f t="shared" ca="1" si="72"/>
        <v>OK</v>
      </c>
      <c r="K2322" s="366" t="s">
        <v>1706</v>
      </c>
      <c r="L2322" s="366" t="s">
        <v>2244</v>
      </c>
      <c r="M2322" s="350" t="str">
        <f>IF($B2322="Portfolio","Portfolio",IFERROR(INDEX(DATA_ASSET_CLASSIFICATION!$B$8:$B$24,MATCH($C2322,DATA_ASSET_CLASSIFICATION!$A$8:$A$24,0)),"Review"))</f>
        <v>Jessica Place</v>
      </c>
      <c r="N2322" s="350" t="str">
        <f ca="1">IF($B2322="Portfolio","Portfolio",IFERROR(INDEX(DATA_ASSET_CLASSIFICATION!$U$8:$U$24,MATCH($C2322,DATA_ASSET_CLASSIFICATION!$A$8:$A$24,0)),"Review"))</f>
        <v>Refi Watch</v>
      </c>
      <c r="O2322" s="350" t="str">
        <f ca="1">IF($B2322="Portfolio","Portfolio",IFERROR(INDEX(DATA_ASSET_CLASSIFICATION!$AB$8:$AB$13,MATCH($N2322,DATA_ASSET_CLASSIFICATION!$AA$8:$AA$13,0)),"Review"))</f>
        <v>Bucket 2 · Legacy</v>
      </c>
      <c r="P2322" s="350" t="str">
        <f>IF($B2322="Portfolio","Portfolio",IFERROR(INDEX(DATA_ASSET_CLASSIFICATION!$C$8:$C$24,MATCH($C2322,DATA_ASSET_CLASSIFICATION!$A$8:$A$24,0)),"Review"))</f>
        <v>Yes</v>
      </c>
      <c r="Q2322" s="350" t="str">
        <f t="shared" ca="1" si="73"/>
        <v>OK</v>
      </c>
    </row>
    <row r="2323" spans="1:17">
      <c r="A2323" s="366" t="s">
        <v>4279</v>
      </c>
      <c r="B2323" s="366" t="s">
        <v>231</v>
      </c>
      <c r="C2323" s="348" t="str">
        <f>DATA_PROPERTY_MASTER!$A$12</f>
        <v>BLD_JP</v>
      </c>
      <c r="D2323" s="380">
        <f>'00_PORTFOLIO ROLLUP'!E$12</f>
        <v>2025</v>
      </c>
      <c r="E2323" s="366" t="s">
        <v>1683</v>
      </c>
      <c r="F2323" s="366" t="s">
        <v>25</v>
      </c>
      <c r="G2323" s="348" t="str">
        <f>"'"&amp;$C2323&amp;"'!$E$52:$Y$52"</f>
        <v>'BLD_JP'!$E$52:$Y$52</v>
      </c>
      <c r="H2323" s="381">
        <f ca="1">IF(IFERROR(INDEX(DATA_PROPERTY_MASTER!$E$5:$E$21,MATCH($C2323,DATA_PROPERTY_MASTER!$A$5:$A$21,0))="Yes",FALSE),IFERROR(INDEX(INDIRECT("'"&amp;$C2323&amp;"'!$E$52:$Y$52"),1,MATCH($D2323,INDIRECT("'"&amp;$C2323&amp;"'!$E$12:$Y$12"),0)),0),0)</f>
        <v>-35334.709999999992</v>
      </c>
      <c r="I2323" s="366" t="s">
        <v>1685</v>
      </c>
      <c r="J2323" s="348" t="str">
        <f t="shared" ca="1" si="72"/>
        <v>OK</v>
      </c>
      <c r="K2323" s="366" t="s">
        <v>1710</v>
      </c>
      <c r="L2323" s="366" t="s">
        <v>2246</v>
      </c>
      <c r="M2323" s="350" t="str">
        <f>IF($B2323="Portfolio","Portfolio",IFERROR(INDEX(DATA_ASSET_CLASSIFICATION!$B$8:$B$24,MATCH($C2323,DATA_ASSET_CLASSIFICATION!$A$8:$A$24,0)),"Review"))</f>
        <v>Jessica Place</v>
      </c>
      <c r="N2323" s="350" t="str">
        <f ca="1">IF($B2323="Portfolio","Portfolio",IFERROR(INDEX(DATA_ASSET_CLASSIFICATION!$U$8:$U$24,MATCH($C2323,DATA_ASSET_CLASSIFICATION!$A$8:$A$24,0)),"Review"))</f>
        <v>Refi Watch</v>
      </c>
      <c r="O2323" s="350" t="str">
        <f ca="1">IF($B2323="Portfolio","Portfolio",IFERROR(INDEX(DATA_ASSET_CLASSIFICATION!$AB$8:$AB$13,MATCH($N2323,DATA_ASSET_CLASSIFICATION!$AA$8:$AA$13,0)),"Review"))</f>
        <v>Bucket 2 · Legacy</v>
      </c>
      <c r="P2323" s="350" t="str">
        <f>IF($B2323="Portfolio","Portfolio",IFERROR(INDEX(DATA_ASSET_CLASSIFICATION!$C$8:$C$24,MATCH($C2323,DATA_ASSET_CLASSIFICATION!$A$8:$A$24,0)),"Review"))</f>
        <v>Yes</v>
      </c>
      <c r="Q2323" s="350" t="str">
        <f t="shared" ca="1" si="73"/>
        <v>OK</v>
      </c>
    </row>
    <row r="2324" spans="1:17">
      <c r="A2324" s="366" t="s">
        <v>4280</v>
      </c>
      <c r="B2324" s="366" t="s">
        <v>231</v>
      </c>
      <c r="C2324" s="348" t="str">
        <f>DATA_PROPERTY_MASTER!$A$12</f>
        <v>BLD_JP</v>
      </c>
      <c r="D2324" s="380">
        <f>'00_PORTFOLIO ROLLUP'!E$12</f>
        <v>2025</v>
      </c>
      <c r="E2324" s="366" t="s">
        <v>1683</v>
      </c>
      <c r="F2324" s="366" t="s">
        <v>27</v>
      </c>
      <c r="G2324" s="348" t="str">
        <f>"'"&amp;$C2324&amp;"'!$E$54:$Y$54"</f>
        <v>'BLD_JP'!$E$54:$Y$54</v>
      </c>
      <c r="H2324" s="381">
        <f ca="1">IF(IFERROR(INDEX(DATA_PROPERTY_MASTER!$E$5:$E$21,MATCH($C2324,DATA_PROPERTY_MASTER!$A$5:$A$21,0))="Yes",FALSE),IFERROR(INDEX(INDIRECT("'"&amp;$C2324&amp;"'!$E$54:$Y$54"),1,MATCH($D2324,INDIRECT("'"&amp;$C2324&amp;"'!$E$12:$Y$12"),0)),0),0)</f>
        <v>0</v>
      </c>
      <c r="I2324" s="366" t="s">
        <v>1690</v>
      </c>
      <c r="J2324" s="348" t="str">
        <f t="shared" ca="1" si="72"/>
        <v>OK</v>
      </c>
      <c r="K2324" s="366" t="s">
        <v>1714</v>
      </c>
      <c r="L2324" s="366" t="s">
        <v>2248</v>
      </c>
      <c r="M2324" s="350" t="str">
        <f>IF($B2324="Portfolio","Portfolio",IFERROR(INDEX(DATA_ASSET_CLASSIFICATION!$B$8:$B$24,MATCH($C2324,DATA_ASSET_CLASSIFICATION!$A$8:$A$24,0)),"Review"))</f>
        <v>Jessica Place</v>
      </c>
      <c r="N2324" s="350" t="str">
        <f ca="1">IF($B2324="Portfolio","Portfolio",IFERROR(INDEX(DATA_ASSET_CLASSIFICATION!$U$8:$U$24,MATCH($C2324,DATA_ASSET_CLASSIFICATION!$A$8:$A$24,0)),"Review"))</f>
        <v>Refi Watch</v>
      </c>
      <c r="O2324" s="350" t="str">
        <f ca="1">IF($B2324="Portfolio","Portfolio",IFERROR(INDEX(DATA_ASSET_CLASSIFICATION!$AB$8:$AB$13,MATCH($N2324,DATA_ASSET_CLASSIFICATION!$AA$8:$AA$13,0)),"Review"))</f>
        <v>Bucket 2 · Legacy</v>
      </c>
      <c r="P2324" s="350" t="str">
        <f>IF($B2324="Portfolio","Portfolio",IFERROR(INDEX(DATA_ASSET_CLASSIFICATION!$C$8:$C$24,MATCH($C2324,DATA_ASSET_CLASSIFICATION!$A$8:$A$24,0)),"Review"))</f>
        <v>Yes</v>
      </c>
      <c r="Q2324" s="350" t="str">
        <f t="shared" ca="1" si="73"/>
        <v>OK</v>
      </c>
    </row>
    <row r="2325" spans="1:17">
      <c r="A2325" s="366" t="s">
        <v>4281</v>
      </c>
      <c r="B2325" s="366" t="s">
        <v>231</v>
      </c>
      <c r="C2325" s="348" t="str">
        <f>DATA_PROPERTY_MASTER!$A$12</f>
        <v>BLD_JP</v>
      </c>
      <c r="D2325" s="380">
        <f>'00_PORTFOLIO ROLLUP'!E$12</f>
        <v>2025</v>
      </c>
      <c r="E2325" s="366" t="s">
        <v>1683</v>
      </c>
      <c r="F2325" s="366" t="s">
        <v>29</v>
      </c>
      <c r="G2325" s="348" t="str">
        <f>"'"&amp;$C2325&amp;"'!$E$56:$Y$56"</f>
        <v>'BLD_JP'!$E$56:$Y$56</v>
      </c>
      <c r="H2325" s="381">
        <f ca="1">IF(IFERROR(INDEX(DATA_PROPERTY_MASTER!$E$5:$E$21,MATCH($C2325,DATA_PROPERTY_MASTER!$A$5:$A$21,0))="Yes",FALSE),IFERROR(INDEX(INDIRECT("'"&amp;$C2325&amp;"'!$E$56:$Y$56"),1,MATCH($D2325,INDIRECT("'"&amp;$C2325&amp;"'!$E$12:$Y$12"),0)),0),0)</f>
        <v>-35334.709999999992</v>
      </c>
      <c r="I2325" s="366" t="s">
        <v>1685</v>
      </c>
      <c r="J2325" s="348" t="str">
        <f t="shared" ca="1" si="72"/>
        <v>OK</v>
      </c>
      <c r="K2325" s="366" t="s">
        <v>1718</v>
      </c>
      <c r="L2325" s="366" t="s">
        <v>2250</v>
      </c>
      <c r="M2325" s="350" t="str">
        <f>IF($B2325="Portfolio","Portfolio",IFERROR(INDEX(DATA_ASSET_CLASSIFICATION!$B$8:$B$24,MATCH($C2325,DATA_ASSET_CLASSIFICATION!$A$8:$A$24,0)),"Review"))</f>
        <v>Jessica Place</v>
      </c>
      <c r="N2325" s="350" t="str">
        <f ca="1">IF($B2325="Portfolio","Portfolio",IFERROR(INDEX(DATA_ASSET_CLASSIFICATION!$U$8:$U$24,MATCH($C2325,DATA_ASSET_CLASSIFICATION!$A$8:$A$24,0)),"Review"))</f>
        <v>Refi Watch</v>
      </c>
      <c r="O2325" s="350" t="str">
        <f ca="1">IF($B2325="Portfolio","Portfolio",IFERROR(INDEX(DATA_ASSET_CLASSIFICATION!$AB$8:$AB$13,MATCH($N2325,DATA_ASSET_CLASSIFICATION!$AA$8:$AA$13,0)),"Review"))</f>
        <v>Bucket 2 · Legacy</v>
      </c>
      <c r="P2325" s="350" t="str">
        <f>IF($B2325="Portfolio","Portfolio",IFERROR(INDEX(DATA_ASSET_CLASSIFICATION!$C$8:$C$24,MATCH($C2325,DATA_ASSET_CLASSIFICATION!$A$8:$A$24,0)),"Review"))</f>
        <v>Yes</v>
      </c>
      <c r="Q2325" s="350" t="str">
        <f t="shared" ca="1" si="73"/>
        <v>OK</v>
      </c>
    </row>
    <row r="2326" spans="1:17">
      <c r="A2326" s="366" t="s">
        <v>4282</v>
      </c>
      <c r="B2326" s="366" t="s">
        <v>231</v>
      </c>
      <c r="C2326" s="348" t="str">
        <f>DATA_PROPERTY_MASTER!$A$12</f>
        <v>BLD_JP</v>
      </c>
      <c r="D2326" s="380">
        <f>'00_PORTFOLIO ROLLUP'!E$12</f>
        <v>2025</v>
      </c>
      <c r="E2326" s="366" t="s">
        <v>1721</v>
      </c>
      <c r="F2326" s="366" t="s">
        <v>31</v>
      </c>
      <c r="G2326" s="348" t="str">
        <f>"'"&amp;$C2326&amp;"'!$E$61:$Y$61"</f>
        <v>'BLD_JP'!$E$61:$Y$61</v>
      </c>
      <c r="H2326" s="381">
        <f ca="1">IF(IFERROR(INDEX(DATA_PROPERTY_MASTER!$E$5:$E$21,MATCH($C2326,DATA_PROPERTY_MASTER!$A$5:$A$21,0))="Yes",FALSE),IFERROR(INDEX(INDIRECT("'"&amp;$C2326&amp;"'!$E$61:$Y$61"),1,MATCH($D2326,INDIRECT("'"&amp;$C2326&amp;"'!$E$12:$Y$12"),0)),0),0)</f>
        <v>0</v>
      </c>
      <c r="I2326" s="366" t="s">
        <v>1690</v>
      </c>
      <c r="J2326" s="348" t="str">
        <f t="shared" ca="1" si="72"/>
        <v>OK</v>
      </c>
      <c r="K2326" s="366" t="s">
        <v>1723</v>
      </c>
      <c r="L2326" s="366" t="s">
        <v>2252</v>
      </c>
      <c r="M2326" s="350" t="str">
        <f>IF($B2326="Portfolio","Portfolio",IFERROR(INDEX(DATA_ASSET_CLASSIFICATION!$B$8:$B$24,MATCH($C2326,DATA_ASSET_CLASSIFICATION!$A$8:$A$24,0)),"Review"))</f>
        <v>Jessica Place</v>
      </c>
      <c r="N2326" s="350" t="str">
        <f ca="1">IF($B2326="Portfolio","Portfolio",IFERROR(INDEX(DATA_ASSET_CLASSIFICATION!$U$8:$U$24,MATCH($C2326,DATA_ASSET_CLASSIFICATION!$A$8:$A$24,0)),"Review"))</f>
        <v>Refi Watch</v>
      </c>
      <c r="O2326" s="350" t="str">
        <f ca="1">IF($B2326="Portfolio","Portfolio",IFERROR(INDEX(DATA_ASSET_CLASSIFICATION!$AB$8:$AB$13,MATCH($N2326,DATA_ASSET_CLASSIFICATION!$AA$8:$AA$13,0)),"Review"))</f>
        <v>Bucket 2 · Legacy</v>
      </c>
      <c r="P2326" s="350" t="str">
        <f>IF($B2326="Portfolio","Portfolio",IFERROR(INDEX(DATA_ASSET_CLASSIFICATION!$C$8:$C$24,MATCH($C2326,DATA_ASSET_CLASSIFICATION!$A$8:$A$24,0)),"Review"))</f>
        <v>Yes</v>
      </c>
      <c r="Q2326" s="350" t="str">
        <f t="shared" ca="1" si="73"/>
        <v>OK</v>
      </c>
    </row>
    <row r="2327" spans="1:17">
      <c r="A2327" s="366" t="s">
        <v>4283</v>
      </c>
      <c r="B2327" s="366" t="s">
        <v>231</v>
      </c>
      <c r="C2327" s="348" t="str">
        <f>DATA_PROPERTY_MASTER!$A$12</f>
        <v>BLD_JP</v>
      </c>
      <c r="D2327" s="380">
        <f>'00_PORTFOLIO ROLLUP'!E$12</f>
        <v>2025</v>
      </c>
      <c r="E2327" s="366" t="s">
        <v>1721</v>
      </c>
      <c r="F2327" s="366" t="s">
        <v>33</v>
      </c>
      <c r="G2327" s="348" t="str">
        <f>"'"&amp;$C2327&amp;"'!$E$62:$Y$62"</f>
        <v>'BLD_JP'!$E$62:$Y$62</v>
      </c>
      <c r="H2327" s="381">
        <f ca="1">IF(IFERROR(INDEX(DATA_PROPERTY_MASTER!$E$5:$E$21,MATCH($C2327,DATA_PROPERTY_MASTER!$A$5:$A$21,0))="Yes",FALSE),IFERROR(INDEX(INDIRECT("'"&amp;$C2327&amp;"'!$E$62:$Y$62"),1,MATCH($D2327,INDIRECT("'"&amp;$C2327&amp;"'!$E$12:$Y$12"),0)),0),0)</f>
        <v>0</v>
      </c>
      <c r="I2327" s="366" t="s">
        <v>1685</v>
      </c>
      <c r="J2327" s="348" t="str">
        <f t="shared" ca="1" si="72"/>
        <v>OK</v>
      </c>
      <c r="K2327" s="366" t="s">
        <v>1727</v>
      </c>
      <c r="L2327" s="366" t="s">
        <v>2254</v>
      </c>
      <c r="M2327" s="350" t="str">
        <f>IF($B2327="Portfolio","Portfolio",IFERROR(INDEX(DATA_ASSET_CLASSIFICATION!$B$8:$B$24,MATCH($C2327,DATA_ASSET_CLASSIFICATION!$A$8:$A$24,0)),"Review"))</f>
        <v>Jessica Place</v>
      </c>
      <c r="N2327" s="350" t="str">
        <f ca="1">IF($B2327="Portfolio","Portfolio",IFERROR(INDEX(DATA_ASSET_CLASSIFICATION!$U$8:$U$24,MATCH($C2327,DATA_ASSET_CLASSIFICATION!$A$8:$A$24,0)),"Review"))</f>
        <v>Refi Watch</v>
      </c>
      <c r="O2327" s="350" t="str">
        <f ca="1">IF($B2327="Portfolio","Portfolio",IFERROR(INDEX(DATA_ASSET_CLASSIFICATION!$AB$8:$AB$13,MATCH($N2327,DATA_ASSET_CLASSIFICATION!$AA$8:$AA$13,0)),"Review"))</f>
        <v>Bucket 2 · Legacy</v>
      </c>
      <c r="P2327" s="350" t="str">
        <f>IF($B2327="Portfolio","Portfolio",IFERROR(INDEX(DATA_ASSET_CLASSIFICATION!$C$8:$C$24,MATCH($C2327,DATA_ASSET_CLASSIFICATION!$A$8:$A$24,0)),"Review"))</f>
        <v>Yes</v>
      </c>
      <c r="Q2327" s="350" t="str">
        <f t="shared" ca="1" si="73"/>
        <v>OK</v>
      </c>
    </row>
    <row r="2328" spans="1:17">
      <c r="A2328" s="366" t="s">
        <v>4284</v>
      </c>
      <c r="B2328" s="366" t="s">
        <v>231</v>
      </c>
      <c r="C2328" s="348" t="str">
        <f>DATA_PROPERTY_MASTER!$A$12</f>
        <v>BLD_JP</v>
      </c>
      <c r="D2328" s="380">
        <f>'00_PORTFOLIO ROLLUP'!E$12</f>
        <v>2025</v>
      </c>
      <c r="E2328" s="366" t="s">
        <v>1721</v>
      </c>
      <c r="F2328" s="366" t="s">
        <v>35</v>
      </c>
      <c r="G2328" s="348" t="str">
        <f>"'"&amp;$C2328&amp;"'!$E$63:$Y$63"</f>
        <v>'BLD_JP'!$E$63:$Y$63</v>
      </c>
      <c r="H2328" s="381">
        <f ca="1">IF(IFERROR(INDEX(DATA_PROPERTY_MASTER!$E$5:$E$21,MATCH($C2328,DATA_PROPERTY_MASTER!$A$5:$A$21,0))="Yes",FALSE),IFERROR(INDEX(INDIRECT("'"&amp;$C2328&amp;"'!$E$63:$Y$63"),1,MATCH($D2328,INDIRECT("'"&amp;$C2328&amp;"'!$E$12:$Y$12"),0)),0),0)</f>
        <v>0</v>
      </c>
      <c r="I2328" s="366" t="s">
        <v>1731</v>
      </c>
      <c r="J2328" s="348" t="str">
        <f t="shared" ca="1" si="72"/>
        <v>OK</v>
      </c>
      <c r="K2328" s="366" t="s">
        <v>1732</v>
      </c>
      <c r="L2328" s="366" t="s">
        <v>2256</v>
      </c>
      <c r="M2328" s="350" t="str">
        <f>IF($B2328="Portfolio","Portfolio",IFERROR(INDEX(DATA_ASSET_CLASSIFICATION!$B$8:$B$24,MATCH($C2328,DATA_ASSET_CLASSIFICATION!$A$8:$A$24,0)),"Review"))</f>
        <v>Jessica Place</v>
      </c>
      <c r="N2328" s="350" t="str">
        <f ca="1">IF($B2328="Portfolio","Portfolio",IFERROR(INDEX(DATA_ASSET_CLASSIFICATION!$U$8:$U$24,MATCH($C2328,DATA_ASSET_CLASSIFICATION!$A$8:$A$24,0)),"Review"))</f>
        <v>Refi Watch</v>
      </c>
      <c r="O2328" s="350" t="str">
        <f ca="1">IF($B2328="Portfolio","Portfolio",IFERROR(INDEX(DATA_ASSET_CLASSIFICATION!$AB$8:$AB$13,MATCH($N2328,DATA_ASSET_CLASSIFICATION!$AA$8:$AA$13,0)),"Review"))</f>
        <v>Bucket 2 · Legacy</v>
      </c>
      <c r="P2328" s="350" t="str">
        <f>IF($B2328="Portfolio","Portfolio",IFERROR(INDEX(DATA_ASSET_CLASSIFICATION!$C$8:$C$24,MATCH($C2328,DATA_ASSET_CLASSIFICATION!$A$8:$A$24,0)),"Review"))</f>
        <v>Yes</v>
      </c>
      <c r="Q2328" s="350" t="str">
        <f t="shared" ca="1" si="73"/>
        <v>OK</v>
      </c>
    </row>
    <row r="2329" spans="1:17">
      <c r="A2329" s="366" t="s">
        <v>4285</v>
      </c>
      <c r="B2329" s="366" t="s">
        <v>231</v>
      </c>
      <c r="C2329" s="348" t="str">
        <f>DATA_PROPERTY_MASTER!$A$12</f>
        <v>BLD_JP</v>
      </c>
      <c r="D2329" s="380">
        <f>'00_PORTFOLIO ROLLUP'!E$12</f>
        <v>2025</v>
      </c>
      <c r="E2329" s="366" t="s">
        <v>1721</v>
      </c>
      <c r="F2329" s="366" t="s">
        <v>37</v>
      </c>
      <c r="G2329" s="348" t="str">
        <f>"'"&amp;$C2329&amp;"'!$E$63:$Y$63"</f>
        <v>'BLD_JP'!$E$63:$Y$63</v>
      </c>
      <c r="H2329" s="381">
        <f ca="1">IF(IFERROR(INDEX(DATA_PROPERTY_MASTER!$E$5:$E$21,MATCH($C2329,DATA_PROPERTY_MASTER!$A$5:$A$21,0))="Yes",FALSE),MAX(IFERROR(INDEX(INDIRECT("'"&amp;$C2329&amp;"'!$E$63:$Y$63"),1,MATCH($D2329,INDIRECT("'"&amp;$C2329&amp;"'!$E$12:$Y$12"),0)),0),0),0)</f>
        <v>0</v>
      </c>
      <c r="I2329" s="366" t="s">
        <v>1685</v>
      </c>
      <c r="J2329" s="348" t="str">
        <f t="shared" ca="1" si="72"/>
        <v>OK</v>
      </c>
      <c r="K2329" s="366" t="s">
        <v>1735</v>
      </c>
      <c r="L2329" s="366" t="s">
        <v>2258</v>
      </c>
      <c r="M2329" s="350" t="str">
        <f>IF($B2329="Portfolio","Portfolio",IFERROR(INDEX(DATA_ASSET_CLASSIFICATION!$B$8:$B$24,MATCH($C2329,DATA_ASSET_CLASSIFICATION!$A$8:$A$24,0)),"Review"))</f>
        <v>Jessica Place</v>
      </c>
      <c r="N2329" s="350" t="str">
        <f ca="1">IF($B2329="Portfolio","Portfolio",IFERROR(INDEX(DATA_ASSET_CLASSIFICATION!$U$8:$U$24,MATCH($C2329,DATA_ASSET_CLASSIFICATION!$A$8:$A$24,0)),"Review"))</f>
        <v>Refi Watch</v>
      </c>
      <c r="O2329" s="350" t="str">
        <f ca="1">IF($B2329="Portfolio","Portfolio",IFERROR(INDEX(DATA_ASSET_CLASSIFICATION!$AB$8:$AB$13,MATCH($N2329,DATA_ASSET_CLASSIFICATION!$AA$8:$AA$13,0)),"Review"))</f>
        <v>Bucket 2 · Legacy</v>
      </c>
      <c r="P2329" s="350" t="str">
        <f>IF($B2329="Portfolio","Portfolio",IFERROR(INDEX(DATA_ASSET_CLASSIFICATION!$C$8:$C$24,MATCH($C2329,DATA_ASSET_CLASSIFICATION!$A$8:$A$24,0)),"Review"))</f>
        <v>Yes</v>
      </c>
      <c r="Q2329" s="350" t="str">
        <f t="shared" ca="1" si="73"/>
        <v>OK</v>
      </c>
    </row>
    <row r="2330" spans="1:17">
      <c r="A2330" s="366" t="s">
        <v>4286</v>
      </c>
      <c r="B2330" s="366" t="s">
        <v>231</v>
      </c>
      <c r="C2330" s="348" t="str">
        <f>DATA_PROPERTY_MASTER!$A$12</f>
        <v>BLD_JP</v>
      </c>
      <c r="D2330" s="380">
        <f>'00_PORTFOLIO ROLLUP'!E$12</f>
        <v>2025</v>
      </c>
      <c r="E2330" s="366" t="s">
        <v>1721</v>
      </c>
      <c r="F2330" s="366" t="s">
        <v>39</v>
      </c>
      <c r="G2330" s="348" t="str">
        <f>"'"&amp;$C2330&amp;"'!$E$63:$Y$63"</f>
        <v>'BLD_JP'!$E$63:$Y$63</v>
      </c>
      <c r="H2330" s="381">
        <f ca="1">IF(IFERROR(INDEX(DATA_PROPERTY_MASTER!$E$5:$E$21,MATCH($C2330,DATA_PROPERTY_MASTER!$A$5:$A$21,0))="Yes",FALSE),MAX(-IFERROR(INDEX(INDIRECT("'"&amp;$C2330&amp;"'!$E$63:$Y$63"),1,MATCH($D2330,INDIRECT("'"&amp;$C2330&amp;"'!$E$12:$Y$12"),0)),0),0),0)</f>
        <v>0</v>
      </c>
      <c r="I2330" s="366" t="s">
        <v>1690</v>
      </c>
      <c r="J2330" s="348" t="str">
        <f t="shared" ca="1" si="72"/>
        <v>OK</v>
      </c>
      <c r="K2330" s="366" t="s">
        <v>1738</v>
      </c>
      <c r="L2330" s="366" t="s">
        <v>2260</v>
      </c>
      <c r="M2330" s="350" t="str">
        <f>IF($B2330="Portfolio","Portfolio",IFERROR(INDEX(DATA_ASSET_CLASSIFICATION!$B$8:$B$24,MATCH($C2330,DATA_ASSET_CLASSIFICATION!$A$8:$A$24,0)),"Review"))</f>
        <v>Jessica Place</v>
      </c>
      <c r="N2330" s="350" t="str">
        <f ca="1">IF($B2330="Portfolio","Portfolio",IFERROR(INDEX(DATA_ASSET_CLASSIFICATION!$U$8:$U$24,MATCH($C2330,DATA_ASSET_CLASSIFICATION!$A$8:$A$24,0)),"Review"))</f>
        <v>Refi Watch</v>
      </c>
      <c r="O2330" s="350" t="str">
        <f ca="1">IF($B2330="Portfolio","Portfolio",IFERROR(INDEX(DATA_ASSET_CLASSIFICATION!$AB$8:$AB$13,MATCH($N2330,DATA_ASSET_CLASSIFICATION!$AA$8:$AA$13,0)),"Review"))</f>
        <v>Bucket 2 · Legacy</v>
      </c>
      <c r="P2330" s="350" t="str">
        <f>IF($B2330="Portfolio","Portfolio",IFERROR(INDEX(DATA_ASSET_CLASSIFICATION!$C$8:$C$24,MATCH($C2330,DATA_ASSET_CLASSIFICATION!$A$8:$A$24,0)),"Review"))</f>
        <v>Yes</v>
      </c>
      <c r="Q2330" s="350" t="str">
        <f t="shared" ca="1" si="73"/>
        <v>OK</v>
      </c>
    </row>
    <row r="2331" spans="1:17">
      <c r="A2331" s="366" t="s">
        <v>4287</v>
      </c>
      <c r="B2331" s="366" t="s">
        <v>231</v>
      </c>
      <c r="C2331" s="348" t="str">
        <f>DATA_PROPERTY_MASTER!$A$12</f>
        <v>BLD_JP</v>
      </c>
      <c r="D2331" s="380">
        <f>'00_PORTFOLIO ROLLUP'!E$12</f>
        <v>2025</v>
      </c>
      <c r="E2331" s="366" t="s">
        <v>1741</v>
      </c>
      <c r="F2331" s="366" t="s">
        <v>41</v>
      </c>
      <c r="G2331" s="348" t="str">
        <f>"'"&amp;$C2331&amp;"'!rows 56 + positive row 63"</f>
        <v>'BLD_JP'!rows 56 + positive row 63</v>
      </c>
      <c r="H2331" s="381">
        <f ca="1">IF(IFERROR(INDEX(DATA_PROPERTY_MASTER!$E$5:$E$21,MATCH($C2331,DATA_PROPERTY_MASTER!$A$5:$A$21,0))="Yes",FALSE),IFERROR(INDEX(INDIRECT("'"&amp;$C2331&amp;"'!$E$56:$Y$56"),1,MATCH($D2331,INDIRECT("'"&amp;$C2331&amp;"'!$E$12:$Y$12"),0)),0)+MAX(IFERROR(INDEX(INDIRECT("'"&amp;$C2331&amp;"'!$E$63:$Y$63"),1,MATCH($D2331,INDIRECT("'"&amp;$C2331&amp;"'!$E$12:$Y$12"),0)),0),0),0)</f>
        <v>-35334.709999999992</v>
      </c>
      <c r="I2331" s="366" t="s">
        <v>1685</v>
      </c>
      <c r="J2331" s="348" t="str">
        <f t="shared" ca="1" si="72"/>
        <v>OK</v>
      </c>
      <c r="K2331" s="366" t="s">
        <v>1742</v>
      </c>
      <c r="L2331" s="366" t="s">
        <v>2262</v>
      </c>
      <c r="M2331" s="350" t="str">
        <f>IF($B2331="Portfolio","Portfolio",IFERROR(INDEX(DATA_ASSET_CLASSIFICATION!$B$8:$B$24,MATCH($C2331,DATA_ASSET_CLASSIFICATION!$A$8:$A$24,0)),"Review"))</f>
        <v>Jessica Place</v>
      </c>
      <c r="N2331" s="350" t="str">
        <f ca="1">IF($B2331="Portfolio","Portfolio",IFERROR(INDEX(DATA_ASSET_CLASSIFICATION!$U$8:$U$24,MATCH($C2331,DATA_ASSET_CLASSIFICATION!$A$8:$A$24,0)),"Review"))</f>
        <v>Refi Watch</v>
      </c>
      <c r="O2331" s="350" t="str">
        <f ca="1">IF($B2331="Portfolio","Portfolio",IFERROR(INDEX(DATA_ASSET_CLASSIFICATION!$AB$8:$AB$13,MATCH($N2331,DATA_ASSET_CLASSIFICATION!$AA$8:$AA$13,0)),"Review"))</f>
        <v>Bucket 2 · Legacy</v>
      </c>
      <c r="P2331" s="350" t="str">
        <f>IF($B2331="Portfolio","Portfolio",IFERROR(INDEX(DATA_ASSET_CLASSIFICATION!$C$8:$C$24,MATCH($C2331,DATA_ASSET_CLASSIFICATION!$A$8:$A$24,0)),"Review"))</f>
        <v>Yes</v>
      </c>
      <c r="Q2331" s="350" t="str">
        <f t="shared" ca="1" si="73"/>
        <v>OK</v>
      </c>
    </row>
    <row r="2332" spans="1:17">
      <c r="A2332" s="366" t="s">
        <v>4288</v>
      </c>
      <c r="B2332" s="366" t="s">
        <v>231</v>
      </c>
      <c r="C2332" s="348" t="str">
        <f>DATA_PROPERTY_MASTER!$A$12</f>
        <v>BLD_JP</v>
      </c>
      <c r="D2332" s="380">
        <f>'00_PORTFOLIO ROLLUP'!E$12</f>
        <v>2025</v>
      </c>
      <c r="E2332" s="366" t="s">
        <v>1741</v>
      </c>
      <c r="F2332" s="366" t="s">
        <v>43</v>
      </c>
      <c r="G2332" s="348" t="str">
        <f>"'"&amp;$C2332&amp;"'!$E$68:$Y$68"</f>
        <v>'BLD_JP'!$E$68:$Y$68</v>
      </c>
      <c r="H2332" s="381">
        <f ca="1">IF(IFERROR(INDEX(DATA_PROPERTY_MASTER!$E$5:$E$21,MATCH($C2332,DATA_PROPERTY_MASTER!$A$5:$A$21,0))="Yes",FALSE),IFERROR(INDEX(INDIRECT("'"&amp;$C2332&amp;"'!$E$68:$Y$68"),1,MATCH($D2332,INDIRECT("'"&amp;$C2332&amp;"'!$E$12:$Y$12"),0)),0),0)</f>
        <v>-35334.709999999992</v>
      </c>
      <c r="I2332" s="366" t="s">
        <v>1731</v>
      </c>
      <c r="J2332" s="348" t="str">
        <f t="shared" ca="1" si="72"/>
        <v>OK</v>
      </c>
      <c r="K2332" s="366" t="s">
        <v>1746</v>
      </c>
      <c r="L2332" s="366" t="s">
        <v>2264</v>
      </c>
      <c r="M2332" s="350" t="str">
        <f>IF($B2332="Portfolio","Portfolio",IFERROR(INDEX(DATA_ASSET_CLASSIFICATION!$B$8:$B$24,MATCH($C2332,DATA_ASSET_CLASSIFICATION!$A$8:$A$24,0)),"Review"))</f>
        <v>Jessica Place</v>
      </c>
      <c r="N2332" s="350" t="str">
        <f ca="1">IF($B2332="Portfolio","Portfolio",IFERROR(INDEX(DATA_ASSET_CLASSIFICATION!$U$8:$U$24,MATCH($C2332,DATA_ASSET_CLASSIFICATION!$A$8:$A$24,0)),"Review"))</f>
        <v>Refi Watch</v>
      </c>
      <c r="O2332" s="350" t="str">
        <f ca="1">IF($B2332="Portfolio","Portfolio",IFERROR(INDEX(DATA_ASSET_CLASSIFICATION!$AB$8:$AB$13,MATCH($N2332,DATA_ASSET_CLASSIFICATION!$AA$8:$AA$13,0)),"Review"))</f>
        <v>Bucket 2 · Legacy</v>
      </c>
      <c r="P2332" s="350" t="str">
        <f>IF($B2332="Portfolio","Portfolio",IFERROR(INDEX(DATA_ASSET_CLASSIFICATION!$C$8:$C$24,MATCH($C2332,DATA_ASSET_CLASSIFICATION!$A$8:$A$24,0)),"Review"))</f>
        <v>Yes</v>
      </c>
      <c r="Q2332" s="350" t="str">
        <f t="shared" ca="1" si="73"/>
        <v>OK</v>
      </c>
    </row>
    <row r="2333" spans="1:17">
      <c r="A2333" s="366" t="s">
        <v>4289</v>
      </c>
      <c r="B2333" s="366" t="s">
        <v>231</v>
      </c>
      <c r="C2333" s="348" t="str">
        <f>DATA_PROPERTY_MASTER!$A$12</f>
        <v>BLD_JP</v>
      </c>
      <c r="D2333" s="380">
        <f>'00_PORTFOLIO ROLLUP'!E$12</f>
        <v>2025</v>
      </c>
      <c r="E2333" s="366" t="s">
        <v>1741</v>
      </c>
      <c r="F2333" s="366" t="s">
        <v>1749</v>
      </c>
      <c r="G2333" s="348" t="str">
        <f>"'"&amp;$C2333&amp;"'!rows 56, 63, 68"</f>
        <v>'BLD_JP'!rows 56, 63, 68</v>
      </c>
      <c r="H2333" s="381">
        <f ca="1">IF(IFERROR(INDEX(DATA_PROPERTY_MASTER!$E$5:$E$21,MATCH($C2333,DATA_PROPERTY_MASTER!$A$5:$A$21,0))="Yes",FALSE),(IFERROR(INDEX(INDIRECT("'"&amp;$C2333&amp;"'!$E$56:$Y$56"),1,MATCH($D2333,INDIRECT("'"&amp;$C2333&amp;"'!$E$12:$Y$12"),0)),0)+MAX(IFERROR(INDEX(INDIRECT("'"&amp;$C2333&amp;"'!$E$63:$Y$63"),1,MATCH($D2333,INDIRECT("'"&amp;$C2333&amp;"'!$E$12:$Y$12"),0)),0),0))-(IFERROR(INDEX(INDIRECT("'"&amp;$C2333&amp;"'!$E$68:$Y$68"),1,MATCH($D2333,INDIRECT("'"&amp;$C2333&amp;"'!$E$12:$Y$12"),0)),0)),0)</f>
        <v>0</v>
      </c>
      <c r="I2333" s="366" t="s">
        <v>1750</v>
      </c>
      <c r="J2333" s="348" t="str">
        <f t="shared" ca="1" si="72"/>
        <v>OK</v>
      </c>
      <c r="K2333" s="366" t="s">
        <v>1751</v>
      </c>
      <c r="L2333" s="366" t="s">
        <v>2266</v>
      </c>
      <c r="M2333" s="350" t="str">
        <f>IF($B2333="Portfolio","Portfolio",IFERROR(INDEX(DATA_ASSET_CLASSIFICATION!$B$8:$B$24,MATCH($C2333,DATA_ASSET_CLASSIFICATION!$A$8:$A$24,0)),"Review"))</f>
        <v>Jessica Place</v>
      </c>
      <c r="N2333" s="350" t="str">
        <f ca="1">IF($B2333="Portfolio","Portfolio",IFERROR(INDEX(DATA_ASSET_CLASSIFICATION!$U$8:$U$24,MATCH($C2333,DATA_ASSET_CLASSIFICATION!$A$8:$A$24,0)),"Review"))</f>
        <v>Refi Watch</v>
      </c>
      <c r="O2333" s="350" t="str">
        <f ca="1">IF($B2333="Portfolio","Portfolio",IFERROR(INDEX(DATA_ASSET_CLASSIFICATION!$AB$8:$AB$13,MATCH($N2333,DATA_ASSET_CLASSIFICATION!$AA$8:$AA$13,0)),"Review"))</f>
        <v>Bucket 2 · Legacy</v>
      </c>
      <c r="P2333" s="350" t="str">
        <f>IF($B2333="Portfolio","Portfolio",IFERROR(INDEX(DATA_ASSET_CLASSIFICATION!$C$8:$C$24,MATCH($C2333,DATA_ASSET_CLASSIFICATION!$A$8:$A$24,0)),"Review"))</f>
        <v>Yes</v>
      </c>
      <c r="Q2333" s="350" t="str">
        <f t="shared" ca="1" si="73"/>
        <v>OK</v>
      </c>
    </row>
    <row r="2334" spans="1:17">
      <c r="A2334" s="366" t="s">
        <v>4290</v>
      </c>
      <c r="B2334" s="366" t="s">
        <v>231</v>
      </c>
      <c r="C2334" s="348" t="str">
        <f>DATA_PROPERTY_MASTER!$A$12</f>
        <v>BLD_JP</v>
      </c>
      <c r="D2334" s="380">
        <f>'00_PORTFOLIO ROLLUP'!F$12</f>
        <v>2026</v>
      </c>
      <c r="E2334" s="366" t="s">
        <v>1683</v>
      </c>
      <c r="F2334" s="366" t="s">
        <v>341</v>
      </c>
      <c r="G2334" s="348" t="str">
        <f>"'"&amp;$C2334&amp;"'!$E$24:$Y$24"</f>
        <v>'BLD_JP'!$E$24:$Y$24</v>
      </c>
      <c r="H2334" s="381">
        <f ca="1">IF(IFERROR(INDEX(DATA_PROPERTY_MASTER!$E$5:$E$21,MATCH($C2334,DATA_PROPERTY_MASTER!$A$5:$A$21,0))="Yes",FALSE),IFERROR(INDEX(INDIRECT("'"&amp;$C2334&amp;"'!$E$24:$Y$24"),1,MATCH($D2334,INDIRECT("'"&amp;$C2334&amp;"'!$E$12:$Y$12"),0)),0),0)</f>
        <v>501587.28479999996</v>
      </c>
      <c r="I2334" s="366" t="s">
        <v>1685</v>
      </c>
      <c r="J2334" s="348" t="str">
        <f t="shared" ca="1" si="72"/>
        <v>OK</v>
      </c>
      <c r="K2334" s="366" t="s">
        <v>1686</v>
      </c>
      <c r="L2334" s="366" t="s">
        <v>2234</v>
      </c>
      <c r="M2334" s="350" t="str">
        <f>IF($B2334="Portfolio","Portfolio",IFERROR(INDEX(DATA_ASSET_CLASSIFICATION!$B$8:$B$24,MATCH($C2334,DATA_ASSET_CLASSIFICATION!$A$8:$A$24,0)),"Review"))</f>
        <v>Jessica Place</v>
      </c>
      <c r="N2334" s="350" t="str">
        <f ca="1">IF($B2334="Portfolio","Portfolio",IFERROR(INDEX(DATA_ASSET_CLASSIFICATION!$U$8:$U$24,MATCH($C2334,DATA_ASSET_CLASSIFICATION!$A$8:$A$24,0)),"Review"))</f>
        <v>Refi Watch</v>
      </c>
      <c r="O2334" s="350" t="str">
        <f ca="1">IF($B2334="Portfolio","Portfolio",IFERROR(INDEX(DATA_ASSET_CLASSIFICATION!$AB$8:$AB$13,MATCH($N2334,DATA_ASSET_CLASSIFICATION!$AA$8:$AA$13,0)),"Review"))</f>
        <v>Bucket 2 · Legacy</v>
      </c>
      <c r="P2334" s="350" t="str">
        <f>IF($B2334="Portfolio","Portfolio",IFERROR(INDEX(DATA_ASSET_CLASSIFICATION!$C$8:$C$24,MATCH($C2334,DATA_ASSET_CLASSIFICATION!$A$8:$A$24,0)),"Review"))</f>
        <v>Yes</v>
      </c>
      <c r="Q2334" s="350" t="str">
        <f t="shared" ca="1" si="73"/>
        <v>OK</v>
      </c>
    </row>
    <row r="2335" spans="1:17">
      <c r="A2335" s="366" t="s">
        <v>4291</v>
      </c>
      <c r="B2335" s="366" t="s">
        <v>231</v>
      </c>
      <c r="C2335" s="348" t="str">
        <f>DATA_PROPERTY_MASTER!$A$12</f>
        <v>BLD_JP</v>
      </c>
      <c r="D2335" s="380">
        <f>'00_PORTFOLIO ROLLUP'!F$12</f>
        <v>2026</v>
      </c>
      <c r="E2335" s="366" t="s">
        <v>1683</v>
      </c>
      <c r="F2335" s="366" t="s">
        <v>355</v>
      </c>
      <c r="G2335" s="348" t="str">
        <f>"'"&amp;$C2335&amp;"'!$E$39:$Y$39"</f>
        <v>'BLD_JP'!$E$39:$Y$39</v>
      </c>
      <c r="H2335" s="381">
        <f ca="1">IF(IFERROR(INDEX(DATA_PROPERTY_MASTER!$E$5:$E$21,MATCH($C2335,DATA_PROPERTY_MASTER!$A$5:$A$21,0))="Yes",FALSE),IFERROR(INDEX(INDIRECT("'"&amp;$C2335&amp;"'!$E$39:$Y$39"),1,MATCH($D2335,INDIRECT("'"&amp;$C2335&amp;"'!$E$12:$Y$12"),0)),0),0)</f>
        <v>264884.88</v>
      </c>
      <c r="I2335" s="366" t="s">
        <v>1690</v>
      </c>
      <c r="J2335" s="348" t="str">
        <f t="shared" ca="1" si="72"/>
        <v>OK</v>
      </c>
      <c r="K2335" s="366" t="s">
        <v>1686</v>
      </c>
      <c r="L2335" s="366" t="s">
        <v>2236</v>
      </c>
      <c r="M2335" s="350" t="str">
        <f>IF($B2335="Portfolio","Portfolio",IFERROR(INDEX(DATA_ASSET_CLASSIFICATION!$B$8:$B$24,MATCH($C2335,DATA_ASSET_CLASSIFICATION!$A$8:$A$24,0)),"Review"))</f>
        <v>Jessica Place</v>
      </c>
      <c r="N2335" s="350" t="str">
        <f ca="1">IF($B2335="Portfolio","Portfolio",IFERROR(INDEX(DATA_ASSET_CLASSIFICATION!$U$8:$U$24,MATCH($C2335,DATA_ASSET_CLASSIFICATION!$A$8:$A$24,0)),"Review"))</f>
        <v>Refi Watch</v>
      </c>
      <c r="O2335" s="350" t="str">
        <f ca="1">IF($B2335="Portfolio","Portfolio",IFERROR(INDEX(DATA_ASSET_CLASSIFICATION!$AB$8:$AB$13,MATCH($N2335,DATA_ASSET_CLASSIFICATION!$AA$8:$AA$13,0)),"Review"))</f>
        <v>Bucket 2 · Legacy</v>
      </c>
      <c r="P2335" s="350" t="str">
        <f>IF($B2335="Portfolio","Portfolio",IFERROR(INDEX(DATA_ASSET_CLASSIFICATION!$C$8:$C$24,MATCH($C2335,DATA_ASSET_CLASSIFICATION!$A$8:$A$24,0)),"Review"))</f>
        <v>Yes</v>
      </c>
      <c r="Q2335" s="350" t="str">
        <f t="shared" ca="1" si="73"/>
        <v>OK</v>
      </c>
    </row>
    <row r="2336" spans="1:17">
      <c r="A2336" s="366" t="s">
        <v>4292</v>
      </c>
      <c r="B2336" s="366" t="s">
        <v>231</v>
      </c>
      <c r="C2336" s="348" t="str">
        <f>DATA_PROPERTY_MASTER!$A$12</f>
        <v>BLD_JP</v>
      </c>
      <c r="D2336" s="380">
        <f>'00_PORTFOLIO ROLLUP'!F$12</f>
        <v>2026</v>
      </c>
      <c r="E2336" s="366" t="s">
        <v>1683</v>
      </c>
      <c r="F2336" s="366" t="s">
        <v>19</v>
      </c>
      <c r="G2336" s="348" t="str">
        <f>"'"&amp;$C2336&amp;"'!$E$41:$Y$41"</f>
        <v>'BLD_JP'!$E$41:$Y$41</v>
      </c>
      <c r="H2336" s="381">
        <f ca="1">IF(IFERROR(INDEX(DATA_PROPERTY_MASTER!$E$5:$E$21,MATCH($C2336,DATA_PROPERTY_MASTER!$A$5:$A$21,0))="Yes",FALSE),IFERROR(INDEX(INDIRECT("'"&amp;$C2336&amp;"'!$E$41:$Y$41"),1,MATCH($D2336,INDIRECT("'"&amp;$C2336&amp;"'!$E$12:$Y$12"),0)),0),0)</f>
        <v>236702.40479999996</v>
      </c>
      <c r="I2336" s="366" t="s">
        <v>1685</v>
      </c>
      <c r="J2336" s="348" t="str">
        <f t="shared" ca="1" si="72"/>
        <v>OK</v>
      </c>
      <c r="K2336" s="366" t="s">
        <v>1694</v>
      </c>
      <c r="L2336" s="366" t="s">
        <v>2238</v>
      </c>
      <c r="M2336" s="350" t="str">
        <f>IF($B2336="Portfolio","Portfolio",IFERROR(INDEX(DATA_ASSET_CLASSIFICATION!$B$8:$B$24,MATCH($C2336,DATA_ASSET_CLASSIFICATION!$A$8:$A$24,0)),"Review"))</f>
        <v>Jessica Place</v>
      </c>
      <c r="N2336" s="350" t="str">
        <f ca="1">IF($B2336="Portfolio","Portfolio",IFERROR(INDEX(DATA_ASSET_CLASSIFICATION!$U$8:$U$24,MATCH($C2336,DATA_ASSET_CLASSIFICATION!$A$8:$A$24,0)),"Review"))</f>
        <v>Refi Watch</v>
      </c>
      <c r="O2336" s="350" t="str">
        <f ca="1">IF($B2336="Portfolio","Portfolio",IFERROR(INDEX(DATA_ASSET_CLASSIFICATION!$AB$8:$AB$13,MATCH($N2336,DATA_ASSET_CLASSIFICATION!$AA$8:$AA$13,0)),"Review"))</f>
        <v>Bucket 2 · Legacy</v>
      </c>
      <c r="P2336" s="350" t="str">
        <f>IF($B2336="Portfolio","Portfolio",IFERROR(INDEX(DATA_ASSET_CLASSIFICATION!$C$8:$C$24,MATCH($C2336,DATA_ASSET_CLASSIFICATION!$A$8:$A$24,0)),"Review"))</f>
        <v>Yes</v>
      </c>
      <c r="Q2336" s="350" t="str">
        <f t="shared" ca="1" si="73"/>
        <v>OK</v>
      </c>
    </row>
    <row r="2337" spans="1:17">
      <c r="A2337" s="366" t="s">
        <v>4293</v>
      </c>
      <c r="B2337" s="366" t="s">
        <v>231</v>
      </c>
      <c r="C2337" s="348" t="str">
        <f>DATA_PROPERTY_MASTER!$A$12</f>
        <v>BLD_JP</v>
      </c>
      <c r="D2337" s="380">
        <f>'00_PORTFOLIO ROLLUP'!F$12</f>
        <v>2026</v>
      </c>
      <c r="E2337" s="366" t="s">
        <v>1683</v>
      </c>
      <c r="F2337" s="366" t="s">
        <v>1697</v>
      </c>
      <c r="G2337" s="348" t="str">
        <f>"'"&amp;$C2337&amp;"'!$E$44:$Y$44"</f>
        <v>'BLD_JP'!$E$44:$Y$44</v>
      </c>
      <c r="H2337" s="381">
        <f ca="1">IF(IFERROR(INDEX(DATA_PROPERTY_MASTER!$E$5:$E$21,MATCH($C2337,DATA_PROPERTY_MASTER!$A$5:$A$21,0))="Yes",FALSE),IFERROR(INDEX(INDIRECT("'"&amp;$C2337&amp;"'!$E$44:$Y$44"),1,MATCH($D2337,INDIRECT("'"&amp;$C2337&amp;"'!$E$12:$Y$12"),0)),0),0)</f>
        <v>6120</v>
      </c>
      <c r="I2337" s="366" t="s">
        <v>1690</v>
      </c>
      <c r="J2337" s="348" t="str">
        <f t="shared" ca="1" si="72"/>
        <v>OK</v>
      </c>
      <c r="K2337" s="366" t="s">
        <v>1699</v>
      </c>
      <c r="L2337" s="366" t="s">
        <v>2240</v>
      </c>
      <c r="M2337" s="350" t="str">
        <f>IF($B2337="Portfolio","Portfolio",IFERROR(INDEX(DATA_ASSET_CLASSIFICATION!$B$8:$B$24,MATCH($C2337,DATA_ASSET_CLASSIFICATION!$A$8:$A$24,0)),"Review"))</f>
        <v>Jessica Place</v>
      </c>
      <c r="N2337" s="350" t="str">
        <f ca="1">IF($B2337="Portfolio","Portfolio",IFERROR(INDEX(DATA_ASSET_CLASSIFICATION!$U$8:$U$24,MATCH($C2337,DATA_ASSET_CLASSIFICATION!$A$8:$A$24,0)),"Review"))</f>
        <v>Refi Watch</v>
      </c>
      <c r="O2337" s="350" t="str">
        <f ca="1">IF($B2337="Portfolio","Portfolio",IFERROR(INDEX(DATA_ASSET_CLASSIFICATION!$AB$8:$AB$13,MATCH($N2337,DATA_ASSET_CLASSIFICATION!$AA$8:$AA$13,0)),"Review"))</f>
        <v>Bucket 2 · Legacy</v>
      </c>
      <c r="P2337" s="350" t="str">
        <f>IF($B2337="Portfolio","Portfolio",IFERROR(INDEX(DATA_ASSET_CLASSIFICATION!$C$8:$C$24,MATCH($C2337,DATA_ASSET_CLASSIFICATION!$A$8:$A$24,0)),"Review"))</f>
        <v>Yes</v>
      </c>
      <c r="Q2337" s="350" t="str">
        <f t="shared" ca="1" si="73"/>
        <v>OK</v>
      </c>
    </row>
    <row r="2338" spans="1:17">
      <c r="A2338" s="366" t="s">
        <v>4294</v>
      </c>
      <c r="B2338" s="366" t="s">
        <v>231</v>
      </c>
      <c r="C2338" s="348" t="str">
        <f>DATA_PROPERTY_MASTER!$A$12</f>
        <v>BLD_JP</v>
      </c>
      <c r="D2338" s="380">
        <f>'00_PORTFOLIO ROLLUP'!F$12</f>
        <v>2026</v>
      </c>
      <c r="E2338" s="366" t="s">
        <v>1683</v>
      </c>
      <c r="F2338" s="366" t="s">
        <v>21</v>
      </c>
      <c r="G2338" s="348" t="str">
        <f>"'"&amp;$C2338&amp;"'!$E$45:$Y$45"</f>
        <v>'BLD_JP'!$E$45:$Y$45</v>
      </c>
      <c r="H2338" s="381">
        <f ca="1">IF(IFERROR(INDEX(DATA_PROPERTY_MASTER!$E$5:$E$21,MATCH($C2338,DATA_PROPERTY_MASTER!$A$5:$A$21,0))="Yes",FALSE),IFERROR(INDEX(INDIRECT("'"&amp;$C2338&amp;"'!$E$45:$Y$45"),1,MATCH($D2338,INDIRECT("'"&amp;$C2338&amp;"'!$E$12:$Y$12"),0)),0),0)</f>
        <v>230582.40479999996</v>
      </c>
      <c r="I2338" s="366" t="s">
        <v>1685</v>
      </c>
      <c r="J2338" s="348" t="str">
        <f t="shared" ca="1" si="72"/>
        <v>OK</v>
      </c>
      <c r="K2338" s="366" t="s">
        <v>1694</v>
      </c>
      <c r="L2338" s="366" t="s">
        <v>2242</v>
      </c>
      <c r="M2338" s="350" t="str">
        <f>IF($B2338="Portfolio","Portfolio",IFERROR(INDEX(DATA_ASSET_CLASSIFICATION!$B$8:$B$24,MATCH($C2338,DATA_ASSET_CLASSIFICATION!$A$8:$A$24,0)),"Review"))</f>
        <v>Jessica Place</v>
      </c>
      <c r="N2338" s="350" t="str">
        <f ca="1">IF($B2338="Portfolio","Portfolio",IFERROR(INDEX(DATA_ASSET_CLASSIFICATION!$U$8:$U$24,MATCH($C2338,DATA_ASSET_CLASSIFICATION!$A$8:$A$24,0)),"Review"))</f>
        <v>Refi Watch</v>
      </c>
      <c r="O2338" s="350" t="str">
        <f ca="1">IF($B2338="Portfolio","Portfolio",IFERROR(INDEX(DATA_ASSET_CLASSIFICATION!$AB$8:$AB$13,MATCH($N2338,DATA_ASSET_CLASSIFICATION!$AA$8:$AA$13,0)),"Review"))</f>
        <v>Bucket 2 · Legacy</v>
      </c>
      <c r="P2338" s="350" t="str">
        <f>IF($B2338="Portfolio","Portfolio",IFERROR(INDEX(DATA_ASSET_CLASSIFICATION!$C$8:$C$24,MATCH($C2338,DATA_ASSET_CLASSIFICATION!$A$8:$A$24,0)),"Review"))</f>
        <v>Yes</v>
      </c>
      <c r="Q2338" s="350" t="str">
        <f t="shared" ca="1" si="73"/>
        <v>OK</v>
      </c>
    </row>
    <row r="2339" spans="1:17">
      <c r="A2339" s="366" t="s">
        <v>4295</v>
      </c>
      <c r="B2339" s="366" t="s">
        <v>231</v>
      </c>
      <c r="C2339" s="348" t="str">
        <f>DATA_PROPERTY_MASTER!$A$12</f>
        <v>BLD_JP</v>
      </c>
      <c r="D2339" s="380">
        <f>'00_PORTFOLIO ROLLUP'!F$12</f>
        <v>2026</v>
      </c>
      <c r="E2339" s="366" t="s">
        <v>23</v>
      </c>
      <c r="F2339" s="366" t="s">
        <v>23</v>
      </c>
      <c r="G2339" s="348" t="str">
        <f>"'"&amp;$C2339&amp;"'!$E$48:$Y$48"</f>
        <v>'BLD_JP'!$E$48:$Y$48</v>
      </c>
      <c r="H2339" s="381">
        <f ca="1">IF(IFERROR(INDEX(DATA_PROPERTY_MASTER!$E$5:$E$21,MATCH($C2339,DATA_PROPERTY_MASTER!$A$5:$A$21,0))="Yes",FALSE),IFERROR(INDEX(INDIRECT("'"&amp;$C2339&amp;"'!$E$48:$Y$48"),1,MATCH($D2339,INDIRECT("'"&amp;$C2339&amp;"'!$E$12:$Y$12"),0)),0),0)</f>
        <v>1802.6832306482922</v>
      </c>
      <c r="I2339" s="366" t="s">
        <v>1690</v>
      </c>
      <c r="J2339" s="348" t="str">
        <f t="shared" ca="1" si="72"/>
        <v>OK</v>
      </c>
      <c r="K2339" s="366" t="s">
        <v>1706</v>
      </c>
      <c r="L2339" s="366" t="s">
        <v>2244</v>
      </c>
      <c r="M2339" s="350" t="str">
        <f>IF($B2339="Portfolio","Portfolio",IFERROR(INDEX(DATA_ASSET_CLASSIFICATION!$B$8:$B$24,MATCH($C2339,DATA_ASSET_CLASSIFICATION!$A$8:$A$24,0)),"Review"))</f>
        <v>Jessica Place</v>
      </c>
      <c r="N2339" s="350" t="str">
        <f ca="1">IF($B2339="Portfolio","Portfolio",IFERROR(INDEX(DATA_ASSET_CLASSIFICATION!$U$8:$U$24,MATCH($C2339,DATA_ASSET_CLASSIFICATION!$A$8:$A$24,0)),"Review"))</f>
        <v>Refi Watch</v>
      </c>
      <c r="O2339" s="350" t="str">
        <f ca="1">IF($B2339="Portfolio","Portfolio",IFERROR(INDEX(DATA_ASSET_CLASSIFICATION!$AB$8:$AB$13,MATCH($N2339,DATA_ASSET_CLASSIFICATION!$AA$8:$AA$13,0)),"Review"))</f>
        <v>Bucket 2 · Legacy</v>
      </c>
      <c r="P2339" s="350" t="str">
        <f>IF($B2339="Portfolio","Portfolio",IFERROR(INDEX(DATA_ASSET_CLASSIFICATION!$C$8:$C$24,MATCH($C2339,DATA_ASSET_CLASSIFICATION!$A$8:$A$24,0)),"Review"))</f>
        <v>Yes</v>
      </c>
      <c r="Q2339" s="350" t="str">
        <f t="shared" ca="1" si="73"/>
        <v>OK</v>
      </c>
    </row>
    <row r="2340" spans="1:17">
      <c r="A2340" s="366" t="s">
        <v>4296</v>
      </c>
      <c r="B2340" s="366" t="s">
        <v>231</v>
      </c>
      <c r="C2340" s="348" t="str">
        <f>DATA_PROPERTY_MASTER!$A$12</f>
        <v>BLD_JP</v>
      </c>
      <c r="D2340" s="380">
        <f>'00_PORTFOLIO ROLLUP'!F$12</f>
        <v>2026</v>
      </c>
      <c r="E2340" s="366" t="s">
        <v>1683</v>
      </c>
      <c r="F2340" s="366" t="s">
        <v>25</v>
      </c>
      <c r="G2340" s="348" t="str">
        <f>"'"&amp;$C2340&amp;"'!$E$52:$Y$52"</f>
        <v>'BLD_JP'!$E$52:$Y$52</v>
      </c>
      <c r="H2340" s="381">
        <f ca="1">IF(IFERROR(INDEX(DATA_PROPERTY_MASTER!$E$5:$E$21,MATCH($C2340,DATA_PROPERTY_MASTER!$A$5:$A$21,0))="Yes",FALSE),IFERROR(INDEX(INDIRECT("'"&amp;$C2340&amp;"'!$E$52:$Y$52"),1,MATCH($D2340,INDIRECT("'"&amp;$C2340&amp;"'!$E$12:$Y$12"),0)),0),0)</f>
        <v>234899.72156935168</v>
      </c>
      <c r="I2340" s="366" t="s">
        <v>1685</v>
      </c>
      <c r="J2340" s="348" t="str">
        <f t="shared" ca="1" si="72"/>
        <v>OK</v>
      </c>
      <c r="K2340" s="366" t="s">
        <v>1710</v>
      </c>
      <c r="L2340" s="366" t="s">
        <v>2246</v>
      </c>
      <c r="M2340" s="350" t="str">
        <f>IF($B2340="Portfolio","Portfolio",IFERROR(INDEX(DATA_ASSET_CLASSIFICATION!$B$8:$B$24,MATCH($C2340,DATA_ASSET_CLASSIFICATION!$A$8:$A$24,0)),"Review"))</f>
        <v>Jessica Place</v>
      </c>
      <c r="N2340" s="350" t="str">
        <f ca="1">IF($B2340="Portfolio","Portfolio",IFERROR(INDEX(DATA_ASSET_CLASSIFICATION!$U$8:$U$24,MATCH($C2340,DATA_ASSET_CLASSIFICATION!$A$8:$A$24,0)),"Review"))</f>
        <v>Refi Watch</v>
      </c>
      <c r="O2340" s="350" t="str">
        <f ca="1">IF($B2340="Portfolio","Portfolio",IFERROR(INDEX(DATA_ASSET_CLASSIFICATION!$AB$8:$AB$13,MATCH($N2340,DATA_ASSET_CLASSIFICATION!$AA$8:$AA$13,0)),"Review"))</f>
        <v>Bucket 2 · Legacy</v>
      </c>
      <c r="P2340" s="350" t="str">
        <f>IF($B2340="Portfolio","Portfolio",IFERROR(INDEX(DATA_ASSET_CLASSIFICATION!$C$8:$C$24,MATCH($C2340,DATA_ASSET_CLASSIFICATION!$A$8:$A$24,0)),"Review"))</f>
        <v>Yes</v>
      </c>
      <c r="Q2340" s="350" t="str">
        <f t="shared" ca="1" si="73"/>
        <v>OK</v>
      </c>
    </row>
    <row r="2341" spans="1:17">
      <c r="A2341" s="366" t="s">
        <v>4297</v>
      </c>
      <c r="B2341" s="366" t="s">
        <v>231</v>
      </c>
      <c r="C2341" s="348" t="str">
        <f>DATA_PROPERTY_MASTER!$A$12</f>
        <v>BLD_JP</v>
      </c>
      <c r="D2341" s="380">
        <f>'00_PORTFOLIO ROLLUP'!F$12</f>
        <v>2026</v>
      </c>
      <c r="E2341" s="366" t="s">
        <v>1683</v>
      </c>
      <c r="F2341" s="366" t="s">
        <v>27</v>
      </c>
      <c r="G2341" s="348" t="str">
        <f>"'"&amp;$C2341&amp;"'!$E$54:$Y$54"</f>
        <v>'BLD_JP'!$E$54:$Y$54</v>
      </c>
      <c r="H2341" s="381">
        <f ca="1">IF(IFERROR(INDEX(DATA_PROPERTY_MASTER!$E$5:$E$21,MATCH($C2341,DATA_PROPERTY_MASTER!$A$5:$A$21,0))="Yes",FALSE),IFERROR(INDEX(INDIRECT("'"&amp;$C2341&amp;"'!$E$54:$Y$54"),1,MATCH($D2341,INDIRECT("'"&amp;$C2341&amp;"'!$E$12:$Y$12"),0)),0),0)</f>
        <v>140939.83294161101</v>
      </c>
      <c r="I2341" s="366" t="s">
        <v>1690</v>
      </c>
      <c r="J2341" s="348" t="str">
        <f t="shared" ca="1" si="72"/>
        <v>OK</v>
      </c>
      <c r="K2341" s="366" t="s">
        <v>1714</v>
      </c>
      <c r="L2341" s="366" t="s">
        <v>2248</v>
      </c>
      <c r="M2341" s="350" t="str">
        <f>IF($B2341="Portfolio","Portfolio",IFERROR(INDEX(DATA_ASSET_CLASSIFICATION!$B$8:$B$24,MATCH($C2341,DATA_ASSET_CLASSIFICATION!$A$8:$A$24,0)),"Review"))</f>
        <v>Jessica Place</v>
      </c>
      <c r="N2341" s="350" t="str">
        <f ca="1">IF($B2341="Portfolio","Portfolio",IFERROR(INDEX(DATA_ASSET_CLASSIFICATION!$U$8:$U$24,MATCH($C2341,DATA_ASSET_CLASSIFICATION!$A$8:$A$24,0)),"Review"))</f>
        <v>Refi Watch</v>
      </c>
      <c r="O2341" s="350" t="str">
        <f ca="1">IF($B2341="Portfolio","Portfolio",IFERROR(INDEX(DATA_ASSET_CLASSIFICATION!$AB$8:$AB$13,MATCH($N2341,DATA_ASSET_CLASSIFICATION!$AA$8:$AA$13,0)),"Review"))</f>
        <v>Bucket 2 · Legacy</v>
      </c>
      <c r="P2341" s="350" t="str">
        <f>IF($B2341="Portfolio","Portfolio",IFERROR(INDEX(DATA_ASSET_CLASSIFICATION!$C$8:$C$24,MATCH($C2341,DATA_ASSET_CLASSIFICATION!$A$8:$A$24,0)),"Review"))</f>
        <v>Yes</v>
      </c>
      <c r="Q2341" s="350" t="str">
        <f t="shared" ca="1" si="73"/>
        <v>OK</v>
      </c>
    </row>
    <row r="2342" spans="1:17">
      <c r="A2342" s="366" t="s">
        <v>4298</v>
      </c>
      <c r="B2342" s="366" t="s">
        <v>231</v>
      </c>
      <c r="C2342" s="348" t="str">
        <f>DATA_PROPERTY_MASTER!$A$12</f>
        <v>BLD_JP</v>
      </c>
      <c r="D2342" s="380">
        <f>'00_PORTFOLIO ROLLUP'!F$12</f>
        <v>2026</v>
      </c>
      <c r="E2342" s="366" t="s">
        <v>1683</v>
      </c>
      <c r="F2342" s="366" t="s">
        <v>29</v>
      </c>
      <c r="G2342" s="348" t="str">
        <f>"'"&amp;$C2342&amp;"'!$E$56:$Y$56"</f>
        <v>'BLD_JP'!$E$56:$Y$56</v>
      </c>
      <c r="H2342" s="381">
        <f ca="1">IF(IFERROR(INDEX(DATA_PROPERTY_MASTER!$E$5:$E$21,MATCH($C2342,DATA_PROPERTY_MASTER!$A$5:$A$21,0))="Yes",FALSE),IFERROR(INDEX(INDIRECT("'"&amp;$C2342&amp;"'!$E$56:$Y$56"),1,MATCH($D2342,INDIRECT("'"&amp;$C2342&amp;"'!$E$12:$Y$12"),0)),0),0)</f>
        <v>93959.888627740671</v>
      </c>
      <c r="I2342" s="366" t="s">
        <v>1685</v>
      </c>
      <c r="J2342" s="348" t="str">
        <f t="shared" ca="1" si="72"/>
        <v>OK</v>
      </c>
      <c r="K2342" s="366" t="s">
        <v>1718</v>
      </c>
      <c r="L2342" s="366" t="s">
        <v>2250</v>
      </c>
      <c r="M2342" s="350" t="str">
        <f>IF($B2342="Portfolio","Portfolio",IFERROR(INDEX(DATA_ASSET_CLASSIFICATION!$B$8:$B$24,MATCH($C2342,DATA_ASSET_CLASSIFICATION!$A$8:$A$24,0)),"Review"))</f>
        <v>Jessica Place</v>
      </c>
      <c r="N2342" s="350" t="str">
        <f ca="1">IF($B2342="Portfolio","Portfolio",IFERROR(INDEX(DATA_ASSET_CLASSIFICATION!$U$8:$U$24,MATCH($C2342,DATA_ASSET_CLASSIFICATION!$A$8:$A$24,0)),"Review"))</f>
        <v>Refi Watch</v>
      </c>
      <c r="O2342" s="350" t="str">
        <f ca="1">IF($B2342="Portfolio","Portfolio",IFERROR(INDEX(DATA_ASSET_CLASSIFICATION!$AB$8:$AB$13,MATCH($N2342,DATA_ASSET_CLASSIFICATION!$AA$8:$AA$13,0)),"Review"))</f>
        <v>Bucket 2 · Legacy</v>
      </c>
      <c r="P2342" s="350" t="str">
        <f>IF($B2342="Portfolio","Portfolio",IFERROR(INDEX(DATA_ASSET_CLASSIFICATION!$C$8:$C$24,MATCH($C2342,DATA_ASSET_CLASSIFICATION!$A$8:$A$24,0)),"Review"))</f>
        <v>Yes</v>
      </c>
      <c r="Q2342" s="350" t="str">
        <f t="shared" ca="1" si="73"/>
        <v>OK</v>
      </c>
    </row>
    <row r="2343" spans="1:17">
      <c r="A2343" s="366" t="s">
        <v>4299</v>
      </c>
      <c r="B2343" s="366" t="s">
        <v>231</v>
      </c>
      <c r="C2343" s="348" t="str">
        <f>DATA_PROPERTY_MASTER!$A$12</f>
        <v>BLD_JP</v>
      </c>
      <c r="D2343" s="380">
        <f>'00_PORTFOLIO ROLLUP'!F$12</f>
        <v>2026</v>
      </c>
      <c r="E2343" s="366" t="s">
        <v>1721</v>
      </c>
      <c r="F2343" s="366" t="s">
        <v>31</v>
      </c>
      <c r="G2343" s="348" t="str">
        <f>"'"&amp;$C2343&amp;"'!$E$61:$Y$61"</f>
        <v>'BLD_JP'!$E$61:$Y$61</v>
      </c>
      <c r="H2343" s="381">
        <f ca="1">IF(IFERROR(INDEX(DATA_PROPERTY_MASTER!$E$5:$E$21,MATCH($C2343,DATA_PROPERTY_MASTER!$A$5:$A$21,0))="Yes",FALSE),IFERROR(INDEX(INDIRECT("'"&amp;$C2343&amp;"'!$E$61:$Y$61"),1,MATCH($D2343,INDIRECT("'"&amp;$C2343&amp;"'!$E$12:$Y$12"),0)),0),0)</f>
        <v>0</v>
      </c>
      <c r="I2343" s="366" t="s">
        <v>1690</v>
      </c>
      <c r="J2343" s="348" t="str">
        <f t="shared" ca="1" si="72"/>
        <v>OK</v>
      </c>
      <c r="K2343" s="366" t="s">
        <v>1723</v>
      </c>
      <c r="L2343" s="366" t="s">
        <v>2252</v>
      </c>
      <c r="M2343" s="350" t="str">
        <f>IF($B2343="Portfolio","Portfolio",IFERROR(INDEX(DATA_ASSET_CLASSIFICATION!$B$8:$B$24,MATCH($C2343,DATA_ASSET_CLASSIFICATION!$A$8:$A$24,0)),"Review"))</f>
        <v>Jessica Place</v>
      </c>
      <c r="N2343" s="350" t="str">
        <f ca="1">IF($B2343="Portfolio","Portfolio",IFERROR(INDEX(DATA_ASSET_CLASSIFICATION!$U$8:$U$24,MATCH($C2343,DATA_ASSET_CLASSIFICATION!$A$8:$A$24,0)),"Review"))</f>
        <v>Refi Watch</v>
      </c>
      <c r="O2343" s="350" t="str">
        <f ca="1">IF($B2343="Portfolio","Portfolio",IFERROR(INDEX(DATA_ASSET_CLASSIFICATION!$AB$8:$AB$13,MATCH($N2343,DATA_ASSET_CLASSIFICATION!$AA$8:$AA$13,0)),"Review"))</f>
        <v>Bucket 2 · Legacy</v>
      </c>
      <c r="P2343" s="350" t="str">
        <f>IF($B2343="Portfolio","Portfolio",IFERROR(INDEX(DATA_ASSET_CLASSIFICATION!$C$8:$C$24,MATCH($C2343,DATA_ASSET_CLASSIFICATION!$A$8:$A$24,0)),"Review"))</f>
        <v>Yes</v>
      </c>
      <c r="Q2343" s="350" t="str">
        <f t="shared" ca="1" si="73"/>
        <v>OK</v>
      </c>
    </row>
    <row r="2344" spans="1:17">
      <c r="A2344" s="366" t="s">
        <v>4300</v>
      </c>
      <c r="B2344" s="366" t="s">
        <v>231</v>
      </c>
      <c r="C2344" s="348" t="str">
        <f>DATA_PROPERTY_MASTER!$A$12</f>
        <v>BLD_JP</v>
      </c>
      <c r="D2344" s="380">
        <f>'00_PORTFOLIO ROLLUP'!F$12</f>
        <v>2026</v>
      </c>
      <c r="E2344" s="366" t="s">
        <v>1721</v>
      </c>
      <c r="F2344" s="366" t="s">
        <v>33</v>
      </c>
      <c r="G2344" s="348" t="str">
        <f>"'"&amp;$C2344&amp;"'!$E$62:$Y$62"</f>
        <v>'BLD_JP'!$E$62:$Y$62</v>
      </c>
      <c r="H2344" s="381">
        <f ca="1">IF(IFERROR(INDEX(DATA_PROPERTY_MASTER!$E$5:$E$21,MATCH($C2344,DATA_PROPERTY_MASTER!$A$5:$A$21,0))="Yes",FALSE),IFERROR(INDEX(INDIRECT("'"&amp;$C2344&amp;"'!$E$62:$Y$62"),1,MATCH($D2344,INDIRECT("'"&amp;$C2344&amp;"'!$E$12:$Y$12"),0)),0),0)</f>
        <v>0</v>
      </c>
      <c r="I2344" s="366" t="s">
        <v>1685</v>
      </c>
      <c r="J2344" s="348" t="str">
        <f t="shared" ca="1" si="72"/>
        <v>OK</v>
      </c>
      <c r="K2344" s="366" t="s">
        <v>1727</v>
      </c>
      <c r="L2344" s="366" t="s">
        <v>2254</v>
      </c>
      <c r="M2344" s="350" t="str">
        <f>IF($B2344="Portfolio","Portfolio",IFERROR(INDEX(DATA_ASSET_CLASSIFICATION!$B$8:$B$24,MATCH($C2344,DATA_ASSET_CLASSIFICATION!$A$8:$A$24,0)),"Review"))</f>
        <v>Jessica Place</v>
      </c>
      <c r="N2344" s="350" t="str">
        <f ca="1">IF($B2344="Portfolio","Portfolio",IFERROR(INDEX(DATA_ASSET_CLASSIFICATION!$U$8:$U$24,MATCH($C2344,DATA_ASSET_CLASSIFICATION!$A$8:$A$24,0)),"Review"))</f>
        <v>Refi Watch</v>
      </c>
      <c r="O2344" s="350" t="str">
        <f ca="1">IF($B2344="Portfolio","Portfolio",IFERROR(INDEX(DATA_ASSET_CLASSIFICATION!$AB$8:$AB$13,MATCH($N2344,DATA_ASSET_CLASSIFICATION!$AA$8:$AA$13,0)),"Review"))</f>
        <v>Bucket 2 · Legacy</v>
      </c>
      <c r="P2344" s="350" t="str">
        <f>IF($B2344="Portfolio","Portfolio",IFERROR(INDEX(DATA_ASSET_CLASSIFICATION!$C$8:$C$24,MATCH($C2344,DATA_ASSET_CLASSIFICATION!$A$8:$A$24,0)),"Review"))</f>
        <v>Yes</v>
      </c>
      <c r="Q2344" s="350" t="str">
        <f t="shared" ca="1" si="73"/>
        <v>OK</v>
      </c>
    </row>
    <row r="2345" spans="1:17">
      <c r="A2345" s="366" t="s">
        <v>4301</v>
      </c>
      <c r="B2345" s="366" t="s">
        <v>231</v>
      </c>
      <c r="C2345" s="348" t="str">
        <f>DATA_PROPERTY_MASTER!$A$12</f>
        <v>BLD_JP</v>
      </c>
      <c r="D2345" s="380">
        <f>'00_PORTFOLIO ROLLUP'!F$12</f>
        <v>2026</v>
      </c>
      <c r="E2345" s="366" t="s">
        <v>1721</v>
      </c>
      <c r="F2345" s="366" t="s">
        <v>35</v>
      </c>
      <c r="G2345" s="348" t="str">
        <f>"'"&amp;$C2345&amp;"'!$E$63:$Y$63"</f>
        <v>'BLD_JP'!$E$63:$Y$63</v>
      </c>
      <c r="H2345" s="381">
        <f ca="1">IF(IFERROR(INDEX(DATA_PROPERTY_MASTER!$E$5:$E$21,MATCH($C2345,DATA_PROPERTY_MASTER!$A$5:$A$21,0))="Yes",FALSE),IFERROR(INDEX(INDIRECT("'"&amp;$C2345&amp;"'!$E$63:$Y$63"),1,MATCH($D2345,INDIRECT("'"&amp;$C2345&amp;"'!$E$12:$Y$12"),0)),0),0)</f>
        <v>0</v>
      </c>
      <c r="I2345" s="366" t="s">
        <v>1731</v>
      </c>
      <c r="J2345" s="348" t="str">
        <f t="shared" ca="1" si="72"/>
        <v>OK</v>
      </c>
      <c r="K2345" s="366" t="s">
        <v>1732</v>
      </c>
      <c r="L2345" s="366" t="s">
        <v>2256</v>
      </c>
      <c r="M2345" s="350" t="str">
        <f>IF($B2345="Portfolio","Portfolio",IFERROR(INDEX(DATA_ASSET_CLASSIFICATION!$B$8:$B$24,MATCH($C2345,DATA_ASSET_CLASSIFICATION!$A$8:$A$24,0)),"Review"))</f>
        <v>Jessica Place</v>
      </c>
      <c r="N2345" s="350" t="str">
        <f ca="1">IF($B2345="Portfolio","Portfolio",IFERROR(INDEX(DATA_ASSET_CLASSIFICATION!$U$8:$U$24,MATCH($C2345,DATA_ASSET_CLASSIFICATION!$A$8:$A$24,0)),"Review"))</f>
        <v>Refi Watch</v>
      </c>
      <c r="O2345" s="350" t="str">
        <f ca="1">IF($B2345="Portfolio","Portfolio",IFERROR(INDEX(DATA_ASSET_CLASSIFICATION!$AB$8:$AB$13,MATCH($N2345,DATA_ASSET_CLASSIFICATION!$AA$8:$AA$13,0)),"Review"))</f>
        <v>Bucket 2 · Legacy</v>
      </c>
      <c r="P2345" s="350" t="str">
        <f>IF($B2345="Portfolio","Portfolio",IFERROR(INDEX(DATA_ASSET_CLASSIFICATION!$C$8:$C$24,MATCH($C2345,DATA_ASSET_CLASSIFICATION!$A$8:$A$24,0)),"Review"))</f>
        <v>Yes</v>
      </c>
      <c r="Q2345" s="350" t="str">
        <f t="shared" ca="1" si="73"/>
        <v>OK</v>
      </c>
    </row>
    <row r="2346" spans="1:17">
      <c r="A2346" s="366" t="s">
        <v>4302</v>
      </c>
      <c r="B2346" s="366" t="s">
        <v>231</v>
      </c>
      <c r="C2346" s="348" t="str">
        <f>DATA_PROPERTY_MASTER!$A$12</f>
        <v>BLD_JP</v>
      </c>
      <c r="D2346" s="380">
        <f>'00_PORTFOLIO ROLLUP'!F$12</f>
        <v>2026</v>
      </c>
      <c r="E2346" s="366" t="s">
        <v>1721</v>
      </c>
      <c r="F2346" s="366" t="s">
        <v>37</v>
      </c>
      <c r="G2346" s="348" t="str">
        <f>"'"&amp;$C2346&amp;"'!$E$63:$Y$63"</f>
        <v>'BLD_JP'!$E$63:$Y$63</v>
      </c>
      <c r="H2346" s="381">
        <f ca="1">IF(IFERROR(INDEX(DATA_PROPERTY_MASTER!$E$5:$E$21,MATCH($C2346,DATA_PROPERTY_MASTER!$A$5:$A$21,0))="Yes",FALSE),MAX(IFERROR(INDEX(INDIRECT("'"&amp;$C2346&amp;"'!$E$63:$Y$63"),1,MATCH($D2346,INDIRECT("'"&amp;$C2346&amp;"'!$E$12:$Y$12"),0)),0),0),0)</f>
        <v>0</v>
      </c>
      <c r="I2346" s="366" t="s">
        <v>1685</v>
      </c>
      <c r="J2346" s="348" t="str">
        <f t="shared" ca="1" si="72"/>
        <v>OK</v>
      </c>
      <c r="K2346" s="366" t="s">
        <v>1735</v>
      </c>
      <c r="L2346" s="366" t="s">
        <v>2258</v>
      </c>
      <c r="M2346" s="350" t="str">
        <f>IF($B2346="Portfolio","Portfolio",IFERROR(INDEX(DATA_ASSET_CLASSIFICATION!$B$8:$B$24,MATCH($C2346,DATA_ASSET_CLASSIFICATION!$A$8:$A$24,0)),"Review"))</f>
        <v>Jessica Place</v>
      </c>
      <c r="N2346" s="350" t="str">
        <f ca="1">IF($B2346="Portfolio","Portfolio",IFERROR(INDEX(DATA_ASSET_CLASSIFICATION!$U$8:$U$24,MATCH($C2346,DATA_ASSET_CLASSIFICATION!$A$8:$A$24,0)),"Review"))</f>
        <v>Refi Watch</v>
      </c>
      <c r="O2346" s="350" t="str">
        <f ca="1">IF($B2346="Portfolio","Portfolio",IFERROR(INDEX(DATA_ASSET_CLASSIFICATION!$AB$8:$AB$13,MATCH($N2346,DATA_ASSET_CLASSIFICATION!$AA$8:$AA$13,0)),"Review"))</f>
        <v>Bucket 2 · Legacy</v>
      </c>
      <c r="P2346" s="350" t="str">
        <f>IF($B2346="Portfolio","Portfolio",IFERROR(INDEX(DATA_ASSET_CLASSIFICATION!$C$8:$C$24,MATCH($C2346,DATA_ASSET_CLASSIFICATION!$A$8:$A$24,0)),"Review"))</f>
        <v>Yes</v>
      </c>
      <c r="Q2346" s="350" t="str">
        <f t="shared" ca="1" si="73"/>
        <v>OK</v>
      </c>
    </row>
    <row r="2347" spans="1:17">
      <c r="A2347" s="366" t="s">
        <v>4303</v>
      </c>
      <c r="B2347" s="366" t="s">
        <v>231</v>
      </c>
      <c r="C2347" s="348" t="str">
        <f>DATA_PROPERTY_MASTER!$A$12</f>
        <v>BLD_JP</v>
      </c>
      <c r="D2347" s="380">
        <f>'00_PORTFOLIO ROLLUP'!F$12</f>
        <v>2026</v>
      </c>
      <c r="E2347" s="366" t="s">
        <v>1721</v>
      </c>
      <c r="F2347" s="366" t="s">
        <v>39</v>
      </c>
      <c r="G2347" s="348" t="str">
        <f>"'"&amp;$C2347&amp;"'!$E$63:$Y$63"</f>
        <v>'BLD_JP'!$E$63:$Y$63</v>
      </c>
      <c r="H2347" s="381">
        <f ca="1">IF(IFERROR(INDEX(DATA_PROPERTY_MASTER!$E$5:$E$21,MATCH($C2347,DATA_PROPERTY_MASTER!$A$5:$A$21,0))="Yes",FALSE),MAX(-IFERROR(INDEX(INDIRECT("'"&amp;$C2347&amp;"'!$E$63:$Y$63"),1,MATCH($D2347,INDIRECT("'"&amp;$C2347&amp;"'!$E$12:$Y$12"),0)),0),0),0)</f>
        <v>0</v>
      </c>
      <c r="I2347" s="366" t="s">
        <v>1690</v>
      </c>
      <c r="J2347" s="348" t="str">
        <f t="shared" ca="1" si="72"/>
        <v>OK</v>
      </c>
      <c r="K2347" s="366" t="s">
        <v>1738</v>
      </c>
      <c r="L2347" s="366" t="s">
        <v>2260</v>
      </c>
      <c r="M2347" s="350" t="str">
        <f>IF($B2347="Portfolio","Portfolio",IFERROR(INDEX(DATA_ASSET_CLASSIFICATION!$B$8:$B$24,MATCH($C2347,DATA_ASSET_CLASSIFICATION!$A$8:$A$24,0)),"Review"))</f>
        <v>Jessica Place</v>
      </c>
      <c r="N2347" s="350" t="str">
        <f ca="1">IF($B2347="Portfolio","Portfolio",IFERROR(INDEX(DATA_ASSET_CLASSIFICATION!$U$8:$U$24,MATCH($C2347,DATA_ASSET_CLASSIFICATION!$A$8:$A$24,0)),"Review"))</f>
        <v>Refi Watch</v>
      </c>
      <c r="O2347" s="350" t="str">
        <f ca="1">IF($B2347="Portfolio","Portfolio",IFERROR(INDEX(DATA_ASSET_CLASSIFICATION!$AB$8:$AB$13,MATCH($N2347,DATA_ASSET_CLASSIFICATION!$AA$8:$AA$13,0)),"Review"))</f>
        <v>Bucket 2 · Legacy</v>
      </c>
      <c r="P2347" s="350" t="str">
        <f>IF($B2347="Portfolio","Portfolio",IFERROR(INDEX(DATA_ASSET_CLASSIFICATION!$C$8:$C$24,MATCH($C2347,DATA_ASSET_CLASSIFICATION!$A$8:$A$24,0)),"Review"))</f>
        <v>Yes</v>
      </c>
      <c r="Q2347" s="350" t="str">
        <f t="shared" ca="1" si="73"/>
        <v>OK</v>
      </c>
    </row>
    <row r="2348" spans="1:17">
      <c r="A2348" s="366" t="s">
        <v>4304</v>
      </c>
      <c r="B2348" s="366" t="s">
        <v>231</v>
      </c>
      <c r="C2348" s="348" t="str">
        <f>DATA_PROPERTY_MASTER!$A$12</f>
        <v>BLD_JP</v>
      </c>
      <c r="D2348" s="380">
        <f>'00_PORTFOLIO ROLLUP'!F$12</f>
        <v>2026</v>
      </c>
      <c r="E2348" s="366" t="s">
        <v>1741</v>
      </c>
      <c r="F2348" s="366" t="s">
        <v>41</v>
      </c>
      <c r="G2348" s="348" t="str">
        <f>"'"&amp;$C2348&amp;"'!rows 56 + positive row 63"</f>
        <v>'BLD_JP'!rows 56 + positive row 63</v>
      </c>
      <c r="H2348" s="381">
        <f ca="1">IF(IFERROR(INDEX(DATA_PROPERTY_MASTER!$E$5:$E$21,MATCH($C2348,DATA_PROPERTY_MASTER!$A$5:$A$21,0))="Yes",FALSE),IFERROR(INDEX(INDIRECT("'"&amp;$C2348&amp;"'!$E$56:$Y$56"),1,MATCH($D2348,INDIRECT("'"&amp;$C2348&amp;"'!$E$12:$Y$12"),0)),0)+MAX(IFERROR(INDEX(INDIRECT("'"&amp;$C2348&amp;"'!$E$63:$Y$63"),1,MATCH($D2348,INDIRECT("'"&amp;$C2348&amp;"'!$E$12:$Y$12"),0)),0),0),0)</f>
        <v>93959.888627740671</v>
      </c>
      <c r="I2348" s="366" t="s">
        <v>1685</v>
      </c>
      <c r="J2348" s="348" t="str">
        <f t="shared" ca="1" si="72"/>
        <v>OK</v>
      </c>
      <c r="K2348" s="366" t="s">
        <v>1742</v>
      </c>
      <c r="L2348" s="366" t="s">
        <v>2262</v>
      </c>
      <c r="M2348" s="350" t="str">
        <f>IF($B2348="Portfolio","Portfolio",IFERROR(INDEX(DATA_ASSET_CLASSIFICATION!$B$8:$B$24,MATCH($C2348,DATA_ASSET_CLASSIFICATION!$A$8:$A$24,0)),"Review"))</f>
        <v>Jessica Place</v>
      </c>
      <c r="N2348" s="350" t="str">
        <f ca="1">IF($B2348="Portfolio","Portfolio",IFERROR(INDEX(DATA_ASSET_CLASSIFICATION!$U$8:$U$24,MATCH($C2348,DATA_ASSET_CLASSIFICATION!$A$8:$A$24,0)),"Review"))</f>
        <v>Refi Watch</v>
      </c>
      <c r="O2348" s="350" t="str">
        <f ca="1">IF($B2348="Portfolio","Portfolio",IFERROR(INDEX(DATA_ASSET_CLASSIFICATION!$AB$8:$AB$13,MATCH($N2348,DATA_ASSET_CLASSIFICATION!$AA$8:$AA$13,0)),"Review"))</f>
        <v>Bucket 2 · Legacy</v>
      </c>
      <c r="P2348" s="350" t="str">
        <f>IF($B2348="Portfolio","Portfolio",IFERROR(INDEX(DATA_ASSET_CLASSIFICATION!$C$8:$C$24,MATCH($C2348,DATA_ASSET_CLASSIFICATION!$A$8:$A$24,0)),"Review"))</f>
        <v>Yes</v>
      </c>
      <c r="Q2348" s="350" t="str">
        <f t="shared" ca="1" si="73"/>
        <v>OK</v>
      </c>
    </row>
    <row r="2349" spans="1:17">
      <c r="A2349" s="366" t="s">
        <v>4305</v>
      </c>
      <c r="B2349" s="366" t="s">
        <v>231</v>
      </c>
      <c r="C2349" s="348" t="str">
        <f>DATA_PROPERTY_MASTER!$A$12</f>
        <v>BLD_JP</v>
      </c>
      <c r="D2349" s="380">
        <f>'00_PORTFOLIO ROLLUP'!F$12</f>
        <v>2026</v>
      </c>
      <c r="E2349" s="366" t="s">
        <v>1741</v>
      </c>
      <c r="F2349" s="366" t="s">
        <v>43</v>
      </c>
      <c r="G2349" s="348" t="str">
        <f>"'"&amp;$C2349&amp;"'!$E$68:$Y$68"</f>
        <v>'BLD_JP'!$E$68:$Y$68</v>
      </c>
      <c r="H2349" s="381">
        <f ca="1">IF(IFERROR(INDEX(DATA_PROPERTY_MASTER!$E$5:$E$21,MATCH($C2349,DATA_PROPERTY_MASTER!$A$5:$A$21,0))="Yes",FALSE),IFERROR(INDEX(INDIRECT("'"&amp;$C2349&amp;"'!$E$68:$Y$68"),1,MATCH($D2349,INDIRECT("'"&amp;$C2349&amp;"'!$E$12:$Y$12"),0)),0),0)</f>
        <v>93959.888627740671</v>
      </c>
      <c r="I2349" s="366" t="s">
        <v>1731</v>
      </c>
      <c r="J2349" s="348" t="str">
        <f t="shared" ca="1" si="72"/>
        <v>OK</v>
      </c>
      <c r="K2349" s="366" t="s">
        <v>1746</v>
      </c>
      <c r="L2349" s="366" t="s">
        <v>2264</v>
      </c>
      <c r="M2349" s="350" t="str">
        <f>IF($B2349="Portfolio","Portfolio",IFERROR(INDEX(DATA_ASSET_CLASSIFICATION!$B$8:$B$24,MATCH($C2349,DATA_ASSET_CLASSIFICATION!$A$8:$A$24,0)),"Review"))</f>
        <v>Jessica Place</v>
      </c>
      <c r="N2349" s="350" t="str">
        <f ca="1">IF($B2349="Portfolio","Portfolio",IFERROR(INDEX(DATA_ASSET_CLASSIFICATION!$U$8:$U$24,MATCH($C2349,DATA_ASSET_CLASSIFICATION!$A$8:$A$24,0)),"Review"))</f>
        <v>Refi Watch</v>
      </c>
      <c r="O2349" s="350" t="str">
        <f ca="1">IF($B2349="Portfolio","Portfolio",IFERROR(INDEX(DATA_ASSET_CLASSIFICATION!$AB$8:$AB$13,MATCH($N2349,DATA_ASSET_CLASSIFICATION!$AA$8:$AA$13,0)),"Review"))</f>
        <v>Bucket 2 · Legacy</v>
      </c>
      <c r="P2349" s="350" t="str">
        <f>IF($B2349="Portfolio","Portfolio",IFERROR(INDEX(DATA_ASSET_CLASSIFICATION!$C$8:$C$24,MATCH($C2349,DATA_ASSET_CLASSIFICATION!$A$8:$A$24,0)),"Review"))</f>
        <v>Yes</v>
      </c>
      <c r="Q2349" s="350" t="str">
        <f t="shared" ca="1" si="73"/>
        <v>OK</v>
      </c>
    </row>
    <row r="2350" spans="1:17">
      <c r="A2350" s="366" t="s">
        <v>4306</v>
      </c>
      <c r="B2350" s="366" t="s">
        <v>231</v>
      </c>
      <c r="C2350" s="348" t="str">
        <f>DATA_PROPERTY_MASTER!$A$12</f>
        <v>BLD_JP</v>
      </c>
      <c r="D2350" s="380">
        <f>'00_PORTFOLIO ROLLUP'!F$12</f>
        <v>2026</v>
      </c>
      <c r="E2350" s="366" t="s">
        <v>1741</v>
      </c>
      <c r="F2350" s="366" t="s">
        <v>1749</v>
      </c>
      <c r="G2350" s="348" t="str">
        <f>"'"&amp;$C2350&amp;"'!rows 56, 63, 68"</f>
        <v>'BLD_JP'!rows 56, 63, 68</v>
      </c>
      <c r="H2350" s="381">
        <f ca="1">IF(IFERROR(INDEX(DATA_PROPERTY_MASTER!$E$5:$E$21,MATCH($C2350,DATA_PROPERTY_MASTER!$A$5:$A$21,0))="Yes",FALSE),(IFERROR(INDEX(INDIRECT("'"&amp;$C2350&amp;"'!$E$56:$Y$56"),1,MATCH($D2350,INDIRECT("'"&amp;$C2350&amp;"'!$E$12:$Y$12"),0)),0)+MAX(IFERROR(INDEX(INDIRECT("'"&amp;$C2350&amp;"'!$E$63:$Y$63"),1,MATCH($D2350,INDIRECT("'"&amp;$C2350&amp;"'!$E$12:$Y$12"),0)),0),0))-(IFERROR(INDEX(INDIRECT("'"&amp;$C2350&amp;"'!$E$68:$Y$68"),1,MATCH($D2350,INDIRECT("'"&amp;$C2350&amp;"'!$E$12:$Y$12"),0)),0)),0)</f>
        <v>0</v>
      </c>
      <c r="I2350" s="366" t="s">
        <v>1750</v>
      </c>
      <c r="J2350" s="348" t="str">
        <f t="shared" ca="1" si="72"/>
        <v>OK</v>
      </c>
      <c r="K2350" s="366" t="s">
        <v>1751</v>
      </c>
      <c r="L2350" s="366" t="s">
        <v>2266</v>
      </c>
      <c r="M2350" s="350" t="str">
        <f>IF($B2350="Portfolio","Portfolio",IFERROR(INDEX(DATA_ASSET_CLASSIFICATION!$B$8:$B$24,MATCH($C2350,DATA_ASSET_CLASSIFICATION!$A$8:$A$24,0)),"Review"))</f>
        <v>Jessica Place</v>
      </c>
      <c r="N2350" s="350" t="str">
        <f ca="1">IF($B2350="Portfolio","Portfolio",IFERROR(INDEX(DATA_ASSET_CLASSIFICATION!$U$8:$U$24,MATCH($C2350,DATA_ASSET_CLASSIFICATION!$A$8:$A$24,0)),"Review"))</f>
        <v>Refi Watch</v>
      </c>
      <c r="O2350" s="350" t="str">
        <f ca="1">IF($B2350="Portfolio","Portfolio",IFERROR(INDEX(DATA_ASSET_CLASSIFICATION!$AB$8:$AB$13,MATCH($N2350,DATA_ASSET_CLASSIFICATION!$AA$8:$AA$13,0)),"Review"))</f>
        <v>Bucket 2 · Legacy</v>
      </c>
      <c r="P2350" s="350" t="str">
        <f>IF($B2350="Portfolio","Portfolio",IFERROR(INDEX(DATA_ASSET_CLASSIFICATION!$C$8:$C$24,MATCH($C2350,DATA_ASSET_CLASSIFICATION!$A$8:$A$24,0)),"Review"))</f>
        <v>Yes</v>
      </c>
      <c r="Q2350" s="350" t="str">
        <f t="shared" ca="1" si="73"/>
        <v>OK</v>
      </c>
    </row>
    <row r="2351" spans="1:17">
      <c r="A2351" s="366" t="s">
        <v>4307</v>
      </c>
      <c r="B2351" s="366" t="s">
        <v>231</v>
      </c>
      <c r="C2351" s="348" t="str">
        <f>DATA_PROPERTY_MASTER!$A$12</f>
        <v>BLD_JP</v>
      </c>
      <c r="D2351" s="380">
        <f>'00_PORTFOLIO ROLLUP'!G$12</f>
        <v>2027</v>
      </c>
      <c r="E2351" s="366" t="s">
        <v>1683</v>
      </c>
      <c r="F2351" s="366" t="s">
        <v>341</v>
      </c>
      <c r="G2351" s="348" t="str">
        <f>"'"&amp;$C2351&amp;"'!$E$24:$Y$24"</f>
        <v>'BLD_JP'!$E$24:$Y$24</v>
      </c>
      <c r="H2351" s="381">
        <f ca="1">IF(IFERROR(INDEX(DATA_PROPERTY_MASTER!$E$5:$E$21,MATCH($C2351,DATA_PROPERTY_MASTER!$A$5:$A$21,0))="Yes",FALSE),IFERROR(INDEX(INDIRECT("'"&amp;$C2351&amp;"'!$E$24:$Y$24"),1,MATCH($D2351,INDIRECT("'"&amp;$C2351&amp;"'!$E$12:$Y$12"),0)),0),0)</f>
        <v>511619.03049599996</v>
      </c>
      <c r="I2351" s="366" t="s">
        <v>1685</v>
      </c>
      <c r="J2351" s="348" t="str">
        <f t="shared" ca="1" si="72"/>
        <v>OK</v>
      </c>
      <c r="K2351" s="366" t="s">
        <v>1686</v>
      </c>
      <c r="L2351" s="366" t="s">
        <v>2234</v>
      </c>
      <c r="M2351" s="350" t="str">
        <f>IF($B2351="Portfolio","Portfolio",IFERROR(INDEX(DATA_ASSET_CLASSIFICATION!$B$8:$B$24,MATCH($C2351,DATA_ASSET_CLASSIFICATION!$A$8:$A$24,0)),"Review"))</f>
        <v>Jessica Place</v>
      </c>
      <c r="N2351" s="350" t="str">
        <f ca="1">IF($B2351="Portfolio","Portfolio",IFERROR(INDEX(DATA_ASSET_CLASSIFICATION!$U$8:$U$24,MATCH($C2351,DATA_ASSET_CLASSIFICATION!$A$8:$A$24,0)),"Review"))</f>
        <v>Refi Watch</v>
      </c>
      <c r="O2351" s="350" t="str">
        <f ca="1">IF($B2351="Portfolio","Portfolio",IFERROR(INDEX(DATA_ASSET_CLASSIFICATION!$AB$8:$AB$13,MATCH($N2351,DATA_ASSET_CLASSIFICATION!$AA$8:$AA$13,0)),"Review"))</f>
        <v>Bucket 2 · Legacy</v>
      </c>
      <c r="P2351" s="350" t="str">
        <f>IF($B2351="Portfolio","Portfolio",IFERROR(INDEX(DATA_ASSET_CLASSIFICATION!$C$8:$C$24,MATCH($C2351,DATA_ASSET_CLASSIFICATION!$A$8:$A$24,0)),"Review"))</f>
        <v>Yes</v>
      </c>
      <c r="Q2351" s="350" t="str">
        <f t="shared" ca="1" si="73"/>
        <v>OK</v>
      </c>
    </row>
    <row r="2352" spans="1:17">
      <c r="A2352" s="366" t="s">
        <v>4308</v>
      </c>
      <c r="B2352" s="366" t="s">
        <v>231</v>
      </c>
      <c r="C2352" s="348" t="str">
        <f>DATA_PROPERTY_MASTER!$A$12</f>
        <v>BLD_JP</v>
      </c>
      <c r="D2352" s="380">
        <f>'00_PORTFOLIO ROLLUP'!G$12</f>
        <v>2027</v>
      </c>
      <c r="E2352" s="366" t="s">
        <v>1683</v>
      </c>
      <c r="F2352" s="366" t="s">
        <v>355</v>
      </c>
      <c r="G2352" s="348" t="str">
        <f>"'"&amp;$C2352&amp;"'!$E$39:$Y$39"</f>
        <v>'BLD_JP'!$E$39:$Y$39</v>
      </c>
      <c r="H2352" s="381">
        <f ca="1">IF(IFERROR(INDEX(DATA_PROPERTY_MASTER!$E$5:$E$21,MATCH($C2352,DATA_PROPERTY_MASTER!$A$5:$A$21,0))="Yes",FALSE),IFERROR(INDEX(INDIRECT("'"&amp;$C2352&amp;"'!$E$39:$Y$39"),1,MATCH($D2352,INDIRECT("'"&amp;$C2352&amp;"'!$E$12:$Y$12"),0)),0),0)</f>
        <v>275480.27520000003</v>
      </c>
      <c r="I2352" s="366" t="s">
        <v>1690</v>
      </c>
      <c r="J2352" s="348" t="str">
        <f t="shared" ca="1" si="72"/>
        <v>OK</v>
      </c>
      <c r="K2352" s="366" t="s">
        <v>1686</v>
      </c>
      <c r="L2352" s="366" t="s">
        <v>2236</v>
      </c>
      <c r="M2352" s="350" t="str">
        <f>IF($B2352="Portfolio","Portfolio",IFERROR(INDEX(DATA_ASSET_CLASSIFICATION!$B$8:$B$24,MATCH($C2352,DATA_ASSET_CLASSIFICATION!$A$8:$A$24,0)),"Review"))</f>
        <v>Jessica Place</v>
      </c>
      <c r="N2352" s="350" t="str">
        <f ca="1">IF($B2352="Portfolio","Portfolio",IFERROR(INDEX(DATA_ASSET_CLASSIFICATION!$U$8:$U$24,MATCH($C2352,DATA_ASSET_CLASSIFICATION!$A$8:$A$24,0)),"Review"))</f>
        <v>Refi Watch</v>
      </c>
      <c r="O2352" s="350" t="str">
        <f ca="1">IF($B2352="Portfolio","Portfolio",IFERROR(INDEX(DATA_ASSET_CLASSIFICATION!$AB$8:$AB$13,MATCH($N2352,DATA_ASSET_CLASSIFICATION!$AA$8:$AA$13,0)),"Review"))</f>
        <v>Bucket 2 · Legacy</v>
      </c>
      <c r="P2352" s="350" t="str">
        <f>IF($B2352="Portfolio","Portfolio",IFERROR(INDEX(DATA_ASSET_CLASSIFICATION!$C$8:$C$24,MATCH($C2352,DATA_ASSET_CLASSIFICATION!$A$8:$A$24,0)),"Review"))</f>
        <v>Yes</v>
      </c>
      <c r="Q2352" s="350" t="str">
        <f t="shared" ca="1" si="73"/>
        <v>OK</v>
      </c>
    </row>
    <row r="2353" spans="1:17">
      <c r="A2353" s="366" t="s">
        <v>4309</v>
      </c>
      <c r="B2353" s="366" t="s">
        <v>231</v>
      </c>
      <c r="C2353" s="348" t="str">
        <f>DATA_PROPERTY_MASTER!$A$12</f>
        <v>BLD_JP</v>
      </c>
      <c r="D2353" s="380">
        <f>'00_PORTFOLIO ROLLUP'!G$12</f>
        <v>2027</v>
      </c>
      <c r="E2353" s="366" t="s">
        <v>1683</v>
      </c>
      <c r="F2353" s="366" t="s">
        <v>19</v>
      </c>
      <c r="G2353" s="348" t="str">
        <f>"'"&amp;$C2353&amp;"'!$E$41:$Y$41"</f>
        <v>'BLD_JP'!$E$41:$Y$41</v>
      </c>
      <c r="H2353" s="381">
        <f ca="1">IF(IFERROR(INDEX(DATA_PROPERTY_MASTER!$E$5:$E$21,MATCH($C2353,DATA_PROPERTY_MASTER!$A$5:$A$21,0))="Yes",FALSE),IFERROR(INDEX(INDIRECT("'"&amp;$C2353&amp;"'!$E$41:$Y$41"),1,MATCH($D2353,INDIRECT("'"&amp;$C2353&amp;"'!$E$12:$Y$12"),0)),0),0)</f>
        <v>236138.75529599993</v>
      </c>
      <c r="I2353" s="366" t="s">
        <v>1685</v>
      </c>
      <c r="J2353" s="348" t="str">
        <f t="shared" ca="1" si="72"/>
        <v>OK</v>
      </c>
      <c r="K2353" s="366" t="s">
        <v>1694</v>
      </c>
      <c r="L2353" s="366" t="s">
        <v>2238</v>
      </c>
      <c r="M2353" s="350" t="str">
        <f>IF($B2353="Portfolio","Portfolio",IFERROR(INDEX(DATA_ASSET_CLASSIFICATION!$B$8:$B$24,MATCH($C2353,DATA_ASSET_CLASSIFICATION!$A$8:$A$24,0)),"Review"))</f>
        <v>Jessica Place</v>
      </c>
      <c r="N2353" s="350" t="str">
        <f ca="1">IF($B2353="Portfolio","Portfolio",IFERROR(INDEX(DATA_ASSET_CLASSIFICATION!$U$8:$U$24,MATCH($C2353,DATA_ASSET_CLASSIFICATION!$A$8:$A$24,0)),"Review"))</f>
        <v>Refi Watch</v>
      </c>
      <c r="O2353" s="350" t="str">
        <f ca="1">IF($B2353="Portfolio","Portfolio",IFERROR(INDEX(DATA_ASSET_CLASSIFICATION!$AB$8:$AB$13,MATCH($N2353,DATA_ASSET_CLASSIFICATION!$AA$8:$AA$13,0)),"Review"))</f>
        <v>Bucket 2 · Legacy</v>
      </c>
      <c r="P2353" s="350" t="str">
        <f>IF($B2353="Portfolio","Portfolio",IFERROR(INDEX(DATA_ASSET_CLASSIFICATION!$C$8:$C$24,MATCH($C2353,DATA_ASSET_CLASSIFICATION!$A$8:$A$24,0)),"Review"))</f>
        <v>Yes</v>
      </c>
      <c r="Q2353" s="350" t="str">
        <f t="shared" ca="1" si="73"/>
        <v>OK</v>
      </c>
    </row>
    <row r="2354" spans="1:17">
      <c r="A2354" s="366" t="s">
        <v>4310</v>
      </c>
      <c r="B2354" s="366" t="s">
        <v>231</v>
      </c>
      <c r="C2354" s="348" t="str">
        <f>DATA_PROPERTY_MASTER!$A$12</f>
        <v>BLD_JP</v>
      </c>
      <c r="D2354" s="380">
        <f>'00_PORTFOLIO ROLLUP'!G$12</f>
        <v>2027</v>
      </c>
      <c r="E2354" s="366" t="s">
        <v>1683</v>
      </c>
      <c r="F2354" s="366" t="s">
        <v>1697</v>
      </c>
      <c r="G2354" s="348" t="str">
        <f>"'"&amp;$C2354&amp;"'!$E$44:$Y$44"</f>
        <v>'BLD_JP'!$E$44:$Y$44</v>
      </c>
      <c r="H2354" s="381">
        <f ca="1">IF(IFERROR(INDEX(DATA_PROPERTY_MASTER!$E$5:$E$21,MATCH($C2354,DATA_PROPERTY_MASTER!$A$5:$A$21,0))="Yes",FALSE),IFERROR(INDEX(INDIRECT("'"&amp;$C2354&amp;"'!$E$44:$Y$44"),1,MATCH($D2354,INDIRECT("'"&amp;$C2354&amp;"'!$E$12:$Y$12"),0)),0),0)</f>
        <v>6242.4</v>
      </c>
      <c r="I2354" s="366" t="s">
        <v>1690</v>
      </c>
      <c r="J2354" s="348" t="str">
        <f t="shared" ca="1" si="72"/>
        <v>OK</v>
      </c>
      <c r="K2354" s="366" t="s">
        <v>1699</v>
      </c>
      <c r="L2354" s="366" t="s">
        <v>2240</v>
      </c>
      <c r="M2354" s="350" t="str">
        <f>IF($B2354="Portfolio","Portfolio",IFERROR(INDEX(DATA_ASSET_CLASSIFICATION!$B$8:$B$24,MATCH($C2354,DATA_ASSET_CLASSIFICATION!$A$8:$A$24,0)),"Review"))</f>
        <v>Jessica Place</v>
      </c>
      <c r="N2354" s="350" t="str">
        <f ca="1">IF($B2354="Portfolio","Portfolio",IFERROR(INDEX(DATA_ASSET_CLASSIFICATION!$U$8:$U$24,MATCH($C2354,DATA_ASSET_CLASSIFICATION!$A$8:$A$24,0)),"Review"))</f>
        <v>Refi Watch</v>
      </c>
      <c r="O2354" s="350" t="str">
        <f ca="1">IF($B2354="Portfolio","Portfolio",IFERROR(INDEX(DATA_ASSET_CLASSIFICATION!$AB$8:$AB$13,MATCH($N2354,DATA_ASSET_CLASSIFICATION!$AA$8:$AA$13,0)),"Review"))</f>
        <v>Bucket 2 · Legacy</v>
      </c>
      <c r="P2354" s="350" t="str">
        <f>IF($B2354="Portfolio","Portfolio",IFERROR(INDEX(DATA_ASSET_CLASSIFICATION!$C$8:$C$24,MATCH($C2354,DATA_ASSET_CLASSIFICATION!$A$8:$A$24,0)),"Review"))</f>
        <v>Yes</v>
      </c>
      <c r="Q2354" s="350" t="str">
        <f t="shared" ca="1" si="73"/>
        <v>OK</v>
      </c>
    </row>
    <row r="2355" spans="1:17">
      <c r="A2355" s="366" t="s">
        <v>4311</v>
      </c>
      <c r="B2355" s="366" t="s">
        <v>231</v>
      </c>
      <c r="C2355" s="348" t="str">
        <f>DATA_PROPERTY_MASTER!$A$12</f>
        <v>BLD_JP</v>
      </c>
      <c r="D2355" s="380">
        <f>'00_PORTFOLIO ROLLUP'!G$12</f>
        <v>2027</v>
      </c>
      <c r="E2355" s="366" t="s">
        <v>1683</v>
      </c>
      <c r="F2355" s="366" t="s">
        <v>21</v>
      </c>
      <c r="G2355" s="348" t="str">
        <f>"'"&amp;$C2355&amp;"'!$E$45:$Y$45"</f>
        <v>'BLD_JP'!$E$45:$Y$45</v>
      </c>
      <c r="H2355" s="381">
        <f ca="1">IF(IFERROR(INDEX(DATA_PROPERTY_MASTER!$E$5:$E$21,MATCH($C2355,DATA_PROPERTY_MASTER!$A$5:$A$21,0))="Yes",FALSE),IFERROR(INDEX(INDIRECT("'"&amp;$C2355&amp;"'!$E$45:$Y$45"),1,MATCH($D2355,INDIRECT("'"&amp;$C2355&amp;"'!$E$12:$Y$12"),0)),0),0)</f>
        <v>229896.35529599994</v>
      </c>
      <c r="I2355" s="366" t="s">
        <v>1685</v>
      </c>
      <c r="J2355" s="348" t="str">
        <f t="shared" ca="1" si="72"/>
        <v>OK</v>
      </c>
      <c r="K2355" s="366" t="s">
        <v>1694</v>
      </c>
      <c r="L2355" s="366" t="s">
        <v>2242</v>
      </c>
      <c r="M2355" s="350" t="str">
        <f>IF($B2355="Portfolio","Portfolio",IFERROR(INDEX(DATA_ASSET_CLASSIFICATION!$B$8:$B$24,MATCH($C2355,DATA_ASSET_CLASSIFICATION!$A$8:$A$24,0)),"Review"))</f>
        <v>Jessica Place</v>
      </c>
      <c r="N2355" s="350" t="str">
        <f ca="1">IF($B2355="Portfolio","Portfolio",IFERROR(INDEX(DATA_ASSET_CLASSIFICATION!$U$8:$U$24,MATCH($C2355,DATA_ASSET_CLASSIFICATION!$A$8:$A$24,0)),"Review"))</f>
        <v>Refi Watch</v>
      </c>
      <c r="O2355" s="350" t="str">
        <f ca="1">IF($B2355="Portfolio","Portfolio",IFERROR(INDEX(DATA_ASSET_CLASSIFICATION!$AB$8:$AB$13,MATCH($N2355,DATA_ASSET_CLASSIFICATION!$AA$8:$AA$13,0)),"Review"))</f>
        <v>Bucket 2 · Legacy</v>
      </c>
      <c r="P2355" s="350" t="str">
        <f>IF($B2355="Portfolio","Portfolio",IFERROR(INDEX(DATA_ASSET_CLASSIFICATION!$C$8:$C$24,MATCH($C2355,DATA_ASSET_CLASSIFICATION!$A$8:$A$24,0)),"Review"))</f>
        <v>Yes</v>
      </c>
      <c r="Q2355" s="350" t="str">
        <f t="shared" ca="1" si="73"/>
        <v>OK</v>
      </c>
    </row>
    <row r="2356" spans="1:17">
      <c r="A2356" s="366" t="s">
        <v>4312</v>
      </c>
      <c r="B2356" s="366" t="s">
        <v>231</v>
      </c>
      <c r="C2356" s="348" t="str">
        <f>DATA_PROPERTY_MASTER!$A$12</f>
        <v>BLD_JP</v>
      </c>
      <c r="D2356" s="380">
        <f>'00_PORTFOLIO ROLLUP'!G$12</f>
        <v>2027</v>
      </c>
      <c r="E2356" s="366" t="s">
        <v>23</v>
      </c>
      <c r="F2356" s="366" t="s">
        <v>23</v>
      </c>
      <c r="G2356" s="348" t="str">
        <f>"'"&amp;$C2356&amp;"'!$E$48:$Y$48"</f>
        <v>'BLD_JP'!$E$48:$Y$48</v>
      </c>
      <c r="H2356" s="381">
        <f ca="1">IF(IFERROR(INDEX(DATA_PROPERTY_MASTER!$E$5:$E$21,MATCH($C2356,DATA_PROPERTY_MASTER!$A$5:$A$21,0))="Yes",FALSE),IFERROR(INDEX(INDIRECT("'"&amp;$C2356&amp;"'!$E$48:$Y$48"),1,MATCH($D2356,INDIRECT("'"&amp;$C2356&amp;"'!$E$12:$Y$12"),0)),0),0)</f>
        <v>0</v>
      </c>
      <c r="I2356" s="366" t="s">
        <v>1690</v>
      </c>
      <c r="J2356" s="348" t="str">
        <f t="shared" ca="1" si="72"/>
        <v>OK</v>
      </c>
      <c r="K2356" s="366" t="s">
        <v>1706</v>
      </c>
      <c r="L2356" s="366" t="s">
        <v>2244</v>
      </c>
      <c r="M2356" s="350" t="str">
        <f>IF($B2356="Portfolio","Portfolio",IFERROR(INDEX(DATA_ASSET_CLASSIFICATION!$B$8:$B$24,MATCH($C2356,DATA_ASSET_CLASSIFICATION!$A$8:$A$24,0)),"Review"))</f>
        <v>Jessica Place</v>
      </c>
      <c r="N2356" s="350" t="str">
        <f ca="1">IF($B2356="Portfolio","Portfolio",IFERROR(INDEX(DATA_ASSET_CLASSIFICATION!$U$8:$U$24,MATCH($C2356,DATA_ASSET_CLASSIFICATION!$A$8:$A$24,0)),"Review"))</f>
        <v>Refi Watch</v>
      </c>
      <c r="O2356" s="350" t="str">
        <f ca="1">IF($B2356="Portfolio","Portfolio",IFERROR(INDEX(DATA_ASSET_CLASSIFICATION!$AB$8:$AB$13,MATCH($N2356,DATA_ASSET_CLASSIFICATION!$AA$8:$AA$13,0)),"Review"))</f>
        <v>Bucket 2 · Legacy</v>
      </c>
      <c r="P2356" s="350" t="str">
        <f>IF($B2356="Portfolio","Portfolio",IFERROR(INDEX(DATA_ASSET_CLASSIFICATION!$C$8:$C$24,MATCH($C2356,DATA_ASSET_CLASSIFICATION!$A$8:$A$24,0)),"Review"))</f>
        <v>Yes</v>
      </c>
      <c r="Q2356" s="350" t="str">
        <f t="shared" ca="1" si="73"/>
        <v>OK</v>
      </c>
    </row>
    <row r="2357" spans="1:17">
      <c r="A2357" s="366" t="s">
        <v>4313</v>
      </c>
      <c r="B2357" s="366" t="s">
        <v>231</v>
      </c>
      <c r="C2357" s="348" t="str">
        <f>DATA_PROPERTY_MASTER!$A$12</f>
        <v>BLD_JP</v>
      </c>
      <c r="D2357" s="380">
        <f>'00_PORTFOLIO ROLLUP'!G$12</f>
        <v>2027</v>
      </c>
      <c r="E2357" s="366" t="s">
        <v>1683</v>
      </c>
      <c r="F2357" s="366" t="s">
        <v>25</v>
      </c>
      <c r="G2357" s="348" t="str">
        <f>"'"&amp;$C2357&amp;"'!$E$52:$Y$52"</f>
        <v>'BLD_JP'!$E$52:$Y$52</v>
      </c>
      <c r="H2357" s="381">
        <f ca="1">IF(IFERROR(INDEX(DATA_PROPERTY_MASTER!$E$5:$E$21,MATCH($C2357,DATA_PROPERTY_MASTER!$A$5:$A$21,0))="Yes",FALSE),IFERROR(INDEX(INDIRECT("'"&amp;$C2357&amp;"'!$E$52:$Y$52"),1,MATCH($D2357,INDIRECT("'"&amp;$C2357&amp;"'!$E$12:$Y$12"),0)),0),0)</f>
        <v>236138.75529599993</v>
      </c>
      <c r="I2357" s="366" t="s">
        <v>1685</v>
      </c>
      <c r="J2357" s="348" t="str">
        <f t="shared" ca="1" si="72"/>
        <v>OK</v>
      </c>
      <c r="K2357" s="366" t="s">
        <v>1710</v>
      </c>
      <c r="L2357" s="366" t="s">
        <v>2246</v>
      </c>
      <c r="M2357" s="350" t="str">
        <f>IF($B2357="Portfolio","Portfolio",IFERROR(INDEX(DATA_ASSET_CLASSIFICATION!$B$8:$B$24,MATCH($C2357,DATA_ASSET_CLASSIFICATION!$A$8:$A$24,0)),"Review"))</f>
        <v>Jessica Place</v>
      </c>
      <c r="N2357" s="350" t="str">
        <f ca="1">IF($B2357="Portfolio","Portfolio",IFERROR(INDEX(DATA_ASSET_CLASSIFICATION!$U$8:$U$24,MATCH($C2357,DATA_ASSET_CLASSIFICATION!$A$8:$A$24,0)),"Review"))</f>
        <v>Refi Watch</v>
      </c>
      <c r="O2357" s="350" t="str">
        <f ca="1">IF($B2357="Portfolio","Portfolio",IFERROR(INDEX(DATA_ASSET_CLASSIFICATION!$AB$8:$AB$13,MATCH($N2357,DATA_ASSET_CLASSIFICATION!$AA$8:$AA$13,0)),"Review"))</f>
        <v>Bucket 2 · Legacy</v>
      </c>
      <c r="P2357" s="350" t="str">
        <f>IF($B2357="Portfolio","Portfolio",IFERROR(INDEX(DATA_ASSET_CLASSIFICATION!$C$8:$C$24,MATCH($C2357,DATA_ASSET_CLASSIFICATION!$A$8:$A$24,0)),"Review"))</f>
        <v>Yes</v>
      </c>
      <c r="Q2357" s="350" t="str">
        <f t="shared" ca="1" si="73"/>
        <v>OK</v>
      </c>
    </row>
    <row r="2358" spans="1:17">
      <c r="A2358" s="366" t="s">
        <v>4314</v>
      </c>
      <c r="B2358" s="366" t="s">
        <v>231</v>
      </c>
      <c r="C2358" s="348" t="str">
        <f>DATA_PROPERTY_MASTER!$A$12</f>
        <v>BLD_JP</v>
      </c>
      <c r="D2358" s="380">
        <f>'00_PORTFOLIO ROLLUP'!G$12</f>
        <v>2027</v>
      </c>
      <c r="E2358" s="366" t="s">
        <v>1683</v>
      </c>
      <c r="F2358" s="366" t="s">
        <v>27</v>
      </c>
      <c r="G2358" s="348" t="str">
        <f>"'"&amp;$C2358&amp;"'!$E$54:$Y$54"</f>
        <v>'BLD_JP'!$E$54:$Y$54</v>
      </c>
      <c r="H2358" s="381">
        <f ca="1">IF(IFERROR(INDEX(DATA_PROPERTY_MASTER!$E$5:$E$21,MATCH($C2358,DATA_PROPERTY_MASTER!$A$5:$A$21,0))="Yes",FALSE),IFERROR(INDEX(INDIRECT("'"&amp;$C2358&amp;"'!$E$54:$Y$54"),1,MATCH($D2358,INDIRECT("'"&amp;$C2358&amp;"'!$E$12:$Y$12"),0)),0),0)</f>
        <v>141683.25317759995</v>
      </c>
      <c r="I2358" s="366" t="s">
        <v>1690</v>
      </c>
      <c r="J2358" s="348" t="str">
        <f t="shared" ca="1" si="72"/>
        <v>OK</v>
      </c>
      <c r="K2358" s="366" t="s">
        <v>1714</v>
      </c>
      <c r="L2358" s="366" t="s">
        <v>2248</v>
      </c>
      <c r="M2358" s="350" t="str">
        <f>IF($B2358="Portfolio","Portfolio",IFERROR(INDEX(DATA_ASSET_CLASSIFICATION!$B$8:$B$24,MATCH($C2358,DATA_ASSET_CLASSIFICATION!$A$8:$A$24,0)),"Review"))</f>
        <v>Jessica Place</v>
      </c>
      <c r="N2358" s="350" t="str">
        <f ca="1">IF($B2358="Portfolio","Portfolio",IFERROR(INDEX(DATA_ASSET_CLASSIFICATION!$U$8:$U$24,MATCH($C2358,DATA_ASSET_CLASSIFICATION!$A$8:$A$24,0)),"Review"))</f>
        <v>Refi Watch</v>
      </c>
      <c r="O2358" s="350" t="str">
        <f ca="1">IF($B2358="Portfolio","Portfolio",IFERROR(INDEX(DATA_ASSET_CLASSIFICATION!$AB$8:$AB$13,MATCH($N2358,DATA_ASSET_CLASSIFICATION!$AA$8:$AA$13,0)),"Review"))</f>
        <v>Bucket 2 · Legacy</v>
      </c>
      <c r="P2358" s="350" t="str">
        <f>IF($B2358="Portfolio","Portfolio",IFERROR(INDEX(DATA_ASSET_CLASSIFICATION!$C$8:$C$24,MATCH($C2358,DATA_ASSET_CLASSIFICATION!$A$8:$A$24,0)),"Review"))</f>
        <v>Yes</v>
      </c>
      <c r="Q2358" s="350" t="str">
        <f t="shared" ca="1" si="73"/>
        <v>OK</v>
      </c>
    </row>
    <row r="2359" spans="1:17">
      <c r="A2359" s="366" t="s">
        <v>4315</v>
      </c>
      <c r="B2359" s="366" t="s">
        <v>231</v>
      </c>
      <c r="C2359" s="348" t="str">
        <f>DATA_PROPERTY_MASTER!$A$12</f>
        <v>BLD_JP</v>
      </c>
      <c r="D2359" s="380">
        <f>'00_PORTFOLIO ROLLUP'!G$12</f>
        <v>2027</v>
      </c>
      <c r="E2359" s="366" t="s">
        <v>1683</v>
      </c>
      <c r="F2359" s="366" t="s">
        <v>29</v>
      </c>
      <c r="G2359" s="348" t="str">
        <f>"'"&amp;$C2359&amp;"'!$E$56:$Y$56"</f>
        <v>'BLD_JP'!$E$56:$Y$56</v>
      </c>
      <c r="H2359" s="381">
        <f ca="1">IF(IFERROR(INDEX(DATA_PROPERTY_MASTER!$E$5:$E$21,MATCH($C2359,DATA_PROPERTY_MASTER!$A$5:$A$21,0))="Yes",FALSE),IFERROR(INDEX(INDIRECT("'"&amp;$C2359&amp;"'!$E$56:$Y$56"),1,MATCH($D2359,INDIRECT("'"&amp;$C2359&amp;"'!$E$12:$Y$12"),0)),0),0)</f>
        <v>94455.502118399978</v>
      </c>
      <c r="I2359" s="366" t="s">
        <v>1685</v>
      </c>
      <c r="J2359" s="348" t="str">
        <f t="shared" ca="1" si="72"/>
        <v>OK</v>
      </c>
      <c r="K2359" s="366" t="s">
        <v>1718</v>
      </c>
      <c r="L2359" s="366" t="s">
        <v>2250</v>
      </c>
      <c r="M2359" s="350" t="str">
        <f>IF($B2359="Portfolio","Portfolio",IFERROR(INDEX(DATA_ASSET_CLASSIFICATION!$B$8:$B$24,MATCH($C2359,DATA_ASSET_CLASSIFICATION!$A$8:$A$24,0)),"Review"))</f>
        <v>Jessica Place</v>
      </c>
      <c r="N2359" s="350" t="str">
        <f ca="1">IF($B2359="Portfolio","Portfolio",IFERROR(INDEX(DATA_ASSET_CLASSIFICATION!$U$8:$U$24,MATCH($C2359,DATA_ASSET_CLASSIFICATION!$A$8:$A$24,0)),"Review"))</f>
        <v>Refi Watch</v>
      </c>
      <c r="O2359" s="350" t="str">
        <f ca="1">IF($B2359="Portfolio","Portfolio",IFERROR(INDEX(DATA_ASSET_CLASSIFICATION!$AB$8:$AB$13,MATCH($N2359,DATA_ASSET_CLASSIFICATION!$AA$8:$AA$13,0)),"Review"))</f>
        <v>Bucket 2 · Legacy</v>
      </c>
      <c r="P2359" s="350" t="str">
        <f>IF($B2359="Portfolio","Portfolio",IFERROR(INDEX(DATA_ASSET_CLASSIFICATION!$C$8:$C$24,MATCH($C2359,DATA_ASSET_CLASSIFICATION!$A$8:$A$24,0)),"Review"))</f>
        <v>Yes</v>
      </c>
      <c r="Q2359" s="350" t="str">
        <f t="shared" ca="1" si="73"/>
        <v>OK</v>
      </c>
    </row>
    <row r="2360" spans="1:17">
      <c r="A2360" s="366" t="s">
        <v>4316</v>
      </c>
      <c r="B2360" s="366" t="s">
        <v>231</v>
      </c>
      <c r="C2360" s="348" t="str">
        <f>DATA_PROPERTY_MASTER!$A$12</f>
        <v>BLD_JP</v>
      </c>
      <c r="D2360" s="380">
        <f>'00_PORTFOLIO ROLLUP'!G$12</f>
        <v>2027</v>
      </c>
      <c r="E2360" s="366" t="s">
        <v>1721</v>
      </c>
      <c r="F2360" s="366" t="s">
        <v>31</v>
      </c>
      <c r="G2360" s="348" t="str">
        <f>"'"&amp;$C2360&amp;"'!$E$61:$Y$61"</f>
        <v>'BLD_JP'!$E$61:$Y$61</v>
      </c>
      <c r="H2360" s="381">
        <f ca="1">IF(IFERROR(INDEX(DATA_PROPERTY_MASTER!$E$5:$E$21,MATCH($C2360,DATA_PROPERTY_MASTER!$A$5:$A$21,0))="Yes",FALSE),IFERROR(INDEX(INDIRECT("'"&amp;$C2360&amp;"'!$E$61:$Y$61"),1,MATCH($D2360,INDIRECT("'"&amp;$C2360&amp;"'!$E$12:$Y$12"),0)),0),0)</f>
        <v>0</v>
      </c>
      <c r="I2360" s="366" t="s">
        <v>1690</v>
      </c>
      <c r="J2360" s="348" t="str">
        <f t="shared" ca="1" si="72"/>
        <v>OK</v>
      </c>
      <c r="K2360" s="366" t="s">
        <v>1723</v>
      </c>
      <c r="L2360" s="366" t="s">
        <v>2252</v>
      </c>
      <c r="M2360" s="350" t="str">
        <f>IF($B2360="Portfolio","Portfolio",IFERROR(INDEX(DATA_ASSET_CLASSIFICATION!$B$8:$B$24,MATCH($C2360,DATA_ASSET_CLASSIFICATION!$A$8:$A$24,0)),"Review"))</f>
        <v>Jessica Place</v>
      </c>
      <c r="N2360" s="350" t="str">
        <f ca="1">IF($B2360="Portfolio","Portfolio",IFERROR(INDEX(DATA_ASSET_CLASSIFICATION!$U$8:$U$24,MATCH($C2360,DATA_ASSET_CLASSIFICATION!$A$8:$A$24,0)),"Review"))</f>
        <v>Refi Watch</v>
      </c>
      <c r="O2360" s="350" t="str">
        <f ca="1">IF($B2360="Portfolio","Portfolio",IFERROR(INDEX(DATA_ASSET_CLASSIFICATION!$AB$8:$AB$13,MATCH($N2360,DATA_ASSET_CLASSIFICATION!$AA$8:$AA$13,0)),"Review"))</f>
        <v>Bucket 2 · Legacy</v>
      </c>
      <c r="P2360" s="350" t="str">
        <f>IF($B2360="Portfolio","Portfolio",IFERROR(INDEX(DATA_ASSET_CLASSIFICATION!$C$8:$C$24,MATCH($C2360,DATA_ASSET_CLASSIFICATION!$A$8:$A$24,0)),"Review"))</f>
        <v>Yes</v>
      </c>
      <c r="Q2360" s="350" t="str">
        <f t="shared" ca="1" si="73"/>
        <v>OK</v>
      </c>
    </row>
    <row r="2361" spans="1:17">
      <c r="A2361" s="366" t="s">
        <v>4317</v>
      </c>
      <c r="B2361" s="366" t="s">
        <v>231</v>
      </c>
      <c r="C2361" s="348" t="str">
        <f>DATA_PROPERTY_MASTER!$A$12</f>
        <v>BLD_JP</v>
      </c>
      <c r="D2361" s="380">
        <f>'00_PORTFOLIO ROLLUP'!G$12</f>
        <v>2027</v>
      </c>
      <c r="E2361" s="366" t="s">
        <v>1721</v>
      </c>
      <c r="F2361" s="366" t="s">
        <v>33</v>
      </c>
      <c r="G2361" s="348" t="str">
        <f>"'"&amp;$C2361&amp;"'!$E$62:$Y$62"</f>
        <v>'BLD_JP'!$E$62:$Y$62</v>
      </c>
      <c r="H2361" s="381">
        <f ca="1">IF(IFERROR(INDEX(DATA_PROPERTY_MASTER!$E$5:$E$21,MATCH($C2361,DATA_PROPERTY_MASTER!$A$5:$A$21,0))="Yes",FALSE),IFERROR(INDEX(INDIRECT("'"&amp;$C2361&amp;"'!$E$62:$Y$62"),1,MATCH($D2361,INDIRECT("'"&amp;$C2361&amp;"'!$E$12:$Y$12"),0)),0),0)</f>
        <v>0</v>
      </c>
      <c r="I2361" s="366" t="s">
        <v>1685</v>
      </c>
      <c r="J2361" s="348" t="str">
        <f t="shared" ca="1" si="72"/>
        <v>OK</v>
      </c>
      <c r="K2361" s="366" t="s">
        <v>1727</v>
      </c>
      <c r="L2361" s="366" t="s">
        <v>2254</v>
      </c>
      <c r="M2361" s="350" t="str">
        <f>IF($B2361="Portfolio","Portfolio",IFERROR(INDEX(DATA_ASSET_CLASSIFICATION!$B$8:$B$24,MATCH($C2361,DATA_ASSET_CLASSIFICATION!$A$8:$A$24,0)),"Review"))</f>
        <v>Jessica Place</v>
      </c>
      <c r="N2361" s="350" t="str">
        <f ca="1">IF($B2361="Portfolio","Portfolio",IFERROR(INDEX(DATA_ASSET_CLASSIFICATION!$U$8:$U$24,MATCH($C2361,DATA_ASSET_CLASSIFICATION!$A$8:$A$24,0)),"Review"))</f>
        <v>Refi Watch</v>
      </c>
      <c r="O2361" s="350" t="str">
        <f ca="1">IF($B2361="Portfolio","Portfolio",IFERROR(INDEX(DATA_ASSET_CLASSIFICATION!$AB$8:$AB$13,MATCH($N2361,DATA_ASSET_CLASSIFICATION!$AA$8:$AA$13,0)),"Review"))</f>
        <v>Bucket 2 · Legacy</v>
      </c>
      <c r="P2361" s="350" t="str">
        <f>IF($B2361="Portfolio","Portfolio",IFERROR(INDEX(DATA_ASSET_CLASSIFICATION!$C$8:$C$24,MATCH($C2361,DATA_ASSET_CLASSIFICATION!$A$8:$A$24,0)),"Review"))</f>
        <v>Yes</v>
      </c>
      <c r="Q2361" s="350" t="str">
        <f t="shared" ca="1" si="73"/>
        <v>OK</v>
      </c>
    </row>
    <row r="2362" spans="1:17">
      <c r="A2362" s="366" t="s">
        <v>4318</v>
      </c>
      <c r="B2362" s="366" t="s">
        <v>231</v>
      </c>
      <c r="C2362" s="348" t="str">
        <f>DATA_PROPERTY_MASTER!$A$12</f>
        <v>BLD_JP</v>
      </c>
      <c r="D2362" s="380">
        <f>'00_PORTFOLIO ROLLUP'!G$12</f>
        <v>2027</v>
      </c>
      <c r="E2362" s="366" t="s">
        <v>1721</v>
      </c>
      <c r="F2362" s="366" t="s">
        <v>35</v>
      </c>
      <c r="G2362" s="348" t="str">
        <f>"'"&amp;$C2362&amp;"'!$E$63:$Y$63"</f>
        <v>'BLD_JP'!$E$63:$Y$63</v>
      </c>
      <c r="H2362" s="381">
        <f ca="1">IF(IFERROR(INDEX(DATA_PROPERTY_MASTER!$E$5:$E$21,MATCH($C2362,DATA_PROPERTY_MASTER!$A$5:$A$21,0))="Yes",FALSE),IFERROR(INDEX(INDIRECT("'"&amp;$C2362&amp;"'!$E$63:$Y$63"),1,MATCH($D2362,INDIRECT("'"&amp;$C2362&amp;"'!$E$12:$Y$12"),0)),0),0)</f>
        <v>0</v>
      </c>
      <c r="I2362" s="366" t="s">
        <v>1731</v>
      </c>
      <c r="J2362" s="348" t="str">
        <f t="shared" ca="1" si="72"/>
        <v>OK</v>
      </c>
      <c r="K2362" s="366" t="s">
        <v>1732</v>
      </c>
      <c r="L2362" s="366" t="s">
        <v>2256</v>
      </c>
      <c r="M2362" s="350" t="str">
        <f>IF($B2362="Portfolio","Portfolio",IFERROR(INDEX(DATA_ASSET_CLASSIFICATION!$B$8:$B$24,MATCH($C2362,DATA_ASSET_CLASSIFICATION!$A$8:$A$24,0)),"Review"))</f>
        <v>Jessica Place</v>
      </c>
      <c r="N2362" s="350" t="str">
        <f ca="1">IF($B2362="Portfolio","Portfolio",IFERROR(INDEX(DATA_ASSET_CLASSIFICATION!$U$8:$U$24,MATCH($C2362,DATA_ASSET_CLASSIFICATION!$A$8:$A$24,0)),"Review"))</f>
        <v>Refi Watch</v>
      </c>
      <c r="O2362" s="350" t="str">
        <f ca="1">IF($B2362="Portfolio","Portfolio",IFERROR(INDEX(DATA_ASSET_CLASSIFICATION!$AB$8:$AB$13,MATCH($N2362,DATA_ASSET_CLASSIFICATION!$AA$8:$AA$13,0)),"Review"))</f>
        <v>Bucket 2 · Legacy</v>
      </c>
      <c r="P2362" s="350" t="str">
        <f>IF($B2362="Portfolio","Portfolio",IFERROR(INDEX(DATA_ASSET_CLASSIFICATION!$C$8:$C$24,MATCH($C2362,DATA_ASSET_CLASSIFICATION!$A$8:$A$24,0)),"Review"))</f>
        <v>Yes</v>
      </c>
      <c r="Q2362" s="350" t="str">
        <f t="shared" ca="1" si="73"/>
        <v>OK</v>
      </c>
    </row>
    <row r="2363" spans="1:17">
      <c r="A2363" s="366" t="s">
        <v>4319</v>
      </c>
      <c r="B2363" s="366" t="s">
        <v>231</v>
      </c>
      <c r="C2363" s="348" t="str">
        <f>DATA_PROPERTY_MASTER!$A$12</f>
        <v>BLD_JP</v>
      </c>
      <c r="D2363" s="380">
        <f>'00_PORTFOLIO ROLLUP'!G$12</f>
        <v>2027</v>
      </c>
      <c r="E2363" s="366" t="s">
        <v>1721</v>
      </c>
      <c r="F2363" s="366" t="s">
        <v>37</v>
      </c>
      <c r="G2363" s="348" t="str">
        <f>"'"&amp;$C2363&amp;"'!$E$63:$Y$63"</f>
        <v>'BLD_JP'!$E$63:$Y$63</v>
      </c>
      <c r="H2363" s="381">
        <f ca="1">IF(IFERROR(INDEX(DATA_PROPERTY_MASTER!$E$5:$E$21,MATCH($C2363,DATA_PROPERTY_MASTER!$A$5:$A$21,0))="Yes",FALSE),MAX(IFERROR(INDEX(INDIRECT("'"&amp;$C2363&amp;"'!$E$63:$Y$63"),1,MATCH($D2363,INDIRECT("'"&amp;$C2363&amp;"'!$E$12:$Y$12"),0)),0),0),0)</f>
        <v>0</v>
      </c>
      <c r="I2363" s="366" t="s">
        <v>1685</v>
      </c>
      <c r="J2363" s="348" t="str">
        <f t="shared" ca="1" si="72"/>
        <v>OK</v>
      </c>
      <c r="K2363" s="366" t="s">
        <v>1735</v>
      </c>
      <c r="L2363" s="366" t="s">
        <v>2258</v>
      </c>
      <c r="M2363" s="350" t="str">
        <f>IF($B2363="Portfolio","Portfolio",IFERROR(INDEX(DATA_ASSET_CLASSIFICATION!$B$8:$B$24,MATCH($C2363,DATA_ASSET_CLASSIFICATION!$A$8:$A$24,0)),"Review"))</f>
        <v>Jessica Place</v>
      </c>
      <c r="N2363" s="350" t="str">
        <f ca="1">IF($B2363="Portfolio","Portfolio",IFERROR(INDEX(DATA_ASSET_CLASSIFICATION!$U$8:$U$24,MATCH($C2363,DATA_ASSET_CLASSIFICATION!$A$8:$A$24,0)),"Review"))</f>
        <v>Refi Watch</v>
      </c>
      <c r="O2363" s="350" t="str">
        <f ca="1">IF($B2363="Portfolio","Portfolio",IFERROR(INDEX(DATA_ASSET_CLASSIFICATION!$AB$8:$AB$13,MATCH($N2363,DATA_ASSET_CLASSIFICATION!$AA$8:$AA$13,0)),"Review"))</f>
        <v>Bucket 2 · Legacy</v>
      </c>
      <c r="P2363" s="350" t="str">
        <f>IF($B2363="Portfolio","Portfolio",IFERROR(INDEX(DATA_ASSET_CLASSIFICATION!$C$8:$C$24,MATCH($C2363,DATA_ASSET_CLASSIFICATION!$A$8:$A$24,0)),"Review"))</f>
        <v>Yes</v>
      </c>
      <c r="Q2363" s="350" t="str">
        <f t="shared" ca="1" si="73"/>
        <v>OK</v>
      </c>
    </row>
    <row r="2364" spans="1:17">
      <c r="A2364" s="366" t="s">
        <v>4320</v>
      </c>
      <c r="B2364" s="366" t="s">
        <v>231</v>
      </c>
      <c r="C2364" s="348" t="str">
        <f>DATA_PROPERTY_MASTER!$A$12</f>
        <v>BLD_JP</v>
      </c>
      <c r="D2364" s="380">
        <f>'00_PORTFOLIO ROLLUP'!G$12</f>
        <v>2027</v>
      </c>
      <c r="E2364" s="366" t="s">
        <v>1721</v>
      </c>
      <c r="F2364" s="366" t="s">
        <v>39</v>
      </c>
      <c r="G2364" s="348" t="str">
        <f>"'"&amp;$C2364&amp;"'!$E$63:$Y$63"</f>
        <v>'BLD_JP'!$E$63:$Y$63</v>
      </c>
      <c r="H2364" s="381">
        <f ca="1">IF(IFERROR(INDEX(DATA_PROPERTY_MASTER!$E$5:$E$21,MATCH($C2364,DATA_PROPERTY_MASTER!$A$5:$A$21,0))="Yes",FALSE),MAX(-IFERROR(INDEX(INDIRECT("'"&amp;$C2364&amp;"'!$E$63:$Y$63"),1,MATCH($D2364,INDIRECT("'"&amp;$C2364&amp;"'!$E$12:$Y$12"),0)),0),0),0)</f>
        <v>0</v>
      </c>
      <c r="I2364" s="366" t="s">
        <v>1690</v>
      </c>
      <c r="J2364" s="348" t="str">
        <f t="shared" ca="1" si="72"/>
        <v>OK</v>
      </c>
      <c r="K2364" s="366" t="s">
        <v>1738</v>
      </c>
      <c r="L2364" s="366" t="s">
        <v>2260</v>
      </c>
      <c r="M2364" s="350" t="str">
        <f>IF($B2364="Portfolio","Portfolio",IFERROR(INDEX(DATA_ASSET_CLASSIFICATION!$B$8:$B$24,MATCH($C2364,DATA_ASSET_CLASSIFICATION!$A$8:$A$24,0)),"Review"))</f>
        <v>Jessica Place</v>
      </c>
      <c r="N2364" s="350" t="str">
        <f ca="1">IF($B2364="Portfolio","Portfolio",IFERROR(INDEX(DATA_ASSET_CLASSIFICATION!$U$8:$U$24,MATCH($C2364,DATA_ASSET_CLASSIFICATION!$A$8:$A$24,0)),"Review"))</f>
        <v>Refi Watch</v>
      </c>
      <c r="O2364" s="350" t="str">
        <f ca="1">IF($B2364="Portfolio","Portfolio",IFERROR(INDEX(DATA_ASSET_CLASSIFICATION!$AB$8:$AB$13,MATCH($N2364,DATA_ASSET_CLASSIFICATION!$AA$8:$AA$13,0)),"Review"))</f>
        <v>Bucket 2 · Legacy</v>
      </c>
      <c r="P2364" s="350" t="str">
        <f>IF($B2364="Portfolio","Portfolio",IFERROR(INDEX(DATA_ASSET_CLASSIFICATION!$C$8:$C$24,MATCH($C2364,DATA_ASSET_CLASSIFICATION!$A$8:$A$24,0)),"Review"))</f>
        <v>Yes</v>
      </c>
      <c r="Q2364" s="350" t="str">
        <f t="shared" ca="1" si="73"/>
        <v>OK</v>
      </c>
    </row>
    <row r="2365" spans="1:17">
      <c r="A2365" s="366" t="s">
        <v>4321</v>
      </c>
      <c r="B2365" s="366" t="s">
        <v>231</v>
      </c>
      <c r="C2365" s="348" t="str">
        <f>DATA_PROPERTY_MASTER!$A$12</f>
        <v>BLD_JP</v>
      </c>
      <c r="D2365" s="380">
        <f>'00_PORTFOLIO ROLLUP'!G$12</f>
        <v>2027</v>
      </c>
      <c r="E2365" s="366" t="s">
        <v>1741</v>
      </c>
      <c r="F2365" s="366" t="s">
        <v>41</v>
      </c>
      <c r="G2365" s="348" t="str">
        <f>"'"&amp;$C2365&amp;"'!rows 56 + positive row 63"</f>
        <v>'BLD_JP'!rows 56 + positive row 63</v>
      </c>
      <c r="H2365" s="381">
        <f ca="1">IF(IFERROR(INDEX(DATA_PROPERTY_MASTER!$E$5:$E$21,MATCH($C2365,DATA_PROPERTY_MASTER!$A$5:$A$21,0))="Yes",FALSE),IFERROR(INDEX(INDIRECT("'"&amp;$C2365&amp;"'!$E$56:$Y$56"),1,MATCH($D2365,INDIRECT("'"&amp;$C2365&amp;"'!$E$12:$Y$12"),0)),0)+MAX(IFERROR(INDEX(INDIRECT("'"&amp;$C2365&amp;"'!$E$63:$Y$63"),1,MATCH($D2365,INDIRECT("'"&amp;$C2365&amp;"'!$E$12:$Y$12"),0)),0),0),0)</f>
        <v>94455.502118399978</v>
      </c>
      <c r="I2365" s="366" t="s">
        <v>1685</v>
      </c>
      <c r="J2365" s="348" t="str">
        <f t="shared" ca="1" si="72"/>
        <v>OK</v>
      </c>
      <c r="K2365" s="366" t="s">
        <v>1742</v>
      </c>
      <c r="L2365" s="366" t="s">
        <v>2262</v>
      </c>
      <c r="M2365" s="350" t="str">
        <f>IF($B2365="Portfolio","Portfolio",IFERROR(INDEX(DATA_ASSET_CLASSIFICATION!$B$8:$B$24,MATCH($C2365,DATA_ASSET_CLASSIFICATION!$A$8:$A$24,0)),"Review"))</f>
        <v>Jessica Place</v>
      </c>
      <c r="N2365" s="350" t="str">
        <f ca="1">IF($B2365="Portfolio","Portfolio",IFERROR(INDEX(DATA_ASSET_CLASSIFICATION!$U$8:$U$24,MATCH($C2365,DATA_ASSET_CLASSIFICATION!$A$8:$A$24,0)),"Review"))</f>
        <v>Refi Watch</v>
      </c>
      <c r="O2365" s="350" t="str">
        <f ca="1">IF($B2365="Portfolio","Portfolio",IFERROR(INDEX(DATA_ASSET_CLASSIFICATION!$AB$8:$AB$13,MATCH($N2365,DATA_ASSET_CLASSIFICATION!$AA$8:$AA$13,0)),"Review"))</f>
        <v>Bucket 2 · Legacy</v>
      </c>
      <c r="P2365" s="350" t="str">
        <f>IF($B2365="Portfolio","Portfolio",IFERROR(INDEX(DATA_ASSET_CLASSIFICATION!$C$8:$C$24,MATCH($C2365,DATA_ASSET_CLASSIFICATION!$A$8:$A$24,0)),"Review"))</f>
        <v>Yes</v>
      </c>
      <c r="Q2365" s="350" t="str">
        <f t="shared" ca="1" si="73"/>
        <v>OK</v>
      </c>
    </row>
    <row r="2366" spans="1:17">
      <c r="A2366" s="366" t="s">
        <v>4322</v>
      </c>
      <c r="B2366" s="366" t="s">
        <v>231</v>
      </c>
      <c r="C2366" s="348" t="str">
        <f>DATA_PROPERTY_MASTER!$A$12</f>
        <v>BLD_JP</v>
      </c>
      <c r="D2366" s="380">
        <f>'00_PORTFOLIO ROLLUP'!G$12</f>
        <v>2027</v>
      </c>
      <c r="E2366" s="366" t="s">
        <v>1741</v>
      </c>
      <c r="F2366" s="366" t="s">
        <v>43</v>
      </c>
      <c r="G2366" s="348" t="str">
        <f>"'"&amp;$C2366&amp;"'!$E$68:$Y$68"</f>
        <v>'BLD_JP'!$E$68:$Y$68</v>
      </c>
      <c r="H2366" s="381">
        <f ca="1">IF(IFERROR(INDEX(DATA_PROPERTY_MASTER!$E$5:$E$21,MATCH($C2366,DATA_PROPERTY_MASTER!$A$5:$A$21,0))="Yes",FALSE),IFERROR(INDEX(INDIRECT("'"&amp;$C2366&amp;"'!$E$68:$Y$68"),1,MATCH($D2366,INDIRECT("'"&amp;$C2366&amp;"'!$E$12:$Y$12"),0)),0),0)</f>
        <v>94455.502118399978</v>
      </c>
      <c r="I2366" s="366" t="s">
        <v>1731</v>
      </c>
      <c r="J2366" s="348" t="str">
        <f t="shared" ca="1" si="72"/>
        <v>OK</v>
      </c>
      <c r="K2366" s="366" t="s">
        <v>1746</v>
      </c>
      <c r="L2366" s="366" t="s">
        <v>2264</v>
      </c>
      <c r="M2366" s="350" t="str">
        <f>IF($B2366="Portfolio","Portfolio",IFERROR(INDEX(DATA_ASSET_CLASSIFICATION!$B$8:$B$24,MATCH($C2366,DATA_ASSET_CLASSIFICATION!$A$8:$A$24,0)),"Review"))</f>
        <v>Jessica Place</v>
      </c>
      <c r="N2366" s="350" t="str">
        <f ca="1">IF($B2366="Portfolio","Portfolio",IFERROR(INDEX(DATA_ASSET_CLASSIFICATION!$U$8:$U$24,MATCH($C2366,DATA_ASSET_CLASSIFICATION!$A$8:$A$24,0)),"Review"))</f>
        <v>Refi Watch</v>
      </c>
      <c r="O2366" s="350" t="str">
        <f ca="1">IF($B2366="Portfolio","Portfolio",IFERROR(INDEX(DATA_ASSET_CLASSIFICATION!$AB$8:$AB$13,MATCH($N2366,DATA_ASSET_CLASSIFICATION!$AA$8:$AA$13,0)),"Review"))</f>
        <v>Bucket 2 · Legacy</v>
      </c>
      <c r="P2366" s="350" t="str">
        <f>IF($B2366="Portfolio","Portfolio",IFERROR(INDEX(DATA_ASSET_CLASSIFICATION!$C$8:$C$24,MATCH($C2366,DATA_ASSET_CLASSIFICATION!$A$8:$A$24,0)),"Review"))</f>
        <v>Yes</v>
      </c>
      <c r="Q2366" s="350" t="str">
        <f t="shared" ca="1" si="73"/>
        <v>OK</v>
      </c>
    </row>
    <row r="2367" spans="1:17">
      <c r="A2367" s="366" t="s">
        <v>4323</v>
      </c>
      <c r="B2367" s="366" t="s">
        <v>231</v>
      </c>
      <c r="C2367" s="348" t="str">
        <f>DATA_PROPERTY_MASTER!$A$12</f>
        <v>BLD_JP</v>
      </c>
      <c r="D2367" s="380">
        <f>'00_PORTFOLIO ROLLUP'!G$12</f>
        <v>2027</v>
      </c>
      <c r="E2367" s="366" t="s">
        <v>1741</v>
      </c>
      <c r="F2367" s="366" t="s">
        <v>1749</v>
      </c>
      <c r="G2367" s="348" t="str">
        <f>"'"&amp;$C2367&amp;"'!rows 56, 63, 68"</f>
        <v>'BLD_JP'!rows 56, 63, 68</v>
      </c>
      <c r="H2367" s="381">
        <f ca="1">IF(IFERROR(INDEX(DATA_PROPERTY_MASTER!$E$5:$E$21,MATCH($C2367,DATA_PROPERTY_MASTER!$A$5:$A$21,0))="Yes",FALSE),(IFERROR(INDEX(INDIRECT("'"&amp;$C2367&amp;"'!$E$56:$Y$56"),1,MATCH($D2367,INDIRECT("'"&amp;$C2367&amp;"'!$E$12:$Y$12"),0)),0)+MAX(IFERROR(INDEX(INDIRECT("'"&amp;$C2367&amp;"'!$E$63:$Y$63"),1,MATCH($D2367,INDIRECT("'"&amp;$C2367&amp;"'!$E$12:$Y$12"),0)),0),0))-(IFERROR(INDEX(INDIRECT("'"&amp;$C2367&amp;"'!$E$68:$Y$68"),1,MATCH($D2367,INDIRECT("'"&amp;$C2367&amp;"'!$E$12:$Y$12"),0)),0)),0)</f>
        <v>0</v>
      </c>
      <c r="I2367" s="366" t="s">
        <v>1750</v>
      </c>
      <c r="J2367" s="348" t="str">
        <f t="shared" ca="1" si="72"/>
        <v>OK</v>
      </c>
      <c r="K2367" s="366" t="s">
        <v>1751</v>
      </c>
      <c r="L2367" s="366" t="s">
        <v>2266</v>
      </c>
      <c r="M2367" s="350" t="str">
        <f>IF($B2367="Portfolio","Portfolio",IFERROR(INDEX(DATA_ASSET_CLASSIFICATION!$B$8:$B$24,MATCH($C2367,DATA_ASSET_CLASSIFICATION!$A$8:$A$24,0)),"Review"))</f>
        <v>Jessica Place</v>
      </c>
      <c r="N2367" s="350" t="str">
        <f ca="1">IF($B2367="Portfolio","Portfolio",IFERROR(INDEX(DATA_ASSET_CLASSIFICATION!$U$8:$U$24,MATCH($C2367,DATA_ASSET_CLASSIFICATION!$A$8:$A$24,0)),"Review"))</f>
        <v>Refi Watch</v>
      </c>
      <c r="O2367" s="350" t="str">
        <f ca="1">IF($B2367="Portfolio","Portfolio",IFERROR(INDEX(DATA_ASSET_CLASSIFICATION!$AB$8:$AB$13,MATCH($N2367,DATA_ASSET_CLASSIFICATION!$AA$8:$AA$13,0)),"Review"))</f>
        <v>Bucket 2 · Legacy</v>
      </c>
      <c r="P2367" s="350" t="str">
        <f>IF($B2367="Portfolio","Portfolio",IFERROR(INDEX(DATA_ASSET_CLASSIFICATION!$C$8:$C$24,MATCH($C2367,DATA_ASSET_CLASSIFICATION!$A$8:$A$24,0)),"Review"))</f>
        <v>Yes</v>
      </c>
      <c r="Q2367" s="350" t="str">
        <f t="shared" ca="1" si="73"/>
        <v>OK</v>
      </c>
    </row>
    <row r="2368" spans="1:17">
      <c r="A2368" s="366" t="s">
        <v>4324</v>
      </c>
      <c r="B2368" s="366" t="s">
        <v>231</v>
      </c>
      <c r="C2368" s="348" t="str">
        <f>DATA_PROPERTY_MASTER!$A$12</f>
        <v>BLD_JP</v>
      </c>
      <c r="D2368" s="380">
        <f>'00_PORTFOLIO ROLLUP'!H$12</f>
        <v>2028</v>
      </c>
      <c r="E2368" s="366" t="s">
        <v>1683</v>
      </c>
      <c r="F2368" s="366" t="s">
        <v>341</v>
      </c>
      <c r="G2368" s="348" t="str">
        <f>"'"&amp;$C2368&amp;"'!$E$24:$Y$24"</f>
        <v>'BLD_JP'!$E$24:$Y$24</v>
      </c>
      <c r="H2368" s="381">
        <f ca="1">IF(IFERROR(INDEX(DATA_PROPERTY_MASTER!$E$5:$E$21,MATCH($C2368,DATA_PROPERTY_MASTER!$A$5:$A$21,0))="Yes",FALSE),IFERROR(INDEX(INDIRECT("'"&amp;$C2368&amp;"'!$E$24:$Y$24"),1,MATCH($D2368,INDIRECT("'"&amp;$C2368&amp;"'!$E$12:$Y$12"),0)),0),0)</f>
        <v>521851.4111059198</v>
      </c>
      <c r="I2368" s="366" t="s">
        <v>1685</v>
      </c>
      <c r="J2368" s="348" t="str">
        <f t="shared" ca="1" si="72"/>
        <v>OK</v>
      </c>
      <c r="K2368" s="366" t="s">
        <v>1686</v>
      </c>
      <c r="L2368" s="366" t="s">
        <v>2234</v>
      </c>
      <c r="M2368" s="350" t="str">
        <f>IF($B2368="Portfolio","Portfolio",IFERROR(INDEX(DATA_ASSET_CLASSIFICATION!$B$8:$B$24,MATCH($C2368,DATA_ASSET_CLASSIFICATION!$A$8:$A$24,0)),"Review"))</f>
        <v>Jessica Place</v>
      </c>
      <c r="N2368" s="350" t="str">
        <f ca="1">IF($B2368="Portfolio","Portfolio",IFERROR(INDEX(DATA_ASSET_CLASSIFICATION!$U$8:$U$24,MATCH($C2368,DATA_ASSET_CLASSIFICATION!$A$8:$A$24,0)),"Review"))</f>
        <v>Refi Watch</v>
      </c>
      <c r="O2368" s="350" t="str">
        <f ca="1">IF($B2368="Portfolio","Portfolio",IFERROR(INDEX(DATA_ASSET_CLASSIFICATION!$AB$8:$AB$13,MATCH($N2368,DATA_ASSET_CLASSIFICATION!$AA$8:$AA$13,0)),"Review"))</f>
        <v>Bucket 2 · Legacy</v>
      </c>
      <c r="P2368" s="350" t="str">
        <f>IF($B2368="Portfolio","Portfolio",IFERROR(INDEX(DATA_ASSET_CLASSIFICATION!$C$8:$C$24,MATCH($C2368,DATA_ASSET_CLASSIFICATION!$A$8:$A$24,0)),"Review"))</f>
        <v>Yes</v>
      </c>
      <c r="Q2368" s="350" t="str">
        <f t="shared" ca="1" si="73"/>
        <v>OK</v>
      </c>
    </row>
    <row r="2369" spans="1:17">
      <c r="A2369" s="366" t="s">
        <v>4325</v>
      </c>
      <c r="B2369" s="366" t="s">
        <v>231</v>
      </c>
      <c r="C2369" s="348" t="str">
        <f>DATA_PROPERTY_MASTER!$A$12</f>
        <v>BLD_JP</v>
      </c>
      <c r="D2369" s="380">
        <f>'00_PORTFOLIO ROLLUP'!H$12</f>
        <v>2028</v>
      </c>
      <c r="E2369" s="366" t="s">
        <v>1683</v>
      </c>
      <c r="F2369" s="366" t="s">
        <v>355</v>
      </c>
      <c r="G2369" s="348" t="str">
        <f>"'"&amp;$C2369&amp;"'!$E$39:$Y$39"</f>
        <v>'BLD_JP'!$E$39:$Y$39</v>
      </c>
      <c r="H2369" s="381">
        <f ca="1">IF(IFERROR(INDEX(DATA_PROPERTY_MASTER!$E$5:$E$21,MATCH($C2369,DATA_PROPERTY_MASTER!$A$5:$A$21,0))="Yes",FALSE),IFERROR(INDEX(INDIRECT("'"&amp;$C2369&amp;"'!$E$39:$Y$39"),1,MATCH($D2369,INDIRECT("'"&amp;$C2369&amp;"'!$E$12:$Y$12"),0)),0),0)</f>
        <v>286499.48620799999</v>
      </c>
      <c r="I2369" s="366" t="s">
        <v>1690</v>
      </c>
      <c r="J2369" s="348" t="str">
        <f t="shared" ca="1" si="72"/>
        <v>OK</v>
      </c>
      <c r="K2369" s="366" t="s">
        <v>1686</v>
      </c>
      <c r="L2369" s="366" t="s">
        <v>2236</v>
      </c>
      <c r="M2369" s="350" t="str">
        <f>IF($B2369="Portfolio","Portfolio",IFERROR(INDEX(DATA_ASSET_CLASSIFICATION!$B$8:$B$24,MATCH($C2369,DATA_ASSET_CLASSIFICATION!$A$8:$A$24,0)),"Review"))</f>
        <v>Jessica Place</v>
      </c>
      <c r="N2369" s="350" t="str">
        <f ca="1">IF($B2369="Portfolio","Portfolio",IFERROR(INDEX(DATA_ASSET_CLASSIFICATION!$U$8:$U$24,MATCH($C2369,DATA_ASSET_CLASSIFICATION!$A$8:$A$24,0)),"Review"))</f>
        <v>Refi Watch</v>
      </c>
      <c r="O2369" s="350" t="str">
        <f ca="1">IF($B2369="Portfolio","Portfolio",IFERROR(INDEX(DATA_ASSET_CLASSIFICATION!$AB$8:$AB$13,MATCH($N2369,DATA_ASSET_CLASSIFICATION!$AA$8:$AA$13,0)),"Review"))</f>
        <v>Bucket 2 · Legacy</v>
      </c>
      <c r="P2369" s="350" t="str">
        <f>IF($B2369="Portfolio","Portfolio",IFERROR(INDEX(DATA_ASSET_CLASSIFICATION!$C$8:$C$24,MATCH($C2369,DATA_ASSET_CLASSIFICATION!$A$8:$A$24,0)),"Review"))</f>
        <v>Yes</v>
      </c>
      <c r="Q2369" s="350" t="str">
        <f t="shared" ca="1" si="73"/>
        <v>OK</v>
      </c>
    </row>
    <row r="2370" spans="1:17">
      <c r="A2370" s="366" t="s">
        <v>4326</v>
      </c>
      <c r="B2370" s="366" t="s">
        <v>231</v>
      </c>
      <c r="C2370" s="348" t="str">
        <f>DATA_PROPERTY_MASTER!$A$12</f>
        <v>BLD_JP</v>
      </c>
      <c r="D2370" s="380">
        <f>'00_PORTFOLIO ROLLUP'!H$12</f>
        <v>2028</v>
      </c>
      <c r="E2370" s="366" t="s">
        <v>1683</v>
      </c>
      <c r="F2370" s="366" t="s">
        <v>19</v>
      </c>
      <c r="G2370" s="348" t="str">
        <f>"'"&amp;$C2370&amp;"'!$E$41:$Y$41"</f>
        <v>'BLD_JP'!$E$41:$Y$41</v>
      </c>
      <c r="H2370" s="381">
        <f ca="1">IF(IFERROR(INDEX(DATA_PROPERTY_MASTER!$E$5:$E$21,MATCH($C2370,DATA_PROPERTY_MASTER!$A$5:$A$21,0))="Yes",FALSE),IFERROR(INDEX(INDIRECT("'"&amp;$C2370&amp;"'!$E$41:$Y$41"),1,MATCH($D2370,INDIRECT("'"&amp;$C2370&amp;"'!$E$12:$Y$12"),0)),0),0)</f>
        <v>235351.92489791982</v>
      </c>
      <c r="I2370" s="366" t="s">
        <v>1685</v>
      </c>
      <c r="J2370" s="348" t="str">
        <f t="shared" ca="1" si="72"/>
        <v>OK</v>
      </c>
      <c r="K2370" s="366" t="s">
        <v>1694</v>
      </c>
      <c r="L2370" s="366" t="s">
        <v>2238</v>
      </c>
      <c r="M2370" s="350" t="str">
        <f>IF($B2370="Portfolio","Portfolio",IFERROR(INDEX(DATA_ASSET_CLASSIFICATION!$B$8:$B$24,MATCH($C2370,DATA_ASSET_CLASSIFICATION!$A$8:$A$24,0)),"Review"))</f>
        <v>Jessica Place</v>
      </c>
      <c r="N2370" s="350" t="str">
        <f ca="1">IF($B2370="Portfolio","Portfolio",IFERROR(INDEX(DATA_ASSET_CLASSIFICATION!$U$8:$U$24,MATCH($C2370,DATA_ASSET_CLASSIFICATION!$A$8:$A$24,0)),"Review"))</f>
        <v>Refi Watch</v>
      </c>
      <c r="O2370" s="350" t="str">
        <f ca="1">IF($B2370="Portfolio","Portfolio",IFERROR(INDEX(DATA_ASSET_CLASSIFICATION!$AB$8:$AB$13,MATCH($N2370,DATA_ASSET_CLASSIFICATION!$AA$8:$AA$13,0)),"Review"))</f>
        <v>Bucket 2 · Legacy</v>
      </c>
      <c r="P2370" s="350" t="str">
        <f>IF($B2370="Portfolio","Portfolio",IFERROR(INDEX(DATA_ASSET_CLASSIFICATION!$C$8:$C$24,MATCH($C2370,DATA_ASSET_CLASSIFICATION!$A$8:$A$24,0)),"Review"))</f>
        <v>Yes</v>
      </c>
      <c r="Q2370" s="350" t="str">
        <f t="shared" ca="1" si="73"/>
        <v>OK</v>
      </c>
    </row>
    <row r="2371" spans="1:17">
      <c r="A2371" s="366" t="s">
        <v>4327</v>
      </c>
      <c r="B2371" s="366" t="s">
        <v>231</v>
      </c>
      <c r="C2371" s="348" t="str">
        <f>DATA_PROPERTY_MASTER!$A$12</f>
        <v>BLD_JP</v>
      </c>
      <c r="D2371" s="380">
        <f>'00_PORTFOLIO ROLLUP'!H$12</f>
        <v>2028</v>
      </c>
      <c r="E2371" s="366" t="s">
        <v>1683</v>
      </c>
      <c r="F2371" s="366" t="s">
        <v>1697</v>
      </c>
      <c r="G2371" s="348" t="str">
        <f>"'"&amp;$C2371&amp;"'!$E$44:$Y$44"</f>
        <v>'BLD_JP'!$E$44:$Y$44</v>
      </c>
      <c r="H2371" s="381">
        <f ca="1">IF(IFERROR(INDEX(DATA_PROPERTY_MASTER!$E$5:$E$21,MATCH($C2371,DATA_PROPERTY_MASTER!$A$5:$A$21,0))="Yes",FALSE),IFERROR(INDEX(INDIRECT("'"&amp;$C2371&amp;"'!$E$44:$Y$44"),1,MATCH($D2371,INDIRECT("'"&amp;$C2371&amp;"'!$E$12:$Y$12"),0)),0),0)</f>
        <v>6367.2479999999996</v>
      </c>
      <c r="I2371" s="366" t="s">
        <v>1690</v>
      </c>
      <c r="J2371" s="348" t="str">
        <f t="shared" ca="1" si="72"/>
        <v>OK</v>
      </c>
      <c r="K2371" s="366" t="s">
        <v>1699</v>
      </c>
      <c r="L2371" s="366" t="s">
        <v>2240</v>
      </c>
      <c r="M2371" s="350" t="str">
        <f>IF($B2371="Portfolio","Portfolio",IFERROR(INDEX(DATA_ASSET_CLASSIFICATION!$B$8:$B$24,MATCH($C2371,DATA_ASSET_CLASSIFICATION!$A$8:$A$24,0)),"Review"))</f>
        <v>Jessica Place</v>
      </c>
      <c r="N2371" s="350" t="str">
        <f ca="1">IF($B2371="Portfolio","Portfolio",IFERROR(INDEX(DATA_ASSET_CLASSIFICATION!$U$8:$U$24,MATCH($C2371,DATA_ASSET_CLASSIFICATION!$A$8:$A$24,0)),"Review"))</f>
        <v>Refi Watch</v>
      </c>
      <c r="O2371" s="350" t="str">
        <f ca="1">IF($B2371="Portfolio","Portfolio",IFERROR(INDEX(DATA_ASSET_CLASSIFICATION!$AB$8:$AB$13,MATCH($N2371,DATA_ASSET_CLASSIFICATION!$AA$8:$AA$13,0)),"Review"))</f>
        <v>Bucket 2 · Legacy</v>
      </c>
      <c r="P2371" s="350" t="str">
        <f>IF($B2371="Portfolio","Portfolio",IFERROR(INDEX(DATA_ASSET_CLASSIFICATION!$C$8:$C$24,MATCH($C2371,DATA_ASSET_CLASSIFICATION!$A$8:$A$24,0)),"Review"))</f>
        <v>Yes</v>
      </c>
      <c r="Q2371" s="350" t="str">
        <f t="shared" ca="1" si="73"/>
        <v>OK</v>
      </c>
    </row>
    <row r="2372" spans="1:17">
      <c r="A2372" s="366" t="s">
        <v>4328</v>
      </c>
      <c r="B2372" s="366" t="s">
        <v>231</v>
      </c>
      <c r="C2372" s="348" t="str">
        <f>DATA_PROPERTY_MASTER!$A$12</f>
        <v>BLD_JP</v>
      </c>
      <c r="D2372" s="380">
        <f>'00_PORTFOLIO ROLLUP'!H$12</f>
        <v>2028</v>
      </c>
      <c r="E2372" s="366" t="s">
        <v>1683</v>
      </c>
      <c r="F2372" s="366" t="s">
        <v>21</v>
      </c>
      <c r="G2372" s="348" t="str">
        <f>"'"&amp;$C2372&amp;"'!$E$45:$Y$45"</f>
        <v>'BLD_JP'!$E$45:$Y$45</v>
      </c>
      <c r="H2372" s="381">
        <f ca="1">IF(IFERROR(INDEX(DATA_PROPERTY_MASTER!$E$5:$E$21,MATCH($C2372,DATA_PROPERTY_MASTER!$A$5:$A$21,0))="Yes",FALSE),IFERROR(INDEX(INDIRECT("'"&amp;$C2372&amp;"'!$E$45:$Y$45"),1,MATCH($D2372,INDIRECT("'"&amp;$C2372&amp;"'!$E$12:$Y$12"),0)),0),0)</f>
        <v>228984.67689791982</v>
      </c>
      <c r="I2372" s="366" t="s">
        <v>1685</v>
      </c>
      <c r="J2372" s="348" t="str">
        <f t="shared" ca="1" si="72"/>
        <v>OK</v>
      </c>
      <c r="K2372" s="366" t="s">
        <v>1694</v>
      </c>
      <c r="L2372" s="366" t="s">
        <v>2242</v>
      </c>
      <c r="M2372" s="350" t="str">
        <f>IF($B2372="Portfolio","Portfolio",IFERROR(INDEX(DATA_ASSET_CLASSIFICATION!$B$8:$B$24,MATCH($C2372,DATA_ASSET_CLASSIFICATION!$A$8:$A$24,0)),"Review"))</f>
        <v>Jessica Place</v>
      </c>
      <c r="N2372" s="350" t="str">
        <f ca="1">IF($B2372="Portfolio","Portfolio",IFERROR(INDEX(DATA_ASSET_CLASSIFICATION!$U$8:$U$24,MATCH($C2372,DATA_ASSET_CLASSIFICATION!$A$8:$A$24,0)),"Review"))</f>
        <v>Refi Watch</v>
      </c>
      <c r="O2372" s="350" t="str">
        <f ca="1">IF($B2372="Portfolio","Portfolio",IFERROR(INDEX(DATA_ASSET_CLASSIFICATION!$AB$8:$AB$13,MATCH($N2372,DATA_ASSET_CLASSIFICATION!$AA$8:$AA$13,0)),"Review"))</f>
        <v>Bucket 2 · Legacy</v>
      </c>
      <c r="P2372" s="350" t="str">
        <f>IF($B2372="Portfolio","Portfolio",IFERROR(INDEX(DATA_ASSET_CLASSIFICATION!$C$8:$C$24,MATCH($C2372,DATA_ASSET_CLASSIFICATION!$A$8:$A$24,0)),"Review"))</f>
        <v>Yes</v>
      </c>
      <c r="Q2372" s="350" t="str">
        <f t="shared" ca="1" si="73"/>
        <v>OK</v>
      </c>
    </row>
    <row r="2373" spans="1:17">
      <c r="A2373" s="366" t="s">
        <v>4329</v>
      </c>
      <c r="B2373" s="366" t="s">
        <v>231</v>
      </c>
      <c r="C2373" s="348" t="str">
        <f>DATA_PROPERTY_MASTER!$A$12</f>
        <v>BLD_JP</v>
      </c>
      <c r="D2373" s="380">
        <f>'00_PORTFOLIO ROLLUP'!H$12</f>
        <v>2028</v>
      </c>
      <c r="E2373" s="366" t="s">
        <v>23</v>
      </c>
      <c r="F2373" s="366" t="s">
        <v>23</v>
      </c>
      <c r="G2373" s="348" t="str">
        <f>"'"&amp;$C2373&amp;"'!$E$48:$Y$48"</f>
        <v>'BLD_JP'!$E$48:$Y$48</v>
      </c>
      <c r="H2373" s="381">
        <f ca="1">IF(IFERROR(INDEX(DATA_PROPERTY_MASTER!$E$5:$E$21,MATCH($C2373,DATA_PROPERTY_MASTER!$A$5:$A$21,0))="Yes",FALSE),IFERROR(INDEX(INDIRECT("'"&amp;$C2373&amp;"'!$E$48:$Y$48"),1,MATCH($D2373,INDIRECT("'"&amp;$C2373&amp;"'!$E$12:$Y$12"),0)),0),0)</f>
        <v>0</v>
      </c>
      <c r="I2373" s="366" t="s">
        <v>1690</v>
      </c>
      <c r="J2373" s="348" t="str">
        <f t="shared" ref="J2373:J2436" ca="1" si="74">IF($F2373="Residual Funding Gap",IF($H2373&gt;0,"Funding Gap","OK"),IF(AND($F2373="Net Refinance Position",$H2373&lt;0),"Negative net refi position","OK"))</f>
        <v>OK</v>
      </c>
      <c r="K2373" s="366" t="s">
        <v>1706</v>
      </c>
      <c r="L2373" s="366" t="s">
        <v>2244</v>
      </c>
      <c r="M2373" s="350" t="str">
        <f>IF($B2373="Portfolio","Portfolio",IFERROR(INDEX(DATA_ASSET_CLASSIFICATION!$B$8:$B$24,MATCH($C2373,DATA_ASSET_CLASSIFICATION!$A$8:$A$24,0)),"Review"))</f>
        <v>Jessica Place</v>
      </c>
      <c r="N2373" s="350" t="str">
        <f ca="1">IF($B2373="Portfolio","Portfolio",IFERROR(INDEX(DATA_ASSET_CLASSIFICATION!$U$8:$U$24,MATCH($C2373,DATA_ASSET_CLASSIFICATION!$A$8:$A$24,0)),"Review"))</f>
        <v>Refi Watch</v>
      </c>
      <c r="O2373" s="350" t="str">
        <f ca="1">IF($B2373="Portfolio","Portfolio",IFERROR(INDEX(DATA_ASSET_CLASSIFICATION!$AB$8:$AB$13,MATCH($N2373,DATA_ASSET_CLASSIFICATION!$AA$8:$AA$13,0)),"Review"))</f>
        <v>Bucket 2 · Legacy</v>
      </c>
      <c r="P2373" s="350" t="str">
        <f>IF($B2373="Portfolio","Portfolio",IFERROR(INDEX(DATA_ASSET_CLASSIFICATION!$C$8:$C$24,MATCH($C2373,DATA_ASSET_CLASSIFICATION!$A$8:$A$24,0)),"Review"))</f>
        <v>Yes</v>
      </c>
      <c r="Q2373" s="350" t="str">
        <f t="shared" ref="Q2373:Q2436" ca="1" si="75">IF(AND($B2373="Property",$F2373="Residual Funding Gap",$H2373&gt;0),"Property Funding Gap",IF($J2373&lt;&gt;"OK",$J2373,"OK"))</f>
        <v>OK</v>
      </c>
    </row>
    <row r="2374" spans="1:17">
      <c r="A2374" s="366" t="s">
        <v>4330</v>
      </c>
      <c r="B2374" s="366" t="s">
        <v>231</v>
      </c>
      <c r="C2374" s="348" t="str">
        <f>DATA_PROPERTY_MASTER!$A$12</f>
        <v>BLD_JP</v>
      </c>
      <c r="D2374" s="380">
        <f>'00_PORTFOLIO ROLLUP'!H$12</f>
        <v>2028</v>
      </c>
      <c r="E2374" s="366" t="s">
        <v>1683</v>
      </c>
      <c r="F2374" s="366" t="s">
        <v>25</v>
      </c>
      <c r="G2374" s="348" t="str">
        <f>"'"&amp;$C2374&amp;"'!$E$52:$Y$52"</f>
        <v>'BLD_JP'!$E$52:$Y$52</v>
      </c>
      <c r="H2374" s="381">
        <f ca="1">IF(IFERROR(INDEX(DATA_PROPERTY_MASTER!$E$5:$E$21,MATCH($C2374,DATA_PROPERTY_MASTER!$A$5:$A$21,0))="Yes",FALSE),IFERROR(INDEX(INDIRECT("'"&amp;$C2374&amp;"'!$E$52:$Y$52"),1,MATCH($D2374,INDIRECT("'"&amp;$C2374&amp;"'!$E$12:$Y$12"),0)),0),0)</f>
        <v>235351.92489791982</v>
      </c>
      <c r="I2374" s="366" t="s">
        <v>1685</v>
      </c>
      <c r="J2374" s="348" t="str">
        <f t="shared" ca="1" si="74"/>
        <v>OK</v>
      </c>
      <c r="K2374" s="366" t="s">
        <v>1710</v>
      </c>
      <c r="L2374" s="366" t="s">
        <v>2246</v>
      </c>
      <c r="M2374" s="350" t="str">
        <f>IF($B2374="Portfolio","Portfolio",IFERROR(INDEX(DATA_ASSET_CLASSIFICATION!$B$8:$B$24,MATCH($C2374,DATA_ASSET_CLASSIFICATION!$A$8:$A$24,0)),"Review"))</f>
        <v>Jessica Place</v>
      </c>
      <c r="N2374" s="350" t="str">
        <f ca="1">IF($B2374="Portfolio","Portfolio",IFERROR(INDEX(DATA_ASSET_CLASSIFICATION!$U$8:$U$24,MATCH($C2374,DATA_ASSET_CLASSIFICATION!$A$8:$A$24,0)),"Review"))</f>
        <v>Refi Watch</v>
      </c>
      <c r="O2374" s="350" t="str">
        <f ca="1">IF($B2374="Portfolio","Portfolio",IFERROR(INDEX(DATA_ASSET_CLASSIFICATION!$AB$8:$AB$13,MATCH($N2374,DATA_ASSET_CLASSIFICATION!$AA$8:$AA$13,0)),"Review"))</f>
        <v>Bucket 2 · Legacy</v>
      </c>
      <c r="P2374" s="350" t="str">
        <f>IF($B2374="Portfolio","Portfolio",IFERROR(INDEX(DATA_ASSET_CLASSIFICATION!$C$8:$C$24,MATCH($C2374,DATA_ASSET_CLASSIFICATION!$A$8:$A$24,0)),"Review"))</f>
        <v>Yes</v>
      </c>
      <c r="Q2374" s="350" t="str">
        <f t="shared" ca="1" si="75"/>
        <v>OK</v>
      </c>
    </row>
    <row r="2375" spans="1:17">
      <c r="A2375" s="366" t="s">
        <v>4331</v>
      </c>
      <c r="B2375" s="366" t="s">
        <v>231</v>
      </c>
      <c r="C2375" s="348" t="str">
        <f>DATA_PROPERTY_MASTER!$A$12</f>
        <v>BLD_JP</v>
      </c>
      <c r="D2375" s="380">
        <f>'00_PORTFOLIO ROLLUP'!H$12</f>
        <v>2028</v>
      </c>
      <c r="E2375" s="366" t="s">
        <v>1683</v>
      </c>
      <c r="F2375" s="366" t="s">
        <v>27</v>
      </c>
      <c r="G2375" s="348" t="str">
        <f>"'"&amp;$C2375&amp;"'!$E$54:$Y$54"</f>
        <v>'BLD_JP'!$E$54:$Y$54</v>
      </c>
      <c r="H2375" s="381">
        <f ca="1">IF(IFERROR(INDEX(DATA_PROPERTY_MASTER!$E$5:$E$21,MATCH($C2375,DATA_PROPERTY_MASTER!$A$5:$A$21,0))="Yes",FALSE),IFERROR(INDEX(INDIRECT("'"&amp;$C2375&amp;"'!$E$54:$Y$54"),1,MATCH($D2375,INDIRECT("'"&amp;$C2375&amp;"'!$E$12:$Y$12"),0)),0),0)</f>
        <v>141211.15493875189</v>
      </c>
      <c r="I2375" s="366" t="s">
        <v>1690</v>
      </c>
      <c r="J2375" s="348" t="str">
        <f t="shared" ca="1" si="74"/>
        <v>OK</v>
      </c>
      <c r="K2375" s="366" t="s">
        <v>1714</v>
      </c>
      <c r="L2375" s="366" t="s">
        <v>2248</v>
      </c>
      <c r="M2375" s="350" t="str">
        <f>IF($B2375="Portfolio","Portfolio",IFERROR(INDEX(DATA_ASSET_CLASSIFICATION!$B$8:$B$24,MATCH($C2375,DATA_ASSET_CLASSIFICATION!$A$8:$A$24,0)),"Review"))</f>
        <v>Jessica Place</v>
      </c>
      <c r="N2375" s="350" t="str">
        <f ca="1">IF($B2375="Portfolio","Portfolio",IFERROR(INDEX(DATA_ASSET_CLASSIFICATION!$U$8:$U$24,MATCH($C2375,DATA_ASSET_CLASSIFICATION!$A$8:$A$24,0)),"Review"))</f>
        <v>Refi Watch</v>
      </c>
      <c r="O2375" s="350" t="str">
        <f ca="1">IF($B2375="Portfolio","Portfolio",IFERROR(INDEX(DATA_ASSET_CLASSIFICATION!$AB$8:$AB$13,MATCH($N2375,DATA_ASSET_CLASSIFICATION!$AA$8:$AA$13,0)),"Review"))</f>
        <v>Bucket 2 · Legacy</v>
      </c>
      <c r="P2375" s="350" t="str">
        <f>IF($B2375="Portfolio","Portfolio",IFERROR(INDEX(DATA_ASSET_CLASSIFICATION!$C$8:$C$24,MATCH($C2375,DATA_ASSET_CLASSIFICATION!$A$8:$A$24,0)),"Review"))</f>
        <v>Yes</v>
      </c>
      <c r="Q2375" s="350" t="str">
        <f t="shared" ca="1" si="75"/>
        <v>OK</v>
      </c>
    </row>
    <row r="2376" spans="1:17">
      <c r="A2376" s="366" t="s">
        <v>4332</v>
      </c>
      <c r="B2376" s="366" t="s">
        <v>231</v>
      </c>
      <c r="C2376" s="348" t="str">
        <f>DATA_PROPERTY_MASTER!$A$12</f>
        <v>BLD_JP</v>
      </c>
      <c r="D2376" s="380">
        <f>'00_PORTFOLIO ROLLUP'!H$12</f>
        <v>2028</v>
      </c>
      <c r="E2376" s="366" t="s">
        <v>1683</v>
      </c>
      <c r="F2376" s="366" t="s">
        <v>29</v>
      </c>
      <c r="G2376" s="348" t="str">
        <f>"'"&amp;$C2376&amp;"'!$E$56:$Y$56"</f>
        <v>'BLD_JP'!$E$56:$Y$56</v>
      </c>
      <c r="H2376" s="381">
        <f ca="1">IF(IFERROR(INDEX(DATA_PROPERTY_MASTER!$E$5:$E$21,MATCH($C2376,DATA_PROPERTY_MASTER!$A$5:$A$21,0))="Yes",FALSE),IFERROR(INDEX(INDIRECT("'"&amp;$C2376&amp;"'!$E$56:$Y$56"),1,MATCH($D2376,INDIRECT("'"&amp;$C2376&amp;"'!$E$12:$Y$12"),0)),0),0)</f>
        <v>94140.769959167927</v>
      </c>
      <c r="I2376" s="366" t="s">
        <v>1685</v>
      </c>
      <c r="J2376" s="348" t="str">
        <f t="shared" ca="1" si="74"/>
        <v>OK</v>
      </c>
      <c r="K2376" s="366" t="s">
        <v>1718</v>
      </c>
      <c r="L2376" s="366" t="s">
        <v>2250</v>
      </c>
      <c r="M2376" s="350" t="str">
        <f>IF($B2376="Portfolio","Portfolio",IFERROR(INDEX(DATA_ASSET_CLASSIFICATION!$B$8:$B$24,MATCH($C2376,DATA_ASSET_CLASSIFICATION!$A$8:$A$24,0)),"Review"))</f>
        <v>Jessica Place</v>
      </c>
      <c r="N2376" s="350" t="str">
        <f ca="1">IF($B2376="Portfolio","Portfolio",IFERROR(INDEX(DATA_ASSET_CLASSIFICATION!$U$8:$U$24,MATCH($C2376,DATA_ASSET_CLASSIFICATION!$A$8:$A$24,0)),"Review"))</f>
        <v>Refi Watch</v>
      </c>
      <c r="O2376" s="350" t="str">
        <f ca="1">IF($B2376="Portfolio","Portfolio",IFERROR(INDEX(DATA_ASSET_CLASSIFICATION!$AB$8:$AB$13,MATCH($N2376,DATA_ASSET_CLASSIFICATION!$AA$8:$AA$13,0)),"Review"))</f>
        <v>Bucket 2 · Legacy</v>
      </c>
      <c r="P2376" s="350" t="str">
        <f>IF($B2376="Portfolio","Portfolio",IFERROR(INDEX(DATA_ASSET_CLASSIFICATION!$C$8:$C$24,MATCH($C2376,DATA_ASSET_CLASSIFICATION!$A$8:$A$24,0)),"Review"))</f>
        <v>Yes</v>
      </c>
      <c r="Q2376" s="350" t="str">
        <f t="shared" ca="1" si="75"/>
        <v>OK</v>
      </c>
    </row>
    <row r="2377" spans="1:17">
      <c r="A2377" s="366" t="s">
        <v>4333</v>
      </c>
      <c r="B2377" s="366" t="s">
        <v>231</v>
      </c>
      <c r="C2377" s="348" t="str">
        <f>DATA_PROPERTY_MASTER!$A$12</f>
        <v>BLD_JP</v>
      </c>
      <c r="D2377" s="380">
        <f>'00_PORTFOLIO ROLLUP'!H$12</f>
        <v>2028</v>
      </c>
      <c r="E2377" s="366" t="s">
        <v>1721</v>
      </c>
      <c r="F2377" s="366" t="s">
        <v>31</v>
      </c>
      <c r="G2377" s="348" t="str">
        <f>"'"&amp;$C2377&amp;"'!$E$61:$Y$61"</f>
        <v>'BLD_JP'!$E$61:$Y$61</v>
      </c>
      <c r="H2377" s="381">
        <f ca="1">IF(IFERROR(INDEX(DATA_PROPERTY_MASTER!$E$5:$E$21,MATCH($C2377,DATA_PROPERTY_MASTER!$A$5:$A$21,0))="Yes",FALSE),IFERROR(INDEX(INDIRECT("'"&amp;$C2377&amp;"'!$E$61:$Y$61"),1,MATCH($D2377,INDIRECT("'"&amp;$C2377&amp;"'!$E$12:$Y$12"),0)),0),0)</f>
        <v>0</v>
      </c>
      <c r="I2377" s="366" t="s">
        <v>1690</v>
      </c>
      <c r="J2377" s="348" t="str">
        <f t="shared" ca="1" si="74"/>
        <v>OK</v>
      </c>
      <c r="K2377" s="366" t="s">
        <v>1723</v>
      </c>
      <c r="L2377" s="366" t="s">
        <v>2252</v>
      </c>
      <c r="M2377" s="350" t="str">
        <f>IF($B2377="Portfolio","Portfolio",IFERROR(INDEX(DATA_ASSET_CLASSIFICATION!$B$8:$B$24,MATCH($C2377,DATA_ASSET_CLASSIFICATION!$A$8:$A$24,0)),"Review"))</f>
        <v>Jessica Place</v>
      </c>
      <c r="N2377" s="350" t="str">
        <f ca="1">IF($B2377="Portfolio","Portfolio",IFERROR(INDEX(DATA_ASSET_CLASSIFICATION!$U$8:$U$24,MATCH($C2377,DATA_ASSET_CLASSIFICATION!$A$8:$A$24,0)),"Review"))</f>
        <v>Refi Watch</v>
      </c>
      <c r="O2377" s="350" t="str">
        <f ca="1">IF($B2377="Portfolio","Portfolio",IFERROR(INDEX(DATA_ASSET_CLASSIFICATION!$AB$8:$AB$13,MATCH($N2377,DATA_ASSET_CLASSIFICATION!$AA$8:$AA$13,0)),"Review"))</f>
        <v>Bucket 2 · Legacy</v>
      </c>
      <c r="P2377" s="350" t="str">
        <f>IF($B2377="Portfolio","Portfolio",IFERROR(INDEX(DATA_ASSET_CLASSIFICATION!$C$8:$C$24,MATCH($C2377,DATA_ASSET_CLASSIFICATION!$A$8:$A$24,0)),"Review"))</f>
        <v>Yes</v>
      </c>
      <c r="Q2377" s="350" t="str">
        <f t="shared" ca="1" si="75"/>
        <v>OK</v>
      </c>
    </row>
    <row r="2378" spans="1:17">
      <c r="A2378" s="366" t="s">
        <v>4334</v>
      </c>
      <c r="B2378" s="366" t="s">
        <v>231</v>
      </c>
      <c r="C2378" s="348" t="str">
        <f>DATA_PROPERTY_MASTER!$A$12</f>
        <v>BLD_JP</v>
      </c>
      <c r="D2378" s="380">
        <f>'00_PORTFOLIO ROLLUP'!H$12</f>
        <v>2028</v>
      </c>
      <c r="E2378" s="366" t="s">
        <v>1721</v>
      </c>
      <c r="F2378" s="366" t="s">
        <v>33</v>
      </c>
      <c r="G2378" s="348" t="str">
        <f>"'"&amp;$C2378&amp;"'!$E$62:$Y$62"</f>
        <v>'BLD_JP'!$E$62:$Y$62</v>
      </c>
      <c r="H2378" s="381">
        <f ca="1">IF(IFERROR(INDEX(DATA_PROPERTY_MASTER!$E$5:$E$21,MATCH($C2378,DATA_PROPERTY_MASTER!$A$5:$A$21,0))="Yes",FALSE),IFERROR(INDEX(INDIRECT("'"&amp;$C2378&amp;"'!$E$62:$Y$62"),1,MATCH($D2378,INDIRECT("'"&amp;$C2378&amp;"'!$E$12:$Y$12"),0)),0),0)</f>
        <v>0</v>
      </c>
      <c r="I2378" s="366" t="s">
        <v>1685</v>
      </c>
      <c r="J2378" s="348" t="str">
        <f t="shared" ca="1" si="74"/>
        <v>OK</v>
      </c>
      <c r="K2378" s="366" t="s">
        <v>1727</v>
      </c>
      <c r="L2378" s="366" t="s">
        <v>2254</v>
      </c>
      <c r="M2378" s="350" t="str">
        <f>IF($B2378="Portfolio","Portfolio",IFERROR(INDEX(DATA_ASSET_CLASSIFICATION!$B$8:$B$24,MATCH($C2378,DATA_ASSET_CLASSIFICATION!$A$8:$A$24,0)),"Review"))</f>
        <v>Jessica Place</v>
      </c>
      <c r="N2378" s="350" t="str">
        <f ca="1">IF($B2378="Portfolio","Portfolio",IFERROR(INDEX(DATA_ASSET_CLASSIFICATION!$U$8:$U$24,MATCH($C2378,DATA_ASSET_CLASSIFICATION!$A$8:$A$24,0)),"Review"))</f>
        <v>Refi Watch</v>
      </c>
      <c r="O2378" s="350" t="str">
        <f ca="1">IF($B2378="Portfolio","Portfolio",IFERROR(INDEX(DATA_ASSET_CLASSIFICATION!$AB$8:$AB$13,MATCH($N2378,DATA_ASSET_CLASSIFICATION!$AA$8:$AA$13,0)),"Review"))</f>
        <v>Bucket 2 · Legacy</v>
      </c>
      <c r="P2378" s="350" t="str">
        <f>IF($B2378="Portfolio","Portfolio",IFERROR(INDEX(DATA_ASSET_CLASSIFICATION!$C$8:$C$24,MATCH($C2378,DATA_ASSET_CLASSIFICATION!$A$8:$A$24,0)),"Review"))</f>
        <v>Yes</v>
      </c>
      <c r="Q2378" s="350" t="str">
        <f t="shared" ca="1" si="75"/>
        <v>OK</v>
      </c>
    </row>
    <row r="2379" spans="1:17">
      <c r="A2379" s="366" t="s">
        <v>4335</v>
      </c>
      <c r="B2379" s="366" t="s">
        <v>231</v>
      </c>
      <c r="C2379" s="348" t="str">
        <f>DATA_PROPERTY_MASTER!$A$12</f>
        <v>BLD_JP</v>
      </c>
      <c r="D2379" s="380">
        <f>'00_PORTFOLIO ROLLUP'!H$12</f>
        <v>2028</v>
      </c>
      <c r="E2379" s="366" t="s">
        <v>1721</v>
      </c>
      <c r="F2379" s="366" t="s">
        <v>35</v>
      </c>
      <c r="G2379" s="348" t="str">
        <f>"'"&amp;$C2379&amp;"'!$E$63:$Y$63"</f>
        <v>'BLD_JP'!$E$63:$Y$63</v>
      </c>
      <c r="H2379" s="381">
        <f ca="1">IF(IFERROR(INDEX(DATA_PROPERTY_MASTER!$E$5:$E$21,MATCH($C2379,DATA_PROPERTY_MASTER!$A$5:$A$21,0))="Yes",FALSE),IFERROR(INDEX(INDIRECT("'"&amp;$C2379&amp;"'!$E$63:$Y$63"),1,MATCH($D2379,INDIRECT("'"&amp;$C2379&amp;"'!$E$12:$Y$12"),0)),0),0)</f>
        <v>0</v>
      </c>
      <c r="I2379" s="366" t="s">
        <v>1731</v>
      </c>
      <c r="J2379" s="348" t="str">
        <f t="shared" ca="1" si="74"/>
        <v>OK</v>
      </c>
      <c r="K2379" s="366" t="s">
        <v>1732</v>
      </c>
      <c r="L2379" s="366" t="s">
        <v>2256</v>
      </c>
      <c r="M2379" s="350" t="str">
        <f>IF($B2379="Portfolio","Portfolio",IFERROR(INDEX(DATA_ASSET_CLASSIFICATION!$B$8:$B$24,MATCH($C2379,DATA_ASSET_CLASSIFICATION!$A$8:$A$24,0)),"Review"))</f>
        <v>Jessica Place</v>
      </c>
      <c r="N2379" s="350" t="str">
        <f ca="1">IF($B2379="Portfolio","Portfolio",IFERROR(INDEX(DATA_ASSET_CLASSIFICATION!$U$8:$U$24,MATCH($C2379,DATA_ASSET_CLASSIFICATION!$A$8:$A$24,0)),"Review"))</f>
        <v>Refi Watch</v>
      </c>
      <c r="O2379" s="350" t="str">
        <f ca="1">IF($B2379="Portfolio","Portfolio",IFERROR(INDEX(DATA_ASSET_CLASSIFICATION!$AB$8:$AB$13,MATCH($N2379,DATA_ASSET_CLASSIFICATION!$AA$8:$AA$13,0)),"Review"))</f>
        <v>Bucket 2 · Legacy</v>
      </c>
      <c r="P2379" s="350" t="str">
        <f>IF($B2379="Portfolio","Portfolio",IFERROR(INDEX(DATA_ASSET_CLASSIFICATION!$C$8:$C$24,MATCH($C2379,DATA_ASSET_CLASSIFICATION!$A$8:$A$24,0)),"Review"))</f>
        <v>Yes</v>
      </c>
      <c r="Q2379" s="350" t="str">
        <f t="shared" ca="1" si="75"/>
        <v>OK</v>
      </c>
    </row>
    <row r="2380" spans="1:17">
      <c r="A2380" s="366" t="s">
        <v>4336</v>
      </c>
      <c r="B2380" s="366" t="s">
        <v>231</v>
      </c>
      <c r="C2380" s="348" t="str">
        <f>DATA_PROPERTY_MASTER!$A$12</f>
        <v>BLD_JP</v>
      </c>
      <c r="D2380" s="380">
        <f>'00_PORTFOLIO ROLLUP'!H$12</f>
        <v>2028</v>
      </c>
      <c r="E2380" s="366" t="s">
        <v>1721</v>
      </c>
      <c r="F2380" s="366" t="s">
        <v>37</v>
      </c>
      <c r="G2380" s="348" t="str">
        <f>"'"&amp;$C2380&amp;"'!$E$63:$Y$63"</f>
        <v>'BLD_JP'!$E$63:$Y$63</v>
      </c>
      <c r="H2380" s="381">
        <f ca="1">IF(IFERROR(INDEX(DATA_PROPERTY_MASTER!$E$5:$E$21,MATCH($C2380,DATA_PROPERTY_MASTER!$A$5:$A$21,0))="Yes",FALSE),MAX(IFERROR(INDEX(INDIRECT("'"&amp;$C2380&amp;"'!$E$63:$Y$63"),1,MATCH($D2380,INDIRECT("'"&amp;$C2380&amp;"'!$E$12:$Y$12"),0)),0),0),0)</f>
        <v>0</v>
      </c>
      <c r="I2380" s="366" t="s">
        <v>1685</v>
      </c>
      <c r="J2380" s="348" t="str">
        <f t="shared" ca="1" si="74"/>
        <v>OK</v>
      </c>
      <c r="K2380" s="366" t="s">
        <v>1735</v>
      </c>
      <c r="L2380" s="366" t="s">
        <v>2258</v>
      </c>
      <c r="M2380" s="350" t="str">
        <f>IF($B2380="Portfolio","Portfolio",IFERROR(INDEX(DATA_ASSET_CLASSIFICATION!$B$8:$B$24,MATCH($C2380,DATA_ASSET_CLASSIFICATION!$A$8:$A$24,0)),"Review"))</f>
        <v>Jessica Place</v>
      </c>
      <c r="N2380" s="350" t="str">
        <f ca="1">IF($B2380="Portfolio","Portfolio",IFERROR(INDEX(DATA_ASSET_CLASSIFICATION!$U$8:$U$24,MATCH($C2380,DATA_ASSET_CLASSIFICATION!$A$8:$A$24,0)),"Review"))</f>
        <v>Refi Watch</v>
      </c>
      <c r="O2380" s="350" t="str">
        <f ca="1">IF($B2380="Portfolio","Portfolio",IFERROR(INDEX(DATA_ASSET_CLASSIFICATION!$AB$8:$AB$13,MATCH($N2380,DATA_ASSET_CLASSIFICATION!$AA$8:$AA$13,0)),"Review"))</f>
        <v>Bucket 2 · Legacy</v>
      </c>
      <c r="P2380" s="350" t="str">
        <f>IF($B2380="Portfolio","Portfolio",IFERROR(INDEX(DATA_ASSET_CLASSIFICATION!$C$8:$C$24,MATCH($C2380,DATA_ASSET_CLASSIFICATION!$A$8:$A$24,0)),"Review"))</f>
        <v>Yes</v>
      </c>
      <c r="Q2380" s="350" t="str">
        <f t="shared" ca="1" si="75"/>
        <v>OK</v>
      </c>
    </row>
    <row r="2381" spans="1:17">
      <c r="A2381" s="366" t="s">
        <v>4337</v>
      </c>
      <c r="B2381" s="366" t="s">
        <v>231</v>
      </c>
      <c r="C2381" s="348" t="str">
        <f>DATA_PROPERTY_MASTER!$A$12</f>
        <v>BLD_JP</v>
      </c>
      <c r="D2381" s="380">
        <f>'00_PORTFOLIO ROLLUP'!H$12</f>
        <v>2028</v>
      </c>
      <c r="E2381" s="366" t="s">
        <v>1721</v>
      </c>
      <c r="F2381" s="366" t="s">
        <v>39</v>
      </c>
      <c r="G2381" s="348" t="str">
        <f>"'"&amp;$C2381&amp;"'!$E$63:$Y$63"</f>
        <v>'BLD_JP'!$E$63:$Y$63</v>
      </c>
      <c r="H2381" s="381">
        <f ca="1">IF(IFERROR(INDEX(DATA_PROPERTY_MASTER!$E$5:$E$21,MATCH($C2381,DATA_PROPERTY_MASTER!$A$5:$A$21,0))="Yes",FALSE),MAX(-IFERROR(INDEX(INDIRECT("'"&amp;$C2381&amp;"'!$E$63:$Y$63"),1,MATCH($D2381,INDIRECT("'"&amp;$C2381&amp;"'!$E$12:$Y$12"),0)),0),0),0)</f>
        <v>0</v>
      </c>
      <c r="I2381" s="366" t="s">
        <v>1690</v>
      </c>
      <c r="J2381" s="348" t="str">
        <f t="shared" ca="1" si="74"/>
        <v>OK</v>
      </c>
      <c r="K2381" s="366" t="s">
        <v>1738</v>
      </c>
      <c r="L2381" s="366" t="s">
        <v>2260</v>
      </c>
      <c r="M2381" s="350" t="str">
        <f>IF($B2381="Portfolio","Portfolio",IFERROR(INDEX(DATA_ASSET_CLASSIFICATION!$B$8:$B$24,MATCH($C2381,DATA_ASSET_CLASSIFICATION!$A$8:$A$24,0)),"Review"))</f>
        <v>Jessica Place</v>
      </c>
      <c r="N2381" s="350" t="str">
        <f ca="1">IF($B2381="Portfolio","Portfolio",IFERROR(INDEX(DATA_ASSET_CLASSIFICATION!$U$8:$U$24,MATCH($C2381,DATA_ASSET_CLASSIFICATION!$A$8:$A$24,0)),"Review"))</f>
        <v>Refi Watch</v>
      </c>
      <c r="O2381" s="350" t="str">
        <f ca="1">IF($B2381="Portfolio","Portfolio",IFERROR(INDEX(DATA_ASSET_CLASSIFICATION!$AB$8:$AB$13,MATCH($N2381,DATA_ASSET_CLASSIFICATION!$AA$8:$AA$13,0)),"Review"))</f>
        <v>Bucket 2 · Legacy</v>
      </c>
      <c r="P2381" s="350" t="str">
        <f>IF($B2381="Portfolio","Portfolio",IFERROR(INDEX(DATA_ASSET_CLASSIFICATION!$C$8:$C$24,MATCH($C2381,DATA_ASSET_CLASSIFICATION!$A$8:$A$24,0)),"Review"))</f>
        <v>Yes</v>
      </c>
      <c r="Q2381" s="350" t="str">
        <f t="shared" ca="1" si="75"/>
        <v>OK</v>
      </c>
    </row>
    <row r="2382" spans="1:17">
      <c r="A2382" s="366" t="s">
        <v>4338</v>
      </c>
      <c r="B2382" s="366" t="s">
        <v>231</v>
      </c>
      <c r="C2382" s="348" t="str">
        <f>DATA_PROPERTY_MASTER!$A$12</f>
        <v>BLD_JP</v>
      </c>
      <c r="D2382" s="380">
        <f>'00_PORTFOLIO ROLLUP'!H$12</f>
        <v>2028</v>
      </c>
      <c r="E2382" s="366" t="s">
        <v>1741</v>
      </c>
      <c r="F2382" s="366" t="s">
        <v>41</v>
      </c>
      <c r="G2382" s="348" t="str">
        <f>"'"&amp;$C2382&amp;"'!rows 56 + positive row 63"</f>
        <v>'BLD_JP'!rows 56 + positive row 63</v>
      </c>
      <c r="H2382" s="381">
        <f ca="1">IF(IFERROR(INDEX(DATA_PROPERTY_MASTER!$E$5:$E$21,MATCH($C2382,DATA_PROPERTY_MASTER!$A$5:$A$21,0))="Yes",FALSE),IFERROR(INDEX(INDIRECT("'"&amp;$C2382&amp;"'!$E$56:$Y$56"),1,MATCH($D2382,INDIRECT("'"&amp;$C2382&amp;"'!$E$12:$Y$12"),0)),0)+MAX(IFERROR(INDEX(INDIRECT("'"&amp;$C2382&amp;"'!$E$63:$Y$63"),1,MATCH($D2382,INDIRECT("'"&amp;$C2382&amp;"'!$E$12:$Y$12"),0)),0),0),0)</f>
        <v>94140.769959167927</v>
      </c>
      <c r="I2382" s="366" t="s">
        <v>1685</v>
      </c>
      <c r="J2382" s="348" t="str">
        <f t="shared" ca="1" si="74"/>
        <v>OK</v>
      </c>
      <c r="K2382" s="366" t="s">
        <v>1742</v>
      </c>
      <c r="L2382" s="366" t="s">
        <v>2262</v>
      </c>
      <c r="M2382" s="350" t="str">
        <f>IF($B2382="Portfolio","Portfolio",IFERROR(INDEX(DATA_ASSET_CLASSIFICATION!$B$8:$B$24,MATCH($C2382,DATA_ASSET_CLASSIFICATION!$A$8:$A$24,0)),"Review"))</f>
        <v>Jessica Place</v>
      </c>
      <c r="N2382" s="350" t="str">
        <f ca="1">IF($B2382="Portfolio","Portfolio",IFERROR(INDEX(DATA_ASSET_CLASSIFICATION!$U$8:$U$24,MATCH($C2382,DATA_ASSET_CLASSIFICATION!$A$8:$A$24,0)),"Review"))</f>
        <v>Refi Watch</v>
      </c>
      <c r="O2382" s="350" t="str">
        <f ca="1">IF($B2382="Portfolio","Portfolio",IFERROR(INDEX(DATA_ASSET_CLASSIFICATION!$AB$8:$AB$13,MATCH($N2382,DATA_ASSET_CLASSIFICATION!$AA$8:$AA$13,0)),"Review"))</f>
        <v>Bucket 2 · Legacy</v>
      </c>
      <c r="P2382" s="350" t="str">
        <f>IF($B2382="Portfolio","Portfolio",IFERROR(INDEX(DATA_ASSET_CLASSIFICATION!$C$8:$C$24,MATCH($C2382,DATA_ASSET_CLASSIFICATION!$A$8:$A$24,0)),"Review"))</f>
        <v>Yes</v>
      </c>
      <c r="Q2382" s="350" t="str">
        <f t="shared" ca="1" si="75"/>
        <v>OK</v>
      </c>
    </row>
    <row r="2383" spans="1:17">
      <c r="A2383" s="366" t="s">
        <v>4339</v>
      </c>
      <c r="B2383" s="366" t="s">
        <v>231</v>
      </c>
      <c r="C2383" s="348" t="str">
        <f>DATA_PROPERTY_MASTER!$A$12</f>
        <v>BLD_JP</v>
      </c>
      <c r="D2383" s="380">
        <f>'00_PORTFOLIO ROLLUP'!H$12</f>
        <v>2028</v>
      </c>
      <c r="E2383" s="366" t="s">
        <v>1741</v>
      </c>
      <c r="F2383" s="366" t="s">
        <v>43</v>
      </c>
      <c r="G2383" s="348" t="str">
        <f>"'"&amp;$C2383&amp;"'!$E$68:$Y$68"</f>
        <v>'BLD_JP'!$E$68:$Y$68</v>
      </c>
      <c r="H2383" s="381">
        <f ca="1">IF(IFERROR(INDEX(DATA_PROPERTY_MASTER!$E$5:$E$21,MATCH($C2383,DATA_PROPERTY_MASTER!$A$5:$A$21,0))="Yes",FALSE),IFERROR(INDEX(INDIRECT("'"&amp;$C2383&amp;"'!$E$68:$Y$68"),1,MATCH($D2383,INDIRECT("'"&amp;$C2383&amp;"'!$E$12:$Y$12"),0)),0),0)</f>
        <v>94140.769959167927</v>
      </c>
      <c r="I2383" s="366" t="s">
        <v>1731</v>
      </c>
      <c r="J2383" s="348" t="str">
        <f t="shared" ca="1" si="74"/>
        <v>OK</v>
      </c>
      <c r="K2383" s="366" t="s">
        <v>1746</v>
      </c>
      <c r="L2383" s="366" t="s">
        <v>2264</v>
      </c>
      <c r="M2383" s="350" t="str">
        <f>IF($B2383="Portfolio","Portfolio",IFERROR(INDEX(DATA_ASSET_CLASSIFICATION!$B$8:$B$24,MATCH($C2383,DATA_ASSET_CLASSIFICATION!$A$8:$A$24,0)),"Review"))</f>
        <v>Jessica Place</v>
      </c>
      <c r="N2383" s="350" t="str">
        <f ca="1">IF($B2383="Portfolio","Portfolio",IFERROR(INDEX(DATA_ASSET_CLASSIFICATION!$U$8:$U$24,MATCH($C2383,DATA_ASSET_CLASSIFICATION!$A$8:$A$24,0)),"Review"))</f>
        <v>Refi Watch</v>
      </c>
      <c r="O2383" s="350" t="str">
        <f ca="1">IF($B2383="Portfolio","Portfolio",IFERROR(INDEX(DATA_ASSET_CLASSIFICATION!$AB$8:$AB$13,MATCH($N2383,DATA_ASSET_CLASSIFICATION!$AA$8:$AA$13,0)),"Review"))</f>
        <v>Bucket 2 · Legacy</v>
      </c>
      <c r="P2383" s="350" t="str">
        <f>IF($B2383="Portfolio","Portfolio",IFERROR(INDEX(DATA_ASSET_CLASSIFICATION!$C$8:$C$24,MATCH($C2383,DATA_ASSET_CLASSIFICATION!$A$8:$A$24,0)),"Review"))</f>
        <v>Yes</v>
      </c>
      <c r="Q2383" s="350" t="str">
        <f t="shared" ca="1" si="75"/>
        <v>OK</v>
      </c>
    </row>
    <row r="2384" spans="1:17">
      <c r="A2384" s="366" t="s">
        <v>4340</v>
      </c>
      <c r="B2384" s="366" t="s">
        <v>231</v>
      </c>
      <c r="C2384" s="348" t="str">
        <f>DATA_PROPERTY_MASTER!$A$12</f>
        <v>BLD_JP</v>
      </c>
      <c r="D2384" s="380">
        <f>'00_PORTFOLIO ROLLUP'!H$12</f>
        <v>2028</v>
      </c>
      <c r="E2384" s="366" t="s">
        <v>1741</v>
      </c>
      <c r="F2384" s="366" t="s">
        <v>1749</v>
      </c>
      <c r="G2384" s="348" t="str">
        <f>"'"&amp;$C2384&amp;"'!rows 56, 63, 68"</f>
        <v>'BLD_JP'!rows 56, 63, 68</v>
      </c>
      <c r="H2384" s="381">
        <f ca="1">IF(IFERROR(INDEX(DATA_PROPERTY_MASTER!$E$5:$E$21,MATCH($C2384,DATA_PROPERTY_MASTER!$A$5:$A$21,0))="Yes",FALSE),(IFERROR(INDEX(INDIRECT("'"&amp;$C2384&amp;"'!$E$56:$Y$56"),1,MATCH($D2384,INDIRECT("'"&amp;$C2384&amp;"'!$E$12:$Y$12"),0)),0)+MAX(IFERROR(INDEX(INDIRECT("'"&amp;$C2384&amp;"'!$E$63:$Y$63"),1,MATCH($D2384,INDIRECT("'"&amp;$C2384&amp;"'!$E$12:$Y$12"),0)),0),0))-(IFERROR(INDEX(INDIRECT("'"&amp;$C2384&amp;"'!$E$68:$Y$68"),1,MATCH($D2384,INDIRECT("'"&amp;$C2384&amp;"'!$E$12:$Y$12"),0)),0)),0)</f>
        <v>0</v>
      </c>
      <c r="I2384" s="366" t="s">
        <v>1750</v>
      </c>
      <c r="J2384" s="348" t="str">
        <f t="shared" ca="1" si="74"/>
        <v>OK</v>
      </c>
      <c r="K2384" s="366" t="s">
        <v>1751</v>
      </c>
      <c r="L2384" s="366" t="s">
        <v>2266</v>
      </c>
      <c r="M2384" s="350" t="str">
        <f>IF($B2384="Portfolio","Portfolio",IFERROR(INDEX(DATA_ASSET_CLASSIFICATION!$B$8:$B$24,MATCH($C2384,DATA_ASSET_CLASSIFICATION!$A$8:$A$24,0)),"Review"))</f>
        <v>Jessica Place</v>
      </c>
      <c r="N2384" s="350" t="str">
        <f ca="1">IF($B2384="Portfolio","Portfolio",IFERROR(INDEX(DATA_ASSET_CLASSIFICATION!$U$8:$U$24,MATCH($C2384,DATA_ASSET_CLASSIFICATION!$A$8:$A$24,0)),"Review"))</f>
        <v>Refi Watch</v>
      </c>
      <c r="O2384" s="350" t="str">
        <f ca="1">IF($B2384="Portfolio","Portfolio",IFERROR(INDEX(DATA_ASSET_CLASSIFICATION!$AB$8:$AB$13,MATCH($N2384,DATA_ASSET_CLASSIFICATION!$AA$8:$AA$13,0)),"Review"))</f>
        <v>Bucket 2 · Legacy</v>
      </c>
      <c r="P2384" s="350" t="str">
        <f>IF($B2384="Portfolio","Portfolio",IFERROR(INDEX(DATA_ASSET_CLASSIFICATION!$C$8:$C$24,MATCH($C2384,DATA_ASSET_CLASSIFICATION!$A$8:$A$24,0)),"Review"))</f>
        <v>Yes</v>
      </c>
      <c r="Q2384" s="350" t="str">
        <f t="shared" ca="1" si="75"/>
        <v>OK</v>
      </c>
    </row>
    <row r="2385" spans="1:17">
      <c r="A2385" s="366" t="s">
        <v>4341</v>
      </c>
      <c r="B2385" s="366" t="s">
        <v>231</v>
      </c>
      <c r="C2385" s="348" t="str">
        <f>DATA_PROPERTY_MASTER!$A$12</f>
        <v>BLD_JP</v>
      </c>
      <c r="D2385" s="380">
        <f>'00_PORTFOLIO ROLLUP'!I$12</f>
        <v>2029</v>
      </c>
      <c r="E2385" s="366" t="s">
        <v>1683</v>
      </c>
      <c r="F2385" s="366" t="s">
        <v>341</v>
      </c>
      <c r="G2385" s="348" t="str">
        <f>"'"&amp;$C2385&amp;"'!$E$24:$Y$24"</f>
        <v>'BLD_JP'!$E$24:$Y$24</v>
      </c>
      <c r="H2385" s="381">
        <f ca="1">IF(IFERROR(INDEX(DATA_PROPERTY_MASTER!$E$5:$E$21,MATCH($C2385,DATA_PROPERTY_MASTER!$A$5:$A$21,0))="Yes",FALSE),IFERROR(INDEX(INDIRECT("'"&amp;$C2385&amp;"'!$E$24:$Y$24"),1,MATCH($D2385,INDIRECT("'"&amp;$C2385&amp;"'!$E$12:$Y$12"),0)),0),0)</f>
        <v>532288.43932803825</v>
      </c>
      <c r="I2385" s="366" t="s">
        <v>1685</v>
      </c>
      <c r="J2385" s="348" t="str">
        <f t="shared" ca="1" si="74"/>
        <v>OK</v>
      </c>
      <c r="K2385" s="366" t="s">
        <v>1686</v>
      </c>
      <c r="L2385" s="366" t="s">
        <v>2234</v>
      </c>
      <c r="M2385" s="350" t="str">
        <f>IF($B2385="Portfolio","Portfolio",IFERROR(INDEX(DATA_ASSET_CLASSIFICATION!$B$8:$B$24,MATCH($C2385,DATA_ASSET_CLASSIFICATION!$A$8:$A$24,0)),"Review"))</f>
        <v>Jessica Place</v>
      </c>
      <c r="N2385" s="350" t="str">
        <f ca="1">IF($B2385="Portfolio","Portfolio",IFERROR(INDEX(DATA_ASSET_CLASSIFICATION!$U$8:$U$24,MATCH($C2385,DATA_ASSET_CLASSIFICATION!$A$8:$A$24,0)),"Review"))</f>
        <v>Refi Watch</v>
      </c>
      <c r="O2385" s="350" t="str">
        <f ca="1">IF($B2385="Portfolio","Portfolio",IFERROR(INDEX(DATA_ASSET_CLASSIFICATION!$AB$8:$AB$13,MATCH($N2385,DATA_ASSET_CLASSIFICATION!$AA$8:$AA$13,0)),"Review"))</f>
        <v>Bucket 2 · Legacy</v>
      </c>
      <c r="P2385" s="350" t="str">
        <f>IF($B2385="Portfolio","Portfolio",IFERROR(INDEX(DATA_ASSET_CLASSIFICATION!$C$8:$C$24,MATCH($C2385,DATA_ASSET_CLASSIFICATION!$A$8:$A$24,0)),"Review"))</f>
        <v>Yes</v>
      </c>
      <c r="Q2385" s="350" t="str">
        <f t="shared" ca="1" si="75"/>
        <v>OK</v>
      </c>
    </row>
    <row r="2386" spans="1:17">
      <c r="A2386" s="366" t="s">
        <v>4342</v>
      </c>
      <c r="B2386" s="366" t="s">
        <v>231</v>
      </c>
      <c r="C2386" s="348" t="str">
        <f>DATA_PROPERTY_MASTER!$A$12</f>
        <v>BLD_JP</v>
      </c>
      <c r="D2386" s="380">
        <f>'00_PORTFOLIO ROLLUP'!I$12</f>
        <v>2029</v>
      </c>
      <c r="E2386" s="366" t="s">
        <v>1683</v>
      </c>
      <c r="F2386" s="366" t="s">
        <v>355</v>
      </c>
      <c r="G2386" s="348" t="str">
        <f>"'"&amp;$C2386&amp;"'!$E$39:$Y$39"</f>
        <v>'BLD_JP'!$E$39:$Y$39</v>
      </c>
      <c r="H2386" s="381">
        <f ca="1">IF(IFERROR(INDEX(DATA_PROPERTY_MASTER!$E$5:$E$21,MATCH($C2386,DATA_PROPERTY_MASTER!$A$5:$A$21,0))="Yes",FALSE),IFERROR(INDEX(INDIRECT("'"&amp;$C2386&amp;"'!$E$39:$Y$39"),1,MATCH($D2386,INDIRECT("'"&amp;$C2386&amp;"'!$E$12:$Y$12"),0)),0),0)</f>
        <v>297959.46565632004</v>
      </c>
      <c r="I2386" s="366" t="s">
        <v>1690</v>
      </c>
      <c r="J2386" s="348" t="str">
        <f t="shared" ca="1" si="74"/>
        <v>OK</v>
      </c>
      <c r="K2386" s="366" t="s">
        <v>1686</v>
      </c>
      <c r="L2386" s="366" t="s">
        <v>2236</v>
      </c>
      <c r="M2386" s="350" t="str">
        <f>IF($B2386="Portfolio","Portfolio",IFERROR(INDEX(DATA_ASSET_CLASSIFICATION!$B$8:$B$24,MATCH($C2386,DATA_ASSET_CLASSIFICATION!$A$8:$A$24,0)),"Review"))</f>
        <v>Jessica Place</v>
      </c>
      <c r="N2386" s="350" t="str">
        <f ca="1">IF($B2386="Portfolio","Portfolio",IFERROR(INDEX(DATA_ASSET_CLASSIFICATION!$U$8:$U$24,MATCH($C2386,DATA_ASSET_CLASSIFICATION!$A$8:$A$24,0)),"Review"))</f>
        <v>Refi Watch</v>
      </c>
      <c r="O2386" s="350" t="str">
        <f ca="1">IF($B2386="Portfolio","Portfolio",IFERROR(INDEX(DATA_ASSET_CLASSIFICATION!$AB$8:$AB$13,MATCH($N2386,DATA_ASSET_CLASSIFICATION!$AA$8:$AA$13,0)),"Review"))</f>
        <v>Bucket 2 · Legacy</v>
      </c>
      <c r="P2386" s="350" t="str">
        <f>IF($B2386="Portfolio","Portfolio",IFERROR(INDEX(DATA_ASSET_CLASSIFICATION!$C$8:$C$24,MATCH($C2386,DATA_ASSET_CLASSIFICATION!$A$8:$A$24,0)),"Review"))</f>
        <v>Yes</v>
      </c>
      <c r="Q2386" s="350" t="str">
        <f t="shared" ca="1" si="75"/>
        <v>OK</v>
      </c>
    </row>
    <row r="2387" spans="1:17">
      <c r="A2387" s="366" t="s">
        <v>4343</v>
      </c>
      <c r="B2387" s="366" t="s">
        <v>231</v>
      </c>
      <c r="C2387" s="348" t="str">
        <f>DATA_PROPERTY_MASTER!$A$12</f>
        <v>BLD_JP</v>
      </c>
      <c r="D2387" s="380">
        <f>'00_PORTFOLIO ROLLUP'!I$12</f>
        <v>2029</v>
      </c>
      <c r="E2387" s="366" t="s">
        <v>1683</v>
      </c>
      <c r="F2387" s="366" t="s">
        <v>19</v>
      </c>
      <c r="G2387" s="348" t="str">
        <f>"'"&amp;$C2387&amp;"'!$E$41:$Y$41"</f>
        <v>'BLD_JP'!$E$41:$Y$41</v>
      </c>
      <c r="H2387" s="381">
        <f ca="1">IF(IFERROR(INDEX(DATA_PROPERTY_MASTER!$E$5:$E$21,MATCH($C2387,DATA_PROPERTY_MASTER!$A$5:$A$21,0))="Yes",FALSE),IFERROR(INDEX(INDIRECT("'"&amp;$C2387&amp;"'!$E$41:$Y$41"),1,MATCH($D2387,INDIRECT("'"&amp;$C2387&amp;"'!$E$12:$Y$12"),0)),0),0)</f>
        <v>234328.97367171821</v>
      </c>
      <c r="I2387" s="366" t="s">
        <v>1685</v>
      </c>
      <c r="J2387" s="348" t="str">
        <f t="shared" ca="1" si="74"/>
        <v>OK</v>
      </c>
      <c r="K2387" s="366" t="s">
        <v>1694</v>
      </c>
      <c r="L2387" s="366" t="s">
        <v>2238</v>
      </c>
      <c r="M2387" s="350" t="str">
        <f>IF($B2387="Portfolio","Portfolio",IFERROR(INDEX(DATA_ASSET_CLASSIFICATION!$B$8:$B$24,MATCH($C2387,DATA_ASSET_CLASSIFICATION!$A$8:$A$24,0)),"Review"))</f>
        <v>Jessica Place</v>
      </c>
      <c r="N2387" s="350" t="str">
        <f ca="1">IF($B2387="Portfolio","Portfolio",IFERROR(INDEX(DATA_ASSET_CLASSIFICATION!$U$8:$U$24,MATCH($C2387,DATA_ASSET_CLASSIFICATION!$A$8:$A$24,0)),"Review"))</f>
        <v>Refi Watch</v>
      </c>
      <c r="O2387" s="350" t="str">
        <f ca="1">IF($B2387="Portfolio","Portfolio",IFERROR(INDEX(DATA_ASSET_CLASSIFICATION!$AB$8:$AB$13,MATCH($N2387,DATA_ASSET_CLASSIFICATION!$AA$8:$AA$13,0)),"Review"))</f>
        <v>Bucket 2 · Legacy</v>
      </c>
      <c r="P2387" s="350" t="str">
        <f>IF($B2387="Portfolio","Portfolio",IFERROR(INDEX(DATA_ASSET_CLASSIFICATION!$C$8:$C$24,MATCH($C2387,DATA_ASSET_CLASSIFICATION!$A$8:$A$24,0)),"Review"))</f>
        <v>Yes</v>
      </c>
      <c r="Q2387" s="350" t="str">
        <f t="shared" ca="1" si="75"/>
        <v>OK</v>
      </c>
    </row>
    <row r="2388" spans="1:17">
      <c r="A2388" s="366" t="s">
        <v>4344</v>
      </c>
      <c r="B2388" s="366" t="s">
        <v>231</v>
      </c>
      <c r="C2388" s="348" t="str">
        <f>DATA_PROPERTY_MASTER!$A$12</f>
        <v>BLD_JP</v>
      </c>
      <c r="D2388" s="380">
        <f>'00_PORTFOLIO ROLLUP'!I$12</f>
        <v>2029</v>
      </c>
      <c r="E2388" s="366" t="s">
        <v>1683</v>
      </c>
      <c r="F2388" s="366" t="s">
        <v>1697</v>
      </c>
      <c r="G2388" s="348" t="str">
        <f>"'"&amp;$C2388&amp;"'!$E$44:$Y$44"</f>
        <v>'BLD_JP'!$E$44:$Y$44</v>
      </c>
      <c r="H2388" s="381">
        <f ca="1">IF(IFERROR(INDEX(DATA_PROPERTY_MASTER!$E$5:$E$21,MATCH($C2388,DATA_PROPERTY_MASTER!$A$5:$A$21,0))="Yes",FALSE),IFERROR(INDEX(INDIRECT("'"&amp;$C2388&amp;"'!$E$44:$Y$44"),1,MATCH($D2388,INDIRECT("'"&amp;$C2388&amp;"'!$E$12:$Y$12"),0)),0),0)</f>
        <v>6494.5929599999999</v>
      </c>
      <c r="I2388" s="366" t="s">
        <v>1690</v>
      </c>
      <c r="J2388" s="348" t="str">
        <f t="shared" ca="1" si="74"/>
        <v>OK</v>
      </c>
      <c r="K2388" s="366" t="s">
        <v>1699</v>
      </c>
      <c r="L2388" s="366" t="s">
        <v>2240</v>
      </c>
      <c r="M2388" s="350" t="str">
        <f>IF($B2388="Portfolio","Portfolio",IFERROR(INDEX(DATA_ASSET_CLASSIFICATION!$B$8:$B$24,MATCH($C2388,DATA_ASSET_CLASSIFICATION!$A$8:$A$24,0)),"Review"))</f>
        <v>Jessica Place</v>
      </c>
      <c r="N2388" s="350" t="str">
        <f ca="1">IF($B2388="Portfolio","Portfolio",IFERROR(INDEX(DATA_ASSET_CLASSIFICATION!$U$8:$U$24,MATCH($C2388,DATA_ASSET_CLASSIFICATION!$A$8:$A$24,0)),"Review"))</f>
        <v>Refi Watch</v>
      </c>
      <c r="O2388" s="350" t="str">
        <f ca="1">IF($B2388="Portfolio","Portfolio",IFERROR(INDEX(DATA_ASSET_CLASSIFICATION!$AB$8:$AB$13,MATCH($N2388,DATA_ASSET_CLASSIFICATION!$AA$8:$AA$13,0)),"Review"))</f>
        <v>Bucket 2 · Legacy</v>
      </c>
      <c r="P2388" s="350" t="str">
        <f>IF($B2388="Portfolio","Portfolio",IFERROR(INDEX(DATA_ASSET_CLASSIFICATION!$C$8:$C$24,MATCH($C2388,DATA_ASSET_CLASSIFICATION!$A$8:$A$24,0)),"Review"))</f>
        <v>Yes</v>
      </c>
      <c r="Q2388" s="350" t="str">
        <f t="shared" ca="1" si="75"/>
        <v>OK</v>
      </c>
    </row>
    <row r="2389" spans="1:17">
      <c r="A2389" s="366" t="s">
        <v>4345</v>
      </c>
      <c r="B2389" s="366" t="s">
        <v>231</v>
      </c>
      <c r="C2389" s="348" t="str">
        <f>DATA_PROPERTY_MASTER!$A$12</f>
        <v>BLD_JP</v>
      </c>
      <c r="D2389" s="380">
        <f>'00_PORTFOLIO ROLLUP'!I$12</f>
        <v>2029</v>
      </c>
      <c r="E2389" s="366" t="s">
        <v>1683</v>
      </c>
      <c r="F2389" s="366" t="s">
        <v>21</v>
      </c>
      <c r="G2389" s="348" t="str">
        <f>"'"&amp;$C2389&amp;"'!$E$45:$Y$45"</f>
        <v>'BLD_JP'!$E$45:$Y$45</v>
      </c>
      <c r="H2389" s="381">
        <f ca="1">IF(IFERROR(INDEX(DATA_PROPERTY_MASTER!$E$5:$E$21,MATCH($C2389,DATA_PROPERTY_MASTER!$A$5:$A$21,0))="Yes",FALSE),IFERROR(INDEX(INDIRECT("'"&amp;$C2389&amp;"'!$E$45:$Y$45"),1,MATCH($D2389,INDIRECT("'"&amp;$C2389&amp;"'!$E$12:$Y$12"),0)),0),0)</f>
        <v>227834.3807117182</v>
      </c>
      <c r="I2389" s="366" t="s">
        <v>1685</v>
      </c>
      <c r="J2389" s="348" t="str">
        <f t="shared" ca="1" si="74"/>
        <v>OK</v>
      </c>
      <c r="K2389" s="366" t="s">
        <v>1694</v>
      </c>
      <c r="L2389" s="366" t="s">
        <v>2242</v>
      </c>
      <c r="M2389" s="350" t="str">
        <f>IF($B2389="Portfolio","Portfolio",IFERROR(INDEX(DATA_ASSET_CLASSIFICATION!$B$8:$B$24,MATCH($C2389,DATA_ASSET_CLASSIFICATION!$A$8:$A$24,0)),"Review"))</f>
        <v>Jessica Place</v>
      </c>
      <c r="N2389" s="350" t="str">
        <f ca="1">IF($B2389="Portfolio","Portfolio",IFERROR(INDEX(DATA_ASSET_CLASSIFICATION!$U$8:$U$24,MATCH($C2389,DATA_ASSET_CLASSIFICATION!$A$8:$A$24,0)),"Review"))</f>
        <v>Refi Watch</v>
      </c>
      <c r="O2389" s="350" t="str">
        <f ca="1">IF($B2389="Portfolio","Portfolio",IFERROR(INDEX(DATA_ASSET_CLASSIFICATION!$AB$8:$AB$13,MATCH($N2389,DATA_ASSET_CLASSIFICATION!$AA$8:$AA$13,0)),"Review"))</f>
        <v>Bucket 2 · Legacy</v>
      </c>
      <c r="P2389" s="350" t="str">
        <f>IF($B2389="Portfolio","Portfolio",IFERROR(INDEX(DATA_ASSET_CLASSIFICATION!$C$8:$C$24,MATCH($C2389,DATA_ASSET_CLASSIFICATION!$A$8:$A$24,0)),"Review"))</f>
        <v>Yes</v>
      </c>
      <c r="Q2389" s="350" t="str">
        <f t="shared" ca="1" si="75"/>
        <v>OK</v>
      </c>
    </row>
    <row r="2390" spans="1:17">
      <c r="A2390" s="366" t="s">
        <v>4346</v>
      </c>
      <c r="B2390" s="366" t="s">
        <v>231</v>
      </c>
      <c r="C2390" s="348" t="str">
        <f>DATA_PROPERTY_MASTER!$A$12</f>
        <v>BLD_JP</v>
      </c>
      <c r="D2390" s="380">
        <f>'00_PORTFOLIO ROLLUP'!I$12</f>
        <v>2029</v>
      </c>
      <c r="E2390" s="366" t="s">
        <v>23</v>
      </c>
      <c r="F2390" s="366" t="s">
        <v>23</v>
      </c>
      <c r="G2390" s="348" t="str">
        <f>"'"&amp;$C2390&amp;"'!$E$48:$Y$48"</f>
        <v>'BLD_JP'!$E$48:$Y$48</v>
      </c>
      <c r="H2390" s="381">
        <f ca="1">IF(IFERROR(INDEX(DATA_PROPERTY_MASTER!$E$5:$E$21,MATCH($C2390,DATA_PROPERTY_MASTER!$A$5:$A$21,0))="Yes",FALSE),IFERROR(INDEX(INDIRECT("'"&amp;$C2390&amp;"'!$E$48:$Y$48"),1,MATCH($D2390,INDIRECT("'"&amp;$C2390&amp;"'!$E$12:$Y$12"),0)),0),0)</f>
        <v>0</v>
      </c>
      <c r="I2390" s="366" t="s">
        <v>1690</v>
      </c>
      <c r="J2390" s="348" t="str">
        <f t="shared" ca="1" si="74"/>
        <v>OK</v>
      </c>
      <c r="K2390" s="366" t="s">
        <v>1706</v>
      </c>
      <c r="L2390" s="366" t="s">
        <v>2244</v>
      </c>
      <c r="M2390" s="350" t="str">
        <f>IF($B2390="Portfolio","Portfolio",IFERROR(INDEX(DATA_ASSET_CLASSIFICATION!$B$8:$B$24,MATCH($C2390,DATA_ASSET_CLASSIFICATION!$A$8:$A$24,0)),"Review"))</f>
        <v>Jessica Place</v>
      </c>
      <c r="N2390" s="350" t="str">
        <f ca="1">IF($B2390="Portfolio","Portfolio",IFERROR(INDEX(DATA_ASSET_CLASSIFICATION!$U$8:$U$24,MATCH($C2390,DATA_ASSET_CLASSIFICATION!$A$8:$A$24,0)),"Review"))</f>
        <v>Refi Watch</v>
      </c>
      <c r="O2390" s="350" t="str">
        <f ca="1">IF($B2390="Portfolio","Portfolio",IFERROR(INDEX(DATA_ASSET_CLASSIFICATION!$AB$8:$AB$13,MATCH($N2390,DATA_ASSET_CLASSIFICATION!$AA$8:$AA$13,0)),"Review"))</f>
        <v>Bucket 2 · Legacy</v>
      </c>
      <c r="P2390" s="350" t="str">
        <f>IF($B2390="Portfolio","Portfolio",IFERROR(INDEX(DATA_ASSET_CLASSIFICATION!$C$8:$C$24,MATCH($C2390,DATA_ASSET_CLASSIFICATION!$A$8:$A$24,0)),"Review"))</f>
        <v>Yes</v>
      </c>
      <c r="Q2390" s="350" t="str">
        <f t="shared" ca="1" si="75"/>
        <v>OK</v>
      </c>
    </row>
    <row r="2391" spans="1:17">
      <c r="A2391" s="366" t="s">
        <v>4347</v>
      </c>
      <c r="B2391" s="366" t="s">
        <v>231</v>
      </c>
      <c r="C2391" s="348" t="str">
        <f>DATA_PROPERTY_MASTER!$A$12</f>
        <v>BLD_JP</v>
      </c>
      <c r="D2391" s="380">
        <f>'00_PORTFOLIO ROLLUP'!I$12</f>
        <v>2029</v>
      </c>
      <c r="E2391" s="366" t="s">
        <v>1683</v>
      </c>
      <c r="F2391" s="366" t="s">
        <v>25</v>
      </c>
      <c r="G2391" s="348" t="str">
        <f>"'"&amp;$C2391&amp;"'!$E$52:$Y$52"</f>
        <v>'BLD_JP'!$E$52:$Y$52</v>
      </c>
      <c r="H2391" s="381">
        <f ca="1">IF(IFERROR(INDEX(DATA_PROPERTY_MASTER!$E$5:$E$21,MATCH($C2391,DATA_PROPERTY_MASTER!$A$5:$A$21,0))="Yes",FALSE),IFERROR(INDEX(INDIRECT("'"&amp;$C2391&amp;"'!$E$52:$Y$52"),1,MATCH($D2391,INDIRECT("'"&amp;$C2391&amp;"'!$E$12:$Y$12"),0)),0),0)</f>
        <v>234328.97367171821</v>
      </c>
      <c r="I2391" s="366" t="s">
        <v>1685</v>
      </c>
      <c r="J2391" s="348" t="str">
        <f t="shared" ca="1" si="74"/>
        <v>OK</v>
      </c>
      <c r="K2391" s="366" t="s">
        <v>1710</v>
      </c>
      <c r="L2391" s="366" t="s">
        <v>2246</v>
      </c>
      <c r="M2391" s="350" t="str">
        <f>IF($B2391="Portfolio","Portfolio",IFERROR(INDEX(DATA_ASSET_CLASSIFICATION!$B$8:$B$24,MATCH($C2391,DATA_ASSET_CLASSIFICATION!$A$8:$A$24,0)),"Review"))</f>
        <v>Jessica Place</v>
      </c>
      <c r="N2391" s="350" t="str">
        <f ca="1">IF($B2391="Portfolio","Portfolio",IFERROR(INDEX(DATA_ASSET_CLASSIFICATION!$U$8:$U$24,MATCH($C2391,DATA_ASSET_CLASSIFICATION!$A$8:$A$24,0)),"Review"))</f>
        <v>Refi Watch</v>
      </c>
      <c r="O2391" s="350" t="str">
        <f ca="1">IF($B2391="Portfolio","Portfolio",IFERROR(INDEX(DATA_ASSET_CLASSIFICATION!$AB$8:$AB$13,MATCH($N2391,DATA_ASSET_CLASSIFICATION!$AA$8:$AA$13,0)),"Review"))</f>
        <v>Bucket 2 · Legacy</v>
      </c>
      <c r="P2391" s="350" t="str">
        <f>IF($B2391="Portfolio","Portfolio",IFERROR(INDEX(DATA_ASSET_CLASSIFICATION!$C$8:$C$24,MATCH($C2391,DATA_ASSET_CLASSIFICATION!$A$8:$A$24,0)),"Review"))</f>
        <v>Yes</v>
      </c>
      <c r="Q2391" s="350" t="str">
        <f t="shared" ca="1" si="75"/>
        <v>OK</v>
      </c>
    </row>
    <row r="2392" spans="1:17">
      <c r="A2392" s="366" t="s">
        <v>4348</v>
      </c>
      <c r="B2392" s="366" t="s">
        <v>231</v>
      </c>
      <c r="C2392" s="348" t="str">
        <f>DATA_PROPERTY_MASTER!$A$12</f>
        <v>BLD_JP</v>
      </c>
      <c r="D2392" s="380">
        <f>'00_PORTFOLIO ROLLUP'!I$12</f>
        <v>2029</v>
      </c>
      <c r="E2392" s="366" t="s">
        <v>1683</v>
      </c>
      <c r="F2392" s="366" t="s">
        <v>27</v>
      </c>
      <c r="G2392" s="348" t="str">
        <f>"'"&amp;$C2392&amp;"'!$E$54:$Y$54"</f>
        <v>'BLD_JP'!$E$54:$Y$54</v>
      </c>
      <c r="H2392" s="381">
        <f ca="1">IF(IFERROR(INDEX(DATA_PROPERTY_MASTER!$E$5:$E$21,MATCH($C2392,DATA_PROPERTY_MASTER!$A$5:$A$21,0))="Yes",FALSE),IFERROR(INDEX(INDIRECT("'"&amp;$C2392&amp;"'!$E$54:$Y$54"),1,MATCH($D2392,INDIRECT("'"&amp;$C2392&amp;"'!$E$12:$Y$12"),0)),0),0)</f>
        <v>140597.38420303093</v>
      </c>
      <c r="I2392" s="366" t="s">
        <v>1690</v>
      </c>
      <c r="J2392" s="348" t="str">
        <f t="shared" ca="1" si="74"/>
        <v>OK</v>
      </c>
      <c r="K2392" s="366" t="s">
        <v>1714</v>
      </c>
      <c r="L2392" s="366" t="s">
        <v>2248</v>
      </c>
      <c r="M2392" s="350" t="str">
        <f>IF($B2392="Portfolio","Portfolio",IFERROR(INDEX(DATA_ASSET_CLASSIFICATION!$B$8:$B$24,MATCH($C2392,DATA_ASSET_CLASSIFICATION!$A$8:$A$24,0)),"Review"))</f>
        <v>Jessica Place</v>
      </c>
      <c r="N2392" s="350" t="str">
        <f ca="1">IF($B2392="Portfolio","Portfolio",IFERROR(INDEX(DATA_ASSET_CLASSIFICATION!$U$8:$U$24,MATCH($C2392,DATA_ASSET_CLASSIFICATION!$A$8:$A$24,0)),"Review"))</f>
        <v>Refi Watch</v>
      </c>
      <c r="O2392" s="350" t="str">
        <f ca="1">IF($B2392="Portfolio","Portfolio",IFERROR(INDEX(DATA_ASSET_CLASSIFICATION!$AB$8:$AB$13,MATCH($N2392,DATA_ASSET_CLASSIFICATION!$AA$8:$AA$13,0)),"Review"))</f>
        <v>Bucket 2 · Legacy</v>
      </c>
      <c r="P2392" s="350" t="str">
        <f>IF($B2392="Portfolio","Portfolio",IFERROR(INDEX(DATA_ASSET_CLASSIFICATION!$C$8:$C$24,MATCH($C2392,DATA_ASSET_CLASSIFICATION!$A$8:$A$24,0)),"Review"))</f>
        <v>Yes</v>
      </c>
      <c r="Q2392" s="350" t="str">
        <f t="shared" ca="1" si="75"/>
        <v>OK</v>
      </c>
    </row>
    <row r="2393" spans="1:17">
      <c r="A2393" s="366" t="s">
        <v>4349</v>
      </c>
      <c r="B2393" s="366" t="s">
        <v>231</v>
      </c>
      <c r="C2393" s="348" t="str">
        <f>DATA_PROPERTY_MASTER!$A$12</f>
        <v>BLD_JP</v>
      </c>
      <c r="D2393" s="380">
        <f>'00_PORTFOLIO ROLLUP'!I$12</f>
        <v>2029</v>
      </c>
      <c r="E2393" s="366" t="s">
        <v>1683</v>
      </c>
      <c r="F2393" s="366" t="s">
        <v>29</v>
      </c>
      <c r="G2393" s="348" t="str">
        <f>"'"&amp;$C2393&amp;"'!$E$56:$Y$56"</f>
        <v>'BLD_JP'!$E$56:$Y$56</v>
      </c>
      <c r="H2393" s="381">
        <f ca="1">IF(IFERROR(INDEX(DATA_PROPERTY_MASTER!$E$5:$E$21,MATCH($C2393,DATA_PROPERTY_MASTER!$A$5:$A$21,0))="Yes",FALSE),IFERROR(INDEX(INDIRECT("'"&amp;$C2393&amp;"'!$E$56:$Y$56"),1,MATCH($D2393,INDIRECT("'"&amp;$C2393&amp;"'!$E$12:$Y$12"),0)),0),0)</f>
        <v>93731.589468687278</v>
      </c>
      <c r="I2393" s="366" t="s">
        <v>1685</v>
      </c>
      <c r="J2393" s="348" t="str">
        <f t="shared" ca="1" si="74"/>
        <v>OK</v>
      </c>
      <c r="K2393" s="366" t="s">
        <v>1718</v>
      </c>
      <c r="L2393" s="366" t="s">
        <v>2250</v>
      </c>
      <c r="M2393" s="350" t="str">
        <f>IF($B2393="Portfolio","Portfolio",IFERROR(INDEX(DATA_ASSET_CLASSIFICATION!$B$8:$B$24,MATCH($C2393,DATA_ASSET_CLASSIFICATION!$A$8:$A$24,0)),"Review"))</f>
        <v>Jessica Place</v>
      </c>
      <c r="N2393" s="350" t="str">
        <f ca="1">IF($B2393="Portfolio","Portfolio",IFERROR(INDEX(DATA_ASSET_CLASSIFICATION!$U$8:$U$24,MATCH($C2393,DATA_ASSET_CLASSIFICATION!$A$8:$A$24,0)),"Review"))</f>
        <v>Refi Watch</v>
      </c>
      <c r="O2393" s="350" t="str">
        <f ca="1">IF($B2393="Portfolio","Portfolio",IFERROR(INDEX(DATA_ASSET_CLASSIFICATION!$AB$8:$AB$13,MATCH($N2393,DATA_ASSET_CLASSIFICATION!$AA$8:$AA$13,0)),"Review"))</f>
        <v>Bucket 2 · Legacy</v>
      </c>
      <c r="P2393" s="350" t="str">
        <f>IF($B2393="Portfolio","Portfolio",IFERROR(INDEX(DATA_ASSET_CLASSIFICATION!$C$8:$C$24,MATCH($C2393,DATA_ASSET_CLASSIFICATION!$A$8:$A$24,0)),"Review"))</f>
        <v>Yes</v>
      </c>
      <c r="Q2393" s="350" t="str">
        <f t="shared" ca="1" si="75"/>
        <v>OK</v>
      </c>
    </row>
    <row r="2394" spans="1:17">
      <c r="A2394" s="366" t="s">
        <v>4350</v>
      </c>
      <c r="B2394" s="366" t="s">
        <v>231</v>
      </c>
      <c r="C2394" s="348" t="str">
        <f>DATA_PROPERTY_MASTER!$A$12</f>
        <v>BLD_JP</v>
      </c>
      <c r="D2394" s="380">
        <f>'00_PORTFOLIO ROLLUP'!I$12</f>
        <v>2029</v>
      </c>
      <c r="E2394" s="366" t="s">
        <v>1721</v>
      </c>
      <c r="F2394" s="366" t="s">
        <v>31</v>
      </c>
      <c r="G2394" s="348" t="str">
        <f>"'"&amp;$C2394&amp;"'!$E$61:$Y$61"</f>
        <v>'BLD_JP'!$E$61:$Y$61</v>
      </c>
      <c r="H2394" s="381">
        <f ca="1">IF(IFERROR(INDEX(DATA_PROPERTY_MASTER!$E$5:$E$21,MATCH($C2394,DATA_PROPERTY_MASTER!$A$5:$A$21,0))="Yes",FALSE),IFERROR(INDEX(INDIRECT("'"&amp;$C2394&amp;"'!$E$61:$Y$61"),1,MATCH($D2394,INDIRECT("'"&amp;$C2394&amp;"'!$E$12:$Y$12"),0)),0),0)</f>
        <v>0</v>
      </c>
      <c r="I2394" s="366" t="s">
        <v>1690</v>
      </c>
      <c r="J2394" s="348" t="str">
        <f t="shared" ca="1" si="74"/>
        <v>OK</v>
      </c>
      <c r="K2394" s="366" t="s">
        <v>1723</v>
      </c>
      <c r="L2394" s="366" t="s">
        <v>2252</v>
      </c>
      <c r="M2394" s="350" t="str">
        <f>IF($B2394="Portfolio","Portfolio",IFERROR(INDEX(DATA_ASSET_CLASSIFICATION!$B$8:$B$24,MATCH($C2394,DATA_ASSET_CLASSIFICATION!$A$8:$A$24,0)),"Review"))</f>
        <v>Jessica Place</v>
      </c>
      <c r="N2394" s="350" t="str">
        <f ca="1">IF($B2394="Portfolio","Portfolio",IFERROR(INDEX(DATA_ASSET_CLASSIFICATION!$U$8:$U$24,MATCH($C2394,DATA_ASSET_CLASSIFICATION!$A$8:$A$24,0)),"Review"))</f>
        <v>Refi Watch</v>
      </c>
      <c r="O2394" s="350" t="str">
        <f ca="1">IF($B2394="Portfolio","Portfolio",IFERROR(INDEX(DATA_ASSET_CLASSIFICATION!$AB$8:$AB$13,MATCH($N2394,DATA_ASSET_CLASSIFICATION!$AA$8:$AA$13,0)),"Review"))</f>
        <v>Bucket 2 · Legacy</v>
      </c>
      <c r="P2394" s="350" t="str">
        <f>IF($B2394="Portfolio","Portfolio",IFERROR(INDEX(DATA_ASSET_CLASSIFICATION!$C$8:$C$24,MATCH($C2394,DATA_ASSET_CLASSIFICATION!$A$8:$A$24,0)),"Review"))</f>
        <v>Yes</v>
      </c>
      <c r="Q2394" s="350" t="str">
        <f t="shared" ca="1" si="75"/>
        <v>OK</v>
      </c>
    </row>
    <row r="2395" spans="1:17">
      <c r="A2395" s="366" t="s">
        <v>4351</v>
      </c>
      <c r="B2395" s="366" t="s">
        <v>231</v>
      </c>
      <c r="C2395" s="348" t="str">
        <f>DATA_PROPERTY_MASTER!$A$12</f>
        <v>BLD_JP</v>
      </c>
      <c r="D2395" s="380">
        <f>'00_PORTFOLIO ROLLUP'!I$12</f>
        <v>2029</v>
      </c>
      <c r="E2395" s="366" t="s">
        <v>1721</v>
      </c>
      <c r="F2395" s="366" t="s">
        <v>33</v>
      </c>
      <c r="G2395" s="348" t="str">
        <f>"'"&amp;$C2395&amp;"'!$E$62:$Y$62"</f>
        <v>'BLD_JP'!$E$62:$Y$62</v>
      </c>
      <c r="H2395" s="381">
        <f ca="1">IF(IFERROR(INDEX(DATA_PROPERTY_MASTER!$E$5:$E$21,MATCH($C2395,DATA_PROPERTY_MASTER!$A$5:$A$21,0))="Yes",FALSE),IFERROR(INDEX(INDIRECT("'"&amp;$C2395&amp;"'!$E$62:$Y$62"),1,MATCH($D2395,INDIRECT("'"&amp;$C2395&amp;"'!$E$12:$Y$12"),0)),0),0)</f>
        <v>0</v>
      </c>
      <c r="I2395" s="366" t="s">
        <v>1685</v>
      </c>
      <c r="J2395" s="348" t="str">
        <f t="shared" ca="1" si="74"/>
        <v>OK</v>
      </c>
      <c r="K2395" s="366" t="s">
        <v>1727</v>
      </c>
      <c r="L2395" s="366" t="s">
        <v>2254</v>
      </c>
      <c r="M2395" s="350" t="str">
        <f>IF($B2395="Portfolio","Portfolio",IFERROR(INDEX(DATA_ASSET_CLASSIFICATION!$B$8:$B$24,MATCH($C2395,DATA_ASSET_CLASSIFICATION!$A$8:$A$24,0)),"Review"))</f>
        <v>Jessica Place</v>
      </c>
      <c r="N2395" s="350" t="str">
        <f ca="1">IF($B2395="Portfolio","Portfolio",IFERROR(INDEX(DATA_ASSET_CLASSIFICATION!$U$8:$U$24,MATCH($C2395,DATA_ASSET_CLASSIFICATION!$A$8:$A$24,0)),"Review"))</f>
        <v>Refi Watch</v>
      </c>
      <c r="O2395" s="350" t="str">
        <f ca="1">IF($B2395="Portfolio","Portfolio",IFERROR(INDEX(DATA_ASSET_CLASSIFICATION!$AB$8:$AB$13,MATCH($N2395,DATA_ASSET_CLASSIFICATION!$AA$8:$AA$13,0)),"Review"))</f>
        <v>Bucket 2 · Legacy</v>
      </c>
      <c r="P2395" s="350" t="str">
        <f>IF($B2395="Portfolio","Portfolio",IFERROR(INDEX(DATA_ASSET_CLASSIFICATION!$C$8:$C$24,MATCH($C2395,DATA_ASSET_CLASSIFICATION!$A$8:$A$24,0)),"Review"))</f>
        <v>Yes</v>
      </c>
      <c r="Q2395" s="350" t="str">
        <f t="shared" ca="1" si="75"/>
        <v>OK</v>
      </c>
    </row>
    <row r="2396" spans="1:17">
      <c r="A2396" s="366" t="s">
        <v>4352</v>
      </c>
      <c r="B2396" s="366" t="s">
        <v>231</v>
      </c>
      <c r="C2396" s="348" t="str">
        <f>DATA_PROPERTY_MASTER!$A$12</f>
        <v>BLD_JP</v>
      </c>
      <c r="D2396" s="380">
        <f>'00_PORTFOLIO ROLLUP'!I$12</f>
        <v>2029</v>
      </c>
      <c r="E2396" s="366" t="s">
        <v>1721</v>
      </c>
      <c r="F2396" s="366" t="s">
        <v>35</v>
      </c>
      <c r="G2396" s="348" t="str">
        <f>"'"&amp;$C2396&amp;"'!$E$63:$Y$63"</f>
        <v>'BLD_JP'!$E$63:$Y$63</v>
      </c>
      <c r="H2396" s="381">
        <f ca="1">IF(IFERROR(INDEX(DATA_PROPERTY_MASTER!$E$5:$E$21,MATCH($C2396,DATA_PROPERTY_MASTER!$A$5:$A$21,0))="Yes",FALSE),IFERROR(INDEX(INDIRECT("'"&amp;$C2396&amp;"'!$E$63:$Y$63"),1,MATCH($D2396,INDIRECT("'"&amp;$C2396&amp;"'!$E$12:$Y$12"),0)),0),0)</f>
        <v>0</v>
      </c>
      <c r="I2396" s="366" t="s">
        <v>1731</v>
      </c>
      <c r="J2396" s="348" t="str">
        <f t="shared" ca="1" si="74"/>
        <v>OK</v>
      </c>
      <c r="K2396" s="366" t="s">
        <v>1732</v>
      </c>
      <c r="L2396" s="366" t="s">
        <v>2256</v>
      </c>
      <c r="M2396" s="350" t="str">
        <f>IF($B2396="Portfolio","Portfolio",IFERROR(INDEX(DATA_ASSET_CLASSIFICATION!$B$8:$B$24,MATCH($C2396,DATA_ASSET_CLASSIFICATION!$A$8:$A$24,0)),"Review"))</f>
        <v>Jessica Place</v>
      </c>
      <c r="N2396" s="350" t="str">
        <f ca="1">IF($B2396="Portfolio","Portfolio",IFERROR(INDEX(DATA_ASSET_CLASSIFICATION!$U$8:$U$24,MATCH($C2396,DATA_ASSET_CLASSIFICATION!$A$8:$A$24,0)),"Review"))</f>
        <v>Refi Watch</v>
      </c>
      <c r="O2396" s="350" t="str">
        <f ca="1">IF($B2396="Portfolio","Portfolio",IFERROR(INDEX(DATA_ASSET_CLASSIFICATION!$AB$8:$AB$13,MATCH($N2396,DATA_ASSET_CLASSIFICATION!$AA$8:$AA$13,0)),"Review"))</f>
        <v>Bucket 2 · Legacy</v>
      </c>
      <c r="P2396" s="350" t="str">
        <f>IF($B2396="Portfolio","Portfolio",IFERROR(INDEX(DATA_ASSET_CLASSIFICATION!$C$8:$C$24,MATCH($C2396,DATA_ASSET_CLASSIFICATION!$A$8:$A$24,0)),"Review"))</f>
        <v>Yes</v>
      </c>
      <c r="Q2396" s="350" t="str">
        <f t="shared" ca="1" si="75"/>
        <v>OK</v>
      </c>
    </row>
    <row r="2397" spans="1:17">
      <c r="A2397" s="366" t="s">
        <v>4353</v>
      </c>
      <c r="B2397" s="366" t="s">
        <v>231</v>
      </c>
      <c r="C2397" s="348" t="str">
        <f>DATA_PROPERTY_MASTER!$A$12</f>
        <v>BLD_JP</v>
      </c>
      <c r="D2397" s="380">
        <f>'00_PORTFOLIO ROLLUP'!I$12</f>
        <v>2029</v>
      </c>
      <c r="E2397" s="366" t="s">
        <v>1721</v>
      </c>
      <c r="F2397" s="366" t="s">
        <v>37</v>
      </c>
      <c r="G2397" s="348" t="str">
        <f>"'"&amp;$C2397&amp;"'!$E$63:$Y$63"</f>
        <v>'BLD_JP'!$E$63:$Y$63</v>
      </c>
      <c r="H2397" s="381">
        <f ca="1">IF(IFERROR(INDEX(DATA_PROPERTY_MASTER!$E$5:$E$21,MATCH($C2397,DATA_PROPERTY_MASTER!$A$5:$A$21,0))="Yes",FALSE),MAX(IFERROR(INDEX(INDIRECT("'"&amp;$C2397&amp;"'!$E$63:$Y$63"),1,MATCH($D2397,INDIRECT("'"&amp;$C2397&amp;"'!$E$12:$Y$12"),0)),0),0),0)</f>
        <v>0</v>
      </c>
      <c r="I2397" s="366" t="s">
        <v>1685</v>
      </c>
      <c r="J2397" s="348" t="str">
        <f t="shared" ca="1" si="74"/>
        <v>OK</v>
      </c>
      <c r="K2397" s="366" t="s">
        <v>1735</v>
      </c>
      <c r="L2397" s="366" t="s">
        <v>2258</v>
      </c>
      <c r="M2397" s="350" t="str">
        <f>IF($B2397="Portfolio","Portfolio",IFERROR(INDEX(DATA_ASSET_CLASSIFICATION!$B$8:$B$24,MATCH($C2397,DATA_ASSET_CLASSIFICATION!$A$8:$A$24,0)),"Review"))</f>
        <v>Jessica Place</v>
      </c>
      <c r="N2397" s="350" t="str">
        <f ca="1">IF($B2397="Portfolio","Portfolio",IFERROR(INDEX(DATA_ASSET_CLASSIFICATION!$U$8:$U$24,MATCH($C2397,DATA_ASSET_CLASSIFICATION!$A$8:$A$24,0)),"Review"))</f>
        <v>Refi Watch</v>
      </c>
      <c r="O2397" s="350" t="str">
        <f ca="1">IF($B2397="Portfolio","Portfolio",IFERROR(INDEX(DATA_ASSET_CLASSIFICATION!$AB$8:$AB$13,MATCH($N2397,DATA_ASSET_CLASSIFICATION!$AA$8:$AA$13,0)),"Review"))</f>
        <v>Bucket 2 · Legacy</v>
      </c>
      <c r="P2397" s="350" t="str">
        <f>IF($B2397="Portfolio","Portfolio",IFERROR(INDEX(DATA_ASSET_CLASSIFICATION!$C$8:$C$24,MATCH($C2397,DATA_ASSET_CLASSIFICATION!$A$8:$A$24,0)),"Review"))</f>
        <v>Yes</v>
      </c>
      <c r="Q2397" s="350" t="str">
        <f t="shared" ca="1" si="75"/>
        <v>OK</v>
      </c>
    </row>
    <row r="2398" spans="1:17">
      <c r="A2398" s="366" t="s">
        <v>4354</v>
      </c>
      <c r="B2398" s="366" t="s">
        <v>231</v>
      </c>
      <c r="C2398" s="348" t="str">
        <f>DATA_PROPERTY_MASTER!$A$12</f>
        <v>BLD_JP</v>
      </c>
      <c r="D2398" s="380">
        <f>'00_PORTFOLIO ROLLUP'!I$12</f>
        <v>2029</v>
      </c>
      <c r="E2398" s="366" t="s">
        <v>1721</v>
      </c>
      <c r="F2398" s="366" t="s">
        <v>39</v>
      </c>
      <c r="G2398" s="348" t="str">
        <f>"'"&amp;$C2398&amp;"'!$E$63:$Y$63"</f>
        <v>'BLD_JP'!$E$63:$Y$63</v>
      </c>
      <c r="H2398" s="381">
        <f ca="1">IF(IFERROR(INDEX(DATA_PROPERTY_MASTER!$E$5:$E$21,MATCH($C2398,DATA_PROPERTY_MASTER!$A$5:$A$21,0))="Yes",FALSE),MAX(-IFERROR(INDEX(INDIRECT("'"&amp;$C2398&amp;"'!$E$63:$Y$63"),1,MATCH($D2398,INDIRECT("'"&amp;$C2398&amp;"'!$E$12:$Y$12"),0)),0),0),0)</f>
        <v>0</v>
      </c>
      <c r="I2398" s="366" t="s">
        <v>1690</v>
      </c>
      <c r="J2398" s="348" t="str">
        <f t="shared" ca="1" si="74"/>
        <v>OK</v>
      </c>
      <c r="K2398" s="366" t="s">
        <v>1738</v>
      </c>
      <c r="L2398" s="366" t="s">
        <v>2260</v>
      </c>
      <c r="M2398" s="350" t="str">
        <f>IF($B2398="Portfolio","Portfolio",IFERROR(INDEX(DATA_ASSET_CLASSIFICATION!$B$8:$B$24,MATCH($C2398,DATA_ASSET_CLASSIFICATION!$A$8:$A$24,0)),"Review"))</f>
        <v>Jessica Place</v>
      </c>
      <c r="N2398" s="350" t="str">
        <f ca="1">IF($B2398="Portfolio","Portfolio",IFERROR(INDEX(DATA_ASSET_CLASSIFICATION!$U$8:$U$24,MATCH($C2398,DATA_ASSET_CLASSIFICATION!$A$8:$A$24,0)),"Review"))</f>
        <v>Refi Watch</v>
      </c>
      <c r="O2398" s="350" t="str">
        <f ca="1">IF($B2398="Portfolio","Portfolio",IFERROR(INDEX(DATA_ASSET_CLASSIFICATION!$AB$8:$AB$13,MATCH($N2398,DATA_ASSET_CLASSIFICATION!$AA$8:$AA$13,0)),"Review"))</f>
        <v>Bucket 2 · Legacy</v>
      </c>
      <c r="P2398" s="350" t="str">
        <f>IF($B2398="Portfolio","Portfolio",IFERROR(INDEX(DATA_ASSET_CLASSIFICATION!$C$8:$C$24,MATCH($C2398,DATA_ASSET_CLASSIFICATION!$A$8:$A$24,0)),"Review"))</f>
        <v>Yes</v>
      </c>
      <c r="Q2398" s="350" t="str">
        <f t="shared" ca="1" si="75"/>
        <v>OK</v>
      </c>
    </row>
    <row r="2399" spans="1:17">
      <c r="A2399" s="366" t="s">
        <v>4355</v>
      </c>
      <c r="B2399" s="366" t="s">
        <v>231</v>
      </c>
      <c r="C2399" s="348" t="str">
        <f>DATA_PROPERTY_MASTER!$A$12</f>
        <v>BLD_JP</v>
      </c>
      <c r="D2399" s="380">
        <f>'00_PORTFOLIO ROLLUP'!I$12</f>
        <v>2029</v>
      </c>
      <c r="E2399" s="366" t="s">
        <v>1741</v>
      </c>
      <c r="F2399" s="366" t="s">
        <v>41</v>
      </c>
      <c r="G2399" s="348" t="str">
        <f>"'"&amp;$C2399&amp;"'!rows 56 + positive row 63"</f>
        <v>'BLD_JP'!rows 56 + positive row 63</v>
      </c>
      <c r="H2399" s="381">
        <f ca="1">IF(IFERROR(INDEX(DATA_PROPERTY_MASTER!$E$5:$E$21,MATCH($C2399,DATA_PROPERTY_MASTER!$A$5:$A$21,0))="Yes",FALSE),IFERROR(INDEX(INDIRECT("'"&amp;$C2399&amp;"'!$E$56:$Y$56"),1,MATCH($D2399,INDIRECT("'"&amp;$C2399&amp;"'!$E$12:$Y$12"),0)),0)+MAX(IFERROR(INDEX(INDIRECT("'"&amp;$C2399&amp;"'!$E$63:$Y$63"),1,MATCH($D2399,INDIRECT("'"&amp;$C2399&amp;"'!$E$12:$Y$12"),0)),0),0),0)</f>
        <v>93731.589468687278</v>
      </c>
      <c r="I2399" s="366" t="s">
        <v>1685</v>
      </c>
      <c r="J2399" s="348" t="str">
        <f t="shared" ca="1" si="74"/>
        <v>OK</v>
      </c>
      <c r="K2399" s="366" t="s">
        <v>1742</v>
      </c>
      <c r="L2399" s="366" t="s">
        <v>2262</v>
      </c>
      <c r="M2399" s="350" t="str">
        <f>IF($B2399="Portfolio","Portfolio",IFERROR(INDEX(DATA_ASSET_CLASSIFICATION!$B$8:$B$24,MATCH($C2399,DATA_ASSET_CLASSIFICATION!$A$8:$A$24,0)),"Review"))</f>
        <v>Jessica Place</v>
      </c>
      <c r="N2399" s="350" t="str">
        <f ca="1">IF($B2399="Portfolio","Portfolio",IFERROR(INDEX(DATA_ASSET_CLASSIFICATION!$U$8:$U$24,MATCH($C2399,DATA_ASSET_CLASSIFICATION!$A$8:$A$24,0)),"Review"))</f>
        <v>Refi Watch</v>
      </c>
      <c r="O2399" s="350" t="str">
        <f ca="1">IF($B2399="Portfolio","Portfolio",IFERROR(INDEX(DATA_ASSET_CLASSIFICATION!$AB$8:$AB$13,MATCH($N2399,DATA_ASSET_CLASSIFICATION!$AA$8:$AA$13,0)),"Review"))</f>
        <v>Bucket 2 · Legacy</v>
      </c>
      <c r="P2399" s="350" t="str">
        <f>IF($B2399="Portfolio","Portfolio",IFERROR(INDEX(DATA_ASSET_CLASSIFICATION!$C$8:$C$24,MATCH($C2399,DATA_ASSET_CLASSIFICATION!$A$8:$A$24,0)),"Review"))</f>
        <v>Yes</v>
      </c>
      <c r="Q2399" s="350" t="str">
        <f t="shared" ca="1" si="75"/>
        <v>OK</v>
      </c>
    </row>
    <row r="2400" spans="1:17">
      <c r="A2400" s="366" t="s">
        <v>4356</v>
      </c>
      <c r="B2400" s="366" t="s">
        <v>231</v>
      </c>
      <c r="C2400" s="348" t="str">
        <f>DATA_PROPERTY_MASTER!$A$12</f>
        <v>BLD_JP</v>
      </c>
      <c r="D2400" s="380">
        <f>'00_PORTFOLIO ROLLUP'!I$12</f>
        <v>2029</v>
      </c>
      <c r="E2400" s="366" t="s">
        <v>1741</v>
      </c>
      <c r="F2400" s="366" t="s">
        <v>43</v>
      </c>
      <c r="G2400" s="348" t="str">
        <f>"'"&amp;$C2400&amp;"'!$E$68:$Y$68"</f>
        <v>'BLD_JP'!$E$68:$Y$68</v>
      </c>
      <c r="H2400" s="381">
        <f ca="1">IF(IFERROR(INDEX(DATA_PROPERTY_MASTER!$E$5:$E$21,MATCH($C2400,DATA_PROPERTY_MASTER!$A$5:$A$21,0))="Yes",FALSE),IFERROR(INDEX(INDIRECT("'"&amp;$C2400&amp;"'!$E$68:$Y$68"),1,MATCH($D2400,INDIRECT("'"&amp;$C2400&amp;"'!$E$12:$Y$12"),0)),0),0)</f>
        <v>93731.589468687278</v>
      </c>
      <c r="I2400" s="366" t="s">
        <v>1731</v>
      </c>
      <c r="J2400" s="348" t="str">
        <f t="shared" ca="1" si="74"/>
        <v>OK</v>
      </c>
      <c r="K2400" s="366" t="s">
        <v>1746</v>
      </c>
      <c r="L2400" s="366" t="s">
        <v>2264</v>
      </c>
      <c r="M2400" s="350" t="str">
        <f>IF($B2400="Portfolio","Portfolio",IFERROR(INDEX(DATA_ASSET_CLASSIFICATION!$B$8:$B$24,MATCH($C2400,DATA_ASSET_CLASSIFICATION!$A$8:$A$24,0)),"Review"))</f>
        <v>Jessica Place</v>
      </c>
      <c r="N2400" s="350" t="str">
        <f ca="1">IF($B2400="Portfolio","Portfolio",IFERROR(INDEX(DATA_ASSET_CLASSIFICATION!$U$8:$U$24,MATCH($C2400,DATA_ASSET_CLASSIFICATION!$A$8:$A$24,0)),"Review"))</f>
        <v>Refi Watch</v>
      </c>
      <c r="O2400" s="350" t="str">
        <f ca="1">IF($B2400="Portfolio","Portfolio",IFERROR(INDEX(DATA_ASSET_CLASSIFICATION!$AB$8:$AB$13,MATCH($N2400,DATA_ASSET_CLASSIFICATION!$AA$8:$AA$13,0)),"Review"))</f>
        <v>Bucket 2 · Legacy</v>
      </c>
      <c r="P2400" s="350" t="str">
        <f>IF($B2400="Portfolio","Portfolio",IFERROR(INDEX(DATA_ASSET_CLASSIFICATION!$C$8:$C$24,MATCH($C2400,DATA_ASSET_CLASSIFICATION!$A$8:$A$24,0)),"Review"))</f>
        <v>Yes</v>
      </c>
      <c r="Q2400" s="350" t="str">
        <f t="shared" ca="1" si="75"/>
        <v>OK</v>
      </c>
    </row>
    <row r="2401" spans="1:17">
      <c r="A2401" s="366" t="s">
        <v>4357</v>
      </c>
      <c r="B2401" s="366" t="s">
        <v>231</v>
      </c>
      <c r="C2401" s="348" t="str">
        <f>DATA_PROPERTY_MASTER!$A$12</f>
        <v>BLD_JP</v>
      </c>
      <c r="D2401" s="380">
        <f>'00_PORTFOLIO ROLLUP'!I$12</f>
        <v>2029</v>
      </c>
      <c r="E2401" s="366" t="s">
        <v>1741</v>
      </c>
      <c r="F2401" s="366" t="s">
        <v>1749</v>
      </c>
      <c r="G2401" s="348" t="str">
        <f>"'"&amp;$C2401&amp;"'!rows 56, 63, 68"</f>
        <v>'BLD_JP'!rows 56, 63, 68</v>
      </c>
      <c r="H2401" s="381">
        <f ca="1">IF(IFERROR(INDEX(DATA_PROPERTY_MASTER!$E$5:$E$21,MATCH($C2401,DATA_PROPERTY_MASTER!$A$5:$A$21,0))="Yes",FALSE),(IFERROR(INDEX(INDIRECT("'"&amp;$C2401&amp;"'!$E$56:$Y$56"),1,MATCH($D2401,INDIRECT("'"&amp;$C2401&amp;"'!$E$12:$Y$12"),0)),0)+MAX(IFERROR(INDEX(INDIRECT("'"&amp;$C2401&amp;"'!$E$63:$Y$63"),1,MATCH($D2401,INDIRECT("'"&amp;$C2401&amp;"'!$E$12:$Y$12"),0)),0),0))-(IFERROR(INDEX(INDIRECT("'"&amp;$C2401&amp;"'!$E$68:$Y$68"),1,MATCH($D2401,INDIRECT("'"&amp;$C2401&amp;"'!$E$12:$Y$12"),0)),0)),0)</f>
        <v>0</v>
      </c>
      <c r="I2401" s="366" t="s">
        <v>1750</v>
      </c>
      <c r="J2401" s="348" t="str">
        <f t="shared" ca="1" si="74"/>
        <v>OK</v>
      </c>
      <c r="K2401" s="366" t="s">
        <v>1751</v>
      </c>
      <c r="L2401" s="366" t="s">
        <v>2266</v>
      </c>
      <c r="M2401" s="350" t="str">
        <f>IF($B2401="Portfolio","Portfolio",IFERROR(INDEX(DATA_ASSET_CLASSIFICATION!$B$8:$B$24,MATCH($C2401,DATA_ASSET_CLASSIFICATION!$A$8:$A$24,0)),"Review"))</f>
        <v>Jessica Place</v>
      </c>
      <c r="N2401" s="350" t="str">
        <f ca="1">IF($B2401="Portfolio","Portfolio",IFERROR(INDEX(DATA_ASSET_CLASSIFICATION!$U$8:$U$24,MATCH($C2401,DATA_ASSET_CLASSIFICATION!$A$8:$A$24,0)),"Review"))</f>
        <v>Refi Watch</v>
      </c>
      <c r="O2401" s="350" t="str">
        <f ca="1">IF($B2401="Portfolio","Portfolio",IFERROR(INDEX(DATA_ASSET_CLASSIFICATION!$AB$8:$AB$13,MATCH($N2401,DATA_ASSET_CLASSIFICATION!$AA$8:$AA$13,0)),"Review"))</f>
        <v>Bucket 2 · Legacy</v>
      </c>
      <c r="P2401" s="350" t="str">
        <f>IF($B2401="Portfolio","Portfolio",IFERROR(INDEX(DATA_ASSET_CLASSIFICATION!$C$8:$C$24,MATCH($C2401,DATA_ASSET_CLASSIFICATION!$A$8:$A$24,0)),"Review"))</f>
        <v>Yes</v>
      </c>
      <c r="Q2401" s="350" t="str">
        <f t="shared" ca="1" si="75"/>
        <v>OK</v>
      </c>
    </row>
    <row r="2402" spans="1:17">
      <c r="A2402" s="366" t="s">
        <v>4358</v>
      </c>
      <c r="B2402" s="366" t="s">
        <v>231</v>
      </c>
      <c r="C2402" s="348" t="str">
        <f>DATA_PROPERTY_MASTER!$A$12</f>
        <v>BLD_JP</v>
      </c>
      <c r="D2402" s="380">
        <f>'00_PORTFOLIO ROLLUP'!J$12</f>
        <v>2030</v>
      </c>
      <c r="E2402" s="366" t="s">
        <v>1683</v>
      </c>
      <c r="F2402" s="366" t="s">
        <v>341</v>
      </c>
      <c r="G2402" s="348" t="str">
        <f>"'"&amp;$C2402&amp;"'!$E$24:$Y$24"</f>
        <v>'BLD_JP'!$E$24:$Y$24</v>
      </c>
      <c r="H2402" s="381">
        <f ca="1">IF(IFERROR(INDEX(DATA_PROPERTY_MASTER!$E$5:$E$21,MATCH($C2402,DATA_PROPERTY_MASTER!$A$5:$A$21,0))="Yes",FALSE),IFERROR(INDEX(INDIRECT("'"&amp;$C2402&amp;"'!$E$24:$Y$24"),1,MATCH($D2402,INDIRECT("'"&amp;$C2402&amp;"'!$E$12:$Y$12"),0)),0),0)</f>
        <v>542934.20811459899</v>
      </c>
      <c r="I2402" s="366" t="s">
        <v>1685</v>
      </c>
      <c r="J2402" s="348" t="str">
        <f t="shared" ca="1" si="74"/>
        <v>OK</v>
      </c>
      <c r="K2402" s="366" t="s">
        <v>1686</v>
      </c>
      <c r="L2402" s="366" t="s">
        <v>2234</v>
      </c>
      <c r="M2402" s="350" t="str">
        <f>IF($B2402="Portfolio","Portfolio",IFERROR(INDEX(DATA_ASSET_CLASSIFICATION!$B$8:$B$24,MATCH($C2402,DATA_ASSET_CLASSIFICATION!$A$8:$A$24,0)),"Review"))</f>
        <v>Jessica Place</v>
      </c>
      <c r="N2402" s="350" t="str">
        <f ca="1">IF($B2402="Portfolio","Portfolio",IFERROR(INDEX(DATA_ASSET_CLASSIFICATION!$U$8:$U$24,MATCH($C2402,DATA_ASSET_CLASSIFICATION!$A$8:$A$24,0)),"Review"))</f>
        <v>Refi Watch</v>
      </c>
      <c r="O2402" s="350" t="str">
        <f ca="1">IF($B2402="Portfolio","Portfolio",IFERROR(INDEX(DATA_ASSET_CLASSIFICATION!$AB$8:$AB$13,MATCH($N2402,DATA_ASSET_CLASSIFICATION!$AA$8:$AA$13,0)),"Review"))</f>
        <v>Bucket 2 · Legacy</v>
      </c>
      <c r="P2402" s="350" t="str">
        <f>IF($B2402="Portfolio","Portfolio",IFERROR(INDEX(DATA_ASSET_CLASSIFICATION!$C$8:$C$24,MATCH($C2402,DATA_ASSET_CLASSIFICATION!$A$8:$A$24,0)),"Review"))</f>
        <v>Yes</v>
      </c>
      <c r="Q2402" s="350" t="str">
        <f t="shared" ca="1" si="75"/>
        <v>OK</v>
      </c>
    </row>
    <row r="2403" spans="1:17">
      <c r="A2403" s="366" t="s">
        <v>4359</v>
      </c>
      <c r="B2403" s="366" t="s">
        <v>231</v>
      </c>
      <c r="C2403" s="348" t="str">
        <f>DATA_PROPERTY_MASTER!$A$12</f>
        <v>BLD_JP</v>
      </c>
      <c r="D2403" s="380">
        <f>'00_PORTFOLIO ROLLUP'!J$12</f>
        <v>2030</v>
      </c>
      <c r="E2403" s="366" t="s">
        <v>1683</v>
      </c>
      <c r="F2403" s="366" t="s">
        <v>355</v>
      </c>
      <c r="G2403" s="348" t="str">
        <f>"'"&amp;$C2403&amp;"'!$E$39:$Y$39"</f>
        <v>'BLD_JP'!$E$39:$Y$39</v>
      </c>
      <c r="H2403" s="381">
        <f ca="1">IF(IFERROR(INDEX(DATA_PROPERTY_MASTER!$E$5:$E$21,MATCH($C2403,DATA_PROPERTY_MASTER!$A$5:$A$21,0))="Yes",FALSE),IFERROR(INDEX(INDIRECT("'"&amp;$C2403&amp;"'!$E$39:$Y$39"),1,MATCH($D2403,INDIRECT("'"&amp;$C2403&amp;"'!$E$12:$Y$12"),0)),0),0)</f>
        <v>309877.84428257291</v>
      </c>
      <c r="I2403" s="366" t="s">
        <v>1690</v>
      </c>
      <c r="J2403" s="348" t="str">
        <f t="shared" ca="1" si="74"/>
        <v>OK</v>
      </c>
      <c r="K2403" s="366" t="s">
        <v>1686</v>
      </c>
      <c r="L2403" s="366" t="s">
        <v>2236</v>
      </c>
      <c r="M2403" s="350" t="str">
        <f>IF($B2403="Portfolio","Portfolio",IFERROR(INDEX(DATA_ASSET_CLASSIFICATION!$B$8:$B$24,MATCH($C2403,DATA_ASSET_CLASSIFICATION!$A$8:$A$24,0)),"Review"))</f>
        <v>Jessica Place</v>
      </c>
      <c r="N2403" s="350" t="str">
        <f ca="1">IF($B2403="Portfolio","Portfolio",IFERROR(INDEX(DATA_ASSET_CLASSIFICATION!$U$8:$U$24,MATCH($C2403,DATA_ASSET_CLASSIFICATION!$A$8:$A$24,0)),"Review"))</f>
        <v>Refi Watch</v>
      </c>
      <c r="O2403" s="350" t="str">
        <f ca="1">IF($B2403="Portfolio","Portfolio",IFERROR(INDEX(DATA_ASSET_CLASSIFICATION!$AB$8:$AB$13,MATCH($N2403,DATA_ASSET_CLASSIFICATION!$AA$8:$AA$13,0)),"Review"))</f>
        <v>Bucket 2 · Legacy</v>
      </c>
      <c r="P2403" s="350" t="str">
        <f>IF($B2403="Portfolio","Portfolio",IFERROR(INDEX(DATA_ASSET_CLASSIFICATION!$C$8:$C$24,MATCH($C2403,DATA_ASSET_CLASSIFICATION!$A$8:$A$24,0)),"Review"))</f>
        <v>Yes</v>
      </c>
      <c r="Q2403" s="350" t="str">
        <f t="shared" ca="1" si="75"/>
        <v>OK</v>
      </c>
    </row>
    <row r="2404" spans="1:17">
      <c r="A2404" s="366" t="s">
        <v>4360</v>
      </c>
      <c r="B2404" s="366" t="s">
        <v>231</v>
      </c>
      <c r="C2404" s="348" t="str">
        <f>DATA_PROPERTY_MASTER!$A$12</f>
        <v>BLD_JP</v>
      </c>
      <c r="D2404" s="380">
        <f>'00_PORTFOLIO ROLLUP'!J$12</f>
        <v>2030</v>
      </c>
      <c r="E2404" s="366" t="s">
        <v>1683</v>
      </c>
      <c r="F2404" s="366" t="s">
        <v>19</v>
      </c>
      <c r="G2404" s="348" t="str">
        <f>"'"&amp;$C2404&amp;"'!$E$41:$Y$41"</f>
        <v>'BLD_JP'!$E$41:$Y$41</v>
      </c>
      <c r="H2404" s="381">
        <f ca="1">IF(IFERROR(INDEX(DATA_PROPERTY_MASTER!$E$5:$E$21,MATCH($C2404,DATA_PROPERTY_MASTER!$A$5:$A$21,0))="Yes",FALSE),IFERROR(INDEX(INDIRECT("'"&amp;$C2404&amp;"'!$E$41:$Y$41"),1,MATCH($D2404,INDIRECT("'"&amp;$C2404&amp;"'!$E$12:$Y$12"),0)),0),0)</f>
        <v>233056.36383202608</v>
      </c>
      <c r="I2404" s="366" t="s">
        <v>1685</v>
      </c>
      <c r="J2404" s="348" t="str">
        <f t="shared" ca="1" si="74"/>
        <v>OK</v>
      </c>
      <c r="K2404" s="366" t="s">
        <v>1694</v>
      </c>
      <c r="L2404" s="366" t="s">
        <v>2238</v>
      </c>
      <c r="M2404" s="350" t="str">
        <f>IF($B2404="Portfolio","Portfolio",IFERROR(INDEX(DATA_ASSET_CLASSIFICATION!$B$8:$B$24,MATCH($C2404,DATA_ASSET_CLASSIFICATION!$A$8:$A$24,0)),"Review"))</f>
        <v>Jessica Place</v>
      </c>
      <c r="N2404" s="350" t="str">
        <f ca="1">IF($B2404="Portfolio","Portfolio",IFERROR(INDEX(DATA_ASSET_CLASSIFICATION!$U$8:$U$24,MATCH($C2404,DATA_ASSET_CLASSIFICATION!$A$8:$A$24,0)),"Review"))</f>
        <v>Refi Watch</v>
      </c>
      <c r="O2404" s="350" t="str">
        <f ca="1">IF($B2404="Portfolio","Portfolio",IFERROR(INDEX(DATA_ASSET_CLASSIFICATION!$AB$8:$AB$13,MATCH($N2404,DATA_ASSET_CLASSIFICATION!$AA$8:$AA$13,0)),"Review"))</f>
        <v>Bucket 2 · Legacy</v>
      </c>
      <c r="P2404" s="350" t="str">
        <f>IF($B2404="Portfolio","Portfolio",IFERROR(INDEX(DATA_ASSET_CLASSIFICATION!$C$8:$C$24,MATCH($C2404,DATA_ASSET_CLASSIFICATION!$A$8:$A$24,0)),"Review"))</f>
        <v>Yes</v>
      </c>
      <c r="Q2404" s="350" t="str">
        <f t="shared" ca="1" si="75"/>
        <v>OK</v>
      </c>
    </row>
    <row r="2405" spans="1:17">
      <c r="A2405" s="366" t="s">
        <v>4361</v>
      </c>
      <c r="B2405" s="366" t="s">
        <v>231</v>
      </c>
      <c r="C2405" s="348" t="str">
        <f>DATA_PROPERTY_MASTER!$A$12</f>
        <v>BLD_JP</v>
      </c>
      <c r="D2405" s="380">
        <f>'00_PORTFOLIO ROLLUP'!J$12</f>
        <v>2030</v>
      </c>
      <c r="E2405" s="366" t="s">
        <v>1683</v>
      </c>
      <c r="F2405" s="366" t="s">
        <v>1697</v>
      </c>
      <c r="G2405" s="348" t="str">
        <f>"'"&amp;$C2405&amp;"'!$E$44:$Y$44"</f>
        <v>'BLD_JP'!$E$44:$Y$44</v>
      </c>
      <c r="H2405" s="381">
        <f ca="1">IF(IFERROR(INDEX(DATA_PROPERTY_MASTER!$E$5:$E$21,MATCH($C2405,DATA_PROPERTY_MASTER!$A$5:$A$21,0))="Yes",FALSE),IFERROR(INDEX(INDIRECT("'"&amp;$C2405&amp;"'!$E$44:$Y$44"),1,MATCH($D2405,INDIRECT("'"&amp;$C2405&amp;"'!$E$12:$Y$12"),0)),0),0)</f>
        <v>6624.4848191999999</v>
      </c>
      <c r="I2405" s="366" t="s">
        <v>1690</v>
      </c>
      <c r="J2405" s="348" t="str">
        <f t="shared" ca="1" si="74"/>
        <v>OK</v>
      </c>
      <c r="K2405" s="366" t="s">
        <v>1699</v>
      </c>
      <c r="L2405" s="366" t="s">
        <v>2240</v>
      </c>
      <c r="M2405" s="350" t="str">
        <f>IF($B2405="Portfolio","Portfolio",IFERROR(INDEX(DATA_ASSET_CLASSIFICATION!$B$8:$B$24,MATCH($C2405,DATA_ASSET_CLASSIFICATION!$A$8:$A$24,0)),"Review"))</f>
        <v>Jessica Place</v>
      </c>
      <c r="N2405" s="350" t="str">
        <f ca="1">IF($B2405="Portfolio","Portfolio",IFERROR(INDEX(DATA_ASSET_CLASSIFICATION!$U$8:$U$24,MATCH($C2405,DATA_ASSET_CLASSIFICATION!$A$8:$A$24,0)),"Review"))</f>
        <v>Refi Watch</v>
      </c>
      <c r="O2405" s="350" t="str">
        <f ca="1">IF($B2405="Portfolio","Portfolio",IFERROR(INDEX(DATA_ASSET_CLASSIFICATION!$AB$8:$AB$13,MATCH($N2405,DATA_ASSET_CLASSIFICATION!$AA$8:$AA$13,0)),"Review"))</f>
        <v>Bucket 2 · Legacy</v>
      </c>
      <c r="P2405" s="350" t="str">
        <f>IF($B2405="Portfolio","Portfolio",IFERROR(INDEX(DATA_ASSET_CLASSIFICATION!$C$8:$C$24,MATCH($C2405,DATA_ASSET_CLASSIFICATION!$A$8:$A$24,0)),"Review"))</f>
        <v>Yes</v>
      </c>
      <c r="Q2405" s="350" t="str">
        <f t="shared" ca="1" si="75"/>
        <v>OK</v>
      </c>
    </row>
    <row r="2406" spans="1:17">
      <c r="A2406" s="366" t="s">
        <v>4362</v>
      </c>
      <c r="B2406" s="366" t="s">
        <v>231</v>
      </c>
      <c r="C2406" s="348" t="str">
        <f>DATA_PROPERTY_MASTER!$A$12</f>
        <v>BLD_JP</v>
      </c>
      <c r="D2406" s="380">
        <f>'00_PORTFOLIO ROLLUP'!J$12</f>
        <v>2030</v>
      </c>
      <c r="E2406" s="366" t="s">
        <v>1683</v>
      </c>
      <c r="F2406" s="366" t="s">
        <v>21</v>
      </c>
      <c r="G2406" s="348" t="str">
        <f>"'"&amp;$C2406&amp;"'!$E$45:$Y$45"</f>
        <v>'BLD_JP'!$E$45:$Y$45</v>
      </c>
      <c r="H2406" s="381">
        <f ca="1">IF(IFERROR(INDEX(DATA_PROPERTY_MASTER!$E$5:$E$21,MATCH($C2406,DATA_PROPERTY_MASTER!$A$5:$A$21,0))="Yes",FALSE),IFERROR(INDEX(INDIRECT("'"&amp;$C2406&amp;"'!$E$45:$Y$45"),1,MATCH($D2406,INDIRECT("'"&amp;$C2406&amp;"'!$E$12:$Y$12"),0)),0),0)</f>
        <v>226431.87901282607</v>
      </c>
      <c r="I2406" s="366" t="s">
        <v>1685</v>
      </c>
      <c r="J2406" s="348" t="str">
        <f t="shared" ca="1" si="74"/>
        <v>OK</v>
      </c>
      <c r="K2406" s="366" t="s">
        <v>1694</v>
      </c>
      <c r="L2406" s="366" t="s">
        <v>2242</v>
      </c>
      <c r="M2406" s="350" t="str">
        <f>IF($B2406="Portfolio","Portfolio",IFERROR(INDEX(DATA_ASSET_CLASSIFICATION!$B$8:$B$24,MATCH($C2406,DATA_ASSET_CLASSIFICATION!$A$8:$A$24,0)),"Review"))</f>
        <v>Jessica Place</v>
      </c>
      <c r="N2406" s="350" t="str">
        <f ca="1">IF($B2406="Portfolio","Portfolio",IFERROR(INDEX(DATA_ASSET_CLASSIFICATION!$U$8:$U$24,MATCH($C2406,DATA_ASSET_CLASSIFICATION!$A$8:$A$24,0)),"Review"))</f>
        <v>Refi Watch</v>
      </c>
      <c r="O2406" s="350" t="str">
        <f ca="1">IF($B2406="Portfolio","Portfolio",IFERROR(INDEX(DATA_ASSET_CLASSIFICATION!$AB$8:$AB$13,MATCH($N2406,DATA_ASSET_CLASSIFICATION!$AA$8:$AA$13,0)),"Review"))</f>
        <v>Bucket 2 · Legacy</v>
      </c>
      <c r="P2406" s="350" t="str">
        <f>IF($B2406="Portfolio","Portfolio",IFERROR(INDEX(DATA_ASSET_CLASSIFICATION!$C$8:$C$24,MATCH($C2406,DATA_ASSET_CLASSIFICATION!$A$8:$A$24,0)),"Review"))</f>
        <v>Yes</v>
      </c>
      <c r="Q2406" s="350" t="str">
        <f t="shared" ca="1" si="75"/>
        <v>OK</v>
      </c>
    </row>
    <row r="2407" spans="1:17">
      <c r="A2407" s="366" t="s">
        <v>4363</v>
      </c>
      <c r="B2407" s="366" t="s">
        <v>231</v>
      </c>
      <c r="C2407" s="348" t="str">
        <f>DATA_PROPERTY_MASTER!$A$12</f>
        <v>BLD_JP</v>
      </c>
      <c r="D2407" s="380">
        <f>'00_PORTFOLIO ROLLUP'!J$12</f>
        <v>2030</v>
      </c>
      <c r="E2407" s="366" t="s">
        <v>23</v>
      </c>
      <c r="F2407" s="366" t="s">
        <v>23</v>
      </c>
      <c r="G2407" s="348" t="str">
        <f>"'"&amp;$C2407&amp;"'!$E$48:$Y$48"</f>
        <v>'BLD_JP'!$E$48:$Y$48</v>
      </c>
      <c r="H2407" s="381">
        <f ca="1">IF(IFERROR(INDEX(DATA_PROPERTY_MASTER!$E$5:$E$21,MATCH($C2407,DATA_PROPERTY_MASTER!$A$5:$A$21,0))="Yes",FALSE),IFERROR(INDEX(INDIRECT("'"&amp;$C2407&amp;"'!$E$48:$Y$48"),1,MATCH($D2407,INDIRECT("'"&amp;$C2407&amp;"'!$E$12:$Y$12"),0)),0),0)</f>
        <v>0</v>
      </c>
      <c r="I2407" s="366" t="s">
        <v>1690</v>
      </c>
      <c r="J2407" s="348" t="str">
        <f t="shared" ca="1" si="74"/>
        <v>OK</v>
      </c>
      <c r="K2407" s="366" t="s">
        <v>1706</v>
      </c>
      <c r="L2407" s="366" t="s">
        <v>2244</v>
      </c>
      <c r="M2407" s="350" t="str">
        <f>IF($B2407="Portfolio","Portfolio",IFERROR(INDEX(DATA_ASSET_CLASSIFICATION!$B$8:$B$24,MATCH($C2407,DATA_ASSET_CLASSIFICATION!$A$8:$A$24,0)),"Review"))</f>
        <v>Jessica Place</v>
      </c>
      <c r="N2407" s="350" t="str">
        <f ca="1">IF($B2407="Portfolio","Portfolio",IFERROR(INDEX(DATA_ASSET_CLASSIFICATION!$U$8:$U$24,MATCH($C2407,DATA_ASSET_CLASSIFICATION!$A$8:$A$24,0)),"Review"))</f>
        <v>Refi Watch</v>
      </c>
      <c r="O2407" s="350" t="str">
        <f ca="1">IF($B2407="Portfolio","Portfolio",IFERROR(INDEX(DATA_ASSET_CLASSIFICATION!$AB$8:$AB$13,MATCH($N2407,DATA_ASSET_CLASSIFICATION!$AA$8:$AA$13,0)),"Review"))</f>
        <v>Bucket 2 · Legacy</v>
      </c>
      <c r="P2407" s="350" t="str">
        <f>IF($B2407="Portfolio","Portfolio",IFERROR(INDEX(DATA_ASSET_CLASSIFICATION!$C$8:$C$24,MATCH($C2407,DATA_ASSET_CLASSIFICATION!$A$8:$A$24,0)),"Review"))</f>
        <v>Yes</v>
      </c>
      <c r="Q2407" s="350" t="str">
        <f t="shared" ca="1" si="75"/>
        <v>OK</v>
      </c>
    </row>
    <row r="2408" spans="1:17">
      <c r="A2408" s="366" t="s">
        <v>4364</v>
      </c>
      <c r="B2408" s="366" t="s">
        <v>231</v>
      </c>
      <c r="C2408" s="348" t="str">
        <f>DATA_PROPERTY_MASTER!$A$12</f>
        <v>BLD_JP</v>
      </c>
      <c r="D2408" s="380">
        <f>'00_PORTFOLIO ROLLUP'!J$12</f>
        <v>2030</v>
      </c>
      <c r="E2408" s="366" t="s">
        <v>1683</v>
      </c>
      <c r="F2408" s="366" t="s">
        <v>25</v>
      </c>
      <c r="G2408" s="348" t="str">
        <f>"'"&amp;$C2408&amp;"'!$E$52:$Y$52"</f>
        <v>'BLD_JP'!$E$52:$Y$52</v>
      </c>
      <c r="H2408" s="381">
        <f ca="1">IF(IFERROR(INDEX(DATA_PROPERTY_MASTER!$E$5:$E$21,MATCH($C2408,DATA_PROPERTY_MASTER!$A$5:$A$21,0))="Yes",FALSE),IFERROR(INDEX(INDIRECT("'"&amp;$C2408&amp;"'!$E$52:$Y$52"),1,MATCH($D2408,INDIRECT("'"&amp;$C2408&amp;"'!$E$12:$Y$12"),0)),0),0)</f>
        <v>233056.36383202608</v>
      </c>
      <c r="I2408" s="366" t="s">
        <v>1685</v>
      </c>
      <c r="J2408" s="348" t="str">
        <f t="shared" ca="1" si="74"/>
        <v>OK</v>
      </c>
      <c r="K2408" s="366" t="s">
        <v>1710</v>
      </c>
      <c r="L2408" s="366" t="s">
        <v>2246</v>
      </c>
      <c r="M2408" s="350" t="str">
        <f>IF($B2408="Portfolio","Portfolio",IFERROR(INDEX(DATA_ASSET_CLASSIFICATION!$B$8:$B$24,MATCH($C2408,DATA_ASSET_CLASSIFICATION!$A$8:$A$24,0)),"Review"))</f>
        <v>Jessica Place</v>
      </c>
      <c r="N2408" s="350" t="str">
        <f ca="1">IF($B2408="Portfolio","Portfolio",IFERROR(INDEX(DATA_ASSET_CLASSIFICATION!$U$8:$U$24,MATCH($C2408,DATA_ASSET_CLASSIFICATION!$A$8:$A$24,0)),"Review"))</f>
        <v>Refi Watch</v>
      </c>
      <c r="O2408" s="350" t="str">
        <f ca="1">IF($B2408="Portfolio","Portfolio",IFERROR(INDEX(DATA_ASSET_CLASSIFICATION!$AB$8:$AB$13,MATCH($N2408,DATA_ASSET_CLASSIFICATION!$AA$8:$AA$13,0)),"Review"))</f>
        <v>Bucket 2 · Legacy</v>
      </c>
      <c r="P2408" s="350" t="str">
        <f>IF($B2408="Portfolio","Portfolio",IFERROR(INDEX(DATA_ASSET_CLASSIFICATION!$C$8:$C$24,MATCH($C2408,DATA_ASSET_CLASSIFICATION!$A$8:$A$24,0)),"Review"))</f>
        <v>Yes</v>
      </c>
      <c r="Q2408" s="350" t="str">
        <f t="shared" ca="1" si="75"/>
        <v>OK</v>
      </c>
    </row>
    <row r="2409" spans="1:17">
      <c r="A2409" s="366" t="s">
        <v>4365</v>
      </c>
      <c r="B2409" s="366" t="s">
        <v>231</v>
      </c>
      <c r="C2409" s="348" t="str">
        <f>DATA_PROPERTY_MASTER!$A$12</f>
        <v>BLD_JP</v>
      </c>
      <c r="D2409" s="380">
        <f>'00_PORTFOLIO ROLLUP'!J$12</f>
        <v>2030</v>
      </c>
      <c r="E2409" s="366" t="s">
        <v>1683</v>
      </c>
      <c r="F2409" s="366" t="s">
        <v>27</v>
      </c>
      <c r="G2409" s="348" t="str">
        <f>"'"&amp;$C2409&amp;"'!$E$54:$Y$54"</f>
        <v>'BLD_JP'!$E$54:$Y$54</v>
      </c>
      <c r="H2409" s="381">
        <f ca="1">IF(IFERROR(INDEX(DATA_PROPERTY_MASTER!$E$5:$E$21,MATCH($C2409,DATA_PROPERTY_MASTER!$A$5:$A$21,0))="Yes",FALSE),IFERROR(INDEX(INDIRECT("'"&amp;$C2409&amp;"'!$E$54:$Y$54"),1,MATCH($D2409,INDIRECT("'"&amp;$C2409&amp;"'!$E$12:$Y$12"),0)),0),0)</f>
        <v>139833.81829921564</v>
      </c>
      <c r="I2409" s="366" t="s">
        <v>1690</v>
      </c>
      <c r="J2409" s="348" t="str">
        <f t="shared" ca="1" si="74"/>
        <v>OK</v>
      </c>
      <c r="K2409" s="366" t="s">
        <v>1714</v>
      </c>
      <c r="L2409" s="366" t="s">
        <v>2248</v>
      </c>
      <c r="M2409" s="350" t="str">
        <f>IF($B2409="Portfolio","Portfolio",IFERROR(INDEX(DATA_ASSET_CLASSIFICATION!$B$8:$B$24,MATCH($C2409,DATA_ASSET_CLASSIFICATION!$A$8:$A$24,0)),"Review"))</f>
        <v>Jessica Place</v>
      </c>
      <c r="N2409" s="350" t="str">
        <f ca="1">IF($B2409="Portfolio","Portfolio",IFERROR(INDEX(DATA_ASSET_CLASSIFICATION!$U$8:$U$24,MATCH($C2409,DATA_ASSET_CLASSIFICATION!$A$8:$A$24,0)),"Review"))</f>
        <v>Refi Watch</v>
      </c>
      <c r="O2409" s="350" t="str">
        <f ca="1">IF($B2409="Portfolio","Portfolio",IFERROR(INDEX(DATA_ASSET_CLASSIFICATION!$AB$8:$AB$13,MATCH($N2409,DATA_ASSET_CLASSIFICATION!$AA$8:$AA$13,0)),"Review"))</f>
        <v>Bucket 2 · Legacy</v>
      </c>
      <c r="P2409" s="350" t="str">
        <f>IF($B2409="Portfolio","Portfolio",IFERROR(INDEX(DATA_ASSET_CLASSIFICATION!$C$8:$C$24,MATCH($C2409,DATA_ASSET_CLASSIFICATION!$A$8:$A$24,0)),"Review"))</f>
        <v>Yes</v>
      </c>
      <c r="Q2409" s="350" t="str">
        <f t="shared" ca="1" si="75"/>
        <v>OK</v>
      </c>
    </row>
    <row r="2410" spans="1:17">
      <c r="A2410" s="366" t="s">
        <v>4366</v>
      </c>
      <c r="B2410" s="366" t="s">
        <v>231</v>
      </c>
      <c r="C2410" s="348" t="str">
        <f>DATA_PROPERTY_MASTER!$A$12</f>
        <v>BLD_JP</v>
      </c>
      <c r="D2410" s="380">
        <f>'00_PORTFOLIO ROLLUP'!J$12</f>
        <v>2030</v>
      </c>
      <c r="E2410" s="366" t="s">
        <v>1683</v>
      </c>
      <c r="F2410" s="366" t="s">
        <v>29</v>
      </c>
      <c r="G2410" s="348" t="str">
        <f>"'"&amp;$C2410&amp;"'!$E$56:$Y$56"</f>
        <v>'BLD_JP'!$E$56:$Y$56</v>
      </c>
      <c r="H2410" s="381">
        <f ca="1">IF(IFERROR(INDEX(DATA_PROPERTY_MASTER!$E$5:$E$21,MATCH($C2410,DATA_PROPERTY_MASTER!$A$5:$A$21,0))="Yes",FALSE),IFERROR(INDEX(INDIRECT("'"&amp;$C2410&amp;"'!$E$56:$Y$56"),1,MATCH($D2410,INDIRECT("'"&amp;$C2410&amp;"'!$E$12:$Y$12"),0)),0),0)</f>
        <v>93222.545532810444</v>
      </c>
      <c r="I2410" s="366" t="s">
        <v>1685</v>
      </c>
      <c r="J2410" s="348" t="str">
        <f t="shared" ca="1" si="74"/>
        <v>OK</v>
      </c>
      <c r="K2410" s="366" t="s">
        <v>1718</v>
      </c>
      <c r="L2410" s="366" t="s">
        <v>2250</v>
      </c>
      <c r="M2410" s="350" t="str">
        <f>IF($B2410="Portfolio","Portfolio",IFERROR(INDEX(DATA_ASSET_CLASSIFICATION!$B$8:$B$24,MATCH($C2410,DATA_ASSET_CLASSIFICATION!$A$8:$A$24,0)),"Review"))</f>
        <v>Jessica Place</v>
      </c>
      <c r="N2410" s="350" t="str">
        <f ca="1">IF($B2410="Portfolio","Portfolio",IFERROR(INDEX(DATA_ASSET_CLASSIFICATION!$U$8:$U$24,MATCH($C2410,DATA_ASSET_CLASSIFICATION!$A$8:$A$24,0)),"Review"))</f>
        <v>Refi Watch</v>
      </c>
      <c r="O2410" s="350" t="str">
        <f ca="1">IF($B2410="Portfolio","Portfolio",IFERROR(INDEX(DATA_ASSET_CLASSIFICATION!$AB$8:$AB$13,MATCH($N2410,DATA_ASSET_CLASSIFICATION!$AA$8:$AA$13,0)),"Review"))</f>
        <v>Bucket 2 · Legacy</v>
      </c>
      <c r="P2410" s="350" t="str">
        <f>IF($B2410="Portfolio","Portfolio",IFERROR(INDEX(DATA_ASSET_CLASSIFICATION!$C$8:$C$24,MATCH($C2410,DATA_ASSET_CLASSIFICATION!$A$8:$A$24,0)),"Review"))</f>
        <v>Yes</v>
      </c>
      <c r="Q2410" s="350" t="str">
        <f t="shared" ca="1" si="75"/>
        <v>OK</v>
      </c>
    </row>
    <row r="2411" spans="1:17">
      <c r="A2411" s="366" t="s">
        <v>4367</v>
      </c>
      <c r="B2411" s="366" t="s">
        <v>231</v>
      </c>
      <c r="C2411" s="348" t="str">
        <f>DATA_PROPERTY_MASTER!$A$12</f>
        <v>BLD_JP</v>
      </c>
      <c r="D2411" s="380">
        <f>'00_PORTFOLIO ROLLUP'!J$12</f>
        <v>2030</v>
      </c>
      <c r="E2411" s="366" t="s">
        <v>1721</v>
      </c>
      <c r="F2411" s="366" t="s">
        <v>31</v>
      </c>
      <c r="G2411" s="348" t="str">
        <f>"'"&amp;$C2411&amp;"'!$E$61:$Y$61"</f>
        <v>'BLD_JP'!$E$61:$Y$61</v>
      </c>
      <c r="H2411" s="381">
        <f ca="1">IF(IFERROR(INDEX(DATA_PROPERTY_MASTER!$E$5:$E$21,MATCH($C2411,DATA_PROPERTY_MASTER!$A$5:$A$21,0))="Yes",FALSE),IFERROR(INDEX(INDIRECT("'"&amp;$C2411&amp;"'!$E$61:$Y$61"),1,MATCH($D2411,INDIRECT("'"&amp;$C2411&amp;"'!$E$12:$Y$12"),0)),0),0)</f>
        <v>0</v>
      </c>
      <c r="I2411" s="366" t="s">
        <v>1690</v>
      </c>
      <c r="J2411" s="348" t="str">
        <f t="shared" ca="1" si="74"/>
        <v>OK</v>
      </c>
      <c r="K2411" s="366" t="s">
        <v>1723</v>
      </c>
      <c r="L2411" s="366" t="s">
        <v>2252</v>
      </c>
      <c r="M2411" s="350" t="str">
        <f>IF($B2411="Portfolio","Portfolio",IFERROR(INDEX(DATA_ASSET_CLASSIFICATION!$B$8:$B$24,MATCH($C2411,DATA_ASSET_CLASSIFICATION!$A$8:$A$24,0)),"Review"))</f>
        <v>Jessica Place</v>
      </c>
      <c r="N2411" s="350" t="str">
        <f ca="1">IF($B2411="Portfolio","Portfolio",IFERROR(INDEX(DATA_ASSET_CLASSIFICATION!$U$8:$U$24,MATCH($C2411,DATA_ASSET_CLASSIFICATION!$A$8:$A$24,0)),"Review"))</f>
        <v>Refi Watch</v>
      </c>
      <c r="O2411" s="350" t="str">
        <f ca="1">IF($B2411="Portfolio","Portfolio",IFERROR(INDEX(DATA_ASSET_CLASSIFICATION!$AB$8:$AB$13,MATCH($N2411,DATA_ASSET_CLASSIFICATION!$AA$8:$AA$13,0)),"Review"))</f>
        <v>Bucket 2 · Legacy</v>
      </c>
      <c r="P2411" s="350" t="str">
        <f>IF($B2411="Portfolio","Portfolio",IFERROR(INDEX(DATA_ASSET_CLASSIFICATION!$C$8:$C$24,MATCH($C2411,DATA_ASSET_CLASSIFICATION!$A$8:$A$24,0)),"Review"))</f>
        <v>Yes</v>
      </c>
      <c r="Q2411" s="350" t="str">
        <f t="shared" ca="1" si="75"/>
        <v>OK</v>
      </c>
    </row>
    <row r="2412" spans="1:17">
      <c r="A2412" s="366" t="s">
        <v>4368</v>
      </c>
      <c r="B2412" s="366" t="s">
        <v>231</v>
      </c>
      <c r="C2412" s="348" t="str">
        <f>DATA_PROPERTY_MASTER!$A$12</f>
        <v>BLD_JP</v>
      </c>
      <c r="D2412" s="380">
        <f>'00_PORTFOLIO ROLLUP'!J$12</f>
        <v>2030</v>
      </c>
      <c r="E2412" s="366" t="s">
        <v>1721</v>
      </c>
      <c r="F2412" s="366" t="s">
        <v>33</v>
      </c>
      <c r="G2412" s="348" t="str">
        <f>"'"&amp;$C2412&amp;"'!$E$62:$Y$62"</f>
        <v>'BLD_JP'!$E$62:$Y$62</v>
      </c>
      <c r="H2412" s="381">
        <f ca="1">IF(IFERROR(INDEX(DATA_PROPERTY_MASTER!$E$5:$E$21,MATCH($C2412,DATA_PROPERTY_MASTER!$A$5:$A$21,0))="Yes",FALSE),IFERROR(INDEX(INDIRECT("'"&amp;$C2412&amp;"'!$E$62:$Y$62"),1,MATCH($D2412,INDIRECT("'"&amp;$C2412&amp;"'!$E$12:$Y$12"),0)),0),0)</f>
        <v>0</v>
      </c>
      <c r="I2412" s="366" t="s">
        <v>1685</v>
      </c>
      <c r="J2412" s="348" t="str">
        <f t="shared" ca="1" si="74"/>
        <v>OK</v>
      </c>
      <c r="K2412" s="366" t="s">
        <v>1727</v>
      </c>
      <c r="L2412" s="366" t="s">
        <v>2254</v>
      </c>
      <c r="M2412" s="350" t="str">
        <f>IF($B2412="Portfolio","Portfolio",IFERROR(INDEX(DATA_ASSET_CLASSIFICATION!$B$8:$B$24,MATCH($C2412,DATA_ASSET_CLASSIFICATION!$A$8:$A$24,0)),"Review"))</f>
        <v>Jessica Place</v>
      </c>
      <c r="N2412" s="350" t="str">
        <f ca="1">IF($B2412="Portfolio","Portfolio",IFERROR(INDEX(DATA_ASSET_CLASSIFICATION!$U$8:$U$24,MATCH($C2412,DATA_ASSET_CLASSIFICATION!$A$8:$A$24,0)),"Review"))</f>
        <v>Refi Watch</v>
      </c>
      <c r="O2412" s="350" t="str">
        <f ca="1">IF($B2412="Portfolio","Portfolio",IFERROR(INDEX(DATA_ASSET_CLASSIFICATION!$AB$8:$AB$13,MATCH($N2412,DATA_ASSET_CLASSIFICATION!$AA$8:$AA$13,0)),"Review"))</f>
        <v>Bucket 2 · Legacy</v>
      </c>
      <c r="P2412" s="350" t="str">
        <f>IF($B2412="Portfolio","Portfolio",IFERROR(INDEX(DATA_ASSET_CLASSIFICATION!$C$8:$C$24,MATCH($C2412,DATA_ASSET_CLASSIFICATION!$A$8:$A$24,0)),"Review"))</f>
        <v>Yes</v>
      </c>
      <c r="Q2412" s="350" t="str">
        <f t="shared" ca="1" si="75"/>
        <v>OK</v>
      </c>
    </row>
    <row r="2413" spans="1:17">
      <c r="A2413" s="366" t="s">
        <v>4369</v>
      </c>
      <c r="B2413" s="366" t="s">
        <v>231</v>
      </c>
      <c r="C2413" s="348" t="str">
        <f>DATA_PROPERTY_MASTER!$A$12</f>
        <v>BLD_JP</v>
      </c>
      <c r="D2413" s="380">
        <f>'00_PORTFOLIO ROLLUP'!J$12</f>
        <v>2030</v>
      </c>
      <c r="E2413" s="366" t="s">
        <v>1721</v>
      </c>
      <c r="F2413" s="366" t="s">
        <v>35</v>
      </c>
      <c r="G2413" s="348" t="str">
        <f>"'"&amp;$C2413&amp;"'!$E$63:$Y$63"</f>
        <v>'BLD_JP'!$E$63:$Y$63</v>
      </c>
      <c r="H2413" s="381">
        <f ca="1">IF(IFERROR(INDEX(DATA_PROPERTY_MASTER!$E$5:$E$21,MATCH($C2413,DATA_PROPERTY_MASTER!$A$5:$A$21,0))="Yes",FALSE),IFERROR(INDEX(INDIRECT("'"&amp;$C2413&amp;"'!$E$63:$Y$63"),1,MATCH($D2413,INDIRECT("'"&amp;$C2413&amp;"'!$E$12:$Y$12"),0)),0),0)</f>
        <v>0</v>
      </c>
      <c r="I2413" s="366" t="s">
        <v>1731</v>
      </c>
      <c r="J2413" s="348" t="str">
        <f t="shared" ca="1" si="74"/>
        <v>OK</v>
      </c>
      <c r="K2413" s="366" t="s">
        <v>1732</v>
      </c>
      <c r="L2413" s="366" t="s">
        <v>2256</v>
      </c>
      <c r="M2413" s="350" t="str">
        <f>IF($B2413="Portfolio","Portfolio",IFERROR(INDEX(DATA_ASSET_CLASSIFICATION!$B$8:$B$24,MATCH($C2413,DATA_ASSET_CLASSIFICATION!$A$8:$A$24,0)),"Review"))</f>
        <v>Jessica Place</v>
      </c>
      <c r="N2413" s="350" t="str">
        <f ca="1">IF($B2413="Portfolio","Portfolio",IFERROR(INDEX(DATA_ASSET_CLASSIFICATION!$U$8:$U$24,MATCH($C2413,DATA_ASSET_CLASSIFICATION!$A$8:$A$24,0)),"Review"))</f>
        <v>Refi Watch</v>
      </c>
      <c r="O2413" s="350" t="str">
        <f ca="1">IF($B2413="Portfolio","Portfolio",IFERROR(INDEX(DATA_ASSET_CLASSIFICATION!$AB$8:$AB$13,MATCH($N2413,DATA_ASSET_CLASSIFICATION!$AA$8:$AA$13,0)),"Review"))</f>
        <v>Bucket 2 · Legacy</v>
      </c>
      <c r="P2413" s="350" t="str">
        <f>IF($B2413="Portfolio","Portfolio",IFERROR(INDEX(DATA_ASSET_CLASSIFICATION!$C$8:$C$24,MATCH($C2413,DATA_ASSET_CLASSIFICATION!$A$8:$A$24,0)),"Review"))</f>
        <v>Yes</v>
      </c>
      <c r="Q2413" s="350" t="str">
        <f t="shared" ca="1" si="75"/>
        <v>OK</v>
      </c>
    </row>
    <row r="2414" spans="1:17">
      <c r="A2414" s="366" t="s">
        <v>4370</v>
      </c>
      <c r="B2414" s="366" t="s">
        <v>231</v>
      </c>
      <c r="C2414" s="348" t="str">
        <f>DATA_PROPERTY_MASTER!$A$12</f>
        <v>BLD_JP</v>
      </c>
      <c r="D2414" s="380">
        <f>'00_PORTFOLIO ROLLUP'!J$12</f>
        <v>2030</v>
      </c>
      <c r="E2414" s="366" t="s">
        <v>1721</v>
      </c>
      <c r="F2414" s="366" t="s">
        <v>37</v>
      </c>
      <c r="G2414" s="348" t="str">
        <f>"'"&amp;$C2414&amp;"'!$E$63:$Y$63"</f>
        <v>'BLD_JP'!$E$63:$Y$63</v>
      </c>
      <c r="H2414" s="381">
        <f ca="1">IF(IFERROR(INDEX(DATA_PROPERTY_MASTER!$E$5:$E$21,MATCH($C2414,DATA_PROPERTY_MASTER!$A$5:$A$21,0))="Yes",FALSE),MAX(IFERROR(INDEX(INDIRECT("'"&amp;$C2414&amp;"'!$E$63:$Y$63"),1,MATCH($D2414,INDIRECT("'"&amp;$C2414&amp;"'!$E$12:$Y$12"),0)),0),0),0)</f>
        <v>0</v>
      </c>
      <c r="I2414" s="366" t="s">
        <v>1685</v>
      </c>
      <c r="J2414" s="348" t="str">
        <f t="shared" ca="1" si="74"/>
        <v>OK</v>
      </c>
      <c r="K2414" s="366" t="s">
        <v>1735</v>
      </c>
      <c r="L2414" s="366" t="s">
        <v>2258</v>
      </c>
      <c r="M2414" s="350" t="str">
        <f>IF($B2414="Portfolio","Portfolio",IFERROR(INDEX(DATA_ASSET_CLASSIFICATION!$B$8:$B$24,MATCH($C2414,DATA_ASSET_CLASSIFICATION!$A$8:$A$24,0)),"Review"))</f>
        <v>Jessica Place</v>
      </c>
      <c r="N2414" s="350" t="str">
        <f ca="1">IF($B2414="Portfolio","Portfolio",IFERROR(INDEX(DATA_ASSET_CLASSIFICATION!$U$8:$U$24,MATCH($C2414,DATA_ASSET_CLASSIFICATION!$A$8:$A$24,0)),"Review"))</f>
        <v>Refi Watch</v>
      </c>
      <c r="O2414" s="350" t="str">
        <f ca="1">IF($B2414="Portfolio","Portfolio",IFERROR(INDEX(DATA_ASSET_CLASSIFICATION!$AB$8:$AB$13,MATCH($N2414,DATA_ASSET_CLASSIFICATION!$AA$8:$AA$13,0)),"Review"))</f>
        <v>Bucket 2 · Legacy</v>
      </c>
      <c r="P2414" s="350" t="str">
        <f>IF($B2414="Portfolio","Portfolio",IFERROR(INDEX(DATA_ASSET_CLASSIFICATION!$C$8:$C$24,MATCH($C2414,DATA_ASSET_CLASSIFICATION!$A$8:$A$24,0)),"Review"))</f>
        <v>Yes</v>
      </c>
      <c r="Q2414" s="350" t="str">
        <f t="shared" ca="1" si="75"/>
        <v>OK</v>
      </c>
    </row>
    <row r="2415" spans="1:17">
      <c r="A2415" s="366" t="s">
        <v>4371</v>
      </c>
      <c r="B2415" s="366" t="s">
        <v>231</v>
      </c>
      <c r="C2415" s="348" t="str">
        <f>DATA_PROPERTY_MASTER!$A$12</f>
        <v>BLD_JP</v>
      </c>
      <c r="D2415" s="380">
        <f>'00_PORTFOLIO ROLLUP'!J$12</f>
        <v>2030</v>
      </c>
      <c r="E2415" s="366" t="s">
        <v>1721</v>
      </c>
      <c r="F2415" s="366" t="s">
        <v>39</v>
      </c>
      <c r="G2415" s="348" t="str">
        <f>"'"&amp;$C2415&amp;"'!$E$63:$Y$63"</f>
        <v>'BLD_JP'!$E$63:$Y$63</v>
      </c>
      <c r="H2415" s="381">
        <f ca="1">IF(IFERROR(INDEX(DATA_PROPERTY_MASTER!$E$5:$E$21,MATCH($C2415,DATA_PROPERTY_MASTER!$A$5:$A$21,0))="Yes",FALSE),MAX(-IFERROR(INDEX(INDIRECT("'"&amp;$C2415&amp;"'!$E$63:$Y$63"),1,MATCH($D2415,INDIRECT("'"&amp;$C2415&amp;"'!$E$12:$Y$12"),0)),0),0),0)</f>
        <v>0</v>
      </c>
      <c r="I2415" s="366" t="s">
        <v>1690</v>
      </c>
      <c r="J2415" s="348" t="str">
        <f t="shared" ca="1" si="74"/>
        <v>OK</v>
      </c>
      <c r="K2415" s="366" t="s">
        <v>1738</v>
      </c>
      <c r="L2415" s="366" t="s">
        <v>2260</v>
      </c>
      <c r="M2415" s="350" t="str">
        <f>IF($B2415="Portfolio","Portfolio",IFERROR(INDEX(DATA_ASSET_CLASSIFICATION!$B$8:$B$24,MATCH($C2415,DATA_ASSET_CLASSIFICATION!$A$8:$A$24,0)),"Review"))</f>
        <v>Jessica Place</v>
      </c>
      <c r="N2415" s="350" t="str">
        <f ca="1">IF($B2415="Portfolio","Portfolio",IFERROR(INDEX(DATA_ASSET_CLASSIFICATION!$U$8:$U$24,MATCH($C2415,DATA_ASSET_CLASSIFICATION!$A$8:$A$24,0)),"Review"))</f>
        <v>Refi Watch</v>
      </c>
      <c r="O2415" s="350" t="str">
        <f ca="1">IF($B2415="Portfolio","Portfolio",IFERROR(INDEX(DATA_ASSET_CLASSIFICATION!$AB$8:$AB$13,MATCH($N2415,DATA_ASSET_CLASSIFICATION!$AA$8:$AA$13,0)),"Review"))</f>
        <v>Bucket 2 · Legacy</v>
      </c>
      <c r="P2415" s="350" t="str">
        <f>IF($B2415="Portfolio","Portfolio",IFERROR(INDEX(DATA_ASSET_CLASSIFICATION!$C$8:$C$24,MATCH($C2415,DATA_ASSET_CLASSIFICATION!$A$8:$A$24,0)),"Review"))</f>
        <v>Yes</v>
      </c>
      <c r="Q2415" s="350" t="str">
        <f t="shared" ca="1" si="75"/>
        <v>OK</v>
      </c>
    </row>
    <row r="2416" spans="1:17">
      <c r="A2416" s="366" t="s">
        <v>4372</v>
      </c>
      <c r="B2416" s="366" t="s">
        <v>231</v>
      </c>
      <c r="C2416" s="348" t="str">
        <f>DATA_PROPERTY_MASTER!$A$12</f>
        <v>BLD_JP</v>
      </c>
      <c r="D2416" s="380">
        <f>'00_PORTFOLIO ROLLUP'!J$12</f>
        <v>2030</v>
      </c>
      <c r="E2416" s="366" t="s">
        <v>1741</v>
      </c>
      <c r="F2416" s="366" t="s">
        <v>41</v>
      </c>
      <c r="G2416" s="348" t="str">
        <f>"'"&amp;$C2416&amp;"'!rows 56 + positive row 63"</f>
        <v>'BLD_JP'!rows 56 + positive row 63</v>
      </c>
      <c r="H2416" s="381">
        <f ca="1">IF(IFERROR(INDEX(DATA_PROPERTY_MASTER!$E$5:$E$21,MATCH($C2416,DATA_PROPERTY_MASTER!$A$5:$A$21,0))="Yes",FALSE),IFERROR(INDEX(INDIRECT("'"&amp;$C2416&amp;"'!$E$56:$Y$56"),1,MATCH($D2416,INDIRECT("'"&amp;$C2416&amp;"'!$E$12:$Y$12"),0)),0)+MAX(IFERROR(INDEX(INDIRECT("'"&amp;$C2416&amp;"'!$E$63:$Y$63"),1,MATCH($D2416,INDIRECT("'"&amp;$C2416&amp;"'!$E$12:$Y$12"),0)),0),0),0)</f>
        <v>93222.545532810444</v>
      </c>
      <c r="I2416" s="366" t="s">
        <v>1685</v>
      </c>
      <c r="J2416" s="348" t="str">
        <f t="shared" ca="1" si="74"/>
        <v>OK</v>
      </c>
      <c r="K2416" s="366" t="s">
        <v>1742</v>
      </c>
      <c r="L2416" s="366" t="s">
        <v>2262</v>
      </c>
      <c r="M2416" s="350" t="str">
        <f>IF($B2416="Portfolio","Portfolio",IFERROR(INDEX(DATA_ASSET_CLASSIFICATION!$B$8:$B$24,MATCH($C2416,DATA_ASSET_CLASSIFICATION!$A$8:$A$24,0)),"Review"))</f>
        <v>Jessica Place</v>
      </c>
      <c r="N2416" s="350" t="str">
        <f ca="1">IF($B2416="Portfolio","Portfolio",IFERROR(INDEX(DATA_ASSET_CLASSIFICATION!$U$8:$U$24,MATCH($C2416,DATA_ASSET_CLASSIFICATION!$A$8:$A$24,0)),"Review"))</f>
        <v>Refi Watch</v>
      </c>
      <c r="O2416" s="350" t="str">
        <f ca="1">IF($B2416="Portfolio","Portfolio",IFERROR(INDEX(DATA_ASSET_CLASSIFICATION!$AB$8:$AB$13,MATCH($N2416,DATA_ASSET_CLASSIFICATION!$AA$8:$AA$13,0)),"Review"))</f>
        <v>Bucket 2 · Legacy</v>
      </c>
      <c r="P2416" s="350" t="str">
        <f>IF($B2416="Portfolio","Portfolio",IFERROR(INDEX(DATA_ASSET_CLASSIFICATION!$C$8:$C$24,MATCH($C2416,DATA_ASSET_CLASSIFICATION!$A$8:$A$24,0)),"Review"))</f>
        <v>Yes</v>
      </c>
      <c r="Q2416" s="350" t="str">
        <f t="shared" ca="1" si="75"/>
        <v>OK</v>
      </c>
    </row>
    <row r="2417" spans="1:17">
      <c r="A2417" s="366" t="s">
        <v>4373</v>
      </c>
      <c r="B2417" s="366" t="s">
        <v>231</v>
      </c>
      <c r="C2417" s="348" t="str">
        <f>DATA_PROPERTY_MASTER!$A$12</f>
        <v>BLD_JP</v>
      </c>
      <c r="D2417" s="380">
        <f>'00_PORTFOLIO ROLLUP'!J$12</f>
        <v>2030</v>
      </c>
      <c r="E2417" s="366" t="s">
        <v>1741</v>
      </c>
      <c r="F2417" s="366" t="s">
        <v>43</v>
      </c>
      <c r="G2417" s="348" t="str">
        <f>"'"&amp;$C2417&amp;"'!$E$68:$Y$68"</f>
        <v>'BLD_JP'!$E$68:$Y$68</v>
      </c>
      <c r="H2417" s="381">
        <f ca="1">IF(IFERROR(INDEX(DATA_PROPERTY_MASTER!$E$5:$E$21,MATCH($C2417,DATA_PROPERTY_MASTER!$A$5:$A$21,0))="Yes",FALSE),IFERROR(INDEX(INDIRECT("'"&amp;$C2417&amp;"'!$E$68:$Y$68"),1,MATCH($D2417,INDIRECT("'"&amp;$C2417&amp;"'!$E$12:$Y$12"),0)),0),0)</f>
        <v>93222.545532810444</v>
      </c>
      <c r="I2417" s="366" t="s">
        <v>1731</v>
      </c>
      <c r="J2417" s="348" t="str">
        <f t="shared" ca="1" si="74"/>
        <v>OK</v>
      </c>
      <c r="K2417" s="366" t="s">
        <v>1746</v>
      </c>
      <c r="L2417" s="366" t="s">
        <v>2264</v>
      </c>
      <c r="M2417" s="350" t="str">
        <f>IF($B2417="Portfolio","Portfolio",IFERROR(INDEX(DATA_ASSET_CLASSIFICATION!$B$8:$B$24,MATCH($C2417,DATA_ASSET_CLASSIFICATION!$A$8:$A$24,0)),"Review"))</f>
        <v>Jessica Place</v>
      </c>
      <c r="N2417" s="350" t="str">
        <f ca="1">IF($B2417="Portfolio","Portfolio",IFERROR(INDEX(DATA_ASSET_CLASSIFICATION!$U$8:$U$24,MATCH($C2417,DATA_ASSET_CLASSIFICATION!$A$8:$A$24,0)),"Review"))</f>
        <v>Refi Watch</v>
      </c>
      <c r="O2417" s="350" t="str">
        <f ca="1">IF($B2417="Portfolio","Portfolio",IFERROR(INDEX(DATA_ASSET_CLASSIFICATION!$AB$8:$AB$13,MATCH($N2417,DATA_ASSET_CLASSIFICATION!$AA$8:$AA$13,0)),"Review"))</f>
        <v>Bucket 2 · Legacy</v>
      </c>
      <c r="P2417" s="350" t="str">
        <f>IF($B2417="Portfolio","Portfolio",IFERROR(INDEX(DATA_ASSET_CLASSIFICATION!$C$8:$C$24,MATCH($C2417,DATA_ASSET_CLASSIFICATION!$A$8:$A$24,0)),"Review"))</f>
        <v>Yes</v>
      </c>
      <c r="Q2417" s="350" t="str">
        <f t="shared" ca="1" si="75"/>
        <v>OK</v>
      </c>
    </row>
    <row r="2418" spans="1:17">
      <c r="A2418" s="366" t="s">
        <v>4374</v>
      </c>
      <c r="B2418" s="366" t="s">
        <v>231</v>
      </c>
      <c r="C2418" s="348" t="str">
        <f>DATA_PROPERTY_MASTER!$A$12</f>
        <v>BLD_JP</v>
      </c>
      <c r="D2418" s="380">
        <f>'00_PORTFOLIO ROLLUP'!J$12</f>
        <v>2030</v>
      </c>
      <c r="E2418" s="366" t="s">
        <v>1741</v>
      </c>
      <c r="F2418" s="366" t="s">
        <v>1749</v>
      </c>
      <c r="G2418" s="348" t="str">
        <f>"'"&amp;$C2418&amp;"'!rows 56, 63, 68"</f>
        <v>'BLD_JP'!rows 56, 63, 68</v>
      </c>
      <c r="H2418" s="381">
        <f ca="1">IF(IFERROR(INDEX(DATA_PROPERTY_MASTER!$E$5:$E$21,MATCH($C2418,DATA_PROPERTY_MASTER!$A$5:$A$21,0))="Yes",FALSE),(IFERROR(INDEX(INDIRECT("'"&amp;$C2418&amp;"'!$E$56:$Y$56"),1,MATCH($D2418,INDIRECT("'"&amp;$C2418&amp;"'!$E$12:$Y$12"),0)),0)+MAX(IFERROR(INDEX(INDIRECT("'"&amp;$C2418&amp;"'!$E$63:$Y$63"),1,MATCH($D2418,INDIRECT("'"&amp;$C2418&amp;"'!$E$12:$Y$12"),0)),0),0))-(IFERROR(INDEX(INDIRECT("'"&amp;$C2418&amp;"'!$E$68:$Y$68"),1,MATCH($D2418,INDIRECT("'"&amp;$C2418&amp;"'!$E$12:$Y$12"),0)),0)),0)</f>
        <v>0</v>
      </c>
      <c r="I2418" s="366" t="s">
        <v>1750</v>
      </c>
      <c r="J2418" s="348" t="str">
        <f t="shared" ca="1" si="74"/>
        <v>OK</v>
      </c>
      <c r="K2418" s="366" t="s">
        <v>1751</v>
      </c>
      <c r="L2418" s="366" t="s">
        <v>2266</v>
      </c>
      <c r="M2418" s="350" t="str">
        <f>IF($B2418="Portfolio","Portfolio",IFERROR(INDEX(DATA_ASSET_CLASSIFICATION!$B$8:$B$24,MATCH($C2418,DATA_ASSET_CLASSIFICATION!$A$8:$A$24,0)),"Review"))</f>
        <v>Jessica Place</v>
      </c>
      <c r="N2418" s="350" t="str">
        <f ca="1">IF($B2418="Portfolio","Portfolio",IFERROR(INDEX(DATA_ASSET_CLASSIFICATION!$U$8:$U$24,MATCH($C2418,DATA_ASSET_CLASSIFICATION!$A$8:$A$24,0)),"Review"))</f>
        <v>Refi Watch</v>
      </c>
      <c r="O2418" s="350" t="str">
        <f ca="1">IF($B2418="Portfolio","Portfolio",IFERROR(INDEX(DATA_ASSET_CLASSIFICATION!$AB$8:$AB$13,MATCH($N2418,DATA_ASSET_CLASSIFICATION!$AA$8:$AA$13,0)),"Review"))</f>
        <v>Bucket 2 · Legacy</v>
      </c>
      <c r="P2418" s="350" t="str">
        <f>IF($B2418="Portfolio","Portfolio",IFERROR(INDEX(DATA_ASSET_CLASSIFICATION!$C$8:$C$24,MATCH($C2418,DATA_ASSET_CLASSIFICATION!$A$8:$A$24,0)),"Review"))</f>
        <v>Yes</v>
      </c>
      <c r="Q2418" s="350" t="str">
        <f t="shared" ca="1" si="75"/>
        <v>OK</v>
      </c>
    </row>
    <row r="2419" spans="1:17">
      <c r="A2419" s="366" t="s">
        <v>4375</v>
      </c>
      <c r="B2419" s="366" t="s">
        <v>231</v>
      </c>
      <c r="C2419" s="348" t="str">
        <f>DATA_PROPERTY_MASTER!$A$12</f>
        <v>BLD_JP</v>
      </c>
      <c r="D2419" s="380">
        <f>'00_PORTFOLIO ROLLUP'!K$12</f>
        <v>2031</v>
      </c>
      <c r="E2419" s="366" t="s">
        <v>1683</v>
      </c>
      <c r="F2419" s="366" t="s">
        <v>341</v>
      </c>
      <c r="G2419" s="348" t="str">
        <f>"'"&amp;$C2419&amp;"'!$E$24:$Y$24"</f>
        <v>'BLD_JP'!$E$24:$Y$24</v>
      </c>
      <c r="H2419" s="381">
        <f ca="1">IF(IFERROR(INDEX(DATA_PROPERTY_MASTER!$E$5:$E$21,MATCH($C2419,DATA_PROPERTY_MASTER!$A$5:$A$21,0))="Yes",FALSE),IFERROR(INDEX(INDIRECT("'"&amp;$C2419&amp;"'!$E$24:$Y$24"),1,MATCH($D2419,INDIRECT("'"&amp;$C2419&amp;"'!$E$12:$Y$12"),0)),0),0)</f>
        <v>553792.89227689127</v>
      </c>
      <c r="I2419" s="366" t="s">
        <v>1685</v>
      </c>
      <c r="J2419" s="348" t="str">
        <f t="shared" ca="1" si="74"/>
        <v>OK</v>
      </c>
      <c r="K2419" s="366" t="s">
        <v>1686</v>
      </c>
      <c r="L2419" s="366" t="s">
        <v>2234</v>
      </c>
      <c r="M2419" s="350" t="str">
        <f>IF($B2419="Portfolio","Portfolio",IFERROR(INDEX(DATA_ASSET_CLASSIFICATION!$B$8:$B$24,MATCH($C2419,DATA_ASSET_CLASSIFICATION!$A$8:$A$24,0)),"Review"))</f>
        <v>Jessica Place</v>
      </c>
      <c r="N2419" s="350" t="str">
        <f ca="1">IF($B2419="Portfolio","Portfolio",IFERROR(INDEX(DATA_ASSET_CLASSIFICATION!$U$8:$U$24,MATCH($C2419,DATA_ASSET_CLASSIFICATION!$A$8:$A$24,0)),"Review"))</f>
        <v>Refi Watch</v>
      </c>
      <c r="O2419" s="350" t="str">
        <f ca="1">IF($B2419="Portfolio","Portfolio",IFERROR(INDEX(DATA_ASSET_CLASSIFICATION!$AB$8:$AB$13,MATCH($N2419,DATA_ASSET_CLASSIFICATION!$AA$8:$AA$13,0)),"Review"))</f>
        <v>Bucket 2 · Legacy</v>
      </c>
      <c r="P2419" s="350" t="str">
        <f>IF($B2419="Portfolio","Portfolio",IFERROR(INDEX(DATA_ASSET_CLASSIFICATION!$C$8:$C$24,MATCH($C2419,DATA_ASSET_CLASSIFICATION!$A$8:$A$24,0)),"Review"))</f>
        <v>Yes</v>
      </c>
      <c r="Q2419" s="350" t="str">
        <f t="shared" ca="1" si="75"/>
        <v>OK</v>
      </c>
    </row>
    <row r="2420" spans="1:17">
      <c r="A2420" s="366" t="s">
        <v>4376</v>
      </c>
      <c r="B2420" s="366" t="s">
        <v>231</v>
      </c>
      <c r="C2420" s="348" t="str">
        <f>DATA_PROPERTY_MASTER!$A$12</f>
        <v>BLD_JP</v>
      </c>
      <c r="D2420" s="380">
        <f>'00_PORTFOLIO ROLLUP'!K$12</f>
        <v>2031</v>
      </c>
      <c r="E2420" s="366" t="s">
        <v>1683</v>
      </c>
      <c r="F2420" s="366" t="s">
        <v>355</v>
      </c>
      <c r="G2420" s="348" t="str">
        <f>"'"&amp;$C2420&amp;"'!$E$39:$Y$39"</f>
        <v>'BLD_JP'!$E$39:$Y$39</v>
      </c>
      <c r="H2420" s="381">
        <f ca="1">IF(IFERROR(INDEX(DATA_PROPERTY_MASTER!$E$5:$E$21,MATCH($C2420,DATA_PROPERTY_MASTER!$A$5:$A$21,0))="Yes",FALSE),IFERROR(INDEX(INDIRECT("'"&amp;$C2420&amp;"'!$E$39:$Y$39"),1,MATCH($D2420,INDIRECT("'"&amp;$C2420&amp;"'!$E$12:$Y$12"),0)),0),0)</f>
        <v>322272.95805387577</v>
      </c>
      <c r="I2420" s="366" t="s">
        <v>1690</v>
      </c>
      <c r="J2420" s="348" t="str">
        <f t="shared" ca="1" si="74"/>
        <v>OK</v>
      </c>
      <c r="K2420" s="366" t="s">
        <v>1686</v>
      </c>
      <c r="L2420" s="366" t="s">
        <v>2236</v>
      </c>
      <c r="M2420" s="350" t="str">
        <f>IF($B2420="Portfolio","Portfolio",IFERROR(INDEX(DATA_ASSET_CLASSIFICATION!$B$8:$B$24,MATCH($C2420,DATA_ASSET_CLASSIFICATION!$A$8:$A$24,0)),"Review"))</f>
        <v>Jessica Place</v>
      </c>
      <c r="N2420" s="350" t="str">
        <f ca="1">IF($B2420="Portfolio","Portfolio",IFERROR(INDEX(DATA_ASSET_CLASSIFICATION!$U$8:$U$24,MATCH($C2420,DATA_ASSET_CLASSIFICATION!$A$8:$A$24,0)),"Review"))</f>
        <v>Refi Watch</v>
      </c>
      <c r="O2420" s="350" t="str">
        <f ca="1">IF($B2420="Portfolio","Portfolio",IFERROR(INDEX(DATA_ASSET_CLASSIFICATION!$AB$8:$AB$13,MATCH($N2420,DATA_ASSET_CLASSIFICATION!$AA$8:$AA$13,0)),"Review"))</f>
        <v>Bucket 2 · Legacy</v>
      </c>
      <c r="P2420" s="350" t="str">
        <f>IF($B2420="Portfolio","Portfolio",IFERROR(INDEX(DATA_ASSET_CLASSIFICATION!$C$8:$C$24,MATCH($C2420,DATA_ASSET_CLASSIFICATION!$A$8:$A$24,0)),"Review"))</f>
        <v>Yes</v>
      </c>
      <c r="Q2420" s="350" t="str">
        <f t="shared" ca="1" si="75"/>
        <v>OK</v>
      </c>
    </row>
    <row r="2421" spans="1:17">
      <c r="A2421" s="366" t="s">
        <v>4377</v>
      </c>
      <c r="B2421" s="366" t="s">
        <v>231</v>
      </c>
      <c r="C2421" s="348" t="str">
        <f>DATA_PROPERTY_MASTER!$A$12</f>
        <v>BLD_JP</v>
      </c>
      <c r="D2421" s="380">
        <f>'00_PORTFOLIO ROLLUP'!K$12</f>
        <v>2031</v>
      </c>
      <c r="E2421" s="366" t="s">
        <v>1683</v>
      </c>
      <c r="F2421" s="366" t="s">
        <v>19</v>
      </c>
      <c r="G2421" s="348" t="str">
        <f>"'"&amp;$C2421&amp;"'!$E$41:$Y$41"</f>
        <v>'BLD_JP'!$E$41:$Y$41</v>
      </c>
      <c r="H2421" s="381">
        <f ca="1">IF(IFERROR(INDEX(DATA_PROPERTY_MASTER!$E$5:$E$21,MATCH($C2421,DATA_PROPERTY_MASTER!$A$5:$A$21,0))="Yes",FALSE),IFERROR(INDEX(INDIRECT("'"&amp;$C2421&amp;"'!$E$41:$Y$41"),1,MATCH($D2421,INDIRECT("'"&amp;$C2421&amp;"'!$E$12:$Y$12"),0)),0),0)</f>
        <v>231519.9342230155</v>
      </c>
      <c r="I2421" s="366" t="s">
        <v>1685</v>
      </c>
      <c r="J2421" s="348" t="str">
        <f t="shared" ca="1" si="74"/>
        <v>OK</v>
      </c>
      <c r="K2421" s="366" t="s">
        <v>1694</v>
      </c>
      <c r="L2421" s="366" t="s">
        <v>2238</v>
      </c>
      <c r="M2421" s="350" t="str">
        <f>IF($B2421="Portfolio","Portfolio",IFERROR(INDEX(DATA_ASSET_CLASSIFICATION!$B$8:$B$24,MATCH($C2421,DATA_ASSET_CLASSIFICATION!$A$8:$A$24,0)),"Review"))</f>
        <v>Jessica Place</v>
      </c>
      <c r="N2421" s="350" t="str">
        <f ca="1">IF($B2421="Portfolio","Portfolio",IFERROR(INDEX(DATA_ASSET_CLASSIFICATION!$U$8:$U$24,MATCH($C2421,DATA_ASSET_CLASSIFICATION!$A$8:$A$24,0)),"Review"))</f>
        <v>Refi Watch</v>
      </c>
      <c r="O2421" s="350" t="str">
        <f ca="1">IF($B2421="Portfolio","Portfolio",IFERROR(INDEX(DATA_ASSET_CLASSIFICATION!$AB$8:$AB$13,MATCH($N2421,DATA_ASSET_CLASSIFICATION!$AA$8:$AA$13,0)),"Review"))</f>
        <v>Bucket 2 · Legacy</v>
      </c>
      <c r="P2421" s="350" t="str">
        <f>IF($B2421="Portfolio","Portfolio",IFERROR(INDEX(DATA_ASSET_CLASSIFICATION!$C$8:$C$24,MATCH($C2421,DATA_ASSET_CLASSIFICATION!$A$8:$A$24,0)),"Review"))</f>
        <v>Yes</v>
      </c>
      <c r="Q2421" s="350" t="str">
        <f t="shared" ca="1" si="75"/>
        <v>OK</v>
      </c>
    </row>
    <row r="2422" spans="1:17">
      <c r="A2422" s="366" t="s">
        <v>4378</v>
      </c>
      <c r="B2422" s="366" t="s">
        <v>231</v>
      </c>
      <c r="C2422" s="348" t="str">
        <f>DATA_PROPERTY_MASTER!$A$12</f>
        <v>BLD_JP</v>
      </c>
      <c r="D2422" s="380">
        <f>'00_PORTFOLIO ROLLUP'!K$12</f>
        <v>2031</v>
      </c>
      <c r="E2422" s="366" t="s">
        <v>1683</v>
      </c>
      <c r="F2422" s="366" t="s">
        <v>1697</v>
      </c>
      <c r="G2422" s="348" t="str">
        <f>"'"&amp;$C2422&amp;"'!$E$44:$Y$44"</f>
        <v>'BLD_JP'!$E$44:$Y$44</v>
      </c>
      <c r="H2422" s="381">
        <f ca="1">IF(IFERROR(INDEX(DATA_PROPERTY_MASTER!$E$5:$E$21,MATCH($C2422,DATA_PROPERTY_MASTER!$A$5:$A$21,0))="Yes",FALSE),IFERROR(INDEX(INDIRECT("'"&amp;$C2422&amp;"'!$E$44:$Y$44"),1,MATCH($D2422,INDIRECT("'"&amp;$C2422&amp;"'!$E$12:$Y$12"),0)),0),0)</f>
        <v>6756.9745155840001</v>
      </c>
      <c r="I2422" s="366" t="s">
        <v>1690</v>
      </c>
      <c r="J2422" s="348" t="str">
        <f t="shared" ca="1" si="74"/>
        <v>OK</v>
      </c>
      <c r="K2422" s="366" t="s">
        <v>1699</v>
      </c>
      <c r="L2422" s="366" t="s">
        <v>2240</v>
      </c>
      <c r="M2422" s="350" t="str">
        <f>IF($B2422="Portfolio","Portfolio",IFERROR(INDEX(DATA_ASSET_CLASSIFICATION!$B$8:$B$24,MATCH($C2422,DATA_ASSET_CLASSIFICATION!$A$8:$A$24,0)),"Review"))</f>
        <v>Jessica Place</v>
      </c>
      <c r="N2422" s="350" t="str">
        <f ca="1">IF($B2422="Portfolio","Portfolio",IFERROR(INDEX(DATA_ASSET_CLASSIFICATION!$U$8:$U$24,MATCH($C2422,DATA_ASSET_CLASSIFICATION!$A$8:$A$24,0)),"Review"))</f>
        <v>Refi Watch</v>
      </c>
      <c r="O2422" s="350" t="str">
        <f ca="1">IF($B2422="Portfolio","Portfolio",IFERROR(INDEX(DATA_ASSET_CLASSIFICATION!$AB$8:$AB$13,MATCH($N2422,DATA_ASSET_CLASSIFICATION!$AA$8:$AA$13,0)),"Review"))</f>
        <v>Bucket 2 · Legacy</v>
      </c>
      <c r="P2422" s="350" t="str">
        <f>IF($B2422="Portfolio","Portfolio",IFERROR(INDEX(DATA_ASSET_CLASSIFICATION!$C$8:$C$24,MATCH($C2422,DATA_ASSET_CLASSIFICATION!$A$8:$A$24,0)),"Review"))</f>
        <v>Yes</v>
      </c>
      <c r="Q2422" s="350" t="str">
        <f t="shared" ca="1" si="75"/>
        <v>OK</v>
      </c>
    </row>
    <row r="2423" spans="1:17">
      <c r="A2423" s="366" t="s">
        <v>4379</v>
      </c>
      <c r="B2423" s="366" t="s">
        <v>231</v>
      </c>
      <c r="C2423" s="348" t="str">
        <f>DATA_PROPERTY_MASTER!$A$12</f>
        <v>BLD_JP</v>
      </c>
      <c r="D2423" s="380">
        <f>'00_PORTFOLIO ROLLUP'!K$12</f>
        <v>2031</v>
      </c>
      <c r="E2423" s="366" t="s">
        <v>1683</v>
      </c>
      <c r="F2423" s="366" t="s">
        <v>21</v>
      </c>
      <c r="G2423" s="348" t="str">
        <f>"'"&amp;$C2423&amp;"'!$E$45:$Y$45"</f>
        <v>'BLD_JP'!$E$45:$Y$45</v>
      </c>
      <c r="H2423" s="381">
        <f ca="1">IF(IFERROR(INDEX(DATA_PROPERTY_MASTER!$E$5:$E$21,MATCH($C2423,DATA_PROPERTY_MASTER!$A$5:$A$21,0))="Yes",FALSE),IFERROR(INDEX(INDIRECT("'"&amp;$C2423&amp;"'!$E$45:$Y$45"),1,MATCH($D2423,INDIRECT("'"&amp;$C2423&amp;"'!$E$12:$Y$12"),0)),0),0)</f>
        <v>224762.9597074315</v>
      </c>
      <c r="I2423" s="366" t="s">
        <v>1685</v>
      </c>
      <c r="J2423" s="348" t="str">
        <f t="shared" ca="1" si="74"/>
        <v>OK</v>
      </c>
      <c r="K2423" s="366" t="s">
        <v>1694</v>
      </c>
      <c r="L2423" s="366" t="s">
        <v>2242</v>
      </c>
      <c r="M2423" s="350" t="str">
        <f>IF($B2423="Portfolio","Portfolio",IFERROR(INDEX(DATA_ASSET_CLASSIFICATION!$B$8:$B$24,MATCH($C2423,DATA_ASSET_CLASSIFICATION!$A$8:$A$24,0)),"Review"))</f>
        <v>Jessica Place</v>
      </c>
      <c r="N2423" s="350" t="str">
        <f ca="1">IF($B2423="Portfolio","Portfolio",IFERROR(INDEX(DATA_ASSET_CLASSIFICATION!$U$8:$U$24,MATCH($C2423,DATA_ASSET_CLASSIFICATION!$A$8:$A$24,0)),"Review"))</f>
        <v>Refi Watch</v>
      </c>
      <c r="O2423" s="350" t="str">
        <f ca="1">IF($B2423="Portfolio","Portfolio",IFERROR(INDEX(DATA_ASSET_CLASSIFICATION!$AB$8:$AB$13,MATCH($N2423,DATA_ASSET_CLASSIFICATION!$AA$8:$AA$13,0)),"Review"))</f>
        <v>Bucket 2 · Legacy</v>
      </c>
      <c r="P2423" s="350" t="str">
        <f>IF($B2423="Portfolio","Portfolio",IFERROR(INDEX(DATA_ASSET_CLASSIFICATION!$C$8:$C$24,MATCH($C2423,DATA_ASSET_CLASSIFICATION!$A$8:$A$24,0)),"Review"))</f>
        <v>Yes</v>
      </c>
      <c r="Q2423" s="350" t="str">
        <f t="shared" ca="1" si="75"/>
        <v>OK</v>
      </c>
    </row>
    <row r="2424" spans="1:17">
      <c r="A2424" s="366" t="s">
        <v>4380</v>
      </c>
      <c r="B2424" s="366" t="s">
        <v>231</v>
      </c>
      <c r="C2424" s="348" t="str">
        <f>DATA_PROPERTY_MASTER!$A$12</f>
        <v>BLD_JP</v>
      </c>
      <c r="D2424" s="380">
        <f>'00_PORTFOLIO ROLLUP'!K$12</f>
        <v>2031</v>
      </c>
      <c r="E2424" s="366" t="s">
        <v>23</v>
      </c>
      <c r="F2424" s="366" t="s">
        <v>23</v>
      </c>
      <c r="G2424" s="348" t="str">
        <f>"'"&amp;$C2424&amp;"'!$E$48:$Y$48"</f>
        <v>'BLD_JP'!$E$48:$Y$48</v>
      </c>
      <c r="H2424" s="381">
        <f ca="1">IF(IFERROR(INDEX(DATA_PROPERTY_MASTER!$E$5:$E$21,MATCH($C2424,DATA_PROPERTY_MASTER!$A$5:$A$21,0))="Yes",FALSE),IFERROR(INDEX(INDIRECT("'"&amp;$C2424&amp;"'!$E$48:$Y$48"),1,MATCH($D2424,INDIRECT("'"&amp;$C2424&amp;"'!$E$12:$Y$12"),0)),0),0)</f>
        <v>0</v>
      </c>
      <c r="I2424" s="366" t="s">
        <v>1690</v>
      </c>
      <c r="J2424" s="348" t="str">
        <f t="shared" ca="1" si="74"/>
        <v>OK</v>
      </c>
      <c r="K2424" s="366" t="s">
        <v>1706</v>
      </c>
      <c r="L2424" s="366" t="s">
        <v>2244</v>
      </c>
      <c r="M2424" s="350" t="str">
        <f>IF($B2424="Portfolio","Portfolio",IFERROR(INDEX(DATA_ASSET_CLASSIFICATION!$B$8:$B$24,MATCH($C2424,DATA_ASSET_CLASSIFICATION!$A$8:$A$24,0)),"Review"))</f>
        <v>Jessica Place</v>
      </c>
      <c r="N2424" s="350" t="str">
        <f ca="1">IF($B2424="Portfolio","Portfolio",IFERROR(INDEX(DATA_ASSET_CLASSIFICATION!$U$8:$U$24,MATCH($C2424,DATA_ASSET_CLASSIFICATION!$A$8:$A$24,0)),"Review"))</f>
        <v>Refi Watch</v>
      </c>
      <c r="O2424" s="350" t="str">
        <f ca="1">IF($B2424="Portfolio","Portfolio",IFERROR(INDEX(DATA_ASSET_CLASSIFICATION!$AB$8:$AB$13,MATCH($N2424,DATA_ASSET_CLASSIFICATION!$AA$8:$AA$13,0)),"Review"))</f>
        <v>Bucket 2 · Legacy</v>
      </c>
      <c r="P2424" s="350" t="str">
        <f>IF($B2424="Portfolio","Portfolio",IFERROR(INDEX(DATA_ASSET_CLASSIFICATION!$C$8:$C$24,MATCH($C2424,DATA_ASSET_CLASSIFICATION!$A$8:$A$24,0)),"Review"))</f>
        <v>Yes</v>
      </c>
      <c r="Q2424" s="350" t="str">
        <f t="shared" ca="1" si="75"/>
        <v>OK</v>
      </c>
    </row>
    <row r="2425" spans="1:17">
      <c r="A2425" s="366" t="s">
        <v>4381</v>
      </c>
      <c r="B2425" s="366" t="s">
        <v>231</v>
      </c>
      <c r="C2425" s="348" t="str">
        <f>DATA_PROPERTY_MASTER!$A$12</f>
        <v>BLD_JP</v>
      </c>
      <c r="D2425" s="380">
        <f>'00_PORTFOLIO ROLLUP'!K$12</f>
        <v>2031</v>
      </c>
      <c r="E2425" s="366" t="s">
        <v>1683</v>
      </c>
      <c r="F2425" s="366" t="s">
        <v>25</v>
      </c>
      <c r="G2425" s="348" t="str">
        <f>"'"&amp;$C2425&amp;"'!$E$52:$Y$52"</f>
        <v>'BLD_JP'!$E$52:$Y$52</v>
      </c>
      <c r="H2425" s="381">
        <f ca="1">IF(IFERROR(INDEX(DATA_PROPERTY_MASTER!$E$5:$E$21,MATCH($C2425,DATA_PROPERTY_MASTER!$A$5:$A$21,0))="Yes",FALSE),IFERROR(INDEX(INDIRECT("'"&amp;$C2425&amp;"'!$E$52:$Y$52"),1,MATCH($D2425,INDIRECT("'"&amp;$C2425&amp;"'!$E$12:$Y$12"),0)),0),0)</f>
        <v>231519.9342230155</v>
      </c>
      <c r="I2425" s="366" t="s">
        <v>1685</v>
      </c>
      <c r="J2425" s="348" t="str">
        <f t="shared" ca="1" si="74"/>
        <v>OK</v>
      </c>
      <c r="K2425" s="366" t="s">
        <v>1710</v>
      </c>
      <c r="L2425" s="366" t="s">
        <v>2246</v>
      </c>
      <c r="M2425" s="350" t="str">
        <f>IF($B2425="Portfolio","Portfolio",IFERROR(INDEX(DATA_ASSET_CLASSIFICATION!$B$8:$B$24,MATCH($C2425,DATA_ASSET_CLASSIFICATION!$A$8:$A$24,0)),"Review"))</f>
        <v>Jessica Place</v>
      </c>
      <c r="N2425" s="350" t="str">
        <f ca="1">IF($B2425="Portfolio","Portfolio",IFERROR(INDEX(DATA_ASSET_CLASSIFICATION!$U$8:$U$24,MATCH($C2425,DATA_ASSET_CLASSIFICATION!$A$8:$A$24,0)),"Review"))</f>
        <v>Refi Watch</v>
      </c>
      <c r="O2425" s="350" t="str">
        <f ca="1">IF($B2425="Portfolio","Portfolio",IFERROR(INDEX(DATA_ASSET_CLASSIFICATION!$AB$8:$AB$13,MATCH($N2425,DATA_ASSET_CLASSIFICATION!$AA$8:$AA$13,0)),"Review"))</f>
        <v>Bucket 2 · Legacy</v>
      </c>
      <c r="P2425" s="350" t="str">
        <f>IF($B2425="Portfolio","Portfolio",IFERROR(INDEX(DATA_ASSET_CLASSIFICATION!$C$8:$C$24,MATCH($C2425,DATA_ASSET_CLASSIFICATION!$A$8:$A$24,0)),"Review"))</f>
        <v>Yes</v>
      </c>
      <c r="Q2425" s="350" t="str">
        <f t="shared" ca="1" si="75"/>
        <v>OK</v>
      </c>
    </row>
    <row r="2426" spans="1:17">
      <c r="A2426" s="366" t="s">
        <v>4382</v>
      </c>
      <c r="B2426" s="366" t="s">
        <v>231</v>
      </c>
      <c r="C2426" s="348" t="str">
        <f>DATA_PROPERTY_MASTER!$A$12</f>
        <v>BLD_JP</v>
      </c>
      <c r="D2426" s="380">
        <f>'00_PORTFOLIO ROLLUP'!K$12</f>
        <v>2031</v>
      </c>
      <c r="E2426" s="366" t="s">
        <v>1683</v>
      </c>
      <c r="F2426" s="366" t="s">
        <v>27</v>
      </c>
      <c r="G2426" s="348" t="str">
        <f>"'"&amp;$C2426&amp;"'!$E$54:$Y$54"</f>
        <v>'BLD_JP'!$E$54:$Y$54</v>
      </c>
      <c r="H2426" s="381">
        <f ca="1">IF(IFERROR(INDEX(DATA_PROPERTY_MASTER!$E$5:$E$21,MATCH($C2426,DATA_PROPERTY_MASTER!$A$5:$A$21,0))="Yes",FALSE),IFERROR(INDEX(INDIRECT("'"&amp;$C2426&amp;"'!$E$54:$Y$54"),1,MATCH($D2426,INDIRECT("'"&amp;$C2426&amp;"'!$E$12:$Y$12"),0)),0),0)</f>
        <v>138911.9605338093</v>
      </c>
      <c r="I2426" s="366" t="s">
        <v>1690</v>
      </c>
      <c r="J2426" s="348" t="str">
        <f t="shared" ca="1" si="74"/>
        <v>OK</v>
      </c>
      <c r="K2426" s="366" t="s">
        <v>1714</v>
      </c>
      <c r="L2426" s="366" t="s">
        <v>2248</v>
      </c>
      <c r="M2426" s="350" t="str">
        <f>IF($B2426="Portfolio","Portfolio",IFERROR(INDEX(DATA_ASSET_CLASSIFICATION!$B$8:$B$24,MATCH($C2426,DATA_ASSET_CLASSIFICATION!$A$8:$A$24,0)),"Review"))</f>
        <v>Jessica Place</v>
      </c>
      <c r="N2426" s="350" t="str">
        <f ca="1">IF($B2426="Portfolio","Portfolio",IFERROR(INDEX(DATA_ASSET_CLASSIFICATION!$U$8:$U$24,MATCH($C2426,DATA_ASSET_CLASSIFICATION!$A$8:$A$24,0)),"Review"))</f>
        <v>Refi Watch</v>
      </c>
      <c r="O2426" s="350" t="str">
        <f ca="1">IF($B2426="Portfolio","Portfolio",IFERROR(INDEX(DATA_ASSET_CLASSIFICATION!$AB$8:$AB$13,MATCH($N2426,DATA_ASSET_CLASSIFICATION!$AA$8:$AA$13,0)),"Review"))</f>
        <v>Bucket 2 · Legacy</v>
      </c>
      <c r="P2426" s="350" t="str">
        <f>IF($B2426="Portfolio","Portfolio",IFERROR(INDEX(DATA_ASSET_CLASSIFICATION!$C$8:$C$24,MATCH($C2426,DATA_ASSET_CLASSIFICATION!$A$8:$A$24,0)),"Review"))</f>
        <v>Yes</v>
      </c>
      <c r="Q2426" s="350" t="str">
        <f t="shared" ca="1" si="75"/>
        <v>OK</v>
      </c>
    </row>
    <row r="2427" spans="1:17">
      <c r="A2427" s="366" t="s">
        <v>4383</v>
      </c>
      <c r="B2427" s="366" t="s">
        <v>231</v>
      </c>
      <c r="C2427" s="348" t="str">
        <f>DATA_PROPERTY_MASTER!$A$12</f>
        <v>BLD_JP</v>
      </c>
      <c r="D2427" s="380">
        <f>'00_PORTFOLIO ROLLUP'!K$12</f>
        <v>2031</v>
      </c>
      <c r="E2427" s="366" t="s">
        <v>1683</v>
      </c>
      <c r="F2427" s="366" t="s">
        <v>29</v>
      </c>
      <c r="G2427" s="348" t="str">
        <f>"'"&amp;$C2427&amp;"'!$E$56:$Y$56"</f>
        <v>'BLD_JP'!$E$56:$Y$56</v>
      </c>
      <c r="H2427" s="381">
        <f ca="1">IF(IFERROR(INDEX(DATA_PROPERTY_MASTER!$E$5:$E$21,MATCH($C2427,DATA_PROPERTY_MASTER!$A$5:$A$21,0))="Yes",FALSE),IFERROR(INDEX(INDIRECT("'"&amp;$C2427&amp;"'!$E$56:$Y$56"),1,MATCH($D2427,INDIRECT("'"&amp;$C2427&amp;"'!$E$12:$Y$12"),0)),0),0)</f>
        <v>92607.973689206206</v>
      </c>
      <c r="I2427" s="366" t="s">
        <v>1685</v>
      </c>
      <c r="J2427" s="348" t="str">
        <f t="shared" ca="1" si="74"/>
        <v>OK</v>
      </c>
      <c r="K2427" s="366" t="s">
        <v>1718</v>
      </c>
      <c r="L2427" s="366" t="s">
        <v>2250</v>
      </c>
      <c r="M2427" s="350" t="str">
        <f>IF($B2427="Portfolio","Portfolio",IFERROR(INDEX(DATA_ASSET_CLASSIFICATION!$B$8:$B$24,MATCH($C2427,DATA_ASSET_CLASSIFICATION!$A$8:$A$24,0)),"Review"))</f>
        <v>Jessica Place</v>
      </c>
      <c r="N2427" s="350" t="str">
        <f ca="1">IF($B2427="Portfolio","Portfolio",IFERROR(INDEX(DATA_ASSET_CLASSIFICATION!$U$8:$U$24,MATCH($C2427,DATA_ASSET_CLASSIFICATION!$A$8:$A$24,0)),"Review"))</f>
        <v>Refi Watch</v>
      </c>
      <c r="O2427" s="350" t="str">
        <f ca="1">IF($B2427="Portfolio","Portfolio",IFERROR(INDEX(DATA_ASSET_CLASSIFICATION!$AB$8:$AB$13,MATCH($N2427,DATA_ASSET_CLASSIFICATION!$AA$8:$AA$13,0)),"Review"))</f>
        <v>Bucket 2 · Legacy</v>
      </c>
      <c r="P2427" s="350" t="str">
        <f>IF($B2427="Portfolio","Portfolio",IFERROR(INDEX(DATA_ASSET_CLASSIFICATION!$C$8:$C$24,MATCH($C2427,DATA_ASSET_CLASSIFICATION!$A$8:$A$24,0)),"Review"))</f>
        <v>Yes</v>
      </c>
      <c r="Q2427" s="350" t="str">
        <f t="shared" ca="1" si="75"/>
        <v>OK</v>
      </c>
    </row>
    <row r="2428" spans="1:17">
      <c r="A2428" s="366" t="s">
        <v>4384</v>
      </c>
      <c r="B2428" s="366" t="s">
        <v>231</v>
      </c>
      <c r="C2428" s="348" t="str">
        <f>DATA_PROPERTY_MASTER!$A$12</f>
        <v>BLD_JP</v>
      </c>
      <c r="D2428" s="380">
        <f>'00_PORTFOLIO ROLLUP'!K$12</f>
        <v>2031</v>
      </c>
      <c r="E2428" s="366" t="s">
        <v>1721</v>
      </c>
      <c r="F2428" s="366" t="s">
        <v>31</v>
      </c>
      <c r="G2428" s="348" t="str">
        <f>"'"&amp;$C2428&amp;"'!$E$61:$Y$61"</f>
        <v>'BLD_JP'!$E$61:$Y$61</v>
      </c>
      <c r="H2428" s="381">
        <f ca="1">IF(IFERROR(INDEX(DATA_PROPERTY_MASTER!$E$5:$E$21,MATCH($C2428,DATA_PROPERTY_MASTER!$A$5:$A$21,0))="Yes",FALSE),IFERROR(INDEX(INDIRECT("'"&amp;$C2428&amp;"'!$E$61:$Y$61"),1,MATCH($D2428,INDIRECT("'"&amp;$C2428&amp;"'!$E$12:$Y$12"),0)),0),0)</f>
        <v>0</v>
      </c>
      <c r="I2428" s="366" t="s">
        <v>1690</v>
      </c>
      <c r="J2428" s="348" t="str">
        <f t="shared" ca="1" si="74"/>
        <v>OK</v>
      </c>
      <c r="K2428" s="366" t="s">
        <v>1723</v>
      </c>
      <c r="L2428" s="366" t="s">
        <v>2252</v>
      </c>
      <c r="M2428" s="350" t="str">
        <f>IF($B2428="Portfolio","Portfolio",IFERROR(INDEX(DATA_ASSET_CLASSIFICATION!$B$8:$B$24,MATCH($C2428,DATA_ASSET_CLASSIFICATION!$A$8:$A$24,0)),"Review"))</f>
        <v>Jessica Place</v>
      </c>
      <c r="N2428" s="350" t="str">
        <f ca="1">IF($B2428="Portfolio","Portfolio",IFERROR(INDEX(DATA_ASSET_CLASSIFICATION!$U$8:$U$24,MATCH($C2428,DATA_ASSET_CLASSIFICATION!$A$8:$A$24,0)),"Review"))</f>
        <v>Refi Watch</v>
      </c>
      <c r="O2428" s="350" t="str">
        <f ca="1">IF($B2428="Portfolio","Portfolio",IFERROR(INDEX(DATA_ASSET_CLASSIFICATION!$AB$8:$AB$13,MATCH($N2428,DATA_ASSET_CLASSIFICATION!$AA$8:$AA$13,0)),"Review"))</f>
        <v>Bucket 2 · Legacy</v>
      </c>
      <c r="P2428" s="350" t="str">
        <f>IF($B2428="Portfolio","Portfolio",IFERROR(INDEX(DATA_ASSET_CLASSIFICATION!$C$8:$C$24,MATCH($C2428,DATA_ASSET_CLASSIFICATION!$A$8:$A$24,0)),"Review"))</f>
        <v>Yes</v>
      </c>
      <c r="Q2428" s="350" t="str">
        <f t="shared" ca="1" si="75"/>
        <v>OK</v>
      </c>
    </row>
    <row r="2429" spans="1:17">
      <c r="A2429" s="366" t="s">
        <v>4385</v>
      </c>
      <c r="B2429" s="366" t="s">
        <v>231</v>
      </c>
      <c r="C2429" s="348" t="str">
        <f>DATA_PROPERTY_MASTER!$A$12</f>
        <v>BLD_JP</v>
      </c>
      <c r="D2429" s="380">
        <f>'00_PORTFOLIO ROLLUP'!K$12</f>
        <v>2031</v>
      </c>
      <c r="E2429" s="366" t="s">
        <v>1721</v>
      </c>
      <c r="F2429" s="366" t="s">
        <v>33</v>
      </c>
      <c r="G2429" s="348" t="str">
        <f>"'"&amp;$C2429&amp;"'!$E$62:$Y$62"</f>
        <v>'BLD_JP'!$E$62:$Y$62</v>
      </c>
      <c r="H2429" s="381">
        <f ca="1">IF(IFERROR(INDEX(DATA_PROPERTY_MASTER!$E$5:$E$21,MATCH($C2429,DATA_PROPERTY_MASTER!$A$5:$A$21,0))="Yes",FALSE),IFERROR(INDEX(INDIRECT("'"&amp;$C2429&amp;"'!$E$62:$Y$62"),1,MATCH($D2429,INDIRECT("'"&amp;$C2429&amp;"'!$E$12:$Y$12"),0)),0),0)</f>
        <v>0</v>
      </c>
      <c r="I2429" s="366" t="s">
        <v>1685</v>
      </c>
      <c r="J2429" s="348" t="str">
        <f t="shared" ca="1" si="74"/>
        <v>OK</v>
      </c>
      <c r="K2429" s="366" t="s">
        <v>1727</v>
      </c>
      <c r="L2429" s="366" t="s">
        <v>2254</v>
      </c>
      <c r="M2429" s="350" t="str">
        <f>IF($B2429="Portfolio","Portfolio",IFERROR(INDEX(DATA_ASSET_CLASSIFICATION!$B$8:$B$24,MATCH($C2429,DATA_ASSET_CLASSIFICATION!$A$8:$A$24,0)),"Review"))</f>
        <v>Jessica Place</v>
      </c>
      <c r="N2429" s="350" t="str">
        <f ca="1">IF($B2429="Portfolio","Portfolio",IFERROR(INDEX(DATA_ASSET_CLASSIFICATION!$U$8:$U$24,MATCH($C2429,DATA_ASSET_CLASSIFICATION!$A$8:$A$24,0)),"Review"))</f>
        <v>Refi Watch</v>
      </c>
      <c r="O2429" s="350" t="str">
        <f ca="1">IF($B2429="Portfolio","Portfolio",IFERROR(INDEX(DATA_ASSET_CLASSIFICATION!$AB$8:$AB$13,MATCH($N2429,DATA_ASSET_CLASSIFICATION!$AA$8:$AA$13,0)),"Review"))</f>
        <v>Bucket 2 · Legacy</v>
      </c>
      <c r="P2429" s="350" t="str">
        <f>IF($B2429="Portfolio","Portfolio",IFERROR(INDEX(DATA_ASSET_CLASSIFICATION!$C$8:$C$24,MATCH($C2429,DATA_ASSET_CLASSIFICATION!$A$8:$A$24,0)),"Review"))</f>
        <v>Yes</v>
      </c>
      <c r="Q2429" s="350" t="str">
        <f t="shared" ca="1" si="75"/>
        <v>OK</v>
      </c>
    </row>
    <row r="2430" spans="1:17">
      <c r="A2430" s="366" t="s">
        <v>4386</v>
      </c>
      <c r="B2430" s="366" t="s">
        <v>231</v>
      </c>
      <c r="C2430" s="348" t="str">
        <f>DATA_PROPERTY_MASTER!$A$12</f>
        <v>BLD_JP</v>
      </c>
      <c r="D2430" s="380">
        <f>'00_PORTFOLIO ROLLUP'!K$12</f>
        <v>2031</v>
      </c>
      <c r="E2430" s="366" t="s">
        <v>1721</v>
      </c>
      <c r="F2430" s="366" t="s">
        <v>35</v>
      </c>
      <c r="G2430" s="348" t="str">
        <f>"'"&amp;$C2430&amp;"'!$E$63:$Y$63"</f>
        <v>'BLD_JP'!$E$63:$Y$63</v>
      </c>
      <c r="H2430" s="381">
        <f ca="1">IF(IFERROR(INDEX(DATA_PROPERTY_MASTER!$E$5:$E$21,MATCH($C2430,DATA_PROPERTY_MASTER!$A$5:$A$21,0))="Yes",FALSE),IFERROR(INDEX(INDIRECT("'"&amp;$C2430&amp;"'!$E$63:$Y$63"),1,MATCH($D2430,INDIRECT("'"&amp;$C2430&amp;"'!$E$12:$Y$12"),0)),0),0)</f>
        <v>0</v>
      </c>
      <c r="I2430" s="366" t="s">
        <v>1731</v>
      </c>
      <c r="J2430" s="348" t="str">
        <f t="shared" ca="1" si="74"/>
        <v>OK</v>
      </c>
      <c r="K2430" s="366" t="s">
        <v>1732</v>
      </c>
      <c r="L2430" s="366" t="s">
        <v>2256</v>
      </c>
      <c r="M2430" s="350" t="str">
        <f>IF($B2430="Portfolio","Portfolio",IFERROR(INDEX(DATA_ASSET_CLASSIFICATION!$B$8:$B$24,MATCH($C2430,DATA_ASSET_CLASSIFICATION!$A$8:$A$24,0)),"Review"))</f>
        <v>Jessica Place</v>
      </c>
      <c r="N2430" s="350" t="str">
        <f ca="1">IF($B2430="Portfolio","Portfolio",IFERROR(INDEX(DATA_ASSET_CLASSIFICATION!$U$8:$U$24,MATCH($C2430,DATA_ASSET_CLASSIFICATION!$A$8:$A$24,0)),"Review"))</f>
        <v>Refi Watch</v>
      </c>
      <c r="O2430" s="350" t="str">
        <f ca="1">IF($B2430="Portfolio","Portfolio",IFERROR(INDEX(DATA_ASSET_CLASSIFICATION!$AB$8:$AB$13,MATCH($N2430,DATA_ASSET_CLASSIFICATION!$AA$8:$AA$13,0)),"Review"))</f>
        <v>Bucket 2 · Legacy</v>
      </c>
      <c r="P2430" s="350" t="str">
        <f>IF($B2430="Portfolio","Portfolio",IFERROR(INDEX(DATA_ASSET_CLASSIFICATION!$C$8:$C$24,MATCH($C2430,DATA_ASSET_CLASSIFICATION!$A$8:$A$24,0)),"Review"))</f>
        <v>Yes</v>
      </c>
      <c r="Q2430" s="350" t="str">
        <f t="shared" ca="1" si="75"/>
        <v>OK</v>
      </c>
    </row>
    <row r="2431" spans="1:17">
      <c r="A2431" s="366" t="s">
        <v>4387</v>
      </c>
      <c r="B2431" s="366" t="s">
        <v>231</v>
      </c>
      <c r="C2431" s="348" t="str">
        <f>DATA_PROPERTY_MASTER!$A$12</f>
        <v>BLD_JP</v>
      </c>
      <c r="D2431" s="380">
        <f>'00_PORTFOLIO ROLLUP'!K$12</f>
        <v>2031</v>
      </c>
      <c r="E2431" s="366" t="s">
        <v>1721</v>
      </c>
      <c r="F2431" s="366" t="s">
        <v>37</v>
      </c>
      <c r="G2431" s="348" t="str">
        <f>"'"&amp;$C2431&amp;"'!$E$63:$Y$63"</f>
        <v>'BLD_JP'!$E$63:$Y$63</v>
      </c>
      <c r="H2431" s="381">
        <f ca="1">IF(IFERROR(INDEX(DATA_PROPERTY_MASTER!$E$5:$E$21,MATCH($C2431,DATA_PROPERTY_MASTER!$A$5:$A$21,0))="Yes",FALSE),MAX(IFERROR(INDEX(INDIRECT("'"&amp;$C2431&amp;"'!$E$63:$Y$63"),1,MATCH($D2431,INDIRECT("'"&amp;$C2431&amp;"'!$E$12:$Y$12"),0)),0),0),0)</f>
        <v>0</v>
      </c>
      <c r="I2431" s="366" t="s">
        <v>1685</v>
      </c>
      <c r="J2431" s="348" t="str">
        <f t="shared" ca="1" si="74"/>
        <v>OK</v>
      </c>
      <c r="K2431" s="366" t="s">
        <v>1735</v>
      </c>
      <c r="L2431" s="366" t="s">
        <v>2258</v>
      </c>
      <c r="M2431" s="350" t="str">
        <f>IF($B2431="Portfolio","Portfolio",IFERROR(INDEX(DATA_ASSET_CLASSIFICATION!$B$8:$B$24,MATCH($C2431,DATA_ASSET_CLASSIFICATION!$A$8:$A$24,0)),"Review"))</f>
        <v>Jessica Place</v>
      </c>
      <c r="N2431" s="350" t="str">
        <f ca="1">IF($B2431="Portfolio","Portfolio",IFERROR(INDEX(DATA_ASSET_CLASSIFICATION!$U$8:$U$24,MATCH($C2431,DATA_ASSET_CLASSIFICATION!$A$8:$A$24,0)),"Review"))</f>
        <v>Refi Watch</v>
      </c>
      <c r="O2431" s="350" t="str">
        <f ca="1">IF($B2431="Portfolio","Portfolio",IFERROR(INDEX(DATA_ASSET_CLASSIFICATION!$AB$8:$AB$13,MATCH($N2431,DATA_ASSET_CLASSIFICATION!$AA$8:$AA$13,0)),"Review"))</f>
        <v>Bucket 2 · Legacy</v>
      </c>
      <c r="P2431" s="350" t="str">
        <f>IF($B2431="Portfolio","Portfolio",IFERROR(INDEX(DATA_ASSET_CLASSIFICATION!$C$8:$C$24,MATCH($C2431,DATA_ASSET_CLASSIFICATION!$A$8:$A$24,0)),"Review"))</f>
        <v>Yes</v>
      </c>
      <c r="Q2431" s="350" t="str">
        <f t="shared" ca="1" si="75"/>
        <v>OK</v>
      </c>
    </row>
    <row r="2432" spans="1:17">
      <c r="A2432" s="366" t="s">
        <v>4388</v>
      </c>
      <c r="B2432" s="366" t="s">
        <v>231</v>
      </c>
      <c r="C2432" s="348" t="str">
        <f>DATA_PROPERTY_MASTER!$A$12</f>
        <v>BLD_JP</v>
      </c>
      <c r="D2432" s="380">
        <f>'00_PORTFOLIO ROLLUP'!K$12</f>
        <v>2031</v>
      </c>
      <c r="E2432" s="366" t="s">
        <v>1721</v>
      </c>
      <c r="F2432" s="366" t="s">
        <v>39</v>
      </c>
      <c r="G2432" s="348" t="str">
        <f>"'"&amp;$C2432&amp;"'!$E$63:$Y$63"</f>
        <v>'BLD_JP'!$E$63:$Y$63</v>
      </c>
      <c r="H2432" s="381">
        <f ca="1">IF(IFERROR(INDEX(DATA_PROPERTY_MASTER!$E$5:$E$21,MATCH($C2432,DATA_PROPERTY_MASTER!$A$5:$A$21,0))="Yes",FALSE),MAX(-IFERROR(INDEX(INDIRECT("'"&amp;$C2432&amp;"'!$E$63:$Y$63"),1,MATCH($D2432,INDIRECT("'"&amp;$C2432&amp;"'!$E$12:$Y$12"),0)),0),0),0)</f>
        <v>0</v>
      </c>
      <c r="I2432" s="366" t="s">
        <v>1690</v>
      </c>
      <c r="J2432" s="348" t="str">
        <f t="shared" ca="1" si="74"/>
        <v>OK</v>
      </c>
      <c r="K2432" s="366" t="s">
        <v>1738</v>
      </c>
      <c r="L2432" s="366" t="s">
        <v>2260</v>
      </c>
      <c r="M2432" s="350" t="str">
        <f>IF($B2432="Portfolio","Portfolio",IFERROR(INDEX(DATA_ASSET_CLASSIFICATION!$B$8:$B$24,MATCH($C2432,DATA_ASSET_CLASSIFICATION!$A$8:$A$24,0)),"Review"))</f>
        <v>Jessica Place</v>
      </c>
      <c r="N2432" s="350" t="str">
        <f ca="1">IF($B2432="Portfolio","Portfolio",IFERROR(INDEX(DATA_ASSET_CLASSIFICATION!$U$8:$U$24,MATCH($C2432,DATA_ASSET_CLASSIFICATION!$A$8:$A$24,0)),"Review"))</f>
        <v>Refi Watch</v>
      </c>
      <c r="O2432" s="350" t="str">
        <f ca="1">IF($B2432="Portfolio","Portfolio",IFERROR(INDEX(DATA_ASSET_CLASSIFICATION!$AB$8:$AB$13,MATCH($N2432,DATA_ASSET_CLASSIFICATION!$AA$8:$AA$13,0)),"Review"))</f>
        <v>Bucket 2 · Legacy</v>
      </c>
      <c r="P2432" s="350" t="str">
        <f>IF($B2432="Portfolio","Portfolio",IFERROR(INDEX(DATA_ASSET_CLASSIFICATION!$C$8:$C$24,MATCH($C2432,DATA_ASSET_CLASSIFICATION!$A$8:$A$24,0)),"Review"))</f>
        <v>Yes</v>
      </c>
      <c r="Q2432" s="350" t="str">
        <f t="shared" ca="1" si="75"/>
        <v>OK</v>
      </c>
    </row>
    <row r="2433" spans="1:17">
      <c r="A2433" s="366" t="s">
        <v>4389</v>
      </c>
      <c r="B2433" s="366" t="s">
        <v>231</v>
      </c>
      <c r="C2433" s="348" t="str">
        <f>DATA_PROPERTY_MASTER!$A$12</f>
        <v>BLD_JP</v>
      </c>
      <c r="D2433" s="380">
        <f>'00_PORTFOLIO ROLLUP'!K$12</f>
        <v>2031</v>
      </c>
      <c r="E2433" s="366" t="s">
        <v>1741</v>
      </c>
      <c r="F2433" s="366" t="s">
        <v>41</v>
      </c>
      <c r="G2433" s="348" t="str">
        <f>"'"&amp;$C2433&amp;"'!rows 56 + positive row 63"</f>
        <v>'BLD_JP'!rows 56 + positive row 63</v>
      </c>
      <c r="H2433" s="381">
        <f ca="1">IF(IFERROR(INDEX(DATA_PROPERTY_MASTER!$E$5:$E$21,MATCH($C2433,DATA_PROPERTY_MASTER!$A$5:$A$21,0))="Yes",FALSE),IFERROR(INDEX(INDIRECT("'"&amp;$C2433&amp;"'!$E$56:$Y$56"),1,MATCH($D2433,INDIRECT("'"&amp;$C2433&amp;"'!$E$12:$Y$12"),0)),0)+MAX(IFERROR(INDEX(INDIRECT("'"&amp;$C2433&amp;"'!$E$63:$Y$63"),1,MATCH($D2433,INDIRECT("'"&amp;$C2433&amp;"'!$E$12:$Y$12"),0)),0),0),0)</f>
        <v>92607.973689206206</v>
      </c>
      <c r="I2433" s="366" t="s">
        <v>1685</v>
      </c>
      <c r="J2433" s="348" t="str">
        <f t="shared" ca="1" si="74"/>
        <v>OK</v>
      </c>
      <c r="K2433" s="366" t="s">
        <v>1742</v>
      </c>
      <c r="L2433" s="366" t="s">
        <v>2262</v>
      </c>
      <c r="M2433" s="350" t="str">
        <f>IF($B2433="Portfolio","Portfolio",IFERROR(INDEX(DATA_ASSET_CLASSIFICATION!$B$8:$B$24,MATCH($C2433,DATA_ASSET_CLASSIFICATION!$A$8:$A$24,0)),"Review"))</f>
        <v>Jessica Place</v>
      </c>
      <c r="N2433" s="350" t="str">
        <f ca="1">IF($B2433="Portfolio","Portfolio",IFERROR(INDEX(DATA_ASSET_CLASSIFICATION!$U$8:$U$24,MATCH($C2433,DATA_ASSET_CLASSIFICATION!$A$8:$A$24,0)),"Review"))</f>
        <v>Refi Watch</v>
      </c>
      <c r="O2433" s="350" t="str">
        <f ca="1">IF($B2433="Portfolio","Portfolio",IFERROR(INDEX(DATA_ASSET_CLASSIFICATION!$AB$8:$AB$13,MATCH($N2433,DATA_ASSET_CLASSIFICATION!$AA$8:$AA$13,0)),"Review"))</f>
        <v>Bucket 2 · Legacy</v>
      </c>
      <c r="P2433" s="350" t="str">
        <f>IF($B2433="Portfolio","Portfolio",IFERROR(INDEX(DATA_ASSET_CLASSIFICATION!$C$8:$C$24,MATCH($C2433,DATA_ASSET_CLASSIFICATION!$A$8:$A$24,0)),"Review"))</f>
        <v>Yes</v>
      </c>
      <c r="Q2433" s="350" t="str">
        <f t="shared" ca="1" si="75"/>
        <v>OK</v>
      </c>
    </row>
    <row r="2434" spans="1:17">
      <c r="A2434" s="366" t="s">
        <v>4390</v>
      </c>
      <c r="B2434" s="366" t="s">
        <v>231</v>
      </c>
      <c r="C2434" s="348" t="str">
        <f>DATA_PROPERTY_MASTER!$A$12</f>
        <v>BLD_JP</v>
      </c>
      <c r="D2434" s="380">
        <f>'00_PORTFOLIO ROLLUP'!K$12</f>
        <v>2031</v>
      </c>
      <c r="E2434" s="366" t="s">
        <v>1741</v>
      </c>
      <c r="F2434" s="366" t="s">
        <v>43</v>
      </c>
      <c r="G2434" s="348" t="str">
        <f>"'"&amp;$C2434&amp;"'!$E$68:$Y$68"</f>
        <v>'BLD_JP'!$E$68:$Y$68</v>
      </c>
      <c r="H2434" s="381">
        <f ca="1">IF(IFERROR(INDEX(DATA_PROPERTY_MASTER!$E$5:$E$21,MATCH($C2434,DATA_PROPERTY_MASTER!$A$5:$A$21,0))="Yes",FALSE),IFERROR(INDEX(INDIRECT("'"&amp;$C2434&amp;"'!$E$68:$Y$68"),1,MATCH($D2434,INDIRECT("'"&amp;$C2434&amp;"'!$E$12:$Y$12"),0)),0),0)</f>
        <v>92607.973689206206</v>
      </c>
      <c r="I2434" s="366" t="s">
        <v>1731</v>
      </c>
      <c r="J2434" s="348" t="str">
        <f t="shared" ca="1" si="74"/>
        <v>OK</v>
      </c>
      <c r="K2434" s="366" t="s">
        <v>1746</v>
      </c>
      <c r="L2434" s="366" t="s">
        <v>2264</v>
      </c>
      <c r="M2434" s="350" t="str">
        <f>IF($B2434="Portfolio","Portfolio",IFERROR(INDEX(DATA_ASSET_CLASSIFICATION!$B$8:$B$24,MATCH($C2434,DATA_ASSET_CLASSIFICATION!$A$8:$A$24,0)),"Review"))</f>
        <v>Jessica Place</v>
      </c>
      <c r="N2434" s="350" t="str">
        <f ca="1">IF($B2434="Portfolio","Portfolio",IFERROR(INDEX(DATA_ASSET_CLASSIFICATION!$U$8:$U$24,MATCH($C2434,DATA_ASSET_CLASSIFICATION!$A$8:$A$24,0)),"Review"))</f>
        <v>Refi Watch</v>
      </c>
      <c r="O2434" s="350" t="str">
        <f ca="1">IF($B2434="Portfolio","Portfolio",IFERROR(INDEX(DATA_ASSET_CLASSIFICATION!$AB$8:$AB$13,MATCH($N2434,DATA_ASSET_CLASSIFICATION!$AA$8:$AA$13,0)),"Review"))</f>
        <v>Bucket 2 · Legacy</v>
      </c>
      <c r="P2434" s="350" t="str">
        <f>IF($B2434="Portfolio","Portfolio",IFERROR(INDEX(DATA_ASSET_CLASSIFICATION!$C$8:$C$24,MATCH($C2434,DATA_ASSET_CLASSIFICATION!$A$8:$A$24,0)),"Review"))</f>
        <v>Yes</v>
      </c>
      <c r="Q2434" s="350" t="str">
        <f t="shared" ca="1" si="75"/>
        <v>OK</v>
      </c>
    </row>
    <row r="2435" spans="1:17">
      <c r="A2435" s="366" t="s">
        <v>4391</v>
      </c>
      <c r="B2435" s="366" t="s">
        <v>231</v>
      </c>
      <c r="C2435" s="348" t="str">
        <f>DATA_PROPERTY_MASTER!$A$12</f>
        <v>BLD_JP</v>
      </c>
      <c r="D2435" s="380">
        <f>'00_PORTFOLIO ROLLUP'!K$12</f>
        <v>2031</v>
      </c>
      <c r="E2435" s="366" t="s">
        <v>1741</v>
      </c>
      <c r="F2435" s="366" t="s">
        <v>1749</v>
      </c>
      <c r="G2435" s="348" t="str">
        <f>"'"&amp;$C2435&amp;"'!rows 56, 63, 68"</f>
        <v>'BLD_JP'!rows 56, 63, 68</v>
      </c>
      <c r="H2435" s="381">
        <f ca="1">IF(IFERROR(INDEX(DATA_PROPERTY_MASTER!$E$5:$E$21,MATCH($C2435,DATA_PROPERTY_MASTER!$A$5:$A$21,0))="Yes",FALSE),(IFERROR(INDEX(INDIRECT("'"&amp;$C2435&amp;"'!$E$56:$Y$56"),1,MATCH($D2435,INDIRECT("'"&amp;$C2435&amp;"'!$E$12:$Y$12"),0)),0)+MAX(IFERROR(INDEX(INDIRECT("'"&amp;$C2435&amp;"'!$E$63:$Y$63"),1,MATCH($D2435,INDIRECT("'"&amp;$C2435&amp;"'!$E$12:$Y$12"),0)),0),0))-(IFERROR(INDEX(INDIRECT("'"&amp;$C2435&amp;"'!$E$68:$Y$68"),1,MATCH($D2435,INDIRECT("'"&amp;$C2435&amp;"'!$E$12:$Y$12"),0)),0)),0)</f>
        <v>0</v>
      </c>
      <c r="I2435" s="366" t="s">
        <v>1750</v>
      </c>
      <c r="J2435" s="348" t="str">
        <f t="shared" ca="1" si="74"/>
        <v>OK</v>
      </c>
      <c r="K2435" s="366" t="s">
        <v>1751</v>
      </c>
      <c r="L2435" s="366" t="s">
        <v>2266</v>
      </c>
      <c r="M2435" s="350" t="str">
        <f>IF($B2435="Portfolio","Portfolio",IFERROR(INDEX(DATA_ASSET_CLASSIFICATION!$B$8:$B$24,MATCH($C2435,DATA_ASSET_CLASSIFICATION!$A$8:$A$24,0)),"Review"))</f>
        <v>Jessica Place</v>
      </c>
      <c r="N2435" s="350" t="str">
        <f ca="1">IF($B2435="Portfolio","Portfolio",IFERROR(INDEX(DATA_ASSET_CLASSIFICATION!$U$8:$U$24,MATCH($C2435,DATA_ASSET_CLASSIFICATION!$A$8:$A$24,0)),"Review"))</f>
        <v>Refi Watch</v>
      </c>
      <c r="O2435" s="350" t="str">
        <f ca="1">IF($B2435="Portfolio","Portfolio",IFERROR(INDEX(DATA_ASSET_CLASSIFICATION!$AB$8:$AB$13,MATCH($N2435,DATA_ASSET_CLASSIFICATION!$AA$8:$AA$13,0)),"Review"))</f>
        <v>Bucket 2 · Legacy</v>
      </c>
      <c r="P2435" s="350" t="str">
        <f>IF($B2435="Portfolio","Portfolio",IFERROR(INDEX(DATA_ASSET_CLASSIFICATION!$C$8:$C$24,MATCH($C2435,DATA_ASSET_CLASSIFICATION!$A$8:$A$24,0)),"Review"))</f>
        <v>Yes</v>
      </c>
      <c r="Q2435" s="350" t="str">
        <f t="shared" ca="1" si="75"/>
        <v>OK</v>
      </c>
    </row>
    <row r="2436" spans="1:17">
      <c r="A2436" s="366" t="s">
        <v>4392</v>
      </c>
      <c r="B2436" s="366" t="s">
        <v>231</v>
      </c>
      <c r="C2436" s="348" t="str">
        <f>DATA_PROPERTY_MASTER!$A$12</f>
        <v>BLD_JP</v>
      </c>
      <c r="D2436" s="380">
        <f>'00_PORTFOLIO ROLLUP'!L$12</f>
        <v>2032</v>
      </c>
      <c r="E2436" s="366" t="s">
        <v>1683</v>
      </c>
      <c r="F2436" s="366" t="s">
        <v>341</v>
      </c>
      <c r="G2436" s="348" t="str">
        <f>"'"&amp;$C2436&amp;"'!$E$24:$Y$24"</f>
        <v>'BLD_JP'!$E$24:$Y$24</v>
      </c>
      <c r="H2436" s="381">
        <f ca="1">IF(IFERROR(INDEX(DATA_PROPERTY_MASTER!$E$5:$E$21,MATCH($C2436,DATA_PROPERTY_MASTER!$A$5:$A$21,0))="Yes",FALSE),IFERROR(INDEX(INDIRECT("'"&amp;$C2436&amp;"'!$E$24:$Y$24"),1,MATCH($D2436,INDIRECT("'"&amp;$C2436&amp;"'!$E$12:$Y$12"),0)),0),0)</f>
        <v>564868.75012242887</v>
      </c>
      <c r="I2436" s="366" t="s">
        <v>1685</v>
      </c>
      <c r="J2436" s="348" t="str">
        <f t="shared" ca="1" si="74"/>
        <v>OK</v>
      </c>
      <c r="K2436" s="366" t="s">
        <v>1686</v>
      </c>
      <c r="L2436" s="366" t="s">
        <v>2234</v>
      </c>
      <c r="M2436" s="350" t="str">
        <f>IF($B2436="Portfolio","Portfolio",IFERROR(INDEX(DATA_ASSET_CLASSIFICATION!$B$8:$B$24,MATCH($C2436,DATA_ASSET_CLASSIFICATION!$A$8:$A$24,0)),"Review"))</f>
        <v>Jessica Place</v>
      </c>
      <c r="N2436" s="350" t="str">
        <f ca="1">IF($B2436="Portfolio","Portfolio",IFERROR(INDEX(DATA_ASSET_CLASSIFICATION!$U$8:$U$24,MATCH($C2436,DATA_ASSET_CLASSIFICATION!$A$8:$A$24,0)),"Review"))</f>
        <v>Refi Watch</v>
      </c>
      <c r="O2436" s="350" t="str">
        <f ca="1">IF($B2436="Portfolio","Portfolio",IFERROR(INDEX(DATA_ASSET_CLASSIFICATION!$AB$8:$AB$13,MATCH($N2436,DATA_ASSET_CLASSIFICATION!$AA$8:$AA$13,0)),"Review"))</f>
        <v>Bucket 2 · Legacy</v>
      </c>
      <c r="P2436" s="350" t="str">
        <f>IF($B2436="Portfolio","Portfolio",IFERROR(INDEX(DATA_ASSET_CLASSIFICATION!$C$8:$C$24,MATCH($C2436,DATA_ASSET_CLASSIFICATION!$A$8:$A$24,0)),"Review"))</f>
        <v>Yes</v>
      </c>
      <c r="Q2436" s="350" t="str">
        <f t="shared" ca="1" si="75"/>
        <v>OK</v>
      </c>
    </row>
    <row r="2437" spans="1:17">
      <c r="A2437" s="366" t="s">
        <v>4393</v>
      </c>
      <c r="B2437" s="366" t="s">
        <v>231</v>
      </c>
      <c r="C2437" s="348" t="str">
        <f>DATA_PROPERTY_MASTER!$A$12</f>
        <v>BLD_JP</v>
      </c>
      <c r="D2437" s="380">
        <f>'00_PORTFOLIO ROLLUP'!L$12</f>
        <v>2032</v>
      </c>
      <c r="E2437" s="366" t="s">
        <v>1683</v>
      </c>
      <c r="F2437" s="366" t="s">
        <v>355</v>
      </c>
      <c r="G2437" s="348" t="str">
        <f>"'"&amp;$C2437&amp;"'!$E$39:$Y$39"</f>
        <v>'BLD_JP'!$E$39:$Y$39</v>
      </c>
      <c r="H2437" s="381">
        <f ca="1">IF(IFERROR(INDEX(DATA_PROPERTY_MASTER!$E$5:$E$21,MATCH($C2437,DATA_PROPERTY_MASTER!$A$5:$A$21,0))="Yes",FALSE),IFERROR(INDEX(INDIRECT("'"&amp;$C2437&amp;"'!$E$39:$Y$39"),1,MATCH($D2437,INDIRECT("'"&amp;$C2437&amp;"'!$E$12:$Y$12"),0)),0),0)</f>
        <v>335163.87637603079</v>
      </c>
      <c r="I2437" s="366" t="s">
        <v>1690</v>
      </c>
      <c r="J2437" s="348" t="str">
        <f t="shared" ref="J2437:J2500" ca="1" si="76">IF($F2437="Residual Funding Gap",IF($H2437&gt;0,"Funding Gap","OK"),IF(AND($F2437="Net Refinance Position",$H2437&lt;0),"Negative net refi position","OK"))</f>
        <v>OK</v>
      </c>
      <c r="K2437" s="366" t="s">
        <v>1686</v>
      </c>
      <c r="L2437" s="366" t="s">
        <v>2236</v>
      </c>
      <c r="M2437" s="350" t="str">
        <f>IF($B2437="Portfolio","Portfolio",IFERROR(INDEX(DATA_ASSET_CLASSIFICATION!$B$8:$B$24,MATCH($C2437,DATA_ASSET_CLASSIFICATION!$A$8:$A$24,0)),"Review"))</f>
        <v>Jessica Place</v>
      </c>
      <c r="N2437" s="350" t="str">
        <f ca="1">IF($B2437="Portfolio","Portfolio",IFERROR(INDEX(DATA_ASSET_CLASSIFICATION!$U$8:$U$24,MATCH($C2437,DATA_ASSET_CLASSIFICATION!$A$8:$A$24,0)),"Review"))</f>
        <v>Refi Watch</v>
      </c>
      <c r="O2437" s="350" t="str">
        <f ca="1">IF($B2437="Portfolio","Portfolio",IFERROR(INDEX(DATA_ASSET_CLASSIFICATION!$AB$8:$AB$13,MATCH($N2437,DATA_ASSET_CLASSIFICATION!$AA$8:$AA$13,0)),"Review"))</f>
        <v>Bucket 2 · Legacy</v>
      </c>
      <c r="P2437" s="350" t="str">
        <f>IF($B2437="Portfolio","Portfolio",IFERROR(INDEX(DATA_ASSET_CLASSIFICATION!$C$8:$C$24,MATCH($C2437,DATA_ASSET_CLASSIFICATION!$A$8:$A$24,0)),"Review"))</f>
        <v>Yes</v>
      </c>
      <c r="Q2437" s="350" t="str">
        <f t="shared" ref="Q2437:Q2500" ca="1" si="77">IF(AND($B2437="Property",$F2437="Residual Funding Gap",$H2437&gt;0),"Property Funding Gap",IF($J2437&lt;&gt;"OK",$J2437,"OK"))</f>
        <v>OK</v>
      </c>
    </row>
    <row r="2438" spans="1:17">
      <c r="A2438" s="366" t="s">
        <v>4394</v>
      </c>
      <c r="B2438" s="366" t="s">
        <v>231</v>
      </c>
      <c r="C2438" s="348" t="str">
        <f>DATA_PROPERTY_MASTER!$A$12</f>
        <v>BLD_JP</v>
      </c>
      <c r="D2438" s="380">
        <f>'00_PORTFOLIO ROLLUP'!L$12</f>
        <v>2032</v>
      </c>
      <c r="E2438" s="366" t="s">
        <v>1683</v>
      </c>
      <c r="F2438" s="366" t="s">
        <v>19</v>
      </c>
      <c r="G2438" s="348" t="str">
        <f>"'"&amp;$C2438&amp;"'!$E$41:$Y$41"</f>
        <v>'BLD_JP'!$E$41:$Y$41</v>
      </c>
      <c r="H2438" s="381">
        <f ca="1">IF(IFERROR(INDEX(DATA_PROPERTY_MASTER!$E$5:$E$21,MATCH($C2438,DATA_PROPERTY_MASTER!$A$5:$A$21,0))="Yes",FALSE),IFERROR(INDEX(INDIRECT("'"&amp;$C2438&amp;"'!$E$41:$Y$41"),1,MATCH($D2438,INDIRECT("'"&amp;$C2438&amp;"'!$E$12:$Y$12"),0)),0),0)</f>
        <v>229704.87374639808</v>
      </c>
      <c r="I2438" s="366" t="s">
        <v>1685</v>
      </c>
      <c r="J2438" s="348" t="str">
        <f t="shared" ca="1" si="76"/>
        <v>OK</v>
      </c>
      <c r="K2438" s="366" t="s">
        <v>1694</v>
      </c>
      <c r="L2438" s="366" t="s">
        <v>2238</v>
      </c>
      <c r="M2438" s="350" t="str">
        <f>IF($B2438="Portfolio","Portfolio",IFERROR(INDEX(DATA_ASSET_CLASSIFICATION!$B$8:$B$24,MATCH($C2438,DATA_ASSET_CLASSIFICATION!$A$8:$A$24,0)),"Review"))</f>
        <v>Jessica Place</v>
      </c>
      <c r="N2438" s="350" t="str">
        <f ca="1">IF($B2438="Portfolio","Portfolio",IFERROR(INDEX(DATA_ASSET_CLASSIFICATION!$U$8:$U$24,MATCH($C2438,DATA_ASSET_CLASSIFICATION!$A$8:$A$24,0)),"Review"))</f>
        <v>Refi Watch</v>
      </c>
      <c r="O2438" s="350" t="str">
        <f ca="1">IF($B2438="Portfolio","Portfolio",IFERROR(INDEX(DATA_ASSET_CLASSIFICATION!$AB$8:$AB$13,MATCH($N2438,DATA_ASSET_CLASSIFICATION!$AA$8:$AA$13,0)),"Review"))</f>
        <v>Bucket 2 · Legacy</v>
      </c>
      <c r="P2438" s="350" t="str">
        <f>IF($B2438="Portfolio","Portfolio",IFERROR(INDEX(DATA_ASSET_CLASSIFICATION!$C$8:$C$24,MATCH($C2438,DATA_ASSET_CLASSIFICATION!$A$8:$A$24,0)),"Review"))</f>
        <v>Yes</v>
      </c>
      <c r="Q2438" s="350" t="str">
        <f t="shared" ca="1" si="77"/>
        <v>OK</v>
      </c>
    </row>
    <row r="2439" spans="1:17">
      <c r="A2439" s="366" t="s">
        <v>4395</v>
      </c>
      <c r="B2439" s="366" t="s">
        <v>231</v>
      </c>
      <c r="C2439" s="348" t="str">
        <f>DATA_PROPERTY_MASTER!$A$12</f>
        <v>BLD_JP</v>
      </c>
      <c r="D2439" s="380">
        <f>'00_PORTFOLIO ROLLUP'!L$12</f>
        <v>2032</v>
      </c>
      <c r="E2439" s="366" t="s">
        <v>1683</v>
      </c>
      <c r="F2439" s="366" t="s">
        <v>1697</v>
      </c>
      <c r="G2439" s="348" t="str">
        <f>"'"&amp;$C2439&amp;"'!$E$44:$Y$44"</f>
        <v>'BLD_JP'!$E$44:$Y$44</v>
      </c>
      <c r="H2439" s="381">
        <f ca="1">IF(IFERROR(INDEX(DATA_PROPERTY_MASTER!$E$5:$E$21,MATCH($C2439,DATA_PROPERTY_MASTER!$A$5:$A$21,0))="Yes",FALSE),IFERROR(INDEX(INDIRECT("'"&amp;$C2439&amp;"'!$E$44:$Y$44"),1,MATCH($D2439,INDIRECT("'"&amp;$C2439&amp;"'!$E$12:$Y$12"),0)),0),0)</f>
        <v>6892.1140058956789</v>
      </c>
      <c r="I2439" s="366" t="s">
        <v>1690</v>
      </c>
      <c r="J2439" s="348" t="str">
        <f t="shared" ca="1" si="76"/>
        <v>OK</v>
      </c>
      <c r="K2439" s="366" t="s">
        <v>1699</v>
      </c>
      <c r="L2439" s="366" t="s">
        <v>2240</v>
      </c>
      <c r="M2439" s="350" t="str">
        <f>IF($B2439="Portfolio","Portfolio",IFERROR(INDEX(DATA_ASSET_CLASSIFICATION!$B$8:$B$24,MATCH($C2439,DATA_ASSET_CLASSIFICATION!$A$8:$A$24,0)),"Review"))</f>
        <v>Jessica Place</v>
      </c>
      <c r="N2439" s="350" t="str">
        <f ca="1">IF($B2439="Portfolio","Portfolio",IFERROR(INDEX(DATA_ASSET_CLASSIFICATION!$U$8:$U$24,MATCH($C2439,DATA_ASSET_CLASSIFICATION!$A$8:$A$24,0)),"Review"))</f>
        <v>Refi Watch</v>
      </c>
      <c r="O2439" s="350" t="str">
        <f ca="1">IF($B2439="Portfolio","Portfolio",IFERROR(INDEX(DATA_ASSET_CLASSIFICATION!$AB$8:$AB$13,MATCH($N2439,DATA_ASSET_CLASSIFICATION!$AA$8:$AA$13,0)),"Review"))</f>
        <v>Bucket 2 · Legacy</v>
      </c>
      <c r="P2439" s="350" t="str">
        <f>IF($B2439="Portfolio","Portfolio",IFERROR(INDEX(DATA_ASSET_CLASSIFICATION!$C$8:$C$24,MATCH($C2439,DATA_ASSET_CLASSIFICATION!$A$8:$A$24,0)),"Review"))</f>
        <v>Yes</v>
      </c>
      <c r="Q2439" s="350" t="str">
        <f t="shared" ca="1" si="77"/>
        <v>OK</v>
      </c>
    </row>
    <row r="2440" spans="1:17">
      <c r="A2440" s="366" t="s">
        <v>4396</v>
      </c>
      <c r="B2440" s="366" t="s">
        <v>231</v>
      </c>
      <c r="C2440" s="348" t="str">
        <f>DATA_PROPERTY_MASTER!$A$12</f>
        <v>BLD_JP</v>
      </c>
      <c r="D2440" s="380">
        <f>'00_PORTFOLIO ROLLUP'!L$12</f>
        <v>2032</v>
      </c>
      <c r="E2440" s="366" t="s">
        <v>1683</v>
      </c>
      <c r="F2440" s="366" t="s">
        <v>21</v>
      </c>
      <c r="G2440" s="348" t="str">
        <f>"'"&amp;$C2440&amp;"'!$E$45:$Y$45"</f>
        <v>'BLD_JP'!$E$45:$Y$45</v>
      </c>
      <c r="H2440" s="381">
        <f ca="1">IF(IFERROR(INDEX(DATA_PROPERTY_MASTER!$E$5:$E$21,MATCH($C2440,DATA_PROPERTY_MASTER!$A$5:$A$21,0))="Yes",FALSE),IFERROR(INDEX(INDIRECT("'"&amp;$C2440&amp;"'!$E$45:$Y$45"),1,MATCH($D2440,INDIRECT("'"&amp;$C2440&amp;"'!$E$12:$Y$12"),0)),0),0)</f>
        <v>222812.7597405024</v>
      </c>
      <c r="I2440" s="366" t="s">
        <v>1685</v>
      </c>
      <c r="J2440" s="348" t="str">
        <f t="shared" ca="1" si="76"/>
        <v>OK</v>
      </c>
      <c r="K2440" s="366" t="s">
        <v>1694</v>
      </c>
      <c r="L2440" s="366" t="s">
        <v>2242</v>
      </c>
      <c r="M2440" s="350" t="str">
        <f>IF($B2440="Portfolio","Portfolio",IFERROR(INDEX(DATA_ASSET_CLASSIFICATION!$B$8:$B$24,MATCH($C2440,DATA_ASSET_CLASSIFICATION!$A$8:$A$24,0)),"Review"))</f>
        <v>Jessica Place</v>
      </c>
      <c r="N2440" s="350" t="str">
        <f ca="1">IF($B2440="Portfolio","Portfolio",IFERROR(INDEX(DATA_ASSET_CLASSIFICATION!$U$8:$U$24,MATCH($C2440,DATA_ASSET_CLASSIFICATION!$A$8:$A$24,0)),"Review"))</f>
        <v>Refi Watch</v>
      </c>
      <c r="O2440" s="350" t="str">
        <f ca="1">IF($B2440="Portfolio","Portfolio",IFERROR(INDEX(DATA_ASSET_CLASSIFICATION!$AB$8:$AB$13,MATCH($N2440,DATA_ASSET_CLASSIFICATION!$AA$8:$AA$13,0)),"Review"))</f>
        <v>Bucket 2 · Legacy</v>
      </c>
      <c r="P2440" s="350" t="str">
        <f>IF($B2440="Portfolio","Portfolio",IFERROR(INDEX(DATA_ASSET_CLASSIFICATION!$C$8:$C$24,MATCH($C2440,DATA_ASSET_CLASSIFICATION!$A$8:$A$24,0)),"Review"))</f>
        <v>Yes</v>
      </c>
      <c r="Q2440" s="350" t="str">
        <f t="shared" ca="1" si="77"/>
        <v>OK</v>
      </c>
    </row>
    <row r="2441" spans="1:17">
      <c r="A2441" s="366" t="s">
        <v>4397</v>
      </c>
      <c r="B2441" s="366" t="s">
        <v>231</v>
      </c>
      <c r="C2441" s="348" t="str">
        <f>DATA_PROPERTY_MASTER!$A$12</f>
        <v>BLD_JP</v>
      </c>
      <c r="D2441" s="380">
        <f>'00_PORTFOLIO ROLLUP'!L$12</f>
        <v>2032</v>
      </c>
      <c r="E2441" s="366" t="s">
        <v>23</v>
      </c>
      <c r="F2441" s="366" t="s">
        <v>23</v>
      </c>
      <c r="G2441" s="348" t="str">
        <f>"'"&amp;$C2441&amp;"'!$E$48:$Y$48"</f>
        <v>'BLD_JP'!$E$48:$Y$48</v>
      </c>
      <c r="H2441" s="381">
        <f ca="1">IF(IFERROR(INDEX(DATA_PROPERTY_MASTER!$E$5:$E$21,MATCH($C2441,DATA_PROPERTY_MASTER!$A$5:$A$21,0))="Yes",FALSE),IFERROR(INDEX(INDIRECT("'"&amp;$C2441&amp;"'!$E$48:$Y$48"),1,MATCH($D2441,INDIRECT("'"&amp;$C2441&amp;"'!$E$12:$Y$12"),0)),0),0)</f>
        <v>0</v>
      </c>
      <c r="I2441" s="366" t="s">
        <v>1690</v>
      </c>
      <c r="J2441" s="348" t="str">
        <f t="shared" ca="1" si="76"/>
        <v>OK</v>
      </c>
      <c r="K2441" s="366" t="s">
        <v>1706</v>
      </c>
      <c r="L2441" s="366" t="s">
        <v>2244</v>
      </c>
      <c r="M2441" s="350" t="str">
        <f>IF($B2441="Portfolio","Portfolio",IFERROR(INDEX(DATA_ASSET_CLASSIFICATION!$B$8:$B$24,MATCH($C2441,DATA_ASSET_CLASSIFICATION!$A$8:$A$24,0)),"Review"))</f>
        <v>Jessica Place</v>
      </c>
      <c r="N2441" s="350" t="str">
        <f ca="1">IF($B2441="Portfolio","Portfolio",IFERROR(INDEX(DATA_ASSET_CLASSIFICATION!$U$8:$U$24,MATCH($C2441,DATA_ASSET_CLASSIFICATION!$A$8:$A$24,0)),"Review"))</f>
        <v>Refi Watch</v>
      </c>
      <c r="O2441" s="350" t="str">
        <f ca="1">IF($B2441="Portfolio","Portfolio",IFERROR(INDEX(DATA_ASSET_CLASSIFICATION!$AB$8:$AB$13,MATCH($N2441,DATA_ASSET_CLASSIFICATION!$AA$8:$AA$13,0)),"Review"))</f>
        <v>Bucket 2 · Legacy</v>
      </c>
      <c r="P2441" s="350" t="str">
        <f>IF($B2441="Portfolio","Portfolio",IFERROR(INDEX(DATA_ASSET_CLASSIFICATION!$C$8:$C$24,MATCH($C2441,DATA_ASSET_CLASSIFICATION!$A$8:$A$24,0)),"Review"))</f>
        <v>Yes</v>
      </c>
      <c r="Q2441" s="350" t="str">
        <f t="shared" ca="1" si="77"/>
        <v>OK</v>
      </c>
    </row>
    <row r="2442" spans="1:17">
      <c r="A2442" s="366" t="s">
        <v>4398</v>
      </c>
      <c r="B2442" s="366" t="s">
        <v>231</v>
      </c>
      <c r="C2442" s="348" t="str">
        <f>DATA_PROPERTY_MASTER!$A$12</f>
        <v>BLD_JP</v>
      </c>
      <c r="D2442" s="380">
        <f>'00_PORTFOLIO ROLLUP'!L$12</f>
        <v>2032</v>
      </c>
      <c r="E2442" s="366" t="s">
        <v>1683</v>
      </c>
      <c r="F2442" s="366" t="s">
        <v>25</v>
      </c>
      <c r="G2442" s="348" t="str">
        <f>"'"&amp;$C2442&amp;"'!$E$52:$Y$52"</f>
        <v>'BLD_JP'!$E$52:$Y$52</v>
      </c>
      <c r="H2442" s="381">
        <f ca="1">IF(IFERROR(INDEX(DATA_PROPERTY_MASTER!$E$5:$E$21,MATCH($C2442,DATA_PROPERTY_MASTER!$A$5:$A$21,0))="Yes",FALSE),IFERROR(INDEX(INDIRECT("'"&amp;$C2442&amp;"'!$E$52:$Y$52"),1,MATCH($D2442,INDIRECT("'"&amp;$C2442&amp;"'!$E$12:$Y$12"),0)),0),0)</f>
        <v>229704.87374639808</v>
      </c>
      <c r="I2442" s="366" t="s">
        <v>1685</v>
      </c>
      <c r="J2442" s="348" t="str">
        <f t="shared" ca="1" si="76"/>
        <v>OK</v>
      </c>
      <c r="K2442" s="366" t="s">
        <v>1710</v>
      </c>
      <c r="L2442" s="366" t="s">
        <v>2246</v>
      </c>
      <c r="M2442" s="350" t="str">
        <f>IF($B2442="Portfolio","Portfolio",IFERROR(INDEX(DATA_ASSET_CLASSIFICATION!$B$8:$B$24,MATCH($C2442,DATA_ASSET_CLASSIFICATION!$A$8:$A$24,0)),"Review"))</f>
        <v>Jessica Place</v>
      </c>
      <c r="N2442" s="350" t="str">
        <f ca="1">IF($B2442="Portfolio","Portfolio",IFERROR(INDEX(DATA_ASSET_CLASSIFICATION!$U$8:$U$24,MATCH($C2442,DATA_ASSET_CLASSIFICATION!$A$8:$A$24,0)),"Review"))</f>
        <v>Refi Watch</v>
      </c>
      <c r="O2442" s="350" t="str">
        <f ca="1">IF($B2442="Portfolio","Portfolio",IFERROR(INDEX(DATA_ASSET_CLASSIFICATION!$AB$8:$AB$13,MATCH($N2442,DATA_ASSET_CLASSIFICATION!$AA$8:$AA$13,0)),"Review"))</f>
        <v>Bucket 2 · Legacy</v>
      </c>
      <c r="P2442" s="350" t="str">
        <f>IF($B2442="Portfolio","Portfolio",IFERROR(INDEX(DATA_ASSET_CLASSIFICATION!$C$8:$C$24,MATCH($C2442,DATA_ASSET_CLASSIFICATION!$A$8:$A$24,0)),"Review"))</f>
        <v>Yes</v>
      </c>
      <c r="Q2442" s="350" t="str">
        <f t="shared" ca="1" si="77"/>
        <v>OK</v>
      </c>
    </row>
    <row r="2443" spans="1:17">
      <c r="A2443" s="366" t="s">
        <v>4399</v>
      </c>
      <c r="B2443" s="366" t="s">
        <v>231</v>
      </c>
      <c r="C2443" s="348" t="str">
        <f>DATA_PROPERTY_MASTER!$A$12</f>
        <v>BLD_JP</v>
      </c>
      <c r="D2443" s="380">
        <f>'00_PORTFOLIO ROLLUP'!L$12</f>
        <v>2032</v>
      </c>
      <c r="E2443" s="366" t="s">
        <v>1683</v>
      </c>
      <c r="F2443" s="366" t="s">
        <v>27</v>
      </c>
      <c r="G2443" s="348" t="str">
        <f>"'"&amp;$C2443&amp;"'!$E$54:$Y$54"</f>
        <v>'BLD_JP'!$E$54:$Y$54</v>
      </c>
      <c r="H2443" s="381">
        <f ca="1">IF(IFERROR(INDEX(DATA_PROPERTY_MASTER!$E$5:$E$21,MATCH($C2443,DATA_PROPERTY_MASTER!$A$5:$A$21,0))="Yes",FALSE),IFERROR(INDEX(INDIRECT("'"&amp;$C2443&amp;"'!$E$54:$Y$54"),1,MATCH($D2443,INDIRECT("'"&amp;$C2443&amp;"'!$E$12:$Y$12"),0)),0),0)</f>
        <v>137822.92424783885</v>
      </c>
      <c r="I2443" s="366" t="s">
        <v>1690</v>
      </c>
      <c r="J2443" s="348" t="str">
        <f t="shared" ca="1" si="76"/>
        <v>OK</v>
      </c>
      <c r="K2443" s="366" t="s">
        <v>1714</v>
      </c>
      <c r="L2443" s="366" t="s">
        <v>2248</v>
      </c>
      <c r="M2443" s="350" t="str">
        <f>IF($B2443="Portfolio","Portfolio",IFERROR(INDEX(DATA_ASSET_CLASSIFICATION!$B$8:$B$24,MATCH($C2443,DATA_ASSET_CLASSIFICATION!$A$8:$A$24,0)),"Review"))</f>
        <v>Jessica Place</v>
      </c>
      <c r="N2443" s="350" t="str">
        <f ca="1">IF($B2443="Portfolio","Portfolio",IFERROR(INDEX(DATA_ASSET_CLASSIFICATION!$U$8:$U$24,MATCH($C2443,DATA_ASSET_CLASSIFICATION!$A$8:$A$24,0)),"Review"))</f>
        <v>Refi Watch</v>
      </c>
      <c r="O2443" s="350" t="str">
        <f ca="1">IF($B2443="Portfolio","Portfolio",IFERROR(INDEX(DATA_ASSET_CLASSIFICATION!$AB$8:$AB$13,MATCH($N2443,DATA_ASSET_CLASSIFICATION!$AA$8:$AA$13,0)),"Review"))</f>
        <v>Bucket 2 · Legacy</v>
      </c>
      <c r="P2443" s="350" t="str">
        <f>IF($B2443="Portfolio","Portfolio",IFERROR(INDEX(DATA_ASSET_CLASSIFICATION!$C$8:$C$24,MATCH($C2443,DATA_ASSET_CLASSIFICATION!$A$8:$A$24,0)),"Review"))</f>
        <v>Yes</v>
      </c>
      <c r="Q2443" s="350" t="str">
        <f t="shared" ca="1" si="77"/>
        <v>OK</v>
      </c>
    </row>
    <row r="2444" spans="1:17">
      <c r="A2444" s="366" t="s">
        <v>4400</v>
      </c>
      <c r="B2444" s="366" t="s">
        <v>231</v>
      </c>
      <c r="C2444" s="348" t="str">
        <f>DATA_PROPERTY_MASTER!$A$12</f>
        <v>BLD_JP</v>
      </c>
      <c r="D2444" s="380">
        <f>'00_PORTFOLIO ROLLUP'!L$12</f>
        <v>2032</v>
      </c>
      <c r="E2444" s="366" t="s">
        <v>1683</v>
      </c>
      <c r="F2444" s="366" t="s">
        <v>29</v>
      </c>
      <c r="G2444" s="348" t="str">
        <f>"'"&amp;$C2444&amp;"'!$E$56:$Y$56"</f>
        <v>'BLD_JP'!$E$56:$Y$56</v>
      </c>
      <c r="H2444" s="381">
        <f ca="1">IF(IFERROR(INDEX(DATA_PROPERTY_MASTER!$E$5:$E$21,MATCH($C2444,DATA_PROPERTY_MASTER!$A$5:$A$21,0))="Yes",FALSE),IFERROR(INDEX(INDIRECT("'"&amp;$C2444&amp;"'!$E$56:$Y$56"),1,MATCH($D2444,INDIRECT("'"&amp;$C2444&amp;"'!$E$12:$Y$12"),0)),0),0)</f>
        <v>91881.949498559232</v>
      </c>
      <c r="I2444" s="366" t="s">
        <v>1685</v>
      </c>
      <c r="J2444" s="348" t="str">
        <f t="shared" ca="1" si="76"/>
        <v>OK</v>
      </c>
      <c r="K2444" s="366" t="s">
        <v>1718</v>
      </c>
      <c r="L2444" s="366" t="s">
        <v>2250</v>
      </c>
      <c r="M2444" s="350" t="str">
        <f>IF($B2444="Portfolio","Portfolio",IFERROR(INDEX(DATA_ASSET_CLASSIFICATION!$B$8:$B$24,MATCH($C2444,DATA_ASSET_CLASSIFICATION!$A$8:$A$24,0)),"Review"))</f>
        <v>Jessica Place</v>
      </c>
      <c r="N2444" s="350" t="str">
        <f ca="1">IF($B2444="Portfolio","Portfolio",IFERROR(INDEX(DATA_ASSET_CLASSIFICATION!$U$8:$U$24,MATCH($C2444,DATA_ASSET_CLASSIFICATION!$A$8:$A$24,0)),"Review"))</f>
        <v>Refi Watch</v>
      </c>
      <c r="O2444" s="350" t="str">
        <f ca="1">IF($B2444="Portfolio","Portfolio",IFERROR(INDEX(DATA_ASSET_CLASSIFICATION!$AB$8:$AB$13,MATCH($N2444,DATA_ASSET_CLASSIFICATION!$AA$8:$AA$13,0)),"Review"))</f>
        <v>Bucket 2 · Legacy</v>
      </c>
      <c r="P2444" s="350" t="str">
        <f>IF($B2444="Portfolio","Portfolio",IFERROR(INDEX(DATA_ASSET_CLASSIFICATION!$C$8:$C$24,MATCH($C2444,DATA_ASSET_CLASSIFICATION!$A$8:$A$24,0)),"Review"))</f>
        <v>Yes</v>
      </c>
      <c r="Q2444" s="350" t="str">
        <f t="shared" ca="1" si="77"/>
        <v>OK</v>
      </c>
    </row>
    <row r="2445" spans="1:17">
      <c r="A2445" s="366" t="s">
        <v>4401</v>
      </c>
      <c r="B2445" s="366" t="s">
        <v>231</v>
      </c>
      <c r="C2445" s="348" t="str">
        <f>DATA_PROPERTY_MASTER!$A$12</f>
        <v>BLD_JP</v>
      </c>
      <c r="D2445" s="380">
        <f>'00_PORTFOLIO ROLLUP'!L$12</f>
        <v>2032</v>
      </c>
      <c r="E2445" s="366" t="s">
        <v>1721</v>
      </c>
      <c r="F2445" s="366" t="s">
        <v>31</v>
      </c>
      <c r="G2445" s="348" t="str">
        <f>"'"&amp;$C2445&amp;"'!$E$61:$Y$61"</f>
        <v>'BLD_JP'!$E$61:$Y$61</v>
      </c>
      <c r="H2445" s="381">
        <f ca="1">IF(IFERROR(INDEX(DATA_PROPERTY_MASTER!$E$5:$E$21,MATCH($C2445,DATA_PROPERTY_MASTER!$A$5:$A$21,0))="Yes",FALSE),IFERROR(INDEX(INDIRECT("'"&amp;$C2445&amp;"'!$E$61:$Y$61"),1,MATCH($D2445,INDIRECT("'"&amp;$C2445&amp;"'!$E$12:$Y$12"),0)),0),0)</f>
        <v>0</v>
      </c>
      <c r="I2445" s="366" t="s">
        <v>1690</v>
      </c>
      <c r="J2445" s="348" t="str">
        <f t="shared" ca="1" si="76"/>
        <v>OK</v>
      </c>
      <c r="K2445" s="366" t="s">
        <v>1723</v>
      </c>
      <c r="L2445" s="366" t="s">
        <v>2252</v>
      </c>
      <c r="M2445" s="350" t="str">
        <f>IF($B2445="Portfolio","Portfolio",IFERROR(INDEX(DATA_ASSET_CLASSIFICATION!$B$8:$B$24,MATCH($C2445,DATA_ASSET_CLASSIFICATION!$A$8:$A$24,0)),"Review"))</f>
        <v>Jessica Place</v>
      </c>
      <c r="N2445" s="350" t="str">
        <f ca="1">IF($B2445="Portfolio","Portfolio",IFERROR(INDEX(DATA_ASSET_CLASSIFICATION!$U$8:$U$24,MATCH($C2445,DATA_ASSET_CLASSIFICATION!$A$8:$A$24,0)),"Review"))</f>
        <v>Refi Watch</v>
      </c>
      <c r="O2445" s="350" t="str">
        <f ca="1">IF($B2445="Portfolio","Portfolio",IFERROR(INDEX(DATA_ASSET_CLASSIFICATION!$AB$8:$AB$13,MATCH($N2445,DATA_ASSET_CLASSIFICATION!$AA$8:$AA$13,0)),"Review"))</f>
        <v>Bucket 2 · Legacy</v>
      </c>
      <c r="P2445" s="350" t="str">
        <f>IF($B2445="Portfolio","Portfolio",IFERROR(INDEX(DATA_ASSET_CLASSIFICATION!$C$8:$C$24,MATCH($C2445,DATA_ASSET_CLASSIFICATION!$A$8:$A$24,0)),"Review"))</f>
        <v>Yes</v>
      </c>
      <c r="Q2445" s="350" t="str">
        <f t="shared" ca="1" si="77"/>
        <v>OK</v>
      </c>
    </row>
    <row r="2446" spans="1:17">
      <c r="A2446" s="366" t="s">
        <v>4402</v>
      </c>
      <c r="B2446" s="366" t="s">
        <v>231</v>
      </c>
      <c r="C2446" s="348" t="str">
        <f>DATA_PROPERTY_MASTER!$A$12</f>
        <v>BLD_JP</v>
      </c>
      <c r="D2446" s="380">
        <f>'00_PORTFOLIO ROLLUP'!L$12</f>
        <v>2032</v>
      </c>
      <c r="E2446" s="366" t="s">
        <v>1721</v>
      </c>
      <c r="F2446" s="366" t="s">
        <v>33</v>
      </c>
      <c r="G2446" s="348" t="str">
        <f>"'"&amp;$C2446&amp;"'!$E$62:$Y$62"</f>
        <v>'BLD_JP'!$E$62:$Y$62</v>
      </c>
      <c r="H2446" s="381">
        <f ca="1">IF(IFERROR(INDEX(DATA_PROPERTY_MASTER!$E$5:$E$21,MATCH($C2446,DATA_PROPERTY_MASTER!$A$5:$A$21,0))="Yes",FALSE),IFERROR(INDEX(INDIRECT("'"&amp;$C2446&amp;"'!$E$62:$Y$62"),1,MATCH($D2446,INDIRECT("'"&amp;$C2446&amp;"'!$E$12:$Y$12"),0)),0),0)</f>
        <v>0</v>
      </c>
      <c r="I2446" s="366" t="s">
        <v>1685</v>
      </c>
      <c r="J2446" s="348" t="str">
        <f t="shared" ca="1" si="76"/>
        <v>OK</v>
      </c>
      <c r="K2446" s="366" t="s">
        <v>1727</v>
      </c>
      <c r="L2446" s="366" t="s">
        <v>2254</v>
      </c>
      <c r="M2446" s="350" t="str">
        <f>IF($B2446="Portfolio","Portfolio",IFERROR(INDEX(DATA_ASSET_CLASSIFICATION!$B$8:$B$24,MATCH($C2446,DATA_ASSET_CLASSIFICATION!$A$8:$A$24,0)),"Review"))</f>
        <v>Jessica Place</v>
      </c>
      <c r="N2446" s="350" t="str">
        <f ca="1">IF($B2446="Portfolio","Portfolio",IFERROR(INDEX(DATA_ASSET_CLASSIFICATION!$U$8:$U$24,MATCH($C2446,DATA_ASSET_CLASSIFICATION!$A$8:$A$24,0)),"Review"))</f>
        <v>Refi Watch</v>
      </c>
      <c r="O2446" s="350" t="str">
        <f ca="1">IF($B2446="Portfolio","Portfolio",IFERROR(INDEX(DATA_ASSET_CLASSIFICATION!$AB$8:$AB$13,MATCH($N2446,DATA_ASSET_CLASSIFICATION!$AA$8:$AA$13,0)),"Review"))</f>
        <v>Bucket 2 · Legacy</v>
      </c>
      <c r="P2446" s="350" t="str">
        <f>IF($B2446="Portfolio","Portfolio",IFERROR(INDEX(DATA_ASSET_CLASSIFICATION!$C$8:$C$24,MATCH($C2446,DATA_ASSET_CLASSIFICATION!$A$8:$A$24,0)),"Review"))</f>
        <v>Yes</v>
      </c>
      <c r="Q2446" s="350" t="str">
        <f t="shared" ca="1" si="77"/>
        <v>OK</v>
      </c>
    </row>
    <row r="2447" spans="1:17">
      <c r="A2447" s="366" t="s">
        <v>4403</v>
      </c>
      <c r="B2447" s="366" t="s">
        <v>231</v>
      </c>
      <c r="C2447" s="348" t="str">
        <f>DATA_PROPERTY_MASTER!$A$12</f>
        <v>BLD_JP</v>
      </c>
      <c r="D2447" s="380">
        <f>'00_PORTFOLIO ROLLUP'!L$12</f>
        <v>2032</v>
      </c>
      <c r="E2447" s="366" t="s">
        <v>1721</v>
      </c>
      <c r="F2447" s="366" t="s">
        <v>35</v>
      </c>
      <c r="G2447" s="348" t="str">
        <f>"'"&amp;$C2447&amp;"'!$E$63:$Y$63"</f>
        <v>'BLD_JP'!$E$63:$Y$63</v>
      </c>
      <c r="H2447" s="381">
        <f ca="1">IF(IFERROR(INDEX(DATA_PROPERTY_MASTER!$E$5:$E$21,MATCH($C2447,DATA_PROPERTY_MASTER!$A$5:$A$21,0))="Yes",FALSE),IFERROR(INDEX(INDIRECT("'"&amp;$C2447&amp;"'!$E$63:$Y$63"),1,MATCH($D2447,INDIRECT("'"&amp;$C2447&amp;"'!$E$12:$Y$12"),0)),0),0)</f>
        <v>0</v>
      </c>
      <c r="I2447" s="366" t="s">
        <v>1731</v>
      </c>
      <c r="J2447" s="348" t="str">
        <f t="shared" ca="1" si="76"/>
        <v>OK</v>
      </c>
      <c r="K2447" s="366" t="s">
        <v>1732</v>
      </c>
      <c r="L2447" s="366" t="s">
        <v>2256</v>
      </c>
      <c r="M2447" s="350" t="str">
        <f>IF($B2447="Portfolio","Portfolio",IFERROR(INDEX(DATA_ASSET_CLASSIFICATION!$B$8:$B$24,MATCH($C2447,DATA_ASSET_CLASSIFICATION!$A$8:$A$24,0)),"Review"))</f>
        <v>Jessica Place</v>
      </c>
      <c r="N2447" s="350" t="str">
        <f ca="1">IF($B2447="Portfolio","Portfolio",IFERROR(INDEX(DATA_ASSET_CLASSIFICATION!$U$8:$U$24,MATCH($C2447,DATA_ASSET_CLASSIFICATION!$A$8:$A$24,0)),"Review"))</f>
        <v>Refi Watch</v>
      </c>
      <c r="O2447" s="350" t="str">
        <f ca="1">IF($B2447="Portfolio","Portfolio",IFERROR(INDEX(DATA_ASSET_CLASSIFICATION!$AB$8:$AB$13,MATCH($N2447,DATA_ASSET_CLASSIFICATION!$AA$8:$AA$13,0)),"Review"))</f>
        <v>Bucket 2 · Legacy</v>
      </c>
      <c r="P2447" s="350" t="str">
        <f>IF($B2447="Portfolio","Portfolio",IFERROR(INDEX(DATA_ASSET_CLASSIFICATION!$C$8:$C$24,MATCH($C2447,DATA_ASSET_CLASSIFICATION!$A$8:$A$24,0)),"Review"))</f>
        <v>Yes</v>
      </c>
      <c r="Q2447" s="350" t="str">
        <f t="shared" ca="1" si="77"/>
        <v>OK</v>
      </c>
    </row>
    <row r="2448" spans="1:17">
      <c r="A2448" s="366" t="s">
        <v>4404</v>
      </c>
      <c r="B2448" s="366" t="s">
        <v>231</v>
      </c>
      <c r="C2448" s="348" t="str">
        <f>DATA_PROPERTY_MASTER!$A$12</f>
        <v>BLD_JP</v>
      </c>
      <c r="D2448" s="380">
        <f>'00_PORTFOLIO ROLLUP'!L$12</f>
        <v>2032</v>
      </c>
      <c r="E2448" s="366" t="s">
        <v>1721</v>
      </c>
      <c r="F2448" s="366" t="s">
        <v>37</v>
      </c>
      <c r="G2448" s="348" t="str">
        <f>"'"&amp;$C2448&amp;"'!$E$63:$Y$63"</f>
        <v>'BLD_JP'!$E$63:$Y$63</v>
      </c>
      <c r="H2448" s="381">
        <f ca="1">IF(IFERROR(INDEX(DATA_PROPERTY_MASTER!$E$5:$E$21,MATCH($C2448,DATA_PROPERTY_MASTER!$A$5:$A$21,0))="Yes",FALSE),MAX(IFERROR(INDEX(INDIRECT("'"&amp;$C2448&amp;"'!$E$63:$Y$63"),1,MATCH($D2448,INDIRECT("'"&amp;$C2448&amp;"'!$E$12:$Y$12"),0)),0),0),0)</f>
        <v>0</v>
      </c>
      <c r="I2448" s="366" t="s">
        <v>1685</v>
      </c>
      <c r="J2448" s="348" t="str">
        <f t="shared" ca="1" si="76"/>
        <v>OK</v>
      </c>
      <c r="K2448" s="366" t="s">
        <v>1735</v>
      </c>
      <c r="L2448" s="366" t="s">
        <v>2258</v>
      </c>
      <c r="M2448" s="350" t="str">
        <f>IF($B2448="Portfolio","Portfolio",IFERROR(INDEX(DATA_ASSET_CLASSIFICATION!$B$8:$B$24,MATCH($C2448,DATA_ASSET_CLASSIFICATION!$A$8:$A$24,0)),"Review"))</f>
        <v>Jessica Place</v>
      </c>
      <c r="N2448" s="350" t="str">
        <f ca="1">IF($B2448="Portfolio","Portfolio",IFERROR(INDEX(DATA_ASSET_CLASSIFICATION!$U$8:$U$24,MATCH($C2448,DATA_ASSET_CLASSIFICATION!$A$8:$A$24,0)),"Review"))</f>
        <v>Refi Watch</v>
      </c>
      <c r="O2448" s="350" t="str">
        <f ca="1">IF($B2448="Portfolio","Portfolio",IFERROR(INDEX(DATA_ASSET_CLASSIFICATION!$AB$8:$AB$13,MATCH($N2448,DATA_ASSET_CLASSIFICATION!$AA$8:$AA$13,0)),"Review"))</f>
        <v>Bucket 2 · Legacy</v>
      </c>
      <c r="P2448" s="350" t="str">
        <f>IF($B2448="Portfolio","Portfolio",IFERROR(INDEX(DATA_ASSET_CLASSIFICATION!$C$8:$C$24,MATCH($C2448,DATA_ASSET_CLASSIFICATION!$A$8:$A$24,0)),"Review"))</f>
        <v>Yes</v>
      </c>
      <c r="Q2448" s="350" t="str">
        <f t="shared" ca="1" si="77"/>
        <v>OK</v>
      </c>
    </row>
    <row r="2449" spans="1:17">
      <c r="A2449" s="366" t="s">
        <v>4405</v>
      </c>
      <c r="B2449" s="366" t="s">
        <v>231</v>
      </c>
      <c r="C2449" s="348" t="str">
        <f>DATA_PROPERTY_MASTER!$A$12</f>
        <v>BLD_JP</v>
      </c>
      <c r="D2449" s="380">
        <f>'00_PORTFOLIO ROLLUP'!L$12</f>
        <v>2032</v>
      </c>
      <c r="E2449" s="366" t="s">
        <v>1721</v>
      </c>
      <c r="F2449" s="366" t="s">
        <v>39</v>
      </c>
      <c r="G2449" s="348" t="str">
        <f>"'"&amp;$C2449&amp;"'!$E$63:$Y$63"</f>
        <v>'BLD_JP'!$E$63:$Y$63</v>
      </c>
      <c r="H2449" s="381">
        <f ca="1">IF(IFERROR(INDEX(DATA_PROPERTY_MASTER!$E$5:$E$21,MATCH($C2449,DATA_PROPERTY_MASTER!$A$5:$A$21,0))="Yes",FALSE),MAX(-IFERROR(INDEX(INDIRECT("'"&amp;$C2449&amp;"'!$E$63:$Y$63"),1,MATCH($D2449,INDIRECT("'"&amp;$C2449&amp;"'!$E$12:$Y$12"),0)),0),0),0)</f>
        <v>0</v>
      </c>
      <c r="I2449" s="366" t="s">
        <v>1690</v>
      </c>
      <c r="J2449" s="348" t="str">
        <f t="shared" ca="1" si="76"/>
        <v>OK</v>
      </c>
      <c r="K2449" s="366" t="s">
        <v>1738</v>
      </c>
      <c r="L2449" s="366" t="s">
        <v>2260</v>
      </c>
      <c r="M2449" s="350" t="str">
        <f>IF($B2449="Portfolio","Portfolio",IFERROR(INDEX(DATA_ASSET_CLASSIFICATION!$B$8:$B$24,MATCH($C2449,DATA_ASSET_CLASSIFICATION!$A$8:$A$24,0)),"Review"))</f>
        <v>Jessica Place</v>
      </c>
      <c r="N2449" s="350" t="str">
        <f ca="1">IF($B2449="Portfolio","Portfolio",IFERROR(INDEX(DATA_ASSET_CLASSIFICATION!$U$8:$U$24,MATCH($C2449,DATA_ASSET_CLASSIFICATION!$A$8:$A$24,0)),"Review"))</f>
        <v>Refi Watch</v>
      </c>
      <c r="O2449" s="350" t="str">
        <f ca="1">IF($B2449="Portfolio","Portfolio",IFERROR(INDEX(DATA_ASSET_CLASSIFICATION!$AB$8:$AB$13,MATCH($N2449,DATA_ASSET_CLASSIFICATION!$AA$8:$AA$13,0)),"Review"))</f>
        <v>Bucket 2 · Legacy</v>
      </c>
      <c r="P2449" s="350" t="str">
        <f>IF($B2449="Portfolio","Portfolio",IFERROR(INDEX(DATA_ASSET_CLASSIFICATION!$C$8:$C$24,MATCH($C2449,DATA_ASSET_CLASSIFICATION!$A$8:$A$24,0)),"Review"))</f>
        <v>Yes</v>
      </c>
      <c r="Q2449" s="350" t="str">
        <f t="shared" ca="1" si="77"/>
        <v>OK</v>
      </c>
    </row>
    <row r="2450" spans="1:17">
      <c r="A2450" s="366" t="s">
        <v>4406</v>
      </c>
      <c r="B2450" s="366" t="s">
        <v>231</v>
      </c>
      <c r="C2450" s="348" t="str">
        <f>DATA_PROPERTY_MASTER!$A$12</f>
        <v>BLD_JP</v>
      </c>
      <c r="D2450" s="380">
        <f>'00_PORTFOLIO ROLLUP'!L$12</f>
        <v>2032</v>
      </c>
      <c r="E2450" s="366" t="s">
        <v>1741</v>
      </c>
      <c r="F2450" s="366" t="s">
        <v>41</v>
      </c>
      <c r="G2450" s="348" t="str">
        <f>"'"&amp;$C2450&amp;"'!rows 56 + positive row 63"</f>
        <v>'BLD_JP'!rows 56 + positive row 63</v>
      </c>
      <c r="H2450" s="381">
        <f ca="1">IF(IFERROR(INDEX(DATA_PROPERTY_MASTER!$E$5:$E$21,MATCH($C2450,DATA_PROPERTY_MASTER!$A$5:$A$21,0))="Yes",FALSE),IFERROR(INDEX(INDIRECT("'"&amp;$C2450&amp;"'!$E$56:$Y$56"),1,MATCH($D2450,INDIRECT("'"&amp;$C2450&amp;"'!$E$12:$Y$12"),0)),0)+MAX(IFERROR(INDEX(INDIRECT("'"&amp;$C2450&amp;"'!$E$63:$Y$63"),1,MATCH($D2450,INDIRECT("'"&amp;$C2450&amp;"'!$E$12:$Y$12"),0)),0),0),0)</f>
        <v>91881.949498559232</v>
      </c>
      <c r="I2450" s="366" t="s">
        <v>1685</v>
      </c>
      <c r="J2450" s="348" t="str">
        <f t="shared" ca="1" si="76"/>
        <v>OK</v>
      </c>
      <c r="K2450" s="366" t="s">
        <v>1742</v>
      </c>
      <c r="L2450" s="366" t="s">
        <v>2262</v>
      </c>
      <c r="M2450" s="350" t="str">
        <f>IF($B2450="Portfolio","Portfolio",IFERROR(INDEX(DATA_ASSET_CLASSIFICATION!$B$8:$B$24,MATCH($C2450,DATA_ASSET_CLASSIFICATION!$A$8:$A$24,0)),"Review"))</f>
        <v>Jessica Place</v>
      </c>
      <c r="N2450" s="350" t="str">
        <f ca="1">IF($B2450="Portfolio","Portfolio",IFERROR(INDEX(DATA_ASSET_CLASSIFICATION!$U$8:$U$24,MATCH($C2450,DATA_ASSET_CLASSIFICATION!$A$8:$A$24,0)),"Review"))</f>
        <v>Refi Watch</v>
      </c>
      <c r="O2450" s="350" t="str">
        <f ca="1">IF($B2450="Portfolio","Portfolio",IFERROR(INDEX(DATA_ASSET_CLASSIFICATION!$AB$8:$AB$13,MATCH($N2450,DATA_ASSET_CLASSIFICATION!$AA$8:$AA$13,0)),"Review"))</f>
        <v>Bucket 2 · Legacy</v>
      </c>
      <c r="P2450" s="350" t="str">
        <f>IF($B2450="Portfolio","Portfolio",IFERROR(INDEX(DATA_ASSET_CLASSIFICATION!$C$8:$C$24,MATCH($C2450,DATA_ASSET_CLASSIFICATION!$A$8:$A$24,0)),"Review"))</f>
        <v>Yes</v>
      </c>
      <c r="Q2450" s="350" t="str">
        <f t="shared" ca="1" si="77"/>
        <v>OK</v>
      </c>
    </row>
    <row r="2451" spans="1:17">
      <c r="A2451" s="366" t="s">
        <v>4407</v>
      </c>
      <c r="B2451" s="366" t="s">
        <v>231</v>
      </c>
      <c r="C2451" s="348" t="str">
        <f>DATA_PROPERTY_MASTER!$A$12</f>
        <v>BLD_JP</v>
      </c>
      <c r="D2451" s="380">
        <f>'00_PORTFOLIO ROLLUP'!L$12</f>
        <v>2032</v>
      </c>
      <c r="E2451" s="366" t="s">
        <v>1741</v>
      </c>
      <c r="F2451" s="366" t="s">
        <v>43</v>
      </c>
      <c r="G2451" s="348" t="str">
        <f>"'"&amp;$C2451&amp;"'!$E$68:$Y$68"</f>
        <v>'BLD_JP'!$E$68:$Y$68</v>
      </c>
      <c r="H2451" s="381">
        <f ca="1">IF(IFERROR(INDEX(DATA_PROPERTY_MASTER!$E$5:$E$21,MATCH($C2451,DATA_PROPERTY_MASTER!$A$5:$A$21,0))="Yes",FALSE),IFERROR(INDEX(INDIRECT("'"&amp;$C2451&amp;"'!$E$68:$Y$68"),1,MATCH($D2451,INDIRECT("'"&amp;$C2451&amp;"'!$E$12:$Y$12"),0)),0),0)</f>
        <v>91881.949498559232</v>
      </c>
      <c r="I2451" s="366" t="s">
        <v>1731</v>
      </c>
      <c r="J2451" s="348" t="str">
        <f t="shared" ca="1" si="76"/>
        <v>OK</v>
      </c>
      <c r="K2451" s="366" t="s">
        <v>1746</v>
      </c>
      <c r="L2451" s="366" t="s">
        <v>2264</v>
      </c>
      <c r="M2451" s="350" t="str">
        <f>IF($B2451="Portfolio","Portfolio",IFERROR(INDEX(DATA_ASSET_CLASSIFICATION!$B$8:$B$24,MATCH($C2451,DATA_ASSET_CLASSIFICATION!$A$8:$A$24,0)),"Review"))</f>
        <v>Jessica Place</v>
      </c>
      <c r="N2451" s="350" t="str">
        <f ca="1">IF($B2451="Portfolio","Portfolio",IFERROR(INDEX(DATA_ASSET_CLASSIFICATION!$U$8:$U$24,MATCH($C2451,DATA_ASSET_CLASSIFICATION!$A$8:$A$24,0)),"Review"))</f>
        <v>Refi Watch</v>
      </c>
      <c r="O2451" s="350" t="str">
        <f ca="1">IF($B2451="Portfolio","Portfolio",IFERROR(INDEX(DATA_ASSET_CLASSIFICATION!$AB$8:$AB$13,MATCH($N2451,DATA_ASSET_CLASSIFICATION!$AA$8:$AA$13,0)),"Review"))</f>
        <v>Bucket 2 · Legacy</v>
      </c>
      <c r="P2451" s="350" t="str">
        <f>IF($B2451="Portfolio","Portfolio",IFERROR(INDEX(DATA_ASSET_CLASSIFICATION!$C$8:$C$24,MATCH($C2451,DATA_ASSET_CLASSIFICATION!$A$8:$A$24,0)),"Review"))</f>
        <v>Yes</v>
      </c>
      <c r="Q2451" s="350" t="str">
        <f t="shared" ca="1" si="77"/>
        <v>OK</v>
      </c>
    </row>
    <row r="2452" spans="1:17">
      <c r="A2452" s="366" t="s">
        <v>4408</v>
      </c>
      <c r="B2452" s="366" t="s">
        <v>231</v>
      </c>
      <c r="C2452" s="348" t="str">
        <f>DATA_PROPERTY_MASTER!$A$12</f>
        <v>BLD_JP</v>
      </c>
      <c r="D2452" s="380">
        <f>'00_PORTFOLIO ROLLUP'!L$12</f>
        <v>2032</v>
      </c>
      <c r="E2452" s="366" t="s">
        <v>1741</v>
      </c>
      <c r="F2452" s="366" t="s">
        <v>1749</v>
      </c>
      <c r="G2452" s="348" t="str">
        <f>"'"&amp;$C2452&amp;"'!rows 56, 63, 68"</f>
        <v>'BLD_JP'!rows 56, 63, 68</v>
      </c>
      <c r="H2452" s="381">
        <f ca="1">IF(IFERROR(INDEX(DATA_PROPERTY_MASTER!$E$5:$E$21,MATCH($C2452,DATA_PROPERTY_MASTER!$A$5:$A$21,0))="Yes",FALSE),(IFERROR(INDEX(INDIRECT("'"&amp;$C2452&amp;"'!$E$56:$Y$56"),1,MATCH($D2452,INDIRECT("'"&amp;$C2452&amp;"'!$E$12:$Y$12"),0)),0)+MAX(IFERROR(INDEX(INDIRECT("'"&amp;$C2452&amp;"'!$E$63:$Y$63"),1,MATCH($D2452,INDIRECT("'"&amp;$C2452&amp;"'!$E$12:$Y$12"),0)),0),0))-(IFERROR(INDEX(INDIRECT("'"&amp;$C2452&amp;"'!$E$68:$Y$68"),1,MATCH($D2452,INDIRECT("'"&amp;$C2452&amp;"'!$E$12:$Y$12"),0)),0)),0)</f>
        <v>0</v>
      </c>
      <c r="I2452" s="366" t="s">
        <v>1750</v>
      </c>
      <c r="J2452" s="348" t="str">
        <f t="shared" ca="1" si="76"/>
        <v>OK</v>
      </c>
      <c r="K2452" s="366" t="s">
        <v>1751</v>
      </c>
      <c r="L2452" s="366" t="s">
        <v>2266</v>
      </c>
      <c r="M2452" s="350" t="str">
        <f>IF($B2452="Portfolio","Portfolio",IFERROR(INDEX(DATA_ASSET_CLASSIFICATION!$B$8:$B$24,MATCH($C2452,DATA_ASSET_CLASSIFICATION!$A$8:$A$24,0)),"Review"))</f>
        <v>Jessica Place</v>
      </c>
      <c r="N2452" s="350" t="str">
        <f ca="1">IF($B2452="Portfolio","Portfolio",IFERROR(INDEX(DATA_ASSET_CLASSIFICATION!$U$8:$U$24,MATCH($C2452,DATA_ASSET_CLASSIFICATION!$A$8:$A$24,0)),"Review"))</f>
        <v>Refi Watch</v>
      </c>
      <c r="O2452" s="350" t="str">
        <f ca="1">IF($B2452="Portfolio","Portfolio",IFERROR(INDEX(DATA_ASSET_CLASSIFICATION!$AB$8:$AB$13,MATCH($N2452,DATA_ASSET_CLASSIFICATION!$AA$8:$AA$13,0)),"Review"))</f>
        <v>Bucket 2 · Legacy</v>
      </c>
      <c r="P2452" s="350" t="str">
        <f>IF($B2452="Portfolio","Portfolio",IFERROR(INDEX(DATA_ASSET_CLASSIFICATION!$C$8:$C$24,MATCH($C2452,DATA_ASSET_CLASSIFICATION!$A$8:$A$24,0)),"Review"))</f>
        <v>Yes</v>
      </c>
      <c r="Q2452" s="350" t="str">
        <f t="shared" ca="1" si="77"/>
        <v>OK</v>
      </c>
    </row>
    <row r="2453" spans="1:17">
      <c r="A2453" s="366" t="s">
        <v>4409</v>
      </c>
      <c r="B2453" s="366" t="s">
        <v>231</v>
      </c>
      <c r="C2453" s="348" t="str">
        <f>DATA_PROPERTY_MASTER!$A$12</f>
        <v>BLD_JP</v>
      </c>
      <c r="D2453" s="380">
        <f>'00_PORTFOLIO ROLLUP'!M$12</f>
        <v>2033</v>
      </c>
      <c r="E2453" s="366" t="s">
        <v>1683</v>
      </c>
      <c r="F2453" s="366" t="s">
        <v>341</v>
      </c>
      <c r="G2453" s="348" t="str">
        <f>"'"&amp;$C2453&amp;"'!$E$24:$Y$24"</f>
        <v>'BLD_JP'!$E$24:$Y$24</v>
      </c>
      <c r="H2453" s="381">
        <f ca="1">IF(IFERROR(INDEX(DATA_PROPERTY_MASTER!$E$5:$E$21,MATCH($C2453,DATA_PROPERTY_MASTER!$A$5:$A$21,0))="Yes",FALSE),IFERROR(INDEX(INDIRECT("'"&amp;$C2453&amp;"'!$E$24:$Y$24"),1,MATCH($D2453,INDIRECT("'"&amp;$C2453&amp;"'!$E$12:$Y$12"),0)),0),0)</f>
        <v>576166.12512487744</v>
      </c>
      <c r="I2453" s="366" t="s">
        <v>1685</v>
      </c>
      <c r="J2453" s="348" t="str">
        <f t="shared" ca="1" si="76"/>
        <v>OK</v>
      </c>
      <c r="K2453" s="366" t="s">
        <v>1686</v>
      </c>
      <c r="L2453" s="366" t="s">
        <v>2234</v>
      </c>
      <c r="M2453" s="350" t="str">
        <f>IF($B2453="Portfolio","Portfolio",IFERROR(INDEX(DATA_ASSET_CLASSIFICATION!$B$8:$B$24,MATCH($C2453,DATA_ASSET_CLASSIFICATION!$A$8:$A$24,0)),"Review"))</f>
        <v>Jessica Place</v>
      </c>
      <c r="N2453" s="350" t="str">
        <f ca="1">IF($B2453="Portfolio","Portfolio",IFERROR(INDEX(DATA_ASSET_CLASSIFICATION!$U$8:$U$24,MATCH($C2453,DATA_ASSET_CLASSIFICATION!$A$8:$A$24,0)),"Review"))</f>
        <v>Refi Watch</v>
      </c>
      <c r="O2453" s="350" t="str">
        <f ca="1">IF($B2453="Portfolio","Portfolio",IFERROR(INDEX(DATA_ASSET_CLASSIFICATION!$AB$8:$AB$13,MATCH($N2453,DATA_ASSET_CLASSIFICATION!$AA$8:$AA$13,0)),"Review"))</f>
        <v>Bucket 2 · Legacy</v>
      </c>
      <c r="P2453" s="350" t="str">
        <f>IF($B2453="Portfolio","Portfolio",IFERROR(INDEX(DATA_ASSET_CLASSIFICATION!$C$8:$C$24,MATCH($C2453,DATA_ASSET_CLASSIFICATION!$A$8:$A$24,0)),"Review"))</f>
        <v>Yes</v>
      </c>
      <c r="Q2453" s="350" t="str">
        <f t="shared" ca="1" si="77"/>
        <v>OK</v>
      </c>
    </row>
    <row r="2454" spans="1:17">
      <c r="A2454" s="366" t="s">
        <v>4410</v>
      </c>
      <c r="B2454" s="366" t="s">
        <v>231</v>
      </c>
      <c r="C2454" s="348" t="str">
        <f>DATA_PROPERTY_MASTER!$A$12</f>
        <v>BLD_JP</v>
      </c>
      <c r="D2454" s="380">
        <f>'00_PORTFOLIO ROLLUP'!M$12</f>
        <v>2033</v>
      </c>
      <c r="E2454" s="366" t="s">
        <v>1683</v>
      </c>
      <c r="F2454" s="366" t="s">
        <v>355</v>
      </c>
      <c r="G2454" s="348" t="str">
        <f>"'"&amp;$C2454&amp;"'!$E$39:$Y$39"</f>
        <v>'BLD_JP'!$E$39:$Y$39</v>
      </c>
      <c r="H2454" s="381">
        <f ca="1">IF(IFERROR(INDEX(DATA_PROPERTY_MASTER!$E$5:$E$21,MATCH($C2454,DATA_PROPERTY_MASTER!$A$5:$A$21,0))="Yes",FALSE),IFERROR(INDEX(INDIRECT("'"&amp;$C2454&amp;"'!$E$39:$Y$39"),1,MATCH($D2454,INDIRECT("'"&amp;$C2454&amp;"'!$E$12:$Y$12"),0)),0),0)</f>
        <v>348570.43143107212</v>
      </c>
      <c r="I2454" s="366" t="s">
        <v>1690</v>
      </c>
      <c r="J2454" s="348" t="str">
        <f t="shared" ca="1" si="76"/>
        <v>OK</v>
      </c>
      <c r="K2454" s="366" t="s">
        <v>1686</v>
      </c>
      <c r="L2454" s="366" t="s">
        <v>2236</v>
      </c>
      <c r="M2454" s="350" t="str">
        <f>IF($B2454="Portfolio","Portfolio",IFERROR(INDEX(DATA_ASSET_CLASSIFICATION!$B$8:$B$24,MATCH($C2454,DATA_ASSET_CLASSIFICATION!$A$8:$A$24,0)),"Review"))</f>
        <v>Jessica Place</v>
      </c>
      <c r="N2454" s="350" t="str">
        <f ca="1">IF($B2454="Portfolio","Portfolio",IFERROR(INDEX(DATA_ASSET_CLASSIFICATION!$U$8:$U$24,MATCH($C2454,DATA_ASSET_CLASSIFICATION!$A$8:$A$24,0)),"Review"))</f>
        <v>Refi Watch</v>
      </c>
      <c r="O2454" s="350" t="str">
        <f ca="1">IF($B2454="Portfolio","Portfolio",IFERROR(INDEX(DATA_ASSET_CLASSIFICATION!$AB$8:$AB$13,MATCH($N2454,DATA_ASSET_CLASSIFICATION!$AA$8:$AA$13,0)),"Review"))</f>
        <v>Bucket 2 · Legacy</v>
      </c>
      <c r="P2454" s="350" t="str">
        <f>IF($B2454="Portfolio","Portfolio",IFERROR(INDEX(DATA_ASSET_CLASSIFICATION!$C$8:$C$24,MATCH($C2454,DATA_ASSET_CLASSIFICATION!$A$8:$A$24,0)),"Review"))</f>
        <v>Yes</v>
      </c>
      <c r="Q2454" s="350" t="str">
        <f t="shared" ca="1" si="77"/>
        <v>OK</v>
      </c>
    </row>
    <row r="2455" spans="1:17">
      <c r="A2455" s="366" t="s">
        <v>4411</v>
      </c>
      <c r="B2455" s="366" t="s">
        <v>231</v>
      </c>
      <c r="C2455" s="348" t="str">
        <f>DATA_PROPERTY_MASTER!$A$12</f>
        <v>BLD_JP</v>
      </c>
      <c r="D2455" s="380">
        <f>'00_PORTFOLIO ROLLUP'!M$12</f>
        <v>2033</v>
      </c>
      <c r="E2455" s="366" t="s">
        <v>1683</v>
      </c>
      <c r="F2455" s="366" t="s">
        <v>19</v>
      </c>
      <c r="G2455" s="348" t="str">
        <f>"'"&amp;$C2455&amp;"'!$E$41:$Y$41"</f>
        <v>'BLD_JP'!$E$41:$Y$41</v>
      </c>
      <c r="H2455" s="381">
        <f ca="1">IF(IFERROR(INDEX(DATA_PROPERTY_MASTER!$E$5:$E$21,MATCH($C2455,DATA_PROPERTY_MASTER!$A$5:$A$21,0))="Yes",FALSE),IFERROR(INDEX(INDIRECT("'"&amp;$C2455&amp;"'!$E$41:$Y$41"),1,MATCH($D2455,INDIRECT("'"&amp;$C2455&amp;"'!$E$12:$Y$12"),0)),0),0)</f>
        <v>227595.69369380531</v>
      </c>
      <c r="I2455" s="366" t="s">
        <v>1685</v>
      </c>
      <c r="J2455" s="348" t="str">
        <f t="shared" ca="1" si="76"/>
        <v>OK</v>
      </c>
      <c r="K2455" s="366" t="s">
        <v>1694</v>
      </c>
      <c r="L2455" s="366" t="s">
        <v>2238</v>
      </c>
      <c r="M2455" s="350" t="str">
        <f>IF($B2455="Portfolio","Portfolio",IFERROR(INDEX(DATA_ASSET_CLASSIFICATION!$B$8:$B$24,MATCH($C2455,DATA_ASSET_CLASSIFICATION!$A$8:$A$24,0)),"Review"))</f>
        <v>Jessica Place</v>
      </c>
      <c r="N2455" s="350" t="str">
        <f ca="1">IF($B2455="Portfolio","Portfolio",IFERROR(INDEX(DATA_ASSET_CLASSIFICATION!$U$8:$U$24,MATCH($C2455,DATA_ASSET_CLASSIFICATION!$A$8:$A$24,0)),"Review"))</f>
        <v>Refi Watch</v>
      </c>
      <c r="O2455" s="350" t="str">
        <f ca="1">IF($B2455="Portfolio","Portfolio",IFERROR(INDEX(DATA_ASSET_CLASSIFICATION!$AB$8:$AB$13,MATCH($N2455,DATA_ASSET_CLASSIFICATION!$AA$8:$AA$13,0)),"Review"))</f>
        <v>Bucket 2 · Legacy</v>
      </c>
      <c r="P2455" s="350" t="str">
        <f>IF($B2455="Portfolio","Portfolio",IFERROR(INDEX(DATA_ASSET_CLASSIFICATION!$C$8:$C$24,MATCH($C2455,DATA_ASSET_CLASSIFICATION!$A$8:$A$24,0)),"Review"))</f>
        <v>Yes</v>
      </c>
      <c r="Q2455" s="350" t="str">
        <f t="shared" ca="1" si="77"/>
        <v>OK</v>
      </c>
    </row>
    <row r="2456" spans="1:17">
      <c r="A2456" s="366" t="s">
        <v>4412</v>
      </c>
      <c r="B2456" s="366" t="s">
        <v>231</v>
      </c>
      <c r="C2456" s="348" t="str">
        <f>DATA_PROPERTY_MASTER!$A$12</f>
        <v>BLD_JP</v>
      </c>
      <c r="D2456" s="380">
        <f>'00_PORTFOLIO ROLLUP'!M$12</f>
        <v>2033</v>
      </c>
      <c r="E2456" s="366" t="s">
        <v>1683</v>
      </c>
      <c r="F2456" s="366" t="s">
        <v>1697</v>
      </c>
      <c r="G2456" s="348" t="str">
        <f>"'"&amp;$C2456&amp;"'!$E$44:$Y$44"</f>
        <v>'BLD_JP'!$E$44:$Y$44</v>
      </c>
      <c r="H2456" s="381">
        <f ca="1">IF(IFERROR(INDEX(DATA_PROPERTY_MASTER!$E$5:$E$21,MATCH($C2456,DATA_PROPERTY_MASTER!$A$5:$A$21,0))="Yes",FALSE),IFERROR(INDEX(INDIRECT("'"&amp;$C2456&amp;"'!$E$44:$Y$44"),1,MATCH($D2456,INDIRECT("'"&amp;$C2456&amp;"'!$E$12:$Y$12"),0)),0),0)</f>
        <v>7029.9562860135929</v>
      </c>
      <c r="I2456" s="366" t="s">
        <v>1690</v>
      </c>
      <c r="J2456" s="348" t="str">
        <f t="shared" ca="1" si="76"/>
        <v>OK</v>
      </c>
      <c r="K2456" s="366" t="s">
        <v>1699</v>
      </c>
      <c r="L2456" s="366" t="s">
        <v>2240</v>
      </c>
      <c r="M2456" s="350" t="str">
        <f>IF($B2456="Portfolio","Portfolio",IFERROR(INDEX(DATA_ASSET_CLASSIFICATION!$B$8:$B$24,MATCH($C2456,DATA_ASSET_CLASSIFICATION!$A$8:$A$24,0)),"Review"))</f>
        <v>Jessica Place</v>
      </c>
      <c r="N2456" s="350" t="str">
        <f ca="1">IF($B2456="Portfolio","Portfolio",IFERROR(INDEX(DATA_ASSET_CLASSIFICATION!$U$8:$U$24,MATCH($C2456,DATA_ASSET_CLASSIFICATION!$A$8:$A$24,0)),"Review"))</f>
        <v>Refi Watch</v>
      </c>
      <c r="O2456" s="350" t="str">
        <f ca="1">IF($B2456="Portfolio","Portfolio",IFERROR(INDEX(DATA_ASSET_CLASSIFICATION!$AB$8:$AB$13,MATCH($N2456,DATA_ASSET_CLASSIFICATION!$AA$8:$AA$13,0)),"Review"))</f>
        <v>Bucket 2 · Legacy</v>
      </c>
      <c r="P2456" s="350" t="str">
        <f>IF($B2456="Portfolio","Portfolio",IFERROR(INDEX(DATA_ASSET_CLASSIFICATION!$C$8:$C$24,MATCH($C2456,DATA_ASSET_CLASSIFICATION!$A$8:$A$24,0)),"Review"))</f>
        <v>Yes</v>
      </c>
      <c r="Q2456" s="350" t="str">
        <f t="shared" ca="1" si="77"/>
        <v>OK</v>
      </c>
    </row>
    <row r="2457" spans="1:17">
      <c r="A2457" s="366" t="s">
        <v>4413</v>
      </c>
      <c r="B2457" s="366" t="s">
        <v>231</v>
      </c>
      <c r="C2457" s="348" t="str">
        <f>DATA_PROPERTY_MASTER!$A$12</f>
        <v>BLD_JP</v>
      </c>
      <c r="D2457" s="380">
        <f>'00_PORTFOLIO ROLLUP'!M$12</f>
        <v>2033</v>
      </c>
      <c r="E2457" s="366" t="s">
        <v>1683</v>
      </c>
      <c r="F2457" s="366" t="s">
        <v>21</v>
      </c>
      <c r="G2457" s="348" t="str">
        <f>"'"&amp;$C2457&amp;"'!$E$45:$Y$45"</f>
        <v>'BLD_JP'!$E$45:$Y$45</v>
      </c>
      <c r="H2457" s="381">
        <f ca="1">IF(IFERROR(INDEX(DATA_PROPERTY_MASTER!$E$5:$E$21,MATCH($C2457,DATA_PROPERTY_MASTER!$A$5:$A$21,0))="Yes",FALSE),IFERROR(INDEX(INDIRECT("'"&amp;$C2457&amp;"'!$E$45:$Y$45"),1,MATCH($D2457,INDIRECT("'"&amp;$C2457&amp;"'!$E$12:$Y$12"),0)),0),0)</f>
        <v>220565.73740779172</v>
      </c>
      <c r="I2457" s="366" t="s">
        <v>1685</v>
      </c>
      <c r="J2457" s="348" t="str">
        <f t="shared" ca="1" si="76"/>
        <v>OK</v>
      </c>
      <c r="K2457" s="366" t="s">
        <v>1694</v>
      </c>
      <c r="L2457" s="366" t="s">
        <v>2242</v>
      </c>
      <c r="M2457" s="350" t="str">
        <f>IF($B2457="Portfolio","Portfolio",IFERROR(INDEX(DATA_ASSET_CLASSIFICATION!$B$8:$B$24,MATCH($C2457,DATA_ASSET_CLASSIFICATION!$A$8:$A$24,0)),"Review"))</f>
        <v>Jessica Place</v>
      </c>
      <c r="N2457" s="350" t="str">
        <f ca="1">IF($B2457="Portfolio","Portfolio",IFERROR(INDEX(DATA_ASSET_CLASSIFICATION!$U$8:$U$24,MATCH($C2457,DATA_ASSET_CLASSIFICATION!$A$8:$A$24,0)),"Review"))</f>
        <v>Refi Watch</v>
      </c>
      <c r="O2457" s="350" t="str">
        <f ca="1">IF($B2457="Portfolio","Portfolio",IFERROR(INDEX(DATA_ASSET_CLASSIFICATION!$AB$8:$AB$13,MATCH($N2457,DATA_ASSET_CLASSIFICATION!$AA$8:$AA$13,0)),"Review"))</f>
        <v>Bucket 2 · Legacy</v>
      </c>
      <c r="P2457" s="350" t="str">
        <f>IF($B2457="Portfolio","Portfolio",IFERROR(INDEX(DATA_ASSET_CLASSIFICATION!$C$8:$C$24,MATCH($C2457,DATA_ASSET_CLASSIFICATION!$A$8:$A$24,0)),"Review"))</f>
        <v>Yes</v>
      </c>
      <c r="Q2457" s="350" t="str">
        <f t="shared" ca="1" si="77"/>
        <v>OK</v>
      </c>
    </row>
    <row r="2458" spans="1:17">
      <c r="A2458" s="366" t="s">
        <v>4414</v>
      </c>
      <c r="B2458" s="366" t="s">
        <v>231</v>
      </c>
      <c r="C2458" s="348" t="str">
        <f>DATA_PROPERTY_MASTER!$A$12</f>
        <v>BLD_JP</v>
      </c>
      <c r="D2458" s="380">
        <f>'00_PORTFOLIO ROLLUP'!M$12</f>
        <v>2033</v>
      </c>
      <c r="E2458" s="366" t="s">
        <v>23</v>
      </c>
      <c r="F2458" s="366" t="s">
        <v>23</v>
      </c>
      <c r="G2458" s="348" t="str">
        <f>"'"&amp;$C2458&amp;"'!$E$48:$Y$48"</f>
        <v>'BLD_JP'!$E$48:$Y$48</v>
      </c>
      <c r="H2458" s="381">
        <f ca="1">IF(IFERROR(INDEX(DATA_PROPERTY_MASTER!$E$5:$E$21,MATCH($C2458,DATA_PROPERTY_MASTER!$A$5:$A$21,0))="Yes",FALSE),IFERROR(INDEX(INDIRECT("'"&amp;$C2458&amp;"'!$E$48:$Y$48"),1,MATCH($D2458,INDIRECT("'"&amp;$C2458&amp;"'!$E$12:$Y$12"),0)),0),0)</f>
        <v>0</v>
      </c>
      <c r="I2458" s="366" t="s">
        <v>1690</v>
      </c>
      <c r="J2458" s="348" t="str">
        <f t="shared" ca="1" si="76"/>
        <v>OK</v>
      </c>
      <c r="K2458" s="366" t="s">
        <v>1706</v>
      </c>
      <c r="L2458" s="366" t="s">
        <v>2244</v>
      </c>
      <c r="M2458" s="350" t="str">
        <f>IF($B2458="Portfolio","Portfolio",IFERROR(INDEX(DATA_ASSET_CLASSIFICATION!$B$8:$B$24,MATCH($C2458,DATA_ASSET_CLASSIFICATION!$A$8:$A$24,0)),"Review"))</f>
        <v>Jessica Place</v>
      </c>
      <c r="N2458" s="350" t="str">
        <f ca="1">IF($B2458="Portfolio","Portfolio",IFERROR(INDEX(DATA_ASSET_CLASSIFICATION!$U$8:$U$24,MATCH($C2458,DATA_ASSET_CLASSIFICATION!$A$8:$A$24,0)),"Review"))</f>
        <v>Refi Watch</v>
      </c>
      <c r="O2458" s="350" t="str">
        <f ca="1">IF($B2458="Portfolio","Portfolio",IFERROR(INDEX(DATA_ASSET_CLASSIFICATION!$AB$8:$AB$13,MATCH($N2458,DATA_ASSET_CLASSIFICATION!$AA$8:$AA$13,0)),"Review"))</f>
        <v>Bucket 2 · Legacy</v>
      </c>
      <c r="P2458" s="350" t="str">
        <f>IF($B2458="Portfolio","Portfolio",IFERROR(INDEX(DATA_ASSET_CLASSIFICATION!$C$8:$C$24,MATCH($C2458,DATA_ASSET_CLASSIFICATION!$A$8:$A$24,0)),"Review"))</f>
        <v>Yes</v>
      </c>
      <c r="Q2458" s="350" t="str">
        <f t="shared" ca="1" si="77"/>
        <v>OK</v>
      </c>
    </row>
    <row r="2459" spans="1:17">
      <c r="A2459" s="366" t="s">
        <v>4415</v>
      </c>
      <c r="B2459" s="366" t="s">
        <v>231</v>
      </c>
      <c r="C2459" s="348" t="str">
        <f>DATA_PROPERTY_MASTER!$A$12</f>
        <v>BLD_JP</v>
      </c>
      <c r="D2459" s="380">
        <f>'00_PORTFOLIO ROLLUP'!M$12</f>
        <v>2033</v>
      </c>
      <c r="E2459" s="366" t="s">
        <v>1683</v>
      </c>
      <c r="F2459" s="366" t="s">
        <v>25</v>
      </c>
      <c r="G2459" s="348" t="str">
        <f>"'"&amp;$C2459&amp;"'!$E$52:$Y$52"</f>
        <v>'BLD_JP'!$E$52:$Y$52</v>
      </c>
      <c r="H2459" s="381">
        <f ca="1">IF(IFERROR(INDEX(DATA_PROPERTY_MASTER!$E$5:$E$21,MATCH($C2459,DATA_PROPERTY_MASTER!$A$5:$A$21,0))="Yes",FALSE),IFERROR(INDEX(INDIRECT("'"&amp;$C2459&amp;"'!$E$52:$Y$52"),1,MATCH($D2459,INDIRECT("'"&amp;$C2459&amp;"'!$E$12:$Y$12"),0)),0),0)</f>
        <v>227595.69369380531</v>
      </c>
      <c r="I2459" s="366" t="s">
        <v>1685</v>
      </c>
      <c r="J2459" s="348" t="str">
        <f t="shared" ca="1" si="76"/>
        <v>OK</v>
      </c>
      <c r="K2459" s="366" t="s">
        <v>1710</v>
      </c>
      <c r="L2459" s="366" t="s">
        <v>2246</v>
      </c>
      <c r="M2459" s="350" t="str">
        <f>IF($B2459="Portfolio","Portfolio",IFERROR(INDEX(DATA_ASSET_CLASSIFICATION!$B$8:$B$24,MATCH($C2459,DATA_ASSET_CLASSIFICATION!$A$8:$A$24,0)),"Review"))</f>
        <v>Jessica Place</v>
      </c>
      <c r="N2459" s="350" t="str">
        <f ca="1">IF($B2459="Portfolio","Portfolio",IFERROR(INDEX(DATA_ASSET_CLASSIFICATION!$U$8:$U$24,MATCH($C2459,DATA_ASSET_CLASSIFICATION!$A$8:$A$24,0)),"Review"))</f>
        <v>Refi Watch</v>
      </c>
      <c r="O2459" s="350" t="str">
        <f ca="1">IF($B2459="Portfolio","Portfolio",IFERROR(INDEX(DATA_ASSET_CLASSIFICATION!$AB$8:$AB$13,MATCH($N2459,DATA_ASSET_CLASSIFICATION!$AA$8:$AA$13,0)),"Review"))</f>
        <v>Bucket 2 · Legacy</v>
      </c>
      <c r="P2459" s="350" t="str">
        <f>IF($B2459="Portfolio","Portfolio",IFERROR(INDEX(DATA_ASSET_CLASSIFICATION!$C$8:$C$24,MATCH($C2459,DATA_ASSET_CLASSIFICATION!$A$8:$A$24,0)),"Review"))</f>
        <v>Yes</v>
      </c>
      <c r="Q2459" s="350" t="str">
        <f t="shared" ca="1" si="77"/>
        <v>OK</v>
      </c>
    </row>
    <row r="2460" spans="1:17">
      <c r="A2460" s="366" t="s">
        <v>4416</v>
      </c>
      <c r="B2460" s="366" t="s">
        <v>231</v>
      </c>
      <c r="C2460" s="348" t="str">
        <f>DATA_PROPERTY_MASTER!$A$12</f>
        <v>BLD_JP</v>
      </c>
      <c r="D2460" s="380">
        <f>'00_PORTFOLIO ROLLUP'!M$12</f>
        <v>2033</v>
      </c>
      <c r="E2460" s="366" t="s">
        <v>1683</v>
      </c>
      <c r="F2460" s="366" t="s">
        <v>27</v>
      </c>
      <c r="G2460" s="348" t="str">
        <f>"'"&amp;$C2460&amp;"'!$E$54:$Y$54"</f>
        <v>'BLD_JP'!$E$54:$Y$54</v>
      </c>
      <c r="H2460" s="381">
        <f ca="1">IF(IFERROR(INDEX(DATA_PROPERTY_MASTER!$E$5:$E$21,MATCH($C2460,DATA_PROPERTY_MASTER!$A$5:$A$21,0))="Yes",FALSE),IFERROR(INDEX(INDIRECT("'"&amp;$C2460&amp;"'!$E$54:$Y$54"),1,MATCH($D2460,INDIRECT("'"&amp;$C2460&amp;"'!$E$12:$Y$12"),0)),0),0)</f>
        <v>136557.41621628319</v>
      </c>
      <c r="I2460" s="366" t="s">
        <v>1690</v>
      </c>
      <c r="J2460" s="348" t="str">
        <f t="shared" ca="1" si="76"/>
        <v>OK</v>
      </c>
      <c r="K2460" s="366" t="s">
        <v>1714</v>
      </c>
      <c r="L2460" s="366" t="s">
        <v>2248</v>
      </c>
      <c r="M2460" s="350" t="str">
        <f>IF($B2460="Portfolio","Portfolio",IFERROR(INDEX(DATA_ASSET_CLASSIFICATION!$B$8:$B$24,MATCH($C2460,DATA_ASSET_CLASSIFICATION!$A$8:$A$24,0)),"Review"))</f>
        <v>Jessica Place</v>
      </c>
      <c r="N2460" s="350" t="str">
        <f ca="1">IF($B2460="Portfolio","Portfolio",IFERROR(INDEX(DATA_ASSET_CLASSIFICATION!$U$8:$U$24,MATCH($C2460,DATA_ASSET_CLASSIFICATION!$A$8:$A$24,0)),"Review"))</f>
        <v>Refi Watch</v>
      </c>
      <c r="O2460" s="350" t="str">
        <f ca="1">IF($B2460="Portfolio","Portfolio",IFERROR(INDEX(DATA_ASSET_CLASSIFICATION!$AB$8:$AB$13,MATCH($N2460,DATA_ASSET_CLASSIFICATION!$AA$8:$AA$13,0)),"Review"))</f>
        <v>Bucket 2 · Legacy</v>
      </c>
      <c r="P2460" s="350" t="str">
        <f>IF($B2460="Portfolio","Portfolio",IFERROR(INDEX(DATA_ASSET_CLASSIFICATION!$C$8:$C$24,MATCH($C2460,DATA_ASSET_CLASSIFICATION!$A$8:$A$24,0)),"Review"))</f>
        <v>Yes</v>
      </c>
      <c r="Q2460" s="350" t="str">
        <f t="shared" ca="1" si="77"/>
        <v>OK</v>
      </c>
    </row>
    <row r="2461" spans="1:17">
      <c r="A2461" s="366" t="s">
        <v>4417</v>
      </c>
      <c r="B2461" s="366" t="s">
        <v>231</v>
      </c>
      <c r="C2461" s="348" t="str">
        <f>DATA_PROPERTY_MASTER!$A$12</f>
        <v>BLD_JP</v>
      </c>
      <c r="D2461" s="380">
        <f>'00_PORTFOLIO ROLLUP'!M$12</f>
        <v>2033</v>
      </c>
      <c r="E2461" s="366" t="s">
        <v>1683</v>
      </c>
      <c r="F2461" s="366" t="s">
        <v>29</v>
      </c>
      <c r="G2461" s="348" t="str">
        <f>"'"&amp;$C2461&amp;"'!$E$56:$Y$56"</f>
        <v>'BLD_JP'!$E$56:$Y$56</v>
      </c>
      <c r="H2461" s="381">
        <f ca="1">IF(IFERROR(INDEX(DATA_PROPERTY_MASTER!$E$5:$E$21,MATCH($C2461,DATA_PROPERTY_MASTER!$A$5:$A$21,0))="Yes",FALSE),IFERROR(INDEX(INDIRECT("'"&amp;$C2461&amp;"'!$E$56:$Y$56"),1,MATCH($D2461,INDIRECT("'"&amp;$C2461&amp;"'!$E$12:$Y$12"),0)),0),0)</f>
        <v>91038.277477522119</v>
      </c>
      <c r="I2461" s="366" t="s">
        <v>1685</v>
      </c>
      <c r="J2461" s="348" t="str">
        <f t="shared" ca="1" si="76"/>
        <v>OK</v>
      </c>
      <c r="K2461" s="366" t="s">
        <v>1718</v>
      </c>
      <c r="L2461" s="366" t="s">
        <v>2250</v>
      </c>
      <c r="M2461" s="350" t="str">
        <f>IF($B2461="Portfolio","Portfolio",IFERROR(INDEX(DATA_ASSET_CLASSIFICATION!$B$8:$B$24,MATCH($C2461,DATA_ASSET_CLASSIFICATION!$A$8:$A$24,0)),"Review"))</f>
        <v>Jessica Place</v>
      </c>
      <c r="N2461" s="350" t="str">
        <f ca="1">IF($B2461="Portfolio","Portfolio",IFERROR(INDEX(DATA_ASSET_CLASSIFICATION!$U$8:$U$24,MATCH($C2461,DATA_ASSET_CLASSIFICATION!$A$8:$A$24,0)),"Review"))</f>
        <v>Refi Watch</v>
      </c>
      <c r="O2461" s="350" t="str">
        <f ca="1">IF($B2461="Portfolio","Portfolio",IFERROR(INDEX(DATA_ASSET_CLASSIFICATION!$AB$8:$AB$13,MATCH($N2461,DATA_ASSET_CLASSIFICATION!$AA$8:$AA$13,0)),"Review"))</f>
        <v>Bucket 2 · Legacy</v>
      </c>
      <c r="P2461" s="350" t="str">
        <f>IF($B2461="Portfolio","Portfolio",IFERROR(INDEX(DATA_ASSET_CLASSIFICATION!$C$8:$C$24,MATCH($C2461,DATA_ASSET_CLASSIFICATION!$A$8:$A$24,0)),"Review"))</f>
        <v>Yes</v>
      </c>
      <c r="Q2461" s="350" t="str">
        <f t="shared" ca="1" si="77"/>
        <v>OK</v>
      </c>
    </row>
    <row r="2462" spans="1:17">
      <c r="A2462" s="366" t="s">
        <v>4418</v>
      </c>
      <c r="B2462" s="366" t="s">
        <v>231</v>
      </c>
      <c r="C2462" s="348" t="str">
        <f>DATA_PROPERTY_MASTER!$A$12</f>
        <v>BLD_JP</v>
      </c>
      <c r="D2462" s="380">
        <f>'00_PORTFOLIO ROLLUP'!M$12</f>
        <v>2033</v>
      </c>
      <c r="E2462" s="366" t="s">
        <v>1721</v>
      </c>
      <c r="F2462" s="366" t="s">
        <v>31</v>
      </c>
      <c r="G2462" s="348" t="str">
        <f>"'"&amp;$C2462&amp;"'!$E$61:$Y$61"</f>
        <v>'BLD_JP'!$E$61:$Y$61</v>
      </c>
      <c r="H2462" s="381">
        <f ca="1">IF(IFERROR(INDEX(DATA_PROPERTY_MASTER!$E$5:$E$21,MATCH($C2462,DATA_PROPERTY_MASTER!$A$5:$A$21,0))="Yes",FALSE),IFERROR(INDEX(INDIRECT("'"&amp;$C2462&amp;"'!$E$61:$Y$61"),1,MATCH($D2462,INDIRECT("'"&amp;$C2462&amp;"'!$E$12:$Y$12"),0)),0),0)</f>
        <v>0</v>
      </c>
      <c r="I2462" s="366" t="s">
        <v>1690</v>
      </c>
      <c r="J2462" s="348" t="str">
        <f t="shared" ca="1" si="76"/>
        <v>OK</v>
      </c>
      <c r="K2462" s="366" t="s">
        <v>1723</v>
      </c>
      <c r="L2462" s="366" t="s">
        <v>2252</v>
      </c>
      <c r="M2462" s="350" t="str">
        <f>IF($B2462="Portfolio","Portfolio",IFERROR(INDEX(DATA_ASSET_CLASSIFICATION!$B$8:$B$24,MATCH($C2462,DATA_ASSET_CLASSIFICATION!$A$8:$A$24,0)),"Review"))</f>
        <v>Jessica Place</v>
      </c>
      <c r="N2462" s="350" t="str">
        <f ca="1">IF($B2462="Portfolio","Portfolio",IFERROR(INDEX(DATA_ASSET_CLASSIFICATION!$U$8:$U$24,MATCH($C2462,DATA_ASSET_CLASSIFICATION!$A$8:$A$24,0)),"Review"))</f>
        <v>Refi Watch</v>
      </c>
      <c r="O2462" s="350" t="str">
        <f ca="1">IF($B2462="Portfolio","Portfolio",IFERROR(INDEX(DATA_ASSET_CLASSIFICATION!$AB$8:$AB$13,MATCH($N2462,DATA_ASSET_CLASSIFICATION!$AA$8:$AA$13,0)),"Review"))</f>
        <v>Bucket 2 · Legacy</v>
      </c>
      <c r="P2462" s="350" t="str">
        <f>IF($B2462="Portfolio","Portfolio",IFERROR(INDEX(DATA_ASSET_CLASSIFICATION!$C$8:$C$24,MATCH($C2462,DATA_ASSET_CLASSIFICATION!$A$8:$A$24,0)),"Review"))</f>
        <v>Yes</v>
      </c>
      <c r="Q2462" s="350" t="str">
        <f t="shared" ca="1" si="77"/>
        <v>OK</v>
      </c>
    </row>
    <row r="2463" spans="1:17">
      <c r="A2463" s="366" t="s">
        <v>4419</v>
      </c>
      <c r="B2463" s="366" t="s">
        <v>231</v>
      </c>
      <c r="C2463" s="348" t="str">
        <f>DATA_PROPERTY_MASTER!$A$12</f>
        <v>BLD_JP</v>
      </c>
      <c r="D2463" s="380">
        <f>'00_PORTFOLIO ROLLUP'!M$12</f>
        <v>2033</v>
      </c>
      <c r="E2463" s="366" t="s">
        <v>1721</v>
      </c>
      <c r="F2463" s="366" t="s">
        <v>33</v>
      </c>
      <c r="G2463" s="348" t="str">
        <f>"'"&amp;$C2463&amp;"'!$E$62:$Y$62"</f>
        <v>'BLD_JP'!$E$62:$Y$62</v>
      </c>
      <c r="H2463" s="381">
        <f ca="1">IF(IFERROR(INDEX(DATA_PROPERTY_MASTER!$E$5:$E$21,MATCH($C2463,DATA_PROPERTY_MASTER!$A$5:$A$21,0))="Yes",FALSE),IFERROR(INDEX(INDIRECT("'"&amp;$C2463&amp;"'!$E$62:$Y$62"),1,MATCH($D2463,INDIRECT("'"&amp;$C2463&amp;"'!$E$12:$Y$12"),0)),0),0)</f>
        <v>0</v>
      </c>
      <c r="I2463" s="366" t="s">
        <v>1685</v>
      </c>
      <c r="J2463" s="348" t="str">
        <f t="shared" ca="1" si="76"/>
        <v>OK</v>
      </c>
      <c r="K2463" s="366" t="s">
        <v>1727</v>
      </c>
      <c r="L2463" s="366" t="s">
        <v>2254</v>
      </c>
      <c r="M2463" s="350" t="str">
        <f>IF($B2463="Portfolio","Portfolio",IFERROR(INDEX(DATA_ASSET_CLASSIFICATION!$B$8:$B$24,MATCH($C2463,DATA_ASSET_CLASSIFICATION!$A$8:$A$24,0)),"Review"))</f>
        <v>Jessica Place</v>
      </c>
      <c r="N2463" s="350" t="str">
        <f ca="1">IF($B2463="Portfolio","Portfolio",IFERROR(INDEX(DATA_ASSET_CLASSIFICATION!$U$8:$U$24,MATCH($C2463,DATA_ASSET_CLASSIFICATION!$A$8:$A$24,0)),"Review"))</f>
        <v>Refi Watch</v>
      </c>
      <c r="O2463" s="350" t="str">
        <f ca="1">IF($B2463="Portfolio","Portfolio",IFERROR(INDEX(DATA_ASSET_CLASSIFICATION!$AB$8:$AB$13,MATCH($N2463,DATA_ASSET_CLASSIFICATION!$AA$8:$AA$13,0)),"Review"))</f>
        <v>Bucket 2 · Legacy</v>
      </c>
      <c r="P2463" s="350" t="str">
        <f>IF($B2463="Portfolio","Portfolio",IFERROR(INDEX(DATA_ASSET_CLASSIFICATION!$C$8:$C$24,MATCH($C2463,DATA_ASSET_CLASSIFICATION!$A$8:$A$24,0)),"Review"))</f>
        <v>Yes</v>
      </c>
      <c r="Q2463" s="350" t="str">
        <f t="shared" ca="1" si="77"/>
        <v>OK</v>
      </c>
    </row>
    <row r="2464" spans="1:17">
      <c r="A2464" s="366" t="s">
        <v>4420</v>
      </c>
      <c r="B2464" s="366" t="s">
        <v>231</v>
      </c>
      <c r="C2464" s="348" t="str">
        <f>DATA_PROPERTY_MASTER!$A$12</f>
        <v>BLD_JP</v>
      </c>
      <c r="D2464" s="380">
        <f>'00_PORTFOLIO ROLLUP'!M$12</f>
        <v>2033</v>
      </c>
      <c r="E2464" s="366" t="s">
        <v>1721</v>
      </c>
      <c r="F2464" s="366" t="s">
        <v>35</v>
      </c>
      <c r="G2464" s="348" t="str">
        <f>"'"&amp;$C2464&amp;"'!$E$63:$Y$63"</f>
        <v>'BLD_JP'!$E$63:$Y$63</v>
      </c>
      <c r="H2464" s="381">
        <f ca="1">IF(IFERROR(INDEX(DATA_PROPERTY_MASTER!$E$5:$E$21,MATCH($C2464,DATA_PROPERTY_MASTER!$A$5:$A$21,0))="Yes",FALSE),IFERROR(INDEX(INDIRECT("'"&amp;$C2464&amp;"'!$E$63:$Y$63"),1,MATCH($D2464,INDIRECT("'"&amp;$C2464&amp;"'!$E$12:$Y$12"),0)),0),0)</f>
        <v>0</v>
      </c>
      <c r="I2464" s="366" t="s">
        <v>1731</v>
      </c>
      <c r="J2464" s="348" t="str">
        <f t="shared" ca="1" si="76"/>
        <v>OK</v>
      </c>
      <c r="K2464" s="366" t="s">
        <v>1732</v>
      </c>
      <c r="L2464" s="366" t="s">
        <v>2256</v>
      </c>
      <c r="M2464" s="350" t="str">
        <f>IF($B2464="Portfolio","Portfolio",IFERROR(INDEX(DATA_ASSET_CLASSIFICATION!$B$8:$B$24,MATCH($C2464,DATA_ASSET_CLASSIFICATION!$A$8:$A$24,0)),"Review"))</f>
        <v>Jessica Place</v>
      </c>
      <c r="N2464" s="350" t="str">
        <f ca="1">IF($B2464="Portfolio","Portfolio",IFERROR(INDEX(DATA_ASSET_CLASSIFICATION!$U$8:$U$24,MATCH($C2464,DATA_ASSET_CLASSIFICATION!$A$8:$A$24,0)),"Review"))</f>
        <v>Refi Watch</v>
      </c>
      <c r="O2464" s="350" t="str">
        <f ca="1">IF($B2464="Portfolio","Portfolio",IFERROR(INDEX(DATA_ASSET_CLASSIFICATION!$AB$8:$AB$13,MATCH($N2464,DATA_ASSET_CLASSIFICATION!$AA$8:$AA$13,0)),"Review"))</f>
        <v>Bucket 2 · Legacy</v>
      </c>
      <c r="P2464" s="350" t="str">
        <f>IF($B2464="Portfolio","Portfolio",IFERROR(INDEX(DATA_ASSET_CLASSIFICATION!$C$8:$C$24,MATCH($C2464,DATA_ASSET_CLASSIFICATION!$A$8:$A$24,0)),"Review"))</f>
        <v>Yes</v>
      </c>
      <c r="Q2464" s="350" t="str">
        <f t="shared" ca="1" si="77"/>
        <v>OK</v>
      </c>
    </row>
    <row r="2465" spans="1:17">
      <c r="A2465" s="366" t="s">
        <v>4421</v>
      </c>
      <c r="B2465" s="366" t="s">
        <v>231</v>
      </c>
      <c r="C2465" s="348" t="str">
        <f>DATA_PROPERTY_MASTER!$A$12</f>
        <v>BLD_JP</v>
      </c>
      <c r="D2465" s="380">
        <f>'00_PORTFOLIO ROLLUP'!M$12</f>
        <v>2033</v>
      </c>
      <c r="E2465" s="366" t="s">
        <v>1721</v>
      </c>
      <c r="F2465" s="366" t="s">
        <v>37</v>
      </c>
      <c r="G2465" s="348" t="str">
        <f>"'"&amp;$C2465&amp;"'!$E$63:$Y$63"</f>
        <v>'BLD_JP'!$E$63:$Y$63</v>
      </c>
      <c r="H2465" s="381">
        <f ca="1">IF(IFERROR(INDEX(DATA_PROPERTY_MASTER!$E$5:$E$21,MATCH($C2465,DATA_PROPERTY_MASTER!$A$5:$A$21,0))="Yes",FALSE),MAX(IFERROR(INDEX(INDIRECT("'"&amp;$C2465&amp;"'!$E$63:$Y$63"),1,MATCH($D2465,INDIRECT("'"&amp;$C2465&amp;"'!$E$12:$Y$12"),0)),0),0),0)</f>
        <v>0</v>
      </c>
      <c r="I2465" s="366" t="s">
        <v>1685</v>
      </c>
      <c r="J2465" s="348" t="str">
        <f t="shared" ca="1" si="76"/>
        <v>OK</v>
      </c>
      <c r="K2465" s="366" t="s">
        <v>1735</v>
      </c>
      <c r="L2465" s="366" t="s">
        <v>2258</v>
      </c>
      <c r="M2465" s="350" t="str">
        <f>IF($B2465="Portfolio","Portfolio",IFERROR(INDEX(DATA_ASSET_CLASSIFICATION!$B$8:$B$24,MATCH($C2465,DATA_ASSET_CLASSIFICATION!$A$8:$A$24,0)),"Review"))</f>
        <v>Jessica Place</v>
      </c>
      <c r="N2465" s="350" t="str">
        <f ca="1">IF($B2465="Portfolio","Portfolio",IFERROR(INDEX(DATA_ASSET_CLASSIFICATION!$U$8:$U$24,MATCH($C2465,DATA_ASSET_CLASSIFICATION!$A$8:$A$24,0)),"Review"))</f>
        <v>Refi Watch</v>
      </c>
      <c r="O2465" s="350" t="str">
        <f ca="1">IF($B2465="Portfolio","Portfolio",IFERROR(INDEX(DATA_ASSET_CLASSIFICATION!$AB$8:$AB$13,MATCH($N2465,DATA_ASSET_CLASSIFICATION!$AA$8:$AA$13,0)),"Review"))</f>
        <v>Bucket 2 · Legacy</v>
      </c>
      <c r="P2465" s="350" t="str">
        <f>IF($B2465="Portfolio","Portfolio",IFERROR(INDEX(DATA_ASSET_CLASSIFICATION!$C$8:$C$24,MATCH($C2465,DATA_ASSET_CLASSIFICATION!$A$8:$A$24,0)),"Review"))</f>
        <v>Yes</v>
      </c>
      <c r="Q2465" s="350" t="str">
        <f t="shared" ca="1" si="77"/>
        <v>OK</v>
      </c>
    </row>
    <row r="2466" spans="1:17">
      <c r="A2466" s="366" t="s">
        <v>4422</v>
      </c>
      <c r="B2466" s="366" t="s">
        <v>231</v>
      </c>
      <c r="C2466" s="348" t="str">
        <f>DATA_PROPERTY_MASTER!$A$12</f>
        <v>BLD_JP</v>
      </c>
      <c r="D2466" s="380">
        <f>'00_PORTFOLIO ROLLUP'!M$12</f>
        <v>2033</v>
      </c>
      <c r="E2466" s="366" t="s">
        <v>1721</v>
      </c>
      <c r="F2466" s="366" t="s">
        <v>39</v>
      </c>
      <c r="G2466" s="348" t="str">
        <f>"'"&amp;$C2466&amp;"'!$E$63:$Y$63"</f>
        <v>'BLD_JP'!$E$63:$Y$63</v>
      </c>
      <c r="H2466" s="381">
        <f ca="1">IF(IFERROR(INDEX(DATA_PROPERTY_MASTER!$E$5:$E$21,MATCH($C2466,DATA_PROPERTY_MASTER!$A$5:$A$21,0))="Yes",FALSE),MAX(-IFERROR(INDEX(INDIRECT("'"&amp;$C2466&amp;"'!$E$63:$Y$63"),1,MATCH($D2466,INDIRECT("'"&amp;$C2466&amp;"'!$E$12:$Y$12"),0)),0),0),0)</f>
        <v>0</v>
      </c>
      <c r="I2466" s="366" t="s">
        <v>1690</v>
      </c>
      <c r="J2466" s="348" t="str">
        <f t="shared" ca="1" si="76"/>
        <v>OK</v>
      </c>
      <c r="K2466" s="366" t="s">
        <v>1738</v>
      </c>
      <c r="L2466" s="366" t="s">
        <v>2260</v>
      </c>
      <c r="M2466" s="350" t="str">
        <f>IF($B2466="Portfolio","Portfolio",IFERROR(INDEX(DATA_ASSET_CLASSIFICATION!$B$8:$B$24,MATCH($C2466,DATA_ASSET_CLASSIFICATION!$A$8:$A$24,0)),"Review"))</f>
        <v>Jessica Place</v>
      </c>
      <c r="N2466" s="350" t="str">
        <f ca="1">IF($B2466="Portfolio","Portfolio",IFERROR(INDEX(DATA_ASSET_CLASSIFICATION!$U$8:$U$24,MATCH($C2466,DATA_ASSET_CLASSIFICATION!$A$8:$A$24,0)),"Review"))</f>
        <v>Refi Watch</v>
      </c>
      <c r="O2466" s="350" t="str">
        <f ca="1">IF($B2466="Portfolio","Portfolio",IFERROR(INDEX(DATA_ASSET_CLASSIFICATION!$AB$8:$AB$13,MATCH($N2466,DATA_ASSET_CLASSIFICATION!$AA$8:$AA$13,0)),"Review"))</f>
        <v>Bucket 2 · Legacy</v>
      </c>
      <c r="P2466" s="350" t="str">
        <f>IF($B2466="Portfolio","Portfolio",IFERROR(INDEX(DATA_ASSET_CLASSIFICATION!$C$8:$C$24,MATCH($C2466,DATA_ASSET_CLASSIFICATION!$A$8:$A$24,0)),"Review"))</f>
        <v>Yes</v>
      </c>
      <c r="Q2466" s="350" t="str">
        <f t="shared" ca="1" si="77"/>
        <v>OK</v>
      </c>
    </row>
    <row r="2467" spans="1:17">
      <c r="A2467" s="366" t="s">
        <v>4423</v>
      </c>
      <c r="B2467" s="366" t="s">
        <v>231</v>
      </c>
      <c r="C2467" s="348" t="str">
        <f>DATA_PROPERTY_MASTER!$A$12</f>
        <v>BLD_JP</v>
      </c>
      <c r="D2467" s="380">
        <f>'00_PORTFOLIO ROLLUP'!M$12</f>
        <v>2033</v>
      </c>
      <c r="E2467" s="366" t="s">
        <v>1741</v>
      </c>
      <c r="F2467" s="366" t="s">
        <v>41</v>
      </c>
      <c r="G2467" s="348" t="str">
        <f>"'"&amp;$C2467&amp;"'!rows 56 + positive row 63"</f>
        <v>'BLD_JP'!rows 56 + positive row 63</v>
      </c>
      <c r="H2467" s="381">
        <f ca="1">IF(IFERROR(INDEX(DATA_PROPERTY_MASTER!$E$5:$E$21,MATCH($C2467,DATA_PROPERTY_MASTER!$A$5:$A$21,0))="Yes",FALSE),IFERROR(INDEX(INDIRECT("'"&amp;$C2467&amp;"'!$E$56:$Y$56"),1,MATCH($D2467,INDIRECT("'"&amp;$C2467&amp;"'!$E$12:$Y$12"),0)),0)+MAX(IFERROR(INDEX(INDIRECT("'"&amp;$C2467&amp;"'!$E$63:$Y$63"),1,MATCH($D2467,INDIRECT("'"&amp;$C2467&amp;"'!$E$12:$Y$12"),0)),0),0),0)</f>
        <v>91038.277477522119</v>
      </c>
      <c r="I2467" s="366" t="s">
        <v>1685</v>
      </c>
      <c r="J2467" s="348" t="str">
        <f t="shared" ca="1" si="76"/>
        <v>OK</v>
      </c>
      <c r="K2467" s="366" t="s">
        <v>1742</v>
      </c>
      <c r="L2467" s="366" t="s">
        <v>2262</v>
      </c>
      <c r="M2467" s="350" t="str">
        <f>IF($B2467="Portfolio","Portfolio",IFERROR(INDEX(DATA_ASSET_CLASSIFICATION!$B$8:$B$24,MATCH($C2467,DATA_ASSET_CLASSIFICATION!$A$8:$A$24,0)),"Review"))</f>
        <v>Jessica Place</v>
      </c>
      <c r="N2467" s="350" t="str">
        <f ca="1">IF($B2467="Portfolio","Portfolio",IFERROR(INDEX(DATA_ASSET_CLASSIFICATION!$U$8:$U$24,MATCH($C2467,DATA_ASSET_CLASSIFICATION!$A$8:$A$24,0)),"Review"))</f>
        <v>Refi Watch</v>
      </c>
      <c r="O2467" s="350" t="str">
        <f ca="1">IF($B2467="Portfolio","Portfolio",IFERROR(INDEX(DATA_ASSET_CLASSIFICATION!$AB$8:$AB$13,MATCH($N2467,DATA_ASSET_CLASSIFICATION!$AA$8:$AA$13,0)),"Review"))</f>
        <v>Bucket 2 · Legacy</v>
      </c>
      <c r="P2467" s="350" t="str">
        <f>IF($B2467="Portfolio","Portfolio",IFERROR(INDEX(DATA_ASSET_CLASSIFICATION!$C$8:$C$24,MATCH($C2467,DATA_ASSET_CLASSIFICATION!$A$8:$A$24,0)),"Review"))</f>
        <v>Yes</v>
      </c>
      <c r="Q2467" s="350" t="str">
        <f t="shared" ca="1" si="77"/>
        <v>OK</v>
      </c>
    </row>
    <row r="2468" spans="1:17">
      <c r="A2468" s="366" t="s">
        <v>4424</v>
      </c>
      <c r="B2468" s="366" t="s">
        <v>231</v>
      </c>
      <c r="C2468" s="348" t="str">
        <f>DATA_PROPERTY_MASTER!$A$12</f>
        <v>BLD_JP</v>
      </c>
      <c r="D2468" s="380">
        <f>'00_PORTFOLIO ROLLUP'!M$12</f>
        <v>2033</v>
      </c>
      <c r="E2468" s="366" t="s">
        <v>1741</v>
      </c>
      <c r="F2468" s="366" t="s">
        <v>43</v>
      </c>
      <c r="G2468" s="348" t="str">
        <f>"'"&amp;$C2468&amp;"'!$E$68:$Y$68"</f>
        <v>'BLD_JP'!$E$68:$Y$68</v>
      </c>
      <c r="H2468" s="381">
        <f ca="1">IF(IFERROR(INDEX(DATA_PROPERTY_MASTER!$E$5:$E$21,MATCH($C2468,DATA_PROPERTY_MASTER!$A$5:$A$21,0))="Yes",FALSE),IFERROR(INDEX(INDIRECT("'"&amp;$C2468&amp;"'!$E$68:$Y$68"),1,MATCH($D2468,INDIRECT("'"&amp;$C2468&amp;"'!$E$12:$Y$12"),0)),0),0)</f>
        <v>91038.277477522119</v>
      </c>
      <c r="I2468" s="366" t="s">
        <v>1731</v>
      </c>
      <c r="J2468" s="348" t="str">
        <f t="shared" ca="1" si="76"/>
        <v>OK</v>
      </c>
      <c r="K2468" s="366" t="s">
        <v>1746</v>
      </c>
      <c r="L2468" s="366" t="s">
        <v>2264</v>
      </c>
      <c r="M2468" s="350" t="str">
        <f>IF($B2468="Portfolio","Portfolio",IFERROR(INDEX(DATA_ASSET_CLASSIFICATION!$B$8:$B$24,MATCH($C2468,DATA_ASSET_CLASSIFICATION!$A$8:$A$24,0)),"Review"))</f>
        <v>Jessica Place</v>
      </c>
      <c r="N2468" s="350" t="str">
        <f ca="1">IF($B2468="Portfolio","Portfolio",IFERROR(INDEX(DATA_ASSET_CLASSIFICATION!$U$8:$U$24,MATCH($C2468,DATA_ASSET_CLASSIFICATION!$A$8:$A$24,0)),"Review"))</f>
        <v>Refi Watch</v>
      </c>
      <c r="O2468" s="350" t="str">
        <f ca="1">IF($B2468="Portfolio","Portfolio",IFERROR(INDEX(DATA_ASSET_CLASSIFICATION!$AB$8:$AB$13,MATCH($N2468,DATA_ASSET_CLASSIFICATION!$AA$8:$AA$13,0)),"Review"))</f>
        <v>Bucket 2 · Legacy</v>
      </c>
      <c r="P2468" s="350" t="str">
        <f>IF($B2468="Portfolio","Portfolio",IFERROR(INDEX(DATA_ASSET_CLASSIFICATION!$C$8:$C$24,MATCH($C2468,DATA_ASSET_CLASSIFICATION!$A$8:$A$24,0)),"Review"))</f>
        <v>Yes</v>
      </c>
      <c r="Q2468" s="350" t="str">
        <f t="shared" ca="1" si="77"/>
        <v>OK</v>
      </c>
    </row>
    <row r="2469" spans="1:17">
      <c r="A2469" s="366" t="s">
        <v>4425</v>
      </c>
      <c r="B2469" s="366" t="s">
        <v>231</v>
      </c>
      <c r="C2469" s="348" t="str">
        <f>DATA_PROPERTY_MASTER!$A$12</f>
        <v>BLD_JP</v>
      </c>
      <c r="D2469" s="380">
        <f>'00_PORTFOLIO ROLLUP'!M$12</f>
        <v>2033</v>
      </c>
      <c r="E2469" s="366" t="s">
        <v>1741</v>
      </c>
      <c r="F2469" s="366" t="s">
        <v>1749</v>
      </c>
      <c r="G2469" s="348" t="str">
        <f>"'"&amp;$C2469&amp;"'!rows 56, 63, 68"</f>
        <v>'BLD_JP'!rows 56, 63, 68</v>
      </c>
      <c r="H2469" s="381">
        <f ca="1">IF(IFERROR(INDEX(DATA_PROPERTY_MASTER!$E$5:$E$21,MATCH($C2469,DATA_PROPERTY_MASTER!$A$5:$A$21,0))="Yes",FALSE),(IFERROR(INDEX(INDIRECT("'"&amp;$C2469&amp;"'!$E$56:$Y$56"),1,MATCH($D2469,INDIRECT("'"&amp;$C2469&amp;"'!$E$12:$Y$12"),0)),0)+MAX(IFERROR(INDEX(INDIRECT("'"&amp;$C2469&amp;"'!$E$63:$Y$63"),1,MATCH($D2469,INDIRECT("'"&amp;$C2469&amp;"'!$E$12:$Y$12"),0)),0),0))-(IFERROR(INDEX(INDIRECT("'"&amp;$C2469&amp;"'!$E$68:$Y$68"),1,MATCH($D2469,INDIRECT("'"&amp;$C2469&amp;"'!$E$12:$Y$12"),0)),0)),0)</f>
        <v>0</v>
      </c>
      <c r="I2469" s="366" t="s">
        <v>1750</v>
      </c>
      <c r="J2469" s="348" t="str">
        <f t="shared" ca="1" si="76"/>
        <v>OK</v>
      </c>
      <c r="K2469" s="366" t="s">
        <v>1751</v>
      </c>
      <c r="L2469" s="366" t="s">
        <v>2266</v>
      </c>
      <c r="M2469" s="350" t="str">
        <f>IF($B2469="Portfolio","Portfolio",IFERROR(INDEX(DATA_ASSET_CLASSIFICATION!$B$8:$B$24,MATCH($C2469,DATA_ASSET_CLASSIFICATION!$A$8:$A$24,0)),"Review"))</f>
        <v>Jessica Place</v>
      </c>
      <c r="N2469" s="350" t="str">
        <f ca="1">IF($B2469="Portfolio","Portfolio",IFERROR(INDEX(DATA_ASSET_CLASSIFICATION!$U$8:$U$24,MATCH($C2469,DATA_ASSET_CLASSIFICATION!$A$8:$A$24,0)),"Review"))</f>
        <v>Refi Watch</v>
      </c>
      <c r="O2469" s="350" t="str">
        <f ca="1">IF($B2469="Portfolio","Portfolio",IFERROR(INDEX(DATA_ASSET_CLASSIFICATION!$AB$8:$AB$13,MATCH($N2469,DATA_ASSET_CLASSIFICATION!$AA$8:$AA$13,0)),"Review"))</f>
        <v>Bucket 2 · Legacy</v>
      </c>
      <c r="P2469" s="350" t="str">
        <f>IF($B2469="Portfolio","Portfolio",IFERROR(INDEX(DATA_ASSET_CLASSIFICATION!$C$8:$C$24,MATCH($C2469,DATA_ASSET_CLASSIFICATION!$A$8:$A$24,0)),"Review"))</f>
        <v>Yes</v>
      </c>
      <c r="Q2469" s="350" t="str">
        <f t="shared" ca="1" si="77"/>
        <v>OK</v>
      </c>
    </row>
    <row r="2470" spans="1:17">
      <c r="A2470" s="366" t="s">
        <v>4426</v>
      </c>
      <c r="B2470" s="366" t="s">
        <v>231</v>
      </c>
      <c r="C2470" s="348" t="str">
        <f>DATA_PROPERTY_MASTER!$A$12</f>
        <v>BLD_JP</v>
      </c>
      <c r="D2470" s="380">
        <f>'00_PORTFOLIO ROLLUP'!N$12</f>
        <v>2034</v>
      </c>
      <c r="E2470" s="366" t="s">
        <v>1683</v>
      </c>
      <c r="F2470" s="366" t="s">
        <v>341</v>
      </c>
      <c r="G2470" s="348" t="str">
        <f>"'"&amp;$C2470&amp;"'!$E$24:$Y$24"</f>
        <v>'BLD_JP'!$E$24:$Y$24</v>
      </c>
      <c r="H2470" s="381">
        <f ca="1">IF(IFERROR(INDEX(DATA_PROPERTY_MASTER!$E$5:$E$21,MATCH($C2470,DATA_PROPERTY_MASTER!$A$5:$A$21,0))="Yes",FALSE),IFERROR(INDEX(INDIRECT("'"&amp;$C2470&amp;"'!$E$24:$Y$24"),1,MATCH($D2470,INDIRECT("'"&amp;$C2470&amp;"'!$E$12:$Y$12"),0)),0),0)</f>
        <v>587689.44762737502</v>
      </c>
      <c r="I2470" s="366" t="s">
        <v>1685</v>
      </c>
      <c r="J2470" s="348" t="str">
        <f t="shared" ca="1" si="76"/>
        <v>OK</v>
      </c>
      <c r="K2470" s="366" t="s">
        <v>1686</v>
      </c>
      <c r="L2470" s="366" t="s">
        <v>2234</v>
      </c>
      <c r="M2470" s="350" t="str">
        <f>IF($B2470="Portfolio","Portfolio",IFERROR(INDEX(DATA_ASSET_CLASSIFICATION!$B$8:$B$24,MATCH($C2470,DATA_ASSET_CLASSIFICATION!$A$8:$A$24,0)),"Review"))</f>
        <v>Jessica Place</v>
      </c>
      <c r="N2470" s="350" t="str">
        <f ca="1">IF($B2470="Portfolio","Portfolio",IFERROR(INDEX(DATA_ASSET_CLASSIFICATION!$U$8:$U$24,MATCH($C2470,DATA_ASSET_CLASSIFICATION!$A$8:$A$24,0)),"Review"))</f>
        <v>Refi Watch</v>
      </c>
      <c r="O2470" s="350" t="str">
        <f ca="1">IF($B2470="Portfolio","Portfolio",IFERROR(INDEX(DATA_ASSET_CLASSIFICATION!$AB$8:$AB$13,MATCH($N2470,DATA_ASSET_CLASSIFICATION!$AA$8:$AA$13,0)),"Review"))</f>
        <v>Bucket 2 · Legacy</v>
      </c>
      <c r="P2470" s="350" t="str">
        <f>IF($B2470="Portfolio","Portfolio",IFERROR(INDEX(DATA_ASSET_CLASSIFICATION!$C$8:$C$24,MATCH($C2470,DATA_ASSET_CLASSIFICATION!$A$8:$A$24,0)),"Review"))</f>
        <v>Yes</v>
      </c>
      <c r="Q2470" s="350" t="str">
        <f t="shared" ca="1" si="77"/>
        <v>OK</v>
      </c>
    </row>
    <row r="2471" spans="1:17">
      <c r="A2471" s="366" t="s">
        <v>4427</v>
      </c>
      <c r="B2471" s="366" t="s">
        <v>231</v>
      </c>
      <c r="C2471" s="348" t="str">
        <f>DATA_PROPERTY_MASTER!$A$12</f>
        <v>BLD_JP</v>
      </c>
      <c r="D2471" s="380">
        <f>'00_PORTFOLIO ROLLUP'!N$12</f>
        <v>2034</v>
      </c>
      <c r="E2471" s="366" t="s">
        <v>1683</v>
      </c>
      <c r="F2471" s="366" t="s">
        <v>355</v>
      </c>
      <c r="G2471" s="348" t="str">
        <f>"'"&amp;$C2471&amp;"'!$E$39:$Y$39"</f>
        <v>'BLD_JP'!$E$39:$Y$39</v>
      </c>
      <c r="H2471" s="381">
        <f ca="1">IF(IFERROR(INDEX(DATA_PROPERTY_MASTER!$E$5:$E$21,MATCH($C2471,DATA_PROPERTY_MASTER!$A$5:$A$21,0))="Yes",FALSE),IFERROR(INDEX(INDIRECT("'"&amp;$C2471&amp;"'!$E$39:$Y$39"),1,MATCH($D2471,INDIRECT("'"&amp;$C2471&amp;"'!$E$12:$Y$12"),0)),0),0)</f>
        <v>362513.24868831504</v>
      </c>
      <c r="I2471" s="366" t="s">
        <v>1690</v>
      </c>
      <c r="J2471" s="348" t="str">
        <f t="shared" ca="1" si="76"/>
        <v>OK</v>
      </c>
      <c r="K2471" s="366" t="s">
        <v>1686</v>
      </c>
      <c r="L2471" s="366" t="s">
        <v>2236</v>
      </c>
      <c r="M2471" s="350" t="str">
        <f>IF($B2471="Portfolio","Portfolio",IFERROR(INDEX(DATA_ASSET_CLASSIFICATION!$B$8:$B$24,MATCH($C2471,DATA_ASSET_CLASSIFICATION!$A$8:$A$24,0)),"Review"))</f>
        <v>Jessica Place</v>
      </c>
      <c r="N2471" s="350" t="str">
        <f ca="1">IF($B2471="Portfolio","Portfolio",IFERROR(INDEX(DATA_ASSET_CLASSIFICATION!$U$8:$U$24,MATCH($C2471,DATA_ASSET_CLASSIFICATION!$A$8:$A$24,0)),"Review"))</f>
        <v>Refi Watch</v>
      </c>
      <c r="O2471" s="350" t="str">
        <f ca="1">IF($B2471="Portfolio","Portfolio",IFERROR(INDEX(DATA_ASSET_CLASSIFICATION!$AB$8:$AB$13,MATCH($N2471,DATA_ASSET_CLASSIFICATION!$AA$8:$AA$13,0)),"Review"))</f>
        <v>Bucket 2 · Legacy</v>
      </c>
      <c r="P2471" s="350" t="str">
        <f>IF($B2471="Portfolio","Portfolio",IFERROR(INDEX(DATA_ASSET_CLASSIFICATION!$C$8:$C$24,MATCH($C2471,DATA_ASSET_CLASSIFICATION!$A$8:$A$24,0)),"Review"))</f>
        <v>Yes</v>
      </c>
      <c r="Q2471" s="350" t="str">
        <f t="shared" ca="1" si="77"/>
        <v>OK</v>
      </c>
    </row>
    <row r="2472" spans="1:17">
      <c r="A2472" s="366" t="s">
        <v>4428</v>
      </c>
      <c r="B2472" s="366" t="s">
        <v>231</v>
      </c>
      <c r="C2472" s="348" t="str">
        <f>DATA_PROPERTY_MASTER!$A$12</f>
        <v>BLD_JP</v>
      </c>
      <c r="D2472" s="380">
        <f>'00_PORTFOLIO ROLLUP'!N$12</f>
        <v>2034</v>
      </c>
      <c r="E2472" s="366" t="s">
        <v>1683</v>
      </c>
      <c r="F2472" s="366" t="s">
        <v>19</v>
      </c>
      <c r="G2472" s="348" t="str">
        <f>"'"&amp;$C2472&amp;"'!$E$41:$Y$41"</f>
        <v>'BLD_JP'!$E$41:$Y$41</v>
      </c>
      <c r="H2472" s="381">
        <f ca="1">IF(IFERROR(INDEX(DATA_PROPERTY_MASTER!$E$5:$E$21,MATCH($C2472,DATA_PROPERTY_MASTER!$A$5:$A$21,0))="Yes",FALSE),IFERROR(INDEX(INDIRECT("'"&amp;$C2472&amp;"'!$E$41:$Y$41"),1,MATCH($D2472,INDIRECT("'"&amp;$C2472&amp;"'!$E$12:$Y$12"),0)),0),0)</f>
        <v>225176.19893905998</v>
      </c>
      <c r="I2472" s="366" t="s">
        <v>1685</v>
      </c>
      <c r="J2472" s="348" t="str">
        <f t="shared" ca="1" si="76"/>
        <v>OK</v>
      </c>
      <c r="K2472" s="366" t="s">
        <v>1694</v>
      </c>
      <c r="L2472" s="366" t="s">
        <v>2238</v>
      </c>
      <c r="M2472" s="350" t="str">
        <f>IF($B2472="Portfolio","Portfolio",IFERROR(INDEX(DATA_ASSET_CLASSIFICATION!$B$8:$B$24,MATCH($C2472,DATA_ASSET_CLASSIFICATION!$A$8:$A$24,0)),"Review"))</f>
        <v>Jessica Place</v>
      </c>
      <c r="N2472" s="350" t="str">
        <f ca="1">IF($B2472="Portfolio","Portfolio",IFERROR(INDEX(DATA_ASSET_CLASSIFICATION!$U$8:$U$24,MATCH($C2472,DATA_ASSET_CLASSIFICATION!$A$8:$A$24,0)),"Review"))</f>
        <v>Refi Watch</v>
      </c>
      <c r="O2472" s="350" t="str">
        <f ca="1">IF($B2472="Portfolio","Portfolio",IFERROR(INDEX(DATA_ASSET_CLASSIFICATION!$AB$8:$AB$13,MATCH($N2472,DATA_ASSET_CLASSIFICATION!$AA$8:$AA$13,0)),"Review"))</f>
        <v>Bucket 2 · Legacy</v>
      </c>
      <c r="P2472" s="350" t="str">
        <f>IF($B2472="Portfolio","Portfolio",IFERROR(INDEX(DATA_ASSET_CLASSIFICATION!$C$8:$C$24,MATCH($C2472,DATA_ASSET_CLASSIFICATION!$A$8:$A$24,0)),"Review"))</f>
        <v>Yes</v>
      </c>
      <c r="Q2472" s="350" t="str">
        <f t="shared" ca="1" si="77"/>
        <v>OK</v>
      </c>
    </row>
    <row r="2473" spans="1:17">
      <c r="A2473" s="366" t="s">
        <v>4429</v>
      </c>
      <c r="B2473" s="366" t="s">
        <v>231</v>
      </c>
      <c r="C2473" s="348" t="str">
        <f>DATA_PROPERTY_MASTER!$A$12</f>
        <v>BLD_JP</v>
      </c>
      <c r="D2473" s="380">
        <f>'00_PORTFOLIO ROLLUP'!N$12</f>
        <v>2034</v>
      </c>
      <c r="E2473" s="366" t="s">
        <v>1683</v>
      </c>
      <c r="F2473" s="366" t="s">
        <v>1697</v>
      </c>
      <c r="G2473" s="348" t="str">
        <f>"'"&amp;$C2473&amp;"'!$E$44:$Y$44"</f>
        <v>'BLD_JP'!$E$44:$Y$44</v>
      </c>
      <c r="H2473" s="381">
        <f ca="1">IF(IFERROR(INDEX(DATA_PROPERTY_MASTER!$E$5:$E$21,MATCH($C2473,DATA_PROPERTY_MASTER!$A$5:$A$21,0))="Yes",FALSE),IFERROR(INDEX(INDIRECT("'"&amp;$C2473&amp;"'!$E$44:$Y$44"),1,MATCH($D2473,INDIRECT("'"&amp;$C2473&amp;"'!$E$12:$Y$12"),0)),0),0)</f>
        <v>7170.5554117338652</v>
      </c>
      <c r="I2473" s="366" t="s">
        <v>1690</v>
      </c>
      <c r="J2473" s="348" t="str">
        <f t="shared" ca="1" si="76"/>
        <v>OK</v>
      </c>
      <c r="K2473" s="366" t="s">
        <v>1699</v>
      </c>
      <c r="L2473" s="366" t="s">
        <v>2240</v>
      </c>
      <c r="M2473" s="350" t="str">
        <f>IF($B2473="Portfolio","Portfolio",IFERROR(INDEX(DATA_ASSET_CLASSIFICATION!$B$8:$B$24,MATCH($C2473,DATA_ASSET_CLASSIFICATION!$A$8:$A$24,0)),"Review"))</f>
        <v>Jessica Place</v>
      </c>
      <c r="N2473" s="350" t="str">
        <f ca="1">IF($B2473="Portfolio","Portfolio",IFERROR(INDEX(DATA_ASSET_CLASSIFICATION!$U$8:$U$24,MATCH($C2473,DATA_ASSET_CLASSIFICATION!$A$8:$A$24,0)),"Review"))</f>
        <v>Refi Watch</v>
      </c>
      <c r="O2473" s="350" t="str">
        <f ca="1">IF($B2473="Portfolio","Portfolio",IFERROR(INDEX(DATA_ASSET_CLASSIFICATION!$AB$8:$AB$13,MATCH($N2473,DATA_ASSET_CLASSIFICATION!$AA$8:$AA$13,0)),"Review"))</f>
        <v>Bucket 2 · Legacy</v>
      </c>
      <c r="P2473" s="350" t="str">
        <f>IF($B2473="Portfolio","Portfolio",IFERROR(INDEX(DATA_ASSET_CLASSIFICATION!$C$8:$C$24,MATCH($C2473,DATA_ASSET_CLASSIFICATION!$A$8:$A$24,0)),"Review"))</f>
        <v>Yes</v>
      </c>
      <c r="Q2473" s="350" t="str">
        <f t="shared" ca="1" si="77"/>
        <v>OK</v>
      </c>
    </row>
    <row r="2474" spans="1:17">
      <c r="A2474" s="366" t="s">
        <v>4430</v>
      </c>
      <c r="B2474" s="366" t="s">
        <v>231</v>
      </c>
      <c r="C2474" s="348" t="str">
        <f>DATA_PROPERTY_MASTER!$A$12</f>
        <v>BLD_JP</v>
      </c>
      <c r="D2474" s="380">
        <f>'00_PORTFOLIO ROLLUP'!N$12</f>
        <v>2034</v>
      </c>
      <c r="E2474" s="366" t="s">
        <v>1683</v>
      </c>
      <c r="F2474" s="366" t="s">
        <v>21</v>
      </c>
      <c r="G2474" s="348" t="str">
        <f>"'"&amp;$C2474&amp;"'!$E$45:$Y$45"</f>
        <v>'BLD_JP'!$E$45:$Y$45</v>
      </c>
      <c r="H2474" s="381">
        <f ca="1">IF(IFERROR(INDEX(DATA_PROPERTY_MASTER!$E$5:$E$21,MATCH($C2474,DATA_PROPERTY_MASTER!$A$5:$A$21,0))="Yes",FALSE),IFERROR(INDEX(INDIRECT("'"&amp;$C2474&amp;"'!$E$45:$Y$45"),1,MATCH($D2474,INDIRECT("'"&amp;$C2474&amp;"'!$E$12:$Y$12"),0)),0),0)</f>
        <v>218005.64352732612</v>
      </c>
      <c r="I2474" s="366" t="s">
        <v>1685</v>
      </c>
      <c r="J2474" s="348" t="str">
        <f t="shared" ca="1" si="76"/>
        <v>OK</v>
      </c>
      <c r="K2474" s="366" t="s">
        <v>1694</v>
      </c>
      <c r="L2474" s="366" t="s">
        <v>2242</v>
      </c>
      <c r="M2474" s="350" t="str">
        <f>IF($B2474="Portfolio","Portfolio",IFERROR(INDEX(DATA_ASSET_CLASSIFICATION!$B$8:$B$24,MATCH($C2474,DATA_ASSET_CLASSIFICATION!$A$8:$A$24,0)),"Review"))</f>
        <v>Jessica Place</v>
      </c>
      <c r="N2474" s="350" t="str">
        <f ca="1">IF($B2474="Portfolio","Portfolio",IFERROR(INDEX(DATA_ASSET_CLASSIFICATION!$U$8:$U$24,MATCH($C2474,DATA_ASSET_CLASSIFICATION!$A$8:$A$24,0)),"Review"))</f>
        <v>Refi Watch</v>
      </c>
      <c r="O2474" s="350" t="str">
        <f ca="1">IF($B2474="Portfolio","Portfolio",IFERROR(INDEX(DATA_ASSET_CLASSIFICATION!$AB$8:$AB$13,MATCH($N2474,DATA_ASSET_CLASSIFICATION!$AA$8:$AA$13,0)),"Review"))</f>
        <v>Bucket 2 · Legacy</v>
      </c>
      <c r="P2474" s="350" t="str">
        <f>IF($B2474="Portfolio","Portfolio",IFERROR(INDEX(DATA_ASSET_CLASSIFICATION!$C$8:$C$24,MATCH($C2474,DATA_ASSET_CLASSIFICATION!$A$8:$A$24,0)),"Review"))</f>
        <v>Yes</v>
      </c>
      <c r="Q2474" s="350" t="str">
        <f t="shared" ca="1" si="77"/>
        <v>OK</v>
      </c>
    </row>
    <row r="2475" spans="1:17">
      <c r="A2475" s="366" t="s">
        <v>4431</v>
      </c>
      <c r="B2475" s="366" t="s">
        <v>231</v>
      </c>
      <c r="C2475" s="348" t="str">
        <f>DATA_PROPERTY_MASTER!$A$12</f>
        <v>BLD_JP</v>
      </c>
      <c r="D2475" s="380">
        <f>'00_PORTFOLIO ROLLUP'!N$12</f>
        <v>2034</v>
      </c>
      <c r="E2475" s="366" t="s">
        <v>23</v>
      </c>
      <c r="F2475" s="366" t="s">
        <v>23</v>
      </c>
      <c r="G2475" s="348" t="str">
        <f>"'"&amp;$C2475&amp;"'!$E$48:$Y$48"</f>
        <v>'BLD_JP'!$E$48:$Y$48</v>
      </c>
      <c r="H2475" s="381">
        <f ca="1">IF(IFERROR(INDEX(DATA_PROPERTY_MASTER!$E$5:$E$21,MATCH($C2475,DATA_PROPERTY_MASTER!$A$5:$A$21,0))="Yes",FALSE),IFERROR(INDEX(INDIRECT("'"&amp;$C2475&amp;"'!$E$48:$Y$48"),1,MATCH($D2475,INDIRECT("'"&amp;$C2475&amp;"'!$E$12:$Y$12"),0)),0),0)</f>
        <v>0</v>
      </c>
      <c r="I2475" s="366" t="s">
        <v>1690</v>
      </c>
      <c r="J2475" s="348" t="str">
        <f t="shared" ca="1" si="76"/>
        <v>OK</v>
      </c>
      <c r="K2475" s="366" t="s">
        <v>1706</v>
      </c>
      <c r="L2475" s="366" t="s">
        <v>2244</v>
      </c>
      <c r="M2475" s="350" t="str">
        <f>IF($B2475="Portfolio","Portfolio",IFERROR(INDEX(DATA_ASSET_CLASSIFICATION!$B$8:$B$24,MATCH($C2475,DATA_ASSET_CLASSIFICATION!$A$8:$A$24,0)),"Review"))</f>
        <v>Jessica Place</v>
      </c>
      <c r="N2475" s="350" t="str">
        <f ca="1">IF($B2475="Portfolio","Portfolio",IFERROR(INDEX(DATA_ASSET_CLASSIFICATION!$U$8:$U$24,MATCH($C2475,DATA_ASSET_CLASSIFICATION!$A$8:$A$24,0)),"Review"))</f>
        <v>Refi Watch</v>
      </c>
      <c r="O2475" s="350" t="str">
        <f ca="1">IF($B2475="Portfolio","Portfolio",IFERROR(INDEX(DATA_ASSET_CLASSIFICATION!$AB$8:$AB$13,MATCH($N2475,DATA_ASSET_CLASSIFICATION!$AA$8:$AA$13,0)),"Review"))</f>
        <v>Bucket 2 · Legacy</v>
      </c>
      <c r="P2475" s="350" t="str">
        <f>IF($B2475="Portfolio","Portfolio",IFERROR(INDEX(DATA_ASSET_CLASSIFICATION!$C$8:$C$24,MATCH($C2475,DATA_ASSET_CLASSIFICATION!$A$8:$A$24,0)),"Review"))</f>
        <v>Yes</v>
      </c>
      <c r="Q2475" s="350" t="str">
        <f t="shared" ca="1" si="77"/>
        <v>OK</v>
      </c>
    </row>
    <row r="2476" spans="1:17">
      <c r="A2476" s="366" t="s">
        <v>4432</v>
      </c>
      <c r="B2476" s="366" t="s">
        <v>231</v>
      </c>
      <c r="C2476" s="348" t="str">
        <f>DATA_PROPERTY_MASTER!$A$12</f>
        <v>BLD_JP</v>
      </c>
      <c r="D2476" s="380">
        <f>'00_PORTFOLIO ROLLUP'!N$12</f>
        <v>2034</v>
      </c>
      <c r="E2476" s="366" t="s">
        <v>1683</v>
      </c>
      <c r="F2476" s="366" t="s">
        <v>25</v>
      </c>
      <c r="G2476" s="348" t="str">
        <f>"'"&amp;$C2476&amp;"'!$E$52:$Y$52"</f>
        <v>'BLD_JP'!$E$52:$Y$52</v>
      </c>
      <c r="H2476" s="381">
        <f ca="1">IF(IFERROR(INDEX(DATA_PROPERTY_MASTER!$E$5:$E$21,MATCH($C2476,DATA_PROPERTY_MASTER!$A$5:$A$21,0))="Yes",FALSE),IFERROR(INDEX(INDIRECT("'"&amp;$C2476&amp;"'!$E$52:$Y$52"),1,MATCH($D2476,INDIRECT("'"&amp;$C2476&amp;"'!$E$12:$Y$12"),0)),0),0)</f>
        <v>225176.19893905998</v>
      </c>
      <c r="I2476" s="366" t="s">
        <v>1685</v>
      </c>
      <c r="J2476" s="348" t="str">
        <f t="shared" ca="1" si="76"/>
        <v>OK</v>
      </c>
      <c r="K2476" s="366" t="s">
        <v>1710</v>
      </c>
      <c r="L2476" s="366" t="s">
        <v>2246</v>
      </c>
      <c r="M2476" s="350" t="str">
        <f>IF($B2476="Portfolio","Portfolio",IFERROR(INDEX(DATA_ASSET_CLASSIFICATION!$B$8:$B$24,MATCH($C2476,DATA_ASSET_CLASSIFICATION!$A$8:$A$24,0)),"Review"))</f>
        <v>Jessica Place</v>
      </c>
      <c r="N2476" s="350" t="str">
        <f ca="1">IF($B2476="Portfolio","Portfolio",IFERROR(INDEX(DATA_ASSET_CLASSIFICATION!$U$8:$U$24,MATCH($C2476,DATA_ASSET_CLASSIFICATION!$A$8:$A$24,0)),"Review"))</f>
        <v>Refi Watch</v>
      </c>
      <c r="O2476" s="350" t="str">
        <f ca="1">IF($B2476="Portfolio","Portfolio",IFERROR(INDEX(DATA_ASSET_CLASSIFICATION!$AB$8:$AB$13,MATCH($N2476,DATA_ASSET_CLASSIFICATION!$AA$8:$AA$13,0)),"Review"))</f>
        <v>Bucket 2 · Legacy</v>
      </c>
      <c r="P2476" s="350" t="str">
        <f>IF($B2476="Portfolio","Portfolio",IFERROR(INDEX(DATA_ASSET_CLASSIFICATION!$C$8:$C$24,MATCH($C2476,DATA_ASSET_CLASSIFICATION!$A$8:$A$24,0)),"Review"))</f>
        <v>Yes</v>
      </c>
      <c r="Q2476" s="350" t="str">
        <f t="shared" ca="1" si="77"/>
        <v>OK</v>
      </c>
    </row>
    <row r="2477" spans="1:17">
      <c r="A2477" s="366" t="s">
        <v>4433</v>
      </c>
      <c r="B2477" s="366" t="s">
        <v>231</v>
      </c>
      <c r="C2477" s="348" t="str">
        <f>DATA_PROPERTY_MASTER!$A$12</f>
        <v>BLD_JP</v>
      </c>
      <c r="D2477" s="380">
        <f>'00_PORTFOLIO ROLLUP'!N$12</f>
        <v>2034</v>
      </c>
      <c r="E2477" s="366" t="s">
        <v>1683</v>
      </c>
      <c r="F2477" s="366" t="s">
        <v>27</v>
      </c>
      <c r="G2477" s="348" t="str">
        <f>"'"&amp;$C2477&amp;"'!$E$54:$Y$54"</f>
        <v>'BLD_JP'!$E$54:$Y$54</v>
      </c>
      <c r="H2477" s="381">
        <f ca="1">IF(IFERROR(INDEX(DATA_PROPERTY_MASTER!$E$5:$E$21,MATCH($C2477,DATA_PROPERTY_MASTER!$A$5:$A$21,0))="Yes",FALSE),IFERROR(INDEX(INDIRECT("'"&amp;$C2477&amp;"'!$E$54:$Y$54"),1,MATCH($D2477,INDIRECT("'"&amp;$C2477&amp;"'!$E$12:$Y$12"),0)),0),0)</f>
        <v>135105.71936343599</v>
      </c>
      <c r="I2477" s="366" t="s">
        <v>1690</v>
      </c>
      <c r="J2477" s="348" t="str">
        <f t="shared" ca="1" si="76"/>
        <v>OK</v>
      </c>
      <c r="K2477" s="366" t="s">
        <v>1714</v>
      </c>
      <c r="L2477" s="366" t="s">
        <v>2248</v>
      </c>
      <c r="M2477" s="350" t="str">
        <f>IF($B2477="Portfolio","Portfolio",IFERROR(INDEX(DATA_ASSET_CLASSIFICATION!$B$8:$B$24,MATCH($C2477,DATA_ASSET_CLASSIFICATION!$A$8:$A$24,0)),"Review"))</f>
        <v>Jessica Place</v>
      </c>
      <c r="N2477" s="350" t="str">
        <f ca="1">IF($B2477="Portfolio","Portfolio",IFERROR(INDEX(DATA_ASSET_CLASSIFICATION!$U$8:$U$24,MATCH($C2477,DATA_ASSET_CLASSIFICATION!$A$8:$A$24,0)),"Review"))</f>
        <v>Refi Watch</v>
      </c>
      <c r="O2477" s="350" t="str">
        <f ca="1">IF($B2477="Portfolio","Portfolio",IFERROR(INDEX(DATA_ASSET_CLASSIFICATION!$AB$8:$AB$13,MATCH($N2477,DATA_ASSET_CLASSIFICATION!$AA$8:$AA$13,0)),"Review"))</f>
        <v>Bucket 2 · Legacy</v>
      </c>
      <c r="P2477" s="350" t="str">
        <f>IF($B2477="Portfolio","Portfolio",IFERROR(INDEX(DATA_ASSET_CLASSIFICATION!$C$8:$C$24,MATCH($C2477,DATA_ASSET_CLASSIFICATION!$A$8:$A$24,0)),"Review"))</f>
        <v>Yes</v>
      </c>
      <c r="Q2477" s="350" t="str">
        <f t="shared" ca="1" si="77"/>
        <v>OK</v>
      </c>
    </row>
    <row r="2478" spans="1:17">
      <c r="A2478" s="366" t="s">
        <v>4434</v>
      </c>
      <c r="B2478" s="366" t="s">
        <v>231</v>
      </c>
      <c r="C2478" s="348" t="str">
        <f>DATA_PROPERTY_MASTER!$A$12</f>
        <v>BLD_JP</v>
      </c>
      <c r="D2478" s="380">
        <f>'00_PORTFOLIO ROLLUP'!N$12</f>
        <v>2034</v>
      </c>
      <c r="E2478" s="366" t="s">
        <v>1683</v>
      </c>
      <c r="F2478" s="366" t="s">
        <v>29</v>
      </c>
      <c r="G2478" s="348" t="str">
        <f>"'"&amp;$C2478&amp;"'!$E$56:$Y$56"</f>
        <v>'BLD_JP'!$E$56:$Y$56</v>
      </c>
      <c r="H2478" s="381">
        <f ca="1">IF(IFERROR(INDEX(DATA_PROPERTY_MASTER!$E$5:$E$21,MATCH($C2478,DATA_PROPERTY_MASTER!$A$5:$A$21,0))="Yes",FALSE),IFERROR(INDEX(INDIRECT("'"&amp;$C2478&amp;"'!$E$56:$Y$56"),1,MATCH($D2478,INDIRECT("'"&amp;$C2478&amp;"'!$E$12:$Y$12"),0)),0),0)</f>
        <v>90070.479575623991</v>
      </c>
      <c r="I2478" s="366" t="s">
        <v>1685</v>
      </c>
      <c r="J2478" s="348" t="str">
        <f t="shared" ca="1" si="76"/>
        <v>OK</v>
      </c>
      <c r="K2478" s="366" t="s">
        <v>1718</v>
      </c>
      <c r="L2478" s="366" t="s">
        <v>2250</v>
      </c>
      <c r="M2478" s="350" t="str">
        <f>IF($B2478="Portfolio","Portfolio",IFERROR(INDEX(DATA_ASSET_CLASSIFICATION!$B$8:$B$24,MATCH($C2478,DATA_ASSET_CLASSIFICATION!$A$8:$A$24,0)),"Review"))</f>
        <v>Jessica Place</v>
      </c>
      <c r="N2478" s="350" t="str">
        <f ca="1">IF($B2478="Portfolio","Portfolio",IFERROR(INDEX(DATA_ASSET_CLASSIFICATION!$U$8:$U$24,MATCH($C2478,DATA_ASSET_CLASSIFICATION!$A$8:$A$24,0)),"Review"))</f>
        <v>Refi Watch</v>
      </c>
      <c r="O2478" s="350" t="str">
        <f ca="1">IF($B2478="Portfolio","Portfolio",IFERROR(INDEX(DATA_ASSET_CLASSIFICATION!$AB$8:$AB$13,MATCH($N2478,DATA_ASSET_CLASSIFICATION!$AA$8:$AA$13,0)),"Review"))</f>
        <v>Bucket 2 · Legacy</v>
      </c>
      <c r="P2478" s="350" t="str">
        <f>IF($B2478="Portfolio","Portfolio",IFERROR(INDEX(DATA_ASSET_CLASSIFICATION!$C$8:$C$24,MATCH($C2478,DATA_ASSET_CLASSIFICATION!$A$8:$A$24,0)),"Review"))</f>
        <v>Yes</v>
      </c>
      <c r="Q2478" s="350" t="str">
        <f t="shared" ca="1" si="77"/>
        <v>OK</v>
      </c>
    </row>
    <row r="2479" spans="1:17">
      <c r="A2479" s="366" t="s">
        <v>4435</v>
      </c>
      <c r="B2479" s="366" t="s">
        <v>231</v>
      </c>
      <c r="C2479" s="348" t="str">
        <f>DATA_PROPERTY_MASTER!$A$12</f>
        <v>BLD_JP</v>
      </c>
      <c r="D2479" s="380">
        <f>'00_PORTFOLIO ROLLUP'!N$12</f>
        <v>2034</v>
      </c>
      <c r="E2479" s="366" t="s">
        <v>1721</v>
      </c>
      <c r="F2479" s="366" t="s">
        <v>31</v>
      </c>
      <c r="G2479" s="348" t="str">
        <f>"'"&amp;$C2479&amp;"'!$E$61:$Y$61"</f>
        <v>'BLD_JP'!$E$61:$Y$61</v>
      </c>
      <c r="H2479" s="381">
        <f ca="1">IF(IFERROR(INDEX(DATA_PROPERTY_MASTER!$E$5:$E$21,MATCH($C2479,DATA_PROPERTY_MASTER!$A$5:$A$21,0))="Yes",FALSE),IFERROR(INDEX(INDIRECT("'"&amp;$C2479&amp;"'!$E$61:$Y$61"),1,MATCH($D2479,INDIRECT("'"&amp;$C2479&amp;"'!$E$12:$Y$12"),0)),0),0)</f>
        <v>0</v>
      </c>
      <c r="I2479" s="366" t="s">
        <v>1690</v>
      </c>
      <c r="J2479" s="348" t="str">
        <f t="shared" ca="1" si="76"/>
        <v>OK</v>
      </c>
      <c r="K2479" s="366" t="s">
        <v>1723</v>
      </c>
      <c r="L2479" s="366" t="s">
        <v>2252</v>
      </c>
      <c r="M2479" s="350" t="str">
        <f>IF($B2479="Portfolio","Portfolio",IFERROR(INDEX(DATA_ASSET_CLASSIFICATION!$B$8:$B$24,MATCH($C2479,DATA_ASSET_CLASSIFICATION!$A$8:$A$24,0)),"Review"))</f>
        <v>Jessica Place</v>
      </c>
      <c r="N2479" s="350" t="str">
        <f ca="1">IF($B2479="Portfolio","Portfolio",IFERROR(INDEX(DATA_ASSET_CLASSIFICATION!$U$8:$U$24,MATCH($C2479,DATA_ASSET_CLASSIFICATION!$A$8:$A$24,0)),"Review"))</f>
        <v>Refi Watch</v>
      </c>
      <c r="O2479" s="350" t="str">
        <f ca="1">IF($B2479="Portfolio","Portfolio",IFERROR(INDEX(DATA_ASSET_CLASSIFICATION!$AB$8:$AB$13,MATCH($N2479,DATA_ASSET_CLASSIFICATION!$AA$8:$AA$13,0)),"Review"))</f>
        <v>Bucket 2 · Legacy</v>
      </c>
      <c r="P2479" s="350" t="str">
        <f>IF($B2479="Portfolio","Portfolio",IFERROR(INDEX(DATA_ASSET_CLASSIFICATION!$C$8:$C$24,MATCH($C2479,DATA_ASSET_CLASSIFICATION!$A$8:$A$24,0)),"Review"))</f>
        <v>Yes</v>
      </c>
      <c r="Q2479" s="350" t="str">
        <f t="shared" ca="1" si="77"/>
        <v>OK</v>
      </c>
    </row>
    <row r="2480" spans="1:17">
      <c r="A2480" s="366" t="s">
        <v>4436</v>
      </c>
      <c r="B2480" s="366" t="s">
        <v>231</v>
      </c>
      <c r="C2480" s="348" t="str">
        <f>DATA_PROPERTY_MASTER!$A$12</f>
        <v>BLD_JP</v>
      </c>
      <c r="D2480" s="380">
        <f>'00_PORTFOLIO ROLLUP'!N$12</f>
        <v>2034</v>
      </c>
      <c r="E2480" s="366" t="s">
        <v>1721</v>
      </c>
      <c r="F2480" s="366" t="s">
        <v>33</v>
      </c>
      <c r="G2480" s="348" t="str">
        <f>"'"&amp;$C2480&amp;"'!$E$62:$Y$62"</f>
        <v>'BLD_JP'!$E$62:$Y$62</v>
      </c>
      <c r="H2480" s="381">
        <f ca="1">IF(IFERROR(INDEX(DATA_PROPERTY_MASTER!$E$5:$E$21,MATCH($C2480,DATA_PROPERTY_MASTER!$A$5:$A$21,0))="Yes",FALSE),IFERROR(INDEX(INDIRECT("'"&amp;$C2480&amp;"'!$E$62:$Y$62"),1,MATCH($D2480,INDIRECT("'"&amp;$C2480&amp;"'!$E$12:$Y$12"),0)),0),0)</f>
        <v>0</v>
      </c>
      <c r="I2480" s="366" t="s">
        <v>1685</v>
      </c>
      <c r="J2480" s="348" t="str">
        <f t="shared" ca="1" si="76"/>
        <v>OK</v>
      </c>
      <c r="K2480" s="366" t="s">
        <v>1727</v>
      </c>
      <c r="L2480" s="366" t="s">
        <v>2254</v>
      </c>
      <c r="M2480" s="350" t="str">
        <f>IF($B2480="Portfolio","Portfolio",IFERROR(INDEX(DATA_ASSET_CLASSIFICATION!$B$8:$B$24,MATCH($C2480,DATA_ASSET_CLASSIFICATION!$A$8:$A$24,0)),"Review"))</f>
        <v>Jessica Place</v>
      </c>
      <c r="N2480" s="350" t="str">
        <f ca="1">IF($B2480="Portfolio","Portfolio",IFERROR(INDEX(DATA_ASSET_CLASSIFICATION!$U$8:$U$24,MATCH($C2480,DATA_ASSET_CLASSIFICATION!$A$8:$A$24,0)),"Review"))</f>
        <v>Refi Watch</v>
      </c>
      <c r="O2480" s="350" t="str">
        <f ca="1">IF($B2480="Portfolio","Portfolio",IFERROR(INDEX(DATA_ASSET_CLASSIFICATION!$AB$8:$AB$13,MATCH($N2480,DATA_ASSET_CLASSIFICATION!$AA$8:$AA$13,0)),"Review"))</f>
        <v>Bucket 2 · Legacy</v>
      </c>
      <c r="P2480" s="350" t="str">
        <f>IF($B2480="Portfolio","Portfolio",IFERROR(INDEX(DATA_ASSET_CLASSIFICATION!$C$8:$C$24,MATCH($C2480,DATA_ASSET_CLASSIFICATION!$A$8:$A$24,0)),"Review"))</f>
        <v>Yes</v>
      </c>
      <c r="Q2480" s="350" t="str">
        <f t="shared" ca="1" si="77"/>
        <v>OK</v>
      </c>
    </row>
    <row r="2481" spans="1:17">
      <c r="A2481" s="366" t="s">
        <v>4437</v>
      </c>
      <c r="B2481" s="366" t="s">
        <v>231</v>
      </c>
      <c r="C2481" s="348" t="str">
        <f>DATA_PROPERTY_MASTER!$A$12</f>
        <v>BLD_JP</v>
      </c>
      <c r="D2481" s="380">
        <f>'00_PORTFOLIO ROLLUP'!N$12</f>
        <v>2034</v>
      </c>
      <c r="E2481" s="366" t="s">
        <v>1721</v>
      </c>
      <c r="F2481" s="366" t="s">
        <v>35</v>
      </c>
      <c r="G2481" s="348" t="str">
        <f>"'"&amp;$C2481&amp;"'!$E$63:$Y$63"</f>
        <v>'BLD_JP'!$E$63:$Y$63</v>
      </c>
      <c r="H2481" s="381">
        <f ca="1">IF(IFERROR(INDEX(DATA_PROPERTY_MASTER!$E$5:$E$21,MATCH($C2481,DATA_PROPERTY_MASTER!$A$5:$A$21,0))="Yes",FALSE),IFERROR(INDEX(INDIRECT("'"&amp;$C2481&amp;"'!$E$63:$Y$63"),1,MATCH($D2481,INDIRECT("'"&amp;$C2481&amp;"'!$E$12:$Y$12"),0)),0),0)</f>
        <v>0</v>
      </c>
      <c r="I2481" s="366" t="s">
        <v>1731</v>
      </c>
      <c r="J2481" s="348" t="str">
        <f t="shared" ca="1" si="76"/>
        <v>OK</v>
      </c>
      <c r="K2481" s="366" t="s">
        <v>1732</v>
      </c>
      <c r="L2481" s="366" t="s">
        <v>2256</v>
      </c>
      <c r="M2481" s="350" t="str">
        <f>IF($B2481="Portfolio","Portfolio",IFERROR(INDEX(DATA_ASSET_CLASSIFICATION!$B$8:$B$24,MATCH($C2481,DATA_ASSET_CLASSIFICATION!$A$8:$A$24,0)),"Review"))</f>
        <v>Jessica Place</v>
      </c>
      <c r="N2481" s="350" t="str">
        <f ca="1">IF($B2481="Portfolio","Portfolio",IFERROR(INDEX(DATA_ASSET_CLASSIFICATION!$U$8:$U$24,MATCH($C2481,DATA_ASSET_CLASSIFICATION!$A$8:$A$24,0)),"Review"))</f>
        <v>Refi Watch</v>
      </c>
      <c r="O2481" s="350" t="str">
        <f ca="1">IF($B2481="Portfolio","Portfolio",IFERROR(INDEX(DATA_ASSET_CLASSIFICATION!$AB$8:$AB$13,MATCH($N2481,DATA_ASSET_CLASSIFICATION!$AA$8:$AA$13,0)),"Review"))</f>
        <v>Bucket 2 · Legacy</v>
      </c>
      <c r="P2481" s="350" t="str">
        <f>IF($B2481="Portfolio","Portfolio",IFERROR(INDEX(DATA_ASSET_CLASSIFICATION!$C$8:$C$24,MATCH($C2481,DATA_ASSET_CLASSIFICATION!$A$8:$A$24,0)),"Review"))</f>
        <v>Yes</v>
      </c>
      <c r="Q2481" s="350" t="str">
        <f t="shared" ca="1" si="77"/>
        <v>OK</v>
      </c>
    </row>
    <row r="2482" spans="1:17">
      <c r="A2482" s="366" t="s">
        <v>4438</v>
      </c>
      <c r="B2482" s="366" t="s">
        <v>231</v>
      </c>
      <c r="C2482" s="348" t="str">
        <f>DATA_PROPERTY_MASTER!$A$12</f>
        <v>BLD_JP</v>
      </c>
      <c r="D2482" s="380">
        <f>'00_PORTFOLIO ROLLUP'!N$12</f>
        <v>2034</v>
      </c>
      <c r="E2482" s="366" t="s">
        <v>1721</v>
      </c>
      <c r="F2482" s="366" t="s">
        <v>37</v>
      </c>
      <c r="G2482" s="348" t="str">
        <f>"'"&amp;$C2482&amp;"'!$E$63:$Y$63"</f>
        <v>'BLD_JP'!$E$63:$Y$63</v>
      </c>
      <c r="H2482" s="381">
        <f ca="1">IF(IFERROR(INDEX(DATA_PROPERTY_MASTER!$E$5:$E$21,MATCH($C2482,DATA_PROPERTY_MASTER!$A$5:$A$21,0))="Yes",FALSE),MAX(IFERROR(INDEX(INDIRECT("'"&amp;$C2482&amp;"'!$E$63:$Y$63"),1,MATCH($D2482,INDIRECT("'"&amp;$C2482&amp;"'!$E$12:$Y$12"),0)),0),0),0)</f>
        <v>0</v>
      </c>
      <c r="I2482" s="366" t="s">
        <v>1685</v>
      </c>
      <c r="J2482" s="348" t="str">
        <f t="shared" ca="1" si="76"/>
        <v>OK</v>
      </c>
      <c r="K2482" s="366" t="s">
        <v>1735</v>
      </c>
      <c r="L2482" s="366" t="s">
        <v>2258</v>
      </c>
      <c r="M2482" s="350" t="str">
        <f>IF($B2482="Portfolio","Portfolio",IFERROR(INDEX(DATA_ASSET_CLASSIFICATION!$B$8:$B$24,MATCH($C2482,DATA_ASSET_CLASSIFICATION!$A$8:$A$24,0)),"Review"))</f>
        <v>Jessica Place</v>
      </c>
      <c r="N2482" s="350" t="str">
        <f ca="1">IF($B2482="Portfolio","Portfolio",IFERROR(INDEX(DATA_ASSET_CLASSIFICATION!$U$8:$U$24,MATCH($C2482,DATA_ASSET_CLASSIFICATION!$A$8:$A$24,0)),"Review"))</f>
        <v>Refi Watch</v>
      </c>
      <c r="O2482" s="350" t="str">
        <f ca="1">IF($B2482="Portfolio","Portfolio",IFERROR(INDEX(DATA_ASSET_CLASSIFICATION!$AB$8:$AB$13,MATCH($N2482,DATA_ASSET_CLASSIFICATION!$AA$8:$AA$13,0)),"Review"))</f>
        <v>Bucket 2 · Legacy</v>
      </c>
      <c r="P2482" s="350" t="str">
        <f>IF($B2482="Portfolio","Portfolio",IFERROR(INDEX(DATA_ASSET_CLASSIFICATION!$C$8:$C$24,MATCH($C2482,DATA_ASSET_CLASSIFICATION!$A$8:$A$24,0)),"Review"))</f>
        <v>Yes</v>
      </c>
      <c r="Q2482" s="350" t="str">
        <f t="shared" ca="1" si="77"/>
        <v>OK</v>
      </c>
    </row>
    <row r="2483" spans="1:17">
      <c r="A2483" s="366" t="s">
        <v>4439</v>
      </c>
      <c r="B2483" s="366" t="s">
        <v>231</v>
      </c>
      <c r="C2483" s="348" t="str">
        <f>DATA_PROPERTY_MASTER!$A$12</f>
        <v>BLD_JP</v>
      </c>
      <c r="D2483" s="380">
        <f>'00_PORTFOLIO ROLLUP'!N$12</f>
        <v>2034</v>
      </c>
      <c r="E2483" s="366" t="s">
        <v>1721</v>
      </c>
      <c r="F2483" s="366" t="s">
        <v>39</v>
      </c>
      <c r="G2483" s="348" t="str">
        <f>"'"&amp;$C2483&amp;"'!$E$63:$Y$63"</f>
        <v>'BLD_JP'!$E$63:$Y$63</v>
      </c>
      <c r="H2483" s="381">
        <f ca="1">IF(IFERROR(INDEX(DATA_PROPERTY_MASTER!$E$5:$E$21,MATCH($C2483,DATA_PROPERTY_MASTER!$A$5:$A$21,0))="Yes",FALSE),MAX(-IFERROR(INDEX(INDIRECT("'"&amp;$C2483&amp;"'!$E$63:$Y$63"),1,MATCH($D2483,INDIRECT("'"&amp;$C2483&amp;"'!$E$12:$Y$12"),0)),0),0),0)</f>
        <v>0</v>
      </c>
      <c r="I2483" s="366" t="s">
        <v>1690</v>
      </c>
      <c r="J2483" s="348" t="str">
        <f t="shared" ca="1" si="76"/>
        <v>OK</v>
      </c>
      <c r="K2483" s="366" t="s">
        <v>1738</v>
      </c>
      <c r="L2483" s="366" t="s">
        <v>2260</v>
      </c>
      <c r="M2483" s="350" t="str">
        <f>IF($B2483="Portfolio","Portfolio",IFERROR(INDEX(DATA_ASSET_CLASSIFICATION!$B$8:$B$24,MATCH($C2483,DATA_ASSET_CLASSIFICATION!$A$8:$A$24,0)),"Review"))</f>
        <v>Jessica Place</v>
      </c>
      <c r="N2483" s="350" t="str">
        <f ca="1">IF($B2483="Portfolio","Portfolio",IFERROR(INDEX(DATA_ASSET_CLASSIFICATION!$U$8:$U$24,MATCH($C2483,DATA_ASSET_CLASSIFICATION!$A$8:$A$24,0)),"Review"))</f>
        <v>Refi Watch</v>
      </c>
      <c r="O2483" s="350" t="str">
        <f ca="1">IF($B2483="Portfolio","Portfolio",IFERROR(INDEX(DATA_ASSET_CLASSIFICATION!$AB$8:$AB$13,MATCH($N2483,DATA_ASSET_CLASSIFICATION!$AA$8:$AA$13,0)),"Review"))</f>
        <v>Bucket 2 · Legacy</v>
      </c>
      <c r="P2483" s="350" t="str">
        <f>IF($B2483="Portfolio","Portfolio",IFERROR(INDEX(DATA_ASSET_CLASSIFICATION!$C$8:$C$24,MATCH($C2483,DATA_ASSET_CLASSIFICATION!$A$8:$A$24,0)),"Review"))</f>
        <v>Yes</v>
      </c>
      <c r="Q2483" s="350" t="str">
        <f t="shared" ca="1" si="77"/>
        <v>OK</v>
      </c>
    </row>
    <row r="2484" spans="1:17">
      <c r="A2484" s="366" t="s">
        <v>4440</v>
      </c>
      <c r="B2484" s="366" t="s">
        <v>231</v>
      </c>
      <c r="C2484" s="348" t="str">
        <f>DATA_PROPERTY_MASTER!$A$12</f>
        <v>BLD_JP</v>
      </c>
      <c r="D2484" s="380">
        <f>'00_PORTFOLIO ROLLUP'!N$12</f>
        <v>2034</v>
      </c>
      <c r="E2484" s="366" t="s">
        <v>1741</v>
      </c>
      <c r="F2484" s="366" t="s">
        <v>41</v>
      </c>
      <c r="G2484" s="348" t="str">
        <f>"'"&amp;$C2484&amp;"'!rows 56 + positive row 63"</f>
        <v>'BLD_JP'!rows 56 + positive row 63</v>
      </c>
      <c r="H2484" s="381">
        <f ca="1">IF(IFERROR(INDEX(DATA_PROPERTY_MASTER!$E$5:$E$21,MATCH($C2484,DATA_PROPERTY_MASTER!$A$5:$A$21,0))="Yes",FALSE),IFERROR(INDEX(INDIRECT("'"&amp;$C2484&amp;"'!$E$56:$Y$56"),1,MATCH($D2484,INDIRECT("'"&amp;$C2484&amp;"'!$E$12:$Y$12"),0)),0)+MAX(IFERROR(INDEX(INDIRECT("'"&amp;$C2484&amp;"'!$E$63:$Y$63"),1,MATCH($D2484,INDIRECT("'"&amp;$C2484&amp;"'!$E$12:$Y$12"),0)),0),0),0)</f>
        <v>90070.479575623991</v>
      </c>
      <c r="I2484" s="366" t="s">
        <v>1685</v>
      </c>
      <c r="J2484" s="348" t="str">
        <f t="shared" ca="1" si="76"/>
        <v>OK</v>
      </c>
      <c r="K2484" s="366" t="s">
        <v>1742</v>
      </c>
      <c r="L2484" s="366" t="s">
        <v>2262</v>
      </c>
      <c r="M2484" s="350" t="str">
        <f>IF($B2484="Portfolio","Portfolio",IFERROR(INDEX(DATA_ASSET_CLASSIFICATION!$B$8:$B$24,MATCH($C2484,DATA_ASSET_CLASSIFICATION!$A$8:$A$24,0)),"Review"))</f>
        <v>Jessica Place</v>
      </c>
      <c r="N2484" s="350" t="str">
        <f ca="1">IF($B2484="Portfolio","Portfolio",IFERROR(INDEX(DATA_ASSET_CLASSIFICATION!$U$8:$U$24,MATCH($C2484,DATA_ASSET_CLASSIFICATION!$A$8:$A$24,0)),"Review"))</f>
        <v>Refi Watch</v>
      </c>
      <c r="O2484" s="350" t="str">
        <f ca="1">IF($B2484="Portfolio","Portfolio",IFERROR(INDEX(DATA_ASSET_CLASSIFICATION!$AB$8:$AB$13,MATCH($N2484,DATA_ASSET_CLASSIFICATION!$AA$8:$AA$13,0)),"Review"))</f>
        <v>Bucket 2 · Legacy</v>
      </c>
      <c r="P2484" s="350" t="str">
        <f>IF($B2484="Portfolio","Portfolio",IFERROR(INDEX(DATA_ASSET_CLASSIFICATION!$C$8:$C$24,MATCH($C2484,DATA_ASSET_CLASSIFICATION!$A$8:$A$24,0)),"Review"))</f>
        <v>Yes</v>
      </c>
      <c r="Q2484" s="350" t="str">
        <f t="shared" ca="1" si="77"/>
        <v>OK</v>
      </c>
    </row>
    <row r="2485" spans="1:17">
      <c r="A2485" s="366" t="s">
        <v>4441</v>
      </c>
      <c r="B2485" s="366" t="s">
        <v>231</v>
      </c>
      <c r="C2485" s="348" t="str">
        <f>DATA_PROPERTY_MASTER!$A$12</f>
        <v>BLD_JP</v>
      </c>
      <c r="D2485" s="380">
        <f>'00_PORTFOLIO ROLLUP'!N$12</f>
        <v>2034</v>
      </c>
      <c r="E2485" s="366" t="s">
        <v>1741</v>
      </c>
      <c r="F2485" s="366" t="s">
        <v>43</v>
      </c>
      <c r="G2485" s="348" t="str">
        <f>"'"&amp;$C2485&amp;"'!$E$68:$Y$68"</f>
        <v>'BLD_JP'!$E$68:$Y$68</v>
      </c>
      <c r="H2485" s="381">
        <f ca="1">IF(IFERROR(INDEX(DATA_PROPERTY_MASTER!$E$5:$E$21,MATCH($C2485,DATA_PROPERTY_MASTER!$A$5:$A$21,0))="Yes",FALSE),IFERROR(INDEX(INDIRECT("'"&amp;$C2485&amp;"'!$E$68:$Y$68"),1,MATCH($D2485,INDIRECT("'"&amp;$C2485&amp;"'!$E$12:$Y$12"),0)),0),0)</f>
        <v>90070.479575623991</v>
      </c>
      <c r="I2485" s="366" t="s">
        <v>1731</v>
      </c>
      <c r="J2485" s="348" t="str">
        <f t="shared" ca="1" si="76"/>
        <v>OK</v>
      </c>
      <c r="K2485" s="366" t="s">
        <v>1746</v>
      </c>
      <c r="L2485" s="366" t="s">
        <v>2264</v>
      </c>
      <c r="M2485" s="350" t="str">
        <f>IF($B2485="Portfolio","Portfolio",IFERROR(INDEX(DATA_ASSET_CLASSIFICATION!$B$8:$B$24,MATCH($C2485,DATA_ASSET_CLASSIFICATION!$A$8:$A$24,0)),"Review"))</f>
        <v>Jessica Place</v>
      </c>
      <c r="N2485" s="350" t="str">
        <f ca="1">IF($B2485="Portfolio","Portfolio",IFERROR(INDEX(DATA_ASSET_CLASSIFICATION!$U$8:$U$24,MATCH($C2485,DATA_ASSET_CLASSIFICATION!$A$8:$A$24,0)),"Review"))</f>
        <v>Refi Watch</v>
      </c>
      <c r="O2485" s="350" t="str">
        <f ca="1">IF($B2485="Portfolio","Portfolio",IFERROR(INDEX(DATA_ASSET_CLASSIFICATION!$AB$8:$AB$13,MATCH($N2485,DATA_ASSET_CLASSIFICATION!$AA$8:$AA$13,0)),"Review"))</f>
        <v>Bucket 2 · Legacy</v>
      </c>
      <c r="P2485" s="350" t="str">
        <f>IF($B2485="Portfolio","Portfolio",IFERROR(INDEX(DATA_ASSET_CLASSIFICATION!$C$8:$C$24,MATCH($C2485,DATA_ASSET_CLASSIFICATION!$A$8:$A$24,0)),"Review"))</f>
        <v>Yes</v>
      </c>
      <c r="Q2485" s="350" t="str">
        <f t="shared" ca="1" si="77"/>
        <v>OK</v>
      </c>
    </row>
    <row r="2486" spans="1:17">
      <c r="A2486" s="366" t="s">
        <v>4442</v>
      </c>
      <c r="B2486" s="366" t="s">
        <v>231</v>
      </c>
      <c r="C2486" s="348" t="str">
        <f>DATA_PROPERTY_MASTER!$A$12</f>
        <v>BLD_JP</v>
      </c>
      <c r="D2486" s="380">
        <f>'00_PORTFOLIO ROLLUP'!N$12</f>
        <v>2034</v>
      </c>
      <c r="E2486" s="366" t="s">
        <v>1741</v>
      </c>
      <c r="F2486" s="366" t="s">
        <v>1749</v>
      </c>
      <c r="G2486" s="348" t="str">
        <f>"'"&amp;$C2486&amp;"'!rows 56, 63, 68"</f>
        <v>'BLD_JP'!rows 56, 63, 68</v>
      </c>
      <c r="H2486" s="381">
        <f ca="1">IF(IFERROR(INDEX(DATA_PROPERTY_MASTER!$E$5:$E$21,MATCH($C2486,DATA_PROPERTY_MASTER!$A$5:$A$21,0))="Yes",FALSE),(IFERROR(INDEX(INDIRECT("'"&amp;$C2486&amp;"'!$E$56:$Y$56"),1,MATCH($D2486,INDIRECT("'"&amp;$C2486&amp;"'!$E$12:$Y$12"),0)),0)+MAX(IFERROR(INDEX(INDIRECT("'"&amp;$C2486&amp;"'!$E$63:$Y$63"),1,MATCH($D2486,INDIRECT("'"&amp;$C2486&amp;"'!$E$12:$Y$12"),0)),0),0))-(IFERROR(INDEX(INDIRECT("'"&amp;$C2486&amp;"'!$E$68:$Y$68"),1,MATCH($D2486,INDIRECT("'"&amp;$C2486&amp;"'!$E$12:$Y$12"),0)),0)),0)</f>
        <v>0</v>
      </c>
      <c r="I2486" s="366" t="s">
        <v>1750</v>
      </c>
      <c r="J2486" s="348" t="str">
        <f t="shared" ca="1" si="76"/>
        <v>OK</v>
      </c>
      <c r="K2486" s="366" t="s">
        <v>1751</v>
      </c>
      <c r="L2486" s="366" t="s">
        <v>2266</v>
      </c>
      <c r="M2486" s="350" t="str">
        <f>IF($B2486="Portfolio","Portfolio",IFERROR(INDEX(DATA_ASSET_CLASSIFICATION!$B$8:$B$24,MATCH($C2486,DATA_ASSET_CLASSIFICATION!$A$8:$A$24,0)),"Review"))</f>
        <v>Jessica Place</v>
      </c>
      <c r="N2486" s="350" t="str">
        <f ca="1">IF($B2486="Portfolio","Portfolio",IFERROR(INDEX(DATA_ASSET_CLASSIFICATION!$U$8:$U$24,MATCH($C2486,DATA_ASSET_CLASSIFICATION!$A$8:$A$24,0)),"Review"))</f>
        <v>Refi Watch</v>
      </c>
      <c r="O2486" s="350" t="str">
        <f ca="1">IF($B2486="Portfolio","Portfolio",IFERROR(INDEX(DATA_ASSET_CLASSIFICATION!$AB$8:$AB$13,MATCH($N2486,DATA_ASSET_CLASSIFICATION!$AA$8:$AA$13,0)),"Review"))</f>
        <v>Bucket 2 · Legacy</v>
      </c>
      <c r="P2486" s="350" t="str">
        <f>IF($B2486="Portfolio","Portfolio",IFERROR(INDEX(DATA_ASSET_CLASSIFICATION!$C$8:$C$24,MATCH($C2486,DATA_ASSET_CLASSIFICATION!$A$8:$A$24,0)),"Review"))</f>
        <v>Yes</v>
      </c>
      <c r="Q2486" s="350" t="str">
        <f t="shared" ca="1" si="77"/>
        <v>OK</v>
      </c>
    </row>
    <row r="2487" spans="1:17">
      <c r="A2487" s="366" t="s">
        <v>4443</v>
      </c>
      <c r="B2487" s="366" t="s">
        <v>231</v>
      </c>
      <c r="C2487" s="348" t="str">
        <f>DATA_PROPERTY_MASTER!$A$12</f>
        <v>BLD_JP</v>
      </c>
      <c r="D2487" s="380">
        <f>'00_PORTFOLIO ROLLUP'!O$12</f>
        <v>2035</v>
      </c>
      <c r="E2487" s="366" t="s">
        <v>1683</v>
      </c>
      <c r="F2487" s="366" t="s">
        <v>341</v>
      </c>
      <c r="G2487" s="348" t="str">
        <f>"'"&amp;$C2487&amp;"'!$E$24:$Y$24"</f>
        <v>'BLD_JP'!$E$24:$Y$24</v>
      </c>
      <c r="H2487" s="381">
        <f ca="1">IF(IFERROR(INDEX(DATA_PROPERTY_MASTER!$E$5:$E$21,MATCH($C2487,DATA_PROPERTY_MASTER!$A$5:$A$21,0))="Yes",FALSE),IFERROR(INDEX(INDIRECT("'"&amp;$C2487&amp;"'!$E$24:$Y$24"),1,MATCH($D2487,INDIRECT("'"&amp;$C2487&amp;"'!$E$12:$Y$12"),0)),0),0)</f>
        <v>599443.23657992261</v>
      </c>
      <c r="I2487" s="366" t="s">
        <v>1685</v>
      </c>
      <c r="J2487" s="348" t="str">
        <f t="shared" ca="1" si="76"/>
        <v>OK</v>
      </c>
      <c r="K2487" s="366" t="s">
        <v>1686</v>
      </c>
      <c r="L2487" s="366" t="s">
        <v>2234</v>
      </c>
      <c r="M2487" s="350" t="str">
        <f>IF($B2487="Portfolio","Portfolio",IFERROR(INDEX(DATA_ASSET_CLASSIFICATION!$B$8:$B$24,MATCH($C2487,DATA_ASSET_CLASSIFICATION!$A$8:$A$24,0)),"Review"))</f>
        <v>Jessica Place</v>
      </c>
      <c r="N2487" s="350" t="str">
        <f ca="1">IF($B2487="Portfolio","Portfolio",IFERROR(INDEX(DATA_ASSET_CLASSIFICATION!$U$8:$U$24,MATCH($C2487,DATA_ASSET_CLASSIFICATION!$A$8:$A$24,0)),"Review"))</f>
        <v>Refi Watch</v>
      </c>
      <c r="O2487" s="350" t="str">
        <f ca="1">IF($B2487="Portfolio","Portfolio",IFERROR(INDEX(DATA_ASSET_CLASSIFICATION!$AB$8:$AB$13,MATCH($N2487,DATA_ASSET_CLASSIFICATION!$AA$8:$AA$13,0)),"Review"))</f>
        <v>Bucket 2 · Legacy</v>
      </c>
      <c r="P2487" s="350" t="str">
        <f>IF($B2487="Portfolio","Portfolio",IFERROR(INDEX(DATA_ASSET_CLASSIFICATION!$C$8:$C$24,MATCH($C2487,DATA_ASSET_CLASSIFICATION!$A$8:$A$24,0)),"Review"))</f>
        <v>Yes</v>
      </c>
      <c r="Q2487" s="350" t="str">
        <f t="shared" ca="1" si="77"/>
        <v>OK</v>
      </c>
    </row>
    <row r="2488" spans="1:17">
      <c r="A2488" s="366" t="s">
        <v>4444</v>
      </c>
      <c r="B2488" s="366" t="s">
        <v>231</v>
      </c>
      <c r="C2488" s="348" t="str">
        <f>DATA_PROPERTY_MASTER!$A$12</f>
        <v>BLD_JP</v>
      </c>
      <c r="D2488" s="380">
        <f>'00_PORTFOLIO ROLLUP'!O$12</f>
        <v>2035</v>
      </c>
      <c r="E2488" s="366" t="s">
        <v>1683</v>
      </c>
      <c r="F2488" s="366" t="s">
        <v>355</v>
      </c>
      <c r="G2488" s="348" t="str">
        <f>"'"&amp;$C2488&amp;"'!$E$39:$Y$39"</f>
        <v>'BLD_JP'!$E$39:$Y$39</v>
      </c>
      <c r="H2488" s="381">
        <f ca="1">IF(IFERROR(INDEX(DATA_PROPERTY_MASTER!$E$5:$E$21,MATCH($C2488,DATA_PROPERTY_MASTER!$A$5:$A$21,0))="Yes",FALSE),IFERROR(INDEX(INDIRECT("'"&amp;$C2488&amp;"'!$E$39:$Y$39"),1,MATCH($D2488,INDIRECT("'"&amp;$C2488&amp;"'!$E$12:$Y$12"),0)),0),0)</f>
        <v>371576.07990552281</v>
      </c>
      <c r="I2488" s="366" t="s">
        <v>1690</v>
      </c>
      <c r="J2488" s="348" t="str">
        <f t="shared" ca="1" si="76"/>
        <v>OK</v>
      </c>
      <c r="K2488" s="366" t="s">
        <v>1686</v>
      </c>
      <c r="L2488" s="366" t="s">
        <v>2236</v>
      </c>
      <c r="M2488" s="350" t="str">
        <f>IF($B2488="Portfolio","Portfolio",IFERROR(INDEX(DATA_ASSET_CLASSIFICATION!$B$8:$B$24,MATCH($C2488,DATA_ASSET_CLASSIFICATION!$A$8:$A$24,0)),"Review"))</f>
        <v>Jessica Place</v>
      </c>
      <c r="N2488" s="350" t="str">
        <f ca="1">IF($B2488="Portfolio","Portfolio",IFERROR(INDEX(DATA_ASSET_CLASSIFICATION!$U$8:$U$24,MATCH($C2488,DATA_ASSET_CLASSIFICATION!$A$8:$A$24,0)),"Review"))</f>
        <v>Refi Watch</v>
      </c>
      <c r="O2488" s="350" t="str">
        <f ca="1">IF($B2488="Portfolio","Portfolio",IFERROR(INDEX(DATA_ASSET_CLASSIFICATION!$AB$8:$AB$13,MATCH($N2488,DATA_ASSET_CLASSIFICATION!$AA$8:$AA$13,0)),"Review"))</f>
        <v>Bucket 2 · Legacy</v>
      </c>
      <c r="P2488" s="350" t="str">
        <f>IF($B2488="Portfolio","Portfolio",IFERROR(INDEX(DATA_ASSET_CLASSIFICATION!$C$8:$C$24,MATCH($C2488,DATA_ASSET_CLASSIFICATION!$A$8:$A$24,0)),"Review"))</f>
        <v>Yes</v>
      </c>
      <c r="Q2488" s="350" t="str">
        <f t="shared" ca="1" si="77"/>
        <v>OK</v>
      </c>
    </row>
    <row r="2489" spans="1:17">
      <c r="A2489" s="366" t="s">
        <v>4445</v>
      </c>
      <c r="B2489" s="366" t="s">
        <v>231</v>
      </c>
      <c r="C2489" s="348" t="str">
        <f>DATA_PROPERTY_MASTER!$A$12</f>
        <v>BLD_JP</v>
      </c>
      <c r="D2489" s="380">
        <f>'00_PORTFOLIO ROLLUP'!O$12</f>
        <v>2035</v>
      </c>
      <c r="E2489" s="366" t="s">
        <v>1683</v>
      </c>
      <c r="F2489" s="366" t="s">
        <v>19</v>
      </c>
      <c r="G2489" s="348" t="str">
        <f>"'"&amp;$C2489&amp;"'!$E$41:$Y$41"</f>
        <v>'BLD_JP'!$E$41:$Y$41</v>
      </c>
      <c r="H2489" s="381">
        <f ca="1">IF(IFERROR(INDEX(DATA_PROPERTY_MASTER!$E$5:$E$21,MATCH($C2489,DATA_PROPERTY_MASTER!$A$5:$A$21,0))="Yes",FALSE),IFERROR(INDEX(INDIRECT("'"&amp;$C2489&amp;"'!$E$41:$Y$41"),1,MATCH($D2489,INDIRECT("'"&amp;$C2489&amp;"'!$E$12:$Y$12"),0)),0),0)</f>
        <v>227867.1566743998</v>
      </c>
      <c r="I2489" s="366" t="s">
        <v>1685</v>
      </c>
      <c r="J2489" s="348" t="str">
        <f t="shared" ca="1" si="76"/>
        <v>OK</v>
      </c>
      <c r="K2489" s="366" t="s">
        <v>1694</v>
      </c>
      <c r="L2489" s="366" t="s">
        <v>2238</v>
      </c>
      <c r="M2489" s="350" t="str">
        <f>IF($B2489="Portfolio","Portfolio",IFERROR(INDEX(DATA_ASSET_CLASSIFICATION!$B$8:$B$24,MATCH($C2489,DATA_ASSET_CLASSIFICATION!$A$8:$A$24,0)),"Review"))</f>
        <v>Jessica Place</v>
      </c>
      <c r="N2489" s="350" t="str">
        <f ca="1">IF($B2489="Portfolio","Portfolio",IFERROR(INDEX(DATA_ASSET_CLASSIFICATION!$U$8:$U$24,MATCH($C2489,DATA_ASSET_CLASSIFICATION!$A$8:$A$24,0)),"Review"))</f>
        <v>Refi Watch</v>
      </c>
      <c r="O2489" s="350" t="str">
        <f ca="1">IF($B2489="Portfolio","Portfolio",IFERROR(INDEX(DATA_ASSET_CLASSIFICATION!$AB$8:$AB$13,MATCH($N2489,DATA_ASSET_CLASSIFICATION!$AA$8:$AA$13,0)),"Review"))</f>
        <v>Bucket 2 · Legacy</v>
      </c>
      <c r="P2489" s="350" t="str">
        <f>IF($B2489="Portfolio","Portfolio",IFERROR(INDEX(DATA_ASSET_CLASSIFICATION!$C$8:$C$24,MATCH($C2489,DATA_ASSET_CLASSIFICATION!$A$8:$A$24,0)),"Review"))</f>
        <v>Yes</v>
      </c>
      <c r="Q2489" s="350" t="str">
        <f t="shared" ca="1" si="77"/>
        <v>OK</v>
      </c>
    </row>
    <row r="2490" spans="1:17">
      <c r="A2490" s="366" t="s">
        <v>4446</v>
      </c>
      <c r="B2490" s="366" t="s">
        <v>231</v>
      </c>
      <c r="C2490" s="348" t="str">
        <f>DATA_PROPERTY_MASTER!$A$12</f>
        <v>BLD_JP</v>
      </c>
      <c r="D2490" s="380">
        <f>'00_PORTFOLIO ROLLUP'!O$12</f>
        <v>2035</v>
      </c>
      <c r="E2490" s="366" t="s">
        <v>1683</v>
      </c>
      <c r="F2490" s="366" t="s">
        <v>1697</v>
      </c>
      <c r="G2490" s="348" t="str">
        <f>"'"&amp;$C2490&amp;"'!$E$44:$Y$44"</f>
        <v>'BLD_JP'!$E$44:$Y$44</v>
      </c>
      <c r="H2490" s="381">
        <f ca="1">IF(IFERROR(INDEX(DATA_PROPERTY_MASTER!$E$5:$E$21,MATCH($C2490,DATA_PROPERTY_MASTER!$A$5:$A$21,0))="Yes",FALSE),IFERROR(INDEX(INDIRECT("'"&amp;$C2490&amp;"'!$E$44:$Y$44"),1,MATCH($D2490,INDIRECT("'"&amp;$C2490&amp;"'!$E$12:$Y$12"),0)),0),0)</f>
        <v>7313.9665199685423</v>
      </c>
      <c r="I2490" s="366" t="s">
        <v>1690</v>
      </c>
      <c r="J2490" s="348" t="str">
        <f t="shared" ca="1" si="76"/>
        <v>OK</v>
      </c>
      <c r="K2490" s="366" t="s">
        <v>1699</v>
      </c>
      <c r="L2490" s="366" t="s">
        <v>2240</v>
      </c>
      <c r="M2490" s="350" t="str">
        <f>IF($B2490="Portfolio","Portfolio",IFERROR(INDEX(DATA_ASSET_CLASSIFICATION!$B$8:$B$24,MATCH($C2490,DATA_ASSET_CLASSIFICATION!$A$8:$A$24,0)),"Review"))</f>
        <v>Jessica Place</v>
      </c>
      <c r="N2490" s="350" t="str">
        <f ca="1">IF($B2490="Portfolio","Portfolio",IFERROR(INDEX(DATA_ASSET_CLASSIFICATION!$U$8:$U$24,MATCH($C2490,DATA_ASSET_CLASSIFICATION!$A$8:$A$24,0)),"Review"))</f>
        <v>Refi Watch</v>
      </c>
      <c r="O2490" s="350" t="str">
        <f ca="1">IF($B2490="Portfolio","Portfolio",IFERROR(INDEX(DATA_ASSET_CLASSIFICATION!$AB$8:$AB$13,MATCH($N2490,DATA_ASSET_CLASSIFICATION!$AA$8:$AA$13,0)),"Review"))</f>
        <v>Bucket 2 · Legacy</v>
      </c>
      <c r="P2490" s="350" t="str">
        <f>IF($B2490="Portfolio","Portfolio",IFERROR(INDEX(DATA_ASSET_CLASSIFICATION!$C$8:$C$24,MATCH($C2490,DATA_ASSET_CLASSIFICATION!$A$8:$A$24,0)),"Review"))</f>
        <v>Yes</v>
      </c>
      <c r="Q2490" s="350" t="str">
        <f t="shared" ca="1" si="77"/>
        <v>OK</v>
      </c>
    </row>
    <row r="2491" spans="1:17">
      <c r="A2491" s="366" t="s">
        <v>4447</v>
      </c>
      <c r="B2491" s="366" t="s">
        <v>231</v>
      </c>
      <c r="C2491" s="348" t="str">
        <f>DATA_PROPERTY_MASTER!$A$12</f>
        <v>BLD_JP</v>
      </c>
      <c r="D2491" s="380">
        <f>'00_PORTFOLIO ROLLUP'!O$12</f>
        <v>2035</v>
      </c>
      <c r="E2491" s="366" t="s">
        <v>1683</v>
      </c>
      <c r="F2491" s="366" t="s">
        <v>21</v>
      </c>
      <c r="G2491" s="348" t="str">
        <f>"'"&amp;$C2491&amp;"'!$E$45:$Y$45"</f>
        <v>'BLD_JP'!$E$45:$Y$45</v>
      </c>
      <c r="H2491" s="381">
        <f ca="1">IF(IFERROR(INDEX(DATA_PROPERTY_MASTER!$E$5:$E$21,MATCH($C2491,DATA_PROPERTY_MASTER!$A$5:$A$21,0))="Yes",FALSE),IFERROR(INDEX(INDIRECT("'"&amp;$C2491&amp;"'!$E$45:$Y$45"),1,MATCH($D2491,INDIRECT("'"&amp;$C2491&amp;"'!$E$12:$Y$12"),0)),0),0)</f>
        <v>220553.19015443124</v>
      </c>
      <c r="I2491" s="366" t="s">
        <v>1685</v>
      </c>
      <c r="J2491" s="348" t="str">
        <f t="shared" ca="1" si="76"/>
        <v>OK</v>
      </c>
      <c r="K2491" s="366" t="s">
        <v>1694</v>
      </c>
      <c r="L2491" s="366" t="s">
        <v>2242</v>
      </c>
      <c r="M2491" s="350" t="str">
        <f>IF($B2491="Portfolio","Portfolio",IFERROR(INDEX(DATA_ASSET_CLASSIFICATION!$B$8:$B$24,MATCH($C2491,DATA_ASSET_CLASSIFICATION!$A$8:$A$24,0)),"Review"))</f>
        <v>Jessica Place</v>
      </c>
      <c r="N2491" s="350" t="str">
        <f ca="1">IF($B2491="Portfolio","Portfolio",IFERROR(INDEX(DATA_ASSET_CLASSIFICATION!$U$8:$U$24,MATCH($C2491,DATA_ASSET_CLASSIFICATION!$A$8:$A$24,0)),"Review"))</f>
        <v>Refi Watch</v>
      </c>
      <c r="O2491" s="350" t="str">
        <f ca="1">IF($B2491="Portfolio","Portfolio",IFERROR(INDEX(DATA_ASSET_CLASSIFICATION!$AB$8:$AB$13,MATCH($N2491,DATA_ASSET_CLASSIFICATION!$AA$8:$AA$13,0)),"Review"))</f>
        <v>Bucket 2 · Legacy</v>
      </c>
      <c r="P2491" s="350" t="str">
        <f>IF($B2491="Portfolio","Portfolio",IFERROR(INDEX(DATA_ASSET_CLASSIFICATION!$C$8:$C$24,MATCH($C2491,DATA_ASSET_CLASSIFICATION!$A$8:$A$24,0)),"Review"))</f>
        <v>Yes</v>
      </c>
      <c r="Q2491" s="350" t="str">
        <f t="shared" ca="1" si="77"/>
        <v>OK</v>
      </c>
    </row>
    <row r="2492" spans="1:17">
      <c r="A2492" s="366" t="s">
        <v>4448</v>
      </c>
      <c r="B2492" s="366" t="s">
        <v>231</v>
      </c>
      <c r="C2492" s="348" t="str">
        <f>DATA_PROPERTY_MASTER!$A$12</f>
        <v>BLD_JP</v>
      </c>
      <c r="D2492" s="380">
        <f>'00_PORTFOLIO ROLLUP'!O$12</f>
        <v>2035</v>
      </c>
      <c r="E2492" s="366" t="s">
        <v>23</v>
      </c>
      <c r="F2492" s="366" t="s">
        <v>23</v>
      </c>
      <c r="G2492" s="348" t="str">
        <f>"'"&amp;$C2492&amp;"'!$E$48:$Y$48"</f>
        <v>'BLD_JP'!$E$48:$Y$48</v>
      </c>
      <c r="H2492" s="381">
        <f ca="1">IF(IFERROR(INDEX(DATA_PROPERTY_MASTER!$E$5:$E$21,MATCH($C2492,DATA_PROPERTY_MASTER!$A$5:$A$21,0))="Yes",FALSE),IFERROR(INDEX(INDIRECT("'"&amp;$C2492&amp;"'!$E$48:$Y$48"),1,MATCH($D2492,INDIRECT("'"&amp;$C2492&amp;"'!$E$12:$Y$12"),0)),0),0)</f>
        <v>0</v>
      </c>
      <c r="I2492" s="366" t="s">
        <v>1690</v>
      </c>
      <c r="J2492" s="348" t="str">
        <f t="shared" ca="1" si="76"/>
        <v>OK</v>
      </c>
      <c r="K2492" s="366" t="s">
        <v>1706</v>
      </c>
      <c r="L2492" s="366" t="s">
        <v>2244</v>
      </c>
      <c r="M2492" s="350" t="str">
        <f>IF($B2492="Portfolio","Portfolio",IFERROR(INDEX(DATA_ASSET_CLASSIFICATION!$B$8:$B$24,MATCH($C2492,DATA_ASSET_CLASSIFICATION!$A$8:$A$24,0)),"Review"))</f>
        <v>Jessica Place</v>
      </c>
      <c r="N2492" s="350" t="str">
        <f ca="1">IF($B2492="Portfolio","Portfolio",IFERROR(INDEX(DATA_ASSET_CLASSIFICATION!$U$8:$U$24,MATCH($C2492,DATA_ASSET_CLASSIFICATION!$A$8:$A$24,0)),"Review"))</f>
        <v>Refi Watch</v>
      </c>
      <c r="O2492" s="350" t="str">
        <f ca="1">IF($B2492="Portfolio","Portfolio",IFERROR(INDEX(DATA_ASSET_CLASSIFICATION!$AB$8:$AB$13,MATCH($N2492,DATA_ASSET_CLASSIFICATION!$AA$8:$AA$13,0)),"Review"))</f>
        <v>Bucket 2 · Legacy</v>
      </c>
      <c r="P2492" s="350" t="str">
        <f>IF($B2492="Portfolio","Portfolio",IFERROR(INDEX(DATA_ASSET_CLASSIFICATION!$C$8:$C$24,MATCH($C2492,DATA_ASSET_CLASSIFICATION!$A$8:$A$24,0)),"Review"))</f>
        <v>Yes</v>
      </c>
      <c r="Q2492" s="350" t="str">
        <f t="shared" ca="1" si="77"/>
        <v>OK</v>
      </c>
    </row>
    <row r="2493" spans="1:17">
      <c r="A2493" s="366" t="s">
        <v>4449</v>
      </c>
      <c r="B2493" s="366" t="s">
        <v>231</v>
      </c>
      <c r="C2493" s="348" t="str">
        <f>DATA_PROPERTY_MASTER!$A$12</f>
        <v>BLD_JP</v>
      </c>
      <c r="D2493" s="380">
        <f>'00_PORTFOLIO ROLLUP'!O$12</f>
        <v>2035</v>
      </c>
      <c r="E2493" s="366" t="s">
        <v>1683</v>
      </c>
      <c r="F2493" s="366" t="s">
        <v>25</v>
      </c>
      <c r="G2493" s="348" t="str">
        <f>"'"&amp;$C2493&amp;"'!$E$52:$Y$52"</f>
        <v>'BLD_JP'!$E$52:$Y$52</v>
      </c>
      <c r="H2493" s="381">
        <f ca="1">IF(IFERROR(INDEX(DATA_PROPERTY_MASTER!$E$5:$E$21,MATCH($C2493,DATA_PROPERTY_MASTER!$A$5:$A$21,0))="Yes",FALSE),IFERROR(INDEX(INDIRECT("'"&amp;$C2493&amp;"'!$E$52:$Y$52"),1,MATCH($D2493,INDIRECT("'"&amp;$C2493&amp;"'!$E$12:$Y$12"),0)),0),0)</f>
        <v>227867.1566743998</v>
      </c>
      <c r="I2493" s="366" t="s">
        <v>1685</v>
      </c>
      <c r="J2493" s="348" t="str">
        <f t="shared" ca="1" si="76"/>
        <v>OK</v>
      </c>
      <c r="K2493" s="366" t="s">
        <v>1710</v>
      </c>
      <c r="L2493" s="366" t="s">
        <v>2246</v>
      </c>
      <c r="M2493" s="350" t="str">
        <f>IF($B2493="Portfolio","Portfolio",IFERROR(INDEX(DATA_ASSET_CLASSIFICATION!$B$8:$B$24,MATCH($C2493,DATA_ASSET_CLASSIFICATION!$A$8:$A$24,0)),"Review"))</f>
        <v>Jessica Place</v>
      </c>
      <c r="N2493" s="350" t="str">
        <f ca="1">IF($B2493="Portfolio","Portfolio",IFERROR(INDEX(DATA_ASSET_CLASSIFICATION!$U$8:$U$24,MATCH($C2493,DATA_ASSET_CLASSIFICATION!$A$8:$A$24,0)),"Review"))</f>
        <v>Refi Watch</v>
      </c>
      <c r="O2493" s="350" t="str">
        <f ca="1">IF($B2493="Portfolio","Portfolio",IFERROR(INDEX(DATA_ASSET_CLASSIFICATION!$AB$8:$AB$13,MATCH($N2493,DATA_ASSET_CLASSIFICATION!$AA$8:$AA$13,0)),"Review"))</f>
        <v>Bucket 2 · Legacy</v>
      </c>
      <c r="P2493" s="350" t="str">
        <f>IF($B2493="Portfolio","Portfolio",IFERROR(INDEX(DATA_ASSET_CLASSIFICATION!$C$8:$C$24,MATCH($C2493,DATA_ASSET_CLASSIFICATION!$A$8:$A$24,0)),"Review"))</f>
        <v>Yes</v>
      </c>
      <c r="Q2493" s="350" t="str">
        <f t="shared" ca="1" si="77"/>
        <v>OK</v>
      </c>
    </row>
    <row r="2494" spans="1:17">
      <c r="A2494" s="366" t="s">
        <v>4450</v>
      </c>
      <c r="B2494" s="366" t="s">
        <v>231</v>
      </c>
      <c r="C2494" s="348" t="str">
        <f>DATA_PROPERTY_MASTER!$A$12</f>
        <v>BLD_JP</v>
      </c>
      <c r="D2494" s="380">
        <f>'00_PORTFOLIO ROLLUP'!O$12</f>
        <v>2035</v>
      </c>
      <c r="E2494" s="366" t="s">
        <v>1683</v>
      </c>
      <c r="F2494" s="366" t="s">
        <v>27</v>
      </c>
      <c r="G2494" s="348" t="str">
        <f>"'"&amp;$C2494&amp;"'!$E$54:$Y$54"</f>
        <v>'BLD_JP'!$E$54:$Y$54</v>
      </c>
      <c r="H2494" s="381">
        <f ca="1">IF(IFERROR(INDEX(DATA_PROPERTY_MASTER!$E$5:$E$21,MATCH($C2494,DATA_PROPERTY_MASTER!$A$5:$A$21,0))="Yes",FALSE),IFERROR(INDEX(INDIRECT("'"&amp;$C2494&amp;"'!$E$54:$Y$54"),1,MATCH($D2494,INDIRECT("'"&amp;$C2494&amp;"'!$E$12:$Y$12"),0)),0),0)</f>
        <v>136720.29400463987</v>
      </c>
      <c r="I2494" s="366" t="s">
        <v>1690</v>
      </c>
      <c r="J2494" s="348" t="str">
        <f t="shared" ca="1" si="76"/>
        <v>OK</v>
      </c>
      <c r="K2494" s="366" t="s">
        <v>1714</v>
      </c>
      <c r="L2494" s="366" t="s">
        <v>2248</v>
      </c>
      <c r="M2494" s="350" t="str">
        <f>IF($B2494="Portfolio","Portfolio",IFERROR(INDEX(DATA_ASSET_CLASSIFICATION!$B$8:$B$24,MATCH($C2494,DATA_ASSET_CLASSIFICATION!$A$8:$A$24,0)),"Review"))</f>
        <v>Jessica Place</v>
      </c>
      <c r="N2494" s="350" t="str">
        <f ca="1">IF($B2494="Portfolio","Portfolio",IFERROR(INDEX(DATA_ASSET_CLASSIFICATION!$U$8:$U$24,MATCH($C2494,DATA_ASSET_CLASSIFICATION!$A$8:$A$24,0)),"Review"))</f>
        <v>Refi Watch</v>
      </c>
      <c r="O2494" s="350" t="str">
        <f ca="1">IF($B2494="Portfolio","Portfolio",IFERROR(INDEX(DATA_ASSET_CLASSIFICATION!$AB$8:$AB$13,MATCH($N2494,DATA_ASSET_CLASSIFICATION!$AA$8:$AA$13,0)),"Review"))</f>
        <v>Bucket 2 · Legacy</v>
      </c>
      <c r="P2494" s="350" t="str">
        <f>IF($B2494="Portfolio","Portfolio",IFERROR(INDEX(DATA_ASSET_CLASSIFICATION!$C$8:$C$24,MATCH($C2494,DATA_ASSET_CLASSIFICATION!$A$8:$A$24,0)),"Review"))</f>
        <v>Yes</v>
      </c>
      <c r="Q2494" s="350" t="str">
        <f t="shared" ca="1" si="77"/>
        <v>OK</v>
      </c>
    </row>
    <row r="2495" spans="1:17">
      <c r="A2495" s="366" t="s">
        <v>4451</v>
      </c>
      <c r="B2495" s="366" t="s">
        <v>231</v>
      </c>
      <c r="C2495" s="348" t="str">
        <f>DATA_PROPERTY_MASTER!$A$12</f>
        <v>BLD_JP</v>
      </c>
      <c r="D2495" s="380">
        <f>'00_PORTFOLIO ROLLUP'!O$12</f>
        <v>2035</v>
      </c>
      <c r="E2495" s="366" t="s">
        <v>1683</v>
      </c>
      <c r="F2495" s="366" t="s">
        <v>29</v>
      </c>
      <c r="G2495" s="348" t="str">
        <f>"'"&amp;$C2495&amp;"'!$E$56:$Y$56"</f>
        <v>'BLD_JP'!$E$56:$Y$56</v>
      </c>
      <c r="H2495" s="381">
        <f ca="1">IF(IFERROR(INDEX(DATA_PROPERTY_MASTER!$E$5:$E$21,MATCH($C2495,DATA_PROPERTY_MASTER!$A$5:$A$21,0))="Yes",FALSE),IFERROR(INDEX(INDIRECT("'"&amp;$C2495&amp;"'!$E$56:$Y$56"),1,MATCH($D2495,INDIRECT("'"&amp;$C2495&amp;"'!$E$12:$Y$12"),0)),0),0)</f>
        <v>91146.862669759925</v>
      </c>
      <c r="I2495" s="366" t="s">
        <v>1685</v>
      </c>
      <c r="J2495" s="348" t="str">
        <f t="shared" ca="1" si="76"/>
        <v>OK</v>
      </c>
      <c r="K2495" s="366" t="s">
        <v>1718</v>
      </c>
      <c r="L2495" s="366" t="s">
        <v>2250</v>
      </c>
      <c r="M2495" s="350" t="str">
        <f>IF($B2495="Portfolio","Portfolio",IFERROR(INDEX(DATA_ASSET_CLASSIFICATION!$B$8:$B$24,MATCH($C2495,DATA_ASSET_CLASSIFICATION!$A$8:$A$24,0)),"Review"))</f>
        <v>Jessica Place</v>
      </c>
      <c r="N2495" s="350" t="str">
        <f ca="1">IF($B2495="Portfolio","Portfolio",IFERROR(INDEX(DATA_ASSET_CLASSIFICATION!$U$8:$U$24,MATCH($C2495,DATA_ASSET_CLASSIFICATION!$A$8:$A$24,0)),"Review"))</f>
        <v>Refi Watch</v>
      </c>
      <c r="O2495" s="350" t="str">
        <f ca="1">IF($B2495="Portfolio","Portfolio",IFERROR(INDEX(DATA_ASSET_CLASSIFICATION!$AB$8:$AB$13,MATCH($N2495,DATA_ASSET_CLASSIFICATION!$AA$8:$AA$13,0)),"Review"))</f>
        <v>Bucket 2 · Legacy</v>
      </c>
      <c r="P2495" s="350" t="str">
        <f>IF($B2495="Portfolio","Portfolio",IFERROR(INDEX(DATA_ASSET_CLASSIFICATION!$C$8:$C$24,MATCH($C2495,DATA_ASSET_CLASSIFICATION!$A$8:$A$24,0)),"Review"))</f>
        <v>Yes</v>
      </c>
      <c r="Q2495" s="350" t="str">
        <f t="shared" ca="1" si="77"/>
        <v>OK</v>
      </c>
    </row>
    <row r="2496" spans="1:17">
      <c r="A2496" s="366" t="s">
        <v>4452</v>
      </c>
      <c r="B2496" s="366" t="s">
        <v>231</v>
      </c>
      <c r="C2496" s="348" t="str">
        <f>DATA_PROPERTY_MASTER!$A$12</f>
        <v>BLD_JP</v>
      </c>
      <c r="D2496" s="380">
        <f>'00_PORTFOLIO ROLLUP'!O$12</f>
        <v>2035</v>
      </c>
      <c r="E2496" s="366" t="s">
        <v>1721</v>
      </c>
      <c r="F2496" s="366" t="s">
        <v>31</v>
      </c>
      <c r="G2496" s="348" t="str">
        <f>"'"&amp;$C2496&amp;"'!$E$61:$Y$61"</f>
        <v>'BLD_JP'!$E$61:$Y$61</v>
      </c>
      <c r="H2496" s="381">
        <f ca="1">IF(IFERROR(INDEX(DATA_PROPERTY_MASTER!$E$5:$E$21,MATCH($C2496,DATA_PROPERTY_MASTER!$A$5:$A$21,0))="Yes",FALSE),IFERROR(INDEX(INDIRECT("'"&amp;$C2496&amp;"'!$E$61:$Y$61"),1,MATCH($D2496,INDIRECT("'"&amp;$C2496&amp;"'!$E$12:$Y$12"),0)),0),0)</f>
        <v>0</v>
      </c>
      <c r="I2496" s="366" t="s">
        <v>1690</v>
      </c>
      <c r="J2496" s="348" t="str">
        <f t="shared" ca="1" si="76"/>
        <v>OK</v>
      </c>
      <c r="K2496" s="366" t="s">
        <v>1723</v>
      </c>
      <c r="L2496" s="366" t="s">
        <v>2252</v>
      </c>
      <c r="M2496" s="350" t="str">
        <f>IF($B2496="Portfolio","Portfolio",IFERROR(INDEX(DATA_ASSET_CLASSIFICATION!$B$8:$B$24,MATCH($C2496,DATA_ASSET_CLASSIFICATION!$A$8:$A$24,0)),"Review"))</f>
        <v>Jessica Place</v>
      </c>
      <c r="N2496" s="350" t="str">
        <f ca="1">IF($B2496="Portfolio","Portfolio",IFERROR(INDEX(DATA_ASSET_CLASSIFICATION!$U$8:$U$24,MATCH($C2496,DATA_ASSET_CLASSIFICATION!$A$8:$A$24,0)),"Review"))</f>
        <v>Refi Watch</v>
      </c>
      <c r="O2496" s="350" t="str">
        <f ca="1">IF($B2496="Portfolio","Portfolio",IFERROR(INDEX(DATA_ASSET_CLASSIFICATION!$AB$8:$AB$13,MATCH($N2496,DATA_ASSET_CLASSIFICATION!$AA$8:$AA$13,0)),"Review"))</f>
        <v>Bucket 2 · Legacy</v>
      </c>
      <c r="P2496" s="350" t="str">
        <f>IF($B2496="Portfolio","Portfolio",IFERROR(INDEX(DATA_ASSET_CLASSIFICATION!$C$8:$C$24,MATCH($C2496,DATA_ASSET_CLASSIFICATION!$A$8:$A$24,0)),"Review"))</f>
        <v>Yes</v>
      </c>
      <c r="Q2496" s="350" t="str">
        <f t="shared" ca="1" si="77"/>
        <v>OK</v>
      </c>
    </row>
    <row r="2497" spans="1:17">
      <c r="A2497" s="366" t="s">
        <v>4453</v>
      </c>
      <c r="B2497" s="366" t="s">
        <v>231</v>
      </c>
      <c r="C2497" s="348" t="str">
        <f>DATA_PROPERTY_MASTER!$A$12</f>
        <v>BLD_JP</v>
      </c>
      <c r="D2497" s="380">
        <f>'00_PORTFOLIO ROLLUP'!O$12</f>
        <v>2035</v>
      </c>
      <c r="E2497" s="366" t="s">
        <v>1721</v>
      </c>
      <c r="F2497" s="366" t="s">
        <v>33</v>
      </c>
      <c r="G2497" s="348" t="str">
        <f>"'"&amp;$C2497&amp;"'!$E$62:$Y$62"</f>
        <v>'BLD_JP'!$E$62:$Y$62</v>
      </c>
      <c r="H2497" s="381">
        <f ca="1">IF(IFERROR(INDEX(DATA_PROPERTY_MASTER!$E$5:$E$21,MATCH($C2497,DATA_PROPERTY_MASTER!$A$5:$A$21,0))="Yes",FALSE),IFERROR(INDEX(INDIRECT("'"&amp;$C2497&amp;"'!$E$62:$Y$62"),1,MATCH($D2497,INDIRECT("'"&amp;$C2497&amp;"'!$E$12:$Y$12"),0)),0),0)</f>
        <v>0</v>
      </c>
      <c r="I2497" s="366" t="s">
        <v>1685</v>
      </c>
      <c r="J2497" s="348" t="str">
        <f t="shared" ca="1" si="76"/>
        <v>OK</v>
      </c>
      <c r="K2497" s="366" t="s">
        <v>1727</v>
      </c>
      <c r="L2497" s="366" t="s">
        <v>2254</v>
      </c>
      <c r="M2497" s="350" t="str">
        <f>IF($B2497="Portfolio","Portfolio",IFERROR(INDEX(DATA_ASSET_CLASSIFICATION!$B$8:$B$24,MATCH($C2497,DATA_ASSET_CLASSIFICATION!$A$8:$A$24,0)),"Review"))</f>
        <v>Jessica Place</v>
      </c>
      <c r="N2497" s="350" t="str">
        <f ca="1">IF($B2497="Portfolio","Portfolio",IFERROR(INDEX(DATA_ASSET_CLASSIFICATION!$U$8:$U$24,MATCH($C2497,DATA_ASSET_CLASSIFICATION!$A$8:$A$24,0)),"Review"))</f>
        <v>Refi Watch</v>
      </c>
      <c r="O2497" s="350" t="str">
        <f ca="1">IF($B2497="Portfolio","Portfolio",IFERROR(INDEX(DATA_ASSET_CLASSIFICATION!$AB$8:$AB$13,MATCH($N2497,DATA_ASSET_CLASSIFICATION!$AA$8:$AA$13,0)),"Review"))</f>
        <v>Bucket 2 · Legacy</v>
      </c>
      <c r="P2497" s="350" t="str">
        <f>IF($B2497="Portfolio","Portfolio",IFERROR(INDEX(DATA_ASSET_CLASSIFICATION!$C$8:$C$24,MATCH($C2497,DATA_ASSET_CLASSIFICATION!$A$8:$A$24,0)),"Review"))</f>
        <v>Yes</v>
      </c>
      <c r="Q2497" s="350" t="str">
        <f t="shared" ca="1" si="77"/>
        <v>OK</v>
      </c>
    </row>
    <row r="2498" spans="1:17">
      <c r="A2498" s="366" t="s">
        <v>4454</v>
      </c>
      <c r="B2498" s="366" t="s">
        <v>231</v>
      </c>
      <c r="C2498" s="348" t="str">
        <f>DATA_PROPERTY_MASTER!$A$12</f>
        <v>BLD_JP</v>
      </c>
      <c r="D2498" s="380">
        <f>'00_PORTFOLIO ROLLUP'!O$12</f>
        <v>2035</v>
      </c>
      <c r="E2498" s="366" t="s">
        <v>1721</v>
      </c>
      <c r="F2498" s="366" t="s">
        <v>35</v>
      </c>
      <c r="G2498" s="348" t="str">
        <f>"'"&amp;$C2498&amp;"'!$E$63:$Y$63"</f>
        <v>'BLD_JP'!$E$63:$Y$63</v>
      </c>
      <c r="H2498" s="381">
        <f ca="1">IF(IFERROR(INDEX(DATA_PROPERTY_MASTER!$E$5:$E$21,MATCH($C2498,DATA_PROPERTY_MASTER!$A$5:$A$21,0))="Yes",FALSE),IFERROR(INDEX(INDIRECT("'"&amp;$C2498&amp;"'!$E$63:$Y$63"),1,MATCH($D2498,INDIRECT("'"&amp;$C2498&amp;"'!$E$12:$Y$12"),0)),0),0)</f>
        <v>0</v>
      </c>
      <c r="I2498" s="366" t="s">
        <v>1731</v>
      </c>
      <c r="J2498" s="348" t="str">
        <f t="shared" ca="1" si="76"/>
        <v>OK</v>
      </c>
      <c r="K2498" s="366" t="s">
        <v>1732</v>
      </c>
      <c r="L2498" s="366" t="s">
        <v>2256</v>
      </c>
      <c r="M2498" s="350" t="str">
        <f>IF($B2498="Portfolio","Portfolio",IFERROR(INDEX(DATA_ASSET_CLASSIFICATION!$B$8:$B$24,MATCH($C2498,DATA_ASSET_CLASSIFICATION!$A$8:$A$24,0)),"Review"))</f>
        <v>Jessica Place</v>
      </c>
      <c r="N2498" s="350" t="str">
        <f ca="1">IF($B2498="Portfolio","Portfolio",IFERROR(INDEX(DATA_ASSET_CLASSIFICATION!$U$8:$U$24,MATCH($C2498,DATA_ASSET_CLASSIFICATION!$A$8:$A$24,0)),"Review"))</f>
        <v>Refi Watch</v>
      </c>
      <c r="O2498" s="350" t="str">
        <f ca="1">IF($B2498="Portfolio","Portfolio",IFERROR(INDEX(DATA_ASSET_CLASSIFICATION!$AB$8:$AB$13,MATCH($N2498,DATA_ASSET_CLASSIFICATION!$AA$8:$AA$13,0)),"Review"))</f>
        <v>Bucket 2 · Legacy</v>
      </c>
      <c r="P2498" s="350" t="str">
        <f>IF($B2498="Portfolio","Portfolio",IFERROR(INDEX(DATA_ASSET_CLASSIFICATION!$C$8:$C$24,MATCH($C2498,DATA_ASSET_CLASSIFICATION!$A$8:$A$24,0)),"Review"))</f>
        <v>Yes</v>
      </c>
      <c r="Q2498" s="350" t="str">
        <f t="shared" ca="1" si="77"/>
        <v>OK</v>
      </c>
    </row>
    <row r="2499" spans="1:17">
      <c r="A2499" s="366" t="s">
        <v>4455</v>
      </c>
      <c r="B2499" s="366" t="s">
        <v>231</v>
      </c>
      <c r="C2499" s="348" t="str">
        <f>DATA_PROPERTY_MASTER!$A$12</f>
        <v>BLD_JP</v>
      </c>
      <c r="D2499" s="380">
        <f>'00_PORTFOLIO ROLLUP'!O$12</f>
        <v>2035</v>
      </c>
      <c r="E2499" s="366" t="s">
        <v>1721</v>
      </c>
      <c r="F2499" s="366" t="s">
        <v>37</v>
      </c>
      <c r="G2499" s="348" t="str">
        <f>"'"&amp;$C2499&amp;"'!$E$63:$Y$63"</f>
        <v>'BLD_JP'!$E$63:$Y$63</v>
      </c>
      <c r="H2499" s="381">
        <f ca="1">IF(IFERROR(INDEX(DATA_PROPERTY_MASTER!$E$5:$E$21,MATCH($C2499,DATA_PROPERTY_MASTER!$A$5:$A$21,0))="Yes",FALSE),MAX(IFERROR(INDEX(INDIRECT("'"&amp;$C2499&amp;"'!$E$63:$Y$63"),1,MATCH($D2499,INDIRECT("'"&amp;$C2499&amp;"'!$E$12:$Y$12"),0)),0),0),0)</f>
        <v>0</v>
      </c>
      <c r="I2499" s="366" t="s">
        <v>1685</v>
      </c>
      <c r="J2499" s="348" t="str">
        <f t="shared" ca="1" si="76"/>
        <v>OK</v>
      </c>
      <c r="K2499" s="366" t="s">
        <v>1735</v>
      </c>
      <c r="L2499" s="366" t="s">
        <v>2258</v>
      </c>
      <c r="M2499" s="350" t="str">
        <f>IF($B2499="Portfolio","Portfolio",IFERROR(INDEX(DATA_ASSET_CLASSIFICATION!$B$8:$B$24,MATCH($C2499,DATA_ASSET_CLASSIFICATION!$A$8:$A$24,0)),"Review"))</f>
        <v>Jessica Place</v>
      </c>
      <c r="N2499" s="350" t="str">
        <f ca="1">IF($B2499="Portfolio","Portfolio",IFERROR(INDEX(DATA_ASSET_CLASSIFICATION!$U$8:$U$24,MATCH($C2499,DATA_ASSET_CLASSIFICATION!$A$8:$A$24,0)),"Review"))</f>
        <v>Refi Watch</v>
      </c>
      <c r="O2499" s="350" t="str">
        <f ca="1">IF($B2499="Portfolio","Portfolio",IFERROR(INDEX(DATA_ASSET_CLASSIFICATION!$AB$8:$AB$13,MATCH($N2499,DATA_ASSET_CLASSIFICATION!$AA$8:$AA$13,0)),"Review"))</f>
        <v>Bucket 2 · Legacy</v>
      </c>
      <c r="P2499" s="350" t="str">
        <f>IF($B2499="Portfolio","Portfolio",IFERROR(INDEX(DATA_ASSET_CLASSIFICATION!$C$8:$C$24,MATCH($C2499,DATA_ASSET_CLASSIFICATION!$A$8:$A$24,0)),"Review"))</f>
        <v>Yes</v>
      </c>
      <c r="Q2499" s="350" t="str">
        <f t="shared" ca="1" si="77"/>
        <v>OK</v>
      </c>
    </row>
    <row r="2500" spans="1:17">
      <c r="A2500" s="366" t="s">
        <v>4456</v>
      </c>
      <c r="B2500" s="366" t="s">
        <v>231</v>
      </c>
      <c r="C2500" s="348" t="str">
        <f>DATA_PROPERTY_MASTER!$A$12</f>
        <v>BLD_JP</v>
      </c>
      <c r="D2500" s="380">
        <f>'00_PORTFOLIO ROLLUP'!O$12</f>
        <v>2035</v>
      </c>
      <c r="E2500" s="366" t="s">
        <v>1721</v>
      </c>
      <c r="F2500" s="366" t="s">
        <v>39</v>
      </c>
      <c r="G2500" s="348" t="str">
        <f>"'"&amp;$C2500&amp;"'!$E$63:$Y$63"</f>
        <v>'BLD_JP'!$E$63:$Y$63</v>
      </c>
      <c r="H2500" s="381">
        <f ca="1">IF(IFERROR(INDEX(DATA_PROPERTY_MASTER!$E$5:$E$21,MATCH($C2500,DATA_PROPERTY_MASTER!$A$5:$A$21,0))="Yes",FALSE),MAX(-IFERROR(INDEX(INDIRECT("'"&amp;$C2500&amp;"'!$E$63:$Y$63"),1,MATCH($D2500,INDIRECT("'"&amp;$C2500&amp;"'!$E$12:$Y$12"),0)),0),0),0)</f>
        <v>0</v>
      </c>
      <c r="I2500" s="366" t="s">
        <v>1690</v>
      </c>
      <c r="J2500" s="348" t="str">
        <f t="shared" ca="1" si="76"/>
        <v>OK</v>
      </c>
      <c r="K2500" s="366" t="s">
        <v>1738</v>
      </c>
      <c r="L2500" s="366" t="s">
        <v>2260</v>
      </c>
      <c r="M2500" s="350" t="str">
        <f>IF($B2500="Portfolio","Portfolio",IFERROR(INDEX(DATA_ASSET_CLASSIFICATION!$B$8:$B$24,MATCH($C2500,DATA_ASSET_CLASSIFICATION!$A$8:$A$24,0)),"Review"))</f>
        <v>Jessica Place</v>
      </c>
      <c r="N2500" s="350" t="str">
        <f ca="1">IF($B2500="Portfolio","Portfolio",IFERROR(INDEX(DATA_ASSET_CLASSIFICATION!$U$8:$U$24,MATCH($C2500,DATA_ASSET_CLASSIFICATION!$A$8:$A$24,0)),"Review"))</f>
        <v>Refi Watch</v>
      </c>
      <c r="O2500" s="350" t="str">
        <f ca="1">IF($B2500="Portfolio","Portfolio",IFERROR(INDEX(DATA_ASSET_CLASSIFICATION!$AB$8:$AB$13,MATCH($N2500,DATA_ASSET_CLASSIFICATION!$AA$8:$AA$13,0)),"Review"))</f>
        <v>Bucket 2 · Legacy</v>
      </c>
      <c r="P2500" s="350" t="str">
        <f>IF($B2500="Portfolio","Portfolio",IFERROR(INDEX(DATA_ASSET_CLASSIFICATION!$C$8:$C$24,MATCH($C2500,DATA_ASSET_CLASSIFICATION!$A$8:$A$24,0)),"Review"))</f>
        <v>Yes</v>
      </c>
      <c r="Q2500" s="350" t="str">
        <f t="shared" ca="1" si="77"/>
        <v>OK</v>
      </c>
    </row>
    <row r="2501" spans="1:17">
      <c r="A2501" s="366" t="s">
        <v>4457</v>
      </c>
      <c r="B2501" s="366" t="s">
        <v>231</v>
      </c>
      <c r="C2501" s="348" t="str">
        <f>DATA_PROPERTY_MASTER!$A$12</f>
        <v>BLD_JP</v>
      </c>
      <c r="D2501" s="380">
        <f>'00_PORTFOLIO ROLLUP'!O$12</f>
        <v>2035</v>
      </c>
      <c r="E2501" s="366" t="s">
        <v>1741</v>
      </c>
      <c r="F2501" s="366" t="s">
        <v>41</v>
      </c>
      <c r="G2501" s="348" t="str">
        <f>"'"&amp;$C2501&amp;"'!rows 56 + positive row 63"</f>
        <v>'BLD_JP'!rows 56 + positive row 63</v>
      </c>
      <c r="H2501" s="381">
        <f ca="1">IF(IFERROR(INDEX(DATA_PROPERTY_MASTER!$E$5:$E$21,MATCH($C2501,DATA_PROPERTY_MASTER!$A$5:$A$21,0))="Yes",FALSE),IFERROR(INDEX(INDIRECT("'"&amp;$C2501&amp;"'!$E$56:$Y$56"),1,MATCH($D2501,INDIRECT("'"&amp;$C2501&amp;"'!$E$12:$Y$12"),0)),0)+MAX(IFERROR(INDEX(INDIRECT("'"&amp;$C2501&amp;"'!$E$63:$Y$63"),1,MATCH($D2501,INDIRECT("'"&amp;$C2501&amp;"'!$E$12:$Y$12"),0)),0),0),0)</f>
        <v>91146.862669759925</v>
      </c>
      <c r="I2501" s="366" t="s">
        <v>1685</v>
      </c>
      <c r="J2501" s="348" t="str">
        <f t="shared" ref="J2501:J2564" ca="1" si="78">IF($F2501="Residual Funding Gap",IF($H2501&gt;0,"Funding Gap","OK"),IF(AND($F2501="Net Refinance Position",$H2501&lt;0),"Negative net refi position","OK"))</f>
        <v>OK</v>
      </c>
      <c r="K2501" s="366" t="s">
        <v>1742</v>
      </c>
      <c r="L2501" s="366" t="s">
        <v>2262</v>
      </c>
      <c r="M2501" s="350" t="str">
        <f>IF($B2501="Portfolio","Portfolio",IFERROR(INDEX(DATA_ASSET_CLASSIFICATION!$B$8:$B$24,MATCH($C2501,DATA_ASSET_CLASSIFICATION!$A$8:$A$24,0)),"Review"))</f>
        <v>Jessica Place</v>
      </c>
      <c r="N2501" s="350" t="str">
        <f ca="1">IF($B2501="Portfolio","Portfolio",IFERROR(INDEX(DATA_ASSET_CLASSIFICATION!$U$8:$U$24,MATCH($C2501,DATA_ASSET_CLASSIFICATION!$A$8:$A$24,0)),"Review"))</f>
        <v>Refi Watch</v>
      </c>
      <c r="O2501" s="350" t="str">
        <f ca="1">IF($B2501="Portfolio","Portfolio",IFERROR(INDEX(DATA_ASSET_CLASSIFICATION!$AB$8:$AB$13,MATCH($N2501,DATA_ASSET_CLASSIFICATION!$AA$8:$AA$13,0)),"Review"))</f>
        <v>Bucket 2 · Legacy</v>
      </c>
      <c r="P2501" s="350" t="str">
        <f>IF($B2501="Portfolio","Portfolio",IFERROR(INDEX(DATA_ASSET_CLASSIFICATION!$C$8:$C$24,MATCH($C2501,DATA_ASSET_CLASSIFICATION!$A$8:$A$24,0)),"Review"))</f>
        <v>Yes</v>
      </c>
      <c r="Q2501" s="350" t="str">
        <f t="shared" ref="Q2501:Q2564" ca="1" si="79">IF(AND($B2501="Property",$F2501="Residual Funding Gap",$H2501&gt;0),"Property Funding Gap",IF($J2501&lt;&gt;"OK",$J2501,"OK"))</f>
        <v>OK</v>
      </c>
    </row>
    <row r="2502" spans="1:17">
      <c r="A2502" s="366" t="s">
        <v>4458</v>
      </c>
      <c r="B2502" s="366" t="s">
        <v>231</v>
      </c>
      <c r="C2502" s="348" t="str">
        <f>DATA_PROPERTY_MASTER!$A$12</f>
        <v>BLD_JP</v>
      </c>
      <c r="D2502" s="380">
        <f>'00_PORTFOLIO ROLLUP'!O$12</f>
        <v>2035</v>
      </c>
      <c r="E2502" s="366" t="s">
        <v>1741</v>
      </c>
      <c r="F2502" s="366" t="s">
        <v>43</v>
      </c>
      <c r="G2502" s="348" t="str">
        <f>"'"&amp;$C2502&amp;"'!$E$68:$Y$68"</f>
        <v>'BLD_JP'!$E$68:$Y$68</v>
      </c>
      <c r="H2502" s="381">
        <f ca="1">IF(IFERROR(INDEX(DATA_PROPERTY_MASTER!$E$5:$E$21,MATCH($C2502,DATA_PROPERTY_MASTER!$A$5:$A$21,0))="Yes",FALSE),IFERROR(INDEX(INDIRECT("'"&amp;$C2502&amp;"'!$E$68:$Y$68"),1,MATCH($D2502,INDIRECT("'"&amp;$C2502&amp;"'!$E$12:$Y$12"),0)),0),0)</f>
        <v>91146.862669759925</v>
      </c>
      <c r="I2502" s="366" t="s">
        <v>1731</v>
      </c>
      <c r="J2502" s="348" t="str">
        <f t="shared" ca="1" si="78"/>
        <v>OK</v>
      </c>
      <c r="K2502" s="366" t="s">
        <v>1746</v>
      </c>
      <c r="L2502" s="366" t="s">
        <v>2264</v>
      </c>
      <c r="M2502" s="350" t="str">
        <f>IF($B2502="Portfolio","Portfolio",IFERROR(INDEX(DATA_ASSET_CLASSIFICATION!$B$8:$B$24,MATCH($C2502,DATA_ASSET_CLASSIFICATION!$A$8:$A$24,0)),"Review"))</f>
        <v>Jessica Place</v>
      </c>
      <c r="N2502" s="350" t="str">
        <f ca="1">IF($B2502="Portfolio","Portfolio",IFERROR(INDEX(DATA_ASSET_CLASSIFICATION!$U$8:$U$24,MATCH($C2502,DATA_ASSET_CLASSIFICATION!$A$8:$A$24,0)),"Review"))</f>
        <v>Refi Watch</v>
      </c>
      <c r="O2502" s="350" t="str">
        <f ca="1">IF($B2502="Portfolio","Portfolio",IFERROR(INDEX(DATA_ASSET_CLASSIFICATION!$AB$8:$AB$13,MATCH($N2502,DATA_ASSET_CLASSIFICATION!$AA$8:$AA$13,0)),"Review"))</f>
        <v>Bucket 2 · Legacy</v>
      </c>
      <c r="P2502" s="350" t="str">
        <f>IF($B2502="Portfolio","Portfolio",IFERROR(INDEX(DATA_ASSET_CLASSIFICATION!$C$8:$C$24,MATCH($C2502,DATA_ASSET_CLASSIFICATION!$A$8:$A$24,0)),"Review"))</f>
        <v>Yes</v>
      </c>
      <c r="Q2502" s="350" t="str">
        <f t="shared" ca="1" si="79"/>
        <v>OK</v>
      </c>
    </row>
    <row r="2503" spans="1:17">
      <c r="A2503" s="366" t="s">
        <v>4459</v>
      </c>
      <c r="B2503" s="366" t="s">
        <v>231</v>
      </c>
      <c r="C2503" s="348" t="str">
        <f>DATA_PROPERTY_MASTER!$A$12</f>
        <v>BLD_JP</v>
      </c>
      <c r="D2503" s="380">
        <f>'00_PORTFOLIO ROLLUP'!O$12</f>
        <v>2035</v>
      </c>
      <c r="E2503" s="366" t="s">
        <v>1741</v>
      </c>
      <c r="F2503" s="366" t="s">
        <v>1749</v>
      </c>
      <c r="G2503" s="348" t="str">
        <f>"'"&amp;$C2503&amp;"'!rows 56, 63, 68"</f>
        <v>'BLD_JP'!rows 56, 63, 68</v>
      </c>
      <c r="H2503" s="381">
        <f ca="1">IF(IFERROR(INDEX(DATA_PROPERTY_MASTER!$E$5:$E$21,MATCH($C2503,DATA_PROPERTY_MASTER!$A$5:$A$21,0))="Yes",FALSE),(IFERROR(INDEX(INDIRECT("'"&amp;$C2503&amp;"'!$E$56:$Y$56"),1,MATCH($D2503,INDIRECT("'"&amp;$C2503&amp;"'!$E$12:$Y$12"),0)),0)+MAX(IFERROR(INDEX(INDIRECT("'"&amp;$C2503&amp;"'!$E$63:$Y$63"),1,MATCH($D2503,INDIRECT("'"&amp;$C2503&amp;"'!$E$12:$Y$12"),0)),0),0))-(IFERROR(INDEX(INDIRECT("'"&amp;$C2503&amp;"'!$E$68:$Y$68"),1,MATCH($D2503,INDIRECT("'"&amp;$C2503&amp;"'!$E$12:$Y$12"),0)),0)),0)</f>
        <v>0</v>
      </c>
      <c r="I2503" s="366" t="s">
        <v>1750</v>
      </c>
      <c r="J2503" s="348" t="str">
        <f t="shared" ca="1" si="78"/>
        <v>OK</v>
      </c>
      <c r="K2503" s="366" t="s">
        <v>1751</v>
      </c>
      <c r="L2503" s="366" t="s">
        <v>2266</v>
      </c>
      <c r="M2503" s="350" t="str">
        <f>IF($B2503="Portfolio","Portfolio",IFERROR(INDEX(DATA_ASSET_CLASSIFICATION!$B$8:$B$24,MATCH($C2503,DATA_ASSET_CLASSIFICATION!$A$8:$A$24,0)),"Review"))</f>
        <v>Jessica Place</v>
      </c>
      <c r="N2503" s="350" t="str">
        <f ca="1">IF($B2503="Portfolio","Portfolio",IFERROR(INDEX(DATA_ASSET_CLASSIFICATION!$U$8:$U$24,MATCH($C2503,DATA_ASSET_CLASSIFICATION!$A$8:$A$24,0)),"Review"))</f>
        <v>Refi Watch</v>
      </c>
      <c r="O2503" s="350" t="str">
        <f ca="1">IF($B2503="Portfolio","Portfolio",IFERROR(INDEX(DATA_ASSET_CLASSIFICATION!$AB$8:$AB$13,MATCH($N2503,DATA_ASSET_CLASSIFICATION!$AA$8:$AA$13,0)),"Review"))</f>
        <v>Bucket 2 · Legacy</v>
      </c>
      <c r="P2503" s="350" t="str">
        <f>IF($B2503="Portfolio","Portfolio",IFERROR(INDEX(DATA_ASSET_CLASSIFICATION!$C$8:$C$24,MATCH($C2503,DATA_ASSET_CLASSIFICATION!$A$8:$A$24,0)),"Review"))</f>
        <v>Yes</v>
      </c>
      <c r="Q2503" s="350" t="str">
        <f t="shared" ca="1" si="79"/>
        <v>OK</v>
      </c>
    </row>
    <row r="2504" spans="1:17">
      <c r="A2504" s="366" t="s">
        <v>4460</v>
      </c>
      <c r="B2504" s="366" t="s">
        <v>231</v>
      </c>
      <c r="C2504" s="348" t="str">
        <f>DATA_PROPERTY_MASTER!$A$12</f>
        <v>BLD_JP</v>
      </c>
      <c r="D2504" s="380">
        <f>'00_PORTFOLIO ROLLUP'!P$12</f>
        <v>2036</v>
      </c>
      <c r="E2504" s="366" t="s">
        <v>1683</v>
      </c>
      <c r="F2504" s="366" t="s">
        <v>341</v>
      </c>
      <c r="G2504" s="348" t="str">
        <f>"'"&amp;$C2504&amp;"'!$E$24:$Y$24"</f>
        <v>'BLD_JP'!$E$24:$Y$24</v>
      </c>
      <c r="H2504" s="381">
        <f ca="1">IF(IFERROR(INDEX(DATA_PROPERTY_MASTER!$E$5:$E$21,MATCH($C2504,DATA_PROPERTY_MASTER!$A$5:$A$21,0))="Yes",FALSE),IFERROR(INDEX(INDIRECT("'"&amp;$C2504&amp;"'!$E$24:$Y$24"),1,MATCH($D2504,INDIRECT("'"&amp;$C2504&amp;"'!$E$12:$Y$12"),0)),0),0)</f>
        <v>611432.10131152079</v>
      </c>
      <c r="I2504" s="366" t="s">
        <v>1685</v>
      </c>
      <c r="J2504" s="348" t="str">
        <f t="shared" ca="1" si="78"/>
        <v>OK</v>
      </c>
      <c r="K2504" s="366" t="s">
        <v>1686</v>
      </c>
      <c r="L2504" s="366" t="s">
        <v>2234</v>
      </c>
      <c r="M2504" s="350" t="str">
        <f>IF($B2504="Portfolio","Portfolio",IFERROR(INDEX(DATA_ASSET_CLASSIFICATION!$B$8:$B$24,MATCH($C2504,DATA_ASSET_CLASSIFICATION!$A$8:$A$24,0)),"Review"))</f>
        <v>Jessica Place</v>
      </c>
      <c r="N2504" s="350" t="str">
        <f ca="1">IF($B2504="Portfolio","Portfolio",IFERROR(INDEX(DATA_ASSET_CLASSIFICATION!$U$8:$U$24,MATCH($C2504,DATA_ASSET_CLASSIFICATION!$A$8:$A$24,0)),"Review"))</f>
        <v>Refi Watch</v>
      </c>
      <c r="O2504" s="350" t="str">
        <f ca="1">IF($B2504="Portfolio","Portfolio",IFERROR(INDEX(DATA_ASSET_CLASSIFICATION!$AB$8:$AB$13,MATCH($N2504,DATA_ASSET_CLASSIFICATION!$AA$8:$AA$13,0)),"Review"))</f>
        <v>Bucket 2 · Legacy</v>
      </c>
      <c r="P2504" s="350" t="str">
        <f>IF($B2504="Portfolio","Portfolio",IFERROR(INDEX(DATA_ASSET_CLASSIFICATION!$C$8:$C$24,MATCH($C2504,DATA_ASSET_CLASSIFICATION!$A$8:$A$24,0)),"Review"))</f>
        <v>Yes</v>
      </c>
      <c r="Q2504" s="350" t="str">
        <f t="shared" ca="1" si="79"/>
        <v>OK</v>
      </c>
    </row>
    <row r="2505" spans="1:17">
      <c r="A2505" s="366" t="s">
        <v>4461</v>
      </c>
      <c r="B2505" s="366" t="s">
        <v>231</v>
      </c>
      <c r="C2505" s="348" t="str">
        <f>DATA_PROPERTY_MASTER!$A$12</f>
        <v>BLD_JP</v>
      </c>
      <c r="D2505" s="380">
        <f>'00_PORTFOLIO ROLLUP'!P$12</f>
        <v>2036</v>
      </c>
      <c r="E2505" s="366" t="s">
        <v>1683</v>
      </c>
      <c r="F2505" s="366" t="s">
        <v>355</v>
      </c>
      <c r="G2505" s="348" t="str">
        <f>"'"&amp;$C2505&amp;"'!$E$39:$Y$39"</f>
        <v>'BLD_JP'!$E$39:$Y$39</v>
      </c>
      <c r="H2505" s="381">
        <f ca="1">IF(IFERROR(INDEX(DATA_PROPERTY_MASTER!$E$5:$E$21,MATCH($C2505,DATA_PROPERTY_MASTER!$A$5:$A$21,0))="Yes",FALSE),IFERROR(INDEX(INDIRECT("'"&amp;$C2505&amp;"'!$E$39:$Y$39"),1,MATCH($D2505,INDIRECT("'"&amp;$C2505&amp;"'!$E$12:$Y$12"),0)),0),0)</f>
        <v>380865.48190316086</v>
      </c>
      <c r="I2505" s="366" t="s">
        <v>1690</v>
      </c>
      <c r="J2505" s="348" t="str">
        <f t="shared" ca="1" si="78"/>
        <v>OK</v>
      </c>
      <c r="K2505" s="366" t="s">
        <v>1686</v>
      </c>
      <c r="L2505" s="366" t="s">
        <v>2236</v>
      </c>
      <c r="M2505" s="350" t="str">
        <f>IF($B2505="Portfolio","Portfolio",IFERROR(INDEX(DATA_ASSET_CLASSIFICATION!$B$8:$B$24,MATCH($C2505,DATA_ASSET_CLASSIFICATION!$A$8:$A$24,0)),"Review"))</f>
        <v>Jessica Place</v>
      </c>
      <c r="N2505" s="350" t="str">
        <f ca="1">IF($B2505="Portfolio","Portfolio",IFERROR(INDEX(DATA_ASSET_CLASSIFICATION!$U$8:$U$24,MATCH($C2505,DATA_ASSET_CLASSIFICATION!$A$8:$A$24,0)),"Review"))</f>
        <v>Refi Watch</v>
      </c>
      <c r="O2505" s="350" t="str">
        <f ca="1">IF($B2505="Portfolio","Portfolio",IFERROR(INDEX(DATA_ASSET_CLASSIFICATION!$AB$8:$AB$13,MATCH($N2505,DATA_ASSET_CLASSIFICATION!$AA$8:$AA$13,0)),"Review"))</f>
        <v>Bucket 2 · Legacy</v>
      </c>
      <c r="P2505" s="350" t="str">
        <f>IF($B2505="Portfolio","Portfolio",IFERROR(INDEX(DATA_ASSET_CLASSIFICATION!$C$8:$C$24,MATCH($C2505,DATA_ASSET_CLASSIFICATION!$A$8:$A$24,0)),"Review"))</f>
        <v>Yes</v>
      </c>
      <c r="Q2505" s="350" t="str">
        <f t="shared" ca="1" si="79"/>
        <v>OK</v>
      </c>
    </row>
    <row r="2506" spans="1:17">
      <c r="A2506" s="366" t="s">
        <v>4462</v>
      </c>
      <c r="B2506" s="366" t="s">
        <v>231</v>
      </c>
      <c r="C2506" s="348" t="str">
        <f>DATA_PROPERTY_MASTER!$A$12</f>
        <v>BLD_JP</v>
      </c>
      <c r="D2506" s="380">
        <f>'00_PORTFOLIO ROLLUP'!P$12</f>
        <v>2036</v>
      </c>
      <c r="E2506" s="366" t="s">
        <v>1683</v>
      </c>
      <c r="F2506" s="366" t="s">
        <v>19</v>
      </c>
      <c r="G2506" s="348" t="str">
        <f>"'"&amp;$C2506&amp;"'!$E$41:$Y$41"</f>
        <v>'BLD_JP'!$E$41:$Y$41</v>
      </c>
      <c r="H2506" s="381">
        <f ca="1">IF(IFERROR(INDEX(DATA_PROPERTY_MASTER!$E$5:$E$21,MATCH($C2506,DATA_PROPERTY_MASTER!$A$5:$A$21,0))="Yes",FALSE),IFERROR(INDEX(INDIRECT("'"&amp;$C2506&amp;"'!$E$41:$Y$41"),1,MATCH($D2506,INDIRECT("'"&amp;$C2506&amp;"'!$E$12:$Y$12"),0)),0),0)</f>
        <v>230566.61940835993</v>
      </c>
      <c r="I2506" s="366" t="s">
        <v>1685</v>
      </c>
      <c r="J2506" s="348" t="str">
        <f t="shared" ca="1" si="78"/>
        <v>OK</v>
      </c>
      <c r="K2506" s="366" t="s">
        <v>1694</v>
      </c>
      <c r="L2506" s="366" t="s">
        <v>2238</v>
      </c>
      <c r="M2506" s="350" t="str">
        <f>IF($B2506="Portfolio","Portfolio",IFERROR(INDEX(DATA_ASSET_CLASSIFICATION!$B$8:$B$24,MATCH($C2506,DATA_ASSET_CLASSIFICATION!$A$8:$A$24,0)),"Review"))</f>
        <v>Jessica Place</v>
      </c>
      <c r="N2506" s="350" t="str">
        <f ca="1">IF($B2506="Portfolio","Portfolio",IFERROR(INDEX(DATA_ASSET_CLASSIFICATION!$U$8:$U$24,MATCH($C2506,DATA_ASSET_CLASSIFICATION!$A$8:$A$24,0)),"Review"))</f>
        <v>Refi Watch</v>
      </c>
      <c r="O2506" s="350" t="str">
        <f ca="1">IF($B2506="Portfolio","Portfolio",IFERROR(INDEX(DATA_ASSET_CLASSIFICATION!$AB$8:$AB$13,MATCH($N2506,DATA_ASSET_CLASSIFICATION!$AA$8:$AA$13,0)),"Review"))</f>
        <v>Bucket 2 · Legacy</v>
      </c>
      <c r="P2506" s="350" t="str">
        <f>IF($B2506="Portfolio","Portfolio",IFERROR(INDEX(DATA_ASSET_CLASSIFICATION!$C$8:$C$24,MATCH($C2506,DATA_ASSET_CLASSIFICATION!$A$8:$A$24,0)),"Review"))</f>
        <v>Yes</v>
      </c>
      <c r="Q2506" s="350" t="str">
        <f t="shared" ca="1" si="79"/>
        <v>OK</v>
      </c>
    </row>
    <row r="2507" spans="1:17">
      <c r="A2507" s="366" t="s">
        <v>4463</v>
      </c>
      <c r="B2507" s="366" t="s">
        <v>231</v>
      </c>
      <c r="C2507" s="348" t="str">
        <f>DATA_PROPERTY_MASTER!$A$12</f>
        <v>BLD_JP</v>
      </c>
      <c r="D2507" s="380">
        <f>'00_PORTFOLIO ROLLUP'!P$12</f>
        <v>2036</v>
      </c>
      <c r="E2507" s="366" t="s">
        <v>1683</v>
      </c>
      <c r="F2507" s="366" t="s">
        <v>1697</v>
      </c>
      <c r="G2507" s="348" t="str">
        <f>"'"&amp;$C2507&amp;"'!$E$44:$Y$44"</f>
        <v>'BLD_JP'!$E$44:$Y$44</v>
      </c>
      <c r="H2507" s="381">
        <f ca="1">IF(IFERROR(INDEX(DATA_PROPERTY_MASTER!$E$5:$E$21,MATCH($C2507,DATA_PROPERTY_MASTER!$A$5:$A$21,0))="Yes",FALSE),IFERROR(INDEX(INDIRECT("'"&amp;$C2507&amp;"'!$E$44:$Y$44"),1,MATCH($D2507,INDIRECT("'"&amp;$C2507&amp;"'!$E$12:$Y$12"),0)),0),0)</f>
        <v>7460.2458503679118</v>
      </c>
      <c r="I2507" s="366" t="s">
        <v>1690</v>
      </c>
      <c r="J2507" s="348" t="str">
        <f t="shared" ca="1" si="78"/>
        <v>OK</v>
      </c>
      <c r="K2507" s="366" t="s">
        <v>1699</v>
      </c>
      <c r="L2507" s="366" t="s">
        <v>2240</v>
      </c>
      <c r="M2507" s="350" t="str">
        <f>IF($B2507="Portfolio","Portfolio",IFERROR(INDEX(DATA_ASSET_CLASSIFICATION!$B$8:$B$24,MATCH($C2507,DATA_ASSET_CLASSIFICATION!$A$8:$A$24,0)),"Review"))</f>
        <v>Jessica Place</v>
      </c>
      <c r="N2507" s="350" t="str">
        <f ca="1">IF($B2507="Portfolio","Portfolio",IFERROR(INDEX(DATA_ASSET_CLASSIFICATION!$U$8:$U$24,MATCH($C2507,DATA_ASSET_CLASSIFICATION!$A$8:$A$24,0)),"Review"))</f>
        <v>Refi Watch</v>
      </c>
      <c r="O2507" s="350" t="str">
        <f ca="1">IF($B2507="Portfolio","Portfolio",IFERROR(INDEX(DATA_ASSET_CLASSIFICATION!$AB$8:$AB$13,MATCH($N2507,DATA_ASSET_CLASSIFICATION!$AA$8:$AA$13,0)),"Review"))</f>
        <v>Bucket 2 · Legacy</v>
      </c>
      <c r="P2507" s="350" t="str">
        <f>IF($B2507="Portfolio","Portfolio",IFERROR(INDEX(DATA_ASSET_CLASSIFICATION!$C$8:$C$24,MATCH($C2507,DATA_ASSET_CLASSIFICATION!$A$8:$A$24,0)),"Review"))</f>
        <v>Yes</v>
      </c>
      <c r="Q2507" s="350" t="str">
        <f t="shared" ca="1" si="79"/>
        <v>OK</v>
      </c>
    </row>
    <row r="2508" spans="1:17">
      <c r="A2508" s="366" t="s">
        <v>4464</v>
      </c>
      <c r="B2508" s="366" t="s">
        <v>231</v>
      </c>
      <c r="C2508" s="348" t="str">
        <f>DATA_PROPERTY_MASTER!$A$12</f>
        <v>BLD_JP</v>
      </c>
      <c r="D2508" s="380">
        <f>'00_PORTFOLIO ROLLUP'!P$12</f>
        <v>2036</v>
      </c>
      <c r="E2508" s="366" t="s">
        <v>1683</v>
      </c>
      <c r="F2508" s="366" t="s">
        <v>21</v>
      </c>
      <c r="G2508" s="348" t="str">
        <f>"'"&amp;$C2508&amp;"'!$E$45:$Y$45"</f>
        <v>'BLD_JP'!$E$45:$Y$45</v>
      </c>
      <c r="H2508" s="381">
        <f ca="1">IF(IFERROR(INDEX(DATA_PROPERTY_MASTER!$E$5:$E$21,MATCH($C2508,DATA_PROPERTY_MASTER!$A$5:$A$21,0))="Yes",FALSE),IFERROR(INDEX(INDIRECT("'"&amp;$C2508&amp;"'!$E$45:$Y$45"),1,MATCH($D2508,INDIRECT("'"&amp;$C2508&amp;"'!$E$12:$Y$12"),0)),0),0)</f>
        <v>223106.37355799202</v>
      </c>
      <c r="I2508" s="366" t="s">
        <v>1685</v>
      </c>
      <c r="J2508" s="348" t="str">
        <f t="shared" ca="1" si="78"/>
        <v>OK</v>
      </c>
      <c r="K2508" s="366" t="s">
        <v>1694</v>
      </c>
      <c r="L2508" s="366" t="s">
        <v>2242</v>
      </c>
      <c r="M2508" s="350" t="str">
        <f>IF($B2508="Portfolio","Portfolio",IFERROR(INDEX(DATA_ASSET_CLASSIFICATION!$B$8:$B$24,MATCH($C2508,DATA_ASSET_CLASSIFICATION!$A$8:$A$24,0)),"Review"))</f>
        <v>Jessica Place</v>
      </c>
      <c r="N2508" s="350" t="str">
        <f ca="1">IF($B2508="Portfolio","Portfolio",IFERROR(INDEX(DATA_ASSET_CLASSIFICATION!$U$8:$U$24,MATCH($C2508,DATA_ASSET_CLASSIFICATION!$A$8:$A$24,0)),"Review"))</f>
        <v>Refi Watch</v>
      </c>
      <c r="O2508" s="350" t="str">
        <f ca="1">IF($B2508="Portfolio","Portfolio",IFERROR(INDEX(DATA_ASSET_CLASSIFICATION!$AB$8:$AB$13,MATCH($N2508,DATA_ASSET_CLASSIFICATION!$AA$8:$AA$13,0)),"Review"))</f>
        <v>Bucket 2 · Legacy</v>
      </c>
      <c r="P2508" s="350" t="str">
        <f>IF($B2508="Portfolio","Portfolio",IFERROR(INDEX(DATA_ASSET_CLASSIFICATION!$C$8:$C$24,MATCH($C2508,DATA_ASSET_CLASSIFICATION!$A$8:$A$24,0)),"Review"))</f>
        <v>Yes</v>
      </c>
      <c r="Q2508" s="350" t="str">
        <f t="shared" ca="1" si="79"/>
        <v>OK</v>
      </c>
    </row>
    <row r="2509" spans="1:17">
      <c r="A2509" s="366" t="s">
        <v>4465</v>
      </c>
      <c r="B2509" s="366" t="s">
        <v>231</v>
      </c>
      <c r="C2509" s="348" t="str">
        <f>DATA_PROPERTY_MASTER!$A$12</f>
        <v>BLD_JP</v>
      </c>
      <c r="D2509" s="380">
        <f>'00_PORTFOLIO ROLLUP'!P$12</f>
        <v>2036</v>
      </c>
      <c r="E2509" s="366" t="s">
        <v>23</v>
      </c>
      <c r="F2509" s="366" t="s">
        <v>23</v>
      </c>
      <c r="G2509" s="348" t="str">
        <f>"'"&amp;$C2509&amp;"'!$E$48:$Y$48"</f>
        <v>'BLD_JP'!$E$48:$Y$48</v>
      </c>
      <c r="H2509" s="381">
        <f ca="1">IF(IFERROR(INDEX(DATA_PROPERTY_MASTER!$E$5:$E$21,MATCH($C2509,DATA_PROPERTY_MASTER!$A$5:$A$21,0))="Yes",FALSE),IFERROR(INDEX(INDIRECT("'"&amp;$C2509&amp;"'!$E$48:$Y$48"),1,MATCH($D2509,INDIRECT("'"&amp;$C2509&amp;"'!$E$12:$Y$12"),0)),0),0)</f>
        <v>0</v>
      </c>
      <c r="I2509" s="366" t="s">
        <v>1690</v>
      </c>
      <c r="J2509" s="348" t="str">
        <f t="shared" ca="1" si="78"/>
        <v>OK</v>
      </c>
      <c r="K2509" s="366" t="s">
        <v>1706</v>
      </c>
      <c r="L2509" s="366" t="s">
        <v>2244</v>
      </c>
      <c r="M2509" s="350" t="str">
        <f>IF($B2509="Portfolio","Portfolio",IFERROR(INDEX(DATA_ASSET_CLASSIFICATION!$B$8:$B$24,MATCH($C2509,DATA_ASSET_CLASSIFICATION!$A$8:$A$24,0)),"Review"))</f>
        <v>Jessica Place</v>
      </c>
      <c r="N2509" s="350" t="str">
        <f ca="1">IF($B2509="Portfolio","Portfolio",IFERROR(INDEX(DATA_ASSET_CLASSIFICATION!$U$8:$U$24,MATCH($C2509,DATA_ASSET_CLASSIFICATION!$A$8:$A$24,0)),"Review"))</f>
        <v>Refi Watch</v>
      </c>
      <c r="O2509" s="350" t="str">
        <f ca="1">IF($B2509="Portfolio","Portfolio",IFERROR(INDEX(DATA_ASSET_CLASSIFICATION!$AB$8:$AB$13,MATCH($N2509,DATA_ASSET_CLASSIFICATION!$AA$8:$AA$13,0)),"Review"))</f>
        <v>Bucket 2 · Legacy</v>
      </c>
      <c r="P2509" s="350" t="str">
        <f>IF($B2509="Portfolio","Portfolio",IFERROR(INDEX(DATA_ASSET_CLASSIFICATION!$C$8:$C$24,MATCH($C2509,DATA_ASSET_CLASSIFICATION!$A$8:$A$24,0)),"Review"))</f>
        <v>Yes</v>
      </c>
      <c r="Q2509" s="350" t="str">
        <f t="shared" ca="1" si="79"/>
        <v>OK</v>
      </c>
    </row>
    <row r="2510" spans="1:17">
      <c r="A2510" s="366" t="s">
        <v>4466</v>
      </c>
      <c r="B2510" s="366" t="s">
        <v>231</v>
      </c>
      <c r="C2510" s="348" t="str">
        <f>DATA_PROPERTY_MASTER!$A$12</f>
        <v>BLD_JP</v>
      </c>
      <c r="D2510" s="380">
        <f>'00_PORTFOLIO ROLLUP'!P$12</f>
        <v>2036</v>
      </c>
      <c r="E2510" s="366" t="s">
        <v>1683</v>
      </c>
      <c r="F2510" s="366" t="s">
        <v>25</v>
      </c>
      <c r="G2510" s="348" t="str">
        <f>"'"&amp;$C2510&amp;"'!$E$52:$Y$52"</f>
        <v>'BLD_JP'!$E$52:$Y$52</v>
      </c>
      <c r="H2510" s="381">
        <f ca="1">IF(IFERROR(INDEX(DATA_PROPERTY_MASTER!$E$5:$E$21,MATCH($C2510,DATA_PROPERTY_MASTER!$A$5:$A$21,0))="Yes",FALSE),IFERROR(INDEX(INDIRECT("'"&amp;$C2510&amp;"'!$E$52:$Y$52"),1,MATCH($D2510,INDIRECT("'"&amp;$C2510&amp;"'!$E$12:$Y$12"),0)),0),0)</f>
        <v>230566.61940835993</v>
      </c>
      <c r="I2510" s="366" t="s">
        <v>1685</v>
      </c>
      <c r="J2510" s="348" t="str">
        <f t="shared" ca="1" si="78"/>
        <v>OK</v>
      </c>
      <c r="K2510" s="366" t="s">
        <v>1710</v>
      </c>
      <c r="L2510" s="366" t="s">
        <v>2246</v>
      </c>
      <c r="M2510" s="350" t="str">
        <f>IF($B2510="Portfolio","Portfolio",IFERROR(INDEX(DATA_ASSET_CLASSIFICATION!$B$8:$B$24,MATCH($C2510,DATA_ASSET_CLASSIFICATION!$A$8:$A$24,0)),"Review"))</f>
        <v>Jessica Place</v>
      </c>
      <c r="N2510" s="350" t="str">
        <f ca="1">IF($B2510="Portfolio","Portfolio",IFERROR(INDEX(DATA_ASSET_CLASSIFICATION!$U$8:$U$24,MATCH($C2510,DATA_ASSET_CLASSIFICATION!$A$8:$A$24,0)),"Review"))</f>
        <v>Refi Watch</v>
      </c>
      <c r="O2510" s="350" t="str">
        <f ca="1">IF($B2510="Portfolio","Portfolio",IFERROR(INDEX(DATA_ASSET_CLASSIFICATION!$AB$8:$AB$13,MATCH($N2510,DATA_ASSET_CLASSIFICATION!$AA$8:$AA$13,0)),"Review"))</f>
        <v>Bucket 2 · Legacy</v>
      </c>
      <c r="P2510" s="350" t="str">
        <f>IF($B2510="Portfolio","Portfolio",IFERROR(INDEX(DATA_ASSET_CLASSIFICATION!$C$8:$C$24,MATCH($C2510,DATA_ASSET_CLASSIFICATION!$A$8:$A$24,0)),"Review"))</f>
        <v>Yes</v>
      </c>
      <c r="Q2510" s="350" t="str">
        <f t="shared" ca="1" si="79"/>
        <v>OK</v>
      </c>
    </row>
    <row r="2511" spans="1:17">
      <c r="A2511" s="366" t="s">
        <v>4467</v>
      </c>
      <c r="B2511" s="366" t="s">
        <v>231</v>
      </c>
      <c r="C2511" s="348" t="str">
        <f>DATA_PROPERTY_MASTER!$A$12</f>
        <v>BLD_JP</v>
      </c>
      <c r="D2511" s="380">
        <f>'00_PORTFOLIO ROLLUP'!P$12</f>
        <v>2036</v>
      </c>
      <c r="E2511" s="366" t="s">
        <v>1683</v>
      </c>
      <c r="F2511" s="366" t="s">
        <v>27</v>
      </c>
      <c r="G2511" s="348" t="str">
        <f>"'"&amp;$C2511&amp;"'!$E$54:$Y$54"</f>
        <v>'BLD_JP'!$E$54:$Y$54</v>
      </c>
      <c r="H2511" s="381">
        <f ca="1">IF(IFERROR(INDEX(DATA_PROPERTY_MASTER!$E$5:$E$21,MATCH($C2511,DATA_PROPERTY_MASTER!$A$5:$A$21,0))="Yes",FALSE),IFERROR(INDEX(INDIRECT("'"&amp;$C2511&amp;"'!$E$54:$Y$54"),1,MATCH($D2511,INDIRECT("'"&amp;$C2511&amp;"'!$E$12:$Y$12"),0)),0),0)</f>
        <v>138339.97164501596</v>
      </c>
      <c r="I2511" s="366" t="s">
        <v>1690</v>
      </c>
      <c r="J2511" s="348" t="str">
        <f t="shared" ca="1" si="78"/>
        <v>OK</v>
      </c>
      <c r="K2511" s="366" t="s">
        <v>1714</v>
      </c>
      <c r="L2511" s="366" t="s">
        <v>2248</v>
      </c>
      <c r="M2511" s="350" t="str">
        <f>IF($B2511="Portfolio","Portfolio",IFERROR(INDEX(DATA_ASSET_CLASSIFICATION!$B$8:$B$24,MATCH($C2511,DATA_ASSET_CLASSIFICATION!$A$8:$A$24,0)),"Review"))</f>
        <v>Jessica Place</v>
      </c>
      <c r="N2511" s="350" t="str">
        <f ca="1">IF($B2511="Portfolio","Portfolio",IFERROR(INDEX(DATA_ASSET_CLASSIFICATION!$U$8:$U$24,MATCH($C2511,DATA_ASSET_CLASSIFICATION!$A$8:$A$24,0)),"Review"))</f>
        <v>Refi Watch</v>
      </c>
      <c r="O2511" s="350" t="str">
        <f ca="1">IF($B2511="Portfolio","Portfolio",IFERROR(INDEX(DATA_ASSET_CLASSIFICATION!$AB$8:$AB$13,MATCH($N2511,DATA_ASSET_CLASSIFICATION!$AA$8:$AA$13,0)),"Review"))</f>
        <v>Bucket 2 · Legacy</v>
      </c>
      <c r="P2511" s="350" t="str">
        <f>IF($B2511="Portfolio","Portfolio",IFERROR(INDEX(DATA_ASSET_CLASSIFICATION!$C$8:$C$24,MATCH($C2511,DATA_ASSET_CLASSIFICATION!$A$8:$A$24,0)),"Review"))</f>
        <v>Yes</v>
      </c>
      <c r="Q2511" s="350" t="str">
        <f t="shared" ca="1" si="79"/>
        <v>OK</v>
      </c>
    </row>
    <row r="2512" spans="1:17">
      <c r="A2512" s="366" t="s">
        <v>4468</v>
      </c>
      <c r="B2512" s="366" t="s">
        <v>231</v>
      </c>
      <c r="C2512" s="348" t="str">
        <f>DATA_PROPERTY_MASTER!$A$12</f>
        <v>BLD_JP</v>
      </c>
      <c r="D2512" s="380">
        <f>'00_PORTFOLIO ROLLUP'!P$12</f>
        <v>2036</v>
      </c>
      <c r="E2512" s="366" t="s">
        <v>1683</v>
      </c>
      <c r="F2512" s="366" t="s">
        <v>29</v>
      </c>
      <c r="G2512" s="348" t="str">
        <f>"'"&amp;$C2512&amp;"'!$E$56:$Y$56"</f>
        <v>'BLD_JP'!$E$56:$Y$56</v>
      </c>
      <c r="H2512" s="381">
        <f ca="1">IF(IFERROR(INDEX(DATA_PROPERTY_MASTER!$E$5:$E$21,MATCH($C2512,DATA_PROPERTY_MASTER!$A$5:$A$21,0))="Yes",FALSE),IFERROR(INDEX(INDIRECT("'"&amp;$C2512&amp;"'!$E$56:$Y$56"),1,MATCH($D2512,INDIRECT("'"&amp;$C2512&amp;"'!$E$12:$Y$12"),0)),0),0)</f>
        <v>92226.647763343964</v>
      </c>
      <c r="I2512" s="366" t="s">
        <v>1685</v>
      </c>
      <c r="J2512" s="348" t="str">
        <f t="shared" ca="1" si="78"/>
        <v>OK</v>
      </c>
      <c r="K2512" s="366" t="s">
        <v>1718</v>
      </c>
      <c r="L2512" s="366" t="s">
        <v>2250</v>
      </c>
      <c r="M2512" s="350" t="str">
        <f>IF($B2512="Portfolio","Portfolio",IFERROR(INDEX(DATA_ASSET_CLASSIFICATION!$B$8:$B$24,MATCH($C2512,DATA_ASSET_CLASSIFICATION!$A$8:$A$24,0)),"Review"))</f>
        <v>Jessica Place</v>
      </c>
      <c r="N2512" s="350" t="str">
        <f ca="1">IF($B2512="Portfolio","Portfolio",IFERROR(INDEX(DATA_ASSET_CLASSIFICATION!$U$8:$U$24,MATCH($C2512,DATA_ASSET_CLASSIFICATION!$A$8:$A$24,0)),"Review"))</f>
        <v>Refi Watch</v>
      </c>
      <c r="O2512" s="350" t="str">
        <f ca="1">IF($B2512="Portfolio","Portfolio",IFERROR(INDEX(DATA_ASSET_CLASSIFICATION!$AB$8:$AB$13,MATCH($N2512,DATA_ASSET_CLASSIFICATION!$AA$8:$AA$13,0)),"Review"))</f>
        <v>Bucket 2 · Legacy</v>
      </c>
      <c r="P2512" s="350" t="str">
        <f>IF($B2512="Portfolio","Portfolio",IFERROR(INDEX(DATA_ASSET_CLASSIFICATION!$C$8:$C$24,MATCH($C2512,DATA_ASSET_CLASSIFICATION!$A$8:$A$24,0)),"Review"))</f>
        <v>Yes</v>
      </c>
      <c r="Q2512" s="350" t="str">
        <f t="shared" ca="1" si="79"/>
        <v>OK</v>
      </c>
    </row>
    <row r="2513" spans="1:17">
      <c r="A2513" s="366" t="s">
        <v>4469</v>
      </c>
      <c r="B2513" s="366" t="s">
        <v>231</v>
      </c>
      <c r="C2513" s="348" t="str">
        <f>DATA_PROPERTY_MASTER!$A$12</f>
        <v>BLD_JP</v>
      </c>
      <c r="D2513" s="380">
        <f>'00_PORTFOLIO ROLLUP'!P$12</f>
        <v>2036</v>
      </c>
      <c r="E2513" s="366" t="s">
        <v>1721</v>
      </c>
      <c r="F2513" s="366" t="s">
        <v>31</v>
      </c>
      <c r="G2513" s="348" t="str">
        <f>"'"&amp;$C2513&amp;"'!$E$61:$Y$61"</f>
        <v>'BLD_JP'!$E$61:$Y$61</v>
      </c>
      <c r="H2513" s="381">
        <f ca="1">IF(IFERROR(INDEX(DATA_PROPERTY_MASTER!$E$5:$E$21,MATCH($C2513,DATA_PROPERTY_MASTER!$A$5:$A$21,0))="Yes",FALSE),IFERROR(INDEX(INDIRECT("'"&amp;$C2513&amp;"'!$E$61:$Y$61"),1,MATCH($D2513,INDIRECT("'"&amp;$C2513&amp;"'!$E$12:$Y$12"),0)),0),0)</f>
        <v>0</v>
      </c>
      <c r="I2513" s="366" t="s">
        <v>1690</v>
      </c>
      <c r="J2513" s="348" t="str">
        <f t="shared" ca="1" si="78"/>
        <v>OK</v>
      </c>
      <c r="K2513" s="366" t="s">
        <v>1723</v>
      </c>
      <c r="L2513" s="366" t="s">
        <v>2252</v>
      </c>
      <c r="M2513" s="350" t="str">
        <f>IF($B2513="Portfolio","Portfolio",IFERROR(INDEX(DATA_ASSET_CLASSIFICATION!$B$8:$B$24,MATCH($C2513,DATA_ASSET_CLASSIFICATION!$A$8:$A$24,0)),"Review"))</f>
        <v>Jessica Place</v>
      </c>
      <c r="N2513" s="350" t="str">
        <f ca="1">IF($B2513="Portfolio","Portfolio",IFERROR(INDEX(DATA_ASSET_CLASSIFICATION!$U$8:$U$24,MATCH($C2513,DATA_ASSET_CLASSIFICATION!$A$8:$A$24,0)),"Review"))</f>
        <v>Refi Watch</v>
      </c>
      <c r="O2513" s="350" t="str">
        <f ca="1">IF($B2513="Portfolio","Portfolio",IFERROR(INDEX(DATA_ASSET_CLASSIFICATION!$AB$8:$AB$13,MATCH($N2513,DATA_ASSET_CLASSIFICATION!$AA$8:$AA$13,0)),"Review"))</f>
        <v>Bucket 2 · Legacy</v>
      </c>
      <c r="P2513" s="350" t="str">
        <f>IF($B2513="Portfolio","Portfolio",IFERROR(INDEX(DATA_ASSET_CLASSIFICATION!$C$8:$C$24,MATCH($C2513,DATA_ASSET_CLASSIFICATION!$A$8:$A$24,0)),"Review"))</f>
        <v>Yes</v>
      </c>
      <c r="Q2513" s="350" t="str">
        <f t="shared" ca="1" si="79"/>
        <v>OK</v>
      </c>
    </row>
    <row r="2514" spans="1:17">
      <c r="A2514" s="366" t="s">
        <v>4470</v>
      </c>
      <c r="B2514" s="366" t="s">
        <v>231</v>
      </c>
      <c r="C2514" s="348" t="str">
        <f>DATA_PROPERTY_MASTER!$A$12</f>
        <v>BLD_JP</v>
      </c>
      <c r="D2514" s="380">
        <f>'00_PORTFOLIO ROLLUP'!P$12</f>
        <v>2036</v>
      </c>
      <c r="E2514" s="366" t="s">
        <v>1721</v>
      </c>
      <c r="F2514" s="366" t="s">
        <v>33</v>
      </c>
      <c r="G2514" s="348" t="str">
        <f>"'"&amp;$C2514&amp;"'!$E$62:$Y$62"</f>
        <v>'BLD_JP'!$E$62:$Y$62</v>
      </c>
      <c r="H2514" s="381">
        <f ca="1">IF(IFERROR(INDEX(DATA_PROPERTY_MASTER!$E$5:$E$21,MATCH($C2514,DATA_PROPERTY_MASTER!$A$5:$A$21,0))="Yes",FALSE),IFERROR(INDEX(INDIRECT("'"&amp;$C2514&amp;"'!$E$62:$Y$62"),1,MATCH($D2514,INDIRECT("'"&amp;$C2514&amp;"'!$E$12:$Y$12"),0)),0),0)</f>
        <v>0</v>
      </c>
      <c r="I2514" s="366" t="s">
        <v>1685</v>
      </c>
      <c r="J2514" s="348" t="str">
        <f t="shared" ca="1" si="78"/>
        <v>OK</v>
      </c>
      <c r="K2514" s="366" t="s">
        <v>1727</v>
      </c>
      <c r="L2514" s="366" t="s">
        <v>2254</v>
      </c>
      <c r="M2514" s="350" t="str">
        <f>IF($B2514="Portfolio","Portfolio",IFERROR(INDEX(DATA_ASSET_CLASSIFICATION!$B$8:$B$24,MATCH($C2514,DATA_ASSET_CLASSIFICATION!$A$8:$A$24,0)),"Review"))</f>
        <v>Jessica Place</v>
      </c>
      <c r="N2514" s="350" t="str">
        <f ca="1">IF($B2514="Portfolio","Portfolio",IFERROR(INDEX(DATA_ASSET_CLASSIFICATION!$U$8:$U$24,MATCH($C2514,DATA_ASSET_CLASSIFICATION!$A$8:$A$24,0)),"Review"))</f>
        <v>Refi Watch</v>
      </c>
      <c r="O2514" s="350" t="str">
        <f ca="1">IF($B2514="Portfolio","Portfolio",IFERROR(INDEX(DATA_ASSET_CLASSIFICATION!$AB$8:$AB$13,MATCH($N2514,DATA_ASSET_CLASSIFICATION!$AA$8:$AA$13,0)),"Review"))</f>
        <v>Bucket 2 · Legacy</v>
      </c>
      <c r="P2514" s="350" t="str">
        <f>IF($B2514="Portfolio","Portfolio",IFERROR(INDEX(DATA_ASSET_CLASSIFICATION!$C$8:$C$24,MATCH($C2514,DATA_ASSET_CLASSIFICATION!$A$8:$A$24,0)),"Review"))</f>
        <v>Yes</v>
      </c>
      <c r="Q2514" s="350" t="str">
        <f t="shared" ca="1" si="79"/>
        <v>OK</v>
      </c>
    </row>
    <row r="2515" spans="1:17">
      <c r="A2515" s="366" t="s">
        <v>4471</v>
      </c>
      <c r="B2515" s="366" t="s">
        <v>231</v>
      </c>
      <c r="C2515" s="348" t="str">
        <f>DATA_PROPERTY_MASTER!$A$12</f>
        <v>BLD_JP</v>
      </c>
      <c r="D2515" s="380">
        <f>'00_PORTFOLIO ROLLUP'!P$12</f>
        <v>2036</v>
      </c>
      <c r="E2515" s="366" t="s">
        <v>1721</v>
      </c>
      <c r="F2515" s="366" t="s">
        <v>35</v>
      </c>
      <c r="G2515" s="348" t="str">
        <f>"'"&amp;$C2515&amp;"'!$E$63:$Y$63"</f>
        <v>'BLD_JP'!$E$63:$Y$63</v>
      </c>
      <c r="H2515" s="381">
        <f ca="1">IF(IFERROR(INDEX(DATA_PROPERTY_MASTER!$E$5:$E$21,MATCH($C2515,DATA_PROPERTY_MASTER!$A$5:$A$21,0))="Yes",FALSE),IFERROR(INDEX(INDIRECT("'"&amp;$C2515&amp;"'!$E$63:$Y$63"),1,MATCH($D2515,INDIRECT("'"&amp;$C2515&amp;"'!$E$12:$Y$12"),0)),0),0)</f>
        <v>0</v>
      </c>
      <c r="I2515" s="366" t="s">
        <v>1731</v>
      </c>
      <c r="J2515" s="348" t="str">
        <f t="shared" ca="1" si="78"/>
        <v>OK</v>
      </c>
      <c r="K2515" s="366" t="s">
        <v>1732</v>
      </c>
      <c r="L2515" s="366" t="s">
        <v>2256</v>
      </c>
      <c r="M2515" s="350" t="str">
        <f>IF($B2515="Portfolio","Portfolio",IFERROR(INDEX(DATA_ASSET_CLASSIFICATION!$B$8:$B$24,MATCH($C2515,DATA_ASSET_CLASSIFICATION!$A$8:$A$24,0)),"Review"))</f>
        <v>Jessica Place</v>
      </c>
      <c r="N2515" s="350" t="str">
        <f ca="1">IF($B2515="Portfolio","Portfolio",IFERROR(INDEX(DATA_ASSET_CLASSIFICATION!$U$8:$U$24,MATCH($C2515,DATA_ASSET_CLASSIFICATION!$A$8:$A$24,0)),"Review"))</f>
        <v>Refi Watch</v>
      </c>
      <c r="O2515" s="350" t="str">
        <f ca="1">IF($B2515="Portfolio","Portfolio",IFERROR(INDEX(DATA_ASSET_CLASSIFICATION!$AB$8:$AB$13,MATCH($N2515,DATA_ASSET_CLASSIFICATION!$AA$8:$AA$13,0)),"Review"))</f>
        <v>Bucket 2 · Legacy</v>
      </c>
      <c r="P2515" s="350" t="str">
        <f>IF($B2515="Portfolio","Portfolio",IFERROR(INDEX(DATA_ASSET_CLASSIFICATION!$C$8:$C$24,MATCH($C2515,DATA_ASSET_CLASSIFICATION!$A$8:$A$24,0)),"Review"))</f>
        <v>Yes</v>
      </c>
      <c r="Q2515" s="350" t="str">
        <f t="shared" ca="1" si="79"/>
        <v>OK</v>
      </c>
    </row>
    <row r="2516" spans="1:17">
      <c r="A2516" s="366" t="s">
        <v>4472</v>
      </c>
      <c r="B2516" s="366" t="s">
        <v>231</v>
      </c>
      <c r="C2516" s="348" t="str">
        <f>DATA_PROPERTY_MASTER!$A$12</f>
        <v>BLD_JP</v>
      </c>
      <c r="D2516" s="380">
        <f>'00_PORTFOLIO ROLLUP'!P$12</f>
        <v>2036</v>
      </c>
      <c r="E2516" s="366" t="s">
        <v>1721</v>
      </c>
      <c r="F2516" s="366" t="s">
        <v>37</v>
      </c>
      <c r="G2516" s="348" t="str">
        <f>"'"&amp;$C2516&amp;"'!$E$63:$Y$63"</f>
        <v>'BLD_JP'!$E$63:$Y$63</v>
      </c>
      <c r="H2516" s="381">
        <f ca="1">IF(IFERROR(INDEX(DATA_PROPERTY_MASTER!$E$5:$E$21,MATCH($C2516,DATA_PROPERTY_MASTER!$A$5:$A$21,0))="Yes",FALSE),MAX(IFERROR(INDEX(INDIRECT("'"&amp;$C2516&amp;"'!$E$63:$Y$63"),1,MATCH($D2516,INDIRECT("'"&amp;$C2516&amp;"'!$E$12:$Y$12"),0)),0),0),0)</f>
        <v>0</v>
      </c>
      <c r="I2516" s="366" t="s">
        <v>1685</v>
      </c>
      <c r="J2516" s="348" t="str">
        <f t="shared" ca="1" si="78"/>
        <v>OK</v>
      </c>
      <c r="K2516" s="366" t="s">
        <v>1735</v>
      </c>
      <c r="L2516" s="366" t="s">
        <v>2258</v>
      </c>
      <c r="M2516" s="350" t="str">
        <f>IF($B2516="Portfolio","Portfolio",IFERROR(INDEX(DATA_ASSET_CLASSIFICATION!$B$8:$B$24,MATCH($C2516,DATA_ASSET_CLASSIFICATION!$A$8:$A$24,0)),"Review"))</f>
        <v>Jessica Place</v>
      </c>
      <c r="N2516" s="350" t="str">
        <f ca="1">IF($B2516="Portfolio","Portfolio",IFERROR(INDEX(DATA_ASSET_CLASSIFICATION!$U$8:$U$24,MATCH($C2516,DATA_ASSET_CLASSIFICATION!$A$8:$A$24,0)),"Review"))</f>
        <v>Refi Watch</v>
      </c>
      <c r="O2516" s="350" t="str">
        <f ca="1">IF($B2516="Portfolio","Portfolio",IFERROR(INDEX(DATA_ASSET_CLASSIFICATION!$AB$8:$AB$13,MATCH($N2516,DATA_ASSET_CLASSIFICATION!$AA$8:$AA$13,0)),"Review"))</f>
        <v>Bucket 2 · Legacy</v>
      </c>
      <c r="P2516" s="350" t="str">
        <f>IF($B2516="Portfolio","Portfolio",IFERROR(INDEX(DATA_ASSET_CLASSIFICATION!$C$8:$C$24,MATCH($C2516,DATA_ASSET_CLASSIFICATION!$A$8:$A$24,0)),"Review"))</f>
        <v>Yes</v>
      </c>
      <c r="Q2516" s="350" t="str">
        <f t="shared" ca="1" si="79"/>
        <v>OK</v>
      </c>
    </row>
    <row r="2517" spans="1:17">
      <c r="A2517" s="366" t="s">
        <v>4473</v>
      </c>
      <c r="B2517" s="366" t="s">
        <v>231</v>
      </c>
      <c r="C2517" s="348" t="str">
        <f>DATA_PROPERTY_MASTER!$A$12</f>
        <v>BLD_JP</v>
      </c>
      <c r="D2517" s="380">
        <f>'00_PORTFOLIO ROLLUP'!P$12</f>
        <v>2036</v>
      </c>
      <c r="E2517" s="366" t="s">
        <v>1721</v>
      </c>
      <c r="F2517" s="366" t="s">
        <v>39</v>
      </c>
      <c r="G2517" s="348" t="str">
        <f>"'"&amp;$C2517&amp;"'!$E$63:$Y$63"</f>
        <v>'BLD_JP'!$E$63:$Y$63</v>
      </c>
      <c r="H2517" s="381">
        <f ca="1">IF(IFERROR(INDEX(DATA_PROPERTY_MASTER!$E$5:$E$21,MATCH($C2517,DATA_PROPERTY_MASTER!$A$5:$A$21,0))="Yes",FALSE),MAX(-IFERROR(INDEX(INDIRECT("'"&amp;$C2517&amp;"'!$E$63:$Y$63"),1,MATCH($D2517,INDIRECT("'"&amp;$C2517&amp;"'!$E$12:$Y$12"),0)),0),0),0)</f>
        <v>0</v>
      </c>
      <c r="I2517" s="366" t="s">
        <v>1690</v>
      </c>
      <c r="J2517" s="348" t="str">
        <f t="shared" ca="1" si="78"/>
        <v>OK</v>
      </c>
      <c r="K2517" s="366" t="s">
        <v>1738</v>
      </c>
      <c r="L2517" s="366" t="s">
        <v>2260</v>
      </c>
      <c r="M2517" s="350" t="str">
        <f>IF($B2517="Portfolio","Portfolio",IFERROR(INDEX(DATA_ASSET_CLASSIFICATION!$B$8:$B$24,MATCH($C2517,DATA_ASSET_CLASSIFICATION!$A$8:$A$24,0)),"Review"))</f>
        <v>Jessica Place</v>
      </c>
      <c r="N2517" s="350" t="str">
        <f ca="1">IF($B2517="Portfolio","Portfolio",IFERROR(INDEX(DATA_ASSET_CLASSIFICATION!$U$8:$U$24,MATCH($C2517,DATA_ASSET_CLASSIFICATION!$A$8:$A$24,0)),"Review"))</f>
        <v>Refi Watch</v>
      </c>
      <c r="O2517" s="350" t="str">
        <f ca="1">IF($B2517="Portfolio","Portfolio",IFERROR(INDEX(DATA_ASSET_CLASSIFICATION!$AB$8:$AB$13,MATCH($N2517,DATA_ASSET_CLASSIFICATION!$AA$8:$AA$13,0)),"Review"))</f>
        <v>Bucket 2 · Legacy</v>
      </c>
      <c r="P2517" s="350" t="str">
        <f>IF($B2517="Portfolio","Portfolio",IFERROR(INDEX(DATA_ASSET_CLASSIFICATION!$C$8:$C$24,MATCH($C2517,DATA_ASSET_CLASSIFICATION!$A$8:$A$24,0)),"Review"))</f>
        <v>Yes</v>
      </c>
      <c r="Q2517" s="350" t="str">
        <f t="shared" ca="1" si="79"/>
        <v>OK</v>
      </c>
    </row>
    <row r="2518" spans="1:17">
      <c r="A2518" s="366" t="s">
        <v>4474</v>
      </c>
      <c r="B2518" s="366" t="s">
        <v>231</v>
      </c>
      <c r="C2518" s="348" t="str">
        <f>DATA_PROPERTY_MASTER!$A$12</f>
        <v>BLD_JP</v>
      </c>
      <c r="D2518" s="380">
        <f>'00_PORTFOLIO ROLLUP'!P$12</f>
        <v>2036</v>
      </c>
      <c r="E2518" s="366" t="s">
        <v>1741</v>
      </c>
      <c r="F2518" s="366" t="s">
        <v>41</v>
      </c>
      <c r="G2518" s="348" t="str">
        <f>"'"&amp;$C2518&amp;"'!rows 56 + positive row 63"</f>
        <v>'BLD_JP'!rows 56 + positive row 63</v>
      </c>
      <c r="H2518" s="381">
        <f ca="1">IF(IFERROR(INDEX(DATA_PROPERTY_MASTER!$E$5:$E$21,MATCH($C2518,DATA_PROPERTY_MASTER!$A$5:$A$21,0))="Yes",FALSE),IFERROR(INDEX(INDIRECT("'"&amp;$C2518&amp;"'!$E$56:$Y$56"),1,MATCH($D2518,INDIRECT("'"&amp;$C2518&amp;"'!$E$12:$Y$12"),0)),0)+MAX(IFERROR(INDEX(INDIRECT("'"&amp;$C2518&amp;"'!$E$63:$Y$63"),1,MATCH($D2518,INDIRECT("'"&amp;$C2518&amp;"'!$E$12:$Y$12"),0)),0),0),0)</f>
        <v>92226.647763343964</v>
      </c>
      <c r="I2518" s="366" t="s">
        <v>1685</v>
      </c>
      <c r="J2518" s="348" t="str">
        <f t="shared" ca="1" si="78"/>
        <v>OK</v>
      </c>
      <c r="K2518" s="366" t="s">
        <v>1742</v>
      </c>
      <c r="L2518" s="366" t="s">
        <v>2262</v>
      </c>
      <c r="M2518" s="350" t="str">
        <f>IF($B2518="Portfolio","Portfolio",IFERROR(INDEX(DATA_ASSET_CLASSIFICATION!$B$8:$B$24,MATCH($C2518,DATA_ASSET_CLASSIFICATION!$A$8:$A$24,0)),"Review"))</f>
        <v>Jessica Place</v>
      </c>
      <c r="N2518" s="350" t="str">
        <f ca="1">IF($B2518="Portfolio","Portfolio",IFERROR(INDEX(DATA_ASSET_CLASSIFICATION!$U$8:$U$24,MATCH($C2518,DATA_ASSET_CLASSIFICATION!$A$8:$A$24,0)),"Review"))</f>
        <v>Refi Watch</v>
      </c>
      <c r="O2518" s="350" t="str">
        <f ca="1">IF($B2518="Portfolio","Portfolio",IFERROR(INDEX(DATA_ASSET_CLASSIFICATION!$AB$8:$AB$13,MATCH($N2518,DATA_ASSET_CLASSIFICATION!$AA$8:$AA$13,0)),"Review"))</f>
        <v>Bucket 2 · Legacy</v>
      </c>
      <c r="P2518" s="350" t="str">
        <f>IF($B2518="Portfolio","Portfolio",IFERROR(INDEX(DATA_ASSET_CLASSIFICATION!$C$8:$C$24,MATCH($C2518,DATA_ASSET_CLASSIFICATION!$A$8:$A$24,0)),"Review"))</f>
        <v>Yes</v>
      </c>
      <c r="Q2518" s="350" t="str">
        <f t="shared" ca="1" si="79"/>
        <v>OK</v>
      </c>
    </row>
    <row r="2519" spans="1:17">
      <c r="A2519" s="366" t="s">
        <v>4475</v>
      </c>
      <c r="B2519" s="366" t="s">
        <v>231</v>
      </c>
      <c r="C2519" s="348" t="str">
        <f>DATA_PROPERTY_MASTER!$A$12</f>
        <v>BLD_JP</v>
      </c>
      <c r="D2519" s="380">
        <f>'00_PORTFOLIO ROLLUP'!P$12</f>
        <v>2036</v>
      </c>
      <c r="E2519" s="366" t="s">
        <v>1741</v>
      </c>
      <c r="F2519" s="366" t="s">
        <v>43</v>
      </c>
      <c r="G2519" s="348" t="str">
        <f>"'"&amp;$C2519&amp;"'!$E$68:$Y$68"</f>
        <v>'BLD_JP'!$E$68:$Y$68</v>
      </c>
      <c r="H2519" s="381">
        <f ca="1">IF(IFERROR(INDEX(DATA_PROPERTY_MASTER!$E$5:$E$21,MATCH($C2519,DATA_PROPERTY_MASTER!$A$5:$A$21,0))="Yes",FALSE),IFERROR(INDEX(INDIRECT("'"&amp;$C2519&amp;"'!$E$68:$Y$68"),1,MATCH($D2519,INDIRECT("'"&amp;$C2519&amp;"'!$E$12:$Y$12"),0)),0),0)</f>
        <v>92226.647763343964</v>
      </c>
      <c r="I2519" s="366" t="s">
        <v>1731</v>
      </c>
      <c r="J2519" s="348" t="str">
        <f t="shared" ca="1" si="78"/>
        <v>OK</v>
      </c>
      <c r="K2519" s="366" t="s">
        <v>1746</v>
      </c>
      <c r="L2519" s="366" t="s">
        <v>2264</v>
      </c>
      <c r="M2519" s="350" t="str">
        <f>IF($B2519="Portfolio","Portfolio",IFERROR(INDEX(DATA_ASSET_CLASSIFICATION!$B$8:$B$24,MATCH($C2519,DATA_ASSET_CLASSIFICATION!$A$8:$A$24,0)),"Review"))</f>
        <v>Jessica Place</v>
      </c>
      <c r="N2519" s="350" t="str">
        <f ca="1">IF($B2519="Portfolio","Portfolio",IFERROR(INDEX(DATA_ASSET_CLASSIFICATION!$U$8:$U$24,MATCH($C2519,DATA_ASSET_CLASSIFICATION!$A$8:$A$24,0)),"Review"))</f>
        <v>Refi Watch</v>
      </c>
      <c r="O2519" s="350" t="str">
        <f ca="1">IF($B2519="Portfolio","Portfolio",IFERROR(INDEX(DATA_ASSET_CLASSIFICATION!$AB$8:$AB$13,MATCH($N2519,DATA_ASSET_CLASSIFICATION!$AA$8:$AA$13,0)),"Review"))</f>
        <v>Bucket 2 · Legacy</v>
      </c>
      <c r="P2519" s="350" t="str">
        <f>IF($B2519="Portfolio","Portfolio",IFERROR(INDEX(DATA_ASSET_CLASSIFICATION!$C$8:$C$24,MATCH($C2519,DATA_ASSET_CLASSIFICATION!$A$8:$A$24,0)),"Review"))</f>
        <v>Yes</v>
      </c>
      <c r="Q2519" s="350" t="str">
        <f t="shared" ca="1" si="79"/>
        <v>OK</v>
      </c>
    </row>
    <row r="2520" spans="1:17">
      <c r="A2520" s="366" t="s">
        <v>4476</v>
      </c>
      <c r="B2520" s="366" t="s">
        <v>231</v>
      </c>
      <c r="C2520" s="348" t="str">
        <f>DATA_PROPERTY_MASTER!$A$12</f>
        <v>BLD_JP</v>
      </c>
      <c r="D2520" s="380">
        <f>'00_PORTFOLIO ROLLUP'!P$12</f>
        <v>2036</v>
      </c>
      <c r="E2520" s="366" t="s">
        <v>1741</v>
      </c>
      <c r="F2520" s="366" t="s">
        <v>1749</v>
      </c>
      <c r="G2520" s="348" t="str">
        <f>"'"&amp;$C2520&amp;"'!rows 56, 63, 68"</f>
        <v>'BLD_JP'!rows 56, 63, 68</v>
      </c>
      <c r="H2520" s="381">
        <f ca="1">IF(IFERROR(INDEX(DATA_PROPERTY_MASTER!$E$5:$E$21,MATCH($C2520,DATA_PROPERTY_MASTER!$A$5:$A$21,0))="Yes",FALSE),(IFERROR(INDEX(INDIRECT("'"&amp;$C2520&amp;"'!$E$56:$Y$56"),1,MATCH($D2520,INDIRECT("'"&amp;$C2520&amp;"'!$E$12:$Y$12"),0)),0)+MAX(IFERROR(INDEX(INDIRECT("'"&amp;$C2520&amp;"'!$E$63:$Y$63"),1,MATCH($D2520,INDIRECT("'"&amp;$C2520&amp;"'!$E$12:$Y$12"),0)),0),0))-(IFERROR(INDEX(INDIRECT("'"&amp;$C2520&amp;"'!$E$68:$Y$68"),1,MATCH($D2520,INDIRECT("'"&amp;$C2520&amp;"'!$E$12:$Y$12"),0)),0)),0)</f>
        <v>0</v>
      </c>
      <c r="I2520" s="366" t="s">
        <v>1750</v>
      </c>
      <c r="J2520" s="348" t="str">
        <f t="shared" ca="1" si="78"/>
        <v>OK</v>
      </c>
      <c r="K2520" s="366" t="s">
        <v>1751</v>
      </c>
      <c r="L2520" s="366" t="s">
        <v>2266</v>
      </c>
      <c r="M2520" s="350" t="str">
        <f>IF($B2520="Portfolio","Portfolio",IFERROR(INDEX(DATA_ASSET_CLASSIFICATION!$B$8:$B$24,MATCH($C2520,DATA_ASSET_CLASSIFICATION!$A$8:$A$24,0)),"Review"))</f>
        <v>Jessica Place</v>
      </c>
      <c r="N2520" s="350" t="str">
        <f ca="1">IF($B2520="Portfolio","Portfolio",IFERROR(INDEX(DATA_ASSET_CLASSIFICATION!$U$8:$U$24,MATCH($C2520,DATA_ASSET_CLASSIFICATION!$A$8:$A$24,0)),"Review"))</f>
        <v>Refi Watch</v>
      </c>
      <c r="O2520" s="350" t="str">
        <f ca="1">IF($B2520="Portfolio","Portfolio",IFERROR(INDEX(DATA_ASSET_CLASSIFICATION!$AB$8:$AB$13,MATCH($N2520,DATA_ASSET_CLASSIFICATION!$AA$8:$AA$13,0)),"Review"))</f>
        <v>Bucket 2 · Legacy</v>
      </c>
      <c r="P2520" s="350" t="str">
        <f>IF($B2520="Portfolio","Portfolio",IFERROR(INDEX(DATA_ASSET_CLASSIFICATION!$C$8:$C$24,MATCH($C2520,DATA_ASSET_CLASSIFICATION!$A$8:$A$24,0)),"Review"))</f>
        <v>Yes</v>
      </c>
      <c r="Q2520" s="350" t="str">
        <f t="shared" ca="1" si="79"/>
        <v>OK</v>
      </c>
    </row>
    <row r="2521" spans="1:17">
      <c r="A2521" s="366" t="s">
        <v>4477</v>
      </c>
      <c r="B2521" s="366" t="s">
        <v>231</v>
      </c>
      <c r="C2521" s="348" t="str">
        <f>DATA_PROPERTY_MASTER!$A$12</f>
        <v>BLD_JP</v>
      </c>
      <c r="D2521" s="380">
        <f>'00_PORTFOLIO ROLLUP'!Q$12</f>
        <v>2037</v>
      </c>
      <c r="E2521" s="366" t="s">
        <v>1683</v>
      </c>
      <c r="F2521" s="366" t="s">
        <v>341</v>
      </c>
      <c r="G2521" s="348" t="str">
        <f>"'"&amp;$C2521&amp;"'!$E$24:$Y$24"</f>
        <v>'BLD_JP'!$E$24:$Y$24</v>
      </c>
      <c r="H2521" s="381">
        <f ca="1">IF(IFERROR(INDEX(DATA_PROPERTY_MASTER!$E$5:$E$21,MATCH($C2521,DATA_PROPERTY_MASTER!$A$5:$A$21,0))="Yes",FALSE),IFERROR(INDEX(INDIRECT("'"&amp;$C2521&amp;"'!$E$24:$Y$24"),1,MATCH($D2521,INDIRECT("'"&amp;$C2521&amp;"'!$E$12:$Y$12"),0)),0),0)</f>
        <v>623660.74333775137</v>
      </c>
      <c r="I2521" s="366" t="s">
        <v>1685</v>
      </c>
      <c r="J2521" s="348" t="str">
        <f t="shared" ca="1" si="78"/>
        <v>OK</v>
      </c>
      <c r="K2521" s="366" t="s">
        <v>1686</v>
      </c>
      <c r="L2521" s="366" t="s">
        <v>2234</v>
      </c>
      <c r="M2521" s="350" t="str">
        <f>IF($B2521="Portfolio","Portfolio",IFERROR(INDEX(DATA_ASSET_CLASSIFICATION!$B$8:$B$24,MATCH($C2521,DATA_ASSET_CLASSIFICATION!$A$8:$A$24,0)),"Review"))</f>
        <v>Jessica Place</v>
      </c>
      <c r="N2521" s="350" t="str">
        <f ca="1">IF($B2521="Portfolio","Portfolio",IFERROR(INDEX(DATA_ASSET_CLASSIFICATION!$U$8:$U$24,MATCH($C2521,DATA_ASSET_CLASSIFICATION!$A$8:$A$24,0)),"Review"))</f>
        <v>Refi Watch</v>
      </c>
      <c r="O2521" s="350" t="str">
        <f ca="1">IF($B2521="Portfolio","Portfolio",IFERROR(INDEX(DATA_ASSET_CLASSIFICATION!$AB$8:$AB$13,MATCH($N2521,DATA_ASSET_CLASSIFICATION!$AA$8:$AA$13,0)),"Review"))</f>
        <v>Bucket 2 · Legacy</v>
      </c>
      <c r="P2521" s="350" t="str">
        <f>IF($B2521="Portfolio","Portfolio",IFERROR(INDEX(DATA_ASSET_CLASSIFICATION!$C$8:$C$24,MATCH($C2521,DATA_ASSET_CLASSIFICATION!$A$8:$A$24,0)),"Review"))</f>
        <v>Yes</v>
      </c>
      <c r="Q2521" s="350" t="str">
        <f t="shared" ca="1" si="79"/>
        <v>OK</v>
      </c>
    </row>
    <row r="2522" spans="1:17">
      <c r="A2522" s="366" t="s">
        <v>4478</v>
      </c>
      <c r="B2522" s="366" t="s">
        <v>231</v>
      </c>
      <c r="C2522" s="348" t="str">
        <f>DATA_PROPERTY_MASTER!$A$12</f>
        <v>BLD_JP</v>
      </c>
      <c r="D2522" s="380">
        <f>'00_PORTFOLIO ROLLUP'!Q$12</f>
        <v>2037</v>
      </c>
      <c r="E2522" s="366" t="s">
        <v>1683</v>
      </c>
      <c r="F2522" s="366" t="s">
        <v>355</v>
      </c>
      <c r="G2522" s="348" t="str">
        <f>"'"&amp;$C2522&amp;"'!$E$39:$Y$39"</f>
        <v>'BLD_JP'!$E$39:$Y$39</v>
      </c>
      <c r="H2522" s="381">
        <f ca="1">IF(IFERROR(INDEX(DATA_PROPERTY_MASTER!$E$5:$E$21,MATCH($C2522,DATA_PROPERTY_MASTER!$A$5:$A$21,0))="Yes",FALSE),IFERROR(INDEX(INDIRECT("'"&amp;$C2522&amp;"'!$E$39:$Y$39"),1,MATCH($D2522,INDIRECT("'"&amp;$C2522&amp;"'!$E$12:$Y$12"),0)),0),0)</f>
        <v>390387.11895073997</v>
      </c>
      <c r="I2522" s="366" t="s">
        <v>1690</v>
      </c>
      <c r="J2522" s="348" t="str">
        <f t="shared" ca="1" si="78"/>
        <v>OK</v>
      </c>
      <c r="K2522" s="366" t="s">
        <v>1686</v>
      </c>
      <c r="L2522" s="366" t="s">
        <v>2236</v>
      </c>
      <c r="M2522" s="350" t="str">
        <f>IF($B2522="Portfolio","Portfolio",IFERROR(INDEX(DATA_ASSET_CLASSIFICATION!$B$8:$B$24,MATCH($C2522,DATA_ASSET_CLASSIFICATION!$A$8:$A$24,0)),"Review"))</f>
        <v>Jessica Place</v>
      </c>
      <c r="N2522" s="350" t="str">
        <f ca="1">IF($B2522="Portfolio","Portfolio",IFERROR(INDEX(DATA_ASSET_CLASSIFICATION!$U$8:$U$24,MATCH($C2522,DATA_ASSET_CLASSIFICATION!$A$8:$A$24,0)),"Review"))</f>
        <v>Refi Watch</v>
      </c>
      <c r="O2522" s="350" t="str">
        <f ca="1">IF($B2522="Portfolio","Portfolio",IFERROR(INDEX(DATA_ASSET_CLASSIFICATION!$AB$8:$AB$13,MATCH($N2522,DATA_ASSET_CLASSIFICATION!$AA$8:$AA$13,0)),"Review"))</f>
        <v>Bucket 2 · Legacy</v>
      </c>
      <c r="P2522" s="350" t="str">
        <f>IF($B2522="Portfolio","Portfolio",IFERROR(INDEX(DATA_ASSET_CLASSIFICATION!$C$8:$C$24,MATCH($C2522,DATA_ASSET_CLASSIFICATION!$A$8:$A$24,0)),"Review"))</f>
        <v>Yes</v>
      </c>
      <c r="Q2522" s="350" t="str">
        <f t="shared" ca="1" si="79"/>
        <v>OK</v>
      </c>
    </row>
    <row r="2523" spans="1:17">
      <c r="A2523" s="366" t="s">
        <v>4479</v>
      </c>
      <c r="B2523" s="366" t="s">
        <v>231</v>
      </c>
      <c r="C2523" s="348" t="str">
        <f>DATA_PROPERTY_MASTER!$A$12</f>
        <v>BLD_JP</v>
      </c>
      <c r="D2523" s="380">
        <f>'00_PORTFOLIO ROLLUP'!Q$12</f>
        <v>2037</v>
      </c>
      <c r="E2523" s="366" t="s">
        <v>1683</v>
      </c>
      <c r="F2523" s="366" t="s">
        <v>19</v>
      </c>
      <c r="G2523" s="348" t="str">
        <f>"'"&amp;$C2523&amp;"'!$E$41:$Y$41"</f>
        <v>'BLD_JP'!$E$41:$Y$41</v>
      </c>
      <c r="H2523" s="381">
        <f ca="1">IF(IFERROR(INDEX(DATA_PROPERTY_MASTER!$E$5:$E$21,MATCH($C2523,DATA_PROPERTY_MASTER!$A$5:$A$21,0))="Yes",FALSE),IFERROR(INDEX(INDIRECT("'"&amp;$C2523&amp;"'!$E$41:$Y$41"),1,MATCH($D2523,INDIRECT("'"&amp;$C2523&amp;"'!$E$12:$Y$12"),0)),0),0)</f>
        <v>233273.6243870114</v>
      </c>
      <c r="I2523" s="366" t="s">
        <v>1685</v>
      </c>
      <c r="J2523" s="348" t="str">
        <f t="shared" ca="1" si="78"/>
        <v>OK</v>
      </c>
      <c r="K2523" s="366" t="s">
        <v>1694</v>
      </c>
      <c r="L2523" s="366" t="s">
        <v>2238</v>
      </c>
      <c r="M2523" s="350" t="str">
        <f>IF($B2523="Portfolio","Portfolio",IFERROR(INDEX(DATA_ASSET_CLASSIFICATION!$B$8:$B$24,MATCH($C2523,DATA_ASSET_CLASSIFICATION!$A$8:$A$24,0)),"Review"))</f>
        <v>Jessica Place</v>
      </c>
      <c r="N2523" s="350" t="str">
        <f ca="1">IF($B2523="Portfolio","Portfolio",IFERROR(INDEX(DATA_ASSET_CLASSIFICATION!$U$8:$U$24,MATCH($C2523,DATA_ASSET_CLASSIFICATION!$A$8:$A$24,0)),"Review"))</f>
        <v>Refi Watch</v>
      </c>
      <c r="O2523" s="350" t="str">
        <f ca="1">IF($B2523="Portfolio","Portfolio",IFERROR(INDEX(DATA_ASSET_CLASSIFICATION!$AB$8:$AB$13,MATCH($N2523,DATA_ASSET_CLASSIFICATION!$AA$8:$AA$13,0)),"Review"))</f>
        <v>Bucket 2 · Legacy</v>
      </c>
      <c r="P2523" s="350" t="str">
        <f>IF($B2523="Portfolio","Portfolio",IFERROR(INDEX(DATA_ASSET_CLASSIFICATION!$C$8:$C$24,MATCH($C2523,DATA_ASSET_CLASSIFICATION!$A$8:$A$24,0)),"Review"))</f>
        <v>Yes</v>
      </c>
      <c r="Q2523" s="350" t="str">
        <f t="shared" ca="1" si="79"/>
        <v>OK</v>
      </c>
    </row>
    <row r="2524" spans="1:17">
      <c r="A2524" s="366" t="s">
        <v>4480</v>
      </c>
      <c r="B2524" s="366" t="s">
        <v>231</v>
      </c>
      <c r="C2524" s="348" t="str">
        <f>DATA_PROPERTY_MASTER!$A$12</f>
        <v>BLD_JP</v>
      </c>
      <c r="D2524" s="380">
        <f>'00_PORTFOLIO ROLLUP'!Q$12</f>
        <v>2037</v>
      </c>
      <c r="E2524" s="366" t="s">
        <v>1683</v>
      </c>
      <c r="F2524" s="366" t="s">
        <v>1697</v>
      </c>
      <c r="G2524" s="348" t="str">
        <f>"'"&amp;$C2524&amp;"'!$E$44:$Y$44"</f>
        <v>'BLD_JP'!$E$44:$Y$44</v>
      </c>
      <c r="H2524" s="381">
        <f ca="1">IF(IFERROR(INDEX(DATA_PROPERTY_MASTER!$E$5:$E$21,MATCH($C2524,DATA_PROPERTY_MASTER!$A$5:$A$21,0))="Yes",FALSE),IFERROR(INDEX(INDIRECT("'"&amp;$C2524&amp;"'!$E$44:$Y$44"),1,MATCH($D2524,INDIRECT("'"&amp;$C2524&amp;"'!$E$12:$Y$12"),0)),0),0)</f>
        <v>7609.4507673752714</v>
      </c>
      <c r="I2524" s="366" t="s">
        <v>1690</v>
      </c>
      <c r="J2524" s="348" t="str">
        <f t="shared" ca="1" si="78"/>
        <v>OK</v>
      </c>
      <c r="K2524" s="366" t="s">
        <v>1699</v>
      </c>
      <c r="L2524" s="366" t="s">
        <v>2240</v>
      </c>
      <c r="M2524" s="350" t="str">
        <f>IF($B2524="Portfolio","Portfolio",IFERROR(INDEX(DATA_ASSET_CLASSIFICATION!$B$8:$B$24,MATCH($C2524,DATA_ASSET_CLASSIFICATION!$A$8:$A$24,0)),"Review"))</f>
        <v>Jessica Place</v>
      </c>
      <c r="N2524" s="350" t="str">
        <f ca="1">IF($B2524="Portfolio","Portfolio",IFERROR(INDEX(DATA_ASSET_CLASSIFICATION!$U$8:$U$24,MATCH($C2524,DATA_ASSET_CLASSIFICATION!$A$8:$A$24,0)),"Review"))</f>
        <v>Refi Watch</v>
      </c>
      <c r="O2524" s="350" t="str">
        <f ca="1">IF($B2524="Portfolio","Portfolio",IFERROR(INDEX(DATA_ASSET_CLASSIFICATION!$AB$8:$AB$13,MATCH($N2524,DATA_ASSET_CLASSIFICATION!$AA$8:$AA$13,0)),"Review"))</f>
        <v>Bucket 2 · Legacy</v>
      </c>
      <c r="P2524" s="350" t="str">
        <f>IF($B2524="Portfolio","Portfolio",IFERROR(INDEX(DATA_ASSET_CLASSIFICATION!$C$8:$C$24,MATCH($C2524,DATA_ASSET_CLASSIFICATION!$A$8:$A$24,0)),"Review"))</f>
        <v>Yes</v>
      </c>
      <c r="Q2524" s="350" t="str">
        <f t="shared" ca="1" si="79"/>
        <v>OK</v>
      </c>
    </row>
    <row r="2525" spans="1:17">
      <c r="A2525" s="366" t="s">
        <v>4481</v>
      </c>
      <c r="B2525" s="366" t="s">
        <v>231</v>
      </c>
      <c r="C2525" s="348" t="str">
        <f>DATA_PROPERTY_MASTER!$A$12</f>
        <v>BLD_JP</v>
      </c>
      <c r="D2525" s="380">
        <f>'00_PORTFOLIO ROLLUP'!Q$12</f>
        <v>2037</v>
      </c>
      <c r="E2525" s="366" t="s">
        <v>1683</v>
      </c>
      <c r="F2525" s="366" t="s">
        <v>21</v>
      </c>
      <c r="G2525" s="348" t="str">
        <f>"'"&amp;$C2525&amp;"'!$E$45:$Y$45"</f>
        <v>'BLD_JP'!$E$45:$Y$45</v>
      </c>
      <c r="H2525" s="381">
        <f ca="1">IF(IFERROR(INDEX(DATA_PROPERTY_MASTER!$E$5:$E$21,MATCH($C2525,DATA_PROPERTY_MASTER!$A$5:$A$21,0))="Yes",FALSE),IFERROR(INDEX(INDIRECT("'"&amp;$C2525&amp;"'!$E$45:$Y$45"),1,MATCH($D2525,INDIRECT("'"&amp;$C2525&amp;"'!$E$12:$Y$12"),0)),0),0)</f>
        <v>225664.17361963613</v>
      </c>
      <c r="I2525" s="366" t="s">
        <v>1685</v>
      </c>
      <c r="J2525" s="348" t="str">
        <f t="shared" ca="1" si="78"/>
        <v>OK</v>
      </c>
      <c r="K2525" s="366" t="s">
        <v>1694</v>
      </c>
      <c r="L2525" s="366" t="s">
        <v>2242</v>
      </c>
      <c r="M2525" s="350" t="str">
        <f>IF($B2525="Portfolio","Portfolio",IFERROR(INDEX(DATA_ASSET_CLASSIFICATION!$B$8:$B$24,MATCH($C2525,DATA_ASSET_CLASSIFICATION!$A$8:$A$24,0)),"Review"))</f>
        <v>Jessica Place</v>
      </c>
      <c r="N2525" s="350" t="str">
        <f ca="1">IF($B2525="Portfolio","Portfolio",IFERROR(INDEX(DATA_ASSET_CLASSIFICATION!$U$8:$U$24,MATCH($C2525,DATA_ASSET_CLASSIFICATION!$A$8:$A$24,0)),"Review"))</f>
        <v>Refi Watch</v>
      </c>
      <c r="O2525" s="350" t="str">
        <f ca="1">IF($B2525="Portfolio","Portfolio",IFERROR(INDEX(DATA_ASSET_CLASSIFICATION!$AB$8:$AB$13,MATCH($N2525,DATA_ASSET_CLASSIFICATION!$AA$8:$AA$13,0)),"Review"))</f>
        <v>Bucket 2 · Legacy</v>
      </c>
      <c r="P2525" s="350" t="str">
        <f>IF($B2525="Portfolio","Portfolio",IFERROR(INDEX(DATA_ASSET_CLASSIFICATION!$C$8:$C$24,MATCH($C2525,DATA_ASSET_CLASSIFICATION!$A$8:$A$24,0)),"Review"))</f>
        <v>Yes</v>
      </c>
      <c r="Q2525" s="350" t="str">
        <f t="shared" ca="1" si="79"/>
        <v>OK</v>
      </c>
    </row>
    <row r="2526" spans="1:17">
      <c r="A2526" s="366" t="s">
        <v>4482</v>
      </c>
      <c r="B2526" s="366" t="s">
        <v>231</v>
      </c>
      <c r="C2526" s="348" t="str">
        <f>DATA_PROPERTY_MASTER!$A$12</f>
        <v>BLD_JP</v>
      </c>
      <c r="D2526" s="380">
        <f>'00_PORTFOLIO ROLLUP'!Q$12</f>
        <v>2037</v>
      </c>
      <c r="E2526" s="366" t="s">
        <v>23</v>
      </c>
      <c r="F2526" s="366" t="s">
        <v>23</v>
      </c>
      <c r="G2526" s="348" t="str">
        <f>"'"&amp;$C2526&amp;"'!$E$48:$Y$48"</f>
        <v>'BLD_JP'!$E$48:$Y$48</v>
      </c>
      <c r="H2526" s="381">
        <f ca="1">IF(IFERROR(INDEX(DATA_PROPERTY_MASTER!$E$5:$E$21,MATCH($C2526,DATA_PROPERTY_MASTER!$A$5:$A$21,0))="Yes",FALSE),IFERROR(INDEX(INDIRECT("'"&amp;$C2526&amp;"'!$E$48:$Y$48"),1,MATCH($D2526,INDIRECT("'"&amp;$C2526&amp;"'!$E$12:$Y$12"),0)),0),0)</f>
        <v>0</v>
      </c>
      <c r="I2526" s="366" t="s">
        <v>1690</v>
      </c>
      <c r="J2526" s="348" t="str">
        <f t="shared" ca="1" si="78"/>
        <v>OK</v>
      </c>
      <c r="K2526" s="366" t="s">
        <v>1706</v>
      </c>
      <c r="L2526" s="366" t="s">
        <v>2244</v>
      </c>
      <c r="M2526" s="350" t="str">
        <f>IF($B2526="Portfolio","Portfolio",IFERROR(INDEX(DATA_ASSET_CLASSIFICATION!$B$8:$B$24,MATCH($C2526,DATA_ASSET_CLASSIFICATION!$A$8:$A$24,0)),"Review"))</f>
        <v>Jessica Place</v>
      </c>
      <c r="N2526" s="350" t="str">
        <f ca="1">IF($B2526="Portfolio","Portfolio",IFERROR(INDEX(DATA_ASSET_CLASSIFICATION!$U$8:$U$24,MATCH($C2526,DATA_ASSET_CLASSIFICATION!$A$8:$A$24,0)),"Review"))</f>
        <v>Refi Watch</v>
      </c>
      <c r="O2526" s="350" t="str">
        <f ca="1">IF($B2526="Portfolio","Portfolio",IFERROR(INDEX(DATA_ASSET_CLASSIFICATION!$AB$8:$AB$13,MATCH($N2526,DATA_ASSET_CLASSIFICATION!$AA$8:$AA$13,0)),"Review"))</f>
        <v>Bucket 2 · Legacy</v>
      </c>
      <c r="P2526" s="350" t="str">
        <f>IF($B2526="Portfolio","Portfolio",IFERROR(INDEX(DATA_ASSET_CLASSIFICATION!$C$8:$C$24,MATCH($C2526,DATA_ASSET_CLASSIFICATION!$A$8:$A$24,0)),"Review"))</f>
        <v>Yes</v>
      </c>
      <c r="Q2526" s="350" t="str">
        <f t="shared" ca="1" si="79"/>
        <v>OK</v>
      </c>
    </row>
    <row r="2527" spans="1:17">
      <c r="A2527" s="366" t="s">
        <v>4483</v>
      </c>
      <c r="B2527" s="366" t="s">
        <v>231</v>
      </c>
      <c r="C2527" s="348" t="str">
        <f>DATA_PROPERTY_MASTER!$A$12</f>
        <v>BLD_JP</v>
      </c>
      <c r="D2527" s="380">
        <f>'00_PORTFOLIO ROLLUP'!Q$12</f>
        <v>2037</v>
      </c>
      <c r="E2527" s="366" t="s">
        <v>1683</v>
      </c>
      <c r="F2527" s="366" t="s">
        <v>25</v>
      </c>
      <c r="G2527" s="348" t="str">
        <f>"'"&amp;$C2527&amp;"'!$E$52:$Y$52"</f>
        <v>'BLD_JP'!$E$52:$Y$52</v>
      </c>
      <c r="H2527" s="381">
        <f ca="1">IF(IFERROR(INDEX(DATA_PROPERTY_MASTER!$E$5:$E$21,MATCH($C2527,DATA_PROPERTY_MASTER!$A$5:$A$21,0))="Yes",FALSE),IFERROR(INDEX(INDIRECT("'"&amp;$C2527&amp;"'!$E$52:$Y$52"),1,MATCH($D2527,INDIRECT("'"&amp;$C2527&amp;"'!$E$12:$Y$12"),0)),0),0)</f>
        <v>233273.6243870114</v>
      </c>
      <c r="I2527" s="366" t="s">
        <v>1685</v>
      </c>
      <c r="J2527" s="348" t="str">
        <f t="shared" ca="1" si="78"/>
        <v>OK</v>
      </c>
      <c r="K2527" s="366" t="s">
        <v>1710</v>
      </c>
      <c r="L2527" s="366" t="s">
        <v>2246</v>
      </c>
      <c r="M2527" s="350" t="str">
        <f>IF($B2527="Portfolio","Portfolio",IFERROR(INDEX(DATA_ASSET_CLASSIFICATION!$B$8:$B$24,MATCH($C2527,DATA_ASSET_CLASSIFICATION!$A$8:$A$24,0)),"Review"))</f>
        <v>Jessica Place</v>
      </c>
      <c r="N2527" s="350" t="str">
        <f ca="1">IF($B2527="Portfolio","Portfolio",IFERROR(INDEX(DATA_ASSET_CLASSIFICATION!$U$8:$U$24,MATCH($C2527,DATA_ASSET_CLASSIFICATION!$A$8:$A$24,0)),"Review"))</f>
        <v>Refi Watch</v>
      </c>
      <c r="O2527" s="350" t="str">
        <f ca="1">IF($B2527="Portfolio","Portfolio",IFERROR(INDEX(DATA_ASSET_CLASSIFICATION!$AB$8:$AB$13,MATCH($N2527,DATA_ASSET_CLASSIFICATION!$AA$8:$AA$13,0)),"Review"))</f>
        <v>Bucket 2 · Legacy</v>
      </c>
      <c r="P2527" s="350" t="str">
        <f>IF($B2527="Portfolio","Portfolio",IFERROR(INDEX(DATA_ASSET_CLASSIFICATION!$C$8:$C$24,MATCH($C2527,DATA_ASSET_CLASSIFICATION!$A$8:$A$24,0)),"Review"))</f>
        <v>Yes</v>
      </c>
      <c r="Q2527" s="350" t="str">
        <f t="shared" ca="1" si="79"/>
        <v>OK</v>
      </c>
    </row>
    <row r="2528" spans="1:17">
      <c r="A2528" s="366" t="s">
        <v>4484</v>
      </c>
      <c r="B2528" s="366" t="s">
        <v>231</v>
      </c>
      <c r="C2528" s="348" t="str">
        <f>DATA_PROPERTY_MASTER!$A$12</f>
        <v>BLD_JP</v>
      </c>
      <c r="D2528" s="380">
        <f>'00_PORTFOLIO ROLLUP'!Q$12</f>
        <v>2037</v>
      </c>
      <c r="E2528" s="366" t="s">
        <v>1683</v>
      </c>
      <c r="F2528" s="366" t="s">
        <v>27</v>
      </c>
      <c r="G2528" s="348" t="str">
        <f>"'"&amp;$C2528&amp;"'!$E$54:$Y$54"</f>
        <v>'BLD_JP'!$E$54:$Y$54</v>
      </c>
      <c r="H2528" s="381">
        <f ca="1">IF(IFERROR(INDEX(DATA_PROPERTY_MASTER!$E$5:$E$21,MATCH($C2528,DATA_PROPERTY_MASTER!$A$5:$A$21,0))="Yes",FALSE),IFERROR(INDEX(INDIRECT("'"&amp;$C2528&amp;"'!$E$54:$Y$54"),1,MATCH($D2528,INDIRECT("'"&amp;$C2528&amp;"'!$E$12:$Y$12"),0)),0),0)</f>
        <v>139964.17463220682</v>
      </c>
      <c r="I2528" s="366" t="s">
        <v>1690</v>
      </c>
      <c r="J2528" s="348" t="str">
        <f t="shared" ca="1" si="78"/>
        <v>OK</v>
      </c>
      <c r="K2528" s="366" t="s">
        <v>1714</v>
      </c>
      <c r="L2528" s="366" t="s">
        <v>2248</v>
      </c>
      <c r="M2528" s="350" t="str">
        <f>IF($B2528="Portfolio","Portfolio",IFERROR(INDEX(DATA_ASSET_CLASSIFICATION!$B$8:$B$24,MATCH($C2528,DATA_ASSET_CLASSIFICATION!$A$8:$A$24,0)),"Review"))</f>
        <v>Jessica Place</v>
      </c>
      <c r="N2528" s="350" t="str">
        <f ca="1">IF($B2528="Portfolio","Portfolio",IFERROR(INDEX(DATA_ASSET_CLASSIFICATION!$U$8:$U$24,MATCH($C2528,DATA_ASSET_CLASSIFICATION!$A$8:$A$24,0)),"Review"))</f>
        <v>Refi Watch</v>
      </c>
      <c r="O2528" s="350" t="str">
        <f ca="1">IF($B2528="Portfolio","Portfolio",IFERROR(INDEX(DATA_ASSET_CLASSIFICATION!$AB$8:$AB$13,MATCH($N2528,DATA_ASSET_CLASSIFICATION!$AA$8:$AA$13,0)),"Review"))</f>
        <v>Bucket 2 · Legacy</v>
      </c>
      <c r="P2528" s="350" t="str">
        <f>IF($B2528="Portfolio","Portfolio",IFERROR(INDEX(DATA_ASSET_CLASSIFICATION!$C$8:$C$24,MATCH($C2528,DATA_ASSET_CLASSIFICATION!$A$8:$A$24,0)),"Review"))</f>
        <v>Yes</v>
      </c>
      <c r="Q2528" s="350" t="str">
        <f t="shared" ca="1" si="79"/>
        <v>OK</v>
      </c>
    </row>
    <row r="2529" spans="1:17">
      <c r="A2529" s="366" t="s">
        <v>4485</v>
      </c>
      <c r="B2529" s="366" t="s">
        <v>231</v>
      </c>
      <c r="C2529" s="348" t="str">
        <f>DATA_PROPERTY_MASTER!$A$12</f>
        <v>BLD_JP</v>
      </c>
      <c r="D2529" s="380">
        <f>'00_PORTFOLIO ROLLUP'!Q$12</f>
        <v>2037</v>
      </c>
      <c r="E2529" s="366" t="s">
        <v>1683</v>
      </c>
      <c r="F2529" s="366" t="s">
        <v>29</v>
      </c>
      <c r="G2529" s="348" t="str">
        <f>"'"&amp;$C2529&amp;"'!$E$56:$Y$56"</f>
        <v>'BLD_JP'!$E$56:$Y$56</v>
      </c>
      <c r="H2529" s="381">
        <f ca="1">IF(IFERROR(INDEX(DATA_PROPERTY_MASTER!$E$5:$E$21,MATCH($C2529,DATA_PROPERTY_MASTER!$A$5:$A$21,0))="Yes",FALSE),IFERROR(INDEX(INDIRECT("'"&amp;$C2529&amp;"'!$E$56:$Y$56"),1,MATCH($D2529,INDIRECT("'"&amp;$C2529&amp;"'!$E$12:$Y$12"),0)),0),0)</f>
        <v>93309.449754804577</v>
      </c>
      <c r="I2529" s="366" t="s">
        <v>1685</v>
      </c>
      <c r="J2529" s="348" t="str">
        <f t="shared" ca="1" si="78"/>
        <v>OK</v>
      </c>
      <c r="K2529" s="366" t="s">
        <v>1718</v>
      </c>
      <c r="L2529" s="366" t="s">
        <v>2250</v>
      </c>
      <c r="M2529" s="350" t="str">
        <f>IF($B2529="Portfolio","Portfolio",IFERROR(INDEX(DATA_ASSET_CLASSIFICATION!$B$8:$B$24,MATCH($C2529,DATA_ASSET_CLASSIFICATION!$A$8:$A$24,0)),"Review"))</f>
        <v>Jessica Place</v>
      </c>
      <c r="N2529" s="350" t="str">
        <f ca="1">IF($B2529="Portfolio","Portfolio",IFERROR(INDEX(DATA_ASSET_CLASSIFICATION!$U$8:$U$24,MATCH($C2529,DATA_ASSET_CLASSIFICATION!$A$8:$A$24,0)),"Review"))</f>
        <v>Refi Watch</v>
      </c>
      <c r="O2529" s="350" t="str">
        <f ca="1">IF($B2529="Portfolio","Portfolio",IFERROR(INDEX(DATA_ASSET_CLASSIFICATION!$AB$8:$AB$13,MATCH($N2529,DATA_ASSET_CLASSIFICATION!$AA$8:$AA$13,0)),"Review"))</f>
        <v>Bucket 2 · Legacy</v>
      </c>
      <c r="P2529" s="350" t="str">
        <f>IF($B2529="Portfolio","Portfolio",IFERROR(INDEX(DATA_ASSET_CLASSIFICATION!$C$8:$C$24,MATCH($C2529,DATA_ASSET_CLASSIFICATION!$A$8:$A$24,0)),"Review"))</f>
        <v>Yes</v>
      </c>
      <c r="Q2529" s="350" t="str">
        <f t="shared" ca="1" si="79"/>
        <v>OK</v>
      </c>
    </row>
    <row r="2530" spans="1:17">
      <c r="A2530" s="366" t="s">
        <v>4486</v>
      </c>
      <c r="B2530" s="366" t="s">
        <v>231</v>
      </c>
      <c r="C2530" s="348" t="str">
        <f>DATA_PROPERTY_MASTER!$A$12</f>
        <v>BLD_JP</v>
      </c>
      <c r="D2530" s="380">
        <f>'00_PORTFOLIO ROLLUP'!Q$12</f>
        <v>2037</v>
      </c>
      <c r="E2530" s="366" t="s">
        <v>1721</v>
      </c>
      <c r="F2530" s="366" t="s">
        <v>31</v>
      </c>
      <c r="G2530" s="348" t="str">
        <f>"'"&amp;$C2530&amp;"'!$E$61:$Y$61"</f>
        <v>'BLD_JP'!$E$61:$Y$61</v>
      </c>
      <c r="H2530" s="381">
        <f ca="1">IF(IFERROR(INDEX(DATA_PROPERTY_MASTER!$E$5:$E$21,MATCH($C2530,DATA_PROPERTY_MASTER!$A$5:$A$21,0))="Yes",FALSE),IFERROR(INDEX(INDIRECT("'"&amp;$C2530&amp;"'!$E$61:$Y$61"),1,MATCH($D2530,INDIRECT("'"&amp;$C2530&amp;"'!$E$12:$Y$12"),0)),0),0)</f>
        <v>0</v>
      </c>
      <c r="I2530" s="366" t="s">
        <v>1690</v>
      </c>
      <c r="J2530" s="348" t="str">
        <f t="shared" ca="1" si="78"/>
        <v>OK</v>
      </c>
      <c r="K2530" s="366" t="s">
        <v>1723</v>
      </c>
      <c r="L2530" s="366" t="s">
        <v>2252</v>
      </c>
      <c r="M2530" s="350" t="str">
        <f>IF($B2530="Portfolio","Portfolio",IFERROR(INDEX(DATA_ASSET_CLASSIFICATION!$B$8:$B$24,MATCH($C2530,DATA_ASSET_CLASSIFICATION!$A$8:$A$24,0)),"Review"))</f>
        <v>Jessica Place</v>
      </c>
      <c r="N2530" s="350" t="str">
        <f ca="1">IF($B2530="Portfolio","Portfolio",IFERROR(INDEX(DATA_ASSET_CLASSIFICATION!$U$8:$U$24,MATCH($C2530,DATA_ASSET_CLASSIFICATION!$A$8:$A$24,0)),"Review"))</f>
        <v>Refi Watch</v>
      </c>
      <c r="O2530" s="350" t="str">
        <f ca="1">IF($B2530="Portfolio","Portfolio",IFERROR(INDEX(DATA_ASSET_CLASSIFICATION!$AB$8:$AB$13,MATCH($N2530,DATA_ASSET_CLASSIFICATION!$AA$8:$AA$13,0)),"Review"))</f>
        <v>Bucket 2 · Legacy</v>
      </c>
      <c r="P2530" s="350" t="str">
        <f>IF($B2530="Portfolio","Portfolio",IFERROR(INDEX(DATA_ASSET_CLASSIFICATION!$C$8:$C$24,MATCH($C2530,DATA_ASSET_CLASSIFICATION!$A$8:$A$24,0)),"Review"))</f>
        <v>Yes</v>
      </c>
      <c r="Q2530" s="350" t="str">
        <f t="shared" ca="1" si="79"/>
        <v>OK</v>
      </c>
    </row>
    <row r="2531" spans="1:17">
      <c r="A2531" s="366" t="s">
        <v>4487</v>
      </c>
      <c r="B2531" s="366" t="s">
        <v>231</v>
      </c>
      <c r="C2531" s="348" t="str">
        <f>DATA_PROPERTY_MASTER!$A$12</f>
        <v>BLD_JP</v>
      </c>
      <c r="D2531" s="380">
        <f>'00_PORTFOLIO ROLLUP'!Q$12</f>
        <v>2037</v>
      </c>
      <c r="E2531" s="366" t="s">
        <v>1721</v>
      </c>
      <c r="F2531" s="366" t="s">
        <v>33</v>
      </c>
      <c r="G2531" s="348" t="str">
        <f>"'"&amp;$C2531&amp;"'!$E$62:$Y$62"</f>
        <v>'BLD_JP'!$E$62:$Y$62</v>
      </c>
      <c r="H2531" s="381">
        <f ca="1">IF(IFERROR(INDEX(DATA_PROPERTY_MASTER!$E$5:$E$21,MATCH($C2531,DATA_PROPERTY_MASTER!$A$5:$A$21,0))="Yes",FALSE),IFERROR(INDEX(INDIRECT("'"&amp;$C2531&amp;"'!$E$62:$Y$62"),1,MATCH($D2531,INDIRECT("'"&amp;$C2531&amp;"'!$E$12:$Y$12"),0)),0),0)</f>
        <v>0</v>
      </c>
      <c r="I2531" s="366" t="s">
        <v>1685</v>
      </c>
      <c r="J2531" s="348" t="str">
        <f t="shared" ca="1" si="78"/>
        <v>OK</v>
      </c>
      <c r="K2531" s="366" t="s">
        <v>1727</v>
      </c>
      <c r="L2531" s="366" t="s">
        <v>2254</v>
      </c>
      <c r="M2531" s="350" t="str">
        <f>IF($B2531="Portfolio","Portfolio",IFERROR(INDEX(DATA_ASSET_CLASSIFICATION!$B$8:$B$24,MATCH($C2531,DATA_ASSET_CLASSIFICATION!$A$8:$A$24,0)),"Review"))</f>
        <v>Jessica Place</v>
      </c>
      <c r="N2531" s="350" t="str">
        <f ca="1">IF($B2531="Portfolio","Portfolio",IFERROR(INDEX(DATA_ASSET_CLASSIFICATION!$U$8:$U$24,MATCH($C2531,DATA_ASSET_CLASSIFICATION!$A$8:$A$24,0)),"Review"))</f>
        <v>Refi Watch</v>
      </c>
      <c r="O2531" s="350" t="str">
        <f ca="1">IF($B2531="Portfolio","Portfolio",IFERROR(INDEX(DATA_ASSET_CLASSIFICATION!$AB$8:$AB$13,MATCH($N2531,DATA_ASSET_CLASSIFICATION!$AA$8:$AA$13,0)),"Review"))</f>
        <v>Bucket 2 · Legacy</v>
      </c>
      <c r="P2531" s="350" t="str">
        <f>IF($B2531="Portfolio","Portfolio",IFERROR(INDEX(DATA_ASSET_CLASSIFICATION!$C$8:$C$24,MATCH($C2531,DATA_ASSET_CLASSIFICATION!$A$8:$A$24,0)),"Review"))</f>
        <v>Yes</v>
      </c>
      <c r="Q2531" s="350" t="str">
        <f t="shared" ca="1" si="79"/>
        <v>OK</v>
      </c>
    </row>
    <row r="2532" spans="1:17">
      <c r="A2532" s="366" t="s">
        <v>4488</v>
      </c>
      <c r="B2532" s="366" t="s">
        <v>231</v>
      </c>
      <c r="C2532" s="348" t="str">
        <f>DATA_PROPERTY_MASTER!$A$12</f>
        <v>BLD_JP</v>
      </c>
      <c r="D2532" s="380">
        <f>'00_PORTFOLIO ROLLUP'!Q$12</f>
        <v>2037</v>
      </c>
      <c r="E2532" s="366" t="s">
        <v>1721</v>
      </c>
      <c r="F2532" s="366" t="s">
        <v>35</v>
      </c>
      <c r="G2532" s="348" t="str">
        <f>"'"&amp;$C2532&amp;"'!$E$63:$Y$63"</f>
        <v>'BLD_JP'!$E$63:$Y$63</v>
      </c>
      <c r="H2532" s="381">
        <f ca="1">IF(IFERROR(INDEX(DATA_PROPERTY_MASTER!$E$5:$E$21,MATCH($C2532,DATA_PROPERTY_MASTER!$A$5:$A$21,0))="Yes",FALSE),IFERROR(INDEX(INDIRECT("'"&amp;$C2532&amp;"'!$E$63:$Y$63"),1,MATCH($D2532,INDIRECT("'"&amp;$C2532&amp;"'!$E$12:$Y$12"),0)),0),0)</f>
        <v>0</v>
      </c>
      <c r="I2532" s="366" t="s">
        <v>1731</v>
      </c>
      <c r="J2532" s="348" t="str">
        <f t="shared" ca="1" si="78"/>
        <v>OK</v>
      </c>
      <c r="K2532" s="366" t="s">
        <v>1732</v>
      </c>
      <c r="L2532" s="366" t="s">
        <v>2256</v>
      </c>
      <c r="M2532" s="350" t="str">
        <f>IF($B2532="Portfolio","Portfolio",IFERROR(INDEX(DATA_ASSET_CLASSIFICATION!$B$8:$B$24,MATCH($C2532,DATA_ASSET_CLASSIFICATION!$A$8:$A$24,0)),"Review"))</f>
        <v>Jessica Place</v>
      </c>
      <c r="N2532" s="350" t="str">
        <f ca="1">IF($B2532="Portfolio","Portfolio",IFERROR(INDEX(DATA_ASSET_CLASSIFICATION!$U$8:$U$24,MATCH($C2532,DATA_ASSET_CLASSIFICATION!$A$8:$A$24,0)),"Review"))</f>
        <v>Refi Watch</v>
      </c>
      <c r="O2532" s="350" t="str">
        <f ca="1">IF($B2532="Portfolio","Portfolio",IFERROR(INDEX(DATA_ASSET_CLASSIFICATION!$AB$8:$AB$13,MATCH($N2532,DATA_ASSET_CLASSIFICATION!$AA$8:$AA$13,0)),"Review"))</f>
        <v>Bucket 2 · Legacy</v>
      </c>
      <c r="P2532" s="350" t="str">
        <f>IF($B2532="Portfolio","Portfolio",IFERROR(INDEX(DATA_ASSET_CLASSIFICATION!$C$8:$C$24,MATCH($C2532,DATA_ASSET_CLASSIFICATION!$A$8:$A$24,0)),"Review"))</f>
        <v>Yes</v>
      </c>
      <c r="Q2532" s="350" t="str">
        <f t="shared" ca="1" si="79"/>
        <v>OK</v>
      </c>
    </row>
    <row r="2533" spans="1:17">
      <c r="A2533" s="366" t="s">
        <v>4489</v>
      </c>
      <c r="B2533" s="366" t="s">
        <v>231</v>
      </c>
      <c r="C2533" s="348" t="str">
        <f>DATA_PROPERTY_MASTER!$A$12</f>
        <v>BLD_JP</v>
      </c>
      <c r="D2533" s="380">
        <f>'00_PORTFOLIO ROLLUP'!Q$12</f>
        <v>2037</v>
      </c>
      <c r="E2533" s="366" t="s">
        <v>1721</v>
      </c>
      <c r="F2533" s="366" t="s">
        <v>37</v>
      </c>
      <c r="G2533" s="348" t="str">
        <f>"'"&amp;$C2533&amp;"'!$E$63:$Y$63"</f>
        <v>'BLD_JP'!$E$63:$Y$63</v>
      </c>
      <c r="H2533" s="381">
        <f ca="1">IF(IFERROR(INDEX(DATA_PROPERTY_MASTER!$E$5:$E$21,MATCH($C2533,DATA_PROPERTY_MASTER!$A$5:$A$21,0))="Yes",FALSE),MAX(IFERROR(INDEX(INDIRECT("'"&amp;$C2533&amp;"'!$E$63:$Y$63"),1,MATCH($D2533,INDIRECT("'"&amp;$C2533&amp;"'!$E$12:$Y$12"),0)),0),0),0)</f>
        <v>0</v>
      </c>
      <c r="I2533" s="366" t="s">
        <v>1685</v>
      </c>
      <c r="J2533" s="348" t="str">
        <f t="shared" ca="1" si="78"/>
        <v>OK</v>
      </c>
      <c r="K2533" s="366" t="s">
        <v>1735</v>
      </c>
      <c r="L2533" s="366" t="s">
        <v>2258</v>
      </c>
      <c r="M2533" s="350" t="str">
        <f>IF($B2533="Portfolio","Portfolio",IFERROR(INDEX(DATA_ASSET_CLASSIFICATION!$B$8:$B$24,MATCH($C2533,DATA_ASSET_CLASSIFICATION!$A$8:$A$24,0)),"Review"))</f>
        <v>Jessica Place</v>
      </c>
      <c r="N2533" s="350" t="str">
        <f ca="1">IF($B2533="Portfolio","Portfolio",IFERROR(INDEX(DATA_ASSET_CLASSIFICATION!$U$8:$U$24,MATCH($C2533,DATA_ASSET_CLASSIFICATION!$A$8:$A$24,0)),"Review"))</f>
        <v>Refi Watch</v>
      </c>
      <c r="O2533" s="350" t="str">
        <f ca="1">IF($B2533="Portfolio","Portfolio",IFERROR(INDEX(DATA_ASSET_CLASSIFICATION!$AB$8:$AB$13,MATCH($N2533,DATA_ASSET_CLASSIFICATION!$AA$8:$AA$13,0)),"Review"))</f>
        <v>Bucket 2 · Legacy</v>
      </c>
      <c r="P2533" s="350" t="str">
        <f>IF($B2533="Portfolio","Portfolio",IFERROR(INDEX(DATA_ASSET_CLASSIFICATION!$C$8:$C$24,MATCH($C2533,DATA_ASSET_CLASSIFICATION!$A$8:$A$24,0)),"Review"))</f>
        <v>Yes</v>
      </c>
      <c r="Q2533" s="350" t="str">
        <f t="shared" ca="1" si="79"/>
        <v>OK</v>
      </c>
    </row>
    <row r="2534" spans="1:17">
      <c r="A2534" s="366" t="s">
        <v>4490</v>
      </c>
      <c r="B2534" s="366" t="s">
        <v>231</v>
      </c>
      <c r="C2534" s="348" t="str">
        <f>DATA_PROPERTY_MASTER!$A$12</f>
        <v>BLD_JP</v>
      </c>
      <c r="D2534" s="380">
        <f>'00_PORTFOLIO ROLLUP'!Q$12</f>
        <v>2037</v>
      </c>
      <c r="E2534" s="366" t="s">
        <v>1721</v>
      </c>
      <c r="F2534" s="366" t="s">
        <v>39</v>
      </c>
      <c r="G2534" s="348" t="str">
        <f>"'"&amp;$C2534&amp;"'!$E$63:$Y$63"</f>
        <v>'BLD_JP'!$E$63:$Y$63</v>
      </c>
      <c r="H2534" s="381">
        <f ca="1">IF(IFERROR(INDEX(DATA_PROPERTY_MASTER!$E$5:$E$21,MATCH($C2534,DATA_PROPERTY_MASTER!$A$5:$A$21,0))="Yes",FALSE),MAX(-IFERROR(INDEX(INDIRECT("'"&amp;$C2534&amp;"'!$E$63:$Y$63"),1,MATCH($D2534,INDIRECT("'"&amp;$C2534&amp;"'!$E$12:$Y$12"),0)),0),0),0)</f>
        <v>0</v>
      </c>
      <c r="I2534" s="366" t="s">
        <v>1690</v>
      </c>
      <c r="J2534" s="348" t="str">
        <f t="shared" ca="1" si="78"/>
        <v>OK</v>
      </c>
      <c r="K2534" s="366" t="s">
        <v>1738</v>
      </c>
      <c r="L2534" s="366" t="s">
        <v>2260</v>
      </c>
      <c r="M2534" s="350" t="str">
        <f>IF($B2534="Portfolio","Portfolio",IFERROR(INDEX(DATA_ASSET_CLASSIFICATION!$B$8:$B$24,MATCH($C2534,DATA_ASSET_CLASSIFICATION!$A$8:$A$24,0)),"Review"))</f>
        <v>Jessica Place</v>
      </c>
      <c r="N2534" s="350" t="str">
        <f ca="1">IF($B2534="Portfolio","Portfolio",IFERROR(INDEX(DATA_ASSET_CLASSIFICATION!$U$8:$U$24,MATCH($C2534,DATA_ASSET_CLASSIFICATION!$A$8:$A$24,0)),"Review"))</f>
        <v>Refi Watch</v>
      </c>
      <c r="O2534" s="350" t="str">
        <f ca="1">IF($B2534="Portfolio","Portfolio",IFERROR(INDEX(DATA_ASSET_CLASSIFICATION!$AB$8:$AB$13,MATCH($N2534,DATA_ASSET_CLASSIFICATION!$AA$8:$AA$13,0)),"Review"))</f>
        <v>Bucket 2 · Legacy</v>
      </c>
      <c r="P2534" s="350" t="str">
        <f>IF($B2534="Portfolio","Portfolio",IFERROR(INDEX(DATA_ASSET_CLASSIFICATION!$C$8:$C$24,MATCH($C2534,DATA_ASSET_CLASSIFICATION!$A$8:$A$24,0)),"Review"))</f>
        <v>Yes</v>
      </c>
      <c r="Q2534" s="350" t="str">
        <f t="shared" ca="1" si="79"/>
        <v>OK</v>
      </c>
    </row>
    <row r="2535" spans="1:17">
      <c r="A2535" s="366" t="s">
        <v>4491</v>
      </c>
      <c r="B2535" s="366" t="s">
        <v>231</v>
      </c>
      <c r="C2535" s="348" t="str">
        <f>DATA_PROPERTY_MASTER!$A$12</f>
        <v>BLD_JP</v>
      </c>
      <c r="D2535" s="380">
        <f>'00_PORTFOLIO ROLLUP'!Q$12</f>
        <v>2037</v>
      </c>
      <c r="E2535" s="366" t="s">
        <v>1741</v>
      </c>
      <c r="F2535" s="366" t="s">
        <v>41</v>
      </c>
      <c r="G2535" s="348" t="str">
        <f>"'"&amp;$C2535&amp;"'!rows 56 + positive row 63"</f>
        <v>'BLD_JP'!rows 56 + positive row 63</v>
      </c>
      <c r="H2535" s="381">
        <f ca="1">IF(IFERROR(INDEX(DATA_PROPERTY_MASTER!$E$5:$E$21,MATCH($C2535,DATA_PROPERTY_MASTER!$A$5:$A$21,0))="Yes",FALSE),IFERROR(INDEX(INDIRECT("'"&amp;$C2535&amp;"'!$E$56:$Y$56"),1,MATCH($D2535,INDIRECT("'"&amp;$C2535&amp;"'!$E$12:$Y$12"),0)),0)+MAX(IFERROR(INDEX(INDIRECT("'"&amp;$C2535&amp;"'!$E$63:$Y$63"),1,MATCH($D2535,INDIRECT("'"&amp;$C2535&amp;"'!$E$12:$Y$12"),0)),0),0),0)</f>
        <v>93309.449754804577</v>
      </c>
      <c r="I2535" s="366" t="s">
        <v>1685</v>
      </c>
      <c r="J2535" s="348" t="str">
        <f t="shared" ca="1" si="78"/>
        <v>OK</v>
      </c>
      <c r="K2535" s="366" t="s">
        <v>1742</v>
      </c>
      <c r="L2535" s="366" t="s">
        <v>2262</v>
      </c>
      <c r="M2535" s="350" t="str">
        <f>IF($B2535="Portfolio","Portfolio",IFERROR(INDEX(DATA_ASSET_CLASSIFICATION!$B$8:$B$24,MATCH($C2535,DATA_ASSET_CLASSIFICATION!$A$8:$A$24,0)),"Review"))</f>
        <v>Jessica Place</v>
      </c>
      <c r="N2535" s="350" t="str">
        <f ca="1">IF($B2535="Portfolio","Portfolio",IFERROR(INDEX(DATA_ASSET_CLASSIFICATION!$U$8:$U$24,MATCH($C2535,DATA_ASSET_CLASSIFICATION!$A$8:$A$24,0)),"Review"))</f>
        <v>Refi Watch</v>
      </c>
      <c r="O2535" s="350" t="str">
        <f ca="1">IF($B2535="Portfolio","Portfolio",IFERROR(INDEX(DATA_ASSET_CLASSIFICATION!$AB$8:$AB$13,MATCH($N2535,DATA_ASSET_CLASSIFICATION!$AA$8:$AA$13,0)),"Review"))</f>
        <v>Bucket 2 · Legacy</v>
      </c>
      <c r="P2535" s="350" t="str">
        <f>IF($B2535="Portfolio","Portfolio",IFERROR(INDEX(DATA_ASSET_CLASSIFICATION!$C$8:$C$24,MATCH($C2535,DATA_ASSET_CLASSIFICATION!$A$8:$A$24,0)),"Review"))</f>
        <v>Yes</v>
      </c>
      <c r="Q2535" s="350" t="str">
        <f t="shared" ca="1" si="79"/>
        <v>OK</v>
      </c>
    </row>
    <row r="2536" spans="1:17">
      <c r="A2536" s="366" t="s">
        <v>4492</v>
      </c>
      <c r="B2536" s="366" t="s">
        <v>231</v>
      </c>
      <c r="C2536" s="348" t="str">
        <f>DATA_PROPERTY_MASTER!$A$12</f>
        <v>BLD_JP</v>
      </c>
      <c r="D2536" s="380">
        <f>'00_PORTFOLIO ROLLUP'!Q$12</f>
        <v>2037</v>
      </c>
      <c r="E2536" s="366" t="s">
        <v>1741</v>
      </c>
      <c r="F2536" s="366" t="s">
        <v>43</v>
      </c>
      <c r="G2536" s="348" t="str">
        <f>"'"&amp;$C2536&amp;"'!$E$68:$Y$68"</f>
        <v>'BLD_JP'!$E$68:$Y$68</v>
      </c>
      <c r="H2536" s="381">
        <f ca="1">IF(IFERROR(INDEX(DATA_PROPERTY_MASTER!$E$5:$E$21,MATCH($C2536,DATA_PROPERTY_MASTER!$A$5:$A$21,0))="Yes",FALSE),IFERROR(INDEX(INDIRECT("'"&amp;$C2536&amp;"'!$E$68:$Y$68"),1,MATCH($D2536,INDIRECT("'"&amp;$C2536&amp;"'!$E$12:$Y$12"),0)),0),0)</f>
        <v>93309.449754804577</v>
      </c>
      <c r="I2536" s="366" t="s">
        <v>1731</v>
      </c>
      <c r="J2536" s="348" t="str">
        <f t="shared" ca="1" si="78"/>
        <v>OK</v>
      </c>
      <c r="K2536" s="366" t="s">
        <v>1746</v>
      </c>
      <c r="L2536" s="366" t="s">
        <v>2264</v>
      </c>
      <c r="M2536" s="350" t="str">
        <f>IF($B2536="Portfolio","Portfolio",IFERROR(INDEX(DATA_ASSET_CLASSIFICATION!$B$8:$B$24,MATCH($C2536,DATA_ASSET_CLASSIFICATION!$A$8:$A$24,0)),"Review"))</f>
        <v>Jessica Place</v>
      </c>
      <c r="N2536" s="350" t="str">
        <f ca="1">IF($B2536="Portfolio","Portfolio",IFERROR(INDEX(DATA_ASSET_CLASSIFICATION!$U$8:$U$24,MATCH($C2536,DATA_ASSET_CLASSIFICATION!$A$8:$A$24,0)),"Review"))</f>
        <v>Refi Watch</v>
      </c>
      <c r="O2536" s="350" t="str">
        <f ca="1">IF($B2536="Portfolio","Portfolio",IFERROR(INDEX(DATA_ASSET_CLASSIFICATION!$AB$8:$AB$13,MATCH($N2536,DATA_ASSET_CLASSIFICATION!$AA$8:$AA$13,0)),"Review"))</f>
        <v>Bucket 2 · Legacy</v>
      </c>
      <c r="P2536" s="350" t="str">
        <f>IF($B2536="Portfolio","Portfolio",IFERROR(INDEX(DATA_ASSET_CLASSIFICATION!$C$8:$C$24,MATCH($C2536,DATA_ASSET_CLASSIFICATION!$A$8:$A$24,0)),"Review"))</f>
        <v>Yes</v>
      </c>
      <c r="Q2536" s="350" t="str">
        <f t="shared" ca="1" si="79"/>
        <v>OK</v>
      </c>
    </row>
    <row r="2537" spans="1:17">
      <c r="A2537" s="366" t="s">
        <v>4493</v>
      </c>
      <c r="B2537" s="366" t="s">
        <v>231</v>
      </c>
      <c r="C2537" s="348" t="str">
        <f>DATA_PROPERTY_MASTER!$A$12</f>
        <v>BLD_JP</v>
      </c>
      <c r="D2537" s="380">
        <f>'00_PORTFOLIO ROLLUP'!Q$12</f>
        <v>2037</v>
      </c>
      <c r="E2537" s="366" t="s">
        <v>1741</v>
      </c>
      <c r="F2537" s="366" t="s">
        <v>1749</v>
      </c>
      <c r="G2537" s="348" t="str">
        <f>"'"&amp;$C2537&amp;"'!rows 56, 63, 68"</f>
        <v>'BLD_JP'!rows 56, 63, 68</v>
      </c>
      <c r="H2537" s="381">
        <f ca="1">IF(IFERROR(INDEX(DATA_PROPERTY_MASTER!$E$5:$E$21,MATCH($C2537,DATA_PROPERTY_MASTER!$A$5:$A$21,0))="Yes",FALSE),(IFERROR(INDEX(INDIRECT("'"&amp;$C2537&amp;"'!$E$56:$Y$56"),1,MATCH($D2537,INDIRECT("'"&amp;$C2537&amp;"'!$E$12:$Y$12"),0)),0)+MAX(IFERROR(INDEX(INDIRECT("'"&amp;$C2537&amp;"'!$E$63:$Y$63"),1,MATCH($D2537,INDIRECT("'"&amp;$C2537&amp;"'!$E$12:$Y$12"),0)),0),0))-(IFERROR(INDEX(INDIRECT("'"&amp;$C2537&amp;"'!$E$68:$Y$68"),1,MATCH($D2537,INDIRECT("'"&amp;$C2537&amp;"'!$E$12:$Y$12"),0)),0)),0)</f>
        <v>0</v>
      </c>
      <c r="I2537" s="366" t="s">
        <v>1750</v>
      </c>
      <c r="J2537" s="348" t="str">
        <f t="shared" ca="1" si="78"/>
        <v>OK</v>
      </c>
      <c r="K2537" s="366" t="s">
        <v>1751</v>
      </c>
      <c r="L2537" s="366" t="s">
        <v>2266</v>
      </c>
      <c r="M2537" s="350" t="str">
        <f>IF($B2537="Portfolio","Portfolio",IFERROR(INDEX(DATA_ASSET_CLASSIFICATION!$B$8:$B$24,MATCH($C2537,DATA_ASSET_CLASSIFICATION!$A$8:$A$24,0)),"Review"))</f>
        <v>Jessica Place</v>
      </c>
      <c r="N2537" s="350" t="str">
        <f ca="1">IF($B2537="Portfolio","Portfolio",IFERROR(INDEX(DATA_ASSET_CLASSIFICATION!$U$8:$U$24,MATCH($C2537,DATA_ASSET_CLASSIFICATION!$A$8:$A$24,0)),"Review"))</f>
        <v>Refi Watch</v>
      </c>
      <c r="O2537" s="350" t="str">
        <f ca="1">IF($B2537="Portfolio","Portfolio",IFERROR(INDEX(DATA_ASSET_CLASSIFICATION!$AB$8:$AB$13,MATCH($N2537,DATA_ASSET_CLASSIFICATION!$AA$8:$AA$13,0)),"Review"))</f>
        <v>Bucket 2 · Legacy</v>
      </c>
      <c r="P2537" s="350" t="str">
        <f>IF($B2537="Portfolio","Portfolio",IFERROR(INDEX(DATA_ASSET_CLASSIFICATION!$C$8:$C$24,MATCH($C2537,DATA_ASSET_CLASSIFICATION!$A$8:$A$24,0)),"Review"))</f>
        <v>Yes</v>
      </c>
      <c r="Q2537" s="350" t="str">
        <f t="shared" ca="1" si="79"/>
        <v>OK</v>
      </c>
    </row>
    <row r="2538" spans="1:17">
      <c r="A2538" s="366" t="s">
        <v>4494</v>
      </c>
      <c r="B2538" s="366" t="s">
        <v>231</v>
      </c>
      <c r="C2538" s="348" t="str">
        <f>DATA_PROPERTY_MASTER!$A$12</f>
        <v>BLD_JP</v>
      </c>
      <c r="D2538" s="380">
        <f>'00_PORTFOLIO ROLLUP'!R$12</f>
        <v>2038</v>
      </c>
      <c r="E2538" s="366" t="s">
        <v>1683</v>
      </c>
      <c r="F2538" s="366" t="s">
        <v>341</v>
      </c>
      <c r="G2538" s="348" t="str">
        <f>"'"&amp;$C2538&amp;"'!$E$24:$Y$24"</f>
        <v>'BLD_JP'!$E$24:$Y$24</v>
      </c>
      <c r="H2538" s="381">
        <f ca="1">IF(IFERROR(INDEX(DATA_PROPERTY_MASTER!$E$5:$E$21,MATCH($C2538,DATA_PROPERTY_MASTER!$A$5:$A$21,0))="Yes",FALSE),IFERROR(INDEX(INDIRECT("'"&amp;$C2538&amp;"'!$E$24:$Y$24"),1,MATCH($D2538,INDIRECT("'"&amp;$C2538&amp;"'!$E$12:$Y$12"),0)),0),0)</f>
        <v>636133.95820450655</v>
      </c>
      <c r="I2538" s="366" t="s">
        <v>1685</v>
      </c>
      <c r="J2538" s="348" t="str">
        <f t="shared" ca="1" si="78"/>
        <v>OK</v>
      </c>
      <c r="K2538" s="366" t="s">
        <v>1686</v>
      </c>
      <c r="L2538" s="366" t="s">
        <v>2234</v>
      </c>
      <c r="M2538" s="350" t="str">
        <f>IF($B2538="Portfolio","Portfolio",IFERROR(INDEX(DATA_ASSET_CLASSIFICATION!$B$8:$B$24,MATCH($C2538,DATA_ASSET_CLASSIFICATION!$A$8:$A$24,0)),"Review"))</f>
        <v>Jessica Place</v>
      </c>
      <c r="N2538" s="350" t="str">
        <f ca="1">IF($B2538="Portfolio","Portfolio",IFERROR(INDEX(DATA_ASSET_CLASSIFICATION!$U$8:$U$24,MATCH($C2538,DATA_ASSET_CLASSIFICATION!$A$8:$A$24,0)),"Review"))</f>
        <v>Refi Watch</v>
      </c>
      <c r="O2538" s="350" t="str">
        <f ca="1">IF($B2538="Portfolio","Portfolio",IFERROR(INDEX(DATA_ASSET_CLASSIFICATION!$AB$8:$AB$13,MATCH($N2538,DATA_ASSET_CLASSIFICATION!$AA$8:$AA$13,0)),"Review"))</f>
        <v>Bucket 2 · Legacy</v>
      </c>
      <c r="P2538" s="350" t="str">
        <f>IF($B2538="Portfolio","Portfolio",IFERROR(INDEX(DATA_ASSET_CLASSIFICATION!$C$8:$C$24,MATCH($C2538,DATA_ASSET_CLASSIFICATION!$A$8:$A$24,0)),"Review"))</f>
        <v>Yes</v>
      </c>
      <c r="Q2538" s="350" t="str">
        <f t="shared" ca="1" si="79"/>
        <v>OK</v>
      </c>
    </row>
    <row r="2539" spans="1:17">
      <c r="A2539" s="366" t="s">
        <v>4495</v>
      </c>
      <c r="B2539" s="366" t="s">
        <v>231</v>
      </c>
      <c r="C2539" s="348" t="str">
        <f>DATA_PROPERTY_MASTER!$A$12</f>
        <v>BLD_JP</v>
      </c>
      <c r="D2539" s="380">
        <f>'00_PORTFOLIO ROLLUP'!R$12</f>
        <v>2038</v>
      </c>
      <c r="E2539" s="366" t="s">
        <v>1683</v>
      </c>
      <c r="F2539" s="366" t="s">
        <v>355</v>
      </c>
      <c r="G2539" s="348" t="str">
        <f>"'"&amp;$C2539&amp;"'!$E$39:$Y$39"</f>
        <v>'BLD_JP'!$E$39:$Y$39</v>
      </c>
      <c r="H2539" s="381">
        <f ca="1">IF(IFERROR(INDEX(DATA_PROPERTY_MASTER!$E$5:$E$21,MATCH($C2539,DATA_PROPERTY_MASTER!$A$5:$A$21,0))="Yes",FALSE),IFERROR(INDEX(INDIRECT("'"&amp;$C2539&amp;"'!$E$39:$Y$39"),1,MATCH($D2539,INDIRECT("'"&amp;$C2539&amp;"'!$E$12:$Y$12"),0)),0),0)</f>
        <v>400146.79692450835</v>
      </c>
      <c r="I2539" s="366" t="s">
        <v>1690</v>
      </c>
      <c r="J2539" s="348" t="str">
        <f t="shared" ca="1" si="78"/>
        <v>OK</v>
      </c>
      <c r="K2539" s="366" t="s">
        <v>1686</v>
      </c>
      <c r="L2539" s="366" t="s">
        <v>2236</v>
      </c>
      <c r="M2539" s="350" t="str">
        <f>IF($B2539="Portfolio","Portfolio",IFERROR(INDEX(DATA_ASSET_CLASSIFICATION!$B$8:$B$24,MATCH($C2539,DATA_ASSET_CLASSIFICATION!$A$8:$A$24,0)),"Review"))</f>
        <v>Jessica Place</v>
      </c>
      <c r="N2539" s="350" t="str">
        <f ca="1">IF($B2539="Portfolio","Portfolio",IFERROR(INDEX(DATA_ASSET_CLASSIFICATION!$U$8:$U$24,MATCH($C2539,DATA_ASSET_CLASSIFICATION!$A$8:$A$24,0)),"Review"))</f>
        <v>Refi Watch</v>
      </c>
      <c r="O2539" s="350" t="str">
        <f ca="1">IF($B2539="Portfolio","Portfolio",IFERROR(INDEX(DATA_ASSET_CLASSIFICATION!$AB$8:$AB$13,MATCH($N2539,DATA_ASSET_CLASSIFICATION!$AA$8:$AA$13,0)),"Review"))</f>
        <v>Bucket 2 · Legacy</v>
      </c>
      <c r="P2539" s="350" t="str">
        <f>IF($B2539="Portfolio","Portfolio",IFERROR(INDEX(DATA_ASSET_CLASSIFICATION!$C$8:$C$24,MATCH($C2539,DATA_ASSET_CLASSIFICATION!$A$8:$A$24,0)),"Review"))</f>
        <v>Yes</v>
      </c>
      <c r="Q2539" s="350" t="str">
        <f t="shared" ca="1" si="79"/>
        <v>OK</v>
      </c>
    </row>
    <row r="2540" spans="1:17">
      <c r="A2540" s="366" t="s">
        <v>4496</v>
      </c>
      <c r="B2540" s="366" t="s">
        <v>231</v>
      </c>
      <c r="C2540" s="348" t="str">
        <f>DATA_PROPERTY_MASTER!$A$12</f>
        <v>BLD_JP</v>
      </c>
      <c r="D2540" s="380">
        <f>'00_PORTFOLIO ROLLUP'!R$12</f>
        <v>2038</v>
      </c>
      <c r="E2540" s="366" t="s">
        <v>1683</v>
      </c>
      <c r="F2540" s="366" t="s">
        <v>19</v>
      </c>
      <c r="G2540" s="348" t="str">
        <f>"'"&amp;$C2540&amp;"'!$E$41:$Y$41"</f>
        <v>'BLD_JP'!$E$41:$Y$41</v>
      </c>
      <c r="H2540" s="381">
        <f ca="1">IF(IFERROR(INDEX(DATA_PROPERTY_MASTER!$E$5:$E$21,MATCH($C2540,DATA_PROPERTY_MASTER!$A$5:$A$21,0))="Yes",FALSE),IFERROR(INDEX(INDIRECT("'"&amp;$C2540&amp;"'!$E$41:$Y$41"),1,MATCH($D2540,INDIRECT("'"&amp;$C2540&amp;"'!$E$12:$Y$12"),0)),0),0)</f>
        <v>235987.1612799982</v>
      </c>
      <c r="I2540" s="366" t="s">
        <v>1685</v>
      </c>
      <c r="J2540" s="348" t="str">
        <f t="shared" ca="1" si="78"/>
        <v>OK</v>
      </c>
      <c r="K2540" s="366" t="s">
        <v>1694</v>
      </c>
      <c r="L2540" s="366" t="s">
        <v>2238</v>
      </c>
      <c r="M2540" s="350" t="str">
        <f>IF($B2540="Portfolio","Portfolio",IFERROR(INDEX(DATA_ASSET_CLASSIFICATION!$B$8:$B$24,MATCH($C2540,DATA_ASSET_CLASSIFICATION!$A$8:$A$24,0)),"Review"))</f>
        <v>Jessica Place</v>
      </c>
      <c r="N2540" s="350" t="str">
        <f ca="1">IF($B2540="Portfolio","Portfolio",IFERROR(INDEX(DATA_ASSET_CLASSIFICATION!$U$8:$U$24,MATCH($C2540,DATA_ASSET_CLASSIFICATION!$A$8:$A$24,0)),"Review"))</f>
        <v>Refi Watch</v>
      </c>
      <c r="O2540" s="350" t="str">
        <f ca="1">IF($B2540="Portfolio","Portfolio",IFERROR(INDEX(DATA_ASSET_CLASSIFICATION!$AB$8:$AB$13,MATCH($N2540,DATA_ASSET_CLASSIFICATION!$AA$8:$AA$13,0)),"Review"))</f>
        <v>Bucket 2 · Legacy</v>
      </c>
      <c r="P2540" s="350" t="str">
        <f>IF($B2540="Portfolio","Portfolio",IFERROR(INDEX(DATA_ASSET_CLASSIFICATION!$C$8:$C$24,MATCH($C2540,DATA_ASSET_CLASSIFICATION!$A$8:$A$24,0)),"Review"))</f>
        <v>Yes</v>
      </c>
      <c r="Q2540" s="350" t="str">
        <f t="shared" ca="1" si="79"/>
        <v>OK</v>
      </c>
    </row>
    <row r="2541" spans="1:17">
      <c r="A2541" s="366" t="s">
        <v>4497</v>
      </c>
      <c r="B2541" s="366" t="s">
        <v>231</v>
      </c>
      <c r="C2541" s="348" t="str">
        <f>DATA_PROPERTY_MASTER!$A$12</f>
        <v>BLD_JP</v>
      </c>
      <c r="D2541" s="380">
        <f>'00_PORTFOLIO ROLLUP'!R$12</f>
        <v>2038</v>
      </c>
      <c r="E2541" s="366" t="s">
        <v>1683</v>
      </c>
      <c r="F2541" s="366" t="s">
        <v>1697</v>
      </c>
      <c r="G2541" s="348" t="str">
        <f>"'"&amp;$C2541&amp;"'!$E$44:$Y$44"</f>
        <v>'BLD_JP'!$E$44:$Y$44</v>
      </c>
      <c r="H2541" s="381">
        <f ca="1">IF(IFERROR(INDEX(DATA_PROPERTY_MASTER!$E$5:$E$21,MATCH($C2541,DATA_PROPERTY_MASTER!$A$5:$A$21,0))="Yes",FALSE),IFERROR(INDEX(INDIRECT("'"&amp;$C2541&amp;"'!$E$44:$Y$44"),1,MATCH($D2541,INDIRECT("'"&amp;$C2541&amp;"'!$E$12:$Y$12"),0)),0),0)</f>
        <v>7761.6397827227765</v>
      </c>
      <c r="I2541" s="366" t="s">
        <v>1690</v>
      </c>
      <c r="J2541" s="348" t="str">
        <f t="shared" ca="1" si="78"/>
        <v>OK</v>
      </c>
      <c r="K2541" s="366" t="s">
        <v>1699</v>
      </c>
      <c r="L2541" s="366" t="s">
        <v>2240</v>
      </c>
      <c r="M2541" s="350" t="str">
        <f>IF($B2541="Portfolio","Portfolio",IFERROR(INDEX(DATA_ASSET_CLASSIFICATION!$B$8:$B$24,MATCH($C2541,DATA_ASSET_CLASSIFICATION!$A$8:$A$24,0)),"Review"))</f>
        <v>Jessica Place</v>
      </c>
      <c r="N2541" s="350" t="str">
        <f ca="1">IF($B2541="Portfolio","Portfolio",IFERROR(INDEX(DATA_ASSET_CLASSIFICATION!$U$8:$U$24,MATCH($C2541,DATA_ASSET_CLASSIFICATION!$A$8:$A$24,0)),"Review"))</f>
        <v>Refi Watch</v>
      </c>
      <c r="O2541" s="350" t="str">
        <f ca="1">IF($B2541="Portfolio","Portfolio",IFERROR(INDEX(DATA_ASSET_CLASSIFICATION!$AB$8:$AB$13,MATCH($N2541,DATA_ASSET_CLASSIFICATION!$AA$8:$AA$13,0)),"Review"))</f>
        <v>Bucket 2 · Legacy</v>
      </c>
      <c r="P2541" s="350" t="str">
        <f>IF($B2541="Portfolio","Portfolio",IFERROR(INDEX(DATA_ASSET_CLASSIFICATION!$C$8:$C$24,MATCH($C2541,DATA_ASSET_CLASSIFICATION!$A$8:$A$24,0)),"Review"))</f>
        <v>Yes</v>
      </c>
      <c r="Q2541" s="350" t="str">
        <f t="shared" ca="1" si="79"/>
        <v>OK</v>
      </c>
    </row>
    <row r="2542" spans="1:17">
      <c r="A2542" s="366" t="s">
        <v>4498</v>
      </c>
      <c r="B2542" s="366" t="s">
        <v>231</v>
      </c>
      <c r="C2542" s="348" t="str">
        <f>DATA_PROPERTY_MASTER!$A$12</f>
        <v>BLD_JP</v>
      </c>
      <c r="D2542" s="380">
        <f>'00_PORTFOLIO ROLLUP'!R$12</f>
        <v>2038</v>
      </c>
      <c r="E2542" s="366" t="s">
        <v>1683</v>
      </c>
      <c r="F2542" s="366" t="s">
        <v>21</v>
      </c>
      <c r="G2542" s="348" t="str">
        <f>"'"&amp;$C2542&amp;"'!$E$45:$Y$45"</f>
        <v>'BLD_JP'!$E$45:$Y$45</v>
      </c>
      <c r="H2542" s="381">
        <f ca="1">IF(IFERROR(INDEX(DATA_PROPERTY_MASTER!$E$5:$E$21,MATCH($C2542,DATA_PROPERTY_MASTER!$A$5:$A$21,0))="Yes",FALSE),IFERROR(INDEX(INDIRECT("'"&amp;$C2542&amp;"'!$E$45:$Y$45"),1,MATCH($D2542,INDIRECT("'"&amp;$C2542&amp;"'!$E$12:$Y$12"),0)),0),0)</f>
        <v>228225.52149727542</v>
      </c>
      <c r="I2542" s="366" t="s">
        <v>1685</v>
      </c>
      <c r="J2542" s="348" t="str">
        <f t="shared" ca="1" si="78"/>
        <v>OK</v>
      </c>
      <c r="K2542" s="366" t="s">
        <v>1694</v>
      </c>
      <c r="L2542" s="366" t="s">
        <v>2242</v>
      </c>
      <c r="M2542" s="350" t="str">
        <f>IF($B2542="Portfolio","Portfolio",IFERROR(INDEX(DATA_ASSET_CLASSIFICATION!$B$8:$B$24,MATCH($C2542,DATA_ASSET_CLASSIFICATION!$A$8:$A$24,0)),"Review"))</f>
        <v>Jessica Place</v>
      </c>
      <c r="N2542" s="350" t="str">
        <f ca="1">IF($B2542="Portfolio","Portfolio",IFERROR(INDEX(DATA_ASSET_CLASSIFICATION!$U$8:$U$24,MATCH($C2542,DATA_ASSET_CLASSIFICATION!$A$8:$A$24,0)),"Review"))</f>
        <v>Refi Watch</v>
      </c>
      <c r="O2542" s="350" t="str">
        <f ca="1">IF($B2542="Portfolio","Portfolio",IFERROR(INDEX(DATA_ASSET_CLASSIFICATION!$AB$8:$AB$13,MATCH($N2542,DATA_ASSET_CLASSIFICATION!$AA$8:$AA$13,0)),"Review"))</f>
        <v>Bucket 2 · Legacy</v>
      </c>
      <c r="P2542" s="350" t="str">
        <f>IF($B2542="Portfolio","Portfolio",IFERROR(INDEX(DATA_ASSET_CLASSIFICATION!$C$8:$C$24,MATCH($C2542,DATA_ASSET_CLASSIFICATION!$A$8:$A$24,0)),"Review"))</f>
        <v>Yes</v>
      </c>
      <c r="Q2542" s="350" t="str">
        <f t="shared" ca="1" si="79"/>
        <v>OK</v>
      </c>
    </row>
    <row r="2543" spans="1:17">
      <c r="A2543" s="366" t="s">
        <v>4499</v>
      </c>
      <c r="B2543" s="366" t="s">
        <v>231</v>
      </c>
      <c r="C2543" s="348" t="str">
        <f>DATA_PROPERTY_MASTER!$A$12</f>
        <v>BLD_JP</v>
      </c>
      <c r="D2543" s="380">
        <f>'00_PORTFOLIO ROLLUP'!R$12</f>
        <v>2038</v>
      </c>
      <c r="E2543" s="366" t="s">
        <v>23</v>
      </c>
      <c r="F2543" s="366" t="s">
        <v>23</v>
      </c>
      <c r="G2543" s="348" t="str">
        <f>"'"&amp;$C2543&amp;"'!$E$48:$Y$48"</f>
        <v>'BLD_JP'!$E$48:$Y$48</v>
      </c>
      <c r="H2543" s="381">
        <f ca="1">IF(IFERROR(INDEX(DATA_PROPERTY_MASTER!$E$5:$E$21,MATCH($C2543,DATA_PROPERTY_MASTER!$A$5:$A$21,0))="Yes",FALSE),IFERROR(INDEX(INDIRECT("'"&amp;$C2543&amp;"'!$E$48:$Y$48"),1,MATCH($D2543,INDIRECT("'"&amp;$C2543&amp;"'!$E$12:$Y$12"),0)),0),0)</f>
        <v>0</v>
      </c>
      <c r="I2543" s="366" t="s">
        <v>1690</v>
      </c>
      <c r="J2543" s="348" t="str">
        <f t="shared" ca="1" si="78"/>
        <v>OK</v>
      </c>
      <c r="K2543" s="366" t="s">
        <v>1706</v>
      </c>
      <c r="L2543" s="366" t="s">
        <v>2244</v>
      </c>
      <c r="M2543" s="350" t="str">
        <f>IF($B2543="Portfolio","Portfolio",IFERROR(INDEX(DATA_ASSET_CLASSIFICATION!$B$8:$B$24,MATCH($C2543,DATA_ASSET_CLASSIFICATION!$A$8:$A$24,0)),"Review"))</f>
        <v>Jessica Place</v>
      </c>
      <c r="N2543" s="350" t="str">
        <f ca="1">IF($B2543="Portfolio","Portfolio",IFERROR(INDEX(DATA_ASSET_CLASSIFICATION!$U$8:$U$24,MATCH($C2543,DATA_ASSET_CLASSIFICATION!$A$8:$A$24,0)),"Review"))</f>
        <v>Refi Watch</v>
      </c>
      <c r="O2543" s="350" t="str">
        <f ca="1">IF($B2543="Portfolio","Portfolio",IFERROR(INDEX(DATA_ASSET_CLASSIFICATION!$AB$8:$AB$13,MATCH($N2543,DATA_ASSET_CLASSIFICATION!$AA$8:$AA$13,0)),"Review"))</f>
        <v>Bucket 2 · Legacy</v>
      </c>
      <c r="P2543" s="350" t="str">
        <f>IF($B2543="Portfolio","Portfolio",IFERROR(INDEX(DATA_ASSET_CLASSIFICATION!$C$8:$C$24,MATCH($C2543,DATA_ASSET_CLASSIFICATION!$A$8:$A$24,0)),"Review"))</f>
        <v>Yes</v>
      </c>
      <c r="Q2543" s="350" t="str">
        <f t="shared" ca="1" si="79"/>
        <v>OK</v>
      </c>
    </row>
    <row r="2544" spans="1:17">
      <c r="A2544" s="366" t="s">
        <v>4500</v>
      </c>
      <c r="B2544" s="366" t="s">
        <v>231</v>
      </c>
      <c r="C2544" s="348" t="str">
        <f>DATA_PROPERTY_MASTER!$A$12</f>
        <v>BLD_JP</v>
      </c>
      <c r="D2544" s="380">
        <f>'00_PORTFOLIO ROLLUP'!R$12</f>
        <v>2038</v>
      </c>
      <c r="E2544" s="366" t="s">
        <v>1683</v>
      </c>
      <c r="F2544" s="366" t="s">
        <v>25</v>
      </c>
      <c r="G2544" s="348" t="str">
        <f>"'"&amp;$C2544&amp;"'!$E$52:$Y$52"</f>
        <v>'BLD_JP'!$E$52:$Y$52</v>
      </c>
      <c r="H2544" s="381">
        <f ca="1">IF(IFERROR(INDEX(DATA_PROPERTY_MASTER!$E$5:$E$21,MATCH($C2544,DATA_PROPERTY_MASTER!$A$5:$A$21,0))="Yes",FALSE),IFERROR(INDEX(INDIRECT("'"&amp;$C2544&amp;"'!$E$52:$Y$52"),1,MATCH($D2544,INDIRECT("'"&amp;$C2544&amp;"'!$E$12:$Y$12"),0)),0),0)</f>
        <v>235987.1612799982</v>
      </c>
      <c r="I2544" s="366" t="s">
        <v>1685</v>
      </c>
      <c r="J2544" s="348" t="str">
        <f t="shared" ca="1" si="78"/>
        <v>OK</v>
      </c>
      <c r="K2544" s="366" t="s">
        <v>1710</v>
      </c>
      <c r="L2544" s="366" t="s">
        <v>2246</v>
      </c>
      <c r="M2544" s="350" t="str">
        <f>IF($B2544="Portfolio","Portfolio",IFERROR(INDEX(DATA_ASSET_CLASSIFICATION!$B$8:$B$24,MATCH($C2544,DATA_ASSET_CLASSIFICATION!$A$8:$A$24,0)),"Review"))</f>
        <v>Jessica Place</v>
      </c>
      <c r="N2544" s="350" t="str">
        <f ca="1">IF($B2544="Portfolio","Portfolio",IFERROR(INDEX(DATA_ASSET_CLASSIFICATION!$U$8:$U$24,MATCH($C2544,DATA_ASSET_CLASSIFICATION!$A$8:$A$24,0)),"Review"))</f>
        <v>Refi Watch</v>
      </c>
      <c r="O2544" s="350" t="str">
        <f ca="1">IF($B2544="Portfolio","Portfolio",IFERROR(INDEX(DATA_ASSET_CLASSIFICATION!$AB$8:$AB$13,MATCH($N2544,DATA_ASSET_CLASSIFICATION!$AA$8:$AA$13,0)),"Review"))</f>
        <v>Bucket 2 · Legacy</v>
      </c>
      <c r="P2544" s="350" t="str">
        <f>IF($B2544="Portfolio","Portfolio",IFERROR(INDEX(DATA_ASSET_CLASSIFICATION!$C$8:$C$24,MATCH($C2544,DATA_ASSET_CLASSIFICATION!$A$8:$A$24,0)),"Review"))</f>
        <v>Yes</v>
      </c>
      <c r="Q2544" s="350" t="str">
        <f t="shared" ca="1" si="79"/>
        <v>OK</v>
      </c>
    </row>
    <row r="2545" spans="1:17">
      <c r="A2545" s="366" t="s">
        <v>4501</v>
      </c>
      <c r="B2545" s="366" t="s">
        <v>231</v>
      </c>
      <c r="C2545" s="348" t="str">
        <f>DATA_PROPERTY_MASTER!$A$12</f>
        <v>BLD_JP</v>
      </c>
      <c r="D2545" s="380">
        <f>'00_PORTFOLIO ROLLUP'!R$12</f>
        <v>2038</v>
      </c>
      <c r="E2545" s="366" t="s">
        <v>1683</v>
      </c>
      <c r="F2545" s="366" t="s">
        <v>27</v>
      </c>
      <c r="G2545" s="348" t="str">
        <f>"'"&amp;$C2545&amp;"'!$E$54:$Y$54"</f>
        <v>'BLD_JP'!$E$54:$Y$54</v>
      </c>
      <c r="H2545" s="381">
        <f ca="1">IF(IFERROR(INDEX(DATA_PROPERTY_MASTER!$E$5:$E$21,MATCH($C2545,DATA_PROPERTY_MASTER!$A$5:$A$21,0))="Yes",FALSE),IFERROR(INDEX(INDIRECT("'"&amp;$C2545&amp;"'!$E$54:$Y$54"),1,MATCH($D2545,INDIRECT("'"&amp;$C2545&amp;"'!$E$12:$Y$12"),0)),0),0)</f>
        <v>141592.29676799892</v>
      </c>
      <c r="I2545" s="366" t="s">
        <v>1690</v>
      </c>
      <c r="J2545" s="348" t="str">
        <f t="shared" ca="1" si="78"/>
        <v>OK</v>
      </c>
      <c r="K2545" s="366" t="s">
        <v>1714</v>
      </c>
      <c r="L2545" s="366" t="s">
        <v>2248</v>
      </c>
      <c r="M2545" s="350" t="str">
        <f>IF($B2545="Portfolio","Portfolio",IFERROR(INDEX(DATA_ASSET_CLASSIFICATION!$B$8:$B$24,MATCH($C2545,DATA_ASSET_CLASSIFICATION!$A$8:$A$24,0)),"Review"))</f>
        <v>Jessica Place</v>
      </c>
      <c r="N2545" s="350" t="str">
        <f ca="1">IF($B2545="Portfolio","Portfolio",IFERROR(INDEX(DATA_ASSET_CLASSIFICATION!$U$8:$U$24,MATCH($C2545,DATA_ASSET_CLASSIFICATION!$A$8:$A$24,0)),"Review"))</f>
        <v>Refi Watch</v>
      </c>
      <c r="O2545" s="350" t="str">
        <f ca="1">IF($B2545="Portfolio","Portfolio",IFERROR(INDEX(DATA_ASSET_CLASSIFICATION!$AB$8:$AB$13,MATCH($N2545,DATA_ASSET_CLASSIFICATION!$AA$8:$AA$13,0)),"Review"))</f>
        <v>Bucket 2 · Legacy</v>
      </c>
      <c r="P2545" s="350" t="str">
        <f>IF($B2545="Portfolio","Portfolio",IFERROR(INDEX(DATA_ASSET_CLASSIFICATION!$C$8:$C$24,MATCH($C2545,DATA_ASSET_CLASSIFICATION!$A$8:$A$24,0)),"Review"))</f>
        <v>Yes</v>
      </c>
      <c r="Q2545" s="350" t="str">
        <f t="shared" ca="1" si="79"/>
        <v>OK</v>
      </c>
    </row>
    <row r="2546" spans="1:17">
      <c r="A2546" s="366" t="s">
        <v>4502</v>
      </c>
      <c r="B2546" s="366" t="s">
        <v>231</v>
      </c>
      <c r="C2546" s="348" t="str">
        <f>DATA_PROPERTY_MASTER!$A$12</f>
        <v>BLD_JP</v>
      </c>
      <c r="D2546" s="380">
        <f>'00_PORTFOLIO ROLLUP'!R$12</f>
        <v>2038</v>
      </c>
      <c r="E2546" s="366" t="s">
        <v>1683</v>
      </c>
      <c r="F2546" s="366" t="s">
        <v>29</v>
      </c>
      <c r="G2546" s="348" t="str">
        <f>"'"&amp;$C2546&amp;"'!$E$56:$Y$56"</f>
        <v>'BLD_JP'!$E$56:$Y$56</v>
      </c>
      <c r="H2546" s="381">
        <f ca="1">IF(IFERROR(INDEX(DATA_PROPERTY_MASTER!$E$5:$E$21,MATCH($C2546,DATA_PROPERTY_MASTER!$A$5:$A$21,0))="Yes",FALSE),IFERROR(INDEX(INDIRECT("'"&amp;$C2546&amp;"'!$E$56:$Y$56"),1,MATCH($D2546,INDIRECT("'"&amp;$C2546&amp;"'!$E$12:$Y$12"),0)),0),0)</f>
        <v>94394.864511999273</v>
      </c>
      <c r="I2546" s="366" t="s">
        <v>1685</v>
      </c>
      <c r="J2546" s="348" t="str">
        <f t="shared" ca="1" si="78"/>
        <v>OK</v>
      </c>
      <c r="K2546" s="366" t="s">
        <v>1718</v>
      </c>
      <c r="L2546" s="366" t="s">
        <v>2250</v>
      </c>
      <c r="M2546" s="350" t="str">
        <f>IF($B2546="Portfolio","Portfolio",IFERROR(INDEX(DATA_ASSET_CLASSIFICATION!$B$8:$B$24,MATCH($C2546,DATA_ASSET_CLASSIFICATION!$A$8:$A$24,0)),"Review"))</f>
        <v>Jessica Place</v>
      </c>
      <c r="N2546" s="350" t="str">
        <f ca="1">IF($B2546="Portfolio","Portfolio",IFERROR(INDEX(DATA_ASSET_CLASSIFICATION!$U$8:$U$24,MATCH($C2546,DATA_ASSET_CLASSIFICATION!$A$8:$A$24,0)),"Review"))</f>
        <v>Refi Watch</v>
      </c>
      <c r="O2546" s="350" t="str">
        <f ca="1">IF($B2546="Portfolio","Portfolio",IFERROR(INDEX(DATA_ASSET_CLASSIFICATION!$AB$8:$AB$13,MATCH($N2546,DATA_ASSET_CLASSIFICATION!$AA$8:$AA$13,0)),"Review"))</f>
        <v>Bucket 2 · Legacy</v>
      </c>
      <c r="P2546" s="350" t="str">
        <f>IF($B2546="Portfolio","Portfolio",IFERROR(INDEX(DATA_ASSET_CLASSIFICATION!$C$8:$C$24,MATCH($C2546,DATA_ASSET_CLASSIFICATION!$A$8:$A$24,0)),"Review"))</f>
        <v>Yes</v>
      </c>
      <c r="Q2546" s="350" t="str">
        <f t="shared" ca="1" si="79"/>
        <v>OK</v>
      </c>
    </row>
    <row r="2547" spans="1:17">
      <c r="A2547" s="366" t="s">
        <v>4503</v>
      </c>
      <c r="B2547" s="366" t="s">
        <v>231</v>
      </c>
      <c r="C2547" s="348" t="str">
        <f>DATA_PROPERTY_MASTER!$A$12</f>
        <v>BLD_JP</v>
      </c>
      <c r="D2547" s="380">
        <f>'00_PORTFOLIO ROLLUP'!R$12</f>
        <v>2038</v>
      </c>
      <c r="E2547" s="366" t="s">
        <v>1721</v>
      </c>
      <c r="F2547" s="366" t="s">
        <v>31</v>
      </c>
      <c r="G2547" s="348" t="str">
        <f>"'"&amp;$C2547&amp;"'!$E$61:$Y$61"</f>
        <v>'BLD_JP'!$E$61:$Y$61</v>
      </c>
      <c r="H2547" s="381">
        <f ca="1">IF(IFERROR(INDEX(DATA_PROPERTY_MASTER!$E$5:$E$21,MATCH($C2547,DATA_PROPERTY_MASTER!$A$5:$A$21,0))="Yes",FALSE),IFERROR(INDEX(INDIRECT("'"&amp;$C2547&amp;"'!$E$61:$Y$61"),1,MATCH($D2547,INDIRECT("'"&amp;$C2547&amp;"'!$E$12:$Y$12"),0)),0),0)</f>
        <v>0</v>
      </c>
      <c r="I2547" s="366" t="s">
        <v>1690</v>
      </c>
      <c r="J2547" s="348" t="str">
        <f t="shared" ca="1" si="78"/>
        <v>OK</v>
      </c>
      <c r="K2547" s="366" t="s">
        <v>1723</v>
      </c>
      <c r="L2547" s="366" t="s">
        <v>2252</v>
      </c>
      <c r="M2547" s="350" t="str">
        <f>IF($B2547="Portfolio","Portfolio",IFERROR(INDEX(DATA_ASSET_CLASSIFICATION!$B$8:$B$24,MATCH($C2547,DATA_ASSET_CLASSIFICATION!$A$8:$A$24,0)),"Review"))</f>
        <v>Jessica Place</v>
      </c>
      <c r="N2547" s="350" t="str">
        <f ca="1">IF($B2547="Portfolio","Portfolio",IFERROR(INDEX(DATA_ASSET_CLASSIFICATION!$U$8:$U$24,MATCH($C2547,DATA_ASSET_CLASSIFICATION!$A$8:$A$24,0)),"Review"))</f>
        <v>Refi Watch</v>
      </c>
      <c r="O2547" s="350" t="str">
        <f ca="1">IF($B2547="Portfolio","Portfolio",IFERROR(INDEX(DATA_ASSET_CLASSIFICATION!$AB$8:$AB$13,MATCH($N2547,DATA_ASSET_CLASSIFICATION!$AA$8:$AA$13,0)),"Review"))</f>
        <v>Bucket 2 · Legacy</v>
      </c>
      <c r="P2547" s="350" t="str">
        <f>IF($B2547="Portfolio","Portfolio",IFERROR(INDEX(DATA_ASSET_CLASSIFICATION!$C$8:$C$24,MATCH($C2547,DATA_ASSET_CLASSIFICATION!$A$8:$A$24,0)),"Review"))</f>
        <v>Yes</v>
      </c>
      <c r="Q2547" s="350" t="str">
        <f t="shared" ca="1" si="79"/>
        <v>OK</v>
      </c>
    </row>
    <row r="2548" spans="1:17">
      <c r="A2548" s="366" t="s">
        <v>4504</v>
      </c>
      <c r="B2548" s="366" t="s">
        <v>231</v>
      </c>
      <c r="C2548" s="348" t="str">
        <f>DATA_PROPERTY_MASTER!$A$12</f>
        <v>BLD_JP</v>
      </c>
      <c r="D2548" s="380">
        <f>'00_PORTFOLIO ROLLUP'!R$12</f>
        <v>2038</v>
      </c>
      <c r="E2548" s="366" t="s">
        <v>1721</v>
      </c>
      <c r="F2548" s="366" t="s">
        <v>33</v>
      </c>
      <c r="G2548" s="348" t="str">
        <f>"'"&amp;$C2548&amp;"'!$E$62:$Y$62"</f>
        <v>'BLD_JP'!$E$62:$Y$62</v>
      </c>
      <c r="H2548" s="381">
        <f ca="1">IF(IFERROR(INDEX(DATA_PROPERTY_MASTER!$E$5:$E$21,MATCH($C2548,DATA_PROPERTY_MASTER!$A$5:$A$21,0))="Yes",FALSE),IFERROR(INDEX(INDIRECT("'"&amp;$C2548&amp;"'!$E$62:$Y$62"),1,MATCH($D2548,INDIRECT("'"&amp;$C2548&amp;"'!$E$12:$Y$12"),0)),0),0)</f>
        <v>0</v>
      </c>
      <c r="I2548" s="366" t="s">
        <v>1685</v>
      </c>
      <c r="J2548" s="348" t="str">
        <f t="shared" ca="1" si="78"/>
        <v>OK</v>
      </c>
      <c r="K2548" s="366" t="s">
        <v>1727</v>
      </c>
      <c r="L2548" s="366" t="s">
        <v>2254</v>
      </c>
      <c r="M2548" s="350" t="str">
        <f>IF($B2548="Portfolio","Portfolio",IFERROR(INDEX(DATA_ASSET_CLASSIFICATION!$B$8:$B$24,MATCH($C2548,DATA_ASSET_CLASSIFICATION!$A$8:$A$24,0)),"Review"))</f>
        <v>Jessica Place</v>
      </c>
      <c r="N2548" s="350" t="str">
        <f ca="1">IF($B2548="Portfolio","Portfolio",IFERROR(INDEX(DATA_ASSET_CLASSIFICATION!$U$8:$U$24,MATCH($C2548,DATA_ASSET_CLASSIFICATION!$A$8:$A$24,0)),"Review"))</f>
        <v>Refi Watch</v>
      </c>
      <c r="O2548" s="350" t="str">
        <f ca="1">IF($B2548="Portfolio","Portfolio",IFERROR(INDEX(DATA_ASSET_CLASSIFICATION!$AB$8:$AB$13,MATCH($N2548,DATA_ASSET_CLASSIFICATION!$AA$8:$AA$13,0)),"Review"))</f>
        <v>Bucket 2 · Legacy</v>
      </c>
      <c r="P2548" s="350" t="str">
        <f>IF($B2548="Portfolio","Portfolio",IFERROR(INDEX(DATA_ASSET_CLASSIFICATION!$C$8:$C$24,MATCH($C2548,DATA_ASSET_CLASSIFICATION!$A$8:$A$24,0)),"Review"))</f>
        <v>Yes</v>
      </c>
      <c r="Q2548" s="350" t="str">
        <f t="shared" ca="1" si="79"/>
        <v>OK</v>
      </c>
    </row>
    <row r="2549" spans="1:17">
      <c r="A2549" s="366" t="s">
        <v>4505</v>
      </c>
      <c r="B2549" s="366" t="s">
        <v>231</v>
      </c>
      <c r="C2549" s="348" t="str">
        <f>DATA_PROPERTY_MASTER!$A$12</f>
        <v>BLD_JP</v>
      </c>
      <c r="D2549" s="380">
        <f>'00_PORTFOLIO ROLLUP'!R$12</f>
        <v>2038</v>
      </c>
      <c r="E2549" s="366" t="s">
        <v>1721</v>
      </c>
      <c r="F2549" s="366" t="s">
        <v>35</v>
      </c>
      <c r="G2549" s="348" t="str">
        <f>"'"&amp;$C2549&amp;"'!$E$63:$Y$63"</f>
        <v>'BLD_JP'!$E$63:$Y$63</v>
      </c>
      <c r="H2549" s="381">
        <f ca="1">IF(IFERROR(INDEX(DATA_PROPERTY_MASTER!$E$5:$E$21,MATCH($C2549,DATA_PROPERTY_MASTER!$A$5:$A$21,0))="Yes",FALSE),IFERROR(INDEX(INDIRECT("'"&amp;$C2549&amp;"'!$E$63:$Y$63"),1,MATCH($D2549,INDIRECT("'"&amp;$C2549&amp;"'!$E$12:$Y$12"),0)),0),0)</f>
        <v>0</v>
      </c>
      <c r="I2549" s="366" t="s">
        <v>1731</v>
      </c>
      <c r="J2549" s="348" t="str">
        <f t="shared" ca="1" si="78"/>
        <v>OK</v>
      </c>
      <c r="K2549" s="366" t="s">
        <v>1732</v>
      </c>
      <c r="L2549" s="366" t="s">
        <v>2256</v>
      </c>
      <c r="M2549" s="350" t="str">
        <f>IF($B2549="Portfolio","Portfolio",IFERROR(INDEX(DATA_ASSET_CLASSIFICATION!$B$8:$B$24,MATCH($C2549,DATA_ASSET_CLASSIFICATION!$A$8:$A$24,0)),"Review"))</f>
        <v>Jessica Place</v>
      </c>
      <c r="N2549" s="350" t="str">
        <f ca="1">IF($B2549="Portfolio","Portfolio",IFERROR(INDEX(DATA_ASSET_CLASSIFICATION!$U$8:$U$24,MATCH($C2549,DATA_ASSET_CLASSIFICATION!$A$8:$A$24,0)),"Review"))</f>
        <v>Refi Watch</v>
      </c>
      <c r="O2549" s="350" t="str">
        <f ca="1">IF($B2549="Portfolio","Portfolio",IFERROR(INDEX(DATA_ASSET_CLASSIFICATION!$AB$8:$AB$13,MATCH($N2549,DATA_ASSET_CLASSIFICATION!$AA$8:$AA$13,0)),"Review"))</f>
        <v>Bucket 2 · Legacy</v>
      </c>
      <c r="P2549" s="350" t="str">
        <f>IF($B2549="Portfolio","Portfolio",IFERROR(INDEX(DATA_ASSET_CLASSIFICATION!$C$8:$C$24,MATCH($C2549,DATA_ASSET_CLASSIFICATION!$A$8:$A$24,0)),"Review"))</f>
        <v>Yes</v>
      </c>
      <c r="Q2549" s="350" t="str">
        <f t="shared" ca="1" si="79"/>
        <v>OK</v>
      </c>
    </row>
    <row r="2550" spans="1:17">
      <c r="A2550" s="366" t="s">
        <v>4506</v>
      </c>
      <c r="B2550" s="366" t="s">
        <v>231</v>
      </c>
      <c r="C2550" s="348" t="str">
        <f>DATA_PROPERTY_MASTER!$A$12</f>
        <v>BLD_JP</v>
      </c>
      <c r="D2550" s="380">
        <f>'00_PORTFOLIO ROLLUP'!R$12</f>
        <v>2038</v>
      </c>
      <c r="E2550" s="366" t="s">
        <v>1721</v>
      </c>
      <c r="F2550" s="366" t="s">
        <v>37</v>
      </c>
      <c r="G2550" s="348" t="str">
        <f>"'"&amp;$C2550&amp;"'!$E$63:$Y$63"</f>
        <v>'BLD_JP'!$E$63:$Y$63</v>
      </c>
      <c r="H2550" s="381">
        <f ca="1">IF(IFERROR(INDEX(DATA_PROPERTY_MASTER!$E$5:$E$21,MATCH($C2550,DATA_PROPERTY_MASTER!$A$5:$A$21,0))="Yes",FALSE),MAX(IFERROR(INDEX(INDIRECT("'"&amp;$C2550&amp;"'!$E$63:$Y$63"),1,MATCH($D2550,INDIRECT("'"&amp;$C2550&amp;"'!$E$12:$Y$12"),0)),0),0),0)</f>
        <v>0</v>
      </c>
      <c r="I2550" s="366" t="s">
        <v>1685</v>
      </c>
      <c r="J2550" s="348" t="str">
        <f t="shared" ca="1" si="78"/>
        <v>OK</v>
      </c>
      <c r="K2550" s="366" t="s">
        <v>1735</v>
      </c>
      <c r="L2550" s="366" t="s">
        <v>2258</v>
      </c>
      <c r="M2550" s="350" t="str">
        <f>IF($B2550="Portfolio","Portfolio",IFERROR(INDEX(DATA_ASSET_CLASSIFICATION!$B$8:$B$24,MATCH($C2550,DATA_ASSET_CLASSIFICATION!$A$8:$A$24,0)),"Review"))</f>
        <v>Jessica Place</v>
      </c>
      <c r="N2550" s="350" t="str">
        <f ca="1">IF($B2550="Portfolio","Portfolio",IFERROR(INDEX(DATA_ASSET_CLASSIFICATION!$U$8:$U$24,MATCH($C2550,DATA_ASSET_CLASSIFICATION!$A$8:$A$24,0)),"Review"))</f>
        <v>Refi Watch</v>
      </c>
      <c r="O2550" s="350" t="str">
        <f ca="1">IF($B2550="Portfolio","Portfolio",IFERROR(INDEX(DATA_ASSET_CLASSIFICATION!$AB$8:$AB$13,MATCH($N2550,DATA_ASSET_CLASSIFICATION!$AA$8:$AA$13,0)),"Review"))</f>
        <v>Bucket 2 · Legacy</v>
      </c>
      <c r="P2550" s="350" t="str">
        <f>IF($B2550="Portfolio","Portfolio",IFERROR(INDEX(DATA_ASSET_CLASSIFICATION!$C$8:$C$24,MATCH($C2550,DATA_ASSET_CLASSIFICATION!$A$8:$A$24,0)),"Review"))</f>
        <v>Yes</v>
      </c>
      <c r="Q2550" s="350" t="str">
        <f t="shared" ca="1" si="79"/>
        <v>OK</v>
      </c>
    </row>
    <row r="2551" spans="1:17">
      <c r="A2551" s="366" t="s">
        <v>4507</v>
      </c>
      <c r="B2551" s="366" t="s">
        <v>231</v>
      </c>
      <c r="C2551" s="348" t="str">
        <f>DATA_PROPERTY_MASTER!$A$12</f>
        <v>BLD_JP</v>
      </c>
      <c r="D2551" s="380">
        <f>'00_PORTFOLIO ROLLUP'!R$12</f>
        <v>2038</v>
      </c>
      <c r="E2551" s="366" t="s">
        <v>1721</v>
      </c>
      <c r="F2551" s="366" t="s">
        <v>39</v>
      </c>
      <c r="G2551" s="348" t="str">
        <f>"'"&amp;$C2551&amp;"'!$E$63:$Y$63"</f>
        <v>'BLD_JP'!$E$63:$Y$63</v>
      </c>
      <c r="H2551" s="381">
        <f ca="1">IF(IFERROR(INDEX(DATA_PROPERTY_MASTER!$E$5:$E$21,MATCH($C2551,DATA_PROPERTY_MASTER!$A$5:$A$21,0))="Yes",FALSE),MAX(-IFERROR(INDEX(INDIRECT("'"&amp;$C2551&amp;"'!$E$63:$Y$63"),1,MATCH($D2551,INDIRECT("'"&amp;$C2551&amp;"'!$E$12:$Y$12"),0)),0),0),0)</f>
        <v>0</v>
      </c>
      <c r="I2551" s="366" t="s">
        <v>1690</v>
      </c>
      <c r="J2551" s="348" t="str">
        <f t="shared" ca="1" si="78"/>
        <v>OK</v>
      </c>
      <c r="K2551" s="366" t="s">
        <v>1738</v>
      </c>
      <c r="L2551" s="366" t="s">
        <v>2260</v>
      </c>
      <c r="M2551" s="350" t="str">
        <f>IF($B2551="Portfolio","Portfolio",IFERROR(INDEX(DATA_ASSET_CLASSIFICATION!$B$8:$B$24,MATCH($C2551,DATA_ASSET_CLASSIFICATION!$A$8:$A$24,0)),"Review"))</f>
        <v>Jessica Place</v>
      </c>
      <c r="N2551" s="350" t="str">
        <f ca="1">IF($B2551="Portfolio","Portfolio",IFERROR(INDEX(DATA_ASSET_CLASSIFICATION!$U$8:$U$24,MATCH($C2551,DATA_ASSET_CLASSIFICATION!$A$8:$A$24,0)),"Review"))</f>
        <v>Refi Watch</v>
      </c>
      <c r="O2551" s="350" t="str">
        <f ca="1">IF($B2551="Portfolio","Portfolio",IFERROR(INDEX(DATA_ASSET_CLASSIFICATION!$AB$8:$AB$13,MATCH($N2551,DATA_ASSET_CLASSIFICATION!$AA$8:$AA$13,0)),"Review"))</f>
        <v>Bucket 2 · Legacy</v>
      </c>
      <c r="P2551" s="350" t="str">
        <f>IF($B2551="Portfolio","Portfolio",IFERROR(INDEX(DATA_ASSET_CLASSIFICATION!$C$8:$C$24,MATCH($C2551,DATA_ASSET_CLASSIFICATION!$A$8:$A$24,0)),"Review"))</f>
        <v>Yes</v>
      </c>
      <c r="Q2551" s="350" t="str">
        <f t="shared" ca="1" si="79"/>
        <v>OK</v>
      </c>
    </row>
    <row r="2552" spans="1:17">
      <c r="A2552" s="366" t="s">
        <v>4508</v>
      </c>
      <c r="B2552" s="366" t="s">
        <v>231</v>
      </c>
      <c r="C2552" s="348" t="str">
        <f>DATA_PROPERTY_MASTER!$A$12</f>
        <v>BLD_JP</v>
      </c>
      <c r="D2552" s="380">
        <f>'00_PORTFOLIO ROLLUP'!R$12</f>
        <v>2038</v>
      </c>
      <c r="E2552" s="366" t="s">
        <v>1741</v>
      </c>
      <c r="F2552" s="366" t="s">
        <v>41</v>
      </c>
      <c r="G2552" s="348" t="str">
        <f>"'"&amp;$C2552&amp;"'!rows 56 + positive row 63"</f>
        <v>'BLD_JP'!rows 56 + positive row 63</v>
      </c>
      <c r="H2552" s="381">
        <f ca="1">IF(IFERROR(INDEX(DATA_PROPERTY_MASTER!$E$5:$E$21,MATCH($C2552,DATA_PROPERTY_MASTER!$A$5:$A$21,0))="Yes",FALSE),IFERROR(INDEX(INDIRECT("'"&amp;$C2552&amp;"'!$E$56:$Y$56"),1,MATCH($D2552,INDIRECT("'"&amp;$C2552&amp;"'!$E$12:$Y$12"),0)),0)+MAX(IFERROR(INDEX(INDIRECT("'"&amp;$C2552&amp;"'!$E$63:$Y$63"),1,MATCH($D2552,INDIRECT("'"&amp;$C2552&amp;"'!$E$12:$Y$12"),0)),0),0),0)</f>
        <v>94394.864511999273</v>
      </c>
      <c r="I2552" s="366" t="s">
        <v>1685</v>
      </c>
      <c r="J2552" s="348" t="str">
        <f t="shared" ca="1" si="78"/>
        <v>OK</v>
      </c>
      <c r="K2552" s="366" t="s">
        <v>1742</v>
      </c>
      <c r="L2552" s="366" t="s">
        <v>2262</v>
      </c>
      <c r="M2552" s="350" t="str">
        <f>IF($B2552="Portfolio","Portfolio",IFERROR(INDEX(DATA_ASSET_CLASSIFICATION!$B$8:$B$24,MATCH($C2552,DATA_ASSET_CLASSIFICATION!$A$8:$A$24,0)),"Review"))</f>
        <v>Jessica Place</v>
      </c>
      <c r="N2552" s="350" t="str">
        <f ca="1">IF($B2552="Portfolio","Portfolio",IFERROR(INDEX(DATA_ASSET_CLASSIFICATION!$U$8:$U$24,MATCH($C2552,DATA_ASSET_CLASSIFICATION!$A$8:$A$24,0)),"Review"))</f>
        <v>Refi Watch</v>
      </c>
      <c r="O2552" s="350" t="str">
        <f ca="1">IF($B2552="Portfolio","Portfolio",IFERROR(INDEX(DATA_ASSET_CLASSIFICATION!$AB$8:$AB$13,MATCH($N2552,DATA_ASSET_CLASSIFICATION!$AA$8:$AA$13,0)),"Review"))</f>
        <v>Bucket 2 · Legacy</v>
      </c>
      <c r="P2552" s="350" t="str">
        <f>IF($B2552="Portfolio","Portfolio",IFERROR(INDEX(DATA_ASSET_CLASSIFICATION!$C$8:$C$24,MATCH($C2552,DATA_ASSET_CLASSIFICATION!$A$8:$A$24,0)),"Review"))</f>
        <v>Yes</v>
      </c>
      <c r="Q2552" s="350" t="str">
        <f t="shared" ca="1" si="79"/>
        <v>OK</v>
      </c>
    </row>
    <row r="2553" spans="1:17">
      <c r="A2553" s="366" t="s">
        <v>4509</v>
      </c>
      <c r="B2553" s="366" t="s">
        <v>231</v>
      </c>
      <c r="C2553" s="348" t="str">
        <f>DATA_PROPERTY_MASTER!$A$12</f>
        <v>BLD_JP</v>
      </c>
      <c r="D2553" s="380">
        <f>'00_PORTFOLIO ROLLUP'!R$12</f>
        <v>2038</v>
      </c>
      <c r="E2553" s="366" t="s">
        <v>1741</v>
      </c>
      <c r="F2553" s="366" t="s">
        <v>43</v>
      </c>
      <c r="G2553" s="348" t="str">
        <f>"'"&amp;$C2553&amp;"'!$E$68:$Y$68"</f>
        <v>'BLD_JP'!$E$68:$Y$68</v>
      </c>
      <c r="H2553" s="381">
        <f ca="1">IF(IFERROR(INDEX(DATA_PROPERTY_MASTER!$E$5:$E$21,MATCH($C2553,DATA_PROPERTY_MASTER!$A$5:$A$21,0))="Yes",FALSE),IFERROR(INDEX(INDIRECT("'"&amp;$C2553&amp;"'!$E$68:$Y$68"),1,MATCH($D2553,INDIRECT("'"&amp;$C2553&amp;"'!$E$12:$Y$12"),0)),0),0)</f>
        <v>94394.864511999273</v>
      </c>
      <c r="I2553" s="366" t="s">
        <v>1731</v>
      </c>
      <c r="J2553" s="348" t="str">
        <f t="shared" ca="1" si="78"/>
        <v>OK</v>
      </c>
      <c r="K2553" s="366" t="s">
        <v>1746</v>
      </c>
      <c r="L2553" s="366" t="s">
        <v>2264</v>
      </c>
      <c r="M2553" s="350" t="str">
        <f>IF($B2553="Portfolio","Portfolio",IFERROR(INDEX(DATA_ASSET_CLASSIFICATION!$B$8:$B$24,MATCH($C2553,DATA_ASSET_CLASSIFICATION!$A$8:$A$24,0)),"Review"))</f>
        <v>Jessica Place</v>
      </c>
      <c r="N2553" s="350" t="str">
        <f ca="1">IF($B2553="Portfolio","Portfolio",IFERROR(INDEX(DATA_ASSET_CLASSIFICATION!$U$8:$U$24,MATCH($C2553,DATA_ASSET_CLASSIFICATION!$A$8:$A$24,0)),"Review"))</f>
        <v>Refi Watch</v>
      </c>
      <c r="O2553" s="350" t="str">
        <f ca="1">IF($B2553="Portfolio","Portfolio",IFERROR(INDEX(DATA_ASSET_CLASSIFICATION!$AB$8:$AB$13,MATCH($N2553,DATA_ASSET_CLASSIFICATION!$AA$8:$AA$13,0)),"Review"))</f>
        <v>Bucket 2 · Legacy</v>
      </c>
      <c r="P2553" s="350" t="str">
        <f>IF($B2553="Portfolio","Portfolio",IFERROR(INDEX(DATA_ASSET_CLASSIFICATION!$C$8:$C$24,MATCH($C2553,DATA_ASSET_CLASSIFICATION!$A$8:$A$24,0)),"Review"))</f>
        <v>Yes</v>
      </c>
      <c r="Q2553" s="350" t="str">
        <f t="shared" ca="1" si="79"/>
        <v>OK</v>
      </c>
    </row>
    <row r="2554" spans="1:17">
      <c r="A2554" s="366" t="s">
        <v>4510</v>
      </c>
      <c r="B2554" s="366" t="s">
        <v>231</v>
      </c>
      <c r="C2554" s="348" t="str">
        <f>DATA_PROPERTY_MASTER!$A$12</f>
        <v>BLD_JP</v>
      </c>
      <c r="D2554" s="380">
        <f>'00_PORTFOLIO ROLLUP'!R$12</f>
        <v>2038</v>
      </c>
      <c r="E2554" s="366" t="s">
        <v>1741</v>
      </c>
      <c r="F2554" s="366" t="s">
        <v>1749</v>
      </c>
      <c r="G2554" s="348" t="str">
        <f>"'"&amp;$C2554&amp;"'!rows 56, 63, 68"</f>
        <v>'BLD_JP'!rows 56, 63, 68</v>
      </c>
      <c r="H2554" s="381">
        <f ca="1">IF(IFERROR(INDEX(DATA_PROPERTY_MASTER!$E$5:$E$21,MATCH($C2554,DATA_PROPERTY_MASTER!$A$5:$A$21,0))="Yes",FALSE),(IFERROR(INDEX(INDIRECT("'"&amp;$C2554&amp;"'!$E$56:$Y$56"),1,MATCH($D2554,INDIRECT("'"&amp;$C2554&amp;"'!$E$12:$Y$12"),0)),0)+MAX(IFERROR(INDEX(INDIRECT("'"&amp;$C2554&amp;"'!$E$63:$Y$63"),1,MATCH($D2554,INDIRECT("'"&amp;$C2554&amp;"'!$E$12:$Y$12"),0)),0),0))-(IFERROR(INDEX(INDIRECT("'"&amp;$C2554&amp;"'!$E$68:$Y$68"),1,MATCH($D2554,INDIRECT("'"&amp;$C2554&amp;"'!$E$12:$Y$12"),0)),0)),0)</f>
        <v>0</v>
      </c>
      <c r="I2554" s="366" t="s">
        <v>1750</v>
      </c>
      <c r="J2554" s="348" t="str">
        <f t="shared" ca="1" si="78"/>
        <v>OK</v>
      </c>
      <c r="K2554" s="366" t="s">
        <v>1751</v>
      </c>
      <c r="L2554" s="366" t="s">
        <v>2266</v>
      </c>
      <c r="M2554" s="350" t="str">
        <f>IF($B2554="Portfolio","Portfolio",IFERROR(INDEX(DATA_ASSET_CLASSIFICATION!$B$8:$B$24,MATCH($C2554,DATA_ASSET_CLASSIFICATION!$A$8:$A$24,0)),"Review"))</f>
        <v>Jessica Place</v>
      </c>
      <c r="N2554" s="350" t="str">
        <f ca="1">IF($B2554="Portfolio","Portfolio",IFERROR(INDEX(DATA_ASSET_CLASSIFICATION!$U$8:$U$24,MATCH($C2554,DATA_ASSET_CLASSIFICATION!$A$8:$A$24,0)),"Review"))</f>
        <v>Refi Watch</v>
      </c>
      <c r="O2554" s="350" t="str">
        <f ca="1">IF($B2554="Portfolio","Portfolio",IFERROR(INDEX(DATA_ASSET_CLASSIFICATION!$AB$8:$AB$13,MATCH($N2554,DATA_ASSET_CLASSIFICATION!$AA$8:$AA$13,0)),"Review"))</f>
        <v>Bucket 2 · Legacy</v>
      </c>
      <c r="P2554" s="350" t="str">
        <f>IF($B2554="Portfolio","Portfolio",IFERROR(INDEX(DATA_ASSET_CLASSIFICATION!$C$8:$C$24,MATCH($C2554,DATA_ASSET_CLASSIFICATION!$A$8:$A$24,0)),"Review"))</f>
        <v>Yes</v>
      </c>
      <c r="Q2554" s="350" t="str">
        <f t="shared" ca="1" si="79"/>
        <v>OK</v>
      </c>
    </row>
    <row r="2555" spans="1:17">
      <c r="A2555" s="366" t="s">
        <v>4511</v>
      </c>
      <c r="B2555" s="366" t="s">
        <v>231</v>
      </c>
      <c r="C2555" s="348" t="str">
        <f>DATA_PROPERTY_MASTER!$A$12</f>
        <v>BLD_JP</v>
      </c>
      <c r="D2555" s="380">
        <f>'00_PORTFOLIO ROLLUP'!S$12</f>
        <v>2039</v>
      </c>
      <c r="E2555" s="366" t="s">
        <v>1683</v>
      </c>
      <c r="F2555" s="366" t="s">
        <v>341</v>
      </c>
      <c r="G2555" s="348" t="str">
        <f>"'"&amp;$C2555&amp;"'!$E$24:$Y$24"</f>
        <v>'BLD_JP'!$E$24:$Y$24</v>
      </c>
      <c r="H2555" s="381">
        <f ca="1">IF(IFERROR(INDEX(DATA_PROPERTY_MASTER!$E$5:$E$21,MATCH($C2555,DATA_PROPERTY_MASTER!$A$5:$A$21,0))="Yes",FALSE),IFERROR(INDEX(INDIRECT("'"&amp;$C2555&amp;"'!$E$24:$Y$24"),1,MATCH($D2555,INDIRECT("'"&amp;$C2555&amp;"'!$E$12:$Y$12"),0)),0),0)</f>
        <v>648856.63736859662</v>
      </c>
      <c r="I2555" s="366" t="s">
        <v>1685</v>
      </c>
      <c r="J2555" s="348" t="str">
        <f t="shared" ca="1" si="78"/>
        <v>OK</v>
      </c>
      <c r="K2555" s="366" t="s">
        <v>1686</v>
      </c>
      <c r="L2555" s="366" t="s">
        <v>2234</v>
      </c>
      <c r="M2555" s="350" t="str">
        <f>IF($B2555="Portfolio","Portfolio",IFERROR(INDEX(DATA_ASSET_CLASSIFICATION!$B$8:$B$24,MATCH($C2555,DATA_ASSET_CLASSIFICATION!$A$8:$A$24,0)),"Review"))</f>
        <v>Jessica Place</v>
      </c>
      <c r="N2555" s="350" t="str">
        <f ca="1">IF($B2555="Portfolio","Portfolio",IFERROR(INDEX(DATA_ASSET_CLASSIFICATION!$U$8:$U$24,MATCH($C2555,DATA_ASSET_CLASSIFICATION!$A$8:$A$24,0)),"Review"))</f>
        <v>Refi Watch</v>
      </c>
      <c r="O2555" s="350" t="str">
        <f ca="1">IF($B2555="Portfolio","Portfolio",IFERROR(INDEX(DATA_ASSET_CLASSIFICATION!$AB$8:$AB$13,MATCH($N2555,DATA_ASSET_CLASSIFICATION!$AA$8:$AA$13,0)),"Review"))</f>
        <v>Bucket 2 · Legacy</v>
      </c>
      <c r="P2555" s="350" t="str">
        <f>IF($B2555="Portfolio","Portfolio",IFERROR(INDEX(DATA_ASSET_CLASSIFICATION!$C$8:$C$24,MATCH($C2555,DATA_ASSET_CLASSIFICATION!$A$8:$A$24,0)),"Review"))</f>
        <v>Yes</v>
      </c>
      <c r="Q2555" s="350" t="str">
        <f t="shared" ca="1" si="79"/>
        <v>OK</v>
      </c>
    </row>
    <row r="2556" spans="1:17">
      <c r="A2556" s="366" t="s">
        <v>4512</v>
      </c>
      <c r="B2556" s="366" t="s">
        <v>231</v>
      </c>
      <c r="C2556" s="348" t="str">
        <f>DATA_PROPERTY_MASTER!$A$12</f>
        <v>BLD_JP</v>
      </c>
      <c r="D2556" s="380">
        <f>'00_PORTFOLIO ROLLUP'!S$12</f>
        <v>2039</v>
      </c>
      <c r="E2556" s="366" t="s">
        <v>1683</v>
      </c>
      <c r="F2556" s="366" t="s">
        <v>355</v>
      </c>
      <c r="G2556" s="348" t="str">
        <f>"'"&amp;$C2556&amp;"'!$E$39:$Y$39"</f>
        <v>'BLD_JP'!$E$39:$Y$39</v>
      </c>
      <c r="H2556" s="381">
        <f ca="1">IF(IFERROR(INDEX(DATA_PROPERTY_MASTER!$E$5:$E$21,MATCH($C2556,DATA_PROPERTY_MASTER!$A$5:$A$21,0))="Yes",FALSE),IFERROR(INDEX(INDIRECT("'"&amp;$C2556&amp;"'!$E$39:$Y$39"),1,MATCH($D2556,INDIRECT("'"&amp;$C2556&amp;"'!$E$12:$Y$12"),0)),0),0)</f>
        <v>410150.46684762108</v>
      </c>
      <c r="I2556" s="366" t="s">
        <v>1690</v>
      </c>
      <c r="J2556" s="348" t="str">
        <f t="shared" ca="1" si="78"/>
        <v>OK</v>
      </c>
      <c r="K2556" s="366" t="s">
        <v>1686</v>
      </c>
      <c r="L2556" s="366" t="s">
        <v>2236</v>
      </c>
      <c r="M2556" s="350" t="str">
        <f>IF($B2556="Portfolio","Portfolio",IFERROR(INDEX(DATA_ASSET_CLASSIFICATION!$B$8:$B$24,MATCH($C2556,DATA_ASSET_CLASSIFICATION!$A$8:$A$24,0)),"Review"))</f>
        <v>Jessica Place</v>
      </c>
      <c r="N2556" s="350" t="str">
        <f ca="1">IF($B2556="Portfolio","Portfolio",IFERROR(INDEX(DATA_ASSET_CLASSIFICATION!$U$8:$U$24,MATCH($C2556,DATA_ASSET_CLASSIFICATION!$A$8:$A$24,0)),"Review"))</f>
        <v>Refi Watch</v>
      </c>
      <c r="O2556" s="350" t="str">
        <f ca="1">IF($B2556="Portfolio","Portfolio",IFERROR(INDEX(DATA_ASSET_CLASSIFICATION!$AB$8:$AB$13,MATCH($N2556,DATA_ASSET_CLASSIFICATION!$AA$8:$AA$13,0)),"Review"))</f>
        <v>Bucket 2 · Legacy</v>
      </c>
      <c r="P2556" s="350" t="str">
        <f>IF($B2556="Portfolio","Portfolio",IFERROR(INDEX(DATA_ASSET_CLASSIFICATION!$C$8:$C$24,MATCH($C2556,DATA_ASSET_CLASSIFICATION!$A$8:$A$24,0)),"Review"))</f>
        <v>Yes</v>
      </c>
      <c r="Q2556" s="350" t="str">
        <f t="shared" ca="1" si="79"/>
        <v>OK</v>
      </c>
    </row>
    <row r="2557" spans="1:17">
      <c r="A2557" s="366" t="s">
        <v>4513</v>
      </c>
      <c r="B2557" s="366" t="s">
        <v>231</v>
      </c>
      <c r="C2557" s="348" t="str">
        <f>DATA_PROPERTY_MASTER!$A$12</f>
        <v>BLD_JP</v>
      </c>
      <c r="D2557" s="380">
        <f>'00_PORTFOLIO ROLLUP'!S$12</f>
        <v>2039</v>
      </c>
      <c r="E2557" s="366" t="s">
        <v>1683</v>
      </c>
      <c r="F2557" s="366" t="s">
        <v>19</v>
      </c>
      <c r="G2557" s="348" t="str">
        <f>"'"&amp;$C2557&amp;"'!$E$41:$Y$41"</f>
        <v>'BLD_JP'!$E$41:$Y$41</v>
      </c>
      <c r="H2557" s="381">
        <f ca="1">IF(IFERROR(INDEX(DATA_PROPERTY_MASTER!$E$5:$E$21,MATCH($C2557,DATA_PROPERTY_MASTER!$A$5:$A$21,0))="Yes",FALSE),IFERROR(INDEX(INDIRECT("'"&amp;$C2557&amp;"'!$E$41:$Y$41"),1,MATCH($D2557,INDIRECT("'"&amp;$C2557&amp;"'!$E$12:$Y$12"),0)),0),0)</f>
        <v>238706.17052097555</v>
      </c>
      <c r="I2557" s="366" t="s">
        <v>1685</v>
      </c>
      <c r="J2557" s="348" t="str">
        <f t="shared" ca="1" si="78"/>
        <v>OK</v>
      </c>
      <c r="K2557" s="366" t="s">
        <v>1694</v>
      </c>
      <c r="L2557" s="366" t="s">
        <v>2238</v>
      </c>
      <c r="M2557" s="350" t="str">
        <f>IF($B2557="Portfolio","Portfolio",IFERROR(INDEX(DATA_ASSET_CLASSIFICATION!$B$8:$B$24,MATCH($C2557,DATA_ASSET_CLASSIFICATION!$A$8:$A$24,0)),"Review"))</f>
        <v>Jessica Place</v>
      </c>
      <c r="N2557" s="350" t="str">
        <f ca="1">IF($B2557="Portfolio","Portfolio",IFERROR(INDEX(DATA_ASSET_CLASSIFICATION!$U$8:$U$24,MATCH($C2557,DATA_ASSET_CLASSIFICATION!$A$8:$A$24,0)),"Review"))</f>
        <v>Refi Watch</v>
      </c>
      <c r="O2557" s="350" t="str">
        <f ca="1">IF($B2557="Portfolio","Portfolio",IFERROR(INDEX(DATA_ASSET_CLASSIFICATION!$AB$8:$AB$13,MATCH($N2557,DATA_ASSET_CLASSIFICATION!$AA$8:$AA$13,0)),"Review"))</f>
        <v>Bucket 2 · Legacy</v>
      </c>
      <c r="P2557" s="350" t="str">
        <f>IF($B2557="Portfolio","Portfolio",IFERROR(INDEX(DATA_ASSET_CLASSIFICATION!$C$8:$C$24,MATCH($C2557,DATA_ASSET_CLASSIFICATION!$A$8:$A$24,0)),"Review"))</f>
        <v>Yes</v>
      </c>
      <c r="Q2557" s="350" t="str">
        <f t="shared" ca="1" si="79"/>
        <v>OK</v>
      </c>
    </row>
    <row r="2558" spans="1:17">
      <c r="A2558" s="366" t="s">
        <v>4514</v>
      </c>
      <c r="B2558" s="366" t="s">
        <v>231</v>
      </c>
      <c r="C2558" s="348" t="str">
        <f>DATA_PROPERTY_MASTER!$A$12</f>
        <v>BLD_JP</v>
      </c>
      <c r="D2558" s="380">
        <f>'00_PORTFOLIO ROLLUP'!S$12</f>
        <v>2039</v>
      </c>
      <c r="E2558" s="366" t="s">
        <v>1683</v>
      </c>
      <c r="F2558" s="366" t="s">
        <v>1697</v>
      </c>
      <c r="G2558" s="348" t="str">
        <f>"'"&amp;$C2558&amp;"'!$E$44:$Y$44"</f>
        <v>'BLD_JP'!$E$44:$Y$44</v>
      </c>
      <c r="H2558" s="381">
        <f ca="1">IF(IFERROR(INDEX(DATA_PROPERTY_MASTER!$E$5:$E$21,MATCH($C2558,DATA_PROPERTY_MASTER!$A$5:$A$21,0))="Yes",FALSE),IFERROR(INDEX(INDIRECT("'"&amp;$C2558&amp;"'!$E$44:$Y$44"),1,MATCH($D2558,INDIRECT("'"&amp;$C2558&amp;"'!$E$12:$Y$12"),0)),0),0)</f>
        <v>7916.8725783772325</v>
      </c>
      <c r="I2558" s="366" t="s">
        <v>1690</v>
      </c>
      <c r="J2558" s="348" t="str">
        <f t="shared" ca="1" si="78"/>
        <v>OK</v>
      </c>
      <c r="K2558" s="366" t="s">
        <v>1699</v>
      </c>
      <c r="L2558" s="366" t="s">
        <v>2240</v>
      </c>
      <c r="M2558" s="350" t="str">
        <f>IF($B2558="Portfolio","Portfolio",IFERROR(INDEX(DATA_ASSET_CLASSIFICATION!$B$8:$B$24,MATCH($C2558,DATA_ASSET_CLASSIFICATION!$A$8:$A$24,0)),"Review"))</f>
        <v>Jessica Place</v>
      </c>
      <c r="N2558" s="350" t="str">
        <f ca="1">IF($B2558="Portfolio","Portfolio",IFERROR(INDEX(DATA_ASSET_CLASSIFICATION!$U$8:$U$24,MATCH($C2558,DATA_ASSET_CLASSIFICATION!$A$8:$A$24,0)),"Review"))</f>
        <v>Refi Watch</v>
      </c>
      <c r="O2558" s="350" t="str">
        <f ca="1">IF($B2558="Portfolio","Portfolio",IFERROR(INDEX(DATA_ASSET_CLASSIFICATION!$AB$8:$AB$13,MATCH($N2558,DATA_ASSET_CLASSIFICATION!$AA$8:$AA$13,0)),"Review"))</f>
        <v>Bucket 2 · Legacy</v>
      </c>
      <c r="P2558" s="350" t="str">
        <f>IF($B2558="Portfolio","Portfolio",IFERROR(INDEX(DATA_ASSET_CLASSIFICATION!$C$8:$C$24,MATCH($C2558,DATA_ASSET_CLASSIFICATION!$A$8:$A$24,0)),"Review"))</f>
        <v>Yes</v>
      </c>
      <c r="Q2558" s="350" t="str">
        <f t="shared" ca="1" si="79"/>
        <v>OK</v>
      </c>
    </row>
    <row r="2559" spans="1:17">
      <c r="A2559" s="366" t="s">
        <v>4515</v>
      </c>
      <c r="B2559" s="366" t="s">
        <v>231</v>
      </c>
      <c r="C2559" s="348" t="str">
        <f>DATA_PROPERTY_MASTER!$A$12</f>
        <v>BLD_JP</v>
      </c>
      <c r="D2559" s="380">
        <f>'00_PORTFOLIO ROLLUP'!S$12</f>
        <v>2039</v>
      </c>
      <c r="E2559" s="366" t="s">
        <v>1683</v>
      </c>
      <c r="F2559" s="366" t="s">
        <v>21</v>
      </c>
      <c r="G2559" s="348" t="str">
        <f>"'"&amp;$C2559&amp;"'!$E$45:$Y$45"</f>
        <v>'BLD_JP'!$E$45:$Y$45</v>
      </c>
      <c r="H2559" s="381">
        <f ca="1">IF(IFERROR(INDEX(DATA_PROPERTY_MASTER!$E$5:$E$21,MATCH($C2559,DATA_PROPERTY_MASTER!$A$5:$A$21,0))="Yes",FALSE),IFERROR(INDEX(INDIRECT("'"&amp;$C2559&amp;"'!$E$45:$Y$45"),1,MATCH($D2559,INDIRECT("'"&amp;$C2559&amp;"'!$E$12:$Y$12"),0)),0),0)</f>
        <v>230789.29794259832</v>
      </c>
      <c r="I2559" s="366" t="s">
        <v>1685</v>
      </c>
      <c r="J2559" s="348" t="str">
        <f t="shared" ca="1" si="78"/>
        <v>OK</v>
      </c>
      <c r="K2559" s="366" t="s">
        <v>1694</v>
      </c>
      <c r="L2559" s="366" t="s">
        <v>2242</v>
      </c>
      <c r="M2559" s="350" t="str">
        <f>IF($B2559="Portfolio","Portfolio",IFERROR(INDEX(DATA_ASSET_CLASSIFICATION!$B$8:$B$24,MATCH($C2559,DATA_ASSET_CLASSIFICATION!$A$8:$A$24,0)),"Review"))</f>
        <v>Jessica Place</v>
      </c>
      <c r="N2559" s="350" t="str">
        <f ca="1">IF($B2559="Portfolio","Portfolio",IFERROR(INDEX(DATA_ASSET_CLASSIFICATION!$U$8:$U$24,MATCH($C2559,DATA_ASSET_CLASSIFICATION!$A$8:$A$24,0)),"Review"))</f>
        <v>Refi Watch</v>
      </c>
      <c r="O2559" s="350" t="str">
        <f ca="1">IF($B2559="Portfolio","Portfolio",IFERROR(INDEX(DATA_ASSET_CLASSIFICATION!$AB$8:$AB$13,MATCH($N2559,DATA_ASSET_CLASSIFICATION!$AA$8:$AA$13,0)),"Review"))</f>
        <v>Bucket 2 · Legacy</v>
      </c>
      <c r="P2559" s="350" t="str">
        <f>IF($B2559="Portfolio","Portfolio",IFERROR(INDEX(DATA_ASSET_CLASSIFICATION!$C$8:$C$24,MATCH($C2559,DATA_ASSET_CLASSIFICATION!$A$8:$A$24,0)),"Review"))</f>
        <v>Yes</v>
      </c>
      <c r="Q2559" s="350" t="str">
        <f t="shared" ca="1" si="79"/>
        <v>OK</v>
      </c>
    </row>
    <row r="2560" spans="1:17">
      <c r="A2560" s="366" t="s">
        <v>4516</v>
      </c>
      <c r="B2560" s="366" t="s">
        <v>231</v>
      </c>
      <c r="C2560" s="348" t="str">
        <f>DATA_PROPERTY_MASTER!$A$12</f>
        <v>BLD_JP</v>
      </c>
      <c r="D2560" s="380">
        <f>'00_PORTFOLIO ROLLUP'!S$12</f>
        <v>2039</v>
      </c>
      <c r="E2560" s="366" t="s">
        <v>23</v>
      </c>
      <c r="F2560" s="366" t="s">
        <v>23</v>
      </c>
      <c r="G2560" s="348" t="str">
        <f>"'"&amp;$C2560&amp;"'!$E$48:$Y$48"</f>
        <v>'BLD_JP'!$E$48:$Y$48</v>
      </c>
      <c r="H2560" s="381">
        <f ca="1">IF(IFERROR(INDEX(DATA_PROPERTY_MASTER!$E$5:$E$21,MATCH($C2560,DATA_PROPERTY_MASTER!$A$5:$A$21,0))="Yes",FALSE),IFERROR(INDEX(INDIRECT("'"&amp;$C2560&amp;"'!$E$48:$Y$48"),1,MATCH($D2560,INDIRECT("'"&amp;$C2560&amp;"'!$E$12:$Y$12"),0)),0),0)</f>
        <v>0</v>
      </c>
      <c r="I2560" s="366" t="s">
        <v>1690</v>
      </c>
      <c r="J2560" s="348" t="str">
        <f t="shared" ca="1" si="78"/>
        <v>OK</v>
      </c>
      <c r="K2560" s="366" t="s">
        <v>1706</v>
      </c>
      <c r="L2560" s="366" t="s">
        <v>2244</v>
      </c>
      <c r="M2560" s="350" t="str">
        <f>IF($B2560="Portfolio","Portfolio",IFERROR(INDEX(DATA_ASSET_CLASSIFICATION!$B$8:$B$24,MATCH($C2560,DATA_ASSET_CLASSIFICATION!$A$8:$A$24,0)),"Review"))</f>
        <v>Jessica Place</v>
      </c>
      <c r="N2560" s="350" t="str">
        <f ca="1">IF($B2560="Portfolio","Portfolio",IFERROR(INDEX(DATA_ASSET_CLASSIFICATION!$U$8:$U$24,MATCH($C2560,DATA_ASSET_CLASSIFICATION!$A$8:$A$24,0)),"Review"))</f>
        <v>Refi Watch</v>
      </c>
      <c r="O2560" s="350" t="str">
        <f ca="1">IF($B2560="Portfolio","Portfolio",IFERROR(INDEX(DATA_ASSET_CLASSIFICATION!$AB$8:$AB$13,MATCH($N2560,DATA_ASSET_CLASSIFICATION!$AA$8:$AA$13,0)),"Review"))</f>
        <v>Bucket 2 · Legacy</v>
      </c>
      <c r="P2560" s="350" t="str">
        <f>IF($B2560="Portfolio","Portfolio",IFERROR(INDEX(DATA_ASSET_CLASSIFICATION!$C$8:$C$24,MATCH($C2560,DATA_ASSET_CLASSIFICATION!$A$8:$A$24,0)),"Review"))</f>
        <v>Yes</v>
      </c>
      <c r="Q2560" s="350" t="str">
        <f t="shared" ca="1" si="79"/>
        <v>OK</v>
      </c>
    </row>
    <row r="2561" spans="1:17">
      <c r="A2561" s="366" t="s">
        <v>4517</v>
      </c>
      <c r="B2561" s="366" t="s">
        <v>231</v>
      </c>
      <c r="C2561" s="348" t="str">
        <f>DATA_PROPERTY_MASTER!$A$12</f>
        <v>BLD_JP</v>
      </c>
      <c r="D2561" s="380">
        <f>'00_PORTFOLIO ROLLUP'!S$12</f>
        <v>2039</v>
      </c>
      <c r="E2561" s="366" t="s">
        <v>1683</v>
      </c>
      <c r="F2561" s="366" t="s">
        <v>25</v>
      </c>
      <c r="G2561" s="348" t="str">
        <f>"'"&amp;$C2561&amp;"'!$E$52:$Y$52"</f>
        <v>'BLD_JP'!$E$52:$Y$52</v>
      </c>
      <c r="H2561" s="381">
        <f ca="1">IF(IFERROR(INDEX(DATA_PROPERTY_MASTER!$E$5:$E$21,MATCH($C2561,DATA_PROPERTY_MASTER!$A$5:$A$21,0))="Yes",FALSE),IFERROR(INDEX(INDIRECT("'"&amp;$C2561&amp;"'!$E$52:$Y$52"),1,MATCH($D2561,INDIRECT("'"&amp;$C2561&amp;"'!$E$12:$Y$12"),0)),0),0)</f>
        <v>238706.17052097555</v>
      </c>
      <c r="I2561" s="366" t="s">
        <v>1685</v>
      </c>
      <c r="J2561" s="348" t="str">
        <f t="shared" ca="1" si="78"/>
        <v>OK</v>
      </c>
      <c r="K2561" s="366" t="s">
        <v>1710</v>
      </c>
      <c r="L2561" s="366" t="s">
        <v>2246</v>
      </c>
      <c r="M2561" s="350" t="str">
        <f>IF($B2561="Portfolio","Portfolio",IFERROR(INDEX(DATA_ASSET_CLASSIFICATION!$B$8:$B$24,MATCH($C2561,DATA_ASSET_CLASSIFICATION!$A$8:$A$24,0)),"Review"))</f>
        <v>Jessica Place</v>
      </c>
      <c r="N2561" s="350" t="str">
        <f ca="1">IF($B2561="Portfolio","Portfolio",IFERROR(INDEX(DATA_ASSET_CLASSIFICATION!$U$8:$U$24,MATCH($C2561,DATA_ASSET_CLASSIFICATION!$A$8:$A$24,0)),"Review"))</f>
        <v>Refi Watch</v>
      </c>
      <c r="O2561" s="350" t="str">
        <f ca="1">IF($B2561="Portfolio","Portfolio",IFERROR(INDEX(DATA_ASSET_CLASSIFICATION!$AB$8:$AB$13,MATCH($N2561,DATA_ASSET_CLASSIFICATION!$AA$8:$AA$13,0)),"Review"))</f>
        <v>Bucket 2 · Legacy</v>
      </c>
      <c r="P2561" s="350" t="str">
        <f>IF($B2561="Portfolio","Portfolio",IFERROR(INDEX(DATA_ASSET_CLASSIFICATION!$C$8:$C$24,MATCH($C2561,DATA_ASSET_CLASSIFICATION!$A$8:$A$24,0)),"Review"))</f>
        <v>Yes</v>
      </c>
      <c r="Q2561" s="350" t="str">
        <f t="shared" ca="1" si="79"/>
        <v>OK</v>
      </c>
    </row>
    <row r="2562" spans="1:17">
      <c r="A2562" s="366" t="s">
        <v>4518</v>
      </c>
      <c r="B2562" s="366" t="s">
        <v>231</v>
      </c>
      <c r="C2562" s="348" t="str">
        <f>DATA_PROPERTY_MASTER!$A$12</f>
        <v>BLD_JP</v>
      </c>
      <c r="D2562" s="380">
        <f>'00_PORTFOLIO ROLLUP'!S$12</f>
        <v>2039</v>
      </c>
      <c r="E2562" s="366" t="s">
        <v>1683</v>
      </c>
      <c r="F2562" s="366" t="s">
        <v>27</v>
      </c>
      <c r="G2562" s="348" t="str">
        <f>"'"&amp;$C2562&amp;"'!$E$54:$Y$54"</f>
        <v>'BLD_JP'!$E$54:$Y$54</v>
      </c>
      <c r="H2562" s="381">
        <f ca="1">IF(IFERROR(INDEX(DATA_PROPERTY_MASTER!$E$5:$E$21,MATCH($C2562,DATA_PROPERTY_MASTER!$A$5:$A$21,0))="Yes",FALSE),IFERROR(INDEX(INDIRECT("'"&amp;$C2562&amp;"'!$E$54:$Y$54"),1,MATCH($D2562,INDIRECT("'"&amp;$C2562&amp;"'!$E$12:$Y$12"),0)),0),0)</f>
        <v>143223.70231258532</v>
      </c>
      <c r="I2562" s="366" t="s">
        <v>1690</v>
      </c>
      <c r="J2562" s="348" t="str">
        <f t="shared" ca="1" si="78"/>
        <v>OK</v>
      </c>
      <c r="K2562" s="366" t="s">
        <v>1714</v>
      </c>
      <c r="L2562" s="366" t="s">
        <v>2248</v>
      </c>
      <c r="M2562" s="350" t="str">
        <f>IF($B2562="Portfolio","Portfolio",IFERROR(INDEX(DATA_ASSET_CLASSIFICATION!$B$8:$B$24,MATCH($C2562,DATA_ASSET_CLASSIFICATION!$A$8:$A$24,0)),"Review"))</f>
        <v>Jessica Place</v>
      </c>
      <c r="N2562" s="350" t="str">
        <f ca="1">IF($B2562="Portfolio","Portfolio",IFERROR(INDEX(DATA_ASSET_CLASSIFICATION!$U$8:$U$24,MATCH($C2562,DATA_ASSET_CLASSIFICATION!$A$8:$A$24,0)),"Review"))</f>
        <v>Refi Watch</v>
      </c>
      <c r="O2562" s="350" t="str">
        <f ca="1">IF($B2562="Portfolio","Portfolio",IFERROR(INDEX(DATA_ASSET_CLASSIFICATION!$AB$8:$AB$13,MATCH($N2562,DATA_ASSET_CLASSIFICATION!$AA$8:$AA$13,0)),"Review"))</f>
        <v>Bucket 2 · Legacy</v>
      </c>
      <c r="P2562" s="350" t="str">
        <f>IF($B2562="Portfolio","Portfolio",IFERROR(INDEX(DATA_ASSET_CLASSIFICATION!$C$8:$C$24,MATCH($C2562,DATA_ASSET_CLASSIFICATION!$A$8:$A$24,0)),"Review"))</f>
        <v>Yes</v>
      </c>
      <c r="Q2562" s="350" t="str">
        <f t="shared" ca="1" si="79"/>
        <v>OK</v>
      </c>
    </row>
    <row r="2563" spans="1:17">
      <c r="A2563" s="366" t="s">
        <v>4519</v>
      </c>
      <c r="B2563" s="366" t="s">
        <v>231</v>
      </c>
      <c r="C2563" s="348" t="str">
        <f>DATA_PROPERTY_MASTER!$A$12</f>
        <v>BLD_JP</v>
      </c>
      <c r="D2563" s="380">
        <f>'00_PORTFOLIO ROLLUP'!S$12</f>
        <v>2039</v>
      </c>
      <c r="E2563" s="366" t="s">
        <v>1683</v>
      </c>
      <c r="F2563" s="366" t="s">
        <v>29</v>
      </c>
      <c r="G2563" s="348" t="str">
        <f>"'"&amp;$C2563&amp;"'!$E$56:$Y$56"</f>
        <v>'BLD_JP'!$E$56:$Y$56</v>
      </c>
      <c r="H2563" s="381">
        <f ca="1">IF(IFERROR(INDEX(DATA_PROPERTY_MASTER!$E$5:$E$21,MATCH($C2563,DATA_PROPERTY_MASTER!$A$5:$A$21,0))="Yes",FALSE),IFERROR(INDEX(INDIRECT("'"&amp;$C2563&amp;"'!$E$56:$Y$56"),1,MATCH($D2563,INDIRECT("'"&amp;$C2563&amp;"'!$E$12:$Y$12"),0)),0),0)</f>
        <v>95482.46820839023</v>
      </c>
      <c r="I2563" s="366" t="s">
        <v>1685</v>
      </c>
      <c r="J2563" s="348" t="str">
        <f t="shared" ca="1" si="78"/>
        <v>OK</v>
      </c>
      <c r="K2563" s="366" t="s">
        <v>1718</v>
      </c>
      <c r="L2563" s="366" t="s">
        <v>2250</v>
      </c>
      <c r="M2563" s="350" t="str">
        <f>IF($B2563="Portfolio","Portfolio",IFERROR(INDEX(DATA_ASSET_CLASSIFICATION!$B$8:$B$24,MATCH($C2563,DATA_ASSET_CLASSIFICATION!$A$8:$A$24,0)),"Review"))</f>
        <v>Jessica Place</v>
      </c>
      <c r="N2563" s="350" t="str">
        <f ca="1">IF($B2563="Portfolio","Portfolio",IFERROR(INDEX(DATA_ASSET_CLASSIFICATION!$U$8:$U$24,MATCH($C2563,DATA_ASSET_CLASSIFICATION!$A$8:$A$24,0)),"Review"))</f>
        <v>Refi Watch</v>
      </c>
      <c r="O2563" s="350" t="str">
        <f ca="1">IF($B2563="Portfolio","Portfolio",IFERROR(INDEX(DATA_ASSET_CLASSIFICATION!$AB$8:$AB$13,MATCH($N2563,DATA_ASSET_CLASSIFICATION!$AA$8:$AA$13,0)),"Review"))</f>
        <v>Bucket 2 · Legacy</v>
      </c>
      <c r="P2563" s="350" t="str">
        <f>IF($B2563="Portfolio","Portfolio",IFERROR(INDEX(DATA_ASSET_CLASSIFICATION!$C$8:$C$24,MATCH($C2563,DATA_ASSET_CLASSIFICATION!$A$8:$A$24,0)),"Review"))</f>
        <v>Yes</v>
      </c>
      <c r="Q2563" s="350" t="str">
        <f t="shared" ca="1" si="79"/>
        <v>OK</v>
      </c>
    </row>
    <row r="2564" spans="1:17">
      <c r="A2564" s="366" t="s">
        <v>4520</v>
      </c>
      <c r="B2564" s="366" t="s">
        <v>231</v>
      </c>
      <c r="C2564" s="348" t="str">
        <f>DATA_PROPERTY_MASTER!$A$12</f>
        <v>BLD_JP</v>
      </c>
      <c r="D2564" s="380">
        <f>'00_PORTFOLIO ROLLUP'!S$12</f>
        <v>2039</v>
      </c>
      <c r="E2564" s="366" t="s">
        <v>1721</v>
      </c>
      <c r="F2564" s="366" t="s">
        <v>31</v>
      </c>
      <c r="G2564" s="348" t="str">
        <f>"'"&amp;$C2564&amp;"'!$E$61:$Y$61"</f>
        <v>'BLD_JP'!$E$61:$Y$61</v>
      </c>
      <c r="H2564" s="381">
        <f ca="1">IF(IFERROR(INDEX(DATA_PROPERTY_MASTER!$E$5:$E$21,MATCH($C2564,DATA_PROPERTY_MASTER!$A$5:$A$21,0))="Yes",FALSE),IFERROR(INDEX(INDIRECT("'"&amp;$C2564&amp;"'!$E$61:$Y$61"),1,MATCH($D2564,INDIRECT("'"&amp;$C2564&amp;"'!$E$12:$Y$12"),0)),0),0)</f>
        <v>0</v>
      </c>
      <c r="I2564" s="366" t="s">
        <v>1690</v>
      </c>
      <c r="J2564" s="348" t="str">
        <f t="shared" ca="1" si="78"/>
        <v>OK</v>
      </c>
      <c r="K2564" s="366" t="s">
        <v>1723</v>
      </c>
      <c r="L2564" s="366" t="s">
        <v>2252</v>
      </c>
      <c r="M2564" s="350" t="str">
        <f>IF($B2564="Portfolio","Portfolio",IFERROR(INDEX(DATA_ASSET_CLASSIFICATION!$B$8:$B$24,MATCH($C2564,DATA_ASSET_CLASSIFICATION!$A$8:$A$24,0)),"Review"))</f>
        <v>Jessica Place</v>
      </c>
      <c r="N2564" s="350" t="str">
        <f ca="1">IF($B2564="Portfolio","Portfolio",IFERROR(INDEX(DATA_ASSET_CLASSIFICATION!$U$8:$U$24,MATCH($C2564,DATA_ASSET_CLASSIFICATION!$A$8:$A$24,0)),"Review"))</f>
        <v>Refi Watch</v>
      </c>
      <c r="O2564" s="350" t="str">
        <f ca="1">IF($B2564="Portfolio","Portfolio",IFERROR(INDEX(DATA_ASSET_CLASSIFICATION!$AB$8:$AB$13,MATCH($N2564,DATA_ASSET_CLASSIFICATION!$AA$8:$AA$13,0)),"Review"))</f>
        <v>Bucket 2 · Legacy</v>
      </c>
      <c r="P2564" s="350" t="str">
        <f>IF($B2564="Portfolio","Portfolio",IFERROR(INDEX(DATA_ASSET_CLASSIFICATION!$C$8:$C$24,MATCH($C2564,DATA_ASSET_CLASSIFICATION!$A$8:$A$24,0)),"Review"))</f>
        <v>Yes</v>
      </c>
      <c r="Q2564" s="350" t="str">
        <f t="shared" ca="1" si="79"/>
        <v>OK</v>
      </c>
    </row>
    <row r="2565" spans="1:17">
      <c r="A2565" s="366" t="s">
        <v>4521</v>
      </c>
      <c r="B2565" s="366" t="s">
        <v>231</v>
      </c>
      <c r="C2565" s="348" t="str">
        <f>DATA_PROPERTY_MASTER!$A$12</f>
        <v>BLD_JP</v>
      </c>
      <c r="D2565" s="380">
        <f>'00_PORTFOLIO ROLLUP'!S$12</f>
        <v>2039</v>
      </c>
      <c r="E2565" s="366" t="s">
        <v>1721</v>
      </c>
      <c r="F2565" s="366" t="s">
        <v>33</v>
      </c>
      <c r="G2565" s="348" t="str">
        <f>"'"&amp;$C2565&amp;"'!$E$62:$Y$62"</f>
        <v>'BLD_JP'!$E$62:$Y$62</v>
      </c>
      <c r="H2565" s="381">
        <f ca="1">IF(IFERROR(INDEX(DATA_PROPERTY_MASTER!$E$5:$E$21,MATCH($C2565,DATA_PROPERTY_MASTER!$A$5:$A$21,0))="Yes",FALSE),IFERROR(INDEX(INDIRECT("'"&amp;$C2565&amp;"'!$E$62:$Y$62"),1,MATCH($D2565,INDIRECT("'"&amp;$C2565&amp;"'!$E$12:$Y$12"),0)),0),0)</f>
        <v>0</v>
      </c>
      <c r="I2565" s="366" t="s">
        <v>1685</v>
      </c>
      <c r="J2565" s="348" t="str">
        <f t="shared" ref="J2565:J2628" ca="1" si="80">IF($F2565="Residual Funding Gap",IF($H2565&gt;0,"Funding Gap","OK"),IF(AND($F2565="Net Refinance Position",$H2565&lt;0),"Negative net refi position","OK"))</f>
        <v>OK</v>
      </c>
      <c r="K2565" s="366" t="s">
        <v>1727</v>
      </c>
      <c r="L2565" s="366" t="s">
        <v>2254</v>
      </c>
      <c r="M2565" s="350" t="str">
        <f>IF($B2565="Portfolio","Portfolio",IFERROR(INDEX(DATA_ASSET_CLASSIFICATION!$B$8:$B$24,MATCH($C2565,DATA_ASSET_CLASSIFICATION!$A$8:$A$24,0)),"Review"))</f>
        <v>Jessica Place</v>
      </c>
      <c r="N2565" s="350" t="str">
        <f ca="1">IF($B2565="Portfolio","Portfolio",IFERROR(INDEX(DATA_ASSET_CLASSIFICATION!$U$8:$U$24,MATCH($C2565,DATA_ASSET_CLASSIFICATION!$A$8:$A$24,0)),"Review"))</f>
        <v>Refi Watch</v>
      </c>
      <c r="O2565" s="350" t="str">
        <f ca="1">IF($B2565="Portfolio","Portfolio",IFERROR(INDEX(DATA_ASSET_CLASSIFICATION!$AB$8:$AB$13,MATCH($N2565,DATA_ASSET_CLASSIFICATION!$AA$8:$AA$13,0)),"Review"))</f>
        <v>Bucket 2 · Legacy</v>
      </c>
      <c r="P2565" s="350" t="str">
        <f>IF($B2565="Portfolio","Portfolio",IFERROR(INDEX(DATA_ASSET_CLASSIFICATION!$C$8:$C$24,MATCH($C2565,DATA_ASSET_CLASSIFICATION!$A$8:$A$24,0)),"Review"))</f>
        <v>Yes</v>
      </c>
      <c r="Q2565" s="350" t="str">
        <f t="shared" ref="Q2565:Q2628" ca="1" si="81">IF(AND($B2565="Property",$F2565="Residual Funding Gap",$H2565&gt;0),"Property Funding Gap",IF($J2565&lt;&gt;"OK",$J2565,"OK"))</f>
        <v>OK</v>
      </c>
    </row>
    <row r="2566" spans="1:17">
      <c r="A2566" s="366" t="s">
        <v>4522</v>
      </c>
      <c r="B2566" s="366" t="s">
        <v>231</v>
      </c>
      <c r="C2566" s="348" t="str">
        <f>DATA_PROPERTY_MASTER!$A$12</f>
        <v>BLD_JP</v>
      </c>
      <c r="D2566" s="380">
        <f>'00_PORTFOLIO ROLLUP'!S$12</f>
        <v>2039</v>
      </c>
      <c r="E2566" s="366" t="s">
        <v>1721</v>
      </c>
      <c r="F2566" s="366" t="s">
        <v>35</v>
      </c>
      <c r="G2566" s="348" t="str">
        <f>"'"&amp;$C2566&amp;"'!$E$63:$Y$63"</f>
        <v>'BLD_JP'!$E$63:$Y$63</v>
      </c>
      <c r="H2566" s="381">
        <f ca="1">IF(IFERROR(INDEX(DATA_PROPERTY_MASTER!$E$5:$E$21,MATCH($C2566,DATA_PROPERTY_MASTER!$A$5:$A$21,0))="Yes",FALSE),IFERROR(INDEX(INDIRECT("'"&amp;$C2566&amp;"'!$E$63:$Y$63"),1,MATCH($D2566,INDIRECT("'"&amp;$C2566&amp;"'!$E$12:$Y$12"),0)),0),0)</f>
        <v>0</v>
      </c>
      <c r="I2566" s="366" t="s">
        <v>1731</v>
      </c>
      <c r="J2566" s="348" t="str">
        <f t="shared" ca="1" si="80"/>
        <v>OK</v>
      </c>
      <c r="K2566" s="366" t="s">
        <v>1732</v>
      </c>
      <c r="L2566" s="366" t="s">
        <v>2256</v>
      </c>
      <c r="M2566" s="350" t="str">
        <f>IF($B2566="Portfolio","Portfolio",IFERROR(INDEX(DATA_ASSET_CLASSIFICATION!$B$8:$B$24,MATCH($C2566,DATA_ASSET_CLASSIFICATION!$A$8:$A$24,0)),"Review"))</f>
        <v>Jessica Place</v>
      </c>
      <c r="N2566" s="350" t="str">
        <f ca="1">IF($B2566="Portfolio","Portfolio",IFERROR(INDEX(DATA_ASSET_CLASSIFICATION!$U$8:$U$24,MATCH($C2566,DATA_ASSET_CLASSIFICATION!$A$8:$A$24,0)),"Review"))</f>
        <v>Refi Watch</v>
      </c>
      <c r="O2566" s="350" t="str">
        <f ca="1">IF($B2566="Portfolio","Portfolio",IFERROR(INDEX(DATA_ASSET_CLASSIFICATION!$AB$8:$AB$13,MATCH($N2566,DATA_ASSET_CLASSIFICATION!$AA$8:$AA$13,0)),"Review"))</f>
        <v>Bucket 2 · Legacy</v>
      </c>
      <c r="P2566" s="350" t="str">
        <f>IF($B2566="Portfolio","Portfolio",IFERROR(INDEX(DATA_ASSET_CLASSIFICATION!$C$8:$C$24,MATCH($C2566,DATA_ASSET_CLASSIFICATION!$A$8:$A$24,0)),"Review"))</f>
        <v>Yes</v>
      </c>
      <c r="Q2566" s="350" t="str">
        <f t="shared" ca="1" si="81"/>
        <v>OK</v>
      </c>
    </row>
    <row r="2567" spans="1:17">
      <c r="A2567" s="366" t="s">
        <v>4523</v>
      </c>
      <c r="B2567" s="366" t="s">
        <v>231</v>
      </c>
      <c r="C2567" s="348" t="str">
        <f>DATA_PROPERTY_MASTER!$A$12</f>
        <v>BLD_JP</v>
      </c>
      <c r="D2567" s="380">
        <f>'00_PORTFOLIO ROLLUP'!S$12</f>
        <v>2039</v>
      </c>
      <c r="E2567" s="366" t="s">
        <v>1721</v>
      </c>
      <c r="F2567" s="366" t="s">
        <v>37</v>
      </c>
      <c r="G2567" s="348" t="str">
        <f>"'"&amp;$C2567&amp;"'!$E$63:$Y$63"</f>
        <v>'BLD_JP'!$E$63:$Y$63</v>
      </c>
      <c r="H2567" s="381">
        <f ca="1">IF(IFERROR(INDEX(DATA_PROPERTY_MASTER!$E$5:$E$21,MATCH($C2567,DATA_PROPERTY_MASTER!$A$5:$A$21,0))="Yes",FALSE),MAX(IFERROR(INDEX(INDIRECT("'"&amp;$C2567&amp;"'!$E$63:$Y$63"),1,MATCH($D2567,INDIRECT("'"&amp;$C2567&amp;"'!$E$12:$Y$12"),0)),0),0),0)</f>
        <v>0</v>
      </c>
      <c r="I2567" s="366" t="s">
        <v>1685</v>
      </c>
      <c r="J2567" s="348" t="str">
        <f t="shared" ca="1" si="80"/>
        <v>OK</v>
      </c>
      <c r="K2567" s="366" t="s">
        <v>1735</v>
      </c>
      <c r="L2567" s="366" t="s">
        <v>2258</v>
      </c>
      <c r="M2567" s="350" t="str">
        <f>IF($B2567="Portfolio","Portfolio",IFERROR(INDEX(DATA_ASSET_CLASSIFICATION!$B$8:$B$24,MATCH($C2567,DATA_ASSET_CLASSIFICATION!$A$8:$A$24,0)),"Review"))</f>
        <v>Jessica Place</v>
      </c>
      <c r="N2567" s="350" t="str">
        <f ca="1">IF($B2567="Portfolio","Portfolio",IFERROR(INDEX(DATA_ASSET_CLASSIFICATION!$U$8:$U$24,MATCH($C2567,DATA_ASSET_CLASSIFICATION!$A$8:$A$24,0)),"Review"))</f>
        <v>Refi Watch</v>
      </c>
      <c r="O2567" s="350" t="str">
        <f ca="1">IF($B2567="Portfolio","Portfolio",IFERROR(INDEX(DATA_ASSET_CLASSIFICATION!$AB$8:$AB$13,MATCH($N2567,DATA_ASSET_CLASSIFICATION!$AA$8:$AA$13,0)),"Review"))</f>
        <v>Bucket 2 · Legacy</v>
      </c>
      <c r="P2567" s="350" t="str">
        <f>IF($B2567="Portfolio","Portfolio",IFERROR(INDEX(DATA_ASSET_CLASSIFICATION!$C$8:$C$24,MATCH($C2567,DATA_ASSET_CLASSIFICATION!$A$8:$A$24,0)),"Review"))</f>
        <v>Yes</v>
      </c>
      <c r="Q2567" s="350" t="str">
        <f t="shared" ca="1" si="81"/>
        <v>OK</v>
      </c>
    </row>
    <row r="2568" spans="1:17">
      <c r="A2568" s="366" t="s">
        <v>4524</v>
      </c>
      <c r="B2568" s="366" t="s">
        <v>231</v>
      </c>
      <c r="C2568" s="348" t="str">
        <f>DATA_PROPERTY_MASTER!$A$12</f>
        <v>BLD_JP</v>
      </c>
      <c r="D2568" s="380">
        <f>'00_PORTFOLIO ROLLUP'!S$12</f>
        <v>2039</v>
      </c>
      <c r="E2568" s="366" t="s">
        <v>1721</v>
      </c>
      <c r="F2568" s="366" t="s">
        <v>39</v>
      </c>
      <c r="G2568" s="348" t="str">
        <f>"'"&amp;$C2568&amp;"'!$E$63:$Y$63"</f>
        <v>'BLD_JP'!$E$63:$Y$63</v>
      </c>
      <c r="H2568" s="381">
        <f ca="1">IF(IFERROR(INDEX(DATA_PROPERTY_MASTER!$E$5:$E$21,MATCH($C2568,DATA_PROPERTY_MASTER!$A$5:$A$21,0))="Yes",FALSE),MAX(-IFERROR(INDEX(INDIRECT("'"&amp;$C2568&amp;"'!$E$63:$Y$63"),1,MATCH($D2568,INDIRECT("'"&amp;$C2568&amp;"'!$E$12:$Y$12"),0)),0),0),0)</f>
        <v>0</v>
      </c>
      <c r="I2568" s="366" t="s">
        <v>1690</v>
      </c>
      <c r="J2568" s="348" t="str">
        <f t="shared" ca="1" si="80"/>
        <v>OK</v>
      </c>
      <c r="K2568" s="366" t="s">
        <v>1738</v>
      </c>
      <c r="L2568" s="366" t="s">
        <v>2260</v>
      </c>
      <c r="M2568" s="350" t="str">
        <f>IF($B2568="Portfolio","Portfolio",IFERROR(INDEX(DATA_ASSET_CLASSIFICATION!$B$8:$B$24,MATCH($C2568,DATA_ASSET_CLASSIFICATION!$A$8:$A$24,0)),"Review"))</f>
        <v>Jessica Place</v>
      </c>
      <c r="N2568" s="350" t="str">
        <f ca="1">IF($B2568="Portfolio","Portfolio",IFERROR(INDEX(DATA_ASSET_CLASSIFICATION!$U$8:$U$24,MATCH($C2568,DATA_ASSET_CLASSIFICATION!$A$8:$A$24,0)),"Review"))</f>
        <v>Refi Watch</v>
      </c>
      <c r="O2568" s="350" t="str">
        <f ca="1">IF($B2568="Portfolio","Portfolio",IFERROR(INDEX(DATA_ASSET_CLASSIFICATION!$AB$8:$AB$13,MATCH($N2568,DATA_ASSET_CLASSIFICATION!$AA$8:$AA$13,0)),"Review"))</f>
        <v>Bucket 2 · Legacy</v>
      </c>
      <c r="P2568" s="350" t="str">
        <f>IF($B2568="Portfolio","Portfolio",IFERROR(INDEX(DATA_ASSET_CLASSIFICATION!$C$8:$C$24,MATCH($C2568,DATA_ASSET_CLASSIFICATION!$A$8:$A$24,0)),"Review"))</f>
        <v>Yes</v>
      </c>
      <c r="Q2568" s="350" t="str">
        <f t="shared" ca="1" si="81"/>
        <v>OK</v>
      </c>
    </row>
    <row r="2569" spans="1:17">
      <c r="A2569" s="366" t="s">
        <v>4525</v>
      </c>
      <c r="B2569" s="366" t="s">
        <v>231</v>
      </c>
      <c r="C2569" s="348" t="str">
        <f>DATA_PROPERTY_MASTER!$A$12</f>
        <v>BLD_JP</v>
      </c>
      <c r="D2569" s="380">
        <f>'00_PORTFOLIO ROLLUP'!S$12</f>
        <v>2039</v>
      </c>
      <c r="E2569" s="366" t="s">
        <v>1741</v>
      </c>
      <c r="F2569" s="366" t="s">
        <v>41</v>
      </c>
      <c r="G2569" s="348" t="str">
        <f>"'"&amp;$C2569&amp;"'!rows 56 + positive row 63"</f>
        <v>'BLD_JP'!rows 56 + positive row 63</v>
      </c>
      <c r="H2569" s="381">
        <f ca="1">IF(IFERROR(INDEX(DATA_PROPERTY_MASTER!$E$5:$E$21,MATCH($C2569,DATA_PROPERTY_MASTER!$A$5:$A$21,0))="Yes",FALSE),IFERROR(INDEX(INDIRECT("'"&amp;$C2569&amp;"'!$E$56:$Y$56"),1,MATCH($D2569,INDIRECT("'"&amp;$C2569&amp;"'!$E$12:$Y$12"),0)),0)+MAX(IFERROR(INDEX(INDIRECT("'"&amp;$C2569&amp;"'!$E$63:$Y$63"),1,MATCH($D2569,INDIRECT("'"&amp;$C2569&amp;"'!$E$12:$Y$12"),0)),0),0),0)</f>
        <v>95482.46820839023</v>
      </c>
      <c r="I2569" s="366" t="s">
        <v>1685</v>
      </c>
      <c r="J2569" s="348" t="str">
        <f t="shared" ca="1" si="80"/>
        <v>OK</v>
      </c>
      <c r="K2569" s="366" t="s">
        <v>1742</v>
      </c>
      <c r="L2569" s="366" t="s">
        <v>2262</v>
      </c>
      <c r="M2569" s="350" t="str">
        <f>IF($B2569="Portfolio","Portfolio",IFERROR(INDEX(DATA_ASSET_CLASSIFICATION!$B$8:$B$24,MATCH($C2569,DATA_ASSET_CLASSIFICATION!$A$8:$A$24,0)),"Review"))</f>
        <v>Jessica Place</v>
      </c>
      <c r="N2569" s="350" t="str">
        <f ca="1">IF($B2569="Portfolio","Portfolio",IFERROR(INDEX(DATA_ASSET_CLASSIFICATION!$U$8:$U$24,MATCH($C2569,DATA_ASSET_CLASSIFICATION!$A$8:$A$24,0)),"Review"))</f>
        <v>Refi Watch</v>
      </c>
      <c r="O2569" s="350" t="str">
        <f ca="1">IF($B2569="Portfolio","Portfolio",IFERROR(INDEX(DATA_ASSET_CLASSIFICATION!$AB$8:$AB$13,MATCH($N2569,DATA_ASSET_CLASSIFICATION!$AA$8:$AA$13,0)),"Review"))</f>
        <v>Bucket 2 · Legacy</v>
      </c>
      <c r="P2569" s="350" t="str">
        <f>IF($B2569="Portfolio","Portfolio",IFERROR(INDEX(DATA_ASSET_CLASSIFICATION!$C$8:$C$24,MATCH($C2569,DATA_ASSET_CLASSIFICATION!$A$8:$A$24,0)),"Review"))</f>
        <v>Yes</v>
      </c>
      <c r="Q2569" s="350" t="str">
        <f t="shared" ca="1" si="81"/>
        <v>OK</v>
      </c>
    </row>
    <row r="2570" spans="1:17">
      <c r="A2570" s="366" t="s">
        <v>4526</v>
      </c>
      <c r="B2570" s="366" t="s">
        <v>231</v>
      </c>
      <c r="C2570" s="348" t="str">
        <f>DATA_PROPERTY_MASTER!$A$12</f>
        <v>BLD_JP</v>
      </c>
      <c r="D2570" s="380">
        <f>'00_PORTFOLIO ROLLUP'!S$12</f>
        <v>2039</v>
      </c>
      <c r="E2570" s="366" t="s">
        <v>1741</v>
      </c>
      <c r="F2570" s="366" t="s">
        <v>43</v>
      </c>
      <c r="G2570" s="348" t="str">
        <f>"'"&amp;$C2570&amp;"'!$E$68:$Y$68"</f>
        <v>'BLD_JP'!$E$68:$Y$68</v>
      </c>
      <c r="H2570" s="381">
        <f ca="1">IF(IFERROR(INDEX(DATA_PROPERTY_MASTER!$E$5:$E$21,MATCH($C2570,DATA_PROPERTY_MASTER!$A$5:$A$21,0))="Yes",FALSE),IFERROR(INDEX(INDIRECT("'"&amp;$C2570&amp;"'!$E$68:$Y$68"),1,MATCH($D2570,INDIRECT("'"&amp;$C2570&amp;"'!$E$12:$Y$12"),0)),0),0)</f>
        <v>95482.46820839023</v>
      </c>
      <c r="I2570" s="366" t="s">
        <v>1731</v>
      </c>
      <c r="J2570" s="348" t="str">
        <f t="shared" ca="1" si="80"/>
        <v>OK</v>
      </c>
      <c r="K2570" s="366" t="s">
        <v>1746</v>
      </c>
      <c r="L2570" s="366" t="s">
        <v>2264</v>
      </c>
      <c r="M2570" s="350" t="str">
        <f>IF($B2570="Portfolio","Portfolio",IFERROR(INDEX(DATA_ASSET_CLASSIFICATION!$B$8:$B$24,MATCH($C2570,DATA_ASSET_CLASSIFICATION!$A$8:$A$24,0)),"Review"))</f>
        <v>Jessica Place</v>
      </c>
      <c r="N2570" s="350" t="str">
        <f ca="1">IF($B2570="Portfolio","Portfolio",IFERROR(INDEX(DATA_ASSET_CLASSIFICATION!$U$8:$U$24,MATCH($C2570,DATA_ASSET_CLASSIFICATION!$A$8:$A$24,0)),"Review"))</f>
        <v>Refi Watch</v>
      </c>
      <c r="O2570" s="350" t="str">
        <f ca="1">IF($B2570="Portfolio","Portfolio",IFERROR(INDEX(DATA_ASSET_CLASSIFICATION!$AB$8:$AB$13,MATCH($N2570,DATA_ASSET_CLASSIFICATION!$AA$8:$AA$13,0)),"Review"))</f>
        <v>Bucket 2 · Legacy</v>
      </c>
      <c r="P2570" s="350" t="str">
        <f>IF($B2570="Portfolio","Portfolio",IFERROR(INDEX(DATA_ASSET_CLASSIFICATION!$C$8:$C$24,MATCH($C2570,DATA_ASSET_CLASSIFICATION!$A$8:$A$24,0)),"Review"))</f>
        <v>Yes</v>
      </c>
      <c r="Q2570" s="350" t="str">
        <f t="shared" ca="1" si="81"/>
        <v>OK</v>
      </c>
    </row>
    <row r="2571" spans="1:17">
      <c r="A2571" s="366" t="s">
        <v>4527</v>
      </c>
      <c r="B2571" s="366" t="s">
        <v>231</v>
      </c>
      <c r="C2571" s="348" t="str">
        <f>DATA_PROPERTY_MASTER!$A$12</f>
        <v>BLD_JP</v>
      </c>
      <c r="D2571" s="380">
        <f>'00_PORTFOLIO ROLLUP'!S$12</f>
        <v>2039</v>
      </c>
      <c r="E2571" s="366" t="s">
        <v>1741</v>
      </c>
      <c r="F2571" s="366" t="s">
        <v>1749</v>
      </c>
      <c r="G2571" s="348" t="str">
        <f>"'"&amp;$C2571&amp;"'!rows 56, 63, 68"</f>
        <v>'BLD_JP'!rows 56, 63, 68</v>
      </c>
      <c r="H2571" s="381">
        <f ca="1">IF(IFERROR(INDEX(DATA_PROPERTY_MASTER!$E$5:$E$21,MATCH($C2571,DATA_PROPERTY_MASTER!$A$5:$A$21,0))="Yes",FALSE),(IFERROR(INDEX(INDIRECT("'"&amp;$C2571&amp;"'!$E$56:$Y$56"),1,MATCH($D2571,INDIRECT("'"&amp;$C2571&amp;"'!$E$12:$Y$12"),0)),0)+MAX(IFERROR(INDEX(INDIRECT("'"&amp;$C2571&amp;"'!$E$63:$Y$63"),1,MATCH($D2571,INDIRECT("'"&amp;$C2571&amp;"'!$E$12:$Y$12"),0)),0),0))-(IFERROR(INDEX(INDIRECT("'"&amp;$C2571&amp;"'!$E$68:$Y$68"),1,MATCH($D2571,INDIRECT("'"&amp;$C2571&amp;"'!$E$12:$Y$12"),0)),0)),0)</f>
        <v>0</v>
      </c>
      <c r="I2571" s="366" t="s">
        <v>1750</v>
      </c>
      <c r="J2571" s="348" t="str">
        <f t="shared" ca="1" si="80"/>
        <v>OK</v>
      </c>
      <c r="K2571" s="366" t="s">
        <v>1751</v>
      </c>
      <c r="L2571" s="366" t="s">
        <v>2266</v>
      </c>
      <c r="M2571" s="350" t="str">
        <f>IF($B2571="Portfolio","Portfolio",IFERROR(INDEX(DATA_ASSET_CLASSIFICATION!$B$8:$B$24,MATCH($C2571,DATA_ASSET_CLASSIFICATION!$A$8:$A$24,0)),"Review"))</f>
        <v>Jessica Place</v>
      </c>
      <c r="N2571" s="350" t="str">
        <f ca="1">IF($B2571="Portfolio","Portfolio",IFERROR(INDEX(DATA_ASSET_CLASSIFICATION!$U$8:$U$24,MATCH($C2571,DATA_ASSET_CLASSIFICATION!$A$8:$A$24,0)),"Review"))</f>
        <v>Refi Watch</v>
      </c>
      <c r="O2571" s="350" t="str">
        <f ca="1">IF($B2571="Portfolio","Portfolio",IFERROR(INDEX(DATA_ASSET_CLASSIFICATION!$AB$8:$AB$13,MATCH($N2571,DATA_ASSET_CLASSIFICATION!$AA$8:$AA$13,0)),"Review"))</f>
        <v>Bucket 2 · Legacy</v>
      </c>
      <c r="P2571" s="350" t="str">
        <f>IF($B2571="Portfolio","Portfolio",IFERROR(INDEX(DATA_ASSET_CLASSIFICATION!$C$8:$C$24,MATCH($C2571,DATA_ASSET_CLASSIFICATION!$A$8:$A$24,0)),"Review"))</f>
        <v>Yes</v>
      </c>
      <c r="Q2571" s="350" t="str">
        <f t="shared" ca="1" si="81"/>
        <v>OK</v>
      </c>
    </row>
    <row r="2572" spans="1:17">
      <c r="A2572" s="366" t="s">
        <v>4528</v>
      </c>
      <c r="B2572" s="366" t="s">
        <v>231</v>
      </c>
      <c r="C2572" s="348" t="str">
        <f>DATA_PROPERTY_MASTER!$A$12</f>
        <v>BLD_JP</v>
      </c>
      <c r="D2572" s="380">
        <f>'00_PORTFOLIO ROLLUP'!T$12</f>
        <v>2040</v>
      </c>
      <c r="E2572" s="366" t="s">
        <v>1683</v>
      </c>
      <c r="F2572" s="366" t="s">
        <v>341</v>
      </c>
      <c r="G2572" s="348" t="str">
        <f>"'"&amp;$C2572&amp;"'!$E$24:$Y$24"</f>
        <v>'BLD_JP'!$E$24:$Y$24</v>
      </c>
      <c r="H2572" s="381">
        <f ca="1">IF(IFERROR(INDEX(DATA_PROPERTY_MASTER!$E$5:$E$21,MATCH($C2572,DATA_PROPERTY_MASTER!$A$5:$A$21,0))="Yes",FALSE),IFERROR(INDEX(INDIRECT("'"&amp;$C2572&amp;"'!$E$24:$Y$24"),1,MATCH($D2572,INDIRECT("'"&amp;$C2572&amp;"'!$E$12:$Y$12"),0)),0),0)</f>
        <v>661833.77011596831</v>
      </c>
      <c r="I2572" s="366" t="s">
        <v>1685</v>
      </c>
      <c r="J2572" s="348" t="str">
        <f t="shared" ca="1" si="80"/>
        <v>OK</v>
      </c>
      <c r="K2572" s="366" t="s">
        <v>1686</v>
      </c>
      <c r="L2572" s="366" t="s">
        <v>2234</v>
      </c>
      <c r="M2572" s="350" t="str">
        <f>IF($B2572="Portfolio","Portfolio",IFERROR(INDEX(DATA_ASSET_CLASSIFICATION!$B$8:$B$24,MATCH($C2572,DATA_ASSET_CLASSIFICATION!$A$8:$A$24,0)),"Review"))</f>
        <v>Jessica Place</v>
      </c>
      <c r="N2572" s="350" t="str">
        <f ca="1">IF($B2572="Portfolio","Portfolio",IFERROR(INDEX(DATA_ASSET_CLASSIFICATION!$U$8:$U$24,MATCH($C2572,DATA_ASSET_CLASSIFICATION!$A$8:$A$24,0)),"Review"))</f>
        <v>Refi Watch</v>
      </c>
      <c r="O2572" s="350" t="str">
        <f ca="1">IF($B2572="Portfolio","Portfolio",IFERROR(INDEX(DATA_ASSET_CLASSIFICATION!$AB$8:$AB$13,MATCH($N2572,DATA_ASSET_CLASSIFICATION!$AA$8:$AA$13,0)),"Review"))</f>
        <v>Bucket 2 · Legacy</v>
      </c>
      <c r="P2572" s="350" t="str">
        <f>IF($B2572="Portfolio","Portfolio",IFERROR(INDEX(DATA_ASSET_CLASSIFICATION!$C$8:$C$24,MATCH($C2572,DATA_ASSET_CLASSIFICATION!$A$8:$A$24,0)),"Review"))</f>
        <v>Yes</v>
      </c>
      <c r="Q2572" s="350" t="str">
        <f t="shared" ca="1" si="81"/>
        <v>OK</v>
      </c>
    </row>
    <row r="2573" spans="1:17">
      <c r="A2573" s="366" t="s">
        <v>4529</v>
      </c>
      <c r="B2573" s="366" t="s">
        <v>231</v>
      </c>
      <c r="C2573" s="348" t="str">
        <f>DATA_PROPERTY_MASTER!$A$12</f>
        <v>BLD_JP</v>
      </c>
      <c r="D2573" s="380">
        <f>'00_PORTFOLIO ROLLUP'!T$12</f>
        <v>2040</v>
      </c>
      <c r="E2573" s="366" t="s">
        <v>1683</v>
      </c>
      <c r="F2573" s="366" t="s">
        <v>355</v>
      </c>
      <c r="G2573" s="348" t="str">
        <f>"'"&amp;$C2573&amp;"'!$E$39:$Y$39"</f>
        <v>'BLD_JP'!$E$39:$Y$39</v>
      </c>
      <c r="H2573" s="381">
        <f ca="1">IF(IFERROR(INDEX(DATA_PROPERTY_MASTER!$E$5:$E$21,MATCH($C2573,DATA_PROPERTY_MASTER!$A$5:$A$21,0))="Yes",FALSE),IFERROR(INDEX(INDIRECT("'"&amp;$C2573&amp;"'!$E$39:$Y$39"),1,MATCH($D2573,INDIRECT("'"&amp;$C2573&amp;"'!$E$12:$Y$12"),0)),0),0)</f>
        <v>420404.22851881164</v>
      </c>
      <c r="I2573" s="366" t="s">
        <v>1690</v>
      </c>
      <c r="J2573" s="348" t="str">
        <f t="shared" ca="1" si="80"/>
        <v>OK</v>
      </c>
      <c r="K2573" s="366" t="s">
        <v>1686</v>
      </c>
      <c r="L2573" s="366" t="s">
        <v>2236</v>
      </c>
      <c r="M2573" s="350" t="str">
        <f>IF($B2573="Portfolio","Portfolio",IFERROR(INDEX(DATA_ASSET_CLASSIFICATION!$B$8:$B$24,MATCH($C2573,DATA_ASSET_CLASSIFICATION!$A$8:$A$24,0)),"Review"))</f>
        <v>Jessica Place</v>
      </c>
      <c r="N2573" s="350" t="str">
        <f ca="1">IF($B2573="Portfolio","Portfolio",IFERROR(INDEX(DATA_ASSET_CLASSIFICATION!$U$8:$U$24,MATCH($C2573,DATA_ASSET_CLASSIFICATION!$A$8:$A$24,0)),"Review"))</f>
        <v>Refi Watch</v>
      </c>
      <c r="O2573" s="350" t="str">
        <f ca="1">IF($B2573="Portfolio","Portfolio",IFERROR(INDEX(DATA_ASSET_CLASSIFICATION!$AB$8:$AB$13,MATCH($N2573,DATA_ASSET_CLASSIFICATION!$AA$8:$AA$13,0)),"Review"))</f>
        <v>Bucket 2 · Legacy</v>
      </c>
      <c r="P2573" s="350" t="str">
        <f>IF($B2573="Portfolio","Portfolio",IFERROR(INDEX(DATA_ASSET_CLASSIFICATION!$C$8:$C$24,MATCH($C2573,DATA_ASSET_CLASSIFICATION!$A$8:$A$24,0)),"Review"))</f>
        <v>Yes</v>
      </c>
      <c r="Q2573" s="350" t="str">
        <f t="shared" ca="1" si="81"/>
        <v>OK</v>
      </c>
    </row>
    <row r="2574" spans="1:17">
      <c r="A2574" s="366" t="s">
        <v>4530</v>
      </c>
      <c r="B2574" s="366" t="s">
        <v>231</v>
      </c>
      <c r="C2574" s="348" t="str">
        <f>DATA_PROPERTY_MASTER!$A$12</f>
        <v>BLD_JP</v>
      </c>
      <c r="D2574" s="380">
        <f>'00_PORTFOLIO ROLLUP'!T$12</f>
        <v>2040</v>
      </c>
      <c r="E2574" s="366" t="s">
        <v>1683</v>
      </c>
      <c r="F2574" s="366" t="s">
        <v>19</v>
      </c>
      <c r="G2574" s="348" t="str">
        <f>"'"&amp;$C2574&amp;"'!$E$41:$Y$41"</f>
        <v>'BLD_JP'!$E$41:$Y$41</v>
      </c>
      <c r="H2574" s="381">
        <f ca="1">IF(IFERROR(INDEX(DATA_PROPERTY_MASTER!$E$5:$E$21,MATCH($C2574,DATA_PROPERTY_MASTER!$A$5:$A$21,0))="Yes",FALSE),IFERROR(INDEX(INDIRECT("'"&amp;$C2574&amp;"'!$E$41:$Y$41"),1,MATCH($D2574,INDIRECT("'"&amp;$C2574&amp;"'!$E$12:$Y$12"),0)),0),0)</f>
        <v>241429.54159715667</v>
      </c>
      <c r="I2574" s="366" t="s">
        <v>1685</v>
      </c>
      <c r="J2574" s="348" t="str">
        <f t="shared" ca="1" si="80"/>
        <v>OK</v>
      </c>
      <c r="K2574" s="366" t="s">
        <v>1694</v>
      </c>
      <c r="L2574" s="366" t="s">
        <v>2238</v>
      </c>
      <c r="M2574" s="350" t="str">
        <f>IF($B2574="Portfolio","Portfolio",IFERROR(INDEX(DATA_ASSET_CLASSIFICATION!$B$8:$B$24,MATCH($C2574,DATA_ASSET_CLASSIFICATION!$A$8:$A$24,0)),"Review"))</f>
        <v>Jessica Place</v>
      </c>
      <c r="N2574" s="350" t="str">
        <f ca="1">IF($B2574="Portfolio","Portfolio",IFERROR(INDEX(DATA_ASSET_CLASSIFICATION!$U$8:$U$24,MATCH($C2574,DATA_ASSET_CLASSIFICATION!$A$8:$A$24,0)),"Review"))</f>
        <v>Refi Watch</v>
      </c>
      <c r="O2574" s="350" t="str">
        <f ca="1">IF($B2574="Portfolio","Portfolio",IFERROR(INDEX(DATA_ASSET_CLASSIFICATION!$AB$8:$AB$13,MATCH($N2574,DATA_ASSET_CLASSIFICATION!$AA$8:$AA$13,0)),"Review"))</f>
        <v>Bucket 2 · Legacy</v>
      </c>
      <c r="P2574" s="350" t="str">
        <f>IF($B2574="Portfolio","Portfolio",IFERROR(INDEX(DATA_ASSET_CLASSIFICATION!$C$8:$C$24,MATCH($C2574,DATA_ASSET_CLASSIFICATION!$A$8:$A$24,0)),"Review"))</f>
        <v>Yes</v>
      </c>
      <c r="Q2574" s="350" t="str">
        <f t="shared" ca="1" si="81"/>
        <v>OK</v>
      </c>
    </row>
    <row r="2575" spans="1:17">
      <c r="A2575" s="366" t="s">
        <v>4531</v>
      </c>
      <c r="B2575" s="366" t="s">
        <v>231</v>
      </c>
      <c r="C2575" s="348" t="str">
        <f>DATA_PROPERTY_MASTER!$A$12</f>
        <v>BLD_JP</v>
      </c>
      <c r="D2575" s="380">
        <f>'00_PORTFOLIO ROLLUP'!T$12</f>
        <v>2040</v>
      </c>
      <c r="E2575" s="366" t="s">
        <v>1683</v>
      </c>
      <c r="F2575" s="366" t="s">
        <v>1697</v>
      </c>
      <c r="G2575" s="348" t="str">
        <f>"'"&amp;$C2575&amp;"'!$E$44:$Y$44"</f>
        <v>'BLD_JP'!$E$44:$Y$44</v>
      </c>
      <c r="H2575" s="381">
        <f ca="1">IF(IFERROR(INDEX(DATA_PROPERTY_MASTER!$E$5:$E$21,MATCH($C2575,DATA_PROPERTY_MASTER!$A$5:$A$21,0))="Yes",FALSE),IFERROR(INDEX(INDIRECT("'"&amp;$C2575&amp;"'!$E$44:$Y$44"),1,MATCH($D2575,INDIRECT("'"&amp;$C2575&amp;"'!$E$12:$Y$12"),0)),0),0)</f>
        <v>8075.2100299447757</v>
      </c>
      <c r="I2575" s="366" t="s">
        <v>1690</v>
      </c>
      <c r="J2575" s="348" t="str">
        <f t="shared" ca="1" si="80"/>
        <v>OK</v>
      </c>
      <c r="K2575" s="366" t="s">
        <v>1699</v>
      </c>
      <c r="L2575" s="366" t="s">
        <v>2240</v>
      </c>
      <c r="M2575" s="350" t="str">
        <f>IF($B2575="Portfolio","Portfolio",IFERROR(INDEX(DATA_ASSET_CLASSIFICATION!$B$8:$B$24,MATCH($C2575,DATA_ASSET_CLASSIFICATION!$A$8:$A$24,0)),"Review"))</f>
        <v>Jessica Place</v>
      </c>
      <c r="N2575" s="350" t="str">
        <f ca="1">IF($B2575="Portfolio","Portfolio",IFERROR(INDEX(DATA_ASSET_CLASSIFICATION!$U$8:$U$24,MATCH($C2575,DATA_ASSET_CLASSIFICATION!$A$8:$A$24,0)),"Review"))</f>
        <v>Refi Watch</v>
      </c>
      <c r="O2575" s="350" t="str">
        <f ca="1">IF($B2575="Portfolio","Portfolio",IFERROR(INDEX(DATA_ASSET_CLASSIFICATION!$AB$8:$AB$13,MATCH($N2575,DATA_ASSET_CLASSIFICATION!$AA$8:$AA$13,0)),"Review"))</f>
        <v>Bucket 2 · Legacy</v>
      </c>
      <c r="P2575" s="350" t="str">
        <f>IF($B2575="Portfolio","Portfolio",IFERROR(INDEX(DATA_ASSET_CLASSIFICATION!$C$8:$C$24,MATCH($C2575,DATA_ASSET_CLASSIFICATION!$A$8:$A$24,0)),"Review"))</f>
        <v>Yes</v>
      </c>
      <c r="Q2575" s="350" t="str">
        <f t="shared" ca="1" si="81"/>
        <v>OK</v>
      </c>
    </row>
    <row r="2576" spans="1:17">
      <c r="A2576" s="366" t="s">
        <v>4532</v>
      </c>
      <c r="B2576" s="366" t="s">
        <v>231</v>
      </c>
      <c r="C2576" s="348" t="str">
        <f>DATA_PROPERTY_MASTER!$A$12</f>
        <v>BLD_JP</v>
      </c>
      <c r="D2576" s="380">
        <f>'00_PORTFOLIO ROLLUP'!T$12</f>
        <v>2040</v>
      </c>
      <c r="E2576" s="366" t="s">
        <v>1683</v>
      </c>
      <c r="F2576" s="366" t="s">
        <v>21</v>
      </c>
      <c r="G2576" s="348" t="str">
        <f>"'"&amp;$C2576&amp;"'!$E$45:$Y$45"</f>
        <v>'BLD_JP'!$E$45:$Y$45</v>
      </c>
      <c r="H2576" s="381">
        <f ca="1">IF(IFERROR(INDEX(DATA_PROPERTY_MASTER!$E$5:$E$21,MATCH($C2576,DATA_PROPERTY_MASTER!$A$5:$A$21,0))="Yes",FALSE),IFERROR(INDEX(INDIRECT("'"&amp;$C2576&amp;"'!$E$45:$Y$45"),1,MATCH($D2576,INDIRECT("'"&amp;$C2576&amp;"'!$E$12:$Y$12"),0)),0),0)</f>
        <v>233354.33156721189</v>
      </c>
      <c r="I2576" s="366" t="s">
        <v>1685</v>
      </c>
      <c r="J2576" s="348" t="str">
        <f t="shared" ca="1" si="80"/>
        <v>OK</v>
      </c>
      <c r="K2576" s="366" t="s">
        <v>1694</v>
      </c>
      <c r="L2576" s="366" t="s">
        <v>2242</v>
      </c>
      <c r="M2576" s="350" t="str">
        <f>IF($B2576="Portfolio","Portfolio",IFERROR(INDEX(DATA_ASSET_CLASSIFICATION!$B$8:$B$24,MATCH($C2576,DATA_ASSET_CLASSIFICATION!$A$8:$A$24,0)),"Review"))</f>
        <v>Jessica Place</v>
      </c>
      <c r="N2576" s="350" t="str">
        <f ca="1">IF($B2576="Portfolio","Portfolio",IFERROR(INDEX(DATA_ASSET_CLASSIFICATION!$U$8:$U$24,MATCH($C2576,DATA_ASSET_CLASSIFICATION!$A$8:$A$24,0)),"Review"))</f>
        <v>Refi Watch</v>
      </c>
      <c r="O2576" s="350" t="str">
        <f ca="1">IF($B2576="Portfolio","Portfolio",IFERROR(INDEX(DATA_ASSET_CLASSIFICATION!$AB$8:$AB$13,MATCH($N2576,DATA_ASSET_CLASSIFICATION!$AA$8:$AA$13,0)),"Review"))</f>
        <v>Bucket 2 · Legacy</v>
      </c>
      <c r="P2576" s="350" t="str">
        <f>IF($B2576="Portfolio","Portfolio",IFERROR(INDEX(DATA_ASSET_CLASSIFICATION!$C$8:$C$24,MATCH($C2576,DATA_ASSET_CLASSIFICATION!$A$8:$A$24,0)),"Review"))</f>
        <v>Yes</v>
      </c>
      <c r="Q2576" s="350" t="str">
        <f t="shared" ca="1" si="81"/>
        <v>OK</v>
      </c>
    </row>
    <row r="2577" spans="1:17">
      <c r="A2577" s="366" t="s">
        <v>4533</v>
      </c>
      <c r="B2577" s="366" t="s">
        <v>231</v>
      </c>
      <c r="C2577" s="348" t="str">
        <f>DATA_PROPERTY_MASTER!$A$12</f>
        <v>BLD_JP</v>
      </c>
      <c r="D2577" s="380">
        <f>'00_PORTFOLIO ROLLUP'!T$12</f>
        <v>2040</v>
      </c>
      <c r="E2577" s="366" t="s">
        <v>23</v>
      </c>
      <c r="F2577" s="366" t="s">
        <v>23</v>
      </c>
      <c r="G2577" s="348" t="str">
        <f>"'"&amp;$C2577&amp;"'!$E$48:$Y$48"</f>
        <v>'BLD_JP'!$E$48:$Y$48</v>
      </c>
      <c r="H2577" s="381">
        <f ca="1">IF(IFERROR(INDEX(DATA_PROPERTY_MASTER!$E$5:$E$21,MATCH($C2577,DATA_PROPERTY_MASTER!$A$5:$A$21,0))="Yes",FALSE),IFERROR(INDEX(INDIRECT("'"&amp;$C2577&amp;"'!$E$48:$Y$48"),1,MATCH($D2577,INDIRECT("'"&amp;$C2577&amp;"'!$E$12:$Y$12"),0)),0),0)</f>
        <v>0</v>
      </c>
      <c r="I2577" s="366" t="s">
        <v>1690</v>
      </c>
      <c r="J2577" s="348" t="str">
        <f t="shared" ca="1" si="80"/>
        <v>OK</v>
      </c>
      <c r="K2577" s="366" t="s">
        <v>1706</v>
      </c>
      <c r="L2577" s="366" t="s">
        <v>2244</v>
      </c>
      <c r="M2577" s="350" t="str">
        <f>IF($B2577="Portfolio","Portfolio",IFERROR(INDEX(DATA_ASSET_CLASSIFICATION!$B$8:$B$24,MATCH($C2577,DATA_ASSET_CLASSIFICATION!$A$8:$A$24,0)),"Review"))</f>
        <v>Jessica Place</v>
      </c>
      <c r="N2577" s="350" t="str">
        <f ca="1">IF($B2577="Portfolio","Portfolio",IFERROR(INDEX(DATA_ASSET_CLASSIFICATION!$U$8:$U$24,MATCH($C2577,DATA_ASSET_CLASSIFICATION!$A$8:$A$24,0)),"Review"))</f>
        <v>Refi Watch</v>
      </c>
      <c r="O2577" s="350" t="str">
        <f ca="1">IF($B2577="Portfolio","Portfolio",IFERROR(INDEX(DATA_ASSET_CLASSIFICATION!$AB$8:$AB$13,MATCH($N2577,DATA_ASSET_CLASSIFICATION!$AA$8:$AA$13,0)),"Review"))</f>
        <v>Bucket 2 · Legacy</v>
      </c>
      <c r="P2577" s="350" t="str">
        <f>IF($B2577="Portfolio","Portfolio",IFERROR(INDEX(DATA_ASSET_CLASSIFICATION!$C$8:$C$24,MATCH($C2577,DATA_ASSET_CLASSIFICATION!$A$8:$A$24,0)),"Review"))</f>
        <v>Yes</v>
      </c>
      <c r="Q2577" s="350" t="str">
        <f t="shared" ca="1" si="81"/>
        <v>OK</v>
      </c>
    </row>
    <row r="2578" spans="1:17">
      <c r="A2578" s="366" t="s">
        <v>4534</v>
      </c>
      <c r="B2578" s="366" t="s">
        <v>231</v>
      </c>
      <c r="C2578" s="348" t="str">
        <f>DATA_PROPERTY_MASTER!$A$12</f>
        <v>BLD_JP</v>
      </c>
      <c r="D2578" s="380">
        <f>'00_PORTFOLIO ROLLUP'!T$12</f>
        <v>2040</v>
      </c>
      <c r="E2578" s="366" t="s">
        <v>1683</v>
      </c>
      <c r="F2578" s="366" t="s">
        <v>25</v>
      </c>
      <c r="G2578" s="348" t="str">
        <f>"'"&amp;$C2578&amp;"'!$E$52:$Y$52"</f>
        <v>'BLD_JP'!$E$52:$Y$52</v>
      </c>
      <c r="H2578" s="381">
        <f ca="1">IF(IFERROR(INDEX(DATA_PROPERTY_MASTER!$E$5:$E$21,MATCH($C2578,DATA_PROPERTY_MASTER!$A$5:$A$21,0))="Yes",FALSE),IFERROR(INDEX(INDIRECT("'"&amp;$C2578&amp;"'!$E$52:$Y$52"),1,MATCH($D2578,INDIRECT("'"&amp;$C2578&amp;"'!$E$12:$Y$12"),0)),0),0)</f>
        <v>241429.54159715667</v>
      </c>
      <c r="I2578" s="366" t="s">
        <v>1685</v>
      </c>
      <c r="J2578" s="348" t="str">
        <f t="shared" ca="1" si="80"/>
        <v>OK</v>
      </c>
      <c r="K2578" s="366" t="s">
        <v>1710</v>
      </c>
      <c r="L2578" s="366" t="s">
        <v>2246</v>
      </c>
      <c r="M2578" s="350" t="str">
        <f>IF($B2578="Portfolio","Portfolio",IFERROR(INDEX(DATA_ASSET_CLASSIFICATION!$B$8:$B$24,MATCH($C2578,DATA_ASSET_CLASSIFICATION!$A$8:$A$24,0)),"Review"))</f>
        <v>Jessica Place</v>
      </c>
      <c r="N2578" s="350" t="str">
        <f ca="1">IF($B2578="Portfolio","Portfolio",IFERROR(INDEX(DATA_ASSET_CLASSIFICATION!$U$8:$U$24,MATCH($C2578,DATA_ASSET_CLASSIFICATION!$A$8:$A$24,0)),"Review"))</f>
        <v>Refi Watch</v>
      </c>
      <c r="O2578" s="350" t="str">
        <f ca="1">IF($B2578="Portfolio","Portfolio",IFERROR(INDEX(DATA_ASSET_CLASSIFICATION!$AB$8:$AB$13,MATCH($N2578,DATA_ASSET_CLASSIFICATION!$AA$8:$AA$13,0)),"Review"))</f>
        <v>Bucket 2 · Legacy</v>
      </c>
      <c r="P2578" s="350" t="str">
        <f>IF($B2578="Portfolio","Portfolio",IFERROR(INDEX(DATA_ASSET_CLASSIFICATION!$C$8:$C$24,MATCH($C2578,DATA_ASSET_CLASSIFICATION!$A$8:$A$24,0)),"Review"))</f>
        <v>Yes</v>
      </c>
      <c r="Q2578" s="350" t="str">
        <f t="shared" ca="1" si="81"/>
        <v>OK</v>
      </c>
    </row>
    <row r="2579" spans="1:17">
      <c r="A2579" s="366" t="s">
        <v>4535</v>
      </c>
      <c r="B2579" s="366" t="s">
        <v>231</v>
      </c>
      <c r="C2579" s="348" t="str">
        <f>DATA_PROPERTY_MASTER!$A$12</f>
        <v>BLD_JP</v>
      </c>
      <c r="D2579" s="380">
        <f>'00_PORTFOLIO ROLLUP'!T$12</f>
        <v>2040</v>
      </c>
      <c r="E2579" s="366" t="s">
        <v>1683</v>
      </c>
      <c r="F2579" s="366" t="s">
        <v>27</v>
      </c>
      <c r="G2579" s="348" t="str">
        <f>"'"&amp;$C2579&amp;"'!$E$54:$Y$54"</f>
        <v>'BLD_JP'!$E$54:$Y$54</v>
      </c>
      <c r="H2579" s="381">
        <f ca="1">IF(IFERROR(INDEX(DATA_PROPERTY_MASTER!$E$5:$E$21,MATCH($C2579,DATA_PROPERTY_MASTER!$A$5:$A$21,0))="Yes",FALSE),IFERROR(INDEX(INDIRECT("'"&amp;$C2579&amp;"'!$E$54:$Y$54"),1,MATCH($D2579,INDIRECT("'"&amp;$C2579&amp;"'!$E$12:$Y$12"),0)),0),0)</f>
        <v>144857.72495829398</v>
      </c>
      <c r="I2579" s="366" t="s">
        <v>1690</v>
      </c>
      <c r="J2579" s="348" t="str">
        <f t="shared" ca="1" si="80"/>
        <v>OK</v>
      </c>
      <c r="K2579" s="366" t="s">
        <v>1714</v>
      </c>
      <c r="L2579" s="366" t="s">
        <v>2248</v>
      </c>
      <c r="M2579" s="350" t="str">
        <f>IF($B2579="Portfolio","Portfolio",IFERROR(INDEX(DATA_ASSET_CLASSIFICATION!$B$8:$B$24,MATCH($C2579,DATA_ASSET_CLASSIFICATION!$A$8:$A$24,0)),"Review"))</f>
        <v>Jessica Place</v>
      </c>
      <c r="N2579" s="350" t="str">
        <f ca="1">IF($B2579="Portfolio","Portfolio",IFERROR(INDEX(DATA_ASSET_CLASSIFICATION!$U$8:$U$24,MATCH($C2579,DATA_ASSET_CLASSIFICATION!$A$8:$A$24,0)),"Review"))</f>
        <v>Refi Watch</v>
      </c>
      <c r="O2579" s="350" t="str">
        <f ca="1">IF($B2579="Portfolio","Portfolio",IFERROR(INDEX(DATA_ASSET_CLASSIFICATION!$AB$8:$AB$13,MATCH($N2579,DATA_ASSET_CLASSIFICATION!$AA$8:$AA$13,0)),"Review"))</f>
        <v>Bucket 2 · Legacy</v>
      </c>
      <c r="P2579" s="350" t="str">
        <f>IF($B2579="Portfolio","Portfolio",IFERROR(INDEX(DATA_ASSET_CLASSIFICATION!$C$8:$C$24,MATCH($C2579,DATA_ASSET_CLASSIFICATION!$A$8:$A$24,0)),"Review"))</f>
        <v>Yes</v>
      </c>
      <c r="Q2579" s="350" t="str">
        <f t="shared" ca="1" si="81"/>
        <v>OK</v>
      </c>
    </row>
    <row r="2580" spans="1:17">
      <c r="A2580" s="366" t="s">
        <v>4536</v>
      </c>
      <c r="B2580" s="366" t="s">
        <v>231</v>
      </c>
      <c r="C2580" s="348" t="str">
        <f>DATA_PROPERTY_MASTER!$A$12</f>
        <v>BLD_JP</v>
      </c>
      <c r="D2580" s="380">
        <f>'00_PORTFOLIO ROLLUP'!T$12</f>
        <v>2040</v>
      </c>
      <c r="E2580" s="366" t="s">
        <v>1683</v>
      </c>
      <c r="F2580" s="366" t="s">
        <v>29</v>
      </c>
      <c r="G2580" s="348" t="str">
        <f>"'"&amp;$C2580&amp;"'!$E$56:$Y$56"</f>
        <v>'BLD_JP'!$E$56:$Y$56</v>
      </c>
      <c r="H2580" s="381">
        <f ca="1">IF(IFERROR(INDEX(DATA_PROPERTY_MASTER!$E$5:$E$21,MATCH($C2580,DATA_PROPERTY_MASTER!$A$5:$A$21,0))="Yes",FALSE),IFERROR(INDEX(INDIRECT("'"&amp;$C2580&amp;"'!$E$56:$Y$56"),1,MATCH($D2580,INDIRECT("'"&amp;$C2580&amp;"'!$E$12:$Y$12"),0)),0),0)</f>
        <v>96571.816638862685</v>
      </c>
      <c r="I2580" s="366" t="s">
        <v>1685</v>
      </c>
      <c r="J2580" s="348" t="str">
        <f t="shared" ca="1" si="80"/>
        <v>OK</v>
      </c>
      <c r="K2580" s="366" t="s">
        <v>1718</v>
      </c>
      <c r="L2580" s="366" t="s">
        <v>2250</v>
      </c>
      <c r="M2580" s="350" t="str">
        <f>IF($B2580="Portfolio","Portfolio",IFERROR(INDEX(DATA_ASSET_CLASSIFICATION!$B$8:$B$24,MATCH($C2580,DATA_ASSET_CLASSIFICATION!$A$8:$A$24,0)),"Review"))</f>
        <v>Jessica Place</v>
      </c>
      <c r="N2580" s="350" t="str">
        <f ca="1">IF($B2580="Portfolio","Portfolio",IFERROR(INDEX(DATA_ASSET_CLASSIFICATION!$U$8:$U$24,MATCH($C2580,DATA_ASSET_CLASSIFICATION!$A$8:$A$24,0)),"Review"))</f>
        <v>Refi Watch</v>
      </c>
      <c r="O2580" s="350" t="str">
        <f ca="1">IF($B2580="Portfolio","Portfolio",IFERROR(INDEX(DATA_ASSET_CLASSIFICATION!$AB$8:$AB$13,MATCH($N2580,DATA_ASSET_CLASSIFICATION!$AA$8:$AA$13,0)),"Review"))</f>
        <v>Bucket 2 · Legacy</v>
      </c>
      <c r="P2580" s="350" t="str">
        <f>IF($B2580="Portfolio","Portfolio",IFERROR(INDEX(DATA_ASSET_CLASSIFICATION!$C$8:$C$24,MATCH($C2580,DATA_ASSET_CLASSIFICATION!$A$8:$A$24,0)),"Review"))</f>
        <v>Yes</v>
      </c>
      <c r="Q2580" s="350" t="str">
        <f t="shared" ca="1" si="81"/>
        <v>OK</v>
      </c>
    </row>
    <row r="2581" spans="1:17">
      <c r="A2581" s="366" t="s">
        <v>4537</v>
      </c>
      <c r="B2581" s="366" t="s">
        <v>231</v>
      </c>
      <c r="C2581" s="348" t="str">
        <f>DATA_PROPERTY_MASTER!$A$12</f>
        <v>BLD_JP</v>
      </c>
      <c r="D2581" s="380">
        <f>'00_PORTFOLIO ROLLUP'!T$12</f>
        <v>2040</v>
      </c>
      <c r="E2581" s="366" t="s">
        <v>1721</v>
      </c>
      <c r="F2581" s="366" t="s">
        <v>31</v>
      </c>
      <c r="G2581" s="348" t="str">
        <f>"'"&amp;$C2581&amp;"'!$E$61:$Y$61"</f>
        <v>'BLD_JP'!$E$61:$Y$61</v>
      </c>
      <c r="H2581" s="381">
        <f ca="1">IF(IFERROR(INDEX(DATA_PROPERTY_MASTER!$E$5:$E$21,MATCH($C2581,DATA_PROPERTY_MASTER!$A$5:$A$21,0))="Yes",FALSE),IFERROR(INDEX(INDIRECT("'"&amp;$C2581&amp;"'!$E$61:$Y$61"),1,MATCH($D2581,INDIRECT("'"&amp;$C2581&amp;"'!$E$12:$Y$12"),0)),0),0)</f>
        <v>0</v>
      </c>
      <c r="I2581" s="366" t="s">
        <v>1690</v>
      </c>
      <c r="J2581" s="348" t="str">
        <f t="shared" ca="1" si="80"/>
        <v>OK</v>
      </c>
      <c r="K2581" s="366" t="s">
        <v>1723</v>
      </c>
      <c r="L2581" s="366" t="s">
        <v>2252</v>
      </c>
      <c r="M2581" s="350" t="str">
        <f>IF($B2581="Portfolio","Portfolio",IFERROR(INDEX(DATA_ASSET_CLASSIFICATION!$B$8:$B$24,MATCH($C2581,DATA_ASSET_CLASSIFICATION!$A$8:$A$24,0)),"Review"))</f>
        <v>Jessica Place</v>
      </c>
      <c r="N2581" s="350" t="str">
        <f ca="1">IF($B2581="Portfolio","Portfolio",IFERROR(INDEX(DATA_ASSET_CLASSIFICATION!$U$8:$U$24,MATCH($C2581,DATA_ASSET_CLASSIFICATION!$A$8:$A$24,0)),"Review"))</f>
        <v>Refi Watch</v>
      </c>
      <c r="O2581" s="350" t="str">
        <f ca="1">IF($B2581="Portfolio","Portfolio",IFERROR(INDEX(DATA_ASSET_CLASSIFICATION!$AB$8:$AB$13,MATCH($N2581,DATA_ASSET_CLASSIFICATION!$AA$8:$AA$13,0)),"Review"))</f>
        <v>Bucket 2 · Legacy</v>
      </c>
      <c r="P2581" s="350" t="str">
        <f>IF($B2581="Portfolio","Portfolio",IFERROR(INDEX(DATA_ASSET_CLASSIFICATION!$C$8:$C$24,MATCH($C2581,DATA_ASSET_CLASSIFICATION!$A$8:$A$24,0)),"Review"))</f>
        <v>Yes</v>
      </c>
      <c r="Q2581" s="350" t="str">
        <f t="shared" ca="1" si="81"/>
        <v>OK</v>
      </c>
    </row>
    <row r="2582" spans="1:17">
      <c r="A2582" s="366" t="s">
        <v>4538</v>
      </c>
      <c r="B2582" s="366" t="s">
        <v>231</v>
      </c>
      <c r="C2582" s="348" t="str">
        <f>DATA_PROPERTY_MASTER!$A$12</f>
        <v>BLD_JP</v>
      </c>
      <c r="D2582" s="380">
        <f>'00_PORTFOLIO ROLLUP'!T$12</f>
        <v>2040</v>
      </c>
      <c r="E2582" s="366" t="s">
        <v>1721</v>
      </c>
      <c r="F2582" s="366" t="s">
        <v>33</v>
      </c>
      <c r="G2582" s="348" t="str">
        <f>"'"&amp;$C2582&amp;"'!$E$62:$Y$62"</f>
        <v>'BLD_JP'!$E$62:$Y$62</v>
      </c>
      <c r="H2582" s="381">
        <f ca="1">IF(IFERROR(INDEX(DATA_PROPERTY_MASTER!$E$5:$E$21,MATCH($C2582,DATA_PROPERTY_MASTER!$A$5:$A$21,0))="Yes",FALSE),IFERROR(INDEX(INDIRECT("'"&amp;$C2582&amp;"'!$E$62:$Y$62"),1,MATCH($D2582,INDIRECT("'"&amp;$C2582&amp;"'!$E$12:$Y$12"),0)),0),0)</f>
        <v>0</v>
      </c>
      <c r="I2582" s="366" t="s">
        <v>1685</v>
      </c>
      <c r="J2582" s="348" t="str">
        <f t="shared" ca="1" si="80"/>
        <v>OK</v>
      </c>
      <c r="K2582" s="366" t="s">
        <v>1727</v>
      </c>
      <c r="L2582" s="366" t="s">
        <v>2254</v>
      </c>
      <c r="M2582" s="350" t="str">
        <f>IF($B2582="Portfolio","Portfolio",IFERROR(INDEX(DATA_ASSET_CLASSIFICATION!$B$8:$B$24,MATCH($C2582,DATA_ASSET_CLASSIFICATION!$A$8:$A$24,0)),"Review"))</f>
        <v>Jessica Place</v>
      </c>
      <c r="N2582" s="350" t="str">
        <f ca="1">IF($B2582="Portfolio","Portfolio",IFERROR(INDEX(DATA_ASSET_CLASSIFICATION!$U$8:$U$24,MATCH($C2582,DATA_ASSET_CLASSIFICATION!$A$8:$A$24,0)),"Review"))</f>
        <v>Refi Watch</v>
      </c>
      <c r="O2582" s="350" t="str">
        <f ca="1">IF($B2582="Portfolio","Portfolio",IFERROR(INDEX(DATA_ASSET_CLASSIFICATION!$AB$8:$AB$13,MATCH($N2582,DATA_ASSET_CLASSIFICATION!$AA$8:$AA$13,0)),"Review"))</f>
        <v>Bucket 2 · Legacy</v>
      </c>
      <c r="P2582" s="350" t="str">
        <f>IF($B2582="Portfolio","Portfolio",IFERROR(INDEX(DATA_ASSET_CLASSIFICATION!$C$8:$C$24,MATCH($C2582,DATA_ASSET_CLASSIFICATION!$A$8:$A$24,0)),"Review"))</f>
        <v>Yes</v>
      </c>
      <c r="Q2582" s="350" t="str">
        <f t="shared" ca="1" si="81"/>
        <v>OK</v>
      </c>
    </row>
    <row r="2583" spans="1:17">
      <c r="A2583" s="366" t="s">
        <v>4539</v>
      </c>
      <c r="B2583" s="366" t="s">
        <v>231</v>
      </c>
      <c r="C2583" s="348" t="str">
        <f>DATA_PROPERTY_MASTER!$A$12</f>
        <v>BLD_JP</v>
      </c>
      <c r="D2583" s="380">
        <f>'00_PORTFOLIO ROLLUP'!T$12</f>
        <v>2040</v>
      </c>
      <c r="E2583" s="366" t="s">
        <v>1721</v>
      </c>
      <c r="F2583" s="366" t="s">
        <v>35</v>
      </c>
      <c r="G2583" s="348" t="str">
        <f>"'"&amp;$C2583&amp;"'!$E$63:$Y$63"</f>
        <v>'BLD_JP'!$E$63:$Y$63</v>
      </c>
      <c r="H2583" s="381">
        <f ca="1">IF(IFERROR(INDEX(DATA_PROPERTY_MASTER!$E$5:$E$21,MATCH($C2583,DATA_PROPERTY_MASTER!$A$5:$A$21,0))="Yes",FALSE),IFERROR(INDEX(INDIRECT("'"&amp;$C2583&amp;"'!$E$63:$Y$63"),1,MATCH($D2583,INDIRECT("'"&amp;$C2583&amp;"'!$E$12:$Y$12"),0)),0),0)</f>
        <v>0</v>
      </c>
      <c r="I2583" s="366" t="s">
        <v>1731</v>
      </c>
      <c r="J2583" s="348" t="str">
        <f t="shared" ca="1" si="80"/>
        <v>OK</v>
      </c>
      <c r="K2583" s="366" t="s">
        <v>1732</v>
      </c>
      <c r="L2583" s="366" t="s">
        <v>2256</v>
      </c>
      <c r="M2583" s="350" t="str">
        <f>IF($B2583="Portfolio","Portfolio",IFERROR(INDEX(DATA_ASSET_CLASSIFICATION!$B$8:$B$24,MATCH($C2583,DATA_ASSET_CLASSIFICATION!$A$8:$A$24,0)),"Review"))</f>
        <v>Jessica Place</v>
      </c>
      <c r="N2583" s="350" t="str">
        <f ca="1">IF($B2583="Portfolio","Portfolio",IFERROR(INDEX(DATA_ASSET_CLASSIFICATION!$U$8:$U$24,MATCH($C2583,DATA_ASSET_CLASSIFICATION!$A$8:$A$24,0)),"Review"))</f>
        <v>Refi Watch</v>
      </c>
      <c r="O2583" s="350" t="str">
        <f ca="1">IF($B2583="Portfolio","Portfolio",IFERROR(INDEX(DATA_ASSET_CLASSIFICATION!$AB$8:$AB$13,MATCH($N2583,DATA_ASSET_CLASSIFICATION!$AA$8:$AA$13,0)),"Review"))</f>
        <v>Bucket 2 · Legacy</v>
      </c>
      <c r="P2583" s="350" t="str">
        <f>IF($B2583="Portfolio","Portfolio",IFERROR(INDEX(DATA_ASSET_CLASSIFICATION!$C$8:$C$24,MATCH($C2583,DATA_ASSET_CLASSIFICATION!$A$8:$A$24,0)),"Review"))</f>
        <v>Yes</v>
      </c>
      <c r="Q2583" s="350" t="str">
        <f t="shared" ca="1" si="81"/>
        <v>OK</v>
      </c>
    </row>
    <row r="2584" spans="1:17">
      <c r="A2584" s="366" t="s">
        <v>4540</v>
      </c>
      <c r="B2584" s="366" t="s">
        <v>231</v>
      </c>
      <c r="C2584" s="348" t="str">
        <f>DATA_PROPERTY_MASTER!$A$12</f>
        <v>BLD_JP</v>
      </c>
      <c r="D2584" s="380">
        <f>'00_PORTFOLIO ROLLUP'!T$12</f>
        <v>2040</v>
      </c>
      <c r="E2584" s="366" t="s">
        <v>1721</v>
      </c>
      <c r="F2584" s="366" t="s">
        <v>37</v>
      </c>
      <c r="G2584" s="348" t="str">
        <f>"'"&amp;$C2584&amp;"'!$E$63:$Y$63"</f>
        <v>'BLD_JP'!$E$63:$Y$63</v>
      </c>
      <c r="H2584" s="381">
        <f ca="1">IF(IFERROR(INDEX(DATA_PROPERTY_MASTER!$E$5:$E$21,MATCH($C2584,DATA_PROPERTY_MASTER!$A$5:$A$21,0))="Yes",FALSE),MAX(IFERROR(INDEX(INDIRECT("'"&amp;$C2584&amp;"'!$E$63:$Y$63"),1,MATCH($D2584,INDIRECT("'"&amp;$C2584&amp;"'!$E$12:$Y$12"),0)),0),0),0)</f>
        <v>0</v>
      </c>
      <c r="I2584" s="366" t="s">
        <v>1685</v>
      </c>
      <c r="J2584" s="348" t="str">
        <f t="shared" ca="1" si="80"/>
        <v>OK</v>
      </c>
      <c r="K2584" s="366" t="s">
        <v>1735</v>
      </c>
      <c r="L2584" s="366" t="s">
        <v>2258</v>
      </c>
      <c r="M2584" s="350" t="str">
        <f>IF($B2584="Portfolio","Portfolio",IFERROR(INDEX(DATA_ASSET_CLASSIFICATION!$B$8:$B$24,MATCH($C2584,DATA_ASSET_CLASSIFICATION!$A$8:$A$24,0)),"Review"))</f>
        <v>Jessica Place</v>
      </c>
      <c r="N2584" s="350" t="str">
        <f ca="1">IF($B2584="Portfolio","Portfolio",IFERROR(INDEX(DATA_ASSET_CLASSIFICATION!$U$8:$U$24,MATCH($C2584,DATA_ASSET_CLASSIFICATION!$A$8:$A$24,0)),"Review"))</f>
        <v>Refi Watch</v>
      </c>
      <c r="O2584" s="350" t="str">
        <f ca="1">IF($B2584="Portfolio","Portfolio",IFERROR(INDEX(DATA_ASSET_CLASSIFICATION!$AB$8:$AB$13,MATCH($N2584,DATA_ASSET_CLASSIFICATION!$AA$8:$AA$13,0)),"Review"))</f>
        <v>Bucket 2 · Legacy</v>
      </c>
      <c r="P2584" s="350" t="str">
        <f>IF($B2584="Portfolio","Portfolio",IFERROR(INDEX(DATA_ASSET_CLASSIFICATION!$C$8:$C$24,MATCH($C2584,DATA_ASSET_CLASSIFICATION!$A$8:$A$24,0)),"Review"))</f>
        <v>Yes</v>
      </c>
      <c r="Q2584" s="350" t="str">
        <f t="shared" ca="1" si="81"/>
        <v>OK</v>
      </c>
    </row>
    <row r="2585" spans="1:17">
      <c r="A2585" s="366" t="s">
        <v>4541</v>
      </c>
      <c r="B2585" s="366" t="s">
        <v>231</v>
      </c>
      <c r="C2585" s="348" t="str">
        <f>DATA_PROPERTY_MASTER!$A$12</f>
        <v>BLD_JP</v>
      </c>
      <c r="D2585" s="380">
        <f>'00_PORTFOLIO ROLLUP'!T$12</f>
        <v>2040</v>
      </c>
      <c r="E2585" s="366" t="s">
        <v>1721</v>
      </c>
      <c r="F2585" s="366" t="s">
        <v>39</v>
      </c>
      <c r="G2585" s="348" t="str">
        <f>"'"&amp;$C2585&amp;"'!$E$63:$Y$63"</f>
        <v>'BLD_JP'!$E$63:$Y$63</v>
      </c>
      <c r="H2585" s="381">
        <f ca="1">IF(IFERROR(INDEX(DATA_PROPERTY_MASTER!$E$5:$E$21,MATCH($C2585,DATA_PROPERTY_MASTER!$A$5:$A$21,0))="Yes",FALSE),MAX(-IFERROR(INDEX(INDIRECT("'"&amp;$C2585&amp;"'!$E$63:$Y$63"),1,MATCH($D2585,INDIRECT("'"&amp;$C2585&amp;"'!$E$12:$Y$12"),0)),0),0),0)</f>
        <v>0</v>
      </c>
      <c r="I2585" s="366" t="s">
        <v>1690</v>
      </c>
      <c r="J2585" s="348" t="str">
        <f t="shared" ca="1" si="80"/>
        <v>OK</v>
      </c>
      <c r="K2585" s="366" t="s">
        <v>1738</v>
      </c>
      <c r="L2585" s="366" t="s">
        <v>2260</v>
      </c>
      <c r="M2585" s="350" t="str">
        <f>IF($B2585="Portfolio","Portfolio",IFERROR(INDEX(DATA_ASSET_CLASSIFICATION!$B$8:$B$24,MATCH($C2585,DATA_ASSET_CLASSIFICATION!$A$8:$A$24,0)),"Review"))</f>
        <v>Jessica Place</v>
      </c>
      <c r="N2585" s="350" t="str">
        <f ca="1">IF($B2585="Portfolio","Portfolio",IFERROR(INDEX(DATA_ASSET_CLASSIFICATION!$U$8:$U$24,MATCH($C2585,DATA_ASSET_CLASSIFICATION!$A$8:$A$24,0)),"Review"))</f>
        <v>Refi Watch</v>
      </c>
      <c r="O2585" s="350" t="str">
        <f ca="1">IF($B2585="Portfolio","Portfolio",IFERROR(INDEX(DATA_ASSET_CLASSIFICATION!$AB$8:$AB$13,MATCH($N2585,DATA_ASSET_CLASSIFICATION!$AA$8:$AA$13,0)),"Review"))</f>
        <v>Bucket 2 · Legacy</v>
      </c>
      <c r="P2585" s="350" t="str">
        <f>IF($B2585="Portfolio","Portfolio",IFERROR(INDEX(DATA_ASSET_CLASSIFICATION!$C$8:$C$24,MATCH($C2585,DATA_ASSET_CLASSIFICATION!$A$8:$A$24,0)),"Review"))</f>
        <v>Yes</v>
      </c>
      <c r="Q2585" s="350" t="str">
        <f t="shared" ca="1" si="81"/>
        <v>OK</v>
      </c>
    </row>
    <row r="2586" spans="1:17">
      <c r="A2586" s="366" t="s">
        <v>4542</v>
      </c>
      <c r="B2586" s="366" t="s">
        <v>231</v>
      </c>
      <c r="C2586" s="348" t="str">
        <f>DATA_PROPERTY_MASTER!$A$12</f>
        <v>BLD_JP</v>
      </c>
      <c r="D2586" s="380">
        <f>'00_PORTFOLIO ROLLUP'!T$12</f>
        <v>2040</v>
      </c>
      <c r="E2586" s="366" t="s">
        <v>1741</v>
      </c>
      <c r="F2586" s="366" t="s">
        <v>41</v>
      </c>
      <c r="G2586" s="348" t="str">
        <f>"'"&amp;$C2586&amp;"'!rows 56 + positive row 63"</f>
        <v>'BLD_JP'!rows 56 + positive row 63</v>
      </c>
      <c r="H2586" s="381">
        <f ca="1">IF(IFERROR(INDEX(DATA_PROPERTY_MASTER!$E$5:$E$21,MATCH($C2586,DATA_PROPERTY_MASTER!$A$5:$A$21,0))="Yes",FALSE),IFERROR(INDEX(INDIRECT("'"&amp;$C2586&amp;"'!$E$56:$Y$56"),1,MATCH($D2586,INDIRECT("'"&amp;$C2586&amp;"'!$E$12:$Y$12"),0)),0)+MAX(IFERROR(INDEX(INDIRECT("'"&amp;$C2586&amp;"'!$E$63:$Y$63"),1,MATCH($D2586,INDIRECT("'"&amp;$C2586&amp;"'!$E$12:$Y$12"),0)),0),0),0)</f>
        <v>96571.816638862685</v>
      </c>
      <c r="I2586" s="366" t="s">
        <v>1685</v>
      </c>
      <c r="J2586" s="348" t="str">
        <f t="shared" ca="1" si="80"/>
        <v>OK</v>
      </c>
      <c r="K2586" s="366" t="s">
        <v>1742</v>
      </c>
      <c r="L2586" s="366" t="s">
        <v>2262</v>
      </c>
      <c r="M2586" s="350" t="str">
        <f>IF($B2586="Portfolio","Portfolio",IFERROR(INDEX(DATA_ASSET_CLASSIFICATION!$B$8:$B$24,MATCH($C2586,DATA_ASSET_CLASSIFICATION!$A$8:$A$24,0)),"Review"))</f>
        <v>Jessica Place</v>
      </c>
      <c r="N2586" s="350" t="str">
        <f ca="1">IF($B2586="Portfolio","Portfolio",IFERROR(INDEX(DATA_ASSET_CLASSIFICATION!$U$8:$U$24,MATCH($C2586,DATA_ASSET_CLASSIFICATION!$A$8:$A$24,0)),"Review"))</f>
        <v>Refi Watch</v>
      </c>
      <c r="O2586" s="350" t="str">
        <f ca="1">IF($B2586="Portfolio","Portfolio",IFERROR(INDEX(DATA_ASSET_CLASSIFICATION!$AB$8:$AB$13,MATCH($N2586,DATA_ASSET_CLASSIFICATION!$AA$8:$AA$13,0)),"Review"))</f>
        <v>Bucket 2 · Legacy</v>
      </c>
      <c r="P2586" s="350" t="str">
        <f>IF($B2586="Portfolio","Portfolio",IFERROR(INDEX(DATA_ASSET_CLASSIFICATION!$C$8:$C$24,MATCH($C2586,DATA_ASSET_CLASSIFICATION!$A$8:$A$24,0)),"Review"))</f>
        <v>Yes</v>
      </c>
      <c r="Q2586" s="350" t="str">
        <f t="shared" ca="1" si="81"/>
        <v>OK</v>
      </c>
    </row>
    <row r="2587" spans="1:17">
      <c r="A2587" s="366" t="s">
        <v>4543</v>
      </c>
      <c r="B2587" s="366" t="s">
        <v>231</v>
      </c>
      <c r="C2587" s="348" t="str">
        <f>DATA_PROPERTY_MASTER!$A$12</f>
        <v>BLD_JP</v>
      </c>
      <c r="D2587" s="380">
        <f>'00_PORTFOLIO ROLLUP'!T$12</f>
        <v>2040</v>
      </c>
      <c r="E2587" s="366" t="s">
        <v>1741</v>
      </c>
      <c r="F2587" s="366" t="s">
        <v>43</v>
      </c>
      <c r="G2587" s="348" t="str">
        <f>"'"&amp;$C2587&amp;"'!$E$68:$Y$68"</f>
        <v>'BLD_JP'!$E$68:$Y$68</v>
      </c>
      <c r="H2587" s="381">
        <f ca="1">IF(IFERROR(INDEX(DATA_PROPERTY_MASTER!$E$5:$E$21,MATCH($C2587,DATA_PROPERTY_MASTER!$A$5:$A$21,0))="Yes",FALSE),IFERROR(INDEX(INDIRECT("'"&amp;$C2587&amp;"'!$E$68:$Y$68"),1,MATCH($D2587,INDIRECT("'"&amp;$C2587&amp;"'!$E$12:$Y$12"),0)),0),0)</f>
        <v>96571.816638862685</v>
      </c>
      <c r="I2587" s="366" t="s">
        <v>1731</v>
      </c>
      <c r="J2587" s="348" t="str">
        <f t="shared" ca="1" si="80"/>
        <v>OK</v>
      </c>
      <c r="K2587" s="366" t="s">
        <v>1746</v>
      </c>
      <c r="L2587" s="366" t="s">
        <v>2264</v>
      </c>
      <c r="M2587" s="350" t="str">
        <f>IF($B2587="Portfolio","Portfolio",IFERROR(INDEX(DATA_ASSET_CLASSIFICATION!$B$8:$B$24,MATCH($C2587,DATA_ASSET_CLASSIFICATION!$A$8:$A$24,0)),"Review"))</f>
        <v>Jessica Place</v>
      </c>
      <c r="N2587" s="350" t="str">
        <f ca="1">IF($B2587="Portfolio","Portfolio",IFERROR(INDEX(DATA_ASSET_CLASSIFICATION!$U$8:$U$24,MATCH($C2587,DATA_ASSET_CLASSIFICATION!$A$8:$A$24,0)),"Review"))</f>
        <v>Refi Watch</v>
      </c>
      <c r="O2587" s="350" t="str">
        <f ca="1">IF($B2587="Portfolio","Portfolio",IFERROR(INDEX(DATA_ASSET_CLASSIFICATION!$AB$8:$AB$13,MATCH($N2587,DATA_ASSET_CLASSIFICATION!$AA$8:$AA$13,0)),"Review"))</f>
        <v>Bucket 2 · Legacy</v>
      </c>
      <c r="P2587" s="350" t="str">
        <f>IF($B2587="Portfolio","Portfolio",IFERROR(INDEX(DATA_ASSET_CLASSIFICATION!$C$8:$C$24,MATCH($C2587,DATA_ASSET_CLASSIFICATION!$A$8:$A$24,0)),"Review"))</f>
        <v>Yes</v>
      </c>
      <c r="Q2587" s="350" t="str">
        <f t="shared" ca="1" si="81"/>
        <v>OK</v>
      </c>
    </row>
    <row r="2588" spans="1:17">
      <c r="A2588" s="366" t="s">
        <v>4544</v>
      </c>
      <c r="B2588" s="366" t="s">
        <v>231</v>
      </c>
      <c r="C2588" s="348" t="str">
        <f>DATA_PROPERTY_MASTER!$A$12</f>
        <v>BLD_JP</v>
      </c>
      <c r="D2588" s="380">
        <f>'00_PORTFOLIO ROLLUP'!T$12</f>
        <v>2040</v>
      </c>
      <c r="E2588" s="366" t="s">
        <v>1741</v>
      </c>
      <c r="F2588" s="366" t="s">
        <v>1749</v>
      </c>
      <c r="G2588" s="348" t="str">
        <f>"'"&amp;$C2588&amp;"'!rows 56, 63, 68"</f>
        <v>'BLD_JP'!rows 56, 63, 68</v>
      </c>
      <c r="H2588" s="381">
        <f ca="1">IF(IFERROR(INDEX(DATA_PROPERTY_MASTER!$E$5:$E$21,MATCH($C2588,DATA_PROPERTY_MASTER!$A$5:$A$21,0))="Yes",FALSE),(IFERROR(INDEX(INDIRECT("'"&amp;$C2588&amp;"'!$E$56:$Y$56"),1,MATCH($D2588,INDIRECT("'"&amp;$C2588&amp;"'!$E$12:$Y$12"),0)),0)+MAX(IFERROR(INDEX(INDIRECT("'"&amp;$C2588&amp;"'!$E$63:$Y$63"),1,MATCH($D2588,INDIRECT("'"&amp;$C2588&amp;"'!$E$12:$Y$12"),0)),0),0))-(IFERROR(INDEX(INDIRECT("'"&amp;$C2588&amp;"'!$E$68:$Y$68"),1,MATCH($D2588,INDIRECT("'"&amp;$C2588&amp;"'!$E$12:$Y$12"),0)),0)),0)</f>
        <v>0</v>
      </c>
      <c r="I2588" s="366" t="s">
        <v>1750</v>
      </c>
      <c r="J2588" s="348" t="str">
        <f t="shared" ca="1" si="80"/>
        <v>OK</v>
      </c>
      <c r="K2588" s="366" t="s">
        <v>1751</v>
      </c>
      <c r="L2588" s="366" t="s">
        <v>2266</v>
      </c>
      <c r="M2588" s="350" t="str">
        <f>IF($B2588="Portfolio","Portfolio",IFERROR(INDEX(DATA_ASSET_CLASSIFICATION!$B$8:$B$24,MATCH($C2588,DATA_ASSET_CLASSIFICATION!$A$8:$A$24,0)),"Review"))</f>
        <v>Jessica Place</v>
      </c>
      <c r="N2588" s="350" t="str">
        <f ca="1">IF($B2588="Portfolio","Portfolio",IFERROR(INDEX(DATA_ASSET_CLASSIFICATION!$U$8:$U$24,MATCH($C2588,DATA_ASSET_CLASSIFICATION!$A$8:$A$24,0)),"Review"))</f>
        <v>Refi Watch</v>
      </c>
      <c r="O2588" s="350" t="str">
        <f ca="1">IF($B2588="Portfolio","Portfolio",IFERROR(INDEX(DATA_ASSET_CLASSIFICATION!$AB$8:$AB$13,MATCH($N2588,DATA_ASSET_CLASSIFICATION!$AA$8:$AA$13,0)),"Review"))</f>
        <v>Bucket 2 · Legacy</v>
      </c>
      <c r="P2588" s="350" t="str">
        <f>IF($B2588="Portfolio","Portfolio",IFERROR(INDEX(DATA_ASSET_CLASSIFICATION!$C$8:$C$24,MATCH($C2588,DATA_ASSET_CLASSIFICATION!$A$8:$A$24,0)),"Review"))</f>
        <v>Yes</v>
      </c>
      <c r="Q2588" s="350" t="str">
        <f t="shared" ca="1" si="81"/>
        <v>OK</v>
      </c>
    </row>
    <row r="2589" spans="1:17">
      <c r="A2589" s="366" t="s">
        <v>4545</v>
      </c>
      <c r="B2589" s="366" t="s">
        <v>231</v>
      </c>
      <c r="C2589" s="348" t="str">
        <f>DATA_PROPERTY_MASTER!$A$12</f>
        <v>BLD_JP</v>
      </c>
      <c r="D2589" s="380">
        <f>'00_PORTFOLIO ROLLUP'!U$12</f>
        <v>2041</v>
      </c>
      <c r="E2589" s="366" t="s">
        <v>1683</v>
      </c>
      <c r="F2589" s="366" t="s">
        <v>341</v>
      </c>
      <c r="G2589" s="348" t="str">
        <f>"'"&amp;$C2589&amp;"'!$E$24:$Y$24"</f>
        <v>'BLD_JP'!$E$24:$Y$24</v>
      </c>
      <c r="H2589" s="381">
        <f ca="1">IF(IFERROR(INDEX(DATA_PROPERTY_MASTER!$E$5:$E$21,MATCH($C2589,DATA_PROPERTY_MASTER!$A$5:$A$21,0))="Yes",FALSE),IFERROR(INDEX(INDIRECT("'"&amp;$C2589&amp;"'!$E$24:$Y$24"),1,MATCH($D2589,INDIRECT("'"&amp;$C2589&amp;"'!$E$12:$Y$12"),0)),0),0)</f>
        <v>675070.44551828783</v>
      </c>
      <c r="I2589" s="366" t="s">
        <v>1685</v>
      </c>
      <c r="J2589" s="348" t="str">
        <f t="shared" ca="1" si="80"/>
        <v>OK</v>
      </c>
      <c r="K2589" s="366" t="s">
        <v>1686</v>
      </c>
      <c r="L2589" s="366" t="s">
        <v>2234</v>
      </c>
      <c r="M2589" s="350" t="str">
        <f>IF($B2589="Portfolio","Portfolio",IFERROR(INDEX(DATA_ASSET_CLASSIFICATION!$B$8:$B$24,MATCH($C2589,DATA_ASSET_CLASSIFICATION!$A$8:$A$24,0)),"Review"))</f>
        <v>Jessica Place</v>
      </c>
      <c r="N2589" s="350" t="str">
        <f ca="1">IF($B2589="Portfolio","Portfolio",IFERROR(INDEX(DATA_ASSET_CLASSIFICATION!$U$8:$U$24,MATCH($C2589,DATA_ASSET_CLASSIFICATION!$A$8:$A$24,0)),"Review"))</f>
        <v>Refi Watch</v>
      </c>
      <c r="O2589" s="350" t="str">
        <f ca="1">IF($B2589="Portfolio","Portfolio",IFERROR(INDEX(DATA_ASSET_CLASSIFICATION!$AB$8:$AB$13,MATCH($N2589,DATA_ASSET_CLASSIFICATION!$AA$8:$AA$13,0)),"Review"))</f>
        <v>Bucket 2 · Legacy</v>
      </c>
      <c r="P2589" s="350" t="str">
        <f>IF($B2589="Portfolio","Portfolio",IFERROR(INDEX(DATA_ASSET_CLASSIFICATION!$C$8:$C$24,MATCH($C2589,DATA_ASSET_CLASSIFICATION!$A$8:$A$24,0)),"Review"))</f>
        <v>Yes</v>
      </c>
      <c r="Q2589" s="350" t="str">
        <f t="shared" ca="1" si="81"/>
        <v>OK</v>
      </c>
    </row>
    <row r="2590" spans="1:17">
      <c r="A2590" s="366" t="s">
        <v>4546</v>
      </c>
      <c r="B2590" s="366" t="s">
        <v>231</v>
      </c>
      <c r="C2590" s="348" t="str">
        <f>DATA_PROPERTY_MASTER!$A$12</f>
        <v>BLD_JP</v>
      </c>
      <c r="D2590" s="380">
        <f>'00_PORTFOLIO ROLLUP'!U$12</f>
        <v>2041</v>
      </c>
      <c r="E2590" s="366" t="s">
        <v>1683</v>
      </c>
      <c r="F2590" s="366" t="s">
        <v>355</v>
      </c>
      <c r="G2590" s="348" t="str">
        <f>"'"&amp;$C2590&amp;"'!$E$39:$Y$39"</f>
        <v>'BLD_JP'!$E$39:$Y$39</v>
      </c>
      <c r="H2590" s="381">
        <f ca="1">IF(IFERROR(INDEX(DATA_PROPERTY_MASTER!$E$5:$E$21,MATCH($C2590,DATA_PROPERTY_MASTER!$A$5:$A$21,0))="Yes",FALSE),IFERROR(INDEX(INDIRECT("'"&amp;$C2590&amp;"'!$E$39:$Y$39"),1,MATCH($D2590,INDIRECT("'"&amp;$C2590&amp;"'!$E$12:$Y$12"),0)),0),0)</f>
        <v>430914.33423178183</v>
      </c>
      <c r="I2590" s="366" t="s">
        <v>1690</v>
      </c>
      <c r="J2590" s="348" t="str">
        <f t="shared" ca="1" si="80"/>
        <v>OK</v>
      </c>
      <c r="K2590" s="366" t="s">
        <v>1686</v>
      </c>
      <c r="L2590" s="366" t="s">
        <v>2236</v>
      </c>
      <c r="M2590" s="350" t="str">
        <f>IF($B2590="Portfolio","Portfolio",IFERROR(INDEX(DATA_ASSET_CLASSIFICATION!$B$8:$B$24,MATCH($C2590,DATA_ASSET_CLASSIFICATION!$A$8:$A$24,0)),"Review"))</f>
        <v>Jessica Place</v>
      </c>
      <c r="N2590" s="350" t="str">
        <f ca="1">IF($B2590="Portfolio","Portfolio",IFERROR(INDEX(DATA_ASSET_CLASSIFICATION!$U$8:$U$24,MATCH($C2590,DATA_ASSET_CLASSIFICATION!$A$8:$A$24,0)),"Review"))</f>
        <v>Refi Watch</v>
      </c>
      <c r="O2590" s="350" t="str">
        <f ca="1">IF($B2590="Portfolio","Portfolio",IFERROR(INDEX(DATA_ASSET_CLASSIFICATION!$AB$8:$AB$13,MATCH($N2590,DATA_ASSET_CLASSIFICATION!$AA$8:$AA$13,0)),"Review"))</f>
        <v>Bucket 2 · Legacy</v>
      </c>
      <c r="P2590" s="350" t="str">
        <f>IF($B2590="Portfolio","Portfolio",IFERROR(INDEX(DATA_ASSET_CLASSIFICATION!$C$8:$C$24,MATCH($C2590,DATA_ASSET_CLASSIFICATION!$A$8:$A$24,0)),"Review"))</f>
        <v>Yes</v>
      </c>
      <c r="Q2590" s="350" t="str">
        <f t="shared" ca="1" si="81"/>
        <v>OK</v>
      </c>
    </row>
    <row r="2591" spans="1:17">
      <c r="A2591" s="366" t="s">
        <v>4547</v>
      </c>
      <c r="B2591" s="366" t="s">
        <v>231</v>
      </c>
      <c r="C2591" s="348" t="str">
        <f>DATA_PROPERTY_MASTER!$A$12</f>
        <v>BLD_JP</v>
      </c>
      <c r="D2591" s="380">
        <f>'00_PORTFOLIO ROLLUP'!U$12</f>
        <v>2041</v>
      </c>
      <c r="E2591" s="366" t="s">
        <v>1683</v>
      </c>
      <c r="F2591" s="366" t="s">
        <v>19</v>
      </c>
      <c r="G2591" s="348" t="str">
        <f>"'"&amp;$C2591&amp;"'!$E$41:$Y$41"</f>
        <v>'BLD_JP'!$E$41:$Y$41</v>
      </c>
      <c r="H2591" s="381">
        <f ca="1">IF(IFERROR(INDEX(DATA_PROPERTY_MASTER!$E$5:$E$21,MATCH($C2591,DATA_PROPERTY_MASTER!$A$5:$A$21,0))="Yes",FALSE),IFERROR(INDEX(INDIRECT("'"&amp;$C2591&amp;"'!$E$41:$Y$41"),1,MATCH($D2591,INDIRECT("'"&amp;$C2591&amp;"'!$E$12:$Y$12"),0)),0),0)</f>
        <v>244156.111286506</v>
      </c>
      <c r="I2591" s="366" t="s">
        <v>1685</v>
      </c>
      <c r="J2591" s="348" t="str">
        <f t="shared" ca="1" si="80"/>
        <v>OK</v>
      </c>
      <c r="K2591" s="366" t="s">
        <v>1694</v>
      </c>
      <c r="L2591" s="366" t="s">
        <v>2238</v>
      </c>
      <c r="M2591" s="350" t="str">
        <f>IF($B2591="Portfolio","Portfolio",IFERROR(INDEX(DATA_ASSET_CLASSIFICATION!$B$8:$B$24,MATCH($C2591,DATA_ASSET_CLASSIFICATION!$A$8:$A$24,0)),"Review"))</f>
        <v>Jessica Place</v>
      </c>
      <c r="N2591" s="350" t="str">
        <f ca="1">IF($B2591="Portfolio","Portfolio",IFERROR(INDEX(DATA_ASSET_CLASSIFICATION!$U$8:$U$24,MATCH($C2591,DATA_ASSET_CLASSIFICATION!$A$8:$A$24,0)),"Review"))</f>
        <v>Refi Watch</v>
      </c>
      <c r="O2591" s="350" t="str">
        <f ca="1">IF($B2591="Portfolio","Portfolio",IFERROR(INDEX(DATA_ASSET_CLASSIFICATION!$AB$8:$AB$13,MATCH($N2591,DATA_ASSET_CLASSIFICATION!$AA$8:$AA$13,0)),"Review"))</f>
        <v>Bucket 2 · Legacy</v>
      </c>
      <c r="P2591" s="350" t="str">
        <f>IF($B2591="Portfolio","Portfolio",IFERROR(INDEX(DATA_ASSET_CLASSIFICATION!$C$8:$C$24,MATCH($C2591,DATA_ASSET_CLASSIFICATION!$A$8:$A$24,0)),"Review"))</f>
        <v>Yes</v>
      </c>
      <c r="Q2591" s="350" t="str">
        <f t="shared" ca="1" si="81"/>
        <v>OK</v>
      </c>
    </row>
    <row r="2592" spans="1:17">
      <c r="A2592" s="366" t="s">
        <v>4548</v>
      </c>
      <c r="B2592" s="366" t="s">
        <v>231</v>
      </c>
      <c r="C2592" s="348" t="str">
        <f>DATA_PROPERTY_MASTER!$A$12</f>
        <v>BLD_JP</v>
      </c>
      <c r="D2592" s="380">
        <f>'00_PORTFOLIO ROLLUP'!U$12</f>
        <v>2041</v>
      </c>
      <c r="E2592" s="366" t="s">
        <v>1683</v>
      </c>
      <c r="F2592" s="366" t="s">
        <v>1697</v>
      </c>
      <c r="G2592" s="348" t="str">
        <f>"'"&amp;$C2592&amp;"'!$E$44:$Y$44"</f>
        <v>'BLD_JP'!$E$44:$Y$44</v>
      </c>
      <c r="H2592" s="381">
        <f ca="1">IF(IFERROR(INDEX(DATA_PROPERTY_MASTER!$E$5:$E$21,MATCH($C2592,DATA_PROPERTY_MASTER!$A$5:$A$21,0))="Yes",FALSE),IFERROR(INDEX(INDIRECT("'"&amp;$C2592&amp;"'!$E$44:$Y$44"),1,MATCH($D2592,INDIRECT("'"&amp;$C2592&amp;"'!$E$12:$Y$12"),0)),0),0)</f>
        <v>8236.7142305436719</v>
      </c>
      <c r="I2592" s="366" t="s">
        <v>1690</v>
      </c>
      <c r="J2592" s="348" t="str">
        <f t="shared" ca="1" si="80"/>
        <v>OK</v>
      </c>
      <c r="K2592" s="366" t="s">
        <v>1699</v>
      </c>
      <c r="L2592" s="366" t="s">
        <v>2240</v>
      </c>
      <c r="M2592" s="350" t="str">
        <f>IF($B2592="Portfolio","Portfolio",IFERROR(INDEX(DATA_ASSET_CLASSIFICATION!$B$8:$B$24,MATCH($C2592,DATA_ASSET_CLASSIFICATION!$A$8:$A$24,0)),"Review"))</f>
        <v>Jessica Place</v>
      </c>
      <c r="N2592" s="350" t="str">
        <f ca="1">IF($B2592="Portfolio","Portfolio",IFERROR(INDEX(DATA_ASSET_CLASSIFICATION!$U$8:$U$24,MATCH($C2592,DATA_ASSET_CLASSIFICATION!$A$8:$A$24,0)),"Review"))</f>
        <v>Refi Watch</v>
      </c>
      <c r="O2592" s="350" t="str">
        <f ca="1">IF($B2592="Portfolio","Portfolio",IFERROR(INDEX(DATA_ASSET_CLASSIFICATION!$AB$8:$AB$13,MATCH($N2592,DATA_ASSET_CLASSIFICATION!$AA$8:$AA$13,0)),"Review"))</f>
        <v>Bucket 2 · Legacy</v>
      </c>
      <c r="P2592" s="350" t="str">
        <f>IF($B2592="Portfolio","Portfolio",IFERROR(INDEX(DATA_ASSET_CLASSIFICATION!$C$8:$C$24,MATCH($C2592,DATA_ASSET_CLASSIFICATION!$A$8:$A$24,0)),"Review"))</f>
        <v>Yes</v>
      </c>
      <c r="Q2592" s="350" t="str">
        <f t="shared" ca="1" si="81"/>
        <v>OK</v>
      </c>
    </row>
    <row r="2593" spans="1:17">
      <c r="A2593" s="366" t="s">
        <v>4549</v>
      </c>
      <c r="B2593" s="366" t="s">
        <v>231</v>
      </c>
      <c r="C2593" s="348" t="str">
        <f>DATA_PROPERTY_MASTER!$A$12</f>
        <v>BLD_JP</v>
      </c>
      <c r="D2593" s="380">
        <f>'00_PORTFOLIO ROLLUP'!U$12</f>
        <v>2041</v>
      </c>
      <c r="E2593" s="366" t="s">
        <v>1683</v>
      </c>
      <c r="F2593" s="366" t="s">
        <v>21</v>
      </c>
      <c r="G2593" s="348" t="str">
        <f>"'"&amp;$C2593&amp;"'!$E$45:$Y$45"</f>
        <v>'BLD_JP'!$E$45:$Y$45</v>
      </c>
      <c r="H2593" s="381">
        <f ca="1">IF(IFERROR(INDEX(DATA_PROPERTY_MASTER!$E$5:$E$21,MATCH($C2593,DATA_PROPERTY_MASTER!$A$5:$A$21,0))="Yes",FALSE),IFERROR(INDEX(INDIRECT("'"&amp;$C2593&amp;"'!$E$45:$Y$45"),1,MATCH($D2593,INDIRECT("'"&amp;$C2593&amp;"'!$E$12:$Y$12"),0)),0),0)</f>
        <v>235919.39705596233</v>
      </c>
      <c r="I2593" s="366" t="s">
        <v>1685</v>
      </c>
      <c r="J2593" s="348" t="str">
        <f t="shared" ca="1" si="80"/>
        <v>OK</v>
      </c>
      <c r="K2593" s="366" t="s">
        <v>1694</v>
      </c>
      <c r="L2593" s="366" t="s">
        <v>2242</v>
      </c>
      <c r="M2593" s="350" t="str">
        <f>IF($B2593="Portfolio","Portfolio",IFERROR(INDEX(DATA_ASSET_CLASSIFICATION!$B$8:$B$24,MATCH($C2593,DATA_ASSET_CLASSIFICATION!$A$8:$A$24,0)),"Review"))</f>
        <v>Jessica Place</v>
      </c>
      <c r="N2593" s="350" t="str">
        <f ca="1">IF($B2593="Portfolio","Portfolio",IFERROR(INDEX(DATA_ASSET_CLASSIFICATION!$U$8:$U$24,MATCH($C2593,DATA_ASSET_CLASSIFICATION!$A$8:$A$24,0)),"Review"))</f>
        <v>Refi Watch</v>
      </c>
      <c r="O2593" s="350" t="str">
        <f ca="1">IF($B2593="Portfolio","Portfolio",IFERROR(INDEX(DATA_ASSET_CLASSIFICATION!$AB$8:$AB$13,MATCH($N2593,DATA_ASSET_CLASSIFICATION!$AA$8:$AA$13,0)),"Review"))</f>
        <v>Bucket 2 · Legacy</v>
      </c>
      <c r="P2593" s="350" t="str">
        <f>IF($B2593="Portfolio","Portfolio",IFERROR(INDEX(DATA_ASSET_CLASSIFICATION!$C$8:$C$24,MATCH($C2593,DATA_ASSET_CLASSIFICATION!$A$8:$A$24,0)),"Review"))</f>
        <v>Yes</v>
      </c>
      <c r="Q2593" s="350" t="str">
        <f t="shared" ca="1" si="81"/>
        <v>OK</v>
      </c>
    </row>
    <row r="2594" spans="1:17">
      <c r="A2594" s="366" t="s">
        <v>4550</v>
      </c>
      <c r="B2594" s="366" t="s">
        <v>231</v>
      </c>
      <c r="C2594" s="348" t="str">
        <f>DATA_PROPERTY_MASTER!$A$12</f>
        <v>BLD_JP</v>
      </c>
      <c r="D2594" s="380">
        <f>'00_PORTFOLIO ROLLUP'!U$12</f>
        <v>2041</v>
      </c>
      <c r="E2594" s="366" t="s">
        <v>23</v>
      </c>
      <c r="F2594" s="366" t="s">
        <v>23</v>
      </c>
      <c r="G2594" s="348" t="str">
        <f>"'"&amp;$C2594&amp;"'!$E$48:$Y$48"</f>
        <v>'BLD_JP'!$E$48:$Y$48</v>
      </c>
      <c r="H2594" s="381">
        <f ca="1">IF(IFERROR(INDEX(DATA_PROPERTY_MASTER!$E$5:$E$21,MATCH($C2594,DATA_PROPERTY_MASTER!$A$5:$A$21,0))="Yes",FALSE),IFERROR(INDEX(INDIRECT("'"&amp;$C2594&amp;"'!$E$48:$Y$48"),1,MATCH($D2594,INDIRECT("'"&amp;$C2594&amp;"'!$E$12:$Y$12"),0)),0),0)</f>
        <v>0</v>
      </c>
      <c r="I2594" s="366" t="s">
        <v>1690</v>
      </c>
      <c r="J2594" s="348" t="str">
        <f t="shared" ca="1" si="80"/>
        <v>OK</v>
      </c>
      <c r="K2594" s="366" t="s">
        <v>1706</v>
      </c>
      <c r="L2594" s="366" t="s">
        <v>2244</v>
      </c>
      <c r="M2594" s="350" t="str">
        <f>IF($B2594="Portfolio","Portfolio",IFERROR(INDEX(DATA_ASSET_CLASSIFICATION!$B$8:$B$24,MATCH($C2594,DATA_ASSET_CLASSIFICATION!$A$8:$A$24,0)),"Review"))</f>
        <v>Jessica Place</v>
      </c>
      <c r="N2594" s="350" t="str">
        <f ca="1">IF($B2594="Portfolio","Portfolio",IFERROR(INDEX(DATA_ASSET_CLASSIFICATION!$U$8:$U$24,MATCH($C2594,DATA_ASSET_CLASSIFICATION!$A$8:$A$24,0)),"Review"))</f>
        <v>Refi Watch</v>
      </c>
      <c r="O2594" s="350" t="str">
        <f ca="1">IF($B2594="Portfolio","Portfolio",IFERROR(INDEX(DATA_ASSET_CLASSIFICATION!$AB$8:$AB$13,MATCH($N2594,DATA_ASSET_CLASSIFICATION!$AA$8:$AA$13,0)),"Review"))</f>
        <v>Bucket 2 · Legacy</v>
      </c>
      <c r="P2594" s="350" t="str">
        <f>IF($B2594="Portfolio","Portfolio",IFERROR(INDEX(DATA_ASSET_CLASSIFICATION!$C$8:$C$24,MATCH($C2594,DATA_ASSET_CLASSIFICATION!$A$8:$A$24,0)),"Review"))</f>
        <v>Yes</v>
      </c>
      <c r="Q2594" s="350" t="str">
        <f t="shared" ca="1" si="81"/>
        <v>OK</v>
      </c>
    </row>
    <row r="2595" spans="1:17">
      <c r="A2595" s="366" t="s">
        <v>4551</v>
      </c>
      <c r="B2595" s="366" t="s">
        <v>231</v>
      </c>
      <c r="C2595" s="348" t="str">
        <f>DATA_PROPERTY_MASTER!$A$12</f>
        <v>BLD_JP</v>
      </c>
      <c r="D2595" s="380">
        <f>'00_PORTFOLIO ROLLUP'!U$12</f>
        <v>2041</v>
      </c>
      <c r="E2595" s="366" t="s">
        <v>1683</v>
      </c>
      <c r="F2595" s="366" t="s">
        <v>25</v>
      </c>
      <c r="G2595" s="348" t="str">
        <f>"'"&amp;$C2595&amp;"'!$E$52:$Y$52"</f>
        <v>'BLD_JP'!$E$52:$Y$52</v>
      </c>
      <c r="H2595" s="381">
        <f ca="1">IF(IFERROR(INDEX(DATA_PROPERTY_MASTER!$E$5:$E$21,MATCH($C2595,DATA_PROPERTY_MASTER!$A$5:$A$21,0))="Yes",FALSE),IFERROR(INDEX(INDIRECT("'"&amp;$C2595&amp;"'!$E$52:$Y$52"),1,MATCH($D2595,INDIRECT("'"&amp;$C2595&amp;"'!$E$12:$Y$12"),0)),0),0)</f>
        <v>244156.111286506</v>
      </c>
      <c r="I2595" s="366" t="s">
        <v>1685</v>
      </c>
      <c r="J2595" s="348" t="str">
        <f t="shared" ca="1" si="80"/>
        <v>OK</v>
      </c>
      <c r="K2595" s="366" t="s">
        <v>1710</v>
      </c>
      <c r="L2595" s="366" t="s">
        <v>2246</v>
      </c>
      <c r="M2595" s="350" t="str">
        <f>IF($B2595="Portfolio","Portfolio",IFERROR(INDEX(DATA_ASSET_CLASSIFICATION!$B$8:$B$24,MATCH($C2595,DATA_ASSET_CLASSIFICATION!$A$8:$A$24,0)),"Review"))</f>
        <v>Jessica Place</v>
      </c>
      <c r="N2595" s="350" t="str">
        <f ca="1">IF($B2595="Portfolio","Portfolio",IFERROR(INDEX(DATA_ASSET_CLASSIFICATION!$U$8:$U$24,MATCH($C2595,DATA_ASSET_CLASSIFICATION!$A$8:$A$24,0)),"Review"))</f>
        <v>Refi Watch</v>
      </c>
      <c r="O2595" s="350" t="str">
        <f ca="1">IF($B2595="Portfolio","Portfolio",IFERROR(INDEX(DATA_ASSET_CLASSIFICATION!$AB$8:$AB$13,MATCH($N2595,DATA_ASSET_CLASSIFICATION!$AA$8:$AA$13,0)),"Review"))</f>
        <v>Bucket 2 · Legacy</v>
      </c>
      <c r="P2595" s="350" t="str">
        <f>IF($B2595="Portfolio","Portfolio",IFERROR(INDEX(DATA_ASSET_CLASSIFICATION!$C$8:$C$24,MATCH($C2595,DATA_ASSET_CLASSIFICATION!$A$8:$A$24,0)),"Review"))</f>
        <v>Yes</v>
      </c>
      <c r="Q2595" s="350" t="str">
        <f t="shared" ca="1" si="81"/>
        <v>OK</v>
      </c>
    </row>
    <row r="2596" spans="1:17">
      <c r="A2596" s="366" t="s">
        <v>4552</v>
      </c>
      <c r="B2596" s="366" t="s">
        <v>231</v>
      </c>
      <c r="C2596" s="348" t="str">
        <f>DATA_PROPERTY_MASTER!$A$12</f>
        <v>BLD_JP</v>
      </c>
      <c r="D2596" s="380">
        <f>'00_PORTFOLIO ROLLUP'!U$12</f>
        <v>2041</v>
      </c>
      <c r="E2596" s="366" t="s">
        <v>1683</v>
      </c>
      <c r="F2596" s="366" t="s">
        <v>27</v>
      </c>
      <c r="G2596" s="348" t="str">
        <f>"'"&amp;$C2596&amp;"'!$E$54:$Y$54"</f>
        <v>'BLD_JP'!$E$54:$Y$54</v>
      </c>
      <c r="H2596" s="381">
        <f ca="1">IF(IFERROR(INDEX(DATA_PROPERTY_MASTER!$E$5:$E$21,MATCH($C2596,DATA_PROPERTY_MASTER!$A$5:$A$21,0))="Yes",FALSE),IFERROR(INDEX(INDIRECT("'"&amp;$C2596&amp;"'!$E$54:$Y$54"),1,MATCH($D2596,INDIRECT("'"&amp;$C2596&amp;"'!$E$12:$Y$12"),0)),0),0)</f>
        <v>146493.6667719036</v>
      </c>
      <c r="I2596" s="366" t="s">
        <v>1690</v>
      </c>
      <c r="J2596" s="348" t="str">
        <f t="shared" ca="1" si="80"/>
        <v>OK</v>
      </c>
      <c r="K2596" s="366" t="s">
        <v>1714</v>
      </c>
      <c r="L2596" s="366" t="s">
        <v>2248</v>
      </c>
      <c r="M2596" s="350" t="str">
        <f>IF($B2596="Portfolio","Portfolio",IFERROR(INDEX(DATA_ASSET_CLASSIFICATION!$B$8:$B$24,MATCH($C2596,DATA_ASSET_CLASSIFICATION!$A$8:$A$24,0)),"Review"))</f>
        <v>Jessica Place</v>
      </c>
      <c r="N2596" s="350" t="str">
        <f ca="1">IF($B2596="Portfolio","Portfolio",IFERROR(INDEX(DATA_ASSET_CLASSIFICATION!$U$8:$U$24,MATCH($C2596,DATA_ASSET_CLASSIFICATION!$A$8:$A$24,0)),"Review"))</f>
        <v>Refi Watch</v>
      </c>
      <c r="O2596" s="350" t="str">
        <f ca="1">IF($B2596="Portfolio","Portfolio",IFERROR(INDEX(DATA_ASSET_CLASSIFICATION!$AB$8:$AB$13,MATCH($N2596,DATA_ASSET_CLASSIFICATION!$AA$8:$AA$13,0)),"Review"))</f>
        <v>Bucket 2 · Legacy</v>
      </c>
      <c r="P2596" s="350" t="str">
        <f>IF($B2596="Portfolio","Portfolio",IFERROR(INDEX(DATA_ASSET_CLASSIFICATION!$C$8:$C$24,MATCH($C2596,DATA_ASSET_CLASSIFICATION!$A$8:$A$24,0)),"Review"))</f>
        <v>Yes</v>
      </c>
      <c r="Q2596" s="350" t="str">
        <f t="shared" ca="1" si="81"/>
        <v>OK</v>
      </c>
    </row>
    <row r="2597" spans="1:17">
      <c r="A2597" s="366" t="s">
        <v>4553</v>
      </c>
      <c r="B2597" s="366" t="s">
        <v>231</v>
      </c>
      <c r="C2597" s="348" t="str">
        <f>DATA_PROPERTY_MASTER!$A$12</f>
        <v>BLD_JP</v>
      </c>
      <c r="D2597" s="380">
        <f>'00_PORTFOLIO ROLLUP'!U$12</f>
        <v>2041</v>
      </c>
      <c r="E2597" s="366" t="s">
        <v>1683</v>
      </c>
      <c r="F2597" s="366" t="s">
        <v>29</v>
      </c>
      <c r="G2597" s="348" t="str">
        <f>"'"&amp;$C2597&amp;"'!$E$56:$Y$56"</f>
        <v>'BLD_JP'!$E$56:$Y$56</v>
      </c>
      <c r="H2597" s="381">
        <f ca="1">IF(IFERROR(INDEX(DATA_PROPERTY_MASTER!$E$5:$E$21,MATCH($C2597,DATA_PROPERTY_MASTER!$A$5:$A$21,0))="Yes",FALSE),IFERROR(INDEX(INDIRECT("'"&amp;$C2597&amp;"'!$E$56:$Y$56"),1,MATCH($D2597,INDIRECT("'"&amp;$C2597&amp;"'!$E$12:$Y$12"),0)),0),0)</f>
        <v>97662.444514602394</v>
      </c>
      <c r="I2597" s="366" t="s">
        <v>1685</v>
      </c>
      <c r="J2597" s="348" t="str">
        <f t="shared" ca="1" si="80"/>
        <v>OK</v>
      </c>
      <c r="K2597" s="366" t="s">
        <v>1718</v>
      </c>
      <c r="L2597" s="366" t="s">
        <v>2250</v>
      </c>
      <c r="M2597" s="350" t="str">
        <f>IF($B2597="Portfolio","Portfolio",IFERROR(INDEX(DATA_ASSET_CLASSIFICATION!$B$8:$B$24,MATCH($C2597,DATA_ASSET_CLASSIFICATION!$A$8:$A$24,0)),"Review"))</f>
        <v>Jessica Place</v>
      </c>
      <c r="N2597" s="350" t="str">
        <f ca="1">IF($B2597="Portfolio","Portfolio",IFERROR(INDEX(DATA_ASSET_CLASSIFICATION!$U$8:$U$24,MATCH($C2597,DATA_ASSET_CLASSIFICATION!$A$8:$A$24,0)),"Review"))</f>
        <v>Refi Watch</v>
      </c>
      <c r="O2597" s="350" t="str">
        <f ca="1">IF($B2597="Portfolio","Portfolio",IFERROR(INDEX(DATA_ASSET_CLASSIFICATION!$AB$8:$AB$13,MATCH($N2597,DATA_ASSET_CLASSIFICATION!$AA$8:$AA$13,0)),"Review"))</f>
        <v>Bucket 2 · Legacy</v>
      </c>
      <c r="P2597" s="350" t="str">
        <f>IF($B2597="Portfolio","Portfolio",IFERROR(INDEX(DATA_ASSET_CLASSIFICATION!$C$8:$C$24,MATCH($C2597,DATA_ASSET_CLASSIFICATION!$A$8:$A$24,0)),"Review"))</f>
        <v>Yes</v>
      </c>
      <c r="Q2597" s="350" t="str">
        <f t="shared" ca="1" si="81"/>
        <v>OK</v>
      </c>
    </row>
    <row r="2598" spans="1:17">
      <c r="A2598" s="366" t="s">
        <v>4554</v>
      </c>
      <c r="B2598" s="366" t="s">
        <v>231</v>
      </c>
      <c r="C2598" s="348" t="str">
        <f>DATA_PROPERTY_MASTER!$A$12</f>
        <v>BLD_JP</v>
      </c>
      <c r="D2598" s="380">
        <f>'00_PORTFOLIO ROLLUP'!U$12</f>
        <v>2041</v>
      </c>
      <c r="E2598" s="366" t="s">
        <v>1721</v>
      </c>
      <c r="F2598" s="366" t="s">
        <v>31</v>
      </c>
      <c r="G2598" s="348" t="str">
        <f>"'"&amp;$C2598&amp;"'!$E$61:$Y$61"</f>
        <v>'BLD_JP'!$E$61:$Y$61</v>
      </c>
      <c r="H2598" s="381">
        <f ca="1">IF(IFERROR(INDEX(DATA_PROPERTY_MASTER!$E$5:$E$21,MATCH($C2598,DATA_PROPERTY_MASTER!$A$5:$A$21,0))="Yes",FALSE),IFERROR(INDEX(INDIRECT("'"&amp;$C2598&amp;"'!$E$61:$Y$61"),1,MATCH($D2598,INDIRECT("'"&amp;$C2598&amp;"'!$E$12:$Y$12"),0)),0),0)</f>
        <v>0</v>
      </c>
      <c r="I2598" s="366" t="s">
        <v>1690</v>
      </c>
      <c r="J2598" s="348" t="str">
        <f t="shared" ca="1" si="80"/>
        <v>OK</v>
      </c>
      <c r="K2598" s="366" t="s">
        <v>1723</v>
      </c>
      <c r="L2598" s="366" t="s">
        <v>2252</v>
      </c>
      <c r="M2598" s="350" t="str">
        <f>IF($B2598="Portfolio","Portfolio",IFERROR(INDEX(DATA_ASSET_CLASSIFICATION!$B$8:$B$24,MATCH($C2598,DATA_ASSET_CLASSIFICATION!$A$8:$A$24,0)),"Review"))</f>
        <v>Jessica Place</v>
      </c>
      <c r="N2598" s="350" t="str">
        <f ca="1">IF($B2598="Portfolio","Portfolio",IFERROR(INDEX(DATA_ASSET_CLASSIFICATION!$U$8:$U$24,MATCH($C2598,DATA_ASSET_CLASSIFICATION!$A$8:$A$24,0)),"Review"))</f>
        <v>Refi Watch</v>
      </c>
      <c r="O2598" s="350" t="str">
        <f ca="1">IF($B2598="Portfolio","Portfolio",IFERROR(INDEX(DATA_ASSET_CLASSIFICATION!$AB$8:$AB$13,MATCH($N2598,DATA_ASSET_CLASSIFICATION!$AA$8:$AA$13,0)),"Review"))</f>
        <v>Bucket 2 · Legacy</v>
      </c>
      <c r="P2598" s="350" t="str">
        <f>IF($B2598="Portfolio","Portfolio",IFERROR(INDEX(DATA_ASSET_CLASSIFICATION!$C$8:$C$24,MATCH($C2598,DATA_ASSET_CLASSIFICATION!$A$8:$A$24,0)),"Review"))</f>
        <v>Yes</v>
      </c>
      <c r="Q2598" s="350" t="str">
        <f t="shared" ca="1" si="81"/>
        <v>OK</v>
      </c>
    </row>
    <row r="2599" spans="1:17">
      <c r="A2599" s="366" t="s">
        <v>4555</v>
      </c>
      <c r="B2599" s="366" t="s">
        <v>231</v>
      </c>
      <c r="C2599" s="348" t="str">
        <f>DATA_PROPERTY_MASTER!$A$12</f>
        <v>BLD_JP</v>
      </c>
      <c r="D2599" s="380">
        <f>'00_PORTFOLIO ROLLUP'!U$12</f>
        <v>2041</v>
      </c>
      <c r="E2599" s="366" t="s">
        <v>1721</v>
      </c>
      <c r="F2599" s="366" t="s">
        <v>33</v>
      </c>
      <c r="G2599" s="348" t="str">
        <f>"'"&amp;$C2599&amp;"'!$E$62:$Y$62"</f>
        <v>'BLD_JP'!$E$62:$Y$62</v>
      </c>
      <c r="H2599" s="381">
        <f ca="1">IF(IFERROR(INDEX(DATA_PROPERTY_MASTER!$E$5:$E$21,MATCH($C2599,DATA_PROPERTY_MASTER!$A$5:$A$21,0))="Yes",FALSE),IFERROR(INDEX(INDIRECT("'"&amp;$C2599&amp;"'!$E$62:$Y$62"),1,MATCH($D2599,INDIRECT("'"&amp;$C2599&amp;"'!$E$12:$Y$12"),0)),0),0)</f>
        <v>0</v>
      </c>
      <c r="I2599" s="366" t="s">
        <v>1685</v>
      </c>
      <c r="J2599" s="348" t="str">
        <f t="shared" ca="1" si="80"/>
        <v>OK</v>
      </c>
      <c r="K2599" s="366" t="s">
        <v>1727</v>
      </c>
      <c r="L2599" s="366" t="s">
        <v>2254</v>
      </c>
      <c r="M2599" s="350" t="str">
        <f>IF($B2599="Portfolio","Portfolio",IFERROR(INDEX(DATA_ASSET_CLASSIFICATION!$B$8:$B$24,MATCH($C2599,DATA_ASSET_CLASSIFICATION!$A$8:$A$24,0)),"Review"))</f>
        <v>Jessica Place</v>
      </c>
      <c r="N2599" s="350" t="str">
        <f ca="1">IF($B2599="Portfolio","Portfolio",IFERROR(INDEX(DATA_ASSET_CLASSIFICATION!$U$8:$U$24,MATCH($C2599,DATA_ASSET_CLASSIFICATION!$A$8:$A$24,0)),"Review"))</f>
        <v>Refi Watch</v>
      </c>
      <c r="O2599" s="350" t="str">
        <f ca="1">IF($B2599="Portfolio","Portfolio",IFERROR(INDEX(DATA_ASSET_CLASSIFICATION!$AB$8:$AB$13,MATCH($N2599,DATA_ASSET_CLASSIFICATION!$AA$8:$AA$13,0)),"Review"))</f>
        <v>Bucket 2 · Legacy</v>
      </c>
      <c r="P2599" s="350" t="str">
        <f>IF($B2599="Portfolio","Portfolio",IFERROR(INDEX(DATA_ASSET_CLASSIFICATION!$C$8:$C$24,MATCH($C2599,DATA_ASSET_CLASSIFICATION!$A$8:$A$24,0)),"Review"))</f>
        <v>Yes</v>
      </c>
      <c r="Q2599" s="350" t="str">
        <f t="shared" ca="1" si="81"/>
        <v>OK</v>
      </c>
    </row>
    <row r="2600" spans="1:17">
      <c r="A2600" s="366" t="s">
        <v>4556</v>
      </c>
      <c r="B2600" s="366" t="s">
        <v>231</v>
      </c>
      <c r="C2600" s="348" t="str">
        <f>DATA_PROPERTY_MASTER!$A$12</f>
        <v>BLD_JP</v>
      </c>
      <c r="D2600" s="380">
        <f>'00_PORTFOLIO ROLLUP'!U$12</f>
        <v>2041</v>
      </c>
      <c r="E2600" s="366" t="s">
        <v>1721</v>
      </c>
      <c r="F2600" s="366" t="s">
        <v>35</v>
      </c>
      <c r="G2600" s="348" t="str">
        <f>"'"&amp;$C2600&amp;"'!$E$63:$Y$63"</f>
        <v>'BLD_JP'!$E$63:$Y$63</v>
      </c>
      <c r="H2600" s="381">
        <f ca="1">IF(IFERROR(INDEX(DATA_PROPERTY_MASTER!$E$5:$E$21,MATCH($C2600,DATA_PROPERTY_MASTER!$A$5:$A$21,0))="Yes",FALSE),IFERROR(INDEX(INDIRECT("'"&amp;$C2600&amp;"'!$E$63:$Y$63"),1,MATCH($D2600,INDIRECT("'"&amp;$C2600&amp;"'!$E$12:$Y$12"),0)),0),0)</f>
        <v>0</v>
      </c>
      <c r="I2600" s="366" t="s">
        <v>1731</v>
      </c>
      <c r="J2600" s="348" t="str">
        <f t="shared" ca="1" si="80"/>
        <v>OK</v>
      </c>
      <c r="K2600" s="366" t="s">
        <v>1732</v>
      </c>
      <c r="L2600" s="366" t="s">
        <v>2256</v>
      </c>
      <c r="M2600" s="350" t="str">
        <f>IF($B2600="Portfolio","Portfolio",IFERROR(INDEX(DATA_ASSET_CLASSIFICATION!$B$8:$B$24,MATCH($C2600,DATA_ASSET_CLASSIFICATION!$A$8:$A$24,0)),"Review"))</f>
        <v>Jessica Place</v>
      </c>
      <c r="N2600" s="350" t="str">
        <f ca="1">IF($B2600="Portfolio","Portfolio",IFERROR(INDEX(DATA_ASSET_CLASSIFICATION!$U$8:$U$24,MATCH($C2600,DATA_ASSET_CLASSIFICATION!$A$8:$A$24,0)),"Review"))</f>
        <v>Refi Watch</v>
      </c>
      <c r="O2600" s="350" t="str">
        <f ca="1">IF($B2600="Portfolio","Portfolio",IFERROR(INDEX(DATA_ASSET_CLASSIFICATION!$AB$8:$AB$13,MATCH($N2600,DATA_ASSET_CLASSIFICATION!$AA$8:$AA$13,0)),"Review"))</f>
        <v>Bucket 2 · Legacy</v>
      </c>
      <c r="P2600" s="350" t="str">
        <f>IF($B2600="Portfolio","Portfolio",IFERROR(INDEX(DATA_ASSET_CLASSIFICATION!$C$8:$C$24,MATCH($C2600,DATA_ASSET_CLASSIFICATION!$A$8:$A$24,0)),"Review"))</f>
        <v>Yes</v>
      </c>
      <c r="Q2600" s="350" t="str">
        <f t="shared" ca="1" si="81"/>
        <v>OK</v>
      </c>
    </row>
    <row r="2601" spans="1:17">
      <c r="A2601" s="366" t="s">
        <v>4557</v>
      </c>
      <c r="B2601" s="366" t="s">
        <v>231</v>
      </c>
      <c r="C2601" s="348" t="str">
        <f>DATA_PROPERTY_MASTER!$A$12</f>
        <v>BLD_JP</v>
      </c>
      <c r="D2601" s="380">
        <f>'00_PORTFOLIO ROLLUP'!U$12</f>
        <v>2041</v>
      </c>
      <c r="E2601" s="366" t="s">
        <v>1721</v>
      </c>
      <c r="F2601" s="366" t="s">
        <v>37</v>
      </c>
      <c r="G2601" s="348" t="str">
        <f>"'"&amp;$C2601&amp;"'!$E$63:$Y$63"</f>
        <v>'BLD_JP'!$E$63:$Y$63</v>
      </c>
      <c r="H2601" s="381">
        <f ca="1">IF(IFERROR(INDEX(DATA_PROPERTY_MASTER!$E$5:$E$21,MATCH($C2601,DATA_PROPERTY_MASTER!$A$5:$A$21,0))="Yes",FALSE),MAX(IFERROR(INDEX(INDIRECT("'"&amp;$C2601&amp;"'!$E$63:$Y$63"),1,MATCH($D2601,INDIRECT("'"&amp;$C2601&amp;"'!$E$12:$Y$12"),0)),0),0),0)</f>
        <v>0</v>
      </c>
      <c r="I2601" s="366" t="s">
        <v>1685</v>
      </c>
      <c r="J2601" s="348" t="str">
        <f t="shared" ca="1" si="80"/>
        <v>OK</v>
      </c>
      <c r="K2601" s="366" t="s">
        <v>1735</v>
      </c>
      <c r="L2601" s="366" t="s">
        <v>2258</v>
      </c>
      <c r="M2601" s="350" t="str">
        <f>IF($B2601="Portfolio","Portfolio",IFERROR(INDEX(DATA_ASSET_CLASSIFICATION!$B$8:$B$24,MATCH($C2601,DATA_ASSET_CLASSIFICATION!$A$8:$A$24,0)),"Review"))</f>
        <v>Jessica Place</v>
      </c>
      <c r="N2601" s="350" t="str">
        <f ca="1">IF($B2601="Portfolio","Portfolio",IFERROR(INDEX(DATA_ASSET_CLASSIFICATION!$U$8:$U$24,MATCH($C2601,DATA_ASSET_CLASSIFICATION!$A$8:$A$24,0)),"Review"))</f>
        <v>Refi Watch</v>
      </c>
      <c r="O2601" s="350" t="str">
        <f ca="1">IF($B2601="Portfolio","Portfolio",IFERROR(INDEX(DATA_ASSET_CLASSIFICATION!$AB$8:$AB$13,MATCH($N2601,DATA_ASSET_CLASSIFICATION!$AA$8:$AA$13,0)),"Review"))</f>
        <v>Bucket 2 · Legacy</v>
      </c>
      <c r="P2601" s="350" t="str">
        <f>IF($B2601="Portfolio","Portfolio",IFERROR(INDEX(DATA_ASSET_CLASSIFICATION!$C$8:$C$24,MATCH($C2601,DATA_ASSET_CLASSIFICATION!$A$8:$A$24,0)),"Review"))</f>
        <v>Yes</v>
      </c>
      <c r="Q2601" s="350" t="str">
        <f t="shared" ca="1" si="81"/>
        <v>OK</v>
      </c>
    </row>
    <row r="2602" spans="1:17">
      <c r="A2602" s="366" t="s">
        <v>4558</v>
      </c>
      <c r="B2602" s="366" t="s">
        <v>231</v>
      </c>
      <c r="C2602" s="348" t="str">
        <f>DATA_PROPERTY_MASTER!$A$12</f>
        <v>BLD_JP</v>
      </c>
      <c r="D2602" s="380">
        <f>'00_PORTFOLIO ROLLUP'!U$12</f>
        <v>2041</v>
      </c>
      <c r="E2602" s="366" t="s">
        <v>1721</v>
      </c>
      <c r="F2602" s="366" t="s">
        <v>39</v>
      </c>
      <c r="G2602" s="348" t="str">
        <f>"'"&amp;$C2602&amp;"'!$E$63:$Y$63"</f>
        <v>'BLD_JP'!$E$63:$Y$63</v>
      </c>
      <c r="H2602" s="381">
        <f ca="1">IF(IFERROR(INDEX(DATA_PROPERTY_MASTER!$E$5:$E$21,MATCH($C2602,DATA_PROPERTY_MASTER!$A$5:$A$21,0))="Yes",FALSE),MAX(-IFERROR(INDEX(INDIRECT("'"&amp;$C2602&amp;"'!$E$63:$Y$63"),1,MATCH($D2602,INDIRECT("'"&amp;$C2602&amp;"'!$E$12:$Y$12"),0)),0),0),0)</f>
        <v>0</v>
      </c>
      <c r="I2602" s="366" t="s">
        <v>1690</v>
      </c>
      <c r="J2602" s="348" t="str">
        <f t="shared" ca="1" si="80"/>
        <v>OK</v>
      </c>
      <c r="K2602" s="366" t="s">
        <v>1738</v>
      </c>
      <c r="L2602" s="366" t="s">
        <v>2260</v>
      </c>
      <c r="M2602" s="350" t="str">
        <f>IF($B2602="Portfolio","Portfolio",IFERROR(INDEX(DATA_ASSET_CLASSIFICATION!$B$8:$B$24,MATCH($C2602,DATA_ASSET_CLASSIFICATION!$A$8:$A$24,0)),"Review"))</f>
        <v>Jessica Place</v>
      </c>
      <c r="N2602" s="350" t="str">
        <f ca="1">IF($B2602="Portfolio","Portfolio",IFERROR(INDEX(DATA_ASSET_CLASSIFICATION!$U$8:$U$24,MATCH($C2602,DATA_ASSET_CLASSIFICATION!$A$8:$A$24,0)),"Review"))</f>
        <v>Refi Watch</v>
      </c>
      <c r="O2602" s="350" t="str">
        <f ca="1">IF($B2602="Portfolio","Portfolio",IFERROR(INDEX(DATA_ASSET_CLASSIFICATION!$AB$8:$AB$13,MATCH($N2602,DATA_ASSET_CLASSIFICATION!$AA$8:$AA$13,0)),"Review"))</f>
        <v>Bucket 2 · Legacy</v>
      </c>
      <c r="P2602" s="350" t="str">
        <f>IF($B2602="Portfolio","Portfolio",IFERROR(INDEX(DATA_ASSET_CLASSIFICATION!$C$8:$C$24,MATCH($C2602,DATA_ASSET_CLASSIFICATION!$A$8:$A$24,0)),"Review"))</f>
        <v>Yes</v>
      </c>
      <c r="Q2602" s="350" t="str">
        <f t="shared" ca="1" si="81"/>
        <v>OK</v>
      </c>
    </row>
    <row r="2603" spans="1:17">
      <c r="A2603" s="366" t="s">
        <v>4559</v>
      </c>
      <c r="B2603" s="366" t="s">
        <v>231</v>
      </c>
      <c r="C2603" s="348" t="str">
        <f>DATA_PROPERTY_MASTER!$A$12</f>
        <v>BLD_JP</v>
      </c>
      <c r="D2603" s="380">
        <f>'00_PORTFOLIO ROLLUP'!U$12</f>
        <v>2041</v>
      </c>
      <c r="E2603" s="366" t="s">
        <v>1741</v>
      </c>
      <c r="F2603" s="366" t="s">
        <v>41</v>
      </c>
      <c r="G2603" s="348" t="str">
        <f>"'"&amp;$C2603&amp;"'!rows 56 + positive row 63"</f>
        <v>'BLD_JP'!rows 56 + positive row 63</v>
      </c>
      <c r="H2603" s="381">
        <f ca="1">IF(IFERROR(INDEX(DATA_PROPERTY_MASTER!$E$5:$E$21,MATCH($C2603,DATA_PROPERTY_MASTER!$A$5:$A$21,0))="Yes",FALSE),IFERROR(INDEX(INDIRECT("'"&amp;$C2603&amp;"'!$E$56:$Y$56"),1,MATCH($D2603,INDIRECT("'"&amp;$C2603&amp;"'!$E$12:$Y$12"),0)),0)+MAX(IFERROR(INDEX(INDIRECT("'"&amp;$C2603&amp;"'!$E$63:$Y$63"),1,MATCH($D2603,INDIRECT("'"&amp;$C2603&amp;"'!$E$12:$Y$12"),0)),0),0),0)</f>
        <v>97662.444514602394</v>
      </c>
      <c r="I2603" s="366" t="s">
        <v>1685</v>
      </c>
      <c r="J2603" s="348" t="str">
        <f t="shared" ca="1" si="80"/>
        <v>OK</v>
      </c>
      <c r="K2603" s="366" t="s">
        <v>1742</v>
      </c>
      <c r="L2603" s="366" t="s">
        <v>2262</v>
      </c>
      <c r="M2603" s="350" t="str">
        <f>IF($B2603="Portfolio","Portfolio",IFERROR(INDEX(DATA_ASSET_CLASSIFICATION!$B$8:$B$24,MATCH($C2603,DATA_ASSET_CLASSIFICATION!$A$8:$A$24,0)),"Review"))</f>
        <v>Jessica Place</v>
      </c>
      <c r="N2603" s="350" t="str">
        <f ca="1">IF($B2603="Portfolio","Portfolio",IFERROR(INDEX(DATA_ASSET_CLASSIFICATION!$U$8:$U$24,MATCH($C2603,DATA_ASSET_CLASSIFICATION!$A$8:$A$24,0)),"Review"))</f>
        <v>Refi Watch</v>
      </c>
      <c r="O2603" s="350" t="str">
        <f ca="1">IF($B2603="Portfolio","Portfolio",IFERROR(INDEX(DATA_ASSET_CLASSIFICATION!$AB$8:$AB$13,MATCH($N2603,DATA_ASSET_CLASSIFICATION!$AA$8:$AA$13,0)),"Review"))</f>
        <v>Bucket 2 · Legacy</v>
      </c>
      <c r="P2603" s="350" t="str">
        <f>IF($B2603="Portfolio","Portfolio",IFERROR(INDEX(DATA_ASSET_CLASSIFICATION!$C$8:$C$24,MATCH($C2603,DATA_ASSET_CLASSIFICATION!$A$8:$A$24,0)),"Review"))</f>
        <v>Yes</v>
      </c>
      <c r="Q2603" s="350" t="str">
        <f t="shared" ca="1" si="81"/>
        <v>OK</v>
      </c>
    </row>
    <row r="2604" spans="1:17">
      <c r="A2604" s="366" t="s">
        <v>4560</v>
      </c>
      <c r="B2604" s="366" t="s">
        <v>231</v>
      </c>
      <c r="C2604" s="348" t="str">
        <f>DATA_PROPERTY_MASTER!$A$12</f>
        <v>BLD_JP</v>
      </c>
      <c r="D2604" s="380">
        <f>'00_PORTFOLIO ROLLUP'!U$12</f>
        <v>2041</v>
      </c>
      <c r="E2604" s="366" t="s">
        <v>1741</v>
      </c>
      <c r="F2604" s="366" t="s">
        <v>43</v>
      </c>
      <c r="G2604" s="348" t="str">
        <f>"'"&amp;$C2604&amp;"'!$E$68:$Y$68"</f>
        <v>'BLD_JP'!$E$68:$Y$68</v>
      </c>
      <c r="H2604" s="381">
        <f ca="1">IF(IFERROR(INDEX(DATA_PROPERTY_MASTER!$E$5:$E$21,MATCH($C2604,DATA_PROPERTY_MASTER!$A$5:$A$21,0))="Yes",FALSE),IFERROR(INDEX(INDIRECT("'"&amp;$C2604&amp;"'!$E$68:$Y$68"),1,MATCH($D2604,INDIRECT("'"&amp;$C2604&amp;"'!$E$12:$Y$12"),0)),0),0)</f>
        <v>97662.444514602394</v>
      </c>
      <c r="I2604" s="366" t="s">
        <v>1731</v>
      </c>
      <c r="J2604" s="348" t="str">
        <f t="shared" ca="1" si="80"/>
        <v>OK</v>
      </c>
      <c r="K2604" s="366" t="s">
        <v>1746</v>
      </c>
      <c r="L2604" s="366" t="s">
        <v>2264</v>
      </c>
      <c r="M2604" s="350" t="str">
        <f>IF($B2604="Portfolio","Portfolio",IFERROR(INDEX(DATA_ASSET_CLASSIFICATION!$B$8:$B$24,MATCH($C2604,DATA_ASSET_CLASSIFICATION!$A$8:$A$24,0)),"Review"))</f>
        <v>Jessica Place</v>
      </c>
      <c r="N2604" s="350" t="str">
        <f ca="1">IF($B2604="Portfolio","Portfolio",IFERROR(INDEX(DATA_ASSET_CLASSIFICATION!$U$8:$U$24,MATCH($C2604,DATA_ASSET_CLASSIFICATION!$A$8:$A$24,0)),"Review"))</f>
        <v>Refi Watch</v>
      </c>
      <c r="O2604" s="350" t="str">
        <f ca="1">IF($B2604="Portfolio","Portfolio",IFERROR(INDEX(DATA_ASSET_CLASSIFICATION!$AB$8:$AB$13,MATCH($N2604,DATA_ASSET_CLASSIFICATION!$AA$8:$AA$13,0)),"Review"))</f>
        <v>Bucket 2 · Legacy</v>
      </c>
      <c r="P2604" s="350" t="str">
        <f>IF($B2604="Portfolio","Portfolio",IFERROR(INDEX(DATA_ASSET_CLASSIFICATION!$C$8:$C$24,MATCH($C2604,DATA_ASSET_CLASSIFICATION!$A$8:$A$24,0)),"Review"))</f>
        <v>Yes</v>
      </c>
      <c r="Q2604" s="350" t="str">
        <f t="shared" ca="1" si="81"/>
        <v>OK</v>
      </c>
    </row>
    <row r="2605" spans="1:17">
      <c r="A2605" s="366" t="s">
        <v>4561</v>
      </c>
      <c r="B2605" s="366" t="s">
        <v>231</v>
      </c>
      <c r="C2605" s="348" t="str">
        <f>DATA_PROPERTY_MASTER!$A$12</f>
        <v>BLD_JP</v>
      </c>
      <c r="D2605" s="380">
        <f>'00_PORTFOLIO ROLLUP'!U$12</f>
        <v>2041</v>
      </c>
      <c r="E2605" s="366" t="s">
        <v>1741</v>
      </c>
      <c r="F2605" s="366" t="s">
        <v>1749</v>
      </c>
      <c r="G2605" s="348" t="str">
        <f>"'"&amp;$C2605&amp;"'!rows 56, 63, 68"</f>
        <v>'BLD_JP'!rows 56, 63, 68</v>
      </c>
      <c r="H2605" s="381">
        <f ca="1">IF(IFERROR(INDEX(DATA_PROPERTY_MASTER!$E$5:$E$21,MATCH($C2605,DATA_PROPERTY_MASTER!$A$5:$A$21,0))="Yes",FALSE),(IFERROR(INDEX(INDIRECT("'"&amp;$C2605&amp;"'!$E$56:$Y$56"),1,MATCH($D2605,INDIRECT("'"&amp;$C2605&amp;"'!$E$12:$Y$12"),0)),0)+MAX(IFERROR(INDEX(INDIRECT("'"&amp;$C2605&amp;"'!$E$63:$Y$63"),1,MATCH($D2605,INDIRECT("'"&amp;$C2605&amp;"'!$E$12:$Y$12"),0)),0),0))-(IFERROR(INDEX(INDIRECT("'"&amp;$C2605&amp;"'!$E$68:$Y$68"),1,MATCH($D2605,INDIRECT("'"&amp;$C2605&amp;"'!$E$12:$Y$12"),0)),0)),0)</f>
        <v>0</v>
      </c>
      <c r="I2605" s="366" t="s">
        <v>1750</v>
      </c>
      <c r="J2605" s="348" t="str">
        <f t="shared" ca="1" si="80"/>
        <v>OK</v>
      </c>
      <c r="K2605" s="366" t="s">
        <v>1751</v>
      </c>
      <c r="L2605" s="366" t="s">
        <v>2266</v>
      </c>
      <c r="M2605" s="350" t="str">
        <f>IF($B2605="Portfolio","Portfolio",IFERROR(INDEX(DATA_ASSET_CLASSIFICATION!$B$8:$B$24,MATCH($C2605,DATA_ASSET_CLASSIFICATION!$A$8:$A$24,0)),"Review"))</f>
        <v>Jessica Place</v>
      </c>
      <c r="N2605" s="350" t="str">
        <f ca="1">IF($B2605="Portfolio","Portfolio",IFERROR(INDEX(DATA_ASSET_CLASSIFICATION!$U$8:$U$24,MATCH($C2605,DATA_ASSET_CLASSIFICATION!$A$8:$A$24,0)),"Review"))</f>
        <v>Refi Watch</v>
      </c>
      <c r="O2605" s="350" t="str">
        <f ca="1">IF($B2605="Portfolio","Portfolio",IFERROR(INDEX(DATA_ASSET_CLASSIFICATION!$AB$8:$AB$13,MATCH($N2605,DATA_ASSET_CLASSIFICATION!$AA$8:$AA$13,0)),"Review"))</f>
        <v>Bucket 2 · Legacy</v>
      </c>
      <c r="P2605" s="350" t="str">
        <f>IF($B2605="Portfolio","Portfolio",IFERROR(INDEX(DATA_ASSET_CLASSIFICATION!$C$8:$C$24,MATCH($C2605,DATA_ASSET_CLASSIFICATION!$A$8:$A$24,0)),"Review"))</f>
        <v>Yes</v>
      </c>
      <c r="Q2605" s="350" t="str">
        <f t="shared" ca="1" si="81"/>
        <v>OK</v>
      </c>
    </row>
    <row r="2606" spans="1:17">
      <c r="A2606" s="366" t="s">
        <v>4562</v>
      </c>
      <c r="B2606" s="366" t="s">
        <v>231</v>
      </c>
      <c r="C2606" s="348" t="str">
        <f>DATA_PROPERTY_MASTER!$A$13</f>
        <v>BLD_MH</v>
      </c>
      <c r="D2606" s="380">
        <f>'00_PORTFOLIO ROLLUP'!E$12</f>
        <v>2025</v>
      </c>
      <c r="E2606" s="366" t="s">
        <v>1683</v>
      </c>
      <c r="F2606" s="366" t="s">
        <v>341</v>
      </c>
      <c r="G2606" s="348" t="str">
        <f>"'"&amp;$C2606&amp;"'!$E$24:$Y$24"</f>
        <v>'BLD_MH'!$E$24:$Y$24</v>
      </c>
      <c r="H2606" s="381">
        <f ca="1">IF(IFERROR(INDEX(DATA_PROPERTY_MASTER!$E$5:$E$21,MATCH($C2606,DATA_PROPERTY_MASTER!$A$5:$A$21,0))="Yes",FALSE),IFERROR(INDEX(INDIRECT("'"&amp;$C2606&amp;"'!$E$24:$Y$24"),1,MATCH($D2606,INDIRECT("'"&amp;$C2606&amp;"'!$E$12:$Y$12"),0)),0),0)</f>
        <v>330597.51200000005</v>
      </c>
      <c r="I2606" s="366" t="s">
        <v>1685</v>
      </c>
      <c r="J2606" s="348" t="str">
        <f t="shared" ca="1" si="80"/>
        <v>OK</v>
      </c>
      <c r="K2606" s="366" t="s">
        <v>1686</v>
      </c>
      <c r="L2606" s="366" t="s">
        <v>2234</v>
      </c>
      <c r="M2606" s="350" t="str">
        <f>IF($B2606="Portfolio","Portfolio",IFERROR(INDEX(DATA_ASSET_CLASSIFICATION!$B$8:$B$24,MATCH($C2606,DATA_ASSET_CLASSIFICATION!$A$8:$A$24,0)),"Review"))</f>
        <v>Margaret Heights</v>
      </c>
      <c r="N2606" s="350" t="str">
        <f ca="1">IF($B2606="Portfolio","Portfolio",IFERROR(INDEX(DATA_ASSET_CLASSIFICATION!$U$8:$U$24,MATCH($C2606,DATA_ASSET_CLASSIFICATION!$A$8:$A$24,0)),"Review"))</f>
        <v>Refi Watch</v>
      </c>
      <c r="O2606" s="350" t="str">
        <f ca="1">IF($B2606="Portfolio","Portfolio",IFERROR(INDEX(DATA_ASSET_CLASSIFICATION!$AB$8:$AB$13,MATCH($N2606,DATA_ASSET_CLASSIFICATION!$AA$8:$AA$13,0)),"Review"))</f>
        <v>Bucket 2 · Legacy</v>
      </c>
      <c r="P2606" s="350" t="str">
        <f>IF($B2606="Portfolio","Portfolio",IFERROR(INDEX(DATA_ASSET_CLASSIFICATION!$C$8:$C$24,MATCH($C2606,DATA_ASSET_CLASSIFICATION!$A$8:$A$24,0)),"Review"))</f>
        <v>Yes</v>
      </c>
      <c r="Q2606" s="350" t="str">
        <f t="shared" ca="1" si="81"/>
        <v>OK</v>
      </c>
    </row>
    <row r="2607" spans="1:17">
      <c r="A2607" s="366" t="s">
        <v>4563</v>
      </c>
      <c r="B2607" s="366" t="s">
        <v>231</v>
      </c>
      <c r="C2607" s="348" t="str">
        <f>DATA_PROPERTY_MASTER!$A$13</f>
        <v>BLD_MH</v>
      </c>
      <c r="D2607" s="380">
        <f>'00_PORTFOLIO ROLLUP'!E$12</f>
        <v>2025</v>
      </c>
      <c r="E2607" s="366" t="s">
        <v>1683</v>
      </c>
      <c r="F2607" s="366" t="s">
        <v>355</v>
      </c>
      <c r="G2607" s="348" t="str">
        <f>"'"&amp;$C2607&amp;"'!$E$39:$Y$39"</f>
        <v>'BLD_MH'!$E$39:$Y$39</v>
      </c>
      <c r="H2607" s="381">
        <f ca="1">IF(IFERROR(INDEX(DATA_PROPERTY_MASTER!$E$5:$E$21,MATCH($C2607,DATA_PROPERTY_MASTER!$A$5:$A$21,0))="Yes",FALSE),IFERROR(INDEX(INDIRECT("'"&amp;$C2607&amp;"'!$E$39:$Y$39"),1,MATCH($D2607,INDIRECT("'"&amp;$C2607&amp;"'!$E$12:$Y$12"),0)),0),0)</f>
        <v>184276</v>
      </c>
      <c r="I2607" s="366" t="s">
        <v>1690</v>
      </c>
      <c r="J2607" s="348" t="str">
        <f t="shared" ca="1" si="80"/>
        <v>OK</v>
      </c>
      <c r="K2607" s="366" t="s">
        <v>1686</v>
      </c>
      <c r="L2607" s="366" t="s">
        <v>2236</v>
      </c>
      <c r="M2607" s="350" t="str">
        <f>IF($B2607="Portfolio","Portfolio",IFERROR(INDEX(DATA_ASSET_CLASSIFICATION!$B$8:$B$24,MATCH($C2607,DATA_ASSET_CLASSIFICATION!$A$8:$A$24,0)),"Review"))</f>
        <v>Margaret Heights</v>
      </c>
      <c r="N2607" s="350" t="str">
        <f ca="1">IF($B2607="Portfolio","Portfolio",IFERROR(INDEX(DATA_ASSET_CLASSIFICATION!$U$8:$U$24,MATCH($C2607,DATA_ASSET_CLASSIFICATION!$A$8:$A$24,0)),"Review"))</f>
        <v>Refi Watch</v>
      </c>
      <c r="O2607" s="350" t="str">
        <f ca="1">IF($B2607="Portfolio","Portfolio",IFERROR(INDEX(DATA_ASSET_CLASSIFICATION!$AB$8:$AB$13,MATCH($N2607,DATA_ASSET_CLASSIFICATION!$AA$8:$AA$13,0)),"Review"))</f>
        <v>Bucket 2 · Legacy</v>
      </c>
      <c r="P2607" s="350" t="str">
        <f>IF($B2607="Portfolio","Portfolio",IFERROR(INDEX(DATA_ASSET_CLASSIFICATION!$C$8:$C$24,MATCH($C2607,DATA_ASSET_CLASSIFICATION!$A$8:$A$24,0)),"Review"))</f>
        <v>Yes</v>
      </c>
      <c r="Q2607" s="350" t="str">
        <f t="shared" ca="1" si="81"/>
        <v>OK</v>
      </c>
    </row>
    <row r="2608" spans="1:17">
      <c r="A2608" s="366" t="s">
        <v>4564</v>
      </c>
      <c r="B2608" s="366" t="s">
        <v>231</v>
      </c>
      <c r="C2608" s="348" t="str">
        <f>DATA_PROPERTY_MASTER!$A$13</f>
        <v>BLD_MH</v>
      </c>
      <c r="D2608" s="380">
        <f>'00_PORTFOLIO ROLLUP'!E$12</f>
        <v>2025</v>
      </c>
      <c r="E2608" s="366" t="s">
        <v>1683</v>
      </c>
      <c r="F2608" s="366" t="s">
        <v>19</v>
      </c>
      <c r="G2608" s="348" t="str">
        <f>"'"&amp;$C2608&amp;"'!$E$41:$Y$41"</f>
        <v>'BLD_MH'!$E$41:$Y$41</v>
      </c>
      <c r="H2608" s="381">
        <f ca="1">IF(IFERROR(INDEX(DATA_PROPERTY_MASTER!$E$5:$E$21,MATCH($C2608,DATA_PROPERTY_MASTER!$A$5:$A$21,0))="Yes",FALSE),IFERROR(INDEX(INDIRECT("'"&amp;$C2608&amp;"'!$E$41:$Y$41"),1,MATCH($D2608,INDIRECT("'"&amp;$C2608&amp;"'!$E$12:$Y$12"),0)),0),0)</f>
        <v>146321.51200000005</v>
      </c>
      <c r="I2608" s="366" t="s">
        <v>1685</v>
      </c>
      <c r="J2608" s="348" t="str">
        <f t="shared" ca="1" si="80"/>
        <v>OK</v>
      </c>
      <c r="K2608" s="366" t="s">
        <v>1694</v>
      </c>
      <c r="L2608" s="366" t="s">
        <v>2238</v>
      </c>
      <c r="M2608" s="350" t="str">
        <f>IF($B2608="Portfolio","Portfolio",IFERROR(INDEX(DATA_ASSET_CLASSIFICATION!$B$8:$B$24,MATCH($C2608,DATA_ASSET_CLASSIFICATION!$A$8:$A$24,0)),"Review"))</f>
        <v>Margaret Heights</v>
      </c>
      <c r="N2608" s="350" t="str">
        <f ca="1">IF($B2608="Portfolio","Portfolio",IFERROR(INDEX(DATA_ASSET_CLASSIFICATION!$U$8:$U$24,MATCH($C2608,DATA_ASSET_CLASSIFICATION!$A$8:$A$24,0)),"Review"))</f>
        <v>Refi Watch</v>
      </c>
      <c r="O2608" s="350" t="str">
        <f ca="1">IF($B2608="Portfolio","Portfolio",IFERROR(INDEX(DATA_ASSET_CLASSIFICATION!$AB$8:$AB$13,MATCH($N2608,DATA_ASSET_CLASSIFICATION!$AA$8:$AA$13,0)),"Review"))</f>
        <v>Bucket 2 · Legacy</v>
      </c>
      <c r="P2608" s="350" t="str">
        <f>IF($B2608="Portfolio","Portfolio",IFERROR(INDEX(DATA_ASSET_CLASSIFICATION!$C$8:$C$24,MATCH($C2608,DATA_ASSET_CLASSIFICATION!$A$8:$A$24,0)),"Review"))</f>
        <v>Yes</v>
      </c>
      <c r="Q2608" s="350" t="str">
        <f t="shared" ca="1" si="81"/>
        <v>OK</v>
      </c>
    </row>
    <row r="2609" spans="1:17">
      <c r="A2609" s="366" t="s">
        <v>4565</v>
      </c>
      <c r="B2609" s="366" t="s">
        <v>231</v>
      </c>
      <c r="C2609" s="348" t="str">
        <f>DATA_PROPERTY_MASTER!$A$13</f>
        <v>BLD_MH</v>
      </c>
      <c r="D2609" s="380">
        <f>'00_PORTFOLIO ROLLUP'!E$12</f>
        <v>2025</v>
      </c>
      <c r="E2609" s="366" t="s">
        <v>1683</v>
      </c>
      <c r="F2609" s="366" t="s">
        <v>1697</v>
      </c>
      <c r="G2609" s="348" t="str">
        <f>"'"&amp;$C2609&amp;"'!$E$44:$Y$44"</f>
        <v>'BLD_MH'!$E$44:$Y$44</v>
      </c>
      <c r="H2609" s="381">
        <f ca="1">IF(IFERROR(INDEX(DATA_PROPERTY_MASTER!$E$5:$E$21,MATCH($C2609,DATA_PROPERTY_MASTER!$A$5:$A$21,0))="Yes",FALSE),IFERROR(INDEX(INDIRECT("'"&amp;$C2609&amp;"'!$E$44:$Y$44"),1,MATCH($D2609,INDIRECT("'"&amp;$C2609&amp;"'!$E$12:$Y$12"),0)),0),0)</f>
        <v>2850</v>
      </c>
      <c r="I2609" s="366" t="s">
        <v>1690</v>
      </c>
      <c r="J2609" s="348" t="str">
        <f t="shared" ca="1" si="80"/>
        <v>OK</v>
      </c>
      <c r="K2609" s="366" t="s">
        <v>1699</v>
      </c>
      <c r="L2609" s="366" t="s">
        <v>2240</v>
      </c>
      <c r="M2609" s="350" t="str">
        <f>IF($B2609="Portfolio","Portfolio",IFERROR(INDEX(DATA_ASSET_CLASSIFICATION!$B$8:$B$24,MATCH($C2609,DATA_ASSET_CLASSIFICATION!$A$8:$A$24,0)),"Review"))</f>
        <v>Margaret Heights</v>
      </c>
      <c r="N2609" s="350" t="str">
        <f ca="1">IF($B2609="Portfolio","Portfolio",IFERROR(INDEX(DATA_ASSET_CLASSIFICATION!$U$8:$U$24,MATCH($C2609,DATA_ASSET_CLASSIFICATION!$A$8:$A$24,0)),"Review"))</f>
        <v>Refi Watch</v>
      </c>
      <c r="O2609" s="350" t="str">
        <f ca="1">IF($B2609="Portfolio","Portfolio",IFERROR(INDEX(DATA_ASSET_CLASSIFICATION!$AB$8:$AB$13,MATCH($N2609,DATA_ASSET_CLASSIFICATION!$AA$8:$AA$13,0)),"Review"))</f>
        <v>Bucket 2 · Legacy</v>
      </c>
      <c r="P2609" s="350" t="str">
        <f>IF($B2609="Portfolio","Portfolio",IFERROR(INDEX(DATA_ASSET_CLASSIFICATION!$C$8:$C$24,MATCH($C2609,DATA_ASSET_CLASSIFICATION!$A$8:$A$24,0)),"Review"))</f>
        <v>Yes</v>
      </c>
      <c r="Q2609" s="350" t="str">
        <f t="shared" ca="1" si="81"/>
        <v>OK</v>
      </c>
    </row>
    <row r="2610" spans="1:17">
      <c r="A2610" s="366" t="s">
        <v>4566</v>
      </c>
      <c r="B2610" s="366" t="s">
        <v>231</v>
      </c>
      <c r="C2610" s="348" t="str">
        <f>DATA_PROPERTY_MASTER!$A$13</f>
        <v>BLD_MH</v>
      </c>
      <c r="D2610" s="380">
        <f>'00_PORTFOLIO ROLLUP'!E$12</f>
        <v>2025</v>
      </c>
      <c r="E2610" s="366" t="s">
        <v>1683</v>
      </c>
      <c r="F2610" s="366" t="s">
        <v>21</v>
      </c>
      <c r="G2610" s="348" t="str">
        <f>"'"&amp;$C2610&amp;"'!$E$45:$Y$45"</f>
        <v>'BLD_MH'!$E$45:$Y$45</v>
      </c>
      <c r="H2610" s="381">
        <f ca="1">IF(IFERROR(INDEX(DATA_PROPERTY_MASTER!$E$5:$E$21,MATCH($C2610,DATA_PROPERTY_MASTER!$A$5:$A$21,0))="Yes",FALSE),IFERROR(INDEX(INDIRECT("'"&amp;$C2610&amp;"'!$E$45:$Y$45"),1,MATCH($D2610,INDIRECT("'"&amp;$C2610&amp;"'!$E$12:$Y$12"),0)),0),0)</f>
        <v>143471.51200000005</v>
      </c>
      <c r="I2610" s="366" t="s">
        <v>1685</v>
      </c>
      <c r="J2610" s="348" t="str">
        <f t="shared" ca="1" si="80"/>
        <v>OK</v>
      </c>
      <c r="K2610" s="366" t="s">
        <v>1694</v>
      </c>
      <c r="L2610" s="366" t="s">
        <v>2242</v>
      </c>
      <c r="M2610" s="350" t="str">
        <f>IF($B2610="Portfolio","Portfolio",IFERROR(INDEX(DATA_ASSET_CLASSIFICATION!$B$8:$B$24,MATCH($C2610,DATA_ASSET_CLASSIFICATION!$A$8:$A$24,0)),"Review"))</f>
        <v>Margaret Heights</v>
      </c>
      <c r="N2610" s="350" t="str">
        <f ca="1">IF($B2610="Portfolio","Portfolio",IFERROR(INDEX(DATA_ASSET_CLASSIFICATION!$U$8:$U$24,MATCH($C2610,DATA_ASSET_CLASSIFICATION!$A$8:$A$24,0)),"Review"))</f>
        <v>Refi Watch</v>
      </c>
      <c r="O2610" s="350" t="str">
        <f ca="1">IF($B2610="Portfolio","Portfolio",IFERROR(INDEX(DATA_ASSET_CLASSIFICATION!$AB$8:$AB$13,MATCH($N2610,DATA_ASSET_CLASSIFICATION!$AA$8:$AA$13,0)),"Review"))</f>
        <v>Bucket 2 · Legacy</v>
      </c>
      <c r="P2610" s="350" t="str">
        <f>IF($B2610="Portfolio","Portfolio",IFERROR(INDEX(DATA_ASSET_CLASSIFICATION!$C$8:$C$24,MATCH($C2610,DATA_ASSET_CLASSIFICATION!$A$8:$A$24,0)),"Review"))</f>
        <v>Yes</v>
      </c>
      <c r="Q2610" s="350" t="str">
        <f t="shared" ca="1" si="81"/>
        <v>OK</v>
      </c>
    </row>
    <row r="2611" spans="1:17">
      <c r="A2611" s="366" t="s">
        <v>4567</v>
      </c>
      <c r="B2611" s="366" t="s">
        <v>231</v>
      </c>
      <c r="C2611" s="348" t="str">
        <f>DATA_PROPERTY_MASTER!$A$13</f>
        <v>BLD_MH</v>
      </c>
      <c r="D2611" s="380">
        <f>'00_PORTFOLIO ROLLUP'!E$12</f>
        <v>2025</v>
      </c>
      <c r="E2611" s="366" t="s">
        <v>23</v>
      </c>
      <c r="F2611" s="366" t="s">
        <v>23</v>
      </c>
      <c r="G2611" s="348" t="str">
        <f>"'"&amp;$C2611&amp;"'!$E$48:$Y$48"</f>
        <v>'BLD_MH'!$E$48:$Y$48</v>
      </c>
      <c r="H2611" s="381">
        <f ca="1">IF(IFERROR(INDEX(DATA_PROPERTY_MASTER!$E$5:$E$21,MATCH($C2611,DATA_PROPERTY_MASTER!$A$5:$A$21,0))="Yes",FALSE),IFERROR(INDEX(INDIRECT("'"&amp;$C2611&amp;"'!$E$48:$Y$48"),1,MATCH($D2611,INDIRECT("'"&amp;$C2611&amp;"'!$E$12:$Y$12"),0)),0),0)</f>
        <v>125540.52</v>
      </c>
      <c r="I2611" s="366" t="s">
        <v>1690</v>
      </c>
      <c r="J2611" s="348" t="str">
        <f t="shared" ca="1" si="80"/>
        <v>OK</v>
      </c>
      <c r="K2611" s="366" t="s">
        <v>1706</v>
      </c>
      <c r="L2611" s="366" t="s">
        <v>2244</v>
      </c>
      <c r="M2611" s="350" t="str">
        <f>IF($B2611="Portfolio","Portfolio",IFERROR(INDEX(DATA_ASSET_CLASSIFICATION!$B$8:$B$24,MATCH($C2611,DATA_ASSET_CLASSIFICATION!$A$8:$A$24,0)),"Review"))</f>
        <v>Margaret Heights</v>
      </c>
      <c r="N2611" s="350" t="str">
        <f ca="1">IF($B2611="Portfolio","Portfolio",IFERROR(INDEX(DATA_ASSET_CLASSIFICATION!$U$8:$U$24,MATCH($C2611,DATA_ASSET_CLASSIFICATION!$A$8:$A$24,0)),"Review"))</f>
        <v>Refi Watch</v>
      </c>
      <c r="O2611" s="350" t="str">
        <f ca="1">IF($B2611="Portfolio","Portfolio",IFERROR(INDEX(DATA_ASSET_CLASSIFICATION!$AB$8:$AB$13,MATCH($N2611,DATA_ASSET_CLASSIFICATION!$AA$8:$AA$13,0)),"Review"))</f>
        <v>Bucket 2 · Legacy</v>
      </c>
      <c r="P2611" s="350" t="str">
        <f>IF($B2611="Portfolio","Portfolio",IFERROR(INDEX(DATA_ASSET_CLASSIFICATION!$C$8:$C$24,MATCH($C2611,DATA_ASSET_CLASSIFICATION!$A$8:$A$24,0)),"Review"))</f>
        <v>Yes</v>
      </c>
      <c r="Q2611" s="350" t="str">
        <f t="shared" ca="1" si="81"/>
        <v>OK</v>
      </c>
    </row>
    <row r="2612" spans="1:17">
      <c r="A2612" s="366" t="s">
        <v>4568</v>
      </c>
      <c r="B2612" s="366" t="s">
        <v>231</v>
      </c>
      <c r="C2612" s="348" t="str">
        <f>DATA_PROPERTY_MASTER!$A$13</f>
        <v>BLD_MH</v>
      </c>
      <c r="D2612" s="380">
        <f>'00_PORTFOLIO ROLLUP'!E$12</f>
        <v>2025</v>
      </c>
      <c r="E2612" s="366" t="s">
        <v>1683</v>
      </c>
      <c r="F2612" s="366" t="s">
        <v>25</v>
      </c>
      <c r="G2612" s="348" t="str">
        <f>"'"&amp;$C2612&amp;"'!$E$52:$Y$52"</f>
        <v>'BLD_MH'!$E$52:$Y$52</v>
      </c>
      <c r="H2612" s="381">
        <f ca="1">IF(IFERROR(INDEX(DATA_PROPERTY_MASTER!$E$5:$E$21,MATCH($C2612,DATA_PROPERTY_MASTER!$A$5:$A$21,0))="Yes",FALSE),IFERROR(INDEX(INDIRECT("'"&amp;$C2612&amp;"'!$E$52:$Y$52"),1,MATCH($D2612,INDIRECT("'"&amp;$C2612&amp;"'!$E$12:$Y$12"),0)),0),0)</f>
        <v>20780.992000000042</v>
      </c>
      <c r="I2612" s="366" t="s">
        <v>1685</v>
      </c>
      <c r="J2612" s="348" t="str">
        <f t="shared" ca="1" si="80"/>
        <v>OK</v>
      </c>
      <c r="K2612" s="366" t="s">
        <v>1710</v>
      </c>
      <c r="L2612" s="366" t="s">
        <v>2246</v>
      </c>
      <c r="M2612" s="350" t="str">
        <f>IF($B2612="Portfolio","Portfolio",IFERROR(INDEX(DATA_ASSET_CLASSIFICATION!$B$8:$B$24,MATCH($C2612,DATA_ASSET_CLASSIFICATION!$A$8:$A$24,0)),"Review"))</f>
        <v>Margaret Heights</v>
      </c>
      <c r="N2612" s="350" t="str">
        <f ca="1">IF($B2612="Portfolio","Portfolio",IFERROR(INDEX(DATA_ASSET_CLASSIFICATION!$U$8:$U$24,MATCH($C2612,DATA_ASSET_CLASSIFICATION!$A$8:$A$24,0)),"Review"))</f>
        <v>Refi Watch</v>
      </c>
      <c r="O2612" s="350" t="str">
        <f ca="1">IF($B2612="Portfolio","Portfolio",IFERROR(INDEX(DATA_ASSET_CLASSIFICATION!$AB$8:$AB$13,MATCH($N2612,DATA_ASSET_CLASSIFICATION!$AA$8:$AA$13,0)),"Review"))</f>
        <v>Bucket 2 · Legacy</v>
      </c>
      <c r="P2612" s="350" t="str">
        <f>IF($B2612="Portfolio","Portfolio",IFERROR(INDEX(DATA_ASSET_CLASSIFICATION!$C$8:$C$24,MATCH($C2612,DATA_ASSET_CLASSIFICATION!$A$8:$A$24,0)),"Review"))</f>
        <v>Yes</v>
      </c>
      <c r="Q2612" s="350" t="str">
        <f t="shared" ca="1" si="81"/>
        <v>OK</v>
      </c>
    </row>
    <row r="2613" spans="1:17">
      <c r="A2613" s="366" t="s">
        <v>4569</v>
      </c>
      <c r="B2613" s="366" t="s">
        <v>231</v>
      </c>
      <c r="C2613" s="348" t="str">
        <f>DATA_PROPERTY_MASTER!$A$13</f>
        <v>BLD_MH</v>
      </c>
      <c r="D2613" s="380">
        <f>'00_PORTFOLIO ROLLUP'!E$12</f>
        <v>2025</v>
      </c>
      <c r="E2613" s="366" t="s">
        <v>1683</v>
      </c>
      <c r="F2613" s="366" t="s">
        <v>27</v>
      </c>
      <c r="G2613" s="348" t="str">
        <f>"'"&amp;$C2613&amp;"'!$E$54:$Y$54"</f>
        <v>'BLD_MH'!$E$54:$Y$54</v>
      </c>
      <c r="H2613" s="381">
        <f ca="1">IF(IFERROR(INDEX(DATA_PROPERTY_MASTER!$E$5:$E$21,MATCH($C2613,DATA_PROPERTY_MASTER!$A$5:$A$21,0))="Yes",FALSE),IFERROR(INDEX(INDIRECT("'"&amp;$C2613&amp;"'!$E$54:$Y$54"),1,MATCH($D2613,INDIRECT("'"&amp;$C2613&amp;"'!$E$12:$Y$12"),0)),0),0)</f>
        <v>12468.595200000025</v>
      </c>
      <c r="I2613" s="366" t="s">
        <v>1690</v>
      </c>
      <c r="J2613" s="348" t="str">
        <f t="shared" ca="1" si="80"/>
        <v>OK</v>
      </c>
      <c r="K2613" s="366" t="s">
        <v>1714</v>
      </c>
      <c r="L2613" s="366" t="s">
        <v>2248</v>
      </c>
      <c r="M2613" s="350" t="str">
        <f>IF($B2613="Portfolio","Portfolio",IFERROR(INDEX(DATA_ASSET_CLASSIFICATION!$B$8:$B$24,MATCH($C2613,DATA_ASSET_CLASSIFICATION!$A$8:$A$24,0)),"Review"))</f>
        <v>Margaret Heights</v>
      </c>
      <c r="N2613" s="350" t="str">
        <f ca="1">IF($B2613="Portfolio","Portfolio",IFERROR(INDEX(DATA_ASSET_CLASSIFICATION!$U$8:$U$24,MATCH($C2613,DATA_ASSET_CLASSIFICATION!$A$8:$A$24,0)),"Review"))</f>
        <v>Refi Watch</v>
      </c>
      <c r="O2613" s="350" t="str">
        <f ca="1">IF($B2613="Portfolio","Portfolio",IFERROR(INDEX(DATA_ASSET_CLASSIFICATION!$AB$8:$AB$13,MATCH($N2613,DATA_ASSET_CLASSIFICATION!$AA$8:$AA$13,0)),"Review"))</f>
        <v>Bucket 2 · Legacy</v>
      </c>
      <c r="P2613" s="350" t="str">
        <f>IF($B2613="Portfolio","Portfolio",IFERROR(INDEX(DATA_ASSET_CLASSIFICATION!$C$8:$C$24,MATCH($C2613,DATA_ASSET_CLASSIFICATION!$A$8:$A$24,0)),"Review"))</f>
        <v>Yes</v>
      </c>
      <c r="Q2613" s="350" t="str">
        <f t="shared" ca="1" si="81"/>
        <v>OK</v>
      </c>
    </row>
    <row r="2614" spans="1:17">
      <c r="A2614" s="366" t="s">
        <v>4570</v>
      </c>
      <c r="B2614" s="366" t="s">
        <v>231</v>
      </c>
      <c r="C2614" s="348" t="str">
        <f>DATA_PROPERTY_MASTER!$A$13</f>
        <v>BLD_MH</v>
      </c>
      <c r="D2614" s="380">
        <f>'00_PORTFOLIO ROLLUP'!E$12</f>
        <v>2025</v>
      </c>
      <c r="E2614" s="366" t="s">
        <v>1683</v>
      </c>
      <c r="F2614" s="366" t="s">
        <v>29</v>
      </c>
      <c r="G2614" s="348" t="str">
        <f>"'"&amp;$C2614&amp;"'!$E$56:$Y$56"</f>
        <v>'BLD_MH'!$E$56:$Y$56</v>
      </c>
      <c r="H2614" s="381">
        <f ca="1">IF(IFERROR(INDEX(DATA_PROPERTY_MASTER!$E$5:$E$21,MATCH($C2614,DATA_PROPERTY_MASTER!$A$5:$A$21,0))="Yes",FALSE),IFERROR(INDEX(INDIRECT("'"&amp;$C2614&amp;"'!$E$56:$Y$56"),1,MATCH($D2614,INDIRECT("'"&amp;$C2614&amp;"'!$E$12:$Y$12"),0)),0),0)</f>
        <v>8312.3968000000168</v>
      </c>
      <c r="I2614" s="366" t="s">
        <v>1685</v>
      </c>
      <c r="J2614" s="348" t="str">
        <f t="shared" ca="1" si="80"/>
        <v>OK</v>
      </c>
      <c r="K2614" s="366" t="s">
        <v>1718</v>
      </c>
      <c r="L2614" s="366" t="s">
        <v>2250</v>
      </c>
      <c r="M2614" s="350" t="str">
        <f>IF($B2614="Portfolio","Portfolio",IFERROR(INDEX(DATA_ASSET_CLASSIFICATION!$B$8:$B$24,MATCH($C2614,DATA_ASSET_CLASSIFICATION!$A$8:$A$24,0)),"Review"))</f>
        <v>Margaret Heights</v>
      </c>
      <c r="N2614" s="350" t="str">
        <f ca="1">IF($B2614="Portfolio","Portfolio",IFERROR(INDEX(DATA_ASSET_CLASSIFICATION!$U$8:$U$24,MATCH($C2614,DATA_ASSET_CLASSIFICATION!$A$8:$A$24,0)),"Review"))</f>
        <v>Refi Watch</v>
      </c>
      <c r="O2614" s="350" t="str">
        <f ca="1">IF($B2614="Portfolio","Portfolio",IFERROR(INDEX(DATA_ASSET_CLASSIFICATION!$AB$8:$AB$13,MATCH($N2614,DATA_ASSET_CLASSIFICATION!$AA$8:$AA$13,0)),"Review"))</f>
        <v>Bucket 2 · Legacy</v>
      </c>
      <c r="P2614" s="350" t="str">
        <f>IF($B2614="Portfolio","Portfolio",IFERROR(INDEX(DATA_ASSET_CLASSIFICATION!$C$8:$C$24,MATCH($C2614,DATA_ASSET_CLASSIFICATION!$A$8:$A$24,0)),"Review"))</f>
        <v>Yes</v>
      </c>
      <c r="Q2614" s="350" t="str">
        <f t="shared" ca="1" si="81"/>
        <v>OK</v>
      </c>
    </row>
    <row r="2615" spans="1:17">
      <c r="A2615" s="366" t="s">
        <v>4571</v>
      </c>
      <c r="B2615" s="366" t="s">
        <v>231</v>
      </c>
      <c r="C2615" s="348" t="str">
        <f>DATA_PROPERTY_MASTER!$A$13</f>
        <v>BLD_MH</v>
      </c>
      <c r="D2615" s="380">
        <f>'00_PORTFOLIO ROLLUP'!E$12</f>
        <v>2025</v>
      </c>
      <c r="E2615" s="366" t="s">
        <v>1721</v>
      </c>
      <c r="F2615" s="366" t="s">
        <v>31</v>
      </c>
      <c r="G2615" s="348" t="str">
        <f>"'"&amp;$C2615&amp;"'!$E$61:$Y$61"</f>
        <v>'BLD_MH'!$E$61:$Y$61</v>
      </c>
      <c r="H2615" s="381">
        <f ca="1">IF(IFERROR(INDEX(DATA_PROPERTY_MASTER!$E$5:$E$21,MATCH($C2615,DATA_PROPERTY_MASTER!$A$5:$A$21,0))="Yes",FALSE),IFERROR(INDEX(INDIRECT("'"&amp;$C2615&amp;"'!$E$61:$Y$61"),1,MATCH($D2615,INDIRECT("'"&amp;$C2615&amp;"'!$E$12:$Y$12"),0)),0),0)</f>
        <v>0</v>
      </c>
      <c r="I2615" s="366" t="s">
        <v>1690</v>
      </c>
      <c r="J2615" s="348" t="str">
        <f t="shared" ca="1" si="80"/>
        <v>OK</v>
      </c>
      <c r="K2615" s="366" t="s">
        <v>1723</v>
      </c>
      <c r="L2615" s="366" t="s">
        <v>2252</v>
      </c>
      <c r="M2615" s="350" t="str">
        <f>IF($B2615="Portfolio","Portfolio",IFERROR(INDEX(DATA_ASSET_CLASSIFICATION!$B$8:$B$24,MATCH($C2615,DATA_ASSET_CLASSIFICATION!$A$8:$A$24,0)),"Review"))</f>
        <v>Margaret Heights</v>
      </c>
      <c r="N2615" s="350" t="str">
        <f ca="1">IF($B2615="Portfolio","Portfolio",IFERROR(INDEX(DATA_ASSET_CLASSIFICATION!$U$8:$U$24,MATCH($C2615,DATA_ASSET_CLASSIFICATION!$A$8:$A$24,0)),"Review"))</f>
        <v>Refi Watch</v>
      </c>
      <c r="O2615" s="350" t="str">
        <f ca="1">IF($B2615="Portfolio","Portfolio",IFERROR(INDEX(DATA_ASSET_CLASSIFICATION!$AB$8:$AB$13,MATCH($N2615,DATA_ASSET_CLASSIFICATION!$AA$8:$AA$13,0)),"Review"))</f>
        <v>Bucket 2 · Legacy</v>
      </c>
      <c r="P2615" s="350" t="str">
        <f>IF($B2615="Portfolio","Portfolio",IFERROR(INDEX(DATA_ASSET_CLASSIFICATION!$C$8:$C$24,MATCH($C2615,DATA_ASSET_CLASSIFICATION!$A$8:$A$24,0)),"Review"))</f>
        <v>Yes</v>
      </c>
      <c r="Q2615" s="350" t="str">
        <f t="shared" ca="1" si="81"/>
        <v>OK</v>
      </c>
    </row>
    <row r="2616" spans="1:17">
      <c r="A2616" s="366" t="s">
        <v>4572</v>
      </c>
      <c r="B2616" s="366" t="s">
        <v>231</v>
      </c>
      <c r="C2616" s="348" t="str">
        <f>DATA_PROPERTY_MASTER!$A$13</f>
        <v>BLD_MH</v>
      </c>
      <c r="D2616" s="380">
        <f>'00_PORTFOLIO ROLLUP'!E$12</f>
        <v>2025</v>
      </c>
      <c r="E2616" s="366" t="s">
        <v>1721</v>
      </c>
      <c r="F2616" s="366" t="s">
        <v>33</v>
      </c>
      <c r="G2616" s="348" t="str">
        <f>"'"&amp;$C2616&amp;"'!$E$62:$Y$62"</f>
        <v>'BLD_MH'!$E$62:$Y$62</v>
      </c>
      <c r="H2616" s="381">
        <f ca="1">IF(IFERROR(INDEX(DATA_PROPERTY_MASTER!$E$5:$E$21,MATCH($C2616,DATA_PROPERTY_MASTER!$A$5:$A$21,0))="Yes",FALSE),IFERROR(INDEX(INDIRECT("'"&amp;$C2616&amp;"'!$E$62:$Y$62"),1,MATCH($D2616,INDIRECT("'"&amp;$C2616&amp;"'!$E$12:$Y$12"),0)),0),0)</f>
        <v>0</v>
      </c>
      <c r="I2616" s="366" t="s">
        <v>1685</v>
      </c>
      <c r="J2616" s="348" t="str">
        <f t="shared" ca="1" si="80"/>
        <v>OK</v>
      </c>
      <c r="K2616" s="366" t="s">
        <v>1727</v>
      </c>
      <c r="L2616" s="366" t="s">
        <v>2254</v>
      </c>
      <c r="M2616" s="350" t="str">
        <f>IF($B2616="Portfolio","Portfolio",IFERROR(INDEX(DATA_ASSET_CLASSIFICATION!$B$8:$B$24,MATCH($C2616,DATA_ASSET_CLASSIFICATION!$A$8:$A$24,0)),"Review"))</f>
        <v>Margaret Heights</v>
      </c>
      <c r="N2616" s="350" t="str">
        <f ca="1">IF($B2616="Portfolio","Portfolio",IFERROR(INDEX(DATA_ASSET_CLASSIFICATION!$U$8:$U$24,MATCH($C2616,DATA_ASSET_CLASSIFICATION!$A$8:$A$24,0)),"Review"))</f>
        <v>Refi Watch</v>
      </c>
      <c r="O2616" s="350" t="str">
        <f ca="1">IF($B2616="Portfolio","Portfolio",IFERROR(INDEX(DATA_ASSET_CLASSIFICATION!$AB$8:$AB$13,MATCH($N2616,DATA_ASSET_CLASSIFICATION!$AA$8:$AA$13,0)),"Review"))</f>
        <v>Bucket 2 · Legacy</v>
      </c>
      <c r="P2616" s="350" t="str">
        <f>IF($B2616="Portfolio","Portfolio",IFERROR(INDEX(DATA_ASSET_CLASSIFICATION!$C$8:$C$24,MATCH($C2616,DATA_ASSET_CLASSIFICATION!$A$8:$A$24,0)),"Review"))</f>
        <v>Yes</v>
      </c>
      <c r="Q2616" s="350" t="str">
        <f t="shared" ca="1" si="81"/>
        <v>OK</v>
      </c>
    </row>
    <row r="2617" spans="1:17">
      <c r="A2617" s="366" t="s">
        <v>4573</v>
      </c>
      <c r="B2617" s="366" t="s">
        <v>231</v>
      </c>
      <c r="C2617" s="348" t="str">
        <f>DATA_PROPERTY_MASTER!$A$13</f>
        <v>BLD_MH</v>
      </c>
      <c r="D2617" s="380">
        <f>'00_PORTFOLIO ROLLUP'!E$12</f>
        <v>2025</v>
      </c>
      <c r="E2617" s="366" t="s">
        <v>1721</v>
      </c>
      <c r="F2617" s="366" t="s">
        <v>35</v>
      </c>
      <c r="G2617" s="348" t="str">
        <f>"'"&amp;$C2617&amp;"'!$E$63:$Y$63"</f>
        <v>'BLD_MH'!$E$63:$Y$63</v>
      </c>
      <c r="H2617" s="381">
        <f ca="1">IF(IFERROR(INDEX(DATA_PROPERTY_MASTER!$E$5:$E$21,MATCH($C2617,DATA_PROPERTY_MASTER!$A$5:$A$21,0))="Yes",FALSE),IFERROR(INDEX(INDIRECT("'"&amp;$C2617&amp;"'!$E$63:$Y$63"),1,MATCH($D2617,INDIRECT("'"&amp;$C2617&amp;"'!$E$12:$Y$12"),0)),0),0)</f>
        <v>0</v>
      </c>
      <c r="I2617" s="366" t="s">
        <v>1731</v>
      </c>
      <c r="J2617" s="348" t="str">
        <f t="shared" ca="1" si="80"/>
        <v>OK</v>
      </c>
      <c r="K2617" s="366" t="s">
        <v>1732</v>
      </c>
      <c r="L2617" s="366" t="s">
        <v>2256</v>
      </c>
      <c r="M2617" s="350" t="str">
        <f>IF($B2617="Portfolio","Portfolio",IFERROR(INDEX(DATA_ASSET_CLASSIFICATION!$B$8:$B$24,MATCH($C2617,DATA_ASSET_CLASSIFICATION!$A$8:$A$24,0)),"Review"))</f>
        <v>Margaret Heights</v>
      </c>
      <c r="N2617" s="350" t="str">
        <f ca="1">IF($B2617="Portfolio","Portfolio",IFERROR(INDEX(DATA_ASSET_CLASSIFICATION!$U$8:$U$24,MATCH($C2617,DATA_ASSET_CLASSIFICATION!$A$8:$A$24,0)),"Review"))</f>
        <v>Refi Watch</v>
      </c>
      <c r="O2617" s="350" t="str">
        <f ca="1">IF($B2617="Portfolio","Portfolio",IFERROR(INDEX(DATA_ASSET_CLASSIFICATION!$AB$8:$AB$13,MATCH($N2617,DATA_ASSET_CLASSIFICATION!$AA$8:$AA$13,0)),"Review"))</f>
        <v>Bucket 2 · Legacy</v>
      </c>
      <c r="P2617" s="350" t="str">
        <f>IF($B2617="Portfolio","Portfolio",IFERROR(INDEX(DATA_ASSET_CLASSIFICATION!$C$8:$C$24,MATCH($C2617,DATA_ASSET_CLASSIFICATION!$A$8:$A$24,0)),"Review"))</f>
        <v>Yes</v>
      </c>
      <c r="Q2617" s="350" t="str">
        <f t="shared" ca="1" si="81"/>
        <v>OK</v>
      </c>
    </row>
    <row r="2618" spans="1:17">
      <c r="A2618" s="366" t="s">
        <v>4574</v>
      </c>
      <c r="B2618" s="366" t="s">
        <v>231</v>
      </c>
      <c r="C2618" s="348" t="str">
        <f>DATA_PROPERTY_MASTER!$A$13</f>
        <v>BLD_MH</v>
      </c>
      <c r="D2618" s="380">
        <f>'00_PORTFOLIO ROLLUP'!E$12</f>
        <v>2025</v>
      </c>
      <c r="E2618" s="366" t="s">
        <v>1721</v>
      </c>
      <c r="F2618" s="366" t="s">
        <v>37</v>
      </c>
      <c r="G2618" s="348" t="str">
        <f>"'"&amp;$C2618&amp;"'!$E$63:$Y$63"</f>
        <v>'BLD_MH'!$E$63:$Y$63</v>
      </c>
      <c r="H2618" s="381">
        <f ca="1">IF(IFERROR(INDEX(DATA_PROPERTY_MASTER!$E$5:$E$21,MATCH($C2618,DATA_PROPERTY_MASTER!$A$5:$A$21,0))="Yes",FALSE),MAX(IFERROR(INDEX(INDIRECT("'"&amp;$C2618&amp;"'!$E$63:$Y$63"),1,MATCH($D2618,INDIRECT("'"&amp;$C2618&amp;"'!$E$12:$Y$12"),0)),0),0),0)</f>
        <v>0</v>
      </c>
      <c r="I2618" s="366" t="s">
        <v>1685</v>
      </c>
      <c r="J2618" s="348" t="str">
        <f t="shared" ca="1" si="80"/>
        <v>OK</v>
      </c>
      <c r="K2618" s="366" t="s">
        <v>1735</v>
      </c>
      <c r="L2618" s="366" t="s">
        <v>2258</v>
      </c>
      <c r="M2618" s="350" t="str">
        <f>IF($B2618="Portfolio","Portfolio",IFERROR(INDEX(DATA_ASSET_CLASSIFICATION!$B$8:$B$24,MATCH($C2618,DATA_ASSET_CLASSIFICATION!$A$8:$A$24,0)),"Review"))</f>
        <v>Margaret Heights</v>
      </c>
      <c r="N2618" s="350" t="str">
        <f ca="1">IF($B2618="Portfolio","Portfolio",IFERROR(INDEX(DATA_ASSET_CLASSIFICATION!$U$8:$U$24,MATCH($C2618,DATA_ASSET_CLASSIFICATION!$A$8:$A$24,0)),"Review"))</f>
        <v>Refi Watch</v>
      </c>
      <c r="O2618" s="350" t="str">
        <f ca="1">IF($B2618="Portfolio","Portfolio",IFERROR(INDEX(DATA_ASSET_CLASSIFICATION!$AB$8:$AB$13,MATCH($N2618,DATA_ASSET_CLASSIFICATION!$AA$8:$AA$13,0)),"Review"))</f>
        <v>Bucket 2 · Legacy</v>
      </c>
      <c r="P2618" s="350" t="str">
        <f>IF($B2618="Portfolio","Portfolio",IFERROR(INDEX(DATA_ASSET_CLASSIFICATION!$C$8:$C$24,MATCH($C2618,DATA_ASSET_CLASSIFICATION!$A$8:$A$24,0)),"Review"))</f>
        <v>Yes</v>
      </c>
      <c r="Q2618" s="350" t="str">
        <f t="shared" ca="1" si="81"/>
        <v>OK</v>
      </c>
    </row>
    <row r="2619" spans="1:17">
      <c r="A2619" s="366" t="s">
        <v>4575</v>
      </c>
      <c r="B2619" s="366" t="s">
        <v>231</v>
      </c>
      <c r="C2619" s="348" t="str">
        <f>DATA_PROPERTY_MASTER!$A$13</f>
        <v>BLD_MH</v>
      </c>
      <c r="D2619" s="380">
        <f>'00_PORTFOLIO ROLLUP'!E$12</f>
        <v>2025</v>
      </c>
      <c r="E2619" s="366" t="s">
        <v>1721</v>
      </c>
      <c r="F2619" s="366" t="s">
        <v>39</v>
      </c>
      <c r="G2619" s="348" t="str">
        <f>"'"&amp;$C2619&amp;"'!$E$63:$Y$63"</f>
        <v>'BLD_MH'!$E$63:$Y$63</v>
      </c>
      <c r="H2619" s="381">
        <f ca="1">IF(IFERROR(INDEX(DATA_PROPERTY_MASTER!$E$5:$E$21,MATCH($C2619,DATA_PROPERTY_MASTER!$A$5:$A$21,0))="Yes",FALSE),MAX(-IFERROR(INDEX(INDIRECT("'"&amp;$C2619&amp;"'!$E$63:$Y$63"),1,MATCH($D2619,INDIRECT("'"&amp;$C2619&amp;"'!$E$12:$Y$12"),0)),0),0),0)</f>
        <v>0</v>
      </c>
      <c r="I2619" s="366" t="s">
        <v>1690</v>
      </c>
      <c r="J2619" s="348" t="str">
        <f t="shared" ca="1" si="80"/>
        <v>OK</v>
      </c>
      <c r="K2619" s="366" t="s">
        <v>1738</v>
      </c>
      <c r="L2619" s="366" t="s">
        <v>2260</v>
      </c>
      <c r="M2619" s="350" t="str">
        <f>IF($B2619="Portfolio","Portfolio",IFERROR(INDEX(DATA_ASSET_CLASSIFICATION!$B$8:$B$24,MATCH($C2619,DATA_ASSET_CLASSIFICATION!$A$8:$A$24,0)),"Review"))</f>
        <v>Margaret Heights</v>
      </c>
      <c r="N2619" s="350" t="str">
        <f ca="1">IF($B2619="Portfolio","Portfolio",IFERROR(INDEX(DATA_ASSET_CLASSIFICATION!$U$8:$U$24,MATCH($C2619,DATA_ASSET_CLASSIFICATION!$A$8:$A$24,0)),"Review"))</f>
        <v>Refi Watch</v>
      </c>
      <c r="O2619" s="350" t="str">
        <f ca="1">IF($B2619="Portfolio","Portfolio",IFERROR(INDEX(DATA_ASSET_CLASSIFICATION!$AB$8:$AB$13,MATCH($N2619,DATA_ASSET_CLASSIFICATION!$AA$8:$AA$13,0)),"Review"))</f>
        <v>Bucket 2 · Legacy</v>
      </c>
      <c r="P2619" s="350" t="str">
        <f>IF($B2619="Portfolio","Portfolio",IFERROR(INDEX(DATA_ASSET_CLASSIFICATION!$C$8:$C$24,MATCH($C2619,DATA_ASSET_CLASSIFICATION!$A$8:$A$24,0)),"Review"))</f>
        <v>Yes</v>
      </c>
      <c r="Q2619" s="350" t="str">
        <f t="shared" ca="1" si="81"/>
        <v>OK</v>
      </c>
    </row>
    <row r="2620" spans="1:17">
      <c r="A2620" s="366" t="s">
        <v>4576</v>
      </c>
      <c r="B2620" s="366" t="s">
        <v>231</v>
      </c>
      <c r="C2620" s="348" t="str">
        <f>DATA_PROPERTY_MASTER!$A$13</f>
        <v>BLD_MH</v>
      </c>
      <c r="D2620" s="380">
        <f>'00_PORTFOLIO ROLLUP'!E$12</f>
        <v>2025</v>
      </c>
      <c r="E2620" s="366" t="s">
        <v>1741</v>
      </c>
      <c r="F2620" s="366" t="s">
        <v>41</v>
      </c>
      <c r="G2620" s="348" t="str">
        <f>"'"&amp;$C2620&amp;"'!rows 56 + positive row 63"</f>
        <v>'BLD_MH'!rows 56 + positive row 63</v>
      </c>
      <c r="H2620" s="381">
        <f ca="1">IF(IFERROR(INDEX(DATA_PROPERTY_MASTER!$E$5:$E$21,MATCH($C2620,DATA_PROPERTY_MASTER!$A$5:$A$21,0))="Yes",FALSE),IFERROR(INDEX(INDIRECT("'"&amp;$C2620&amp;"'!$E$56:$Y$56"),1,MATCH($D2620,INDIRECT("'"&amp;$C2620&amp;"'!$E$12:$Y$12"),0)),0)+MAX(IFERROR(INDEX(INDIRECT("'"&amp;$C2620&amp;"'!$E$63:$Y$63"),1,MATCH($D2620,INDIRECT("'"&amp;$C2620&amp;"'!$E$12:$Y$12"),0)),0),0),0)</f>
        <v>8312.3968000000168</v>
      </c>
      <c r="I2620" s="366" t="s">
        <v>1685</v>
      </c>
      <c r="J2620" s="348" t="str">
        <f t="shared" ca="1" si="80"/>
        <v>OK</v>
      </c>
      <c r="K2620" s="366" t="s">
        <v>1742</v>
      </c>
      <c r="L2620" s="366" t="s">
        <v>2262</v>
      </c>
      <c r="M2620" s="350" t="str">
        <f>IF($B2620="Portfolio","Portfolio",IFERROR(INDEX(DATA_ASSET_CLASSIFICATION!$B$8:$B$24,MATCH($C2620,DATA_ASSET_CLASSIFICATION!$A$8:$A$24,0)),"Review"))</f>
        <v>Margaret Heights</v>
      </c>
      <c r="N2620" s="350" t="str">
        <f ca="1">IF($B2620="Portfolio","Portfolio",IFERROR(INDEX(DATA_ASSET_CLASSIFICATION!$U$8:$U$24,MATCH($C2620,DATA_ASSET_CLASSIFICATION!$A$8:$A$24,0)),"Review"))</f>
        <v>Refi Watch</v>
      </c>
      <c r="O2620" s="350" t="str">
        <f ca="1">IF($B2620="Portfolio","Portfolio",IFERROR(INDEX(DATA_ASSET_CLASSIFICATION!$AB$8:$AB$13,MATCH($N2620,DATA_ASSET_CLASSIFICATION!$AA$8:$AA$13,0)),"Review"))</f>
        <v>Bucket 2 · Legacy</v>
      </c>
      <c r="P2620" s="350" t="str">
        <f>IF($B2620="Portfolio","Portfolio",IFERROR(INDEX(DATA_ASSET_CLASSIFICATION!$C$8:$C$24,MATCH($C2620,DATA_ASSET_CLASSIFICATION!$A$8:$A$24,0)),"Review"))</f>
        <v>Yes</v>
      </c>
      <c r="Q2620" s="350" t="str">
        <f t="shared" ca="1" si="81"/>
        <v>OK</v>
      </c>
    </row>
    <row r="2621" spans="1:17">
      <c r="A2621" s="366" t="s">
        <v>4577</v>
      </c>
      <c r="B2621" s="366" t="s">
        <v>231</v>
      </c>
      <c r="C2621" s="348" t="str">
        <f>DATA_PROPERTY_MASTER!$A$13</f>
        <v>BLD_MH</v>
      </c>
      <c r="D2621" s="380">
        <f>'00_PORTFOLIO ROLLUP'!E$12</f>
        <v>2025</v>
      </c>
      <c r="E2621" s="366" t="s">
        <v>1741</v>
      </c>
      <c r="F2621" s="366" t="s">
        <v>43</v>
      </c>
      <c r="G2621" s="348" t="str">
        <f>"'"&amp;$C2621&amp;"'!$E$68:$Y$68"</f>
        <v>'BLD_MH'!$E$68:$Y$68</v>
      </c>
      <c r="H2621" s="381">
        <f ca="1">IF(IFERROR(INDEX(DATA_PROPERTY_MASTER!$E$5:$E$21,MATCH($C2621,DATA_PROPERTY_MASTER!$A$5:$A$21,0))="Yes",FALSE),IFERROR(INDEX(INDIRECT("'"&amp;$C2621&amp;"'!$E$68:$Y$68"),1,MATCH($D2621,INDIRECT("'"&amp;$C2621&amp;"'!$E$12:$Y$12"),0)),0),0)</f>
        <v>8312.3968000000168</v>
      </c>
      <c r="I2621" s="366" t="s">
        <v>1731</v>
      </c>
      <c r="J2621" s="348" t="str">
        <f t="shared" ca="1" si="80"/>
        <v>OK</v>
      </c>
      <c r="K2621" s="366" t="s">
        <v>1746</v>
      </c>
      <c r="L2621" s="366" t="s">
        <v>2264</v>
      </c>
      <c r="M2621" s="350" t="str">
        <f>IF($B2621="Portfolio","Portfolio",IFERROR(INDEX(DATA_ASSET_CLASSIFICATION!$B$8:$B$24,MATCH($C2621,DATA_ASSET_CLASSIFICATION!$A$8:$A$24,0)),"Review"))</f>
        <v>Margaret Heights</v>
      </c>
      <c r="N2621" s="350" t="str">
        <f ca="1">IF($B2621="Portfolio","Portfolio",IFERROR(INDEX(DATA_ASSET_CLASSIFICATION!$U$8:$U$24,MATCH($C2621,DATA_ASSET_CLASSIFICATION!$A$8:$A$24,0)),"Review"))</f>
        <v>Refi Watch</v>
      </c>
      <c r="O2621" s="350" t="str">
        <f ca="1">IF($B2621="Portfolio","Portfolio",IFERROR(INDEX(DATA_ASSET_CLASSIFICATION!$AB$8:$AB$13,MATCH($N2621,DATA_ASSET_CLASSIFICATION!$AA$8:$AA$13,0)),"Review"))</f>
        <v>Bucket 2 · Legacy</v>
      </c>
      <c r="P2621" s="350" t="str">
        <f>IF($B2621="Portfolio","Portfolio",IFERROR(INDEX(DATA_ASSET_CLASSIFICATION!$C$8:$C$24,MATCH($C2621,DATA_ASSET_CLASSIFICATION!$A$8:$A$24,0)),"Review"))</f>
        <v>Yes</v>
      </c>
      <c r="Q2621" s="350" t="str">
        <f t="shared" ca="1" si="81"/>
        <v>OK</v>
      </c>
    </row>
    <row r="2622" spans="1:17">
      <c r="A2622" s="366" t="s">
        <v>4578</v>
      </c>
      <c r="B2622" s="366" t="s">
        <v>231</v>
      </c>
      <c r="C2622" s="348" t="str">
        <f>DATA_PROPERTY_MASTER!$A$13</f>
        <v>BLD_MH</v>
      </c>
      <c r="D2622" s="380">
        <f>'00_PORTFOLIO ROLLUP'!E$12</f>
        <v>2025</v>
      </c>
      <c r="E2622" s="366" t="s">
        <v>1741</v>
      </c>
      <c r="F2622" s="366" t="s">
        <v>1749</v>
      </c>
      <c r="G2622" s="348" t="str">
        <f>"'"&amp;$C2622&amp;"'!rows 56, 63, 68"</f>
        <v>'BLD_MH'!rows 56, 63, 68</v>
      </c>
      <c r="H2622" s="381">
        <f ca="1">IF(IFERROR(INDEX(DATA_PROPERTY_MASTER!$E$5:$E$21,MATCH($C2622,DATA_PROPERTY_MASTER!$A$5:$A$21,0))="Yes",FALSE),(IFERROR(INDEX(INDIRECT("'"&amp;$C2622&amp;"'!$E$56:$Y$56"),1,MATCH($D2622,INDIRECT("'"&amp;$C2622&amp;"'!$E$12:$Y$12"),0)),0)+MAX(IFERROR(INDEX(INDIRECT("'"&amp;$C2622&amp;"'!$E$63:$Y$63"),1,MATCH($D2622,INDIRECT("'"&amp;$C2622&amp;"'!$E$12:$Y$12"),0)),0),0))-(IFERROR(INDEX(INDIRECT("'"&amp;$C2622&amp;"'!$E$68:$Y$68"),1,MATCH($D2622,INDIRECT("'"&amp;$C2622&amp;"'!$E$12:$Y$12"),0)),0)),0)</f>
        <v>0</v>
      </c>
      <c r="I2622" s="366" t="s">
        <v>1750</v>
      </c>
      <c r="J2622" s="348" t="str">
        <f t="shared" ca="1" si="80"/>
        <v>OK</v>
      </c>
      <c r="K2622" s="366" t="s">
        <v>1751</v>
      </c>
      <c r="L2622" s="366" t="s">
        <v>2266</v>
      </c>
      <c r="M2622" s="350" t="str">
        <f>IF($B2622="Portfolio","Portfolio",IFERROR(INDEX(DATA_ASSET_CLASSIFICATION!$B$8:$B$24,MATCH($C2622,DATA_ASSET_CLASSIFICATION!$A$8:$A$24,0)),"Review"))</f>
        <v>Margaret Heights</v>
      </c>
      <c r="N2622" s="350" t="str">
        <f ca="1">IF($B2622="Portfolio","Portfolio",IFERROR(INDEX(DATA_ASSET_CLASSIFICATION!$U$8:$U$24,MATCH($C2622,DATA_ASSET_CLASSIFICATION!$A$8:$A$24,0)),"Review"))</f>
        <v>Refi Watch</v>
      </c>
      <c r="O2622" s="350" t="str">
        <f ca="1">IF($B2622="Portfolio","Portfolio",IFERROR(INDEX(DATA_ASSET_CLASSIFICATION!$AB$8:$AB$13,MATCH($N2622,DATA_ASSET_CLASSIFICATION!$AA$8:$AA$13,0)),"Review"))</f>
        <v>Bucket 2 · Legacy</v>
      </c>
      <c r="P2622" s="350" t="str">
        <f>IF($B2622="Portfolio","Portfolio",IFERROR(INDEX(DATA_ASSET_CLASSIFICATION!$C$8:$C$24,MATCH($C2622,DATA_ASSET_CLASSIFICATION!$A$8:$A$24,0)),"Review"))</f>
        <v>Yes</v>
      </c>
      <c r="Q2622" s="350" t="str">
        <f t="shared" ca="1" si="81"/>
        <v>OK</v>
      </c>
    </row>
    <row r="2623" spans="1:17">
      <c r="A2623" s="366" t="s">
        <v>4579</v>
      </c>
      <c r="B2623" s="366" t="s">
        <v>231</v>
      </c>
      <c r="C2623" s="348" t="str">
        <f>DATA_PROPERTY_MASTER!$A$13</f>
        <v>BLD_MH</v>
      </c>
      <c r="D2623" s="380">
        <f>'00_PORTFOLIO ROLLUP'!F$12</f>
        <v>2026</v>
      </c>
      <c r="E2623" s="366" t="s">
        <v>1683</v>
      </c>
      <c r="F2623" s="366" t="s">
        <v>341</v>
      </c>
      <c r="G2623" s="348" t="str">
        <f>"'"&amp;$C2623&amp;"'!$E$24:$Y$24"</f>
        <v>'BLD_MH'!$E$24:$Y$24</v>
      </c>
      <c r="H2623" s="381">
        <f ca="1">IF(IFERROR(INDEX(DATA_PROPERTY_MASTER!$E$5:$E$21,MATCH($C2623,DATA_PROPERTY_MASTER!$A$5:$A$21,0))="Yes",FALSE),IFERROR(INDEX(INDIRECT("'"&amp;$C2623&amp;"'!$E$24:$Y$24"),1,MATCH($D2623,INDIRECT("'"&amp;$C2623&amp;"'!$E$12:$Y$12"),0)),0),0)</f>
        <v>402627.68448</v>
      </c>
      <c r="I2623" s="366" t="s">
        <v>1685</v>
      </c>
      <c r="J2623" s="348" t="str">
        <f t="shared" ca="1" si="80"/>
        <v>OK</v>
      </c>
      <c r="K2623" s="366" t="s">
        <v>1686</v>
      </c>
      <c r="L2623" s="366" t="s">
        <v>2234</v>
      </c>
      <c r="M2623" s="350" t="str">
        <f>IF($B2623="Portfolio","Portfolio",IFERROR(INDEX(DATA_ASSET_CLASSIFICATION!$B$8:$B$24,MATCH($C2623,DATA_ASSET_CLASSIFICATION!$A$8:$A$24,0)),"Review"))</f>
        <v>Margaret Heights</v>
      </c>
      <c r="N2623" s="350" t="str">
        <f ca="1">IF($B2623="Portfolio","Portfolio",IFERROR(INDEX(DATA_ASSET_CLASSIFICATION!$U$8:$U$24,MATCH($C2623,DATA_ASSET_CLASSIFICATION!$A$8:$A$24,0)),"Review"))</f>
        <v>Refi Watch</v>
      </c>
      <c r="O2623" s="350" t="str">
        <f ca="1">IF($B2623="Portfolio","Portfolio",IFERROR(INDEX(DATA_ASSET_CLASSIFICATION!$AB$8:$AB$13,MATCH($N2623,DATA_ASSET_CLASSIFICATION!$AA$8:$AA$13,0)),"Review"))</f>
        <v>Bucket 2 · Legacy</v>
      </c>
      <c r="P2623" s="350" t="str">
        <f>IF($B2623="Portfolio","Portfolio",IFERROR(INDEX(DATA_ASSET_CLASSIFICATION!$C$8:$C$24,MATCH($C2623,DATA_ASSET_CLASSIFICATION!$A$8:$A$24,0)),"Review"))</f>
        <v>Yes</v>
      </c>
      <c r="Q2623" s="350" t="str">
        <f t="shared" ca="1" si="81"/>
        <v>OK</v>
      </c>
    </row>
    <row r="2624" spans="1:17">
      <c r="A2624" s="366" t="s">
        <v>4580</v>
      </c>
      <c r="B2624" s="366" t="s">
        <v>231</v>
      </c>
      <c r="C2624" s="348" t="str">
        <f>DATA_PROPERTY_MASTER!$A$13</f>
        <v>BLD_MH</v>
      </c>
      <c r="D2624" s="380">
        <f>'00_PORTFOLIO ROLLUP'!F$12</f>
        <v>2026</v>
      </c>
      <c r="E2624" s="366" t="s">
        <v>1683</v>
      </c>
      <c r="F2624" s="366" t="s">
        <v>355</v>
      </c>
      <c r="G2624" s="348" t="str">
        <f>"'"&amp;$C2624&amp;"'!$E$39:$Y$39"</f>
        <v>'BLD_MH'!$E$39:$Y$39</v>
      </c>
      <c r="H2624" s="381">
        <f ca="1">IF(IFERROR(INDEX(DATA_PROPERTY_MASTER!$E$5:$E$21,MATCH($C2624,DATA_PROPERTY_MASTER!$A$5:$A$21,0))="Yes",FALSE),IFERROR(INDEX(INDIRECT("'"&amp;$C2624&amp;"'!$E$39:$Y$39"),1,MATCH($D2624,INDIRECT("'"&amp;$C2624&amp;"'!$E$12:$Y$12"),0)),0),0)</f>
        <v>191647.03999999998</v>
      </c>
      <c r="I2624" s="366" t="s">
        <v>1690</v>
      </c>
      <c r="J2624" s="348" t="str">
        <f t="shared" ca="1" si="80"/>
        <v>OK</v>
      </c>
      <c r="K2624" s="366" t="s">
        <v>1686</v>
      </c>
      <c r="L2624" s="366" t="s">
        <v>2236</v>
      </c>
      <c r="M2624" s="350" t="str">
        <f>IF($B2624="Portfolio","Portfolio",IFERROR(INDEX(DATA_ASSET_CLASSIFICATION!$B$8:$B$24,MATCH($C2624,DATA_ASSET_CLASSIFICATION!$A$8:$A$24,0)),"Review"))</f>
        <v>Margaret Heights</v>
      </c>
      <c r="N2624" s="350" t="str">
        <f ca="1">IF($B2624="Portfolio","Portfolio",IFERROR(INDEX(DATA_ASSET_CLASSIFICATION!$U$8:$U$24,MATCH($C2624,DATA_ASSET_CLASSIFICATION!$A$8:$A$24,0)),"Review"))</f>
        <v>Refi Watch</v>
      </c>
      <c r="O2624" s="350" t="str">
        <f ca="1">IF($B2624="Portfolio","Portfolio",IFERROR(INDEX(DATA_ASSET_CLASSIFICATION!$AB$8:$AB$13,MATCH($N2624,DATA_ASSET_CLASSIFICATION!$AA$8:$AA$13,0)),"Review"))</f>
        <v>Bucket 2 · Legacy</v>
      </c>
      <c r="P2624" s="350" t="str">
        <f>IF($B2624="Portfolio","Portfolio",IFERROR(INDEX(DATA_ASSET_CLASSIFICATION!$C$8:$C$24,MATCH($C2624,DATA_ASSET_CLASSIFICATION!$A$8:$A$24,0)),"Review"))</f>
        <v>Yes</v>
      </c>
      <c r="Q2624" s="350" t="str">
        <f t="shared" ca="1" si="81"/>
        <v>OK</v>
      </c>
    </row>
    <row r="2625" spans="1:17">
      <c r="A2625" s="366" t="s">
        <v>4581</v>
      </c>
      <c r="B2625" s="366" t="s">
        <v>231</v>
      </c>
      <c r="C2625" s="348" t="str">
        <f>DATA_PROPERTY_MASTER!$A$13</f>
        <v>BLD_MH</v>
      </c>
      <c r="D2625" s="380">
        <f>'00_PORTFOLIO ROLLUP'!F$12</f>
        <v>2026</v>
      </c>
      <c r="E2625" s="366" t="s">
        <v>1683</v>
      </c>
      <c r="F2625" s="366" t="s">
        <v>19</v>
      </c>
      <c r="G2625" s="348" t="str">
        <f>"'"&amp;$C2625&amp;"'!$E$41:$Y$41"</f>
        <v>'BLD_MH'!$E$41:$Y$41</v>
      </c>
      <c r="H2625" s="381">
        <f ca="1">IF(IFERROR(INDEX(DATA_PROPERTY_MASTER!$E$5:$E$21,MATCH($C2625,DATA_PROPERTY_MASTER!$A$5:$A$21,0))="Yes",FALSE),IFERROR(INDEX(INDIRECT("'"&amp;$C2625&amp;"'!$E$41:$Y$41"),1,MATCH($D2625,INDIRECT("'"&amp;$C2625&amp;"'!$E$12:$Y$12"),0)),0),0)</f>
        <v>210980.64448000002</v>
      </c>
      <c r="I2625" s="366" t="s">
        <v>1685</v>
      </c>
      <c r="J2625" s="348" t="str">
        <f t="shared" ca="1" si="80"/>
        <v>OK</v>
      </c>
      <c r="K2625" s="366" t="s">
        <v>1694</v>
      </c>
      <c r="L2625" s="366" t="s">
        <v>2238</v>
      </c>
      <c r="M2625" s="350" t="str">
        <f>IF($B2625="Portfolio","Portfolio",IFERROR(INDEX(DATA_ASSET_CLASSIFICATION!$B$8:$B$24,MATCH($C2625,DATA_ASSET_CLASSIFICATION!$A$8:$A$24,0)),"Review"))</f>
        <v>Margaret Heights</v>
      </c>
      <c r="N2625" s="350" t="str">
        <f ca="1">IF($B2625="Portfolio","Portfolio",IFERROR(INDEX(DATA_ASSET_CLASSIFICATION!$U$8:$U$24,MATCH($C2625,DATA_ASSET_CLASSIFICATION!$A$8:$A$24,0)),"Review"))</f>
        <v>Refi Watch</v>
      </c>
      <c r="O2625" s="350" t="str">
        <f ca="1">IF($B2625="Portfolio","Portfolio",IFERROR(INDEX(DATA_ASSET_CLASSIFICATION!$AB$8:$AB$13,MATCH($N2625,DATA_ASSET_CLASSIFICATION!$AA$8:$AA$13,0)),"Review"))</f>
        <v>Bucket 2 · Legacy</v>
      </c>
      <c r="P2625" s="350" t="str">
        <f>IF($B2625="Portfolio","Portfolio",IFERROR(INDEX(DATA_ASSET_CLASSIFICATION!$C$8:$C$24,MATCH($C2625,DATA_ASSET_CLASSIFICATION!$A$8:$A$24,0)),"Review"))</f>
        <v>Yes</v>
      </c>
      <c r="Q2625" s="350" t="str">
        <f t="shared" ca="1" si="81"/>
        <v>OK</v>
      </c>
    </row>
    <row r="2626" spans="1:17">
      <c r="A2626" s="366" t="s">
        <v>4582</v>
      </c>
      <c r="B2626" s="366" t="s">
        <v>231</v>
      </c>
      <c r="C2626" s="348" t="str">
        <f>DATA_PROPERTY_MASTER!$A$13</f>
        <v>BLD_MH</v>
      </c>
      <c r="D2626" s="380">
        <f>'00_PORTFOLIO ROLLUP'!F$12</f>
        <v>2026</v>
      </c>
      <c r="E2626" s="366" t="s">
        <v>1683</v>
      </c>
      <c r="F2626" s="366" t="s">
        <v>1697</v>
      </c>
      <c r="G2626" s="348" t="str">
        <f>"'"&amp;$C2626&amp;"'!$E$44:$Y$44"</f>
        <v>'BLD_MH'!$E$44:$Y$44</v>
      </c>
      <c r="H2626" s="381">
        <f ca="1">IF(IFERROR(INDEX(DATA_PROPERTY_MASTER!$E$5:$E$21,MATCH($C2626,DATA_PROPERTY_MASTER!$A$5:$A$21,0))="Yes",FALSE),IFERROR(INDEX(INDIRECT("'"&amp;$C2626&amp;"'!$E$44:$Y$44"),1,MATCH($D2626,INDIRECT("'"&amp;$C2626&amp;"'!$E$12:$Y$12"),0)),0),0)</f>
        <v>2907</v>
      </c>
      <c r="I2626" s="366" t="s">
        <v>1690</v>
      </c>
      <c r="J2626" s="348" t="str">
        <f t="shared" ca="1" si="80"/>
        <v>OK</v>
      </c>
      <c r="K2626" s="366" t="s">
        <v>1699</v>
      </c>
      <c r="L2626" s="366" t="s">
        <v>2240</v>
      </c>
      <c r="M2626" s="350" t="str">
        <f>IF($B2626="Portfolio","Portfolio",IFERROR(INDEX(DATA_ASSET_CLASSIFICATION!$B$8:$B$24,MATCH($C2626,DATA_ASSET_CLASSIFICATION!$A$8:$A$24,0)),"Review"))</f>
        <v>Margaret Heights</v>
      </c>
      <c r="N2626" s="350" t="str">
        <f ca="1">IF($B2626="Portfolio","Portfolio",IFERROR(INDEX(DATA_ASSET_CLASSIFICATION!$U$8:$U$24,MATCH($C2626,DATA_ASSET_CLASSIFICATION!$A$8:$A$24,0)),"Review"))</f>
        <v>Refi Watch</v>
      </c>
      <c r="O2626" s="350" t="str">
        <f ca="1">IF($B2626="Portfolio","Portfolio",IFERROR(INDEX(DATA_ASSET_CLASSIFICATION!$AB$8:$AB$13,MATCH($N2626,DATA_ASSET_CLASSIFICATION!$AA$8:$AA$13,0)),"Review"))</f>
        <v>Bucket 2 · Legacy</v>
      </c>
      <c r="P2626" s="350" t="str">
        <f>IF($B2626="Portfolio","Portfolio",IFERROR(INDEX(DATA_ASSET_CLASSIFICATION!$C$8:$C$24,MATCH($C2626,DATA_ASSET_CLASSIFICATION!$A$8:$A$24,0)),"Review"))</f>
        <v>Yes</v>
      </c>
      <c r="Q2626" s="350" t="str">
        <f t="shared" ca="1" si="81"/>
        <v>OK</v>
      </c>
    </row>
    <row r="2627" spans="1:17">
      <c r="A2627" s="366" t="s">
        <v>4583</v>
      </c>
      <c r="B2627" s="366" t="s">
        <v>231</v>
      </c>
      <c r="C2627" s="348" t="str">
        <f>DATA_PROPERTY_MASTER!$A$13</f>
        <v>BLD_MH</v>
      </c>
      <c r="D2627" s="380">
        <f>'00_PORTFOLIO ROLLUP'!F$12</f>
        <v>2026</v>
      </c>
      <c r="E2627" s="366" t="s">
        <v>1683</v>
      </c>
      <c r="F2627" s="366" t="s">
        <v>21</v>
      </c>
      <c r="G2627" s="348" t="str">
        <f>"'"&amp;$C2627&amp;"'!$E$45:$Y$45"</f>
        <v>'BLD_MH'!$E$45:$Y$45</v>
      </c>
      <c r="H2627" s="381">
        <f ca="1">IF(IFERROR(INDEX(DATA_PROPERTY_MASTER!$E$5:$E$21,MATCH($C2627,DATA_PROPERTY_MASTER!$A$5:$A$21,0))="Yes",FALSE),IFERROR(INDEX(INDIRECT("'"&amp;$C2627&amp;"'!$E$45:$Y$45"),1,MATCH($D2627,INDIRECT("'"&amp;$C2627&amp;"'!$E$12:$Y$12"),0)),0),0)</f>
        <v>208073.64448000002</v>
      </c>
      <c r="I2627" s="366" t="s">
        <v>1685</v>
      </c>
      <c r="J2627" s="348" t="str">
        <f t="shared" ca="1" si="80"/>
        <v>OK</v>
      </c>
      <c r="K2627" s="366" t="s">
        <v>1694</v>
      </c>
      <c r="L2627" s="366" t="s">
        <v>2242</v>
      </c>
      <c r="M2627" s="350" t="str">
        <f>IF($B2627="Portfolio","Portfolio",IFERROR(INDEX(DATA_ASSET_CLASSIFICATION!$B$8:$B$24,MATCH($C2627,DATA_ASSET_CLASSIFICATION!$A$8:$A$24,0)),"Review"))</f>
        <v>Margaret Heights</v>
      </c>
      <c r="N2627" s="350" t="str">
        <f ca="1">IF($B2627="Portfolio","Portfolio",IFERROR(INDEX(DATA_ASSET_CLASSIFICATION!$U$8:$U$24,MATCH($C2627,DATA_ASSET_CLASSIFICATION!$A$8:$A$24,0)),"Review"))</f>
        <v>Refi Watch</v>
      </c>
      <c r="O2627" s="350" t="str">
        <f ca="1">IF($B2627="Portfolio","Portfolio",IFERROR(INDEX(DATA_ASSET_CLASSIFICATION!$AB$8:$AB$13,MATCH($N2627,DATA_ASSET_CLASSIFICATION!$AA$8:$AA$13,0)),"Review"))</f>
        <v>Bucket 2 · Legacy</v>
      </c>
      <c r="P2627" s="350" t="str">
        <f>IF($B2627="Portfolio","Portfolio",IFERROR(INDEX(DATA_ASSET_CLASSIFICATION!$C$8:$C$24,MATCH($C2627,DATA_ASSET_CLASSIFICATION!$A$8:$A$24,0)),"Review"))</f>
        <v>Yes</v>
      </c>
      <c r="Q2627" s="350" t="str">
        <f t="shared" ca="1" si="81"/>
        <v>OK</v>
      </c>
    </row>
    <row r="2628" spans="1:17">
      <c r="A2628" s="366" t="s">
        <v>4584</v>
      </c>
      <c r="B2628" s="366" t="s">
        <v>231</v>
      </c>
      <c r="C2628" s="348" t="str">
        <f>DATA_PROPERTY_MASTER!$A$13</f>
        <v>BLD_MH</v>
      </c>
      <c r="D2628" s="380">
        <f>'00_PORTFOLIO ROLLUP'!F$12</f>
        <v>2026</v>
      </c>
      <c r="E2628" s="366" t="s">
        <v>23</v>
      </c>
      <c r="F2628" s="366" t="s">
        <v>23</v>
      </c>
      <c r="G2628" s="348" t="str">
        <f>"'"&amp;$C2628&amp;"'!$E$48:$Y$48"</f>
        <v>'BLD_MH'!$E$48:$Y$48</v>
      </c>
      <c r="H2628" s="381">
        <f ca="1">IF(IFERROR(INDEX(DATA_PROPERTY_MASTER!$E$5:$E$21,MATCH($C2628,DATA_PROPERTY_MASTER!$A$5:$A$21,0))="Yes",FALSE),IFERROR(INDEX(INDIRECT("'"&amp;$C2628&amp;"'!$E$48:$Y$48"),1,MATCH($D2628,INDIRECT("'"&amp;$C2628&amp;"'!$E$12:$Y$12"),0)),0),0)</f>
        <v>21819.445101745179</v>
      </c>
      <c r="I2628" s="366" t="s">
        <v>1690</v>
      </c>
      <c r="J2628" s="348" t="str">
        <f t="shared" ca="1" si="80"/>
        <v>OK</v>
      </c>
      <c r="K2628" s="366" t="s">
        <v>1706</v>
      </c>
      <c r="L2628" s="366" t="s">
        <v>2244</v>
      </c>
      <c r="M2628" s="350" t="str">
        <f>IF($B2628="Portfolio","Portfolio",IFERROR(INDEX(DATA_ASSET_CLASSIFICATION!$B$8:$B$24,MATCH($C2628,DATA_ASSET_CLASSIFICATION!$A$8:$A$24,0)),"Review"))</f>
        <v>Margaret Heights</v>
      </c>
      <c r="N2628" s="350" t="str">
        <f ca="1">IF($B2628="Portfolio","Portfolio",IFERROR(INDEX(DATA_ASSET_CLASSIFICATION!$U$8:$U$24,MATCH($C2628,DATA_ASSET_CLASSIFICATION!$A$8:$A$24,0)),"Review"))</f>
        <v>Refi Watch</v>
      </c>
      <c r="O2628" s="350" t="str">
        <f ca="1">IF($B2628="Portfolio","Portfolio",IFERROR(INDEX(DATA_ASSET_CLASSIFICATION!$AB$8:$AB$13,MATCH($N2628,DATA_ASSET_CLASSIFICATION!$AA$8:$AA$13,0)),"Review"))</f>
        <v>Bucket 2 · Legacy</v>
      </c>
      <c r="P2628" s="350" t="str">
        <f>IF($B2628="Portfolio","Portfolio",IFERROR(INDEX(DATA_ASSET_CLASSIFICATION!$C$8:$C$24,MATCH($C2628,DATA_ASSET_CLASSIFICATION!$A$8:$A$24,0)),"Review"))</f>
        <v>Yes</v>
      </c>
      <c r="Q2628" s="350" t="str">
        <f t="shared" ca="1" si="81"/>
        <v>OK</v>
      </c>
    </row>
    <row r="2629" spans="1:17">
      <c r="A2629" s="366" t="s">
        <v>4585</v>
      </c>
      <c r="B2629" s="366" t="s">
        <v>231</v>
      </c>
      <c r="C2629" s="348" t="str">
        <f>DATA_PROPERTY_MASTER!$A$13</f>
        <v>BLD_MH</v>
      </c>
      <c r="D2629" s="380">
        <f>'00_PORTFOLIO ROLLUP'!F$12</f>
        <v>2026</v>
      </c>
      <c r="E2629" s="366" t="s">
        <v>1683</v>
      </c>
      <c r="F2629" s="366" t="s">
        <v>25</v>
      </c>
      <c r="G2629" s="348" t="str">
        <f>"'"&amp;$C2629&amp;"'!$E$52:$Y$52"</f>
        <v>'BLD_MH'!$E$52:$Y$52</v>
      </c>
      <c r="H2629" s="381">
        <f ca="1">IF(IFERROR(INDEX(DATA_PROPERTY_MASTER!$E$5:$E$21,MATCH($C2629,DATA_PROPERTY_MASTER!$A$5:$A$21,0))="Yes",FALSE),IFERROR(INDEX(INDIRECT("'"&amp;$C2629&amp;"'!$E$52:$Y$52"),1,MATCH($D2629,INDIRECT("'"&amp;$C2629&amp;"'!$E$12:$Y$12"),0)),0),0)</f>
        <v>189161.19937825482</v>
      </c>
      <c r="I2629" s="366" t="s">
        <v>1685</v>
      </c>
      <c r="J2629" s="348" t="str">
        <f t="shared" ref="J2629:J2692" ca="1" si="82">IF($F2629="Residual Funding Gap",IF($H2629&gt;0,"Funding Gap","OK"),IF(AND($F2629="Net Refinance Position",$H2629&lt;0),"Negative net refi position","OK"))</f>
        <v>OK</v>
      </c>
      <c r="K2629" s="366" t="s">
        <v>1710</v>
      </c>
      <c r="L2629" s="366" t="s">
        <v>2246</v>
      </c>
      <c r="M2629" s="350" t="str">
        <f>IF($B2629="Portfolio","Portfolio",IFERROR(INDEX(DATA_ASSET_CLASSIFICATION!$B$8:$B$24,MATCH($C2629,DATA_ASSET_CLASSIFICATION!$A$8:$A$24,0)),"Review"))</f>
        <v>Margaret Heights</v>
      </c>
      <c r="N2629" s="350" t="str">
        <f ca="1">IF($B2629="Portfolio","Portfolio",IFERROR(INDEX(DATA_ASSET_CLASSIFICATION!$U$8:$U$24,MATCH($C2629,DATA_ASSET_CLASSIFICATION!$A$8:$A$24,0)),"Review"))</f>
        <v>Refi Watch</v>
      </c>
      <c r="O2629" s="350" t="str">
        <f ca="1">IF($B2629="Portfolio","Portfolio",IFERROR(INDEX(DATA_ASSET_CLASSIFICATION!$AB$8:$AB$13,MATCH($N2629,DATA_ASSET_CLASSIFICATION!$AA$8:$AA$13,0)),"Review"))</f>
        <v>Bucket 2 · Legacy</v>
      </c>
      <c r="P2629" s="350" t="str">
        <f>IF($B2629="Portfolio","Portfolio",IFERROR(INDEX(DATA_ASSET_CLASSIFICATION!$C$8:$C$24,MATCH($C2629,DATA_ASSET_CLASSIFICATION!$A$8:$A$24,0)),"Review"))</f>
        <v>Yes</v>
      </c>
      <c r="Q2629" s="350" t="str">
        <f t="shared" ref="Q2629:Q2692" ca="1" si="83">IF(AND($B2629="Property",$F2629="Residual Funding Gap",$H2629&gt;0),"Property Funding Gap",IF($J2629&lt;&gt;"OK",$J2629,"OK"))</f>
        <v>OK</v>
      </c>
    </row>
    <row r="2630" spans="1:17">
      <c r="A2630" s="366" t="s">
        <v>4586</v>
      </c>
      <c r="B2630" s="366" t="s">
        <v>231</v>
      </c>
      <c r="C2630" s="348" t="str">
        <f>DATA_PROPERTY_MASTER!$A$13</f>
        <v>BLD_MH</v>
      </c>
      <c r="D2630" s="380">
        <f>'00_PORTFOLIO ROLLUP'!F$12</f>
        <v>2026</v>
      </c>
      <c r="E2630" s="366" t="s">
        <v>1683</v>
      </c>
      <c r="F2630" s="366" t="s">
        <v>27</v>
      </c>
      <c r="G2630" s="348" t="str">
        <f>"'"&amp;$C2630&amp;"'!$E$54:$Y$54"</f>
        <v>'BLD_MH'!$E$54:$Y$54</v>
      </c>
      <c r="H2630" s="381">
        <f ca="1">IF(IFERROR(INDEX(DATA_PROPERTY_MASTER!$E$5:$E$21,MATCH($C2630,DATA_PROPERTY_MASTER!$A$5:$A$21,0))="Yes",FALSE),IFERROR(INDEX(INDIRECT("'"&amp;$C2630&amp;"'!$E$54:$Y$54"),1,MATCH($D2630,INDIRECT("'"&amp;$C2630&amp;"'!$E$12:$Y$12"),0)),0),0)</f>
        <v>113496.71962695289</v>
      </c>
      <c r="I2630" s="366" t="s">
        <v>1690</v>
      </c>
      <c r="J2630" s="348" t="str">
        <f t="shared" ca="1" si="82"/>
        <v>OK</v>
      </c>
      <c r="K2630" s="366" t="s">
        <v>1714</v>
      </c>
      <c r="L2630" s="366" t="s">
        <v>2248</v>
      </c>
      <c r="M2630" s="350" t="str">
        <f>IF($B2630="Portfolio","Portfolio",IFERROR(INDEX(DATA_ASSET_CLASSIFICATION!$B$8:$B$24,MATCH($C2630,DATA_ASSET_CLASSIFICATION!$A$8:$A$24,0)),"Review"))</f>
        <v>Margaret Heights</v>
      </c>
      <c r="N2630" s="350" t="str">
        <f ca="1">IF($B2630="Portfolio","Portfolio",IFERROR(INDEX(DATA_ASSET_CLASSIFICATION!$U$8:$U$24,MATCH($C2630,DATA_ASSET_CLASSIFICATION!$A$8:$A$24,0)),"Review"))</f>
        <v>Refi Watch</v>
      </c>
      <c r="O2630" s="350" t="str">
        <f ca="1">IF($B2630="Portfolio","Portfolio",IFERROR(INDEX(DATA_ASSET_CLASSIFICATION!$AB$8:$AB$13,MATCH($N2630,DATA_ASSET_CLASSIFICATION!$AA$8:$AA$13,0)),"Review"))</f>
        <v>Bucket 2 · Legacy</v>
      </c>
      <c r="P2630" s="350" t="str">
        <f>IF($B2630="Portfolio","Portfolio",IFERROR(INDEX(DATA_ASSET_CLASSIFICATION!$C$8:$C$24,MATCH($C2630,DATA_ASSET_CLASSIFICATION!$A$8:$A$24,0)),"Review"))</f>
        <v>Yes</v>
      </c>
      <c r="Q2630" s="350" t="str">
        <f t="shared" ca="1" si="83"/>
        <v>OK</v>
      </c>
    </row>
    <row r="2631" spans="1:17">
      <c r="A2631" s="366" t="s">
        <v>4587</v>
      </c>
      <c r="B2631" s="366" t="s">
        <v>231</v>
      </c>
      <c r="C2631" s="348" t="str">
        <f>DATA_PROPERTY_MASTER!$A$13</f>
        <v>BLD_MH</v>
      </c>
      <c r="D2631" s="380">
        <f>'00_PORTFOLIO ROLLUP'!F$12</f>
        <v>2026</v>
      </c>
      <c r="E2631" s="366" t="s">
        <v>1683</v>
      </c>
      <c r="F2631" s="366" t="s">
        <v>29</v>
      </c>
      <c r="G2631" s="348" t="str">
        <f>"'"&amp;$C2631&amp;"'!$E$56:$Y$56"</f>
        <v>'BLD_MH'!$E$56:$Y$56</v>
      </c>
      <c r="H2631" s="381">
        <f ca="1">IF(IFERROR(INDEX(DATA_PROPERTY_MASTER!$E$5:$E$21,MATCH($C2631,DATA_PROPERTY_MASTER!$A$5:$A$21,0))="Yes",FALSE),IFERROR(INDEX(INDIRECT("'"&amp;$C2631&amp;"'!$E$56:$Y$56"),1,MATCH($D2631,INDIRECT("'"&amp;$C2631&amp;"'!$E$12:$Y$12"),0)),0),0)</f>
        <v>75664.479751301929</v>
      </c>
      <c r="I2631" s="366" t="s">
        <v>1685</v>
      </c>
      <c r="J2631" s="348" t="str">
        <f t="shared" ca="1" si="82"/>
        <v>OK</v>
      </c>
      <c r="K2631" s="366" t="s">
        <v>1718</v>
      </c>
      <c r="L2631" s="366" t="s">
        <v>2250</v>
      </c>
      <c r="M2631" s="350" t="str">
        <f>IF($B2631="Portfolio","Portfolio",IFERROR(INDEX(DATA_ASSET_CLASSIFICATION!$B$8:$B$24,MATCH($C2631,DATA_ASSET_CLASSIFICATION!$A$8:$A$24,0)),"Review"))</f>
        <v>Margaret Heights</v>
      </c>
      <c r="N2631" s="350" t="str">
        <f ca="1">IF($B2631="Portfolio","Portfolio",IFERROR(INDEX(DATA_ASSET_CLASSIFICATION!$U$8:$U$24,MATCH($C2631,DATA_ASSET_CLASSIFICATION!$A$8:$A$24,0)),"Review"))</f>
        <v>Refi Watch</v>
      </c>
      <c r="O2631" s="350" t="str">
        <f ca="1">IF($B2631="Portfolio","Portfolio",IFERROR(INDEX(DATA_ASSET_CLASSIFICATION!$AB$8:$AB$13,MATCH($N2631,DATA_ASSET_CLASSIFICATION!$AA$8:$AA$13,0)),"Review"))</f>
        <v>Bucket 2 · Legacy</v>
      </c>
      <c r="P2631" s="350" t="str">
        <f>IF($B2631="Portfolio","Portfolio",IFERROR(INDEX(DATA_ASSET_CLASSIFICATION!$C$8:$C$24,MATCH($C2631,DATA_ASSET_CLASSIFICATION!$A$8:$A$24,0)),"Review"))</f>
        <v>Yes</v>
      </c>
      <c r="Q2631" s="350" t="str">
        <f t="shared" ca="1" si="83"/>
        <v>OK</v>
      </c>
    </row>
    <row r="2632" spans="1:17">
      <c r="A2632" s="366" t="s">
        <v>4588</v>
      </c>
      <c r="B2632" s="366" t="s">
        <v>231</v>
      </c>
      <c r="C2632" s="348" t="str">
        <f>DATA_PROPERTY_MASTER!$A$13</f>
        <v>BLD_MH</v>
      </c>
      <c r="D2632" s="380">
        <f>'00_PORTFOLIO ROLLUP'!F$12</f>
        <v>2026</v>
      </c>
      <c r="E2632" s="366" t="s">
        <v>1721</v>
      </c>
      <c r="F2632" s="366" t="s">
        <v>31</v>
      </c>
      <c r="G2632" s="348" t="str">
        <f>"'"&amp;$C2632&amp;"'!$E$61:$Y$61"</f>
        <v>'BLD_MH'!$E$61:$Y$61</v>
      </c>
      <c r="H2632" s="381">
        <f ca="1">IF(IFERROR(INDEX(DATA_PROPERTY_MASTER!$E$5:$E$21,MATCH($C2632,DATA_PROPERTY_MASTER!$A$5:$A$21,0))="Yes",FALSE),IFERROR(INDEX(INDIRECT("'"&amp;$C2632&amp;"'!$E$61:$Y$61"),1,MATCH($D2632,INDIRECT("'"&amp;$C2632&amp;"'!$E$12:$Y$12"),0)),0),0)</f>
        <v>0</v>
      </c>
      <c r="I2632" s="366" t="s">
        <v>1690</v>
      </c>
      <c r="J2632" s="348" t="str">
        <f t="shared" ca="1" si="82"/>
        <v>OK</v>
      </c>
      <c r="K2632" s="366" t="s">
        <v>1723</v>
      </c>
      <c r="L2632" s="366" t="s">
        <v>2252</v>
      </c>
      <c r="M2632" s="350" t="str">
        <f>IF($B2632="Portfolio","Portfolio",IFERROR(INDEX(DATA_ASSET_CLASSIFICATION!$B$8:$B$24,MATCH($C2632,DATA_ASSET_CLASSIFICATION!$A$8:$A$24,0)),"Review"))</f>
        <v>Margaret Heights</v>
      </c>
      <c r="N2632" s="350" t="str">
        <f ca="1">IF($B2632="Portfolio","Portfolio",IFERROR(INDEX(DATA_ASSET_CLASSIFICATION!$U$8:$U$24,MATCH($C2632,DATA_ASSET_CLASSIFICATION!$A$8:$A$24,0)),"Review"))</f>
        <v>Refi Watch</v>
      </c>
      <c r="O2632" s="350" t="str">
        <f ca="1">IF($B2632="Portfolio","Portfolio",IFERROR(INDEX(DATA_ASSET_CLASSIFICATION!$AB$8:$AB$13,MATCH($N2632,DATA_ASSET_CLASSIFICATION!$AA$8:$AA$13,0)),"Review"))</f>
        <v>Bucket 2 · Legacy</v>
      </c>
      <c r="P2632" s="350" t="str">
        <f>IF($B2632="Portfolio","Portfolio",IFERROR(INDEX(DATA_ASSET_CLASSIFICATION!$C$8:$C$24,MATCH($C2632,DATA_ASSET_CLASSIFICATION!$A$8:$A$24,0)),"Review"))</f>
        <v>Yes</v>
      </c>
      <c r="Q2632" s="350" t="str">
        <f t="shared" ca="1" si="83"/>
        <v>OK</v>
      </c>
    </row>
    <row r="2633" spans="1:17">
      <c r="A2633" s="366" t="s">
        <v>4589</v>
      </c>
      <c r="B2633" s="366" t="s">
        <v>231</v>
      </c>
      <c r="C2633" s="348" t="str">
        <f>DATA_PROPERTY_MASTER!$A$13</f>
        <v>BLD_MH</v>
      </c>
      <c r="D2633" s="380">
        <f>'00_PORTFOLIO ROLLUP'!F$12</f>
        <v>2026</v>
      </c>
      <c r="E2633" s="366" t="s">
        <v>1721</v>
      </c>
      <c r="F2633" s="366" t="s">
        <v>33</v>
      </c>
      <c r="G2633" s="348" t="str">
        <f>"'"&amp;$C2633&amp;"'!$E$62:$Y$62"</f>
        <v>'BLD_MH'!$E$62:$Y$62</v>
      </c>
      <c r="H2633" s="381">
        <f ca="1">IF(IFERROR(INDEX(DATA_PROPERTY_MASTER!$E$5:$E$21,MATCH($C2633,DATA_PROPERTY_MASTER!$A$5:$A$21,0))="Yes",FALSE),IFERROR(INDEX(INDIRECT("'"&amp;$C2633&amp;"'!$E$62:$Y$62"),1,MATCH($D2633,INDIRECT("'"&amp;$C2633&amp;"'!$E$12:$Y$12"),0)),0),0)</f>
        <v>0</v>
      </c>
      <c r="I2633" s="366" t="s">
        <v>1685</v>
      </c>
      <c r="J2633" s="348" t="str">
        <f t="shared" ca="1" si="82"/>
        <v>OK</v>
      </c>
      <c r="K2633" s="366" t="s">
        <v>1727</v>
      </c>
      <c r="L2633" s="366" t="s">
        <v>2254</v>
      </c>
      <c r="M2633" s="350" t="str">
        <f>IF($B2633="Portfolio","Portfolio",IFERROR(INDEX(DATA_ASSET_CLASSIFICATION!$B$8:$B$24,MATCH($C2633,DATA_ASSET_CLASSIFICATION!$A$8:$A$24,0)),"Review"))</f>
        <v>Margaret Heights</v>
      </c>
      <c r="N2633" s="350" t="str">
        <f ca="1">IF($B2633="Portfolio","Portfolio",IFERROR(INDEX(DATA_ASSET_CLASSIFICATION!$U$8:$U$24,MATCH($C2633,DATA_ASSET_CLASSIFICATION!$A$8:$A$24,0)),"Review"))</f>
        <v>Refi Watch</v>
      </c>
      <c r="O2633" s="350" t="str">
        <f ca="1">IF($B2633="Portfolio","Portfolio",IFERROR(INDEX(DATA_ASSET_CLASSIFICATION!$AB$8:$AB$13,MATCH($N2633,DATA_ASSET_CLASSIFICATION!$AA$8:$AA$13,0)),"Review"))</f>
        <v>Bucket 2 · Legacy</v>
      </c>
      <c r="P2633" s="350" t="str">
        <f>IF($B2633="Portfolio","Portfolio",IFERROR(INDEX(DATA_ASSET_CLASSIFICATION!$C$8:$C$24,MATCH($C2633,DATA_ASSET_CLASSIFICATION!$A$8:$A$24,0)),"Review"))</f>
        <v>Yes</v>
      </c>
      <c r="Q2633" s="350" t="str">
        <f t="shared" ca="1" si="83"/>
        <v>OK</v>
      </c>
    </row>
    <row r="2634" spans="1:17">
      <c r="A2634" s="366" t="s">
        <v>4590</v>
      </c>
      <c r="B2634" s="366" t="s">
        <v>231</v>
      </c>
      <c r="C2634" s="348" t="str">
        <f>DATA_PROPERTY_MASTER!$A$13</f>
        <v>BLD_MH</v>
      </c>
      <c r="D2634" s="380">
        <f>'00_PORTFOLIO ROLLUP'!F$12</f>
        <v>2026</v>
      </c>
      <c r="E2634" s="366" t="s">
        <v>1721</v>
      </c>
      <c r="F2634" s="366" t="s">
        <v>35</v>
      </c>
      <c r="G2634" s="348" t="str">
        <f>"'"&amp;$C2634&amp;"'!$E$63:$Y$63"</f>
        <v>'BLD_MH'!$E$63:$Y$63</v>
      </c>
      <c r="H2634" s="381">
        <f ca="1">IF(IFERROR(INDEX(DATA_PROPERTY_MASTER!$E$5:$E$21,MATCH($C2634,DATA_PROPERTY_MASTER!$A$5:$A$21,0))="Yes",FALSE),IFERROR(INDEX(INDIRECT("'"&amp;$C2634&amp;"'!$E$63:$Y$63"),1,MATCH($D2634,INDIRECT("'"&amp;$C2634&amp;"'!$E$12:$Y$12"),0)),0),0)</f>
        <v>0</v>
      </c>
      <c r="I2634" s="366" t="s">
        <v>1731</v>
      </c>
      <c r="J2634" s="348" t="str">
        <f t="shared" ca="1" si="82"/>
        <v>OK</v>
      </c>
      <c r="K2634" s="366" t="s">
        <v>1732</v>
      </c>
      <c r="L2634" s="366" t="s">
        <v>2256</v>
      </c>
      <c r="M2634" s="350" t="str">
        <f>IF($B2634="Portfolio","Portfolio",IFERROR(INDEX(DATA_ASSET_CLASSIFICATION!$B$8:$B$24,MATCH($C2634,DATA_ASSET_CLASSIFICATION!$A$8:$A$24,0)),"Review"))</f>
        <v>Margaret Heights</v>
      </c>
      <c r="N2634" s="350" t="str">
        <f ca="1">IF($B2634="Portfolio","Portfolio",IFERROR(INDEX(DATA_ASSET_CLASSIFICATION!$U$8:$U$24,MATCH($C2634,DATA_ASSET_CLASSIFICATION!$A$8:$A$24,0)),"Review"))</f>
        <v>Refi Watch</v>
      </c>
      <c r="O2634" s="350" t="str">
        <f ca="1">IF($B2634="Portfolio","Portfolio",IFERROR(INDEX(DATA_ASSET_CLASSIFICATION!$AB$8:$AB$13,MATCH($N2634,DATA_ASSET_CLASSIFICATION!$AA$8:$AA$13,0)),"Review"))</f>
        <v>Bucket 2 · Legacy</v>
      </c>
      <c r="P2634" s="350" t="str">
        <f>IF($B2634="Portfolio","Portfolio",IFERROR(INDEX(DATA_ASSET_CLASSIFICATION!$C$8:$C$24,MATCH($C2634,DATA_ASSET_CLASSIFICATION!$A$8:$A$24,0)),"Review"))</f>
        <v>Yes</v>
      </c>
      <c r="Q2634" s="350" t="str">
        <f t="shared" ca="1" si="83"/>
        <v>OK</v>
      </c>
    </row>
    <row r="2635" spans="1:17">
      <c r="A2635" s="366" t="s">
        <v>4591</v>
      </c>
      <c r="B2635" s="366" t="s">
        <v>231</v>
      </c>
      <c r="C2635" s="348" t="str">
        <f>DATA_PROPERTY_MASTER!$A$13</f>
        <v>BLD_MH</v>
      </c>
      <c r="D2635" s="380">
        <f>'00_PORTFOLIO ROLLUP'!F$12</f>
        <v>2026</v>
      </c>
      <c r="E2635" s="366" t="s">
        <v>1721</v>
      </c>
      <c r="F2635" s="366" t="s">
        <v>37</v>
      </c>
      <c r="G2635" s="348" t="str">
        <f>"'"&amp;$C2635&amp;"'!$E$63:$Y$63"</f>
        <v>'BLD_MH'!$E$63:$Y$63</v>
      </c>
      <c r="H2635" s="381">
        <f ca="1">IF(IFERROR(INDEX(DATA_PROPERTY_MASTER!$E$5:$E$21,MATCH($C2635,DATA_PROPERTY_MASTER!$A$5:$A$21,0))="Yes",FALSE),MAX(IFERROR(INDEX(INDIRECT("'"&amp;$C2635&amp;"'!$E$63:$Y$63"),1,MATCH($D2635,INDIRECT("'"&amp;$C2635&amp;"'!$E$12:$Y$12"),0)),0),0),0)</f>
        <v>0</v>
      </c>
      <c r="I2635" s="366" t="s">
        <v>1685</v>
      </c>
      <c r="J2635" s="348" t="str">
        <f t="shared" ca="1" si="82"/>
        <v>OK</v>
      </c>
      <c r="K2635" s="366" t="s">
        <v>1735</v>
      </c>
      <c r="L2635" s="366" t="s">
        <v>2258</v>
      </c>
      <c r="M2635" s="350" t="str">
        <f>IF($B2635="Portfolio","Portfolio",IFERROR(INDEX(DATA_ASSET_CLASSIFICATION!$B$8:$B$24,MATCH($C2635,DATA_ASSET_CLASSIFICATION!$A$8:$A$24,0)),"Review"))</f>
        <v>Margaret Heights</v>
      </c>
      <c r="N2635" s="350" t="str">
        <f ca="1">IF($B2635="Portfolio","Portfolio",IFERROR(INDEX(DATA_ASSET_CLASSIFICATION!$U$8:$U$24,MATCH($C2635,DATA_ASSET_CLASSIFICATION!$A$8:$A$24,0)),"Review"))</f>
        <v>Refi Watch</v>
      </c>
      <c r="O2635" s="350" t="str">
        <f ca="1">IF($B2635="Portfolio","Portfolio",IFERROR(INDEX(DATA_ASSET_CLASSIFICATION!$AB$8:$AB$13,MATCH($N2635,DATA_ASSET_CLASSIFICATION!$AA$8:$AA$13,0)),"Review"))</f>
        <v>Bucket 2 · Legacy</v>
      </c>
      <c r="P2635" s="350" t="str">
        <f>IF($B2635="Portfolio","Portfolio",IFERROR(INDEX(DATA_ASSET_CLASSIFICATION!$C$8:$C$24,MATCH($C2635,DATA_ASSET_CLASSIFICATION!$A$8:$A$24,0)),"Review"))</f>
        <v>Yes</v>
      </c>
      <c r="Q2635" s="350" t="str">
        <f t="shared" ca="1" si="83"/>
        <v>OK</v>
      </c>
    </row>
    <row r="2636" spans="1:17">
      <c r="A2636" s="366" t="s">
        <v>4592</v>
      </c>
      <c r="B2636" s="366" t="s">
        <v>231</v>
      </c>
      <c r="C2636" s="348" t="str">
        <f>DATA_PROPERTY_MASTER!$A$13</f>
        <v>BLD_MH</v>
      </c>
      <c r="D2636" s="380">
        <f>'00_PORTFOLIO ROLLUP'!F$12</f>
        <v>2026</v>
      </c>
      <c r="E2636" s="366" t="s">
        <v>1721</v>
      </c>
      <c r="F2636" s="366" t="s">
        <v>39</v>
      </c>
      <c r="G2636" s="348" t="str">
        <f>"'"&amp;$C2636&amp;"'!$E$63:$Y$63"</f>
        <v>'BLD_MH'!$E$63:$Y$63</v>
      </c>
      <c r="H2636" s="381">
        <f ca="1">IF(IFERROR(INDEX(DATA_PROPERTY_MASTER!$E$5:$E$21,MATCH($C2636,DATA_PROPERTY_MASTER!$A$5:$A$21,0))="Yes",FALSE),MAX(-IFERROR(INDEX(INDIRECT("'"&amp;$C2636&amp;"'!$E$63:$Y$63"),1,MATCH($D2636,INDIRECT("'"&amp;$C2636&amp;"'!$E$12:$Y$12"),0)),0),0),0)</f>
        <v>0</v>
      </c>
      <c r="I2636" s="366" t="s">
        <v>1690</v>
      </c>
      <c r="J2636" s="348" t="str">
        <f t="shared" ca="1" si="82"/>
        <v>OK</v>
      </c>
      <c r="K2636" s="366" t="s">
        <v>1738</v>
      </c>
      <c r="L2636" s="366" t="s">
        <v>2260</v>
      </c>
      <c r="M2636" s="350" t="str">
        <f>IF($B2636="Portfolio","Portfolio",IFERROR(INDEX(DATA_ASSET_CLASSIFICATION!$B$8:$B$24,MATCH($C2636,DATA_ASSET_CLASSIFICATION!$A$8:$A$24,0)),"Review"))</f>
        <v>Margaret Heights</v>
      </c>
      <c r="N2636" s="350" t="str">
        <f ca="1">IF($B2636="Portfolio","Portfolio",IFERROR(INDEX(DATA_ASSET_CLASSIFICATION!$U$8:$U$24,MATCH($C2636,DATA_ASSET_CLASSIFICATION!$A$8:$A$24,0)),"Review"))</f>
        <v>Refi Watch</v>
      </c>
      <c r="O2636" s="350" t="str">
        <f ca="1">IF($B2636="Portfolio","Portfolio",IFERROR(INDEX(DATA_ASSET_CLASSIFICATION!$AB$8:$AB$13,MATCH($N2636,DATA_ASSET_CLASSIFICATION!$AA$8:$AA$13,0)),"Review"))</f>
        <v>Bucket 2 · Legacy</v>
      </c>
      <c r="P2636" s="350" t="str">
        <f>IF($B2636="Portfolio","Portfolio",IFERROR(INDEX(DATA_ASSET_CLASSIFICATION!$C$8:$C$24,MATCH($C2636,DATA_ASSET_CLASSIFICATION!$A$8:$A$24,0)),"Review"))</f>
        <v>Yes</v>
      </c>
      <c r="Q2636" s="350" t="str">
        <f t="shared" ca="1" si="83"/>
        <v>OK</v>
      </c>
    </row>
    <row r="2637" spans="1:17">
      <c r="A2637" s="366" t="s">
        <v>4593</v>
      </c>
      <c r="B2637" s="366" t="s">
        <v>231</v>
      </c>
      <c r="C2637" s="348" t="str">
        <f>DATA_PROPERTY_MASTER!$A$13</f>
        <v>BLD_MH</v>
      </c>
      <c r="D2637" s="380">
        <f>'00_PORTFOLIO ROLLUP'!F$12</f>
        <v>2026</v>
      </c>
      <c r="E2637" s="366" t="s">
        <v>1741</v>
      </c>
      <c r="F2637" s="366" t="s">
        <v>41</v>
      </c>
      <c r="G2637" s="348" t="str">
        <f>"'"&amp;$C2637&amp;"'!rows 56 + positive row 63"</f>
        <v>'BLD_MH'!rows 56 + positive row 63</v>
      </c>
      <c r="H2637" s="381">
        <f ca="1">IF(IFERROR(INDEX(DATA_PROPERTY_MASTER!$E$5:$E$21,MATCH($C2637,DATA_PROPERTY_MASTER!$A$5:$A$21,0))="Yes",FALSE),IFERROR(INDEX(INDIRECT("'"&amp;$C2637&amp;"'!$E$56:$Y$56"),1,MATCH($D2637,INDIRECT("'"&amp;$C2637&amp;"'!$E$12:$Y$12"),0)),0)+MAX(IFERROR(INDEX(INDIRECT("'"&amp;$C2637&amp;"'!$E$63:$Y$63"),1,MATCH($D2637,INDIRECT("'"&amp;$C2637&amp;"'!$E$12:$Y$12"),0)),0),0),0)</f>
        <v>75664.479751301929</v>
      </c>
      <c r="I2637" s="366" t="s">
        <v>1685</v>
      </c>
      <c r="J2637" s="348" t="str">
        <f t="shared" ca="1" si="82"/>
        <v>OK</v>
      </c>
      <c r="K2637" s="366" t="s">
        <v>1742</v>
      </c>
      <c r="L2637" s="366" t="s">
        <v>2262</v>
      </c>
      <c r="M2637" s="350" t="str">
        <f>IF($B2637="Portfolio","Portfolio",IFERROR(INDEX(DATA_ASSET_CLASSIFICATION!$B$8:$B$24,MATCH($C2637,DATA_ASSET_CLASSIFICATION!$A$8:$A$24,0)),"Review"))</f>
        <v>Margaret Heights</v>
      </c>
      <c r="N2637" s="350" t="str">
        <f ca="1">IF($B2637="Portfolio","Portfolio",IFERROR(INDEX(DATA_ASSET_CLASSIFICATION!$U$8:$U$24,MATCH($C2637,DATA_ASSET_CLASSIFICATION!$A$8:$A$24,0)),"Review"))</f>
        <v>Refi Watch</v>
      </c>
      <c r="O2637" s="350" t="str">
        <f ca="1">IF($B2637="Portfolio","Portfolio",IFERROR(INDEX(DATA_ASSET_CLASSIFICATION!$AB$8:$AB$13,MATCH($N2637,DATA_ASSET_CLASSIFICATION!$AA$8:$AA$13,0)),"Review"))</f>
        <v>Bucket 2 · Legacy</v>
      </c>
      <c r="P2637" s="350" t="str">
        <f>IF($B2637="Portfolio","Portfolio",IFERROR(INDEX(DATA_ASSET_CLASSIFICATION!$C$8:$C$24,MATCH($C2637,DATA_ASSET_CLASSIFICATION!$A$8:$A$24,0)),"Review"))</f>
        <v>Yes</v>
      </c>
      <c r="Q2637" s="350" t="str">
        <f t="shared" ca="1" si="83"/>
        <v>OK</v>
      </c>
    </row>
    <row r="2638" spans="1:17">
      <c r="A2638" s="366" t="s">
        <v>4594</v>
      </c>
      <c r="B2638" s="366" t="s">
        <v>231</v>
      </c>
      <c r="C2638" s="348" t="str">
        <f>DATA_PROPERTY_MASTER!$A$13</f>
        <v>BLD_MH</v>
      </c>
      <c r="D2638" s="380">
        <f>'00_PORTFOLIO ROLLUP'!F$12</f>
        <v>2026</v>
      </c>
      <c r="E2638" s="366" t="s">
        <v>1741</v>
      </c>
      <c r="F2638" s="366" t="s">
        <v>43</v>
      </c>
      <c r="G2638" s="348" t="str">
        <f>"'"&amp;$C2638&amp;"'!$E$68:$Y$68"</f>
        <v>'BLD_MH'!$E$68:$Y$68</v>
      </c>
      <c r="H2638" s="381">
        <f ca="1">IF(IFERROR(INDEX(DATA_PROPERTY_MASTER!$E$5:$E$21,MATCH($C2638,DATA_PROPERTY_MASTER!$A$5:$A$21,0))="Yes",FALSE),IFERROR(INDEX(INDIRECT("'"&amp;$C2638&amp;"'!$E$68:$Y$68"),1,MATCH($D2638,INDIRECT("'"&amp;$C2638&amp;"'!$E$12:$Y$12"),0)),0),0)</f>
        <v>75664.479751301929</v>
      </c>
      <c r="I2638" s="366" t="s">
        <v>1731</v>
      </c>
      <c r="J2638" s="348" t="str">
        <f t="shared" ca="1" si="82"/>
        <v>OK</v>
      </c>
      <c r="K2638" s="366" t="s">
        <v>1746</v>
      </c>
      <c r="L2638" s="366" t="s">
        <v>2264</v>
      </c>
      <c r="M2638" s="350" t="str">
        <f>IF($B2638="Portfolio","Portfolio",IFERROR(INDEX(DATA_ASSET_CLASSIFICATION!$B$8:$B$24,MATCH($C2638,DATA_ASSET_CLASSIFICATION!$A$8:$A$24,0)),"Review"))</f>
        <v>Margaret Heights</v>
      </c>
      <c r="N2638" s="350" t="str">
        <f ca="1">IF($B2638="Portfolio","Portfolio",IFERROR(INDEX(DATA_ASSET_CLASSIFICATION!$U$8:$U$24,MATCH($C2638,DATA_ASSET_CLASSIFICATION!$A$8:$A$24,0)),"Review"))</f>
        <v>Refi Watch</v>
      </c>
      <c r="O2638" s="350" t="str">
        <f ca="1">IF($B2638="Portfolio","Portfolio",IFERROR(INDEX(DATA_ASSET_CLASSIFICATION!$AB$8:$AB$13,MATCH($N2638,DATA_ASSET_CLASSIFICATION!$AA$8:$AA$13,0)),"Review"))</f>
        <v>Bucket 2 · Legacy</v>
      </c>
      <c r="P2638" s="350" t="str">
        <f>IF($B2638="Portfolio","Portfolio",IFERROR(INDEX(DATA_ASSET_CLASSIFICATION!$C$8:$C$24,MATCH($C2638,DATA_ASSET_CLASSIFICATION!$A$8:$A$24,0)),"Review"))</f>
        <v>Yes</v>
      </c>
      <c r="Q2638" s="350" t="str">
        <f t="shared" ca="1" si="83"/>
        <v>OK</v>
      </c>
    </row>
    <row r="2639" spans="1:17">
      <c r="A2639" s="366" t="s">
        <v>4595</v>
      </c>
      <c r="B2639" s="366" t="s">
        <v>231</v>
      </c>
      <c r="C2639" s="348" t="str">
        <f>DATA_PROPERTY_MASTER!$A$13</f>
        <v>BLD_MH</v>
      </c>
      <c r="D2639" s="380">
        <f>'00_PORTFOLIO ROLLUP'!F$12</f>
        <v>2026</v>
      </c>
      <c r="E2639" s="366" t="s">
        <v>1741</v>
      </c>
      <c r="F2639" s="366" t="s">
        <v>1749</v>
      </c>
      <c r="G2639" s="348" t="str">
        <f>"'"&amp;$C2639&amp;"'!rows 56, 63, 68"</f>
        <v>'BLD_MH'!rows 56, 63, 68</v>
      </c>
      <c r="H2639" s="381">
        <f ca="1">IF(IFERROR(INDEX(DATA_PROPERTY_MASTER!$E$5:$E$21,MATCH($C2639,DATA_PROPERTY_MASTER!$A$5:$A$21,0))="Yes",FALSE),(IFERROR(INDEX(INDIRECT("'"&amp;$C2639&amp;"'!$E$56:$Y$56"),1,MATCH($D2639,INDIRECT("'"&amp;$C2639&amp;"'!$E$12:$Y$12"),0)),0)+MAX(IFERROR(INDEX(INDIRECT("'"&amp;$C2639&amp;"'!$E$63:$Y$63"),1,MATCH($D2639,INDIRECT("'"&amp;$C2639&amp;"'!$E$12:$Y$12"),0)),0),0))-(IFERROR(INDEX(INDIRECT("'"&amp;$C2639&amp;"'!$E$68:$Y$68"),1,MATCH($D2639,INDIRECT("'"&amp;$C2639&amp;"'!$E$12:$Y$12"),0)),0)),0)</f>
        <v>0</v>
      </c>
      <c r="I2639" s="366" t="s">
        <v>1750</v>
      </c>
      <c r="J2639" s="348" t="str">
        <f t="shared" ca="1" si="82"/>
        <v>OK</v>
      </c>
      <c r="K2639" s="366" t="s">
        <v>1751</v>
      </c>
      <c r="L2639" s="366" t="s">
        <v>2266</v>
      </c>
      <c r="M2639" s="350" t="str">
        <f>IF($B2639="Portfolio","Portfolio",IFERROR(INDEX(DATA_ASSET_CLASSIFICATION!$B$8:$B$24,MATCH($C2639,DATA_ASSET_CLASSIFICATION!$A$8:$A$24,0)),"Review"))</f>
        <v>Margaret Heights</v>
      </c>
      <c r="N2639" s="350" t="str">
        <f ca="1">IF($B2639="Portfolio","Portfolio",IFERROR(INDEX(DATA_ASSET_CLASSIFICATION!$U$8:$U$24,MATCH($C2639,DATA_ASSET_CLASSIFICATION!$A$8:$A$24,0)),"Review"))</f>
        <v>Refi Watch</v>
      </c>
      <c r="O2639" s="350" t="str">
        <f ca="1">IF($B2639="Portfolio","Portfolio",IFERROR(INDEX(DATA_ASSET_CLASSIFICATION!$AB$8:$AB$13,MATCH($N2639,DATA_ASSET_CLASSIFICATION!$AA$8:$AA$13,0)),"Review"))</f>
        <v>Bucket 2 · Legacy</v>
      </c>
      <c r="P2639" s="350" t="str">
        <f>IF($B2639="Portfolio","Portfolio",IFERROR(INDEX(DATA_ASSET_CLASSIFICATION!$C$8:$C$24,MATCH($C2639,DATA_ASSET_CLASSIFICATION!$A$8:$A$24,0)),"Review"))</f>
        <v>Yes</v>
      </c>
      <c r="Q2639" s="350" t="str">
        <f t="shared" ca="1" si="83"/>
        <v>OK</v>
      </c>
    </row>
    <row r="2640" spans="1:17">
      <c r="A2640" s="366" t="s">
        <v>4596</v>
      </c>
      <c r="B2640" s="366" t="s">
        <v>231</v>
      </c>
      <c r="C2640" s="348" t="str">
        <f>DATA_PROPERTY_MASTER!$A$13</f>
        <v>BLD_MH</v>
      </c>
      <c r="D2640" s="380">
        <f>'00_PORTFOLIO ROLLUP'!G$12</f>
        <v>2027</v>
      </c>
      <c r="E2640" s="366" t="s">
        <v>1683</v>
      </c>
      <c r="F2640" s="366" t="s">
        <v>341</v>
      </c>
      <c r="G2640" s="348" t="str">
        <f>"'"&amp;$C2640&amp;"'!$E$24:$Y$24"</f>
        <v>'BLD_MH'!$E$24:$Y$24</v>
      </c>
      <c r="H2640" s="381">
        <f ca="1">IF(IFERROR(INDEX(DATA_PROPERTY_MASTER!$E$5:$E$21,MATCH($C2640,DATA_PROPERTY_MASTER!$A$5:$A$21,0))="Yes",FALSE),IFERROR(INDEX(INDIRECT("'"&amp;$C2640&amp;"'!$E$24:$Y$24"),1,MATCH($D2640,INDIRECT("'"&amp;$C2640&amp;"'!$E$12:$Y$12"),0)),0),0)</f>
        <v>410680.23816960008</v>
      </c>
      <c r="I2640" s="366" t="s">
        <v>1685</v>
      </c>
      <c r="J2640" s="348" t="str">
        <f t="shared" ca="1" si="82"/>
        <v>OK</v>
      </c>
      <c r="K2640" s="366" t="s">
        <v>1686</v>
      </c>
      <c r="L2640" s="366" t="s">
        <v>2234</v>
      </c>
      <c r="M2640" s="350" t="str">
        <f>IF($B2640="Portfolio","Portfolio",IFERROR(INDEX(DATA_ASSET_CLASSIFICATION!$B$8:$B$24,MATCH($C2640,DATA_ASSET_CLASSIFICATION!$A$8:$A$24,0)),"Review"))</f>
        <v>Margaret Heights</v>
      </c>
      <c r="N2640" s="350" t="str">
        <f ca="1">IF($B2640="Portfolio","Portfolio",IFERROR(INDEX(DATA_ASSET_CLASSIFICATION!$U$8:$U$24,MATCH($C2640,DATA_ASSET_CLASSIFICATION!$A$8:$A$24,0)),"Review"))</f>
        <v>Refi Watch</v>
      </c>
      <c r="O2640" s="350" t="str">
        <f ca="1">IF($B2640="Portfolio","Portfolio",IFERROR(INDEX(DATA_ASSET_CLASSIFICATION!$AB$8:$AB$13,MATCH($N2640,DATA_ASSET_CLASSIFICATION!$AA$8:$AA$13,0)),"Review"))</f>
        <v>Bucket 2 · Legacy</v>
      </c>
      <c r="P2640" s="350" t="str">
        <f>IF($B2640="Portfolio","Portfolio",IFERROR(INDEX(DATA_ASSET_CLASSIFICATION!$C$8:$C$24,MATCH($C2640,DATA_ASSET_CLASSIFICATION!$A$8:$A$24,0)),"Review"))</f>
        <v>Yes</v>
      </c>
      <c r="Q2640" s="350" t="str">
        <f t="shared" ca="1" si="83"/>
        <v>OK</v>
      </c>
    </row>
    <row r="2641" spans="1:17">
      <c r="A2641" s="366" t="s">
        <v>4597</v>
      </c>
      <c r="B2641" s="366" t="s">
        <v>231</v>
      </c>
      <c r="C2641" s="348" t="str">
        <f>DATA_PROPERTY_MASTER!$A$13</f>
        <v>BLD_MH</v>
      </c>
      <c r="D2641" s="380">
        <f>'00_PORTFOLIO ROLLUP'!G$12</f>
        <v>2027</v>
      </c>
      <c r="E2641" s="366" t="s">
        <v>1683</v>
      </c>
      <c r="F2641" s="366" t="s">
        <v>355</v>
      </c>
      <c r="G2641" s="348" t="str">
        <f>"'"&amp;$C2641&amp;"'!$E$39:$Y$39"</f>
        <v>'BLD_MH'!$E$39:$Y$39</v>
      </c>
      <c r="H2641" s="381">
        <f ca="1">IF(IFERROR(INDEX(DATA_PROPERTY_MASTER!$E$5:$E$21,MATCH($C2641,DATA_PROPERTY_MASTER!$A$5:$A$21,0))="Yes",FALSE),IFERROR(INDEX(INDIRECT("'"&amp;$C2641&amp;"'!$E$39:$Y$39"),1,MATCH($D2641,INDIRECT("'"&amp;$C2641&amp;"'!$E$12:$Y$12"),0)),0),0)</f>
        <v>199312.92160000006</v>
      </c>
      <c r="I2641" s="366" t="s">
        <v>1690</v>
      </c>
      <c r="J2641" s="348" t="str">
        <f t="shared" ca="1" si="82"/>
        <v>OK</v>
      </c>
      <c r="K2641" s="366" t="s">
        <v>1686</v>
      </c>
      <c r="L2641" s="366" t="s">
        <v>2236</v>
      </c>
      <c r="M2641" s="350" t="str">
        <f>IF($B2641="Portfolio","Portfolio",IFERROR(INDEX(DATA_ASSET_CLASSIFICATION!$B$8:$B$24,MATCH($C2641,DATA_ASSET_CLASSIFICATION!$A$8:$A$24,0)),"Review"))</f>
        <v>Margaret Heights</v>
      </c>
      <c r="N2641" s="350" t="str">
        <f ca="1">IF($B2641="Portfolio","Portfolio",IFERROR(INDEX(DATA_ASSET_CLASSIFICATION!$U$8:$U$24,MATCH($C2641,DATA_ASSET_CLASSIFICATION!$A$8:$A$24,0)),"Review"))</f>
        <v>Refi Watch</v>
      </c>
      <c r="O2641" s="350" t="str">
        <f ca="1">IF($B2641="Portfolio","Portfolio",IFERROR(INDEX(DATA_ASSET_CLASSIFICATION!$AB$8:$AB$13,MATCH($N2641,DATA_ASSET_CLASSIFICATION!$AA$8:$AA$13,0)),"Review"))</f>
        <v>Bucket 2 · Legacy</v>
      </c>
      <c r="P2641" s="350" t="str">
        <f>IF($B2641="Portfolio","Portfolio",IFERROR(INDEX(DATA_ASSET_CLASSIFICATION!$C$8:$C$24,MATCH($C2641,DATA_ASSET_CLASSIFICATION!$A$8:$A$24,0)),"Review"))</f>
        <v>Yes</v>
      </c>
      <c r="Q2641" s="350" t="str">
        <f t="shared" ca="1" si="83"/>
        <v>OK</v>
      </c>
    </row>
    <row r="2642" spans="1:17">
      <c r="A2642" s="366" t="s">
        <v>4598</v>
      </c>
      <c r="B2642" s="366" t="s">
        <v>231</v>
      </c>
      <c r="C2642" s="348" t="str">
        <f>DATA_PROPERTY_MASTER!$A$13</f>
        <v>BLD_MH</v>
      </c>
      <c r="D2642" s="380">
        <f>'00_PORTFOLIO ROLLUP'!G$12</f>
        <v>2027</v>
      </c>
      <c r="E2642" s="366" t="s">
        <v>1683</v>
      </c>
      <c r="F2642" s="366" t="s">
        <v>19</v>
      </c>
      <c r="G2642" s="348" t="str">
        <f>"'"&amp;$C2642&amp;"'!$E$41:$Y$41"</f>
        <v>'BLD_MH'!$E$41:$Y$41</v>
      </c>
      <c r="H2642" s="381">
        <f ca="1">IF(IFERROR(INDEX(DATA_PROPERTY_MASTER!$E$5:$E$21,MATCH($C2642,DATA_PROPERTY_MASTER!$A$5:$A$21,0))="Yes",FALSE),IFERROR(INDEX(INDIRECT("'"&amp;$C2642&amp;"'!$E$41:$Y$41"),1,MATCH($D2642,INDIRECT("'"&amp;$C2642&amp;"'!$E$12:$Y$12"),0)),0),0)</f>
        <v>211367.31656960002</v>
      </c>
      <c r="I2642" s="366" t="s">
        <v>1685</v>
      </c>
      <c r="J2642" s="348" t="str">
        <f t="shared" ca="1" si="82"/>
        <v>OK</v>
      </c>
      <c r="K2642" s="366" t="s">
        <v>1694</v>
      </c>
      <c r="L2642" s="366" t="s">
        <v>2238</v>
      </c>
      <c r="M2642" s="350" t="str">
        <f>IF($B2642="Portfolio","Portfolio",IFERROR(INDEX(DATA_ASSET_CLASSIFICATION!$B$8:$B$24,MATCH($C2642,DATA_ASSET_CLASSIFICATION!$A$8:$A$24,0)),"Review"))</f>
        <v>Margaret Heights</v>
      </c>
      <c r="N2642" s="350" t="str">
        <f ca="1">IF($B2642="Portfolio","Portfolio",IFERROR(INDEX(DATA_ASSET_CLASSIFICATION!$U$8:$U$24,MATCH($C2642,DATA_ASSET_CLASSIFICATION!$A$8:$A$24,0)),"Review"))</f>
        <v>Refi Watch</v>
      </c>
      <c r="O2642" s="350" t="str">
        <f ca="1">IF($B2642="Portfolio","Portfolio",IFERROR(INDEX(DATA_ASSET_CLASSIFICATION!$AB$8:$AB$13,MATCH($N2642,DATA_ASSET_CLASSIFICATION!$AA$8:$AA$13,0)),"Review"))</f>
        <v>Bucket 2 · Legacy</v>
      </c>
      <c r="P2642" s="350" t="str">
        <f>IF($B2642="Portfolio","Portfolio",IFERROR(INDEX(DATA_ASSET_CLASSIFICATION!$C$8:$C$24,MATCH($C2642,DATA_ASSET_CLASSIFICATION!$A$8:$A$24,0)),"Review"))</f>
        <v>Yes</v>
      </c>
      <c r="Q2642" s="350" t="str">
        <f t="shared" ca="1" si="83"/>
        <v>OK</v>
      </c>
    </row>
    <row r="2643" spans="1:17">
      <c r="A2643" s="366" t="s">
        <v>4599</v>
      </c>
      <c r="B2643" s="366" t="s">
        <v>231</v>
      </c>
      <c r="C2643" s="348" t="str">
        <f>DATA_PROPERTY_MASTER!$A$13</f>
        <v>BLD_MH</v>
      </c>
      <c r="D2643" s="380">
        <f>'00_PORTFOLIO ROLLUP'!G$12</f>
        <v>2027</v>
      </c>
      <c r="E2643" s="366" t="s">
        <v>1683</v>
      </c>
      <c r="F2643" s="366" t="s">
        <v>1697</v>
      </c>
      <c r="G2643" s="348" t="str">
        <f>"'"&amp;$C2643&amp;"'!$E$44:$Y$44"</f>
        <v>'BLD_MH'!$E$44:$Y$44</v>
      </c>
      <c r="H2643" s="381">
        <f ca="1">IF(IFERROR(INDEX(DATA_PROPERTY_MASTER!$E$5:$E$21,MATCH($C2643,DATA_PROPERTY_MASTER!$A$5:$A$21,0))="Yes",FALSE),IFERROR(INDEX(INDIRECT("'"&amp;$C2643&amp;"'!$E$44:$Y$44"),1,MATCH($D2643,INDIRECT("'"&amp;$C2643&amp;"'!$E$12:$Y$12"),0)),0),0)</f>
        <v>2965.14</v>
      </c>
      <c r="I2643" s="366" t="s">
        <v>1690</v>
      </c>
      <c r="J2643" s="348" t="str">
        <f t="shared" ca="1" si="82"/>
        <v>OK</v>
      </c>
      <c r="K2643" s="366" t="s">
        <v>1699</v>
      </c>
      <c r="L2643" s="366" t="s">
        <v>2240</v>
      </c>
      <c r="M2643" s="350" t="str">
        <f>IF($B2643="Portfolio","Portfolio",IFERROR(INDEX(DATA_ASSET_CLASSIFICATION!$B$8:$B$24,MATCH($C2643,DATA_ASSET_CLASSIFICATION!$A$8:$A$24,0)),"Review"))</f>
        <v>Margaret Heights</v>
      </c>
      <c r="N2643" s="350" t="str">
        <f ca="1">IF($B2643="Portfolio","Portfolio",IFERROR(INDEX(DATA_ASSET_CLASSIFICATION!$U$8:$U$24,MATCH($C2643,DATA_ASSET_CLASSIFICATION!$A$8:$A$24,0)),"Review"))</f>
        <v>Refi Watch</v>
      </c>
      <c r="O2643" s="350" t="str">
        <f ca="1">IF($B2643="Portfolio","Portfolio",IFERROR(INDEX(DATA_ASSET_CLASSIFICATION!$AB$8:$AB$13,MATCH($N2643,DATA_ASSET_CLASSIFICATION!$AA$8:$AA$13,0)),"Review"))</f>
        <v>Bucket 2 · Legacy</v>
      </c>
      <c r="P2643" s="350" t="str">
        <f>IF($B2643="Portfolio","Portfolio",IFERROR(INDEX(DATA_ASSET_CLASSIFICATION!$C$8:$C$24,MATCH($C2643,DATA_ASSET_CLASSIFICATION!$A$8:$A$24,0)),"Review"))</f>
        <v>Yes</v>
      </c>
      <c r="Q2643" s="350" t="str">
        <f t="shared" ca="1" si="83"/>
        <v>OK</v>
      </c>
    </row>
    <row r="2644" spans="1:17">
      <c r="A2644" s="366" t="s">
        <v>4600</v>
      </c>
      <c r="B2644" s="366" t="s">
        <v>231</v>
      </c>
      <c r="C2644" s="348" t="str">
        <f>DATA_PROPERTY_MASTER!$A$13</f>
        <v>BLD_MH</v>
      </c>
      <c r="D2644" s="380">
        <f>'00_PORTFOLIO ROLLUP'!G$12</f>
        <v>2027</v>
      </c>
      <c r="E2644" s="366" t="s">
        <v>1683</v>
      </c>
      <c r="F2644" s="366" t="s">
        <v>21</v>
      </c>
      <c r="G2644" s="348" t="str">
        <f>"'"&amp;$C2644&amp;"'!$E$45:$Y$45"</f>
        <v>'BLD_MH'!$E$45:$Y$45</v>
      </c>
      <c r="H2644" s="381">
        <f ca="1">IF(IFERROR(INDEX(DATA_PROPERTY_MASTER!$E$5:$E$21,MATCH($C2644,DATA_PROPERTY_MASTER!$A$5:$A$21,0))="Yes",FALSE),IFERROR(INDEX(INDIRECT("'"&amp;$C2644&amp;"'!$E$45:$Y$45"),1,MATCH($D2644,INDIRECT("'"&amp;$C2644&amp;"'!$E$12:$Y$12"),0)),0),0)</f>
        <v>208402.17656960001</v>
      </c>
      <c r="I2644" s="366" t="s">
        <v>1685</v>
      </c>
      <c r="J2644" s="348" t="str">
        <f t="shared" ca="1" si="82"/>
        <v>OK</v>
      </c>
      <c r="K2644" s="366" t="s">
        <v>1694</v>
      </c>
      <c r="L2644" s="366" t="s">
        <v>2242</v>
      </c>
      <c r="M2644" s="350" t="str">
        <f>IF($B2644="Portfolio","Portfolio",IFERROR(INDEX(DATA_ASSET_CLASSIFICATION!$B$8:$B$24,MATCH($C2644,DATA_ASSET_CLASSIFICATION!$A$8:$A$24,0)),"Review"))</f>
        <v>Margaret Heights</v>
      </c>
      <c r="N2644" s="350" t="str">
        <f ca="1">IF($B2644="Portfolio","Portfolio",IFERROR(INDEX(DATA_ASSET_CLASSIFICATION!$U$8:$U$24,MATCH($C2644,DATA_ASSET_CLASSIFICATION!$A$8:$A$24,0)),"Review"))</f>
        <v>Refi Watch</v>
      </c>
      <c r="O2644" s="350" t="str">
        <f ca="1">IF($B2644="Portfolio","Portfolio",IFERROR(INDEX(DATA_ASSET_CLASSIFICATION!$AB$8:$AB$13,MATCH($N2644,DATA_ASSET_CLASSIFICATION!$AA$8:$AA$13,0)),"Review"))</f>
        <v>Bucket 2 · Legacy</v>
      </c>
      <c r="P2644" s="350" t="str">
        <f>IF($B2644="Portfolio","Portfolio",IFERROR(INDEX(DATA_ASSET_CLASSIFICATION!$C$8:$C$24,MATCH($C2644,DATA_ASSET_CLASSIFICATION!$A$8:$A$24,0)),"Review"))</f>
        <v>Yes</v>
      </c>
      <c r="Q2644" s="350" t="str">
        <f t="shared" ca="1" si="83"/>
        <v>OK</v>
      </c>
    </row>
    <row r="2645" spans="1:17">
      <c r="A2645" s="366" t="s">
        <v>4601</v>
      </c>
      <c r="B2645" s="366" t="s">
        <v>231</v>
      </c>
      <c r="C2645" s="348" t="str">
        <f>DATA_PROPERTY_MASTER!$A$13</f>
        <v>BLD_MH</v>
      </c>
      <c r="D2645" s="380">
        <f>'00_PORTFOLIO ROLLUP'!G$12</f>
        <v>2027</v>
      </c>
      <c r="E2645" s="366" t="s">
        <v>23</v>
      </c>
      <c r="F2645" s="366" t="s">
        <v>23</v>
      </c>
      <c r="G2645" s="348" t="str">
        <f>"'"&amp;$C2645&amp;"'!$E$48:$Y$48"</f>
        <v>'BLD_MH'!$E$48:$Y$48</v>
      </c>
      <c r="H2645" s="381">
        <f ca="1">IF(IFERROR(INDEX(DATA_PROPERTY_MASTER!$E$5:$E$21,MATCH($C2645,DATA_PROPERTY_MASTER!$A$5:$A$21,0))="Yes",FALSE),IFERROR(INDEX(INDIRECT("'"&amp;$C2645&amp;"'!$E$48:$Y$48"),1,MATCH($D2645,INDIRECT("'"&amp;$C2645&amp;"'!$E$12:$Y$12"),0)),0),0)</f>
        <v>0</v>
      </c>
      <c r="I2645" s="366" t="s">
        <v>1690</v>
      </c>
      <c r="J2645" s="348" t="str">
        <f t="shared" ca="1" si="82"/>
        <v>OK</v>
      </c>
      <c r="K2645" s="366" t="s">
        <v>1706</v>
      </c>
      <c r="L2645" s="366" t="s">
        <v>2244</v>
      </c>
      <c r="M2645" s="350" t="str">
        <f>IF($B2645="Portfolio","Portfolio",IFERROR(INDEX(DATA_ASSET_CLASSIFICATION!$B$8:$B$24,MATCH($C2645,DATA_ASSET_CLASSIFICATION!$A$8:$A$24,0)),"Review"))</f>
        <v>Margaret Heights</v>
      </c>
      <c r="N2645" s="350" t="str">
        <f ca="1">IF($B2645="Portfolio","Portfolio",IFERROR(INDEX(DATA_ASSET_CLASSIFICATION!$U$8:$U$24,MATCH($C2645,DATA_ASSET_CLASSIFICATION!$A$8:$A$24,0)),"Review"))</f>
        <v>Refi Watch</v>
      </c>
      <c r="O2645" s="350" t="str">
        <f ca="1">IF($B2645="Portfolio","Portfolio",IFERROR(INDEX(DATA_ASSET_CLASSIFICATION!$AB$8:$AB$13,MATCH($N2645,DATA_ASSET_CLASSIFICATION!$AA$8:$AA$13,0)),"Review"))</f>
        <v>Bucket 2 · Legacy</v>
      </c>
      <c r="P2645" s="350" t="str">
        <f>IF($B2645="Portfolio","Portfolio",IFERROR(INDEX(DATA_ASSET_CLASSIFICATION!$C$8:$C$24,MATCH($C2645,DATA_ASSET_CLASSIFICATION!$A$8:$A$24,0)),"Review"))</f>
        <v>Yes</v>
      </c>
      <c r="Q2645" s="350" t="str">
        <f t="shared" ca="1" si="83"/>
        <v>OK</v>
      </c>
    </row>
    <row r="2646" spans="1:17">
      <c r="A2646" s="366" t="s">
        <v>4602</v>
      </c>
      <c r="B2646" s="366" t="s">
        <v>231</v>
      </c>
      <c r="C2646" s="348" t="str">
        <f>DATA_PROPERTY_MASTER!$A$13</f>
        <v>BLD_MH</v>
      </c>
      <c r="D2646" s="380">
        <f>'00_PORTFOLIO ROLLUP'!G$12</f>
        <v>2027</v>
      </c>
      <c r="E2646" s="366" t="s">
        <v>1683</v>
      </c>
      <c r="F2646" s="366" t="s">
        <v>25</v>
      </c>
      <c r="G2646" s="348" t="str">
        <f>"'"&amp;$C2646&amp;"'!$E$52:$Y$52"</f>
        <v>'BLD_MH'!$E$52:$Y$52</v>
      </c>
      <c r="H2646" s="381">
        <f ca="1">IF(IFERROR(INDEX(DATA_PROPERTY_MASTER!$E$5:$E$21,MATCH($C2646,DATA_PROPERTY_MASTER!$A$5:$A$21,0))="Yes",FALSE),IFERROR(INDEX(INDIRECT("'"&amp;$C2646&amp;"'!$E$52:$Y$52"),1,MATCH($D2646,INDIRECT("'"&amp;$C2646&amp;"'!$E$12:$Y$12"),0)),0),0)</f>
        <v>211367.31656960002</v>
      </c>
      <c r="I2646" s="366" t="s">
        <v>1685</v>
      </c>
      <c r="J2646" s="348" t="str">
        <f t="shared" ca="1" si="82"/>
        <v>OK</v>
      </c>
      <c r="K2646" s="366" t="s">
        <v>1710</v>
      </c>
      <c r="L2646" s="366" t="s">
        <v>2246</v>
      </c>
      <c r="M2646" s="350" t="str">
        <f>IF($B2646="Portfolio","Portfolio",IFERROR(INDEX(DATA_ASSET_CLASSIFICATION!$B$8:$B$24,MATCH($C2646,DATA_ASSET_CLASSIFICATION!$A$8:$A$24,0)),"Review"))</f>
        <v>Margaret Heights</v>
      </c>
      <c r="N2646" s="350" t="str">
        <f ca="1">IF($B2646="Portfolio","Portfolio",IFERROR(INDEX(DATA_ASSET_CLASSIFICATION!$U$8:$U$24,MATCH($C2646,DATA_ASSET_CLASSIFICATION!$A$8:$A$24,0)),"Review"))</f>
        <v>Refi Watch</v>
      </c>
      <c r="O2646" s="350" t="str">
        <f ca="1">IF($B2646="Portfolio","Portfolio",IFERROR(INDEX(DATA_ASSET_CLASSIFICATION!$AB$8:$AB$13,MATCH($N2646,DATA_ASSET_CLASSIFICATION!$AA$8:$AA$13,0)),"Review"))</f>
        <v>Bucket 2 · Legacy</v>
      </c>
      <c r="P2646" s="350" t="str">
        <f>IF($B2646="Portfolio","Portfolio",IFERROR(INDEX(DATA_ASSET_CLASSIFICATION!$C$8:$C$24,MATCH($C2646,DATA_ASSET_CLASSIFICATION!$A$8:$A$24,0)),"Review"))</f>
        <v>Yes</v>
      </c>
      <c r="Q2646" s="350" t="str">
        <f t="shared" ca="1" si="83"/>
        <v>OK</v>
      </c>
    </row>
    <row r="2647" spans="1:17">
      <c r="A2647" s="366" t="s">
        <v>4603</v>
      </c>
      <c r="B2647" s="366" t="s">
        <v>231</v>
      </c>
      <c r="C2647" s="348" t="str">
        <f>DATA_PROPERTY_MASTER!$A$13</f>
        <v>BLD_MH</v>
      </c>
      <c r="D2647" s="380">
        <f>'00_PORTFOLIO ROLLUP'!G$12</f>
        <v>2027</v>
      </c>
      <c r="E2647" s="366" t="s">
        <v>1683</v>
      </c>
      <c r="F2647" s="366" t="s">
        <v>27</v>
      </c>
      <c r="G2647" s="348" t="str">
        <f>"'"&amp;$C2647&amp;"'!$E$54:$Y$54"</f>
        <v>'BLD_MH'!$E$54:$Y$54</v>
      </c>
      <c r="H2647" s="381">
        <f ca="1">IF(IFERROR(INDEX(DATA_PROPERTY_MASTER!$E$5:$E$21,MATCH($C2647,DATA_PROPERTY_MASTER!$A$5:$A$21,0))="Yes",FALSE),IFERROR(INDEX(INDIRECT("'"&amp;$C2647&amp;"'!$E$54:$Y$54"),1,MATCH($D2647,INDIRECT("'"&amp;$C2647&amp;"'!$E$12:$Y$12"),0)),0),0)</f>
        <v>126820.38994176</v>
      </c>
      <c r="I2647" s="366" t="s">
        <v>1690</v>
      </c>
      <c r="J2647" s="348" t="str">
        <f t="shared" ca="1" si="82"/>
        <v>OK</v>
      </c>
      <c r="K2647" s="366" t="s">
        <v>1714</v>
      </c>
      <c r="L2647" s="366" t="s">
        <v>2248</v>
      </c>
      <c r="M2647" s="350" t="str">
        <f>IF($B2647="Portfolio","Portfolio",IFERROR(INDEX(DATA_ASSET_CLASSIFICATION!$B$8:$B$24,MATCH($C2647,DATA_ASSET_CLASSIFICATION!$A$8:$A$24,0)),"Review"))</f>
        <v>Margaret Heights</v>
      </c>
      <c r="N2647" s="350" t="str">
        <f ca="1">IF($B2647="Portfolio","Portfolio",IFERROR(INDEX(DATA_ASSET_CLASSIFICATION!$U$8:$U$24,MATCH($C2647,DATA_ASSET_CLASSIFICATION!$A$8:$A$24,0)),"Review"))</f>
        <v>Refi Watch</v>
      </c>
      <c r="O2647" s="350" t="str">
        <f ca="1">IF($B2647="Portfolio","Portfolio",IFERROR(INDEX(DATA_ASSET_CLASSIFICATION!$AB$8:$AB$13,MATCH($N2647,DATA_ASSET_CLASSIFICATION!$AA$8:$AA$13,0)),"Review"))</f>
        <v>Bucket 2 · Legacy</v>
      </c>
      <c r="P2647" s="350" t="str">
        <f>IF($B2647="Portfolio","Portfolio",IFERROR(INDEX(DATA_ASSET_CLASSIFICATION!$C$8:$C$24,MATCH($C2647,DATA_ASSET_CLASSIFICATION!$A$8:$A$24,0)),"Review"))</f>
        <v>Yes</v>
      </c>
      <c r="Q2647" s="350" t="str">
        <f t="shared" ca="1" si="83"/>
        <v>OK</v>
      </c>
    </row>
    <row r="2648" spans="1:17">
      <c r="A2648" s="366" t="s">
        <v>4604</v>
      </c>
      <c r="B2648" s="366" t="s">
        <v>231</v>
      </c>
      <c r="C2648" s="348" t="str">
        <f>DATA_PROPERTY_MASTER!$A$13</f>
        <v>BLD_MH</v>
      </c>
      <c r="D2648" s="380">
        <f>'00_PORTFOLIO ROLLUP'!G$12</f>
        <v>2027</v>
      </c>
      <c r="E2648" s="366" t="s">
        <v>1683</v>
      </c>
      <c r="F2648" s="366" t="s">
        <v>29</v>
      </c>
      <c r="G2648" s="348" t="str">
        <f>"'"&amp;$C2648&amp;"'!$E$56:$Y$56"</f>
        <v>'BLD_MH'!$E$56:$Y$56</v>
      </c>
      <c r="H2648" s="381">
        <f ca="1">IF(IFERROR(INDEX(DATA_PROPERTY_MASTER!$E$5:$E$21,MATCH($C2648,DATA_PROPERTY_MASTER!$A$5:$A$21,0))="Yes",FALSE),IFERROR(INDEX(INDIRECT("'"&amp;$C2648&amp;"'!$E$56:$Y$56"),1,MATCH($D2648,INDIRECT("'"&amp;$C2648&amp;"'!$E$12:$Y$12"),0)),0),0)</f>
        <v>84546.926627840017</v>
      </c>
      <c r="I2648" s="366" t="s">
        <v>1685</v>
      </c>
      <c r="J2648" s="348" t="str">
        <f t="shared" ca="1" si="82"/>
        <v>OK</v>
      </c>
      <c r="K2648" s="366" t="s">
        <v>1718</v>
      </c>
      <c r="L2648" s="366" t="s">
        <v>2250</v>
      </c>
      <c r="M2648" s="350" t="str">
        <f>IF($B2648="Portfolio","Portfolio",IFERROR(INDEX(DATA_ASSET_CLASSIFICATION!$B$8:$B$24,MATCH($C2648,DATA_ASSET_CLASSIFICATION!$A$8:$A$24,0)),"Review"))</f>
        <v>Margaret Heights</v>
      </c>
      <c r="N2648" s="350" t="str">
        <f ca="1">IF($B2648="Portfolio","Portfolio",IFERROR(INDEX(DATA_ASSET_CLASSIFICATION!$U$8:$U$24,MATCH($C2648,DATA_ASSET_CLASSIFICATION!$A$8:$A$24,0)),"Review"))</f>
        <v>Refi Watch</v>
      </c>
      <c r="O2648" s="350" t="str">
        <f ca="1">IF($B2648="Portfolio","Portfolio",IFERROR(INDEX(DATA_ASSET_CLASSIFICATION!$AB$8:$AB$13,MATCH($N2648,DATA_ASSET_CLASSIFICATION!$AA$8:$AA$13,0)),"Review"))</f>
        <v>Bucket 2 · Legacy</v>
      </c>
      <c r="P2648" s="350" t="str">
        <f>IF($B2648="Portfolio","Portfolio",IFERROR(INDEX(DATA_ASSET_CLASSIFICATION!$C$8:$C$24,MATCH($C2648,DATA_ASSET_CLASSIFICATION!$A$8:$A$24,0)),"Review"))</f>
        <v>Yes</v>
      </c>
      <c r="Q2648" s="350" t="str">
        <f t="shared" ca="1" si="83"/>
        <v>OK</v>
      </c>
    </row>
    <row r="2649" spans="1:17">
      <c r="A2649" s="366" t="s">
        <v>4605</v>
      </c>
      <c r="B2649" s="366" t="s">
        <v>231</v>
      </c>
      <c r="C2649" s="348" t="str">
        <f>DATA_PROPERTY_MASTER!$A$13</f>
        <v>BLD_MH</v>
      </c>
      <c r="D2649" s="380">
        <f>'00_PORTFOLIO ROLLUP'!G$12</f>
        <v>2027</v>
      </c>
      <c r="E2649" s="366" t="s">
        <v>1721</v>
      </c>
      <c r="F2649" s="366" t="s">
        <v>31</v>
      </c>
      <c r="G2649" s="348" t="str">
        <f>"'"&amp;$C2649&amp;"'!$E$61:$Y$61"</f>
        <v>'BLD_MH'!$E$61:$Y$61</v>
      </c>
      <c r="H2649" s="381">
        <f ca="1">IF(IFERROR(INDEX(DATA_PROPERTY_MASTER!$E$5:$E$21,MATCH($C2649,DATA_PROPERTY_MASTER!$A$5:$A$21,0))="Yes",FALSE),IFERROR(INDEX(INDIRECT("'"&amp;$C2649&amp;"'!$E$61:$Y$61"),1,MATCH($D2649,INDIRECT("'"&amp;$C2649&amp;"'!$E$12:$Y$12"),0)),0),0)</f>
        <v>0</v>
      </c>
      <c r="I2649" s="366" t="s">
        <v>1690</v>
      </c>
      <c r="J2649" s="348" t="str">
        <f t="shared" ca="1" si="82"/>
        <v>OK</v>
      </c>
      <c r="K2649" s="366" t="s">
        <v>1723</v>
      </c>
      <c r="L2649" s="366" t="s">
        <v>2252</v>
      </c>
      <c r="M2649" s="350" t="str">
        <f>IF($B2649="Portfolio","Portfolio",IFERROR(INDEX(DATA_ASSET_CLASSIFICATION!$B$8:$B$24,MATCH($C2649,DATA_ASSET_CLASSIFICATION!$A$8:$A$24,0)),"Review"))</f>
        <v>Margaret Heights</v>
      </c>
      <c r="N2649" s="350" t="str">
        <f ca="1">IF($B2649="Portfolio","Portfolio",IFERROR(INDEX(DATA_ASSET_CLASSIFICATION!$U$8:$U$24,MATCH($C2649,DATA_ASSET_CLASSIFICATION!$A$8:$A$24,0)),"Review"))</f>
        <v>Refi Watch</v>
      </c>
      <c r="O2649" s="350" t="str">
        <f ca="1">IF($B2649="Portfolio","Portfolio",IFERROR(INDEX(DATA_ASSET_CLASSIFICATION!$AB$8:$AB$13,MATCH($N2649,DATA_ASSET_CLASSIFICATION!$AA$8:$AA$13,0)),"Review"))</f>
        <v>Bucket 2 · Legacy</v>
      </c>
      <c r="P2649" s="350" t="str">
        <f>IF($B2649="Portfolio","Portfolio",IFERROR(INDEX(DATA_ASSET_CLASSIFICATION!$C$8:$C$24,MATCH($C2649,DATA_ASSET_CLASSIFICATION!$A$8:$A$24,0)),"Review"))</f>
        <v>Yes</v>
      </c>
      <c r="Q2649" s="350" t="str">
        <f t="shared" ca="1" si="83"/>
        <v>OK</v>
      </c>
    </row>
    <row r="2650" spans="1:17">
      <c r="A2650" s="366" t="s">
        <v>4606</v>
      </c>
      <c r="B2650" s="366" t="s">
        <v>231</v>
      </c>
      <c r="C2650" s="348" t="str">
        <f>DATA_PROPERTY_MASTER!$A$13</f>
        <v>BLD_MH</v>
      </c>
      <c r="D2650" s="380">
        <f>'00_PORTFOLIO ROLLUP'!G$12</f>
        <v>2027</v>
      </c>
      <c r="E2650" s="366" t="s">
        <v>1721</v>
      </c>
      <c r="F2650" s="366" t="s">
        <v>33</v>
      </c>
      <c r="G2650" s="348" t="str">
        <f>"'"&amp;$C2650&amp;"'!$E$62:$Y$62"</f>
        <v>'BLD_MH'!$E$62:$Y$62</v>
      </c>
      <c r="H2650" s="381">
        <f ca="1">IF(IFERROR(INDEX(DATA_PROPERTY_MASTER!$E$5:$E$21,MATCH($C2650,DATA_PROPERTY_MASTER!$A$5:$A$21,0))="Yes",FALSE),IFERROR(INDEX(INDIRECT("'"&amp;$C2650&amp;"'!$E$62:$Y$62"),1,MATCH($D2650,INDIRECT("'"&amp;$C2650&amp;"'!$E$12:$Y$12"),0)),0),0)</f>
        <v>0</v>
      </c>
      <c r="I2650" s="366" t="s">
        <v>1685</v>
      </c>
      <c r="J2650" s="348" t="str">
        <f t="shared" ca="1" si="82"/>
        <v>OK</v>
      </c>
      <c r="K2650" s="366" t="s">
        <v>1727</v>
      </c>
      <c r="L2650" s="366" t="s">
        <v>2254</v>
      </c>
      <c r="M2650" s="350" t="str">
        <f>IF($B2650="Portfolio","Portfolio",IFERROR(INDEX(DATA_ASSET_CLASSIFICATION!$B$8:$B$24,MATCH($C2650,DATA_ASSET_CLASSIFICATION!$A$8:$A$24,0)),"Review"))</f>
        <v>Margaret Heights</v>
      </c>
      <c r="N2650" s="350" t="str">
        <f ca="1">IF($B2650="Portfolio","Portfolio",IFERROR(INDEX(DATA_ASSET_CLASSIFICATION!$U$8:$U$24,MATCH($C2650,DATA_ASSET_CLASSIFICATION!$A$8:$A$24,0)),"Review"))</f>
        <v>Refi Watch</v>
      </c>
      <c r="O2650" s="350" t="str">
        <f ca="1">IF($B2650="Portfolio","Portfolio",IFERROR(INDEX(DATA_ASSET_CLASSIFICATION!$AB$8:$AB$13,MATCH($N2650,DATA_ASSET_CLASSIFICATION!$AA$8:$AA$13,0)),"Review"))</f>
        <v>Bucket 2 · Legacy</v>
      </c>
      <c r="P2650" s="350" t="str">
        <f>IF($B2650="Portfolio","Portfolio",IFERROR(INDEX(DATA_ASSET_CLASSIFICATION!$C$8:$C$24,MATCH($C2650,DATA_ASSET_CLASSIFICATION!$A$8:$A$24,0)),"Review"))</f>
        <v>Yes</v>
      </c>
      <c r="Q2650" s="350" t="str">
        <f t="shared" ca="1" si="83"/>
        <v>OK</v>
      </c>
    </row>
    <row r="2651" spans="1:17">
      <c r="A2651" s="366" t="s">
        <v>4607</v>
      </c>
      <c r="B2651" s="366" t="s">
        <v>231</v>
      </c>
      <c r="C2651" s="348" t="str">
        <f>DATA_PROPERTY_MASTER!$A$13</f>
        <v>BLD_MH</v>
      </c>
      <c r="D2651" s="380">
        <f>'00_PORTFOLIO ROLLUP'!G$12</f>
        <v>2027</v>
      </c>
      <c r="E2651" s="366" t="s">
        <v>1721</v>
      </c>
      <c r="F2651" s="366" t="s">
        <v>35</v>
      </c>
      <c r="G2651" s="348" t="str">
        <f>"'"&amp;$C2651&amp;"'!$E$63:$Y$63"</f>
        <v>'BLD_MH'!$E$63:$Y$63</v>
      </c>
      <c r="H2651" s="381">
        <f ca="1">IF(IFERROR(INDEX(DATA_PROPERTY_MASTER!$E$5:$E$21,MATCH($C2651,DATA_PROPERTY_MASTER!$A$5:$A$21,0))="Yes",FALSE),IFERROR(INDEX(INDIRECT("'"&amp;$C2651&amp;"'!$E$63:$Y$63"),1,MATCH($D2651,INDIRECT("'"&amp;$C2651&amp;"'!$E$12:$Y$12"),0)),0),0)</f>
        <v>0</v>
      </c>
      <c r="I2651" s="366" t="s">
        <v>1731</v>
      </c>
      <c r="J2651" s="348" t="str">
        <f t="shared" ca="1" si="82"/>
        <v>OK</v>
      </c>
      <c r="K2651" s="366" t="s">
        <v>1732</v>
      </c>
      <c r="L2651" s="366" t="s">
        <v>2256</v>
      </c>
      <c r="M2651" s="350" t="str">
        <f>IF($B2651="Portfolio","Portfolio",IFERROR(INDEX(DATA_ASSET_CLASSIFICATION!$B$8:$B$24,MATCH($C2651,DATA_ASSET_CLASSIFICATION!$A$8:$A$24,0)),"Review"))</f>
        <v>Margaret Heights</v>
      </c>
      <c r="N2651" s="350" t="str">
        <f ca="1">IF($B2651="Portfolio","Portfolio",IFERROR(INDEX(DATA_ASSET_CLASSIFICATION!$U$8:$U$24,MATCH($C2651,DATA_ASSET_CLASSIFICATION!$A$8:$A$24,0)),"Review"))</f>
        <v>Refi Watch</v>
      </c>
      <c r="O2651" s="350" t="str">
        <f ca="1">IF($B2651="Portfolio","Portfolio",IFERROR(INDEX(DATA_ASSET_CLASSIFICATION!$AB$8:$AB$13,MATCH($N2651,DATA_ASSET_CLASSIFICATION!$AA$8:$AA$13,0)),"Review"))</f>
        <v>Bucket 2 · Legacy</v>
      </c>
      <c r="P2651" s="350" t="str">
        <f>IF($B2651="Portfolio","Portfolio",IFERROR(INDEX(DATA_ASSET_CLASSIFICATION!$C$8:$C$24,MATCH($C2651,DATA_ASSET_CLASSIFICATION!$A$8:$A$24,0)),"Review"))</f>
        <v>Yes</v>
      </c>
      <c r="Q2651" s="350" t="str">
        <f t="shared" ca="1" si="83"/>
        <v>OK</v>
      </c>
    </row>
    <row r="2652" spans="1:17">
      <c r="A2652" s="366" t="s">
        <v>4608</v>
      </c>
      <c r="B2652" s="366" t="s">
        <v>231</v>
      </c>
      <c r="C2652" s="348" t="str">
        <f>DATA_PROPERTY_MASTER!$A$13</f>
        <v>BLD_MH</v>
      </c>
      <c r="D2652" s="380">
        <f>'00_PORTFOLIO ROLLUP'!G$12</f>
        <v>2027</v>
      </c>
      <c r="E2652" s="366" t="s">
        <v>1721</v>
      </c>
      <c r="F2652" s="366" t="s">
        <v>37</v>
      </c>
      <c r="G2652" s="348" t="str">
        <f>"'"&amp;$C2652&amp;"'!$E$63:$Y$63"</f>
        <v>'BLD_MH'!$E$63:$Y$63</v>
      </c>
      <c r="H2652" s="381">
        <f ca="1">IF(IFERROR(INDEX(DATA_PROPERTY_MASTER!$E$5:$E$21,MATCH($C2652,DATA_PROPERTY_MASTER!$A$5:$A$21,0))="Yes",FALSE),MAX(IFERROR(INDEX(INDIRECT("'"&amp;$C2652&amp;"'!$E$63:$Y$63"),1,MATCH($D2652,INDIRECT("'"&amp;$C2652&amp;"'!$E$12:$Y$12"),0)),0),0),0)</f>
        <v>0</v>
      </c>
      <c r="I2652" s="366" t="s">
        <v>1685</v>
      </c>
      <c r="J2652" s="348" t="str">
        <f t="shared" ca="1" si="82"/>
        <v>OK</v>
      </c>
      <c r="K2652" s="366" t="s">
        <v>1735</v>
      </c>
      <c r="L2652" s="366" t="s">
        <v>2258</v>
      </c>
      <c r="M2652" s="350" t="str">
        <f>IF($B2652="Portfolio","Portfolio",IFERROR(INDEX(DATA_ASSET_CLASSIFICATION!$B$8:$B$24,MATCH($C2652,DATA_ASSET_CLASSIFICATION!$A$8:$A$24,0)),"Review"))</f>
        <v>Margaret Heights</v>
      </c>
      <c r="N2652" s="350" t="str">
        <f ca="1">IF($B2652="Portfolio","Portfolio",IFERROR(INDEX(DATA_ASSET_CLASSIFICATION!$U$8:$U$24,MATCH($C2652,DATA_ASSET_CLASSIFICATION!$A$8:$A$24,0)),"Review"))</f>
        <v>Refi Watch</v>
      </c>
      <c r="O2652" s="350" t="str">
        <f ca="1">IF($B2652="Portfolio","Portfolio",IFERROR(INDEX(DATA_ASSET_CLASSIFICATION!$AB$8:$AB$13,MATCH($N2652,DATA_ASSET_CLASSIFICATION!$AA$8:$AA$13,0)),"Review"))</f>
        <v>Bucket 2 · Legacy</v>
      </c>
      <c r="P2652" s="350" t="str">
        <f>IF($B2652="Portfolio","Portfolio",IFERROR(INDEX(DATA_ASSET_CLASSIFICATION!$C$8:$C$24,MATCH($C2652,DATA_ASSET_CLASSIFICATION!$A$8:$A$24,0)),"Review"))</f>
        <v>Yes</v>
      </c>
      <c r="Q2652" s="350" t="str">
        <f t="shared" ca="1" si="83"/>
        <v>OK</v>
      </c>
    </row>
    <row r="2653" spans="1:17">
      <c r="A2653" s="366" t="s">
        <v>4609</v>
      </c>
      <c r="B2653" s="366" t="s">
        <v>231</v>
      </c>
      <c r="C2653" s="348" t="str">
        <f>DATA_PROPERTY_MASTER!$A$13</f>
        <v>BLD_MH</v>
      </c>
      <c r="D2653" s="380">
        <f>'00_PORTFOLIO ROLLUP'!G$12</f>
        <v>2027</v>
      </c>
      <c r="E2653" s="366" t="s">
        <v>1721</v>
      </c>
      <c r="F2653" s="366" t="s">
        <v>39</v>
      </c>
      <c r="G2653" s="348" t="str">
        <f>"'"&amp;$C2653&amp;"'!$E$63:$Y$63"</f>
        <v>'BLD_MH'!$E$63:$Y$63</v>
      </c>
      <c r="H2653" s="381">
        <f ca="1">IF(IFERROR(INDEX(DATA_PROPERTY_MASTER!$E$5:$E$21,MATCH($C2653,DATA_PROPERTY_MASTER!$A$5:$A$21,0))="Yes",FALSE),MAX(-IFERROR(INDEX(INDIRECT("'"&amp;$C2653&amp;"'!$E$63:$Y$63"),1,MATCH($D2653,INDIRECT("'"&amp;$C2653&amp;"'!$E$12:$Y$12"),0)),0),0),0)</f>
        <v>0</v>
      </c>
      <c r="I2653" s="366" t="s">
        <v>1690</v>
      </c>
      <c r="J2653" s="348" t="str">
        <f t="shared" ca="1" si="82"/>
        <v>OK</v>
      </c>
      <c r="K2653" s="366" t="s">
        <v>1738</v>
      </c>
      <c r="L2653" s="366" t="s">
        <v>2260</v>
      </c>
      <c r="M2653" s="350" t="str">
        <f>IF($B2653="Portfolio","Portfolio",IFERROR(INDEX(DATA_ASSET_CLASSIFICATION!$B$8:$B$24,MATCH($C2653,DATA_ASSET_CLASSIFICATION!$A$8:$A$24,0)),"Review"))</f>
        <v>Margaret Heights</v>
      </c>
      <c r="N2653" s="350" t="str">
        <f ca="1">IF($B2653="Portfolio","Portfolio",IFERROR(INDEX(DATA_ASSET_CLASSIFICATION!$U$8:$U$24,MATCH($C2653,DATA_ASSET_CLASSIFICATION!$A$8:$A$24,0)),"Review"))</f>
        <v>Refi Watch</v>
      </c>
      <c r="O2653" s="350" t="str">
        <f ca="1">IF($B2653="Portfolio","Portfolio",IFERROR(INDEX(DATA_ASSET_CLASSIFICATION!$AB$8:$AB$13,MATCH($N2653,DATA_ASSET_CLASSIFICATION!$AA$8:$AA$13,0)),"Review"))</f>
        <v>Bucket 2 · Legacy</v>
      </c>
      <c r="P2653" s="350" t="str">
        <f>IF($B2653="Portfolio","Portfolio",IFERROR(INDEX(DATA_ASSET_CLASSIFICATION!$C$8:$C$24,MATCH($C2653,DATA_ASSET_CLASSIFICATION!$A$8:$A$24,0)),"Review"))</f>
        <v>Yes</v>
      </c>
      <c r="Q2653" s="350" t="str">
        <f t="shared" ca="1" si="83"/>
        <v>OK</v>
      </c>
    </row>
    <row r="2654" spans="1:17">
      <c r="A2654" s="366" t="s">
        <v>4610</v>
      </c>
      <c r="B2654" s="366" t="s">
        <v>231</v>
      </c>
      <c r="C2654" s="348" t="str">
        <f>DATA_PROPERTY_MASTER!$A$13</f>
        <v>BLD_MH</v>
      </c>
      <c r="D2654" s="380">
        <f>'00_PORTFOLIO ROLLUP'!G$12</f>
        <v>2027</v>
      </c>
      <c r="E2654" s="366" t="s">
        <v>1741</v>
      </c>
      <c r="F2654" s="366" t="s">
        <v>41</v>
      </c>
      <c r="G2654" s="348" t="str">
        <f>"'"&amp;$C2654&amp;"'!rows 56 + positive row 63"</f>
        <v>'BLD_MH'!rows 56 + positive row 63</v>
      </c>
      <c r="H2654" s="381">
        <f ca="1">IF(IFERROR(INDEX(DATA_PROPERTY_MASTER!$E$5:$E$21,MATCH($C2654,DATA_PROPERTY_MASTER!$A$5:$A$21,0))="Yes",FALSE),IFERROR(INDEX(INDIRECT("'"&amp;$C2654&amp;"'!$E$56:$Y$56"),1,MATCH($D2654,INDIRECT("'"&amp;$C2654&amp;"'!$E$12:$Y$12"),0)),0)+MAX(IFERROR(INDEX(INDIRECT("'"&amp;$C2654&amp;"'!$E$63:$Y$63"),1,MATCH($D2654,INDIRECT("'"&amp;$C2654&amp;"'!$E$12:$Y$12"),0)),0),0),0)</f>
        <v>84546.926627840017</v>
      </c>
      <c r="I2654" s="366" t="s">
        <v>1685</v>
      </c>
      <c r="J2654" s="348" t="str">
        <f t="shared" ca="1" si="82"/>
        <v>OK</v>
      </c>
      <c r="K2654" s="366" t="s">
        <v>1742</v>
      </c>
      <c r="L2654" s="366" t="s">
        <v>2262</v>
      </c>
      <c r="M2654" s="350" t="str">
        <f>IF($B2654="Portfolio","Portfolio",IFERROR(INDEX(DATA_ASSET_CLASSIFICATION!$B$8:$B$24,MATCH($C2654,DATA_ASSET_CLASSIFICATION!$A$8:$A$24,0)),"Review"))</f>
        <v>Margaret Heights</v>
      </c>
      <c r="N2654" s="350" t="str">
        <f ca="1">IF($B2654="Portfolio","Portfolio",IFERROR(INDEX(DATA_ASSET_CLASSIFICATION!$U$8:$U$24,MATCH($C2654,DATA_ASSET_CLASSIFICATION!$A$8:$A$24,0)),"Review"))</f>
        <v>Refi Watch</v>
      </c>
      <c r="O2654" s="350" t="str">
        <f ca="1">IF($B2654="Portfolio","Portfolio",IFERROR(INDEX(DATA_ASSET_CLASSIFICATION!$AB$8:$AB$13,MATCH($N2654,DATA_ASSET_CLASSIFICATION!$AA$8:$AA$13,0)),"Review"))</f>
        <v>Bucket 2 · Legacy</v>
      </c>
      <c r="P2654" s="350" t="str">
        <f>IF($B2654="Portfolio","Portfolio",IFERROR(INDEX(DATA_ASSET_CLASSIFICATION!$C$8:$C$24,MATCH($C2654,DATA_ASSET_CLASSIFICATION!$A$8:$A$24,0)),"Review"))</f>
        <v>Yes</v>
      </c>
      <c r="Q2654" s="350" t="str">
        <f t="shared" ca="1" si="83"/>
        <v>OK</v>
      </c>
    </row>
    <row r="2655" spans="1:17">
      <c r="A2655" s="366" t="s">
        <v>4611</v>
      </c>
      <c r="B2655" s="366" t="s">
        <v>231</v>
      </c>
      <c r="C2655" s="348" t="str">
        <f>DATA_PROPERTY_MASTER!$A$13</f>
        <v>BLD_MH</v>
      </c>
      <c r="D2655" s="380">
        <f>'00_PORTFOLIO ROLLUP'!G$12</f>
        <v>2027</v>
      </c>
      <c r="E2655" s="366" t="s">
        <v>1741</v>
      </c>
      <c r="F2655" s="366" t="s">
        <v>43</v>
      </c>
      <c r="G2655" s="348" t="str">
        <f>"'"&amp;$C2655&amp;"'!$E$68:$Y$68"</f>
        <v>'BLD_MH'!$E$68:$Y$68</v>
      </c>
      <c r="H2655" s="381">
        <f ca="1">IF(IFERROR(INDEX(DATA_PROPERTY_MASTER!$E$5:$E$21,MATCH($C2655,DATA_PROPERTY_MASTER!$A$5:$A$21,0))="Yes",FALSE),IFERROR(INDEX(INDIRECT("'"&amp;$C2655&amp;"'!$E$68:$Y$68"),1,MATCH($D2655,INDIRECT("'"&amp;$C2655&amp;"'!$E$12:$Y$12"),0)),0),0)</f>
        <v>84546.926627840017</v>
      </c>
      <c r="I2655" s="366" t="s">
        <v>1731</v>
      </c>
      <c r="J2655" s="348" t="str">
        <f t="shared" ca="1" si="82"/>
        <v>OK</v>
      </c>
      <c r="K2655" s="366" t="s">
        <v>1746</v>
      </c>
      <c r="L2655" s="366" t="s">
        <v>2264</v>
      </c>
      <c r="M2655" s="350" t="str">
        <f>IF($B2655="Portfolio","Portfolio",IFERROR(INDEX(DATA_ASSET_CLASSIFICATION!$B$8:$B$24,MATCH($C2655,DATA_ASSET_CLASSIFICATION!$A$8:$A$24,0)),"Review"))</f>
        <v>Margaret Heights</v>
      </c>
      <c r="N2655" s="350" t="str">
        <f ca="1">IF($B2655="Portfolio","Portfolio",IFERROR(INDEX(DATA_ASSET_CLASSIFICATION!$U$8:$U$24,MATCH($C2655,DATA_ASSET_CLASSIFICATION!$A$8:$A$24,0)),"Review"))</f>
        <v>Refi Watch</v>
      </c>
      <c r="O2655" s="350" t="str">
        <f ca="1">IF($B2655="Portfolio","Portfolio",IFERROR(INDEX(DATA_ASSET_CLASSIFICATION!$AB$8:$AB$13,MATCH($N2655,DATA_ASSET_CLASSIFICATION!$AA$8:$AA$13,0)),"Review"))</f>
        <v>Bucket 2 · Legacy</v>
      </c>
      <c r="P2655" s="350" t="str">
        <f>IF($B2655="Portfolio","Portfolio",IFERROR(INDEX(DATA_ASSET_CLASSIFICATION!$C$8:$C$24,MATCH($C2655,DATA_ASSET_CLASSIFICATION!$A$8:$A$24,0)),"Review"))</f>
        <v>Yes</v>
      </c>
      <c r="Q2655" s="350" t="str">
        <f t="shared" ca="1" si="83"/>
        <v>OK</v>
      </c>
    </row>
    <row r="2656" spans="1:17">
      <c r="A2656" s="366" t="s">
        <v>4612</v>
      </c>
      <c r="B2656" s="366" t="s">
        <v>231</v>
      </c>
      <c r="C2656" s="348" t="str">
        <f>DATA_PROPERTY_MASTER!$A$13</f>
        <v>BLD_MH</v>
      </c>
      <c r="D2656" s="380">
        <f>'00_PORTFOLIO ROLLUP'!G$12</f>
        <v>2027</v>
      </c>
      <c r="E2656" s="366" t="s">
        <v>1741</v>
      </c>
      <c r="F2656" s="366" t="s">
        <v>1749</v>
      </c>
      <c r="G2656" s="348" t="str">
        <f>"'"&amp;$C2656&amp;"'!rows 56, 63, 68"</f>
        <v>'BLD_MH'!rows 56, 63, 68</v>
      </c>
      <c r="H2656" s="381">
        <f ca="1">IF(IFERROR(INDEX(DATA_PROPERTY_MASTER!$E$5:$E$21,MATCH($C2656,DATA_PROPERTY_MASTER!$A$5:$A$21,0))="Yes",FALSE),(IFERROR(INDEX(INDIRECT("'"&amp;$C2656&amp;"'!$E$56:$Y$56"),1,MATCH($D2656,INDIRECT("'"&amp;$C2656&amp;"'!$E$12:$Y$12"),0)),0)+MAX(IFERROR(INDEX(INDIRECT("'"&amp;$C2656&amp;"'!$E$63:$Y$63"),1,MATCH($D2656,INDIRECT("'"&amp;$C2656&amp;"'!$E$12:$Y$12"),0)),0),0))-(IFERROR(INDEX(INDIRECT("'"&amp;$C2656&amp;"'!$E$68:$Y$68"),1,MATCH($D2656,INDIRECT("'"&amp;$C2656&amp;"'!$E$12:$Y$12"),0)),0)),0)</f>
        <v>0</v>
      </c>
      <c r="I2656" s="366" t="s">
        <v>1750</v>
      </c>
      <c r="J2656" s="348" t="str">
        <f t="shared" ca="1" si="82"/>
        <v>OK</v>
      </c>
      <c r="K2656" s="366" t="s">
        <v>1751</v>
      </c>
      <c r="L2656" s="366" t="s">
        <v>2266</v>
      </c>
      <c r="M2656" s="350" t="str">
        <f>IF($B2656="Portfolio","Portfolio",IFERROR(INDEX(DATA_ASSET_CLASSIFICATION!$B$8:$B$24,MATCH($C2656,DATA_ASSET_CLASSIFICATION!$A$8:$A$24,0)),"Review"))</f>
        <v>Margaret Heights</v>
      </c>
      <c r="N2656" s="350" t="str">
        <f ca="1">IF($B2656="Portfolio","Portfolio",IFERROR(INDEX(DATA_ASSET_CLASSIFICATION!$U$8:$U$24,MATCH($C2656,DATA_ASSET_CLASSIFICATION!$A$8:$A$24,0)),"Review"))</f>
        <v>Refi Watch</v>
      </c>
      <c r="O2656" s="350" t="str">
        <f ca="1">IF($B2656="Portfolio","Portfolio",IFERROR(INDEX(DATA_ASSET_CLASSIFICATION!$AB$8:$AB$13,MATCH($N2656,DATA_ASSET_CLASSIFICATION!$AA$8:$AA$13,0)),"Review"))</f>
        <v>Bucket 2 · Legacy</v>
      </c>
      <c r="P2656" s="350" t="str">
        <f>IF($B2656="Portfolio","Portfolio",IFERROR(INDEX(DATA_ASSET_CLASSIFICATION!$C$8:$C$24,MATCH($C2656,DATA_ASSET_CLASSIFICATION!$A$8:$A$24,0)),"Review"))</f>
        <v>Yes</v>
      </c>
      <c r="Q2656" s="350" t="str">
        <f t="shared" ca="1" si="83"/>
        <v>OK</v>
      </c>
    </row>
    <row r="2657" spans="1:17">
      <c r="A2657" s="366" t="s">
        <v>4613</v>
      </c>
      <c r="B2657" s="366" t="s">
        <v>231</v>
      </c>
      <c r="C2657" s="348" t="str">
        <f>DATA_PROPERTY_MASTER!$A$13</f>
        <v>BLD_MH</v>
      </c>
      <c r="D2657" s="380">
        <f>'00_PORTFOLIO ROLLUP'!H$12</f>
        <v>2028</v>
      </c>
      <c r="E2657" s="366" t="s">
        <v>1683</v>
      </c>
      <c r="F2657" s="366" t="s">
        <v>341</v>
      </c>
      <c r="G2657" s="348" t="str">
        <f>"'"&amp;$C2657&amp;"'!$E$24:$Y$24"</f>
        <v>'BLD_MH'!$E$24:$Y$24</v>
      </c>
      <c r="H2657" s="381">
        <f ca="1">IF(IFERROR(INDEX(DATA_PROPERTY_MASTER!$E$5:$E$21,MATCH($C2657,DATA_PROPERTY_MASTER!$A$5:$A$21,0))="Yes",FALSE),IFERROR(INDEX(INDIRECT("'"&amp;$C2657&amp;"'!$E$24:$Y$24"),1,MATCH($D2657,INDIRECT("'"&amp;$C2657&amp;"'!$E$12:$Y$12"),0)),0),0)</f>
        <v>418893.84293299192</v>
      </c>
      <c r="I2657" s="366" t="s">
        <v>1685</v>
      </c>
      <c r="J2657" s="348" t="str">
        <f t="shared" ca="1" si="82"/>
        <v>OK</v>
      </c>
      <c r="K2657" s="366" t="s">
        <v>1686</v>
      </c>
      <c r="L2657" s="366" t="s">
        <v>2234</v>
      </c>
      <c r="M2657" s="350" t="str">
        <f>IF($B2657="Portfolio","Portfolio",IFERROR(INDEX(DATA_ASSET_CLASSIFICATION!$B$8:$B$24,MATCH($C2657,DATA_ASSET_CLASSIFICATION!$A$8:$A$24,0)),"Review"))</f>
        <v>Margaret Heights</v>
      </c>
      <c r="N2657" s="350" t="str">
        <f ca="1">IF($B2657="Portfolio","Portfolio",IFERROR(INDEX(DATA_ASSET_CLASSIFICATION!$U$8:$U$24,MATCH($C2657,DATA_ASSET_CLASSIFICATION!$A$8:$A$24,0)),"Review"))</f>
        <v>Refi Watch</v>
      </c>
      <c r="O2657" s="350" t="str">
        <f ca="1">IF($B2657="Portfolio","Portfolio",IFERROR(INDEX(DATA_ASSET_CLASSIFICATION!$AB$8:$AB$13,MATCH($N2657,DATA_ASSET_CLASSIFICATION!$AA$8:$AA$13,0)),"Review"))</f>
        <v>Bucket 2 · Legacy</v>
      </c>
      <c r="P2657" s="350" t="str">
        <f>IF($B2657="Portfolio","Portfolio",IFERROR(INDEX(DATA_ASSET_CLASSIFICATION!$C$8:$C$24,MATCH($C2657,DATA_ASSET_CLASSIFICATION!$A$8:$A$24,0)),"Review"))</f>
        <v>Yes</v>
      </c>
      <c r="Q2657" s="350" t="str">
        <f t="shared" ca="1" si="83"/>
        <v>OK</v>
      </c>
    </row>
    <row r="2658" spans="1:17">
      <c r="A2658" s="366" t="s">
        <v>4614</v>
      </c>
      <c r="B2658" s="366" t="s">
        <v>231</v>
      </c>
      <c r="C2658" s="348" t="str">
        <f>DATA_PROPERTY_MASTER!$A$13</f>
        <v>BLD_MH</v>
      </c>
      <c r="D2658" s="380">
        <f>'00_PORTFOLIO ROLLUP'!H$12</f>
        <v>2028</v>
      </c>
      <c r="E2658" s="366" t="s">
        <v>1683</v>
      </c>
      <c r="F2658" s="366" t="s">
        <v>355</v>
      </c>
      <c r="G2658" s="348" t="str">
        <f>"'"&amp;$C2658&amp;"'!$E$39:$Y$39"</f>
        <v>'BLD_MH'!$E$39:$Y$39</v>
      </c>
      <c r="H2658" s="381">
        <f ca="1">IF(IFERROR(INDEX(DATA_PROPERTY_MASTER!$E$5:$E$21,MATCH($C2658,DATA_PROPERTY_MASTER!$A$5:$A$21,0))="Yes",FALSE),IFERROR(INDEX(INDIRECT("'"&amp;$C2658&amp;"'!$E$39:$Y$39"),1,MATCH($D2658,INDIRECT("'"&amp;$C2658&amp;"'!$E$12:$Y$12"),0)),0),0)</f>
        <v>207285.43846400001</v>
      </c>
      <c r="I2658" s="366" t="s">
        <v>1690</v>
      </c>
      <c r="J2658" s="348" t="str">
        <f t="shared" ca="1" si="82"/>
        <v>OK</v>
      </c>
      <c r="K2658" s="366" t="s">
        <v>1686</v>
      </c>
      <c r="L2658" s="366" t="s">
        <v>2236</v>
      </c>
      <c r="M2658" s="350" t="str">
        <f>IF($B2658="Portfolio","Portfolio",IFERROR(INDEX(DATA_ASSET_CLASSIFICATION!$B$8:$B$24,MATCH($C2658,DATA_ASSET_CLASSIFICATION!$A$8:$A$24,0)),"Review"))</f>
        <v>Margaret Heights</v>
      </c>
      <c r="N2658" s="350" t="str">
        <f ca="1">IF($B2658="Portfolio","Portfolio",IFERROR(INDEX(DATA_ASSET_CLASSIFICATION!$U$8:$U$24,MATCH($C2658,DATA_ASSET_CLASSIFICATION!$A$8:$A$24,0)),"Review"))</f>
        <v>Refi Watch</v>
      </c>
      <c r="O2658" s="350" t="str">
        <f ca="1">IF($B2658="Portfolio","Portfolio",IFERROR(INDEX(DATA_ASSET_CLASSIFICATION!$AB$8:$AB$13,MATCH($N2658,DATA_ASSET_CLASSIFICATION!$AA$8:$AA$13,0)),"Review"))</f>
        <v>Bucket 2 · Legacy</v>
      </c>
      <c r="P2658" s="350" t="str">
        <f>IF($B2658="Portfolio","Portfolio",IFERROR(INDEX(DATA_ASSET_CLASSIFICATION!$C$8:$C$24,MATCH($C2658,DATA_ASSET_CLASSIFICATION!$A$8:$A$24,0)),"Review"))</f>
        <v>Yes</v>
      </c>
      <c r="Q2658" s="350" t="str">
        <f t="shared" ca="1" si="83"/>
        <v>OK</v>
      </c>
    </row>
    <row r="2659" spans="1:17">
      <c r="A2659" s="366" t="s">
        <v>4615</v>
      </c>
      <c r="B2659" s="366" t="s">
        <v>231</v>
      </c>
      <c r="C2659" s="348" t="str">
        <f>DATA_PROPERTY_MASTER!$A$13</f>
        <v>BLD_MH</v>
      </c>
      <c r="D2659" s="380">
        <f>'00_PORTFOLIO ROLLUP'!H$12</f>
        <v>2028</v>
      </c>
      <c r="E2659" s="366" t="s">
        <v>1683</v>
      </c>
      <c r="F2659" s="366" t="s">
        <v>19</v>
      </c>
      <c r="G2659" s="348" t="str">
        <f>"'"&amp;$C2659&amp;"'!$E$41:$Y$41"</f>
        <v>'BLD_MH'!$E$41:$Y$41</v>
      </c>
      <c r="H2659" s="381">
        <f ca="1">IF(IFERROR(INDEX(DATA_PROPERTY_MASTER!$E$5:$E$21,MATCH($C2659,DATA_PROPERTY_MASTER!$A$5:$A$21,0))="Yes",FALSE),IFERROR(INDEX(INDIRECT("'"&amp;$C2659&amp;"'!$E$41:$Y$41"),1,MATCH($D2659,INDIRECT("'"&amp;$C2659&amp;"'!$E$12:$Y$12"),0)),0),0)</f>
        <v>211608.40446899191</v>
      </c>
      <c r="I2659" s="366" t="s">
        <v>1685</v>
      </c>
      <c r="J2659" s="348" t="str">
        <f t="shared" ca="1" si="82"/>
        <v>OK</v>
      </c>
      <c r="K2659" s="366" t="s">
        <v>1694</v>
      </c>
      <c r="L2659" s="366" t="s">
        <v>2238</v>
      </c>
      <c r="M2659" s="350" t="str">
        <f>IF($B2659="Portfolio","Portfolio",IFERROR(INDEX(DATA_ASSET_CLASSIFICATION!$B$8:$B$24,MATCH($C2659,DATA_ASSET_CLASSIFICATION!$A$8:$A$24,0)),"Review"))</f>
        <v>Margaret Heights</v>
      </c>
      <c r="N2659" s="350" t="str">
        <f ca="1">IF($B2659="Portfolio","Portfolio",IFERROR(INDEX(DATA_ASSET_CLASSIFICATION!$U$8:$U$24,MATCH($C2659,DATA_ASSET_CLASSIFICATION!$A$8:$A$24,0)),"Review"))</f>
        <v>Refi Watch</v>
      </c>
      <c r="O2659" s="350" t="str">
        <f ca="1">IF($B2659="Portfolio","Portfolio",IFERROR(INDEX(DATA_ASSET_CLASSIFICATION!$AB$8:$AB$13,MATCH($N2659,DATA_ASSET_CLASSIFICATION!$AA$8:$AA$13,0)),"Review"))</f>
        <v>Bucket 2 · Legacy</v>
      </c>
      <c r="P2659" s="350" t="str">
        <f>IF($B2659="Portfolio","Portfolio",IFERROR(INDEX(DATA_ASSET_CLASSIFICATION!$C$8:$C$24,MATCH($C2659,DATA_ASSET_CLASSIFICATION!$A$8:$A$24,0)),"Review"))</f>
        <v>Yes</v>
      </c>
      <c r="Q2659" s="350" t="str">
        <f t="shared" ca="1" si="83"/>
        <v>OK</v>
      </c>
    </row>
    <row r="2660" spans="1:17">
      <c r="A2660" s="366" t="s">
        <v>4616</v>
      </c>
      <c r="B2660" s="366" t="s">
        <v>231</v>
      </c>
      <c r="C2660" s="348" t="str">
        <f>DATA_PROPERTY_MASTER!$A$13</f>
        <v>BLD_MH</v>
      </c>
      <c r="D2660" s="380">
        <f>'00_PORTFOLIO ROLLUP'!H$12</f>
        <v>2028</v>
      </c>
      <c r="E2660" s="366" t="s">
        <v>1683</v>
      </c>
      <c r="F2660" s="366" t="s">
        <v>1697</v>
      </c>
      <c r="G2660" s="348" t="str">
        <f>"'"&amp;$C2660&amp;"'!$E$44:$Y$44"</f>
        <v>'BLD_MH'!$E$44:$Y$44</v>
      </c>
      <c r="H2660" s="381">
        <f ca="1">IF(IFERROR(INDEX(DATA_PROPERTY_MASTER!$E$5:$E$21,MATCH($C2660,DATA_PROPERTY_MASTER!$A$5:$A$21,0))="Yes",FALSE),IFERROR(INDEX(INDIRECT("'"&amp;$C2660&amp;"'!$E$44:$Y$44"),1,MATCH($D2660,INDIRECT("'"&amp;$C2660&amp;"'!$E$12:$Y$12"),0)),0),0)</f>
        <v>3024.4427999999998</v>
      </c>
      <c r="I2660" s="366" t="s">
        <v>1690</v>
      </c>
      <c r="J2660" s="348" t="str">
        <f t="shared" ca="1" si="82"/>
        <v>OK</v>
      </c>
      <c r="K2660" s="366" t="s">
        <v>1699</v>
      </c>
      <c r="L2660" s="366" t="s">
        <v>2240</v>
      </c>
      <c r="M2660" s="350" t="str">
        <f>IF($B2660="Portfolio","Portfolio",IFERROR(INDEX(DATA_ASSET_CLASSIFICATION!$B$8:$B$24,MATCH($C2660,DATA_ASSET_CLASSIFICATION!$A$8:$A$24,0)),"Review"))</f>
        <v>Margaret Heights</v>
      </c>
      <c r="N2660" s="350" t="str">
        <f ca="1">IF($B2660="Portfolio","Portfolio",IFERROR(INDEX(DATA_ASSET_CLASSIFICATION!$U$8:$U$24,MATCH($C2660,DATA_ASSET_CLASSIFICATION!$A$8:$A$24,0)),"Review"))</f>
        <v>Refi Watch</v>
      </c>
      <c r="O2660" s="350" t="str">
        <f ca="1">IF($B2660="Portfolio","Portfolio",IFERROR(INDEX(DATA_ASSET_CLASSIFICATION!$AB$8:$AB$13,MATCH($N2660,DATA_ASSET_CLASSIFICATION!$AA$8:$AA$13,0)),"Review"))</f>
        <v>Bucket 2 · Legacy</v>
      </c>
      <c r="P2660" s="350" t="str">
        <f>IF($B2660="Portfolio","Portfolio",IFERROR(INDEX(DATA_ASSET_CLASSIFICATION!$C$8:$C$24,MATCH($C2660,DATA_ASSET_CLASSIFICATION!$A$8:$A$24,0)),"Review"))</f>
        <v>Yes</v>
      </c>
      <c r="Q2660" s="350" t="str">
        <f t="shared" ca="1" si="83"/>
        <v>OK</v>
      </c>
    </row>
    <row r="2661" spans="1:17">
      <c r="A2661" s="366" t="s">
        <v>4617</v>
      </c>
      <c r="B2661" s="366" t="s">
        <v>231</v>
      </c>
      <c r="C2661" s="348" t="str">
        <f>DATA_PROPERTY_MASTER!$A$13</f>
        <v>BLD_MH</v>
      </c>
      <c r="D2661" s="380">
        <f>'00_PORTFOLIO ROLLUP'!H$12</f>
        <v>2028</v>
      </c>
      <c r="E2661" s="366" t="s">
        <v>1683</v>
      </c>
      <c r="F2661" s="366" t="s">
        <v>21</v>
      </c>
      <c r="G2661" s="348" t="str">
        <f>"'"&amp;$C2661&amp;"'!$E$45:$Y$45"</f>
        <v>'BLD_MH'!$E$45:$Y$45</v>
      </c>
      <c r="H2661" s="381">
        <f ca="1">IF(IFERROR(INDEX(DATA_PROPERTY_MASTER!$E$5:$E$21,MATCH($C2661,DATA_PROPERTY_MASTER!$A$5:$A$21,0))="Yes",FALSE),IFERROR(INDEX(INDIRECT("'"&amp;$C2661&amp;"'!$E$45:$Y$45"),1,MATCH($D2661,INDIRECT("'"&amp;$C2661&amp;"'!$E$12:$Y$12"),0)),0),0)</f>
        <v>208583.96166899192</v>
      </c>
      <c r="I2661" s="366" t="s">
        <v>1685</v>
      </c>
      <c r="J2661" s="348" t="str">
        <f t="shared" ca="1" si="82"/>
        <v>OK</v>
      </c>
      <c r="K2661" s="366" t="s">
        <v>1694</v>
      </c>
      <c r="L2661" s="366" t="s">
        <v>2242</v>
      </c>
      <c r="M2661" s="350" t="str">
        <f>IF($B2661="Portfolio","Portfolio",IFERROR(INDEX(DATA_ASSET_CLASSIFICATION!$B$8:$B$24,MATCH($C2661,DATA_ASSET_CLASSIFICATION!$A$8:$A$24,0)),"Review"))</f>
        <v>Margaret Heights</v>
      </c>
      <c r="N2661" s="350" t="str">
        <f ca="1">IF($B2661="Portfolio","Portfolio",IFERROR(INDEX(DATA_ASSET_CLASSIFICATION!$U$8:$U$24,MATCH($C2661,DATA_ASSET_CLASSIFICATION!$A$8:$A$24,0)),"Review"))</f>
        <v>Refi Watch</v>
      </c>
      <c r="O2661" s="350" t="str">
        <f ca="1">IF($B2661="Portfolio","Portfolio",IFERROR(INDEX(DATA_ASSET_CLASSIFICATION!$AB$8:$AB$13,MATCH($N2661,DATA_ASSET_CLASSIFICATION!$AA$8:$AA$13,0)),"Review"))</f>
        <v>Bucket 2 · Legacy</v>
      </c>
      <c r="P2661" s="350" t="str">
        <f>IF($B2661="Portfolio","Portfolio",IFERROR(INDEX(DATA_ASSET_CLASSIFICATION!$C$8:$C$24,MATCH($C2661,DATA_ASSET_CLASSIFICATION!$A$8:$A$24,0)),"Review"))</f>
        <v>Yes</v>
      </c>
      <c r="Q2661" s="350" t="str">
        <f t="shared" ca="1" si="83"/>
        <v>OK</v>
      </c>
    </row>
    <row r="2662" spans="1:17">
      <c r="A2662" s="366" t="s">
        <v>4618</v>
      </c>
      <c r="B2662" s="366" t="s">
        <v>231</v>
      </c>
      <c r="C2662" s="348" t="str">
        <f>DATA_PROPERTY_MASTER!$A$13</f>
        <v>BLD_MH</v>
      </c>
      <c r="D2662" s="380">
        <f>'00_PORTFOLIO ROLLUP'!H$12</f>
        <v>2028</v>
      </c>
      <c r="E2662" s="366" t="s">
        <v>23</v>
      </c>
      <c r="F2662" s="366" t="s">
        <v>23</v>
      </c>
      <c r="G2662" s="348" t="str">
        <f>"'"&amp;$C2662&amp;"'!$E$48:$Y$48"</f>
        <v>'BLD_MH'!$E$48:$Y$48</v>
      </c>
      <c r="H2662" s="381">
        <f ca="1">IF(IFERROR(INDEX(DATA_PROPERTY_MASTER!$E$5:$E$21,MATCH($C2662,DATA_PROPERTY_MASTER!$A$5:$A$21,0))="Yes",FALSE),IFERROR(INDEX(INDIRECT("'"&amp;$C2662&amp;"'!$E$48:$Y$48"),1,MATCH($D2662,INDIRECT("'"&amp;$C2662&amp;"'!$E$12:$Y$12"),0)),0),0)</f>
        <v>0</v>
      </c>
      <c r="I2662" s="366" t="s">
        <v>1690</v>
      </c>
      <c r="J2662" s="348" t="str">
        <f t="shared" ca="1" si="82"/>
        <v>OK</v>
      </c>
      <c r="K2662" s="366" t="s">
        <v>1706</v>
      </c>
      <c r="L2662" s="366" t="s">
        <v>2244</v>
      </c>
      <c r="M2662" s="350" t="str">
        <f>IF($B2662="Portfolio","Portfolio",IFERROR(INDEX(DATA_ASSET_CLASSIFICATION!$B$8:$B$24,MATCH($C2662,DATA_ASSET_CLASSIFICATION!$A$8:$A$24,0)),"Review"))</f>
        <v>Margaret Heights</v>
      </c>
      <c r="N2662" s="350" t="str">
        <f ca="1">IF($B2662="Portfolio","Portfolio",IFERROR(INDEX(DATA_ASSET_CLASSIFICATION!$U$8:$U$24,MATCH($C2662,DATA_ASSET_CLASSIFICATION!$A$8:$A$24,0)),"Review"))</f>
        <v>Refi Watch</v>
      </c>
      <c r="O2662" s="350" t="str">
        <f ca="1">IF($B2662="Portfolio","Portfolio",IFERROR(INDEX(DATA_ASSET_CLASSIFICATION!$AB$8:$AB$13,MATCH($N2662,DATA_ASSET_CLASSIFICATION!$AA$8:$AA$13,0)),"Review"))</f>
        <v>Bucket 2 · Legacy</v>
      </c>
      <c r="P2662" s="350" t="str">
        <f>IF($B2662="Portfolio","Portfolio",IFERROR(INDEX(DATA_ASSET_CLASSIFICATION!$C$8:$C$24,MATCH($C2662,DATA_ASSET_CLASSIFICATION!$A$8:$A$24,0)),"Review"))</f>
        <v>Yes</v>
      </c>
      <c r="Q2662" s="350" t="str">
        <f t="shared" ca="1" si="83"/>
        <v>OK</v>
      </c>
    </row>
    <row r="2663" spans="1:17">
      <c r="A2663" s="366" t="s">
        <v>4619</v>
      </c>
      <c r="B2663" s="366" t="s">
        <v>231</v>
      </c>
      <c r="C2663" s="348" t="str">
        <f>DATA_PROPERTY_MASTER!$A$13</f>
        <v>BLD_MH</v>
      </c>
      <c r="D2663" s="380">
        <f>'00_PORTFOLIO ROLLUP'!H$12</f>
        <v>2028</v>
      </c>
      <c r="E2663" s="366" t="s">
        <v>1683</v>
      </c>
      <c r="F2663" s="366" t="s">
        <v>25</v>
      </c>
      <c r="G2663" s="348" t="str">
        <f>"'"&amp;$C2663&amp;"'!$E$52:$Y$52"</f>
        <v>'BLD_MH'!$E$52:$Y$52</v>
      </c>
      <c r="H2663" s="381">
        <f ca="1">IF(IFERROR(INDEX(DATA_PROPERTY_MASTER!$E$5:$E$21,MATCH($C2663,DATA_PROPERTY_MASTER!$A$5:$A$21,0))="Yes",FALSE),IFERROR(INDEX(INDIRECT("'"&amp;$C2663&amp;"'!$E$52:$Y$52"),1,MATCH($D2663,INDIRECT("'"&amp;$C2663&amp;"'!$E$12:$Y$12"),0)),0),0)</f>
        <v>211608.40446899191</v>
      </c>
      <c r="I2663" s="366" t="s">
        <v>1685</v>
      </c>
      <c r="J2663" s="348" t="str">
        <f t="shared" ca="1" si="82"/>
        <v>OK</v>
      </c>
      <c r="K2663" s="366" t="s">
        <v>1710</v>
      </c>
      <c r="L2663" s="366" t="s">
        <v>2246</v>
      </c>
      <c r="M2663" s="350" t="str">
        <f>IF($B2663="Portfolio","Portfolio",IFERROR(INDEX(DATA_ASSET_CLASSIFICATION!$B$8:$B$24,MATCH($C2663,DATA_ASSET_CLASSIFICATION!$A$8:$A$24,0)),"Review"))</f>
        <v>Margaret Heights</v>
      </c>
      <c r="N2663" s="350" t="str">
        <f ca="1">IF($B2663="Portfolio","Portfolio",IFERROR(INDEX(DATA_ASSET_CLASSIFICATION!$U$8:$U$24,MATCH($C2663,DATA_ASSET_CLASSIFICATION!$A$8:$A$24,0)),"Review"))</f>
        <v>Refi Watch</v>
      </c>
      <c r="O2663" s="350" t="str">
        <f ca="1">IF($B2663="Portfolio","Portfolio",IFERROR(INDEX(DATA_ASSET_CLASSIFICATION!$AB$8:$AB$13,MATCH($N2663,DATA_ASSET_CLASSIFICATION!$AA$8:$AA$13,0)),"Review"))</f>
        <v>Bucket 2 · Legacy</v>
      </c>
      <c r="P2663" s="350" t="str">
        <f>IF($B2663="Portfolio","Portfolio",IFERROR(INDEX(DATA_ASSET_CLASSIFICATION!$C$8:$C$24,MATCH($C2663,DATA_ASSET_CLASSIFICATION!$A$8:$A$24,0)),"Review"))</f>
        <v>Yes</v>
      </c>
      <c r="Q2663" s="350" t="str">
        <f t="shared" ca="1" si="83"/>
        <v>OK</v>
      </c>
    </row>
    <row r="2664" spans="1:17">
      <c r="A2664" s="366" t="s">
        <v>4620</v>
      </c>
      <c r="B2664" s="366" t="s">
        <v>231</v>
      </c>
      <c r="C2664" s="348" t="str">
        <f>DATA_PROPERTY_MASTER!$A$13</f>
        <v>BLD_MH</v>
      </c>
      <c r="D2664" s="380">
        <f>'00_PORTFOLIO ROLLUP'!H$12</f>
        <v>2028</v>
      </c>
      <c r="E2664" s="366" t="s">
        <v>1683</v>
      </c>
      <c r="F2664" s="366" t="s">
        <v>27</v>
      </c>
      <c r="G2664" s="348" t="str">
        <f>"'"&amp;$C2664&amp;"'!$E$54:$Y$54"</f>
        <v>'BLD_MH'!$E$54:$Y$54</v>
      </c>
      <c r="H2664" s="381">
        <f ca="1">IF(IFERROR(INDEX(DATA_PROPERTY_MASTER!$E$5:$E$21,MATCH($C2664,DATA_PROPERTY_MASTER!$A$5:$A$21,0))="Yes",FALSE),IFERROR(INDEX(INDIRECT("'"&amp;$C2664&amp;"'!$E$54:$Y$54"),1,MATCH($D2664,INDIRECT("'"&amp;$C2664&amp;"'!$E$12:$Y$12"),0)),0),0)</f>
        <v>126965.04268139513</v>
      </c>
      <c r="I2664" s="366" t="s">
        <v>1690</v>
      </c>
      <c r="J2664" s="348" t="str">
        <f t="shared" ca="1" si="82"/>
        <v>OK</v>
      </c>
      <c r="K2664" s="366" t="s">
        <v>1714</v>
      </c>
      <c r="L2664" s="366" t="s">
        <v>2248</v>
      </c>
      <c r="M2664" s="350" t="str">
        <f>IF($B2664="Portfolio","Portfolio",IFERROR(INDEX(DATA_ASSET_CLASSIFICATION!$B$8:$B$24,MATCH($C2664,DATA_ASSET_CLASSIFICATION!$A$8:$A$24,0)),"Review"))</f>
        <v>Margaret Heights</v>
      </c>
      <c r="N2664" s="350" t="str">
        <f ca="1">IF($B2664="Portfolio","Portfolio",IFERROR(INDEX(DATA_ASSET_CLASSIFICATION!$U$8:$U$24,MATCH($C2664,DATA_ASSET_CLASSIFICATION!$A$8:$A$24,0)),"Review"))</f>
        <v>Refi Watch</v>
      </c>
      <c r="O2664" s="350" t="str">
        <f ca="1">IF($B2664="Portfolio","Portfolio",IFERROR(INDEX(DATA_ASSET_CLASSIFICATION!$AB$8:$AB$13,MATCH($N2664,DATA_ASSET_CLASSIFICATION!$AA$8:$AA$13,0)),"Review"))</f>
        <v>Bucket 2 · Legacy</v>
      </c>
      <c r="P2664" s="350" t="str">
        <f>IF($B2664="Portfolio","Portfolio",IFERROR(INDEX(DATA_ASSET_CLASSIFICATION!$C$8:$C$24,MATCH($C2664,DATA_ASSET_CLASSIFICATION!$A$8:$A$24,0)),"Review"))</f>
        <v>Yes</v>
      </c>
      <c r="Q2664" s="350" t="str">
        <f t="shared" ca="1" si="83"/>
        <v>OK</v>
      </c>
    </row>
    <row r="2665" spans="1:17">
      <c r="A2665" s="366" t="s">
        <v>4621</v>
      </c>
      <c r="B2665" s="366" t="s">
        <v>231</v>
      </c>
      <c r="C2665" s="348" t="str">
        <f>DATA_PROPERTY_MASTER!$A$13</f>
        <v>BLD_MH</v>
      </c>
      <c r="D2665" s="380">
        <f>'00_PORTFOLIO ROLLUP'!H$12</f>
        <v>2028</v>
      </c>
      <c r="E2665" s="366" t="s">
        <v>1683</v>
      </c>
      <c r="F2665" s="366" t="s">
        <v>29</v>
      </c>
      <c r="G2665" s="348" t="str">
        <f>"'"&amp;$C2665&amp;"'!$E$56:$Y$56"</f>
        <v>'BLD_MH'!$E$56:$Y$56</v>
      </c>
      <c r="H2665" s="381">
        <f ca="1">IF(IFERROR(INDEX(DATA_PROPERTY_MASTER!$E$5:$E$21,MATCH($C2665,DATA_PROPERTY_MASTER!$A$5:$A$21,0))="Yes",FALSE),IFERROR(INDEX(INDIRECT("'"&amp;$C2665&amp;"'!$E$56:$Y$56"),1,MATCH($D2665,INDIRECT("'"&amp;$C2665&amp;"'!$E$12:$Y$12"),0)),0),0)</f>
        <v>84643.361787596776</v>
      </c>
      <c r="I2665" s="366" t="s">
        <v>1685</v>
      </c>
      <c r="J2665" s="348" t="str">
        <f t="shared" ca="1" si="82"/>
        <v>OK</v>
      </c>
      <c r="K2665" s="366" t="s">
        <v>1718</v>
      </c>
      <c r="L2665" s="366" t="s">
        <v>2250</v>
      </c>
      <c r="M2665" s="350" t="str">
        <f>IF($B2665="Portfolio","Portfolio",IFERROR(INDEX(DATA_ASSET_CLASSIFICATION!$B$8:$B$24,MATCH($C2665,DATA_ASSET_CLASSIFICATION!$A$8:$A$24,0)),"Review"))</f>
        <v>Margaret Heights</v>
      </c>
      <c r="N2665" s="350" t="str">
        <f ca="1">IF($B2665="Portfolio","Portfolio",IFERROR(INDEX(DATA_ASSET_CLASSIFICATION!$U$8:$U$24,MATCH($C2665,DATA_ASSET_CLASSIFICATION!$A$8:$A$24,0)),"Review"))</f>
        <v>Refi Watch</v>
      </c>
      <c r="O2665" s="350" t="str">
        <f ca="1">IF($B2665="Portfolio","Portfolio",IFERROR(INDEX(DATA_ASSET_CLASSIFICATION!$AB$8:$AB$13,MATCH($N2665,DATA_ASSET_CLASSIFICATION!$AA$8:$AA$13,0)),"Review"))</f>
        <v>Bucket 2 · Legacy</v>
      </c>
      <c r="P2665" s="350" t="str">
        <f>IF($B2665="Portfolio","Portfolio",IFERROR(INDEX(DATA_ASSET_CLASSIFICATION!$C$8:$C$24,MATCH($C2665,DATA_ASSET_CLASSIFICATION!$A$8:$A$24,0)),"Review"))</f>
        <v>Yes</v>
      </c>
      <c r="Q2665" s="350" t="str">
        <f t="shared" ca="1" si="83"/>
        <v>OK</v>
      </c>
    </row>
    <row r="2666" spans="1:17">
      <c r="A2666" s="366" t="s">
        <v>4622</v>
      </c>
      <c r="B2666" s="366" t="s">
        <v>231</v>
      </c>
      <c r="C2666" s="348" t="str">
        <f>DATA_PROPERTY_MASTER!$A$13</f>
        <v>BLD_MH</v>
      </c>
      <c r="D2666" s="380">
        <f>'00_PORTFOLIO ROLLUP'!H$12</f>
        <v>2028</v>
      </c>
      <c r="E2666" s="366" t="s">
        <v>1721</v>
      </c>
      <c r="F2666" s="366" t="s">
        <v>31</v>
      </c>
      <c r="G2666" s="348" t="str">
        <f>"'"&amp;$C2666&amp;"'!$E$61:$Y$61"</f>
        <v>'BLD_MH'!$E$61:$Y$61</v>
      </c>
      <c r="H2666" s="381">
        <f ca="1">IF(IFERROR(INDEX(DATA_PROPERTY_MASTER!$E$5:$E$21,MATCH($C2666,DATA_PROPERTY_MASTER!$A$5:$A$21,0))="Yes",FALSE),IFERROR(INDEX(INDIRECT("'"&amp;$C2666&amp;"'!$E$61:$Y$61"),1,MATCH($D2666,INDIRECT("'"&amp;$C2666&amp;"'!$E$12:$Y$12"),0)),0),0)</f>
        <v>0</v>
      </c>
      <c r="I2666" s="366" t="s">
        <v>1690</v>
      </c>
      <c r="J2666" s="348" t="str">
        <f t="shared" ca="1" si="82"/>
        <v>OK</v>
      </c>
      <c r="K2666" s="366" t="s">
        <v>1723</v>
      </c>
      <c r="L2666" s="366" t="s">
        <v>2252</v>
      </c>
      <c r="M2666" s="350" t="str">
        <f>IF($B2666="Portfolio","Portfolio",IFERROR(INDEX(DATA_ASSET_CLASSIFICATION!$B$8:$B$24,MATCH($C2666,DATA_ASSET_CLASSIFICATION!$A$8:$A$24,0)),"Review"))</f>
        <v>Margaret Heights</v>
      </c>
      <c r="N2666" s="350" t="str">
        <f ca="1">IF($B2666="Portfolio","Portfolio",IFERROR(INDEX(DATA_ASSET_CLASSIFICATION!$U$8:$U$24,MATCH($C2666,DATA_ASSET_CLASSIFICATION!$A$8:$A$24,0)),"Review"))</f>
        <v>Refi Watch</v>
      </c>
      <c r="O2666" s="350" t="str">
        <f ca="1">IF($B2666="Portfolio","Portfolio",IFERROR(INDEX(DATA_ASSET_CLASSIFICATION!$AB$8:$AB$13,MATCH($N2666,DATA_ASSET_CLASSIFICATION!$AA$8:$AA$13,0)),"Review"))</f>
        <v>Bucket 2 · Legacy</v>
      </c>
      <c r="P2666" s="350" t="str">
        <f>IF($B2666="Portfolio","Portfolio",IFERROR(INDEX(DATA_ASSET_CLASSIFICATION!$C$8:$C$24,MATCH($C2666,DATA_ASSET_CLASSIFICATION!$A$8:$A$24,0)),"Review"))</f>
        <v>Yes</v>
      </c>
      <c r="Q2666" s="350" t="str">
        <f t="shared" ca="1" si="83"/>
        <v>OK</v>
      </c>
    </row>
    <row r="2667" spans="1:17">
      <c r="A2667" s="366" t="s">
        <v>4623</v>
      </c>
      <c r="B2667" s="366" t="s">
        <v>231</v>
      </c>
      <c r="C2667" s="348" t="str">
        <f>DATA_PROPERTY_MASTER!$A$13</f>
        <v>BLD_MH</v>
      </c>
      <c r="D2667" s="380">
        <f>'00_PORTFOLIO ROLLUP'!H$12</f>
        <v>2028</v>
      </c>
      <c r="E2667" s="366" t="s">
        <v>1721</v>
      </c>
      <c r="F2667" s="366" t="s">
        <v>33</v>
      </c>
      <c r="G2667" s="348" t="str">
        <f>"'"&amp;$C2667&amp;"'!$E$62:$Y$62"</f>
        <v>'BLD_MH'!$E$62:$Y$62</v>
      </c>
      <c r="H2667" s="381">
        <f ca="1">IF(IFERROR(INDEX(DATA_PROPERTY_MASTER!$E$5:$E$21,MATCH($C2667,DATA_PROPERTY_MASTER!$A$5:$A$21,0))="Yes",FALSE),IFERROR(INDEX(INDIRECT("'"&amp;$C2667&amp;"'!$E$62:$Y$62"),1,MATCH($D2667,INDIRECT("'"&amp;$C2667&amp;"'!$E$12:$Y$12"),0)),0),0)</f>
        <v>0</v>
      </c>
      <c r="I2667" s="366" t="s">
        <v>1685</v>
      </c>
      <c r="J2667" s="348" t="str">
        <f t="shared" ca="1" si="82"/>
        <v>OK</v>
      </c>
      <c r="K2667" s="366" t="s">
        <v>1727</v>
      </c>
      <c r="L2667" s="366" t="s">
        <v>2254</v>
      </c>
      <c r="M2667" s="350" t="str">
        <f>IF($B2667="Portfolio","Portfolio",IFERROR(INDEX(DATA_ASSET_CLASSIFICATION!$B$8:$B$24,MATCH($C2667,DATA_ASSET_CLASSIFICATION!$A$8:$A$24,0)),"Review"))</f>
        <v>Margaret Heights</v>
      </c>
      <c r="N2667" s="350" t="str">
        <f ca="1">IF($B2667="Portfolio","Portfolio",IFERROR(INDEX(DATA_ASSET_CLASSIFICATION!$U$8:$U$24,MATCH($C2667,DATA_ASSET_CLASSIFICATION!$A$8:$A$24,0)),"Review"))</f>
        <v>Refi Watch</v>
      </c>
      <c r="O2667" s="350" t="str">
        <f ca="1">IF($B2667="Portfolio","Portfolio",IFERROR(INDEX(DATA_ASSET_CLASSIFICATION!$AB$8:$AB$13,MATCH($N2667,DATA_ASSET_CLASSIFICATION!$AA$8:$AA$13,0)),"Review"))</f>
        <v>Bucket 2 · Legacy</v>
      </c>
      <c r="P2667" s="350" t="str">
        <f>IF($B2667="Portfolio","Portfolio",IFERROR(INDEX(DATA_ASSET_CLASSIFICATION!$C$8:$C$24,MATCH($C2667,DATA_ASSET_CLASSIFICATION!$A$8:$A$24,0)),"Review"))</f>
        <v>Yes</v>
      </c>
      <c r="Q2667" s="350" t="str">
        <f t="shared" ca="1" si="83"/>
        <v>OK</v>
      </c>
    </row>
    <row r="2668" spans="1:17">
      <c r="A2668" s="366" t="s">
        <v>4624</v>
      </c>
      <c r="B2668" s="366" t="s">
        <v>231</v>
      </c>
      <c r="C2668" s="348" t="str">
        <f>DATA_PROPERTY_MASTER!$A$13</f>
        <v>BLD_MH</v>
      </c>
      <c r="D2668" s="380">
        <f>'00_PORTFOLIO ROLLUP'!H$12</f>
        <v>2028</v>
      </c>
      <c r="E2668" s="366" t="s">
        <v>1721</v>
      </c>
      <c r="F2668" s="366" t="s">
        <v>35</v>
      </c>
      <c r="G2668" s="348" t="str">
        <f>"'"&amp;$C2668&amp;"'!$E$63:$Y$63"</f>
        <v>'BLD_MH'!$E$63:$Y$63</v>
      </c>
      <c r="H2668" s="381">
        <f ca="1">IF(IFERROR(INDEX(DATA_PROPERTY_MASTER!$E$5:$E$21,MATCH($C2668,DATA_PROPERTY_MASTER!$A$5:$A$21,0))="Yes",FALSE),IFERROR(INDEX(INDIRECT("'"&amp;$C2668&amp;"'!$E$63:$Y$63"),1,MATCH($D2668,INDIRECT("'"&amp;$C2668&amp;"'!$E$12:$Y$12"),0)),0),0)</f>
        <v>0</v>
      </c>
      <c r="I2668" s="366" t="s">
        <v>1731</v>
      </c>
      <c r="J2668" s="348" t="str">
        <f t="shared" ca="1" si="82"/>
        <v>OK</v>
      </c>
      <c r="K2668" s="366" t="s">
        <v>1732</v>
      </c>
      <c r="L2668" s="366" t="s">
        <v>2256</v>
      </c>
      <c r="M2668" s="350" t="str">
        <f>IF($B2668="Portfolio","Portfolio",IFERROR(INDEX(DATA_ASSET_CLASSIFICATION!$B$8:$B$24,MATCH($C2668,DATA_ASSET_CLASSIFICATION!$A$8:$A$24,0)),"Review"))</f>
        <v>Margaret Heights</v>
      </c>
      <c r="N2668" s="350" t="str">
        <f ca="1">IF($B2668="Portfolio","Portfolio",IFERROR(INDEX(DATA_ASSET_CLASSIFICATION!$U$8:$U$24,MATCH($C2668,DATA_ASSET_CLASSIFICATION!$A$8:$A$24,0)),"Review"))</f>
        <v>Refi Watch</v>
      </c>
      <c r="O2668" s="350" t="str">
        <f ca="1">IF($B2668="Portfolio","Portfolio",IFERROR(INDEX(DATA_ASSET_CLASSIFICATION!$AB$8:$AB$13,MATCH($N2668,DATA_ASSET_CLASSIFICATION!$AA$8:$AA$13,0)),"Review"))</f>
        <v>Bucket 2 · Legacy</v>
      </c>
      <c r="P2668" s="350" t="str">
        <f>IF($B2668="Portfolio","Portfolio",IFERROR(INDEX(DATA_ASSET_CLASSIFICATION!$C$8:$C$24,MATCH($C2668,DATA_ASSET_CLASSIFICATION!$A$8:$A$24,0)),"Review"))</f>
        <v>Yes</v>
      </c>
      <c r="Q2668" s="350" t="str">
        <f t="shared" ca="1" si="83"/>
        <v>OK</v>
      </c>
    </row>
    <row r="2669" spans="1:17">
      <c r="A2669" s="366" t="s">
        <v>4625</v>
      </c>
      <c r="B2669" s="366" t="s">
        <v>231</v>
      </c>
      <c r="C2669" s="348" t="str">
        <f>DATA_PROPERTY_MASTER!$A$13</f>
        <v>BLD_MH</v>
      </c>
      <c r="D2669" s="380">
        <f>'00_PORTFOLIO ROLLUP'!H$12</f>
        <v>2028</v>
      </c>
      <c r="E2669" s="366" t="s">
        <v>1721</v>
      </c>
      <c r="F2669" s="366" t="s">
        <v>37</v>
      </c>
      <c r="G2669" s="348" t="str">
        <f>"'"&amp;$C2669&amp;"'!$E$63:$Y$63"</f>
        <v>'BLD_MH'!$E$63:$Y$63</v>
      </c>
      <c r="H2669" s="381">
        <f ca="1">IF(IFERROR(INDEX(DATA_PROPERTY_MASTER!$E$5:$E$21,MATCH($C2669,DATA_PROPERTY_MASTER!$A$5:$A$21,0))="Yes",FALSE),MAX(IFERROR(INDEX(INDIRECT("'"&amp;$C2669&amp;"'!$E$63:$Y$63"),1,MATCH($D2669,INDIRECT("'"&amp;$C2669&amp;"'!$E$12:$Y$12"),0)),0),0),0)</f>
        <v>0</v>
      </c>
      <c r="I2669" s="366" t="s">
        <v>1685</v>
      </c>
      <c r="J2669" s="348" t="str">
        <f t="shared" ca="1" si="82"/>
        <v>OK</v>
      </c>
      <c r="K2669" s="366" t="s">
        <v>1735</v>
      </c>
      <c r="L2669" s="366" t="s">
        <v>2258</v>
      </c>
      <c r="M2669" s="350" t="str">
        <f>IF($B2669="Portfolio","Portfolio",IFERROR(INDEX(DATA_ASSET_CLASSIFICATION!$B$8:$B$24,MATCH($C2669,DATA_ASSET_CLASSIFICATION!$A$8:$A$24,0)),"Review"))</f>
        <v>Margaret Heights</v>
      </c>
      <c r="N2669" s="350" t="str">
        <f ca="1">IF($B2669="Portfolio","Portfolio",IFERROR(INDEX(DATA_ASSET_CLASSIFICATION!$U$8:$U$24,MATCH($C2669,DATA_ASSET_CLASSIFICATION!$A$8:$A$24,0)),"Review"))</f>
        <v>Refi Watch</v>
      </c>
      <c r="O2669" s="350" t="str">
        <f ca="1">IF($B2669="Portfolio","Portfolio",IFERROR(INDEX(DATA_ASSET_CLASSIFICATION!$AB$8:$AB$13,MATCH($N2669,DATA_ASSET_CLASSIFICATION!$AA$8:$AA$13,0)),"Review"))</f>
        <v>Bucket 2 · Legacy</v>
      </c>
      <c r="P2669" s="350" t="str">
        <f>IF($B2669="Portfolio","Portfolio",IFERROR(INDEX(DATA_ASSET_CLASSIFICATION!$C$8:$C$24,MATCH($C2669,DATA_ASSET_CLASSIFICATION!$A$8:$A$24,0)),"Review"))</f>
        <v>Yes</v>
      </c>
      <c r="Q2669" s="350" t="str">
        <f t="shared" ca="1" si="83"/>
        <v>OK</v>
      </c>
    </row>
    <row r="2670" spans="1:17">
      <c r="A2670" s="366" t="s">
        <v>4626</v>
      </c>
      <c r="B2670" s="366" t="s">
        <v>231</v>
      </c>
      <c r="C2670" s="348" t="str">
        <f>DATA_PROPERTY_MASTER!$A$13</f>
        <v>BLD_MH</v>
      </c>
      <c r="D2670" s="380">
        <f>'00_PORTFOLIO ROLLUP'!H$12</f>
        <v>2028</v>
      </c>
      <c r="E2670" s="366" t="s">
        <v>1721</v>
      </c>
      <c r="F2670" s="366" t="s">
        <v>39</v>
      </c>
      <c r="G2670" s="348" t="str">
        <f>"'"&amp;$C2670&amp;"'!$E$63:$Y$63"</f>
        <v>'BLD_MH'!$E$63:$Y$63</v>
      </c>
      <c r="H2670" s="381">
        <f ca="1">IF(IFERROR(INDEX(DATA_PROPERTY_MASTER!$E$5:$E$21,MATCH($C2670,DATA_PROPERTY_MASTER!$A$5:$A$21,0))="Yes",FALSE),MAX(-IFERROR(INDEX(INDIRECT("'"&amp;$C2670&amp;"'!$E$63:$Y$63"),1,MATCH($D2670,INDIRECT("'"&amp;$C2670&amp;"'!$E$12:$Y$12"),0)),0),0),0)</f>
        <v>0</v>
      </c>
      <c r="I2670" s="366" t="s">
        <v>1690</v>
      </c>
      <c r="J2670" s="348" t="str">
        <f t="shared" ca="1" si="82"/>
        <v>OK</v>
      </c>
      <c r="K2670" s="366" t="s">
        <v>1738</v>
      </c>
      <c r="L2670" s="366" t="s">
        <v>2260</v>
      </c>
      <c r="M2670" s="350" t="str">
        <f>IF($B2670="Portfolio","Portfolio",IFERROR(INDEX(DATA_ASSET_CLASSIFICATION!$B$8:$B$24,MATCH($C2670,DATA_ASSET_CLASSIFICATION!$A$8:$A$24,0)),"Review"))</f>
        <v>Margaret Heights</v>
      </c>
      <c r="N2670" s="350" t="str">
        <f ca="1">IF($B2670="Portfolio","Portfolio",IFERROR(INDEX(DATA_ASSET_CLASSIFICATION!$U$8:$U$24,MATCH($C2670,DATA_ASSET_CLASSIFICATION!$A$8:$A$24,0)),"Review"))</f>
        <v>Refi Watch</v>
      </c>
      <c r="O2670" s="350" t="str">
        <f ca="1">IF($B2670="Portfolio","Portfolio",IFERROR(INDEX(DATA_ASSET_CLASSIFICATION!$AB$8:$AB$13,MATCH($N2670,DATA_ASSET_CLASSIFICATION!$AA$8:$AA$13,0)),"Review"))</f>
        <v>Bucket 2 · Legacy</v>
      </c>
      <c r="P2670" s="350" t="str">
        <f>IF($B2670="Portfolio","Portfolio",IFERROR(INDEX(DATA_ASSET_CLASSIFICATION!$C$8:$C$24,MATCH($C2670,DATA_ASSET_CLASSIFICATION!$A$8:$A$24,0)),"Review"))</f>
        <v>Yes</v>
      </c>
      <c r="Q2670" s="350" t="str">
        <f t="shared" ca="1" si="83"/>
        <v>OK</v>
      </c>
    </row>
    <row r="2671" spans="1:17">
      <c r="A2671" s="366" t="s">
        <v>4627</v>
      </c>
      <c r="B2671" s="366" t="s">
        <v>231</v>
      </c>
      <c r="C2671" s="348" t="str">
        <f>DATA_PROPERTY_MASTER!$A$13</f>
        <v>BLD_MH</v>
      </c>
      <c r="D2671" s="380">
        <f>'00_PORTFOLIO ROLLUP'!H$12</f>
        <v>2028</v>
      </c>
      <c r="E2671" s="366" t="s">
        <v>1741</v>
      </c>
      <c r="F2671" s="366" t="s">
        <v>41</v>
      </c>
      <c r="G2671" s="348" t="str">
        <f>"'"&amp;$C2671&amp;"'!rows 56 + positive row 63"</f>
        <v>'BLD_MH'!rows 56 + positive row 63</v>
      </c>
      <c r="H2671" s="381">
        <f ca="1">IF(IFERROR(INDEX(DATA_PROPERTY_MASTER!$E$5:$E$21,MATCH($C2671,DATA_PROPERTY_MASTER!$A$5:$A$21,0))="Yes",FALSE),IFERROR(INDEX(INDIRECT("'"&amp;$C2671&amp;"'!$E$56:$Y$56"),1,MATCH($D2671,INDIRECT("'"&amp;$C2671&amp;"'!$E$12:$Y$12"),0)),0)+MAX(IFERROR(INDEX(INDIRECT("'"&amp;$C2671&amp;"'!$E$63:$Y$63"),1,MATCH($D2671,INDIRECT("'"&amp;$C2671&amp;"'!$E$12:$Y$12"),0)),0),0),0)</f>
        <v>84643.361787596776</v>
      </c>
      <c r="I2671" s="366" t="s">
        <v>1685</v>
      </c>
      <c r="J2671" s="348" t="str">
        <f t="shared" ca="1" si="82"/>
        <v>OK</v>
      </c>
      <c r="K2671" s="366" t="s">
        <v>1742</v>
      </c>
      <c r="L2671" s="366" t="s">
        <v>2262</v>
      </c>
      <c r="M2671" s="350" t="str">
        <f>IF($B2671="Portfolio","Portfolio",IFERROR(INDEX(DATA_ASSET_CLASSIFICATION!$B$8:$B$24,MATCH($C2671,DATA_ASSET_CLASSIFICATION!$A$8:$A$24,0)),"Review"))</f>
        <v>Margaret Heights</v>
      </c>
      <c r="N2671" s="350" t="str">
        <f ca="1">IF($B2671="Portfolio","Portfolio",IFERROR(INDEX(DATA_ASSET_CLASSIFICATION!$U$8:$U$24,MATCH($C2671,DATA_ASSET_CLASSIFICATION!$A$8:$A$24,0)),"Review"))</f>
        <v>Refi Watch</v>
      </c>
      <c r="O2671" s="350" t="str">
        <f ca="1">IF($B2671="Portfolio","Portfolio",IFERROR(INDEX(DATA_ASSET_CLASSIFICATION!$AB$8:$AB$13,MATCH($N2671,DATA_ASSET_CLASSIFICATION!$AA$8:$AA$13,0)),"Review"))</f>
        <v>Bucket 2 · Legacy</v>
      </c>
      <c r="P2671" s="350" t="str">
        <f>IF($B2671="Portfolio","Portfolio",IFERROR(INDEX(DATA_ASSET_CLASSIFICATION!$C$8:$C$24,MATCH($C2671,DATA_ASSET_CLASSIFICATION!$A$8:$A$24,0)),"Review"))</f>
        <v>Yes</v>
      </c>
      <c r="Q2671" s="350" t="str">
        <f t="shared" ca="1" si="83"/>
        <v>OK</v>
      </c>
    </row>
    <row r="2672" spans="1:17">
      <c r="A2672" s="366" t="s">
        <v>4628</v>
      </c>
      <c r="B2672" s="366" t="s">
        <v>231</v>
      </c>
      <c r="C2672" s="348" t="str">
        <f>DATA_PROPERTY_MASTER!$A$13</f>
        <v>BLD_MH</v>
      </c>
      <c r="D2672" s="380">
        <f>'00_PORTFOLIO ROLLUP'!H$12</f>
        <v>2028</v>
      </c>
      <c r="E2672" s="366" t="s">
        <v>1741</v>
      </c>
      <c r="F2672" s="366" t="s">
        <v>43</v>
      </c>
      <c r="G2672" s="348" t="str">
        <f>"'"&amp;$C2672&amp;"'!$E$68:$Y$68"</f>
        <v>'BLD_MH'!$E$68:$Y$68</v>
      </c>
      <c r="H2672" s="381">
        <f ca="1">IF(IFERROR(INDEX(DATA_PROPERTY_MASTER!$E$5:$E$21,MATCH($C2672,DATA_PROPERTY_MASTER!$A$5:$A$21,0))="Yes",FALSE),IFERROR(INDEX(INDIRECT("'"&amp;$C2672&amp;"'!$E$68:$Y$68"),1,MATCH($D2672,INDIRECT("'"&amp;$C2672&amp;"'!$E$12:$Y$12"),0)),0),0)</f>
        <v>84643.361787596776</v>
      </c>
      <c r="I2672" s="366" t="s">
        <v>1731</v>
      </c>
      <c r="J2672" s="348" t="str">
        <f t="shared" ca="1" si="82"/>
        <v>OK</v>
      </c>
      <c r="K2672" s="366" t="s">
        <v>1746</v>
      </c>
      <c r="L2672" s="366" t="s">
        <v>2264</v>
      </c>
      <c r="M2672" s="350" t="str">
        <f>IF($B2672="Portfolio","Portfolio",IFERROR(INDEX(DATA_ASSET_CLASSIFICATION!$B$8:$B$24,MATCH($C2672,DATA_ASSET_CLASSIFICATION!$A$8:$A$24,0)),"Review"))</f>
        <v>Margaret Heights</v>
      </c>
      <c r="N2672" s="350" t="str">
        <f ca="1">IF($B2672="Portfolio","Portfolio",IFERROR(INDEX(DATA_ASSET_CLASSIFICATION!$U$8:$U$24,MATCH($C2672,DATA_ASSET_CLASSIFICATION!$A$8:$A$24,0)),"Review"))</f>
        <v>Refi Watch</v>
      </c>
      <c r="O2672" s="350" t="str">
        <f ca="1">IF($B2672="Portfolio","Portfolio",IFERROR(INDEX(DATA_ASSET_CLASSIFICATION!$AB$8:$AB$13,MATCH($N2672,DATA_ASSET_CLASSIFICATION!$AA$8:$AA$13,0)),"Review"))</f>
        <v>Bucket 2 · Legacy</v>
      </c>
      <c r="P2672" s="350" t="str">
        <f>IF($B2672="Portfolio","Portfolio",IFERROR(INDEX(DATA_ASSET_CLASSIFICATION!$C$8:$C$24,MATCH($C2672,DATA_ASSET_CLASSIFICATION!$A$8:$A$24,0)),"Review"))</f>
        <v>Yes</v>
      </c>
      <c r="Q2672" s="350" t="str">
        <f t="shared" ca="1" si="83"/>
        <v>OK</v>
      </c>
    </row>
    <row r="2673" spans="1:17">
      <c r="A2673" s="366" t="s">
        <v>4629</v>
      </c>
      <c r="B2673" s="366" t="s">
        <v>231</v>
      </c>
      <c r="C2673" s="348" t="str">
        <f>DATA_PROPERTY_MASTER!$A$13</f>
        <v>BLD_MH</v>
      </c>
      <c r="D2673" s="380">
        <f>'00_PORTFOLIO ROLLUP'!H$12</f>
        <v>2028</v>
      </c>
      <c r="E2673" s="366" t="s">
        <v>1741</v>
      </c>
      <c r="F2673" s="366" t="s">
        <v>1749</v>
      </c>
      <c r="G2673" s="348" t="str">
        <f>"'"&amp;$C2673&amp;"'!rows 56, 63, 68"</f>
        <v>'BLD_MH'!rows 56, 63, 68</v>
      </c>
      <c r="H2673" s="381">
        <f ca="1">IF(IFERROR(INDEX(DATA_PROPERTY_MASTER!$E$5:$E$21,MATCH($C2673,DATA_PROPERTY_MASTER!$A$5:$A$21,0))="Yes",FALSE),(IFERROR(INDEX(INDIRECT("'"&amp;$C2673&amp;"'!$E$56:$Y$56"),1,MATCH($D2673,INDIRECT("'"&amp;$C2673&amp;"'!$E$12:$Y$12"),0)),0)+MAX(IFERROR(INDEX(INDIRECT("'"&amp;$C2673&amp;"'!$E$63:$Y$63"),1,MATCH($D2673,INDIRECT("'"&amp;$C2673&amp;"'!$E$12:$Y$12"),0)),0),0))-(IFERROR(INDEX(INDIRECT("'"&amp;$C2673&amp;"'!$E$68:$Y$68"),1,MATCH($D2673,INDIRECT("'"&amp;$C2673&amp;"'!$E$12:$Y$12"),0)),0)),0)</f>
        <v>0</v>
      </c>
      <c r="I2673" s="366" t="s">
        <v>1750</v>
      </c>
      <c r="J2673" s="348" t="str">
        <f t="shared" ca="1" si="82"/>
        <v>OK</v>
      </c>
      <c r="K2673" s="366" t="s">
        <v>1751</v>
      </c>
      <c r="L2673" s="366" t="s">
        <v>2266</v>
      </c>
      <c r="M2673" s="350" t="str">
        <f>IF($B2673="Portfolio","Portfolio",IFERROR(INDEX(DATA_ASSET_CLASSIFICATION!$B$8:$B$24,MATCH($C2673,DATA_ASSET_CLASSIFICATION!$A$8:$A$24,0)),"Review"))</f>
        <v>Margaret Heights</v>
      </c>
      <c r="N2673" s="350" t="str">
        <f ca="1">IF($B2673="Portfolio","Portfolio",IFERROR(INDEX(DATA_ASSET_CLASSIFICATION!$U$8:$U$24,MATCH($C2673,DATA_ASSET_CLASSIFICATION!$A$8:$A$24,0)),"Review"))</f>
        <v>Refi Watch</v>
      </c>
      <c r="O2673" s="350" t="str">
        <f ca="1">IF($B2673="Portfolio","Portfolio",IFERROR(INDEX(DATA_ASSET_CLASSIFICATION!$AB$8:$AB$13,MATCH($N2673,DATA_ASSET_CLASSIFICATION!$AA$8:$AA$13,0)),"Review"))</f>
        <v>Bucket 2 · Legacy</v>
      </c>
      <c r="P2673" s="350" t="str">
        <f>IF($B2673="Portfolio","Portfolio",IFERROR(INDEX(DATA_ASSET_CLASSIFICATION!$C$8:$C$24,MATCH($C2673,DATA_ASSET_CLASSIFICATION!$A$8:$A$24,0)),"Review"))</f>
        <v>Yes</v>
      </c>
      <c r="Q2673" s="350" t="str">
        <f t="shared" ca="1" si="83"/>
        <v>OK</v>
      </c>
    </row>
    <row r="2674" spans="1:17">
      <c r="A2674" s="366" t="s">
        <v>4630</v>
      </c>
      <c r="B2674" s="366" t="s">
        <v>231</v>
      </c>
      <c r="C2674" s="348" t="str">
        <f>DATA_PROPERTY_MASTER!$A$13</f>
        <v>BLD_MH</v>
      </c>
      <c r="D2674" s="380">
        <f>'00_PORTFOLIO ROLLUP'!I$12</f>
        <v>2029</v>
      </c>
      <c r="E2674" s="366" t="s">
        <v>1683</v>
      </c>
      <c r="F2674" s="366" t="s">
        <v>341</v>
      </c>
      <c r="G2674" s="348" t="str">
        <f>"'"&amp;$C2674&amp;"'!$E$24:$Y$24"</f>
        <v>'BLD_MH'!$E$24:$Y$24</v>
      </c>
      <c r="H2674" s="381">
        <f ca="1">IF(IFERROR(INDEX(DATA_PROPERTY_MASTER!$E$5:$E$21,MATCH($C2674,DATA_PROPERTY_MASTER!$A$5:$A$21,0))="Yes",FALSE),IFERROR(INDEX(INDIRECT("'"&amp;$C2674&amp;"'!$E$24:$Y$24"),1,MATCH($D2674,INDIRECT("'"&amp;$C2674&amp;"'!$E$12:$Y$12"),0)),0),0)</f>
        <v>427271.71979165188</v>
      </c>
      <c r="I2674" s="366" t="s">
        <v>1685</v>
      </c>
      <c r="J2674" s="348" t="str">
        <f t="shared" ca="1" si="82"/>
        <v>OK</v>
      </c>
      <c r="K2674" s="366" t="s">
        <v>1686</v>
      </c>
      <c r="L2674" s="366" t="s">
        <v>2234</v>
      </c>
      <c r="M2674" s="350" t="str">
        <f>IF($B2674="Portfolio","Portfolio",IFERROR(INDEX(DATA_ASSET_CLASSIFICATION!$B$8:$B$24,MATCH($C2674,DATA_ASSET_CLASSIFICATION!$A$8:$A$24,0)),"Review"))</f>
        <v>Margaret Heights</v>
      </c>
      <c r="N2674" s="350" t="str">
        <f ca="1">IF($B2674="Portfolio","Portfolio",IFERROR(INDEX(DATA_ASSET_CLASSIFICATION!$U$8:$U$24,MATCH($C2674,DATA_ASSET_CLASSIFICATION!$A$8:$A$24,0)),"Review"))</f>
        <v>Refi Watch</v>
      </c>
      <c r="O2674" s="350" t="str">
        <f ca="1">IF($B2674="Portfolio","Portfolio",IFERROR(INDEX(DATA_ASSET_CLASSIFICATION!$AB$8:$AB$13,MATCH($N2674,DATA_ASSET_CLASSIFICATION!$AA$8:$AA$13,0)),"Review"))</f>
        <v>Bucket 2 · Legacy</v>
      </c>
      <c r="P2674" s="350" t="str">
        <f>IF($B2674="Portfolio","Portfolio",IFERROR(INDEX(DATA_ASSET_CLASSIFICATION!$C$8:$C$24,MATCH($C2674,DATA_ASSET_CLASSIFICATION!$A$8:$A$24,0)),"Review"))</f>
        <v>Yes</v>
      </c>
      <c r="Q2674" s="350" t="str">
        <f t="shared" ca="1" si="83"/>
        <v>OK</v>
      </c>
    </row>
    <row r="2675" spans="1:17">
      <c r="A2675" s="366" t="s">
        <v>4631</v>
      </c>
      <c r="B2675" s="366" t="s">
        <v>231</v>
      </c>
      <c r="C2675" s="348" t="str">
        <f>DATA_PROPERTY_MASTER!$A$13</f>
        <v>BLD_MH</v>
      </c>
      <c r="D2675" s="380">
        <f>'00_PORTFOLIO ROLLUP'!I$12</f>
        <v>2029</v>
      </c>
      <c r="E2675" s="366" t="s">
        <v>1683</v>
      </c>
      <c r="F2675" s="366" t="s">
        <v>355</v>
      </c>
      <c r="G2675" s="348" t="str">
        <f>"'"&amp;$C2675&amp;"'!$E$39:$Y$39"</f>
        <v>'BLD_MH'!$E$39:$Y$39</v>
      </c>
      <c r="H2675" s="381">
        <f ca="1">IF(IFERROR(INDEX(DATA_PROPERTY_MASTER!$E$5:$E$21,MATCH($C2675,DATA_PROPERTY_MASTER!$A$5:$A$21,0))="Yes",FALSE),IFERROR(INDEX(INDIRECT("'"&amp;$C2675&amp;"'!$E$39:$Y$39"),1,MATCH($D2675,INDIRECT("'"&amp;$C2675&amp;"'!$E$12:$Y$12"),0)),0),0)</f>
        <v>215576.85600255997</v>
      </c>
      <c r="I2675" s="366" t="s">
        <v>1690</v>
      </c>
      <c r="J2675" s="348" t="str">
        <f t="shared" ca="1" si="82"/>
        <v>OK</v>
      </c>
      <c r="K2675" s="366" t="s">
        <v>1686</v>
      </c>
      <c r="L2675" s="366" t="s">
        <v>2236</v>
      </c>
      <c r="M2675" s="350" t="str">
        <f>IF($B2675="Portfolio","Portfolio",IFERROR(INDEX(DATA_ASSET_CLASSIFICATION!$B$8:$B$24,MATCH($C2675,DATA_ASSET_CLASSIFICATION!$A$8:$A$24,0)),"Review"))</f>
        <v>Margaret Heights</v>
      </c>
      <c r="N2675" s="350" t="str">
        <f ca="1">IF($B2675="Portfolio","Portfolio",IFERROR(INDEX(DATA_ASSET_CLASSIFICATION!$U$8:$U$24,MATCH($C2675,DATA_ASSET_CLASSIFICATION!$A$8:$A$24,0)),"Review"))</f>
        <v>Refi Watch</v>
      </c>
      <c r="O2675" s="350" t="str">
        <f ca="1">IF($B2675="Portfolio","Portfolio",IFERROR(INDEX(DATA_ASSET_CLASSIFICATION!$AB$8:$AB$13,MATCH($N2675,DATA_ASSET_CLASSIFICATION!$AA$8:$AA$13,0)),"Review"))</f>
        <v>Bucket 2 · Legacy</v>
      </c>
      <c r="P2675" s="350" t="str">
        <f>IF($B2675="Portfolio","Portfolio",IFERROR(INDEX(DATA_ASSET_CLASSIFICATION!$C$8:$C$24,MATCH($C2675,DATA_ASSET_CLASSIFICATION!$A$8:$A$24,0)),"Review"))</f>
        <v>Yes</v>
      </c>
      <c r="Q2675" s="350" t="str">
        <f t="shared" ca="1" si="83"/>
        <v>OK</v>
      </c>
    </row>
    <row r="2676" spans="1:17">
      <c r="A2676" s="366" t="s">
        <v>4632</v>
      </c>
      <c r="B2676" s="366" t="s">
        <v>231</v>
      </c>
      <c r="C2676" s="348" t="str">
        <f>DATA_PROPERTY_MASTER!$A$13</f>
        <v>BLD_MH</v>
      </c>
      <c r="D2676" s="380">
        <f>'00_PORTFOLIO ROLLUP'!I$12</f>
        <v>2029</v>
      </c>
      <c r="E2676" s="366" t="s">
        <v>1683</v>
      </c>
      <c r="F2676" s="366" t="s">
        <v>19</v>
      </c>
      <c r="G2676" s="348" t="str">
        <f>"'"&amp;$C2676&amp;"'!$E$41:$Y$41"</f>
        <v>'BLD_MH'!$E$41:$Y$41</v>
      </c>
      <c r="H2676" s="381">
        <f ca="1">IF(IFERROR(INDEX(DATA_PROPERTY_MASTER!$E$5:$E$21,MATCH($C2676,DATA_PROPERTY_MASTER!$A$5:$A$21,0))="Yes",FALSE),IFERROR(INDEX(INDIRECT("'"&amp;$C2676&amp;"'!$E$41:$Y$41"),1,MATCH($D2676,INDIRECT("'"&amp;$C2676&amp;"'!$E$12:$Y$12"),0)),0),0)</f>
        <v>211694.86378909191</v>
      </c>
      <c r="I2676" s="366" t="s">
        <v>1685</v>
      </c>
      <c r="J2676" s="348" t="str">
        <f t="shared" ca="1" si="82"/>
        <v>OK</v>
      </c>
      <c r="K2676" s="366" t="s">
        <v>1694</v>
      </c>
      <c r="L2676" s="366" t="s">
        <v>2238</v>
      </c>
      <c r="M2676" s="350" t="str">
        <f>IF($B2676="Portfolio","Portfolio",IFERROR(INDEX(DATA_ASSET_CLASSIFICATION!$B$8:$B$24,MATCH($C2676,DATA_ASSET_CLASSIFICATION!$A$8:$A$24,0)),"Review"))</f>
        <v>Margaret Heights</v>
      </c>
      <c r="N2676" s="350" t="str">
        <f ca="1">IF($B2676="Portfolio","Portfolio",IFERROR(INDEX(DATA_ASSET_CLASSIFICATION!$U$8:$U$24,MATCH($C2676,DATA_ASSET_CLASSIFICATION!$A$8:$A$24,0)),"Review"))</f>
        <v>Refi Watch</v>
      </c>
      <c r="O2676" s="350" t="str">
        <f ca="1">IF($B2676="Portfolio","Portfolio",IFERROR(INDEX(DATA_ASSET_CLASSIFICATION!$AB$8:$AB$13,MATCH($N2676,DATA_ASSET_CLASSIFICATION!$AA$8:$AA$13,0)),"Review"))</f>
        <v>Bucket 2 · Legacy</v>
      </c>
      <c r="P2676" s="350" t="str">
        <f>IF($B2676="Portfolio","Portfolio",IFERROR(INDEX(DATA_ASSET_CLASSIFICATION!$C$8:$C$24,MATCH($C2676,DATA_ASSET_CLASSIFICATION!$A$8:$A$24,0)),"Review"))</f>
        <v>Yes</v>
      </c>
      <c r="Q2676" s="350" t="str">
        <f t="shared" ca="1" si="83"/>
        <v>OK</v>
      </c>
    </row>
    <row r="2677" spans="1:17">
      <c r="A2677" s="366" t="s">
        <v>4633</v>
      </c>
      <c r="B2677" s="366" t="s">
        <v>231</v>
      </c>
      <c r="C2677" s="348" t="str">
        <f>DATA_PROPERTY_MASTER!$A$13</f>
        <v>BLD_MH</v>
      </c>
      <c r="D2677" s="380">
        <f>'00_PORTFOLIO ROLLUP'!I$12</f>
        <v>2029</v>
      </c>
      <c r="E2677" s="366" t="s">
        <v>1683</v>
      </c>
      <c r="F2677" s="366" t="s">
        <v>1697</v>
      </c>
      <c r="G2677" s="348" t="str">
        <f>"'"&amp;$C2677&amp;"'!$E$44:$Y$44"</f>
        <v>'BLD_MH'!$E$44:$Y$44</v>
      </c>
      <c r="H2677" s="381">
        <f ca="1">IF(IFERROR(INDEX(DATA_PROPERTY_MASTER!$E$5:$E$21,MATCH($C2677,DATA_PROPERTY_MASTER!$A$5:$A$21,0))="Yes",FALSE),IFERROR(INDEX(INDIRECT("'"&amp;$C2677&amp;"'!$E$44:$Y$44"),1,MATCH($D2677,INDIRECT("'"&amp;$C2677&amp;"'!$E$12:$Y$12"),0)),0),0)</f>
        <v>3084.9316559999997</v>
      </c>
      <c r="I2677" s="366" t="s">
        <v>1690</v>
      </c>
      <c r="J2677" s="348" t="str">
        <f t="shared" ca="1" si="82"/>
        <v>OK</v>
      </c>
      <c r="K2677" s="366" t="s">
        <v>1699</v>
      </c>
      <c r="L2677" s="366" t="s">
        <v>2240</v>
      </c>
      <c r="M2677" s="350" t="str">
        <f>IF($B2677="Portfolio","Portfolio",IFERROR(INDEX(DATA_ASSET_CLASSIFICATION!$B$8:$B$24,MATCH($C2677,DATA_ASSET_CLASSIFICATION!$A$8:$A$24,0)),"Review"))</f>
        <v>Margaret Heights</v>
      </c>
      <c r="N2677" s="350" t="str">
        <f ca="1">IF($B2677="Portfolio","Portfolio",IFERROR(INDEX(DATA_ASSET_CLASSIFICATION!$U$8:$U$24,MATCH($C2677,DATA_ASSET_CLASSIFICATION!$A$8:$A$24,0)),"Review"))</f>
        <v>Refi Watch</v>
      </c>
      <c r="O2677" s="350" t="str">
        <f ca="1">IF($B2677="Portfolio","Portfolio",IFERROR(INDEX(DATA_ASSET_CLASSIFICATION!$AB$8:$AB$13,MATCH($N2677,DATA_ASSET_CLASSIFICATION!$AA$8:$AA$13,0)),"Review"))</f>
        <v>Bucket 2 · Legacy</v>
      </c>
      <c r="P2677" s="350" t="str">
        <f>IF($B2677="Portfolio","Portfolio",IFERROR(INDEX(DATA_ASSET_CLASSIFICATION!$C$8:$C$24,MATCH($C2677,DATA_ASSET_CLASSIFICATION!$A$8:$A$24,0)),"Review"))</f>
        <v>Yes</v>
      </c>
      <c r="Q2677" s="350" t="str">
        <f t="shared" ca="1" si="83"/>
        <v>OK</v>
      </c>
    </row>
    <row r="2678" spans="1:17">
      <c r="A2678" s="366" t="s">
        <v>4634</v>
      </c>
      <c r="B2678" s="366" t="s">
        <v>231</v>
      </c>
      <c r="C2678" s="348" t="str">
        <f>DATA_PROPERTY_MASTER!$A$13</f>
        <v>BLD_MH</v>
      </c>
      <c r="D2678" s="380">
        <f>'00_PORTFOLIO ROLLUP'!I$12</f>
        <v>2029</v>
      </c>
      <c r="E2678" s="366" t="s">
        <v>1683</v>
      </c>
      <c r="F2678" s="366" t="s">
        <v>21</v>
      </c>
      <c r="G2678" s="348" t="str">
        <f>"'"&amp;$C2678&amp;"'!$E$45:$Y$45"</f>
        <v>'BLD_MH'!$E$45:$Y$45</v>
      </c>
      <c r="H2678" s="381">
        <f ca="1">IF(IFERROR(INDEX(DATA_PROPERTY_MASTER!$E$5:$E$21,MATCH($C2678,DATA_PROPERTY_MASTER!$A$5:$A$21,0))="Yes",FALSE),IFERROR(INDEX(INDIRECT("'"&amp;$C2678&amp;"'!$E$45:$Y$45"),1,MATCH($D2678,INDIRECT("'"&amp;$C2678&amp;"'!$E$12:$Y$12"),0)),0),0)</f>
        <v>208609.9321330919</v>
      </c>
      <c r="I2678" s="366" t="s">
        <v>1685</v>
      </c>
      <c r="J2678" s="348" t="str">
        <f t="shared" ca="1" si="82"/>
        <v>OK</v>
      </c>
      <c r="K2678" s="366" t="s">
        <v>1694</v>
      </c>
      <c r="L2678" s="366" t="s">
        <v>2242</v>
      </c>
      <c r="M2678" s="350" t="str">
        <f>IF($B2678="Portfolio","Portfolio",IFERROR(INDEX(DATA_ASSET_CLASSIFICATION!$B$8:$B$24,MATCH($C2678,DATA_ASSET_CLASSIFICATION!$A$8:$A$24,0)),"Review"))</f>
        <v>Margaret Heights</v>
      </c>
      <c r="N2678" s="350" t="str">
        <f ca="1">IF($B2678="Portfolio","Portfolio",IFERROR(INDEX(DATA_ASSET_CLASSIFICATION!$U$8:$U$24,MATCH($C2678,DATA_ASSET_CLASSIFICATION!$A$8:$A$24,0)),"Review"))</f>
        <v>Refi Watch</v>
      </c>
      <c r="O2678" s="350" t="str">
        <f ca="1">IF($B2678="Portfolio","Portfolio",IFERROR(INDEX(DATA_ASSET_CLASSIFICATION!$AB$8:$AB$13,MATCH($N2678,DATA_ASSET_CLASSIFICATION!$AA$8:$AA$13,0)),"Review"))</f>
        <v>Bucket 2 · Legacy</v>
      </c>
      <c r="P2678" s="350" t="str">
        <f>IF($B2678="Portfolio","Portfolio",IFERROR(INDEX(DATA_ASSET_CLASSIFICATION!$C$8:$C$24,MATCH($C2678,DATA_ASSET_CLASSIFICATION!$A$8:$A$24,0)),"Review"))</f>
        <v>Yes</v>
      </c>
      <c r="Q2678" s="350" t="str">
        <f t="shared" ca="1" si="83"/>
        <v>OK</v>
      </c>
    </row>
    <row r="2679" spans="1:17">
      <c r="A2679" s="366" t="s">
        <v>4635</v>
      </c>
      <c r="B2679" s="366" t="s">
        <v>231</v>
      </c>
      <c r="C2679" s="348" t="str">
        <f>DATA_PROPERTY_MASTER!$A$13</f>
        <v>BLD_MH</v>
      </c>
      <c r="D2679" s="380">
        <f>'00_PORTFOLIO ROLLUP'!I$12</f>
        <v>2029</v>
      </c>
      <c r="E2679" s="366" t="s">
        <v>23</v>
      </c>
      <c r="F2679" s="366" t="s">
        <v>23</v>
      </c>
      <c r="G2679" s="348" t="str">
        <f>"'"&amp;$C2679&amp;"'!$E$48:$Y$48"</f>
        <v>'BLD_MH'!$E$48:$Y$48</v>
      </c>
      <c r="H2679" s="381">
        <f ca="1">IF(IFERROR(INDEX(DATA_PROPERTY_MASTER!$E$5:$E$21,MATCH($C2679,DATA_PROPERTY_MASTER!$A$5:$A$21,0))="Yes",FALSE),IFERROR(INDEX(INDIRECT("'"&amp;$C2679&amp;"'!$E$48:$Y$48"),1,MATCH($D2679,INDIRECT("'"&amp;$C2679&amp;"'!$E$12:$Y$12"),0)),0),0)</f>
        <v>0</v>
      </c>
      <c r="I2679" s="366" t="s">
        <v>1690</v>
      </c>
      <c r="J2679" s="348" t="str">
        <f t="shared" ca="1" si="82"/>
        <v>OK</v>
      </c>
      <c r="K2679" s="366" t="s">
        <v>1706</v>
      </c>
      <c r="L2679" s="366" t="s">
        <v>2244</v>
      </c>
      <c r="M2679" s="350" t="str">
        <f>IF($B2679="Portfolio","Portfolio",IFERROR(INDEX(DATA_ASSET_CLASSIFICATION!$B$8:$B$24,MATCH($C2679,DATA_ASSET_CLASSIFICATION!$A$8:$A$24,0)),"Review"))</f>
        <v>Margaret Heights</v>
      </c>
      <c r="N2679" s="350" t="str">
        <f ca="1">IF($B2679="Portfolio","Portfolio",IFERROR(INDEX(DATA_ASSET_CLASSIFICATION!$U$8:$U$24,MATCH($C2679,DATA_ASSET_CLASSIFICATION!$A$8:$A$24,0)),"Review"))</f>
        <v>Refi Watch</v>
      </c>
      <c r="O2679" s="350" t="str">
        <f ca="1">IF($B2679="Portfolio","Portfolio",IFERROR(INDEX(DATA_ASSET_CLASSIFICATION!$AB$8:$AB$13,MATCH($N2679,DATA_ASSET_CLASSIFICATION!$AA$8:$AA$13,0)),"Review"))</f>
        <v>Bucket 2 · Legacy</v>
      </c>
      <c r="P2679" s="350" t="str">
        <f>IF($B2679="Portfolio","Portfolio",IFERROR(INDEX(DATA_ASSET_CLASSIFICATION!$C$8:$C$24,MATCH($C2679,DATA_ASSET_CLASSIFICATION!$A$8:$A$24,0)),"Review"))</f>
        <v>Yes</v>
      </c>
      <c r="Q2679" s="350" t="str">
        <f t="shared" ca="1" si="83"/>
        <v>OK</v>
      </c>
    </row>
    <row r="2680" spans="1:17">
      <c r="A2680" s="366" t="s">
        <v>4636</v>
      </c>
      <c r="B2680" s="366" t="s">
        <v>231</v>
      </c>
      <c r="C2680" s="348" t="str">
        <f>DATA_PROPERTY_MASTER!$A$13</f>
        <v>BLD_MH</v>
      </c>
      <c r="D2680" s="380">
        <f>'00_PORTFOLIO ROLLUP'!I$12</f>
        <v>2029</v>
      </c>
      <c r="E2680" s="366" t="s">
        <v>1683</v>
      </c>
      <c r="F2680" s="366" t="s">
        <v>25</v>
      </c>
      <c r="G2680" s="348" t="str">
        <f>"'"&amp;$C2680&amp;"'!$E$52:$Y$52"</f>
        <v>'BLD_MH'!$E$52:$Y$52</v>
      </c>
      <c r="H2680" s="381">
        <f ca="1">IF(IFERROR(INDEX(DATA_PROPERTY_MASTER!$E$5:$E$21,MATCH($C2680,DATA_PROPERTY_MASTER!$A$5:$A$21,0))="Yes",FALSE),IFERROR(INDEX(INDIRECT("'"&amp;$C2680&amp;"'!$E$52:$Y$52"),1,MATCH($D2680,INDIRECT("'"&amp;$C2680&amp;"'!$E$12:$Y$12"),0)),0),0)</f>
        <v>211694.86378909191</v>
      </c>
      <c r="I2680" s="366" t="s">
        <v>1685</v>
      </c>
      <c r="J2680" s="348" t="str">
        <f t="shared" ca="1" si="82"/>
        <v>OK</v>
      </c>
      <c r="K2680" s="366" t="s">
        <v>1710</v>
      </c>
      <c r="L2680" s="366" t="s">
        <v>2246</v>
      </c>
      <c r="M2680" s="350" t="str">
        <f>IF($B2680="Portfolio","Portfolio",IFERROR(INDEX(DATA_ASSET_CLASSIFICATION!$B$8:$B$24,MATCH($C2680,DATA_ASSET_CLASSIFICATION!$A$8:$A$24,0)),"Review"))</f>
        <v>Margaret Heights</v>
      </c>
      <c r="N2680" s="350" t="str">
        <f ca="1">IF($B2680="Portfolio","Portfolio",IFERROR(INDEX(DATA_ASSET_CLASSIFICATION!$U$8:$U$24,MATCH($C2680,DATA_ASSET_CLASSIFICATION!$A$8:$A$24,0)),"Review"))</f>
        <v>Refi Watch</v>
      </c>
      <c r="O2680" s="350" t="str">
        <f ca="1">IF($B2680="Portfolio","Portfolio",IFERROR(INDEX(DATA_ASSET_CLASSIFICATION!$AB$8:$AB$13,MATCH($N2680,DATA_ASSET_CLASSIFICATION!$AA$8:$AA$13,0)),"Review"))</f>
        <v>Bucket 2 · Legacy</v>
      </c>
      <c r="P2680" s="350" t="str">
        <f>IF($B2680="Portfolio","Portfolio",IFERROR(INDEX(DATA_ASSET_CLASSIFICATION!$C$8:$C$24,MATCH($C2680,DATA_ASSET_CLASSIFICATION!$A$8:$A$24,0)),"Review"))</f>
        <v>Yes</v>
      </c>
      <c r="Q2680" s="350" t="str">
        <f t="shared" ca="1" si="83"/>
        <v>OK</v>
      </c>
    </row>
    <row r="2681" spans="1:17">
      <c r="A2681" s="366" t="s">
        <v>4637</v>
      </c>
      <c r="B2681" s="366" t="s">
        <v>231</v>
      </c>
      <c r="C2681" s="348" t="str">
        <f>DATA_PROPERTY_MASTER!$A$13</f>
        <v>BLD_MH</v>
      </c>
      <c r="D2681" s="380">
        <f>'00_PORTFOLIO ROLLUP'!I$12</f>
        <v>2029</v>
      </c>
      <c r="E2681" s="366" t="s">
        <v>1683</v>
      </c>
      <c r="F2681" s="366" t="s">
        <v>27</v>
      </c>
      <c r="G2681" s="348" t="str">
        <f>"'"&amp;$C2681&amp;"'!$E$54:$Y$54"</f>
        <v>'BLD_MH'!$E$54:$Y$54</v>
      </c>
      <c r="H2681" s="381">
        <f ca="1">IF(IFERROR(INDEX(DATA_PROPERTY_MASTER!$E$5:$E$21,MATCH($C2681,DATA_PROPERTY_MASTER!$A$5:$A$21,0))="Yes",FALSE),IFERROR(INDEX(INDIRECT("'"&amp;$C2681&amp;"'!$E$54:$Y$54"),1,MATCH($D2681,INDIRECT("'"&amp;$C2681&amp;"'!$E$12:$Y$12"),0)),0),0)</f>
        <v>127016.91827345514</v>
      </c>
      <c r="I2681" s="366" t="s">
        <v>1690</v>
      </c>
      <c r="J2681" s="348" t="str">
        <f t="shared" ca="1" si="82"/>
        <v>OK</v>
      </c>
      <c r="K2681" s="366" t="s">
        <v>1714</v>
      </c>
      <c r="L2681" s="366" t="s">
        <v>2248</v>
      </c>
      <c r="M2681" s="350" t="str">
        <f>IF($B2681="Portfolio","Portfolio",IFERROR(INDEX(DATA_ASSET_CLASSIFICATION!$B$8:$B$24,MATCH($C2681,DATA_ASSET_CLASSIFICATION!$A$8:$A$24,0)),"Review"))</f>
        <v>Margaret Heights</v>
      </c>
      <c r="N2681" s="350" t="str">
        <f ca="1">IF($B2681="Portfolio","Portfolio",IFERROR(INDEX(DATA_ASSET_CLASSIFICATION!$U$8:$U$24,MATCH($C2681,DATA_ASSET_CLASSIFICATION!$A$8:$A$24,0)),"Review"))</f>
        <v>Refi Watch</v>
      </c>
      <c r="O2681" s="350" t="str">
        <f ca="1">IF($B2681="Portfolio","Portfolio",IFERROR(INDEX(DATA_ASSET_CLASSIFICATION!$AB$8:$AB$13,MATCH($N2681,DATA_ASSET_CLASSIFICATION!$AA$8:$AA$13,0)),"Review"))</f>
        <v>Bucket 2 · Legacy</v>
      </c>
      <c r="P2681" s="350" t="str">
        <f>IF($B2681="Portfolio","Portfolio",IFERROR(INDEX(DATA_ASSET_CLASSIFICATION!$C$8:$C$24,MATCH($C2681,DATA_ASSET_CLASSIFICATION!$A$8:$A$24,0)),"Review"))</f>
        <v>Yes</v>
      </c>
      <c r="Q2681" s="350" t="str">
        <f t="shared" ca="1" si="83"/>
        <v>OK</v>
      </c>
    </row>
    <row r="2682" spans="1:17">
      <c r="A2682" s="366" t="s">
        <v>4638</v>
      </c>
      <c r="B2682" s="366" t="s">
        <v>231</v>
      </c>
      <c r="C2682" s="348" t="str">
        <f>DATA_PROPERTY_MASTER!$A$13</f>
        <v>BLD_MH</v>
      </c>
      <c r="D2682" s="380">
        <f>'00_PORTFOLIO ROLLUP'!I$12</f>
        <v>2029</v>
      </c>
      <c r="E2682" s="366" t="s">
        <v>1683</v>
      </c>
      <c r="F2682" s="366" t="s">
        <v>29</v>
      </c>
      <c r="G2682" s="348" t="str">
        <f>"'"&amp;$C2682&amp;"'!$E$56:$Y$56"</f>
        <v>'BLD_MH'!$E$56:$Y$56</v>
      </c>
      <c r="H2682" s="381">
        <f ca="1">IF(IFERROR(INDEX(DATA_PROPERTY_MASTER!$E$5:$E$21,MATCH($C2682,DATA_PROPERTY_MASTER!$A$5:$A$21,0))="Yes",FALSE),IFERROR(INDEX(INDIRECT("'"&amp;$C2682&amp;"'!$E$56:$Y$56"),1,MATCH($D2682,INDIRECT("'"&amp;$C2682&amp;"'!$E$12:$Y$12"),0)),0),0)</f>
        <v>84677.945515636762</v>
      </c>
      <c r="I2682" s="366" t="s">
        <v>1685</v>
      </c>
      <c r="J2682" s="348" t="str">
        <f t="shared" ca="1" si="82"/>
        <v>OK</v>
      </c>
      <c r="K2682" s="366" t="s">
        <v>1718</v>
      </c>
      <c r="L2682" s="366" t="s">
        <v>2250</v>
      </c>
      <c r="M2682" s="350" t="str">
        <f>IF($B2682="Portfolio","Portfolio",IFERROR(INDEX(DATA_ASSET_CLASSIFICATION!$B$8:$B$24,MATCH($C2682,DATA_ASSET_CLASSIFICATION!$A$8:$A$24,0)),"Review"))</f>
        <v>Margaret Heights</v>
      </c>
      <c r="N2682" s="350" t="str">
        <f ca="1">IF($B2682="Portfolio","Portfolio",IFERROR(INDEX(DATA_ASSET_CLASSIFICATION!$U$8:$U$24,MATCH($C2682,DATA_ASSET_CLASSIFICATION!$A$8:$A$24,0)),"Review"))</f>
        <v>Refi Watch</v>
      </c>
      <c r="O2682" s="350" t="str">
        <f ca="1">IF($B2682="Portfolio","Portfolio",IFERROR(INDEX(DATA_ASSET_CLASSIFICATION!$AB$8:$AB$13,MATCH($N2682,DATA_ASSET_CLASSIFICATION!$AA$8:$AA$13,0)),"Review"))</f>
        <v>Bucket 2 · Legacy</v>
      </c>
      <c r="P2682" s="350" t="str">
        <f>IF($B2682="Portfolio","Portfolio",IFERROR(INDEX(DATA_ASSET_CLASSIFICATION!$C$8:$C$24,MATCH($C2682,DATA_ASSET_CLASSIFICATION!$A$8:$A$24,0)),"Review"))</f>
        <v>Yes</v>
      </c>
      <c r="Q2682" s="350" t="str">
        <f t="shared" ca="1" si="83"/>
        <v>OK</v>
      </c>
    </row>
    <row r="2683" spans="1:17">
      <c r="A2683" s="366" t="s">
        <v>4639</v>
      </c>
      <c r="B2683" s="366" t="s">
        <v>231</v>
      </c>
      <c r="C2683" s="348" t="str">
        <f>DATA_PROPERTY_MASTER!$A$13</f>
        <v>BLD_MH</v>
      </c>
      <c r="D2683" s="380">
        <f>'00_PORTFOLIO ROLLUP'!I$12</f>
        <v>2029</v>
      </c>
      <c r="E2683" s="366" t="s">
        <v>1721</v>
      </c>
      <c r="F2683" s="366" t="s">
        <v>31</v>
      </c>
      <c r="G2683" s="348" t="str">
        <f>"'"&amp;$C2683&amp;"'!$E$61:$Y$61"</f>
        <v>'BLD_MH'!$E$61:$Y$61</v>
      </c>
      <c r="H2683" s="381">
        <f ca="1">IF(IFERROR(INDEX(DATA_PROPERTY_MASTER!$E$5:$E$21,MATCH($C2683,DATA_PROPERTY_MASTER!$A$5:$A$21,0))="Yes",FALSE),IFERROR(INDEX(INDIRECT("'"&amp;$C2683&amp;"'!$E$61:$Y$61"),1,MATCH($D2683,INDIRECT("'"&amp;$C2683&amp;"'!$E$12:$Y$12"),0)),0),0)</f>
        <v>0</v>
      </c>
      <c r="I2683" s="366" t="s">
        <v>1690</v>
      </c>
      <c r="J2683" s="348" t="str">
        <f t="shared" ca="1" si="82"/>
        <v>OK</v>
      </c>
      <c r="K2683" s="366" t="s">
        <v>1723</v>
      </c>
      <c r="L2683" s="366" t="s">
        <v>2252</v>
      </c>
      <c r="M2683" s="350" t="str">
        <f>IF($B2683="Portfolio","Portfolio",IFERROR(INDEX(DATA_ASSET_CLASSIFICATION!$B$8:$B$24,MATCH($C2683,DATA_ASSET_CLASSIFICATION!$A$8:$A$24,0)),"Review"))</f>
        <v>Margaret Heights</v>
      </c>
      <c r="N2683" s="350" t="str">
        <f ca="1">IF($B2683="Portfolio","Portfolio",IFERROR(INDEX(DATA_ASSET_CLASSIFICATION!$U$8:$U$24,MATCH($C2683,DATA_ASSET_CLASSIFICATION!$A$8:$A$24,0)),"Review"))</f>
        <v>Refi Watch</v>
      </c>
      <c r="O2683" s="350" t="str">
        <f ca="1">IF($B2683="Portfolio","Portfolio",IFERROR(INDEX(DATA_ASSET_CLASSIFICATION!$AB$8:$AB$13,MATCH($N2683,DATA_ASSET_CLASSIFICATION!$AA$8:$AA$13,0)),"Review"))</f>
        <v>Bucket 2 · Legacy</v>
      </c>
      <c r="P2683" s="350" t="str">
        <f>IF($B2683="Portfolio","Portfolio",IFERROR(INDEX(DATA_ASSET_CLASSIFICATION!$C$8:$C$24,MATCH($C2683,DATA_ASSET_CLASSIFICATION!$A$8:$A$24,0)),"Review"))</f>
        <v>Yes</v>
      </c>
      <c r="Q2683" s="350" t="str">
        <f t="shared" ca="1" si="83"/>
        <v>OK</v>
      </c>
    </row>
    <row r="2684" spans="1:17">
      <c r="A2684" s="366" t="s">
        <v>4640</v>
      </c>
      <c r="B2684" s="366" t="s">
        <v>231</v>
      </c>
      <c r="C2684" s="348" t="str">
        <f>DATA_PROPERTY_MASTER!$A$13</f>
        <v>BLD_MH</v>
      </c>
      <c r="D2684" s="380">
        <f>'00_PORTFOLIO ROLLUP'!I$12</f>
        <v>2029</v>
      </c>
      <c r="E2684" s="366" t="s">
        <v>1721</v>
      </c>
      <c r="F2684" s="366" t="s">
        <v>33</v>
      </c>
      <c r="G2684" s="348" t="str">
        <f>"'"&amp;$C2684&amp;"'!$E$62:$Y$62"</f>
        <v>'BLD_MH'!$E$62:$Y$62</v>
      </c>
      <c r="H2684" s="381">
        <f ca="1">IF(IFERROR(INDEX(DATA_PROPERTY_MASTER!$E$5:$E$21,MATCH($C2684,DATA_PROPERTY_MASTER!$A$5:$A$21,0))="Yes",FALSE),IFERROR(INDEX(INDIRECT("'"&amp;$C2684&amp;"'!$E$62:$Y$62"),1,MATCH($D2684,INDIRECT("'"&amp;$C2684&amp;"'!$E$12:$Y$12"),0)),0),0)</f>
        <v>0</v>
      </c>
      <c r="I2684" s="366" t="s">
        <v>1685</v>
      </c>
      <c r="J2684" s="348" t="str">
        <f t="shared" ca="1" si="82"/>
        <v>OK</v>
      </c>
      <c r="K2684" s="366" t="s">
        <v>1727</v>
      </c>
      <c r="L2684" s="366" t="s">
        <v>2254</v>
      </c>
      <c r="M2684" s="350" t="str">
        <f>IF($B2684="Portfolio","Portfolio",IFERROR(INDEX(DATA_ASSET_CLASSIFICATION!$B$8:$B$24,MATCH($C2684,DATA_ASSET_CLASSIFICATION!$A$8:$A$24,0)),"Review"))</f>
        <v>Margaret Heights</v>
      </c>
      <c r="N2684" s="350" t="str">
        <f ca="1">IF($B2684="Portfolio","Portfolio",IFERROR(INDEX(DATA_ASSET_CLASSIFICATION!$U$8:$U$24,MATCH($C2684,DATA_ASSET_CLASSIFICATION!$A$8:$A$24,0)),"Review"))</f>
        <v>Refi Watch</v>
      </c>
      <c r="O2684" s="350" t="str">
        <f ca="1">IF($B2684="Portfolio","Portfolio",IFERROR(INDEX(DATA_ASSET_CLASSIFICATION!$AB$8:$AB$13,MATCH($N2684,DATA_ASSET_CLASSIFICATION!$AA$8:$AA$13,0)),"Review"))</f>
        <v>Bucket 2 · Legacy</v>
      </c>
      <c r="P2684" s="350" t="str">
        <f>IF($B2684="Portfolio","Portfolio",IFERROR(INDEX(DATA_ASSET_CLASSIFICATION!$C$8:$C$24,MATCH($C2684,DATA_ASSET_CLASSIFICATION!$A$8:$A$24,0)),"Review"))</f>
        <v>Yes</v>
      </c>
      <c r="Q2684" s="350" t="str">
        <f t="shared" ca="1" si="83"/>
        <v>OK</v>
      </c>
    </row>
    <row r="2685" spans="1:17">
      <c r="A2685" s="366" t="s">
        <v>4641</v>
      </c>
      <c r="B2685" s="366" t="s">
        <v>231</v>
      </c>
      <c r="C2685" s="348" t="str">
        <f>DATA_PROPERTY_MASTER!$A$13</f>
        <v>BLD_MH</v>
      </c>
      <c r="D2685" s="380">
        <f>'00_PORTFOLIO ROLLUP'!I$12</f>
        <v>2029</v>
      </c>
      <c r="E2685" s="366" t="s">
        <v>1721</v>
      </c>
      <c r="F2685" s="366" t="s">
        <v>35</v>
      </c>
      <c r="G2685" s="348" t="str">
        <f>"'"&amp;$C2685&amp;"'!$E$63:$Y$63"</f>
        <v>'BLD_MH'!$E$63:$Y$63</v>
      </c>
      <c r="H2685" s="381">
        <f ca="1">IF(IFERROR(INDEX(DATA_PROPERTY_MASTER!$E$5:$E$21,MATCH($C2685,DATA_PROPERTY_MASTER!$A$5:$A$21,0))="Yes",FALSE),IFERROR(INDEX(INDIRECT("'"&amp;$C2685&amp;"'!$E$63:$Y$63"),1,MATCH($D2685,INDIRECT("'"&amp;$C2685&amp;"'!$E$12:$Y$12"),0)),0),0)</f>
        <v>0</v>
      </c>
      <c r="I2685" s="366" t="s">
        <v>1731</v>
      </c>
      <c r="J2685" s="348" t="str">
        <f t="shared" ca="1" si="82"/>
        <v>OK</v>
      </c>
      <c r="K2685" s="366" t="s">
        <v>1732</v>
      </c>
      <c r="L2685" s="366" t="s">
        <v>2256</v>
      </c>
      <c r="M2685" s="350" t="str">
        <f>IF($B2685="Portfolio","Portfolio",IFERROR(INDEX(DATA_ASSET_CLASSIFICATION!$B$8:$B$24,MATCH($C2685,DATA_ASSET_CLASSIFICATION!$A$8:$A$24,0)),"Review"))</f>
        <v>Margaret Heights</v>
      </c>
      <c r="N2685" s="350" t="str">
        <f ca="1">IF($B2685="Portfolio","Portfolio",IFERROR(INDEX(DATA_ASSET_CLASSIFICATION!$U$8:$U$24,MATCH($C2685,DATA_ASSET_CLASSIFICATION!$A$8:$A$24,0)),"Review"))</f>
        <v>Refi Watch</v>
      </c>
      <c r="O2685" s="350" t="str">
        <f ca="1">IF($B2685="Portfolio","Portfolio",IFERROR(INDEX(DATA_ASSET_CLASSIFICATION!$AB$8:$AB$13,MATCH($N2685,DATA_ASSET_CLASSIFICATION!$AA$8:$AA$13,0)),"Review"))</f>
        <v>Bucket 2 · Legacy</v>
      </c>
      <c r="P2685" s="350" t="str">
        <f>IF($B2685="Portfolio","Portfolio",IFERROR(INDEX(DATA_ASSET_CLASSIFICATION!$C$8:$C$24,MATCH($C2685,DATA_ASSET_CLASSIFICATION!$A$8:$A$24,0)),"Review"))</f>
        <v>Yes</v>
      </c>
      <c r="Q2685" s="350" t="str">
        <f t="shared" ca="1" si="83"/>
        <v>OK</v>
      </c>
    </row>
    <row r="2686" spans="1:17">
      <c r="A2686" s="366" t="s">
        <v>4642</v>
      </c>
      <c r="B2686" s="366" t="s">
        <v>231</v>
      </c>
      <c r="C2686" s="348" t="str">
        <f>DATA_PROPERTY_MASTER!$A$13</f>
        <v>BLD_MH</v>
      </c>
      <c r="D2686" s="380">
        <f>'00_PORTFOLIO ROLLUP'!I$12</f>
        <v>2029</v>
      </c>
      <c r="E2686" s="366" t="s">
        <v>1721</v>
      </c>
      <c r="F2686" s="366" t="s">
        <v>37</v>
      </c>
      <c r="G2686" s="348" t="str">
        <f>"'"&amp;$C2686&amp;"'!$E$63:$Y$63"</f>
        <v>'BLD_MH'!$E$63:$Y$63</v>
      </c>
      <c r="H2686" s="381">
        <f ca="1">IF(IFERROR(INDEX(DATA_PROPERTY_MASTER!$E$5:$E$21,MATCH($C2686,DATA_PROPERTY_MASTER!$A$5:$A$21,0))="Yes",FALSE),MAX(IFERROR(INDEX(INDIRECT("'"&amp;$C2686&amp;"'!$E$63:$Y$63"),1,MATCH($D2686,INDIRECT("'"&amp;$C2686&amp;"'!$E$12:$Y$12"),0)),0),0),0)</f>
        <v>0</v>
      </c>
      <c r="I2686" s="366" t="s">
        <v>1685</v>
      </c>
      <c r="J2686" s="348" t="str">
        <f t="shared" ca="1" si="82"/>
        <v>OK</v>
      </c>
      <c r="K2686" s="366" t="s">
        <v>1735</v>
      </c>
      <c r="L2686" s="366" t="s">
        <v>2258</v>
      </c>
      <c r="M2686" s="350" t="str">
        <f>IF($B2686="Portfolio","Portfolio",IFERROR(INDEX(DATA_ASSET_CLASSIFICATION!$B$8:$B$24,MATCH($C2686,DATA_ASSET_CLASSIFICATION!$A$8:$A$24,0)),"Review"))</f>
        <v>Margaret Heights</v>
      </c>
      <c r="N2686" s="350" t="str">
        <f ca="1">IF($B2686="Portfolio","Portfolio",IFERROR(INDEX(DATA_ASSET_CLASSIFICATION!$U$8:$U$24,MATCH($C2686,DATA_ASSET_CLASSIFICATION!$A$8:$A$24,0)),"Review"))</f>
        <v>Refi Watch</v>
      </c>
      <c r="O2686" s="350" t="str">
        <f ca="1">IF($B2686="Portfolio","Portfolio",IFERROR(INDEX(DATA_ASSET_CLASSIFICATION!$AB$8:$AB$13,MATCH($N2686,DATA_ASSET_CLASSIFICATION!$AA$8:$AA$13,0)),"Review"))</f>
        <v>Bucket 2 · Legacy</v>
      </c>
      <c r="P2686" s="350" t="str">
        <f>IF($B2686="Portfolio","Portfolio",IFERROR(INDEX(DATA_ASSET_CLASSIFICATION!$C$8:$C$24,MATCH($C2686,DATA_ASSET_CLASSIFICATION!$A$8:$A$24,0)),"Review"))</f>
        <v>Yes</v>
      </c>
      <c r="Q2686" s="350" t="str">
        <f t="shared" ca="1" si="83"/>
        <v>OK</v>
      </c>
    </row>
    <row r="2687" spans="1:17">
      <c r="A2687" s="366" t="s">
        <v>4643</v>
      </c>
      <c r="B2687" s="366" t="s">
        <v>231</v>
      </c>
      <c r="C2687" s="348" t="str">
        <f>DATA_PROPERTY_MASTER!$A$13</f>
        <v>BLD_MH</v>
      </c>
      <c r="D2687" s="380">
        <f>'00_PORTFOLIO ROLLUP'!I$12</f>
        <v>2029</v>
      </c>
      <c r="E2687" s="366" t="s">
        <v>1721</v>
      </c>
      <c r="F2687" s="366" t="s">
        <v>39</v>
      </c>
      <c r="G2687" s="348" t="str">
        <f>"'"&amp;$C2687&amp;"'!$E$63:$Y$63"</f>
        <v>'BLD_MH'!$E$63:$Y$63</v>
      </c>
      <c r="H2687" s="381">
        <f ca="1">IF(IFERROR(INDEX(DATA_PROPERTY_MASTER!$E$5:$E$21,MATCH($C2687,DATA_PROPERTY_MASTER!$A$5:$A$21,0))="Yes",FALSE),MAX(-IFERROR(INDEX(INDIRECT("'"&amp;$C2687&amp;"'!$E$63:$Y$63"),1,MATCH($D2687,INDIRECT("'"&amp;$C2687&amp;"'!$E$12:$Y$12"),0)),0),0),0)</f>
        <v>0</v>
      </c>
      <c r="I2687" s="366" t="s">
        <v>1690</v>
      </c>
      <c r="J2687" s="348" t="str">
        <f t="shared" ca="1" si="82"/>
        <v>OK</v>
      </c>
      <c r="K2687" s="366" t="s">
        <v>1738</v>
      </c>
      <c r="L2687" s="366" t="s">
        <v>2260</v>
      </c>
      <c r="M2687" s="350" t="str">
        <f>IF($B2687="Portfolio","Portfolio",IFERROR(INDEX(DATA_ASSET_CLASSIFICATION!$B$8:$B$24,MATCH($C2687,DATA_ASSET_CLASSIFICATION!$A$8:$A$24,0)),"Review"))</f>
        <v>Margaret Heights</v>
      </c>
      <c r="N2687" s="350" t="str">
        <f ca="1">IF($B2687="Portfolio","Portfolio",IFERROR(INDEX(DATA_ASSET_CLASSIFICATION!$U$8:$U$24,MATCH($C2687,DATA_ASSET_CLASSIFICATION!$A$8:$A$24,0)),"Review"))</f>
        <v>Refi Watch</v>
      </c>
      <c r="O2687" s="350" t="str">
        <f ca="1">IF($B2687="Portfolio","Portfolio",IFERROR(INDEX(DATA_ASSET_CLASSIFICATION!$AB$8:$AB$13,MATCH($N2687,DATA_ASSET_CLASSIFICATION!$AA$8:$AA$13,0)),"Review"))</f>
        <v>Bucket 2 · Legacy</v>
      </c>
      <c r="P2687" s="350" t="str">
        <f>IF($B2687="Portfolio","Portfolio",IFERROR(INDEX(DATA_ASSET_CLASSIFICATION!$C$8:$C$24,MATCH($C2687,DATA_ASSET_CLASSIFICATION!$A$8:$A$24,0)),"Review"))</f>
        <v>Yes</v>
      </c>
      <c r="Q2687" s="350" t="str">
        <f t="shared" ca="1" si="83"/>
        <v>OK</v>
      </c>
    </row>
    <row r="2688" spans="1:17">
      <c r="A2688" s="366" t="s">
        <v>4644</v>
      </c>
      <c r="B2688" s="366" t="s">
        <v>231</v>
      </c>
      <c r="C2688" s="348" t="str">
        <f>DATA_PROPERTY_MASTER!$A$13</f>
        <v>BLD_MH</v>
      </c>
      <c r="D2688" s="380">
        <f>'00_PORTFOLIO ROLLUP'!I$12</f>
        <v>2029</v>
      </c>
      <c r="E2688" s="366" t="s">
        <v>1741</v>
      </c>
      <c r="F2688" s="366" t="s">
        <v>41</v>
      </c>
      <c r="G2688" s="348" t="str">
        <f>"'"&amp;$C2688&amp;"'!rows 56 + positive row 63"</f>
        <v>'BLD_MH'!rows 56 + positive row 63</v>
      </c>
      <c r="H2688" s="381">
        <f ca="1">IF(IFERROR(INDEX(DATA_PROPERTY_MASTER!$E$5:$E$21,MATCH($C2688,DATA_PROPERTY_MASTER!$A$5:$A$21,0))="Yes",FALSE),IFERROR(INDEX(INDIRECT("'"&amp;$C2688&amp;"'!$E$56:$Y$56"),1,MATCH($D2688,INDIRECT("'"&amp;$C2688&amp;"'!$E$12:$Y$12"),0)),0)+MAX(IFERROR(INDEX(INDIRECT("'"&amp;$C2688&amp;"'!$E$63:$Y$63"),1,MATCH($D2688,INDIRECT("'"&amp;$C2688&amp;"'!$E$12:$Y$12"),0)),0),0),0)</f>
        <v>84677.945515636762</v>
      </c>
      <c r="I2688" s="366" t="s">
        <v>1685</v>
      </c>
      <c r="J2688" s="348" t="str">
        <f t="shared" ca="1" si="82"/>
        <v>OK</v>
      </c>
      <c r="K2688" s="366" t="s">
        <v>1742</v>
      </c>
      <c r="L2688" s="366" t="s">
        <v>2262</v>
      </c>
      <c r="M2688" s="350" t="str">
        <f>IF($B2688="Portfolio","Portfolio",IFERROR(INDEX(DATA_ASSET_CLASSIFICATION!$B$8:$B$24,MATCH($C2688,DATA_ASSET_CLASSIFICATION!$A$8:$A$24,0)),"Review"))</f>
        <v>Margaret Heights</v>
      </c>
      <c r="N2688" s="350" t="str">
        <f ca="1">IF($B2688="Portfolio","Portfolio",IFERROR(INDEX(DATA_ASSET_CLASSIFICATION!$U$8:$U$24,MATCH($C2688,DATA_ASSET_CLASSIFICATION!$A$8:$A$24,0)),"Review"))</f>
        <v>Refi Watch</v>
      </c>
      <c r="O2688" s="350" t="str">
        <f ca="1">IF($B2688="Portfolio","Portfolio",IFERROR(INDEX(DATA_ASSET_CLASSIFICATION!$AB$8:$AB$13,MATCH($N2688,DATA_ASSET_CLASSIFICATION!$AA$8:$AA$13,0)),"Review"))</f>
        <v>Bucket 2 · Legacy</v>
      </c>
      <c r="P2688" s="350" t="str">
        <f>IF($B2688="Portfolio","Portfolio",IFERROR(INDEX(DATA_ASSET_CLASSIFICATION!$C$8:$C$24,MATCH($C2688,DATA_ASSET_CLASSIFICATION!$A$8:$A$24,0)),"Review"))</f>
        <v>Yes</v>
      </c>
      <c r="Q2688" s="350" t="str">
        <f t="shared" ca="1" si="83"/>
        <v>OK</v>
      </c>
    </row>
    <row r="2689" spans="1:17">
      <c r="A2689" s="366" t="s">
        <v>4645</v>
      </c>
      <c r="B2689" s="366" t="s">
        <v>231</v>
      </c>
      <c r="C2689" s="348" t="str">
        <f>DATA_PROPERTY_MASTER!$A$13</f>
        <v>BLD_MH</v>
      </c>
      <c r="D2689" s="380">
        <f>'00_PORTFOLIO ROLLUP'!I$12</f>
        <v>2029</v>
      </c>
      <c r="E2689" s="366" t="s">
        <v>1741</v>
      </c>
      <c r="F2689" s="366" t="s">
        <v>43</v>
      </c>
      <c r="G2689" s="348" t="str">
        <f>"'"&amp;$C2689&amp;"'!$E$68:$Y$68"</f>
        <v>'BLD_MH'!$E$68:$Y$68</v>
      </c>
      <c r="H2689" s="381">
        <f ca="1">IF(IFERROR(INDEX(DATA_PROPERTY_MASTER!$E$5:$E$21,MATCH($C2689,DATA_PROPERTY_MASTER!$A$5:$A$21,0))="Yes",FALSE),IFERROR(INDEX(INDIRECT("'"&amp;$C2689&amp;"'!$E$68:$Y$68"),1,MATCH($D2689,INDIRECT("'"&amp;$C2689&amp;"'!$E$12:$Y$12"),0)),0),0)</f>
        <v>84677.945515636762</v>
      </c>
      <c r="I2689" s="366" t="s">
        <v>1731</v>
      </c>
      <c r="J2689" s="348" t="str">
        <f t="shared" ca="1" si="82"/>
        <v>OK</v>
      </c>
      <c r="K2689" s="366" t="s">
        <v>1746</v>
      </c>
      <c r="L2689" s="366" t="s">
        <v>2264</v>
      </c>
      <c r="M2689" s="350" t="str">
        <f>IF($B2689="Portfolio","Portfolio",IFERROR(INDEX(DATA_ASSET_CLASSIFICATION!$B$8:$B$24,MATCH($C2689,DATA_ASSET_CLASSIFICATION!$A$8:$A$24,0)),"Review"))</f>
        <v>Margaret Heights</v>
      </c>
      <c r="N2689" s="350" t="str">
        <f ca="1">IF($B2689="Portfolio","Portfolio",IFERROR(INDEX(DATA_ASSET_CLASSIFICATION!$U$8:$U$24,MATCH($C2689,DATA_ASSET_CLASSIFICATION!$A$8:$A$24,0)),"Review"))</f>
        <v>Refi Watch</v>
      </c>
      <c r="O2689" s="350" t="str">
        <f ca="1">IF($B2689="Portfolio","Portfolio",IFERROR(INDEX(DATA_ASSET_CLASSIFICATION!$AB$8:$AB$13,MATCH($N2689,DATA_ASSET_CLASSIFICATION!$AA$8:$AA$13,0)),"Review"))</f>
        <v>Bucket 2 · Legacy</v>
      </c>
      <c r="P2689" s="350" t="str">
        <f>IF($B2689="Portfolio","Portfolio",IFERROR(INDEX(DATA_ASSET_CLASSIFICATION!$C$8:$C$24,MATCH($C2689,DATA_ASSET_CLASSIFICATION!$A$8:$A$24,0)),"Review"))</f>
        <v>Yes</v>
      </c>
      <c r="Q2689" s="350" t="str">
        <f t="shared" ca="1" si="83"/>
        <v>OK</v>
      </c>
    </row>
    <row r="2690" spans="1:17">
      <c r="A2690" s="366" t="s">
        <v>4646</v>
      </c>
      <c r="B2690" s="366" t="s">
        <v>231</v>
      </c>
      <c r="C2690" s="348" t="str">
        <f>DATA_PROPERTY_MASTER!$A$13</f>
        <v>BLD_MH</v>
      </c>
      <c r="D2690" s="380">
        <f>'00_PORTFOLIO ROLLUP'!I$12</f>
        <v>2029</v>
      </c>
      <c r="E2690" s="366" t="s">
        <v>1741</v>
      </c>
      <c r="F2690" s="366" t="s">
        <v>1749</v>
      </c>
      <c r="G2690" s="348" t="str">
        <f>"'"&amp;$C2690&amp;"'!rows 56, 63, 68"</f>
        <v>'BLD_MH'!rows 56, 63, 68</v>
      </c>
      <c r="H2690" s="381">
        <f ca="1">IF(IFERROR(INDEX(DATA_PROPERTY_MASTER!$E$5:$E$21,MATCH($C2690,DATA_PROPERTY_MASTER!$A$5:$A$21,0))="Yes",FALSE),(IFERROR(INDEX(INDIRECT("'"&amp;$C2690&amp;"'!$E$56:$Y$56"),1,MATCH($D2690,INDIRECT("'"&amp;$C2690&amp;"'!$E$12:$Y$12"),0)),0)+MAX(IFERROR(INDEX(INDIRECT("'"&amp;$C2690&amp;"'!$E$63:$Y$63"),1,MATCH($D2690,INDIRECT("'"&amp;$C2690&amp;"'!$E$12:$Y$12"),0)),0),0))-(IFERROR(INDEX(INDIRECT("'"&amp;$C2690&amp;"'!$E$68:$Y$68"),1,MATCH($D2690,INDIRECT("'"&amp;$C2690&amp;"'!$E$12:$Y$12"),0)),0)),0)</f>
        <v>0</v>
      </c>
      <c r="I2690" s="366" t="s">
        <v>1750</v>
      </c>
      <c r="J2690" s="348" t="str">
        <f t="shared" ca="1" si="82"/>
        <v>OK</v>
      </c>
      <c r="K2690" s="366" t="s">
        <v>1751</v>
      </c>
      <c r="L2690" s="366" t="s">
        <v>2266</v>
      </c>
      <c r="M2690" s="350" t="str">
        <f>IF($B2690="Portfolio","Portfolio",IFERROR(INDEX(DATA_ASSET_CLASSIFICATION!$B$8:$B$24,MATCH($C2690,DATA_ASSET_CLASSIFICATION!$A$8:$A$24,0)),"Review"))</f>
        <v>Margaret Heights</v>
      </c>
      <c r="N2690" s="350" t="str">
        <f ca="1">IF($B2690="Portfolio","Portfolio",IFERROR(INDEX(DATA_ASSET_CLASSIFICATION!$U$8:$U$24,MATCH($C2690,DATA_ASSET_CLASSIFICATION!$A$8:$A$24,0)),"Review"))</f>
        <v>Refi Watch</v>
      </c>
      <c r="O2690" s="350" t="str">
        <f ca="1">IF($B2690="Portfolio","Portfolio",IFERROR(INDEX(DATA_ASSET_CLASSIFICATION!$AB$8:$AB$13,MATCH($N2690,DATA_ASSET_CLASSIFICATION!$AA$8:$AA$13,0)),"Review"))</f>
        <v>Bucket 2 · Legacy</v>
      </c>
      <c r="P2690" s="350" t="str">
        <f>IF($B2690="Portfolio","Portfolio",IFERROR(INDEX(DATA_ASSET_CLASSIFICATION!$C$8:$C$24,MATCH($C2690,DATA_ASSET_CLASSIFICATION!$A$8:$A$24,0)),"Review"))</f>
        <v>Yes</v>
      </c>
      <c r="Q2690" s="350" t="str">
        <f t="shared" ca="1" si="83"/>
        <v>OK</v>
      </c>
    </row>
    <row r="2691" spans="1:17">
      <c r="A2691" s="366" t="s">
        <v>4647</v>
      </c>
      <c r="B2691" s="366" t="s">
        <v>231</v>
      </c>
      <c r="C2691" s="348" t="str">
        <f>DATA_PROPERTY_MASTER!$A$13</f>
        <v>BLD_MH</v>
      </c>
      <c r="D2691" s="380">
        <f>'00_PORTFOLIO ROLLUP'!J$12</f>
        <v>2030</v>
      </c>
      <c r="E2691" s="366" t="s">
        <v>1683</v>
      </c>
      <c r="F2691" s="366" t="s">
        <v>341</v>
      </c>
      <c r="G2691" s="348" t="str">
        <f>"'"&amp;$C2691&amp;"'!$E$24:$Y$24"</f>
        <v>'BLD_MH'!$E$24:$Y$24</v>
      </c>
      <c r="H2691" s="381">
        <f ca="1">IF(IFERROR(INDEX(DATA_PROPERTY_MASTER!$E$5:$E$21,MATCH($C2691,DATA_PROPERTY_MASTER!$A$5:$A$21,0))="Yes",FALSE),IFERROR(INDEX(INDIRECT("'"&amp;$C2691&amp;"'!$E$24:$Y$24"),1,MATCH($D2691,INDIRECT("'"&amp;$C2691&amp;"'!$E$12:$Y$12"),0)),0),0)</f>
        <v>435817.15418748494</v>
      </c>
      <c r="I2691" s="366" t="s">
        <v>1685</v>
      </c>
      <c r="J2691" s="348" t="str">
        <f t="shared" ca="1" si="82"/>
        <v>OK</v>
      </c>
      <c r="K2691" s="366" t="s">
        <v>1686</v>
      </c>
      <c r="L2691" s="366" t="s">
        <v>2234</v>
      </c>
      <c r="M2691" s="350" t="str">
        <f>IF($B2691="Portfolio","Portfolio",IFERROR(INDEX(DATA_ASSET_CLASSIFICATION!$B$8:$B$24,MATCH($C2691,DATA_ASSET_CLASSIFICATION!$A$8:$A$24,0)),"Review"))</f>
        <v>Margaret Heights</v>
      </c>
      <c r="N2691" s="350" t="str">
        <f ca="1">IF($B2691="Portfolio","Portfolio",IFERROR(INDEX(DATA_ASSET_CLASSIFICATION!$U$8:$U$24,MATCH($C2691,DATA_ASSET_CLASSIFICATION!$A$8:$A$24,0)),"Review"))</f>
        <v>Refi Watch</v>
      </c>
      <c r="O2691" s="350" t="str">
        <f ca="1">IF($B2691="Portfolio","Portfolio",IFERROR(INDEX(DATA_ASSET_CLASSIFICATION!$AB$8:$AB$13,MATCH($N2691,DATA_ASSET_CLASSIFICATION!$AA$8:$AA$13,0)),"Review"))</f>
        <v>Bucket 2 · Legacy</v>
      </c>
      <c r="P2691" s="350" t="str">
        <f>IF($B2691="Portfolio","Portfolio",IFERROR(INDEX(DATA_ASSET_CLASSIFICATION!$C$8:$C$24,MATCH($C2691,DATA_ASSET_CLASSIFICATION!$A$8:$A$24,0)),"Review"))</f>
        <v>Yes</v>
      </c>
      <c r="Q2691" s="350" t="str">
        <f t="shared" ca="1" si="83"/>
        <v>OK</v>
      </c>
    </row>
    <row r="2692" spans="1:17">
      <c r="A2692" s="366" t="s">
        <v>4648</v>
      </c>
      <c r="B2692" s="366" t="s">
        <v>231</v>
      </c>
      <c r="C2692" s="348" t="str">
        <f>DATA_PROPERTY_MASTER!$A$13</f>
        <v>BLD_MH</v>
      </c>
      <c r="D2692" s="380">
        <f>'00_PORTFOLIO ROLLUP'!J$12</f>
        <v>2030</v>
      </c>
      <c r="E2692" s="366" t="s">
        <v>1683</v>
      </c>
      <c r="F2692" s="366" t="s">
        <v>355</v>
      </c>
      <c r="G2692" s="348" t="str">
        <f>"'"&amp;$C2692&amp;"'!$E$39:$Y$39"</f>
        <v>'BLD_MH'!$E$39:$Y$39</v>
      </c>
      <c r="H2692" s="381">
        <f ca="1">IF(IFERROR(INDEX(DATA_PROPERTY_MASTER!$E$5:$E$21,MATCH($C2692,DATA_PROPERTY_MASTER!$A$5:$A$21,0))="Yes",FALSE),IFERROR(INDEX(INDIRECT("'"&amp;$C2692&amp;"'!$E$39:$Y$39"),1,MATCH($D2692,INDIRECT("'"&amp;$C2692&amp;"'!$E$12:$Y$12"),0)),0),0)</f>
        <v>224199.93024266249</v>
      </c>
      <c r="I2692" s="366" t="s">
        <v>1690</v>
      </c>
      <c r="J2692" s="348" t="str">
        <f t="shared" ca="1" si="82"/>
        <v>OK</v>
      </c>
      <c r="K2692" s="366" t="s">
        <v>1686</v>
      </c>
      <c r="L2692" s="366" t="s">
        <v>2236</v>
      </c>
      <c r="M2692" s="350" t="str">
        <f>IF($B2692="Portfolio","Portfolio",IFERROR(INDEX(DATA_ASSET_CLASSIFICATION!$B$8:$B$24,MATCH($C2692,DATA_ASSET_CLASSIFICATION!$A$8:$A$24,0)),"Review"))</f>
        <v>Margaret Heights</v>
      </c>
      <c r="N2692" s="350" t="str">
        <f ca="1">IF($B2692="Portfolio","Portfolio",IFERROR(INDEX(DATA_ASSET_CLASSIFICATION!$U$8:$U$24,MATCH($C2692,DATA_ASSET_CLASSIFICATION!$A$8:$A$24,0)),"Review"))</f>
        <v>Refi Watch</v>
      </c>
      <c r="O2692" s="350" t="str">
        <f ca="1">IF($B2692="Portfolio","Portfolio",IFERROR(INDEX(DATA_ASSET_CLASSIFICATION!$AB$8:$AB$13,MATCH($N2692,DATA_ASSET_CLASSIFICATION!$AA$8:$AA$13,0)),"Review"))</f>
        <v>Bucket 2 · Legacy</v>
      </c>
      <c r="P2692" s="350" t="str">
        <f>IF($B2692="Portfolio","Portfolio",IFERROR(INDEX(DATA_ASSET_CLASSIFICATION!$C$8:$C$24,MATCH($C2692,DATA_ASSET_CLASSIFICATION!$A$8:$A$24,0)),"Review"))</f>
        <v>Yes</v>
      </c>
      <c r="Q2692" s="350" t="str">
        <f t="shared" ca="1" si="83"/>
        <v>OK</v>
      </c>
    </row>
    <row r="2693" spans="1:17">
      <c r="A2693" s="366" t="s">
        <v>4649</v>
      </c>
      <c r="B2693" s="366" t="s">
        <v>231</v>
      </c>
      <c r="C2693" s="348" t="str">
        <f>DATA_PROPERTY_MASTER!$A$13</f>
        <v>BLD_MH</v>
      </c>
      <c r="D2693" s="380">
        <f>'00_PORTFOLIO ROLLUP'!J$12</f>
        <v>2030</v>
      </c>
      <c r="E2693" s="366" t="s">
        <v>1683</v>
      </c>
      <c r="F2693" s="366" t="s">
        <v>19</v>
      </c>
      <c r="G2693" s="348" t="str">
        <f>"'"&amp;$C2693&amp;"'!$E$41:$Y$41"</f>
        <v>'BLD_MH'!$E$41:$Y$41</v>
      </c>
      <c r="H2693" s="381">
        <f ca="1">IF(IFERROR(INDEX(DATA_PROPERTY_MASTER!$E$5:$E$21,MATCH($C2693,DATA_PROPERTY_MASTER!$A$5:$A$21,0))="Yes",FALSE),IFERROR(INDEX(INDIRECT("'"&amp;$C2693&amp;"'!$E$41:$Y$41"),1,MATCH($D2693,INDIRECT("'"&amp;$C2693&amp;"'!$E$12:$Y$12"),0)),0),0)</f>
        <v>211617.22394482244</v>
      </c>
      <c r="I2693" s="366" t="s">
        <v>1685</v>
      </c>
      <c r="J2693" s="348" t="str">
        <f t="shared" ref="J2693:J2756" ca="1" si="84">IF($F2693="Residual Funding Gap",IF($H2693&gt;0,"Funding Gap","OK"),IF(AND($F2693="Net Refinance Position",$H2693&lt;0),"Negative net refi position","OK"))</f>
        <v>OK</v>
      </c>
      <c r="K2693" s="366" t="s">
        <v>1694</v>
      </c>
      <c r="L2693" s="366" t="s">
        <v>2238</v>
      </c>
      <c r="M2693" s="350" t="str">
        <f>IF($B2693="Portfolio","Portfolio",IFERROR(INDEX(DATA_ASSET_CLASSIFICATION!$B$8:$B$24,MATCH($C2693,DATA_ASSET_CLASSIFICATION!$A$8:$A$24,0)),"Review"))</f>
        <v>Margaret Heights</v>
      </c>
      <c r="N2693" s="350" t="str">
        <f ca="1">IF($B2693="Portfolio","Portfolio",IFERROR(INDEX(DATA_ASSET_CLASSIFICATION!$U$8:$U$24,MATCH($C2693,DATA_ASSET_CLASSIFICATION!$A$8:$A$24,0)),"Review"))</f>
        <v>Refi Watch</v>
      </c>
      <c r="O2693" s="350" t="str">
        <f ca="1">IF($B2693="Portfolio","Portfolio",IFERROR(INDEX(DATA_ASSET_CLASSIFICATION!$AB$8:$AB$13,MATCH($N2693,DATA_ASSET_CLASSIFICATION!$AA$8:$AA$13,0)),"Review"))</f>
        <v>Bucket 2 · Legacy</v>
      </c>
      <c r="P2693" s="350" t="str">
        <f>IF($B2693="Portfolio","Portfolio",IFERROR(INDEX(DATA_ASSET_CLASSIFICATION!$C$8:$C$24,MATCH($C2693,DATA_ASSET_CLASSIFICATION!$A$8:$A$24,0)),"Review"))</f>
        <v>Yes</v>
      </c>
      <c r="Q2693" s="350" t="str">
        <f t="shared" ref="Q2693:Q2756" ca="1" si="85">IF(AND($B2693="Property",$F2693="Residual Funding Gap",$H2693&gt;0),"Property Funding Gap",IF($J2693&lt;&gt;"OK",$J2693,"OK"))</f>
        <v>OK</v>
      </c>
    </row>
    <row r="2694" spans="1:17">
      <c r="A2694" s="366" t="s">
        <v>4650</v>
      </c>
      <c r="B2694" s="366" t="s">
        <v>231</v>
      </c>
      <c r="C2694" s="348" t="str">
        <f>DATA_PROPERTY_MASTER!$A$13</f>
        <v>BLD_MH</v>
      </c>
      <c r="D2694" s="380">
        <f>'00_PORTFOLIO ROLLUP'!J$12</f>
        <v>2030</v>
      </c>
      <c r="E2694" s="366" t="s">
        <v>1683</v>
      </c>
      <c r="F2694" s="366" t="s">
        <v>1697</v>
      </c>
      <c r="G2694" s="348" t="str">
        <f>"'"&amp;$C2694&amp;"'!$E$44:$Y$44"</f>
        <v>'BLD_MH'!$E$44:$Y$44</v>
      </c>
      <c r="H2694" s="381">
        <f ca="1">IF(IFERROR(INDEX(DATA_PROPERTY_MASTER!$E$5:$E$21,MATCH($C2694,DATA_PROPERTY_MASTER!$A$5:$A$21,0))="Yes",FALSE),IFERROR(INDEX(INDIRECT("'"&amp;$C2694&amp;"'!$E$44:$Y$44"),1,MATCH($D2694,INDIRECT("'"&amp;$C2694&amp;"'!$E$12:$Y$12"),0)),0),0)</f>
        <v>3146.6302891200003</v>
      </c>
      <c r="I2694" s="366" t="s">
        <v>1690</v>
      </c>
      <c r="J2694" s="348" t="str">
        <f t="shared" ca="1" si="84"/>
        <v>OK</v>
      </c>
      <c r="K2694" s="366" t="s">
        <v>1699</v>
      </c>
      <c r="L2694" s="366" t="s">
        <v>2240</v>
      </c>
      <c r="M2694" s="350" t="str">
        <f>IF($B2694="Portfolio","Portfolio",IFERROR(INDEX(DATA_ASSET_CLASSIFICATION!$B$8:$B$24,MATCH($C2694,DATA_ASSET_CLASSIFICATION!$A$8:$A$24,0)),"Review"))</f>
        <v>Margaret Heights</v>
      </c>
      <c r="N2694" s="350" t="str">
        <f ca="1">IF($B2694="Portfolio","Portfolio",IFERROR(INDEX(DATA_ASSET_CLASSIFICATION!$U$8:$U$24,MATCH($C2694,DATA_ASSET_CLASSIFICATION!$A$8:$A$24,0)),"Review"))</f>
        <v>Refi Watch</v>
      </c>
      <c r="O2694" s="350" t="str">
        <f ca="1">IF($B2694="Portfolio","Portfolio",IFERROR(INDEX(DATA_ASSET_CLASSIFICATION!$AB$8:$AB$13,MATCH($N2694,DATA_ASSET_CLASSIFICATION!$AA$8:$AA$13,0)),"Review"))</f>
        <v>Bucket 2 · Legacy</v>
      </c>
      <c r="P2694" s="350" t="str">
        <f>IF($B2694="Portfolio","Portfolio",IFERROR(INDEX(DATA_ASSET_CLASSIFICATION!$C$8:$C$24,MATCH($C2694,DATA_ASSET_CLASSIFICATION!$A$8:$A$24,0)),"Review"))</f>
        <v>Yes</v>
      </c>
      <c r="Q2694" s="350" t="str">
        <f t="shared" ca="1" si="85"/>
        <v>OK</v>
      </c>
    </row>
    <row r="2695" spans="1:17">
      <c r="A2695" s="366" t="s">
        <v>4651</v>
      </c>
      <c r="B2695" s="366" t="s">
        <v>231</v>
      </c>
      <c r="C2695" s="348" t="str">
        <f>DATA_PROPERTY_MASTER!$A$13</f>
        <v>BLD_MH</v>
      </c>
      <c r="D2695" s="380">
        <f>'00_PORTFOLIO ROLLUP'!J$12</f>
        <v>2030</v>
      </c>
      <c r="E2695" s="366" t="s">
        <v>1683</v>
      </c>
      <c r="F2695" s="366" t="s">
        <v>21</v>
      </c>
      <c r="G2695" s="348" t="str">
        <f>"'"&amp;$C2695&amp;"'!$E$45:$Y$45"</f>
        <v>'BLD_MH'!$E$45:$Y$45</v>
      </c>
      <c r="H2695" s="381">
        <f ca="1">IF(IFERROR(INDEX(DATA_PROPERTY_MASTER!$E$5:$E$21,MATCH($C2695,DATA_PROPERTY_MASTER!$A$5:$A$21,0))="Yes",FALSE),IFERROR(INDEX(INDIRECT("'"&amp;$C2695&amp;"'!$E$45:$Y$45"),1,MATCH($D2695,INDIRECT("'"&amp;$C2695&amp;"'!$E$12:$Y$12"),0)),0),0)</f>
        <v>208470.59365570245</v>
      </c>
      <c r="I2695" s="366" t="s">
        <v>1685</v>
      </c>
      <c r="J2695" s="348" t="str">
        <f t="shared" ca="1" si="84"/>
        <v>OK</v>
      </c>
      <c r="K2695" s="366" t="s">
        <v>1694</v>
      </c>
      <c r="L2695" s="366" t="s">
        <v>2242</v>
      </c>
      <c r="M2695" s="350" t="str">
        <f>IF($B2695="Portfolio","Portfolio",IFERROR(INDEX(DATA_ASSET_CLASSIFICATION!$B$8:$B$24,MATCH($C2695,DATA_ASSET_CLASSIFICATION!$A$8:$A$24,0)),"Review"))</f>
        <v>Margaret Heights</v>
      </c>
      <c r="N2695" s="350" t="str">
        <f ca="1">IF($B2695="Portfolio","Portfolio",IFERROR(INDEX(DATA_ASSET_CLASSIFICATION!$U$8:$U$24,MATCH($C2695,DATA_ASSET_CLASSIFICATION!$A$8:$A$24,0)),"Review"))</f>
        <v>Refi Watch</v>
      </c>
      <c r="O2695" s="350" t="str">
        <f ca="1">IF($B2695="Portfolio","Portfolio",IFERROR(INDEX(DATA_ASSET_CLASSIFICATION!$AB$8:$AB$13,MATCH($N2695,DATA_ASSET_CLASSIFICATION!$AA$8:$AA$13,0)),"Review"))</f>
        <v>Bucket 2 · Legacy</v>
      </c>
      <c r="P2695" s="350" t="str">
        <f>IF($B2695="Portfolio","Portfolio",IFERROR(INDEX(DATA_ASSET_CLASSIFICATION!$C$8:$C$24,MATCH($C2695,DATA_ASSET_CLASSIFICATION!$A$8:$A$24,0)),"Review"))</f>
        <v>Yes</v>
      </c>
      <c r="Q2695" s="350" t="str">
        <f t="shared" ca="1" si="85"/>
        <v>OK</v>
      </c>
    </row>
    <row r="2696" spans="1:17">
      <c r="A2696" s="366" t="s">
        <v>4652</v>
      </c>
      <c r="B2696" s="366" t="s">
        <v>231</v>
      </c>
      <c r="C2696" s="348" t="str">
        <f>DATA_PROPERTY_MASTER!$A$13</f>
        <v>BLD_MH</v>
      </c>
      <c r="D2696" s="380">
        <f>'00_PORTFOLIO ROLLUP'!J$12</f>
        <v>2030</v>
      </c>
      <c r="E2696" s="366" t="s">
        <v>23</v>
      </c>
      <c r="F2696" s="366" t="s">
        <v>23</v>
      </c>
      <c r="G2696" s="348" t="str">
        <f>"'"&amp;$C2696&amp;"'!$E$48:$Y$48"</f>
        <v>'BLD_MH'!$E$48:$Y$48</v>
      </c>
      <c r="H2696" s="381">
        <f ca="1">IF(IFERROR(INDEX(DATA_PROPERTY_MASTER!$E$5:$E$21,MATCH($C2696,DATA_PROPERTY_MASTER!$A$5:$A$21,0))="Yes",FALSE),IFERROR(INDEX(INDIRECT("'"&amp;$C2696&amp;"'!$E$48:$Y$48"),1,MATCH($D2696,INDIRECT("'"&amp;$C2696&amp;"'!$E$12:$Y$12"),0)),0),0)</f>
        <v>0</v>
      </c>
      <c r="I2696" s="366" t="s">
        <v>1690</v>
      </c>
      <c r="J2696" s="348" t="str">
        <f t="shared" ca="1" si="84"/>
        <v>OK</v>
      </c>
      <c r="K2696" s="366" t="s">
        <v>1706</v>
      </c>
      <c r="L2696" s="366" t="s">
        <v>2244</v>
      </c>
      <c r="M2696" s="350" t="str">
        <f>IF($B2696="Portfolio","Portfolio",IFERROR(INDEX(DATA_ASSET_CLASSIFICATION!$B$8:$B$24,MATCH($C2696,DATA_ASSET_CLASSIFICATION!$A$8:$A$24,0)),"Review"))</f>
        <v>Margaret Heights</v>
      </c>
      <c r="N2696" s="350" t="str">
        <f ca="1">IF($B2696="Portfolio","Portfolio",IFERROR(INDEX(DATA_ASSET_CLASSIFICATION!$U$8:$U$24,MATCH($C2696,DATA_ASSET_CLASSIFICATION!$A$8:$A$24,0)),"Review"))</f>
        <v>Refi Watch</v>
      </c>
      <c r="O2696" s="350" t="str">
        <f ca="1">IF($B2696="Portfolio","Portfolio",IFERROR(INDEX(DATA_ASSET_CLASSIFICATION!$AB$8:$AB$13,MATCH($N2696,DATA_ASSET_CLASSIFICATION!$AA$8:$AA$13,0)),"Review"))</f>
        <v>Bucket 2 · Legacy</v>
      </c>
      <c r="P2696" s="350" t="str">
        <f>IF($B2696="Portfolio","Portfolio",IFERROR(INDEX(DATA_ASSET_CLASSIFICATION!$C$8:$C$24,MATCH($C2696,DATA_ASSET_CLASSIFICATION!$A$8:$A$24,0)),"Review"))</f>
        <v>Yes</v>
      </c>
      <c r="Q2696" s="350" t="str">
        <f t="shared" ca="1" si="85"/>
        <v>OK</v>
      </c>
    </row>
    <row r="2697" spans="1:17">
      <c r="A2697" s="366" t="s">
        <v>4653</v>
      </c>
      <c r="B2697" s="366" t="s">
        <v>231</v>
      </c>
      <c r="C2697" s="348" t="str">
        <f>DATA_PROPERTY_MASTER!$A$13</f>
        <v>BLD_MH</v>
      </c>
      <c r="D2697" s="380">
        <f>'00_PORTFOLIO ROLLUP'!J$12</f>
        <v>2030</v>
      </c>
      <c r="E2697" s="366" t="s">
        <v>1683</v>
      </c>
      <c r="F2697" s="366" t="s">
        <v>25</v>
      </c>
      <c r="G2697" s="348" t="str">
        <f>"'"&amp;$C2697&amp;"'!$E$52:$Y$52"</f>
        <v>'BLD_MH'!$E$52:$Y$52</v>
      </c>
      <c r="H2697" s="381">
        <f ca="1">IF(IFERROR(INDEX(DATA_PROPERTY_MASTER!$E$5:$E$21,MATCH($C2697,DATA_PROPERTY_MASTER!$A$5:$A$21,0))="Yes",FALSE),IFERROR(INDEX(INDIRECT("'"&amp;$C2697&amp;"'!$E$52:$Y$52"),1,MATCH($D2697,INDIRECT("'"&amp;$C2697&amp;"'!$E$12:$Y$12"),0)),0),0)</f>
        <v>211617.22394482244</v>
      </c>
      <c r="I2697" s="366" t="s">
        <v>1685</v>
      </c>
      <c r="J2697" s="348" t="str">
        <f t="shared" ca="1" si="84"/>
        <v>OK</v>
      </c>
      <c r="K2697" s="366" t="s">
        <v>1710</v>
      </c>
      <c r="L2697" s="366" t="s">
        <v>2246</v>
      </c>
      <c r="M2697" s="350" t="str">
        <f>IF($B2697="Portfolio","Portfolio",IFERROR(INDEX(DATA_ASSET_CLASSIFICATION!$B$8:$B$24,MATCH($C2697,DATA_ASSET_CLASSIFICATION!$A$8:$A$24,0)),"Review"))</f>
        <v>Margaret Heights</v>
      </c>
      <c r="N2697" s="350" t="str">
        <f ca="1">IF($B2697="Portfolio","Portfolio",IFERROR(INDEX(DATA_ASSET_CLASSIFICATION!$U$8:$U$24,MATCH($C2697,DATA_ASSET_CLASSIFICATION!$A$8:$A$24,0)),"Review"))</f>
        <v>Refi Watch</v>
      </c>
      <c r="O2697" s="350" t="str">
        <f ca="1">IF($B2697="Portfolio","Portfolio",IFERROR(INDEX(DATA_ASSET_CLASSIFICATION!$AB$8:$AB$13,MATCH($N2697,DATA_ASSET_CLASSIFICATION!$AA$8:$AA$13,0)),"Review"))</f>
        <v>Bucket 2 · Legacy</v>
      </c>
      <c r="P2697" s="350" t="str">
        <f>IF($B2697="Portfolio","Portfolio",IFERROR(INDEX(DATA_ASSET_CLASSIFICATION!$C$8:$C$24,MATCH($C2697,DATA_ASSET_CLASSIFICATION!$A$8:$A$24,0)),"Review"))</f>
        <v>Yes</v>
      </c>
      <c r="Q2697" s="350" t="str">
        <f t="shared" ca="1" si="85"/>
        <v>OK</v>
      </c>
    </row>
    <row r="2698" spans="1:17">
      <c r="A2698" s="366" t="s">
        <v>4654</v>
      </c>
      <c r="B2698" s="366" t="s">
        <v>231</v>
      </c>
      <c r="C2698" s="348" t="str">
        <f>DATA_PROPERTY_MASTER!$A$13</f>
        <v>BLD_MH</v>
      </c>
      <c r="D2698" s="380">
        <f>'00_PORTFOLIO ROLLUP'!J$12</f>
        <v>2030</v>
      </c>
      <c r="E2698" s="366" t="s">
        <v>1683</v>
      </c>
      <c r="F2698" s="366" t="s">
        <v>27</v>
      </c>
      <c r="G2698" s="348" t="str">
        <f>"'"&amp;$C2698&amp;"'!$E$54:$Y$54"</f>
        <v>'BLD_MH'!$E$54:$Y$54</v>
      </c>
      <c r="H2698" s="381">
        <f ca="1">IF(IFERROR(INDEX(DATA_PROPERTY_MASTER!$E$5:$E$21,MATCH($C2698,DATA_PROPERTY_MASTER!$A$5:$A$21,0))="Yes",FALSE),IFERROR(INDEX(INDIRECT("'"&amp;$C2698&amp;"'!$E$54:$Y$54"),1,MATCH($D2698,INDIRECT("'"&amp;$C2698&amp;"'!$E$12:$Y$12"),0)),0),0)</f>
        <v>126970.33436689345</v>
      </c>
      <c r="I2698" s="366" t="s">
        <v>1690</v>
      </c>
      <c r="J2698" s="348" t="str">
        <f t="shared" ca="1" si="84"/>
        <v>OK</v>
      </c>
      <c r="K2698" s="366" t="s">
        <v>1714</v>
      </c>
      <c r="L2698" s="366" t="s">
        <v>2248</v>
      </c>
      <c r="M2698" s="350" t="str">
        <f>IF($B2698="Portfolio","Portfolio",IFERROR(INDEX(DATA_ASSET_CLASSIFICATION!$B$8:$B$24,MATCH($C2698,DATA_ASSET_CLASSIFICATION!$A$8:$A$24,0)),"Review"))</f>
        <v>Margaret Heights</v>
      </c>
      <c r="N2698" s="350" t="str">
        <f ca="1">IF($B2698="Portfolio","Portfolio",IFERROR(INDEX(DATA_ASSET_CLASSIFICATION!$U$8:$U$24,MATCH($C2698,DATA_ASSET_CLASSIFICATION!$A$8:$A$24,0)),"Review"))</f>
        <v>Refi Watch</v>
      </c>
      <c r="O2698" s="350" t="str">
        <f ca="1">IF($B2698="Portfolio","Portfolio",IFERROR(INDEX(DATA_ASSET_CLASSIFICATION!$AB$8:$AB$13,MATCH($N2698,DATA_ASSET_CLASSIFICATION!$AA$8:$AA$13,0)),"Review"))</f>
        <v>Bucket 2 · Legacy</v>
      </c>
      <c r="P2698" s="350" t="str">
        <f>IF($B2698="Portfolio","Portfolio",IFERROR(INDEX(DATA_ASSET_CLASSIFICATION!$C$8:$C$24,MATCH($C2698,DATA_ASSET_CLASSIFICATION!$A$8:$A$24,0)),"Review"))</f>
        <v>Yes</v>
      </c>
      <c r="Q2698" s="350" t="str">
        <f t="shared" ca="1" si="85"/>
        <v>OK</v>
      </c>
    </row>
    <row r="2699" spans="1:17">
      <c r="A2699" s="366" t="s">
        <v>4655</v>
      </c>
      <c r="B2699" s="366" t="s">
        <v>231</v>
      </c>
      <c r="C2699" s="348" t="str">
        <f>DATA_PROPERTY_MASTER!$A$13</f>
        <v>BLD_MH</v>
      </c>
      <c r="D2699" s="380">
        <f>'00_PORTFOLIO ROLLUP'!J$12</f>
        <v>2030</v>
      </c>
      <c r="E2699" s="366" t="s">
        <v>1683</v>
      </c>
      <c r="F2699" s="366" t="s">
        <v>29</v>
      </c>
      <c r="G2699" s="348" t="str">
        <f>"'"&amp;$C2699&amp;"'!$E$56:$Y$56"</f>
        <v>'BLD_MH'!$E$56:$Y$56</v>
      </c>
      <c r="H2699" s="381">
        <f ca="1">IF(IFERROR(INDEX(DATA_PROPERTY_MASTER!$E$5:$E$21,MATCH($C2699,DATA_PROPERTY_MASTER!$A$5:$A$21,0))="Yes",FALSE),IFERROR(INDEX(INDIRECT("'"&amp;$C2699&amp;"'!$E$56:$Y$56"),1,MATCH($D2699,INDIRECT("'"&amp;$C2699&amp;"'!$E$12:$Y$12"),0)),0),0)</f>
        <v>84646.889577928989</v>
      </c>
      <c r="I2699" s="366" t="s">
        <v>1685</v>
      </c>
      <c r="J2699" s="348" t="str">
        <f t="shared" ca="1" si="84"/>
        <v>OK</v>
      </c>
      <c r="K2699" s="366" t="s">
        <v>1718</v>
      </c>
      <c r="L2699" s="366" t="s">
        <v>2250</v>
      </c>
      <c r="M2699" s="350" t="str">
        <f>IF($B2699="Portfolio","Portfolio",IFERROR(INDEX(DATA_ASSET_CLASSIFICATION!$B$8:$B$24,MATCH($C2699,DATA_ASSET_CLASSIFICATION!$A$8:$A$24,0)),"Review"))</f>
        <v>Margaret Heights</v>
      </c>
      <c r="N2699" s="350" t="str">
        <f ca="1">IF($B2699="Portfolio","Portfolio",IFERROR(INDEX(DATA_ASSET_CLASSIFICATION!$U$8:$U$24,MATCH($C2699,DATA_ASSET_CLASSIFICATION!$A$8:$A$24,0)),"Review"))</f>
        <v>Refi Watch</v>
      </c>
      <c r="O2699" s="350" t="str">
        <f ca="1">IF($B2699="Portfolio","Portfolio",IFERROR(INDEX(DATA_ASSET_CLASSIFICATION!$AB$8:$AB$13,MATCH($N2699,DATA_ASSET_CLASSIFICATION!$AA$8:$AA$13,0)),"Review"))</f>
        <v>Bucket 2 · Legacy</v>
      </c>
      <c r="P2699" s="350" t="str">
        <f>IF($B2699="Portfolio","Portfolio",IFERROR(INDEX(DATA_ASSET_CLASSIFICATION!$C$8:$C$24,MATCH($C2699,DATA_ASSET_CLASSIFICATION!$A$8:$A$24,0)),"Review"))</f>
        <v>Yes</v>
      </c>
      <c r="Q2699" s="350" t="str">
        <f t="shared" ca="1" si="85"/>
        <v>OK</v>
      </c>
    </row>
    <row r="2700" spans="1:17">
      <c r="A2700" s="366" t="s">
        <v>4656</v>
      </c>
      <c r="B2700" s="366" t="s">
        <v>231</v>
      </c>
      <c r="C2700" s="348" t="str">
        <f>DATA_PROPERTY_MASTER!$A$13</f>
        <v>BLD_MH</v>
      </c>
      <c r="D2700" s="380">
        <f>'00_PORTFOLIO ROLLUP'!J$12</f>
        <v>2030</v>
      </c>
      <c r="E2700" s="366" t="s">
        <v>1721</v>
      </c>
      <c r="F2700" s="366" t="s">
        <v>31</v>
      </c>
      <c r="G2700" s="348" t="str">
        <f>"'"&amp;$C2700&amp;"'!$E$61:$Y$61"</f>
        <v>'BLD_MH'!$E$61:$Y$61</v>
      </c>
      <c r="H2700" s="381">
        <f ca="1">IF(IFERROR(INDEX(DATA_PROPERTY_MASTER!$E$5:$E$21,MATCH($C2700,DATA_PROPERTY_MASTER!$A$5:$A$21,0))="Yes",FALSE),IFERROR(INDEX(INDIRECT("'"&amp;$C2700&amp;"'!$E$61:$Y$61"),1,MATCH($D2700,INDIRECT("'"&amp;$C2700&amp;"'!$E$12:$Y$12"),0)),0),0)</f>
        <v>0</v>
      </c>
      <c r="I2700" s="366" t="s">
        <v>1690</v>
      </c>
      <c r="J2700" s="348" t="str">
        <f t="shared" ca="1" si="84"/>
        <v>OK</v>
      </c>
      <c r="K2700" s="366" t="s">
        <v>1723</v>
      </c>
      <c r="L2700" s="366" t="s">
        <v>2252</v>
      </c>
      <c r="M2700" s="350" t="str">
        <f>IF($B2700="Portfolio","Portfolio",IFERROR(INDEX(DATA_ASSET_CLASSIFICATION!$B$8:$B$24,MATCH($C2700,DATA_ASSET_CLASSIFICATION!$A$8:$A$24,0)),"Review"))</f>
        <v>Margaret Heights</v>
      </c>
      <c r="N2700" s="350" t="str">
        <f ca="1">IF($B2700="Portfolio","Portfolio",IFERROR(INDEX(DATA_ASSET_CLASSIFICATION!$U$8:$U$24,MATCH($C2700,DATA_ASSET_CLASSIFICATION!$A$8:$A$24,0)),"Review"))</f>
        <v>Refi Watch</v>
      </c>
      <c r="O2700" s="350" t="str">
        <f ca="1">IF($B2700="Portfolio","Portfolio",IFERROR(INDEX(DATA_ASSET_CLASSIFICATION!$AB$8:$AB$13,MATCH($N2700,DATA_ASSET_CLASSIFICATION!$AA$8:$AA$13,0)),"Review"))</f>
        <v>Bucket 2 · Legacy</v>
      </c>
      <c r="P2700" s="350" t="str">
        <f>IF($B2700="Portfolio","Portfolio",IFERROR(INDEX(DATA_ASSET_CLASSIFICATION!$C$8:$C$24,MATCH($C2700,DATA_ASSET_CLASSIFICATION!$A$8:$A$24,0)),"Review"))</f>
        <v>Yes</v>
      </c>
      <c r="Q2700" s="350" t="str">
        <f t="shared" ca="1" si="85"/>
        <v>OK</v>
      </c>
    </row>
    <row r="2701" spans="1:17">
      <c r="A2701" s="366" t="s">
        <v>4657</v>
      </c>
      <c r="B2701" s="366" t="s">
        <v>231</v>
      </c>
      <c r="C2701" s="348" t="str">
        <f>DATA_PROPERTY_MASTER!$A$13</f>
        <v>BLD_MH</v>
      </c>
      <c r="D2701" s="380">
        <f>'00_PORTFOLIO ROLLUP'!J$12</f>
        <v>2030</v>
      </c>
      <c r="E2701" s="366" t="s">
        <v>1721</v>
      </c>
      <c r="F2701" s="366" t="s">
        <v>33</v>
      </c>
      <c r="G2701" s="348" t="str">
        <f>"'"&amp;$C2701&amp;"'!$E$62:$Y$62"</f>
        <v>'BLD_MH'!$E$62:$Y$62</v>
      </c>
      <c r="H2701" s="381">
        <f ca="1">IF(IFERROR(INDEX(DATA_PROPERTY_MASTER!$E$5:$E$21,MATCH($C2701,DATA_PROPERTY_MASTER!$A$5:$A$21,0))="Yes",FALSE),IFERROR(INDEX(INDIRECT("'"&amp;$C2701&amp;"'!$E$62:$Y$62"),1,MATCH($D2701,INDIRECT("'"&amp;$C2701&amp;"'!$E$12:$Y$12"),0)),0),0)</f>
        <v>0</v>
      </c>
      <c r="I2701" s="366" t="s">
        <v>1685</v>
      </c>
      <c r="J2701" s="348" t="str">
        <f t="shared" ca="1" si="84"/>
        <v>OK</v>
      </c>
      <c r="K2701" s="366" t="s">
        <v>1727</v>
      </c>
      <c r="L2701" s="366" t="s">
        <v>2254</v>
      </c>
      <c r="M2701" s="350" t="str">
        <f>IF($B2701="Portfolio","Portfolio",IFERROR(INDEX(DATA_ASSET_CLASSIFICATION!$B$8:$B$24,MATCH($C2701,DATA_ASSET_CLASSIFICATION!$A$8:$A$24,0)),"Review"))</f>
        <v>Margaret Heights</v>
      </c>
      <c r="N2701" s="350" t="str">
        <f ca="1">IF($B2701="Portfolio","Portfolio",IFERROR(INDEX(DATA_ASSET_CLASSIFICATION!$U$8:$U$24,MATCH($C2701,DATA_ASSET_CLASSIFICATION!$A$8:$A$24,0)),"Review"))</f>
        <v>Refi Watch</v>
      </c>
      <c r="O2701" s="350" t="str">
        <f ca="1">IF($B2701="Portfolio","Portfolio",IFERROR(INDEX(DATA_ASSET_CLASSIFICATION!$AB$8:$AB$13,MATCH($N2701,DATA_ASSET_CLASSIFICATION!$AA$8:$AA$13,0)),"Review"))</f>
        <v>Bucket 2 · Legacy</v>
      </c>
      <c r="P2701" s="350" t="str">
        <f>IF($B2701="Portfolio","Portfolio",IFERROR(INDEX(DATA_ASSET_CLASSIFICATION!$C$8:$C$24,MATCH($C2701,DATA_ASSET_CLASSIFICATION!$A$8:$A$24,0)),"Review"))</f>
        <v>Yes</v>
      </c>
      <c r="Q2701" s="350" t="str">
        <f t="shared" ca="1" si="85"/>
        <v>OK</v>
      </c>
    </row>
    <row r="2702" spans="1:17">
      <c r="A2702" s="366" t="s">
        <v>4658</v>
      </c>
      <c r="B2702" s="366" t="s">
        <v>231</v>
      </c>
      <c r="C2702" s="348" t="str">
        <f>DATA_PROPERTY_MASTER!$A$13</f>
        <v>BLD_MH</v>
      </c>
      <c r="D2702" s="380">
        <f>'00_PORTFOLIO ROLLUP'!J$12</f>
        <v>2030</v>
      </c>
      <c r="E2702" s="366" t="s">
        <v>1721</v>
      </c>
      <c r="F2702" s="366" t="s">
        <v>35</v>
      </c>
      <c r="G2702" s="348" t="str">
        <f>"'"&amp;$C2702&amp;"'!$E$63:$Y$63"</f>
        <v>'BLD_MH'!$E$63:$Y$63</v>
      </c>
      <c r="H2702" s="381">
        <f ca="1">IF(IFERROR(INDEX(DATA_PROPERTY_MASTER!$E$5:$E$21,MATCH($C2702,DATA_PROPERTY_MASTER!$A$5:$A$21,0))="Yes",FALSE),IFERROR(INDEX(INDIRECT("'"&amp;$C2702&amp;"'!$E$63:$Y$63"),1,MATCH($D2702,INDIRECT("'"&amp;$C2702&amp;"'!$E$12:$Y$12"),0)),0),0)</f>
        <v>0</v>
      </c>
      <c r="I2702" s="366" t="s">
        <v>1731</v>
      </c>
      <c r="J2702" s="348" t="str">
        <f t="shared" ca="1" si="84"/>
        <v>OK</v>
      </c>
      <c r="K2702" s="366" t="s">
        <v>1732</v>
      </c>
      <c r="L2702" s="366" t="s">
        <v>2256</v>
      </c>
      <c r="M2702" s="350" t="str">
        <f>IF($B2702="Portfolio","Portfolio",IFERROR(INDEX(DATA_ASSET_CLASSIFICATION!$B$8:$B$24,MATCH($C2702,DATA_ASSET_CLASSIFICATION!$A$8:$A$24,0)),"Review"))</f>
        <v>Margaret Heights</v>
      </c>
      <c r="N2702" s="350" t="str">
        <f ca="1">IF($B2702="Portfolio","Portfolio",IFERROR(INDEX(DATA_ASSET_CLASSIFICATION!$U$8:$U$24,MATCH($C2702,DATA_ASSET_CLASSIFICATION!$A$8:$A$24,0)),"Review"))</f>
        <v>Refi Watch</v>
      </c>
      <c r="O2702" s="350" t="str">
        <f ca="1">IF($B2702="Portfolio","Portfolio",IFERROR(INDEX(DATA_ASSET_CLASSIFICATION!$AB$8:$AB$13,MATCH($N2702,DATA_ASSET_CLASSIFICATION!$AA$8:$AA$13,0)),"Review"))</f>
        <v>Bucket 2 · Legacy</v>
      </c>
      <c r="P2702" s="350" t="str">
        <f>IF($B2702="Portfolio","Portfolio",IFERROR(INDEX(DATA_ASSET_CLASSIFICATION!$C$8:$C$24,MATCH($C2702,DATA_ASSET_CLASSIFICATION!$A$8:$A$24,0)),"Review"))</f>
        <v>Yes</v>
      </c>
      <c r="Q2702" s="350" t="str">
        <f t="shared" ca="1" si="85"/>
        <v>OK</v>
      </c>
    </row>
    <row r="2703" spans="1:17">
      <c r="A2703" s="366" t="s">
        <v>4659</v>
      </c>
      <c r="B2703" s="366" t="s">
        <v>231</v>
      </c>
      <c r="C2703" s="348" t="str">
        <f>DATA_PROPERTY_MASTER!$A$13</f>
        <v>BLD_MH</v>
      </c>
      <c r="D2703" s="380">
        <f>'00_PORTFOLIO ROLLUP'!J$12</f>
        <v>2030</v>
      </c>
      <c r="E2703" s="366" t="s">
        <v>1721</v>
      </c>
      <c r="F2703" s="366" t="s">
        <v>37</v>
      </c>
      <c r="G2703" s="348" t="str">
        <f>"'"&amp;$C2703&amp;"'!$E$63:$Y$63"</f>
        <v>'BLD_MH'!$E$63:$Y$63</v>
      </c>
      <c r="H2703" s="381">
        <f ca="1">IF(IFERROR(INDEX(DATA_PROPERTY_MASTER!$E$5:$E$21,MATCH($C2703,DATA_PROPERTY_MASTER!$A$5:$A$21,0))="Yes",FALSE),MAX(IFERROR(INDEX(INDIRECT("'"&amp;$C2703&amp;"'!$E$63:$Y$63"),1,MATCH($D2703,INDIRECT("'"&amp;$C2703&amp;"'!$E$12:$Y$12"),0)),0),0),0)</f>
        <v>0</v>
      </c>
      <c r="I2703" s="366" t="s">
        <v>1685</v>
      </c>
      <c r="J2703" s="348" t="str">
        <f t="shared" ca="1" si="84"/>
        <v>OK</v>
      </c>
      <c r="K2703" s="366" t="s">
        <v>1735</v>
      </c>
      <c r="L2703" s="366" t="s">
        <v>2258</v>
      </c>
      <c r="M2703" s="350" t="str">
        <f>IF($B2703="Portfolio","Portfolio",IFERROR(INDEX(DATA_ASSET_CLASSIFICATION!$B$8:$B$24,MATCH($C2703,DATA_ASSET_CLASSIFICATION!$A$8:$A$24,0)),"Review"))</f>
        <v>Margaret Heights</v>
      </c>
      <c r="N2703" s="350" t="str">
        <f ca="1">IF($B2703="Portfolio","Portfolio",IFERROR(INDEX(DATA_ASSET_CLASSIFICATION!$U$8:$U$24,MATCH($C2703,DATA_ASSET_CLASSIFICATION!$A$8:$A$24,0)),"Review"))</f>
        <v>Refi Watch</v>
      </c>
      <c r="O2703" s="350" t="str">
        <f ca="1">IF($B2703="Portfolio","Portfolio",IFERROR(INDEX(DATA_ASSET_CLASSIFICATION!$AB$8:$AB$13,MATCH($N2703,DATA_ASSET_CLASSIFICATION!$AA$8:$AA$13,0)),"Review"))</f>
        <v>Bucket 2 · Legacy</v>
      </c>
      <c r="P2703" s="350" t="str">
        <f>IF($B2703="Portfolio","Portfolio",IFERROR(INDEX(DATA_ASSET_CLASSIFICATION!$C$8:$C$24,MATCH($C2703,DATA_ASSET_CLASSIFICATION!$A$8:$A$24,0)),"Review"))</f>
        <v>Yes</v>
      </c>
      <c r="Q2703" s="350" t="str">
        <f t="shared" ca="1" si="85"/>
        <v>OK</v>
      </c>
    </row>
    <row r="2704" spans="1:17">
      <c r="A2704" s="366" t="s">
        <v>4660</v>
      </c>
      <c r="B2704" s="366" t="s">
        <v>231</v>
      </c>
      <c r="C2704" s="348" t="str">
        <f>DATA_PROPERTY_MASTER!$A$13</f>
        <v>BLD_MH</v>
      </c>
      <c r="D2704" s="380">
        <f>'00_PORTFOLIO ROLLUP'!J$12</f>
        <v>2030</v>
      </c>
      <c r="E2704" s="366" t="s">
        <v>1721</v>
      </c>
      <c r="F2704" s="366" t="s">
        <v>39</v>
      </c>
      <c r="G2704" s="348" t="str">
        <f>"'"&amp;$C2704&amp;"'!$E$63:$Y$63"</f>
        <v>'BLD_MH'!$E$63:$Y$63</v>
      </c>
      <c r="H2704" s="381">
        <f ca="1">IF(IFERROR(INDEX(DATA_PROPERTY_MASTER!$E$5:$E$21,MATCH($C2704,DATA_PROPERTY_MASTER!$A$5:$A$21,0))="Yes",FALSE),MAX(-IFERROR(INDEX(INDIRECT("'"&amp;$C2704&amp;"'!$E$63:$Y$63"),1,MATCH($D2704,INDIRECT("'"&amp;$C2704&amp;"'!$E$12:$Y$12"),0)),0),0),0)</f>
        <v>0</v>
      </c>
      <c r="I2704" s="366" t="s">
        <v>1690</v>
      </c>
      <c r="J2704" s="348" t="str">
        <f t="shared" ca="1" si="84"/>
        <v>OK</v>
      </c>
      <c r="K2704" s="366" t="s">
        <v>1738</v>
      </c>
      <c r="L2704" s="366" t="s">
        <v>2260</v>
      </c>
      <c r="M2704" s="350" t="str">
        <f>IF($B2704="Portfolio","Portfolio",IFERROR(INDEX(DATA_ASSET_CLASSIFICATION!$B$8:$B$24,MATCH($C2704,DATA_ASSET_CLASSIFICATION!$A$8:$A$24,0)),"Review"))</f>
        <v>Margaret Heights</v>
      </c>
      <c r="N2704" s="350" t="str">
        <f ca="1">IF($B2704="Portfolio","Portfolio",IFERROR(INDEX(DATA_ASSET_CLASSIFICATION!$U$8:$U$24,MATCH($C2704,DATA_ASSET_CLASSIFICATION!$A$8:$A$24,0)),"Review"))</f>
        <v>Refi Watch</v>
      </c>
      <c r="O2704" s="350" t="str">
        <f ca="1">IF($B2704="Portfolio","Portfolio",IFERROR(INDEX(DATA_ASSET_CLASSIFICATION!$AB$8:$AB$13,MATCH($N2704,DATA_ASSET_CLASSIFICATION!$AA$8:$AA$13,0)),"Review"))</f>
        <v>Bucket 2 · Legacy</v>
      </c>
      <c r="P2704" s="350" t="str">
        <f>IF($B2704="Portfolio","Portfolio",IFERROR(INDEX(DATA_ASSET_CLASSIFICATION!$C$8:$C$24,MATCH($C2704,DATA_ASSET_CLASSIFICATION!$A$8:$A$24,0)),"Review"))</f>
        <v>Yes</v>
      </c>
      <c r="Q2704" s="350" t="str">
        <f t="shared" ca="1" si="85"/>
        <v>OK</v>
      </c>
    </row>
    <row r="2705" spans="1:17">
      <c r="A2705" s="366" t="s">
        <v>4661</v>
      </c>
      <c r="B2705" s="366" t="s">
        <v>231</v>
      </c>
      <c r="C2705" s="348" t="str">
        <f>DATA_PROPERTY_MASTER!$A$13</f>
        <v>BLD_MH</v>
      </c>
      <c r="D2705" s="380">
        <f>'00_PORTFOLIO ROLLUP'!J$12</f>
        <v>2030</v>
      </c>
      <c r="E2705" s="366" t="s">
        <v>1741</v>
      </c>
      <c r="F2705" s="366" t="s">
        <v>41</v>
      </c>
      <c r="G2705" s="348" t="str">
        <f>"'"&amp;$C2705&amp;"'!rows 56 + positive row 63"</f>
        <v>'BLD_MH'!rows 56 + positive row 63</v>
      </c>
      <c r="H2705" s="381">
        <f ca="1">IF(IFERROR(INDEX(DATA_PROPERTY_MASTER!$E$5:$E$21,MATCH($C2705,DATA_PROPERTY_MASTER!$A$5:$A$21,0))="Yes",FALSE),IFERROR(INDEX(INDIRECT("'"&amp;$C2705&amp;"'!$E$56:$Y$56"),1,MATCH($D2705,INDIRECT("'"&amp;$C2705&amp;"'!$E$12:$Y$12"),0)),0)+MAX(IFERROR(INDEX(INDIRECT("'"&amp;$C2705&amp;"'!$E$63:$Y$63"),1,MATCH($D2705,INDIRECT("'"&amp;$C2705&amp;"'!$E$12:$Y$12"),0)),0),0),0)</f>
        <v>84646.889577928989</v>
      </c>
      <c r="I2705" s="366" t="s">
        <v>1685</v>
      </c>
      <c r="J2705" s="348" t="str">
        <f t="shared" ca="1" si="84"/>
        <v>OK</v>
      </c>
      <c r="K2705" s="366" t="s">
        <v>1742</v>
      </c>
      <c r="L2705" s="366" t="s">
        <v>2262</v>
      </c>
      <c r="M2705" s="350" t="str">
        <f>IF($B2705="Portfolio","Portfolio",IFERROR(INDEX(DATA_ASSET_CLASSIFICATION!$B$8:$B$24,MATCH($C2705,DATA_ASSET_CLASSIFICATION!$A$8:$A$24,0)),"Review"))</f>
        <v>Margaret Heights</v>
      </c>
      <c r="N2705" s="350" t="str">
        <f ca="1">IF($B2705="Portfolio","Portfolio",IFERROR(INDEX(DATA_ASSET_CLASSIFICATION!$U$8:$U$24,MATCH($C2705,DATA_ASSET_CLASSIFICATION!$A$8:$A$24,0)),"Review"))</f>
        <v>Refi Watch</v>
      </c>
      <c r="O2705" s="350" t="str">
        <f ca="1">IF($B2705="Portfolio","Portfolio",IFERROR(INDEX(DATA_ASSET_CLASSIFICATION!$AB$8:$AB$13,MATCH($N2705,DATA_ASSET_CLASSIFICATION!$AA$8:$AA$13,0)),"Review"))</f>
        <v>Bucket 2 · Legacy</v>
      </c>
      <c r="P2705" s="350" t="str">
        <f>IF($B2705="Portfolio","Portfolio",IFERROR(INDEX(DATA_ASSET_CLASSIFICATION!$C$8:$C$24,MATCH($C2705,DATA_ASSET_CLASSIFICATION!$A$8:$A$24,0)),"Review"))</f>
        <v>Yes</v>
      </c>
      <c r="Q2705" s="350" t="str">
        <f t="shared" ca="1" si="85"/>
        <v>OK</v>
      </c>
    </row>
    <row r="2706" spans="1:17">
      <c r="A2706" s="366" t="s">
        <v>4662</v>
      </c>
      <c r="B2706" s="366" t="s">
        <v>231</v>
      </c>
      <c r="C2706" s="348" t="str">
        <f>DATA_PROPERTY_MASTER!$A$13</f>
        <v>BLD_MH</v>
      </c>
      <c r="D2706" s="380">
        <f>'00_PORTFOLIO ROLLUP'!J$12</f>
        <v>2030</v>
      </c>
      <c r="E2706" s="366" t="s">
        <v>1741</v>
      </c>
      <c r="F2706" s="366" t="s">
        <v>43</v>
      </c>
      <c r="G2706" s="348" t="str">
        <f>"'"&amp;$C2706&amp;"'!$E$68:$Y$68"</f>
        <v>'BLD_MH'!$E$68:$Y$68</v>
      </c>
      <c r="H2706" s="381">
        <f ca="1">IF(IFERROR(INDEX(DATA_PROPERTY_MASTER!$E$5:$E$21,MATCH($C2706,DATA_PROPERTY_MASTER!$A$5:$A$21,0))="Yes",FALSE),IFERROR(INDEX(INDIRECT("'"&amp;$C2706&amp;"'!$E$68:$Y$68"),1,MATCH($D2706,INDIRECT("'"&amp;$C2706&amp;"'!$E$12:$Y$12"),0)),0),0)</f>
        <v>84646.889577928989</v>
      </c>
      <c r="I2706" s="366" t="s">
        <v>1731</v>
      </c>
      <c r="J2706" s="348" t="str">
        <f t="shared" ca="1" si="84"/>
        <v>OK</v>
      </c>
      <c r="K2706" s="366" t="s">
        <v>1746</v>
      </c>
      <c r="L2706" s="366" t="s">
        <v>2264</v>
      </c>
      <c r="M2706" s="350" t="str">
        <f>IF($B2706="Portfolio","Portfolio",IFERROR(INDEX(DATA_ASSET_CLASSIFICATION!$B$8:$B$24,MATCH($C2706,DATA_ASSET_CLASSIFICATION!$A$8:$A$24,0)),"Review"))</f>
        <v>Margaret Heights</v>
      </c>
      <c r="N2706" s="350" t="str">
        <f ca="1">IF($B2706="Portfolio","Portfolio",IFERROR(INDEX(DATA_ASSET_CLASSIFICATION!$U$8:$U$24,MATCH($C2706,DATA_ASSET_CLASSIFICATION!$A$8:$A$24,0)),"Review"))</f>
        <v>Refi Watch</v>
      </c>
      <c r="O2706" s="350" t="str">
        <f ca="1">IF($B2706="Portfolio","Portfolio",IFERROR(INDEX(DATA_ASSET_CLASSIFICATION!$AB$8:$AB$13,MATCH($N2706,DATA_ASSET_CLASSIFICATION!$AA$8:$AA$13,0)),"Review"))</f>
        <v>Bucket 2 · Legacy</v>
      </c>
      <c r="P2706" s="350" t="str">
        <f>IF($B2706="Portfolio","Portfolio",IFERROR(INDEX(DATA_ASSET_CLASSIFICATION!$C$8:$C$24,MATCH($C2706,DATA_ASSET_CLASSIFICATION!$A$8:$A$24,0)),"Review"))</f>
        <v>Yes</v>
      </c>
      <c r="Q2706" s="350" t="str">
        <f t="shared" ca="1" si="85"/>
        <v>OK</v>
      </c>
    </row>
    <row r="2707" spans="1:17">
      <c r="A2707" s="366" t="s">
        <v>4663</v>
      </c>
      <c r="B2707" s="366" t="s">
        <v>231</v>
      </c>
      <c r="C2707" s="348" t="str">
        <f>DATA_PROPERTY_MASTER!$A$13</f>
        <v>BLD_MH</v>
      </c>
      <c r="D2707" s="380">
        <f>'00_PORTFOLIO ROLLUP'!J$12</f>
        <v>2030</v>
      </c>
      <c r="E2707" s="366" t="s">
        <v>1741</v>
      </c>
      <c r="F2707" s="366" t="s">
        <v>1749</v>
      </c>
      <c r="G2707" s="348" t="str">
        <f>"'"&amp;$C2707&amp;"'!rows 56, 63, 68"</f>
        <v>'BLD_MH'!rows 56, 63, 68</v>
      </c>
      <c r="H2707" s="381">
        <f ca="1">IF(IFERROR(INDEX(DATA_PROPERTY_MASTER!$E$5:$E$21,MATCH($C2707,DATA_PROPERTY_MASTER!$A$5:$A$21,0))="Yes",FALSE),(IFERROR(INDEX(INDIRECT("'"&amp;$C2707&amp;"'!$E$56:$Y$56"),1,MATCH($D2707,INDIRECT("'"&amp;$C2707&amp;"'!$E$12:$Y$12"),0)),0)+MAX(IFERROR(INDEX(INDIRECT("'"&amp;$C2707&amp;"'!$E$63:$Y$63"),1,MATCH($D2707,INDIRECT("'"&amp;$C2707&amp;"'!$E$12:$Y$12"),0)),0),0))-(IFERROR(INDEX(INDIRECT("'"&amp;$C2707&amp;"'!$E$68:$Y$68"),1,MATCH($D2707,INDIRECT("'"&amp;$C2707&amp;"'!$E$12:$Y$12"),0)),0)),0)</f>
        <v>0</v>
      </c>
      <c r="I2707" s="366" t="s">
        <v>1750</v>
      </c>
      <c r="J2707" s="348" t="str">
        <f t="shared" ca="1" si="84"/>
        <v>OK</v>
      </c>
      <c r="K2707" s="366" t="s">
        <v>1751</v>
      </c>
      <c r="L2707" s="366" t="s">
        <v>2266</v>
      </c>
      <c r="M2707" s="350" t="str">
        <f>IF($B2707="Portfolio","Portfolio",IFERROR(INDEX(DATA_ASSET_CLASSIFICATION!$B$8:$B$24,MATCH($C2707,DATA_ASSET_CLASSIFICATION!$A$8:$A$24,0)),"Review"))</f>
        <v>Margaret Heights</v>
      </c>
      <c r="N2707" s="350" t="str">
        <f ca="1">IF($B2707="Portfolio","Portfolio",IFERROR(INDEX(DATA_ASSET_CLASSIFICATION!$U$8:$U$24,MATCH($C2707,DATA_ASSET_CLASSIFICATION!$A$8:$A$24,0)),"Review"))</f>
        <v>Refi Watch</v>
      </c>
      <c r="O2707" s="350" t="str">
        <f ca="1">IF($B2707="Portfolio","Portfolio",IFERROR(INDEX(DATA_ASSET_CLASSIFICATION!$AB$8:$AB$13,MATCH($N2707,DATA_ASSET_CLASSIFICATION!$AA$8:$AA$13,0)),"Review"))</f>
        <v>Bucket 2 · Legacy</v>
      </c>
      <c r="P2707" s="350" t="str">
        <f>IF($B2707="Portfolio","Portfolio",IFERROR(INDEX(DATA_ASSET_CLASSIFICATION!$C$8:$C$24,MATCH($C2707,DATA_ASSET_CLASSIFICATION!$A$8:$A$24,0)),"Review"))</f>
        <v>Yes</v>
      </c>
      <c r="Q2707" s="350" t="str">
        <f t="shared" ca="1" si="85"/>
        <v>OK</v>
      </c>
    </row>
    <row r="2708" spans="1:17">
      <c r="A2708" s="366" t="s">
        <v>4664</v>
      </c>
      <c r="B2708" s="366" t="s">
        <v>231</v>
      </c>
      <c r="C2708" s="348" t="str">
        <f>DATA_PROPERTY_MASTER!$A$13</f>
        <v>BLD_MH</v>
      </c>
      <c r="D2708" s="380">
        <f>'00_PORTFOLIO ROLLUP'!K$12</f>
        <v>2031</v>
      </c>
      <c r="E2708" s="366" t="s">
        <v>1683</v>
      </c>
      <c r="F2708" s="366" t="s">
        <v>341</v>
      </c>
      <c r="G2708" s="348" t="str">
        <f>"'"&amp;$C2708&amp;"'!$E$24:$Y$24"</f>
        <v>'BLD_MH'!$E$24:$Y$24</v>
      </c>
      <c r="H2708" s="381">
        <f ca="1">IF(IFERROR(INDEX(DATA_PROPERTY_MASTER!$E$5:$E$21,MATCH($C2708,DATA_PROPERTY_MASTER!$A$5:$A$21,0))="Yes",FALSE),IFERROR(INDEX(INDIRECT("'"&amp;$C2708&amp;"'!$E$24:$Y$24"),1,MATCH($D2708,INDIRECT("'"&amp;$C2708&amp;"'!$E$12:$Y$12"),0)),0),0)</f>
        <v>444533.49727123469</v>
      </c>
      <c r="I2708" s="366" t="s">
        <v>1685</v>
      </c>
      <c r="J2708" s="348" t="str">
        <f t="shared" ca="1" si="84"/>
        <v>OK</v>
      </c>
      <c r="K2708" s="366" t="s">
        <v>1686</v>
      </c>
      <c r="L2708" s="366" t="s">
        <v>2234</v>
      </c>
      <c r="M2708" s="350" t="str">
        <f>IF($B2708="Portfolio","Portfolio",IFERROR(INDEX(DATA_ASSET_CLASSIFICATION!$B$8:$B$24,MATCH($C2708,DATA_ASSET_CLASSIFICATION!$A$8:$A$24,0)),"Review"))</f>
        <v>Margaret Heights</v>
      </c>
      <c r="N2708" s="350" t="str">
        <f ca="1">IF($B2708="Portfolio","Portfolio",IFERROR(INDEX(DATA_ASSET_CLASSIFICATION!$U$8:$U$24,MATCH($C2708,DATA_ASSET_CLASSIFICATION!$A$8:$A$24,0)),"Review"))</f>
        <v>Refi Watch</v>
      </c>
      <c r="O2708" s="350" t="str">
        <f ca="1">IF($B2708="Portfolio","Portfolio",IFERROR(INDEX(DATA_ASSET_CLASSIFICATION!$AB$8:$AB$13,MATCH($N2708,DATA_ASSET_CLASSIFICATION!$AA$8:$AA$13,0)),"Review"))</f>
        <v>Bucket 2 · Legacy</v>
      </c>
      <c r="P2708" s="350" t="str">
        <f>IF($B2708="Portfolio","Portfolio",IFERROR(INDEX(DATA_ASSET_CLASSIFICATION!$C$8:$C$24,MATCH($C2708,DATA_ASSET_CLASSIFICATION!$A$8:$A$24,0)),"Review"))</f>
        <v>Yes</v>
      </c>
      <c r="Q2708" s="350" t="str">
        <f t="shared" ca="1" si="85"/>
        <v>OK</v>
      </c>
    </row>
    <row r="2709" spans="1:17">
      <c r="A2709" s="366" t="s">
        <v>4665</v>
      </c>
      <c r="B2709" s="366" t="s">
        <v>231</v>
      </c>
      <c r="C2709" s="348" t="str">
        <f>DATA_PROPERTY_MASTER!$A$13</f>
        <v>BLD_MH</v>
      </c>
      <c r="D2709" s="380">
        <f>'00_PORTFOLIO ROLLUP'!K$12</f>
        <v>2031</v>
      </c>
      <c r="E2709" s="366" t="s">
        <v>1683</v>
      </c>
      <c r="F2709" s="366" t="s">
        <v>355</v>
      </c>
      <c r="G2709" s="348" t="str">
        <f>"'"&amp;$C2709&amp;"'!$E$39:$Y$39"</f>
        <v>'BLD_MH'!$E$39:$Y$39</v>
      </c>
      <c r="H2709" s="381">
        <f ca="1">IF(IFERROR(INDEX(DATA_PROPERTY_MASTER!$E$5:$E$21,MATCH($C2709,DATA_PROPERTY_MASTER!$A$5:$A$21,0))="Yes",FALSE),IFERROR(INDEX(INDIRECT("'"&amp;$C2709&amp;"'!$E$39:$Y$39"),1,MATCH($D2709,INDIRECT("'"&amp;$C2709&amp;"'!$E$12:$Y$12"),0)),0),0)</f>
        <v>233167.92745236895</v>
      </c>
      <c r="I2709" s="366" t="s">
        <v>1690</v>
      </c>
      <c r="J2709" s="348" t="str">
        <f t="shared" ca="1" si="84"/>
        <v>OK</v>
      </c>
      <c r="K2709" s="366" t="s">
        <v>1686</v>
      </c>
      <c r="L2709" s="366" t="s">
        <v>2236</v>
      </c>
      <c r="M2709" s="350" t="str">
        <f>IF($B2709="Portfolio","Portfolio",IFERROR(INDEX(DATA_ASSET_CLASSIFICATION!$B$8:$B$24,MATCH($C2709,DATA_ASSET_CLASSIFICATION!$A$8:$A$24,0)),"Review"))</f>
        <v>Margaret Heights</v>
      </c>
      <c r="N2709" s="350" t="str">
        <f ca="1">IF($B2709="Portfolio","Portfolio",IFERROR(INDEX(DATA_ASSET_CLASSIFICATION!$U$8:$U$24,MATCH($C2709,DATA_ASSET_CLASSIFICATION!$A$8:$A$24,0)),"Review"))</f>
        <v>Refi Watch</v>
      </c>
      <c r="O2709" s="350" t="str">
        <f ca="1">IF($B2709="Portfolio","Portfolio",IFERROR(INDEX(DATA_ASSET_CLASSIFICATION!$AB$8:$AB$13,MATCH($N2709,DATA_ASSET_CLASSIFICATION!$AA$8:$AA$13,0)),"Review"))</f>
        <v>Bucket 2 · Legacy</v>
      </c>
      <c r="P2709" s="350" t="str">
        <f>IF($B2709="Portfolio","Portfolio",IFERROR(INDEX(DATA_ASSET_CLASSIFICATION!$C$8:$C$24,MATCH($C2709,DATA_ASSET_CLASSIFICATION!$A$8:$A$24,0)),"Review"))</f>
        <v>Yes</v>
      </c>
      <c r="Q2709" s="350" t="str">
        <f t="shared" ca="1" si="85"/>
        <v>OK</v>
      </c>
    </row>
    <row r="2710" spans="1:17">
      <c r="A2710" s="366" t="s">
        <v>4666</v>
      </c>
      <c r="B2710" s="366" t="s">
        <v>231</v>
      </c>
      <c r="C2710" s="348" t="str">
        <f>DATA_PROPERTY_MASTER!$A$13</f>
        <v>BLD_MH</v>
      </c>
      <c r="D2710" s="380">
        <f>'00_PORTFOLIO ROLLUP'!K$12</f>
        <v>2031</v>
      </c>
      <c r="E2710" s="366" t="s">
        <v>1683</v>
      </c>
      <c r="F2710" s="366" t="s">
        <v>19</v>
      </c>
      <c r="G2710" s="348" t="str">
        <f>"'"&amp;$C2710&amp;"'!$E$41:$Y$41"</f>
        <v>'BLD_MH'!$E$41:$Y$41</v>
      </c>
      <c r="H2710" s="381">
        <f ca="1">IF(IFERROR(INDEX(DATA_PROPERTY_MASTER!$E$5:$E$21,MATCH($C2710,DATA_PROPERTY_MASTER!$A$5:$A$21,0))="Yes",FALSE),IFERROR(INDEX(INDIRECT("'"&amp;$C2710&amp;"'!$E$41:$Y$41"),1,MATCH($D2710,INDIRECT("'"&amp;$C2710&amp;"'!$E$12:$Y$12"),0)),0),0)</f>
        <v>211365.56981886574</v>
      </c>
      <c r="I2710" s="366" t="s">
        <v>1685</v>
      </c>
      <c r="J2710" s="348" t="str">
        <f t="shared" ca="1" si="84"/>
        <v>OK</v>
      </c>
      <c r="K2710" s="366" t="s">
        <v>1694</v>
      </c>
      <c r="L2710" s="366" t="s">
        <v>2238</v>
      </c>
      <c r="M2710" s="350" t="str">
        <f>IF($B2710="Portfolio","Portfolio",IFERROR(INDEX(DATA_ASSET_CLASSIFICATION!$B$8:$B$24,MATCH($C2710,DATA_ASSET_CLASSIFICATION!$A$8:$A$24,0)),"Review"))</f>
        <v>Margaret Heights</v>
      </c>
      <c r="N2710" s="350" t="str">
        <f ca="1">IF($B2710="Portfolio","Portfolio",IFERROR(INDEX(DATA_ASSET_CLASSIFICATION!$U$8:$U$24,MATCH($C2710,DATA_ASSET_CLASSIFICATION!$A$8:$A$24,0)),"Review"))</f>
        <v>Refi Watch</v>
      </c>
      <c r="O2710" s="350" t="str">
        <f ca="1">IF($B2710="Portfolio","Portfolio",IFERROR(INDEX(DATA_ASSET_CLASSIFICATION!$AB$8:$AB$13,MATCH($N2710,DATA_ASSET_CLASSIFICATION!$AA$8:$AA$13,0)),"Review"))</f>
        <v>Bucket 2 · Legacy</v>
      </c>
      <c r="P2710" s="350" t="str">
        <f>IF($B2710="Portfolio","Portfolio",IFERROR(INDEX(DATA_ASSET_CLASSIFICATION!$C$8:$C$24,MATCH($C2710,DATA_ASSET_CLASSIFICATION!$A$8:$A$24,0)),"Review"))</f>
        <v>Yes</v>
      </c>
      <c r="Q2710" s="350" t="str">
        <f t="shared" ca="1" si="85"/>
        <v>OK</v>
      </c>
    </row>
    <row r="2711" spans="1:17">
      <c r="A2711" s="366" t="s">
        <v>4667</v>
      </c>
      <c r="B2711" s="366" t="s">
        <v>231</v>
      </c>
      <c r="C2711" s="348" t="str">
        <f>DATA_PROPERTY_MASTER!$A$13</f>
        <v>BLD_MH</v>
      </c>
      <c r="D2711" s="380">
        <f>'00_PORTFOLIO ROLLUP'!K$12</f>
        <v>2031</v>
      </c>
      <c r="E2711" s="366" t="s">
        <v>1683</v>
      </c>
      <c r="F2711" s="366" t="s">
        <v>1697</v>
      </c>
      <c r="G2711" s="348" t="str">
        <f>"'"&amp;$C2711&amp;"'!$E$44:$Y$44"</f>
        <v>'BLD_MH'!$E$44:$Y$44</v>
      </c>
      <c r="H2711" s="381">
        <f ca="1">IF(IFERROR(INDEX(DATA_PROPERTY_MASTER!$E$5:$E$21,MATCH($C2711,DATA_PROPERTY_MASTER!$A$5:$A$21,0))="Yes",FALSE),IFERROR(INDEX(INDIRECT("'"&amp;$C2711&amp;"'!$E$44:$Y$44"),1,MATCH($D2711,INDIRECT("'"&amp;$C2711&amp;"'!$E$12:$Y$12"),0)),0),0)</f>
        <v>3209.5628949024003</v>
      </c>
      <c r="I2711" s="366" t="s">
        <v>1690</v>
      </c>
      <c r="J2711" s="348" t="str">
        <f t="shared" ca="1" si="84"/>
        <v>OK</v>
      </c>
      <c r="K2711" s="366" t="s">
        <v>1699</v>
      </c>
      <c r="L2711" s="366" t="s">
        <v>2240</v>
      </c>
      <c r="M2711" s="350" t="str">
        <f>IF($B2711="Portfolio","Portfolio",IFERROR(INDEX(DATA_ASSET_CLASSIFICATION!$B$8:$B$24,MATCH($C2711,DATA_ASSET_CLASSIFICATION!$A$8:$A$24,0)),"Review"))</f>
        <v>Margaret Heights</v>
      </c>
      <c r="N2711" s="350" t="str">
        <f ca="1">IF($B2711="Portfolio","Portfolio",IFERROR(INDEX(DATA_ASSET_CLASSIFICATION!$U$8:$U$24,MATCH($C2711,DATA_ASSET_CLASSIFICATION!$A$8:$A$24,0)),"Review"))</f>
        <v>Refi Watch</v>
      </c>
      <c r="O2711" s="350" t="str">
        <f ca="1">IF($B2711="Portfolio","Portfolio",IFERROR(INDEX(DATA_ASSET_CLASSIFICATION!$AB$8:$AB$13,MATCH($N2711,DATA_ASSET_CLASSIFICATION!$AA$8:$AA$13,0)),"Review"))</f>
        <v>Bucket 2 · Legacy</v>
      </c>
      <c r="P2711" s="350" t="str">
        <f>IF($B2711="Portfolio","Portfolio",IFERROR(INDEX(DATA_ASSET_CLASSIFICATION!$C$8:$C$24,MATCH($C2711,DATA_ASSET_CLASSIFICATION!$A$8:$A$24,0)),"Review"))</f>
        <v>Yes</v>
      </c>
      <c r="Q2711" s="350" t="str">
        <f t="shared" ca="1" si="85"/>
        <v>OK</v>
      </c>
    </row>
    <row r="2712" spans="1:17">
      <c r="A2712" s="366" t="s">
        <v>4668</v>
      </c>
      <c r="B2712" s="366" t="s">
        <v>231</v>
      </c>
      <c r="C2712" s="348" t="str">
        <f>DATA_PROPERTY_MASTER!$A$13</f>
        <v>BLD_MH</v>
      </c>
      <c r="D2712" s="380">
        <f>'00_PORTFOLIO ROLLUP'!K$12</f>
        <v>2031</v>
      </c>
      <c r="E2712" s="366" t="s">
        <v>1683</v>
      </c>
      <c r="F2712" s="366" t="s">
        <v>21</v>
      </c>
      <c r="G2712" s="348" t="str">
        <f>"'"&amp;$C2712&amp;"'!$E$45:$Y$45"</f>
        <v>'BLD_MH'!$E$45:$Y$45</v>
      </c>
      <c r="H2712" s="381">
        <f ca="1">IF(IFERROR(INDEX(DATA_PROPERTY_MASTER!$E$5:$E$21,MATCH($C2712,DATA_PROPERTY_MASTER!$A$5:$A$21,0))="Yes",FALSE),IFERROR(INDEX(INDIRECT("'"&amp;$C2712&amp;"'!$E$45:$Y$45"),1,MATCH($D2712,INDIRECT("'"&amp;$C2712&amp;"'!$E$12:$Y$12"),0)),0),0)</f>
        <v>208156.00692396334</v>
      </c>
      <c r="I2712" s="366" t="s">
        <v>1685</v>
      </c>
      <c r="J2712" s="348" t="str">
        <f t="shared" ca="1" si="84"/>
        <v>OK</v>
      </c>
      <c r="K2712" s="366" t="s">
        <v>1694</v>
      </c>
      <c r="L2712" s="366" t="s">
        <v>2242</v>
      </c>
      <c r="M2712" s="350" t="str">
        <f>IF($B2712="Portfolio","Portfolio",IFERROR(INDEX(DATA_ASSET_CLASSIFICATION!$B$8:$B$24,MATCH($C2712,DATA_ASSET_CLASSIFICATION!$A$8:$A$24,0)),"Review"))</f>
        <v>Margaret Heights</v>
      </c>
      <c r="N2712" s="350" t="str">
        <f ca="1">IF($B2712="Portfolio","Portfolio",IFERROR(INDEX(DATA_ASSET_CLASSIFICATION!$U$8:$U$24,MATCH($C2712,DATA_ASSET_CLASSIFICATION!$A$8:$A$24,0)),"Review"))</f>
        <v>Refi Watch</v>
      </c>
      <c r="O2712" s="350" t="str">
        <f ca="1">IF($B2712="Portfolio","Portfolio",IFERROR(INDEX(DATA_ASSET_CLASSIFICATION!$AB$8:$AB$13,MATCH($N2712,DATA_ASSET_CLASSIFICATION!$AA$8:$AA$13,0)),"Review"))</f>
        <v>Bucket 2 · Legacy</v>
      </c>
      <c r="P2712" s="350" t="str">
        <f>IF($B2712="Portfolio","Portfolio",IFERROR(INDEX(DATA_ASSET_CLASSIFICATION!$C$8:$C$24,MATCH($C2712,DATA_ASSET_CLASSIFICATION!$A$8:$A$24,0)),"Review"))</f>
        <v>Yes</v>
      </c>
      <c r="Q2712" s="350" t="str">
        <f t="shared" ca="1" si="85"/>
        <v>OK</v>
      </c>
    </row>
    <row r="2713" spans="1:17">
      <c r="A2713" s="366" t="s">
        <v>4669</v>
      </c>
      <c r="B2713" s="366" t="s">
        <v>231</v>
      </c>
      <c r="C2713" s="348" t="str">
        <f>DATA_PROPERTY_MASTER!$A$13</f>
        <v>BLD_MH</v>
      </c>
      <c r="D2713" s="380">
        <f>'00_PORTFOLIO ROLLUP'!K$12</f>
        <v>2031</v>
      </c>
      <c r="E2713" s="366" t="s">
        <v>23</v>
      </c>
      <c r="F2713" s="366" t="s">
        <v>23</v>
      </c>
      <c r="G2713" s="348" t="str">
        <f>"'"&amp;$C2713&amp;"'!$E$48:$Y$48"</f>
        <v>'BLD_MH'!$E$48:$Y$48</v>
      </c>
      <c r="H2713" s="381">
        <f ca="1">IF(IFERROR(INDEX(DATA_PROPERTY_MASTER!$E$5:$E$21,MATCH($C2713,DATA_PROPERTY_MASTER!$A$5:$A$21,0))="Yes",FALSE),IFERROR(INDEX(INDIRECT("'"&amp;$C2713&amp;"'!$E$48:$Y$48"),1,MATCH($D2713,INDIRECT("'"&amp;$C2713&amp;"'!$E$12:$Y$12"),0)),0),0)</f>
        <v>0</v>
      </c>
      <c r="I2713" s="366" t="s">
        <v>1690</v>
      </c>
      <c r="J2713" s="348" t="str">
        <f t="shared" ca="1" si="84"/>
        <v>OK</v>
      </c>
      <c r="K2713" s="366" t="s">
        <v>1706</v>
      </c>
      <c r="L2713" s="366" t="s">
        <v>2244</v>
      </c>
      <c r="M2713" s="350" t="str">
        <f>IF($B2713="Portfolio","Portfolio",IFERROR(INDEX(DATA_ASSET_CLASSIFICATION!$B$8:$B$24,MATCH($C2713,DATA_ASSET_CLASSIFICATION!$A$8:$A$24,0)),"Review"))</f>
        <v>Margaret Heights</v>
      </c>
      <c r="N2713" s="350" t="str">
        <f ca="1">IF($B2713="Portfolio","Portfolio",IFERROR(INDEX(DATA_ASSET_CLASSIFICATION!$U$8:$U$24,MATCH($C2713,DATA_ASSET_CLASSIFICATION!$A$8:$A$24,0)),"Review"))</f>
        <v>Refi Watch</v>
      </c>
      <c r="O2713" s="350" t="str">
        <f ca="1">IF($B2713="Portfolio","Portfolio",IFERROR(INDEX(DATA_ASSET_CLASSIFICATION!$AB$8:$AB$13,MATCH($N2713,DATA_ASSET_CLASSIFICATION!$AA$8:$AA$13,0)),"Review"))</f>
        <v>Bucket 2 · Legacy</v>
      </c>
      <c r="P2713" s="350" t="str">
        <f>IF($B2713="Portfolio","Portfolio",IFERROR(INDEX(DATA_ASSET_CLASSIFICATION!$C$8:$C$24,MATCH($C2713,DATA_ASSET_CLASSIFICATION!$A$8:$A$24,0)),"Review"))</f>
        <v>Yes</v>
      </c>
      <c r="Q2713" s="350" t="str">
        <f t="shared" ca="1" si="85"/>
        <v>OK</v>
      </c>
    </row>
    <row r="2714" spans="1:17">
      <c r="A2714" s="366" t="s">
        <v>4670</v>
      </c>
      <c r="B2714" s="366" t="s">
        <v>231</v>
      </c>
      <c r="C2714" s="348" t="str">
        <f>DATA_PROPERTY_MASTER!$A$13</f>
        <v>BLD_MH</v>
      </c>
      <c r="D2714" s="380">
        <f>'00_PORTFOLIO ROLLUP'!K$12</f>
        <v>2031</v>
      </c>
      <c r="E2714" s="366" t="s">
        <v>1683</v>
      </c>
      <c r="F2714" s="366" t="s">
        <v>25</v>
      </c>
      <c r="G2714" s="348" t="str">
        <f>"'"&amp;$C2714&amp;"'!$E$52:$Y$52"</f>
        <v>'BLD_MH'!$E$52:$Y$52</v>
      </c>
      <c r="H2714" s="381">
        <f ca="1">IF(IFERROR(INDEX(DATA_PROPERTY_MASTER!$E$5:$E$21,MATCH($C2714,DATA_PROPERTY_MASTER!$A$5:$A$21,0))="Yes",FALSE),IFERROR(INDEX(INDIRECT("'"&amp;$C2714&amp;"'!$E$52:$Y$52"),1,MATCH($D2714,INDIRECT("'"&amp;$C2714&amp;"'!$E$12:$Y$12"),0)),0),0)</f>
        <v>211365.56981886574</v>
      </c>
      <c r="I2714" s="366" t="s">
        <v>1685</v>
      </c>
      <c r="J2714" s="348" t="str">
        <f t="shared" ca="1" si="84"/>
        <v>OK</v>
      </c>
      <c r="K2714" s="366" t="s">
        <v>1710</v>
      </c>
      <c r="L2714" s="366" t="s">
        <v>2246</v>
      </c>
      <c r="M2714" s="350" t="str">
        <f>IF($B2714="Portfolio","Portfolio",IFERROR(INDEX(DATA_ASSET_CLASSIFICATION!$B$8:$B$24,MATCH($C2714,DATA_ASSET_CLASSIFICATION!$A$8:$A$24,0)),"Review"))</f>
        <v>Margaret Heights</v>
      </c>
      <c r="N2714" s="350" t="str">
        <f ca="1">IF($B2714="Portfolio","Portfolio",IFERROR(INDEX(DATA_ASSET_CLASSIFICATION!$U$8:$U$24,MATCH($C2714,DATA_ASSET_CLASSIFICATION!$A$8:$A$24,0)),"Review"))</f>
        <v>Refi Watch</v>
      </c>
      <c r="O2714" s="350" t="str">
        <f ca="1">IF($B2714="Portfolio","Portfolio",IFERROR(INDEX(DATA_ASSET_CLASSIFICATION!$AB$8:$AB$13,MATCH($N2714,DATA_ASSET_CLASSIFICATION!$AA$8:$AA$13,0)),"Review"))</f>
        <v>Bucket 2 · Legacy</v>
      </c>
      <c r="P2714" s="350" t="str">
        <f>IF($B2714="Portfolio","Portfolio",IFERROR(INDEX(DATA_ASSET_CLASSIFICATION!$C$8:$C$24,MATCH($C2714,DATA_ASSET_CLASSIFICATION!$A$8:$A$24,0)),"Review"))</f>
        <v>Yes</v>
      </c>
      <c r="Q2714" s="350" t="str">
        <f t="shared" ca="1" si="85"/>
        <v>OK</v>
      </c>
    </row>
    <row r="2715" spans="1:17">
      <c r="A2715" s="366" t="s">
        <v>4671</v>
      </c>
      <c r="B2715" s="366" t="s">
        <v>231</v>
      </c>
      <c r="C2715" s="348" t="str">
        <f>DATA_PROPERTY_MASTER!$A$13</f>
        <v>BLD_MH</v>
      </c>
      <c r="D2715" s="380">
        <f>'00_PORTFOLIO ROLLUP'!K$12</f>
        <v>2031</v>
      </c>
      <c r="E2715" s="366" t="s">
        <v>1683</v>
      </c>
      <c r="F2715" s="366" t="s">
        <v>27</v>
      </c>
      <c r="G2715" s="348" t="str">
        <f>"'"&amp;$C2715&amp;"'!$E$54:$Y$54"</f>
        <v>'BLD_MH'!$E$54:$Y$54</v>
      </c>
      <c r="H2715" s="381">
        <f ca="1">IF(IFERROR(INDEX(DATA_PROPERTY_MASTER!$E$5:$E$21,MATCH($C2715,DATA_PROPERTY_MASTER!$A$5:$A$21,0))="Yes",FALSE),IFERROR(INDEX(INDIRECT("'"&amp;$C2715&amp;"'!$E$54:$Y$54"),1,MATCH($D2715,INDIRECT("'"&amp;$C2715&amp;"'!$E$12:$Y$12"),0)),0),0)</f>
        <v>126819.34189131943</v>
      </c>
      <c r="I2715" s="366" t="s">
        <v>1690</v>
      </c>
      <c r="J2715" s="348" t="str">
        <f t="shared" ca="1" si="84"/>
        <v>OK</v>
      </c>
      <c r="K2715" s="366" t="s">
        <v>1714</v>
      </c>
      <c r="L2715" s="366" t="s">
        <v>2248</v>
      </c>
      <c r="M2715" s="350" t="str">
        <f>IF($B2715="Portfolio","Portfolio",IFERROR(INDEX(DATA_ASSET_CLASSIFICATION!$B$8:$B$24,MATCH($C2715,DATA_ASSET_CLASSIFICATION!$A$8:$A$24,0)),"Review"))</f>
        <v>Margaret Heights</v>
      </c>
      <c r="N2715" s="350" t="str">
        <f ca="1">IF($B2715="Portfolio","Portfolio",IFERROR(INDEX(DATA_ASSET_CLASSIFICATION!$U$8:$U$24,MATCH($C2715,DATA_ASSET_CLASSIFICATION!$A$8:$A$24,0)),"Review"))</f>
        <v>Refi Watch</v>
      </c>
      <c r="O2715" s="350" t="str">
        <f ca="1">IF($B2715="Portfolio","Portfolio",IFERROR(INDEX(DATA_ASSET_CLASSIFICATION!$AB$8:$AB$13,MATCH($N2715,DATA_ASSET_CLASSIFICATION!$AA$8:$AA$13,0)),"Review"))</f>
        <v>Bucket 2 · Legacy</v>
      </c>
      <c r="P2715" s="350" t="str">
        <f>IF($B2715="Portfolio","Portfolio",IFERROR(INDEX(DATA_ASSET_CLASSIFICATION!$C$8:$C$24,MATCH($C2715,DATA_ASSET_CLASSIFICATION!$A$8:$A$24,0)),"Review"))</f>
        <v>Yes</v>
      </c>
      <c r="Q2715" s="350" t="str">
        <f t="shared" ca="1" si="85"/>
        <v>OK</v>
      </c>
    </row>
    <row r="2716" spans="1:17">
      <c r="A2716" s="366" t="s">
        <v>4672</v>
      </c>
      <c r="B2716" s="366" t="s">
        <v>231</v>
      </c>
      <c r="C2716" s="348" t="str">
        <f>DATA_PROPERTY_MASTER!$A$13</f>
        <v>BLD_MH</v>
      </c>
      <c r="D2716" s="380">
        <f>'00_PORTFOLIO ROLLUP'!K$12</f>
        <v>2031</v>
      </c>
      <c r="E2716" s="366" t="s">
        <v>1683</v>
      </c>
      <c r="F2716" s="366" t="s">
        <v>29</v>
      </c>
      <c r="G2716" s="348" t="str">
        <f>"'"&amp;$C2716&amp;"'!$E$56:$Y$56"</f>
        <v>'BLD_MH'!$E$56:$Y$56</v>
      </c>
      <c r="H2716" s="381">
        <f ca="1">IF(IFERROR(INDEX(DATA_PROPERTY_MASTER!$E$5:$E$21,MATCH($C2716,DATA_PROPERTY_MASTER!$A$5:$A$21,0))="Yes",FALSE),IFERROR(INDEX(INDIRECT("'"&amp;$C2716&amp;"'!$E$56:$Y$56"),1,MATCH($D2716,INDIRECT("'"&amp;$C2716&amp;"'!$E$12:$Y$12"),0)),0),0)</f>
        <v>84546.227927546308</v>
      </c>
      <c r="I2716" s="366" t="s">
        <v>1685</v>
      </c>
      <c r="J2716" s="348" t="str">
        <f t="shared" ca="1" si="84"/>
        <v>OK</v>
      </c>
      <c r="K2716" s="366" t="s">
        <v>1718</v>
      </c>
      <c r="L2716" s="366" t="s">
        <v>2250</v>
      </c>
      <c r="M2716" s="350" t="str">
        <f>IF($B2716="Portfolio","Portfolio",IFERROR(INDEX(DATA_ASSET_CLASSIFICATION!$B$8:$B$24,MATCH($C2716,DATA_ASSET_CLASSIFICATION!$A$8:$A$24,0)),"Review"))</f>
        <v>Margaret Heights</v>
      </c>
      <c r="N2716" s="350" t="str">
        <f ca="1">IF($B2716="Portfolio","Portfolio",IFERROR(INDEX(DATA_ASSET_CLASSIFICATION!$U$8:$U$24,MATCH($C2716,DATA_ASSET_CLASSIFICATION!$A$8:$A$24,0)),"Review"))</f>
        <v>Refi Watch</v>
      </c>
      <c r="O2716" s="350" t="str">
        <f ca="1">IF($B2716="Portfolio","Portfolio",IFERROR(INDEX(DATA_ASSET_CLASSIFICATION!$AB$8:$AB$13,MATCH($N2716,DATA_ASSET_CLASSIFICATION!$AA$8:$AA$13,0)),"Review"))</f>
        <v>Bucket 2 · Legacy</v>
      </c>
      <c r="P2716" s="350" t="str">
        <f>IF($B2716="Portfolio","Portfolio",IFERROR(INDEX(DATA_ASSET_CLASSIFICATION!$C$8:$C$24,MATCH($C2716,DATA_ASSET_CLASSIFICATION!$A$8:$A$24,0)),"Review"))</f>
        <v>Yes</v>
      </c>
      <c r="Q2716" s="350" t="str">
        <f t="shared" ca="1" si="85"/>
        <v>OK</v>
      </c>
    </row>
    <row r="2717" spans="1:17">
      <c r="A2717" s="366" t="s">
        <v>4673</v>
      </c>
      <c r="B2717" s="366" t="s">
        <v>231</v>
      </c>
      <c r="C2717" s="348" t="str">
        <f>DATA_PROPERTY_MASTER!$A$13</f>
        <v>BLD_MH</v>
      </c>
      <c r="D2717" s="380">
        <f>'00_PORTFOLIO ROLLUP'!K$12</f>
        <v>2031</v>
      </c>
      <c r="E2717" s="366" t="s">
        <v>1721</v>
      </c>
      <c r="F2717" s="366" t="s">
        <v>31</v>
      </c>
      <c r="G2717" s="348" t="str">
        <f>"'"&amp;$C2717&amp;"'!$E$61:$Y$61"</f>
        <v>'BLD_MH'!$E$61:$Y$61</v>
      </c>
      <c r="H2717" s="381">
        <f ca="1">IF(IFERROR(INDEX(DATA_PROPERTY_MASTER!$E$5:$E$21,MATCH($C2717,DATA_PROPERTY_MASTER!$A$5:$A$21,0))="Yes",FALSE),IFERROR(INDEX(INDIRECT("'"&amp;$C2717&amp;"'!$E$61:$Y$61"),1,MATCH($D2717,INDIRECT("'"&amp;$C2717&amp;"'!$E$12:$Y$12"),0)),0),0)</f>
        <v>0</v>
      </c>
      <c r="I2717" s="366" t="s">
        <v>1690</v>
      </c>
      <c r="J2717" s="348" t="str">
        <f t="shared" ca="1" si="84"/>
        <v>OK</v>
      </c>
      <c r="K2717" s="366" t="s">
        <v>1723</v>
      </c>
      <c r="L2717" s="366" t="s">
        <v>2252</v>
      </c>
      <c r="M2717" s="350" t="str">
        <f>IF($B2717="Portfolio","Portfolio",IFERROR(INDEX(DATA_ASSET_CLASSIFICATION!$B$8:$B$24,MATCH($C2717,DATA_ASSET_CLASSIFICATION!$A$8:$A$24,0)),"Review"))</f>
        <v>Margaret Heights</v>
      </c>
      <c r="N2717" s="350" t="str">
        <f ca="1">IF($B2717="Portfolio","Portfolio",IFERROR(INDEX(DATA_ASSET_CLASSIFICATION!$U$8:$U$24,MATCH($C2717,DATA_ASSET_CLASSIFICATION!$A$8:$A$24,0)),"Review"))</f>
        <v>Refi Watch</v>
      </c>
      <c r="O2717" s="350" t="str">
        <f ca="1">IF($B2717="Portfolio","Portfolio",IFERROR(INDEX(DATA_ASSET_CLASSIFICATION!$AB$8:$AB$13,MATCH($N2717,DATA_ASSET_CLASSIFICATION!$AA$8:$AA$13,0)),"Review"))</f>
        <v>Bucket 2 · Legacy</v>
      </c>
      <c r="P2717" s="350" t="str">
        <f>IF($B2717="Portfolio","Portfolio",IFERROR(INDEX(DATA_ASSET_CLASSIFICATION!$C$8:$C$24,MATCH($C2717,DATA_ASSET_CLASSIFICATION!$A$8:$A$24,0)),"Review"))</f>
        <v>Yes</v>
      </c>
      <c r="Q2717" s="350" t="str">
        <f t="shared" ca="1" si="85"/>
        <v>OK</v>
      </c>
    </row>
    <row r="2718" spans="1:17">
      <c r="A2718" s="366" t="s">
        <v>4674</v>
      </c>
      <c r="B2718" s="366" t="s">
        <v>231</v>
      </c>
      <c r="C2718" s="348" t="str">
        <f>DATA_PROPERTY_MASTER!$A$13</f>
        <v>BLD_MH</v>
      </c>
      <c r="D2718" s="380">
        <f>'00_PORTFOLIO ROLLUP'!K$12</f>
        <v>2031</v>
      </c>
      <c r="E2718" s="366" t="s">
        <v>1721</v>
      </c>
      <c r="F2718" s="366" t="s">
        <v>33</v>
      </c>
      <c r="G2718" s="348" t="str">
        <f>"'"&amp;$C2718&amp;"'!$E$62:$Y$62"</f>
        <v>'BLD_MH'!$E$62:$Y$62</v>
      </c>
      <c r="H2718" s="381">
        <f ca="1">IF(IFERROR(INDEX(DATA_PROPERTY_MASTER!$E$5:$E$21,MATCH($C2718,DATA_PROPERTY_MASTER!$A$5:$A$21,0))="Yes",FALSE),IFERROR(INDEX(INDIRECT("'"&amp;$C2718&amp;"'!$E$62:$Y$62"),1,MATCH($D2718,INDIRECT("'"&amp;$C2718&amp;"'!$E$12:$Y$12"),0)),0),0)</f>
        <v>0</v>
      </c>
      <c r="I2718" s="366" t="s">
        <v>1685</v>
      </c>
      <c r="J2718" s="348" t="str">
        <f t="shared" ca="1" si="84"/>
        <v>OK</v>
      </c>
      <c r="K2718" s="366" t="s">
        <v>1727</v>
      </c>
      <c r="L2718" s="366" t="s">
        <v>2254</v>
      </c>
      <c r="M2718" s="350" t="str">
        <f>IF($B2718="Portfolio","Portfolio",IFERROR(INDEX(DATA_ASSET_CLASSIFICATION!$B$8:$B$24,MATCH($C2718,DATA_ASSET_CLASSIFICATION!$A$8:$A$24,0)),"Review"))</f>
        <v>Margaret Heights</v>
      </c>
      <c r="N2718" s="350" t="str">
        <f ca="1">IF($B2718="Portfolio","Portfolio",IFERROR(INDEX(DATA_ASSET_CLASSIFICATION!$U$8:$U$24,MATCH($C2718,DATA_ASSET_CLASSIFICATION!$A$8:$A$24,0)),"Review"))</f>
        <v>Refi Watch</v>
      </c>
      <c r="O2718" s="350" t="str">
        <f ca="1">IF($B2718="Portfolio","Portfolio",IFERROR(INDEX(DATA_ASSET_CLASSIFICATION!$AB$8:$AB$13,MATCH($N2718,DATA_ASSET_CLASSIFICATION!$AA$8:$AA$13,0)),"Review"))</f>
        <v>Bucket 2 · Legacy</v>
      </c>
      <c r="P2718" s="350" t="str">
        <f>IF($B2718="Portfolio","Portfolio",IFERROR(INDEX(DATA_ASSET_CLASSIFICATION!$C$8:$C$24,MATCH($C2718,DATA_ASSET_CLASSIFICATION!$A$8:$A$24,0)),"Review"))</f>
        <v>Yes</v>
      </c>
      <c r="Q2718" s="350" t="str">
        <f t="shared" ca="1" si="85"/>
        <v>OK</v>
      </c>
    </row>
    <row r="2719" spans="1:17">
      <c r="A2719" s="366" t="s">
        <v>4675</v>
      </c>
      <c r="B2719" s="366" t="s">
        <v>231</v>
      </c>
      <c r="C2719" s="348" t="str">
        <f>DATA_PROPERTY_MASTER!$A$13</f>
        <v>BLD_MH</v>
      </c>
      <c r="D2719" s="380">
        <f>'00_PORTFOLIO ROLLUP'!K$12</f>
        <v>2031</v>
      </c>
      <c r="E2719" s="366" t="s">
        <v>1721</v>
      </c>
      <c r="F2719" s="366" t="s">
        <v>35</v>
      </c>
      <c r="G2719" s="348" t="str">
        <f>"'"&amp;$C2719&amp;"'!$E$63:$Y$63"</f>
        <v>'BLD_MH'!$E$63:$Y$63</v>
      </c>
      <c r="H2719" s="381">
        <f ca="1">IF(IFERROR(INDEX(DATA_PROPERTY_MASTER!$E$5:$E$21,MATCH($C2719,DATA_PROPERTY_MASTER!$A$5:$A$21,0))="Yes",FALSE),IFERROR(INDEX(INDIRECT("'"&amp;$C2719&amp;"'!$E$63:$Y$63"),1,MATCH($D2719,INDIRECT("'"&amp;$C2719&amp;"'!$E$12:$Y$12"),0)),0),0)</f>
        <v>0</v>
      </c>
      <c r="I2719" s="366" t="s">
        <v>1731</v>
      </c>
      <c r="J2719" s="348" t="str">
        <f t="shared" ca="1" si="84"/>
        <v>OK</v>
      </c>
      <c r="K2719" s="366" t="s">
        <v>1732</v>
      </c>
      <c r="L2719" s="366" t="s">
        <v>2256</v>
      </c>
      <c r="M2719" s="350" t="str">
        <f>IF($B2719="Portfolio","Portfolio",IFERROR(INDEX(DATA_ASSET_CLASSIFICATION!$B$8:$B$24,MATCH($C2719,DATA_ASSET_CLASSIFICATION!$A$8:$A$24,0)),"Review"))</f>
        <v>Margaret Heights</v>
      </c>
      <c r="N2719" s="350" t="str">
        <f ca="1">IF($B2719="Portfolio","Portfolio",IFERROR(INDEX(DATA_ASSET_CLASSIFICATION!$U$8:$U$24,MATCH($C2719,DATA_ASSET_CLASSIFICATION!$A$8:$A$24,0)),"Review"))</f>
        <v>Refi Watch</v>
      </c>
      <c r="O2719" s="350" t="str">
        <f ca="1">IF($B2719="Portfolio","Portfolio",IFERROR(INDEX(DATA_ASSET_CLASSIFICATION!$AB$8:$AB$13,MATCH($N2719,DATA_ASSET_CLASSIFICATION!$AA$8:$AA$13,0)),"Review"))</f>
        <v>Bucket 2 · Legacy</v>
      </c>
      <c r="P2719" s="350" t="str">
        <f>IF($B2719="Portfolio","Portfolio",IFERROR(INDEX(DATA_ASSET_CLASSIFICATION!$C$8:$C$24,MATCH($C2719,DATA_ASSET_CLASSIFICATION!$A$8:$A$24,0)),"Review"))</f>
        <v>Yes</v>
      </c>
      <c r="Q2719" s="350" t="str">
        <f t="shared" ca="1" si="85"/>
        <v>OK</v>
      </c>
    </row>
    <row r="2720" spans="1:17">
      <c r="A2720" s="366" t="s">
        <v>4676</v>
      </c>
      <c r="B2720" s="366" t="s">
        <v>231</v>
      </c>
      <c r="C2720" s="348" t="str">
        <f>DATA_PROPERTY_MASTER!$A$13</f>
        <v>BLD_MH</v>
      </c>
      <c r="D2720" s="380">
        <f>'00_PORTFOLIO ROLLUP'!K$12</f>
        <v>2031</v>
      </c>
      <c r="E2720" s="366" t="s">
        <v>1721</v>
      </c>
      <c r="F2720" s="366" t="s">
        <v>37</v>
      </c>
      <c r="G2720" s="348" t="str">
        <f>"'"&amp;$C2720&amp;"'!$E$63:$Y$63"</f>
        <v>'BLD_MH'!$E$63:$Y$63</v>
      </c>
      <c r="H2720" s="381">
        <f ca="1">IF(IFERROR(INDEX(DATA_PROPERTY_MASTER!$E$5:$E$21,MATCH($C2720,DATA_PROPERTY_MASTER!$A$5:$A$21,0))="Yes",FALSE),MAX(IFERROR(INDEX(INDIRECT("'"&amp;$C2720&amp;"'!$E$63:$Y$63"),1,MATCH($D2720,INDIRECT("'"&amp;$C2720&amp;"'!$E$12:$Y$12"),0)),0),0),0)</f>
        <v>0</v>
      </c>
      <c r="I2720" s="366" t="s">
        <v>1685</v>
      </c>
      <c r="J2720" s="348" t="str">
        <f t="shared" ca="1" si="84"/>
        <v>OK</v>
      </c>
      <c r="K2720" s="366" t="s">
        <v>1735</v>
      </c>
      <c r="L2720" s="366" t="s">
        <v>2258</v>
      </c>
      <c r="M2720" s="350" t="str">
        <f>IF($B2720="Portfolio","Portfolio",IFERROR(INDEX(DATA_ASSET_CLASSIFICATION!$B$8:$B$24,MATCH($C2720,DATA_ASSET_CLASSIFICATION!$A$8:$A$24,0)),"Review"))</f>
        <v>Margaret Heights</v>
      </c>
      <c r="N2720" s="350" t="str">
        <f ca="1">IF($B2720="Portfolio","Portfolio",IFERROR(INDEX(DATA_ASSET_CLASSIFICATION!$U$8:$U$24,MATCH($C2720,DATA_ASSET_CLASSIFICATION!$A$8:$A$24,0)),"Review"))</f>
        <v>Refi Watch</v>
      </c>
      <c r="O2720" s="350" t="str">
        <f ca="1">IF($B2720="Portfolio","Portfolio",IFERROR(INDEX(DATA_ASSET_CLASSIFICATION!$AB$8:$AB$13,MATCH($N2720,DATA_ASSET_CLASSIFICATION!$AA$8:$AA$13,0)),"Review"))</f>
        <v>Bucket 2 · Legacy</v>
      </c>
      <c r="P2720" s="350" t="str">
        <f>IF($B2720="Portfolio","Portfolio",IFERROR(INDEX(DATA_ASSET_CLASSIFICATION!$C$8:$C$24,MATCH($C2720,DATA_ASSET_CLASSIFICATION!$A$8:$A$24,0)),"Review"))</f>
        <v>Yes</v>
      </c>
      <c r="Q2720" s="350" t="str">
        <f t="shared" ca="1" si="85"/>
        <v>OK</v>
      </c>
    </row>
    <row r="2721" spans="1:17">
      <c r="A2721" s="366" t="s">
        <v>4677</v>
      </c>
      <c r="B2721" s="366" t="s">
        <v>231</v>
      </c>
      <c r="C2721" s="348" t="str">
        <f>DATA_PROPERTY_MASTER!$A$13</f>
        <v>BLD_MH</v>
      </c>
      <c r="D2721" s="380">
        <f>'00_PORTFOLIO ROLLUP'!K$12</f>
        <v>2031</v>
      </c>
      <c r="E2721" s="366" t="s">
        <v>1721</v>
      </c>
      <c r="F2721" s="366" t="s">
        <v>39</v>
      </c>
      <c r="G2721" s="348" t="str">
        <f>"'"&amp;$C2721&amp;"'!$E$63:$Y$63"</f>
        <v>'BLD_MH'!$E$63:$Y$63</v>
      </c>
      <c r="H2721" s="381">
        <f ca="1">IF(IFERROR(INDEX(DATA_PROPERTY_MASTER!$E$5:$E$21,MATCH($C2721,DATA_PROPERTY_MASTER!$A$5:$A$21,0))="Yes",FALSE),MAX(-IFERROR(INDEX(INDIRECT("'"&amp;$C2721&amp;"'!$E$63:$Y$63"),1,MATCH($D2721,INDIRECT("'"&amp;$C2721&amp;"'!$E$12:$Y$12"),0)),0),0),0)</f>
        <v>0</v>
      </c>
      <c r="I2721" s="366" t="s">
        <v>1690</v>
      </c>
      <c r="J2721" s="348" t="str">
        <f t="shared" ca="1" si="84"/>
        <v>OK</v>
      </c>
      <c r="K2721" s="366" t="s">
        <v>1738</v>
      </c>
      <c r="L2721" s="366" t="s">
        <v>2260</v>
      </c>
      <c r="M2721" s="350" t="str">
        <f>IF($B2721="Portfolio","Portfolio",IFERROR(INDEX(DATA_ASSET_CLASSIFICATION!$B$8:$B$24,MATCH($C2721,DATA_ASSET_CLASSIFICATION!$A$8:$A$24,0)),"Review"))</f>
        <v>Margaret Heights</v>
      </c>
      <c r="N2721" s="350" t="str">
        <f ca="1">IF($B2721="Portfolio","Portfolio",IFERROR(INDEX(DATA_ASSET_CLASSIFICATION!$U$8:$U$24,MATCH($C2721,DATA_ASSET_CLASSIFICATION!$A$8:$A$24,0)),"Review"))</f>
        <v>Refi Watch</v>
      </c>
      <c r="O2721" s="350" t="str">
        <f ca="1">IF($B2721="Portfolio","Portfolio",IFERROR(INDEX(DATA_ASSET_CLASSIFICATION!$AB$8:$AB$13,MATCH($N2721,DATA_ASSET_CLASSIFICATION!$AA$8:$AA$13,0)),"Review"))</f>
        <v>Bucket 2 · Legacy</v>
      </c>
      <c r="P2721" s="350" t="str">
        <f>IF($B2721="Portfolio","Portfolio",IFERROR(INDEX(DATA_ASSET_CLASSIFICATION!$C$8:$C$24,MATCH($C2721,DATA_ASSET_CLASSIFICATION!$A$8:$A$24,0)),"Review"))</f>
        <v>Yes</v>
      </c>
      <c r="Q2721" s="350" t="str">
        <f t="shared" ca="1" si="85"/>
        <v>OK</v>
      </c>
    </row>
    <row r="2722" spans="1:17">
      <c r="A2722" s="366" t="s">
        <v>4678</v>
      </c>
      <c r="B2722" s="366" t="s">
        <v>231</v>
      </c>
      <c r="C2722" s="348" t="str">
        <f>DATA_PROPERTY_MASTER!$A$13</f>
        <v>BLD_MH</v>
      </c>
      <c r="D2722" s="380">
        <f>'00_PORTFOLIO ROLLUP'!K$12</f>
        <v>2031</v>
      </c>
      <c r="E2722" s="366" t="s">
        <v>1741</v>
      </c>
      <c r="F2722" s="366" t="s">
        <v>41</v>
      </c>
      <c r="G2722" s="348" t="str">
        <f>"'"&amp;$C2722&amp;"'!rows 56 + positive row 63"</f>
        <v>'BLD_MH'!rows 56 + positive row 63</v>
      </c>
      <c r="H2722" s="381">
        <f ca="1">IF(IFERROR(INDEX(DATA_PROPERTY_MASTER!$E$5:$E$21,MATCH($C2722,DATA_PROPERTY_MASTER!$A$5:$A$21,0))="Yes",FALSE),IFERROR(INDEX(INDIRECT("'"&amp;$C2722&amp;"'!$E$56:$Y$56"),1,MATCH($D2722,INDIRECT("'"&amp;$C2722&amp;"'!$E$12:$Y$12"),0)),0)+MAX(IFERROR(INDEX(INDIRECT("'"&amp;$C2722&amp;"'!$E$63:$Y$63"),1,MATCH($D2722,INDIRECT("'"&amp;$C2722&amp;"'!$E$12:$Y$12"),0)),0),0),0)</f>
        <v>84546.227927546308</v>
      </c>
      <c r="I2722" s="366" t="s">
        <v>1685</v>
      </c>
      <c r="J2722" s="348" t="str">
        <f t="shared" ca="1" si="84"/>
        <v>OK</v>
      </c>
      <c r="K2722" s="366" t="s">
        <v>1742</v>
      </c>
      <c r="L2722" s="366" t="s">
        <v>2262</v>
      </c>
      <c r="M2722" s="350" t="str">
        <f>IF($B2722="Portfolio","Portfolio",IFERROR(INDEX(DATA_ASSET_CLASSIFICATION!$B$8:$B$24,MATCH($C2722,DATA_ASSET_CLASSIFICATION!$A$8:$A$24,0)),"Review"))</f>
        <v>Margaret Heights</v>
      </c>
      <c r="N2722" s="350" t="str">
        <f ca="1">IF($B2722="Portfolio","Portfolio",IFERROR(INDEX(DATA_ASSET_CLASSIFICATION!$U$8:$U$24,MATCH($C2722,DATA_ASSET_CLASSIFICATION!$A$8:$A$24,0)),"Review"))</f>
        <v>Refi Watch</v>
      </c>
      <c r="O2722" s="350" t="str">
        <f ca="1">IF($B2722="Portfolio","Portfolio",IFERROR(INDEX(DATA_ASSET_CLASSIFICATION!$AB$8:$AB$13,MATCH($N2722,DATA_ASSET_CLASSIFICATION!$AA$8:$AA$13,0)),"Review"))</f>
        <v>Bucket 2 · Legacy</v>
      </c>
      <c r="P2722" s="350" t="str">
        <f>IF($B2722="Portfolio","Portfolio",IFERROR(INDEX(DATA_ASSET_CLASSIFICATION!$C$8:$C$24,MATCH($C2722,DATA_ASSET_CLASSIFICATION!$A$8:$A$24,0)),"Review"))</f>
        <v>Yes</v>
      </c>
      <c r="Q2722" s="350" t="str">
        <f t="shared" ca="1" si="85"/>
        <v>OK</v>
      </c>
    </row>
    <row r="2723" spans="1:17">
      <c r="A2723" s="366" t="s">
        <v>4679</v>
      </c>
      <c r="B2723" s="366" t="s">
        <v>231</v>
      </c>
      <c r="C2723" s="348" t="str">
        <f>DATA_PROPERTY_MASTER!$A$13</f>
        <v>BLD_MH</v>
      </c>
      <c r="D2723" s="380">
        <f>'00_PORTFOLIO ROLLUP'!K$12</f>
        <v>2031</v>
      </c>
      <c r="E2723" s="366" t="s">
        <v>1741</v>
      </c>
      <c r="F2723" s="366" t="s">
        <v>43</v>
      </c>
      <c r="G2723" s="348" t="str">
        <f>"'"&amp;$C2723&amp;"'!$E$68:$Y$68"</f>
        <v>'BLD_MH'!$E$68:$Y$68</v>
      </c>
      <c r="H2723" s="381">
        <f ca="1">IF(IFERROR(INDEX(DATA_PROPERTY_MASTER!$E$5:$E$21,MATCH($C2723,DATA_PROPERTY_MASTER!$A$5:$A$21,0))="Yes",FALSE),IFERROR(INDEX(INDIRECT("'"&amp;$C2723&amp;"'!$E$68:$Y$68"),1,MATCH($D2723,INDIRECT("'"&amp;$C2723&amp;"'!$E$12:$Y$12"),0)),0),0)</f>
        <v>84546.227927546308</v>
      </c>
      <c r="I2723" s="366" t="s">
        <v>1731</v>
      </c>
      <c r="J2723" s="348" t="str">
        <f t="shared" ca="1" si="84"/>
        <v>OK</v>
      </c>
      <c r="K2723" s="366" t="s">
        <v>1746</v>
      </c>
      <c r="L2723" s="366" t="s">
        <v>2264</v>
      </c>
      <c r="M2723" s="350" t="str">
        <f>IF($B2723="Portfolio","Portfolio",IFERROR(INDEX(DATA_ASSET_CLASSIFICATION!$B$8:$B$24,MATCH($C2723,DATA_ASSET_CLASSIFICATION!$A$8:$A$24,0)),"Review"))</f>
        <v>Margaret Heights</v>
      </c>
      <c r="N2723" s="350" t="str">
        <f ca="1">IF($B2723="Portfolio","Portfolio",IFERROR(INDEX(DATA_ASSET_CLASSIFICATION!$U$8:$U$24,MATCH($C2723,DATA_ASSET_CLASSIFICATION!$A$8:$A$24,0)),"Review"))</f>
        <v>Refi Watch</v>
      </c>
      <c r="O2723" s="350" t="str">
        <f ca="1">IF($B2723="Portfolio","Portfolio",IFERROR(INDEX(DATA_ASSET_CLASSIFICATION!$AB$8:$AB$13,MATCH($N2723,DATA_ASSET_CLASSIFICATION!$AA$8:$AA$13,0)),"Review"))</f>
        <v>Bucket 2 · Legacy</v>
      </c>
      <c r="P2723" s="350" t="str">
        <f>IF($B2723="Portfolio","Portfolio",IFERROR(INDEX(DATA_ASSET_CLASSIFICATION!$C$8:$C$24,MATCH($C2723,DATA_ASSET_CLASSIFICATION!$A$8:$A$24,0)),"Review"))</f>
        <v>Yes</v>
      </c>
      <c r="Q2723" s="350" t="str">
        <f t="shared" ca="1" si="85"/>
        <v>OK</v>
      </c>
    </row>
    <row r="2724" spans="1:17">
      <c r="A2724" s="366" t="s">
        <v>4680</v>
      </c>
      <c r="B2724" s="366" t="s">
        <v>231</v>
      </c>
      <c r="C2724" s="348" t="str">
        <f>DATA_PROPERTY_MASTER!$A$13</f>
        <v>BLD_MH</v>
      </c>
      <c r="D2724" s="380">
        <f>'00_PORTFOLIO ROLLUP'!K$12</f>
        <v>2031</v>
      </c>
      <c r="E2724" s="366" t="s">
        <v>1741</v>
      </c>
      <c r="F2724" s="366" t="s">
        <v>1749</v>
      </c>
      <c r="G2724" s="348" t="str">
        <f>"'"&amp;$C2724&amp;"'!rows 56, 63, 68"</f>
        <v>'BLD_MH'!rows 56, 63, 68</v>
      </c>
      <c r="H2724" s="381">
        <f ca="1">IF(IFERROR(INDEX(DATA_PROPERTY_MASTER!$E$5:$E$21,MATCH($C2724,DATA_PROPERTY_MASTER!$A$5:$A$21,0))="Yes",FALSE),(IFERROR(INDEX(INDIRECT("'"&amp;$C2724&amp;"'!$E$56:$Y$56"),1,MATCH($D2724,INDIRECT("'"&amp;$C2724&amp;"'!$E$12:$Y$12"),0)),0)+MAX(IFERROR(INDEX(INDIRECT("'"&amp;$C2724&amp;"'!$E$63:$Y$63"),1,MATCH($D2724,INDIRECT("'"&amp;$C2724&amp;"'!$E$12:$Y$12"),0)),0),0))-(IFERROR(INDEX(INDIRECT("'"&amp;$C2724&amp;"'!$E$68:$Y$68"),1,MATCH($D2724,INDIRECT("'"&amp;$C2724&amp;"'!$E$12:$Y$12"),0)),0)),0)</f>
        <v>0</v>
      </c>
      <c r="I2724" s="366" t="s">
        <v>1750</v>
      </c>
      <c r="J2724" s="348" t="str">
        <f t="shared" ca="1" si="84"/>
        <v>OK</v>
      </c>
      <c r="K2724" s="366" t="s">
        <v>1751</v>
      </c>
      <c r="L2724" s="366" t="s">
        <v>2266</v>
      </c>
      <c r="M2724" s="350" t="str">
        <f>IF($B2724="Portfolio","Portfolio",IFERROR(INDEX(DATA_ASSET_CLASSIFICATION!$B$8:$B$24,MATCH($C2724,DATA_ASSET_CLASSIFICATION!$A$8:$A$24,0)),"Review"))</f>
        <v>Margaret Heights</v>
      </c>
      <c r="N2724" s="350" t="str">
        <f ca="1">IF($B2724="Portfolio","Portfolio",IFERROR(INDEX(DATA_ASSET_CLASSIFICATION!$U$8:$U$24,MATCH($C2724,DATA_ASSET_CLASSIFICATION!$A$8:$A$24,0)),"Review"))</f>
        <v>Refi Watch</v>
      </c>
      <c r="O2724" s="350" t="str">
        <f ca="1">IF($B2724="Portfolio","Portfolio",IFERROR(INDEX(DATA_ASSET_CLASSIFICATION!$AB$8:$AB$13,MATCH($N2724,DATA_ASSET_CLASSIFICATION!$AA$8:$AA$13,0)),"Review"))</f>
        <v>Bucket 2 · Legacy</v>
      </c>
      <c r="P2724" s="350" t="str">
        <f>IF($B2724="Portfolio","Portfolio",IFERROR(INDEX(DATA_ASSET_CLASSIFICATION!$C$8:$C$24,MATCH($C2724,DATA_ASSET_CLASSIFICATION!$A$8:$A$24,0)),"Review"))</f>
        <v>Yes</v>
      </c>
      <c r="Q2724" s="350" t="str">
        <f t="shared" ca="1" si="85"/>
        <v>OK</v>
      </c>
    </row>
    <row r="2725" spans="1:17">
      <c r="A2725" s="366" t="s">
        <v>4681</v>
      </c>
      <c r="B2725" s="366" t="s">
        <v>231</v>
      </c>
      <c r="C2725" s="348" t="str">
        <f>DATA_PROPERTY_MASTER!$A$13</f>
        <v>BLD_MH</v>
      </c>
      <c r="D2725" s="380">
        <f>'00_PORTFOLIO ROLLUP'!L$12</f>
        <v>2032</v>
      </c>
      <c r="E2725" s="366" t="s">
        <v>1683</v>
      </c>
      <c r="F2725" s="366" t="s">
        <v>341</v>
      </c>
      <c r="G2725" s="348" t="str">
        <f>"'"&amp;$C2725&amp;"'!$E$24:$Y$24"</f>
        <v>'BLD_MH'!$E$24:$Y$24</v>
      </c>
      <c r="H2725" s="381">
        <f ca="1">IF(IFERROR(INDEX(DATA_PROPERTY_MASTER!$E$5:$E$21,MATCH($C2725,DATA_PROPERTY_MASTER!$A$5:$A$21,0))="Yes",FALSE),IFERROR(INDEX(INDIRECT("'"&amp;$C2725&amp;"'!$E$24:$Y$24"),1,MATCH($D2725,INDIRECT("'"&amp;$C2725&amp;"'!$E$12:$Y$12"),0)),0),0)</f>
        <v>453424.16721665929</v>
      </c>
      <c r="I2725" s="366" t="s">
        <v>1685</v>
      </c>
      <c r="J2725" s="348" t="str">
        <f t="shared" ca="1" si="84"/>
        <v>OK</v>
      </c>
      <c r="K2725" s="366" t="s">
        <v>1686</v>
      </c>
      <c r="L2725" s="366" t="s">
        <v>2234</v>
      </c>
      <c r="M2725" s="350" t="str">
        <f>IF($B2725="Portfolio","Portfolio",IFERROR(INDEX(DATA_ASSET_CLASSIFICATION!$B$8:$B$24,MATCH($C2725,DATA_ASSET_CLASSIFICATION!$A$8:$A$24,0)),"Review"))</f>
        <v>Margaret Heights</v>
      </c>
      <c r="N2725" s="350" t="str">
        <f ca="1">IF($B2725="Portfolio","Portfolio",IFERROR(INDEX(DATA_ASSET_CLASSIFICATION!$U$8:$U$24,MATCH($C2725,DATA_ASSET_CLASSIFICATION!$A$8:$A$24,0)),"Review"))</f>
        <v>Refi Watch</v>
      </c>
      <c r="O2725" s="350" t="str">
        <f ca="1">IF($B2725="Portfolio","Portfolio",IFERROR(INDEX(DATA_ASSET_CLASSIFICATION!$AB$8:$AB$13,MATCH($N2725,DATA_ASSET_CLASSIFICATION!$AA$8:$AA$13,0)),"Review"))</f>
        <v>Bucket 2 · Legacy</v>
      </c>
      <c r="P2725" s="350" t="str">
        <f>IF($B2725="Portfolio","Portfolio",IFERROR(INDEX(DATA_ASSET_CLASSIFICATION!$C$8:$C$24,MATCH($C2725,DATA_ASSET_CLASSIFICATION!$A$8:$A$24,0)),"Review"))</f>
        <v>Yes</v>
      </c>
      <c r="Q2725" s="350" t="str">
        <f t="shared" ca="1" si="85"/>
        <v>OK</v>
      </c>
    </row>
    <row r="2726" spans="1:17">
      <c r="A2726" s="366" t="s">
        <v>4682</v>
      </c>
      <c r="B2726" s="366" t="s">
        <v>231</v>
      </c>
      <c r="C2726" s="348" t="str">
        <f>DATA_PROPERTY_MASTER!$A$13</f>
        <v>BLD_MH</v>
      </c>
      <c r="D2726" s="380">
        <f>'00_PORTFOLIO ROLLUP'!L$12</f>
        <v>2032</v>
      </c>
      <c r="E2726" s="366" t="s">
        <v>1683</v>
      </c>
      <c r="F2726" s="366" t="s">
        <v>355</v>
      </c>
      <c r="G2726" s="348" t="str">
        <f>"'"&amp;$C2726&amp;"'!$E$39:$Y$39"</f>
        <v>'BLD_MH'!$E$39:$Y$39</v>
      </c>
      <c r="H2726" s="381">
        <f ca="1">IF(IFERROR(INDEX(DATA_PROPERTY_MASTER!$E$5:$E$21,MATCH($C2726,DATA_PROPERTY_MASTER!$A$5:$A$21,0))="Yes",FALSE),IFERROR(INDEX(INDIRECT("'"&amp;$C2726&amp;"'!$E$39:$Y$39"),1,MATCH($D2726,INDIRECT("'"&amp;$C2726&amp;"'!$E$12:$Y$12"),0)),0),0)</f>
        <v>242494.64455046371</v>
      </c>
      <c r="I2726" s="366" t="s">
        <v>1690</v>
      </c>
      <c r="J2726" s="348" t="str">
        <f t="shared" ca="1" si="84"/>
        <v>OK</v>
      </c>
      <c r="K2726" s="366" t="s">
        <v>1686</v>
      </c>
      <c r="L2726" s="366" t="s">
        <v>2236</v>
      </c>
      <c r="M2726" s="350" t="str">
        <f>IF($B2726="Portfolio","Portfolio",IFERROR(INDEX(DATA_ASSET_CLASSIFICATION!$B$8:$B$24,MATCH($C2726,DATA_ASSET_CLASSIFICATION!$A$8:$A$24,0)),"Review"))</f>
        <v>Margaret Heights</v>
      </c>
      <c r="N2726" s="350" t="str">
        <f ca="1">IF($B2726="Portfolio","Portfolio",IFERROR(INDEX(DATA_ASSET_CLASSIFICATION!$U$8:$U$24,MATCH($C2726,DATA_ASSET_CLASSIFICATION!$A$8:$A$24,0)),"Review"))</f>
        <v>Refi Watch</v>
      </c>
      <c r="O2726" s="350" t="str">
        <f ca="1">IF($B2726="Portfolio","Portfolio",IFERROR(INDEX(DATA_ASSET_CLASSIFICATION!$AB$8:$AB$13,MATCH($N2726,DATA_ASSET_CLASSIFICATION!$AA$8:$AA$13,0)),"Review"))</f>
        <v>Bucket 2 · Legacy</v>
      </c>
      <c r="P2726" s="350" t="str">
        <f>IF($B2726="Portfolio","Portfolio",IFERROR(INDEX(DATA_ASSET_CLASSIFICATION!$C$8:$C$24,MATCH($C2726,DATA_ASSET_CLASSIFICATION!$A$8:$A$24,0)),"Review"))</f>
        <v>Yes</v>
      </c>
      <c r="Q2726" s="350" t="str">
        <f t="shared" ca="1" si="85"/>
        <v>OK</v>
      </c>
    </row>
    <row r="2727" spans="1:17">
      <c r="A2727" s="366" t="s">
        <v>4683</v>
      </c>
      <c r="B2727" s="366" t="s">
        <v>231</v>
      </c>
      <c r="C2727" s="348" t="str">
        <f>DATA_PROPERTY_MASTER!$A$13</f>
        <v>BLD_MH</v>
      </c>
      <c r="D2727" s="380">
        <f>'00_PORTFOLIO ROLLUP'!L$12</f>
        <v>2032</v>
      </c>
      <c r="E2727" s="366" t="s">
        <v>1683</v>
      </c>
      <c r="F2727" s="366" t="s">
        <v>19</v>
      </c>
      <c r="G2727" s="348" t="str">
        <f>"'"&amp;$C2727&amp;"'!$E$41:$Y$41"</f>
        <v>'BLD_MH'!$E$41:$Y$41</v>
      </c>
      <c r="H2727" s="381">
        <f ca="1">IF(IFERROR(INDEX(DATA_PROPERTY_MASTER!$E$5:$E$21,MATCH($C2727,DATA_PROPERTY_MASTER!$A$5:$A$21,0))="Yes",FALSE),IFERROR(INDEX(INDIRECT("'"&amp;$C2727&amp;"'!$E$41:$Y$41"),1,MATCH($D2727,INDIRECT("'"&amp;$C2727&amp;"'!$E$12:$Y$12"),0)),0),0)</f>
        <v>210929.52266619558</v>
      </c>
      <c r="I2727" s="366" t="s">
        <v>1685</v>
      </c>
      <c r="J2727" s="348" t="str">
        <f t="shared" ca="1" si="84"/>
        <v>OK</v>
      </c>
      <c r="K2727" s="366" t="s">
        <v>1694</v>
      </c>
      <c r="L2727" s="366" t="s">
        <v>2238</v>
      </c>
      <c r="M2727" s="350" t="str">
        <f>IF($B2727="Portfolio","Portfolio",IFERROR(INDEX(DATA_ASSET_CLASSIFICATION!$B$8:$B$24,MATCH($C2727,DATA_ASSET_CLASSIFICATION!$A$8:$A$24,0)),"Review"))</f>
        <v>Margaret Heights</v>
      </c>
      <c r="N2727" s="350" t="str">
        <f ca="1">IF($B2727="Portfolio","Portfolio",IFERROR(INDEX(DATA_ASSET_CLASSIFICATION!$U$8:$U$24,MATCH($C2727,DATA_ASSET_CLASSIFICATION!$A$8:$A$24,0)),"Review"))</f>
        <v>Refi Watch</v>
      </c>
      <c r="O2727" s="350" t="str">
        <f ca="1">IF($B2727="Portfolio","Portfolio",IFERROR(INDEX(DATA_ASSET_CLASSIFICATION!$AB$8:$AB$13,MATCH($N2727,DATA_ASSET_CLASSIFICATION!$AA$8:$AA$13,0)),"Review"))</f>
        <v>Bucket 2 · Legacy</v>
      </c>
      <c r="P2727" s="350" t="str">
        <f>IF($B2727="Portfolio","Portfolio",IFERROR(INDEX(DATA_ASSET_CLASSIFICATION!$C$8:$C$24,MATCH($C2727,DATA_ASSET_CLASSIFICATION!$A$8:$A$24,0)),"Review"))</f>
        <v>Yes</v>
      </c>
      <c r="Q2727" s="350" t="str">
        <f t="shared" ca="1" si="85"/>
        <v>OK</v>
      </c>
    </row>
    <row r="2728" spans="1:17">
      <c r="A2728" s="366" t="s">
        <v>4684</v>
      </c>
      <c r="B2728" s="366" t="s">
        <v>231</v>
      </c>
      <c r="C2728" s="348" t="str">
        <f>DATA_PROPERTY_MASTER!$A$13</f>
        <v>BLD_MH</v>
      </c>
      <c r="D2728" s="380">
        <f>'00_PORTFOLIO ROLLUP'!L$12</f>
        <v>2032</v>
      </c>
      <c r="E2728" s="366" t="s">
        <v>1683</v>
      </c>
      <c r="F2728" s="366" t="s">
        <v>1697</v>
      </c>
      <c r="G2728" s="348" t="str">
        <f>"'"&amp;$C2728&amp;"'!$E$44:$Y$44"</f>
        <v>'BLD_MH'!$E$44:$Y$44</v>
      </c>
      <c r="H2728" s="381">
        <f ca="1">IF(IFERROR(INDEX(DATA_PROPERTY_MASTER!$E$5:$E$21,MATCH($C2728,DATA_PROPERTY_MASTER!$A$5:$A$21,0))="Yes",FALSE),IFERROR(INDEX(INDIRECT("'"&amp;$C2728&amp;"'!$E$44:$Y$44"),1,MATCH($D2728,INDIRECT("'"&amp;$C2728&amp;"'!$E$12:$Y$12"),0)),0),0)</f>
        <v>3273.7541528004476</v>
      </c>
      <c r="I2728" s="366" t="s">
        <v>1690</v>
      </c>
      <c r="J2728" s="348" t="str">
        <f t="shared" ca="1" si="84"/>
        <v>OK</v>
      </c>
      <c r="K2728" s="366" t="s">
        <v>1699</v>
      </c>
      <c r="L2728" s="366" t="s">
        <v>2240</v>
      </c>
      <c r="M2728" s="350" t="str">
        <f>IF($B2728="Portfolio","Portfolio",IFERROR(INDEX(DATA_ASSET_CLASSIFICATION!$B$8:$B$24,MATCH($C2728,DATA_ASSET_CLASSIFICATION!$A$8:$A$24,0)),"Review"))</f>
        <v>Margaret Heights</v>
      </c>
      <c r="N2728" s="350" t="str">
        <f ca="1">IF($B2728="Portfolio","Portfolio",IFERROR(INDEX(DATA_ASSET_CLASSIFICATION!$U$8:$U$24,MATCH($C2728,DATA_ASSET_CLASSIFICATION!$A$8:$A$24,0)),"Review"))</f>
        <v>Refi Watch</v>
      </c>
      <c r="O2728" s="350" t="str">
        <f ca="1">IF($B2728="Portfolio","Portfolio",IFERROR(INDEX(DATA_ASSET_CLASSIFICATION!$AB$8:$AB$13,MATCH($N2728,DATA_ASSET_CLASSIFICATION!$AA$8:$AA$13,0)),"Review"))</f>
        <v>Bucket 2 · Legacy</v>
      </c>
      <c r="P2728" s="350" t="str">
        <f>IF($B2728="Portfolio","Portfolio",IFERROR(INDEX(DATA_ASSET_CLASSIFICATION!$C$8:$C$24,MATCH($C2728,DATA_ASSET_CLASSIFICATION!$A$8:$A$24,0)),"Review"))</f>
        <v>Yes</v>
      </c>
      <c r="Q2728" s="350" t="str">
        <f t="shared" ca="1" si="85"/>
        <v>OK</v>
      </c>
    </row>
    <row r="2729" spans="1:17">
      <c r="A2729" s="366" t="s">
        <v>4685</v>
      </c>
      <c r="B2729" s="366" t="s">
        <v>231</v>
      </c>
      <c r="C2729" s="348" t="str">
        <f>DATA_PROPERTY_MASTER!$A$13</f>
        <v>BLD_MH</v>
      </c>
      <c r="D2729" s="380">
        <f>'00_PORTFOLIO ROLLUP'!L$12</f>
        <v>2032</v>
      </c>
      <c r="E2729" s="366" t="s">
        <v>1683</v>
      </c>
      <c r="F2729" s="366" t="s">
        <v>21</v>
      </c>
      <c r="G2729" s="348" t="str">
        <f>"'"&amp;$C2729&amp;"'!$E$45:$Y$45"</f>
        <v>'BLD_MH'!$E$45:$Y$45</v>
      </c>
      <c r="H2729" s="381">
        <f ca="1">IF(IFERROR(INDEX(DATA_PROPERTY_MASTER!$E$5:$E$21,MATCH($C2729,DATA_PROPERTY_MASTER!$A$5:$A$21,0))="Yes",FALSE),IFERROR(INDEX(INDIRECT("'"&amp;$C2729&amp;"'!$E$45:$Y$45"),1,MATCH($D2729,INDIRECT("'"&amp;$C2729&amp;"'!$E$12:$Y$12"),0)),0),0)</f>
        <v>207655.76851339513</v>
      </c>
      <c r="I2729" s="366" t="s">
        <v>1685</v>
      </c>
      <c r="J2729" s="348" t="str">
        <f t="shared" ca="1" si="84"/>
        <v>OK</v>
      </c>
      <c r="K2729" s="366" t="s">
        <v>1694</v>
      </c>
      <c r="L2729" s="366" t="s">
        <v>2242</v>
      </c>
      <c r="M2729" s="350" t="str">
        <f>IF($B2729="Portfolio","Portfolio",IFERROR(INDEX(DATA_ASSET_CLASSIFICATION!$B$8:$B$24,MATCH($C2729,DATA_ASSET_CLASSIFICATION!$A$8:$A$24,0)),"Review"))</f>
        <v>Margaret Heights</v>
      </c>
      <c r="N2729" s="350" t="str">
        <f ca="1">IF($B2729="Portfolio","Portfolio",IFERROR(INDEX(DATA_ASSET_CLASSIFICATION!$U$8:$U$24,MATCH($C2729,DATA_ASSET_CLASSIFICATION!$A$8:$A$24,0)),"Review"))</f>
        <v>Refi Watch</v>
      </c>
      <c r="O2729" s="350" t="str">
        <f ca="1">IF($B2729="Portfolio","Portfolio",IFERROR(INDEX(DATA_ASSET_CLASSIFICATION!$AB$8:$AB$13,MATCH($N2729,DATA_ASSET_CLASSIFICATION!$AA$8:$AA$13,0)),"Review"))</f>
        <v>Bucket 2 · Legacy</v>
      </c>
      <c r="P2729" s="350" t="str">
        <f>IF($B2729="Portfolio","Portfolio",IFERROR(INDEX(DATA_ASSET_CLASSIFICATION!$C$8:$C$24,MATCH($C2729,DATA_ASSET_CLASSIFICATION!$A$8:$A$24,0)),"Review"))</f>
        <v>Yes</v>
      </c>
      <c r="Q2729" s="350" t="str">
        <f t="shared" ca="1" si="85"/>
        <v>OK</v>
      </c>
    </row>
    <row r="2730" spans="1:17">
      <c r="A2730" s="366" t="s">
        <v>4686</v>
      </c>
      <c r="B2730" s="366" t="s">
        <v>231</v>
      </c>
      <c r="C2730" s="348" t="str">
        <f>DATA_PROPERTY_MASTER!$A$13</f>
        <v>BLD_MH</v>
      </c>
      <c r="D2730" s="380">
        <f>'00_PORTFOLIO ROLLUP'!L$12</f>
        <v>2032</v>
      </c>
      <c r="E2730" s="366" t="s">
        <v>23</v>
      </c>
      <c r="F2730" s="366" t="s">
        <v>23</v>
      </c>
      <c r="G2730" s="348" t="str">
        <f>"'"&amp;$C2730&amp;"'!$E$48:$Y$48"</f>
        <v>'BLD_MH'!$E$48:$Y$48</v>
      </c>
      <c r="H2730" s="381">
        <f ca="1">IF(IFERROR(INDEX(DATA_PROPERTY_MASTER!$E$5:$E$21,MATCH($C2730,DATA_PROPERTY_MASTER!$A$5:$A$21,0))="Yes",FALSE),IFERROR(INDEX(INDIRECT("'"&amp;$C2730&amp;"'!$E$48:$Y$48"),1,MATCH($D2730,INDIRECT("'"&amp;$C2730&amp;"'!$E$12:$Y$12"),0)),0),0)</f>
        <v>0</v>
      </c>
      <c r="I2730" s="366" t="s">
        <v>1690</v>
      </c>
      <c r="J2730" s="348" t="str">
        <f t="shared" ca="1" si="84"/>
        <v>OK</v>
      </c>
      <c r="K2730" s="366" t="s">
        <v>1706</v>
      </c>
      <c r="L2730" s="366" t="s">
        <v>2244</v>
      </c>
      <c r="M2730" s="350" t="str">
        <f>IF($B2730="Portfolio","Portfolio",IFERROR(INDEX(DATA_ASSET_CLASSIFICATION!$B$8:$B$24,MATCH($C2730,DATA_ASSET_CLASSIFICATION!$A$8:$A$24,0)),"Review"))</f>
        <v>Margaret Heights</v>
      </c>
      <c r="N2730" s="350" t="str">
        <f ca="1">IF($B2730="Portfolio","Portfolio",IFERROR(INDEX(DATA_ASSET_CLASSIFICATION!$U$8:$U$24,MATCH($C2730,DATA_ASSET_CLASSIFICATION!$A$8:$A$24,0)),"Review"))</f>
        <v>Refi Watch</v>
      </c>
      <c r="O2730" s="350" t="str">
        <f ca="1">IF($B2730="Portfolio","Portfolio",IFERROR(INDEX(DATA_ASSET_CLASSIFICATION!$AB$8:$AB$13,MATCH($N2730,DATA_ASSET_CLASSIFICATION!$AA$8:$AA$13,0)),"Review"))</f>
        <v>Bucket 2 · Legacy</v>
      </c>
      <c r="P2730" s="350" t="str">
        <f>IF($B2730="Portfolio","Portfolio",IFERROR(INDEX(DATA_ASSET_CLASSIFICATION!$C$8:$C$24,MATCH($C2730,DATA_ASSET_CLASSIFICATION!$A$8:$A$24,0)),"Review"))</f>
        <v>Yes</v>
      </c>
      <c r="Q2730" s="350" t="str">
        <f t="shared" ca="1" si="85"/>
        <v>OK</v>
      </c>
    </row>
    <row r="2731" spans="1:17">
      <c r="A2731" s="366" t="s">
        <v>4687</v>
      </c>
      <c r="B2731" s="366" t="s">
        <v>231</v>
      </c>
      <c r="C2731" s="348" t="str">
        <f>DATA_PROPERTY_MASTER!$A$13</f>
        <v>BLD_MH</v>
      </c>
      <c r="D2731" s="380">
        <f>'00_PORTFOLIO ROLLUP'!L$12</f>
        <v>2032</v>
      </c>
      <c r="E2731" s="366" t="s">
        <v>1683</v>
      </c>
      <c r="F2731" s="366" t="s">
        <v>25</v>
      </c>
      <c r="G2731" s="348" t="str">
        <f>"'"&amp;$C2731&amp;"'!$E$52:$Y$52"</f>
        <v>'BLD_MH'!$E$52:$Y$52</v>
      </c>
      <c r="H2731" s="381">
        <f ca="1">IF(IFERROR(INDEX(DATA_PROPERTY_MASTER!$E$5:$E$21,MATCH($C2731,DATA_PROPERTY_MASTER!$A$5:$A$21,0))="Yes",FALSE),IFERROR(INDEX(INDIRECT("'"&amp;$C2731&amp;"'!$E$52:$Y$52"),1,MATCH($D2731,INDIRECT("'"&amp;$C2731&amp;"'!$E$12:$Y$12"),0)),0),0)</f>
        <v>210929.52266619558</v>
      </c>
      <c r="I2731" s="366" t="s">
        <v>1685</v>
      </c>
      <c r="J2731" s="348" t="str">
        <f t="shared" ca="1" si="84"/>
        <v>OK</v>
      </c>
      <c r="K2731" s="366" t="s">
        <v>1710</v>
      </c>
      <c r="L2731" s="366" t="s">
        <v>2246</v>
      </c>
      <c r="M2731" s="350" t="str">
        <f>IF($B2731="Portfolio","Portfolio",IFERROR(INDEX(DATA_ASSET_CLASSIFICATION!$B$8:$B$24,MATCH($C2731,DATA_ASSET_CLASSIFICATION!$A$8:$A$24,0)),"Review"))</f>
        <v>Margaret Heights</v>
      </c>
      <c r="N2731" s="350" t="str">
        <f ca="1">IF($B2731="Portfolio","Portfolio",IFERROR(INDEX(DATA_ASSET_CLASSIFICATION!$U$8:$U$24,MATCH($C2731,DATA_ASSET_CLASSIFICATION!$A$8:$A$24,0)),"Review"))</f>
        <v>Refi Watch</v>
      </c>
      <c r="O2731" s="350" t="str">
        <f ca="1">IF($B2731="Portfolio","Portfolio",IFERROR(INDEX(DATA_ASSET_CLASSIFICATION!$AB$8:$AB$13,MATCH($N2731,DATA_ASSET_CLASSIFICATION!$AA$8:$AA$13,0)),"Review"))</f>
        <v>Bucket 2 · Legacy</v>
      </c>
      <c r="P2731" s="350" t="str">
        <f>IF($B2731="Portfolio","Portfolio",IFERROR(INDEX(DATA_ASSET_CLASSIFICATION!$C$8:$C$24,MATCH($C2731,DATA_ASSET_CLASSIFICATION!$A$8:$A$24,0)),"Review"))</f>
        <v>Yes</v>
      </c>
      <c r="Q2731" s="350" t="str">
        <f t="shared" ca="1" si="85"/>
        <v>OK</v>
      </c>
    </row>
    <row r="2732" spans="1:17">
      <c r="A2732" s="366" t="s">
        <v>4688</v>
      </c>
      <c r="B2732" s="366" t="s">
        <v>231</v>
      </c>
      <c r="C2732" s="348" t="str">
        <f>DATA_PROPERTY_MASTER!$A$13</f>
        <v>BLD_MH</v>
      </c>
      <c r="D2732" s="380">
        <f>'00_PORTFOLIO ROLLUP'!L$12</f>
        <v>2032</v>
      </c>
      <c r="E2732" s="366" t="s">
        <v>1683</v>
      </c>
      <c r="F2732" s="366" t="s">
        <v>27</v>
      </c>
      <c r="G2732" s="348" t="str">
        <f>"'"&amp;$C2732&amp;"'!$E$54:$Y$54"</f>
        <v>'BLD_MH'!$E$54:$Y$54</v>
      </c>
      <c r="H2732" s="381">
        <f ca="1">IF(IFERROR(INDEX(DATA_PROPERTY_MASTER!$E$5:$E$21,MATCH($C2732,DATA_PROPERTY_MASTER!$A$5:$A$21,0))="Yes",FALSE),IFERROR(INDEX(INDIRECT("'"&amp;$C2732&amp;"'!$E$54:$Y$54"),1,MATCH($D2732,INDIRECT("'"&amp;$C2732&amp;"'!$E$12:$Y$12"),0)),0),0)</f>
        <v>126557.71359971735</v>
      </c>
      <c r="I2732" s="366" t="s">
        <v>1690</v>
      </c>
      <c r="J2732" s="348" t="str">
        <f t="shared" ca="1" si="84"/>
        <v>OK</v>
      </c>
      <c r="K2732" s="366" t="s">
        <v>1714</v>
      </c>
      <c r="L2732" s="366" t="s">
        <v>2248</v>
      </c>
      <c r="M2732" s="350" t="str">
        <f>IF($B2732="Portfolio","Portfolio",IFERROR(INDEX(DATA_ASSET_CLASSIFICATION!$B$8:$B$24,MATCH($C2732,DATA_ASSET_CLASSIFICATION!$A$8:$A$24,0)),"Review"))</f>
        <v>Margaret Heights</v>
      </c>
      <c r="N2732" s="350" t="str">
        <f ca="1">IF($B2732="Portfolio","Portfolio",IFERROR(INDEX(DATA_ASSET_CLASSIFICATION!$U$8:$U$24,MATCH($C2732,DATA_ASSET_CLASSIFICATION!$A$8:$A$24,0)),"Review"))</f>
        <v>Refi Watch</v>
      </c>
      <c r="O2732" s="350" t="str">
        <f ca="1">IF($B2732="Portfolio","Portfolio",IFERROR(INDEX(DATA_ASSET_CLASSIFICATION!$AB$8:$AB$13,MATCH($N2732,DATA_ASSET_CLASSIFICATION!$AA$8:$AA$13,0)),"Review"))</f>
        <v>Bucket 2 · Legacy</v>
      </c>
      <c r="P2732" s="350" t="str">
        <f>IF($B2732="Portfolio","Portfolio",IFERROR(INDEX(DATA_ASSET_CLASSIFICATION!$C$8:$C$24,MATCH($C2732,DATA_ASSET_CLASSIFICATION!$A$8:$A$24,0)),"Review"))</f>
        <v>Yes</v>
      </c>
      <c r="Q2732" s="350" t="str">
        <f t="shared" ca="1" si="85"/>
        <v>OK</v>
      </c>
    </row>
    <row r="2733" spans="1:17">
      <c r="A2733" s="366" t="s">
        <v>4689</v>
      </c>
      <c r="B2733" s="366" t="s">
        <v>231</v>
      </c>
      <c r="C2733" s="348" t="str">
        <f>DATA_PROPERTY_MASTER!$A$13</f>
        <v>BLD_MH</v>
      </c>
      <c r="D2733" s="380">
        <f>'00_PORTFOLIO ROLLUP'!L$12</f>
        <v>2032</v>
      </c>
      <c r="E2733" s="366" t="s">
        <v>1683</v>
      </c>
      <c r="F2733" s="366" t="s">
        <v>29</v>
      </c>
      <c r="G2733" s="348" t="str">
        <f>"'"&amp;$C2733&amp;"'!$E$56:$Y$56"</f>
        <v>'BLD_MH'!$E$56:$Y$56</v>
      </c>
      <c r="H2733" s="381">
        <f ca="1">IF(IFERROR(INDEX(DATA_PROPERTY_MASTER!$E$5:$E$21,MATCH($C2733,DATA_PROPERTY_MASTER!$A$5:$A$21,0))="Yes",FALSE),IFERROR(INDEX(INDIRECT("'"&amp;$C2733&amp;"'!$E$56:$Y$56"),1,MATCH($D2733,INDIRECT("'"&amp;$C2733&amp;"'!$E$12:$Y$12"),0)),0),0)</f>
        <v>84371.809066478236</v>
      </c>
      <c r="I2733" s="366" t="s">
        <v>1685</v>
      </c>
      <c r="J2733" s="348" t="str">
        <f t="shared" ca="1" si="84"/>
        <v>OK</v>
      </c>
      <c r="K2733" s="366" t="s">
        <v>1718</v>
      </c>
      <c r="L2733" s="366" t="s">
        <v>2250</v>
      </c>
      <c r="M2733" s="350" t="str">
        <f>IF($B2733="Portfolio","Portfolio",IFERROR(INDEX(DATA_ASSET_CLASSIFICATION!$B$8:$B$24,MATCH($C2733,DATA_ASSET_CLASSIFICATION!$A$8:$A$24,0)),"Review"))</f>
        <v>Margaret Heights</v>
      </c>
      <c r="N2733" s="350" t="str">
        <f ca="1">IF($B2733="Portfolio","Portfolio",IFERROR(INDEX(DATA_ASSET_CLASSIFICATION!$U$8:$U$24,MATCH($C2733,DATA_ASSET_CLASSIFICATION!$A$8:$A$24,0)),"Review"))</f>
        <v>Refi Watch</v>
      </c>
      <c r="O2733" s="350" t="str">
        <f ca="1">IF($B2733="Portfolio","Portfolio",IFERROR(INDEX(DATA_ASSET_CLASSIFICATION!$AB$8:$AB$13,MATCH($N2733,DATA_ASSET_CLASSIFICATION!$AA$8:$AA$13,0)),"Review"))</f>
        <v>Bucket 2 · Legacy</v>
      </c>
      <c r="P2733" s="350" t="str">
        <f>IF($B2733="Portfolio","Portfolio",IFERROR(INDEX(DATA_ASSET_CLASSIFICATION!$C$8:$C$24,MATCH($C2733,DATA_ASSET_CLASSIFICATION!$A$8:$A$24,0)),"Review"))</f>
        <v>Yes</v>
      </c>
      <c r="Q2733" s="350" t="str">
        <f t="shared" ca="1" si="85"/>
        <v>OK</v>
      </c>
    </row>
    <row r="2734" spans="1:17">
      <c r="A2734" s="366" t="s">
        <v>4690</v>
      </c>
      <c r="B2734" s="366" t="s">
        <v>231</v>
      </c>
      <c r="C2734" s="348" t="str">
        <f>DATA_PROPERTY_MASTER!$A$13</f>
        <v>BLD_MH</v>
      </c>
      <c r="D2734" s="380">
        <f>'00_PORTFOLIO ROLLUP'!L$12</f>
        <v>2032</v>
      </c>
      <c r="E2734" s="366" t="s">
        <v>1721</v>
      </c>
      <c r="F2734" s="366" t="s">
        <v>31</v>
      </c>
      <c r="G2734" s="348" t="str">
        <f>"'"&amp;$C2734&amp;"'!$E$61:$Y$61"</f>
        <v>'BLD_MH'!$E$61:$Y$61</v>
      </c>
      <c r="H2734" s="381">
        <f ca="1">IF(IFERROR(INDEX(DATA_PROPERTY_MASTER!$E$5:$E$21,MATCH($C2734,DATA_PROPERTY_MASTER!$A$5:$A$21,0))="Yes",FALSE),IFERROR(INDEX(INDIRECT("'"&amp;$C2734&amp;"'!$E$61:$Y$61"),1,MATCH($D2734,INDIRECT("'"&amp;$C2734&amp;"'!$E$12:$Y$12"),0)),0),0)</f>
        <v>0</v>
      </c>
      <c r="I2734" s="366" t="s">
        <v>1690</v>
      </c>
      <c r="J2734" s="348" t="str">
        <f t="shared" ca="1" si="84"/>
        <v>OK</v>
      </c>
      <c r="K2734" s="366" t="s">
        <v>1723</v>
      </c>
      <c r="L2734" s="366" t="s">
        <v>2252</v>
      </c>
      <c r="M2734" s="350" t="str">
        <f>IF($B2734="Portfolio","Portfolio",IFERROR(INDEX(DATA_ASSET_CLASSIFICATION!$B$8:$B$24,MATCH($C2734,DATA_ASSET_CLASSIFICATION!$A$8:$A$24,0)),"Review"))</f>
        <v>Margaret Heights</v>
      </c>
      <c r="N2734" s="350" t="str">
        <f ca="1">IF($B2734="Portfolio","Portfolio",IFERROR(INDEX(DATA_ASSET_CLASSIFICATION!$U$8:$U$24,MATCH($C2734,DATA_ASSET_CLASSIFICATION!$A$8:$A$24,0)),"Review"))</f>
        <v>Refi Watch</v>
      </c>
      <c r="O2734" s="350" t="str">
        <f ca="1">IF($B2734="Portfolio","Portfolio",IFERROR(INDEX(DATA_ASSET_CLASSIFICATION!$AB$8:$AB$13,MATCH($N2734,DATA_ASSET_CLASSIFICATION!$AA$8:$AA$13,0)),"Review"))</f>
        <v>Bucket 2 · Legacy</v>
      </c>
      <c r="P2734" s="350" t="str">
        <f>IF($B2734="Portfolio","Portfolio",IFERROR(INDEX(DATA_ASSET_CLASSIFICATION!$C$8:$C$24,MATCH($C2734,DATA_ASSET_CLASSIFICATION!$A$8:$A$24,0)),"Review"))</f>
        <v>Yes</v>
      </c>
      <c r="Q2734" s="350" t="str">
        <f t="shared" ca="1" si="85"/>
        <v>OK</v>
      </c>
    </row>
    <row r="2735" spans="1:17">
      <c r="A2735" s="366" t="s">
        <v>4691</v>
      </c>
      <c r="B2735" s="366" t="s">
        <v>231</v>
      </c>
      <c r="C2735" s="348" t="str">
        <f>DATA_PROPERTY_MASTER!$A$13</f>
        <v>BLD_MH</v>
      </c>
      <c r="D2735" s="380">
        <f>'00_PORTFOLIO ROLLUP'!L$12</f>
        <v>2032</v>
      </c>
      <c r="E2735" s="366" t="s">
        <v>1721</v>
      </c>
      <c r="F2735" s="366" t="s">
        <v>33</v>
      </c>
      <c r="G2735" s="348" t="str">
        <f>"'"&amp;$C2735&amp;"'!$E$62:$Y$62"</f>
        <v>'BLD_MH'!$E$62:$Y$62</v>
      </c>
      <c r="H2735" s="381">
        <f ca="1">IF(IFERROR(INDEX(DATA_PROPERTY_MASTER!$E$5:$E$21,MATCH($C2735,DATA_PROPERTY_MASTER!$A$5:$A$21,0))="Yes",FALSE),IFERROR(INDEX(INDIRECT("'"&amp;$C2735&amp;"'!$E$62:$Y$62"),1,MATCH($D2735,INDIRECT("'"&amp;$C2735&amp;"'!$E$12:$Y$12"),0)),0),0)</f>
        <v>0</v>
      </c>
      <c r="I2735" s="366" t="s">
        <v>1685</v>
      </c>
      <c r="J2735" s="348" t="str">
        <f t="shared" ca="1" si="84"/>
        <v>OK</v>
      </c>
      <c r="K2735" s="366" t="s">
        <v>1727</v>
      </c>
      <c r="L2735" s="366" t="s">
        <v>2254</v>
      </c>
      <c r="M2735" s="350" t="str">
        <f>IF($B2735="Portfolio","Portfolio",IFERROR(INDEX(DATA_ASSET_CLASSIFICATION!$B$8:$B$24,MATCH($C2735,DATA_ASSET_CLASSIFICATION!$A$8:$A$24,0)),"Review"))</f>
        <v>Margaret Heights</v>
      </c>
      <c r="N2735" s="350" t="str">
        <f ca="1">IF($B2735="Portfolio","Portfolio",IFERROR(INDEX(DATA_ASSET_CLASSIFICATION!$U$8:$U$24,MATCH($C2735,DATA_ASSET_CLASSIFICATION!$A$8:$A$24,0)),"Review"))</f>
        <v>Refi Watch</v>
      </c>
      <c r="O2735" s="350" t="str">
        <f ca="1">IF($B2735="Portfolio","Portfolio",IFERROR(INDEX(DATA_ASSET_CLASSIFICATION!$AB$8:$AB$13,MATCH($N2735,DATA_ASSET_CLASSIFICATION!$AA$8:$AA$13,0)),"Review"))</f>
        <v>Bucket 2 · Legacy</v>
      </c>
      <c r="P2735" s="350" t="str">
        <f>IF($B2735="Portfolio","Portfolio",IFERROR(INDEX(DATA_ASSET_CLASSIFICATION!$C$8:$C$24,MATCH($C2735,DATA_ASSET_CLASSIFICATION!$A$8:$A$24,0)),"Review"))</f>
        <v>Yes</v>
      </c>
      <c r="Q2735" s="350" t="str">
        <f t="shared" ca="1" si="85"/>
        <v>OK</v>
      </c>
    </row>
    <row r="2736" spans="1:17">
      <c r="A2736" s="366" t="s">
        <v>4692</v>
      </c>
      <c r="B2736" s="366" t="s">
        <v>231</v>
      </c>
      <c r="C2736" s="348" t="str">
        <f>DATA_PROPERTY_MASTER!$A$13</f>
        <v>BLD_MH</v>
      </c>
      <c r="D2736" s="380">
        <f>'00_PORTFOLIO ROLLUP'!L$12</f>
        <v>2032</v>
      </c>
      <c r="E2736" s="366" t="s">
        <v>1721</v>
      </c>
      <c r="F2736" s="366" t="s">
        <v>35</v>
      </c>
      <c r="G2736" s="348" t="str">
        <f>"'"&amp;$C2736&amp;"'!$E$63:$Y$63"</f>
        <v>'BLD_MH'!$E$63:$Y$63</v>
      </c>
      <c r="H2736" s="381">
        <f ca="1">IF(IFERROR(INDEX(DATA_PROPERTY_MASTER!$E$5:$E$21,MATCH($C2736,DATA_PROPERTY_MASTER!$A$5:$A$21,0))="Yes",FALSE),IFERROR(INDEX(INDIRECT("'"&amp;$C2736&amp;"'!$E$63:$Y$63"),1,MATCH($D2736,INDIRECT("'"&amp;$C2736&amp;"'!$E$12:$Y$12"),0)),0),0)</f>
        <v>0</v>
      </c>
      <c r="I2736" s="366" t="s">
        <v>1731</v>
      </c>
      <c r="J2736" s="348" t="str">
        <f t="shared" ca="1" si="84"/>
        <v>OK</v>
      </c>
      <c r="K2736" s="366" t="s">
        <v>1732</v>
      </c>
      <c r="L2736" s="366" t="s">
        <v>2256</v>
      </c>
      <c r="M2736" s="350" t="str">
        <f>IF($B2736="Portfolio","Portfolio",IFERROR(INDEX(DATA_ASSET_CLASSIFICATION!$B$8:$B$24,MATCH($C2736,DATA_ASSET_CLASSIFICATION!$A$8:$A$24,0)),"Review"))</f>
        <v>Margaret Heights</v>
      </c>
      <c r="N2736" s="350" t="str">
        <f ca="1">IF($B2736="Portfolio","Portfolio",IFERROR(INDEX(DATA_ASSET_CLASSIFICATION!$U$8:$U$24,MATCH($C2736,DATA_ASSET_CLASSIFICATION!$A$8:$A$24,0)),"Review"))</f>
        <v>Refi Watch</v>
      </c>
      <c r="O2736" s="350" t="str">
        <f ca="1">IF($B2736="Portfolio","Portfolio",IFERROR(INDEX(DATA_ASSET_CLASSIFICATION!$AB$8:$AB$13,MATCH($N2736,DATA_ASSET_CLASSIFICATION!$AA$8:$AA$13,0)),"Review"))</f>
        <v>Bucket 2 · Legacy</v>
      </c>
      <c r="P2736" s="350" t="str">
        <f>IF($B2736="Portfolio","Portfolio",IFERROR(INDEX(DATA_ASSET_CLASSIFICATION!$C$8:$C$24,MATCH($C2736,DATA_ASSET_CLASSIFICATION!$A$8:$A$24,0)),"Review"))</f>
        <v>Yes</v>
      </c>
      <c r="Q2736" s="350" t="str">
        <f t="shared" ca="1" si="85"/>
        <v>OK</v>
      </c>
    </row>
    <row r="2737" spans="1:17">
      <c r="A2737" s="366" t="s">
        <v>4693</v>
      </c>
      <c r="B2737" s="366" t="s">
        <v>231</v>
      </c>
      <c r="C2737" s="348" t="str">
        <f>DATA_PROPERTY_MASTER!$A$13</f>
        <v>BLD_MH</v>
      </c>
      <c r="D2737" s="380">
        <f>'00_PORTFOLIO ROLLUP'!L$12</f>
        <v>2032</v>
      </c>
      <c r="E2737" s="366" t="s">
        <v>1721</v>
      </c>
      <c r="F2737" s="366" t="s">
        <v>37</v>
      </c>
      <c r="G2737" s="348" t="str">
        <f>"'"&amp;$C2737&amp;"'!$E$63:$Y$63"</f>
        <v>'BLD_MH'!$E$63:$Y$63</v>
      </c>
      <c r="H2737" s="381">
        <f ca="1">IF(IFERROR(INDEX(DATA_PROPERTY_MASTER!$E$5:$E$21,MATCH($C2737,DATA_PROPERTY_MASTER!$A$5:$A$21,0))="Yes",FALSE),MAX(IFERROR(INDEX(INDIRECT("'"&amp;$C2737&amp;"'!$E$63:$Y$63"),1,MATCH($D2737,INDIRECT("'"&amp;$C2737&amp;"'!$E$12:$Y$12"),0)),0),0),0)</f>
        <v>0</v>
      </c>
      <c r="I2737" s="366" t="s">
        <v>1685</v>
      </c>
      <c r="J2737" s="348" t="str">
        <f t="shared" ca="1" si="84"/>
        <v>OK</v>
      </c>
      <c r="K2737" s="366" t="s">
        <v>1735</v>
      </c>
      <c r="L2737" s="366" t="s">
        <v>2258</v>
      </c>
      <c r="M2737" s="350" t="str">
        <f>IF($B2737="Portfolio","Portfolio",IFERROR(INDEX(DATA_ASSET_CLASSIFICATION!$B$8:$B$24,MATCH($C2737,DATA_ASSET_CLASSIFICATION!$A$8:$A$24,0)),"Review"))</f>
        <v>Margaret Heights</v>
      </c>
      <c r="N2737" s="350" t="str">
        <f ca="1">IF($B2737="Portfolio","Portfolio",IFERROR(INDEX(DATA_ASSET_CLASSIFICATION!$U$8:$U$24,MATCH($C2737,DATA_ASSET_CLASSIFICATION!$A$8:$A$24,0)),"Review"))</f>
        <v>Refi Watch</v>
      </c>
      <c r="O2737" s="350" t="str">
        <f ca="1">IF($B2737="Portfolio","Portfolio",IFERROR(INDEX(DATA_ASSET_CLASSIFICATION!$AB$8:$AB$13,MATCH($N2737,DATA_ASSET_CLASSIFICATION!$AA$8:$AA$13,0)),"Review"))</f>
        <v>Bucket 2 · Legacy</v>
      </c>
      <c r="P2737" s="350" t="str">
        <f>IF($B2737="Portfolio","Portfolio",IFERROR(INDEX(DATA_ASSET_CLASSIFICATION!$C$8:$C$24,MATCH($C2737,DATA_ASSET_CLASSIFICATION!$A$8:$A$24,0)),"Review"))</f>
        <v>Yes</v>
      </c>
      <c r="Q2737" s="350" t="str">
        <f t="shared" ca="1" si="85"/>
        <v>OK</v>
      </c>
    </row>
    <row r="2738" spans="1:17">
      <c r="A2738" s="366" t="s">
        <v>4694</v>
      </c>
      <c r="B2738" s="366" t="s">
        <v>231</v>
      </c>
      <c r="C2738" s="348" t="str">
        <f>DATA_PROPERTY_MASTER!$A$13</f>
        <v>BLD_MH</v>
      </c>
      <c r="D2738" s="380">
        <f>'00_PORTFOLIO ROLLUP'!L$12</f>
        <v>2032</v>
      </c>
      <c r="E2738" s="366" t="s">
        <v>1721</v>
      </c>
      <c r="F2738" s="366" t="s">
        <v>39</v>
      </c>
      <c r="G2738" s="348" t="str">
        <f>"'"&amp;$C2738&amp;"'!$E$63:$Y$63"</f>
        <v>'BLD_MH'!$E$63:$Y$63</v>
      </c>
      <c r="H2738" s="381">
        <f ca="1">IF(IFERROR(INDEX(DATA_PROPERTY_MASTER!$E$5:$E$21,MATCH($C2738,DATA_PROPERTY_MASTER!$A$5:$A$21,0))="Yes",FALSE),MAX(-IFERROR(INDEX(INDIRECT("'"&amp;$C2738&amp;"'!$E$63:$Y$63"),1,MATCH($D2738,INDIRECT("'"&amp;$C2738&amp;"'!$E$12:$Y$12"),0)),0),0),0)</f>
        <v>0</v>
      </c>
      <c r="I2738" s="366" t="s">
        <v>1690</v>
      </c>
      <c r="J2738" s="348" t="str">
        <f t="shared" ca="1" si="84"/>
        <v>OK</v>
      </c>
      <c r="K2738" s="366" t="s">
        <v>1738</v>
      </c>
      <c r="L2738" s="366" t="s">
        <v>2260</v>
      </c>
      <c r="M2738" s="350" t="str">
        <f>IF($B2738="Portfolio","Portfolio",IFERROR(INDEX(DATA_ASSET_CLASSIFICATION!$B$8:$B$24,MATCH($C2738,DATA_ASSET_CLASSIFICATION!$A$8:$A$24,0)),"Review"))</f>
        <v>Margaret Heights</v>
      </c>
      <c r="N2738" s="350" t="str">
        <f ca="1">IF($B2738="Portfolio","Portfolio",IFERROR(INDEX(DATA_ASSET_CLASSIFICATION!$U$8:$U$24,MATCH($C2738,DATA_ASSET_CLASSIFICATION!$A$8:$A$24,0)),"Review"))</f>
        <v>Refi Watch</v>
      </c>
      <c r="O2738" s="350" t="str">
        <f ca="1">IF($B2738="Portfolio","Portfolio",IFERROR(INDEX(DATA_ASSET_CLASSIFICATION!$AB$8:$AB$13,MATCH($N2738,DATA_ASSET_CLASSIFICATION!$AA$8:$AA$13,0)),"Review"))</f>
        <v>Bucket 2 · Legacy</v>
      </c>
      <c r="P2738" s="350" t="str">
        <f>IF($B2738="Portfolio","Portfolio",IFERROR(INDEX(DATA_ASSET_CLASSIFICATION!$C$8:$C$24,MATCH($C2738,DATA_ASSET_CLASSIFICATION!$A$8:$A$24,0)),"Review"))</f>
        <v>Yes</v>
      </c>
      <c r="Q2738" s="350" t="str">
        <f t="shared" ca="1" si="85"/>
        <v>OK</v>
      </c>
    </row>
    <row r="2739" spans="1:17">
      <c r="A2739" s="366" t="s">
        <v>4695</v>
      </c>
      <c r="B2739" s="366" t="s">
        <v>231</v>
      </c>
      <c r="C2739" s="348" t="str">
        <f>DATA_PROPERTY_MASTER!$A$13</f>
        <v>BLD_MH</v>
      </c>
      <c r="D2739" s="380">
        <f>'00_PORTFOLIO ROLLUP'!L$12</f>
        <v>2032</v>
      </c>
      <c r="E2739" s="366" t="s">
        <v>1741</v>
      </c>
      <c r="F2739" s="366" t="s">
        <v>41</v>
      </c>
      <c r="G2739" s="348" t="str">
        <f>"'"&amp;$C2739&amp;"'!rows 56 + positive row 63"</f>
        <v>'BLD_MH'!rows 56 + positive row 63</v>
      </c>
      <c r="H2739" s="381">
        <f ca="1">IF(IFERROR(INDEX(DATA_PROPERTY_MASTER!$E$5:$E$21,MATCH($C2739,DATA_PROPERTY_MASTER!$A$5:$A$21,0))="Yes",FALSE),IFERROR(INDEX(INDIRECT("'"&amp;$C2739&amp;"'!$E$56:$Y$56"),1,MATCH($D2739,INDIRECT("'"&amp;$C2739&amp;"'!$E$12:$Y$12"),0)),0)+MAX(IFERROR(INDEX(INDIRECT("'"&amp;$C2739&amp;"'!$E$63:$Y$63"),1,MATCH($D2739,INDIRECT("'"&amp;$C2739&amp;"'!$E$12:$Y$12"),0)),0),0),0)</f>
        <v>84371.809066478236</v>
      </c>
      <c r="I2739" s="366" t="s">
        <v>1685</v>
      </c>
      <c r="J2739" s="348" t="str">
        <f t="shared" ca="1" si="84"/>
        <v>OK</v>
      </c>
      <c r="K2739" s="366" t="s">
        <v>1742</v>
      </c>
      <c r="L2739" s="366" t="s">
        <v>2262</v>
      </c>
      <c r="M2739" s="350" t="str">
        <f>IF($B2739="Portfolio","Portfolio",IFERROR(INDEX(DATA_ASSET_CLASSIFICATION!$B$8:$B$24,MATCH($C2739,DATA_ASSET_CLASSIFICATION!$A$8:$A$24,0)),"Review"))</f>
        <v>Margaret Heights</v>
      </c>
      <c r="N2739" s="350" t="str">
        <f ca="1">IF($B2739="Portfolio","Portfolio",IFERROR(INDEX(DATA_ASSET_CLASSIFICATION!$U$8:$U$24,MATCH($C2739,DATA_ASSET_CLASSIFICATION!$A$8:$A$24,0)),"Review"))</f>
        <v>Refi Watch</v>
      </c>
      <c r="O2739" s="350" t="str">
        <f ca="1">IF($B2739="Portfolio","Portfolio",IFERROR(INDEX(DATA_ASSET_CLASSIFICATION!$AB$8:$AB$13,MATCH($N2739,DATA_ASSET_CLASSIFICATION!$AA$8:$AA$13,0)),"Review"))</f>
        <v>Bucket 2 · Legacy</v>
      </c>
      <c r="P2739" s="350" t="str">
        <f>IF($B2739="Portfolio","Portfolio",IFERROR(INDEX(DATA_ASSET_CLASSIFICATION!$C$8:$C$24,MATCH($C2739,DATA_ASSET_CLASSIFICATION!$A$8:$A$24,0)),"Review"))</f>
        <v>Yes</v>
      </c>
      <c r="Q2739" s="350" t="str">
        <f t="shared" ca="1" si="85"/>
        <v>OK</v>
      </c>
    </row>
    <row r="2740" spans="1:17">
      <c r="A2740" s="366" t="s">
        <v>4696</v>
      </c>
      <c r="B2740" s="366" t="s">
        <v>231</v>
      </c>
      <c r="C2740" s="348" t="str">
        <f>DATA_PROPERTY_MASTER!$A$13</f>
        <v>BLD_MH</v>
      </c>
      <c r="D2740" s="380">
        <f>'00_PORTFOLIO ROLLUP'!L$12</f>
        <v>2032</v>
      </c>
      <c r="E2740" s="366" t="s">
        <v>1741</v>
      </c>
      <c r="F2740" s="366" t="s">
        <v>43</v>
      </c>
      <c r="G2740" s="348" t="str">
        <f>"'"&amp;$C2740&amp;"'!$E$68:$Y$68"</f>
        <v>'BLD_MH'!$E$68:$Y$68</v>
      </c>
      <c r="H2740" s="381">
        <f ca="1">IF(IFERROR(INDEX(DATA_PROPERTY_MASTER!$E$5:$E$21,MATCH($C2740,DATA_PROPERTY_MASTER!$A$5:$A$21,0))="Yes",FALSE),IFERROR(INDEX(INDIRECT("'"&amp;$C2740&amp;"'!$E$68:$Y$68"),1,MATCH($D2740,INDIRECT("'"&amp;$C2740&amp;"'!$E$12:$Y$12"),0)),0),0)</f>
        <v>84371.809066478236</v>
      </c>
      <c r="I2740" s="366" t="s">
        <v>1731</v>
      </c>
      <c r="J2740" s="348" t="str">
        <f t="shared" ca="1" si="84"/>
        <v>OK</v>
      </c>
      <c r="K2740" s="366" t="s">
        <v>1746</v>
      </c>
      <c r="L2740" s="366" t="s">
        <v>2264</v>
      </c>
      <c r="M2740" s="350" t="str">
        <f>IF($B2740="Portfolio","Portfolio",IFERROR(INDEX(DATA_ASSET_CLASSIFICATION!$B$8:$B$24,MATCH($C2740,DATA_ASSET_CLASSIFICATION!$A$8:$A$24,0)),"Review"))</f>
        <v>Margaret Heights</v>
      </c>
      <c r="N2740" s="350" t="str">
        <f ca="1">IF($B2740="Portfolio","Portfolio",IFERROR(INDEX(DATA_ASSET_CLASSIFICATION!$U$8:$U$24,MATCH($C2740,DATA_ASSET_CLASSIFICATION!$A$8:$A$24,0)),"Review"))</f>
        <v>Refi Watch</v>
      </c>
      <c r="O2740" s="350" t="str">
        <f ca="1">IF($B2740="Portfolio","Portfolio",IFERROR(INDEX(DATA_ASSET_CLASSIFICATION!$AB$8:$AB$13,MATCH($N2740,DATA_ASSET_CLASSIFICATION!$AA$8:$AA$13,0)),"Review"))</f>
        <v>Bucket 2 · Legacy</v>
      </c>
      <c r="P2740" s="350" t="str">
        <f>IF($B2740="Portfolio","Portfolio",IFERROR(INDEX(DATA_ASSET_CLASSIFICATION!$C$8:$C$24,MATCH($C2740,DATA_ASSET_CLASSIFICATION!$A$8:$A$24,0)),"Review"))</f>
        <v>Yes</v>
      </c>
      <c r="Q2740" s="350" t="str">
        <f t="shared" ca="1" si="85"/>
        <v>OK</v>
      </c>
    </row>
    <row r="2741" spans="1:17">
      <c r="A2741" s="366" t="s">
        <v>4697</v>
      </c>
      <c r="B2741" s="366" t="s">
        <v>231</v>
      </c>
      <c r="C2741" s="348" t="str">
        <f>DATA_PROPERTY_MASTER!$A$13</f>
        <v>BLD_MH</v>
      </c>
      <c r="D2741" s="380">
        <f>'00_PORTFOLIO ROLLUP'!L$12</f>
        <v>2032</v>
      </c>
      <c r="E2741" s="366" t="s">
        <v>1741</v>
      </c>
      <c r="F2741" s="366" t="s">
        <v>1749</v>
      </c>
      <c r="G2741" s="348" t="str">
        <f>"'"&amp;$C2741&amp;"'!rows 56, 63, 68"</f>
        <v>'BLD_MH'!rows 56, 63, 68</v>
      </c>
      <c r="H2741" s="381">
        <f ca="1">IF(IFERROR(INDEX(DATA_PROPERTY_MASTER!$E$5:$E$21,MATCH($C2741,DATA_PROPERTY_MASTER!$A$5:$A$21,0))="Yes",FALSE),(IFERROR(INDEX(INDIRECT("'"&amp;$C2741&amp;"'!$E$56:$Y$56"),1,MATCH($D2741,INDIRECT("'"&amp;$C2741&amp;"'!$E$12:$Y$12"),0)),0)+MAX(IFERROR(INDEX(INDIRECT("'"&amp;$C2741&amp;"'!$E$63:$Y$63"),1,MATCH($D2741,INDIRECT("'"&amp;$C2741&amp;"'!$E$12:$Y$12"),0)),0),0))-(IFERROR(INDEX(INDIRECT("'"&amp;$C2741&amp;"'!$E$68:$Y$68"),1,MATCH($D2741,INDIRECT("'"&amp;$C2741&amp;"'!$E$12:$Y$12"),0)),0)),0)</f>
        <v>0</v>
      </c>
      <c r="I2741" s="366" t="s">
        <v>1750</v>
      </c>
      <c r="J2741" s="348" t="str">
        <f t="shared" ca="1" si="84"/>
        <v>OK</v>
      </c>
      <c r="K2741" s="366" t="s">
        <v>1751</v>
      </c>
      <c r="L2741" s="366" t="s">
        <v>2266</v>
      </c>
      <c r="M2741" s="350" t="str">
        <f>IF($B2741="Portfolio","Portfolio",IFERROR(INDEX(DATA_ASSET_CLASSIFICATION!$B$8:$B$24,MATCH($C2741,DATA_ASSET_CLASSIFICATION!$A$8:$A$24,0)),"Review"))</f>
        <v>Margaret Heights</v>
      </c>
      <c r="N2741" s="350" t="str">
        <f ca="1">IF($B2741="Portfolio","Portfolio",IFERROR(INDEX(DATA_ASSET_CLASSIFICATION!$U$8:$U$24,MATCH($C2741,DATA_ASSET_CLASSIFICATION!$A$8:$A$24,0)),"Review"))</f>
        <v>Refi Watch</v>
      </c>
      <c r="O2741" s="350" t="str">
        <f ca="1">IF($B2741="Portfolio","Portfolio",IFERROR(INDEX(DATA_ASSET_CLASSIFICATION!$AB$8:$AB$13,MATCH($N2741,DATA_ASSET_CLASSIFICATION!$AA$8:$AA$13,0)),"Review"))</f>
        <v>Bucket 2 · Legacy</v>
      </c>
      <c r="P2741" s="350" t="str">
        <f>IF($B2741="Portfolio","Portfolio",IFERROR(INDEX(DATA_ASSET_CLASSIFICATION!$C$8:$C$24,MATCH($C2741,DATA_ASSET_CLASSIFICATION!$A$8:$A$24,0)),"Review"))</f>
        <v>Yes</v>
      </c>
      <c r="Q2741" s="350" t="str">
        <f t="shared" ca="1" si="85"/>
        <v>OK</v>
      </c>
    </row>
    <row r="2742" spans="1:17">
      <c r="A2742" s="366" t="s">
        <v>4698</v>
      </c>
      <c r="B2742" s="366" t="s">
        <v>231</v>
      </c>
      <c r="C2742" s="348" t="str">
        <f>DATA_PROPERTY_MASTER!$A$13</f>
        <v>BLD_MH</v>
      </c>
      <c r="D2742" s="380">
        <f>'00_PORTFOLIO ROLLUP'!M$12</f>
        <v>2033</v>
      </c>
      <c r="E2742" s="366" t="s">
        <v>1683</v>
      </c>
      <c r="F2742" s="366" t="s">
        <v>341</v>
      </c>
      <c r="G2742" s="348" t="str">
        <f>"'"&amp;$C2742&amp;"'!$E$24:$Y$24"</f>
        <v>'BLD_MH'!$E$24:$Y$24</v>
      </c>
      <c r="H2742" s="381">
        <f ca="1">IF(IFERROR(INDEX(DATA_PROPERTY_MASTER!$E$5:$E$21,MATCH($C2742,DATA_PROPERTY_MASTER!$A$5:$A$21,0))="Yes",FALSE),IFERROR(INDEX(INDIRECT("'"&amp;$C2742&amp;"'!$E$24:$Y$24"),1,MATCH($D2742,INDIRECT("'"&amp;$C2742&amp;"'!$E$12:$Y$12"),0)),0),0)</f>
        <v>462492.65056099242</v>
      </c>
      <c r="I2742" s="366" t="s">
        <v>1685</v>
      </c>
      <c r="J2742" s="348" t="str">
        <f t="shared" ca="1" si="84"/>
        <v>OK</v>
      </c>
      <c r="K2742" s="366" t="s">
        <v>1686</v>
      </c>
      <c r="L2742" s="366" t="s">
        <v>2234</v>
      </c>
      <c r="M2742" s="350" t="str">
        <f>IF($B2742="Portfolio","Portfolio",IFERROR(INDEX(DATA_ASSET_CLASSIFICATION!$B$8:$B$24,MATCH($C2742,DATA_ASSET_CLASSIFICATION!$A$8:$A$24,0)),"Review"))</f>
        <v>Margaret Heights</v>
      </c>
      <c r="N2742" s="350" t="str">
        <f ca="1">IF($B2742="Portfolio","Portfolio",IFERROR(INDEX(DATA_ASSET_CLASSIFICATION!$U$8:$U$24,MATCH($C2742,DATA_ASSET_CLASSIFICATION!$A$8:$A$24,0)),"Review"))</f>
        <v>Refi Watch</v>
      </c>
      <c r="O2742" s="350" t="str">
        <f ca="1">IF($B2742="Portfolio","Portfolio",IFERROR(INDEX(DATA_ASSET_CLASSIFICATION!$AB$8:$AB$13,MATCH($N2742,DATA_ASSET_CLASSIFICATION!$AA$8:$AA$13,0)),"Review"))</f>
        <v>Bucket 2 · Legacy</v>
      </c>
      <c r="P2742" s="350" t="str">
        <f>IF($B2742="Portfolio","Portfolio",IFERROR(INDEX(DATA_ASSET_CLASSIFICATION!$C$8:$C$24,MATCH($C2742,DATA_ASSET_CLASSIFICATION!$A$8:$A$24,0)),"Review"))</f>
        <v>Yes</v>
      </c>
      <c r="Q2742" s="350" t="str">
        <f t="shared" ca="1" si="85"/>
        <v>OK</v>
      </c>
    </row>
    <row r="2743" spans="1:17">
      <c r="A2743" s="366" t="s">
        <v>4699</v>
      </c>
      <c r="B2743" s="366" t="s">
        <v>231</v>
      </c>
      <c r="C2743" s="348" t="str">
        <f>DATA_PROPERTY_MASTER!$A$13</f>
        <v>BLD_MH</v>
      </c>
      <c r="D2743" s="380">
        <f>'00_PORTFOLIO ROLLUP'!M$12</f>
        <v>2033</v>
      </c>
      <c r="E2743" s="366" t="s">
        <v>1683</v>
      </c>
      <c r="F2743" s="366" t="s">
        <v>355</v>
      </c>
      <c r="G2743" s="348" t="str">
        <f>"'"&amp;$C2743&amp;"'!$E$39:$Y$39"</f>
        <v>'BLD_MH'!$E$39:$Y$39</v>
      </c>
      <c r="H2743" s="381">
        <f ca="1">IF(IFERROR(INDEX(DATA_PROPERTY_MASTER!$E$5:$E$21,MATCH($C2743,DATA_PROPERTY_MASTER!$A$5:$A$21,0))="Yes",FALSE),IFERROR(INDEX(INDIRECT("'"&amp;$C2743&amp;"'!$E$39:$Y$39"),1,MATCH($D2743,INDIRECT("'"&amp;$C2743&amp;"'!$E$12:$Y$12"),0)),0),0)</f>
        <v>252194.4303324823</v>
      </c>
      <c r="I2743" s="366" t="s">
        <v>1690</v>
      </c>
      <c r="J2743" s="348" t="str">
        <f t="shared" ca="1" si="84"/>
        <v>OK</v>
      </c>
      <c r="K2743" s="366" t="s">
        <v>1686</v>
      </c>
      <c r="L2743" s="366" t="s">
        <v>2236</v>
      </c>
      <c r="M2743" s="350" t="str">
        <f>IF($B2743="Portfolio","Portfolio",IFERROR(INDEX(DATA_ASSET_CLASSIFICATION!$B$8:$B$24,MATCH($C2743,DATA_ASSET_CLASSIFICATION!$A$8:$A$24,0)),"Review"))</f>
        <v>Margaret Heights</v>
      </c>
      <c r="N2743" s="350" t="str">
        <f ca="1">IF($B2743="Portfolio","Portfolio",IFERROR(INDEX(DATA_ASSET_CLASSIFICATION!$U$8:$U$24,MATCH($C2743,DATA_ASSET_CLASSIFICATION!$A$8:$A$24,0)),"Review"))</f>
        <v>Refi Watch</v>
      </c>
      <c r="O2743" s="350" t="str">
        <f ca="1">IF($B2743="Portfolio","Portfolio",IFERROR(INDEX(DATA_ASSET_CLASSIFICATION!$AB$8:$AB$13,MATCH($N2743,DATA_ASSET_CLASSIFICATION!$AA$8:$AA$13,0)),"Review"))</f>
        <v>Bucket 2 · Legacy</v>
      </c>
      <c r="P2743" s="350" t="str">
        <f>IF($B2743="Portfolio","Portfolio",IFERROR(INDEX(DATA_ASSET_CLASSIFICATION!$C$8:$C$24,MATCH($C2743,DATA_ASSET_CLASSIFICATION!$A$8:$A$24,0)),"Review"))</f>
        <v>Yes</v>
      </c>
      <c r="Q2743" s="350" t="str">
        <f t="shared" ca="1" si="85"/>
        <v>OK</v>
      </c>
    </row>
    <row r="2744" spans="1:17">
      <c r="A2744" s="366" t="s">
        <v>4700</v>
      </c>
      <c r="B2744" s="366" t="s">
        <v>231</v>
      </c>
      <c r="C2744" s="348" t="str">
        <f>DATA_PROPERTY_MASTER!$A$13</f>
        <v>BLD_MH</v>
      </c>
      <c r="D2744" s="380">
        <f>'00_PORTFOLIO ROLLUP'!M$12</f>
        <v>2033</v>
      </c>
      <c r="E2744" s="366" t="s">
        <v>1683</v>
      </c>
      <c r="F2744" s="366" t="s">
        <v>19</v>
      </c>
      <c r="G2744" s="348" t="str">
        <f>"'"&amp;$C2744&amp;"'!$E$41:$Y$41"</f>
        <v>'BLD_MH'!$E$41:$Y$41</v>
      </c>
      <c r="H2744" s="381">
        <f ca="1">IF(IFERROR(INDEX(DATA_PROPERTY_MASTER!$E$5:$E$21,MATCH($C2744,DATA_PROPERTY_MASTER!$A$5:$A$21,0))="Yes",FALSE),IFERROR(INDEX(INDIRECT("'"&amp;$C2744&amp;"'!$E$41:$Y$41"),1,MATCH($D2744,INDIRECT("'"&amp;$C2744&amp;"'!$E$12:$Y$12"),0)),0),0)</f>
        <v>210298.22022851012</v>
      </c>
      <c r="I2744" s="366" t="s">
        <v>1685</v>
      </c>
      <c r="J2744" s="348" t="str">
        <f t="shared" ca="1" si="84"/>
        <v>OK</v>
      </c>
      <c r="K2744" s="366" t="s">
        <v>1694</v>
      </c>
      <c r="L2744" s="366" t="s">
        <v>2238</v>
      </c>
      <c r="M2744" s="350" t="str">
        <f>IF($B2744="Portfolio","Portfolio",IFERROR(INDEX(DATA_ASSET_CLASSIFICATION!$B$8:$B$24,MATCH($C2744,DATA_ASSET_CLASSIFICATION!$A$8:$A$24,0)),"Review"))</f>
        <v>Margaret Heights</v>
      </c>
      <c r="N2744" s="350" t="str">
        <f ca="1">IF($B2744="Portfolio","Portfolio",IFERROR(INDEX(DATA_ASSET_CLASSIFICATION!$U$8:$U$24,MATCH($C2744,DATA_ASSET_CLASSIFICATION!$A$8:$A$24,0)),"Review"))</f>
        <v>Refi Watch</v>
      </c>
      <c r="O2744" s="350" t="str">
        <f ca="1">IF($B2744="Portfolio","Portfolio",IFERROR(INDEX(DATA_ASSET_CLASSIFICATION!$AB$8:$AB$13,MATCH($N2744,DATA_ASSET_CLASSIFICATION!$AA$8:$AA$13,0)),"Review"))</f>
        <v>Bucket 2 · Legacy</v>
      </c>
      <c r="P2744" s="350" t="str">
        <f>IF($B2744="Portfolio","Portfolio",IFERROR(INDEX(DATA_ASSET_CLASSIFICATION!$C$8:$C$24,MATCH($C2744,DATA_ASSET_CLASSIFICATION!$A$8:$A$24,0)),"Review"))</f>
        <v>Yes</v>
      </c>
      <c r="Q2744" s="350" t="str">
        <f t="shared" ca="1" si="85"/>
        <v>OK</v>
      </c>
    </row>
    <row r="2745" spans="1:17">
      <c r="A2745" s="366" t="s">
        <v>4701</v>
      </c>
      <c r="B2745" s="366" t="s">
        <v>231</v>
      </c>
      <c r="C2745" s="348" t="str">
        <f>DATA_PROPERTY_MASTER!$A$13</f>
        <v>BLD_MH</v>
      </c>
      <c r="D2745" s="380">
        <f>'00_PORTFOLIO ROLLUP'!M$12</f>
        <v>2033</v>
      </c>
      <c r="E2745" s="366" t="s">
        <v>1683</v>
      </c>
      <c r="F2745" s="366" t="s">
        <v>1697</v>
      </c>
      <c r="G2745" s="348" t="str">
        <f>"'"&amp;$C2745&amp;"'!$E$44:$Y$44"</f>
        <v>'BLD_MH'!$E$44:$Y$44</v>
      </c>
      <c r="H2745" s="381">
        <f ca="1">IF(IFERROR(INDEX(DATA_PROPERTY_MASTER!$E$5:$E$21,MATCH($C2745,DATA_PROPERTY_MASTER!$A$5:$A$21,0))="Yes",FALSE),IFERROR(INDEX(INDIRECT("'"&amp;$C2745&amp;"'!$E$44:$Y$44"),1,MATCH($D2745,INDIRECT("'"&amp;$C2745&amp;"'!$E$12:$Y$12"),0)),0),0)</f>
        <v>3339.2292358564569</v>
      </c>
      <c r="I2745" s="366" t="s">
        <v>1690</v>
      </c>
      <c r="J2745" s="348" t="str">
        <f t="shared" ca="1" si="84"/>
        <v>OK</v>
      </c>
      <c r="K2745" s="366" t="s">
        <v>1699</v>
      </c>
      <c r="L2745" s="366" t="s">
        <v>2240</v>
      </c>
      <c r="M2745" s="350" t="str">
        <f>IF($B2745="Portfolio","Portfolio",IFERROR(INDEX(DATA_ASSET_CLASSIFICATION!$B$8:$B$24,MATCH($C2745,DATA_ASSET_CLASSIFICATION!$A$8:$A$24,0)),"Review"))</f>
        <v>Margaret Heights</v>
      </c>
      <c r="N2745" s="350" t="str">
        <f ca="1">IF($B2745="Portfolio","Portfolio",IFERROR(INDEX(DATA_ASSET_CLASSIFICATION!$U$8:$U$24,MATCH($C2745,DATA_ASSET_CLASSIFICATION!$A$8:$A$24,0)),"Review"))</f>
        <v>Refi Watch</v>
      </c>
      <c r="O2745" s="350" t="str">
        <f ca="1">IF($B2745="Portfolio","Portfolio",IFERROR(INDEX(DATA_ASSET_CLASSIFICATION!$AB$8:$AB$13,MATCH($N2745,DATA_ASSET_CLASSIFICATION!$AA$8:$AA$13,0)),"Review"))</f>
        <v>Bucket 2 · Legacy</v>
      </c>
      <c r="P2745" s="350" t="str">
        <f>IF($B2745="Portfolio","Portfolio",IFERROR(INDEX(DATA_ASSET_CLASSIFICATION!$C$8:$C$24,MATCH($C2745,DATA_ASSET_CLASSIFICATION!$A$8:$A$24,0)),"Review"))</f>
        <v>Yes</v>
      </c>
      <c r="Q2745" s="350" t="str">
        <f t="shared" ca="1" si="85"/>
        <v>OK</v>
      </c>
    </row>
    <row r="2746" spans="1:17">
      <c r="A2746" s="366" t="s">
        <v>4702</v>
      </c>
      <c r="B2746" s="366" t="s">
        <v>231</v>
      </c>
      <c r="C2746" s="348" t="str">
        <f>DATA_PROPERTY_MASTER!$A$13</f>
        <v>BLD_MH</v>
      </c>
      <c r="D2746" s="380">
        <f>'00_PORTFOLIO ROLLUP'!M$12</f>
        <v>2033</v>
      </c>
      <c r="E2746" s="366" t="s">
        <v>1683</v>
      </c>
      <c r="F2746" s="366" t="s">
        <v>21</v>
      </c>
      <c r="G2746" s="348" t="str">
        <f>"'"&amp;$C2746&amp;"'!$E$45:$Y$45"</f>
        <v>'BLD_MH'!$E$45:$Y$45</v>
      </c>
      <c r="H2746" s="381">
        <f ca="1">IF(IFERROR(INDEX(DATA_PROPERTY_MASTER!$E$5:$E$21,MATCH($C2746,DATA_PROPERTY_MASTER!$A$5:$A$21,0))="Yes",FALSE),IFERROR(INDEX(INDIRECT("'"&amp;$C2746&amp;"'!$E$45:$Y$45"),1,MATCH($D2746,INDIRECT("'"&amp;$C2746&amp;"'!$E$12:$Y$12"),0)),0),0)</f>
        <v>206958.99099265368</v>
      </c>
      <c r="I2746" s="366" t="s">
        <v>1685</v>
      </c>
      <c r="J2746" s="348" t="str">
        <f t="shared" ca="1" si="84"/>
        <v>OK</v>
      </c>
      <c r="K2746" s="366" t="s">
        <v>1694</v>
      </c>
      <c r="L2746" s="366" t="s">
        <v>2242</v>
      </c>
      <c r="M2746" s="350" t="str">
        <f>IF($B2746="Portfolio","Portfolio",IFERROR(INDEX(DATA_ASSET_CLASSIFICATION!$B$8:$B$24,MATCH($C2746,DATA_ASSET_CLASSIFICATION!$A$8:$A$24,0)),"Review"))</f>
        <v>Margaret Heights</v>
      </c>
      <c r="N2746" s="350" t="str">
        <f ca="1">IF($B2746="Portfolio","Portfolio",IFERROR(INDEX(DATA_ASSET_CLASSIFICATION!$U$8:$U$24,MATCH($C2746,DATA_ASSET_CLASSIFICATION!$A$8:$A$24,0)),"Review"))</f>
        <v>Refi Watch</v>
      </c>
      <c r="O2746" s="350" t="str">
        <f ca="1">IF($B2746="Portfolio","Portfolio",IFERROR(INDEX(DATA_ASSET_CLASSIFICATION!$AB$8:$AB$13,MATCH($N2746,DATA_ASSET_CLASSIFICATION!$AA$8:$AA$13,0)),"Review"))</f>
        <v>Bucket 2 · Legacy</v>
      </c>
      <c r="P2746" s="350" t="str">
        <f>IF($B2746="Portfolio","Portfolio",IFERROR(INDEX(DATA_ASSET_CLASSIFICATION!$C$8:$C$24,MATCH($C2746,DATA_ASSET_CLASSIFICATION!$A$8:$A$24,0)),"Review"))</f>
        <v>Yes</v>
      </c>
      <c r="Q2746" s="350" t="str">
        <f t="shared" ca="1" si="85"/>
        <v>OK</v>
      </c>
    </row>
    <row r="2747" spans="1:17">
      <c r="A2747" s="366" t="s">
        <v>4703</v>
      </c>
      <c r="B2747" s="366" t="s">
        <v>231</v>
      </c>
      <c r="C2747" s="348" t="str">
        <f>DATA_PROPERTY_MASTER!$A$13</f>
        <v>BLD_MH</v>
      </c>
      <c r="D2747" s="380">
        <f>'00_PORTFOLIO ROLLUP'!M$12</f>
        <v>2033</v>
      </c>
      <c r="E2747" s="366" t="s">
        <v>23</v>
      </c>
      <c r="F2747" s="366" t="s">
        <v>23</v>
      </c>
      <c r="G2747" s="348" t="str">
        <f>"'"&amp;$C2747&amp;"'!$E$48:$Y$48"</f>
        <v>'BLD_MH'!$E$48:$Y$48</v>
      </c>
      <c r="H2747" s="381">
        <f ca="1">IF(IFERROR(INDEX(DATA_PROPERTY_MASTER!$E$5:$E$21,MATCH($C2747,DATA_PROPERTY_MASTER!$A$5:$A$21,0))="Yes",FALSE),IFERROR(INDEX(INDIRECT("'"&amp;$C2747&amp;"'!$E$48:$Y$48"),1,MATCH($D2747,INDIRECT("'"&amp;$C2747&amp;"'!$E$12:$Y$12"),0)),0),0)</f>
        <v>0</v>
      </c>
      <c r="I2747" s="366" t="s">
        <v>1690</v>
      </c>
      <c r="J2747" s="348" t="str">
        <f t="shared" ca="1" si="84"/>
        <v>OK</v>
      </c>
      <c r="K2747" s="366" t="s">
        <v>1706</v>
      </c>
      <c r="L2747" s="366" t="s">
        <v>2244</v>
      </c>
      <c r="M2747" s="350" t="str">
        <f>IF($B2747="Portfolio","Portfolio",IFERROR(INDEX(DATA_ASSET_CLASSIFICATION!$B$8:$B$24,MATCH($C2747,DATA_ASSET_CLASSIFICATION!$A$8:$A$24,0)),"Review"))</f>
        <v>Margaret Heights</v>
      </c>
      <c r="N2747" s="350" t="str">
        <f ca="1">IF($B2747="Portfolio","Portfolio",IFERROR(INDEX(DATA_ASSET_CLASSIFICATION!$U$8:$U$24,MATCH($C2747,DATA_ASSET_CLASSIFICATION!$A$8:$A$24,0)),"Review"))</f>
        <v>Refi Watch</v>
      </c>
      <c r="O2747" s="350" t="str">
        <f ca="1">IF($B2747="Portfolio","Portfolio",IFERROR(INDEX(DATA_ASSET_CLASSIFICATION!$AB$8:$AB$13,MATCH($N2747,DATA_ASSET_CLASSIFICATION!$AA$8:$AA$13,0)),"Review"))</f>
        <v>Bucket 2 · Legacy</v>
      </c>
      <c r="P2747" s="350" t="str">
        <f>IF($B2747="Portfolio","Portfolio",IFERROR(INDEX(DATA_ASSET_CLASSIFICATION!$C$8:$C$24,MATCH($C2747,DATA_ASSET_CLASSIFICATION!$A$8:$A$24,0)),"Review"))</f>
        <v>Yes</v>
      </c>
      <c r="Q2747" s="350" t="str">
        <f t="shared" ca="1" si="85"/>
        <v>OK</v>
      </c>
    </row>
    <row r="2748" spans="1:17">
      <c r="A2748" s="366" t="s">
        <v>4704</v>
      </c>
      <c r="B2748" s="366" t="s">
        <v>231</v>
      </c>
      <c r="C2748" s="348" t="str">
        <f>DATA_PROPERTY_MASTER!$A$13</f>
        <v>BLD_MH</v>
      </c>
      <c r="D2748" s="380">
        <f>'00_PORTFOLIO ROLLUP'!M$12</f>
        <v>2033</v>
      </c>
      <c r="E2748" s="366" t="s">
        <v>1683</v>
      </c>
      <c r="F2748" s="366" t="s">
        <v>25</v>
      </c>
      <c r="G2748" s="348" t="str">
        <f>"'"&amp;$C2748&amp;"'!$E$52:$Y$52"</f>
        <v>'BLD_MH'!$E$52:$Y$52</v>
      </c>
      <c r="H2748" s="381">
        <f ca="1">IF(IFERROR(INDEX(DATA_PROPERTY_MASTER!$E$5:$E$21,MATCH($C2748,DATA_PROPERTY_MASTER!$A$5:$A$21,0))="Yes",FALSE),IFERROR(INDEX(INDIRECT("'"&amp;$C2748&amp;"'!$E$52:$Y$52"),1,MATCH($D2748,INDIRECT("'"&amp;$C2748&amp;"'!$E$12:$Y$12"),0)),0),0)</f>
        <v>210298.22022851012</v>
      </c>
      <c r="I2748" s="366" t="s">
        <v>1685</v>
      </c>
      <c r="J2748" s="348" t="str">
        <f t="shared" ca="1" si="84"/>
        <v>OK</v>
      </c>
      <c r="K2748" s="366" t="s">
        <v>1710</v>
      </c>
      <c r="L2748" s="366" t="s">
        <v>2246</v>
      </c>
      <c r="M2748" s="350" t="str">
        <f>IF($B2748="Portfolio","Portfolio",IFERROR(INDEX(DATA_ASSET_CLASSIFICATION!$B$8:$B$24,MATCH($C2748,DATA_ASSET_CLASSIFICATION!$A$8:$A$24,0)),"Review"))</f>
        <v>Margaret Heights</v>
      </c>
      <c r="N2748" s="350" t="str">
        <f ca="1">IF($B2748="Portfolio","Portfolio",IFERROR(INDEX(DATA_ASSET_CLASSIFICATION!$U$8:$U$24,MATCH($C2748,DATA_ASSET_CLASSIFICATION!$A$8:$A$24,0)),"Review"))</f>
        <v>Refi Watch</v>
      </c>
      <c r="O2748" s="350" t="str">
        <f ca="1">IF($B2748="Portfolio","Portfolio",IFERROR(INDEX(DATA_ASSET_CLASSIFICATION!$AB$8:$AB$13,MATCH($N2748,DATA_ASSET_CLASSIFICATION!$AA$8:$AA$13,0)),"Review"))</f>
        <v>Bucket 2 · Legacy</v>
      </c>
      <c r="P2748" s="350" t="str">
        <f>IF($B2748="Portfolio","Portfolio",IFERROR(INDEX(DATA_ASSET_CLASSIFICATION!$C$8:$C$24,MATCH($C2748,DATA_ASSET_CLASSIFICATION!$A$8:$A$24,0)),"Review"))</f>
        <v>Yes</v>
      </c>
      <c r="Q2748" s="350" t="str">
        <f t="shared" ca="1" si="85"/>
        <v>OK</v>
      </c>
    </row>
    <row r="2749" spans="1:17">
      <c r="A2749" s="366" t="s">
        <v>4705</v>
      </c>
      <c r="B2749" s="366" t="s">
        <v>231</v>
      </c>
      <c r="C2749" s="348" t="str">
        <f>DATA_PROPERTY_MASTER!$A$13</f>
        <v>BLD_MH</v>
      </c>
      <c r="D2749" s="380">
        <f>'00_PORTFOLIO ROLLUP'!M$12</f>
        <v>2033</v>
      </c>
      <c r="E2749" s="366" t="s">
        <v>1683</v>
      </c>
      <c r="F2749" s="366" t="s">
        <v>27</v>
      </c>
      <c r="G2749" s="348" t="str">
        <f>"'"&amp;$C2749&amp;"'!$E$54:$Y$54"</f>
        <v>'BLD_MH'!$E$54:$Y$54</v>
      </c>
      <c r="H2749" s="381">
        <f ca="1">IF(IFERROR(INDEX(DATA_PROPERTY_MASTER!$E$5:$E$21,MATCH($C2749,DATA_PROPERTY_MASTER!$A$5:$A$21,0))="Yes",FALSE),IFERROR(INDEX(INDIRECT("'"&amp;$C2749&amp;"'!$E$54:$Y$54"),1,MATCH($D2749,INDIRECT("'"&amp;$C2749&amp;"'!$E$12:$Y$12"),0)),0),0)</f>
        <v>126178.93213710607</v>
      </c>
      <c r="I2749" s="366" t="s">
        <v>1690</v>
      </c>
      <c r="J2749" s="348" t="str">
        <f t="shared" ca="1" si="84"/>
        <v>OK</v>
      </c>
      <c r="K2749" s="366" t="s">
        <v>1714</v>
      </c>
      <c r="L2749" s="366" t="s">
        <v>2248</v>
      </c>
      <c r="M2749" s="350" t="str">
        <f>IF($B2749="Portfolio","Portfolio",IFERROR(INDEX(DATA_ASSET_CLASSIFICATION!$B$8:$B$24,MATCH($C2749,DATA_ASSET_CLASSIFICATION!$A$8:$A$24,0)),"Review"))</f>
        <v>Margaret Heights</v>
      </c>
      <c r="N2749" s="350" t="str">
        <f ca="1">IF($B2749="Portfolio","Portfolio",IFERROR(INDEX(DATA_ASSET_CLASSIFICATION!$U$8:$U$24,MATCH($C2749,DATA_ASSET_CLASSIFICATION!$A$8:$A$24,0)),"Review"))</f>
        <v>Refi Watch</v>
      </c>
      <c r="O2749" s="350" t="str">
        <f ca="1">IF($B2749="Portfolio","Portfolio",IFERROR(INDEX(DATA_ASSET_CLASSIFICATION!$AB$8:$AB$13,MATCH($N2749,DATA_ASSET_CLASSIFICATION!$AA$8:$AA$13,0)),"Review"))</f>
        <v>Bucket 2 · Legacy</v>
      </c>
      <c r="P2749" s="350" t="str">
        <f>IF($B2749="Portfolio","Portfolio",IFERROR(INDEX(DATA_ASSET_CLASSIFICATION!$C$8:$C$24,MATCH($C2749,DATA_ASSET_CLASSIFICATION!$A$8:$A$24,0)),"Review"))</f>
        <v>Yes</v>
      </c>
      <c r="Q2749" s="350" t="str">
        <f t="shared" ca="1" si="85"/>
        <v>OK</v>
      </c>
    </row>
    <row r="2750" spans="1:17">
      <c r="A2750" s="366" t="s">
        <v>4706</v>
      </c>
      <c r="B2750" s="366" t="s">
        <v>231</v>
      </c>
      <c r="C2750" s="348" t="str">
        <f>DATA_PROPERTY_MASTER!$A$13</f>
        <v>BLD_MH</v>
      </c>
      <c r="D2750" s="380">
        <f>'00_PORTFOLIO ROLLUP'!M$12</f>
        <v>2033</v>
      </c>
      <c r="E2750" s="366" t="s">
        <v>1683</v>
      </c>
      <c r="F2750" s="366" t="s">
        <v>29</v>
      </c>
      <c r="G2750" s="348" t="str">
        <f>"'"&amp;$C2750&amp;"'!$E$56:$Y$56"</f>
        <v>'BLD_MH'!$E$56:$Y$56</v>
      </c>
      <c r="H2750" s="381">
        <f ca="1">IF(IFERROR(INDEX(DATA_PROPERTY_MASTER!$E$5:$E$21,MATCH($C2750,DATA_PROPERTY_MASTER!$A$5:$A$21,0))="Yes",FALSE),IFERROR(INDEX(INDIRECT("'"&amp;$C2750&amp;"'!$E$56:$Y$56"),1,MATCH($D2750,INDIRECT("'"&amp;$C2750&amp;"'!$E$12:$Y$12"),0)),0),0)</f>
        <v>84119.288091404058</v>
      </c>
      <c r="I2750" s="366" t="s">
        <v>1685</v>
      </c>
      <c r="J2750" s="348" t="str">
        <f t="shared" ca="1" si="84"/>
        <v>OK</v>
      </c>
      <c r="K2750" s="366" t="s">
        <v>1718</v>
      </c>
      <c r="L2750" s="366" t="s">
        <v>2250</v>
      </c>
      <c r="M2750" s="350" t="str">
        <f>IF($B2750="Portfolio","Portfolio",IFERROR(INDEX(DATA_ASSET_CLASSIFICATION!$B$8:$B$24,MATCH($C2750,DATA_ASSET_CLASSIFICATION!$A$8:$A$24,0)),"Review"))</f>
        <v>Margaret Heights</v>
      </c>
      <c r="N2750" s="350" t="str">
        <f ca="1">IF($B2750="Portfolio","Portfolio",IFERROR(INDEX(DATA_ASSET_CLASSIFICATION!$U$8:$U$24,MATCH($C2750,DATA_ASSET_CLASSIFICATION!$A$8:$A$24,0)),"Review"))</f>
        <v>Refi Watch</v>
      </c>
      <c r="O2750" s="350" t="str">
        <f ca="1">IF($B2750="Portfolio","Portfolio",IFERROR(INDEX(DATA_ASSET_CLASSIFICATION!$AB$8:$AB$13,MATCH($N2750,DATA_ASSET_CLASSIFICATION!$AA$8:$AA$13,0)),"Review"))</f>
        <v>Bucket 2 · Legacy</v>
      </c>
      <c r="P2750" s="350" t="str">
        <f>IF($B2750="Portfolio","Portfolio",IFERROR(INDEX(DATA_ASSET_CLASSIFICATION!$C$8:$C$24,MATCH($C2750,DATA_ASSET_CLASSIFICATION!$A$8:$A$24,0)),"Review"))</f>
        <v>Yes</v>
      </c>
      <c r="Q2750" s="350" t="str">
        <f t="shared" ca="1" si="85"/>
        <v>OK</v>
      </c>
    </row>
    <row r="2751" spans="1:17">
      <c r="A2751" s="366" t="s">
        <v>4707</v>
      </c>
      <c r="B2751" s="366" t="s">
        <v>231</v>
      </c>
      <c r="C2751" s="348" t="str">
        <f>DATA_PROPERTY_MASTER!$A$13</f>
        <v>BLD_MH</v>
      </c>
      <c r="D2751" s="380">
        <f>'00_PORTFOLIO ROLLUP'!M$12</f>
        <v>2033</v>
      </c>
      <c r="E2751" s="366" t="s">
        <v>1721</v>
      </c>
      <c r="F2751" s="366" t="s">
        <v>31</v>
      </c>
      <c r="G2751" s="348" t="str">
        <f>"'"&amp;$C2751&amp;"'!$E$61:$Y$61"</f>
        <v>'BLD_MH'!$E$61:$Y$61</v>
      </c>
      <c r="H2751" s="381">
        <f ca="1">IF(IFERROR(INDEX(DATA_PROPERTY_MASTER!$E$5:$E$21,MATCH($C2751,DATA_PROPERTY_MASTER!$A$5:$A$21,0))="Yes",FALSE),IFERROR(INDEX(INDIRECT("'"&amp;$C2751&amp;"'!$E$61:$Y$61"),1,MATCH($D2751,INDIRECT("'"&amp;$C2751&amp;"'!$E$12:$Y$12"),0)),0),0)</f>
        <v>0</v>
      </c>
      <c r="I2751" s="366" t="s">
        <v>1690</v>
      </c>
      <c r="J2751" s="348" t="str">
        <f t="shared" ca="1" si="84"/>
        <v>OK</v>
      </c>
      <c r="K2751" s="366" t="s">
        <v>1723</v>
      </c>
      <c r="L2751" s="366" t="s">
        <v>2252</v>
      </c>
      <c r="M2751" s="350" t="str">
        <f>IF($B2751="Portfolio","Portfolio",IFERROR(INDEX(DATA_ASSET_CLASSIFICATION!$B$8:$B$24,MATCH($C2751,DATA_ASSET_CLASSIFICATION!$A$8:$A$24,0)),"Review"))</f>
        <v>Margaret Heights</v>
      </c>
      <c r="N2751" s="350" t="str">
        <f ca="1">IF($B2751="Portfolio","Portfolio",IFERROR(INDEX(DATA_ASSET_CLASSIFICATION!$U$8:$U$24,MATCH($C2751,DATA_ASSET_CLASSIFICATION!$A$8:$A$24,0)),"Review"))</f>
        <v>Refi Watch</v>
      </c>
      <c r="O2751" s="350" t="str">
        <f ca="1">IF($B2751="Portfolio","Portfolio",IFERROR(INDEX(DATA_ASSET_CLASSIFICATION!$AB$8:$AB$13,MATCH($N2751,DATA_ASSET_CLASSIFICATION!$AA$8:$AA$13,0)),"Review"))</f>
        <v>Bucket 2 · Legacy</v>
      </c>
      <c r="P2751" s="350" t="str">
        <f>IF($B2751="Portfolio","Portfolio",IFERROR(INDEX(DATA_ASSET_CLASSIFICATION!$C$8:$C$24,MATCH($C2751,DATA_ASSET_CLASSIFICATION!$A$8:$A$24,0)),"Review"))</f>
        <v>Yes</v>
      </c>
      <c r="Q2751" s="350" t="str">
        <f t="shared" ca="1" si="85"/>
        <v>OK</v>
      </c>
    </row>
    <row r="2752" spans="1:17">
      <c r="A2752" s="366" t="s">
        <v>4708</v>
      </c>
      <c r="B2752" s="366" t="s">
        <v>231</v>
      </c>
      <c r="C2752" s="348" t="str">
        <f>DATA_PROPERTY_MASTER!$A$13</f>
        <v>BLD_MH</v>
      </c>
      <c r="D2752" s="380">
        <f>'00_PORTFOLIO ROLLUP'!M$12</f>
        <v>2033</v>
      </c>
      <c r="E2752" s="366" t="s">
        <v>1721</v>
      </c>
      <c r="F2752" s="366" t="s">
        <v>33</v>
      </c>
      <c r="G2752" s="348" t="str">
        <f>"'"&amp;$C2752&amp;"'!$E$62:$Y$62"</f>
        <v>'BLD_MH'!$E$62:$Y$62</v>
      </c>
      <c r="H2752" s="381">
        <f ca="1">IF(IFERROR(INDEX(DATA_PROPERTY_MASTER!$E$5:$E$21,MATCH($C2752,DATA_PROPERTY_MASTER!$A$5:$A$21,0))="Yes",FALSE),IFERROR(INDEX(INDIRECT("'"&amp;$C2752&amp;"'!$E$62:$Y$62"),1,MATCH($D2752,INDIRECT("'"&amp;$C2752&amp;"'!$E$12:$Y$12"),0)),0),0)</f>
        <v>0</v>
      </c>
      <c r="I2752" s="366" t="s">
        <v>1685</v>
      </c>
      <c r="J2752" s="348" t="str">
        <f t="shared" ca="1" si="84"/>
        <v>OK</v>
      </c>
      <c r="K2752" s="366" t="s">
        <v>1727</v>
      </c>
      <c r="L2752" s="366" t="s">
        <v>2254</v>
      </c>
      <c r="M2752" s="350" t="str">
        <f>IF($B2752="Portfolio","Portfolio",IFERROR(INDEX(DATA_ASSET_CLASSIFICATION!$B$8:$B$24,MATCH($C2752,DATA_ASSET_CLASSIFICATION!$A$8:$A$24,0)),"Review"))</f>
        <v>Margaret Heights</v>
      </c>
      <c r="N2752" s="350" t="str">
        <f ca="1">IF($B2752="Portfolio","Portfolio",IFERROR(INDEX(DATA_ASSET_CLASSIFICATION!$U$8:$U$24,MATCH($C2752,DATA_ASSET_CLASSIFICATION!$A$8:$A$24,0)),"Review"))</f>
        <v>Refi Watch</v>
      </c>
      <c r="O2752" s="350" t="str">
        <f ca="1">IF($B2752="Portfolio","Portfolio",IFERROR(INDEX(DATA_ASSET_CLASSIFICATION!$AB$8:$AB$13,MATCH($N2752,DATA_ASSET_CLASSIFICATION!$AA$8:$AA$13,0)),"Review"))</f>
        <v>Bucket 2 · Legacy</v>
      </c>
      <c r="P2752" s="350" t="str">
        <f>IF($B2752="Portfolio","Portfolio",IFERROR(INDEX(DATA_ASSET_CLASSIFICATION!$C$8:$C$24,MATCH($C2752,DATA_ASSET_CLASSIFICATION!$A$8:$A$24,0)),"Review"))</f>
        <v>Yes</v>
      </c>
      <c r="Q2752" s="350" t="str">
        <f t="shared" ca="1" si="85"/>
        <v>OK</v>
      </c>
    </row>
    <row r="2753" spans="1:17">
      <c r="A2753" s="366" t="s">
        <v>4709</v>
      </c>
      <c r="B2753" s="366" t="s">
        <v>231</v>
      </c>
      <c r="C2753" s="348" t="str">
        <f>DATA_PROPERTY_MASTER!$A$13</f>
        <v>BLD_MH</v>
      </c>
      <c r="D2753" s="380">
        <f>'00_PORTFOLIO ROLLUP'!M$12</f>
        <v>2033</v>
      </c>
      <c r="E2753" s="366" t="s">
        <v>1721</v>
      </c>
      <c r="F2753" s="366" t="s">
        <v>35</v>
      </c>
      <c r="G2753" s="348" t="str">
        <f>"'"&amp;$C2753&amp;"'!$E$63:$Y$63"</f>
        <v>'BLD_MH'!$E$63:$Y$63</v>
      </c>
      <c r="H2753" s="381">
        <f ca="1">IF(IFERROR(INDEX(DATA_PROPERTY_MASTER!$E$5:$E$21,MATCH($C2753,DATA_PROPERTY_MASTER!$A$5:$A$21,0))="Yes",FALSE),IFERROR(INDEX(INDIRECT("'"&amp;$C2753&amp;"'!$E$63:$Y$63"),1,MATCH($D2753,INDIRECT("'"&amp;$C2753&amp;"'!$E$12:$Y$12"),0)),0),0)</f>
        <v>0</v>
      </c>
      <c r="I2753" s="366" t="s">
        <v>1731</v>
      </c>
      <c r="J2753" s="348" t="str">
        <f t="shared" ca="1" si="84"/>
        <v>OK</v>
      </c>
      <c r="K2753" s="366" t="s">
        <v>1732</v>
      </c>
      <c r="L2753" s="366" t="s">
        <v>2256</v>
      </c>
      <c r="M2753" s="350" t="str">
        <f>IF($B2753="Portfolio","Portfolio",IFERROR(INDEX(DATA_ASSET_CLASSIFICATION!$B$8:$B$24,MATCH($C2753,DATA_ASSET_CLASSIFICATION!$A$8:$A$24,0)),"Review"))</f>
        <v>Margaret Heights</v>
      </c>
      <c r="N2753" s="350" t="str">
        <f ca="1">IF($B2753="Portfolio","Portfolio",IFERROR(INDEX(DATA_ASSET_CLASSIFICATION!$U$8:$U$24,MATCH($C2753,DATA_ASSET_CLASSIFICATION!$A$8:$A$24,0)),"Review"))</f>
        <v>Refi Watch</v>
      </c>
      <c r="O2753" s="350" t="str">
        <f ca="1">IF($B2753="Portfolio","Portfolio",IFERROR(INDEX(DATA_ASSET_CLASSIFICATION!$AB$8:$AB$13,MATCH($N2753,DATA_ASSET_CLASSIFICATION!$AA$8:$AA$13,0)),"Review"))</f>
        <v>Bucket 2 · Legacy</v>
      </c>
      <c r="P2753" s="350" t="str">
        <f>IF($B2753="Portfolio","Portfolio",IFERROR(INDEX(DATA_ASSET_CLASSIFICATION!$C$8:$C$24,MATCH($C2753,DATA_ASSET_CLASSIFICATION!$A$8:$A$24,0)),"Review"))</f>
        <v>Yes</v>
      </c>
      <c r="Q2753" s="350" t="str">
        <f t="shared" ca="1" si="85"/>
        <v>OK</v>
      </c>
    </row>
    <row r="2754" spans="1:17">
      <c r="A2754" s="366" t="s">
        <v>4710</v>
      </c>
      <c r="B2754" s="366" t="s">
        <v>231</v>
      </c>
      <c r="C2754" s="348" t="str">
        <f>DATA_PROPERTY_MASTER!$A$13</f>
        <v>BLD_MH</v>
      </c>
      <c r="D2754" s="380">
        <f>'00_PORTFOLIO ROLLUP'!M$12</f>
        <v>2033</v>
      </c>
      <c r="E2754" s="366" t="s">
        <v>1721</v>
      </c>
      <c r="F2754" s="366" t="s">
        <v>37</v>
      </c>
      <c r="G2754" s="348" t="str">
        <f>"'"&amp;$C2754&amp;"'!$E$63:$Y$63"</f>
        <v>'BLD_MH'!$E$63:$Y$63</v>
      </c>
      <c r="H2754" s="381">
        <f ca="1">IF(IFERROR(INDEX(DATA_PROPERTY_MASTER!$E$5:$E$21,MATCH($C2754,DATA_PROPERTY_MASTER!$A$5:$A$21,0))="Yes",FALSE),MAX(IFERROR(INDEX(INDIRECT("'"&amp;$C2754&amp;"'!$E$63:$Y$63"),1,MATCH($D2754,INDIRECT("'"&amp;$C2754&amp;"'!$E$12:$Y$12"),0)),0),0),0)</f>
        <v>0</v>
      </c>
      <c r="I2754" s="366" t="s">
        <v>1685</v>
      </c>
      <c r="J2754" s="348" t="str">
        <f t="shared" ca="1" si="84"/>
        <v>OK</v>
      </c>
      <c r="K2754" s="366" t="s">
        <v>1735</v>
      </c>
      <c r="L2754" s="366" t="s">
        <v>2258</v>
      </c>
      <c r="M2754" s="350" t="str">
        <f>IF($B2754="Portfolio","Portfolio",IFERROR(INDEX(DATA_ASSET_CLASSIFICATION!$B$8:$B$24,MATCH($C2754,DATA_ASSET_CLASSIFICATION!$A$8:$A$24,0)),"Review"))</f>
        <v>Margaret Heights</v>
      </c>
      <c r="N2754" s="350" t="str">
        <f ca="1">IF($B2754="Portfolio","Portfolio",IFERROR(INDEX(DATA_ASSET_CLASSIFICATION!$U$8:$U$24,MATCH($C2754,DATA_ASSET_CLASSIFICATION!$A$8:$A$24,0)),"Review"))</f>
        <v>Refi Watch</v>
      </c>
      <c r="O2754" s="350" t="str">
        <f ca="1">IF($B2754="Portfolio","Portfolio",IFERROR(INDEX(DATA_ASSET_CLASSIFICATION!$AB$8:$AB$13,MATCH($N2754,DATA_ASSET_CLASSIFICATION!$AA$8:$AA$13,0)),"Review"))</f>
        <v>Bucket 2 · Legacy</v>
      </c>
      <c r="P2754" s="350" t="str">
        <f>IF($B2754="Portfolio","Portfolio",IFERROR(INDEX(DATA_ASSET_CLASSIFICATION!$C$8:$C$24,MATCH($C2754,DATA_ASSET_CLASSIFICATION!$A$8:$A$24,0)),"Review"))</f>
        <v>Yes</v>
      </c>
      <c r="Q2754" s="350" t="str">
        <f t="shared" ca="1" si="85"/>
        <v>OK</v>
      </c>
    </row>
    <row r="2755" spans="1:17">
      <c r="A2755" s="366" t="s">
        <v>4711</v>
      </c>
      <c r="B2755" s="366" t="s">
        <v>231</v>
      </c>
      <c r="C2755" s="348" t="str">
        <f>DATA_PROPERTY_MASTER!$A$13</f>
        <v>BLD_MH</v>
      </c>
      <c r="D2755" s="380">
        <f>'00_PORTFOLIO ROLLUP'!M$12</f>
        <v>2033</v>
      </c>
      <c r="E2755" s="366" t="s">
        <v>1721</v>
      </c>
      <c r="F2755" s="366" t="s">
        <v>39</v>
      </c>
      <c r="G2755" s="348" t="str">
        <f>"'"&amp;$C2755&amp;"'!$E$63:$Y$63"</f>
        <v>'BLD_MH'!$E$63:$Y$63</v>
      </c>
      <c r="H2755" s="381">
        <f ca="1">IF(IFERROR(INDEX(DATA_PROPERTY_MASTER!$E$5:$E$21,MATCH($C2755,DATA_PROPERTY_MASTER!$A$5:$A$21,0))="Yes",FALSE),MAX(-IFERROR(INDEX(INDIRECT("'"&amp;$C2755&amp;"'!$E$63:$Y$63"),1,MATCH($D2755,INDIRECT("'"&amp;$C2755&amp;"'!$E$12:$Y$12"),0)),0),0),0)</f>
        <v>0</v>
      </c>
      <c r="I2755" s="366" t="s">
        <v>1690</v>
      </c>
      <c r="J2755" s="348" t="str">
        <f t="shared" ca="1" si="84"/>
        <v>OK</v>
      </c>
      <c r="K2755" s="366" t="s">
        <v>1738</v>
      </c>
      <c r="L2755" s="366" t="s">
        <v>2260</v>
      </c>
      <c r="M2755" s="350" t="str">
        <f>IF($B2755="Portfolio","Portfolio",IFERROR(INDEX(DATA_ASSET_CLASSIFICATION!$B$8:$B$24,MATCH($C2755,DATA_ASSET_CLASSIFICATION!$A$8:$A$24,0)),"Review"))</f>
        <v>Margaret Heights</v>
      </c>
      <c r="N2755" s="350" t="str">
        <f ca="1">IF($B2755="Portfolio","Portfolio",IFERROR(INDEX(DATA_ASSET_CLASSIFICATION!$U$8:$U$24,MATCH($C2755,DATA_ASSET_CLASSIFICATION!$A$8:$A$24,0)),"Review"))</f>
        <v>Refi Watch</v>
      </c>
      <c r="O2755" s="350" t="str">
        <f ca="1">IF($B2755="Portfolio","Portfolio",IFERROR(INDEX(DATA_ASSET_CLASSIFICATION!$AB$8:$AB$13,MATCH($N2755,DATA_ASSET_CLASSIFICATION!$AA$8:$AA$13,0)),"Review"))</f>
        <v>Bucket 2 · Legacy</v>
      </c>
      <c r="P2755" s="350" t="str">
        <f>IF($B2755="Portfolio","Portfolio",IFERROR(INDEX(DATA_ASSET_CLASSIFICATION!$C$8:$C$24,MATCH($C2755,DATA_ASSET_CLASSIFICATION!$A$8:$A$24,0)),"Review"))</f>
        <v>Yes</v>
      </c>
      <c r="Q2755" s="350" t="str">
        <f t="shared" ca="1" si="85"/>
        <v>OK</v>
      </c>
    </row>
    <row r="2756" spans="1:17">
      <c r="A2756" s="366" t="s">
        <v>4712</v>
      </c>
      <c r="B2756" s="366" t="s">
        <v>231</v>
      </c>
      <c r="C2756" s="348" t="str">
        <f>DATA_PROPERTY_MASTER!$A$13</f>
        <v>BLD_MH</v>
      </c>
      <c r="D2756" s="380">
        <f>'00_PORTFOLIO ROLLUP'!M$12</f>
        <v>2033</v>
      </c>
      <c r="E2756" s="366" t="s">
        <v>1741</v>
      </c>
      <c r="F2756" s="366" t="s">
        <v>41</v>
      </c>
      <c r="G2756" s="348" t="str">
        <f>"'"&amp;$C2756&amp;"'!rows 56 + positive row 63"</f>
        <v>'BLD_MH'!rows 56 + positive row 63</v>
      </c>
      <c r="H2756" s="381">
        <f ca="1">IF(IFERROR(INDEX(DATA_PROPERTY_MASTER!$E$5:$E$21,MATCH($C2756,DATA_PROPERTY_MASTER!$A$5:$A$21,0))="Yes",FALSE),IFERROR(INDEX(INDIRECT("'"&amp;$C2756&amp;"'!$E$56:$Y$56"),1,MATCH($D2756,INDIRECT("'"&amp;$C2756&amp;"'!$E$12:$Y$12"),0)),0)+MAX(IFERROR(INDEX(INDIRECT("'"&amp;$C2756&amp;"'!$E$63:$Y$63"),1,MATCH($D2756,INDIRECT("'"&amp;$C2756&amp;"'!$E$12:$Y$12"),0)),0),0),0)</f>
        <v>84119.288091404058</v>
      </c>
      <c r="I2756" s="366" t="s">
        <v>1685</v>
      </c>
      <c r="J2756" s="348" t="str">
        <f t="shared" ca="1" si="84"/>
        <v>OK</v>
      </c>
      <c r="K2756" s="366" t="s">
        <v>1742</v>
      </c>
      <c r="L2756" s="366" t="s">
        <v>2262</v>
      </c>
      <c r="M2756" s="350" t="str">
        <f>IF($B2756="Portfolio","Portfolio",IFERROR(INDEX(DATA_ASSET_CLASSIFICATION!$B$8:$B$24,MATCH($C2756,DATA_ASSET_CLASSIFICATION!$A$8:$A$24,0)),"Review"))</f>
        <v>Margaret Heights</v>
      </c>
      <c r="N2756" s="350" t="str">
        <f ca="1">IF($B2756="Portfolio","Portfolio",IFERROR(INDEX(DATA_ASSET_CLASSIFICATION!$U$8:$U$24,MATCH($C2756,DATA_ASSET_CLASSIFICATION!$A$8:$A$24,0)),"Review"))</f>
        <v>Refi Watch</v>
      </c>
      <c r="O2756" s="350" t="str">
        <f ca="1">IF($B2756="Portfolio","Portfolio",IFERROR(INDEX(DATA_ASSET_CLASSIFICATION!$AB$8:$AB$13,MATCH($N2756,DATA_ASSET_CLASSIFICATION!$AA$8:$AA$13,0)),"Review"))</f>
        <v>Bucket 2 · Legacy</v>
      </c>
      <c r="P2756" s="350" t="str">
        <f>IF($B2756="Portfolio","Portfolio",IFERROR(INDEX(DATA_ASSET_CLASSIFICATION!$C$8:$C$24,MATCH($C2756,DATA_ASSET_CLASSIFICATION!$A$8:$A$24,0)),"Review"))</f>
        <v>Yes</v>
      </c>
      <c r="Q2756" s="350" t="str">
        <f t="shared" ca="1" si="85"/>
        <v>OK</v>
      </c>
    </row>
    <row r="2757" spans="1:17">
      <c r="A2757" s="366" t="s">
        <v>4713</v>
      </c>
      <c r="B2757" s="366" t="s">
        <v>231</v>
      </c>
      <c r="C2757" s="348" t="str">
        <f>DATA_PROPERTY_MASTER!$A$13</f>
        <v>BLD_MH</v>
      </c>
      <c r="D2757" s="380">
        <f>'00_PORTFOLIO ROLLUP'!M$12</f>
        <v>2033</v>
      </c>
      <c r="E2757" s="366" t="s">
        <v>1741</v>
      </c>
      <c r="F2757" s="366" t="s">
        <v>43</v>
      </c>
      <c r="G2757" s="348" t="str">
        <f>"'"&amp;$C2757&amp;"'!$E$68:$Y$68"</f>
        <v>'BLD_MH'!$E$68:$Y$68</v>
      </c>
      <c r="H2757" s="381">
        <f ca="1">IF(IFERROR(INDEX(DATA_PROPERTY_MASTER!$E$5:$E$21,MATCH($C2757,DATA_PROPERTY_MASTER!$A$5:$A$21,0))="Yes",FALSE),IFERROR(INDEX(INDIRECT("'"&amp;$C2757&amp;"'!$E$68:$Y$68"),1,MATCH($D2757,INDIRECT("'"&amp;$C2757&amp;"'!$E$12:$Y$12"),0)),0),0)</f>
        <v>84119.288091404058</v>
      </c>
      <c r="I2757" s="366" t="s">
        <v>1731</v>
      </c>
      <c r="J2757" s="348" t="str">
        <f t="shared" ref="J2757:J2820" ca="1" si="86">IF($F2757="Residual Funding Gap",IF($H2757&gt;0,"Funding Gap","OK"),IF(AND($F2757="Net Refinance Position",$H2757&lt;0),"Negative net refi position","OK"))</f>
        <v>OK</v>
      </c>
      <c r="K2757" s="366" t="s">
        <v>1746</v>
      </c>
      <c r="L2757" s="366" t="s">
        <v>2264</v>
      </c>
      <c r="M2757" s="350" t="str">
        <f>IF($B2757="Portfolio","Portfolio",IFERROR(INDEX(DATA_ASSET_CLASSIFICATION!$B$8:$B$24,MATCH($C2757,DATA_ASSET_CLASSIFICATION!$A$8:$A$24,0)),"Review"))</f>
        <v>Margaret Heights</v>
      </c>
      <c r="N2757" s="350" t="str">
        <f ca="1">IF($B2757="Portfolio","Portfolio",IFERROR(INDEX(DATA_ASSET_CLASSIFICATION!$U$8:$U$24,MATCH($C2757,DATA_ASSET_CLASSIFICATION!$A$8:$A$24,0)),"Review"))</f>
        <v>Refi Watch</v>
      </c>
      <c r="O2757" s="350" t="str">
        <f ca="1">IF($B2757="Portfolio","Portfolio",IFERROR(INDEX(DATA_ASSET_CLASSIFICATION!$AB$8:$AB$13,MATCH($N2757,DATA_ASSET_CLASSIFICATION!$AA$8:$AA$13,0)),"Review"))</f>
        <v>Bucket 2 · Legacy</v>
      </c>
      <c r="P2757" s="350" t="str">
        <f>IF($B2757="Portfolio","Portfolio",IFERROR(INDEX(DATA_ASSET_CLASSIFICATION!$C$8:$C$24,MATCH($C2757,DATA_ASSET_CLASSIFICATION!$A$8:$A$24,0)),"Review"))</f>
        <v>Yes</v>
      </c>
      <c r="Q2757" s="350" t="str">
        <f t="shared" ref="Q2757:Q2820" ca="1" si="87">IF(AND($B2757="Property",$F2757="Residual Funding Gap",$H2757&gt;0),"Property Funding Gap",IF($J2757&lt;&gt;"OK",$J2757,"OK"))</f>
        <v>OK</v>
      </c>
    </row>
    <row r="2758" spans="1:17">
      <c r="A2758" s="366" t="s">
        <v>4714</v>
      </c>
      <c r="B2758" s="366" t="s">
        <v>231</v>
      </c>
      <c r="C2758" s="348" t="str">
        <f>DATA_PROPERTY_MASTER!$A$13</f>
        <v>BLD_MH</v>
      </c>
      <c r="D2758" s="380">
        <f>'00_PORTFOLIO ROLLUP'!M$12</f>
        <v>2033</v>
      </c>
      <c r="E2758" s="366" t="s">
        <v>1741</v>
      </c>
      <c r="F2758" s="366" t="s">
        <v>1749</v>
      </c>
      <c r="G2758" s="348" t="str">
        <f>"'"&amp;$C2758&amp;"'!rows 56, 63, 68"</f>
        <v>'BLD_MH'!rows 56, 63, 68</v>
      </c>
      <c r="H2758" s="381">
        <f ca="1">IF(IFERROR(INDEX(DATA_PROPERTY_MASTER!$E$5:$E$21,MATCH($C2758,DATA_PROPERTY_MASTER!$A$5:$A$21,0))="Yes",FALSE),(IFERROR(INDEX(INDIRECT("'"&amp;$C2758&amp;"'!$E$56:$Y$56"),1,MATCH($D2758,INDIRECT("'"&amp;$C2758&amp;"'!$E$12:$Y$12"),0)),0)+MAX(IFERROR(INDEX(INDIRECT("'"&amp;$C2758&amp;"'!$E$63:$Y$63"),1,MATCH($D2758,INDIRECT("'"&amp;$C2758&amp;"'!$E$12:$Y$12"),0)),0),0))-(IFERROR(INDEX(INDIRECT("'"&amp;$C2758&amp;"'!$E$68:$Y$68"),1,MATCH($D2758,INDIRECT("'"&amp;$C2758&amp;"'!$E$12:$Y$12"),0)),0)),0)</f>
        <v>0</v>
      </c>
      <c r="I2758" s="366" t="s">
        <v>1750</v>
      </c>
      <c r="J2758" s="348" t="str">
        <f t="shared" ca="1" si="86"/>
        <v>OK</v>
      </c>
      <c r="K2758" s="366" t="s">
        <v>1751</v>
      </c>
      <c r="L2758" s="366" t="s">
        <v>2266</v>
      </c>
      <c r="M2758" s="350" t="str">
        <f>IF($B2758="Portfolio","Portfolio",IFERROR(INDEX(DATA_ASSET_CLASSIFICATION!$B$8:$B$24,MATCH($C2758,DATA_ASSET_CLASSIFICATION!$A$8:$A$24,0)),"Review"))</f>
        <v>Margaret Heights</v>
      </c>
      <c r="N2758" s="350" t="str">
        <f ca="1">IF($B2758="Portfolio","Portfolio",IFERROR(INDEX(DATA_ASSET_CLASSIFICATION!$U$8:$U$24,MATCH($C2758,DATA_ASSET_CLASSIFICATION!$A$8:$A$24,0)),"Review"))</f>
        <v>Refi Watch</v>
      </c>
      <c r="O2758" s="350" t="str">
        <f ca="1">IF($B2758="Portfolio","Portfolio",IFERROR(INDEX(DATA_ASSET_CLASSIFICATION!$AB$8:$AB$13,MATCH($N2758,DATA_ASSET_CLASSIFICATION!$AA$8:$AA$13,0)),"Review"))</f>
        <v>Bucket 2 · Legacy</v>
      </c>
      <c r="P2758" s="350" t="str">
        <f>IF($B2758="Portfolio","Portfolio",IFERROR(INDEX(DATA_ASSET_CLASSIFICATION!$C$8:$C$24,MATCH($C2758,DATA_ASSET_CLASSIFICATION!$A$8:$A$24,0)),"Review"))</f>
        <v>Yes</v>
      </c>
      <c r="Q2758" s="350" t="str">
        <f t="shared" ca="1" si="87"/>
        <v>OK</v>
      </c>
    </row>
    <row r="2759" spans="1:17">
      <c r="A2759" s="366" t="s">
        <v>4715</v>
      </c>
      <c r="B2759" s="366" t="s">
        <v>231</v>
      </c>
      <c r="C2759" s="348" t="str">
        <f>DATA_PROPERTY_MASTER!$A$13</f>
        <v>BLD_MH</v>
      </c>
      <c r="D2759" s="380">
        <f>'00_PORTFOLIO ROLLUP'!N$12</f>
        <v>2034</v>
      </c>
      <c r="E2759" s="366" t="s">
        <v>1683</v>
      </c>
      <c r="F2759" s="366" t="s">
        <v>341</v>
      </c>
      <c r="G2759" s="348" t="str">
        <f>"'"&amp;$C2759&amp;"'!$E$24:$Y$24"</f>
        <v>'BLD_MH'!$E$24:$Y$24</v>
      </c>
      <c r="H2759" s="381">
        <f ca="1">IF(IFERROR(INDEX(DATA_PROPERTY_MASTER!$E$5:$E$21,MATCH($C2759,DATA_PROPERTY_MASTER!$A$5:$A$21,0))="Yes",FALSE),IFERROR(INDEX(INDIRECT("'"&amp;$C2759&amp;"'!$E$24:$Y$24"),1,MATCH($D2759,INDIRECT("'"&amp;$C2759&amp;"'!$E$12:$Y$12"),0)),0),0)</f>
        <v>471742.50357221236</v>
      </c>
      <c r="I2759" s="366" t="s">
        <v>1685</v>
      </c>
      <c r="J2759" s="348" t="str">
        <f t="shared" ca="1" si="86"/>
        <v>OK</v>
      </c>
      <c r="K2759" s="366" t="s">
        <v>1686</v>
      </c>
      <c r="L2759" s="366" t="s">
        <v>2234</v>
      </c>
      <c r="M2759" s="350" t="str">
        <f>IF($B2759="Portfolio","Portfolio",IFERROR(INDEX(DATA_ASSET_CLASSIFICATION!$B$8:$B$24,MATCH($C2759,DATA_ASSET_CLASSIFICATION!$A$8:$A$24,0)),"Review"))</f>
        <v>Margaret Heights</v>
      </c>
      <c r="N2759" s="350" t="str">
        <f ca="1">IF($B2759="Portfolio","Portfolio",IFERROR(INDEX(DATA_ASSET_CLASSIFICATION!$U$8:$U$24,MATCH($C2759,DATA_ASSET_CLASSIFICATION!$A$8:$A$24,0)),"Review"))</f>
        <v>Refi Watch</v>
      </c>
      <c r="O2759" s="350" t="str">
        <f ca="1">IF($B2759="Portfolio","Portfolio",IFERROR(INDEX(DATA_ASSET_CLASSIFICATION!$AB$8:$AB$13,MATCH($N2759,DATA_ASSET_CLASSIFICATION!$AA$8:$AA$13,0)),"Review"))</f>
        <v>Bucket 2 · Legacy</v>
      </c>
      <c r="P2759" s="350" t="str">
        <f>IF($B2759="Portfolio","Portfolio",IFERROR(INDEX(DATA_ASSET_CLASSIFICATION!$C$8:$C$24,MATCH($C2759,DATA_ASSET_CLASSIFICATION!$A$8:$A$24,0)),"Review"))</f>
        <v>Yes</v>
      </c>
      <c r="Q2759" s="350" t="str">
        <f t="shared" ca="1" si="87"/>
        <v>OK</v>
      </c>
    </row>
    <row r="2760" spans="1:17">
      <c r="A2760" s="366" t="s">
        <v>4716</v>
      </c>
      <c r="B2760" s="366" t="s">
        <v>231</v>
      </c>
      <c r="C2760" s="348" t="str">
        <f>DATA_PROPERTY_MASTER!$A$13</f>
        <v>BLD_MH</v>
      </c>
      <c r="D2760" s="380">
        <f>'00_PORTFOLIO ROLLUP'!N$12</f>
        <v>2034</v>
      </c>
      <c r="E2760" s="366" t="s">
        <v>1683</v>
      </c>
      <c r="F2760" s="366" t="s">
        <v>355</v>
      </c>
      <c r="G2760" s="348" t="str">
        <f>"'"&amp;$C2760&amp;"'!$E$39:$Y$39"</f>
        <v>'BLD_MH'!$E$39:$Y$39</v>
      </c>
      <c r="H2760" s="381">
        <f ca="1">IF(IFERROR(INDEX(DATA_PROPERTY_MASTER!$E$5:$E$21,MATCH($C2760,DATA_PROPERTY_MASTER!$A$5:$A$21,0))="Yes",FALSE),IFERROR(INDEX(INDIRECT("'"&amp;$C2760&amp;"'!$E$39:$Y$39"),1,MATCH($D2760,INDIRECT("'"&amp;$C2760&amp;"'!$E$12:$Y$12"),0)),0),0)</f>
        <v>262282.20754578162</v>
      </c>
      <c r="I2760" s="366" t="s">
        <v>1690</v>
      </c>
      <c r="J2760" s="348" t="str">
        <f t="shared" ca="1" si="86"/>
        <v>OK</v>
      </c>
      <c r="K2760" s="366" t="s">
        <v>1686</v>
      </c>
      <c r="L2760" s="366" t="s">
        <v>2236</v>
      </c>
      <c r="M2760" s="350" t="str">
        <f>IF($B2760="Portfolio","Portfolio",IFERROR(INDEX(DATA_ASSET_CLASSIFICATION!$B$8:$B$24,MATCH($C2760,DATA_ASSET_CLASSIFICATION!$A$8:$A$24,0)),"Review"))</f>
        <v>Margaret Heights</v>
      </c>
      <c r="N2760" s="350" t="str">
        <f ca="1">IF($B2760="Portfolio","Portfolio",IFERROR(INDEX(DATA_ASSET_CLASSIFICATION!$U$8:$U$24,MATCH($C2760,DATA_ASSET_CLASSIFICATION!$A$8:$A$24,0)),"Review"))</f>
        <v>Refi Watch</v>
      </c>
      <c r="O2760" s="350" t="str">
        <f ca="1">IF($B2760="Portfolio","Portfolio",IFERROR(INDEX(DATA_ASSET_CLASSIFICATION!$AB$8:$AB$13,MATCH($N2760,DATA_ASSET_CLASSIFICATION!$AA$8:$AA$13,0)),"Review"))</f>
        <v>Bucket 2 · Legacy</v>
      </c>
      <c r="P2760" s="350" t="str">
        <f>IF($B2760="Portfolio","Portfolio",IFERROR(INDEX(DATA_ASSET_CLASSIFICATION!$C$8:$C$24,MATCH($C2760,DATA_ASSET_CLASSIFICATION!$A$8:$A$24,0)),"Review"))</f>
        <v>Yes</v>
      </c>
      <c r="Q2760" s="350" t="str">
        <f t="shared" ca="1" si="87"/>
        <v>OK</v>
      </c>
    </row>
    <row r="2761" spans="1:17">
      <c r="A2761" s="366" t="s">
        <v>4717</v>
      </c>
      <c r="B2761" s="366" t="s">
        <v>231</v>
      </c>
      <c r="C2761" s="348" t="str">
        <f>DATA_PROPERTY_MASTER!$A$13</f>
        <v>BLD_MH</v>
      </c>
      <c r="D2761" s="380">
        <f>'00_PORTFOLIO ROLLUP'!N$12</f>
        <v>2034</v>
      </c>
      <c r="E2761" s="366" t="s">
        <v>1683</v>
      </c>
      <c r="F2761" s="366" t="s">
        <v>19</v>
      </c>
      <c r="G2761" s="348" t="str">
        <f>"'"&amp;$C2761&amp;"'!$E$41:$Y$41"</f>
        <v>'BLD_MH'!$E$41:$Y$41</v>
      </c>
      <c r="H2761" s="381">
        <f ca="1">IF(IFERROR(INDEX(DATA_PROPERTY_MASTER!$E$5:$E$21,MATCH($C2761,DATA_PROPERTY_MASTER!$A$5:$A$21,0))="Yes",FALSE),IFERROR(INDEX(INDIRECT("'"&amp;$C2761&amp;"'!$E$41:$Y$41"),1,MATCH($D2761,INDIRECT("'"&amp;$C2761&amp;"'!$E$12:$Y$12"),0)),0),0)</f>
        <v>209460.29602643073</v>
      </c>
      <c r="I2761" s="366" t="s">
        <v>1685</v>
      </c>
      <c r="J2761" s="348" t="str">
        <f t="shared" ca="1" si="86"/>
        <v>OK</v>
      </c>
      <c r="K2761" s="366" t="s">
        <v>1694</v>
      </c>
      <c r="L2761" s="366" t="s">
        <v>2238</v>
      </c>
      <c r="M2761" s="350" t="str">
        <f>IF($B2761="Portfolio","Portfolio",IFERROR(INDEX(DATA_ASSET_CLASSIFICATION!$B$8:$B$24,MATCH($C2761,DATA_ASSET_CLASSIFICATION!$A$8:$A$24,0)),"Review"))</f>
        <v>Margaret Heights</v>
      </c>
      <c r="N2761" s="350" t="str">
        <f ca="1">IF($B2761="Portfolio","Portfolio",IFERROR(INDEX(DATA_ASSET_CLASSIFICATION!$U$8:$U$24,MATCH($C2761,DATA_ASSET_CLASSIFICATION!$A$8:$A$24,0)),"Review"))</f>
        <v>Refi Watch</v>
      </c>
      <c r="O2761" s="350" t="str">
        <f ca="1">IF($B2761="Portfolio","Portfolio",IFERROR(INDEX(DATA_ASSET_CLASSIFICATION!$AB$8:$AB$13,MATCH($N2761,DATA_ASSET_CLASSIFICATION!$AA$8:$AA$13,0)),"Review"))</f>
        <v>Bucket 2 · Legacy</v>
      </c>
      <c r="P2761" s="350" t="str">
        <f>IF($B2761="Portfolio","Portfolio",IFERROR(INDEX(DATA_ASSET_CLASSIFICATION!$C$8:$C$24,MATCH($C2761,DATA_ASSET_CLASSIFICATION!$A$8:$A$24,0)),"Review"))</f>
        <v>Yes</v>
      </c>
      <c r="Q2761" s="350" t="str">
        <f t="shared" ca="1" si="87"/>
        <v>OK</v>
      </c>
    </row>
    <row r="2762" spans="1:17">
      <c r="A2762" s="366" t="s">
        <v>4718</v>
      </c>
      <c r="B2762" s="366" t="s">
        <v>231</v>
      </c>
      <c r="C2762" s="348" t="str">
        <f>DATA_PROPERTY_MASTER!$A$13</f>
        <v>BLD_MH</v>
      </c>
      <c r="D2762" s="380">
        <f>'00_PORTFOLIO ROLLUP'!N$12</f>
        <v>2034</v>
      </c>
      <c r="E2762" s="366" t="s">
        <v>1683</v>
      </c>
      <c r="F2762" s="366" t="s">
        <v>1697</v>
      </c>
      <c r="G2762" s="348" t="str">
        <f>"'"&amp;$C2762&amp;"'!$E$44:$Y$44"</f>
        <v>'BLD_MH'!$E$44:$Y$44</v>
      </c>
      <c r="H2762" s="381">
        <f ca="1">IF(IFERROR(INDEX(DATA_PROPERTY_MASTER!$E$5:$E$21,MATCH($C2762,DATA_PROPERTY_MASTER!$A$5:$A$21,0))="Yes",FALSE),IFERROR(INDEX(INDIRECT("'"&amp;$C2762&amp;"'!$E$44:$Y$44"),1,MATCH($D2762,INDIRECT("'"&amp;$C2762&amp;"'!$E$12:$Y$12"),0)),0),0)</f>
        <v>3406.0138205735857</v>
      </c>
      <c r="I2762" s="366" t="s">
        <v>1690</v>
      </c>
      <c r="J2762" s="348" t="str">
        <f t="shared" ca="1" si="86"/>
        <v>OK</v>
      </c>
      <c r="K2762" s="366" t="s">
        <v>1699</v>
      </c>
      <c r="L2762" s="366" t="s">
        <v>2240</v>
      </c>
      <c r="M2762" s="350" t="str">
        <f>IF($B2762="Portfolio","Portfolio",IFERROR(INDEX(DATA_ASSET_CLASSIFICATION!$B$8:$B$24,MATCH($C2762,DATA_ASSET_CLASSIFICATION!$A$8:$A$24,0)),"Review"))</f>
        <v>Margaret Heights</v>
      </c>
      <c r="N2762" s="350" t="str">
        <f ca="1">IF($B2762="Portfolio","Portfolio",IFERROR(INDEX(DATA_ASSET_CLASSIFICATION!$U$8:$U$24,MATCH($C2762,DATA_ASSET_CLASSIFICATION!$A$8:$A$24,0)),"Review"))</f>
        <v>Refi Watch</v>
      </c>
      <c r="O2762" s="350" t="str">
        <f ca="1">IF($B2762="Portfolio","Portfolio",IFERROR(INDEX(DATA_ASSET_CLASSIFICATION!$AB$8:$AB$13,MATCH($N2762,DATA_ASSET_CLASSIFICATION!$AA$8:$AA$13,0)),"Review"))</f>
        <v>Bucket 2 · Legacy</v>
      </c>
      <c r="P2762" s="350" t="str">
        <f>IF($B2762="Portfolio","Portfolio",IFERROR(INDEX(DATA_ASSET_CLASSIFICATION!$C$8:$C$24,MATCH($C2762,DATA_ASSET_CLASSIFICATION!$A$8:$A$24,0)),"Review"))</f>
        <v>Yes</v>
      </c>
      <c r="Q2762" s="350" t="str">
        <f t="shared" ca="1" si="87"/>
        <v>OK</v>
      </c>
    </row>
    <row r="2763" spans="1:17">
      <c r="A2763" s="366" t="s">
        <v>4719</v>
      </c>
      <c r="B2763" s="366" t="s">
        <v>231</v>
      </c>
      <c r="C2763" s="348" t="str">
        <f>DATA_PROPERTY_MASTER!$A$13</f>
        <v>BLD_MH</v>
      </c>
      <c r="D2763" s="380">
        <f>'00_PORTFOLIO ROLLUP'!N$12</f>
        <v>2034</v>
      </c>
      <c r="E2763" s="366" t="s">
        <v>1683</v>
      </c>
      <c r="F2763" s="366" t="s">
        <v>21</v>
      </c>
      <c r="G2763" s="348" t="str">
        <f>"'"&amp;$C2763&amp;"'!$E$45:$Y$45"</f>
        <v>'BLD_MH'!$E$45:$Y$45</v>
      </c>
      <c r="H2763" s="381">
        <f ca="1">IF(IFERROR(INDEX(DATA_PROPERTY_MASTER!$E$5:$E$21,MATCH($C2763,DATA_PROPERTY_MASTER!$A$5:$A$21,0))="Yes",FALSE),IFERROR(INDEX(INDIRECT("'"&amp;$C2763&amp;"'!$E$45:$Y$45"),1,MATCH($D2763,INDIRECT("'"&amp;$C2763&amp;"'!$E$12:$Y$12"),0)),0),0)</f>
        <v>206054.28220585716</v>
      </c>
      <c r="I2763" s="366" t="s">
        <v>1685</v>
      </c>
      <c r="J2763" s="348" t="str">
        <f t="shared" ca="1" si="86"/>
        <v>OK</v>
      </c>
      <c r="K2763" s="366" t="s">
        <v>1694</v>
      </c>
      <c r="L2763" s="366" t="s">
        <v>2242</v>
      </c>
      <c r="M2763" s="350" t="str">
        <f>IF($B2763="Portfolio","Portfolio",IFERROR(INDEX(DATA_ASSET_CLASSIFICATION!$B$8:$B$24,MATCH($C2763,DATA_ASSET_CLASSIFICATION!$A$8:$A$24,0)),"Review"))</f>
        <v>Margaret Heights</v>
      </c>
      <c r="N2763" s="350" t="str">
        <f ca="1">IF($B2763="Portfolio","Portfolio",IFERROR(INDEX(DATA_ASSET_CLASSIFICATION!$U$8:$U$24,MATCH($C2763,DATA_ASSET_CLASSIFICATION!$A$8:$A$24,0)),"Review"))</f>
        <v>Refi Watch</v>
      </c>
      <c r="O2763" s="350" t="str">
        <f ca="1">IF($B2763="Portfolio","Portfolio",IFERROR(INDEX(DATA_ASSET_CLASSIFICATION!$AB$8:$AB$13,MATCH($N2763,DATA_ASSET_CLASSIFICATION!$AA$8:$AA$13,0)),"Review"))</f>
        <v>Bucket 2 · Legacy</v>
      </c>
      <c r="P2763" s="350" t="str">
        <f>IF($B2763="Portfolio","Portfolio",IFERROR(INDEX(DATA_ASSET_CLASSIFICATION!$C$8:$C$24,MATCH($C2763,DATA_ASSET_CLASSIFICATION!$A$8:$A$24,0)),"Review"))</f>
        <v>Yes</v>
      </c>
      <c r="Q2763" s="350" t="str">
        <f t="shared" ca="1" si="87"/>
        <v>OK</v>
      </c>
    </row>
    <row r="2764" spans="1:17">
      <c r="A2764" s="366" t="s">
        <v>4720</v>
      </c>
      <c r="B2764" s="366" t="s">
        <v>231</v>
      </c>
      <c r="C2764" s="348" t="str">
        <f>DATA_PROPERTY_MASTER!$A$13</f>
        <v>BLD_MH</v>
      </c>
      <c r="D2764" s="380">
        <f>'00_PORTFOLIO ROLLUP'!N$12</f>
        <v>2034</v>
      </c>
      <c r="E2764" s="366" t="s">
        <v>23</v>
      </c>
      <c r="F2764" s="366" t="s">
        <v>23</v>
      </c>
      <c r="G2764" s="348" t="str">
        <f>"'"&amp;$C2764&amp;"'!$E$48:$Y$48"</f>
        <v>'BLD_MH'!$E$48:$Y$48</v>
      </c>
      <c r="H2764" s="381">
        <f ca="1">IF(IFERROR(INDEX(DATA_PROPERTY_MASTER!$E$5:$E$21,MATCH($C2764,DATA_PROPERTY_MASTER!$A$5:$A$21,0))="Yes",FALSE),IFERROR(INDEX(INDIRECT("'"&amp;$C2764&amp;"'!$E$48:$Y$48"),1,MATCH($D2764,INDIRECT("'"&amp;$C2764&amp;"'!$E$12:$Y$12"),0)),0),0)</f>
        <v>0</v>
      </c>
      <c r="I2764" s="366" t="s">
        <v>1690</v>
      </c>
      <c r="J2764" s="348" t="str">
        <f t="shared" ca="1" si="86"/>
        <v>OK</v>
      </c>
      <c r="K2764" s="366" t="s">
        <v>1706</v>
      </c>
      <c r="L2764" s="366" t="s">
        <v>2244</v>
      </c>
      <c r="M2764" s="350" t="str">
        <f>IF($B2764="Portfolio","Portfolio",IFERROR(INDEX(DATA_ASSET_CLASSIFICATION!$B$8:$B$24,MATCH($C2764,DATA_ASSET_CLASSIFICATION!$A$8:$A$24,0)),"Review"))</f>
        <v>Margaret Heights</v>
      </c>
      <c r="N2764" s="350" t="str">
        <f ca="1">IF($B2764="Portfolio","Portfolio",IFERROR(INDEX(DATA_ASSET_CLASSIFICATION!$U$8:$U$24,MATCH($C2764,DATA_ASSET_CLASSIFICATION!$A$8:$A$24,0)),"Review"))</f>
        <v>Refi Watch</v>
      </c>
      <c r="O2764" s="350" t="str">
        <f ca="1">IF($B2764="Portfolio","Portfolio",IFERROR(INDEX(DATA_ASSET_CLASSIFICATION!$AB$8:$AB$13,MATCH($N2764,DATA_ASSET_CLASSIFICATION!$AA$8:$AA$13,0)),"Review"))</f>
        <v>Bucket 2 · Legacy</v>
      </c>
      <c r="P2764" s="350" t="str">
        <f>IF($B2764="Portfolio","Portfolio",IFERROR(INDEX(DATA_ASSET_CLASSIFICATION!$C$8:$C$24,MATCH($C2764,DATA_ASSET_CLASSIFICATION!$A$8:$A$24,0)),"Review"))</f>
        <v>Yes</v>
      </c>
      <c r="Q2764" s="350" t="str">
        <f t="shared" ca="1" si="87"/>
        <v>OK</v>
      </c>
    </row>
    <row r="2765" spans="1:17">
      <c r="A2765" s="366" t="s">
        <v>4721</v>
      </c>
      <c r="B2765" s="366" t="s">
        <v>231</v>
      </c>
      <c r="C2765" s="348" t="str">
        <f>DATA_PROPERTY_MASTER!$A$13</f>
        <v>BLD_MH</v>
      </c>
      <c r="D2765" s="380">
        <f>'00_PORTFOLIO ROLLUP'!N$12</f>
        <v>2034</v>
      </c>
      <c r="E2765" s="366" t="s">
        <v>1683</v>
      </c>
      <c r="F2765" s="366" t="s">
        <v>25</v>
      </c>
      <c r="G2765" s="348" t="str">
        <f>"'"&amp;$C2765&amp;"'!$E$52:$Y$52"</f>
        <v>'BLD_MH'!$E$52:$Y$52</v>
      </c>
      <c r="H2765" s="381">
        <f ca="1">IF(IFERROR(INDEX(DATA_PROPERTY_MASTER!$E$5:$E$21,MATCH($C2765,DATA_PROPERTY_MASTER!$A$5:$A$21,0))="Yes",FALSE),IFERROR(INDEX(INDIRECT("'"&amp;$C2765&amp;"'!$E$52:$Y$52"),1,MATCH($D2765,INDIRECT("'"&amp;$C2765&amp;"'!$E$12:$Y$12"),0)),0),0)</f>
        <v>209460.29602643073</v>
      </c>
      <c r="I2765" s="366" t="s">
        <v>1685</v>
      </c>
      <c r="J2765" s="348" t="str">
        <f t="shared" ca="1" si="86"/>
        <v>OK</v>
      </c>
      <c r="K2765" s="366" t="s">
        <v>1710</v>
      </c>
      <c r="L2765" s="366" t="s">
        <v>2246</v>
      </c>
      <c r="M2765" s="350" t="str">
        <f>IF($B2765="Portfolio","Portfolio",IFERROR(INDEX(DATA_ASSET_CLASSIFICATION!$B$8:$B$24,MATCH($C2765,DATA_ASSET_CLASSIFICATION!$A$8:$A$24,0)),"Review"))</f>
        <v>Margaret Heights</v>
      </c>
      <c r="N2765" s="350" t="str">
        <f ca="1">IF($B2765="Portfolio","Portfolio",IFERROR(INDEX(DATA_ASSET_CLASSIFICATION!$U$8:$U$24,MATCH($C2765,DATA_ASSET_CLASSIFICATION!$A$8:$A$24,0)),"Review"))</f>
        <v>Refi Watch</v>
      </c>
      <c r="O2765" s="350" t="str">
        <f ca="1">IF($B2765="Portfolio","Portfolio",IFERROR(INDEX(DATA_ASSET_CLASSIFICATION!$AB$8:$AB$13,MATCH($N2765,DATA_ASSET_CLASSIFICATION!$AA$8:$AA$13,0)),"Review"))</f>
        <v>Bucket 2 · Legacy</v>
      </c>
      <c r="P2765" s="350" t="str">
        <f>IF($B2765="Portfolio","Portfolio",IFERROR(INDEX(DATA_ASSET_CLASSIFICATION!$C$8:$C$24,MATCH($C2765,DATA_ASSET_CLASSIFICATION!$A$8:$A$24,0)),"Review"))</f>
        <v>Yes</v>
      </c>
      <c r="Q2765" s="350" t="str">
        <f t="shared" ca="1" si="87"/>
        <v>OK</v>
      </c>
    </row>
    <row r="2766" spans="1:17">
      <c r="A2766" s="366" t="s">
        <v>4722</v>
      </c>
      <c r="B2766" s="366" t="s">
        <v>231</v>
      </c>
      <c r="C2766" s="348" t="str">
        <f>DATA_PROPERTY_MASTER!$A$13</f>
        <v>BLD_MH</v>
      </c>
      <c r="D2766" s="380">
        <f>'00_PORTFOLIO ROLLUP'!N$12</f>
        <v>2034</v>
      </c>
      <c r="E2766" s="366" t="s">
        <v>1683</v>
      </c>
      <c r="F2766" s="366" t="s">
        <v>27</v>
      </c>
      <c r="G2766" s="348" t="str">
        <f>"'"&amp;$C2766&amp;"'!$E$54:$Y$54"</f>
        <v>'BLD_MH'!$E$54:$Y$54</v>
      </c>
      <c r="H2766" s="381">
        <f ca="1">IF(IFERROR(INDEX(DATA_PROPERTY_MASTER!$E$5:$E$21,MATCH($C2766,DATA_PROPERTY_MASTER!$A$5:$A$21,0))="Yes",FALSE),IFERROR(INDEX(INDIRECT("'"&amp;$C2766&amp;"'!$E$54:$Y$54"),1,MATCH($D2766,INDIRECT("'"&amp;$C2766&amp;"'!$E$12:$Y$12"),0)),0),0)</f>
        <v>125676.17761585844</v>
      </c>
      <c r="I2766" s="366" t="s">
        <v>1690</v>
      </c>
      <c r="J2766" s="348" t="str">
        <f t="shared" ca="1" si="86"/>
        <v>OK</v>
      </c>
      <c r="K2766" s="366" t="s">
        <v>1714</v>
      </c>
      <c r="L2766" s="366" t="s">
        <v>2248</v>
      </c>
      <c r="M2766" s="350" t="str">
        <f>IF($B2766="Portfolio","Portfolio",IFERROR(INDEX(DATA_ASSET_CLASSIFICATION!$B$8:$B$24,MATCH($C2766,DATA_ASSET_CLASSIFICATION!$A$8:$A$24,0)),"Review"))</f>
        <v>Margaret Heights</v>
      </c>
      <c r="N2766" s="350" t="str">
        <f ca="1">IF($B2766="Portfolio","Portfolio",IFERROR(INDEX(DATA_ASSET_CLASSIFICATION!$U$8:$U$24,MATCH($C2766,DATA_ASSET_CLASSIFICATION!$A$8:$A$24,0)),"Review"))</f>
        <v>Refi Watch</v>
      </c>
      <c r="O2766" s="350" t="str">
        <f ca="1">IF($B2766="Portfolio","Portfolio",IFERROR(INDEX(DATA_ASSET_CLASSIFICATION!$AB$8:$AB$13,MATCH($N2766,DATA_ASSET_CLASSIFICATION!$AA$8:$AA$13,0)),"Review"))</f>
        <v>Bucket 2 · Legacy</v>
      </c>
      <c r="P2766" s="350" t="str">
        <f>IF($B2766="Portfolio","Portfolio",IFERROR(INDEX(DATA_ASSET_CLASSIFICATION!$C$8:$C$24,MATCH($C2766,DATA_ASSET_CLASSIFICATION!$A$8:$A$24,0)),"Review"))</f>
        <v>Yes</v>
      </c>
      <c r="Q2766" s="350" t="str">
        <f t="shared" ca="1" si="87"/>
        <v>OK</v>
      </c>
    </row>
    <row r="2767" spans="1:17">
      <c r="A2767" s="366" t="s">
        <v>4723</v>
      </c>
      <c r="B2767" s="366" t="s">
        <v>231</v>
      </c>
      <c r="C2767" s="348" t="str">
        <f>DATA_PROPERTY_MASTER!$A$13</f>
        <v>BLD_MH</v>
      </c>
      <c r="D2767" s="380">
        <f>'00_PORTFOLIO ROLLUP'!N$12</f>
        <v>2034</v>
      </c>
      <c r="E2767" s="366" t="s">
        <v>1683</v>
      </c>
      <c r="F2767" s="366" t="s">
        <v>29</v>
      </c>
      <c r="G2767" s="348" t="str">
        <f>"'"&amp;$C2767&amp;"'!$E$56:$Y$56"</f>
        <v>'BLD_MH'!$E$56:$Y$56</v>
      </c>
      <c r="H2767" s="381">
        <f ca="1">IF(IFERROR(INDEX(DATA_PROPERTY_MASTER!$E$5:$E$21,MATCH($C2767,DATA_PROPERTY_MASTER!$A$5:$A$21,0))="Yes",FALSE),IFERROR(INDEX(INDIRECT("'"&amp;$C2767&amp;"'!$E$56:$Y$56"),1,MATCH($D2767,INDIRECT("'"&amp;$C2767&amp;"'!$E$12:$Y$12"),0)),0),0)</f>
        <v>83784.118410572293</v>
      </c>
      <c r="I2767" s="366" t="s">
        <v>1685</v>
      </c>
      <c r="J2767" s="348" t="str">
        <f t="shared" ca="1" si="86"/>
        <v>OK</v>
      </c>
      <c r="K2767" s="366" t="s">
        <v>1718</v>
      </c>
      <c r="L2767" s="366" t="s">
        <v>2250</v>
      </c>
      <c r="M2767" s="350" t="str">
        <f>IF($B2767="Portfolio","Portfolio",IFERROR(INDEX(DATA_ASSET_CLASSIFICATION!$B$8:$B$24,MATCH($C2767,DATA_ASSET_CLASSIFICATION!$A$8:$A$24,0)),"Review"))</f>
        <v>Margaret Heights</v>
      </c>
      <c r="N2767" s="350" t="str">
        <f ca="1">IF($B2767="Portfolio","Portfolio",IFERROR(INDEX(DATA_ASSET_CLASSIFICATION!$U$8:$U$24,MATCH($C2767,DATA_ASSET_CLASSIFICATION!$A$8:$A$24,0)),"Review"))</f>
        <v>Refi Watch</v>
      </c>
      <c r="O2767" s="350" t="str">
        <f ca="1">IF($B2767="Portfolio","Portfolio",IFERROR(INDEX(DATA_ASSET_CLASSIFICATION!$AB$8:$AB$13,MATCH($N2767,DATA_ASSET_CLASSIFICATION!$AA$8:$AA$13,0)),"Review"))</f>
        <v>Bucket 2 · Legacy</v>
      </c>
      <c r="P2767" s="350" t="str">
        <f>IF($B2767="Portfolio","Portfolio",IFERROR(INDEX(DATA_ASSET_CLASSIFICATION!$C$8:$C$24,MATCH($C2767,DATA_ASSET_CLASSIFICATION!$A$8:$A$24,0)),"Review"))</f>
        <v>Yes</v>
      </c>
      <c r="Q2767" s="350" t="str">
        <f t="shared" ca="1" si="87"/>
        <v>OK</v>
      </c>
    </row>
    <row r="2768" spans="1:17">
      <c r="A2768" s="366" t="s">
        <v>4724</v>
      </c>
      <c r="B2768" s="366" t="s">
        <v>231</v>
      </c>
      <c r="C2768" s="348" t="str">
        <f>DATA_PROPERTY_MASTER!$A$13</f>
        <v>BLD_MH</v>
      </c>
      <c r="D2768" s="380">
        <f>'00_PORTFOLIO ROLLUP'!N$12</f>
        <v>2034</v>
      </c>
      <c r="E2768" s="366" t="s">
        <v>1721</v>
      </c>
      <c r="F2768" s="366" t="s">
        <v>31</v>
      </c>
      <c r="G2768" s="348" t="str">
        <f>"'"&amp;$C2768&amp;"'!$E$61:$Y$61"</f>
        <v>'BLD_MH'!$E$61:$Y$61</v>
      </c>
      <c r="H2768" s="381">
        <f ca="1">IF(IFERROR(INDEX(DATA_PROPERTY_MASTER!$E$5:$E$21,MATCH($C2768,DATA_PROPERTY_MASTER!$A$5:$A$21,0))="Yes",FALSE),IFERROR(INDEX(INDIRECT("'"&amp;$C2768&amp;"'!$E$61:$Y$61"),1,MATCH($D2768,INDIRECT("'"&amp;$C2768&amp;"'!$E$12:$Y$12"),0)),0),0)</f>
        <v>0</v>
      </c>
      <c r="I2768" s="366" t="s">
        <v>1690</v>
      </c>
      <c r="J2768" s="348" t="str">
        <f t="shared" ca="1" si="86"/>
        <v>OK</v>
      </c>
      <c r="K2768" s="366" t="s">
        <v>1723</v>
      </c>
      <c r="L2768" s="366" t="s">
        <v>2252</v>
      </c>
      <c r="M2768" s="350" t="str">
        <f>IF($B2768="Portfolio","Portfolio",IFERROR(INDEX(DATA_ASSET_CLASSIFICATION!$B$8:$B$24,MATCH($C2768,DATA_ASSET_CLASSIFICATION!$A$8:$A$24,0)),"Review"))</f>
        <v>Margaret Heights</v>
      </c>
      <c r="N2768" s="350" t="str">
        <f ca="1">IF($B2768="Portfolio","Portfolio",IFERROR(INDEX(DATA_ASSET_CLASSIFICATION!$U$8:$U$24,MATCH($C2768,DATA_ASSET_CLASSIFICATION!$A$8:$A$24,0)),"Review"))</f>
        <v>Refi Watch</v>
      </c>
      <c r="O2768" s="350" t="str">
        <f ca="1">IF($B2768="Portfolio","Portfolio",IFERROR(INDEX(DATA_ASSET_CLASSIFICATION!$AB$8:$AB$13,MATCH($N2768,DATA_ASSET_CLASSIFICATION!$AA$8:$AA$13,0)),"Review"))</f>
        <v>Bucket 2 · Legacy</v>
      </c>
      <c r="P2768" s="350" t="str">
        <f>IF($B2768="Portfolio","Portfolio",IFERROR(INDEX(DATA_ASSET_CLASSIFICATION!$C$8:$C$24,MATCH($C2768,DATA_ASSET_CLASSIFICATION!$A$8:$A$24,0)),"Review"))</f>
        <v>Yes</v>
      </c>
      <c r="Q2768" s="350" t="str">
        <f t="shared" ca="1" si="87"/>
        <v>OK</v>
      </c>
    </row>
    <row r="2769" spans="1:17">
      <c r="A2769" s="366" t="s">
        <v>4725</v>
      </c>
      <c r="B2769" s="366" t="s">
        <v>231</v>
      </c>
      <c r="C2769" s="348" t="str">
        <f>DATA_PROPERTY_MASTER!$A$13</f>
        <v>BLD_MH</v>
      </c>
      <c r="D2769" s="380">
        <f>'00_PORTFOLIO ROLLUP'!N$12</f>
        <v>2034</v>
      </c>
      <c r="E2769" s="366" t="s">
        <v>1721</v>
      </c>
      <c r="F2769" s="366" t="s">
        <v>33</v>
      </c>
      <c r="G2769" s="348" t="str">
        <f>"'"&amp;$C2769&amp;"'!$E$62:$Y$62"</f>
        <v>'BLD_MH'!$E$62:$Y$62</v>
      </c>
      <c r="H2769" s="381">
        <f ca="1">IF(IFERROR(INDEX(DATA_PROPERTY_MASTER!$E$5:$E$21,MATCH($C2769,DATA_PROPERTY_MASTER!$A$5:$A$21,0))="Yes",FALSE),IFERROR(INDEX(INDIRECT("'"&amp;$C2769&amp;"'!$E$62:$Y$62"),1,MATCH($D2769,INDIRECT("'"&amp;$C2769&amp;"'!$E$12:$Y$12"),0)),0),0)</f>
        <v>0</v>
      </c>
      <c r="I2769" s="366" t="s">
        <v>1685</v>
      </c>
      <c r="J2769" s="348" t="str">
        <f t="shared" ca="1" si="86"/>
        <v>OK</v>
      </c>
      <c r="K2769" s="366" t="s">
        <v>1727</v>
      </c>
      <c r="L2769" s="366" t="s">
        <v>2254</v>
      </c>
      <c r="M2769" s="350" t="str">
        <f>IF($B2769="Portfolio","Portfolio",IFERROR(INDEX(DATA_ASSET_CLASSIFICATION!$B$8:$B$24,MATCH($C2769,DATA_ASSET_CLASSIFICATION!$A$8:$A$24,0)),"Review"))</f>
        <v>Margaret Heights</v>
      </c>
      <c r="N2769" s="350" t="str">
        <f ca="1">IF($B2769="Portfolio","Portfolio",IFERROR(INDEX(DATA_ASSET_CLASSIFICATION!$U$8:$U$24,MATCH($C2769,DATA_ASSET_CLASSIFICATION!$A$8:$A$24,0)),"Review"))</f>
        <v>Refi Watch</v>
      </c>
      <c r="O2769" s="350" t="str">
        <f ca="1">IF($B2769="Portfolio","Portfolio",IFERROR(INDEX(DATA_ASSET_CLASSIFICATION!$AB$8:$AB$13,MATCH($N2769,DATA_ASSET_CLASSIFICATION!$AA$8:$AA$13,0)),"Review"))</f>
        <v>Bucket 2 · Legacy</v>
      </c>
      <c r="P2769" s="350" t="str">
        <f>IF($B2769="Portfolio","Portfolio",IFERROR(INDEX(DATA_ASSET_CLASSIFICATION!$C$8:$C$24,MATCH($C2769,DATA_ASSET_CLASSIFICATION!$A$8:$A$24,0)),"Review"))</f>
        <v>Yes</v>
      </c>
      <c r="Q2769" s="350" t="str">
        <f t="shared" ca="1" si="87"/>
        <v>OK</v>
      </c>
    </row>
    <row r="2770" spans="1:17">
      <c r="A2770" s="366" t="s">
        <v>4726</v>
      </c>
      <c r="B2770" s="366" t="s">
        <v>231</v>
      </c>
      <c r="C2770" s="348" t="str">
        <f>DATA_PROPERTY_MASTER!$A$13</f>
        <v>BLD_MH</v>
      </c>
      <c r="D2770" s="380">
        <f>'00_PORTFOLIO ROLLUP'!N$12</f>
        <v>2034</v>
      </c>
      <c r="E2770" s="366" t="s">
        <v>1721</v>
      </c>
      <c r="F2770" s="366" t="s">
        <v>35</v>
      </c>
      <c r="G2770" s="348" t="str">
        <f>"'"&amp;$C2770&amp;"'!$E$63:$Y$63"</f>
        <v>'BLD_MH'!$E$63:$Y$63</v>
      </c>
      <c r="H2770" s="381">
        <f ca="1">IF(IFERROR(INDEX(DATA_PROPERTY_MASTER!$E$5:$E$21,MATCH($C2770,DATA_PROPERTY_MASTER!$A$5:$A$21,0))="Yes",FALSE),IFERROR(INDEX(INDIRECT("'"&amp;$C2770&amp;"'!$E$63:$Y$63"),1,MATCH($D2770,INDIRECT("'"&amp;$C2770&amp;"'!$E$12:$Y$12"),0)),0),0)</f>
        <v>0</v>
      </c>
      <c r="I2770" s="366" t="s">
        <v>1731</v>
      </c>
      <c r="J2770" s="348" t="str">
        <f t="shared" ca="1" si="86"/>
        <v>OK</v>
      </c>
      <c r="K2770" s="366" t="s">
        <v>1732</v>
      </c>
      <c r="L2770" s="366" t="s">
        <v>2256</v>
      </c>
      <c r="M2770" s="350" t="str">
        <f>IF($B2770="Portfolio","Portfolio",IFERROR(INDEX(DATA_ASSET_CLASSIFICATION!$B$8:$B$24,MATCH($C2770,DATA_ASSET_CLASSIFICATION!$A$8:$A$24,0)),"Review"))</f>
        <v>Margaret Heights</v>
      </c>
      <c r="N2770" s="350" t="str">
        <f ca="1">IF($B2770="Portfolio","Portfolio",IFERROR(INDEX(DATA_ASSET_CLASSIFICATION!$U$8:$U$24,MATCH($C2770,DATA_ASSET_CLASSIFICATION!$A$8:$A$24,0)),"Review"))</f>
        <v>Refi Watch</v>
      </c>
      <c r="O2770" s="350" t="str">
        <f ca="1">IF($B2770="Portfolio","Portfolio",IFERROR(INDEX(DATA_ASSET_CLASSIFICATION!$AB$8:$AB$13,MATCH($N2770,DATA_ASSET_CLASSIFICATION!$AA$8:$AA$13,0)),"Review"))</f>
        <v>Bucket 2 · Legacy</v>
      </c>
      <c r="P2770" s="350" t="str">
        <f>IF($B2770="Portfolio","Portfolio",IFERROR(INDEX(DATA_ASSET_CLASSIFICATION!$C$8:$C$24,MATCH($C2770,DATA_ASSET_CLASSIFICATION!$A$8:$A$24,0)),"Review"))</f>
        <v>Yes</v>
      </c>
      <c r="Q2770" s="350" t="str">
        <f t="shared" ca="1" si="87"/>
        <v>OK</v>
      </c>
    </row>
    <row r="2771" spans="1:17">
      <c r="A2771" s="366" t="s">
        <v>4727</v>
      </c>
      <c r="B2771" s="366" t="s">
        <v>231</v>
      </c>
      <c r="C2771" s="348" t="str">
        <f>DATA_PROPERTY_MASTER!$A$13</f>
        <v>BLD_MH</v>
      </c>
      <c r="D2771" s="380">
        <f>'00_PORTFOLIO ROLLUP'!N$12</f>
        <v>2034</v>
      </c>
      <c r="E2771" s="366" t="s">
        <v>1721</v>
      </c>
      <c r="F2771" s="366" t="s">
        <v>37</v>
      </c>
      <c r="G2771" s="348" t="str">
        <f>"'"&amp;$C2771&amp;"'!$E$63:$Y$63"</f>
        <v>'BLD_MH'!$E$63:$Y$63</v>
      </c>
      <c r="H2771" s="381">
        <f ca="1">IF(IFERROR(INDEX(DATA_PROPERTY_MASTER!$E$5:$E$21,MATCH($C2771,DATA_PROPERTY_MASTER!$A$5:$A$21,0))="Yes",FALSE),MAX(IFERROR(INDEX(INDIRECT("'"&amp;$C2771&amp;"'!$E$63:$Y$63"),1,MATCH($D2771,INDIRECT("'"&amp;$C2771&amp;"'!$E$12:$Y$12"),0)),0),0),0)</f>
        <v>0</v>
      </c>
      <c r="I2771" s="366" t="s">
        <v>1685</v>
      </c>
      <c r="J2771" s="348" t="str">
        <f t="shared" ca="1" si="86"/>
        <v>OK</v>
      </c>
      <c r="K2771" s="366" t="s">
        <v>1735</v>
      </c>
      <c r="L2771" s="366" t="s">
        <v>2258</v>
      </c>
      <c r="M2771" s="350" t="str">
        <f>IF($B2771="Portfolio","Portfolio",IFERROR(INDEX(DATA_ASSET_CLASSIFICATION!$B$8:$B$24,MATCH($C2771,DATA_ASSET_CLASSIFICATION!$A$8:$A$24,0)),"Review"))</f>
        <v>Margaret Heights</v>
      </c>
      <c r="N2771" s="350" t="str">
        <f ca="1">IF($B2771="Portfolio","Portfolio",IFERROR(INDEX(DATA_ASSET_CLASSIFICATION!$U$8:$U$24,MATCH($C2771,DATA_ASSET_CLASSIFICATION!$A$8:$A$24,0)),"Review"))</f>
        <v>Refi Watch</v>
      </c>
      <c r="O2771" s="350" t="str">
        <f ca="1">IF($B2771="Portfolio","Portfolio",IFERROR(INDEX(DATA_ASSET_CLASSIFICATION!$AB$8:$AB$13,MATCH($N2771,DATA_ASSET_CLASSIFICATION!$AA$8:$AA$13,0)),"Review"))</f>
        <v>Bucket 2 · Legacy</v>
      </c>
      <c r="P2771" s="350" t="str">
        <f>IF($B2771="Portfolio","Portfolio",IFERROR(INDEX(DATA_ASSET_CLASSIFICATION!$C$8:$C$24,MATCH($C2771,DATA_ASSET_CLASSIFICATION!$A$8:$A$24,0)),"Review"))</f>
        <v>Yes</v>
      </c>
      <c r="Q2771" s="350" t="str">
        <f t="shared" ca="1" si="87"/>
        <v>OK</v>
      </c>
    </row>
    <row r="2772" spans="1:17">
      <c r="A2772" s="366" t="s">
        <v>4728</v>
      </c>
      <c r="B2772" s="366" t="s">
        <v>231</v>
      </c>
      <c r="C2772" s="348" t="str">
        <f>DATA_PROPERTY_MASTER!$A$13</f>
        <v>BLD_MH</v>
      </c>
      <c r="D2772" s="380">
        <f>'00_PORTFOLIO ROLLUP'!N$12</f>
        <v>2034</v>
      </c>
      <c r="E2772" s="366" t="s">
        <v>1721</v>
      </c>
      <c r="F2772" s="366" t="s">
        <v>39</v>
      </c>
      <c r="G2772" s="348" t="str">
        <f>"'"&amp;$C2772&amp;"'!$E$63:$Y$63"</f>
        <v>'BLD_MH'!$E$63:$Y$63</v>
      </c>
      <c r="H2772" s="381">
        <f ca="1">IF(IFERROR(INDEX(DATA_PROPERTY_MASTER!$E$5:$E$21,MATCH($C2772,DATA_PROPERTY_MASTER!$A$5:$A$21,0))="Yes",FALSE),MAX(-IFERROR(INDEX(INDIRECT("'"&amp;$C2772&amp;"'!$E$63:$Y$63"),1,MATCH($D2772,INDIRECT("'"&amp;$C2772&amp;"'!$E$12:$Y$12"),0)),0),0),0)</f>
        <v>0</v>
      </c>
      <c r="I2772" s="366" t="s">
        <v>1690</v>
      </c>
      <c r="J2772" s="348" t="str">
        <f t="shared" ca="1" si="86"/>
        <v>OK</v>
      </c>
      <c r="K2772" s="366" t="s">
        <v>1738</v>
      </c>
      <c r="L2772" s="366" t="s">
        <v>2260</v>
      </c>
      <c r="M2772" s="350" t="str">
        <f>IF($B2772="Portfolio","Portfolio",IFERROR(INDEX(DATA_ASSET_CLASSIFICATION!$B$8:$B$24,MATCH($C2772,DATA_ASSET_CLASSIFICATION!$A$8:$A$24,0)),"Review"))</f>
        <v>Margaret Heights</v>
      </c>
      <c r="N2772" s="350" t="str">
        <f ca="1">IF($B2772="Portfolio","Portfolio",IFERROR(INDEX(DATA_ASSET_CLASSIFICATION!$U$8:$U$24,MATCH($C2772,DATA_ASSET_CLASSIFICATION!$A$8:$A$24,0)),"Review"))</f>
        <v>Refi Watch</v>
      </c>
      <c r="O2772" s="350" t="str">
        <f ca="1">IF($B2772="Portfolio","Portfolio",IFERROR(INDEX(DATA_ASSET_CLASSIFICATION!$AB$8:$AB$13,MATCH($N2772,DATA_ASSET_CLASSIFICATION!$AA$8:$AA$13,0)),"Review"))</f>
        <v>Bucket 2 · Legacy</v>
      </c>
      <c r="P2772" s="350" t="str">
        <f>IF($B2772="Portfolio","Portfolio",IFERROR(INDEX(DATA_ASSET_CLASSIFICATION!$C$8:$C$24,MATCH($C2772,DATA_ASSET_CLASSIFICATION!$A$8:$A$24,0)),"Review"))</f>
        <v>Yes</v>
      </c>
      <c r="Q2772" s="350" t="str">
        <f t="shared" ca="1" si="87"/>
        <v>OK</v>
      </c>
    </row>
    <row r="2773" spans="1:17">
      <c r="A2773" s="366" t="s">
        <v>4729</v>
      </c>
      <c r="B2773" s="366" t="s">
        <v>231</v>
      </c>
      <c r="C2773" s="348" t="str">
        <f>DATA_PROPERTY_MASTER!$A$13</f>
        <v>BLD_MH</v>
      </c>
      <c r="D2773" s="380">
        <f>'00_PORTFOLIO ROLLUP'!N$12</f>
        <v>2034</v>
      </c>
      <c r="E2773" s="366" t="s">
        <v>1741</v>
      </c>
      <c r="F2773" s="366" t="s">
        <v>41</v>
      </c>
      <c r="G2773" s="348" t="str">
        <f>"'"&amp;$C2773&amp;"'!rows 56 + positive row 63"</f>
        <v>'BLD_MH'!rows 56 + positive row 63</v>
      </c>
      <c r="H2773" s="381">
        <f ca="1">IF(IFERROR(INDEX(DATA_PROPERTY_MASTER!$E$5:$E$21,MATCH($C2773,DATA_PROPERTY_MASTER!$A$5:$A$21,0))="Yes",FALSE),IFERROR(INDEX(INDIRECT("'"&amp;$C2773&amp;"'!$E$56:$Y$56"),1,MATCH($D2773,INDIRECT("'"&amp;$C2773&amp;"'!$E$12:$Y$12"),0)),0)+MAX(IFERROR(INDEX(INDIRECT("'"&amp;$C2773&amp;"'!$E$63:$Y$63"),1,MATCH($D2773,INDIRECT("'"&amp;$C2773&amp;"'!$E$12:$Y$12"),0)),0),0),0)</f>
        <v>83784.118410572293</v>
      </c>
      <c r="I2773" s="366" t="s">
        <v>1685</v>
      </c>
      <c r="J2773" s="348" t="str">
        <f t="shared" ca="1" si="86"/>
        <v>OK</v>
      </c>
      <c r="K2773" s="366" t="s">
        <v>1742</v>
      </c>
      <c r="L2773" s="366" t="s">
        <v>2262</v>
      </c>
      <c r="M2773" s="350" t="str">
        <f>IF($B2773="Portfolio","Portfolio",IFERROR(INDEX(DATA_ASSET_CLASSIFICATION!$B$8:$B$24,MATCH($C2773,DATA_ASSET_CLASSIFICATION!$A$8:$A$24,0)),"Review"))</f>
        <v>Margaret Heights</v>
      </c>
      <c r="N2773" s="350" t="str">
        <f ca="1">IF($B2773="Portfolio","Portfolio",IFERROR(INDEX(DATA_ASSET_CLASSIFICATION!$U$8:$U$24,MATCH($C2773,DATA_ASSET_CLASSIFICATION!$A$8:$A$24,0)),"Review"))</f>
        <v>Refi Watch</v>
      </c>
      <c r="O2773" s="350" t="str">
        <f ca="1">IF($B2773="Portfolio","Portfolio",IFERROR(INDEX(DATA_ASSET_CLASSIFICATION!$AB$8:$AB$13,MATCH($N2773,DATA_ASSET_CLASSIFICATION!$AA$8:$AA$13,0)),"Review"))</f>
        <v>Bucket 2 · Legacy</v>
      </c>
      <c r="P2773" s="350" t="str">
        <f>IF($B2773="Portfolio","Portfolio",IFERROR(INDEX(DATA_ASSET_CLASSIFICATION!$C$8:$C$24,MATCH($C2773,DATA_ASSET_CLASSIFICATION!$A$8:$A$24,0)),"Review"))</f>
        <v>Yes</v>
      </c>
      <c r="Q2773" s="350" t="str">
        <f t="shared" ca="1" si="87"/>
        <v>OK</v>
      </c>
    </row>
    <row r="2774" spans="1:17">
      <c r="A2774" s="366" t="s">
        <v>4730</v>
      </c>
      <c r="B2774" s="366" t="s">
        <v>231</v>
      </c>
      <c r="C2774" s="348" t="str">
        <f>DATA_PROPERTY_MASTER!$A$13</f>
        <v>BLD_MH</v>
      </c>
      <c r="D2774" s="380">
        <f>'00_PORTFOLIO ROLLUP'!N$12</f>
        <v>2034</v>
      </c>
      <c r="E2774" s="366" t="s">
        <v>1741</v>
      </c>
      <c r="F2774" s="366" t="s">
        <v>43</v>
      </c>
      <c r="G2774" s="348" t="str">
        <f>"'"&amp;$C2774&amp;"'!$E$68:$Y$68"</f>
        <v>'BLD_MH'!$E$68:$Y$68</v>
      </c>
      <c r="H2774" s="381">
        <f ca="1">IF(IFERROR(INDEX(DATA_PROPERTY_MASTER!$E$5:$E$21,MATCH($C2774,DATA_PROPERTY_MASTER!$A$5:$A$21,0))="Yes",FALSE),IFERROR(INDEX(INDIRECT("'"&amp;$C2774&amp;"'!$E$68:$Y$68"),1,MATCH($D2774,INDIRECT("'"&amp;$C2774&amp;"'!$E$12:$Y$12"),0)),0),0)</f>
        <v>83784.118410572293</v>
      </c>
      <c r="I2774" s="366" t="s">
        <v>1731</v>
      </c>
      <c r="J2774" s="348" t="str">
        <f t="shared" ca="1" si="86"/>
        <v>OK</v>
      </c>
      <c r="K2774" s="366" t="s">
        <v>1746</v>
      </c>
      <c r="L2774" s="366" t="s">
        <v>2264</v>
      </c>
      <c r="M2774" s="350" t="str">
        <f>IF($B2774="Portfolio","Portfolio",IFERROR(INDEX(DATA_ASSET_CLASSIFICATION!$B$8:$B$24,MATCH($C2774,DATA_ASSET_CLASSIFICATION!$A$8:$A$24,0)),"Review"))</f>
        <v>Margaret Heights</v>
      </c>
      <c r="N2774" s="350" t="str">
        <f ca="1">IF($B2774="Portfolio","Portfolio",IFERROR(INDEX(DATA_ASSET_CLASSIFICATION!$U$8:$U$24,MATCH($C2774,DATA_ASSET_CLASSIFICATION!$A$8:$A$24,0)),"Review"))</f>
        <v>Refi Watch</v>
      </c>
      <c r="O2774" s="350" t="str">
        <f ca="1">IF($B2774="Portfolio","Portfolio",IFERROR(INDEX(DATA_ASSET_CLASSIFICATION!$AB$8:$AB$13,MATCH($N2774,DATA_ASSET_CLASSIFICATION!$AA$8:$AA$13,0)),"Review"))</f>
        <v>Bucket 2 · Legacy</v>
      </c>
      <c r="P2774" s="350" t="str">
        <f>IF($B2774="Portfolio","Portfolio",IFERROR(INDEX(DATA_ASSET_CLASSIFICATION!$C$8:$C$24,MATCH($C2774,DATA_ASSET_CLASSIFICATION!$A$8:$A$24,0)),"Review"))</f>
        <v>Yes</v>
      </c>
      <c r="Q2774" s="350" t="str">
        <f t="shared" ca="1" si="87"/>
        <v>OK</v>
      </c>
    </row>
    <row r="2775" spans="1:17">
      <c r="A2775" s="366" t="s">
        <v>4731</v>
      </c>
      <c r="B2775" s="366" t="s">
        <v>231</v>
      </c>
      <c r="C2775" s="348" t="str">
        <f>DATA_PROPERTY_MASTER!$A$13</f>
        <v>BLD_MH</v>
      </c>
      <c r="D2775" s="380">
        <f>'00_PORTFOLIO ROLLUP'!N$12</f>
        <v>2034</v>
      </c>
      <c r="E2775" s="366" t="s">
        <v>1741</v>
      </c>
      <c r="F2775" s="366" t="s">
        <v>1749</v>
      </c>
      <c r="G2775" s="348" t="str">
        <f>"'"&amp;$C2775&amp;"'!rows 56, 63, 68"</f>
        <v>'BLD_MH'!rows 56, 63, 68</v>
      </c>
      <c r="H2775" s="381">
        <f ca="1">IF(IFERROR(INDEX(DATA_PROPERTY_MASTER!$E$5:$E$21,MATCH($C2775,DATA_PROPERTY_MASTER!$A$5:$A$21,0))="Yes",FALSE),(IFERROR(INDEX(INDIRECT("'"&amp;$C2775&amp;"'!$E$56:$Y$56"),1,MATCH($D2775,INDIRECT("'"&amp;$C2775&amp;"'!$E$12:$Y$12"),0)),0)+MAX(IFERROR(INDEX(INDIRECT("'"&amp;$C2775&amp;"'!$E$63:$Y$63"),1,MATCH($D2775,INDIRECT("'"&amp;$C2775&amp;"'!$E$12:$Y$12"),0)),0),0))-(IFERROR(INDEX(INDIRECT("'"&amp;$C2775&amp;"'!$E$68:$Y$68"),1,MATCH($D2775,INDIRECT("'"&amp;$C2775&amp;"'!$E$12:$Y$12"),0)),0)),0)</f>
        <v>0</v>
      </c>
      <c r="I2775" s="366" t="s">
        <v>1750</v>
      </c>
      <c r="J2775" s="348" t="str">
        <f t="shared" ca="1" si="86"/>
        <v>OK</v>
      </c>
      <c r="K2775" s="366" t="s">
        <v>1751</v>
      </c>
      <c r="L2775" s="366" t="s">
        <v>2266</v>
      </c>
      <c r="M2775" s="350" t="str">
        <f>IF($B2775="Portfolio","Portfolio",IFERROR(INDEX(DATA_ASSET_CLASSIFICATION!$B$8:$B$24,MATCH($C2775,DATA_ASSET_CLASSIFICATION!$A$8:$A$24,0)),"Review"))</f>
        <v>Margaret Heights</v>
      </c>
      <c r="N2775" s="350" t="str">
        <f ca="1">IF($B2775="Portfolio","Portfolio",IFERROR(INDEX(DATA_ASSET_CLASSIFICATION!$U$8:$U$24,MATCH($C2775,DATA_ASSET_CLASSIFICATION!$A$8:$A$24,0)),"Review"))</f>
        <v>Refi Watch</v>
      </c>
      <c r="O2775" s="350" t="str">
        <f ca="1">IF($B2775="Portfolio","Portfolio",IFERROR(INDEX(DATA_ASSET_CLASSIFICATION!$AB$8:$AB$13,MATCH($N2775,DATA_ASSET_CLASSIFICATION!$AA$8:$AA$13,0)),"Review"))</f>
        <v>Bucket 2 · Legacy</v>
      </c>
      <c r="P2775" s="350" t="str">
        <f>IF($B2775="Portfolio","Portfolio",IFERROR(INDEX(DATA_ASSET_CLASSIFICATION!$C$8:$C$24,MATCH($C2775,DATA_ASSET_CLASSIFICATION!$A$8:$A$24,0)),"Review"))</f>
        <v>Yes</v>
      </c>
      <c r="Q2775" s="350" t="str">
        <f t="shared" ca="1" si="87"/>
        <v>OK</v>
      </c>
    </row>
    <row r="2776" spans="1:17">
      <c r="A2776" s="366" t="s">
        <v>4732</v>
      </c>
      <c r="B2776" s="366" t="s">
        <v>231</v>
      </c>
      <c r="C2776" s="348" t="str">
        <f>DATA_PROPERTY_MASTER!$A$13</f>
        <v>BLD_MH</v>
      </c>
      <c r="D2776" s="380">
        <f>'00_PORTFOLIO ROLLUP'!O$12</f>
        <v>2035</v>
      </c>
      <c r="E2776" s="366" t="s">
        <v>1683</v>
      </c>
      <c r="F2776" s="366" t="s">
        <v>341</v>
      </c>
      <c r="G2776" s="348" t="str">
        <f>"'"&amp;$C2776&amp;"'!$E$24:$Y$24"</f>
        <v>'BLD_MH'!$E$24:$Y$24</v>
      </c>
      <c r="H2776" s="381">
        <f ca="1">IF(IFERROR(INDEX(DATA_PROPERTY_MASTER!$E$5:$E$21,MATCH($C2776,DATA_PROPERTY_MASTER!$A$5:$A$21,0))="Yes",FALSE),IFERROR(INDEX(INDIRECT("'"&amp;$C2776&amp;"'!$E$24:$Y$24"),1,MATCH($D2776,INDIRECT("'"&amp;$C2776&amp;"'!$E$12:$Y$12"),0)),0),0)</f>
        <v>481177.35364365659</v>
      </c>
      <c r="I2776" s="366" t="s">
        <v>1685</v>
      </c>
      <c r="J2776" s="348" t="str">
        <f t="shared" ca="1" si="86"/>
        <v>OK</v>
      </c>
      <c r="K2776" s="366" t="s">
        <v>1686</v>
      </c>
      <c r="L2776" s="366" t="s">
        <v>2234</v>
      </c>
      <c r="M2776" s="350" t="str">
        <f>IF($B2776="Portfolio","Portfolio",IFERROR(INDEX(DATA_ASSET_CLASSIFICATION!$B$8:$B$24,MATCH($C2776,DATA_ASSET_CLASSIFICATION!$A$8:$A$24,0)),"Review"))</f>
        <v>Margaret Heights</v>
      </c>
      <c r="N2776" s="350" t="str">
        <f ca="1">IF($B2776="Portfolio","Portfolio",IFERROR(INDEX(DATA_ASSET_CLASSIFICATION!$U$8:$U$24,MATCH($C2776,DATA_ASSET_CLASSIFICATION!$A$8:$A$24,0)),"Review"))</f>
        <v>Refi Watch</v>
      </c>
      <c r="O2776" s="350" t="str">
        <f ca="1">IF($B2776="Portfolio","Portfolio",IFERROR(INDEX(DATA_ASSET_CLASSIFICATION!$AB$8:$AB$13,MATCH($N2776,DATA_ASSET_CLASSIFICATION!$AA$8:$AA$13,0)),"Review"))</f>
        <v>Bucket 2 · Legacy</v>
      </c>
      <c r="P2776" s="350" t="str">
        <f>IF($B2776="Portfolio","Portfolio",IFERROR(INDEX(DATA_ASSET_CLASSIFICATION!$C$8:$C$24,MATCH($C2776,DATA_ASSET_CLASSIFICATION!$A$8:$A$24,0)),"Review"))</f>
        <v>Yes</v>
      </c>
      <c r="Q2776" s="350" t="str">
        <f t="shared" ca="1" si="87"/>
        <v>OK</v>
      </c>
    </row>
    <row r="2777" spans="1:17">
      <c r="A2777" s="366" t="s">
        <v>4733</v>
      </c>
      <c r="B2777" s="366" t="s">
        <v>231</v>
      </c>
      <c r="C2777" s="348" t="str">
        <f>DATA_PROPERTY_MASTER!$A$13</f>
        <v>BLD_MH</v>
      </c>
      <c r="D2777" s="380">
        <f>'00_PORTFOLIO ROLLUP'!O$12</f>
        <v>2035</v>
      </c>
      <c r="E2777" s="366" t="s">
        <v>1683</v>
      </c>
      <c r="F2777" s="366" t="s">
        <v>355</v>
      </c>
      <c r="G2777" s="348" t="str">
        <f>"'"&amp;$C2777&amp;"'!$E$39:$Y$39"</f>
        <v>'BLD_MH'!$E$39:$Y$39</v>
      </c>
      <c r="H2777" s="381">
        <f ca="1">IF(IFERROR(INDEX(DATA_PROPERTY_MASTER!$E$5:$E$21,MATCH($C2777,DATA_PROPERTY_MASTER!$A$5:$A$21,0))="Yes",FALSE),IFERROR(INDEX(INDIRECT("'"&amp;$C2777&amp;"'!$E$39:$Y$39"),1,MATCH($D2777,INDIRECT("'"&amp;$C2777&amp;"'!$E$12:$Y$12"),0)),0),0)</f>
        <v>268839.26273442613</v>
      </c>
      <c r="I2777" s="366" t="s">
        <v>1690</v>
      </c>
      <c r="J2777" s="348" t="str">
        <f t="shared" ca="1" si="86"/>
        <v>OK</v>
      </c>
      <c r="K2777" s="366" t="s">
        <v>1686</v>
      </c>
      <c r="L2777" s="366" t="s">
        <v>2236</v>
      </c>
      <c r="M2777" s="350" t="str">
        <f>IF($B2777="Portfolio","Portfolio",IFERROR(INDEX(DATA_ASSET_CLASSIFICATION!$B$8:$B$24,MATCH($C2777,DATA_ASSET_CLASSIFICATION!$A$8:$A$24,0)),"Review"))</f>
        <v>Margaret Heights</v>
      </c>
      <c r="N2777" s="350" t="str">
        <f ca="1">IF($B2777="Portfolio","Portfolio",IFERROR(INDEX(DATA_ASSET_CLASSIFICATION!$U$8:$U$24,MATCH($C2777,DATA_ASSET_CLASSIFICATION!$A$8:$A$24,0)),"Review"))</f>
        <v>Refi Watch</v>
      </c>
      <c r="O2777" s="350" t="str">
        <f ca="1">IF($B2777="Portfolio","Portfolio",IFERROR(INDEX(DATA_ASSET_CLASSIFICATION!$AB$8:$AB$13,MATCH($N2777,DATA_ASSET_CLASSIFICATION!$AA$8:$AA$13,0)),"Review"))</f>
        <v>Bucket 2 · Legacy</v>
      </c>
      <c r="P2777" s="350" t="str">
        <f>IF($B2777="Portfolio","Portfolio",IFERROR(INDEX(DATA_ASSET_CLASSIFICATION!$C$8:$C$24,MATCH($C2777,DATA_ASSET_CLASSIFICATION!$A$8:$A$24,0)),"Review"))</f>
        <v>Yes</v>
      </c>
      <c r="Q2777" s="350" t="str">
        <f t="shared" ca="1" si="87"/>
        <v>OK</v>
      </c>
    </row>
    <row r="2778" spans="1:17">
      <c r="A2778" s="366" t="s">
        <v>4734</v>
      </c>
      <c r="B2778" s="366" t="s">
        <v>231</v>
      </c>
      <c r="C2778" s="348" t="str">
        <f>DATA_PROPERTY_MASTER!$A$13</f>
        <v>BLD_MH</v>
      </c>
      <c r="D2778" s="380">
        <f>'00_PORTFOLIO ROLLUP'!O$12</f>
        <v>2035</v>
      </c>
      <c r="E2778" s="366" t="s">
        <v>1683</v>
      </c>
      <c r="F2778" s="366" t="s">
        <v>19</v>
      </c>
      <c r="G2778" s="348" t="str">
        <f>"'"&amp;$C2778&amp;"'!$E$41:$Y$41"</f>
        <v>'BLD_MH'!$E$41:$Y$41</v>
      </c>
      <c r="H2778" s="381">
        <f ca="1">IF(IFERROR(INDEX(DATA_PROPERTY_MASTER!$E$5:$E$21,MATCH($C2778,DATA_PROPERTY_MASTER!$A$5:$A$21,0))="Yes",FALSE),IFERROR(INDEX(INDIRECT("'"&amp;$C2778&amp;"'!$E$41:$Y$41"),1,MATCH($D2778,INDIRECT("'"&amp;$C2778&amp;"'!$E$12:$Y$12"),0)),0),0)</f>
        <v>212338.09090923046</v>
      </c>
      <c r="I2778" s="366" t="s">
        <v>1685</v>
      </c>
      <c r="J2778" s="348" t="str">
        <f t="shared" ca="1" si="86"/>
        <v>OK</v>
      </c>
      <c r="K2778" s="366" t="s">
        <v>1694</v>
      </c>
      <c r="L2778" s="366" t="s">
        <v>2238</v>
      </c>
      <c r="M2778" s="350" t="str">
        <f>IF($B2778="Portfolio","Portfolio",IFERROR(INDEX(DATA_ASSET_CLASSIFICATION!$B$8:$B$24,MATCH($C2778,DATA_ASSET_CLASSIFICATION!$A$8:$A$24,0)),"Review"))</f>
        <v>Margaret Heights</v>
      </c>
      <c r="N2778" s="350" t="str">
        <f ca="1">IF($B2778="Portfolio","Portfolio",IFERROR(INDEX(DATA_ASSET_CLASSIFICATION!$U$8:$U$24,MATCH($C2778,DATA_ASSET_CLASSIFICATION!$A$8:$A$24,0)),"Review"))</f>
        <v>Refi Watch</v>
      </c>
      <c r="O2778" s="350" t="str">
        <f ca="1">IF($B2778="Portfolio","Portfolio",IFERROR(INDEX(DATA_ASSET_CLASSIFICATION!$AB$8:$AB$13,MATCH($N2778,DATA_ASSET_CLASSIFICATION!$AA$8:$AA$13,0)),"Review"))</f>
        <v>Bucket 2 · Legacy</v>
      </c>
      <c r="P2778" s="350" t="str">
        <f>IF($B2778="Portfolio","Portfolio",IFERROR(INDEX(DATA_ASSET_CLASSIFICATION!$C$8:$C$24,MATCH($C2778,DATA_ASSET_CLASSIFICATION!$A$8:$A$24,0)),"Review"))</f>
        <v>Yes</v>
      </c>
      <c r="Q2778" s="350" t="str">
        <f t="shared" ca="1" si="87"/>
        <v>OK</v>
      </c>
    </row>
    <row r="2779" spans="1:17">
      <c r="A2779" s="366" t="s">
        <v>4735</v>
      </c>
      <c r="B2779" s="366" t="s">
        <v>231</v>
      </c>
      <c r="C2779" s="348" t="str">
        <f>DATA_PROPERTY_MASTER!$A$13</f>
        <v>BLD_MH</v>
      </c>
      <c r="D2779" s="380">
        <f>'00_PORTFOLIO ROLLUP'!O$12</f>
        <v>2035</v>
      </c>
      <c r="E2779" s="366" t="s">
        <v>1683</v>
      </c>
      <c r="F2779" s="366" t="s">
        <v>1697</v>
      </c>
      <c r="G2779" s="348" t="str">
        <f>"'"&amp;$C2779&amp;"'!$E$44:$Y$44"</f>
        <v>'BLD_MH'!$E$44:$Y$44</v>
      </c>
      <c r="H2779" s="381">
        <f ca="1">IF(IFERROR(INDEX(DATA_PROPERTY_MASTER!$E$5:$E$21,MATCH($C2779,DATA_PROPERTY_MASTER!$A$5:$A$21,0))="Yes",FALSE),IFERROR(INDEX(INDIRECT("'"&amp;$C2779&amp;"'!$E$44:$Y$44"),1,MATCH($D2779,INDIRECT("'"&amp;$C2779&amp;"'!$E$12:$Y$12"),0)),0),0)</f>
        <v>3474.1340969850576</v>
      </c>
      <c r="I2779" s="366" t="s">
        <v>1690</v>
      </c>
      <c r="J2779" s="348" t="str">
        <f t="shared" ca="1" si="86"/>
        <v>OK</v>
      </c>
      <c r="K2779" s="366" t="s">
        <v>1699</v>
      </c>
      <c r="L2779" s="366" t="s">
        <v>2240</v>
      </c>
      <c r="M2779" s="350" t="str">
        <f>IF($B2779="Portfolio","Portfolio",IFERROR(INDEX(DATA_ASSET_CLASSIFICATION!$B$8:$B$24,MATCH($C2779,DATA_ASSET_CLASSIFICATION!$A$8:$A$24,0)),"Review"))</f>
        <v>Margaret Heights</v>
      </c>
      <c r="N2779" s="350" t="str">
        <f ca="1">IF($B2779="Portfolio","Portfolio",IFERROR(INDEX(DATA_ASSET_CLASSIFICATION!$U$8:$U$24,MATCH($C2779,DATA_ASSET_CLASSIFICATION!$A$8:$A$24,0)),"Review"))</f>
        <v>Refi Watch</v>
      </c>
      <c r="O2779" s="350" t="str">
        <f ca="1">IF($B2779="Portfolio","Portfolio",IFERROR(INDEX(DATA_ASSET_CLASSIFICATION!$AB$8:$AB$13,MATCH($N2779,DATA_ASSET_CLASSIFICATION!$AA$8:$AA$13,0)),"Review"))</f>
        <v>Bucket 2 · Legacy</v>
      </c>
      <c r="P2779" s="350" t="str">
        <f>IF($B2779="Portfolio","Portfolio",IFERROR(INDEX(DATA_ASSET_CLASSIFICATION!$C$8:$C$24,MATCH($C2779,DATA_ASSET_CLASSIFICATION!$A$8:$A$24,0)),"Review"))</f>
        <v>Yes</v>
      </c>
      <c r="Q2779" s="350" t="str">
        <f t="shared" ca="1" si="87"/>
        <v>OK</v>
      </c>
    </row>
    <row r="2780" spans="1:17">
      <c r="A2780" s="366" t="s">
        <v>4736</v>
      </c>
      <c r="B2780" s="366" t="s">
        <v>231</v>
      </c>
      <c r="C2780" s="348" t="str">
        <f>DATA_PROPERTY_MASTER!$A$13</f>
        <v>BLD_MH</v>
      </c>
      <c r="D2780" s="380">
        <f>'00_PORTFOLIO ROLLUP'!O$12</f>
        <v>2035</v>
      </c>
      <c r="E2780" s="366" t="s">
        <v>1683</v>
      </c>
      <c r="F2780" s="366" t="s">
        <v>21</v>
      </c>
      <c r="G2780" s="348" t="str">
        <f>"'"&amp;$C2780&amp;"'!$E$45:$Y$45"</f>
        <v>'BLD_MH'!$E$45:$Y$45</v>
      </c>
      <c r="H2780" s="381">
        <f ca="1">IF(IFERROR(INDEX(DATA_PROPERTY_MASTER!$E$5:$E$21,MATCH($C2780,DATA_PROPERTY_MASTER!$A$5:$A$21,0))="Yes",FALSE),IFERROR(INDEX(INDIRECT("'"&amp;$C2780&amp;"'!$E$45:$Y$45"),1,MATCH($D2780,INDIRECT("'"&amp;$C2780&amp;"'!$E$12:$Y$12"),0)),0),0)</f>
        <v>208863.95681224539</v>
      </c>
      <c r="I2780" s="366" t="s">
        <v>1685</v>
      </c>
      <c r="J2780" s="348" t="str">
        <f t="shared" ca="1" si="86"/>
        <v>OK</v>
      </c>
      <c r="K2780" s="366" t="s">
        <v>1694</v>
      </c>
      <c r="L2780" s="366" t="s">
        <v>2242</v>
      </c>
      <c r="M2780" s="350" t="str">
        <f>IF($B2780="Portfolio","Portfolio",IFERROR(INDEX(DATA_ASSET_CLASSIFICATION!$B$8:$B$24,MATCH($C2780,DATA_ASSET_CLASSIFICATION!$A$8:$A$24,0)),"Review"))</f>
        <v>Margaret Heights</v>
      </c>
      <c r="N2780" s="350" t="str">
        <f ca="1">IF($B2780="Portfolio","Portfolio",IFERROR(INDEX(DATA_ASSET_CLASSIFICATION!$U$8:$U$24,MATCH($C2780,DATA_ASSET_CLASSIFICATION!$A$8:$A$24,0)),"Review"))</f>
        <v>Refi Watch</v>
      </c>
      <c r="O2780" s="350" t="str">
        <f ca="1">IF($B2780="Portfolio","Portfolio",IFERROR(INDEX(DATA_ASSET_CLASSIFICATION!$AB$8:$AB$13,MATCH($N2780,DATA_ASSET_CLASSIFICATION!$AA$8:$AA$13,0)),"Review"))</f>
        <v>Bucket 2 · Legacy</v>
      </c>
      <c r="P2780" s="350" t="str">
        <f>IF($B2780="Portfolio","Portfolio",IFERROR(INDEX(DATA_ASSET_CLASSIFICATION!$C$8:$C$24,MATCH($C2780,DATA_ASSET_CLASSIFICATION!$A$8:$A$24,0)),"Review"))</f>
        <v>Yes</v>
      </c>
      <c r="Q2780" s="350" t="str">
        <f t="shared" ca="1" si="87"/>
        <v>OK</v>
      </c>
    </row>
    <row r="2781" spans="1:17">
      <c r="A2781" s="366" t="s">
        <v>4737</v>
      </c>
      <c r="B2781" s="366" t="s">
        <v>231</v>
      </c>
      <c r="C2781" s="348" t="str">
        <f>DATA_PROPERTY_MASTER!$A$13</f>
        <v>BLD_MH</v>
      </c>
      <c r="D2781" s="380">
        <f>'00_PORTFOLIO ROLLUP'!O$12</f>
        <v>2035</v>
      </c>
      <c r="E2781" s="366" t="s">
        <v>23</v>
      </c>
      <c r="F2781" s="366" t="s">
        <v>23</v>
      </c>
      <c r="G2781" s="348" t="str">
        <f>"'"&amp;$C2781&amp;"'!$E$48:$Y$48"</f>
        <v>'BLD_MH'!$E$48:$Y$48</v>
      </c>
      <c r="H2781" s="381">
        <f ca="1">IF(IFERROR(INDEX(DATA_PROPERTY_MASTER!$E$5:$E$21,MATCH($C2781,DATA_PROPERTY_MASTER!$A$5:$A$21,0))="Yes",FALSE),IFERROR(INDEX(INDIRECT("'"&amp;$C2781&amp;"'!$E$48:$Y$48"),1,MATCH($D2781,INDIRECT("'"&amp;$C2781&amp;"'!$E$12:$Y$12"),0)),0),0)</f>
        <v>0</v>
      </c>
      <c r="I2781" s="366" t="s">
        <v>1690</v>
      </c>
      <c r="J2781" s="348" t="str">
        <f t="shared" ca="1" si="86"/>
        <v>OK</v>
      </c>
      <c r="K2781" s="366" t="s">
        <v>1706</v>
      </c>
      <c r="L2781" s="366" t="s">
        <v>2244</v>
      </c>
      <c r="M2781" s="350" t="str">
        <f>IF($B2781="Portfolio","Portfolio",IFERROR(INDEX(DATA_ASSET_CLASSIFICATION!$B$8:$B$24,MATCH($C2781,DATA_ASSET_CLASSIFICATION!$A$8:$A$24,0)),"Review"))</f>
        <v>Margaret Heights</v>
      </c>
      <c r="N2781" s="350" t="str">
        <f ca="1">IF($B2781="Portfolio","Portfolio",IFERROR(INDEX(DATA_ASSET_CLASSIFICATION!$U$8:$U$24,MATCH($C2781,DATA_ASSET_CLASSIFICATION!$A$8:$A$24,0)),"Review"))</f>
        <v>Refi Watch</v>
      </c>
      <c r="O2781" s="350" t="str">
        <f ca="1">IF($B2781="Portfolio","Portfolio",IFERROR(INDEX(DATA_ASSET_CLASSIFICATION!$AB$8:$AB$13,MATCH($N2781,DATA_ASSET_CLASSIFICATION!$AA$8:$AA$13,0)),"Review"))</f>
        <v>Bucket 2 · Legacy</v>
      </c>
      <c r="P2781" s="350" t="str">
        <f>IF($B2781="Portfolio","Portfolio",IFERROR(INDEX(DATA_ASSET_CLASSIFICATION!$C$8:$C$24,MATCH($C2781,DATA_ASSET_CLASSIFICATION!$A$8:$A$24,0)),"Review"))</f>
        <v>Yes</v>
      </c>
      <c r="Q2781" s="350" t="str">
        <f t="shared" ca="1" si="87"/>
        <v>OK</v>
      </c>
    </row>
    <row r="2782" spans="1:17">
      <c r="A2782" s="366" t="s">
        <v>4738</v>
      </c>
      <c r="B2782" s="366" t="s">
        <v>231</v>
      </c>
      <c r="C2782" s="348" t="str">
        <f>DATA_PROPERTY_MASTER!$A$13</f>
        <v>BLD_MH</v>
      </c>
      <c r="D2782" s="380">
        <f>'00_PORTFOLIO ROLLUP'!O$12</f>
        <v>2035</v>
      </c>
      <c r="E2782" s="366" t="s">
        <v>1683</v>
      </c>
      <c r="F2782" s="366" t="s">
        <v>25</v>
      </c>
      <c r="G2782" s="348" t="str">
        <f>"'"&amp;$C2782&amp;"'!$E$52:$Y$52"</f>
        <v>'BLD_MH'!$E$52:$Y$52</v>
      </c>
      <c r="H2782" s="381">
        <f ca="1">IF(IFERROR(INDEX(DATA_PROPERTY_MASTER!$E$5:$E$21,MATCH($C2782,DATA_PROPERTY_MASTER!$A$5:$A$21,0))="Yes",FALSE),IFERROR(INDEX(INDIRECT("'"&amp;$C2782&amp;"'!$E$52:$Y$52"),1,MATCH($D2782,INDIRECT("'"&amp;$C2782&amp;"'!$E$12:$Y$12"),0)),0),0)</f>
        <v>212338.09090923046</v>
      </c>
      <c r="I2782" s="366" t="s">
        <v>1685</v>
      </c>
      <c r="J2782" s="348" t="str">
        <f t="shared" ca="1" si="86"/>
        <v>OK</v>
      </c>
      <c r="K2782" s="366" t="s">
        <v>1710</v>
      </c>
      <c r="L2782" s="366" t="s">
        <v>2246</v>
      </c>
      <c r="M2782" s="350" t="str">
        <f>IF($B2782="Portfolio","Portfolio",IFERROR(INDEX(DATA_ASSET_CLASSIFICATION!$B$8:$B$24,MATCH($C2782,DATA_ASSET_CLASSIFICATION!$A$8:$A$24,0)),"Review"))</f>
        <v>Margaret Heights</v>
      </c>
      <c r="N2782" s="350" t="str">
        <f ca="1">IF($B2782="Portfolio","Portfolio",IFERROR(INDEX(DATA_ASSET_CLASSIFICATION!$U$8:$U$24,MATCH($C2782,DATA_ASSET_CLASSIFICATION!$A$8:$A$24,0)),"Review"))</f>
        <v>Refi Watch</v>
      </c>
      <c r="O2782" s="350" t="str">
        <f ca="1">IF($B2782="Portfolio","Portfolio",IFERROR(INDEX(DATA_ASSET_CLASSIFICATION!$AB$8:$AB$13,MATCH($N2782,DATA_ASSET_CLASSIFICATION!$AA$8:$AA$13,0)),"Review"))</f>
        <v>Bucket 2 · Legacy</v>
      </c>
      <c r="P2782" s="350" t="str">
        <f>IF($B2782="Portfolio","Portfolio",IFERROR(INDEX(DATA_ASSET_CLASSIFICATION!$C$8:$C$24,MATCH($C2782,DATA_ASSET_CLASSIFICATION!$A$8:$A$24,0)),"Review"))</f>
        <v>Yes</v>
      </c>
      <c r="Q2782" s="350" t="str">
        <f t="shared" ca="1" si="87"/>
        <v>OK</v>
      </c>
    </row>
    <row r="2783" spans="1:17">
      <c r="A2783" s="366" t="s">
        <v>4739</v>
      </c>
      <c r="B2783" s="366" t="s">
        <v>231</v>
      </c>
      <c r="C2783" s="348" t="str">
        <f>DATA_PROPERTY_MASTER!$A$13</f>
        <v>BLD_MH</v>
      </c>
      <c r="D2783" s="380">
        <f>'00_PORTFOLIO ROLLUP'!O$12</f>
        <v>2035</v>
      </c>
      <c r="E2783" s="366" t="s">
        <v>1683</v>
      </c>
      <c r="F2783" s="366" t="s">
        <v>27</v>
      </c>
      <c r="G2783" s="348" t="str">
        <f>"'"&amp;$C2783&amp;"'!$E$54:$Y$54"</f>
        <v>'BLD_MH'!$E$54:$Y$54</v>
      </c>
      <c r="H2783" s="381">
        <f ca="1">IF(IFERROR(INDEX(DATA_PROPERTY_MASTER!$E$5:$E$21,MATCH($C2783,DATA_PROPERTY_MASTER!$A$5:$A$21,0))="Yes",FALSE),IFERROR(INDEX(INDIRECT("'"&amp;$C2783&amp;"'!$E$54:$Y$54"),1,MATCH($D2783,INDIRECT("'"&amp;$C2783&amp;"'!$E$12:$Y$12"),0)),0),0)</f>
        <v>127402.85454553827</v>
      </c>
      <c r="I2783" s="366" t="s">
        <v>1690</v>
      </c>
      <c r="J2783" s="348" t="str">
        <f t="shared" ca="1" si="86"/>
        <v>OK</v>
      </c>
      <c r="K2783" s="366" t="s">
        <v>1714</v>
      </c>
      <c r="L2783" s="366" t="s">
        <v>2248</v>
      </c>
      <c r="M2783" s="350" t="str">
        <f>IF($B2783="Portfolio","Portfolio",IFERROR(INDEX(DATA_ASSET_CLASSIFICATION!$B$8:$B$24,MATCH($C2783,DATA_ASSET_CLASSIFICATION!$A$8:$A$24,0)),"Review"))</f>
        <v>Margaret Heights</v>
      </c>
      <c r="N2783" s="350" t="str">
        <f ca="1">IF($B2783="Portfolio","Portfolio",IFERROR(INDEX(DATA_ASSET_CLASSIFICATION!$U$8:$U$24,MATCH($C2783,DATA_ASSET_CLASSIFICATION!$A$8:$A$24,0)),"Review"))</f>
        <v>Refi Watch</v>
      </c>
      <c r="O2783" s="350" t="str">
        <f ca="1">IF($B2783="Portfolio","Portfolio",IFERROR(INDEX(DATA_ASSET_CLASSIFICATION!$AB$8:$AB$13,MATCH($N2783,DATA_ASSET_CLASSIFICATION!$AA$8:$AA$13,0)),"Review"))</f>
        <v>Bucket 2 · Legacy</v>
      </c>
      <c r="P2783" s="350" t="str">
        <f>IF($B2783="Portfolio","Portfolio",IFERROR(INDEX(DATA_ASSET_CLASSIFICATION!$C$8:$C$24,MATCH($C2783,DATA_ASSET_CLASSIFICATION!$A$8:$A$24,0)),"Review"))</f>
        <v>Yes</v>
      </c>
      <c r="Q2783" s="350" t="str">
        <f t="shared" ca="1" si="87"/>
        <v>OK</v>
      </c>
    </row>
    <row r="2784" spans="1:17">
      <c r="A2784" s="366" t="s">
        <v>4740</v>
      </c>
      <c r="B2784" s="366" t="s">
        <v>231</v>
      </c>
      <c r="C2784" s="348" t="str">
        <f>DATA_PROPERTY_MASTER!$A$13</f>
        <v>BLD_MH</v>
      </c>
      <c r="D2784" s="380">
        <f>'00_PORTFOLIO ROLLUP'!O$12</f>
        <v>2035</v>
      </c>
      <c r="E2784" s="366" t="s">
        <v>1683</v>
      </c>
      <c r="F2784" s="366" t="s">
        <v>29</v>
      </c>
      <c r="G2784" s="348" t="str">
        <f>"'"&amp;$C2784&amp;"'!$E$56:$Y$56"</f>
        <v>'BLD_MH'!$E$56:$Y$56</v>
      </c>
      <c r="H2784" s="381">
        <f ca="1">IF(IFERROR(INDEX(DATA_PROPERTY_MASTER!$E$5:$E$21,MATCH($C2784,DATA_PROPERTY_MASTER!$A$5:$A$21,0))="Yes",FALSE),IFERROR(INDEX(INDIRECT("'"&amp;$C2784&amp;"'!$E$56:$Y$56"),1,MATCH($D2784,INDIRECT("'"&amp;$C2784&amp;"'!$E$12:$Y$12"),0)),0),0)</f>
        <v>84935.236363692195</v>
      </c>
      <c r="I2784" s="366" t="s">
        <v>1685</v>
      </c>
      <c r="J2784" s="348" t="str">
        <f t="shared" ca="1" si="86"/>
        <v>OK</v>
      </c>
      <c r="K2784" s="366" t="s">
        <v>1718</v>
      </c>
      <c r="L2784" s="366" t="s">
        <v>2250</v>
      </c>
      <c r="M2784" s="350" t="str">
        <f>IF($B2784="Portfolio","Portfolio",IFERROR(INDEX(DATA_ASSET_CLASSIFICATION!$B$8:$B$24,MATCH($C2784,DATA_ASSET_CLASSIFICATION!$A$8:$A$24,0)),"Review"))</f>
        <v>Margaret Heights</v>
      </c>
      <c r="N2784" s="350" t="str">
        <f ca="1">IF($B2784="Portfolio","Portfolio",IFERROR(INDEX(DATA_ASSET_CLASSIFICATION!$U$8:$U$24,MATCH($C2784,DATA_ASSET_CLASSIFICATION!$A$8:$A$24,0)),"Review"))</f>
        <v>Refi Watch</v>
      </c>
      <c r="O2784" s="350" t="str">
        <f ca="1">IF($B2784="Portfolio","Portfolio",IFERROR(INDEX(DATA_ASSET_CLASSIFICATION!$AB$8:$AB$13,MATCH($N2784,DATA_ASSET_CLASSIFICATION!$AA$8:$AA$13,0)),"Review"))</f>
        <v>Bucket 2 · Legacy</v>
      </c>
      <c r="P2784" s="350" t="str">
        <f>IF($B2784="Portfolio","Portfolio",IFERROR(INDEX(DATA_ASSET_CLASSIFICATION!$C$8:$C$24,MATCH($C2784,DATA_ASSET_CLASSIFICATION!$A$8:$A$24,0)),"Review"))</f>
        <v>Yes</v>
      </c>
      <c r="Q2784" s="350" t="str">
        <f t="shared" ca="1" si="87"/>
        <v>OK</v>
      </c>
    </row>
    <row r="2785" spans="1:17">
      <c r="A2785" s="366" t="s">
        <v>4741</v>
      </c>
      <c r="B2785" s="366" t="s">
        <v>231</v>
      </c>
      <c r="C2785" s="348" t="str">
        <f>DATA_PROPERTY_MASTER!$A$13</f>
        <v>BLD_MH</v>
      </c>
      <c r="D2785" s="380">
        <f>'00_PORTFOLIO ROLLUP'!O$12</f>
        <v>2035</v>
      </c>
      <c r="E2785" s="366" t="s">
        <v>1721</v>
      </c>
      <c r="F2785" s="366" t="s">
        <v>31</v>
      </c>
      <c r="G2785" s="348" t="str">
        <f>"'"&amp;$C2785&amp;"'!$E$61:$Y$61"</f>
        <v>'BLD_MH'!$E$61:$Y$61</v>
      </c>
      <c r="H2785" s="381">
        <f ca="1">IF(IFERROR(INDEX(DATA_PROPERTY_MASTER!$E$5:$E$21,MATCH($C2785,DATA_PROPERTY_MASTER!$A$5:$A$21,0))="Yes",FALSE),IFERROR(INDEX(INDIRECT("'"&amp;$C2785&amp;"'!$E$61:$Y$61"),1,MATCH($D2785,INDIRECT("'"&amp;$C2785&amp;"'!$E$12:$Y$12"),0)),0),0)</f>
        <v>0</v>
      </c>
      <c r="I2785" s="366" t="s">
        <v>1690</v>
      </c>
      <c r="J2785" s="348" t="str">
        <f t="shared" ca="1" si="86"/>
        <v>OK</v>
      </c>
      <c r="K2785" s="366" t="s">
        <v>1723</v>
      </c>
      <c r="L2785" s="366" t="s">
        <v>2252</v>
      </c>
      <c r="M2785" s="350" t="str">
        <f>IF($B2785="Portfolio","Portfolio",IFERROR(INDEX(DATA_ASSET_CLASSIFICATION!$B$8:$B$24,MATCH($C2785,DATA_ASSET_CLASSIFICATION!$A$8:$A$24,0)),"Review"))</f>
        <v>Margaret Heights</v>
      </c>
      <c r="N2785" s="350" t="str">
        <f ca="1">IF($B2785="Portfolio","Portfolio",IFERROR(INDEX(DATA_ASSET_CLASSIFICATION!$U$8:$U$24,MATCH($C2785,DATA_ASSET_CLASSIFICATION!$A$8:$A$24,0)),"Review"))</f>
        <v>Refi Watch</v>
      </c>
      <c r="O2785" s="350" t="str">
        <f ca="1">IF($B2785="Portfolio","Portfolio",IFERROR(INDEX(DATA_ASSET_CLASSIFICATION!$AB$8:$AB$13,MATCH($N2785,DATA_ASSET_CLASSIFICATION!$AA$8:$AA$13,0)),"Review"))</f>
        <v>Bucket 2 · Legacy</v>
      </c>
      <c r="P2785" s="350" t="str">
        <f>IF($B2785="Portfolio","Portfolio",IFERROR(INDEX(DATA_ASSET_CLASSIFICATION!$C$8:$C$24,MATCH($C2785,DATA_ASSET_CLASSIFICATION!$A$8:$A$24,0)),"Review"))</f>
        <v>Yes</v>
      </c>
      <c r="Q2785" s="350" t="str">
        <f t="shared" ca="1" si="87"/>
        <v>OK</v>
      </c>
    </row>
    <row r="2786" spans="1:17">
      <c r="A2786" s="366" t="s">
        <v>4742</v>
      </c>
      <c r="B2786" s="366" t="s">
        <v>231</v>
      </c>
      <c r="C2786" s="348" t="str">
        <f>DATA_PROPERTY_MASTER!$A$13</f>
        <v>BLD_MH</v>
      </c>
      <c r="D2786" s="380">
        <f>'00_PORTFOLIO ROLLUP'!O$12</f>
        <v>2035</v>
      </c>
      <c r="E2786" s="366" t="s">
        <v>1721</v>
      </c>
      <c r="F2786" s="366" t="s">
        <v>33</v>
      </c>
      <c r="G2786" s="348" t="str">
        <f>"'"&amp;$C2786&amp;"'!$E$62:$Y$62"</f>
        <v>'BLD_MH'!$E$62:$Y$62</v>
      </c>
      <c r="H2786" s="381">
        <f ca="1">IF(IFERROR(INDEX(DATA_PROPERTY_MASTER!$E$5:$E$21,MATCH($C2786,DATA_PROPERTY_MASTER!$A$5:$A$21,0))="Yes",FALSE),IFERROR(INDEX(INDIRECT("'"&amp;$C2786&amp;"'!$E$62:$Y$62"),1,MATCH($D2786,INDIRECT("'"&amp;$C2786&amp;"'!$E$12:$Y$12"),0)),0),0)</f>
        <v>0</v>
      </c>
      <c r="I2786" s="366" t="s">
        <v>1685</v>
      </c>
      <c r="J2786" s="348" t="str">
        <f t="shared" ca="1" si="86"/>
        <v>OK</v>
      </c>
      <c r="K2786" s="366" t="s">
        <v>1727</v>
      </c>
      <c r="L2786" s="366" t="s">
        <v>2254</v>
      </c>
      <c r="M2786" s="350" t="str">
        <f>IF($B2786="Portfolio","Portfolio",IFERROR(INDEX(DATA_ASSET_CLASSIFICATION!$B$8:$B$24,MATCH($C2786,DATA_ASSET_CLASSIFICATION!$A$8:$A$24,0)),"Review"))</f>
        <v>Margaret Heights</v>
      </c>
      <c r="N2786" s="350" t="str">
        <f ca="1">IF($B2786="Portfolio","Portfolio",IFERROR(INDEX(DATA_ASSET_CLASSIFICATION!$U$8:$U$24,MATCH($C2786,DATA_ASSET_CLASSIFICATION!$A$8:$A$24,0)),"Review"))</f>
        <v>Refi Watch</v>
      </c>
      <c r="O2786" s="350" t="str">
        <f ca="1">IF($B2786="Portfolio","Portfolio",IFERROR(INDEX(DATA_ASSET_CLASSIFICATION!$AB$8:$AB$13,MATCH($N2786,DATA_ASSET_CLASSIFICATION!$AA$8:$AA$13,0)),"Review"))</f>
        <v>Bucket 2 · Legacy</v>
      </c>
      <c r="P2786" s="350" t="str">
        <f>IF($B2786="Portfolio","Portfolio",IFERROR(INDEX(DATA_ASSET_CLASSIFICATION!$C$8:$C$24,MATCH($C2786,DATA_ASSET_CLASSIFICATION!$A$8:$A$24,0)),"Review"))</f>
        <v>Yes</v>
      </c>
      <c r="Q2786" s="350" t="str">
        <f t="shared" ca="1" si="87"/>
        <v>OK</v>
      </c>
    </row>
    <row r="2787" spans="1:17">
      <c r="A2787" s="366" t="s">
        <v>4743</v>
      </c>
      <c r="B2787" s="366" t="s">
        <v>231</v>
      </c>
      <c r="C2787" s="348" t="str">
        <f>DATA_PROPERTY_MASTER!$A$13</f>
        <v>BLD_MH</v>
      </c>
      <c r="D2787" s="380">
        <f>'00_PORTFOLIO ROLLUP'!O$12</f>
        <v>2035</v>
      </c>
      <c r="E2787" s="366" t="s">
        <v>1721</v>
      </c>
      <c r="F2787" s="366" t="s">
        <v>35</v>
      </c>
      <c r="G2787" s="348" t="str">
        <f>"'"&amp;$C2787&amp;"'!$E$63:$Y$63"</f>
        <v>'BLD_MH'!$E$63:$Y$63</v>
      </c>
      <c r="H2787" s="381">
        <f ca="1">IF(IFERROR(INDEX(DATA_PROPERTY_MASTER!$E$5:$E$21,MATCH($C2787,DATA_PROPERTY_MASTER!$A$5:$A$21,0))="Yes",FALSE),IFERROR(INDEX(INDIRECT("'"&amp;$C2787&amp;"'!$E$63:$Y$63"),1,MATCH($D2787,INDIRECT("'"&amp;$C2787&amp;"'!$E$12:$Y$12"),0)),0),0)</f>
        <v>0</v>
      </c>
      <c r="I2787" s="366" t="s">
        <v>1731</v>
      </c>
      <c r="J2787" s="348" t="str">
        <f t="shared" ca="1" si="86"/>
        <v>OK</v>
      </c>
      <c r="K2787" s="366" t="s">
        <v>1732</v>
      </c>
      <c r="L2787" s="366" t="s">
        <v>2256</v>
      </c>
      <c r="M2787" s="350" t="str">
        <f>IF($B2787="Portfolio","Portfolio",IFERROR(INDEX(DATA_ASSET_CLASSIFICATION!$B$8:$B$24,MATCH($C2787,DATA_ASSET_CLASSIFICATION!$A$8:$A$24,0)),"Review"))</f>
        <v>Margaret Heights</v>
      </c>
      <c r="N2787" s="350" t="str">
        <f ca="1">IF($B2787="Portfolio","Portfolio",IFERROR(INDEX(DATA_ASSET_CLASSIFICATION!$U$8:$U$24,MATCH($C2787,DATA_ASSET_CLASSIFICATION!$A$8:$A$24,0)),"Review"))</f>
        <v>Refi Watch</v>
      </c>
      <c r="O2787" s="350" t="str">
        <f ca="1">IF($B2787="Portfolio","Portfolio",IFERROR(INDEX(DATA_ASSET_CLASSIFICATION!$AB$8:$AB$13,MATCH($N2787,DATA_ASSET_CLASSIFICATION!$AA$8:$AA$13,0)),"Review"))</f>
        <v>Bucket 2 · Legacy</v>
      </c>
      <c r="P2787" s="350" t="str">
        <f>IF($B2787="Portfolio","Portfolio",IFERROR(INDEX(DATA_ASSET_CLASSIFICATION!$C$8:$C$24,MATCH($C2787,DATA_ASSET_CLASSIFICATION!$A$8:$A$24,0)),"Review"))</f>
        <v>Yes</v>
      </c>
      <c r="Q2787" s="350" t="str">
        <f t="shared" ca="1" si="87"/>
        <v>OK</v>
      </c>
    </row>
    <row r="2788" spans="1:17">
      <c r="A2788" s="366" t="s">
        <v>4744</v>
      </c>
      <c r="B2788" s="366" t="s">
        <v>231</v>
      </c>
      <c r="C2788" s="348" t="str">
        <f>DATA_PROPERTY_MASTER!$A$13</f>
        <v>BLD_MH</v>
      </c>
      <c r="D2788" s="380">
        <f>'00_PORTFOLIO ROLLUP'!O$12</f>
        <v>2035</v>
      </c>
      <c r="E2788" s="366" t="s">
        <v>1721</v>
      </c>
      <c r="F2788" s="366" t="s">
        <v>37</v>
      </c>
      <c r="G2788" s="348" t="str">
        <f>"'"&amp;$C2788&amp;"'!$E$63:$Y$63"</f>
        <v>'BLD_MH'!$E$63:$Y$63</v>
      </c>
      <c r="H2788" s="381">
        <f ca="1">IF(IFERROR(INDEX(DATA_PROPERTY_MASTER!$E$5:$E$21,MATCH($C2788,DATA_PROPERTY_MASTER!$A$5:$A$21,0))="Yes",FALSE),MAX(IFERROR(INDEX(INDIRECT("'"&amp;$C2788&amp;"'!$E$63:$Y$63"),1,MATCH($D2788,INDIRECT("'"&amp;$C2788&amp;"'!$E$12:$Y$12"),0)),0),0),0)</f>
        <v>0</v>
      </c>
      <c r="I2788" s="366" t="s">
        <v>1685</v>
      </c>
      <c r="J2788" s="348" t="str">
        <f t="shared" ca="1" si="86"/>
        <v>OK</v>
      </c>
      <c r="K2788" s="366" t="s">
        <v>1735</v>
      </c>
      <c r="L2788" s="366" t="s">
        <v>2258</v>
      </c>
      <c r="M2788" s="350" t="str">
        <f>IF($B2788="Portfolio","Portfolio",IFERROR(INDEX(DATA_ASSET_CLASSIFICATION!$B$8:$B$24,MATCH($C2788,DATA_ASSET_CLASSIFICATION!$A$8:$A$24,0)),"Review"))</f>
        <v>Margaret Heights</v>
      </c>
      <c r="N2788" s="350" t="str">
        <f ca="1">IF($B2788="Portfolio","Portfolio",IFERROR(INDEX(DATA_ASSET_CLASSIFICATION!$U$8:$U$24,MATCH($C2788,DATA_ASSET_CLASSIFICATION!$A$8:$A$24,0)),"Review"))</f>
        <v>Refi Watch</v>
      </c>
      <c r="O2788" s="350" t="str">
        <f ca="1">IF($B2788="Portfolio","Portfolio",IFERROR(INDEX(DATA_ASSET_CLASSIFICATION!$AB$8:$AB$13,MATCH($N2788,DATA_ASSET_CLASSIFICATION!$AA$8:$AA$13,0)),"Review"))</f>
        <v>Bucket 2 · Legacy</v>
      </c>
      <c r="P2788" s="350" t="str">
        <f>IF($B2788="Portfolio","Portfolio",IFERROR(INDEX(DATA_ASSET_CLASSIFICATION!$C$8:$C$24,MATCH($C2788,DATA_ASSET_CLASSIFICATION!$A$8:$A$24,0)),"Review"))</f>
        <v>Yes</v>
      </c>
      <c r="Q2788" s="350" t="str">
        <f t="shared" ca="1" si="87"/>
        <v>OK</v>
      </c>
    </row>
    <row r="2789" spans="1:17">
      <c r="A2789" s="366" t="s">
        <v>4745</v>
      </c>
      <c r="B2789" s="366" t="s">
        <v>231</v>
      </c>
      <c r="C2789" s="348" t="str">
        <f>DATA_PROPERTY_MASTER!$A$13</f>
        <v>BLD_MH</v>
      </c>
      <c r="D2789" s="380">
        <f>'00_PORTFOLIO ROLLUP'!O$12</f>
        <v>2035</v>
      </c>
      <c r="E2789" s="366" t="s">
        <v>1721</v>
      </c>
      <c r="F2789" s="366" t="s">
        <v>39</v>
      </c>
      <c r="G2789" s="348" t="str">
        <f>"'"&amp;$C2789&amp;"'!$E$63:$Y$63"</f>
        <v>'BLD_MH'!$E$63:$Y$63</v>
      </c>
      <c r="H2789" s="381">
        <f ca="1">IF(IFERROR(INDEX(DATA_PROPERTY_MASTER!$E$5:$E$21,MATCH($C2789,DATA_PROPERTY_MASTER!$A$5:$A$21,0))="Yes",FALSE),MAX(-IFERROR(INDEX(INDIRECT("'"&amp;$C2789&amp;"'!$E$63:$Y$63"),1,MATCH($D2789,INDIRECT("'"&amp;$C2789&amp;"'!$E$12:$Y$12"),0)),0),0),0)</f>
        <v>0</v>
      </c>
      <c r="I2789" s="366" t="s">
        <v>1690</v>
      </c>
      <c r="J2789" s="348" t="str">
        <f t="shared" ca="1" si="86"/>
        <v>OK</v>
      </c>
      <c r="K2789" s="366" t="s">
        <v>1738</v>
      </c>
      <c r="L2789" s="366" t="s">
        <v>2260</v>
      </c>
      <c r="M2789" s="350" t="str">
        <f>IF($B2789="Portfolio","Portfolio",IFERROR(INDEX(DATA_ASSET_CLASSIFICATION!$B$8:$B$24,MATCH($C2789,DATA_ASSET_CLASSIFICATION!$A$8:$A$24,0)),"Review"))</f>
        <v>Margaret Heights</v>
      </c>
      <c r="N2789" s="350" t="str">
        <f ca="1">IF($B2789="Portfolio","Portfolio",IFERROR(INDEX(DATA_ASSET_CLASSIFICATION!$U$8:$U$24,MATCH($C2789,DATA_ASSET_CLASSIFICATION!$A$8:$A$24,0)),"Review"))</f>
        <v>Refi Watch</v>
      </c>
      <c r="O2789" s="350" t="str">
        <f ca="1">IF($B2789="Portfolio","Portfolio",IFERROR(INDEX(DATA_ASSET_CLASSIFICATION!$AB$8:$AB$13,MATCH($N2789,DATA_ASSET_CLASSIFICATION!$AA$8:$AA$13,0)),"Review"))</f>
        <v>Bucket 2 · Legacy</v>
      </c>
      <c r="P2789" s="350" t="str">
        <f>IF($B2789="Portfolio","Portfolio",IFERROR(INDEX(DATA_ASSET_CLASSIFICATION!$C$8:$C$24,MATCH($C2789,DATA_ASSET_CLASSIFICATION!$A$8:$A$24,0)),"Review"))</f>
        <v>Yes</v>
      </c>
      <c r="Q2789" s="350" t="str">
        <f t="shared" ca="1" si="87"/>
        <v>OK</v>
      </c>
    </row>
    <row r="2790" spans="1:17">
      <c r="A2790" s="366" t="s">
        <v>4746</v>
      </c>
      <c r="B2790" s="366" t="s">
        <v>231</v>
      </c>
      <c r="C2790" s="348" t="str">
        <f>DATA_PROPERTY_MASTER!$A$13</f>
        <v>BLD_MH</v>
      </c>
      <c r="D2790" s="380">
        <f>'00_PORTFOLIO ROLLUP'!O$12</f>
        <v>2035</v>
      </c>
      <c r="E2790" s="366" t="s">
        <v>1741</v>
      </c>
      <c r="F2790" s="366" t="s">
        <v>41</v>
      </c>
      <c r="G2790" s="348" t="str">
        <f>"'"&amp;$C2790&amp;"'!rows 56 + positive row 63"</f>
        <v>'BLD_MH'!rows 56 + positive row 63</v>
      </c>
      <c r="H2790" s="381">
        <f ca="1">IF(IFERROR(INDEX(DATA_PROPERTY_MASTER!$E$5:$E$21,MATCH($C2790,DATA_PROPERTY_MASTER!$A$5:$A$21,0))="Yes",FALSE),IFERROR(INDEX(INDIRECT("'"&amp;$C2790&amp;"'!$E$56:$Y$56"),1,MATCH($D2790,INDIRECT("'"&amp;$C2790&amp;"'!$E$12:$Y$12"),0)),0)+MAX(IFERROR(INDEX(INDIRECT("'"&amp;$C2790&amp;"'!$E$63:$Y$63"),1,MATCH($D2790,INDIRECT("'"&amp;$C2790&amp;"'!$E$12:$Y$12"),0)),0),0),0)</f>
        <v>84935.236363692195</v>
      </c>
      <c r="I2790" s="366" t="s">
        <v>1685</v>
      </c>
      <c r="J2790" s="348" t="str">
        <f t="shared" ca="1" si="86"/>
        <v>OK</v>
      </c>
      <c r="K2790" s="366" t="s">
        <v>1742</v>
      </c>
      <c r="L2790" s="366" t="s">
        <v>2262</v>
      </c>
      <c r="M2790" s="350" t="str">
        <f>IF($B2790="Portfolio","Portfolio",IFERROR(INDEX(DATA_ASSET_CLASSIFICATION!$B$8:$B$24,MATCH($C2790,DATA_ASSET_CLASSIFICATION!$A$8:$A$24,0)),"Review"))</f>
        <v>Margaret Heights</v>
      </c>
      <c r="N2790" s="350" t="str">
        <f ca="1">IF($B2790="Portfolio","Portfolio",IFERROR(INDEX(DATA_ASSET_CLASSIFICATION!$U$8:$U$24,MATCH($C2790,DATA_ASSET_CLASSIFICATION!$A$8:$A$24,0)),"Review"))</f>
        <v>Refi Watch</v>
      </c>
      <c r="O2790" s="350" t="str">
        <f ca="1">IF($B2790="Portfolio","Portfolio",IFERROR(INDEX(DATA_ASSET_CLASSIFICATION!$AB$8:$AB$13,MATCH($N2790,DATA_ASSET_CLASSIFICATION!$AA$8:$AA$13,0)),"Review"))</f>
        <v>Bucket 2 · Legacy</v>
      </c>
      <c r="P2790" s="350" t="str">
        <f>IF($B2790="Portfolio","Portfolio",IFERROR(INDEX(DATA_ASSET_CLASSIFICATION!$C$8:$C$24,MATCH($C2790,DATA_ASSET_CLASSIFICATION!$A$8:$A$24,0)),"Review"))</f>
        <v>Yes</v>
      </c>
      <c r="Q2790" s="350" t="str">
        <f t="shared" ca="1" si="87"/>
        <v>OK</v>
      </c>
    </row>
    <row r="2791" spans="1:17">
      <c r="A2791" s="366" t="s">
        <v>4747</v>
      </c>
      <c r="B2791" s="366" t="s">
        <v>231</v>
      </c>
      <c r="C2791" s="348" t="str">
        <f>DATA_PROPERTY_MASTER!$A$13</f>
        <v>BLD_MH</v>
      </c>
      <c r="D2791" s="380">
        <f>'00_PORTFOLIO ROLLUP'!O$12</f>
        <v>2035</v>
      </c>
      <c r="E2791" s="366" t="s">
        <v>1741</v>
      </c>
      <c r="F2791" s="366" t="s">
        <v>43</v>
      </c>
      <c r="G2791" s="348" t="str">
        <f>"'"&amp;$C2791&amp;"'!$E$68:$Y$68"</f>
        <v>'BLD_MH'!$E$68:$Y$68</v>
      </c>
      <c r="H2791" s="381">
        <f ca="1">IF(IFERROR(INDEX(DATA_PROPERTY_MASTER!$E$5:$E$21,MATCH($C2791,DATA_PROPERTY_MASTER!$A$5:$A$21,0))="Yes",FALSE),IFERROR(INDEX(INDIRECT("'"&amp;$C2791&amp;"'!$E$68:$Y$68"),1,MATCH($D2791,INDIRECT("'"&amp;$C2791&amp;"'!$E$12:$Y$12"),0)),0),0)</f>
        <v>84935.236363692195</v>
      </c>
      <c r="I2791" s="366" t="s">
        <v>1731</v>
      </c>
      <c r="J2791" s="348" t="str">
        <f t="shared" ca="1" si="86"/>
        <v>OK</v>
      </c>
      <c r="K2791" s="366" t="s">
        <v>1746</v>
      </c>
      <c r="L2791" s="366" t="s">
        <v>2264</v>
      </c>
      <c r="M2791" s="350" t="str">
        <f>IF($B2791="Portfolio","Portfolio",IFERROR(INDEX(DATA_ASSET_CLASSIFICATION!$B$8:$B$24,MATCH($C2791,DATA_ASSET_CLASSIFICATION!$A$8:$A$24,0)),"Review"))</f>
        <v>Margaret Heights</v>
      </c>
      <c r="N2791" s="350" t="str">
        <f ca="1">IF($B2791="Portfolio","Portfolio",IFERROR(INDEX(DATA_ASSET_CLASSIFICATION!$U$8:$U$24,MATCH($C2791,DATA_ASSET_CLASSIFICATION!$A$8:$A$24,0)),"Review"))</f>
        <v>Refi Watch</v>
      </c>
      <c r="O2791" s="350" t="str">
        <f ca="1">IF($B2791="Portfolio","Portfolio",IFERROR(INDEX(DATA_ASSET_CLASSIFICATION!$AB$8:$AB$13,MATCH($N2791,DATA_ASSET_CLASSIFICATION!$AA$8:$AA$13,0)),"Review"))</f>
        <v>Bucket 2 · Legacy</v>
      </c>
      <c r="P2791" s="350" t="str">
        <f>IF($B2791="Portfolio","Portfolio",IFERROR(INDEX(DATA_ASSET_CLASSIFICATION!$C$8:$C$24,MATCH($C2791,DATA_ASSET_CLASSIFICATION!$A$8:$A$24,0)),"Review"))</f>
        <v>Yes</v>
      </c>
      <c r="Q2791" s="350" t="str">
        <f t="shared" ca="1" si="87"/>
        <v>OK</v>
      </c>
    </row>
    <row r="2792" spans="1:17">
      <c r="A2792" s="366" t="s">
        <v>4748</v>
      </c>
      <c r="B2792" s="366" t="s">
        <v>231</v>
      </c>
      <c r="C2792" s="348" t="str">
        <f>DATA_PROPERTY_MASTER!$A$13</f>
        <v>BLD_MH</v>
      </c>
      <c r="D2792" s="380">
        <f>'00_PORTFOLIO ROLLUP'!O$12</f>
        <v>2035</v>
      </c>
      <c r="E2792" s="366" t="s">
        <v>1741</v>
      </c>
      <c r="F2792" s="366" t="s">
        <v>1749</v>
      </c>
      <c r="G2792" s="348" t="str">
        <f>"'"&amp;$C2792&amp;"'!rows 56, 63, 68"</f>
        <v>'BLD_MH'!rows 56, 63, 68</v>
      </c>
      <c r="H2792" s="381">
        <f ca="1">IF(IFERROR(INDEX(DATA_PROPERTY_MASTER!$E$5:$E$21,MATCH($C2792,DATA_PROPERTY_MASTER!$A$5:$A$21,0))="Yes",FALSE),(IFERROR(INDEX(INDIRECT("'"&amp;$C2792&amp;"'!$E$56:$Y$56"),1,MATCH($D2792,INDIRECT("'"&amp;$C2792&amp;"'!$E$12:$Y$12"),0)),0)+MAX(IFERROR(INDEX(INDIRECT("'"&amp;$C2792&amp;"'!$E$63:$Y$63"),1,MATCH($D2792,INDIRECT("'"&amp;$C2792&amp;"'!$E$12:$Y$12"),0)),0),0))-(IFERROR(INDEX(INDIRECT("'"&amp;$C2792&amp;"'!$E$68:$Y$68"),1,MATCH($D2792,INDIRECT("'"&amp;$C2792&amp;"'!$E$12:$Y$12"),0)),0)),0)</f>
        <v>0</v>
      </c>
      <c r="I2792" s="366" t="s">
        <v>1750</v>
      </c>
      <c r="J2792" s="348" t="str">
        <f t="shared" ca="1" si="86"/>
        <v>OK</v>
      </c>
      <c r="K2792" s="366" t="s">
        <v>1751</v>
      </c>
      <c r="L2792" s="366" t="s">
        <v>2266</v>
      </c>
      <c r="M2792" s="350" t="str">
        <f>IF($B2792="Portfolio","Portfolio",IFERROR(INDEX(DATA_ASSET_CLASSIFICATION!$B$8:$B$24,MATCH($C2792,DATA_ASSET_CLASSIFICATION!$A$8:$A$24,0)),"Review"))</f>
        <v>Margaret Heights</v>
      </c>
      <c r="N2792" s="350" t="str">
        <f ca="1">IF($B2792="Portfolio","Portfolio",IFERROR(INDEX(DATA_ASSET_CLASSIFICATION!$U$8:$U$24,MATCH($C2792,DATA_ASSET_CLASSIFICATION!$A$8:$A$24,0)),"Review"))</f>
        <v>Refi Watch</v>
      </c>
      <c r="O2792" s="350" t="str">
        <f ca="1">IF($B2792="Portfolio","Portfolio",IFERROR(INDEX(DATA_ASSET_CLASSIFICATION!$AB$8:$AB$13,MATCH($N2792,DATA_ASSET_CLASSIFICATION!$AA$8:$AA$13,0)),"Review"))</f>
        <v>Bucket 2 · Legacy</v>
      </c>
      <c r="P2792" s="350" t="str">
        <f>IF($B2792="Portfolio","Portfolio",IFERROR(INDEX(DATA_ASSET_CLASSIFICATION!$C$8:$C$24,MATCH($C2792,DATA_ASSET_CLASSIFICATION!$A$8:$A$24,0)),"Review"))</f>
        <v>Yes</v>
      </c>
      <c r="Q2792" s="350" t="str">
        <f t="shared" ca="1" si="87"/>
        <v>OK</v>
      </c>
    </row>
    <row r="2793" spans="1:17">
      <c r="A2793" s="366" t="s">
        <v>4749</v>
      </c>
      <c r="B2793" s="366" t="s">
        <v>231</v>
      </c>
      <c r="C2793" s="348" t="str">
        <f>DATA_PROPERTY_MASTER!$A$13</f>
        <v>BLD_MH</v>
      </c>
      <c r="D2793" s="380">
        <f>'00_PORTFOLIO ROLLUP'!P$12</f>
        <v>2036</v>
      </c>
      <c r="E2793" s="366" t="s">
        <v>1683</v>
      </c>
      <c r="F2793" s="366" t="s">
        <v>341</v>
      </c>
      <c r="G2793" s="348" t="str">
        <f>"'"&amp;$C2793&amp;"'!$E$24:$Y$24"</f>
        <v>'BLD_MH'!$E$24:$Y$24</v>
      </c>
      <c r="H2793" s="381">
        <f ca="1">IF(IFERROR(INDEX(DATA_PROPERTY_MASTER!$E$5:$E$21,MATCH($C2793,DATA_PROPERTY_MASTER!$A$5:$A$21,0))="Yes",FALSE),IFERROR(INDEX(INDIRECT("'"&amp;$C2793&amp;"'!$E$24:$Y$24"),1,MATCH($D2793,INDIRECT("'"&amp;$C2793&amp;"'!$E$12:$Y$12"),0)),0),0)</f>
        <v>490800.90071652964</v>
      </c>
      <c r="I2793" s="366" t="s">
        <v>1685</v>
      </c>
      <c r="J2793" s="348" t="str">
        <f t="shared" ca="1" si="86"/>
        <v>OK</v>
      </c>
      <c r="K2793" s="366" t="s">
        <v>1686</v>
      </c>
      <c r="L2793" s="366" t="s">
        <v>2234</v>
      </c>
      <c r="M2793" s="350" t="str">
        <f>IF($B2793="Portfolio","Portfolio",IFERROR(INDEX(DATA_ASSET_CLASSIFICATION!$B$8:$B$24,MATCH($C2793,DATA_ASSET_CLASSIFICATION!$A$8:$A$24,0)),"Review"))</f>
        <v>Margaret Heights</v>
      </c>
      <c r="N2793" s="350" t="str">
        <f ca="1">IF($B2793="Portfolio","Portfolio",IFERROR(INDEX(DATA_ASSET_CLASSIFICATION!$U$8:$U$24,MATCH($C2793,DATA_ASSET_CLASSIFICATION!$A$8:$A$24,0)),"Review"))</f>
        <v>Refi Watch</v>
      </c>
      <c r="O2793" s="350" t="str">
        <f ca="1">IF($B2793="Portfolio","Portfolio",IFERROR(INDEX(DATA_ASSET_CLASSIFICATION!$AB$8:$AB$13,MATCH($N2793,DATA_ASSET_CLASSIFICATION!$AA$8:$AA$13,0)),"Review"))</f>
        <v>Bucket 2 · Legacy</v>
      </c>
      <c r="P2793" s="350" t="str">
        <f>IF($B2793="Portfolio","Portfolio",IFERROR(INDEX(DATA_ASSET_CLASSIFICATION!$C$8:$C$24,MATCH($C2793,DATA_ASSET_CLASSIFICATION!$A$8:$A$24,0)),"Review"))</f>
        <v>Yes</v>
      </c>
      <c r="Q2793" s="350" t="str">
        <f t="shared" ca="1" si="87"/>
        <v>OK</v>
      </c>
    </row>
    <row r="2794" spans="1:17">
      <c r="A2794" s="366" t="s">
        <v>4750</v>
      </c>
      <c r="B2794" s="366" t="s">
        <v>231</v>
      </c>
      <c r="C2794" s="348" t="str">
        <f>DATA_PROPERTY_MASTER!$A$13</f>
        <v>BLD_MH</v>
      </c>
      <c r="D2794" s="380">
        <f>'00_PORTFOLIO ROLLUP'!P$12</f>
        <v>2036</v>
      </c>
      <c r="E2794" s="366" t="s">
        <v>1683</v>
      </c>
      <c r="F2794" s="366" t="s">
        <v>355</v>
      </c>
      <c r="G2794" s="348" t="str">
        <f>"'"&amp;$C2794&amp;"'!$E$39:$Y$39"</f>
        <v>'BLD_MH'!$E$39:$Y$39</v>
      </c>
      <c r="H2794" s="381">
        <f ca="1">IF(IFERROR(INDEX(DATA_PROPERTY_MASTER!$E$5:$E$21,MATCH($C2794,DATA_PROPERTY_MASTER!$A$5:$A$21,0))="Yes",FALSE),IFERROR(INDEX(INDIRECT("'"&amp;$C2794&amp;"'!$E$39:$Y$39"),1,MATCH($D2794,INDIRECT("'"&amp;$C2794&amp;"'!$E$12:$Y$12"),0)),0),0)</f>
        <v>275560.24430278677</v>
      </c>
      <c r="I2794" s="366" t="s">
        <v>1690</v>
      </c>
      <c r="J2794" s="348" t="str">
        <f t="shared" ca="1" si="86"/>
        <v>OK</v>
      </c>
      <c r="K2794" s="366" t="s">
        <v>1686</v>
      </c>
      <c r="L2794" s="366" t="s">
        <v>2236</v>
      </c>
      <c r="M2794" s="350" t="str">
        <f>IF($B2794="Portfolio","Portfolio",IFERROR(INDEX(DATA_ASSET_CLASSIFICATION!$B$8:$B$24,MATCH($C2794,DATA_ASSET_CLASSIFICATION!$A$8:$A$24,0)),"Review"))</f>
        <v>Margaret Heights</v>
      </c>
      <c r="N2794" s="350" t="str">
        <f ca="1">IF($B2794="Portfolio","Portfolio",IFERROR(INDEX(DATA_ASSET_CLASSIFICATION!$U$8:$U$24,MATCH($C2794,DATA_ASSET_CLASSIFICATION!$A$8:$A$24,0)),"Review"))</f>
        <v>Refi Watch</v>
      </c>
      <c r="O2794" s="350" t="str">
        <f ca="1">IF($B2794="Portfolio","Portfolio",IFERROR(INDEX(DATA_ASSET_CLASSIFICATION!$AB$8:$AB$13,MATCH($N2794,DATA_ASSET_CLASSIFICATION!$AA$8:$AA$13,0)),"Review"))</f>
        <v>Bucket 2 · Legacy</v>
      </c>
      <c r="P2794" s="350" t="str">
        <f>IF($B2794="Portfolio","Portfolio",IFERROR(INDEX(DATA_ASSET_CLASSIFICATION!$C$8:$C$24,MATCH($C2794,DATA_ASSET_CLASSIFICATION!$A$8:$A$24,0)),"Review"))</f>
        <v>Yes</v>
      </c>
      <c r="Q2794" s="350" t="str">
        <f t="shared" ca="1" si="87"/>
        <v>OK</v>
      </c>
    </row>
    <row r="2795" spans="1:17">
      <c r="A2795" s="366" t="s">
        <v>4751</v>
      </c>
      <c r="B2795" s="366" t="s">
        <v>231</v>
      </c>
      <c r="C2795" s="348" t="str">
        <f>DATA_PROPERTY_MASTER!$A$13</f>
        <v>BLD_MH</v>
      </c>
      <c r="D2795" s="380">
        <f>'00_PORTFOLIO ROLLUP'!P$12</f>
        <v>2036</v>
      </c>
      <c r="E2795" s="366" t="s">
        <v>1683</v>
      </c>
      <c r="F2795" s="366" t="s">
        <v>19</v>
      </c>
      <c r="G2795" s="348" t="str">
        <f>"'"&amp;$C2795&amp;"'!$E$41:$Y$41"</f>
        <v>'BLD_MH'!$E$41:$Y$41</v>
      </c>
      <c r="H2795" s="381">
        <f ca="1">IF(IFERROR(INDEX(DATA_PROPERTY_MASTER!$E$5:$E$21,MATCH($C2795,DATA_PROPERTY_MASTER!$A$5:$A$21,0))="Yes",FALSE),IFERROR(INDEX(INDIRECT("'"&amp;$C2795&amp;"'!$E$41:$Y$41"),1,MATCH($D2795,INDIRECT("'"&amp;$C2795&amp;"'!$E$12:$Y$12"),0)),0),0)</f>
        <v>215240.65641374286</v>
      </c>
      <c r="I2795" s="366" t="s">
        <v>1685</v>
      </c>
      <c r="J2795" s="348" t="str">
        <f t="shared" ca="1" si="86"/>
        <v>OK</v>
      </c>
      <c r="K2795" s="366" t="s">
        <v>1694</v>
      </c>
      <c r="L2795" s="366" t="s">
        <v>2238</v>
      </c>
      <c r="M2795" s="350" t="str">
        <f>IF($B2795="Portfolio","Portfolio",IFERROR(INDEX(DATA_ASSET_CLASSIFICATION!$B$8:$B$24,MATCH($C2795,DATA_ASSET_CLASSIFICATION!$A$8:$A$24,0)),"Review"))</f>
        <v>Margaret Heights</v>
      </c>
      <c r="N2795" s="350" t="str">
        <f ca="1">IF($B2795="Portfolio","Portfolio",IFERROR(INDEX(DATA_ASSET_CLASSIFICATION!$U$8:$U$24,MATCH($C2795,DATA_ASSET_CLASSIFICATION!$A$8:$A$24,0)),"Review"))</f>
        <v>Refi Watch</v>
      </c>
      <c r="O2795" s="350" t="str">
        <f ca="1">IF($B2795="Portfolio","Portfolio",IFERROR(INDEX(DATA_ASSET_CLASSIFICATION!$AB$8:$AB$13,MATCH($N2795,DATA_ASSET_CLASSIFICATION!$AA$8:$AA$13,0)),"Review"))</f>
        <v>Bucket 2 · Legacy</v>
      </c>
      <c r="P2795" s="350" t="str">
        <f>IF($B2795="Portfolio","Portfolio",IFERROR(INDEX(DATA_ASSET_CLASSIFICATION!$C$8:$C$24,MATCH($C2795,DATA_ASSET_CLASSIFICATION!$A$8:$A$24,0)),"Review"))</f>
        <v>Yes</v>
      </c>
      <c r="Q2795" s="350" t="str">
        <f t="shared" ca="1" si="87"/>
        <v>OK</v>
      </c>
    </row>
    <row r="2796" spans="1:17">
      <c r="A2796" s="366" t="s">
        <v>4752</v>
      </c>
      <c r="B2796" s="366" t="s">
        <v>231</v>
      </c>
      <c r="C2796" s="348" t="str">
        <f>DATA_PROPERTY_MASTER!$A$13</f>
        <v>BLD_MH</v>
      </c>
      <c r="D2796" s="380">
        <f>'00_PORTFOLIO ROLLUP'!P$12</f>
        <v>2036</v>
      </c>
      <c r="E2796" s="366" t="s">
        <v>1683</v>
      </c>
      <c r="F2796" s="366" t="s">
        <v>1697</v>
      </c>
      <c r="G2796" s="348" t="str">
        <f>"'"&amp;$C2796&amp;"'!$E$44:$Y$44"</f>
        <v>'BLD_MH'!$E$44:$Y$44</v>
      </c>
      <c r="H2796" s="381">
        <f ca="1">IF(IFERROR(INDEX(DATA_PROPERTY_MASTER!$E$5:$E$21,MATCH($C2796,DATA_PROPERTY_MASTER!$A$5:$A$21,0))="Yes",FALSE),IFERROR(INDEX(INDIRECT("'"&amp;$C2796&amp;"'!$E$44:$Y$44"),1,MATCH($D2796,INDIRECT("'"&amp;$C2796&amp;"'!$E$12:$Y$12"),0)),0),0)</f>
        <v>3543.6167789247584</v>
      </c>
      <c r="I2796" s="366" t="s">
        <v>1690</v>
      </c>
      <c r="J2796" s="348" t="str">
        <f t="shared" ca="1" si="86"/>
        <v>OK</v>
      </c>
      <c r="K2796" s="366" t="s">
        <v>1699</v>
      </c>
      <c r="L2796" s="366" t="s">
        <v>2240</v>
      </c>
      <c r="M2796" s="350" t="str">
        <f>IF($B2796="Portfolio","Portfolio",IFERROR(INDEX(DATA_ASSET_CLASSIFICATION!$B$8:$B$24,MATCH($C2796,DATA_ASSET_CLASSIFICATION!$A$8:$A$24,0)),"Review"))</f>
        <v>Margaret Heights</v>
      </c>
      <c r="N2796" s="350" t="str">
        <f ca="1">IF($B2796="Portfolio","Portfolio",IFERROR(INDEX(DATA_ASSET_CLASSIFICATION!$U$8:$U$24,MATCH($C2796,DATA_ASSET_CLASSIFICATION!$A$8:$A$24,0)),"Review"))</f>
        <v>Refi Watch</v>
      </c>
      <c r="O2796" s="350" t="str">
        <f ca="1">IF($B2796="Portfolio","Portfolio",IFERROR(INDEX(DATA_ASSET_CLASSIFICATION!$AB$8:$AB$13,MATCH($N2796,DATA_ASSET_CLASSIFICATION!$AA$8:$AA$13,0)),"Review"))</f>
        <v>Bucket 2 · Legacy</v>
      </c>
      <c r="P2796" s="350" t="str">
        <f>IF($B2796="Portfolio","Portfolio",IFERROR(INDEX(DATA_ASSET_CLASSIFICATION!$C$8:$C$24,MATCH($C2796,DATA_ASSET_CLASSIFICATION!$A$8:$A$24,0)),"Review"))</f>
        <v>Yes</v>
      </c>
      <c r="Q2796" s="350" t="str">
        <f t="shared" ca="1" si="87"/>
        <v>OK</v>
      </c>
    </row>
    <row r="2797" spans="1:17">
      <c r="A2797" s="366" t="s">
        <v>4753</v>
      </c>
      <c r="B2797" s="366" t="s">
        <v>231</v>
      </c>
      <c r="C2797" s="348" t="str">
        <f>DATA_PROPERTY_MASTER!$A$13</f>
        <v>BLD_MH</v>
      </c>
      <c r="D2797" s="380">
        <f>'00_PORTFOLIO ROLLUP'!P$12</f>
        <v>2036</v>
      </c>
      <c r="E2797" s="366" t="s">
        <v>1683</v>
      </c>
      <c r="F2797" s="366" t="s">
        <v>21</v>
      </c>
      <c r="G2797" s="348" t="str">
        <f>"'"&amp;$C2797&amp;"'!$E$45:$Y$45"</f>
        <v>'BLD_MH'!$E$45:$Y$45</v>
      </c>
      <c r="H2797" s="381">
        <f ca="1">IF(IFERROR(INDEX(DATA_PROPERTY_MASTER!$E$5:$E$21,MATCH($C2797,DATA_PROPERTY_MASTER!$A$5:$A$21,0))="Yes",FALSE),IFERROR(INDEX(INDIRECT("'"&amp;$C2797&amp;"'!$E$45:$Y$45"),1,MATCH($D2797,INDIRECT("'"&amp;$C2797&amp;"'!$E$12:$Y$12"),0)),0),0)</f>
        <v>211697.03963481809</v>
      </c>
      <c r="I2797" s="366" t="s">
        <v>1685</v>
      </c>
      <c r="J2797" s="348" t="str">
        <f t="shared" ca="1" si="86"/>
        <v>OK</v>
      </c>
      <c r="K2797" s="366" t="s">
        <v>1694</v>
      </c>
      <c r="L2797" s="366" t="s">
        <v>2242</v>
      </c>
      <c r="M2797" s="350" t="str">
        <f>IF($B2797="Portfolio","Portfolio",IFERROR(INDEX(DATA_ASSET_CLASSIFICATION!$B$8:$B$24,MATCH($C2797,DATA_ASSET_CLASSIFICATION!$A$8:$A$24,0)),"Review"))</f>
        <v>Margaret Heights</v>
      </c>
      <c r="N2797" s="350" t="str">
        <f ca="1">IF($B2797="Portfolio","Portfolio",IFERROR(INDEX(DATA_ASSET_CLASSIFICATION!$U$8:$U$24,MATCH($C2797,DATA_ASSET_CLASSIFICATION!$A$8:$A$24,0)),"Review"))</f>
        <v>Refi Watch</v>
      </c>
      <c r="O2797" s="350" t="str">
        <f ca="1">IF($B2797="Portfolio","Portfolio",IFERROR(INDEX(DATA_ASSET_CLASSIFICATION!$AB$8:$AB$13,MATCH($N2797,DATA_ASSET_CLASSIFICATION!$AA$8:$AA$13,0)),"Review"))</f>
        <v>Bucket 2 · Legacy</v>
      </c>
      <c r="P2797" s="350" t="str">
        <f>IF($B2797="Portfolio","Portfolio",IFERROR(INDEX(DATA_ASSET_CLASSIFICATION!$C$8:$C$24,MATCH($C2797,DATA_ASSET_CLASSIFICATION!$A$8:$A$24,0)),"Review"))</f>
        <v>Yes</v>
      </c>
      <c r="Q2797" s="350" t="str">
        <f t="shared" ca="1" si="87"/>
        <v>OK</v>
      </c>
    </row>
    <row r="2798" spans="1:17">
      <c r="A2798" s="366" t="s">
        <v>4754</v>
      </c>
      <c r="B2798" s="366" t="s">
        <v>231</v>
      </c>
      <c r="C2798" s="348" t="str">
        <f>DATA_PROPERTY_MASTER!$A$13</f>
        <v>BLD_MH</v>
      </c>
      <c r="D2798" s="380">
        <f>'00_PORTFOLIO ROLLUP'!P$12</f>
        <v>2036</v>
      </c>
      <c r="E2798" s="366" t="s">
        <v>23</v>
      </c>
      <c r="F2798" s="366" t="s">
        <v>23</v>
      </c>
      <c r="G2798" s="348" t="str">
        <f>"'"&amp;$C2798&amp;"'!$E$48:$Y$48"</f>
        <v>'BLD_MH'!$E$48:$Y$48</v>
      </c>
      <c r="H2798" s="381">
        <f ca="1">IF(IFERROR(INDEX(DATA_PROPERTY_MASTER!$E$5:$E$21,MATCH($C2798,DATA_PROPERTY_MASTER!$A$5:$A$21,0))="Yes",FALSE),IFERROR(INDEX(INDIRECT("'"&amp;$C2798&amp;"'!$E$48:$Y$48"),1,MATCH($D2798,INDIRECT("'"&amp;$C2798&amp;"'!$E$12:$Y$12"),0)),0),0)</f>
        <v>0</v>
      </c>
      <c r="I2798" s="366" t="s">
        <v>1690</v>
      </c>
      <c r="J2798" s="348" t="str">
        <f t="shared" ca="1" si="86"/>
        <v>OK</v>
      </c>
      <c r="K2798" s="366" t="s">
        <v>1706</v>
      </c>
      <c r="L2798" s="366" t="s">
        <v>2244</v>
      </c>
      <c r="M2798" s="350" t="str">
        <f>IF($B2798="Portfolio","Portfolio",IFERROR(INDEX(DATA_ASSET_CLASSIFICATION!$B$8:$B$24,MATCH($C2798,DATA_ASSET_CLASSIFICATION!$A$8:$A$24,0)),"Review"))</f>
        <v>Margaret Heights</v>
      </c>
      <c r="N2798" s="350" t="str">
        <f ca="1">IF($B2798="Portfolio","Portfolio",IFERROR(INDEX(DATA_ASSET_CLASSIFICATION!$U$8:$U$24,MATCH($C2798,DATA_ASSET_CLASSIFICATION!$A$8:$A$24,0)),"Review"))</f>
        <v>Refi Watch</v>
      </c>
      <c r="O2798" s="350" t="str">
        <f ca="1">IF($B2798="Portfolio","Portfolio",IFERROR(INDEX(DATA_ASSET_CLASSIFICATION!$AB$8:$AB$13,MATCH($N2798,DATA_ASSET_CLASSIFICATION!$AA$8:$AA$13,0)),"Review"))</f>
        <v>Bucket 2 · Legacy</v>
      </c>
      <c r="P2798" s="350" t="str">
        <f>IF($B2798="Portfolio","Portfolio",IFERROR(INDEX(DATA_ASSET_CLASSIFICATION!$C$8:$C$24,MATCH($C2798,DATA_ASSET_CLASSIFICATION!$A$8:$A$24,0)),"Review"))</f>
        <v>Yes</v>
      </c>
      <c r="Q2798" s="350" t="str">
        <f t="shared" ca="1" si="87"/>
        <v>OK</v>
      </c>
    </row>
    <row r="2799" spans="1:17">
      <c r="A2799" s="366" t="s">
        <v>4755</v>
      </c>
      <c r="B2799" s="366" t="s">
        <v>231</v>
      </c>
      <c r="C2799" s="348" t="str">
        <f>DATA_PROPERTY_MASTER!$A$13</f>
        <v>BLD_MH</v>
      </c>
      <c r="D2799" s="380">
        <f>'00_PORTFOLIO ROLLUP'!P$12</f>
        <v>2036</v>
      </c>
      <c r="E2799" s="366" t="s">
        <v>1683</v>
      </c>
      <c r="F2799" s="366" t="s">
        <v>25</v>
      </c>
      <c r="G2799" s="348" t="str">
        <f>"'"&amp;$C2799&amp;"'!$E$52:$Y$52"</f>
        <v>'BLD_MH'!$E$52:$Y$52</v>
      </c>
      <c r="H2799" s="381">
        <f ca="1">IF(IFERROR(INDEX(DATA_PROPERTY_MASTER!$E$5:$E$21,MATCH($C2799,DATA_PROPERTY_MASTER!$A$5:$A$21,0))="Yes",FALSE),IFERROR(INDEX(INDIRECT("'"&amp;$C2799&amp;"'!$E$52:$Y$52"),1,MATCH($D2799,INDIRECT("'"&amp;$C2799&amp;"'!$E$12:$Y$12"),0)),0),0)</f>
        <v>215240.65641374286</v>
      </c>
      <c r="I2799" s="366" t="s">
        <v>1685</v>
      </c>
      <c r="J2799" s="348" t="str">
        <f t="shared" ca="1" si="86"/>
        <v>OK</v>
      </c>
      <c r="K2799" s="366" t="s">
        <v>1710</v>
      </c>
      <c r="L2799" s="366" t="s">
        <v>2246</v>
      </c>
      <c r="M2799" s="350" t="str">
        <f>IF($B2799="Portfolio","Portfolio",IFERROR(INDEX(DATA_ASSET_CLASSIFICATION!$B$8:$B$24,MATCH($C2799,DATA_ASSET_CLASSIFICATION!$A$8:$A$24,0)),"Review"))</f>
        <v>Margaret Heights</v>
      </c>
      <c r="N2799" s="350" t="str">
        <f ca="1">IF($B2799="Portfolio","Portfolio",IFERROR(INDEX(DATA_ASSET_CLASSIFICATION!$U$8:$U$24,MATCH($C2799,DATA_ASSET_CLASSIFICATION!$A$8:$A$24,0)),"Review"))</f>
        <v>Refi Watch</v>
      </c>
      <c r="O2799" s="350" t="str">
        <f ca="1">IF($B2799="Portfolio","Portfolio",IFERROR(INDEX(DATA_ASSET_CLASSIFICATION!$AB$8:$AB$13,MATCH($N2799,DATA_ASSET_CLASSIFICATION!$AA$8:$AA$13,0)),"Review"))</f>
        <v>Bucket 2 · Legacy</v>
      </c>
      <c r="P2799" s="350" t="str">
        <f>IF($B2799="Portfolio","Portfolio",IFERROR(INDEX(DATA_ASSET_CLASSIFICATION!$C$8:$C$24,MATCH($C2799,DATA_ASSET_CLASSIFICATION!$A$8:$A$24,0)),"Review"))</f>
        <v>Yes</v>
      </c>
      <c r="Q2799" s="350" t="str">
        <f t="shared" ca="1" si="87"/>
        <v>OK</v>
      </c>
    </row>
    <row r="2800" spans="1:17">
      <c r="A2800" s="366" t="s">
        <v>4756</v>
      </c>
      <c r="B2800" s="366" t="s">
        <v>231</v>
      </c>
      <c r="C2800" s="348" t="str">
        <f>DATA_PROPERTY_MASTER!$A$13</f>
        <v>BLD_MH</v>
      </c>
      <c r="D2800" s="380">
        <f>'00_PORTFOLIO ROLLUP'!P$12</f>
        <v>2036</v>
      </c>
      <c r="E2800" s="366" t="s">
        <v>1683</v>
      </c>
      <c r="F2800" s="366" t="s">
        <v>27</v>
      </c>
      <c r="G2800" s="348" t="str">
        <f>"'"&amp;$C2800&amp;"'!$E$54:$Y$54"</f>
        <v>'BLD_MH'!$E$54:$Y$54</v>
      </c>
      <c r="H2800" s="381">
        <f ca="1">IF(IFERROR(INDEX(DATA_PROPERTY_MASTER!$E$5:$E$21,MATCH($C2800,DATA_PROPERTY_MASTER!$A$5:$A$21,0))="Yes",FALSE),IFERROR(INDEX(INDIRECT("'"&amp;$C2800&amp;"'!$E$54:$Y$54"),1,MATCH($D2800,INDIRECT("'"&amp;$C2800&amp;"'!$E$12:$Y$12"),0)),0),0)</f>
        <v>129144.39384824572</v>
      </c>
      <c r="I2800" s="366" t="s">
        <v>1690</v>
      </c>
      <c r="J2800" s="348" t="str">
        <f t="shared" ca="1" si="86"/>
        <v>OK</v>
      </c>
      <c r="K2800" s="366" t="s">
        <v>1714</v>
      </c>
      <c r="L2800" s="366" t="s">
        <v>2248</v>
      </c>
      <c r="M2800" s="350" t="str">
        <f>IF($B2800="Portfolio","Portfolio",IFERROR(INDEX(DATA_ASSET_CLASSIFICATION!$B$8:$B$24,MATCH($C2800,DATA_ASSET_CLASSIFICATION!$A$8:$A$24,0)),"Review"))</f>
        <v>Margaret Heights</v>
      </c>
      <c r="N2800" s="350" t="str">
        <f ca="1">IF($B2800="Portfolio","Portfolio",IFERROR(INDEX(DATA_ASSET_CLASSIFICATION!$U$8:$U$24,MATCH($C2800,DATA_ASSET_CLASSIFICATION!$A$8:$A$24,0)),"Review"))</f>
        <v>Refi Watch</v>
      </c>
      <c r="O2800" s="350" t="str">
        <f ca="1">IF($B2800="Portfolio","Portfolio",IFERROR(INDEX(DATA_ASSET_CLASSIFICATION!$AB$8:$AB$13,MATCH($N2800,DATA_ASSET_CLASSIFICATION!$AA$8:$AA$13,0)),"Review"))</f>
        <v>Bucket 2 · Legacy</v>
      </c>
      <c r="P2800" s="350" t="str">
        <f>IF($B2800="Portfolio","Portfolio",IFERROR(INDEX(DATA_ASSET_CLASSIFICATION!$C$8:$C$24,MATCH($C2800,DATA_ASSET_CLASSIFICATION!$A$8:$A$24,0)),"Review"))</f>
        <v>Yes</v>
      </c>
      <c r="Q2800" s="350" t="str">
        <f t="shared" ca="1" si="87"/>
        <v>OK</v>
      </c>
    </row>
    <row r="2801" spans="1:17">
      <c r="A2801" s="366" t="s">
        <v>4757</v>
      </c>
      <c r="B2801" s="366" t="s">
        <v>231</v>
      </c>
      <c r="C2801" s="348" t="str">
        <f>DATA_PROPERTY_MASTER!$A$13</f>
        <v>BLD_MH</v>
      </c>
      <c r="D2801" s="380">
        <f>'00_PORTFOLIO ROLLUP'!P$12</f>
        <v>2036</v>
      </c>
      <c r="E2801" s="366" t="s">
        <v>1683</v>
      </c>
      <c r="F2801" s="366" t="s">
        <v>29</v>
      </c>
      <c r="G2801" s="348" t="str">
        <f>"'"&amp;$C2801&amp;"'!$E$56:$Y$56"</f>
        <v>'BLD_MH'!$E$56:$Y$56</v>
      </c>
      <c r="H2801" s="381">
        <f ca="1">IF(IFERROR(INDEX(DATA_PROPERTY_MASTER!$E$5:$E$21,MATCH($C2801,DATA_PROPERTY_MASTER!$A$5:$A$21,0))="Yes",FALSE),IFERROR(INDEX(INDIRECT("'"&amp;$C2801&amp;"'!$E$56:$Y$56"),1,MATCH($D2801,INDIRECT("'"&amp;$C2801&amp;"'!$E$12:$Y$12"),0)),0),0)</f>
        <v>86096.262565497149</v>
      </c>
      <c r="I2801" s="366" t="s">
        <v>1685</v>
      </c>
      <c r="J2801" s="348" t="str">
        <f t="shared" ca="1" si="86"/>
        <v>OK</v>
      </c>
      <c r="K2801" s="366" t="s">
        <v>1718</v>
      </c>
      <c r="L2801" s="366" t="s">
        <v>2250</v>
      </c>
      <c r="M2801" s="350" t="str">
        <f>IF($B2801="Portfolio","Portfolio",IFERROR(INDEX(DATA_ASSET_CLASSIFICATION!$B$8:$B$24,MATCH($C2801,DATA_ASSET_CLASSIFICATION!$A$8:$A$24,0)),"Review"))</f>
        <v>Margaret Heights</v>
      </c>
      <c r="N2801" s="350" t="str">
        <f ca="1">IF($B2801="Portfolio","Portfolio",IFERROR(INDEX(DATA_ASSET_CLASSIFICATION!$U$8:$U$24,MATCH($C2801,DATA_ASSET_CLASSIFICATION!$A$8:$A$24,0)),"Review"))</f>
        <v>Refi Watch</v>
      </c>
      <c r="O2801" s="350" t="str">
        <f ca="1">IF($B2801="Portfolio","Portfolio",IFERROR(INDEX(DATA_ASSET_CLASSIFICATION!$AB$8:$AB$13,MATCH($N2801,DATA_ASSET_CLASSIFICATION!$AA$8:$AA$13,0)),"Review"))</f>
        <v>Bucket 2 · Legacy</v>
      </c>
      <c r="P2801" s="350" t="str">
        <f>IF($B2801="Portfolio","Portfolio",IFERROR(INDEX(DATA_ASSET_CLASSIFICATION!$C$8:$C$24,MATCH($C2801,DATA_ASSET_CLASSIFICATION!$A$8:$A$24,0)),"Review"))</f>
        <v>Yes</v>
      </c>
      <c r="Q2801" s="350" t="str">
        <f t="shared" ca="1" si="87"/>
        <v>OK</v>
      </c>
    </row>
    <row r="2802" spans="1:17">
      <c r="A2802" s="366" t="s">
        <v>4758</v>
      </c>
      <c r="B2802" s="366" t="s">
        <v>231</v>
      </c>
      <c r="C2802" s="348" t="str">
        <f>DATA_PROPERTY_MASTER!$A$13</f>
        <v>BLD_MH</v>
      </c>
      <c r="D2802" s="380">
        <f>'00_PORTFOLIO ROLLUP'!P$12</f>
        <v>2036</v>
      </c>
      <c r="E2802" s="366" t="s">
        <v>1721</v>
      </c>
      <c r="F2802" s="366" t="s">
        <v>31</v>
      </c>
      <c r="G2802" s="348" t="str">
        <f>"'"&amp;$C2802&amp;"'!$E$61:$Y$61"</f>
        <v>'BLD_MH'!$E$61:$Y$61</v>
      </c>
      <c r="H2802" s="381">
        <f ca="1">IF(IFERROR(INDEX(DATA_PROPERTY_MASTER!$E$5:$E$21,MATCH($C2802,DATA_PROPERTY_MASTER!$A$5:$A$21,0))="Yes",FALSE),IFERROR(INDEX(INDIRECT("'"&amp;$C2802&amp;"'!$E$61:$Y$61"),1,MATCH($D2802,INDIRECT("'"&amp;$C2802&amp;"'!$E$12:$Y$12"),0)),0),0)</f>
        <v>0</v>
      </c>
      <c r="I2802" s="366" t="s">
        <v>1690</v>
      </c>
      <c r="J2802" s="348" t="str">
        <f t="shared" ca="1" si="86"/>
        <v>OK</v>
      </c>
      <c r="K2802" s="366" t="s">
        <v>1723</v>
      </c>
      <c r="L2802" s="366" t="s">
        <v>2252</v>
      </c>
      <c r="M2802" s="350" t="str">
        <f>IF($B2802="Portfolio","Portfolio",IFERROR(INDEX(DATA_ASSET_CLASSIFICATION!$B$8:$B$24,MATCH($C2802,DATA_ASSET_CLASSIFICATION!$A$8:$A$24,0)),"Review"))</f>
        <v>Margaret Heights</v>
      </c>
      <c r="N2802" s="350" t="str">
        <f ca="1">IF($B2802="Portfolio","Portfolio",IFERROR(INDEX(DATA_ASSET_CLASSIFICATION!$U$8:$U$24,MATCH($C2802,DATA_ASSET_CLASSIFICATION!$A$8:$A$24,0)),"Review"))</f>
        <v>Refi Watch</v>
      </c>
      <c r="O2802" s="350" t="str">
        <f ca="1">IF($B2802="Portfolio","Portfolio",IFERROR(INDEX(DATA_ASSET_CLASSIFICATION!$AB$8:$AB$13,MATCH($N2802,DATA_ASSET_CLASSIFICATION!$AA$8:$AA$13,0)),"Review"))</f>
        <v>Bucket 2 · Legacy</v>
      </c>
      <c r="P2802" s="350" t="str">
        <f>IF($B2802="Portfolio","Portfolio",IFERROR(INDEX(DATA_ASSET_CLASSIFICATION!$C$8:$C$24,MATCH($C2802,DATA_ASSET_CLASSIFICATION!$A$8:$A$24,0)),"Review"))</f>
        <v>Yes</v>
      </c>
      <c r="Q2802" s="350" t="str">
        <f t="shared" ca="1" si="87"/>
        <v>OK</v>
      </c>
    </row>
    <row r="2803" spans="1:17">
      <c r="A2803" s="366" t="s">
        <v>4759</v>
      </c>
      <c r="B2803" s="366" t="s">
        <v>231</v>
      </c>
      <c r="C2803" s="348" t="str">
        <f>DATA_PROPERTY_MASTER!$A$13</f>
        <v>BLD_MH</v>
      </c>
      <c r="D2803" s="380">
        <f>'00_PORTFOLIO ROLLUP'!P$12</f>
        <v>2036</v>
      </c>
      <c r="E2803" s="366" t="s">
        <v>1721</v>
      </c>
      <c r="F2803" s="366" t="s">
        <v>33</v>
      </c>
      <c r="G2803" s="348" t="str">
        <f>"'"&amp;$C2803&amp;"'!$E$62:$Y$62"</f>
        <v>'BLD_MH'!$E$62:$Y$62</v>
      </c>
      <c r="H2803" s="381">
        <f ca="1">IF(IFERROR(INDEX(DATA_PROPERTY_MASTER!$E$5:$E$21,MATCH($C2803,DATA_PROPERTY_MASTER!$A$5:$A$21,0))="Yes",FALSE),IFERROR(INDEX(INDIRECT("'"&amp;$C2803&amp;"'!$E$62:$Y$62"),1,MATCH($D2803,INDIRECT("'"&amp;$C2803&amp;"'!$E$12:$Y$12"),0)),0),0)</f>
        <v>0</v>
      </c>
      <c r="I2803" s="366" t="s">
        <v>1685</v>
      </c>
      <c r="J2803" s="348" t="str">
        <f t="shared" ca="1" si="86"/>
        <v>OK</v>
      </c>
      <c r="K2803" s="366" t="s">
        <v>1727</v>
      </c>
      <c r="L2803" s="366" t="s">
        <v>2254</v>
      </c>
      <c r="M2803" s="350" t="str">
        <f>IF($B2803="Portfolio","Portfolio",IFERROR(INDEX(DATA_ASSET_CLASSIFICATION!$B$8:$B$24,MATCH($C2803,DATA_ASSET_CLASSIFICATION!$A$8:$A$24,0)),"Review"))</f>
        <v>Margaret Heights</v>
      </c>
      <c r="N2803" s="350" t="str">
        <f ca="1">IF($B2803="Portfolio","Portfolio",IFERROR(INDEX(DATA_ASSET_CLASSIFICATION!$U$8:$U$24,MATCH($C2803,DATA_ASSET_CLASSIFICATION!$A$8:$A$24,0)),"Review"))</f>
        <v>Refi Watch</v>
      </c>
      <c r="O2803" s="350" t="str">
        <f ca="1">IF($B2803="Portfolio","Portfolio",IFERROR(INDEX(DATA_ASSET_CLASSIFICATION!$AB$8:$AB$13,MATCH($N2803,DATA_ASSET_CLASSIFICATION!$AA$8:$AA$13,0)),"Review"))</f>
        <v>Bucket 2 · Legacy</v>
      </c>
      <c r="P2803" s="350" t="str">
        <f>IF($B2803="Portfolio","Portfolio",IFERROR(INDEX(DATA_ASSET_CLASSIFICATION!$C$8:$C$24,MATCH($C2803,DATA_ASSET_CLASSIFICATION!$A$8:$A$24,0)),"Review"))</f>
        <v>Yes</v>
      </c>
      <c r="Q2803" s="350" t="str">
        <f t="shared" ca="1" si="87"/>
        <v>OK</v>
      </c>
    </row>
    <row r="2804" spans="1:17">
      <c r="A2804" s="366" t="s">
        <v>4760</v>
      </c>
      <c r="B2804" s="366" t="s">
        <v>231</v>
      </c>
      <c r="C2804" s="348" t="str">
        <f>DATA_PROPERTY_MASTER!$A$13</f>
        <v>BLD_MH</v>
      </c>
      <c r="D2804" s="380">
        <f>'00_PORTFOLIO ROLLUP'!P$12</f>
        <v>2036</v>
      </c>
      <c r="E2804" s="366" t="s">
        <v>1721</v>
      </c>
      <c r="F2804" s="366" t="s">
        <v>35</v>
      </c>
      <c r="G2804" s="348" t="str">
        <f>"'"&amp;$C2804&amp;"'!$E$63:$Y$63"</f>
        <v>'BLD_MH'!$E$63:$Y$63</v>
      </c>
      <c r="H2804" s="381">
        <f ca="1">IF(IFERROR(INDEX(DATA_PROPERTY_MASTER!$E$5:$E$21,MATCH($C2804,DATA_PROPERTY_MASTER!$A$5:$A$21,0))="Yes",FALSE),IFERROR(INDEX(INDIRECT("'"&amp;$C2804&amp;"'!$E$63:$Y$63"),1,MATCH($D2804,INDIRECT("'"&amp;$C2804&amp;"'!$E$12:$Y$12"),0)),0),0)</f>
        <v>0</v>
      </c>
      <c r="I2804" s="366" t="s">
        <v>1731</v>
      </c>
      <c r="J2804" s="348" t="str">
        <f t="shared" ca="1" si="86"/>
        <v>OK</v>
      </c>
      <c r="K2804" s="366" t="s">
        <v>1732</v>
      </c>
      <c r="L2804" s="366" t="s">
        <v>2256</v>
      </c>
      <c r="M2804" s="350" t="str">
        <f>IF($B2804="Portfolio","Portfolio",IFERROR(INDEX(DATA_ASSET_CLASSIFICATION!$B$8:$B$24,MATCH($C2804,DATA_ASSET_CLASSIFICATION!$A$8:$A$24,0)),"Review"))</f>
        <v>Margaret Heights</v>
      </c>
      <c r="N2804" s="350" t="str">
        <f ca="1">IF($B2804="Portfolio","Portfolio",IFERROR(INDEX(DATA_ASSET_CLASSIFICATION!$U$8:$U$24,MATCH($C2804,DATA_ASSET_CLASSIFICATION!$A$8:$A$24,0)),"Review"))</f>
        <v>Refi Watch</v>
      </c>
      <c r="O2804" s="350" t="str">
        <f ca="1">IF($B2804="Portfolio","Portfolio",IFERROR(INDEX(DATA_ASSET_CLASSIFICATION!$AB$8:$AB$13,MATCH($N2804,DATA_ASSET_CLASSIFICATION!$AA$8:$AA$13,0)),"Review"))</f>
        <v>Bucket 2 · Legacy</v>
      </c>
      <c r="P2804" s="350" t="str">
        <f>IF($B2804="Portfolio","Portfolio",IFERROR(INDEX(DATA_ASSET_CLASSIFICATION!$C$8:$C$24,MATCH($C2804,DATA_ASSET_CLASSIFICATION!$A$8:$A$24,0)),"Review"))</f>
        <v>Yes</v>
      </c>
      <c r="Q2804" s="350" t="str">
        <f t="shared" ca="1" si="87"/>
        <v>OK</v>
      </c>
    </row>
    <row r="2805" spans="1:17">
      <c r="A2805" s="366" t="s">
        <v>4761</v>
      </c>
      <c r="B2805" s="366" t="s">
        <v>231</v>
      </c>
      <c r="C2805" s="348" t="str">
        <f>DATA_PROPERTY_MASTER!$A$13</f>
        <v>BLD_MH</v>
      </c>
      <c r="D2805" s="380">
        <f>'00_PORTFOLIO ROLLUP'!P$12</f>
        <v>2036</v>
      </c>
      <c r="E2805" s="366" t="s">
        <v>1721</v>
      </c>
      <c r="F2805" s="366" t="s">
        <v>37</v>
      </c>
      <c r="G2805" s="348" t="str">
        <f>"'"&amp;$C2805&amp;"'!$E$63:$Y$63"</f>
        <v>'BLD_MH'!$E$63:$Y$63</v>
      </c>
      <c r="H2805" s="381">
        <f ca="1">IF(IFERROR(INDEX(DATA_PROPERTY_MASTER!$E$5:$E$21,MATCH($C2805,DATA_PROPERTY_MASTER!$A$5:$A$21,0))="Yes",FALSE),MAX(IFERROR(INDEX(INDIRECT("'"&amp;$C2805&amp;"'!$E$63:$Y$63"),1,MATCH($D2805,INDIRECT("'"&amp;$C2805&amp;"'!$E$12:$Y$12"),0)),0),0),0)</f>
        <v>0</v>
      </c>
      <c r="I2805" s="366" t="s">
        <v>1685</v>
      </c>
      <c r="J2805" s="348" t="str">
        <f t="shared" ca="1" si="86"/>
        <v>OK</v>
      </c>
      <c r="K2805" s="366" t="s">
        <v>1735</v>
      </c>
      <c r="L2805" s="366" t="s">
        <v>2258</v>
      </c>
      <c r="M2805" s="350" t="str">
        <f>IF($B2805="Portfolio","Portfolio",IFERROR(INDEX(DATA_ASSET_CLASSIFICATION!$B$8:$B$24,MATCH($C2805,DATA_ASSET_CLASSIFICATION!$A$8:$A$24,0)),"Review"))</f>
        <v>Margaret Heights</v>
      </c>
      <c r="N2805" s="350" t="str">
        <f ca="1">IF($B2805="Portfolio","Portfolio",IFERROR(INDEX(DATA_ASSET_CLASSIFICATION!$U$8:$U$24,MATCH($C2805,DATA_ASSET_CLASSIFICATION!$A$8:$A$24,0)),"Review"))</f>
        <v>Refi Watch</v>
      </c>
      <c r="O2805" s="350" t="str">
        <f ca="1">IF($B2805="Portfolio","Portfolio",IFERROR(INDEX(DATA_ASSET_CLASSIFICATION!$AB$8:$AB$13,MATCH($N2805,DATA_ASSET_CLASSIFICATION!$AA$8:$AA$13,0)),"Review"))</f>
        <v>Bucket 2 · Legacy</v>
      </c>
      <c r="P2805" s="350" t="str">
        <f>IF($B2805="Portfolio","Portfolio",IFERROR(INDEX(DATA_ASSET_CLASSIFICATION!$C$8:$C$24,MATCH($C2805,DATA_ASSET_CLASSIFICATION!$A$8:$A$24,0)),"Review"))</f>
        <v>Yes</v>
      </c>
      <c r="Q2805" s="350" t="str">
        <f t="shared" ca="1" si="87"/>
        <v>OK</v>
      </c>
    </row>
    <row r="2806" spans="1:17">
      <c r="A2806" s="366" t="s">
        <v>4762</v>
      </c>
      <c r="B2806" s="366" t="s">
        <v>231</v>
      </c>
      <c r="C2806" s="348" t="str">
        <f>DATA_PROPERTY_MASTER!$A$13</f>
        <v>BLD_MH</v>
      </c>
      <c r="D2806" s="380">
        <f>'00_PORTFOLIO ROLLUP'!P$12</f>
        <v>2036</v>
      </c>
      <c r="E2806" s="366" t="s">
        <v>1721</v>
      </c>
      <c r="F2806" s="366" t="s">
        <v>39</v>
      </c>
      <c r="G2806" s="348" t="str">
        <f>"'"&amp;$C2806&amp;"'!$E$63:$Y$63"</f>
        <v>'BLD_MH'!$E$63:$Y$63</v>
      </c>
      <c r="H2806" s="381">
        <f ca="1">IF(IFERROR(INDEX(DATA_PROPERTY_MASTER!$E$5:$E$21,MATCH($C2806,DATA_PROPERTY_MASTER!$A$5:$A$21,0))="Yes",FALSE),MAX(-IFERROR(INDEX(INDIRECT("'"&amp;$C2806&amp;"'!$E$63:$Y$63"),1,MATCH($D2806,INDIRECT("'"&amp;$C2806&amp;"'!$E$12:$Y$12"),0)),0),0),0)</f>
        <v>0</v>
      </c>
      <c r="I2806" s="366" t="s">
        <v>1690</v>
      </c>
      <c r="J2806" s="348" t="str">
        <f t="shared" ca="1" si="86"/>
        <v>OK</v>
      </c>
      <c r="K2806" s="366" t="s">
        <v>1738</v>
      </c>
      <c r="L2806" s="366" t="s">
        <v>2260</v>
      </c>
      <c r="M2806" s="350" t="str">
        <f>IF($B2806="Portfolio","Portfolio",IFERROR(INDEX(DATA_ASSET_CLASSIFICATION!$B$8:$B$24,MATCH($C2806,DATA_ASSET_CLASSIFICATION!$A$8:$A$24,0)),"Review"))</f>
        <v>Margaret Heights</v>
      </c>
      <c r="N2806" s="350" t="str">
        <f ca="1">IF($B2806="Portfolio","Portfolio",IFERROR(INDEX(DATA_ASSET_CLASSIFICATION!$U$8:$U$24,MATCH($C2806,DATA_ASSET_CLASSIFICATION!$A$8:$A$24,0)),"Review"))</f>
        <v>Refi Watch</v>
      </c>
      <c r="O2806" s="350" t="str">
        <f ca="1">IF($B2806="Portfolio","Portfolio",IFERROR(INDEX(DATA_ASSET_CLASSIFICATION!$AB$8:$AB$13,MATCH($N2806,DATA_ASSET_CLASSIFICATION!$AA$8:$AA$13,0)),"Review"))</f>
        <v>Bucket 2 · Legacy</v>
      </c>
      <c r="P2806" s="350" t="str">
        <f>IF($B2806="Portfolio","Portfolio",IFERROR(INDEX(DATA_ASSET_CLASSIFICATION!$C$8:$C$24,MATCH($C2806,DATA_ASSET_CLASSIFICATION!$A$8:$A$24,0)),"Review"))</f>
        <v>Yes</v>
      </c>
      <c r="Q2806" s="350" t="str">
        <f t="shared" ca="1" si="87"/>
        <v>OK</v>
      </c>
    </row>
    <row r="2807" spans="1:17">
      <c r="A2807" s="366" t="s">
        <v>4763</v>
      </c>
      <c r="B2807" s="366" t="s">
        <v>231</v>
      </c>
      <c r="C2807" s="348" t="str">
        <f>DATA_PROPERTY_MASTER!$A$13</f>
        <v>BLD_MH</v>
      </c>
      <c r="D2807" s="380">
        <f>'00_PORTFOLIO ROLLUP'!P$12</f>
        <v>2036</v>
      </c>
      <c r="E2807" s="366" t="s">
        <v>1741</v>
      </c>
      <c r="F2807" s="366" t="s">
        <v>41</v>
      </c>
      <c r="G2807" s="348" t="str">
        <f>"'"&amp;$C2807&amp;"'!rows 56 + positive row 63"</f>
        <v>'BLD_MH'!rows 56 + positive row 63</v>
      </c>
      <c r="H2807" s="381">
        <f ca="1">IF(IFERROR(INDEX(DATA_PROPERTY_MASTER!$E$5:$E$21,MATCH($C2807,DATA_PROPERTY_MASTER!$A$5:$A$21,0))="Yes",FALSE),IFERROR(INDEX(INDIRECT("'"&amp;$C2807&amp;"'!$E$56:$Y$56"),1,MATCH($D2807,INDIRECT("'"&amp;$C2807&amp;"'!$E$12:$Y$12"),0)),0)+MAX(IFERROR(INDEX(INDIRECT("'"&amp;$C2807&amp;"'!$E$63:$Y$63"),1,MATCH($D2807,INDIRECT("'"&amp;$C2807&amp;"'!$E$12:$Y$12"),0)),0),0),0)</f>
        <v>86096.262565497149</v>
      </c>
      <c r="I2807" s="366" t="s">
        <v>1685</v>
      </c>
      <c r="J2807" s="348" t="str">
        <f t="shared" ca="1" si="86"/>
        <v>OK</v>
      </c>
      <c r="K2807" s="366" t="s">
        <v>1742</v>
      </c>
      <c r="L2807" s="366" t="s">
        <v>2262</v>
      </c>
      <c r="M2807" s="350" t="str">
        <f>IF($B2807="Portfolio","Portfolio",IFERROR(INDEX(DATA_ASSET_CLASSIFICATION!$B$8:$B$24,MATCH($C2807,DATA_ASSET_CLASSIFICATION!$A$8:$A$24,0)),"Review"))</f>
        <v>Margaret Heights</v>
      </c>
      <c r="N2807" s="350" t="str">
        <f ca="1">IF($B2807="Portfolio","Portfolio",IFERROR(INDEX(DATA_ASSET_CLASSIFICATION!$U$8:$U$24,MATCH($C2807,DATA_ASSET_CLASSIFICATION!$A$8:$A$24,0)),"Review"))</f>
        <v>Refi Watch</v>
      </c>
      <c r="O2807" s="350" t="str">
        <f ca="1">IF($B2807="Portfolio","Portfolio",IFERROR(INDEX(DATA_ASSET_CLASSIFICATION!$AB$8:$AB$13,MATCH($N2807,DATA_ASSET_CLASSIFICATION!$AA$8:$AA$13,0)),"Review"))</f>
        <v>Bucket 2 · Legacy</v>
      </c>
      <c r="P2807" s="350" t="str">
        <f>IF($B2807="Portfolio","Portfolio",IFERROR(INDEX(DATA_ASSET_CLASSIFICATION!$C$8:$C$24,MATCH($C2807,DATA_ASSET_CLASSIFICATION!$A$8:$A$24,0)),"Review"))</f>
        <v>Yes</v>
      </c>
      <c r="Q2807" s="350" t="str">
        <f t="shared" ca="1" si="87"/>
        <v>OK</v>
      </c>
    </row>
    <row r="2808" spans="1:17">
      <c r="A2808" s="366" t="s">
        <v>4764</v>
      </c>
      <c r="B2808" s="366" t="s">
        <v>231</v>
      </c>
      <c r="C2808" s="348" t="str">
        <f>DATA_PROPERTY_MASTER!$A$13</f>
        <v>BLD_MH</v>
      </c>
      <c r="D2808" s="380">
        <f>'00_PORTFOLIO ROLLUP'!P$12</f>
        <v>2036</v>
      </c>
      <c r="E2808" s="366" t="s">
        <v>1741</v>
      </c>
      <c r="F2808" s="366" t="s">
        <v>43</v>
      </c>
      <c r="G2808" s="348" t="str">
        <f>"'"&amp;$C2808&amp;"'!$E$68:$Y$68"</f>
        <v>'BLD_MH'!$E$68:$Y$68</v>
      </c>
      <c r="H2808" s="381">
        <f ca="1">IF(IFERROR(INDEX(DATA_PROPERTY_MASTER!$E$5:$E$21,MATCH($C2808,DATA_PROPERTY_MASTER!$A$5:$A$21,0))="Yes",FALSE),IFERROR(INDEX(INDIRECT("'"&amp;$C2808&amp;"'!$E$68:$Y$68"),1,MATCH($D2808,INDIRECT("'"&amp;$C2808&amp;"'!$E$12:$Y$12"),0)),0),0)</f>
        <v>86096.262565497149</v>
      </c>
      <c r="I2808" s="366" t="s">
        <v>1731</v>
      </c>
      <c r="J2808" s="348" t="str">
        <f t="shared" ca="1" si="86"/>
        <v>OK</v>
      </c>
      <c r="K2808" s="366" t="s">
        <v>1746</v>
      </c>
      <c r="L2808" s="366" t="s">
        <v>2264</v>
      </c>
      <c r="M2808" s="350" t="str">
        <f>IF($B2808="Portfolio","Portfolio",IFERROR(INDEX(DATA_ASSET_CLASSIFICATION!$B$8:$B$24,MATCH($C2808,DATA_ASSET_CLASSIFICATION!$A$8:$A$24,0)),"Review"))</f>
        <v>Margaret Heights</v>
      </c>
      <c r="N2808" s="350" t="str">
        <f ca="1">IF($B2808="Portfolio","Portfolio",IFERROR(INDEX(DATA_ASSET_CLASSIFICATION!$U$8:$U$24,MATCH($C2808,DATA_ASSET_CLASSIFICATION!$A$8:$A$24,0)),"Review"))</f>
        <v>Refi Watch</v>
      </c>
      <c r="O2808" s="350" t="str">
        <f ca="1">IF($B2808="Portfolio","Portfolio",IFERROR(INDEX(DATA_ASSET_CLASSIFICATION!$AB$8:$AB$13,MATCH($N2808,DATA_ASSET_CLASSIFICATION!$AA$8:$AA$13,0)),"Review"))</f>
        <v>Bucket 2 · Legacy</v>
      </c>
      <c r="P2808" s="350" t="str">
        <f>IF($B2808="Portfolio","Portfolio",IFERROR(INDEX(DATA_ASSET_CLASSIFICATION!$C$8:$C$24,MATCH($C2808,DATA_ASSET_CLASSIFICATION!$A$8:$A$24,0)),"Review"))</f>
        <v>Yes</v>
      </c>
      <c r="Q2808" s="350" t="str">
        <f t="shared" ca="1" si="87"/>
        <v>OK</v>
      </c>
    </row>
    <row r="2809" spans="1:17">
      <c r="A2809" s="366" t="s">
        <v>4765</v>
      </c>
      <c r="B2809" s="366" t="s">
        <v>231</v>
      </c>
      <c r="C2809" s="348" t="str">
        <f>DATA_PROPERTY_MASTER!$A$13</f>
        <v>BLD_MH</v>
      </c>
      <c r="D2809" s="380">
        <f>'00_PORTFOLIO ROLLUP'!P$12</f>
        <v>2036</v>
      </c>
      <c r="E2809" s="366" t="s">
        <v>1741</v>
      </c>
      <c r="F2809" s="366" t="s">
        <v>1749</v>
      </c>
      <c r="G2809" s="348" t="str">
        <f>"'"&amp;$C2809&amp;"'!rows 56, 63, 68"</f>
        <v>'BLD_MH'!rows 56, 63, 68</v>
      </c>
      <c r="H2809" s="381">
        <f ca="1">IF(IFERROR(INDEX(DATA_PROPERTY_MASTER!$E$5:$E$21,MATCH($C2809,DATA_PROPERTY_MASTER!$A$5:$A$21,0))="Yes",FALSE),(IFERROR(INDEX(INDIRECT("'"&amp;$C2809&amp;"'!$E$56:$Y$56"),1,MATCH($D2809,INDIRECT("'"&amp;$C2809&amp;"'!$E$12:$Y$12"),0)),0)+MAX(IFERROR(INDEX(INDIRECT("'"&amp;$C2809&amp;"'!$E$63:$Y$63"),1,MATCH($D2809,INDIRECT("'"&amp;$C2809&amp;"'!$E$12:$Y$12"),0)),0),0))-(IFERROR(INDEX(INDIRECT("'"&amp;$C2809&amp;"'!$E$68:$Y$68"),1,MATCH($D2809,INDIRECT("'"&amp;$C2809&amp;"'!$E$12:$Y$12"),0)),0)),0)</f>
        <v>0</v>
      </c>
      <c r="I2809" s="366" t="s">
        <v>1750</v>
      </c>
      <c r="J2809" s="348" t="str">
        <f t="shared" ca="1" si="86"/>
        <v>OK</v>
      </c>
      <c r="K2809" s="366" t="s">
        <v>1751</v>
      </c>
      <c r="L2809" s="366" t="s">
        <v>2266</v>
      </c>
      <c r="M2809" s="350" t="str">
        <f>IF($B2809="Portfolio","Portfolio",IFERROR(INDEX(DATA_ASSET_CLASSIFICATION!$B$8:$B$24,MATCH($C2809,DATA_ASSET_CLASSIFICATION!$A$8:$A$24,0)),"Review"))</f>
        <v>Margaret Heights</v>
      </c>
      <c r="N2809" s="350" t="str">
        <f ca="1">IF($B2809="Portfolio","Portfolio",IFERROR(INDEX(DATA_ASSET_CLASSIFICATION!$U$8:$U$24,MATCH($C2809,DATA_ASSET_CLASSIFICATION!$A$8:$A$24,0)),"Review"))</f>
        <v>Refi Watch</v>
      </c>
      <c r="O2809" s="350" t="str">
        <f ca="1">IF($B2809="Portfolio","Portfolio",IFERROR(INDEX(DATA_ASSET_CLASSIFICATION!$AB$8:$AB$13,MATCH($N2809,DATA_ASSET_CLASSIFICATION!$AA$8:$AA$13,0)),"Review"))</f>
        <v>Bucket 2 · Legacy</v>
      </c>
      <c r="P2809" s="350" t="str">
        <f>IF($B2809="Portfolio","Portfolio",IFERROR(INDEX(DATA_ASSET_CLASSIFICATION!$C$8:$C$24,MATCH($C2809,DATA_ASSET_CLASSIFICATION!$A$8:$A$24,0)),"Review"))</f>
        <v>Yes</v>
      </c>
      <c r="Q2809" s="350" t="str">
        <f t="shared" ca="1" si="87"/>
        <v>OK</v>
      </c>
    </row>
    <row r="2810" spans="1:17">
      <c r="A2810" s="366" t="s">
        <v>4766</v>
      </c>
      <c r="B2810" s="366" t="s">
        <v>231</v>
      </c>
      <c r="C2810" s="348" t="str">
        <f>DATA_PROPERTY_MASTER!$A$13</f>
        <v>BLD_MH</v>
      </c>
      <c r="D2810" s="380">
        <f>'00_PORTFOLIO ROLLUP'!Q$12</f>
        <v>2037</v>
      </c>
      <c r="E2810" s="366" t="s">
        <v>1683</v>
      </c>
      <c r="F2810" s="366" t="s">
        <v>341</v>
      </c>
      <c r="G2810" s="348" t="str">
        <f>"'"&amp;$C2810&amp;"'!$E$24:$Y$24"</f>
        <v>'BLD_MH'!$E$24:$Y$24</v>
      </c>
      <c r="H2810" s="381">
        <f ca="1">IF(IFERROR(INDEX(DATA_PROPERTY_MASTER!$E$5:$E$21,MATCH($C2810,DATA_PROPERTY_MASTER!$A$5:$A$21,0))="Yes",FALSE),IFERROR(INDEX(INDIRECT("'"&amp;$C2810&amp;"'!$E$24:$Y$24"),1,MATCH($D2810,INDIRECT("'"&amp;$C2810&amp;"'!$E$12:$Y$12"),0)),0),0)</f>
        <v>500616.91873086023</v>
      </c>
      <c r="I2810" s="366" t="s">
        <v>1685</v>
      </c>
      <c r="J2810" s="348" t="str">
        <f t="shared" ca="1" si="86"/>
        <v>OK</v>
      </c>
      <c r="K2810" s="366" t="s">
        <v>1686</v>
      </c>
      <c r="L2810" s="366" t="s">
        <v>2234</v>
      </c>
      <c r="M2810" s="350" t="str">
        <f>IF($B2810="Portfolio","Portfolio",IFERROR(INDEX(DATA_ASSET_CLASSIFICATION!$B$8:$B$24,MATCH($C2810,DATA_ASSET_CLASSIFICATION!$A$8:$A$24,0)),"Review"))</f>
        <v>Margaret Heights</v>
      </c>
      <c r="N2810" s="350" t="str">
        <f ca="1">IF($B2810="Portfolio","Portfolio",IFERROR(INDEX(DATA_ASSET_CLASSIFICATION!$U$8:$U$24,MATCH($C2810,DATA_ASSET_CLASSIFICATION!$A$8:$A$24,0)),"Review"))</f>
        <v>Refi Watch</v>
      </c>
      <c r="O2810" s="350" t="str">
        <f ca="1">IF($B2810="Portfolio","Portfolio",IFERROR(INDEX(DATA_ASSET_CLASSIFICATION!$AB$8:$AB$13,MATCH($N2810,DATA_ASSET_CLASSIFICATION!$AA$8:$AA$13,0)),"Review"))</f>
        <v>Bucket 2 · Legacy</v>
      </c>
      <c r="P2810" s="350" t="str">
        <f>IF($B2810="Portfolio","Portfolio",IFERROR(INDEX(DATA_ASSET_CLASSIFICATION!$C$8:$C$24,MATCH($C2810,DATA_ASSET_CLASSIFICATION!$A$8:$A$24,0)),"Review"))</f>
        <v>Yes</v>
      </c>
      <c r="Q2810" s="350" t="str">
        <f t="shared" ca="1" si="87"/>
        <v>OK</v>
      </c>
    </row>
    <row r="2811" spans="1:17">
      <c r="A2811" s="366" t="s">
        <v>4767</v>
      </c>
      <c r="B2811" s="366" t="s">
        <v>231</v>
      </c>
      <c r="C2811" s="348" t="str">
        <f>DATA_PROPERTY_MASTER!$A$13</f>
        <v>BLD_MH</v>
      </c>
      <c r="D2811" s="380">
        <f>'00_PORTFOLIO ROLLUP'!Q$12</f>
        <v>2037</v>
      </c>
      <c r="E2811" s="366" t="s">
        <v>1683</v>
      </c>
      <c r="F2811" s="366" t="s">
        <v>355</v>
      </c>
      <c r="G2811" s="348" t="str">
        <f>"'"&amp;$C2811&amp;"'!$E$39:$Y$39"</f>
        <v>'BLD_MH'!$E$39:$Y$39</v>
      </c>
      <c r="H2811" s="381">
        <f ca="1">IF(IFERROR(INDEX(DATA_PROPERTY_MASTER!$E$5:$E$21,MATCH($C2811,DATA_PROPERTY_MASTER!$A$5:$A$21,0))="Yes",FALSE),IFERROR(INDEX(INDIRECT("'"&amp;$C2811&amp;"'!$E$39:$Y$39"),1,MATCH($D2811,INDIRECT("'"&amp;$C2811&amp;"'!$E$12:$Y$12"),0)),0),0)</f>
        <v>282449.25041035644</v>
      </c>
      <c r="I2811" s="366" t="s">
        <v>1690</v>
      </c>
      <c r="J2811" s="348" t="str">
        <f t="shared" ca="1" si="86"/>
        <v>OK</v>
      </c>
      <c r="K2811" s="366" t="s">
        <v>1686</v>
      </c>
      <c r="L2811" s="366" t="s">
        <v>2236</v>
      </c>
      <c r="M2811" s="350" t="str">
        <f>IF($B2811="Portfolio","Portfolio",IFERROR(INDEX(DATA_ASSET_CLASSIFICATION!$B$8:$B$24,MATCH($C2811,DATA_ASSET_CLASSIFICATION!$A$8:$A$24,0)),"Review"))</f>
        <v>Margaret Heights</v>
      </c>
      <c r="N2811" s="350" t="str">
        <f ca="1">IF($B2811="Portfolio","Portfolio",IFERROR(INDEX(DATA_ASSET_CLASSIFICATION!$U$8:$U$24,MATCH($C2811,DATA_ASSET_CLASSIFICATION!$A$8:$A$24,0)),"Review"))</f>
        <v>Refi Watch</v>
      </c>
      <c r="O2811" s="350" t="str">
        <f ca="1">IF($B2811="Portfolio","Portfolio",IFERROR(INDEX(DATA_ASSET_CLASSIFICATION!$AB$8:$AB$13,MATCH($N2811,DATA_ASSET_CLASSIFICATION!$AA$8:$AA$13,0)),"Review"))</f>
        <v>Bucket 2 · Legacy</v>
      </c>
      <c r="P2811" s="350" t="str">
        <f>IF($B2811="Portfolio","Portfolio",IFERROR(INDEX(DATA_ASSET_CLASSIFICATION!$C$8:$C$24,MATCH($C2811,DATA_ASSET_CLASSIFICATION!$A$8:$A$24,0)),"Review"))</f>
        <v>Yes</v>
      </c>
      <c r="Q2811" s="350" t="str">
        <f t="shared" ca="1" si="87"/>
        <v>OK</v>
      </c>
    </row>
    <row r="2812" spans="1:17">
      <c r="A2812" s="366" t="s">
        <v>4768</v>
      </c>
      <c r="B2812" s="366" t="s">
        <v>231</v>
      </c>
      <c r="C2812" s="348" t="str">
        <f>DATA_PROPERTY_MASTER!$A$13</f>
        <v>BLD_MH</v>
      </c>
      <c r="D2812" s="380">
        <f>'00_PORTFOLIO ROLLUP'!Q$12</f>
        <v>2037</v>
      </c>
      <c r="E2812" s="366" t="s">
        <v>1683</v>
      </c>
      <c r="F2812" s="366" t="s">
        <v>19</v>
      </c>
      <c r="G2812" s="348" t="str">
        <f>"'"&amp;$C2812&amp;"'!$E$41:$Y$41"</f>
        <v>'BLD_MH'!$E$41:$Y$41</v>
      </c>
      <c r="H2812" s="381">
        <f ca="1">IF(IFERROR(INDEX(DATA_PROPERTY_MASTER!$E$5:$E$21,MATCH($C2812,DATA_PROPERTY_MASTER!$A$5:$A$21,0))="Yes",FALSE),IFERROR(INDEX(INDIRECT("'"&amp;$C2812&amp;"'!$E$41:$Y$41"),1,MATCH($D2812,INDIRECT("'"&amp;$C2812&amp;"'!$E$12:$Y$12"),0)),0),0)</f>
        <v>218167.66832050378</v>
      </c>
      <c r="I2812" s="366" t="s">
        <v>1685</v>
      </c>
      <c r="J2812" s="348" t="str">
        <f t="shared" ca="1" si="86"/>
        <v>OK</v>
      </c>
      <c r="K2812" s="366" t="s">
        <v>1694</v>
      </c>
      <c r="L2812" s="366" t="s">
        <v>2238</v>
      </c>
      <c r="M2812" s="350" t="str">
        <f>IF($B2812="Portfolio","Portfolio",IFERROR(INDEX(DATA_ASSET_CLASSIFICATION!$B$8:$B$24,MATCH($C2812,DATA_ASSET_CLASSIFICATION!$A$8:$A$24,0)),"Review"))</f>
        <v>Margaret Heights</v>
      </c>
      <c r="N2812" s="350" t="str">
        <f ca="1">IF($B2812="Portfolio","Portfolio",IFERROR(INDEX(DATA_ASSET_CLASSIFICATION!$U$8:$U$24,MATCH($C2812,DATA_ASSET_CLASSIFICATION!$A$8:$A$24,0)),"Review"))</f>
        <v>Refi Watch</v>
      </c>
      <c r="O2812" s="350" t="str">
        <f ca="1">IF($B2812="Portfolio","Portfolio",IFERROR(INDEX(DATA_ASSET_CLASSIFICATION!$AB$8:$AB$13,MATCH($N2812,DATA_ASSET_CLASSIFICATION!$AA$8:$AA$13,0)),"Review"))</f>
        <v>Bucket 2 · Legacy</v>
      </c>
      <c r="P2812" s="350" t="str">
        <f>IF($B2812="Portfolio","Portfolio",IFERROR(INDEX(DATA_ASSET_CLASSIFICATION!$C$8:$C$24,MATCH($C2812,DATA_ASSET_CLASSIFICATION!$A$8:$A$24,0)),"Review"))</f>
        <v>Yes</v>
      </c>
      <c r="Q2812" s="350" t="str">
        <f t="shared" ca="1" si="87"/>
        <v>OK</v>
      </c>
    </row>
    <row r="2813" spans="1:17">
      <c r="A2813" s="366" t="s">
        <v>4769</v>
      </c>
      <c r="B2813" s="366" t="s">
        <v>231</v>
      </c>
      <c r="C2813" s="348" t="str">
        <f>DATA_PROPERTY_MASTER!$A$13</f>
        <v>BLD_MH</v>
      </c>
      <c r="D2813" s="380">
        <f>'00_PORTFOLIO ROLLUP'!Q$12</f>
        <v>2037</v>
      </c>
      <c r="E2813" s="366" t="s">
        <v>1683</v>
      </c>
      <c r="F2813" s="366" t="s">
        <v>1697</v>
      </c>
      <c r="G2813" s="348" t="str">
        <f>"'"&amp;$C2813&amp;"'!$E$44:$Y$44"</f>
        <v>'BLD_MH'!$E$44:$Y$44</v>
      </c>
      <c r="H2813" s="381">
        <f ca="1">IF(IFERROR(INDEX(DATA_PROPERTY_MASTER!$E$5:$E$21,MATCH($C2813,DATA_PROPERTY_MASTER!$A$5:$A$21,0))="Yes",FALSE),IFERROR(INDEX(INDIRECT("'"&amp;$C2813&amp;"'!$E$44:$Y$44"),1,MATCH($D2813,INDIRECT("'"&amp;$C2813&amp;"'!$E$12:$Y$12"),0)),0),0)</f>
        <v>3614.4891145032539</v>
      </c>
      <c r="I2813" s="366" t="s">
        <v>1690</v>
      </c>
      <c r="J2813" s="348" t="str">
        <f t="shared" ca="1" si="86"/>
        <v>OK</v>
      </c>
      <c r="K2813" s="366" t="s">
        <v>1699</v>
      </c>
      <c r="L2813" s="366" t="s">
        <v>2240</v>
      </c>
      <c r="M2813" s="350" t="str">
        <f>IF($B2813="Portfolio","Portfolio",IFERROR(INDEX(DATA_ASSET_CLASSIFICATION!$B$8:$B$24,MATCH($C2813,DATA_ASSET_CLASSIFICATION!$A$8:$A$24,0)),"Review"))</f>
        <v>Margaret Heights</v>
      </c>
      <c r="N2813" s="350" t="str">
        <f ca="1">IF($B2813="Portfolio","Portfolio",IFERROR(INDEX(DATA_ASSET_CLASSIFICATION!$U$8:$U$24,MATCH($C2813,DATA_ASSET_CLASSIFICATION!$A$8:$A$24,0)),"Review"))</f>
        <v>Refi Watch</v>
      </c>
      <c r="O2813" s="350" t="str">
        <f ca="1">IF($B2813="Portfolio","Portfolio",IFERROR(INDEX(DATA_ASSET_CLASSIFICATION!$AB$8:$AB$13,MATCH($N2813,DATA_ASSET_CLASSIFICATION!$AA$8:$AA$13,0)),"Review"))</f>
        <v>Bucket 2 · Legacy</v>
      </c>
      <c r="P2813" s="350" t="str">
        <f>IF($B2813="Portfolio","Portfolio",IFERROR(INDEX(DATA_ASSET_CLASSIFICATION!$C$8:$C$24,MATCH($C2813,DATA_ASSET_CLASSIFICATION!$A$8:$A$24,0)),"Review"))</f>
        <v>Yes</v>
      </c>
      <c r="Q2813" s="350" t="str">
        <f t="shared" ca="1" si="87"/>
        <v>OK</v>
      </c>
    </row>
    <row r="2814" spans="1:17">
      <c r="A2814" s="366" t="s">
        <v>4770</v>
      </c>
      <c r="B2814" s="366" t="s">
        <v>231</v>
      </c>
      <c r="C2814" s="348" t="str">
        <f>DATA_PROPERTY_MASTER!$A$13</f>
        <v>BLD_MH</v>
      </c>
      <c r="D2814" s="380">
        <f>'00_PORTFOLIO ROLLUP'!Q$12</f>
        <v>2037</v>
      </c>
      <c r="E2814" s="366" t="s">
        <v>1683</v>
      </c>
      <c r="F2814" s="366" t="s">
        <v>21</v>
      </c>
      <c r="G2814" s="348" t="str">
        <f>"'"&amp;$C2814&amp;"'!$E$45:$Y$45"</f>
        <v>'BLD_MH'!$E$45:$Y$45</v>
      </c>
      <c r="H2814" s="381">
        <f ca="1">IF(IFERROR(INDEX(DATA_PROPERTY_MASTER!$E$5:$E$21,MATCH($C2814,DATA_PROPERTY_MASTER!$A$5:$A$21,0))="Yes",FALSE),IFERROR(INDEX(INDIRECT("'"&amp;$C2814&amp;"'!$E$45:$Y$45"),1,MATCH($D2814,INDIRECT("'"&amp;$C2814&amp;"'!$E$12:$Y$12"),0)),0),0)</f>
        <v>214553.17920600052</v>
      </c>
      <c r="I2814" s="366" t="s">
        <v>1685</v>
      </c>
      <c r="J2814" s="348" t="str">
        <f t="shared" ca="1" si="86"/>
        <v>OK</v>
      </c>
      <c r="K2814" s="366" t="s">
        <v>1694</v>
      </c>
      <c r="L2814" s="366" t="s">
        <v>2242</v>
      </c>
      <c r="M2814" s="350" t="str">
        <f>IF($B2814="Portfolio","Portfolio",IFERROR(INDEX(DATA_ASSET_CLASSIFICATION!$B$8:$B$24,MATCH($C2814,DATA_ASSET_CLASSIFICATION!$A$8:$A$24,0)),"Review"))</f>
        <v>Margaret Heights</v>
      </c>
      <c r="N2814" s="350" t="str">
        <f ca="1">IF($B2814="Portfolio","Portfolio",IFERROR(INDEX(DATA_ASSET_CLASSIFICATION!$U$8:$U$24,MATCH($C2814,DATA_ASSET_CLASSIFICATION!$A$8:$A$24,0)),"Review"))</f>
        <v>Refi Watch</v>
      </c>
      <c r="O2814" s="350" t="str">
        <f ca="1">IF($B2814="Portfolio","Portfolio",IFERROR(INDEX(DATA_ASSET_CLASSIFICATION!$AB$8:$AB$13,MATCH($N2814,DATA_ASSET_CLASSIFICATION!$AA$8:$AA$13,0)),"Review"))</f>
        <v>Bucket 2 · Legacy</v>
      </c>
      <c r="P2814" s="350" t="str">
        <f>IF($B2814="Portfolio","Portfolio",IFERROR(INDEX(DATA_ASSET_CLASSIFICATION!$C$8:$C$24,MATCH($C2814,DATA_ASSET_CLASSIFICATION!$A$8:$A$24,0)),"Review"))</f>
        <v>Yes</v>
      </c>
      <c r="Q2814" s="350" t="str">
        <f t="shared" ca="1" si="87"/>
        <v>OK</v>
      </c>
    </row>
    <row r="2815" spans="1:17">
      <c r="A2815" s="366" t="s">
        <v>4771</v>
      </c>
      <c r="B2815" s="366" t="s">
        <v>231</v>
      </c>
      <c r="C2815" s="348" t="str">
        <f>DATA_PROPERTY_MASTER!$A$13</f>
        <v>BLD_MH</v>
      </c>
      <c r="D2815" s="380">
        <f>'00_PORTFOLIO ROLLUP'!Q$12</f>
        <v>2037</v>
      </c>
      <c r="E2815" s="366" t="s">
        <v>23</v>
      </c>
      <c r="F2815" s="366" t="s">
        <v>23</v>
      </c>
      <c r="G2815" s="348" t="str">
        <f>"'"&amp;$C2815&amp;"'!$E$48:$Y$48"</f>
        <v>'BLD_MH'!$E$48:$Y$48</v>
      </c>
      <c r="H2815" s="381">
        <f ca="1">IF(IFERROR(INDEX(DATA_PROPERTY_MASTER!$E$5:$E$21,MATCH($C2815,DATA_PROPERTY_MASTER!$A$5:$A$21,0))="Yes",FALSE),IFERROR(INDEX(INDIRECT("'"&amp;$C2815&amp;"'!$E$48:$Y$48"),1,MATCH($D2815,INDIRECT("'"&amp;$C2815&amp;"'!$E$12:$Y$12"),0)),0),0)</f>
        <v>0</v>
      </c>
      <c r="I2815" s="366" t="s">
        <v>1690</v>
      </c>
      <c r="J2815" s="348" t="str">
        <f t="shared" ca="1" si="86"/>
        <v>OK</v>
      </c>
      <c r="K2815" s="366" t="s">
        <v>1706</v>
      </c>
      <c r="L2815" s="366" t="s">
        <v>2244</v>
      </c>
      <c r="M2815" s="350" t="str">
        <f>IF($B2815="Portfolio","Portfolio",IFERROR(INDEX(DATA_ASSET_CLASSIFICATION!$B$8:$B$24,MATCH($C2815,DATA_ASSET_CLASSIFICATION!$A$8:$A$24,0)),"Review"))</f>
        <v>Margaret Heights</v>
      </c>
      <c r="N2815" s="350" t="str">
        <f ca="1">IF($B2815="Portfolio","Portfolio",IFERROR(INDEX(DATA_ASSET_CLASSIFICATION!$U$8:$U$24,MATCH($C2815,DATA_ASSET_CLASSIFICATION!$A$8:$A$24,0)),"Review"))</f>
        <v>Refi Watch</v>
      </c>
      <c r="O2815" s="350" t="str">
        <f ca="1">IF($B2815="Portfolio","Portfolio",IFERROR(INDEX(DATA_ASSET_CLASSIFICATION!$AB$8:$AB$13,MATCH($N2815,DATA_ASSET_CLASSIFICATION!$AA$8:$AA$13,0)),"Review"))</f>
        <v>Bucket 2 · Legacy</v>
      </c>
      <c r="P2815" s="350" t="str">
        <f>IF($B2815="Portfolio","Portfolio",IFERROR(INDEX(DATA_ASSET_CLASSIFICATION!$C$8:$C$24,MATCH($C2815,DATA_ASSET_CLASSIFICATION!$A$8:$A$24,0)),"Review"))</f>
        <v>Yes</v>
      </c>
      <c r="Q2815" s="350" t="str">
        <f t="shared" ca="1" si="87"/>
        <v>OK</v>
      </c>
    </row>
    <row r="2816" spans="1:17">
      <c r="A2816" s="366" t="s">
        <v>4772</v>
      </c>
      <c r="B2816" s="366" t="s">
        <v>231</v>
      </c>
      <c r="C2816" s="348" t="str">
        <f>DATA_PROPERTY_MASTER!$A$13</f>
        <v>BLD_MH</v>
      </c>
      <c r="D2816" s="380">
        <f>'00_PORTFOLIO ROLLUP'!Q$12</f>
        <v>2037</v>
      </c>
      <c r="E2816" s="366" t="s">
        <v>1683</v>
      </c>
      <c r="F2816" s="366" t="s">
        <v>25</v>
      </c>
      <c r="G2816" s="348" t="str">
        <f>"'"&amp;$C2816&amp;"'!$E$52:$Y$52"</f>
        <v>'BLD_MH'!$E$52:$Y$52</v>
      </c>
      <c r="H2816" s="381">
        <f ca="1">IF(IFERROR(INDEX(DATA_PROPERTY_MASTER!$E$5:$E$21,MATCH($C2816,DATA_PROPERTY_MASTER!$A$5:$A$21,0))="Yes",FALSE),IFERROR(INDEX(INDIRECT("'"&amp;$C2816&amp;"'!$E$52:$Y$52"),1,MATCH($D2816,INDIRECT("'"&amp;$C2816&amp;"'!$E$12:$Y$12"),0)),0),0)</f>
        <v>218167.66832050378</v>
      </c>
      <c r="I2816" s="366" t="s">
        <v>1685</v>
      </c>
      <c r="J2816" s="348" t="str">
        <f t="shared" ca="1" si="86"/>
        <v>OK</v>
      </c>
      <c r="K2816" s="366" t="s">
        <v>1710</v>
      </c>
      <c r="L2816" s="366" t="s">
        <v>2246</v>
      </c>
      <c r="M2816" s="350" t="str">
        <f>IF($B2816="Portfolio","Portfolio",IFERROR(INDEX(DATA_ASSET_CLASSIFICATION!$B$8:$B$24,MATCH($C2816,DATA_ASSET_CLASSIFICATION!$A$8:$A$24,0)),"Review"))</f>
        <v>Margaret Heights</v>
      </c>
      <c r="N2816" s="350" t="str">
        <f ca="1">IF($B2816="Portfolio","Portfolio",IFERROR(INDEX(DATA_ASSET_CLASSIFICATION!$U$8:$U$24,MATCH($C2816,DATA_ASSET_CLASSIFICATION!$A$8:$A$24,0)),"Review"))</f>
        <v>Refi Watch</v>
      </c>
      <c r="O2816" s="350" t="str">
        <f ca="1">IF($B2816="Portfolio","Portfolio",IFERROR(INDEX(DATA_ASSET_CLASSIFICATION!$AB$8:$AB$13,MATCH($N2816,DATA_ASSET_CLASSIFICATION!$AA$8:$AA$13,0)),"Review"))</f>
        <v>Bucket 2 · Legacy</v>
      </c>
      <c r="P2816" s="350" t="str">
        <f>IF($B2816="Portfolio","Portfolio",IFERROR(INDEX(DATA_ASSET_CLASSIFICATION!$C$8:$C$24,MATCH($C2816,DATA_ASSET_CLASSIFICATION!$A$8:$A$24,0)),"Review"))</f>
        <v>Yes</v>
      </c>
      <c r="Q2816" s="350" t="str">
        <f t="shared" ca="1" si="87"/>
        <v>OK</v>
      </c>
    </row>
    <row r="2817" spans="1:17">
      <c r="A2817" s="366" t="s">
        <v>4773</v>
      </c>
      <c r="B2817" s="366" t="s">
        <v>231</v>
      </c>
      <c r="C2817" s="348" t="str">
        <f>DATA_PROPERTY_MASTER!$A$13</f>
        <v>BLD_MH</v>
      </c>
      <c r="D2817" s="380">
        <f>'00_PORTFOLIO ROLLUP'!Q$12</f>
        <v>2037</v>
      </c>
      <c r="E2817" s="366" t="s">
        <v>1683</v>
      </c>
      <c r="F2817" s="366" t="s">
        <v>27</v>
      </c>
      <c r="G2817" s="348" t="str">
        <f>"'"&amp;$C2817&amp;"'!$E$54:$Y$54"</f>
        <v>'BLD_MH'!$E$54:$Y$54</v>
      </c>
      <c r="H2817" s="381">
        <f ca="1">IF(IFERROR(INDEX(DATA_PROPERTY_MASTER!$E$5:$E$21,MATCH($C2817,DATA_PROPERTY_MASTER!$A$5:$A$21,0))="Yes",FALSE),IFERROR(INDEX(INDIRECT("'"&amp;$C2817&amp;"'!$E$54:$Y$54"),1,MATCH($D2817,INDIRECT("'"&amp;$C2817&amp;"'!$E$12:$Y$12"),0)),0),0)</f>
        <v>130900.60099230226</v>
      </c>
      <c r="I2817" s="366" t="s">
        <v>1690</v>
      </c>
      <c r="J2817" s="348" t="str">
        <f t="shared" ca="1" si="86"/>
        <v>OK</v>
      </c>
      <c r="K2817" s="366" t="s">
        <v>1714</v>
      </c>
      <c r="L2817" s="366" t="s">
        <v>2248</v>
      </c>
      <c r="M2817" s="350" t="str">
        <f>IF($B2817="Portfolio","Portfolio",IFERROR(INDEX(DATA_ASSET_CLASSIFICATION!$B$8:$B$24,MATCH($C2817,DATA_ASSET_CLASSIFICATION!$A$8:$A$24,0)),"Review"))</f>
        <v>Margaret Heights</v>
      </c>
      <c r="N2817" s="350" t="str">
        <f ca="1">IF($B2817="Portfolio","Portfolio",IFERROR(INDEX(DATA_ASSET_CLASSIFICATION!$U$8:$U$24,MATCH($C2817,DATA_ASSET_CLASSIFICATION!$A$8:$A$24,0)),"Review"))</f>
        <v>Refi Watch</v>
      </c>
      <c r="O2817" s="350" t="str">
        <f ca="1">IF($B2817="Portfolio","Portfolio",IFERROR(INDEX(DATA_ASSET_CLASSIFICATION!$AB$8:$AB$13,MATCH($N2817,DATA_ASSET_CLASSIFICATION!$AA$8:$AA$13,0)),"Review"))</f>
        <v>Bucket 2 · Legacy</v>
      </c>
      <c r="P2817" s="350" t="str">
        <f>IF($B2817="Portfolio","Portfolio",IFERROR(INDEX(DATA_ASSET_CLASSIFICATION!$C$8:$C$24,MATCH($C2817,DATA_ASSET_CLASSIFICATION!$A$8:$A$24,0)),"Review"))</f>
        <v>Yes</v>
      </c>
      <c r="Q2817" s="350" t="str">
        <f t="shared" ca="1" si="87"/>
        <v>OK</v>
      </c>
    </row>
    <row r="2818" spans="1:17">
      <c r="A2818" s="366" t="s">
        <v>4774</v>
      </c>
      <c r="B2818" s="366" t="s">
        <v>231</v>
      </c>
      <c r="C2818" s="348" t="str">
        <f>DATA_PROPERTY_MASTER!$A$13</f>
        <v>BLD_MH</v>
      </c>
      <c r="D2818" s="380">
        <f>'00_PORTFOLIO ROLLUP'!Q$12</f>
        <v>2037</v>
      </c>
      <c r="E2818" s="366" t="s">
        <v>1683</v>
      </c>
      <c r="F2818" s="366" t="s">
        <v>29</v>
      </c>
      <c r="G2818" s="348" t="str">
        <f>"'"&amp;$C2818&amp;"'!$E$56:$Y$56"</f>
        <v>'BLD_MH'!$E$56:$Y$56</v>
      </c>
      <c r="H2818" s="381">
        <f ca="1">IF(IFERROR(INDEX(DATA_PROPERTY_MASTER!$E$5:$E$21,MATCH($C2818,DATA_PROPERTY_MASTER!$A$5:$A$21,0))="Yes",FALSE),IFERROR(INDEX(INDIRECT("'"&amp;$C2818&amp;"'!$E$56:$Y$56"),1,MATCH($D2818,INDIRECT("'"&amp;$C2818&amp;"'!$E$12:$Y$12"),0)),0),0)</f>
        <v>87267.06732820152</v>
      </c>
      <c r="I2818" s="366" t="s">
        <v>1685</v>
      </c>
      <c r="J2818" s="348" t="str">
        <f t="shared" ca="1" si="86"/>
        <v>OK</v>
      </c>
      <c r="K2818" s="366" t="s">
        <v>1718</v>
      </c>
      <c r="L2818" s="366" t="s">
        <v>2250</v>
      </c>
      <c r="M2818" s="350" t="str">
        <f>IF($B2818="Portfolio","Portfolio",IFERROR(INDEX(DATA_ASSET_CLASSIFICATION!$B$8:$B$24,MATCH($C2818,DATA_ASSET_CLASSIFICATION!$A$8:$A$24,0)),"Review"))</f>
        <v>Margaret Heights</v>
      </c>
      <c r="N2818" s="350" t="str">
        <f ca="1">IF($B2818="Portfolio","Portfolio",IFERROR(INDEX(DATA_ASSET_CLASSIFICATION!$U$8:$U$24,MATCH($C2818,DATA_ASSET_CLASSIFICATION!$A$8:$A$24,0)),"Review"))</f>
        <v>Refi Watch</v>
      </c>
      <c r="O2818" s="350" t="str">
        <f ca="1">IF($B2818="Portfolio","Portfolio",IFERROR(INDEX(DATA_ASSET_CLASSIFICATION!$AB$8:$AB$13,MATCH($N2818,DATA_ASSET_CLASSIFICATION!$AA$8:$AA$13,0)),"Review"))</f>
        <v>Bucket 2 · Legacy</v>
      </c>
      <c r="P2818" s="350" t="str">
        <f>IF($B2818="Portfolio","Portfolio",IFERROR(INDEX(DATA_ASSET_CLASSIFICATION!$C$8:$C$24,MATCH($C2818,DATA_ASSET_CLASSIFICATION!$A$8:$A$24,0)),"Review"))</f>
        <v>Yes</v>
      </c>
      <c r="Q2818" s="350" t="str">
        <f t="shared" ca="1" si="87"/>
        <v>OK</v>
      </c>
    </row>
    <row r="2819" spans="1:17">
      <c r="A2819" s="366" t="s">
        <v>4775</v>
      </c>
      <c r="B2819" s="366" t="s">
        <v>231</v>
      </c>
      <c r="C2819" s="348" t="str">
        <f>DATA_PROPERTY_MASTER!$A$13</f>
        <v>BLD_MH</v>
      </c>
      <c r="D2819" s="380">
        <f>'00_PORTFOLIO ROLLUP'!Q$12</f>
        <v>2037</v>
      </c>
      <c r="E2819" s="366" t="s">
        <v>1721</v>
      </c>
      <c r="F2819" s="366" t="s">
        <v>31</v>
      </c>
      <c r="G2819" s="348" t="str">
        <f>"'"&amp;$C2819&amp;"'!$E$61:$Y$61"</f>
        <v>'BLD_MH'!$E$61:$Y$61</v>
      </c>
      <c r="H2819" s="381">
        <f ca="1">IF(IFERROR(INDEX(DATA_PROPERTY_MASTER!$E$5:$E$21,MATCH($C2819,DATA_PROPERTY_MASTER!$A$5:$A$21,0))="Yes",FALSE),IFERROR(INDEX(INDIRECT("'"&amp;$C2819&amp;"'!$E$61:$Y$61"),1,MATCH($D2819,INDIRECT("'"&amp;$C2819&amp;"'!$E$12:$Y$12"),0)),0),0)</f>
        <v>0</v>
      </c>
      <c r="I2819" s="366" t="s">
        <v>1690</v>
      </c>
      <c r="J2819" s="348" t="str">
        <f t="shared" ca="1" si="86"/>
        <v>OK</v>
      </c>
      <c r="K2819" s="366" t="s">
        <v>1723</v>
      </c>
      <c r="L2819" s="366" t="s">
        <v>2252</v>
      </c>
      <c r="M2819" s="350" t="str">
        <f>IF($B2819="Portfolio","Portfolio",IFERROR(INDEX(DATA_ASSET_CLASSIFICATION!$B$8:$B$24,MATCH($C2819,DATA_ASSET_CLASSIFICATION!$A$8:$A$24,0)),"Review"))</f>
        <v>Margaret Heights</v>
      </c>
      <c r="N2819" s="350" t="str">
        <f ca="1">IF($B2819="Portfolio","Portfolio",IFERROR(INDEX(DATA_ASSET_CLASSIFICATION!$U$8:$U$24,MATCH($C2819,DATA_ASSET_CLASSIFICATION!$A$8:$A$24,0)),"Review"))</f>
        <v>Refi Watch</v>
      </c>
      <c r="O2819" s="350" t="str">
        <f ca="1">IF($B2819="Portfolio","Portfolio",IFERROR(INDEX(DATA_ASSET_CLASSIFICATION!$AB$8:$AB$13,MATCH($N2819,DATA_ASSET_CLASSIFICATION!$AA$8:$AA$13,0)),"Review"))</f>
        <v>Bucket 2 · Legacy</v>
      </c>
      <c r="P2819" s="350" t="str">
        <f>IF($B2819="Portfolio","Portfolio",IFERROR(INDEX(DATA_ASSET_CLASSIFICATION!$C$8:$C$24,MATCH($C2819,DATA_ASSET_CLASSIFICATION!$A$8:$A$24,0)),"Review"))</f>
        <v>Yes</v>
      </c>
      <c r="Q2819" s="350" t="str">
        <f t="shared" ca="1" si="87"/>
        <v>OK</v>
      </c>
    </row>
    <row r="2820" spans="1:17">
      <c r="A2820" s="366" t="s">
        <v>4776</v>
      </c>
      <c r="B2820" s="366" t="s">
        <v>231</v>
      </c>
      <c r="C2820" s="348" t="str">
        <f>DATA_PROPERTY_MASTER!$A$13</f>
        <v>BLD_MH</v>
      </c>
      <c r="D2820" s="380">
        <f>'00_PORTFOLIO ROLLUP'!Q$12</f>
        <v>2037</v>
      </c>
      <c r="E2820" s="366" t="s">
        <v>1721</v>
      </c>
      <c r="F2820" s="366" t="s">
        <v>33</v>
      </c>
      <c r="G2820" s="348" t="str">
        <f>"'"&amp;$C2820&amp;"'!$E$62:$Y$62"</f>
        <v>'BLD_MH'!$E$62:$Y$62</v>
      </c>
      <c r="H2820" s="381">
        <f ca="1">IF(IFERROR(INDEX(DATA_PROPERTY_MASTER!$E$5:$E$21,MATCH($C2820,DATA_PROPERTY_MASTER!$A$5:$A$21,0))="Yes",FALSE),IFERROR(INDEX(INDIRECT("'"&amp;$C2820&amp;"'!$E$62:$Y$62"),1,MATCH($D2820,INDIRECT("'"&amp;$C2820&amp;"'!$E$12:$Y$12"),0)),0),0)</f>
        <v>0</v>
      </c>
      <c r="I2820" s="366" t="s">
        <v>1685</v>
      </c>
      <c r="J2820" s="348" t="str">
        <f t="shared" ca="1" si="86"/>
        <v>OK</v>
      </c>
      <c r="K2820" s="366" t="s">
        <v>1727</v>
      </c>
      <c r="L2820" s="366" t="s">
        <v>2254</v>
      </c>
      <c r="M2820" s="350" t="str">
        <f>IF($B2820="Portfolio","Portfolio",IFERROR(INDEX(DATA_ASSET_CLASSIFICATION!$B$8:$B$24,MATCH($C2820,DATA_ASSET_CLASSIFICATION!$A$8:$A$24,0)),"Review"))</f>
        <v>Margaret Heights</v>
      </c>
      <c r="N2820" s="350" t="str">
        <f ca="1">IF($B2820="Portfolio","Portfolio",IFERROR(INDEX(DATA_ASSET_CLASSIFICATION!$U$8:$U$24,MATCH($C2820,DATA_ASSET_CLASSIFICATION!$A$8:$A$24,0)),"Review"))</f>
        <v>Refi Watch</v>
      </c>
      <c r="O2820" s="350" t="str">
        <f ca="1">IF($B2820="Portfolio","Portfolio",IFERROR(INDEX(DATA_ASSET_CLASSIFICATION!$AB$8:$AB$13,MATCH($N2820,DATA_ASSET_CLASSIFICATION!$AA$8:$AA$13,0)),"Review"))</f>
        <v>Bucket 2 · Legacy</v>
      </c>
      <c r="P2820" s="350" t="str">
        <f>IF($B2820="Portfolio","Portfolio",IFERROR(INDEX(DATA_ASSET_CLASSIFICATION!$C$8:$C$24,MATCH($C2820,DATA_ASSET_CLASSIFICATION!$A$8:$A$24,0)),"Review"))</f>
        <v>Yes</v>
      </c>
      <c r="Q2820" s="350" t="str">
        <f t="shared" ca="1" si="87"/>
        <v>OK</v>
      </c>
    </row>
    <row r="2821" spans="1:17">
      <c r="A2821" s="366" t="s">
        <v>4777</v>
      </c>
      <c r="B2821" s="366" t="s">
        <v>231</v>
      </c>
      <c r="C2821" s="348" t="str">
        <f>DATA_PROPERTY_MASTER!$A$13</f>
        <v>BLD_MH</v>
      </c>
      <c r="D2821" s="380">
        <f>'00_PORTFOLIO ROLLUP'!Q$12</f>
        <v>2037</v>
      </c>
      <c r="E2821" s="366" t="s">
        <v>1721</v>
      </c>
      <c r="F2821" s="366" t="s">
        <v>35</v>
      </c>
      <c r="G2821" s="348" t="str">
        <f>"'"&amp;$C2821&amp;"'!$E$63:$Y$63"</f>
        <v>'BLD_MH'!$E$63:$Y$63</v>
      </c>
      <c r="H2821" s="381">
        <f ca="1">IF(IFERROR(INDEX(DATA_PROPERTY_MASTER!$E$5:$E$21,MATCH($C2821,DATA_PROPERTY_MASTER!$A$5:$A$21,0))="Yes",FALSE),IFERROR(INDEX(INDIRECT("'"&amp;$C2821&amp;"'!$E$63:$Y$63"),1,MATCH($D2821,INDIRECT("'"&amp;$C2821&amp;"'!$E$12:$Y$12"),0)),0),0)</f>
        <v>0</v>
      </c>
      <c r="I2821" s="366" t="s">
        <v>1731</v>
      </c>
      <c r="J2821" s="348" t="str">
        <f t="shared" ref="J2821:J2884" ca="1" si="88">IF($F2821="Residual Funding Gap",IF($H2821&gt;0,"Funding Gap","OK"),IF(AND($F2821="Net Refinance Position",$H2821&lt;0),"Negative net refi position","OK"))</f>
        <v>OK</v>
      </c>
      <c r="K2821" s="366" t="s">
        <v>1732</v>
      </c>
      <c r="L2821" s="366" t="s">
        <v>2256</v>
      </c>
      <c r="M2821" s="350" t="str">
        <f>IF($B2821="Portfolio","Portfolio",IFERROR(INDEX(DATA_ASSET_CLASSIFICATION!$B$8:$B$24,MATCH($C2821,DATA_ASSET_CLASSIFICATION!$A$8:$A$24,0)),"Review"))</f>
        <v>Margaret Heights</v>
      </c>
      <c r="N2821" s="350" t="str">
        <f ca="1">IF($B2821="Portfolio","Portfolio",IFERROR(INDEX(DATA_ASSET_CLASSIFICATION!$U$8:$U$24,MATCH($C2821,DATA_ASSET_CLASSIFICATION!$A$8:$A$24,0)),"Review"))</f>
        <v>Refi Watch</v>
      </c>
      <c r="O2821" s="350" t="str">
        <f ca="1">IF($B2821="Portfolio","Portfolio",IFERROR(INDEX(DATA_ASSET_CLASSIFICATION!$AB$8:$AB$13,MATCH($N2821,DATA_ASSET_CLASSIFICATION!$AA$8:$AA$13,0)),"Review"))</f>
        <v>Bucket 2 · Legacy</v>
      </c>
      <c r="P2821" s="350" t="str">
        <f>IF($B2821="Portfolio","Portfolio",IFERROR(INDEX(DATA_ASSET_CLASSIFICATION!$C$8:$C$24,MATCH($C2821,DATA_ASSET_CLASSIFICATION!$A$8:$A$24,0)),"Review"))</f>
        <v>Yes</v>
      </c>
      <c r="Q2821" s="350" t="str">
        <f t="shared" ref="Q2821:Q2884" ca="1" si="89">IF(AND($B2821="Property",$F2821="Residual Funding Gap",$H2821&gt;0),"Property Funding Gap",IF($J2821&lt;&gt;"OK",$J2821,"OK"))</f>
        <v>OK</v>
      </c>
    </row>
    <row r="2822" spans="1:17">
      <c r="A2822" s="366" t="s">
        <v>4778</v>
      </c>
      <c r="B2822" s="366" t="s">
        <v>231</v>
      </c>
      <c r="C2822" s="348" t="str">
        <f>DATA_PROPERTY_MASTER!$A$13</f>
        <v>BLD_MH</v>
      </c>
      <c r="D2822" s="380">
        <f>'00_PORTFOLIO ROLLUP'!Q$12</f>
        <v>2037</v>
      </c>
      <c r="E2822" s="366" t="s">
        <v>1721</v>
      </c>
      <c r="F2822" s="366" t="s">
        <v>37</v>
      </c>
      <c r="G2822" s="348" t="str">
        <f>"'"&amp;$C2822&amp;"'!$E$63:$Y$63"</f>
        <v>'BLD_MH'!$E$63:$Y$63</v>
      </c>
      <c r="H2822" s="381">
        <f ca="1">IF(IFERROR(INDEX(DATA_PROPERTY_MASTER!$E$5:$E$21,MATCH($C2822,DATA_PROPERTY_MASTER!$A$5:$A$21,0))="Yes",FALSE),MAX(IFERROR(INDEX(INDIRECT("'"&amp;$C2822&amp;"'!$E$63:$Y$63"),1,MATCH($D2822,INDIRECT("'"&amp;$C2822&amp;"'!$E$12:$Y$12"),0)),0),0),0)</f>
        <v>0</v>
      </c>
      <c r="I2822" s="366" t="s">
        <v>1685</v>
      </c>
      <c r="J2822" s="348" t="str">
        <f t="shared" ca="1" si="88"/>
        <v>OK</v>
      </c>
      <c r="K2822" s="366" t="s">
        <v>1735</v>
      </c>
      <c r="L2822" s="366" t="s">
        <v>2258</v>
      </c>
      <c r="M2822" s="350" t="str">
        <f>IF($B2822="Portfolio","Portfolio",IFERROR(INDEX(DATA_ASSET_CLASSIFICATION!$B$8:$B$24,MATCH($C2822,DATA_ASSET_CLASSIFICATION!$A$8:$A$24,0)),"Review"))</f>
        <v>Margaret Heights</v>
      </c>
      <c r="N2822" s="350" t="str">
        <f ca="1">IF($B2822="Portfolio","Portfolio",IFERROR(INDEX(DATA_ASSET_CLASSIFICATION!$U$8:$U$24,MATCH($C2822,DATA_ASSET_CLASSIFICATION!$A$8:$A$24,0)),"Review"))</f>
        <v>Refi Watch</v>
      </c>
      <c r="O2822" s="350" t="str">
        <f ca="1">IF($B2822="Portfolio","Portfolio",IFERROR(INDEX(DATA_ASSET_CLASSIFICATION!$AB$8:$AB$13,MATCH($N2822,DATA_ASSET_CLASSIFICATION!$AA$8:$AA$13,0)),"Review"))</f>
        <v>Bucket 2 · Legacy</v>
      </c>
      <c r="P2822" s="350" t="str">
        <f>IF($B2822="Portfolio","Portfolio",IFERROR(INDEX(DATA_ASSET_CLASSIFICATION!$C$8:$C$24,MATCH($C2822,DATA_ASSET_CLASSIFICATION!$A$8:$A$24,0)),"Review"))</f>
        <v>Yes</v>
      </c>
      <c r="Q2822" s="350" t="str">
        <f t="shared" ca="1" si="89"/>
        <v>OK</v>
      </c>
    </row>
    <row r="2823" spans="1:17">
      <c r="A2823" s="366" t="s">
        <v>4779</v>
      </c>
      <c r="B2823" s="366" t="s">
        <v>231</v>
      </c>
      <c r="C2823" s="348" t="str">
        <f>DATA_PROPERTY_MASTER!$A$13</f>
        <v>BLD_MH</v>
      </c>
      <c r="D2823" s="380">
        <f>'00_PORTFOLIO ROLLUP'!Q$12</f>
        <v>2037</v>
      </c>
      <c r="E2823" s="366" t="s">
        <v>1721</v>
      </c>
      <c r="F2823" s="366" t="s">
        <v>39</v>
      </c>
      <c r="G2823" s="348" t="str">
        <f>"'"&amp;$C2823&amp;"'!$E$63:$Y$63"</f>
        <v>'BLD_MH'!$E$63:$Y$63</v>
      </c>
      <c r="H2823" s="381">
        <f ca="1">IF(IFERROR(INDEX(DATA_PROPERTY_MASTER!$E$5:$E$21,MATCH($C2823,DATA_PROPERTY_MASTER!$A$5:$A$21,0))="Yes",FALSE),MAX(-IFERROR(INDEX(INDIRECT("'"&amp;$C2823&amp;"'!$E$63:$Y$63"),1,MATCH($D2823,INDIRECT("'"&amp;$C2823&amp;"'!$E$12:$Y$12"),0)),0),0),0)</f>
        <v>0</v>
      </c>
      <c r="I2823" s="366" t="s">
        <v>1690</v>
      </c>
      <c r="J2823" s="348" t="str">
        <f t="shared" ca="1" si="88"/>
        <v>OK</v>
      </c>
      <c r="K2823" s="366" t="s">
        <v>1738</v>
      </c>
      <c r="L2823" s="366" t="s">
        <v>2260</v>
      </c>
      <c r="M2823" s="350" t="str">
        <f>IF($B2823="Portfolio","Portfolio",IFERROR(INDEX(DATA_ASSET_CLASSIFICATION!$B$8:$B$24,MATCH($C2823,DATA_ASSET_CLASSIFICATION!$A$8:$A$24,0)),"Review"))</f>
        <v>Margaret Heights</v>
      </c>
      <c r="N2823" s="350" t="str">
        <f ca="1">IF($B2823="Portfolio","Portfolio",IFERROR(INDEX(DATA_ASSET_CLASSIFICATION!$U$8:$U$24,MATCH($C2823,DATA_ASSET_CLASSIFICATION!$A$8:$A$24,0)),"Review"))</f>
        <v>Refi Watch</v>
      </c>
      <c r="O2823" s="350" t="str">
        <f ca="1">IF($B2823="Portfolio","Portfolio",IFERROR(INDEX(DATA_ASSET_CLASSIFICATION!$AB$8:$AB$13,MATCH($N2823,DATA_ASSET_CLASSIFICATION!$AA$8:$AA$13,0)),"Review"))</f>
        <v>Bucket 2 · Legacy</v>
      </c>
      <c r="P2823" s="350" t="str">
        <f>IF($B2823="Portfolio","Portfolio",IFERROR(INDEX(DATA_ASSET_CLASSIFICATION!$C$8:$C$24,MATCH($C2823,DATA_ASSET_CLASSIFICATION!$A$8:$A$24,0)),"Review"))</f>
        <v>Yes</v>
      </c>
      <c r="Q2823" s="350" t="str">
        <f t="shared" ca="1" si="89"/>
        <v>OK</v>
      </c>
    </row>
    <row r="2824" spans="1:17">
      <c r="A2824" s="366" t="s">
        <v>4780</v>
      </c>
      <c r="B2824" s="366" t="s">
        <v>231</v>
      </c>
      <c r="C2824" s="348" t="str">
        <f>DATA_PROPERTY_MASTER!$A$13</f>
        <v>BLD_MH</v>
      </c>
      <c r="D2824" s="380">
        <f>'00_PORTFOLIO ROLLUP'!Q$12</f>
        <v>2037</v>
      </c>
      <c r="E2824" s="366" t="s">
        <v>1741</v>
      </c>
      <c r="F2824" s="366" t="s">
        <v>41</v>
      </c>
      <c r="G2824" s="348" t="str">
        <f>"'"&amp;$C2824&amp;"'!rows 56 + positive row 63"</f>
        <v>'BLD_MH'!rows 56 + positive row 63</v>
      </c>
      <c r="H2824" s="381">
        <f ca="1">IF(IFERROR(INDEX(DATA_PROPERTY_MASTER!$E$5:$E$21,MATCH($C2824,DATA_PROPERTY_MASTER!$A$5:$A$21,0))="Yes",FALSE),IFERROR(INDEX(INDIRECT("'"&amp;$C2824&amp;"'!$E$56:$Y$56"),1,MATCH($D2824,INDIRECT("'"&amp;$C2824&amp;"'!$E$12:$Y$12"),0)),0)+MAX(IFERROR(INDEX(INDIRECT("'"&amp;$C2824&amp;"'!$E$63:$Y$63"),1,MATCH($D2824,INDIRECT("'"&amp;$C2824&amp;"'!$E$12:$Y$12"),0)),0),0),0)</f>
        <v>87267.06732820152</v>
      </c>
      <c r="I2824" s="366" t="s">
        <v>1685</v>
      </c>
      <c r="J2824" s="348" t="str">
        <f t="shared" ca="1" si="88"/>
        <v>OK</v>
      </c>
      <c r="K2824" s="366" t="s">
        <v>1742</v>
      </c>
      <c r="L2824" s="366" t="s">
        <v>2262</v>
      </c>
      <c r="M2824" s="350" t="str">
        <f>IF($B2824="Portfolio","Portfolio",IFERROR(INDEX(DATA_ASSET_CLASSIFICATION!$B$8:$B$24,MATCH($C2824,DATA_ASSET_CLASSIFICATION!$A$8:$A$24,0)),"Review"))</f>
        <v>Margaret Heights</v>
      </c>
      <c r="N2824" s="350" t="str">
        <f ca="1">IF($B2824="Portfolio","Portfolio",IFERROR(INDEX(DATA_ASSET_CLASSIFICATION!$U$8:$U$24,MATCH($C2824,DATA_ASSET_CLASSIFICATION!$A$8:$A$24,0)),"Review"))</f>
        <v>Refi Watch</v>
      </c>
      <c r="O2824" s="350" t="str">
        <f ca="1">IF($B2824="Portfolio","Portfolio",IFERROR(INDEX(DATA_ASSET_CLASSIFICATION!$AB$8:$AB$13,MATCH($N2824,DATA_ASSET_CLASSIFICATION!$AA$8:$AA$13,0)),"Review"))</f>
        <v>Bucket 2 · Legacy</v>
      </c>
      <c r="P2824" s="350" t="str">
        <f>IF($B2824="Portfolio","Portfolio",IFERROR(INDEX(DATA_ASSET_CLASSIFICATION!$C$8:$C$24,MATCH($C2824,DATA_ASSET_CLASSIFICATION!$A$8:$A$24,0)),"Review"))</f>
        <v>Yes</v>
      </c>
      <c r="Q2824" s="350" t="str">
        <f t="shared" ca="1" si="89"/>
        <v>OK</v>
      </c>
    </row>
    <row r="2825" spans="1:17">
      <c r="A2825" s="366" t="s">
        <v>4781</v>
      </c>
      <c r="B2825" s="366" t="s">
        <v>231</v>
      </c>
      <c r="C2825" s="348" t="str">
        <f>DATA_PROPERTY_MASTER!$A$13</f>
        <v>BLD_MH</v>
      </c>
      <c r="D2825" s="380">
        <f>'00_PORTFOLIO ROLLUP'!Q$12</f>
        <v>2037</v>
      </c>
      <c r="E2825" s="366" t="s">
        <v>1741</v>
      </c>
      <c r="F2825" s="366" t="s">
        <v>43</v>
      </c>
      <c r="G2825" s="348" t="str">
        <f>"'"&amp;$C2825&amp;"'!$E$68:$Y$68"</f>
        <v>'BLD_MH'!$E$68:$Y$68</v>
      </c>
      <c r="H2825" s="381">
        <f ca="1">IF(IFERROR(INDEX(DATA_PROPERTY_MASTER!$E$5:$E$21,MATCH($C2825,DATA_PROPERTY_MASTER!$A$5:$A$21,0))="Yes",FALSE),IFERROR(INDEX(INDIRECT("'"&amp;$C2825&amp;"'!$E$68:$Y$68"),1,MATCH($D2825,INDIRECT("'"&amp;$C2825&amp;"'!$E$12:$Y$12"),0)),0),0)</f>
        <v>87267.06732820152</v>
      </c>
      <c r="I2825" s="366" t="s">
        <v>1731</v>
      </c>
      <c r="J2825" s="348" t="str">
        <f t="shared" ca="1" si="88"/>
        <v>OK</v>
      </c>
      <c r="K2825" s="366" t="s">
        <v>1746</v>
      </c>
      <c r="L2825" s="366" t="s">
        <v>2264</v>
      </c>
      <c r="M2825" s="350" t="str">
        <f>IF($B2825="Portfolio","Portfolio",IFERROR(INDEX(DATA_ASSET_CLASSIFICATION!$B$8:$B$24,MATCH($C2825,DATA_ASSET_CLASSIFICATION!$A$8:$A$24,0)),"Review"))</f>
        <v>Margaret Heights</v>
      </c>
      <c r="N2825" s="350" t="str">
        <f ca="1">IF($B2825="Portfolio","Portfolio",IFERROR(INDEX(DATA_ASSET_CLASSIFICATION!$U$8:$U$24,MATCH($C2825,DATA_ASSET_CLASSIFICATION!$A$8:$A$24,0)),"Review"))</f>
        <v>Refi Watch</v>
      </c>
      <c r="O2825" s="350" t="str">
        <f ca="1">IF($B2825="Portfolio","Portfolio",IFERROR(INDEX(DATA_ASSET_CLASSIFICATION!$AB$8:$AB$13,MATCH($N2825,DATA_ASSET_CLASSIFICATION!$AA$8:$AA$13,0)),"Review"))</f>
        <v>Bucket 2 · Legacy</v>
      </c>
      <c r="P2825" s="350" t="str">
        <f>IF($B2825="Portfolio","Portfolio",IFERROR(INDEX(DATA_ASSET_CLASSIFICATION!$C$8:$C$24,MATCH($C2825,DATA_ASSET_CLASSIFICATION!$A$8:$A$24,0)),"Review"))</f>
        <v>Yes</v>
      </c>
      <c r="Q2825" s="350" t="str">
        <f t="shared" ca="1" si="89"/>
        <v>OK</v>
      </c>
    </row>
    <row r="2826" spans="1:17">
      <c r="A2826" s="366" t="s">
        <v>4782</v>
      </c>
      <c r="B2826" s="366" t="s">
        <v>231</v>
      </c>
      <c r="C2826" s="348" t="str">
        <f>DATA_PROPERTY_MASTER!$A$13</f>
        <v>BLD_MH</v>
      </c>
      <c r="D2826" s="380">
        <f>'00_PORTFOLIO ROLLUP'!Q$12</f>
        <v>2037</v>
      </c>
      <c r="E2826" s="366" t="s">
        <v>1741</v>
      </c>
      <c r="F2826" s="366" t="s">
        <v>1749</v>
      </c>
      <c r="G2826" s="348" t="str">
        <f>"'"&amp;$C2826&amp;"'!rows 56, 63, 68"</f>
        <v>'BLD_MH'!rows 56, 63, 68</v>
      </c>
      <c r="H2826" s="381">
        <f ca="1">IF(IFERROR(INDEX(DATA_PROPERTY_MASTER!$E$5:$E$21,MATCH($C2826,DATA_PROPERTY_MASTER!$A$5:$A$21,0))="Yes",FALSE),(IFERROR(INDEX(INDIRECT("'"&amp;$C2826&amp;"'!$E$56:$Y$56"),1,MATCH($D2826,INDIRECT("'"&amp;$C2826&amp;"'!$E$12:$Y$12"),0)),0)+MAX(IFERROR(INDEX(INDIRECT("'"&amp;$C2826&amp;"'!$E$63:$Y$63"),1,MATCH($D2826,INDIRECT("'"&amp;$C2826&amp;"'!$E$12:$Y$12"),0)),0),0))-(IFERROR(INDEX(INDIRECT("'"&amp;$C2826&amp;"'!$E$68:$Y$68"),1,MATCH($D2826,INDIRECT("'"&amp;$C2826&amp;"'!$E$12:$Y$12"),0)),0)),0)</f>
        <v>0</v>
      </c>
      <c r="I2826" s="366" t="s">
        <v>1750</v>
      </c>
      <c r="J2826" s="348" t="str">
        <f t="shared" ca="1" si="88"/>
        <v>OK</v>
      </c>
      <c r="K2826" s="366" t="s">
        <v>1751</v>
      </c>
      <c r="L2826" s="366" t="s">
        <v>2266</v>
      </c>
      <c r="M2826" s="350" t="str">
        <f>IF($B2826="Portfolio","Portfolio",IFERROR(INDEX(DATA_ASSET_CLASSIFICATION!$B$8:$B$24,MATCH($C2826,DATA_ASSET_CLASSIFICATION!$A$8:$A$24,0)),"Review"))</f>
        <v>Margaret Heights</v>
      </c>
      <c r="N2826" s="350" t="str">
        <f ca="1">IF($B2826="Portfolio","Portfolio",IFERROR(INDEX(DATA_ASSET_CLASSIFICATION!$U$8:$U$24,MATCH($C2826,DATA_ASSET_CLASSIFICATION!$A$8:$A$24,0)),"Review"))</f>
        <v>Refi Watch</v>
      </c>
      <c r="O2826" s="350" t="str">
        <f ca="1">IF($B2826="Portfolio","Portfolio",IFERROR(INDEX(DATA_ASSET_CLASSIFICATION!$AB$8:$AB$13,MATCH($N2826,DATA_ASSET_CLASSIFICATION!$AA$8:$AA$13,0)),"Review"))</f>
        <v>Bucket 2 · Legacy</v>
      </c>
      <c r="P2826" s="350" t="str">
        <f>IF($B2826="Portfolio","Portfolio",IFERROR(INDEX(DATA_ASSET_CLASSIFICATION!$C$8:$C$24,MATCH($C2826,DATA_ASSET_CLASSIFICATION!$A$8:$A$24,0)),"Review"))</f>
        <v>Yes</v>
      </c>
      <c r="Q2826" s="350" t="str">
        <f t="shared" ca="1" si="89"/>
        <v>OK</v>
      </c>
    </row>
    <row r="2827" spans="1:17">
      <c r="A2827" s="366" t="s">
        <v>4783</v>
      </c>
      <c r="B2827" s="366" t="s">
        <v>231</v>
      </c>
      <c r="C2827" s="348" t="str">
        <f>DATA_PROPERTY_MASTER!$A$13</f>
        <v>BLD_MH</v>
      </c>
      <c r="D2827" s="380">
        <f>'00_PORTFOLIO ROLLUP'!R$12</f>
        <v>2038</v>
      </c>
      <c r="E2827" s="366" t="s">
        <v>1683</v>
      </c>
      <c r="F2827" s="366" t="s">
        <v>341</v>
      </c>
      <c r="G2827" s="348" t="str">
        <f>"'"&amp;$C2827&amp;"'!$E$24:$Y$24"</f>
        <v>'BLD_MH'!$E$24:$Y$24</v>
      </c>
      <c r="H2827" s="381">
        <f ca="1">IF(IFERROR(INDEX(DATA_PROPERTY_MASTER!$E$5:$E$21,MATCH($C2827,DATA_PROPERTY_MASTER!$A$5:$A$21,0))="Yes",FALSE),IFERROR(INDEX(INDIRECT("'"&amp;$C2827&amp;"'!$E$24:$Y$24"),1,MATCH($D2827,INDIRECT("'"&amp;$C2827&amp;"'!$E$12:$Y$12"),0)),0),0)</f>
        <v>510629.25710547756</v>
      </c>
      <c r="I2827" s="366" t="s">
        <v>1685</v>
      </c>
      <c r="J2827" s="348" t="str">
        <f t="shared" ca="1" si="88"/>
        <v>OK</v>
      </c>
      <c r="K2827" s="366" t="s">
        <v>1686</v>
      </c>
      <c r="L2827" s="366" t="s">
        <v>2234</v>
      </c>
      <c r="M2827" s="350" t="str">
        <f>IF($B2827="Portfolio","Portfolio",IFERROR(INDEX(DATA_ASSET_CLASSIFICATION!$B$8:$B$24,MATCH($C2827,DATA_ASSET_CLASSIFICATION!$A$8:$A$24,0)),"Review"))</f>
        <v>Margaret Heights</v>
      </c>
      <c r="N2827" s="350" t="str">
        <f ca="1">IF($B2827="Portfolio","Portfolio",IFERROR(INDEX(DATA_ASSET_CLASSIFICATION!$U$8:$U$24,MATCH($C2827,DATA_ASSET_CLASSIFICATION!$A$8:$A$24,0)),"Review"))</f>
        <v>Refi Watch</v>
      </c>
      <c r="O2827" s="350" t="str">
        <f ca="1">IF($B2827="Portfolio","Portfolio",IFERROR(INDEX(DATA_ASSET_CLASSIFICATION!$AB$8:$AB$13,MATCH($N2827,DATA_ASSET_CLASSIFICATION!$AA$8:$AA$13,0)),"Review"))</f>
        <v>Bucket 2 · Legacy</v>
      </c>
      <c r="P2827" s="350" t="str">
        <f>IF($B2827="Portfolio","Portfolio",IFERROR(INDEX(DATA_ASSET_CLASSIFICATION!$C$8:$C$24,MATCH($C2827,DATA_ASSET_CLASSIFICATION!$A$8:$A$24,0)),"Review"))</f>
        <v>Yes</v>
      </c>
      <c r="Q2827" s="350" t="str">
        <f t="shared" ca="1" si="89"/>
        <v>OK</v>
      </c>
    </row>
    <row r="2828" spans="1:17">
      <c r="A2828" s="366" t="s">
        <v>4784</v>
      </c>
      <c r="B2828" s="366" t="s">
        <v>231</v>
      </c>
      <c r="C2828" s="348" t="str">
        <f>DATA_PROPERTY_MASTER!$A$13</f>
        <v>BLD_MH</v>
      </c>
      <c r="D2828" s="380">
        <f>'00_PORTFOLIO ROLLUP'!R$12</f>
        <v>2038</v>
      </c>
      <c r="E2828" s="366" t="s">
        <v>1683</v>
      </c>
      <c r="F2828" s="366" t="s">
        <v>355</v>
      </c>
      <c r="G2828" s="348" t="str">
        <f>"'"&amp;$C2828&amp;"'!$E$39:$Y$39"</f>
        <v>'BLD_MH'!$E$39:$Y$39</v>
      </c>
      <c r="H2828" s="381">
        <f ca="1">IF(IFERROR(INDEX(DATA_PROPERTY_MASTER!$E$5:$E$21,MATCH($C2828,DATA_PROPERTY_MASTER!$A$5:$A$21,0))="Yes",FALSE),IFERROR(INDEX(INDIRECT("'"&amp;$C2828&amp;"'!$E$39:$Y$39"),1,MATCH($D2828,INDIRECT("'"&amp;$C2828&amp;"'!$E$12:$Y$12"),0)),0),0)</f>
        <v>289510.48167061532</v>
      </c>
      <c r="I2828" s="366" t="s">
        <v>1690</v>
      </c>
      <c r="J2828" s="348" t="str">
        <f t="shared" ca="1" si="88"/>
        <v>OK</v>
      </c>
      <c r="K2828" s="366" t="s">
        <v>1686</v>
      </c>
      <c r="L2828" s="366" t="s">
        <v>2236</v>
      </c>
      <c r="M2828" s="350" t="str">
        <f>IF($B2828="Portfolio","Portfolio",IFERROR(INDEX(DATA_ASSET_CLASSIFICATION!$B$8:$B$24,MATCH($C2828,DATA_ASSET_CLASSIFICATION!$A$8:$A$24,0)),"Review"))</f>
        <v>Margaret Heights</v>
      </c>
      <c r="N2828" s="350" t="str">
        <f ca="1">IF($B2828="Portfolio","Portfolio",IFERROR(INDEX(DATA_ASSET_CLASSIFICATION!$U$8:$U$24,MATCH($C2828,DATA_ASSET_CLASSIFICATION!$A$8:$A$24,0)),"Review"))</f>
        <v>Refi Watch</v>
      </c>
      <c r="O2828" s="350" t="str">
        <f ca="1">IF($B2828="Portfolio","Portfolio",IFERROR(INDEX(DATA_ASSET_CLASSIFICATION!$AB$8:$AB$13,MATCH($N2828,DATA_ASSET_CLASSIFICATION!$AA$8:$AA$13,0)),"Review"))</f>
        <v>Bucket 2 · Legacy</v>
      </c>
      <c r="P2828" s="350" t="str">
        <f>IF($B2828="Portfolio","Portfolio",IFERROR(INDEX(DATA_ASSET_CLASSIFICATION!$C$8:$C$24,MATCH($C2828,DATA_ASSET_CLASSIFICATION!$A$8:$A$24,0)),"Review"))</f>
        <v>Yes</v>
      </c>
      <c r="Q2828" s="350" t="str">
        <f t="shared" ca="1" si="89"/>
        <v>OK</v>
      </c>
    </row>
    <row r="2829" spans="1:17">
      <c r="A2829" s="366" t="s">
        <v>4785</v>
      </c>
      <c r="B2829" s="366" t="s">
        <v>231</v>
      </c>
      <c r="C2829" s="348" t="str">
        <f>DATA_PROPERTY_MASTER!$A$13</f>
        <v>BLD_MH</v>
      </c>
      <c r="D2829" s="380">
        <f>'00_PORTFOLIO ROLLUP'!R$12</f>
        <v>2038</v>
      </c>
      <c r="E2829" s="366" t="s">
        <v>1683</v>
      </c>
      <c r="F2829" s="366" t="s">
        <v>19</v>
      </c>
      <c r="G2829" s="348" t="str">
        <f>"'"&amp;$C2829&amp;"'!$E$41:$Y$41"</f>
        <v>'BLD_MH'!$E$41:$Y$41</v>
      </c>
      <c r="H2829" s="381">
        <f ca="1">IF(IFERROR(INDEX(DATA_PROPERTY_MASTER!$E$5:$E$21,MATCH($C2829,DATA_PROPERTY_MASTER!$A$5:$A$21,0))="Yes",FALSE),IFERROR(INDEX(INDIRECT("'"&amp;$C2829&amp;"'!$E$41:$Y$41"),1,MATCH($D2829,INDIRECT("'"&amp;$C2829&amp;"'!$E$12:$Y$12"),0)),0),0)</f>
        <v>221118.77543486224</v>
      </c>
      <c r="I2829" s="366" t="s">
        <v>1685</v>
      </c>
      <c r="J2829" s="348" t="str">
        <f t="shared" ca="1" si="88"/>
        <v>OK</v>
      </c>
      <c r="K2829" s="366" t="s">
        <v>1694</v>
      </c>
      <c r="L2829" s="366" t="s">
        <v>2238</v>
      </c>
      <c r="M2829" s="350" t="str">
        <f>IF($B2829="Portfolio","Portfolio",IFERROR(INDEX(DATA_ASSET_CLASSIFICATION!$B$8:$B$24,MATCH($C2829,DATA_ASSET_CLASSIFICATION!$A$8:$A$24,0)),"Review"))</f>
        <v>Margaret Heights</v>
      </c>
      <c r="N2829" s="350" t="str">
        <f ca="1">IF($B2829="Portfolio","Portfolio",IFERROR(INDEX(DATA_ASSET_CLASSIFICATION!$U$8:$U$24,MATCH($C2829,DATA_ASSET_CLASSIFICATION!$A$8:$A$24,0)),"Review"))</f>
        <v>Refi Watch</v>
      </c>
      <c r="O2829" s="350" t="str">
        <f ca="1">IF($B2829="Portfolio","Portfolio",IFERROR(INDEX(DATA_ASSET_CLASSIFICATION!$AB$8:$AB$13,MATCH($N2829,DATA_ASSET_CLASSIFICATION!$AA$8:$AA$13,0)),"Review"))</f>
        <v>Bucket 2 · Legacy</v>
      </c>
      <c r="P2829" s="350" t="str">
        <f>IF($B2829="Portfolio","Portfolio",IFERROR(INDEX(DATA_ASSET_CLASSIFICATION!$C$8:$C$24,MATCH($C2829,DATA_ASSET_CLASSIFICATION!$A$8:$A$24,0)),"Review"))</f>
        <v>Yes</v>
      </c>
      <c r="Q2829" s="350" t="str">
        <f t="shared" ca="1" si="89"/>
        <v>OK</v>
      </c>
    </row>
    <row r="2830" spans="1:17">
      <c r="A2830" s="366" t="s">
        <v>4786</v>
      </c>
      <c r="B2830" s="366" t="s">
        <v>231</v>
      </c>
      <c r="C2830" s="348" t="str">
        <f>DATA_PROPERTY_MASTER!$A$13</f>
        <v>BLD_MH</v>
      </c>
      <c r="D2830" s="380">
        <f>'00_PORTFOLIO ROLLUP'!R$12</f>
        <v>2038</v>
      </c>
      <c r="E2830" s="366" t="s">
        <v>1683</v>
      </c>
      <c r="F2830" s="366" t="s">
        <v>1697</v>
      </c>
      <c r="G2830" s="348" t="str">
        <f>"'"&amp;$C2830&amp;"'!$E$44:$Y$44"</f>
        <v>'BLD_MH'!$E$44:$Y$44</v>
      </c>
      <c r="H2830" s="381">
        <f ca="1">IF(IFERROR(INDEX(DATA_PROPERTY_MASTER!$E$5:$E$21,MATCH($C2830,DATA_PROPERTY_MASTER!$A$5:$A$21,0))="Yes",FALSE),IFERROR(INDEX(INDIRECT("'"&amp;$C2830&amp;"'!$E$44:$Y$44"),1,MATCH($D2830,INDIRECT("'"&amp;$C2830&amp;"'!$E$12:$Y$12"),0)),0),0)</f>
        <v>3686.7788967933188</v>
      </c>
      <c r="I2830" s="366" t="s">
        <v>1690</v>
      </c>
      <c r="J2830" s="348" t="str">
        <f t="shared" ca="1" si="88"/>
        <v>OK</v>
      </c>
      <c r="K2830" s="366" t="s">
        <v>1699</v>
      </c>
      <c r="L2830" s="366" t="s">
        <v>2240</v>
      </c>
      <c r="M2830" s="350" t="str">
        <f>IF($B2830="Portfolio","Portfolio",IFERROR(INDEX(DATA_ASSET_CLASSIFICATION!$B$8:$B$24,MATCH($C2830,DATA_ASSET_CLASSIFICATION!$A$8:$A$24,0)),"Review"))</f>
        <v>Margaret Heights</v>
      </c>
      <c r="N2830" s="350" t="str">
        <f ca="1">IF($B2830="Portfolio","Portfolio",IFERROR(INDEX(DATA_ASSET_CLASSIFICATION!$U$8:$U$24,MATCH($C2830,DATA_ASSET_CLASSIFICATION!$A$8:$A$24,0)),"Review"))</f>
        <v>Refi Watch</v>
      </c>
      <c r="O2830" s="350" t="str">
        <f ca="1">IF($B2830="Portfolio","Portfolio",IFERROR(INDEX(DATA_ASSET_CLASSIFICATION!$AB$8:$AB$13,MATCH($N2830,DATA_ASSET_CLASSIFICATION!$AA$8:$AA$13,0)),"Review"))</f>
        <v>Bucket 2 · Legacy</v>
      </c>
      <c r="P2830" s="350" t="str">
        <f>IF($B2830="Portfolio","Portfolio",IFERROR(INDEX(DATA_ASSET_CLASSIFICATION!$C$8:$C$24,MATCH($C2830,DATA_ASSET_CLASSIFICATION!$A$8:$A$24,0)),"Review"))</f>
        <v>Yes</v>
      </c>
      <c r="Q2830" s="350" t="str">
        <f t="shared" ca="1" si="89"/>
        <v>OK</v>
      </c>
    </row>
    <row r="2831" spans="1:17">
      <c r="A2831" s="366" t="s">
        <v>4787</v>
      </c>
      <c r="B2831" s="366" t="s">
        <v>231</v>
      </c>
      <c r="C2831" s="348" t="str">
        <f>DATA_PROPERTY_MASTER!$A$13</f>
        <v>BLD_MH</v>
      </c>
      <c r="D2831" s="380">
        <f>'00_PORTFOLIO ROLLUP'!R$12</f>
        <v>2038</v>
      </c>
      <c r="E2831" s="366" t="s">
        <v>1683</v>
      </c>
      <c r="F2831" s="366" t="s">
        <v>21</v>
      </c>
      <c r="G2831" s="348" t="str">
        <f>"'"&amp;$C2831&amp;"'!$E$45:$Y$45"</f>
        <v>'BLD_MH'!$E$45:$Y$45</v>
      </c>
      <c r="H2831" s="381">
        <f ca="1">IF(IFERROR(INDEX(DATA_PROPERTY_MASTER!$E$5:$E$21,MATCH($C2831,DATA_PROPERTY_MASTER!$A$5:$A$21,0))="Yes",FALSE),IFERROR(INDEX(INDIRECT("'"&amp;$C2831&amp;"'!$E$45:$Y$45"),1,MATCH($D2831,INDIRECT("'"&amp;$C2831&amp;"'!$E$12:$Y$12"),0)),0),0)</f>
        <v>217431.99653806892</v>
      </c>
      <c r="I2831" s="366" t="s">
        <v>1685</v>
      </c>
      <c r="J2831" s="348" t="str">
        <f t="shared" ca="1" si="88"/>
        <v>OK</v>
      </c>
      <c r="K2831" s="366" t="s">
        <v>1694</v>
      </c>
      <c r="L2831" s="366" t="s">
        <v>2242</v>
      </c>
      <c r="M2831" s="350" t="str">
        <f>IF($B2831="Portfolio","Portfolio",IFERROR(INDEX(DATA_ASSET_CLASSIFICATION!$B$8:$B$24,MATCH($C2831,DATA_ASSET_CLASSIFICATION!$A$8:$A$24,0)),"Review"))</f>
        <v>Margaret Heights</v>
      </c>
      <c r="N2831" s="350" t="str">
        <f ca="1">IF($B2831="Portfolio","Portfolio",IFERROR(INDEX(DATA_ASSET_CLASSIFICATION!$U$8:$U$24,MATCH($C2831,DATA_ASSET_CLASSIFICATION!$A$8:$A$24,0)),"Review"))</f>
        <v>Refi Watch</v>
      </c>
      <c r="O2831" s="350" t="str">
        <f ca="1">IF($B2831="Portfolio","Portfolio",IFERROR(INDEX(DATA_ASSET_CLASSIFICATION!$AB$8:$AB$13,MATCH($N2831,DATA_ASSET_CLASSIFICATION!$AA$8:$AA$13,0)),"Review"))</f>
        <v>Bucket 2 · Legacy</v>
      </c>
      <c r="P2831" s="350" t="str">
        <f>IF($B2831="Portfolio","Portfolio",IFERROR(INDEX(DATA_ASSET_CLASSIFICATION!$C$8:$C$24,MATCH($C2831,DATA_ASSET_CLASSIFICATION!$A$8:$A$24,0)),"Review"))</f>
        <v>Yes</v>
      </c>
      <c r="Q2831" s="350" t="str">
        <f t="shared" ca="1" si="89"/>
        <v>OK</v>
      </c>
    </row>
    <row r="2832" spans="1:17">
      <c r="A2832" s="366" t="s">
        <v>4788</v>
      </c>
      <c r="B2832" s="366" t="s">
        <v>231</v>
      </c>
      <c r="C2832" s="348" t="str">
        <f>DATA_PROPERTY_MASTER!$A$13</f>
        <v>BLD_MH</v>
      </c>
      <c r="D2832" s="380">
        <f>'00_PORTFOLIO ROLLUP'!R$12</f>
        <v>2038</v>
      </c>
      <c r="E2832" s="366" t="s">
        <v>23</v>
      </c>
      <c r="F2832" s="366" t="s">
        <v>23</v>
      </c>
      <c r="G2832" s="348" t="str">
        <f>"'"&amp;$C2832&amp;"'!$E$48:$Y$48"</f>
        <v>'BLD_MH'!$E$48:$Y$48</v>
      </c>
      <c r="H2832" s="381">
        <f ca="1">IF(IFERROR(INDEX(DATA_PROPERTY_MASTER!$E$5:$E$21,MATCH($C2832,DATA_PROPERTY_MASTER!$A$5:$A$21,0))="Yes",FALSE),IFERROR(INDEX(INDIRECT("'"&amp;$C2832&amp;"'!$E$48:$Y$48"),1,MATCH($D2832,INDIRECT("'"&amp;$C2832&amp;"'!$E$12:$Y$12"),0)),0),0)</f>
        <v>0</v>
      </c>
      <c r="I2832" s="366" t="s">
        <v>1690</v>
      </c>
      <c r="J2832" s="348" t="str">
        <f t="shared" ca="1" si="88"/>
        <v>OK</v>
      </c>
      <c r="K2832" s="366" t="s">
        <v>1706</v>
      </c>
      <c r="L2832" s="366" t="s">
        <v>2244</v>
      </c>
      <c r="M2832" s="350" t="str">
        <f>IF($B2832="Portfolio","Portfolio",IFERROR(INDEX(DATA_ASSET_CLASSIFICATION!$B$8:$B$24,MATCH($C2832,DATA_ASSET_CLASSIFICATION!$A$8:$A$24,0)),"Review"))</f>
        <v>Margaret Heights</v>
      </c>
      <c r="N2832" s="350" t="str">
        <f ca="1">IF($B2832="Portfolio","Portfolio",IFERROR(INDEX(DATA_ASSET_CLASSIFICATION!$U$8:$U$24,MATCH($C2832,DATA_ASSET_CLASSIFICATION!$A$8:$A$24,0)),"Review"))</f>
        <v>Refi Watch</v>
      </c>
      <c r="O2832" s="350" t="str">
        <f ca="1">IF($B2832="Portfolio","Portfolio",IFERROR(INDEX(DATA_ASSET_CLASSIFICATION!$AB$8:$AB$13,MATCH($N2832,DATA_ASSET_CLASSIFICATION!$AA$8:$AA$13,0)),"Review"))</f>
        <v>Bucket 2 · Legacy</v>
      </c>
      <c r="P2832" s="350" t="str">
        <f>IF($B2832="Portfolio","Portfolio",IFERROR(INDEX(DATA_ASSET_CLASSIFICATION!$C$8:$C$24,MATCH($C2832,DATA_ASSET_CLASSIFICATION!$A$8:$A$24,0)),"Review"))</f>
        <v>Yes</v>
      </c>
      <c r="Q2832" s="350" t="str">
        <f t="shared" ca="1" si="89"/>
        <v>OK</v>
      </c>
    </row>
    <row r="2833" spans="1:17">
      <c r="A2833" s="366" t="s">
        <v>4789</v>
      </c>
      <c r="B2833" s="366" t="s">
        <v>231</v>
      </c>
      <c r="C2833" s="348" t="str">
        <f>DATA_PROPERTY_MASTER!$A$13</f>
        <v>BLD_MH</v>
      </c>
      <c r="D2833" s="380">
        <f>'00_PORTFOLIO ROLLUP'!R$12</f>
        <v>2038</v>
      </c>
      <c r="E2833" s="366" t="s">
        <v>1683</v>
      </c>
      <c r="F2833" s="366" t="s">
        <v>25</v>
      </c>
      <c r="G2833" s="348" t="str">
        <f>"'"&amp;$C2833&amp;"'!$E$52:$Y$52"</f>
        <v>'BLD_MH'!$E$52:$Y$52</v>
      </c>
      <c r="H2833" s="381">
        <f ca="1">IF(IFERROR(INDEX(DATA_PROPERTY_MASTER!$E$5:$E$21,MATCH($C2833,DATA_PROPERTY_MASTER!$A$5:$A$21,0))="Yes",FALSE),IFERROR(INDEX(INDIRECT("'"&amp;$C2833&amp;"'!$E$52:$Y$52"),1,MATCH($D2833,INDIRECT("'"&amp;$C2833&amp;"'!$E$12:$Y$12"),0)),0),0)</f>
        <v>221118.77543486224</v>
      </c>
      <c r="I2833" s="366" t="s">
        <v>1685</v>
      </c>
      <c r="J2833" s="348" t="str">
        <f t="shared" ca="1" si="88"/>
        <v>OK</v>
      </c>
      <c r="K2833" s="366" t="s">
        <v>1710</v>
      </c>
      <c r="L2833" s="366" t="s">
        <v>2246</v>
      </c>
      <c r="M2833" s="350" t="str">
        <f>IF($B2833="Portfolio","Portfolio",IFERROR(INDEX(DATA_ASSET_CLASSIFICATION!$B$8:$B$24,MATCH($C2833,DATA_ASSET_CLASSIFICATION!$A$8:$A$24,0)),"Review"))</f>
        <v>Margaret Heights</v>
      </c>
      <c r="N2833" s="350" t="str">
        <f ca="1">IF($B2833="Portfolio","Portfolio",IFERROR(INDEX(DATA_ASSET_CLASSIFICATION!$U$8:$U$24,MATCH($C2833,DATA_ASSET_CLASSIFICATION!$A$8:$A$24,0)),"Review"))</f>
        <v>Refi Watch</v>
      </c>
      <c r="O2833" s="350" t="str">
        <f ca="1">IF($B2833="Portfolio","Portfolio",IFERROR(INDEX(DATA_ASSET_CLASSIFICATION!$AB$8:$AB$13,MATCH($N2833,DATA_ASSET_CLASSIFICATION!$AA$8:$AA$13,0)),"Review"))</f>
        <v>Bucket 2 · Legacy</v>
      </c>
      <c r="P2833" s="350" t="str">
        <f>IF($B2833="Portfolio","Portfolio",IFERROR(INDEX(DATA_ASSET_CLASSIFICATION!$C$8:$C$24,MATCH($C2833,DATA_ASSET_CLASSIFICATION!$A$8:$A$24,0)),"Review"))</f>
        <v>Yes</v>
      </c>
      <c r="Q2833" s="350" t="str">
        <f t="shared" ca="1" si="89"/>
        <v>OK</v>
      </c>
    </row>
    <row r="2834" spans="1:17">
      <c r="A2834" s="366" t="s">
        <v>4790</v>
      </c>
      <c r="B2834" s="366" t="s">
        <v>231</v>
      </c>
      <c r="C2834" s="348" t="str">
        <f>DATA_PROPERTY_MASTER!$A$13</f>
        <v>BLD_MH</v>
      </c>
      <c r="D2834" s="380">
        <f>'00_PORTFOLIO ROLLUP'!R$12</f>
        <v>2038</v>
      </c>
      <c r="E2834" s="366" t="s">
        <v>1683</v>
      </c>
      <c r="F2834" s="366" t="s">
        <v>27</v>
      </c>
      <c r="G2834" s="348" t="str">
        <f>"'"&amp;$C2834&amp;"'!$E$54:$Y$54"</f>
        <v>'BLD_MH'!$E$54:$Y$54</v>
      </c>
      <c r="H2834" s="381">
        <f ca="1">IF(IFERROR(INDEX(DATA_PROPERTY_MASTER!$E$5:$E$21,MATCH($C2834,DATA_PROPERTY_MASTER!$A$5:$A$21,0))="Yes",FALSE),IFERROR(INDEX(INDIRECT("'"&amp;$C2834&amp;"'!$E$54:$Y$54"),1,MATCH($D2834,INDIRECT("'"&amp;$C2834&amp;"'!$E$12:$Y$12"),0)),0),0)</f>
        <v>132671.26526091734</v>
      </c>
      <c r="I2834" s="366" t="s">
        <v>1690</v>
      </c>
      <c r="J2834" s="348" t="str">
        <f t="shared" ca="1" si="88"/>
        <v>OK</v>
      </c>
      <c r="K2834" s="366" t="s">
        <v>1714</v>
      </c>
      <c r="L2834" s="366" t="s">
        <v>2248</v>
      </c>
      <c r="M2834" s="350" t="str">
        <f>IF($B2834="Portfolio","Portfolio",IFERROR(INDEX(DATA_ASSET_CLASSIFICATION!$B$8:$B$24,MATCH($C2834,DATA_ASSET_CLASSIFICATION!$A$8:$A$24,0)),"Review"))</f>
        <v>Margaret Heights</v>
      </c>
      <c r="N2834" s="350" t="str">
        <f ca="1">IF($B2834="Portfolio","Portfolio",IFERROR(INDEX(DATA_ASSET_CLASSIFICATION!$U$8:$U$24,MATCH($C2834,DATA_ASSET_CLASSIFICATION!$A$8:$A$24,0)),"Review"))</f>
        <v>Refi Watch</v>
      </c>
      <c r="O2834" s="350" t="str">
        <f ca="1">IF($B2834="Portfolio","Portfolio",IFERROR(INDEX(DATA_ASSET_CLASSIFICATION!$AB$8:$AB$13,MATCH($N2834,DATA_ASSET_CLASSIFICATION!$AA$8:$AA$13,0)),"Review"))</f>
        <v>Bucket 2 · Legacy</v>
      </c>
      <c r="P2834" s="350" t="str">
        <f>IF($B2834="Portfolio","Portfolio",IFERROR(INDEX(DATA_ASSET_CLASSIFICATION!$C$8:$C$24,MATCH($C2834,DATA_ASSET_CLASSIFICATION!$A$8:$A$24,0)),"Review"))</f>
        <v>Yes</v>
      </c>
      <c r="Q2834" s="350" t="str">
        <f t="shared" ca="1" si="89"/>
        <v>OK</v>
      </c>
    </row>
    <row r="2835" spans="1:17">
      <c r="A2835" s="366" t="s">
        <v>4791</v>
      </c>
      <c r="B2835" s="366" t="s">
        <v>231</v>
      </c>
      <c r="C2835" s="348" t="str">
        <f>DATA_PROPERTY_MASTER!$A$13</f>
        <v>BLD_MH</v>
      </c>
      <c r="D2835" s="380">
        <f>'00_PORTFOLIO ROLLUP'!R$12</f>
        <v>2038</v>
      </c>
      <c r="E2835" s="366" t="s">
        <v>1683</v>
      </c>
      <c r="F2835" s="366" t="s">
        <v>29</v>
      </c>
      <c r="G2835" s="348" t="str">
        <f>"'"&amp;$C2835&amp;"'!$E$56:$Y$56"</f>
        <v>'BLD_MH'!$E$56:$Y$56</v>
      </c>
      <c r="H2835" s="381">
        <f ca="1">IF(IFERROR(INDEX(DATA_PROPERTY_MASTER!$E$5:$E$21,MATCH($C2835,DATA_PROPERTY_MASTER!$A$5:$A$21,0))="Yes",FALSE),IFERROR(INDEX(INDIRECT("'"&amp;$C2835&amp;"'!$E$56:$Y$56"),1,MATCH($D2835,INDIRECT("'"&amp;$C2835&amp;"'!$E$12:$Y$12"),0)),0),0)</f>
        <v>88447.510173944902</v>
      </c>
      <c r="I2835" s="366" t="s">
        <v>1685</v>
      </c>
      <c r="J2835" s="348" t="str">
        <f t="shared" ca="1" si="88"/>
        <v>OK</v>
      </c>
      <c r="K2835" s="366" t="s">
        <v>1718</v>
      </c>
      <c r="L2835" s="366" t="s">
        <v>2250</v>
      </c>
      <c r="M2835" s="350" t="str">
        <f>IF($B2835="Portfolio","Portfolio",IFERROR(INDEX(DATA_ASSET_CLASSIFICATION!$B$8:$B$24,MATCH($C2835,DATA_ASSET_CLASSIFICATION!$A$8:$A$24,0)),"Review"))</f>
        <v>Margaret Heights</v>
      </c>
      <c r="N2835" s="350" t="str">
        <f ca="1">IF($B2835="Portfolio","Portfolio",IFERROR(INDEX(DATA_ASSET_CLASSIFICATION!$U$8:$U$24,MATCH($C2835,DATA_ASSET_CLASSIFICATION!$A$8:$A$24,0)),"Review"))</f>
        <v>Refi Watch</v>
      </c>
      <c r="O2835" s="350" t="str">
        <f ca="1">IF($B2835="Portfolio","Portfolio",IFERROR(INDEX(DATA_ASSET_CLASSIFICATION!$AB$8:$AB$13,MATCH($N2835,DATA_ASSET_CLASSIFICATION!$AA$8:$AA$13,0)),"Review"))</f>
        <v>Bucket 2 · Legacy</v>
      </c>
      <c r="P2835" s="350" t="str">
        <f>IF($B2835="Portfolio","Portfolio",IFERROR(INDEX(DATA_ASSET_CLASSIFICATION!$C$8:$C$24,MATCH($C2835,DATA_ASSET_CLASSIFICATION!$A$8:$A$24,0)),"Review"))</f>
        <v>Yes</v>
      </c>
      <c r="Q2835" s="350" t="str">
        <f t="shared" ca="1" si="89"/>
        <v>OK</v>
      </c>
    </row>
    <row r="2836" spans="1:17">
      <c r="A2836" s="366" t="s">
        <v>4792</v>
      </c>
      <c r="B2836" s="366" t="s">
        <v>231</v>
      </c>
      <c r="C2836" s="348" t="str">
        <f>DATA_PROPERTY_MASTER!$A$13</f>
        <v>BLD_MH</v>
      </c>
      <c r="D2836" s="380">
        <f>'00_PORTFOLIO ROLLUP'!R$12</f>
        <v>2038</v>
      </c>
      <c r="E2836" s="366" t="s">
        <v>1721</v>
      </c>
      <c r="F2836" s="366" t="s">
        <v>31</v>
      </c>
      <c r="G2836" s="348" t="str">
        <f>"'"&amp;$C2836&amp;"'!$E$61:$Y$61"</f>
        <v>'BLD_MH'!$E$61:$Y$61</v>
      </c>
      <c r="H2836" s="381">
        <f ca="1">IF(IFERROR(INDEX(DATA_PROPERTY_MASTER!$E$5:$E$21,MATCH($C2836,DATA_PROPERTY_MASTER!$A$5:$A$21,0))="Yes",FALSE),IFERROR(INDEX(INDIRECT("'"&amp;$C2836&amp;"'!$E$61:$Y$61"),1,MATCH($D2836,INDIRECT("'"&amp;$C2836&amp;"'!$E$12:$Y$12"),0)),0),0)</f>
        <v>0</v>
      </c>
      <c r="I2836" s="366" t="s">
        <v>1690</v>
      </c>
      <c r="J2836" s="348" t="str">
        <f t="shared" ca="1" si="88"/>
        <v>OK</v>
      </c>
      <c r="K2836" s="366" t="s">
        <v>1723</v>
      </c>
      <c r="L2836" s="366" t="s">
        <v>2252</v>
      </c>
      <c r="M2836" s="350" t="str">
        <f>IF($B2836="Portfolio","Portfolio",IFERROR(INDEX(DATA_ASSET_CLASSIFICATION!$B$8:$B$24,MATCH($C2836,DATA_ASSET_CLASSIFICATION!$A$8:$A$24,0)),"Review"))</f>
        <v>Margaret Heights</v>
      </c>
      <c r="N2836" s="350" t="str">
        <f ca="1">IF($B2836="Portfolio","Portfolio",IFERROR(INDEX(DATA_ASSET_CLASSIFICATION!$U$8:$U$24,MATCH($C2836,DATA_ASSET_CLASSIFICATION!$A$8:$A$24,0)),"Review"))</f>
        <v>Refi Watch</v>
      </c>
      <c r="O2836" s="350" t="str">
        <f ca="1">IF($B2836="Portfolio","Portfolio",IFERROR(INDEX(DATA_ASSET_CLASSIFICATION!$AB$8:$AB$13,MATCH($N2836,DATA_ASSET_CLASSIFICATION!$AA$8:$AA$13,0)),"Review"))</f>
        <v>Bucket 2 · Legacy</v>
      </c>
      <c r="P2836" s="350" t="str">
        <f>IF($B2836="Portfolio","Portfolio",IFERROR(INDEX(DATA_ASSET_CLASSIFICATION!$C$8:$C$24,MATCH($C2836,DATA_ASSET_CLASSIFICATION!$A$8:$A$24,0)),"Review"))</f>
        <v>Yes</v>
      </c>
      <c r="Q2836" s="350" t="str">
        <f t="shared" ca="1" si="89"/>
        <v>OK</v>
      </c>
    </row>
    <row r="2837" spans="1:17">
      <c r="A2837" s="366" t="s">
        <v>4793</v>
      </c>
      <c r="B2837" s="366" t="s">
        <v>231</v>
      </c>
      <c r="C2837" s="348" t="str">
        <f>DATA_PROPERTY_MASTER!$A$13</f>
        <v>BLD_MH</v>
      </c>
      <c r="D2837" s="380">
        <f>'00_PORTFOLIO ROLLUP'!R$12</f>
        <v>2038</v>
      </c>
      <c r="E2837" s="366" t="s">
        <v>1721</v>
      </c>
      <c r="F2837" s="366" t="s">
        <v>33</v>
      </c>
      <c r="G2837" s="348" t="str">
        <f>"'"&amp;$C2837&amp;"'!$E$62:$Y$62"</f>
        <v>'BLD_MH'!$E$62:$Y$62</v>
      </c>
      <c r="H2837" s="381">
        <f ca="1">IF(IFERROR(INDEX(DATA_PROPERTY_MASTER!$E$5:$E$21,MATCH($C2837,DATA_PROPERTY_MASTER!$A$5:$A$21,0))="Yes",FALSE),IFERROR(INDEX(INDIRECT("'"&amp;$C2837&amp;"'!$E$62:$Y$62"),1,MATCH($D2837,INDIRECT("'"&amp;$C2837&amp;"'!$E$12:$Y$12"),0)),0),0)</f>
        <v>0</v>
      </c>
      <c r="I2837" s="366" t="s">
        <v>1685</v>
      </c>
      <c r="J2837" s="348" t="str">
        <f t="shared" ca="1" si="88"/>
        <v>OK</v>
      </c>
      <c r="K2837" s="366" t="s">
        <v>1727</v>
      </c>
      <c r="L2837" s="366" t="s">
        <v>2254</v>
      </c>
      <c r="M2837" s="350" t="str">
        <f>IF($B2837="Portfolio","Portfolio",IFERROR(INDEX(DATA_ASSET_CLASSIFICATION!$B$8:$B$24,MATCH($C2837,DATA_ASSET_CLASSIFICATION!$A$8:$A$24,0)),"Review"))</f>
        <v>Margaret Heights</v>
      </c>
      <c r="N2837" s="350" t="str">
        <f ca="1">IF($B2837="Portfolio","Portfolio",IFERROR(INDEX(DATA_ASSET_CLASSIFICATION!$U$8:$U$24,MATCH($C2837,DATA_ASSET_CLASSIFICATION!$A$8:$A$24,0)),"Review"))</f>
        <v>Refi Watch</v>
      </c>
      <c r="O2837" s="350" t="str">
        <f ca="1">IF($B2837="Portfolio","Portfolio",IFERROR(INDEX(DATA_ASSET_CLASSIFICATION!$AB$8:$AB$13,MATCH($N2837,DATA_ASSET_CLASSIFICATION!$AA$8:$AA$13,0)),"Review"))</f>
        <v>Bucket 2 · Legacy</v>
      </c>
      <c r="P2837" s="350" t="str">
        <f>IF($B2837="Portfolio","Portfolio",IFERROR(INDEX(DATA_ASSET_CLASSIFICATION!$C$8:$C$24,MATCH($C2837,DATA_ASSET_CLASSIFICATION!$A$8:$A$24,0)),"Review"))</f>
        <v>Yes</v>
      </c>
      <c r="Q2837" s="350" t="str">
        <f t="shared" ca="1" si="89"/>
        <v>OK</v>
      </c>
    </row>
    <row r="2838" spans="1:17">
      <c r="A2838" s="366" t="s">
        <v>4794</v>
      </c>
      <c r="B2838" s="366" t="s">
        <v>231</v>
      </c>
      <c r="C2838" s="348" t="str">
        <f>DATA_PROPERTY_MASTER!$A$13</f>
        <v>BLD_MH</v>
      </c>
      <c r="D2838" s="380">
        <f>'00_PORTFOLIO ROLLUP'!R$12</f>
        <v>2038</v>
      </c>
      <c r="E2838" s="366" t="s">
        <v>1721</v>
      </c>
      <c r="F2838" s="366" t="s">
        <v>35</v>
      </c>
      <c r="G2838" s="348" t="str">
        <f>"'"&amp;$C2838&amp;"'!$E$63:$Y$63"</f>
        <v>'BLD_MH'!$E$63:$Y$63</v>
      </c>
      <c r="H2838" s="381">
        <f ca="1">IF(IFERROR(INDEX(DATA_PROPERTY_MASTER!$E$5:$E$21,MATCH($C2838,DATA_PROPERTY_MASTER!$A$5:$A$21,0))="Yes",FALSE),IFERROR(INDEX(INDIRECT("'"&amp;$C2838&amp;"'!$E$63:$Y$63"),1,MATCH($D2838,INDIRECT("'"&amp;$C2838&amp;"'!$E$12:$Y$12"),0)),0),0)</f>
        <v>0</v>
      </c>
      <c r="I2838" s="366" t="s">
        <v>1731</v>
      </c>
      <c r="J2838" s="348" t="str">
        <f t="shared" ca="1" si="88"/>
        <v>OK</v>
      </c>
      <c r="K2838" s="366" t="s">
        <v>1732</v>
      </c>
      <c r="L2838" s="366" t="s">
        <v>2256</v>
      </c>
      <c r="M2838" s="350" t="str">
        <f>IF($B2838="Portfolio","Portfolio",IFERROR(INDEX(DATA_ASSET_CLASSIFICATION!$B$8:$B$24,MATCH($C2838,DATA_ASSET_CLASSIFICATION!$A$8:$A$24,0)),"Review"))</f>
        <v>Margaret Heights</v>
      </c>
      <c r="N2838" s="350" t="str">
        <f ca="1">IF($B2838="Portfolio","Portfolio",IFERROR(INDEX(DATA_ASSET_CLASSIFICATION!$U$8:$U$24,MATCH($C2838,DATA_ASSET_CLASSIFICATION!$A$8:$A$24,0)),"Review"))</f>
        <v>Refi Watch</v>
      </c>
      <c r="O2838" s="350" t="str">
        <f ca="1">IF($B2838="Portfolio","Portfolio",IFERROR(INDEX(DATA_ASSET_CLASSIFICATION!$AB$8:$AB$13,MATCH($N2838,DATA_ASSET_CLASSIFICATION!$AA$8:$AA$13,0)),"Review"))</f>
        <v>Bucket 2 · Legacy</v>
      </c>
      <c r="P2838" s="350" t="str">
        <f>IF($B2838="Portfolio","Portfolio",IFERROR(INDEX(DATA_ASSET_CLASSIFICATION!$C$8:$C$24,MATCH($C2838,DATA_ASSET_CLASSIFICATION!$A$8:$A$24,0)),"Review"))</f>
        <v>Yes</v>
      </c>
      <c r="Q2838" s="350" t="str">
        <f t="shared" ca="1" si="89"/>
        <v>OK</v>
      </c>
    </row>
    <row r="2839" spans="1:17">
      <c r="A2839" s="366" t="s">
        <v>4795</v>
      </c>
      <c r="B2839" s="366" t="s">
        <v>231</v>
      </c>
      <c r="C2839" s="348" t="str">
        <f>DATA_PROPERTY_MASTER!$A$13</f>
        <v>BLD_MH</v>
      </c>
      <c r="D2839" s="380">
        <f>'00_PORTFOLIO ROLLUP'!R$12</f>
        <v>2038</v>
      </c>
      <c r="E2839" s="366" t="s">
        <v>1721</v>
      </c>
      <c r="F2839" s="366" t="s">
        <v>37</v>
      </c>
      <c r="G2839" s="348" t="str">
        <f>"'"&amp;$C2839&amp;"'!$E$63:$Y$63"</f>
        <v>'BLD_MH'!$E$63:$Y$63</v>
      </c>
      <c r="H2839" s="381">
        <f ca="1">IF(IFERROR(INDEX(DATA_PROPERTY_MASTER!$E$5:$E$21,MATCH($C2839,DATA_PROPERTY_MASTER!$A$5:$A$21,0))="Yes",FALSE),MAX(IFERROR(INDEX(INDIRECT("'"&amp;$C2839&amp;"'!$E$63:$Y$63"),1,MATCH($D2839,INDIRECT("'"&amp;$C2839&amp;"'!$E$12:$Y$12"),0)),0),0),0)</f>
        <v>0</v>
      </c>
      <c r="I2839" s="366" t="s">
        <v>1685</v>
      </c>
      <c r="J2839" s="348" t="str">
        <f t="shared" ca="1" si="88"/>
        <v>OK</v>
      </c>
      <c r="K2839" s="366" t="s">
        <v>1735</v>
      </c>
      <c r="L2839" s="366" t="s">
        <v>2258</v>
      </c>
      <c r="M2839" s="350" t="str">
        <f>IF($B2839="Portfolio","Portfolio",IFERROR(INDEX(DATA_ASSET_CLASSIFICATION!$B$8:$B$24,MATCH($C2839,DATA_ASSET_CLASSIFICATION!$A$8:$A$24,0)),"Review"))</f>
        <v>Margaret Heights</v>
      </c>
      <c r="N2839" s="350" t="str">
        <f ca="1">IF($B2839="Portfolio","Portfolio",IFERROR(INDEX(DATA_ASSET_CLASSIFICATION!$U$8:$U$24,MATCH($C2839,DATA_ASSET_CLASSIFICATION!$A$8:$A$24,0)),"Review"))</f>
        <v>Refi Watch</v>
      </c>
      <c r="O2839" s="350" t="str">
        <f ca="1">IF($B2839="Portfolio","Portfolio",IFERROR(INDEX(DATA_ASSET_CLASSIFICATION!$AB$8:$AB$13,MATCH($N2839,DATA_ASSET_CLASSIFICATION!$AA$8:$AA$13,0)),"Review"))</f>
        <v>Bucket 2 · Legacy</v>
      </c>
      <c r="P2839" s="350" t="str">
        <f>IF($B2839="Portfolio","Portfolio",IFERROR(INDEX(DATA_ASSET_CLASSIFICATION!$C$8:$C$24,MATCH($C2839,DATA_ASSET_CLASSIFICATION!$A$8:$A$24,0)),"Review"))</f>
        <v>Yes</v>
      </c>
      <c r="Q2839" s="350" t="str">
        <f t="shared" ca="1" si="89"/>
        <v>OK</v>
      </c>
    </row>
    <row r="2840" spans="1:17">
      <c r="A2840" s="366" t="s">
        <v>4796</v>
      </c>
      <c r="B2840" s="366" t="s">
        <v>231</v>
      </c>
      <c r="C2840" s="348" t="str">
        <f>DATA_PROPERTY_MASTER!$A$13</f>
        <v>BLD_MH</v>
      </c>
      <c r="D2840" s="380">
        <f>'00_PORTFOLIO ROLLUP'!R$12</f>
        <v>2038</v>
      </c>
      <c r="E2840" s="366" t="s">
        <v>1721</v>
      </c>
      <c r="F2840" s="366" t="s">
        <v>39</v>
      </c>
      <c r="G2840" s="348" t="str">
        <f>"'"&amp;$C2840&amp;"'!$E$63:$Y$63"</f>
        <v>'BLD_MH'!$E$63:$Y$63</v>
      </c>
      <c r="H2840" s="381">
        <f ca="1">IF(IFERROR(INDEX(DATA_PROPERTY_MASTER!$E$5:$E$21,MATCH($C2840,DATA_PROPERTY_MASTER!$A$5:$A$21,0))="Yes",FALSE),MAX(-IFERROR(INDEX(INDIRECT("'"&amp;$C2840&amp;"'!$E$63:$Y$63"),1,MATCH($D2840,INDIRECT("'"&amp;$C2840&amp;"'!$E$12:$Y$12"),0)),0),0),0)</f>
        <v>0</v>
      </c>
      <c r="I2840" s="366" t="s">
        <v>1690</v>
      </c>
      <c r="J2840" s="348" t="str">
        <f t="shared" ca="1" si="88"/>
        <v>OK</v>
      </c>
      <c r="K2840" s="366" t="s">
        <v>1738</v>
      </c>
      <c r="L2840" s="366" t="s">
        <v>2260</v>
      </c>
      <c r="M2840" s="350" t="str">
        <f>IF($B2840="Portfolio","Portfolio",IFERROR(INDEX(DATA_ASSET_CLASSIFICATION!$B$8:$B$24,MATCH($C2840,DATA_ASSET_CLASSIFICATION!$A$8:$A$24,0)),"Review"))</f>
        <v>Margaret Heights</v>
      </c>
      <c r="N2840" s="350" t="str">
        <f ca="1">IF($B2840="Portfolio","Portfolio",IFERROR(INDEX(DATA_ASSET_CLASSIFICATION!$U$8:$U$24,MATCH($C2840,DATA_ASSET_CLASSIFICATION!$A$8:$A$24,0)),"Review"))</f>
        <v>Refi Watch</v>
      </c>
      <c r="O2840" s="350" t="str">
        <f ca="1">IF($B2840="Portfolio","Portfolio",IFERROR(INDEX(DATA_ASSET_CLASSIFICATION!$AB$8:$AB$13,MATCH($N2840,DATA_ASSET_CLASSIFICATION!$AA$8:$AA$13,0)),"Review"))</f>
        <v>Bucket 2 · Legacy</v>
      </c>
      <c r="P2840" s="350" t="str">
        <f>IF($B2840="Portfolio","Portfolio",IFERROR(INDEX(DATA_ASSET_CLASSIFICATION!$C$8:$C$24,MATCH($C2840,DATA_ASSET_CLASSIFICATION!$A$8:$A$24,0)),"Review"))</f>
        <v>Yes</v>
      </c>
      <c r="Q2840" s="350" t="str">
        <f t="shared" ca="1" si="89"/>
        <v>OK</v>
      </c>
    </row>
    <row r="2841" spans="1:17">
      <c r="A2841" s="366" t="s">
        <v>4797</v>
      </c>
      <c r="B2841" s="366" t="s">
        <v>231</v>
      </c>
      <c r="C2841" s="348" t="str">
        <f>DATA_PROPERTY_MASTER!$A$13</f>
        <v>BLD_MH</v>
      </c>
      <c r="D2841" s="380">
        <f>'00_PORTFOLIO ROLLUP'!R$12</f>
        <v>2038</v>
      </c>
      <c r="E2841" s="366" t="s">
        <v>1741</v>
      </c>
      <c r="F2841" s="366" t="s">
        <v>41</v>
      </c>
      <c r="G2841" s="348" t="str">
        <f>"'"&amp;$C2841&amp;"'!rows 56 + positive row 63"</f>
        <v>'BLD_MH'!rows 56 + positive row 63</v>
      </c>
      <c r="H2841" s="381">
        <f ca="1">IF(IFERROR(INDEX(DATA_PROPERTY_MASTER!$E$5:$E$21,MATCH($C2841,DATA_PROPERTY_MASTER!$A$5:$A$21,0))="Yes",FALSE),IFERROR(INDEX(INDIRECT("'"&amp;$C2841&amp;"'!$E$56:$Y$56"),1,MATCH($D2841,INDIRECT("'"&amp;$C2841&amp;"'!$E$12:$Y$12"),0)),0)+MAX(IFERROR(INDEX(INDIRECT("'"&amp;$C2841&amp;"'!$E$63:$Y$63"),1,MATCH($D2841,INDIRECT("'"&amp;$C2841&amp;"'!$E$12:$Y$12"),0)),0),0),0)</f>
        <v>88447.510173944902</v>
      </c>
      <c r="I2841" s="366" t="s">
        <v>1685</v>
      </c>
      <c r="J2841" s="348" t="str">
        <f t="shared" ca="1" si="88"/>
        <v>OK</v>
      </c>
      <c r="K2841" s="366" t="s">
        <v>1742</v>
      </c>
      <c r="L2841" s="366" t="s">
        <v>2262</v>
      </c>
      <c r="M2841" s="350" t="str">
        <f>IF($B2841="Portfolio","Portfolio",IFERROR(INDEX(DATA_ASSET_CLASSIFICATION!$B$8:$B$24,MATCH($C2841,DATA_ASSET_CLASSIFICATION!$A$8:$A$24,0)),"Review"))</f>
        <v>Margaret Heights</v>
      </c>
      <c r="N2841" s="350" t="str">
        <f ca="1">IF($B2841="Portfolio","Portfolio",IFERROR(INDEX(DATA_ASSET_CLASSIFICATION!$U$8:$U$24,MATCH($C2841,DATA_ASSET_CLASSIFICATION!$A$8:$A$24,0)),"Review"))</f>
        <v>Refi Watch</v>
      </c>
      <c r="O2841" s="350" t="str">
        <f ca="1">IF($B2841="Portfolio","Portfolio",IFERROR(INDEX(DATA_ASSET_CLASSIFICATION!$AB$8:$AB$13,MATCH($N2841,DATA_ASSET_CLASSIFICATION!$AA$8:$AA$13,0)),"Review"))</f>
        <v>Bucket 2 · Legacy</v>
      </c>
      <c r="P2841" s="350" t="str">
        <f>IF($B2841="Portfolio","Portfolio",IFERROR(INDEX(DATA_ASSET_CLASSIFICATION!$C$8:$C$24,MATCH($C2841,DATA_ASSET_CLASSIFICATION!$A$8:$A$24,0)),"Review"))</f>
        <v>Yes</v>
      </c>
      <c r="Q2841" s="350" t="str">
        <f t="shared" ca="1" si="89"/>
        <v>OK</v>
      </c>
    </row>
    <row r="2842" spans="1:17">
      <c r="A2842" s="366" t="s">
        <v>4798</v>
      </c>
      <c r="B2842" s="366" t="s">
        <v>231</v>
      </c>
      <c r="C2842" s="348" t="str">
        <f>DATA_PROPERTY_MASTER!$A$13</f>
        <v>BLD_MH</v>
      </c>
      <c r="D2842" s="380">
        <f>'00_PORTFOLIO ROLLUP'!R$12</f>
        <v>2038</v>
      </c>
      <c r="E2842" s="366" t="s">
        <v>1741</v>
      </c>
      <c r="F2842" s="366" t="s">
        <v>43</v>
      </c>
      <c r="G2842" s="348" t="str">
        <f>"'"&amp;$C2842&amp;"'!$E$68:$Y$68"</f>
        <v>'BLD_MH'!$E$68:$Y$68</v>
      </c>
      <c r="H2842" s="381">
        <f ca="1">IF(IFERROR(INDEX(DATA_PROPERTY_MASTER!$E$5:$E$21,MATCH($C2842,DATA_PROPERTY_MASTER!$A$5:$A$21,0))="Yes",FALSE),IFERROR(INDEX(INDIRECT("'"&amp;$C2842&amp;"'!$E$68:$Y$68"),1,MATCH($D2842,INDIRECT("'"&amp;$C2842&amp;"'!$E$12:$Y$12"),0)),0),0)</f>
        <v>88447.510173944902</v>
      </c>
      <c r="I2842" s="366" t="s">
        <v>1731</v>
      </c>
      <c r="J2842" s="348" t="str">
        <f t="shared" ca="1" si="88"/>
        <v>OK</v>
      </c>
      <c r="K2842" s="366" t="s">
        <v>1746</v>
      </c>
      <c r="L2842" s="366" t="s">
        <v>2264</v>
      </c>
      <c r="M2842" s="350" t="str">
        <f>IF($B2842="Portfolio","Portfolio",IFERROR(INDEX(DATA_ASSET_CLASSIFICATION!$B$8:$B$24,MATCH($C2842,DATA_ASSET_CLASSIFICATION!$A$8:$A$24,0)),"Review"))</f>
        <v>Margaret Heights</v>
      </c>
      <c r="N2842" s="350" t="str">
        <f ca="1">IF($B2842="Portfolio","Portfolio",IFERROR(INDEX(DATA_ASSET_CLASSIFICATION!$U$8:$U$24,MATCH($C2842,DATA_ASSET_CLASSIFICATION!$A$8:$A$24,0)),"Review"))</f>
        <v>Refi Watch</v>
      </c>
      <c r="O2842" s="350" t="str">
        <f ca="1">IF($B2842="Portfolio","Portfolio",IFERROR(INDEX(DATA_ASSET_CLASSIFICATION!$AB$8:$AB$13,MATCH($N2842,DATA_ASSET_CLASSIFICATION!$AA$8:$AA$13,0)),"Review"))</f>
        <v>Bucket 2 · Legacy</v>
      </c>
      <c r="P2842" s="350" t="str">
        <f>IF($B2842="Portfolio","Portfolio",IFERROR(INDEX(DATA_ASSET_CLASSIFICATION!$C$8:$C$24,MATCH($C2842,DATA_ASSET_CLASSIFICATION!$A$8:$A$24,0)),"Review"))</f>
        <v>Yes</v>
      </c>
      <c r="Q2842" s="350" t="str">
        <f t="shared" ca="1" si="89"/>
        <v>OK</v>
      </c>
    </row>
    <row r="2843" spans="1:17">
      <c r="A2843" s="366" t="s">
        <v>4799</v>
      </c>
      <c r="B2843" s="366" t="s">
        <v>231</v>
      </c>
      <c r="C2843" s="348" t="str">
        <f>DATA_PROPERTY_MASTER!$A$13</f>
        <v>BLD_MH</v>
      </c>
      <c r="D2843" s="380">
        <f>'00_PORTFOLIO ROLLUP'!R$12</f>
        <v>2038</v>
      </c>
      <c r="E2843" s="366" t="s">
        <v>1741</v>
      </c>
      <c r="F2843" s="366" t="s">
        <v>1749</v>
      </c>
      <c r="G2843" s="348" t="str">
        <f>"'"&amp;$C2843&amp;"'!rows 56, 63, 68"</f>
        <v>'BLD_MH'!rows 56, 63, 68</v>
      </c>
      <c r="H2843" s="381">
        <f ca="1">IF(IFERROR(INDEX(DATA_PROPERTY_MASTER!$E$5:$E$21,MATCH($C2843,DATA_PROPERTY_MASTER!$A$5:$A$21,0))="Yes",FALSE),(IFERROR(INDEX(INDIRECT("'"&amp;$C2843&amp;"'!$E$56:$Y$56"),1,MATCH($D2843,INDIRECT("'"&amp;$C2843&amp;"'!$E$12:$Y$12"),0)),0)+MAX(IFERROR(INDEX(INDIRECT("'"&amp;$C2843&amp;"'!$E$63:$Y$63"),1,MATCH($D2843,INDIRECT("'"&amp;$C2843&amp;"'!$E$12:$Y$12"),0)),0),0))-(IFERROR(INDEX(INDIRECT("'"&amp;$C2843&amp;"'!$E$68:$Y$68"),1,MATCH($D2843,INDIRECT("'"&amp;$C2843&amp;"'!$E$12:$Y$12"),0)),0)),0)</f>
        <v>0</v>
      </c>
      <c r="I2843" s="366" t="s">
        <v>1750</v>
      </c>
      <c r="J2843" s="348" t="str">
        <f t="shared" ca="1" si="88"/>
        <v>OK</v>
      </c>
      <c r="K2843" s="366" t="s">
        <v>1751</v>
      </c>
      <c r="L2843" s="366" t="s">
        <v>2266</v>
      </c>
      <c r="M2843" s="350" t="str">
        <f>IF($B2843="Portfolio","Portfolio",IFERROR(INDEX(DATA_ASSET_CLASSIFICATION!$B$8:$B$24,MATCH($C2843,DATA_ASSET_CLASSIFICATION!$A$8:$A$24,0)),"Review"))</f>
        <v>Margaret Heights</v>
      </c>
      <c r="N2843" s="350" t="str">
        <f ca="1">IF($B2843="Portfolio","Portfolio",IFERROR(INDEX(DATA_ASSET_CLASSIFICATION!$U$8:$U$24,MATCH($C2843,DATA_ASSET_CLASSIFICATION!$A$8:$A$24,0)),"Review"))</f>
        <v>Refi Watch</v>
      </c>
      <c r="O2843" s="350" t="str">
        <f ca="1">IF($B2843="Portfolio","Portfolio",IFERROR(INDEX(DATA_ASSET_CLASSIFICATION!$AB$8:$AB$13,MATCH($N2843,DATA_ASSET_CLASSIFICATION!$AA$8:$AA$13,0)),"Review"))</f>
        <v>Bucket 2 · Legacy</v>
      </c>
      <c r="P2843" s="350" t="str">
        <f>IF($B2843="Portfolio","Portfolio",IFERROR(INDEX(DATA_ASSET_CLASSIFICATION!$C$8:$C$24,MATCH($C2843,DATA_ASSET_CLASSIFICATION!$A$8:$A$24,0)),"Review"))</f>
        <v>Yes</v>
      </c>
      <c r="Q2843" s="350" t="str">
        <f t="shared" ca="1" si="89"/>
        <v>OK</v>
      </c>
    </row>
    <row r="2844" spans="1:17">
      <c r="A2844" s="366" t="s">
        <v>4800</v>
      </c>
      <c r="B2844" s="366" t="s">
        <v>231</v>
      </c>
      <c r="C2844" s="348" t="str">
        <f>DATA_PROPERTY_MASTER!$A$13</f>
        <v>BLD_MH</v>
      </c>
      <c r="D2844" s="380">
        <f>'00_PORTFOLIO ROLLUP'!S$12</f>
        <v>2039</v>
      </c>
      <c r="E2844" s="366" t="s">
        <v>1683</v>
      </c>
      <c r="F2844" s="366" t="s">
        <v>341</v>
      </c>
      <c r="G2844" s="348" t="str">
        <f>"'"&amp;$C2844&amp;"'!$E$24:$Y$24"</f>
        <v>'BLD_MH'!$E$24:$Y$24</v>
      </c>
      <c r="H2844" s="381">
        <f ca="1">IF(IFERROR(INDEX(DATA_PROPERTY_MASTER!$E$5:$E$21,MATCH($C2844,DATA_PROPERTY_MASTER!$A$5:$A$21,0))="Yes",FALSE),IFERROR(INDEX(INDIRECT("'"&amp;$C2844&amp;"'!$E$24:$Y$24"),1,MATCH($D2844,INDIRECT("'"&amp;$C2844&amp;"'!$E$12:$Y$12"),0)),0),0)</f>
        <v>520841.84224758716</v>
      </c>
      <c r="I2844" s="366" t="s">
        <v>1685</v>
      </c>
      <c r="J2844" s="348" t="str">
        <f t="shared" ca="1" si="88"/>
        <v>OK</v>
      </c>
      <c r="K2844" s="366" t="s">
        <v>1686</v>
      </c>
      <c r="L2844" s="366" t="s">
        <v>2234</v>
      </c>
      <c r="M2844" s="350" t="str">
        <f>IF($B2844="Portfolio","Portfolio",IFERROR(INDEX(DATA_ASSET_CLASSIFICATION!$B$8:$B$24,MATCH($C2844,DATA_ASSET_CLASSIFICATION!$A$8:$A$24,0)),"Review"))</f>
        <v>Margaret Heights</v>
      </c>
      <c r="N2844" s="350" t="str">
        <f ca="1">IF($B2844="Portfolio","Portfolio",IFERROR(INDEX(DATA_ASSET_CLASSIFICATION!$U$8:$U$24,MATCH($C2844,DATA_ASSET_CLASSIFICATION!$A$8:$A$24,0)),"Review"))</f>
        <v>Refi Watch</v>
      </c>
      <c r="O2844" s="350" t="str">
        <f ca="1">IF($B2844="Portfolio","Portfolio",IFERROR(INDEX(DATA_ASSET_CLASSIFICATION!$AB$8:$AB$13,MATCH($N2844,DATA_ASSET_CLASSIFICATION!$AA$8:$AA$13,0)),"Review"))</f>
        <v>Bucket 2 · Legacy</v>
      </c>
      <c r="P2844" s="350" t="str">
        <f>IF($B2844="Portfolio","Portfolio",IFERROR(INDEX(DATA_ASSET_CLASSIFICATION!$C$8:$C$24,MATCH($C2844,DATA_ASSET_CLASSIFICATION!$A$8:$A$24,0)),"Review"))</f>
        <v>Yes</v>
      </c>
      <c r="Q2844" s="350" t="str">
        <f t="shared" ca="1" si="89"/>
        <v>OK</v>
      </c>
    </row>
    <row r="2845" spans="1:17">
      <c r="A2845" s="366" t="s">
        <v>4801</v>
      </c>
      <c r="B2845" s="366" t="s">
        <v>231</v>
      </c>
      <c r="C2845" s="348" t="str">
        <f>DATA_PROPERTY_MASTER!$A$13</f>
        <v>BLD_MH</v>
      </c>
      <c r="D2845" s="380">
        <f>'00_PORTFOLIO ROLLUP'!S$12</f>
        <v>2039</v>
      </c>
      <c r="E2845" s="366" t="s">
        <v>1683</v>
      </c>
      <c r="F2845" s="366" t="s">
        <v>355</v>
      </c>
      <c r="G2845" s="348" t="str">
        <f>"'"&amp;$C2845&amp;"'!$E$39:$Y$39"</f>
        <v>'BLD_MH'!$E$39:$Y$39</v>
      </c>
      <c r="H2845" s="381">
        <f ca="1">IF(IFERROR(INDEX(DATA_PROPERTY_MASTER!$E$5:$E$21,MATCH($C2845,DATA_PROPERTY_MASTER!$A$5:$A$21,0))="Yes",FALSE),IFERROR(INDEX(INDIRECT("'"&amp;$C2845&amp;"'!$E$39:$Y$39"),1,MATCH($D2845,INDIRECT("'"&amp;$C2845&amp;"'!$E$12:$Y$12"),0)),0),0)</f>
        <v>296748.24371238064</v>
      </c>
      <c r="I2845" s="366" t="s">
        <v>1690</v>
      </c>
      <c r="J2845" s="348" t="str">
        <f t="shared" ca="1" si="88"/>
        <v>OK</v>
      </c>
      <c r="K2845" s="366" t="s">
        <v>1686</v>
      </c>
      <c r="L2845" s="366" t="s">
        <v>2236</v>
      </c>
      <c r="M2845" s="350" t="str">
        <f>IF($B2845="Portfolio","Portfolio",IFERROR(INDEX(DATA_ASSET_CLASSIFICATION!$B$8:$B$24,MATCH($C2845,DATA_ASSET_CLASSIFICATION!$A$8:$A$24,0)),"Review"))</f>
        <v>Margaret Heights</v>
      </c>
      <c r="N2845" s="350" t="str">
        <f ca="1">IF($B2845="Portfolio","Portfolio",IFERROR(INDEX(DATA_ASSET_CLASSIFICATION!$U$8:$U$24,MATCH($C2845,DATA_ASSET_CLASSIFICATION!$A$8:$A$24,0)),"Review"))</f>
        <v>Refi Watch</v>
      </c>
      <c r="O2845" s="350" t="str">
        <f ca="1">IF($B2845="Portfolio","Portfolio",IFERROR(INDEX(DATA_ASSET_CLASSIFICATION!$AB$8:$AB$13,MATCH($N2845,DATA_ASSET_CLASSIFICATION!$AA$8:$AA$13,0)),"Review"))</f>
        <v>Bucket 2 · Legacy</v>
      </c>
      <c r="P2845" s="350" t="str">
        <f>IF($B2845="Portfolio","Portfolio",IFERROR(INDEX(DATA_ASSET_CLASSIFICATION!$C$8:$C$24,MATCH($C2845,DATA_ASSET_CLASSIFICATION!$A$8:$A$24,0)),"Review"))</f>
        <v>Yes</v>
      </c>
      <c r="Q2845" s="350" t="str">
        <f t="shared" ca="1" si="89"/>
        <v>OK</v>
      </c>
    </row>
    <row r="2846" spans="1:17">
      <c r="A2846" s="366" t="s">
        <v>4802</v>
      </c>
      <c r="B2846" s="366" t="s">
        <v>231</v>
      </c>
      <c r="C2846" s="348" t="str">
        <f>DATA_PROPERTY_MASTER!$A$13</f>
        <v>BLD_MH</v>
      </c>
      <c r="D2846" s="380">
        <f>'00_PORTFOLIO ROLLUP'!S$12</f>
        <v>2039</v>
      </c>
      <c r="E2846" s="366" t="s">
        <v>1683</v>
      </c>
      <c r="F2846" s="366" t="s">
        <v>19</v>
      </c>
      <c r="G2846" s="348" t="str">
        <f>"'"&amp;$C2846&amp;"'!$E$41:$Y$41"</f>
        <v>'BLD_MH'!$E$41:$Y$41</v>
      </c>
      <c r="H2846" s="381">
        <f ca="1">IF(IFERROR(INDEX(DATA_PROPERTY_MASTER!$E$5:$E$21,MATCH($C2846,DATA_PROPERTY_MASTER!$A$5:$A$21,0))="Yes",FALSE),IFERROR(INDEX(INDIRECT("'"&amp;$C2846&amp;"'!$E$41:$Y$41"),1,MATCH($D2846,INDIRECT("'"&amp;$C2846&amp;"'!$E$12:$Y$12"),0)),0),0)</f>
        <v>224093.59853520652</v>
      </c>
      <c r="I2846" s="366" t="s">
        <v>1685</v>
      </c>
      <c r="J2846" s="348" t="str">
        <f t="shared" ca="1" si="88"/>
        <v>OK</v>
      </c>
      <c r="K2846" s="366" t="s">
        <v>1694</v>
      </c>
      <c r="L2846" s="366" t="s">
        <v>2238</v>
      </c>
      <c r="M2846" s="350" t="str">
        <f>IF($B2846="Portfolio","Portfolio",IFERROR(INDEX(DATA_ASSET_CLASSIFICATION!$B$8:$B$24,MATCH($C2846,DATA_ASSET_CLASSIFICATION!$A$8:$A$24,0)),"Review"))</f>
        <v>Margaret Heights</v>
      </c>
      <c r="N2846" s="350" t="str">
        <f ca="1">IF($B2846="Portfolio","Portfolio",IFERROR(INDEX(DATA_ASSET_CLASSIFICATION!$U$8:$U$24,MATCH($C2846,DATA_ASSET_CLASSIFICATION!$A$8:$A$24,0)),"Review"))</f>
        <v>Refi Watch</v>
      </c>
      <c r="O2846" s="350" t="str">
        <f ca="1">IF($B2846="Portfolio","Portfolio",IFERROR(INDEX(DATA_ASSET_CLASSIFICATION!$AB$8:$AB$13,MATCH($N2846,DATA_ASSET_CLASSIFICATION!$AA$8:$AA$13,0)),"Review"))</f>
        <v>Bucket 2 · Legacy</v>
      </c>
      <c r="P2846" s="350" t="str">
        <f>IF($B2846="Portfolio","Portfolio",IFERROR(INDEX(DATA_ASSET_CLASSIFICATION!$C$8:$C$24,MATCH($C2846,DATA_ASSET_CLASSIFICATION!$A$8:$A$24,0)),"Review"))</f>
        <v>Yes</v>
      </c>
      <c r="Q2846" s="350" t="str">
        <f t="shared" ca="1" si="89"/>
        <v>OK</v>
      </c>
    </row>
    <row r="2847" spans="1:17">
      <c r="A2847" s="366" t="s">
        <v>4803</v>
      </c>
      <c r="B2847" s="366" t="s">
        <v>231</v>
      </c>
      <c r="C2847" s="348" t="str">
        <f>DATA_PROPERTY_MASTER!$A$13</f>
        <v>BLD_MH</v>
      </c>
      <c r="D2847" s="380">
        <f>'00_PORTFOLIO ROLLUP'!S$12</f>
        <v>2039</v>
      </c>
      <c r="E2847" s="366" t="s">
        <v>1683</v>
      </c>
      <c r="F2847" s="366" t="s">
        <v>1697</v>
      </c>
      <c r="G2847" s="348" t="str">
        <f>"'"&amp;$C2847&amp;"'!$E$44:$Y$44"</f>
        <v>'BLD_MH'!$E$44:$Y$44</v>
      </c>
      <c r="H2847" s="381">
        <f ca="1">IF(IFERROR(INDEX(DATA_PROPERTY_MASTER!$E$5:$E$21,MATCH($C2847,DATA_PROPERTY_MASTER!$A$5:$A$21,0))="Yes",FALSE),IFERROR(INDEX(INDIRECT("'"&amp;$C2847&amp;"'!$E$44:$Y$44"),1,MATCH($D2847,INDIRECT("'"&amp;$C2847&amp;"'!$E$12:$Y$12"),0)),0),0)</f>
        <v>3760.5144747291856</v>
      </c>
      <c r="I2847" s="366" t="s">
        <v>1690</v>
      </c>
      <c r="J2847" s="348" t="str">
        <f t="shared" ca="1" si="88"/>
        <v>OK</v>
      </c>
      <c r="K2847" s="366" t="s">
        <v>1699</v>
      </c>
      <c r="L2847" s="366" t="s">
        <v>2240</v>
      </c>
      <c r="M2847" s="350" t="str">
        <f>IF($B2847="Portfolio","Portfolio",IFERROR(INDEX(DATA_ASSET_CLASSIFICATION!$B$8:$B$24,MATCH($C2847,DATA_ASSET_CLASSIFICATION!$A$8:$A$24,0)),"Review"))</f>
        <v>Margaret Heights</v>
      </c>
      <c r="N2847" s="350" t="str">
        <f ca="1">IF($B2847="Portfolio","Portfolio",IFERROR(INDEX(DATA_ASSET_CLASSIFICATION!$U$8:$U$24,MATCH($C2847,DATA_ASSET_CLASSIFICATION!$A$8:$A$24,0)),"Review"))</f>
        <v>Refi Watch</v>
      </c>
      <c r="O2847" s="350" t="str">
        <f ca="1">IF($B2847="Portfolio","Portfolio",IFERROR(INDEX(DATA_ASSET_CLASSIFICATION!$AB$8:$AB$13,MATCH($N2847,DATA_ASSET_CLASSIFICATION!$AA$8:$AA$13,0)),"Review"))</f>
        <v>Bucket 2 · Legacy</v>
      </c>
      <c r="P2847" s="350" t="str">
        <f>IF($B2847="Portfolio","Portfolio",IFERROR(INDEX(DATA_ASSET_CLASSIFICATION!$C$8:$C$24,MATCH($C2847,DATA_ASSET_CLASSIFICATION!$A$8:$A$24,0)),"Review"))</f>
        <v>Yes</v>
      </c>
      <c r="Q2847" s="350" t="str">
        <f t="shared" ca="1" si="89"/>
        <v>OK</v>
      </c>
    </row>
    <row r="2848" spans="1:17">
      <c r="A2848" s="366" t="s">
        <v>4804</v>
      </c>
      <c r="B2848" s="366" t="s">
        <v>231</v>
      </c>
      <c r="C2848" s="348" t="str">
        <f>DATA_PROPERTY_MASTER!$A$13</f>
        <v>BLD_MH</v>
      </c>
      <c r="D2848" s="380">
        <f>'00_PORTFOLIO ROLLUP'!S$12</f>
        <v>2039</v>
      </c>
      <c r="E2848" s="366" t="s">
        <v>1683</v>
      </c>
      <c r="F2848" s="366" t="s">
        <v>21</v>
      </c>
      <c r="G2848" s="348" t="str">
        <f>"'"&amp;$C2848&amp;"'!$E$45:$Y$45"</f>
        <v>'BLD_MH'!$E$45:$Y$45</v>
      </c>
      <c r="H2848" s="381">
        <f ca="1">IF(IFERROR(INDEX(DATA_PROPERTY_MASTER!$E$5:$E$21,MATCH($C2848,DATA_PROPERTY_MASTER!$A$5:$A$21,0))="Yes",FALSE),IFERROR(INDEX(INDIRECT("'"&amp;$C2848&amp;"'!$E$45:$Y$45"),1,MATCH($D2848,INDIRECT("'"&amp;$C2848&amp;"'!$E$12:$Y$12"),0)),0),0)</f>
        <v>220333.08406047733</v>
      </c>
      <c r="I2848" s="366" t="s">
        <v>1685</v>
      </c>
      <c r="J2848" s="348" t="str">
        <f t="shared" ca="1" si="88"/>
        <v>OK</v>
      </c>
      <c r="K2848" s="366" t="s">
        <v>1694</v>
      </c>
      <c r="L2848" s="366" t="s">
        <v>2242</v>
      </c>
      <c r="M2848" s="350" t="str">
        <f>IF($B2848="Portfolio","Portfolio",IFERROR(INDEX(DATA_ASSET_CLASSIFICATION!$B$8:$B$24,MATCH($C2848,DATA_ASSET_CLASSIFICATION!$A$8:$A$24,0)),"Review"))</f>
        <v>Margaret Heights</v>
      </c>
      <c r="N2848" s="350" t="str">
        <f ca="1">IF($B2848="Portfolio","Portfolio",IFERROR(INDEX(DATA_ASSET_CLASSIFICATION!$U$8:$U$24,MATCH($C2848,DATA_ASSET_CLASSIFICATION!$A$8:$A$24,0)),"Review"))</f>
        <v>Refi Watch</v>
      </c>
      <c r="O2848" s="350" t="str">
        <f ca="1">IF($B2848="Portfolio","Portfolio",IFERROR(INDEX(DATA_ASSET_CLASSIFICATION!$AB$8:$AB$13,MATCH($N2848,DATA_ASSET_CLASSIFICATION!$AA$8:$AA$13,0)),"Review"))</f>
        <v>Bucket 2 · Legacy</v>
      </c>
      <c r="P2848" s="350" t="str">
        <f>IF($B2848="Portfolio","Portfolio",IFERROR(INDEX(DATA_ASSET_CLASSIFICATION!$C$8:$C$24,MATCH($C2848,DATA_ASSET_CLASSIFICATION!$A$8:$A$24,0)),"Review"))</f>
        <v>Yes</v>
      </c>
      <c r="Q2848" s="350" t="str">
        <f t="shared" ca="1" si="89"/>
        <v>OK</v>
      </c>
    </row>
    <row r="2849" spans="1:17">
      <c r="A2849" s="366" t="s">
        <v>4805</v>
      </c>
      <c r="B2849" s="366" t="s">
        <v>231</v>
      </c>
      <c r="C2849" s="348" t="str">
        <f>DATA_PROPERTY_MASTER!$A$13</f>
        <v>BLD_MH</v>
      </c>
      <c r="D2849" s="380">
        <f>'00_PORTFOLIO ROLLUP'!S$12</f>
        <v>2039</v>
      </c>
      <c r="E2849" s="366" t="s">
        <v>23</v>
      </c>
      <c r="F2849" s="366" t="s">
        <v>23</v>
      </c>
      <c r="G2849" s="348" t="str">
        <f>"'"&amp;$C2849&amp;"'!$E$48:$Y$48"</f>
        <v>'BLD_MH'!$E$48:$Y$48</v>
      </c>
      <c r="H2849" s="381">
        <f ca="1">IF(IFERROR(INDEX(DATA_PROPERTY_MASTER!$E$5:$E$21,MATCH($C2849,DATA_PROPERTY_MASTER!$A$5:$A$21,0))="Yes",FALSE),IFERROR(INDEX(INDIRECT("'"&amp;$C2849&amp;"'!$E$48:$Y$48"),1,MATCH($D2849,INDIRECT("'"&amp;$C2849&amp;"'!$E$12:$Y$12"),0)),0),0)</f>
        <v>0</v>
      </c>
      <c r="I2849" s="366" t="s">
        <v>1690</v>
      </c>
      <c r="J2849" s="348" t="str">
        <f t="shared" ca="1" si="88"/>
        <v>OK</v>
      </c>
      <c r="K2849" s="366" t="s">
        <v>1706</v>
      </c>
      <c r="L2849" s="366" t="s">
        <v>2244</v>
      </c>
      <c r="M2849" s="350" t="str">
        <f>IF($B2849="Portfolio","Portfolio",IFERROR(INDEX(DATA_ASSET_CLASSIFICATION!$B$8:$B$24,MATCH($C2849,DATA_ASSET_CLASSIFICATION!$A$8:$A$24,0)),"Review"))</f>
        <v>Margaret Heights</v>
      </c>
      <c r="N2849" s="350" t="str">
        <f ca="1">IF($B2849="Portfolio","Portfolio",IFERROR(INDEX(DATA_ASSET_CLASSIFICATION!$U$8:$U$24,MATCH($C2849,DATA_ASSET_CLASSIFICATION!$A$8:$A$24,0)),"Review"))</f>
        <v>Refi Watch</v>
      </c>
      <c r="O2849" s="350" t="str">
        <f ca="1">IF($B2849="Portfolio","Portfolio",IFERROR(INDEX(DATA_ASSET_CLASSIFICATION!$AB$8:$AB$13,MATCH($N2849,DATA_ASSET_CLASSIFICATION!$AA$8:$AA$13,0)),"Review"))</f>
        <v>Bucket 2 · Legacy</v>
      </c>
      <c r="P2849" s="350" t="str">
        <f>IF($B2849="Portfolio","Portfolio",IFERROR(INDEX(DATA_ASSET_CLASSIFICATION!$C$8:$C$24,MATCH($C2849,DATA_ASSET_CLASSIFICATION!$A$8:$A$24,0)),"Review"))</f>
        <v>Yes</v>
      </c>
      <c r="Q2849" s="350" t="str">
        <f t="shared" ca="1" si="89"/>
        <v>OK</v>
      </c>
    </row>
    <row r="2850" spans="1:17">
      <c r="A2850" s="366" t="s">
        <v>4806</v>
      </c>
      <c r="B2850" s="366" t="s">
        <v>231</v>
      </c>
      <c r="C2850" s="348" t="str">
        <f>DATA_PROPERTY_MASTER!$A$13</f>
        <v>BLD_MH</v>
      </c>
      <c r="D2850" s="380">
        <f>'00_PORTFOLIO ROLLUP'!S$12</f>
        <v>2039</v>
      </c>
      <c r="E2850" s="366" t="s">
        <v>1683</v>
      </c>
      <c r="F2850" s="366" t="s">
        <v>25</v>
      </c>
      <c r="G2850" s="348" t="str">
        <f>"'"&amp;$C2850&amp;"'!$E$52:$Y$52"</f>
        <v>'BLD_MH'!$E$52:$Y$52</v>
      </c>
      <c r="H2850" s="381">
        <f ca="1">IF(IFERROR(INDEX(DATA_PROPERTY_MASTER!$E$5:$E$21,MATCH($C2850,DATA_PROPERTY_MASTER!$A$5:$A$21,0))="Yes",FALSE),IFERROR(INDEX(INDIRECT("'"&amp;$C2850&amp;"'!$E$52:$Y$52"),1,MATCH($D2850,INDIRECT("'"&amp;$C2850&amp;"'!$E$12:$Y$12"),0)),0),0)</f>
        <v>224093.59853520652</v>
      </c>
      <c r="I2850" s="366" t="s">
        <v>1685</v>
      </c>
      <c r="J2850" s="348" t="str">
        <f t="shared" ca="1" si="88"/>
        <v>OK</v>
      </c>
      <c r="K2850" s="366" t="s">
        <v>1710</v>
      </c>
      <c r="L2850" s="366" t="s">
        <v>2246</v>
      </c>
      <c r="M2850" s="350" t="str">
        <f>IF($B2850="Portfolio","Portfolio",IFERROR(INDEX(DATA_ASSET_CLASSIFICATION!$B$8:$B$24,MATCH($C2850,DATA_ASSET_CLASSIFICATION!$A$8:$A$24,0)),"Review"))</f>
        <v>Margaret Heights</v>
      </c>
      <c r="N2850" s="350" t="str">
        <f ca="1">IF($B2850="Portfolio","Portfolio",IFERROR(INDEX(DATA_ASSET_CLASSIFICATION!$U$8:$U$24,MATCH($C2850,DATA_ASSET_CLASSIFICATION!$A$8:$A$24,0)),"Review"))</f>
        <v>Refi Watch</v>
      </c>
      <c r="O2850" s="350" t="str">
        <f ca="1">IF($B2850="Portfolio","Portfolio",IFERROR(INDEX(DATA_ASSET_CLASSIFICATION!$AB$8:$AB$13,MATCH($N2850,DATA_ASSET_CLASSIFICATION!$AA$8:$AA$13,0)),"Review"))</f>
        <v>Bucket 2 · Legacy</v>
      </c>
      <c r="P2850" s="350" t="str">
        <f>IF($B2850="Portfolio","Portfolio",IFERROR(INDEX(DATA_ASSET_CLASSIFICATION!$C$8:$C$24,MATCH($C2850,DATA_ASSET_CLASSIFICATION!$A$8:$A$24,0)),"Review"))</f>
        <v>Yes</v>
      </c>
      <c r="Q2850" s="350" t="str">
        <f t="shared" ca="1" si="89"/>
        <v>OK</v>
      </c>
    </row>
    <row r="2851" spans="1:17">
      <c r="A2851" s="366" t="s">
        <v>4807</v>
      </c>
      <c r="B2851" s="366" t="s">
        <v>231</v>
      </c>
      <c r="C2851" s="348" t="str">
        <f>DATA_PROPERTY_MASTER!$A$13</f>
        <v>BLD_MH</v>
      </c>
      <c r="D2851" s="380">
        <f>'00_PORTFOLIO ROLLUP'!S$12</f>
        <v>2039</v>
      </c>
      <c r="E2851" s="366" t="s">
        <v>1683</v>
      </c>
      <c r="F2851" s="366" t="s">
        <v>27</v>
      </c>
      <c r="G2851" s="348" t="str">
        <f>"'"&amp;$C2851&amp;"'!$E$54:$Y$54"</f>
        <v>'BLD_MH'!$E$54:$Y$54</v>
      </c>
      <c r="H2851" s="381">
        <f ca="1">IF(IFERROR(INDEX(DATA_PROPERTY_MASTER!$E$5:$E$21,MATCH($C2851,DATA_PROPERTY_MASTER!$A$5:$A$21,0))="Yes",FALSE),IFERROR(INDEX(INDIRECT("'"&amp;$C2851&amp;"'!$E$54:$Y$54"),1,MATCH($D2851,INDIRECT("'"&amp;$C2851&amp;"'!$E$12:$Y$12"),0)),0),0)</f>
        <v>134456.1591211239</v>
      </c>
      <c r="I2851" s="366" t="s">
        <v>1690</v>
      </c>
      <c r="J2851" s="348" t="str">
        <f t="shared" ca="1" si="88"/>
        <v>OK</v>
      </c>
      <c r="K2851" s="366" t="s">
        <v>1714</v>
      </c>
      <c r="L2851" s="366" t="s">
        <v>2248</v>
      </c>
      <c r="M2851" s="350" t="str">
        <f>IF($B2851="Portfolio","Portfolio",IFERROR(INDEX(DATA_ASSET_CLASSIFICATION!$B$8:$B$24,MATCH($C2851,DATA_ASSET_CLASSIFICATION!$A$8:$A$24,0)),"Review"))</f>
        <v>Margaret Heights</v>
      </c>
      <c r="N2851" s="350" t="str">
        <f ca="1">IF($B2851="Portfolio","Portfolio",IFERROR(INDEX(DATA_ASSET_CLASSIFICATION!$U$8:$U$24,MATCH($C2851,DATA_ASSET_CLASSIFICATION!$A$8:$A$24,0)),"Review"))</f>
        <v>Refi Watch</v>
      </c>
      <c r="O2851" s="350" t="str">
        <f ca="1">IF($B2851="Portfolio","Portfolio",IFERROR(INDEX(DATA_ASSET_CLASSIFICATION!$AB$8:$AB$13,MATCH($N2851,DATA_ASSET_CLASSIFICATION!$AA$8:$AA$13,0)),"Review"))</f>
        <v>Bucket 2 · Legacy</v>
      </c>
      <c r="P2851" s="350" t="str">
        <f>IF($B2851="Portfolio","Portfolio",IFERROR(INDEX(DATA_ASSET_CLASSIFICATION!$C$8:$C$24,MATCH($C2851,DATA_ASSET_CLASSIFICATION!$A$8:$A$24,0)),"Review"))</f>
        <v>Yes</v>
      </c>
      <c r="Q2851" s="350" t="str">
        <f t="shared" ca="1" si="89"/>
        <v>OK</v>
      </c>
    </row>
    <row r="2852" spans="1:17">
      <c r="A2852" s="366" t="s">
        <v>4808</v>
      </c>
      <c r="B2852" s="366" t="s">
        <v>231</v>
      </c>
      <c r="C2852" s="348" t="str">
        <f>DATA_PROPERTY_MASTER!$A$13</f>
        <v>BLD_MH</v>
      </c>
      <c r="D2852" s="380">
        <f>'00_PORTFOLIO ROLLUP'!S$12</f>
        <v>2039</v>
      </c>
      <c r="E2852" s="366" t="s">
        <v>1683</v>
      </c>
      <c r="F2852" s="366" t="s">
        <v>29</v>
      </c>
      <c r="G2852" s="348" t="str">
        <f>"'"&amp;$C2852&amp;"'!$E$56:$Y$56"</f>
        <v>'BLD_MH'!$E$56:$Y$56</v>
      </c>
      <c r="H2852" s="381">
        <f ca="1">IF(IFERROR(INDEX(DATA_PROPERTY_MASTER!$E$5:$E$21,MATCH($C2852,DATA_PROPERTY_MASTER!$A$5:$A$21,0))="Yes",FALSE),IFERROR(INDEX(INDIRECT("'"&amp;$C2852&amp;"'!$E$56:$Y$56"),1,MATCH($D2852,INDIRECT("'"&amp;$C2852&amp;"'!$E$12:$Y$12"),0)),0),0)</f>
        <v>89637.439414082619</v>
      </c>
      <c r="I2852" s="366" t="s">
        <v>1685</v>
      </c>
      <c r="J2852" s="348" t="str">
        <f t="shared" ca="1" si="88"/>
        <v>OK</v>
      </c>
      <c r="K2852" s="366" t="s">
        <v>1718</v>
      </c>
      <c r="L2852" s="366" t="s">
        <v>2250</v>
      </c>
      <c r="M2852" s="350" t="str">
        <f>IF($B2852="Portfolio","Portfolio",IFERROR(INDEX(DATA_ASSET_CLASSIFICATION!$B$8:$B$24,MATCH($C2852,DATA_ASSET_CLASSIFICATION!$A$8:$A$24,0)),"Review"))</f>
        <v>Margaret Heights</v>
      </c>
      <c r="N2852" s="350" t="str">
        <f ca="1">IF($B2852="Portfolio","Portfolio",IFERROR(INDEX(DATA_ASSET_CLASSIFICATION!$U$8:$U$24,MATCH($C2852,DATA_ASSET_CLASSIFICATION!$A$8:$A$24,0)),"Review"))</f>
        <v>Refi Watch</v>
      </c>
      <c r="O2852" s="350" t="str">
        <f ca="1">IF($B2852="Portfolio","Portfolio",IFERROR(INDEX(DATA_ASSET_CLASSIFICATION!$AB$8:$AB$13,MATCH($N2852,DATA_ASSET_CLASSIFICATION!$AA$8:$AA$13,0)),"Review"))</f>
        <v>Bucket 2 · Legacy</v>
      </c>
      <c r="P2852" s="350" t="str">
        <f>IF($B2852="Portfolio","Portfolio",IFERROR(INDEX(DATA_ASSET_CLASSIFICATION!$C$8:$C$24,MATCH($C2852,DATA_ASSET_CLASSIFICATION!$A$8:$A$24,0)),"Review"))</f>
        <v>Yes</v>
      </c>
      <c r="Q2852" s="350" t="str">
        <f t="shared" ca="1" si="89"/>
        <v>OK</v>
      </c>
    </row>
    <row r="2853" spans="1:17">
      <c r="A2853" s="366" t="s">
        <v>4809</v>
      </c>
      <c r="B2853" s="366" t="s">
        <v>231</v>
      </c>
      <c r="C2853" s="348" t="str">
        <f>DATA_PROPERTY_MASTER!$A$13</f>
        <v>BLD_MH</v>
      </c>
      <c r="D2853" s="380">
        <f>'00_PORTFOLIO ROLLUP'!S$12</f>
        <v>2039</v>
      </c>
      <c r="E2853" s="366" t="s">
        <v>1721</v>
      </c>
      <c r="F2853" s="366" t="s">
        <v>31</v>
      </c>
      <c r="G2853" s="348" t="str">
        <f>"'"&amp;$C2853&amp;"'!$E$61:$Y$61"</f>
        <v>'BLD_MH'!$E$61:$Y$61</v>
      </c>
      <c r="H2853" s="381">
        <f ca="1">IF(IFERROR(INDEX(DATA_PROPERTY_MASTER!$E$5:$E$21,MATCH($C2853,DATA_PROPERTY_MASTER!$A$5:$A$21,0))="Yes",FALSE),IFERROR(INDEX(INDIRECT("'"&amp;$C2853&amp;"'!$E$61:$Y$61"),1,MATCH($D2853,INDIRECT("'"&amp;$C2853&amp;"'!$E$12:$Y$12"),0)),0),0)</f>
        <v>0</v>
      </c>
      <c r="I2853" s="366" t="s">
        <v>1690</v>
      </c>
      <c r="J2853" s="348" t="str">
        <f t="shared" ca="1" si="88"/>
        <v>OK</v>
      </c>
      <c r="K2853" s="366" t="s">
        <v>1723</v>
      </c>
      <c r="L2853" s="366" t="s">
        <v>2252</v>
      </c>
      <c r="M2853" s="350" t="str">
        <f>IF($B2853="Portfolio","Portfolio",IFERROR(INDEX(DATA_ASSET_CLASSIFICATION!$B$8:$B$24,MATCH($C2853,DATA_ASSET_CLASSIFICATION!$A$8:$A$24,0)),"Review"))</f>
        <v>Margaret Heights</v>
      </c>
      <c r="N2853" s="350" t="str">
        <f ca="1">IF($B2853="Portfolio","Portfolio",IFERROR(INDEX(DATA_ASSET_CLASSIFICATION!$U$8:$U$24,MATCH($C2853,DATA_ASSET_CLASSIFICATION!$A$8:$A$24,0)),"Review"))</f>
        <v>Refi Watch</v>
      </c>
      <c r="O2853" s="350" t="str">
        <f ca="1">IF($B2853="Portfolio","Portfolio",IFERROR(INDEX(DATA_ASSET_CLASSIFICATION!$AB$8:$AB$13,MATCH($N2853,DATA_ASSET_CLASSIFICATION!$AA$8:$AA$13,0)),"Review"))</f>
        <v>Bucket 2 · Legacy</v>
      </c>
      <c r="P2853" s="350" t="str">
        <f>IF($B2853="Portfolio","Portfolio",IFERROR(INDEX(DATA_ASSET_CLASSIFICATION!$C$8:$C$24,MATCH($C2853,DATA_ASSET_CLASSIFICATION!$A$8:$A$24,0)),"Review"))</f>
        <v>Yes</v>
      </c>
      <c r="Q2853" s="350" t="str">
        <f t="shared" ca="1" si="89"/>
        <v>OK</v>
      </c>
    </row>
    <row r="2854" spans="1:17">
      <c r="A2854" s="366" t="s">
        <v>4810</v>
      </c>
      <c r="B2854" s="366" t="s">
        <v>231</v>
      </c>
      <c r="C2854" s="348" t="str">
        <f>DATA_PROPERTY_MASTER!$A$13</f>
        <v>BLD_MH</v>
      </c>
      <c r="D2854" s="380">
        <f>'00_PORTFOLIO ROLLUP'!S$12</f>
        <v>2039</v>
      </c>
      <c r="E2854" s="366" t="s">
        <v>1721</v>
      </c>
      <c r="F2854" s="366" t="s">
        <v>33</v>
      </c>
      <c r="G2854" s="348" t="str">
        <f>"'"&amp;$C2854&amp;"'!$E$62:$Y$62"</f>
        <v>'BLD_MH'!$E$62:$Y$62</v>
      </c>
      <c r="H2854" s="381">
        <f ca="1">IF(IFERROR(INDEX(DATA_PROPERTY_MASTER!$E$5:$E$21,MATCH($C2854,DATA_PROPERTY_MASTER!$A$5:$A$21,0))="Yes",FALSE),IFERROR(INDEX(INDIRECT("'"&amp;$C2854&amp;"'!$E$62:$Y$62"),1,MATCH($D2854,INDIRECT("'"&amp;$C2854&amp;"'!$E$12:$Y$12"),0)),0),0)</f>
        <v>0</v>
      </c>
      <c r="I2854" s="366" t="s">
        <v>1685</v>
      </c>
      <c r="J2854" s="348" t="str">
        <f t="shared" ca="1" si="88"/>
        <v>OK</v>
      </c>
      <c r="K2854" s="366" t="s">
        <v>1727</v>
      </c>
      <c r="L2854" s="366" t="s">
        <v>2254</v>
      </c>
      <c r="M2854" s="350" t="str">
        <f>IF($B2854="Portfolio","Portfolio",IFERROR(INDEX(DATA_ASSET_CLASSIFICATION!$B$8:$B$24,MATCH($C2854,DATA_ASSET_CLASSIFICATION!$A$8:$A$24,0)),"Review"))</f>
        <v>Margaret Heights</v>
      </c>
      <c r="N2854" s="350" t="str">
        <f ca="1">IF($B2854="Portfolio","Portfolio",IFERROR(INDEX(DATA_ASSET_CLASSIFICATION!$U$8:$U$24,MATCH($C2854,DATA_ASSET_CLASSIFICATION!$A$8:$A$24,0)),"Review"))</f>
        <v>Refi Watch</v>
      </c>
      <c r="O2854" s="350" t="str">
        <f ca="1">IF($B2854="Portfolio","Portfolio",IFERROR(INDEX(DATA_ASSET_CLASSIFICATION!$AB$8:$AB$13,MATCH($N2854,DATA_ASSET_CLASSIFICATION!$AA$8:$AA$13,0)),"Review"))</f>
        <v>Bucket 2 · Legacy</v>
      </c>
      <c r="P2854" s="350" t="str">
        <f>IF($B2854="Portfolio","Portfolio",IFERROR(INDEX(DATA_ASSET_CLASSIFICATION!$C$8:$C$24,MATCH($C2854,DATA_ASSET_CLASSIFICATION!$A$8:$A$24,0)),"Review"))</f>
        <v>Yes</v>
      </c>
      <c r="Q2854" s="350" t="str">
        <f t="shared" ca="1" si="89"/>
        <v>OK</v>
      </c>
    </row>
    <row r="2855" spans="1:17">
      <c r="A2855" s="366" t="s">
        <v>4811</v>
      </c>
      <c r="B2855" s="366" t="s">
        <v>231</v>
      </c>
      <c r="C2855" s="348" t="str">
        <f>DATA_PROPERTY_MASTER!$A$13</f>
        <v>BLD_MH</v>
      </c>
      <c r="D2855" s="380">
        <f>'00_PORTFOLIO ROLLUP'!S$12</f>
        <v>2039</v>
      </c>
      <c r="E2855" s="366" t="s">
        <v>1721</v>
      </c>
      <c r="F2855" s="366" t="s">
        <v>35</v>
      </c>
      <c r="G2855" s="348" t="str">
        <f>"'"&amp;$C2855&amp;"'!$E$63:$Y$63"</f>
        <v>'BLD_MH'!$E$63:$Y$63</v>
      </c>
      <c r="H2855" s="381">
        <f ca="1">IF(IFERROR(INDEX(DATA_PROPERTY_MASTER!$E$5:$E$21,MATCH($C2855,DATA_PROPERTY_MASTER!$A$5:$A$21,0))="Yes",FALSE),IFERROR(INDEX(INDIRECT("'"&amp;$C2855&amp;"'!$E$63:$Y$63"),1,MATCH($D2855,INDIRECT("'"&amp;$C2855&amp;"'!$E$12:$Y$12"),0)),0),0)</f>
        <v>0</v>
      </c>
      <c r="I2855" s="366" t="s">
        <v>1731</v>
      </c>
      <c r="J2855" s="348" t="str">
        <f t="shared" ca="1" si="88"/>
        <v>OK</v>
      </c>
      <c r="K2855" s="366" t="s">
        <v>1732</v>
      </c>
      <c r="L2855" s="366" t="s">
        <v>2256</v>
      </c>
      <c r="M2855" s="350" t="str">
        <f>IF($B2855="Portfolio","Portfolio",IFERROR(INDEX(DATA_ASSET_CLASSIFICATION!$B$8:$B$24,MATCH($C2855,DATA_ASSET_CLASSIFICATION!$A$8:$A$24,0)),"Review"))</f>
        <v>Margaret Heights</v>
      </c>
      <c r="N2855" s="350" t="str">
        <f ca="1">IF($B2855="Portfolio","Portfolio",IFERROR(INDEX(DATA_ASSET_CLASSIFICATION!$U$8:$U$24,MATCH($C2855,DATA_ASSET_CLASSIFICATION!$A$8:$A$24,0)),"Review"))</f>
        <v>Refi Watch</v>
      </c>
      <c r="O2855" s="350" t="str">
        <f ca="1">IF($B2855="Portfolio","Portfolio",IFERROR(INDEX(DATA_ASSET_CLASSIFICATION!$AB$8:$AB$13,MATCH($N2855,DATA_ASSET_CLASSIFICATION!$AA$8:$AA$13,0)),"Review"))</f>
        <v>Bucket 2 · Legacy</v>
      </c>
      <c r="P2855" s="350" t="str">
        <f>IF($B2855="Portfolio","Portfolio",IFERROR(INDEX(DATA_ASSET_CLASSIFICATION!$C$8:$C$24,MATCH($C2855,DATA_ASSET_CLASSIFICATION!$A$8:$A$24,0)),"Review"))</f>
        <v>Yes</v>
      </c>
      <c r="Q2855" s="350" t="str">
        <f t="shared" ca="1" si="89"/>
        <v>OK</v>
      </c>
    </row>
    <row r="2856" spans="1:17">
      <c r="A2856" s="366" t="s">
        <v>4812</v>
      </c>
      <c r="B2856" s="366" t="s">
        <v>231</v>
      </c>
      <c r="C2856" s="348" t="str">
        <f>DATA_PROPERTY_MASTER!$A$13</f>
        <v>BLD_MH</v>
      </c>
      <c r="D2856" s="380">
        <f>'00_PORTFOLIO ROLLUP'!S$12</f>
        <v>2039</v>
      </c>
      <c r="E2856" s="366" t="s">
        <v>1721</v>
      </c>
      <c r="F2856" s="366" t="s">
        <v>37</v>
      </c>
      <c r="G2856" s="348" t="str">
        <f>"'"&amp;$C2856&amp;"'!$E$63:$Y$63"</f>
        <v>'BLD_MH'!$E$63:$Y$63</v>
      </c>
      <c r="H2856" s="381">
        <f ca="1">IF(IFERROR(INDEX(DATA_PROPERTY_MASTER!$E$5:$E$21,MATCH($C2856,DATA_PROPERTY_MASTER!$A$5:$A$21,0))="Yes",FALSE),MAX(IFERROR(INDEX(INDIRECT("'"&amp;$C2856&amp;"'!$E$63:$Y$63"),1,MATCH($D2856,INDIRECT("'"&amp;$C2856&amp;"'!$E$12:$Y$12"),0)),0),0),0)</f>
        <v>0</v>
      </c>
      <c r="I2856" s="366" t="s">
        <v>1685</v>
      </c>
      <c r="J2856" s="348" t="str">
        <f t="shared" ca="1" si="88"/>
        <v>OK</v>
      </c>
      <c r="K2856" s="366" t="s">
        <v>1735</v>
      </c>
      <c r="L2856" s="366" t="s">
        <v>2258</v>
      </c>
      <c r="M2856" s="350" t="str">
        <f>IF($B2856="Portfolio","Portfolio",IFERROR(INDEX(DATA_ASSET_CLASSIFICATION!$B$8:$B$24,MATCH($C2856,DATA_ASSET_CLASSIFICATION!$A$8:$A$24,0)),"Review"))</f>
        <v>Margaret Heights</v>
      </c>
      <c r="N2856" s="350" t="str">
        <f ca="1">IF($B2856="Portfolio","Portfolio",IFERROR(INDEX(DATA_ASSET_CLASSIFICATION!$U$8:$U$24,MATCH($C2856,DATA_ASSET_CLASSIFICATION!$A$8:$A$24,0)),"Review"))</f>
        <v>Refi Watch</v>
      </c>
      <c r="O2856" s="350" t="str">
        <f ca="1">IF($B2856="Portfolio","Portfolio",IFERROR(INDEX(DATA_ASSET_CLASSIFICATION!$AB$8:$AB$13,MATCH($N2856,DATA_ASSET_CLASSIFICATION!$AA$8:$AA$13,0)),"Review"))</f>
        <v>Bucket 2 · Legacy</v>
      </c>
      <c r="P2856" s="350" t="str">
        <f>IF($B2856="Portfolio","Portfolio",IFERROR(INDEX(DATA_ASSET_CLASSIFICATION!$C$8:$C$24,MATCH($C2856,DATA_ASSET_CLASSIFICATION!$A$8:$A$24,0)),"Review"))</f>
        <v>Yes</v>
      </c>
      <c r="Q2856" s="350" t="str">
        <f t="shared" ca="1" si="89"/>
        <v>OK</v>
      </c>
    </row>
    <row r="2857" spans="1:17">
      <c r="A2857" s="366" t="s">
        <v>4813</v>
      </c>
      <c r="B2857" s="366" t="s">
        <v>231</v>
      </c>
      <c r="C2857" s="348" t="str">
        <f>DATA_PROPERTY_MASTER!$A$13</f>
        <v>BLD_MH</v>
      </c>
      <c r="D2857" s="380">
        <f>'00_PORTFOLIO ROLLUP'!S$12</f>
        <v>2039</v>
      </c>
      <c r="E2857" s="366" t="s">
        <v>1721</v>
      </c>
      <c r="F2857" s="366" t="s">
        <v>39</v>
      </c>
      <c r="G2857" s="348" t="str">
        <f>"'"&amp;$C2857&amp;"'!$E$63:$Y$63"</f>
        <v>'BLD_MH'!$E$63:$Y$63</v>
      </c>
      <c r="H2857" s="381">
        <f ca="1">IF(IFERROR(INDEX(DATA_PROPERTY_MASTER!$E$5:$E$21,MATCH($C2857,DATA_PROPERTY_MASTER!$A$5:$A$21,0))="Yes",FALSE),MAX(-IFERROR(INDEX(INDIRECT("'"&amp;$C2857&amp;"'!$E$63:$Y$63"),1,MATCH($D2857,INDIRECT("'"&amp;$C2857&amp;"'!$E$12:$Y$12"),0)),0),0),0)</f>
        <v>0</v>
      </c>
      <c r="I2857" s="366" t="s">
        <v>1690</v>
      </c>
      <c r="J2857" s="348" t="str">
        <f t="shared" ca="1" si="88"/>
        <v>OK</v>
      </c>
      <c r="K2857" s="366" t="s">
        <v>1738</v>
      </c>
      <c r="L2857" s="366" t="s">
        <v>2260</v>
      </c>
      <c r="M2857" s="350" t="str">
        <f>IF($B2857="Portfolio","Portfolio",IFERROR(INDEX(DATA_ASSET_CLASSIFICATION!$B$8:$B$24,MATCH($C2857,DATA_ASSET_CLASSIFICATION!$A$8:$A$24,0)),"Review"))</f>
        <v>Margaret Heights</v>
      </c>
      <c r="N2857" s="350" t="str">
        <f ca="1">IF($B2857="Portfolio","Portfolio",IFERROR(INDEX(DATA_ASSET_CLASSIFICATION!$U$8:$U$24,MATCH($C2857,DATA_ASSET_CLASSIFICATION!$A$8:$A$24,0)),"Review"))</f>
        <v>Refi Watch</v>
      </c>
      <c r="O2857" s="350" t="str">
        <f ca="1">IF($B2857="Portfolio","Portfolio",IFERROR(INDEX(DATA_ASSET_CLASSIFICATION!$AB$8:$AB$13,MATCH($N2857,DATA_ASSET_CLASSIFICATION!$AA$8:$AA$13,0)),"Review"))</f>
        <v>Bucket 2 · Legacy</v>
      </c>
      <c r="P2857" s="350" t="str">
        <f>IF($B2857="Portfolio","Portfolio",IFERROR(INDEX(DATA_ASSET_CLASSIFICATION!$C$8:$C$24,MATCH($C2857,DATA_ASSET_CLASSIFICATION!$A$8:$A$24,0)),"Review"))</f>
        <v>Yes</v>
      </c>
      <c r="Q2857" s="350" t="str">
        <f t="shared" ca="1" si="89"/>
        <v>OK</v>
      </c>
    </row>
    <row r="2858" spans="1:17">
      <c r="A2858" s="366" t="s">
        <v>4814</v>
      </c>
      <c r="B2858" s="366" t="s">
        <v>231</v>
      </c>
      <c r="C2858" s="348" t="str">
        <f>DATA_PROPERTY_MASTER!$A$13</f>
        <v>BLD_MH</v>
      </c>
      <c r="D2858" s="380">
        <f>'00_PORTFOLIO ROLLUP'!S$12</f>
        <v>2039</v>
      </c>
      <c r="E2858" s="366" t="s">
        <v>1741</v>
      </c>
      <c r="F2858" s="366" t="s">
        <v>41</v>
      </c>
      <c r="G2858" s="348" t="str">
        <f>"'"&amp;$C2858&amp;"'!rows 56 + positive row 63"</f>
        <v>'BLD_MH'!rows 56 + positive row 63</v>
      </c>
      <c r="H2858" s="381">
        <f ca="1">IF(IFERROR(INDEX(DATA_PROPERTY_MASTER!$E$5:$E$21,MATCH($C2858,DATA_PROPERTY_MASTER!$A$5:$A$21,0))="Yes",FALSE),IFERROR(INDEX(INDIRECT("'"&amp;$C2858&amp;"'!$E$56:$Y$56"),1,MATCH($D2858,INDIRECT("'"&amp;$C2858&amp;"'!$E$12:$Y$12"),0)),0)+MAX(IFERROR(INDEX(INDIRECT("'"&amp;$C2858&amp;"'!$E$63:$Y$63"),1,MATCH($D2858,INDIRECT("'"&amp;$C2858&amp;"'!$E$12:$Y$12"),0)),0),0),0)</f>
        <v>89637.439414082619</v>
      </c>
      <c r="I2858" s="366" t="s">
        <v>1685</v>
      </c>
      <c r="J2858" s="348" t="str">
        <f t="shared" ca="1" si="88"/>
        <v>OK</v>
      </c>
      <c r="K2858" s="366" t="s">
        <v>1742</v>
      </c>
      <c r="L2858" s="366" t="s">
        <v>2262</v>
      </c>
      <c r="M2858" s="350" t="str">
        <f>IF($B2858="Portfolio","Portfolio",IFERROR(INDEX(DATA_ASSET_CLASSIFICATION!$B$8:$B$24,MATCH($C2858,DATA_ASSET_CLASSIFICATION!$A$8:$A$24,0)),"Review"))</f>
        <v>Margaret Heights</v>
      </c>
      <c r="N2858" s="350" t="str">
        <f ca="1">IF($B2858="Portfolio","Portfolio",IFERROR(INDEX(DATA_ASSET_CLASSIFICATION!$U$8:$U$24,MATCH($C2858,DATA_ASSET_CLASSIFICATION!$A$8:$A$24,0)),"Review"))</f>
        <v>Refi Watch</v>
      </c>
      <c r="O2858" s="350" t="str">
        <f ca="1">IF($B2858="Portfolio","Portfolio",IFERROR(INDEX(DATA_ASSET_CLASSIFICATION!$AB$8:$AB$13,MATCH($N2858,DATA_ASSET_CLASSIFICATION!$AA$8:$AA$13,0)),"Review"))</f>
        <v>Bucket 2 · Legacy</v>
      </c>
      <c r="P2858" s="350" t="str">
        <f>IF($B2858="Portfolio","Portfolio",IFERROR(INDEX(DATA_ASSET_CLASSIFICATION!$C$8:$C$24,MATCH($C2858,DATA_ASSET_CLASSIFICATION!$A$8:$A$24,0)),"Review"))</f>
        <v>Yes</v>
      </c>
      <c r="Q2858" s="350" t="str">
        <f t="shared" ca="1" si="89"/>
        <v>OK</v>
      </c>
    </row>
    <row r="2859" spans="1:17">
      <c r="A2859" s="366" t="s">
        <v>4815</v>
      </c>
      <c r="B2859" s="366" t="s">
        <v>231</v>
      </c>
      <c r="C2859" s="348" t="str">
        <f>DATA_PROPERTY_MASTER!$A$13</f>
        <v>BLD_MH</v>
      </c>
      <c r="D2859" s="380">
        <f>'00_PORTFOLIO ROLLUP'!S$12</f>
        <v>2039</v>
      </c>
      <c r="E2859" s="366" t="s">
        <v>1741</v>
      </c>
      <c r="F2859" s="366" t="s">
        <v>43</v>
      </c>
      <c r="G2859" s="348" t="str">
        <f>"'"&amp;$C2859&amp;"'!$E$68:$Y$68"</f>
        <v>'BLD_MH'!$E$68:$Y$68</v>
      </c>
      <c r="H2859" s="381">
        <f ca="1">IF(IFERROR(INDEX(DATA_PROPERTY_MASTER!$E$5:$E$21,MATCH($C2859,DATA_PROPERTY_MASTER!$A$5:$A$21,0))="Yes",FALSE),IFERROR(INDEX(INDIRECT("'"&amp;$C2859&amp;"'!$E$68:$Y$68"),1,MATCH($D2859,INDIRECT("'"&amp;$C2859&amp;"'!$E$12:$Y$12"),0)),0),0)</f>
        <v>89637.439414082619</v>
      </c>
      <c r="I2859" s="366" t="s">
        <v>1731</v>
      </c>
      <c r="J2859" s="348" t="str">
        <f t="shared" ca="1" si="88"/>
        <v>OK</v>
      </c>
      <c r="K2859" s="366" t="s">
        <v>1746</v>
      </c>
      <c r="L2859" s="366" t="s">
        <v>2264</v>
      </c>
      <c r="M2859" s="350" t="str">
        <f>IF($B2859="Portfolio","Portfolio",IFERROR(INDEX(DATA_ASSET_CLASSIFICATION!$B$8:$B$24,MATCH($C2859,DATA_ASSET_CLASSIFICATION!$A$8:$A$24,0)),"Review"))</f>
        <v>Margaret Heights</v>
      </c>
      <c r="N2859" s="350" t="str">
        <f ca="1">IF($B2859="Portfolio","Portfolio",IFERROR(INDEX(DATA_ASSET_CLASSIFICATION!$U$8:$U$24,MATCH($C2859,DATA_ASSET_CLASSIFICATION!$A$8:$A$24,0)),"Review"))</f>
        <v>Refi Watch</v>
      </c>
      <c r="O2859" s="350" t="str">
        <f ca="1">IF($B2859="Portfolio","Portfolio",IFERROR(INDEX(DATA_ASSET_CLASSIFICATION!$AB$8:$AB$13,MATCH($N2859,DATA_ASSET_CLASSIFICATION!$AA$8:$AA$13,0)),"Review"))</f>
        <v>Bucket 2 · Legacy</v>
      </c>
      <c r="P2859" s="350" t="str">
        <f>IF($B2859="Portfolio","Portfolio",IFERROR(INDEX(DATA_ASSET_CLASSIFICATION!$C$8:$C$24,MATCH($C2859,DATA_ASSET_CLASSIFICATION!$A$8:$A$24,0)),"Review"))</f>
        <v>Yes</v>
      </c>
      <c r="Q2859" s="350" t="str">
        <f t="shared" ca="1" si="89"/>
        <v>OK</v>
      </c>
    </row>
    <row r="2860" spans="1:17">
      <c r="A2860" s="366" t="s">
        <v>4816</v>
      </c>
      <c r="B2860" s="366" t="s">
        <v>231</v>
      </c>
      <c r="C2860" s="348" t="str">
        <f>DATA_PROPERTY_MASTER!$A$13</f>
        <v>BLD_MH</v>
      </c>
      <c r="D2860" s="380">
        <f>'00_PORTFOLIO ROLLUP'!S$12</f>
        <v>2039</v>
      </c>
      <c r="E2860" s="366" t="s">
        <v>1741</v>
      </c>
      <c r="F2860" s="366" t="s">
        <v>1749</v>
      </c>
      <c r="G2860" s="348" t="str">
        <f>"'"&amp;$C2860&amp;"'!rows 56, 63, 68"</f>
        <v>'BLD_MH'!rows 56, 63, 68</v>
      </c>
      <c r="H2860" s="381">
        <f ca="1">IF(IFERROR(INDEX(DATA_PROPERTY_MASTER!$E$5:$E$21,MATCH($C2860,DATA_PROPERTY_MASTER!$A$5:$A$21,0))="Yes",FALSE),(IFERROR(INDEX(INDIRECT("'"&amp;$C2860&amp;"'!$E$56:$Y$56"),1,MATCH($D2860,INDIRECT("'"&amp;$C2860&amp;"'!$E$12:$Y$12"),0)),0)+MAX(IFERROR(INDEX(INDIRECT("'"&amp;$C2860&amp;"'!$E$63:$Y$63"),1,MATCH($D2860,INDIRECT("'"&amp;$C2860&amp;"'!$E$12:$Y$12"),0)),0),0))-(IFERROR(INDEX(INDIRECT("'"&amp;$C2860&amp;"'!$E$68:$Y$68"),1,MATCH($D2860,INDIRECT("'"&amp;$C2860&amp;"'!$E$12:$Y$12"),0)),0)),0)</f>
        <v>0</v>
      </c>
      <c r="I2860" s="366" t="s">
        <v>1750</v>
      </c>
      <c r="J2860" s="348" t="str">
        <f t="shared" ca="1" si="88"/>
        <v>OK</v>
      </c>
      <c r="K2860" s="366" t="s">
        <v>1751</v>
      </c>
      <c r="L2860" s="366" t="s">
        <v>2266</v>
      </c>
      <c r="M2860" s="350" t="str">
        <f>IF($B2860="Portfolio","Portfolio",IFERROR(INDEX(DATA_ASSET_CLASSIFICATION!$B$8:$B$24,MATCH($C2860,DATA_ASSET_CLASSIFICATION!$A$8:$A$24,0)),"Review"))</f>
        <v>Margaret Heights</v>
      </c>
      <c r="N2860" s="350" t="str">
        <f ca="1">IF($B2860="Portfolio","Portfolio",IFERROR(INDEX(DATA_ASSET_CLASSIFICATION!$U$8:$U$24,MATCH($C2860,DATA_ASSET_CLASSIFICATION!$A$8:$A$24,0)),"Review"))</f>
        <v>Refi Watch</v>
      </c>
      <c r="O2860" s="350" t="str">
        <f ca="1">IF($B2860="Portfolio","Portfolio",IFERROR(INDEX(DATA_ASSET_CLASSIFICATION!$AB$8:$AB$13,MATCH($N2860,DATA_ASSET_CLASSIFICATION!$AA$8:$AA$13,0)),"Review"))</f>
        <v>Bucket 2 · Legacy</v>
      </c>
      <c r="P2860" s="350" t="str">
        <f>IF($B2860="Portfolio","Portfolio",IFERROR(INDEX(DATA_ASSET_CLASSIFICATION!$C$8:$C$24,MATCH($C2860,DATA_ASSET_CLASSIFICATION!$A$8:$A$24,0)),"Review"))</f>
        <v>Yes</v>
      </c>
      <c r="Q2860" s="350" t="str">
        <f t="shared" ca="1" si="89"/>
        <v>OK</v>
      </c>
    </row>
    <row r="2861" spans="1:17">
      <c r="A2861" s="366" t="s">
        <v>4817</v>
      </c>
      <c r="B2861" s="366" t="s">
        <v>231</v>
      </c>
      <c r="C2861" s="348" t="str">
        <f>DATA_PROPERTY_MASTER!$A$13</f>
        <v>BLD_MH</v>
      </c>
      <c r="D2861" s="380">
        <f>'00_PORTFOLIO ROLLUP'!T$12</f>
        <v>2040</v>
      </c>
      <c r="E2861" s="366" t="s">
        <v>1683</v>
      </c>
      <c r="F2861" s="366" t="s">
        <v>341</v>
      </c>
      <c r="G2861" s="348" t="str">
        <f>"'"&amp;$C2861&amp;"'!$E$24:$Y$24"</f>
        <v>'BLD_MH'!$E$24:$Y$24</v>
      </c>
      <c r="H2861" s="381">
        <f ca="1">IF(IFERROR(INDEX(DATA_PROPERTY_MASTER!$E$5:$E$21,MATCH($C2861,DATA_PROPERTY_MASTER!$A$5:$A$21,0))="Yes",FALSE),IFERROR(INDEX(INDIRECT("'"&amp;$C2861&amp;"'!$E$24:$Y$24"),1,MATCH($D2861,INDIRECT("'"&amp;$C2861&amp;"'!$E$12:$Y$12"),0)),0),0)</f>
        <v>531258.67909253866</v>
      </c>
      <c r="I2861" s="366" t="s">
        <v>1685</v>
      </c>
      <c r="J2861" s="348" t="str">
        <f t="shared" ca="1" si="88"/>
        <v>OK</v>
      </c>
      <c r="K2861" s="366" t="s">
        <v>1686</v>
      </c>
      <c r="L2861" s="366" t="s">
        <v>2234</v>
      </c>
      <c r="M2861" s="350" t="str">
        <f>IF($B2861="Portfolio","Portfolio",IFERROR(INDEX(DATA_ASSET_CLASSIFICATION!$B$8:$B$24,MATCH($C2861,DATA_ASSET_CLASSIFICATION!$A$8:$A$24,0)),"Review"))</f>
        <v>Margaret Heights</v>
      </c>
      <c r="N2861" s="350" t="str">
        <f ca="1">IF($B2861="Portfolio","Portfolio",IFERROR(INDEX(DATA_ASSET_CLASSIFICATION!$U$8:$U$24,MATCH($C2861,DATA_ASSET_CLASSIFICATION!$A$8:$A$24,0)),"Review"))</f>
        <v>Refi Watch</v>
      </c>
      <c r="O2861" s="350" t="str">
        <f ca="1">IF($B2861="Portfolio","Portfolio",IFERROR(INDEX(DATA_ASSET_CLASSIFICATION!$AB$8:$AB$13,MATCH($N2861,DATA_ASSET_CLASSIFICATION!$AA$8:$AA$13,0)),"Review"))</f>
        <v>Bucket 2 · Legacy</v>
      </c>
      <c r="P2861" s="350" t="str">
        <f>IF($B2861="Portfolio","Portfolio",IFERROR(INDEX(DATA_ASSET_CLASSIFICATION!$C$8:$C$24,MATCH($C2861,DATA_ASSET_CLASSIFICATION!$A$8:$A$24,0)),"Review"))</f>
        <v>Yes</v>
      </c>
      <c r="Q2861" s="350" t="str">
        <f t="shared" ca="1" si="89"/>
        <v>OK</v>
      </c>
    </row>
    <row r="2862" spans="1:17">
      <c r="A2862" s="366" t="s">
        <v>4818</v>
      </c>
      <c r="B2862" s="366" t="s">
        <v>231</v>
      </c>
      <c r="C2862" s="348" t="str">
        <f>DATA_PROPERTY_MASTER!$A$13</f>
        <v>BLD_MH</v>
      </c>
      <c r="D2862" s="380">
        <f>'00_PORTFOLIO ROLLUP'!T$12</f>
        <v>2040</v>
      </c>
      <c r="E2862" s="366" t="s">
        <v>1683</v>
      </c>
      <c r="F2862" s="366" t="s">
        <v>355</v>
      </c>
      <c r="G2862" s="348" t="str">
        <f>"'"&amp;$C2862&amp;"'!$E$39:$Y$39"</f>
        <v>'BLD_MH'!$E$39:$Y$39</v>
      </c>
      <c r="H2862" s="381">
        <f ca="1">IF(IFERROR(INDEX(DATA_PROPERTY_MASTER!$E$5:$E$21,MATCH($C2862,DATA_PROPERTY_MASTER!$A$5:$A$21,0))="Yes",FALSE),IFERROR(INDEX(INDIRECT("'"&amp;$C2862&amp;"'!$E$39:$Y$39"),1,MATCH($D2862,INDIRECT("'"&amp;$C2862&amp;"'!$E$12:$Y$12"),0)),0),0)</f>
        <v>304166.9498051902</v>
      </c>
      <c r="I2862" s="366" t="s">
        <v>1690</v>
      </c>
      <c r="J2862" s="348" t="str">
        <f t="shared" ca="1" si="88"/>
        <v>OK</v>
      </c>
      <c r="K2862" s="366" t="s">
        <v>1686</v>
      </c>
      <c r="L2862" s="366" t="s">
        <v>2236</v>
      </c>
      <c r="M2862" s="350" t="str">
        <f>IF($B2862="Portfolio","Portfolio",IFERROR(INDEX(DATA_ASSET_CLASSIFICATION!$B$8:$B$24,MATCH($C2862,DATA_ASSET_CLASSIFICATION!$A$8:$A$24,0)),"Review"))</f>
        <v>Margaret Heights</v>
      </c>
      <c r="N2862" s="350" t="str">
        <f ca="1">IF($B2862="Portfolio","Portfolio",IFERROR(INDEX(DATA_ASSET_CLASSIFICATION!$U$8:$U$24,MATCH($C2862,DATA_ASSET_CLASSIFICATION!$A$8:$A$24,0)),"Review"))</f>
        <v>Refi Watch</v>
      </c>
      <c r="O2862" s="350" t="str">
        <f ca="1">IF($B2862="Portfolio","Portfolio",IFERROR(INDEX(DATA_ASSET_CLASSIFICATION!$AB$8:$AB$13,MATCH($N2862,DATA_ASSET_CLASSIFICATION!$AA$8:$AA$13,0)),"Review"))</f>
        <v>Bucket 2 · Legacy</v>
      </c>
      <c r="P2862" s="350" t="str">
        <f>IF($B2862="Portfolio","Portfolio",IFERROR(INDEX(DATA_ASSET_CLASSIFICATION!$C$8:$C$24,MATCH($C2862,DATA_ASSET_CLASSIFICATION!$A$8:$A$24,0)),"Review"))</f>
        <v>Yes</v>
      </c>
      <c r="Q2862" s="350" t="str">
        <f t="shared" ca="1" si="89"/>
        <v>OK</v>
      </c>
    </row>
    <row r="2863" spans="1:17">
      <c r="A2863" s="366" t="s">
        <v>4819</v>
      </c>
      <c r="B2863" s="366" t="s">
        <v>231</v>
      </c>
      <c r="C2863" s="348" t="str">
        <f>DATA_PROPERTY_MASTER!$A$13</f>
        <v>BLD_MH</v>
      </c>
      <c r="D2863" s="380">
        <f>'00_PORTFOLIO ROLLUP'!T$12</f>
        <v>2040</v>
      </c>
      <c r="E2863" s="366" t="s">
        <v>1683</v>
      </c>
      <c r="F2863" s="366" t="s">
        <v>19</v>
      </c>
      <c r="G2863" s="348" t="str">
        <f>"'"&amp;$C2863&amp;"'!$E$41:$Y$41"</f>
        <v>'BLD_MH'!$E$41:$Y$41</v>
      </c>
      <c r="H2863" s="381">
        <f ca="1">IF(IFERROR(INDEX(DATA_PROPERTY_MASTER!$E$5:$E$21,MATCH($C2863,DATA_PROPERTY_MASTER!$A$5:$A$21,0))="Yes",FALSE),IFERROR(INDEX(INDIRECT("'"&amp;$C2863&amp;"'!$E$41:$Y$41"),1,MATCH($D2863,INDIRECT("'"&amp;$C2863&amp;"'!$E$12:$Y$12"),0)),0),0)</f>
        <v>227091.72928734845</v>
      </c>
      <c r="I2863" s="366" t="s">
        <v>1685</v>
      </c>
      <c r="J2863" s="348" t="str">
        <f t="shared" ca="1" si="88"/>
        <v>OK</v>
      </c>
      <c r="K2863" s="366" t="s">
        <v>1694</v>
      </c>
      <c r="L2863" s="366" t="s">
        <v>2238</v>
      </c>
      <c r="M2863" s="350" t="str">
        <f>IF($B2863="Portfolio","Portfolio",IFERROR(INDEX(DATA_ASSET_CLASSIFICATION!$B$8:$B$24,MATCH($C2863,DATA_ASSET_CLASSIFICATION!$A$8:$A$24,0)),"Review"))</f>
        <v>Margaret Heights</v>
      </c>
      <c r="N2863" s="350" t="str">
        <f ca="1">IF($B2863="Portfolio","Portfolio",IFERROR(INDEX(DATA_ASSET_CLASSIFICATION!$U$8:$U$24,MATCH($C2863,DATA_ASSET_CLASSIFICATION!$A$8:$A$24,0)),"Review"))</f>
        <v>Refi Watch</v>
      </c>
      <c r="O2863" s="350" t="str">
        <f ca="1">IF($B2863="Portfolio","Portfolio",IFERROR(INDEX(DATA_ASSET_CLASSIFICATION!$AB$8:$AB$13,MATCH($N2863,DATA_ASSET_CLASSIFICATION!$AA$8:$AA$13,0)),"Review"))</f>
        <v>Bucket 2 · Legacy</v>
      </c>
      <c r="P2863" s="350" t="str">
        <f>IF($B2863="Portfolio","Portfolio",IFERROR(INDEX(DATA_ASSET_CLASSIFICATION!$C$8:$C$24,MATCH($C2863,DATA_ASSET_CLASSIFICATION!$A$8:$A$24,0)),"Review"))</f>
        <v>Yes</v>
      </c>
      <c r="Q2863" s="350" t="str">
        <f t="shared" ca="1" si="89"/>
        <v>OK</v>
      </c>
    </row>
    <row r="2864" spans="1:17">
      <c r="A2864" s="366" t="s">
        <v>4820</v>
      </c>
      <c r="B2864" s="366" t="s">
        <v>231</v>
      </c>
      <c r="C2864" s="348" t="str">
        <f>DATA_PROPERTY_MASTER!$A$13</f>
        <v>BLD_MH</v>
      </c>
      <c r="D2864" s="380">
        <f>'00_PORTFOLIO ROLLUP'!T$12</f>
        <v>2040</v>
      </c>
      <c r="E2864" s="366" t="s">
        <v>1683</v>
      </c>
      <c r="F2864" s="366" t="s">
        <v>1697</v>
      </c>
      <c r="G2864" s="348" t="str">
        <f>"'"&amp;$C2864&amp;"'!$E$44:$Y$44"</f>
        <v>'BLD_MH'!$E$44:$Y$44</v>
      </c>
      <c r="H2864" s="381">
        <f ca="1">IF(IFERROR(INDEX(DATA_PROPERTY_MASTER!$E$5:$E$21,MATCH($C2864,DATA_PROPERTY_MASTER!$A$5:$A$21,0))="Yes",FALSE),IFERROR(INDEX(INDIRECT("'"&amp;$C2864&amp;"'!$E$44:$Y$44"),1,MATCH($D2864,INDIRECT("'"&amp;$C2864&amp;"'!$E$12:$Y$12"),0)),0),0)</f>
        <v>3835.7247642237685</v>
      </c>
      <c r="I2864" s="366" t="s">
        <v>1690</v>
      </c>
      <c r="J2864" s="348" t="str">
        <f t="shared" ca="1" si="88"/>
        <v>OK</v>
      </c>
      <c r="K2864" s="366" t="s">
        <v>1699</v>
      </c>
      <c r="L2864" s="366" t="s">
        <v>2240</v>
      </c>
      <c r="M2864" s="350" t="str">
        <f>IF($B2864="Portfolio","Portfolio",IFERROR(INDEX(DATA_ASSET_CLASSIFICATION!$B$8:$B$24,MATCH($C2864,DATA_ASSET_CLASSIFICATION!$A$8:$A$24,0)),"Review"))</f>
        <v>Margaret Heights</v>
      </c>
      <c r="N2864" s="350" t="str">
        <f ca="1">IF($B2864="Portfolio","Portfolio",IFERROR(INDEX(DATA_ASSET_CLASSIFICATION!$U$8:$U$24,MATCH($C2864,DATA_ASSET_CLASSIFICATION!$A$8:$A$24,0)),"Review"))</f>
        <v>Refi Watch</v>
      </c>
      <c r="O2864" s="350" t="str">
        <f ca="1">IF($B2864="Portfolio","Portfolio",IFERROR(INDEX(DATA_ASSET_CLASSIFICATION!$AB$8:$AB$13,MATCH($N2864,DATA_ASSET_CLASSIFICATION!$AA$8:$AA$13,0)),"Review"))</f>
        <v>Bucket 2 · Legacy</v>
      </c>
      <c r="P2864" s="350" t="str">
        <f>IF($B2864="Portfolio","Portfolio",IFERROR(INDEX(DATA_ASSET_CLASSIFICATION!$C$8:$C$24,MATCH($C2864,DATA_ASSET_CLASSIFICATION!$A$8:$A$24,0)),"Review"))</f>
        <v>Yes</v>
      </c>
      <c r="Q2864" s="350" t="str">
        <f t="shared" ca="1" si="89"/>
        <v>OK</v>
      </c>
    </row>
    <row r="2865" spans="1:17">
      <c r="A2865" s="366" t="s">
        <v>4821</v>
      </c>
      <c r="B2865" s="366" t="s">
        <v>231</v>
      </c>
      <c r="C2865" s="348" t="str">
        <f>DATA_PROPERTY_MASTER!$A$13</f>
        <v>BLD_MH</v>
      </c>
      <c r="D2865" s="380">
        <f>'00_PORTFOLIO ROLLUP'!T$12</f>
        <v>2040</v>
      </c>
      <c r="E2865" s="366" t="s">
        <v>1683</v>
      </c>
      <c r="F2865" s="366" t="s">
        <v>21</v>
      </c>
      <c r="G2865" s="348" t="str">
        <f>"'"&amp;$C2865&amp;"'!$E$45:$Y$45"</f>
        <v>'BLD_MH'!$E$45:$Y$45</v>
      </c>
      <c r="H2865" s="381">
        <f ca="1">IF(IFERROR(INDEX(DATA_PROPERTY_MASTER!$E$5:$E$21,MATCH($C2865,DATA_PROPERTY_MASTER!$A$5:$A$21,0))="Yes",FALSE),IFERROR(INDEX(INDIRECT("'"&amp;$C2865&amp;"'!$E$45:$Y$45"),1,MATCH($D2865,INDIRECT("'"&amp;$C2865&amp;"'!$E$12:$Y$12"),0)),0),0)</f>
        <v>223256.00452312469</v>
      </c>
      <c r="I2865" s="366" t="s">
        <v>1685</v>
      </c>
      <c r="J2865" s="348" t="str">
        <f t="shared" ca="1" si="88"/>
        <v>OK</v>
      </c>
      <c r="K2865" s="366" t="s">
        <v>1694</v>
      </c>
      <c r="L2865" s="366" t="s">
        <v>2242</v>
      </c>
      <c r="M2865" s="350" t="str">
        <f>IF($B2865="Portfolio","Portfolio",IFERROR(INDEX(DATA_ASSET_CLASSIFICATION!$B$8:$B$24,MATCH($C2865,DATA_ASSET_CLASSIFICATION!$A$8:$A$24,0)),"Review"))</f>
        <v>Margaret Heights</v>
      </c>
      <c r="N2865" s="350" t="str">
        <f ca="1">IF($B2865="Portfolio","Portfolio",IFERROR(INDEX(DATA_ASSET_CLASSIFICATION!$U$8:$U$24,MATCH($C2865,DATA_ASSET_CLASSIFICATION!$A$8:$A$24,0)),"Review"))</f>
        <v>Refi Watch</v>
      </c>
      <c r="O2865" s="350" t="str">
        <f ca="1">IF($B2865="Portfolio","Portfolio",IFERROR(INDEX(DATA_ASSET_CLASSIFICATION!$AB$8:$AB$13,MATCH($N2865,DATA_ASSET_CLASSIFICATION!$AA$8:$AA$13,0)),"Review"))</f>
        <v>Bucket 2 · Legacy</v>
      </c>
      <c r="P2865" s="350" t="str">
        <f>IF($B2865="Portfolio","Portfolio",IFERROR(INDEX(DATA_ASSET_CLASSIFICATION!$C$8:$C$24,MATCH($C2865,DATA_ASSET_CLASSIFICATION!$A$8:$A$24,0)),"Review"))</f>
        <v>Yes</v>
      </c>
      <c r="Q2865" s="350" t="str">
        <f t="shared" ca="1" si="89"/>
        <v>OK</v>
      </c>
    </row>
    <row r="2866" spans="1:17">
      <c r="A2866" s="366" t="s">
        <v>4822</v>
      </c>
      <c r="B2866" s="366" t="s">
        <v>231</v>
      </c>
      <c r="C2866" s="348" t="str">
        <f>DATA_PROPERTY_MASTER!$A$13</f>
        <v>BLD_MH</v>
      </c>
      <c r="D2866" s="380">
        <f>'00_PORTFOLIO ROLLUP'!T$12</f>
        <v>2040</v>
      </c>
      <c r="E2866" s="366" t="s">
        <v>23</v>
      </c>
      <c r="F2866" s="366" t="s">
        <v>23</v>
      </c>
      <c r="G2866" s="348" t="str">
        <f>"'"&amp;$C2866&amp;"'!$E$48:$Y$48"</f>
        <v>'BLD_MH'!$E$48:$Y$48</v>
      </c>
      <c r="H2866" s="381">
        <f ca="1">IF(IFERROR(INDEX(DATA_PROPERTY_MASTER!$E$5:$E$21,MATCH($C2866,DATA_PROPERTY_MASTER!$A$5:$A$21,0))="Yes",FALSE),IFERROR(INDEX(INDIRECT("'"&amp;$C2866&amp;"'!$E$48:$Y$48"),1,MATCH($D2866,INDIRECT("'"&amp;$C2866&amp;"'!$E$12:$Y$12"),0)),0),0)</f>
        <v>0</v>
      </c>
      <c r="I2866" s="366" t="s">
        <v>1690</v>
      </c>
      <c r="J2866" s="348" t="str">
        <f t="shared" ca="1" si="88"/>
        <v>OK</v>
      </c>
      <c r="K2866" s="366" t="s">
        <v>1706</v>
      </c>
      <c r="L2866" s="366" t="s">
        <v>2244</v>
      </c>
      <c r="M2866" s="350" t="str">
        <f>IF($B2866="Portfolio","Portfolio",IFERROR(INDEX(DATA_ASSET_CLASSIFICATION!$B$8:$B$24,MATCH($C2866,DATA_ASSET_CLASSIFICATION!$A$8:$A$24,0)),"Review"))</f>
        <v>Margaret Heights</v>
      </c>
      <c r="N2866" s="350" t="str">
        <f ca="1">IF($B2866="Portfolio","Portfolio",IFERROR(INDEX(DATA_ASSET_CLASSIFICATION!$U$8:$U$24,MATCH($C2866,DATA_ASSET_CLASSIFICATION!$A$8:$A$24,0)),"Review"))</f>
        <v>Refi Watch</v>
      </c>
      <c r="O2866" s="350" t="str">
        <f ca="1">IF($B2866="Portfolio","Portfolio",IFERROR(INDEX(DATA_ASSET_CLASSIFICATION!$AB$8:$AB$13,MATCH($N2866,DATA_ASSET_CLASSIFICATION!$AA$8:$AA$13,0)),"Review"))</f>
        <v>Bucket 2 · Legacy</v>
      </c>
      <c r="P2866" s="350" t="str">
        <f>IF($B2866="Portfolio","Portfolio",IFERROR(INDEX(DATA_ASSET_CLASSIFICATION!$C$8:$C$24,MATCH($C2866,DATA_ASSET_CLASSIFICATION!$A$8:$A$24,0)),"Review"))</f>
        <v>Yes</v>
      </c>
      <c r="Q2866" s="350" t="str">
        <f t="shared" ca="1" si="89"/>
        <v>OK</v>
      </c>
    </row>
    <row r="2867" spans="1:17">
      <c r="A2867" s="366" t="s">
        <v>4823</v>
      </c>
      <c r="B2867" s="366" t="s">
        <v>231</v>
      </c>
      <c r="C2867" s="348" t="str">
        <f>DATA_PROPERTY_MASTER!$A$13</f>
        <v>BLD_MH</v>
      </c>
      <c r="D2867" s="380">
        <f>'00_PORTFOLIO ROLLUP'!T$12</f>
        <v>2040</v>
      </c>
      <c r="E2867" s="366" t="s">
        <v>1683</v>
      </c>
      <c r="F2867" s="366" t="s">
        <v>25</v>
      </c>
      <c r="G2867" s="348" t="str">
        <f>"'"&amp;$C2867&amp;"'!$E$52:$Y$52"</f>
        <v>'BLD_MH'!$E$52:$Y$52</v>
      </c>
      <c r="H2867" s="381">
        <f ca="1">IF(IFERROR(INDEX(DATA_PROPERTY_MASTER!$E$5:$E$21,MATCH($C2867,DATA_PROPERTY_MASTER!$A$5:$A$21,0))="Yes",FALSE),IFERROR(INDEX(INDIRECT("'"&amp;$C2867&amp;"'!$E$52:$Y$52"),1,MATCH($D2867,INDIRECT("'"&amp;$C2867&amp;"'!$E$12:$Y$12"),0)),0),0)</f>
        <v>227091.72928734845</v>
      </c>
      <c r="I2867" s="366" t="s">
        <v>1685</v>
      </c>
      <c r="J2867" s="348" t="str">
        <f t="shared" ca="1" si="88"/>
        <v>OK</v>
      </c>
      <c r="K2867" s="366" t="s">
        <v>1710</v>
      </c>
      <c r="L2867" s="366" t="s">
        <v>2246</v>
      </c>
      <c r="M2867" s="350" t="str">
        <f>IF($B2867="Portfolio","Portfolio",IFERROR(INDEX(DATA_ASSET_CLASSIFICATION!$B$8:$B$24,MATCH($C2867,DATA_ASSET_CLASSIFICATION!$A$8:$A$24,0)),"Review"))</f>
        <v>Margaret Heights</v>
      </c>
      <c r="N2867" s="350" t="str">
        <f ca="1">IF($B2867="Portfolio","Portfolio",IFERROR(INDEX(DATA_ASSET_CLASSIFICATION!$U$8:$U$24,MATCH($C2867,DATA_ASSET_CLASSIFICATION!$A$8:$A$24,0)),"Review"))</f>
        <v>Refi Watch</v>
      </c>
      <c r="O2867" s="350" t="str">
        <f ca="1">IF($B2867="Portfolio","Portfolio",IFERROR(INDEX(DATA_ASSET_CLASSIFICATION!$AB$8:$AB$13,MATCH($N2867,DATA_ASSET_CLASSIFICATION!$AA$8:$AA$13,0)),"Review"))</f>
        <v>Bucket 2 · Legacy</v>
      </c>
      <c r="P2867" s="350" t="str">
        <f>IF($B2867="Portfolio","Portfolio",IFERROR(INDEX(DATA_ASSET_CLASSIFICATION!$C$8:$C$24,MATCH($C2867,DATA_ASSET_CLASSIFICATION!$A$8:$A$24,0)),"Review"))</f>
        <v>Yes</v>
      </c>
      <c r="Q2867" s="350" t="str">
        <f t="shared" ca="1" si="89"/>
        <v>OK</v>
      </c>
    </row>
    <row r="2868" spans="1:17">
      <c r="A2868" s="366" t="s">
        <v>4824</v>
      </c>
      <c r="B2868" s="366" t="s">
        <v>231</v>
      </c>
      <c r="C2868" s="348" t="str">
        <f>DATA_PROPERTY_MASTER!$A$13</f>
        <v>BLD_MH</v>
      </c>
      <c r="D2868" s="380">
        <f>'00_PORTFOLIO ROLLUP'!T$12</f>
        <v>2040</v>
      </c>
      <c r="E2868" s="366" t="s">
        <v>1683</v>
      </c>
      <c r="F2868" s="366" t="s">
        <v>27</v>
      </c>
      <c r="G2868" s="348" t="str">
        <f>"'"&amp;$C2868&amp;"'!$E$54:$Y$54"</f>
        <v>'BLD_MH'!$E$54:$Y$54</v>
      </c>
      <c r="H2868" s="381">
        <f ca="1">IF(IFERROR(INDEX(DATA_PROPERTY_MASTER!$E$5:$E$21,MATCH($C2868,DATA_PROPERTY_MASTER!$A$5:$A$21,0))="Yes",FALSE),IFERROR(INDEX(INDIRECT("'"&amp;$C2868&amp;"'!$E$54:$Y$54"),1,MATCH($D2868,INDIRECT("'"&amp;$C2868&amp;"'!$E$12:$Y$12"),0)),0),0)</f>
        <v>136255.03757240906</v>
      </c>
      <c r="I2868" s="366" t="s">
        <v>1690</v>
      </c>
      <c r="J2868" s="348" t="str">
        <f t="shared" ca="1" si="88"/>
        <v>OK</v>
      </c>
      <c r="K2868" s="366" t="s">
        <v>1714</v>
      </c>
      <c r="L2868" s="366" t="s">
        <v>2248</v>
      </c>
      <c r="M2868" s="350" t="str">
        <f>IF($B2868="Portfolio","Portfolio",IFERROR(INDEX(DATA_ASSET_CLASSIFICATION!$B$8:$B$24,MATCH($C2868,DATA_ASSET_CLASSIFICATION!$A$8:$A$24,0)),"Review"))</f>
        <v>Margaret Heights</v>
      </c>
      <c r="N2868" s="350" t="str">
        <f ca="1">IF($B2868="Portfolio","Portfolio",IFERROR(INDEX(DATA_ASSET_CLASSIFICATION!$U$8:$U$24,MATCH($C2868,DATA_ASSET_CLASSIFICATION!$A$8:$A$24,0)),"Review"))</f>
        <v>Refi Watch</v>
      </c>
      <c r="O2868" s="350" t="str">
        <f ca="1">IF($B2868="Portfolio","Portfolio",IFERROR(INDEX(DATA_ASSET_CLASSIFICATION!$AB$8:$AB$13,MATCH($N2868,DATA_ASSET_CLASSIFICATION!$AA$8:$AA$13,0)),"Review"))</f>
        <v>Bucket 2 · Legacy</v>
      </c>
      <c r="P2868" s="350" t="str">
        <f>IF($B2868="Portfolio","Portfolio",IFERROR(INDEX(DATA_ASSET_CLASSIFICATION!$C$8:$C$24,MATCH($C2868,DATA_ASSET_CLASSIFICATION!$A$8:$A$24,0)),"Review"))</f>
        <v>Yes</v>
      </c>
      <c r="Q2868" s="350" t="str">
        <f t="shared" ca="1" si="89"/>
        <v>OK</v>
      </c>
    </row>
    <row r="2869" spans="1:17">
      <c r="A2869" s="366" t="s">
        <v>4825</v>
      </c>
      <c r="B2869" s="366" t="s">
        <v>231</v>
      </c>
      <c r="C2869" s="348" t="str">
        <f>DATA_PROPERTY_MASTER!$A$13</f>
        <v>BLD_MH</v>
      </c>
      <c r="D2869" s="380">
        <f>'00_PORTFOLIO ROLLUP'!T$12</f>
        <v>2040</v>
      </c>
      <c r="E2869" s="366" t="s">
        <v>1683</v>
      </c>
      <c r="F2869" s="366" t="s">
        <v>29</v>
      </c>
      <c r="G2869" s="348" t="str">
        <f>"'"&amp;$C2869&amp;"'!$E$56:$Y$56"</f>
        <v>'BLD_MH'!$E$56:$Y$56</v>
      </c>
      <c r="H2869" s="381">
        <f ca="1">IF(IFERROR(INDEX(DATA_PROPERTY_MASTER!$E$5:$E$21,MATCH($C2869,DATA_PROPERTY_MASTER!$A$5:$A$21,0))="Yes",FALSE),IFERROR(INDEX(INDIRECT("'"&amp;$C2869&amp;"'!$E$56:$Y$56"),1,MATCH($D2869,INDIRECT("'"&amp;$C2869&amp;"'!$E$12:$Y$12"),0)),0),0)</f>
        <v>90836.691714939399</v>
      </c>
      <c r="I2869" s="366" t="s">
        <v>1685</v>
      </c>
      <c r="J2869" s="348" t="str">
        <f t="shared" ca="1" si="88"/>
        <v>OK</v>
      </c>
      <c r="K2869" s="366" t="s">
        <v>1718</v>
      </c>
      <c r="L2869" s="366" t="s">
        <v>2250</v>
      </c>
      <c r="M2869" s="350" t="str">
        <f>IF($B2869="Portfolio","Portfolio",IFERROR(INDEX(DATA_ASSET_CLASSIFICATION!$B$8:$B$24,MATCH($C2869,DATA_ASSET_CLASSIFICATION!$A$8:$A$24,0)),"Review"))</f>
        <v>Margaret Heights</v>
      </c>
      <c r="N2869" s="350" t="str">
        <f ca="1">IF($B2869="Portfolio","Portfolio",IFERROR(INDEX(DATA_ASSET_CLASSIFICATION!$U$8:$U$24,MATCH($C2869,DATA_ASSET_CLASSIFICATION!$A$8:$A$24,0)),"Review"))</f>
        <v>Refi Watch</v>
      </c>
      <c r="O2869" s="350" t="str">
        <f ca="1">IF($B2869="Portfolio","Portfolio",IFERROR(INDEX(DATA_ASSET_CLASSIFICATION!$AB$8:$AB$13,MATCH($N2869,DATA_ASSET_CLASSIFICATION!$AA$8:$AA$13,0)),"Review"))</f>
        <v>Bucket 2 · Legacy</v>
      </c>
      <c r="P2869" s="350" t="str">
        <f>IF($B2869="Portfolio","Portfolio",IFERROR(INDEX(DATA_ASSET_CLASSIFICATION!$C$8:$C$24,MATCH($C2869,DATA_ASSET_CLASSIFICATION!$A$8:$A$24,0)),"Review"))</f>
        <v>Yes</v>
      </c>
      <c r="Q2869" s="350" t="str">
        <f t="shared" ca="1" si="89"/>
        <v>OK</v>
      </c>
    </row>
    <row r="2870" spans="1:17">
      <c r="A2870" s="366" t="s">
        <v>4826</v>
      </c>
      <c r="B2870" s="366" t="s">
        <v>231</v>
      </c>
      <c r="C2870" s="348" t="str">
        <f>DATA_PROPERTY_MASTER!$A$13</f>
        <v>BLD_MH</v>
      </c>
      <c r="D2870" s="380">
        <f>'00_PORTFOLIO ROLLUP'!T$12</f>
        <v>2040</v>
      </c>
      <c r="E2870" s="366" t="s">
        <v>1721</v>
      </c>
      <c r="F2870" s="366" t="s">
        <v>31</v>
      </c>
      <c r="G2870" s="348" t="str">
        <f>"'"&amp;$C2870&amp;"'!$E$61:$Y$61"</f>
        <v>'BLD_MH'!$E$61:$Y$61</v>
      </c>
      <c r="H2870" s="381">
        <f ca="1">IF(IFERROR(INDEX(DATA_PROPERTY_MASTER!$E$5:$E$21,MATCH($C2870,DATA_PROPERTY_MASTER!$A$5:$A$21,0))="Yes",FALSE),IFERROR(INDEX(INDIRECT("'"&amp;$C2870&amp;"'!$E$61:$Y$61"),1,MATCH($D2870,INDIRECT("'"&amp;$C2870&amp;"'!$E$12:$Y$12"),0)),0),0)</f>
        <v>0</v>
      </c>
      <c r="I2870" s="366" t="s">
        <v>1690</v>
      </c>
      <c r="J2870" s="348" t="str">
        <f t="shared" ca="1" si="88"/>
        <v>OK</v>
      </c>
      <c r="K2870" s="366" t="s">
        <v>1723</v>
      </c>
      <c r="L2870" s="366" t="s">
        <v>2252</v>
      </c>
      <c r="M2870" s="350" t="str">
        <f>IF($B2870="Portfolio","Portfolio",IFERROR(INDEX(DATA_ASSET_CLASSIFICATION!$B$8:$B$24,MATCH($C2870,DATA_ASSET_CLASSIFICATION!$A$8:$A$24,0)),"Review"))</f>
        <v>Margaret Heights</v>
      </c>
      <c r="N2870" s="350" t="str">
        <f ca="1">IF($B2870="Portfolio","Portfolio",IFERROR(INDEX(DATA_ASSET_CLASSIFICATION!$U$8:$U$24,MATCH($C2870,DATA_ASSET_CLASSIFICATION!$A$8:$A$24,0)),"Review"))</f>
        <v>Refi Watch</v>
      </c>
      <c r="O2870" s="350" t="str">
        <f ca="1">IF($B2870="Portfolio","Portfolio",IFERROR(INDEX(DATA_ASSET_CLASSIFICATION!$AB$8:$AB$13,MATCH($N2870,DATA_ASSET_CLASSIFICATION!$AA$8:$AA$13,0)),"Review"))</f>
        <v>Bucket 2 · Legacy</v>
      </c>
      <c r="P2870" s="350" t="str">
        <f>IF($B2870="Portfolio","Portfolio",IFERROR(INDEX(DATA_ASSET_CLASSIFICATION!$C$8:$C$24,MATCH($C2870,DATA_ASSET_CLASSIFICATION!$A$8:$A$24,0)),"Review"))</f>
        <v>Yes</v>
      </c>
      <c r="Q2870" s="350" t="str">
        <f t="shared" ca="1" si="89"/>
        <v>OK</v>
      </c>
    </row>
    <row r="2871" spans="1:17">
      <c r="A2871" s="366" t="s">
        <v>4827</v>
      </c>
      <c r="B2871" s="366" t="s">
        <v>231</v>
      </c>
      <c r="C2871" s="348" t="str">
        <f>DATA_PROPERTY_MASTER!$A$13</f>
        <v>BLD_MH</v>
      </c>
      <c r="D2871" s="380">
        <f>'00_PORTFOLIO ROLLUP'!T$12</f>
        <v>2040</v>
      </c>
      <c r="E2871" s="366" t="s">
        <v>1721</v>
      </c>
      <c r="F2871" s="366" t="s">
        <v>33</v>
      </c>
      <c r="G2871" s="348" t="str">
        <f>"'"&amp;$C2871&amp;"'!$E$62:$Y$62"</f>
        <v>'BLD_MH'!$E$62:$Y$62</v>
      </c>
      <c r="H2871" s="381">
        <f ca="1">IF(IFERROR(INDEX(DATA_PROPERTY_MASTER!$E$5:$E$21,MATCH($C2871,DATA_PROPERTY_MASTER!$A$5:$A$21,0))="Yes",FALSE),IFERROR(INDEX(INDIRECT("'"&amp;$C2871&amp;"'!$E$62:$Y$62"),1,MATCH($D2871,INDIRECT("'"&amp;$C2871&amp;"'!$E$12:$Y$12"),0)),0),0)</f>
        <v>0</v>
      </c>
      <c r="I2871" s="366" t="s">
        <v>1685</v>
      </c>
      <c r="J2871" s="348" t="str">
        <f t="shared" ca="1" si="88"/>
        <v>OK</v>
      </c>
      <c r="K2871" s="366" t="s">
        <v>1727</v>
      </c>
      <c r="L2871" s="366" t="s">
        <v>2254</v>
      </c>
      <c r="M2871" s="350" t="str">
        <f>IF($B2871="Portfolio","Portfolio",IFERROR(INDEX(DATA_ASSET_CLASSIFICATION!$B$8:$B$24,MATCH($C2871,DATA_ASSET_CLASSIFICATION!$A$8:$A$24,0)),"Review"))</f>
        <v>Margaret Heights</v>
      </c>
      <c r="N2871" s="350" t="str">
        <f ca="1">IF($B2871="Portfolio","Portfolio",IFERROR(INDEX(DATA_ASSET_CLASSIFICATION!$U$8:$U$24,MATCH($C2871,DATA_ASSET_CLASSIFICATION!$A$8:$A$24,0)),"Review"))</f>
        <v>Refi Watch</v>
      </c>
      <c r="O2871" s="350" t="str">
        <f ca="1">IF($B2871="Portfolio","Portfolio",IFERROR(INDEX(DATA_ASSET_CLASSIFICATION!$AB$8:$AB$13,MATCH($N2871,DATA_ASSET_CLASSIFICATION!$AA$8:$AA$13,0)),"Review"))</f>
        <v>Bucket 2 · Legacy</v>
      </c>
      <c r="P2871" s="350" t="str">
        <f>IF($B2871="Portfolio","Portfolio",IFERROR(INDEX(DATA_ASSET_CLASSIFICATION!$C$8:$C$24,MATCH($C2871,DATA_ASSET_CLASSIFICATION!$A$8:$A$24,0)),"Review"))</f>
        <v>Yes</v>
      </c>
      <c r="Q2871" s="350" t="str">
        <f t="shared" ca="1" si="89"/>
        <v>OK</v>
      </c>
    </row>
    <row r="2872" spans="1:17">
      <c r="A2872" s="366" t="s">
        <v>4828</v>
      </c>
      <c r="B2872" s="366" t="s">
        <v>231</v>
      </c>
      <c r="C2872" s="348" t="str">
        <f>DATA_PROPERTY_MASTER!$A$13</f>
        <v>BLD_MH</v>
      </c>
      <c r="D2872" s="380">
        <f>'00_PORTFOLIO ROLLUP'!T$12</f>
        <v>2040</v>
      </c>
      <c r="E2872" s="366" t="s">
        <v>1721</v>
      </c>
      <c r="F2872" s="366" t="s">
        <v>35</v>
      </c>
      <c r="G2872" s="348" t="str">
        <f>"'"&amp;$C2872&amp;"'!$E$63:$Y$63"</f>
        <v>'BLD_MH'!$E$63:$Y$63</v>
      </c>
      <c r="H2872" s="381">
        <f ca="1">IF(IFERROR(INDEX(DATA_PROPERTY_MASTER!$E$5:$E$21,MATCH($C2872,DATA_PROPERTY_MASTER!$A$5:$A$21,0))="Yes",FALSE),IFERROR(INDEX(INDIRECT("'"&amp;$C2872&amp;"'!$E$63:$Y$63"),1,MATCH($D2872,INDIRECT("'"&amp;$C2872&amp;"'!$E$12:$Y$12"),0)),0),0)</f>
        <v>0</v>
      </c>
      <c r="I2872" s="366" t="s">
        <v>1731</v>
      </c>
      <c r="J2872" s="348" t="str">
        <f t="shared" ca="1" si="88"/>
        <v>OK</v>
      </c>
      <c r="K2872" s="366" t="s">
        <v>1732</v>
      </c>
      <c r="L2872" s="366" t="s">
        <v>2256</v>
      </c>
      <c r="M2872" s="350" t="str">
        <f>IF($B2872="Portfolio","Portfolio",IFERROR(INDEX(DATA_ASSET_CLASSIFICATION!$B$8:$B$24,MATCH($C2872,DATA_ASSET_CLASSIFICATION!$A$8:$A$24,0)),"Review"))</f>
        <v>Margaret Heights</v>
      </c>
      <c r="N2872" s="350" t="str">
        <f ca="1">IF($B2872="Portfolio","Portfolio",IFERROR(INDEX(DATA_ASSET_CLASSIFICATION!$U$8:$U$24,MATCH($C2872,DATA_ASSET_CLASSIFICATION!$A$8:$A$24,0)),"Review"))</f>
        <v>Refi Watch</v>
      </c>
      <c r="O2872" s="350" t="str">
        <f ca="1">IF($B2872="Portfolio","Portfolio",IFERROR(INDEX(DATA_ASSET_CLASSIFICATION!$AB$8:$AB$13,MATCH($N2872,DATA_ASSET_CLASSIFICATION!$AA$8:$AA$13,0)),"Review"))</f>
        <v>Bucket 2 · Legacy</v>
      </c>
      <c r="P2872" s="350" t="str">
        <f>IF($B2872="Portfolio","Portfolio",IFERROR(INDEX(DATA_ASSET_CLASSIFICATION!$C$8:$C$24,MATCH($C2872,DATA_ASSET_CLASSIFICATION!$A$8:$A$24,0)),"Review"))</f>
        <v>Yes</v>
      </c>
      <c r="Q2872" s="350" t="str">
        <f t="shared" ca="1" si="89"/>
        <v>OK</v>
      </c>
    </row>
    <row r="2873" spans="1:17">
      <c r="A2873" s="366" t="s">
        <v>4829</v>
      </c>
      <c r="B2873" s="366" t="s">
        <v>231</v>
      </c>
      <c r="C2873" s="348" t="str">
        <f>DATA_PROPERTY_MASTER!$A$13</f>
        <v>BLD_MH</v>
      </c>
      <c r="D2873" s="380">
        <f>'00_PORTFOLIO ROLLUP'!T$12</f>
        <v>2040</v>
      </c>
      <c r="E2873" s="366" t="s">
        <v>1721</v>
      </c>
      <c r="F2873" s="366" t="s">
        <v>37</v>
      </c>
      <c r="G2873" s="348" t="str">
        <f>"'"&amp;$C2873&amp;"'!$E$63:$Y$63"</f>
        <v>'BLD_MH'!$E$63:$Y$63</v>
      </c>
      <c r="H2873" s="381">
        <f ca="1">IF(IFERROR(INDEX(DATA_PROPERTY_MASTER!$E$5:$E$21,MATCH($C2873,DATA_PROPERTY_MASTER!$A$5:$A$21,0))="Yes",FALSE),MAX(IFERROR(INDEX(INDIRECT("'"&amp;$C2873&amp;"'!$E$63:$Y$63"),1,MATCH($D2873,INDIRECT("'"&amp;$C2873&amp;"'!$E$12:$Y$12"),0)),0),0),0)</f>
        <v>0</v>
      </c>
      <c r="I2873" s="366" t="s">
        <v>1685</v>
      </c>
      <c r="J2873" s="348" t="str">
        <f t="shared" ca="1" si="88"/>
        <v>OK</v>
      </c>
      <c r="K2873" s="366" t="s">
        <v>1735</v>
      </c>
      <c r="L2873" s="366" t="s">
        <v>2258</v>
      </c>
      <c r="M2873" s="350" t="str">
        <f>IF($B2873="Portfolio","Portfolio",IFERROR(INDEX(DATA_ASSET_CLASSIFICATION!$B$8:$B$24,MATCH($C2873,DATA_ASSET_CLASSIFICATION!$A$8:$A$24,0)),"Review"))</f>
        <v>Margaret Heights</v>
      </c>
      <c r="N2873" s="350" t="str">
        <f ca="1">IF($B2873="Portfolio","Portfolio",IFERROR(INDEX(DATA_ASSET_CLASSIFICATION!$U$8:$U$24,MATCH($C2873,DATA_ASSET_CLASSIFICATION!$A$8:$A$24,0)),"Review"))</f>
        <v>Refi Watch</v>
      </c>
      <c r="O2873" s="350" t="str">
        <f ca="1">IF($B2873="Portfolio","Portfolio",IFERROR(INDEX(DATA_ASSET_CLASSIFICATION!$AB$8:$AB$13,MATCH($N2873,DATA_ASSET_CLASSIFICATION!$AA$8:$AA$13,0)),"Review"))</f>
        <v>Bucket 2 · Legacy</v>
      </c>
      <c r="P2873" s="350" t="str">
        <f>IF($B2873="Portfolio","Portfolio",IFERROR(INDEX(DATA_ASSET_CLASSIFICATION!$C$8:$C$24,MATCH($C2873,DATA_ASSET_CLASSIFICATION!$A$8:$A$24,0)),"Review"))</f>
        <v>Yes</v>
      </c>
      <c r="Q2873" s="350" t="str">
        <f t="shared" ca="1" si="89"/>
        <v>OK</v>
      </c>
    </row>
    <row r="2874" spans="1:17">
      <c r="A2874" s="366" t="s">
        <v>4830</v>
      </c>
      <c r="B2874" s="366" t="s">
        <v>231</v>
      </c>
      <c r="C2874" s="348" t="str">
        <f>DATA_PROPERTY_MASTER!$A$13</f>
        <v>BLD_MH</v>
      </c>
      <c r="D2874" s="380">
        <f>'00_PORTFOLIO ROLLUP'!T$12</f>
        <v>2040</v>
      </c>
      <c r="E2874" s="366" t="s">
        <v>1721</v>
      </c>
      <c r="F2874" s="366" t="s">
        <v>39</v>
      </c>
      <c r="G2874" s="348" t="str">
        <f>"'"&amp;$C2874&amp;"'!$E$63:$Y$63"</f>
        <v>'BLD_MH'!$E$63:$Y$63</v>
      </c>
      <c r="H2874" s="381">
        <f ca="1">IF(IFERROR(INDEX(DATA_PROPERTY_MASTER!$E$5:$E$21,MATCH($C2874,DATA_PROPERTY_MASTER!$A$5:$A$21,0))="Yes",FALSE),MAX(-IFERROR(INDEX(INDIRECT("'"&amp;$C2874&amp;"'!$E$63:$Y$63"),1,MATCH($D2874,INDIRECT("'"&amp;$C2874&amp;"'!$E$12:$Y$12"),0)),0),0),0)</f>
        <v>0</v>
      </c>
      <c r="I2874" s="366" t="s">
        <v>1690</v>
      </c>
      <c r="J2874" s="348" t="str">
        <f t="shared" ca="1" si="88"/>
        <v>OK</v>
      </c>
      <c r="K2874" s="366" t="s">
        <v>1738</v>
      </c>
      <c r="L2874" s="366" t="s">
        <v>2260</v>
      </c>
      <c r="M2874" s="350" t="str">
        <f>IF($B2874="Portfolio","Portfolio",IFERROR(INDEX(DATA_ASSET_CLASSIFICATION!$B$8:$B$24,MATCH($C2874,DATA_ASSET_CLASSIFICATION!$A$8:$A$24,0)),"Review"))</f>
        <v>Margaret Heights</v>
      </c>
      <c r="N2874" s="350" t="str">
        <f ca="1">IF($B2874="Portfolio","Portfolio",IFERROR(INDEX(DATA_ASSET_CLASSIFICATION!$U$8:$U$24,MATCH($C2874,DATA_ASSET_CLASSIFICATION!$A$8:$A$24,0)),"Review"))</f>
        <v>Refi Watch</v>
      </c>
      <c r="O2874" s="350" t="str">
        <f ca="1">IF($B2874="Portfolio","Portfolio",IFERROR(INDEX(DATA_ASSET_CLASSIFICATION!$AB$8:$AB$13,MATCH($N2874,DATA_ASSET_CLASSIFICATION!$AA$8:$AA$13,0)),"Review"))</f>
        <v>Bucket 2 · Legacy</v>
      </c>
      <c r="P2874" s="350" t="str">
        <f>IF($B2874="Portfolio","Portfolio",IFERROR(INDEX(DATA_ASSET_CLASSIFICATION!$C$8:$C$24,MATCH($C2874,DATA_ASSET_CLASSIFICATION!$A$8:$A$24,0)),"Review"))</f>
        <v>Yes</v>
      </c>
      <c r="Q2874" s="350" t="str">
        <f t="shared" ca="1" si="89"/>
        <v>OK</v>
      </c>
    </row>
    <row r="2875" spans="1:17">
      <c r="A2875" s="366" t="s">
        <v>4831</v>
      </c>
      <c r="B2875" s="366" t="s">
        <v>231</v>
      </c>
      <c r="C2875" s="348" t="str">
        <f>DATA_PROPERTY_MASTER!$A$13</f>
        <v>BLD_MH</v>
      </c>
      <c r="D2875" s="380">
        <f>'00_PORTFOLIO ROLLUP'!T$12</f>
        <v>2040</v>
      </c>
      <c r="E2875" s="366" t="s">
        <v>1741</v>
      </c>
      <c r="F2875" s="366" t="s">
        <v>41</v>
      </c>
      <c r="G2875" s="348" t="str">
        <f>"'"&amp;$C2875&amp;"'!rows 56 + positive row 63"</f>
        <v>'BLD_MH'!rows 56 + positive row 63</v>
      </c>
      <c r="H2875" s="381">
        <f ca="1">IF(IFERROR(INDEX(DATA_PROPERTY_MASTER!$E$5:$E$21,MATCH($C2875,DATA_PROPERTY_MASTER!$A$5:$A$21,0))="Yes",FALSE),IFERROR(INDEX(INDIRECT("'"&amp;$C2875&amp;"'!$E$56:$Y$56"),1,MATCH($D2875,INDIRECT("'"&amp;$C2875&amp;"'!$E$12:$Y$12"),0)),0)+MAX(IFERROR(INDEX(INDIRECT("'"&amp;$C2875&amp;"'!$E$63:$Y$63"),1,MATCH($D2875,INDIRECT("'"&amp;$C2875&amp;"'!$E$12:$Y$12"),0)),0),0),0)</f>
        <v>90836.691714939399</v>
      </c>
      <c r="I2875" s="366" t="s">
        <v>1685</v>
      </c>
      <c r="J2875" s="348" t="str">
        <f t="shared" ca="1" si="88"/>
        <v>OK</v>
      </c>
      <c r="K2875" s="366" t="s">
        <v>1742</v>
      </c>
      <c r="L2875" s="366" t="s">
        <v>2262</v>
      </c>
      <c r="M2875" s="350" t="str">
        <f>IF($B2875="Portfolio","Portfolio",IFERROR(INDEX(DATA_ASSET_CLASSIFICATION!$B$8:$B$24,MATCH($C2875,DATA_ASSET_CLASSIFICATION!$A$8:$A$24,0)),"Review"))</f>
        <v>Margaret Heights</v>
      </c>
      <c r="N2875" s="350" t="str">
        <f ca="1">IF($B2875="Portfolio","Portfolio",IFERROR(INDEX(DATA_ASSET_CLASSIFICATION!$U$8:$U$24,MATCH($C2875,DATA_ASSET_CLASSIFICATION!$A$8:$A$24,0)),"Review"))</f>
        <v>Refi Watch</v>
      </c>
      <c r="O2875" s="350" t="str">
        <f ca="1">IF($B2875="Portfolio","Portfolio",IFERROR(INDEX(DATA_ASSET_CLASSIFICATION!$AB$8:$AB$13,MATCH($N2875,DATA_ASSET_CLASSIFICATION!$AA$8:$AA$13,0)),"Review"))</f>
        <v>Bucket 2 · Legacy</v>
      </c>
      <c r="P2875" s="350" t="str">
        <f>IF($B2875="Portfolio","Portfolio",IFERROR(INDEX(DATA_ASSET_CLASSIFICATION!$C$8:$C$24,MATCH($C2875,DATA_ASSET_CLASSIFICATION!$A$8:$A$24,0)),"Review"))</f>
        <v>Yes</v>
      </c>
      <c r="Q2875" s="350" t="str">
        <f t="shared" ca="1" si="89"/>
        <v>OK</v>
      </c>
    </row>
    <row r="2876" spans="1:17">
      <c r="A2876" s="366" t="s">
        <v>4832</v>
      </c>
      <c r="B2876" s="366" t="s">
        <v>231</v>
      </c>
      <c r="C2876" s="348" t="str">
        <f>DATA_PROPERTY_MASTER!$A$13</f>
        <v>BLD_MH</v>
      </c>
      <c r="D2876" s="380">
        <f>'00_PORTFOLIO ROLLUP'!T$12</f>
        <v>2040</v>
      </c>
      <c r="E2876" s="366" t="s">
        <v>1741</v>
      </c>
      <c r="F2876" s="366" t="s">
        <v>43</v>
      </c>
      <c r="G2876" s="348" t="str">
        <f>"'"&amp;$C2876&amp;"'!$E$68:$Y$68"</f>
        <v>'BLD_MH'!$E$68:$Y$68</v>
      </c>
      <c r="H2876" s="381">
        <f ca="1">IF(IFERROR(INDEX(DATA_PROPERTY_MASTER!$E$5:$E$21,MATCH($C2876,DATA_PROPERTY_MASTER!$A$5:$A$21,0))="Yes",FALSE),IFERROR(INDEX(INDIRECT("'"&amp;$C2876&amp;"'!$E$68:$Y$68"),1,MATCH($D2876,INDIRECT("'"&amp;$C2876&amp;"'!$E$12:$Y$12"),0)),0),0)</f>
        <v>90836.691714939399</v>
      </c>
      <c r="I2876" s="366" t="s">
        <v>1731</v>
      </c>
      <c r="J2876" s="348" t="str">
        <f t="shared" ca="1" si="88"/>
        <v>OK</v>
      </c>
      <c r="K2876" s="366" t="s">
        <v>1746</v>
      </c>
      <c r="L2876" s="366" t="s">
        <v>2264</v>
      </c>
      <c r="M2876" s="350" t="str">
        <f>IF($B2876="Portfolio","Portfolio",IFERROR(INDEX(DATA_ASSET_CLASSIFICATION!$B$8:$B$24,MATCH($C2876,DATA_ASSET_CLASSIFICATION!$A$8:$A$24,0)),"Review"))</f>
        <v>Margaret Heights</v>
      </c>
      <c r="N2876" s="350" t="str">
        <f ca="1">IF($B2876="Portfolio","Portfolio",IFERROR(INDEX(DATA_ASSET_CLASSIFICATION!$U$8:$U$24,MATCH($C2876,DATA_ASSET_CLASSIFICATION!$A$8:$A$24,0)),"Review"))</f>
        <v>Refi Watch</v>
      </c>
      <c r="O2876" s="350" t="str">
        <f ca="1">IF($B2876="Portfolio","Portfolio",IFERROR(INDEX(DATA_ASSET_CLASSIFICATION!$AB$8:$AB$13,MATCH($N2876,DATA_ASSET_CLASSIFICATION!$AA$8:$AA$13,0)),"Review"))</f>
        <v>Bucket 2 · Legacy</v>
      </c>
      <c r="P2876" s="350" t="str">
        <f>IF($B2876="Portfolio","Portfolio",IFERROR(INDEX(DATA_ASSET_CLASSIFICATION!$C$8:$C$24,MATCH($C2876,DATA_ASSET_CLASSIFICATION!$A$8:$A$24,0)),"Review"))</f>
        <v>Yes</v>
      </c>
      <c r="Q2876" s="350" t="str">
        <f t="shared" ca="1" si="89"/>
        <v>OK</v>
      </c>
    </row>
    <row r="2877" spans="1:17">
      <c r="A2877" s="366" t="s">
        <v>4833</v>
      </c>
      <c r="B2877" s="366" t="s">
        <v>231</v>
      </c>
      <c r="C2877" s="348" t="str">
        <f>DATA_PROPERTY_MASTER!$A$13</f>
        <v>BLD_MH</v>
      </c>
      <c r="D2877" s="380">
        <f>'00_PORTFOLIO ROLLUP'!T$12</f>
        <v>2040</v>
      </c>
      <c r="E2877" s="366" t="s">
        <v>1741</v>
      </c>
      <c r="F2877" s="366" t="s">
        <v>1749</v>
      </c>
      <c r="G2877" s="348" t="str">
        <f>"'"&amp;$C2877&amp;"'!rows 56, 63, 68"</f>
        <v>'BLD_MH'!rows 56, 63, 68</v>
      </c>
      <c r="H2877" s="381">
        <f ca="1">IF(IFERROR(INDEX(DATA_PROPERTY_MASTER!$E$5:$E$21,MATCH($C2877,DATA_PROPERTY_MASTER!$A$5:$A$21,0))="Yes",FALSE),(IFERROR(INDEX(INDIRECT("'"&amp;$C2877&amp;"'!$E$56:$Y$56"),1,MATCH($D2877,INDIRECT("'"&amp;$C2877&amp;"'!$E$12:$Y$12"),0)),0)+MAX(IFERROR(INDEX(INDIRECT("'"&amp;$C2877&amp;"'!$E$63:$Y$63"),1,MATCH($D2877,INDIRECT("'"&amp;$C2877&amp;"'!$E$12:$Y$12"),0)),0),0))-(IFERROR(INDEX(INDIRECT("'"&amp;$C2877&amp;"'!$E$68:$Y$68"),1,MATCH($D2877,INDIRECT("'"&amp;$C2877&amp;"'!$E$12:$Y$12"),0)),0)),0)</f>
        <v>0</v>
      </c>
      <c r="I2877" s="366" t="s">
        <v>1750</v>
      </c>
      <c r="J2877" s="348" t="str">
        <f t="shared" ca="1" si="88"/>
        <v>OK</v>
      </c>
      <c r="K2877" s="366" t="s">
        <v>1751</v>
      </c>
      <c r="L2877" s="366" t="s">
        <v>2266</v>
      </c>
      <c r="M2877" s="350" t="str">
        <f>IF($B2877="Portfolio","Portfolio",IFERROR(INDEX(DATA_ASSET_CLASSIFICATION!$B$8:$B$24,MATCH($C2877,DATA_ASSET_CLASSIFICATION!$A$8:$A$24,0)),"Review"))</f>
        <v>Margaret Heights</v>
      </c>
      <c r="N2877" s="350" t="str">
        <f ca="1">IF($B2877="Portfolio","Portfolio",IFERROR(INDEX(DATA_ASSET_CLASSIFICATION!$U$8:$U$24,MATCH($C2877,DATA_ASSET_CLASSIFICATION!$A$8:$A$24,0)),"Review"))</f>
        <v>Refi Watch</v>
      </c>
      <c r="O2877" s="350" t="str">
        <f ca="1">IF($B2877="Portfolio","Portfolio",IFERROR(INDEX(DATA_ASSET_CLASSIFICATION!$AB$8:$AB$13,MATCH($N2877,DATA_ASSET_CLASSIFICATION!$AA$8:$AA$13,0)),"Review"))</f>
        <v>Bucket 2 · Legacy</v>
      </c>
      <c r="P2877" s="350" t="str">
        <f>IF($B2877="Portfolio","Portfolio",IFERROR(INDEX(DATA_ASSET_CLASSIFICATION!$C$8:$C$24,MATCH($C2877,DATA_ASSET_CLASSIFICATION!$A$8:$A$24,0)),"Review"))</f>
        <v>Yes</v>
      </c>
      <c r="Q2877" s="350" t="str">
        <f t="shared" ca="1" si="89"/>
        <v>OK</v>
      </c>
    </row>
    <row r="2878" spans="1:17">
      <c r="A2878" s="366" t="s">
        <v>4834</v>
      </c>
      <c r="B2878" s="366" t="s">
        <v>231</v>
      </c>
      <c r="C2878" s="348" t="str">
        <f>DATA_PROPERTY_MASTER!$A$13</f>
        <v>BLD_MH</v>
      </c>
      <c r="D2878" s="380">
        <f>'00_PORTFOLIO ROLLUP'!U$12</f>
        <v>2041</v>
      </c>
      <c r="E2878" s="366" t="s">
        <v>1683</v>
      </c>
      <c r="F2878" s="366" t="s">
        <v>341</v>
      </c>
      <c r="G2878" s="348" t="str">
        <f>"'"&amp;$C2878&amp;"'!$E$24:$Y$24"</f>
        <v>'BLD_MH'!$E$24:$Y$24</v>
      </c>
      <c r="H2878" s="381">
        <f ca="1">IF(IFERROR(INDEX(DATA_PROPERTY_MASTER!$E$5:$E$21,MATCH($C2878,DATA_PROPERTY_MASTER!$A$5:$A$21,0))="Yes",FALSE),IFERROR(INDEX(INDIRECT("'"&amp;$C2878&amp;"'!$E$24:$Y$24"),1,MATCH($D2878,INDIRECT("'"&amp;$C2878&amp;"'!$E$12:$Y$12"),0)),0),0)</f>
        <v>541883.85267438949</v>
      </c>
      <c r="I2878" s="366" t="s">
        <v>1685</v>
      </c>
      <c r="J2878" s="348" t="str">
        <f t="shared" ca="1" si="88"/>
        <v>OK</v>
      </c>
      <c r="K2878" s="366" t="s">
        <v>1686</v>
      </c>
      <c r="L2878" s="366" t="s">
        <v>2234</v>
      </c>
      <c r="M2878" s="350" t="str">
        <f>IF($B2878="Portfolio","Portfolio",IFERROR(INDEX(DATA_ASSET_CLASSIFICATION!$B$8:$B$24,MATCH($C2878,DATA_ASSET_CLASSIFICATION!$A$8:$A$24,0)),"Review"))</f>
        <v>Margaret Heights</v>
      </c>
      <c r="N2878" s="350" t="str">
        <f ca="1">IF($B2878="Portfolio","Portfolio",IFERROR(INDEX(DATA_ASSET_CLASSIFICATION!$U$8:$U$24,MATCH($C2878,DATA_ASSET_CLASSIFICATION!$A$8:$A$24,0)),"Review"))</f>
        <v>Refi Watch</v>
      </c>
      <c r="O2878" s="350" t="str">
        <f ca="1">IF($B2878="Portfolio","Portfolio",IFERROR(INDEX(DATA_ASSET_CLASSIFICATION!$AB$8:$AB$13,MATCH($N2878,DATA_ASSET_CLASSIFICATION!$AA$8:$AA$13,0)),"Review"))</f>
        <v>Bucket 2 · Legacy</v>
      </c>
      <c r="P2878" s="350" t="str">
        <f>IF($B2878="Portfolio","Portfolio",IFERROR(INDEX(DATA_ASSET_CLASSIFICATION!$C$8:$C$24,MATCH($C2878,DATA_ASSET_CLASSIFICATION!$A$8:$A$24,0)),"Review"))</f>
        <v>Yes</v>
      </c>
      <c r="Q2878" s="350" t="str">
        <f t="shared" ca="1" si="89"/>
        <v>OK</v>
      </c>
    </row>
    <row r="2879" spans="1:17">
      <c r="A2879" s="366" t="s">
        <v>4835</v>
      </c>
      <c r="B2879" s="366" t="s">
        <v>231</v>
      </c>
      <c r="C2879" s="348" t="str">
        <f>DATA_PROPERTY_MASTER!$A$13</f>
        <v>BLD_MH</v>
      </c>
      <c r="D2879" s="380">
        <f>'00_PORTFOLIO ROLLUP'!U$12</f>
        <v>2041</v>
      </c>
      <c r="E2879" s="366" t="s">
        <v>1683</v>
      </c>
      <c r="F2879" s="366" t="s">
        <v>355</v>
      </c>
      <c r="G2879" s="348" t="str">
        <f>"'"&amp;$C2879&amp;"'!$E$39:$Y$39"</f>
        <v>'BLD_MH'!$E$39:$Y$39</v>
      </c>
      <c r="H2879" s="381">
        <f ca="1">IF(IFERROR(INDEX(DATA_PROPERTY_MASTER!$E$5:$E$21,MATCH($C2879,DATA_PROPERTY_MASTER!$A$5:$A$21,0))="Yes",FALSE),IFERROR(INDEX(INDIRECT("'"&amp;$C2879&amp;"'!$E$39:$Y$39"),1,MATCH($D2879,INDIRECT("'"&amp;$C2879&amp;"'!$E$12:$Y$12"),0)),0),0)</f>
        <v>311771.12355031993</v>
      </c>
      <c r="I2879" s="366" t="s">
        <v>1690</v>
      </c>
      <c r="J2879" s="348" t="str">
        <f t="shared" ca="1" si="88"/>
        <v>OK</v>
      </c>
      <c r="K2879" s="366" t="s">
        <v>1686</v>
      </c>
      <c r="L2879" s="366" t="s">
        <v>2236</v>
      </c>
      <c r="M2879" s="350" t="str">
        <f>IF($B2879="Portfolio","Portfolio",IFERROR(INDEX(DATA_ASSET_CLASSIFICATION!$B$8:$B$24,MATCH($C2879,DATA_ASSET_CLASSIFICATION!$A$8:$A$24,0)),"Review"))</f>
        <v>Margaret Heights</v>
      </c>
      <c r="N2879" s="350" t="str">
        <f ca="1">IF($B2879="Portfolio","Portfolio",IFERROR(INDEX(DATA_ASSET_CLASSIFICATION!$U$8:$U$24,MATCH($C2879,DATA_ASSET_CLASSIFICATION!$A$8:$A$24,0)),"Review"))</f>
        <v>Refi Watch</v>
      </c>
      <c r="O2879" s="350" t="str">
        <f ca="1">IF($B2879="Portfolio","Portfolio",IFERROR(INDEX(DATA_ASSET_CLASSIFICATION!$AB$8:$AB$13,MATCH($N2879,DATA_ASSET_CLASSIFICATION!$AA$8:$AA$13,0)),"Review"))</f>
        <v>Bucket 2 · Legacy</v>
      </c>
      <c r="P2879" s="350" t="str">
        <f>IF($B2879="Portfolio","Portfolio",IFERROR(INDEX(DATA_ASSET_CLASSIFICATION!$C$8:$C$24,MATCH($C2879,DATA_ASSET_CLASSIFICATION!$A$8:$A$24,0)),"Review"))</f>
        <v>Yes</v>
      </c>
      <c r="Q2879" s="350" t="str">
        <f t="shared" ca="1" si="89"/>
        <v>OK</v>
      </c>
    </row>
    <row r="2880" spans="1:17">
      <c r="A2880" s="366" t="s">
        <v>4836</v>
      </c>
      <c r="B2880" s="366" t="s">
        <v>231</v>
      </c>
      <c r="C2880" s="348" t="str">
        <f>DATA_PROPERTY_MASTER!$A$13</f>
        <v>BLD_MH</v>
      </c>
      <c r="D2880" s="380">
        <f>'00_PORTFOLIO ROLLUP'!U$12</f>
        <v>2041</v>
      </c>
      <c r="E2880" s="366" t="s">
        <v>1683</v>
      </c>
      <c r="F2880" s="366" t="s">
        <v>19</v>
      </c>
      <c r="G2880" s="348" t="str">
        <f>"'"&amp;$C2880&amp;"'!$E$41:$Y$41"</f>
        <v>'BLD_MH'!$E$41:$Y$41</v>
      </c>
      <c r="H2880" s="381">
        <f ca="1">IF(IFERROR(INDEX(DATA_PROPERTY_MASTER!$E$5:$E$21,MATCH($C2880,DATA_PROPERTY_MASTER!$A$5:$A$21,0))="Yes",FALSE),IFERROR(INDEX(INDIRECT("'"&amp;$C2880&amp;"'!$E$41:$Y$41"),1,MATCH($D2880,INDIRECT("'"&amp;$C2880&amp;"'!$E$12:$Y$12"),0)),0),0)</f>
        <v>230112.72912406956</v>
      </c>
      <c r="I2880" s="366" t="s">
        <v>1685</v>
      </c>
      <c r="J2880" s="348" t="str">
        <f t="shared" ca="1" si="88"/>
        <v>OK</v>
      </c>
      <c r="K2880" s="366" t="s">
        <v>1694</v>
      </c>
      <c r="L2880" s="366" t="s">
        <v>2238</v>
      </c>
      <c r="M2880" s="350" t="str">
        <f>IF($B2880="Portfolio","Portfolio",IFERROR(INDEX(DATA_ASSET_CLASSIFICATION!$B$8:$B$24,MATCH($C2880,DATA_ASSET_CLASSIFICATION!$A$8:$A$24,0)),"Review"))</f>
        <v>Margaret Heights</v>
      </c>
      <c r="N2880" s="350" t="str">
        <f ca="1">IF($B2880="Portfolio","Portfolio",IFERROR(INDEX(DATA_ASSET_CLASSIFICATION!$U$8:$U$24,MATCH($C2880,DATA_ASSET_CLASSIFICATION!$A$8:$A$24,0)),"Review"))</f>
        <v>Refi Watch</v>
      </c>
      <c r="O2880" s="350" t="str">
        <f ca="1">IF($B2880="Portfolio","Portfolio",IFERROR(INDEX(DATA_ASSET_CLASSIFICATION!$AB$8:$AB$13,MATCH($N2880,DATA_ASSET_CLASSIFICATION!$AA$8:$AA$13,0)),"Review"))</f>
        <v>Bucket 2 · Legacy</v>
      </c>
      <c r="P2880" s="350" t="str">
        <f>IF($B2880="Portfolio","Portfolio",IFERROR(INDEX(DATA_ASSET_CLASSIFICATION!$C$8:$C$24,MATCH($C2880,DATA_ASSET_CLASSIFICATION!$A$8:$A$24,0)),"Review"))</f>
        <v>Yes</v>
      </c>
      <c r="Q2880" s="350" t="str">
        <f t="shared" ca="1" si="89"/>
        <v>OK</v>
      </c>
    </row>
    <row r="2881" spans="1:17">
      <c r="A2881" s="366" t="s">
        <v>4837</v>
      </c>
      <c r="B2881" s="366" t="s">
        <v>231</v>
      </c>
      <c r="C2881" s="348" t="str">
        <f>DATA_PROPERTY_MASTER!$A$13</f>
        <v>BLD_MH</v>
      </c>
      <c r="D2881" s="380">
        <f>'00_PORTFOLIO ROLLUP'!U$12</f>
        <v>2041</v>
      </c>
      <c r="E2881" s="366" t="s">
        <v>1683</v>
      </c>
      <c r="F2881" s="366" t="s">
        <v>1697</v>
      </c>
      <c r="G2881" s="348" t="str">
        <f>"'"&amp;$C2881&amp;"'!$E$44:$Y$44"</f>
        <v>'BLD_MH'!$E$44:$Y$44</v>
      </c>
      <c r="H2881" s="381">
        <f ca="1">IF(IFERROR(INDEX(DATA_PROPERTY_MASTER!$E$5:$E$21,MATCH($C2881,DATA_PROPERTY_MASTER!$A$5:$A$21,0))="Yes",FALSE),IFERROR(INDEX(INDIRECT("'"&amp;$C2881&amp;"'!$E$44:$Y$44"),1,MATCH($D2881,INDIRECT("'"&amp;$C2881&amp;"'!$E$12:$Y$12"),0)),0),0)</f>
        <v>3912.4392595082445</v>
      </c>
      <c r="I2881" s="366" t="s">
        <v>1690</v>
      </c>
      <c r="J2881" s="348" t="str">
        <f t="shared" ca="1" si="88"/>
        <v>OK</v>
      </c>
      <c r="K2881" s="366" t="s">
        <v>1699</v>
      </c>
      <c r="L2881" s="366" t="s">
        <v>2240</v>
      </c>
      <c r="M2881" s="350" t="str">
        <f>IF($B2881="Portfolio","Portfolio",IFERROR(INDEX(DATA_ASSET_CLASSIFICATION!$B$8:$B$24,MATCH($C2881,DATA_ASSET_CLASSIFICATION!$A$8:$A$24,0)),"Review"))</f>
        <v>Margaret Heights</v>
      </c>
      <c r="N2881" s="350" t="str">
        <f ca="1">IF($B2881="Portfolio","Portfolio",IFERROR(INDEX(DATA_ASSET_CLASSIFICATION!$U$8:$U$24,MATCH($C2881,DATA_ASSET_CLASSIFICATION!$A$8:$A$24,0)),"Review"))</f>
        <v>Refi Watch</v>
      </c>
      <c r="O2881" s="350" t="str">
        <f ca="1">IF($B2881="Portfolio","Portfolio",IFERROR(INDEX(DATA_ASSET_CLASSIFICATION!$AB$8:$AB$13,MATCH($N2881,DATA_ASSET_CLASSIFICATION!$AA$8:$AA$13,0)),"Review"))</f>
        <v>Bucket 2 · Legacy</v>
      </c>
      <c r="P2881" s="350" t="str">
        <f>IF($B2881="Portfolio","Portfolio",IFERROR(INDEX(DATA_ASSET_CLASSIFICATION!$C$8:$C$24,MATCH($C2881,DATA_ASSET_CLASSIFICATION!$A$8:$A$24,0)),"Review"))</f>
        <v>Yes</v>
      </c>
      <c r="Q2881" s="350" t="str">
        <f t="shared" ca="1" si="89"/>
        <v>OK</v>
      </c>
    </row>
    <row r="2882" spans="1:17">
      <c r="A2882" s="366" t="s">
        <v>4838</v>
      </c>
      <c r="B2882" s="366" t="s">
        <v>231</v>
      </c>
      <c r="C2882" s="348" t="str">
        <f>DATA_PROPERTY_MASTER!$A$13</f>
        <v>BLD_MH</v>
      </c>
      <c r="D2882" s="380">
        <f>'00_PORTFOLIO ROLLUP'!U$12</f>
        <v>2041</v>
      </c>
      <c r="E2882" s="366" t="s">
        <v>1683</v>
      </c>
      <c r="F2882" s="366" t="s">
        <v>21</v>
      </c>
      <c r="G2882" s="348" t="str">
        <f>"'"&amp;$C2882&amp;"'!$E$45:$Y$45"</f>
        <v>'BLD_MH'!$E$45:$Y$45</v>
      </c>
      <c r="H2882" s="381">
        <f ca="1">IF(IFERROR(INDEX(DATA_PROPERTY_MASTER!$E$5:$E$21,MATCH($C2882,DATA_PROPERTY_MASTER!$A$5:$A$21,0))="Yes",FALSE),IFERROR(INDEX(INDIRECT("'"&amp;$C2882&amp;"'!$E$45:$Y$45"),1,MATCH($D2882,INDIRECT("'"&amp;$C2882&amp;"'!$E$12:$Y$12"),0)),0),0)</f>
        <v>226200.28986456132</v>
      </c>
      <c r="I2882" s="366" t="s">
        <v>1685</v>
      </c>
      <c r="J2882" s="348" t="str">
        <f t="shared" ca="1" si="88"/>
        <v>OK</v>
      </c>
      <c r="K2882" s="366" t="s">
        <v>1694</v>
      </c>
      <c r="L2882" s="366" t="s">
        <v>2242</v>
      </c>
      <c r="M2882" s="350" t="str">
        <f>IF($B2882="Portfolio","Portfolio",IFERROR(INDEX(DATA_ASSET_CLASSIFICATION!$B$8:$B$24,MATCH($C2882,DATA_ASSET_CLASSIFICATION!$A$8:$A$24,0)),"Review"))</f>
        <v>Margaret Heights</v>
      </c>
      <c r="N2882" s="350" t="str">
        <f ca="1">IF($B2882="Portfolio","Portfolio",IFERROR(INDEX(DATA_ASSET_CLASSIFICATION!$U$8:$U$24,MATCH($C2882,DATA_ASSET_CLASSIFICATION!$A$8:$A$24,0)),"Review"))</f>
        <v>Refi Watch</v>
      </c>
      <c r="O2882" s="350" t="str">
        <f ca="1">IF($B2882="Portfolio","Portfolio",IFERROR(INDEX(DATA_ASSET_CLASSIFICATION!$AB$8:$AB$13,MATCH($N2882,DATA_ASSET_CLASSIFICATION!$AA$8:$AA$13,0)),"Review"))</f>
        <v>Bucket 2 · Legacy</v>
      </c>
      <c r="P2882" s="350" t="str">
        <f>IF($B2882="Portfolio","Portfolio",IFERROR(INDEX(DATA_ASSET_CLASSIFICATION!$C$8:$C$24,MATCH($C2882,DATA_ASSET_CLASSIFICATION!$A$8:$A$24,0)),"Review"))</f>
        <v>Yes</v>
      </c>
      <c r="Q2882" s="350" t="str">
        <f t="shared" ca="1" si="89"/>
        <v>OK</v>
      </c>
    </row>
    <row r="2883" spans="1:17">
      <c r="A2883" s="366" t="s">
        <v>4839</v>
      </c>
      <c r="B2883" s="366" t="s">
        <v>231</v>
      </c>
      <c r="C2883" s="348" t="str">
        <f>DATA_PROPERTY_MASTER!$A$13</f>
        <v>BLD_MH</v>
      </c>
      <c r="D2883" s="380">
        <f>'00_PORTFOLIO ROLLUP'!U$12</f>
        <v>2041</v>
      </c>
      <c r="E2883" s="366" t="s">
        <v>23</v>
      </c>
      <c r="F2883" s="366" t="s">
        <v>23</v>
      </c>
      <c r="G2883" s="348" t="str">
        <f>"'"&amp;$C2883&amp;"'!$E$48:$Y$48"</f>
        <v>'BLD_MH'!$E$48:$Y$48</v>
      </c>
      <c r="H2883" s="381">
        <f ca="1">IF(IFERROR(INDEX(DATA_PROPERTY_MASTER!$E$5:$E$21,MATCH($C2883,DATA_PROPERTY_MASTER!$A$5:$A$21,0))="Yes",FALSE),IFERROR(INDEX(INDIRECT("'"&amp;$C2883&amp;"'!$E$48:$Y$48"),1,MATCH($D2883,INDIRECT("'"&amp;$C2883&amp;"'!$E$12:$Y$12"),0)),0),0)</f>
        <v>0</v>
      </c>
      <c r="I2883" s="366" t="s">
        <v>1690</v>
      </c>
      <c r="J2883" s="348" t="str">
        <f t="shared" ca="1" si="88"/>
        <v>OK</v>
      </c>
      <c r="K2883" s="366" t="s">
        <v>1706</v>
      </c>
      <c r="L2883" s="366" t="s">
        <v>2244</v>
      </c>
      <c r="M2883" s="350" t="str">
        <f>IF($B2883="Portfolio","Portfolio",IFERROR(INDEX(DATA_ASSET_CLASSIFICATION!$B$8:$B$24,MATCH($C2883,DATA_ASSET_CLASSIFICATION!$A$8:$A$24,0)),"Review"))</f>
        <v>Margaret Heights</v>
      </c>
      <c r="N2883" s="350" t="str">
        <f ca="1">IF($B2883="Portfolio","Portfolio",IFERROR(INDEX(DATA_ASSET_CLASSIFICATION!$U$8:$U$24,MATCH($C2883,DATA_ASSET_CLASSIFICATION!$A$8:$A$24,0)),"Review"))</f>
        <v>Refi Watch</v>
      </c>
      <c r="O2883" s="350" t="str">
        <f ca="1">IF($B2883="Portfolio","Portfolio",IFERROR(INDEX(DATA_ASSET_CLASSIFICATION!$AB$8:$AB$13,MATCH($N2883,DATA_ASSET_CLASSIFICATION!$AA$8:$AA$13,0)),"Review"))</f>
        <v>Bucket 2 · Legacy</v>
      </c>
      <c r="P2883" s="350" t="str">
        <f>IF($B2883="Portfolio","Portfolio",IFERROR(INDEX(DATA_ASSET_CLASSIFICATION!$C$8:$C$24,MATCH($C2883,DATA_ASSET_CLASSIFICATION!$A$8:$A$24,0)),"Review"))</f>
        <v>Yes</v>
      </c>
      <c r="Q2883" s="350" t="str">
        <f t="shared" ca="1" si="89"/>
        <v>OK</v>
      </c>
    </row>
    <row r="2884" spans="1:17">
      <c r="A2884" s="366" t="s">
        <v>4840</v>
      </c>
      <c r="B2884" s="366" t="s">
        <v>231</v>
      </c>
      <c r="C2884" s="348" t="str">
        <f>DATA_PROPERTY_MASTER!$A$13</f>
        <v>BLD_MH</v>
      </c>
      <c r="D2884" s="380">
        <f>'00_PORTFOLIO ROLLUP'!U$12</f>
        <v>2041</v>
      </c>
      <c r="E2884" s="366" t="s">
        <v>1683</v>
      </c>
      <c r="F2884" s="366" t="s">
        <v>25</v>
      </c>
      <c r="G2884" s="348" t="str">
        <f>"'"&amp;$C2884&amp;"'!$E$52:$Y$52"</f>
        <v>'BLD_MH'!$E$52:$Y$52</v>
      </c>
      <c r="H2884" s="381">
        <f ca="1">IF(IFERROR(INDEX(DATA_PROPERTY_MASTER!$E$5:$E$21,MATCH($C2884,DATA_PROPERTY_MASTER!$A$5:$A$21,0))="Yes",FALSE),IFERROR(INDEX(INDIRECT("'"&amp;$C2884&amp;"'!$E$52:$Y$52"),1,MATCH($D2884,INDIRECT("'"&amp;$C2884&amp;"'!$E$12:$Y$12"),0)),0),0)</f>
        <v>230112.72912406956</v>
      </c>
      <c r="I2884" s="366" t="s">
        <v>1685</v>
      </c>
      <c r="J2884" s="348" t="str">
        <f t="shared" ca="1" si="88"/>
        <v>OK</v>
      </c>
      <c r="K2884" s="366" t="s">
        <v>1710</v>
      </c>
      <c r="L2884" s="366" t="s">
        <v>2246</v>
      </c>
      <c r="M2884" s="350" t="str">
        <f>IF($B2884="Portfolio","Portfolio",IFERROR(INDEX(DATA_ASSET_CLASSIFICATION!$B$8:$B$24,MATCH($C2884,DATA_ASSET_CLASSIFICATION!$A$8:$A$24,0)),"Review"))</f>
        <v>Margaret Heights</v>
      </c>
      <c r="N2884" s="350" t="str">
        <f ca="1">IF($B2884="Portfolio","Portfolio",IFERROR(INDEX(DATA_ASSET_CLASSIFICATION!$U$8:$U$24,MATCH($C2884,DATA_ASSET_CLASSIFICATION!$A$8:$A$24,0)),"Review"))</f>
        <v>Refi Watch</v>
      </c>
      <c r="O2884" s="350" t="str">
        <f ca="1">IF($B2884="Portfolio","Portfolio",IFERROR(INDEX(DATA_ASSET_CLASSIFICATION!$AB$8:$AB$13,MATCH($N2884,DATA_ASSET_CLASSIFICATION!$AA$8:$AA$13,0)),"Review"))</f>
        <v>Bucket 2 · Legacy</v>
      </c>
      <c r="P2884" s="350" t="str">
        <f>IF($B2884="Portfolio","Portfolio",IFERROR(INDEX(DATA_ASSET_CLASSIFICATION!$C$8:$C$24,MATCH($C2884,DATA_ASSET_CLASSIFICATION!$A$8:$A$24,0)),"Review"))</f>
        <v>Yes</v>
      </c>
      <c r="Q2884" s="350" t="str">
        <f t="shared" ca="1" si="89"/>
        <v>OK</v>
      </c>
    </row>
    <row r="2885" spans="1:17">
      <c r="A2885" s="366" t="s">
        <v>4841</v>
      </c>
      <c r="B2885" s="366" t="s">
        <v>231</v>
      </c>
      <c r="C2885" s="348" t="str">
        <f>DATA_PROPERTY_MASTER!$A$13</f>
        <v>BLD_MH</v>
      </c>
      <c r="D2885" s="380">
        <f>'00_PORTFOLIO ROLLUP'!U$12</f>
        <v>2041</v>
      </c>
      <c r="E2885" s="366" t="s">
        <v>1683</v>
      </c>
      <c r="F2885" s="366" t="s">
        <v>27</v>
      </c>
      <c r="G2885" s="348" t="str">
        <f>"'"&amp;$C2885&amp;"'!$E$54:$Y$54"</f>
        <v>'BLD_MH'!$E$54:$Y$54</v>
      </c>
      <c r="H2885" s="381">
        <f ca="1">IF(IFERROR(INDEX(DATA_PROPERTY_MASTER!$E$5:$E$21,MATCH($C2885,DATA_PROPERTY_MASTER!$A$5:$A$21,0))="Yes",FALSE),IFERROR(INDEX(INDIRECT("'"&amp;$C2885&amp;"'!$E$54:$Y$54"),1,MATCH($D2885,INDIRECT("'"&amp;$C2885&amp;"'!$E$12:$Y$12"),0)),0),0)</f>
        <v>138067.63747444173</v>
      </c>
      <c r="I2885" s="366" t="s">
        <v>1690</v>
      </c>
      <c r="J2885" s="348" t="str">
        <f t="shared" ref="J2885:J2948" ca="1" si="90">IF($F2885="Residual Funding Gap",IF($H2885&gt;0,"Funding Gap","OK"),IF(AND($F2885="Net Refinance Position",$H2885&lt;0),"Negative net refi position","OK"))</f>
        <v>OK</v>
      </c>
      <c r="K2885" s="366" t="s">
        <v>1714</v>
      </c>
      <c r="L2885" s="366" t="s">
        <v>2248</v>
      </c>
      <c r="M2885" s="350" t="str">
        <f>IF($B2885="Portfolio","Portfolio",IFERROR(INDEX(DATA_ASSET_CLASSIFICATION!$B$8:$B$24,MATCH($C2885,DATA_ASSET_CLASSIFICATION!$A$8:$A$24,0)),"Review"))</f>
        <v>Margaret Heights</v>
      </c>
      <c r="N2885" s="350" t="str">
        <f ca="1">IF($B2885="Portfolio","Portfolio",IFERROR(INDEX(DATA_ASSET_CLASSIFICATION!$U$8:$U$24,MATCH($C2885,DATA_ASSET_CLASSIFICATION!$A$8:$A$24,0)),"Review"))</f>
        <v>Refi Watch</v>
      </c>
      <c r="O2885" s="350" t="str">
        <f ca="1">IF($B2885="Portfolio","Portfolio",IFERROR(INDEX(DATA_ASSET_CLASSIFICATION!$AB$8:$AB$13,MATCH($N2885,DATA_ASSET_CLASSIFICATION!$AA$8:$AA$13,0)),"Review"))</f>
        <v>Bucket 2 · Legacy</v>
      </c>
      <c r="P2885" s="350" t="str">
        <f>IF($B2885="Portfolio","Portfolio",IFERROR(INDEX(DATA_ASSET_CLASSIFICATION!$C$8:$C$24,MATCH($C2885,DATA_ASSET_CLASSIFICATION!$A$8:$A$24,0)),"Review"))</f>
        <v>Yes</v>
      </c>
      <c r="Q2885" s="350" t="str">
        <f t="shared" ref="Q2885:Q2948" ca="1" si="91">IF(AND($B2885="Property",$F2885="Residual Funding Gap",$H2885&gt;0),"Property Funding Gap",IF($J2885&lt;&gt;"OK",$J2885,"OK"))</f>
        <v>OK</v>
      </c>
    </row>
    <row r="2886" spans="1:17">
      <c r="A2886" s="366" t="s">
        <v>4842</v>
      </c>
      <c r="B2886" s="366" t="s">
        <v>231</v>
      </c>
      <c r="C2886" s="348" t="str">
        <f>DATA_PROPERTY_MASTER!$A$13</f>
        <v>BLD_MH</v>
      </c>
      <c r="D2886" s="380">
        <f>'00_PORTFOLIO ROLLUP'!U$12</f>
        <v>2041</v>
      </c>
      <c r="E2886" s="366" t="s">
        <v>1683</v>
      </c>
      <c r="F2886" s="366" t="s">
        <v>29</v>
      </c>
      <c r="G2886" s="348" t="str">
        <f>"'"&amp;$C2886&amp;"'!$E$56:$Y$56"</f>
        <v>'BLD_MH'!$E$56:$Y$56</v>
      </c>
      <c r="H2886" s="381">
        <f ca="1">IF(IFERROR(INDEX(DATA_PROPERTY_MASTER!$E$5:$E$21,MATCH($C2886,DATA_PROPERTY_MASTER!$A$5:$A$21,0))="Yes",FALSE),IFERROR(INDEX(INDIRECT("'"&amp;$C2886&amp;"'!$E$56:$Y$56"),1,MATCH($D2886,INDIRECT("'"&amp;$C2886&amp;"'!$E$12:$Y$12"),0)),0),0)</f>
        <v>92045.091649627837</v>
      </c>
      <c r="I2886" s="366" t="s">
        <v>1685</v>
      </c>
      <c r="J2886" s="348" t="str">
        <f t="shared" ca="1" si="90"/>
        <v>OK</v>
      </c>
      <c r="K2886" s="366" t="s">
        <v>1718</v>
      </c>
      <c r="L2886" s="366" t="s">
        <v>2250</v>
      </c>
      <c r="M2886" s="350" t="str">
        <f>IF($B2886="Portfolio","Portfolio",IFERROR(INDEX(DATA_ASSET_CLASSIFICATION!$B$8:$B$24,MATCH($C2886,DATA_ASSET_CLASSIFICATION!$A$8:$A$24,0)),"Review"))</f>
        <v>Margaret Heights</v>
      </c>
      <c r="N2886" s="350" t="str">
        <f ca="1">IF($B2886="Portfolio","Portfolio",IFERROR(INDEX(DATA_ASSET_CLASSIFICATION!$U$8:$U$24,MATCH($C2886,DATA_ASSET_CLASSIFICATION!$A$8:$A$24,0)),"Review"))</f>
        <v>Refi Watch</v>
      </c>
      <c r="O2886" s="350" t="str">
        <f ca="1">IF($B2886="Portfolio","Portfolio",IFERROR(INDEX(DATA_ASSET_CLASSIFICATION!$AB$8:$AB$13,MATCH($N2886,DATA_ASSET_CLASSIFICATION!$AA$8:$AA$13,0)),"Review"))</f>
        <v>Bucket 2 · Legacy</v>
      </c>
      <c r="P2886" s="350" t="str">
        <f>IF($B2886="Portfolio","Portfolio",IFERROR(INDEX(DATA_ASSET_CLASSIFICATION!$C$8:$C$24,MATCH($C2886,DATA_ASSET_CLASSIFICATION!$A$8:$A$24,0)),"Review"))</f>
        <v>Yes</v>
      </c>
      <c r="Q2886" s="350" t="str">
        <f t="shared" ca="1" si="91"/>
        <v>OK</v>
      </c>
    </row>
    <row r="2887" spans="1:17">
      <c r="A2887" s="366" t="s">
        <v>4843</v>
      </c>
      <c r="B2887" s="366" t="s">
        <v>231</v>
      </c>
      <c r="C2887" s="348" t="str">
        <f>DATA_PROPERTY_MASTER!$A$13</f>
        <v>BLD_MH</v>
      </c>
      <c r="D2887" s="380">
        <f>'00_PORTFOLIO ROLLUP'!U$12</f>
        <v>2041</v>
      </c>
      <c r="E2887" s="366" t="s">
        <v>1721</v>
      </c>
      <c r="F2887" s="366" t="s">
        <v>31</v>
      </c>
      <c r="G2887" s="348" t="str">
        <f>"'"&amp;$C2887&amp;"'!$E$61:$Y$61"</f>
        <v>'BLD_MH'!$E$61:$Y$61</v>
      </c>
      <c r="H2887" s="381">
        <f ca="1">IF(IFERROR(INDEX(DATA_PROPERTY_MASTER!$E$5:$E$21,MATCH($C2887,DATA_PROPERTY_MASTER!$A$5:$A$21,0))="Yes",FALSE),IFERROR(INDEX(INDIRECT("'"&amp;$C2887&amp;"'!$E$61:$Y$61"),1,MATCH($D2887,INDIRECT("'"&amp;$C2887&amp;"'!$E$12:$Y$12"),0)),0),0)</f>
        <v>0</v>
      </c>
      <c r="I2887" s="366" t="s">
        <v>1690</v>
      </c>
      <c r="J2887" s="348" t="str">
        <f t="shared" ca="1" si="90"/>
        <v>OK</v>
      </c>
      <c r="K2887" s="366" t="s">
        <v>1723</v>
      </c>
      <c r="L2887" s="366" t="s">
        <v>2252</v>
      </c>
      <c r="M2887" s="350" t="str">
        <f>IF($B2887="Portfolio","Portfolio",IFERROR(INDEX(DATA_ASSET_CLASSIFICATION!$B$8:$B$24,MATCH($C2887,DATA_ASSET_CLASSIFICATION!$A$8:$A$24,0)),"Review"))</f>
        <v>Margaret Heights</v>
      </c>
      <c r="N2887" s="350" t="str">
        <f ca="1">IF($B2887="Portfolio","Portfolio",IFERROR(INDEX(DATA_ASSET_CLASSIFICATION!$U$8:$U$24,MATCH($C2887,DATA_ASSET_CLASSIFICATION!$A$8:$A$24,0)),"Review"))</f>
        <v>Refi Watch</v>
      </c>
      <c r="O2887" s="350" t="str">
        <f ca="1">IF($B2887="Portfolio","Portfolio",IFERROR(INDEX(DATA_ASSET_CLASSIFICATION!$AB$8:$AB$13,MATCH($N2887,DATA_ASSET_CLASSIFICATION!$AA$8:$AA$13,0)),"Review"))</f>
        <v>Bucket 2 · Legacy</v>
      </c>
      <c r="P2887" s="350" t="str">
        <f>IF($B2887="Portfolio","Portfolio",IFERROR(INDEX(DATA_ASSET_CLASSIFICATION!$C$8:$C$24,MATCH($C2887,DATA_ASSET_CLASSIFICATION!$A$8:$A$24,0)),"Review"))</f>
        <v>Yes</v>
      </c>
      <c r="Q2887" s="350" t="str">
        <f t="shared" ca="1" si="91"/>
        <v>OK</v>
      </c>
    </row>
    <row r="2888" spans="1:17">
      <c r="A2888" s="366" t="s">
        <v>4844</v>
      </c>
      <c r="B2888" s="366" t="s">
        <v>231</v>
      </c>
      <c r="C2888" s="348" t="str">
        <f>DATA_PROPERTY_MASTER!$A$13</f>
        <v>BLD_MH</v>
      </c>
      <c r="D2888" s="380">
        <f>'00_PORTFOLIO ROLLUP'!U$12</f>
        <v>2041</v>
      </c>
      <c r="E2888" s="366" t="s">
        <v>1721</v>
      </c>
      <c r="F2888" s="366" t="s">
        <v>33</v>
      </c>
      <c r="G2888" s="348" t="str">
        <f>"'"&amp;$C2888&amp;"'!$E$62:$Y$62"</f>
        <v>'BLD_MH'!$E$62:$Y$62</v>
      </c>
      <c r="H2888" s="381">
        <f ca="1">IF(IFERROR(INDEX(DATA_PROPERTY_MASTER!$E$5:$E$21,MATCH($C2888,DATA_PROPERTY_MASTER!$A$5:$A$21,0))="Yes",FALSE),IFERROR(INDEX(INDIRECT("'"&amp;$C2888&amp;"'!$E$62:$Y$62"),1,MATCH($D2888,INDIRECT("'"&amp;$C2888&amp;"'!$E$12:$Y$12"),0)),0),0)</f>
        <v>0</v>
      </c>
      <c r="I2888" s="366" t="s">
        <v>1685</v>
      </c>
      <c r="J2888" s="348" t="str">
        <f t="shared" ca="1" si="90"/>
        <v>OK</v>
      </c>
      <c r="K2888" s="366" t="s">
        <v>1727</v>
      </c>
      <c r="L2888" s="366" t="s">
        <v>2254</v>
      </c>
      <c r="M2888" s="350" t="str">
        <f>IF($B2888="Portfolio","Portfolio",IFERROR(INDEX(DATA_ASSET_CLASSIFICATION!$B$8:$B$24,MATCH($C2888,DATA_ASSET_CLASSIFICATION!$A$8:$A$24,0)),"Review"))</f>
        <v>Margaret Heights</v>
      </c>
      <c r="N2888" s="350" t="str">
        <f ca="1">IF($B2888="Portfolio","Portfolio",IFERROR(INDEX(DATA_ASSET_CLASSIFICATION!$U$8:$U$24,MATCH($C2888,DATA_ASSET_CLASSIFICATION!$A$8:$A$24,0)),"Review"))</f>
        <v>Refi Watch</v>
      </c>
      <c r="O2888" s="350" t="str">
        <f ca="1">IF($B2888="Portfolio","Portfolio",IFERROR(INDEX(DATA_ASSET_CLASSIFICATION!$AB$8:$AB$13,MATCH($N2888,DATA_ASSET_CLASSIFICATION!$AA$8:$AA$13,0)),"Review"))</f>
        <v>Bucket 2 · Legacy</v>
      </c>
      <c r="P2888" s="350" t="str">
        <f>IF($B2888="Portfolio","Portfolio",IFERROR(INDEX(DATA_ASSET_CLASSIFICATION!$C$8:$C$24,MATCH($C2888,DATA_ASSET_CLASSIFICATION!$A$8:$A$24,0)),"Review"))</f>
        <v>Yes</v>
      </c>
      <c r="Q2888" s="350" t="str">
        <f t="shared" ca="1" si="91"/>
        <v>OK</v>
      </c>
    </row>
    <row r="2889" spans="1:17">
      <c r="A2889" s="366" t="s">
        <v>4845</v>
      </c>
      <c r="B2889" s="366" t="s">
        <v>231</v>
      </c>
      <c r="C2889" s="348" t="str">
        <f>DATA_PROPERTY_MASTER!$A$13</f>
        <v>BLD_MH</v>
      </c>
      <c r="D2889" s="380">
        <f>'00_PORTFOLIO ROLLUP'!U$12</f>
        <v>2041</v>
      </c>
      <c r="E2889" s="366" t="s">
        <v>1721</v>
      </c>
      <c r="F2889" s="366" t="s">
        <v>35</v>
      </c>
      <c r="G2889" s="348" t="str">
        <f>"'"&amp;$C2889&amp;"'!$E$63:$Y$63"</f>
        <v>'BLD_MH'!$E$63:$Y$63</v>
      </c>
      <c r="H2889" s="381">
        <f ca="1">IF(IFERROR(INDEX(DATA_PROPERTY_MASTER!$E$5:$E$21,MATCH($C2889,DATA_PROPERTY_MASTER!$A$5:$A$21,0))="Yes",FALSE),IFERROR(INDEX(INDIRECT("'"&amp;$C2889&amp;"'!$E$63:$Y$63"),1,MATCH($D2889,INDIRECT("'"&amp;$C2889&amp;"'!$E$12:$Y$12"),0)),0),0)</f>
        <v>0</v>
      </c>
      <c r="I2889" s="366" t="s">
        <v>1731</v>
      </c>
      <c r="J2889" s="348" t="str">
        <f t="shared" ca="1" si="90"/>
        <v>OK</v>
      </c>
      <c r="K2889" s="366" t="s">
        <v>1732</v>
      </c>
      <c r="L2889" s="366" t="s">
        <v>2256</v>
      </c>
      <c r="M2889" s="350" t="str">
        <f>IF($B2889="Portfolio","Portfolio",IFERROR(INDEX(DATA_ASSET_CLASSIFICATION!$B$8:$B$24,MATCH($C2889,DATA_ASSET_CLASSIFICATION!$A$8:$A$24,0)),"Review"))</f>
        <v>Margaret Heights</v>
      </c>
      <c r="N2889" s="350" t="str">
        <f ca="1">IF($B2889="Portfolio","Portfolio",IFERROR(INDEX(DATA_ASSET_CLASSIFICATION!$U$8:$U$24,MATCH($C2889,DATA_ASSET_CLASSIFICATION!$A$8:$A$24,0)),"Review"))</f>
        <v>Refi Watch</v>
      </c>
      <c r="O2889" s="350" t="str">
        <f ca="1">IF($B2889="Portfolio","Portfolio",IFERROR(INDEX(DATA_ASSET_CLASSIFICATION!$AB$8:$AB$13,MATCH($N2889,DATA_ASSET_CLASSIFICATION!$AA$8:$AA$13,0)),"Review"))</f>
        <v>Bucket 2 · Legacy</v>
      </c>
      <c r="P2889" s="350" t="str">
        <f>IF($B2889="Portfolio","Portfolio",IFERROR(INDEX(DATA_ASSET_CLASSIFICATION!$C$8:$C$24,MATCH($C2889,DATA_ASSET_CLASSIFICATION!$A$8:$A$24,0)),"Review"))</f>
        <v>Yes</v>
      </c>
      <c r="Q2889" s="350" t="str">
        <f t="shared" ca="1" si="91"/>
        <v>OK</v>
      </c>
    </row>
    <row r="2890" spans="1:17">
      <c r="A2890" s="366" t="s">
        <v>4846</v>
      </c>
      <c r="B2890" s="366" t="s">
        <v>231</v>
      </c>
      <c r="C2890" s="348" t="str">
        <f>DATA_PROPERTY_MASTER!$A$13</f>
        <v>BLD_MH</v>
      </c>
      <c r="D2890" s="380">
        <f>'00_PORTFOLIO ROLLUP'!U$12</f>
        <v>2041</v>
      </c>
      <c r="E2890" s="366" t="s">
        <v>1721</v>
      </c>
      <c r="F2890" s="366" t="s">
        <v>37</v>
      </c>
      <c r="G2890" s="348" t="str">
        <f>"'"&amp;$C2890&amp;"'!$E$63:$Y$63"</f>
        <v>'BLD_MH'!$E$63:$Y$63</v>
      </c>
      <c r="H2890" s="381">
        <f ca="1">IF(IFERROR(INDEX(DATA_PROPERTY_MASTER!$E$5:$E$21,MATCH($C2890,DATA_PROPERTY_MASTER!$A$5:$A$21,0))="Yes",FALSE),MAX(IFERROR(INDEX(INDIRECT("'"&amp;$C2890&amp;"'!$E$63:$Y$63"),1,MATCH($D2890,INDIRECT("'"&amp;$C2890&amp;"'!$E$12:$Y$12"),0)),0),0),0)</f>
        <v>0</v>
      </c>
      <c r="I2890" s="366" t="s">
        <v>1685</v>
      </c>
      <c r="J2890" s="348" t="str">
        <f t="shared" ca="1" si="90"/>
        <v>OK</v>
      </c>
      <c r="K2890" s="366" t="s">
        <v>1735</v>
      </c>
      <c r="L2890" s="366" t="s">
        <v>2258</v>
      </c>
      <c r="M2890" s="350" t="str">
        <f>IF($B2890="Portfolio","Portfolio",IFERROR(INDEX(DATA_ASSET_CLASSIFICATION!$B$8:$B$24,MATCH($C2890,DATA_ASSET_CLASSIFICATION!$A$8:$A$24,0)),"Review"))</f>
        <v>Margaret Heights</v>
      </c>
      <c r="N2890" s="350" t="str">
        <f ca="1">IF($B2890="Portfolio","Portfolio",IFERROR(INDEX(DATA_ASSET_CLASSIFICATION!$U$8:$U$24,MATCH($C2890,DATA_ASSET_CLASSIFICATION!$A$8:$A$24,0)),"Review"))</f>
        <v>Refi Watch</v>
      </c>
      <c r="O2890" s="350" t="str">
        <f ca="1">IF($B2890="Portfolio","Portfolio",IFERROR(INDEX(DATA_ASSET_CLASSIFICATION!$AB$8:$AB$13,MATCH($N2890,DATA_ASSET_CLASSIFICATION!$AA$8:$AA$13,0)),"Review"))</f>
        <v>Bucket 2 · Legacy</v>
      </c>
      <c r="P2890" s="350" t="str">
        <f>IF($B2890="Portfolio","Portfolio",IFERROR(INDEX(DATA_ASSET_CLASSIFICATION!$C$8:$C$24,MATCH($C2890,DATA_ASSET_CLASSIFICATION!$A$8:$A$24,0)),"Review"))</f>
        <v>Yes</v>
      </c>
      <c r="Q2890" s="350" t="str">
        <f t="shared" ca="1" si="91"/>
        <v>OK</v>
      </c>
    </row>
    <row r="2891" spans="1:17">
      <c r="A2891" s="366" t="s">
        <v>4847</v>
      </c>
      <c r="B2891" s="366" t="s">
        <v>231</v>
      </c>
      <c r="C2891" s="348" t="str">
        <f>DATA_PROPERTY_MASTER!$A$13</f>
        <v>BLD_MH</v>
      </c>
      <c r="D2891" s="380">
        <f>'00_PORTFOLIO ROLLUP'!U$12</f>
        <v>2041</v>
      </c>
      <c r="E2891" s="366" t="s">
        <v>1721</v>
      </c>
      <c r="F2891" s="366" t="s">
        <v>39</v>
      </c>
      <c r="G2891" s="348" t="str">
        <f>"'"&amp;$C2891&amp;"'!$E$63:$Y$63"</f>
        <v>'BLD_MH'!$E$63:$Y$63</v>
      </c>
      <c r="H2891" s="381">
        <f ca="1">IF(IFERROR(INDEX(DATA_PROPERTY_MASTER!$E$5:$E$21,MATCH($C2891,DATA_PROPERTY_MASTER!$A$5:$A$21,0))="Yes",FALSE),MAX(-IFERROR(INDEX(INDIRECT("'"&amp;$C2891&amp;"'!$E$63:$Y$63"),1,MATCH($D2891,INDIRECT("'"&amp;$C2891&amp;"'!$E$12:$Y$12"),0)),0),0),0)</f>
        <v>0</v>
      </c>
      <c r="I2891" s="366" t="s">
        <v>1690</v>
      </c>
      <c r="J2891" s="348" t="str">
        <f t="shared" ca="1" si="90"/>
        <v>OK</v>
      </c>
      <c r="K2891" s="366" t="s">
        <v>1738</v>
      </c>
      <c r="L2891" s="366" t="s">
        <v>2260</v>
      </c>
      <c r="M2891" s="350" t="str">
        <f>IF($B2891="Portfolio","Portfolio",IFERROR(INDEX(DATA_ASSET_CLASSIFICATION!$B$8:$B$24,MATCH($C2891,DATA_ASSET_CLASSIFICATION!$A$8:$A$24,0)),"Review"))</f>
        <v>Margaret Heights</v>
      </c>
      <c r="N2891" s="350" t="str">
        <f ca="1">IF($B2891="Portfolio","Portfolio",IFERROR(INDEX(DATA_ASSET_CLASSIFICATION!$U$8:$U$24,MATCH($C2891,DATA_ASSET_CLASSIFICATION!$A$8:$A$24,0)),"Review"))</f>
        <v>Refi Watch</v>
      </c>
      <c r="O2891" s="350" t="str">
        <f ca="1">IF($B2891="Portfolio","Portfolio",IFERROR(INDEX(DATA_ASSET_CLASSIFICATION!$AB$8:$AB$13,MATCH($N2891,DATA_ASSET_CLASSIFICATION!$AA$8:$AA$13,0)),"Review"))</f>
        <v>Bucket 2 · Legacy</v>
      </c>
      <c r="P2891" s="350" t="str">
        <f>IF($B2891="Portfolio","Portfolio",IFERROR(INDEX(DATA_ASSET_CLASSIFICATION!$C$8:$C$24,MATCH($C2891,DATA_ASSET_CLASSIFICATION!$A$8:$A$24,0)),"Review"))</f>
        <v>Yes</v>
      </c>
      <c r="Q2891" s="350" t="str">
        <f t="shared" ca="1" si="91"/>
        <v>OK</v>
      </c>
    </row>
    <row r="2892" spans="1:17">
      <c r="A2892" s="366" t="s">
        <v>4848</v>
      </c>
      <c r="B2892" s="366" t="s">
        <v>231</v>
      </c>
      <c r="C2892" s="348" t="str">
        <f>DATA_PROPERTY_MASTER!$A$13</f>
        <v>BLD_MH</v>
      </c>
      <c r="D2892" s="380">
        <f>'00_PORTFOLIO ROLLUP'!U$12</f>
        <v>2041</v>
      </c>
      <c r="E2892" s="366" t="s">
        <v>1741</v>
      </c>
      <c r="F2892" s="366" t="s">
        <v>41</v>
      </c>
      <c r="G2892" s="348" t="str">
        <f>"'"&amp;$C2892&amp;"'!rows 56 + positive row 63"</f>
        <v>'BLD_MH'!rows 56 + positive row 63</v>
      </c>
      <c r="H2892" s="381">
        <f ca="1">IF(IFERROR(INDEX(DATA_PROPERTY_MASTER!$E$5:$E$21,MATCH($C2892,DATA_PROPERTY_MASTER!$A$5:$A$21,0))="Yes",FALSE),IFERROR(INDEX(INDIRECT("'"&amp;$C2892&amp;"'!$E$56:$Y$56"),1,MATCH($D2892,INDIRECT("'"&amp;$C2892&amp;"'!$E$12:$Y$12"),0)),0)+MAX(IFERROR(INDEX(INDIRECT("'"&amp;$C2892&amp;"'!$E$63:$Y$63"),1,MATCH($D2892,INDIRECT("'"&amp;$C2892&amp;"'!$E$12:$Y$12"),0)),0),0),0)</f>
        <v>92045.091649627837</v>
      </c>
      <c r="I2892" s="366" t="s">
        <v>1685</v>
      </c>
      <c r="J2892" s="348" t="str">
        <f t="shared" ca="1" si="90"/>
        <v>OK</v>
      </c>
      <c r="K2892" s="366" t="s">
        <v>1742</v>
      </c>
      <c r="L2892" s="366" t="s">
        <v>2262</v>
      </c>
      <c r="M2892" s="350" t="str">
        <f>IF($B2892="Portfolio","Portfolio",IFERROR(INDEX(DATA_ASSET_CLASSIFICATION!$B$8:$B$24,MATCH($C2892,DATA_ASSET_CLASSIFICATION!$A$8:$A$24,0)),"Review"))</f>
        <v>Margaret Heights</v>
      </c>
      <c r="N2892" s="350" t="str">
        <f ca="1">IF($B2892="Portfolio","Portfolio",IFERROR(INDEX(DATA_ASSET_CLASSIFICATION!$U$8:$U$24,MATCH($C2892,DATA_ASSET_CLASSIFICATION!$A$8:$A$24,0)),"Review"))</f>
        <v>Refi Watch</v>
      </c>
      <c r="O2892" s="350" t="str">
        <f ca="1">IF($B2892="Portfolio","Portfolio",IFERROR(INDEX(DATA_ASSET_CLASSIFICATION!$AB$8:$AB$13,MATCH($N2892,DATA_ASSET_CLASSIFICATION!$AA$8:$AA$13,0)),"Review"))</f>
        <v>Bucket 2 · Legacy</v>
      </c>
      <c r="P2892" s="350" t="str">
        <f>IF($B2892="Portfolio","Portfolio",IFERROR(INDEX(DATA_ASSET_CLASSIFICATION!$C$8:$C$24,MATCH($C2892,DATA_ASSET_CLASSIFICATION!$A$8:$A$24,0)),"Review"))</f>
        <v>Yes</v>
      </c>
      <c r="Q2892" s="350" t="str">
        <f t="shared" ca="1" si="91"/>
        <v>OK</v>
      </c>
    </row>
    <row r="2893" spans="1:17">
      <c r="A2893" s="366" t="s">
        <v>4849</v>
      </c>
      <c r="B2893" s="366" t="s">
        <v>231</v>
      </c>
      <c r="C2893" s="348" t="str">
        <f>DATA_PROPERTY_MASTER!$A$13</f>
        <v>BLD_MH</v>
      </c>
      <c r="D2893" s="380">
        <f>'00_PORTFOLIO ROLLUP'!U$12</f>
        <v>2041</v>
      </c>
      <c r="E2893" s="366" t="s">
        <v>1741</v>
      </c>
      <c r="F2893" s="366" t="s">
        <v>43</v>
      </c>
      <c r="G2893" s="348" t="str">
        <f>"'"&amp;$C2893&amp;"'!$E$68:$Y$68"</f>
        <v>'BLD_MH'!$E$68:$Y$68</v>
      </c>
      <c r="H2893" s="381">
        <f ca="1">IF(IFERROR(INDEX(DATA_PROPERTY_MASTER!$E$5:$E$21,MATCH($C2893,DATA_PROPERTY_MASTER!$A$5:$A$21,0))="Yes",FALSE),IFERROR(INDEX(INDIRECT("'"&amp;$C2893&amp;"'!$E$68:$Y$68"),1,MATCH($D2893,INDIRECT("'"&amp;$C2893&amp;"'!$E$12:$Y$12"),0)),0),0)</f>
        <v>92045.091649627837</v>
      </c>
      <c r="I2893" s="366" t="s">
        <v>1731</v>
      </c>
      <c r="J2893" s="348" t="str">
        <f t="shared" ca="1" si="90"/>
        <v>OK</v>
      </c>
      <c r="K2893" s="366" t="s">
        <v>1746</v>
      </c>
      <c r="L2893" s="366" t="s">
        <v>2264</v>
      </c>
      <c r="M2893" s="350" t="str">
        <f>IF($B2893="Portfolio","Portfolio",IFERROR(INDEX(DATA_ASSET_CLASSIFICATION!$B$8:$B$24,MATCH($C2893,DATA_ASSET_CLASSIFICATION!$A$8:$A$24,0)),"Review"))</f>
        <v>Margaret Heights</v>
      </c>
      <c r="N2893" s="350" t="str">
        <f ca="1">IF($B2893="Portfolio","Portfolio",IFERROR(INDEX(DATA_ASSET_CLASSIFICATION!$U$8:$U$24,MATCH($C2893,DATA_ASSET_CLASSIFICATION!$A$8:$A$24,0)),"Review"))</f>
        <v>Refi Watch</v>
      </c>
      <c r="O2893" s="350" t="str">
        <f ca="1">IF($B2893="Portfolio","Portfolio",IFERROR(INDEX(DATA_ASSET_CLASSIFICATION!$AB$8:$AB$13,MATCH($N2893,DATA_ASSET_CLASSIFICATION!$AA$8:$AA$13,0)),"Review"))</f>
        <v>Bucket 2 · Legacy</v>
      </c>
      <c r="P2893" s="350" t="str">
        <f>IF($B2893="Portfolio","Portfolio",IFERROR(INDEX(DATA_ASSET_CLASSIFICATION!$C$8:$C$24,MATCH($C2893,DATA_ASSET_CLASSIFICATION!$A$8:$A$24,0)),"Review"))</f>
        <v>Yes</v>
      </c>
      <c r="Q2893" s="350" t="str">
        <f t="shared" ca="1" si="91"/>
        <v>OK</v>
      </c>
    </row>
    <row r="2894" spans="1:17">
      <c r="A2894" s="366" t="s">
        <v>4850</v>
      </c>
      <c r="B2894" s="366" t="s">
        <v>231</v>
      </c>
      <c r="C2894" s="348" t="str">
        <f>DATA_PROPERTY_MASTER!$A$13</f>
        <v>BLD_MH</v>
      </c>
      <c r="D2894" s="380">
        <f>'00_PORTFOLIO ROLLUP'!U$12</f>
        <v>2041</v>
      </c>
      <c r="E2894" s="366" t="s">
        <v>1741</v>
      </c>
      <c r="F2894" s="366" t="s">
        <v>1749</v>
      </c>
      <c r="G2894" s="348" t="str">
        <f>"'"&amp;$C2894&amp;"'!rows 56, 63, 68"</f>
        <v>'BLD_MH'!rows 56, 63, 68</v>
      </c>
      <c r="H2894" s="381">
        <f ca="1">IF(IFERROR(INDEX(DATA_PROPERTY_MASTER!$E$5:$E$21,MATCH($C2894,DATA_PROPERTY_MASTER!$A$5:$A$21,0))="Yes",FALSE),(IFERROR(INDEX(INDIRECT("'"&amp;$C2894&amp;"'!$E$56:$Y$56"),1,MATCH($D2894,INDIRECT("'"&amp;$C2894&amp;"'!$E$12:$Y$12"),0)),0)+MAX(IFERROR(INDEX(INDIRECT("'"&amp;$C2894&amp;"'!$E$63:$Y$63"),1,MATCH($D2894,INDIRECT("'"&amp;$C2894&amp;"'!$E$12:$Y$12"),0)),0),0))-(IFERROR(INDEX(INDIRECT("'"&amp;$C2894&amp;"'!$E$68:$Y$68"),1,MATCH($D2894,INDIRECT("'"&amp;$C2894&amp;"'!$E$12:$Y$12"),0)),0)),0)</f>
        <v>0</v>
      </c>
      <c r="I2894" s="366" t="s">
        <v>1750</v>
      </c>
      <c r="J2894" s="348" t="str">
        <f t="shared" ca="1" si="90"/>
        <v>OK</v>
      </c>
      <c r="K2894" s="366" t="s">
        <v>1751</v>
      </c>
      <c r="L2894" s="366" t="s">
        <v>2266</v>
      </c>
      <c r="M2894" s="350" t="str">
        <f>IF($B2894="Portfolio","Portfolio",IFERROR(INDEX(DATA_ASSET_CLASSIFICATION!$B$8:$B$24,MATCH($C2894,DATA_ASSET_CLASSIFICATION!$A$8:$A$24,0)),"Review"))</f>
        <v>Margaret Heights</v>
      </c>
      <c r="N2894" s="350" t="str">
        <f ca="1">IF($B2894="Portfolio","Portfolio",IFERROR(INDEX(DATA_ASSET_CLASSIFICATION!$U$8:$U$24,MATCH($C2894,DATA_ASSET_CLASSIFICATION!$A$8:$A$24,0)),"Review"))</f>
        <v>Refi Watch</v>
      </c>
      <c r="O2894" s="350" t="str">
        <f ca="1">IF($B2894="Portfolio","Portfolio",IFERROR(INDEX(DATA_ASSET_CLASSIFICATION!$AB$8:$AB$13,MATCH($N2894,DATA_ASSET_CLASSIFICATION!$AA$8:$AA$13,0)),"Review"))</f>
        <v>Bucket 2 · Legacy</v>
      </c>
      <c r="P2894" s="350" t="str">
        <f>IF($B2894="Portfolio","Portfolio",IFERROR(INDEX(DATA_ASSET_CLASSIFICATION!$C$8:$C$24,MATCH($C2894,DATA_ASSET_CLASSIFICATION!$A$8:$A$24,0)),"Review"))</f>
        <v>Yes</v>
      </c>
      <c r="Q2894" s="350" t="str">
        <f t="shared" ca="1" si="91"/>
        <v>OK</v>
      </c>
    </row>
    <row r="2895" spans="1:17">
      <c r="A2895" s="366" t="s">
        <v>4851</v>
      </c>
      <c r="B2895" s="366" t="s">
        <v>231</v>
      </c>
      <c r="C2895" s="348" t="str">
        <f>DATA_PROPERTY_MASTER!$A$14</f>
        <v>BLD_MM</v>
      </c>
      <c r="D2895" s="380">
        <f>'00_PORTFOLIO ROLLUP'!E$12</f>
        <v>2025</v>
      </c>
      <c r="E2895" s="366" t="s">
        <v>1683</v>
      </c>
      <c r="F2895" s="366" t="s">
        <v>341</v>
      </c>
      <c r="G2895" s="348" t="str">
        <f>"'"&amp;$C2895&amp;"'!$E$24:$Y$24"</f>
        <v>'BLD_MM'!$E$24:$Y$24</v>
      </c>
      <c r="H2895" s="381">
        <f ca="1">IF(IFERROR(INDEX(DATA_PROPERTY_MASTER!$E$5:$E$21,MATCH($C2895,DATA_PROPERTY_MASTER!$A$5:$A$21,0))="Yes",FALSE),IFERROR(INDEX(INDIRECT("'"&amp;$C2895&amp;"'!$E$24:$Y$24"),1,MATCH($D2895,INDIRECT("'"&amp;$C2895&amp;"'!$E$12:$Y$12"),0)),0),0)</f>
        <v>781000.51400000008</v>
      </c>
      <c r="I2895" s="366" t="s">
        <v>1685</v>
      </c>
      <c r="J2895" s="348" t="str">
        <f t="shared" ca="1" si="90"/>
        <v>OK</v>
      </c>
      <c r="K2895" s="366" t="s">
        <v>1686</v>
      </c>
      <c r="L2895" s="366" t="s">
        <v>2234</v>
      </c>
      <c r="M2895" s="350" t="str">
        <f>IF($B2895="Portfolio","Portfolio",IFERROR(INDEX(DATA_ASSET_CLASSIFICATION!$B$8:$B$24,MATCH($C2895,DATA_ASSET_CLASSIFICATION!$A$8:$A$24,0)),"Review"))</f>
        <v>Murray Manor</v>
      </c>
      <c r="N2895" s="350" t="str">
        <f ca="1">IF($B2895="Portfolio","Portfolio",IFERROR(INDEX(DATA_ASSET_CLASSIFICATION!$U$8:$U$24,MATCH($C2895,DATA_ASSET_CLASSIFICATION!$A$8:$A$24,0)),"Review"))</f>
        <v>Refi Watch</v>
      </c>
      <c r="O2895" s="350" t="str">
        <f ca="1">IF($B2895="Portfolio","Portfolio",IFERROR(INDEX(DATA_ASSET_CLASSIFICATION!$AB$8:$AB$13,MATCH($N2895,DATA_ASSET_CLASSIFICATION!$AA$8:$AA$13,0)),"Review"))</f>
        <v>Bucket 2 · Legacy</v>
      </c>
      <c r="P2895" s="350" t="str">
        <f>IF($B2895="Portfolio","Portfolio",IFERROR(INDEX(DATA_ASSET_CLASSIFICATION!$C$8:$C$24,MATCH($C2895,DATA_ASSET_CLASSIFICATION!$A$8:$A$24,0)),"Review"))</f>
        <v>Yes</v>
      </c>
      <c r="Q2895" s="350" t="str">
        <f t="shared" ca="1" si="91"/>
        <v>OK</v>
      </c>
    </row>
    <row r="2896" spans="1:17">
      <c r="A2896" s="366" t="s">
        <v>4852</v>
      </c>
      <c r="B2896" s="366" t="s">
        <v>231</v>
      </c>
      <c r="C2896" s="348" t="str">
        <f>DATA_PROPERTY_MASTER!$A$14</f>
        <v>BLD_MM</v>
      </c>
      <c r="D2896" s="380">
        <f>'00_PORTFOLIO ROLLUP'!E$12</f>
        <v>2025</v>
      </c>
      <c r="E2896" s="366" t="s">
        <v>1683</v>
      </c>
      <c r="F2896" s="366" t="s">
        <v>355</v>
      </c>
      <c r="G2896" s="348" t="str">
        <f>"'"&amp;$C2896&amp;"'!$E$39:$Y$39"</f>
        <v>'BLD_MM'!$E$39:$Y$39</v>
      </c>
      <c r="H2896" s="381">
        <f ca="1">IF(IFERROR(INDEX(DATA_PROPERTY_MASTER!$E$5:$E$21,MATCH($C2896,DATA_PROPERTY_MASTER!$A$5:$A$21,0))="Yes",FALSE),IFERROR(INDEX(INDIRECT("'"&amp;$C2896&amp;"'!$E$39:$Y$39"),1,MATCH($D2896,INDIRECT("'"&amp;$C2896&amp;"'!$E$12:$Y$12"),0)),0),0)</f>
        <v>278394</v>
      </c>
      <c r="I2896" s="366" t="s">
        <v>1690</v>
      </c>
      <c r="J2896" s="348" t="str">
        <f t="shared" ca="1" si="90"/>
        <v>OK</v>
      </c>
      <c r="K2896" s="366" t="s">
        <v>1686</v>
      </c>
      <c r="L2896" s="366" t="s">
        <v>2236</v>
      </c>
      <c r="M2896" s="350" t="str">
        <f>IF($B2896="Portfolio","Portfolio",IFERROR(INDEX(DATA_ASSET_CLASSIFICATION!$B$8:$B$24,MATCH($C2896,DATA_ASSET_CLASSIFICATION!$A$8:$A$24,0)),"Review"))</f>
        <v>Murray Manor</v>
      </c>
      <c r="N2896" s="350" t="str">
        <f ca="1">IF($B2896="Portfolio","Portfolio",IFERROR(INDEX(DATA_ASSET_CLASSIFICATION!$U$8:$U$24,MATCH($C2896,DATA_ASSET_CLASSIFICATION!$A$8:$A$24,0)),"Review"))</f>
        <v>Refi Watch</v>
      </c>
      <c r="O2896" s="350" t="str">
        <f ca="1">IF($B2896="Portfolio","Portfolio",IFERROR(INDEX(DATA_ASSET_CLASSIFICATION!$AB$8:$AB$13,MATCH($N2896,DATA_ASSET_CLASSIFICATION!$AA$8:$AA$13,0)),"Review"))</f>
        <v>Bucket 2 · Legacy</v>
      </c>
      <c r="P2896" s="350" t="str">
        <f>IF($B2896="Portfolio","Portfolio",IFERROR(INDEX(DATA_ASSET_CLASSIFICATION!$C$8:$C$24,MATCH($C2896,DATA_ASSET_CLASSIFICATION!$A$8:$A$24,0)),"Review"))</f>
        <v>Yes</v>
      </c>
      <c r="Q2896" s="350" t="str">
        <f t="shared" ca="1" si="91"/>
        <v>OK</v>
      </c>
    </row>
    <row r="2897" spans="1:17">
      <c r="A2897" s="366" t="s">
        <v>4853</v>
      </c>
      <c r="B2897" s="366" t="s">
        <v>231</v>
      </c>
      <c r="C2897" s="348" t="str">
        <f>DATA_PROPERTY_MASTER!$A$14</f>
        <v>BLD_MM</v>
      </c>
      <c r="D2897" s="380">
        <f>'00_PORTFOLIO ROLLUP'!E$12</f>
        <v>2025</v>
      </c>
      <c r="E2897" s="366" t="s">
        <v>1683</v>
      </c>
      <c r="F2897" s="366" t="s">
        <v>19</v>
      </c>
      <c r="G2897" s="348" t="str">
        <f>"'"&amp;$C2897&amp;"'!$E$41:$Y$41"</f>
        <v>'BLD_MM'!$E$41:$Y$41</v>
      </c>
      <c r="H2897" s="381">
        <f ca="1">IF(IFERROR(INDEX(DATA_PROPERTY_MASTER!$E$5:$E$21,MATCH($C2897,DATA_PROPERTY_MASTER!$A$5:$A$21,0))="Yes",FALSE),IFERROR(INDEX(INDIRECT("'"&amp;$C2897&amp;"'!$E$41:$Y$41"),1,MATCH($D2897,INDIRECT("'"&amp;$C2897&amp;"'!$E$12:$Y$12"),0)),0),0)</f>
        <v>502606.51400000008</v>
      </c>
      <c r="I2897" s="366" t="s">
        <v>1685</v>
      </c>
      <c r="J2897" s="348" t="str">
        <f t="shared" ca="1" si="90"/>
        <v>OK</v>
      </c>
      <c r="K2897" s="366" t="s">
        <v>1694</v>
      </c>
      <c r="L2897" s="366" t="s">
        <v>2238</v>
      </c>
      <c r="M2897" s="350" t="str">
        <f>IF($B2897="Portfolio","Portfolio",IFERROR(INDEX(DATA_ASSET_CLASSIFICATION!$B$8:$B$24,MATCH($C2897,DATA_ASSET_CLASSIFICATION!$A$8:$A$24,0)),"Review"))</f>
        <v>Murray Manor</v>
      </c>
      <c r="N2897" s="350" t="str">
        <f ca="1">IF($B2897="Portfolio","Portfolio",IFERROR(INDEX(DATA_ASSET_CLASSIFICATION!$U$8:$U$24,MATCH($C2897,DATA_ASSET_CLASSIFICATION!$A$8:$A$24,0)),"Review"))</f>
        <v>Refi Watch</v>
      </c>
      <c r="O2897" s="350" t="str">
        <f ca="1">IF($B2897="Portfolio","Portfolio",IFERROR(INDEX(DATA_ASSET_CLASSIFICATION!$AB$8:$AB$13,MATCH($N2897,DATA_ASSET_CLASSIFICATION!$AA$8:$AA$13,0)),"Review"))</f>
        <v>Bucket 2 · Legacy</v>
      </c>
      <c r="P2897" s="350" t="str">
        <f>IF($B2897="Portfolio","Portfolio",IFERROR(INDEX(DATA_ASSET_CLASSIFICATION!$C$8:$C$24,MATCH($C2897,DATA_ASSET_CLASSIFICATION!$A$8:$A$24,0)),"Review"))</f>
        <v>Yes</v>
      </c>
      <c r="Q2897" s="350" t="str">
        <f t="shared" ca="1" si="91"/>
        <v>OK</v>
      </c>
    </row>
    <row r="2898" spans="1:17">
      <c r="A2898" s="366" t="s">
        <v>4854</v>
      </c>
      <c r="B2898" s="366" t="s">
        <v>231</v>
      </c>
      <c r="C2898" s="348" t="str">
        <f>DATA_PROPERTY_MASTER!$A$14</f>
        <v>BLD_MM</v>
      </c>
      <c r="D2898" s="380">
        <f>'00_PORTFOLIO ROLLUP'!E$12</f>
        <v>2025</v>
      </c>
      <c r="E2898" s="366" t="s">
        <v>1683</v>
      </c>
      <c r="F2898" s="366" t="s">
        <v>1697</v>
      </c>
      <c r="G2898" s="348" t="str">
        <f>"'"&amp;$C2898&amp;"'!$E$44:$Y$44"</f>
        <v>'BLD_MM'!$E$44:$Y$44</v>
      </c>
      <c r="H2898" s="381">
        <f ca="1">IF(IFERROR(INDEX(DATA_PROPERTY_MASTER!$E$5:$E$21,MATCH($C2898,DATA_PROPERTY_MASTER!$A$5:$A$21,0))="Yes",FALSE),IFERROR(INDEX(INDIRECT("'"&amp;$C2898&amp;"'!$E$44:$Y$44"),1,MATCH($D2898,INDIRECT("'"&amp;$C2898&amp;"'!$E$12:$Y$12"),0)),0),0)</f>
        <v>7050</v>
      </c>
      <c r="I2898" s="366" t="s">
        <v>1690</v>
      </c>
      <c r="J2898" s="348" t="str">
        <f t="shared" ca="1" si="90"/>
        <v>OK</v>
      </c>
      <c r="K2898" s="366" t="s">
        <v>1699</v>
      </c>
      <c r="L2898" s="366" t="s">
        <v>2240</v>
      </c>
      <c r="M2898" s="350" t="str">
        <f>IF($B2898="Portfolio","Portfolio",IFERROR(INDEX(DATA_ASSET_CLASSIFICATION!$B$8:$B$24,MATCH($C2898,DATA_ASSET_CLASSIFICATION!$A$8:$A$24,0)),"Review"))</f>
        <v>Murray Manor</v>
      </c>
      <c r="N2898" s="350" t="str">
        <f ca="1">IF($B2898="Portfolio","Portfolio",IFERROR(INDEX(DATA_ASSET_CLASSIFICATION!$U$8:$U$24,MATCH($C2898,DATA_ASSET_CLASSIFICATION!$A$8:$A$24,0)),"Review"))</f>
        <v>Refi Watch</v>
      </c>
      <c r="O2898" s="350" t="str">
        <f ca="1">IF($B2898="Portfolio","Portfolio",IFERROR(INDEX(DATA_ASSET_CLASSIFICATION!$AB$8:$AB$13,MATCH($N2898,DATA_ASSET_CLASSIFICATION!$AA$8:$AA$13,0)),"Review"))</f>
        <v>Bucket 2 · Legacy</v>
      </c>
      <c r="P2898" s="350" t="str">
        <f>IF($B2898="Portfolio","Portfolio",IFERROR(INDEX(DATA_ASSET_CLASSIFICATION!$C$8:$C$24,MATCH($C2898,DATA_ASSET_CLASSIFICATION!$A$8:$A$24,0)),"Review"))</f>
        <v>Yes</v>
      </c>
      <c r="Q2898" s="350" t="str">
        <f t="shared" ca="1" si="91"/>
        <v>OK</v>
      </c>
    </row>
    <row r="2899" spans="1:17">
      <c r="A2899" s="366" t="s">
        <v>4855</v>
      </c>
      <c r="B2899" s="366" t="s">
        <v>231</v>
      </c>
      <c r="C2899" s="348" t="str">
        <f>DATA_PROPERTY_MASTER!$A$14</f>
        <v>BLD_MM</v>
      </c>
      <c r="D2899" s="380">
        <f>'00_PORTFOLIO ROLLUP'!E$12</f>
        <v>2025</v>
      </c>
      <c r="E2899" s="366" t="s">
        <v>1683</v>
      </c>
      <c r="F2899" s="366" t="s">
        <v>21</v>
      </c>
      <c r="G2899" s="348" t="str">
        <f>"'"&amp;$C2899&amp;"'!$E$45:$Y$45"</f>
        <v>'BLD_MM'!$E$45:$Y$45</v>
      </c>
      <c r="H2899" s="381">
        <f ca="1">IF(IFERROR(INDEX(DATA_PROPERTY_MASTER!$E$5:$E$21,MATCH($C2899,DATA_PROPERTY_MASTER!$A$5:$A$21,0))="Yes",FALSE),IFERROR(INDEX(INDIRECT("'"&amp;$C2899&amp;"'!$E$45:$Y$45"),1,MATCH($D2899,INDIRECT("'"&amp;$C2899&amp;"'!$E$12:$Y$12"),0)),0),0)</f>
        <v>495556.51400000008</v>
      </c>
      <c r="I2899" s="366" t="s">
        <v>1685</v>
      </c>
      <c r="J2899" s="348" t="str">
        <f t="shared" ca="1" si="90"/>
        <v>OK</v>
      </c>
      <c r="K2899" s="366" t="s">
        <v>1694</v>
      </c>
      <c r="L2899" s="366" t="s">
        <v>2242</v>
      </c>
      <c r="M2899" s="350" t="str">
        <f>IF($B2899="Portfolio","Portfolio",IFERROR(INDEX(DATA_ASSET_CLASSIFICATION!$B$8:$B$24,MATCH($C2899,DATA_ASSET_CLASSIFICATION!$A$8:$A$24,0)),"Review"))</f>
        <v>Murray Manor</v>
      </c>
      <c r="N2899" s="350" t="str">
        <f ca="1">IF($B2899="Portfolio","Portfolio",IFERROR(INDEX(DATA_ASSET_CLASSIFICATION!$U$8:$U$24,MATCH($C2899,DATA_ASSET_CLASSIFICATION!$A$8:$A$24,0)),"Review"))</f>
        <v>Refi Watch</v>
      </c>
      <c r="O2899" s="350" t="str">
        <f ca="1">IF($B2899="Portfolio","Portfolio",IFERROR(INDEX(DATA_ASSET_CLASSIFICATION!$AB$8:$AB$13,MATCH($N2899,DATA_ASSET_CLASSIFICATION!$AA$8:$AA$13,0)),"Review"))</f>
        <v>Bucket 2 · Legacy</v>
      </c>
      <c r="P2899" s="350" t="str">
        <f>IF($B2899="Portfolio","Portfolio",IFERROR(INDEX(DATA_ASSET_CLASSIFICATION!$C$8:$C$24,MATCH($C2899,DATA_ASSET_CLASSIFICATION!$A$8:$A$24,0)),"Review"))</f>
        <v>Yes</v>
      </c>
      <c r="Q2899" s="350" t="str">
        <f t="shared" ca="1" si="91"/>
        <v>OK</v>
      </c>
    </row>
    <row r="2900" spans="1:17">
      <c r="A2900" s="366" t="s">
        <v>4856</v>
      </c>
      <c r="B2900" s="366" t="s">
        <v>231</v>
      </c>
      <c r="C2900" s="348" t="str">
        <f>DATA_PROPERTY_MASTER!$A$14</f>
        <v>BLD_MM</v>
      </c>
      <c r="D2900" s="380">
        <f>'00_PORTFOLIO ROLLUP'!E$12</f>
        <v>2025</v>
      </c>
      <c r="E2900" s="366" t="s">
        <v>23</v>
      </c>
      <c r="F2900" s="366" t="s">
        <v>23</v>
      </c>
      <c r="G2900" s="348" t="str">
        <f>"'"&amp;$C2900&amp;"'!$E$48:$Y$48"</f>
        <v>'BLD_MM'!$E$48:$Y$48</v>
      </c>
      <c r="H2900" s="381">
        <f ca="1">IF(IFERROR(INDEX(DATA_PROPERTY_MASTER!$E$5:$E$21,MATCH($C2900,DATA_PROPERTY_MASTER!$A$5:$A$21,0))="Yes",FALSE),IFERROR(INDEX(INDIRECT("'"&amp;$C2900&amp;"'!$E$48:$Y$48"),1,MATCH($D2900,INDIRECT("'"&amp;$C2900&amp;"'!$E$12:$Y$12"),0)),0),0)</f>
        <v>271563.84000000003</v>
      </c>
      <c r="I2900" s="366" t="s">
        <v>1690</v>
      </c>
      <c r="J2900" s="348" t="str">
        <f t="shared" ca="1" si="90"/>
        <v>OK</v>
      </c>
      <c r="K2900" s="366" t="s">
        <v>1706</v>
      </c>
      <c r="L2900" s="366" t="s">
        <v>2244</v>
      </c>
      <c r="M2900" s="350" t="str">
        <f>IF($B2900="Portfolio","Portfolio",IFERROR(INDEX(DATA_ASSET_CLASSIFICATION!$B$8:$B$24,MATCH($C2900,DATA_ASSET_CLASSIFICATION!$A$8:$A$24,0)),"Review"))</f>
        <v>Murray Manor</v>
      </c>
      <c r="N2900" s="350" t="str">
        <f ca="1">IF($B2900="Portfolio","Portfolio",IFERROR(INDEX(DATA_ASSET_CLASSIFICATION!$U$8:$U$24,MATCH($C2900,DATA_ASSET_CLASSIFICATION!$A$8:$A$24,0)),"Review"))</f>
        <v>Refi Watch</v>
      </c>
      <c r="O2900" s="350" t="str">
        <f ca="1">IF($B2900="Portfolio","Portfolio",IFERROR(INDEX(DATA_ASSET_CLASSIFICATION!$AB$8:$AB$13,MATCH($N2900,DATA_ASSET_CLASSIFICATION!$AA$8:$AA$13,0)),"Review"))</f>
        <v>Bucket 2 · Legacy</v>
      </c>
      <c r="P2900" s="350" t="str">
        <f>IF($B2900="Portfolio","Portfolio",IFERROR(INDEX(DATA_ASSET_CLASSIFICATION!$C$8:$C$24,MATCH($C2900,DATA_ASSET_CLASSIFICATION!$A$8:$A$24,0)),"Review"))</f>
        <v>Yes</v>
      </c>
      <c r="Q2900" s="350" t="str">
        <f t="shared" ca="1" si="91"/>
        <v>OK</v>
      </c>
    </row>
    <row r="2901" spans="1:17">
      <c r="A2901" s="366" t="s">
        <v>4857</v>
      </c>
      <c r="B2901" s="366" t="s">
        <v>231</v>
      </c>
      <c r="C2901" s="348" t="str">
        <f>DATA_PROPERTY_MASTER!$A$14</f>
        <v>BLD_MM</v>
      </c>
      <c r="D2901" s="380">
        <f>'00_PORTFOLIO ROLLUP'!E$12</f>
        <v>2025</v>
      </c>
      <c r="E2901" s="366" t="s">
        <v>1683</v>
      </c>
      <c r="F2901" s="366" t="s">
        <v>25</v>
      </c>
      <c r="G2901" s="348" t="str">
        <f>"'"&amp;$C2901&amp;"'!$E$52:$Y$52"</f>
        <v>'BLD_MM'!$E$52:$Y$52</v>
      </c>
      <c r="H2901" s="381">
        <f ca="1">IF(IFERROR(INDEX(DATA_PROPERTY_MASTER!$E$5:$E$21,MATCH($C2901,DATA_PROPERTY_MASTER!$A$5:$A$21,0))="Yes",FALSE),IFERROR(INDEX(INDIRECT("'"&amp;$C2901&amp;"'!$E$52:$Y$52"),1,MATCH($D2901,INDIRECT("'"&amp;$C2901&amp;"'!$E$12:$Y$12"),0)),0),0)</f>
        <v>231042.67400000006</v>
      </c>
      <c r="I2901" s="366" t="s">
        <v>1685</v>
      </c>
      <c r="J2901" s="348" t="str">
        <f t="shared" ca="1" si="90"/>
        <v>OK</v>
      </c>
      <c r="K2901" s="366" t="s">
        <v>1710</v>
      </c>
      <c r="L2901" s="366" t="s">
        <v>2246</v>
      </c>
      <c r="M2901" s="350" t="str">
        <f>IF($B2901="Portfolio","Portfolio",IFERROR(INDEX(DATA_ASSET_CLASSIFICATION!$B$8:$B$24,MATCH($C2901,DATA_ASSET_CLASSIFICATION!$A$8:$A$24,0)),"Review"))</f>
        <v>Murray Manor</v>
      </c>
      <c r="N2901" s="350" t="str">
        <f ca="1">IF($B2901="Portfolio","Portfolio",IFERROR(INDEX(DATA_ASSET_CLASSIFICATION!$U$8:$U$24,MATCH($C2901,DATA_ASSET_CLASSIFICATION!$A$8:$A$24,0)),"Review"))</f>
        <v>Refi Watch</v>
      </c>
      <c r="O2901" s="350" t="str">
        <f ca="1">IF($B2901="Portfolio","Portfolio",IFERROR(INDEX(DATA_ASSET_CLASSIFICATION!$AB$8:$AB$13,MATCH($N2901,DATA_ASSET_CLASSIFICATION!$AA$8:$AA$13,0)),"Review"))</f>
        <v>Bucket 2 · Legacy</v>
      </c>
      <c r="P2901" s="350" t="str">
        <f>IF($B2901="Portfolio","Portfolio",IFERROR(INDEX(DATA_ASSET_CLASSIFICATION!$C$8:$C$24,MATCH($C2901,DATA_ASSET_CLASSIFICATION!$A$8:$A$24,0)),"Review"))</f>
        <v>Yes</v>
      </c>
      <c r="Q2901" s="350" t="str">
        <f t="shared" ca="1" si="91"/>
        <v>OK</v>
      </c>
    </row>
    <row r="2902" spans="1:17">
      <c r="A2902" s="366" t="s">
        <v>4858</v>
      </c>
      <c r="B2902" s="366" t="s">
        <v>231</v>
      </c>
      <c r="C2902" s="348" t="str">
        <f>DATA_PROPERTY_MASTER!$A$14</f>
        <v>BLD_MM</v>
      </c>
      <c r="D2902" s="380">
        <f>'00_PORTFOLIO ROLLUP'!E$12</f>
        <v>2025</v>
      </c>
      <c r="E2902" s="366" t="s">
        <v>1683</v>
      </c>
      <c r="F2902" s="366" t="s">
        <v>27</v>
      </c>
      <c r="G2902" s="348" t="str">
        <f>"'"&amp;$C2902&amp;"'!$E$54:$Y$54"</f>
        <v>'BLD_MM'!$E$54:$Y$54</v>
      </c>
      <c r="H2902" s="381">
        <f ca="1">IF(IFERROR(INDEX(DATA_PROPERTY_MASTER!$E$5:$E$21,MATCH($C2902,DATA_PROPERTY_MASTER!$A$5:$A$21,0))="Yes",FALSE),IFERROR(INDEX(INDIRECT("'"&amp;$C2902&amp;"'!$E$54:$Y$54"),1,MATCH($D2902,INDIRECT("'"&amp;$C2902&amp;"'!$E$12:$Y$12"),0)),0),0)</f>
        <v>138625.60440000004</v>
      </c>
      <c r="I2902" s="366" t="s">
        <v>1690</v>
      </c>
      <c r="J2902" s="348" t="str">
        <f t="shared" ca="1" si="90"/>
        <v>OK</v>
      </c>
      <c r="K2902" s="366" t="s">
        <v>1714</v>
      </c>
      <c r="L2902" s="366" t="s">
        <v>2248</v>
      </c>
      <c r="M2902" s="350" t="str">
        <f>IF($B2902="Portfolio","Portfolio",IFERROR(INDEX(DATA_ASSET_CLASSIFICATION!$B$8:$B$24,MATCH($C2902,DATA_ASSET_CLASSIFICATION!$A$8:$A$24,0)),"Review"))</f>
        <v>Murray Manor</v>
      </c>
      <c r="N2902" s="350" t="str">
        <f ca="1">IF($B2902="Portfolio","Portfolio",IFERROR(INDEX(DATA_ASSET_CLASSIFICATION!$U$8:$U$24,MATCH($C2902,DATA_ASSET_CLASSIFICATION!$A$8:$A$24,0)),"Review"))</f>
        <v>Refi Watch</v>
      </c>
      <c r="O2902" s="350" t="str">
        <f ca="1">IF($B2902="Portfolio","Portfolio",IFERROR(INDEX(DATA_ASSET_CLASSIFICATION!$AB$8:$AB$13,MATCH($N2902,DATA_ASSET_CLASSIFICATION!$AA$8:$AA$13,0)),"Review"))</f>
        <v>Bucket 2 · Legacy</v>
      </c>
      <c r="P2902" s="350" t="str">
        <f>IF($B2902="Portfolio","Portfolio",IFERROR(INDEX(DATA_ASSET_CLASSIFICATION!$C$8:$C$24,MATCH($C2902,DATA_ASSET_CLASSIFICATION!$A$8:$A$24,0)),"Review"))</f>
        <v>Yes</v>
      </c>
      <c r="Q2902" s="350" t="str">
        <f t="shared" ca="1" si="91"/>
        <v>OK</v>
      </c>
    </row>
    <row r="2903" spans="1:17">
      <c r="A2903" s="366" t="s">
        <v>4859</v>
      </c>
      <c r="B2903" s="366" t="s">
        <v>231</v>
      </c>
      <c r="C2903" s="348" t="str">
        <f>DATA_PROPERTY_MASTER!$A$14</f>
        <v>BLD_MM</v>
      </c>
      <c r="D2903" s="380">
        <f>'00_PORTFOLIO ROLLUP'!E$12</f>
        <v>2025</v>
      </c>
      <c r="E2903" s="366" t="s">
        <v>1683</v>
      </c>
      <c r="F2903" s="366" t="s">
        <v>29</v>
      </c>
      <c r="G2903" s="348" t="str">
        <f>"'"&amp;$C2903&amp;"'!$E$56:$Y$56"</f>
        <v>'BLD_MM'!$E$56:$Y$56</v>
      </c>
      <c r="H2903" s="381">
        <f ca="1">IF(IFERROR(INDEX(DATA_PROPERTY_MASTER!$E$5:$E$21,MATCH($C2903,DATA_PROPERTY_MASTER!$A$5:$A$21,0))="Yes",FALSE),IFERROR(INDEX(INDIRECT("'"&amp;$C2903&amp;"'!$E$56:$Y$56"),1,MATCH($D2903,INDIRECT("'"&amp;$C2903&amp;"'!$E$12:$Y$12"),0)),0),0)</f>
        <v>92417.069600000017</v>
      </c>
      <c r="I2903" s="366" t="s">
        <v>1685</v>
      </c>
      <c r="J2903" s="348" t="str">
        <f t="shared" ca="1" si="90"/>
        <v>OK</v>
      </c>
      <c r="K2903" s="366" t="s">
        <v>1718</v>
      </c>
      <c r="L2903" s="366" t="s">
        <v>2250</v>
      </c>
      <c r="M2903" s="350" t="str">
        <f>IF($B2903="Portfolio","Portfolio",IFERROR(INDEX(DATA_ASSET_CLASSIFICATION!$B$8:$B$24,MATCH($C2903,DATA_ASSET_CLASSIFICATION!$A$8:$A$24,0)),"Review"))</f>
        <v>Murray Manor</v>
      </c>
      <c r="N2903" s="350" t="str">
        <f ca="1">IF($B2903="Portfolio","Portfolio",IFERROR(INDEX(DATA_ASSET_CLASSIFICATION!$U$8:$U$24,MATCH($C2903,DATA_ASSET_CLASSIFICATION!$A$8:$A$24,0)),"Review"))</f>
        <v>Refi Watch</v>
      </c>
      <c r="O2903" s="350" t="str">
        <f ca="1">IF($B2903="Portfolio","Portfolio",IFERROR(INDEX(DATA_ASSET_CLASSIFICATION!$AB$8:$AB$13,MATCH($N2903,DATA_ASSET_CLASSIFICATION!$AA$8:$AA$13,0)),"Review"))</f>
        <v>Bucket 2 · Legacy</v>
      </c>
      <c r="P2903" s="350" t="str">
        <f>IF($B2903="Portfolio","Portfolio",IFERROR(INDEX(DATA_ASSET_CLASSIFICATION!$C$8:$C$24,MATCH($C2903,DATA_ASSET_CLASSIFICATION!$A$8:$A$24,0)),"Review"))</f>
        <v>Yes</v>
      </c>
      <c r="Q2903" s="350" t="str">
        <f t="shared" ca="1" si="91"/>
        <v>OK</v>
      </c>
    </row>
    <row r="2904" spans="1:17">
      <c r="A2904" s="366" t="s">
        <v>4860</v>
      </c>
      <c r="B2904" s="366" t="s">
        <v>231</v>
      </c>
      <c r="C2904" s="348" t="str">
        <f>DATA_PROPERTY_MASTER!$A$14</f>
        <v>BLD_MM</v>
      </c>
      <c r="D2904" s="380">
        <f>'00_PORTFOLIO ROLLUP'!E$12</f>
        <v>2025</v>
      </c>
      <c r="E2904" s="366" t="s">
        <v>1721</v>
      </c>
      <c r="F2904" s="366" t="s">
        <v>31</v>
      </c>
      <c r="G2904" s="348" t="str">
        <f>"'"&amp;$C2904&amp;"'!$E$61:$Y$61"</f>
        <v>'BLD_MM'!$E$61:$Y$61</v>
      </c>
      <c r="H2904" s="381">
        <f ca="1">IF(IFERROR(INDEX(DATA_PROPERTY_MASTER!$E$5:$E$21,MATCH($C2904,DATA_PROPERTY_MASTER!$A$5:$A$21,0))="Yes",FALSE),IFERROR(INDEX(INDIRECT("'"&amp;$C2904&amp;"'!$E$61:$Y$61"),1,MATCH($D2904,INDIRECT("'"&amp;$C2904&amp;"'!$E$12:$Y$12"),0)),0),0)</f>
        <v>0</v>
      </c>
      <c r="I2904" s="366" t="s">
        <v>1690</v>
      </c>
      <c r="J2904" s="348" t="str">
        <f t="shared" ca="1" si="90"/>
        <v>OK</v>
      </c>
      <c r="K2904" s="366" t="s">
        <v>1723</v>
      </c>
      <c r="L2904" s="366" t="s">
        <v>2252</v>
      </c>
      <c r="M2904" s="350" t="str">
        <f>IF($B2904="Portfolio","Portfolio",IFERROR(INDEX(DATA_ASSET_CLASSIFICATION!$B$8:$B$24,MATCH($C2904,DATA_ASSET_CLASSIFICATION!$A$8:$A$24,0)),"Review"))</f>
        <v>Murray Manor</v>
      </c>
      <c r="N2904" s="350" t="str">
        <f ca="1">IF($B2904="Portfolio","Portfolio",IFERROR(INDEX(DATA_ASSET_CLASSIFICATION!$U$8:$U$24,MATCH($C2904,DATA_ASSET_CLASSIFICATION!$A$8:$A$24,0)),"Review"))</f>
        <v>Refi Watch</v>
      </c>
      <c r="O2904" s="350" t="str">
        <f ca="1">IF($B2904="Portfolio","Portfolio",IFERROR(INDEX(DATA_ASSET_CLASSIFICATION!$AB$8:$AB$13,MATCH($N2904,DATA_ASSET_CLASSIFICATION!$AA$8:$AA$13,0)),"Review"))</f>
        <v>Bucket 2 · Legacy</v>
      </c>
      <c r="P2904" s="350" t="str">
        <f>IF($B2904="Portfolio","Portfolio",IFERROR(INDEX(DATA_ASSET_CLASSIFICATION!$C$8:$C$24,MATCH($C2904,DATA_ASSET_CLASSIFICATION!$A$8:$A$24,0)),"Review"))</f>
        <v>Yes</v>
      </c>
      <c r="Q2904" s="350" t="str">
        <f t="shared" ca="1" si="91"/>
        <v>OK</v>
      </c>
    </row>
    <row r="2905" spans="1:17">
      <c r="A2905" s="366" t="s">
        <v>4861</v>
      </c>
      <c r="B2905" s="366" t="s">
        <v>231</v>
      </c>
      <c r="C2905" s="348" t="str">
        <f>DATA_PROPERTY_MASTER!$A$14</f>
        <v>BLD_MM</v>
      </c>
      <c r="D2905" s="380">
        <f>'00_PORTFOLIO ROLLUP'!E$12</f>
        <v>2025</v>
      </c>
      <c r="E2905" s="366" t="s">
        <v>1721</v>
      </c>
      <c r="F2905" s="366" t="s">
        <v>33</v>
      </c>
      <c r="G2905" s="348" t="str">
        <f>"'"&amp;$C2905&amp;"'!$E$62:$Y$62"</f>
        <v>'BLD_MM'!$E$62:$Y$62</v>
      </c>
      <c r="H2905" s="381">
        <f ca="1">IF(IFERROR(INDEX(DATA_PROPERTY_MASTER!$E$5:$E$21,MATCH($C2905,DATA_PROPERTY_MASTER!$A$5:$A$21,0))="Yes",FALSE),IFERROR(INDEX(INDIRECT("'"&amp;$C2905&amp;"'!$E$62:$Y$62"),1,MATCH($D2905,INDIRECT("'"&amp;$C2905&amp;"'!$E$12:$Y$12"),0)),0),0)</f>
        <v>0</v>
      </c>
      <c r="I2905" s="366" t="s">
        <v>1685</v>
      </c>
      <c r="J2905" s="348" t="str">
        <f t="shared" ca="1" si="90"/>
        <v>OK</v>
      </c>
      <c r="K2905" s="366" t="s">
        <v>1727</v>
      </c>
      <c r="L2905" s="366" t="s">
        <v>2254</v>
      </c>
      <c r="M2905" s="350" t="str">
        <f>IF($B2905="Portfolio","Portfolio",IFERROR(INDEX(DATA_ASSET_CLASSIFICATION!$B$8:$B$24,MATCH($C2905,DATA_ASSET_CLASSIFICATION!$A$8:$A$24,0)),"Review"))</f>
        <v>Murray Manor</v>
      </c>
      <c r="N2905" s="350" t="str">
        <f ca="1">IF($B2905="Portfolio","Portfolio",IFERROR(INDEX(DATA_ASSET_CLASSIFICATION!$U$8:$U$24,MATCH($C2905,DATA_ASSET_CLASSIFICATION!$A$8:$A$24,0)),"Review"))</f>
        <v>Refi Watch</v>
      </c>
      <c r="O2905" s="350" t="str">
        <f ca="1">IF($B2905="Portfolio","Portfolio",IFERROR(INDEX(DATA_ASSET_CLASSIFICATION!$AB$8:$AB$13,MATCH($N2905,DATA_ASSET_CLASSIFICATION!$AA$8:$AA$13,0)),"Review"))</f>
        <v>Bucket 2 · Legacy</v>
      </c>
      <c r="P2905" s="350" t="str">
        <f>IF($B2905="Portfolio","Portfolio",IFERROR(INDEX(DATA_ASSET_CLASSIFICATION!$C$8:$C$24,MATCH($C2905,DATA_ASSET_CLASSIFICATION!$A$8:$A$24,0)),"Review"))</f>
        <v>Yes</v>
      </c>
      <c r="Q2905" s="350" t="str">
        <f t="shared" ca="1" si="91"/>
        <v>OK</v>
      </c>
    </row>
    <row r="2906" spans="1:17">
      <c r="A2906" s="366" t="s">
        <v>4862</v>
      </c>
      <c r="B2906" s="366" t="s">
        <v>231</v>
      </c>
      <c r="C2906" s="348" t="str">
        <f>DATA_PROPERTY_MASTER!$A$14</f>
        <v>BLD_MM</v>
      </c>
      <c r="D2906" s="380">
        <f>'00_PORTFOLIO ROLLUP'!E$12</f>
        <v>2025</v>
      </c>
      <c r="E2906" s="366" t="s">
        <v>1721</v>
      </c>
      <c r="F2906" s="366" t="s">
        <v>35</v>
      </c>
      <c r="G2906" s="348" t="str">
        <f>"'"&amp;$C2906&amp;"'!$E$63:$Y$63"</f>
        <v>'BLD_MM'!$E$63:$Y$63</v>
      </c>
      <c r="H2906" s="381">
        <f ca="1">IF(IFERROR(INDEX(DATA_PROPERTY_MASTER!$E$5:$E$21,MATCH($C2906,DATA_PROPERTY_MASTER!$A$5:$A$21,0))="Yes",FALSE),IFERROR(INDEX(INDIRECT("'"&amp;$C2906&amp;"'!$E$63:$Y$63"),1,MATCH($D2906,INDIRECT("'"&amp;$C2906&amp;"'!$E$12:$Y$12"),0)),0),0)</f>
        <v>0</v>
      </c>
      <c r="I2906" s="366" t="s">
        <v>1731</v>
      </c>
      <c r="J2906" s="348" t="str">
        <f t="shared" ca="1" si="90"/>
        <v>OK</v>
      </c>
      <c r="K2906" s="366" t="s">
        <v>1732</v>
      </c>
      <c r="L2906" s="366" t="s">
        <v>2256</v>
      </c>
      <c r="M2906" s="350" t="str">
        <f>IF($B2906="Portfolio","Portfolio",IFERROR(INDEX(DATA_ASSET_CLASSIFICATION!$B$8:$B$24,MATCH($C2906,DATA_ASSET_CLASSIFICATION!$A$8:$A$24,0)),"Review"))</f>
        <v>Murray Manor</v>
      </c>
      <c r="N2906" s="350" t="str">
        <f ca="1">IF($B2906="Portfolio","Portfolio",IFERROR(INDEX(DATA_ASSET_CLASSIFICATION!$U$8:$U$24,MATCH($C2906,DATA_ASSET_CLASSIFICATION!$A$8:$A$24,0)),"Review"))</f>
        <v>Refi Watch</v>
      </c>
      <c r="O2906" s="350" t="str">
        <f ca="1">IF($B2906="Portfolio","Portfolio",IFERROR(INDEX(DATA_ASSET_CLASSIFICATION!$AB$8:$AB$13,MATCH($N2906,DATA_ASSET_CLASSIFICATION!$AA$8:$AA$13,0)),"Review"))</f>
        <v>Bucket 2 · Legacy</v>
      </c>
      <c r="P2906" s="350" t="str">
        <f>IF($B2906="Portfolio","Portfolio",IFERROR(INDEX(DATA_ASSET_CLASSIFICATION!$C$8:$C$24,MATCH($C2906,DATA_ASSET_CLASSIFICATION!$A$8:$A$24,0)),"Review"))</f>
        <v>Yes</v>
      </c>
      <c r="Q2906" s="350" t="str">
        <f t="shared" ca="1" si="91"/>
        <v>OK</v>
      </c>
    </row>
    <row r="2907" spans="1:17">
      <c r="A2907" s="366" t="s">
        <v>4863</v>
      </c>
      <c r="B2907" s="366" t="s">
        <v>231</v>
      </c>
      <c r="C2907" s="348" t="str">
        <f>DATA_PROPERTY_MASTER!$A$14</f>
        <v>BLD_MM</v>
      </c>
      <c r="D2907" s="380">
        <f>'00_PORTFOLIO ROLLUP'!E$12</f>
        <v>2025</v>
      </c>
      <c r="E2907" s="366" t="s">
        <v>1721</v>
      </c>
      <c r="F2907" s="366" t="s">
        <v>37</v>
      </c>
      <c r="G2907" s="348" t="str">
        <f>"'"&amp;$C2907&amp;"'!$E$63:$Y$63"</f>
        <v>'BLD_MM'!$E$63:$Y$63</v>
      </c>
      <c r="H2907" s="381">
        <f ca="1">IF(IFERROR(INDEX(DATA_PROPERTY_MASTER!$E$5:$E$21,MATCH($C2907,DATA_PROPERTY_MASTER!$A$5:$A$21,0))="Yes",FALSE),MAX(IFERROR(INDEX(INDIRECT("'"&amp;$C2907&amp;"'!$E$63:$Y$63"),1,MATCH($D2907,INDIRECT("'"&amp;$C2907&amp;"'!$E$12:$Y$12"),0)),0),0),0)</f>
        <v>0</v>
      </c>
      <c r="I2907" s="366" t="s">
        <v>1685</v>
      </c>
      <c r="J2907" s="348" t="str">
        <f t="shared" ca="1" si="90"/>
        <v>OK</v>
      </c>
      <c r="K2907" s="366" t="s">
        <v>1735</v>
      </c>
      <c r="L2907" s="366" t="s">
        <v>2258</v>
      </c>
      <c r="M2907" s="350" t="str">
        <f>IF($B2907="Portfolio","Portfolio",IFERROR(INDEX(DATA_ASSET_CLASSIFICATION!$B$8:$B$24,MATCH($C2907,DATA_ASSET_CLASSIFICATION!$A$8:$A$24,0)),"Review"))</f>
        <v>Murray Manor</v>
      </c>
      <c r="N2907" s="350" t="str">
        <f ca="1">IF($B2907="Portfolio","Portfolio",IFERROR(INDEX(DATA_ASSET_CLASSIFICATION!$U$8:$U$24,MATCH($C2907,DATA_ASSET_CLASSIFICATION!$A$8:$A$24,0)),"Review"))</f>
        <v>Refi Watch</v>
      </c>
      <c r="O2907" s="350" t="str">
        <f ca="1">IF($B2907="Portfolio","Portfolio",IFERROR(INDEX(DATA_ASSET_CLASSIFICATION!$AB$8:$AB$13,MATCH($N2907,DATA_ASSET_CLASSIFICATION!$AA$8:$AA$13,0)),"Review"))</f>
        <v>Bucket 2 · Legacy</v>
      </c>
      <c r="P2907" s="350" t="str">
        <f>IF($B2907="Portfolio","Portfolio",IFERROR(INDEX(DATA_ASSET_CLASSIFICATION!$C$8:$C$24,MATCH($C2907,DATA_ASSET_CLASSIFICATION!$A$8:$A$24,0)),"Review"))</f>
        <v>Yes</v>
      </c>
      <c r="Q2907" s="350" t="str">
        <f t="shared" ca="1" si="91"/>
        <v>OK</v>
      </c>
    </row>
    <row r="2908" spans="1:17">
      <c r="A2908" s="366" t="s">
        <v>4864</v>
      </c>
      <c r="B2908" s="366" t="s">
        <v>231</v>
      </c>
      <c r="C2908" s="348" t="str">
        <f>DATA_PROPERTY_MASTER!$A$14</f>
        <v>BLD_MM</v>
      </c>
      <c r="D2908" s="380">
        <f>'00_PORTFOLIO ROLLUP'!E$12</f>
        <v>2025</v>
      </c>
      <c r="E2908" s="366" t="s">
        <v>1721</v>
      </c>
      <c r="F2908" s="366" t="s">
        <v>39</v>
      </c>
      <c r="G2908" s="348" t="str">
        <f>"'"&amp;$C2908&amp;"'!$E$63:$Y$63"</f>
        <v>'BLD_MM'!$E$63:$Y$63</v>
      </c>
      <c r="H2908" s="381">
        <f ca="1">IF(IFERROR(INDEX(DATA_PROPERTY_MASTER!$E$5:$E$21,MATCH($C2908,DATA_PROPERTY_MASTER!$A$5:$A$21,0))="Yes",FALSE),MAX(-IFERROR(INDEX(INDIRECT("'"&amp;$C2908&amp;"'!$E$63:$Y$63"),1,MATCH($D2908,INDIRECT("'"&amp;$C2908&amp;"'!$E$12:$Y$12"),0)),0),0),0)</f>
        <v>0</v>
      </c>
      <c r="I2908" s="366" t="s">
        <v>1690</v>
      </c>
      <c r="J2908" s="348" t="str">
        <f t="shared" ca="1" si="90"/>
        <v>OK</v>
      </c>
      <c r="K2908" s="366" t="s">
        <v>1738</v>
      </c>
      <c r="L2908" s="366" t="s">
        <v>2260</v>
      </c>
      <c r="M2908" s="350" t="str">
        <f>IF($B2908="Portfolio","Portfolio",IFERROR(INDEX(DATA_ASSET_CLASSIFICATION!$B$8:$B$24,MATCH($C2908,DATA_ASSET_CLASSIFICATION!$A$8:$A$24,0)),"Review"))</f>
        <v>Murray Manor</v>
      </c>
      <c r="N2908" s="350" t="str">
        <f ca="1">IF($B2908="Portfolio","Portfolio",IFERROR(INDEX(DATA_ASSET_CLASSIFICATION!$U$8:$U$24,MATCH($C2908,DATA_ASSET_CLASSIFICATION!$A$8:$A$24,0)),"Review"))</f>
        <v>Refi Watch</v>
      </c>
      <c r="O2908" s="350" t="str">
        <f ca="1">IF($B2908="Portfolio","Portfolio",IFERROR(INDEX(DATA_ASSET_CLASSIFICATION!$AB$8:$AB$13,MATCH($N2908,DATA_ASSET_CLASSIFICATION!$AA$8:$AA$13,0)),"Review"))</f>
        <v>Bucket 2 · Legacy</v>
      </c>
      <c r="P2908" s="350" t="str">
        <f>IF($B2908="Portfolio","Portfolio",IFERROR(INDEX(DATA_ASSET_CLASSIFICATION!$C$8:$C$24,MATCH($C2908,DATA_ASSET_CLASSIFICATION!$A$8:$A$24,0)),"Review"))</f>
        <v>Yes</v>
      </c>
      <c r="Q2908" s="350" t="str">
        <f t="shared" ca="1" si="91"/>
        <v>OK</v>
      </c>
    </row>
    <row r="2909" spans="1:17">
      <c r="A2909" s="366" t="s">
        <v>4865</v>
      </c>
      <c r="B2909" s="366" t="s">
        <v>231</v>
      </c>
      <c r="C2909" s="348" t="str">
        <f>DATA_PROPERTY_MASTER!$A$14</f>
        <v>BLD_MM</v>
      </c>
      <c r="D2909" s="380">
        <f>'00_PORTFOLIO ROLLUP'!E$12</f>
        <v>2025</v>
      </c>
      <c r="E2909" s="366" t="s">
        <v>1741</v>
      </c>
      <c r="F2909" s="366" t="s">
        <v>41</v>
      </c>
      <c r="G2909" s="348" t="str">
        <f>"'"&amp;$C2909&amp;"'!rows 56 + positive row 63"</f>
        <v>'BLD_MM'!rows 56 + positive row 63</v>
      </c>
      <c r="H2909" s="381">
        <f ca="1">IF(IFERROR(INDEX(DATA_PROPERTY_MASTER!$E$5:$E$21,MATCH($C2909,DATA_PROPERTY_MASTER!$A$5:$A$21,0))="Yes",FALSE),IFERROR(INDEX(INDIRECT("'"&amp;$C2909&amp;"'!$E$56:$Y$56"),1,MATCH($D2909,INDIRECT("'"&amp;$C2909&amp;"'!$E$12:$Y$12"),0)),0)+MAX(IFERROR(INDEX(INDIRECT("'"&amp;$C2909&amp;"'!$E$63:$Y$63"),1,MATCH($D2909,INDIRECT("'"&amp;$C2909&amp;"'!$E$12:$Y$12"),0)),0),0),0)</f>
        <v>92417.069600000017</v>
      </c>
      <c r="I2909" s="366" t="s">
        <v>1685</v>
      </c>
      <c r="J2909" s="348" t="str">
        <f t="shared" ca="1" si="90"/>
        <v>OK</v>
      </c>
      <c r="K2909" s="366" t="s">
        <v>1742</v>
      </c>
      <c r="L2909" s="366" t="s">
        <v>2262</v>
      </c>
      <c r="M2909" s="350" t="str">
        <f>IF($B2909="Portfolio","Portfolio",IFERROR(INDEX(DATA_ASSET_CLASSIFICATION!$B$8:$B$24,MATCH($C2909,DATA_ASSET_CLASSIFICATION!$A$8:$A$24,0)),"Review"))</f>
        <v>Murray Manor</v>
      </c>
      <c r="N2909" s="350" t="str">
        <f ca="1">IF($B2909="Portfolio","Portfolio",IFERROR(INDEX(DATA_ASSET_CLASSIFICATION!$U$8:$U$24,MATCH($C2909,DATA_ASSET_CLASSIFICATION!$A$8:$A$24,0)),"Review"))</f>
        <v>Refi Watch</v>
      </c>
      <c r="O2909" s="350" t="str">
        <f ca="1">IF($B2909="Portfolio","Portfolio",IFERROR(INDEX(DATA_ASSET_CLASSIFICATION!$AB$8:$AB$13,MATCH($N2909,DATA_ASSET_CLASSIFICATION!$AA$8:$AA$13,0)),"Review"))</f>
        <v>Bucket 2 · Legacy</v>
      </c>
      <c r="P2909" s="350" t="str">
        <f>IF($B2909="Portfolio","Portfolio",IFERROR(INDEX(DATA_ASSET_CLASSIFICATION!$C$8:$C$24,MATCH($C2909,DATA_ASSET_CLASSIFICATION!$A$8:$A$24,0)),"Review"))</f>
        <v>Yes</v>
      </c>
      <c r="Q2909" s="350" t="str">
        <f t="shared" ca="1" si="91"/>
        <v>OK</v>
      </c>
    </row>
    <row r="2910" spans="1:17">
      <c r="A2910" s="366" t="s">
        <v>4866</v>
      </c>
      <c r="B2910" s="366" t="s">
        <v>231</v>
      </c>
      <c r="C2910" s="348" t="str">
        <f>DATA_PROPERTY_MASTER!$A$14</f>
        <v>BLD_MM</v>
      </c>
      <c r="D2910" s="380">
        <f>'00_PORTFOLIO ROLLUP'!E$12</f>
        <v>2025</v>
      </c>
      <c r="E2910" s="366" t="s">
        <v>1741</v>
      </c>
      <c r="F2910" s="366" t="s">
        <v>43</v>
      </c>
      <c r="G2910" s="348" t="str">
        <f>"'"&amp;$C2910&amp;"'!$E$68:$Y$68"</f>
        <v>'BLD_MM'!$E$68:$Y$68</v>
      </c>
      <c r="H2910" s="381">
        <f ca="1">IF(IFERROR(INDEX(DATA_PROPERTY_MASTER!$E$5:$E$21,MATCH($C2910,DATA_PROPERTY_MASTER!$A$5:$A$21,0))="Yes",FALSE),IFERROR(INDEX(INDIRECT("'"&amp;$C2910&amp;"'!$E$68:$Y$68"),1,MATCH($D2910,INDIRECT("'"&amp;$C2910&amp;"'!$E$12:$Y$12"),0)),0),0)</f>
        <v>92417.069600000017</v>
      </c>
      <c r="I2910" s="366" t="s">
        <v>1731</v>
      </c>
      <c r="J2910" s="348" t="str">
        <f t="shared" ca="1" si="90"/>
        <v>OK</v>
      </c>
      <c r="K2910" s="366" t="s">
        <v>1746</v>
      </c>
      <c r="L2910" s="366" t="s">
        <v>2264</v>
      </c>
      <c r="M2910" s="350" t="str">
        <f>IF($B2910="Portfolio","Portfolio",IFERROR(INDEX(DATA_ASSET_CLASSIFICATION!$B$8:$B$24,MATCH($C2910,DATA_ASSET_CLASSIFICATION!$A$8:$A$24,0)),"Review"))</f>
        <v>Murray Manor</v>
      </c>
      <c r="N2910" s="350" t="str">
        <f ca="1">IF($B2910="Portfolio","Portfolio",IFERROR(INDEX(DATA_ASSET_CLASSIFICATION!$U$8:$U$24,MATCH($C2910,DATA_ASSET_CLASSIFICATION!$A$8:$A$24,0)),"Review"))</f>
        <v>Refi Watch</v>
      </c>
      <c r="O2910" s="350" t="str">
        <f ca="1">IF($B2910="Portfolio","Portfolio",IFERROR(INDEX(DATA_ASSET_CLASSIFICATION!$AB$8:$AB$13,MATCH($N2910,DATA_ASSET_CLASSIFICATION!$AA$8:$AA$13,0)),"Review"))</f>
        <v>Bucket 2 · Legacy</v>
      </c>
      <c r="P2910" s="350" t="str">
        <f>IF($B2910="Portfolio","Portfolio",IFERROR(INDEX(DATA_ASSET_CLASSIFICATION!$C$8:$C$24,MATCH($C2910,DATA_ASSET_CLASSIFICATION!$A$8:$A$24,0)),"Review"))</f>
        <v>Yes</v>
      </c>
      <c r="Q2910" s="350" t="str">
        <f t="shared" ca="1" si="91"/>
        <v>OK</v>
      </c>
    </row>
    <row r="2911" spans="1:17">
      <c r="A2911" s="366" t="s">
        <v>4867</v>
      </c>
      <c r="B2911" s="366" t="s">
        <v>231</v>
      </c>
      <c r="C2911" s="348" t="str">
        <f>DATA_PROPERTY_MASTER!$A$14</f>
        <v>BLD_MM</v>
      </c>
      <c r="D2911" s="380">
        <f>'00_PORTFOLIO ROLLUP'!E$12</f>
        <v>2025</v>
      </c>
      <c r="E2911" s="366" t="s">
        <v>1741</v>
      </c>
      <c r="F2911" s="366" t="s">
        <v>1749</v>
      </c>
      <c r="G2911" s="348" t="str">
        <f>"'"&amp;$C2911&amp;"'!rows 56, 63, 68"</f>
        <v>'BLD_MM'!rows 56, 63, 68</v>
      </c>
      <c r="H2911" s="381">
        <f ca="1">IF(IFERROR(INDEX(DATA_PROPERTY_MASTER!$E$5:$E$21,MATCH($C2911,DATA_PROPERTY_MASTER!$A$5:$A$21,0))="Yes",FALSE),(IFERROR(INDEX(INDIRECT("'"&amp;$C2911&amp;"'!$E$56:$Y$56"),1,MATCH($D2911,INDIRECT("'"&amp;$C2911&amp;"'!$E$12:$Y$12"),0)),0)+MAX(IFERROR(INDEX(INDIRECT("'"&amp;$C2911&amp;"'!$E$63:$Y$63"),1,MATCH($D2911,INDIRECT("'"&amp;$C2911&amp;"'!$E$12:$Y$12"),0)),0),0))-(IFERROR(INDEX(INDIRECT("'"&amp;$C2911&amp;"'!$E$68:$Y$68"),1,MATCH($D2911,INDIRECT("'"&amp;$C2911&amp;"'!$E$12:$Y$12"),0)),0)),0)</f>
        <v>0</v>
      </c>
      <c r="I2911" s="366" t="s">
        <v>1750</v>
      </c>
      <c r="J2911" s="348" t="str">
        <f t="shared" ca="1" si="90"/>
        <v>OK</v>
      </c>
      <c r="K2911" s="366" t="s">
        <v>1751</v>
      </c>
      <c r="L2911" s="366" t="s">
        <v>2266</v>
      </c>
      <c r="M2911" s="350" t="str">
        <f>IF($B2911="Portfolio","Portfolio",IFERROR(INDEX(DATA_ASSET_CLASSIFICATION!$B$8:$B$24,MATCH($C2911,DATA_ASSET_CLASSIFICATION!$A$8:$A$24,0)),"Review"))</f>
        <v>Murray Manor</v>
      </c>
      <c r="N2911" s="350" t="str">
        <f ca="1">IF($B2911="Portfolio","Portfolio",IFERROR(INDEX(DATA_ASSET_CLASSIFICATION!$U$8:$U$24,MATCH($C2911,DATA_ASSET_CLASSIFICATION!$A$8:$A$24,0)),"Review"))</f>
        <v>Refi Watch</v>
      </c>
      <c r="O2911" s="350" t="str">
        <f ca="1">IF($B2911="Portfolio","Portfolio",IFERROR(INDEX(DATA_ASSET_CLASSIFICATION!$AB$8:$AB$13,MATCH($N2911,DATA_ASSET_CLASSIFICATION!$AA$8:$AA$13,0)),"Review"))</f>
        <v>Bucket 2 · Legacy</v>
      </c>
      <c r="P2911" s="350" t="str">
        <f>IF($B2911="Portfolio","Portfolio",IFERROR(INDEX(DATA_ASSET_CLASSIFICATION!$C$8:$C$24,MATCH($C2911,DATA_ASSET_CLASSIFICATION!$A$8:$A$24,0)),"Review"))</f>
        <v>Yes</v>
      </c>
      <c r="Q2911" s="350" t="str">
        <f t="shared" ca="1" si="91"/>
        <v>OK</v>
      </c>
    </row>
    <row r="2912" spans="1:17">
      <c r="A2912" s="366" t="s">
        <v>4868</v>
      </c>
      <c r="B2912" s="366" t="s">
        <v>231</v>
      </c>
      <c r="C2912" s="348" t="str">
        <f>DATA_PROPERTY_MASTER!$A$14</f>
        <v>BLD_MM</v>
      </c>
      <c r="D2912" s="380">
        <f>'00_PORTFOLIO ROLLUP'!F$12</f>
        <v>2026</v>
      </c>
      <c r="E2912" s="366" t="s">
        <v>1683</v>
      </c>
      <c r="F2912" s="366" t="s">
        <v>341</v>
      </c>
      <c r="G2912" s="348" t="str">
        <f>"'"&amp;$C2912&amp;"'!$E$24:$Y$24"</f>
        <v>'BLD_MM'!$E$24:$Y$24</v>
      </c>
      <c r="H2912" s="381">
        <f ca="1">IF(IFERROR(INDEX(DATA_PROPERTY_MASTER!$E$5:$E$21,MATCH($C2912,DATA_PROPERTY_MASTER!$A$5:$A$21,0))="Yes",FALSE),IFERROR(INDEX(INDIRECT("'"&amp;$C2912&amp;"'!$E$24:$Y$24"),1,MATCH($D2912,INDIRECT("'"&amp;$C2912&amp;"'!$E$12:$Y$12"),0)),0),0)</f>
        <v>796620.52428000001</v>
      </c>
      <c r="I2912" s="366" t="s">
        <v>1685</v>
      </c>
      <c r="J2912" s="348" t="str">
        <f t="shared" ca="1" si="90"/>
        <v>OK</v>
      </c>
      <c r="K2912" s="366" t="s">
        <v>1686</v>
      </c>
      <c r="L2912" s="366" t="s">
        <v>2234</v>
      </c>
      <c r="M2912" s="350" t="str">
        <f>IF($B2912="Portfolio","Portfolio",IFERROR(INDEX(DATA_ASSET_CLASSIFICATION!$B$8:$B$24,MATCH($C2912,DATA_ASSET_CLASSIFICATION!$A$8:$A$24,0)),"Review"))</f>
        <v>Murray Manor</v>
      </c>
      <c r="N2912" s="350" t="str">
        <f ca="1">IF($B2912="Portfolio","Portfolio",IFERROR(INDEX(DATA_ASSET_CLASSIFICATION!$U$8:$U$24,MATCH($C2912,DATA_ASSET_CLASSIFICATION!$A$8:$A$24,0)),"Review"))</f>
        <v>Refi Watch</v>
      </c>
      <c r="O2912" s="350" t="str">
        <f ca="1">IF($B2912="Portfolio","Portfolio",IFERROR(INDEX(DATA_ASSET_CLASSIFICATION!$AB$8:$AB$13,MATCH($N2912,DATA_ASSET_CLASSIFICATION!$AA$8:$AA$13,0)),"Review"))</f>
        <v>Bucket 2 · Legacy</v>
      </c>
      <c r="P2912" s="350" t="str">
        <f>IF($B2912="Portfolio","Portfolio",IFERROR(INDEX(DATA_ASSET_CLASSIFICATION!$C$8:$C$24,MATCH($C2912,DATA_ASSET_CLASSIFICATION!$A$8:$A$24,0)),"Review"))</f>
        <v>Yes</v>
      </c>
      <c r="Q2912" s="350" t="str">
        <f t="shared" ca="1" si="91"/>
        <v>OK</v>
      </c>
    </row>
    <row r="2913" spans="1:17">
      <c r="A2913" s="366" t="s">
        <v>4869</v>
      </c>
      <c r="B2913" s="366" t="s">
        <v>231</v>
      </c>
      <c r="C2913" s="348" t="str">
        <f>DATA_PROPERTY_MASTER!$A$14</f>
        <v>BLD_MM</v>
      </c>
      <c r="D2913" s="380">
        <f>'00_PORTFOLIO ROLLUP'!F$12</f>
        <v>2026</v>
      </c>
      <c r="E2913" s="366" t="s">
        <v>1683</v>
      </c>
      <c r="F2913" s="366" t="s">
        <v>355</v>
      </c>
      <c r="G2913" s="348" t="str">
        <f>"'"&amp;$C2913&amp;"'!$E$39:$Y$39"</f>
        <v>'BLD_MM'!$E$39:$Y$39</v>
      </c>
      <c r="H2913" s="381">
        <f ca="1">IF(IFERROR(INDEX(DATA_PROPERTY_MASTER!$E$5:$E$21,MATCH($C2913,DATA_PROPERTY_MASTER!$A$5:$A$21,0))="Yes",FALSE),IFERROR(INDEX(INDIRECT("'"&amp;$C2913&amp;"'!$E$39:$Y$39"),1,MATCH($D2913,INDIRECT("'"&amp;$C2913&amp;"'!$E$12:$Y$12"),0)),0),0)</f>
        <v>289529.75999999995</v>
      </c>
      <c r="I2913" s="366" t="s">
        <v>1690</v>
      </c>
      <c r="J2913" s="348" t="str">
        <f t="shared" ca="1" si="90"/>
        <v>OK</v>
      </c>
      <c r="K2913" s="366" t="s">
        <v>1686</v>
      </c>
      <c r="L2913" s="366" t="s">
        <v>2236</v>
      </c>
      <c r="M2913" s="350" t="str">
        <f>IF($B2913="Portfolio","Portfolio",IFERROR(INDEX(DATA_ASSET_CLASSIFICATION!$B$8:$B$24,MATCH($C2913,DATA_ASSET_CLASSIFICATION!$A$8:$A$24,0)),"Review"))</f>
        <v>Murray Manor</v>
      </c>
      <c r="N2913" s="350" t="str">
        <f ca="1">IF($B2913="Portfolio","Portfolio",IFERROR(INDEX(DATA_ASSET_CLASSIFICATION!$U$8:$U$24,MATCH($C2913,DATA_ASSET_CLASSIFICATION!$A$8:$A$24,0)),"Review"))</f>
        <v>Refi Watch</v>
      </c>
      <c r="O2913" s="350" t="str">
        <f ca="1">IF($B2913="Portfolio","Portfolio",IFERROR(INDEX(DATA_ASSET_CLASSIFICATION!$AB$8:$AB$13,MATCH($N2913,DATA_ASSET_CLASSIFICATION!$AA$8:$AA$13,0)),"Review"))</f>
        <v>Bucket 2 · Legacy</v>
      </c>
      <c r="P2913" s="350" t="str">
        <f>IF($B2913="Portfolio","Portfolio",IFERROR(INDEX(DATA_ASSET_CLASSIFICATION!$C$8:$C$24,MATCH($C2913,DATA_ASSET_CLASSIFICATION!$A$8:$A$24,0)),"Review"))</f>
        <v>Yes</v>
      </c>
      <c r="Q2913" s="350" t="str">
        <f t="shared" ca="1" si="91"/>
        <v>OK</v>
      </c>
    </row>
    <row r="2914" spans="1:17">
      <c r="A2914" s="366" t="s">
        <v>4870</v>
      </c>
      <c r="B2914" s="366" t="s">
        <v>231</v>
      </c>
      <c r="C2914" s="348" t="str">
        <f>DATA_PROPERTY_MASTER!$A$14</f>
        <v>BLD_MM</v>
      </c>
      <c r="D2914" s="380">
        <f>'00_PORTFOLIO ROLLUP'!F$12</f>
        <v>2026</v>
      </c>
      <c r="E2914" s="366" t="s">
        <v>1683</v>
      </c>
      <c r="F2914" s="366" t="s">
        <v>19</v>
      </c>
      <c r="G2914" s="348" t="str">
        <f>"'"&amp;$C2914&amp;"'!$E$41:$Y$41"</f>
        <v>'BLD_MM'!$E$41:$Y$41</v>
      </c>
      <c r="H2914" s="381">
        <f ca="1">IF(IFERROR(INDEX(DATA_PROPERTY_MASTER!$E$5:$E$21,MATCH($C2914,DATA_PROPERTY_MASTER!$A$5:$A$21,0))="Yes",FALSE),IFERROR(INDEX(INDIRECT("'"&amp;$C2914&amp;"'!$E$41:$Y$41"),1,MATCH($D2914,INDIRECT("'"&amp;$C2914&amp;"'!$E$12:$Y$12"),0)),0),0)</f>
        <v>507090.76428000006</v>
      </c>
      <c r="I2914" s="366" t="s">
        <v>1685</v>
      </c>
      <c r="J2914" s="348" t="str">
        <f t="shared" ca="1" si="90"/>
        <v>OK</v>
      </c>
      <c r="K2914" s="366" t="s">
        <v>1694</v>
      </c>
      <c r="L2914" s="366" t="s">
        <v>2238</v>
      </c>
      <c r="M2914" s="350" t="str">
        <f>IF($B2914="Portfolio","Portfolio",IFERROR(INDEX(DATA_ASSET_CLASSIFICATION!$B$8:$B$24,MATCH($C2914,DATA_ASSET_CLASSIFICATION!$A$8:$A$24,0)),"Review"))</f>
        <v>Murray Manor</v>
      </c>
      <c r="N2914" s="350" t="str">
        <f ca="1">IF($B2914="Portfolio","Portfolio",IFERROR(INDEX(DATA_ASSET_CLASSIFICATION!$U$8:$U$24,MATCH($C2914,DATA_ASSET_CLASSIFICATION!$A$8:$A$24,0)),"Review"))</f>
        <v>Refi Watch</v>
      </c>
      <c r="O2914" s="350" t="str">
        <f ca="1">IF($B2914="Portfolio","Portfolio",IFERROR(INDEX(DATA_ASSET_CLASSIFICATION!$AB$8:$AB$13,MATCH($N2914,DATA_ASSET_CLASSIFICATION!$AA$8:$AA$13,0)),"Review"))</f>
        <v>Bucket 2 · Legacy</v>
      </c>
      <c r="P2914" s="350" t="str">
        <f>IF($B2914="Portfolio","Portfolio",IFERROR(INDEX(DATA_ASSET_CLASSIFICATION!$C$8:$C$24,MATCH($C2914,DATA_ASSET_CLASSIFICATION!$A$8:$A$24,0)),"Review"))</f>
        <v>Yes</v>
      </c>
      <c r="Q2914" s="350" t="str">
        <f t="shared" ca="1" si="91"/>
        <v>OK</v>
      </c>
    </row>
    <row r="2915" spans="1:17">
      <c r="A2915" s="366" t="s">
        <v>4871</v>
      </c>
      <c r="B2915" s="366" t="s">
        <v>231</v>
      </c>
      <c r="C2915" s="348" t="str">
        <f>DATA_PROPERTY_MASTER!$A$14</f>
        <v>BLD_MM</v>
      </c>
      <c r="D2915" s="380">
        <f>'00_PORTFOLIO ROLLUP'!F$12</f>
        <v>2026</v>
      </c>
      <c r="E2915" s="366" t="s">
        <v>1683</v>
      </c>
      <c r="F2915" s="366" t="s">
        <v>1697</v>
      </c>
      <c r="G2915" s="348" t="str">
        <f>"'"&amp;$C2915&amp;"'!$E$44:$Y$44"</f>
        <v>'BLD_MM'!$E$44:$Y$44</v>
      </c>
      <c r="H2915" s="381">
        <f ca="1">IF(IFERROR(INDEX(DATA_PROPERTY_MASTER!$E$5:$E$21,MATCH($C2915,DATA_PROPERTY_MASTER!$A$5:$A$21,0))="Yes",FALSE),IFERROR(INDEX(INDIRECT("'"&amp;$C2915&amp;"'!$E$44:$Y$44"),1,MATCH($D2915,INDIRECT("'"&amp;$C2915&amp;"'!$E$12:$Y$12"),0)),0),0)</f>
        <v>7191</v>
      </c>
      <c r="I2915" s="366" t="s">
        <v>1690</v>
      </c>
      <c r="J2915" s="348" t="str">
        <f t="shared" ca="1" si="90"/>
        <v>OK</v>
      </c>
      <c r="K2915" s="366" t="s">
        <v>1699</v>
      </c>
      <c r="L2915" s="366" t="s">
        <v>2240</v>
      </c>
      <c r="M2915" s="350" t="str">
        <f>IF($B2915="Portfolio","Portfolio",IFERROR(INDEX(DATA_ASSET_CLASSIFICATION!$B$8:$B$24,MATCH($C2915,DATA_ASSET_CLASSIFICATION!$A$8:$A$24,0)),"Review"))</f>
        <v>Murray Manor</v>
      </c>
      <c r="N2915" s="350" t="str">
        <f ca="1">IF($B2915="Portfolio","Portfolio",IFERROR(INDEX(DATA_ASSET_CLASSIFICATION!$U$8:$U$24,MATCH($C2915,DATA_ASSET_CLASSIFICATION!$A$8:$A$24,0)),"Review"))</f>
        <v>Refi Watch</v>
      </c>
      <c r="O2915" s="350" t="str">
        <f ca="1">IF($B2915="Portfolio","Portfolio",IFERROR(INDEX(DATA_ASSET_CLASSIFICATION!$AB$8:$AB$13,MATCH($N2915,DATA_ASSET_CLASSIFICATION!$AA$8:$AA$13,0)),"Review"))</f>
        <v>Bucket 2 · Legacy</v>
      </c>
      <c r="P2915" s="350" t="str">
        <f>IF($B2915="Portfolio","Portfolio",IFERROR(INDEX(DATA_ASSET_CLASSIFICATION!$C$8:$C$24,MATCH($C2915,DATA_ASSET_CLASSIFICATION!$A$8:$A$24,0)),"Review"))</f>
        <v>Yes</v>
      </c>
      <c r="Q2915" s="350" t="str">
        <f t="shared" ca="1" si="91"/>
        <v>OK</v>
      </c>
    </row>
    <row r="2916" spans="1:17">
      <c r="A2916" s="366" t="s">
        <v>4872</v>
      </c>
      <c r="B2916" s="366" t="s">
        <v>231</v>
      </c>
      <c r="C2916" s="348" t="str">
        <f>DATA_PROPERTY_MASTER!$A$14</f>
        <v>BLD_MM</v>
      </c>
      <c r="D2916" s="380">
        <f>'00_PORTFOLIO ROLLUP'!F$12</f>
        <v>2026</v>
      </c>
      <c r="E2916" s="366" t="s">
        <v>1683</v>
      </c>
      <c r="F2916" s="366" t="s">
        <v>21</v>
      </c>
      <c r="G2916" s="348" t="str">
        <f>"'"&amp;$C2916&amp;"'!$E$45:$Y$45"</f>
        <v>'BLD_MM'!$E$45:$Y$45</v>
      </c>
      <c r="H2916" s="381">
        <f ca="1">IF(IFERROR(INDEX(DATA_PROPERTY_MASTER!$E$5:$E$21,MATCH($C2916,DATA_PROPERTY_MASTER!$A$5:$A$21,0))="Yes",FALSE),IFERROR(INDEX(INDIRECT("'"&amp;$C2916&amp;"'!$E$45:$Y$45"),1,MATCH($D2916,INDIRECT("'"&amp;$C2916&amp;"'!$E$12:$Y$12"),0)),0),0)</f>
        <v>499899.76428000006</v>
      </c>
      <c r="I2916" s="366" t="s">
        <v>1685</v>
      </c>
      <c r="J2916" s="348" t="str">
        <f t="shared" ca="1" si="90"/>
        <v>OK</v>
      </c>
      <c r="K2916" s="366" t="s">
        <v>1694</v>
      </c>
      <c r="L2916" s="366" t="s">
        <v>2242</v>
      </c>
      <c r="M2916" s="350" t="str">
        <f>IF($B2916="Portfolio","Portfolio",IFERROR(INDEX(DATA_ASSET_CLASSIFICATION!$B$8:$B$24,MATCH($C2916,DATA_ASSET_CLASSIFICATION!$A$8:$A$24,0)),"Review"))</f>
        <v>Murray Manor</v>
      </c>
      <c r="N2916" s="350" t="str">
        <f ca="1">IF($B2916="Portfolio","Portfolio",IFERROR(INDEX(DATA_ASSET_CLASSIFICATION!$U$8:$U$24,MATCH($C2916,DATA_ASSET_CLASSIFICATION!$A$8:$A$24,0)),"Review"))</f>
        <v>Refi Watch</v>
      </c>
      <c r="O2916" s="350" t="str">
        <f ca="1">IF($B2916="Portfolio","Portfolio",IFERROR(INDEX(DATA_ASSET_CLASSIFICATION!$AB$8:$AB$13,MATCH($N2916,DATA_ASSET_CLASSIFICATION!$AA$8:$AA$13,0)),"Review"))</f>
        <v>Bucket 2 · Legacy</v>
      </c>
      <c r="P2916" s="350" t="str">
        <f>IF($B2916="Portfolio","Portfolio",IFERROR(INDEX(DATA_ASSET_CLASSIFICATION!$C$8:$C$24,MATCH($C2916,DATA_ASSET_CLASSIFICATION!$A$8:$A$24,0)),"Review"))</f>
        <v>Yes</v>
      </c>
      <c r="Q2916" s="350" t="str">
        <f t="shared" ca="1" si="91"/>
        <v>OK</v>
      </c>
    </row>
    <row r="2917" spans="1:17">
      <c r="A2917" s="366" t="s">
        <v>4873</v>
      </c>
      <c r="B2917" s="366" t="s">
        <v>231</v>
      </c>
      <c r="C2917" s="348" t="str">
        <f>DATA_PROPERTY_MASTER!$A$14</f>
        <v>BLD_MM</v>
      </c>
      <c r="D2917" s="380">
        <f>'00_PORTFOLIO ROLLUP'!F$12</f>
        <v>2026</v>
      </c>
      <c r="E2917" s="366" t="s">
        <v>23</v>
      </c>
      <c r="F2917" s="366" t="s">
        <v>23</v>
      </c>
      <c r="G2917" s="348" t="str">
        <f>"'"&amp;$C2917&amp;"'!$E$48:$Y$48"</f>
        <v>'BLD_MM'!$E$48:$Y$48</v>
      </c>
      <c r="H2917" s="381">
        <f ca="1">IF(IFERROR(INDEX(DATA_PROPERTY_MASTER!$E$5:$E$21,MATCH($C2917,DATA_PROPERTY_MASTER!$A$5:$A$21,0))="Yes",FALSE),IFERROR(INDEX(INDIRECT("'"&amp;$C2917&amp;"'!$E$48:$Y$48"),1,MATCH($D2917,INDIRECT("'"&amp;$C2917&amp;"'!$E$12:$Y$12"),0)),0),0)</f>
        <v>271563.84000000003</v>
      </c>
      <c r="I2917" s="366" t="s">
        <v>1690</v>
      </c>
      <c r="J2917" s="348" t="str">
        <f t="shared" ca="1" si="90"/>
        <v>OK</v>
      </c>
      <c r="K2917" s="366" t="s">
        <v>1706</v>
      </c>
      <c r="L2917" s="366" t="s">
        <v>2244</v>
      </c>
      <c r="M2917" s="350" t="str">
        <f>IF($B2917="Portfolio","Portfolio",IFERROR(INDEX(DATA_ASSET_CLASSIFICATION!$B$8:$B$24,MATCH($C2917,DATA_ASSET_CLASSIFICATION!$A$8:$A$24,0)),"Review"))</f>
        <v>Murray Manor</v>
      </c>
      <c r="N2917" s="350" t="str">
        <f ca="1">IF($B2917="Portfolio","Portfolio",IFERROR(INDEX(DATA_ASSET_CLASSIFICATION!$U$8:$U$24,MATCH($C2917,DATA_ASSET_CLASSIFICATION!$A$8:$A$24,0)),"Review"))</f>
        <v>Refi Watch</v>
      </c>
      <c r="O2917" s="350" t="str">
        <f ca="1">IF($B2917="Portfolio","Portfolio",IFERROR(INDEX(DATA_ASSET_CLASSIFICATION!$AB$8:$AB$13,MATCH($N2917,DATA_ASSET_CLASSIFICATION!$AA$8:$AA$13,0)),"Review"))</f>
        <v>Bucket 2 · Legacy</v>
      </c>
      <c r="P2917" s="350" t="str">
        <f>IF($B2917="Portfolio","Portfolio",IFERROR(INDEX(DATA_ASSET_CLASSIFICATION!$C$8:$C$24,MATCH($C2917,DATA_ASSET_CLASSIFICATION!$A$8:$A$24,0)),"Review"))</f>
        <v>Yes</v>
      </c>
      <c r="Q2917" s="350" t="str">
        <f t="shared" ca="1" si="91"/>
        <v>OK</v>
      </c>
    </row>
    <row r="2918" spans="1:17">
      <c r="A2918" s="366" t="s">
        <v>4874</v>
      </c>
      <c r="B2918" s="366" t="s">
        <v>231</v>
      </c>
      <c r="C2918" s="348" t="str">
        <f>DATA_PROPERTY_MASTER!$A$14</f>
        <v>BLD_MM</v>
      </c>
      <c r="D2918" s="380">
        <f>'00_PORTFOLIO ROLLUP'!F$12</f>
        <v>2026</v>
      </c>
      <c r="E2918" s="366" t="s">
        <v>1683</v>
      </c>
      <c r="F2918" s="366" t="s">
        <v>25</v>
      </c>
      <c r="G2918" s="348" t="str">
        <f>"'"&amp;$C2918&amp;"'!$E$52:$Y$52"</f>
        <v>'BLD_MM'!$E$52:$Y$52</v>
      </c>
      <c r="H2918" s="381">
        <f ca="1">IF(IFERROR(INDEX(DATA_PROPERTY_MASTER!$E$5:$E$21,MATCH($C2918,DATA_PROPERTY_MASTER!$A$5:$A$21,0))="Yes",FALSE),IFERROR(INDEX(INDIRECT("'"&amp;$C2918&amp;"'!$E$52:$Y$52"),1,MATCH($D2918,INDIRECT("'"&amp;$C2918&amp;"'!$E$12:$Y$12"),0)),0),0)</f>
        <v>235526.92428000004</v>
      </c>
      <c r="I2918" s="366" t="s">
        <v>1685</v>
      </c>
      <c r="J2918" s="348" t="str">
        <f t="shared" ca="1" si="90"/>
        <v>OK</v>
      </c>
      <c r="K2918" s="366" t="s">
        <v>1710</v>
      </c>
      <c r="L2918" s="366" t="s">
        <v>2246</v>
      </c>
      <c r="M2918" s="350" t="str">
        <f>IF($B2918="Portfolio","Portfolio",IFERROR(INDEX(DATA_ASSET_CLASSIFICATION!$B$8:$B$24,MATCH($C2918,DATA_ASSET_CLASSIFICATION!$A$8:$A$24,0)),"Review"))</f>
        <v>Murray Manor</v>
      </c>
      <c r="N2918" s="350" t="str">
        <f ca="1">IF($B2918="Portfolio","Portfolio",IFERROR(INDEX(DATA_ASSET_CLASSIFICATION!$U$8:$U$24,MATCH($C2918,DATA_ASSET_CLASSIFICATION!$A$8:$A$24,0)),"Review"))</f>
        <v>Refi Watch</v>
      </c>
      <c r="O2918" s="350" t="str">
        <f ca="1">IF($B2918="Portfolio","Portfolio",IFERROR(INDEX(DATA_ASSET_CLASSIFICATION!$AB$8:$AB$13,MATCH($N2918,DATA_ASSET_CLASSIFICATION!$AA$8:$AA$13,0)),"Review"))</f>
        <v>Bucket 2 · Legacy</v>
      </c>
      <c r="P2918" s="350" t="str">
        <f>IF($B2918="Portfolio","Portfolio",IFERROR(INDEX(DATA_ASSET_CLASSIFICATION!$C$8:$C$24,MATCH($C2918,DATA_ASSET_CLASSIFICATION!$A$8:$A$24,0)),"Review"))</f>
        <v>Yes</v>
      </c>
      <c r="Q2918" s="350" t="str">
        <f t="shared" ca="1" si="91"/>
        <v>OK</v>
      </c>
    </row>
    <row r="2919" spans="1:17">
      <c r="A2919" s="366" t="s">
        <v>4875</v>
      </c>
      <c r="B2919" s="366" t="s">
        <v>231</v>
      </c>
      <c r="C2919" s="348" t="str">
        <f>DATA_PROPERTY_MASTER!$A$14</f>
        <v>BLD_MM</v>
      </c>
      <c r="D2919" s="380">
        <f>'00_PORTFOLIO ROLLUP'!F$12</f>
        <v>2026</v>
      </c>
      <c r="E2919" s="366" t="s">
        <v>1683</v>
      </c>
      <c r="F2919" s="366" t="s">
        <v>27</v>
      </c>
      <c r="G2919" s="348" t="str">
        <f>"'"&amp;$C2919&amp;"'!$E$54:$Y$54"</f>
        <v>'BLD_MM'!$E$54:$Y$54</v>
      </c>
      <c r="H2919" s="381">
        <f ca="1">IF(IFERROR(INDEX(DATA_PROPERTY_MASTER!$E$5:$E$21,MATCH($C2919,DATA_PROPERTY_MASTER!$A$5:$A$21,0))="Yes",FALSE),IFERROR(INDEX(INDIRECT("'"&amp;$C2919&amp;"'!$E$54:$Y$54"),1,MATCH($D2919,INDIRECT("'"&amp;$C2919&amp;"'!$E$12:$Y$12"),0)),0),0)</f>
        <v>141316.15456800003</v>
      </c>
      <c r="I2919" s="366" t="s">
        <v>1690</v>
      </c>
      <c r="J2919" s="348" t="str">
        <f t="shared" ca="1" si="90"/>
        <v>OK</v>
      </c>
      <c r="K2919" s="366" t="s">
        <v>1714</v>
      </c>
      <c r="L2919" s="366" t="s">
        <v>2248</v>
      </c>
      <c r="M2919" s="350" t="str">
        <f>IF($B2919="Portfolio","Portfolio",IFERROR(INDEX(DATA_ASSET_CLASSIFICATION!$B$8:$B$24,MATCH($C2919,DATA_ASSET_CLASSIFICATION!$A$8:$A$24,0)),"Review"))</f>
        <v>Murray Manor</v>
      </c>
      <c r="N2919" s="350" t="str">
        <f ca="1">IF($B2919="Portfolio","Portfolio",IFERROR(INDEX(DATA_ASSET_CLASSIFICATION!$U$8:$U$24,MATCH($C2919,DATA_ASSET_CLASSIFICATION!$A$8:$A$24,0)),"Review"))</f>
        <v>Refi Watch</v>
      </c>
      <c r="O2919" s="350" t="str">
        <f ca="1">IF($B2919="Portfolio","Portfolio",IFERROR(INDEX(DATA_ASSET_CLASSIFICATION!$AB$8:$AB$13,MATCH($N2919,DATA_ASSET_CLASSIFICATION!$AA$8:$AA$13,0)),"Review"))</f>
        <v>Bucket 2 · Legacy</v>
      </c>
      <c r="P2919" s="350" t="str">
        <f>IF($B2919="Portfolio","Portfolio",IFERROR(INDEX(DATA_ASSET_CLASSIFICATION!$C$8:$C$24,MATCH($C2919,DATA_ASSET_CLASSIFICATION!$A$8:$A$24,0)),"Review"))</f>
        <v>Yes</v>
      </c>
      <c r="Q2919" s="350" t="str">
        <f t="shared" ca="1" si="91"/>
        <v>OK</v>
      </c>
    </row>
    <row r="2920" spans="1:17">
      <c r="A2920" s="366" t="s">
        <v>4876</v>
      </c>
      <c r="B2920" s="366" t="s">
        <v>231</v>
      </c>
      <c r="C2920" s="348" t="str">
        <f>DATA_PROPERTY_MASTER!$A$14</f>
        <v>BLD_MM</v>
      </c>
      <c r="D2920" s="380">
        <f>'00_PORTFOLIO ROLLUP'!F$12</f>
        <v>2026</v>
      </c>
      <c r="E2920" s="366" t="s">
        <v>1683</v>
      </c>
      <c r="F2920" s="366" t="s">
        <v>29</v>
      </c>
      <c r="G2920" s="348" t="str">
        <f>"'"&amp;$C2920&amp;"'!$E$56:$Y$56"</f>
        <v>'BLD_MM'!$E$56:$Y$56</v>
      </c>
      <c r="H2920" s="381">
        <f ca="1">IF(IFERROR(INDEX(DATA_PROPERTY_MASTER!$E$5:$E$21,MATCH($C2920,DATA_PROPERTY_MASTER!$A$5:$A$21,0))="Yes",FALSE),IFERROR(INDEX(INDIRECT("'"&amp;$C2920&amp;"'!$E$56:$Y$56"),1,MATCH($D2920,INDIRECT("'"&amp;$C2920&amp;"'!$E$12:$Y$12"),0)),0),0)</f>
        <v>94210.769712000008</v>
      </c>
      <c r="I2920" s="366" t="s">
        <v>1685</v>
      </c>
      <c r="J2920" s="348" t="str">
        <f t="shared" ca="1" si="90"/>
        <v>OK</v>
      </c>
      <c r="K2920" s="366" t="s">
        <v>1718</v>
      </c>
      <c r="L2920" s="366" t="s">
        <v>2250</v>
      </c>
      <c r="M2920" s="350" t="str">
        <f>IF($B2920="Portfolio","Portfolio",IFERROR(INDEX(DATA_ASSET_CLASSIFICATION!$B$8:$B$24,MATCH($C2920,DATA_ASSET_CLASSIFICATION!$A$8:$A$24,0)),"Review"))</f>
        <v>Murray Manor</v>
      </c>
      <c r="N2920" s="350" t="str">
        <f ca="1">IF($B2920="Portfolio","Portfolio",IFERROR(INDEX(DATA_ASSET_CLASSIFICATION!$U$8:$U$24,MATCH($C2920,DATA_ASSET_CLASSIFICATION!$A$8:$A$24,0)),"Review"))</f>
        <v>Refi Watch</v>
      </c>
      <c r="O2920" s="350" t="str">
        <f ca="1">IF($B2920="Portfolio","Portfolio",IFERROR(INDEX(DATA_ASSET_CLASSIFICATION!$AB$8:$AB$13,MATCH($N2920,DATA_ASSET_CLASSIFICATION!$AA$8:$AA$13,0)),"Review"))</f>
        <v>Bucket 2 · Legacy</v>
      </c>
      <c r="P2920" s="350" t="str">
        <f>IF($B2920="Portfolio","Portfolio",IFERROR(INDEX(DATA_ASSET_CLASSIFICATION!$C$8:$C$24,MATCH($C2920,DATA_ASSET_CLASSIFICATION!$A$8:$A$24,0)),"Review"))</f>
        <v>Yes</v>
      </c>
      <c r="Q2920" s="350" t="str">
        <f t="shared" ca="1" si="91"/>
        <v>OK</v>
      </c>
    </row>
    <row r="2921" spans="1:17">
      <c r="A2921" s="366" t="s">
        <v>4877</v>
      </c>
      <c r="B2921" s="366" t="s">
        <v>231</v>
      </c>
      <c r="C2921" s="348" t="str">
        <f>DATA_PROPERTY_MASTER!$A$14</f>
        <v>BLD_MM</v>
      </c>
      <c r="D2921" s="380">
        <f>'00_PORTFOLIO ROLLUP'!F$12</f>
        <v>2026</v>
      </c>
      <c r="E2921" s="366" t="s">
        <v>1721</v>
      </c>
      <c r="F2921" s="366" t="s">
        <v>31</v>
      </c>
      <c r="G2921" s="348" t="str">
        <f>"'"&amp;$C2921&amp;"'!$E$61:$Y$61"</f>
        <v>'BLD_MM'!$E$61:$Y$61</v>
      </c>
      <c r="H2921" s="381">
        <f ca="1">IF(IFERROR(INDEX(DATA_PROPERTY_MASTER!$E$5:$E$21,MATCH($C2921,DATA_PROPERTY_MASTER!$A$5:$A$21,0))="Yes",FALSE),IFERROR(INDEX(INDIRECT("'"&amp;$C2921&amp;"'!$E$61:$Y$61"),1,MATCH($D2921,INDIRECT("'"&amp;$C2921&amp;"'!$E$12:$Y$12"),0)),0),0)</f>
        <v>0</v>
      </c>
      <c r="I2921" s="366" t="s">
        <v>1690</v>
      </c>
      <c r="J2921" s="348" t="str">
        <f t="shared" ca="1" si="90"/>
        <v>OK</v>
      </c>
      <c r="K2921" s="366" t="s">
        <v>1723</v>
      </c>
      <c r="L2921" s="366" t="s">
        <v>2252</v>
      </c>
      <c r="M2921" s="350" t="str">
        <f>IF($B2921="Portfolio","Portfolio",IFERROR(INDEX(DATA_ASSET_CLASSIFICATION!$B$8:$B$24,MATCH($C2921,DATA_ASSET_CLASSIFICATION!$A$8:$A$24,0)),"Review"))</f>
        <v>Murray Manor</v>
      </c>
      <c r="N2921" s="350" t="str">
        <f ca="1">IF($B2921="Portfolio","Portfolio",IFERROR(INDEX(DATA_ASSET_CLASSIFICATION!$U$8:$U$24,MATCH($C2921,DATA_ASSET_CLASSIFICATION!$A$8:$A$24,0)),"Review"))</f>
        <v>Refi Watch</v>
      </c>
      <c r="O2921" s="350" t="str">
        <f ca="1">IF($B2921="Portfolio","Portfolio",IFERROR(INDEX(DATA_ASSET_CLASSIFICATION!$AB$8:$AB$13,MATCH($N2921,DATA_ASSET_CLASSIFICATION!$AA$8:$AA$13,0)),"Review"))</f>
        <v>Bucket 2 · Legacy</v>
      </c>
      <c r="P2921" s="350" t="str">
        <f>IF($B2921="Portfolio","Portfolio",IFERROR(INDEX(DATA_ASSET_CLASSIFICATION!$C$8:$C$24,MATCH($C2921,DATA_ASSET_CLASSIFICATION!$A$8:$A$24,0)),"Review"))</f>
        <v>Yes</v>
      </c>
      <c r="Q2921" s="350" t="str">
        <f t="shared" ca="1" si="91"/>
        <v>OK</v>
      </c>
    </row>
    <row r="2922" spans="1:17">
      <c r="A2922" s="366" t="s">
        <v>4878</v>
      </c>
      <c r="B2922" s="366" t="s">
        <v>231</v>
      </c>
      <c r="C2922" s="348" t="str">
        <f>DATA_PROPERTY_MASTER!$A$14</f>
        <v>BLD_MM</v>
      </c>
      <c r="D2922" s="380">
        <f>'00_PORTFOLIO ROLLUP'!F$12</f>
        <v>2026</v>
      </c>
      <c r="E2922" s="366" t="s">
        <v>1721</v>
      </c>
      <c r="F2922" s="366" t="s">
        <v>33</v>
      </c>
      <c r="G2922" s="348" t="str">
        <f>"'"&amp;$C2922&amp;"'!$E$62:$Y$62"</f>
        <v>'BLD_MM'!$E$62:$Y$62</v>
      </c>
      <c r="H2922" s="381">
        <f ca="1">IF(IFERROR(INDEX(DATA_PROPERTY_MASTER!$E$5:$E$21,MATCH($C2922,DATA_PROPERTY_MASTER!$A$5:$A$21,0))="Yes",FALSE),IFERROR(INDEX(INDIRECT("'"&amp;$C2922&amp;"'!$E$62:$Y$62"),1,MATCH($D2922,INDIRECT("'"&amp;$C2922&amp;"'!$E$12:$Y$12"),0)),0),0)</f>
        <v>0</v>
      </c>
      <c r="I2922" s="366" t="s">
        <v>1685</v>
      </c>
      <c r="J2922" s="348" t="str">
        <f t="shared" ca="1" si="90"/>
        <v>OK</v>
      </c>
      <c r="K2922" s="366" t="s">
        <v>1727</v>
      </c>
      <c r="L2922" s="366" t="s">
        <v>2254</v>
      </c>
      <c r="M2922" s="350" t="str">
        <f>IF($B2922="Portfolio","Portfolio",IFERROR(INDEX(DATA_ASSET_CLASSIFICATION!$B$8:$B$24,MATCH($C2922,DATA_ASSET_CLASSIFICATION!$A$8:$A$24,0)),"Review"))</f>
        <v>Murray Manor</v>
      </c>
      <c r="N2922" s="350" t="str">
        <f ca="1">IF($B2922="Portfolio","Portfolio",IFERROR(INDEX(DATA_ASSET_CLASSIFICATION!$U$8:$U$24,MATCH($C2922,DATA_ASSET_CLASSIFICATION!$A$8:$A$24,0)),"Review"))</f>
        <v>Refi Watch</v>
      </c>
      <c r="O2922" s="350" t="str">
        <f ca="1">IF($B2922="Portfolio","Portfolio",IFERROR(INDEX(DATA_ASSET_CLASSIFICATION!$AB$8:$AB$13,MATCH($N2922,DATA_ASSET_CLASSIFICATION!$AA$8:$AA$13,0)),"Review"))</f>
        <v>Bucket 2 · Legacy</v>
      </c>
      <c r="P2922" s="350" t="str">
        <f>IF($B2922="Portfolio","Portfolio",IFERROR(INDEX(DATA_ASSET_CLASSIFICATION!$C$8:$C$24,MATCH($C2922,DATA_ASSET_CLASSIFICATION!$A$8:$A$24,0)),"Review"))</f>
        <v>Yes</v>
      </c>
      <c r="Q2922" s="350" t="str">
        <f t="shared" ca="1" si="91"/>
        <v>OK</v>
      </c>
    </row>
    <row r="2923" spans="1:17">
      <c r="A2923" s="366" t="s">
        <v>4879</v>
      </c>
      <c r="B2923" s="366" t="s">
        <v>231</v>
      </c>
      <c r="C2923" s="348" t="str">
        <f>DATA_PROPERTY_MASTER!$A$14</f>
        <v>BLD_MM</v>
      </c>
      <c r="D2923" s="380">
        <f>'00_PORTFOLIO ROLLUP'!F$12</f>
        <v>2026</v>
      </c>
      <c r="E2923" s="366" t="s">
        <v>1721</v>
      </c>
      <c r="F2923" s="366" t="s">
        <v>35</v>
      </c>
      <c r="G2923" s="348" t="str">
        <f>"'"&amp;$C2923&amp;"'!$E$63:$Y$63"</f>
        <v>'BLD_MM'!$E$63:$Y$63</v>
      </c>
      <c r="H2923" s="381">
        <f ca="1">IF(IFERROR(INDEX(DATA_PROPERTY_MASTER!$E$5:$E$21,MATCH($C2923,DATA_PROPERTY_MASTER!$A$5:$A$21,0))="Yes",FALSE),IFERROR(INDEX(INDIRECT("'"&amp;$C2923&amp;"'!$E$63:$Y$63"),1,MATCH($D2923,INDIRECT("'"&amp;$C2923&amp;"'!$E$12:$Y$12"),0)),0),0)</f>
        <v>0</v>
      </c>
      <c r="I2923" s="366" t="s">
        <v>1731</v>
      </c>
      <c r="J2923" s="348" t="str">
        <f t="shared" ca="1" si="90"/>
        <v>OK</v>
      </c>
      <c r="K2923" s="366" t="s">
        <v>1732</v>
      </c>
      <c r="L2923" s="366" t="s">
        <v>2256</v>
      </c>
      <c r="M2923" s="350" t="str">
        <f>IF($B2923="Portfolio","Portfolio",IFERROR(INDEX(DATA_ASSET_CLASSIFICATION!$B$8:$B$24,MATCH($C2923,DATA_ASSET_CLASSIFICATION!$A$8:$A$24,0)),"Review"))</f>
        <v>Murray Manor</v>
      </c>
      <c r="N2923" s="350" t="str">
        <f ca="1">IF($B2923="Portfolio","Portfolio",IFERROR(INDEX(DATA_ASSET_CLASSIFICATION!$U$8:$U$24,MATCH($C2923,DATA_ASSET_CLASSIFICATION!$A$8:$A$24,0)),"Review"))</f>
        <v>Refi Watch</v>
      </c>
      <c r="O2923" s="350" t="str">
        <f ca="1">IF($B2923="Portfolio","Portfolio",IFERROR(INDEX(DATA_ASSET_CLASSIFICATION!$AB$8:$AB$13,MATCH($N2923,DATA_ASSET_CLASSIFICATION!$AA$8:$AA$13,0)),"Review"))</f>
        <v>Bucket 2 · Legacy</v>
      </c>
      <c r="P2923" s="350" t="str">
        <f>IF($B2923="Portfolio","Portfolio",IFERROR(INDEX(DATA_ASSET_CLASSIFICATION!$C$8:$C$24,MATCH($C2923,DATA_ASSET_CLASSIFICATION!$A$8:$A$24,0)),"Review"))</f>
        <v>Yes</v>
      </c>
      <c r="Q2923" s="350" t="str">
        <f t="shared" ca="1" si="91"/>
        <v>OK</v>
      </c>
    </row>
    <row r="2924" spans="1:17">
      <c r="A2924" s="366" t="s">
        <v>4880</v>
      </c>
      <c r="B2924" s="366" t="s">
        <v>231</v>
      </c>
      <c r="C2924" s="348" t="str">
        <f>DATA_PROPERTY_MASTER!$A$14</f>
        <v>BLD_MM</v>
      </c>
      <c r="D2924" s="380">
        <f>'00_PORTFOLIO ROLLUP'!F$12</f>
        <v>2026</v>
      </c>
      <c r="E2924" s="366" t="s">
        <v>1721</v>
      </c>
      <c r="F2924" s="366" t="s">
        <v>37</v>
      </c>
      <c r="G2924" s="348" t="str">
        <f>"'"&amp;$C2924&amp;"'!$E$63:$Y$63"</f>
        <v>'BLD_MM'!$E$63:$Y$63</v>
      </c>
      <c r="H2924" s="381">
        <f ca="1">IF(IFERROR(INDEX(DATA_PROPERTY_MASTER!$E$5:$E$21,MATCH($C2924,DATA_PROPERTY_MASTER!$A$5:$A$21,0))="Yes",FALSE),MAX(IFERROR(INDEX(INDIRECT("'"&amp;$C2924&amp;"'!$E$63:$Y$63"),1,MATCH($D2924,INDIRECT("'"&amp;$C2924&amp;"'!$E$12:$Y$12"),0)),0),0),0)</f>
        <v>0</v>
      </c>
      <c r="I2924" s="366" t="s">
        <v>1685</v>
      </c>
      <c r="J2924" s="348" t="str">
        <f t="shared" ca="1" si="90"/>
        <v>OK</v>
      </c>
      <c r="K2924" s="366" t="s">
        <v>1735</v>
      </c>
      <c r="L2924" s="366" t="s">
        <v>2258</v>
      </c>
      <c r="M2924" s="350" t="str">
        <f>IF($B2924="Portfolio","Portfolio",IFERROR(INDEX(DATA_ASSET_CLASSIFICATION!$B$8:$B$24,MATCH($C2924,DATA_ASSET_CLASSIFICATION!$A$8:$A$24,0)),"Review"))</f>
        <v>Murray Manor</v>
      </c>
      <c r="N2924" s="350" t="str">
        <f ca="1">IF($B2924="Portfolio","Portfolio",IFERROR(INDEX(DATA_ASSET_CLASSIFICATION!$U$8:$U$24,MATCH($C2924,DATA_ASSET_CLASSIFICATION!$A$8:$A$24,0)),"Review"))</f>
        <v>Refi Watch</v>
      </c>
      <c r="O2924" s="350" t="str">
        <f ca="1">IF($B2924="Portfolio","Portfolio",IFERROR(INDEX(DATA_ASSET_CLASSIFICATION!$AB$8:$AB$13,MATCH($N2924,DATA_ASSET_CLASSIFICATION!$AA$8:$AA$13,0)),"Review"))</f>
        <v>Bucket 2 · Legacy</v>
      </c>
      <c r="P2924" s="350" t="str">
        <f>IF($B2924="Portfolio","Portfolio",IFERROR(INDEX(DATA_ASSET_CLASSIFICATION!$C$8:$C$24,MATCH($C2924,DATA_ASSET_CLASSIFICATION!$A$8:$A$24,0)),"Review"))</f>
        <v>Yes</v>
      </c>
      <c r="Q2924" s="350" t="str">
        <f t="shared" ca="1" si="91"/>
        <v>OK</v>
      </c>
    </row>
    <row r="2925" spans="1:17">
      <c r="A2925" s="366" t="s">
        <v>4881</v>
      </c>
      <c r="B2925" s="366" t="s">
        <v>231</v>
      </c>
      <c r="C2925" s="348" t="str">
        <f>DATA_PROPERTY_MASTER!$A$14</f>
        <v>BLD_MM</v>
      </c>
      <c r="D2925" s="380">
        <f>'00_PORTFOLIO ROLLUP'!F$12</f>
        <v>2026</v>
      </c>
      <c r="E2925" s="366" t="s">
        <v>1721</v>
      </c>
      <c r="F2925" s="366" t="s">
        <v>39</v>
      </c>
      <c r="G2925" s="348" t="str">
        <f>"'"&amp;$C2925&amp;"'!$E$63:$Y$63"</f>
        <v>'BLD_MM'!$E$63:$Y$63</v>
      </c>
      <c r="H2925" s="381">
        <f ca="1">IF(IFERROR(INDEX(DATA_PROPERTY_MASTER!$E$5:$E$21,MATCH($C2925,DATA_PROPERTY_MASTER!$A$5:$A$21,0))="Yes",FALSE),MAX(-IFERROR(INDEX(INDIRECT("'"&amp;$C2925&amp;"'!$E$63:$Y$63"),1,MATCH($D2925,INDIRECT("'"&amp;$C2925&amp;"'!$E$12:$Y$12"),0)),0),0),0)</f>
        <v>0</v>
      </c>
      <c r="I2925" s="366" t="s">
        <v>1690</v>
      </c>
      <c r="J2925" s="348" t="str">
        <f t="shared" ca="1" si="90"/>
        <v>OK</v>
      </c>
      <c r="K2925" s="366" t="s">
        <v>1738</v>
      </c>
      <c r="L2925" s="366" t="s">
        <v>2260</v>
      </c>
      <c r="M2925" s="350" t="str">
        <f>IF($B2925="Portfolio","Portfolio",IFERROR(INDEX(DATA_ASSET_CLASSIFICATION!$B$8:$B$24,MATCH($C2925,DATA_ASSET_CLASSIFICATION!$A$8:$A$24,0)),"Review"))</f>
        <v>Murray Manor</v>
      </c>
      <c r="N2925" s="350" t="str">
        <f ca="1">IF($B2925="Portfolio","Portfolio",IFERROR(INDEX(DATA_ASSET_CLASSIFICATION!$U$8:$U$24,MATCH($C2925,DATA_ASSET_CLASSIFICATION!$A$8:$A$24,0)),"Review"))</f>
        <v>Refi Watch</v>
      </c>
      <c r="O2925" s="350" t="str">
        <f ca="1">IF($B2925="Portfolio","Portfolio",IFERROR(INDEX(DATA_ASSET_CLASSIFICATION!$AB$8:$AB$13,MATCH($N2925,DATA_ASSET_CLASSIFICATION!$AA$8:$AA$13,0)),"Review"))</f>
        <v>Bucket 2 · Legacy</v>
      </c>
      <c r="P2925" s="350" t="str">
        <f>IF($B2925="Portfolio","Portfolio",IFERROR(INDEX(DATA_ASSET_CLASSIFICATION!$C$8:$C$24,MATCH($C2925,DATA_ASSET_CLASSIFICATION!$A$8:$A$24,0)),"Review"))</f>
        <v>Yes</v>
      </c>
      <c r="Q2925" s="350" t="str">
        <f t="shared" ca="1" si="91"/>
        <v>OK</v>
      </c>
    </row>
    <row r="2926" spans="1:17">
      <c r="A2926" s="366" t="s">
        <v>4882</v>
      </c>
      <c r="B2926" s="366" t="s">
        <v>231</v>
      </c>
      <c r="C2926" s="348" t="str">
        <f>DATA_PROPERTY_MASTER!$A$14</f>
        <v>BLD_MM</v>
      </c>
      <c r="D2926" s="380">
        <f>'00_PORTFOLIO ROLLUP'!F$12</f>
        <v>2026</v>
      </c>
      <c r="E2926" s="366" t="s">
        <v>1741</v>
      </c>
      <c r="F2926" s="366" t="s">
        <v>41</v>
      </c>
      <c r="G2926" s="348" t="str">
        <f>"'"&amp;$C2926&amp;"'!rows 56 + positive row 63"</f>
        <v>'BLD_MM'!rows 56 + positive row 63</v>
      </c>
      <c r="H2926" s="381">
        <f ca="1">IF(IFERROR(INDEX(DATA_PROPERTY_MASTER!$E$5:$E$21,MATCH($C2926,DATA_PROPERTY_MASTER!$A$5:$A$21,0))="Yes",FALSE),IFERROR(INDEX(INDIRECT("'"&amp;$C2926&amp;"'!$E$56:$Y$56"),1,MATCH($D2926,INDIRECT("'"&amp;$C2926&amp;"'!$E$12:$Y$12"),0)),0)+MAX(IFERROR(INDEX(INDIRECT("'"&amp;$C2926&amp;"'!$E$63:$Y$63"),1,MATCH($D2926,INDIRECT("'"&amp;$C2926&amp;"'!$E$12:$Y$12"),0)),0),0),0)</f>
        <v>94210.769712000008</v>
      </c>
      <c r="I2926" s="366" t="s">
        <v>1685</v>
      </c>
      <c r="J2926" s="348" t="str">
        <f t="shared" ca="1" si="90"/>
        <v>OK</v>
      </c>
      <c r="K2926" s="366" t="s">
        <v>1742</v>
      </c>
      <c r="L2926" s="366" t="s">
        <v>2262</v>
      </c>
      <c r="M2926" s="350" t="str">
        <f>IF($B2926="Portfolio","Portfolio",IFERROR(INDEX(DATA_ASSET_CLASSIFICATION!$B$8:$B$24,MATCH($C2926,DATA_ASSET_CLASSIFICATION!$A$8:$A$24,0)),"Review"))</f>
        <v>Murray Manor</v>
      </c>
      <c r="N2926" s="350" t="str">
        <f ca="1">IF($B2926="Portfolio","Portfolio",IFERROR(INDEX(DATA_ASSET_CLASSIFICATION!$U$8:$U$24,MATCH($C2926,DATA_ASSET_CLASSIFICATION!$A$8:$A$24,0)),"Review"))</f>
        <v>Refi Watch</v>
      </c>
      <c r="O2926" s="350" t="str">
        <f ca="1">IF($B2926="Portfolio","Portfolio",IFERROR(INDEX(DATA_ASSET_CLASSIFICATION!$AB$8:$AB$13,MATCH($N2926,DATA_ASSET_CLASSIFICATION!$AA$8:$AA$13,0)),"Review"))</f>
        <v>Bucket 2 · Legacy</v>
      </c>
      <c r="P2926" s="350" t="str">
        <f>IF($B2926="Portfolio","Portfolio",IFERROR(INDEX(DATA_ASSET_CLASSIFICATION!$C$8:$C$24,MATCH($C2926,DATA_ASSET_CLASSIFICATION!$A$8:$A$24,0)),"Review"))</f>
        <v>Yes</v>
      </c>
      <c r="Q2926" s="350" t="str">
        <f t="shared" ca="1" si="91"/>
        <v>OK</v>
      </c>
    </row>
    <row r="2927" spans="1:17">
      <c r="A2927" s="366" t="s">
        <v>4883</v>
      </c>
      <c r="B2927" s="366" t="s">
        <v>231</v>
      </c>
      <c r="C2927" s="348" t="str">
        <f>DATA_PROPERTY_MASTER!$A$14</f>
        <v>BLD_MM</v>
      </c>
      <c r="D2927" s="380">
        <f>'00_PORTFOLIO ROLLUP'!F$12</f>
        <v>2026</v>
      </c>
      <c r="E2927" s="366" t="s">
        <v>1741</v>
      </c>
      <c r="F2927" s="366" t="s">
        <v>43</v>
      </c>
      <c r="G2927" s="348" t="str">
        <f>"'"&amp;$C2927&amp;"'!$E$68:$Y$68"</f>
        <v>'BLD_MM'!$E$68:$Y$68</v>
      </c>
      <c r="H2927" s="381">
        <f ca="1">IF(IFERROR(INDEX(DATA_PROPERTY_MASTER!$E$5:$E$21,MATCH($C2927,DATA_PROPERTY_MASTER!$A$5:$A$21,0))="Yes",FALSE),IFERROR(INDEX(INDIRECT("'"&amp;$C2927&amp;"'!$E$68:$Y$68"),1,MATCH($D2927,INDIRECT("'"&amp;$C2927&amp;"'!$E$12:$Y$12"),0)),0),0)</f>
        <v>94210.769712000008</v>
      </c>
      <c r="I2927" s="366" t="s">
        <v>1731</v>
      </c>
      <c r="J2927" s="348" t="str">
        <f t="shared" ca="1" si="90"/>
        <v>OK</v>
      </c>
      <c r="K2927" s="366" t="s">
        <v>1746</v>
      </c>
      <c r="L2927" s="366" t="s">
        <v>2264</v>
      </c>
      <c r="M2927" s="350" t="str">
        <f>IF($B2927="Portfolio","Portfolio",IFERROR(INDEX(DATA_ASSET_CLASSIFICATION!$B$8:$B$24,MATCH($C2927,DATA_ASSET_CLASSIFICATION!$A$8:$A$24,0)),"Review"))</f>
        <v>Murray Manor</v>
      </c>
      <c r="N2927" s="350" t="str">
        <f ca="1">IF($B2927="Portfolio","Portfolio",IFERROR(INDEX(DATA_ASSET_CLASSIFICATION!$U$8:$U$24,MATCH($C2927,DATA_ASSET_CLASSIFICATION!$A$8:$A$24,0)),"Review"))</f>
        <v>Refi Watch</v>
      </c>
      <c r="O2927" s="350" t="str">
        <f ca="1">IF($B2927="Portfolio","Portfolio",IFERROR(INDEX(DATA_ASSET_CLASSIFICATION!$AB$8:$AB$13,MATCH($N2927,DATA_ASSET_CLASSIFICATION!$AA$8:$AA$13,0)),"Review"))</f>
        <v>Bucket 2 · Legacy</v>
      </c>
      <c r="P2927" s="350" t="str">
        <f>IF($B2927="Portfolio","Portfolio",IFERROR(INDEX(DATA_ASSET_CLASSIFICATION!$C$8:$C$24,MATCH($C2927,DATA_ASSET_CLASSIFICATION!$A$8:$A$24,0)),"Review"))</f>
        <v>Yes</v>
      </c>
      <c r="Q2927" s="350" t="str">
        <f t="shared" ca="1" si="91"/>
        <v>OK</v>
      </c>
    </row>
    <row r="2928" spans="1:17">
      <c r="A2928" s="366" t="s">
        <v>4884</v>
      </c>
      <c r="B2928" s="366" t="s">
        <v>231</v>
      </c>
      <c r="C2928" s="348" t="str">
        <f>DATA_PROPERTY_MASTER!$A$14</f>
        <v>BLD_MM</v>
      </c>
      <c r="D2928" s="380">
        <f>'00_PORTFOLIO ROLLUP'!F$12</f>
        <v>2026</v>
      </c>
      <c r="E2928" s="366" t="s">
        <v>1741</v>
      </c>
      <c r="F2928" s="366" t="s">
        <v>1749</v>
      </c>
      <c r="G2928" s="348" t="str">
        <f>"'"&amp;$C2928&amp;"'!rows 56, 63, 68"</f>
        <v>'BLD_MM'!rows 56, 63, 68</v>
      </c>
      <c r="H2928" s="381">
        <f ca="1">IF(IFERROR(INDEX(DATA_PROPERTY_MASTER!$E$5:$E$21,MATCH($C2928,DATA_PROPERTY_MASTER!$A$5:$A$21,0))="Yes",FALSE),(IFERROR(INDEX(INDIRECT("'"&amp;$C2928&amp;"'!$E$56:$Y$56"),1,MATCH($D2928,INDIRECT("'"&amp;$C2928&amp;"'!$E$12:$Y$12"),0)),0)+MAX(IFERROR(INDEX(INDIRECT("'"&amp;$C2928&amp;"'!$E$63:$Y$63"),1,MATCH($D2928,INDIRECT("'"&amp;$C2928&amp;"'!$E$12:$Y$12"),0)),0),0))-(IFERROR(INDEX(INDIRECT("'"&amp;$C2928&amp;"'!$E$68:$Y$68"),1,MATCH($D2928,INDIRECT("'"&amp;$C2928&amp;"'!$E$12:$Y$12"),0)),0)),0)</f>
        <v>0</v>
      </c>
      <c r="I2928" s="366" t="s">
        <v>1750</v>
      </c>
      <c r="J2928" s="348" t="str">
        <f t="shared" ca="1" si="90"/>
        <v>OK</v>
      </c>
      <c r="K2928" s="366" t="s">
        <v>1751</v>
      </c>
      <c r="L2928" s="366" t="s">
        <v>2266</v>
      </c>
      <c r="M2928" s="350" t="str">
        <f>IF($B2928="Portfolio","Portfolio",IFERROR(INDEX(DATA_ASSET_CLASSIFICATION!$B$8:$B$24,MATCH($C2928,DATA_ASSET_CLASSIFICATION!$A$8:$A$24,0)),"Review"))</f>
        <v>Murray Manor</v>
      </c>
      <c r="N2928" s="350" t="str">
        <f ca="1">IF($B2928="Portfolio","Portfolio",IFERROR(INDEX(DATA_ASSET_CLASSIFICATION!$U$8:$U$24,MATCH($C2928,DATA_ASSET_CLASSIFICATION!$A$8:$A$24,0)),"Review"))</f>
        <v>Refi Watch</v>
      </c>
      <c r="O2928" s="350" t="str">
        <f ca="1">IF($B2928="Portfolio","Portfolio",IFERROR(INDEX(DATA_ASSET_CLASSIFICATION!$AB$8:$AB$13,MATCH($N2928,DATA_ASSET_CLASSIFICATION!$AA$8:$AA$13,0)),"Review"))</f>
        <v>Bucket 2 · Legacy</v>
      </c>
      <c r="P2928" s="350" t="str">
        <f>IF($B2928="Portfolio","Portfolio",IFERROR(INDEX(DATA_ASSET_CLASSIFICATION!$C$8:$C$24,MATCH($C2928,DATA_ASSET_CLASSIFICATION!$A$8:$A$24,0)),"Review"))</f>
        <v>Yes</v>
      </c>
      <c r="Q2928" s="350" t="str">
        <f t="shared" ca="1" si="91"/>
        <v>OK</v>
      </c>
    </row>
    <row r="2929" spans="1:17">
      <c r="A2929" s="366" t="s">
        <v>4885</v>
      </c>
      <c r="B2929" s="366" t="s">
        <v>231</v>
      </c>
      <c r="C2929" s="348" t="str">
        <f>DATA_PROPERTY_MASTER!$A$14</f>
        <v>BLD_MM</v>
      </c>
      <c r="D2929" s="380">
        <f>'00_PORTFOLIO ROLLUP'!G$12</f>
        <v>2027</v>
      </c>
      <c r="E2929" s="366" t="s">
        <v>1683</v>
      </c>
      <c r="F2929" s="366" t="s">
        <v>341</v>
      </c>
      <c r="G2929" s="348" t="str">
        <f>"'"&amp;$C2929&amp;"'!$E$24:$Y$24"</f>
        <v>'BLD_MM'!$E$24:$Y$24</v>
      </c>
      <c r="H2929" s="381">
        <f ca="1">IF(IFERROR(INDEX(DATA_PROPERTY_MASTER!$E$5:$E$21,MATCH($C2929,DATA_PROPERTY_MASTER!$A$5:$A$21,0))="Yes",FALSE),IFERROR(INDEX(INDIRECT("'"&amp;$C2929&amp;"'!$E$24:$Y$24"),1,MATCH($D2929,INDIRECT("'"&amp;$C2929&amp;"'!$E$12:$Y$12"),0)),0),0)</f>
        <v>812552.93476560002</v>
      </c>
      <c r="I2929" s="366" t="s">
        <v>1685</v>
      </c>
      <c r="J2929" s="348" t="str">
        <f t="shared" ca="1" si="90"/>
        <v>OK</v>
      </c>
      <c r="K2929" s="366" t="s">
        <v>1686</v>
      </c>
      <c r="L2929" s="366" t="s">
        <v>2234</v>
      </c>
      <c r="M2929" s="350" t="str">
        <f>IF($B2929="Portfolio","Portfolio",IFERROR(INDEX(DATA_ASSET_CLASSIFICATION!$B$8:$B$24,MATCH($C2929,DATA_ASSET_CLASSIFICATION!$A$8:$A$24,0)),"Review"))</f>
        <v>Murray Manor</v>
      </c>
      <c r="N2929" s="350" t="str">
        <f ca="1">IF($B2929="Portfolio","Portfolio",IFERROR(INDEX(DATA_ASSET_CLASSIFICATION!$U$8:$U$24,MATCH($C2929,DATA_ASSET_CLASSIFICATION!$A$8:$A$24,0)),"Review"))</f>
        <v>Refi Watch</v>
      </c>
      <c r="O2929" s="350" t="str">
        <f ca="1">IF($B2929="Portfolio","Portfolio",IFERROR(INDEX(DATA_ASSET_CLASSIFICATION!$AB$8:$AB$13,MATCH($N2929,DATA_ASSET_CLASSIFICATION!$AA$8:$AA$13,0)),"Review"))</f>
        <v>Bucket 2 · Legacy</v>
      </c>
      <c r="P2929" s="350" t="str">
        <f>IF($B2929="Portfolio","Portfolio",IFERROR(INDEX(DATA_ASSET_CLASSIFICATION!$C$8:$C$24,MATCH($C2929,DATA_ASSET_CLASSIFICATION!$A$8:$A$24,0)),"Review"))</f>
        <v>Yes</v>
      </c>
      <c r="Q2929" s="350" t="str">
        <f t="shared" ca="1" si="91"/>
        <v>OK</v>
      </c>
    </row>
    <row r="2930" spans="1:17">
      <c r="A2930" s="366" t="s">
        <v>4886</v>
      </c>
      <c r="B2930" s="366" t="s">
        <v>231</v>
      </c>
      <c r="C2930" s="348" t="str">
        <f>DATA_PROPERTY_MASTER!$A$14</f>
        <v>BLD_MM</v>
      </c>
      <c r="D2930" s="380">
        <f>'00_PORTFOLIO ROLLUP'!G$12</f>
        <v>2027</v>
      </c>
      <c r="E2930" s="366" t="s">
        <v>1683</v>
      </c>
      <c r="F2930" s="366" t="s">
        <v>355</v>
      </c>
      <c r="G2930" s="348" t="str">
        <f>"'"&amp;$C2930&amp;"'!$E$39:$Y$39"</f>
        <v>'BLD_MM'!$E$39:$Y$39</v>
      </c>
      <c r="H2930" s="381">
        <f ca="1">IF(IFERROR(INDEX(DATA_PROPERTY_MASTER!$E$5:$E$21,MATCH($C2930,DATA_PROPERTY_MASTER!$A$5:$A$21,0))="Yes",FALSE),IFERROR(INDEX(INDIRECT("'"&amp;$C2930&amp;"'!$E$39:$Y$39"),1,MATCH($D2930,INDIRECT("'"&amp;$C2930&amp;"'!$E$12:$Y$12"),0)),0),0)</f>
        <v>301110.95040000003</v>
      </c>
      <c r="I2930" s="366" t="s">
        <v>1690</v>
      </c>
      <c r="J2930" s="348" t="str">
        <f t="shared" ca="1" si="90"/>
        <v>OK</v>
      </c>
      <c r="K2930" s="366" t="s">
        <v>1686</v>
      </c>
      <c r="L2930" s="366" t="s">
        <v>2236</v>
      </c>
      <c r="M2930" s="350" t="str">
        <f>IF($B2930="Portfolio","Portfolio",IFERROR(INDEX(DATA_ASSET_CLASSIFICATION!$B$8:$B$24,MATCH($C2930,DATA_ASSET_CLASSIFICATION!$A$8:$A$24,0)),"Review"))</f>
        <v>Murray Manor</v>
      </c>
      <c r="N2930" s="350" t="str">
        <f ca="1">IF($B2930="Portfolio","Portfolio",IFERROR(INDEX(DATA_ASSET_CLASSIFICATION!$U$8:$U$24,MATCH($C2930,DATA_ASSET_CLASSIFICATION!$A$8:$A$24,0)),"Review"))</f>
        <v>Refi Watch</v>
      </c>
      <c r="O2930" s="350" t="str">
        <f ca="1">IF($B2930="Portfolio","Portfolio",IFERROR(INDEX(DATA_ASSET_CLASSIFICATION!$AB$8:$AB$13,MATCH($N2930,DATA_ASSET_CLASSIFICATION!$AA$8:$AA$13,0)),"Review"))</f>
        <v>Bucket 2 · Legacy</v>
      </c>
      <c r="P2930" s="350" t="str">
        <f>IF($B2930="Portfolio","Portfolio",IFERROR(INDEX(DATA_ASSET_CLASSIFICATION!$C$8:$C$24,MATCH($C2930,DATA_ASSET_CLASSIFICATION!$A$8:$A$24,0)),"Review"))</f>
        <v>Yes</v>
      </c>
      <c r="Q2930" s="350" t="str">
        <f t="shared" ca="1" si="91"/>
        <v>OK</v>
      </c>
    </row>
    <row r="2931" spans="1:17">
      <c r="A2931" s="366" t="s">
        <v>4887</v>
      </c>
      <c r="B2931" s="366" t="s">
        <v>231</v>
      </c>
      <c r="C2931" s="348" t="str">
        <f>DATA_PROPERTY_MASTER!$A$14</f>
        <v>BLD_MM</v>
      </c>
      <c r="D2931" s="380">
        <f>'00_PORTFOLIO ROLLUP'!G$12</f>
        <v>2027</v>
      </c>
      <c r="E2931" s="366" t="s">
        <v>1683</v>
      </c>
      <c r="F2931" s="366" t="s">
        <v>19</v>
      </c>
      <c r="G2931" s="348" t="str">
        <f>"'"&amp;$C2931&amp;"'!$E$41:$Y$41"</f>
        <v>'BLD_MM'!$E$41:$Y$41</v>
      </c>
      <c r="H2931" s="381">
        <f ca="1">IF(IFERROR(INDEX(DATA_PROPERTY_MASTER!$E$5:$E$21,MATCH($C2931,DATA_PROPERTY_MASTER!$A$5:$A$21,0))="Yes",FALSE),IFERROR(INDEX(INDIRECT("'"&amp;$C2931&amp;"'!$E$41:$Y$41"),1,MATCH($D2931,INDIRECT("'"&amp;$C2931&amp;"'!$E$12:$Y$12"),0)),0),0)</f>
        <v>511441.98436559999</v>
      </c>
      <c r="I2931" s="366" t="s">
        <v>1685</v>
      </c>
      <c r="J2931" s="348" t="str">
        <f t="shared" ca="1" si="90"/>
        <v>OK</v>
      </c>
      <c r="K2931" s="366" t="s">
        <v>1694</v>
      </c>
      <c r="L2931" s="366" t="s">
        <v>2238</v>
      </c>
      <c r="M2931" s="350" t="str">
        <f>IF($B2931="Portfolio","Portfolio",IFERROR(INDEX(DATA_ASSET_CLASSIFICATION!$B$8:$B$24,MATCH($C2931,DATA_ASSET_CLASSIFICATION!$A$8:$A$24,0)),"Review"))</f>
        <v>Murray Manor</v>
      </c>
      <c r="N2931" s="350" t="str">
        <f ca="1">IF($B2931="Portfolio","Portfolio",IFERROR(INDEX(DATA_ASSET_CLASSIFICATION!$U$8:$U$24,MATCH($C2931,DATA_ASSET_CLASSIFICATION!$A$8:$A$24,0)),"Review"))</f>
        <v>Refi Watch</v>
      </c>
      <c r="O2931" s="350" t="str">
        <f ca="1">IF($B2931="Portfolio","Portfolio",IFERROR(INDEX(DATA_ASSET_CLASSIFICATION!$AB$8:$AB$13,MATCH($N2931,DATA_ASSET_CLASSIFICATION!$AA$8:$AA$13,0)),"Review"))</f>
        <v>Bucket 2 · Legacy</v>
      </c>
      <c r="P2931" s="350" t="str">
        <f>IF($B2931="Portfolio","Portfolio",IFERROR(INDEX(DATA_ASSET_CLASSIFICATION!$C$8:$C$24,MATCH($C2931,DATA_ASSET_CLASSIFICATION!$A$8:$A$24,0)),"Review"))</f>
        <v>Yes</v>
      </c>
      <c r="Q2931" s="350" t="str">
        <f t="shared" ca="1" si="91"/>
        <v>OK</v>
      </c>
    </row>
    <row r="2932" spans="1:17">
      <c r="A2932" s="366" t="s">
        <v>4888</v>
      </c>
      <c r="B2932" s="366" t="s">
        <v>231</v>
      </c>
      <c r="C2932" s="348" t="str">
        <f>DATA_PROPERTY_MASTER!$A$14</f>
        <v>BLD_MM</v>
      </c>
      <c r="D2932" s="380">
        <f>'00_PORTFOLIO ROLLUP'!G$12</f>
        <v>2027</v>
      </c>
      <c r="E2932" s="366" t="s">
        <v>1683</v>
      </c>
      <c r="F2932" s="366" t="s">
        <v>1697</v>
      </c>
      <c r="G2932" s="348" t="str">
        <f>"'"&amp;$C2932&amp;"'!$E$44:$Y$44"</f>
        <v>'BLD_MM'!$E$44:$Y$44</v>
      </c>
      <c r="H2932" s="381">
        <f ca="1">IF(IFERROR(INDEX(DATA_PROPERTY_MASTER!$E$5:$E$21,MATCH($C2932,DATA_PROPERTY_MASTER!$A$5:$A$21,0))="Yes",FALSE),IFERROR(INDEX(INDIRECT("'"&amp;$C2932&amp;"'!$E$44:$Y$44"),1,MATCH($D2932,INDIRECT("'"&amp;$C2932&amp;"'!$E$12:$Y$12"),0)),0),0)</f>
        <v>7334.82</v>
      </c>
      <c r="I2932" s="366" t="s">
        <v>1690</v>
      </c>
      <c r="J2932" s="348" t="str">
        <f t="shared" ca="1" si="90"/>
        <v>OK</v>
      </c>
      <c r="K2932" s="366" t="s">
        <v>1699</v>
      </c>
      <c r="L2932" s="366" t="s">
        <v>2240</v>
      </c>
      <c r="M2932" s="350" t="str">
        <f>IF($B2932="Portfolio","Portfolio",IFERROR(INDEX(DATA_ASSET_CLASSIFICATION!$B$8:$B$24,MATCH($C2932,DATA_ASSET_CLASSIFICATION!$A$8:$A$24,0)),"Review"))</f>
        <v>Murray Manor</v>
      </c>
      <c r="N2932" s="350" t="str">
        <f ca="1">IF($B2932="Portfolio","Portfolio",IFERROR(INDEX(DATA_ASSET_CLASSIFICATION!$U$8:$U$24,MATCH($C2932,DATA_ASSET_CLASSIFICATION!$A$8:$A$24,0)),"Review"))</f>
        <v>Refi Watch</v>
      </c>
      <c r="O2932" s="350" t="str">
        <f ca="1">IF($B2932="Portfolio","Portfolio",IFERROR(INDEX(DATA_ASSET_CLASSIFICATION!$AB$8:$AB$13,MATCH($N2932,DATA_ASSET_CLASSIFICATION!$AA$8:$AA$13,0)),"Review"))</f>
        <v>Bucket 2 · Legacy</v>
      </c>
      <c r="P2932" s="350" t="str">
        <f>IF($B2932="Portfolio","Portfolio",IFERROR(INDEX(DATA_ASSET_CLASSIFICATION!$C$8:$C$24,MATCH($C2932,DATA_ASSET_CLASSIFICATION!$A$8:$A$24,0)),"Review"))</f>
        <v>Yes</v>
      </c>
      <c r="Q2932" s="350" t="str">
        <f t="shared" ca="1" si="91"/>
        <v>OK</v>
      </c>
    </row>
    <row r="2933" spans="1:17">
      <c r="A2933" s="366" t="s">
        <v>4889</v>
      </c>
      <c r="B2933" s="366" t="s">
        <v>231</v>
      </c>
      <c r="C2933" s="348" t="str">
        <f>DATA_PROPERTY_MASTER!$A$14</f>
        <v>BLD_MM</v>
      </c>
      <c r="D2933" s="380">
        <f>'00_PORTFOLIO ROLLUP'!G$12</f>
        <v>2027</v>
      </c>
      <c r="E2933" s="366" t="s">
        <v>1683</v>
      </c>
      <c r="F2933" s="366" t="s">
        <v>21</v>
      </c>
      <c r="G2933" s="348" t="str">
        <f>"'"&amp;$C2933&amp;"'!$E$45:$Y$45"</f>
        <v>'BLD_MM'!$E$45:$Y$45</v>
      </c>
      <c r="H2933" s="381">
        <f ca="1">IF(IFERROR(INDEX(DATA_PROPERTY_MASTER!$E$5:$E$21,MATCH($C2933,DATA_PROPERTY_MASTER!$A$5:$A$21,0))="Yes",FALSE),IFERROR(INDEX(INDIRECT("'"&amp;$C2933&amp;"'!$E$45:$Y$45"),1,MATCH($D2933,INDIRECT("'"&amp;$C2933&amp;"'!$E$12:$Y$12"),0)),0),0)</f>
        <v>504107.16436559998</v>
      </c>
      <c r="I2933" s="366" t="s">
        <v>1685</v>
      </c>
      <c r="J2933" s="348" t="str">
        <f t="shared" ca="1" si="90"/>
        <v>OK</v>
      </c>
      <c r="K2933" s="366" t="s">
        <v>1694</v>
      </c>
      <c r="L2933" s="366" t="s">
        <v>2242</v>
      </c>
      <c r="M2933" s="350" t="str">
        <f>IF($B2933="Portfolio","Portfolio",IFERROR(INDEX(DATA_ASSET_CLASSIFICATION!$B$8:$B$24,MATCH($C2933,DATA_ASSET_CLASSIFICATION!$A$8:$A$24,0)),"Review"))</f>
        <v>Murray Manor</v>
      </c>
      <c r="N2933" s="350" t="str">
        <f ca="1">IF($B2933="Portfolio","Portfolio",IFERROR(INDEX(DATA_ASSET_CLASSIFICATION!$U$8:$U$24,MATCH($C2933,DATA_ASSET_CLASSIFICATION!$A$8:$A$24,0)),"Review"))</f>
        <v>Refi Watch</v>
      </c>
      <c r="O2933" s="350" t="str">
        <f ca="1">IF($B2933="Portfolio","Portfolio",IFERROR(INDEX(DATA_ASSET_CLASSIFICATION!$AB$8:$AB$13,MATCH($N2933,DATA_ASSET_CLASSIFICATION!$AA$8:$AA$13,0)),"Review"))</f>
        <v>Bucket 2 · Legacy</v>
      </c>
      <c r="P2933" s="350" t="str">
        <f>IF($B2933="Portfolio","Portfolio",IFERROR(INDEX(DATA_ASSET_CLASSIFICATION!$C$8:$C$24,MATCH($C2933,DATA_ASSET_CLASSIFICATION!$A$8:$A$24,0)),"Review"))</f>
        <v>Yes</v>
      </c>
      <c r="Q2933" s="350" t="str">
        <f t="shared" ca="1" si="91"/>
        <v>OK</v>
      </c>
    </row>
    <row r="2934" spans="1:17">
      <c r="A2934" s="366" t="s">
        <v>4890</v>
      </c>
      <c r="B2934" s="366" t="s">
        <v>231</v>
      </c>
      <c r="C2934" s="348" t="str">
        <f>DATA_PROPERTY_MASTER!$A$14</f>
        <v>BLD_MM</v>
      </c>
      <c r="D2934" s="380">
        <f>'00_PORTFOLIO ROLLUP'!G$12</f>
        <v>2027</v>
      </c>
      <c r="E2934" s="366" t="s">
        <v>23</v>
      </c>
      <c r="F2934" s="366" t="s">
        <v>23</v>
      </c>
      <c r="G2934" s="348" t="str">
        <f>"'"&amp;$C2934&amp;"'!$E$48:$Y$48"</f>
        <v>'BLD_MM'!$E$48:$Y$48</v>
      </c>
      <c r="H2934" s="381">
        <f ca="1">IF(IFERROR(INDEX(DATA_PROPERTY_MASTER!$E$5:$E$21,MATCH($C2934,DATA_PROPERTY_MASTER!$A$5:$A$21,0))="Yes",FALSE),IFERROR(INDEX(INDIRECT("'"&amp;$C2934&amp;"'!$E$48:$Y$48"),1,MATCH($D2934,INDIRECT("'"&amp;$C2934&amp;"'!$E$12:$Y$12"),0)),0),0)</f>
        <v>271563.84000000003</v>
      </c>
      <c r="I2934" s="366" t="s">
        <v>1690</v>
      </c>
      <c r="J2934" s="348" t="str">
        <f t="shared" ca="1" si="90"/>
        <v>OK</v>
      </c>
      <c r="K2934" s="366" t="s">
        <v>1706</v>
      </c>
      <c r="L2934" s="366" t="s">
        <v>2244</v>
      </c>
      <c r="M2934" s="350" t="str">
        <f>IF($B2934="Portfolio","Portfolio",IFERROR(INDEX(DATA_ASSET_CLASSIFICATION!$B$8:$B$24,MATCH($C2934,DATA_ASSET_CLASSIFICATION!$A$8:$A$24,0)),"Review"))</f>
        <v>Murray Manor</v>
      </c>
      <c r="N2934" s="350" t="str">
        <f ca="1">IF($B2934="Portfolio","Portfolio",IFERROR(INDEX(DATA_ASSET_CLASSIFICATION!$U$8:$U$24,MATCH($C2934,DATA_ASSET_CLASSIFICATION!$A$8:$A$24,0)),"Review"))</f>
        <v>Refi Watch</v>
      </c>
      <c r="O2934" s="350" t="str">
        <f ca="1">IF($B2934="Portfolio","Portfolio",IFERROR(INDEX(DATA_ASSET_CLASSIFICATION!$AB$8:$AB$13,MATCH($N2934,DATA_ASSET_CLASSIFICATION!$AA$8:$AA$13,0)),"Review"))</f>
        <v>Bucket 2 · Legacy</v>
      </c>
      <c r="P2934" s="350" t="str">
        <f>IF($B2934="Portfolio","Portfolio",IFERROR(INDEX(DATA_ASSET_CLASSIFICATION!$C$8:$C$24,MATCH($C2934,DATA_ASSET_CLASSIFICATION!$A$8:$A$24,0)),"Review"))</f>
        <v>Yes</v>
      </c>
      <c r="Q2934" s="350" t="str">
        <f t="shared" ca="1" si="91"/>
        <v>OK</v>
      </c>
    </row>
    <row r="2935" spans="1:17">
      <c r="A2935" s="366" t="s">
        <v>4891</v>
      </c>
      <c r="B2935" s="366" t="s">
        <v>231</v>
      </c>
      <c r="C2935" s="348" t="str">
        <f>DATA_PROPERTY_MASTER!$A$14</f>
        <v>BLD_MM</v>
      </c>
      <c r="D2935" s="380">
        <f>'00_PORTFOLIO ROLLUP'!G$12</f>
        <v>2027</v>
      </c>
      <c r="E2935" s="366" t="s">
        <v>1683</v>
      </c>
      <c r="F2935" s="366" t="s">
        <v>25</v>
      </c>
      <c r="G2935" s="348" t="str">
        <f>"'"&amp;$C2935&amp;"'!$E$52:$Y$52"</f>
        <v>'BLD_MM'!$E$52:$Y$52</v>
      </c>
      <c r="H2935" s="381">
        <f ca="1">IF(IFERROR(INDEX(DATA_PROPERTY_MASTER!$E$5:$E$21,MATCH($C2935,DATA_PROPERTY_MASTER!$A$5:$A$21,0))="Yes",FALSE),IFERROR(INDEX(INDIRECT("'"&amp;$C2935&amp;"'!$E$52:$Y$52"),1,MATCH($D2935,INDIRECT("'"&amp;$C2935&amp;"'!$E$12:$Y$12"),0)),0),0)</f>
        <v>239878.14436559996</v>
      </c>
      <c r="I2935" s="366" t="s">
        <v>1685</v>
      </c>
      <c r="J2935" s="348" t="str">
        <f t="shared" ca="1" si="90"/>
        <v>OK</v>
      </c>
      <c r="K2935" s="366" t="s">
        <v>1710</v>
      </c>
      <c r="L2935" s="366" t="s">
        <v>2246</v>
      </c>
      <c r="M2935" s="350" t="str">
        <f>IF($B2935="Portfolio","Portfolio",IFERROR(INDEX(DATA_ASSET_CLASSIFICATION!$B$8:$B$24,MATCH($C2935,DATA_ASSET_CLASSIFICATION!$A$8:$A$24,0)),"Review"))</f>
        <v>Murray Manor</v>
      </c>
      <c r="N2935" s="350" t="str">
        <f ca="1">IF($B2935="Portfolio","Portfolio",IFERROR(INDEX(DATA_ASSET_CLASSIFICATION!$U$8:$U$24,MATCH($C2935,DATA_ASSET_CLASSIFICATION!$A$8:$A$24,0)),"Review"))</f>
        <v>Refi Watch</v>
      </c>
      <c r="O2935" s="350" t="str">
        <f ca="1">IF($B2935="Portfolio","Portfolio",IFERROR(INDEX(DATA_ASSET_CLASSIFICATION!$AB$8:$AB$13,MATCH($N2935,DATA_ASSET_CLASSIFICATION!$AA$8:$AA$13,0)),"Review"))</f>
        <v>Bucket 2 · Legacy</v>
      </c>
      <c r="P2935" s="350" t="str">
        <f>IF($B2935="Portfolio","Portfolio",IFERROR(INDEX(DATA_ASSET_CLASSIFICATION!$C$8:$C$24,MATCH($C2935,DATA_ASSET_CLASSIFICATION!$A$8:$A$24,0)),"Review"))</f>
        <v>Yes</v>
      </c>
      <c r="Q2935" s="350" t="str">
        <f t="shared" ca="1" si="91"/>
        <v>OK</v>
      </c>
    </row>
    <row r="2936" spans="1:17">
      <c r="A2936" s="366" t="s">
        <v>4892</v>
      </c>
      <c r="B2936" s="366" t="s">
        <v>231</v>
      </c>
      <c r="C2936" s="348" t="str">
        <f>DATA_PROPERTY_MASTER!$A$14</f>
        <v>BLD_MM</v>
      </c>
      <c r="D2936" s="380">
        <f>'00_PORTFOLIO ROLLUP'!G$12</f>
        <v>2027</v>
      </c>
      <c r="E2936" s="366" t="s">
        <v>1683</v>
      </c>
      <c r="F2936" s="366" t="s">
        <v>27</v>
      </c>
      <c r="G2936" s="348" t="str">
        <f>"'"&amp;$C2936&amp;"'!$E$54:$Y$54"</f>
        <v>'BLD_MM'!$E$54:$Y$54</v>
      </c>
      <c r="H2936" s="381">
        <f ca="1">IF(IFERROR(INDEX(DATA_PROPERTY_MASTER!$E$5:$E$21,MATCH($C2936,DATA_PROPERTY_MASTER!$A$5:$A$21,0))="Yes",FALSE),IFERROR(INDEX(INDIRECT("'"&amp;$C2936&amp;"'!$E$54:$Y$54"),1,MATCH($D2936,INDIRECT("'"&amp;$C2936&amp;"'!$E$12:$Y$12"),0)),0),0)</f>
        <v>143926.88661935998</v>
      </c>
      <c r="I2936" s="366" t="s">
        <v>1690</v>
      </c>
      <c r="J2936" s="348" t="str">
        <f t="shared" ca="1" si="90"/>
        <v>OK</v>
      </c>
      <c r="K2936" s="366" t="s">
        <v>1714</v>
      </c>
      <c r="L2936" s="366" t="s">
        <v>2248</v>
      </c>
      <c r="M2936" s="350" t="str">
        <f>IF($B2936="Portfolio","Portfolio",IFERROR(INDEX(DATA_ASSET_CLASSIFICATION!$B$8:$B$24,MATCH($C2936,DATA_ASSET_CLASSIFICATION!$A$8:$A$24,0)),"Review"))</f>
        <v>Murray Manor</v>
      </c>
      <c r="N2936" s="350" t="str">
        <f ca="1">IF($B2936="Portfolio","Portfolio",IFERROR(INDEX(DATA_ASSET_CLASSIFICATION!$U$8:$U$24,MATCH($C2936,DATA_ASSET_CLASSIFICATION!$A$8:$A$24,0)),"Review"))</f>
        <v>Refi Watch</v>
      </c>
      <c r="O2936" s="350" t="str">
        <f ca="1">IF($B2936="Portfolio","Portfolio",IFERROR(INDEX(DATA_ASSET_CLASSIFICATION!$AB$8:$AB$13,MATCH($N2936,DATA_ASSET_CLASSIFICATION!$AA$8:$AA$13,0)),"Review"))</f>
        <v>Bucket 2 · Legacy</v>
      </c>
      <c r="P2936" s="350" t="str">
        <f>IF($B2936="Portfolio","Portfolio",IFERROR(INDEX(DATA_ASSET_CLASSIFICATION!$C$8:$C$24,MATCH($C2936,DATA_ASSET_CLASSIFICATION!$A$8:$A$24,0)),"Review"))</f>
        <v>Yes</v>
      </c>
      <c r="Q2936" s="350" t="str">
        <f t="shared" ca="1" si="91"/>
        <v>OK</v>
      </c>
    </row>
    <row r="2937" spans="1:17">
      <c r="A2937" s="366" t="s">
        <v>4893</v>
      </c>
      <c r="B2937" s="366" t="s">
        <v>231</v>
      </c>
      <c r="C2937" s="348" t="str">
        <f>DATA_PROPERTY_MASTER!$A$14</f>
        <v>BLD_MM</v>
      </c>
      <c r="D2937" s="380">
        <f>'00_PORTFOLIO ROLLUP'!G$12</f>
        <v>2027</v>
      </c>
      <c r="E2937" s="366" t="s">
        <v>1683</v>
      </c>
      <c r="F2937" s="366" t="s">
        <v>29</v>
      </c>
      <c r="G2937" s="348" t="str">
        <f>"'"&amp;$C2937&amp;"'!$E$56:$Y$56"</f>
        <v>'BLD_MM'!$E$56:$Y$56</v>
      </c>
      <c r="H2937" s="381">
        <f ca="1">IF(IFERROR(INDEX(DATA_PROPERTY_MASTER!$E$5:$E$21,MATCH($C2937,DATA_PROPERTY_MASTER!$A$5:$A$21,0))="Yes",FALSE),IFERROR(INDEX(INDIRECT("'"&amp;$C2937&amp;"'!$E$56:$Y$56"),1,MATCH($D2937,INDIRECT("'"&amp;$C2937&amp;"'!$E$12:$Y$12"),0)),0),0)</f>
        <v>95951.257746239979</v>
      </c>
      <c r="I2937" s="366" t="s">
        <v>1685</v>
      </c>
      <c r="J2937" s="348" t="str">
        <f t="shared" ca="1" si="90"/>
        <v>OK</v>
      </c>
      <c r="K2937" s="366" t="s">
        <v>1718</v>
      </c>
      <c r="L2937" s="366" t="s">
        <v>2250</v>
      </c>
      <c r="M2937" s="350" t="str">
        <f>IF($B2937="Portfolio","Portfolio",IFERROR(INDEX(DATA_ASSET_CLASSIFICATION!$B$8:$B$24,MATCH($C2937,DATA_ASSET_CLASSIFICATION!$A$8:$A$24,0)),"Review"))</f>
        <v>Murray Manor</v>
      </c>
      <c r="N2937" s="350" t="str">
        <f ca="1">IF($B2937="Portfolio","Portfolio",IFERROR(INDEX(DATA_ASSET_CLASSIFICATION!$U$8:$U$24,MATCH($C2937,DATA_ASSET_CLASSIFICATION!$A$8:$A$24,0)),"Review"))</f>
        <v>Refi Watch</v>
      </c>
      <c r="O2937" s="350" t="str">
        <f ca="1">IF($B2937="Portfolio","Portfolio",IFERROR(INDEX(DATA_ASSET_CLASSIFICATION!$AB$8:$AB$13,MATCH($N2937,DATA_ASSET_CLASSIFICATION!$AA$8:$AA$13,0)),"Review"))</f>
        <v>Bucket 2 · Legacy</v>
      </c>
      <c r="P2937" s="350" t="str">
        <f>IF($B2937="Portfolio","Portfolio",IFERROR(INDEX(DATA_ASSET_CLASSIFICATION!$C$8:$C$24,MATCH($C2937,DATA_ASSET_CLASSIFICATION!$A$8:$A$24,0)),"Review"))</f>
        <v>Yes</v>
      </c>
      <c r="Q2937" s="350" t="str">
        <f t="shared" ca="1" si="91"/>
        <v>OK</v>
      </c>
    </row>
    <row r="2938" spans="1:17">
      <c r="A2938" s="366" t="s">
        <v>4894</v>
      </c>
      <c r="B2938" s="366" t="s">
        <v>231</v>
      </c>
      <c r="C2938" s="348" t="str">
        <f>DATA_PROPERTY_MASTER!$A$14</f>
        <v>BLD_MM</v>
      </c>
      <c r="D2938" s="380">
        <f>'00_PORTFOLIO ROLLUP'!G$12</f>
        <v>2027</v>
      </c>
      <c r="E2938" s="366" t="s">
        <v>1721</v>
      </c>
      <c r="F2938" s="366" t="s">
        <v>31</v>
      </c>
      <c r="G2938" s="348" t="str">
        <f>"'"&amp;$C2938&amp;"'!$E$61:$Y$61"</f>
        <v>'BLD_MM'!$E$61:$Y$61</v>
      </c>
      <c r="H2938" s="381">
        <f ca="1">IF(IFERROR(INDEX(DATA_PROPERTY_MASTER!$E$5:$E$21,MATCH($C2938,DATA_PROPERTY_MASTER!$A$5:$A$21,0))="Yes",FALSE),IFERROR(INDEX(INDIRECT("'"&amp;$C2938&amp;"'!$E$61:$Y$61"),1,MATCH($D2938,INDIRECT("'"&amp;$C2938&amp;"'!$E$12:$Y$12"),0)),0),0)</f>
        <v>0</v>
      </c>
      <c r="I2938" s="366" t="s">
        <v>1690</v>
      </c>
      <c r="J2938" s="348" t="str">
        <f t="shared" ca="1" si="90"/>
        <v>OK</v>
      </c>
      <c r="K2938" s="366" t="s">
        <v>1723</v>
      </c>
      <c r="L2938" s="366" t="s">
        <v>2252</v>
      </c>
      <c r="M2938" s="350" t="str">
        <f>IF($B2938="Portfolio","Portfolio",IFERROR(INDEX(DATA_ASSET_CLASSIFICATION!$B$8:$B$24,MATCH($C2938,DATA_ASSET_CLASSIFICATION!$A$8:$A$24,0)),"Review"))</f>
        <v>Murray Manor</v>
      </c>
      <c r="N2938" s="350" t="str">
        <f ca="1">IF($B2938="Portfolio","Portfolio",IFERROR(INDEX(DATA_ASSET_CLASSIFICATION!$U$8:$U$24,MATCH($C2938,DATA_ASSET_CLASSIFICATION!$A$8:$A$24,0)),"Review"))</f>
        <v>Refi Watch</v>
      </c>
      <c r="O2938" s="350" t="str">
        <f ca="1">IF($B2938="Portfolio","Portfolio",IFERROR(INDEX(DATA_ASSET_CLASSIFICATION!$AB$8:$AB$13,MATCH($N2938,DATA_ASSET_CLASSIFICATION!$AA$8:$AA$13,0)),"Review"))</f>
        <v>Bucket 2 · Legacy</v>
      </c>
      <c r="P2938" s="350" t="str">
        <f>IF($B2938="Portfolio","Portfolio",IFERROR(INDEX(DATA_ASSET_CLASSIFICATION!$C$8:$C$24,MATCH($C2938,DATA_ASSET_CLASSIFICATION!$A$8:$A$24,0)),"Review"))</f>
        <v>Yes</v>
      </c>
      <c r="Q2938" s="350" t="str">
        <f t="shared" ca="1" si="91"/>
        <v>OK</v>
      </c>
    </row>
    <row r="2939" spans="1:17">
      <c r="A2939" s="366" t="s">
        <v>4895</v>
      </c>
      <c r="B2939" s="366" t="s">
        <v>231</v>
      </c>
      <c r="C2939" s="348" t="str">
        <f>DATA_PROPERTY_MASTER!$A$14</f>
        <v>BLD_MM</v>
      </c>
      <c r="D2939" s="380">
        <f>'00_PORTFOLIO ROLLUP'!G$12</f>
        <v>2027</v>
      </c>
      <c r="E2939" s="366" t="s">
        <v>1721</v>
      </c>
      <c r="F2939" s="366" t="s">
        <v>33</v>
      </c>
      <c r="G2939" s="348" t="str">
        <f>"'"&amp;$C2939&amp;"'!$E$62:$Y$62"</f>
        <v>'BLD_MM'!$E$62:$Y$62</v>
      </c>
      <c r="H2939" s="381">
        <f ca="1">IF(IFERROR(INDEX(DATA_PROPERTY_MASTER!$E$5:$E$21,MATCH($C2939,DATA_PROPERTY_MASTER!$A$5:$A$21,0))="Yes",FALSE),IFERROR(INDEX(INDIRECT("'"&amp;$C2939&amp;"'!$E$62:$Y$62"),1,MATCH($D2939,INDIRECT("'"&amp;$C2939&amp;"'!$E$12:$Y$12"),0)),0),0)</f>
        <v>0</v>
      </c>
      <c r="I2939" s="366" t="s">
        <v>1685</v>
      </c>
      <c r="J2939" s="348" t="str">
        <f t="shared" ca="1" si="90"/>
        <v>OK</v>
      </c>
      <c r="K2939" s="366" t="s">
        <v>1727</v>
      </c>
      <c r="L2939" s="366" t="s">
        <v>2254</v>
      </c>
      <c r="M2939" s="350" t="str">
        <f>IF($B2939="Portfolio","Portfolio",IFERROR(INDEX(DATA_ASSET_CLASSIFICATION!$B$8:$B$24,MATCH($C2939,DATA_ASSET_CLASSIFICATION!$A$8:$A$24,0)),"Review"))</f>
        <v>Murray Manor</v>
      </c>
      <c r="N2939" s="350" t="str">
        <f ca="1">IF($B2939="Portfolio","Portfolio",IFERROR(INDEX(DATA_ASSET_CLASSIFICATION!$U$8:$U$24,MATCH($C2939,DATA_ASSET_CLASSIFICATION!$A$8:$A$24,0)),"Review"))</f>
        <v>Refi Watch</v>
      </c>
      <c r="O2939" s="350" t="str">
        <f ca="1">IF($B2939="Portfolio","Portfolio",IFERROR(INDEX(DATA_ASSET_CLASSIFICATION!$AB$8:$AB$13,MATCH($N2939,DATA_ASSET_CLASSIFICATION!$AA$8:$AA$13,0)),"Review"))</f>
        <v>Bucket 2 · Legacy</v>
      </c>
      <c r="P2939" s="350" t="str">
        <f>IF($B2939="Portfolio","Portfolio",IFERROR(INDEX(DATA_ASSET_CLASSIFICATION!$C$8:$C$24,MATCH($C2939,DATA_ASSET_CLASSIFICATION!$A$8:$A$24,0)),"Review"))</f>
        <v>Yes</v>
      </c>
      <c r="Q2939" s="350" t="str">
        <f t="shared" ca="1" si="91"/>
        <v>OK</v>
      </c>
    </row>
    <row r="2940" spans="1:17">
      <c r="A2940" s="366" t="s">
        <v>4896</v>
      </c>
      <c r="B2940" s="366" t="s">
        <v>231</v>
      </c>
      <c r="C2940" s="348" t="str">
        <f>DATA_PROPERTY_MASTER!$A$14</f>
        <v>BLD_MM</v>
      </c>
      <c r="D2940" s="380">
        <f>'00_PORTFOLIO ROLLUP'!G$12</f>
        <v>2027</v>
      </c>
      <c r="E2940" s="366" t="s">
        <v>1721</v>
      </c>
      <c r="F2940" s="366" t="s">
        <v>35</v>
      </c>
      <c r="G2940" s="348" t="str">
        <f>"'"&amp;$C2940&amp;"'!$E$63:$Y$63"</f>
        <v>'BLD_MM'!$E$63:$Y$63</v>
      </c>
      <c r="H2940" s="381">
        <f ca="1">IF(IFERROR(INDEX(DATA_PROPERTY_MASTER!$E$5:$E$21,MATCH($C2940,DATA_PROPERTY_MASTER!$A$5:$A$21,0))="Yes",FALSE),IFERROR(INDEX(INDIRECT("'"&amp;$C2940&amp;"'!$E$63:$Y$63"),1,MATCH($D2940,INDIRECT("'"&amp;$C2940&amp;"'!$E$12:$Y$12"),0)),0),0)</f>
        <v>0</v>
      </c>
      <c r="I2940" s="366" t="s">
        <v>1731</v>
      </c>
      <c r="J2940" s="348" t="str">
        <f t="shared" ca="1" si="90"/>
        <v>OK</v>
      </c>
      <c r="K2940" s="366" t="s">
        <v>1732</v>
      </c>
      <c r="L2940" s="366" t="s">
        <v>2256</v>
      </c>
      <c r="M2940" s="350" t="str">
        <f>IF($B2940="Portfolio","Portfolio",IFERROR(INDEX(DATA_ASSET_CLASSIFICATION!$B$8:$B$24,MATCH($C2940,DATA_ASSET_CLASSIFICATION!$A$8:$A$24,0)),"Review"))</f>
        <v>Murray Manor</v>
      </c>
      <c r="N2940" s="350" t="str">
        <f ca="1">IF($B2940="Portfolio","Portfolio",IFERROR(INDEX(DATA_ASSET_CLASSIFICATION!$U$8:$U$24,MATCH($C2940,DATA_ASSET_CLASSIFICATION!$A$8:$A$24,0)),"Review"))</f>
        <v>Refi Watch</v>
      </c>
      <c r="O2940" s="350" t="str">
        <f ca="1">IF($B2940="Portfolio","Portfolio",IFERROR(INDEX(DATA_ASSET_CLASSIFICATION!$AB$8:$AB$13,MATCH($N2940,DATA_ASSET_CLASSIFICATION!$AA$8:$AA$13,0)),"Review"))</f>
        <v>Bucket 2 · Legacy</v>
      </c>
      <c r="P2940" s="350" t="str">
        <f>IF($B2940="Portfolio","Portfolio",IFERROR(INDEX(DATA_ASSET_CLASSIFICATION!$C$8:$C$24,MATCH($C2940,DATA_ASSET_CLASSIFICATION!$A$8:$A$24,0)),"Review"))</f>
        <v>Yes</v>
      </c>
      <c r="Q2940" s="350" t="str">
        <f t="shared" ca="1" si="91"/>
        <v>OK</v>
      </c>
    </row>
    <row r="2941" spans="1:17">
      <c r="A2941" s="366" t="s">
        <v>4897</v>
      </c>
      <c r="B2941" s="366" t="s">
        <v>231</v>
      </c>
      <c r="C2941" s="348" t="str">
        <f>DATA_PROPERTY_MASTER!$A$14</f>
        <v>BLD_MM</v>
      </c>
      <c r="D2941" s="380">
        <f>'00_PORTFOLIO ROLLUP'!G$12</f>
        <v>2027</v>
      </c>
      <c r="E2941" s="366" t="s">
        <v>1721</v>
      </c>
      <c r="F2941" s="366" t="s">
        <v>37</v>
      </c>
      <c r="G2941" s="348" t="str">
        <f>"'"&amp;$C2941&amp;"'!$E$63:$Y$63"</f>
        <v>'BLD_MM'!$E$63:$Y$63</v>
      </c>
      <c r="H2941" s="381">
        <f ca="1">IF(IFERROR(INDEX(DATA_PROPERTY_MASTER!$E$5:$E$21,MATCH($C2941,DATA_PROPERTY_MASTER!$A$5:$A$21,0))="Yes",FALSE),MAX(IFERROR(INDEX(INDIRECT("'"&amp;$C2941&amp;"'!$E$63:$Y$63"),1,MATCH($D2941,INDIRECT("'"&amp;$C2941&amp;"'!$E$12:$Y$12"),0)),0),0),0)</f>
        <v>0</v>
      </c>
      <c r="I2941" s="366" t="s">
        <v>1685</v>
      </c>
      <c r="J2941" s="348" t="str">
        <f t="shared" ca="1" si="90"/>
        <v>OK</v>
      </c>
      <c r="K2941" s="366" t="s">
        <v>1735</v>
      </c>
      <c r="L2941" s="366" t="s">
        <v>2258</v>
      </c>
      <c r="M2941" s="350" t="str">
        <f>IF($B2941="Portfolio","Portfolio",IFERROR(INDEX(DATA_ASSET_CLASSIFICATION!$B$8:$B$24,MATCH($C2941,DATA_ASSET_CLASSIFICATION!$A$8:$A$24,0)),"Review"))</f>
        <v>Murray Manor</v>
      </c>
      <c r="N2941" s="350" t="str">
        <f ca="1">IF($B2941="Portfolio","Portfolio",IFERROR(INDEX(DATA_ASSET_CLASSIFICATION!$U$8:$U$24,MATCH($C2941,DATA_ASSET_CLASSIFICATION!$A$8:$A$24,0)),"Review"))</f>
        <v>Refi Watch</v>
      </c>
      <c r="O2941" s="350" t="str">
        <f ca="1">IF($B2941="Portfolio","Portfolio",IFERROR(INDEX(DATA_ASSET_CLASSIFICATION!$AB$8:$AB$13,MATCH($N2941,DATA_ASSET_CLASSIFICATION!$AA$8:$AA$13,0)),"Review"))</f>
        <v>Bucket 2 · Legacy</v>
      </c>
      <c r="P2941" s="350" t="str">
        <f>IF($B2941="Portfolio","Portfolio",IFERROR(INDEX(DATA_ASSET_CLASSIFICATION!$C$8:$C$24,MATCH($C2941,DATA_ASSET_CLASSIFICATION!$A$8:$A$24,0)),"Review"))</f>
        <v>Yes</v>
      </c>
      <c r="Q2941" s="350" t="str">
        <f t="shared" ca="1" si="91"/>
        <v>OK</v>
      </c>
    </row>
    <row r="2942" spans="1:17">
      <c r="A2942" s="366" t="s">
        <v>4898</v>
      </c>
      <c r="B2942" s="366" t="s">
        <v>231</v>
      </c>
      <c r="C2942" s="348" t="str">
        <f>DATA_PROPERTY_MASTER!$A$14</f>
        <v>BLD_MM</v>
      </c>
      <c r="D2942" s="380">
        <f>'00_PORTFOLIO ROLLUP'!G$12</f>
        <v>2027</v>
      </c>
      <c r="E2942" s="366" t="s">
        <v>1721</v>
      </c>
      <c r="F2942" s="366" t="s">
        <v>39</v>
      </c>
      <c r="G2942" s="348" t="str">
        <f>"'"&amp;$C2942&amp;"'!$E$63:$Y$63"</f>
        <v>'BLD_MM'!$E$63:$Y$63</v>
      </c>
      <c r="H2942" s="381">
        <f ca="1">IF(IFERROR(INDEX(DATA_PROPERTY_MASTER!$E$5:$E$21,MATCH($C2942,DATA_PROPERTY_MASTER!$A$5:$A$21,0))="Yes",FALSE),MAX(-IFERROR(INDEX(INDIRECT("'"&amp;$C2942&amp;"'!$E$63:$Y$63"),1,MATCH($D2942,INDIRECT("'"&amp;$C2942&amp;"'!$E$12:$Y$12"),0)),0),0),0)</f>
        <v>0</v>
      </c>
      <c r="I2942" s="366" t="s">
        <v>1690</v>
      </c>
      <c r="J2942" s="348" t="str">
        <f t="shared" ca="1" si="90"/>
        <v>OK</v>
      </c>
      <c r="K2942" s="366" t="s">
        <v>1738</v>
      </c>
      <c r="L2942" s="366" t="s">
        <v>2260</v>
      </c>
      <c r="M2942" s="350" t="str">
        <f>IF($B2942="Portfolio","Portfolio",IFERROR(INDEX(DATA_ASSET_CLASSIFICATION!$B$8:$B$24,MATCH($C2942,DATA_ASSET_CLASSIFICATION!$A$8:$A$24,0)),"Review"))</f>
        <v>Murray Manor</v>
      </c>
      <c r="N2942" s="350" t="str">
        <f ca="1">IF($B2942="Portfolio","Portfolio",IFERROR(INDEX(DATA_ASSET_CLASSIFICATION!$U$8:$U$24,MATCH($C2942,DATA_ASSET_CLASSIFICATION!$A$8:$A$24,0)),"Review"))</f>
        <v>Refi Watch</v>
      </c>
      <c r="O2942" s="350" t="str">
        <f ca="1">IF($B2942="Portfolio","Portfolio",IFERROR(INDEX(DATA_ASSET_CLASSIFICATION!$AB$8:$AB$13,MATCH($N2942,DATA_ASSET_CLASSIFICATION!$AA$8:$AA$13,0)),"Review"))</f>
        <v>Bucket 2 · Legacy</v>
      </c>
      <c r="P2942" s="350" t="str">
        <f>IF($B2942="Portfolio","Portfolio",IFERROR(INDEX(DATA_ASSET_CLASSIFICATION!$C$8:$C$24,MATCH($C2942,DATA_ASSET_CLASSIFICATION!$A$8:$A$24,0)),"Review"))</f>
        <v>Yes</v>
      </c>
      <c r="Q2942" s="350" t="str">
        <f t="shared" ca="1" si="91"/>
        <v>OK</v>
      </c>
    </row>
    <row r="2943" spans="1:17">
      <c r="A2943" s="366" t="s">
        <v>4899</v>
      </c>
      <c r="B2943" s="366" t="s">
        <v>231</v>
      </c>
      <c r="C2943" s="348" t="str">
        <f>DATA_PROPERTY_MASTER!$A$14</f>
        <v>BLD_MM</v>
      </c>
      <c r="D2943" s="380">
        <f>'00_PORTFOLIO ROLLUP'!G$12</f>
        <v>2027</v>
      </c>
      <c r="E2943" s="366" t="s">
        <v>1741</v>
      </c>
      <c r="F2943" s="366" t="s">
        <v>41</v>
      </c>
      <c r="G2943" s="348" t="str">
        <f>"'"&amp;$C2943&amp;"'!rows 56 + positive row 63"</f>
        <v>'BLD_MM'!rows 56 + positive row 63</v>
      </c>
      <c r="H2943" s="381">
        <f ca="1">IF(IFERROR(INDEX(DATA_PROPERTY_MASTER!$E$5:$E$21,MATCH($C2943,DATA_PROPERTY_MASTER!$A$5:$A$21,0))="Yes",FALSE),IFERROR(INDEX(INDIRECT("'"&amp;$C2943&amp;"'!$E$56:$Y$56"),1,MATCH($D2943,INDIRECT("'"&amp;$C2943&amp;"'!$E$12:$Y$12"),0)),0)+MAX(IFERROR(INDEX(INDIRECT("'"&amp;$C2943&amp;"'!$E$63:$Y$63"),1,MATCH($D2943,INDIRECT("'"&amp;$C2943&amp;"'!$E$12:$Y$12"),0)),0),0),0)</f>
        <v>95951.257746239979</v>
      </c>
      <c r="I2943" s="366" t="s">
        <v>1685</v>
      </c>
      <c r="J2943" s="348" t="str">
        <f t="shared" ca="1" si="90"/>
        <v>OK</v>
      </c>
      <c r="K2943" s="366" t="s">
        <v>1742</v>
      </c>
      <c r="L2943" s="366" t="s">
        <v>2262</v>
      </c>
      <c r="M2943" s="350" t="str">
        <f>IF($B2943="Portfolio","Portfolio",IFERROR(INDEX(DATA_ASSET_CLASSIFICATION!$B$8:$B$24,MATCH($C2943,DATA_ASSET_CLASSIFICATION!$A$8:$A$24,0)),"Review"))</f>
        <v>Murray Manor</v>
      </c>
      <c r="N2943" s="350" t="str">
        <f ca="1">IF($B2943="Portfolio","Portfolio",IFERROR(INDEX(DATA_ASSET_CLASSIFICATION!$U$8:$U$24,MATCH($C2943,DATA_ASSET_CLASSIFICATION!$A$8:$A$24,0)),"Review"))</f>
        <v>Refi Watch</v>
      </c>
      <c r="O2943" s="350" t="str">
        <f ca="1">IF($B2943="Portfolio","Portfolio",IFERROR(INDEX(DATA_ASSET_CLASSIFICATION!$AB$8:$AB$13,MATCH($N2943,DATA_ASSET_CLASSIFICATION!$AA$8:$AA$13,0)),"Review"))</f>
        <v>Bucket 2 · Legacy</v>
      </c>
      <c r="P2943" s="350" t="str">
        <f>IF($B2943="Portfolio","Portfolio",IFERROR(INDEX(DATA_ASSET_CLASSIFICATION!$C$8:$C$24,MATCH($C2943,DATA_ASSET_CLASSIFICATION!$A$8:$A$24,0)),"Review"))</f>
        <v>Yes</v>
      </c>
      <c r="Q2943" s="350" t="str">
        <f t="shared" ca="1" si="91"/>
        <v>OK</v>
      </c>
    </row>
    <row r="2944" spans="1:17">
      <c r="A2944" s="366" t="s">
        <v>4900</v>
      </c>
      <c r="B2944" s="366" t="s">
        <v>231</v>
      </c>
      <c r="C2944" s="348" t="str">
        <f>DATA_PROPERTY_MASTER!$A$14</f>
        <v>BLD_MM</v>
      </c>
      <c r="D2944" s="380">
        <f>'00_PORTFOLIO ROLLUP'!G$12</f>
        <v>2027</v>
      </c>
      <c r="E2944" s="366" t="s">
        <v>1741</v>
      </c>
      <c r="F2944" s="366" t="s">
        <v>43</v>
      </c>
      <c r="G2944" s="348" t="str">
        <f>"'"&amp;$C2944&amp;"'!$E$68:$Y$68"</f>
        <v>'BLD_MM'!$E$68:$Y$68</v>
      </c>
      <c r="H2944" s="381">
        <f ca="1">IF(IFERROR(INDEX(DATA_PROPERTY_MASTER!$E$5:$E$21,MATCH($C2944,DATA_PROPERTY_MASTER!$A$5:$A$21,0))="Yes",FALSE),IFERROR(INDEX(INDIRECT("'"&amp;$C2944&amp;"'!$E$68:$Y$68"),1,MATCH($D2944,INDIRECT("'"&amp;$C2944&amp;"'!$E$12:$Y$12"),0)),0),0)</f>
        <v>95951.257746239979</v>
      </c>
      <c r="I2944" s="366" t="s">
        <v>1731</v>
      </c>
      <c r="J2944" s="348" t="str">
        <f t="shared" ca="1" si="90"/>
        <v>OK</v>
      </c>
      <c r="K2944" s="366" t="s">
        <v>1746</v>
      </c>
      <c r="L2944" s="366" t="s">
        <v>2264</v>
      </c>
      <c r="M2944" s="350" t="str">
        <f>IF($B2944="Portfolio","Portfolio",IFERROR(INDEX(DATA_ASSET_CLASSIFICATION!$B$8:$B$24,MATCH($C2944,DATA_ASSET_CLASSIFICATION!$A$8:$A$24,0)),"Review"))</f>
        <v>Murray Manor</v>
      </c>
      <c r="N2944" s="350" t="str">
        <f ca="1">IF($B2944="Portfolio","Portfolio",IFERROR(INDEX(DATA_ASSET_CLASSIFICATION!$U$8:$U$24,MATCH($C2944,DATA_ASSET_CLASSIFICATION!$A$8:$A$24,0)),"Review"))</f>
        <v>Refi Watch</v>
      </c>
      <c r="O2944" s="350" t="str">
        <f ca="1">IF($B2944="Portfolio","Portfolio",IFERROR(INDEX(DATA_ASSET_CLASSIFICATION!$AB$8:$AB$13,MATCH($N2944,DATA_ASSET_CLASSIFICATION!$AA$8:$AA$13,0)),"Review"))</f>
        <v>Bucket 2 · Legacy</v>
      </c>
      <c r="P2944" s="350" t="str">
        <f>IF($B2944="Portfolio","Portfolio",IFERROR(INDEX(DATA_ASSET_CLASSIFICATION!$C$8:$C$24,MATCH($C2944,DATA_ASSET_CLASSIFICATION!$A$8:$A$24,0)),"Review"))</f>
        <v>Yes</v>
      </c>
      <c r="Q2944" s="350" t="str">
        <f t="shared" ca="1" si="91"/>
        <v>OK</v>
      </c>
    </row>
    <row r="2945" spans="1:17">
      <c r="A2945" s="366" t="s">
        <v>4901</v>
      </c>
      <c r="B2945" s="366" t="s">
        <v>231</v>
      </c>
      <c r="C2945" s="348" t="str">
        <f>DATA_PROPERTY_MASTER!$A$14</f>
        <v>BLD_MM</v>
      </c>
      <c r="D2945" s="380">
        <f>'00_PORTFOLIO ROLLUP'!G$12</f>
        <v>2027</v>
      </c>
      <c r="E2945" s="366" t="s">
        <v>1741</v>
      </c>
      <c r="F2945" s="366" t="s">
        <v>1749</v>
      </c>
      <c r="G2945" s="348" t="str">
        <f>"'"&amp;$C2945&amp;"'!rows 56, 63, 68"</f>
        <v>'BLD_MM'!rows 56, 63, 68</v>
      </c>
      <c r="H2945" s="381">
        <f ca="1">IF(IFERROR(INDEX(DATA_PROPERTY_MASTER!$E$5:$E$21,MATCH($C2945,DATA_PROPERTY_MASTER!$A$5:$A$21,0))="Yes",FALSE),(IFERROR(INDEX(INDIRECT("'"&amp;$C2945&amp;"'!$E$56:$Y$56"),1,MATCH($D2945,INDIRECT("'"&amp;$C2945&amp;"'!$E$12:$Y$12"),0)),0)+MAX(IFERROR(INDEX(INDIRECT("'"&amp;$C2945&amp;"'!$E$63:$Y$63"),1,MATCH($D2945,INDIRECT("'"&amp;$C2945&amp;"'!$E$12:$Y$12"),0)),0),0))-(IFERROR(INDEX(INDIRECT("'"&amp;$C2945&amp;"'!$E$68:$Y$68"),1,MATCH($D2945,INDIRECT("'"&amp;$C2945&amp;"'!$E$12:$Y$12"),0)),0)),0)</f>
        <v>0</v>
      </c>
      <c r="I2945" s="366" t="s">
        <v>1750</v>
      </c>
      <c r="J2945" s="348" t="str">
        <f t="shared" ca="1" si="90"/>
        <v>OK</v>
      </c>
      <c r="K2945" s="366" t="s">
        <v>1751</v>
      </c>
      <c r="L2945" s="366" t="s">
        <v>2266</v>
      </c>
      <c r="M2945" s="350" t="str">
        <f>IF($B2945="Portfolio","Portfolio",IFERROR(INDEX(DATA_ASSET_CLASSIFICATION!$B$8:$B$24,MATCH($C2945,DATA_ASSET_CLASSIFICATION!$A$8:$A$24,0)),"Review"))</f>
        <v>Murray Manor</v>
      </c>
      <c r="N2945" s="350" t="str">
        <f ca="1">IF($B2945="Portfolio","Portfolio",IFERROR(INDEX(DATA_ASSET_CLASSIFICATION!$U$8:$U$24,MATCH($C2945,DATA_ASSET_CLASSIFICATION!$A$8:$A$24,0)),"Review"))</f>
        <v>Refi Watch</v>
      </c>
      <c r="O2945" s="350" t="str">
        <f ca="1">IF($B2945="Portfolio","Portfolio",IFERROR(INDEX(DATA_ASSET_CLASSIFICATION!$AB$8:$AB$13,MATCH($N2945,DATA_ASSET_CLASSIFICATION!$AA$8:$AA$13,0)),"Review"))</f>
        <v>Bucket 2 · Legacy</v>
      </c>
      <c r="P2945" s="350" t="str">
        <f>IF($B2945="Portfolio","Portfolio",IFERROR(INDEX(DATA_ASSET_CLASSIFICATION!$C$8:$C$24,MATCH($C2945,DATA_ASSET_CLASSIFICATION!$A$8:$A$24,0)),"Review"))</f>
        <v>Yes</v>
      </c>
      <c r="Q2945" s="350" t="str">
        <f t="shared" ca="1" si="91"/>
        <v>OK</v>
      </c>
    </row>
    <row r="2946" spans="1:17">
      <c r="A2946" s="366" t="s">
        <v>4902</v>
      </c>
      <c r="B2946" s="366" t="s">
        <v>231</v>
      </c>
      <c r="C2946" s="348" t="str">
        <f>DATA_PROPERTY_MASTER!$A$14</f>
        <v>BLD_MM</v>
      </c>
      <c r="D2946" s="380">
        <f>'00_PORTFOLIO ROLLUP'!H$12</f>
        <v>2028</v>
      </c>
      <c r="E2946" s="366" t="s">
        <v>1683</v>
      </c>
      <c r="F2946" s="366" t="s">
        <v>341</v>
      </c>
      <c r="G2946" s="348" t="str">
        <f>"'"&amp;$C2946&amp;"'!$E$24:$Y$24"</f>
        <v>'BLD_MM'!$E$24:$Y$24</v>
      </c>
      <c r="H2946" s="381">
        <f ca="1">IF(IFERROR(INDEX(DATA_PROPERTY_MASTER!$E$5:$E$21,MATCH($C2946,DATA_PROPERTY_MASTER!$A$5:$A$21,0))="Yes",FALSE),IFERROR(INDEX(INDIRECT("'"&amp;$C2946&amp;"'!$E$24:$Y$24"),1,MATCH($D2946,INDIRECT("'"&amp;$C2946&amp;"'!$E$12:$Y$12"),0)),0),0)</f>
        <v>828803.99346091202</v>
      </c>
      <c r="I2946" s="366" t="s">
        <v>1685</v>
      </c>
      <c r="J2946" s="348" t="str">
        <f t="shared" ca="1" si="90"/>
        <v>OK</v>
      </c>
      <c r="K2946" s="366" t="s">
        <v>1686</v>
      </c>
      <c r="L2946" s="366" t="s">
        <v>2234</v>
      </c>
      <c r="M2946" s="350" t="str">
        <f>IF($B2946="Portfolio","Portfolio",IFERROR(INDEX(DATA_ASSET_CLASSIFICATION!$B$8:$B$24,MATCH($C2946,DATA_ASSET_CLASSIFICATION!$A$8:$A$24,0)),"Review"))</f>
        <v>Murray Manor</v>
      </c>
      <c r="N2946" s="350" t="str">
        <f ca="1">IF($B2946="Portfolio","Portfolio",IFERROR(INDEX(DATA_ASSET_CLASSIFICATION!$U$8:$U$24,MATCH($C2946,DATA_ASSET_CLASSIFICATION!$A$8:$A$24,0)),"Review"))</f>
        <v>Refi Watch</v>
      </c>
      <c r="O2946" s="350" t="str">
        <f ca="1">IF($B2946="Portfolio","Portfolio",IFERROR(INDEX(DATA_ASSET_CLASSIFICATION!$AB$8:$AB$13,MATCH($N2946,DATA_ASSET_CLASSIFICATION!$AA$8:$AA$13,0)),"Review"))</f>
        <v>Bucket 2 · Legacy</v>
      </c>
      <c r="P2946" s="350" t="str">
        <f>IF($B2946="Portfolio","Portfolio",IFERROR(INDEX(DATA_ASSET_CLASSIFICATION!$C$8:$C$24,MATCH($C2946,DATA_ASSET_CLASSIFICATION!$A$8:$A$24,0)),"Review"))</f>
        <v>Yes</v>
      </c>
      <c r="Q2946" s="350" t="str">
        <f t="shared" ca="1" si="91"/>
        <v>OK</v>
      </c>
    </row>
    <row r="2947" spans="1:17">
      <c r="A2947" s="366" t="s">
        <v>4903</v>
      </c>
      <c r="B2947" s="366" t="s">
        <v>231</v>
      </c>
      <c r="C2947" s="348" t="str">
        <f>DATA_PROPERTY_MASTER!$A$14</f>
        <v>BLD_MM</v>
      </c>
      <c r="D2947" s="380">
        <f>'00_PORTFOLIO ROLLUP'!H$12</f>
        <v>2028</v>
      </c>
      <c r="E2947" s="366" t="s">
        <v>1683</v>
      </c>
      <c r="F2947" s="366" t="s">
        <v>355</v>
      </c>
      <c r="G2947" s="348" t="str">
        <f>"'"&amp;$C2947&amp;"'!$E$39:$Y$39"</f>
        <v>'BLD_MM'!$E$39:$Y$39</v>
      </c>
      <c r="H2947" s="381">
        <f ca="1">IF(IFERROR(INDEX(DATA_PROPERTY_MASTER!$E$5:$E$21,MATCH($C2947,DATA_PROPERTY_MASTER!$A$5:$A$21,0))="Yes",FALSE),IFERROR(INDEX(INDIRECT("'"&amp;$C2947&amp;"'!$E$39:$Y$39"),1,MATCH($D2947,INDIRECT("'"&amp;$C2947&amp;"'!$E$12:$Y$12"),0)),0),0)</f>
        <v>313155.388416</v>
      </c>
      <c r="I2947" s="366" t="s">
        <v>1690</v>
      </c>
      <c r="J2947" s="348" t="str">
        <f t="shared" ca="1" si="90"/>
        <v>OK</v>
      </c>
      <c r="K2947" s="366" t="s">
        <v>1686</v>
      </c>
      <c r="L2947" s="366" t="s">
        <v>2236</v>
      </c>
      <c r="M2947" s="350" t="str">
        <f>IF($B2947="Portfolio","Portfolio",IFERROR(INDEX(DATA_ASSET_CLASSIFICATION!$B$8:$B$24,MATCH($C2947,DATA_ASSET_CLASSIFICATION!$A$8:$A$24,0)),"Review"))</f>
        <v>Murray Manor</v>
      </c>
      <c r="N2947" s="350" t="str">
        <f ca="1">IF($B2947="Portfolio","Portfolio",IFERROR(INDEX(DATA_ASSET_CLASSIFICATION!$U$8:$U$24,MATCH($C2947,DATA_ASSET_CLASSIFICATION!$A$8:$A$24,0)),"Review"))</f>
        <v>Refi Watch</v>
      </c>
      <c r="O2947" s="350" t="str">
        <f ca="1">IF($B2947="Portfolio","Portfolio",IFERROR(INDEX(DATA_ASSET_CLASSIFICATION!$AB$8:$AB$13,MATCH($N2947,DATA_ASSET_CLASSIFICATION!$AA$8:$AA$13,0)),"Review"))</f>
        <v>Bucket 2 · Legacy</v>
      </c>
      <c r="P2947" s="350" t="str">
        <f>IF($B2947="Portfolio","Portfolio",IFERROR(INDEX(DATA_ASSET_CLASSIFICATION!$C$8:$C$24,MATCH($C2947,DATA_ASSET_CLASSIFICATION!$A$8:$A$24,0)),"Review"))</f>
        <v>Yes</v>
      </c>
      <c r="Q2947" s="350" t="str">
        <f t="shared" ca="1" si="91"/>
        <v>OK</v>
      </c>
    </row>
    <row r="2948" spans="1:17">
      <c r="A2948" s="366" t="s">
        <v>4904</v>
      </c>
      <c r="B2948" s="366" t="s">
        <v>231</v>
      </c>
      <c r="C2948" s="348" t="str">
        <f>DATA_PROPERTY_MASTER!$A$14</f>
        <v>BLD_MM</v>
      </c>
      <c r="D2948" s="380">
        <f>'00_PORTFOLIO ROLLUP'!H$12</f>
        <v>2028</v>
      </c>
      <c r="E2948" s="366" t="s">
        <v>1683</v>
      </c>
      <c r="F2948" s="366" t="s">
        <v>19</v>
      </c>
      <c r="G2948" s="348" t="str">
        <f>"'"&amp;$C2948&amp;"'!$E$41:$Y$41"</f>
        <v>'BLD_MM'!$E$41:$Y$41</v>
      </c>
      <c r="H2948" s="381">
        <f ca="1">IF(IFERROR(INDEX(DATA_PROPERTY_MASTER!$E$5:$E$21,MATCH($C2948,DATA_PROPERTY_MASTER!$A$5:$A$21,0))="Yes",FALSE),IFERROR(INDEX(INDIRECT("'"&amp;$C2948&amp;"'!$E$41:$Y$41"),1,MATCH($D2948,INDIRECT("'"&amp;$C2948&amp;"'!$E$12:$Y$12"),0)),0),0)</f>
        <v>515648.60504491202</v>
      </c>
      <c r="I2948" s="366" t="s">
        <v>1685</v>
      </c>
      <c r="J2948" s="348" t="str">
        <f t="shared" ca="1" si="90"/>
        <v>OK</v>
      </c>
      <c r="K2948" s="366" t="s">
        <v>1694</v>
      </c>
      <c r="L2948" s="366" t="s">
        <v>2238</v>
      </c>
      <c r="M2948" s="350" t="str">
        <f>IF($B2948="Portfolio","Portfolio",IFERROR(INDEX(DATA_ASSET_CLASSIFICATION!$B$8:$B$24,MATCH($C2948,DATA_ASSET_CLASSIFICATION!$A$8:$A$24,0)),"Review"))</f>
        <v>Murray Manor</v>
      </c>
      <c r="N2948" s="350" t="str">
        <f ca="1">IF($B2948="Portfolio","Portfolio",IFERROR(INDEX(DATA_ASSET_CLASSIFICATION!$U$8:$U$24,MATCH($C2948,DATA_ASSET_CLASSIFICATION!$A$8:$A$24,0)),"Review"))</f>
        <v>Refi Watch</v>
      </c>
      <c r="O2948" s="350" t="str">
        <f ca="1">IF($B2948="Portfolio","Portfolio",IFERROR(INDEX(DATA_ASSET_CLASSIFICATION!$AB$8:$AB$13,MATCH($N2948,DATA_ASSET_CLASSIFICATION!$AA$8:$AA$13,0)),"Review"))</f>
        <v>Bucket 2 · Legacy</v>
      </c>
      <c r="P2948" s="350" t="str">
        <f>IF($B2948="Portfolio","Portfolio",IFERROR(INDEX(DATA_ASSET_CLASSIFICATION!$C$8:$C$24,MATCH($C2948,DATA_ASSET_CLASSIFICATION!$A$8:$A$24,0)),"Review"))</f>
        <v>Yes</v>
      </c>
      <c r="Q2948" s="350" t="str">
        <f t="shared" ca="1" si="91"/>
        <v>OK</v>
      </c>
    </row>
    <row r="2949" spans="1:17">
      <c r="A2949" s="366" t="s">
        <v>4905</v>
      </c>
      <c r="B2949" s="366" t="s">
        <v>231</v>
      </c>
      <c r="C2949" s="348" t="str">
        <f>DATA_PROPERTY_MASTER!$A$14</f>
        <v>BLD_MM</v>
      </c>
      <c r="D2949" s="380">
        <f>'00_PORTFOLIO ROLLUP'!H$12</f>
        <v>2028</v>
      </c>
      <c r="E2949" s="366" t="s">
        <v>1683</v>
      </c>
      <c r="F2949" s="366" t="s">
        <v>1697</v>
      </c>
      <c r="G2949" s="348" t="str">
        <f>"'"&amp;$C2949&amp;"'!$E$44:$Y$44"</f>
        <v>'BLD_MM'!$E$44:$Y$44</v>
      </c>
      <c r="H2949" s="381">
        <f ca="1">IF(IFERROR(INDEX(DATA_PROPERTY_MASTER!$E$5:$E$21,MATCH($C2949,DATA_PROPERTY_MASTER!$A$5:$A$21,0))="Yes",FALSE),IFERROR(INDEX(INDIRECT("'"&amp;$C2949&amp;"'!$E$44:$Y$44"),1,MATCH($D2949,INDIRECT("'"&amp;$C2949&amp;"'!$E$12:$Y$12"),0)),0),0)</f>
        <v>7481.5163999999995</v>
      </c>
      <c r="I2949" s="366" t="s">
        <v>1690</v>
      </c>
      <c r="J2949" s="348" t="str">
        <f t="shared" ref="J2949:J3012" ca="1" si="92">IF($F2949="Residual Funding Gap",IF($H2949&gt;0,"Funding Gap","OK"),IF(AND($F2949="Net Refinance Position",$H2949&lt;0),"Negative net refi position","OK"))</f>
        <v>OK</v>
      </c>
      <c r="K2949" s="366" t="s">
        <v>1699</v>
      </c>
      <c r="L2949" s="366" t="s">
        <v>2240</v>
      </c>
      <c r="M2949" s="350" t="str">
        <f>IF($B2949="Portfolio","Portfolio",IFERROR(INDEX(DATA_ASSET_CLASSIFICATION!$B$8:$B$24,MATCH($C2949,DATA_ASSET_CLASSIFICATION!$A$8:$A$24,0)),"Review"))</f>
        <v>Murray Manor</v>
      </c>
      <c r="N2949" s="350" t="str">
        <f ca="1">IF($B2949="Portfolio","Portfolio",IFERROR(INDEX(DATA_ASSET_CLASSIFICATION!$U$8:$U$24,MATCH($C2949,DATA_ASSET_CLASSIFICATION!$A$8:$A$24,0)),"Review"))</f>
        <v>Refi Watch</v>
      </c>
      <c r="O2949" s="350" t="str">
        <f ca="1">IF($B2949="Portfolio","Portfolio",IFERROR(INDEX(DATA_ASSET_CLASSIFICATION!$AB$8:$AB$13,MATCH($N2949,DATA_ASSET_CLASSIFICATION!$AA$8:$AA$13,0)),"Review"))</f>
        <v>Bucket 2 · Legacy</v>
      </c>
      <c r="P2949" s="350" t="str">
        <f>IF($B2949="Portfolio","Portfolio",IFERROR(INDEX(DATA_ASSET_CLASSIFICATION!$C$8:$C$24,MATCH($C2949,DATA_ASSET_CLASSIFICATION!$A$8:$A$24,0)),"Review"))</f>
        <v>Yes</v>
      </c>
      <c r="Q2949" s="350" t="str">
        <f t="shared" ref="Q2949:Q3012" ca="1" si="93">IF(AND($B2949="Property",$F2949="Residual Funding Gap",$H2949&gt;0),"Property Funding Gap",IF($J2949&lt;&gt;"OK",$J2949,"OK"))</f>
        <v>OK</v>
      </c>
    </row>
    <row r="2950" spans="1:17">
      <c r="A2950" s="366" t="s">
        <v>4906</v>
      </c>
      <c r="B2950" s="366" t="s">
        <v>231</v>
      </c>
      <c r="C2950" s="348" t="str">
        <f>DATA_PROPERTY_MASTER!$A$14</f>
        <v>BLD_MM</v>
      </c>
      <c r="D2950" s="380">
        <f>'00_PORTFOLIO ROLLUP'!H$12</f>
        <v>2028</v>
      </c>
      <c r="E2950" s="366" t="s">
        <v>1683</v>
      </c>
      <c r="F2950" s="366" t="s">
        <v>21</v>
      </c>
      <c r="G2950" s="348" t="str">
        <f>"'"&amp;$C2950&amp;"'!$E$45:$Y$45"</f>
        <v>'BLD_MM'!$E$45:$Y$45</v>
      </c>
      <c r="H2950" s="381">
        <f ca="1">IF(IFERROR(INDEX(DATA_PROPERTY_MASTER!$E$5:$E$21,MATCH($C2950,DATA_PROPERTY_MASTER!$A$5:$A$21,0))="Yes",FALSE),IFERROR(INDEX(INDIRECT("'"&amp;$C2950&amp;"'!$E$45:$Y$45"),1,MATCH($D2950,INDIRECT("'"&amp;$C2950&amp;"'!$E$12:$Y$12"),0)),0),0)</f>
        <v>508167.088644912</v>
      </c>
      <c r="I2950" s="366" t="s">
        <v>1685</v>
      </c>
      <c r="J2950" s="348" t="str">
        <f t="shared" ca="1" si="92"/>
        <v>OK</v>
      </c>
      <c r="K2950" s="366" t="s">
        <v>1694</v>
      </c>
      <c r="L2950" s="366" t="s">
        <v>2242</v>
      </c>
      <c r="M2950" s="350" t="str">
        <f>IF($B2950="Portfolio","Portfolio",IFERROR(INDEX(DATA_ASSET_CLASSIFICATION!$B$8:$B$24,MATCH($C2950,DATA_ASSET_CLASSIFICATION!$A$8:$A$24,0)),"Review"))</f>
        <v>Murray Manor</v>
      </c>
      <c r="N2950" s="350" t="str">
        <f ca="1">IF($B2950="Portfolio","Portfolio",IFERROR(INDEX(DATA_ASSET_CLASSIFICATION!$U$8:$U$24,MATCH($C2950,DATA_ASSET_CLASSIFICATION!$A$8:$A$24,0)),"Review"))</f>
        <v>Refi Watch</v>
      </c>
      <c r="O2950" s="350" t="str">
        <f ca="1">IF($B2950="Portfolio","Portfolio",IFERROR(INDEX(DATA_ASSET_CLASSIFICATION!$AB$8:$AB$13,MATCH($N2950,DATA_ASSET_CLASSIFICATION!$AA$8:$AA$13,0)),"Review"))</f>
        <v>Bucket 2 · Legacy</v>
      </c>
      <c r="P2950" s="350" t="str">
        <f>IF($B2950="Portfolio","Portfolio",IFERROR(INDEX(DATA_ASSET_CLASSIFICATION!$C$8:$C$24,MATCH($C2950,DATA_ASSET_CLASSIFICATION!$A$8:$A$24,0)),"Review"))</f>
        <v>Yes</v>
      </c>
      <c r="Q2950" s="350" t="str">
        <f t="shared" ca="1" si="93"/>
        <v>OK</v>
      </c>
    </row>
    <row r="2951" spans="1:17">
      <c r="A2951" s="366" t="s">
        <v>4907</v>
      </c>
      <c r="B2951" s="366" t="s">
        <v>231</v>
      </c>
      <c r="C2951" s="348" t="str">
        <f>DATA_PROPERTY_MASTER!$A$14</f>
        <v>BLD_MM</v>
      </c>
      <c r="D2951" s="380">
        <f>'00_PORTFOLIO ROLLUP'!H$12</f>
        <v>2028</v>
      </c>
      <c r="E2951" s="366" t="s">
        <v>23</v>
      </c>
      <c r="F2951" s="366" t="s">
        <v>23</v>
      </c>
      <c r="G2951" s="348" t="str">
        <f>"'"&amp;$C2951&amp;"'!$E$48:$Y$48"</f>
        <v>'BLD_MM'!$E$48:$Y$48</v>
      </c>
      <c r="H2951" s="381">
        <f ca="1">IF(IFERROR(INDEX(DATA_PROPERTY_MASTER!$E$5:$E$21,MATCH($C2951,DATA_PROPERTY_MASTER!$A$5:$A$21,0))="Yes",FALSE),IFERROR(INDEX(INDIRECT("'"&amp;$C2951&amp;"'!$E$48:$Y$48"),1,MATCH($D2951,INDIRECT("'"&amp;$C2951&amp;"'!$E$12:$Y$12"),0)),0),0)</f>
        <v>271563.84000000003</v>
      </c>
      <c r="I2951" s="366" t="s">
        <v>1690</v>
      </c>
      <c r="J2951" s="348" t="str">
        <f t="shared" ca="1" si="92"/>
        <v>OK</v>
      </c>
      <c r="K2951" s="366" t="s">
        <v>1706</v>
      </c>
      <c r="L2951" s="366" t="s">
        <v>2244</v>
      </c>
      <c r="M2951" s="350" t="str">
        <f>IF($B2951="Portfolio","Portfolio",IFERROR(INDEX(DATA_ASSET_CLASSIFICATION!$B$8:$B$24,MATCH($C2951,DATA_ASSET_CLASSIFICATION!$A$8:$A$24,0)),"Review"))</f>
        <v>Murray Manor</v>
      </c>
      <c r="N2951" s="350" t="str">
        <f ca="1">IF($B2951="Portfolio","Portfolio",IFERROR(INDEX(DATA_ASSET_CLASSIFICATION!$U$8:$U$24,MATCH($C2951,DATA_ASSET_CLASSIFICATION!$A$8:$A$24,0)),"Review"))</f>
        <v>Refi Watch</v>
      </c>
      <c r="O2951" s="350" t="str">
        <f ca="1">IF($B2951="Portfolio","Portfolio",IFERROR(INDEX(DATA_ASSET_CLASSIFICATION!$AB$8:$AB$13,MATCH($N2951,DATA_ASSET_CLASSIFICATION!$AA$8:$AA$13,0)),"Review"))</f>
        <v>Bucket 2 · Legacy</v>
      </c>
      <c r="P2951" s="350" t="str">
        <f>IF($B2951="Portfolio","Portfolio",IFERROR(INDEX(DATA_ASSET_CLASSIFICATION!$C$8:$C$24,MATCH($C2951,DATA_ASSET_CLASSIFICATION!$A$8:$A$24,0)),"Review"))</f>
        <v>Yes</v>
      </c>
      <c r="Q2951" s="350" t="str">
        <f t="shared" ca="1" si="93"/>
        <v>OK</v>
      </c>
    </row>
    <row r="2952" spans="1:17">
      <c r="A2952" s="366" t="s">
        <v>4908</v>
      </c>
      <c r="B2952" s="366" t="s">
        <v>231</v>
      </c>
      <c r="C2952" s="348" t="str">
        <f>DATA_PROPERTY_MASTER!$A$14</f>
        <v>BLD_MM</v>
      </c>
      <c r="D2952" s="380">
        <f>'00_PORTFOLIO ROLLUP'!H$12</f>
        <v>2028</v>
      </c>
      <c r="E2952" s="366" t="s">
        <v>1683</v>
      </c>
      <c r="F2952" s="366" t="s">
        <v>25</v>
      </c>
      <c r="G2952" s="348" t="str">
        <f>"'"&amp;$C2952&amp;"'!$E$52:$Y$52"</f>
        <v>'BLD_MM'!$E$52:$Y$52</v>
      </c>
      <c r="H2952" s="381">
        <f ca="1">IF(IFERROR(INDEX(DATA_PROPERTY_MASTER!$E$5:$E$21,MATCH($C2952,DATA_PROPERTY_MASTER!$A$5:$A$21,0))="Yes",FALSE),IFERROR(INDEX(INDIRECT("'"&amp;$C2952&amp;"'!$E$52:$Y$52"),1,MATCH($D2952,INDIRECT("'"&amp;$C2952&amp;"'!$E$12:$Y$12"),0)),0),0)</f>
        <v>244084.765044912</v>
      </c>
      <c r="I2952" s="366" t="s">
        <v>1685</v>
      </c>
      <c r="J2952" s="348" t="str">
        <f t="shared" ca="1" si="92"/>
        <v>OK</v>
      </c>
      <c r="K2952" s="366" t="s">
        <v>1710</v>
      </c>
      <c r="L2952" s="366" t="s">
        <v>2246</v>
      </c>
      <c r="M2952" s="350" t="str">
        <f>IF($B2952="Portfolio","Portfolio",IFERROR(INDEX(DATA_ASSET_CLASSIFICATION!$B$8:$B$24,MATCH($C2952,DATA_ASSET_CLASSIFICATION!$A$8:$A$24,0)),"Review"))</f>
        <v>Murray Manor</v>
      </c>
      <c r="N2952" s="350" t="str">
        <f ca="1">IF($B2952="Portfolio","Portfolio",IFERROR(INDEX(DATA_ASSET_CLASSIFICATION!$U$8:$U$24,MATCH($C2952,DATA_ASSET_CLASSIFICATION!$A$8:$A$24,0)),"Review"))</f>
        <v>Refi Watch</v>
      </c>
      <c r="O2952" s="350" t="str">
        <f ca="1">IF($B2952="Portfolio","Portfolio",IFERROR(INDEX(DATA_ASSET_CLASSIFICATION!$AB$8:$AB$13,MATCH($N2952,DATA_ASSET_CLASSIFICATION!$AA$8:$AA$13,0)),"Review"))</f>
        <v>Bucket 2 · Legacy</v>
      </c>
      <c r="P2952" s="350" t="str">
        <f>IF($B2952="Portfolio","Portfolio",IFERROR(INDEX(DATA_ASSET_CLASSIFICATION!$C$8:$C$24,MATCH($C2952,DATA_ASSET_CLASSIFICATION!$A$8:$A$24,0)),"Review"))</f>
        <v>Yes</v>
      </c>
      <c r="Q2952" s="350" t="str">
        <f t="shared" ca="1" si="93"/>
        <v>OK</v>
      </c>
    </row>
    <row r="2953" spans="1:17">
      <c r="A2953" s="366" t="s">
        <v>4909</v>
      </c>
      <c r="B2953" s="366" t="s">
        <v>231</v>
      </c>
      <c r="C2953" s="348" t="str">
        <f>DATA_PROPERTY_MASTER!$A$14</f>
        <v>BLD_MM</v>
      </c>
      <c r="D2953" s="380">
        <f>'00_PORTFOLIO ROLLUP'!H$12</f>
        <v>2028</v>
      </c>
      <c r="E2953" s="366" t="s">
        <v>1683</v>
      </c>
      <c r="F2953" s="366" t="s">
        <v>27</v>
      </c>
      <c r="G2953" s="348" t="str">
        <f>"'"&amp;$C2953&amp;"'!$E$54:$Y$54"</f>
        <v>'BLD_MM'!$E$54:$Y$54</v>
      </c>
      <c r="H2953" s="381">
        <f ca="1">IF(IFERROR(INDEX(DATA_PROPERTY_MASTER!$E$5:$E$21,MATCH($C2953,DATA_PROPERTY_MASTER!$A$5:$A$21,0))="Yes",FALSE),IFERROR(INDEX(INDIRECT("'"&amp;$C2953&amp;"'!$E$54:$Y$54"),1,MATCH($D2953,INDIRECT("'"&amp;$C2953&amp;"'!$E$12:$Y$12"),0)),0),0)</f>
        <v>146450.8590269472</v>
      </c>
      <c r="I2953" s="366" t="s">
        <v>1690</v>
      </c>
      <c r="J2953" s="348" t="str">
        <f t="shared" ca="1" si="92"/>
        <v>OK</v>
      </c>
      <c r="K2953" s="366" t="s">
        <v>1714</v>
      </c>
      <c r="L2953" s="366" t="s">
        <v>2248</v>
      </c>
      <c r="M2953" s="350" t="str">
        <f>IF($B2953="Portfolio","Portfolio",IFERROR(INDEX(DATA_ASSET_CLASSIFICATION!$B$8:$B$24,MATCH($C2953,DATA_ASSET_CLASSIFICATION!$A$8:$A$24,0)),"Review"))</f>
        <v>Murray Manor</v>
      </c>
      <c r="N2953" s="350" t="str">
        <f ca="1">IF($B2953="Portfolio","Portfolio",IFERROR(INDEX(DATA_ASSET_CLASSIFICATION!$U$8:$U$24,MATCH($C2953,DATA_ASSET_CLASSIFICATION!$A$8:$A$24,0)),"Review"))</f>
        <v>Refi Watch</v>
      </c>
      <c r="O2953" s="350" t="str">
        <f ca="1">IF($B2953="Portfolio","Portfolio",IFERROR(INDEX(DATA_ASSET_CLASSIFICATION!$AB$8:$AB$13,MATCH($N2953,DATA_ASSET_CLASSIFICATION!$AA$8:$AA$13,0)),"Review"))</f>
        <v>Bucket 2 · Legacy</v>
      </c>
      <c r="P2953" s="350" t="str">
        <f>IF($B2953="Portfolio","Portfolio",IFERROR(INDEX(DATA_ASSET_CLASSIFICATION!$C$8:$C$24,MATCH($C2953,DATA_ASSET_CLASSIFICATION!$A$8:$A$24,0)),"Review"))</f>
        <v>Yes</v>
      </c>
      <c r="Q2953" s="350" t="str">
        <f t="shared" ca="1" si="93"/>
        <v>OK</v>
      </c>
    </row>
    <row r="2954" spans="1:17">
      <c r="A2954" s="366" t="s">
        <v>4910</v>
      </c>
      <c r="B2954" s="366" t="s">
        <v>231</v>
      </c>
      <c r="C2954" s="348" t="str">
        <f>DATA_PROPERTY_MASTER!$A$14</f>
        <v>BLD_MM</v>
      </c>
      <c r="D2954" s="380">
        <f>'00_PORTFOLIO ROLLUP'!H$12</f>
        <v>2028</v>
      </c>
      <c r="E2954" s="366" t="s">
        <v>1683</v>
      </c>
      <c r="F2954" s="366" t="s">
        <v>29</v>
      </c>
      <c r="G2954" s="348" t="str">
        <f>"'"&amp;$C2954&amp;"'!$E$56:$Y$56"</f>
        <v>'BLD_MM'!$E$56:$Y$56</v>
      </c>
      <c r="H2954" s="381">
        <f ca="1">IF(IFERROR(INDEX(DATA_PROPERTY_MASTER!$E$5:$E$21,MATCH($C2954,DATA_PROPERTY_MASTER!$A$5:$A$21,0))="Yes",FALSE),IFERROR(INDEX(INDIRECT("'"&amp;$C2954&amp;"'!$E$56:$Y$56"),1,MATCH($D2954,INDIRECT("'"&amp;$C2954&amp;"'!$E$12:$Y$12"),0)),0),0)</f>
        <v>97633.906017964793</v>
      </c>
      <c r="I2954" s="366" t="s">
        <v>1685</v>
      </c>
      <c r="J2954" s="348" t="str">
        <f t="shared" ca="1" si="92"/>
        <v>OK</v>
      </c>
      <c r="K2954" s="366" t="s">
        <v>1718</v>
      </c>
      <c r="L2954" s="366" t="s">
        <v>2250</v>
      </c>
      <c r="M2954" s="350" t="str">
        <f>IF($B2954="Portfolio","Portfolio",IFERROR(INDEX(DATA_ASSET_CLASSIFICATION!$B$8:$B$24,MATCH($C2954,DATA_ASSET_CLASSIFICATION!$A$8:$A$24,0)),"Review"))</f>
        <v>Murray Manor</v>
      </c>
      <c r="N2954" s="350" t="str">
        <f ca="1">IF($B2954="Portfolio","Portfolio",IFERROR(INDEX(DATA_ASSET_CLASSIFICATION!$U$8:$U$24,MATCH($C2954,DATA_ASSET_CLASSIFICATION!$A$8:$A$24,0)),"Review"))</f>
        <v>Refi Watch</v>
      </c>
      <c r="O2954" s="350" t="str">
        <f ca="1">IF($B2954="Portfolio","Portfolio",IFERROR(INDEX(DATA_ASSET_CLASSIFICATION!$AB$8:$AB$13,MATCH($N2954,DATA_ASSET_CLASSIFICATION!$AA$8:$AA$13,0)),"Review"))</f>
        <v>Bucket 2 · Legacy</v>
      </c>
      <c r="P2954" s="350" t="str">
        <f>IF($B2954="Portfolio","Portfolio",IFERROR(INDEX(DATA_ASSET_CLASSIFICATION!$C$8:$C$24,MATCH($C2954,DATA_ASSET_CLASSIFICATION!$A$8:$A$24,0)),"Review"))</f>
        <v>Yes</v>
      </c>
      <c r="Q2954" s="350" t="str">
        <f t="shared" ca="1" si="93"/>
        <v>OK</v>
      </c>
    </row>
    <row r="2955" spans="1:17">
      <c r="A2955" s="366" t="s">
        <v>4911</v>
      </c>
      <c r="B2955" s="366" t="s">
        <v>231</v>
      </c>
      <c r="C2955" s="348" t="str">
        <f>DATA_PROPERTY_MASTER!$A$14</f>
        <v>BLD_MM</v>
      </c>
      <c r="D2955" s="380">
        <f>'00_PORTFOLIO ROLLUP'!H$12</f>
        <v>2028</v>
      </c>
      <c r="E2955" s="366" t="s">
        <v>1721</v>
      </c>
      <c r="F2955" s="366" t="s">
        <v>31</v>
      </c>
      <c r="G2955" s="348" t="str">
        <f>"'"&amp;$C2955&amp;"'!$E$61:$Y$61"</f>
        <v>'BLD_MM'!$E$61:$Y$61</v>
      </c>
      <c r="H2955" s="381">
        <f ca="1">IF(IFERROR(INDEX(DATA_PROPERTY_MASTER!$E$5:$E$21,MATCH($C2955,DATA_PROPERTY_MASTER!$A$5:$A$21,0))="Yes",FALSE),IFERROR(INDEX(INDIRECT("'"&amp;$C2955&amp;"'!$E$61:$Y$61"),1,MATCH($D2955,INDIRECT("'"&amp;$C2955&amp;"'!$E$12:$Y$12"),0)),0),0)</f>
        <v>0</v>
      </c>
      <c r="I2955" s="366" t="s">
        <v>1690</v>
      </c>
      <c r="J2955" s="348" t="str">
        <f t="shared" ca="1" si="92"/>
        <v>OK</v>
      </c>
      <c r="K2955" s="366" t="s">
        <v>1723</v>
      </c>
      <c r="L2955" s="366" t="s">
        <v>2252</v>
      </c>
      <c r="M2955" s="350" t="str">
        <f>IF($B2955="Portfolio","Portfolio",IFERROR(INDEX(DATA_ASSET_CLASSIFICATION!$B$8:$B$24,MATCH($C2955,DATA_ASSET_CLASSIFICATION!$A$8:$A$24,0)),"Review"))</f>
        <v>Murray Manor</v>
      </c>
      <c r="N2955" s="350" t="str">
        <f ca="1">IF($B2955="Portfolio","Portfolio",IFERROR(INDEX(DATA_ASSET_CLASSIFICATION!$U$8:$U$24,MATCH($C2955,DATA_ASSET_CLASSIFICATION!$A$8:$A$24,0)),"Review"))</f>
        <v>Refi Watch</v>
      </c>
      <c r="O2955" s="350" t="str">
        <f ca="1">IF($B2955="Portfolio","Portfolio",IFERROR(INDEX(DATA_ASSET_CLASSIFICATION!$AB$8:$AB$13,MATCH($N2955,DATA_ASSET_CLASSIFICATION!$AA$8:$AA$13,0)),"Review"))</f>
        <v>Bucket 2 · Legacy</v>
      </c>
      <c r="P2955" s="350" t="str">
        <f>IF($B2955="Portfolio","Portfolio",IFERROR(INDEX(DATA_ASSET_CLASSIFICATION!$C$8:$C$24,MATCH($C2955,DATA_ASSET_CLASSIFICATION!$A$8:$A$24,0)),"Review"))</f>
        <v>Yes</v>
      </c>
      <c r="Q2955" s="350" t="str">
        <f t="shared" ca="1" si="93"/>
        <v>OK</v>
      </c>
    </row>
    <row r="2956" spans="1:17">
      <c r="A2956" s="366" t="s">
        <v>4912</v>
      </c>
      <c r="B2956" s="366" t="s">
        <v>231</v>
      </c>
      <c r="C2956" s="348" t="str">
        <f>DATA_PROPERTY_MASTER!$A$14</f>
        <v>BLD_MM</v>
      </c>
      <c r="D2956" s="380">
        <f>'00_PORTFOLIO ROLLUP'!H$12</f>
        <v>2028</v>
      </c>
      <c r="E2956" s="366" t="s">
        <v>1721</v>
      </c>
      <c r="F2956" s="366" t="s">
        <v>33</v>
      </c>
      <c r="G2956" s="348" t="str">
        <f>"'"&amp;$C2956&amp;"'!$E$62:$Y$62"</f>
        <v>'BLD_MM'!$E$62:$Y$62</v>
      </c>
      <c r="H2956" s="381">
        <f ca="1">IF(IFERROR(INDEX(DATA_PROPERTY_MASTER!$E$5:$E$21,MATCH($C2956,DATA_PROPERTY_MASTER!$A$5:$A$21,0))="Yes",FALSE),IFERROR(INDEX(INDIRECT("'"&amp;$C2956&amp;"'!$E$62:$Y$62"),1,MATCH($D2956,INDIRECT("'"&amp;$C2956&amp;"'!$E$12:$Y$12"),0)),0),0)</f>
        <v>0</v>
      </c>
      <c r="I2956" s="366" t="s">
        <v>1685</v>
      </c>
      <c r="J2956" s="348" t="str">
        <f t="shared" ca="1" si="92"/>
        <v>OK</v>
      </c>
      <c r="K2956" s="366" t="s">
        <v>1727</v>
      </c>
      <c r="L2956" s="366" t="s">
        <v>2254</v>
      </c>
      <c r="M2956" s="350" t="str">
        <f>IF($B2956="Portfolio","Portfolio",IFERROR(INDEX(DATA_ASSET_CLASSIFICATION!$B$8:$B$24,MATCH($C2956,DATA_ASSET_CLASSIFICATION!$A$8:$A$24,0)),"Review"))</f>
        <v>Murray Manor</v>
      </c>
      <c r="N2956" s="350" t="str">
        <f ca="1">IF($B2956="Portfolio","Portfolio",IFERROR(INDEX(DATA_ASSET_CLASSIFICATION!$U$8:$U$24,MATCH($C2956,DATA_ASSET_CLASSIFICATION!$A$8:$A$24,0)),"Review"))</f>
        <v>Refi Watch</v>
      </c>
      <c r="O2956" s="350" t="str">
        <f ca="1">IF($B2956="Portfolio","Portfolio",IFERROR(INDEX(DATA_ASSET_CLASSIFICATION!$AB$8:$AB$13,MATCH($N2956,DATA_ASSET_CLASSIFICATION!$AA$8:$AA$13,0)),"Review"))</f>
        <v>Bucket 2 · Legacy</v>
      </c>
      <c r="P2956" s="350" t="str">
        <f>IF($B2956="Portfolio","Portfolio",IFERROR(INDEX(DATA_ASSET_CLASSIFICATION!$C$8:$C$24,MATCH($C2956,DATA_ASSET_CLASSIFICATION!$A$8:$A$24,0)),"Review"))</f>
        <v>Yes</v>
      </c>
      <c r="Q2956" s="350" t="str">
        <f t="shared" ca="1" si="93"/>
        <v>OK</v>
      </c>
    </row>
    <row r="2957" spans="1:17">
      <c r="A2957" s="366" t="s">
        <v>4913</v>
      </c>
      <c r="B2957" s="366" t="s">
        <v>231</v>
      </c>
      <c r="C2957" s="348" t="str">
        <f>DATA_PROPERTY_MASTER!$A$14</f>
        <v>BLD_MM</v>
      </c>
      <c r="D2957" s="380">
        <f>'00_PORTFOLIO ROLLUP'!H$12</f>
        <v>2028</v>
      </c>
      <c r="E2957" s="366" t="s">
        <v>1721</v>
      </c>
      <c r="F2957" s="366" t="s">
        <v>35</v>
      </c>
      <c r="G2957" s="348" t="str">
        <f>"'"&amp;$C2957&amp;"'!$E$63:$Y$63"</f>
        <v>'BLD_MM'!$E$63:$Y$63</v>
      </c>
      <c r="H2957" s="381">
        <f ca="1">IF(IFERROR(INDEX(DATA_PROPERTY_MASTER!$E$5:$E$21,MATCH($C2957,DATA_PROPERTY_MASTER!$A$5:$A$21,0))="Yes",FALSE),IFERROR(INDEX(INDIRECT("'"&amp;$C2957&amp;"'!$E$63:$Y$63"),1,MATCH($D2957,INDIRECT("'"&amp;$C2957&amp;"'!$E$12:$Y$12"),0)),0),0)</f>
        <v>0</v>
      </c>
      <c r="I2957" s="366" t="s">
        <v>1731</v>
      </c>
      <c r="J2957" s="348" t="str">
        <f t="shared" ca="1" si="92"/>
        <v>OK</v>
      </c>
      <c r="K2957" s="366" t="s">
        <v>1732</v>
      </c>
      <c r="L2957" s="366" t="s">
        <v>2256</v>
      </c>
      <c r="M2957" s="350" t="str">
        <f>IF($B2957="Portfolio","Portfolio",IFERROR(INDEX(DATA_ASSET_CLASSIFICATION!$B$8:$B$24,MATCH($C2957,DATA_ASSET_CLASSIFICATION!$A$8:$A$24,0)),"Review"))</f>
        <v>Murray Manor</v>
      </c>
      <c r="N2957" s="350" t="str">
        <f ca="1">IF($B2957="Portfolio","Portfolio",IFERROR(INDEX(DATA_ASSET_CLASSIFICATION!$U$8:$U$24,MATCH($C2957,DATA_ASSET_CLASSIFICATION!$A$8:$A$24,0)),"Review"))</f>
        <v>Refi Watch</v>
      </c>
      <c r="O2957" s="350" t="str">
        <f ca="1">IF($B2957="Portfolio","Portfolio",IFERROR(INDEX(DATA_ASSET_CLASSIFICATION!$AB$8:$AB$13,MATCH($N2957,DATA_ASSET_CLASSIFICATION!$AA$8:$AA$13,0)),"Review"))</f>
        <v>Bucket 2 · Legacy</v>
      </c>
      <c r="P2957" s="350" t="str">
        <f>IF($B2957="Portfolio","Portfolio",IFERROR(INDEX(DATA_ASSET_CLASSIFICATION!$C$8:$C$24,MATCH($C2957,DATA_ASSET_CLASSIFICATION!$A$8:$A$24,0)),"Review"))</f>
        <v>Yes</v>
      </c>
      <c r="Q2957" s="350" t="str">
        <f t="shared" ca="1" si="93"/>
        <v>OK</v>
      </c>
    </row>
    <row r="2958" spans="1:17">
      <c r="A2958" s="366" t="s">
        <v>4914</v>
      </c>
      <c r="B2958" s="366" t="s">
        <v>231</v>
      </c>
      <c r="C2958" s="348" t="str">
        <f>DATA_PROPERTY_MASTER!$A$14</f>
        <v>BLD_MM</v>
      </c>
      <c r="D2958" s="380">
        <f>'00_PORTFOLIO ROLLUP'!H$12</f>
        <v>2028</v>
      </c>
      <c r="E2958" s="366" t="s">
        <v>1721</v>
      </c>
      <c r="F2958" s="366" t="s">
        <v>37</v>
      </c>
      <c r="G2958" s="348" t="str">
        <f>"'"&amp;$C2958&amp;"'!$E$63:$Y$63"</f>
        <v>'BLD_MM'!$E$63:$Y$63</v>
      </c>
      <c r="H2958" s="381">
        <f ca="1">IF(IFERROR(INDEX(DATA_PROPERTY_MASTER!$E$5:$E$21,MATCH($C2958,DATA_PROPERTY_MASTER!$A$5:$A$21,0))="Yes",FALSE),MAX(IFERROR(INDEX(INDIRECT("'"&amp;$C2958&amp;"'!$E$63:$Y$63"),1,MATCH($D2958,INDIRECT("'"&amp;$C2958&amp;"'!$E$12:$Y$12"),0)),0),0),0)</f>
        <v>0</v>
      </c>
      <c r="I2958" s="366" t="s">
        <v>1685</v>
      </c>
      <c r="J2958" s="348" t="str">
        <f t="shared" ca="1" si="92"/>
        <v>OK</v>
      </c>
      <c r="K2958" s="366" t="s">
        <v>1735</v>
      </c>
      <c r="L2958" s="366" t="s">
        <v>2258</v>
      </c>
      <c r="M2958" s="350" t="str">
        <f>IF($B2958="Portfolio","Portfolio",IFERROR(INDEX(DATA_ASSET_CLASSIFICATION!$B$8:$B$24,MATCH($C2958,DATA_ASSET_CLASSIFICATION!$A$8:$A$24,0)),"Review"))</f>
        <v>Murray Manor</v>
      </c>
      <c r="N2958" s="350" t="str">
        <f ca="1">IF($B2958="Portfolio","Portfolio",IFERROR(INDEX(DATA_ASSET_CLASSIFICATION!$U$8:$U$24,MATCH($C2958,DATA_ASSET_CLASSIFICATION!$A$8:$A$24,0)),"Review"))</f>
        <v>Refi Watch</v>
      </c>
      <c r="O2958" s="350" t="str">
        <f ca="1">IF($B2958="Portfolio","Portfolio",IFERROR(INDEX(DATA_ASSET_CLASSIFICATION!$AB$8:$AB$13,MATCH($N2958,DATA_ASSET_CLASSIFICATION!$AA$8:$AA$13,0)),"Review"))</f>
        <v>Bucket 2 · Legacy</v>
      </c>
      <c r="P2958" s="350" t="str">
        <f>IF($B2958="Portfolio","Portfolio",IFERROR(INDEX(DATA_ASSET_CLASSIFICATION!$C$8:$C$24,MATCH($C2958,DATA_ASSET_CLASSIFICATION!$A$8:$A$24,0)),"Review"))</f>
        <v>Yes</v>
      </c>
      <c r="Q2958" s="350" t="str">
        <f t="shared" ca="1" si="93"/>
        <v>OK</v>
      </c>
    </row>
    <row r="2959" spans="1:17">
      <c r="A2959" s="366" t="s">
        <v>4915</v>
      </c>
      <c r="B2959" s="366" t="s">
        <v>231</v>
      </c>
      <c r="C2959" s="348" t="str">
        <f>DATA_PROPERTY_MASTER!$A$14</f>
        <v>BLD_MM</v>
      </c>
      <c r="D2959" s="380">
        <f>'00_PORTFOLIO ROLLUP'!H$12</f>
        <v>2028</v>
      </c>
      <c r="E2959" s="366" t="s">
        <v>1721</v>
      </c>
      <c r="F2959" s="366" t="s">
        <v>39</v>
      </c>
      <c r="G2959" s="348" t="str">
        <f>"'"&amp;$C2959&amp;"'!$E$63:$Y$63"</f>
        <v>'BLD_MM'!$E$63:$Y$63</v>
      </c>
      <c r="H2959" s="381">
        <f ca="1">IF(IFERROR(INDEX(DATA_PROPERTY_MASTER!$E$5:$E$21,MATCH($C2959,DATA_PROPERTY_MASTER!$A$5:$A$21,0))="Yes",FALSE),MAX(-IFERROR(INDEX(INDIRECT("'"&amp;$C2959&amp;"'!$E$63:$Y$63"),1,MATCH($D2959,INDIRECT("'"&amp;$C2959&amp;"'!$E$12:$Y$12"),0)),0),0),0)</f>
        <v>0</v>
      </c>
      <c r="I2959" s="366" t="s">
        <v>1690</v>
      </c>
      <c r="J2959" s="348" t="str">
        <f t="shared" ca="1" si="92"/>
        <v>OK</v>
      </c>
      <c r="K2959" s="366" t="s">
        <v>1738</v>
      </c>
      <c r="L2959" s="366" t="s">
        <v>2260</v>
      </c>
      <c r="M2959" s="350" t="str">
        <f>IF($B2959="Portfolio","Portfolio",IFERROR(INDEX(DATA_ASSET_CLASSIFICATION!$B$8:$B$24,MATCH($C2959,DATA_ASSET_CLASSIFICATION!$A$8:$A$24,0)),"Review"))</f>
        <v>Murray Manor</v>
      </c>
      <c r="N2959" s="350" t="str">
        <f ca="1">IF($B2959="Portfolio","Portfolio",IFERROR(INDEX(DATA_ASSET_CLASSIFICATION!$U$8:$U$24,MATCH($C2959,DATA_ASSET_CLASSIFICATION!$A$8:$A$24,0)),"Review"))</f>
        <v>Refi Watch</v>
      </c>
      <c r="O2959" s="350" t="str">
        <f ca="1">IF($B2959="Portfolio","Portfolio",IFERROR(INDEX(DATA_ASSET_CLASSIFICATION!$AB$8:$AB$13,MATCH($N2959,DATA_ASSET_CLASSIFICATION!$AA$8:$AA$13,0)),"Review"))</f>
        <v>Bucket 2 · Legacy</v>
      </c>
      <c r="P2959" s="350" t="str">
        <f>IF($B2959="Portfolio","Portfolio",IFERROR(INDEX(DATA_ASSET_CLASSIFICATION!$C$8:$C$24,MATCH($C2959,DATA_ASSET_CLASSIFICATION!$A$8:$A$24,0)),"Review"))</f>
        <v>Yes</v>
      </c>
      <c r="Q2959" s="350" t="str">
        <f t="shared" ca="1" si="93"/>
        <v>OK</v>
      </c>
    </row>
    <row r="2960" spans="1:17">
      <c r="A2960" s="366" t="s">
        <v>4916</v>
      </c>
      <c r="B2960" s="366" t="s">
        <v>231</v>
      </c>
      <c r="C2960" s="348" t="str">
        <f>DATA_PROPERTY_MASTER!$A$14</f>
        <v>BLD_MM</v>
      </c>
      <c r="D2960" s="380">
        <f>'00_PORTFOLIO ROLLUP'!H$12</f>
        <v>2028</v>
      </c>
      <c r="E2960" s="366" t="s">
        <v>1741</v>
      </c>
      <c r="F2960" s="366" t="s">
        <v>41</v>
      </c>
      <c r="G2960" s="348" t="str">
        <f>"'"&amp;$C2960&amp;"'!rows 56 + positive row 63"</f>
        <v>'BLD_MM'!rows 56 + positive row 63</v>
      </c>
      <c r="H2960" s="381">
        <f ca="1">IF(IFERROR(INDEX(DATA_PROPERTY_MASTER!$E$5:$E$21,MATCH($C2960,DATA_PROPERTY_MASTER!$A$5:$A$21,0))="Yes",FALSE),IFERROR(INDEX(INDIRECT("'"&amp;$C2960&amp;"'!$E$56:$Y$56"),1,MATCH($D2960,INDIRECT("'"&amp;$C2960&amp;"'!$E$12:$Y$12"),0)),0)+MAX(IFERROR(INDEX(INDIRECT("'"&amp;$C2960&amp;"'!$E$63:$Y$63"),1,MATCH($D2960,INDIRECT("'"&amp;$C2960&amp;"'!$E$12:$Y$12"),0)),0),0),0)</f>
        <v>97633.906017964793</v>
      </c>
      <c r="I2960" s="366" t="s">
        <v>1685</v>
      </c>
      <c r="J2960" s="348" t="str">
        <f t="shared" ca="1" si="92"/>
        <v>OK</v>
      </c>
      <c r="K2960" s="366" t="s">
        <v>1742</v>
      </c>
      <c r="L2960" s="366" t="s">
        <v>2262</v>
      </c>
      <c r="M2960" s="350" t="str">
        <f>IF($B2960="Portfolio","Portfolio",IFERROR(INDEX(DATA_ASSET_CLASSIFICATION!$B$8:$B$24,MATCH($C2960,DATA_ASSET_CLASSIFICATION!$A$8:$A$24,0)),"Review"))</f>
        <v>Murray Manor</v>
      </c>
      <c r="N2960" s="350" t="str">
        <f ca="1">IF($B2960="Portfolio","Portfolio",IFERROR(INDEX(DATA_ASSET_CLASSIFICATION!$U$8:$U$24,MATCH($C2960,DATA_ASSET_CLASSIFICATION!$A$8:$A$24,0)),"Review"))</f>
        <v>Refi Watch</v>
      </c>
      <c r="O2960" s="350" t="str">
        <f ca="1">IF($B2960="Portfolio","Portfolio",IFERROR(INDEX(DATA_ASSET_CLASSIFICATION!$AB$8:$AB$13,MATCH($N2960,DATA_ASSET_CLASSIFICATION!$AA$8:$AA$13,0)),"Review"))</f>
        <v>Bucket 2 · Legacy</v>
      </c>
      <c r="P2960" s="350" t="str">
        <f>IF($B2960="Portfolio","Portfolio",IFERROR(INDEX(DATA_ASSET_CLASSIFICATION!$C$8:$C$24,MATCH($C2960,DATA_ASSET_CLASSIFICATION!$A$8:$A$24,0)),"Review"))</f>
        <v>Yes</v>
      </c>
      <c r="Q2960" s="350" t="str">
        <f t="shared" ca="1" si="93"/>
        <v>OK</v>
      </c>
    </row>
    <row r="2961" spans="1:17">
      <c r="A2961" s="366" t="s">
        <v>4917</v>
      </c>
      <c r="B2961" s="366" t="s">
        <v>231</v>
      </c>
      <c r="C2961" s="348" t="str">
        <f>DATA_PROPERTY_MASTER!$A$14</f>
        <v>BLD_MM</v>
      </c>
      <c r="D2961" s="380">
        <f>'00_PORTFOLIO ROLLUP'!H$12</f>
        <v>2028</v>
      </c>
      <c r="E2961" s="366" t="s">
        <v>1741</v>
      </c>
      <c r="F2961" s="366" t="s">
        <v>43</v>
      </c>
      <c r="G2961" s="348" t="str">
        <f>"'"&amp;$C2961&amp;"'!$E$68:$Y$68"</f>
        <v>'BLD_MM'!$E$68:$Y$68</v>
      </c>
      <c r="H2961" s="381">
        <f ca="1">IF(IFERROR(INDEX(DATA_PROPERTY_MASTER!$E$5:$E$21,MATCH($C2961,DATA_PROPERTY_MASTER!$A$5:$A$21,0))="Yes",FALSE),IFERROR(INDEX(INDIRECT("'"&amp;$C2961&amp;"'!$E$68:$Y$68"),1,MATCH($D2961,INDIRECT("'"&amp;$C2961&amp;"'!$E$12:$Y$12"),0)),0),0)</f>
        <v>97633.906017964793</v>
      </c>
      <c r="I2961" s="366" t="s">
        <v>1731</v>
      </c>
      <c r="J2961" s="348" t="str">
        <f t="shared" ca="1" si="92"/>
        <v>OK</v>
      </c>
      <c r="K2961" s="366" t="s">
        <v>1746</v>
      </c>
      <c r="L2961" s="366" t="s">
        <v>2264</v>
      </c>
      <c r="M2961" s="350" t="str">
        <f>IF($B2961="Portfolio","Portfolio",IFERROR(INDEX(DATA_ASSET_CLASSIFICATION!$B$8:$B$24,MATCH($C2961,DATA_ASSET_CLASSIFICATION!$A$8:$A$24,0)),"Review"))</f>
        <v>Murray Manor</v>
      </c>
      <c r="N2961" s="350" t="str">
        <f ca="1">IF($B2961="Portfolio","Portfolio",IFERROR(INDEX(DATA_ASSET_CLASSIFICATION!$U$8:$U$24,MATCH($C2961,DATA_ASSET_CLASSIFICATION!$A$8:$A$24,0)),"Review"))</f>
        <v>Refi Watch</v>
      </c>
      <c r="O2961" s="350" t="str">
        <f ca="1">IF($B2961="Portfolio","Portfolio",IFERROR(INDEX(DATA_ASSET_CLASSIFICATION!$AB$8:$AB$13,MATCH($N2961,DATA_ASSET_CLASSIFICATION!$AA$8:$AA$13,0)),"Review"))</f>
        <v>Bucket 2 · Legacy</v>
      </c>
      <c r="P2961" s="350" t="str">
        <f>IF($B2961="Portfolio","Portfolio",IFERROR(INDEX(DATA_ASSET_CLASSIFICATION!$C$8:$C$24,MATCH($C2961,DATA_ASSET_CLASSIFICATION!$A$8:$A$24,0)),"Review"))</f>
        <v>Yes</v>
      </c>
      <c r="Q2961" s="350" t="str">
        <f t="shared" ca="1" si="93"/>
        <v>OK</v>
      </c>
    </row>
    <row r="2962" spans="1:17">
      <c r="A2962" s="366" t="s">
        <v>4918</v>
      </c>
      <c r="B2962" s="366" t="s">
        <v>231</v>
      </c>
      <c r="C2962" s="348" t="str">
        <f>DATA_PROPERTY_MASTER!$A$14</f>
        <v>BLD_MM</v>
      </c>
      <c r="D2962" s="380">
        <f>'00_PORTFOLIO ROLLUP'!H$12</f>
        <v>2028</v>
      </c>
      <c r="E2962" s="366" t="s">
        <v>1741</v>
      </c>
      <c r="F2962" s="366" t="s">
        <v>1749</v>
      </c>
      <c r="G2962" s="348" t="str">
        <f>"'"&amp;$C2962&amp;"'!rows 56, 63, 68"</f>
        <v>'BLD_MM'!rows 56, 63, 68</v>
      </c>
      <c r="H2962" s="381">
        <f ca="1">IF(IFERROR(INDEX(DATA_PROPERTY_MASTER!$E$5:$E$21,MATCH($C2962,DATA_PROPERTY_MASTER!$A$5:$A$21,0))="Yes",FALSE),(IFERROR(INDEX(INDIRECT("'"&amp;$C2962&amp;"'!$E$56:$Y$56"),1,MATCH($D2962,INDIRECT("'"&amp;$C2962&amp;"'!$E$12:$Y$12"),0)),0)+MAX(IFERROR(INDEX(INDIRECT("'"&amp;$C2962&amp;"'!$E$63:$Y$63"),1,MATCH($D2962,INDIRECT("'"&amp;$C2962&amp;"'!$E$12:$Y$12"),0)),0),0))-(IFERROR(INDEX(INDIRECT("'"&amp;$C2962&amp;"'!$E$68:$Y$68"),1,MATCH($D2962,INDIRECT("'"&amp;$C2962&amp;"'!$E$12:$Y$12"),0)),0)),0)</f>
        <v>0</v>
      </c>
      <c r="I2962" s="366" t="s">
        <v>1750</v>
      </c>
      <c r="J2962" s="348" t="str">
        <f t="shared" ca="1" si="92"/>
        <v>OK</v>
      </c>
      <c r="K2962" s="366" t="s">
        <v>1751</v>
      </c>
      <c r="L2962" s="366" t="s">
        <v>2266</v>
      </c>
      <c r="M2962" s="350" t="str">
        <f>IF($B2962="Portfolio","Portfolio",IFERROR(INDEX(DATA_ASSET_CLASSIFICATION!$B$8:$B$24,MATCH($C2962,DATA_ASSET_CLASSIFICATION!$A$8:$A$24,0)),"Review"))</f>
        <v>Murray Manor</v>
      </c>
      <c r="N2962" s="350" t="str">
        <f ca="1">IF($B2962="Portfolio","Portfolio",IFERROR(INDEX(DATA_ASSET_CLASSIFICATION!$U$8:$U$24,MATCH($C2962,DATA_ASSET_CLASSIFICATION!$A$8:$A$24,0)),"Review"))</f>
        <v>Refi Watch</v>
      </c>
      <c r="O2962" s="350" t="str">
        <f ca="1">IF($B2962="Portfolio","Portfolio",IFERROR(INDEX(DATA_ASSET_CLASSIFICATION!$AB$8:$AB$13,MATCH($N2962,DATA_ASSET_CLASSIFICATION!$AA$8:$AA$13,0)),"Review"))</f>
        <v>Bucket 2 · Legacy</v>
      </c>
      <c r="P2962" s="350" t="str">
        <f>IF($B2962="Portfolio","Portfolio",IFERROR(INDEX(DATA_ASSET_CLASSIFICATION!$C$8:$C$24,MATCH($C2962,DATA_ASSET_CLASSIFICATION!$A$8:$A$24,0)),"Review"))</f>
        <v>Yes</v>
      </c>
      <c r="Q2962" s="350" t="str">
        <f t="shared" ca="1" si="93"/>
        <v>OK</v>
      </c>
    </row>
    <row r="2963" spans="1:17">
      <c r="A2963" s="366" t="s">
        <v>4919</v>
      </c>
      <c r="B2963" s="366" t="s">
        <v>231</v>
      </c>
      <c r="C2963" s="348" t="str">
        <f>DATA_PROPERTY_MASTER!$A$14</f>
        <v>BLD_MM</v>
      </c>
      <c r="D2963" s="380">
        <f>'00_PORTFOLIO ROLLUP'!I$12</f>
        <v>2029</v>
      </c>
      <c r="E2963" s="366" t="s">
        <v>1683</v>
      </c>
      <c r="F2963" s="366" t="s">
        <v>341</v>
      </c>
      <c r="G2963" s="348" t="str">
        <f>"'"&amp;$C2963&amp;"'!$E$24:$Y$24"</f>
        <v>'BLD_MM'!$E$24:$Y$24</v>
      </c>
      <c r="H2963" s="381">
        <f ca="1">IF(IFERROR(INDEX(DATA_PROPERTY_MASTER!$E$5:$E$21,MATCH($C2963,DATA_PROPERTY_MASTER!$A$5:$A$21,0))="Yes",FALSE),IFERROR(INDEX(INDIRECT("'"&amp;$C2963&amp;"'!$E$24:$Y$24"),1,MATCH($D2963,INDIRECT("'"&amp;$C2963&amp;"'!$E$12:$Y$12"),0)),0),0)</f>
        <v>845380.0733301302</v>
      </c>
      <c r="I2963" s="366" t="s">
        <v>1685</v>
      </c>
      <c r="J2963" s="348" t="str">
        <f t="shared" ca="1" si="92"/>
        <v>OK</v>
      </c>
      <c r="K2963" s="366" t="s">
        <v>1686</v>
      </c>
      <c r="L2963" s="366" t="s">
        <v>2234</v>
      </c>
      <c r="M2963" s="350" t="str">
        <f>IF($B2963="Portfolio","Portfolio",IFERROR(INDEX(DATA_ASSET_CLASSIFICATION!$B$8:$B$24,MATCH($C2963,DATA_ASSET_CLASSIFICATION!$A$8:$A$24,0)),"Review"))</f>
        <v>Murray Manor</v>
      </c>
      <c r="N2963" s="350" t="str">
        <f ca="1">IF($B2963="Portfolio","Portfolio",IFERROR(INDEX(DATA_ASSET_CLASSIFICATION!$U$8:$U$24,MATCH($C2963,DATA_ASSET_CLASSIFICATION!$A$8:$A$24,0)),"Review"))</f>
        <v>Refi Watch</v>
      </c>
      <c r="O2963" s="350" t="str">
        <f ca="1">IF($B2963="Portfolio","Portfolio",IFERROR(INDEX(DATA_ASSET_CLASSIFICATION!$AB$8:$AB$13,MATCH($N2963,DATA_ASSET_CLASSIFICATION!$AA$8:$AA$13,0)),"Review"))</f>
        <v>Bucket 2 · Legacy</v>
      </c>
      <c r="P2963" s="350" t="str">
        <f>IF($B2963="Portfolio","Portfolio",IFERROR(INDEX(DATA_ASSET_CLASSIFICATION!$C$8:$C$24,MATCH($C2963,DATA_ASSET_CLASSIFICATION!$A$8:$A$24,0)),"Review"))</f>
        <v>Yes</v>
      </c>
      <c r="Q2963" s="350" t="str">
        <f t="shared" ca="1" si="93"/>
        <v>OK</v>
      </c>
    </row>
    <row r="2964" spans="1:17">
      <c r="A2964" s="366" t="s">
        <v>4920</v>
      </c>
      <c r="B2964" s="366" t="s">
        <v>231</v>
      </c>
      <c r="C2964" s="348" t="str">
        <f>DATA_PROPERTY_MASTER!$A$14</f>
        <v>BLD_MM</v>
      </c>
      <c r="D2964" s="380">
        <f>'00_PORTFOLIO ROLLUP'!I$12</f>
        <v>2029</v>
      </c>
      <c r="E2964" s="366" t="s">
        <v>1683</v>
      </c>
      <c r="F2964" s="366" t="s">
        <v>355</v>
      </c>
      <c r="G2964" s="348" t="str">
        <f>"'"&amp;$C2964&amp;"'!$E$39:$Y$39"</f>
        <v>'BLD_MM'!$E$39:$Y$39</v>
      </c>
      <c r="H2964" s="381">
        <f ca="1">IF(IFERROR(INDEX(DATA_PROPERTY_MASTER!$E$5:$E$21,MATCH($C2964,DATA_PROPERTY_MASTER!$A$5:$A$21,0))="Yes",FALSE),IFERROR(INDEX(INDIRECT("'"&amp;$C2964&amp;"'!$E$39:$Y$39"),1,MATCH($D2964,INDIRECT("'"&amp;$C2964&amp;"'!$E$12:$Y$12"),0)),0),0)</f>
        <v>325681.60395264009</v>
      </c>
      <c r="I2964" s="366" t="s">
        <v>1690</v>
      </c>
      <c r="J2964" s="348" t="str">
        <f t="shared" ca="1" si="92"/>
        <v>OK</v>
      </c>
      <c r="K2964" s="366" t="s">
        <v>1686</v>
      </c>
      <c r="L2964" s="366" t="s">
        <v>2236</v>
      </c>
      <c r="M2964" s="350" t="str">
        <f>IF($B2964="Portfolio","Portfolio",IFERROR(INDEX(DATA_ASSET_CLASSIFICATION!$B$8:$B$24,MATCH($C2964,DATA_ASSET_CLASSIFICATION!$A$8:$A$24,0)),"Review"))</f>
        <v>Murray Manor</v>
      </c>
      <c r="N2964" s="350" t="str">
        <f ca="1">IF($B2964="Portfolio","Portfolio",IFERROR(INDEX(DATA_ASSET_CLASSIFICATION!$U$8:$U$24,MATCH($C2964,DATA_ASSET_CLASSIFICATION!$A$8:$A$24,0)),"Review"))</f>
        <v>Refi Watch</v>
      </c>
      <c r="O2964" s="350" t="str">
        <f ca="1">IF($B2964="Portfolio","Portfolio",IFERROR(INDEX(DATA_ASSET_CLASSIFICATION!$AB$8:$AB$13,MATCH($N2964,DATA_ASSET_CLASSIFICATION!$AA$8:$AA$13,0)),"Review"))</f>
        <v>Bucket 2 · Legacy</v>
      </c>
      <c r="P2964" s="350" t="str">
        <f>IF($B2964="Portfolio","Portfolio",IFERROR(INDEX(DATA_ASSET_CLASSIFICATION!$C$8:$C$24,MATCH($C2964,DATA_ASSET_CLASSIFICATION!$A$8:$A$24,0)),"Review"))</f>
        <v>Yes</v>
      </c>
      <c r="Q2964" s="350" t="str">
        <f t="shared" ca="1" si="93"/>
        <v>OK</v>
      </c>
    </row>
    <row r="2965" spans="1:17">
      <c r="A2965" s="366" t="s">
        <v>4921</v>
      </c>
      <c r="B2965" s="366" t="s">
        <v>231</v>
      </c>
      <c r="C2965" s="348" t="str">
        <f>DATA_PROPERTY_MASTER!$A$14</f>
        <v>BLD_MM</v>
      </c>
      <c r="D2965" s="380">
        <f>'00_PORTFOLIO ROLLUP'!I$12</f>
        <v>2029</v>
      </c>
      <c r="E2965" s="366" t="s">
        <v>1683</v>
      </c>
      <c r="F2965" s="366" t="s">
        <v>19</v>
      </c>
      <c r="G2965" s="348" t="str">
        <f>"'"&amp;$C2965&amp;"'!$E$41:$Y$41"</f>
        <v>'BLD_MM'!$E$41:$Y$41</v>
      </c>
      <c r="H2965" s="381">
        <f ca="1">IF(IFERROR(INDEX(DATA_PROPERTY_MASTER!$E$5:$E$21,MATCH($C2965,DATA_PROPERTY_MASTER!$A$5:$A$21,0))="Yes",FALSE),IFERROR(INDEX(INDIRECT("'"&amp;$C2965&amp;"'!$E$41:$Y$41"),1,MATCH($D2965,INDIRECT("'"&amp;$C2965&amp;"'!$E$12:$Y$12"),0)),0),0)</f>
        <v>519698.46937749011</v>
      </c>
      <c r="I2965" s="366" t="s">
        <v>1685</v>
      </c>
      <c r="J2965" s="348" t="str">
        <f t="shared" ca="1" si="92"/>
        <v>OK</v>
      </c>
      <c r="K2965" s="366" t="s">
        <v>1694</v>
      </c>
      <c r="L2965" s="366" t="s">
        <v>2238</v>
      </c>
      <c r="M2965" s="350" t="str">
        <f>IF($B2965="Portfolio","Portfolio",IFERROR(INDEX(DATA_ASSET_CLASSIFICATION!$B$8:$B$24,MATCH($C2965,DATA_ASSET_CLASSIFICATION!$A$8:$A$24,0)),"Review"))</f>
        <v>Murray Manor</v>
      </c>
      <c r="N2965" s="350" t="str">
        <f ca="1">IF($B2965="Portfolio","Portfolio",IFERROR(INDEX(DATA_ASSET_CLASSIFICATION!$U$8:$U$24,MATCH($C2965,DATA_ASSET_CLASSIFICATION!$A$8:$A$24,0)),"Review"))</f>
        <v>Refi Watch</v>
      </c>
      <c r="O2965" s="350" t="str">
        <f ca="1">IF($B2965="Portfolio","Portfolio",IFERROR(INDEX(DATA_ASSET_CLASSIFICATION!$AB$8:$AB$13,MATCH($N2965,DATA_ASSET_CLASSIFICATION!$AA$8:$AA$13,0)),"Review"))</f>
        <v>Bucket 2 · Legacy</v>
      </c>
      <c r="P2965" s="350" t="str">
        <f>IF($B2965="Portfolio","Portfolio",IFERROR(INDEX(DATA_ASSET_CLASSIFICATION!$C$8:$C$24,MATCH($C2965,DATA_ASSET_CLASSIFICATION!$A$8:$A$24,0)),"Review"))</f>
        <v>Yes</v>
      </c>
      <c r="Q2965" s="350" t="str">
        <f t="shared" ca="1" si="93"/>
        <v>OK</v>
      </c>
    </row>
    <row r="2966" spans="1:17">
      <c r="A2966" s="366" t="s">
        <v>4922</v>
      </c>
      <c r="B2966" s="366" t="s">
        <v>231</v>
      </c>
      <c r="C2966" s="348" t="str">
        <f>DATA_PROPERTY_MASTER!$A$14</f>
        <v>BLD_MM</v>
      </c>
      <c r="D2966" s="380">
        <f>'00_PORTFOLIO ROLLUP'!I$12</f>
        <v>2029</v>
      </c>
      <c r="E2966" s="366" t="s">
        <v>1683</v>
      </c>
      <c r="F2966" s="366" t="s">
        <v>1697</v>
      </c>
      <c r="G2966" s="348" t="str">
        <f>"'"&amp;$C2966&amp;"'!$E$44:$Y$44"</f>
        <v>'BLD_MM'!$E$44:$Y$44</v>
      </c>
      <c r="H2966" s="381">
        <f ca="1">IF(IFERROR(INDEX(DATA_PROPERTY_MASTER!$E$5:$E$21,MATCH($C2966,DATA_PROPERTY_MASTER!$A$5:$A$21,0))="Yes",FALSE),IFERROR(INDEX(INDIRECT("'"&amp;$C2966&amp;"'!$E$44:$Y$44"),1,MATCH($D2966,INDIRECT("'"&amp;$C2966&amp;"'!$E$12:$Y$12"),0)),0),0)</f>
        <v>7631.1467279999997</v>
      </c>
      <c r="I2966" s="366" t="s">
        <v>1690</v>
      </c>
      <c r="J2966" s="348" t="str">
        <f t="shared" ca="1" si="92"/>
        <v>OK</v>
      </c>
      <c r="K2966" s="366" t="s">
        <v>1699</v>
      </c>
      <c r="L2966" s="366" t="s">
        <v>2240</v>
      </c>
      <c r="M2966" s="350" t="str">
        <f>IF($B2966="Portfolio","Portfolio",IFERROR(INDEX(DATA_ASSET_CLASSIFICATION!$B$8:$B$24,MATCH($C2966,DATA_ASSET_CLASSIFICATION!$A$8:$A$24,0)),"Review"))</f>
        <v>Murray Manor</v>
      </c>
      <c r="N2966" s="350" t="str">
        <f ca="1">IF($B2966="Portfolio","Portfolio",IFERROR(INDEX(DATA_ASSET_CLASSIFICATION!$U$8:$U$24,MATCH($C2966,DATA_ASSET_CLASSIFICATION!$A$8:$A$24,0)),"Review"))</f>
        <v>Refi Watch</v>
      </c>
      <c r="O2966" s="350" t="str">
        <f ca="1">IF($B2966="Portfolio","Portfolio",IFERROR(INDEX(DATA_ASSET_CLASSIFICATION!$AB$8:$AB$13,MATCH($N2966,DATA_ASSET_CLASSIFICATION!$AA$8:$AA$13,0)),"Review"))</f>
        <v>Bucket 2 · Legacy</v>
      </c>
      <c r="P2966" s="350" t="str">
        <f>IF($B2966="Portfolio","Portfolio",IFERROR(INDEX(DATA_ASSET_CLASSIFICATION!$C$8:$C$24,MATCH($C2966,DATA_ASSET_CLASSIFICATION!$A$8:$A$24,0)),"Review"))</f>
        <v>Yes</v>
      </c>
      <c r="Q2966" s="350" t="str">
        <f t="shared" ca="1" si="93"/>
        <v>OK</v>
      </c>
    </row>
    <row r="2967" spans="1:17">
      <c r="A2967" s="366" t="s">
        <v>4923</v>
      </c>
      <c r="B2967" s="366" t="s">
        <v>231</v>
      </c>
      <c r="C2967" s="348" t="str">
        <f>DATA_PROPERTY_MASTER!$A$14</f>
        <v>BLD_MM</v>
      </c>
      <c r="D2967" s="380">
        <f>'00_PORTFOLIO ROLLUP'!I$12</f>
        <v>2029</v>
      </c>
      <c r="E2967" s="366" t="s">
        <v>1683</v>
      </c>
      <c r="F2967" s="366" t="s">
        <v>21</v>
      </c>
      <c r="G2967" s="348" t="str">
        <f>"'"&amp;$C2967&amp;"'!$E$45:$Y$45"</f>
        <v>'BLD_MM'!$E$45:$Y$45</v>
      </c>
      <c r="H2967" s="381">
        <f ca="1">IF(IFERROR(INDEX(DATA_PROPERTY_MASTER!$E$5:$E$21,MATCH($C2967,DATA_PROPERTY_MASTER!$A$5:$A$21,0))="Yes",FALSE),IFERROR(INDEX(INDIRECT("'"&amp;$C2967&amp;"'!$E$45:$Y$45"),1,MATCH($D2967,INDIRECT("'"&amp;$C2967&amp;"'!$E$12:$Y$12"),0)),0),0)</f>
        <v>512067.32264949009</v>
      </c>
      <c r="I2967" s="366" t="s">
        <v>1685</v>
      </c>
      <c r="J2967" s="348" t="str">
        <f t="shared" ca="1" si="92"/>
        <v>OK</v>
      </c>
      <c r="K2967" s="366" t="s">
        <v>1694</v>
      </c>
      <c r="L2967" s="366" t="s">
        <v>2242</v>
      </c>
      <c r="M2967" s="350" t="str">
        <f>IF($B2967="Portfolio","Portfolio",IFERROR(INDEX(DATA_ASSET_CLASSIFICATION!$B$8:$B$24,MATCH($C2967,DATA_ASSET_CLASSIFICATION!$A$8:$A$24,0)),"Review"))</f>
        <v>Murray Manor</v>
      </c>
      <c r="N2967" s="350" t="str">
        <f ca="1">IF($B2967="Portfolio","Portfolio",IFERROR(INDEX(DATA_ASSET_CLASSIFICATION!$U$8:$U$24,MATCH($C2967,DATA_ASSET_CLASSIFICATION!$A$8:$A$24,0)),"Review"))</f>
        <v>Refi Watch</v>
      </c>
      <c r="O2967" s="350" t="str">
        <f ca="1">IF($B2967="Portfolio","Portfolio",IFERROR(INDEX(DATA_ASSET_CLASSIFICATION!$AB$8:$AB$13,MATCH($N2967,DATA_ASSET_CLASSIFICATION!$AA$8:$AA$13,0)),"Review"))</f>
        <v>Bucket 2 · Legacy</v>
      </c>
      <c r="P2967" s="350" t="str">
        <f>IF($B2967="Portfolio","Portfolio",IFERROR(INDEX(DATA_ASSET_CLASSIFICATION!$C$8:$C$24,MATCH($C2967,DATA_ASSET_CLASSIFICATION!$A$8:$A$24,0)),"Review"))</f>
        <v>Yes</v>
      </c>
      <c r="Q2967" s="350" t="str">
        <f t="shared" ca="1" si="93"/>
        <v>OK</v>
      </c>
    </row>
    <row r="2968" spans="1:17">
      <c r="A2968" s="366" t="s">
        <v>4924</v>
      </c>
      <c r="B2968" s="366" t="s">
        <v>231</v>
      </c>
      <c r="C2968" s="348" t="str">
        <f>DATA_PROPERTY_MASTER!$A$14</f>
        <v>BLD_MM</v>
      </c>
      <c r="D2968" s="380">
        <f>'00_PORTFOLIO ROLLUP'!I$12</f>
        <v>2029</v>
      </c>
      <c r="E2968" s="366" t="s">
        <v>23</v>
      </c>
      <c r="F2968" s="366" t="s">
        <v>23</v>
      </c>
      <c r="G2968" s="348" t="str">
        <f>"'"&amp;$C2968&amp;"'!$E$48:$Y$48"</f>
        <v>'BLD_MM'!$E$48:$Y$48</v>
      </c>
      <c r="H2968" s="381">
        <f ca="1">IF(IFERROR(INDEX(DATA_PROPERTY_MASTER!$E$5:$E$21,MATCH($C2968,DATA_PROPERTY_MASTER!$A$5:$A$21,0))="Yes",FALSE),IFERROR(INDEX(INDIRECT("'"&amp;$C2968&amp;"'!$E$48:$Y$48"),1,MATCH($D2968,INDIRECT("'"&amp;$C2968&amp;"'!$E$12:$Y$12"),0)),0),0)</f>
        <v>271563.84000000003</v>
      </c>
      <c r="I2968" s="366" t="s">
        <v>1690</v>
      </c>
      <c r="J2968" s="348" t="str">
        <f t="shared" ca="1" si="92"/>
        <v>OK</v>
      </c>
      <c r="K2968" s="366" t="s">
        <v>1706</v>
      </c>
      <c r="L2968" s="366" t="s">
        <v>2244</v>
      </c>
      <c r="M2968" s="350" t="str">
        <f>IF($B2968="Portfolio","Portfolio",IFERROR(INDEX(DATA_ASSET_CLASSIFICATION!$B$8:$B$24,MATCH($C2968,DATA_ASSET_CLASSIFICATION!$A$8:$A$24,0)),"Review"))</f>
        <v>Murray Manor</v>
      </c>
      <c r="N2968" s="350" t="str">
        <f ca="1">IF($B2968="Portfolio","Portfolio",IFERROR(INDEX(DATA_ASSET_CLASSIFICATION!$U$8:$U$24,MATCH($C2968,DATA_ASSET_CLASSIFICATION!$A$8:$A$24,0)),"Review"))</f>
        <v>Refi Watch</v>
      </c>
      <c r="O2968" s="350" t="str">
        <f ca="1">IF($B2968="Portfolio","Portfolio",IFERROR(INDEX(DATA_ASSET_CLASSIFICATION!$AB$8:$AB$13,MATCH($N2968,DATA_ASSET_CLASSIFICATION!$AA$8:$AA$13,0)),"Review"))</f>
        <v>Bucket 2 · Legacy</v>
      </c>
      <c r="P2968" s="350" t="str">
        <f>IF($B2968="Portfolio","Portfolio",IFERROR(INDEX(DATA_ASSET_CLASSIFICATION!$C$8:$C$24,MATCH($C2968,DATA_ASSET_CLASSIFICATION!$A$8:$A$24,0)),"Review"))</f>
        <v>Yes</v>
      </c>
      <c r="Q2968" s="350" t="str">
        <f t="shared" ca="1" si="93"/>
        <v>OK</v>
      </c>
    </row>
    <row r="2969" spans="1:17">
      <c r="A2969" s="366" t="s">
        <v>4925</v>
      </c>
      <c r="B2969" s="366" t="s">
        <v>231</v>
      </c>
      <c r="C2969" s="348" t="str">
        <f>DATA_PROPERTY_MASTER!$A$14</f>
        <v>BLD_MM</v>
      </c>
      <c r="D2969" s="380">
        <f>'00_PORTFOLIO ROLLUP'!I$12</f>
        <v>2029</v>
      </c>
      <c r="E2969" s="366" t="s">
        <v>1683</v>
      </c>
      <c r="F2969" s="366" t="s">
        <v>25</v>
      </c>
      <c r="G2969" s="348" t="str">
        <f>"'"&amp;$C2969&amp;"'!$E$52:$Y$52"</f>
        <v>'BLD_MM'!$E$52:$Y$52</v>
      </c>
      <c r="H2969" s="381">
        <f ca="1">IF(IFERROR(INDEX(DATA_PROPERTY_MASTER!$E$5:$E$21,MATCH($C2969,DATA_PROPERTY_MASTER!$A$5:$A$21,0))="Yes",FALSE),IFERROR(INDEX(INDIRECT("'"&amp;$C2969&amp;"'!$E$52:$Y$52"),1,MATCH($D2969,INDIRECT("'"&amp;$C2969&amp;"'!$E$12:$Y$12"),0)),0),0)</f>
        <v>248134.62937749008</v>
      </c>
      <c r="I2969" s="366" t="s">
        <v>1685</v>
      </c>
      <c r="J2969" s="348" t="str">
        <f t="shared" ca="1" si="92"/>
        <v>OK</v>
      </c>
      <c r="K2969" s="366" t="s">
        <v>1710</v>
      </c>
      <c r="L2969" s="366" t="s">
        <v>2246</v>
      </c>
      <c r="M2969" s="350" t="str">
        <f>IF($B2969="Portfolio","Portfolio",IFERROR(INDEX(DATA_ASSET_CLASSIFICATION!$B$8:$B$24,MATCH($C2969,DATA_ASSET_CLASSIFICATION!$A$8:$A$24,0)),"Review"))</f>
        <v>Murray Manor</v>
      </c>
      <c r="N2969" s="350" t="str">
        <f ca="1">IF($B2969="Portfolio","Portfolio",IFERROR(INDEX(DATA_ASSET_CLASSIFICATION!$U$8:$U$24,MATCH($C2969,DATA_ASSET_CLASSIFICATION!$A$8:$A$24,0)),"Review"))</f>
        <v>Refi Watch</v>
      </c>
      <c r="O2969" s="350" t="str">
        <f ca="1">IF($B2969="Portfolio","Portfolio",IFERROR(INDEX(DATA_ASSET_CLASSIFICATION!$AB$8:$AB$13,MATCH($N2969,DATA_ASSET_CLASSIFICATION!$AA$8:$AA$13,0)),"Review"))</f>
        <v>Bucket 2 · Legacy</v>
      </c>
      <c r="P2969" s="350" t="str">
        <f>IF($B2969="Portfolio","Portfolio",IFERROR(INDEX(DATA_ASSET_CLASSIFICATION!$C$8:$C$24,MATCH($C2969,DATA_ASSET_CLASSIFICATION!$A$8:$A$24,0)),"Review"))</f>
        <v>Yes</v>
      </c>
      <c r="Q2969" s="350" t="str">
        <f t="shared" ca="1" si="93"/>
        <v>OK</v>
      </c>
    </row>
    <row r="2970" spans="1:17">
      <c r="A2970" s="366" t="s">
        <v>4926</v>
      </c>
      <c r="B2970" s="366" t="s">
        <v>231</v>
      </c>
      <c r="C2970" s="348" t="str">
        <f>DATA_PROPERTY_MASTER!$A$14</f>
        <v>BLD_MM</v>
      </c>
      <c r="D2970" s="380">
        <f>'00_PORTFOLIO ROLLUP'!I$12</f>
        <v>2029</v>
      </c>
      <c r="E2970" s="366" t="s">
        <v>1683</v>
      </c>
      <c r="F2970" s="366" t="s">
        <v>27</v>
      </c>
      <c r="G2970" s="348" t="str">
        <f>"'"&amp;$C2970&amp;"'!$E$54:$Y$54"</f>
        <v>'BLD_MM'!$E$54:$Y$54</v>
      </c>
      <c r="H2970" s="381">
        <f ca="1">IF(IFERROR(INDEX(DATA_PROPERTY_MASTER!$E$5:$E$21,MATCH($C2970,DATA_PROPERTY_MASTER!$A$5:$A$21,0))="Yes",FALSE),IFERROR(INDEX(INDIRECT("'"&amp;$C2970&amp;"'!$E$54:$Y$54"),1,MATCH($D2970,INDIRECT("'"&amp;$C2970&amp;"'!$E$12:$Y$12"),0)),0),0)</f>
        <v>148880.77762649403</v>
      </c>
      <c r="I2970" s="366" t="s">
        <v>1690</v>
      </c>
      <c r="J2970" s="348" t="str">
        <f t="shared" ca="1" si="92"/>
        <v>OK</v>
      </c>
      <c r="K2970" s="366" t="s">
        <v>1714</v>
      </c>
      <c r="L2970" s="366" t="s">
        <v>2248</v>
      </c>
      <c r="M2970" s="350" t="str">
        <f>IF($B2970="Portfolio","Portfolio",IFERROR(INDEX(DATA_ASSET_CLASSIFICATION!$B$8:$B$24,MATCH($C2970,DATA_ASSET_CLASSIFICATION!$A$8:$A$24,0)),"Review"))</f>
        <v>Murray Manor</v>
      </c>
      <c r="N2970" s="350" t="str">
        <f ca="1">IF($B2970="Portfolio","Portfolio",IFERROR(INDEX(DATA_ASSET_CLASSIFICATION!$U$8:$U$24,MATCH($C2970,DATA_ASSET_CLASSIFICATION!$A$8:$A$24,0)),"Review"))</f>
        <v>Refi Watch</v>
      </c>
      <c r="O2970" s="350" t="str">
        <f ca="1">IF($B2970="Portfolio","Portfolio",IFERROR(INDEX(DATA_ASSET_CLASSIFICATION!$AB$8:$AB$13,MATCH($N2970,DATA_ASSET_CLASSIFICATION!$AA$8:$AA$13,0)),"Review"))</f>
        <v>Bucket 2 · Legacy</v>
      </c>
      <c r="P2970" s="350" t="str">
        <f>IF($B2970="Portfolio","Portfolio",IFERROR(INDEX(DATA_ASSET_CLASSIFICATION!$C$8:$C$24,MATCH($C2970,DATA_ASSET_CLASSIFICATION!$A$8:$A$24,0)),"Review"))</f>
        <v>Yes</v>
      </c>
      <c r="Q2970" s="350" t="str">
        <f t="shared" ca="1" si="93"/>
        <v>OK</v>
      </c>
    </row>
    <row r="2971" spans="1:17">
      <c r="A2971" s="366" t="s">
        <v>4927</v>
      </c>
      <c r="B2971" s="366" t="s">
        <v>231</v>
      </c>
      <c r="C2971" s="348" t="str">
        <f>DATA_PROPERTY_MASTER!$A$14</f>
        <v>BLD_MM</v>
      </c>
      <c r="D2971" s="380">
        <f>'00_PORTFOLIO ROLLUP'!I$12</f>
        <v>2029</v>
      </c>
      <c r="E2971" s="366" t="s">
        <v>1683</v>
      </c>
      <c r="F2971" s="366" t="s">
        <v>29</v>
      </c>
      <c r="G2971" s="348" t="str">
        <f>"'"&amp;$C2971&amp;"'!$E$56:$Y$56"</f>
        <v>'BLD_MM'!$E$56:$Y$56</v>
      </c>
      <c r="H2971" s="381">
        <f ca="1">IF(IFERROR(INDEX(DATA_PROPERTY_MASTER!$E$5:$E$21,MATCH($C2971,DATA_PROPERTY_MASTER!$A$5:$A$21,0))="Yes",FALSE),IFERROR(INDEX(INDIRECT("'"&amp;$C2971&amp;"'!$E$56:$Y$56"),1,MATCH($D2971,INDIRECT("'"&amp;$C2971&amp;"'!$E$12:$Y$12"),0)),0),0)</f>
        <v>99253.851750996051</v>
      </c>
      <c r="I2971" s="366" t="s">
        <v>1685</v>
      </c>
      <c r="J2971" s="348" t="str">
        <f t="shared" ca="1" si="92"/>
        <v>OK</v>
      </c>
      <c r="K2971" s="366" t="s">
        <v>1718</v>
      </c>
      <c r="L2971" s="366" t="s">
        <v>2250</v>
      </c>
      <c r="M2971" s="350" t="str">
        <f>IF($B2971="Portfolio","Portfolio",IFERROR(INDEX(DATA_ASSET_CLASSIFICATION!$B$8:$B$24,MATCH($C2971,DATA_ASSET_CLASSIFICATION!$A$8:$A$24,0)),"Review"))</f>
        <v>Murray Manor</v>
      </c>
      <c r="N2971" s="350" t="str">
        <f ca="1">IF($B2971="Portfolio","Portfolio",IFERROR(INDEX(DATA_ASSET_CLASSIFICATION!$U$8:$U$24,MATCH($C2971,DATA_ASSET_CLASSIFICATION!$A$8:$A$24,0)),"Review"))</f>
        <v>Refi Watch</v>
      </c>
      <c r="O2971" s="350" t="str">
        <f ca="1">IF($B2971="Portfolio","Portfolio",IFERROR(INDEX(DATA_ASSET_CLASSIFICATION!$AB$8:$AB$13,MATCH($N2971,DATA_ASSET_CLASSIFICATION!$AA$8:$AA$13,0)),"Review"))</f>
        <v>Bucket 2 · Legacy</v>
      </c>
      <c r="P2971" s="350" t="str">
        <f>IF($B2971="Portfolio","Portfolio",IFERROR(INDEX(DATA_ASSET_CLASSIFICATION!$C$8:$C$24,MATCH($C2971,DATA_ASSET_CLASSIFICATION!$A$8:$A$24,0)),"Review"))</f>
        <v>Yes</v>
      </c>
      <c r="Q2971" s="350" t="str">
        <f t="shared" ca="1" si="93"/>
        <v>OK</v>
      </c>
    </row>
    <row r="2972" spans="1:17">
      <c r="A2972" s="366" t="s">
        <v>4928</v>
      </c>
      <c r="B2972" s="366" t="s">
        <v>231</v>
      </c>
      <c r="C2972" s="348" t="str">
        <f>DATA_PROPERTY_MASTER!$A$14</f>
        <v>BLD_MM</v>
      </c>
      <c r="D2972" s="380">
        <f>'00_PORTFOLIO ROLLUP'!I$12</f>
        <v>2029</v>
      </c>
      <c r="E2972" s="366" t="s">
        <v>1721</v>
      </c>
      <c r="F2972" s="366" t="s">
        <v>31</v>
      </c>
      <c r="G2972" s="348" t="str">
        <f>"'"&amp;$C2972&amp;"'!$E$61:$Y$61"</f>
        <v>'BLD_MM'!$E$61:$Y$61</v>
      </c>
      <c r="H2972" s="381">
        <f ca="1">IF(IFERROR(INDEX(DATA_PROPERTY_MASTER!$E$5:$E$21,MATCH($C2972,DATA_PROPERTY_MASTER!$A$5:$A$21,0))="Yes",FALSE),IFERROR(INDEX(INDIRECT("'"&amp;$C2972&amp;"'!$E$61:$Y$61"),1,MATCH($D2972,INDIRECT("'"&amp;$C2972&amp;"'!$E$12:$Y$12"),0)),0),0)</f>
        <v>0</v>
      </c>
      <c r="I2972" s="366" t="s">
        <v>1690</v>
      </c>
      <c r="J2972" s="348" t="str">
        <f t="shared" ca="1" si="92"/>
        <v>OK</v>
      </c>
      <c r="K2972" s="366" t="s">
        <v>1723</v>
      </c>
      <c r="L2972" s="366" t="s">
        <v>2252</v>
      </c>
      <c r="M2972" s="350" t="str">
        <f>IF($B2972="Portfolio","Portfolio",IFERROR(INDEX(DATA_ASSET_CLASSIFICATION!$B$8:$B$24,MATCH($C2972,DATA_ASSET_CLASSIFICATION!$A$8:$A$24,0)),"Review"))</f>
        <v>Murray Manor</v>
      </c>
      <c r="N2972" s="350" t="str">
        <f ca="1">IF($B2972="Portfolio","Portfolio",IFERROR(INDEX(DATA_ASSET_CLASSIFICATION!$U$8:$U$24,MATCH($C2972,DATA_ASSET_CLASSIFICATION!$A$8:$A$24,0)),"Review"))</f>
        <v>Refi Watch</v>
      </c>
      <c r="O2972" s="350" t="str">
        <f ca="1">IF($B2972="Portfolio","Portfolio",IFERROR(INDEX(DATA_ASSET_CLASSIFICATION!$AB$8:$AB$13,MATCH($N2972,DATA_ASSET_CLASSIFICATION!$AA$8:$AA$13,0)),"Review"))</f>
        <v>Bucket 2 · Legacy</v>
      </c>
      <c r="P2972" s="350" t="str">
        <f>IF($B2972="Portfolio","Portfolio",IFERROR(INDEX(DATA_ASSET_CLASSIFICATION!$C$8:$C$24,MATCH($C2972,DATA_ASSET_CLASSIFICATION!$A$8:$A$24,0)),"Review"))</f>
        <v>Yes</v>
      </c>
      <c r="Q2972" s="350" t="str">
        <f t="shared" ca="1" si="93"/>
        <v>OK</v>
      </c>
    </row>
    <row r="2973" spans="1:17">
      <c r="A2973" s="366" t="s">
        <v>4929</v>
      </c>
      <c r="B2973" s="366" t="s">
        <v>231</v>
      </c>
      <c r="C2973" s="348" t="str">
        <f>DATA_PROPERTY_MASTER!$A$14</f>
        <v>BLD_MM</v>
      </c>
      <c r="D2973" s="380">
        <f>'00_PORTFOLIO ROLLUP'!I$12</f>
        <v>2029</v>
      </c>
      <c r="E2973" s="366" t="s">
        <v>1721</v>
      </c>
      <c r="F2973" s="366" t="s">
        <v>33</v>
      </c>
      <c r="G2973" s="348" t="str">
        <f>"'"&amp;$C2973&amp;"'!$E$62:$Y$62"</f>
        <v>'BLD_MM'!$E$62:$Y$62</v>
      </c>
      <c r="H2973" s="381">
        <f ca="1">IF(IFERROR(INDEX(DATA_PROPERTY_MASTER!$E$5:$E$21,MATCH($C2973,DATA_PROPERTY_MASTER!$A$5:$A$21,0))="Yes",FALSE),IFERROR(INDEX(INDIRECT("'"&amp;$C2973&amp;"'!$E$62:$Y$62"),1,MATCH($D2973,INDIRECT("'"&amp;$C2973&amp;"'!$E$12:$Y$12"),0)),0),0)</f>
        <v>0</v>
      </c>
      <c r="I2973" s="366" t="s">
        <v>1685</v>
      </c>
      <c r="J2973" s="348" t="str">
        <f t="shared" ca="1" si="92"/>
        <v>OK</v>
      </c>
      <c r="K2973" s="366" t="s">
        <v>1727</v>
      </c>
      <c r="L2973" s="366" t="s">
        <v>2254</v>
      </c>
      <c r="M2973" s="350" t="str">
        <f>IF($B2973="Portfolio","Portfolio",IFERROR(INDEX(DATA_ASSET_CLASSIFICATION!$B$8:$B$24,MATCH($C2973,DATA_ASSET_CLASSIFICATION!$A$8:$A$24,0)),"Review"))</f>
        <v>Murray Manor</v>
      </c>
      <c r="N2973" s="350" t="str">
        <f ca="1">IF($B2973="Portfolio","Portfolio",IFERROR(INDEX(DATA_ASSET_CLASSIFICATION!$U$8:$U$24,MATCH($C2973,DATA_ASSET_CLASSIFICATION!$A$8:$A$24,0)),"Review"))</f>
        <v>Refi Watch</v>
      </c>
      <c r="O2973" s="350" t="str">
        <f ca="1">IF($B2973="Portfolio","Portfolio",IFERROR(INDEX(DATA_ASSET_CLASSIFICATION!$AB$8:$AB$13,MATCH($N2973,DATA_ASSET_CLASSIFICATION!$AA$8:$AA$13,0)),"Review"))</f>
        <v>Bucket 2 · Legacy</v>
      </c>
      <c r="P2973" s="350" t="str">
        <f>IF($B2973="Portfolio","Portfolio",IFERROR(INDEX(DATA_ASSET_CLASSIFICATION!$C$8:$C$24,MATCH($C2973,DATA_ASSET_CLASSIFICATION!$A$8:$A$24,0)),"Review"))</f>
        <v>Yes</v>
      </c>
      <c r="Q2973" s="350" t="str">
        <f t="shared" ca="1" si="93"/>
        <v>OK</v>
      </c>
    </row>
    <row r="2974" spans="1:17">
      <c r="A2974" s="366" t="s">
        <v>4930</v>
      </c>
      <c r="B2974" s="366" t="s">
        <v>231</v>
      </c>
      <c r="C2974" s="348" t="str">
        <f>DATA_PROPERTY_MASTER!$A$14</f>
        <v>BLD_MM</v>
      </c>
      <c r="D2974" s="380">
        <f>'00_PORTFOLIO ROLLUP'!I$12</f>
        <v>2029</v>
      </c>
      <c r="E2974" s="366" t="s">
        <v>1721</v>
      </c>
      <c r="F2974" s="366" t="s">
        <v>35</v>
      </c>
      <c r="G2974" s="348" t="str">
        <f>"'"&amp;$C2974&amp;"'!$E$63:$Y$63"</f>
        <v>'BLD_MM'!$E$63:$Y$63</v>
      </c>
      <c r="H2974" s="381">
        <f ca="1">IF(IFERROR(INDEX(DATA_PROPERTY_MASTER!$E$5:$E$21,MATCH($C2974,DATA_PROPERTY_MASTER!$A$5:$A$21,0))="Yes",FALSE),IFERROR(INDEX(INDIRECT("'"&amp;$C2974&amp;"'!$E$63:$Y$63"),1,MATCH($D2974,INDIRECT("'"&amp;$C2974&amp;"'!$E$12:$Y$12"),0)),0),0)</f>
        <v>0</v>
      </c>
      <c r="I2974" s="366" t="s">
        <v>1731</v>
      </c>
      <c r="J2974" s="348" t="str">
        <f t="shared" ca="1" si="92"/>
        <v>OK</v>
      </c>
      <c r="K2974" s="366" t="s">
        <v>1732</v>
      </c>
      <c r="L2974" s="366" t="s">
        <v>2256</v>
      </c>
      <c r="M2974" s="350" t="str">
        <f>IF($B2974="Portfolio","Portfolio",IFERROR(INDEX(DATA_ASSET_CLASSIFICATION!$B$8:$B$24,MATCH($C2974,DATA_ASSET_CLASSIFICATION!$A$8:$A$24,0)),"Review"))</f>
        <v>Murray Manor</v>
      </c>
      <c r="N2974" s="350" t="str">
        <f ca="1">IF($B2974="Portfolio","Portfolio",IFERROR(INDEX(DATA_ASSET_CLASSIFICATION!$U$8:$U$24,MATCH($C2974,DATA_ASSET_CLASSIFICATION!$A$8:$A$24,0)),"Review"))</f>
        <v>Refi Watch</v>
      </c>
      <c r="O2974" s="350" t="str">
        <f ca="1">IF($B2974="Portfolio","Portfolio",IFERROR(INDEX(DATA_ASSET_CLASSIFICATION!$AB$8:$AB$13,MATCH($N2974,DATA_ASSET_CLASSIFICATION!$AA$8:$AA$13,0)),"Review"))</f>
        <v>Bucket 2 · Legacy</v>
      </c>
      <c r="P2974" s="350" t="str">
        <f>IF($B2974="Portfolio","Portfolio",IFERROR(INDEX(DATA_ASSET_CLASSIFICATION!$C$8:$C$24,MATCH($C2974,DATA_ASSET_CLASSIFICATION!$A$8:$A$24,0)),"Review"))</f>
        <v>Yes</v>
      </c>
      <c r="Q2974" s="350" t="str">
        <f t="shared" ca="1" si="93"/>
        <v>OK</v>
      </c>
    </row>
    <row r="2975" spans="1:17">
      <c r="A2975" s="366" t="s">
        <v>4931</v>
      </c>
      <c r="B2975" s="366" t="s">
        <v>231</v>
      </c>
      <c r="C2975" s="348" t="str">
        <f>DATA_PROPERTY_MASTER!$A$14</f>
        <v>BLD_MM</v>
      </c>
      <c r="D2975" s="380">
        <f>'00_PORTFOLIO ROLLUP'!I$12</f>
        <v>2029</v>
      </c>
      <c r="E2975" s="366" t="s">
        <v>1721</v>
      </c>
      <c r="F2975" s="366" t="s">
        <v>37</v>
      </c>
      <c r="G2975" s="348" t="str">
        <f>"'"&amp;$C2975&amp;"'!$E$63:$Y$63"</f>
        <v>'BLD_MM'!$E$63:$Y$63</v>
      </c>
      <c r="H2975" s="381">
        <f ca="1">IF(IFERROR(INDEX(DATA_PROPERTY_MASTER!$E$5:$E$21,MATCH($C2975,DATA_PROPERTY_MASTER!$A$5:$A$21,0))="Yes",FALSE),MAX(IFERROR(INDEX(INDIRECT("'"&amp;$C2975&amp;"'!$E$63:$Y$63"),1,MATCH($D2975,INDIRECT("'"&amp;$C2975&amp;"'!$E$12:$Y$12"),0)),0),0),0)</f>
        <v>0</v>
      </c>
      <c r="I2975" s="366" t="s">
        <v>1685</v>
      </c>
      <c r="J2975" s="348" t="str">
        <f t="shared" ca="1" si="92"/>
        <v>OK</v>
      </c>
      <c r="K2975" s="366" t="s">
        <v>1735</v>
      </c>
      <c r="L2975" s="366" t="s">
        <v>2258</v>
      </c>
      <c r="M2975" s="350" t="str">
        <f>IF($B2975="Portfolio","Portfolio",IFERROR(INDEX(DATA_ASSET_CLASSIFICATION!$B$8:$B$24,MATCH($C2975,DATA_ASSET_CLASSIFICATION!$A$8:$A$24,0)),"Review"))</f>
        <v>Murray Manor</v>
      </c>
      <c r="N2975" s="350" t="str">
        <f ca="1">IF($B2975="Portfolio","Portfolio",IFERROR(INDEX(DATA_ASSET_CLASSIFICATION!$U$8:$U$24,MATCH($C2975,DATA_ASSET_CLASSIFICATION!$A$8:$A$24,0)),"Review"))</f>
        <v>Refi Watch</v>
      </c>
      <c r="O2975" s="350" t="str">
        <f ca="1">IF($B2975="Portfolio","Portfolio",IFERROR(INDEX(DATA_ASSET_CLASSIFICATION!$AB$8:$AB$13,MATCH($N2975,DATA_ASSET_CLASSIFICATION!$AA$8:$AA$13,0)),"Review"))</f>
        <v>Bucket 2 · Legacy</v>
      </c>
      <c r="P2975" s="350" t="str">
        <f>IF($B2975="Portfolio","Portfolio",IFERROR(INDEX(DATA_ASSET_CLASSIFICATION!$C$8:$C$24,MATCH($C2975,DATA_ASSET_CLASSIFICATION!$A$8:$A$24,0)),"Review"))</f>
        <v>Yes</v>
      </c>
      <c r="Q2975" s="350" t="str">
        <f t="shared" ca="1" si="93"/>
        <v>OK</v>
      </c>
    </row>
    <row r="2976" spans="1:17">
      <c r="A2976" s="366" t="s">
        <v>4932</v>
      </c>
      <c r="B2976" s="366" t="s">
        <v>231</v>
      </c>
      <c r="C2976" s="348" t="str">
        <f>DATA_PROPERTY_MASTER!$A$14</f>
        <v>BLD_MM</v>
      </c>
      <c r="D2976" s="380">
        <f>'00_PORTFOLIO ROLLUP'!I$12</f>
        <v>2029</v>
      </c>
      <c r="E2976" s="366" t="s">
        <v>1721</v>
      </c>
      <c r="F2976" s="366" t="s">
        <v>39</v>
      </c>
      <c r="G2976" s="348" t="str">
        <f>"'"&amp;$C2976&amp;"'!$E$63:$Y$63"</f>
        <v>'BLD_MM'!$E$63:$Y$63</v>
      </c>
      <c r="H2976" s="381">
        <f ca="1">IF(IFERROR(INDEX(DATA_PROPERTY_MASTER!$E$5:$E$21,MATCH($C2976,DATA_PROPERTY_MASTER!$A$5:$A$21,0))="Yes",FALSE),MAX(-IFERROR(INDEX(INDIRECT("'"&amp;$C2976&amp;"'!$E$63:$Y$63"),1,MATCH($D2976,INDIRECT("'"&amp;$C2976&amp;"'!$E$12:$Y$12"),0)),0),0),0)</f>
        <v>0</v>
      </c>
      <c r="I2976" s="366" t="s">
        <v>1690</v>
      </c>
      <c r="J2976" s="348" t="str">
        <f t="shared" ca="1" si="92"/>
        <v>OK</v>
      </c>
      <c r="K2976" s="366" t="s">
        <v>1738</v>
      </c>
      <c r="L2976" s="366" t="s">
        <v>2260</v>
      </c>
      <c r="M2976" s="350" t="str">
        <f>IF($B2976="Portfolio","Portfolio",IFERROR(INDEX(DATA_ASSET_CLASSIFICATION!$B$8:$B$24,MATCH($C2976,DATA_ASSET_CLASSIFICATION!$A$8:$A$24,0)),"Review"))</f>
        <v>Murray Manor</v>
      </c>
      <c r="N2976" s="350" t="str">
        <f ca="1">IF($B2976="Portfolio","Portfolio",IFERROR(INDEX(DATA_ASSET_CLASSIFICATION!$U$8:$U$24,MATCH($C2976,DATA_ASSET_CLASSIFICATION!$A$8:$A$24,0)),"Review"))</f>
        <v>Refi Watch</v>
      </c>
      <c r="O2976" s="350" t="str">
        <f ca="1">IF($B2976="Portfolio","Portfolio",IFERROR(INDEX(DATA_ASSET_CLASSIFICATION!$AB$8:$AB$13,MATCH($N2976,DATA_ASSET_CLASSIFICATION!$AA$8:$AA$13,0)),"Review"))</f>
        <v>Bucket 2 · Legacy</v>
      </c>
      <c r="P2976" s="350" t="str">
        <f>IF($B2976="Portfolio","Portfolio",IFERROR(INDEX(DATA_ASSET_CLASSIFICATION!$C$8:$C$24,MATCH($C2976,DATA_ASSET_CLASSIFICATION!$A$8:$A$24,0)),"Review"))</f>
        <v>Yes</v>
      </c>
      <c r="Q2976" s="350" t="str">
        <f t="shared" ca="1" si="93"/>
        <v>OK</v>
      </c>
    </row>
    <row r="2977" spans="1:17">
      <c r="A2977" s="366" t="s">
        <v>4933</v>
      </c>
      <c r="B2977" s="366" t="s">
        <v>231</v>
      </c>
      <c r="C2977" s="348" t="str">
        <f>DATA_PROPERTY_MASTER!$A$14</f>
        <v>BLD_MM</v>
      </c>
      <c r="D2977" s="380">
        <f>'00_PORTFOLIO ROLLUP'!I$12</f>
        <v>2029</v>
      </c>
      <c r="E2977" s="366" t="s">
        <v>1741</v>
      </c>
      <c r="F2977" s="366" t="s">
        <v>41</v>
      </c>
      <c r="G2977" s="348" t="str">
        <f>"'"&amp;$C2977&amp;"'!rows 56 + positive row 63"</f>
        <v>'BLD_MM'!rows 56 + positive row 63</v>
      </c>
      <c r="H2977" s="381">
        <f ca="1">IF(IFERROR(INDEX(DATA_PROPERTY_MASTER!$E$5:$E$21,MATCH($C2977,DATA_PROPERTY_MASTER!$A$5:$A$21,0))="Yes",FALSE),IFERROR(INDEX(INDIRECT("'"&amp;$C2977&amp;"'!$E$56:$Y$56"),1,MATCH($D2977,INDIRECT("'"&amp;$C2977&amp;"'!$E$12:$Y$12"),0)),0)+MAX(IFERROR(INDEX(INDIRECT("'"&amp;$C2977&amp;"'!$E$63:$Y$63"),1,MATCH($D2977,INDIRECT("'"&amp;$C2977&amp;"'!$E$12:$Y$12"),0)),0),0),0)</f>
        <v>99253.851750996051</v>
      </c>
      <c r="I2977" s="366" t="s">
        <v>1685</v>
      </c>
      <c r="J2977" s="348" t="str">
        <f t="shared" ca="1" si="92"/>
        <v>OK</v>
      </c>
      <c r="K2977" s="366" t="s">
        <v>1742</v>
      </c>
      <c r="L2977" s="366" t="s">
        <v>2262</v>
      </c>
      <c r="M2977" s="350" t="str">
        <f>IF($B2977="Portfolio","Portfolio",IFERROR(INDEX(DATA_ASSET_CLASSIFICATION!$B$8:$B$24,MATCH($C2977,DATA_ASSET_CLASSIFICATION!$A$8:$A$24,0)),"Review"))</f>
        <v>Murray Manor</v>
      </c>
      <c r="N2977" s="350" t="str">
        <f ca="1">IF($B2977="Portfolio","Portfolio",IFERROR(INDEX(DATA_ASSET_CLASSIFICATION!$U$8:$U$24,MATCH($C2977,DATA_ASSET_CLASSIFICATION!$A$8:$A$24,0)),"Review"))</f>
        <v>Refi Watch</v>
      </c>
      <c r="O2977" s="350" t="str">
        <f ca="1">IF($B2977="Portfolio","Portfolio",IFERROR(INDEX(DATA_ASSET_CLASSIFICATION!$AB$8:$AB$13,MATCH($N2977,DATA_ASSET_CLASSIFICATION!$AA$8:$AA$13,0)),"Review"))</f>
        <v>Bucket 2 · Legacy</v>
      </c>
      <c r="P2977" s="350" t="str">
        <f>IF($B2977="Portfolio","Portfolio",IFERROR(INDEX(DATA_ASSET_CLASSIFICATION!$C$8:$C$24,MATCH($C2977,DATA_ASSET_CLASSIFICATION!$A$8:$A$24,0)),"Review"))</f>
        <v>Yes</v>
      </c>
      <c r="Q2977" s="350" t="str">
        <f t="shared" ca="1" si="93"/>
        <v>OK</v>
      </c>
    </row>
    <row r="2978" spans="1:17">
      <c r="A2978" s="366" t="s">
        <v>4934</v>
      </c>
      <c r="B2978" s="366" t="s">
        <v>231</v>
      </c>
      <c r="C2978" s="348" t="str">
        <f>DATA_PROPERTY_MASTER!$A$14</f>
        <v>BLD_MM</v>
      </c>
      <c r="D2978" s="380">
        <f>'00_PORTFOLIO ROLLUP'!I$12</f>
        <v>2029</v>
      </c>
      <c r="E2978" s="366" t="s">
        <v>1741</v>
      </c>
      <c r="F2978" s="366" t="s">
        <v>43</v>
      </c>
      <c r="G2978" s="348" t="str">
        <f>"'"&amp;$C2978&amp;"'!$E$68:$Y$68"</f>
        <v>'BLD_MM'!$E$68:$Y$68</v>
      </c>
      <c r="H2978" s="381">
        <f ca="1">IF(IFERROR(INDEX(DATA_PROPERTY_MASTER!$E$5:$E$21,MATCH($C2978,DATA_PROPERTY_MASTER!$A$5:$A$21,0))="Yes",FALSE),IFERROR(INDEX(INDIRECT("'"&amp;$C2978&amp;"'!$E$68:$Y$68"),1,MATCH($D2978,INDIRECT("'"&amp;$C2978&amp;"'!$E$12:$Y$12"),0)),0),0)</f>
        <v>99253.851750996051</v>
      </c>
      <c r="I2978" s="366" t="s">
        <v>1731</v>
      </c>
      <c r="J2978" s="348" t="str">
        <f t="shared" ca="1" si="92"/>
        <v>OK</v>
      </c>
      <c r="K2978" s="366" t="s">
        <v>1746</v>
      </c>
      <c r="L2978" s="366" t="s">
        <v>2264</v>
      </c>
      <c r="M2978" s="350" t="str">
        <f>IF($B2978="Portfolio","Portfolio",IFERROR(INDEX(DATA_ASSET_CLASSIFICATION!$B$8:$B$24,MATCH($C2978,DATA_ASSET_CLASSIFICATION!$A$8:$A$24,0)),"Review"))</f>
        <v>Murray Manor</v>
      </c>
      <c r="N2978" s="350" t="str">
        <f ca="1">IF($B2978="Portfolio","Portfolio",IFERROR(INDEX(DATA_ASSET_CLASSIFICATION!$U$8:$U$24,MATCH($C2978,DATA_ASSET_CLASSIFICATION!$A$8:$A$24,0)),"Review"))</f>
        <v>Refi Watch</v>
      </c>
      <c r="O2978" s="350" t="str">
        <f ca="1">IF($B2978="Portfolio","Portfolio",IFERROR(INDEX(DATA_ASSET_CLASSIFICATION!$AB$8:$AB$13,MATCH($N2978,DATA_ASSET_CLASSIFICATION!$AA$8:$AA$13,0)),"Review"))</f>
        <v>Bucket 2 · Legacy</v>
      </c>
      <c r="P2978" s="350" t="str">
        <f>IF($B2978="Portfolio","Portfolio",IFERROR(INDEX(DATA_ASSET_CLASSIFICATION!$C$8:$C$24,MATCH($C2978,DATA_ASSET_CLASSIFICATION!$A$8:$A$24,0)),"Review"))</f>
        <v>Yes</v>
      </c>
      <c r="Q2978" s="350" t="str">
        <f t="shared" ca="1" si="93"/>
        <v>OK</v>
      </c>
    </row>
    <row r="2979" spans="1:17">
      <c r="A2979" s="366" t="s">
        <v>4935</v>
      </c>
      <c r="B2979" s="366" t="s">
        <v>231</v>
      </c>
      <c r="C2979" s="348" t="str">
        <f>DATA_PROPERTY_MASTER!$A$14</f>
        <v>BLD_MM</v>
      </c>
      <c r="D2979" s="380">
        <f>'00_PORTFOLIO ROLLUP'!I$12</f>
        <v>2029</v>
      </c>
      <c r="E2979" s="366" t="s">
        <v>1741</v>
      </c>
      <c r="F2979" s="366" t="s">
        <v>1749</v>
      </c>
      <c r="G2979" s="348" t="str">
        <f>"'"&amp;$C2979&amp;"'!rows 56, 63, 68"</f>
        <v>'BLD_MM'!rows 56, 63, 68</v>
      </c>
      <c r="H2979" s="381">
        <f ca="1">IF(IFERROR(INDEX(DATA_PROPERTY_MASTER!$E$5:$E$21,MATCH($C2979,DATA_PROPERTY_MASTER!$A$5:$A$21,0))="Yes",FALSE),(IFERROR(INDEX(INDIRECT("'"&amp;$C2979&amp;"'!$E$56:$Y$56"),1,MATCH($D2979,INDIRECT("'"&amp;$C2979&amp;"'!$E$12:$Y$12"),0)),0)+MAX(IFERROR(INDEX(INDIRECT("'"&amp;$C2979&amp;"'!$E$63:$Y$63"),1,MATCH($D2979,INDIRECT("'"&amp;$C2979&amp;"'!$E$12:$Y$12"),0)),0),0))-(IFERROR(INDEX(INDIRECT("'"&amp;$C2979&amp;"'!$E$68:$Y$68"),1,MATCH($D2979,INDIRECT("'"&amp;$C2979&amp;"'!$E$12:$Y$12"),0)),0)),0)</f>
        <v>0</v>
      </c>
      <c r="I2979" s="366" t="s">
        <v>1750</v>
      </c>
      <c r="J2979" s="348" t="str">
        <f t="shared" ca="1" si="92"/>
        <v>OK</v>
      </c>
      <c r="K2979" s="366" t="s">
        <v>1751</v>
      </c>
      <c r="L2979" s="366" t="s">
        <v>2266</v>
      </c>
      <c r="M2979" s="350" t="str">
        <f>IF($B2979="Portfolio","Portfolio",IFERROR(INDEX(DATA_ASSET_CLASSIFICATION!$B$8:$B$24,MATCH($C2979,DATA_ASSET_CLASSIFICATION!$A$8:$A$24,0)),"Review"))</f>
        <v>Murray Manor</v>
      </c>
      <c r="N2979" s="350" t="str">
        <f ca="1">IF($B2979="Portfolio","Portfolio",IFERROR(INDEX(DATA_ASSET_CLASSIFICATION!$U$8:$U$24,MATCH($C2979,DATA_ASSET_CLASSIFICATION!$A$8:$A$24,0)),"Review"))</f>
        <v>Refi Watch</v>
      </c>
      <c r="O2979" s="350" t="str">
        <f ca="1">IF($B2979="Portfolio","Portfolio",IFERROR(INDEX(DATA_ASSET_CLASSIFICATION!$AB$8:$AB$13,MATCH($N2979,DATA_ASSET_CLASSIFICATION!$AA$8:$AA$13,0)),"Review"))</f>
        <v>Bucket 2 · Legacy</v>
      </c>
      <c r="P2979" s="350" t="str">
        <f>IF($B2979="Portfolio","Portfolio",IFERROR(INDEX(DATA_ASSET_CLASSIFICATION!$C$8:$C$24,MATCH($C2979,DATA_ASSET_CLASSIFICATION!$A$8:$A$24,0)),"Review"))</f>
        <v>Yes</v>
      </c>
      <c r="Q2979" s="350" t="str">
        <f t="shared" ca="1" si="93"/>
        <v>OK</v>
      </c>
    </row>
    <row r="2980" spans="1:17">
      <c r="A2980" s="366" t="s">
        <v>4936</v>
      </c>
      <c r="B2980" s="366" t="s">
        <v>231</v>
      </c>
      <c r="C2980" s="348" t="str">
        <f>DATA_PROPERTY_MASTER!$A$14</f>
        <v>BLD_MM</v>
      </c>
      <c r="D2980" s="380">
        <f>'00_PORTFOLIO ROLLUP'!J$12</f>
        <v>2030</v>
      </c>
      <c r="E2980" s="366" t="s">
        <v>1683</v>
      </c>
      <c r="F2980" s="366" t="s">
        <v>341</v>
      </c>
      <c r="G2980" s="348" t="str">
        <f>"'"&amp;$C2980&amp;"'!$E$24:$Y$24"</f>
        <v>'BLD_MM'!$E$24:$Y$24</v>
      </c>
      <c r="H2980" s="381">
        <f ca="1">IF(IFERROR(INDEX(DATA_PROPERTY_MASTER!$E$5:$E$21,MATCH($C2980,DATA_PROPERTY_MASTER!$A$5:$A$21,0))="Yes",FALSE),IFERROR(INDEX(INDIRECT("'"&amp;$C2980&amp;"'!$E$24:$Y$24"),1,MATCH($D2980,INDIRECT("'"&amp;$C2980&amp;"'!$E$12:$Y$12"),0)),0),0)</f>
        <v>862287.67479673284</v>
      </c>
      <c r="I2980" s="366" t="s">
        <v>1685</v>
      </c>
      <c r="J2980" s="348" t="str">
        <f t="shared" ca="1" si="92"/>
        <v>OK</v>
      </c>
      <c r="K2980" s="366" t="s">
        <v>1686</v>
      </c>
      <c r="L2980" s="366" t="s">
        <v>2234</v>
      </c>
      <c r="M2980" s="350" t="str">
        <f>IF($B2980="Portfolio","Portfolio",IFERROR(INDEX(DATA_ASSET_CLASSIFICATION!$B$8:$B$24,MATCH($C2980,DATA_ASSET_CLASSIFICATION!$A$8:$A$24,0)),"Review"))</f>
        <v>Murray Manor</v>
      </c>
      <c r="N2980" s="350" t="str">
        <f ca="1">IF($B2980="Portfolio","Portfolio",IFERROR(INDEX(DATA_ASSET_CLASSIFICATION!$U$8:$U$24,MATCH($C2980,DATA_ASSET_CLASSIFICATION!$A$8:$A$24,0)),"Review"))</f>
        <v>Refi Watch</v>
      </c>
      <c r="O2980" s="350" t="str">
        <f ca="1">IF($B2980="Portfolio","Portfolio",IFERROR(INDEX(DATA_ASSET_CLASSIFICATION!$AB$8:$AB$13,MATCH($N2980,DATA_ASSET_CLASSIFICATION!$AA$8:$AA$13,0)),"Review"))</f>
        <v>Bucket 2 · Legacy</v>
      </c>
      <c r="P2980" s="350" t="str">
        <f>IF($B2980="Portfolio","Portfolio",IFERROR(INDEX(DATA_ASSET_CLASSIFICATION!$C$8:$C$24,MATCH($C2980,DATA_ASSET_CLASSIFICATION!$A$8:$A$24,0)),"Review"))</f>
        <v>Yes</v>
      </c>
      <c r="Q2980" s="350" t="str">
        <f t="shared" ca="1" si="93"/>
        <v>OK</v>
      </c>
    </row>
    <row r="2981" spans="1:17">
      <c r="A2981" s="366" t="s">
        <v>4937</v>
      </c>
      <c r="B2981" s="366" t="s">
        <v>231</v>
      </c>
      <c r="C2981" s="348" t="str">
        <f>DATA_PROPERTY_MASTER!$A$14</f>
        <v>BLD_MM</v>
      </c>
      <c r="D2981" s="380">
        <f>'00_PORTFOLIO ROLLUP'!J$12</f>
        <v>2030</v>
      </c>
      <c r="E2981" s="366" t="s">
        <v>1683</v>
      </c>
      <c r="F2981" s="366" t="s">
        <v>355</v>
      </c>
      <c r="G2981" s="348" t="str">
        <f>"'"&amp;$C2981&amp;"'!$E$39:$Y$39"</f>
        <v>'BLD_MM'!$E$39:$Y$39</v>
      </c>
      <c r="H2981" s="381">
        <f ca="1">IF(IFERROR(INDEX(DATA_PROPERTY_MASTER!$E$5:$E$21,MATCH($C2981,DATA_PROPERTY_MASTER!$A$5:$A$21,0))="Yes",FALSE),IFERROR(INDEX(INDIRECT("'"&amp;$C2981&amp;"'!$E$39:$Y$39"),1,MATCH($D2981,INDIRECT("'"&amp;$C2981&amp;"'!$E$12:$Y$12"),0)),0),0)</f>
        <v>338708.86811074568</v>
      </c>
      <c r="I2981" s="366" t="s">
        <v>1690</v>
      </c>
      <c r="J2981" s="348" t="str">
        <f t="shared" ca="1" si="92"/>
        <v>OK</v>
      </c>
      <c r="K2981" s="366" t="s">
        <v>1686</v>
      </c>
      <c r="L2981" s="366" t="s">
        <v>2236</v>
      </c>
      <c r="M2981" s="350" t="str">
        <f>IF($B2981="Portfolio","Portfolio",IFERROR(INDEX(DATA_ASSET_CLASSIFICATION!$B$8:$B$24,MATCH($C2981,DATA_ASSET_CLASSIFICATION!$A$8:$A$24,0)),"Review"))</f>
        <v>Murray Manor</v>
      </c>
      <c r="N2981" s="350" t="str">
        <f ca="1">IF($B2981="Portfolio","Portfolio",IFERROR(INDEX(DATA_ASSET_CLASSIFICATION!$U$8:$U$24,MATCH($C2981,DATA_ASSET_CLASSIFICATION!$A$8:$A$24,0)),"Review"))</f>
        <v>Refi Watch</v>
      </c>
      <c r="O2981" s="350" t="str">
        <f ca="1">IF($B2981="Portfolio","Portfolio",IFERROR(INDEX(DATA_ASSET_CLASSIFICATION!$AB$8:$AB$13,MATCH($N2981,DATA_ASSET_CLASSIFICATION!$AA$8:$AA$13,0)),"Review"))</f>
        <v>Bucket 2 · Legacy</v>
      </c>
      <c r="P2981" s="350" t="str">
        <f>IF($B2981="Portfolio","Portfolio",IFERROR(INDEX(DATA_ASSET_CLASSIFICATION!$C$8:$C$24,MATCH($C2981,DATA_ASSET_CLASSIFICATION!$A$8:$A$24,0)),"Review"))</f>
        <v>Yes</v>
      </c>
      <c r="Q2981" s="350" t="str">
        <f t="shared" ca="1" si="93"/>
        <v>OK</v>
      </c>
    </row>
    <row r="2982" spans="1:17">
      <c r="A2982" s="366" t="s">
        <v>4938</v>
      </c>
      <c r="B2982" s="366" t="s">
        <v>231</v>
      </c>
      <c r="C2982" s="348" t="str">
        <f>DATA_PROPERTY_MASTER!$A$14</f>
        <v>BLD_MM</v>
      </c>
      <c r="D2982" s="380">
        <f>'00_PORTFOLIO ROLLUP'!J$12</f>
        <v>2030</v>
      </c>
      <c r="E2982" s="366" t="s">
        <v>1683</v>
      </c>
      <c r="F2982" s="366" t="s">
        <v>19</v>
      </c>
      <c r="G2982" s="348" t="str">
        <f>"'"&amp;$C2982&amp;"'!$E$41:$Y$41"</f>
        <v>'BLD_MM'!$E$41:$Y$41</v>
      </c>
      <c r="H2982" s="381">
        <f ca="1">IF(IFERROR(INDEX(DATA_PROPERTY_MASTER!$E$5:$E$21,MATCH($C2982,DATA_PROPERTY_MASTER!$A$5:$A$21,0))="Yes",FALSE),IFERROR(INDEX(INDIRECT("'"&amp;$C2982&amp;"'!$E$41:$Y$41"),1,MATCH($D2982,INDIRECT("'"&amp;$C2982&amp;"'!$E$12:$Y$12"),0)),0),0)</f>
        <v>523578.80668598716</v>
      </c>
      <c r="I2982" s="366" t="s">
        <v>1685</v>
      </c>
      <c r="J2982" s="348" t="str">
        <f t="shared" ca="1" si="92"/>
        <v>OK</v>
      </c>
      <c r="K2982" s="366" t="s">
        <v>1694</v>
      </c>
      <c r="L2982" s="366" t="s">
        <v>2238</v>
      </c>
      <c r="M2982" s="350" t="str">
        <f>IF($B2982="Portfolio","Portfolio",IFERROR(INDEX(DATA_ASSET_CLASSIFICATION!$B$8:$B$24,MATCH($C2982,DATA_ASSET_CLASSIFICATION!$A$8:$A$24,0)),"Review"))</f>
        <v>Murray Manor</v>
      </c>
      <c r="N2982" s="350" t="str">
        <f ca="1">IF($B2982="Portfolio","Portfolio",IFERROR(INDEX(DATA_ASSET_CLASSIFICATION!$U$8:$U$24,MATCH($C2982,DATA_ASSET_CLASSIFICATION!$A$8:$A$24,0)),"Review"))</f>
        <v>Refi Watch</v>
      </c>
      <c r="O2982" s="350" t="str">
        <f ca="1">IF($B2982="Portfolio","Portfolio",IFERROR(INDEX(DATA_ASSET_CLASSIFICATION!$AB$8:$AB$13,MATCH($N2982,DATA_ASSET_CLASSIFICATION!$AA$8:$AA$13,0)),"Review"))</f>
        <v>Bucket 2 · Legacy</v>
      </c>
      <c r="P2982" s="350" t="str">
        <f>IF($B2982="Portfolio","Portfolio",IFERROR(INDEX(DATA_ASSET_CLASSIFICATION!$C$8:$C$24,MATCH($C2982,DATA_ASSET_CLASSIFICATION!$A$8:$A$24,0)),"Review"))</f>
        <v>Yes</v>
      </c>
      <c r="Q2982" s="350" t="str">
        <f t="shared" ca="1" si="93"/>
        <v>OK</v>
      </c>
    </row>
    <row r="2983" spans="1:17">
      <c r="A2983" s="366" t="s">
        <v>4939</v>
      </c>
      <c r="B2983" s="366" t="s">
        <v>231</v>
      </c>
      <c r="C2983" s="348" t="str">
        <f>DATA_PROPERTY_MASTER!$A$14</f>
        <v>BLD_MM</v>
      </c>
      <c r="D2983" s="380">
        <f>'00_PORTFOLIO ROLLUP'!J$12</f>
        <v>2030</v>
      </c>
      <c r="E2983" s="366" t="s">
        <v>1683</v>
      </c>
      <c r="F2983" s="366" t="s">
        <v>1697</v>
      </c>
      <c r="G2983" s="348" t="str">
        <f>"'"&amp;$C2983&amp;"'!$E$44:$Y$44"</f>
        <v>'BLD_MM'!$E$44:$Y$44</v>
      </c>
      <c r="H2983" s="381">
        <f ca="1">IF(IFERROR(INDEX(DATA_PROPERTY_MASTER!$E$5:$E$21,MATCH($C2983,DATA_PROPERTY_MASTER!$A$5:$A$21,0))="Yes",FALSE),IFERROR(INDEX(INDIRECT("'"&amp;$C2983&amp;"'!$E$44:$Y$44"),1,MATCH($D2983,INDIRECT("'"&amp;$C2983&amp;"'!$E$12:$Y$12"),0)),0),0)</f>
        <v>7783.7696625600001</v>
      </c>
      <c r="I2983" s="366" t="s">
        <v>1690</v>
      </c>
      <c r="J2983" s="348" t="str">
        <f t="shared" ca="1" si="92"/>
        <v>OK</v>
      </c>
      <c r="K2983" s="366" t="s">
        <v>1699</v>
      </c>
      <c r="L2983" s="366" t="s">
        <v>2240</v>
      </c>
      <c r="M2983" s="350" t="str">
        <f>IF($B2983="Portfolio","Portfolio",IFERROR(INDEX(DATA_ASSET_CLASSIFICATION!$B$8:$B$24,MATCH($C2983,DATA_ASSET_CLASSIFICATION!$A$8:$A$24,0)),"Review"))</f>
        <v>Murray Manor</v>
      </c>
      <c r="N2983" s="350" t="str">
        <f ca="1">IF($B2983="Portfolio","Portfolio",IFERROR(INDEX(DATA_ASSET_CLASSIFICATION!$U$8:$U$24,MATCH($C2983,DATA_ASSET_CLASSIFICATION!$A$8:$A$24,0)),"Review"))</f>
        <v>Refi Watch</v>
      </c>
      <c r="O2983" s="350" t="str">
        <f ca="1">IF($B2983="Portfolio","Portfolio",IFERROR(INDEX(DATA_ASSET_CLASSIFICATION!$AB$8:$AB$13,MATCH($N2983,DATA_ASSET_CLASSIFICATION!$AA$8:$AA$13,0)),"Review"))</f>
        <v>Bucket 2 · Legacy</v>
      </c>
      <c r="P2983" s="350" t="str">
        <f>IF($B2983="Portfolio","Portfolio",IFERROR(INDEX(DATA_ASSET_CLASSIFICATION!$C$8:$C$24,MATCH($C2983,DATA_ASSET_CLASSIFICATION!$A$8:$A$24,0)),"Review"))</f>
        <v>Yes</v>
      </c>
      <c r="Q2983" s="350" t="str">
        <f t="shared" ca="1" si="93"/>
        <v>OK</v>
      </c>
    </row>
    <row r="2984" spans="1:17">
      <c r="A2984" s="366" t="s">
        <v>4940</v>
      </c>
      <c r="B2984" s="366" t="s">
        <v>231</v>
      </c>
      <c r="C2984" s="348" t="str">
        <f>DATA_PROPERTY_MASTER!$A$14</f>
        <v>BLD_MM</v>
      </c>
      <c r="D2984" s="380">
        <f>'00_PORTFOLIO ROLLUP'!J$12</f>
        <v>2030</v>
      </c>
      <c r="E2984" s="366" t="s">
        <v>1683</v>
      </c>
      <c r="F2984" s="366" t="s">
        <v>21</v>
      </c>
      <c r="G2984" s="348" t="str">
        <f>"'"&amp;$C2984&amp;"'!$E$45:$Y$45"</f>
        <v>'BLD_MM'!$E$45:$Y$45</v>
      </c>
      <c r="H2984" s="381">
        <f ca="1">IF(IFERROR(INDEX(DATA_PROPERTY_MASTER!$E$5:$E$21,MATCH($C2984,DATA_PROPERTY_MASTER!$A$5:$A$21,0))="Yes",FALSE),IFERROR(INDEX(INDIRECT("'"&amp;$C2984&amp;"'!$E$45:$Y$45"),1,MATCH($D2984,INDIRECT("'"&amp;$C2984&amp;"'!$E$12:$Y$12"),0)),0),0)</f>
        <v>515795.03702342714</v>
      </c>
      <c r="I2984" s="366" t="s">
        <v>1685</v>
      </c>
      <c r="J2984" s="348" t="str">
        <f t="shared" ca="1" si="92"/>
        <v>OK</v>
      </c>
      <c r="K2984" s="366" t="s">
        <v>1694</v>
      </c>
      <c r="L2984" s="366" t="s">
        <v>2242</v>
      </c>
      <c r="M2984" s="350" t="str">
        <f>IF($B2984="Portfolio","Portfolio",IFERROR(INDEX(DATA_ASSET_CLASSIFICATION!$B$8:$B$24,MATCH($C2984,DATA_ASSET_CLASSIFICATION!$A$8:$A$24,0)),"Review"))</f>
        <v>Murray Manor</v>
      </c>
      <c r="N2984" s="350" t="str">
        <f ca="1">IF($B2984="Portfolio","Portfolio",IFERROR(INDEX(DATA_ASSET_CLASSIFICATION!$U$8:$U$24,MATCH($C2984,DATA_ASSET_CLASSIFICATION!$A$8:$A$24,0)),"Review"))</f>
        <v>Refi Watch</v>
      </c>
      <c r="O2984" s="350" t="str">
        <f ca="1">IF($B2984="Portfolio","Portfolio",IFERROR(INDEX(DATA_ASSET_CLASSIFICATION!$AB$8:$AB$13,MATCH($N2984,DATA_ASSET_CLASSIFICATION!$AA$8:$AA$13,0)),"Review"))</f>
        <v>Bucket 2 · Legacy</v>
      </c>
      <c r="P2984" s="350" t="str">
        <f>IF($B2984="Portfolio","Portfolio",IFERROR(INDEX(DATA_ASSET_CLASSIFICATION!$C$8:$C$24,MATCH($C2984,DATA_ASSET_CLASSIFICATION!$A$8:$A$24,0)),"Review"))</f>
        <v>Yes</v>
      </c>
      <c r="Q2984" s="350" t="str">
        <f t="shared" ca="1" si="93"/>
        <v>OK</v>
      </c>
    </row>
    <row r="2985" spans="1:17">
      <c r="A2985" s="366" t="s">
        <v>4941</v>
      </c>
      <c r="B2985" s="366" t="s">
        <v>231</v>
      </c>
      <c r="C2985" s="348" t="str">
        <f>DATA_PROPERTY_MASTER!$A$14</f>
        <v>BLD_MM</v>
      </c>
      <c r="D2985" s="380">
        <f>'00_PORTFOLIO ROLLUP'!J$12</f>
        <v>2030</v>
      </c>
      <c r="E2985" s="366" t="s">
        <v>23</v>
      </c>
      <c r="F2985" s="366" t="s">
        <v>23</v>
      </c>
      <c r="G2985" s="348" t="str">
        <f>"'"&amp;$C2985&amp;"'!$E$48:$Y$48"</f>
        <v>'BLD_MM'!$E$48:$Y$48</v>
      </c>
      <c r="H2985" s="381">
        <f ca="1">IF(IFERROR(INDEX(DATA_PROPERTY_MASTER!$E$5:$E$21,MATCH($C2985,DATA_PROPERTY_MASTER!$A$5:$A$21,0))="Yes",FALSE),IFERROR(INDEX(INDIRECT("'"&amp;$C2985&amp;"'!$E$48:$Y$48"),1,MATCH($D2985,INDIRECT("'"&amp;$C2985&amp;"'!$E$12:$Y$12"),0)),0),0)</f>
        <v>271563.84000000003</v>
      </c>
      <c r="I2985" s="366" t="s">
        <v>1690</v>
      </c>
      <c r="J2985" s="348" t="str">
        <f t="shared" ca="1" si="92"/>
        <v>OK</v>
      </c>
      <c r="K2985" s="366" t="s">
        <v>1706</v>
      </c>
      <c r="L2985" s="366" t="s">
        <v>2244</v>
      </c>
      <c r="M2985" s="350" t="str">
        <f>IF($B2985="Portfolio","Portfolio",IFERROR(INDEX(DATA_ASSET_CLASSIFICATION!$B$8:$B$24,MATCH($C2985,DATA_ASSET_CLASSIFICATION!$A$8:$A$24,0)),"Review"))</f>
        <v>Murray Manor</v>
      </c>
      <c r="N2985" s="350" t="str">
        <f ca="1">IF($B2985="Portfolio","Portfolio",IFERROR(INDEX(DATA_ASSET_CLASSIFICATION!$U$8:$U$24,MATCH($C2985,DATA_ASSET_CLASSIFICATION!$A$8:$A$24,0)),"Review"))</f>
        <v>Refi Watch</v>
      </c>
      <c r="O2985" s="350" t="str">
        <f ca="1">IF($B2985="Portfolio","Portfolio",IFERROR(INDEX(DATA_ASSET_CLASSIFICATION!$AB$8:$AB$13,MATCH($N2985,DATA_ASSET_CLASSIFICATION!$AA$8:$AA$13,0)),"Review"))</f>
        <v>Bucket 2 · Legacy</v>
      </c>
      <c r="P2985" s="350" t="str">
        <f>IF($B2985="Portfolio","Portfolio",IFERROR(INDEX(DATA_ASSET_CLASSIFICATION!$C$8:$C$24,MATCH($C2985,DATA_ASSET_CLASSIFICATION!$A$8:$A$24,0)),"Review"))</f>
        <v>Yes</v>
      </c>
      <c r="Q2985" s="350" t="str">
        <f t="shared" ca="1" si="93"/>
        <v>OK</v>
      </c>
    </row>
    <row r="2986" spans="1:17">
      <c r="A2986" s="366" t="s">
        <v>4942</v>
      </c>
      <c r="B2986" s="366" t="s">
        <v>231</v>
      </c>
      <c r="C2986" s="348" t="str">
        <f>DATA_PROPERTY_MASTER!$A$14</f>
        <v>BLD_MM</v>
      </c>
      <c r="D2986" s="380">
        <f>'00_PORTFOLIO ROLLUP'!J$12</f>
        <v>2030</v>
      </c>
      <c r="E2986" s="366" t="s">
        <v>1683</v>
      </c>
      <c r="F2986" s="366" t="s">
        <v>25</v>
      </c>
      <c r="G2986" s="348" t="str">
        <f>"'"&amp;$C2986&amp;"'!$E$52:$Y$52"</f>
        <v>'BLD_MM'!$E$52:$Y$52</v>
      </c>
      <c r="H2986" s="381">
        <f ca="1">IF(IFERROR(INDEX(DATA_PROPERTY_MASTER!$E$5:$E$21,MATCH($C2986,DATA_PROPERTY_MASTER!$A$5:$A$21,0))="Yes",FALSE),IFERROR(INDEX(INDIRECT("'"&amp;$C2986&amp;"'!$E$52:$Y$52"),1,MATCH($D2986,INDIRECT("'"&amp;$C2986&amp;"'!$E$12:$Y$12"),0)),0),0)</f>
        <v>252014.96668598714</v>
      </c>
      <c r="I2986" s="366" t="s">
        <v>1685</v>
      </c>
      <c r="J2986" s="348" t="str">
        <f t="shared" ca="1" si="92"/>
        <v>OK</v>
      </c>
      <c r="K2986" s="366" t="s">
        <v>1710</v>
      </c>
      <c r="L2986" s="366" t="s">
        <v>2246</v>
      </c>
      <c r="M2986" s="350" t="str">
        <f>IF($B2986="Portfolio","Portfolio",IFERROR(INDEX(DATA_ASSET_CLASSIFICATION!$B$8:$B$24,MATCH($C2986,DATA_ASSET_CLASSIFICATION!$A$8:$A$24,0)),"Review"))</f>
        <v>Murray Manor</v>
      </c>
      <c r="N2986" s="350" t="str">
        <f ca="1">IF($B2986="Portfolio","Portfolio",IFERROR(INDEX(DATA_ASSET_CLASSIFICATION!$U$8:$U$24,MATCH($C2986,DATA_ASSET_CLASSIFICATION!$A$8:$A$24,0)),"Review"))</f>
        <v>Refi Watch</v>
      </c>
      <c r="O2986" s="350" t="str">
        <f ca="1">IF($B2986="Portfolio","Portfolio",IFERROR(INDEX(DATA_ASSET_CLASSIFICATION!$AB$8:$AB$13,MATCH($N2986,DATA_ASSET_CLASSIFICATION!$AA$8:$AA$13,0)),"Review"))</f>
        <v>Bucket 2 · Legacy</v>
      </c>
      <c r="P2986" s="350" t="str">
        <f>IF($B2986="Portfolio","Portfolio",IFERROR(INDEX(DATA_ASSET_CLASSIFICATION!$C$8:$C$24,MATCH($C2986,DATA_ASSET_CLASSIFICATION!$A$8:$A$24,0)),"Review"))</f>
        <v>Yes</v>
      </c>
      <c r="Q2986" s="350" t="str">
        <f t="shared" ca="1" si="93"/>
        <v>OK</v>
      </c>
    </row>
    <row r="2987" spans="1:17">
      <c r="A2987" s="366" t="s">
        <v>4943</v>
      </c>
      <c r="B2987" s="366" t="s">
        <v>231</v>
      </c>
      <c r="C2987" s="348" t="str">
        <f>DATA_PROPERTY_MASTER!$A$14</f>
        <v>BLD_MM</v>
      </c>
      <c r="D2987" s="380">
        <f>'00_PORTFOLIO ROLLUP'!J$12</f>
        <v>2030</v>
      </c>
      <c r="E2987" s="366" t="s">
        <v>1683</v>
      </c>
      <c r="F2987" s="366" t="s">
        <v>27</v>
      </c>
      <c r="G2987" s="348" t="str">
        <f>"'"&amp;$C2987&amp;"'!$E$54:$Y$54"</f>
        <v>'BLD_MM'!$E$54:$Y$54</v>
      </c>
      <c r="H2987" s="381">
        <f ca="1">IF(IFERROR(INDEX(DATA_PROPERTY_MASTER!$E$5:$E$21,MATCH($C2987,DATA_PROPERTY_MASTER!$A$5:$A$21,0))="Yes",FALSE),IFERROR(INDEX(INDIRECT("'"&amp;$C2987&amp;"'!$E$54:$Y$54"),1,MATCH($D2987,INDIRECT("'"&amp;$C2987&amp;"'!$E$12:$Y$12"),0)),0),0)</f>
        <v>151208.98001159227</v>
      </c>
      <c r="I2987" s="366" t="s">
        <v>1690</v>
      </c>
      <c r="J2987" s="348" t="str">
        <f t="shared" ca="1" si="92"/>
        <v>OK</v>
      </c>
      <c r="K2987" s="366" t="s">
        <v>1714</v>
      </c>
      <c r="L2987" s="366" t="s">
        <v>2248</v>
      </c>
      <c r="M2987" s="350" t="str">
        <f>IF($B2987="Portfolio","Portfolio",IFERROR(INDEX(DATA_ASSET_CLASSIFICATION!$B$8:$B$24,MATCH($C2987,DATA_ASSET_CLASSIFICATION!$A$8:$A$24,0)),"Review"))</f>
        <v>Murray Manor</v>
      </c>
      <c r="N2987" s="350" t="str">
        <f ca="1">IF($B2987="Portfolio","Portfolio",IFERROR(INDEX(DATA_ASSET_CLASSIFICATION!$U$8:$U$24,MATCH($C2987,DATA_ASSET_CLASSIFICATION!$A$8:$A$24,0)),"Review"))</f>
        <v>Refi Watch</v>
      </c>
      <c r="O2987" s="350" t="str">
        <f ca="1">IF($B2987="Portfolio","Portfolio",IFERROR(INDEX(DATA_ASSET_CLASSIFICATION!$AB$8:$AB$13,MATCH($N2987,DATA_ASSET_CLASSIFICATION!$AA$8:$AA$13,0)),"Review"))</f>
        <v>Bucket 2 · Legacy</v>
      </c>
      <c r="P2987" s="350" t="str">
        <f>IF($B2987="Portfolio","Portfolio",IFERROR(INDEX(DATA_ASSET_CLASSIFICATION!$C$8:$C$24,MATCH($C2987,DATA_ASSET_CLASSIFICATION!$A$8:$A$24,0)),"Review"))</f>
        <v>Yes</v>
      </c>
      <c r="Q2987" s="350" t="str">
        <f t="shared" ca="1" si="93"/>
        <v>OK</v>
      </c>
    </row>
    <row r="2988" spans="1:17">
      <c r="A2988" s="366" t="s">
        <v>4944</v>
      </c>
      <c r="B2988" s="366" t="s">
        <v>231</v>
      </c>
      <c r="C2988" s="348" t="str">
        <f>DATA_PROPERTY_MASTER!$A$14</f>
        <v>BLD_MM</v>
      </c>
      <c r="D2988" s="380">
        <f>'00_PORTFOLIO ROLLUP'!J$12</f>
        <v>2030</v>
      </c>
      <c r="E2988" s="366" t="s">
        <v>1683</v>
      </c>
      <c r="F2988" s="366" t="s">
        <v>29</v>
      </c>
      <c r="G2988" s="348" t="str">
        <f>"'"&amp;$C2988&amp;"'!$E$56:$Y$56"</f>
        <v>'BLD_MM'!$E$56:$Y$56</v>
      </c>
      <c r="H2988" s="381">
        <f ca="1">IF(IFERROR(INDEX(DATA_PROPERTY_MASTER!$E$5:$E$21,MATCH($C2988,DATA_PROPERTY_MASTER!$A$5:$A$21,0))="Yes",FALSE),IFERROR(INDEX(INDIRECT("'"&amp;$C2988&amp;"'!$E$56:$Y$56"),1,MATCH($D2988,INDIRECT("'"&amp;$C2988&amp;"'!$E$12:$Y$12"),0)),0),0)</f>
        <v>100805.98667439487</v>
      </c>
      <c r="I2988" s="366" t="s">
        <v>1685</v>
      </c>
      <c r="J2988" s="348" t="str">
        <f t="shared" ca="1" si="92"/>
        <v>OK</v>
      </c>
      <c r="K2988" s="366" t="s">
        <v>1718</v>
      </c>
      <c r="L2988" s="366" t="s">
        <v>2250</v>
      </c>
      <c r="M2988" s="350" t="str">
        <f>IF($B2988="Portfolio","Portfolio",IFERROR(INDEX(DATA_ASSET_CLASSIFICATION!$B$8:$B$24,MATCH($C2988,DATA_ASSET_CLASSIFICATION!$A$8:$A$24,0)),"Review"))</f>
        <v>Murray Manor</v>
      </c>
      <c r="N2988" s="350" t="str">
        <f ca="1">IF($B2988="Portfolio","Portfolio",IFERROR(INDEX(DATA_ASSET_CLASSIFICATION!$U$8:$U$24,MATCH($C2988,DATA_ASSET_CLASSIFICATION!$A$8:$A$24,0)),"Review"))</f>
        <v>Refi Watch</v>
      </c>
      <c r="O2988" s="350" t="str">
        <f ca="1">IF($B2988="Portfolio","Portfolio",IFERROR(INDEX(DATA_ASSET_CLASSIFICATION!$AB$8:$AB$13,MATCH($N2988,DATA_ASSET_CLASSIFICATION!$AA$8:$AA$13,0)),"Review"))</f>
        <v>Bucket 2 · Legacy</v>
      </c>
      <c r="P2988" s="350" t="str">
        <f>IF($B2988="Portfolio","Portfolio",IFERROR(INDEX(DATA_ASSET_CLASSIFICATION!$C$8:$C$24,MATCH($C2988,DATA_ASSET_CLASSIFICATION!$A$8:$A$24,0)),"Review"))</f>
        <v>Yes</v>
      </c>
      <c r="Q2988" s="350" t="str">
        <f t="shared" ca="1" si="93"/>
        <v>OK</v>
      </c>
    </row>
    <row r="2989" spans="1:17">
      <c r="A2989" s="366" t="s">
        <v>4945</v>
      </c>
      <c r="B2989" s="366" t="s">
        <v>231</v>
      </c>
      <c r="C2989" s="348" t="str">
        <f>DATA_PROPERTY_MASTER!$A$14</f>
        <v>BLD_MM</v>
      </c>
      <c r="D2989" s="380">
        <f>'00_PORTFOLIO ROLLUP'!J$12</f>
        <v>2030</v>
      </c>
      <c r="E2989" s="366" t="s">
        <v>1721</v>
      </c>
      <c r="F2989" s="366" t="s">
        <v>31</v>
      </c>
      <c r="G2989" s="348" t="str">
        <f>"'"&amp;$C2989&amp;"'!$E$61:$Y$61"</f>
        <v>'BLD_MM'!$E$61:$Y$61</v>
      </c>
      <c r="H2989" s="381">
        <f ca="1">IF(IFERROR(INDEX(DATA_PROPERTY_MASTER!$E$5:$E$21,MATCH($C2989,DATA_PROPERTY_MASTER!$A$5:$A$21,0))="Yes",FALSE),IFERROR(INDEX(INDIRECT("'"&amp;$C2989&amp;"'!$E$61:$Y$61"),1,MATCH($D2989,INDIRECT("'"&amp;$C2989&amp;"'!$E$12:$Y$12"),0)),0),0)</f>
        <v>0</v>
      </c>
      <c r="I2989" s="366" t="s">
        <v>1690</v>
      </c>
      <c r="J2989" s="348" t="str">
        <f t="shared" ca="1" si="92"/>
        <v>OK</v>
      </c>
      <c r="K2989" s="366" t="s">
        <v>1723</v>
      </c>
      <c r="L2989" s="366" t="s">
        <v>2252</v>
      </c>
      <c r="M2989" s="350" t="str">
        <f>IF($B2989="Portfolio","Portfolio",IFERROR(INDEX(DATA_ASSET_CLASSIFICATION!$B$8:$B$24,MATCH($C2989,DATA_ASSET_CLASSIFICATION!$A$8:$A$24,0)),"Review"))</f>
        <v>Murray Manor</v>
      </c>
      <c r="N2989" s="350" t="str">
        <f ca="1">IF($B2989="Portfolio","Portfolio",IFERROR(INDEX(DATA_ASSET_CLASSIFICATION!$U$8:$U$24,MATCH($C2989,DATA_ASSET_CLASSIFICATION!$A$8:$A$24,0)),"Review"))</f>
        <v>Refi Watch</v>
      </c>
      <c r="O2989" s="350" t="str">
        <f ca="1">IF($B2989="Portfolio","Portfolio",IFERROR(INDEX(DATA_ASSET_CLASSIFICATION!$AB$8:$AB$13,MATCH($N2989,DATA_ASSET_CLASSIFICATION!$AA$8:$AA$13,0)),"Review"))</f>
        <v>Bucket 2 · Legacy</v>
      </c>
      <c r="P2989" s="350" t="str">
        <f>IF($B2989="Portfolio","Portfolio",IFERROR(INDEX(DATA_ASSET_CLASSIFICATION!$C$8:$C$24,MATCH($C2989,DATA_ASSET_CLASSIFICATION!$A$8:$A$24,0)),"Review"))</f>
        <v>Yes</v>
      </c>
      <c r="Q2989" s="350" t="str">
        <f t="shared" ca="1" si="93"/>
        <v>OK</v>
      </c>
    </row>
    <row r="2990" spans="1:17">
      <c r="A2990" s="366" t="s">
        <v>4946</v>
      </c>
      <c r="B2990" s="366" t="s">
        <v>231</v>
      </c>
      <c r="C2990" s="348" t="str">
        <f>DATA_PROPERTY_MASTER!$A$14</f>
        <v>BLD_MM</v>
      </c>
      <c r="D2990" s="380">
        <f>'00_PORTFOLIO ROLLUP'!J$12</f>
        <v>2030</v>
      </c>
      <c r="E2990" s="366" t="s">
        <v>1721</v>
      </c>
      <c r="F2990" s="366" t="s">
        <v>33</v>
      </c>
      <c r="G2990" s="348" t="str">
        <f>"'"&amp;$C2990&amp;"'!$E$62:$Y$62"</f>
        <v>'BLD_MM'!$E$62:$Y$62</v>
      </c>
      <c r="H2990" s="381">
        <f ca="1">IF(IFERROR(INDEX(DATA_PROPERTY_MASTER!$E$5:$E$21,MATCH($C2990,DATA_PROPERTY_MASTER!$A$5:$A$21,0))="Yes",FALSE),IFERROR(INDEX(INDIRECT("'"&amp;$C2990&amp;"'!$E$62:$Y$62"),1,MATCH($D2990,INDIRECT("'"&amp;$C2990&amp;"'!$E$12:$Y$12"),0)),0),0)</f>
        <v>0</v>
      </c>
      <c r="I2990" s="366" t="s">
        <v>1685</v>
      </c>
      <c r="J2990" s="348" t="str">
        <f t="shared" ca="1" si="92"/>
        <v>OK</v>
      </c>
      <c r="K2990" s="366" t="s">
        <v>1727</v>
      </c>
      <c r="L2990" s="366" t="s">
        <v>2254</v>
      </c>
      <c r="M2990" s="350" t="str">
        <f>IF($B2990="Portfolio","Portfolio",IFERROR(INDEX(DATA_ASSET_CLASSIFICATION!$B$8:$B$24,MATCH($C2990,DATA_ASSET_CLASSIFICATION!$A$8:$A$24,0)),"Review"))</f>
        <v>Murray Manor</v>
      </c>
      <c r="N2990" s="350" t="str">
        <f ca="1">IF($B2990="Portfolio","Portfolio",IFERROR(INDEX(DATA_ASSET_CLASSIFICATION!$U$8:$U$24,MATCH($C2990,DATA_ASSET_CLASSIFICATION!$A$8:$A$24,0)),"Review"))</f>
        <v>Refi Watch</v>
      </c>
      <c r="O2990" s="350" t="str">
        <f ca="1">IF($B2990="Portfolio","Portfolio",IFERROR(INDEX(DATA_ASSET_CLASSIFICATION!$AB$8:$AB$13,MATCH($N2990,DATA_ASSET_CLASSIFICATION!$AA$8:$AA$13,0)),"Review"))</f>
        <v>Bucket 2 · Legacy</v>
      </c>
      <c r="P2990" s="350" t="str">
        <f>IF($B2990="Portfolio","Portfolio",IFERROR(INDEX(DATA_ASSET_CLASSIFICATION!$C$8:$C$24,MATCH($C2990,DATA_ASSET_CLASSIFICATION!$A$8:$A$24,0)),"Review"))</f>
        <v>Yes</v>
      </c>
      <c r="Q2990" s="350" t="str">
        <f t="shared" ca="1" si="93"/>
        <v>OK</v>
      </c>
    </row>
    <row r="2991" spans="1:17">
      <c r="A2991" s="366" t="s">
        <v>4947</v>
      </c>
      <c r="B2991" s="366" t="s">
        <v>231</v>
      </c>
      <c r="C2991" s="348" t="str">
        <f>DATA_PROPERTY_MASTER!$A$14</f>
        <v>BLD_MM</v>
      </c>
      <c r="D2991" s="380">
        <f>'00_PORTFOLIO ROLLUP'!J$12</f>
        <v>2030</v>
      </c>
      <c r="E2991" s="366" t="s">
        <v>1721</v>
      </c>
      <c r="F2991" s="366" t="s">
        <v>35</v>
      </c>
      <c r="G2991" s="348" t="str">
        <f>"'"&amp;$C2991&amp;"'!$E$63:$Y$63"</f>
        <v>'BLD_MM'!$E$63:$Y$63</v>
      </c>
      <c r="H2991" s="381">
        <f ca="1">IF(IFERROR(INDEX(DATA_PROPERTY_MASTER!$E$5:$E$21,MATCH($C2991,DATA_PROPERTY_MASTER!$A$5:$A$21,0))="Yes",FALSE),IFERROR(INDEX(INDIRECT("'"&amp;$C2991&amp;"'!$E$63:$Y$63"),1,MATCH($D2991,INDIRECT("'"&amp;$C2991&amp;"'!$E$12:$Y$12"),0)),0),0)</f>
        <v>0</v>
      </c>
      <c r="I2991" s="366" t="s">
        <v>1731</v>
      </c>
      <c r="J2991" s="348" t="str">
        <f t="shared" ca="1" si="92"/>
        <v>OK</v>
      </c>
      <c r="K2991" s="366" t="s">
        <v>1732</v>
      </c>
      <c r="L2991" s="366" t="s">
        <v>2256</v>
      </c>
      <c r="M2991" s="350" t="str">
        <f>IF($B2991="Portfolio","Portfolio",IFERROR(INDEX(DATA_ASSET_CLASSIFICATION!$B$8:$B$24,MATCH($C2991,DATA_ASSET_CLASSIFICATION!$A$8:$A$24,0)),"Review"))</f>
        <v>Murray Manor</v>
      </c>
      <c r="N2991" s="350" t="str">
        <f ca="1">IF($B2991="Portfolio","Portfolio",IFERROR(INDEX(DATA_ASSET_CLASSIFICATION!$U$8:$U$24,MATCH($C2991,DATA_ASSET_CLASSIFICATION!$A$8:$A$24,0)),"Review"))</f>
        <v>Refi Watch</v>
      </c>
      <c r="O2991" s="350" t="str">
        <f ca="1">IF($B2991="Portfolio","Portfolio",IFERROR(INDEX(DATA_ASSET_CLASSIFICATION!$AB$8:$AB$13,MATCH($N2991,DATA_ASSET_CLASSIFICATION!$AA$8:$AA$13,0)),"Review"))</f>
        <v>Bucket 2 · Legacy</v>
      </c>
      <c r="P2991" s="350" t="str">
        <f>IF($B2991="Portfolio","Portfolio",IFERROR(INDEX(DATA_ASSET_CLASSIFICATION!$C$8:$C$24,MATCH($C2991,DATA_ASSET_CLASSIFICATION!$A$8:$A$24,0)),"Review"))</f>
        <v>Yes</v>
      </c>
      <c r="Q2991" s="350" t="str">
        <f t="shared" ca="1" si="93"/>
        <v>OK</v>
      </c>
    </row>
    <row r="2992" spans="1:17">
      <c r="A2992" s="366" t="s">
        <v>4948</v>
      </c>
      <c r="B2992" s="366" t="s">
        <v>231</v>
      </c>
      <c r="C2992" s="348" t="str">
        <f>DATA_PROPERTY_MASTER!$A$14</f>
        <v>BLD_MM</v>
      </c>
      <c r="D2992" s="380">
        <f>'00_PORTFOLIO ROLLUP'!J$12</f>
        <v>2030</v>
      </c>
      <c r="E2992" s="366" t="s">
        <v>1721</v>
      </c>
      <c r="F2992" s="366" t="s">
        <v>37</v>
      </c>
      <c r="G2992" s="348" t="str">
        <f>"'"&amp;$C2992&amp;"'!$E$63:$Y$63"</f>
        <v>'BLD_MM'!$E$63:$Y$63</v>
      </c>
      <c r="H2992" s="381">
        <f ca="1">IF(IFERROR(INDEX(DATA_PROPERTY_MASTER!$E$5:$E$21,MATCH($C2992,DATA_PROPERTY_MASTER!$A$5:$A$21,0))="Yes",FALSE),MAX(IFERROR(INDEX(INDIRECT("'"&amp;$C2992&amp;"'!$E$63:$Y$63"),1,MATCH($D2992,INDIRECT("'"&amp;$C2992&amp;"'!$E$12:$Y$12"),0)),0),0),0)</f>
        <v>0</v>
      </c>
      <c r="I2992" s="366" t="s">
        <v>1685</v>
      </c>
      <c r="J2992" s="348" t="str">
        <f t="shared" ca="1" si="92"/>
        <v>OK</v>
      </c>
      <c r="K2992" s="366" t="s">
        <v>1735</v>
      </c>
      <c r="L2992" s="366" t="s">
        <v>2258</v>
      </c>
      <c r="M2992" s="350" t="str">
        <f>IF($B2992="Portfolio","Portfolio",IFERROR(INDEX(DATA_ASSET_CLASSIFICATION!$B$8:$B$24,MATCH($C2992,DATA_ASSET_CLASSIFICATION!$A$8:$A$24,0)),"Review"))</f>
        <v>Murray Manor</v>
      </c>
      <c r="N2992" s="350" t="str">
        <f ca="1">IF($B2992="Portfolio","Portfolio",IFERROR(INDEX(DATA_ASSET_CLASSIFICATION!$U$8:$U$24,MATCH($C2992,DATA_ASSET_CLASSIFICATION!$A$8:$A$24,0)),"Review"))</f>
        <v>Refi Watch</v>
      </c>
      <c r="O2992" s="350" t="str">
        <f ca="1">IF($B2992="Portfolio","Portfolio",IFERROR(INDEX(DATA_ASSET_CLASSIFICATION!$AB$8:$AB$13,MATCH($N2992,DATA_ASSET_CLASSIFICATION!$AA$8:$AA$13,0)),"Review"))</f>
        <v>Bucket 2 · Legacy</v>
      </c>
      <c r="P2992" s="350" t="str">
        <f>IF($B2992="Portfolio","Portfolio",IFERROR(INDEX(DATA_ASSET_CLASSIFICATION!$C$8:$C$24,MATCH($C2992,DATA_ASSET_CLASSIFICATION!$A$8:$A$24,0)),"Review"))</f>
        <v>Yes</v>
      </c>
      <c r="Q2992" s="350" t="str">
        <f t="shared" ca="1" si="93"/>
        <v>OK</v>
      </c>
    </row>
    <row r="2993" spans="1:17">
      <c r="A2993" s="366" t="s">
        <v>4949</v>
      </c>
      <c r="B2993" s="366" t="s">
        <v>231</v>
      </c>
      <c r="C2993" s="348" t="str">
        <f>DATA_PROPERTY_MASTER!$A$14</f>
        <v>BLD_MM</v>
      </c>
      <c r="D2993" s="380">
        <f>'00_PORTFOLIO ROLLUP'!J$12</f>
        <v>2030</v>
      </c>
      <c r="E2993" s="366" t="s">
        <v>1721</v>
      </c>
      <c r="F2993" s="366" t="s">
        <v>39</v>
      </c>
      <c r="G2993" s="348" t="str">
        <f>"'"&amp;$C2993&amp;"'!$E$63:$Y$63"</f>
        <v>'BLD_MM'!$E$63:$Y$63</v>
      </c>
      <c r="H2993" s="381">
        <f ca="1">IF(IFERROR(INDEX(DATA_PROPERTY_MASTER!$E$5:$E$21,MATCH($C2993,DATA_PROPERTY_MASTER!$A$5:$A$21,0))="Yes",FALSE),MAX(-IFERROR(INDEX(INDIRECT("'"&amp;$C2993&amp;"'!$E$63:$Y$63"),1,MATCH($D2993,INDIRECT("'"&amp;$C2993&amp;"'!$E$12:$Y$12"),0)),0),0),0)</f>
        <v>0</v>
      </c>
      <c r="I2993" s="366" t="s">
        <v>1690</v>
      </c>
      <c r="J2993" s="348" t="str">
        <f t="shared" ca="1" si="92"/>
        <v>OK</v>
      </c>
      <c r="K2993" s="366" t="s">
        <v>1738</v>
      </c>
      <c r="L2993" s="366" t="s">
        <v>2260</v>
      </c>
      <c r="M2993" s="350" t="str">
        <f>IF($B2993="Portfolio","Portfolio",IFERROR(INDEX(DATA_ASSET_CLASSIFICATION!$B$8:$B$24,MATCH($C2993,DATA_ASSET_CLASSIFICATION!$A$8:$A$24,0)),"Review"))</f>
        <v>Murray Manor</v>
      </c>
      <c r="N2993" s="350" t="str">
        <f ca="1">IF($B2993="Portfolio","Portfolio",IFERROR(INDEX(DATA_ASSET_CLASSIFICATION!$U$8:$U$24,MATCH($C2993,DATA_ASSET_CLASSIFICATION!$A$8:$A$24,0)),"Review"))</f>
        <v>Refi Watch</v>
      </c>
      <c r="O2993" s="350" t="str">
        <f ca="1">IF($B2993="Portfolio","Portfolio",IFERROR(INDEX(DATA_ASSET_CLASSIFICATION!$AB$8:$AB$13,MATCH($N2993,DATA_ASSET_CLASSIFICATION!$AA$8:$AA$13,0)),"Review"))</f>
        <v>Bucket 2 · Legacy</v>
      </c>
      <c r="P2993" s="350" t="str">
        <f>IF($B2993="Portfolio","Portfolio",IFERROR(INDEX(DATA_ASSET_CLASSIFICATION!$C$8:$C$24,MATCH($C2993,DATA_ASSET_CLASSIFICATION!$A$8:$A$24,0)),"Review"))</f>
        <v>Yes</v>
      </c>
      <c r="Q2993" s="350" t="str">
        <f t="shared" ca="1" si="93"/>
        <v>OK</v>
      </c>
    </row>
    <row r="2994" spans="1:17">
      <c r="A2994" s="366" t="s">
        <v>4950</v>
      </c>
      <c r="B2994" s="366" t="s">
        <v>231</v>
      </c>
      <c r="C2994" s="348" t="str">
        <f>DATA_PROPERTY_MASTER!$A$14</f>
        <v>BLD_MM</v>
      </c>
      <c r="D2994" s="380">
        <f>'00_PORTFOLIO ROLLUP'!J$12</f>
        <v>2030</v>
      </c>
      <c r="E2994" s="366" t="s">
        <v>1741</v>
      </c>
      <c r="F2994" s="366" t="s">
        <v>41</v>
      </c>
      <c r="G2994" s="348" t="str">
        <f>"'"&amp;$C2994&amp;"'!rows 56 + positive row 63"</f>
        <v>'BLD_MM'!rows 56 + positive row 63</v>
      </c>
      <c r="H2994" s="381">
        <f ca="1">IF(IFERROR(INDEX(DATA_PROPERTY_MASTER!$E$5:$E$21,MATCH($C2994,DATA_PROPERTY_MASTER!$A$5:$A$21,0))="Yes",FALSE),IFERROR(INDEX(INDIRECT("'"&amp;$C2994&amp;"'!$E$56:$Y$56"),1,MATCH($D2994,INDIRECT("'"&amp;$C2994&amp;"'!$E$12:$Y$12"),0)),0)+MAX(IFERROR(INDEX(INDIRECT("'"&amp;$C2994&amp;"'!$E$63:$Y$63"),1,MATCH($D2994,INDIRECT("'"&amp;$C2994&amp;"'!$E$12:$Y$12"),0)),0),0),0)</f>
        <v>100805.98667439487</v>
      </c>
      <c r="I2994" s="366" t="s">
        <v>1685</v>
      </c>
      <c r="J2994" s="348" t="str">
        <f t="shared" ca="1" si="92"/>
        <v>OK</v>
      </c>
      <c r="K2994" s="366" t="s">
        <v>1742</v>
      </c>
      <c r="L2994" s="366" t="s">
        <v>2262</v>
      </c>
      <c r="M2994" s="350" t="str">
        <f>IF($B2994="Portfolio","Portfolio",IFERROR(INDEX(DATA_ASSET_CLASSIFICATION!$B$8:$B$24,MATCH($C2994,DATA_ASSET_CLASSIFICATION!$A$8:$A$24,0)),"Review"))</f>
        <v>Murray Manor</v>
      </c>
      <c r="N2994" s="350" t="str">
        <f ca="1">IF($B2994="Portfolio","Portfolio",IFERROR(INDEX(DATA_ASSET_CLASSIFICATION!$U$8:$U$24,MATCH($C2994,DATA_ASSET_CLASSIFICATION!$A$8:$A$24,0)),"Review"))</f>
        <v>Refi Watch</v>
      </c>
      <c r="O2994" s="350" t="str">
        <f ca="1">IF($B2994="Portfolio","Portfolio",IFERROR(INDEX(DATA_ASSET_CLASSIFICATION!$AB$8:$AB$13,MATCH($N2994,DATA_ASSET_CLASSIFICATION!$AA$8:$AA$13,0)),"Review"))</f>
        <v>Bucket 2 · Legacy</v>
      </c>
      <c r="P2994" s="350" t="str">
        <f>IF($B2994="Portfolio","Portfolio",IFERROR(INDEX(DATA_ASSET_CLASSIFICATION!$C$8:$C$24,MATCH($C2994,DATA_ASSET_CLASSIFICATION!$A$8:$A$24,0)),"Review"))</f>
        <v>Yes</v>
      </c>
      <c r="Q2994" s="350" t="str">
        <f t="shared" ca="1" si="93"/>
        <v>OK</v>
      </c>
    </row>
    <row r="2995" spans="1:17">
      <c r="A2995" s="366" t="s">
        <v>4951</v>
      </c>
      <c r="B2995" s="366" t="s">
        <v>231</v>
      </c>
      <c r="C2995" s="348" t="str">
        <f>DATA_PROPERTY_MASTER!$A$14</f>
        <v>BLD_MM</v>
      </c>
      <c r="D2995" s="380">
        <f>'00_PORTFOLIO ROLLUP'!J$12</f>
        <v>2030</v>
      </c>
      <c r="E2995" s="366" t="s">
        <v>1741</v>
      </c>
      <c r="F2995" s="366" t="s">
        <v>43</v>
      </c>
      <c r="G2995" s="348" t="str">
        <f>"'"&amp;$C2995&amp;"'!$E$68:$Y$68"</f>
        <v>'BLD_MM'!$E$68:$Y$68</v>
      </c>
      <c r="H2995" s="381">
        <f ca="1">IF(IFERROR(INDEX(DATA_PROPERTY_MASTER!$E$5:$E$21,MATCH($C2995,DATA_PROPERTY_MASTER!$A$5:$A$21,0))="Yes",FALSE),IFERROR(INDEX(INDIRECT("'"&amp;$C2995&amp;"'!$E$68:$Y$68"),1,MATCH($D2995,INDIRECT("'"&amp;$C2995&amp;"'!$E$12:$Y$12"),0)),0),0)</f>
        <v>100805.98667439487</v>
      </c>
      <c r="I2995" s="366" t="s">
        <v>1731</v>
      </c>
      <c r="J2995" s="348" t="str">
        <f t="shared" ca="1" si="92"/>
        <v>OK</v>
      </c>
      <c r="K2995" s="366" t="s">
        <v>1746</v>
      </c>
      <c r="L2995" s="366" t="s">
        <v>2264</v>
      </c>
      <c r="M2995" s="350" t="str">
        <f>IF($B2995="Portfolio","Portfolio",IFERROR(INDEX(DATA_ASSET_CLASSIFICATION!$B$8:$B$24,MATCH($C2995,DATA_ASSET_CLASSIFICATION!$A$8:$A$24,0)),"Review"))</f>
        <v>Murray Manor</v>
      </c>
      <c r="N2995" s="350" t="str">
        <f ca="1">IF($B2995="Portfolio","Portfolio",IFERROR(INDEX(DATA_ASSET_CLASSIFICATION!$U$8:$U$24,MATCH($C2995,DATA_ASSET_CLASSIFICATION!$A$8:$A$24,0)),"Review"))</f>
        <v>Refi Watch</v>
      </c>
      <c r="O2995" s="350" t="str">
        <f ca="1">IF($B2995="Portfolio","Portfolio",IFERROR(INDEX(DATA_ASSET_CLASSIFICATION!$AB$8:$AB$13,MATCH($N2995,DATA_ASSET_CLASSIFICATION!$AA$8:$AA$13,0)),"Review"))</f>
        <v>Bucket 2 · Legacy</v>
      </c>
      <c r="P2995" s="350" t="str">
        <f>IF($B2995="Portfolio","Portfolio",IFERROR(INDEX(DATA_ASSET_CLASSIFICATION!$C$8:$C$24,MATCH($C2995,DATA_ASSET_CLASSIFICATION!$A$8:$A$24,0)),"Review"))</f>
        <v>Yes</v>
      </c>
      <c r="Q2995" s="350" t="str">
        <f t="shared" ca="1" si="93"/>
        <v>OK</v>
      </c>
    </row>
    <row r="2996" spans="1:17">
      <c r="A2996" s="366" t="s">
        <v>4952</v>
      </c>
      <c r="B2996" s="366" t="s">
        <v>231</v>
      </c>
      <c r="C2996" s="348" t="str">
        <f>DATA_PROPERTY_MASTER!$A$14</f>
        <v>BLD_MM</v>
      </c>
      <c r="D2996" s="380">
        <f>'00_PORTFOLIO ROLLUP'!J$12</f>
        <v>2030</v>
      </c>
      <c r="E2996" s="366" t="s">
        <v>1741</v>
      </c>
      <c r="F2996" s="366" t="s">
        <v>1749</v>
      </c>
      <c r="G2996" s="348" t="str">
        <f>"'"&amp;$C2996&amp;"'!rows 56, 63, 68"</f>
        <v>'BLD_MM'!rows 56, 63, 68</v>
      </c>
      <c r="H2996" s="381">
        <f ca="1">IF(IFERROR(INDEX(DATA_PROPERTY_MASTER!$E$5:$E$21,MATCH($C2996,DATA_PROPERTY_MASTER!$A$5:$A$21,0))="Yes",FALSE),(IFERROR(INDEX(INDIRECT("'"&amp;$C2996&amp;"'!$E$56:$Y$56"),1,MATCH($D2996,INDIRECT("'"&amp;$C2996&amp;"'!$E$12:$Y$12"),0)),0)+MAX(IFERROR(INDEX(INDIRECT("'"&amp;$C2996&amp;"'!$E$63:$Y$63"),1,MATCH($D2996,INDIRECT("'"&amp;$C2996&amp;"'!$E$12:$Y$12"),0)),0),0))-(IFERROR(INDEX(INDIRECT("'"&amp;$C2996&amp;"'!$E$68:$Y$68"),1,MATCH($D2996,INDIRECT("'"&amp;$C2996&amp;"'!$E$12:$Y$12"),0)),0)),0)</f>
        <v>0</v>
      </c>
      <c r="I2996" s="366" t="s">
        <v>1750</v>
      </c>
      <c r="J2996" s="348" t="str">
        <f t="shared" ca="1" si="92"/>
        <v>OK</v>
      </c>
      <c r="K2996" s="366" t="s">
        <v>1751</v>
      </c>
      <c r="L2996" s="366" t="s">
        <v>2266</v>
      </c>
      <c r="M2996" s="350" t="str">
        <f>IF($B2996="Portfolio","Portfolio",IFERROR(INDEX(DATA_ASSET_CLASSIFICATION!$B$8:$B$24,MATCH($C2996,DATA_ASSET_CLASSIFICATION!$A$8:$A$24,0)),"Review"))</f>
        <v>Murray Manor</v>
      </c>
      <c r="N2996" s="350" t="str">
        <f ca="1">IF($B2996="Portfolio","Portfolio",IFERROR(INDEX(DATA_ASSET_CLASSIFICATION!$U$8:$U$24,MATCH($C2996,DATA_ASSET_CLASSIFICATION!$A$8:$A$24,0)),"Review"))</f>
        <v>Refi Watch</v>
      </c>
      <c r="O2996" s="350" t="str">
        <f ca="1">IF($B2996="Portfolio","Portfolio",IFERROR(INDEX(DATA_ASSET_CLASSIFICATION!$AB$8:$AB$13,MATCH($N2996,DATA_ASSET_CLASSIFICATION!$AA$8:$AA$13,0)),"Review"))</f>
        <v>Bucket 2 · Legacy</v>
      </c>
      <c r="P2996" s="350" t="str">
        <f>IF($B2996="Portfolio","Portfolio",IFERROR(INDEX(DATA_ASSET_CLASSIFICATION!$C$8:$C$24,MATCH($C2996,DATA_ASSET_CLASSIFICATION!$A$8:$A$24,0)),"Review"))</f>
        <v>Yes</v>
      </c>
      <c r="Q2996" s="350" t="str">
        <f t="shared" ca="1" si="93"/>
        <v>OK</v>
      </c>
    </row>
    <row r="2997" spans="1:17">
      <c r="A2997" s="366" t="s">
        <v>4953</v>
      </c>
      <c r="B2997" s="366" t="s">
        <v>231</v>
      </c>
      <c r="C2997" s="348" t="str">
        <f>DATA_PROPERTY_MASTER!$A$14</f>
        <v>BLD_MM</v>
      </c>
      <c r="D2997" s="380">
        <f>'00_PORTFOLIO ROLLUP'!K$12</f>
        <v>2031</v>
      </c>
      <c r="E2997" s="366" t="s">
        <v>1683</v>
      </c>
      <c r="F2997" s="366" t="s">
        <v>341</v>
      </c>
      <c r="G2997" s="348" t="str">
        <f>"'"&amp;$C2997&amp;"'!$E$24:$Y$24"</f>
        <v>'BLD_MM'!$E$24:$Y$24</v>
      </c>
      <c r="H2997" s="381">
        <f ca="1">IF(IFERROR(INDEX(DATA_PROPERTY_MASTER!$E$5:$E$21,MATCH($C2997,DATA_PROPERTY_MASTER!$A$5:$A$21,0))="Yes",FALSE),IFERROR(INDEX(INDIRECT("'"&amp;$C2997&amp;"'!$E$24:$Y$24"),1,MATCH($D2997,INDIRECT("'"&amp;$C2997&amp;"'!$E$12:$Y$12"),0)),0),0)</f>
        <v>879533.42829266773</v>
      </c>
      <c r="I2997" s="366" t="s">
        <v>1685</v>
      </c>
      <c r="J2997" s="348" t="str">
        <f t="shared" ca="1" si="92"/>
        <v>OK</v>
      </c>
      <c r="K2997" s="366" t="s">
        <v>1686</v>
      </c>
      <c r="L2997" s="366" t="s">
        <v>2234</v>
      </c>
      <c r="M2997" s="350" t="str">
        <f>IF($B2997="Portfolio","Portfolio",IFERROR(INDEX(DATA_ASSET_CLASSIFICATION!$B$8:$B$24,MATCH($C2997,DATA_ASSET_CLASSIFICATION!$A$8:$A$24,0)),"Review"))</f>
        <v>Murray Manor</v>
      </c>
      <c r="N2997" s="350" t="str">
        <f ca="1">IF($B2997="Portfolio","Portfolio",IFERROR(INDEX(DATA_ASSET_CLASSIFICATION!$U$8:$U$24,MATCH($C2997,DATA_ASSET_CLASSIFICATION!$A$8:$A$24,0)),"Review"))</f>
        <v>Refi Watch</v>
      </c>
      <c r="O2997" s="350" t="str">
        <f ca="1">IF($B2997="Portfolio","Portfolio",IFERROR(INDEX(DATA_ASSET_CLASSIFICATION!$AB$8:$AB$13,MATCH($N2997,DATA_ASSET_CLASSIFICATION!$AA$8:$AA$13,0)),"Review"))</f>
        <v>Bucket 2 · Legacy</v>
      </c>
      <c r="P2997" s="350" t="str">
        <f>IF($B2997="Portfolio","Portfolio",IFERROR(INDEX(DATA_ASSET_CLASSIFICATION!$C$8:$C$24,MATCH($C2997,DATA_ASSET_CLASSIFICATION!$A$8:$A$24,0)),"Review"))</f>
        <v>Yes</v>
      </c>
      <c r="Q2997" s="350" t="str">
        <f t="shared" ca="1" si="93"/>
        <v>OK</v>
      </c>
    </row>
    <row r="2998" spans="1:17">
      <c r="A2998" s="366" t="s">
        <v>4954</v>
      </c>
      <c r="B2998" s="366" t="s">
        <v>231</v>
      </c>
      <c r="C2998" s="348" t="str">
        <f>DATA_PROPERTY_MASTER!$A$14</f>
        <v>BLD_MM</v>
      </c>
      <c r="D2998" s="380">
        <f>'00_PORTFOLIO ROLLUP'!K$12</f>
        <v>2031</v>
      </c>
      <c r="E2998" s="366" t="s">
        <v>1683</v>
      </c>
      <c r="F2998" s="366" t="s">
        <v>355</v>
      </c>
      <c r="G2998" s="348" t="str">
        <f>"'"&amp;$C2998&amp;"'!$E$39:$Y$39"</f>
        <v>'BLD_MM'!$E$39:$Y$39</v>
      </c>
      <c r="H2998" s="381">
        <f ca="1">IF(IFERROR(INDEX(DATA_PROPERTY_MASTER!$E$5:$E$21,MATCH($C2998,DATA_PROPERTY_MASTER!$A$5:$A$21,0))="Yes",FALSE),IFERROR(INDEX(INDIRECT("'"&amp;$C2998&amp;"'!$E$39:$Y$39"),1,MATCH($D2998,INDIRECT("'"&amp;$C2998&amp;"'!$E$12:$Y$12"),0)),0),0)</f>
        <v>352257.22283517558</v>
      </c>
      <c r="I2998" s="366" t="s">
        <v>1690</v>
      </c>
      <c r="J2998" s="348" t="str">
        <f t="shared" ca="1" si="92"/>
        <v>OK</v>
      </c>
      <c r="K2998" s="366" t="s">
        <v>1686</v>
      </c>
      <c r="L2998" s="366" t="s">
        <v>2236</v>
      </c>
      <c r="M2998" s="350" t="str">
        <f>IF($B2998="Portfolio","Portfolio",IFERROR(INDEX(DATA_ASSET_CLASSIFICATION!$B$8:$B$24,MATCH($C2998,DATA_ASSET_CLASSIFICATION!$A$8:$A$24,0)),"Review"))</f>
        <v>Murray Manor</v>
      </c>
      <c r="N2998" s="350" t="str">
        <f ca="1">IF($B2998="Portfolio","Portfolio",IFERROR(INDEX(DATA_ASSET_CLASSIFICATION!$U$8:$U$24,MATCH($C2998,DATA_ASSET_CLASSIFICATION!$A$8:$A$24,0)),"Review"))</f>
        <v>Refi Watch</v>
      </c>
      <c r="O2998" s="350" t="str">
        <f ca="1">IF($B2998="Portfolio","Portfolio",IFERROR(INDEX(DATA_ASSET_CLASSIFICATION!$AB$8:$AB$13,MATCH($N2998,DATA_ASSET_CLASSIFICATION!$AA$8:$AA$13,0)),"Review"))</f>
        <v>Bucket 2 · Legacy</v>
      </c>
      <c r="P2998" s="350" t="str">
        <f>IF($B2998="Portfolio","Portfolio",IFERROR(INDEX(DATA_ASSET_CLASSIFICATION!$C$8:$C$24,MATCH($C2998,DATA_ASSET_CLASSIFICATION!$A$8:$A$24,0)),"Review"))</f>
        <v>Yes</v>
      </c>
      <c r="Q2998" s="350" t="str">
        <f t="shared" ca="1" si="93"/>
        <v>OK</v>
      </c>
    </row>
    <row r="2999" spans="1:17">
      <c r="A2999" s="366" t="s">
        <v>4955</v>
      </c>
      <c r="B2999" s="366" t="s">
        <v>231</v>
      </c>
      <c r="C2999" s="348" t="str">
        <f>DATA_PROPERTY_MASTER!$A$14</f>
        <v>BLD_MM</v>
      </c>
      <c r="D2999" s="380">
        <f>'00_PORTFOLIO ROLLUP'!K$12</f>
        <v>2031</v>
      </c>
      <c r="E2999" s="366" t="s">
        <v>1683</v>
      </c>
      <c r="F2999" s="366" t="s">
        <v>19</v>
      </c>
      <c r="G2999" s="348" t="str">
        <f>"'"&amp;$C2999&amp;"'!$E$41:$Y$41"</f>
        <v>'BLD_MM'!$E$41:$Y$41</v>
      </c>
      <c r="H2999" s="381">
        <f ca="1">IF(IFERROR(INDEX(DATA_PROPERTY_MASTER!$E$5:$E$21,MATCH($C2999,DATA_PROPERTY_MASTER!$A$5:$A$21,0))="Yes",FALSE),IFERROR(INDEX(INDIRECT("'"&amp;$C2999&amp;"'!$E$41:$Y$41"),1,MATCH($D2999,INDIRECT("'"&amp;$C2999&amp;"'!$E$12:$Y$12"),0)),0),0)</f>
        <v>527276.20545749215</v>
      </c>
      <c r="I2999" s="366" t="s">
        <v>1685</v>
      </c>
      <c r="J2999" s="348" t="str">
        <f t="shared" ca="1" si="92"/>
        <v>OK</v>
      </c>
      <c r="K2999" s="366" t="s">
        <v>1694</v>
      </c>
      <c r="L2999" s="366" t="s">
        <v>2238</v>
      </c>
      <c r="M2999" s="350" t="str">
        <f>IF($B2999="Portfolio","Portfolio",IFERROR(INDEX(DATA_ASSET_CLASSIFICATION!$B$8:$B$24,MATCH($C2999,DATA_ASSET_CLASSIFICATION!$A$8:$A$24,0)),"Review"))</f>
        <v>Murray Manor</v>
      </c>
      <c r="N2999" s="350" t="str">
        <f ca="1">IF($B2999="Portfolio","Portfolio",IFERROR(INDEX(DATA_ASSET_CLASSIFICATION!$U$8:$U$24,MATCH($C2999,DATA_ASSET_CLASSIFICATION!$A$8:$A$24,0)),"Review"))</f>
        <v>Refi Watch</v>
      </c>
      <c r="O2999" s="350" t="str">
        <f ca="1">IF($B2999="Portfolio","Portfolio",IFERROR(INDEX(DATA_ASSET_CLASSIFICATION!$AB$8:$AB$13,MATCH($N2999,DATA_ASSET_CLASSIFICATION!$AA$8:$AA$13,0)),"Review"))</f>
        <v>Bucket 2 · Legacy</v>
      </c>
      <c r="P2999" s="350" t="str">
        <f>IF($B2999="Portfolio","Portfolio",IFERROR(INDEX(DATA_ASSET_CLASSIFICATION!$C$8:$C$24,MATCH($C2999,DATA_ASSET_CLASSIFICATION!$A$8:$A$24,0)),"Review"))</f>
        <v>Yes</v>
      </c>
      <c r="Q2999" s="350" t="str">
        <f t="shared" ca="1" si="93"/>
        <v>OK</v>
      </c>
    </row>
    <row r="3000" spans="1:17">
      <c r="A3000" s="366" t="s">
        <v>4956</v>
      </c>
      <c r="B3000" s="366" t="s">
        <v>231</v>
      </c>
      <c r="C3000" s="348" t="str">
        <f>DATA_PROPERTY_MASTER!$A$14</f>
        <v>BLD_MM</v>
      </c>
      <c r="D3000" s="380">
        <f>'00_PORTFOLIO ROLLUP'!K$12</f>
        <v>2031</v>
      </c>
      <c r="E3000" s="366" t="s">
        <v>1683</v>
      </c>
      <c r="F3000" s="366" t="s">
        <v>1697</v>
      </c>
      <c r="G3000" s="348" t="str">
        <f>"'"&amp;$C3000&amp;"'!$E$44:$Y$44"</f>
        <v>'BLD_MM'!$E$44:$Y$44</v>
      </c>
      <c r="H3000" s="381">
        <f ca="1">IF(IFERROR(INDEX(DATA_PROPERTY_MASTER!$E$5:$E$21,MATCH($C3000,DATA_PROPERTY_MASTER!$A$5:$A$21,0))="Yes",FALSE),IFERROR(INDEX(INDIRECT("'"&amp;$C3000&amp;"'!$E$44:$Y$44"),1,MATCH($D3000,INDIRECT("'"&amp;$C3000&amp;"'!$E$12:$Y$12"),0)),0),0)</f>
        <v>7939.4450558112003</v>
      </c>
      <c r="I3000" s="366" t="s">
        <v>1690</v>
      </c>
      <c r="J3000" s="348" t="str">
        <f t="shared" ca="1" si="92"/>
        <v>OK</v>
      </c>
      <c r="K3000" s="366" t="s">
        <v>1699</v>
      </c>
      <c r="L3000" s="366" t="s">
        <v>2240</v>
      </c>
      <c r="M3000" s="350" t="str">
        <f>IF($B3000="Portfolio","Portfolio",IFERROR(INDEX(DATA_ASSET_CLASSIFICATION!$B$8:$B$24,MATCH($C3000,DATA_ASSET_CLASSIFICATION!$A$8:$A$24,0)),"Review"))</f>
        <v>Murray Manor</v>
      </c>
      <c r="N3000" s="350" t="str">
        <f ca="1">IF($B3000="Portfolio","Portfolio",IFERROR(INDEX(DATA_ASSET_CLASSIFICATION!$U$8:$U$24,MATCH($C3000,DATA_ASSET_CLASSIFICATION!$A$8:$A$24,0)),"Review"))</f>
        <v>Refi Watch</v>
      </c>
      <c r="O3000" s="350" t="str">
        <f ca="1">IF($B3000="Portfolio","Portfolio",IFERROR(INDEX(DATA_ASSET_CLASSIFICATION!$AB$8:$AB$13,MATCH($N3000,DATA_ASSET_CLASSIFICATION!$AA$8:$AA$13,0)),"Review"))</f>
        <v>Bucket 2 · Legacy</v>
      </c>
      <c r="P3000" s="350" t="str">
        <f>IF($B3000="Portfolio","Portfolio",IFERROR(INDEX(DATA_ASSET_CLASSIFICATION!$C$8:$C$24,MATCH($C3000,DATA_ASSET_CLASSIFICATION!$A$8:$A$24,0)),"Review"))</f>
        <v>Yes</v>
      </c>
      <c r="Q3000" s="350" t="str">
        <f t="shared" ca="1" si="93"/>
        <v>OK</v>
      </c>
    </row>
    <row r="3001" spans="1:17">
      <c r="A3001" s="366" t="s">
        <v>4957</v>
      </c>
      <c r="B3001" s="366" t="s">
        <v>231</v>
      </c>
      <c r="C3001" s="348" t="str">
        <f>DATA_PROPERTY_MASTER!$A$14</f>
        <v>BLD_MM</v>
      </c>
      <c r="D3001" s="380">
        <f>'00_PORTFOLIO ROLLUP'!K$12</f>
        <v>2031</v>
      </c>
      <c r="E3001" s="366" t="s">
        <v>1683</v>
      </c>
      <c r="F3001" s="366" t="s">
        <v>21</v>
      </c>
      <c r="G3001" s="348" t="str">
        <f>"'"&amp;$C3001&amp;"'!$E$45:$Y$45"</f>
        <v>'BLD_MM'!$E$45:$Y$45</v>
      </c>
      <c r="H3001" s="381">
        <f ca="1">IF(IFERROR(INDEX(DATA_PROPERTY_MASTER!$E$5:$E$21,MATCH($C3001,DATA_PROPERTY_MASTER!$A$5:$A$21,0))="Yes",FALSE),IFERROR(INDEX(INDIRECT("'"&amp;$C3001&amp;"'!$E$45:$Y$45"),1,MATCH($D3001,INDIRECT("'"&amp;$C3001&amp;"'!$E$12:$Y$12"),0)),0),0)</f>
        <v>519336.76040168095</v>
      </c>
      <c r="I3001" s="366" t="s">
        <v>1685</v>
      </c>
      <c r="J3001" s="348" t="str">
        <f t="shared" ca="1" si="92"/>
        <v>OK</v>
      </c>
      <c r="K3001" s="366" t="s">
        <v>1694</v>
      </c>
      <c r="L3001" s="366" t="s">
        <v>2242</v>
      </c>
      <c r="M3001" s="350" t="str">
        <f>IF($B3001="Portfolio","Portfolio",IFERROR(INDEX(DATA_ASSET_CLASSIFICATION!$B$8:$B$24,MATCH($C3001,DATA_ASSET_CLASSIFICATION!$A$8:$A$24,0)),"Review"))</f>
        <v>Murray Manor</v>
      </c>
      <c r="N3001" s="350" t="str">
        <f ca="1">IF($B3001="Portfolio","Portfolio",IFERROR(INDEX(DATA_ASSET_CLASSIFICATION!$U$8:$U$24,MATCH($C3001,DATA_ASSET_CLASSIFICATION!$A$8:$A$24,0)),"Review"))</f>
        <v>Refi Watch</v>
      </c>
      <c r="O3001" s="350" t="str">
        <f ca="1">IF($B3001="Portfolio","Portfolio",IFERROR(INDEX(DATA_ASSET_CLASSIFICATION!$AB$8:$AB$13,MATCH($N3001,DATA_ASSET_CLASSIFICATION!$AA$8:$AA$13,0)),"Review"))</f>
        <v>Bucket 2 · Legacy</v>
      </c>
      <c r="P3001" s="350" t="str">
        <f>IF($B3001="Portfolio","Portfolio",IFERROR(INDEX(DATA_ASSET_CLASSIFICATION!$C$8:$C$24,MATCH($C3001,DATA_ASSET_CLASSIFICATION!$A$8:$A$24,0)),"Review"))</f>
        <v>Yes</v>
      </c>
      <c r="Q3001" s="350" t="str">
        <f t="shared" ca="1" si="93"/>
        <v>OK</v>
      </c>
    </row>
    <row r="3002" spans="1:17">
      <c r="A3002" s="366" t="s">
        <v>4958</v>
      </c>
      <c r="B3002" s="366" t="s">
        <v>231</v>
      </c>
      <c r="C3002" s="348" t="str">
        <f>DATA_PROPERTY_MASTER!$A$14</f>
        <v>BLD_MM</v>
      </c>
      <c r="D3002" s="380">
        <f>'00_PORTFOLIO ROLLUP'!K$12</f>
        <v>2031</v>
      </c>
      <c r="E3002" s="366" t="s">
        <v>23</v>
      </c>
      <c r="F3002" s="366" t="s">
        <v>23</v>
      </c>
      <c r="G3002" s="348" t="str">
        <f>"'"&amp;$C3002&amp;"'!$E$48:$Y$48"</f>
        <v>'BLD_MM'!$E$48:$Y$48</v>
      </c>
      <c r="H3002" s="381">
        <f ca="1">IF(IFERROR(INDEX(DATA_PROPERTY_MASTER!$E$5:$E$21,MATCH($C3002,DATA_PROPERTY_MASTER!$A$5:$A$21,0))="Yes",FALSE),IFERROR(INDEX(INDIRECT("'"&amp;$C3002&amp;"'!$E$48:$Y$48"),1,MATCH($D3002,INDIRECT("'"&amp;$C3002&amp;"'!$E$12:$Y$12"),0)),0),0)</f>
        <v>271563.84000000003</v>
      </c>
      <c r="I3002" s="366" t="s">
        <v>1690</v>
      </c>
      <c r="J3002" s="348" t="str">
        <f t="shared" ca="1" si="92"/>
        <v>OK</v>
      </c>
      <c r="K3002" s="366" t="s">
        <v>1706</v>
      </c>
      <c r="L3002" s="366" t="s">
        <v>2244</v>
      </c>
      <c r="M3002" s="350" t="str">
        <f>IF($B3002="Portfolio","Portfolio",IFERROR(INDEX(DATA_ASSET_CLASSIFICATION!$B$8:$B$24,MATCH($C3002,DATA_ASSET_CLASSIFICATION!$A$8:$A$24,0)),"Review"))</f>
        <v>Murray Manor</v>
      </c>
      <c r="N3002" s="350" t="str">
        <f ca="1">IF($B3002="Portfolio","Portfolio",IFERROR(INDEX(DATA_ASSET_CLASSIFICATION!$U$8:$U$24,MATCH($C3002,DATA_ASSET_CLASSIFICATION!$A$8:$A$24,0)),"Review"))</f>
        <v>Refi Watch</v>
      </c>
      <c r="O3002" s="350" t="str">
        <f ca="1">IF($B3002="Portfolio","Portfolio",IFERROR(INDEX(DATA_ASSET_CLASSIFICATION!$AB$8:$AB$13,MATCH($N3002,DATA_ASSET_CLASSIFICATION!$AA$8:$AA$13,0)),"Review"))</f>
        <v>Bucket 2 · Legacy</v>
      </c>
      <c r="P3002" s="350" t="str">
        <f>IF($B3002="Portfolio","Portfolio",IFERROR(INDEX(DATA_ASSET_CLASSIFICATION!$C$8:$C$24,MATCH($C3002,DATA_ASSET_CLASSIFICATION!$A$8:$A$24,0)),"Review"))</f>
        <v>Yes</v>
      </c>
      <c r="Q3002" s="350" t="str">
        <f t="shared" ca="1" si="93"/>
        <v>OK</v>
      </c>
    </row>
    <row r="3003" spans="1:17">
      <c r="A3003" s="366" t="s">
        <v>4959</v>
      </c>
      <c r="B3003" s="366" t="s">
        <v>231</v>
      </c>
      <c r="C3003" s="348" t="str">
        <f>DATA_PROPERTY_MASTER!$A$14</f>
        <v>BLD_MM</v>
      </c>
      <c r="D3003" s="380">
        <f>'00_PORTFOLIO ROLLUP'!K$12</f>
        <v>2031</v>
      </c>
      <c r="E3003" s="366" t="s">
        <v>1683</v>
      </c>
      <c r="F3003" s="366" t="s">
        <v>25</v>
      </c>
      <c r="G3003" s="348" t="str">
        <f>"'"&amp;$C3003&amp;"'!$E$52:$Y$52"</f>
        <v>'BLD_MM'!$E$52:$Y$52</v>
      </c>
      <c r="H3003" s="381">
        <f ca="1">IF(IFERROR(INDEX(DATA_PROPERTY_MASTER!$E$5:$E$21,MATCH($C3003,DATA_PROPERTY_MASTER!$A$5:$A$21,0))="Yes",FALSE),IFERROR(INDEX(INDIRECT("'"&amp;$C3003&amp;"'!$E$52:$Y$52"),1,MATCH($D3003,INDIRECT("'"&amp;$C3003&amp;"'!$E$12:$Y$12"),0)),0),0)</f>
        <v>255712.36545749212</v>
      </c>
      <c r="I3003" s="366" t="s">
        <v>1685</v>
      </c>
      <c r="J3003" s="348" t="str">
        <f t="shared" ca="1" si="92"/>
        <v>OK</v>
      </c>
      <c r="K3003" s="366" t="s">
        <v>1710</v>
      </c>
      <c r="L3003" s="366" t="s">
        <v>2246</v>
      </c>
      <c r="M3003" s="350" t="str">
        <f>IF($B3003="Portfolio","Portfolio",IFERROR(INDEX(DATA_ASSET_CLASSIFICATION!$B$8:$B$24,MATCH($C3003,DATA_ASSET_CLASSIFICATION!$A$8:$A$24,0)),"Review"))</f>
        <v>Murray Manor</v>
      </c>
      <c r="N3003" s="350" t="str">
        <f ca="1">IF($B3003="Portfolio","Portfolio",IFERROR(INDEX(DATA_ASSET_CLASSIFICATION!$U$8:$U$24,MATCH($C3003,DATA_ASSET_CLASSIFICATION!$A$8:$A$24,0)),"Review"))</f>
        <v>Refi Watch</v>
      </c>
      <c r="O3003" s="350" t="str">
        <f ca="1">IF($B3003="Portfolio","Portfolio",IFERROR(INDEX(DATA_ASSET_CLASSIFICATION!$AB$8:$AB$13,MATCH($N3003,DATA_ASSET_CLASSIFICATION!$AA$8:$AA$13,0)),"Review"))</f>
        <v>Bucket 2 · Legacy</v>
      </c>
      <c r="P3003" s="350" t="str">
        <f>IF($B3003="Portfolio","Portfolio",IFERROR(INDEX(DATA_ASSET_CLASSIFICATION!$C$8:$C$24,MATCH($C3003,DATA_ASSET_CLASSIFICATION!$A$8:$A$24,0)),"Review"))</f>
        <v>Yes</v>
      </c>
      <c r="Q3003" s="350" t="str">
        <f t="shared" ca="1" si="93"/>
        <v>OK</v>
      </c>
    </row>
    <row r="3004" spans="1:17">
      <c r="A3004" s="366" t="s">
        <v>4960</v>
      </c>
      <c r="B3004" s="366" t="s">
        <v>231</v>
      </c>
      <c r="C3004" s="348" t="str">
        <f>DATA_PROPERTY_MASTER!$A$14</f>
        <v>BLD_MM</v>
      </c>
      <c r="D3004" s="380">
        <f>'00_PORTFOLIO ROLLUP'!K$12</f>
        <v>2031</v>
      </c>
      <c r="E3004" s="366" t="s">
        <v>1683</v>
      </c>
      <c r="F3004" s="366" t="s">
        <v>27</v>
      </c>
      <c r="G3004" s="348" t="str">
        <f>"'"&amp;$C3004&amp;"'!$E$54:$Y$54"</f>
        <v>'BLD_MM'!$E$54:$Y$54</v>
      </c>
      <c r="H3004" s="381">
        <f ca="1">IF(IFERROR(INDEX(DATA_PROPERTY_MASTER!$E$5:$E$21,MATCH($C3004,DATA_PROPERTY_MASTER!$A$5:$A$21,0))="Yes",FALSE),IFERROR(INDEX(INDIRECT("'"&amp;$C3004&amp;"'!$E$54:$Y$54"),1,MATCH($D3004,INDIRECT("'"&amp;$C3004&amp;"'!$E$12:$Y$12"),0)),0),0)</f>
        <v>153427.41927449527</v>
      </c>
      <c r="I3004" s="366" t="s">
        <v>1690</v>
      </c>
      <c r="J3004" s="348" t="str">
        <f t="shared" ca="1" si="92"/>
        <v>OK</v>
      </c>
      <c r="K3004" s="366" t="s">
        <v>1714</v>
      </c>
      <c r="L3004" s="366" t="s">
        <v>2248</v>
      </c>
      <c r="M3004" s="350" t="str">
        <f>IF($B3004="Portfolio","Portfolio",IFERROR(INDEX(DATA_ASSET_CLASSIFICATION!$B$8:$B$24,MATCH($C3004,DATA_ASSET_CLASSIFICATION!$A$8:$A$24,0)),"Review"))</f>
        <v>Murray Manor</v>
      </c>
      <c r="N3004" s="350" t="str">
        <f ca="1">IF($B3004="Portfolio","Portfolio",IFERROR(INDEX(DATA_ASSET_CLASSIFICATION!$U$8:$U$24,MATCH($C3004,DATA_ASSET_CLASSIFICATION!$A$8:$A$24,0)),"Review"))</f>
        <v>Refi Watch</v>
      </c>
      <c r="O3004" s="350" t="str">
        <f ca="1">IF($B3004="Portfolio","Portfolio",IFERROR(INDEX(DATA_ASSET_CLASSIFICATION!$AB$8:$AB$13,MATCH($N3004,DATA_ASSET_CLASSIFICATION!$AA$8:$AA$13,0)),"Review"))</f>
        <v>Bucket 2 · Legacy</v>
      </c>
      <c r="P3004" s="350" t="str">
        <f>IF($B3004="Portfolio","Portfolio",IFERROR(INDEX(DATA_ASSET_CLASSIFICATION!$C$8:$C$24,MATCH($C3004,DATA_ASSET_CLASSIFICATION!$A$8:$A$24,0)),"Review"))</f>
        <v>Yes</v>
      </c>
      <c r="Q3004" s="350" t="str">
        <f t="shared" ca="1" si="93"/>
        <v>OK</v>
      </c>
    </row>
    <row r="3005" spans="1:17">
      <c r="A3005" s="366" t="s">
        <v>4961</v>
      </c>
      <c r="B3005" s="366" t="s">
        <v>231</v>
      </c>
      <c r="C3005" s="348" t="str">
        <f>DATA_PROPERTY_MASTER!$A$14</f>
        <v>BLD_MM</v>
      </c>
      <c r="D3005" s="380">
        <f>'00_PORTFOLIO ROLLUP'!K$12</f>
        <v>2031</v>
      </c>
      <c r="E3005" s="366" t="s">
        <v>1683</v>
      </c>
      <c r="F3005" s="366" t="s">
        <v>29</v>
      </c>
      <c r="G3005" s="348" t="str">
        <f>"'"&amp;$C3005&amp;"'!$E$56:$Y$56"</f>
        <v>'BLD_MM'!$E$56:$Y$56</v>
      </c>
      <c r="H3005" s="381">
        <f ca="1">IF(IFERROR(INDEX(DATA_PROPERTY_MASTER!$E$5:$E$21,MATCH($C3005,DATA_PROPERTY_MASTER!$A$5:$A$21,0))="Yes",FALSE),IFERROR(INDEX(INDIRECT("'"&amp;$C3005&amp;"'!$E$56:$Y$56"),1,MATCH($D3005,INDIRECT("'"&amp;$C3005&amp;"'!$E$12:$Y$12"),0)),0),0)</f>
        <v>102284.94618299685</v>
      </c>
      <c r="I3005" s="366" t="s">
        <v>1685</v>
      </c>
      <c r="J3005" s="348" t="str">
        <f t="shared" ca="1" si="92"/>
        <v>OK</v>
      </c>
      <c r="K3005" s="366" t="s">
        <v>1718</v>
      </c>
      <c r="L3005" s="366" t="s">
        <v>2250</v>
      </c>
      <c r="M3005" s="350" t="str">
        <f>IF($B3005="Portfolio","Portfolio",IFERROR(INDEX(DATA_ASSET_CLASSIFICATION!$B$8:$B$24,MATCH($C3005,DATA_ASSET_CLASSIFICATION!$A$8:$A$24,0)),"Review"))</f>
        <v>Murray Manor</v>
      </c>
      <c r="N3005" s="350" t="str">
        <f ca="1">IF($B3005="Portfolio","Portfolio",IFERROR(INDEX(DATA_ASSET_CLASSIFICATION!$U$8:$U$24,MATCH($C3005,DATA_ASSET_CLASSIFICATION!$A$8:$A$24,0)),"Review"))</f>
        <v>Refi Watch</v>
      </c>
      <c r="O3005" s="350" t="str">
        <f ca="1">IF($B3005="Portfolio","Portfolio",IFERROR(INDEX(DATA_ASSET_CLASSIFICATION!$AB$8:$AB$13,MATCH($N3005,DATA_ASSET_CLASSIFICATION!$AA$8:$AA$13,0)),"Review"))</f>
        <v>Bucket 2 · Legacy</v>
      </c>
      <c r="P3005" s="350" t="str">
        <f>IF($B3005="Portfolio","Portfolio",IFERROR(INDEX(DATA_ASSET_CLASSIFICATION!$C$8:$C$24,MATCH($C3005,DATA_ASSET_CLASSIFICATION!$A$8:$A$24,0)),"Review"))</f>
        <v>Yes</v>
      </c>
      <c r="Q3005" s="350" t="str">
        <f t="shared" ca="1" si="93"/>
        <v>OK</v>
      </c>
    </row>
    <row r="3006" spans="1:17">
      <c r="A3006" s="366" t="s">
        <v>4962</v>
      </c>
      <c r="B3006" s="366" t="s">
        <v>231</v>
      </c>
      <c r="C3006" s="348" t="str">
        <f>DATA_PROPERTY_MASTER!$A$14</f>
        <v>BLD_MM</v>
      </c>
      <c r="D3006" s="380">
        <f>'00_PORTFOLIO ROLLUP'!K$12</f>
        <v>2031</v>
      </c>
      <c r="E3006" s="366" t="s">
        <v>1721</v>
      </c>
      <c r="F3006" s="366" t="s">
        <v>31</v>
      </c>
      <c r="G3006" s="348" t="str">
        <f>"'"&amp;$C3006&amp;"'!$E$61:$Y$61"</f>
        <v>'BLD_MM'!$E$61:$Y$61</v>
      </c>
      <c r="H3006" s="381">
        <f ca="1">IF(IFERROR(INDEX(DATA_PROPERTY_MASTER!$E$5:$E$21,MATCH($C3006,DATA_PROPERTY_MASTER!$A$5:$A$21,0))="Yes",FALSE),IFERROR(INDEX(INDIRECT("'"&amp;$C3006&amp;"'!$E$61:$Y$61"),1,MATCH($D3006,INDIRECT("'"&amp;$C3006&amp;"'!$E$12:$Y$12"),0)),0),0)</f>
        <v>0</v>
      </c>
      <c r="I3006" s="366" t="s">
        <v>1690</v>
      </c>
      <c r="J3006" s="348" t="str">
        <f t="shared" ca="1" si="92"/>
        <v>OK</v>
      </c>
      <c r="K3006" s="366" t="s">
        <v>1723</v>
      </c>
      <c r="L3006" s="366" t="s">
        <v>2252</v>
      </c>
      <c r="M3006" s="350" t="str">
        <f>IF($B3006="Portfolio","Portfolio",IFERROR(INDEX(DATA_ASSET_CLASSIFICATION!$B$8:$B$24,MATCH($C3006,DATA_ASSET_CLASSIFICATION!$A$8:$A$24,0)),"Review"))</f>
        <v>Murray Manor</v>
      </c>
      <c r="N3006" s="350" t="str">
        <f ca="1">IF($B3006="Portfolio","Portfolio",IFERROR(INDEX(DATA_ASSET_CLASSIFICATION!$U$8:$U$24,MATCH($C3006,DATA_ASSET_CLASSIFICATION!$A$8:$A$24,0)),"Review"))</f>
        <v>Refi Watch</v>
      </c>
      <c r="O3006" s="350" t="str">
        <f ca="1">IF($B3006="Portfolio","Portfolio",IFERROR(INDEX(DATA_ASSET_CLASSIFICATION!$AB$8:$AB$13,MATCH($N3006,DATA_ASSET_CLASSIFICATION!$AA$8:$AA$13,0)),"Review"))</f>
        <v>Bucket 2 · Legacy</v>
      </c>
      <c r="P3006" s="350" t="str">
        <f>IF($B3006="Portfolio","Portfolio",IFERROR(INDEX(DATA_ASSET_CLASSIFICATION!$C$8:$C$24,MATCH($C3006,DATA_ASSET_CLASSIFICATION!$A$8:$A$24,0)),"Review"))</f>
        <v>Yes</v>
      </c>
      <c r="Q3006" s="350" t="str">
        <f t="shared" ca="1" si="93"/>
        <v>OK</v>
      </c>
    </row>
    <row r="3007" spans="1:17">
      <c r="A3007" s="366" t="s">
        <v>4963</v>
      </c>
      <c r="B3007" s="366" t="s">
        <v>231</v>
      </c>
      <c r="C3007" s="348" t="str">
        <f>DATA_PROPERTY_MASTER!$A$14</f>
        <v>BLD_MM</v>
      </c>
      <c r="D3007" s="380">
        <f>'00_PORTFOLIO ROLLUP'!K$12</f>
        <v>2031</v>
      </c>
      <c r="E3007" s="366" t="s">
        <v>1721</v>
      </c>
      <c r="F3007" s="366" t="s">
        <v>33</v>
      </c>
      <c r="G3007" s="348" t="str">
        <f>"'"&amp;$C3007&amp;"'!$E$62:$Y$62"</f>
        <v>'BLD_MM'!$E$62:$Y$62</v>
      </c>
      <c r="H3007" s="381">
        <f ca="1">IF(IFERROR(INDEX(DATA_PROPERTY_MASTER!$E$5:$E$21,MATCH($C3007,DATA_PROPERTY_MASTER!$A$5:$A$21,0))="Yes",FALSE),IFERROR(INDEX(INDIRECT("'"&amp;$C3007&amp;"'!$E$62:$Y$62"),1,MATCH($D3007,INDIRECT("'"&amp;$C3007&amp;"'!$E$12:$Y$12"),0)),0),0)</f>
        <v>0</v>
      </c>
      <c r="I3007" s="366" t="s">
        <v>1685</v>
      </c>
      <c r="J3007" s="348" t="str">
        <f t="shared" ca="1" si="92"/>
        <v>OK</v>
      </c>
      <c r="K3007" s="366" t="s">
        <v>1727</v>
      </c>
      <c r="L3007" s="366" t="s">
        <v>2254</v>
      </c>
      <c r="M3007" s="350" t="str">
        <f>IF($B3007="Portfolio","Portfolio",IFERROR(INDEX(DATA_ASSET_CLASSIFICATION!$B$8:$B$24,MATCH($C3007,DATA_ASSET_CLASSIFICATION!$A$8:$A$24,0)),"Review"))</f>
        <v>Murray Manor</v>
      </c>
      <c r="N3007" s="350" t="str">
        <f ca="1">IF($B3007="Portfolio","Portfolio",IFERROR(INDEX(DATA_ASSET_CLASSIFICATION!$U$8:$U$24,MATCH($C3007,DATA_ASSET_CLASSIFICATION!$A$8:$A$24,0)),"Review"))</f>
        <v>Refi Watch</v>
      </c>
      <c r="O3007" s="350" t="str">
        <f ca="1">IF($B3007="Portfolio","Portfolio",IFERROR(INDEX(DATA_ASSET_CLASSIFICATION!$AB$8:$AB$13,MATCH($N3007,DATA_ASSET_CLASSIFICATION!$AA$8:$AA$13,0)),"Review"))</f>
        <v>Bucket 2 · Legacy</v>
      </c>
      <c r="P3007" s="350" t="str">
        <f>IF($B3007="Portfolio","Portfolio",IFERROR(INDEX(DATA_ASSET_CLASSIFICATION!$C$8:$C$24,MATCH($C3007,DATA_ASSET_CLASSIFICATION!$A$8:$A$24,0)),"Review"))</f>
        <v>Yes</v>
      </c>
      <c r="Q3007" s="350" t="str">
        <f t="shared" ca="1" si="93"/>
        <v>OK</v>
      </c>
    </row>
    <row r="3008" spans="1:17">
      <c r="A3008" s="366" t="s">
        <v>4964</v>
      </c>
      <c r="B3008" s="366" t="s">
        <v>231</v>
      </c>
      <c r="C3008" s="348" t="str">
        <f>DATA_PROPERTY_MASTER!$A$14</f>
        <v>BLD_MM</v>
      </c>
      <c r="D3008" s="380">
        <f>'00_PORTFOLIO ROLLUP'!K$12</f>
        <v>2031</v>
      </c>
      <c r="E3008" s="366" t="s">
        <v>1721</v>
      </c>
      <c r="F3008" s="366" t="s">
        <v>35</v>
      </c>
      <c r="G3008" s="348" t="str">
        <f>"'"&amp;$C3008&amp;"'!$E$63:$Y$63"</f>
        <v>'BLD_MM'!$E$63:$Y$63</v>
      </c>
      <c r="H3008" s="381">
        <f ca="1">IF(IFERROR(INDEX(DATA_PROPERTY_MASTER!$E$5:$E$21,MATCH($C3008,DATA_PROPERTY_MASTER!$A$5:$A$21,0))="Yes",FALSE),IFERROR(INDEX(INDIRECT("'"&amp;$C3008&amp;"'!$E$63:$Y$63"),1,MATCH($D3008,INDIRECT("'"&amp;$C3008&amp;"'!$E$12:$Y$12"),0)),0),0)</f>
        <v>0</v>
      </c>
      <c r="I3008" s="366" t="s">
        <v>1731</v>
      </c>
      <c r="J3008" s="348" t="str">
        <f t="shared" ca="1" si="92"/>
        <v>OK</v>
      </c>
      <c r="K3008" s="366" t="s">
        <v>1732</v>
      </c>
      <c r="L3008" s="366" t="s">
        <v>2256</v>
      </c>
      <c r="M3008" s="350" t="str">
        <f>IF($B3008="Portfolio","Portfolio",IFERROR(INDEX(DATA_ASSET_CLASSIFICATION!$B$8:$B$24,MATCH($C3008,DATA_ASSET_CLASSIFICATION!$A$8:$A$24,0)),"Review"))</f>
        <v>Murray Manor</v>
      </c>
      <c r="N3008" s="350" t="str">
        <f ca="1">IF($B3008="Portfolio","Portfolio",IFERROR(INDEX(DATA_ASSET_CLASSIFICATION!$U$8:$U$24,MATCH($C3008,DATA_ASSET_CLASSIFICATION!$A$8:$A$24,0)),"Review"))</f>
        <v>Refi Watch</v>
      </c>
      <c r="O3008" s="350" t="str">
        <f ca="1">IF($B3008="Portfolio","Portfolio",IFERROR(INDEX(DATA_ASSET_CLASSIFICATION!$AB$8:$AB$13,MATCH($N3008,DATA_ASSET_CLASSIFICATION!$AA$8:$AA$13,0)),"Review"))</f>
        <v>Bucket 2 · Legacy</v>
      </c>
      <c r="P3008" s="350" t="str">
        <f>IF($B3008="Portfolio","Portfolio",IFERROR(INDEX(DATA_ASSET_CLASSIFICATION!$C$8:$C$24,MATCH($C3008,DATA_ASSET_CLASSIFICATION!$A$8:$A$24,0)),"Review"))</f>
        <v>Yes</v>
      </c>
      <c r="Q3008" s="350" t="str">
        <f t="shared" ca="1" si="93"/>
        <v>OK</v>
      </c>
    </row>
    <row r="3009" spans="1:17">
      <c r="A3009" s="366" t="s">
        <v>4965</v>
      </c>
      <c r="B3009" s="366" t="s">
        <v>231</v>
      </c>
      <c r="C3009" s="348" t="str">
        <f>DATA_PROPERTY_MASTER!$A$14</f>
        <v>BLD_MM</v>
      </c>
      <c r="D3009" s="380">
        <f>'00_PORTFOLIO ROLLUP'!K$12</f>
        <v>2031</v>
      </c>
      <c r="E3009" s="366" t="s">
        <v>1721</v>
      </c>
      <c r="F3009" s="366" t="s">
        <v>37</v>
      </c>
      <c r="G3009" s="348" t="str">
        <f>"'"&amp;$C3009&amp;"'!$E$63:$Y$63"</f>
        <v>'BLD_MM'!$E$63:$Y$63</v>
      </c>
      <c r="H3009" s="381">
        <f ca="1">IF(IFERROR(INDEX(DATA_PROPERTY_MASTER!$E$5:$E$21,MATCH($C3009,DATA_PROPERTY_MASTER!$A$5:$A$21,0))="Yes",FALSE),MAX(IFERROR(INDEX(INDIRECT("'"&amp;$C3009&amp;"'!$E$63:$Y$63"),1,MATCH($D3009,INDIRECT("'"&amp;$C3009&amp;"'!$E$12:$Y$12"),0)),0),0),0)</f>
        <v>0</v>
      </c>
      <c r="I3009" s="366" t="s">
        <v>1685</v>
      </c>
      <c r="J3009" s="348" t="str">
        <f t="shared" ca="1" si="92"/>
        <v>OK</v>
      </c>
      <c r="K3009" s="366" t="s">
        <v>1735</v>
      </c>
      <c r="L3009" s="366" t="s">
        <v>2258</v>
      </c>
      <c r="M3009" s="350" t="str">
        <f>IF($B3009="Portfolio","Portfolio",IFERROR(INDEX(DATA_ASSET_CLASSIFICATION!$B$8:$B$24,MATCH($C3009,DATA_ASSET_CLASSIFICATION!$A$8:$A$24,0)),"Review"))</f>
        <v>Murray Manor</v>
      </c>
      <c r="N3009" s="350" t="str">
        <f ca="1">IF($B3009="Portfolio","Portfolio",IFERROR(INDEX(DATA_ASSET_CLASSIFICATION!$U$8:$U$24,MATCH($C3009,DATA_ASSET_CLASSIFICATION!$A$8:$A$24,0)),"Review"))</f>
        <v>Refi Watch</v>
      </c>
      <c r="O3009" s="350" t="str">
        <f ca="1">IF($B3009="Portfolio","Portfolio",IFERROR(INDEX(DATA_ASSET_CLASSIFICATION!$AB$8:$AB$13,MATCH($N3009,DATA_ASSET_CLASSIFICATION!$AA$8:$AA$13,0)),"Review"))</f>
        <v>Bucket 2 · Legacy</v>
      </c>
      <c r="P3009" s="350" t="str">
        <f>IF($B3009="Portfolio","Portfolio",IFERROR(INDEX(DATA_ASSET_CLASSIFICATION!$C$8:$C$24,MATCH($C3009,DATA_ASSET_CLASSIFICATION!$A$8:$A$24,0)),"Review"))</f>
        <v>Yes</v>
      </c>
      <c r="Q3009" s="350" t="str">
        <f t="shared" ca="1" si="93"/>
        <v>OK</v>
      </c>
    </row>
    <row r="3010" spans="1:17">
      <c r="A3010" s="366" t="s">
        <v>4966</v>
      </c>
      <c r="B3010" s="366" t="s">
        <v>231</v>
      </c>
      <c r="C3010" s="348" t="str">
        <f>DATA_PROPERTY_MASTER!$A$14</f>
        <v>BLD_MM</v>
      </c>
      <c r="D3010" s="380">
        <f>'00_PORTFOLIO ROLLUP'!K$12</f>
        <v>2031</v>
      </c>
      <c r="E3010" s="366" t="s">
        <v>1721</v>
      </c>
      <c r="F3010" s="366" t="s">
        <v>39</v>
      </c>
      <c r="G3010" s="348" t="str">
        <f>"'"&amp;$C3010&amp;"'!$E$63:$Y$63"</f>
        <v>'BLD_MM'!$E$63:$Y$63</v>
      </c>
      <c r="H3010" s="381">
        <f ca="1">IF(IFERROR(INDEX(DATA_PROPERTY_MASTER!$E$5:$E$21,MATCH($C3010,DATA_PROPERTY_MASTER!$A$5:$A$21,0))="Yes",FALSE),MAX(-IFERROR(INDEX(INDIRECT("'"&amp;$C3010&amp;"'!$E$63:$Y$63"),1,MATCH($D3010,INDIRECT("'"&amp;$C3010&amp;"'!$E$12:$Y$12"),0)),0),0),0)</f>
        <v>0</v>
      </c>
      <c r="I3010" s="366" t="s">
        <v>1690</v>
      </c>
      <c r="J3010" s="348" t="str">
        <f t="shared" ca="1" si="92"/>
        <v>OK</v>
      </c>
      <c r="K3010" s="366" t="s">
        <v>1738</v>
      </c>
      <c r="L3010" s="366" t="s">
        <v>2260</v>
      </c>
      <c r="M3010" s="350" t="str">
        <f>IF($B3010="Portfolio","Portfolio",IFERROR(INDEX(DATA_ASSET_CLASSIFICATION!$B$8:$B$24,MATCH($C3010,DATA_ASSET_CLASSIFICATION!$A$8:$A$24,0)),"Review"))</f>
        <v>Murray Manor</v>
      </c>
      <c r="N3010" s="350" t="str">
        <f ca="1">IF($B3010="Portfolio","Portfolio",IFERROR(INDEX(DATA_ASSET_CLASSIFICATION!$U$8:$U$24,MATCH($C3010,DATA_ASSET_CLASSIFICATION!$A$8:$A$24,0)),"Review"))</f>
        <v>Refi Watch</v>
      </c>
      <c r="O3010" s="350" t="str">
        <f ca="1">IF($B3010="Portfolio","Portfolio",IFERROR(INDEX(DATA_ASSET_CLASSIFICATION!$AB$8:$AB$13,MATCH($N3010,DATA_ASSET_CLASSIFICATION!$AA$8:$AA$13,0)),"Review"))</f>
        <v>Bucket 2 · Legacy</v>
      </c>
      <c r="P3010" s="350" t="str">
        <f>IF($B3010="Portfolio","Portfolio",IFERROR(INDEX(DATA_ASSET_CLASSIFICATION!$C$8:$C$24,MATCH($C3010,DATA_ASSET_CLASSIFICATION!$A$8:$A$24,0)),"Review"))</f>
        <v>Yes</v>
      </c>
      <c r="Q3010" s="350" t="str">
        <f t="shared" ca="1" si="93"/>
        <v>OK</v>
      </c>
    </row>
    <row r="3011" spans="1:17">
      <c r="A3011" s="366" t="s">
        <v>4967</v>
      </c>
      <c r="B3011" s="366" t="s">
        <v>231</v>
      </c>
      <c r="C3011" s="348" t="str">
        <f>DATA_PROPERTY_MASTER!$A$14</f>
        <v>BLD_MM</v>
      </c>
      <c r="D3011" s="380">
        <f>'00_PORTFOLIO ROLLUP'!K$12</f>
        <v>2031</v>
      </c>
      <c r="E3011" s="366" t="s">
        <v>1741</v>
      </c>
      <c r="F3011" s="366" t="s">
        <v>41</v>
      </c>
      <c r="G3011" s="348" t="str">
        <f>"'"&amp;$C3011&amp;"'!rows 56 + positive row 63"</f>
        <v>'BLD_MM'!rows 56 + positive row 63</v>
      </c>
      <c r="H3011" s="381">
        <f ca="1">IF(IFERROR(INDEX(DATA_PROPERTY_MASTER!$E$5:$E$21,MATCH($C3011,DATA_PROPERTY_MASTER!$A$5:$A$21,0))="Yes",FALSE),IFERROR(INDEX(INDIRECT("'"&amp;$C3011&amp;"'!$E$56:$Y$56"),1,MATCH($D3011,INDIRECT("'"&amp;$C3011&amp;"'!$E$12:$Y$12"),0)),0)+MAX(IFERROR(INDEX(INDIRECT("'"&amp;$C3011&amp;"'!$E$63:$Y$63"),1,MATCH($D3011,INDIRECT("'"&amp;$C3011&amp;"'!$E$12:$Y$12"),0)),0),0),0)</f>
        <v>102284.94618299685</v>
      </c>
      <c r="I3011" s="366" t="s">
        <v>1685</v>
      </c>
      <c r="J3011" s="348" t="str">
        <f t="shared" ca="1" si="92"/>
        <v>OK</v>
      </c>
      <c r="K3011" s="366" t="s">
        <v>1742</v>
      </c>
      <c r="L3011" s="366" t="s">
        <v>2262</v>
      </c>
      <c r="M3011" s="350" t="str">
        <f>IF($B3011="Portfolio","Portfolio",IFERROR(INDEX(DATA_ASSET_CLASSIFICATION!$B$8:$B$24,MATCH($C3011,DATA_ASSET_CLASSIFICATION!$A$8:$A$24,0)),"Review"))</f>
        <v>Murray Manor</v>
      </c>
      <c r="N3011" s="350" t="str">
        <f ca="1">IF($B3011="Portfolio","Portfolio",IFERROR(INDEX(DATA_ASSET_CLASSIFICATION!$U$8:$U$24,MATCH($C3011,DATA_ASSET_CLASSIFICATION!$A$8:$A$24,0)),"Review"))</f>
        <v>Refi Watch</v>
      </c>
      <c r="O3011" s="350" t="str">
        <f ca="1">IF($B3011="Portfolio","Portfolio",IFERROR(INDEX(DATA_ASSET_CLASSIFICATION!$AB$8:$AB$13,MATCH($N3011,DATA_ASSET_CLASSIFICATION!$AA$8:$AA$13,0)),"Review"))</f>
        <v>Bucket 2 · Legacy</v>
      </c>
      <c r="P3011" s="350" t="str">
        <f>IF($B3011="Portfolio","Portfolio",IFERROR(INDEX(DATA_ASSET_CLASSIFICATION!$C$8:$C$24,MATCH($C3011,DATA_ASSET_CLASSIFICATION!$A$8:$A$24,0)),"Review"))</f>
        <v>Yes</v>
      </c>
      <c r="Q3011" s="350" t="str">
        <f t="shared" ca="1" si="93"/>
        <v>OK</v>
      </c>
    </row>
    <row r="3012" spans="1:17">
      <c r="A3012" s="366" t="s">
        <v>4968</v>
      </c>
      <c r="B3012" s="366" t="s">
        <v>231</v>
      </c>
      <c r="C3012" s="348" t="str">
        <f>DATA_PROPERTY_MASTER!$A$14</f>
        <v>BLD_MM</v>
      </c>
      <c r="D3012" s="380">
        <f>'00_PORTFOLIO ROLLUP'!K$12</f>
        <v>2031</v>
      </c>
      <c r="E3012" s="366" t="s">
        <v>1741</v>
      </c>
      <c r="F3012" s="366" t="s">
        <v>43</v>
      </c>
      <c r="G3012" s="348" t="str">
        <f>"'"&amp;$C3012&amp;"'!$E$68:$Y$68"</f>
        <v>'BLD_MM'!$E$68:$Y$68</v>
      </c>
      <c r="H3012" s="381">
        <f ca="1">IF(IFERROR(INDEX(DATA_PROPERTY_MASTER!$E$5:$E$21,MATCH($C3012,DATA_PROPERTY_MASTER!$A$5:$A$21,0))="Yes",FALSE),IFERROR(INDEX(INDIRECT("'"&amp;$C3012&amp;"'!$E$68:$Y$68"),1,MATCH($D3012,INDIRECT("'"&amp;$C3012&amp;"'!$E$12:$Y$12"),0)),0),0)</f>
        <v>102284.94618299685</v>
      </c>
      <c r="I3012" s="366" t="s">
        <v>1731</v>
      </c>
      <c r="J3012" s="348" t="str">
        <f t="shared" ca="1" si="92"/>
        <v>OK</v>
      </c>
      <c r="K3012" s="366" t="s">
        <v>1746</v>
      </c>
      <c r="L3012" s="366" t="s">
        <v>2264</v>
      </c>
      <c r="M3012" s="350" t="str">
        <f>IF($B3012="Portfolio","Portfolio",IFERROR(INDEX(DATA_ASSET_CLASSIFICATION!$B$8:$B$24,MATCH($C3012,DATA_ASSET_CLASSIFICATION!$A$8:$A$24,0)),"Review"))</f>
        <v>Murray Manor</v>
      </c>
      <c r="N3012" s="350" t="str">
        <f ca="1">IF($B3012="Portfolio","Portfolio",IFERROR(INDEX(DATA_ASSET_CLASSIFICATION!$U$8:$U$24,MATCH($C3012,DATA_ASSET_CLASSIFICATION!$A$8:$A$24,0)),"Review"))</f>
        <v>Refi Watch</v>
      </c>
      <c r="O3012" s="350" t="str">
        <f ca="1">IF($B3012="Portfolio","Portfolio",IFERROR(INDEX(DATA_ASSET_CLASSIFICATION!$AB$8:$AB$13,MATCH($N3012,DATA_ASSET_CLASSIFICATION!$AA$8:$AA$13,0)),"Review"))</f>
        <v>Bucket 2 · Legacy</v>
      </c>
      <c r="P3012" s="350" t="str">
        <f>IF($B3012="Portfolio","Portfolio",IFERROR(INDEX(DATA_ASSET_CLASSIFICATION!$C$8:$C$24,MATCH($C3012,DATA_ASSET_CLASSIFICATION!$A$8:$A$24,0)),"Review"))</f>
        <v>Yes</v>
      </c>
      <c r="Q3012" s="350" t="str">
        <f t="shared" ca="1" si="93"/>
        <v>OK</v>
      </c>
    </row>
    <row r="3013" spans="1:17">
      <c r="A3013" s="366" t="s">
        <v>4969</v>
      </c>
      <c r="B3013" s="366" t="s">
        <v>231</v>
      </c>
      <c r="C3013" s="348" t="str">
        <f>DATA_PROPERTY_MASTER!$A$14</f>
        <v>BLD_MM</v>
      </c>
      <c r="D3013" s="380">
        <f>'00_PORTFOLIO ROLLUP'!K$12</f>
        <v>2031</v>
      </c>
      <c r="E3013" s="366" t="s">
        <v>1741</v>
      </c>
      <c r="F3013" s="366" t="s">
        <v>1749</v>
      </c>
      <c r="G3013" s="348" t="str">
        <f>"'"&amp;$C3013&amp;"'!rows 56, 63, 68"</f>
        <v>'BLD_MM'!rows 56, 63, 68</v>
      </c>
      <c r="H3013" s="381">
        <f ca="1">IF(IFERROR(INDEX(DATA_PROPERTY_MASTER!$E$5:$E$21,MATCH($C3013,DATA_PROPERTY_MASTER!$A$5:$A$21,0))="Yes",FALSE),(IFERROR(INDEX(INDIRECT("'"&amp;$C3013&amp;"'!$E$56:$Y$56"),1,MATCH($D3013,INDIRECT("'"&amp;$C3013&amp;"'!$E$12:$Y$12"),0)),0)+MAX(IFERROR(INDEX(INDIRECT("'"&amp;$C3013&amp;"'!$E$63:$Y$63"),1,MATCH($D3013,INDIRECT("'"&amp;$C3013&amp;"'!$E$12:$Y$12"),0)),0),0))-(IFERROR(INDEX(INDIRECT("'"&amp;$C3013&amp;"'!$E$68:$Y$68"),1,MATCH($D3013,INDIRECT("'"&amp;$C3013&amp;"'!$E$12:$Y$12"),0)),0)),0)</f>
        <v>0</v>
      </c>
      <c r="I3013" s="366" t="s">
        <v>1750</v>
      </c>
      <c r="J3013" s="348" t="str">
        <f t="shared" ref="J3013:J3076" ca="1" si="94">IF($F3013="Residual Funding Gap",IF($H3013&gt;0,"Funding Gap","OK"),IF(AND($F3013="Net Refinance Position",$H3013&lt;0),"Negative net refi position","OK"))</f>
        <v>OK</v>
      </c>
      <c r="K3013" s="366" t="s">
        <v>1751</v>
      </c>
      <c r="L3013" s="366" t="s">
        <v>2266</v>
      </c>
      <c r="M3013" s="350" t="str">
        <f>IF($B3013="Portfolio","Portfolio",IFERROR(INDEX(DATA_ASSET_CLASSIFICATION!$B$8:$B$24,MATCH($C3013,DATA_ASSET_CLASSIFICATION!$A$8:$A$24,0)),"Review"))</f>
        <v>Murray Manor</v>
      </c>
      <c r="N3013" s="350" t="str">
        <f ca="1">IF($B3013="Portfolio","Portfolio",IFERROR(INDEX(DATA_ASSET_CLASSIFICATION!$U$8:$U$24,MATCH($C3013,DATA_ASSET_CLASSIFICATION!$A$8:$A$24,0)),"Review"))</f>
        <v>Refi Watch</v>
      </c>
      <c r="O3013" s="350" t="str">
        <f ca="1">IF($B3013="Portfolio","Portfolio",IFERROR(INDEX(DATA_ASSET_CLASSIFICATION!$AB$8:$AB$13,MATCH($N3013,DATA_ASSET_CLASSIFICATION!$AA$8:$AA$13,0)),"Review"))</f>
        <v>Bucket 2 · Legacy</v>
      </c>
      <c r="P3013" s="350" t="str">
        <f>IF($B3013="Portfolio","Portfolio",IFERROR(INDEX(DATA_ASSET_CLASSIFICATION!$C$8:$C$24,MATCH($C3013,DATA_ASSET_CLASSIFICATION!$A$8:$A$24,0)),"Review"))</f>
        <v>Yes</v>
      </c>
      <c r="Q3013" s="350" t="str">
        <f t="shared" ref="Q3013:Q3076" ca="1" si="95">IF(AND($B3013="Property",$F3013="Residual Funding Gap",$H3013&gt;0),"Property Funding Gap",IF($J3013&lt;&gt;"OK",$J3013,"OK"))</f>
        <v>OK</v>
      </c>
    </row>
    <row r="3014" spans="1:17">
      <c r="A3014" s="366" t="s">
        <v>4970</v>
      </c>
      <c r="B3014" s="366" t="s">
        <v>231</v>
      </c>
      <c r="C3014" s="348" t="str">
        <f>DATA_PROPERTY_MASTER!$A$14</f>
        <v>BLD_MM</v>
      </c>
      <c r="D3014" s="380">
        <f>'00_PORTFOLIO ROLLUP'!L$12</f>
        <v>2032</v>
      </c>
      <c r="E3014" s="366" t="s">
        <v>1683</v>
      </c>
      <c r="F3014" s="366" t="s">
        <v>341</v>
      </c>
      <c r="G3014" s="348" t="str">
        <f>"'"&amp;$C3014&amp;"'!$E$24:$Y$24"</f>
        <v>'BLD_MM'!$E$24:$Y$24</v>
      </c>
      <c r="H3014" s="381">
        <f ca="1">IF(IFERROR(INDEX(DATA_PROPERTY_MASTER!$E$5:$E$21,MATCH($C3014,DATA_PROPERTY_MASTER!$A$5:$A$21,0))="Yes",FALSE),IFERROR(INDEX(INDIRECT("'"&amp;$C3014&amp;"'!$E$24:$Y$24"),1,MATCH($D3014,INDIRECT("'"&amp;$C3014&amp;"'!$E$12:$Y$12"),0)),0),0)</f>
        <v>897124.09685852076</v>
      </c>
      <c r="I3014" s="366" t="s">
        <v>1685</v>
      </c>
      <c r="J3014" s="348" t="str">
        <f t="shared" ca="1" si="94"/>
        <v>OK</v>
      </c>
      <c r="K3014" s="366" t="s">
        <v>1686</v>
      </c>
      <c r="L3014" s="366" t="s">
        <v>2234</v>
      </c>
      <c r="M3014" s="350" t="str">
        <f>IF($B3014="Portfolio","Portfolio",IFERROR(INDEX(DATA_ASSET_CLASSIFICATION!$B$8:$B$24,MATCH($C3014,DATA_ASSET_CLASSIFICATION!$A$8:$A$24,0)),"Review"))</f>
        <v>Murray Manor</v>
      </c>
      <c r="N3014" s="350" t="str">
        <f ca="1">IF($B3014="Portfolio","Portfolio",IFERROR(INDEX(DATA_ASSET_CLASSIFICATION!$U$8:$U$24,MATCH($C3014,DATA_ASSET_CLASSIFICATION!$A$8:$A$24,0)),"Review"))</f>
        <v>Refi Watch</v>
      </c>
      <c r="O3014" s="350" t="str">
        <f ca="1">IF($B3014="Portfolio","Portfolio",IFERROR(INDEX(DATA_ASSET_CLASSIFICATION!$AB$8:$AB$13,MATCH($N3014,DATA_ASSET_CLASSIFICATION!$AA$8:$AA$13,0)),"Review"))</f>
        <v>Bucket 2 · Legacy</v>
      </c>
      <c r="P3014" s="350" t="str">
        <f>IF($B3014="Portfolio","Portfolio",IFERROR(INDEX(DATA_ASSET_CLASSIFICATION!$C$8:$C$24,MATCH($C3014,DATA_ASSET_CLASSIFICATION!$A$8:$A$24,0)),"Review"))</f>
        <v>Yes</v>
      </c>
      <c r="Q3014" s="350" t="str">
        <f t="shared" ca="1" si="95"/>
        <v>OK</v>
      </c>
    </row>
    <row r="3015" spans="1:17">
      <c r="A3015" s="366" t="s">
        <v>4971</v>
      </c>
      <c r="B3015" s="366" t="s">
        <v>231</v>
      </c>
      <c r="C3015" s="348" t="str">
        <f>DATA_PROPERTY_MASTER!$A$14</f>
        <v>BLD_MM</v>
      </c>
      <c r="D3015" s="380">
        <f>'00_PORTFOLIO ROLLUP'!L$12</f>
        <v>2032</v>
      </c>
      <c r="E3015" s="366" t="s">
        <v>1683</v>
      </c>
      <c r="F3015" s="366" t="s">
        <v>355</v>
      </c>
      <c r="G3015" s="348" t="str">
        <f>"'"&amp;$C3015&amp;"'!$E$39:$Y$39"</f>
        <v>'BLD_MM'!$E$39:$Y$39</v>
      </c>
      <c r="H3015" s="381">
        <f ca="1">IF(IFERROR(INDEX(DATA_PROPERTY_MASTER!$E$5:$E$21,MATCH($C3015,DATA_PROPERTY_MASTER!$A$5:$A$21,0))="Yes",FALSE),IFERROR(INDEX(INDIRECT("'"&amp;$C3015&amp;"'!$E$39:$Y$39"),1,MATCH($D3015,INDIRECT("'"&amp;$C3015&amp;"'!$E$12:$Y$12"),0)),0),0)</f>
        <v>366347.51174858253</v>
      </c>
      <c r="I3015" s="366" t="s">
        <v>1690</v>
      </c>
      <c r="J3015" s="348" t="str">
        <f t="shared" ca="1" si="94"/>
        <v>OK</v>
      </c>
      <c r="K3015" s="366" t="s">
        <v>1686</v>
      </c>
      <c r="L3015" s="366" t="s">
        <v>2236</v>
      </c>
      <c r="M3015" s="350" t="str">
        <f>IF($B3015="Portfolio","Portfolio",IFERROR(INDEX(DATA_ASSET_CLASSIFICATION!$B$8:$B$24,MATCH($C3015,DATA_ASSET_CLASSIFICATION!$A$8:$A$24,0)),"Review"))</f>
        <v>Murray Manor</v>
      </c>
      <c r="N3015" s="350" t="str">
        <f ca="1">IF($B3015="Portfolio","Portfolio",IFERROR(INDEX(DATA_ASSET_CLASSIFICATION!$U$8:$U$24,MATCH($C3015,DATA_ASSET_CLASSIFICATION!$A$8:$A$24,0)),"Review"))</f>
        <v>Refi Watch</v>
      </c>
      <c r="O3015" s="350" t="str">
        <f ca="1">IF($B3015="Portfolio","Portfolio",IFERROR(INDEX(DATA_ASSET_CLASSIFICATION!$AB$8:$AB$13,MATCH($N3015,DATA_ASSET_CLASSIFICATION!$AA$8:$AA$13,0)),"Review"))</f>
        <v>Bucket 2 · Legacy</v>
      </c>
      <c r="P3015" s="350" t="str">
        <f>IF($B3015="Portfolio","Portfolio",IFERROR(INDEX(DATA_ASSET_CLASSIFICATION!$C$8:$C$24,MATCH($C3015,DATA_ASSET_CLASSIFICATION!$A$8:$A$24,0)),"Review"))</f>
        <v>Yes</v>
      </c>
      <c r="Q3015" s="350" t="str">
        <f t="shared" ca="1" si="95"/>
        <v>OK</v>
      </c>
    </row>
    <row r="3016" spans="1:17">
      <c r="A3016" s="366" t="s">
        <v>4972</v>
      </c>
      <c r="B3016" s="366" t="s">
        <v>231</v>
      </c>
      <c r="C3016" s="348" t="str">
        <f>DATA_PROPERTY_MASTER!$A$14</f>
        <v>BLD_MM</v>
      </c>
      <c r="D3016" s="380">
        <f>'00_PORTFOLIO ROLLUP'!L$12</f>
        <v>2032</v>
      </c>
      <c r="E3016" s="366" t="s">
        <v>1683</v>
      </c>
      <c r="F3016" s="366" t="s">
        <v>19</v>
      </c>
      <c r="G3016" s="348" t="str">
        <f>"'"&amp;$C3016&amp;"'!$E$41:$Y$41"</f>
        <v>'BLD_MM'!$E$41:$Y$41</v>
      </c>
      <c r="H3016" s="381">
        <f ca="1">IF(IFERROR(INDEX(DATA_PROPERTY_MASTER!$E$5:$E$21,MATCH($C3016,DATA_PROPERTY_MASTER!$A$5:$A$21,0))="Yes",FALSE),IFERROR(INDEX(INDIRECT("'"&amp;$C3016&amp;"'!$E$41:$Y$41"),1,MATCH($D3016,INDIRECT("'"&amp;$C3016&amp;"'!$E$12:$Y$12"),0)),0),0)</f>
        <v>530776.58510993817</v>
      </c>
      <c r="I3016" s="366" t="s">
        <v>1685</v>
      </c>
      <c r="J3016" s="348" t="str">
        <f t="shared" ca="1" si="94"/>
        <v>OK</v>
      </c>
      <c r="K3016" s="366" t="s">
        <v>1694</v>
      </c>
      <c r="L3016" s="366" t="s">
        <v>2238</v>
      </c>
      <c r="M3016" s="350" t="str">
        <f>IF($B3016="Portfolio","Portfolio",IFERROR(INDEX(DATA_ASSET_CLASSIFICATION!$B$8:$B$24,MATCH($C3016,DATA_ASSET_CLASSIFICATION!$A$8:$A$24,0)),"Review"))</f>
        <v>Murray Manor</v>
      </c>
      <c r="N3016" s="350" t="str">
        <f ca="1">IF($B3016="Portfolio","Portfolio",IFERROR(INDEX(DATA_ASSET_CLASSIFICATION!$U$8:$U$24,MATCH($C3016,DATA_ASSET_CLASSIFICATION!$A$8:$A$24,0)),"Review"))</f>
        <v>Refi Watch</v>
      </c>
      <c r="O3016" s="350" t="str">
        <f ca="1">IF($B3016="Portfolio","Portfolio",IFERROR(INDEX(DATA_ASSET_CLASSIFICATION!$AB$8:$AB$13,MATCH($N3016,DATA_ASSET_CLASSIFICATION!$AA$8:$AA$13,0)),"Review"))</f>
        <v>Bucket 2 · Legacy</v>
      </c>
      <c r="P3016" s="350" t="str">
        <f>IF($B3016="Portfolio","Portfolio",IFERROR(INDEX(DATA_ASSET_CLASSIFICATION!$C$8:$C$24,MATCH($C3016,DATA_ASSET_CLASSIFICATION!$A$8:$A$24,0)),"Review"))</f>
        <v>Yes</v>
      </c>
      <c r="Q3016" s="350" t="str">
        <f t="shared" ca="1" si="95"/>
        <v>OK</v>
      </c>
    </row>
    <row r="3017" spans="1:17">
      <c r="A3017" s="366" t="s">
        <v>4973</v>
      </c>
      <c r="B3017" s="366" t="s">
        <v>231</v>
      </c>
      <c r="C3017" s="348" t="str">
        <f>DATA_PROPERTY_MASTER!$A$14</f>
        <v>BLD_MM</v>
      </c>
      <c r="D3017" s="380">
        <f>'00_PORTFOLIO ROLLUP'!L$12</f>
        <v>2032</v>
      </c>
      <c r="E3017" s="366" t="s">
        <v>1683</v>
      </c>
      <c r="F3017" s="366" t="s">
        <v>1697</v>
      </c>
      <c r="G3017" s="348" t="str">
        <f>"'"&amp;$C3017&amp;"'!$E$44:$Y$44"</f>
        <v>'BLD_MM'!$E$44:$Y$44</v>
      </c>
      <c r="H3017" s="381">
        <f ca="1">IF(IFERROR(INDEX(DATA_PROPERTY_MASTER!$E$5:$E$21,MATCH($C3017,DATA_PROPERTY_MASTER!$A$5:$A$21,0))="Yes",FALSE),IFERROR(INDEX(INDIRECT("'"&amp;$C3017&amp;"'!$E$44:$Y$44"),1,MATCH($D3017,INDIRECT("'"&amp;$C3017&amp;"'!$E$12:$Y$12"),0)),0),0)</f>
        <v>8098.2339569274227</v>
      </c>
      <c r="I3017" s="366" t="s">
        <v>1690</v>
      </c>
      <c r="J3017" s="348" t="str">
        <f t="shared" ca="1" si="94"/>
        <v>OK</v>
      </c>
      <c r="K3017" s="366" t="s">
        <v>1699</v>
      </c>
      <c r="L3017" s="366" t="s">
        <v>2240</v>
      </c>
      <c r="M3017" s="350" t="str">
        <f>IF($B3017="Portfolio","Portfolio",IFERROR(INDEX(DATA_ASSET_CLASSIFICATION!$B$8:$B$24,MATCH($C3017,DATA_ASSET_CLASSIFICATION!$A$8:$A$24,0)),"Review"))</f>
        <v>Murray Manor</v>
      </c>
      <c r="N3017" s="350" t="str">
        <f ca="1">IF($B3017="Portfolio","Portfolio",IFERROR(INDEX(DATA_ASSET_CLASSIFICATION!$U$8:$U$24,MATCH($C3017,DATA_ASSET_CLASSIFICATION!$A$8:$A$24,0)),"Review"))</f>
        <v>Refi Watch</v>
      </c>
      <c r="O3017" s="350" t="str">
        <f ca="1">IF($B3017="Portfolio","Portfolio",IFERROR(INDEX(DATA_ASSET_CLASSIFICATION!$AB$8:$AB$13,MATCH($N3017,DATA_ASSET_CLASSIFICATION!$AA$8:$AA$13,0)),"Review"))</f>
        <v>Bucket 2 · Legacy</v>
      </c>
      <c r="P3017" s="350" t="str">
        <f>IF($B3017="Portfolio","Portfolio",IFERROR(INDEX(DATA_ASSET_CLASSIFICATION!$C$8:$C$24,MATCH($C3017,DATA_ASSET_CLASSIFICATION!$A$8:$A$24,0)),"Review"))</f>
        <v>Yes</v>
      </c>
      <c r="Q3017" s="350" t="str">
        <f t="shared" ca="1" si="95"/>
        <v>OK</v>
      </c>
    </row>
    <row r="3018" spans="1:17">
      <c r="A3018" s="366" t="s">
        <v>4974</v>
      </c>
      <c r="B3018" s="366" t="s">
        <v>231</v>
      </c>
      <c r="C3018" s="348" t="str">
        <f>DATA_PROPERTY_MASTER!$A$14</f>
        <v>BLD_MM</v>
      </c>
      <c r="D3018" s="380">
        <f>'00_PORTFOLIO ROLLUP'!L$12</f>
        <v>2032</v>
      </c>
      <c r="E3018" s="366" t="s">
        <v>1683</v>
      </c>
      <c r="F3018" s="366" t="s">
        <v>21</v>
      </c>
      <c r="G3018" s="348" t="str">
        <f>"'"&amp;$C3018&amp;"'!$E$45:$Y$45"</f>
        <v>'BLD_MM'!$E$45:$Y$45</v>
      </c>
      <c r="H3018" s="381">
        <f ca="1">IF(IFERROR(INDEX(DATA_PROPERTY_MASTER!$E$5:$E$21,MATCH($C3018,DATA_PROPERTY_MASTER!$A$5:$A$21,0))="Yes",FALSE),IFERROR(INDEX(INDIRECT("'"&amp;$C3018&amp;"'!$E$45:$Y$45"),1,MATCH($D3018,INDIRECT("'"&amp;$C3018&amp;"'!$E$12:$Y$12"),0)),0),0)</f>
        <v>522678.35115301074</v>
      </c>
      <c r="I3018" s="366" t="s">
        <v>1685</v>
      </c>
      <c r="J3018" s="348" t="str">
        <f t="shared" ca="1" si="94"/>
        <v>OK</v>
      </c>
      <c r="K3018" s="366" t="s">
        <v>1694</v>
      </c>
      <c r="L3018" s="366" t="s">
        <v>2242</v>
      </c>
      <c r="M3018" s="350" t="str">
        <f>IF($B3018="Portfolio","Portfolio",IFERROR(INDEX(DATA_ASSET_CLASSIFICATION!$B$8:$B$24,MATCH($C3018,DATA_ASSET_CLASSIFICATION!$A$8:$A$24,0)),"Review"))</f>
        <v>Murray Manor</v>
      </c>
      <c r="N3018" s="350" t="str">
        <f ca="1">IF($B3018="Portfolio","Portfolio",IFERROR(INDEX(DATA_ASSET_CLASSIFICATION!$U$8:$U$24,MATCH($C3018,DATA_ASSET_CLASSIFICATION!$A$8:$A$24,0)),"Review"))</f>
        <v>Refi Watch</v>
      </c>
      <c r="O3018" s="350" t="str">
        <f ca="1">IF($B3018="Portfolio","Portfolio",IFERROR(INDEX(DATA_ASSET_CLASSIFICATION!$AB$8:$AB$13,MATCH($N3018,DATA_ASSET_CLASSIFICATION!$AA$8:$AA$13,0)),"Review"))</f>
        <v>Bucket 2 · Legacy</v>
      </c>
      <c r="P3018" s="350" t="str">
        <f>IF($B3018="Portfolio","Portfolio",IFERROR(INDEX(DATA_ASSET_CLASSIFICATION!$C$8:$C$24,MATCH($C3018,DATA_ASSET_CLASSIFICATION!$A$8:$A$24,0)),"Review"))</f>
        <v>Yes</v>
      </c>
      <c r="Q3018" s="350" t="str">
        <f t="shared" ca="1" si="95"/>
        <v>OK</v>
      </c>
    </row>
    <row r="3019" spans="1:17">
      <c r="A3019" s="366" t="s">
        <v>4975</v>
      </c>
      <c r="B3019" s="366" t="s">
        <v>231</v>
      </c>
      <c r="C3019" s="348" t="str">
        <f>DATA_PROPERTY_MASTER!$A$14</f>
        <v>BLD_MM</v>
      </c>
      <c r="D3019" s="380">
        <f>'00_PORTFOLIO ROLLUP'!L$12</f>
        <v>2032</v>
      </c>
      <c r="E3019" s="366" t="s">
        <v>23</v>
      </c>
      <c r="F3019" s="366" t="s">
        <v>23</v>
      </c>
      <c r="G3019" s="348" t="str">
        <f>"'"&amp;$C3019&amp;"'!$E$48:$Y$48"</f>
        <v>'BLD_MM'!$E$48:$Y$48</v>
      </c>
      <c r="H3019" s="381">
        <f ca="1">IF(IFERROR(INDEX(DATA_PROPERTY_MASTER!$E$5:$E$21,MATCH($C3019,DATA_PROPERTY_MASTER!$A$5:$A$21,0))="Yes",FALSE),IFERROR(INDEX(INDIRECT("'"&amp;$C3019&amp;"'!$E$48:$Y$48"),1,MATCH($D3019,INDIRECT("'"&amp;$C3019&amp;"'!$E$12:$Y$12"),0)),0),0)</f>
        <v>271563.84000000003</v>
      </c>
      <c r="I3019" s="366" t="s">
        <v>1690</v>
      </c>
      <c r="J3019" s="348" t="str">
        <f t="shared" ca="1" si="94"/>
        <v>OK</v>
      </c>
      <c r="K3019" s="366" t="s">
        <v>1706</v>
      </c>
      <c r="L3019" s="366" t="s">
        <v>2244</v>
      </c>
      <c r="M3019" s="350" t="str">
        <f>IF($B3019="Portfolio","Portfolio",IFERROR(INDEX(DATA_ASSET_CLASSIFICATION!$B$8:$B$24,MATCH($C3019,DATA_ASSET_CLASSIFICATION!$A$8:$A$24,0)),"Review"))</f>
        <v>Murray Manor</v>
      </c>
      <c r="N3019" s="350" t="str">
        <f ca="1">IF($B3019="Portfolio","Portfolio",IFERROR(INDEX(DATA_ASSET_CLASSIFICATION!$U$8:$U$24,MATCH($C3019,DATA_ASSET_CLASSIFICATION!$A$8:$A$24,0)),"Review"))</f>
        <v>Refi Watch</v>
      </c>
      <c r="O3019" s="350" t="str">
        <f ca="1">IF($B3019="Portfolio","Portfolio",IFERROR(INDEX(DATA_ASSET_CLASSIFICATION!$AB$8:$AB$13,MATCH($N3019,DATA_ASSET_CLASSIFICATION!$AA$8:$AA$13,0)),"Review"))</f>
        <v>Bucket 2 · Legacy</v>
      </c>
      <c r="P3019" s="350" t="str">
        <f>IF($B3019="Portfolio","Portfolio",IFERROR(INDEX(DATA_ASSET_CLASSIFICATION!$C$8:$C$24,MATCH($C3019,DATA_ASSET_CLASSIFICATION!$A$8:$A$24,0)),"Review"))</f>
        <v>Yes</v>
      </c>
      <c r="Q3019" s="350" t="str">
        <f t="shared" ca="1" si="95"/>
        <v>OK</v>
      </c>
    </row>
    <row r="3020" spans="1:17">
      <c r="A3020" s="366" t="s">
        <v>4976</v>
      </c>
      <c r="B3020" s="366" t="s">
        <v>231</v>
      </c>
      <c r="C3020" s="348" t="str">
        <f>DATA_PROPERTY_MASTER!$A$14</f>
        <v>BLD_MM</v>
      </c>
      <c r="D3020" s="380">
        <f>'00_PORTFOLIO ROLLUP'!L$12</f>
        <v>2032</v>
      </c>
      <c r="E3020" s="366" t="s">
        <v>1683</v>
      </c>
      <c r="F3020" s="366" t="s">
        <v>25</v>
      </c>
      <c r="G3020" s="348" t="str">
        <f>"'"&amp;$C3020&amp;"'!$E$52:$Y$52"</f>
        <v>'BLD_MM'!$E$52:$Y$52</v>
      </c>
      <c r="H3020" s="381">
        <f ca="1">IF(IFERROR(INDEX(DATA_PROPERTY_MASTER!$E$5:$E$21,MATCH($C3020,DATA_PROPERTY_MASTER!$A$5:$A$21,0))="Yes",FALSE),IFERROR(INDEX(INDIRECT("'"&amp;$C3020&amp;"'!$E$52:$Y$52"),1,MATCH($D3020,INDIRECT("'"&amp;$C3020&amp;"'!$E$12:$Y$12"),0)),0),0)</f>
        <v>259212.74510993814</v>
      </c>
      <c r="I3020" s="366" t="s">
        <v>1685</v>
      </c>
      <c r="J3020" s="348" t="str">
        <f t="shared" ca="1" si="94"/>
        <v>OK</v>
      </c>
      <c r="K3020" s="366" t="s">
        <v>1710</v>
      </c>
      <c r="L3020" s="366" t="s">
        <v>2246</v>
      </c>
      <c r="M3020" s="350" t="str">
        <f>IF($B3020="Portfolio","Portfolio",IFERROR(INDEX(DATA_ASSET_CLASSIFICATION!$B$8:$B$24,MATCH($C3020,DATA_ASSET_CLASSIFICATION!$A$8:$A$24,0)),"Review"))</f>
        <v>Murray Manor</v>
      </c>
      <c r="N3020" s="350" t="str">
        <f ca="1">IF($B3020="Portfolio","Portfolio",IFERROR(INDEX(DATA_ASSET_CLASSIFICATION!$U$8:$U$24,MATCH($C3020,DATA_ASSET_CLASSIFICATION!$A$8:$A$24,0)),"Review"))</f>
        <v>Refi Watch</v>
      </c>
      <c r="O3020" s="350" t="str">
        <f ca="1">IF($B3020="Portfolio","Portfolio",IFERROR(INDEX(DATA_ASSET_CLASSIFICATION!$AB$8:$AB$13,MATCH($N3020,DATA_ASSET_CLASSIFICATION!$AA$8:$AA$13,0)),"Review"))</f>
        <v>Bucket 2 · Legacy</v>
      </c>
      <c r="P3020" s="350" t="str">
        <f>IF($B3020="Portfolio","Portfolio",IFERROR(INDEX(DATA_ASSET_CLASSIFICATION!$C$8:$C$24,MATCH($C3020,DATA_ASSET_CLASSIFICATION!$A$8:$A$24,0)),"Review"))</f>
        <v>Yes</v>
      </c>
      <c r="Q3020" s="350" t="str">
        <f t="shared" ca="1" si="95"/>
        <v>OK</v>
      </c>
    </row>
    <row r="3021" spans="1:17">
      <c r="A3021" s="366" t="s">
        <v>4977</v>
      </c>
      <c r="B3021" s="366" t="s">
        <v>231</v>
      </c>
      <c r="C3021" s="348" t="str">
        <f>DATA_PROPERTY_MASTER!$A$14</f>
        <v>BLD_MM</v>
      </c>
      <c r="D3021" s="380">
        <f>'00_PORTFOLIO ROLLUP'!L$12</f>
        <v>2032</v>
      </c>
      <c r="E3021" s="366" t="s">
        <v>1683</v>
      </c>
      <c r="F3021" s="366" t="s">
        <v>27</v>
      </c>
      <c r="G3021" s="348" t="str">
        <f>"'"&amp;$C3021&amp;"'!$E$54:$Y$54"</f>
        <v>'BLD_MM'!$E$54:$Y$54</v>
      </c>
      <c r="H3021" s="381">
        <f ca="1">IF(IFERROR(INDEX(DATA_PROPERTY_MASTER!$E$5:$E$21,MATCH($C3021,DATA_PROPERTY_MASTER!$A$5:$A$21,0))="Yes",FALSE),IFERROR(INDEX(INDIRECT("'"&amp;$C3021&amp;"'!$E$54:$Y$54"),1,MATCH($D3021,INDIRECT("'"&amp;$C3021&amp;"'!$E$12:$Y$12"),0)),0),0)</f>
        <v>155527.64706596287</v>
      </c>
      <c r="I3021" s="366" t="s">
        <v>1690</v>
      </c>
      <c r="J3021" s="348" t="str">
        <f t="shared" ca="1" si="94"/>
        <v>OK</v>
      </c>
      <c r="K3021" s="366" t="s">
        <v>1714</v>
      </c>
      <c r="L3021" s="366" t="s">
        <v>2248</v>
      </c>
      <c r="M3021" s="350" t="str">
        <f>IF($B3021="Portfolio","Portfolio",IFERROR(INDEX(DATA_ASSET_CLASSIFICATION!$B$8:$B$24,MATCH($C3021,DATA_ASSET_CLASSIFICATION!$A$8:$A$24,0)),"Review"))</f>
        <v>Murray Manor</v>
      </c>
      <c r="N3021" s="350" t="str">
        <f ca="1">IF($B3021="Portfolio","Portfolio",IFERROR(INDEX(DATA_ASSET_CLASSIFICATION!$U$8:$U$24,MATCH($C3021,DATA_ASSET_CLASSIFICATION!$A$8:$A$24,0)),"Review"))</f>
        <v>Refi Watch</v>
      </c>
      <c r="O3021" s="350" t="str">
        <f ca="1">IF($B3021="Portfolio","Portfolio",IFERROR(INDEX(DATA_ASSET_CLASSIFICATION!$AB$8:$AB$13,MATCH($N3021,DATA_ASSET_CLASSIFICATION!$AA$8:$AA$13,0)),"Review"))</f>
        <v>Bucket 2 · Legacy</v>
      </c>
      <c r="P3021" s="350" t="str">
        <f>IF($B3021="Portfolio","Portfolio",IFERROR(INDEX(DATA_ASSET_CLASSIFICATION!$C$8:$C$24,MATCH($C3021,DATA_ASSET_CLASSIFICATION!$A$8:$A$24,0)),"Review"))</f>
        <v>Yes</v>
      </c>
      <c r="Q3021" s="350" t="str">
        <f t="shared" ca="1" si="95"/>
        <v>OK</v>
      </c>
    </row>
    <row r="3022" spans="1:17">
      <c r="A3022" s="366" t="s">
        <v>4978</v>
      </c>
      <c r="B3022" s="366" t="s">
        <v>231</v>
      </c>
      <c r="C3022" s="348" t="str">
        <f>DATA_PROPERTY_MASTER!$A$14</f>
        <v>BLD_MM</v>
      </c>
      <c r="D3022" s="380">
        <f>'00_PORTFOLIO ROLLUP'!L$12</f>
        <v>2032</v>
      </c>
      <c r="E3022" s="366" t="s">
        <v>1683</v>
      </c>
      <c r="F3022" s="366" t="s">
        <v>29</v>
      </c>
      <c r="G3022" s="348" t="str">
        <f>"'"&amp;$C3022&amp;"'!$E$56:$Y$56"</f>
        <v>'BLD_MM'!$E$56:$Y$56</v>
      </c>
      <c r="H3022" s="381">
        <f ca="1">IF(IFERROR(INDEX(DATA_PROPERTY_MASTER!$E$5:$E$21,MATCH($C3022,DATA_PROPERTY_MASTER!$A$5:$A$21,0))="Yes",FALSE),IFERROR(INDEX(INDIRECT("'"&amp;$C3022&amp;"'!$E$56:$Y$56"),1,MATCH($D3022,INDIRECT("'"&amp;$C3022&amp;"'!$E$12:$Y$12"),0)),0),0)</f>
        <v>103685.09804397527</v>
      </c>
      <c r="I3022" s="366" t="s">
        <v>1685</v>
      </c>
      <c r="J3022" s="348" t="str">
        <f t="shared" ca="1" si="94"/>
        <v>OK</v>
      </c>
      <c r="K3022" s="366" t="s">
        <v>1718</v>
      </c>
      <c r="L3022" s="366" t="s">
        <v>2250</v>
      </c>
      <c r="M3022" s="350" t="str">
        <f>IF($B3022="Portfolio","Portfolio",IFERROR(INDEX(DATA_ASSET_CLASSIFICATION!$B$8:$B$24,MATCH($C3022,DATA_ASSET_CLASSIFICATION!$A$8:$A$24,0)),"Review"))</f>
        <v>Murray Manor</v>
      </c>
      <c r="N3022" s="350" t="str">
        <f ca="1">IF($B3022="Portfolio","Portfolio",IFERROR(INDEX(DATA_ASSET_CLASSIFICATION!$U$8:$U$24,MATCH($C3022,DATA_ASSET_CLASSIFICATION!$A$8:$A$24,0)),"Review"))</f>
        <v>Refi Watch</v>
      </c>
      <c r="O3022" s="350" t="str">
        <f ca="1">IF($B3022="Portfolio","Portfolio",IFERROR(INDEX(DATA_ASSET_CLASSIFICATION!$AB$8:$AB$13,MATCH($N3022,DATA_ASSET_CLASSIFICATION!$AA$8:$AA$13,0)),"Review"))</f>
        <v>Bucket 2 · Legacy</v>
      </c>
      <c r="P3022" s="350" t="str">
        <f>IF($B3022="Portfolio","Portfolio",IFERROR(INDEX(DATA_ASSET_CLASSIFICATION!$C$8:$C$24,MATCH($C3022,DATA_ASSET_CLASSIFICATION!$A$8:$A$24,0)),"Review"))</f>
        <v>Yes</v>
      </c>
      <c r="Q3022" s="350" t="str">
        <f t="shared" ca="1" si="95"/>
        <v>OK</v>
      </c>
    </row>
    <row r="3023" spans="1:17">
      <c r="A3023" s="366" t="s">
        <v>4979</v>
      </c>
      <c r="B3023" s="366" t="s">
        <v>231</v>
      </c>
      <c r="C3023" s="348" t="str">
        <f>DATA_PROPERTY_MASTER!$A$14</f>
        <v>BLD_MM</v>
      </c>
      <c r="D3023" s="380">
        <f>'00_PORTFOLIO ROLLUP'!L$12</f>
        <v>2032</v>
      </c>
      <c r="E3023" s="366" t="s">
        <v>1721</v>
      </c>
      <c r="F3023" s="366" t="s">
        <v>31</v>
      </c>
      <c r="G3023" s="348" t="str">
        <f>"'"&amp;$C3023&amp;"'!$E$61:$Y$61"</f>
        <v>'BLD_MM'!$E$61:$Y$61</v>
      </c>
      <c r="H3023" s="381">
        <f ca="1">IF(IFERROR(INDEX(DATA_PROPERTY_MASTER!$E$5:$E$21,MATCH($C3023,DATA_PROPERTY_MASTER!$A$5:$A$21,0))="Yes",FALSE),IFERROR(INDEX(INDIRECT("'"&amp;$C3023&amp;"'!$E$61:$Y$61"),1,MATCH($D3023,INDIRECT("'"&amp;$C3023&amp;"'!$E$12:$Y$12"),0)),0),0)</f>
        <v>0</v>
      </c>
      <c r="I3023" s="366" t="s">
        <v>1690</v>
      </c>
      <c r="J3023" s="348" t="str">
        <f t="shared" ca="1" si="94"/>
        <v>OK</v>
      </c>
      <c r="K3023" s="366" t="s">
        <v>1723</v>
      </c>
      <c r="L3023" s="366" t="s">
        <v>2252</v>
      </c>
      <c r="M3023" s="350" t="str">
        <f>IF($B3023="Portfolio","Portfolio",IFERROR(INDEX(DATA_ASSET_CLASSIFICATION!$B$8:$B$24,MATCH($C3023,DATA_ASSET_CLASSIFICATION!$A$8:$A$24,0)),"Review"))</f>
        <v>Murray Manor</v>
      </c>
      <c r="N3023" s="350" t="str">
        <f ca="1">IF($B3023="Portfolio","Portfolio",IFERROR(INDEX(DATA_ASSET_CLASSIFICATION!$U$8:$U$24,MATCH($C3023,DATA_ASSET_CLASSIFICATION!$A$8:$A$24,0)),"Review"))</f>
        <v>Refi Watch</v>
      </c>
      <c r="O3023" s="350" t="str">
        <f ca="1">IF($B3023="Portfolio","Portfolio",IFERROR(INDEX(DATA_ASSET_CLASSIFICATION!$AB$8:$AB$13,MATCH($N3023,DATA_ASSET_CLASSIFICATION!$AA$8:$AA$13,0)),"Review"))</f>
        <v>Bucket 2 · Legacy</v>
      </c>
      <c r="P3023" s="350" t="str">
        <f>IF($B3023="Portfolio","Portfolio",IFERROR(INDEX(DATA_ASSET_CLASSIFICATION!$C$8:$C$24,MATCH($C3023,DATA_ASSET_CLASSIFICATION!$A$8:$A$24,0)),"Review"))</f>
        <v>Yes</v>
      </c>
      <c r="Q3023" s="350" t="str">
        <f t="shared" ca="1" si="95"/>
        <v>OK</v>
      </c>
    </row>
    <row r="3024" spans="1:17">
      <c r="A3024" s="366" t="s">
        <v>4980</v>
      </c>
      <c r="B3024" s="366" t="s">
        <v>231</v>
      </c>
      <c r="C3024" s="348" t="str">
        <f>DATA_PROPERTY_MASTER!$A$14</f>
        <v>BLD_MM</v>
      </c>
      <c r="D3024" s="380">
        <f>'00_PORTFOLIO ROLLUP'!L$12</f>
        <v>2032</v>
      </c>
      <c r="E3024" s="366" t="s">
        <v>1721</v>
      </c>
      <c r="F3024" s="366" t="s">
        <v>33</v>
      </c>
      <c r="G3024" s="348" t="str">
        <f>"'"&amp;$C3024&amp;"'!$E$62:$Y$62"</f>
        <v>'BLD_MM'!$E$62:$Y$62</v>
      </c>
      <c r="H3024" s="381">
        <f ca="1">IF(IFERROR(INDEX(DATA_PROPERTY_MASTER!$E$5:$E$21,MATCH($C3024,DATA_PROPERTY_MASTER!$A$5:$A$21,0))="Yes",FALSE),IFERROR(INDEX(INDIRECT("'"&amp;$C3024&amp;"'!$E$62:$Y$62"),1,MATCH($D3024,INDIRECT("'"&amp;$C3024&amp;"'!$E$12:$Y$12"),0)),0),0)</f>
        <v>0</v>
      </c>
      <c r="I3024" s="366" t="s">
        <v>1685</v>
      </c>
      <c r="J3024" s="348" t="str">
        <f t="shared" ca="1" si="94"/>
        <v>OK</v>
      </c>
      <c r="K3024" s="366" t="s">
        <v>1727</v>
      </c>
      <c r="L3024" s="366" t="s">
        <v>2254</v>
      </c>
      <c r="M3024" s="350" t="str">
        <f>IF($B3024="Portfolio","Portfolio",IFERROR(INDEX(DATA_ASSET_CLASSIFICATION!$B$8:$B$24,MATCH($C3024,DATA_ASSET_CLASSIFICATION!$A$8:$A$24,0)),"Review"))</f>
        <v>Murray Manor</v>
      </c>
      <c r="N3024" s="350" t="str">
        <f ca="1">IF($B3024="Portfolio","Portfolio",IFERROR(INDEX(DATA_ASSET_CLASSIFICATION!$U$8:$U$24,MATCH($C3024,DATA_ASSET_CLASSIFICATION!$A$8:$A$24,0)),"Review"))</f>
        <v>Refi Watch</v>
      </c>
      <c r="O3024" s="350" t="str">
        <f ca="1">IF($B3024="Portfolio","Portfolio",IFERROR(INDEX(DATA_ASSET_CLASSIFICATION!$AB$8:$AB$13,MATCH($N3024,DATA_ASSET_CLASSIFICATION!$AA$8:$AA$13,0)),"Review"))</f>
        <v>Bucket 2 · Legacy</v>
      </c>
      <c r="P3024" s="350" t="str">
        <f>IF($B3024="Portfolio","Portfolio",IFERROR(INDEX(DATA_ASSET_CLASSIFICATION!$C$8:$C$24,MATCH($C3024,DATA_ASSET_CLASSIFICATION!$A$8:$A$24,0)),"Review"))</f>
        <v>Yes</v>
      </c>
      <c r="Q3024" s="350" t="str">
        <f t="shared" ca="1" si="95"/>
        <v>OK</v>
      </c>
    </row>
    <row r="3025" spans="1:17">
      <c r="A3025" s="366" t="s">
        <v>4981</v>
      </c>
      <c r="B3025" s="366" t="s">
        <v>231</v>
      </c>
      <c r="C3025" s="348" t="str">
        <f>DATA_PROPERTY_MASTER!$A$14</f>
        <v>BLD_MM</v>
      </c>
      <c r="D3025" s="380">
        <f>'00_PORTFOLIO ROLLUP'!L$12</f>
        <v>2032</v>
      </c>
      <c r="E3025" s="366" t="s">
        <v>1721</v>
      </c>
      <c r="F3025" s="366" t="s">
        <v>35</v>
      </c>
      <c r="G3025" s="348" t="str">
        <f>"'"&amp;$C3025&amp;"'!$E$63:$Y$63"</f>
        <v>'BLD_MM'!$E$63:$Y$63</v>
      </c>
      <c r="H3025" s="381">
        <f ca="1">IF(IFERROR(INDEX(DATA_PROPERTY_MASTER!$E$5:$E$21,MATCH($C3025,DATA_PROPERTY_MASTER!$A$5:$A$21,0))="Yes",FALSE),IFERROR(INDEX(INDIRECT("'"&amp;$C3025&amp;"'!$E$63:$Y$63"),1,MATCH($D3025,INDIRECT("'"&amp;$C3025&amp;"'!$E$12:$Y$12"),0)),0),0)</f>
        <v>0</v>
      </c>
      <c r="I3025" s="366" t="s">
        <v>1731</v>
      </c>
      <c r="J3025" s="348" t="str">
        <f t="shared" ca="1" si="94"/>
        <v>OK</v>
      </c>
      <c r="K3025" s="366" t="s">
        <v>1732</v>
      </c>
      <c r="L3025" s="366" t="s">
        <v>2256</v>
      </c>
      <c r="M3025" s="350" t="str">
        <f>IF($B3025="Portfolio","Portfolio",IFERROR(INDEX(DATA_ASSET_CLASSIFICATION!$B$8:$B$24,MATCH($C3025,DATA_ASSET_CLASSIFICATION!$A$8:$A$24,0)),"Review"))</f>
        <v>Murray Manor</v>
      </c>
      <c r="N3025" s="350" t="str">
        <f ca="1">IF($B3025="Portfolio","Portfolio",IFERROR(INDEX(DATA_ASSET_CLASSIFICATION!$U$8:$U$24,MATCH($C3025,DATA_ASSET_CLASSIFICATION!$A$8:$A$24,0)),"Review"))</f>
        <v>Refi Watch</v>
      </c>
      <c r="O3025" s="350" t="str">
        <f ca="1">IF($B3025="Portfolio","Portfolio",IFERROR(INDEX(DATA_ASSET_CLASSIFICATION!$AB$8:$AB$13,MATCH($N3025,DATA_ASSET_CLASSIFICATION!$AA$8:$AA$13,0)),"Review"))</f>
        <v>Bucket 2 · Legacy</v>
      </c>
      <c r="P3025" s="350" t="str">
        <f>IF($B3025="Portfolio","Portfolio",IFERROR(INDEX(DATA_ASSET_CLASSIFICATION!$C$8:$C$24,MATCH($C3025,DATA_ASSET_CLASSIFICATION!$A$8:$A$24,0)),"Review"))</f>
        <v>Yes</v>
      </c>
      <c r="Q3025" s="350" t="str">
        <f t="shared" ca="1" si="95"/>
        <v>OK</v>
      </c>
    </row>
    <row r="3026" spans="1:17">
      <c r="A3026" s="366" t="s">
        <v>4982</v>
      </c>
      <c r="B3026" s="366" t="s">
        <v>231</v>
      </c>
      <c r="C3026" s="348" t="str">
        <f>DATA_PROPERTY_MASTER!$A$14</f>
        <v>BLD_MM</v>
      </c>
      <c r="D3026" s="380">
        <f>'00_PORTFOLIO ROLLUP'!L$12</f>
        <v>2032</v>
      </c>
      <c r="E3026" s="366" t="s">
        <v>1721</v>
      </c>
      <c r="F3026" s="366" t="s">
        <v>37</v>
      </c>
      <c r="G3026" s="348" t="str">
        <f>"'"&amp;$C3026&amp;"'!$E$63:$Y$63"</f>
        <v>'BLD_MM'!$E$63:$Y$63</v>
      </c>
      <c r="H3026" s="381">
        <f ca="1">IF(IFERROR(INDEX(DATA_PROPERTY_MASTER!$E$5:$E$21,MATCH($C3026,DATA_PROPERTY_MASTER!$A$5:$A$21,0))="Yes",FALSE),MAX(IFERROR(INDEX(INDIRECT("'"&amp;$C3026&amp;"'!$E$63:$Y$63"),1,MATCH($D3026,INDIRECT("'"&amp;$C3026&amp;"'!$E$12:$Y$12"),0)),0),0),0)</f>
        <v>0</v>
      </c>
      <c r="I3026" s="366" t="s">
        <v>1685</v>
      </c>
      <c r="J3026" s="348" t="str">
        <f t="shared" ca="1" si="94"/>
        <v>OK</v>
      </c>
      <c r="K3026" s="366" t="s">
        <v>1735</v>
      </c>
      <c r="L3026" s="366" t="s">
        <v>2258</v>
      </c>
      <c r="M3026" s="350" t="str">
        <f>IF($B3026="Portfolio","Portfolio",IFERROR(INDEX(DATA_ASSET_CLASSIFICATION!$B$8:$B$24,MATCH($C3026,DATA_ASSET_CLASSIFICATION!$A$8:$A$24,0)),"Review"))</f>
        <v>Murray Manor</v>
      </c>
      <c r="N3026" s="350" t="str">
        <f ca="1">IF($B3026="Portfolio","Portfolio",IFERROR(INDEX(DATA_ASSET_CLASSIFICATION!$U$8:$U$24,MATCH($C3026,DATA_ASSET_CLASSIFICATION!$A$8:$A$24,0)),"Review"))</f>
        <v>Refi Watch</v>
      </c>
      <c r="O3026" s="350" t="str">
        <f ca="1">IF($B3026="Portfolio","Portfolio",IFERROR(INDEX(DATA_ASSET_CLASSIFICATION!$AB$8:$AB$13,MATCH($N3026,DATA_ASSET_CLASSIFICATION!$AA$8:$AA$13,0)),"Review"))</f>
        <v>Bucket 2 · Legacy</v>
      </c>
      <c r="P3026" s="350" t="str">
        <f>IF($B3026="Portfolio","Portfolio",IFERROR(INDEX(DATA_ASSET_CLASSIFICATION!$C$8:$C$24,MATCH($C3026,DATA_ASSET_CLASSIFICATION!$A$8:$A$24,0)),"Review"))</f>
        <v>Yes</v>
      </c>
      <c r="Q3026" s="350" t="str">
        <f t="shared" ca="1" si="95"/>
        <v>OK</v>
      </c>
    </row>
    <row r="3027" spans="1:17">
      <c r="A3027" s="366" t="s">
        <v>4983</v>
      </c>
      <c r="B3027" s="366" t="s">
        <v>231</v>
      </c>
      <c r="C3027" s="348" t="str">
        <f>DATA_PROPERTY_MASTER!$A$14</f>
        <v>BLD_MM</v>
      </c>
      <c r="D3027" s="380">
        <f>'00_PORTFOLIO ROLLUP'!L$12</f>
        <v>2032</v>
      </c>
      <c r="E3027" s="366" t="s">
        <v>1721</v>
      </c>
      <c r="F3027" s="366" t="s">
        <v>39</v>
      </c>
      <c r="G3027" s="348" t="str">
        <f>"'"&amp;$C3027&amp;"'!$E$63:$Y$63"</f>
        <v>'BLD_MM'!$E$63:$Y$63</v>
      </c>
      <c r="H3027" s="381">
        <f ca="1">IF(IFERROR(INDEX(DATA_PROPERTY_MASTER!$E$5:$E$21,MATCH($C3027,DATA_PROPERTY_MASTER!$A$5:$A$21,0))="Yes",FALSE),MAX(-IFERROR(INDEX(INDIRECT("'"&amp;$C3027&amp;"'!$E$63:$Y$63"),1,MATCH($D3027,INDIRECT("'"&amp;$C3027&amp;"'!$E$12:$Y$12"),0)),0),0),0)</f>
        <v>0</v>
      </c>
      <c r="I3027" s="366" t="s">
        <v>1690</v>
      </c>
      <c r="J3027" s="348" t="str">
        <f t="shared" ca="1" si="94"/>
        <v>OK</v>
      </c>
      <c r="K3027" s="366" t="s">
        <v>1738</v>
      </c>
      <c r="L3027" s="366" t="s">
        <v>2260</v>
      </c>
      <c r="M3027" s="350" t="str">
        <f>IF($B3027="Portfolio","Portfolio",IFERROR(INDEX(DATA_ASSET_CLASSIFICATION!$B$8:$B$24,MATCH($C3027,DATA_ASSET_CLASSIFICATION!$A$8:$A$24,0)),"Review"))</f>
        <v>Murray Manor</v>
      </c>
      <c r="N3027" s="350" t="str">
        <f ca="1">IF($B3027="Portfolio","Portfolio",IFERROR(INDEX(DATA_ASSET_CLASSIFICATION!$U$8:$U$24,MATCH($C3027,DATA_ASSET_CLASSIFICATION!$A$8:$A$24,0)),"Review"))</f>
        <v>Refi Watch</v>
      </c>
      <c r="O3027" s="350" t="str">
        <f ca="1">IF($B3027="Portfolio","Portfolio",IFERROR(INDEX(DATA_ASSET_CLASSIFICATION!$AB$8:$AB$13,MATCH($N3027,DATA_ASSET_CLASSIFICATION!$AA$8:$AA$13,0)),"Review"))</f>
        <v>Bucket 2 · Legacy</v>
      </c>
      <c r="P3027" s="350" t="str">
        <f>IF($B3027="Portfolio","Portfolio",IFERROR(INDEX(DATA_ASSET_CLASSIFICATION!$C$8:$C$24,MATCH($C3027,DATA_ASSET_CLASSIFICATION!$A$8:$A$24,0)),"Review"))</f>
        <v>Yes</v>
      </c>
      <c r="Q3027" s="350" t="str">
        <f t="shared" ca="1" si="95"/>
        <v>OK</v>
      </c>
    </row>
    <row r="3028" spans="1:17">
      <c r="A3028" s="366" t="s">
        <v>4984</v>
      </c>
      <c r="B3028" s="366" t="s">
        <v>231</v>
      </c>
      <c r="C3028" s="348" t="str">
        <f>DATA_PROPERTY_MASTER!$A$14</f>
        <v>BLD_MM</v>
      </c>
      <c r="D3028" s="380">
        <f>'00_PORTFOLIO ROLLUP'!L$12</f>
        <v>2032</v>
      </c>
      <c r="E3028" s="366" t="s">
        <v>1741</v>
      </c>
      <c r="F3028" s="366" t="s">
        <v>41</v>
      </c>
      <c r="G3028" s="348" t="str">
        <f>"'"&amp;$C3028&amp;"'!rows 56 + positive row 63"</f>
        <v>'BLD_MM'!rows 56 + positive row 63</v>
      </c>
      <c r="H3028" s="381">
        <f ca="1">IF(IFERROR(INDEX(DATA_PROPERTY_MASTER!$E$5:$E$21,MATCH($C3028,DATA_PROPERTY_MASTER!$A$5:$A$21,0))="Yes",FALSE),IFERROR(INDEX(INDIRECT("'"&amp;$C3028&amp;"'!$E$56:$Y$56"),1,MATCH($D3028,INDIRECT("'"&amp;$C3028&amp;"'!$E$12:$Y$12"),0)),0)+MAX(IFERROR(INDEX(INDIRECT("'"&amp;$C3028&amp;"'!$E$63:$Y$63"),1,MATCH($D3028,INDIRECT("'"&amp;$C3028&amp;"'!$E$12:$Y$12"),0)),0),0),0)</f>
        <v>103685.09804397527</v>
      </c>
      <c r="I3028" s="366" t="s">
        <v>1685</v>
      </c>
      <c r="J3028" s="348" t="str">
        <f t="shared" ca="1" si="94"/>
        <v>OK</v>
      </c>
      <c r="K3028" s="366" t="s">
        <v>1742</v>
      </c>
      <c r="L3028" s="366" t="s">
        <v>2262</v>
      </c>
      <c r="M3028" s="350" t="str">
        <f>IF($B3028="Portfolio","Portfolio",IFERROR(INDEX(DATA_ASSET_CLASSIFICATION!$B$8:$B$24,MATCH($C3028,DATA_ASSET_CLASSIFICATION!$A$8:$A$24,0)),"Review"))</f>
        <v>Murray Manor</v>
      </c>
      <c r="N3028" s="350" t="str">
        <f ca="1">IF($B3028="Portfolio","Portfolio",IFERROR(INDEX(DATA_ASSET_CLASSIFICATION!$U$8:$U$24,MATCH($C3028,DATA_ASSET_CLASSIFICATION!$A$8:$A$24,0)),"Review"))</f>
        <v>Refi Watch</v>
      </c>
      <c r="O3028" s="350" t="str">
        <f ca="1">IF($B3028="Portfolio","Portfolio",IFERROR(INDEX(DATA_ASSET_CLASSIFICATION!$AB$8:$AB$13,MATCH($N3028,DATA_ASSET_CLASSIFICATION!$AA$8:$AA$13,0)),"Review"))</f>
        <v>Bucket 2 · Legacy</v>
      </c>
      <c r="P3028" s="350" t="str">
        <f>IF($B3028="Portfolio","Portfolio",IFERROR(INDEX(DATA_ASSET_CLASSIFICATION!$C$8:$C$24,MATCH($C3028,DATA_ASSET_CLASSIFICATION!$A$8:$A$24,0)),"Review"))</f>
        <v>Yes</v>
      </c>
      <c r="Q3028" s="350" t="str">
        <f t="shared" ca="1" si="95"/>
        <v>OK</v>
      </c>
    </row>
    <row r="3029" spans="1:17">
      <c r="A3029" s="366" t="s">
        <v>4985</v>
      </c>
      <c r="B3029" s="366" t="s">
        <v>231</v>
      </c>
      <c r="C3029" s="348" t="str">
        <f>DATA_PROPERTY_MASTER!$A$14</f>
        <v>BLD_MM</v>
      </c>
      <c r="D3029" s="380">
        <f>'00_PORTFOLIO ROLLUP'!L$12</f>
        <v>2032</v>
      </c>
      <c r="E3029" s="366" t="s">
        <v>1741</v>
      </c>
      <c r="F3029" s="366" t="s">
        <v>43</v>
      </c>
      <c r="G3029" s="348" t="str">
        <f>"'"&amp;$C3029&amp;"'!$E$68:$Y$68"</f>
        <v>'BLD_MM'!$E$68:$Y$68</v>
      </c>
      <c r="H3029" s="381">
        <f ca="1">IF(IFERROR(INDEX(DATA_PROPERTY_MASTER!$E$5:$E$21,MATCH($C3029,DATA_PROPERTY_MASTER!$A$5:$A$21,0))="Yes",FALSE),IFERROR(INDEX(INDIRECT("'"&amp;$C3029&amp;"'!$E$68:$Y$68"),1,MATCH($D3029,INDIRECT("'"&amp;$C3029&amp;"'!$E$12:$Y$12"),0)),0),0)</f>
        <v>103685.09804397527</v>
      </c>
      <c r="I3029" s="366" t="s">
        <v>1731</v>
      </c>
      <c r="J3029" s="348" t="str">
        <f t="shared" ca="1" si="94"/>
        <v>OK</v>
      </c>
      <c r="K3029" s="366" t="s">
        <v>1746</v>
      </c>
      <c r="L3029" s="366" t="s">
        <v>2264</v>
      </c>
      <c r="M3029" s="350" t="str">
        <f>IF($B3029="Portfolio","Portfolio",IFERROR(INDEX(DATA_ASSET_CLASSIFICATION!$B$8:$B$24,MATCH($C3029,DATA_ASSET_CLASSIFICATION!$A$8:$A$24,0)),"Review"))</f>
        <v>Murray Manor</v>
      </c>
      <c r="N3029" s="350" t="str">
        <f ca="1">IF($B3029="Portfolio","Portfolio",IFERROR(INDEX(DATA_ASSET_CLASSIFICATION!$U$8:$U$24,MATCH($C3029,DATA_ASSET_CLASSIFICATION!$A$8:$A$24,0)),"Review"))</f>
        <v>Refi Watch</v>
      </c>
      <c r="O3029" s="350" t="str">
        <f ca="1">IF($B3029="Portfolio","Portfolio",IFERROR(INDEX(DATA_ASSET_CLASSIFICATION!$AB$8:$AB$13,MATCH($N3029,DATA_ASSET_CLASSIFICATION!$AA$8:$AA$13,0)),"Review"))</f>
        <v>Bucket 2 · Legacy</v>
      </c>
      <c r="P3029" s="350" t="str">
        <f>IF($B3029="Portfolio","Portfolio",IFERROR(INDEX(DATA_ASSET_CLASSIFICATION!$C$8:$C$24,MATCH($C3029,DATA_ASSET_CLASSIFICATION!$A$8:$A$24,0)),"Review"))</f>
        <v>Yes</v>
      </c>
      <c r="Q3029" s="350" t="str">
        <f t="shared" ca="1" si="95"/>
        <v>OK</v>
      </c>
    </row>
    <row r="3030" spans="1:17">
      <c r="A3030" s="366" t="s">
        <v>4986</v>
      </c>
      <c r="B3030" s="366" t="s">
        <v>231</v>
      </c>
      <c r="C3030" s="348" t="str">
        <f>DATA_PROPERTY_MASTER!$A$14</f>
        <v>BLD_MM</v>
      </c>
      <c r="D3030" s="380">
        <f>'00_PORTFOLIO ROLLUP'!L$12</f>
        <v>2032</v>
      </c>
      <c r="E3030" s="366" t="s">
        <v>1741</v>
      </c>
      <c r="F3030" s="366" t="s">
        <v>1749</v>
      </c>
      <c r="G3030" s="348" t="str">
        <f>"'"&amp;$C3030&amp;"'!rows 56, 63, 68"</f>
        <v>'BLD_MM'!rows 56, 63, 68</v>
      </c>
      <c r="H3030" s="381">
        <f ca="1">IF(IFERROR(INDEX(DATA_PROPERTY_MASTER!$E$5:$E$21,MATCH($C3030,DATA_PROPERTY_MASTER!$A$5:$A$21,0))="Yes",FALSE),(IFERROR(INDEX(INDIRECT("'"&amp;$C3030&amp;"'!$E$56:$Y$56"),1,MATCH($D3030,INDIRECT("'"&amp;$C3030&amp;"'!$E$12:$Y$12"),0)),0)+MAX(IFERROR(INDEX(INDIRECT("'"&amp;$C3030&amp;"'!$E$63:$Y$63"),1,MATCH($D3030,INDIRECT("'"&amp;$C3030&amp;"'!$E$12:$Y$12"),0)),0),0))-(IFERROR(INDEX(INDIRECT("'"&amp;$C3030&amp;"'!$E$68:$Y$68"),1,MATCH($D3030,INDIRECT("'"&amp;$C3030&amp;"'!$E$12:$Y$12"),0)),0)),0)</f>
        <v>0</v>
      </c>
      <c r="I3030" s="366" t="s">
        <v>1750</v>
      </c>
      <c r="J3030" s="348" t="str">
        <f t="shared" ca="1" si="94"/>
        <v>OK</v>
      </c>
      <c r="K3030" s="366" t="s">
        <v>1751</v>
      </c>
      <c r="L3030" s="366" t="s">
        <v>2266</v>
      </c>
      <c r="M3030" s="350" t="str">
        <f>IF($B3030="Portfolio","Portfolio",IFERROR(INDEX(DATA_ASSET_CLASSIFICATION!$B$8:$B$24,MATCH($C3030,DATA_ASSET_CLASSIFICATION!$A$8:$A$24,0)),"Review"))</f>
        <v>Murray Manor</v>
      </c>
      <c r="N3030" s="350" t="str">
        <f ca="1">IF($B3030="Portfolio","Portfolio",IFERROR(INDEX(DATA_ASSET_CLASSIFICATION!$U$8:$U$24,MATCH($C3030,DATA_ASSET_CLASSIFICATION!$A$8:$A$24,0)),"Review"))</f>
        <v>Refi Watch</v>
      </c>
      <c r="O3030" s="350" t="str">
        <f ca="1">IF($B3030="Portfolio","Portfolio",IFERROR(INDEX(DATA_ASSET_CLASSIFICATION!$AB$8:$AB$13,MATCH($N3030,DATA_ASSET_CLASSIFICATION!$AA$8:$AA$13,0)),"Review"))</f>
        <v>Bucket 2 · Legacy</v>
      </c>
      <c r="P3030" s="350" t="str">
        <f>IF($B3030="Portfolio","Portfolio",IFERROR(INDEX(DATA_ASSET_CLASSIFICATION!$C$8:$C$24,MATCH($C3030,DATA_ASSET_CLASSIFICATION!$A$8:$A$24,0)),"Review"))</f>
        <v>Yes</v>
      </c>
      <c r="Q3030" s="350" t="str">
        <f t="shared" ca="1" si="95"/>
        <v>OK</v>
      </c>
    </row>
    <row r="3031" spans="1:17">
      <c r="A3031" s="366" t="s">
        <v>4987</v>
      </c>
      <c r="B3031" s="366" t="s">
        <v>231</v>
      </c>
      <c r="C3031" s="348" t="str">
        <f>DATA_PROPERTY_MASTER!$A$14</f>
        <v>BLD_MM</v>
      </c>
      <c r="D3031" s="380">
        <f>'00_PORTFOLIO ROLLUP'!M$12</f>
        <v>2033</v>
      </c>
      <c r="E3031" s="366" t="s">
        <v>1683</v>
      </c>
      <c r="F3031" s="366" t="s">
        <v>341</v>
      </c>
      <c r="G3031" s="348" t="str">
        <f>"'"&amp;$C3031&amp;"'!$E$24:$Y$24"</f>
        <v>'BLD_MM'!$E$24:$Y$24</v>
      </c>
      <c r="H3031" s="381">
        <f ca="1">IF(IFERROR(INDEX(DATA_PROPERTY_MASTER!$E$5:$E$21,MATCH($C3031,DATA_PROPERTY_MASTER!$A$5:$A$21,0))="Yes",FALSE),IFERROR(INDEX(INDIRECT("'"&amp;$C3031&amp;"'!$E$24:$Y$24"),1,MATCH($D3031,INDIRECT("'"&amp;$C3031&amp;"'!$E$12:$Y$12"),0)),0),0)</f>
        <v>915066.57879569125</v>
      </c>
      <c r="I3031" s="366" t="s">
        <v>1685</v>
      </c>
      <c r="J3031" s="348" t="str">
        <f t="shared" ca="1" si="94"/>
        <v>OK</v>
      </c>
      <c r="K3031" s="366" t="s">
        <v>1686</v>
      </c>
      <c r="L3031" s="366" t="s">
        <v>2234</v>
      </c>
      <c r="M3031" s="350" t="str">
        <f>IF($B3031="Portfolio","Portfolio",IFERROR(INDEX(DATA_ASSET_CLASSIFICATION!$B$8:$B$24,MATCH($C3031,DATA_ASSET_CLASSIFICATION!$A$8:$A$24,0)),"Review"))</f>
        <v>Murray Manor</v>
      </c>
      <c r="N3031" s="350" t="str">
        <f ca="1">IF($B3031="Portfolio","Portfolio",IFERROR(INDEX(DATA_ASSET_CLASSIFICATION!$U$8:$U$24,MATCH($C3031,DATA_ASSET_CLASSIFICATION!$A$8:$A$24,0)),"Review"))</f>
        <v>Refi Watch</v>
      </c>
      <c r="O3031" s="350" t="str">
        <f ca="1">IF($B3031="Portfolio","Portfolio",IFERROR(INDEX(DATA_ASSET_CLASSIFICATION!$AB$8:$AB$13,MATCH($N3031,DATA_ASSET_CLASSIFICATION!$AA$8:$AA$13,0)),"Review"))</f>
        <v>Bucket 2 · Legacy</v>
      </c>
      <c r="P3031" s="350" t="str">
        <f>IF($B3031="Portfolio","Portfolio",IFERROR(INDEX(DATA_ASSET_CLASSIFICATION!$C$8:$C$24,MATCH($C3031,DATA_ASSET_CLASSIFICATION!$A$8:$A$24,0)),"Review"))</f>
        <v>Yes</v>
      </c>
      <c r="Q3031" s="350" t="str">
        <f t="shared" ca="1" si="95"/>
        <v>OK</v>
      </c>
    </row>
    <row r="3032" spans="1:17">
      <c r="A3032" s="366" t="s">
        <v>4988</v>
      </c>
      <c r="B3032" s="366" t="s">
        <v>231</v>
      </c>
      <c r="C3032" s="348" t="str">
        <f>DATA_PROPERTY_MASTER!$A$14</f>
        <v>BLD_MM</v>
      </c>
      <c r="D3032" s="380">
        <f>'00_PORTFOLIO ROLLUP'!M$12</f>
        <v>2033</v>
      </c>
      <c r="E3032" s="366" t="s">
        <v>1683</v>
      </c>
      <c r="F3032" s="366" t="s">
        <v>355</v>
      </c>
      <c r="G3032" s="348" t="str">
        <f>"'"&amp;$C3032&amp;"'!$E$39:$Y$39"</f>
        <v>'BLD_MM'!$E$39:$Y$39</v>
      </c>
      <c r="H3032" s="381">
        <f ca="1">IF(IFERROR(INDEX(DATA_PROPERTY_MASTER!$E$5:$E$21,MATCH($C3032,DATA_PROPERTY_MASTER!$A$5:$A$21,0))="Yes",FALSE),IFERROR(INDEX(INDIRECT("'"&amp;$C3032&amp;"'!$E$39:$Y$39"),1,MATCH($D3032,INDIRECT("'"&amp;$C3032&amp;"'!$E$12:$Y$12"),0)),0),0)</f>
        <v>381001.41221852589</v>
      </c>
      <c r="I3032" s="366" t="s">
        <v>1690</v>
      </c>
      <c r="J3032" s="348" t="str">
        <f t="shared" ca="1" si="94"/>
        <v>OK</v>
      </c>
      <c r="K3032" s="366" t="s">
        <v>1686</v>
      </c>
      <c r="L3032" s="366" t="s">
        <v>2236</v>
      </c>
      <c r="M3032" s="350" t="str">
        <f>IF($B3032="Portfolio","Portfolio",IFERROR(INDEX(DATA_ASSET_CLASSIFICATION!$B$8:$B$24,MATCH($C3032,DATA_ASSET_CLASSIFICATION!$A$8:$A$24,0)),"Review"))</f>
        <v>Murray Manor</v>
      </c>
      <c r="N3032" s="350" t="str">
        <f ca="1">IF($B3032="Portfolio","Portfolio",IFERROR(INDEX(DATA_ASSET_CLASSIFICATION!$U$8:$U$24,MATCH($C3032,DATA_ASSET_CLASSIFICATION!$A$8:$A$24,0)),"Review"))</f>
        <v>Refi Watch</v>
      </c>
      <c r="O3032" s="350" t="str">
        <f ca="1">IF($B3032="Portfolio","Portfolio",IFERROR(INDEX(DATA_ASSET_CLASSIFICATION!$AB$8:$AB$13,MATCH($N3032,DATA_ASSET_CLASSIFICATION!$AA$8:$AA$13,0)),"Review"))</f>
        <v>Bucket 2 · Legacy</v>
      </c>
      <c r="P3032" s="350" t="str">
        <f>IF($B3032="Portfolio","Portfolio",IFERROR(INDEX(DATA_ASSET_CLASSIFICATION!$C$8:$C$24,MATCH($C3032,DATA_ASSET_CLASSIFICATION!$A$8:$A$24,0)),"Review"))</f>
        <v>Yes</v>
      </c>
      <c r="Q3032" s="350" t="str">
        <f t="shared" ca="1" si="95"/>
        <v>OK</v>
      </c>
    </row>
    <row r="3033" spans="1:17">
      <c r="A3033" s="366" t="s">
        <v>4989</v>
      </c>
      <c r="B3033" s="366" t="s">
        <v>231</v>
      </c>
      <c r="C3033" s="348" t="str">
        <f>DATA_PROPERTY_MASTER!$A$14</f>
        <v>BLD_MM</v>
      </c>
      <c r="D3033" s="380">
        <f>'00_PORTFOLIO ROLLUP'!M$12</f>
        <v>2033</v>
      </c>
      <c r="E3033" s="366" t="s">
        <v>1683</v>
      </c>
      <c r="F3033" s="366" t="s">
        <v>19</v>
      </c>
      <c r="G3033" s="348" t="str">
        <f>"'"&amp;$C3033&amp;"'!$E$41:$Y$41"</f>
        <v>'BLD_MM'!$E$41:$Y$41</v>
      </c>
      <c r="H3033" s="381">
        <f ca="1">IF(IFERROR(INDEX(DATA_PROPERTY_MASTER!$E$5:$E$21,MATCH($C3033,DATA_PROPERTY_MASTER!$A$5:$A$21,0))="Yes",FALSE),IFERROR(INDEX(INDIRECT("'"&amp;$C3033&amp;"'!$E$41:$Y$41"),1,MATCH($D3033,INDIRECT("'"&amp;$C3033&amp;"'!$E$12:$Y$12"),0)),0),0)</f>
        <v>534065.16657716536</v>
      </c>
      <c r="I3033" s="366" t="s">
        <v>1685</v>
      </c>
      <c r="J3033" s="348" t="str">
        <f t="shared" ca="1" si="94"/>
        <v>OK</v>
      </c>
      <c r="K3033" s="366" t="s">
        <v>1694</v>
      </c>
      <c r="L3033" s="366" t="s">
        <v>2238</v>
      </c>
      <c r="M3033" s="350" t="str">
        <f>IF($B3033="Portfolio","Portfolio",IFERROR(INDEX(DATA_ASSET_CLASSIFICATION!$B$8:$B$24,MATCH($C3033,DATA_ASSET_CLASSIFICATION!$A$8:$A$24,0)),"Review"))</f>
        <v>Murray Manor</v>
      </c>
      <c r="N3033" s="350" t="str">
        <f ca="1">IF($B3033="Portfolio","Portfolio",IFERROR(INDEX(DATA_ASSET_CLASSIFICATION!$U$8:$U$24,MATCH($C3033,DATA_ASSET_CLASSIFICATION!$A$8:$A$24,0)),"Review"))</f>
        <v>Refi Watch</v>
      </c>
      <c r="O3033" s="350" t="str">
        <f ca="1">IF($B3033="Portfolio","Portfolio",IFERROR(INDEX(DATA_ASSET_CLASSIFICATION!$AB$8:$AB$13,MATCH($N3033,DATA_ASSET_CLASSIFICATION!$AA$8:$AA$13,0)),"Review"))</f>
        <v>Bucket 2 · Legacy</v>
      </c>
      <c r="P3033" s="350" t="str">
        <f>IF($B3033="Portfolio","Portfolio",IFERROR(INDEX(DATA_ASSET_CLASSIFICATION!$C$8:$C$24,MATCH($C3033,DATA_ASSET_CLASSIFICATION!$A$8:$A$24,0)),"Review"))</f>
        <v>Yes</v>
      </c>
      <c r="Q3033" s="350" t="str">
        <f t="shared" ca="1" si="95"/>
        <v>OK</v>
      </c>
    </row>
    <row r="3034" spans="1:17">
      <c r="A3034" s="366" t="s">
        <v>4990</v>
      </c>
      <c r="B3034" s="366" t="s">
        <v>231</v>
      </c>
      <c r="C3034" s="348" t="str">
        <f>DATA_PROPERTY_MASTER!$A$14</f>
        <v>BLD_MM</v>
      </c>
      <c r="D3034" s="380">
        <f>'00_PORTFOLIO ROLLUP'!M$12</f>
        <v>2033</v>
      </c>
      <c r="E3034" s="366" t="s">
        <v>1683</v>
      </c>
      <c r="F3034" s="366" t="s">
        <v>1697</v>
      </c>
      <c r="G3034" s="348" t="str">
        <f>"'"&amp;$C3034&amp;"'!$E$44:$Y$44"</f>
        <v>'BLD_MM'!$E$44:$Y$44</v>
      </c>
      <c r="H3034" s="381">
        <f ca="1">IF(IFERROR(INDEX(DATA_PROPERTY_MASTER!$E$5:$E$21,MATCH($C3034,DATA_PROPERTY_MASTER!$A$5:$A$21,0))="Yes",FALSE),IFERROR(INDEX(INDIRECT("'"&amp;$C3034&amp;"'!$E$44:$Y$44"),1,MATCH($D3034,INDIRECT("'"&amp;$C3034&amp;"'!$E$12:$Y$12"),0)),0),0)</f>
        <v>8260.1986360659721</v>
      </c>
      <c r="I3034" s="366" t="s">
        <v>1690</v>
      </c>
      <c r="J3034" s="348" t="str">
        <f t="shared" ca="1" si="94"/>
        <v>OK</v>
      </c>
      <c r="K3034" s="366" t="s">
        <v>1699</v>
      </c>
      <c r="L3034" s="366" t="s">
        <v>2240</v>
      </c>
      <c r="M3034" s="350" t="str">
        <f>IF($B3034="Portfolio","Portfolio",IFERROR(INDEX(DATA_ASSET_CLASSIFICATION!$B$8:$B$24,MATCH($C3034,DATA_ASSET_CLASSIFICATION!$A$8:$A$24,0)),"Review"))</f>
        <v>Murray Manor</v>
      </c>
      <c r="N3034" s="350" t="str">
        <f ca="1">IF($B3034="Portfolio","Portfolio",IFERROR(INDEX(DATA_ASSET_CLASSIFICATION!$U$8:$U$24,MATCH($C3034,DATA_ASSET_CLASSIFICATION!$A$8:$A$24,0)),"Review"))</f>
        <v>Refi Watch</v>
      </c>
      <c r="O3034" s="350" t="str">
        <f ca="1">IF($B3034="Portfolio","Portfolio",IFERROR(INDEX(DATA_ASSET_CLASSIFICATION!$AB$8:$AB$13,MATCH($N3034,DATA_ASSET_CLASSIFICATION!$AA$8:$AA$13,0)),"Review"))</f>
        <v>Bucket 2 · Legacy</v>
      </c>
      <c r="P3034" s="350" t="str">
        <f>IF($B3034="Portfolio","Portfolio",IFERROR(INDEX(DATA_ASSET_CLASSIFICATION!$C$8:$C$24,MATCH($C3034,DATA_ASSET_CLASSIFICATION!$A$8:$A$24,0)),"Review"))</f>
        <v>Yes</v>
      </c>
      <c r="Q3034" s="350" t="str">
        <f t="shared" ca="1" si="95"/>
        <v>OK</v>
      </c>
    </row>
    <row r="3035" spans="1:17">
      <c r="A3035" s="366" t="s">
        <v>4991</v>
      </c>
      <c r="B3035" s="366" t="s">
        <v>231</v>
      </c>
      <c r="C3035" s="348" t="str">
        <f>DATA_PROPERTY_MASTER!$A$14</f>
        <v>BLD_MM</v>
      </c>
      <c r="D3035" s="380">
        <f>'00_PORTFOLIO ROLLUP'!M$12</f>
        <v>2033</v>
      </c>
      <c r="E3035" s="366" t="s">
        <v>1683</v>
      </c>
      <c r="F3035" s="366" t="s">
        <v>21</v>
      </c>
      <c r="G3035" s="348" t="str">
        <f>"'"&amp;$C3035&amp;"'!$E$45:$Y$45"</f>
        <v>'BLD_MM'!$E$45:$Y$45</v>
      </c>
      <c r="H3035" s="381">
        <f ca="1">IF(IFERROR(INDEX(DATA_PROPERTY_MASTER!$E$5:$E$21,MATCH($C3035,DATA_PROPERTY_MASTER!$A$5:$A$21,0))="Yes",FALSE),IFERROR(INDEX(INDIRECT("'"&amp;$C3035&amp;"'!$E$45:$Y$45"),1,MATCH($D3035,INDIRECT("'"&amp;$C3035&amp;"'!$E$12:$Y$12"),0)),0),0)</f>
        <v>525804.96794109943</v>
      </c>
      <c r="I3035" s="366" t="s">
        <v>1685</v>
      </c>
      <c r="J3035" s="348" t="str">
        <f t="shared" ca="1" si="94"/>
        <v>OK</v>
      </c>
      <c r="K3035" s="366" t="s">
        <v>1694</v>
      </c>
      <c r="L3035" s="366" t="s">
        <v>2242</v>
      </c>
      <c r="M3035" s="350" t="str">
        <f>IF($B3035="Portfolio","Portfolio",IFERROR(INDEX(DATA_ASSET_CLASSIFICATION!$B$8:$B$24,MATCH($C3035,DATA_ASSET_CLASSIFICATION!$A$8:$A$24,0)),"Review"))</f>
        <v>Murray Manor</v>
      </c>
      <c r="N3035" s="350" t="str">
        <f ca="1">IF($B3035="Portfolio","Portfolio",IFERROR(INDEX(DATA_ASSET_CLASSIFICATION!$U$8:$U$24,MATCH($C3035,DATA_ASSET_CLASSIFICATION!$A$8:$A$24,0)),"Review"))</f>
        <v>Refi Watch</v>
      </c>
      <c r="O3035" s="350" t="str">
        <f ca="1">IF($B3035="Portfolio","Portfolio",IFERROR(INDEX(DATA_ASSET_CLASSIFICATION!$AB$8:$AB$13,MATCH($N3035,DATA_ASSET_CLASSIFICATION!$AA$8:$AA$13,0)),"Review"))</f>
        <v>Bucket 2 · Legacy</v>
      </c>
      <c r="P3035" s="350" t="str">
        <f>IF($B3035="Portfolio","Portfolio",IFERROR(INDEX(DATA_ASSET_CLASSIFICATION!$C$8:$C$24,MATCH($C3035,DATA_ASSET_CLASSIFICATION!$A$8:$A$24,0)),"Review"))</f>
        <v>Yes</v>
      </c>
      <c r="Q3035" s="350" t="str">
        <f t="shared" ca="1" si="95"/>
        <v>OK</v>
      </c>
    </row>
    <row r="3036" spans="1:17">
      <c r="A3036" s="366" t="s">
        <v>4992</v>
      </c>
      <c r="B3036" s="366" t="s">
        <v>231</v>
      </c>
      <c r="C3036" s="348" t="str">
        <f>DATA_PROPERTY_MASTER!$A$14</f>
        <v>BLD_MM</v>
      </c>
      <c r="D3036" s="380">
        <f>'00_PORTFOLIO ROLLUP'!M$12</f>
        <v>2033</v>
      </c>
      <c r="E3036" s="366" t="s">
        <v>23</v>
      </c>
      <c r="F3036" s="366" t="s">
        <v>23</v>
      </c>
      <c r="G3036" s="348" t="str">
        <f>"'"&amp;$C3036&amp;"'!$E$48:$Y$48"</f>
        <v>'BLD_MM'!$E$48:$Y$48</v>
      </c>
      <c r="H3036" s="381">
        <f ca="1">IF(IFERROR(INDEX(DATA_PROPERTY_MASTER!$E$5:$E$21,MATCH($C3036,DATA_PROPERTY_MASTER!$A$5:$A$21,0))="Yes",FALSE),IFERROR(INDEX(INDIRECT("'"&amp;$C3036&amp;"'!$E$48:$Y$48"),1,MATCH($D3036,INDIRECT("'"&amp;$C3036&amp;"'!$E$12:$Y$12"),0)),0),0)</f>
        <v>271563.84000000003</v>
      </c>
      <c r="I3036" s="366" t="s">
        <v>1690</v>
      </c>
      <c r="J3036" s="348" t="str">
        <f t="shared" ca="1" si="94"/>
        <v>OK</v>
      </c>
      <c r="K3036" s="366" t="s">
        <v>1706</v>
      </c>
      <c r="L3036" s="366" t="s">
        <v>2244</v>
      </c>
      <c r="M3036" s="350" t="str">
        <f>IF($B3036="Portfolio","Portfolio",IFERROR(INDEX(DATA_ASSET_CLASSIFICATION!$B$8:$B$24,MATCH($C3036,DATA_ASSET_CLASSIFICATION!$A$8:$A$24,0)),"Review"))</f>
        <v>Murray Manor</v>
      </c>
      <c r="N3036" s="350" t="str">
        <f ca="1">IF($B3036="Portfolio","Portfolio",IFERROR(INDEX(DATA_ASSET_CLASSIFICATION!$U$8:$U$24,MATCH($C3036,DATA_ASSET_CLASSIFICATION!$A$8:$A$24,0)),"Review"))</f>
        <v>Refi Watch</v>
      </c>
      <c r="O3036" s="350" t="str">
        <f ca="1">IF($B3036="Portfolio","Portfolio",IFERROR(INDEX(DATA_ASSET_CLASSIFICATION!$AB$8:$AB$13,MATCH($N3036,DATA_ASSET_CLASSIFICATION!$AA$8:$AA$13,0)),"Review"))</f>
        <v>Bucket 2 · Legacy</v>
      </c>
      <c r="P3036" s="350" t="str">
        <f>IF($B3036="Portfolio","Portfolio",IFERROR(INDEX(DATA_ASSET_CLASSIFICATION!$C$8:$C$24,MATCH($C3036,DATA_ASSET_CLASSIFICATION!$A$8:$A$24,0)),"Review"))</f>
        <v>Yes</v>
      </c>
      <c r="Q3036" s="350" t="str">
        <f t="shared" ca="1" si="95"/>
        <v>OK</v>
      </c>
    </row>
    <row r="3037" spans="1:17">
      <c r="A3037" s="366" t="s">
        <v>4993</v>
      </c>
      <c r="B3037" s="366" t="s">
        <v>231</v>
      </c>
      <c r="C3037" s="348" t="str">
        <f>DATA_PROPERTY_MASTER!$A$14</f>
        <v>BLD_MM</v>
      </c>
      <c r="D3037" s="380">
        <f>'00_PORTFOLIO ROLLUP'!M$12</f>
        <v>2033</v>
      </c>
      <c r="E3037" s="366" t="s">
        <v>1683</v>
      </c>
      <c r="F3037" s="366" t="s">
        <v>25</v>
      </c>
      <c r="G3037" s="348" t="str">
        <f>"'"&amp;$C3037&amp;"'!$E$52:$Y$52"</f>
        <v>'BLD_MM'!$E$52:$Y$52</v>
      </c>
      <c r="H3037" s="381">
        <f ca="1">IF(IFERROR(INDEX(DATA_PROPERTY_MASTER!$E$5:$E$21,MATCH($C3037,DATA_PROPERTY_MASTER!$A$5:$A$21,0))="Yes",FALSE),IFERROR(INDEX(INDIRECT("'"&amp;$C3037&amp;"'!$E$52:$Y$52"),1,MATCH($D3037,INDIRECT("'"&amp;$C3037&amp;"'!$E$12:$Y$12"),0)),0),0)</f>
        <v>262501.32657716534</v>
      </c>
      <c r="I3037" s="366" t="s">
        <v>1685</v>
      </c>
      <c r="J3037" s="348" t="str">
        <f t="shared" ca="1" si="94"/>
        <v>OK</v>
      </c>
      <c r="K3037" s="366" t="s">
        <v>1710</v>
      </c>
      <c r="L3037" s="366" t="s">
        <v>2246</v>
      </c>
      <c r="M3037" s="350" t="str">
        <f>IF($B3037="Portfolio","Portfolio",IFERROR(INDEX(DATA_ASSET_CLASSIFICATION!$B$8:$B$24,MATCH($C3037,DATA_ASSET_CLASSIFICATION!$A$8:$A$24,0)),"Review"))</f>
        <v>Murray Manor</v>
      </c>
      <c r="N3037" s="350" t="str">
        <f ca="1">IF($B3037="Portfolio","Portfolio",IFERROR(INDEX(DATA_ASSET_CLASSIFICATION!$U$8:$U$24,MATCH($C3037,DATA_ASSET_CLASSIFICATION!$A$8:$A$24,0)),"Review"))</f>
        <v>Refi Watch</v>
      </c>
      <c r="O3037" s="350" t="str">
        <f ca="1">IF($B3037="Portfolio","Portfolio",IFERROR(INDEX(DATA_ASSET_CLASSIFICATION!$AB$8:$AB$13,MATCH($N3037,DATA_ASSET_CLASSIFICATION!$AA$8:$AA$13,0)),"Review"))</f>
        <v>Bucket 2 · Legacy</v>
      </c>
      <c r="P3037" s="350" t="str">
        <f>IF($B3037="Portfolio","Portfolio",IFERROR(INDEX(DATA_ASSET_CLASSIFICATION!$C$8:$C$24,MATCH($C3037,DATA_ASSET_CLASSIFICATION!$A$8:$A$24,0)),"Review"))</f>
        <v>Yes</v>
      </c>
      <c r="Q3037" s="350" t="str">
        <f t="shared" ca="1" si="95"/>
        <v>OK</v>
      </c>
    </row>
    <row r="3038" spans="1:17">
      <c r="A3038" s="366" t="s">
        <v>4994</v>
      </c>
      <c r="B3038" s="366" t="s">
        <v>231</v>
      </c>
      <c r="C3038" s="348" t="str">
        <f>DATA_PROPERTY_MASTER!$A$14</f>
        <v>BLD_MM</v>
      </c>
      <c r="D3038" s="380">
        <f>'00_PORTFOLIO ROLLUP'!M$12</f>
        <v>2033</v>
      </c>
      <c r="E3038" s="366" t="s">
        <v>1683</v>
      </c>
      <c r="F3038" s="366" t="s">
        <v>27</v>
      </c>
      <c r="G3038" s="348" t="str">
        <f>"'"&amp;$C3038&amp;"'!$E$54:$Y$54"</f>
        <v>'BLD_MM'!$E$54:$Y$54</v>
      </c>
      <c r="H3038" s="381">
        <f ca="1">IF(IFERROR(INDEX(DATA_PROPERTY_MASTER!$E$5:$E$21,MATCH($C3038,DATA_PROPERTY_MASTER!$A$5:$A$21,0))="Yes",FALSE),IFERROR(INDEX(INDIRECT("'"&amp;$C3038&amp;"'!$E$54:$Y$54"),1,MATCH($D3038,INDIRECT("'"&amp;$C3038&amp;"'!$E$12:$Y$12"),0)),0),0)</f>
        <v>157500.79594629919</v>
      </c>
      <c r="I3038" s="366" t="s">
        <v>1690</v>
      </c>
      <c r="J3038" s="348" t="str">
        <f t="shared" ca="1" si="94"/>
        <v>OK</v>
      </c>
      <c r="K3038" s="366" t="s">
        <v>1714</v>
      </c>
      <c r="L3038" s="366" t="s">
        <v>2248</v>
      </c>
      <c r="M3038" s="350" t="str">
        <f>IF($B3038="Portfolio","Portfolio",IFERROR(INDEX(DATA_ASSET_CLASSIFICATION!$B$8:$B$24,MATCH($C3038,DATA_ASSET_CLASSIFICATION!$A$8:$A$24,0)),"Review"))</f>
        <v>Murray Manor</v>
      </c>
      <c r="N3038" s="350" t="str">
        <f ca="1">IF($B3038="Portfolio","Portfolio",IFERROR(INDEX(DATA_ASSET_CLASSIFICATION!$U$8:$U$24,MATCH($C3038,DATA_ASSET_CLASSIFICATION!$A$8:$A$24,0)),"Review"))</f>
        <v>Refi Watch</v>
      </c>
      <c r="O3038" s="350" t="str">
        <f ca="1">IF($B3038="Portfolio","Portfolio",IFERROR(INDEX(DATA_ASSET_CLASSIFICATION!$AB$8:$AB$13,MATCH($N3038,DATA_ASSET_CLASSIFICATION!$AA$8:$AA$13,0)),"Review"))</f>
        <v>Bucket 2 · Legacy</v>
      </c>
      <c r="P3038" s="350" t="str">
        <f>IF($B3038="Portfolio","Portfolio",IFERROR(INDEX(DATA_ASSET_CLASSIFICATION!$C$8:$C$24,MATCH($C3038,DATA_ASSET_CLASSIFICATION!$A$8:$A$24,0)),"Review"))</f>
        <v>Yes</v>
      </c>
      <c r="Q3038" s="350" t="str">
        <f t="shared" ca="1" si="95"/>
        <v>OK</v>
      </c>
    </row>
    <row r="3039" spans="1:17">
      <c r="A3039" s="366" t="s">
        <v>4995</v>
      </c>
      <c r="B3039" s="366" t="s">
        <v>231</v>
      </c>
      <c r="C3039" s="348" t="str">
        <f>DATA_PROPERTY_MASTER!$A$14</f>
        <v>BLD_MM</v>
      </c>
      <c r="D3039" s="380">
        <f>'00_PORTFOLIO ROLLUP'!M$12</f>
        <v>2033</v>
      </c>
      <c r="E3039" s="366" t="s">
        <v>1683</v>
      </c>
      <c r="F3039" s="366" t="s">
        <v>29</v>
      </c>
      <c r="G3039" s="348" t="str">
        <f>"'"&amp;$C3039&amp;"'!$E$56:$Y$56"</f>
        <v>'BLD_MM'!$E$56:$Y$56</v>
      </c>
      <c r="H3039" s="381">
        <f ca="1">IF(IFERROR(INDEX(DATA_PROPERTY_MASTER!$E$5:$E$21,MATCH($C3039,DATA_PROPERTY_MASTER!$A$5:$A$21,0))="Yes",FALSE),IFERROR(INDEX(INDIRECT("'"&amp;$C3039&amp;"'!$E$56:$Y$56"),1,MATCH($D3039,INDIRECT("'"&amp;$C3039&amp;"'!$E$12:$Y$12"),0)),0),0)</f>
        <v>105000.53063086615</v>
      </c>
      <c r="I3039" s="366" t="s">
        <v>1685</v>
      </c>
      <c r="J3039" s="348" t="str">
        <f t="shared" ca="1" si="94"/>
        <v>OK</v>
      </c>
      <c r="K3039" s="366" t="s">
        <v>1718</v>
      </c>
      <c r="L3039" s="366" t="s">
        <v>2250</v>
      </c>
      <c r="M3039" s="350" t="str">
        <f>IF($B3039="Portfolio","Portfolio",IFERROR(INDEX(DATA_ASSET_CLASSIFICATION!$B$8:$B$24,MATCH($C3039,DATA_ASSET_CLASSIFICATION!$A$8:$A$24,0)),"Review"))</f>
        <v>Murray Manor</v>
      </c>
      <c r="N3039" s="350" t="str">
        <f ca="1">IF($B3039="Portfolio","Portfolio",IFERROR(INDEX(DATA_ASSET_CLASSIFICATION!$U$8:$U$24,MATCH($C3039,DATA_ASSET_CLASSIFICATION!$A$8:$A$24,0)),"Review"))</f>
        <v>Refi Watch</v>
      </c>
      <c r="O3039" s="350" t="str">
        <f ca="1">IF($B3039="Portfolio","Portfolio",IFERROR(INDEX(DATA_ASSET_CLASSIFICATION!$AB$8:$AB$13,MATCH($N3039,DATA_ASSET_CLASSIFICATION!$AA$8:$AA$13,0)),"Review"))</f>
        <v>Bucket 2 · Legacy</v>
      </c>
      <c r="P3039" s="350" t="str">
        <f>IF($B3039="Portfolio","Portfolio",IFERROR(INDEX(DATA_ASSET_CLASSIFICATION!$C$8:$C$24,MATCH($C3039,DATA_ASSET_CLASSIFICATION!$A$8:$A$24,0)),"Review"))</f>
        <v>Yes</v>
      </c>
      <c r="Q3039" s="350" t="str">
        <f t="shared" ca="1" si="95"/>
        <v>OK</v>
      </c>
    </row>
    <row r="3040" spans="1:17">
      <c r="A3040" s="366" t="s">
        <v>4996</v>
      </c>
      <c r="B3040" s="366" t="s">
        <v>231</v>
      </c>
      <c r="C3040" s="348" t="str">
        <f>DATA_PROPERTY_MASTER!$A$14</f>
        <v>BLD_MM</v>
      </c>
      <c r="D3040" s="380">
        <f>'00_PORTFOLIO ROLLUP'!M$12</f>
        <v>2033</v>
      </c>
      <c r="E3040" s="366" t="s">
        <v>1721</v>
      </c>
      <c r="F3040" s="366" t="s">
        <v>31</v>
      </c>
      <c r="G3040" s="348" t="str">
        <f>"'"&amp;$C3040&amp;"'!$E$61:$Y$61"</f>
        <v>'BLD_MM'!$E$61:$Y$61</v>
      </c>
      <c r="H3040" s="381">
        <f ca="1">IF(IFERROR(INDEX(DATA_PROPERTY_MASTER!$E$5:$E$21,MATCH($C3040,DATA_PROPERTY_MASTER!$A$5:$A$21,0))="Yes",FALSE),IFERROR(INDEX(INDIRECT("'"&amp;$C3040&amp;"'!$E$61:$Y$61"),1,MATCH($D3040,INDIRECT("'"&amp;$C3040&amp;"'!$E$12:$Y$12"),0)),0),0)</f>
        <v>0</v>
      </c>
      <c r="I3040" s="366" t="s">
        <v>1690</v>
      </c>
      <c r="J3040" s="348" t="str">
        <f t="shared" ca="1" si="94"/>
        <v>OK</v>
      </c>
      <c r="K3040" s="366" t="s">
        <v>1723</v>
      </c>
      <c r="L3040" s="366" t="s">
        <v>2252</v>
      </c>
      <c r="M3040" s="350" t="str">
        <f>IF($B3040="Portfolio","Portfolio",IFERROR(INDEX(DATA_ASSET_CLASSIFICATION!$B$8:$B$24,MATCH($C3040,DATA_ASSET_CLASSIFICATION!$A$8:$A$24,0)),"Review"))</f>
        <v>Murray Manor</v>
      </c>
      <c r="N3040" s="350" t="str">
        <f ca="1">IF($B3040="Portfolio","Portfolio",IFERROR(INDEX(DATA_ASSET_CLASSIFICATION!$U$8:$U$24,MATCH($C3040,DATA_ASSET_CLASSIFICATION!$A$8:$A$24,0)),"Review"))</f>
        <v>Refi Watch</v>
      </c>
      <c r="O3040" s="350" t="str">
        <f ca="1">IF($B3040="Portfolio","Portfolio",IFERROR(INDEX(DATA_ASSET_CLASSIFICATION!$AB$8:$AB$13,MATCH($N3040,DATA_ASSET_CLASSIFICATION!$AA$8:$AA$13,0)),"Review"))</f>
        <v>Bucket 2 · Legacy</v>
      </c>
      <c r="P3040" s="350" t="str">
        <f>IF($B3040="Portfolio","Portfolio",IFERROR(INDEX(DATA_ASSET_CLASSIFICATION!$C$8:$C$24,MATCH($C3040,DATA_ASSET_CLASSIFICATION!$A$8:$A$24,0)),"Review"))</f>
        <v>Yes</v>
      </c>
      <c r="Q3040" s="350" t="str">
        <f t="shared" ca="1" si="95"/>
        <v>OK</v>
      </c>
    </row>
    <row r="3041" spans="1:17">
      <c r="A3041" s="366" t="s">
        <v>4997</v>
      </c>
      <c r="B3041" s="366" t="s">
        <v>231</v>
      </c>
      <c r="C3041" s="348" t="str">
        <f>DATA_PROPERTY_MASTER!$A$14</f>
        <v>BLD_MM</v>
      </c>
      <c r="D3041" s="380">
        <f>'00_PORTFOLIO ROLLUP'!M$12</f>
        <v>2033</v>
      </c>
      <c r="E3041" s="366" t="s">
        <v>1721</v>
      </c>
      <c r="F3041" s="366" t="s">
        <v>33</v>
      </c>
      <c r="G3041" s="348" t="str">
        <f>"'"&amp;$C3041&amp;"'!$E$62:$Y$62"</f>
        <v>'BLD_MM'!$E$62:$Y$62</v>
      </c>
      <c r="H3041" s="381">
        <f ca="1">IF(IFERROR(INDEX(DATA_PROPERTY_MASTER!$E$5:$E$21,MATCH($C3041,DATA_PROPERTY_MASTER!$A$5:$A$21,0))="Yes",FALSE),IFERROR(INDEX(INDIRECT("'"&amp;$C3041&amp;"'!$E$62:$Y$62"),1,MATCH($D3041,INDIRECT("'"&amp;$C3041&amp;"'!$E$12:$Y$12"),0)),0),0)</f>
        <v>0</v>
      </c>
      <c r="I3041" s="366" t="s">
        <v>1685</v>
      </c>
      <c r="J3041" s="348" t="str">
        <f t="shared" ca="1" si="94"/>
        <v>OK</v>
      </c>
      <c r="K3041" s="366" t="s">
        <v>1727</v>
      </c>
      <c r="L3041" s="366" t="s">
        <v>2254</v>
      </c>
      <c r="M3041" s="350" t="str">
        <f>IF($B3041="Portfolio","Portfolio",IFERROR(INDEX(DATA_ASSET_CLASSIFICATION!$B$8:$B$24,MATCH($C3041,DATA_ASSET_CLASSIFICATION!$A$8:$A$24,0)),"Review"))</f>
        <v>Murray Manor</v>
      </c>
      <c r="N3041" s="350" t="str">
        <f ca="1">IF($B3041="Portfolio","Portfolio",IFERROR(INDEX(DATA_ASSET_CLASSIFICATION!$U$8:$U$24,MATCH($C3041,DATA_ASSET_CLASSIFICATION!$A$8:$A$24,0)),"Review"))</f>
        <v>Refi Watch</v>
      </c>
      <c r="O3041" s="350" t="str">
        <f ca="1">IF($B3041="Portfolio","Portfolio",IFERROR(INDEX(DATA_ASSET_CLASSIFICATION!$AB$8:$AB$13,MATCH($N3041,DATA_ASSET_CLASSIFICATION!$AA$8:$AA$13,0)),"Review"))</f>
        <v>Bucket 2 · Legacy</v>
      </c>
      <c r="P3041" s="350" t="str">
        <f>IF($B3041="Portfolio","Portfolio",IFERROR(INDEX(DATA_ASSET_CLASSIFICATION!$C$8:$C$24,MATCH($C3041,DATA_ASSET_CLASSIFICATION!$A$8:$A$24,0)),"Review"))</f>
        <v>Yes</v>
      </c>
      <c r="Q3041" s="350" t="str">
        <f t="shared" ca="1" si="95"/>
        <v>OK</v>
      </c>
    </row>
    <row r="3042" spans="1:17">
      <c r="A3042" s="366" t="s">
        <v>4998</v>
      </c>
      <c r="B3042" s="366" t="s">
        <v>231</v>
      </c>
      <c r="C3042" s="348" t="str">
        <f>DATA_PROPERTY_MASTER!$A$14</f>
        <v>BLD_MM</v>
      </c>
      <c r="D3042" s="380">
        <f>'00_PORTFOLIO ROLLUP'!M$12</f>
        <v>2033</v>
      </c>
      <c r="E3042" s="366" t="s">
        <v>1721</v>
      </c>
      <c r="F3042" s="366" t="s">
        <v>35</v>
      </c>
      <c r="G3042" s="348" t="str">
        <f>"'"&amp;$C3042&amp;"'!$E$63:$Y$63"</f>
        <v>'BLD_MM'!$E$63:$Y$63</v>
      </c>
      <c r="H3042" s="381">
        <f ca="1">IF(IFERROR(INDEX(DATA_PROPERTY_MASTER!$E$5:$E$21,MATCH($C3042,DATA_PROPERTY_MASTER!$A$5:$A$21,0))="Yes",FALSE),IFERROR(INDEX(INDIRECT("'"&amp;$C3042&amp;"'!$E$63:$Y$63"),1,MATCH($D3042,INDIRECT("'"&amp;$C3042&amp;"'!$E$12:$Y$12"),0)),0),0)</f>
        <v>0</v>
      </c>
      <c r="I3042" s="366" t="s">
        <v>1731</v>
      </c>
      <c r="J3042" s="348" t="str">
        <f t="shared" ca="1" si="94"/>
        <v>OK</v>
      </c>
      <c r="K3042" s="366" t="s">
        <v>1732</v>
      </c>
      <c r="L3042" s="366" t="s">
        <v>2256</v>
      </c>
      <c r="M3042" s="350" t="str">
        <f>IF($B3042="Portfolio","Portfolio",IFERROR(INDEX(DATA_ASSET_CLASSIFICATION!$B$8:$B$24,MATCH($C3042,DATA_ASSET_CLASSIFICATION!$A$8:$A$24,0)),"Review"))</f>
        <v>Murray Manor</v>
      </c>
      <c r="N3042" s="350" t="str">
        <f ca="1">IF($B3042="Portfolio","Portfolio",IFERROR(INDEX(DATA_ASSET_CLASSIFICATION!$U$8:$U$24,MATCH($C3042,DATA_ASSET_CLASSIFICATION!$A$8:$A$24,0)),"Review"))</f>
        <v>Refi Watch</v>
      </c>
      <c r="O3042" s="350" t="str">
        <f ca="1">IF($B3042="Portfolio","Portfolio",IFERROR(INDEX(DATA_ASSET_CLASSIFICATION!$AB$8:$AB$13,MATCH($N3042,DATA_ASSET_CLASSIFICATION!$AA$8:$AA$13,0)),"Review"))</f>
        <v>Bucket 2 · Legacy</v>
      </c>
      <c r="P3042" s="350" t="str">
        <f>IF($B3042="Portfolio","Portfolio",IFERROR(INDEX(DATA_ASSET_CLASSIFICATION!$C$8:$C$24,MATCH($C3042,DATA_ASSET_CLASSIFICATION!$A$8:$A$24,0)),"Review"))</f>
        <v>Yes</v>
      </c>
      <c r="Q3042" s="350" t="str">
        <f t="shared" ca="1" si="95"/>
        <v>OK</v>
      </c>
    </row>
    <row r="3043" spans="1:17">
      <c r="A3043" s="366" t="s">
        <v>4999</v>
      </c>
      <c r="B3043" s="366" t="s">
        <v>231</v>
      </c>
      <c r="C3043" s="348" t="str">
        <f>DATA_PROPERTY_MASTER!$A$14</f>
        <v>BLD_MM</v>
      </c>
      <c r="D3043" s="380">
        <f>'00_PORTFOLIO ROLLUP'!M$12</f>
        <v>2033</v>
      </c>
      <c r="E3043" s="366" t="s">
        <v>1721</v>
      </c>
      <c r="F3043" s="366" t="s">
        <v>37</v>
      </c>
      <c r="G3043" s="348" t="str">
        <f>"'"&amp;$C3043&amp;"'!$E$63:$Y$63"</f>
        <v>'BLD_MM'!$E$63:$Y$63</v>
      </c>
      <c r="H3043" s="381">
        <f ca="1">IF(IFERROR(INDEX(DATA_PROPERTY_MASTER!$E$5:$E$21,MATCH($C3043,DATA_PROPERTY_MASTER!$A$5:$A$21,0))="Yes",FALSE),MAX(IFERROR(INDEX(INDIRECT("'"&amp;$C3043&amp;"'!$E$63:$Y$63"),1,MATCH($D3043,INDIRECT("'"&amp;$C3043&amp;"'!$E$12:$Y$12"),0)),0),0),0)</f>
        <v>0</v>
      </c>
      <c r="I3043" s="366" t="s">
        <v>1685</v>
      </c>
      <c r="J3043" s="348" t="str">
        <f t="shared" ca="1" si="94"/>
        <v>OK</v>
      </c>
      <c r="K3043" s="366" t="s">
        <v>1735</v>
      </c>
      <c r="L3043" s="366" t="s">
        <v>2258</v>
      </c>
      <c r="M3043" s="350" t="str">
        <f>IF($B3043="Portfolio","Portfolio",IFERROR(INDEX(DATA_ASSET_CLASSIFICATION!$B$8:$B$24,MATCH($C3043,DATA_ASSET_CLASSIFICATION!$A$8:$A$24,0)),"Review"))</f>
        <v>Murray Manor</v>
      </c>
      <c r="N3043" s="350" t="str">
        <f ca="1">IF($B3043="Portfolio","Portfolio",IFERROR(INDEX(DATA_ASSET_CLASSIFICATION!$U$8:$U$24,MATCH($C3043,DATA_ASSET_CLASSIFICATION!$A$8:$A$24,0)),"Review"))</f>
        <v>Refi Watch</v>
      </c>
      <c r="O3043" s="350" t="str">
        <f ca="1">IF($B3043="Portfolio","Portfolio",IFERROR(INDEX(DATA_ASSET_CLASSIFICATION!$AB$8:$AB$13,MATCH($N3043,DATA_ASSET_CLASSIFICATION!$AA$8:$AA$13,0)),"Review"))</f>
        <v>Bucket 2 · Legacy</v>
      </c>
      <c r="P3043" s="350" t="str">
        <f>IF($B3043="Portfolio","Portfolio",IFERROR(INDEX(DATA_ASSET_CLASSIFICATION!$C$8:$C$24,MATCH($C3043,DATA_ASSET_CLASSIFICATION!$A$8:$A$24,0)),"Review"))</f>
        <v>Yes</v>
      </c>
      <c r="Q3043" s="350" t="str">
        <f t="shared" ca="1" si="95"/>
        <v>OK</v>
      </c>
    </row>
    <row r="3044" spans="1:17">
      <c r="A3044" s="366" t="s">
        <v>5000</v>
      </c>
      <c r="B3044" s="366" t="s">
        <v>231</v>
      </c>
      <c r="C3044" s="348" t="str">
        <f>DATA_PROPERTY_MASTER!$A$14</f>
        <v>BLD_MM</v>
      </c>
      <c r="D3044" s="380">
        <f>'00_PORTFOLIO ROLLUP'!M$12</f>
        <v>2033</v>
      </c>
      <c r="E3044" s="366" t="s">
        <v>1721</v>
      </c>
      <c r="F3044" s="366" t="s">
        <v>39</v>
      </c>
      <c r="G3044" s="348" t="str">
        <f>"'"&amp;$C3044&amp;"'!$E$63:$Y$63"</f>
        <v>'BLD_MM'!$E$63:$Y$63</v>
      </c>
      <c r="H3044" s="381">
        <f ca="1">IF(IFERROR(INDEX(DATA_PROPERTY_MASTER!$E$5:$E$21,MATCH($C3044,DATA_PROPERTY_MASTER!$A$5:$A$21,0))="Yes",FALSE),MAX(-IFERROR(INDEX(INDIRECT("'"&amp;$C3044&amp;"'!$E$63:$Y$63"),1,MATCH($D3044,INDIRECT("'"&amp;$C3044&amp;"'!$E$12:$Y$12"),0)),0),0),0)</f>
        <v>0</v>
      </c>
      <c r="I3044" s="366" t="s">
        <v>1690</v>
      </c>
      <c r="J3044" s="348" t="str">
        <f t="shared" ca="1" si="94"/>
        <v>OK</v>
      </c>
      <c r="K3044" s="366" t="s">
        <v>1738</v>
      </c>
      <c r="L3044" s="366" t="s">
        <v>2260</v>
      </c>
      <c r="M3044" s="350" t="str">
        <f>IF($B3044="Portfolio","Portfolio",IFERROR(INDEX(DATA_ASSET_CLASSIFICATION!$B$8:$B$24,MATCH($C3044,DATA_ASSET_CLASSIFICATION!$A$8:$A$24,0)),"Review"))</f>
        <v>Murray Manor</v>
      </c>
      <c r="N3044" s="350" t="str">
        <f ca="1">IF($B3044="Portfolio","Portfolio",IFERROR(INDEX(DATA_ASSET_CLASSIFICATION!$U$8:$U$24,MATCH($C3044,DATA_ASSET_CLASSIFICATION!$A$8:$A$24,0)),"Review"))</f>
        <v>Refi Watch</v>
      </c>
      <c r="O3044" s="350" t="str">
        <f ca="1">IF($B3044="Portfolio","Portfolio",IFERROR(INDEX(DATA_ASSET_CLASSIFICATION!$AB$8:$AB$13,MATCH($N3044,DATA_ASSET_CLASSIFICATION!$AA$8:$AA$13,0)),"Review"))</f>
        <v>Bucket 2 · Legacy</v>
      </c>
      <c r="P3044" s="350" t="str">
        <f>IF($B3044="Portfolio","Portfolio",IFERROR(INDEX(DATA_ASSET_CLASSIFICATION!$C$8:$C$24,MATCH($C3044,DATA_ASSET_CLASSIFICATION!$A$8:$A$24,0)),"Review"))</f>
        <v>Yes</v>
      </c>
      <c r="Q3044" s="350" t="str">
        <f t="shared" ca="1" si="95"/>
        <v>OK</v>
      </c>
    </row>
    <row r="3045" spans="1:17">
      <c r="A3045" s="366" t="s">
        <v>5001</v>
      </c>
      <c r="B3045" s="366" t="s">
        <v>231</v>
      </c>
      <c r="C3045" s="348" t="str">
        <f>DATA_PROPERTY_MASTER!$A$14</f>
        <v>BLD_MM</v>
      </c>
      <c r="D3045" s="380">
        <f>'00_PORTFOLIO ROLLUP'!M$12</f>
        <v>2033</v>
      </c>
      <c r="E3045" s="366" t="s">
        <v>1741</v>
      </c>
      <c r="F3045" s="366" t="s">
        <v>41</v>
      </c>
      <c r="G3045" s="348" t="str">
        <f>"'"&amp;$C3045&amp;"'!rows 56 + positive row 63"</f>
        <v>'BLD_MM'!rows 56 + positive row 63</v>
      </c>
      <c r="H3045" s="381">
        <f ca="1">IF(IFERROR(INDEX(DATA_PROPERTY_MASTER!$E$5:$E$21,MATCH($C3045,DATA_PROPERTY_MASTER!$A$5:$A$21,0))="Yes",FALSE),IFERROR(INDEX(INDIRECT("'"&amp;$C3045&amp;"'!$E$56:$Y$56"),1,MATCH($D3045,INDIRECT("'"&amp;$C3045&amp;"'!$E$12:$Y$12"),0)),0)+MAX(IFERROR(INDEX(INDIRECT("'"&amp;$C3045&amp;"'!$E$63:$Y$63"),1,MATCH($D3045,INDIRECT("'"&amp;$C3045&amp;"'!$E$12:$Y$12"),0)),0),0),0)</f>
        <v>105000.53063086615</v>
      </c>
      <c r="I3045" s="366" t="s">
        <v>1685</v>
      </c>
      <c r="J3045" s="348" t="str">
        <f t="shared" ca="1" si="94"/>
        <v>OK</v>
      </c>
      <c r="K3045" s="366" t="s">
        <v>1742</v>
      </c>
      <c r="L3045" s="366" t="s">
        <v>2262</v>
      </c>
      <c r="M3045" s="350" t="str">
        <f>IF($B3045="Portfolio","Portfolio",IFERROR(INDEX(DATA_ASSET_CLASSIFICATION!$B$8:$B$24,MATCH($C3045,DATA_ASSET_CLASSIFICATION!$A$8:$A$24,0)),"Review"))</f>
        <v>Murray Manor</v>
      </c>
      <c r="N3045" s="350" t="str">
        <f ca="1">IF($B3045="Portfolio","Portfolio",IFERROR(INDEX(DATA_ASSET_CLASSIFICATION!$U$8:$U$24,MATCH($C3045,DATA_ASSET_CLASSIFICATION!$A$8:$A$24,0)),"Review"))</f>
        <v>Refi Watch</v>
      </c>
      <c r="O3045" s="350" t="str">
        <f ca="1">IF($B3045="Portfolio","Portfolio",IFERROR(INDEX(DATA_ASSET_CLASSIFICATION!$AB$8:$AB$13,MATCH($N3045,DATA_ASSET_CLASSIFICATION!$AA$8:$AA$13,0)),"Review"))</f>
        <v>Bucket 2 · Legacy</v>
      </c>
      <c r="P3045" s="350" t="str">
        <f>IF($B3045="Portfolio","Portfolio",IFERROR(INDEX(DATA_ASSET_CLASSIFICATION!$C$8:$C$24,MATCH($C3045,DATA_ASSET_CLASSIFICATION!$A$8:$A$24,0)),"Review"))</f>
        <v>Yes</v>
      </c>
      <c r="Q3045" s="350" t="str">
        <f t="shared" ca="1" si="95"/>
        <v>OK</v>
      </c>
    </row>
    <row r="3046" spans="1:17">
      <c r="A3046" s="366" t="s">
        <v>5002</v>
      </c>
      <c r="B3046" s="366" t="s">
        <v>231</v>
      </c>
      <c r="C3046" s="348" t="str">
        <f>DATA_PROPERTY_MASTER!$A$14</f>
        <v>BLD_MM</v>
      </c>
      <c r="D3046" s="380">
        <f>'00_PORTFOLIO ROLLUP'!M$12</f>
        <v>2033</v>
      </c>
      <c r="E3046" s="366" t="s">
        <v>1741</v>
      </c>
      <c r="F3046" s="366" t="s">
        <v>43</v>
      </c>
      <c r="G3046" s="348" t="str">
        <f>"'"&amp;$C3046&amp;"'!$E$68:$Y$68"</f>
        <v>'BLD_MM'!$E$68:$Y$68</v>
      </c>
      <c r="H3046" s="381">
        <f ca="1">IF(IFERROR(INDEX(DATA_PROPERTY_MASTER!$E$5:$E$21,MATCH($C3046,DATA_PROPERTY_MASTER!$A$5:$A$21,0))="Yes",FALSE),IFERROR(INDEX(INDIRECT("'"&amp;$C3046&amp;"'!$E$68:$Y$68"),1,MATCH($D3046,INDIRECT("'"&amp;$C3046&amp;"'!$E$12:$Y$12"),0)),0),0)</f>
        <v>105000.53063086615</v>
      </c>
      <c r="I3046" s="366" t="s">
        <v>1731</v>
      </c>
      <c r="J3046" s="348" t="str">
        <f t="shared" ca="1" si="94"/>
        <v>OK</v>
      </c>
      <c r="K3046" s="366" t="s">
        <v>1746</v>
      </c>
      <c r="L3046" s="366" t="s">
        <v>2264</v>
      </c>
      <c r="M3046" s="350" t="str">
        <f>IF($B3046="Portfolio","Portfolio",IFERROR(INDEX(DATA_ASSET_CLASSIFICATION!$B$8:$B$24,MATCH($C3046,DATA_ASSET_CLASSIFICATION!$A$8:$A$24,0)),"Review"))</f>
        <v>Murray Manor</v>
      </c>
      <c r="N3046" s="350" t="str">
        <f ca="1">IF($B3046="Portfolio","Portfolio",IFERROR(INDEX(DATA_ASSET_CLASSIFICATION!$U$8:$U$24,MATCH($C3046,DATA_ASSET_CLASSIFICATION!$A$8:$A$24,0)),"Review"))</f>
        <v>Refi Watch</v>
      </c>
      <c r="O3046" s="350" t="str">
        <f ca="1">IF($B3046="Portfolio","Portfolio",IFERROR(INDEX(DATA_ASSET_CLASSIFICATION!$AB$8:$AB$13,MATCH($N3046,DATA_ASSET_CLASSIFICATION!$AA$8:$AA$13,0)),"Review"))</f>
        <v>Bucket 2 · Legacy</v>
      </c>
      <c r="P3046" s="350" t="str">
        <f>IF($B3046="Portfolio","Portfolio",IFERROR(INDEX(DATA_ASSET_CLASSIFICATION!$C$8:$C$24,MATCH($C3046,DATA_ASSET_CLASSIFICATION!$A$8:$A$24,0)),"Review"))</f>
        <v>Yes</v>
      </c>
      <c r="Q3046" s="350" t="str">
        <f t="shared" ca="1" si="95"/>
        <v>OK</v>
      </c>
    </row>
    <row r="3047" spans="1:17">
      <c r="A3047" s="366" t="s">
        <v>5003</v>
      </c>
      <c r="B3047" s="366" t="s">
        <v>231</v>
      </c>
      <c r="C3047" s="348" t="str">
        <f>DATA_PROPERTY_MASTER!$A$14</f>
        <v>BLD_MM</v>
      </c>
      <c r="D3047" s="380">
        <f>'00_PORTFOLIO ROLLUP'!M$12</f>
        <v>2033</v>
      </c>
      <c r="E3047" s="366" t="s">
        <v>1741</v>
      </c>
      <c r="F3047" s="366" t="s">
        <v>1749</v>
      </c>
      <c r="G3047" s="348" t="str">
        <f>"'"&amp;$C3047&amp;"'!rows 56, 63, 68"</f>
        <v>'BLD_MM'!rows 56, 63, 68</v>
      </c>
      <c r="H3047" s="381">
        <f ca="1">IF(IFERROR(INDEX(DATA_PROPERTY_MASTER!$E$5:$E$21,MATCH($C3047,DATA_PROPERTY_MASTER!$A$5:$A$21,0))="Yes",FALSE),(IFERROR(INDEX(INDIRECT("'"&amp;$C3047&amp;"'!$E$56:$Y$56"),1,MATCH($D3047,INDIRECT("'"&amp;$C3047&amp;"'!$E$12:$Y$12"),0)),0)+MAX(IFERROR(INDEX(INDIRECT("'"&amp;$C3047&amp;"'!$E$63:$Y$63"),1,MATCH($D3047,INDIRECT("'"&amp;$C3047&amp;"'!$E$12:$Y$12"),0)),0),0))-(IFERROR(INDEX(INDIRECT("'"&amp;$C3047&amp;"'!$E$68:$Y$68"),1,MATCH($D3047,INDIRECT("'"&amp;$C3047&amp;"'!$E$12:$Y$12"),0)),0)),0)</f>
        <v>0</v>
      </c>
      <c r="I3047" s="366" t="s">
        <v>1750</v>
      </c>
      <c r="J3047" s="348" t="str">
        <f t="shared" ca="1" si="94"/>
        <v>OK</v>
      </c>
      <c r="K3047" s="366" t="s">
        <v>1751</v>
      </c>
      <c r="L3047" s="366" t="s">
        <v>2266</v>
      </c>
      <c r="M3047" s="350" t="str">
        <f>IF($B3047="Portfolio","Portfolio",IFERROR(INDEX(DATA_ASSET_CLASSIFICATION!$B$8:$B$24,MATCH($C3047,DATA_ASSET_CLASSIFICATION!$A$8:$A$24,0)),"Review"))</f>
        <v>Murray Manor</v>
      </c>
      <c r="N3047" s="350" t="str">
        <f ca="1">IF($B3047="Portfolio","Portfolio",IFERROR(INDEX(DATA_ASSET_CLASSIFICATION!$U$8:$U$24,MATCH($C3047,DATA_ASSET_CLASSIFICATION!$A$8:$A$24,0)),"Review"))</f>
        <v>Refi Watch</v>
      </c>
      <c r="O3047" s="350" t="str">
        <f ca="1">IF($B3047="Portfolio","Portfolio",IFERROR(INDEX(DATA_ASSET_CLASSIFICATION!$AB$8:$AB$13,MATCH($N3047,DATA_ASSET_CLASSIFICATION!$AA$8:$AA$13,0)),"Review"))</f>
        <v>Bucket 2 · Legacy</v>
      </c>
      <c r="P3047" s="350" t="str">
        <f>IF($B3047="Portfolio","Portfolio",IFERROR(INDEX(DATA_ASSET_CLASSIFICATION!$C$8:$C$24,MATCH($C3047,DATA_ASSET_CLASSIFICATION!$A$8:$A$24,0)),"Review"))</f>
        <v>Yes</v>
      </c>
      <c r="Q3047" s="350" t="str">
        <f t="shared" ca="1" si="95"/>
        <v>OK</v>
      </c>
    </row>
    <row r="3048" spans="1:17">
      <c r="A3048" s="366" t="s">
        <v>5004</v>
      </c>
      <c r="B3048" s="366" t="s">
        <v>231</v>
      </c>
      <c r="C3048" s="348" t="str">
        <f>DATA_PROPERTY_MASTER!$A$14</f>
        <v>BLD_MM</v>
      </c>
      <c r="D3048" s="380">
        <f>'00_PORTFOLIO ROLLUP'!N$12</f>
        <v>2034</v>
      </c>
      <c r="E3048" s="366" t="s">
        <v>1683</v>
      </c>
      <c r="F3048" s="366" t="s">
        <v>341</v>
      </c>
      <c r="G3048" s="348" t="str">
        <f>"'"&amp;$C3048&amp;"'!$E$24:$Y$24"</f>
        <v>'BLD_MM'!$E$24:$Y$24</v>
      </c>
      <c r="H3048" s="381">
        <f ca="1">IF(IFERROR(INDEX(DATA_PROPERTY_MASTER!$E$5:$E$21,MATCH($C3048,DATA_PROPERTY_MASTER!$A$5:$A$21,0))="Yes",FALSE),IFERROR(INDEX(INDIRECT("'"&amp;$C3048&amp;"'!$E$24:$Y$24"),1,MATCH($D3048,INDIRECT("'"&amp;$C3048&amp;"'!$E$12:$Y$12"),0)),0),0)</f>
        <v>933367.91037160496</v>
      </c>
      <c r="I3048" s="366" t="s">
        <v>1685</v>
      </c>
      <c r="J3048" s="348" t="str">
        <f t="shared" ca="1" si="94"/>
        <v>OK</v>
      </c>
      <c r="K3048" s="366" t="s">
        <v>1686</v>
      </c>
      <c r="L3048" s="366" t="s">
        <v>2234</v>
      </c>
      <c r="M3048" s="350" t="str">
        <f>IF($B3048="Portfolio","Portfolio",IFERROR(INDEX(DATA_ASSET_CLASSIFICATION!$B$8:$B$24,MATCH($C3048,DATA_ASSET_CLASSIFICATION!$A$8:$A$24,0)),"Review"))</f>
        <v>Murray Manor</v>
      </c>
      <c r="N3048" s="350" t="str">
        <f ca="1">IF($B3048="Portfolio","Portfolio",IFERROR(INDEX(DATA_ASSET_CLASSIFICATION!$U$8:$U$24,MATCH($C3048,DATA_ASSET_CLASSIFICATION!$A$8:$A$24,0)),"Review"))</f>
        <v>Refi Watch</v>
      </c>
      <c r="O3048" s="350" t="str">
        <f ca="1">IF($B3048="Portfolio","Portfolio",IFERROR(INDEX(DATA_ASSET_CLASSIFICATION!$AB$8:$AB$13,MATCH($N3048,DATA_ASSET_CLASSIFICATION!$AA$8:$AA$13,0)),"Review"))</f>
        <v>Bucket 2 · Legacy</v>
      </c>
      <c r="P3048" s="350" t="str">
        <f>IF($B3048="Portfolio","Portfolio",IFERROR(INDEX(DATA_ASSET_CLASSIFICATION!$C$8:$C$24,MATCH($C3048,DATA_ASSET_CLASSIFICATION!$A$8:$A$24,0)),"Review"))</f>
        <v>Yes</v>
      </c>
      <c r="Q3048" s="350" t="str">
        <f t="shared" ca="1" si="95"/>
        <v>OK</v>
      </c>
    </row>
    <row r="3049" spans="1:17">
      <c r="A3049" s="366" t="s">
        <v>5005</v>
      </c>
      <c r="B3049" s="366" t="s">
        <v>231</v>
      </c>
      <c r="C3049" s="348" t="str">
        <f>DATA_PROPERTY_MASTER!$A$14</f>
        <v>BLD_MM</v>
      </c>
      <c r="D3049" s="380">
        <f>'00_PORTFOLIO ROLLUP'!N$12</f>
        <v>2034</v>
      </c>
      <c r="E3049" s="366" t="s">
        <v>1683</v>
      </c>
      <c r="F3049" s="366" t="s">
        <v>355</v>
      </c>
      <c r="G3049" s="348" t="str">
        <f>"'"&amp;$C3049&amp;"'!$E$39:$Y$39"</f>
        <v>'BLD_MM'!$E$39:$Y$39</v>
      </c>
      <c r="H3049" s="381">
        <f ca="1">IF(IFERROR(INDEX(DATA_PROPERTY_MASTER!$E$5:$E$21,MATCH($C3049,DATA_PROPERTY_MASTER!$A$5:$A$21,0))="Yes",FALSE),IFERROR(INDEX(INDIRECT("'"&amp;$C3049&amp;"'!$E$39:$Y$39"),1,MATCH($D3049,INDIRECT("'"&amp;$C3049&amp;"'!$E$12:$Y$12"),0)),0),0)</f>
        <v>396241.46870726696</v>
      </c>
      <c r="I3049" s="366" t="s">
        <v>1690</v>
      </c>
      <c r="J3049" s="348" t="str">
        <f t="shared" ca="1" si="94"/>
        <v>OK</v>
      </c>
      <c r="K3049" s="366" t="s">
        <v>1686</v>
      </c>
      <c r="L3049" s="366" t="s">
        <v>2236</v>
      </c>
      <c r="M3049" s="350" t="str">
        <f>IF($B3049="Portfolio","Portfolio",IFERROR(INDEX(DATA_ASSET_CLASSIFICATION!$B$8:$B$24,MATCH($C3049,DATA_ASSET_CLASSIFICATION!$A$8:$A$24,0)),"Review"))</f>
        <v>Murray Manor</v>
      </c>
      <c r="N3049" s="350" t="str">
        <f ca="1">IF($B3049="Portfolio","Portfolio",IFERROR(INDEX(DATA_ASSET_CLASSIFICATION!$U$8:$U$24,MATCH($C3049,DATA_ASSET_CLASSIFICATION!$A$8:$A$24,0)),"Review"))</f>
        <v>Refi Watch</v>
      </c>
      <c r="O3049" s="350" t="str">
        <f ca="1">IF($B3049="Portfolio","Portfolio",IFERROR(INDEX(DATA_ASSET_CLASSIFICATION!$AB$8:$AB$13,MATCH($N3049,DATA_ASSET_CLASSIFICATION!$AA$8:$AA$13,0)),"Review"))</f>
        <v>Bucket 2 · Legacy</v>
      </c>
      <c r="P3049" s="350" t="str">
        <f>IF($B3049="Portfolio","Portfolio",IFERROR(INDEX(DATA_ASSET_CLASSIFICATION!$C$8:$C$24,MATCH($C3049,DATA_ASSET_CLASSIFICATION!$A$8:$A$24,0)),"Review"))</f>
        <v>Yes</v>
      </c>
      <c r="Q3049" s="350" t="str">
        <f t="shared" ca="1" si="95"/>
        <v>OK</v>
      </c>
    </row>
    <row r="3050" spans="1:17">
      <c r="A3050" s="366" t="s">
        <v>5006</v>
      </c>
      <c r="B3050" s="366" t="s">
        <v>231</v>
      </c>
      <c r="C3050" s="348" t="str">
        <f>DATA_PROPERTY_MASTER!$A$14</f>
        <v>BLD_MM</v>
      </c>
      <c r="D3050" s="380">
        <f>'00_PORTFOLIO ROLLUP'!N$12</f>
        <v>2034</v>
      </c>
      <c r="E3050" s="366" t="s">
        <v>1683</v>
      </c>
      <c r="F3050" s="366" t="s">
        <v>19</v>
      </c>
      <c r="G3050" s="348" t="str">
        <f>"'"&amp;$C3050&amp;"'!$E$41:$Y$41"</f>
        <v>'BLD_MM'!$E$41:$Y$41</v>
      </c>
      <c r="H3050" s="381">
        <f ca="1">IF(IFERROR(INDEX(DATA_PROPERTY_MASTER!$E$5:$E$21,MATCH($C3050,DATA_PROPERTY_MASTER!$A$5:$A$21,0))="Yes",FALSE),IFERROR(INDEX(INDIRECT("'"&amp;$C3050&amp;"'!$E$41:$Y$41"),1,MATCH($D3050,INDIRECT("'"&amp;$C3050&amp;"'!$E$12:$Y$12"),0)),0),0)</f>
        <v>537126.441664338</v>
      </c>
      <c r="I3050" s="366" t="s">
        <v>1685</v>
      </c>
      <c r="J3050" s="348" t="str">
        <f t="shared" ca="1" si="94"/>
        <v>OK</v>
      </c>
      <c r="K3050" s="366" t="s">
        <v>1694</v>
      </c>
      <c r="L3050" s="366" t="s">
        <v>2238</v>
      </c>
      <c r="M3050" s="350" t="str">
        <f>IF($B3050="Portfolio","Portfolio",IFERROR(INDEX(DATA_ASSET_CLASSIFICATION!$B$8:$B$24,MATCH($C3050,DATA_ASSET_CLASSIFICATION!$A$8:$A$24,0)),"Review"))</f>
        <v>Murray Manor</v>
      </c>
      <c r="N3050" s="350" t="str">
        <f ca="1">IF($B3050="Portfolio","Portfolio",IFERROR(INDEX(DATA_ASSET_CLASSIFICATION!$U$8:$U$24,MATCH($C3050,DATA_ASSET_CLASSIFICATION!$A$8:$A$24,0)),"Review"))</f>
        <v>Refi Watch</v>
      </c>
      <c r="O3050" s="350" t="str">
        <f ca="1">IF($B3050="Portfolio","Portfolio",IFERROR(INDEX(DATA_ASSET_CLASSIFICATION!$AB$8:$AB$13,MATCH($N3050,DATA_ASSET_CLASSIFICATION!$AA$8:$AA$13,0)),"Review"))</f>
        <v>Bucket 2 · Legacy</v>
      </c>
      <c r="P3050" s="350" t="str">
        <f>IF($B3050="Portfolio","Portfolio",IFERROR(INDEX(DATA_ASSET_CLASSIFICATION!$C$8:$C$24,MATCH($C3050,DATA_ASSET_CLASSIFICATION!$A$8:$A$24,0)),"Review"))</f>
        <v>Yes</v>
      </c>
      <c r="Q3050" s="350" t="str">
        <f t="shared" ca="1" si="95"/>
        <v>OK</v>
      </c>
    </row>
    <row r="3051" spans="1:17">
      <c r="A3051" s="366" t="s">
        <v>5007</v>
      </c>
      <c r="B3051" s="366" t="s">
        <v>231</v>
      </c>
      <c r="C3051" s="348" t="str">
        <f>DATA_PROPERTY_MASTER!$A$14</f>
        <v>BLD_MM</v>
      </c>
      <c r="D3051" s="380">
        <f>'00_PORTFOLIO ROLLUP'!N$12</f>
        <v>2034</v>
      </c>
      <c r="E3051" s="366" t="s">
        <v>1683</v>
      </c>
      <c r="F3051" s="366" t="s">
        <v>1697</v>
      </c>
      <c r="G3051" s="348" t="str">
        <f>"'"&amp;$C3051&amp;"'!$E$44:$Y$44"</f>
        <v>'BLD_MM'!$E$44:$Y$44</v>
      </c>
      <c r="H3051" s="381">
        <f ca="1">IF(IFERROR(INDEX(DATA_PROPERTY_MASTER!$E$5:$E$21,MATCH($C3051,DATA_PROPERTY_MASTER!$A$5:$A$21,0))="Yes",FALSE),IFERROR(INDEX(INDIRECT("'"&amp;$C3051&amp;"'!$E$44:$Y$44"),1,MATCH($D3051,INDIRECT("'"&amp;$C3051&amp;"'!$E$12:$Y$12"),0)),0),0)</f>
        <v>8425.4026087872917</v>
      </c>
      <c r="I3051" s="366" t="s">
        <v>1690</v>
      </c>
      <c r="J3051" s="348" t="str">
        <f t="shared" ca="1" si="94"/>
        <v>OK</v>
      </c>
      <c r="K3051" s="366" t="s">
        <v>1699</v>
      </c>
      <c r="L3051" s="366" t="s">
        <v>2240</v>
      </c>
      <c r="M3051" s="350" t="str">
        <f>IF($B3051="Portfolio","Portfolio",IFERROR(INDEX(DATA_ASSET_CLASSIFICATION!$B$8:$B$24,MATCH($C3051,DATA_ASSET_CLASSIFICATION!$A$8:$A$24,0)),"Review"))</f>
        <v>Murray Manor</v>
      </c>
      <c r="N3051" s="350" t="str">
        <f ca="1">IF($B3051="Portfolio","Portfolio",IFERROR(INDEX(DATA_ASSET_CLASSIFICATION!$U$8:$U$24,MATCH($C3051,DATA_ASSET_CLASSIFICATION!$A$8:$A$24,0)),"Review"))</f>
        <v>Refi Watch</v>
      </c>
      <c r="O3051" s="350" t="str">
        <f ca="1">IF($B3051="Portfolio","Portfolio",IFERROR(INDEX(DATA_ASSET_CLASSIFICATION!$AB$8:$AB$13,MATCH($N3051,DATA_ASSET_CLASSIFICATION!$AA$8:$AA$13,0)),"Review"))</f>
        <v>Bucket 2 · Legacy</v>
      </c>
      <c r="P3051" s="350" t="str">
        <f>IF($B3051="Portfolio","Portfolio",IFERROR(INDEX(DATA_ASSET_CLASSIFICATION!$C$8:$C$24,MATCH($C3051,DATA_ASSET_CLASSIFICATION!$A$8:$A$24,0)),"Review"))</f>
        <v>Yes</v>
      </c>
      <c r="Q3051" s="350" t="str">
        <f t="shared" ca="1" si="95"/>
        <v>OK</v>
      </c>
    </row>
    <row r="3052" spans="1:17">
      <c r="A3052" s="366" t="s">
        <v>5008</v>
      </c>
      <c r="B3052" s="366" t="s">
        <v>231</v>
      </c>
      <c r="C3052" s="348" t="str">
        <f>DATA_PROPERTY_MASTER!$A$14</f>
        <v>BLD_MM</v>
      </c>
      <c r="D3052" s="380">
        <f>'00_PORTFOLIO ROLLUP'!N$12</f>
        <v>2034</v>
      </c>
      <c r="E3052" s="366" t="s">
        <v>1683</v>
      </c>
      <c r="F3052" s="366" t="s">
        <v>21</v>
      </c>
      <c r="G3052" s="348" t="str">
        <f>"'"&amp;$C3052&amp;"'!$E$45:$Y$45"</f>
        <v>'BLD_MM'!$E$45:$Y$45</v>
      </c>
      <c r="H3052" s="381">
        <f ca="1">IF(IFERROR(INDEX(DATA_PROPERTY_MASTER!$E$5:$E$21,MATCH($C3052,DATA_PROPERTY_MASTER!$A$5:$A$21,0))="Yes",FALSE),IFERROR(INDEX(INDIRECT("'"&amp;$C3052&amp;"'!$E$45:$Y$45"),1,MATCH($D3052,INDIRECT("'"&amp;$C3052&amp;"'!$E$12:$Y$12"),0)),0),0)</f>
        <v>528701.0390555507</v>
      </c>
      <c r="I3052" s="366" t="s">
        <v>1685</v>
      </c>
      <c r="J3052" s="348" t="str">
        <f t="shared" ca="1" si="94"/>
        <v>OK</v>
      </c>
      <c r="K3052" s="366" t="s">
        <v>1694</v>
      </c>
      <c r="L3052" s="366" t="s">
        <v>2242</v>
      </c>
      <c r="M3052" s="350" t="str">
        <f>IF($B3052="Portfolio","Portfolio",IFERROR(INDEX(DATA_ASSET_CLASSIFICATION!$B$8:$B$24,MATCH($C3052,DATA_ASSET_CLASSIFICATION!$A$8:$A$24,0)),"Review"))</f>
        <v>Murray Manor</v>
      </c>
      <c r="N3052" s="350" t="str">
        <f ca="1">IF($B3052="Portfolio","Portfolio",IFERROR(INDEX(DATA_ASSET_CLASSIFICATION!$U$8:$U$24,MATCH($C3052,DATA_ASSET_CLASSIFICATION!$A$8:$A$24,0)),"Review"))</f>
        <v>Refi Watch</v>
      </c>
      <c r="O3052" s="350" t="str">
        <f ca="1">IF($B3052="Portfolio","Portfolio",IFERROR(INDEX(DATA_ASSET_CLASSIFICATION!$AB$8:$AB$13,MATCH($N3052,DATA_ASSET_CLASSIFICATION!$AA$8:$AA$13,0)),"Review"))</f>
        <v>Bucket 2 · Legacy</v>
      </c>
      <c r="P3052" s="350" t="str">
        <f>IF($B3052="Portfolio","Portfolio",IFERROR(INDEX(DATA_ASSET_CLASSIFICATION!$C$8:$C$24,MATCH($C3052,DATA_ASSET_CLASSIFICATION!$A$8:$A$24,0)),"Review"))</f>
        <v>Yes</v>
      </c>
      <c r="Q3052" s="350" t="str">
        <f t="shared" ca="1" si="95"/>
        <v>OK</v>
      </c>
    </row>
    <row r="3053" spans="1:17">
      <c r="A3053" s="366" t="s">
        <v>5009</v>
      </c>
      <c r="B3053" s="366" t="s">
        <v>231</v>
      </c>
      <c r="C3053" s="348" t="str">
        <f>DATA_PROPERTY_MASTER!$A$14</f>
        <v>BLD_MM</v>
      </c>
      <c r="D3053" s="380">
        <f>'00_PORTFOLIO ROLLUP'!N$12</f>
        <v>2034</v>
      </c>
      <c r="E3053" s="366" t="s">
        <v>23</v>
      </c>
      <c r="F3053" s="366" t="s">
        <v>23</v>
      </c>
      <c r="G3053" s="348" t="str">
        <f>"'"&amp;$C3053&amp;"'!$E$48:$Y$48"</f>
        <v>'BLD_MM'!$E$48:$Y$48</v>
      </c>
      <c r="H3053" s="381">
        <f ca="1">IF(IFERROR(INDEX(DATA_PROPERTY_MASTER!$E$5:$E$21,MATCH($C3053,DATA_PROPERTY_MASTER!$A$5:$A$21,0))="Yes",FALSE),IFERROR(INDEX(INDIRECT("'"&amp;$C3053&amp;"'!$E$48:$Y$48"),1,MATCH($D3053,INDIRECT("'"&amp;$C3053&amp;"'!$E$12:$Y$12"),0)),0),0)</f>
        <v>271563.84000000003</v>
      </c>
      <c r="I3053" s="366" t="s">
        <v>1690</v>
      </c>
      <c r="J3053" s="348" t="str">
        <f t="shared" ca="1" si="94"/>
        <v>OK</v>
      </c>
      <c r="K3053" s="366" t="s">
        <v>1706</v>
      </c>
      <c r="L3053" s="366" t="s">
        <v>2244</v>
      </c>
      <c r="M3053" s="350" t="str">
        <f>IF($B3053="Portfolio","Portfolio",IFERROR(INDEX(DATA_ASSET_CLASSIFICATION!$B$8:$B$24,MATCH($C3053,DATA_ASSET_CLASSIFICATION!$A$8:$A$24,0)),"Review"))</f>
        <v>Murray Manor</v>
      </c>
      <c r="N3053" s="350" t="str">
        <f ca="1">IF($B3053="Portfolio","Portfolio",IFERROR(INDEX(DATA_ASSET_CLASSIFICATION!$U$8:$U$24,MATCH($C3053,DATA_ASSET_CLASSIFICATION!$A$8:$A$24,0)),"Review"))</f>
        <v>Refi Watch</v>
      </c>
      <c r="O3053" s="350" t="str">
        <f ca="1">IF($B3053="Portfolio","Portfolio",IFERROR(INDEX(DATA_ASSET_CLASSIFICATION!$AB$8:$AB$13,MATCH($N3053,DATA_ASSET_CLASSIFICATION!$AA$8:$AA$13,0)),"Review"))</f>
        <v>Bucket 2 · Legacy</v>
      </c>
      <c r="P3053" s="350" t="str">
        <f>IF($B3053="Portfolio","Portfolio",IFERROR(INDEX(DATA_ASSET_CLASSIFICATION!$C$8:$C$24,MATCH($C3053,DATA_ASSET_CLASSIFICATION!$A$8:$A$24,0)),"Review"))</f>
        <v>Yes</v>
      </c>
      <c r="Q3053" s="350" t="str">
        <f t="shared" ca="1" si="95"/>
        <v>OK</v>
      </c>
    </row>
    <row r="3054" spans="1:17">
      <c r="A3054" s="366" t="s">
        <v>5010</v>
      </c>
      <c r="B3054" s="366" t="s">
        <v>231</v>
      </c>
      <c r="C3054" s="348" t="str">
        <f>DATA_PROPERTY_MASTER!$A$14</f>
        <v>BLD_MM</v>
      </c>
      <c r="D3054" s="380">
        <f>'00_PORTFOLIO ROLLUP'!N$12</f>
        <v>2034</v>
      </c>
      <c r="E3054" s="366" t="s">
        <v>1683</v>
      </c>
      <c r="F3054" s="366" t="s">
        <v>25</v>
      </c>
      <c r="G3054" s="348" t="str">
        <f>"'"&amp;$C3054&amp;"'!$E$52:$Y$52"</f>
        <v>'BLD_MM'!$E$52:$Y$52</v>
      </c>
      <c r="H3054" s="381">
        <f ca="1">IF(IFERROR(INDEX(DATA_PROPERTY_MASTER!$E$5:$E$21,MATCH($C3054,DATA_PROPERTY_MASTER!$A$5:$A$21,0))="Yes",FALSE),IFERROR(INDEX(INDIRECT("'"&amp;$C3054&amp;"'!$E$52:$Y$52"),1,MATCH($D3054,INDIRECT("'"&amp;$C3054&amp;"'!$E$12:$Y$12"),0)),0),0)</f>
        <v>265562.60166433797</v>
      </c>
      <c r="I3054" s="366" t="s">
        <v>1685</v>
      </c>
      <c r="J3054" s="348" t="str">
        <f t="shared" ca="1" si="94"/>
        <v>OK</v>
      </c>
      <c r="K3054" s="366" t="s">
        <v>1710</v>
      </c>
      <c r="L3054" s="366" t="s">
        <v>2246</v>
      </c>
      <c r="M3054" s="350" t="str">
        <f>IF($B3054="Portfolio","Portfolio",IFERROR(INDEX(DATA_ASSET_CLASSIFICATION!$B$8:$B$24,MATCH($C3054,DATA_ASSET_CLASSIFICATION!$A$8:$A$24,0)),"Review"))</f>
        <v>Murray Manor</v>
      </c>
      <c r="N3054" s="350" t="str">
        <f ca="1">IF($B3054="Portfolio","Portfolio",IFERROR(INDEX(DATA_ASSET_CLASSIFICATION!$U$8:$U$24,MATCH($C3054,DATA_ASSET_CLASSIFICATION!$A$8:$A$24,0)),"Review"))</f>
        <v>Refi Watch</v>
      </c>
      <c r="O3054" s="350" t="str">
        <f ca="1">IF($B3054="Portfolio","Portfolio",IFERROR(INDEX(DATA_ASSET_CLASSIFICATION!$AB$8:$AB$13,MATCH($N3054,DATA_ASSET_CLASSIFICATION!$AA$8:$AA$13,0)),"Review"))</f>
        <v>Bucket 2 · Legacy</v>
      </c>
      <c r="P3054" s="350" t="str">
        <f>IF($B3054="Portfolio","Portfolio",IFERROR(INDEX(DATA_ASSET_CLASSIFICATION!$C$8:$C$24,MATCH($C3054,DATA_ASSET_CLASSIFICATION!$A$8:$A$24,0)),"Review"))</f>
        <v>Yes</v>
      </c>
      <c r="Q3054" s="350" t="str">
        <f t="shared" ca="1" si="95"/>
        <v>OK</v>
      </c>
    </row>
    <row r="3055" spans="1:17">
      <c r="A3055" s="366" t="s">
        <v>5011</v>
      </c>
      <c r="B3055" s="366" t="s">
        <v>231</v>
      </c>
      <c r="C3055" s="348" t="str">
        <f>DATA_PROPERTY_MASTER!$A$14</f>
        <v>BLD_MM</v>
      </c>
      <c r="D3055" s="380">
        <f>'00_PORTFOLIO ROLLUP'!N$12</f>
        <v>2034</v>
      </c>
      <c r="E3055" s="366" t="s">
        <v>1683</v>
      </c>
      <c r="F3055" s="366" t="s">
        <v>27</v>
      </c>
      <c r="G3055" s="348" t="str">
        <f>"'"&amp;$C3055&amp;"'!$E$54:$Y$54"</f>
        <v>'BLD_MM'!$E$54:$Y$54</v>
      </c>
      <c r="H3055" s="381">
        <f ca="1">IF(IFERROR(INDEX(DATA_PROPERTY_MASTER!$E$5:$E$21,MATCH($C3055,DATA_PROPERTY_MASTER!$A$5:$A$21,0))="Yes",FALSE),IFERROR(INDEX(INDIRECT("'"&amp;$C3055&amp;"'!$E$54:$Y$54"),1,MATCH($D3055,INDIRECT("'"&amp;$C3055&amp;"'!$E$12:$Y$12"),0)),0),0)</f>
        <v>159337.56099860277</v>
      </c>
      <c r="I3055" s="366" t="s">
        <v>1690</v>
      </c>
      <c r="J3055" s="348" t="str">
        <f t="shared" ca="1" si="94"/>
        <v>OK</v>
      </c>
      <c r="K3055" s="366" t="s">
        <v>1714</v>
      </c>
      <c r="L3055" s="366" t="s">
        <v>2248</v>
      </c>
      <c r="M3055" s="350" t="str">
        <f>IF($B3055="Portfolio","Portfolio",IFERROR(INDEX(DATA_ASSET_CLASSIFICATION!$B$8:$B$24,MATCH($C3055,DATA_ASSET_CLASSIFICATION!$A$8:$A$24,0)),"Review"))</f>
        <v>Murray Manor</v>
      </c>
      <c r="N3055" s="350" t="str">
        <f ca="1">IF($B3055="Portfolio","Portfolio",IFERROR(INDEX(DATA_ASSET_CLASSIFICATION!$U$8:$U$24,MATCH($C3055,DATA_ASSET_CLASSIFICATION!$A$8:$A$24,0)),"Review"))</f>
        <v>Refi Watch</v>
      </c>
      <c r="O3055" s="350" t="str">
        <f ca="1">IF($B3055="Portfolio","Portfolio",IFERROR(INDEX(DATA_ASSET_CLASSIFICATION!$AB$8:$AB$13,MATCH($N3055,DATA_ASSET_CLASSIFICATION!$AA$8:$AA$13,0)),"Review"))</f>
        <v>Bucket 2 · Legacy</v>
      </c>
      <c r="P3055" s="350" t="str">
        <f>IF($B3055="Portfolio","Portfolio",IFERROR(INDEX(DATA_ASSET_CLASSIFICATION!$C$8:$C$24,MATCH($C3055,DATA_ASSET_CLASSIFICATION!$A$8:$A$24,0)),"Review"))</f>
        <v>Yes</v>
      </c>
      <c r="Q3055" s="350" t="str">
        <f t="shared" ca="1" si="95"/>
        <v>OK</v>
      </c>
    </row>
    <row r="3056" spans="1:17">
      <c r="A3056" s="366" t="s">
        <v>5012</v>
      </c>
      <c r="B3056" s="366" t="s">
        <v>231</v>
      </c>
      <c r="C3056" s="348" t="str">
        <f>DATA_PROPERTY_MASTER!$A$14</f>
        <v>BLD_MM</v>
      </c>
      <c r="D3056" s="380">
        <f>'00_PORTFOLIO ROLLUP'!N$12</f>
        <v>2034</v>
      </c>
      <c r="E3056" s="366" t="s">
        <v>1683</v>
      </c>
      <c r="F3056" s="366" t="s">
        <v>29</v>
      </c>
      <c r="G3056" s="348" t="str">
        <f>"'"&amp;$C3056&amp;"'!$E$56:$Y$56"</f>
        <v>'BLD_MM'!$E$56:$Y$56</v>
      </c>
      <c r="H3056" s="381">
        <f ca="1">IF(IFERROR(INDEX(DATA_PROPERTY_MASTER!$E$5:$E$21,MATCH($C3056,DATA_PROPERTY_MASTER!$A$5:$A$21,0))="Yes",FALSE),IFERROR(INDEX(INDIRECT("'"&amp;$C3056&amp;"'!$E$56:$Y$56"),1,MATCH($D3056,INDIRECT("'"&amp;$C3056&amp;"'!$E$12:$Y$12"),0)),0),0)</f>
        <v>106225.0406657352</v>
      </c>
      <c r="I3056" s="366" t="s">
        <v>1685</v>
      </c>
      <c r="J3056" s="348" t="str">
        <f t="shared" ca="1" si="94"/>
        <v>OK</v>
      </c>
      <c r="K3056" s="366" t="s">
        <v>1718</v>
      </c>
      <c r="L3056" s="366" t="s">
        <v>2250</v>
      </c>
      <c r="M3056" s="350" t="str">
        <f>IF($B3056="Portfolio","Portfolio",IFERROR(INDEX(DATA_ASSET_CLASSIFICATION!$B$8:$B$24,MATCH($C3056,DATA_ASSET_CLASSIFICATION!$A$8:$A$24,0)),"Review"))</f>
        <v>Murray Manor</v>
      </c>
      <c r="N3056" s="350" t="str">
        <f ca="1">IF($B3056="Portfolio","Portfolio",IFERROR(INDEX(DATA_ASSET_CLASSIFICATION!$U$8:$U$24,MATCH($C3056,DATA_ASSET_CLASSIFICATION!$A$8:$A$24,0)),"Review"))</f>
        <v>Refi Watch</v>
      </c>
      <c r="O3056" s="350" t="str">
        <f ca="1">IF($B3056="Portfolio","Portfolio",IFERROR(INDEX(DATA_ASSET_CLASSIFICATION!$AB$8:$AB$13,MATCH($N3056,DATA_ASSET_CLASSIFICATION!$AA$8:$AA$13,0)),"Review"))</f>
        <v>Bucket 2 · Legacy</v>
      </c>
      <c r="P3056" s="350" t="str">
        <f>IF($B3056="Portfolio","Portfolio",IFERROR(INDEX(DATA_ASSET_CLASSIFICATION!$C$8:$C$24,MATCH($C3056,DATA_ASSET_CLASSIFICATION!$A$8:$A$24,0)),"Review"))</f>
        <v>Yes</v>
      </c>
      <c r="Q3056" s="350" t="str">
        <f t="shared" ca="1" si="95"/>
        <v>OK</v>
      </c>
    </row>
    <row r="3057" spans="1:17">
      <c r="A3057" s="366" t="s">
        <v>5013</v>
      </c>
      <c r="B3057" s="366" t="s">
        <v>231</v>
      </c>
      <c r="C3057" s="348" t="str">
        <f>DATA_PROPERTY_MASTER!$A$14</f>
        <v>BLD_MM</v>
      </c>
      <c r="D3057" s="380">
        <f>'00_PORTFOLIO ROLLUP'!N$12</f>
        <v>2034</v>
      </c>
      <c r="E3057" s="366" t="s">
        <v>1721</v>
      </c>
      <c r="F3057" s="366" t="s">
        <v>31</v>
      </c>
      <c r="G3057" s="348" t="str">
        <f>"'"&amp;$C3057&amp;"'!$E$61:$Y$61"</f>
        <v>'BLD_MM'!$E$61:$Y$61</v>
      </c>
      <c r="H3057" s="381">
        <f ca="1">IF(IFERROR(INDEX(DATA_PROPERTY_MASTER!$E$5:$E$21,MATCH($C3057,DATA_PROPERTY_MASTER!$A$5:$A$21,0))="Yes",FALSE),IFERROR(INDEX(INDIRECT("'"&amp;$C3057&amp;"'!$E$61:$Y$61"),1,MATCH($D3057,INDIRECT("'"&amp;$C3057&amp;"'!$E$12:$Y$12"),0)),0),0)</f>
        <v>-4249057.3927905457</v>
      </c>
      <c r="I3057" s="366" t="s">
        <v>1690</v>
      </c>
      <c r="J3057" s="348" t="str">
        <f t="shared" ca="1" si="94"/>
        <v>OK</v>
      </c>
      <c r="K3057" s="366" t="s">
        <v>1723</v>
      </c>
      <c r="L3057" s="366" t="s">
        <v>2252</v>
      </c>
      <c r="M3057" s="350" t="str">
        <f>IF($B3057="Portfolio","Portfolio",IFERROR(INDEX(DATA_ASSET_CLASSIFICATION!$B$8:$B$24,MATCH($C3057,DATA_ASSET_CLASSIFICATION!$A$8:$A$24,0)),"Review"))</f>
        <v>Murray Manor</v>
      </c>
      <c r="N3057" s="350" t="str">
        <f ca="1">IF($B3057="Portfolio","Portfolio",IFERROR(INDEX(DATA_ASSET_CLASSIFICATION!$U$8:$U$24,MATCH($C3057,DATA_ASSET_CLASSIFICATION!$A$8:$A$24,0)),"Review"))</f>
        <v>Refi Watch</v>
      </c>
      <c r="O3057" s="350" t="str">
        <f ca="1">IF($B3057="Portfolio","Portfolio",IFERROR(INDEX(DATA_ASSET_CLASSIFICATION!$AB$8:$AB$13,MATCH($N3057,DATA_ASSET_CLASSIFICATION!$AA$8:$AA$13,0)),"Review"))</f>
        <v>Bucket 2 · Legacy</v>
      </c>
      <c r="P3057" s="350" t="str">
        <f>IF($B3057="Portfolio","Portfolio",IFERROR(INDEX(DATA_ASSET_CLASSIFICATION!$C$8:$C$24,MATCH($C3057,DATA_ASSET_CLASSIFICATION!$A$8:$A$24,0)),"Review"))</f>
        <v>Yes</v>
      </c>
      <c r="Q3057" s="350" t="str">
        <f t="shared" ca="1" si="95"/>
        <v>OK</v>
      </c>
    </row>
    <row r="3058" spans="1:17">
      <c r="A3058" s="366" t="s">
        <v>5014</v>
      </c>
      <c r="B3058" s="366" t="s">
        <v>231</v>
      </c>
      <c r="C3058" s="348" t="str">
        <f>DATA_PROPERTY_MASTER!$A$14</f>
        <v>BLD_MM</v>
      </c>
      <c r="D3058" s="380">
        <f>'00_PORTFOLIO ROLLUP'!N$12</f>
        <v>2034</v>
      </c>
      <c r="E3058" s="366" t="s">
        <v>1721</v>
      </c>
      <c r="F3058" s="366" t="s">
        <v>33</v>
      </c>
      <c r="G3058" s="348" t="str">
        <f>"'"&amp;$C3058&amp;"'!$E$62:$Y$62"</f>
        <v>'BLD_MM'!$E$62:$Y$62</v>
      </c>
      <c r="H3058" s="381">
        <f ca="1">IF(IFERROR(INDEX(DATA_PROPERTY_MASTER!$E$5:$E$21,MATCH($C3058,DATA_PROPERTY_MASTER!$A$5:$A$21,0))="Yes",FALSE),IFERROR(INDEX(INDIRECT("'"&amp;$C3058&amp;"'!$E$62:$Y$62"),1,MATCH($D3058,INDIRECT("'"&amp;$C3058&amp;"'!$E$12:$Y$12"),0)),0),0)</f>
        <v>6714080.5208042245</v>
      </c>
      <c r="I3058" s="366" t="s">
        <v>1685</v>
      </c>
      <c r="J3058" s="348" t="str">
        <f t="shared" ca="1" si="94"/>
        <v>OK</v>
      </c>
      <c r="K3058" s="366" t="s">
        <v>1727</v>
      </c>
      <c r="L3058" s="366" t="s">
        <v>2254</v>
      </c>
      <c r="M3058" s="350" t="str">
        <f>IF($B3058="Portfolio","Portfolio",IFERROR(INDEX(DATA_ASSET_CLASSIFICATION!$B$8:$B$24,MATCH($C3058,DATA_ASSET_CLASSIFICATION!$A$8:$A$24,0)),"Review"))</f>
        <v>Murray Manor</v>
      </c>
      <c r="N3058" s="350" t="str">
        <f ca="1">IF($B3058="Portfolio","Portfolio",IFERROR(INDEX(DATA_ASSET_CLASSIFICATION!$U$8:$U$24,MATCH($C3058,DATA_ASSET_CLASSIFICATION!$A$8:$A$24,0)),"Review"))</f>
        <v>Refi Watch</v>
      </c>
      <c r="O3058" s="350" t="str">
        <f ca="1">IF($B3058="Portfolio","Portfolio",IFERROR(INDEX(DATA_ASSET_CLASSIFICATION!$AB$8:$AB$13,MATCH($N3058,DATA_ASSET_CLASSIFICATION!$AA$8:$AA$13,0)),"Review"))</f>
        <v>Bucket 2 · Legacy</v>
      </c>
      <c r="P3058" s="350" t="str">
        <f>IF($B3058="Portfolio","Portfolio",IFERROR(INDEX(DATA_ASSET_CLASSIFICATION!$C$8:$C$24,MATCH($C3058,DATA_ASSET_CLASSIFICATION!$A$8:$A$24,0)),"Review"))</f>
        <v>Yes</v>
      </c>
      <c r="Q3058" s="350" t="str">
        <f t="shared" ca="1" si="95"/>
        <v>OK</v>
      </c>
    </row>
    <row r="3059" spans="1:17">
      <c r="A3059" s="366" t="s">
        <v>5015</v>
      </c>
      <c r="B3059" s="366" t="s">
        <v>231</v>
      </c>
      <c r="C3059" s="348" t="str">
        <f>DATA_PROPERTY_MASTER!$A$14</f>
        <v>BLD_MM</v>
      </c>
      <c r="D3059" s="380">
        <f>'00_PORTFOLIO ROLLUP'!N$12</f>
        <v>2034</v>
      </c>
      <c r="E3059" s="366" t="s">
        <v>1721</v>
      </c>
      <c r="F3059" s="366" t="s">
        <v>35</v>
      </c>
      <c r="G3059" s="348" t="str">
        <f>"'"&amp;$C3059&amp;"'!$E$63:$Y$63"</f>
        <v>'BLD_MM'!$E$63:$Y$63</v>
      </c>
      <c r="H3059" s="381">
        <f ca="1">IF(IFERROR(INDEX(DATA_PROPERTY_MASTER!$E$5:$E$21,MATCH($C3059,DATA_PROPERTY_MASTER!$A$5:$A$21,0))="Yes",FALSE),IFERROR(INDEX(INDIRECT("'"&amp;$C3059&amp;"'!$E$63:$Y$63"),1,MATCH($D3059,INDIRECT("'"&amp;$C3059&amp;"'!$E$12:$Y$12"),0)),0),0)</f>
        <v>2465023.1280136788</v>
      </c>
      <c r="I3059" s="366" t="s">
        <v>1731</v>
      </c>
      <c r="J3059" s="348" t="str">
        <f t="shared" ca="1" si="94"/>
        <v>OK</v>
      </c>
      <c r="K3059" s="366" t="s">
        <v>1732</v>
      </c>
      <c r="L3059" s="366" t="s">
        <v>2256</v>
      </c>
      <c r="M3059" s="350" t="str">
        <f>IF($B3059="Portfolio","Portfolio",IFERROR(INDEX(DATA_ASSET_CLASSIFICATION!$B$8:$B$24,MATCH($C3059,DATA_ASSET_CLASSIFICATION!$A$8:$A$24,0)),"Review"))</f>
        <v>Murray Manor</v>
      </c>
      <c r="N3059" s="350" t="str">
        <f ca="1">IF($B3059="Portfolio","Portfolio",IFERROR(INDEX(DATA_ASSET_CLASSIFICATION!$U$8:$U$24,MATCH($C3059,DATA_ASSET_CLASSIFICATION!$A$8:$A$24,0)),"Review"))</f>
        <v>Refi Watch</v>
      </c>
      <c r="O3059" s="350" t="str">
        <f ca="1">IF($B3059="Portfolio","Portfolio",IFERROR(INDEX(DATA_ASSET_CLASSIFICATION!$AB$8:$AB$13,MATCH($N3059,DATA_ASSET_CLASSIFICATION!$AA$8:$AA$13,0)),"Review"))</f>
        <v>Bucket 2 · Legacy</v>
      </c>
      <c r="P3059" s="350" t="str">
        <f>IF($B3059="Portfolio","Portfolio",IFERROR(INDEX(DATA_ASSET_CLASSIFICATION!$C$8:$C$24,MATCH($C3059,DATA_ASSET_CLASSIFICATION!$A$8:$A$24,0)),"Review"))</f>
        <v>Yes</v>
      </c>
      <c r="Q3059" s="350" t="str">
        <f t="shared" ca="1" si="95"/>
        <v>OK</v>
      </c>
    </row>
    <row r="3060" spans="1:17">
      <c r="A3060" s="366" t="s">
        <v>5016</v>
      </c>
      <c r="B3060" s="366" t="s">
        <v>231</v>
      </c>
      <c r="C3060" s="348" t="str">
        <f>DATA_PROPERTY_MASTER!$A$14</f>
        <v>BLD_MM</v>
      </c>
      <c r="D3060" s="380">
        <f>'00_PORTFOLIO ROLLUP'!N$12</f>
        <v>2034</v>
      </c>
      <c r="E3060" s="366" t="s">
        <v>1721</v>
      </c>
      <c r="F3060" s="366" t="s">
        <v>37</v>
      </c>
      <c r="G3060" s="348" t="str">
        <f>"'"&amp;$C3060&amp;"'!$E$63:$Y$63"</f>
        <v>'BLD_MM'!$E$63:$Y$63</v>
      </c>
      <c r="H3060" s="381">
        <f ca="1">IF(IFERROR(INDEX(DATA_PROPERTY_MASTER!$E$5:$E$21,MATCH($C3060,DATA_PROPERTY_MASTER!$A$5:$A$21,0))="Yes",FALSE),MAX(IFERROR(INDEX(INDIRECT("'"&amp;$C3060&amp;"'!$E$63:$Y$63"),1,MATCH($D3060,INDIRECT("'"&amp;$C3060&amp;"'!$E$12:$Y$12"),0)),0),0),0)</f>
        <v>2465023.1280136788</v>
      </c>
      <c r="I3060" s="366" t="s">
        <v>1685</v>
      </c>
      <c r="J3060" s="348" t="str">
        <f t="shared" ca="1" si="94"/>
        <v>OK</v>
      </c>
      <c r="K3060" s="366" t="s">
        <v>1735</v>
      </c>
      <c r="L3060" s="366" t="s">
        <v>2258</v>
      </c>
      <c r="M3060" s="350" t="str">
        <f>IF($B3060="Portfolio","Portfolio",IFERROR(INDEX(DATA_ASSET_CLASSIFICATION!$B$8:$B$24,MATCH($C3060,DATA_ASSET_CLASSIFICATION!$A$8:$A$24,0)),"Review"))</f>
        <v>Murray Manor</v>
      </c>
      <c r="N3060" s="350" t="str">
        <f ca="1">IF($B3060="Portfolio","Portfolio",IFERROR(INDEX(DATA_ASSET_CLASSIFICATION!$U$8:$U$24,MATCH($C3060,DATA_ASSET_CLASSIFICATION!$A$8:$A$24,0)),"Review"))</f>
        <v>Refi Watch</v>
      </c>
      <c r="O3060" s="350" t="str">
        <f ca="1">IF($B3060="Portfolio","Portfolio",IFERROR(INDEX(DATA_ASSET_CLASSIFICATION!$AB$8:$AB$13,MATCH($N3060,DATA_ASSET_CLASSIFICATION!$AA$8:$AA$13,0)),"Review"))</f>
        <v>Bucket 2 · Legacy</v>
      </c>
      <c r="P3060" s="350" t="str">
        <f>IF($B3060="Portfolio","Portfolio",IFERROR(INDEX(DATA_ASSET_CLASSIFICATION!$C$8:$C$24,MATCH($C3060,DATA_ASSET_CLASSIFICATION!$A$8:$A$24,0)),"Review"))</f>
        <v>Yes</v>
      </c>
      <c r="Q3060" s="350" t="str">
        <f t="shared" ca="1" si="95"/>
        <v>OK</v>
      </c>
    </row>
    <row r="3061" spans="1:17">
      <c r="A3061" s="366" t="s">
        <v>5017</v>
      </c>
      <c r="B3061" s="366" t="s">
        <v>231</v>
      </c>
      <c r="C3061" s="348" t="str">
        <f>DATA_PROPERTY_MASTER!$A$14</f>
        <v>BLD_MM</v>
      </c>
      <c r="D3061" s="380">
        <f>'00_PORTFOLIO ROLLUP'!N$12</f>
        <v>2034</v>
      </c>
      <c r="E3061" s="366" t="s">
        <v>1721</v>
      </c>
      <c r="F3061" s="366" t="s">
        <v>39</v>
      </c>
      <c r="G3061" s="348" t="str">
        <f>"'"&amp;$C3061&amp;"'!$E$63:$Y$63"</f>
        <v>'BLD_MM'!$E$63:$Y$63</v>
      </c>
      <c r="H3061" s="381">
        <f ca="1">IF(IFERROR(INDEX(DATA_PROPERTY_MASTER!$E$5:$E$21,MATCH($C3061,DATA_PROPERTY_MASTER!$A$5:$A$21,0))="Yes",FALSE),MAX(-IFERROR(INDEX(INDIRECT("'"&amp;$C3061&amp;"'!$E$63:$Y$63"),1,MATCH($D3061,INDIRECT("'"&amp;$C3061&amp;"'!$E$12:$Y$12"),0)),0),0),0)</f>
        <v>0</v>
      </c>
      <c r="I3061" s="366" t="s">
        <v>1690</v>
      </c>
      <c r="J3061" s="348" t="str">
        <f t="shared" ca="1" si="94"/>
        <v>OK</v>
      </c>
      <c r="K3061" s="366" t="s">
        <v>1738</v>
      </c>
      <c r="L3061" s="366" t="s">
        <v>2260</v>
      </c>
      <c r="M3061" s="350" t="str">
        <f>IF($B3061="Portfolio","Portfolio",IFERROR(INDEX(DATA_ASSET_CLASSIFICATION!$B$8:$B$24,MATCH($C3061,DATA_ASSET_CLASSIFICATION!$A$8:$A$24,0)),"Review"))</f>
        <v>Murray Manor</v>
      </c>
      <c r="N3061" s="350" t="str">
        <f ca="1">IF($B3061="Portfolio","Portfolio",IFERROR(INDEX(DATA_ASSET_CLASSIFICATION!$U$8:$U$24,MATCH($C3061,DATA_ASSET_CLASSIFICATION!$A$8:$A$24,0)),"Review"))</f>
        <v>Refi Watch</v>
      </c>
      <c r="O3061" s="350" t="str">
        <f ca="1">IF($B3061="Portfolio","Portfolio",IFERROR(INDEX(DATA_ASSET_CLASSIFICATION!$AB$8:$AB$13,MATCH($N3061,DATA_ASSET_CLASSIFICATION!$AA$8:$AA$13,0)),"Review"))</f>
        <v>Bucket 2 · Legacy</v>
      </c>
      <c r="P3061" s="350" t="str">
        <f>IF($B3061="Portfolio","Portfolio",IFERROR(INDEX(DATA_ASSET_CLASSIFICATION!$C$8:$C$24,MATCH($C3061,DATA_ASSET_CLASSIFICATION!$A$8:$A$24,0)),"Review"))</f>
        <v>Yes</v>
      </c>
      <c r="Q3061" s="350" t="str">
        <f t="shared" ca="1" si="95"/>
        <v>OK</v>
      </c>
    </row>
    <row r="3062" spans="1:17">
      <c r="A3062" s="366" t="s">
        <v>5018</v>
      </c>
      <c r="B3062" s="366" t="s">
        <v>231</v>
      </c>
      <c r="C3062" s="348" t="str">
        <f>DATA_PROPERTY_MASTER!$A$14</f>
        <v>BLD_MM</v>
      </c>
      <c r="D3062" s="380">
        <f>'00_PORTFOLIO ROLLUP'!N$12</f>
        <v>2034</v>
      </c>
      <c r="E3062" s="366" t="s">
        <v>1741</v>
      </c>
      <c r="F3062" s="366" t="s">
        <v>41</v>
      </c>
      <c r="G3062" s="348" t="str">
        <f>"'"&amp;$C3062&amp;"'!rows 56 + positive row 63"</f>
        <v>'BLD_MM'!rows 56 + positive row 63</v>
      </c>
      <c r="H3062" s="381">
        <f ca="1">IF(IFERROR(INDEX(DATA_PROPERTY_MASTER!$E$5:$E$21,MATCH($C3062,DATA_PROPERTY_MASTER!$A$5:$A$21,0))="Yes",FALSE),IFERROR(INDEX(INDIRECT("'"&amp;$C3062&amp;"'!$E$56:$Y$56"),1,MATCH($D3062,INDIRECT("'"&amp;$C3062&amp;"'!$E$12:$Y$12"),0)),0)+MAX(IFERROR(INDEX(INDIRECT("'"&amp;$C3062&amp;"'!$E$63:$Y$63"),1,MATCH($D3062,INDIRECT("'"&amp;$C3062&amp;"'!$E$12:$Y$12"),0)),0),0),0)</f>
        <v>2571248.1686794139</v>
      </c>
      <c r="I3062" s="366" t="s">
        <v>1685</v>
      </c>
      <c r="J3062" s="348" t="str">
        <f t="shared" ca="1" si="94"/>
        <v>OK</v>
      </c>
      <c r="K3062" s="366" t="s">
        <v>1742</v>
      </c>
      <c r="L3062" s="366" t="s">
        <v>2262</v>
      </c>
      <c r="M3062" s="350" t="str">
        <f>IF($B3062="Portfolio","Portfolio",IFERROR(INDEX(DATA_ASSET_CLASSIFICATION!$B$8:$B$24,MATCH($C3062,DATA_ASSET_CLASSIFICATION!$A$8:$A$24,0)),"Review"))</f>
        <v>Murray Manor</v>
      </c>
      <c r="N3062" s="350" t="str">
        <f ca="1">IF($B3062="Portfolio","Portfolio",IFERROR(INDEX(DATA_ASSET_CLASSIFICATION!$U$8:$U$24,MATCH($C3062,DATA_ASSET_CLASSIFICATION!$A$8:$A$24,0)),"Review"))</f>
        <v>Refi Watch</v>
      </c>
      <c r="O3062" s="350" t="str">
        <f ca="1">IF($B3062="Portfolio","Portfolio",IFERROR(INDEX(DATA_ASSET_CLASSIFICATION!$AB$8:$AB$13,MATCH($N3062,DATA_ASSET_CLASSIFICATION!$AA$8:$AA$13,0)),"Review"))</f>
        <v>Bucket 2 · Legacy</v>
      </c>
      <c r="P3062" s="350" t="str">
        <f>IF($B3062="Portfolio","Portfolio",IFERROR(INDEX(DATA_ASSET_CLASSIFICATION!$C$8:$C$24,MATCH($C3062,DATA_ASSET_CLASSIFICATION!$A$8:$A$24,0)),"Review"))</f>
        <v>Yes</v>
      </c>
      <c r="Q3062" s="350" t="str">
        <f t="shared" ca="1" si="95"/>
        <v>OK</v>
      </c>
    </row>
    <row r="3063" spans="1:17">
      <c r="A3063" s="366" t="s">
        <v>5019</v>
      </c>
      <c r="B3063" s="366" t="s">
        <v>231</v>
      </c>
      <c r="C3063" s="348" t="str">
        <f>DATA_PROPERTY_MASTER!$A$14</f>
        <v>BLD_MM</v>
      </c>
      <c r="D3063" s="380">
        <f>'00_PORTFOLIO ROLLUP'!N$12</f>
        <v>2034</v>
      </c>
      <c r="E3063" s="366" t="s">
        <v>1741</v>
      </c>
      <c r="F3063" s="366" t="s">
        <v>43</v>
      </c>
      <c r="G3063" s="348" t="str">
        <f>"'"&amp;$C3063&amp;"'!$E$68:$Y$68"</f>
        <v>'BLD_MM'!$E$68:$Y$68</v>
      </c>
      <c r="H3063" s="381">
        <f ca="1">IF(IFERROR(INDEX(DATA_PROPERTY_MASTER!$E$5:$E$21,MATCH($C3063,DATA_PROPERTY_MASTER!$A$5:$A$21,0))="Yes",FALSE),IFERROR(INDEX(INDIRECT("'"&amp;$C3063&amp;"'!$E$68:$Y$68"),1,MATCH($D3063,INDIRECT("'"&amp;$C3063&amp;"'!$E$12:$Y$12"),0)),0),0)</f>
        <v>2571248.1686794139</v>
      </c>
      <c r="I3063" s="366" t="s">
        <v>1731</v>
      </c>
      <c r="J3063" s="348" t="str">
        <f t="shared" ca="1" si="94"/>
        <v>OK</v>
      </c>
      <c r="K3063" s="366" t="s">
        <v>1746</v>
      </c>
      <c r="L3063" s="366" t="s">
        <v>2264</v>
      </c>
      <c r="M3063" s="350" t="str">
        <f>IF($B3063="Portfolio","Portfolio",IFERROR(INDEX(DATA_ASSET_CLASSIFICATION!$B$8:$B$24,MATCH($C3063,DATA_ASSET_CLASSIFICATION!$A$8:$A$24,0)),"Review"))</f>
        <v>Murray Manor</v>
      </c>
      <c r="N3063" s="350" t="str">
        <f ca="1">IF($B3063="Portfolio","Portfolio",IFERROR(INDEX(DATA_ASSET_CLASSIFICATION!$U$8:$U$24,MATCH($C3063,DATA_ASSET_CLASSIFICATION!$A$8:$A$24,0)),"Review"))</f>
        <v>Refi Watch</v>
      </c>
      <c r="O3063" s="350" t="str">
        <f ca="1">IF($B3063="Portfolio","Portfolio",IFERROR(INDEX(DATA_ASSET_CLASSIFICATION!$AB$8:$AB$13,MATCH($N3063,DATA_ASSET_CLASSIFICATION!$AA$8:$AA$13,0)),"Review"))</f>
        <v>Bucket 2 · Legacy</v>
      </c>
      <c r="P3063" s="350" t="str">
        <f>IF($B3063="Portfolio","Portfolio",IFERROR(INDEX(DATA_ASSET_CLASSIFICATION!$C$8:$C$24,MATCH($C3063,DATA_ASSET_CLASSIFICATION!$A$8:$A$24,0)),"Review"))</f>
        <v>Yes</v>
      </c>
      <c r="Q3063" s="350" t="str">
        <f t="shared" ca="1" si="95"/>
        <v>OK</v>
      </c>
    </row>
    <row r="3064" spans="1:17">
      <c r="A3064" s="366" t="s">
        <v>5020</v>
      </c>
      <c r="B3064" s="366" t="s">
        <v>231</v>
      </c>
      <c r="C3064" s="348" t="str">
        <f>DATA_PROPERTY_MASTER!$A$14</f>
        <v>BLD_MM</v>
      </c>
      <c r="D3064" s="380">
        <f>'00_PORTFOLIO ROLLUP'!N$12</f>
        <v>2034</v>
      </c>
      <c r="E3064" s="366" t="s">
        <v>1741</v>
      </c>
      <c r="F3064" s="366" t="s">
        <v>1749</v>
      </c>
      <c r="G3064" s="348" t="str">
        <f>"'"&amp;$C3064&amp;"'!rows 56, 63, 68"</f>
        <v>'BLD_MM'!rows 56, 63, 68</v>
      </c>
      <c r="H3064" s="381">
        <f ca="1">IF(IFERROR(INDEX(DATA_PROPERTY_MASTER!$E$5:$E$21,MATCH($C3064,DATA_PROPERTY_MASTER!$A$5:$A$21,0))="Yes",FALSE),(IFERROR(INDEX(INDIRECT("'"&amp;$C3064&amp;"'!$E$56:$Y$56"),1,MATCH($D3064,INDIRECT("'"&amp;$C3064&amp;"'!$E$12:$Y$12"),0)),0)+MAX(IFERROR(INDEX(INDIRECT("'"&amp;$C3064&amp;"'!$E$63:$Y$63"),1,MATCH($D3064,INDIRECT("'"&amp;$C3064&amp;"'!$E$12:$Y$12"),0)),0),0))-(IFERROR(INDEX(INDIRECT("'"&amp;$C3064&amp;"'!$E$68:$Y$68"),1,MATCH($D3064,INDIRECT("'"&amp;$C3064&amp;"'!$E$12:$Y$12"),0)),0)),0)</f>
        <v>0</v>
      </c>
      <c r="I3064" s="366" t="s">
        <v>1750</v>
      </c>
      <c r="J3064" s="348" t="str">
        <f t="shared" ca="1" si="94"/>
        <v>OK</v>
      </c>
      <c r="K3064" s="366" t="s">
        <v>1751</v>
      </c>
      <c r="L3064" s="366" t="s">
        <v>2266</v>
      </c>
      <c r="M3064" s="350" t="str">
        <f>IF($B3064="Portfolio","Portfolio",IFERROR(INDEX(DATA_ASSET_CLASSIFICATION!$B$8:$B$24,MATCH($C3064,DATA_ASSET_CLASSIFICATION!$A$8:$A$24,0)),"Review"))</f>
        <v>Murray Manor</v>
      </c>
      <c r="N3064" s="350" t="str">
        <f ca="1">IF($B3064="Portfolio","Portfolio",IFERROR(INDEX(DATA_ASSET_CLASSIFICATION!$U$8:$U$24,MATCH($C3064,DATA_ASSET_CLASSIFICATION!$A$8:$A$24,0)),"Review"))</f>
        <v>Refi Watch</v>
      </c>
      <c r="O3064" s="350" t="str">
        <f ca="1">IF($B3064="Portfolio","Portfolio",IFERROR(INDEX(DATA_ASSET_CLASSIFICATION!$AB$8:$AB$13,MATCH($N3064,DATA_ASSET_CLASSIFICATION!$AA$8:$AA$13,0)),"Review"))</f>
        <v>Bucket 2 · Legacy</v>
      </c>
      <c r="P3064" s="350" t="str">
        <f>IF($B3064="Portfolio","Portfolio",IFERROR(INDEX(DATA_ASSET_CLASSIFICATION!$C$8:$C$24,MATCH($C3064,DATA_ASSET_CLASSIFICATION!$A$8:$A$24,0)),"Review"))</f>
        <v>Yes</v>
      </c>
      <c r="Q3064" s="350" t="str">
        <f t="shared" ca="1" si="95"/>
        <v>OK</v>
      </c>
    </row>
    <row r="3065" spans="1:17">
      <c r="A3065" s="366" t="s">
        <v>5021</v>
      </c>
      <c r="B3065" s="366" t="s">
        <v>231</v>
      </c>
      <c r="C3065" s="348" t="str">
        <f>DATA_PROPERTY_MASTER!$A$14</f>
        <v>BLD_MM</v>
      </c>
      <c r="D3065" s="380">
        <f>'00_PORTFOLIO ROLLUP'!O$12</f>
        <v>2035</v>
      </c>
      <c r="E3065" s="366" t="s">
        <v>1683</v>
      </c>
      <c r="F3065" s="366" t="s">
        <v>341</v>
      </c>
      <c r="G3065" s="348" t="str">
        <f>"'"&amp;$C3065&amp;"'!$E$24:$Y$24"</f>
        <v>'BLD_MM'!$E$24:$Y$24</v>
      </c>
      <c r="H3065" s="381">
        <f ca="1">IF(IFERROR(INDEX(DATA_PROPERTY_MASTER!$E$5:$E$21,MATCH($C3065,DATA_PROPERTY_MASTER!$A$5:$A$21,0))="Yes",FALSE),IFERROR(INDEX(INDIRECT("'"&amp;$C3065&amp;"'!$E$24:$Y$24"),1,MATCH($D3065,INDIRECT("'"&amp;$C3065&amp;"'!$E$12:$Y$12"),0)),0),0)</f>
        <v>952035.26857903716</v>
      </c>
      <c r="I3065" s="366" t="s">
        <v>1685</v>
      </c>
      <c r="J3065" s="348" t="str">
        <f t="shared" ca="1" si="94"/>
        <v>OK</v>
      </c>
      <c r="K3065" s="366" t="s">
        <v>1686</v>
      </c>
      <c r="L3065" s="366" t="s">
        <v>2234</v>
      </c>
      <c r="M3065" s="350" t="str">
        <f>IF($B3065="Portfolio","Portfolio",IFERROR(INDEX(DATA_ASSET_CLASSIFICATION!$B$8:$B$24,MATCH($C3065,DATA_ASSET_CLASSIFICATION!$A$8:$A$24,0)),"Review"))</f>
        <v>Murray Manor</v>
      </c>
      <c r="N3065" s="350" t="str">
        <f ca="1">IF($B3065="Portfolio","Portfolio",IFERROR(INDEX(DATA_ASSET_CLASSIFICATION!$U$8:$U$24,MATCH($C3065,DATA_ASSET_CLASSIFICATION!$A$8:$A$24,0)),"Review"))</f>
        <v>Refi Watch</v>
      </c>
      <c r="O3065" s="350" t="str">
        <f ca="1">IF($B3065="Portfolio","Portfolio",IFERROR(INDEX(DATA_ASSET_CLASSIFICATION!$AB$8:$AB$13,MATCH($N3065,DATA_ASSET_CLASSIFICATION!$AA$8:$AA$13,0)),"Review"))</f>
        <v>Bucket 2 · Legacy</v>
      </c>
      <c r="P3065" s="350" t="str">
        <f>IF($B3065="Portfolio","Portfolio",IFERROR(INDEX(DATA_ASSET_CLASSIFICATION!$C$8:$C$24,MATCH($C3065,DATA_ASSET_CLASSIFICATION!$A$8:$A$24,0)),"Review"))</f>
        <v>Yes</v>
      </c>
      <c r="Q3065" s="350" t="str">
        <f t="shared" ca="1" si="95"/>
        <v>OK</v>
      </c>
    </row>
    <row r="3066" spans="1:17">
      <c r="A3066" s="366" t="s">
        <v>5022</v>
      </c>
      <c r="B3066" s="366" t="s">
        <v>231</v>
      </c>
      <c r="C3066" s="348" t="str">
        <f>DATA_PROPERTY_MASTER!$A$14</f>
        <v>BLD_MM</v>
      </c>
      <c r="D3066" s="380">
        <f>'00_PORTFOLIO ROLLUP'!O$12</f>
        <v>2035</v>
      </c>
      <c r="E3066" s="366" t="s">
        <v>1683</v>
      </c>
      <c r="F3066" s="366" t="s">
        <v>355</v>
      </c>
      <c r="G3066" s="348" t="str">
        <f>"'"&amp;$C3066&amp;"'!$E$39:$Y$39"</f>
        <v>'BLD_MM'!$E$39:$Y$39</v>
      </c>
      <c r="H3066" s="381">
        <f ca="1">IF(IFERROR(INDEX(DATA_PROPERTY_MASTER!$E$5:$E$21,MATCH($C3066,DATA_PROPERTY_MASTER!$A$5:$A$21,0))="Yes",FALSE),IFERROR(INDEX(INDIRECT("'"&amp;$C3066&amp;"'!$E$39:$Y$39"),1,MATCH($D3066,INDIRECT("'"&amp;$C3066&amp;"'!$E$12:$Y$12"),0)),0),0)</f>
        <v>406147.50542494858</v>
      </c>
      <c r="I3066" s="366" t="s">
        <v>1690</v>
      </c>
      <c r="J3066" s="348" t="str">
        <f t="shared" ca="1" si="94"/>
        <v>OK</v>
      </c>
      <c r="K3066" s="366" t="s">
        <v>1686</v>
      </c>
      <c r="L3066" s="366" t="s">
        <v>2236</v>
      </c>
      <c r="M3066" s="350" t="str">
        <f>IF($B3066="Portfolio","Portfolio",IFERROR(INDEX(DATA_ASSET_CLASSIFICATION!$B$8:$B$24,MATCH($C3066,DATA_ASSET_CLASSIFICATION!$A$8:$A$24,0)),"Review"))</f>
        <v>Murray Manor</v>
      </c>
      <c r="N3066" s="350" t="str">
        <f ca="1">IF($B3066="Portfolio","Portfolio",IFERROR(INDEX(DATA_ASSET_CLASSIFICATION!$U$8:$U$24,MATCH($C3066,DATA_ASSET_CLASSIFICATION!$A$8:$A$24,0)),"Review"))</f>
        <v>Refi Watch</v>
      </c>
      <c r="O3066" s="350" t="str">
        <f ca="1">IF($B3066="Portfolio","Portfolio",IFERROR(INDEX(DATA_ASSET_CLASSIFICATION!$AB$8:$AB$13,MATCH($N3066,DATA_ASSET_CLASSIFICATION!$AA$8:$AA$13,0)),"Review"))</f>
        <v>Bucket 2 · Legacy</v>
      </c>
      <c r="P3066" s="350" t="str">
        <f>IF($B3066="Portfolio","Portfolio",IFERROR(INDEX(DATA_ASSET_CLASSIFICATION!$C$8:$C$24,MATCH($C3066,DATA_ASSET_CLASSIFICATION!$A$8:$A$24,0)),"Review"))</f>
        <v>Yes</v>
      </c>
      <c r="Q3066" s="350" t="str">
        <f t="shared" ca="1" si="95"/>
        <v>OK</v>
      </c>
    </row>
    <row r="3067" spans="1:17">
      <c r="A3067" s="366" t="s">
        <v>5023</v>
      </c>
      <c r="B3067" s="366" t="s">
        <v>231</v>
      </c>
      <c r="C3067" s="348" t="str">
        <f>DATA_PROPERTY_MASTER!$A$14</f>
        <v>BLD_MM</v>
      </c>
      <c r="D3067" s="380">
        <f>'00_PORTFOLIO ROLLUP'!O$12</f>
        <v>2035</v>
      </c>
      <c r="E3067" s="366" t="s">
        <v>1683</v>
      </c>
      <c r="F3067" s="366" t="s">
        <v>19</v>
      </c>
      <c r="G3067" s="348" t="str">
        <f>"'"&amp;$C3067&amp;"'!$E$41:$Y$41"</f>
        <v>'BLD_MM'!$E$41:$Y$41</v>
      </c>
      <c r="H3067" s="381">
        <f ca="1">IF(IFERROR(INDEX(DATA_PROPERTY_MASTER!$E$5:$E$21,MATCH($C3067,DATA_PROPERTY_MASTER!$A$5:$A$21,0))="Yes",FALSE),IFERROR(INDEX(INDIRECT("'"&amp;$C3067&amp;"'!$E$41:$Y$41"),1,MATCH($D3067,INDIRECT("'"&amp;$C3067&amp;"'!$E$12:$Y$12"),0)),0),0)</f>
        <v>545887.76315408852</v>
      </c>
      <c r="I3067" s="366" t="s">
        <v>1685</v>
      </c>
      <c r="J3067" s="348" t="str">
        <f t="shared" ca="1" si="94"/>
        <v>OK</v>
      </c>
      <c r="K3067" s="366" t="s">
        <v>1694</v>
      </c>
      <c r="L3067" s="366" t="s">
        <v>2238</v>
      </c>
      <c r="M3067" s="350" t="str">
        <f>IF($B3067="Portfolio","Portfolio",IFERROR(INDEX(DATA_ASSET_CLASSIFICATION!$B$8:$B$24,MATCH($C3067,DATA_ASSET_CLASSIFICATION!$A$8:$A$24,0)),"Review"))</f>
        <v>Murray Manor</v>
      </c>
      <c r="N3067" s="350" t="str">
        <f ca="1">IF($B3067="Portfolio","Portfolio",IFERROR(INDEX(DATA_ASSET_CLASSIFICATION!$U$8:$U$24,MATCH($C3067,DATA_ASSET_CLASSIFICATION!$A$8:$A$24,0)),"Review"))</f>
        <v>Refi Watch</v>
      </c>
      <c r="O3067" s="350" t="str">
        <f ca="1">IF($B3067="Portfolio","Portfolio",IFERROR(INDEX(DATA_ASSET_CLASSIFICATION!$AB$8:$AB$13,MATCH($N3067,DATA_ASSET_CLASSIFICATION!$AA$8:$AA$13,0)),"Review"))</f>
        <v>Bucket 2 · Legacy</v>
      </c>
      <c r="P3067" s="350" t="str">
        <f>IF($B3067="Portfolio","Portfolio",IFERROR(INDEX(DATA_ASSET_CLASSIFICATION!$C$8:$C$24,MATCH($C3067,DATA_ASSET_CLASSIFICATION!$A$8:$A$24,0)),"Review"))</f>
        <v>Yes</v>
      </c>
      <c r="Q3067" s="350" t="str">
        <f t="shared" ca="1" si="95"/>
        <v>OK</v>
      </c>
    </row>
    <row r="3068" spans="1:17">
      <c r="A3068" s="366" t="s">
        <v>5024</v>
      </c>
      <c r="B3068" s="366" t="s">
        <v>231</v>
      </c>
      <c r="C3068" s="348" t="str">
        <f>DATA_PROPERTY_MASTER!$A$14</f>
        <v>BLD_MM</v>
      </c>
      <c r="D3068" s="380">
        <f>'00_PORTFOLIO ROLLUP'!O$12</f>
        <v>2035</v>
      </c>
      <c r="E3068" s="366" t="s">
        <v>1683</v>
      </c>
      <c r="F3068" s="366" t="s">
        <v>1697</v>
      </c>
      <c r="G3068" s="348" t="str">
        <f>"'"&amp;$C3068&amp;"'!$E$44:$Y$44"</f>
        <v>'BLD_MM'!$E$44:$Y$44</v>
      </c>
      <c r="H3068" s="381">
        <f ca="1">IF(IFERROR(INDEX(DATA_PROPERTY_MASTER!$E$5:$E$21,MATCH($C3068,DATA_PROPERTY_MASTER!$A$5:$A$21,0))="Yes",FALSE),IFERROR(INDEX(INDIRECT("'"&amp;$C3068&amp;"'!$E$44:$Y$44"),1,MATCH($D3068,INDIRECT("'"&amp;$C3068&amp;"'!$E$12:$Y$12"),0)),0),0)</f>
        <v>8593.910660963038</v>
      </c>
      <c r="I3068" s="366" t="s">
        <v>1690</v>
      </c>
      <c r="J3068" s="348" t="str">
        <f t="shared" ca="1" si="94"/>
        <v>OK</v>
      </c>
      <c r="K3068" s="366" t="s">
        <v>1699</v>
      </c>
      <c r="L3068" s="366" t="s">
        <v>2240</v>
      </c>
      <c r="M3068" s="350" t="str">
        <f>IF($B3068="Portfolio","Portfolio",IFERROR(INDEX(DATA_ASSET_CLASSIFICATION!$B$8:$B$24,MATCH($C3068,DATA_ASSET_CLASSIFICATION!$A$8:$A$24,0)),"Review"))</f>
        <v>Murray Manor</v>
      </c>
      <c r="N3068" s="350" t="str">
        <f ca="1">IF($B3068="Portfolio","Portfolio",IFERROR(INDEX(DATA_ASSET_CLASSIFICATION!$U$8:$U$24,MATCH($C3068,DATA_ASSET_CLASSIFICATION!$A$8:$A$24,0)),"Review"))</f>
        <v>Refi Watch</v>
      </c>
      <c r="O3068" s="350" t="str">
        <f ca="1">IF($B3068="Portfolio","Portfolio",IFERROR(INDEX(DATA_ASSET_CLASSIFICATION!$AB$8:$AB$13,MATCH($N3068,DATA_ASSET_CLASSIFICATION!$AA$8:$AA$13,0)),"Review"))</f>
        <v>Bucket 2 · Legacy</v>
      </c>
      <c r="P3068" s="350" t="str">
        <f>IF($B3068="Portfolio","Portfolio",IFERROR(INDEX(DATA_ASSET_CLASSIFICATION!$C$8:$C$24,MATCH($C3068,DATA_ASSET_CLASSIFICATION!$A$8:$A$24,0)),"Review"))</f>
        <v>Yes</v>
      </c>
      <c r="Q3068" s="350" t="str">
        <f t="shared" ca="1" si="95"/>
        <v>OK</v>
      </c>
    </row>
    <row r="3069" spans="1:17">
      <c r="A3069" s="366" t="s">
        <v>5025</v>
      </c>
      <c r="B3069" s="366" t="s">
        <v>231</v>
      </c>
      <c r="C3069" s="348" t="str">
        <f>DATA_PROPERTY_MASTER!$A$14</f>
        <v>BLD_MM</v>
      </c>
      <c r="D3069" s="380">
        <f>'00_PORTFOLIO ROLLUP'!O$12</f>
        <v>2035</v>
      </c>
      <c r="E3069" s="366" t="s">
        <v>1683</v>
      </c>
      <c r="F3069" s="366" t="s">
        <v>21</v>
      </c>
      <c r="G3069" s="348" t="str">
        <f>"'"&amp;$C3069&amp;"'!$E$45:$Y$45"</f>
        <v>'BLD_MM'!$E$45:$Y$45</v>
      </c>
      <c r="H3069" s="381">
        <f ca="1">IF(IFERROR(INDEX(DATA_PROPERTY_MASTER!$E$5:$E$21,MATCH($C3069,DATA_PROPERTY_MASTER!$A$5:$A$21,0))="Yes",FALSE),IFERROR(INDEX(INDIRECT("'"&amp;$C3069&amp;"'!$E$45:$Y$45"),1,MATCH($D3069,INDIRECT("'"&amp;$C3069&amp;"'!$E$12:$Y$12"),0)),0),0)</f>
        <v>537293.85249312548</v>
      </c>
      <c r="I3069" s="366" t="s">
        <v>1685</v>
      </c>
      <c r="J3069" s="348" t="str">
        <f t="shared" ca="1" si="94"/>
        <v>OK</v>
      </c>
      <c r="K3069" s="366" t="s">
        <v>1694</v>
      </c>
      <c r="L3069" s="366" t="s">
        <v>2242</v>
      </c>
      <c r="M3069" s="350" t="str">
        <f>IF($B3069="Portfolio","Portfolio",IFERROR(INDEX(DATA_ASSET_CLASSIFICATION!$B$8:$B$24,MATCH($C3069,DATA_ASSET_CLASSIFICATION!$A$8:$A$24,0)),"Review"))</f>
        <v>Murray Manor</v>
      </c>
      <c r="N3069" s="350" t="str">
        <f ca="1">IF($B3069="Portfolio","Portfolio",IFERROR(INDEX(DATA_ASSET_CLASSIFICATION!$U$8:$U$24,MATCH($C3069,DATA_ASSET_CLASSIFICATION!$A$8:$A$24,0)),"Review"))</f>
        <v>Refi Watch</v>
      </c>
      <c r="O3069" s="350" t="str">
        <f ca="1">IF($B3069="Portfolio","Portfolio",IFERROR(INDEX(DATA_ASSET_CLASSIFICATION!$AB$8:$AB$13,MATCH($N3069,DATA_ASSET_CLASSIFICATION!$AA$8:$AA$13,0)),"Review"))</f>
        <v>Bucket 2 · Legacy</v>
      </c>
      <c r="P3069" s="350" t="str">
        <f>IF($B3069="Portfolio","Portfolio",IFERROR(INDEX(DATA_ASSET_CLASSIFICATION!$C$8:$C$24,MATCH($C3069,DATA_ASSET_CLASSIFICATION!$A$8:$A$24,0)),"Review"))</f>
        <v>Yes</v>
      </c>
      <c r="Q3069" s="350" t="str">
        <f t="shared" ca="1" si="95"/>
        <v>OK</v>
      </c>
    </row>
    <row r="3070" spans="1:17">
      <c r="A3070" s="366" t="s">
        <v>5026</v>
      </c>
      <c r="B3070" s="366" t="s">
        <v>231</v>
      </c>
      <c r="C3070" s="348" t="str">
        <f>DATA_PROPERTY_MASTER!$A$14</f>
        <v>BLD_MM</v>
      </c>
      <c r="D3070" s="380">
        <f>'00_PORTFOLIO ROLLUP'!O$12</f>
        <v>2035</v>
      </c>
      <c r="E3070" s="366" t="s">
        <v>23</v>
      </c>
      <c r="F3070" s="366" t="s">
        <v>23</v>
      </c>
      <c r="G3070" s="348" t="str">
        <f>"'"&amp;$C3070&amp;"'!$E$48:$Y$48"</f>
        <v>'BLD_MM'!$E$48:$Y$48</v>
      </c>
      <c r="H3070" s="381">
        <f ca="1">IF(IFERROR(INDEX(DATA_PROPERTY_MASTER!$E$5:$E$21,MATCH($C3070,DATA_PROPERTY_MASTER!$A$5:$A$21,0))="Yes",FALSE),IFERROR(INDEX(INDIRECT("'"&amp;$C3070&amp;"'!$E$48:$Y$48"),1,MATCH($D3070,INDIRECT("'"&amp;$C3070&amp;"'!$E$12:$Y$12"),0)),0),0)</f>
        <v>356739.03166510991</v>
      </c>
      <c r="I3070" s="366" t="s">
        <v>1690</v>
      </c>
      <c r="J3070" s="348" t="str">
        <f t="shared" ca="1" si="94"/>
        <v>OK</v>
      </c>
      <c r="K3070" s="366" t="s">
        <v>1706</v>
      </c>
      <c r="L3070" s="366" t="s">
        <v>2244</v>
      </c>
      <c r="M3070" s="350" t="str">
        <f>IF($B3070="Portfolio","Portfolio",IFERROR(INDEX(DATA_ASSET_CLASSIFICATION!$B$8:$B$24,MATCH($C3070,DATA_ASSET_CLASSIFICATION!$A$8:$A$24,0)),"Review"))</f>
        <v>Murray Manor</v>
      </c>
      <c r="N3070" s="350" t="str">
        <f ca="1">IF($B3070="Portfolio","Portfolio",IFERROR(INDEX(DATA_ASSET_CLASSIFICATION!$U$8:$U$24,MATCH($C3070,DATA_ASSET_CLASSIFICATION!$A$8:$A$24,0)),"Review"))</f>
        <v>Refi Watch</v>
      </c>
      <c r="O3070" s="350" t="str">
        <f ca="1">IF($B3070="Portfolio","Portfolio",IFERROR(INDEX(DATA_ASSET_CLASSIFICATION!$AB$8:$AB$13,MATCH($N3070,DATA_ASSET_CLASSIFICATION!$AA$8:$AA$13,0)),"Review"))</f>
        <v>Bucket 2 · Legacy</v>
      </c>
      <c r="P3070" s="350" t="str">
        <f>IF($B3070="Portfolio","Portfolio",IFERROR(INDEX(DATA_ASSET_CLASSIFICATION!$C$8:$C$24,MATCH($C3070,DATA_ASSET_CLASSIFICATION!$A$8:$A$24,0)),"Review"))</f>
        <v>Yes</v>
      </c>
      <c r="Q3070" s="350" t="str">
        <f t="shared" ca="1" si="95"/>
        <v>OK</v>
      </c>
    </row>
    <row r="3071" spans="1:17">
      <c r="A3071" s="366" t="s">
        <v>5027</v>
      </c>
      <c r="B3071" s="366" t="s">
        <v>231</v>
      </c>
      <c r="C3071" s="348" t="str">
        <f>DATA_PROPERTY_MASTER!$A$14</f>
        <v>BLD_MM</v>
      </c>
      <c r="D3071" s="380">
        <f>'00_PORTFOLIO ROLLUP'!O$12</f>
        <v>2035</v>
      </c>
      <c r="E3071" s="366" t="s">
        <v>1683</v>
      </c>
      <c r="F3071" s="366" t="s">
        <v>25</v>
      </c>
      <c r="G3071" s="348" t="str">
        <f>"'"&amp;$C3071&amp;"'!$E$52:$Y$52"</f>
        <v>'BLD_MM'!$E$52:$Y$52</v>
      </c>
      <c r="H3071" s="381">
        <f ca="1">IF(IFERROR(INDEX(DATA_PROPERTY_MASTER!$E$5:$E$21,MATCH($C3071,DATA_PROPERTY_MASTER!$A$5:$A$21,0))="Yes",FALSE),IFERROR(INDEX(INDIRECT("'"&amp;$C3071&amp;"'!$E$52:$Y$52"),1,MATCH($D3071,INDIRECT("'"&amp;$C3071&amp;"'!$E$12:$Y$12"),0)),0),0)</f>
        <v>189148.73148897861</v>
      </c>
      <c r="I3071" s="366" t="s">
        <v>1685</v>
      </c>
      <c r="J3071" s="348" t="str">
        <f t="shared" ca="1" si="94"/>
        <v>OK</v>
      </c>
      <c r="K3071" s="366" t="s">
        <v>1710</v>
      </c>
      <c r="L3071" s="366" t="s">
        <v>2246</v>
      </c>
      <c r="M3071" s="350" t="str">
        <f>IF($B3071="Portfolio","Portfolio",IFERROR(INDEX(DATA_ASSET_CLASSIFICATION!$B$8:$B$24,MATCH($C3071,DATA_ASSET_CLASSIFICATION!$A$8:$A$24,0)),"Review"))</f>
        <v>Murray Manor</v>
      </c>
      <c r="N3071" s="350" t="str">
        <f ca="1">IF($B3071="Portfolio","Portfolio",IFERROR(INDEX(DATA_ASSET_CLASSIFICATION!$U$8:$U$24,MATCH($C3071,DATA_ASSET_CLASSIFICATION!$A$8:$A$24,0)),"Review"))</f>
        <v>Refi Watch</v>
      </c>
      <c r="O3071" s="350" t="str">
        <f ca="1">IF($B3071="Portfolio","Portfolio",IFERROR(INDEX(DATA_ASSET_CLASSIFICATION!$AB$8:$AB$13,MATCH($N3071,DATA_ASSET_CLASSIFICATION!$AA$8:$AA$13,0)),"Review"))</f>
        <v>Bucket 2 · Legacy</v>
      </c>
      <c r="P3071" s="350" t="str">
        <f>IF($B3071="Portfolio","Portfolio",IFERROR(INDEX(DATA_ASSET_CLASSIFICATION!$C$8:$C$24,MATCH($C3071,DATA_ASSET_CLASSIFICATION!$A$8:$A$24,0)),"Review"))</f>
        <v>Yes</v>
      </c>
      <c r="Q3071" s="350" t="str">
        <f t="shared" ca="1" si="95"/>
        <v>OK</v>
      </c>
    </row>
    <row r="3072" spans="1:17">
      <c r="A3072" s="366" t="s">
        <v>5028</v>
      </c>
      <c r="B3072" s="366" t="s">
        <v>231</v>
      </c>
      <c r="C3072" s="348" t="str">
        <f>DATA_PROPERTY_MASTER!$A$14</f>
        <v>BLD_MM</v>
      </c>
      <c r="D3072" s="380">
        <f>'00_PORTFOLIO ROLLUP'!O$12</f>
        <v>2035</v>
      </c>
      <c r="E3072" s="366" t="s">
        <v>1683</v>
      </c>
      <c r="F3072" s="366" t="s">
        <v>27</v>
      </c>
      <c r="G3072" s="348" t="str">
        <f>"'"&amp;$C3072&amp;"'!$E$54:$Y$54"</f>
        <v>'BLD_MM'!$E$54:$Y$54</v>
      </c>
      <c r="H3072" s="381">
        <f ca="1">IF(IFERROR(INDEX(DATA_PROPERTY_MASTER!$E$5:$E$21,MATCH($C3072,DATA_PROPERTY_MASTER!$A$5:$A$21,0))="Yes",FALSE),IFERROR(INDEX(INDIRECT("'"&amp;$C3072&amp;"'!$E$54:$Y$54"),1,MATCH($D3072,INDIRECT("'"&amp;$C3072&amp;"'!$E$12:$Y$12"),0)),0),0)</f>
        <v>113489.23889338716</v>
      </c>
      <c r="I3072" s="366" t="s">
        <v>1690</v>
      </c>
      <c r="J3072" s="348" t="str">
        <f t="shared" ca="1" si="94"/>
        <v>OK</v>
      </c>
      <c r="K3072" s="366" t="s">
        <v>1714</v>
      </c>
      <c r="L3072" s="366" t="s">
        <v>2248</v>
      </c>
      <c r="M3072" s="350" t="str">
        <f>IF($B3072="Portfolio","Portfolio",IFERROR(INDEX(DATA_ASSET_CLASSIFICATION!$B$8:$B$24,MATCH($C3072,DATA_ASSET_CLASSIFICATION!$A$8:$A$24,0)),"Review"))</f>
        <v>Murray Manor</v>
      </c>
      <c r="N3072" s="350" t="str">
        <f ca="1">IF($B3072="Portfolio","Portfolio",IFERROR(INDEX(DATA_ASSET_CLASSIFICATION!$U$8:$U$24,MATCH($C3072,DATA_ASSET_CLASSIFICATION!$A$8:$A$24,0)),"Review"))</f>
        <v>Refi Watch</v>
      </c>
      <c r="O3072" s="350" t="str">
        <f ca="1">IF($B3072="Portfolio","Portfolio",IFERROR(INDEX(DATA_ASSET_CLASSIFICATION!$AB$8:$AB$13,MATCH($N3072,DATA_ASSET_CLASSIFICATION!$AA$8:$AA$13,0)),"Review"))</f>
        <v>Bucket 2 · Legacy</v>
      </c>
      <c r="P3072" s="350" t="str">
        <f>IF($B3072="Portfolio","Portfolio",IFERROR(INDEX(DATA_ASSET_CLASSIFICATION!$C$8:$C$24,MATCH($C3072,DATA_ASSET_CLASSIFICATION!$A$8:$A$24,0)),"Review"))</f>
        <v>Yes</v>
      </c>
      <c r="Q3072" s="350" t="str">
        <f t="shared" ca="1" si="95"/>
        <v>OK</v>
      </c>
    </row>
    <row r="3073" spans="1:17">
      <c r="A3073" s="366" t="s">
        <v>5029</v>
      </c>
      <c r="B3073" s="366" t="s">
        <v>231</v>
      </c>
      <c r="C3073" s="348" t="str">
        <f>DATA_PROPERTY_MASTER!$A$14</f>
        <v>BLD_MM</v>
      </c>
      <c r="D3073" s="380">
        <f>'00_PORTFOLIO ROLLUP'!O$12</f>
        <v>2035</v>
      </c>
      <c r="E3073" s="366" t="s">
        <v>1683</v>
      </c>
      <c r="F3073" s="366" t="s">
        <v>29</v>
      </c>
      <c r="G3073" s="348" t="str">
        <f>"'"&amp;$C3073&amp;"'!$E$56:$Y$56"</f>
        <v>'BLD_MM'!$E$56:$Y$56</v>
      </c>
      <c r="H3073" s="381">
        <f ca="1">IF(IFERROR(INDEX(DATA_PROPERTY_MASTER!$E$5:$E$21,MATCH($C3073,DATA_PROPERTY_MASTER!$A$5:$A$21,0))="Yes",FALSE),IFERROR(INDEX(INDIRECT("'"&amp;$C3073&amp;"'!$E$56:$Y$56"),1,MATCH($D3073,INDIRECT("'"&amp;$C3073&amp;"'!$E$12:$Y$12"),0)),0),0)</f>
        <v>75659.492595591451</v>
      </c>
      <c r="I3073" s="366" t="s">
        <v>1685</v>
      </c>
      <c r="J3073" s="348" t="str">
        <f t="shared" ca="1" si="94"/>
        <v>OK</v>
      </c>
      <c r="K3073" s="366" t="s">
        <v>1718</v>
      </c>
      <c r="L3073" s="366" t="s">
        <v>2250</v>
      </c>
      <c r="M3073" s="350" t="str">
        <f>IF($B3073="Portfolio","Portfolio",IFERROR(INDEX(DATA_ASSET_CLASSIFICATION!$B$8:$B$24,MATCH($C3073,DATA_ASSET_CLASSIFICATION!$A$8:$A$24,0)),"Review"))</f>
        <v>Murray Manor</v>
      </c>
      <c r="N3073" s="350" t="str">
        <f ca="1">IF($B3073="Portfolio","Portfolio",IFERROR(INDEX(DATA_ASSET_CLASSIFICATION!$U$8:$U$24,MATCH($C3073,DATA_ASSET_CLASSIFICATION!$A$8:$A$24,0)),"Review"))</f>
        <v>Refi Watch</v>
      </c>
      <c r="O3073" s="350" t="str">
        <f ca="1">IF($B3073="Portfolio","Portfolio",IFERROR(INDEX(DATA_ASSET_CLASSIFICATION!$AB$8:$AB$13,MATCH($N3073,DATA_ASSET_CLASSIFICATION!$AA$8:$AA$13,0)),"Review"))</f>
        <v>Bucket 2 · Legacy</v>
      </c>
      <c r="P3073" s="350" t="str">
        <f>IF($B3073="Portfolio","Portfolio",IFERROR(INDEX(DATA_ASSET_CLASSIFICATION!$C$8:$C$24,MATCH($C3073,DATA_ASSET_CLASSIFICATION!$A$8:$A$24,0)),"Review"))</f>
        <v>Yes</v>
      </c>
      <c r="Q3073" s="350" t="str">
        <f t="shared" ca="1" si="95"/>
        <v>OK</v>
      </c>
    </row>
    <row r="3074" spans="1:17">
      <c r="A3074" s="366" t="s">
        <v>5030</v>
      </c>
      <c r="B3074" s="366" t="s">
        <v>231</v>
      </c>
      <c r="C3074" s="348" t="str">
        <f>DATA_PROPERTY_MASTER!$A$14</f>
        <v>BLD_MM</v>
      </c>
      <c r="D3074" s="380">
        <f>'00_PORTFOLIO ROLLUP'!O$12</f>
        <v>2035</v>
      </c>
      <c r="E3074" s="366" t="s">
        <v>1721</v>
      </c>
      <c r="F3074" s="366" t="s">
        <v>31</v>
      </c>
      <c r="G3074" s="348" t="str">
        <f>"'"&amp;$C3074&amp;"'!$E$61:$Y$61"</f>
        <v>'BLD_MM'!$E$61:$Y$61</v>
      </c>
      <c r="H3074" s="381">
        <f ca="1">IF(IFERROR(INDEX(DATA_PROPERTY_MASTER!$E$5:$E$21,MATCH($C3074,DATA_PROPERTY_MASTER!$A$5:$A$21,0))="Yes",FALSE),IFERROR(INDEX(INDIRECT("'"&amp;$C3074&amp;"'!$E$61:$Y$61"),1,MATCH($D3074,INDIRECT("'"&amp;$C3074&amp;"'!$E$12:$Y$12"),0)),0),0)</f>
        <v>0</v>
      </c>
      <c r="I3074" s="366" t="s">
        <v>1690</v>
      </c>
      <c r="J3074" s="348" t="str">
        <f t="shared" ca="1" si="94"/>
        <v>OK</v>
      </c>
      <c r="K3074" s="366" t="s">
        <v>1723</v>
      </c>
      <c r="L3074" s="366" t="s">
        <v>2252</v>
      </c>
      <c r="M3074" s="350" t="str">
        <f>IF($B3074="Portfolio","Portfolio",IFERROR(INDEX(DATA_ASSET_CLASSIFICATION!$B$8:$B$24,MATCH($C3074,DATA_ASSET_CLASSIFICATION!$A$8:$A$24,0)),"Review"))</f>
        <v>Murray Manor</v>
      </c>
      <c r="N3074" s="350" t="str">
        <f ca="1">IF($B3074="Portfolio","Portfolio",IFERROR(INDEX(DATA_ASSET_CLASSIFICATION!$U$8:$U$24,MATCH($C3074,DATA_ASSET_CLASSIFICATION!$A$8:$A$24,0)),"Review"))</f>
        <v>Refi Watch</v>
      </c>
      <c r="O3074" s="350" t="str">
        <f ca="1">IF($B3074="Portfolio","Portfolio",IFERROR(INDEX(DATA_ASSET_CLASSIFICATION!$AB$8:$AB$13,MATCH($N3074,DATA_ASSET_CLASSIFICATION!$AA$8:$AA$13,0)),"Review"))</f>
        <v>Bucket 2 · Legacy</v>
      </c>
      <c r="P3074" s="350" t="str">
        <f>IF($B3074="Portfolio","Portfolio",IFERROR(INDEX(DATA_ASSET_CLASSIFICATION!$C$8:$C$24,MATCH($C3074,DATA_ASSET_CLASSIFICATION!$A$8:$A$24,0)),"Review"))</f>
        <v>Yes</v>
      </c>
      <c r="Q3074" s="350" t="str">
        <f t="shared" ca="1" si="95"/>
        <v>OK</v>
      </c>
    </row>
    <row r="3075" spans="1:17">
      <c r="A3075" s="366" t="s">
        <v>5031</v>
      </c>
      <c r="B3075" s="366" t="s">
        <v>231</v>
      </c>
      <c r="C3075" s="348" t="str">
        <f>DATA_PROPERTY_MASTER!$A$14</f>
        <v>BLD_MM</v>
      </c>
      <c r="D3075" s="380">
        <f>'00_PORTFOLIO ROLLUP'!O$12</f>
        <v>2035</v>
      </c>
      <c r="E3075" s="366" t="s">
        <v>1721</v>
      </c>
      <c r="F3075" s="366" t="s">
        <v>33</v>
      </c>
      <c r="G3075" s="348" t="str">
        <f>"'"&amp;$C3075&amp;"'!$E$62:$Y$62"</f>
        <v>'BLD_MM'!$E$62:$Y$62</v>
      </c>
      <c r="H3075" s="381">
        <f ca="1">IF(IFERROR(INDEX(DATA_PROPERTY_MASTER!$E$5:$E$21,MATCH($C3075,DATA_PROPERTY_MASTER!$A$5:$A$21,0))="Yes",FALSE),IFERROR(INDEX(INDIRECT("'"&amp;$C3075&amp;"'!$E$62:$Y$62"),1,MATCH($D3075,INDIRECT("'"&amp;$C3075&amp;"'!$E$12:$Y$12"),0)),0),0)</f>
        <v>0</v>
      </c>
      <c r="I3075" s="366" t="s">
        <v>1685</v>
      </c>
      <c r="J3075" s="348" t="str">
        <f t="shared" ca="1" si="94"/>
        <v>OK</v>
      </c>
      <c r="K3075" s="366" t="s">
        <v>1727</v>
      </c>
      <c r="L3075" s="366" t="s">
        <v>2254</v>
      </c>
      <c r="M3075" s="350" t="str">
        <f>IF($B3075="Portfolio","Portfolio",IFERROR(INDEX(DATA_ASSET_CLASSIFICATION!$B$8:$B$24,MATCH($C3075,DATA_ASSET_CLASSIFICATION!$A$8:$A$24,0)),"Review"))</f>
        <v>Murray Manor</v>
      </c>
      <c r="N3075" s="350" t="str">
        <f ca="1">IF($B3075="Portfolio","Portfolio",IFERROR(INDEX(DATA_ASSET_CLASSIFICATION!$U$8:$U$24,MATCH($C3075,DATA_ASSET_CLASSIFICATION!$A$8:$A$24,0)),"Review"))</f>
        <v>Refi Watch</v>
      </c>
      <c r="O3075" s="350" t="str">
        <f ca="1">IF($B3075="Portfolio","Portfolio",IFERROR(INDEX(DATA_ASSET_CLASSIFICATION!$AB$8:$AB$13,MATCH($N3075,DATA_ASSET_CLASSIFICATION!$AA$8:$AA$13,0)),"Review"))</f>
        <v>Bucket 2 · Legacy</v>
      </c>
      <c r="P3075" s="350" t="str">
        <f>IF($B3075="Portfolio","Portfolio",IFERROR(INDEX(DATA_ASSET_CLASSIFICATION!$C$8:$C$24,MATCH($C3075,DATA_ASSET_CLASSIFICATION!$A$8:$A$24,0)),"Review"))</f>
        <v>Yes</v>
      </c>
      <c r="Q3075" s="350" t="str">
        <f t="shared" ca="1" si="95"/>
        <v>OK</v>
      </c>
    </row>
    <row r="3076" spans="1:17">
      <c r="A3076" s="366" t="s">
        <v>5032</v>
      </c>
      <c r="B3076" s="366" t="s">
        <v>231</v>
      </c>
      <c r="C3076" s="348" t="str">
        <f>DATA_PROPERTY_MASTER!$A$14</f>
        <v>BLD_MM</v>
      </c>
      <c r="D3076" s="380">
        <f>'00_PORTFOLIO ROLLUP'!O$12</f>
        <v>2035</v>
      </c>
      <c r="E3076" s="366" t="s">
        <v>1721</v>
      </c>
      <c r="F3076" s="366" t="s">
        <v>35</v>
      </c>
      <c r="G3076" s="348" t="str">
        <f>"'"&amp;$C3076&amp;"'!$E$63:$Y$63"</f>
        <v>'BLD_MM'!$E$63:$Y$63</v>
      </c>
      <c r="H3076" s="381">
        <f ca="1">IF(IFERROR(INDEX(DATA_PROPERTY_MASTER!$E$5:$E$21,MATCH($C3076,DATA_PROPERTY_MASTER!$A$5:$A$21,0))="Yes",FALSE),IFERROR(INDEX(INDIRECT("'"&amp;$C3076&amp;"'!$E$63:$Y$63"),1,MATCH($D3076,INDIRECT("'"&amp;$C3076&amp;"'!$E$12:$Y$12"),0)),0),0)</f>
        <v>0</v>
      </c>
      <c r="I3076" s="366" t="s">
        <v>1731</v>
      </c>
      <c r="J3076" s="348" t="str">
        <f t="shared" ca="1" si="94"/>
        <v>OK</v>
      </c>
      <c r="K3076" s="366" t="s">
        <v>1732</v>
      </c>
      <c r="L3076" s="366" t="s">
        <v>2256</v>
      </c>
      <c r="M3076" s="350" t="str">
        <f>IF($B3076="Portfolio","Portfolio",IFERROR(INDEX(DATA_ASSET_CLASSIFICATION!$B$8:$B$24,MATCH($C3076,DATA_ASSET_CLASSIFICATION!$A$8:$A$24,0)),"Review"))</f>
        <v>Murray Manor</v>
      </c>
      <c r="N3076" s="350" t="str">
        <f ca="1">IF($B3076="Portfolio","Portfolio",IFERROR(INDEX(DATA_ASSET_CLASSIFICATION!$U$8:$U$24,MATCH($C3076,DATA_ASSET_CLASSIFICATION!$A$8:$A$24,0)),"Review"))</f>
        <v>Refi Watch</v>
      </c>
      <c r="O3076" s="350" t="str">
        <f ca="1">IF($B3076="Portfolio","Portfolio",IFERROR(INDEX(DATA_ASSET_CLASSIFICATION!$AB$8:$AB$13,MATCH($N3076,DATA_ASSET_CLASSIFICATION!$AA$8:$AA$13,0)),"Review"))</f>
        <v>Bucket 2 · Legacy</v>
      </c>
      <c r="P3076" s="350" t="str">
        <f>IF($B3076="Portfolio","Portfolio",IFERROR(INDEX(DATA_ASSET_CLASSIFICATION!$C$8:$C$24,MATCH($C3076,DATA_ASSET_CLASSIFICATION!$A$8:$A$24,0)),"Review"))</f>
        <v>Yes</v>
      </c>
      <c r="Q3076" s="350" t="str">
        <f t="shared" ca="1" si="95"/>
        <v>OK</v>
      </c>
    </row>
    <row r="3077" spans="1:17">
      <c r="A3077" s="366" t="s">
        <v>5033</v>
      </c>
      <c r="B3077" s="366" t="s">
        <v>231</v>
      </c>
      <c r="C3077" s="348" t="str">
        <f>DATA_PROPERTY_MASTER!$A$14</f>
        <v>BLD_MM</v>
      </c>
      <c r="D3077" s="380">
        <f>'00_PORTFOLIO ROLLUP'!O$12</f>
        <v>2035</v>
      </c>
      <c r="E3077" s="366" t="s">
        <v>1721</v>
      </c>
      <c r="F3077" s="366" t="s">
        <v>37</v>
      </c>
      <c r="G3077" s="348" t="str">
        <f>"'"&amp;$C3077&amp;"'!$E$63:$Y$63"</f>
        <v>'BLD_MM'!$E$63:$Y$63</v>
      </c>
      <c r="H3077" s="381">
        <f ca="1">IF(IFERROR(INDEX(DATA_PROPERTY_MASTER!$E$5:$E$21,MATCH($C3077,DATA_PROPERTY_MASTER!$A$5:$A$21,0))="Yes",FALSE),MAX(IFERROR(INDEX(INDIRECT("'"&amp;$C3077&amp;"'!$E$63:$Y$63"),1,MATCH($D3077,INDIRECT("'"&amp;$C3077&amp;"'!$E$12:$Y$12"),0)),0),0),0)</f>
        <v>0</v>
      </c>
      <c r="I3077" s="366" t="s">
        <v>1685</v>
      </c>
      <c r="J3077" s="348" t="str">
        <f t="shared" ref="J3077:J3140" ca="1" si="96">IF($F3077="Residual Funding Gap",IF($H3077&gt;0,"Funding Gap","OK"),IF(AND($F3077="Net Refinance Position",$H3077&lt;0),"Negative net refi position","OK"))</f>
        <v>OK</v>
      </c>
      <c r="K3077" s="366" t="s">
        <v>1735</v>
      </c>
      <c r="L3077" s="366" t="s">
        <v>2258</v>
      </c>
      <c r="M3077" s="350" t="str">
        <f>IF($B3077="Portfolio","Portfolio",IFERROR(INDEX(DATA_ASSET_CLASSIFICATION!$B$8:$B$24,MATCH($C3077,DATA_ASSET_CLASSIFICATION!$A$8:$A$24,0)),"Review"))</f>
        <v>Murray Manor</v>
      </c>
      <c r="N3077" s="350" t="str">
        <f ca="1">IF($B3077="Portfolio","Portfolio",IFERROR(INDEX(DATA_ASSET_CLASSIFICATION!$U$8:$U$24,MATCH($C3077,DATA_ASSET_CLASSIFICATION!$A$8:$A$24,0)),"Review"))</f>
        <v>Refi Watch</v>
      </c>
      <c r="O3077" s="350" t="str">
        <f ca="1">IF($B3077="Portfolio","Portfolio",IFERROR(INDEX(DATA_ASSET_CLASSIFICATION!$AB$8:$AB$13,MATCH($N3077,DATA_ASSET_CLASSIFICATION!$AA$8:$AA$13,0)),"Review"))</f>
        <v>Bucket 2 · Legacy</v>
      </c>
      <c r="P3077" s="350" t="str">
        <f>IF($B3077="Portfolio","Portfolio",IFERROR(INDEX(DATA_ASSET_CLASSIFICATION!$C$8:$C$24,MATCH($C3077,DATA_ASSET_CLASSIFICATION!$A$8:$A$24,0)),"Review"))</f>
        <v>Yes</v>
      </c>
      <c r="Q3077" s="350" t="str">
        <f t="shared" ref="Q3077:Q3140" ca="1" si="97">IF(AND($B3077="Property",$F3077="Residual Funding Gap",$H3077&gt;0),"Property Funding Gap",IF($J3077&lt;&gt;"OK",$J3077,"OK"))</f>
        <v>OK</v>
      </c>
    </row>
    <row r="3078" spans="1:17">
      <c r="A3078" s="366" t="s">
        <v>5034</v>
      </c>
      <c r="B3078" s="366" t="s">
        <v>231</v>
      </c>
      <c r="C3078" s="348" t="str">
        <f>DATA_PROPERTY_MASTER!$A$14</f>
        <v>BLD_MM</v>
      </c>
      <c r="D3078" s="380">
        <f>'00_PORTFOLIO ROLLUP'!O$12</f>
        <v>2035</v>
      </c>
      <c r="E3078" s="366" t="s">
        <v>1721</v>
      </c>
      <c r="F3078" s="366" t="s">
        <v>39</v>
      </c>
      <c r="G3078" s="348" t="str">
        <f>"'"&amp;$C3078&amp;"'!$E$63:$Y$63"</f>
        <v>'BLD_MM'!$E$63:$Y$63</v>
      </c>
      <c r="H3078" s="381">
        <f ca="1">IF(IFERROR(INDEX(DATA_PROPERTY_MASTER!$E$5:$E$21,MATCH($C3078,DATA_PROPERTY_MASTER!$A$5:$A$21,0))="Yes",FALSE),MAX(-IFERROR(INDEX(INDIRECT("'"&amp;$C3078&amp;"'!$E$63:$Y$63"),1,MATCH($D3078,INDIRECT("'"&amp;$C3078&amp;"'!$E$12:$Y$12"),0)),0),0),0)</f>
        <v>0</v>
      </c>
      <c r="I3078" s="366" t="s">
        <v>1690</v>
      </c>
      <c r="J3078" s="348" t="str">
        <f t="shared" ca="1" si="96"/>
        <v>OK</v>
      </c>
      <c r="K3078" s="366" t="s">
        <v>1738</v>
      </c>
      <c r="L3078" s="366" t="s">
        <v>2260</v>
      </c>
      <c r="M3078" s="350" t="str">
        <f>IF($B3078="Portfolio","Portfolio",IFERROR(INDEX(DATA_ASSET_CLASSIFICATION!$B$8:$B$24,MATCH($C3078,DATA_ASSET_CLASSIFICATION!$A$8:$A$24,0)),"Review"))</f>
        <v>Murray Manor</v>
      </c>
      <c r="N3078" s="350" t="str">
        <f ca="1">IF($B3078="Portfolio","Portfolio",IFERROR(INDEX(DATA_ASSET_CLASSIFICATION!$U$8:$U$24,MATCH($C3078,DATA_ASSET_CLASSIFICATION!$A$8:$A$24,0)),"Review"))</f>
        <v>Refi Watch</v>
      </c>
      <c r="O3078" s="350" t="str">
        <f ca="1">IF($B3078="Portfolio","Portfolio",IFERROR(INDEX(DATA_ASSET_CLASSIFICATION!$AB$8:$AB$13,MATCH($N3078,DATA_ASSET_CLASSIFICATION!$AA$8:$AA$13,0)),"Review"))</f>
        <v>Bucket 2 · Legacy</v>
      </c>
      <c r="P3078" s="350" t="str">
        <f>IF($B3078="Portfolio","Portfolio",IFERROR(INDEX(DATA_ASSET_CLASSIFICATION!$C$8:$C$24,MATCH($C3078,DATA_ASSET_CLASSIFICATION!$A$8:$A$24,0)),"Review"))</f>
        <v>Yes</v>
      </c>
      <c r="Q3078" s="350" t="str">
        <f t="shared" ca="1" si="97"/>
        <v>OK</v>
      </c>
    </row>
    <row r="3079" spans="1:17">
      <c r="A3079" s="366" t="s">
        <v>5035</v>
      </c>
      <c r="B3079" s="366" t="s">
        <v>231</v>
      </c>
      <c r="C3079" s="348" t="str">
        <f>DATA_PROPERTY_MASTER!$A$14</f>
        <v>BLD_MM</v>
      </c>
      <c r="D3079" s="380">
        <f>'00_PORTFOLIO ROLLUP'!O$12</f>
        <v>2035</v>
      </c>
      <c r="E3079" s="366" t="s">
        <v>1741</v>
      </c>
      <c r="F3079" s="366" t="s">
        <v>41</v>
      </c>
      <c r="G3079" s="348" t="str">
        <f>"'"&amp;$C3079&amp;"'!rows 56 + positive row 63"</f>
        <v>'BLD_MM'!rows 56 + positive row 63</v>
      </c>
      <c r="H3079" s="381">
        <f ca="1">IF(IFERROR(INDEX(DATA_PROPERTY_MASTER!$E$5:$E$21,MATCH($C3079,DATA_PROPERTY_MASTER!$A$5:$A$21,0))="Yes",FALSE),IFERROR(INDEX(INDIRECT("'"&amp;$C3079&amp;"'!$E$56:$Y$56"),1,MATCH($D3079,INDIRECT("'"&amp;$C3079&amp;"'!$E$12:$Y$12"),0)),0)+MAX(IFERROR(INDEX(INDIRECT("'"&amp;$C3079&amp;"'!$E$63:$Y$63"),1,MATCH($D3079,INDIRECT("'"&amp;$C3079&amp;"'!$E$12:$Y$12"),0)),0),0),0)</f>
        <v>75659.492595591451</v>
      </c>
      <c r="I3079" s="366" t="s">
        <v>1685</v>
      </c>
      <c r="J3079" s="348" t="str">
        <f t="shared" ca="1" si="96"/>
        <v>OK</v>
      </c>
      <c r="K3079" s="366" t="s">
        <v>1742</v>
      </c>
      <c r="L3079" s="366" t="s">
        <v>2262</v>
      </c>
      <c r="M3079" s="350" t="str">
        <f>IF($B3079="Portfolio","Portfolio",IFERROR(INDEX(DATA_ASSET_CLASSIFICATION!$B$8:$B$24,MATCH($C3079,DATA_ASSET_CLASSIFICATION!$A$8:$A$24,0)),"Review"))</f>
        <v>Murray Manor</v>
      </c>
      <c r="N3079" s="350" t="str">
        <f ca="1">IF($B3079="Portfolio","Portfolio",IFERROR(INDEX(DATA_ASSET_CLASSIFICATION!$U$8:$U$24,MATCH($C3079,DATA_ASSET_CLASSIFICATION!$A$8:$A$24,0)),"Review"))</f>
        <v>Refi Watch</v>
      </c>
      <c r="O3079" s="350" t="str">
        <f ca="1">IF($B3079="Portfolio","Portfolio",IFERROR(INDEX(DATA_ASSET_CLASSIFICATION!$AB$8:$AB$13,MATCH($N3079,DATA_ASSET_CLASSIFICATION!$AA$8:$AA$13,0)),"Review"))</f>
        <v>Bucket 2 · Legacy</v>
      </c>
      <c r="P3079" s="350" t="str">
        <f>IF($B3079="Portfolio","Portfolio",IFERROR(INDEX(DATA_ASSET_CLASSIFICATION!$C$8:$C$24,MATCH($C3079,DATA_ASSET_CLASSIFICATION!$A$8:$A$24,0)),"Review"))</f>
        <v>Yes</v>
      </c>
      <c r="Q3079" s="350" t="str">
        <f t="shared" ca="1" si="97"/>
        <v>OK</v>
      </c>
    </row>
    <row r="3080" spans="1:17">
      <c r="A3080" s="366" t="s">
        <v>5036</v>
      </c>
      <c r="B3080" s="366" t="s">
        <v>231</v>
      </c>
      <c r="C3080" s="348" t="str">
        <f>DATA_PROPERTY_MASTER!$A$14</f>
        <v>BLD_MM</v>
      </c>
      <c r="D3080" s="380">
        <f>'00_PORTFOLIO ROLLUP'!O$12</f>
        <v>2035</v>
      </c>
      <c r="E3080" s="366" t="s">
        <v>1741</v>
      </c>
      <c r="F3080" s="366" t="s">
        <v>43</v>
      </c>
      <c r="G3080" s="348" t="str">
        <f>"'"&amp;$C3080&amp;"'!$E$68:$Y$68"</f>
        <v>'BLD_MM'!$E$68:$Y$68</v>
      </c>
      <c r="H3080" s="381">
        <f ca="1">IF(IFERROR(INDEX(DATA_PROPERTY_MASTER!$E$5:$E$21,MATCH($C3080,DATA_PROPERTY_MASTER!$A$5:$A$21,0))="Yes",FALSE),IFERROR(INDEX(INDIRECT("'"&amp;$C3080&amp;"'!$E$68:$Y$68"),1,MATCH($D3080,INDIRECT("'"&amp;$C3080&amp;"'!$E$12:$Y$12"),0)),0),0)</f>
        <v>75659.492595591451</v>
      </c>
      <c r="I3080" s="366" t="s">
        <v>1731</v>
      </c>
      <c r="J3080" s="348" t="str">
        <f t="shared" ca="1" si="96"/>
        <v>OK</v>
      </c>
      <c r="K3080" s="366" t="s">
        <v>1746</v>
      </c>
      <c r="L3080" s="366" t="s">
        <v>2264</v>
      </c>
      <c r="M3080" s="350" t="str">
        <f>IF($B3080="Portfolio","Portfolio",IFERROR(INDEX(DATA_ASSET_CLASSIFICATION!$B$8:$B$24,MATCH($C3080,DATA_ASSET_CLASSIFICATION!$A$8:$A$24,0)),"Review"))</f>
        <v>Murray Manor</v>
      </c>
      <c r="N3080" s="350" t="str">
        <f ca="1">IF($B3080="Portfolio","Portfolio",IFERROR(INDEX(DATA_ASSET_CLASSIFICATION!$U$8:$U$24,MATCH($C3080,DATA_ASSET_CLASSIFICATION!$A$8:$A$24,0)),"Review"))</f>
        <v>Refi Watch</v>
      </c>
      <c r="O3080" s="350" t="str">
        <f ca="1">IF($B3080="Portfolio","Portfolio",IFERROR(INDEX(DATA_ASSET_CLASSIFICATION!$AB$8:$AB$13,MATCH($N3080,DATA_ASSET_CLASSIFICATION!$AA$8:$AA$13,0)),"Review"))</f>
        <v>Bucket 2 · Legacy</v>
      </c>
      <c r="P3080" s="350" t="str">
        <f>IF($B3080="Portfolio","Portfolio",IFERROR(INDEX(DATA_ASSET_CLASSIFICATION!$C$8:$C$24,MATCH($C3080,DATA_ASSET_CLASSIFICATION!$A$8:$A$24,0)),"Review"))</f>
        <v>Yes</v>
      </c>
      <c r="Q3080" s="350" t="str">
        <f t="shared" ca="1" si="97"/>
        <v>OK</v>
      </c>
    </row>
    <row r="3081" spans="1:17">
      <c r="A3081" s="366" t="s">
        <v>5037</v>
      </c>
      <c r="B3081" s="366" t="s">
        <v>231</v>
      </c>
      <c r="C3081" s="348" t="str">
        <f>DATA_PROPERTY_MASTER!$A$14</f>
        <v>BLD_MM</v>
      </c>
      <c r="D3081" s="380">
        <f>'00_PORTFOLIO ROLLUP'!O$12</f>
        <v>2035</v>
      </c>
      <c r="E3081" s="366" t="s">
        <v>1741</v>
      </c>
      <c r="F3081" s="366" t="s">
        <v>1749</v>
      </c>
      <c r="G3081" s="348" t="str">
        <f>"'"&amp;$C3081&amp;"'!rows 56, 63, 68"</f>
        <v>'BLD_MM'!rows 56, 63, 68</v>
      </c>
      <c r="H3081" s="381">
        <f ca="1">IF(IFERROR(INDEX(DATA_PROPERTY_MASTER!$E$5:$E$21,MATCH($C3081,DATA_PROPERTY_MASTER!$A$5:$A$21,0))="Yes",FALSE),(IFERROR(INDEX(INDIRECT("'"&amp;$C3081&amp;"'!$E$56:$Y$56"),1,MATCH($D3081,INDIRECT("'"&amp;$C3081&amp;"'!$E$12:$Y$12"),0)),0)+MAX(IFERROR(INDEX(INDIRECT("'"&amp;$C3081&amp;"'!$E$63:$Y$63"),1,MATCH($D3081,INDIRECT("'"&amp;$C3081&amp;"'!$E$12:$Y$12"),0)),0),0))-(IFERROR(INDEX(INDIRECT("'"&amp;$C3081&amp;"'!$E$68:$Y$68"),1,MATCH($D3081,INDIRECT("'"&amp;$C3081&amp;"'!$E$12:$Y$12"),0)),0)),0)</f>
        <v>0</v>
      </c>
      <c r="I3081" s="366" t="s">
        <v>1750</v>
      </c>
      <c r="J3081" s="348" t="str">
        <f t="shared" ca="1" si="96"/>
        <v>OK</v>
      </c>
      <c r="K3081" s="366" t="s">
        <v>1751</v>
      </c>
      <c r="L3081" s="366" t="s">
        <v>2266</v>
      </c>
      <c r="M3081" s="350" t="str">
        <f>IF($B3081="Portfolio","Portfolio",IFERROR(INDEX(DATA_ASSET_CLASSIFICATION!$B$8:$B$24,MATCH($C3081,DATA_ASSET_CLASSIFICATION!$A$8:$A$24,0)),"Review"))</f>
        <v>Murray Manor</v>
      </c>
      <c r="N3081" s="350" t="str">
        <f ca="1">IF($B3081="Portfolio","Portfolio",IFERROR(INDEX(DATA_ASSET_CLASSIFICATION!$U$8:$U$24,MATCH($C3081,DATA_ASSET_CLASSIFICATION!$A$8:$A$24,0)),"Review"))</f>
        <v>Refi Watch</v>
      </c>
      <c r="O3081" s="350" t="str">
        <f ca="1">IF($B3081="Portfolio","Portfolio",IFERROR(INDEX(DATA_ASSET_CLASSIFICATION!$AB$8:$AB$13,MATCH($N3081,DATA_ASSET_CLASSIFICATION!$AA$8:$AA$13,0)),"Review"))</f>
        <v>Bucket 2 · Legacy</v>
      </c>
      <c r="P3081" s="350" t="str">
        <f>IF($B3081="Portfolio","Portfolio",IFERROR(INDEX(DATA_ASSET_CLASSIFICATION!$C$8:$C$24,MATCH($C3081,DATA_ASSET_CLASSIFICATION!$A$8:$A$24,0)),"Review"))</f>
        <v>Yes</v>
      </c>
      <c r="Q3081" s="350" t="str">
        <f t="shared" ca="1" si="97"/>
        <v>OK</v>
      </c>
    </row>
    <row r="3082" spans="1:17">
      <c r="A3082" s="366" t="s">
        <v>5038</v>
      </c>
      <c r="B3082" s="366" t="s">
        <v>231</v>
      </c>
      <c r="C3082" s="348" t="str">
        <f>DATA_PROPERTY_MASTER!$A$14</f>
        <v>BLD_MM</v>
      </c>
      <c r="D3082" s="380">
        <f>'00_PORTFOLIO ROLLUP'!P$12</f>
        <v>2036</v>
      </c>
      <c r="E3082" s="366" t="s">
        <v>1683</v>
      </c>
      <c r="F3082" s="366" t="s">
        <v>341</v>
      </c>
      <c r="G3082" s="348" t="str">
        <f>"'"&amp;$C3082&amp;"'!$E$24:$Y$24"</f>
        <v>'BLD_MM'!$E$24:$Y$24</v>
      </c>
      <c r="H3082" s="381">
        <f ca="1">IF(IFERROR(INDEX(DATA_PROPERTY_MASTER!$E$5:$E$21,MATCH($C3082,DATA_PROPERTY_MASTER!$A$5:$A$21,0))="Yes",FALSE),IFERROR(INDEX(INDIRECT("'"&amp;$C3082&amp;"'!$E$24:$Y$24"),1,MATCH($D3082,INDIRECT("'"&amp;$C3082&amp;"'!$E$12:$Y$12"),0)),0),0)</f>
        <v>971075.97395061783</v>
      </c>
      <c r="I3082" s="366" t="s">
        <v>1685</v>
      </c>
      <c r="J3082" s="348" t="str">
        <f t="shared" ca="1" si="96"/>
        <v>OK</v>
      </c>
      <c r="K3082" s="366" t="s">
        <v>1686</v>
      </c>
      <c r="L3082" s="366" t="s">
        <v>2234</v>
      </c>
      <c r="M3082" s="350" t="str">
        <f>IF($B3082="Portfolio","Portfolio",IFERROR(INDEX(DATA_ASSET_CLASSIFICATION!$B$8:$B$24,MATCH($C3082,DATA_ASSET_CLASSIFICATION!$A$8:$A$24,0)),"Review"))</f>
        <v>Murray Manor</v>
      </c>
      <c r="N3082" s="350" t="str">
        <f ca="1">IF($B3082="Portfolio","Portfolio",IFERROR(INDEX(DATA_ASSET_CLASSIFICATION!$U$8:$U$24,MATCH($C3082,DATA_ASSET_CLASSIFICATION!$A$8:$A$24,0)),"Review"))</f>
        <v>Refi Watch</v>
      </c>
      <c r="O3082" s="350" t="str">
        <f ca="1">IF($B3082="Portfolio","Portfolio",IFERROR(INDEX(DATA_ASSET_CLASSIFICATION!$AB$8:$AB$13,MATCH($N3082,DATA_ASSET_CLASSIFICATION!$AA$8:$AA$13,0)),"Review"))</f>
        <v>Bucket 2 · Legacy</v>
      </c>
      <c r="P3082" s="350" t="str">
        <f>IF($B3082="Portfolio","Portfolio",IFERROR(INDEX(DATA_ASSET_CLASSIFICATION!$C$8:$C$24,MATCH($C3082,DATA_ASSET_CLASSIFICATION!$A$8:$A$24,0)),"Review"))</f>
        <v>Yes</v>
      </c>
      <c r="Q3082" s="350" t="str">
        <f t="shared" ca="1" si="97"/>
        <v>OK</v>
      </c>
    </row>
    <row r="3083" spans="1:17">
      <c r="A3083" s="366" t="s">
        <v>5039</v>
      </c>
      <c r="B3083" s="366" t="s">
        <v>231</v>
      </c>
      <c r="C3083" s="348" t="str">
        <f>DATA_PROPERTY_MASTER!$A$14</f>
        <v>BLD_MM</v>
      </c>
      <c r="D3083" s="380">
        <f>'00_PORTFOLIO ROLLUP'!P$12</f>
        <v>2036</v>
      </c>
      <c r="E3083" s="366" t="s">
        <v>1683</v>
      </c>
      <c r="F3083" s="366" t="s">
        <v>355</v>
      </c>
      <c r="G3083" s="348" t="str">
        <f>"'"&amp;$C3083&amp;"'!$E$39:$Y$39"</f>
        <v>'BLD_MM'!$E$39:$Y$39</v>
      </c>
      <c r="H3083" s="381">
        <f ca="1">IF(IFERROR(INDEX(DATA_PROPERTY_MASTER!$E$5:$E$21,MATCH($C3083,DATA_PROPERTY_MASTER!$A$5:$A$21,0))="Yes",FALSE),IFERROR(INDEX(INDIRECT("'"&amp;$C3083&amp;"'!$E$39:$Y$39"),1,MATCH($D3083,INDIRECT("'"&amp;$C3083&amp;"'!$E$12:$Y$12"),0)),0),0)</f>
        <v>416301.19306057226</v>
      </c>
      <c r="I3083" s="366" t="s">
        <v>1690</v>
      </c>
      <c r="J3083" s="348" t="str">
        <f t="shared" ca="1" si="96"/>
        <v>OK</v>
      </c>
      <c r="K3083" s="366" t="s">
        <v>1686</v>
      </c>
      <c r="L3083" s="366" t="s">
        <v>2236</v>
      </c>
      <c r="M3083" s="350" t="str">
        <f>IF($B3083="Portfolio","Portfolio",IFERROR(INDEX(DATA_ASSET_CLASSIFICATION!$B$8:$B$24,MATCH($C3083,DATA_ASSET_CLASSIFICATION!$A$8:$A$24,0)),"Review"))</f>
        <v>Murray Manor</v>
      </c>
      <c r="N3083" s="350" t="str">
        <f ca="1">IF($B3083="Portfolio","Portfolio",IFERROR(INDEX(DATA_ASSET_CLASSIFICATION!$U$8:$U$24,MATCH($C3083,DATA_ASSET_CLASSIFICATION!$A$8:$A$24,0)),"Review"))</f>
        <v>Refi Watch</v>
      </c>
      <c r="O3083" s="350" t="str">
        <f ca="1">IF($B3083="Portfolio","Portfolio",IFERROR(INDEX(DATA_ASSET_CLASSIFICATION!$AB$8:$AB$13,MATCH($N3083,DATA_ASSET_CLASSIFICATION!$AA$8:$AA$13,0)),"Review"))</f>
        <v>Bucket 2 · Legacy</v>
      </c>
      <c r="P3083" s="350" t="str">
        <f>IF($B3083="Portfolio","Portfolio",IFERROR(INDEX(DATA_ASSET_CLASSIFICATION!$C$8:$C$24,MATCH($C3083,DATA_ASSET_CLASSIFICATION!$A$8:$A$24,0)),"Review"))</f>
        <v>Yes</v>
      </c>
      <c r="Q3083" s="350" t="str">
        <f t="shared" ca="1" si="97"/>
        <v>OK</v>
      </c>
    </row>
    <row r="3084" spans="1:17">
      <c r="A3084" s="366" t="s">
        <v>5040</v>
      </c>
      <c r="B3084" s="366" t="s">
        <v>231</v>
      </c>
      <c r="C3084" s="348" t="str">
        <f>DATA_PROPERTY_MASTER!$A$14</f>
        <v>BLD_MM</v>
      </c>
      <c r="D3084" s="380">
        <f>'00_PORTFOLIO ROLLUP'!P$12</f>
        <v>2036</v>
      </c>
      <c r="E3084" s="366" t="s">
        <v>1683</v>
      </c>
      <c r="F3084" s="366" t="s">
        <v>19</v>
      </c>
      <c r="G3084" s="348" t="str">
        <f>"'"&amp;$C3084&amp;"'!$E$41:$Y$41"</f>
        <v>'BLD_MM'!$E$41:$Y$41</v>
      </c>
      <c r="H3084" s="381">
        <f ca="1">IF(IFERROR(INDEX(DATA_PROPERTY_MASTER!$E$5:$E$21,MATCH($C3084,DATA_PROPERTY_MASTER!$A$5:$A$21,0))="Yes",FALSE),IFERROR(INDEX(INDIRECT("'"&amp;$C3084&amp;"'!$E$41:$Y$41"),1,MATCH($D3084,INDIRECT("'"&amp;$C3084&amp;"'!$E$12:$Y$12"),0)),0),0)</f>
        <v>554774.78089004557</v>
      </c>
      <c r="I3084" s="366" t="s">
        <v>1685</v>
      </c>
      <c r="J3084" s="348" t="str">
        <f t="shared" ca="1" si="96"/>
        <v>OK</v>
      </c>
      <c r="K3084" s="366" t="s">
        <v>1694</v>
      </c>
      <c r="L3084" s="366" t="s">
        <v>2238</v>
      </c>
      <c r="M3084" s="350" t="str">
        <f>IF($B3084="Portfolio","Portfolio",IFERROR(INDEX(DATA_ASSET_CLASSIFICATION!$B$8:$B$24,MATCH($C3084,DATA_ASSET_CLASSIFICATION!$A$8:$A$24,0)),"Review"))</f>
        <v>Murray Manor</v>
      </c>
      <c r="N3084" s="350" t="str">
        <f ca="1">IF($B3084="Portfolio","Portfolio",IFERROR(INDEX(DATA_ASSET_CLASSIFICATION!$U$8:$U$24,MATCH($C3084,DATA_ASSET_CLASSIFICATION!$A$8:$A$24,0)),"Review"))</f>
        <v>Refi Watch</v>
      </c>
      <c r="O3084" s="350" t="str">
        <f ca="1">IF($B3084="Portfolio","Portfolio",IFERROR(INDEX(DATA_ASSET_CLASSIFICATION!$AB$8:$AB$13,MATCH($N3084,DATA_ASSET_CLASSIFICATION!$AA$8:$AA$13,0)),"Review"))</f>
        <v>Bucket 2 · Legacy</v>
      </c>
      <c r="P3084" s="350" t="str">
        <f>IF($B3084="Portfolio","Portfolio",IFERROR(INDEX(DATA_ASSET_CLASSIFICATION!$C$8:$C$24,MATCH($C3084,DATA_ASSET_CLASSIFICATION!$A$8:$A$24,0)),"Review"))</f>
        <v>Yes</v>
      </c>
      <c r="Q3084" s="350" t="str">
        <f t="shared" ca="1" si="97"/>
        <v>OK</v>
      </c>
    </row>
    <row r="3085" spans="1:17">
      <c r="A3085" s="366" t="s">
        <v>5041</v>
      </c>
      <c r="B3085" s="366" t="s">
        <v>231</v>
      </c>
      <c r="C3085" s="348" t="str">
        <f>DATA_PROPERTY_MASTER!$A$14</f>
        <v>BLD_MM</v>
      </c>
      <c r="D3085" s="380">
        <f>'00_PORTFOLIO ROLLUP'!P$12</f>
        <v>2036</v>
      </c>
      <c r="E3085" s="366" t="s">
        <v>1683</v>
      </c>
      <c r="F3085" s="366" t="s">
        <v>1697</v>
      </c>
      <c r="G3085" s="348" t="str">
        <f>"'"&amp;$C3085&amp;"'!$E$44:$Y$44"</f>
        <v>'BLD_MM'!$E$44:$Y$44</v>
      </c>
      <c r="H3085" s="381">
        <f ca="1">IF(IFERROR(INDEX(DATA_PROPERTY_MASTER!$E$5:$E$21,MATCH($C3085,DATA_PROPERTY_MASTER!$A$5:$A$21,0))="Yes",FALSE),IFERROR(INDEX(INDIRECT("'"&amp;$C3085&amp;"'!$E$44:$Y$44"),1,MATCH($D3085,INDIRECT("'"&amp;$C3085&amp;"'!$E$12:$Y$12"),0)),0),0)</f>
        <v>8765.7888741822971</v>
      </c>
      <c r="I3085" s="366" t="s">
        <v>1690</v>
      </c>
      <c r="J3085" s="348" t="str">
        <f t="shared" ca="1" si="96"/>
        <v>OK</v>
      </c>
      <c r="K3085" s="366" t="s">
        <v>1699</v>
      </c>
      <c r="L3085" s="366" t="s">
        <v>2240</v>
      </c>
      <c r="M3085" s="350" t="str">
        <f>IF($B3085="Portfolio","Portfolio",IFERROR(INDEX(DATA_ASSET_CLASSIFICATION!$B$8:$B$24,MATCH($C3085,DATA_ASSET_CLASSIFICATION!$A$8:$A$24,0)),"Review"))</f>
        <v>Murray Manor</v>
      </c>
      <c r="N3085" s="350" t="str">
        <f ca="1">IF($B3085="Portfolio","Portfolio",IFERROR(INDEX(DATA_ASSET_CLASSIFICATION!$U$8:$U$24,MATCH($C3085,DATA_ASSET_CLASSIFICATION!$A$8:$A$24,0)),"Review"))</f>
        <v>Refi Watch</v>
      </c>
      <c r="O3085" s="350" t="str">
        <f ca="1">IF($B3085="Portfolio","Portfolio",IFERROR(INDEX(DATA_ASSET_CLASSIFICATION!$AB$8:$AB$13,MATCH($N3085,DATA_ASSET_CLASSIFICATION!$AA$8:$AA$13,0)),"Review"))</f>
        <v>Bucket 2 · Legacy</v>
      </c>
      <c r="P3085" s="350" t="str">
        <f>IF($B3085="Portfolio","Portfolio",IFERROR(INDEX(DATA_ASSET_CLASSIFICATION!$C$8:$C$24,MATCH($C3085,DATA_ASSET_CLASSIFICATION!$A$8:$A$24,0)),"Review"))</f>
        <v>Yes</v>
      </c>
      <c r="Q3085" s="350" t="str">
        <f t="shared" ca="1" si="97"/>
        <v>OK</v>
      </c>
    </row>
    <row r="3086" spans="1:17">
      <c r="A3086" s="366" t="s">
        <v>5042</v>
      </c>
      <c r="B3086" s="366" t="s">
        <v>231</v>
      </c>
      <c r="C3086" s="348" t="str">
        <f>DATA_PROPERTY_MASTER!$A$14</f>
        <v>BLD_MM</v>
      </c>
      <c r="D3086" s="380">
        <f>'00_PORTFOLIO ROLLUP'!P$12</f>
        <v>2036</v>
      </c>
      <c r="E3086" s="366" t="s">
        <v>1683</v>
      </c>
      <c r="F3086" s="366" t="s">
        <v>21</v>
      </c>
      <c r="G3086" s="348" t="str">
        <f>"'"&amp;$C3086&amp;"'!$E$45:$Y$45"</f>
        <v>'BLD_MM'!$E$45:$Y$45</v>
      </c>
      <c r="H3086" s="381">
        <f ca="1">IF(IFERROR(INDEX(DATA_PROPERTY_MASTER!$E$5:$E$21,MATCH($C3086,DATA_PROPERTY_MASTER!$A$5:$A$21,0))="Yes",FALSE),IFERROR(INDEX(INDIRECT("'"&amp;$C3086&amp;"'!$E$45:$Y$45"),1,MATCH($D3086,INDIRECT("'"&amp;$C3086&amp;"'!$E$12:$Y$12"),0)),0),0)</f>
        <v>546008.9920158633</v>
      </c>
      <c r="I3086" s="366" t="s">
        <v>1685</v>
      </c>
      <c r="J3086" s="348" t="str">
        <f t="shared" ca="1" si="96"/>
        <v>OK</v>
      </c>
      <c r="K3086" s="366" t="s">
        <v>1694</v>
      </c>
      <c r="L3086" s="366" t="s">
        <v>2242</v>
      </c>
      <c r="M3086" s="350" t="str">
        <f>IF($B3086="Portfolio","Portfolio",IFERROR(INDEX(DATA_ASSET_CLASSIFICATION!$B$8:$B$24,MATCH($C3086,DATA_ASSET_CLASSIFICATION!$A$8:$A$24,0)),"Review"))</f>
        <v>Murray Manor</v>
      </c>
      <c r="N3086" s="350" t="str">
        <f ca="1">IF($B3086="Portfolio","Portfolio",IFERROR(INDEX(DATA_ASSET_CLASSIFICATION!$U$8:$U$24,MATCH($C3086,DATA_ASSET_CLASSIFICATION!$A$8:$A$24,0)),"Review"))</f>
        <v>Refi Watch</v>
      </c>
      <c r="O3086" s="350" t="str">
        <f ca="1">IF($B3086="Portfolio","Portfolio",IFERROR(INDEX(DATA_ASSET_CLASSIFICATION!$AB$8:$AB$13,MATCH($N3086,DATA_ASSET_CLASSIFICATION!$AA$8:$AA$13,0)),"Review"))</f>
        <v>Bucket 2 · Legacy</v>
      </c>
      <c r="P3086" s="350" t="str">
        <f>IF($B3086="Portfolio","Portfolio",IFERROR(INDEX(DATA_ASSET_CLASSIFICATION!$C$8:$C$24,MATCH($C3086,DATA_ASSET_CLASSIFICATION!$A$8:$A$24,0)),"Review"))</f>
        <v>Yes</v>
      </c>
      <c r="Q3086" s="350" t="str">
        <f t="shared" ca="1" si="97"/>
        <v>OK</v>
      </c>
    </row>
    <row r="3087" spans="1:17">
      <c r="A3087" s="366" t="s">
        <v>5043</v>
      </c>
      <c r="B3087" s="366" t="s">
        <v>231</v>
      </c>
      <c r="C3087" s="348" t="str">
        <f>DATA_PROPERTY_MASTER!$A$14</f>
        <v>BLD_MM</v>
      </c>
      <c r="D3087" s="380">
        <f>'00_PORTFOLIO ROLLUP'!P$12</f>
        <v>2036</v>
      </c>
      <c r="E3087" s="366" t="s">
        <v>23</v>
      </c>
      <c r="F3087" s="366" t="s">
        <v>23</v>
      </c>
      <c r="G3087" s="348" t="str">
        <f>"'"&amp;$C3087&amp;"'!$E$48:$Y$48"</f>
        <v>'BLD_MM'!$E$48:$Y$48</v>
      </c>
      <c r="H3087" s="381">
        <f ca="1">IF(IFERROR(INDEX(DATA_PROPERTY_MASTER!$E$5:$E$21,MATCH($C3087,DATA_PROPERTY_MASTER!$A$5:$A$21,0))="Yes",FALSE),IFERROR(INDEX(INDIRECT("'"&amp;$C3087&amp;"'!$E$48:$Y$48"),1,MATCH($D3087,INDIRECT("'"&amp;$C3087&amp;"'!$E$12:$Y$12"),0)),0),0)</f>
        <v>356739.03166510991</v>
      </c>
      <c r="I3087" s="366" t="s">
        <v>1690</v>
      </c>
      <c r="J3087" s="348" t="str">
        <f t="shared" ca="1" si="96"/>
        <v>OK</v>
      </c>
      <c r="K3087" s="366" t="s">
        <v>1706</v>
      </c>
      <c r="L3087" s="366" t="s">
        <v>2244</v>
      </c>
      <c r="M3087" s="350" t="str">
        <f>IF($B3087="Portfolio","Portfolio",IFERROR(INDEX(DATA_ASSET_CLASSIFICATION!$B$8:$B$24,MATCH($C3087,DATA_ASSET_CLASSIFICATION!$A$8:$A$24,0)),"Review"))</f>
        <v>Murray Manor</v>
      </c>
      <c r="N3087" s="350" t="str">
        <f ca="1">IF($B3087="Portfolio","Portfolio",IFERROR(INDEX(DATA_ASSET_CLASSIFICATION!$U$8:$U$24,MATCH($C3087,DATA_ASSET_CLASSIFICATION!$A$8:$A$24,0)),"Review"))</f>
        <v>Refi Watch</v>
      </c>
      <c r="O3087" s="350" t="str">
        <f ca="1">IF($B3087="Portfolio","Portfolio",IFERROR(INDEX(DATA_ASSET_CLASSIFICATION!$AB$8:$AB$13,MATCH($N3087,DATA_ASSET_CLASSIFICATION!$AA$8:$AA$13,0)),"Review"))</f>
        <v>Bucket 2 · Legacy</v>
      </c>
      <c r="P3087" s="350" t="str">
        <f>IF($B3087="Portfolio","Portfolio",IFERROR(INDEX(DATA_ASSET_CLASSIFICATION!$C$8:$C$24,MATCH($C3087,DATA_ASSET_CLASSIFICATION!$A$8:$A$24,0)),"Review"))</f>
        <v>Yes</v>
      </c>
      <c r="Q3087" s="350" t="str">
        <f t="shared" ca="1" si="97"/>
        <v>OK</v>
      </c>
    </row>
    <row r="3088" spans="1:17">
      <c r="A3088" s="366" t="s">
        <v>5044</v>
      </c>
      <c r="B3088" s="366" t="s">
        <v>231</v>
      </c>
      <c r="C3088" s="348" t="str">
        <f>DATA_PROPERTY_MASTER!$A$14</f>
        <v>BLD_MM</v>
      </c>
      <c r="D3088" s="380">
        <f>'00_PORTFOLIO ROLLUP'!P$12</f>
        <v>2036</v>
      </c>
      <c r="E3088" s="366" t="s">
        <v>1683</v>
      </c>
      <c r="F3088" s="366" t="s">
        <v>25</v>
      </c>
      <c r="G3088" s="348" t="str">
        <f>"'"&amp;$C3088&amp;"'!$E$52:$Y$52"</f>
        <v>'BLD_MM'!$E$52:$Y$52</v>
      </c>
      <c r="H3088" s="381">
        <f ca="1">IF(IFERROR(INDEX(DATA_PROPERTY_MASTER!$E$5:$E$21,MATCH($C3088,DATA_PROPERTY_MASTER!$A$5:$A$21,0))="Yes",FALSE),IFERROR(INDEX(INDIRECT("'"&amp;$C3088&amp;"'!$E$52:$Y$52"),1,MATCH($D3088,INDIRECT("'"&amp;$C3088&amp;"'!$E$12:$Y$12"),0)),0),0)</f>
        <v>198035.74922493566</v>
      </c>
      <c r="I3088" s="366" t="s">
        <v>1685</v>
      </c>
      <c r="J3088" s="348" t="str">
        <f t="shared" ca="1" si="96"/>
        <v>OK</v>
      </c>
      <c r="K3088" s="366" t="s">
        <v>1710</v>
      </c>
      <c r="L3088" s="366" t="s">
        <v>2246</v>
      </c>
      <c r="M3088" s="350" t="str">
        <f>IF($B3088="Portfolio","Portfolio",IFERROR(INDEX(DATA_ASSET_CLASSIFICATION!$B$8:$B$24,MATCH($C3088,DATA_ASSET_CLASSIFICATION!$A$8:$A$24,0)),"Review"))</f>
        <v>Murray Manor</v>
      </c>
      <c r="N3088" s="350" t="str">
        <f ca="1">IF($B3088="Portfolio","Portfolio",IFERROR(INDEX(DATA_ASSET_CLASSIFICATION!$U$8:$U$24,MATCH($C3088,DATA_ASSET_CLASSIFICATION!$A$8:$A$24,0)),"Review"))</f>
        <v>Refi Watch</v>
      </c>
      <c r="O3088" s="350" t="str">
        <f ca="1">IF($B3088="Portfolio","Portfolio",IFERROR(INDEX(DATA_ASSET_CLASSIFICATION!$AB$8:$AB$13,MATCH($N3088,DATA_ASSET_CLASSIFICATION!$AA$8:$AA$13,0)),"Review"))</f>
        <v>Bucket 2 · Legacy</v>
      </c>
      <c r="P3088" s="350" t="str">
        <f>IF($B3088="Portfolio","Portfolio",IFERROR(INDEX(DATA_ASSET_CLASSIFICATION!$C$8:$C$24,MATCH($C3088,DATA_ASSET_CLASSIFICATION!$A$8:$A$24,0)),"Review"))</f>
        <v>Yes</v>
      </c>
      <c r="Q3088" s="350" t="str">
        <f t="shared" ca="1" si="97"/>
        <v>OK</v>
      </c>
    </row>
    <row r="3089" spans="1:17">
      <c r="A3089" s="366" t="s">
        <v>5045</v>
      </c>
      <c r="B3089" s="366" t="s">
        <v>231</v>
      </c>
      <c r="C3089" s="348" t="str">
        <f>DATA_PROPERTY_MASTER!$A$14</f>
        <v>BLD_MM</v>
      </c>
      <c r="D3089" s="380">
        <f>'00_PORTFOLIO ROLLUP'!P$12</f>
        <v>2036</v>
      </c>
      <c r="E3089" s="366" t="s">
        <v>1683</v>
      </c>
      <c r="F3089" s="366" t="s">
        <v>27</v>
      </c>
      <c r="G3089" s="348" t="str">
        <f>"'"&amp;$C3089&amp;"'!$E$54:$Y$54"</f>
        <v>'BLD_MM'!$E$54:$Y$54</v>
      </c>
      <c r="H3089" s="381">
        <f ca="1">IF(IFERROR(INDEX(DATA_PROPERTY_MASTER!$E$5:$E$21,MATCH($C3089,DATA_PROPERTY_MASTER!$A$5:$A$21,0))="Yes",FALSE),IFERROR(INDEX(INDIRECT("'"&amp;$C3089&amp;"'!$E$54:$Y$54"),1,MATCH($D3089,INDIRECT("'"&amp;$C3089&amp;"'!$E$12:$Y$12"),0)),0),0)</f>
        <v>118821.44953496139</v>
      </c>
      <c r="I3089" s="366" t="s">
        <v>1690</v>
      </c>
      <c r="J3089" s="348" t="str">
        <f t="shared" ca="1" si="96"/>
        <v>OK</v>
      </c>
      <c r="K3089" s="366" t="s">
        <v>1714</v>
      </c>
      <c r="L3089" s="366" t="s">
        <v>2248</v>
      </c>
      <c r="M3089" s="350" t="str">
        <f>IF($B3089="Portfolio","Portfolio",IFERROR(INDEX(DATA_ASSET_CLASSIFICATION!$B$8:$B$24,MATCH($C3089,DATA_ASSET_CLASSIFICATION!$A$8:$A$24,0)),"Review"))</f>
        <v>Murray Manor</v>
      </c>
      <c r="N3089" s="350" t="str">
        <f ca="1">IF($B3089="Portfolio","Portfolio",IFERROR(INDEX(DATA_ASSET_CLASSIFICATION!$U$8:$U$24,MATCH($C3089,DATA_ASSET_CLASSIFICATION!$A$8:$A$24,0)),"Review"))</f>
        <v>Refi Watch</v>
      </c>
      <c r="O3089" s="350" t="str">
        <f ca="1">IF($B3089="Portfolio","Portfolio",IFERROR(INDEX(DATA_ASSET_CLASSIFICATION!$AB$8:$AB$13,MATCH($N3089,DATA_ASSET_CLASSIFICATION!$AA$8:$AA$13,0)),"Review"))</f>
        <v>Bucket 2 · Legacy</v>
      </c>
      <c r="P3089" s="350" t="str">
        <f>IF($B3089="Portfolio","Portfolio",IFERROR(INDEX(DATA_ASSET_CLASSIFICATION!$C$8:$C$24,MATCH($C3089,DATA_ASSET_CLASSIFICATION!$A$8:$A$24,0)),"Review"))</f>
        <v>Yes</v>
      </c>
      <c r="Q3089" s="350" t="str">
        <f t="shared" ca="1" si="97"/>
        <v>OK</v>
      </c>
    </row>
    <row r="3090" spans="1:17">
      <c r="A3090" s="366" t="s">
        <v>5046</v>
      </c>
      <c r="B3090" s="366" t="s">
        <v>231</v>
      </c>
      <c r="C3090" s="348" t="str">
        <f>DATA_PROPERTY_MASTER!$A$14</f>
        <v>BLD_MM</v>
      </c>
      <c r="D3090" s="380">
        <f>'00_PORTFOLIO ROLLUP'!P$12</f>
        <v>2036</v>
      </c>
      <c r="E3090" s="366" t="s">
        <v>1683</v>
      </c>
      <c r="F3090" s="366" t="s">
        <v>29</v>
      </c>
      <c r="G3090" s="348" t="str">
        <f>"'"&amp;$C3090&amp;"'!$E$56:$Y$56"</f>
        <v>'BLD_MM'!$E$56:$Y$56</v>
      </c>
      <c r="H3090" s="381">
        <f ca="1">IF(IFERROR(INDEX(DATA_PROPERTY_MASTER!$E$5:$E$21,MATCH($C3090,DATA_PROPERTY_MASTER!$A$5:$A$21,0))="Yes",FALSE),IFERROR(INDEX(INDIRECT("'"&amp;$C3090&amp;"'!$E$56:$Y$56"),1,MATCH($D3090,INDIRECT("'"&amp;$C3090&amp;"'!$E$12:$Y$12"),0)),0),0)</f>
        <v>79214.299689974272</v>
      </c>
      <c r="I3090" s="366" t="s">
        <v>1685</v>
      </c>
      <c r="J3090" s="348" t="str">
        <f t="shared" ca="1" si="96"/>
        <v>OK</v>
      </c>
      <c r="K3090" s="366" t="s">
        <v>1718</v>
      </c>
      <c r="L3090" s="366" t="s">
        <v>2250</v>
      </c>
      <c r="M3090" s="350" t="str">
        <f>IF($B3090="Portfolio","Portfolio",IFERROR(INDEX(DATA_ASSET_CLASSIFICATION!$B$8:$B$24,MATCH($C3090,DATA_ASSET_CLASSIFICATION!$A$8:$A$24,0)),"Review"))</f>
        <v>Murray Manor</v>
      </c>
      <c r="N3090" s="350" t="str">
        <f ca="1">IF($B3090="Portfolio","Portfolio",IFERROR(INDEX(DATA_ASSET_CLASSIFICATION!$U$8:$U$24,MATCH($C3090,DATA_ASSET_CLASSIFICATION!$A$8:$A$24,0)),"Review"))</f>
        <v>Refi Watch</v>
      </c>
      <c r="O3090" s="350" t="str">
        <f ca="1">IF($B3090="Portfolio","Portfolio",IFERROR(INDEX(DATA_ASSET_CLASSIFICATION!$AB$8:$AB$13,MATCH($N3090,DATA_ASSET_CLASSIFICATION!$AA$8:$AA$13,0)),"Review"))</f>
        <v>Bucket 2 · Legacy</v>
      </c>
      <c r="P3090" s="350" t="str">
        <f>IF($B3090="Portfolio","Portfolio",IFERROR(INDEX(DATA_ASSET_CLASSIFICATION!$C$8:$C$24,MATCH($C3090,DATA_ASSET_CLASSIFICATION!$A$8:$A$24,0)),"Review"))</f>
        <v>Yes</v>
      </c>
      <c r="Q3090" s="350" t="str">
        <f t="shared" ca="1" si="97"/>
        <v>OK</v>
      </c>
    </row>
    <row r="3091" spans="1:17">
      <c r="A3091" s="366" t="s">
        <v>5047</v>
      </c>
      <c r="B3091" s="366" t="s">
        <v>231</v>
      </c>
      <c r="C3091" s="348" t="str">
        <f>DATA_PROPERTY_MASTER!$A$14</f>
        <v>BLD_MM</v>
      </c>
      <c r="D3091" s="380">
        <f>'00_PORTFOLIO ROLLUP'!P$12</f>
        <v>2036</v>
      </c>
      <c r="E3091" s="366" t="s">
        <v>1721</v>
      </c>
      <c r="F3091" s="366" t="s">
        <v>31</v>
      </c>
      <c r="G3091" s="348" t="str">
        <f>"'"&amp;$C3091&amp;"'!$E$61:$Y$61"</f>
        <v>'BLD_MM'!$E$61:$Y$61</v>
      </c>
      <c r="H3091" s="381">
        <f ca="1">IF(IFERROR(INDEX(DATA_PROPERTY_MASTER!$E$5:$E$21,MATCH($C3091,DATA_PROPERTY_MASTER!$A$5:$A$21,0))="Yes",FALSE),IFERROR(INDEX(INDIRECT("'"&amp;$C3091&amp;"'!$E$61:$Y$61"),1,MATCH($D3091,INDIRECT("'"&amp;$C3091&amp;"'!$E$12:$Y$12"),0)),0),0)</f>
        <v>0</v>
      </c>
      <c r="I3091" s="366" t="s">
        <v>1690</v>
      </c>
      <c r="J3091" s="348" t="str">
        <f t="shared" ca="1" si="96"/>
        <v>OK</v>
      </c>
      <c r="K3091" s="366" t="s">
        <v>1723</v>
      </c>
      <c r="L3091" s="366" t="s">
        <v>2252</v>
      </c>
      <c r="M3091" s="350" t="str">
        <f>IF($B3091="Portfolio","Portfolio",IFERROR(INDEX(DATA_ASSET_CLASSIFICATION!$B$8:$B$24,MATCH($C3091,DATA_ASSET_CLASSIFICATION!$A$8:$A$24,0)),"Review"))</f>
        <v>Murray Manor</v>
      </c>
      <c r="N3091" s="350" t="str">
        <f ca="1">IF($B3091="Portfolio","Portfolio",IFERROR(INDEX(DATA_ASSET_CLASSIFICATION!$U$8:$U$24,MATCH($C3091,DATA_ASSET_CLASSIFICATION!$A$8:$A$24,0)),"Review"))</f>
        <v>Refi Watch</v>
      </c>
      <c r="O3091" s="350" t="str">
        <f ca="1">IF($B3091="Portfolio","Portfolio",IFERROR(INDEX(DATA_ASSET_CLASSIFICATION!$AB$8:$AB$13,MATCH($N3091,DATA_ASSET_CLASSIFICATION!$AA$8:$AA$13,0)),"Review"))</f>
        <v>Bucket 2 · Legacy</v>
      </c>
      <c r="P3091" s="350" t="str">
        <f>IF($B3091="Portfolio","Portfolio",IFERROR(INDEX(DATA_ASSET_CLASSIFICATION!$C$8:$C$24,MATCH($C3091,DATA_ASSET_CLASSIFICATION!$A$8:$A$24,0)),"Review"))</f>
        <v>Yes</v>
      </c>
      <c r="Q3091" s="350" t="str">
        <f t="shared" ca="1" si="97"/>
        <v>OK</v>
      </c>
    </row>
    <row r="3092" spans="1:17">
      <c r="A3092" s="366" t="s">
        <v>5048</v>
      </c>
      <c r="B3092" s="366" t="s">
        <v>231</v>
      </c>
      <c r="C3092" s="348" t="str">
        <f>DATA_PROPERTY_MASTER!$A$14</f>
        <v>BLD_MM</v>
      </c>
      <c r="D3092" s="380">
        <f>'00_PORTFOLIO ROLLUP'!P$12</f>
        <v>2036</v>
      </c>
      <c r="E3092" s="366" t="s">
        <v>1721</v>
      </c>
      <c r="F3092" s="366" t="s">
        <v>33</v>
      </c>
      <c r="G3092" s="348" t="str">
        <f>"'"&amp;$C3092&amp;"'!$E$62:$Y$62"</f>
        <v>'BLD_MM'!$E$62:$Y$62</v>
      </c>
      <c r="H3092" s="381">
        <f ca="1">IF(IFERROR(INDEX(DATA_PROPERTY_MASTER!$E$5:$E$21,MATCH($C3092,DATA_PROPERTY_MASTER!$A$5:$A$21,0))="Yes",FALSE),IFERROR(INDEX(INDIRECT("'"&amp;$C3092&amp;"'!$E$62:$Y$62"),1,MATCH($D3092,INDIRECT("'"&amp;$C3092&amp;"'!$E$12:$Y$12"),0)),0),0)</f>
        <v>0</v>
      </c>
      <c r="I3092" s="366" t="s">
        <v>1685</v>
      </c>
      <c r="J3092" s="348" t="str">
        <f t="shared" ca="1" si="96"/>
        <v>OK</v>
      </c>
      <c r="K3092" s="366" t="s">
        <v>1727</v>
      </c>
      <c r="L3092" s="366" t="s">
        <v>2254</v>
      </c>
      <c r="M3092" s="350" t="str">
        <f>IF($B3092="Portfolio","Portfolio",IFERROR(INDEX(DATA_ASSET_CLASSIFICATION!$B$8:$B$24,MATCH($C3092,DATA_ASSET_CLASSIFICATION!$A$8:$A$24,0)),"Review"))</f>
        <v>Murray Manor</v>
      </c>
      <c r="N3092" s="350" t="str">
        <f ca="1">IF($B3092="Portfolio","Portfolio",IFERROR(INDEX(DATA_ASSET_CLASSIFICATION!$U$8:$U$24,MATCH($C3092,DATA_ASSET_CLASSIFICATION!$A$8:$A$24,0)),"Review"))</f>
        <v>Refi Watch</v>
      </c>
      <c r="O3092" s="350" t="str">
        <f ca="1">IF($B3092="Portfolio","Portfolio",IFERROR(INDEX(DATA_ASSET_CLASSIFICATION!$AB$8:$AB$13,MATCH($N3092,DATA_ASSET_CLASSIFICATION!$AA$8:$AA$13,0)),"Review"))</f>
        <v>Bucket 2 · Legacy</v>
      </c>
      <c r="P3092" s="350" t="str">
        <f>IF($B3092="Portfolio","Portfolio",IFERROR(INDEX(DATA_ASSET_CLASSIFICATION!$C$8:$C$24,MATCH($C3092,DATA_ASSET_CLASSIFICATION!$A$8:$A$24,0)),"Review"))</f>
        <v>Yes</v>
      </c>
      <c r="Q3092" s="350" t="str">
        <f t="shared" ca="1" si="97"/>
        <v>OK</v>
      </c>
    </row>
    <row r="3093" spans="1:17">
      <c r="A3093" s="366" t="s">
        <v>5049</v>
      </c>
      <c r="B3093" s="366" t="s">
        <v>231</v>
      </c>
      <c r="C3093" s="348" t="str">
        <f>DATA_PROPERTY_MASTER!$A$14</f>
        <v>BLD_MM</v>
      </c>
      <c r="D3093" s="380">
        <f>'00_PORTFOLIO ROLLUP'!P$12</f>
        <v>2036</v>
      </c>
      <c r="E3093" s="366" t="s">
        <v>1721</v>
      </c>
      <c r="F3093" s="366" t="s">
        <v>35</v>
      </c>
      <c r="G3093" s="348" t="str">
        <f>"'"&amp;$C3093&amp;"'!$E$63:$Y$63"</f>
        <v>'BLD_MM'!$E$63:$Y$63</v>
      </c>
      <c r="H3093" s="381">
        <f ca="1">IF(IFERROR(INDEX(DATA_PROPERTY_MASTER!$E$5:$E$21,MATCH($C3093,DATA_PROPERTY_MASTER!$A$5:$A$21,0))="Yes",FALSE),IFERROR(INDEX(INDIRECT("'"&amp;$C3093&amp;"'!$E$63:$Y$63"),1,MATCH($D3093,INDIRECT("'"&amp;$C3093&amp;"'!$E$12:$Y$12"),0)),0),0)</f>
        <v>0</v>
      </c>
      <c r="I3093" s="366" t="s">
        <v>1731</v>
      </c>
      <c r="J3093" s="348" t="str">
        <f t="shared" ca="1" si="96"/>
        <v>OK</v>
      </c>
      <c r="K3093" s="366" t="s">
        <v>1732</v>
      </c>
      <c r="L3093" s="366" t="s">
        <v>2256</v>
      </c>
      <c r="M3093" s="350" t="str">
        <f>IF($B3093="Portfolio","Portfolio",IFERROR(INDEX(DATA_ASSET_CLASSIFICATION!$B$8:$B$24,MATCH($C3093,DATA_ASSET_CLASSIFICATION!$A$8:$A$24,0)),"Review"))</f>
        <v>Murray Manor</v>
      </c>
      <c r="N3093" s="350" t="str">
        <f ca="1">IF($B3093="Portfolio","Portfolio",IFERROR(INDEX(DATA_ASSET_CLASSIFICATION!$U$8:$U$24,MATCH($C3093,DATA_ASSET_CLASSIFICATION!$A$8:$A$24,0)),"Review"))</f>
        <v>Refi Watch</v>
      </c>
      <c r="O3093" s="350" t="str">
        <f ca="1">IF($B3093="Portfolio","Portfolio",IFERROR(INDEX(DATA_ASSET_CLASSIFICATION!$AB$8:$AB$13,MATCH($N3093,DATA_ASSET_CLASSIFICATION!$AA$8:$AA$13,0)),"Review"))</f>
        <v>Bucket 2 · Legacy</v>
      </c>
      <c r="P3093" s="350" t="str">
        <f>IF($B3093="Portfolio","Portfolio",IFERROR(INDEX(DATA_ASSET_CLASSIFICATION!$C$8:$C$24,MATCH($C3093,DATA_ASSET_CLASSIFICATION!$A$8:$A$24,0)),"Review"))</f>
        <v>Yes</v>
      </c>
      <c r="Q3093" s="350" t="str">
        <f t="shared" ca="1" si="97"/>
        <v>OK</v>
      </c>
    </row>
    <row r="3094" spans="1:17">
      <c r="A3094" s="366" t="s">
        <v>5050</v>
      </c>
      <c r="B3094" s="366" t="s">
        <v>231</v>
      </c>
      <c r="C3094" s="348" t="str">
        <f>DATA_PROPERTY_MASTER!$A$14</f>
        <v>BLD_MM</v>
      </c>
      <c r="D3094" s="380">
        <f>'00_PORTFOLIO ROLLUP'!P$12</f>
        <v>2036</v>
      </c>
      <c r="E3094" s="366" t="s">
        <v>1721</v>
      </c>
      <c r="F3094" s="366" t="s">
        <v>37</v>
      </c>
      <c r="G3094" s="348" t="str">
        <f>"'"&amp;$C3094&amp;"'!$E$63:$Y$63"</f>
        <v>'BLD_MM'!$E$63:$Y$63</v>
      </c>
      <c r="H3094" s="381">
        <f ca="1">IF(IFERROR(INDEX(DATA_PROPERTY_MASTER!$E$5:$E$21,MATCH($C3094,DATA_PROPERTY_MASTER!$A$5:$A$21,0))="Yes",FALSE),MAX(IFERROR(INDEX(INDIRECT("'"&amp;$C3094&amp;"'!$E$63:$Y$63"),1,MATCH($D3094,INDIRECT("'"&amp;$C3094&amp;"'!$E$12:$Y$12"),0)),0),0),0)</f>
        <v>0</v>
      </c>
      <c r="I3094" s="366" t="s">
        <v>1685</v>
      </c>
      <c r="J3094" s="348" t="str">
        <f t="shared" ca="1" si="96"/>
        <v>OK</v>
      </c>
      <c r="K3094" s="366" t="s">
        <v>1735</v>
      </c>
      <c r="L3094" s="366" t="s">
        <v>2258</v>
      </c>
      <c r="M3094" s="350" t="str">
        <f>IF($B3094="Portfolio","Portfolio",IFERROR(INDEX(DATA_ASSET_CLASSIFICATION!$B$8:$B$24,MATCH($C3094,DATA_ASSET_CLASSIFICATION!$A$8:$A$24,0)),"Review"))</f>
        <v>Murray Manor</v>
      </c>
      <c r="N3094" s="350" t="str">
        <f ca="1">IF($B3094="Portfolio","Portfolio",IFERROR(INDEX(DATA_ASSET_CLASSIFICATION!$U$8:$U$24,MATCH($C3094,DATA_ASSET_CLASSIFICATION!$A$8:$A$24,0)),"Review"))</f>
        <v>Refi Watch</v>
      </c>
      <c r="O3094" s="350" t="str">
        <f ca="1">IF($B3094="Portfolio","Portfolio",IFERROR(INDEX(DATA_ASSET_CLASSIFICATION!$AB$8:$AB$13,MATCH($N3094,DATA_ASSET_CLASSIFICATION!$AA$8:$AA$13,0)),"Review"))</f>
        <v>Bucket 2 · Legacy</v>
      </c>
      <c r="P3094" s="350" t="str">
        <f>IF($B3094="Portfolio","Portfolio",IFERROR(INDEX(DATA_ASSET_CLASSIFICATION!$C$8:$C$24,MATCH($C3094,DATA_ASSET_CLASSIFICATION!$A$8:$A$24,0)),"Review"))</f>
        <v>Yes</v>
      </c>
      <c r="Q3094" s="350" t="str">
        <f t="shared" ca="1" si="97"/>
        <v>OK</v>
      </c>
    </row>
    <row r="3095" spans="1:17">
      <c r="A3095" s="366" t="s">
        <v>5051</v>
      </c>
      <c r="B3095" s="366" t="s">
        <v>231</v>
      </c>
      <c r="C3095" s="348" t="str">
        <f>DATA_PROPERTY_MASTER!$A$14</f>
        <v>BLD_MM</v>
      </c>
      <c r="D3095" s="380">
        <f>'00_PORTFOLIO ROLLUP'!P$12</f>
        <v>2036</v>
      </c>
      <c r="E3095" s="366" t="s">
        <v>1721</v>
      </c>
      <c r="F3095" s="366" t="s">
        <v>39</v>
      </c>
      <c r="G3095" s="348" t="str">
        <f>"'"&amp;$C3095&amp;"'!$E$63:$Y$63"</f>
        <v>'BLD_MM'!$E$63:$Y$63</v>
      </c>
      <c r="H3095" s="381">
        <f ca="1">IF(IFERROR(INDEX(DATA_PROPERTY_MASTER!$E$5:$E$21,MATCH($C3095,DATA_PROPERTY_MASTER!$A$5:$A$21,0))="Yes",FALSE),MAX(-IFERROR(INDEX(INDIRECT("'"&amp;$C3095&amp;"'!$E$63:$Y$63"),1,MATCH($D3095,INDIRECT("'"&amp;$C3095&amp;"'!$E$12:$Y$12"),0)),0),0),0)</f>
        <v>0</v>
      </c>
      <c r="I3095" s="366" t="s">
        <v>1690</v>
      </c>
      <c r="J3095" s="348" t="str">
        <f t="shared" ca="1" si="96"/>
        <v>OK</v>
      </c>
      <c r="K3095" s="366" t="s">
        <v>1738</v>
      </c>
      <c r="L3095" s="366" t="s">
        <v>2260</v>
      </c>
      <c r="M3095" s="350" t="str">
        <f>IF($B3095="Portfolio","Portfolio",IFERROR(INDEX(DATA_ASSET_CLASSIFICATION!$B$8:$B$24,MATCH($C3095,DATA_ASSET_CLASSIFICATION!$A$8:$A$24,0)),"Review"))</f>
        <v>Murray Manor</v>
      </c>
      <c r="N3095" s="350" t="str">
        <f ca="1">IF($B3095="Portfolio","Portfolio",IFERROR(INDEX(DATA_ASSET_CLASSIFICATION!$U$8:$U$24,MATCH($C3095,DATA_ASSET_CLASSIFICATION!$A$8:$A$24,0)),"Review"))</f>
        <v>Refi Watch</v>
      </c>
      <c r="O3095" s="350" t="str">
        <f ca="1">IF($B3095="Portfolio","Portfolio",IFERROR(INDEX(DATA_ASSET_CLASSIFICATION!$AB$8:$AB$13,MATCH($N3095,DATA_ASSET_CLASSIFICATION!$AA$8:$AA$13,0)),"Review"))</f>
        <v>Bucket 2 · Legacy</v>
      </c>
      <c r="P3095" s="350" t="str">
        <f>IF($B3095="Portfolio","Portfolio",IFERROR(INDEX(DATA_ASSET_CLASSIFICATION!$C$8:$C$24,MATCH($C3095,DATA_ASSET_CLASSIFICATION!$A$8:$A$24,0)),"Review"))</f>
        <v>Yes</v>
      </c>
      <c r="Q3095" s="350" t="str">
        <f t="shared" ca="1" si="97"/>
        <v>OK</v>
      </c>
    </row>
    <row r="3096" spans="1:17">
      <c r="A3096" s="366" t="s">
        <v>5052</v>
      </c>
      <c r="B3096" s="366" t="s">
        <v>231</v>
      </c>
      <c r="C3096" s="348" t="str">
        <f>DATA_PROPERTY_MASTER!$A$14</f>
        <v>BLD_MM</v>
      </c>
      <c r="D3096" s="380">
        <f>'00_PORTFOLIO ROLLUP'!P$12</f>
        <v>2036</v>
      </c>
      <c r="E3096" s="366" t="s">
        <v>1741</v>
      </c>
      <c r="F3096" s="366" t="s">
        <v>41</v>
      </c>
      <c r="G3096" s="348" t="str">
        <f>"'"&amp;$C3096&amp;"'!rows 56 + positive row 63"</f>
        <v>'BLD_MM'!rows 56 + positive row 63</v>
      </c>
      <c r="H3096" s="381">
        <f ca="1">IF(IFERROR(INDEX(DATA_PROPERTY_MASTER!$E$5:$E$21,MATCH($C3096,DATA_PROPERTY_MASTER!$A$5:$A$21,0))="Yes",FALSE),IFERROR(INDEX(INDIRECT("'"&amp;$C3096&amp;"'!$E$56:$Y$56"),1,MATCH($D3096,INDIRECT("'"&amp;$C3096&amp;"'!$E$12:$Y$12"),0)),0)+MAX(IFERROR(INDEX(INDIRECT("'"&amp;$C3096&amp;"'!$E$63:$Y$63"),1,MATCH($D3096,INDIRECT("'"&amp;$C3096&amp;"'!$E$12:$Y$12"),0)),0),0),0)</f>
        <v>79214.299689974272</v>
      </c>
      <c r="I3096" s="366" t="s">
        <v>1685</v>
      </c>
      <c r="J3096" s="348" t="str">
        <f t="shared" ca="1" si="96"/>
        <v>OK</v>
      </c>
      <c r="K3096" s="366" t="s">
        <v>1742</v>
      </c>
      <c r="L3096" s="366" t="s">
        <v>2262</v>
      </c>
      <c r="M3096" s="350" t="str">
        <f>IF($B3096="Portfolio","Portfolio",IFERROR(INDEX(DATA_ASSET_CLASSIFICATION!$B$8:$B$24,MATCH($C3096,DATA_ASSET_CLASSIFICATION!$A$8:$A$24,0)),"Review"))</f>
        <v>Murray Manor</v>
      </c>
      <c r="N3096" s="350" t="str">
        <f ca="1">IF($B3096="Portfolio","Portfolio",IFERROR(INDEX(DATA_ASSET_CLASSIFICATION!$U$8:$U$24,MATCH($C3096,DATA_ASSET_CLASSIFICATION!$A$8:$A$24,0)),"Review"))</f>
        <v>Refi Watch</v>
      </c>
      <c r="O3096" s="350" t="str">
        <f ca="1">IF($B3096="Portfolio","Portfolio",IFERROR(INDEX(DATA_ASSET_CLASSIFICATION!$AB$8:$AB$13,MATCH($N3096,DATA_ASSET_CLASSIFICATION!$AA$8:$AA$13,0)),"Review"))</f>
        <v>Bucket 2 · Legacy</v>
      </c>
      <c r="P3096" s="350" t="str">
        <f>IF($B3096="Portfolio","Portfolio",IFERROR(INDEX(DATA_ASSET_CLASSIFICATION!$C$8:$C$24,MATCH($C3096,DATA_ASSET_CLASSIFICATION!$A$8:$A$24,0)),"Review"))</f>
        <v>Yes</v>
      </c>
      <c r="Q3096" s="350" t="str">
        <f t="shared" ca="1" si="97"/>
        <v>OK</v>
      </c>
    </row>
    <row r="3097" spans="1:17">
      <c r="A3097" s="366" t="s">
        <v>5053</v>
      </c>
      <c r="B3097" s="366" t="s">
        <v>231</v>
      </c>
      <c r="C3097" s="348" t="str">
        <f>DATA_PROPERTY_MASTER!$A$14</f>
        <v>BLD_MM</v>
      </c>
      <c r="D3097" s="380">
        <f>'00_PORTFOLIO ROLLUP'!P$12</f>
        <v>2036</v>
      </c>
      <c r="E3097" s="366" t="s">
        <v>1741</v>
      </c>
      <c r="F3097" s="366" t="s">
        <v>43</v>
      </c>
      <c r="G3097" s="348" t="str">
        <f>"'"&amp;$C3097&amp;"'!$E$68:$Y$68"</f>
        <v>'BLD_MM'!$E$68:$Y$68</v>
      </c>
      <c r="H3097" s="381">
        <f ca="1">IF(IFERROR(INDEX(DATA_PROPERTY_MASTER!$E$5:$E$21,MATCH($C3097,DATA_PROPERTY_MASTER!$A$5:$A$21,0))="Yes",FALSE),IFERROR(INDEX(INDIRECT("'"&amp;$C3097&amp;"'!$E$68:$Y$68"),1,MATCH($D3097,INDIRECT("'"&amp;$C3097&amp;"'!$E$12:$Y$12"),0)),0),0)</f>
        <v>79214.299689974272</v>
      </c>
      <c r="I3097" s="366" t="s">
        <v>1731</v>
      </c>
      <c r="J3097" s="348" t="str">
        <f t="shared" ca="1" si="96"/>
        <v>OK</v>
      </c>
      <c r="K3097" s="366" t="s">
        <v>1746</v>
      </c>
      <c r="L3097" s="366" t="s">
        <v>2264</v>
      </c>
      <c r="M3097" s="350" t="str">
        <f>IF($B3097="Portfolio","Portfolio",IFERROR(INDEX(DATA_ASSET_CLASSIFICATION!$B$8:$B$24,MATCH($C3097,DATA_ASSET_CLASSIFICATION!$A$8:$A$24,0)),"Review"))</f>
        <v>Murray Manor</v>
      </c>
      <c r="N3097" s="350" t="str">
        <f ca="1">IF($B3097="Portfolio","Portfolio",IFERROR(INDEX(DATA_ASSET_CLASSIFICATION!$U$8:$U$24,MATCH($C3097,DATA_ASSET_CLASSIFICATION!$A$8:$A$24,0)),"Review"))</f>
        <v>Refi Watch</v>
      </c>
      <c r="O3097" s="350" t="str">
        <f ca="1">IF($B3097="Portfolio","Portfolio",IFERROR(INDEX(DATA_ASSET_CLASSIFICATION!$AB$8:$AB$13,MATCH($N3097,DATA_ASSET_CLASSIFICATION!$AA$8:$AA$13,0)),"Review"))</f>
        <v>Bucket 2 · Legacy</v>
      </c>
      <c r="P3097" s="350" t="str">
        <f>IF($B3097="Portfolio","Portfolio",IFERROR(INDEX(DATA_ASSET_CLASSIFICATION!$C$8:$C$24,MATCH($C3097,DATA_ASSET_CLASSIFICATION!$A$8:$A$24,0)),"Review"))</f>
        <v>Yes</v>
      </c>
      <c r="Q3097" s="350" t="str">
        <f t="shared" ca="1" si="97"/>
        <v>OK</v>
      </c>
    </row>
    <row r="3098" spans="1:17">
      <c r="A3098" s="366" t="s">
        <v>5054</v>
      </c>
      <c r="B3098" s="366" t="s">
        <v>231</v>
      </c>
      <c r="C3098" s="348" t="str">
        <f>DATA_PROPERTY_MASTER!$A$14</f>
        <v>BLD_MM</v>
      </c>
      <c r="D3098" s="380">
        <f>'00_PORTFOLIO ROLLUP'!P$12</f>
        <v>2036</v>
      </c>
      <c r="E3098" s="366" t="s">
        <v>1741</v>
      </c>
      <c r="F3098" s="366" t="s">
        <v>1749</v>
      </c>
      <c r="G3098" s="348" t="str">
        <f>"'"&amp;$C3098&amp;"'!rows 56, 63, 68"</f>
        <v>'BLD_MM'!rows 56, 63, 68</v>
      </c>
      <c r="H3098" s="381">
        <f ca="1">IF(IFERROR(INDEX(DATA_PROPERTY_MASTER!$E$5:$E$21,MATCH($C3098,DATA_PROPERTY_MASTER!$A$5:$A$21,0))="Yes",FALSE),(IFERROR(INDEX(INDIRECT("'"&amp;$C3098&amp;"'!$E$56:$Y$56"),1,MATCH($D3098,INDIRECT("'"&amp;$C3098&amp;"'!$E$12:$Y$12"),0)),0)+MAX(IFERROR(INDEX(INDIRECT("'"&amp;$C3098&amp;"'!$E$63:$Y$63"),1,MATCH($D3098,INDIRECT("'"&amp;$C3098&amp;"'!$E$12:$Y$12"),0)),0),0))-(IFERROR(INDEX(INDIRECT("'"&amp;$C3098&amp;"'!$E$68:$Y$68"),1,MATCH($D3098,INDIRECT("'"&amp;$C3098&amp;"'!$E$12:$Y$12"),0)),0)),0)</f>
        <v>0</v>
      </c>
      <c r="I3098" s="366" t="s">
        <v>1750</v>
      </c>
      <c r="J3098" s="348" t="str">
        <f t="shared" ca="1" si="96"/>
        <v>OK</v>
      </c>
      <c r="K3098" s="366" t="s">
        <v>1751</v>
      </c>
      <c r="L3098" s="366" t="s">
        <v>2266</v>
      </c>
      <c r="M3098" s="350" t="str">
        <f>IF($B3098="Portfolio","Portfolio",IFERROR(INDEX(DATA_ASSET_CLASSIFICATION!$B$8:$B$24,MATCH($C3098,DATA_ASSET_CLASSIFICATION!$A$8:$A$24,0)),"Review"))</f>
        <v>Murray Manor</v>
      </c>
      <c r="N3098" s="350" t="str">
        <f ca="1">IF($B3098="Portfolio","Portfolio",IFERROR(INDEX(DATA_ASSET_CLASSIFICATION!$U$8:$U$24,MATCH($C3098,DATA_ASSET_CLASSIFICATION!$A$8:$A$24,0)),"Review"))</f>
        <v>Refi Watch</v>
      </c>
      <c r="O3098" s="350" t="str">
        <f ca="1">IF($B3098="Portfolio","Portfolio",IFERROR(INDEX(DATA_ASSET_CLASSIFICATION!$AB$8:$AB$13,MATCH($N3098,DATA_ASSET_CLASSIFICATION!$AA$8:$AA$13,0)),"Review"))</f>
        <v>Bucket 2 · Legacy</v>
      </c>
      <c r="P3098" s="350" t="str">
        <f>IF($B3098="Portfolio","Portfolio",IFERROR(INDEX(DATA_ASSET_CLASSIFICATION!$C$8:$C$24,MATCH($C3098,DATA_ASSET_CLASSIFICATION!$A$8:$A$24,0)),"Review"))</f>
        <v>Yes</v>
      </c>
      <c r="Q3098" s="350" t="str">
        <f t="shared" ca="1" si="97"/>
        <v>OK</v>
      </c>
    </row>
    <row r="3099" spans="1:17">
      <c r="A3099" s="366" t="s">
        <v>5055</v>
      </c>
      <c r="B3099" s="366" t="s">
        <v>231</v>
      </c>
      <c r="C3099" s="348" t="str">
        <f>DATA_PROPERTY_MASTER!$A$14</f>
        <v>BLD_MM</v>
      </c>
      <c r="D3099" s="380">
        <f>'00_PORTFOLIO ROLLUP'!Q$12</f>
        <v>2037</v>
      </c>
      <c r="E3099" s="366" t="s">
        <v>1683</v>
      </c>
      <c r="F3099" s="366" t="s">
        <v>341</v>
      </c>
      <c r="G3099" s="348" t="str">
        <f>"'"&amp;$C3099&amp;"'!$E$24:$Y$24"</f>
        <v>'BLD_MM'!$E$24:$Y$24</v>
      </c>
      <c r="H3099" s="381">
        <f ca="1">IF(IFERROR(INDEX(DATA_PROPERTY_MASTER!$E$5:$E$21,MATCH($C3099,DATA_PROPERTY_MASTER!$A$5:$A$21,0))="Yes",FALSE),IFERROR(INDEX(INDIRECT("'"&amp;$C3099&amp;"'!$E$24:$Y$24"),1,MATCH($D3099,INDIRECT("'"&amp;$C3099&amp;"'!$E$12:$Y$12"),0)),0),0)</f>
        <v>990497.4934296303</v>
      </c>
      <c r="I3099" s="366" t="s">
        <v>1685</v>
      </c>
      <c r="J3099" s="348" t="str">
        <f t="shared" ca="1" si="96"/>
        <v>OK</v>
      </c>
      <c r="K3099" s="366" t="s">
        <v>1686</v>
      </c>
      <c r="L3099" s="366" t="s">
        <v>2234</v>
      </c>
      <c r="M3099" s="350" t="str">
        <f>IF($B3099="Portfolio","Portfolio",IFERROR(INDEX(DATA_ASSET_CLASSIFICATION!$B$8:$B$24,MATCH($C3099,DATA_ASSET_CLASSIFICATION!$A$8:$A$24,0)),"Review"))</f>
        <v>Murray Manor</v>
      </c>
      <c r="N3099" s="350" t="str">
        <f ca="1">IF($B3099="Portfolio","Portfolio",IFERROR(INDEX(DATA_ASSET_CLASSIFICATION!$U$8:$U$24,MATCH($C3099,DATA_ASSET_CLASSIFICATION!$A$8:$A$24,0)),"Review"))</f>
        <v>Refi Watch</v>
      </c>
      <c r="O3099" s="350" t="str">
        <f ca="1">IF($B3099="Portfolio","Portfolio",IFERROR(INDEX(DATA_ASSET_CLASSIFICATION!$AB$8:$AB$13,MATCH($N3099,DATA_ASSET_CLASSIFICATION!$AA$8:$AA$13,0)),"Review"))</f>
        <v>Bucket 2 · Legacy</v>
      </c>
      <c r="P3099" s="350" t="str">
        <f>IF($B3099="Portfolio","Portfolio",IFERROR(INDEX(DATA_ASSET_CLASSIFICATION!$C$8:$C$24,MATCH($C3099,DATA_ASSET_CLASSIFICATION!$A$8:$A$24,0)),"Review"))</f>
        <v>Yes</v>
      </c>
      <c r="Q3099" s="350" t="str">
        <f t="shared" ca="1" si="97"/>
        <v>OK</v>
      </c>
    </row>
    <row r="3100" spans="1:17">
      <c r="A3100" s="366" t="s">
        <v>5056</v>
      </c>
      <c r="B3100" s="366" t="s">
        <v>231</v>
      </c>
      <c r="C3100" s="348" t="str">
        <f>DATA_PROPERTY_MASTER!$A$14</f>
        <v>BLD_MM</v>
      </c>
      <c r="D3100" s="380">
        <f>'00_PORTFOLIO ROLLUP'!Q$12</f>
        <v>2037</v>
      </c>
      <c r="E3100" s="366" t="s">
        <v>1683</v>
      </c>
      <c r="F3100" s="366" t="s">
        <v>355</v>
      </c>
      <c r="G3100" s="348" t="str">
        <f>"'"&amp;$C3100&amp;"'!$E$39:$Y$39"</f>
        <v>'BLD_MM'!$E$39:$Y$39</v>
      </c>
      <c r="H3100" s="381">
        <f ca="1">IF(IFERROR(INDEX(DATA_PROPERTY_MASTER!$E$5:$E$21,MATCH($C3100,DATA_PROPERTY_MASTER!$A$5:$A$21,0))="Yes",FALSE),IFERROR(INDEX(INDIRECT("'"&amp;$C3100&amp;"'!$E$39:$Y$39"),1,MATCH($D3100,INDIRECT("'"&amp;$C3100&amp;"'!$E$12:$Y$12"),0)),0),0)</f>
        <v>426708.72288708662</v>
      </c>
      <c r="I3100" s="366" t="s">
        <v>1690</v>
      </c>
      <c r="J3100" s="348" t="str">
        <f t="shared" ca="1" si="96"/>
        <v>OK</v>
      </c>
      <c r="K3100" s="366" t="s">
        <v>1686</v>
      </c>
      <c r="L3100" s="366" t="s">
        <v>2236</v>
      </c>
      <c r="M3100" s="350" t="str">
        <f>IF($B3100="Portfolio","Portfolio",IFERROR(INDEX(DATA_ASSET_CLASSIFICATION!$B$8:$B$24,MATCH($C3100,DATA_ASSET_CLASSIFICATION!$A$8:$A$24,0)),"Review"))</f>
        <v>Murray Manor</v>
      </c>
      <c r="N3100" s="350" t="str">
        <f ca="1">IF($B3100="Portfolio","Portfolio",IFERROR(INDEX(DATA_ASSET_CLASSIFICATION!$U$8:$U$24,MATCH($C3100,DATA_ASSET_CLASSIFICATION!$A$8:$A$24,0)),"Review"))</f>
        <v>Refi Watch</v>
      </c>
      <c r="O3100" s="350" t="str">
        <f ca="1">IF($B3100="Portfolio","Portfolio",IFERROR(INDEX(DATA_ASSET_CLASSIFICATION!$AB$8:$AB$13,MATCH($N3100,DATA_ASSET_CLASSIFICATION!$AA$8:$AA$13,0)),"Review"))</f>
        <v>Bucket 2 · Legacy</v>
      </c>
      <c r="P3100" s="350" t="str">
        <f>IF($B3100="Portfolio","Portfolio",IFERROR(INDEX(DATA_ASSET_CLASSIFICATION!$C$8:$C$24,MATCH($C3100,DATA_ASSET_CLASSIFICATION!$A$8:$A$24,0)),"Review"))</f>
        <v>Yes</v>
      </c>
      <c r="Q3100" s="350" t="str">
        <f t="shared" ca="1" si="97"/>
        <v>OK</v>
      </c>
    </row>
    <row r="3101" spans="1:17">
      <c r="A3101" s="366" t="s">
        <v>5057</v>
      </c>
      <c r="B3101" s="366" t="s">
        <v>231</v>
      </c>
      <c r="C3101" s="348" t="str">
        <f>DATA_PROPERTY_MASTER!$A$14</f>
        <v>BLD_MM</v>
      </c>
      <c r="D3101" s="380">
        <f>'00_PORTFOLIO ROLLUP'!Q$12</f>
        <v>2037</v>
      </c>
      <c r="E3101" s="366" t="s">
        <v>1683</v>
      </c>
      <c r="F3101" s="366" t="s">
        <v>19</v>
      </c>
      <c r="G3101" s="348" t="str">
        <f>"'"&amp;$C3101&amp;"'!$E$41:$Y$41"</f>
        <v>'BLD_MM'!$E$41:$Y$41</v>
      </c>
      <c r="H3101" s="381">
        <f ca="1">IF(IFERROR(INDEX(DATA_PROPERTY_MASTER!$E$5:$E$21,MATCH($C3101,DATA_PROPERTY_MASTER!$A$5:$A$21,0))="Yes",FALSE),IFERROR(INDEX(INDIRECT("'"&amp;$C3101&amp;"'!$E$41:$Y$41"),1,MATCH($D3101,INDIRECT("'"&amp;$C3101&amp;"'!$E$12:$Y$12"),0)),0),0)</f>
        <v>563788.77054254361</v>
      </c>
      <c r="I3101" s="366" t="s">
        <v>1685</v>
      </c>
      <c r="J3101" s="348" t="str">
        <f t="shared" ca="1" si="96"/>
        <v>OK</v>
      </c>
      <c r="K3101" s="366" t="s">
        <v>1694</v>
      </c>
      <c r="L3101" s="366" t="s">
        <v>2238</v>
      </c>
      <c r="M3101" s="350" t="str">
        <f>IF($B3101="Portfolio","Portfolio",IFERROR(INDEX(DATA_ASSET_CLASSIFICATION!$B$8:$B$24,MATCH($C3101,DATA_ASSET_CLASSIFICATION!$A$8:$A$24,0)),"Review"))</f>
        <v>Murray Manor</v>
      </c>
      <c r="N3101" s="350" t="str">
        <f ca="1">IF($B3101="Portfolio","Portfolio",IFERROR(INDEX(DATA_ASSET_CLASSIFICATION!$U$8:$U$24,MATCH($C3101,DATA_ASSET_CLASSIFICATION!$A$8:$A$24,0)),"Review"))</f>
        <v>Refi Watch</v>
      </c>
      <c r="O3101" s="350" t="str">
        <f ca="1">IF($B3101="Portfolio","Portfolio",IFERROR(INDEX(DATA_ASSET_CLASSIFICATION!$AB$8:$AB$13,MATCH($N3101,DATA_ASSET_CLASSIFICATION!$AA$8:$AA$13,0)),"Review"))</f>
        <v>Bucket 2 · Legacy</v>
      </c>
      <c r="P3101" s="350" t="str">
        <f>IF($B3101="Portfolio","Portfolio",IFERROR(INDEX(DATA_ASSET_CLASSIFICATION!$C$8:$C$24,MATCH($C3101,DATA_ASSET_CLASSIFICATION!$A$8:$A$24,0)),"Review"))</f>
        <v>Yes</v>
      </c>
      <c r="Q3101" s="350" t="str">
        <f t="shared" ca="1" si="97"/>
        <v>OK</v>
      </c>
    </row>
    <row r="3102" spans="1:17">
      <c r="A3102" s="366" t="s">
        <v>5058</v>
      </c>
      <c r="B3102" s="366" t="s">
        <v>231</v>
      </c>
      <c r="C3102" s="348" t="str">
        <f>DATA_PROPERTY_MASTER!$A$14</f>
        <v>BLD_MM</v>
      </c>
      <c r="D3102" s="380">
        <f>'00_PORTFOLIO ROLLUP'!Q$12</f>
        <v>2037</v>
      </c>
      <c r="E3102" s="366" t="s">
        <v>1683</v>
      </c>
      <c r="F3102" s="366" t="s">
        <v>1697</v>
      </c>
      <c r="G3102" s="348" t="str">
        <f>"'"&amp;$C3102&amp;"'!$E$44:$Y$44"</f>
        <v>'BLD_MM'!$E$44:$Y$44</v>
      </c>
      <c r="H3102" s="381">
        <f ca="1">IF(IFERROR(INDEX(DATA_PROPERTY_MASTER!$E$5:$E$21,MATCH($C3102,DATA_PROPERTY_MASTER!$A$5:$A$21,0))="Yes",FALSE),IFERROR(INDEX(INDIRECT("'"&amp;$C3102&amp;"'!$E$44:$Y$44"),1,MATCH($D3102,INDIRECT("'"&amp;$C3102&amp;"'!$E$12:$Y$12"),0)),0),0)</f>
        <v>8941.1046516659444</v>
      </c>
      <c r="I3102" s="366" t="s">
        <v>1690</v>
      </c>
      <c r="J3102" s="348" t="str">
        <f t="shared" ca="1" si="96"/>
        <v>OK</v>
      </c>
      <c r="K3102" s="366" t="s">
        <v>1699</v>
      </c>
      <c r="L3102" s="366" t="s">
        <v>2240</v>
      </c>
      <c r="M3102" s="350" t="str">
        <f>IF($B3102="Portfolio","Portfolio",IFERROR(INDEX(DATA_ASSET_CLASSIFICATION!$B$8:$B$24,MATCH($C3102,DATA_ASSET_CLASSIFICATION!$A$8:$A$24,0)),"Review"))</f>
        <v>Murray Manor</v>
      </c>
      <c r="N3102" s="350" t="str">
        <f ca="1">IF($B3102="Portfolio","Portfolio",IFERROR(INDEX(DATA_ASSET_CLASSIFICATION!$U$8:$U$24,MATCH($C3102,DATA_ASSET_CLASSIFICATION!$A$8:$A$24,0)),"Review"))</f>
        <v>Refi Watch</v>
      </c>
      <c r="O3102" s="350" t="str">
        <f ca="1">IF($B3102="Portfolio","Portfolio",IFERROR(INDEX(DATA_ASSET_CLASSIFICATION!$AB$8:$AB$13,MATCH($N3102,DATA_ASSET_CLASSIFICATION!$AA$8:$AA$13,0)),"Review"))</f>
        <v>Bucket 2 · Legacy</v>
      </c>
      <c r="P3102" s="350" t="str">
        <f>IF($B3102="Portfolio","Portfolio",IFERROR(INDEX(DATA_ASSET_CLASSIFICATION!$C$8:$C$24,MATCH($C3102,DATA_ASSET_CLASSIFICATION!$A$8:$A$24,0)),"Review"))</f>
        <v>Yes</v>
      </c>
      <c r="Q3102" s="350" t="str">
        <f t="shared" ca="1" si="97"/>
        <v>OK</v>
      </c>
    </row>
    <row r="3103" spans="1:17">
      <c r="A3103" s="366" t="s">
        <v>5059</v>
      </c>
      <c r="B3103" s="366" t="s">
        <v>231</v>
      </c>
      <c r="C3103" s="348" t="str">
        <f>DATA_PROPERTY_MASTER!$A$14</f>
        <v>BLD_MM</v>
      </c>
      <c r="D3103" s="380">
        <f>'00_PORTFOLIO ROLLUP'!Q$12</f>
        <v>2037</v>
      </c>
      <c r="E3103" s="366" t="s">
        <v>1683</v>
      </c>
      <c r="F3103" s="366" t="s">
        <v>21</v>
      </c>
      <c r="G3103" s="348" t="str">
        <f>"'"&amp;$C3103&amp;"'!$E$45:$Y$45"</f>
        <v>'BLD_MM'!$E$45:$Y$45</v>
      </c>
      <c r="H3103" s="381">
        <f ca="1">IF(IFERROR(INDEX(DATA_PROPERTY_MASTER!$E$5:$E$21,MATCH($C3103,DATA_PROPERTY_MASTER!$A$5:$A$21,0))="Yes",FALSE),IFERROR(INDEX(INDIRECT("'"&amp;$C3103&amp;"'!$E$45:$Y$45"),1,MATCH($D3103,INDIRECT("'"&amp;$C3103&amp;"'!$E$12:$Y$12"),0)),0),0)</f>
        <v>554847.66589087772</v>
      </c>
      <c r="I3103" s="366" t="s">
        <v>1685</v>
      </c>
      <c r="J3103" s="348" t="str">
        <f t="shared" ca="1" si="96"/>
        <v>OK</v>
      </c>
      <c r="K3103" s="366" t="s">
        <v>1694</v>
      </c>
      <c r="L3103" s="366" t="s">
        <v>2242</v>
      </c>
      <c r="M3103" s="350" t="str">
        <f>IF($B3103="Portfolio","Portfolio",IFERROR(INDEX(DATA_ASSET_CLASSIFICATION!$B$8:$B$24,MATCH($C3103,DATA_ASSET_CLASSIFICATION!$A$8:$A$24,0)),"Review"))</f>
        <v>Murray Manor</v>
      </c>
      <c r="N3103" s="350" t="str">
        <f ca="1">IF($B3103="Portfolio","Portfolio",IFERROR(INDEX(DATA_ASSET_CLASSIFICATION!$U$8:$U$24,MATCH($C3103,DATA_ASSET_CLASSIFICATION!$A$8:$A$24,0)),"Review"))</f>
        <v>Refi Watch</v>
      </c>
      <c r="O3103" s="350" t="str">
        <f ca="1">IF($B3103="Portfolio","Portfolio",IFERROR(INDEX(DATA_ASSET_CLASSIFICATION!$AB$8:$AB$13,MATCH($N3103,DATA_ASSET_CLASSIFICATION!$AA$8:$AA$13,0)),"Review"))</f>
        <v>Bucket 2 · Legacy</v>
      </c>
      <c r="P3103" s="350" t="str">
        <f>IF($B3103="Portfolio","Portfolio",IFERROR(INDEX(DATA_ASSET_CLASSIFICATION!$C$8:$C$24,MATCH($C3103,DATA_ASSET_CLASSIFICATION!$A$8:$A$24,0)),"Review"))</f>
        <v>Yes</v>
      </c>
      <c r="Q3103" s="350" t="str">
        <f t="shared" ca="1" si="97"/>
        <v>OK</v>
      </c>
    </row>
    <row r="3104" spans="1:17">
      <c r="A3104" s="366" t="s">
        <v>5060</v>
      </c>
      <c r="B3104" s="366" t="s">
        <v>231</v>
      </c>
      <c r="C3104" s="348" t="str">
        <f>DATA_PROPERTY_MASTER!$A$14</f>
        <v>BLD_MM</v>
      </c>
      <c r="D3104" s="380">
        <f>'00_PORTFOLIO ROLLUP'!Q$12</f>
        <v>2037</v>
      </c>
      <c r="E3104" s="366" t="s">
        <v>23</v>
      </c>
      <c r="F3104" s="366" t="s">
        <v>23</v>
      </c>
      <c r="G3104" s="348" t="str">
        <f>"'"&amp;$C3104&amp;"'!$E$48:$Y$48"</f>
        <v>'BLD_MM'!$E$48:$Y$48</v>
      </c>
      <c r="H3104" s="381">
        <f ca="1">IF(IFERROR(INDEX(DATA_PROPERTY_MASTER!$E$5:$E$21,MATCH($C3104,DATA_PROPERTY_MASTER!$A$5:$A$21,0))="Yes",FALSE),IFERROR(INDEX(INDIRECT("'"&amp;$C3104&amp;"'!$E$48:$Y$48"),1,MATCH($D3104,INDIRECT("'"&amp;$C3104&amp;"'!$E$12:$Y$12"),0)),0),0)</f>
        <v>356739.03166510991</v>
      </c>
      <c r="I3104" s="366" t="s">
        <v>1690</v>
      </c>
      <c r="J3104" s="348" t="str">
        <f t="shared" ca="1" si="96"/>
        <v>OK</v>
      </c>
      <c r="K3104" s="366" t="s">
        <v>1706</v>
      </c>
      <c r="L3104" s="366" t="s">
        <v>2244</v>
      </c>
      <c r="M3104" s="350" t="str">
        <f>IF($B3104="Portfolio","Portfolio",IFERROR(INDEX(DATA_ASSET_CLASSIFICATION!$B$8:$B$24,MATCH($C3104,DATA_ASSET_CLASSIFICATION!$A$8:$A$24,0)),"Review"))</f>
        <v>Murray Manor</v>
      </c>
      <c r="N3104" s="350" t="str">
        <f ca="1">IF($B3104="Portfolio","Portfolio",IFERROR(INDEX(DATA_ASSET_CLASSIFICATION!$U$8:$U$24,MATCH($C3104,DATA_ASSET_CLASSIFICATION!$A$8:$A$24,0)),"Review"))</f>
        <v>Refi Watch</v>
      </c>
      <c r="O3104" s="350" t="str">
        <f ca="1">IF($B3104="Portfolio","Portfolio",IFERROR(INDEX(DATA_ASSET_CLASSIFICATION!$AB$8:$AB$13,MATCH($N3104,DATA_ASSET_CLASSIFICATION!$AA$8:$AA$13,0)),"Review"))</f>
        <v>Bucket 2 · Legacy</v>
      </c>
      <c r="P3104" s="350" t="str">
        <f>IF($B3104="Portfolio","Portfolio",IFERROR(INDEX(DATA_ASSET_CLASSIFICATION!$C$8:$C$24,MATCH($C3104,DATA_ASSET_CLASSIFICATION!$A$8:$A$24,0)),"Review"))</f>
        <v>Yes</v>
      </c>
      <c r="Q3104" s="350" t="str">
        <f t="shared" ca="1" si="97"/>
        <v>OK</v>
      </c>
    </row>
    <row r="3105" spans="1:17">
      <c r="A3105" s="366" t="s">
        <v>5061</v>
      </c>
      <c r="B3105" s="366" t="s">
        <v>231</v>
      </c>
      <c r="C3105" s="348" t="str">
        <f>DATA_PROPERTY_MASTER!$A$14</f>
        <v>BLD_MM</v>
      </c>
      <c r="D3105" s="380">
        <f>'00_PORTFOLIO ROLLUP'!Q$12</f>
        <v>2037</v>
      </c>
      <c r="E3105" s="366" t="s">
        <v>1683</v>
      </c>
      <c r="F3105" s="366" t="s">
        <v>25</v>
      </c>
      <c r="G3105" s="348" t="str">
        <f>"'"&amp;$C3105&amp;"'!$E$52:$Y$52"</f>
        <v>'BLD_MM'!$E$52:$Y$52</v>
      </c>
      <c r="H3105" s="381">
        <f ca="1">IF(IFERROR(INDEX(DATA_PROPERTY_MASTER!$E$5:$E$21,MATCH($C3105,DATA_PROPERTY_MASTER!$A$5:$A$21,0))="Yes",FALSE),IFERROR(INDEX(INDIRECT("'"&amp;$C3105&amp;"'!$E$52:$Y$52"),1,MATCH($D3105,INDIRECT("'"&amp;$C3105&amp;"'!$E$12:$Y$12"),0)),0),0)</f>
        <v>207049.7388774337</v>
      </c>
      <c r="I3105" s="366" t="s">
        <v>1685</v>
      </c>
      <c r="J3105" s="348" t="str">
        <f t="shared" ca="1" si="96"/>
        <v>OK</v>
      </c>
      <c r="K3105" s="366" t="s">
        <v>1710</v>
      </c>
      <c r="L3105" s="366" t="s">
        <v>2246</v>
      </c>
      <c r="M3105" s="350" t="str">
        <f>IF($B3105="Portfolio","Portfolio",IFERROR(INDEX(DATA_ASSET_CLASSIFICATION!$B$8:$B$24,MATCH($C3105,DATA_ASSET_CLASSIFICATION!$A$8:$A$24,0)),"Review"))</f>
        <v>Murray Manor</v>
      </c>
      <c r="N3105" s="350" t="str">
        <f ca="1">IF($B3105="Portfolio","Portfolio",IFERROR(INDEX(DATA_ASSET_CLASSIFICATION!$U$8:$U$24,MATCH($C3105,DATA_ASSET_CLASSIFICATION!$A$8:$A$24,0)),"Review"))</f>
        <v>Refi Watch</v>
      </c>
      <c r="O3105" s="350" t="str">
        <f ca="1">IF($B3105="Portfolio","Portfolio",IFERROR(INDEX(DATA_ASSET_CLASSIFICATION!$AB$8:$AB$13,MATCH($N3105,DATA_ASSET_CLASSIFICATION!$AA$8:$AA$13,0)),"Review"))</f>
        <v>Bucket 2 · Legacy</v>
      </c>
      <c r="P3105" s="350" t="str">
        <f>IF($B3105="Portfolio","Portfolio",IFERROR(INDEX(DATA_ASSET_CLASSIFICATION!$C$8:$C$24,MATCH($C3105,DATA_ASSET_CLASSIFICATION!$A$8:$A$24,0)),"Review"))</f>
        <v>Yes</v>
      </c>
      <c r="Q3105" s="350" t="str">
        <f t="shared" ca="1" si="97"/>
        <v>OK</v>
      </c>
    </row>
    <row r="3106" spans="1:17">
      <c r="A3106" s="366" t="s">
        <v>5062</v>
      </c>
      <c r="B3106" s="366" t="s">
        <v>231</v>
      </c>
      <c r="C3106" s="348" t="str">
        <f>DATA_PROPERTY_MASTER!$A$14</f>
        <v>BLD_MM</v>
      </c>
      <c r="D3106" s="380">
        <f>'00_PORTFOLIO ROLLUP'!Q$12</f>
        <v>2037</v>
      </c>
      <c r="E3106" s="366" t="s">
        <v>1683</v>
      </c>
      <c r="F3106" s="366" t="s">
        <v>27</v>
      </c>
      <c r="G3106" s="348" t="str">
        <f>"'"&amp;$C3106&amp;"'!$E$54:$Y$54"</f>
        <v>'BLD_MM'!$E$54:$Y$54</v>
      </c>
      <c r="H3106" s="381">
        <f ca="1">IF(IFERROR(INDEX(DATA_PROPERTY_MASTER!$E$5:$E$21,MATCH($C3106,DATA_PROPERTY_MASTER!$A$5:$A$21,0))="Yes",FALSE),IFERROR(INDEX(INDIRECT("'"&amp;$C3106&amp;"'!$E$54:$Y$54"),1,MATCH($D3106,INDIRECT("'"&amp;$C3106&amp;"'!$E$12:$Y$12"),0)),0),0)</f>
        <v>124229.84332646022</v>
      </c>
      <c r="I3106" s="366" t="s">
        <v>1690</v>
      </c>
      <c r="J3106" s="348" t="str">
        <f t="shared" ca="1" si="96"/>
        <v>OK</v>
      </c>
      <c r="K3106" s="366" t="s">
        <v>1714</v>
      </c>
      <c r="L3106" s="366" t="s">
        <v>2248</v>
      </c>
      <c r="M3106" s="350" t="str">
        <f>IF($B3106="Portfolio","Portfolio",IFERROR(INDEX(DATA_ASSET_CLASSIFICATION!$B$8:$B$24,MATCH($C3106,DATA_ASSET_CLASSIFICATION!$A$8:$A$24,0)),"Review"))</f>
        <v>Murray Manor</v>
      </c>
      <c r="N3106" s="350" t="str">
        <f ca="1">IF($B3106="Portfolio","Portfolio",IFERROR(INDEX(DATA_ASSET_CLASSIFICATION!$U$8:$U$24,MATCH($C3106,DATA_ASSET_CLASSIFICATION!$A$8:$A$24,0)),"Review"))</f>
        <v>Refi Watch</v>
      </c>
      <c r="O3106" s="350" t="str">
        <f ca="1">IF($B3106="Portfolio","Portfolio",IFERROR(INDEX(DATA_ASSET_CLASSIFICATION!$AB$8:$AB$13,MATCH($N3106,DATA_ASSET_CLASSIFICATION!$AA$8:$AA$13,0)),"Review"))</f>
        <v>Bucket 2 · Legacy</v>
      </c>
      <c r="P3106" s="350" t="str">
        <f>IF($B3106="Portfolio","Portfolio",IFERROR(INDEX(DATA_ASSET_CLASSIFICATION!$C$8:$C$24,MATCH($C3106,DATA_ASSET_CLASSIFICATION!$A$8:$A$24,0)),"Review"))</f>
        <v>Yes</v>
      </c>
      <c r="Q3106" s="350" t="str">
        <f t="shared" ca="1" si="97"/>
        <v>OK</v>
      </c>
    </row>
    <row r="3107" spans="1:17">
      <c r="A3107" s="366" t="s">
        <v>5063</v>
      </c>
      <c r="B3107" s="366" t="s">
        <v>231</v>
      </c>
      <c r="C3107" s="348" t="str">
        <f>DATA_PROPERTY_MASTER!$A$14</f>
        <v>BLD_MM</v>
      </c>
      <c r="D3107" s="380">
        <f>'00_PORTFOLIO ROLLUP'!Q$12</f>
        <v>2037</v>
      </c>
      <c r="E3107" s="366" t="s">
        <v>1683</v>
      </c>
      <c r="F3107" s="366" t="s">
        <v>29</v>
      </c>
      <c r="G3107" s="348" t="str">
        <f>"'"&amp;$C3107&amp;"'!$E$56:$Y$56"</f>
        <v>'BLD_MM'!$E$56:$Y$56</v>
      </c>
      <c r="H3107" s="381">
        <f ca="1">IF(IFERROR(INDEX(DATA_PROPERTY_MASTER!$E$5:$E$21,MATCH($C3107,DATA_PROPERTY_MASTER!$A$5:$A$21,0))="Yes",FALSE),IFERROR(INDEX(INDIRECT("'"&amp;$C3107&amp;"'!$E$56:$Y$56"),1,MATCH($D3107,INDIRECT("'"&amp;$C3107&amp;"'!$E$12:$Y$12"),0)),0),0)</f>
        <v>82819.895550973481</v>
      </c>
      <c r="I3107" s="366" t="s">
        <v>1685</v>
      </c>
      <c r="J3107" s="348" t="str">
        <f t="shared" ca="1" si="96"/>
        <v>OK</v>
      </c>
      <c r="K3107" s="366" t="s">
        <v>1718</v>
      </c>
      <c r="L3107" s="366" t="s">
        <v>2250</v>
      </c>
      <c r="M3107" s="350" t="str">
        <f>IF($B3107="Portfolio","Portfolio",IFERROR(INDEX(DATA_ASSET_CLASSIFICATION!$B$8:$B$24,MATCH($C3107,DATA_ASSET_CLASSIFICATION!$A$8:$A$24,0)),"Review"))</f>
        <v>Murray Manor</v>
      </c>
      <c r="N3107" s="350" t="str">
        <f ca="1">IF($B3107="Portfolio","Portfolio",IFERROR(INDEX(DATA_ASSET_CLASSIFICATION!$U$8:$U$24,MATCH($C3107,DATA_ASSET_CLASSIFICATION!$A$8:$A$24,0)),"Review"))</f>
        <v>Refi Watch</v>
      </c>
      <c r="O3107" s="350" t="str">
        <f ca="1">IF($B3107="Portfolio","Portfolio",IFERROR(INDEX(DATA_ASSET_CLASSIFICATION!$AB$8:$AB$13,MATCH($N3107,DATA_ASSET_CLASSIFICATION!$AA$8:$AA$13,0)),"Review"))</f>
        <v>Bucket 2 · Legacy</v>
      </c>
      <c r="P3107" s="350" t="str">
        <f>IF($B3107="Portfolio","Portfolio",IFERROR(INDEX(DATA_ASSET_CLASSIFICATION!$C$8:$C$24,MATCH($C3107,DATA_ASSET_CLASSIFICATION!$A$8:$A$24,0)),"Review"))</f>
        <v>Yes</v>
      </c>
      <c r="Q3107" s="350" t="str">
        <f t="shared" ca="1" si="97"/>
        <v>OK</v>
      </c>
    </row>
    <row r="3108" spans="1:17">
      <c r="A3108" s="366" t="s">
        <v>5064</v>
      </c>
      <c r="B3108" s="366" t="s">
        <v>231</v>
      </c>
      <c r="C3108" s="348" t="str">
        <f>DATA_PROPERTY_MASTER!$A$14</f>
        <v>BLD_MM</v>
      </c>
      <c r="D3108" s="380">
        <f>'00_PORTFOLIO ROLLUP'!Q$12</f>
        <v>2037</v>
      </c>
      <c r="E3108" s="366" t="s">
        <v>1721</v>
      </c>
      <c r="F3108" s="366" t="s">
        <v>31</v>
      </c>
      <c r="G3108" s="348" t="str">
        <f>"'"&amp;$C3108&amp;"'!$E$61:$Y$61"</f>
        <v>'BLD_MM'!$E$61:$Y$61</v>
      </c>
      <c r="H3108" s="381">
        <f ca="1">IF(IFERROR(INDEX(DATA_PROPERTY_MASTER!$E$5:$E$21,MATCH($C3108,DATA_PROPERTY_MASTER!$A$5:$A$21,0))="Yes",FALSE),IFERROR(INDEX(INDIRECT("'"&amp;$C3108&amp;"'!$E$61:$Y$61"),1,MATCH($D3108,INDIRECT("'"&amp;$C3108&amp;"'!$E$12:$Y$12"),0)),0),0)</f>
        <v>0</v>
      </c>
      <c r="I3108" s="366" t="s">
        <v>1690</v>
      </c>
      <c r="J3108" s="348" t="str">
        <f t="shared" ca="1" si="96"/>
        <v>OK</v>
      </c>
      <c r="K3108" s="366" t="s">
        <v>1723</v>
      </c>
      <c r="L3108" s="366" t="s">
        <v>2252</v>
      </c>
      <c r="M3108" s="350" t="str">
        <f>IF($B3108="Portfolio","Portfolio",IFERROR(INDEX(DATA_ASSET_CLASSIFICATION!$B$8:$B$24,MATCH($C3108,DATA_ASSET_CLASSIFICATION!$A$8:$A$24,0)),"Review"))</f>
        <v>Murray Manor</v>
      </c>
      <c r="N3108" s="350" t="str">
        <f ca="1">IF($B3108="Portfolio","Portfolio",IFERROR(INDEX(DATA_ASSET_CLASSIFICATION!$U$8:$U$24,MATCH($C3108,DATA_ASSET_CLASSIFICATION!$A$8:$A$24,0)),"Review"))</f>
        <v>Refi Watch</v>
      </c>
      <c r="O3108" s="350" t="str">
        <f ca="1">IF($B3108="Portfolio","Portfolio",IFERROR(INDEX(DATA_ASSET_CLASSIFICATION!$AB$8:$AB$13,MATCH($N3108,DATA_ASSET_CLASSIFICATION!$AA$8:$AA$13,0)),"Review"))</f>
        <v>Bucket 2 · Legacy</v>
      </c>
      <c r="P3108" s="350" t="str">
        <f>IF($B3108="Portfolio","Portfolio",IFERROR(INDEX(DATA_ASSET_CLASSIFICATION!$C$8:$C$24,MATCH($C3108,DATA_ASSET_CLASSIFICATION!$A$8:$A$24,0)),"Review"))</f>
        <v>Yes</v>
      </c>
      <c r="Q3108" s="350" t="str">
        <f t="shared" ca="1" si="97"/>
        <v>OK</v>
      </c>
    </row>
    <row r="3109" spans="1:17">
      <c r="A3109" s="366" t="s">
        <v>5065</v>
      </c>
      <c r="B3109" s="366" t="s">
        <v>231</v>
      </c>
      <c r="C3109" s="348" t="str">
        <f>DATA_PROPERTY_MASTER!$A$14</f>
        <v>BLD_MM</v>
      </c>
      <c r="D3109" s="380">
        <f>'00_PORTFOLIO ROLLUP'!Q$12</f>
        <v>2037</v>
      </c>
      <c r="E3109" s="366" t="s">
        <v>1721</v>
      </c>
      <c r="F3109" s="366" t="s">
        <v>33</v>
      </c>
      <c r="G3109" s="348" t="str">
        <f>"'"&amp;$C3109&amp;"'!$E$62:$Y$62"</f>
        <v>'BLD_MM'!$E$62:$Y$62</v>
      </c>
      <c r="H3109" s="381">
        <f ca="1">IF(IFERROR(INDEX(DATA_PROPERTY_MASTER!$E$5:$E$21,MATCH($C3109,DATA_PROPERTY_MASTER!$A$5:$A$21,0))="Yes",FALSE),IFERROR(INDEX(INDIRECT("'"&amp;$C3109&amp;"'!$E$62:$Y$62"),1,MATCH($D3109,INDIRECT("'"&amp;$C3109&amp;"'!$E$12:$Y$12"),0)),0),0)</f>
        <v>0</v>
      </c>
      <c r="I3109" s="366" t="s">
        <v>1685</v>
      </c>
      <c r="J3109" s="348" t="str">
        <f t="shared" ca="1" si="96"/>
        <v>OK</v>
      </c>
      <c r="K3109" s="366" t="s">
        <v>1727</v>
      </c>
      <c r="L3109" s="366" t="s">
        <v>2254</v>
      </c>
      <c r="M3109" s="350" t="str">
        <f>IF($B3109="Portfolio","Portfolio",IFERROR(INDEX(DATA_ASSET_CLASSIFICATION!$B$8:$B$24,MATCH($C3109,DATA_ASSET_CLASSIFICATION!$A$8:$A$24,0)),"Review"))</f>
        <v>Murray Manor</v>
      </c>
      <c r="N3109" s="350" t="str">
        <f ca="1">IF($B3109="Portfolio","Portfolio",IFERROR(INDEX(DATA_ASSET_CLASSIFICATION!$U$8:$U$24,MATCH($C3109,DATA_ASSET_CLASSIFICATION!$A$8:$A$24,0)),"Review"))</f>
        <v>Refi Watch</v>
      </c>
      <c r="O3109" s="350" t="str">
        <f ca="1">IF($B3109="Portfolio","Portfolio",IFERROR(INDEX(DATA_ASSET_CLASSIFICATION!$AB$8:$AB$13,MATCH($N3109,DATA_ASSET_CLASSIFICATION!$AA$8:$AA$13,0)),"Review"))</f>
        <v>Bucket 2 · Legacy</v>
      </c>
      <c r="P3109" s="350" t="str">
        <f>IF($B3109="Portfolio","Portfolio",IFERROR(INDEX(DATA_ASSET_CLASSIFICATION!$C$8:$C$24,MATCH($C3109,DATA_ASSET_CLASSIFICATION!$A$8:$A$24,0)),"Review"))</f>
        <v>Yes</v>
      </c>
      <c r="Q3109" s="350" t="str">
        <f t="shared" ca="1" si="97"/>
        <v>OK</v>
      </c>
    </row>
    <row r="3110" spans="1:17">
      <c r="A3110" s="366" t="s">
        <v>5066</v>
      </c>
      <c r="B3110" s="366" t="s">
        <v>231</v>
      </c>
      <c r="C3110" s="348" t="str">
        <f>DATA_PROPERTY_MASTER!$A$14</f>
        <v>BLD_MM</v>
      </c>
      <c r="D3110" s="380">
        <f>'00_PORTFOLIO ROLLUP'!Q$12</f>
        <v>2037</v>
      </c>
      <c r="E3110" s="366" t="s">
        <v>1721</v>
      </c>
      <c r="F3110" s="366" t="s">
        <v>35</v>
      </c>
      <c r="G3110" s="348" t="str">
        <f>"'"&amp;$C3110&amp;"'!$E$63:$Y$63"</f>
        <v>'BLD_MM'!$E$63:$Y$63</v>
      </c>
      <c r="H3110" s="381">
        <f ca="1">IF(IFERROR(INDEX(DATA_PROPERTY_MASTER!$E$5:$E$21,MATCH($C3110,DATA_PROPERTY_MASTER!$A$5:$A$21,0))="Yes",FALSE),IFERROR(INDEX(INDIRECT("'"&amp;$C3110&amp;"'!$E$63:$Y$63"),1,MATCH($D3110,INDIRECT("'"&amp;$C3110&amp;"'!$E$12:$Y$12"),0)),0),0)</f>
        <v>0</v>
      </c>
      <c r="I3110" s="366" t="s">
        <v>1731</v>
      </c>
      <c r="J3110" s="348" t="str">
        <f t="shared" ca="1" si="96"/>
        <v>OK</v>
      </c>
      <c r="K3110" s="366" t="s">
        <v>1732</v>
      </c>
      <c r="L3110" s="366" t="s">
        <v>2256</v>
      </c>
      <c r="M3110" s="350" t="str">
        <f>IF($B3110="Portfolio","Portfolio",IFERROR(INDEX(DATA_ASSET_CLASSIFICATION!$B$8:$B$24,MATCH($C3110,DATA_ASSET_CLASSIFICATION!$A$8:$A$24,0)),"Review"))</f>
        <v>Murray Manor</v>
      </c>
      <c r="N3110" s="350" t="str">
        <f ca="1">IF($B3110="Portfolio","Portfolio",IFERROR(INDEX(DATA_ASSET_CLASSIFICATION!$U$8:$U$24,MATCH($C3110,DATA_ASSET_CLASSIFICATION!$A$8:$A$24,0)),"Review"))</f>
        <v>Refi Watch</v>
      </c>
      <c r="O3110" s="350" t="str">
        <f ca="1">IF($B3110="Portfolio","Portfolio",IFERROR(INDEX(DATA_ASSET_CLASSIFICATION!$AB$8:$AB$13,MATCH($N3110,DATA_ASSET_CLASSIFICATION!$AA$8:$AA$13,0)),"Review"))</f>
        <v>Bucket 2 · Legacy</v>
      </c>
      <c r="P3110" s="350" t="str">
        <f>IF($B3110="Portfolio","Portfolio",IFERROR(INDEX(DATA_ASSET_CLASSIFICATION!$C$8:$C$24,MATCH($C3110,DATA_ASSET_CLASSIFICATION!$A$8:$A$24,0)),"Review"))</f>
        <v>Yes</v>
      </c>
      <c r="Q3110" s="350" t="str">
        <f t="shared" ca="1" si="97"/>
        <v>OK</v>
      </c>
    </row>
    <row r="3111" spans="1:17">
      <c r="A3111" s="366" t="s">
        <v>5067</v>
      </c>
      <c r="B3111" s="366" t="s">
        <v>231</v>
      </c>
      <c r="C3111" s="348" t="str">
        <f>DATA_PROPERTY_MASTER!$A$14</f>
        <v>BLD_MM</v>
      </c>
      <c r="D3111" s="380">
        <f>'00_PORTFOLIO ROLLUP'!Q$12</f>
        <v>2037</v>
      </c>
      <c r="E3111" s="366" t="s">
        <v>1721</v>
      </c>
      <c r="F3111" s="366" t="s">
        <v>37</v>
      </c>
      <c r="G3111" s="348" t="str">
        <f>"'"&amp;$C3111&amp;"'!$E$63:$Y$63"</f>
        <v>'BLD_MM'!$E$63:$Y$63</v>
      </c>
      <c r="H3111" s="381">
        <f ca="1">IF(IFERROR(INDEX(DATA_PROPERTY_MASTER!$E$5:$E$21,MATCH($C3111,DATA_PROPERTY_MASTER!$A$5:$A$21,0))="Yes",FALSE),MAX(IFERROR(INDEX(INDIRECT("'"&amp;$C3111&amp;"'!$E$63:$Y$63"),1,MATCH($D3111,INDIRECT("'"&amp;$C3111&amp;"'!$E$12:$Y$12"),0)),0),0),0)</f>
        <v>0</v>
      </c>
      <c r="I3111" s="366" t="s">
        <v>1685</v>
      </c>
      <c r="J3111" s="348" t="str">
        <f t="shared" ca="1" si="96"/>
        <v>OK</v>
      </c>
      <c r="K3111" s="366" t="s">
        <v>1735</v>
      </c>
      <c r="L3111" s="366" t="s">
        <v>2258</v>
      </c>
      <c r="M3111" s="350" t="str">
        <f>IF($B3111="Portfolio","Portfolio",IFERROR(INDEX(DATA_ASSET_CLASSIFICATION!$B$8:$B$24,MATCH($C3111,DATA_ASSET_CLASSIFICATION!$A$8:$A$24,0)),"Review"))</f>
        <v>Murray Manor</v>
      </c>
      <c r="N3111" s="350" t="str">
        <f ca="1">IF($B3111="Portfolio","Portfolio",IFERROR(INDEX(DATA_ASSET_CLASSIFICATION!$U$8:$U$24,MATCH($C3111,DATA_ASSET_CLASSIFICATION!$A$8:$A$24,0)),"Review"))</f>
        <v>Refi Watch</v>
      </c>
      <c r="O3111" s="350" t="str">
        <f ca="1">IF($B3111="Portfolio","Portfolio",IFERROR(INDEX(DATA_ASSET_CLASSIFICATION!$AB$8:$AB$13,MATCH($N3111,DATA_ASSET_CLASSIFICATION!$AA$8:$AA$13,0)),"Review"))</f>
        <v>Bucket 2 · Legacy</v>
      </c>
      <c r="P3111" s="350" t="str">
        <f>IF($B3111="Portfolio","Portfolio",IFERROR(INDEX(DATA_ASSET_CLASSIFICATION!$C$8:$C$24,MATCH($C3111,DATA_ASSET_CLASSIFICATION!$A$8:$A$24,0)),"Review"))</f>
        <v>Yes</v>
      </c>
      <c r="Q3111" s="350" t="str">
        <f t="shared" ca="1" si="97"/>
        <v>OK</v>
      </c>
    </row>
    <row r="3112" spans="1:17">
      <c r="A3112" s="366" t="s">
        <v>5068</v>
      </c>
      <c r="B3112" s="366" t="s">
        <v>231</v>
      </c>
      <c r="C3112" s="348" t="str">
        <f>DATA_PROPERTY_MASTER!$A$14</f>
        <v>BLD_MM</v>
      </c>
      <c r="D3112" s="380">
        <f>'00_PORTFOLIO ROLLUP'!Q$12</f>
        <v>2037</v>
      </c>
      <c r="E3112" s="366" t="s">
        <v>1721</v>
      </c>
      <c r="F3112" s="366" t="s">
        <v>39</v>
      </c>
      <c r="G3112" s="348" t="str">
        <f>"'"&amp;$C3112&amp;"'!$E$63:$Y$63"</f>
        <v>'BLD_MM'!$E$63:$Y$63</v>
      </c>
      <c r="H3112" s="381">
        <f ca="1">IF(IFERROR(INDEX(DATA_PROPERTY_MASTER!$E$5:$E$21,MATCH($C3112,DATA_PROPERTY_MASTER!$A$5:$A$21,0))="Yes",FALSE),MAX(-IFERROR(INDEX(INDIRECT("'"&amp;$C3112&amp;"'!$E$63:$Y$63"),1,MATCH($D3112,INDIRECT("'"&amp;$C3112&amp;"'!$E$12:$Y$12"),0)),0),0),0)</f>
        <v>0</v>
      </c>
      <c r="I3112" s="366" t="s">
        <v>1690</v>
      </c>
      <c r="J3112" s="348" t="str">
        <f t="shared" ca="1" si="96"/>
        <v>OK</v>
      </c>
      <c r="K3112" s="366" t="s">
        <v>1738</v>
      </c>
      <c r="L3112" s="366" t="s">
        <v>2260</v>
      </c>
      <c r="M3112" s="350" t="str">
        <f>IF($B3112="Portfolio","Portfolio",IFERROR(INDEX(DATA_ASSET_CLASSIFICATION!$B$8:$B$24,MATCH($C3112,DATA_ASSET_CLASSIFICATION!$A$8:$A$24,0)),"Review"))</f>
        <v>Murray Manor</v>
      </c>
      <c r="N3112" s="350" t="str">
        <f ca="1">IF($B3112="Portfolio","Portfolio",IFERROR(INDEX(DATA_ASSET_CLASSIFICATION!$U$8:$U$24,MATCH($C3112,DATA_ASSET_CLASSIFICATION!$A$8:$A$24,0)),"Review"))</f>
        <v>Refi Watch</v>
      </c>
      <c r="O3112" s="350" t="str">
        <f ca="1">IF($B3112="Portfolio","Portfolio",IFERROR(INDEX(DATA_ASSET_CLASSIFICATION!$AB$8:$AB$13,MATCH($N3112,DATA_ASSET_CLASSIFICATION!$AA$8:$AA$13,0)),"Review"))</f>
        <v>Bucket 2 · Legacy</v>
      </c>
      <c r="P3112" s="350" t="str">
        <f>IF($B3112="Portfolio","Portfolio",IFERROR(INDEX(DATA_ASSET_CLASSIFICATION!$C$8:$C$24,MATCH($C3112,DATA_ASSET_CLASSIFICATION!$A$8:$A$24,0)),"Review"))</f>
        <v>Yes</v>
      </c>
      <c r="Q3112" s="350" t="str">
        <f t="shared" ca="1" si="97"/>
        <v>OK</v>
      </c>
    </row>
    <row r="3113" spans="1:17">
      <c r="A3113" s="366" t="s">
        <v>5069</v>
      </c>
      <c r="B3113" s="366" t="s">
        <v>231</v>
      </c>
      <c r="C3113" s="348" t="str">
        <f>DATA_PROPERTY_MASTER!$A$14</f>
        <v>BLD_MM</v>
      </c>
      <c r="D3113" s="380">
        <f>'00_PORTFOLIO ROLLUP'!Q$12</f>
        <v>2037</v>
      </c>
      <c r="E3113" s="366" t="s">
        <v>1741</v>
      </c>
      <c r="F3113" s="366" t="s">
        <v>41</v>
      </c>
      <c r="G3113" s="348" t="str">
        <f>"'"&amp;$C3113&amp;"'!rows 56 + positive row 63"</f>
        <v>'BLD_MM'!rows 56 + positive row 63</v>
      </c>
      <c r="H3113" s="381">
        <f ca="1">IF(IFERROR(INDEX(DATA_PROPERTY_MASTER!$E$5:$E$21,MATCH($C3113,DATA_PROPERTY_MASTER!$A$5:$A$21,0))="Yes",FALSE),IFERROR(INDEX(INDIRECT("'"&amp;$C3113&amp;"'!$E$56:$Y$56"),1,MATCH($D3113,INDIRECT("'"&amp;$C3113&amp;"'!$E$12:$Y$12"),0)),0)+MAX(IFERROR(INDEX(INDIRECT("'"&amp;$C3113&amp;"'!$E$63:$Y$63"),1,MATCH($D3113,INDIRECT("'"&amp;$C3113&amp;"'!$E$12:$Y$12"),0)),0),0),0)</f>
        <v>82819.895550973481</v>
      </c>
      <c r="I3113" s="366" t="s">
        <v>1685</v>
      </c>
      <c r="J3113" s="348" t="str">
        <f t="shared" ca="1" si="96"/>
        <v>OK</v>
      </c>
      <c r="K3113" s="366" t="s">
        <v>1742</v>
      </c>
      <c r="L3113" s="366" t="s">
        <v>2262</v>
      </c>
      <c r="M3113" s="350" t="str">
        <f>IF($B3113="Portfolio","Portfolio",IFERROR(INDEX(DATA_ASSET_CLASSIFICATION!$B$8:$B$24,MATCH($C3113,DATA_ASSET_CLASSIFICATION!$A$8:$A$24,0)),"Review"))</f>
        <v>Murray Manor</v>
      </c>
      <c r="N3113" s="350" t="str">
        <f ca="1">IF($B3113="Portfolio","Portfolio",IFERROR(INDEX(DATA_ASSET_CLASSIFICATION!$U$8:$U$24,MATCH($C3113,DATA_ASSET_CLASSIFICATION!$A$8:$A$24,0)),"Review"))</f>
        <v>Refi Watch</v>
      </c>
      <c r="O3113" s="350" t="str">
        <f ca="1">IF($B3113="Portfolio","Portfolio",IFERROR(INDEX(DATA_ASSET_CLASSIFICATION!$AB$8:$AB$13,MATCH($N3113,DATA_ASSET_CLASSIFICATION!$AA$8:$AA$13,0)),"Review"))</f>
        <v>Bucket 2 · Legacy</v>
      </c>
      <c r="P3113" s="350" t="str">
        <f>IF($B3113="Portfolio","Portfolio",IFERROR(INDEX(DATA_ASSET_CLASSIFICATION!$C$8:$C$24,MATCH($C3113,DATA_ASSET_CLASSIFICATION!$A$8:$A$24,0)),"Review"))</f>
        <v>Yes</v>
      </c>
      <c r="Q3113" s="350" t="str">
        <f t="shared" ca="1" si="97"/>
        <v>OK</v>
      </c>
    </row>
    <row r="3114" spans="1:17">
      <c r="A3114" s="366" t="s">
        <v>5070</v>
      </c>
      <c r="B3114" s="366" t="s">
        <v>231</v>
      </c>
      <c r="C3114" s="348" t="str">
        <f>DATA_PROPERTY_MASTER!$A$14</f>
        <v>BLD_MM</v>
      </c>
      <c r="D3114" s="380">
        <f>'00_PORTFOLIO ROLLUP'!Q$12</f>
        <v>2037</v>
      </c>
      <c r="E3114" s="366" t="s">
        <v>1741</v>
      </c>
      <c r="F3114" s="366" t="s">
        <v>43</v>
      </c>
      <c r="G3114" s="348" t="str">
        <f>"'"&amp;$C3114&amp;"'!$E$68:$Y$68"</f>
        <v>'BLD_MM'!$E$68:$Y$68</v>
      </c>
      <c r="H3114" s="381">
        <f ca="1">IF(IFERROR(INDEX(DATA_PROPERTY_MASTER!$E$5:$E$21,MATCH($C3114,DATA_PROPERTY_MASTER!$A$5:$A$21,0))="Yes",FALSE),IFERROR(INDEX(INDIRECT("'"&amp;$C3114&amp;"'!$E$68:$Y$68"),1,MATCH($D3114,INDIRECT("'"&amp;$C3114&amp;"'!$E$12:$Y$12"),0)),0),0)</f>
        <v>82819.895550973481</v>
      </c>
      <c r="I3114" s="366" t="s">
        <v>1731</v>
      </c>
      <c r="J3114" s="348" t="str">
        <f t="shared" ca="1" si="96"/>
        <v>OK</v>
      </c>
      <c r="K3114" s="366" t="s">
        <v>1746</v>
      </c>
      <c r="L3114" s="366" t="s">
        <v>2264</v>
      </c>
      <c r="M3114" s="350" t="str">
        <f>IF($B3114="Portfolio","Portfolio",IFERROR(INDEX(DATA_ASSET_CLASSIFICATION!$B$8:$B$24,MATCH($C3114,DATA_ASSET_CLASSIFICATION!$A$8:$A$24,0)),"Review"))</f>
        <v>Murray Manor</v>
      </c>
      <c r="N3114" s="350" t="str">
        <f ca="1">IF($B3114="Portfolio","Portfolio",IFERROR(INDEX(DATA_ASSET_CLASSIFICATION!$U$8:$U$24,MATCH($C3114,DATA_ASSET_CLASSIFICATION!$A$8:$A$24,0)),"Review"))</f>
        <v>Refi Watch</v>
      </c>
      <c r="O3114" s="350" t="str">
        <f ca="1">IF($B3114="Portfolio","Portfolio",IFERROR(INDEX(DATA_ASSET_CLASSIFICATION!$AB$8:$AB$13,MATCH($N3114,DATA_ASSET_CLASSIFICATION!$AA$8:$AA$13,0)),"Review"))</f>
        <v>Bucket 2 · Legacy</v>
      </c>
      <c r="P3114" s="350" t="str">
        <f>IF($B3114="Portfolio","Portfolio",IFERROR(INDEX(DATA_ASSET_CLASSIFICATION!$C$8:$C$24,MATCH($C3114,DATA_ASSET_CLASSIFICATION!$A$8:$A$24,0)),"Review"))</f>
        <v>Yes</v>
      </c>
      <c r="Q3114" s="350" t="str">
        <f t="shared" ca="1" si="97"/>
        <v>OK</v>
      </c>
    </row>
    <row r="3115" spans="1:17">
      <c r="A3115" s="366" t="s">
        <v>5071</v>
      </c>
      <c r="B3115" s="366" t="s">
        <v>231</v>
      </c>
      <c r="C3115" s="348" t="str">
        <f>DATA_PROPERTY_MASTER!$A$14</f>
        <v>BLD_MM</v>
      </c>
      <c r="D3115" s="380">
        <f>'00_PORTFOLIO ROLLUP'!Q$12</f>
        <v>2037</v>
      </c>
      <c r="E3115" s="366" t="s">
        <v>1741</v>
      </c>
      <c r="F3115" s="366" t="s">
        <v>1749</v>
      </c>
      <c r="G3115" s="348" t="str">
        <f>"'"&amp;$C3115&amp;"'!rows 56, 63, 68"</f>
        <v>'BLD_MM'!rows 56, 63, 68</v>
      </c>
      <c r="H3115" s="381">
        <f ca="1">IF(IFERROR(INDEX(DATA_PROPERTY_MASTER!$E$5:$E$21,MATCH($C3115,DATA_PROPERTY_MASTER!$A$5:$A$21,0))="Yes",FALSE),(IFERROR(INDEX(INDIRECT("'"&amp;$C3115&amp;"'!$E$56:$Y$56"),1,MATCH($D3115,INDIRECT("'"&amp;$C3115&amp;"'!$E$12:$Y$12"),0)),0)+MAX(IFERROR(INDEX(INDIRECT("'"&amp;$C3115&amp;"'!$E$63:$Y$63"),1,MATCH($D3115,INDIRECT("'"&amp;$C3115&amp;"'!$E$12:$Y$12"),0)),0),0))-(IFERROR(INDEX(INDIRECT("'"&amp;$C3115&amp;"'!$E$68:$Y$68"),1,MATCH($D3115,INDIRECT("'"&amp;$C3115&amp;"'!$E$12:$Y$12"),0)),0)),0)</f>
        <v>0</v>
      </c>
      <c r="I3115" s="366" t="s">
        <v>1750</v>
      </c>
      <c r="J3115" s="348" t="str">
        <f t="shared" ca="1" si="96"/>
        <v>OK</v>
      </c>
      <c r="K3115" s="366" t="s">
        <v>1751</v>
      </c>
      <c r="L3115" s="366" t="s">
        <v>2266</v>
      </c>
      <c r="M3115" s="350" t="str">
        <f>IF($B3115="Portfolio","Portfolio",IFERROR(INDEX(DATA_ASSET_CLASSIFICATION!$B$8:$B$24,MATCH($C3115,DATA_ASSET_CLASSIFICATION!$A$8:$A$24,0)),"Review"))</f>
        <v>Murray Manor</v>
      </c>
      <c r="N3115" s="350" t="str">
        <f ca="1">IF($B3115="Portfolio","Portfolio",IFERROR(INDEX(DATA_ASSET_CLASSIFICATION!$U$8:$U$24,MATCH($C3115,DATA_ASSET_CLASSIFICATION!$A$8:$A$24,0)),"Review"))</f>
        <v>Refi Watch</v>
      </c>
      <c r="O3115" s="350" t="str">
        <f ca="1">IF($B3115="Portfolio","Portfolio",IFERROR(INDEX(DATA_ASSET_CLASSIFICATION!$AB$8:$AB$13,MATCH($N3115,DATA_ASSET_CLASSIFICATION!$AA$8:$AA$13,0)),"Review"))</f>
        <v>Bucket 2 · Legacy</v>
      </c>
      <c r="P3115" s="350" t="str">
        <f>IF($B3115="Portfolio","Portfolio",IFERROR(INDEX(DATA_ASSET_CLASSIFICATION!$C$8:$C$24,MATCH($C3115,DATA_ASSET_CLASSIFICATION!$A$8:$A$24,0)),"Review"))</f>
        <v>Yes</v>
      </c>
      <c r="Q3115" s="350" t="str">
        <f t="shared" ca="1" si="97"/>
        <v>OK</v>
      </c>
    </row>
    <row r="3116" spans="1:17">
      <c r="A3116" s="366" t="s">
        <v>5072</v>
      </c>
      <c r="B3116" s="366" t="s">
        <v>231</v>
      </c>
      <c r="C3116" s="348" t="str">
        <f>DATA_PROPERTY_MASTER!$A$14</f>
        <v>BLD_MM</v>
      </c>
      <c r="D3116" s="380">
        <f>'00_PORTFOLIO ROLLUP'!R$12</f>
        <v>2038</v>
      </c>
      <c r="E3116" s="366" t="s">
        <v>1683</v>
      </c>
      <c r="F3116" s="366" t="s">
        <v>341</v>
      </c>
      <c r="G3116" s="348" t="str">
        <f>"'"&amp;$C3116&amp;"'!$E$24:$Y$24"</f>
        <v>'BLD_MM'!$E$24:$Y$24</v>
      </c>
      <c r="H3116" s="381">
        <f ca="1">IF(IFERROR(INDEX(DATA_PROPERTY_MASTER!$E$5:$E$21,MATCH($C3116,DATA_PROPERTY_MASTER!$A$5:$A$21,0))="Yes",FALSE),IFERROR(INDEX(INDIRECT("'"&amp;$C3116&amp;"'!$E$24:$Y$24"),1,MATCH($D3116,INDIRECT("'"&amp;$C3116&amp;"'!$E$12:$Y$12"),0)),0),0)</f>
        <v>1010307.4432982227</v>
      </c>
      <c r="I3116" s="366" t="s">
        <v>1685</v>
      </c>
      <c r="J3116" s="348" t="str">
        <f t="shared" ca="1" si="96"/>
        <v>OK</v>
      </c>
      <c r="K3116" s="366" t="s">
        <v>1686</v>
      </c>
      <c r="L3116" s="366" t="s">
        <v>2234</v>
      </c>
      <c r="M3116" s="350" t="str">
        <f>IF($B3116="Portfolio","Portfolio",IFERROR(INDEX(DATA_ASSET_CLASSIFICATION!$B$8:$B$24,MATCH($C3116,DATA_ASSET_CLASSIFICATION!$A$8:$A$24,0)),"Review"))</f>
        <v>Murray Manor</v>
      </c>
      <c r="N3116" s="350" t="str">
        <f ca="1">IF($B3116="Portfolio","Portfolio",IFERROR(INDEX(DATA_ASSET_CLASSIFICATION!$U$8:$U$24,MATCH($C3116,DATA_ASSET_CLASSIFICATION!$A$8:$A$24,0)),"Review"))</f>
        <v>Refi Watch</v>
      </c>
      <c r="O3116" s="350" t="str">
        <f ca="1">IF($B3116="Portfolio","Portfolio",IFERROR(INDEX(DATA_ASSET_CLASSIFICATION!$AB$8:$AB$13,MATCH($N3116,DATA_ASSET_CLASSIFICATION!$AA$8:$AA$13,0)),"Review"))</f>
        <v>Bucket 2 · Legacy</v>
      </c>
      <c r="P3116" s="350" t="str">
        <f>IF($B3116="Portfolio","Portfolio",IFERROR(INDEX(DATA_ASSET_CLASSIFICATION!$C$8:$C$24,MATCH($C3116,DATA_ASSET_CLASSIFICATION!$A$8:$A$24,0)),"Review"))</f>
        <v>Yes</v>
      </c>
      <c r="Q3116" s="350" t="str">
        <f t="shared" ca="1" si="97"/>
        <v>OK</v>
      </c>
    </row>
    <row r="3117" spans="1:17">
      <c r="A3117" s="366" t="s">
        <v>5073</v>
      </c>
      <c r="B3117" s="366" t="s">
        <v>231</v>
      </c>
      <c r="C3117" s="348" t="str">
        <f>DATA_PROPERTY_MASTER!$A$14</f>
        <v>BLD_MM</v>
      </c>
      <c r="D3117" s="380">
        <f>'00_PORTFOLIO ROLLUP'!R$12</f>
        <v>2038</v>
      </c>
      <c r="E3117" s="366" t="s">
        <v>1683</v>
      </c>
      <c r="F3117" s="366" t="s">
        <v>355</v>
      </c>
      <c r="G3117" s="348" t="str">
        <f>"'"&amp;$C3117&amp;"'!$E$39:$Y$39"</f>
        <v>'BLD_MM'!$E$39:$Y$39</v>
      </c>
      <c r="H3117" s="381">
        <f ca="1">IF(IFERROR(INDEX(DATA_PROPERTY_MASTER!$E$5:$E$21,MATCH($C3117,DATA_PROPERTY_MASTER!$A$5:$A$21,0))="Yes",FALSE),IFERROR(INDEX(INDIRECT("'"&amp;$C3117&amp;"'!$E$39:$Y$39"),1,MATCH($D3117,INDIRECT("'"&amp;$C3117&amp;"'!$E$12:$Y$12"),0)),0),0)</f>
        <v>437376.44095926371</v>
      </c>
      <c r="I3117" s="366" t="s">
        <v>1690</v>
      </c>
      <c r="J3117" s="348" t="str">
        <f t="shared" ca="1" si="96"/>
        <v>OK</v>
      </c>
      <c r="K3117" s="366" t="s">
        <v>1686</v>
      </c>
      <c r="L3117" s="366" t="s">
        <v>2236</v>
      </c>
      <c r="M3117" s="350" t="str">
        <f>IF($B3117="Portfolio","Portfolio",IFERROR(INDEX(DATA_ASSET_CLASSIFICATION!$B$8:$B$24,MATCH($C3117,DATA_ASSET_CLASSIFICATION!$A$8:$A$24,0)),"Review"))</f>
        <v>Murray Manor</v>
      </c>
      <c r="N3117" s="350" t="str">
        <f ca="1">IF($B3117="Portfolio","Portfolio",IFERROR(INDEX(DATA_ASSET_CLASSIFICATION!$U$8:$U$24,MATCH($C3117,DATA_ASSET_CLASSIFICATION!$A$8:$A$24,0)),"Review"))</f>
        <v>Refi Watch</v>
      </c>
      <c r="O3117" s="350" t="str">
        <f ca="1">IF($B3117="Portfolio","Portfolio",IFERROR(INDEX(DATA_ASSET_CLASSIFICATION!$AB$8:$AB$13,MATCH($N3117,DATA_ASSET_CLASSIFICATION!$AA$8:$AA$13,0)),"Review"))</f>
        <v>Bucket 2 · Legacy</v>
      </c>
      <c r="P3117" s="350" t="str">
        <f>IF($B3117="Portfolio","Portfolio",IFERROR(INDEX(DATA_ASSET_CLASSIFICATION!$C$8:$C$24,MATCH($C3117,DATA_ASSET_CLASSIFICATION!$A$8:$A$24,0)),"Review"))</f>
        <v>Yes</v>
      </c>
      <c r="Q3117" s="350" t="str">
        <f t="shared" ca="1" si="97"/>
        <v>OK</v>
      </c>
    </row>
    <row r="3118" spans="1:17">
      <c r="A3118" s="366" t="s">
        <v>5074</v>
      </c>
      <c r="B3118" s="366" t="s">
        <v>231</v>
      </c>
      <c r="C3118" s="348" t="str">
        <f>DATA_PROPERTY_MASTER!$A$14</f>
        <v>BLD_MM</v>
      </c>
      <c r="D3118" s="380">
        <f>'00_PORTFOLIO ROLLUP'!R$12</f>
        <v>2038</v>
      </c>
      <c r="E3118" s="366" t="s">
        <v>1683</v>
      </c>
      <c r="F3118" s="366" t="s">
        <v>19</v>
      </c>
      <c r="G3118" s="348" t="str">
        <f>"'"&amp;$C3118&amp;"'!$E$41:$Y$41"</f>
        <v>'BLD_MM'!$E$41:$Y$41</v>
      </c>
      <c r="H3118" s="381">
        <f ca="1">IF(IFERROR(INDEX(DATA_PROPERTY_MASTER!$E$5:$E$21,MATCH($C3118,DATA_PROPERTY_MASTER!$A$5:$A$21,0))="Yes",FALSE),IFERROR(INDEX(INDIRECT("'"&amp;$C3118&amp;"'!$E$41:$Y$41"),1,MATCH($D3118,INDIRECT("'"&amp;$C3118&amp;"'!$E$12:$Y$12"),0)),0),0)</f>
        <v>572931.00233895902</v>
      </c>
      <c r="I3118" s="366" t="s">
        <v>1685</v>
      </c>
      <c r="J3118" s="348" t="str">
        <f t="shared" ca="1" si="96"/>
        <v>OK</v>
      </c>
      <c r="K3118" s="366" t="s">
        <v>1694</v>
      </c>
      <c r="L3118" s="366" t="s">
        <v>2238</v>
      </c>
      <c r="M3118" s="350" t="str">
        <f>IF($B3118="Portfolio","Portfolio",IFERROR(INDEX(DATA_ASSET_CLASSIFICATION!$B$8:$B$24,MATCH($C3118,DATA_ASSET_CLASSIFICATION!$A$8:$A$24,0)),"Review"))</f>
        <v>Murray Manor</v>
      </c>
      <c r="N3118" s="350" t="str">
        <f ca="1">IF($B3118="Portfolio","Portfolio",IFERROR(INDEX(DATA_ASSET_CLASSIFICATION!$U$8:$U$24,MATCH($C3118,DATA_ASSET_CLASSIFICATION!$A$8:$A$24,0)),"Review"))</f>
        <v>Refi Watch</v>
      </c>
      <c r="O3118" s="350" t="str">
        <f ca="1">IF($B3118="Portfolio","Portfolio",IFERROR(INDEX(DATA_ASSET_CLASSIFICATION!$AB$8:$AB$13,MATCH($N3118,DATA_ASSET_CLASSIFICATION!$AA$8:$AA$13,0)),"Review"))</f>
        <v>Bucket 2 · Legacy</v>
      </c>
      <c r="P3118" s="350" t="str">
        <f>IF($B3118="Portfolio","Portfolio",IFERROR(INDEX(DATA_ASSET_CLASSIFICATION!$C$8:$C$24,MATCH($C3118,DATA_ASSET_CLASSIFICATION!$A$8:$A$24,0)),"Review"))</f>
        <v>Yes</v>
      </c>
      <c r="Q3118" s="350" t="str">
        <f t="shared" ca="1" si="97"/>
        <v>OK</v>
      </c>
    </row>
    <row r="3119" spans="1:17">
      <c r="A3119" s="366" t="s">
        <v>5075</v>
      </c>
      <c r="B3119" s="366" t="s">
        <v>231</v>
      </c>
      <c r="C3119" s="348" t="str">
        <f>DATA_PROPERTY_MASTER!$A$14</f>
        <v>BLD_MM</v>
      </c>
      <c r="D3119" s="380">
        <f>'00_PORTFOLIO ROLLUP'!R$12</f>
        <v>2038</v>
      </c>
      <c r="E3119" s="366" t="s">
        <v>1683</v>
      </c>
      <c r="F3119" s="366" t="s">
        <v>1697</v>
      </c>
      <c r="G3119" s="348" t="str">
        <f>"'"&amp;$C3119&amp;"'!$E$44:$Y$44"</f>
        <v>'BLD_MM'!$E$44:$Y$44</v>
      </c>
      <c r="H3119" s="381">
        <f ca="1">IF(IFERROR(INDEX(DATA_PROPERTY_MASTER!$E$5:$E$21,MATCH($C3119,DATA_PROPERTY_MASTER!$A$5:$A$21,0))="Yes",FALSE),IFERROR(INDEX(INDIRECT("'"&amp;$C3119&amp;"'!$E$44:$Y$44"),1,MATCH($D3119,INDIRECT("'"&amp;$C3119&amp;"'!$E$12:$Y$12"),0)),0),0)</f>
        <v>9119.9267446992617</v>
      </c>
      <c r="I3119" s="366" t="s">
        <v>1690</v>
      </c>
      <c r="J3119" s="348" t="str">
        <f t="shared" ca="1" si="96"/>
        <v>OK</v>
      </c>
      <c r="K3119" s="366" t="s">
        <v>1699</v>
      </c>
      <c r="L3119" s="366" t="s">
        <v>2240</v>
      </c>
      <c r="M3119" s="350" t="str">
        <f>IF($B3119="Portfolio","Portfolio",IFERROR(INDEX(DATA_ASSET_CLASSIFICATION!$B$8:$B$24,MATCH($C3119,DATA_ASSET_CLASSIFICATION!$A$8:$A$24,0)),"Review"))</f>
        <v>Murray Manor</v>
      </c>
      <c r="N3119" s="350" t="str">
        <f ca="1">IF($B3119="Portfolio","Portfolio",IFERROR(INDEX(DATA_ASSET_CLASSIFICATION!$U$8:$U$24,MATCH($C3119,DATA_ASSET_CLASSIFICATION!$A$8:$A$24,0)),"Review"))</f>
        <v>Refi Watch</v>
      </c>
      <c r="O3119" s="350" t="str">
        <f ca="1">IF($B3119="Portfolio","Portfolio",IFERROR(INDEX(DATA_ASSET_CLASSIFICATION!$AB$8:$AB$13,MATCH($N3119,DATA_ASSET_CLASSIFICATION!$AA$8:$AA$13,0)),"Review"))</f>
        <v>Bucket 2 · Legacy</v>
      </c>
      <c r="P3119" s="350" t="str">
        <f>IF($B3119="Portfolio","Portfolio",IFERROR(INDEX(DATA_ASSET_CLASSIFICATION!$C$8:$C$24,MATCH($C3119,DATA_ASSET_CLASSIFICATION!$A$8:$A$24,0)),"Review"))</f>
        <v>Yes</v>
      </c>
      <c r="Q3119" s="350" t="str">
        <f t="shared" ca="1" si="97"/>
        <v>OK</v>
      </c>
    </row>
    <row r="3120" spans="1:17">
      <c r="A3120" s="366" t="s">
        <v>5076</v>
      </c>
      <c r="B3120" s="366" t="s">
        <v>231</v>
      </c>
      <c r="C3120" s="348" t="str">
        <f>DATA_PROPERTY_MASTER!$A$14</f>
        <v>BLD_MM</v>
      </c>
      <c r="D3120" s="380">
        <f>'00_PORTFOLIO ROLLUP'!R$12</f>
        <v>2038</v>
      </c>
      <c r="E3120" s="366" t="s">
        <v>1683</v>
      </c>
      <c r="F3120" s="366" t="s">
        <v>21</v>
      </c>
      <c r="G3120" s="348" t="str">
        <f>"'"&amp;$C3120&amp;"'!$E$45:$Y$45"</f>
        <v>'BLD_MM'!$E$45:$Y$45</v>
      </c>
      <c r="H3120" s="381">
        <f ca="1">IF(IFERROR(INDEX(DATA_PROPERTY_MASTER!$E$5:$E$21,MATCH($C3120,DATA_PROPERTY_MASTER!$A$5:$A$21,0))="Yes",FALSE),IFERROR(INDEX(INDIRECT("'"&amp;$C3120&amp;"'!$E$45:$Y$45"),1,MATCH($D3120,INDIRECT("'"&amp;$C3120&amp;"'!$E$12:$Y$12"),0)),0),0)</f>
        <v>563811.07559425978</v>
      </c>
      <c r="I3120" s="366" t="s">
        <v>1685</v>
      </c>
      <c r="J3120" s="348" t="str">
        <f t="shared" ca="1" si="96"/>
        <v>OK</v>
      </c>
      <c r="K3120" s="366" t="s">
        <v>1694</v>
      </c>
      <c r="L3120" s="366" t="s">
        <v>2242</v>
      </c>
      <c r="M3120" s="350" t="str">
        <f>IF($B3120="Portfolio","Portfolio",IFERROR(INDEX(DATA_ASSET_CLASSIFICATION!$B$8:$B$24,MATCH($C3120,DATA_ASSET_CLASSIFICATION!$A$8:$A$24,0)),"Review"))</f>
        <v>Murray Manor</v>
      </c>
      <c r="N3120" s="350" t="str">
        <f ca="1">IF($B3120="Portfolio","Portfolio",IFERROR(INDEX(DATA_ASSET_CLASSIFICATION!$U$8:$U$24,MATCH($C3120,DATA_ASSET_CLASSIFICATION!$A$8:$A$24,0)),"Review"))</f>
        <v>Refi Watch</v>
      </c>
      <c r="O3120" s="350" t="str">
        <f ca="1">IF($B3120="Portfolio","Portfolio",IFERROR(INDEX(DATA_ASSET_CLASSIFICATION!$AB$8:$AB$13,MATCH($N3120,DATA_ASSET_CLASSIFICATION!$AA$8:$AA$13,0)),"Review"))</f>
        <v>Bucket 2 · Legacy</v>
      </c>
      <c r="P3120" s="350" t="str">
        <f>IF($B3120="Portfolio","Portfolio",IFERROR(INDEX(DATA_ASSET_CLASSIFICATION!$C$8:$C$24,MATCH($C3120,DATA_ASSET_CLASSIFICATION!$A$8:$A$24,0)),"Review"))</f>
        <v>Yes</v>
      </c>
      <c r="Q3120" s="350" t="str">
        <f t="shared" ca="1" si="97"/>
        <v>OK</v>
      </c>
    </row>
    <row r="3121" spans="1:17">
      <c r="A3121" s="366" t="s">
        <v>5077</v>
      </c>
      <c r="B3121" s="366" t="s">
        <v>231</v>
      </c>
      <c r="C3121" s="348" t="str">
        <f>DATA_PROPERTY_MASTER!$A$14</f>
        <v>BLD_MM</v>
      </c>
      <c r="D3121" s="380">
        <f>'00_PORTFOLIO ROLLUP'!R$12</f>
        <v>2038</v>
      </c>
      <c r="E3121" s="366" t="s">
        <v>23</v>
      </c>
      <c r="F3121" s="366" t="s">
        <v>23</v>
      </c>
      <c r="G3121" s="348" t="str">
        <f>"'"&amp;$C3121&amp;"'!$E$48:$Y$48"</f>
        <v>'BLD_MM'!$E$48:$Y$48</v>
      </c>
      <c r="H3121" s="381">
        <f ca="1">IF(IFERROR(INDEX(DATA_PROPERTY_MASTER!$E$5:$E$21,MATCH($C3121,DATA_PROPERTY_MASTER!$A$5:$A$21,0))="Yes",FALSE),IFERROR(INDEX(INDIRECT("'"&amp;$C3121&amp;"'!$E$48:$Y$48"),1,MATCH($D3121,INDIRECT("'"&amp;$C3121&amp;"'!$E$12:$Y$12"),0)),0),0)</f>
        <v>356739.03166510991</v>
      </c>
      <c r="I3121" s="366" t="s">
        <v>1690</v>
      </c>
      <c r="J3121" s="348" t="str">
        <f t="shared" ca="1" si="96"/>
        <v>OK</v>
      </c>
      <c r="K3121" s="366" t="s">
        <v>1706</v>
      </c>
      <c r="L3121" s="366" t="s">
        <v>2244</v>
      </c>
      <c r="M3121" s="350" t="str">
        <f>IF($B3121="Portfolio","Portfolio",IFERROR(INDEX(DATA_ASSET_CLASSIFICATION!$B$8:$B$24,MATCH($C3121,DATA_ASSET_CLASSIFICATION!$A$8:$A$24,0)),"Review"))</f>
        <v>Murray Manor</v>
      </c>
      <c r="N3121" s="350" t="str">
        <f ca="1">IF($B3121="Portfolio","Portfolio",IFERROR(INDEX(DATA_ASSET_CLASSIFICATION!$U$8:$U$24,MATCH($C3121,DATA_ASSET_CLASSIFICATION!$A$8:$A$24,0)),"Review"))</f>
        <v>Refi Watch</v>
      </c>
      <c r="O3121" s="350" t="str">
        <f ca="1">IF($B3121="Portfolio","Portfolio",IFERROR(INDEX(DATA_ASSET_CLASSIFICATION!$AB$8:$AB$13,MATCH($N3121,DATA_ASSET_CLASSIFICATION!$AA$8:$AA$13,0)),"Review"))</f>
        <v>Bucket 2 · Legacy</v>
      </c>
      <c r="P3121" s="350" t="str">
        <f>IF($B3121="Portfolio","Portfolio",IFERROR(INDEX(DATA_ASSET_CLASSIFICATION!$C$8:$C$24,MATCH($C3121,DATA_ASSET_CLASSIFICATION!$A$8:$A$24,0)),"Review"))</f>
        <v>Yes</v>
      </c>
      <c r="Q3121" s="350" t="str">
        <f t="shared" ca="1" si="97"/>
        <v>OK</v>
      </c>
    </row>
    <row r="3122" spans="1:17">
      <c r="A3122" s="366" t="s">
        <v>5078</v>
      </c>
      <c r="B3122" s="366" t="s">
        <v>231</v>
      </c>
      <c r="C3122" s="348" t="str">
        <f>DATA_PROPERTY_MASTER!$A$14</f>
        <v>BLD_MM</v>
      </c>
      <c r="D3122" s="380">
        <f>'00_PORTFOLIO ROLLUP'!R$12</f>
        <v>2038</v>
      </c>
      <c r="E3122" s="366" t="s">
        <v>1683</v>
      </c>
      <c r="F3122" s="366" t="s">
        <v>25</v>
      </c>
      <c r="G3122" s="348" t="str">
        <f>"'"&amp;$C3122&amp;"'!$E$52:$Y$52"</f>
        <v>'BLD_MM'!$E$52:$Y$52</v>
      </c>
      <c r="H3122" s="381">
        <f ca="1">IF(IFERROR(INDEX(DATA_PROPERTY_MASTER!$E$5:$E$21,MATCH($C3122,DATA_PROPERTY_MASTER!$A$5:$A$21,0))="Yes",FALSE),IFERROR(INDEX(INDIRECT("'"&amp;$C3122&amp;"'!$E$52:$Y$52"),1,MATCH($D3122,INDIRECT("'"&amp;$C3122&amp;"'!$E$12:$Y$12"),0)),0),0)</f>
        <v>216191.97067384911</v>
      </c>
      <c r="I3122" s="366" t="s">
        <v>1685</v>
      </c>
      <c r="J3122" s="348" t="str">
        <f t="shared" ca="1" si="96"/>
        <v>OK</v>
      </c>
      <c r="K3122" s="366" t="s">
        <v>1710</v>
      </c>
      <c r="L3122" s="366" t="s">
        <v>2246</v>
      </c>
      <c r="M3122" s="350" t="str">
        <f>IF($B3122="Portfolio","Portfolio",IFERROR(INDEX(DATA_ASSET_CLASSIFICATION!$B$8:$B$24,MATCH($C3122,DATA_ASSET_CLASSIFICATION!$A$8:$A$24,0)),"Review"))</f>
        <v>Murray Manor</v>
      </c>
      <c r="N3122" s="350" t="str">
        <f ca="1">IF($B3122="Portfolio","Portfolio",IFERROR(INDEX(DATA_ASSET_CLASSIFICATION!$U$8:$U$24,MATCH($C3122,DATA_ASSET_CLASSIFICATION!$A$8:$A$24,0)),"Review"))</f>
        <v>Refi Watch</v>
      </c>
      <c r="O3122" s="350" t="str">
        <f ca="1">IF($B3122="Portfolio","Portfolio",IFERROR(INDEX(DATA_ASSET_CLASSIFICATION!$AB$8:$AB$13,MATCH($N3122,DATA_ASSET_CLASSIFICATION!$AA$8:$AA$13,0)),"Review"))</f>
        <v>Bucket 2 · Legacy</v>
      </c>
      <c r="P3122" s="350" t="str">
        <f>IF($B3122="Portfolio","Portfolio",IFERROR(INDEX(DATA_ASSET_CLASSIFICATION!$C$8:$C$24,MATCH($C3122,DATA_ASSET_CLASSIFICATION!$A$8:$A$24,0)),"Review"))</f>
        <v>Yes</v>
      </c>
      <c r="Q3122" s="350" t="str">
        <f t="shared" ca="1" si="97"/>
        <v>OK</v>
      </c>
    </row>
    <row r="3123" spans="1:17">
      <c r="A3123" s="366" t="s">
        <v>5079</v>
      </c>
      <c r="B3123" s="366" t="s">
        <v>231</v>
      </c>
      <c r="C3123" s="348" t="str">
        <f>DATA_PROPERTY_MASTER!$A$14</f>
        <v>BLD_MM</v>
      </c>
      <c r="D3123" s="380">
        <f>'00_PORTFOLIO ROLLUP'!R$12</f>
        <v>2038</v>
      </c>
      <c r="E3123" s="366" t="s">
        <v>1683</v>
      </c>
      <c r="F3123" s="366" t="s">
        <v>27</v>
      </c>
      <c r="G3123" s="348" t="str">
        <f>"'"&amp;$C3123&amp;"'!$E$54:$Y$54"</f>
        <v>'BLD_MM'!$E$54:$Y$54</v>
      </c>
      <c r="H3123" s="381">
        <f ca="1">IF(IFERROR(INDEX(DATA_PROPERTY_MASTER!$E$5:$E$21,MATCH($C3123,DATA_PROPERTY_MASTER!$A$5:$A$21,0))="Yes",FALSE),IFERROR(INDEX(INDIRECT("'"&amp;$C3123&amp;"'!$E$54:$Y$54"),1,MATCH($D3123,INDIRECT("'"&amp;$C3123&amp;"'!$E$12:$Y$12"),0)),0),0)</f>
        <v>129715.18240430945</v>
      </c>
      <c r="I3123" s="366" t="s">
        <v>1690</v>
      </c>
      <c r="J3123" s="348" t="str">
        <f t="shared" ca="1" si="96"/>
        <v>OK</v>
      </c>
      <c r="K3123" s="366" t="s">
        <v>1714</v>
      </c>
      <c r="L3123" s="366" t="s">
        <v>2248</v>
      </c>
      <c r="M3123" s="350" t="str">
        <f>IF($B3123="Portfolio","Portfolio",IFERROR(INDEX(DATA_ASSET_CLASSIFICATION!$B$8:$B$24,MATCH($C3123,DATA_ASSET_CLASSIFICATION!$A$8:$A$24,0)),"Review"))</f>
        <v>Murray Manor</v>
      </c>
      <c r="N3123" s="350" t="str">
        <f ca="1">IF($B3123="Portfolio","Portfolio",IFERROR(INDEX(DATA_ASSET_CLASSIFICATION!$U$8:$U$24,MATCH($C3123,DATA_ASSET_CLASSIFICATION!$A$8:$A$24,0)),"Review"))</f>
        <v>Refi Watch</v>
      </c>
      <c r="O3123" s="350" t="str">
        <f ca="1">IF($B3123="Portfolio","Portfolio",IFERROR(INDEX(DATA_ASSET_CLASSIFICATION!$AB$8:$AB$13,MATCH($N3123,DATA_ASSET_CLASSIFICATION!$AA$8:$AA$13,0)),"Review"))</f>
        <v>Bucket 2 · Legacy</v>
      </c>
      <c r="P3123" s="350" t="str">
        <f>IF($B3123="Portfolio","Portfolio",IFERROR(INDEX(DATA_ASSET_CLASSIFICATION!$C$8:$C$24,MATCH($C3123,DATA_ASSET_CLASSIFICATION!$A$8:$A$24,0)),"Review"))</f>
        <v>Yes</v>
      </c>
      <c r="Q3123" s="350" t="str">
        <f t="shared" ca="1" si="97"/>
        <v>OK</v>
      </c>
    </row>
    <row r="3124" spans="1:17">
      <c r="A3124" s="366" t="s">
        <v>5080</v>
      </c>
      <c r="B3124" s="366" t="s">
        <v>231</v>
      </c>
      <c r="C3124" s="348" t="str">
        <f>DATA_PROPERTY_MASTER!$A$14</f>
        <v>BLD_MM</v>
      </c>
      <c r="D3124" s="380">
        <f>'00_PORTFOLIO ROLLUP'!R$12</f>
        <v>2038</v>
      </c>
      <c r="E3124" s="366" t="s">
        <v>1683</v>
      </c>
      <c r="F3124" s="366" t="s">
        <v>29</v>
      </c>
      <c r="G3124" s="348" t="str">
        <f>"'"&amp;$C3124&amp;"'!$E$56:$Y$56"</f>
        <v>'BLD_MM'!$E$56:$Y$56</v>
      </c>
      <c r="H3124" s="381">
        <f ca="1">IF(IFERROR(INDEX(DATA_PROPERTY_MASTER!$E$5:$E$21,MATCH($C3124,DATA_PROPERTY_MASTER!$A$5:$A$21,0))="Yes",FALSE),IFERROR(INDEX(INDIRECT("'"&amp;$C3124&amp;"'!$E$56:$Y$56"),1,MATCH($D3124,INDIRECT("'"&amp;$C3124&amp;"'!$E$12:$Y$12"),0)),0),0)</f>
        <v>86476.788269539655</v>
      </c>
      <c r="I3124" s="366" t="s">
        <v>1685</v>
      </c>
      <c r="J3124" s="348" t="str">
        <f t="shared" ca="1" si="96"/>
        <v>OK</v>
      </c>
      <c r="K3124" s="366" t="s">
        <v>1718</v>
      </c>
      <c r="L3124" s="366" t="s">
        <v>2250</v>
      </c>
      <c r="M3124" s="350" t="str">
        <f>IF($B3124="Portfolio","Portfolio",IFERROR(INDEX(DATA_ASSET_CLASSIFICATION!$B$8:$B$24,MATCH($C3124,DATA_ASSET_CLASSIFICATION!$A$8:$A$24,0)),"Review"))</f>
        <v>Murray Manor</v>
      </c>
      <c r="N3124" s="350" t="str">
        <f ca="1">IF($B3124="Portfolio","Portfolio",IFERROR(INDEX(DATA_ASSET_CLASSIFICATION!$U$8:$U$24,MATCH($C3124,DATA_ASSET_CLASSIFICATION!$A$8:$A$24,0)),"Review"))</f>
        <v>Refi Watch</v>
      </c>
      <c r="O3124" s="350" t="str">
        <f ca="1">IF($B3124="Portfolio","Portfolio",IFERROR(INDEX(DATA_ASSET_CLASSIFICATION!$AB$8:$AB$13,MATCH($N3124,DATA_ASSET_CLASSIFICATION!$AA$8:$AA$13,0)),"Review"))</f>
        <v>Bucket 2 · Legacy</v>
      </c>
      <c r="P3124" s="350" t="str">
        <f>IF($B3124="Portfolio","Portfolio",IFERROR(INDEX(DATA_ASSET_CLASSIFICATION!$C$8:$C$24,MATCH($C3124,DATA_ASSET_CLASSIFICATION!$A$8:$A$24,0)),"Review"))</f>
        <v>Yes</v>
      </c>
      <c r="Q3124" s="350" t="str">
        <f t="shared" ca="1" si="97"/>
        <v>OK</v>
      </c>
    </row>
    <row r="3125" spans="1:17">
      <c r="A3125" s="366" t="s">
        <v>5081</v>
      </c>
      <c r="B3125" s="366" t="s">
        <v>231</v>
      </c>
      <c r="C3125" s="348" t="str">
        <f>DATA_PROPERTY_MASTER!$A$14</f>
        <v>BLD_MM</v>
      </c>
      <c r="D3125" s="380">
        <f>'00_PORTFOLIO ROLLUP'!R$12</f>
        <v>2038</v>
      </c>
      <c r="E3125" s="366" t="s">
        <v>1721</v>
      </c>
      <c r="F3125" s="366" t="s">
        <v>31</v>
      </c>
      <c r="G3125" s="348" t="str">
        <f>"'"&amp;$C3125&amp;"'!$E$61:$Y$61"</f>
        <v>'BLD_MM'!$E$61:$Y$61</v>
      </c>
      <c r="H3125" s="381">
        <f ca="1">IF(IFERROR(INDEX(DATA_PROPERTY_MASTER!$E$5:$E$21,MATCH($C3125,DATA_PROPERTY_MASTER!$A$5:$A$21,0))="Yes",FALSE),IFERROR(INDEX(INDIRECT("'"&amp;$C3125&amp;"'!$E$61:$Y$61"),1,MATCH($D3125,INDIRECT("'"&amp;$C3125&amp;"'!$E$12:$Y$12"),0)),0),0)</f>
        <v>0</v>
      </c>
      <c r="I3125" s="366" t="s">
        <v>1690</v>
      </c>
      <c r="J3125" s="348" t="str">
        <f t="shared" ca="1" si="96"/>
        <v>OK</v>
      </c>
      <c r="K3125" s="366" t="s">
        <v>1723</v>
      </c>
      <c r="L3125" s="366" t="s">
        <v>2252</v>
      </c>
      <c r="M3125" s="350" t="str">
        <f>IF($B3125="Portfolio","Portfolio",IFERROR(INDEX(DATA_ASSET_CLASSIFICATION!$B$8:$B$24,MATCH($C3125,DATA_ASSET_CLASSIFICATION!$A$8:$A$24,0)),"Review"))</f>
        <v>Murray Manor</v>
      </c>
      <c r="N3125" s="350" t="str">
        <f ca="1">IF($B3125="Portfolio","Portfolio",IFERROR(INDEX(DATA_ASSET_CLASSIFICATION!$U$8:$U$24,MATCH($C3125,DATA_ASSET_CLASSIFICATION!$A$8:$A$24,0)),"Review"))</f>
        <v>Refi Watch</v>
      </c>
      <c r="O3125" s="350" t="str">
        <f ca="1">IF($B3125="Portfolio","Portfolio",IFERROR(INDEX(DATA_ASSET_CLASSIFICATION!$AB$8:$AB$13,MATCH($N3125,DATA_ASSET_CLASSIFICATION!$AA$8:$AA$13,0)),"Review"))</f>
        <v>Bucket 2 · Legacy</v>
      </c>
      <c r="P3125" s="350" t="str">
        <f>IF($B3125="Portfolio","Portfolio",IFERROR(INDEX(DATA_ASSET_CLASSIFICATION!$C$8:$C$24,MATCH($C3125,DATA_ASSET_CLASSIFICATION!$A$8:$A$24,0)),"Review"))</f>
        <v>Yes</v>
      </c>
      <c r="Q3125" s="350" t="str">
        <f t="shared" ca="1" si="97"/>
        <v>OK</v>
      </c>
    </row>
    <row r="3126" spans="1:17">
      <c r="A3126" s="366" t="s">
        <v>5082</v>
      </c>
      <c r="B3126" s="366" t="s">
        <v>231</v>
      </c>
      <c r="C3126" s="348" t="str">
        <f>DATA_PROPERTY_MASTER!$A$14</f>
        <v>BLD_MM</v>
      </c>
      <c r="D3126" s="380">
        <f>'00_PORTFOLIO ROLLUP'!R$12</f>
        <v>2038</v>
      </c>
      <c r="E3126" s="366" t="s">
        <v>1721</v>
      </c>
      <c r="F3126" s="366" t="s">
        <v>33</v>
      </c>
      <c r="G3126" s="348" t="str">
        <f>"'"&amp;$C3126&amp;"'!$E$62:$Y$62"</f>
        <v>'BLD_MM'!$E$62:$Y$62</v>
      </c>
      <c r="H3126" s="381">
        <f ca="1">IF(IFERROR(INDEX(DATA_PROPERTY_MASTER!$E$5:$E$21,MATCH($C3126,DATA_PROPERTY_MASTER!$A$5:$A$21,0))="Yes",FALSE),IFERROR(INDEX(INDIRECT("'"&amp;$C3126&amp;"'!$E$62:$Y$62"),1,MATCH($D3126,INDIRECT("'"&amp;$C3126&amp;"'!$E$12:$Y$12"),0)),0),0)</f>
        <v>0</v>
      </c>
      <c r="I3126" s="366" t="s">
        <v>1685</v>
      </c>
      <c r="J3126" s="348" t="str">
        <f t="shared" ca="1" si="96"/>
        <v>OK</v>
      </c>
      <c r="K3126" s="366" t="s">
        <v>1727</v>
      </c>
      <c r="L3126" s="366" t="s">
        <v>2254</v>
      </c>
      <c r="M3126" s="350" t="str">
        <f>IF($B3126="Portfolio","Portfolio",IFERROR(INDEX(DATA_ASSET_CLASSIFICATION!$B$8:$B$24,MATCH($C3126,DATA_ASSET_CLASSIFICATION!$A$8:$A$24,0)),"Review"))</f>
        <v>Murray Manor</v>
      </c>
      <c r="N3126" s="350" t="str">
        <f ca="1">IF($B3126="Portfolio","Portfolio",IFERROR(INDEX(DATA_ASSET_CLASSIFICATION!$U$8:$U$24,MATCH($C3126,DATA_ASSET_CLASSIFICATION!$A$8:$A$24,0)),"Review"))</f>
        <v>Refi Watch</v>
      </c>
      <c r="O3126" s="350" t="str">
        <f ca="1">IF($B3126="Portfolio","Portfolio",IFERROR(INDEX(DATA_ASSET_CLASSIFICATION!$AB$8:$AB$13,MATCH($N3126,DATA_ASSET_CLASSIFICATION!$AA$8:$AA$13,0)),"Review"))</f>
        <v>Bucket 2 · Legacy</v>
      </c>
      <c r="P3126" s="350" t="str">
        <f>IF($B3126="Portfolio","Portfolio",IFERROR(INDEX(DATA_ASSET_CLASSIFICATION!$C$8:$C$24,MATCH($C3126,DATA_ASSET_CLASSIFICATION!$A$8:$A$24,0)),"Review"))</f>
        <v>Yes</v>
      </c>
      <c r="Q3126" s="350" t="str">
        <f t="shared" ca="1" si="97"/>
        <v>OK</v>
      </c>
    </row>
    <row r="3127" spans="1:17">
      <c r="A3127" s="366" t="s">
        <v>5083</v>
      </c>
      <c r="B3127" s="366" t="s">
        <v>231</v>
      </c>
      <c r="C3127" s="348" t="str">
        <f>DATA_PROPERTY_MASTER!$A$14</f>
        <v>BLD_MM</v>
      </c>
      <c r="D3127" s="380">
        <f>'00_PORTFOLIO ROLLUP'!R$12</f>
        <v>2038</v>
      </c>
      <c r="E3127" s="366" t="s">
        <v>1721</v>
      </c>
      <c r="F3127" s="366" t="s">
        <v>35</v>
      </c>
      <c r="G3127" s="348" t="str">
        <f>"'"&amp;$C3127&amp;"'!$E$63:$Y$63"</f>
        <v>'BLD_MM'!$E$63:$Y$63</v>
      </c>
      <c r="H3127" s="381">
        <f ca="1">IF(IFERROR(INDEX(DATA_PROPERTY_MASTER!$E$5:$E$21,MATCH($C3127,DATA_PROPERTY_MASTER!$A$5:$A$21,0))="Yes",FALSE),IFERROR(INDEX(INDIRECT("'"&amp;$C3127&amp;"'!$E$63:$Y$63"),1,MATCH($D3127,INDIRECT("'"&amp;$C3127&amp;"'!$E$12:$Y$12"),0)),0),0)</f>
        <v>0</v>
      </c>
      <c r="I3127" s="366" t="s">
        <v>1731</v>
      </c>
      <c r="J3127" s="348" t="str">
        <f t="shared" ca="1" si="96"/>
        <v>OK</v>
      </c>
      <c r="K3127" s="366" t="s">
        <v>1732</v>
      </c>
      <c r="L3127" s="366" t="s">
        <v>2256</v>
      </c>
      <c r="M3127" s="350" t="str">
        <f>IF($B3127="Portfolio","Portfolio",IFERROR(INDEX(DATA_ASSET_CLASSIFICATION!$B$8:$B$24,MATCH($C3127,DATA_ASSET_CLASSIFICATION!$A$8:$A$24,0)),"Review"))</f>
        <v>Murray Manor</v>
      </c>
      <c r="N3127" s="350" t="str">
        <f ca="1">IF($B3127="Portfolio","Portfolio",IFERROR(INDEX(DATA_ASSET_CLASSIFICATION!$U$8:$U$24,MATCH($C3127,DATA_ASSET_CLASSIFICATION!$A$8:$A$24,0)),"Review"))</f>
        <v>Refi Watch</v>
      </c>
      <c r="O3127" s="350" t="str">
        <f ca="1">IF($B3127="Portfolio","Portfolio",IFERROR(INDEX(DATA_ASSET_CLASSIFICATION!$AB$8:$AB$13,MATCH($N3127,DATA_ASSET_CLASSIFICATION!$AA$8:$AA$13,0)),"Review"))</f>
        <v>Bucket 2 · Legacy</v>
      </c>
      <c r="P3127" s="350" t="str">
        <f>IF($B3127="Portfolio","Portfolio",IFERROR(INDEX(DATA_ASSET_CLASSIFICATION!$C$8:$C$24,MATCH($C3127,DATA_ASSET_CLASSIFICATION!$A$8:$A$24,0)),"Review"))</f>
        <v>Yes</v>
      </c>
      <c r="Q3127" s="350" t="str">
        <f t="shared" ca="1" si="97"/>
        <v>OK</v>
      </c>
    </row>
    <row r="3128" spans="1:17">
      <c r="A3128" s="366" t="s">
        <v>5084</v>
      </c>
      <c r="B3128" s="366" t="s">
        <v>231</v>
      </c>
      <c r="C3128" s="348" t="str">
        <f>DATA_PROPERTY_MASTER!$A$14</f>
        <v>BLD_MM</v>
      </c>
      <c r="D3128" s="380">
        <f>'00_PORTFOLIO ROLLUP'!R$12</f>
        <v>2038</v>
      </c>
      <c r="E3128" s="366" t="s">
        <v>1721</v>
      </c>
      <c r="F3128" s="366" t="s">
        <v>37</v>
      </c>
      <c r="G3128" s="348" t="str">
        <f>"'"&amp;$C3128&amp;"'!$E$63:$Y$63"</f>
        <v>'BLD_MM'!$E$63:$Y$63</v>
      </c>
      <c r="H3128" s="381">
        <f ca="1">IF(IFERROR(INDEX(DATA_PROPERTY_MASTER!$E$5:$E$21,MATCH($C3128,DATA_PROPERTY_MASTER!$A$5:$A$21,0))="Yes",FALSE),MAX(IFERROR(INDEX(INDIRECT("'"&amp;$C3128&amp;"'!$E$63:$Y$63"),1,MATCH($D3128,INDIRECT("'"&amp;$C3128&amp;"'!$E$12:$Y$12"),0)),0),0),0)</f>
        <v>0</v>
      </c>
      <c r="I3128" s="366" t="s">
        <v>1685</v>
      </c>
      <c r="J3128" s="348" t="str">
        <f t="shared" ca="1" si="96"/>
        <v>OK</v>
      </c>
      <c r="K3128" s="366" t="s">
        <v>1735</v>
      </c>
      <c r="L3128" s="366" t="s">
        <v>2258</v>
      </c>
      <c r="M3128" s="350" t="str">
        <f>IF($B3128="Portfolio","Portfolio",IFERROR(INDEX(DATA_ASSET_CLASSIFICATION!$B$8:$B$24,MATCH($C3128,DATA_ASSET_CLASSIFICATION!$A$8:$A$24,0)),"Review"))</f>
        <v>Murray Manor</v>
      </c>
      <c r="N3128" s="350" t="str">
        <f ca="1">IF($B3128="Portfolio","Portfolio",IFERROR(INDEX(DATA_ASSET_CLASSIFICATION!$U$8:$U$24,MATCH($C3128,DATA_ASSET_CLASSIFICATION!$A$8:$A$24,0)),"Review"))</f>
        <v>Refi Watch</v>
      </c>
      <c r="O3128" s="350" t="str">
        <f ca="1">IF($B3128="Portfolio","Portfolio",IFERROR(INDEX(DATA_ASSET_CLASSIFICATION!$AB$8:$AB$13,MATCH($N3128,DATA_ASSET_CLASSIFICATION!$AA$8:$AA$13,0)),"Review"))</f>
        <v>Bucket 2 · Legacy</v>
      </c>
      <c r="P3128" s="350" t="str">
        <f>IF($B3128="Portfolio","Portfolio",IFERROR(INDEX(DATA_ASSET_CLASSIFICATION!$C$8:$C$24,MATCH($C3128,DATA_ASSET_CLASSIFICATION!$A$8:$A$24,0)),"Review"))</f>
        <v>Yes</v>
      </c>
      <c r="Q3128" s="350" t="str">
        <f t="shared" ca="1" si="97"/>
        <v>OK</v>
      </c>
    </row>
    <row r="3129" spans="1:17">
      <c r="A3129" s="366" t="s">
        <v>5085</v>
      </c>
      <c r="B3129" s="366" t="s">
        <v>231</v>
      </c>
      <c r="C3129" s="348" t="str">
        <f>DATA_PROPERTY_MASTER!$A$14</f>
        <v>BLD_MM</v>
      </c>
      <c r="D3129" s="380">
        <f>'00_PORTFOLIO ROLLUP'!R$12</f>
        <v>2038</v>
      </c>
      <c r="E3129" s="366" t="s">
        <v>1721</v>
      </c>
      <c r="F3129" s="366" t="s">
        <v>39</v>
      </c>
      <c r="G3129" s="348" t="str">
        <f>"'"&amp;$C3129&amp;"'!$E$63:$Y$63"</f>
        <v>'BLD_MM'!$E$63:$Y$63</v>
      </c>
      <c r="H3129" s="381">
        <f ca="1">IF(IFERROR(INDEX(DATA_PROPERTY_MASTER!$E$5:$E$21,MATCH($C3129,DATA_PROPERTY_MASTER!$A$5:$A$21,0))="Yes",FALSE),MAX(-IFERROR(INDEX(INDIRECT("'"&amp;$C3129&amp;"'!$E$63:$Y$63"),1,MATCH($D3129,INDIRECT("'"&amp;$C3129&amp;"'!$E$12:$Y$12"),0)),0),0),0)</f>
        <v>0</v>
      </c>
      <c r="I3129" s="366" t="s">
        <v>1690</v>
      </c>
      <c r="J3129" s="348" t="str">
        <f t="shared" ca="1" si="96"/>
        <v>OK</v>
      </c>
      <c r="K3129" s="366" t="s">
        <v>1738</v>
      </c>
      <c r="L3129" s="366" t="s">
        <v>2260</v>
      </c>
      <c r="M3129" s="350" t="str">
        <f>IF($B3129="Portfolio","Portfolio",IFERROR(INDEX(DATA_ASSET_CLASSIFICATION!$B$8:$B$24,MATCH($C3129,DATA_ASSET_CLASSIFICATION!$A$8:$A$24,0)),"Review"))</f>
        <v>Murray Manor</v>
      </c>
      <c r="N3129" s="350" t="str">
        <f ca="1">IF($B3129="Portfolio","Portfolio",IFERROR(INDEX(DATA_ASSET_CLASSIFICATION!$U$8:$U$24,MATCH($C3129,DATA_ASSET_CLASSIFICATION!$A$8:$A$24,0)),"Review"))</f>
        <v>Refi Watch</v>
      </c>
      <c r="O3129" s="350" t="str">
        <f ca="1">IF($B3129="Portfolio","Portfolio",IFERROR(INDEX(DATA_ASSET_CLASSIFICATION!$AB$8:$AB$13,MATCH($N3129,DATA_ASSET_CLASSIFICATION!$AA$8:$AA$13,0)),"Review"))</f>
        <v>Bucket 2 · Legacy</v>
      </c>
      <c r="P3129" s="350" t="str">
        <f>IF($B3129="Portfolio","Portfolio",IFERROR(INDEX(DATA_ASSET_CLASSIFICATION!$C$8:$C$24,MATCH($C3129,DATA_ASSET_CLASSIFICATION!$A$8:$A$24,0)),"Review"))</f>
        <v>Yes</v>
      </c>
      <c r="Q3129" s="350" t="str">
        <f t="shared" ca="1" si="97"/>
        <v>OK</v>
      </c>
    </row>
    <row r="3130" spans="1:17">
      <c r="A3130" s="366" t="s">
        <v>5086</v>
      </c>
      <c r="B3130" s="366" t="s">
        <v>231</v>
      </c>
      <c r="C3130" s="348" t="str">
        <f>DATA_PROPERTY_MASTER!$A$14</f>
        <v>BLD_MM</v>
      </c>
      <c r="D3130" s="380">
        <f>'00_PORTFOLIO ROLLUP'!R$12</f>
        <v>2038</v>
      </c>
      <c r="E3130" s="366" t="s">
        <v>1741</v>
      </c>
      <c r="F3130" s="366" t="s">
        <v>41</v>
      </c>
      <c r="G3130" s="348" t="str">
        <f>"'"&amp;$C3130&amp;"'!rows 56 + positive row 63"</f>
        <v>'BLD_MM'!rows 56 + positive row 63</v>
      </c>
      <c r="H3130" s="381">
        <f ca="1">IF(IFERROR(INDEX(DATA_PROPERTY_MASTER!$E$5:$E$21,MATCH($C3130,DATA_PROPERTY_MASTER!$A$5:$A$21,0))="Yes",FALSE),IFERROR(INDEX(INDIRECT("'"&amp;$C3130&amp;"'!$E$56:$Y$56"),1,MATCH($D3130,INDIRECT("'"&amp;$C3130&amp;"'!$E$12:$Y$12"),0)),0)+MAX(IFERROR(INDEX(INDIRECT("'"&amp;$C3130&amp;"'!$E$63:$Y$63"),1,MATCH($D3130,INDIRECT("'"&amp;$C3130&amp;"'!$E$12:$Y$12"),0)),0),0),0)</f>
        <v>86476.788269539655</v>
      </c>
      <c r="I3130" s="366" t="s">
        <v>1685</v>
      </c>
      <c r="J3130" s="348" t="str">
        <f t="shared" ca="1" si="96"/>
        <v>OK</v>
      </c>
      <c r="K3130" s="366" t="s">
        <v>1742</v>
      </c>
      <c r="L3130" s="366" t="s">
        <v>2262</v>
      </c>
      <c r="M3130" s="350" t="str">
        <f>IF($B3130="Portfolio","Portfolio",IFERROR(INDEX(DATA_ASSET_CLASSIFICATION!$B$8:$B$24,MATCH($C3130,DATA_ASSET_CLASSIFICATION!$A$8:$A$24,0)),"Review"))</f>
        <v>Murray Manor</v>
      </c>
      <c r="N3130" s="350" t="str">
        <f ca="1">IF($B3130="Portfolio","Portfolio",IFERROR(INDEX(DATA_ASSET_CLASSIFICATION!$U$8:$U$24,MATCH($C3130,DATA_ASSET_CLASSIFICATION!$A$8:$A$24,0)),"Review"))</f>
        <v>Refi Watch</v>
      </c>
      <c r="O3130" s="350" t="str">
        <f ca="1">IF($B3130="Portfolio","Portfolio",IFERROR(INDEX(DATA_ASSET_CLASSIFICATION!$AB$8:$AB$13,MATCH($N3130,DATA_ASSET_CLASSIFICATION!$AA$8:$AA$13,0)),"Review"))</f>
        <v>Bucket 2 · Legacy</v>
      </c>
      <c r="P3130" s="350" t="str">
        <f>IF($B3130="Portfolio","Portfolio",IFERROR(INDEX(DATA_ASSET_CLASSIFICATION!$C$8:$C$24,MATCH($C3130,DATA_ASSET_CLASSIFICATION!$A$8:$A$24,0)),"Review"))</f>
        <v>Yes</v>
      </c>
      <c r="Q3130" s="350" t="str">
        <f t="shared" ca="1" si="97"/>
        <v>OK</v>
      </c>
    </row>
    <row r="3131" spans="1:17">
      <c r="A3131" s="366" t="s">
        <v>5087</v>
      </c>
      <c r="B3131" s="366" t="s">
        <v>231</v>
      </c>
      <c r="C3131" s="348" t="str">
        <f>DATA_PROPERTY_MASTER!$A$14</f>
        <v>BLD_MM</v>
      </c>
      <c r="D3131" s="380">
        <f>'00_PORTFOLIO ROLLUP'!R$12</f>
        <v>2038</v>
      </c>
      <c r="E3131" s="366" t="s">
        <v>1741</v>
      </c>
      <c r="F3131" s="366" t="s">
        <v>43</v>
      </c>
      <c r="G3131" s="348" t="str">
        <f>"'"&amp;$C3131&amp;"'!$E$68:$Y$68"</f>
        <v>'BLD_MM'!$E$68:$Y$68</v>
      </c>
      <c r="H3131" s="381">
        <f ca="1">IF(IFERROR(INDEX(DATA_PROPERTY_MASTER!$E$5:$E$21,MATCH($C3131,DATA_PROPERTY_MASTER!$A$5:$A$21,0))="Yes",FALSE),IFERROR(INDEX(INDIRECT("'"&amp;$C3131&amp;"'!$E$68:$Y$68"),1,MATCH($D3131,INDIRECT("'"&amp;$C3131&amp;"'!$E$12:$Y$12"),0)),0),0)</f>
        <v>86476.788269539655</v>
      </c>
      <c r="I3131" s="366" t="s">
        <v>1731</v>
      </c>
      <c r="J3131" s="348" t="str">
        <f t="shared" ca="1" si="96"/>
        <v>OK</v>
      </c>
      <c r="K3131" s="366" t="s">
        <v>1746</v>
      </c>
      <c r="L3131" s="366" t="s">
        <v>2264</v>
      </c>
      <c r="M3131" s="350" t="str">
        <f>IF($B3131="Portfolio","Portfolio",IFERROR(INDEX(DATA_ASSET_CLASSIFICATION!$B$8:$B$24,MATCH($C3131,DATA_ASSET_CLASSIFICATION!$A$8:$A$24,0)),"Review"))</f>
        <v>Murray Manor</v>
      </c>
      <c r="N3131" s="350" t="str">
        <f ca="1">IF($B3131="Portfolio","Portfolio",IFERROR(INDEX(DATA_ASSET_CLASSIFICATION!$U$8:$U$24,MATCH($C3131,DATA_ASSET_CLASSIFICATION!$A$8:$A$24,0)),"Review"))</f>
        <v>Refi Watch</v>
      </c>
      <c r="O3131" s="350" t="str">
        <f ca="1">IF($B3131="Portfolio","Portfolio",IFERROR(INDEX(DATA_ASSET_CLASSIFICATION!$AB$8:$AB$13,MATCH($N3131,DATA_ASSET_CLASSIFICATION!$AA$8:$AA$13,0)),"Review"))</f>
        <v>Bucket 2 · Legacy</v>
      </c>
      <c r="P3131" s="350" t="str">
        <f>IF($B3131="Portfolio","Portfolio",IFERROR(INDEX(DATA_ASSET_CLASSIFICATION!$C$8:$C$24,MATCH($C3131,DATA_ASSET_CLASSIFICATION!$A$8:$A$24,0)),"Review"))</f>
        <v>Yes</v>
      </c>
      <c r="Q3131" s="350" t="str">
        <f t="shared" ca="1" si="97"/>
        <v>OK</v>
      </c>
    </row>
    <row r="3132" spans="1:17">
      <c r="A3132" s="366" t="s">
        <v>5088</v>
      </c>
      <c r="B3132" s="366" t="s">
        <v>231</v>
      </c>
      <c r="C3132" s="348" t="str">
        <f>DATA_PROPERTY_MASTER!$A$14</f>
        <v>BLD_MM</v>
      </c>
      <c r="D3132" s="380">
        <f>'00_PORTFOLIO ROLLUP'!R$12</f>
        <v>2038</v>
      </c>
      <c r="E3132" s="366" t="s">
        <v>1741</v>
      </c>
      <c r="F3132" s="366" t="s">
        <v>1749</v>
      </c>
      <c r="G3132" s="348" t="str">
        <f>"'"&amp;$C3132&amp;"'!rows 56, 63, 68"</f>
        <v>'BLD_MM'!rows 56, 63, 68</v>
      </c>
      <c r="H3132" s="381">
        <f ca="1">IF(IFERROR(INDEX(DATA_PROPERTY_MASTER!$E$5:$E$21,MATCH($C3132,DATA_PROPERTY_MASTER!$A$5:$A$21,0))="Yes",FALSE),(IFERROR(INDEX(INDIRECT("'"&amp;$C3132&amp;"'!$E$56:$Y$56"),1,MATCH($D3132,INDIRECT("'"&amp;$C3132&amp;"'!$E$12:$Y$12"),0)),0)+MAX(IFERROR(INDEX(INDIRECT("'"&amp;$C3132&amp;"'!$E$63:$Y$63"),1,MATCH($D3132,INDIRECT("'"&amp;$C3132&amp;"'!$E$12:$Y$12"),0)),0),0))-(IFERROR(INDEX(INDIRECT("'"&amp;$C3132&amp;"'!$E$68:$Y$68"),1,MATCH($D3132,INDIRECT("'"&amp;$C3132&amp;"'!$E$12:$Y$12"),0)),0)),0)</f>
        <v>0</v>
      </c>
      <c r="I3132" s="366" t="s">
        <v>1750</v>
      </c>
      <c r="J3132" s="348" t="str">
        <f t="shared" ca="1" si="96"/>
        <v>OK</v>
      </c>
      <c r="K3132" s="366" t="s">
        <v>1751</v>
      </c>
      <c r="L3132" s="366" t="s">
        <v>2266</v>
      </c>
      <c r="M3132" s="350" t="str">
        <f>IF($B3132="Portfolio","Portfolio",IFERROR(INDEX(DATA_ASSET_CLASSIFICATION!$B$8:$B$24,MATCH($C3132,DATA_ASSET_CLASSIFICATION!$A$8:$A$24,0)),"Review"))</f>
        <v>Murray Manor</v>
      </c>
      <c r="N3132" s="350" t="str">
        <f ca="1">IF($B3132="Portfolio","Portfolio",IFERROR(INDEX(DATA_ASSET_CLASSIFICATION!$U$8:$U$24,MATCH($C3132,DATA_ASSET_CLASSIFICATION!$A$8:$A$24,0)),"Review"))</f>
        <v>Refi Watch</v>
      </c>
      <c r="O3132" s="350" t="str">
        <f ca="1">IF($B3132="Portfolio","Portfolio",IFERROR(INDEX(DATA_ASSET_CLASSIFICATION!$AB$8:$AB$13,MATCH($N3132,DATA_ASSET_CLASSIFICATION!$AA$8:$AA$13,0)),"Review"))</f>
        <v>Bucket 2 · Legacy</v>
      </c>
      <c r="P3132" s="350" t="str">
        <f>IF($B3132="Portfolio","Portfolio",IFERROR(INDEX(DATA_ASSET_CLASSIFICATION!$C$8:$C$24,MATCH($C3132,DATA_ASSET_CLASSIFICATION!$A$8:$A$24,0)),"Review"))</f>
        <v>Yes</v>
      </c>
      <c r="Q3132" s="350" t="str">
        <f t="shared" ca="1" si="97"/>
        <v>OK</v>
      </c>
    </row>
    <row r="3133" spans="1:17">
      <c r="A3133" s="366" t="s">
        <v>5089</v>
      </c>
      <c r="B3133" s="366" t="s">
        <v>231</v>
      </c>
      <c r="C3133" s="348" t="str">
        <f>DATA_PROPERTY_MASTER!$A$14</f>
        <v>BLD_MM</v>
      </c>
      <c r="D3133" s="380">
        <f>'00_PORTFOLIO ROLLUP'!S$12</f>
        <v>2039</v>
      </c>
      <c r="E3133" s="366" t="s">
        <v>1683</v>
      </c>
      <c r="F3133" s="366" t="s">
        <v>341</v>
      </c>
      <c r="G3133" s="348" t="str">
        <f>"'"&amp;$C3133&amp;"'!$E$24:$Y$24"</f>
        <v>'BLD_MM'!$E$24:$Y$24</v>
      </c>
      <c r="H3133" s="381">
        <f ca="1">IF(IFERROR(INDEX(DATA_PROPERTY_MASTER!$E$5:$E$21,MATCH($C3133,DATA_PROPERTY_MASTER!$A$5:$A$21,0))="Yes",FALSE),IFERROR(INDEX(INDIRECT("'"&amp;$C3133&amp;"'!$E$24:$Y$24"),1,MATCH($D3133,INDIRECT("'"&amp;$C3133&amp;"'!$E$12:$Y$12"),0)),0),0)</f>
        <v>1030513.5921641875</v>
      </c>
      <c r="I3133" s="366" t="s">
        <v>1685</v>
      </c>
      <c r="J3133" s="348" t="str">
        <f t="shared" ca="1" si="96"/>
        <v>OK</v>
      </c>
      <c r="K3133" s="366" t="s">
        <v>1686</v>
      </c>
      <c r="L3133" s="366" t="s">
        <v>2234</v>
      </c>
      <c r="M3133" s="350" t="str">
        <f>IF($B3133="Portfolio","Portfolio",IFERROR(INDEX(DATA_ASSET_CLASSIFICATION!$B$8:$B$24,MATCH($C3133,DATA_ASSET_CLASSIFICATION!$A$8:$A$24,0)),"Review"))</f>
        <v>Murray Manor</v>
      </c>
      <c r="N3133" s="350" t="str">
        <f ca="1">IF($B3133="Portfolio","Portfolio",IFERROR(INDEX(DATA_ASSET_CLASSIFICATION!$U$8:$U$24,MATCH($C3133,DATA_ASSET_CLASSIFICATION!$A$8:$A$24,0)),"Review"))</f>
        <v>Refi Watch</v>
      </c>
      <c r="O3133" s="350" t="str">
        <f ca="1">IF($B3133="Portfolio","Portfolio",IFERROR(INDEX(DATA_ASSET_CLASSIFICATION!$AB$8:$AB$13,MATCH($N3133,DATA_ASSET_CLASSIFICATION!$AA$8:$AA$13,0)),"Review"))</f>
        <v>Bucket 2 · Legacy</v>
      </c>
      <c r="P3133" s="350" t="str">
        <f>IF($B3133="Portfolio","Portfolio",IFERROR(INDEX(DATA_ASSET_CLASSIFICATION!$C$8:$C$24,MATCH($C3133,DATA_ASSET_CLASSIFICATION!$A$8:$A$24,0)),"Review"))</f>
        <v>Yes</v>
      </c>
      <c r="Q3133" s="350" t="str">
        <f t="shared" ca="1" si="97"/>
        <v>OK</v>
      </c>
    </row>
    <row r="3134" spans="1:17">
      <c r="A3134" s="366" t="s">
        <v>5090</v>
      </c>
      <c r="B3134" s="366" t="s">
        <v>231</v>
      </c>
      <c r="C3134" s="348" t="str">
        <f>DATA_PROPERTY_MASTER!$A$14</f>
        <v>BLD_MM</v>
      </c>
      <c r="D3134" s="380">
        <f>'00_PORTFOLIO ROLLUP'!S$12</f>
        <v>2039</v>
      </c>
      <c r="E3134" s="366" t="s">
        <v>1683</v>
      </c>
      <c r="F3134" s="366" t="s">
        <v>355</v>
      </c>
      <c r="G3134" s="348" t="str">
        <f>"'"&amp;$C3134&amp;"'!$E$39:$Y$39"</f>
        <v>'BLD_MM'!$E$39:$Y$39</v>
      </c>
      <c r="H3134" s="381">
        <f ca="1">IF(IFERROR(INDEX(DATA_PROPERTY_MASTER!$E$5:$E$21,MATCH($C3134,DATA_PROPERTY_MASTER!$A$5:$A$21,0))="Yes",FALSE),IFERROR(INDEX(INDIRECT("'"&amp;$C3134&amp;"'!$E$39:$Y$39"),1,MATCH($D3134,INDIRECT("'"&amp;$C3134&amp;"'!$E$12:$Y$12"),0)),0),0)</f>
        <v>448310.85198324529</v>
      </c>
      <c r="I3134" s="366" t="s">
        <v>1690</v>
      </c>
      <c r="J3134" s="348" t="str">
        <f t="shared" ca="1" si="96"/>
        <v>OK</v>
      </c>
      <c r="K3134" s="366" t="s">
        <v>1686</v>
      </c>
      <c r="L3134" s="366" t="s">
        <v>2236</v>
      </c>
      <c r="M3134" s="350" t="str">
        <f>IF($B3134="Portfolio","Portfolio",IFERROR(INDEX(DATA_ASSET_CLASSIFICATION!$B$8:$B$24,MATCH($C3134,DATA_ASSET_CLASSIFICATION!$A$8:$A$24,0)),"Review"))</f>
        <v>Murray Manor</v>
      </c>
      <c r="N3134" s="350" t="str">
        <f ca="1">IF($B3134="Portfolio","Portfolio",IFERROR(INDEX(DATA_ASSET_CLASSIFICATION!$U$8:$U$24,MATCH($C3134,DATA_ASSET_CLASSIFICATION!$A$8:$A$24,0)),"Review"))</f>
        <v>Refi Watch</v>
      </c>
      <c r="O3134" s="350" t="str">
        <f ca="1">IF($B3134="Portfolio","Portfolio",IFERROR(INDEX(DATA_ASSET_CLASSIFICATION!$AB$8:$AB$13,MATCH($N3134,DATA_ASSET_CLASSIFICATION!$AA$8:$AA$13,0)),"Review"))</f>
        <v>Bucket 2 · Legacy</v>
      </c>
      <c r="P3134" s="350" t="str">
        <f>IF($B3134="Portfolio","Portfolio",IFERROR(INDEX(DATA_ASSET_CLASSIFICATION!$C$8:$C$24,MATCH($C3134,DATA_ASSET_CLASSIFICATION!$A$8:$A$24,0)),"Review"))</f>
        <v>Yes</v>
      </c>
      <c r="Q3134" s="350" t="str">
        <f t="shared" ca="1" si="97"/>
        <v>OK</v>
      </c>
    </row>
    <row r="3135" spans="1:17">
      <c r="A3135" s="366" t="s">
        <v>5091</v>
      </c>
      <c r="B3135" s="366" t="s">
        <v>231</v>
      </c>
      <c r="C3135" s="348" t="str">
        <f>DATA_PROPERTY_MASTER!$A$14</f>
        <v>BLD_MM</v>
      </c>
      <c r="D3135" s="380">
        <f>'00_PORTFOLIO ROLLUP'!S$12</f>
        <v>2039</v>
      </c>
      <c r="E3135" s="366" t="s">
        <v>1683</v>
      </c>
      <c r="F3135" s="366" t="s">
        <v>19</v>
      </c>
      <c r="G3135" s="348" t="str">
        <f>"'"&amp;$C3135&amp;"'!$E$41:$Y$41"</f>
        <v>'BLD_MM'!$E$41:$Y$41</v>
      </c>
      <c r="H3135" s="381">
        <f ca="1">IF(IFERROR(INDEX(DATA_PROPERTY_MASTER!$E$5:$E$21,MATCH($C3135,DATA_PROPERTY_MASTER!$A$5:$A$21,0))="Yes",FALSE),IFERROR(INDEX(INDIRECT("'"&amp;$C3135&amp;"'!$E$41:$Y$41"),1,MATCH($D3135,INDIRECT("'"&amp;$C3135&amp;"'!$E$12:$Y$12"),0)),0),0)</f>
        <v>582202.74018094223</v>
      </c>
      <c r="I3135" s="366" t="s">
        <v>1685</v>
      </c>
      <c r="J3135" s="348" t="str">
        <f t="shared" ca="1" si="96"/>
        <v>OK</v>
      </c>
      <c r="K3135" s="366" t="s">
        <v>1694</v>
      </c>
      <c r="L3135" s="366" t="s">
        <v>2238</v>
      </c>
      <c r="M3135" s="350" t="str">
        <f>IF($B3135="Portfolio","Portfolio",IFERROR(INDEX(DATA_ASSET_CLASSIFICATION!$B$8:$B$24,MATCH($C3135,DATA_ASSET_CLASSIFICATION!$A$8:$A$24,0)),"Review"))</f>
        <v>Murray Manor</v>
      </c>
      <c r="N3135" s="350" t="str">
        <f ca="1">IF($B3135="Portfolio","Portfolio",IFERROR(INDEX(DATA_ASSET_CLASSIFICATION!$U$8:$U$24,MATCH($C3135,DATA_ASSET_CLASSIFICATION!$A$8:$A$24,0)),"Review"))</f>
        <v>Refi Watch</v>
      </c>
      <c r="O3135" s="350" t="str">
        <f ca="1">IF($B3135="Portfolio","Portfolio",IFERROR(INDEX(DATA_ASSET_CLASSIFICATION!$AB$8:$AB$13,MATCH($N3135,DATA_ASSET_CLASSIFICATION!$AA$8:$AA$13,0)),"Review"))</f>
        <v>Bucket 2 · Legacy</v>
      </c>
      <c r="P3135" s="350" t="str">
        <f>IF($B3135="Portfolio","Portfolio",IFERROR(INDEX(DATA_ASSET_CLASSIFICATION!$C$8:$C$24,MATCH($C3135,DATA_ASSET_CLASSIFICATION!$A$8:$A$24,0)),"Review"))</f>
        <v>Yes</v>
      </c>
      <c r="Q3135" s="350" t="str">
        <f t="shared" ca="1" si="97"/>
        <v>OK</v>
      </c>
    </row>
    <row r="3136" spans="1:17">
      <c r="A3136" s="366" t="s">
        <v>5092</v>
      </c>
      <c r="B3136" s="366" t="s">
        <v>231</v>
      </c>
      <c r="C3136" s="348" t="str">
        <f>DATA_PROPERTY_MASTER!$A$14</f>
        <v>BLD_MM</v>
      </c>
      <c r="D3136" s="380">
        <f>'00_PORTFOLIO ROLLUP'!S$12</f>
        <v>2039</v>
      </c>
      <c r="E3136" s="366" t="s">
        <v>1683</v>
      </c>
      <c r="F3136" s="366" t="s">
        <v>1697</v>
      </c>
      <c r="G3136" s="348" t="str">
        <f>"'"&amp;$C3136&amp;"'!$E$44:$Y$44"</f>
        <v>'BLD_MM'!$E$44:$Y$44</v>
      </c>
      <c r="H3136" s="381">
        <f ca="1">IF(IFERROR(INDEX(DATA_PROPERTY_MASTER!$E$5:$E$21,MATCH($C3136,DATA_PROPERTY_MASTER!$A$5:$A$21,0))="Yes",FALSE),IFERROR(INDEX(INDIRECT("'"&amp;$C3136&amp;"'!$E$44:$Y$44"),1,MATCH($D3136,INDIRECT("'"&amp;$C3136&amp;"'!$E$12:$Y$12"),0)),0),0)</f>
        <v>9302.3252795932494</v>
      </c>
      <c r="I3136" s="366" t="s">
        <v>1690</v>
      </c>
      <c r="J3136" s="348" t="str">
        <f t="shared" ca="1" si="96"/>
        <v>OK</v>
      </c>
      <c r="K3136" s="366" t="s">
        <v>1699</v>
      </c>
      <c r="L3136" s="366" t="s">
        <v>2240</v>
      </c>
      <c r="M3136" s="350" t="str">
        <f>IF($B3136="Portfolio","Portfolio",IFERROR(INDEX(DATA_ASSET_CLASSIFICATION!$B$8:$B$24,MATCH($C3136,DATA_ASSET_CLASSIFICATION!$A$8:$A$24,0)),"Review"))</f>
        <v>Murray Manor</v>
      </c>
      <c r="N3136" s="350" t="str">
        <f ca="1">IF($B3136="Portfolio","Portfolio",IFERROR(INDEX(DATA_ASSET_CLASSIFICATION!$U$8:$U$24,MATCH($C3136,DATA_ASSET_CLASSIFICATION!$A$8:$A$24,0)),"Review"))</f>
        <v>Refi Watch</v>
      </c>
      <c r="O3136" s="350" t="str">
        <f ca="1">IF($B3136="Portfolio","Portfolio",IFERROR(INDEX(DATA_ASSET_CLASSIFICATION!$AB$8:$AB$13,MATCH($N3136,DATA_ASSET_CLASSIFICATION!$AA$8:$AA$13,0)),"Review"))</f>
        <v>Bucket 2 · Legacy</v>
      </c>
      <c r="P3136" s="350" t="str">
        <f>IF($B3136="Portfolio","Portfolio",IFERROR(INDEX(DATA_ASSET_CLASSIFICATION!$C$8:$C$24,MATCH($C3136,DATA_ASSET_CLASSIFICATION!$A$8:$A$24,0)),"Review"))</f>
        <v>Yes</v>
      </c>
      <c r="Q3136" s="350" t="str">
        <f t="shared" ca="1" si="97"/>
        <v>OK</v>
      </c>
    </row>
    <row r="3137" spans="1:17">
      <c r="A3137" s="366" t="s">
        <v>5093</v>
      </c>
      <c r="B3137" s="366" t="s">
        <v>231</v>
      </c>
      <c r="C3137" s="348" t="str">
        <f>DATA_PROPERTY_MASTER!$A$14</f>
        <v>BLD_MM</v>
      </c>
      <c r="D3137" s="380">
        <f>'00_PORTFOLIO ROLLUP'!S$12</f>
        <v>2039</v>
      </c>
      <c r="E3137" s="366" t="s">
        <v>1683</v>
      </c>
      <c r="F3137" s="366" t="s">
        <v>21</v>
      </c>
      <c r="G3137" s="348" t="str">
        <f>"'"&amp;$C3137&amp;"'!$E$45:$Y$45"</f>
        <v>'BLD_MM'!$E$45:$Y$45</v>
      </c>
      <c r="H3137" s="381">
        <f ca="1">IF(IFERROR(INDEX(DATA_PROPERTY_MASTER!$E$5:$E$21,MATCH($C3137,DATA_PROPERTY_MASTER!$A$5:$A$21,0))="Yes",FALSE),IFERROR(INDEX(INDIRECT("'"&amp;$C3137&amp;"'!$E$45:$Y$45"),1,MATCH($D3137,INDIRECT("'"&amp;$C3137&amp;"'!$E$12:$Y$12"),0)),0),0)</f>
        <v>572900.414901349</v>
      </c>
      <c r="I3137" s="366" t="s">
        <v>1685</v>
      </c>
      <c r="J3137" s="348" t="str">
        <f t="shared" ca="1" si="96"/>
        <v>OK</v>
      </c>
      <c r="K3137" s="366" t="s">
        <v>1694</v>
      </c>
      <c r="L3137" s="366" t="s">
        <v>2242</v>
      </c>
      <c r="M3137" s="350" t="str">
        <f>IF($B3137="Portfolio","Portfolio",IFERROR(INDEX(DATA_ASSET_CLASSIFICATION!$B$8:$B$24,MATCH($C3137,DATA_ASSET_CLASSIFICATION!$A$8:$A$24,0)),"Review"))</f>
        <v>Murray Manor</v>
      </c>
      <c r="N3137" s="350" t="str">
        <f ca="1">IF($B3137="Portfolio","Portfolio",IFERROR(INDEX(DATA_ASSET_CLASSIFICATION!$U$8:$U$24,MATCH($C3137,DATA_ASSET_CLASSIFICATION!$A$8:$A$24,0)),"Review"))</f>
        <v>Refi Watch</v>
      </c>
      <c r="O3137" s="350" t="str">
        <f ca="1">IF($B3137="Portfolio","Portfolio",IFERROR(INDEX(DATA_ASSET_CLASSIFICATION!$AB$8:$AB$13,MATCH($N3137,DATA_ASSET_CLASSIFICATION!$AA$8:$AA$13,0)),"Review"))</f>
        <v>Bucket 2 · Legacy</v>
      </c>
      <c r="P3137" s="350" t="str">
        <f>IF($B3137="Portfolio","Portfolio",IFERROR(INDEX(DATA_ASSET_CLASSIFICATION!$C$8:$C$24,MATCH($C3137,DATA_ASSET_CLASSIFICATION!$A$8:$A$24,0)),"Review"))</f>
        <v>Yes</v>
      </c>
      <c r="Q3137" s="350" t="str">
        <f t="shared" ca="1" si="97"/>
        <v>OK</v>
      </c>
    </row>
    <row r="3138" spans="1:17">
      <c r="A3138" s="366" t="s">
        <v>5094</v>
      </c>
      <c r="B3138" s="366" t="s">
        <v>231</v>
      </c>
      <c r="C3138" s="348" t="str">
        <f>DATA_PROPERTY_MASTER!$A$14</f>
        <v>BLD_MM</v>
      </c>
      <c r="D3138" s="380">
        <f>'00_PORTFOLIO ROLLUP'!S$12</f>
        <v>2039</v>
      </c>
      <c r="E3138" s="366" t="s">
        <v>23</v>
      </c>
      <c r="F3138" s="366" t="s">
        <v>23</v>
      </c>
      <c r="G3138" s="348" t="str">
        <f>"'"&amp;$C3138&amp;"'!$E$48:$Y$48"</f>
        <v>'BLD_MM'!$E$48:$Y$48</v>
      </c>
      <c r="H3138" s="381">
        <f ca="1">IF(IFERROR(INDEX(DATA_PROPERTY_MASTER!$E$5:$E$21,MATCH($C3138,DATA_PROPERTY_MASTER!$A$5:$A$21,0))="Yes",FALSE),IFERROR(INDEX(INDIRECT("'"&amp;$C3138&amp;"'!$E$48:$Y$48"),1,MATCH($D3138,INDIRECT("'"&amp;$C3138&amp;"'!$E$12:$Y$12"),0)),0),0)</f>
        <v>356739.03166510991</v>
      </c>
      <c r="I3138" s="366" t="s">
        <v>1690</v>
      </c>
      <c r="J3138" s="348" t="str">
        <f t="shared" ca="1" si="96"/>
        <v>OK</v>
      </c>
      <c r="K3138" s="366" t="s">
        <v>1706</v>
      </c>
      <c r="L3138" s="366" t="s">
        <v>2244</v>
      </c>
      <c r="M3138" s="350" t="str">
        <f>IF($B3138="Portfolio","Portfolio",IFERROR(INDEX(DATA_ASSET_CLASSIFICATION!$B$8:$B$24,MATCH($C3138,DATA_ASSET_CLASSIFICATION!$A$8:$A$24,0)),"Review"))</f>
        <v>Murray Manor</v>
      </c>
      <c r="N3138" s="350" t="str">
        <f ca="1">IF($B3138="Portfolio","Portfolio",IFERROR(INDEX(DATA_ASSET_CLASSIFICATION!$U$8:$U$24,MATCH($C3138,DATA_ASSET_CLASSIFICATION!$A$8:$A$24,0)),"Review"))</f>
        <v>Refi Watch</v>
      </c>
      <c r="O3138" s="350" t="str">
        <f ca="1">IF($B3138="Portfolio","Portfolio",IFERROR(INDEX(DATA_ASSET_CLASSIFICATION!$AB$8:$AB$13,MATCH($N3138,DATA_ASSET_CLASSIFICATION!$AA$8:$AA$13,0)),"Review"))</f>
        <v>Bucket 2 · Legacy</v>
      </c>
      <c r="P3138" s="350" t="str">
        <f>IF($B3138="Portfolio","Portfolio",IFERROR(INDEX(DATA_ASSET_CLASSIFICATION!$C$8:$C$24,MATCH($C3138,DATA_ASSET_CLASSIFICATION!$A$8:$A$24,0)),"Review"))</f>
        <v>Yes</v>
      </c>
      <c r="Q3138" s="350" t="str">
        <f t="shared" ca="1" si="97"/>
        <v>OK</v>
      </c>
    </row>
    <row r="3139" spans="1:17">
      <c r="A3139" s="366" t="s">
        <v>5095</v>
      </c>
      <c r="B3139" s="366" t="s">
        <v>231</v>
      </c>
      <c r="C3139" s="348" t="str">
        <f>DATA_PROPERTY_MASTER!$A$14</f>
        <v>BLD_MM</v>
      </c>
      <c r="D3139" s="380">
        <f>'00_PORTFOLIO ROLLUP'!S$12</f>
        <v>2039</v>
      </c>
      <c r="E3139" s="366" t="s">
        <v>1683</v>
      </c>
      <c r="F3139" s="366" t="s">
        <v>25</v>
      </c>
      <c r="G3139" s="348" t="str">
        <f>"'"&amp;$C3139&amp;"'!$E$52:$Y$52"</f>
        <v>'BLD_MM'!$E$52:$Y$52</v>
      </c>
      <c r="H3139" s="381">
        <f ca="1">IF(IFERROR(INDEX(DATA_PROPERTY_MASTER!$E$5:$E$21,MATCH($C3139,DATA_PROPERTY_MASTER!$A$5:$A$21,0))="Yes",FALSE),IFERROR(INDEX(INDIRECT("'"&amp;$C3139&amp;"'!$E$52:$Y$52"),1,MATCH($D3139,INDIRECT("'"&amp;$C3139&amp;"'!$E$12:$Y$12"),0)),0),0)</f>
        <v>225463.70851583232</v>
      </c>
      <c r="I3139" s="366" t="s">
        <v>1685</v>
      </c>
      <c r="J3139" s="348" t="str">
        <f t="shared" ca="1" si="96"/>
        <v>OK</v>
      </c>
      <c r="K3139" s="366" t="s">
        <v>1710</v>
      </c>
      <c r="L3139" s="366" t="s">
        <v>2246</v>
      </c>
      <c r="M3139" s="350" t="str">
        <f>IF($B3139="Portfolio","Portfolio",IFERROR(INDEX(DATA_ASSET_CLASSIFICATION!$B$8:$B$24,MATCH($C3139,DATA_ASSET_CLASSIFICATION!$A$8:$A$24,0)),"Review"))</f>
        <v>Murray Manor</v>
      </c>
      <c r="N3139" s="350" t="str">
        <f ca="1">IF($B3139="Portfolio","Portfolio",IFERROR(INDEX(DATA_ASSET_CLASSIFICATION!$U$8:$U$24,MATCH($C3139,DATA_ASSET_CLASSIFICATION!$A$8:$A$24,0)),"Review"))</f>
        <v>Refi Watch</v>
      </c>
      <c r="O3139" s="350" t="str">
        <f ca="1">IF($B3139="Portfolio","Portfolio",IFERROR(INDEX(DATA_ASSET_CLASSIFICATION!$AB$8:$AB$13,MATCH($N3139,DATA_ASSET_CLASSIFICATION!$AA$8:$AA$13,0)),"Review"))</f>
        <v>Bucket 2 · Legacy</v>
      </c>
      <c r="P3139" s="350" t="str">
        <f>IF($B3139="Portfolio","Portfolio",IFERROR(INDEX(DATA_ASSET_CLASSIFICATION!$C$8:$C$24,MATCH($C3139,DATA_ASSET_CLASSIFICATION!$A$8:$A$24,0)),"Review"))</f>
        <v>Yes</v>
      </c>
      <c r="Q3139" s="350" t="str">
        <f t="shared" ca="1" si="97"/>
        <v>OK</v>
      </c>
    </row>
    <row r="3140" spans="1:17">
      <c r="A3140" s="366" t="s">
        <v>5096</v>
      </c>
      <c r="B3140" s="366" t="s">
        <v>231</v>
      </c>
      <c r="C3140" s="348" t="str">
        <f>DATA_PROPERTY_MASTER!$A$14</f>
        <v>BLD_MM</v>
      </c>
      <c r="D3140" s="380">
        <f>'00_PORTFOLIO ROLLUP'!S$12</f>
        <v>2039</v>
      </c>
      <c r="E3140" s="366" t="s">
        <v>1683</v>
      </c>
      <c r="F3140" s="366" t="s">
        <v>27</v>
      </c>
      <c r="G3140" s="348" t="str">
        <f>"'"&amp;$C3140&amp;"'!$E$54:$Y$54"</f>
        <v>'BLD_MM'!$E$54:$Y$54</v>
      </c>
      <c r="H3140" s="381">
        <f ca="1">IF(IFERROR(INDEX(DATA_PROPERTY_MASTER!$E$5:$E$21,MATCH($C3140,DATA_PROPERTY_MASTER!$A$5:$A$21,0))="Yes",FALSE),IFERROR(INDEX(INDIRECT("'"&amp;$C3140&amp;"'!$E$54:$Y$54"),1,MATCH($D3140,INDIRECT("'"&amp;$C3140&amp;"'!$E$12:$Y$12"),0)),0),0)</f>
        <v>135278.22510949938</v>
      </c>
      <c r="I3140" s="366" t="s">
        <v>1690</v>
      </c>
      <c r="J3140" s="348" t="str">
        <f t="shared" ca="1" si="96"/>
        <v>OK</v>
      </c>
      <c r="K3140" s="366" t="s">
        <v>1714</v>
      </c>
      <c r="L3140" s="366" t="s">
        <v>2248</v>
      </c>
      <c r="M3140" s="350" t="str">
        <f>IF($B3140="Portfolio","Portfolio",IFERROR(INDEX(DATA_ASSET_CLASSIFICATION!$B$8:$B$24,MATCH($C3140,DATA_ASSET_CLASSIFICATION!$A$8:$A$24,0)),"Review"))</f>
        <v>Murray Manor</v>
      </c>
      <c r="N3140" s="350" t="str">
        <f ca="1">IF($B3140="Portfolio","Portfolio",IFERROR(INDEX(DATA_ASSET_CLASSIFICATION!$U$8:$U$24,MATCH($C3140,DATA_ASSET_CLASSIFICATION!$A$8:$A$24,0)),"Review"))</f>
        <v>Refi Watch</v>
      </c>
      <c r="O3140" s="350" t="str">
        <f ca="1">IF($B3140="Portfolio","Portfolio",IFERROR(INDEX(DATA_ASSET_CLASSIFICATION!$AB$8:$AB$13,MATCH($N3140,DATA_ASSET_CLASSIFICATION!$AA$8:$AA$13,0)),"Review"))</f>
        <v>Bucket 2 · Legacy</v>
      </c>
      <c r="P3140" s="350" t="str">
        <f>IF($B3140="Portfolio","Portfolio",IFERROR(INDEX(DATA_ASSET_CLASSIFICATION!$C$8:$C$24,MATCH($C3140,DATA_ASSET_CLASSIFICATION!$A$8:$A$24,0)),"Review"))</f>
        <v>Yes</v>
      </c>
      <c r="Q3140" s="350" t="str">
        <f t="shared" ca="1" si="97"/>
        <v>OK</v>
      </c>
    </row>
    <row r="3141" spans="1:17">
      <c r="A3141" s="366" t="s">
        <v>5097</v>
      </c>
      <c r="B3141" s="366" t="s">
        <v>231</v>
      </c>
      <c r="C3141" s="348" t="str">
        <f>DATA_PROPERTY_MASTER!$A$14</f>
        <v>BLD_MM</v>
      </c>
      <c r="D3141" s="380">
        <f>'00_PORTFOLIO ROLLUP'!S$12</f>
        <v>2039</v>
      </c>
      <c r="E3141" s="366" t="s">
        <v>1683</v>
      </c>
      <c r="F3141" s="366" t="s">
        <v>29</v>
      </c>
      <c r="G3141" s="348" t="str">
        <f>"'"&amp;$C3141&amp;"'!$E$56:$Y$56"</f>
        <v>'BLD_MM'!$E$56:$Y$56</v>
      </c>
      <c r="H3141" s="381">
        <f ca="1">IF(IFERROR(INDEX(DATA_PROPERTY_MASTER!$E$5:$E$21,MATCH($C3141,DATA_PROPERTY_MASTER!$A$5:$A$21,0))="Yes",FALSE),IFERROR(INDEX(INDIRECT("'"&amp;$C3141&amp;"'!$E$56:$Y$56"),1,MATCH($D3141,INDIRECT("'"&amp;$C3141&amp;"'!$E$12:$Y$12"),0)),0),0)</f>
        <v>90185.483406332933</v>
      </c>
      <c r="I3141" s="366" t="s">
        <v>1685</v>
      </c>
      <c r="J3141" s="348" t="str">
        <f t="shared" ref="J3141:J3204" ca="1" si="98">IF($F3141="Residual Funding Gap",IF($H3141&gt;0,"Funding Gap","OK"),IF(AND($F3141="Net Refinance Position",$H3141&lt;0),"Negative net refi position","OK"))</f>
        <v>OK</v>
      </c>
      <c r="K3141" s="366" t="s">
        <v>1718</v>
      </c>
      <c r="L3141" s="366" t="s">
        <v>2250</v>
      </c>
      <c r="M3141" s="350" t="str">
        <f>IF($B3141="Portfolio","Portfolio",IFERROR(INDEX(DATA_ASSET_CLASSIFICATION!$B$8:$B$24,MATCH($C3141,DATA_ASSET_CLASSIFICATION!$A$8:$A$24,0)),"Review"))</f>
        <v>Murray Manor</v>
      </c>
      <c r="N3141" s="350" t="str">
        <f ca="1">IF($B3141="Portfolio","Portfolio",IFERROR(INDEX(DATA_ASSET_CLASSIFICATION!$U$8:$U$24,MATCH($C3141,DATA_ASSET_CLASSIFICATION!$A$8:$A$24,0)),"Review"))</f>
        <v>Refi Watch</v>
      </c>
      <c r="O3141" s="350" t="str">
        <f ca="1">IF($B3141="Portfolio","Portfolio",IFERROR(INDEX(DATA_ASSET_CLASSIFICATION!$AB$8:$AB$13,MATCH($N3141,DATA_ASSET_CLASSIFICATION!$AA$8:$AA$13,0)),"Review"))</f>
        <v>Bucket 2 · Legacy</v>
      </c>
      <c r="P3141" s="350" t="str">
        <f>IF($B3141="Portfolio","Portfolio",IFERROR(INDEX(DATA_ASSET_CLASSIFICATION!$C$8:$C$24,MATCH($C3141,DATA_ASSET_CLASSIFICATION!$A$8:$A$24,0)),"Review"))</f>
        <v>Yes</v>
      </c>
      <c r="Q3141" s="350" t="str">
        <f t="shared" ref="Q3141:Q3204" ca="1" si="99">IF(AND($B3141="Property",$F3141="Residual Funding Gap",$H3141&gt;0),"Property Funding Gap",IF($J3141&lt;&gt;"OK",$J3141,"OK"))</f>
        <v>OK</v>
      </c>
    </row>
    <row r="3142" spans="1:17">
      <c r="A3142" s="366" t="s">
        <v>5098</v>
      </c>
      <c r="B3142" s="366" t="s">
        <v>231</v>
      </c>
      <c r="C3142" s="348" t="str">
        <f>DATA_PROPERTY_MASTER!$A$14</f>
        <v>BLD_MM</v>
      </c>
      <c r="D3142" s="380">
        <f>'00_PORTFOLIO ROLLUP'!S$12</f>
        <v>2039</v>
      </c>
      <c r="E3142" s="366" t="s">
        <v>1721</v>
      </c>
      <c r="F3142" s="366" t="s">
        <v>31</v>
      </c>
      <c r="G3142" s="348" t="str">
        <f>"'"&amp;$C3142&amp;"'!$E$61:$Y$61"</f>
        <v>'BLD_MM'!$E$61:$Y$61</v>
      </c>
      <c r="H3142" s="381">
        <f ca="1">IF(IFERROR(INDEX(DATA_PROPERTY_MASTER!$E$5:$E$21,MATCH($C3142,DATA_PROPERTY_MASTER!$A$5:$A$21,0))="Yes",FALSE),IFERROR(INDEX(INDIRECT("'"&amp;$C3142&amp;"'!$E$61:$Y$61"),1,MATCH($D3142,INDIRECT("'"&amp;$C3142&amp;"'!$E$12:$Y$12"),0)),0),0)</f>
        <v>0</v>
      </c>
      <c r="I3142" s="366" t="s">
        <v>1690</v>
      </c>
      <c r="J3142" s="348" t="str">
        <f t="shared" ca="1" si="98"/>
        <v>OK</v>
      </c>
      <c r="K3142" s="366" t="s">
        <v>1723</v>
      </c>
      <c r="L3142" s="366" t="s">
        <v>2252</v>
      </c>
      <c r="M3142" s="350" t="str">
        <f>IF($B3142="Portfolio","Portfolio",IFERROR(INDEX(DATA_ASSET_CLASSIFICATION!$B$8:$B$24,MATCH($C3142,DATA_ASSET_CLASSIFICATION!$A$8:$A$24,0)),"Review"))</f>
        <v>Murray Manor</v>
      </c>
      <c r="N3142" s="350" t="str">
        <f ca="1">IF($B3142="Portfolio","Portfolio",IFERROR(INDEX(DATA_ASSET_CLASSIFICATION!$U$8:$U$24,MATCH($C3142,DATA_ASSET_CLASSIFICATION!$A$8:$A$24,0)),"Review"))</f>
        <v>Refi Watch</v>
      </c>
      <c r="O3142" s="350" t="str">
        <f ca="1">IF($B3142="Portfolio","Portfolio",IFERROR(INDEX(DATA_ASSET_CLASSIFICATION!$AB$8:$AB$13,MATCH($N3142,DATA_ASSET_CLASSIFICATION!$AA$8:$AA$13,0)),"Review"))</f>
        <v>Bucket 2 · Legacy</v>
      </c>
      <c r="P3142" s="350" t="str">
        <f>IF($B3142="Portfolio","Portfolio",IFERROR(INDEX(DATA_ASSET_CLASSIFICATION!$C$8:$C$24,MATCH($C3142,DATA_ASSET_CLASSIFICATION!$A$8:$A$24,0)),"Review"))</f>
        <v>Yes</v>
      </c>
      <c r="Q3142" s="350" t="str">
        <f t="shared" ca="1" si="99"/>
        <v>OK</v>
      </c>
    </row>
    <row r="3143" spans="1:17">
      <c r="A3143" s="366" t="s">
        <v>5099</v>
      </c>
      <c r="B3143" s="366" t="s">
        <v>231</v>
      </c>
      <c r="C3143" s="348" t="str">
        <f>DATA_PROPERTY_MASTER!$A$14</f>
        <v>BLD_MM</v>
      </c>
      <c r="D3143" s="380">
        <f>'00_PORTFOLIO ROLLUP'!S$12</f>
        <v>2039</v>
      </c>
      <c r="E3143" s="366" t="s">
        <v>1721</v>
      </c>
      <c r="F3143" s="366" t="s">
        <v>33</v>
      </c>
      <c r="G3143" s="348" t="str">
        <f>"'"&amp;$C3143&amp;"'!$E$62:$Y$62"</f>
        <v>'BLD_MM'!$E$62:$Y$62</v>
      </c>
      <c r="H3143" s="381">
        <f ca="1">IF(IFERROR(INDEX(DATA_PROPERTY_MASTER!$E$5:$E$21,MATCH($C3143,DATA_PROPERTY_MASTER!$A$5:$A$21,0))="Yes",FALSE),IFERROR(INDEX(INDIRECT("'"&amp;$C3143&amp;"'!$E$62:$Y$62"),1,MATCH($D3143,INDIRECT("'"&amp;$C3143&amp;"'!$E$12:$Y$12"),0)),0),0)</f>
        <v>0</v>
      </c>
      <c r="I3143" s="366" t="s">
        <v>1685</v>
      </c>
      <c r="J3143" s="348" t="str">
        <f t="shared" ca="1" si="98"/>
        <v>OK</v>
      </c>
      <c r="K3143" s="366" t="s">
        <v>1727</v>
      </c>
      <c r="L3143" s="366" t="s">
        <v>2254</v>
      </c>
      <c r="M3143" s="350" t="str">
        <f>IF($B3143="Portfolio","Portfolio",IFERROR(INDEX(DATA_ASSET_CLASSIFICATION!$B$8:$B$24,MATCH($C3143,DATA_ASSET_CLASSIFICATION!$A$8:$A$24,0)),"Review"))</f>
        <v>Murray Manor</v>
      </c>
      <c r="N3143" s="350" t="str">
        <f ca="1">IF($B3143="Portfolio","Portfolio",IFERROR(INDEX(DATA_ASSET_CLASSIFICATION!$U$8:$U$24,MATCH($C3143,DATA_ASSET_CLASSIFICATION!$A$8:$A$24,0)),"Review"))</f>
        <v>Refi Watch</v>
      </c>
      <c r="O3143" s="350" t="str">
        <f ca="1">IF($B3143="Portfolio","Portfolio",IFERROR(INDEX(DATA_ASSET_CLASSIFICATION!$AB$8:$AB$13,MATCH($N3143,DATA_ASSET_CLASSIFICATION!$AA$8:$AA$13,0)),"Review"))</f>
        <v>Bucket 2 · Legacy</v>
      </c>
      <c r="P3143" s="350" t="str">
        <f>IF($B3143="Portfolio","Portfolio",IFERROR(INDEX(DATA_ASSET_CLASSIFICATION!$C$8:$C$24,MATCH($C3143,DATA_ASSET_CLASSIFICATION!$A$8:$A$24,0)),"Review"))</f>
        <v>Yes</v>
      </c>
      <c r="Q3143" s="350" t="str">
        <f t="shared" ca="1" si="99"/>
        <v>OK</v>
      </c>
    </row>
    <row r="3144" spans="1:17">
      <c r="A3144" s="366" t="s">
        <v>5100</v>
      </c>
      <c r="B3144" s="366" t="s">
        <v>231</v>
      </c>
      <c r="C3144" s="348" t="str">
        <f>DATA_PROPERTY_MASTER!$A$14</f>
        <v>BLD_MM</v>
      </c>
      <c r="D3144" s="380">
        <f>'00_PORTFOLIO ROLLUP'!S$12</f>
        <v>2039</v>
      </c>
      <c r="E3144" s="366" t="s">
        <v>1721</v>
      </c>
      <c r="F3144" s="366" t="s">
        <v>35</v>
      </c>
      <c r="G3144" s="348" t="str">
        <f>"'"&amp;$C3144&amp;"'!$E$63:$Y$63"</f>
        <v>'BLD_MM'!$E$63:$Y$63</v>
      </c>
      <c r="H3144" s="381">
        <f ca="1">IF(IFERROR(INDEX(DATA_PROPERTY_MASTER!$E$5:$E$21,MATCH($C3144,DATA_PROPERTY_MASTER!$A$5:$A$21,0))="Yes",FALSE),IFERROR(INDEX(INDIRECT("'"&amp;$C3144&amp;"'!$E$63:$Y$63"),1,MATCH($D3144,INDIRECT("'"&amp;$C3144&amp;"'!$E$12:$Y$12"),0)),0),0)</f>
        <v>0</v>
      </c>
      <c r="I3144" s="366" t="s">
        <v>1731</v>
      </c>
      <c r="J3144" s="348" t="str">
        <f t="shared" ca="1" si="98"/>
        <v>OK</v>
      </c>
      <c r="K3144" s="366" t="s">
        <v>1732</v>
      </c>
      <c r="L3144" s="366" t="s">
        <v>2256</v>
      </c>
      <c r="M3144" s="350" t="str">
        <f>IF($B3144="Portfolio","Portfolio",IFERROR(INDEX(DATA_ASSET_CLASSIFICATION!$B$8:$B$24,MATCH($C3144,DATA_ASSET_CLASSIFICATION!$A$8:$A$24,0)),"Review"))</f>
        <v>Murray Manor</v>
      </c>
      <c r="N3144" s="350" t="str">
        <f ca="1">IF($B3144="Portfolio","Portfolio",IFERROR(INDEX(DATA_ASSET_CLASSIFICATION!$U$8:$U$24,MATCH($C3144,DATA_ASSET_CLASSIFICATION!$A$8:$A$24,0)),"Review"))</f>
        <v>Refi Watch</v>
      </c>
      <c r="O3144" s="350" t="str">
        <f ca="1">IF($B3144="Portfolio","Portfolio",IFERROR(INDEX(DATA_ASSET_CLASSIFICATION!$AB$8:$AB$13,MATCH($N3144,DATA_ASSET_CLASSIFICATION!$AA$8:$AA$13,0)),"Review"))</f>
        <v>Bucket 2 · Legacy</v>
      </c>
      <c r="P3144" s="350" t="str">
        <f>IF($B3144="Portfolio","Portfolio",IFERROR(INDEX(DATA_ASSET_CLASSIFICATION!$C$8:$C$24,MATCH($C3144,DATA_ASSET_CLASSIFICATION!$A$8:$A$24,0)),"Review"))</f>
        <v>Yes</v>
      </c>
      <c r="Q3144" s="350" t="str">
        <f t="shared" ca="1" si="99"/>
        <v>OK</v>
      </c>
    </row>
    <row r="3145" spans="1:17">
      <c r="A3145" s="366" t="s">
        <v>5101</v>
      </c>
      <c r="B3145" s="366" t="s">
        <v>231</v>
      </c>
      <c r="C3145" s="348" t="str">
        <f>DATA_PROPERTY_MASTER!$A$14</f>
        <v>BLD_MM</v>
      </c>
      <c r="D3145" s="380">
        <f>'00_PORTFOLIO ROLLUP'!S$12</f>
        <v>2039</v>
      </c>
      <c r="E3145" s="366" t="s">
        <v>1721</v>
      </c>
      <c r="F3145" s="366" t="s">
        <v>37</v>
      </c>
      <c r="G3145" s="348" t="str">
        <f>"'"&amp;$C3145&amp;"'!$E$63:$Y$63"</f>
        <v>'BLD_MM'!$E$63:$Y$63</v>
      </c>
      <c r="H3145" s="381">
        <f ca="1">IF(IFERROR(INDEX(DATA_PROPERTY_MASTER!$E$5:$E$21,MATCH($C3145,DATA_PROPERTY_MASTER!$A$5:$A$21,0))="Yes",FALSE),MAX(IFERROR(INDEX(INDIRECT("'"&amp;$C3145&amp;"'!$E$63:$Y$63"),1,MATCH($D3145,INDIRECT("'"&amp;$C3145&amp;"'!$E$12:$Y$12"),0)),0),0),0)</f>
        <v>0</v>
      </c>
      <c r="I3145" s="366" t="s">
        <v>1685</v>
      </c>
      <c r="J3145" s="348" t="str">
        <f t="shared" ca="1" si="98"/>
        <v>OK</v>
      </c>
      <c r="K3145" s="366" t="s">
        <v>1735</v>
      </c>
      <c r="L3145" s="366" t="s">
        <v>2258</v>
      </c>
      <c r="M3145" s="350" t="str">
        <f>IF($B3145="Portfolio","Portfolio",IFERROR(INDEX(DATA_ASSET_CLASSIFICATION!$B$8:$B$24,MATCH($C3145,DATA_ASSET_CLASSIFICATION!$A$8:$A$24,0)),"Review"))</f>
        <v>Murray Manor</v>
      </c>
      <c r="N3145" s="350" t="str">
        <f ca="1">IF($B3145="Portfolio","Portfolio",IFERROR(INDEX(DATA_ASSET_CLASSIFICATION!$U$8:$U$24,MATCH($C3145,DATA_ASSET_CLASSIFICATION!$A$8:$A$24,0)),"Review"))</f>
        <v>Refi Watch</v>
      </c>
      <c r="O3145" s="350" t="str">
        <f ca="1">IF($B3145="Portfolio","Portfolio",IFERROR(INDEX(DATA_ASSET_CLASSIFICATION!$AB$8:$AB$13,MATCH($N3145,DATA_ASSET_CLASSIFICATION!$AA$8:$AA$13,0)),"Review"))</f>
        <v>Bucket 2 · Legacy</v>
      </c>
      <c r="P3145" s="350" t="str">
        <f>IF($B3145="Portfolio","Portfolio",IFERROR(INDEX(DATA_ASSET_CLASSIFICATION!$C$8:$C$24,MATCH($C3145,DATA_ASSET_CLASSIFICATION!$A$8:$A$24,0)),"Review"))</f>
        <v>Yes</v>
      </c>
      <c r="Q3145" s="350" t="str">
        <f t="shared" ca="1" si="99"/>
        <v>OK</v>
      </c>
    </row>
    <row r="3146" spans="1:17">
      <c r="A3146" s="366" t="s">
        <v>5102</v>
      </c>
      <c r="B3146" s="366" t="s">
        <v>231</v>
      </c>
      <c r="C3146" s="348" t="str">
        <f>DATA_PROPERTY_MASTER!$A$14</f>
        <v>BLD_MM</v>
      </c>
      <c r="D3146" s="380">
        <f>'00_PORTFOLIO ROLLUP'!S$12</f>
        <v>2039</v>
      </c>
      <c r="E3146" s="366" t="s">
        <v>1721</v>
      </c>
      <c r="F3146" s="366" t="s">
        <v>39</v>
      </c>
      <c r="G3146" s="348" t="str">
        <f>"'"&amp;$C3146&amp;"'!$E$63:$Y$63"</f>
        <v>'BLD_MM'!$E$63:$Y$63</v>
      </c>
      <c r="H3146" s="381">
        <f ca="1">IF(IFERROR(INDEX(DATA_PROPERTY_MASTER!$E$5:$E$21,MATCH($C3146,DATA_PROPERTY_MASTER!$A$5:$A$21,0))="Yes",FALSE),MAX(-IFERROR(INDEX(INDIRECT("'"&amp;$C3146&amp;"'!$E$63:$Y$63"),1,MATCH($D3146,INDIRECT("'"&amp;$C3146&amp;"'!$E$12:$Y$12"),0)),0),0),0)</f>
        <v>0</v>
      </c>
      <c r="I3146" s="366" t="s">
        <v>1690</v>
      </c>
      <c r="J3146" s="348" t="str">
        <f t="shared" ca="1" si="98"/>
        <v>OK</v>
      </c>
      <c r="K3146" s="366" t="s">
        <v>1738</v>
      </c>
      <c r="L3146" s="366" t="s">
        <v>2260</v>
      </c>
      <c r="M3146" s="350" t="str">
        <f>IF($B3146="Portfolio","Portfolio",IFERROR(INDEX(DATA_ASSET_CLASSIFICATION!$B$8:$B$24,MATCH($C3146,DATA_ASSET_CLASSIFICATION!$A$8:$A$24,0)),"Review"))</f>
        <v>Murray Manor</v>
      </c>
      <c r="N3146" s="350" t="str">
        <f ca="1">IF($B3146="Portfolio","Portfolio",IFERROR(INDEX(DATA_ASSET_CLASSIFICATION!$U$8:$U$24,MATCH($C3146,DATA_ASSET_CLASSIFICATION!$A$8:$A$24,0)),"Review"))</f>
        <v>Refi Watch</v>
      </c>
      <c r="O3146" s="350" t="str">
        <f ca="1">IF($B3146="Portfolio","Portfolio",IFERROR(INDEX(DATA_ASSET_CLASSIFICATION!$AB$8:$AB$13,MATCH($N3146,DATA_ASSET_CLASSIFICATION!$AA$8:$AA$13,0)),"Review"))</f>
        <v>Bucket 2 · Legacy</v>
      </c>
      <c r="P3146" s="350" t="str">
        <f>IF($B3146="Portfolio","Portfolio",IFERROR(INDEX(DATA_ASSET_CLASSIFICATION!$C$8:$C$24,MATCH($C3146,DATA_ASSET_CLASSIFICATION!$A$8:$A$24,0)),"Review"))</f>
        <v>Yes</v>
      </c>
      <c r="Q3146" s="350" t="str">
        <f t="shared" ca="1" si="99"/>
        <v>OK</v>
      </c>
    </row>
    <row r="3147" spans="1:17">
      <c r="A3147" s="366" t="s">
        <v>5103</v>
      </c>
      <c r="B3147" s="366" t="s">
        <v>231</v>
      </c>
      <c r="C3147" s="348" t="str">
        <f>DATA_PROPERTY_MASTER!$A$14</f>
        <v>BLD_MM</v>
      </c>
      <c r="D3147" s="380">
        <f>'00_PORTFOLIO ROLLUP'!S$12</f>
        <v>2039</v>
      </c>
      <c r="E3147" s="366" t="s">
        <v>1741</v>
      </c>
      <c r="F3147" s="366" t="s">
        <v>41</v>
      </c>
      <c r="G3147" s="348" t="str">
        <f>"'"&amp;$C3147&amp;"'!rows 56 + positive row 63"</f>
        <v>'BLD_MM'!rows 56 + positive row 63</v>
      </c>
      <c r="H3147" s="381">
        <f ca="1">IF(IFERROR(INDEX(DATA_PROPERTY_MASTER!$E$5:$E$21,MATCH($C3147,DATA_PROPERTY_MASTER!$A$5:$A$21,0))="Yes",FALSE),IFERROR(INDEX(INDIRECT("'"&amp;$C3147&amp;"'!$E$56:$Y$56"),1,MATCH($D3147,INDIRECT("'"&amp;$C3147&amp;"'!$E$12:$Y$12"),0)),0)+MAX(IFERROR(INDEX(INDIRECT("'"&amp;$C3147&amp;"'!$E$63:$Y$63"),1,MATCH($D3147,INDIRECT("'"&amp;$C3147&amp;"'!$E$12:$Y$12"),0)),0),0),0)</f>
        <v>90185.483406332933</v>
      </c>
      <c r="I3147" s="366" t="s">
        <v>1685</v>
      </c>
      <c r="J3147" s="348" t="str">
        <f t="shared" ca="1" si="98"/>
        <v>OK</v>
      </c>
      <c r="K3147" s="366" t="s">
        <v>1742</v>
      </c>
      <c r="L3147" s="366" t="s">
        <v>2262</v>
      </c>
      <c r="M3147" s="350" t="str">
        <f>IF($B3147="Portfolio","Portfolio",IFERROR(INDEX(DATA_ASSET_CLASSIFICATION!$B$8:$B$24,MATCH($C3147,DATA_ASSET_CLASSIFICATION!$A$8:$A$24,0)),"Review"))</f>
        <v>Murray Manor</v>
      </c>
      <c r="N3147" s="350" t="str">
        <f ca="1">IF($B3147="Portfolio","Portfolio",IFERROR(INDEX(DATA_ASSET_CLASSIFICATION!$U$8:$U$24,MATCH($C3147,DATA_ASSET_CLASSIFICATION!$A$8:$A$24,0)),"Review"))</f>
        <v>Refi Watch</v>
      </c>
      <c r="O3147" s="350" t="str">
        <f ca="1">IF($B3147="Portfolio","Portfolio",IFERROR(INDEX(DATA_ASSET_CLASSIFICATION!$AB$8:$AB$13,MATCH($N3147,DATA_ASSET_CLASSIFICATION!$AA$8:$AA$13,0)),"Review"))</f>
        <v>Bucket 2 · Legacy</v>
      </c>
      <c r="P3147" s="350" t="str">
        <f>IF($B3147="Portfolio","Portfolio",IFERROR(INDEX(DATA_ASSET_CLASSIFICATION!$C$8:$C$24,MATCH($C3147,DATA_ASSET_CLASSIFICATION!$A$8:$A$24,0)),"Review"))</f>
        <v>Yes</v>
      </c>
      <c r="Q3147" s="350" t="str">
        <f t="shared" ca="1" si="99"/>
        <v>OK</v>
      </c>
    </row>
    <row r="3148" spans="1:17">
      <c r="A3148" s="366" t="s">
        <v>5104</v>
      </c>
      <c r="B3148" s="366" t="s">
        <v>231</v>
      </c>
      <c r="C3148" s="348" t="str">
        <f>DATA_PROPERTY_MASTER!$A$14</f>
        <v>BLD_MM</v>
      </c>
      <c r="D3148" s="380">
        <f>'00_PORTFOLIO ROLLUP'!S$12</f>
        <v>2039</v>
      </c>
      <c r="E3148" s="366" t="s">
        <v>1741</v>
      </c>
      <c r="F3148" s="366" t="s">
        <v>43</v>
      </c>
      <c r="G3148" s="348" t="str">
        <f>"'"&amp;$C3148&amp;"'!$E$68:$Y$68"</f>
        <v>'BLD_MM'!$E$68:$Y$68</v>
      </c>
      <c r="H3148" s="381">
        <f ca="1">IF(IFERROR(INDEX(DATA_PROPERTY_MASTER!$E$5:$E$21,MATCH($C3148,DATA_PROPERTY_MASTER!$A$5:$A$21,0))="Yes",FALSE),IFERROR(INDEX(INDIRECT("'"&amp;$C3148&amp;"'!$E$68:$Y$68"),1,MATCH($D3148,INDIRECT("'"&amp;$C3148&amp;"'!$E$12:$Y$12"),0)),0),0)</f>
        <v>90185.483406332933</v>
      </c>
      <c r="I3148" s="366" t="s">
        <v>1731</v>
      </c>
      <c r="J3148" s="348" t="str">
        <f t="shared" ca="1" si="98"/>
        <v>OK</v>
      </c>
      <c r="K3148" s="366" t="s">
        <v>1746</v>
      </c>
      <c r="L3148" s="366" t="s">
        <v>2264</v>
      </c>
      <c r="M3148" s="350" t="str">
        <f>IF($B3148="Portfolio","Portfolio",IFERROR(INDEX(DATA_ASSET_CLASSIFICATION!$B$8:$B$24,MATCH($C3148,DATA_ASSET_CLASSIFICATION!$A$8:$A$24,0)),"Review"))</f>
        <v>Murray Manor</v>
      </c>
      <c r="N3148" s="350" t="str">
        <f ca="1">IF($B3148="Portfolio","Portfolio",IFERROR(INDEX(DATA_ASSET_CLASSIFICATION!$U$8:$U$24,MATCH($C3148,DATA_ASSET_CLASSIFICATION!$A$8:$A$24,0)),"Review"))</f>
        <v>Refi Watch</v>
      </c>
      <c r="O3148" s="350" t="str">
        <f ca="1">IF($B3148="Portfolio","Portfolio",IFERROR(INDEX(DATA_ASSET_CLASSIFICATION!$AB$8:$AB$13,MATCH($N3148,DATA_ASSET_CLASSIFICATION!$AA$8:$AA$13,0)),"Review"))</f>
        <v>Bucket 2 · Legacy</v>
      </c>
      <c r="P3148" s="350" t="str">
        <f>IF($B3148="Portfolio","Portfolio",IFERROR(INDEX(DATA_ASSET_CLASSIFICATION!$C$8:$C$24,MATCH($C3148,DATA_ASSET_CLASSIFICATION!$A$8:$A$24,0)),"Review"))</f>
        <v>Yes</v>
      </c>
      <c r="Q3148" s="350" t="str">
        <f t="shared" ca="1" si="99"/>
        <v>OK</v>
      </c>
    </row>
    <row r="3149" spans="1:17">
      <c r="A3149" s="366" t="s">
        <v>5105</v>
      </c>
      <c r="B3149" s="366" t="s">
        <v>231</v>
      </c>
      <c r="C3149" s="348" t="str">
        <f>DATA_PROPERTY_MASTER!$A$14</f>
        <v>BLD_MM</v>
      </c>
      <c r="D3149" s="380">
        <f>'00_PORTFOLIO ROLLUP'!S$12</f>
        <v>2039</v>
      </c>
      <c r="E3149" s="366" t="s">
        <v>1741</v>
      </c>
      <c r="F3149" s="366" t="s">
        <v>1749</v>
      </c>
      <c r="G3149" s="348" t="str">
        <f>"'"&amp;$C3149&amp;"'!rows 56, 63, 68"</f>
        <v>'BLD_MM'!rows 56, 63, 68</v>
      </c>
      <c r="H3149" s="381">
        <f ca="1">IF(IFERROR(INDEX(DATA_PROPERTY_MASTER!$E$5:$E$21,MATCH($C3149,DATA_PROPERTY_MASTER!$A$5:$A$21,0))="Yes",FALSE),(IFERROR(INDEX(INDIRECT("'"&amp;$C3149&amp;"'!$E$56:$Y$56"),1,MATCH($D3149,INDIRECT("'"&amp;$C3149&amp;"'!$E$12:$Y$12"),0)),0)+MAX(IFERROR(INDEX(INDIRECT("'"&amp;$C3149&amp;"'!$E$63:$Y$63"),1,MATCH($D3149,INDIRECT("'"&amp;$C3149&amp;"'!$E$12:$Y$12"),0)),0),0))-(IFERROR(INDEX(INDIRECT("'"&amp;$C3149&amp;"'!$E$68:$Y$68"),1,MATCH($D3149,INDIRECT("'"&amp;$C3149&amp;"'!$E$12:$Y$12"),0)),0)),0)</f>
        <v>0</v>
      </c>
      <c r="I3149" s="366" t="s">
        <v>1750</v>
      </c>
      <c r="J3149" s="348" t="str">
        <f t="shared" ca="1" si="98"/>
        <v>OK</v>
      </c>
      <c r="K3149" s="366" t="s">
        <v>1751</v>
      </c>
      <c r="L3149" s="366" t="s">
        <v>2266</v>
      </c>
      <c r="M3149" s="350" t="str">
        <f>IF($B3149="Portfolio","Portfolio",IFERROR(INDEX(DATA_ASSET_CLASSIFICATION!$B$8:$B$24,MATCH($C3149,DATA_ASSET_CLASSIFICATION!$A$8:$A$24,0)),"Review"))</f>
        <v>Murray Manor</v>
      </c>
      <c r="N3149" s="350" t="str">
        <f ca="1">IF($B3149="Portfolio","Portfolio",IFERROR(INDEX(DATA_ASSET_CLASSIFICATION!$U$8:$U$24,MATCH($C3149,DATA_ASSET_CLASSIFICATION!$A$8:$A$24,0)),"Review"))</f>
        <v>Refi Watch</v>
      </c>
      <c r="O3149" s="350" t="str">
        <f ca="1">IF($B3149="Portfolio","Portfolio",IFERROR(INDEX(DATA_ASSET_CLASSIFICATION!$AB$8:$AB$13,MATCH($N3149,DATA_ASSET_CLASSIFICATION!$AA$8:$AA$13,0)),"Review"))</f>
        <v>Bucket 2 · Legacy</v>
      </c>
      <c r="P3149" s="350" t="str">
        <f>IF($B3149="Portfolio","Portfolio",IFERROR(INDEX(DATA_ASSET_CLASSIFICATION!$C$8:$C$24,MATCH($C3149,DATA_ASSET_CLASSIFICATION!$A$8:$A$24,0)),"Review"))</f>
        <v>Yes</v>
      </c>
      <c r="Q3149" s="350" t="str">
        <f t="shared" ca="1" si="99"/>
        <v>OK</v>
      </c>
    </row>
    <row r="3150" spans="1:17">
      <c r="A3150" s="366" t="s">
        <v>5106</v>
      </c>
      <c r="B3150" s="366" t="s">
        <v>231</v>
      </c>
      <c r="C3150" s="348" t="str">
        <f>DATA_PROPERTY_MASTER!$A$14</f>
        <v>BLD_MM</v>
      </c>
      <c r="D3150" s="380">
        <f>'00_PORTFOLIO ROLLUP'!T$12</f>
        <v>2040</v>
      </c>
      <c r="E3150" s="366" t="s">
        <v>1683</v>
      </c>
      <c r="F3150" s="366" t="s">
        <v>341</v>
      </c>
      <c r="G3150" s="348" t="str">
        <f>"'"&amp;$C3150&amp;"'!$E$24:$Y$24"</f>
        <v>'BLD_MM'!$E$24:$Y$24</v>
      </c>
      <c r="H3150" s="381">
        <f ca="1">IF(IFERROR(INDEX(DATA_PROPERTY_MASTER!$E$5:$E$21,MATCH($C3150,DATA_PROPERTY_MASTER!$A$5:$A$21,0))="Yes",FALSE),IFERROR(INDEX(INDIRECT("'"&amp;$C3150&amp;"'!$E$24:$Y$24"),1,MATCH($D3150,INDIRECT("'"&amp;$C3150&amp;"'!$E$12:$Y$12"),0)),0),0)</f>
        <v>1051123.8640074709</v>
      </c>
      <c r="I3150" s="366" t="s">
        <v>1685</v>
      </c>
      <c r="J3150" s="348" t="str">
        <f t="shared" ca="1" si="98"/>
        <v>OK</v>
      </c>
      <c r="K3150" s="366" t="s">
        <v>1686</v>
      </c>
      <c r="L3150" s="366" t="s">
        <v>2234</v>
      </c>
      <c r="M3150" s="350" t="str">
        <f>IF($B3150="Portfolio","Portfolio",IFERROR(INDEX(DATA_ASSET_CLASSIFICATION!$B$8:$B$24,MATCH($C3150,DATA_ASSET_CLASSIFICATION!$A$8:$A$24,0)),"Review"))</f>
        <v>Murray Manor</v>
      </c>
      <c r="N3150" s="350" t="str">
        <f ca="1">IF($B3150="Portfolio","Portfolio",IFERROR(INDEX(DATA_ASSET_CLASSIFICATION!$U$8:$U$24,MATCH($C3150,DATA_ASSET_CLASSIFICATION!$A$8:$A$24,0)),"Review"))</f>
        <v>Refi Watch</v>
      </c>
      <c r="O3150" s="350" t="str">
        <f ca="1">IF($B3150="Portfolio","Portfolio",IFERROR(INDEX(DATA_ASSET_CLASSIFICATION!$AB$8:$AB$13,MATCH($N3150,DATA_ASSET_CLASSIFICATION!$AA$8:$AA$13,0)),"Review"))</f>
        <v>Bucket 2 · Legacy</v>
      </c>
      <c r="P3150" s="350" t="str">
        <f>IF($B3150="Portfolio","Portfolio",IFERROR(INDEX(DATA_ASSET_CLASSIFICATION!$C$8:$C$24,MATCH($C3150,DATA_ASSET_CLASSIFICATION!$A$8:$A$24,0)),"Review"))</f>
        <v>Yes</v>
      </c>
      <c r="Q3150" s="350" t="str">
        <f t="shared" ca="1" si="99"/>
        <v>OK</v>
      </c>
    </row>
    <row r="3151" spans="1:17">
      <c r="A3151" s="366" t="s">
        <v>5107</v>
      </c>
      <c r="B3151" s="366" t="s">
        <v>231</v>
      </c>
      <c r="C3151" s="348" t="str">
        <f>DATA_PROPERTY_MASTER!$A$14</f>
        <v>BLD_MM</v>
      </c>
      <c r="D3151" s="380">
        <f>'00_PORTFOLIO ROLLUP'!T$12</f>
        <v>2040</v>
      </c>
      <c r="E3151" s="366" t="s">
        <v>1683</v>
      </c>
      <c r="F3151" s="366" t="s">
        <v>355</v>
      </c>
      <c r="G3151" s="348" t="str">
        <f>"'"&amp;$C3151&amp;"'!$E$39:$Y$39"</f>
        <v>'BLD_MM'!$E$39:$Y$39</v>
      </c>
      <c r="H3151" s="381">
        <f ca="1">IF(IFERROR(INDEX(DATA_PROPERTY_MASTER!$E$5:$E$21,MATCH($C3151,DATA_PROPERTY_MASTER!$A$5:$A$21,0))="Yes",FALSE),IFERROR(INDEX(INDIRECT("'"&amp;$C3151&amp;"'!$E$39:$Y$39"),1,MATCH($D3151,INDIRECT("'"&amp;$C3151&amp;"'!$E$12:$Y$12"),0)),0),0)</f>
        <v>459518.62328282639</v>
      </c>
      <c r="I3151" s="366" t="s">
        <v>1690</v>
      </c>
      <c r="J3151" s="348" t="str">
        <f t="shared" ca="1" si="98"/>
        <v>OK</v>
      </c>
      <c r="K3151" s="366" t="s">
        <v>1686</v>
      </c>
      <c r="L3151" s="366" t="s">
        <v>2236</v>
      </c>
      <c r="M3151" s="350" t="str">
        <f>IF($B3151="Portfolio","Portfolio",IFERROR(INDEX(DATA_ASSET_CLASSIFICATION!$B$8:$B$24,MATCH($C3151,DATA_ASSET_CLASSIFICATION!$A$8:$A$24,0)),"Review"))</f>
        <v>Murray Manor</v>
      </c>
      <c r="N3151" s="350" t="str">
        <f ca="1">IF($B3151="Portfolio","Portfolio",IFERROR(INDEX(DATA_ASSET_CLASSIFICATION!$U$8:$U$24,MATCH($C3151,DATA_ASSET_CLASSIFICATION!$A$8:$A$24,0)),"Review"))</f>
        <v>Refi Watch</v>
      </c>
      <c r="O3151" s="350" t="str">
        <f ca="1">IF($B3151="Portfolio","Portfolio",IFERROR(INDEX(DATA_ASSET_CLASSIFICATION!$AB$8:$AB$13,MATCH($N3151,DATA_ASSET_CLASSIFICATION!$AA$8:$AA$13,0)),"Review"))</f>
        <v>Bucket 2 · Legacy</v>
      </c>
      <c r="P3151" s="350" t="str">
        <f>IF($B3151="Portfolio","Portfolio",IFERROR(INDEX(DATA_ASSET_CLASSIFICATION!$C$8:$C$24,MATCH($C3151,DATA_ASSET_CLASSIFICATION!$A$8:$A$24,0)),"Review"))</f>
        <v>Yes</v>
      </c>
      <c r="Q3151" s="350" t="str">
        <f t="shared" ca="1" si="99"/>
        <v>OK</v>
      </c>
    </row>
    <row r="3152" spans="1:17">
      <c r="A3152" s="366" t="s">
        <v>5108</v>
      </c>
      <c r="B3152" s="366" t="s">
        <v>231</v>
      </c>
      <c r="C3152" s="348" t="str">
        <f>DATA_PROPERTY_MASTER!$A$14</f>
        <v>BLD_MM</v>
      </c>
      <c r="D3152" s="380">
        <f>'00_PORTFOLIO ROLLUP'!T$12</f>
        <v>2040</v>
      </c>
      <c r="E3152" s="366" t="s">
        <v>1683</v>
      </c>
      <c r="F3152" s="366" t="s">
        <v>19</v>
      </c>
      <c r="G3152" s="348" t="str">
        <f>"'"&amp;$C3152&amp;"'!$E$41:$Y$41"</f>
        <v>'BLD_MM'!$E$41:$Y$41</v>
      </c>
      <c r="H3152" s="381">
        <f ca="1">IF(IFERROR(INDEX(DATA_PROPERTY_MASTER!$E$5:$E$21,MATCH($C3152,DATA_PROPERTY_MASTER!$A$5:$A$21,0))="Yes",FALSE),IFERROR(INDEX(INDIRECT("'"&amp;$C3152&amp;"'!$E$41:$Y$41"),1,MATCH($D3152,INDIRECT("'"&amp;$C3152&amp;"'!$E$12:$Y$12"),0)),0),0)</f>
        <v>591605.24072464451</v>
      </c>
      <c r="I3152" s="366" t="s">
        <v>1685</v>
      </c>
      <c r="J3152" s="348" t="str">
        <f t="shared" ca="1" si="98"/>
        <v>OK</v>
      </c>
      <c r="K3152" s="366" t="s">
        <v>1694</v>
      </c>
      <c r="L3152" s="366" t="s">
        <v>2238</v>
      </c>
      <c r="M3152" s="350" t="str">
        <f>IF($B3152="Portfolio","Portfolio",IFERROR(INDEX(DATA_ASSET_CLASSIFICATION!$B$8:$B$24,MATCH($C3152,DATA_ASSET_CLASSIFICATION!$A$8:$A$24,0)),"Review"))</f>
        <v>Murray Manor</v>
      </c>
      <c r="N3152" s="350" t="str">
        <f ca="1">IF($B3152="Portfolio","Portfolio",IFERROR(INDEX(DATA_ASSET_CLASSIFICATION!$U$8:$U$24,MATCH($C3152,DATA_ASSET_CLASSIFICATION!$A$8:$A$24,0)),"Review"))</f>
        <v>Refi Watch</v>
      </c>
      <c r="O3152" s="350" t="str">
        <f ca="1">IF($B3152="Portfolio","Portfolio",IFERROR(INDEX(DATA_ASSET_CLASSIFICATION!$AB$8:$AB$13,MATCH($N3152,DATA_ASSET_CLASSIFICATION!$AA$8:$AA$13,0)),"Review"))</f>
        <v>Bucket 2 · Legacy</v>
      </c>
      <c r="P3152" s="350" t="str">
        <f>IF($B3152="Portfolio","Portfolio",IFERROR(INDEX(DATA_ASSET_CLASSIFICATION!$C$8:$C$24,MATCH($C3152,DATA_ASSET_CLASSIFICATION!$A$8:$A$24,0)),"Review"))</f>
        <v>Yes</v>
      </c>
      <c r="Q3152" s="350" t="str">
        <f t="shared" ca="1" si="99"/>
        <v>OK</v>
      </c>
    </row>
    <row r="3153" spans="1:17">
      <c r="A3153" s="366" t="s">
        <v>5109</v>
      </c>
      <c r="B3153" s="366" t="s">
        <v>231</v>
      </c>
      <c r="C3153" s="348" t="str">
        <f>DATA_PROPERTY_MASTER!$A$14</f>
        <v>BLD_MM</v>
      </c>
      <c r="D3153" s="380">
        <f>'00_PORTFOLIO ROLLUP'!T$12</f>
        <v>2040</v>
      </c>
      <c r="E3153" s="366" t="s">
        <v>1683</v>
      </c>
      <c r="F3153" s="366" t="s">
        <v>1697</v>
      </c>
      <c r="G3153" s="348" t="str">
        <f>"'"&amp;$C3153&amp;"'!$E$44:$Y$44"</f>
        <v>'BLD_MM'!$E$44:$Y$44</v>
      </c>
      <c r="H3153" s="381">
        <f ca="1">IF(IFERROR(INDEX(DATA_PROPERTY_MASTER!$E$5:$E$21,MATCH($C3153,DATA_PROPERTY_MASTER!$A$5:$A$21,0))="Yes",FALSE),IFERROR(INDEX(INDIRECT("'"&amp;$C3153&amp;"'!$E$44:$Y$44"),1,MATCH($D3153,INDIRECT("'"&amp;$C3153&amp;"'!$E$12:$Y$12"),0)),0),0)</f>
        <v>9488.3717851851106</v>
      </c>
      <c r="I3153" s="366" t="s">
        <v>1690</v>
      </c>
      <c r="J3153" s="348" t="str">
        <f t="shared" ca="1" si="98"/>
        <v>OK</v>
      </c>
      <c r="K3153" s="366" t="s">
        <v>1699</v>
      </c>
      <c r="L3153" s="366" t="s">
        <v>2240</v>
      </c>
      <c r="M3153" s="350" t="str">
        <f>IF($B3153="Portfolio","Portfolio",IFERROR(INDEX(DATA_ASSET_CLASSIFICATION!$B$8:$B$24,MATCH($C3153,DATA_ASSET_CLASSIFICATION!$A$8:$A$24,0)),"Review"))</f>
        <v>Murray Manor</v>
      </c>
      <c r="N3153" s="350" t="str">
        <f ca="1">IF($B3153="Portfolio","Portfolio",IFERROR(INDEX(DATA_ASSET_CLASSIFICATION!$U$8:$U$24,MATCH($C3153,DATA_ASSET_CLASSIFICATION!$A$8:$A$24,0)),"Review"))</f>
        <v>Refi Watch</v>
      </c>
      <c r="O3153" s="350" t="str">
        <f ca="1">IF($B3153="Portfolio","Portfolio",IFERROR(INDEX(DATA_ASSET_CLASSIFICATION!$AB$8:$AB$13,MATCH($N3153,DATA_ASSET_CLASSIFICATION!$AA$8:$AA$13,0)),"Review"))</f>
        <v>Bucket 2 · Legacy</v>
      </c>
      <c r="P3153" s="350" t="str">
        <f>IF($B3153="Portfolio","Portfolio",IFERROR(INDEX(DATA_ASSET_CLASSIFICATION!$C$8:$C$24,MATCH($C3153,DATA_ASSET_CLASSIFICATION!$A$8:$A$24,0)),"Review"))</f>
        <v>Yes</v>
      </c>
      <c r="Q3153" s="350" t="str">
        <f t="shared" ca="1" si="99"/>
        <v>OK</v>
      </c>
    </row>
    <row r="3154" spans="1:17">
      <c r="A3154" s="366" t="s">
        <v>5110</v>
      </c>
      <c r="B3154" s="366" t="s">
        <v>231</v>
      </c>
      <c r="C3154" s="348" t="str">
        <f>DATA_PROPERTY_MASTER!$A$14</f>
        <v>BLD_MM</v>
      </c>
      <c r="D3154" s="380">
        <f>'00_PORTFOLIO ROLLUP'!T$12</f>
        <v>2040</v>
      </c>
      <c r="E3154" s="366" t="s">
        <v>1683</v>
      </c>
      <c r="F3154" s="366" t="s">
        <v>21</v>
      </c>
      <c r="G3154" s="348" t="str">
        <f>"'"&amp;$C3154&amp;"'!$E$45:$Y$45"</f>
        <v>'BLD_MM'!$E$45:$Y$45</v>
      </c>
      <c r="H3154" s="381">
        <f ca="1">IF(IFERROR(INDEX(DATA_PROPERTY_MASTER!$E$5:$E$21,MATCH($C3154,DATA_PROPERTY_MASTER!$A$5:$A$21,0))="Yes",FALSE),IFERROR(INDEX(INDIRECT("'"&amp;$C3154&amp;"'!$E$45:$Y$45"),1,MATCH($D3154,INDIRECT("'"&amp;$C3154&amp;"'!$E$12:$Y$12"),0)),0),0)</f>
        <v>582116.86893945944</v>
      </c>
      <c r="I3154" s="366" t="s">
        <v>1685</v>
      </c>
      <c r="J3154" s="348" t="str">
        <f t="shared" ca="1" si="98"/>
        <v>OK</v>
      </c>
      <c r="K3154" s="366" t="s">
        <v>1694</v>
      </c>
      <c r="L3154" s="366" t="s">
        <v>2242</v>
      </c>
      <c r="M3154" s="350" t="str">
        <f>IF($B3154="Portfolio","Portfolio",IFERROR(INDEX(DATA_ASSET_CLASSIFICATION!$B$8:$B$24,MATCH($C3154,DATA_ASSET_CLASSIFICATION!$A$8:$A$24,0)),"Review"))</f>
        <v>Murray Manor</v>
      </c>
      <c r="N3154" s="350" t="str">
        <f ca="1">IF($B3154="Portfolio","Portfolio",IFERROR(INDEX(DATA_ASSET_CLASSIFICATION!$U$8:$U$24,MATCH($C3154,DATA_ASSET_CLASSIFICATION!$A$8:$A$24,0)),"Review"))</f>
        <v>Refi Watch</v>
      </c>
      <c r="O3154" s="350" t="str">
        <f ca="1">IF($B3154="Portfolio","Portfolio",IFERROR(INDEX(DATA_ASSET_CLASSIFICATION!$AB$8:$AB$13,MATCH($N3154,DATA_ASSET_CLASSIFICATION!$AA$8:$AA$13,0)),"Review"))</f>
        <v>Bucket 2 · Legacy</v>
      </c>
      <c r="P3154" s="350" t="str">
        <f>IF($B3154="Portfolio","Portfolio",IFERROR(INDEX(DATA_ASSET_CLASSIFICATION!$C$8:$C$24,MATCH($C3154,DATA_ASSET_CLASSIFICATION!$A$8:$A$24,0)),"Review"))</f>
        <v>Yes</v>
      </c>
      <c r="Q3154" s="350" t="str">
        <f t="shared" ca="1" si="99"/>
        <v>OK</v>
      </c>
    </row>
    <row r="3155" spans="1:17">
      <c r="A3155" s="366" t="s">
        <v>5111</v>
      </c>
      <c r="B3155" s="366" t="s">
        <v>231</v>
      </c>
      <c r="C3155" s="348" t="str">
        <f>DATA_PROPERTY_MASTER!$A$14</f>
        <v>BLD_MM</v>
      </c>
      <c r="D3155" s="380">
        <f>'00_PORTFOLIO ROLLUP'!T$12</f>
        <v>2040</v>
      </c>
      <c r="E3155" s="366" t="s">
        <v>23</v>
      </c>
      <c r="F3155" s="366" t="s">
        <v>23</v>
      </c>
      <c r="G3155" s="348" t="str">
        <f>"'"&amp;$C3155&amp;"'!$E$48:$Y$48"</f>
        <v>'BLD_MM'!$E$48:$Y$48</v>
      </c>
      <c r="H3155" s="381">
        <f ca="1">IF(IFERROR(INDEX(DATA_PROPERTY_MASTER!$E$5:$E$21,MATCH($C3155,DATA_PROPERTY_MASTER!$A$5:$A$21,0))="Yes",FALSE),IFERROR(INDEX(INDIRECT("'"&amp;$C3155&amp;"'!$E$48:$Y$48"),1,MATCH($D3155,INDIRECT("'"&amp;$C3155&amp;"'!$E$12:$Y$12"),0)),0),0)</f>
        <v>356739.03166510991</v>
      </c>
      <c r="I3155" s="366" t="s">
        <v>1690</v>
      </c>
      <c r="J3155" s="348" t="str">
        <f t="shared" ca="1" si="98"/>
        <v>OK</v>
      </c>
      <c r="K3155" s="366" t="s">
        <v>1706</v>
      </c>
      <c r="L3155" s="366" t="s">
        <v>2244</v>
      </c>
      <c r="M3155" s="350" t="str">
        <f>IF($B3155="Portfolio","Portfolio",IFERROR(INDEX(DATA_ASSET_CLASSIFICATION!$B$8:$B$24,MATCH($C3155,DATA_ASSET_CLASSIFICATION!$A$8:$A$24,0)),"Review"))</f>
        <v>Murray Manor</v>
      </c>
      <c r="N3155" s="350" t="str">
        <f ca="1">IF($B3155="Portfolio","Portfolio",IFERROR(INDEX(DATA_ASSET_CLASSIFICATION!$U$8:$U$24,MATCH($C3155,DATA_ASSET_CLASSIFICATION!$A$8:$A$24,0)),"Review"))</f>
        <v>Refi Watch</v>
      </c>
      <c r="O3155" s="350" t="str">
        <f ca="1">IF($B3155="Portfolio","Portfolio",IFERROR(INDEX(DATA_ASSET_CLASSIFICATION!$AB$8:$AB$13,MATCH($N3155,DATA_ASSET_CLASSIFICATION!$AA$8:$AA$13,0)),"Review"))</f>
        <v>Bucket 2 · Legacy</v>
      </c>
      <c r="P3155" s="350" t="str">
        <f>IF($B3155="Portfolio","Portfolio",IFERROR(INDEX(DATA_ASSET_CLASSIFICATION!$C$8:$C$24,MATCH($C3155,DATA_ASSET_CLASSIFICATION!$A$8:$A$24,0)),"Review"))</f>
        <v>Yes</v>
      </c>
      <c r="Q3155" s="350" t="str">
        <f t="shared" ca="1" si="99"/>
        <v>OK</v>
      </c>
    </row>
    <row r="3156" spans="1:17">
      <c r="A3156" s="366" t="s">
        <v>5112</v>
      </c>
      <c r="B3156" s="366" t="s">
        <v>231</v>
      </c>
      <c r="C3156" s="348" t="str">
        <f>DATA_PROPERTY_MASTER!$A$14</f>
        <v>BLD_MM</v>
      </c>
      <c r="D3156" s="380">
        <f>'00_PORTFOLIO ROLLUP'!T$12</f>
        <v>2040</v>
      </c>
      <c r="E3156" s="366" t="s">
        <v>1683</v>
      </c>
      <c r="F3156" s="366" t="s">
        <v>25</v>
      </c>
      <c r="G3156" s="348" t="str">
        <f>"'"&amp;$C3156&amp;"'!$E$52:$Y$52"</f>
        <v>'BLD_MM'!$E$52:$Y$52</v>
      </c>
      <c r="H3156" s="381">
        <f ca="1">IF(IFERROR(INDEX(DATA_PROPERTY_MASTER!$E$5:$E$21,MATCH($C3156,DATA_PROPERTY_MASTER!$A$5:$A$21,0))="Yes",FALSE),IFERROR(INDEX(INDIRECT("'"&amp;$C3156&amp;"'!$E$52:$Y$52"),1,MATCH($D3156,INDIRECT("'"&amp;$C3156&amp;"'!$E$12:$Y$12"),0)),0),0)</f>
        <v>234866.20905953459</v>
      </c>
      <c r="I3156" s="366" t="s">
        <v>1685</v>
      </c>
      <c r="J3156" s="348" t="str">
        <f t="shared" ca="1" si="98"/>
        <v>OK</v>
      </c>
      <c r="K3156" s="366" t="s">
        <v>1710</v>
      </c>
      <c r="L3156" s="366" t="s">
        <v>2246</v>
      </c>
      <c r="M3156" s="350" t="str">
        <f>IF($B3156="Portfolio","Portfolio",IFERROR(INDEX(DATA_ASSET_CLASSIFICATION!$B$8:$B$24,MATCH($C3156,DATA_ASSET_CLASSIFICATION!$A$8:$A$24,0)),"Review"))</f>
        <v>Murray Manor</v>
      </c>
      <c r="N3156" s="350" t="str">
        <f ca="1">IF($B3156="Portfolio","Portfolio",IFERROR(INDEX(DATA_ASSET_CLASSIFICATION!$U$8:$U$24,MATCH($C3156,DATA_ASSET_CLASSIFICATION!$A$8:$A$24,0)),"Review"))</f>
        <v>Refi Watch</v>
      </c>
      <c r="O3156" s="350" t="str">
        <f ca="1">IF($B3156="Portfolio","Portfolio",IFERROR(INDEX(DATA_ASSET_CLASSIFICATION!$AB$8:$AB$13,MATCH($N3156,DATA_ASSET_CLASSIFICATION!$AA$8:$AA$13,0)),"Review"))</f>
        <v>Bucket 2 · Legacy</v>
      </c>
      <c r="P3156" s="350" t="str">
        <f>IF($B3156="Portfolio","Portfolio",IFERROR(INDEX(DATA_ASSET_CLASSIFICATION!$C$8:$C$24,MATCH($C3156,DATA_ASSET_CLASSIFICATION!$A$8:$A$24,0)),"Review"))</f>
        <v>Yes</v>
      </c>
      <c r="Q3156" s="350" t="str">
        <f t="shared" ca="1" si="99"/>
        <v>OK</v>
      </c>
    </row>
    <row r="3157" spans="1:17">
      <c r="A3157" s="366" t="s">
        <v>5113</v>
      </c>
      <c r="B3157" s="366" t="s">
        <v>231</v>
      </c>
      <c r="C3157" s="348" t="str">
        <f>DATA_PROPERTY_MASTER!$A$14</f>
        <v>BLD_MM</v>
      </c>
      <c r="D3157" s="380">
        <f>'00_PORTFOLIO ROLLUP'!T$12</f>
        <v>2040</v>
      </c>
      <c r="E3157" s="366" t="s">
        <v>1683</v>
      </c>
      <c r="F3157" s="366" t="s">
        <v>27</v>
      </c>
      <c r="G3157" s="348" t="str">
        <f>"'"&amp;$C3157&amp;"'!$E$54:$Y$54"</f>
        <v>'BLD_MM'!$E$54:$Y$54</v>
      </c>
      <c r="H3157" s="381">
        <f ca="1">IF(IFERROR(INDEX(DATA_PROPERTY_MASTER!$E$5:$E$21,MATCH($C3157,DATA_PROPERTY_MASTER!$A$5:$A$21,0))="Yes",FALSE),IFERROR(INDEX(INDIRECT("'"&amp;$C3157&amp;"'!$E$54:$Y$54"),1,MATCH($D3157,INDIRECT("'"&amp;$C3157&amp;"'!$E$12:$Y$12"),0)),0),0)</f>
        <v>140919.72543572076</v>
      </c>
      <c r="I3157" s="366" t="s">
        <v>1690</v>
      </c>
      <c r="J3157" s="348" t="str">
        <f t="shared" ca="1" si="98"/>
        <v>OK</v>
      </c>
      <c r="K3157" s="366" t="s">
        <v>1714</v>
      </c>
      <c r="L3157" s="366" t="s">
        <v>2248</v>
      </c>
      <c r="M3157" s="350" t="str">
        <f>IF($B3157="Portfolio","Portfolio",IFERROR(INDEX(DATA_ASSET_CLASSIFICATION!$B$8:$B$24,MATCH($C3157,DATA_ASSET_CLASSIFICATION!$A$8:$A$24,0)),"Review"))</f>
        <v>Murray Manor</v>
      </c>
      <c r="N3157" s="350" t="str">
        <f ca="1">IF($B3157="Portfolio","Portfolio",IFERROR(INDEX(DATA_ASSET_CLASSIFICATION!$U$8:$U$24,MATCH($C3157,DATA_ASSET_CLASSIFICATION!$A$8:$A$24,0)),"Review"))</f>
        <v>Refi Watch</v>
      </c>
      <c r="O3157" s="350" t="str">
        <f ca="1">IF($B3157="Portfolio","Portfolio",IFERROR(INDEX(DATA_ASSET_CLASSIFICATION!$AB$8:$AB$13,MATCH($N3157,DATA_ASSET_CLASSIFICATION!$AA$8:$AA$13,0)),"Review"))</f>
        <v>Bucket 2 · Legacy</v>
      </c>
      <c r="P3157" s="350" t="str">
        <f>IF($B3157="Portfolio","Portfolio",IFERROR(INDEX(DATA_ASSET_CLASSIFICATION!$C$8:$C$24,MATCH($C3157,DATA_ASSET_CLASSIFICATION!$A$8:$A$24,0)),"Review"))</f>
        <v>Yes</v>
      </c>
      <c r="Q3157" s="350" t="str">
        <f t="shared" ca="1" si="99"/>
        <v>OK</v>
      </c>
    </row>
    <row r="3158" spans="1:17">
      <c r="A3158" s="366" t="s">
        <v>5114</v>
      </c>
      <c r="B3158" s="366" t="s">
        <v>231</v>
      </c>
      <c r="C3158" s="348" t="str">
        <f>DATA_PROPERTY_MASTER!$A$14</f>
        <v>BLD_MM</v>
      </c>
      <c r="D3158" s="380">
        <f>'00_PORTFOLIO ROLLUP'!T$12</f>
        <v>2040</v>
      </c>
      <c r="E3158" s="366" t="s">
        <v>1683</v>
      </c>
      <c r="F3158" s="366" t="s">
        <v>29</v>
      </c>
      <c r="G3158" s="348" t="str">
        <f>"'"&amp;$C3158&amp;"'!$E$56:$Y$56"</f>
        <v>'BLD_MM'!$E$56:$Y$56</v>
      </c>
      <c r="H3158" s="381">
        <f ca="1">IF(IFERROR(INDEX(DATA_PROPERTY_MASTER!$E$5:$E$21,MATCH($C3158,DATA_PROPERTY_MASTER!$A$5:$A$21,0))="Yes",FALSE),IFERROR(INDEX(INDIRECT("'"&amp;$C3158&amp;"'!$E$56:$Y$56"),1,MATCH($D3158,INDIRECT("'"&amp;$C3158&amp;"'!$E$12:$Y$12"),0)),0),0)</f>
        <v>93946.483623813838</v>
      </c>
      <c r="I3158" s="366" t="s">
        <v>1685</v>
      </c>
      <c r="J3158" s="348" t="str">
        <f t="shared" ca="1" si="98"/>
        <v>OK</v>
      </c>
      <c r="K3158" s="366" t="s">
        <v>1718</v>
      </c>
      <c r="L3158" s="366" t="s">
        <v>2250</v>
      </c>
      <c r="M3158" s="350" t="str">
        <f>IF($B3158="Portfolio","Portfolio",IFERROR(INDEX(DATA_ASSET_CLASSIFICATION!$B$8:$B$24,MATCH($C3158,DATA_ASSET_CLASSIFICATION!$A$8:$A$24,0)),"Review"))</f>
        <v>Murray Manor</v>
      </c>
      <c r="N3158" s="350" t="str">
        <f ca="1">IF($B3158="Portfolio","Portfolio",IFERROR(INDEX(DATA_ASSET_CLASSIFICATION!$U$8:$U$24,MATCH($C3158,DATA_ASSET_CLASSIFICATION!$A$8:$A$24,0)),"Review"))</f>
        <v>Refi Watch</v>
      </c>
      <c r="O3158" s="350" t="str">
        <f ca="1">IF($B3158="Portfolio","Portfolio",IFERROR(INDEX(DATA_ASSET_CLASSIFICATION!$AB$8:$AB$13,MATCH($N3158,DATA_ASSET_CLASSIFICATION!$AA$8:$AA$13,0)),"Review"))</f>
        <v>Bucket 2 · Legacy</v>
      </c>
      <c r="P3158" s="350" t="str">
        <f>IF($B3158="Portfolio","Portfolio",IFERROR(INDEX(DATA_ASSET_CLASSIFICATION!$C$8:$C$24,MATCH($C3158,DATA_ASSET_CLASSIFICATION!$A$8:$A$24,0)),"Review"))</f>
        <v>Yes</v>
      </c>
      <c r="Q3158" s="350" t="str">
        <f t="shared" ca="1" si="99"/>
        <v>OK</v>
      </c>
    </row>
    <row r="3159" spans="1:17">
      <c r="A3159" s="366" t="s">
        <v>5115</v>
      </c>
      <c r="B3159" s="366" t="s">
        <v>231</v>
      </c>
      <c r="C3159" s="348" t="str">
        <f>DATA_PROPERTY_MASTER!$A$14</f>
        <v>BLD_MM</v>
      </c>
      <c r="D3159" s="380">
        <f>'00_PORTFOLIO ROLLUP'!T$12</f>
        <v>2040</v>
      </c>
      <c r="E3159" s="366" t="s">
        <v>1721</v>
      </c>
      <c r="F3159" s="366" t="s">
        <v>31</v>
      </c>
      <c r="G3159" s="348" t="str">
        <f>"'"&amp;$C3159&amp;"'!$E$61:$Y$61"</f>
        <v>'BLD_MM'!$E$61:$Y$61</v>
      </c>
      <c r="H3159" s="381">
        <f ca="1">IF(IFERROR(INDEX(DATA_PROPERTY_MASTER!$E$5:$E$21,MATCH($C3159,DATA_PROPERTY_MASTER!$A$5:$A$21,0))="Yes",FALSE),IFERROR(INDEX(INDIRECT("'"&amp;$C3159&amp;"'!$E$61:$Y$61"),1,MATCH($D3159,INDIRECT("'"&amp;$C3159&amp;"'!$E$12:$Y$12"),0)),0),0)</f>
        <v>0</v>
      </c>
      <c r="I3159" s="366" t="s">
        <v>1690</v>
      </c>
      <c r="J3159" s="348" t="str">
        <f t="shared" ca="1" si="98"/>
        <v>OK</v>
      </c>
      <c r="K3159" s="366" t="s">
        <v>1723</v>
      </c>
      <c r="L3159" s="366" t="s">
        <v>2252</v>
      </c>
      <c r="M3159" s="350" t="str">
        <f>IF($B3159="Portfolio","Portfolio",IFERROR(INDEX(DATA_ASSET_CLASSIFICATION!$B$8:$B$24,MATCH($C3159,DATA_ASSET_CLASSIFICATION!$A$8:$A$24,0)),"Review"))</f>
        <v>Murray Manor</v>
      </c>
      <c r="N3159" s="350" t="str">
        <f ca="1">IF($B3159="Portfolio","Portfolio",IFERROR(INDEX(DATA_ASSET_CLASSIFICATION!$U$8:$U$24,MATCH($C3159,DATA_ASSET_CLASSIFICATION!$A$8:$A$24,0)),"Review"))</f>
        <v>Refi Watch</v>
      </c>
      <c r="O3159" s="350" t="str">
        <f ca="1">IF($B3159="Portfolio","Portfolio",IFERROR(INDEX(DATA_ASSET_CLASSIFICATION!$AB$8:$AB$13,MATCH($N3159,DATA_ASSET_CLASSIFICATION!$AA$8:$AA$13,0)),"Review"))</f>
        <v>Bucket 2 · Legacy</v>
      </c>
      <c r="P3159" s="350" t="str">
        <f>IF($B3159="Portfolio","Portfolio",IFERROR(INDEX(DATA_ASSET_CLASSIFICATION!$C$8:$C$24,MATCH($C3159,DATA_ASSET_CLASSIFICATION!$A$8:$A$24,0)),"Review"))</f>
        <v>Yes</v>
      </c>
      <c r="Q3159" s="350" t="str">
        <f t="shared" ca="1" si="99"/>
        <v>OK</v>
      </c>
    </row>
    <row r="3160" spans="1:17">
      <c r="A3160" s="366" t="s">
        <v>5116</v>
      </c>
      <c r="B3160" s="366" t="s">
        <v>231</v>
      </c>
      <c r="C3160" s="348" t="str">
        <f>DATA_PROPERTY_MASTER!$A$14</f>
        <v>BLD_MM</v>
      </c>
      <c r="D3160" s="380">
        <f>'00_PORTFOLIO ROLLUP'!T$12</f>
        <v>2040</v>
      </c>
      <c r="E3160" s="366" t="s">
        <v>1721</v>
      </c>
      <c r="F3160" s="366" t="s">
        <v>33</v>
      </c>
      <c r="G3160" s="348" t="str">
        <f>"'"&amp;$C3160&amp;"'!$E$62:$Y$62"</f>
        <v>'BLD_MM'!$E$62:$Y$62</v>
      </c>
      <c r="H3160" s="381">
        <f ca="1">IF(IFERROR(INDEX(DATA_PROPERTY_MASTER!$E$5:$E$21,MATCH($C3160,DATA_PROPERTY_MASTER!$A$5:$A$21,0))="Yes",FALSE),IFERROR(INDEX(INDIRECT("'"&amp;$C3160&amp;"'!$E$62:$Y$62"),1,MATCH($D3160,INDIRECT("'"&amp;$C3160&amp;"'!$E$12:$Y$12"),0)),0),0)</f>
        <v>0</v>
      </c>
      <c r="I3160" s="366" t="s">
        <v>1685</v>
      </c>
      <c r="J3160" s="348" t="str">
        <f t="shared" ca="1" si="98"/>
        <v>OK</v>
      </c>
      <c r="K3160" s="366" t="s">
        <v>1727</v>
      </c>
      <c r="L3160" s="366" t="s">
        <v>2254</v>
      </c>
      <c r="M3160" s="350" t="str">
        <f>IF($B3160="Portfolio","Portfolio",IFERROR(INDEX(DATA_ASSET_CLASSIFICATION!$B$8:$B$24,MATCH($C3160,DATA_ASSET_CLASSIFICATION!$A$8:$A$24,0)),"Review"))</f>
        <v>Murray Manor</v>
      </c>
      <c r="N3160" s="350" t="str">
        <f ca="1">IF($B3160="Portfolio","Portfolio",IFERROR(INDEX(DATA_ASSET_CLASSIFICATION!$U$8:$U$24,MATCH($C3160,DATA_ASSET_CLASSIFICATION!$A$8:$A$24,0)),"Review"))</f>
        <v>Refi Watch</v>
      </c>
      <c r="O3160" s="350" t="str">
        <f ca="1">IF($B3160="Portfolio","Portfolio",IFERROR(INDEX(DATA_ASSET_CLASSIFICATION!$AB$8:$AB$13,MATCH($N3160,DATA_ASSET_CLASSIFICATION!$AA$8:$AA$13,0)),"Review"))</f>
        <v>Bucket 2 · Legacy</v>
      </c>
      <c r="P3160" s="350" t="str">
        <f>IF($B3160="Portfolio","Portfolio",IFERROR(INDEX(DATA_ASSET_CLASSIFICATION!$C$8:$C$24,MATCH($C3160,DATA_ASSET_CLASSIFICATION!$A$8:$A$24,0)),"Review"))</f>
        <v>Yes</v>
      </c>
      <c r="Q3160" s="350" t="str">
        <f t="shared" ca="1" si="99"/>
        <v>OK</v>
      </c>
    </row>
    <row r="3161" spans="1:17">
      <c r="A3161" s="366" t="s">
        <v>5117</v>
      </c>
      <c r="B3161" s="366" t="s">
        <v>231</v>
      </c>
      <c r="C3161" s="348" t="str">
        <f>DATA_PROPERTY_MASTER!$A$14</f>
        <v>BLD_MM</v>
      </c>
      <c r="D3161" s="380">
        <f>'00_PORTFOLIO ROLLUP'!T$12</f>
        <v>2040</v>
      </c>
      <c r="E3161" s="366" t="s">
        <v>1721</v>
      </c>
      <c r="F3161" s="366" t="s">
        <v>35</v>
      </c>
      <c r="G3161" s="348" t="str">
        <f>"'"&amp;$C3161&amp;"'!$E$63:$Y$63"</f>
        <v>'BLD_MM'!$E$63:$Y$63</v>
      </c>
      <c r="H3161" s="381">
        <f ca="1">IF(IFERROR(INDEX(DATA_PROPERTY_MASTER!$E$5:$E$21,MATCH($C3161,DATA_PROPERTY_MASTER!$A$5:$A$21,0))="Yes",FALSE),IFERROR(INDEX(INDIRECT("'"&amp;$C3161&amp;"'!$E$63:$Y$63"),1,MATCH($D3161,INDIRECT("'"&amp;$C3161&amp;"'!$E$12:$Y$12"),0)),0),0)</f>
        <v>0</v>
      </c>
      <c r="I3161" s="366" t="s">
        <v>1731</v>
      </c>
      <c r="J3161" s="348" t="str">
        <f t="shared" ca="1" si="98"/>
        <v>OK</v>
      </c>
      <c r="K3161" s="366" t="s">
        <v>1732</v>
      </c>
      <c r="L3161" s="366" t="s">
        <v>2256</v>
      </c>
      <c r="M3161" s="350" t="str">
        <f>IF($B3161="Portfolio","Portfolio",IFERROR(INDEX(DATA_ASSET_CLASSIFICATION!$B$8:$B$24,MATCH($C3161,DATA_ASSET_CLASSIFICATION!$A$8:$A$24,0)),"Review"))</f>
        <v>Murray Manor</v>
      </c>
      <c r="N3161" s="350" t="str">
        <f ca="1">IF($B3161="Portfolio","Portfolio",IFERROR(INDEX(DATA_ASSET_CLASSIFICATION!$U$8:$U$24,MATCH($C3161,DATA_ASSET_CLASSIFICATION!$A$8:$A$24,0)),"Review"))</f>
        <v>Refi Watch</v>
      </c>
      <c r="O3161" s="350" t="str">
        <f ca="1">IF($B3161="Portfolio","Portfolio",IFERROR(INDEX(DATA_ASSET_CLASSIFICATION!$AB$8:$AB$13,MATCH($N3161,DATA_ASSET_CLASSIFICATION!$AA$8:$AA$13,0)),"Review"))</f>
        <v>Bucket 2 · Legacy</v>
      </c>
      <c r="P3161" s="350" t="str">
        <f>IF($B3161="Portfolio","Portfolio",IFERROR(INDEX(DATA_ASSET_CLASSIFICATION!$C$8:$C$24,MATCH($C3161,DATA_ASSET_CLASSIFICATION!$A$8:$A$24,0)),"Review"))</f>
        <v>Yes</v>
      </c>
      <c r="Q3161" s="350" t="str">
        <f t="shared" ca="1" si="99"/>
        <v>OK</v>
      </c>
    </row>
    <row r="3162" spans="1:17">
      <c r="A3162" s="366" t="s">
        <v>5118</v>
      </c>
      <c r="B3162" s="366" t="s">
        <v>231</v>
      </c>
      <c r="C3162" s="348" t="str">
        <f>DATA_PROPERTY_MASTER!$A$14</f>
        <v>BLD_MM</v>
      </c>
      <c r="D3162" s="380">
        <f>'00_PORTFOLIO ROLLUP'!T$12</f>
        <v>2040</v>
      </c>
      <c r="E3162" s="366" t="s">
        <v>1721</v>
      </c>
      <c r="F3162" s="366" t="s">
        <v>37</v>
      </c>
      <c r="G3162" s="348" t="str">
        <f>"'"&amp;$C3162&amp;"'!$E$63:$Y$63"</f>
        <v>'BLD_MM'!$E$63:$Y$63</v>
      </c>
      <c r="H3162" s="381">
        <f ca="1">IF(IFERROR(INDEX(DATA_PROPERTY_MASTER!$E$5:$E$21,MATCH($C3162,DATA_PROPERTY_MASTER!$A$5:$A$21,0))="Yes",FALSE),MAX(IFERROR(INDEX(INDIRECT("'"&amp;$C3162&amp;"'!$E$63:$Y$63"),1,MATCH($D3162,INDIRECT("'"&amp;$C3162&amp;"'!$E$12:$Y$12"),0)),0),0),0)</f>
        <v>0</v>
      </c>
      <c r="I3162" s="366" t="s">
        <v>1685</v>
      </c>
      <c r="J3162" s="348" t="str">
        <f t="shared" ca="1" si="98"/>
        <v>OK</v>
      </c>
      <c r="K3162" s="366" t="s">
        <v>1735</v>
      </c>
      <c r="L3162" s="366" t="s">
        <v>2258</v>
      </c>
      <c r="M3162" s="350" t="str">
        <f>IF($B3162="Portfolio","Portfolio",IFERROR(INDEX(DATA_ASSET_CLASSIFICATION!$B$8:$B$24,MATCH($C3162,DATA_ASSET_CLASSIFICATION!$A$8:$A$24,0)),"Review"))</f>
        <v>Murray Manor</v>
      </c>
      <c r="N3162" s="350" t="str">
        <f ca="1">IF($B3162="Portfolio","Portfolio",IFERROR(INDEX(DATA_ASSET_CLASSIFICATION!$U$8:$U$24,MATCH($C3162,DATA_ASSET_CLASSIFICATION!$A$8:$A$24,0)),"Review"))</f>
        <v>Refi Watch</v>
      </c>
      <c r="O3162" s="350" t="str">
        <f ca="1">IF($B3162="Portfolio","Portfolio",IFERROR(INDEX(DATA_ASSET_CLASSIFICATION!$AB$8:$AB$13,MATCH($N3162,DATA_ASSET_CLASSIFICATION!$AA$8:$AA$13,0)),"Review"))</f>
        <v>Bucket 2 · Legacy</v>
      </c>
      <c r="P3162" s="350" t="str">
        <f>IF($B3162="Portfolio","Portfolio",IFERROR(INDEX(DATA_ASSET_CLASSIFICATION!$C$8:$C$24,MATCH($C3162,DATA_ASSET_CLASSIFICATION!$A$8:$A$24,0)),"Review"))</f>
        <v>Yes</v>
      </c>
      <c r="Q3162" s="350" t="str">
        <f t="shared" ca="1" si="99"/>
        <v>OK</v>
      </c>
    </row>
    <row r="3163" spans="1:17">
      <c r="A3163" s="366" t="s">
        <v>5119</v>
      </c>
      <c r="B3163" s="366" t="s">
        <v>231</v>
      </c>
      <c r="C3163" s="348" t="str">
        <f>DATA_PROPERTY_MASTER!$A$14</f>
        <v>BLD_MM</v>
      </c>
      <c r="D3163" s="380">
        <f>'00_PORTFOLIO ROLLUP'!T$12</f>
        <v>2040</v>
      </c>
      <c r="E3163" s="366" t="s">
        <v>1721</v>
      </c>
      <c r="F3163" s="366" t="s">
        <v>39</v>
      </c>
      <c r="G3163" s="348" t="str">
        <f>"'"&amp;$C3163&amp;"'!$E$63:$Y$63"</f>
        <v>'BLD_MM'!$E$63:$Y$63</v>
      </c>
      <c r="H3163" s="381">
        <f ca="1">IF(IFERROR(INDEX(DATA_PROPERTY_MASTER!$E$5:$E$21,MATCH($C3163,DATA_PROPERTY_MASTER!$A$5:$A$21,0))="Yes",FALSE),MAX(-IFERROR(INDEX(INDIRECT("'"&amp;$C3163&amp;"'!$E$63:$Y$63"),1,MATCH($D3163,INDIRECT("'"&amp;$C3163&amp;"'!$E$12:$Y$12"),0)),0),0),0)</f>
        <v>0</v>
      </c>
      <c r="I3163" s="366" t="s">
        <v>1690</v>
      </c>
      <c r="J3163" s="348" t="str">
        <f t="shared" ca="1" si="98"/>
        <v>OK</v>
      </c>
      <c r="K3163" s="366" t="s">
        <v>1738</v>
      </c>
      <c r="L3163" s="366" t="s">
        <v>2260</v>
      </c>
      <c r="M3163" s="350" t="str">
        <f>IF($B3163="Portfolio","Portfolio",IFERROR(INDEX(DATA_ASSET_CLASSIFICATION!$B$8:$B$24,MATCH($C3163,DATA_ASSET_CLASSIFICATION!$A$8:$A$24,0)),"Review"))</f>
        <v>Murray Manor</v>
      </c>
      <c r="N3163" s="350" t="str">
        <f ca="1">IF($B3163="Portfolio","Portfolio",IFERROR(INDEX(DATA_ASSET_CLASSIFICATION!$U$8:$U$24,MATCH($C3163,DATA_ASSET_CLASSIFICATION!$A$8:$A$24,0)),"Review"))</f>
        <v>Refi Watch</v>
      </c>
      <c r="O3163" s="350" t="str">
        <f ca="1">IF($B3163="Portfolio","Portfolio",IFERROR(INDEX(DATA_ASSET_CLASSIFICATION!$AB$8:$AB$13,MATCH($N3163,DATA_ASSET_CLASSIFICATION!$AA$8:$AA$13,0)),"Review"))</f>
        <v>Bucket 2 · Legacy</v>
      </c>
      <c r="P3163" s="350" t="str">
        <f>IF($B3163="Portfolio","Portfolio",IFERROR(INDEX(DATA_ASSET_CLASSIFICATION!$C$8:$C$24,MATCH($C3163,DATA_ASSET_CLASSIFICATION!$A$8:$A$24,0)),"Review"))</f>
        <v>Yes</v>
      </c>
      <c r="Q3163" s="350" t="str">
        <f t="shared" ca="1" si="99"/>
        <v>OK</v>
      </c>
    </row>
    <row r="3164" spans="1:17">
      <c r="A3164" s="366" t="s">
        <v>5120</v>
      </c>
      <c r="B3164" s="366" t="s">
        <v>231</v>
      </c>
      <c r="C3164" s="348" t="str">
        <f>DATA_PROPERTY_MASTER!$A$14</f>
        <v>BLD_MM</v>
      </c>
      <c r="D3164" s="380">
        <f>'00_PORTFOLIO ROLLUP'!T$12</f>
        <v>2040</v>
      </c>
      <c r="E3164" s="366" t="s">
        <v>1741</v>
      </c>
      <c r="F3164" s="366" t="s">
        <v>41</v>
      </c>
      <c r="G3164" s="348" t="str">
        <f>"'"&amp;$C3164&amp;"'!rows 56 + positive row 63"</f>
        <v>'BLD_MM'!rows 56 + positive row 63</v>
      </c>
      <c r="H3164" s="381">
        <f ca="1">IF(IFERROR(INDEX(DATA_PROPERTY_MASTER!$E$5:$E$21,MATCH($C3164,DATA_PROPERTY_MASTER!$A$5:$A$21,0))="Yes",FALSE),IFERROR(INDEX(INDIRECT("'"&amp;$C3164&amp;"'!$E$56:$Y$56"),1,MATCH($D3164,INDIRECT("'"&amp;$C3164&amp;"'!$E$12:$Y$12"),0)),0)+MAX(IFERROR(INDEX(INDIRECT("'"&amp;$C3164&amp;"'!$E$63:$Y$63"),1,MATCH($D3164,INDIRECT("'"&amp;$C3164&amp;"'!$E$12:$Y$12"),0)),0),0),0)</f>
        <v>93946.483623813838</v>
      </c>
      <c r="I3164" s="366" t="s">
        <v>1685</v>
      </c>
      <c r="J3164" s="348" t="str">
        <f t="shared" ca="1" si="98"/>
        <v>OK</v>
      </c>
      <c r="K3164" s="366" t="s">
        <v>1742</v>
      </c>
      <c r="L3164" s="366" t="s">
        <v>2262</v>
      </c>
      <c r="M3164" s="350" t="str">
        <f>IF($B3164="Portfolio","Portfolio",IFERROR(INDEX(DATA_ASSET_CLASSIFICATION!$B$8:$B$24,MATCH($C3164,DATA_ASSET_CLASSIFICATION!$A$8:$A$24,0)),"Review"))</f>
        <v>Murray Manor</v>
      </c>
      <c r="N3164" s="350" t="str">
        <f ca="1">IF($B3164="Portfolio","Portfolio",IFERROR(INDEX(DATA_ASSET_CLASSIFICATION!$U$8:$U$24,MATCH($C3164,DATA_ASSET_CLASSIFICATION!$A$8:$A$24,0)),"Review"))</f>
        <v>Refi Watch</v>
      </c>
      <c r="O3164" s="350" t="str">
        <f ca="1">IF($B3164="Portfolio","Portfolio",IFERROR(INDEX(DATA_ASSET_CLASSIFICATION!$AB$8:$AB$13,MATCH($N3164,DATA_ASSET_CLASSIFICATION!$AA$8:$AA$13,0)),"Review"))</f>
        <v>Bucket 2 · Legacy</v>
      </c>
      <c r="P3164" s="350" t="str">
        <f>IF($B3164="Portfolio","Portfolio",IFERROR(INDEX(DATA_ASSET_CLASSIFICATION!$C$8:$C$24,MATCH($C3164,DATA_ASSET_CLASSIFICATION!$A$8:$A$24,0)),"Review"))</f>
        <v>Yes</v>
      </c>
      <c r="Q3164" s="350" t="str">
        <f t="shared" ca="1" si="99"/>
        <v>OK</v>
      </c>
    </row>
    <row r="3165" spans="1:17">
      <c r="A3165" s="366" t="s">
        <v>5121</v>
      </c>
      <c r="B3165" s="366" t="s">
        <v>231</v>
      </c>
      <c r="C3165" s="348" t="str">
        <f>DATA_PROPERTY_MASTER!$A$14</f>
        <v>BLD_MM</v>
      </c>
      <c r="D3165" s="380">
        <f>'00_PORTFOLIO ROLLUP'!T$12</f>
        <v>2040</v>
      </c>
      <c r="E3165" s="366" t="s">
        <v>1741</v>
      </c>
      <c r="F3165" s="366" t="s">
        <v>43</v>
      </c>
      <c r="G3165" s="348" t="str">
        <f>"'"&amp;$C3165&amp;"'!$E$68:$Y$68"</f>
        <v>'BLD_MM'!$E$68:$Y$68</v>
      </c>
      <c r="H3165" s="381">
        <f ca="1">IF(IFERROR(INDEX(DATA_PROPERTY_MASTER!$E$5:$E$21,MATCH($C3165,DATA_PROPERTY_MASTER!$A$5:$A$21,0))="Yes",FALSE),IFERROR(INDEX(INDIRECT("'"&amp;$C3165&amp;"'!$E$68:$Y$68"),1,MATCH($D3165,INDIRECT("'"&amp;$C3165&amp;"'!$E$12:$Y$12"),0)),0),0)</f>
        <v>93946.483623813838</v>
      </c>
      <c r="I3165" s="366" t="s">
        <v>1731</v>
      </c>
      <c r="J3165" s="348" t="str">
        <f t="shared" ca="1" si="98"/>
        <v>OK</v>
      </c>
      <c r="K3165" s="366" t="s">
        <v>1746</v>
      </c>
      <c r="L3165" s="366" t="s">
        <v>2264</v>
      </c>
      <c r="M3165" s="350" t="str">
        <f>IF($B3165="Portfolio","Portfolio",IFERROR(INDEX(DATA_ASSET_CLASSIFICATION!$B$8:$B$24,MATCH($C3165,DATA_ASSET_CLASSIFICATION!$A$8:$A$24,0)),"Review"))</f>
        <v>Murray Manor</v>
      </c>
      <c r="N3165" s="350" t="str">
        <f ca="1">IF($B3165="Portfolio","Portfolio",IFERROR(INDEX(DATA_ASSET_CLASSIFICATION!$U$8:$U$24,MATCH($C3165,DATA_ASSET_CLASSIFICATION!$A$8:$A$24,0)),"Review"))</f>
        <v>Refi Watch</v>
      </c>
      <c r="O3165" s="350" t="str">
        <f ca="1">IF($B3165="Portfolio","Portfolio",IFERROR(INDEX(DATA_ASSET_CLASSIFICATION!$AB$8:$AB$13,MATCH($N3165,DATA_ASSET_CLASSIFICATION!$AA$8:$AA$13,0)),"Review"))</f>
        <v>Bucket 2 · Legacy</v>
      </c>
      <c r="P3165" s="350" t="str">
        <f>IF($B3165="Portfolio","Portfolio",IFERROR(INDEX(DATA_ASSET_CLASSIFICATION!$C$8:$C$24,MATCH($C3165,DATA_ASSET_CLASSIFICATION!$A$8:$A$24,0)),"Review"))</f>
        <v>Yes</v>
      </c>
      <c r="Q3165" s="350" t="str">
        <f t="shared" ca="1" si="99"/>
        <v>OK</v>
      </c>
    </row>
    <row r="3166" spans="1:17">
      <c r="A3166" s="366" t="s">
        <v>5122</v>
      </c>
      <c r="B3166" s="366" t="s">
        <v>231</v>
      </c>
      <c r="C3166" s="348" t="str">
        <f>DATA_PROPERTY_MASTER!$A$14</f>
        <v>BLD_MM</v>
      </c>
      <c r="D3166" s="380">
        <f>'00_PORTFOLIO ROLLUP'!T$12</f>
        <v>2040</v>
      </c>
      <c r="E3166" s="366" t="s">
        <v>1741</v>
      </c>
      <c r="F3166" s="366" t="s">
        <v>1749</v>
      </c>
      <c r="G3166" s="348" t="str">
        <f>"'"&amp;$C3166&amp;"'!rows 56, 63, 68"</f>
        <v>'BLD_MM'!rows 56, 63, 68</v>
      </c>
      <c r="H3166" s="381">
        <f ca="1">IF(IFERROR(INDEX(DATA_PROPERTY_MASTER!$E$5:$E$21,MATCH($C3166,DATA_PROPERTY_MASTER!$A$5:$A$21,0))="Yes",FALSE),(IFERROR(INDEX(INDIRECT("'"&amp;$C3166&amp;"'!$E$56:$Y$56"),1,MATCH($D3166,INDIRECT("'"&amp;$C3166&amp;"'!$E$12:$Y$12"),0)),0)+MAX(IFERROR(INDEX(INDIRECT("'"&amp;$C3166&amp;"'!$E$63:$Y$63"),1,MATCH($D3166,INDIRECT("'"&amp;$C3166&amp;"'!$E$12:$Y$12"),0)),0),0))-(IFERROR(INDEX(INDIRECT("'"&amp;$C3166&amp;"'!$E$68:$Y$68"),1,MATCH($D3166,INDIRECT("'"&amp;$C3166&amp;"'!$E$12:$Y$12"),0)),0)),0)</f>
        <v>0</v>
      </c>
      <c r="I3166" s="366" t="s">
        <v>1750</v>
      </c>
      <c r="J3166" s="348" t="str">
        <f t="shared" ca="1" si="98"/>
        <v>OK</v>
      </c>
      <c r="K3166" s="366" t="s">
        <v>1751</v>
      </c>
      <c r="L3166" s="366" t="s">
        <v>2266</v>
      </c>
      <c r="M3166" s="350" t="str">
        <f>IF($B3166="Portfolio","Portfolio",IFERROR(INDEX(DATA_ASSET_CLASSIFICATION!$B$8:$B$24,MATCH($C3166,DATA_ASSET_CLASSIFICATION!$A$8:$A$24,0)),"Review"))</f>
        <v>Murray Manor</v>
      </c>
      <c r="N3166" s="350" t="str">
        <f ca="1">IF($B3166="Portfolio","Portfolio",IFERROR(INDEX(DATA_ASSET_CLASSIFICATION!$U$8:$U$24,MATCH($C3166,DATA_ASSET_CLASSIFICATION!$A$8:$A$24,0)),"Review"))</f>
        <v>Refi Watch</v>
      </c>
      <c r="O3166" s="350" t="str">
        <f ca="1">IF($B3166="Portfolio","Portfolio",IFERROR(INDEX(DATA_ASSET_CLASSIFICATION!$AB$8:$AB$13,MATCH($N3166,DATA_ASSET_CLASSIFICATION!$AA$8:$AA$13,0)),"Review"))</f>
        <v>Bucket 2 · Legacy</v>
      </c>
      <c r="P3166" s="350" t="str">
        <f>IF($B3166="Portfolio","Portfolio",IFERROR(INDEX(DATA_ASSET_CLASSIFICATION!$C$8:$C$24,MATCH($C3166,DATA_ASSET_CLASSIFICATION!$A$8:$A$24,0)),"Review"))</f>
        <v>Yes</v>
      </c>
      <c r="Q3166" s="350" t="str">
        <f t="shared" ca="1" si="99"/>
        <v>OK</v>
      </c>
    </row>
    <row r="3167" spans="1:17">
      <c r="A3167" s="366" t="s">
        <v>5123</v>
      </c>
      <c r="B3167" s="366" t="s">
        <v>231</v>
      </c>
      <c r="C3167" s="348" t="str">
        <f>DATA_PROPERTY_MASTER!$A$14</f>
        <v>BLD_MM</v>
      </c>
      <c r="D3167" s="380">
        <f>'00_PORTFOLIO ROLLUP'!U$12</f>
        <v>2041</v>
      </c>
      <c r="E3167" s="366" t="s">
        <v>1683</v>
      </c>
      <c r="F3167" s="366" t="s">
        <v>341</v>
      </c>
      <c r="G3167" s="348" t="str">
        <f>"'"&amp;$C3167&amp;"'!$E$24:$Y$24"</f>
        <v>'BLD_MM'!$E$24:$Y$24</v>
      </c>
      <c r="H3167" s="381">
        <f ca="1">IF(IFERROR(INDEX(DATA_PROPERTY_MASTER!$E$5:$E$21,MATCH($C3167,DATA_PROPERTY_MASTER!$A$5:$A$21,0))="Yes",FALSE),IFERROR(INDEX(INDIRECT("'"&amp;$C3167&amp;"'!$E$24:$Y$24"),1,MATCH($D3167,INDIRECT("'"&amp;$C3167&amp;"'!$E$12:$Y$12"),0)),0),0)</f>
        <v>1072146.3412876206</v>
      </c>
      <c r="I3167" s="366" t="s">
        <v>1685</v>
      </c>
      <c r="J3167" s="348" t="str">
        <f t="shared" ca="1" si="98"/>
        <v>OK</v>
      </c>
      <c r="K3167" s="366" t="s">
        <v>1686</v>
      </c>
      <c r="L3167" s="366" t="s">
        <v>2234</v>
      </c>
      <c r="M3167" s="350" t="str">
        <f>IF($B3167="Portfolio","Portfolio",IFERROR(INDEX(DATA_ASSET_CLASSIFICATION!$B$8:$B$24,MATCH($C3167,DATA_ASSET_CLASSIFICATION!$A$8:$A$24,0)),"Review"))</f>
        <v>Murray Manor</v>
      </c>
      <c r="N3167" s="350" t="str">
        <f ca="1">IF($B3167="Portfolio","Portfolio",IFERROR(INDEX(DATA_ASSET_CLASSIFICATION!$U$8:$U$24,MATCH($C3167,DATA_ASSET_CLASSIFICATION!$A$8:$A$24,0)),"Review"))</f>
        <v>Refi Watch</v>
      </c>
      <c r="O3167" s="350" t="str">
        <f ca="1">IF($B3167="Portfolio","Portfolio",IFERROR(INDEX(DATA_ASSET_CLASSIFICATION!$AB$8:$AB$13,MATCH($N3167,DATA_ASSET_CLASSIFICATION!$AA$8:$AA$13,0)),"Review"))</f>
        <v>Bucket 2 · Legacy</v>
      </c>
      <c r="P3167" s="350" t="str">
        <f>IF($B3167="Portfolio","Portfolio",IFERROR(INDEX(DATA_ASSET_CLASSIFICATION!$C$8:$C$24,MATCH($C3167,DATA_ASSET_CLASSIFICATION!$A$8:$A$24,0)),"Review"))</f>
        <v>Yes</v>
      </c>
      <c r="Q3167" s="350" t="str">
        <f t="shared" ca="1" si="99"/>
        <v>OK</v>
      </c>
    </row>
    <row r="3168" spans="1:17">
      <c r="A3168" s="366" t="s">
        <v>5124</v>
      </c>
      <c r="B3168" s="366" t="s">
        <v>231</v>
      </c>
      <c r="C3168" s="348" t="str">
        <f>DATA_PROPERTY_MASTER!$A$14</f>
        <v>BLD_MM</v>
      </c>
      <c r="D3168" s="380">
        <f>'00_PORTFOLIO ROLLUP'!U$12</f>
        <v>2041</v>
      </c>
      <c r="E3168" s="366" t="s">
        <v>1683</v>
      </c>
      <c r="F3168" s="366" t="s">
        <v>355</v>
      </c>
      <c r="G3168" s="348" t="str">
        <f>"'"&amp;$C3168&amp;"'!$E$39:$Y$39"</f>
        <v>'BLD_MM'!$E$39:$Y$39</v>
      </c>
      <c r="H3168" s="381">
        <f ca="1">IF(IFERROR(INDEX(DATA_PROPERTY_MASTER!$E$5:$E$21,MATCH($C3168,DATA_PROPERTY_MASTER!$A$5:$A$21,0))="Yes",FALSE),IFERROR(INDEX(INDIRECT("'"&amp;$C3168&amp;"'!$E$39:$Y$39"),1,MATCH($D3168,INDIRECT("'"&amp;$C3168&amp;"'!$E$12:$Y$12"),0)),0),0)</f>
        <v>471006.58886489703</v>
      </c>
      <c r="I3168" s="366" t="s">
        <v>1690</v>
      </c>
      <c r="J3168" s="348" t="str">
        <f t="shared" ca="1" si="98"/>
        <v>OK</v>
      </c>
      <c r="K3168" s="366" t="s">
        <v>1686</v>
      </c>
      <c r="L3168" s="366" t="s">
        <v>2236</v>
      </c>
      <c r="M3168" s="350" t="str">
        <f>IF($B3168="Portfolio","Portfolio",IFERROR(INDEX(DATA_ASSET_CLASSIFICATION!$B$8:$B$24,MATCH($C3168,DATA_ASSET_CLASSIFICATION!$A$8:$A$24,0)),"Review"))</f>
        <v>Murray Manor</v>
      </c>
      <c r="N3168" s="350" t="str">
        <f ca="1">IF($B3168="Portfolio","Portfolio",IFERROR(INDEX(DATA_ASSET_CLASSIFICATION!$U$8:$U$24,MATCH($C3168,DATA_ASSET_CLASSIFICATION!$A$8:$A$24,0)),"Review"))</f>
        <v>Refi Watch</v>
      </c>
      <c r="O3168" s="350" t="str">
        <f ca="1">IF($B3168="Portfolio","Portfolio",IFERROR(INDEX(DATA_ASSET_CLASSIFICATION!$AB$8:$AB$13,MATCH($N3168,DATA_ASSET_CLASSIFICATION!$AA$8:$AA$13,0)),"Review"))</f>
        <v>Bucket 2 · Legacy</v>
      </c>
      <c r="P3168" s="350" t="str">
        <f>IF($B3168="Portfolio","Portfolio",IFERROR(INDEX(DATA_ASSET_CLASSIFICATION!$C$8:$C$24,MATCH($C3168,DATA_ASSET_CLASSIFICATION!$A$8:$A$24,0)),"Review"))</f>
        <v>Yes</v>
      </c>
      <c r="Q3168" s="350" t="str">
        <f t="shared" ca="1" si="99"/>
        <v>OK</v>
      </c>
    </row>
    <row r="3169" spans="1:17">
      <c r="A3169" s="366" t="s">
        <v>5125</v>
      </c>
      <c r="B3169" s="366" t="s">
        <v>231</v>
      </c>
      <c r="C3169" s="348" t="str">
        <f>DATA_PROPERTY_MASTER!$A$14</f>
        <v>BLD_MM</v>
      </c>
      <c r="D3169" s="380">
        <f>'00_PORTFOLIO ROLLUP'!U$12</f>
        <v>2041</v>
      </c>
      <c r="E3169" s="366" t="s">
        <v>1683</v>
      </c>
      <c r="F3169" s="366" t="s">
        <v>19</v>
      </c>
      <c r="G3169" s="348" t="str">
        <f>"'"&amp;$C3169&amp;"'!$E$41:$Y$41"</f>
        <v>'BLD_MM'!$E$41:$Y$41</v>
      </c>
      <c r="H3169" s="381">
        <f ca="1">IF(IFERROR(INDEX(DATA_PROPERTY_MASTER!$E$5:$E$21,MATCH($C3169,DATA_PROPERTY_MASTER!$A$5:$A$21,0))="Yes",FALSE),IFERROR(INDEX(INDIRECT("'"&amp;$C3169&amp;"'!$E$41:$Y$41"),1,MATCH($D3169,INDIRECT("'"&amp;$C3169&amp;"'!$E$12:$Y$12"),0)),0),0)</f>
        <v>601139.75242272357</v>
      </c>
      <c r="I3169" s="366" t="s">
        <v>1685</v>
      </c>
      <c r="J3169" s="348" t="str">
        <f t="shared" ca="1" si="98"/>
        <v>OK</v>
      </c>
      <c r="K3169" s="366" t="s">
        <v>1694</v>
      </c>
      <c r="L3169" s="366" t="s">
        <v>2238</v>
      </c>
      <c r="M3169" s="350" t="str">
        <f>IF($B3169="Portfolio","Portfolio",IFERROR(INDEX(DATA_ASSET_CLASSIFICATION!$B$8:$B$24,MATCH($C3169,DATA_ASSET_CLASSIFICATION!$A$8:$A$24,0)),"Review"))</f>
        <v>Murray Manor</v>
      </c>
      <c r="N3169" s="350" t="str">
        <f ca="1">IF($B3169="Portfolio","Portfolio",IFERROR(INDEX(DATA_ASSET_CLASSIFICATION!$U$8:$U$24,MATCH($C3169,DATA_ASSET_CLASSIFICATION!$A$8:$A$24,0)),"Review"))</f>
        <v>Refi Watch</v>
      </c>
      <c r="O3169" s="350" t="str">
        <f ca="1">IF($B3169="Portfolio","Portfolio",IFERROR(INDEX(DATA_ASSET_CLASSIFICATION!$AB$8:$AB$13,MATCH($N3169,DATA_ASSET_CLASSIFICATION!$AA$8:$AA$13,0)),"Review"))</f>
        <v>Bucket 2 · Legacy</v>
      </c>
      <c r="P3169" s="350" t="str">
        <f>IF($B3169="Portfolio","Portfolio",IFERROR(INDEX(DATA_ASSET_CLASSIFICATION!$C$8:$C$24,MATCH($C3169,DATA_ASSET_CLASSIFICATION!$A$8:$A$24,0)),"Review"))</f>
        <v>Yes</v>
      </c>
      <c r="Q3169" s="350" t="str">
        <f t="shared" ca="1" si="99"/>
        <v>OK</v>
      </c>
    </row>
    <row r="3170" spans="1:17">
      <c r="A3170" s="366" t="s">
        <v>5126</v>
      </c>
      <c r="B3170" s="366" t="s">
        <v>231</v>
      </c>
      <c r="C3170" s="348" t="str">
        <f>DATA_PROPERTY_MASTER!$A$14</f>
        <v>BLD_MM</v>
      </c>
      <c r="D3170" s="380">
        <f>'00_PORTFOLIO ROLLUP'!U$12</f>
        <v>2041</v>
      </c>
      <c r="E3170" s="366" t="s">
        <v>1683</v>
      </c>
      <c r="F3170" s="366" t="s">
        <v>1697</v>
      </c>
      <c r="G3170" s="348" t="str">
        <f>"'"&amp;$C3170&amp;"'!$E$44:$Y$44"</f>
        <v>'BLD_MM'!$E$44:$Y$44</v>
      </c>
      <c r="H3170" s="381">
        <f ca="1">IF(IFERROR(INDEX(DATA_PROPERTY_MASTER!$E$5:$E$21,MATCH($C3170,DATA_PROPERTY_MASTER!$A$5:$A$21,0))="Yes",FALSE),IFERROR(INDEX(INDIRECT("'"&amp;$C3170&amp;"'!$E$44:$Y$44"),1,MATCH($D3170,INDIRECT("'"&amp;$C3170&amp;"'!$E$12:$Y$12"),0)),0),0)</f>
        <v>9678.1392208888155</v>
      </c>
      <c r="I3170" s="366" t="s">
        <v>1690</v>
      </c>
      <c r="J3170" s="348" t="str">
        <f t="shared" ca="1" si="98"/>
        <v>OK</v>
      </c>
      <c r="K3170" s="366" t="s">
        <v>1699</v>
      </c>
      <c r="L3170" s="366" t="s">
        <v>2240</v>
      </c>
      <c r="M3170" s="350" t="str">
        <f>IF($B3170="Portfolio","Portfolio",IFERROR(INDEX(DATA_ASSET_CLASSIFICATION!$B$8:$B$24,MATCH($C3170,DATA_ASSET_CLASSIFICATION!$A$8:$A$24,0)),"Review"))</f>
        <v>Murray Manor</v>
      </c>
      <c r="N3170" s="350" t="str">
        <f ca="1">IF($B3170="Portfolio","Portfolio",IFERROR(INDEX(DATA_ASSET_CLASSIFICATION!$U$8:$U$24,MATCH($C3170,DATA_ASSET_CLASSIFICATION!$A$8:$A$24,0)),"Review"))</f>
        <v>Refi Watch</v>
      </c>
      <c r="O3170" s="350" t="str">
        <f ca="1">IF($B3170="Portfolio","Portfolio",IFERROR(INDEX(DATA_ASSET_CLASSIFICATION!$AB$8:$AB$13,MATCH($N3170,DATA_ASSET_CLASSIFICATION!$AA$8:$AA$13,0)),"Review"))</f>
        <v>Bucket 2 · Legacy</v>
      </c>
      <c r="P3170" s="350" t="str">
        <f>IF($B3170="Portfolio","Portfolio",IFERROR(INDEX(DATA_ASSET_CLASSIFICATION!$C$8:$C$24,MATCH($C3170,DATA_ASSET_CLASSIFICATION!$A$8:$A$24,0)),"Review"))</f>
        <v>Yes</v>
      </c>
      <c r="Q3170" s="350" t="str">
        <f t="shared" ca="1" si="99"/>
        <v>OK</v>
      </c>
    </row>
    <row r="3171" spans="1:17">
      <c r="A3171" s="366" t="s">
        <v>5127</v>
      </c>
      <c r="B3171" s="366" t="s">
        <v>231</v>
      </c>
      <c r="C3171" s="348" t="str">
        <f>DATA_PROPERTY_MASTER!$A$14</f>
        <v>BLD_MM</v>
      </c>
      <c r="D3171" s="380">
        <f>'00_PORTFOLIO ROLLUP'!U$12</f>
        <v>2041</v>
      </c>
      <c r="E3171" s="366" t="s">
        <v>1683</v>
      </c>
      <c r="F3171" s="366" t="s">
        <v>21</v>
      </c>
      <c r="G3171" s="348" t="str">
        <f>"'"&amp;$C3171&amp;"'!$E$45:$Y$45"</f>
        <v>'BLD_MM'!$E$45:$Y$45</v>
      </c>
      <c r="H3171" s="381">
        <f ca="1">IF(IFERROR(INDEX(DATA_PROPERTY_MASTER!$E$5:$E$21,MATCH($C3171,DATA_PROPERTY_MASTER!$A$5:$A$21,0))="Yes",FALSE),IFERROR(INDEX(INDIRECT("'"&amp;$C3171&amp;"'!$E$45:$Y$45"),1,MATCH($D3171,INDIRECT("'"&amp;$C3171&amp;"'!$E$12:$Y$12"),0)),0),0)</f>
        <v>591461.61320183473</v>
      </c>
      <c r="I3171" s="366" t="s">
        <v>1685</v>
      </c>
      <c r="J3171" s="348" t="str">
        <f t="shared" ca="1" si="98"/>
        <v>OK</v>
      </c>
      <c r="K3171" s="366" t="s">
        <v>1694</v>
      </c>
      <c r="L3171" s="366" t="s">
        <v>2242</v>
      </c>
      <c r="M3171" s="350" t="str">
        <f>IF($B3171="Portfolio","Portfolio",IFERROR(INDEX(DATA_ASSET_CLASSIFICATION!$B$8:$B$24,MATCH($C3171,DATA_ASSET_CLASSIFICATION!$A$8:$A$24,0)),"Review"))</f>
        <v>Murray Manor</v>
      </c>
      <c r="N3171" s="350" t="str">
        <f ca="1">IF($B3171="Portfolio","Portfolio",IFERROR(INDEX(DATA_ASSET_CLASSIFICATION!$U$8:$U$24,MATCH($C3171,DATA_ASSET_CLASSIFICATION!$A$8:$A$24,0)),"Review"))</f>
        <v>Refi Watch</v>
      </c>
      <c r="O3171" s="350" t="str">
        <f ca="1">IF($B3171="Portfolio","Portfolio",IFERROR(INDEX(DATA_ASSET_CLASSIFICATION!$AB$8:$AB$13,MATCH($N3171,DATA_ASSET_CLASSIFICATION!$AA$8:$AA$13,0)),"Review"))</f>
        <v>Bucket 2 · Legacy</v>
      </c>
      <c r="P3171" s="350" t="str">
        <f>IF($B3171="Portfolio","Portfolio",IFERROR(INDEX(DATA_ASSET_CLASSIFICATION!$C$8:$C$24,MATCH($C3171,DATA_ASSET_CLASSIFICATION!$A$8:$A$24,0)),"Review"))</f>
        <v>Yes</v>
      </c>
      <c r="Q3171" s="350" t="str">
        <f t="shared" ca="1" si="99"/>
        <v>OK</v>
      </c>
    </row>
    <row r="3172" spans="1:17">
      <c r="A3172" s="366" t="s">
        <v>5128</v>
      </c>
      <c r="B3172" s="366" t="s">
        <v>231</v>
      </c>
      <c r="C3172" s="348" t="str">
        <f>DATA_PROPERTY_MASTER!$A$14</f>
        <v>BLD_MM</v>
      </c>
      <c r="D3172" s="380">
        <f>'00_PORTFOLIO ROLLUP'!U$12</f>
        <v>2041</v>
      </c>
      <c r="E3172" s="366" t="s">
        <v>23</v>
      </c>
      <c r="F3172" s="366" t="s">
        <v>23</v>
      </c>
      <c r="G3172" s="348" t="str">
        <f>"'"&amp;$C3172&amp;"'!$E$48:$Y$48"</f>
        <v>'BLD_MM'!$E$48:$Y$48</v>
      </c>
      <c r="H3172" s="381">
        <f ca="1">IF(IFERROR(INDEX(DATA_PROPERTY_MASTER!$E$5:$E$21,MATCH($C3172,DATA_PROPERTY_MASTER!$A$5:$A$21,0))="Yes",FALSE),IFERROR(INDEX(INDIRECT("'"&amp;$C3172&amp;"'!$E$48:$Y$48"),1,MATCH($D3172,INDIRECT("'"&amp;$C3172&amp;"'!$E$12:$Y$12"),0)),0),0)</f>
        <v>356739.03166510991</v>
      </c>
      <c r="I3172" s="366" t="s">
        <v>1690</v>
      </c>
      <c r="J3172" s="348" t="str">
        <f t="shared" ca="1" si="98"/>
        <v>OK</v>
      </c>
      <c r="K3172" s="366" t="s">
        <v>1706</v>
      </c>
      <c r="L3172" s="366" t="s">
        <v>2244</v>
      </c>
      <c r="M3172" s="350" t="str">
        <f>IF($B3172="Portfolio","Portfolio",IFERROR(INDEX(DATA_ASSET_CLASSIFICATION!$B$8:$B$24,MATCH($C3172,DATA_ASSET_CLASSIFICATION!$A$8:$A$24,0)),"Review"))</f>
        <v>Murray Manor</v>
      </c>
      <c r="N3172" s="350" t="str">
        <f ca="1">IF($B3172="Portfolio","Portfolio",IFERROR(INDEX(DATA_ASSET_CLASSIFICATION!$U$8:$U$24,MATCH($C3172,DATA_ASSET_CLASSIFICATION!$A$8:$A$24,0)),"Review"))</f>
        <v>Refi Watch</v>
      </c>
      <c r="O3172" s="350" t="str">
        <f ca="1">IF($B3172="Portfolio","Portfolio",IFERROR(INDEX(DATA_ASSET_CLASSIFICATION!$AB$8:$AB$13,MATCH($N3172,DATA_ASSET_CLASSIFICATION!$AA$8:$AA$13,0)),"Review"))</f>
        <v>Bucket 2 · Legacy</v>
      </c>
      <c r="P3172" s="350" t="str">
        <f>IF($B3172="Portfolio","Portfolio",IFERROR(INDEX(DATA_ASSET_CLASSIFICATION!$C$8:$C$24,MATCH($C3172,DATA_ASSET_CLASSIFICATION!$A$8:$A$24,0)),"Review"))</f>
        <v>Yes</v>
      </c>
      <c r="Q3172" s="350" t="str">
        <f t="shared" ca="1" si="99"/>
        <v>OK</v>
      </c>
    </row>
    <row r="3173" spans="1:17">
      <c r="A3173" s="366" t="s">
        <v>5129</v>
      </c>
      <c r="B3173" s="366" t="s">
        <v>231</v>
      </c>
      <c r="C3173" s="348" t="str">
        <f>DATA_PROPERTY_MASTER!$A$14</f>
        <v>BLD_MM</v>
      </c>
      <c r="D3173" s="380">
        <f>'00_PORTFOLIO ROLLUP'!U$12</f>
        <v>2041</v>
      </c>
      <c r="E3173" s="366" t="s">
        <v>1683</v>
      </c>
      <c r="F3173" s="366" t="s">
        <v>25</v>
      </c>
      <c r="G3173" s="348" t="str">
        <f>"'"&amp;$C3173&amp;"'!$E$52:$Y$52"</f>
        <v>'BLD_MM'!$E$52:$Y$52</v>
      </c>
      <c r="H3173" s="381">
        <f ca="1">IF(IFERROR(INDEX(DATA_PROPERTY_MASTER!$E$5:$E$21,MATCH($C3173,DATA_PROPERTY_MASTER!$A$5:$A$21,0))="Yes",FALSE),IFERROR(INDEX(INDIRECT("'"&amp;$C3173&amp;"'!$E$52:$Y$52"),1,MATCH($D3173,INDIRECT("'"&amp;$C3173&amp;"'!$E$12:$Y$12"),0)),0),0)</f>
        <v>244400.72075761366</v>
      </c>
      <c r="I3173" s="366" t="s">
        <v>1685</v>
      </c>
      <c r="J3173" s="348" t="str">
        <f t="shared" ca="1" si="98"/>
        <v>OK</v>
      </c>
      <c r="K3173" s="366" t="s">
        <v>1710</v>
      </c>
      <c r="L3173" s="366" t="s">
        <v>2246</v>
      </c>
      <c r="M3173" s="350" t="str">
        <f>IF($B3173="Portfolio","Portfolio",IFERROR(INDEX(DATA_ASSET_CLASSIFICATION!$B$8:$B$24,MATCH($C3173,DATA_ASSET_CLASSIFICATION!$A$8:$A$24,0)),"Review"))</f>
        <v>Murray Manor</v>
      </c>
      <c r="N3173" s="350" t="str">
        <f ca="1">IF($B3173="Portfolio","Portfolio",IFERROR(INDEX(DATA_ASSET_CLASSIFICATION!$U$8:$U$24,MATCH($C3173,DATA_ASSET_CLASSIFICATION!$A$8:$A$24,0)),"Review"))</f>
        <v>Refi Watch</v>
      </c>
      <c r="O3173" s="350" t="str">
        <f ca="1">IF($B3173="Portfolio","Portfolio",IFERROR(INDEX(DATA_ASSET_CLASSIFICATION!$AB$8:$AB$13,MATCH($N3173,DATA_ASSET_CLASSIFICATION!$AA$8:$AA$13,0)),"Review"))</f>
        <v>Bucket 2 · Legacy</v>
      </c>
      <c r="P3173" s="350" t="str">
        <f>IF($B3173="Portfolio","Portfolio",IFERROR(INDEX(DATA_ASSET_CLASSIFICATION!$C$8:$C$24,MATCH($C3173,DATA_ASSET_CLASSIFICATION!$A$8:$A$24,0)),"Review"))</f>
        <v>Yes</v>
      </c>
      <c r="Q3173" s="350" t="str">
        <f t="shared" ca="1" si="99"/>
        <v>OK</v>
      </c>
    </row>
    <row r="3174" spans="1:17">
      <c r="A3174" s="366" t="s">
        <v>5130</v>
      </c>
      <c r="B3174" s="366" t="s">
        <v>231</v>
      </c>
      <c r="C3174" s="348" t="str">
        <f>DATA_PROPERTY_MASTER!$A$14</f>
        <v>BLD_MM</v>
      </c>
      <c r="D3174" s="380">
        <f>'00_PORTFOLIO ROLLUP'!U$12</f>
        <v>2041</v>
      </c>
      <c r="E3174" s="366" t="s">
        <v>1683</v>
      </c>
      <c r="F3174" s="366" t="s">
        <v>27</v>
      </c>
      <c r="G3174" s="348" t="str">
        <f>"'"&amp;$C3174&amp;"'!$E$54:$Y$54"</f>
        <v>'BLD_MM'!$E$54:$Y$54</v>
      </c>
      <c r="H3174" s="381">
        <f ca="1">IF(IFERROR(INDEX(DATA_PROPERTY_MASTER!$E$5:$E$21,MATCH($C3174,DATA_PROPERTY_MASTER!$A$5:$A$21,0))="Yes",FALSE),IFERROR(INDEX(INDIRECT("'"&amp;$C3174&amp;"'!$E$54:$Y$54"),1,MATCH($D3174,INDIRECT("'"&amp;$C3174&amp;"'!$E$12:$Y$12"),0)),0),0)</f>
        <v>146640.43245456819</v>
      </c>
      <c r="I3174" s="366" t="s">
        <v>1690</v>
      </c>
      <c r="J3174" s="348" t="str">
        <f t="shared" ca="1" si="98"/>
        <v>OK</v>
      </c>
      <c r="K3174" s="366" t="s">
        <v>1714</v>
      </c>
      <c r="L3174" s="366" t="s">
        <v>2248</v>
      </c>
      <c r="M3174" s="350" t="str">
        <f>IF($B3174="Portfolio","Portfolio",IFERROR(INDEX(DATA_ASSET_CLASSIFICATION!$B$8:$B$24,MATCH($C3174,DATA_ASSET_CLASSIFICATION!$A$8:$A$24,0)),"Review"))</f>
        <v>Murray Manor</v>
      </c>
      <c r="N3174" s="350" t="str">
        <f ca="1">IF($B3174="Portfolio","Portfolio",IFERROR(INDEX(DATA_ASSET_CLASSIFICATION!$U$8:$U$24,MATCH($C3174,DATA_ASSET_CLASSIFICATION!$A$8:$A$24,0)),"Review"))</f>
        <v>Refi Watch</v>
      </c>
      <c r="O3174" s="350" t="str">
        <f ca="1">IF($B3174="Portfolio","Portfolio",IFERROR(INDEX(DATA_ASSET_CLASSIFICATION!$AB$8:$AB$13,MATCH($N3174,DATA_ASSET_CLASSIFICATION!$AA$8:$AA$13,0)),"Review"))</f>
        <v>Bucket 2 · Legacy</v>
      </c>
      <c r="P3174" s="350" t="str">
        <f>IF($B3174="Portfolio","Portfolio",IFERROR(INDEX(DATA_ASSET_CLASSIFICATION!$C$8:$C$24,MATCH($C3174,DATA_ASSET_CLASSIFICATION!$A$8:$A$24,0)),"Review"))</f>
        <v>Yes</v>
      </c>
      <c r="Q3174" s="350" t="str">
        <f t="shared" ca="1" si="99"/>
        <v>OK</v>
      </c>
    </row>
    <row r="3175" spans="1:17">
      <c r="A3175" s="366" t="s">
        <v>5131</v>
      </c>
      <c r="B3175" s="366" t="s">
        <v>231</v>
      </c>
      <c r="C3175" s="348" t="str">
        <f>DATA_PROPERTY_MASTER!$A$14</f>
        <v>BLD_MM</v>
      </c>
      <c r="D3175" s="380">
        <f>'00_PORTFOLIO ROLLUP'!U$12</f>
        <v>2041</v>
      </c>
      <c r="E3175" s="366" t="s">
        <v>1683</v>
      </c>
      <c r="F3175" s="366" t="s">
        <v>29</v>
      </c>
      <c r="G3175" s="348" t="str">
        <f>"'"&amp;$C3175&amp;"'!$E$56:$Y$56"</f>
        <v>'BLD_MM'!$E$56:$Y$56</v>
      </c>
      <c r="H3175" s="381">
        <f ca="1">IF(IFERROR(INDEX(DATA_PROPERTY_MASTER!$E$5:$E$21,MATCH($C3175,DATA_PROPERTY_MASTER!$A$5:$A$21,0))="Yes",FALSE),IFERROR(INDEX(INDIRECT("'"&amp;$C3175&amp;"'!$E$56:$Y$56"),1,MATCH($D3175,INDIRECT("'"&amp;$C3175&amp;"'!$E$12:$Y$12"),0)),0),0)</f>
        <v>97760.288303045469</v>
      </c>
      <c r="I3175" s="366" t="s">
        <v>1685</v>
      </c>
      <c r="J3175" s="348" t="str">
        <f t="shared" ca="1" si="98"/>
        <v>OK</v>
      </c>
      <c r="K3175" s="366" t="s">
        <v>1718</v>
      </c>
      <c r="L3175" s="366" t="s">
        <v>2250</v>
      </c>
      <c r="M3175" s="350" t="str">
        <f>IF($B3175="Portfolio","Portfolio",IFERROR(INDEX(DATA_ASSET_CLASSIFICATION!$B$8:$B$24,MATCH($C3175,DATA_ASSET_CLASSIFICATION!$A$8:$A$24,0)),"Review"))</f>
        <v>Murray Manor</v>
      </c>
      <c r="N3175" s="350" t="str">
        <f ca="1">IF($B3175="Portfolio","Portfolio",IFERROR(INDEX(DATA_ASSET_CLASSIFICATION!$U$8:$U$24,MATCH($C3175,DATA_ASSET_CLASSIFICATION!$A$8:$A$24,0)),"Review"))</f>
        <v>Refi Watch</v>
      </c>
      <c r="O3175" s="350" t="str">
        <f ca="1">IF($B3175="Portfolio","Portfolio",IFERROR(INDEX(DATA_ASSET_CLASSIFICATION!$AB$8:$AB$13,MATCH($N3175,DATA_ASSET_CLASSIFICATION!$AA$8:$AA$13,0)),"Review"))</f>
        <v>Bucket 2 · Legacy</v>
      </c>
      <c r="P3175" s="350" t="str">
        <f>IF($B3175="Portfolio","Portfolio",IFERROR(INDEX(DATA_ASSET_CLASSIFICATION!$C$8:$C$24,MATCH($C3175,DATA_ASSET_CLASSIFICATION!$A$8:$A$24,0)),"Review"))</f>
        <v>Yes</v>
      </c>
      <c r="Q3175" s="350" t="str">
        <f t="shared" ca="1" si="99"/>
        <v>OK</v>
      </c>
    </row>
    <row r="3176" spans="1:17">
      <c r="A3176" s="366" t="s">
        <v>5132</v>
      </c>
      <c r="B3176" s="366" t="s">
        <v>231</v>
      </c>
      <c r="C3176" s="348" t="str">
        <f>DATA_PROPERTY_MASTER!$A$14</f>
        <v>BLD_MM</v>
      </c>
      <c r="D3176" s="380">
        <f>'00_PORTFOLIO ROLLUP'!U$12</f>
        <v>2041</v>
      </c>
      <c r="E3176" s="366" t="s">
        <v>1721</v>
      </c>
      <c r="F3176" s="366" t="s">
        <v>31</v>
      </c>
      <c r="G3176" s="348" t="str">
        <f>"'"&amp;$C3176&amp;"'!$E$61:$Y$61"</f>
        <v>'BLD_MM'!$E$61:$Y$61</v>
      </c>
      <c r="H3176" s="381">
        <f ca="1">IF(IFERROR(INDEX(DATA_PROPERTY_MASTER!$E$5:$E$21,MATCH($C3176,DATA_PROPERTY_MASTER!$A$5:$A$21,0))="Yes",FALSE),IFERROR(INDEX(INDIRECT("'"&amp;$C3176&amp;"'!$E$61:$Y$61"),1,MATCH($D3176,INDIRECT("'"&amp;$C3176&amp;"'!$E$12:$Y$12"),0)),0),0)</f>
        <v>0</v>
      </c>
      <c r="I3176" s="366" t="s">
        <v>1690</v>
      </c>
      <c r="J3176" s="348" t="str">
        <f t="shared" ca="1" si="98"/>
        <v>OK</v>
      </c>
      <c r="K3176" s="366" t="s">
        <v>1723</v>
      </c>
      <c r="L3176" s="366" t="s">
        <v>2252</v>
      </c>
      <c r="M3176" s="350" t="str">
        <f>IF($B3176="Portfolio","Portfolio",IFERROR(INDEX(DATA_ASSET_CLASSIFICATION!$B$8:$B$24,MATCH($C3176,DATA_ASSET_CLASSIFICATION!$A$8:$A$24,0)),"Review"))</f>
        <v>Murray Manor</v>
      </c>
      <c r="N3176" s="350" t="str">
        <f ca="1">IF($B3176="Portfolio","Portfolio",IFERROR(INDEX(DATA_ASSET_CLASSIFICATION!$U$8:$U$24,MATCH($C3176,DATA_ASSET_CLASSIFICATION!$A$8:$A$24,0)),"Review"))</f>
        <v>Refi Watch</v>
      </c>
      <c r="O3176" s="350" t="str">
        <f ca="1">IF($B3176="Portfolio","Portfolio",IFERROR(INDEX(DATA_ASSET_CLASSIFICATION!$AB$8:$AB$13,MATCH($N3176,DATA_ASSET_CLASSIFICATION!$AA$8:$AA$13,0)),"Review"))</f>
        <v>Bucket 2 · Legacy</v>
      </c>
      <c r="P3176" s="350" t="str">
        <f>IF($B3176="Portfolio","Portfolio",IFERROR(INDEX(DATA_ASSET_CLASSIFICATION!$C$8:$C$24,MATCH($C3176,DATA_ASSET_CLASSIFICATION!$A$8:$A$24,0)),"Review"))</f>
        <v>Yes</v>
      </c>
      <c r="Q3176" s="350" t="str">
        <f t="shared" ca="1" si="99"/>
        <v>OK</v>
      </c>
    </row>
    <row r="3177" spans="1:17">
      <c r="A3177" s="366" t="s">
        <v>5133</v>
      </c>
      <c r="B3177" s="366" t="s">
        <v>231</v>
      </c>
      <c r="C3177" s="348" t="str">
        <f>DATA_PROPERTY_MASTER!$A$14</f>
        <v>BLD_MM</v>
      </c>
      <c r="D3177" s="380">
        <f>'00_PORTFOLIO ROLLUP'!U$12</f>
        <v>2041</v>
      </c>
      <c r="E3177" s="366" t="s">
        <v>1721</v>
      </c>
      <c r="F3177" s="366" t="s">
        <v>33</v>
      </c>
      <c r="G3177" s="348" t="str">
        <f>"'"&amp;$C3177&amp;"'!$E$62:$Y$62"</f>
        <v>'BLD_MM'!$E$62:$Y$62</v>
      </c>
      <c r="H3177" s="381">
        <f ca="1">IF(IFERROR(INDEX(DATA_PROPERTY_MASTER!$E$5:$E$21,MATCH($C3177,DATA_PROPERTY_MASTER!$A$5:$A$21,0))="Yes",FALSE),IFERROR(INDEX(INDIRECT("'"&amp;$C3177&amp;"'!$E$62:$Y$62"),1,MATCH($D3177,INDIRECT("'"&amp;$C3177&amp;"'!$E$12:$Y$12"),0)),0),0)</f>
        <v>0</v>
      </c>
      <c r="I3177" s="366" t="s">
        <v>1685</v>
      </c>
      <c r="J3177" s="348" t="str">
        <f t="shared" ca="1" si="98"/>
        <v>OK</v>
      </c>
      <c r="K3177" s="366" t="s">
        <v>1727</v>
      </c>
      <c r="L3177" s="366" t="s">
        <v>2254</v>
      </c>
      <c r="M3177" s="350" t="str">
        <f>IF($B3177="Portfolio","Portfolio",IFERROR(INDEX(DATA_ASSET_CLASSIFICATION!$B$8:$B$24,MATCH($C3177,DATA_ASSET_CLASSIFICATION!$A$8:$A$24,0)),"Review"))</f>
        <v>Murray Manor</v>
      </c>
      <c r="N3177" s="350" t="str">
        <f ca="1">IF($B3177="Portfolio","Portfolio",IFERROR(INDEX(DATA_ASSET_CLASSIFICATION!$U$8:$U$24,MATCH($C3177,DATA_ASSET_CLASSIFICATION!$A$8:$A$24,0)),"Review"))</f>
        <v>Refi Watch</v>
      </c>
      <c r="O3177" s="350" t="str">
        <f ca="1">IF($B3177="Portfolio","Portfolio",IFERROR(INDEX(DATA_ASSET_CLASSIFICATION!$AB$8:$AB$13,MATCH($N3177,DATA_ASSET_CLASSIFICATION!$AA$8:$AA$13,0)),"Review"))</f>
        <v>Bucket 2 · Legacy</v>
      </c>
      <c r="P3177" s="350" t="str">
        <f>IF($B3177="Portfolio","Portfolio",IFERROR(INDEX(DATA_ASSET_CLASSIFICATION!$C$8:$C$24,MATCH($C3177,DATA_ASSET_CLASSIFICATION!$A$8:$A$24,0)),"Review"))</f>
        <v>Yes</v>
      </c>
      <c r="Q3177" s="350" t="str">
        <f t="shared" ca="1" si="99"/>
        <v>OK</v>
      </c>
    </row>
    <row r="3178" spans="1:17">
      <c r="A3178" s="366" t="s">
        <v>5134</v>
      </c>
      <c r="B3178" s="366" t="s">
        <v>231</v>
      </c>
      <c r="C3178" s="348" t="str">
        <f>DATA_PROPERTY_MASTER!$A$14</f>
        <v>BLD_MM</v>
      </c>
      <c r="D3178" s="380">
        <f>'00_PORTFOLIO ROLLUP'!U$12</f>
        <v>2041</v>
      </c>
      <c r="E3178" s="366" t="s">
        <v>1721</v>
      </c>
      <c r="F3178" s="366" t="s">
        <v>35</v>
      </c>
      <c r="G3178" s="348" t="str">
        <f>"'"&amp;$C3178&amp;"'!$E$63:$Y$63"</f>
        <v>'BLD_MM'!$E$63:$Y$63</v>
      </c>
      <c r="H3178" s="381">
        <f ca="1">IF(IFERROR(INDEX(DATA_PROPERTY_MASTER!$E$5:$E$21,MATCH($C3178,DATA_PROPERTY_MASTER!$A$5:$A$21,0))="Yes",FALSE),IFERROR(INDEX(INDIRECT("'"&amp;$C3178&amp;"'!$E$63:$Y$63"),1,MATCH($D3178,INDIRECT("'"&amp;$C3178&amp;"'!$E$12:$Y$12"),0)),0),0)</f>
        <v>0</v>
      </c>
      <c r="I3178" s="366" t="s">
        <v>1731</v>
      </c>
      <c r="J3178" s="348" t="str">
        <f t="shared" ca="1" si="98"/>
        <v>OK</v>
      </c>
      <c r="K3178" s="366" t="s">
        <v>1732</v>
      </c>
      <c r="L3178" s="366" t="s">
        <v>2256</v>
      </c>
      <c r="M3178" s="350" t="str">
        <f>IF($B3178="Portfolio","Portfolio",IFERROR(INDEX(DATA_ASSET_CLASSIFICATION!$B$8:$B$24,MATCH($C3178,DATA_ASSET_CLASSIFICATION!$A$8:$A$24,0)),"Review"))</f>
        <v>Murray Manor</v>
      </c>
      <c r="N3178" s="350" t="str">
        <f ca="1">IF($B3178="Portfolio","Portfolio",IFERROR(INDEX(DATA_ASSET_CLASSIFICATION!$U$8:$U$24,MATCH($C3178,DATA_ASSET_CLASSIFICATION!$A$8:$A$24,0)),"Review"))</f>
        <v>Refi Watch</v>
      </c>
      <c r="O3178" s="350" t="str">
        <f ca="1">IF($B3178="Portfolio","Portfolio",IFERROR(INDEX(DATA_ASSET_CLASSIFICATION!$AB$8:$AB$13,MATCH($N3178,DATA_ASSET_CLASSIFICATION!$AA$8:$AA$13,0)),"Review"))</f>
        <v>Bucket 2 · Legacy</v>
      </c>
      <c r="P3178" s="350" t="str">
        <f>IF($B3178="Portfolio","Portfolio",IFERROR(INDEX(DATA_ASSET_CLASSIFICATION!$C$8:$C$24,MATCH($C3178,DATA_ASSET_CLASSIFICATION!$A$8:$A$24,0)),"Review"))</f>
        <v>Yes</v>
      </c>
      <c r="Q3178" s="350" t="str">
        <f t="shared" ca="1" si="99"/>
        <v>OK</v>
      </c>
    </row>
    <row r="3179" spans="1:17">
      <c r="A3179" s="366" t="s">
        <v>5135</v>
      </c>
      <c r="B3179" s="366" t="s">
        <v>231</v>
      </c>
      <c r="C3179" s="348" t="str">
        <f>DATA_PROPERTY_MASTER!$A$14</f>
        <v>BLD_MM</v>
      </c>
      <c r="D3179" s="380">
        <f>'00_PORTFOLIO ROLLUP'!U$12</f>
        <v>2041</v>
      </c>
      <c r="E3179" s="366" t="s">
        <v>1721</v>
      </c>
      <c r="F3179" s="366" t="s">
        <v>37</v>
      </c>
      <c r="G3179" s="348" t="str">
        <f>"'"&amp;$C3179&amp;"'!$E$63:$Y$63"</f>
        <v>'BLD_MM'!$E$63:$Y$63</v>
      </c>
      <c r="H3179" s="381">
        <f ca="1">IF(IFERROR(INDEX(DATA_PROPERTY_MASTER!$E$5:$E$21,MATCH($C3179,DATA_PROPERTY_MASTER!$A$5:$A$21,0))="Yes",FALSE),MAX(IFERROR(INDEX(INDIRECT("'"&amp;$C3179&amp;"'!$E$63:$Y$63"),1,MATCH($D3179,INDIRECT("'"&amp;$C3179&amp;"'!$E$12:$Y$12"),0)),0),0),0)</f>
        <v>0</v>
      </c>
      <c r="I3179" s="366" t="s">
        <v>1685</v>
      </c>
      <c r="J3179" s="348" t="str">
        <f t="shared" ca="1" si="98"/>
        <v>OK</v>
      </c>
      <c r="K3179" s="366" t="s">
        <v>1735</v>
      </c>
      <c r="L3179" s="366" t="s">
        <v>2258</v>
      </c>
      <c r="M3179" s="350" t="str">
        <f>IF($B3179="Portfolio","Portfolio",IFERROR(INDEX(DATA_ASSET_CLASSIFICATION!$B$8:$B$24,MATCH($C3179,DATA_ASSET_CLASSIFICATION!$A$8:$A$24,0)),"Review"))</f>
        <v>Murray Manor</v>
      </c>
      <c r="N3179" s="350" t="str">
        <f ca="1">IF($B3179="Portfolio","Portfolio",IFERROR(INDEX(DATA_ASSET_CLASSIFICATION!$U$8:$U$24,MATCH($C3179,DATA_ASSET_CLASSIFICATION!$A$8:$A$24,0)),"Review"))</f>
        <v>Refi Watch</v>
      </c>
      <c r="O3179" s="350" t="str">
        <f ca="1">IF($B3179="Portfolio","Portfolio",IFERROR(INDEX(DATA_ASSET_CLASSIFICATION!$AB$8:$AB$13,MATCH($N3179,DATA_ASSET_CLASSIFICATION!$AA$8:$AA$13,0)),"Review"))</f>
        <v>Bucket 2 · Legacy</v>
      </c>
      <c r="P3179" s="350" t="str">
        <f>IF($B3179="Portfolio","Portfolio",IFERROR(INDEX(DATA_ASSET_CLASSIFICATION!$C$8:$C$24,MATCH($C3179,DATA_ASSET_CLASSIFICATION!$A$8:$A$24,0)),"Review"))</f>
        <v>Yes</v>
      </c>
      <c r="Q3179" s="350" t="str">
        <f t="shared" ca="1" si="99"/>
        <v>OK</v>
      </c>
    </row>
    <row r="3180" spans="1:17">
      <c r="A3180" s="366" t="s">
        <v>5136</v>
      </c>
      <c r="B3180" s="366" t="s">
        <v>231</v>
      </c>
      <c r="C3180" s="348" t="str">
        <f>DATA_PROPERTY_MASTER!$A$14</f>
        <v>BLD_MM</v>
      </c>
      <c r="D3180" s="380">
        <f>'00_PORTFOLIO ROLLUP'!U$12</f>
        <v>2041</v>
      </c>
      <c r="E3180" s="366" t="s">
        <v>1721</v>
      </c>
      <c r="F3180" s="366" t="s">
        <v>39</v>
      </c>
      <c r="G3180" s="348" t="str">
        <f>"'"&amp;$C3180&amp;"'!$E$63:$Y$63"</f>
        <v>'BLD_MM'!$E$63:$Y$63</v>
      </c>
      <c r="H3180" s="381">
        <f ca="1">IF(IFERROR(INDEX(DATA_PROPERTY_MASTER!$E$5:$E$21,MATCH($C3180,DATA_PROPERTY_MASTER!$A$5:$A$21,0))="Yes",FALSE),MAX(-IFERROR(INDEX(INDIRECT("'"&amp;$C3180&amp;"'!$E$63:$Y$63"),1,MATCH($D3180,INDIRECT("'"&amp;$C3180&amp;"'!$E$12:$Y$12"),0)),0),0),0)</f>
        <v>0</v>
      </c>
      <c r="I3180" s="366" t="s">
        <v>1690</v>
      </c>
      <c r="J3180" s="348" t="str">
        <f t="shared" ca="1" si="98"/>
        <v>OK</v>
      </c>
      <c r="K3180" s="366" t="s">
        <v>1738</v>
      </c>
      <c r="L3180" s="366" t="s">
        <v>2260</v>
      </c>
      <c r="M3180" s="350" t="str">
        <f>IF($B3180="Portfolio","Portfolio",IFERROR(INDEX(DATA_ASSET_CLASSIFICATION!$B$8:$B$24,MATCH($C3180,DATA_ASSET_CLASSIFICATION!$A$8:$A$24,0)),"Review"))</f>
        <v>Murray Manor</v>
      </c>
      <c r="N3180" s="350" t="str">
        <f ca="1">IF($B3180="Portfolio","Portfolio",IFERROR(INDEX(DATA_ASSET_CLASSIFICATION!$U$8:$U$24,MATCH($C3180,DATA_ASSET_CLASSIFICATION!$A$8:$A$24,0)),"Review"))</f>
        <v>Refi Watch</v>
      </c>
      <c r="O3180" s="350" t="str">
        <f ca="1">IF($B3180="Portfolio","Portfolio",IFERROR(INDEX(DATA_ASSET_CLASSIFICATION!$AB$8:$AB$13,MATCH($N3180,DATA_ASSET_CLASSIFICATION!$AA$8:$AA$13,0)),"Review"))</f>
        <v>Bucket 2 · Legacy</v>
      </c>
      <c r="P3180" s="350" t="str">
        <f>IF($B3180="Portfolio","Portfolio",IFERROR(INDEX(DATA_ASSET_CLASSIFICATION!$C$8:$C$24,MATCH($C3180,DATA_ASSET_CLASSIFICATION!$A$8:$A$24,0)),"Review"))</f>
        <v>Yes</v>
      </c>
      <c r="Q3180" s="350" t="str">
        <f t="shared" ca="1" si="99"/>
        <v>OK</v>
      </c>
    </row>
    <row r="3181" spans="1:17">
      <c r="A3181" s="366" t="s">
        <v>5137</v>
      </c>
      <c r="B3181" s="366" t="s">
        <v>231</v>
      </c>
      <c r="C3181" s="348" t="str">
        <f>DATA_PROPERTY_MASTER!$A$14</f>
        <v>BLD_MM</v>
      </c>
      <c r="D3181" s="380">
        <f>'00_PORTFOLIO ROLLUP'!U$12</f>
        <v>2041</v>
      </c>
      <c r="E3181" s="366" t="s">
        <v>1741</v>
      </c>
      <c r="F3181" s="366" t="s">
        <v>41</v>
      </c>
      <c r="G3181" s="348" t="str">
        <f>"'"&amp;$C3181&amp;"'!rows 56 + positive row 63"</f>
        <v>'BLD_MM'!rows 56 + positive row 63</v>
      </c>
      <c r="H3181" s="381">
        <f ca="1">IF(IFERROR(INDEX(DATA_PROPERTY_MASTER!$E$5:$E$21,MATCH($C3181,DATA_PROPERTY_MASTER!$A$5:$A$21,0))="Yes",FALSE),IFERROR(INDEX(INDIRECT("'"&amp;$C3181&amp;"'!$E$56:$Y$56"),1,MATCH($D3181,INDIRECT("'"&amp;$C3181&amp;"'!$E$12:$Y$12"),0)),0)+MAX(IFERROR(INDEX(INDIRECT("'"&amp;$C3181&amp;"'!$E$63:$Y$63"),1,MATCH($D3181,INDIRECT("'"&amp;$C3181&amp;"'!$E$12:$Y$12"),0)),0),0),0)</f>
        <v>97760.288303045469</v>
      </c>
      <c r="I3181" s="366" t="s">
        <v>1685</v>
      </c>
      <c r="J3181" s="348" t="str">
        <f t="shared" ca="1" si="98"/>
        <v>OK</v>
      </c>
      <c r="K3181" s="366" t="s">
        <v>1742</v>
      </c>
      <c r="L3181" s="366" t="s">
        <v>2262</v>
      </c>
      <c r="M3181" s="350" t="str">
        <f>IF($B3181="Portfolio","Portfolio",IFERROR(INDEX(DATA_ASSET_CLASSIFICATION!$B$8:$B$24,MATCH($C3181,DATA_ASSET_CLASSIFICATION!$A$8:$A$24,0)),"Review"))</f>
        <v>Murray Manor</v>
      </c>
      <c r="N3181" s="350" t="str">
        <f ca="1">IF($B3181="Portfolio","Portfolio",IFERROR(INDEX(DATA_ASSET_CLASSIFICATION!$U$8:$U$24,MATCH($C3181,DATA_ASSET_CLASSIFICATION!$A$8:$A$24,0)),"Review"))</f>
        <v>Refi Watch</v>
      </c>
      <c r="O3181" s="350" t="str">
        <f ca="1">IF($B3181="Portfolio","Portfolio",IFERROR(INDEX(DATA_ASSET_CLASSIFICATION!$AB$8:$AB$13,MATCH($N3181,DATA_ASSET_CLASSIFICATION!$AA$8:$AA$13,0)),"Review"))</f>
        <v>Bucket 2 · Legacy</v>
      </c>
      <c r="P3181" s="350" t="str">
        <f>IF($B3181="Portfolio","Portfolio",IFERROR(INDEX(DATA_ASSET_CLASSIFICATION!$C$8:$C$24,MATCH($C3181,DATA_ASSET_CLASSIFICATION!$A$8:$A$24,0)),"Review"))</f>
        <v>Yes</v>
      </c>
      <c r="Q3181" s="350" t="str">
        <f t="shared" ca="1" si="99"/>
        <v>OK</v>
      </c>
    </row>
    <row r="3182" spans="1:17">
      <c r="A3182" s="366" t="s">
        <v>5138</v>
      </c>
      <c r="B3182" s="366" t="s">
        <v>231</v>
      </c>
      <c r="C3182" s="348" t="str">
        <f>DATA_PROPERTY_MASTER!$A$14</f>
        <v>BLD_MM</v>
      </c>
      <c r="D3182" s="380">
        <f>'00_PORTFOLIO ROLLUP'!U$12</f>
        <v>2041</v>
      </c>
      <c r="E3182" s="366" t="s">
        <v>1741</v>
      </c>
      <c r="F3182" s="366" t="s">
        <v>43</v>
      </c>
      <c r="G3182" s="348" t="str">
        <f>"'"&amp;$C3182&amp;"'!$E$68:$Y$68"</f>
        <v>'BLD_MM'!$E$68:$Y$68</v>
      </c>
      <c r="H3182" s="381">
        <f ca="1">IF(IFERROR(INDEX(DATA_PROPERTY_MASTER!$E$5:$E$21,MATCH($C3182,DATA_PROPERTY_MASTER!$A$5:$A$21,0))="Yes",FALSE),IFERROR(INDEX(INDIRECT("'"&amp;$C3182&amp;"'!$E$68:$Y$68"),1,MATCH($D3182,INDIRECT("'"&amp;$C3182&amp;"'!$E$12:$Y$12"),0)),0),0)</f>
        <v>97760.288303045469</v>
      </c>
      <c r="I3182" s="366" t="s">
        <v>1731</v>
      </c>
      <c r="J3182" s="348" t="str">
        <f t="shared" ca="1" si="98"/>
        <v>OK</v>
      </c>
      <c r="K3182" s="366" t="s">
        <v>1746</v>
      </c>
      <c r="L3182" s="366" t="s">
        <v>2264</v>
      </c>
      <c r="M3182" s="350" t="str">
        <f>IF($B3182="Portfolio","Portfolio",IFERROR(INDEX(DATA_ASSET_CLASSIFICATION!$B$8:$B$24,MATCH($C3182,DATA_ASSET_CLASSIFICATION!$A$8:$A$24,0)),"Review"))</f>
        <v>Murray Manor</v>
      </c>
      <c r="N3182" s="350" t="str">
        <f ca="1">IF($B3182="Portfolio","Portfolio",IFERROR(INDEX(DATA_ASSET_CLASSIFICATION!$U$8:$U$24,MATCH($C3182,DATA_ASSET_CLASSIFICATION!$A$8:$A$24,0)),"Review"))</f>
        <v>Refi Watch</v>
      </c>
      <c r="O3182" s="350" t="str">
        <f ca="1">IF($B3182="Portfolio","Portfolio",IFERROR(INDEX(DATA_ASSET_CLASSIFICATION!$AB$8:$AB$13,MATCH($N3182,DATA_ASSET_CLASSIFICATION!$AA$8:$AA$13,0)),"Review"))</f>
        <v>Bucket 2 · Legacy</v>
      </c>
      <c r="P3182" s="350" t="str">
        <f>IF($B3182="Portfolio","Portfolio",IFERROR(INDEX(DATA_ASSET_CLASSIFICATION!$C$8:$C$24,MATCH($C3182,DATA_ASSET_CLASSIFICATION!$A$8:$A$24,0)),"Review"))</f>
        <v>Yes</v>
      </c>
      <c r="Q3182" s="350" t="str">
        <f t="shared" ca="1" si="99"/>
        <v>OK</v>
      </c>
    </row>
    <row r="3183" spans="1:17">
      <c r="A3183" s="366" t="s">
        <v>5139</v>
      </c>
      <c r="B3183" s="366" t="s">
        <v>231</v>
      </c>
      <c r="C3183" s="348" t="str">
        <f>DATA_PROPERTY_MASTER!$A$14</f>
        <v>BLD_MM</v>
      </c>
      <c r="D3183" s="380">
        <f>'00_PORTFOLIO ROLLUP'!U$12</f>
        <v>2041</v>
      </c>
      <c r="E3183" s="366" t="s">
        <v>1741</v>
      </c>
      <c r="F3183" s="366" t="s">
        <v>1749</v>
      </c>
      <c r="G3183" s="348" t="str">
        <f>"'"&amp;$C3183&amp;"'!rows 56, 63, 68"</f>
        <v>'BLD_MM'!rows 56, 63, 68</v>
      </c>
      <c r="H3183" s="381">
        <f ca="1">IF(IFERROR(INDEX(DATA_PROPERTY_MASTER!$E$5:$E$21,MATCH($C3183,DATA_PROPERTY_MASTER!$A$5:$A$21,0))="Yes",FALSE),(IFERROR(INDEX(INDIRECT("'"&amp;$C3183&amp;"'!$E$56:$Y$56"),1,MATCH($D3183,INDIRECT("'"&amp;$C3183&amp;"'!$E$12:$Y$12"),0)),0)+MAX(IFERROR(INDEX(INDIRECT("'"&amp;$C3183&amp;"'!$E$63:$Y$63"),1,MATCH($D3183,INDIRECT("'"&amp;$C3183&amp;"'!$E$12:$Y$12"),0)),0),0))-(IFERROR(INDEX(INDIRECT("'"&amp;$C3183&amp;"'!$E$68:$Y$68"),1,MATCH($D3183,INDIRECT("'"&amp;$C3183&amp;"'!$E$12:$Y$12"),0)),0)),0)</f>
        <v>0</v>
      </c>
      <c r="I3183" s="366" t="s">
        <v>1750</v>
      </c>
      <c r="J3183" s="348" t="str">
        <f t="shared" ca="1" si="98"/>
        <v>OK</v>
      </c>
      <c r="K3183" s="366" t="s">
        <v>1751</v>
      </c>
      <c r="L3183" s="366" t="s">
        <v>2266</v>
      </c>
      <c r="M3183" s="350" t="str">
        <f>IF($B3183="Portfolio","Portfolio",IFERROR(INDEX(DATA_ASSET_CLASSIFICATION!$B$8:$B$24,MATCH($C3183,DATA_ASSET_CLASSIFICATION!$A$8:$A$24,0)),"Review"))</f>
        <v>Murray Manor</v>
      </c>
      <c r="N3183" s="350" t="str">
        <f ca="1">IF($B3183="Portfolio","Portfolio",IFERROR(INDEX(DATA_ASSET_CLASSIFICATION!$U$8:$U$24,MATCH($C3183,DATA_ASSET_CLASSIFICATION!$A$8:$A$24,0)),"Review"))</f>
        <v>Refi Watch</v>
      </c>
      <c r="O3183" s="350" t="str">
        <f ca="1">IF($B3183="Portfolio","Portfolio",IFERROR(INDEX(DATA_ASSET_CLASSIFICATION!$AB$8:$AB$13,MATCH($N3183,DATA_ASSET_CLASSIFICATION!$AA$8:$AA$13,0)),"Review"))</f>
        <v>Bucket 2 · Legacy</v>
      </c>
      <c r="P3183" s="350" t="str">
        <f>IF($B3183="Portfolio","Portfolio",IFERROR(INDEX(DATA_ASSET_CLASSIFICATION!$C$8:$C$24,MATCH($C3183,DATA_ASSET_CLASSIFICATION!$A$8:$A$24,0)),"Review"))</f>
        <v>Yes</v>
      </c>
      <c r="Q3183" s="350" t="str">
        <f t="shared" ca="1" si="99"/>
        <v>OK</v>
      </c>
    </row>
    <row r="3184" spans="1:17">
      <c r="A3184" s="366" t="s">
        <v>5140</v>
      </c>
      <c r="B3184" s="366" t="s">
        <v>231</v>
      </c>
      <c r="C3184" s="348" t="str">
        <f>DATA_PROPERTY_MASTER!$A$15</f>
        <v>BLD_NT</v>
      </c>
      <c r="D3184" s="380">
        <f>'00_PORTFOLIO ROLLUP'!E$12</f>
        <v>2025</v>
      </c>
      <c r="E3184" s="366" t="s">
        <v>1683</v>
      </c>
      <c r="F3184" s="366" t="s">
        <v>341</v>
      </c>
      <c r="G3184" s="348" t="str">
        <f>"'"&amp;$C3184&amp;"'!$E$24:$Y$24"</f>
        <v>'BLD_NT'!$E$24:$Y$24</v>
      </c>
      <c r="H3184" s="381">
        <f ca="1">IF(IFERROR(INDEX(DATA_PROPERTY_MASTER!$E$5:$E$21,MATCH($C3184,DATA_PROPERTY_MASTER!$A$5:$A$21,0))="Yes",FALSE),IFERROR(INDEX(INDIRECT("'"&amp;$C3184&amp;"'!$E$24:$Y$24"),1,MATCH($D3184,INDIRECT("'"&amp;$C3184&amp;"'!$E$12:$Y$12"),0)),0),0)</f>
        <v>599136.72</v>
      </c>
      <c r="I3184" s="366" t="s">
        <v>1685</v>
      </c>
      <c r="J3184" s="348" t="str">
        <f t="shared" ca="1" si="98"/>
        <v>OK</v>
      </c>
      <c r="K3184" s="366" t="s">
        <v>1686</v>
      </c>
      <c r="L3184" s="366" t="s">
        <v>2234</v>
      </c>
      <c r="M3184" s="350" t="str">
        <f>IF($B3184="Portfolio","Portfolio",IFERROR(INDEX(DATA_ASSET_CLASSIFICATION!$B$8:$B$24,MATCH($C3184,DATA_ASSET_CLASSIFICATION!$A$8:$A$24,0)),"Review"))</f>
        <v>Natalia Terrace</v>
      </c>
      <c r="N3184" s="350" t="str">
        <f ca="1">IF($B3184="Portfolio","Portfolio",IFERROR(INDEX(DATA_ASSET_CLASSIFICATION!$U$8:$U$24,MATCH($C3184,DATA_ASSET_CLASSIFICATION!$A$8:$A$24,0)),"Review"))</f>
        <v>Refi Watch</v>
      </c>
      <c r="O3184" s="350" t="str">
        <f ca="1">IF($B3184="Portfolio","Portfolio",IFERROR(INDEX(DATA_ASSET_CLASSIFICATION!$AB$8:$AB$13,MATCH($N3184,DATA_ASSET_CLASSIFICATION!$AA$8:$AA$13,0)),"Review"))</f>
        <v>Bucket 2 · Legacy</v>
      </c>
      <c r="P3184" s="350" t="str">
        <f>IF($B3184="Portfolio","Portfolio",IFERROR(INDEX(DATA_ASSET_CLASSIFICATION!$C$8:$C$24,MATCH($C3184,DATA_ASSET_CLASSIFICATION!$A$8:$A$24,0)),"Review"))</f>
        <v>Yes</v>
      </c>
      <c r="Q3184" s="350" t="str">
        <f t="shared" ca="1" si="99"/>
        <v>OK</v>
      </c>
    </row>
    <row r="3185" spans="1:17">
      <c r="A3185" s="366" t="s">
        <v>5141</v>
      </c>
      <c r="B3185" s="366" t="s">
        <v>231</v>
      </c>
      <c r="C3185" s="348" t="str">
        <f>DATA_PROPERTY_MASTER!$A$15</f>
        <v>BLD_NT</v>
      </c>
      <c r="D3185" s="380">
        <f>'00_PORTFOLIO ROLLUP'!E$12</f>
        <v>2025</v>
      </c>
      <c r="E3185" s="366" t="s">
        <v>1683</v>
      </c>
      <c r="F3185" s="366" t="s">
        <v>355</v>
      </c>
      <c r="G3185" s="348" t="str">
        <f>"'"&amp;$C3185&amp;"'!$E$39:$Y$39"</f>
        <v>'BLD_NT'!$E$39:$Y$39</v>
      </c>
      <c r="H3185" s="381">
        <f ca="1">IF(IFERROR(INDEX(DATA_PROPERTY_MASTER!$E$5:$E$21,MATCH($C3185,DATA_PROPERTY_MASTER!$A$5:$A$21,0))="Yes",FALSE),IFERROR(INDEX(INDIRECT("'"&amp;$C3185&amp;"'!$E$39:$Y$39"),1,MATCH($D3185,INDIRECT("'"&amp;$C3185&amp;"'!$E$12:$Y$12"),0)),0),0)</f>
        <v>288932</v>
      </c>
      <c r="I3185" s="366" t="s">
        <v>1690</v>
      </c>
      <c r="J3185" s="348" t="str">
        <f t="shared" ca="1" si="98"/>
        <v>OK</v>
      </c>
      <c r="K3185" s="366" t="s">
        <v>1686</v>
      </c>
      <c r="L3185" s="366" t="s">
        <v>2236</v>
      </c>
      <c r="M3185" s="350" t="str">
        <f>IF($B3185="Portfolio","Portfolio",IFERROR(INDEX(DATA_ASSET_CLASSIFICATION!$B$8:$B$24,MATCH($C3185,DATA_ASSET_CLASSIFICATION!$A$8:$A$24,0)),"Review"))</f>
        <v>Natalia Terrace</v>
      </c>
      <c r="N3185" s="350" t="str">
        <f ca="1">IF($B3185="Portfolio","Portfolio",IFERROR(INDEX(DATA_ASSET_CLASSIFICATION!$U$8:$U$24,MATCH($C3185,DATA_ASSET_CLASSIFICATION!$A$8:$A$24,0)),"Review"))</f>
        <v>Refi Watch</v>
      </c>
      <c r="O3185" s="350" t="str">
        <f ca="1">IF($B3185="Portfolio","Portfolio",IFERROR(INDEX(DATA_ASSET_CLASSIFICATION!$AB$8:$AB$13,MATCH($N3185,DATA_ASSET_CLASSIFICATION!$AA$8:$AA$13,0)),"Review"))</f>
        <v>Bucket 2 · Legacy</v>
      </c>
      <c r="P3185" s="350" t="str">
        <f>IF($B3185="Portfolio","Portfolio",IFERROR(INDEX(DATA_ASSET_CLASSIFICATION!$C$8:$C$24,MATCH($C3185,DATA_ASSET_CLASSIFICATION!$A$8:$A$24,0)),"Review"))</f>
        <v>Yes</v>
      </c>
      <c r="Q3185" s="350" t="str">
        <f t="shared" ca="1" si="99"/>
        <v>OK</v>
      </c>
    </row>
    <row r="3186" spans="1:17">
      <c r="A3186" s="366" t="s">
        <v>5142</v>
      </c>
      <c r="B3186" s="366" t="s">
        <v>231</v>
      </c>
      <c r="C3186" s="348" t="str">
        <f>DATA_PROPERTY_MASTER!$A$15</f>
        <v>BLD_NT</v>
      </c>
      <c r="D3186" s="380">
        <f>'00_PORTFOLIO ROLLUP'!E$12</f>
        <v>2025</v>
      </c>
      <c r="E3186" s="366" t="s">
        <v>1683</v>
      </c>
      <c r="F3186" s="366" t="s">
        <v>19</v>
      </c>
      <c r="G3186" s="348" t="str">
        <f>"'"&amp;$C3186&amp;"'!$E$41:$Y$41"</f>
        <v>'BLD_NT'!$E$41:$Y$41</v>
      </c>
      <c r="H3186" s="381">
        <f ca="1">IF(IFERROR(INDEX(DATA_PROPERTY_MASTER!$E$5:$E$21,MATCH($C3186,DATA_PROPERTY_MASTER!$A$5:$A$21,0))="Yes",FALSE),IFERROR(INDEX(INDIRECT("'"&amp;$C3186&amp;"'!$E$41:$Y$41"),1,MATCH($D3186,INDIRECT("'"&amp;$C3186&amp;"'!$E$12:$Y$12"),0)),0),0)</f>
        <v>310204.71999999997</v>
      </c>
      <c r="I3186" s="366" t="s">
        <v>1685</v>
      </c>
      <c r="J3186" s="348" t="str">
        <f t="shared" ca="1" si="98"/>
        <v>OK</v>
      </c>
      <c r="K3186" s="366" t="s">
        <v>1694</v>
      </c>
      <c r="L3186" s="366" t="s">
        <v>2238</v>
      </c>
      <c r="M3186" s="350" t="str">
        <f>IF($B3186="Portfolio","Portfolio",IFERROR(INDEX(DATA_ASSET_CLASSIFICATION!$B$8:$B$24,MATCH($C3186,DATA_ASSET_CLASSIFICATION!$A$8:$A$24,0)),"Review"))</f>
        <v>Natalia Terrace</v>
      </c>
      <c r="N3186" s="350" t="str">
        <f ca="1">IF($B3186="Portfolio","Portfolio",IFERROR(INDEX(DATA_ASSET_CLASSIFICATION!$U$8:$U$24,MATCH($C3186,DATA_ASSET_CLASSIFICATION!$A$8:$A$24,0)),"Review"))</f>
        <v>Refi Watch</v>
      </c>
      <c r="O3186" s="350" t="str">
        <f ca="1">IF($B3186="Portfolio","Portfolio",IFERROR(INDEX(DATA_ASSET_CLASSIFICATION!$AB$8:$AB$13,MATCH($N3186,DATA_ASSET_CLASSIFICATION!$AA$8:$AA$13,0)),"Review"))</f>
        <v>Bucket 2 · Legacy</v>
      </c>
      <c r="P3186" s="350" t="str">
        <f>IF($B3186="Portfolio","Portfolio",IFERROR(INDEX(DATA_ASSET_CLASSIFICATION!$C$8:$C$24,MATCH($C3186,DATA_ASSET_CLASSIFICATION!$A$8:$A$24,0)),"Review"))</f>
        <v>Yes</v>
      </c>
      <c r="Q3186" s="350" t="str">
        <f t="shared" ca="1" si="99"/>
        <v>OK</v>
      </c>
    </row>
    <row r="3187" spans="1:17">
      <c r="A3187" s="366" t="s">
        <v>5143</v>
      </c>
      <c r="B3187" s="366" t="s">
        <v>231</v>
      </c>
      <c r="C3187" s="348" t="str">
        <f>DATA_PROPERTY_MASTER!$A$15</f>
        <v>BLD_NT</v>
      </c>
      <c r="D3187" s="380">
        <f>'00_PORTFOLIO ROLLUP'!E$12</f>
        <v>2025</v>
      </c>
      <c r="E3187" s="366" t="s">
        <v>1683</v>
      </c>
      <c r="F3187" s="366" t="s">
        <v>1697</v>
      </c>
      <c r="G3187" s="348" t="str">
        <f>"'"&amp;$C3187&amp;"'!$E$44:$Y$44"</f>
        <v>'BLD_NT'!$E$44:$Y$44</v>
      </c>
      <c r="H3187" s="381">
        <f ca="1">IF(IFERROR(INDEX(DATA_PROPERTY_MASTER!$E$5:$E$21,MATCH($C3187,DATA_PROPERTY_MASTER!$A$5:$A$21,0))="Yes",FALSE),IFERROR(INDEX(INDIRECT("'"&amp;$C3187&amp;"'!$E$44:$Y$44"),1,MATCH($D3187,INDIRECT("'"&amp;$C3187&amp;"'!$E$12:$Y$12"),0)),0),0)</f>
        <v>6000</v>
      </c>
      <c r="I3187" s="366" t="s">
        <v>1690</v>
      </c>
      <c r="J3187" s="348" t="str">
        <f t="shared" ca="1" si="98"/>
        <v>OK</v>
      </c>
      <c r="K3187" s="366" t="s">
        <v>1699</v>
      </c>
      <c r="L3187" s="366" t="s">
        <v>2240</v>
      </c>
      <c r="M3187" s="350" t="str">
        <f>IF($B3187="Portfolio","Portfolio",IFERROR(INDEX(DATA_ASSET_CLASSIFICATION!$B$8:$B$24,MATCH($C3187,DATA_ASSET_CLASSIFICATION!$A$8:$A$24,0)),"Review"))</f>
        <v>Natalia Terrace</v>
      </c>
      <c r="N3187" s="350" t="str">
        <f ca="1">IF($B3187="Portfolio","Portfolio",IFERROR(INDEX(DATA_ASSET_CLASSIFICATION!$U$8:$U$24,MATCH($C3187,DATA_ASSET_CLASSIFICATION!$A$8:$A$24,0)),"Review"))</f>
        <v>Refi Watch</v>
      </c>
      <c r="O3187" s="350" t="str">
        <f ca="1">IF($B3187="Portfolio","Portfolio",IFERROR(INDEX(DATA_ASSET_CLASSIFICATION!$AB$8:$AB$13,MATCH($N3187,DATA_ASSET_CLASSIFICATION!$AA$8:$AA$13,0)),"Review"))</f>
        <v>Bucket 2 · Legacy</v>
      </c>
      <c r="P3187" s="350" t="str">
        <f>IF($B3187="Portfolio","Portfolio",IFERROR(INDEX(DATA_ASSET_CLASSIFICATION!$C$8:$C$24,MATCH($C3187,DATA_ASSET_CLASSIFICATION!$A$8:$A$24,0)),"Review"))</f>
        <v>Yes</v>
      </c>
      <c r="Q3187" s="350" t="str">
        <f t="shared" ca="1" si="99"/>
        <v>OK</v>
      </c>
    </row>
    <row r="3188" spans="1:17">
      <c r="A3188" s="366" t="s">
        <v>5144</v>
      </c>
      <c r="B3188" s="366" t="s">
        <v>231</v>
      </c>
      <c r="C3188" s="348" t="str">
        <f>DATA_PROPERTY_MASTER!$A$15</f>
        <v>BLD_NT</v>
      </c>
      <c r="D3188" s="380">
        <f>'00_PORTFOLIO ROLLUP'!E$12</f>
        <v>2025</v>
      </c>
      <c r="E3188" s="366" t="s">
        <v>1683</v>
      </c>
      <c r="F3188" s="366" t="s">
        <v>21</v>
      </c>
      <c r="G3188" s="348" t="str">
        <f>"'"&amp;$C3188&amp;"'!$E$45:$Y$45"</f>
        <v>'BLD_NT'!$E$45:$Y$45</v>
      </c>
      <c r="H3188" s="381">
        <f ca="1">IF(IFERROR(INDEX(DATA_PROPERTY_MASTER!$E$5:$E$21,MATCH($C3188,DATA_PROPERTY_MASTER!$A$5:$A$21,0))="Yes",FALSE),IFERROR(INDEX(INDIRECT("'"&amp;$C3188&amp;"'!$E$45:$Y$45"),1,MATCH($D3188,INDIRECT("'"&amp;$C3188&amp;"'!$E$12:$Y$12"),0)),0),0)</f>
        <v>304204.71999999997</v>
      </c>
      <c r="I3188" s="366" t="s">
        <v>1685</v>
      </c>
      <c r="J3188" s="348" t="str">
        <f t="shared" ca="1" si="98"/>
        <v>OK</v>
      </c>
      <c r="K3188" s="366" t="s">
        <v>1694</v>
      </c>
      <c r="L3188" s="366" t="s">
        <v>2242</v>
      </c>
      <c r="M3188" s="350" t="str">
        <f>IF($B3188="Portfolio","Portfolio",IFERROR(INDEX(DATA_ASSET_CLASSIFICATION!$B$8:$B$24,MATCH($C3188,DATA_ASSET_CLASSIFICATION!$A$8:$A$24,0)),"Review"))</f>
        <v>Natalia Terrace</v>
      </c>
      <c r="N3188" s="350" t="str">
        <f ca="1">IF($B3188="Portfolio","Portfolio",IFERROR(INDEX(DATA_ASSET_CLASSIFICATION!$U$8:$U$24,MATCH($C3188,DATA_ASSET_CLASSIFICATION!$A$8:$A$24,0)),"Review"))</f>
        <v>Refi Watch</v>
      </c>
      <c r="O3188" s="350" t="str">
        <f ca="1">IF($B3188="Portfolio","Portfolio",IFERROR(INDEX(DATA_ASSET_CLASSIFICATION!$AB$8:$AB$13,MATCH($N3188,DATA_ASSET_CLASSIFICATION!$AA$8:$AA$13,0)),"Review"))</f>
        <v>Bucket 2 · Legacy</v>
      </c>
      <c r="P3188" s="350" t="str">
        <f>IF($B3188="Portfolio","Portfolio",IFERROR(INDEX(DATA_ASSET_CLASSIFICATION!$C$8:$C$24,MATCH($C3188,DATA_ASSET_CLASSIFICATION!$A$8:$A$24,0)),"Review"))</f>
        <v>Yes</v>
      </c>
      <c r="Q3188" s="350" t="str">
        <f t="shared" ca="1" si="99"/>
        <v>OK</v>
      </c>
    </row>
    <row r="3189" spans="1:17">
      <c r="A3189" s="366" t="s">
        <v>5145</v>
      </c>
      <c r="B3189" s="366" t="s">
        <v>231</v>
      </c>
      <c r="C3189" s="348" t="str">
        <f>DATA_PROPERTY_MASTER!$A$15</f>
        <v>BLD_NT</v>
      </c>
      <c r="D3189" s="380">
        <f>'00_PORTFOLIO ROLLUP'!E$12</f>
        <v>2025</v>
      </c>
      <c r="E3189" s="366" t="s">
        <v>23</v>
      </c>
      <c r="F3189" s="366" t="s">
        <v>23</v>
      </c>
      <c r="G3189" s="348" t="str">
        <f>"'"&amp;$C3189&amp;"'!$E$48:$Y$48"</f>
        <v>'BLD_NT'!$E$48:$Y$48</v>
      </c>
      <c r="H3189" s="381">
        <f ca="1">IF(IFERROR(INDEX(DATA_PROPERTY_MASTER!$E$5:$E$21,MATCH($C3189,DATA_PROPERTY_MASTER!$A$5:$A$21,0))="Yes",FALSE),IFERROR(INDEX(INDIRECT("'"&amp;$C3189&amp;"'!$E$48:$Y$48"),1,MATCH($D3189,INDIRECT("'"&amp;$C3189&amp;"'!$E$12:$Y$12"),0)),0),0)</f>
        <v>274351.8</v>
      </c>
      <c r="I3189" s="366" t="s">
        <v>1690</v>
      </c>
      <c r="J3189" s="348" t="str">
        <f t="shared" ca="1" si="98"/>
        <v>OK</v>
      </c>
      <c r="K3189" s="366" t="s">
        <v>1706</v>
      </c>
      <c r="L3189" s="366" t="s">
        <v>2244</v>
      </c>
      <c r="M3189" s="350" t="str">
        <f>IF($B3189="Portfolio","Portfolio",IFERROR(INDEX(DATA_ASSET_CLASSIFICATION!$B$8:$B$24,MATCH($C3189,DATA_ASSET_CLASSIFICATION!$A$8:$A$24,0)),"Review"))</f>
        <v>Natalia Terrace</v>
      </c>
      <c r="N3189" s="350" t="str">
        <f ca="1">IF($B3189="Portfolio","Portfolio",IFERROR(INDEX(DATA_ASSET_CLASSIFICATION!$U$8:$U$24,MATCH($C3189,DATA_ASSET_CLASSIFICATION!$A$8:$A$24,0)),"Review"))</f>
        <v>Refi Watch</v>
      </c>
      <c r="O3189" s="350" t="str">
        <f ca="1">IF($B3189="Portfolio","Portfolio",IFERROR(INDEX(DATA_ASSET_CLASSIFICATION!$AB$8:$AB$13,MATCH($N3189,DATA_ASSET_CLASSIFICATION!$AA$8:$AA$13,0)),"Review"))</f>
        <v>Bucket 2 · Legacy</v>
      </c>
      <c r="P3189" s="350" t="str">
        <f>IF($B3189="Portfolio","Portfolio",IFERROR(INDEX(DATA_ASSET_CLASSIFICATION!$C$8:$C$24,MATCH($C3189,DATA_ASSET_CLASSIFICATION!$A$8:$A$24,0)),"Review"))</f>
        <v>Yes</v>
      </c>
      <c r="Q3189" s="350" t="str">
        <f t="shared" ca="1" si="99"/>
        <v>OK</v>
      </c>
    </row>
    <row r="3190" spans="1:17">
      <c r="A3190" s="366" t="s">
        <v>5146</v>
      </c>
      <c r="B3190" s="366" t="s">
        <v>231</v>
      </c>
      <c r="C3190" s="348" t="str">
        <f>DATA_PROPERTY_MASTER!$A$15</f>
        <v>BLD_NT</v>
      </c>
      <c r="D3190" s="380">
        <f>'00_PORTFOLIO ROLLUP'!E$12</f>
        <v>2025</v>
      </c>
      <c r="E3190" s="366" t="s">
        <v>1683</v>
      </c>
      <c r="F3190" s="366" t="s">
        <v>25</v>
      </c>
      <c r="G3190" s="348" t="str">
        <f>"'"&amp;$C3190&amp;"'!$E$52:$Y$52"</f>
        <v>'BLD_NT'!$E$52:$Y$52</v>
      </c>
      <c r="H3190" s="381">
        <f ca="1">IF(IFERROR(INDEX(DATA_PROPERTY_MASTER!$E$5:$E$21,MATCH($C3190,DATA_PROPERTY_MASTER!$A$5:$A$21,0))="Yes",FALSE),IFERROR(INDEX(INDIRECT("'"&amp;$C3190&amp;"'!$E$52:$Y$52"),1,MATCH($D3190,INDIRECT("'"&amp;$C3190&amp;"'!$E$12:$Y$12"),0)),0),0)</f>
        <v>35852.919999999984</v>
      </c>
      <c r="I3190" s="366" t="s">
        <v>1685</v>
      </c>
      <c r="J3190" s="348" t="str">
        <f t="shared" ca="1" si="98"/>
        <v>OK</v>
      </c>
      <c r="K3190" s="366" t="s">
        <v>1710</v>
      </c>
      <c r="L3190" s="366" t="s">
        <v>2246</v>
      </c>
      <c r="M3190" s="350" t="str">
        <f>IF($B3190="Portfolio","Portfolio",IFERROR(INDEX(DATA_ASSET_CLASSIFICATION!$B$8:$B$24,MATCH($C3190,DATA_ASSET_CLASSIFICATION!$A$8:$A$24,0)),"Review"))</f>
        <v>Natalia Terrace</v>
      </c>
      <c r="N3190" s="350" t="str">
        <f ca="1">IF($B3190="Portfolio","Portfolio",IFERROR(INDEX(DATA_ASSET_CLASSIFICATION!$U$8:$U$24,MATCH($C3190,DATA_ASSET_CLASSIFICATION!$A$8:$A$24,0)),"Review"))</f>
        <v>Refi Watch</v>
      </c>
      <c r="O3190" s="350" t="str">
        <f ca="1">IF($B3190="Portfolio","Portfolio",IFERROR(INDEX(DATA_ASSET_CLASSIFICATION!$AB$8:$AB$13,MATCH($N3190,DATA_ASSET_CLASSIFICATION!$AA$8:$AA$13,0)),"Review"))</f>
        <v>Bucket 2 · Legacy</v>
      </c>
      <c r="P3190" s="350" t="str">
        <f>IF($B3190="Portfolio","Portfolio",IFERROR(INDEX(DATA_ASSET_CLASSIFICATION!$C$8:$C$24,MATCH($C3190,DATA_ASSET_CLASSIFICATION!$A$8:$A$24,0)),"Review"))</f>
        <v>Yes</v>
      </c>
      <c r="Q3190" s="350" t="str">
        <f t="shared" ca="1" si="99"/>
        <v>OK</v>
      </c>
    </row>
    <row r="3191" spans="1:17">
      <c r="A3191" s="366" t="s">
        <v>5147</v>
      </c>
      <c r="B3191" s="366" t="s">
        <v>231</v>
      </c>
      <c r="C3191" s="348" t="str">
        <f>DATA_PROPERTY_MASTER!$A$15</f>
        <v>BLD_NT</v>
      </c>
      <c r="D3191" s="380">
        <f>'00_PORTFOLIO ROLLUP'!E$12</f>
        <v>2025</v>
      </c>
      <c r="E3191" s="366" t="s">
        <v>1683</v>
      </c>
      <c r="F3191" s="366" t="s">
        <v>27</v>
      </c>
      <c r="G3191" s="348" t="str">
        <f>"'"&amp;$C3191&amp;"'!$E$54:$Y$54"</f>
        <v>'BLD_NT'!$E$54:$Y$54</v>
      </c>
      <c r="H3191" s="381">
        <f ca="1">IF(IFERROR(INDEX(DATA_PROPERTY_MASTER!$E$5:$E$21,MATCH($C3191,DATA_PROPERTY_MASTER!$A$5:$A$21,0))="Yes",FALSE),IFERROR(INDEX(INDIRECT("'"&amp;$C3191&amp;"'!$E$54:$Y$54"),1,MATCH($D3191,INDIRECT("'"&amp;$C3191&amp;"'!$E$12:$Y$12"),0)),0),0)</f>
        <v>21511.751999999989</v>
      </c>
      <c r="I3191" s="366" t="s">
        <v>1690</v>
      </c>
      <c r="J3191" s="348" t="str">
        <f t="shared" ca="1" si="98"/>
        <v>OK</v>
      </c>
      <c r="K3191" s="366" t="s">
        <v>1714</v>
      </c>
      <c r="L3191" s="366" t="s">
        <v>2248</v>
      </c>
      <c r="M3191" s="350" t="str">
        <f>IF($B3191="Portfolio","Portfolio",IFERROR(INDEX(DATA_ASSET_CLASSIFICATION!$B$8:$B$24,MATCH($C3191,DATA_ASSET_CLASSIFICATION!$A$8:$A$24,0)),"Review"))</f>
        <v>Natalia Terrace</v>
      </c>
      <c r="N3191" s="350" t="str">
        <f ca="1">IF($B3191="Portfolio","Portfolio",IFERROR(INDEX(DATA_ASSET_CLASSIFICATION!$U$8:$U$24,MATCH($C3191,DATA_ASSET_CLASSIFICATION!$A$8:$A$24,0)),"Review"))</f>
        <v>Refi Watch</v>
      </c>
      <c r="O3191" s="350" t="str">
        <f ca="1">IF($B3191="Portfolio","Portfolio",IFERROR(INDEX(DATA_ASSET_CLASSIFICATION!$AB$8:$AB$13,MATCH($N3191,DATA_ASSET_CLASSIFICATION!$AA$8:$AA$13,0)),"Review"))</f>
        <v>Bucket 2 · Legacy</v>
      </c>
      <c r="P3191" s="350" t="str">
        <f>IF($B3191="Portfolio","Portfolio",IFERROR(INDEX(DATA_ASSET_CLASSIFICATION!$C$8:$C$24,MATCH($C3191,DATA_ASSET_CLASSIFICATION!$A$8:$A$24,0)),"Review"))</f>
        <v>Yes</v>
      </c>
      <c r="Q3191" s="350" t="str">
        <f t="shared" ca="1" si="99"/>
        <v>OK</v>
      </c>
    </row>
    <row r="3192" spans="1:17">
      <c r="A3192" s="366" t="s">
        <v>5148</v>
      </c>
      <c r="B3192" s="366" t="s">
        <v>231</v>
      </c>
      <c r="C3192" s="348" t="str">
        <f>DATA_PROPERTY_MASTER!$A$15</f>
        <v>BLD_NT</v>
      </c>
      <c r="D3192" s="380">
        <f>'00_PORTFOLIO ROLLUP'!E$12</f>
        <v>2025</v>
      </c>
      <c r="E3192" s="366" t="s">
        <v>1683</v>
      </c>
      <c r="F3192" s="366" t="s">
        <v>29</v>
      </c>
      <c r="G3192" s="348" t="str">
        <f>"'"&amp;$C3192&amp;"'!$E$56:$Y$56"</f>
        <v>'BLD_NT'!$E$56:$Y$56</v>
      </c>
      <c r="H3192" s="381">
        <f ca="1">IF(IFERROR(INDEX(DATA_PROPERTY_MASTER!$E$5:$E$21,MATCH($C3192,DATA_PROPERTY_MASTER!$A$5:$A$21,0))="Yes",FALSE),IFERROR(INDEX(INDIRECT("'"&amp;$C3192&amp;"'!$E$56:$Y$56"),1,MATCH($D3192,INDIRECT("'"&amp;$C3192&amp;"'!$E$12:$Y$12"),0)),0),0)</f>
        <v>14341.167999999994</v>
      </c>
      <c r="I3192" s="366" t="s">
        <v>1685</v>
      </c>
      <c r="J3192" s="348" t="str">
        <f t="shared" ca="1" si="98"/>
        <v>OK</v>
      </c>
      <c r="K3192" s="366" t="s">
        <v>1718</v>
      </c>
      <c r="L3192" s="366" t="s">
        <v>2250</v>
      </c>
      <c r="M3192" s="350" t="str">
        <f>IF($B3192="Portfolio","Portfolio",IFERROR(INDEX(DATA_ASSET_CLASSIFICATION!$B$8:$B$24,MATCH($C3192,DATA_ASSET_CLASSIFICATION!$A$8:$A$24,0)),"Review"))</f>
        <v>Natalia Terrace</v>
      </c>
      <c r="N3192" s="350" t="str">
        <f ca="1">IF($B3192="Portfolio","Portfolio",IFERROR(INDEX(DATA_ASSET_CLASSIFICATION!$U$8:$U$24,MATCH($C3192,DATA_ASSET_CLASSIFICATION!$A$8:$A$24,0)),"Review"))</f>
        <v>Refi Watch</v>
      </c>
      <c r="O3192" s="350" t="str">
        <f ca="1">IF($B3192="Portfolio","Portfolio",IFERROR(INDEX(DATA_ASSET_CLASSIFICATION!$AB$8:$AB$13,MATCH($N3192,DATA_ASSET_CLASSIFICATION!$AA$8:$AA$13,0)),"Review"))</f>
        <v>Bucket 2 · Legacy</v>
      </c>
      <c r="P3192" s="350" t="str">
        <f>IF($B3192="Portfolio","Portfolio",IFERROR(INDEX(DATA_ASSET_CLASSIFICATION!$C$8:$C$24,MATCH($C3192,DATA_ASSET_CLASSIFICATION!$A$8:$A$24,0)),"Review"))</f>
        <v>Yes</v>
      </c>
      <c r="Q3192" s="350" t="str">
        <f t="shared" ca="1" si="99"/>
        <v>OK</v>
      </c>
    </row>
    <row r="3193" spans="1:17">
      <c r="A3193" s="366" t="s">
        <v>5149</v>
      </c>
      <c r="B3193" s="366" t="s">
        <v>231</v>
      </c>
      <c r="C3193" s="348" t="str">
        <f>DATA_PROPERTY_MASTER!$A$15</f>
        <v>BLD_NT</v>
      </c>
      <c r="D3193" s="380">
        <f>'00_PORTFOLIO ROLLUP'!E$12</f>
        <v>2025</v>
      </c>
      <c r="E3193" s="366" t="s">
        <v>1721</v>
      </c>
      <c r="F3193" s="366" t="s">
        <v>31</v>
      </c>
      <c r="G3193" s="348" t="str">
        <f>"'"&amp;$C3193&amp;"'!$E$61:$Y$61"</f>
        <v>'BLD_NT'!$E$61:$Y$61</v>
      </c>
      <c r="H3193" s="381">
        <f ca="1">IF(IFERROR(INDEX(DATA_PROPERTY_MASTER!$E$5:$E$21,MATCH($C3193,DATA_PROPERTY_MASTER!$A$5:$A$21,0))="Yes",FALSE),IFERROR(INDEX(INDIRECT("'"&amp;$C3193&amp;"'!$E$61:$Y$61"),1,MATCH($D3193,INDIRECT("'"&amp;$C3193&amp;"'!$E$12:$Y$12"),0)),0),0)</f>
        <v>0</v>
      </c>
      <c r="I3193" s="366" t="s">
        <v>1690</v>
      </c>
      <c r="J3193" s="348" t="str">
        <f t="shared" ca="1" si="98"/>
        <v>OK</v>
      </c>
      <c r="K3193" s="366" t="s">
        <v>1723</v>
      </c>
      <c r="L3193" s="366" t="s">
        <v>2252</v>
      </c>
      <c r="M3193" s="350" t="str">
        <f>IF($B3193="Portfolio","Portfolio",IFERROR(INDEX(DATA_ASSET_CLASSIFICATION!$B$8:$B$24,MATCH($C3193,DATA_ASSET_CLASSIFICATION!$A$8:$A$24,0)),"Review"))</f>
        <v>Natalia Terrace</v>
      </c>
      <c r="N3193" s="350" t="str">
        <f ca="1">IF($B3193="Portfolio","Portfolio",IFERROR(INDEX(DATA_ASSET_CLASSIFICATION!$U$8:$U$24,MATCH($C3193,DATA_ASSET_CLASSIFICATION!$A$8:$A$24,0)),"Review"))</f>
        <v>Refi Watch</v>
      </c>
      <c r="O3193" s="350" t="str">
        <f ca="1">IF($B3193="Portfolio","Portfolio",IFERROR(INDEX(DATA_ASSET_CLASSIFICATION!$AB$8:$AB$13,MATCH($N3193,DATA_ASSET_CLASSIFICATION!$AA$8:$AA$13,0)),"Review"))</f>
        <v>Bucket 2 · Legacy</v>
      </c>
      <c r="P3193" s="350" t="str">
        <f>IF($B3193="Portfolio","Portfolio",IFERROR(INDEX(DATA_ASSET_CLASSIFICATION!$C$8:$C$24,MATCH($C3193,DATA_ASSET_CLASSIFICATION!$A$8:$A$24,0)),"Review"))</f>
        <v>Yes</v>
      </c>
      <c r="Q3193" s="350" t="str">
        <f t="shared" ca="1" si="99"/>
        <v>OK</v>
      </c>
    </row>
    <row r="3194" spans="1:17">
      <c r="A3194" s="366" t="s">
        <v>5150</v>
      </c>
      <c r="B3194" s="366" t="s">
        <v>231</v>
      </c>
      <c r="C3194" s="348" t="str">
        <f>DATA_PROPERTY_MASTER!$A$15</f>
        <v>BLD_NT</v>
      </c>
      <c r="D3194" s="380">
        <f>'00_PORTFOLIO ROLLUP'!E$12</f>
        <v>2025</v>
      </c>
      <c r="E3194" s="366" t="s">
        <v>1721</v>
      </c>
      <c r="F3194" s="366" t="s">
        <v>33</v>
      </c>
      <c r="G3194" s="348" t="str">
        <f>"'"&amp;$C3194&amp;"'!$E$62:$Y$62"</f>
        <v>'BLD_NT'!$E$62:$Y$62</v>
      </c>
      <c r="H3194" s="381">
        <f ca="1">IF(IFERROR(INDEX(DATA_PROPERTY_MASTER!$E$5:$E$21,MATCH($C3194,DATA_PROPERTY_MASTER!$A$5:$A$21,0))="Yes",FALSE),IFERROR(INDEX(INDIRECT("'"&amp;$C3194&amp;"'!$E$62:$Y$62"),1,MATCH($D3194,INDIRECT("'"&amp;$C3194&amp;"'!$E$12:$Y$12"),0)),0),0)</f>
        <v>0</v>
      </c>
      <c r="I3194" s="366" t="s">
        <v>1685</v>
      </c>
      <c r="J3194" s="348" t="str">
        <f t="shared" ca="1" si="98"/>
        <v>OK</v>
      </c>
      <c r="K3194" s="366" t="s">
        <v>1727</v>
      </c>
      <c r="L3194" s="366" t="s">
        <v>2254</v>
      </c>
      <c r="M3194" s="350" t="str">
        <f>IF($B3194="Portfolio","Portfolio",IFERROR(INDEX(DATA_ASSET_CLASSIFICATION!$B$8:$B$24,MATCH($C3194,DATA_ASSET_CLASSIFICATION!$A$8:$A$24,0)),"Review"))</f>
        <v>Natalia Terrace</v>
      </c>
      <c r="N3194" s="350" t="str">
        <f ca="1">IF($B3194="Portfolio","Portfolio",IFERROR(INDEX(DATA_ASSET_CLASSIFICATION!$U$8:$U$24,MATCH($C3194,DATA_ASSET_CLASSIFICATION!$A$8:$A$24,0)),"Review"))</f>
        <v>Refi Watch</v>
      </c>
      <c r="O3194" s="350" t="str">
        <f ca="1">IF($B3194="Portfolio","Portfolio",IFERROR(INDEX(DATA_ASSET_CLASSIFICATION!$AB$8:$AB$13,MATCH($N3194,DATA_ASSET_CLASSIFICATION!$AA$8:$AA$13,0)),"Review"))</f>
        <v>Bucket 2 · Legacy</v>
      </c>
      <c r="P3194" s="350" t="str">
        <f>IF($B3194="Portfolio","Portfolio",IFERROR(INDEX(DATA_ASSET_CLASSIFICATION!$C$8:$C$24,MATCH($C3194,DATA_ASSET_CLASSIFICATION!$A$8:$A$24,0)),"Review"))</f>
        <v>Yes</v>
      </c>
      <c r="Q3194" s="350" t="str">
        <f t="shared" ca="1" si="99"/>
        <v>OK</v>
      </c>
    </row>
    <row r="3195" spans="1:17">
      <c r="A3195" s="366" t="s">
        <v>5151</v>
      </c>
      <c r="B3195" s="366" t="s">
        <v>231</v>
      </c>
      <c r="C3195" s="348" t="str">
        <f>DATA_PROPERTY_MASTER!$A$15</f>
        <v>BLD_NT</v>
      </c>
      <c r="D3195" s="380">
        <f>'00_PORTFOLIO ROLLUP'!E$12</f>
        <v>2025</v>
      </c>
      <c r="E3195" s="366" t="s">
        <v>1721</v>
      </c>
      <c r="F3195" s="366" t="s">
        <v>35</v>
      </c>
      <c r="G3195" s="348" t="str">
        <f>"'"&amp;$C3195&amp;"'!$E$63:$Y$63"</f>
        <v>'BLD_NT'!$E$63:$Y$63</v>
      </c>
      <c r="H3195" s="381">
        <f ca="1">IF(IFERROR(INDEX(DATA_PROPERTY_MASTER!$E$5:$E$21,MATCH($C3195,DATA_PROPERTY_MASTER!$A$5:$A$21,0))="Yes",FALSE),IFERROR(INDEX(INDIRECT("'"&amp;$C3195&amp;"'!$E$63:$Y$63"),1,MATCH($D3195,INDIRECT("'"&amp;$C3195&amp;"'!$E$12:$Y$12"),0)),0),0)</f>
        <v>0</v>
      </c>
      <c r="I3195" s="366" t="s">
        <v>1731</v>
      </c>
      <c r="J3195" s="348" t="str">
        <f t="shared" ca="1" si="98"/>
        <v>OK</v>
      </c>
      <c r="K3195" s="366" t="s">
        <v>1732</v>
      </c>
      <c r="L3195" s="366" t="s">
        <v>2256</v>
      </c>
      <c r="M3195" s="350" t="str">
        <f>IF($B3195="Portfolio","Portfolio",IFERROR(INDEX(DATA_ASSET_CLASSIFICATION!$B$8:$B$24,MATCH($C3195,DATA_ASSET_CLASSIFICATION!$A$8:$A$24,0)),"Review"))</f>
        <v>Natalia Terrace</v>
      </c>
      <c r="N3195" s="350" t="str">
        <f ca="1">IF($B3195="Portfolio","Portfolio",IFERROR(INDEX(DATA_ASSET_CLASSIFICATION!$U$8:$U$24,MATCH($C3195,DATA_ASSET_CLASSIFICATION!$A$8:$A$24,0)),"Review"))</f>
        <v>Refi Watch</v>
      </c>
      <c r="O3195" s="350" t="str">
        <f ca="1">IF($B3195="Portfolio","Portfolio",IFERROR(INDEX(DATA_ASSET_CLASSIFICATION!$AB$8:$AB$13,MATCH($N3195,DATA_ASSET_CLASSIFICATION!$AA$8:$AA$13,0)),"Review"))</f>
        <v>Bucket 2 · Legacy</v>
      </c>
      <c r="P3195" s="350" t="str">
        <f>IF($B3195="Portfolio","Portfolio",IFERROR(INDEX(DATA_ASSET_CLASSIFICATION!$C$8:$C$24,MATCH($C3195,DATA_ASSET_CLASSIFICATION!$A$8:$A$24,0)),"Review"))</f>
        <v>Yes</v>
      </c>
      <c r="Q3195" s="350" t="str">
        <f t="shared" ca="1" si="99"/>
        <v>OK</v>
      </c>
    </row>
    <row r="3196" spans="1:17">
      <c r="A3196" s="366" t="s">
        <v>5152</v>
      </c>
      <c r="B3196" s="366" t="s">
        <v>231</v>
      </c>
      <c r="C3196" s="348" t="str">
        <f>DATA_PROPERTY_MASTER!$A$15</f>
        <v>BLD_NT</v>
      </c>
      <c r="D3196" s="380">
        <f>'00_PORTFOLIO ROLLUP'!E$12</f>
        <v>2025</v>
      </c>
      <c r="E3196" s="366" t="s">
        <v>1721</v>
      </c>
      <c r="F3196" s="366" t="s">
        <v>37</v>
      </c>
      <c r="G3196" s="348" t="str">
        <f>"'"&amp;$C3196&amp;"'!$E$63:$Y$63"</f>
        <v>'BLD_NT'!$E$63:$Y$63</v>
      </c>
      <c r="H3196" s="381">
        <f ca="1">IF(IFERROR(INDEX(DATA_PROPERTY_MASTER!$E$5:$E$21,MATCH($C3196,DATA_PROPERTY_MASTER!$A$5:$A$21,0))="Yes",FALSE),MAX(IFERROR(INDEX(INDIRECT("'"&amp;$C3196&amp;"'!$E$63:$Y$63"),1,MATCH($D3196,INDIRECT("'"&amp;$C3196&amp;"'!$E$12:$Y$12"),0)),0),0),0)</f>
        <v>0</v>
      </c>
      <c r="I3196" s="366" t="s">
        <v>1685</v>
      </c>
      <c r="J3196" s="348" t="str">
        <f t="shared" ca="1" si="98"/>
        <v>OK</v>
      </c>
      <c r="K3196" s="366" t="s">
        <v>1735</v>
      </c>
      <c r="L3196" s="366" t="s">
        <v>2258</v>
      </c>
      <c r="M3196" s="350" t="str">
        <f>IF($B3196="Portfolio","Portfolio",IFERROR(INDEX(DATA_ASSET_CLASSIFICATION!$B$8:$B$24,MATCH($C3196,DATA_ASSET_CLASSIFICATION!$A$8:$A$24,0)),"Review"))</f>
        <v>Natalia Terrace</v>
      </c>
      <c r="N3196" s="350" t="str">
        <f ca="1">IF($B3196="Portfolio","Portfolio",IFERROR(INDEX(DATA_ASSET_CLASSIFICATION!$U$8:$U$24,MATCH($C3196,DATA_ASSET_CLASSIFICATION!$A$8:$A$24,0)),"Review"))</f>
        <v>Refi Watch</v>
      </c>
      <c r="O3196" s="350" t="str">
        <f ca="1">IF($B3196="Portfolio","Portfolio",IFERROR(INDEX(DATA_ASSET_CLASSIFICATION!$AB$8:$AB$13,MATCH($N3196,DATA_ASSET_CLASSIFICATION!$AA$8:$AA$13,0)),"Review"))</f>
        <v>Bucket 2 · Legacy</v>
      </c>
      <c r="P3196" s="350" t="str">
        <f>IF($B3196="Portfolio","Portfolio",IFERROR(INDEX(DATA_ASSET_CLASSIFICATION!$C$8:$C$24,MATCH($C3196,DATA_ASSET_CLASSIFICATION!$A$8:$A$24,0)),"Review"))</f>
        <v>Yes</v>
      </c>
      <c r="Q3196" s="350" t="str">
        <f t="shared" ca="1" si="99"/>
        <v>OK</v>
      </c>
    </row>
    <row r="3197" spans="1:17">
      <c r="A3197" s="366" t="s">
        <v>5153</v>
      </c>
      <c r="B3197" s="366" t="s">
        <v>231</v>
      </c>
      <c r="C3197" s="348" t="str">
        <f>DATA_PROPERTY_MASTER!$A$15</f>
        <v>BLD_NT</v>
      </c>
      <c r="D3197" s="380">
        <f>'00_PORTFOLIO ROLLUP'!E$12</f>
        <v>2025</v>
      </c>
      <c r="E3197" s="366" t="s">
        <v>1721</v>
      </c>
      <c r="F3197" s="366" t="s">
        <v>39</v>
      </c>
      <c r="G3197" s="348" t="str">
        <f>"'"&amp;$C3197&amp;"'!$E$63:$Y$63"</f>
        <v>'BLD_NT'!$E$63:$Y$63</v>
      </c>
      <c r="H3197" s="381">
        <f ca="1">IF(IFERROR(INDEX(DATA_PROPERTY_MASTER!$E$5:$E$21,MATCH($C3197,DATA_PROPERTY_MASTER!$A$5:$A$21,0))="Yes",FALSE),MAX(-IFERROR(INDEX(INDIRECT("'"&amp;$C3197&amp;"'!$E$63:$Y$63"),1,MATCH($D3197,INDIRECT("'"&amp;$C3197&amp;"'!$E$12:$Y$12"),0)),0),0),0)</f>
        <v>0</v>
      </c>
      <c r="I3197" s="366" t="s">
        <v>1690</v>
      </c>
      <c r="J3197" s="348" t="str">
        <f t="shared" ca="1" si="98"/>
        <v>OK</v>
      </c>
      <c r="K3197" s="366" t="s">
        <v>1738</v>
      </c>
      <c r="L3197" s="366" t="s">
        <v>2260</v>
      </c>
      <c r="M3197" s="350" t="str">
        <f>IF($B3197="Portfolio","Portfolio",IFERROR(INDEX(DATA_ASSET_CLASSIFICATION!$B$8:$B$24,MATCH($C3197,DATA_ASSET_CLASSIFICATION!$A$8:$A$24,0)),"Review"))</f>
        <v>Natalia Terrace</v>
      </c>
      <c r="N3197" s="350" t="str">
        <f ca="1">IF($B3197="Portfolio","Portfolio",IFERROR(INDEX(DATA_ASSET_CLASSIFICATION!$U$8:$U$24,MATCH($C3197,DATA_ASSET_CLASSIFICATION!$A$8:$A$24,0)),"Review"))</f>
        <v>Refi Watch</v>
      </c>
      <c r="O3197" s="350" t="str">
        <f ca="1">IF($B3197="Portfolio","Portfolio",IFERROR(INDEX(DATA_ASSET_CLASSIFICATION!$AB$8:$AB$13,MATCH($N3197,DATA_ASSET_CLASSIFICATION!$AA$8:$AA$13,0)),"Review"))</f>
        <v>Bucket 2 · Legacy</v>
      </c>
      <c r="P3197" s="350" t="str">
        <f>IF($B3197="Portfolio","Portfolio",IFERROR(INDEX(DATA_ASSET_CLASSIFICATION!$C$8:$C$24,MATCH($C3197,DATA_ASSET_CLASSIFICATION!$A$8:$A$24,0)),"Review"))</f>
        <v>Yes</v>
      </c>
      <c r="Q3197" s="350" t="str">
        <f t="shared" ca="1" si="99"/>
        <v>OK</v>
      </c>
    </row>
    <row r="3198" spans="1:17">
      <c r="A3198" s="366" t="s">
        <v>5154</v>
      </c>
      <c r="B3198" s="366" t="s">
        <v>231</v>
      </c>
      <c r="C3198" s="348" t="str">
        <f>DATA_PROPERTY_MASTER!$A$15</f>
        <v>BLD_NT</v>
      </c>
      <c r="D3198" s="380">
        <f>'00_PORTFOLIO ROLLUP'!E$12</f>
        <v>2025</v>
      </c>
      <c r="E3198" s="366" t="s">
        <v>1741</v>
      </c>
      <c r="F3198" s="366" t="s">
        <v>41</v>
      </c>
      <c r="G3198" s="348" t="str">
        <f>"'"&amp;$C3198&amp;"'!rows 56 + positive row 63"</f>
        <v>'BLD_NT'!rows 56 + positive row 63</v>
      </c>
      <c r="H3198" s="381">
        <f ca="1">IF(IFERROR(INDEX(DATA_PROPERTY_MASTER!$E$5:$E$21,MATCH($C3198,DATA_PROPERTY_MASTER!$A$5:$A$21,0))="Yes",FALSE),IFERROR(INDEX(INDIRECT("'"&amp;$C3198&amp;"'!$E$56:$Y$56"),1,MATCH($D3198,INDIRECT("'"&amp;$C3198&amp;"'!$E$12:$Y$12"),0)),0)+MAX(IFERROR(INDEX(INDIRECT("'"&amp;$C3198&amp;"'!$E$63:$Y$63"),1,MATCH($D3198,INDIRECT("'"&amp;$C3198&amp;"'!$E$12:$Y$12"),0)),0),0),0)</f>
        <v>14341.167999999994</v>
      </c>
      <c r="I3198" s="366" t="s">
        <v>1685</v>
      </c>
      <c r="J3198" s="348" t="str">
        <f t="shared" ca="1" si="98"/>
        <v>OK</v>
      </c>
      <c r="K3198" s="366" t="s">
        <v>1742</v>
      </c>
      <c r="L3198" s="366" t="s">
        <v>2262</v>
      </c>
      <c r="M3198" s="350" t="str">
        <f>IF($B3198="Portfolio","Portfolio",IFERROR(INDEX(DATA_ASSET_CLASSIFICATION!$B$8:$B$24,MATCH($C3198,DATA_ASSET_CLASSIFICATION!$A$8:$A$24,0)),"Review"))</f>
        <v>Natalia Terrace</v>
      </c>
      <c r="N3198" s="350" t="str">
        <f ca="1">IF($B3198="Portfolio","Portfolio",IFERROR(INDEX(DATA_ASSET_CLASSIFICATION!$U$8:$U$24,MATCH($C3198,DATA_ASSET_CLASSIFICATION!$A$8:$A$24,0)),"Review"))</f>
        <v>Refi Watch</v>
      </c>
      <c r="O3198" s="350" t="str">
        <f ca="1">IF($B3198="Portfolio","Portfolio",IFERROR(INDEX(DATA_ASSET_CLASSIFICATION!$AB$8:$AB$13,MATCH($N3198,DATA_ASSET_CLASSIFICATION!$AA$8:$AA$13,0)),"Review"))</f>
        <v>Bucket 2 · Legacy</v>
      </c>
      <c r="P3198" s="350" t="str">
        <f>IF($B3198="Portfolio","Portfolio",IFERROR(INDEX(DATA_ASSET_CLASSIFICATION!$C$8:$C$24,MATCH($C3198,DATA_ASSET_CLASSIFICATION!$A$8:$A$24,0)),"Review"))</f>
        <v>Yes</v>
      </c>
      <c r="Q3198" s="350" t="str">
        <f t="shared" ca="1" si="99"/>
        <v>OK</v>
      </c>
    </row>
    <row r="3199" spans="1:17">
      <c r="A3199" s="366" t="s">
        <v>5155</v>
      </c>
      <c r="B3199" s="366" t="s">
        <v>231</v>
      </c>
      <c r="C3199" s="348" t="str">
        <f>DATA_PROPERTY_MASTER!$A$15</f>
        <v>BLD_NT</v>
      </c>
      <c r="D3199" s="380">
        <f>'00_PORTFOLIO ROLLUP'!E$12</f>
        <v>2025</v>
      </c>
      <c r="E3199" s="366" t="s">
        <v>1741</v>
      </c>
      <c r="F3199" s="366" t="s">
        <v>43</v>
      </c>
      <c r="G3199" s="348" t="str">
        <f>"'"&amp;$C3199&amp;"'!$E$68:$Y$68"</f>
        <v>'BLD_NT'!$E$68:$Y$68</v>
      </c>
      <c r="H3199" s="381">
        <f ca="1">IF(IFERROR(INDEX(DATA_PROPERTY_MASTER!$E$5:$E$21,MATCH($C3199,DATA_PROPERTY_MASTER!$A$5:$A$21,0))="Yes",FALSE),IFERROR(INDEX(INDIRECT("'"&amp;$C3199&amp;"'!$E$68:$Y$68"),1,MATCH($D3199,INDIRECT("'"&amp;$C3199&amp;"'!$E$12:$Y$12"),0)),0),0)</f>
        <v>14341.167999999994</v>
      </c>
      <c r="I3199" s="366" t="s">
        <v>1731</v>
      </c>
      <c r="J3199" s="348" t="str">
        <f t="shared" ca="1" si="98"/>
        <v>OK</v>
      </c>
      <c r="K3199" s="366" t="s">
        <v>1746</v>
      </c>
      <c r="L3199" s="366" t="s">
        <v>2264</v>
      </c>
      <c r="M3199" s="350" t="str">
        <f>IF($B3199="Portfolio","Portfolio",IFERROR(INDEX(DATA_ASSET_CLASSIFICATION!$B$8:$B$24,MATCH($C3199,DATA_ASSET_CLASSIFICATION!$A$8:$A$24,0)),"Review"))</f>
        <v>Natalia Terrace</v>
      </c>
      <c r="N3199" s="350" t="str">
        <f ca="1">IF($B3199="Portfolio","Portfolio",IFERROR(INDEX(DATA_ASSET_CLASSIFICATION!$U$8:$U$24,MATCH($C3199,DATA_ASSET_CLASSIFICATION!$A$8:$A$24,0)),"Review"))</f>
        <v>Refi Watch</v>
      </c>
      <c r="O3199" s="350" t="str">
        <f ca="1">IF($B3199="Portfolio","Portfolio",IFERROR(INDEX(DATA_ASSET_CLASSIFICATION!$AB$8:$AB$13,MATCH($N3199,DATA_ASSET_CLASSIFICATION!$AA$8:$AA$13,0)),"Review"))</f>
        <v>Bucket 2 · Legacy</v>
      </c>
      <c r="P3199" s="350" t="str">
        <f>IF($B3199="Portfolio","Portfolio",IFERROR(INDEX(DATA_ASSET_CLASSIFICATION!$C$8:$C$24,MATCH($C3199,DATA_ASSET_CLASSIFICATION!$A$8:$A$24,0)),"Review"))</f>
        <v>Yes</v>
      </c>
      <c r="Q3199" s="350" t="str">
        <f t="shared" ca="1" si="99"/>
        <v>OK</v>
      </c>
    </row>
    <row r="3200" spans="1:17">
      <c r="A3200" s="366" t="s">
        <v>5156</v>
      </c>
      <c r="B3200" s="366" t="s">
        <v>231</v>
      </c>
      <c r="C3200" s="348" t="str">
        <f>DATA_PROPERTY_MASTER!$A$15</f>
        <v>BLD_NT</v>
      </c>
      <c r="D3200" s="380">
        <f>'00_PORTFOLIO ROLLUP'!E$12</f>
        <v>2025</v>
      </c>
      <c r="E3200" s="366" t="s">
        <v>1741</v>
      </c>
      <c r="F3200" s="366" t="s">
        <v>1749</v>
      </c>
      <c r="G3200" s="348" t="str">
        <f>"'"&amp;$C3200&amp;"'!rows 56, 63, 68"</f>
        <v>'BLD_NT'!rows 56, 63, 68</v>
      </c>
      <c r="H3200" s="381">
        <f ca="1">IF(IFERROR(INDEX(DATA_PROPERTY_MASTER!$E$5:$E$21,MATCH($C3200,DATA_PROPERTY_MASTER!$A$5:$A$21,0))="Yes",FALSE),(IFERROR(INDEX(INDIRECT("'"&amp;$C3200&amp;"'!$E$56:$Y$56"),1,MATCH($D3200,INDIRECT("'"&amp;$C3200&amp;"'!$E$12:$Y$12"),0)),0)+MAX(IFERROR(INDEX(INDIRECT("'"&amp;$C3200&amp;"'!$E$63:$Y$63"),1,MATCH($D3200,INDIRECT("'"&amp;$C3200&amp;"'!$E$12:$Y$12"),0)),0),0))-(IFERROR(INDEX(INDIRECT("'"&amp;$C3200&amp;"'!$E$68:$Y$68"),1,MATCH($D3200,INDIRECT("'"&amp;$C3200&amp;"'!$E$12:$Y$12"),0)),0)),0)</f>
        <v>0</v>
      </c>
      <c r="I3200" s="366" t="s">
        <v>1750</v>
      </c>
      <c r="J3200" s="348" t="str">
        <f t="shared" ca="1" si="98"/>
        <v>OK</v>
      </c>
      <c r="K3200" s="366" t="s">
        <v>1751</v>
      </c>
      <c r="L3200" s="366" t="s">
        <v>2266</v>
      </c>
      <c r="M3200" s="350" t="str">
        <f>IF($B3200="Portfolio","Portfolio",IFERROR(INDEX(DATA_ASSET_CLASSIFICATION!$B$8:$B$24,MATCH($C3200,DATA_ASSET_CLASSIFICATION!$A$8:$A$24,0)),"Review"))</f>
        <v>Natalia Terrace</v>
      </c>
      <c r="N3200" s="350" t="str">
        <f ca="1">IF($B3200="Portfolio","Portfolio",IFERROR(INDEX(DATA_ASSET_CLASSIFICATION!$U$8:$U$24,MATCH($C3200,DATA_ASSET_CLASSIFICATION!$A$8:$A$24,0)),"Review"))</f>
        <v>Refi Watch</v>
      </c>
      <c r="O3200" s="350" t="str">
        <f ca="1">IF($B3200="Portfolio","Portfolio",IFERROR(INDEX(DATA_ASSET_CLASSIFICATION!$AB$8:$AB$13,MATCH($N3200,DATA_ASSET_CLASSIFICATION!$AA$8:$AA$13,0)),"Review"))</f>
        <v>Bucket 2 · Legacy</v>
      </c>
      <c r="P3200" s="350" t="str">
        <f>IF($B3200="Portfolio","Portfolio",IFERROR(INDEX(DATA_ASSET_CLASSIFICATION!$C$8:$C$24,MATCH($C3200,DATA_ASSET_CLASSIFICATION!$A$8:$A$24,0)),"Review"))</f>
        <v>Yes</v>
      </c>
      <c r="Q3200" s="350" t="str">
        <f t="shared" ca="1" si="99"/>
        <v>OK</v>
      </c>
    </row>
    <row r="3201" spans="1:17">
      <c r="A3201" s="366" t="s">
        <v>5157</v>
      </c>
      <c r="B3201" s="366" t="s">
        <v>231</v>
      </c>
      <c r="C3201" s="348" t="str">
        <f>DATA_PROPERTY_MASTER!$A$15</f>
        <v>BLD_NT</v>
      </c>
      <c r="D3201" s="380">
        <f>'00_PORTFOLIO ROLLUP'!F$12</f>
        <v>2026</v>
      </c>
      <c r="E3201" s="366" t="s">
        <v>1683</v>
      </c>
      <c r="F3201" s="366" t="s">
        <v>341</v>
      </c>
      <c r="G3201" s="348" t="str">
        <f>"'"&amp;$C3201&amp;"'!$E$24:$Y$24"</f>
        <v>'BLD_NT'!$E$24:$Y$24</v>
      </c>
      <c r="H3201" s="381">
        <f ca="1">IF(IFERROR(INDEX(DATA_PROPERTY_MASTER!$E$5:$E$21,MATCH($C3201,DATA_PROPERTY_MASTER!$A$5:$A$21,0))="Yes",FALSE),IFERROR(INDEX(INDIRECT("'"&amp;$C3201&amp;"'!$E$24:$Y$24"),1,MATCH($D3201,INDIRECT("'"&amp;$C3201&amp;"'!$E$12:$Y$12"),0)),0),0)</f>
        <v>611119.45440000005</v>
      </c>
      <c r="I3201" s="366" t="s">
        <v>1685</v>
      </c>
      <c r="J3201" s="348" t="str">
        <f t="shared" ca="1" si="98"/>
        <v>OK</v>
      </c>
      <c r="K3201" s="366" t="s">
        <v>1686</v>
      </c>
      <c r="L3201" s="366" t="s">
        <v>2234</v>
      </c>
      <c r="M3201" s="350" t="str">
        <f>IF($B3201="Portfolio","Portfolio",IFERROR(INDEX(DATA_ASSET_CLASSIFICATION!$B$8:$B$24,MATCH($C3201,DATA_ASSET_CLASSIFICATION!$A$8:$A$24,0)),"Review"))</f>
        <v>Natalia Terrace</v>
      </c>
      <c r="N3201" s="350" t="str">
        <f ca="1">IF($B3201="Portfolio","Portfolio",IFERROR(INDEX(DATA_ASSET_CLASSIFICATION!$U$8:$U$24,MATCH($C3201,DATA_ASSET_CLASSIFICATION!$A$8:$A$24,0)),"Review"))</f>
        <v>Refi Watch</v>
      </c>
      <c r="O3201" s="350" t="str">
        <f ca="1">IF($B3201="Portfolio","Portfolio",IFERROR(INDEX(DATA_ASSET_CLASSIFICATION!$AB$8:$AB$13,MATCH($N3201,DATA_ASSET_CLASSIFICATION!$AA$8:$AA$13,0)),"Review"))</f>
        <v>Bucket 2 · Legacy</v>
      </c>
      <c r="P3201" s="350" t="str">
        <f>IF($B3201="Portfolio","Portfolio",IFERROR(INDEX(DATA_ASSET_CLASSIFICATION!$C$8:$C$24,MATCH($C3201,DATA_ASSET_CLASSIFICATION!$A$8:$A$24,0)),"Review"))</f>
        <v>Yes</v>
      </c>
      <c r="Q3201" s="350" t="str">
        <f t="shared" ca="1" si="99"/>
        <v>OK</v>
      </c>
    </row>
    <row r="3202" spans="1:17">
      <c r="A3202" s="366" t="s">
        <v>5158</v>
      </c>
      <c r="B3202" s="366" t="s">
        <v>231</v>
      </c>
      <c r="C3202" s="348" t="str">
        <f>DATA_PROPERTY_MASTER!$A$15</f>
        <v>BLD_NT</v>
      </c>
      <c r="D3202" s="380">
        <f>'00_PORTFOLIO ROLLUP'!F$12</f>
        <v>2026</v>
      </c>
      <c r="E3202" s="366" t="s">
        <v>1683</v>
      </c>
      <c r="F3202" s="366" t="s">
        <v>355</v>
      </c>
      <c r="G3202" s="348" t="str">
        <f>"'"&amp;$C3202&amp;"'!$E$39:$Y$39"</f>
        <v>'BLD_NT'!$E$39:$Y$39</v>
      </c>
      <c r="H3202" s="381">
        <f ca="1">IF(IFERROR(INDEX(DATA_PROPERTY_MASTER!$E$5:$E$21,MATCH($C3202,DATA_PROPERTY_MASTER!$A$5:$A$21,0))="Yes",FALSE),IFERROR(INDEX(INDIRECT("'"&amp;$C3202&amp;"'!$E$39:$Y$39"),1,MATCH($D3202,INDIRECT("'"&amp;$C3202&amp;"'!$E$12:$Y$12"),0)),0),0)</f>
        <v>300489.28000000003</v>
      </c>
      <c r="I3202" s="366" t="s">
        <v>1690</v>
      </c>
      <c r="J3202" s="348" t="str">
        <f t="shared" ca="1" si="98"/>
        <v>OK</v>
      </c>
      <c r="K3202" s="366" t="s">
        <v>1686</v>
      </c>
      <c r="L3202" s="366" t="s">
        <v>2236</v>
      </c>
      <c r="M3202" s="350" t="str">
        <f>IF($B3202="Portfolio","Portfolio",IFERROR(INDEX(DATA_ASSET_CLASSIFICATION!$B$8:$B$24,MATCH($C3202,DATA_ASSET_CLASSIFICATION!$A$8:$A$24,0)),"Review"))</f>
        <v>Natalia Terrace</v>
      </c>
      <c r="N3202" s="350" t="str">
        <f ca="1">IF($B3202="Portfolio","Portfolio",IFERROR(INDEX(DATA_ASSET_CLASSIFICATION!$U$8:$U$24,MATCH($C3202,DATA_ASSET_CLASSIFICATION!$A$8:$A$24,0)),"Review"))</f>
        <v>Refi Watch</v>
      </c>
      <c r="O3202" s="350" t="str">
        <f ca="1">IF($B3202="Portfolio","Portfolio",IFERROR(INDEX(DATA_ASSET_CLASSIFICATION!$AB$8:$AB$13,MATCH($N3202,DATA_ASSET_CLASSIFICATION!$AA$8:$AA$13,0)),"Review"))</f>
        <v>Bucket 2 · Legacy</v>
      </c>
      <c r="P3202" s="350" t="str">
        <f>IF($B3202="Portfolio","Portfolio",IFERROR(INDEX(DATA_ASSET_CLASSIFICATION!$C$8:$C$24,MATCH($C3202,DATA_ASSET_CLASSIFICATION!$A$8:$A$24,0)),"Review"))</f>
        <v>Yes</v>
      </c>
      <c r="Q3202" s="350" t="str">
        <f t="shared" ca="1" si="99"/>
        <v>OK</v>
      </c>
    </row>
    <row r="3203" spans="1:17">
      <c r="A3203" s="366" t="s">
        <v>5159</v>
      </c>
      <c r="B3203" s="366" t="s">
        <v>231</v>
      </c>
      <c r="C3203" s="348" t="str">
        <f>DATA_PROPERTY_MASTER!$A$15</f>
        <v>BLD_NT</v>
      </c>
      <c r="D3203" s="380">
        <f>'00_PORTFOLIO ROLLUP'!F$12</f>
        <v>2026</v>
      </c>
      <c r="E3203" s="366" t="s">
        <v>1683</v>
      </c>
      <c r="F3203" s="366" t="s">
        <v>19</v>
      </c>
      <c r="G3203" s="348" t="str">
        <f>"'"&amp;$C3203&amp;"'!$E$41:$Y$41"</f>
        <v>'BLD_NT'!$E$41:$Y$41</v>
      </c>
      <c r="H3203" s="381">
        <f ca="1">IF(IFERROR(INDEX(DATA_PROPERTY_MASTER!$E$5:$E$21,MATCH($C3203,DATA_PROPERTY_MASTER!$A$5:$A$21,0))="Yes",FALSE),IFERROR(INDEX(INDIRECT("'"&amp;$C3203&amp;"'!$E$41:$Y$41"),1,MATCH($D3203,INDIRECT("'"&amp;$C3203&amp;"'!$E$12:$Y$12"),0)),0),0)</f>
        <v>310630.17440000002</v>
      </c>
      <c r="I3203" s="366" t="s">
        <v>1685</v>
      </c>
      <c r="J3203" s="348" t="str">
        <f t="shared" ca="1" si="98"/>
        <v>OK</v>
      </c>
      <c r="K3203" s="366" t="s">
        <v>1694</v>
      </c>
      <c r="L3203" s="366" t="s">
        <v>2238</v>
      </c>
      <c r="M3203" s="350" t="str">
        <f>IF($B3203="Portfolio","Portfolio",IFERROR(INDEX(DATA_ASSET_CLASSIFICATION!$B$8:$B$24,MATCH($C3203,DATA_ASSET_CLASSIFICATION!$A$8:$A$24,0)),"Review"))</f>
        <v>Natalia Terrace</v>
      </c>
      <c r="N3203" s="350" t="str">
        <f ca="1">IF($B3203="Portfolio","Portfolio",IFERROR(INDEX(DATA_ASSET_CLASSIFICATION!$U$8:$U$24,MATCH($C3203,DATA_ASSET_CLASSIFICATION!$A$8:$A$24,0)),"Review"))</f>
        <v>Refi Watch</v>
      </c>
      <c r="O3203" s="350" t="str">
        <f ca="1">IF($B3203="Portfolio","Portfolio",IFERROR(INDEX(DATA_ASSET_CLASSIFICATION!$AB$8:$AB$13,MATCH($N3203,DATA_ASSET_CLASSIFICATION!$AA$8:$AA$13,0)),"Review"))</f>
        <v>Bucket 2 · Legacy</v>
      </c>
      <c r="P3203" s="350" t="str">
        <f>IF($B3203="Portfolio","Portfolio",IFERROR(INDEX(DATA_ASSET_CLASSIFICATION!$C$8:$C$24,MATCH($C3203,DATA_ASSET_CLASSIFICATION!$A$8:$A$24,0)),"Review"))</f>
        <v>Yes</v>
      </c>
      <c r="Q3203" s="350" t="str">
        <f t="shared" ca="1" si="99"/>
        <v>OK</v>
      </c>
    </row>
    <row r="3204" spans="1:17">
      <c r="A3204" s="366" t="s">
        <v>5160</v>
      </c>
      <c r="B3204" s="366" t="s">
        <v>231</v>
      </c>
      <c r="C3204" s="348" t="str">
        <f>DATA_PROPERTY_MASTER!$A$15</f>
        <v>BLD_NT</v>
      </c>
      <c r="D3204" s="380">
        <f>'00_PORTFOLIO ROLLUP'!F$12</f>
        <v>2026</v>
      </c>
      <c r="E3204" s="366" t="s">
        <v>1683</v>
      </c>
      <c r="F3204" s="366" t="s">
        <v>1697</v>
      </c>
      <c r="G3204" s="348" t="str">
        <f>"'"&amp;$C3204&amp;"'!$E$44:$Y$44"</f>
        <v>'BLD_NT'!$E$44:$Y$44</v>
      </c>
      <c r="H3204" s="381">
        <f ca="1">IF(IFERROR(INDEX(DATA_PROPERTY_MASTER!$E$5:$E$21,MATCH($C3204,DATA_PROPERTY_MASTER!$A$5:$A$21,0))="Yes",FALSE),IFERROR(INDEX(INDIRECT("'"&amp;$C3204&amp;"'!$E$44:$Y$44"),1,MATCH($D3204,INDIRECT("'"&amp;$C3204&amp;"'!$E$12:$Y$12"),0)),0),0)</f>
        <v>6120</v>
      </c>
      <c r="I3204" s="366" t="s">
        <v>1690</v>
      </c>
      <c r="J3204" s="348" t="str">
        <f t="shared" ca="1" si="98"/>
        <v>OK</v>
      </c>
      <c r="K3204" s="366" t="s">
        <v>1699</v>
      </c>
      <c r="L3204" s="366" t="s">
        <v>2240</v>
      </c>
      <c r="M3204" s="350" t="str">
        <f>IF($B3204="Portfolio","Portfolio",IFERROR(INDEX(DATA_ASSET_CLASSIFICATION!$B$8:$B$24,MATCH($C3204,DATA_ASSET_CLASSIFICATION!$A$8:$A$24,0)),"Review"))</f>
        <v>Natalia Terrace</v>
      </c>
      <c r="N3204" s="350" t="str">
        <f ca="1">IF($B3204="Portfolio","Portfolio",IFERROR(INDEX(DATA_ASSET_CLASSIFICATION!$U$8:$U$24,MATCH($C3204,DATA_ASSET_CLASSIFICATION!$A$8:$A$24,0)),"Review"))</f>
        <v>Refi Watch</v>
      </c>
      <c r="O3204" s="350" t="str">
        <f ca="1">IF($B3204="Portfolio","Portfolio",IFERROR(INDEX(DATA_ASSET_CLASSIFICATION!$AB$8:$AB$13,MATCH($N3204,DATA_ASSET_CLASSIFICATION!$AA$8:$AA$13,0)),"Review"))</f>
        <v>Bucket 2 · Legacy</v>
      </c>
      <c r="P3204" s="350" t="str">
        <f>IF($B3204="Portfolio","Portfolio",IFERROR(INDEX(DATA_ASSET_CLASSIFICATION!$C$8:$C$24,MATCH($C3204,DATA_ASSET_CLASSIFICATION!$A$8:$A$24,0)),"Review"))</f>
        <v>Yes</v>
      </c>
      <c r="Q3204" s="350" t="str">
        <f t="shared" ca="1" si="99"/>
        <v>OK</v>
      </c>
    </row>
    <row r="3205" spans="1:17">
      <c r="A3205" s="366" t="s">
        <v>5161</v>
      </c>
      <c r="B3205" s="366" t="s">
        <v>231</v>
      </c>
      <c r="C3205" s="348" t="str">
        <f>DATA_PROPERTY_MASTER!$A$15</f>
        <v>BLD_NT</v>
      </c>
      <c r="D3205" s="380">
        <f>'00_PORTFOLIO ROLLUP'!F$12</f>
        <v>2026</v>
      </c>
      <c r="E3205" s="366" t="s">
        <v>1683</v>
      </c>
      <c r="F3205" s="366" t="s">
        <v>21</v>
      </c>
      <c r="G3205" s="348" t="str">
        <f>"'"&amp;$C3205&amp;"'!$E$45:$Y$45"</f>
        <v>'BLD_NT'!$E$45:$Y$45</v>
      </c>
      <c r="H3205" s="381">
        <f ca="1">IF(IFERROR(INDEX(DATA_PROPERTY_MASTER!$E$5:$E$21,MATCH($C3205,DATA_PROPERTY_MASTER!$A$5:$A$21,0))="Yes",FALSE),IFERROR(INDEX(INDIRECT("'"&amp;$C3205&amp;"'!$E$45:$Y$45"),1,MATCH($D3205,INDIRECT("'"&amp;$C3205&amp;"'!$E$12:$Y$12"),0)),0),0)</f>
        <v>304510.17440000002</v>
      </c>
      <c r="I3205" s="366" t="s">
        <v>1685</v>
      </c>
      <c r="J3205" s="348" t="str">
        <f t="shared" ref="J3205:J3268" ca="1" si="100">IF($F3205="Residual Funding Gap",IF($H3205&gt;0,"Funding Gap","OK"),IF(AND($F3205="Net Refinance Position",$H3205&lt;0),"Negative net refi position","OK"))</f>
        <v>OK</v>
      </c>
      <c r="K3205" s="366" t="s">
        <v>1694</v>
      </c>
      <c r="L3205" s="366" t="s">
        <v>2242</v>
      </c>
      <c r="M3205" s="350" t="str">
        <f>IF($B3205="Portfolio","Portfolio",IFERROR(INDEX(DATA_ASSET_CLASSIFICATION!$B$8:$B$24,MATCH($C3205,DATA_ASSET_CLASSIFICATION!$A$8:$A$24,0)),"Review"))</f>
        <v>Natalia Terrace</v>
      </c>
      <c r="N3205" s="350" t="str">
        <f ca="1">IF($B3205="Portfolio","Portfolio",IFERROR(INDEX(DATA_ASSET_CLASSIFICATION!$U$8:$U$24,MATCH($C3205,DATA_ASSET_CLASSIFICATION!$A$8:$A$24,0)),"Review"))</f>
        <v>Refi Watch</v>
      </c>
      <c r="O3205" s="350" t="str">
        <f ca="1">IF($B3205="Portfolio","Portfolio",IFERROR(INDEX(DATA_ASSET_CLASSIFICATION!$AB$8:$AB$13,MATCH($N3205,DATA_ASSET_CLASSIFICATION!$AA$8:$AA$13,0)),"Review"))</f>
        <v>Bucket 2 · Legacy</v>
      </c>
      <c r="P3205" s="350" t="str">
        <f>IF($B3205="Portfolio","Portfolio",IFERROR(INDEX(DATA_ASSET_CLASSIFICATION!$C$8:$C$24,MATCH($C3205,DATA_ASSET_CLASSIFICATION!$A$8:$A$24,0)),"Review"))</f>
        <v>Yes</v>
      </c>
      <c r="Q3205" s="350" t="str">
        <f t="shared" ref="Q3205:Q3268" ca="1" si="101">IF(AND($B3205="Property",$F3205="Residual Funding Gap",$H3205&gt;0),"Property Funding Gap",IF($J3205&lt;&gt;"OK",$J3205,"OK"))</f>
        <v>OK</v>
      </c>
    </row>
    <row r="3206" spans="1:17">
      <c r="A3206" s="366" t="s">
        <v>5162</v>
      </c>
      <c r="B3206" s="366" t="s">
        <v>231</v>
      </c>
      <c r="C3206" s="348" t="str">
        <f>DATA_PROPERTY_MASTER!$A$15</f>
        <v>BLD_NT</v>
      </c>
      <c r="D3206" s="380">
        <f>'00_PORTFOLIO ROLLUP'!F$12</f>
        <v>2026</v>
      </c>
      <c r="E3206" s="366" t="s">
        <v>23</v>
      </c>
      <c r="F3206" s="366" t="s">
        <v>23</v>
      </c>
      <c r="G3206" s="348" t="str">
        <f>"'"&amp;$C3206&amp;"'!$E$48:$Y$48"</f>
        <v>'BLD_NT'!$E$48:$Y$48</v>
      </c>
      <c r="H3206" s="381">
        <f ca="1">IF(IFERROR(INDEX(DATA_PROPERTY_MASTER!$E$5:$E$21,MATCH($C3206,DATA_PROPERTY_MASTER!$A$5:$A$21,0))="Yes",FALSE),IFERROR(INDEX(INDIRECT("'"&amp;$C3206&amp;"'!$E$48:$Y$48"),1,MATCH($D3206,INDIRECT("'"&amp;$C3206&amp;"'!$E$12:$Y$12"),0)),0),0)</f>
        <v>241023.06220661121</v>
      </c>
      <c r="I3206" s="366" t="s">
        <v>1690</v>
      </c>
      <c r="J3206" s="348" t="str">
        <f t="shared" ca="1" si="100"/>
        <v>OK</v>
      </c>
      <c r="K3206" s="366" t="s">
        <v>1706</v>
      </c>
      <c r="L3206" s="366" t="s">
        <v>2244</v>
      </c>
      <c r="M3206" s="350" t="str">
        <f>IF($B3206="Portfolio","Portfolio",IFERROR(INDEX(DATA_ASSET_CLASSIFICATION!$B$8:$B$24,MATCH($C3206,DATA_ASSET_CLASSIFICATION!$A$8:$A$24,0)),"Review"))</f>
        <v>Natalia Terrace</v>
      </c>
      <c r="N3206" s="350" t="str">
        <f ca="1">IF($B3206="Portfolio","Portfolio",IFERROR(INDEX(DATA_ASSET_CLASSIFICATION!$U$8:$U$24,MATCH($C3206,DATA_ASSET_CLASSIFICATION!$A$8:$A$24,0)),"Review"))</f>
        <v>Refi Watch</v>
      </c>
      <c r="O3206" s="350" t="str">
        <f ca="1">IF($B3206="Portfolio","Portfolio",IFERROR(INDEX(DATA_ASSET_CLASSIFICATION!$AB$8:$AB$13,MATCH($N3206,DATA_ASSET_CLASSIFICATION!$AA$8:$AA$13,0)),"Review"))</f>
        <v>Bucket 2 · Legacy</v>
      </c>
      <c r="P3206" s="350" t="str">
        <f>IF($B3206="Portfolio","Portfolio",IFERROR(INDEX(DATA_ASSET_CLASSIFICATION!$C$8:$C$24,MATCH($C3206,DATA_ASSET_CLASSIFICATION!$A$8:$A$24,0)),"Review"))</f>
        <v>Yes</v>
      </c>
      <c r="Q3206" s="350" t="str">
        <f t="shared" ca="1" si="101"/>
        <v>OK</v>
      </c>
    </row>
    <row r="3207" spans="1:17">
      <c r="A3207" s="366" t="s">
        <v>5163</v>
      </c>
      <c r="B3207" s="366" t="s">
        <v>231</v>
      </c>
      <c r="C3207" s="348" t="str">
        <f>DATA_PROPERTY_MASTER!$A$15</f>
        <v>BLD_NT</v>
      </c>
      <c r="D3207" s="380">
        <f>'00_PORTFOLIO ROLLUP'!F$12</f>
        <v>2026</v>
      </c>
      <c r="E3207" s="366" t="s">
        <v>1683</v>
      </c>
      <c r="F3207" s="366" t="s">
        <v>25</v>
      </c>
      <c r="G3207" s="348" t="str">
        <f>"'"&amp;$C3207&amp;"'!$E$52:$Y$52"</f>
        <v>'BLD_NT'!$E$52:$Y$52</v>
      </c>
      <c r="H3207" s="381">
        <f ca="1">IF(IFERROR(INDEX(DATA_PROPERTY_MASTER!$E$5:$E$21,MATCH($C3207,DATA_PROPERTY_MASTER!$A$5:$A$21,0))="Yes",FALSE),IFERROR(INDEX(INDIRECT("'"&amp;$C3207&amp;"'!$E$52:$Y$52"),1,MATCH($D3207,INDIRECT("'"&amp;$C3207&amp;"'!$E$12:$Y$12"),0)),0),0)</f>
        <v>69607.112193388806</v>
      </c>
      <c r="I3207" s="366" t="s">
        <v>1685</v>
      </c>
      <c r="J3207" s="348" t="str">
        <f t="shared" ca="1" si="100"/>
        <v>OK</v>
      </c>
      <c r="K3207" s="366" t="s">
        <v>1710</v>
      </c>
      <c r="L3207" s="366" t="s">
        <v>2246</v>
      </c>
      <c r="M3207" s="350" t="str">
        <f>IF($B3207="Portfolio","Portfolio",IFERROR(INDEX(DATA_ASSET_CLASSIFICATION!$B$8:$B$24,MATCH($C3207,DATA_ASSET_CLASSIFICATION!$A$8:$A$24,0)),"Review"))</f>
        <v>Natalia Terrace</v>
      </c>
      <c r="N3207" s="350" t="str">
        <f ca="1">IF($B3207="Portfolio","Portfolio",IFERROR(INDEX(DATA_ASSET_CLASSIFICATION!$U$8:$U$24,MATCH($C3207,DATA_ASSET_CLASSIFICATION!$A$8:$A$24,0)),"Review"))</f>
        <v>Refi Watch</v>
      </c>
      <c r="O3207" s="350" t="str">
        <f ca="1">IF($B3207="Portfolio","Portfolio",IFERROR(INDEX(DATA_ASSET_CLASSIFICATION!$AB$8:$AB$13,MATCH($N3207,DATA_ASSET_CLASSIFICATION!$AA$8:$AA$13,0)),"Review"))</f>
        <v>Bucket 2 · Legacy</v>
      </c>
      <c r="P3207" s="350" t="str">
        <f>IF($B3207="Portfolio","Portfolio",IFERROR(INDEX(DATA_ASSET_CLASSIFICATION!$C$8:$C$24,MATCH($C3207,DATA_ASSET_CLASSIFICATION!$A$8:$A$24,0)),"Review"))</f>
        <v>Yes</v>
      </c>
      <c r="Q3207" s="350" t="str">
        <f t="shared" ca="1" si="101"/>
        <v>OK</v>
      </c>
    </row>
    <row r="3208" spans="1:17">
      <c r="A3208" s="366" t="s">
        <v>5164</v>
      </c>
      <c r="B3208" s="366" t="s">
        <v>231</v>
      </c>
      <c r="C3208" s="348" t="str">
        <f>DATA_PROPERTY_MASTER!$A$15</f>
        <v>BLD_NT</v>
      </c>
      <c r="D3208" s="380">
        <f>'00_PORTFOLIO ROLLUP'!F$12</f>
        <v>2026</v>
      </c>
      <c r="E3208" s="366" t="s">
        <v>1683</v>
      </c>
      <c r="F3208" s="366" t="s">
        <v>27</v>
      </c>
      <c r="G3208" s="348" t="str">
        <f>"'"&amp;$C3208&amp;"'!$E$54:$Y$54"</f>
        <v>'BLD_NT'!$E$54:$Y$54</v>
      </c>
      <c r="H3208" s="381">
        <f ca="1">IF(IFERROR(INDEX(DATA_PROPERTY_MASTER!$E$5:$E$21,MATCH($C3208,DATA_PROPERTY_MASTER!$A$5:$A$21,0))="Yes",FALSE),IFERROR(INDEX(INDIRECT("'"&amp;$C3208&amp;"'!$E$54:$Y$54"),1,MATCH($D3208,INDIRECT("'"&amp;$C3208&amp;"'!$E$12:$Y$12"),0)),0),0)</f>
        <v>41764.267316033285</v>
      </c>
      <c r="I3208" s="366" t="s">
        <v>1690</v>
      </c>
      <c r="J3208" s="348" t="str">
        <f t="shared" ca="1" si="100"/>
        <v>OK</v>
      </c>
      <c r="K3208" s="366" t="s">
        <v>1714</v>
      </c>
      <c r="L3208" s="366" t="s">
        <v>2248</v>
      </c>
      <c r="M3208" s="350" t="str">
        <f>IF($B3208="Portfolio","Portfolio",IFERROR(INDEX(DATA_ASSET_CLASSIFICATION!$B$8:$B$24,MATCH($C3208,DATA_ASSET_CLASSIFICATION!$A$8:$A$24,0)),"Review"))</f>
        <v>Natalia Terrace</v>
      </c>
      <c r="N3208" s="350" t="str">
        <f ca="1">IF($B3208="Portfolio","Portfolio",IFERROR(INDEX(DATA_ASSET_CLASSIFICATION!$U$8:$U$24,MATCH($C3208,DATA_ASSET_CLASSIFICATION!$A$8:$A$24,0)),"Review"))</f>
        <v>Refi Watch</v>
      </c>
      <c r="O3208" s="350" t="str">
        <f ca="1">IF($B3208="Portfolio","Portfolio",IFERROR(INDEX(DATA_ASSET_CLASSIFICATION!$AB$8:$AB$13,MATCH($N3208,DATA_ASSET_CLASSIFICATION!$AA$8:$AA$13,0)),"Review"))</f>
        <v>Bucket 2 · Legacy</v>
      </c>
      <c r="P3208" s="350" t="str">
        <f>IF($B3208="Portfolio","Portfolio",IFERROR(INDEX(DATA_ASSET_CLASSIFICATION!$C$8:$C$24,MATCH($C3208,DATA_ASSET_CLASSIFICATION!$A$8:$A$24,0)),"Review"))</f>
        <v>Yes</v>
      </c>
      <c r="Q3208" s="350" t="str">
        <f t="shared" ca="1" si="101"/>
        <v>OK</v>
      </c>
    </row>
    <row r="3209" spans="1:17">
      <c r="A3209" s="366" t="s">
        <v>5165</v>
      </c>
      <c r="B3209" s="366" t="s">
        <v>231</v>
      </c>
      <c r="C3209" s="348" t="str">
        <f>DATA_PROPERTY_MASTER!$A$15</f>
        <v>BLD_NT</v>
      </c>
      <c r="D3209" s="380">
        <f>'00_PORTFOLIO ROLLUP'!F$12</f>
        <v>2026</v>
      </c>
      <c r="E3209" s="366" t="s">
        <v>1683</v>
      </c>
      <c r="F3209" s="366" t="s">
        <v>29</v>
      </c>
      <c r="G3209" s="348" t="str">
        <f>"'"&amp;$C3209&amp;"'!$E$56:$Y$56"</f>
        <v>'BLD_NT'!$E$56:$Y$56</v>
      </c>
      <c r="H3209" s="381">
        <f ca="1">IF(IFERROR(INDEX(DATA_PROPERTY_MASTER!$E$5:$E$21,MATCH($C3209,DATA_PROPERTY_MASTER!$A$5:$A$21,0))="Yes",FALSE),IFERROR(INDEX(INDIRECT("'"&amp;$C3209&amp;"'!$E$56:$Y$56"),1,MATCH($D3209,INDIRECT("'"&amp;$C3209&amp;"'!$E$12:$Y$12"),0)),0),0)</f>
        <v>27842.844877355521</v>
      </c>
      <c r="I3209" s="366" t="s">
        <v>1685</v>
      </c>
      <c r="J3209" s="348" t="str">
        <f t="shared" ca="1" si="100"/>
        <v>OK</v>
      </c>
      <c r="K3209" s="366" t="s">
        <v>1718</v>
      </c>
      <c r="L3209" s="366" t="s">
        <v>2250</v>
      </c>
      <c r="M3209" s="350" t="str">
        <f>IF($B3209="Portfolio","Portfolio",IFERROR(INDEX(DATA_ASSET_CLASSIFICATION!$B$8:$B$24,MATCH($C3209,DATA_ASSET_CLASSIFICATION!$A$8:$A$24,0)),"Review"))</f>
        <v>Natalia Terrace</v>
      </c>
      <c r="N3209" s="350" t="str">
        <f ca="1">IF($B3209="Portfolio","Portfolio",IFERROR(INDEX(DATA_ASSET_CLASSIFICATION!$U$8:$U$24,MATCH($C3209,DATA_ASSET_CLASSIFICATION!$A$8:$A$24,0)),"Review"))</f>
        <v>Refi Watch</v>
      </c>
      <c r="O3209" s="350" t="str">
        <f ca="1">IF($B3209="Portfolio","Portfolio",IFERROR(INDEX(DATA_ASSET_CLASSIFICATION!$AB$8:$AB$13,MATCH($N3209,DATA_ASSET_CLASSIFICATION!$AA$8:$AA$13,0)),"Review"))</f>
        <v>Bucket 2 · Legacy</v>
      </c>
      <c r="P3209" s="350" t="str">
        <f>IF($B3209="Portfolio","Portfolio",IFERROR(INDEX(DATA_ASSET_CLASSIFICATION!$C$8:$C$24,MATCH($C3209,DATA_ASSET_CLASSIFICATION!$A$8:$A$24,0)),"Review"))</f>
        <v>Yes</v>
      </c>
      <c r="Q3209" s="350" t="str">
        <f t="shared" ca="1" si="101"/>
        <v>OK</v>
      </c>
    </row>
    <row r="3210" spans="1:17">
      <c r="A3210" s="366" t="s">
        <v>5166</v>
      </c>
      <c r="B3210" s="366" t="s">
        <v>231</v>
      </c>
      <c r="C3210" s="348" t="str">
        <f>DATA_PROPERTY_MASTER!$A$15</f>
        <v>BLD_NT</v>
      </c>
      <c r="D3210" s="380">
        <f>'00_PORTFOLIO ROLLUP'!F$12</f>
        <v>2026</v>
      </c>
      <c r="E3210" s="366" t="s">
        <v>1721</v>
      </c>
      <c r="F3210" s="366" t="s">
        <v>31</v>
      </c>
      <c r="G3210" s="348" t="str">
        <f>"'"&amp;$C3210&amp;"'!$E$61:$Y$61"</f>
        <v>'BLD_NT'!$E$61:$Y$61</v>
      </c>
      <c r="H3210" s="381">
        <f ca="1">IF(IFERROR(INDEX(DATA_PROPERTY_MASTER!$E$5:$E$21,MATCH($C3210,DATA_PROPERTY_MASTER!$A$5:$A$21,0))="Yes",FALSE),IFERROR(INDEX(INDIRECT("'"&amp;$C3210&amp;"'!$E$61:$Y$61"),1,MATCH($D3210,INDIRECT("'"&amp;$C3210&amp;"'!$E$12:$Y$12"),0)),0),0)</f>
        <v>0</v>
      </c>
      <c r="I3210" s="366" t="s">
        <v>1690</v>
      </c>
      <c r="J3210" s="348" t="str">
        <f t="shared" ca="1" si="100"/>
        <v>OK</v>
      </c>
      <c r="K3210" s="366" t="s">
        <v>1723</v>
      </c>
      <c r="L3210" s="366" t="s">
        <v>2252</v>
      </c>
      <c r="M3210" s="350" t="str">
        <f>IF($B3210="Portfolio","Portfolio",IFERROR(INDEX(DATA_ASSET_CLASSIFICATION!$B$8:$B$24,MATCH($C3210,DATA_ASSET_CLASSIFICATION!$A$8:$A$24,0)),"Review"))</f>
        <v>Natalia Terrace</v>
      </c>
      <c r="N3210" s="350" t="str">
        <f ca="1">IF($B3210="Portfolio","Portfolio",IFERROR(INDEX(DATA_ASSET_CLASSIFICATION!$U$8:$U$24,MATCH($C3210,DATA_ASSET_CLASSIFICATION!$A$8:$A$24,0)),"Review"))</f>
        <v>Refi Watch</v>
      </c>
      <c r="O3210" s="350" t="str">
        <f ca="1">IF($B3210="Portfolio","Portfolio",IFERROR(INDEX(DATA_ASSET_CLASSIFICATION!$AB$8:$AB$13,MATCH($N3210,DATA_ASSET_CLASSIFICATION!$AA$8:$AA$13,0)),"Review"))</f>
        <v>Bucket 2 · Legacy</v>
      </c>
      <c r="P3210" s="350" t="str">
        <f>IF($B3210="Portfolio","Portfolio",IFERROR(INDEX(DATA_ASSET_CLASSIFICATION!$C$8:$C$24,MATCH($C3210,DATA_ASSET_CLASSIFICATION!$A$8:$A$24,0)),"Review"))</f>
        <v>Yes</v>
      </c>
      <c r="Q3210" s="350" t="str">
        <f t="shared" ca="1" si="101"/>
        <v>OK</v>
      </c>
    </row>
    <row r="3211" spans="1:17">
      <c r="A3211" s="366" t="s">
        <v>5167</v>
      </c>
      <c r="B3211" s="366" t="s">
        <v>231</v>
      </c>
      <c r="C3211" s="348" t="str">
        <f>DATA_PROPERTY_MASTER!$A$15</f>
        <v>BLD_NT</v>
      </c>
      <c r="D3211" s="380">
        <f>'00_PORTFOLIO ROLLUP'!F$12</f>
        <v>2026</v>
      </c>
      <c r="E3211" s="366" t="s">
        <v>1721</v>
      </c>
      <c r="F3211" s="366" t="s">
        <v>33</v>
      </c>
      <c r="G3211" s="348" t="str">
        <f>"'"&amp;$C3211&amp;"'!$E$62:$Y$62"</f>
        <v>'BLD_NT'!$E$62:$Y$62</v>
      </c>
      <c r="H3211" s="381">
        <f ca="1">IF(IFERROR(INDEX(DATA_PROPERTY_MASTER!$E$5:$E$21,MATCH($C3211,DATA_PROPERTY_MASTER!$A$5:$A$21,0))="Yes",FALSE),IFERROR(INDEX(INDIRECT("'"&amp;$C3211&amp;"'!$E$62:$Y$62"),1,MATCH($D3211,INDIRECT("'"&amp;$C3211&amp;"'!$E$12:$Y$12"),0)),0),0)</f>
        <v>0</v>
      </c>
      <c r="I3211" s="366" t="s">
        <v>1685</v>
      </c>
      <c r="J3211" s="348" t="str">
        <f t="shared" ca="1" si="100"/>
        <v>OK</v>
      </c>
      <c r="K3211" s="366" t="s">
        <v>1727</v>
      </c>
      <c r="L3211" s="366" t="s">
        <v>2254</v>
      </c>
      <c r="M3211" s="350" t="str">
        <f>IF($B3211="Portfolio","Portfolio",IFERROR(INDEX(DATA_ASSET_CLASSIFICATION!$B$8:$B$24,MATCH($C3211,DATA_ASSET_CLASSIFICATION!$A$8:$A$24,0)),"Review"))</f>
        <v>Natalia Terrace</v>
      </c>
      <c r="N3211" s="350" t="str">
        <f ca="1">IF($B3211="Portfolio","Portfolio",IFERROR(INDEX(DATA_ASSET_CLASSIFICATION!$U$8:$U$24,MATCH($C3211,DATA_ASSET_CLASSIFICATION!$A$8:$A$24,0)),"Review"))</f>
        <v>Refi Watch</v>
      </c>
      <c r="O3211" s="350" t="str">
        <f ca="1">IF($B3211="Portfolio","Portfolio",IFERROR(INDEX(DATA_ASSET_CLASSIFICATION!$AB$8:$AB$13,MATCH($N3211,DATA_ASSET_CLASSIFICATION!$AA$8:$AA$13,0)),"Review"))</f>
        <v>Bucket 2 · Legacy</v>
      </c>
      <c r="P3211" s="350" t="str">
        <f>IF($B3211="Portfolio","Portfolio",IFERROR(INDEX(DATA_ASSET_CLASSIFICATION!$C$8:$C$24,MATCH($C3211,DATA_ASSET_CLASSIFICATION!$A$8:$A$24,0)),"Review"))</f>
        <v>Yes</v>
      </c>
      <c r="Q3211" s="350" t="str">
        <f t="shared" ca="1" si="101"/>
        <v>OK</v>
      </c>
    </row>
    <row r="3212" spans="1:17">
      <c r="A3212" s="366" t="s">
        <v>5168</v>
      </c>
      <c r="B3212" s="366" t="s">
        <v>231</v>
      </c>
      <c r="C3212" s="348" t="str">
        <f>DATA_PROPERTY_MASTER!$A$15</f>
        <v>BLD_NT</v>
      </c>
      <c r="D3212" s="380">
        <f>'00_PORTFOLIO ROLLUP'!F$12</f>
        <v>2026</v>
      </c>
      <c r="E3212" s="366" t="s">
        <v>1721</v>
      </c>
      <c r="F3212" s="366" t="s">
        <v>35</v>
      </c>
      <c r="G3212" s="348" t="str">
        <f>"'"&amp;$C3212&amp;"'!$E$63:$Y$63"</f>
        <v>'BLD_NT'!$E$63:$Y$63</v>
      </c>
      <c r="H3212" s="381">
        <f ca="1">IF(IFERROR(INDEX(DATA_PROPERTY_MASTER!$E$5:$E$21,MATCH($C3212,DATA_PROPERTY_MASTER!$A$5:$A$21,0))="Yes",FALSE),IFERROR(INDEX(INDIRECT("'"&amp;$C3212&amp;"'!$E$63:$Y$63"),1,MATCH($D3212,INDIRECT("'"&amp;$C3212&amp;"'!$E$12:$Y$12"),0)),0),0)</f>
        <v>0</v>
      </c>
      <c r="I3212" s="366" t="s">
        <v>1731</v>
      </c>
      <c r="J3212" s="348" t="str">
        <f t="shared" ca="1" si="100"/>
        <v>OK</v>
      </c>
      <c r="K3212" s="366" t="s">
        <v>1732</v>
      </c>
      <c r="L3212" s="366" t="s">
        <v>2256</v>
      </c>
      <c r="M3212" s="350" t="str">
        <f>IF($B3212="Portfolio","Portfolio",IFERROR(INDEX(DATA_ASSET_CLASSIFICATION!$B$8:$B$24,MATCH($C3212,DATA_ASSET_CLASSIFICATION!$A$8:$A$24,0)),"Review"))</f>
        <v>Natalia Terrace</v>
      </c>
      <c r="N3212" s="350" t="str">
        <f ca="1">IF($B3212="Portfolio","Portfolio",IFERROR(INDEX(DATA_ASSET_CLASSIFICATION!$U$8:$U$24,MATCH($C3212,DATA_ASSET_CLASSIFICATION!$A$8:$A$24,0)),"Review"))</f>
        <v>Refi Watch</v>
      </c>
      <c r="O3212" s="350" t="str">
        <f ca="1">IF($B3212="Portfolio","Portfolio",IFERROR(INDEX(DATA_ASSET_CLASSIFICATION!$AB$8:$AB$13,MATCH($N3212,DATA_ASSET_CLASSIFICATION!$AA$8:$AA$13,0)),"Review"))</f>
        <v>Bucket 2 · Legacy</v>
      </c>
      <c r="P3212" s="350" t="str">
        <f>IF($B3212="Portfolio","Portfolio",IFERROR(INDEX(DATA_ASSET_CLASSIFICATION!$C$8:$C$24,MATCH($C3212,DATA_ASSET_CLASSIFICATION!$A$8:$A$24,0)),"Review"))</f>
        <v>Yes</v>
      </c>
      <c r="Q3212" s="350" t="str">
        <f t="shared" ca="1" si="101"/>
        <v>OK</v>
      </c>
    </row>
    <row r="3213" spans="1:17">
      <c r="A3213" s="366" t="s">
        <v>5169</v>
      </c>
      <c r="B3213" s="366" t="s">
        <v>231</v>
      </c>
      <c r="C3213" s="348" t="str">
        <f>DATA_PROPERTY_MASTER!$A$15</f>
        <v>BLD_NT</v>
      </c>
      <c r="D3213" s="380">
        <f>'00_PORTFOLIO ROLLUP'!F$12</f>
        <v>2026</v>
      </c>
      <c r="E3213" s="366" t="s">
        <v>1721</v>
      </c>
      <c r="F3213" s="366" t="s">
        <v>37</v>
      </c>
      <c r="G3213" s="348" t="str">
        <f>"'"&amp;$C3213&amp;"'!$E$63:$Y$63"</f>
        <v>'BLD_NT'!$E$63:$Y$63</v>
      </c>
      <c r="H3213" s="381">
        <f ca="1">IF(IFERROR(INDEX(DATA_PROPERTY_MASTER!$E$5:$E$21,MATCH($C3213,DATA_PROPERTY_MASTER!$A$5:$A$21,0))="Yes",FALSE),MAX(IFERROR(INDEX(INDIRECT("'"&amp;$C3213&amp;"'!$E$63:$Y$63"),1,MATCH($D3213,INDIRECT("'"&amp;$C3213&amp;"'!$E$12:$Y$12"),0)),0),0),0)</f>
        <v>0</v>
      </c>
      <c r="I3213" s="366" t="s">
        <v>1685</v>
      </c>
      <c r="J3213" s="348" t="str">
        <f t="shared" ca="1" si="100"/>
        <v>OK</v>
      </c>
      <c r="K3213" s="366" t="s">
        <v>1735</v>
      </c>
      <c r="L3213" s="366" t="s">
        <v>2258</v>
      </c>
      <c r="M3213" s="350" t="str">
        <f>IF($B3213="Portfolio","Portfolio",IFERROR(INDEX(DATA_ASSET_CLASSIFICATION!$B$8:$B$24,MATCH($C3213,DATA_ASSET_CLASSIFICATION!$A$8:$A$24,0)),"Review"))</f>
        <v>Natalia Terrace</v>
      </c>
      <c r="N3213" s="350" t="str">
        <f ca="1">IF($B3213="Portfolio","Portfolio",IFERROR(INDEX(DATA_ASSET_CLASSIFICATION!$U$8:$U$24,MATCH($C3213,DATA_ASSET_CLASSIFICATION!$A$8:$A$24,0)),"Review"))</f>
        <v>Refi Watch</v>
      </c>
      <c r="O3213" s="350" t="str">
        <f ca="1">IF($B3213="Portfolio","Portfolio",IFERROR(INDEX(DATA_ASSET_CLASSIFICATION!$AB$8:$AB$13,MATCH($N3213,DATA_ASSET_CLASSIFICATION!$AA$8:$AA$13,0)),"Review"))</f>
        <v>Bucket 2 · Legacy</v>
      </c>
      <c r="P3213" s="350" t="str">
        <f>IF($B3213="Portfolio","Portfolio",IFERROR(INDEX(DATA_ASSET_CLASSIFICATION!$C$8:$C$24,MATCH($C3213,DATA_ASSET_CLASSIFICATION!$A$8:$A$24,0)),"Review"))</f>
        <v>Yes</v>
      </c>
      <c r="Q3213" s="350" t="str">
        <f t="shared" ca="1" si="101"/>
        <v>OK</v>
      </c>
    </row>
    <row r="3214" spans="1:17">
      <c r="A3214" s="366" t="s">
        <v>5170</v>
      </c>
      <c r="B3214" s="366" t="s">
        <v>231</v>
      </c>
      <c r="C3214" s="348" t="str">
        <f>DATA_PROPERTY_MASTER!$A$15</f>
        <v>BLD_NT</v>
      </c>
      <c r="D3214" s="380">
        <f>'00_PORTFOLIO ROLLUP'!F$12</f>
        <v>2026</v>
      </c>
      <c r="E3214" s="366" t="s">
        <v>1721</v>
      </c>
      <c r="F3214" s="366" t="s">
        <v>39</v>
      </c>
      <c r="G3214" s="348" t="str">
        <f>"'"&amp;$C3214&amp;"'!$E$63:$Y$63"</f>
        <v>'BLD_NT'!$E$63:$Y$63</v>
      </c>
      <c r="H3214" s="381">
        <f ca="1">IF(IFERROR(INDEX(DATA_PROPERTY_MASTER!$E$5:$E$21,MATCH($C3214,DATA_PROPERTY_MASTER!$A$5:$A$21,0))="Yes",FALSE),MAX(-IFERROR(INDEX(INDIRECT("'"&amp;$C3214&amp;"'!$E$63:$Y$63"),1,MATCH($D3214,INDIRECT("'"&amp;$C3214&amp;"'!$E$12:$Y$12"),0)),0),0),0)</f>
        <v>0</v>
      </c>
      <c r="I3214" s="366" t="s">
        <v>1690</v>
      </c>
      <c r="J3214" s="348" t="str">
        <f t="shared" ca="1" si="100"/>
        <v>OK</v>
      </c>
      <c r="K3214" s="366" t="s">
        <v>1738</v>
      </c>
      <c r="L3214" s="366" t="s">
        <v>2260</v>
      </c>
      <c r="M3214" s="350" t="str">
        <f>IF($B3214="Portfolio","Portfolio",IFERROR(INDEX(DATA_ASSET_CLASSIFICATION!$B$8:$B$24,MATCH($C3214,DATA_ASSET_CLASSIFICATION!$A$8:$A$24,0)),"Review"))</f>
        <v>Natalia Terrace</v>
      </c>
      <c r="N3214" s="350" t="str">
        <f ca="1">IF($B3214="Portfolio","Portfolio",IFERROR(INDEX(DATA_ASSET_CLASSIFICATION!$U$8:$U$24,MATCH($C3214,DATA_ASSET_CLASSIFICATION!$A$8:$A$24,0)),"Review"))</f>
        <v>Refi Watch</v>
      </c>
      <c r="O3214" s="350" t="str">
        <f ca="1">IF($B3214="Portfolio","Portfolio",IFERROR(INDEX(DATA_ASSET_CLASSIFICATION!$AB$8:$AB$13,MATCH($N3214,DATA_ASSET_CLASSIFICATION!$AA$8:$AA$13,0)),"Review"))</f>
        <v>Bucket 2 · Legacy</v>
      </c>
      <c r="P3214" s="350" t="str">
        <f>IF($B3214="Portfolio","Portfolio",IFERROR(INDEX(DATA_ASSET_CLASSIFICATION!$C$8:$C$24,MATCH($C3214,DATA_ASSET_CLASSIFICATION!$A$8:$A$24,0)),"Review"))</f>
        <v>Yes</v>
      </c>
      <c r="Q3214" s="350" t="str">
        <f t="shared" ca="1" si="101"/>
        <v>OK</v>
      </c>
    </row>
    <row r="3215" spans="1:17">
      <c r="A3215" s="366" t="s">
        <v>5171</v>
      </c>
      <c r="B3215" s="366" t="s">
        <v>231</v>
      </c>
      <c r="C3215" s="348" t="str">
        <f>DATA_PROPERTY_MASTER!$A$15</f>
        <v>BLD_NT</v>
      </c>
      <c r="D3215" s="380">
        <f>'00_PORTFOLIO ROLLUP'!F$12</f>
        <v>2026</v>
      </c>
      <c r="E3215" s="366" t="s">
        <v>1741</v>
      </c>
      <c r="F3215" s="366" t="s">
        <v>41</v>
      </c>
      <c r="G3215" s="348" t="str">
        <f>"'"&amp;$C3215&amp;"'!rows 56 + positive row 63"</f>
        <v>'BLD_NT'!rows 56 + positive row 63</v>
      </c>
      <c r="H3215" s="381">
        <f ca="1">IF(IFERROR(INDEX(DATA_PROPERTY_MASTER!$E$5:$E$21,MATCH($C3215,DATA_PROPERTY_MASTER!$A$5:$A$21,0))="Yes",FALSE),IFERROR(INDEX(INDIRECT("'"&amp;$C3215&amp;"'!$E$56:$Y$56"),1,MATCH($D3215,INDIRECT("'"&amp;$C3215&amp;"'!$E$12:$Y$12"),0)),0)+MAX(IFERROR(INDEX(INDIRECT("'"&amp;$C3215&amp;"'!$E$63:$Y$63"),1,MATCH($D3215,INDIRECT("'"&amp;$C3215&amp;"'!$E$12:$Y$12"),0)),0),0),0)</f>
        <v>27842.844877355521</v>
      </c>
      <c r="I3215" s="366" t="s">
        <v>1685</v>
      </c>
      <c r="J3215" s="348" t="str">
        <f t="shared" ca="1" si="100"/>
        <v>OK</v>
      </c>
      <c r="K3215" s="366" t="s">
        <v>1742</v>
      </c>
      <c r="L3215" s="366" t="s">
        <v>2262</v>
      </c>
      <c r="M3215" s="350" t="str">
        <f>IF($B3215="Portfolio","Portfolio",IFERROR(INDEX(DATA_ASSET_CLASSIFICATION!$B$8:$B$24,MATCH($C3215,DATA_ASSET_CLASSIFICATION!$A$8:$A$24,0)),"Review"))</f>
        <v>Natalia Terrace</v>
      </c>
      <c r="N3215" s="350" t="str">
        <f ca="1">IF($B3215="Portfolio","Portfolio",IFERROR(INDEX(DATA_ASSET_CLASSIFICATION!$U$8:$U$24,MATCH($C3215,DATA_ASSET_CLASSIFICATION!$A$8:$A$24,0)),"Review"))</f>
        <v>Refi Watch</v>
      </c>
      <c r="O3215" s="350" t="str">
        <f ca="1">IF($B3215="Portfolio","Portfolio",IFERROR(INDEX(DATA_ASSET_CLASSIFICATION!$AB$8:$AB$13,MATCH($N3215,DATA_ASSET_CLASSIFICATION!$AA$8:$AA$13,0)),"Review"))</f>
        <v>Bucket 2 · Legacy</v>
      </c>
      <c r="P3215" s="350" t="str">
        <f>IF($B3215="Portfolio","Portfolio",IFERROR(INDEX(DATA_ASSET_CLASSIFICATION!$C$8:$C$24,MATCH($C3215,DATA_ASSET_CLASSIFICATION!$A$8:$A$24,0)),"Review"))</f>
        <v>Yes</v>
      </c>
      <c r="Q3215" s="350" t="str">
        <f t="shared" ca="1" si="101"/>
        <v>OK</v>
      </c>
    </row>
    <row r="3216" spans="1:17">
      <c r="A3216" s="366" t="s">
        <v>5172</v>
      </c>
      <c r="B3216" s="366" t="s">
        <v>231</v>
      </c>
      <c r="C3216" s="348" t="str">
        <f>DATA_PROPERTY_MASTER!$A$15</f>
        <v>BLD_NT</v>
      </c>
      <c r="D3216" s="380">
        <f>'00_PORTFOLIO ROLLUP'!F$12</f>
        <v>2026</v>
      </c>
      <c r="E3216" s="366" t="s">
        <v>1741</v>
      </c>
      <c r="F3216" s="366" t="s">
        <v>43</v>
      </c>
      <c r="G3216" s="348" t="str">
        <f>"'"&amp;$C3216&amp;"'!$E$68:$Y$68"</f>
        <v>'BLD_NT'!$E$68:$Y$68</v>
      </c>
      <c r="H3216" s="381">
        <f ca="1">IF(IFERROR(INDEX(DATA_PROPERTY_MASTER!$E$5:$E$21,MATCH($C3216,DATA_PROPERTY_MASTER!$A$5:$A$21,0))="Yes",FALSE),IFERROR(INDEX(INDIRECT("'"&amp;$C3216&amp;"'!$E$68:$Y$68"),1,MATCH($D3216,INDIRECT("'"&amp;$C3216&amp;"'!$E$12:$Y$12"),0)),0),0)</f>
        <v>27842.844877355521</v>
      </c>
      <c r="I3216" s="366" t="s">
        <v>1731</v>
      </c>
      <c r="J3216" s="348" t="str">
        <f t="shared" ca="1" si="100"/>
        <v>OK</v>
      </c>
      <c r="K3216" s="366" t="s">
        <v>1746</v>
      </c>
      <c r="L3216" s="366" t="s">
        <v>2264</v>
      </c>
      <c r="M3216" s="350" t="str">
        <f>IF($B3216="Portfolio","Portfolio",IFERROR(INDEX(DATA_ASSET_CLASSIFICATION!$B$8:$B$24,MATCH($C3216,DATA_ASSET_CLASSIFICATION!$A$8:$A$24,0)),"Review"))</f>
        <v>Natalia Terrace</v>
      </c>
      <c r="N3216" s="350" t="str">
        <f ca="1">IF($B3216="Portfolio","Portfolio",IFERROR(INDEX(DATA_ASSET_CLASSIFICATION!$U$8:$U$24,MATCH($C3216,DATA_ASSET_CLASSIFICATION!$A$8:$A$24,0)),"Review"))</f>
        <v>Refi Watch</v>
      </c>
      <c r="O3216" s="350" t="str">
        <f ca="1">IF($B3216="Portfolio","Portfolio",IFERROR(INDEX(DATA_ASSET_CLASSIFICATION!$AB$8:$AB$13,MATCH($N3216,DATA_ASSET_CLASSIFICATION!$AA$8:$AA$13,0)),"Review"))</f>
        <v>Bucket 2 · Legacy</v>
      </c>
      <c r="P3216" s="350" t="str">
        <f>IF($B3216="Portfolio","Portfolio",IFERROR(INDEX(DATA_ASSET_CLASSIFICATION!$C$8:$C$24,MATCH($C3216,DATA_ASSET_CLASSIFICATION!$A$8:$A$24,0)),"Review"))</f>
        <v>Yes</v>
      </c>
      <c r="Q3216" s="350" t="str">
        <f t="shared" ca="1" si="101"/>
        <v>OK</v>
      </c>
    </row>
    <row r="3217" spans="1:17">
      <c r="A3217" s="366" t="s">
        <v>5173</v>
      </c>
      <c r="B3217" s="366" t="s">
        <v>231</v>
      </c>
      <c r="C3217" s="348" t="str">
        <f>DATA_PROPERTY_MASTER!$A$15</f>
        <v>BLD_NT</v>
      </c>
      <c r="D3217" s="380">
        <f>'00_PORTFOLIO ROLLUP'!F$12</f>
        <v>2026</v>
      </c>
      <c r="E3217" s="366" t="s">
        <v>1741</v>
      </c>
      <c r="F3217" s="366" t="s">
        <v>1749</v>
      </c>
      <c r="G3217" s="348" t="str">
        <f>"'"&amp;$C3217&amp;"'!rows 56, 63, 68"</f>
        <v>'BLD_NT'!rows 56, 63, 68</v>
      </c>
      <c r="H3217" s="381">
        <f ca="1">IF(IFERROR(INDEX(DATA_PROPERTY_MASTER!$E$5:$E$21,MATCH($C3217,DATA_PROPERTY_MASTER!$A$5:$A$21,0))="Yes",FALSE),(IFERROR(INDEX(INDIRECT("'"&amp;$C3217&amp;"'!$E$56:$Y$56"),1,MATCH($D3217,INDIRECT("'"&amp;$C3217&amp;"'!$E$12:$Y$12"),0)),0)+MAX(IFERROR(INDEX(INDIRECT("'"&amp;$C3217&amp;"'!$E$63:$Y$63"),1,MATCH($D3217,INDIRECT("'"&amp;$C3217&amp;"'!$E$12:$Y$12"),0)),0),0))-(IFERROR(INDEX(INDIRECT("'"&amp;$C3217&amp;"'!$E$68:$Y$68"),1,MATCH($D3217,INDIRECT("'"&amp;$C3217&amp;"'!$E$12:$Y$12"),0)),0)),0)</f>
        <v>0</v>
      </c>
      <c r="I3217" s="366" t="s">
        <v>1750</v>
      </c>
      <c r="J3217" s="348" t="str">
        <f t="shared" ca="1" si="100"/>
        <v>OK</v>
      </c>
      <c r="K3217" s="366" t="s">
        <v>1751</v>
      </c>
      <c r="L3217" s="366" t="s">
        <v>2266</v>
      </c>
      <c r="M3217" s="350" t="str">
        <f>IF($B3217="Portfolio","Portfolio",IFERROR(INDEX(DATA_ASSET_CLASSIFICATION!$B$8:$B$24,MATCH($C3217,DATA_ASSET_CLASSIFICATION!$A$8:$A$24,0)),"Review"))</f>
        <v>Natalia Terrace</v>
      </c>
      <c r="N3217" s="350" t="str">
        <f ca="1">IF($B3217="Portfolio","Portfolio",IFERROR(INDEX(DATA_ASSET_CLASSIFICATION!$U$8:$U$24,MATCH($C3217,DATA_ASSET_CLASSIFICATION!$A$8:$A$24,0)),"Review"))</f>
        <v>Refi Watch</v>
      </c>
      <c r="O3217" s="350" t="str">
        <f ca="1">IF($B3217="Portfolio","Portfolio",IFERROR(INDEX(DATA_ASSET_CLASSIFICATION!$AB$8:$AB$13,MATCH($N3217,DATA_ASSET_CLASSIFICATION!$AA$8:$AA$13,0)),"Review"))</f>
        <v>Bucket 2 · Legacy</v>
      </c>
      <c r="P3217" s="350" t="str">
        <f>IF($B3217="Portfolio","Portfolio",IFERROR(INDEX(DATA_ASSET_CLASSIFICATION!$C$8:$C$24,MATCH($C3217,DATA_ASSET_CLASSIFICATION!$A$8:$A$24,0)),"Review"))</f>
        <v>Yes</v>
      </c>
      <c r="Q3217" s="350" t="str">
        <f t="shared" ca="1" si="101"/>
        <v>OK</v>
      </c>
    </row>
    <row r="3218" spans="1:17">
      <c r="A3218" s="366" t="s">
        <v>5174</v>
      </c>
      <c r="B3218" s="366" t="s">
        <v>231</v>
      </c>
      <c r="C3218" s="348" t="str">
        <f>DATA_PROPERTY_MASTER!$A$15</f>
        <v>BLD_NT</v>
      </c>
      <c r="D3218" s="380">
        <f>'00_PORTFOLIO ROLLUP'!G$12</f>
        <v>2027</v>
      </c>
      <c r="E3218" s="366" t="s">
        <v>1683</v>
      </c>
      <c r="F3218" s="366" t="s">
        <v>341</v>
      </c>
      <c r="G3218" s="348" t="str">
        <f>"'"&amp;$C3218&amp;"'!$E$24:$Y$24"</f>
        <v>'BLD_NT'!$E$24:$Y$24</v>
      </c>
      <c r="H3218" s="381">
        <f ca="1">IF(IFERROR(INDEX(DATA_PROPERTY_MASTER!$E$5:$E$21,MATCH($C3218,DATA_PROPERTY_MASTER!$A$5:$A$21,0))="Yes",FALSE),IFERROR(INDEX(INDIRECT("'"&amp;$C3218&amp;"'!$E$24:$Y$24"),1,MATCH($D3218,INDIRECT("'"&amp;$C3218&amp;"'!$E$12:$Y$12"),0)),0),0)</f>
        <v>753241.94265600003</v>
      </c>
      <c r="I3218" s="366" t="s">
        <v>1685</v>
      </c>
      <c r="J3218" s="348" t="str">
        <f t="shared" ca="1" si="100"/>
        <v>OK</v>
      </c>
      <c r="K3218" s="366" t="s">
        <v>1686</v>
      </c>
      <c r="L3218" s="366" t="s">
        <v>2234</v>
      </c>
      <c r="M3218" s="350" t="str">
        <f>IF($B3218="Portfolio","Portfolio",IFERROR(INDEX(DATA_ASSET_CLASSIFICATION!$B$8:$B$24,MATCH($C3218,DATA_ASSET_CLASSIFICATION!$A$8:$A$24,0)),"Review"))</f>
        <v>Natalia Terrace</v>
      </c>
      <c r="N3218" s="350" t="str">
        <f ca="1">IF($B3218="Portfolio","Portfolio",IFERROR(INDEX(DATA_ASSET_CLASSIFICATION!$U$8:$U$24,MATCH($C3218,DATA_ASSET_CLASSIFICATION!$A$8:$A$24,0)),"Review"))</f>
        <v>Refi Watch</v>
      </c>
      <c r="O3218" s="350" t="str">
        <f ca="1">IF($B3218="Portfolio","Portfolio",IFERROR(INDEX(DATA_ASSET_CLASSIFICATION!$AB$8:$AB$13,MATCH($N3218,DATA_ASSET_CLASSIFICATION!$AA$8:$AA$13,0)),"Review"))</f>
        <v>Bucket 2 · Legacy</v>
      </c>
      <c r="P3218" s="350" t="str">
        <f>IF($B3218="Portfolio","Portfolio",IFERROR(INDEX(DATA_ASSET_CLASSIFICATION!$C$8:$C$24,MATCH($C3218,DATA_ASSET_CLASSIFICATION!$A$8:$A$24,0)),"Review"))</f>
        <v>Yes</v>
      </c>
      <c r="Q3218" s="350" t="str">
        <f t="shared" ca="1" si="101"/>
        <v>OK</v>
      </c>
    </row>
    <row r="3219" spans="1:17">
      <c r="A3219" s="366" t="s">
        <v>5175</v>
      </c>
      <c r="B3219" s="366" t="s">
        <v>231</v>
      </c>
      <c r="C3219" s="348" t="str">
        <f>DATA_PROPERTY_MASTER!$A$15</f>
        <v>BLD_NT</v>
      </c>
      <c r="D3219" s="380">
        <f>'00_PORTFOLIO ROLLUP'!G$12</f>
        <v>2027</v>
      </c>
      <c r="E3219" s="366" t="s">
        <v>1683</v>
      </c>
      <c r="F3219" s="366" t="s">
        <v>355</v>
      </c>
      <c r="G3219" s="348" t="str">
        <f>"'"&amp;$C3219&amp;"'!$E$39:$Y$39"</f>
        <v>'BLD_NT'!$E$39:$Y$39</v>
      </c>
      <c r="H3219" s="381">
        <f ca="1">IF(IFERROR(INDEX(DATA_PROPERTY_MASTER!$E$5:$E$21,MATCH($C3219,DATA_PROPERTY_MASTER!$A$5:$A$21,0))="Yes",FALSE),IFERROR(INDEX(INDIRECT("'"&amp;$C3219&amp;"'!$E$39:$Y$39"),1,MATCH($D3219,INDIRECT("'"&amp;$C3219&amp;"'!$E$12:$Y$12"),0)),0),0)</f>
        <v>312508.85120000003</v>
      </c>
      <c r="I3219" s="366" t="s">
        <v>1690</v>
      </c>
      <c r="J3219" s="348" t="str">
        <f t="shared" ca="1" si="100"/>
        <v>OK</v>
      </c>
      <c r="K3219" s="366" t="s">
        <v>1686</v>
      </c>
      <c r="L3219" s="366" t="s">
        <v>2236</v>
      </c>
      <c r="M3219" s="350" t="str">
        <f>IF($B3219="Portfolio","Portfolio",IFERROR(INDEX(DATA_ASSET_CLASSIFICATION!$B$8:$B$24,MATCH($C3219,DATA_ASSET_CLASSIFICATION!$A$8:$A$24,0)),"Review"))</f>
        <v>Natalia Terrace</v>
      </c>
      <c r="N3219" s="350" t="str">
        <f ca="1">IF($B3219="Portfolio","Portfolio",IFERROR(INDEX(DATA_ASSET_CLASSIFICATION!$U$8:$U$24,MATCH($C3219,DATA_ASSET_CLASSIFICATION!$A$8:$A$24,0)),"Review"))</f>
        <v>Refi Watch</v>
      </c>
      <c r="O3219" s="350" t="str">
        <f ca="1">IF($B3219="Portfolio","Portfolio",IFERROR(INDEX(DATA_ASSET_CLASSIFICATION!$AB$8:$AB$13,MATCH($N3219,DATA_ASSET_CLASSIFICATION!$AA$8:$AA$13,0)),"Review"))</f>
        <v>Bucket 2 · Legacy</v>
      </c>
      <c r="P3219" s="350" t="str">
        <f>IF($B3219="Portfolio","Portfolio",IFERROR(INDEX(DATA_ASSET_CLASSIFICATION!$C$8:$C$24,MATCH($C3219,DATA_ASSET_CLASSIFICATION!$A$8:$A$24,0)),"Review"))</f>
        <v>Yes</v>
      </c>
      <c r="Q3219" s="350" t="str">
        <f t="shared" ca="1" si="101"/>
        <v>OK</v>
      </c>
    </row>
    <row r="3220" spans="1:17">
      <c r="A3220" s="366" t="s">
        <v>5176</v>
      </c>
      <c r="B3220" s="366" t="s">
        <v>231</v>
      </c>
      <c r="C3220" s="348" t="str">
        <f>DATA_PROPERTY_MASTER!$A$15</f>
        <v>BLD_NT</v>
      </c>
      <c r="D3220" s="380">
        <f>'00_PORTFOLIO ROLLUP'!G$12</f>
        <v>2027</v>
      </c>
      <c r="E3220" s="366" t="s">
        <v>1683</v>
      </c>
      <c r="F3220" s="366" t="s">
        <v>19</v>
      </c>
      <c r="G3220" s="348" t="str">
        <f>"'"&amp;$C3220&amp;"'!$E$41:$Y$41"</f>
        <v>'BLD_NT'!$E$41:$Y$41</v>
      </c>
      <c r="H3220" s="381">
        <f ca="1">IF(IFERROR(INDEX(DATA_PROPERTY_MASTER!$E$5:$E$21,MATCH($C3220,DATA_PROPERTY_MASTER!$A$5:$A$21,0))="Yes",FALSE),IFERROR(INDEX(INDIRECT("'"&amp;$C3220&amp;"'!$E$41:$Y$41"),1,MATCH($D3220,INDIRECT("'"&amp;$C3220&amp;"'!$E$12:$Y$12"),0)),0),0)</f>
        <v>440733.09145599999</v>
      </c>
      <c r="I3220" s="366" t="s">
        <v>1685</v>
      </c>
      <c r="J3220" s="348" t="str">
        <f t="shared" ca="1" si="100"/>
        <v>OK</v>
      </c>
      <c r="K3220" s="366" t="s">
        <v>1694</v>
      </c>
      <c r="L3220" s="366" t="s">
        <v>2238</v>
      </c>
      <c r="M3220" s="350" t="str">
        <f>IF($B3220="Portfolio","Portfolio",IFERROR(INDEX(DATA_ASSET_CLASSIFICATION!$B$8:$B$24,MATCH($C3220,DATA_ASSET_CLASSIFICATION!$A$8:$A$24,0)),"Review"))</f>
        <v>Natalia Terrace</v>
      </c>
      <c r="N3220" s="350" t="str">
        <f ca="1">IF($B3220="Portfolio","Portfolio",IFERROR(INDEX(DATA_ASSET_CLASSIFICATION!$U$8:$U$24,MATCH($C3220,DATA_ASSET_CLASSIFICATION!$A$8:$A$24,0)),"Review"))</f>
        <v>Refi Watch</v>
      </c>
      <c r="O3220" s="350" t="str">
        <f ca="1">IF($B3220="Portfolio","Portfolio",IFERROR(INDEX(DATA_ASSET_CLASSIFICATION!$AB$8:$AB$13,MATCH($N3220,DATA_ASSET_CLASSIFICATION!$AA$8:$AA$13,0)),"Review"))</f>
        <v>Bucket 2 · Legacy</v>
      </c>
      <c r="P3220" s="350" t="str">
        <f>IF($B3220="Portfolio","Portfolio",IFERROR(INDEX(DATA_ASSET_CLASSIFICATION!$C$8:$C$24,MATCH($C3220,DATA_ASSET_CLASSIFICATION!$A$8:$A$24,0)),"Review"))</f>
        <v>Yes</v>
      </c>
      <c r="Q3220" s="350" t="str">
        <f t="shared" ca="1" si="101"/>
        <v>OK</v>
      </c>
    </row>
    <row r="3221" spans="1:17">
      <c r="A3221" s="366" t="s">
        <v>5177</v>
      </c>
      <c r="B3221" s="366" t="s">
        <v>231</v>
      </c>
      <c r="C3221" s="348" t="str">
        <f>DATA_PROPERTY_MASTER!$A$15</f>
        <v>BLD_NT</v>
      </c>
      <c r="D3221" s="380">
        <f>'00_PORTFOLIO ROLLUP'!G$12</f>
        <v>2027</v>
      </c>
      <c r="E3221" s="366" t="s">
        <v>1683</v>
      </c>
      <c r="F3221" s="366" t="s">
        <v>1697</v>
      </c>
      <c r="G3221" s="348" t="str">
        <f>"'"&amp;$C3221&amp;"'!$E$44:$Y$44"</f>
        <v>'BLD_NT'!$E$44:$Y$44</v>
      </c>
      <c r="H3221" s="381">
        <f ca="1">IF(IFERROR(INDEX(DATA_PROPERTY_MASTER!$E$5:$E$21,MATCH($C3221,DATA_PROPERTY_MASTER!$A$5:$A$21,0))="Yes",FALSE),IFERROR(INDEX(INDIRECT("'"&amp;$C3221&amp;"'!$E$44:$Y$44"),1,MATCH($D3221,INDIRECT("'"&amp;$C3221&amp;"'!$E$12:$Y$12"),0)),0),0)</f>
        <v>6242.4</v>
      </c>
      <c r="I3221" s="366" t="s">
        <v>1690</v>
      </c>
      <c r="J3221" s="348" t="str">
        <f t="shared" ca="1" si="100"/>
        <v>OK</v>
      </c>
      <c r="K3221" s="366" t="s">
        <v>1699</v>
      </c>
      <c r="L3221" s="366" t="s">
        <v>2240</v>
      </c>
      <c r="M3221" s="350" t="str">
        <f>IF($B3221="Portfolio","Portfolio",IFERROR(INDEX(DATA_ASSET_CLASSIFICATION!$B$8:$B$24,MATCH($C3221,DATA_ASSET_CLASSIFICATION!$A$8:$A$24,0)),"Review"))</f>
        <v>Natalia Terrace</v>
      </c>
      <c r="N3221" s="350" t="str">
        <f ca="1">IF($B3221="Portfolio","Portfolio",IFERROR(INDEX(DATA_ASSET_CLASSIFICATION!$U$8:$U$24,MATCH($C3221,DATA_ASSET_CLASSIFICATION!$A$8:$A$24,0)),"Review"))</f>
        <v>Refi Watch</v>
      </c>
      <c r="O3221" s="350" t="str">
        <f ca="1">IF($B3221="Portfolio","Portfolio",IFERROR(INDEX(DATA_ASSET_CLASSIFICATION!$AB$8:$AB$13,MATCH($N3221,DATA_ASSET_CLASSIFICATION!$AA$8:$AA$13,0)),"Review"))</f>
        <v>Bucket 2 · Legacy</v>
      </c>
      <c r="P3221" s="350" t="str">
        <f>IF($B3221="Portfolio","Portfolio",IFERROR(INDEX(DATA_ASSET_CLASSIFICATION!$C$8:$C$24,MATCH($C3221,DATA_ASSET_CLASSIFICATION!$A$8:$A$24,0)),"Review"))</f>
        <v>Yes</v>
      </c>
      <c r="Q3221" s="350" t="str">
        <f t="shared" ca="1" si="101"/>
        <v>OK</v>
      </c>
    </row>
    <row r="3222" spans="1:17">
      <c r="A3222" s="366" t="s">
        <v>5178</v>
      </c>
      <c r="B3222" s="366" t="s">
        <v>231</v>
      </c>
      <c r="C3222" s="348" t="str">
        <f>DATA_PROPERTY_MASTER!$A$15</f>
        <v>BLD_NT</v>
      </c>
      <c r="D3222" s="380">
        <f>'00_PORTFOLIO ROLLUP'!G$12</f>
        <v>2027</v>
      </c>
      <c r="E3222" s="366" t="s">
        <v>1683</v>
      </c>
      <c r="F3222" s="366" t="s">
        <v>21</v>
      </c>
      <c r="G3222" s="348" t="str">
        <f>"'"&amp;$C3222&amp;"'!$E$45:$Y$45"</f>
        <v>'BLD_NT'!$E$45:$Y$45</v>
      </c>
      <c r="H3222" s="381">
        <f ca="1">IF(IFERROR(INDEX(DATA_PROPERTY_MASTER!$E$5:$E$21,MATCH($C3222,DATA_PROPERTY_MASTER!$A$5:$A$21,0))="Yes",FALSE),IFERROR(INDEX(INDIRECT("'"&amp;$C3222&amp;"'!$E$45:$Y$45"),1,MATCH($D3222,INDIRECT("'"&amp;$C3222&amp;"'!$E$12:$Y$12"),0)),0),0)</f>
        <v>434490.69145599997</v>
      </c>
      <c r="I3222" s="366" t="s">
        <v>1685</v>
      </c>
      <c r="J3222" s="348" t="str">
        <f t="shared" ca="1" si="100"/>
        <v>OK</v>
      </c>
      <c r="K3222" s="366" t="s">
        <v>1694</v>
      </c>
      <c r="L3222" s="366" t="s">
        <v>2242</v>
      </c>
      <c r="M3222" s="350" t="str">
        <f>IF($B3222="Portfolio","Portfolio",IFERROR(INDEX(DATA_ASSET_CLASSIFICATION!$B$8:$B$24,MATCH($C3222,DATA_ASSET_CLASSIFICATION!$A$8:$A$24,0)),"Review"))</f>
        <v>Natalia Terrace</v>
      </c>
      <c r="N3222" s="350" t="str">
        <f ca="1">IF($B3222="Portfolio","Portfolio",IFERROR(INDEX(DATA_ASSET_CLASSIFICATION!$U$8:$U$24,MATCH($C3222,DATA_ASSET_CLASSIFICATION!$A$8:$A$24,0)),"Review"))</f>
        <v>Refi Watch</v>
      </c>
      <c r="O3222" s="350" t="str">
        <f ca="1">IF($B3222="Portfolio","Portfolio",IFERROR(INDEX(DATA_ASSET_CLASSIFICATION!$AB$8:$AB$13,MATCH($N3222,DATA_ASSET_CLASSIFICATION!$AA$8:$AA$13,0)),"Review"))</f>
        <v>Bucket 2 · Legacy</v>
      </c>
      <c r="P3222" s="350" t="str">
        <f>IF($B3222="Portfolio","Portfolio",IFERROR(INDEX(DATA_ASSET_CLASSIFICATION!$C$8:$C$24,MATCH($C3222,DATA_ASSET_CLASSIFICATION!$A$8:$A$24,0)),"Review"))</f>
        <v>Yes</v>
      </c>
      <c r="Q3222" s="350" t="str">
        <f t="shared" ca="1" si="101"/>
        <v>OK</v>
      </c>
    </row>
    <row r="3223" spans="1:17">
      <c r="A3223" s="366" t="s">
        <v>5179</v>
      </c>
      <c r="B3223" s="366" t="s">
        <v>231</v>
      </c>
      <c r="C3223" s="348" t="str">
        <f>DATA_PROPERTY_MASTER!$A$15</f>
        <v>BLD_NT</v>
      </c>
      <c r="D3223" s="380">
        <f>'00_PORTFOLIO ROLLUP'!G$12</f>
        <v>2027</v>
      </c>
      <c r="E3223" s="366" t="s">
        <v>23</v>
      </c>
      <c r="F3223" s="366" t="s">
        <v>23</v>
      </c>
      <c r="G3223" s="348" t="str">
        <f>"'"&amp;$C3223&amp;"'!$E$48:$Y$48"</f>
        <v>'BLD_NT'!$E$48:$Y$48</v>
      </c>
      <c r="H3223" s="381">
        <f ca="1">IF(IFERROR(INDEX(DATA_PROPERTY_MASTER!$E$5:$E$21,MATCH($C3223,DATA_PROPERTY_MASTER!$A$5:$A$21,0))="Yes",FALSE),IFERROR(INDEX(INDIRECT("'"&amp;$C3223&amp;"'!$E$48:$Y$48"),1,MATCH($D3223,INDIRECT("'"&amp;$C3223&amp;"'!$E$12:$Y$12"),0)),0),0)</f>
        <v>0</v>
      </c>
      <c r="I3223" s="366" t="s">
        <v>1690</v>
      </c>
      <c r="J3223" s="348" t="str">
        <f t="shared" ca="1" si="100"/>
        <v>OK</v>
      </c>
      <c r="K3223" s="366" t="s">
        <v>1706</v>
      </c>
      <c r="L3223" s="366" t="s">
        <v>2244</v>
      </c>
      <c r="M3223" s="350" t="str">
        <f>IF($B3223="Portfolio","Portfolio",IFERROR(INDEX(DATA_ASSET_CLASSIFICATION!$B$8:$B$24,MATCH($C3223,DATA_ASSET_CLASSIFICATION!$A$8:$A$24,0)),"Review"))</f>
        <v>Natalia Terrace</v>
      </c>
      <c r="N3223" s="350" t="str">
        <f ca="1">IF($B3223="Portfolio","Portfolio",IFERROR(INDEX(DATA_ASSET_CLASSIFICATION!$U$8:$U$24,MATCH($C3223,DATA_ASSET_CLASSIFICATION!$A$8:$A$24,0)),"Review"))</f>
        <v>Refi Watch</v>
      </c>
      <c r="O3223" s="350" t="str">
        <f ca="1">IF($B3223="Portfolio","Portfolio",IFERROR(INDEX(DATA_ASSET_CLASSIFICATION!$AB$8:$AB$13,MATCH($N3223,DATA_ASSET_CLASSIFICATION!$AA$8:$AA$13,0)),"Review"))</f>
        <v>Bucket 2 · Legacy</v>
      </c>
      <c r="P3223" s="350" t="str">
        <f>IF($B3223="Portfolio","Portfolio",IFERROR(INDEX(DATA_ASSET_CLASSIFICATION!$C$8:$C$24,MATCH($C3223,DATA_ASSET_CLASSIFICATION!$A$8:$A$24,0)),"Review"))</f>
        <v>Yes</v>
      </c>
      <c r="Q3223" s="350" t="str">
        <f t="shared" ca="1" si="101"/>
        <v>OK</v>
      </c>
    </row>
    <row r="3224" spans="1:17">
      <c r="A3224" s="366" t="s">
        <v>5180</v>
      </c>
      <c r="B3224" s="366" t="s">
        <v>231</v>
      </c>
      <c r="C3224" s="348" t="str">
        <f>DATA_PROPERTY_MASTER!$A$15</f>
        <v>BLD_NT</v>
      </c>
      <c r="D3224" s="380">
        <f>'00_PORTFOLIO ROLLUP'!G$12</f>
        <v>2027</v>
      </c>
      <c r="E3224" s="366" t="s">
        <v>1683</v>
      </c>
      <c r="F3224" s="366" t="s">
        <v>25</v>
      </c>
      <c r="G3224" s="348" t="str">
        <f>"'"&amp;$C3224&amp;"'!$E$52:$Y$52"</f>
        <v>'BLD_NT'!$E$52:$Y$52</v>
      </c>
      <c r="H3224" s="381">
        <f ca="1">IF(IFERROR(INDEX(DATA_PROPERTY_MASTER!$E$5:$E$21,MATCH($C3224,DATA_PROPERTY_MASTER!$A$5:$A$21,0))="Yes",FALSE),IFERROR(INDEX(INDIRECT("'"&amp;$C3224&amp;"'!$E$52:$Y$52"),1,MATCH($D3224,INDIRECT("'"&amp;$C3224&amp;"'!$E$12:$Y$12"),0)),0),0)</f>
        <v>440733.09145599999</v>
      </c>
      <c r="I3224" s="366" t="s">
        <v>1685</v>
      </c>
      <c r="J3224" s="348" t="str">
        <f t="shared" ca="1" si="100"/>
        <v>OK</v>
      </c>
      <c r="K3224" s="366" t="s">
        <v>1710</v>
      </c>
      <c r="L3224" s="366" t="s">
        <v>2246</v>
      </c>
      <c r="M3224" s="350" t="str">
        <f>IF($B3224="Portfolio","Portfolio",IFERROR(INDEX(DATA_ASSET_CLASSIFICATION!$B$8:$B$24,MATCH($C3224,DATA_ASSET_CLASSIFICATION!$A$8:$A$24,0)),"Review"))</f>
        <v>Natalia Terrace</v>
      </c>
      <c r="N3224" s="350" t="str">
        <f ca="1">IF($B3224="Portfolio","Portfolio",IFERROR(INDEX(DATA_ASSET_CLASSIFICATION!$U$8:$U$24,MATCH($C3224,DATA_ASSET_CLASSIFICATION!$A$8:$A$24,0)),"Review"))</f>
        <v>Refi Watch</v>
      </c>
      <c r="O3224" s="350" t="str">
        <f ca="1">IF($B3224="Portfolio","Portfolio",IFERROR(INDEX(DATA_ASSET_CLASSIFICATION!$AB$8:$AB$13,MATCH($N3224,DATA_ASSET_CLASSIFICATION!$AA$8:$AA$13,0)),"Review"))</f>
        <v>Bucket 2 · Legacy</v>
      </c>
      <c r="P3224" s="350" t="str">
        <f>IF($B3224="Portfolio","Portfolio",IFERROR(INDEX(DATA_ASSET_CLASSIFICATION!$C$8:$C$24,MATCH($C3224,DATA_ASSET_CLASSIFICATION!$A$8:$A$24,0)),"Review"))</f>
        <v>Yes</v>
      </c>
      <c r="Q3224" s="350" t="str">
        <f t="shared" ca="1" si="101"/>
        <v>OK</v>
      </c>
    </row>
    <row r="3225" spans="1:17">
      <c r="A3225" s="366" t="s">
        <v>5181</v>
      </c>
      <c r="B3225" s="366" t="s">
        <v>231</v>
      </c>
      <c r="C3225" s="348" t="str">
        <f>DATA_PROPERTY_MASTER!$A$15</f>
        <v>BLD_NT</v>
      </c>
      <c r="D3225" s="380">
        <f>'00_PORTFOLIO ROLLUP'!G$12</f>
        <v>2027</v>
      </c>
      <c r="E3225" s="366" t="s">
        <v>1683</v>
      </c>
      <c r="F3225" s="366" t="s">
        <v>27</v>
      </c>
      <c r="G3225" s="348" t="str">
        <f>"'"&amp;$C3225&amp;"'!$E$54:$Y$54"</f>
        <v>'BLD_NT'!$E$54:$Y$54</v>
      </c>
      <c r="H3225" s="381">
        <f ca="1">IF(IFERROR(INDEX(DATA_PROPERTY_MASTER!$E$5:$E$21,MATCH($C3225,DATA_PROPERTY_MASTER!$A$5:$A$21,0))="Yes",FALSE),IFERROR(INDEX(INDIRECT("'"&amp;$C3225&amp;"'!$E$54:$Y$54"),1,MATCH($D3225,INDIRECT("'"&amp;$C3225&amp;"'!$E$12:$Y$12"),0)),0),0)</f>
        <v>264439.85487360001</v>
      </c>
      <c r="I3225" s="366" t="s">
        <v>1690</v>
      </c>
      <c r="J3225" s="348" t="str">
        <f t="shared" ca="1" si="100"/>
        <v>OK</v>
      </c>
      <c r="K3225" s="366" t="s">
        <v>1714</v>
      </c>
      <c r="L3225" s="366" t="s">
        <v>2248</v>
      </c>
      <c r="M3225" s="350" t="str">
        <f>IF($B3225="Portfolio","Portfolio",IFERROR(INDEX(DATA_ASSET_CLASSIFICATION!$B$8:$B$24,MATCH($C3225,DATA_ASSET_CLASSIFICATION!$A$8:$A$24,0)),"Review"))</f>
        <v>Natalia Terrace</v>
      </c>
      <c r="N3225" s="350" t="str">
        <f ca="1">IF($B3225="Portfolio","Portfolio",IFERROR(INDEX(DATA_ASSET_CLASSIFICATION!$U$8:$U$24,MATCH($C3225,DATA_ASSET_CLASSIFICATION!$A$8:$A$24,0)),"Review"))</f>
        <v>Refi Watch</v>
      </c>
      <c r="O3225" s="350" t="str">
        <f ca="1">IF($B3225="Portfolio","Portfolio",IFERROR(INDEX(DATA_ASSET_CLASSIFICATION!$AB$8:$AB$13,MATCH($N3225,DATA_ASSET_CLASSIFICATION!$AA$8:$AA$13,0)),"Review"))</f>
        <v>Bucket 2 · Legacy</v>
      </c>
      <c r="P3225" s="350" t="str">
        <f>IF($B3225="Portfolio","Portfolio",IFERROR(INDEX(DATA_ASSET_CLASSIFICATION!$C$8:$C$24,MATCH($C3225,DATA_ASSET_CLASSIFICATION!$A$8:$A$24,0)),"Review"))</f>
        <v>Yes</v>
      </c>
      <c r="Q3225" s="350" t="str">
        <f t="shared" ca="1" si="101"/>
        <v>OK</v>
      </c>
    </row>
    <row r="3226" spans="1:17">
      <c r="A3226" s="366" t="s">
        <v>5182</v>
      </c>
      <c r="B3226" s="366" t="s">
        <v>231</v>
      </c>
      <c r="C3226" s="348" t="str">
        <f>DATA_PROPERTY_MASTER!$A$15</f>
        <v>BLD_NT</v>
      </c>
      <c r="D3226" s="380">
        <f>'00_PORTFOLIO ROLLUP'!G$12</f>
        <v>2027</v>
      </c>
      <c r="E3226" s="366" t="s">
        <v>1683</v>
      </c>
      <c r="F3226" s="366" t="s">
        <v>29</v>
      </c>
      <c r="G3226" s="348" t="str">
        <f>"'"&amp;$C3226&amp;"'!$E$56:$Y$56"</f>
        <v>'BLD_NT'!$E$56:$Y$56</v>
      </c>
      <c r="H3226" s="381">
        <f ca="1">IF(IFERROR(INDEX(DATA_PROPERTY_MASTER!$E$5:$E$21,MATCH($C3226,DATA_PROPERTY_MASTER!$A$5:$A$21,0))="Yes",FALSE),IFERROR(INDEX(INDIRECT("'"&amp;$C3226&amp;"'!$E$56:$Y$56"),1,MATCH($D3226,INDIRECT("'"&amp;$C3226&amp;"'!$E$12:$Y$12"),0)),0),0)</f>
        <v>176293.23658239999</v>
      </c>
      <c r="I3226" s="366" t="s">
        <v>1685</v>
      </c>
      <c r="J3226" s="348" t="str">
        <f t="shared" ca="1" si="100"/>
        <v>OK</v>
      </c>
      <c r="K3226" s="366" t="s">
        <v>1718</v>
      </c>
      <c r="L3226" s="366" t="s">
        <v>2250</v>
      </c>
      <c r="M3226" s="350" t="str">
        <f>IF($B3226="Portfolio","Portfolio",IFERROR(INDEX(DATA_ASSET_CLASSIFICATION!$B$8:$B$24,MATCH($C3226,DATA_ASSET_CLASSIFICATION!$A$8:$A$24,0)),"Review"))</f>
        <v>Natalia Terrace</v>
      </c>
      <c r="N3226" s="350" t="str">
        <f ca="1">IF($B3226="Portfolio","Portfolio",IFERROR(INDEX(DATA_ASSET_CLASSIFICATION!$U$8:$U$24,MATCH($C3226,DATA_ASSET_CLASSIFICATION!$A$8:$A$24,0)),"Review"))</f>
        <v>Refi Watch</v>
      </c>
      <c r="O3226" s="350" t="str">
        <f ca="1">IF($B3226="Portfolio","Portfolio",IFERROR(INDEX(DATA_ASSET_CLASSIFICATION!$AB$8:$AB$13,MATCH($N3226,DATA_ASSET_CLASSIFICATION!$AA$8:$AA$13,0)),"Review"))</f>
        <v>Bucket 2 · Legacy</v>
      </c>
      <c r="P3226" s="350" t="str">
        <f>IF($B3226="Portfolio","Portfolio",IFERROR(INDEX(DATA_ASSET_CLASSIFICATION!$C$8:$C$24,MATCH($C3226,DATA_ASSET_CLASSIFICATION!$A$8:$A$24,0)),"Review"))</f>
        <v>Yes</v>
      </c>
      <c r="Q3226" s="350" t="str">
        <f t="shared" ca="1" si="101"/>
        <v>OK</v>
      </c>
    </row>
    <row r="3227" spans="1:17">
      <c r="A3227" s="366" t="s">
        <v>5183</v>
      </c>
      <c r="B3227" s="366" t="s">
        <v>231</v>
      </c>
      <c r="C3227" s="348" t="str">
        <f>DATA_PROPERTY_MASTER!$A$15</f>
        <v>BLD_NT</v>
      </c>
      <c r="D3227" s="380">
        <f>'00_PORTFOLIO ROLLUP'!G$12</f>
        <v>2027</v>
      </c>
      <c r="E3227" s="366" t="s">
        <v>1721</v>
      </c>
      <c r="F3227" s="366" t="s">
        <v>31</v>
      </c>
      <c r="G3227" s="348" t="str">
        <f>"'"&amp;$C3227&amp;"'!$E$61:$Y$61"</f>
        <v>'BLD_NT'!$E$61:$Y$61</v>
      </c>
      <c r="H3227" s="381">
        <f ca="1">IF(IFERROR(INDEX(DATA_PROPERTY_MASTER!$E$5:$E$21,MATCH($C3227,DATA_PROPERTY_MASTER!$A$5:$A$21,0))="Yes",FALSE),IFERROR(INDEX(INDIRECT("'"&amp;$C3227&amp;"'!$E$61:$Y$61"),1,MATCH($D3227,INDIRECT("'"&amp;$C3227&amp;"'!$E$12:$Y$12"),0)),0),0)</f>
        <v>0</v>
      </c>
      <c r="I3227" s="366" t="s">
        <v>1690</v>
      </c>
      <c r="J3227" s="348" t="str">
        <f t="shared" ca="1" si="100"/>
        <v>OK</v>
      </c>
      <c r="K3227" s="366" t="s">
        <v>1723</v>
      </c>
      <c r="L3227" s="366" t="s">
        <v>2252</v>
      </c>
      <c r="M3227" s="350" t="str">
        <f>IF($B3227="Portfolio","Portfolio",IFERROR(INDEX(DATA_ASSET_CLASSIFICATION!$B$8:$B$24,MATCH($C3227,DATA_ASSET_CLASSIFICATION!$A$8:$A$24,0)),"Review"))</f>
        <v>Natalia Terrace</v>
      </c>
      <c r="N3227" s="350" t="str">
        <f ca="1">IF($B3227="Portfolio","Portfolio",IFERROR(INDEX(DATA_ASSET_CLASSIFICATION!$U$8:$U$24,MATCH($C3227,DATA_ASSET_CLASSIFICATION!$A$8:$A$24,0)),"Review"))</f>
        <v>Refi Watch</v>
      </c>
      <c r="O3227" s="350" t="str">
        <f ca="1">IF($B3227="Portfolio","Portfolio",IFERROR(INDEX(DATA_ASSET_CLASSIFICATION!$AB$8:$AB$13,MATCH($N3227,DATA_ASSET_CLASSIFICATION!$AA$8:$AA$13,0)),"Review"))</f>
        <v>Bucket 2 · Legacy</v>
      </c>
      <c r="P3227" s="350" t="str">
        <f>IF($B3227="Portfolio","Portfolio",IFERROR(INDEX(DATA_ASSET_CLASSIFICATION!$C$8:$C$24,MATCH($C3227,DATA_ASSET_CLASSIFICATION!$A$8:$A$24,0)),"Review"))</f>
        <v>Yes</v>
      </c>
      <c r="Q3227" s="350" t="str">
        <f t="shared" ca="1" si="101"/>
        <v>OK</v>
      </c>
    </row>
    <row r="3228" spans="1:17">
      <c r="A3228" s="366" t="s">
        <v>5184</v>
      </c>
      <c r="B3228" s="366" t="s">
        <v>231</v>
      </c>
      <c r="C3228" s="348" t="str">
        <f>DATA_PROPERTY_MASTER!$A$15</f>
        <v>BLD_NT</v>
      </c>
      <c r="D3228" s="380">
        <f>'00_PORTFOLIO ROLLUP'!G$12</f>
        <v>2027</v>
      </c>
      <c r="E3228" s="366" t="s">
        <v>1721</v>
      </c>
      <c r="F3228" s="366" t="s">
        <v>33</v>
      </c>
      <c r="G3228" s="348" t="str">
        <f>"'"&amp;$C3228&amp;"'!$E$62:$Y$62"</f>
        <v>'BLD_NT'!$E$62:$Y$62</v>
      </c>
      <c r="H3228" s="381">
        <f ca="1">IF(IFERROR(INDEX(DATA_PROPERTY_MASTER!$E$5:$E$21,MATCH($C3228,DATA_PROPERTY_MASTER!$A$5:$A$21,0))="Yes",FALSE),IFERROR(INDEX(INDIRECT("'"&amp;$C3228&amp;"'!$E$62:$Y$62"),1,MATCH($D3228,INDIRECT("'"&amp;$C3228&amp;"'!$E$12:$Y$12"),0)),0),0)</f>
        <v>0</v>
      </c>
      <c r="I3228" s="366" t="s">
        <v>1685</v>
      </c>
      <c r="J3228" s="348" t="str">
        <f t="shared" ca="1" si="100"/>
        <v>OK</v>
      </c>
      <c r="K3228" s="366" t="s">
        <v>1727</v>
      </c>
      <c r="L3228" s="366" t="s">
        <v>2254</v>
      </c>
      <c r="M3228" s="350" t="str">
        <f>IF($B3228="Portfolio","Portfolio",IFERROR(INDEX(DATA_ASSET_CLASSIFICATION!$B$8:$B$24,MATCH($C3228,DATA_ASSET_CLASSIFICATION!$A$8:$A$24,0)),"Review"))</f>
        <v>Natalia Terrace</v>
      </c>
      <c r="N3228" s="350" t="str">
        <f ca="1">IF($B3228="Portfolio","Portfolio",IFERROR(INDEX(DATA_ASSET_CLASSIFICATION!$U$8:$U$24,MATCH($C3228,DATA_ASSET_CLASSIFICATION!$A$8:$A$24,0)),"Review"))</f>
        <v>Refi Watch</v>
      </c>
      <c r="O3228" s="350" t="str">
        <f ca="1">IF($B3228="Portfolio","Portfolio",IFERROR(INDEX(DATA_ASSET_CLASSIFICATION!$AB$8:$AB$13,MATCH($N3228,DATA_ASSET_CLASSIFICATION!$AA$8:$AA$13,0)),"Review"))</f>
        <v>Bucket 2 · Legacy</v>
      </c>
      <c r="P3228" s="350" t="str">
        <f>IF($B3228="Portfolio","Portfolio",IFERROR(INDEX(DATA_ASSET_CLASSIFICATION!$C$8:$C$24,MATCH($C3228,DATA_ASSET_CLASSIFICATION!$A$8:$A$24,0)),"Review"))</f>
        <v>Yes</v>
      </c>
      <c r="Q3228" s="350" t="str">
        <f t="shared" ca="1" si="101"/>
        <v>OK</v>
      </c>
    </row>
    <row r="3229" spans="1:17">
      <c r="A3229" s="366" t="s">
        <v>5185</v>
      </c>
      <c r="B3229" s="366" t="s">
        <v>231</v>
      </c>
      <c r="C3229" s="348" t="str">
        <f>DATA_PROPERTY_MASTER!$A$15</f>
        <v>BLD_NT</v>
      </c>
      <c r="D3229" s="380">
        <f>'00_PORTFOLIO ROLLUP'!G$12</f>
        <v>2027</v>
      </c>
      <c r="E3229" s="366" t="s">
        <v>1721</v>
      </c>
      <c r="F3229" s="366" t="s">
        <v>35</v>
      </c>
      <c r="G3229" s="348" t="str">
        <f>"'"&amp;$C3229&amp;"'!$E$63:$Y$63"</f>
        <v>'BLD_NT'!$E$63:$Y$63</v>
      </c>
      <c r="H3229" s="381">
        <f ca="1">IF(IFERROR(INDEX(DATA_PROPERTY_MASTER!$E$5:$E$21,MATCH($C3229,DATA_PROPERTY_MASTER!$A$5:$A$21,0))="Yes",FALSE),IFERROR(INDEX(INDIRECT("'"&amp;$C3229&amp;"'!$E$63:$Y$63"),1,MATCH($D3229,INDIRECT("'"&amp;$C3229&amp;"'!$E$12:$Y$12"),0)),0),0)</f>
        <v>0</v>
      </c>
      <c r="I3229" s="366" t="s">
        <v>1731</v>
      </c>
      <c r="J3229" s="348" t="str">
        <f t="shared" ca="1" si="100"/>
        <v>OK</v>
      </c>
      <c r="K3229" s="366" t="s">
        <v>1732</v>
      </c>
      <c r="L3229" s="366" t="s">
        <v>2256</v>
      </c>
      <c r="M3229" s="350" t="str">
        <f>IF($B3229="Portfolio","Portfolio",IFERROR(INDEX(DATA_ASSET_CLASSIFICATION!$B$8:$B$24,MATCH($C3229,DATA_ASSET_CLASSIFICATION!$A$8:$A$24,0)),"Review"))</f>
        <v>Natalia Terrace</v>
      </c>
      <c r="N3229" s="350" t="str">
        <f ca="1">IF($B3229="Portfolio","Portfolio",IFERROR(INDEX(DATA_ASSET_CLASSIFICATION!$U$8:$U$24,MATCH($C3229,DATA_ASSET_CLASSIFICATION!$A$8:$A$24,0)),"Review"))</f>
        <v>Refi Watch</v>
      </c>
      <c r="O3229" s="350" t="str">
        <f ca="1">IF($B3229="Portfolio","Portfolio",IFERROR(INDEX(DATA_ASSET_CLASSIFICATION!$AB$8:$AB$13,MATCH($N3229,DATA_ASSET_CLASSIFICATION!$AA$8:$AA$13,0)),"Review"))</f>
        <v>Bucket 2 · Legacy</v>
      </c>
      <c r="P3229" s="350" t="str">
        <f>IF($B3229="Portfolio","Portfolio",IFERROR(INDEX(DATA_ASSET_CLASSIFICATION!$C$8:$C$24,MATCH($C3229,DATA_ASSET_CLASSIFICATION!$A$8:$A$24,0)),"Review"))</f>
        <v>Yes</v>
      </c>
      <c r="Q3229" s="350" t="str">
        <f t="shared" ca="1" si="101"/>
        <v>OK</v>
      </c>
    </row>
    <row r="3230" spans="1:17">
      <c r="A3230" s="366" t="s">
        <v>5186</v>
      </c>
      <c r="B3230" s="366" t="s">
        <v>231</v>
      </c>
      <c r="C3230" s="348" t="str">
        <f>DATA_PROPERTY_MASTER!$A$15</f>
        <v>BLD_NT</v>
      </c>
      <c r="D3230" s="380">
        <f>'00_PORTFOLIO ROLLUP'!G$12</f>
        <v>2027</v>
      </c>
      <c r="E3230" s="366" t="s">
        <v>1721</v>
      </c>
      <c r="F3230" s="366" t="s">
        <v>37</v>
      </c>
      <c r="G3230" s="348" t="str">
        <f>"'"&amp;$C3230&amp;"'!$E$63:$Y$63"</f>
        <v>'BLD_NT'!$E$63:$Y$63</v>
      </c>
      <c r="H3230" s="381">
        <f ca="1">IF(IFERROR(INDEX(DATA_PROPERTY_MASTER!$E$5:$E$21,MATCH($C3230,DATA_PROPERTY_MASTER!$A$5:$A$21,0))="Yes",FALSE),MAX(IFERROR(INDEX(INDIRECT("'"&amp;$C3230&amp;"'!$E$63:$Y$63"),1,MATCH($D3230,INDIRECT("'"&amp;$C3230&amp;"'!$E$12:$Y$12"),0)),0),0),0)</f>
        <v>0</v>
      </c>
      <c r="I3230" s="366" t="s">
        <v>1685</v>
      </c>
      <c r="J3230" s="348" t="str">
        <f t="shared" ca="1" si="100"/>
        <v>OK</v>
      </c>
      <c r="K3230" s="366" t="s">
        <v>1735</v>
      </c>
      <c r="L3230" s="366" t="s">
        <v>2258</v>
      </c>
      <c r="M3230" s="350" t="str">
        <f>IF($B3230="Portfolio","Portfolio",IFERROR(INDEX(DATA_ASSET_CLASSIFICATION!$B$8:$B$24,MATCH($C3230,DATA_ASSET_CLASSIFICATION!$A$8:$A$24,0)),"Review"))</f>
        <v>Natalia Terrace</v>
      </c>
      <c r="N3230" s="350" t="str">
        <f ca="1">IF($B3230="Portfolio","Portfolio",IFERROR(INDEX(DATA_ASSET_CLASSIFICATION!$U$8:$U$24,MATCH($C3230,DATA_ASSET_CLASSIFICATION!$A$8:$A$24,0)),"Review"))</f>
        <v>Refi Watch</v>
      </c>
      <c r="O3230" s="350" t="str">
        <f ca="1">IF($B3230="Portfolio","Portfolio",IFERROR(INDEX(DATA_ASSET_CLASSIFICATION!$AB$8:$AB$13,MATCH($N3230,DATA_ASSET_CLASSIFICATION!$AA$8:$AA$13,0)),"Review"))</f>
        <v>Bucket 2 · Legacy</v>
      </c>
      <c r="P3230" s="350" t="str">
        <f>IF($B3230="Portfolio","Portfolio",IFERROR(INDEX(DATA_ASSET_CLASSIFICATION!$C$8:$C$24,MATCH($C3230,DATA_ASSET_CLASSIFICATION!$A$8:$A$24,0)),"Review"))</f>
        <v>Yes</v>
      </c>
      <c r="Q3230" s="350" t="str">
        <f t="shared" ca="1" si="101"/>
        <v>OK</v>
      </c>
    </row>
    <row r="3231" spans="1:17">
      <c r="A3231" s="366" t="s">
        <v>5187</v>
      </c>
      <c r="B3231" s="366" t="s">
        <v>231</v>
      </c>
      <c r="C3231" s="348" t="str">
        <f>DATA_PROPERTY_MASTER!$A$15</f>
        <v>BLD_NT</v>
      </c>
      <c r="D3231" s="380">
        <f>'00_PORTFOLIO ROLLUP'!G$12</f>
        <v>2027</v>
      </c>
      <c r="E3231" s="366" t="s">
        <v>1721</v>
      </c>
      <c r="F3231" s="366" t="s">
        <v>39</v>
      </c>
      <c r="G3231" s="348" t="str">
        <f>"'"&amp;$C3231&amp;"'!$E$63:$Y$63"</f>
        <v>'BLD_NT'!$E$63:$Y$63</v>
      </c>
      <c r="H3231" s="381">
        <f ca="1">IF(IFERROR(INDEX(DATA_PROPERTY_MASTER!$E$5:$E$21,MATCH($C3231,DATA_PROPERTY_MASTER!$A$5:$A$21,0))="Yes",FALSE),MAX(-IFERROR(INDEX(INDIRECT("'"&amp;$C3231&amp;"'!$E$63:$Y$63"),1,MATCH($D3231,INDIRECT("'"&amp;$C3231&amp;"'!$E$12:$Y$12"),0)),0),0),0)</f>
        <v>0</v>
      </c>
      <c r="I3231" s="366" t="s">
        <v>1690</v>
      </c>
      <c r="J3231" s="348" t="str">
        <f t="shared" ca="1" si="100"/>
        <v>OK</v>
      </c>
      <c r="K3231" s="366" t="s">
        <v>1738</v>
      </c>
      <c r="L3231" s="366" t="s">
        <v>2260</v>
      </c>
      <c r="M3231" s="350" t="str">
        <f>IF($B3231="Portfolio","Portfolio",IFERROR(INDEX(DATA_ASSET_CLASSIFICATION!$B$8:$B$24,MATCH($C3231,DATA_ASSET_CLASSIFICATION!$A$8:$A$24,0)),"Review"))</f>
        <v>Natalia Terrace</v>
      </c>
      <c r="N3231" s="350" t="str">
        <f ca="1">IF($B3231="Portfolio","Portfolio",IFERROR(INDEX(DATA_ASSET_CLASSIFICATION!$U$8:$U$24,MATCH($C3231,DATA_ASSET_CLASSIFICATION!$A$8:$A$24,0)),"Review"))</f>
        <v>Refi Watch</v>
      </c>
      <c r="O3231" s="350" t="str">
        <f ca="1">IF($B3231="Portfolio","Portfolio",IFERROR(INDEX(DATA_ASSET_CLASSIFICATION!$AB$8:$AB$13,MATCH($N3231,DATA_ASSET_CLASSIFICATION!$AA$8:$AA$13,0)),"Review"))</f>
        <v>Bucket 2 · Legacy</v>
      </c>
      <c r="P3231" s="350" t="str">
        <f>IF($B3231="Portfolio","Portfolio",IFERROR(INDEX(DATA_ASSET_CLASSIFICATION!$C$8:$C$24,MATCH($C3231,DATA_ASSET_CLASSIFICATION!$A$8:$A$24,0)),"Review"))</f>
        <v>Yes</v>
      </c>
      <c r="Q3231" s="350" t="str">
        <f t="shared" ca="1" si="101"/>
        <v>OK</v>
      </c>
    </row>
    <row r="3232" spans="1:17">
      <c r="A3232" s="366" t="s">
        <v>5188</v>
      </c>
      <c r="B3232" s="366" t="s">
        <v>231</v>
      </c>
      <c r="C3232" s="348" t="str">
        <f>DATA_PROPERTY_MASTER!$A$15</f>
        <v>BLD_NT</v>
      </c>
      <c r="D3232" s="380">
        <f>'00_PORTFOLIO ROLLUP'!G$12</f>
        <v>2027</v>
      </c>
      <c r="E3232" s="366" t="s">
        <v>1741</v>
      </c>
      <c r="F3232" s="366" t="s">
        <v>41</v>
      </c>
      <c r="G3232" s="348" t="str">
        <f>"'"&amp;$C3232&amp;"'!rows 56 + positive row 63"</f>
        <v>'BLD_NT'!rows 56 + positive row 63</v>
      </c>
      <c r="H3232" s="381">
        <f ca="1">IF(IFERROR(INDEX(DATA_PROPERTY_MASTER!$E$5:$E$21,MATCH($C3232,DATA_PROPERTY_MASTER!$A$5:$A$21,0))="Yes",FALSE),IFERROR(INDEX(INDIRECT("'"&amp;$C3232&amp;"'!$E$56:$Y$56"),1,MATCH($D3232,INDIRECT("'"&amp;$C3232&amp;"'!$E$12:$Y$12"),0)),0)+MAX(IFERROR(INDEX(INDIRECT("'"&amp;$C3232&amp;"'!$E$63:$Y$63"),1,MATCH($D3232,INDIRECT("'"&amp;$C3232&amp;"'!$E$12:$Y$12"),0)),0),0),0)</f>
        <v>176293.23658239999</v>
      </c>
      <c r="I3232" s="366" t="s">
        <v>1685</v>
      </c>
      <c r="J3232" s="348" t="str">
        <f t="shared" ca="1" si="100"/>
        <v>OK</v>
      </c>
      <c r="K3232" s="366" t="s">
        <v>1742</v>
      </c>
      <c r="L3232" s="366" t="s">
        <v>2262</v>
      </c>
      <c r="M3232" s="350" t="str">
        <f>IF($B3232="Portfolio","Portfolio",IFERROR(INDEX(DATA_ASSET_CLASSIFICATION!$B$8:$B$24,MATCH($C3232,DATA_ASSET_CLASSIFICATION!$A$8:$A$24,0)),"Review"))</f>
        <v>Natalia Terrace</v>
      </c>
      <c r="N3232" s="350" t="str">
        <f ca="1">IF($B3232="Portfolio","Portfolio",IFERROR(INDEX(DATA_ASSET_CLASSIFICATION!$U$8:$U$24,MATCH($C3232,DATA_ASSET_CLASSIFICATION!$A$8:$A$24,0)),"Review"))</f>
        <v>Refi Watch</v>
      </c>
      <c r="O3232" s="350" t="str">
        <f ca="1">IF($B3232="Portfolio","Portfolio",IFERROR(INDEX(DATA_ASSET_CLASSIFICATION!$AB$8:$AB$13,MATCH($N3232,DATA_ASSET_CLASSIFICATION!$AA$8:$AA$13,0)),"Review"))</f>
        <v>Bucket 2 · Legacy</v>
      </c>
      <c r="P3232" s="350" t="str">
        <f>IF($B3232="Portfolio","Portfolio",IFERROR(INDEX(DATA_ASSET_CLASSIFICATION!$C$8:$C$24,MATCH($C3232,DATA_ASSET_CLASSIFICATION!$A$8:$A$24,0)),"Review"))</f>
        <v>Yes</v>
      </c>
      <c r="Q3232" s="350" t="str">
        <f t="shared" ca="1" si="101"/>
        <v>OK</v>
      </c>
    </row>
    <row r="3233" spans="1:17">
      <c r="A3233" s="366" t="s">
        <v>5189</v>
      </c>
      <c r="B3233" s="366" t="s">
        <v>231</v>
      </c>
      <c r="C3233" s="348" t="str">
        <f>DATA_PROPERTY_MASTER!$A$15</f>
        <v>BLD_NT</v>
      </c>
      <c r="D3233" s="380">
        <f>'00_PORTFOLIO ROLLUP'!G$12</f>
        <v>2027</v>
      </c>
      <c r="E3233" s="366" t="s">
        <v>1741</v>
      </c>
      <c r="F3233" s="366" t="s">
        <v>43</v>
      </c>
      <c r="G3233" s="348" t="str">
        <f>"'"&amp;$C3233&amp;"'!$E$68:$Y$68"</f>
        <v>'BLD_NT'!$E$68:$Y$68</v>
      </c>
      <c r="H3233" s="381">
        <f ca="1">IF(IFERROR(INDEX(DATA_PROPERTY_MASTER!$E$5:$E$21,MATCH($C3233,DATA_PROPERTY_MASTER!$A$5:$A$21,0))="Yes",FALSE),IFERROR(INDEX(INDIRECT("'"&amp;$C3233&amp;"'!$E$68:$Y$68"),1,MATCH($D3233,INDIRECT("'"&amp;$C3233&amp;"'!$E$12:$Y$12"),0)),0),0)</f>
        <v>176293.23658239999</v>
      </c>
      <c r="I3233" s="366" t="s">
        <v>1731</v>
      </c>
      <c r="J3233" s="348" t="str">
        <f t="shared" ca="1" si="100"/>
        <v>OK</v>
      </c>
      <c r="K3233" s="366" t="s">
        <v>1746</v>
      </c>
      <c r="L3233" s="366" t="s">
        <v>2264</v>
      </c>
      <c r="M3233" s="350" t="str">
        <f>IF($B3233="Portfolio","Portfolio",IFERROR(INDEX(DATA_ASSET_CLASSIFICATION!$B$8:$B$24,MATCH($C3233,DATA_ASSET_CLASSIFICATION!$A$8:$A$24,0)),"Review"))</f>
        <v>Natalia Terrace</v>
      </c>
      <c r="N3233" s="350" t="str">
        <f ca="1">IF($B3233="Portfolio","Portfolio",IFERROR(INDEX(DATA_ASSET_CLASSIFICATION!$U$8:$U$24,MATCH($C3233,DATA_ASSET_CLASSIFICATION!$A$8:$A$24,0)),"Review"))</f>
        <v>Refi Watch</v>
      </c>
      <c r="O3233" s="350" t="str">
        <f ca="1">IF($B3233="Portfolio","Portfolio",IFERROR(INDEX(DATA_ASSET_CLASSIFICATION!$AB$8:$AB$13,MATCH($N3233,DATA_ASSET_CLASSIFICATION!$AA$8:$AA$13,0)),"Review"))</f>
        <v>Bucket 2 · Legacy</v>
      </c>
      <c r="P3233" s="350" t="str">
        <f>IF($B3233="Portfolio","Portfolio",IFERROR(INDEX(DATA_ASSET_CLASSIFICATION!$C$8:$C$24,MATCH($C3233,DATA_ASSET_CLASSIFICATION!$A$8:$A$24,0)),"Review"))</f>
        <v>Yes</v>
      </c>
      <c r="Q3233" s="350" t="str">
        <f t="shared" ca="1" si="101"/>
        <v>OK</v>
      </c>
    </row>
    <row r="3234" spans="1:17">
      <c r="A3234" s="366" t="s">
        <v>5190</v>
      </c>
      <c r="B3234" s="366" t="s">
        <v>231</v>
      </c>
      <c r="C3234" s="348" t="str">
        <f>DATA_PROPERTY_MASTER!$A$15</f>
        <v>BLD_NT</v>
      </c>
      <c r="D3234" s="380">
        <f>'00_PORTFOLIO ROLLUP'!G$12</f>
        <v>2027</v>
      </c>
      <c r="E3234" s="366" t="s">
        <v>1741</v>
      </c>
      <c r="F3234" s="366" t="s">
        <v>1749</v>
      </c>
      <c r="G3234" s="348" t="str">
        <f>"'"&amp;$C3234&amp;"'!rows 56, 63, 68"</f>
        <v>'BLD_NT'!rows 56, 63, 68</v>
      </c>
      <c r="H3234" s="381">
        <f ca="1">IF(IFERROR(INDEX(DATA_PROPERTY_MASTER!$E$5:$E$21,MATCH($C3234,DATA_PROPERTY_MASTER!$A$5:$A$21,0))="Yes",FALSE),(IFERROR(INDEX(INDIRECT("'"&amp;$C3234&amp;"'!$E$56:$Y$56"),1,MATCH($D3234,INDIRECT("'"&amp;$C3234&amp;"'!$E$12:$Y$12"),0)),0)+MAX(IFERROR(INDEX(INDIRECT("'"&amp;$C3234&amp;"'!$E$63:$Y$63"),1,MATCH($D3234,INDIRECT("'"&amp;$C3234&amp;"'!$E$12:$Y$12"),0)),0),0))-(IFERROR(INDEX(INDIRECT("'"&amp;$C3234&amp;"'!$E$68:$Y$68"),1,MATCH($D3234,INDIRECT("'"&amp;$C3234&amp;"'!$E$12:$Y$12"),0)),0)),0)</f>
        <v>0</v>
      </c>
      <c r="I3234" s="366" t="s">
        <v>1750</v>
      </c>
      <c r="J3234" s="348" t="str">
        <f t="shared" ca="1" si="100"/>
        <v>OK</v>
      </c>
      <c r="K3234" s="366" t="s">
        <v>1751</v>
      </c>
      <c r="L3234" s="366" t="s">
        <v>2266</v>
      </c>
      <c r="M3234" s="350" t="str">
        <f>IF($B3234="Portfolio","Portfolio",IFERROR(INDEX(DATA_ASSET_CLASSIFICATION!$B$8:$B$24,MATCH($C3234,DATA_ASSET_CLASSIFICATION!$A$8:$A$24,0)),"Review"))</f>
        <v>Natalia Terrace</v>
      </c>
      <c r="N3234" s="350" t="str">
        <f ca="1">IF($B3234="Portfolio","Portfolio",IFERROR(INDEX(DATA_ASSET_CLASSIFICATION!$U$8:$U$24,MATCH($C3234,DATA_ASSET_CLASSIFICATION!$A$8:$A$24,0)),"Review"))</f>
        <v>Refi Watch</v>
      </c>
      <c r="O3234" s="350" t="str">
        <f ca="1">IF($B3234="Portfolio","Portfolio",IFERROR(INDEX(DATA_ASSET_CLASSIFICATION!$AB$8:$AB$13,MATCH($N3234,DATA_ASSET_CLASSIFICATION!$AA$8:$AA$13,0)),"Review"))</f>
        <v>Bucket 2 · Legacy</v>
      </c>
      <c r="P3234" s="350" t="str">
        <f>IF($B3234="Portfolio","Portfolio",IFERROR(INDEX(DATA_ASSET_CLASSIFICATION!$C$8:$C$24,MATCH($C3234,DATA_ASSET_CLASSIFICATION!$A$8:$A$24,0)),"Review"))</f>
        <v>Yes</v>
      </c>
      <c r="Q3234" s="350" t="str">
        <f t="shared" ca="1" si="101"/>
        <v>OK</v>
      </c>
    </row>
    <row r="3235" spans="1:17">
      <c r="A3235" s="366" t="s">
        <v>5191</v>
      </c>
      <c r="B3235" s="366" t="s">
        <v>231</v>
      </c>
      <c r="C3235" s="348" t="str">
        <f>DATA_PROPERTY_MASTER!$A$15</f>
        <v>BLD_NT</v>
      </c>
      <c r="D3235" s="380">
        <f>'00_PORTFOLIO ROLLUP'!H$12</f>
        <v>2028</v>
      </c>
      <c r="E3235" s="366" t="s">
        <v>1683</v>
      </c>
      <c r="F3235" s="366" t="s">
        <v>341</v>
      </c>
      <c r="G3235" s="348" t="str">
        <f>"'"&amp;$C3235&amp;"'!$E$24:$Y$24"</f>
        <v>'BLD_NT'!$E$24:$Y$24</v>
      </c>
      <c r="H3235" s="381">
        <f ca="1">IF(IFERROR(INDEX(DATA_PROPERTY_MASTER!$E$5:$E$21,MATCH($C3235,DATA_PROPERTY_MASTER!$A$5:$A$21,0))="Yes",FALSE),IFERROR(INDEX(INDIRECT("'"&amp;$C3235&amp;"'!$E$24:$Y$24"),1,MATCH($D3235,INDIRECT("'"&amp;$C3235&amp;"'!$E$12:$Y$12"),0)),0),0)</f>
        <v>768306.78150911978</v>
      </c>
      <c r="I3235" s="366" t="s">
        <v>1685</v>
      </c>
      <c r="J3235" s="348" t="str">
        <f t="shared" ca="1" si="100"/>
        <v>OK</v>
      </c>
      <c r="K3235" s="366" t="s">
        <v>1686</v>
      </c>
      <c r="L3235" s="366" t="s">
        <v>2234</v>
      </c>
      <c r="M3235" s="350" t="str">
        <f>IF($B3235="Portfolio","Portfolio",IFERROR(INDEX(DATA_ASSET_CLASSIFICATION!$B$8:$B$24,MATCH($C3235,DATA_ASSET_CLASSIFICATION!$A$8:$A$24,0)),"Review"))</f>
        <v>Natalia Terrace</v>
      </c>
      <c r="N3235" s="350" t="str">
        <f ca="1">IF($B3235="Portfolio","Portfolio",IFERROR(INDEX(DATA_ASSET_CLASSIFICATION!$U$8:$U$24,MATCH($C3235,DATA_ASSET_CLASSIFICATION!$A$8:$A$24,0)),"Review"))</f>
        <v>Refi Watch</v>
      </c>
      <c r="O3235" s="350" t="str">
        <f ca="1">IF($B3235="Portfolio","Portfolio",IFERROR(INDEX(DATA_ASSET_CLASSIFICATION!$AB$8:$AB$13,MATCH($N3235,DATA_ASSET_CLASSIFICATION!$AA$8:$AA$13,0)),"Review"))</f>
        <v>Bucket 2 · Legacy</v>
      </c>
      <c r="P3235" s="350" t="str">
        <f>IF($B3235="Portfolio","Portfolio",IFERROR(INDEX(DATA_ASSET_CLASSIFICATION!$C$8:$C$24,MATCH($C3235,DATA_ASSET_CLASSIFICATION!$A$8:$A$24,0)),"Review"))</f>
        <v>Yes</v>
      </c>
      <c r="Q3235" s="350" t="str">
        <f t="shared" ca="1" si="101"/>
        <v>OK</v>
      </c>
    </row>
    <row r="3236" spans="1:17">
      <c r="A3236" s="366" t="s">
        <v>5192</v>
      </c>
      <c r="B3236" s="366" t="s">
        <v>231</v>
      </c>
      <c r="C3236" s="348" t="str">
        <f>DATA_PROPERTY_MASTER!$A$15</f>
        <v>BLD_NT</v>
      </c>
      <c r="D3236" s="380">
        <f>'00_PORTFOLIO ROLLUP'!H$12</f>
        <v>2028</v>
      </c>
      <c r="E3236" s="366" t="s">
        <v>1683</v>
      </c>
      <c r="F3236" s="366" t="s">
        <v>355</v>
      </c>
      <c r="G3236" s="348" t="str">
        <f>"'"&amp;$C3236&amp;"'!$E$39:$Y$39"</f>
        <v>'BLD_NT'!$E$39:$Y$39</v>
      </c>
      <c r="H3236" s="381">
        <f ca="1">IF(IFERROR(INDEX(DATA_PROPERTY_MASTER!$E$5:$E$21,MATCH($C3236,DATA_PROPERTY_MASTER!$A$5:$A$21,0))="Yes",FALSE),IFERROR(INDEX(INDIRECT("'"&amp;$C3236&amp;"'!$E$39:$Y$39"),1,MATCH($D3236,INDIRECT("'"&amp;$C3236&amp;"'!$E$12:$Y$12"),0)),0),0)</f>
        <v>325009.20524800004</v>
      </c>
      <c r="I3236" s="366" t="s">
        <v>1690</v>
      </c>
      <c r="J3236" s="348" t="str">
        <f t="shared" ca="1" si="100"/>
        <v>OK</v>
      </c>
      <c r="K3236" s="366" t="s">
        <v>1686</v>
      </c>
      <c r="L3236" s="366" t="s">
        <v>2236</v>
      </c>
      <c r="M3236" s="350" t="str">
        <f>IF($B3236="Portfolio","Portfolio",IFERROR(INDEX(DATA_ASSET_CLASSIFICATION!$B$8:$B$24,MATCH($C3236,DATA_ASSET_CLASSIFICATION!$A$8:$A$24,0)),"Review"))</f>
        <v>Natalia Terrace</v>
      </c>
      <c r="N3236" s="350" t="str">
        <f ca="1">IF($B3236="Portfolio","Portfolio",IFERROR(INDEX(DATA_ASSET_CLASSIFICATION!$U$8:$U$24,MATCH($C3236,DATA_ASSET_CLASSIFICATION!$A$8:$A$24,0)),"Review"))</f>
        <v>Refi Watch</v>
      </c>
      <c r="O3236" s="350" t="str">
        <f ca="1">IF($B3236="Portfolio","Portfolio",IFERROR(INDEX(DATA_ASSET_CLASSIFICATION!$AB$8:$AB$13,MATCH($N3236,DATA_ASSET_CLASSIFICATION!$AA$8:$AA$13,0)),"Review"))</f>
        <v>Bucket 2 · Legacy</v>
      </c>
      <c r="P3236" s="350" t="str">
        <f>IF($B3236="Portfolio","Portfolio",IFERROR(INDEX(DATA_ASSET_CLASSIFICATION!$C$8:$C$24,MATCH($C3236,DATA_ASSET_CLASSIFICATION!$A$8:$A$24,0)),"Review"))</f>
        <v>Yes</v>
      </c>
      <c r="Q3236" s="350" t="str">
        <f t="shared" ca="1" si="101"/>
        <v>OK</v>
      </c>
    </row>
    <row r="3237" spans="1:17">
      <c r="A3237" s="366" t="s">
        <v>5193</v>
      </c>
      <c r="B3237" s="366" t="s">
        <v>231</v>
      </c>
      <c r="C3237" s="348" t="str">
        <f>DATA_PROPERTY_MASTER!$A$15</f>
        <v>BLD_NT</v>
      </c>
      <c r="D3237" s="380">
        <f>'00_PORTFOLIO ROLLUP'!H$12</f>
        <v>2028</v>
      </c>
      <c r="E3237" s="366" t="s">
        <v>1683</v>
      </c>
      <c r="F3237" s="366" t="s">
        <v>19</v>
      </c>
      <c r="G3237" s="348" t="str">
        <f>"'"&amp;$C3237&amp;"'!$E$41:$Y$41"</f>
        <v>'BLD_NT'!$E$41:$Y$41</v>
      </c>
      <c r="H3237" s="381">
        <f ca="1">IF(IFERROR(INDEX(DATA_PROPERTY_MASTER!$E$5:$E$21,MATCH($C3237,DATA_PROPERTY_MASTER!$A$5:$A$21,0))="Yes",FALSE),IFERROR(INDEX(INDIRECT("'"&amp;$C3237&amp;"'!$E$41:$Y$41"),1,MATCH($D3237,INDIRECT("'"&amp;$C3237&amp;"'!$E$12:$Y$12"),0)),0),0)</f>
        <v>443297.57626111974</v>
      </c>
      <c r="I3237" s="366" t="s">
        <v>1685</v>
      </c>
      <c r="J3237" s="348" t="str">
        <f t="shared" ca="1" si="100"/>
        <v>OK</v>
      </c>
      <c r="K3237" s="366" t="s">
        <v>1694</v>
      </c>
      <c r="L3237" s="366" t="s">
        <v>2238</v>
      </c>
      <c r="M3237" s="350" t="str">
        <f>IF($B3237="Portfolio","Portfolio",IFERROR(INDEX(DATA_ASSET_CLASSIFICATION!$B$8:$B$24,MATCH($C3237,DATA_ASSET_CLASSIFICATION!$A$8:$A$24,0)),"Review"))</f>
        <v>Natalia Terrace</v>
      </c>
      <c r="N3237" s="350" t="str">
        <f ca="1">IF($B3237="Portfolio","Portfolio",IFERROR(INDEX(DATA_ASSET_CLASSIFICATION!$U$8:$U$24,MATCH($C3237,DATA_ASSET_CLASSIFICATION!$A$8:$A$24,0)),"Review"))</f>
        <v>Refi Watch</v>
      </c>
      <c r="O3237" s="350" t="str">
        <f ca="1">IF($B3237="Portfolio","Portfolio",IFERROR(INDEX(DATA_ASSET_CLASSIFICATION!$AB$8:$AB$13,MATCH($N3237,DATA_ASSET_CLASSIFICATION!$AA$8:$AA$13,0)),"Review"))</f>
        <v>Bucket 2 · Legacy</v>
      </c>
      <c r="P3237" s="350" t="str">
        <f>IF($B3237="Portfolio","Portfolio",IFERROR(INDEX(DATA_ASSET_CLASSIFICATION!$C$8:$C$24,MATCH($C3237,DATA_ASSET_CLASSIFICATION!$A$8:$A$24,0)),"Review"))</f>
        <v>Yes</v>
      </c>
      <c r="Q3237" s="350" t="str">
        <f t="shared" ca="1" si="101"/>
        <v>OK</v>
      </c>
    </row>
    <row r="3238" spans="1:17">
      <c r="A3238" s="366" t="s">
        <v>5194</v>
      </c>
      <c r="B3238" s="366" t="s">
        <v>231</v>
      </c>
      <c r="C3238" s="348" t="str">
        <f>DATA_PROPERTY_MASTER!$A$15</f>
        <v>BLD_NT</v>
      </c>
      <c r="D3238" s="380">
        <f>'00_PORTFOLIO ROLLUP'!H$12</f>
        <v>2028</v>
      </c>
      <c r="E3238" s="366" t="s">
        <v>1683</v>
      </c>
      <c r="F3238" s="366" t="s">
        <v>1697</v>
      </c>
      <c r="G3238" s="348" t="str">
        <f>"'"&amp;$C3238&amp;"'!$E$44:$Y$44"</f>
        <v>'BLD_NT'!$E$44:$Y$44</v>
      </c>
      <c r="H3238" s="381">
        <f ca="1">IF(IFERROR(INDEX(DATA_PROPERTY_MASTER!$E$5:$E$21,MATCH($C3238,DATA_PROPERTY_MASTER!$A$5:$A$21,0))="Yes",FALSE),IFERROR(INDEX(INDIRECT("'"&amp;$C3238&amp;"'!$E$44:$Y$44"),1,MATCH($D3238,INDIRECT("'"&amp;$C3238&amp;"'!$E$12:$Y$12"),0)),0),0)</f>
        <v>6367.2479999999996</v>
      </c>
      <c r="I3238" s="366" t="s">
        <v>1690</v>
      </c>
      <c r="J3238" s="348" t="str">
        <f t="shared" ca="1" si="100"/>
        <v>OK</v>
      </c>
      <c r="K3238" s="366" t="s">
        <v>1699</v>
      </c>
      <c r="L3238" s="366" t="s">
        <v>2240</v>
      </c>
      <c r="M3238" s="350" t="str">
        <f>IF($B3238="Portfolio","Portfolio",IFERROR(INDEX(DATA_ASSET_CLASSIFICATION!$B$8:$B$24,MATCH($C3238,DATA_ASSET_CLASSIFICATION!$A$8:$A$24,0)),"Review"))</f>
        <v>Natalia Terrace</v>
      </c>
      <c r="N3238" s="350" t="str">
        <f ca="1">IF($B3238="Portfolio","Portfolio",IFERROR(INDEX(DATA_ASSET_CLASSIFICATION!$U$8:$U$24,MATCH($C3238,DATA_ASSET_CLASSIFICATION!$A$8:$A$24,0)),"Review"))</f>
        <v>Refi Watch</v>
      </c>
      <c r="O3238" s="350" t="str">
        <f ca="1">IF($B3238="Portfolio","Portfolio",IFERROR(INDEX(DATA_ASSET_CLASSIFICATION!$AB$8:$AB$13,MATCH($N3238,DATA_ASSET_CLASSIFICATION!$AA$8:$AA$13,0)),"Review"))</f>
        <v>Bucket 2 · Legacy</v>
      </c>
      <c r="P3238" s="350" t="str">
        <f>IF($B3238="Portfolio","Portfolio",IFERROR(INDEX(DATA_ASSET_CLASSIFICATION!$C$8:$C$24,MATCH($C3238,DATA_ASSET_CLASSIFICATION!$A$8:$A$24,0)),"Review"))</f>
        <v>Yes</v>
      </c>
      <c r="Q3238" s="350" t="str">
        <f t="shared" ca="1" si="101"/>
        <v>OK</v>
      </c>
    </row>
    <row r="3239" spans="1:17">
      <c r="A3239" s="366" t="s">
        <v>5195</v>
      </c>
      <c r="B3239" s="366" t="s">
        <v>231</v>
      </c>
      <c r="C3239" s="348" t="str">
        <f>DATA_PROPERTY_MASTER!$A$15</f>
        <v>BLD_NT</v>
      </c>
      <c r="D3239" s="380">
        <f>'00_PORTFOLIO ROLLUP'!H$12</f>
        <v>2028</v>
      </c>
      <c r="E3239" s="366" t="s">
        <v>1683</v>
      </c>
      <c r="F3239" s="366" t="s">
        <v>21</v>
      </c>
      <c r="G3239" s="348" t="str">
        <f>"'"&amp;$C3239&amp;"'!$E$45:$Y$45"</f>
        <v>'BLD_NT'!$E$45:$Y$45</v>
      </c>
      <c r="H3239" s="381">
        <f ca="1">IF(IFERROR(INDEX(DATA_PROPERTY_MASTER!$E$5:$E$21,MATCH($C3239,DATA_PROPERTY_MASTER!$A$5:$A$21,0))="Yes",FALSE),IFERROR(INDEX(INDIRECT("'"&amp;$C3239&amp;"'!$E$45:$Y$45"),1,MATCH($D3239,INDIRECT("'"&amp;$C3239&amp;"'!$E$12:$Y$12"),0)),0),0)</f>
        <v>436930.32826111972</v>
      </c>
      <c r="I3239" s="366" t="s">
        <v>1685</v>
      </c>
      <c r="J3239" s="348" t="str">
        <f t="shared" ca="1" si="100"/>
        <v>OK</v>
      </c>
      <c r="K3239" s="366" t="s">
        <v>1694</v>
      </c>
      <c r="L3239" s="366" t="s">
        <v>2242</v>
      </c>
      <c r="M3239" s="350" t="str">
        <f>IF($B3239="Portfolio","Portfolio",IFERROR(INDEX(DATA_ASSET_CLASSIFICATION!$B$8:$B$24,MATCH($C3239,DATA_ASSET_CLASSIFICATION!$A$8:$A$24,0)),"Review"))</f>
        <v>Natalia Terrace</v>
      </c>
      <c r="N3239" s="350" t="str">
        <f ca="1">IF($B3239="Portfolio","Portfolio",IFERROR(INDEX(DATA_ASSET_CLASSIFICATION!$U$8:$U$24,MATCH($C3239,DATA_ASSET_CLASSIFICATION!$A$8:$A$24,0)),"Review"))</f>
        <v>Refi Watch</v>
      </c>
      <c r="O3239" s="350" t="str">
        <f ca="1">IF($B3239="Portfolio","Portfolio",IFERROR(INDEX(DATA_ASSET_CLASSIFICATION!$AB$8:$AB$13,MATCH($N3239,DATA_ASSET_CLASSIFICATION!$AA$8:$AA$13,0)),"Review"))</f>
        <v>Bucket 2 · Legacy</v>
      </c>
      <c r="P3239" s="350" t="str">
        <f>IF($B3239="Portfolio","Portfolio",IFERROR(INDEX(DATA_ASSET_CLASSIFICATION!$C$8:$C$24,MATCH($C3239,DATA_ASSET_CLASSIFICATION!$A$8:$A$24,0)),"Review"))</f>
        <v>Yes</v>
      </c>
      <c r="Q3239" s="350" t="str">
        <f t="shared" ca="1" si="101"/>
        <v>OK</v>
      </c>
    </row>
    <row r="3240" spans="1:17">
      <c r="A3240" s="366" t="s">
        <v>5196</v>
      </c>
      <c r="B3240" s="366" t="s">
        <v>231</v>
      </c>
      <c r="C3240" s="348" t="str">
        <f>DATA_PROPERTY_MASTER!$A$15</f>
        <v>BLD_NT</v>
      </c>
      <c r="D3240" s="380">
        <f>'00_PORTFOLIO ROLLUP'!H$12</f>
        <v>2028</v>
      </c>
      <c r="E3240" s="366" t="s">
        <v>23</v>
      </c>
      <c r="F3240" s="366" t="s">
        <v>23</v>
      </c>
      <c r="G3240" s="348" t="str">
        <f>"'"&amp;$C3240&amp;"'!$E$48:$Y$48"</f>
        <v>'BLD_NT'!$E$48:$Y$48</v>
      </c>
      <c r="H3240" s="381">
        <f ca="1">IF(IFERROR(INDEX(DATA_PROPERTY_MASTER!$E$5:$E$21,MATCH($C3240,DATA_PROPERTY_MASTER!$A$5:$A$21,0))="Yes",FALSE),IFERROR(INDEX(INDIRECT("'"&amp;$C3240&amp;"'!$E$48:$Y$48"),1,MATCH($D3240,INDIRECT("'"&amp;$C3240&amp;"'!$E$12:$Y$12"),0)),0),0)</f>
        <v>0</v>
      </c>
      <c r="I3240" s="366" t="s">
        <v>1690</v>
      </c>
      <c r="J3240" s="348" t="str">
        <f t="shared" ca="1" si="100"/>
        <v>OK</v>
      </c>
      <c r="K3240" s="366" t="s">
        <v>1706</v>
      </c>
      <c r="L3240" s="366" t="s">
        <v>2244</v>
      </c>
      <c r="M3240" s="350" t="str">
        <f>IF($B3240="Portfolio","Portfolio",IFERROR(INDEX(DATA_ASSET_CLASSIFICATION!$B$8:$B$24,MATCH($C3240,DATA_ASSET_CLASSIFICATION!$A$8:$A$24,0)),"Review"))</f>
        <v>Natalia Terrace</v>
      </c>
      <c r="N3240" s="350" t="str">
        <f ca="1">IF($B3240="Portfolio","Portfolio",IFERROR(INDEX(DATA_ASSET_CLASSIFICATION!$U$8:$U$24,MATCH($C3240,DATA_ASSET_CLASSIFICATION!$A$8:$A$24,0)),"Review"))</f>
        <v>Refi Watch</v>
      </c>
      <c r="O3240" s="350" t="str">
        <f ca="1">IF($B3240="Portfolio","Portfolio",IFERROR(INDEX(DATA_ASSET_CLASSIFICATION!$AB$8:$AB$13,MATCH($N3240,DATA_ASSET_CLASSIFICATION!$AA$8:$AA$13,0)),"Review"))</f>
        <v>Bucket 2 · Legacy</v>
      </c>
      <c r="P3240" s="350" t="str">
        <f>IF($B3240="Portfolio","Portfolio",IFERROR(INDEX(DATA_ASSET_CLASSIFICATION!$C$8:$C$24,MATCH($C3240,DATA_ASSET_CLASSIFICATION!$A$8:$A$24,0)),"Review"))</f>
        <v>Yes</v>
      </c>
      <c r="Q3240" s="350" t="str">
        <f t="shared" ca="1" si="101"/>
        <v>OK</v>
      </c>
    </row>
    <row r="3241" spans="1:17">
      <c r="A3241" s="366" t="s">
        <v>5197</v>
      </c>
      <c r="B3241" s="366" t="s">
        <v>231</v>
      </c>
      <c r="C3241" s="348" t="str">
        <f>DATA_PROPERTY_MASTER!$A$15</f>
        <v>BLD_NT</v>
      </c>
      <c r="D3241" s="380">
        <f>'00_PORTFOLIO ROLLUP'!H$12</f>
        <v>2028</v>
      </c>
      <c r="E3241" s="366" t="s">
        <v>1683</v>
      </c>
      <c r="F3241" s="366" t="s">
        <v>25</v>
      </c>
      <c r="G3241" s="348" t="str">
        <f>"'"&amp;$C3241&amp;"'!$E$52:$Y$52"</f>
        <v>'BLD_NT'!$E$52:$Y$52</v>
      </c>
      <c r="H3241" s="381">
        <f ca="1">IF(IFERROR(INDEX(DATA_PROPERTY_MASTER!$E$5:$E$21,MATCH($C3241,DATA_PROPERTY_MASTER!$A$5:$A$21,0))="Yes",FALSE),IFERROR(INDEX(INDIRECT("'"&amp;$C3241&amp;"'!$E$52:$Y$52"),1,MATCH($D3241,INDIRECT("'"&amp;$C3241&amp;"'!$E$12:$Y$12"),0)),0),0)</f>
        <v>443297.57626111974</v>
      </c>
      <c r="I3241" s="366" t="s">
        <v>1685</v>
      </c>
      <c r="J3241" s="348" t="str">
        <f t="shared" ca="1" si="100"/>
        <v>OK</v>
      </c>
      <c r="K3241" s="366" t="s">
        <v>1710</v>
      </c>
      <c r="L3241" s="366" t="s">
        <v>2246</v>
      </c>
      <c r="M3241" s="350" t="str">
        <f>IF($B3241="Portfolio","Portfolio",IFERROR(INDEX(DATA_ASSET_CLASSIFICATION!$B$8:$B$24,MATCH($C3241,DATA_ASSET_CLASSIFICATION!$A$8:$A$24,0)),"Review"))</f>
        <v>Natalia Terrace</v>
      </c>
      <c r="N3241" s="350" t="str">
        <f ca="1">IF($B3241="Portfolio","Portfolio",IFERROR(INDEX(DATA_ASSET_CLASSIFICATION!$U$8:$U$24,MATCH($C3241,DATA_ASSET_CLASSIFICATION!$A$8:$A$24,0)),"Review"))</f>
        <v>Refi Watch</v>
      </c>
      <c r="O3241" s="350" t="str">
        <f ca="1">IF($B3241="Portfolio","Portfolio",IFERROR(INDEX(DATA_ASSET_CLASSIFICATION!$AB$8:$AB$13,MATCH($N3241,DATA_ASSET_CLASSIFICATION!$AA$8:$AA$13,0)),"Review"))</f>
        <v>Bucket 2 · Legacy</v>
      </c>
      <c r="P3241" s="350" t="str">
        <f>IF($B3241="Portfolio","Portfolio",IFERROR(INDEX(DATA_ASSET_CLASSIFICATION!$C$8:$C$24,MATCH($C3241,DATA_ASSET_CLASSIFICATION!$A$8:$A$24,0)),"Review"))</f>
        <v>Yes</v>
      </c>
      <c r="Q3241" s="350" t="str">
        <f t="shared" ca="1" si="101"/>
        <v>OK</v>
      </c>
    </row>
    <row r="3242" spans="1:17">
      <c r="A3242" s="366" t="s">
        <v>5198</v>
      </c>
      <c r="B3242" s="366" t="s">
        <v>231</v>
      </c>
      <c r="C3242" s="348" t="str">
        <f>DATA_PROPERTY_MASTER!$A$15</f>
        <v>BLD_NT</v>
      </c>
      <c r="D3242" s="380">
        <f>'00_PORTFOLIO ROLLUP'!H$12</f>
        <v>2028</v>
      </c>
      <c r="E3242" s="366" t="s">
        <v>1683</v>
      </c>
      <c r="F3242" s="366" t="s">
        <v>27</v>
      </c>
      <c r="G3242" s="348" t="str">
        <f>"'"&amp;$C3242&amp;"'!$E$54:$Y$54"</f>
        <v>'BLD_NT'!$E$54:$Y$54</v>
      </c>
      <c r="H3242" s="381">
        <f ca="1">IF(IFERROR(INDEX(DATA_PROPERTY_MASTER!$E$5:$E$21,MATCH($C3242,DATA_PROPERTY_MASTER!$A$5:$A$21,0))="Yes",FALSE),IFERROR(INDEX(INDIRECT("'"&amp;$C3242&amp;"'!$E$54:$Y$54"),1,MATCH($D3242,INDIRECT("'"&amp;$C3242&amp;"'!$E$12:$Y$12"),0)),0),0)</f>
        <v>265978.54575667181</v>
      </c>
      <c r="I3242" s="366" t="s">
        <v>1690</v>
      </c>
      <c r="J3242" s="348" t="str">
        <f t="shared" ca="1" si="100"/>
        <v>OK</v>
      </c>
      <c r="K3242" s="366" t="s">
        <v>1714</v>
      </c>
      <c r="L3242" s="366" t="s">
        <v>2248</v>
      </c>
      <c r="M3242" s="350" t="str">
        <f>IF($B3242="Portfolio","Portfolio",IFERROR(INDEX(DATA_ASSET_CLASSIFICATION!$B$8:$B$24,MATCH($C3242,DATA_ASSET_CLASSIFICATION!$A$8:$A$24,0)),"Review"))</f>
        <v>Natalia Terrace</v>
      </c>
      <c r="N3242" s="350" t="str">
        <f ca="1">IF($B3242="Portfolio","Portfolio",IFERROR(INDEX(DATA_ASSET_CLASSIFICATION!$U$8:$U$24,MATCH($C3242,DATA_ASSET_CLASSIFICATION!$A$8:$A$24,0)),"Review"))</f>
        <v>Refi Watch</v>
      </c>
      <c r="O3242" s="350" t="str">
        <f ca="1">IF($B3242="Portfolio","Portfolio",IFERROR(INDEX(DATA_ASSET_CLASSIFICATION!$AB$8:$AB$13,MATCH($N3242,DATA_ASSET_CLASSIFICATION!$AA$8:$AA$13,0)),"Review"))</f>
        <v>Bucket 2 · Legacy</v>
      </c>
      <c r="P3242" s="350" t="str">
        <f>IF($B3242="Portfolio","Portfolio",IFERROR(INDEX(DATA_ASSET_CLASSIFICATION!$C$8:$C$24,MATCH($C3242,DATA_ASSET_CLASSIFICATION!$A$8:$A$24,0)),"Review"))</f>
        <v>Yes</v>
      </c>
      <c r="Q3242" s="350" t="str">
        <f t="shared" ca="1" si="101"/>
        <v>OK</v>
      </c>
    </row>
    <row r="3243" spans="1:17">
      <c r="A3243" s="366" t="s">
        <v>5199</v>
      </c>
      <c r="B3243" s="366" t="s">
        <v>231</v>
      </c>
      <c r="C3243" s="348" t="str">
        <f>DATA_PROPERTY_MASTER!$A$15</f>
        <v>BLD_NT</v>
      </c>
      <c r="D3243" s="380">
        <f>'00_PORTFOLIO ROLLUP'!H$12</f>
        <v>2028</v>
      </c>
      <c r="E3243" s="366" t="s">
        <v>1683</v>
      </c>
      <c r="F3243" s="366" t="s">
        <v>29</v>
      </c>
      <c r="G3243" s="348" t="str">
        <f>"'"&amp;$C3243&amp;"'!$E$56:$Y$56"</f>
        <v>'BLD_NT'!$E$56:$Y$56</v>
      </c>
      <c r="H3243" s="381">
        <f ca="1">IF(IFERROR(INDEX(DATA_PROPERTY_MASTER!$E$5:$E$21,MATCH($C3243,DATA_PROPERTY_MASTER!$A$5:$A$21,0))="Yes",FALSE),IFERROR(INDEX(INDIRECT("'"&amp;$C3243&amp;"'!$E$56:$Y$56"),1,MATCH($D3243,INDIRECT("'"&amp;$C3243&amp;"'!$E$12:$Y$12"),0)),0),0)</f>
        <v>177319.03050444793</v>
      </c>
      <c r="I3243" s="366" t="s">
        <v>1685</v>
      </c>
      <c r="J3243" s="348" t="str">
        <f t="shared" ca="1" si="100"/>
        <v>OK</v>
      </c>
      <c r="K3243" s="366" t="s">
        <v>1718</v>
      </c>
      <c r="L3243" s="366" t="s">
        <v>2250</v>
      </c>
      <c r="M3243" s="350" t="str">
        <f>IF($B3243="Portfolio","Portfolio",IFERROR(INDEX(DATA_ASSET_CLASSIFICATION!$B$8:$B$24,MATCH($C3243,DATA_ASSET_CLASSIFICATION!$A$8:$A$24,0)),"Review"))</f>
        <v>Natalia Terrace</v>
      </c>
      <c r="N3243" s="350" t="str">
        <f ca="1">IF($B3243="Portfolio","Portfolio",IFERROR(INDEX(DATA_ASSET_CLASSIFICATION!$U$8:$U$24,MATCH($C3243,DATA_ASSET_CLASSIFICATION!$A$8:$A$24,0)),"Review"))</f>
        <v>Refi Watch</v>
      </c>
      <c r="O3243" s="350" t="str">
        <f ca="1">IF($B3243="Portfolio","Portfolio",IFERROR(INDEX(DATA_ASSET_CLASSIFICATION!$AB$8:$AB$13,MATCH($N3243,DATA_ASSET_CLASSIFICATION!$AA$8:$AA$13,0)),"Review"))</f>
        <v>Bucket 2 · Legacy</v>
      </c>
      <c r="P3243" s="350" t="str">
        <f>IF($B3243="Portfolio","Portfolio",IFERROR(INDEX(DATA_ASSET_CLASSIFICATION!$C$8:$C$24,MATCH($C3243,DATA_ASSET_CLASSIFICATION!$A$8:$A$24,0)),"Review"))</f>
        <v>Yes</v>
      </c>
      <c r="Q3243" s="350" t="str">
        <f t="shared" ca="1" si="101"/>
        <v>OK</v>
      </c>
    </row>
    <row r="3244" spans="1:17">
      <c r="A3244" s="366" t="s">
        <v>5200</v>
      </c>
      <c r="B3244" s="366" t="s">
        <v>231</v>
      </c>
      <c r="C3244" s="348" t="str">
        <f>DATA_PROPERTY_MASTER!$A$15</f>
        <v>BLD_NT</v>
      </c>
      <c r="D3244" s="380">
        <f>'00_PORTFOLIO ROLLUP'!H$12</f>
        <v>2028</v>
      </c>
      <c r="E3244" s="366" t="s">
        <v>1721</v>
      </c>
      <c r="F3244" s="366" t="s">
        <v>31</v>
      </c>
      <c r="G3244" s="348" t="str">
        <f>"'"&amp;$C3244&amp;"'!$E$61:$Y$61"</f>
        <v>'BLD_NT'!$E$61:$Y$61</v>
      </c>
      <c r="H3244" s="381">
        <f ca="1">IF(IFERROR(INDEX(DATA_PROPERTY_MASTER!$E$5:$E$21,MATCH($C3244,DATA_PROPERTY_MASTER!$A$5:$A$21,0))="Yes",FALSE),IFERROR(INDEX(INDIRECT("'"&amp;$C3244&amp;"'!$E$61:$Y$61"),1,MATCH($D3244,INDIRECT("'"&amp;$C3244&amp;"'!$E$12:$Y$12"),0)),0),0)</f>
        <v>0</v>
      </c>
      <c r="I3244" s="366" t="s">
        <v>1690</v>
      </c>
      <c r="J3244" s="348" t="str">
        <f t="shared" ca="1" si="100"/>
        <v>OK</v>
      </c>
      <c r="K3244" s="366" t="s">
        <v>1723</v>
      </c>
      <c r="L3244" s="366" t="s">
        <v>2252</v>
      </c>
      <c r="M3244" s="350" t="str">
        <f>IF($B3244="Portfolio","Portfolio",IFERROR(INDEX(DATA_ASSET_CLASSIFICATION!$B$8:$B$24,MATCH($C3244,DATA_ASSET_CLASSIFICATION!$A$8:$A$24,0)),"Review"))</f>
        <v>Natalia Terrace</v>
      </c>
      <c r="N3244" s="350" t="str">
        <f ca="1">IF($B3244="Portfolio","Portfolio",IFERROR(INDEX(DATA_ASSET_CLASSIFICATION!$U$8:$U$24,MATCH($C3244,DATA_ASSET_CLASSIFICATION!$A$8:$A$24,0)),"Review"))</f>
        <v>Refi Watch</v>
      </c>
      <c r="O3244" s="350" t="str">
        <f ca="1">IF($B3244="Portfolio","Portfolio",IFERROR(INDEX(DATA_ASSET_CLASSIFICATION!$AB$8:$AB$13,MATCH($N3244,DATA_ASSET_CLASSIFICATION!$AA$8:$AA$13,0)),"Review"))</f>
        <v>Bucket 2 · Legacy</v>
      </c>
      <c r="P3244" s="350" t="str">
        <f>IF($B3244="Portfolio","Portfolio",IFERROR(INDEX(DATA_ASSET_CLASSIFICATION!$C$8:$C$24,MATCH($C3244,DATA_ASSET_CLASSIFICATION!$A$8:$A$24,0)),"Review"))</f>
        <v>Yes</v>
      </c>
      <c r="Q3244" s="350" t="str">
        <f t="shared" ca="1" si="101"/>
        <v>OK</v>
      </c>
    </row>
    <row r="3245" spans="1:17">
      <c r="A3245" s="366" t="s">
        <v>5201</v>
      </c>
      <c r="B3245" s="366" t="s">
        <v>231</v>
      </c>
      <c r="C3245" s="348" t="str">
        <f>DATA_PROPERTY_MASTER!$A$15</f>
        <v>BLD_NT</v>
      </c>
      <c r="D3245" s="380">
        <f>'00_PORTFOLIO ROLLUP'!H$12</f>
        <v>2028</v>
      </c>
      <c r="E3245" s="366" t="s">
        <v>1721</v>
      </c>
      <c r="F3245" s="366" t="s">
        <v>33</v>
      </c>
      <c r="G3245" s="348" t="str">
        <f>"'"&amp;$C3245&amp;"'!$E$62:$Y$62"</f>
        <v>'BLD_NT'!$E$62:$Y$62</v>
      </c>
      <c r="H3245" s="381">
        <f ca="1">IF(IFERROR(INDEX(DATA_PROPERTY_MASTER!$E$5:$E$21,MATCH($C3245,DATA_PROPERTY_MASTER!$A$5:$A$21,0))="Yes",FALSE),IFERROR(INDEX(INDIRECT("'"&amp;$C3245&amp;"'!$E$62:$Y$62"),1,MATCH($D3245,INDIRECT("'"&amp;$C3245&amp;"'!$E$12:$Y$12"),0)),0),0)</f>
        <v>0</v>
      </c>
      <c r="I3245" s="366" t="s">
        <v>1685</v>
      </c>
      <c r="J3245" s="348" t="str">
        <f t="shared" ca="1" si="100"/>
        <v>OK</v>
      </c>
      <c r="K3245" s="366" t="s">
        <v>1727</v>
      </c>
      <c r="L3245" s="366" t="s">
        <v>2254</v>
      </c>
      <c r="M3245" s="350" t="str">
        <f>IF($B3245="Portfolio","Portfolio",IFERROR(INDEX(DATA_ASSET_CLASSIFICATION!$B$8:$B$24,MATCH($C3245,DATA_ASSET_CLASSIFICATION!$A$8:$A$24,0)),"Review"))</f>
        <v>Natalia Terrace</v>
      </c>
      <c r="N3245" s="350" t="str">
        <f ca="1">IF($B3245="Portfolio","Portfolio",IFERROR(INDEX(DATA_ASSET_CLASSIFICATION!$U$8:$U$24,MATCH($C3245,DATA_ASSET_CLASSIFICATION!$A$8:$A$24,0)),"Review"))</f>
        <v>Refi Watch</v>
      </c>
      <c r="O3245" s="350" t="str">
        <f ca="1">IF($B3245="Portfolio","Portfolio",IFERROR(INDEX(DATA_ASSET_CLASSIFICATION!$AB$8:$AB$13,MATCH($N3245,DATA_ASSET_CLASSIFICATION!$AA$8:$AA$13,0)),"Review"))</f>
        <v>Bucket 2 · Legacy</v>
      </c>
      <c r="P3245" s="350" t="str">
        <f>IF($B3245="Portfolio","Portfolio",IFERROR(INDEX(DATA_ASSET_CLASSIFICATION!$C$8:$C$24,MATCH($C3245,DATA_ASSET_CLASSIFICATION!$A$8:$A$24,0)),"Review"))</f>
        <v>Yes</v>
      </c>
      <c r="Q3245" s="350" t="str">
        <f t="shared" ca="1" si="101"/>
        <v>OK</v>
      </c>
    </row>
    <row r="3246" spans="1:17">
      <c r="A3246" s="366" t="s">
        <v>5202</v>
      </c>
      <c r="B3246" s="366" t="s">
        <v>231</v>
      </c>
      <c r="C3246" s="348" t="str">
        <f>DATA_PROPERTY_MASTER!$A$15</f>
        <v>BLD_NT</v>
      </c>
      <c r="D3246" s="380">
        <f>'00_PORTFOLIO ROLLUP'!H$12</f>
        <v>2028</v>
      </c>
      <c r="E3246" s="366" t="s">
        <v>1721</v>
      </c>
      <c r="F3246" s="366" t="s">
        <v>35</v>
      </c>
      <c r="G3246" s="348" t="str">
        <f>"'"&amp;$C3246&amp;"'!$E$63:$Y$63"</f>
        <v>'BLD_NT'!$E$63:$Y$63</v>
      </c>
      <c r="H3246" s="381">
        <f ca="1">IF(IFERROR(INDEX(DATA_PROPERTY_MASTER!$E$5:$E$21,MATCH($C3246,DATA_PROPERTY_MASTER!$A$5:$A$21,0))="Yes",FALSE),IFERROR(INDEX(INDIRECT("'"&amp;$C3246&amp;"'!$E$63:$Y$63"),1,MATCH($D3246,INDIRECT("'"&amp;$C3246&amp;"'!$E$12:$Y$12"),0)),0),0)</f>
        <v>0</v>
      </c>
      <c r="I3246" s="366" t="s">
        <v>1731</v>
      </c>
      <c r="J3246" s="348" t="str">
        <f t="shared" ca="1" si="100"/>
        <v>OK</v>
      </c>
      <c r="K3246" s="366" t="s">
        <v>1732</v>
      </c>
      <c r="L3246" s="366" t="s">
        <v>2256</v>
      </c>
      <c r="M3246" s="350" t="str">
        <f>IF($B3246="Portfolio","Portfolio",IFERROR(INDEX(DATA_ASSET_CLASSIFICATION!$B$8:$B$24,MATCH($C3246,DATA_ASSET_CLASSIFICATION!$A$8:$A$24,0)),"Review"))</f>
        <v>Natalia Terrace</v>
      </c>
      <c r="N3246" s="350" t="str">
        <f ca="1">IF($B3246="Portfolio","Portfolio",IFERROR(INDEX(DATA_ASSET_CLASSIFICATION!$U$8:$U$24,MATCH($C3246,DATA_ASSET_CLASSIFICATION!$A$8:$A$24,0)),"Review"))</f>
        <v>Refi Watch</v>
      </c>
      <c r="O3246" s="350" t="str">
        <f ca="1">IF($B3246="Portfolio","Portfolio",IFERROR(INDEX(DATA_ASSET_CLASSIFICATION!$AB$8:$AB$13,MATCH($N3246,DATA_ASSET_CLASSIFICATION!$AA$8:$AA$13,0)),"Review"))</f>
        <v>Bucket 2 · Legacy</v>
      </c>
      <c r="P3246" s="350" t="str">
        <f>IF($B3246="Portfolio","Portfolio",IFERROR(INDEX(DATA_ASSET_CLASSIFICATION!$C$8:$C$24,MATCH($C3246,DATA_ASSET_CLASSIFICATION!$A$8:$A$24,0)),"Review"))</f>
        <v>Yes</v>
      </c>
      <c r="Q3246" s="350" t="str">
        <f t="shared" ca="1" si="101"/>
        <v>OK</v>
      </c>
    </row>
    <row r="3247" spans="1:17">
      <c r="A3247" s="366" t="s">
        <v>5203</v>
      </c>
      <c r="B3247" s="366" t="s">
        <v>231</v>
      </c>
      <c r="C3247" s="348" t="str">
        <f>DATA_PROPERTY_MASTER!$A$15</f>
        <v>BLD_NT</v>
      </c>
      <c r="D3247" s="380">
        <f>'00_PORTFOLIO ROLLUP'!H$12</f>
        <v>2028</v>
      </c>
      <c r="E3247" s="366" t="s">
        <v>1721</v>
      </c>
      <c r="F3247" s="366" t="s">
        <v>37</v>
      </c>
      <c r="G3247" s="348" t="str">
        <f>"'"&amp;$C3247&amp;"'!$E$63:$Y$63"</f>
        <v>'BLD_NT'!$E$63:$Y$63</v>
      </c>
      <c r="H3247" s="381">
        <f ca="1">IF(IFERROR(INDEX(DATA_PROPERTY_MASTER!$E$5:$E$21,MATCH($C3247,DATA_PROPERTY_MASTER!$A$5:$A$21,0))="Yes",FALSE),MAX(IFERROR(INDEX(INDIRECT("'"&amp;$C3247&amp;"'!$E$63:$Y$63"),1,MATCH($D3247,INDIRECT("'"&amp;$C3247&amp;"'!$E$12:$Y$12"),0)),0),0),0)</f>
        <v>0</v>
      </c>
      <c r="I3247" s="366" t="s">
        <v>1685</v>
      </c>
      <c r="J3247" s="348" t="str">
        <f t="shared" ca="1" si="100"/>
        <v>OK</v>
      </c>
      <c r="K3247" s="366" t="s">
        <v>1735</v>
      </c>
      <c r="L3247" s="366" t="s">
        <v>2258</v>
      </c>
      <c r="M3247" s="350" t="str">
        <f>IF($B3247="Portfolio","Portfolio",IFERROR(INDEX(DATA_ASSET_CLASSIFICATION!$B$8:$B$24,MATCH($C3247,DATA_ASSET_CLASSIFICATION!$A$8:$A$24,0)),"Review"))</f>
        <v>Natalia Terrace</v>
      </c>
      <c r="N3247" s="350" t="str">
        <f ca="1">IF($B3247="Portfolio","Portfolio",IFERROR(INDEX(DATA_ASSET_CLASSIFICATION!$U$8:$U$24,MATCH($C3247,DATA_ASSET_CLASSIFICATION!$A$8:$A$24,0)),"Review"))</f>
        <v>Refi Watch</v>
      </c>
      <c r="O3247" s="350" t="str">
        <f ca="1">IF($B3247="Portfolio","Portfolio",IFERROR(INDEX(DATA_ASSET_CLASSIFICATION!$AB$8:$AB$13,MATCH($N3247,DATA_ASSET_CLASSIFICATION!$AA$8:$AA$13,0)),"Review"))</f>
        <v>Bucket 2 · Legacy</v>
      </c>
      <c r="P3247" s="350" t="str">
        <f>IF($B3247="Portfolio","Portfolio",IFERROR(INDEX(DATA_ASSET_CLASSIFICATION!$C$8:$C$24,MATCH($C3247,DATA_ASSET_CLASSIFICATION!$A$8:$A$24,0)),"Review"))</f>
        <v>Yes</v>
      </c>
      <c r="Q3247" s="350" t="str">
        <f t="shared" ca="1" si="101"/>
        <v>OK</v>
      </c>
    </row>
    <row r="3248" spans="1:17">
      <c r="A3248" s="366" t="s">
        <v>5204</v>
      </c>
      <c r="B3248" s="366" t="s">
        <v>231</v>
      </c>
      <c r="C3248" s="348" t="str">
        <f>DATA_PROPERTY_MASTER!$A$15</f>
        <v>BLD_NT</v>
      </c>
      <c r="D3248" s="380">
        <f>'00_PORTFOLIO ROLLUP'!H$12</f>
        <v>2028</v>
      </c>
      <c r="E3248" s="366" t="s">
        <v>1721</v>
      </c>
      <c r="F3248" s="366" t="s">
        <v>39</v>
      </c>
      <c r="G3248" s="348" t="str">
        <f>"'"&amp;$C3248&amp;"'!$E$63:$Y$63"</f>
        <v>'BLD_NT'!$E$63:$Y$63</v>
      </c>
      <c r="H3248" s="381">
        <f ca="1">IF(IFERROR(INDEX(DATA_PROPERTY_MASTER!$E$5:$E$21,MATCH($C3248,DATA_PROPERTY_MASTER!$A$5:$A$21,0))="Yes",FALSE),MAX(-IFERROR(INDEX(INDIRECT("'"&amp;$C3248&amp;"'!$E$63:$Y$63"),1,MATCH($D3248,INDIRECT("'"&amp;$C3248&amp;"'!$E$12:$Y$12"),0)),0),0),0)</f>
        <v>0</v>
      </c>
      <c r="I3248" s="366" t="s">
        <v>1690</v>
      </c>
      <c r="J3248" s="348" t="str">
        <f t="shared" ca="1" si="100"/>
        <v>OK</v>
      </c>
      <c r="K3248" s="366" t="s">
        <v>1738</v>
      </c>
      <c r="L3248" s="366" t="s">
        <v>2260</v>
      </c>
      <c r="M3248" s="350" t="str">
        <f>IF($B3248="Portfolio","Portfolio",IFERROR(INDEX(DATA_ASSET_CLASSIFICATION!$B$8:$B$24,MATCH($C3248,DATA_ASSET_CLASSIFICATION!$A$8:$A$24,0)),"Review"))</f>
        <v>Natalia Terrace</v>
      </c>
      <c r="N3248" s="350" t="str">
        <f ca="1">IF($B3248="Portfolio","Portfolio",IFERROR(INDEX(DATA_ASSET_CLASSIFICATION!$U$8:$U$24,MATCH($C3248,DATA_ASSET_CLASSIFICATION!$A$8:$A$24,0)),"Review"))</f>
        <v>Refi Watch</v>
      </c>
      <c r="O3248" s="350" t="str">
        <f ca="1">IF($B3248="Portfolio","Portfolio",IFERROR(INDEX(DATA_ASSET_CLASSIFICATION!$AB$8:$AB$13,MATCH($N3248,DATA_ASSET_CLASSIFICATION!$AA$8:$AA$13,0)),"Review"))</f>
        <v>Bucket 2 · Legacy</v>
      </c>
      <c r="P3248" s="350" t="str">
        <f>IF($B3248="Portfolio","Portfolio",IFERROR(INDEX(DATA_ASSET_CLASSIFICATION!$C$8:$C$24,MATCH($C3248,DATA_ASSET_CLASSIFICATION!$A$8:$A$24,0)),"Review"))</f>
        <v>Yes</v>
      </c>
      <c r="Q3248" s="350" t="str">
        <f t="shared" ca="1" si="101"/>
        <v>OK</v>
      </c>
    </row>
    <row r="3249" spans="1:17">
      <c r="A3249" s="366" t="s">
        <v>5205</v>
      </c>
      <c r="B3249" s="366" t="s">
        <v>231</v>
      </c>
      <c r="C3249" s="348" t="str">
        <f>DATA_PROPERTY_MASTER!$A$15</f>
        <v>BLD_NT</v>
      </c>
      <c r="D3249" s="380">
        <f>'00_PORTFOLIO ROLLUP'!H$12</f>
        <v>2028</v>
      </c>
      <c r="E3249" s="366" t="s">
        <v>1741</v>
      </c>
      <c r="F3249" s="366" t="s">
        <v>41</v>
      </c>
      <c r="G3249" s="348" t="str">
        <f>"'"&amp;$C3249&amp;"'!rows 56 + positive row 63"</f>
        <v>'BLD_NT'!rows 56 + positive row 63</v>
      </c>
      <c r="H3249" s="381">
        <f ca="1">IF(IFERROR(INDEX(DATA_PROPERTY_MASTER!$E$5:$E$21,MATCH($C3249,DATA_PROPERTY_MASTER!$A$5:$A$21,0))="Yes",FALSE),IFERROR(INDEX(INDIRECT("'"&amp;$C3249&amp;"'!$E$56:$Y$56"),1,MATCH($D3249,INDIRECT("'"&amp;$C3249&amp;"'!$E$12:$Y$12"),0)),0)+MAX(IFERROR(INDEX(INDIRECT("'"&amp;$C3249&amp;"'!$E$63:$Y$63"),1,MATCH($D3249,INDIRECT("'"&amp;$C3249&amp;"'!$E$12:$Y$12"),0)),0),0),0)</f>
        <v>177319.03050444793</v>
      </c>
      <c r="I3249" s="366" t="s">
        <v>1685</v>
      </c>
      <c r="J3249" s="348" t="str">
        <f t="shared" ca="1" si="100"/>
        <v>OK</v>
      </c>
      <c r="K3249" s="366" t="s">
        <v>1742</v>
      </c>
      <c r="L3249" s="366" t="s">
        <v>2262</v>
      </c>
      <c r="M3249" s="350" t="str">
        <f>IF($B3249="Portfolio","Portfolio",IFERROR(INDEX(DATA_ASSET_CLASSIFICATION!$B$8:$B$24,MATCH($C3249,DATA_ASSET_CLASSIFICATION!$A$8:$A$24,0)),"Review"))</f>
        <v>Natalia Terrace</v>
      </c>
      <c r="N3249" s="350" t="str">
        <f ca="1">IF($B3249="Portfolio","Portfolio",IFERROR(INDEX(DATA_ASSET_CLASSIFICATION!$U$8:$U$24,MATCH($C3249,DATA_ASSET_CLASSIFICATION!$A$8:$A$24,0)),"Review"))</f>
        <v>Refi Watch</v>
      </c>
      <c r="O3249" s="350" t="str">
        <f ca="1">IF($B3249="Portfolio","Portfolio",IFERROR(INDEX(DATA_ASSET_CLASSIFICATION!$AB$8:$AB$13,MATCH($N3249,DATA_ASSET_CLASSIFICATION!$AA$8:$AA$13,0)),"Review"))</f>
        <v>Bucket 2 · Legacy</v>
      </c>
      <c r="P3249" s="350" t="str">
        <f>IF($B3249="Portfolio","Portfolio",IFERROR(INDEX(DATA_ASSET_CLASSIFICATION!$C$8:$C$24,MATCH($C3249,DATA_ASSET_CLASSIFICATION!$A$8:$A$24,0)),"Review"))</f>
        <v>Yes</v>
      </c>
      <c r="Q3249" s="350" t="str">
        <f t="shared" ca="1" si="101"/>
        <v>OK</v>
      </c>
    </row>
    <row r="3250" spans="1:17">
      <c r="A3250" s="366" t="s">
        <v>5206</v>
      </c>
      <c r="B3250" s="366" t="s">
        <v>231</v>
      </c>
      <c r="C3250" s="348" t="str">
        <f>DATA_PROPERTY_MASTER!$A$15</f>
        <v>BLD_NT</v>
      </c>
      <c r="D3250" s="380">
        <f>'00_PORTFOLIO ROLLUP'!H$12</f>
        <v>2028</v>
      </c>
      <c r="E3250" s="366" t="s">
        <v>1741</v>
      </c>
      <c r="F3250" s="366" t="s">
        <v>43</v>
      </c>
      <c r="G3250" s="348" t="str">
        <f>"'"&amp;$C3250&amp;"'!$E$68:$Y$68"</f>
        <v>'BLD_NT'!$E$68:$Y$68</v>
      </c>
      <c r="H3250" s="381">
        <f ca="1">IF(IFERROR(INDEX(DATA_PROPERTY_MASTER!$E$5:$E$21,MATCH($C3250,DATA_PROPERTY_MASTER!$A$5:$A$21,0))="Yes",FALSE),IFERROR(INDEX(INDIRECT("'"&amp;$C3250&amp;"'!$E$68:$Y$68"),1,MATCH($D3250,INDIRECT("'"&amp;$C3250&amp;"'!$E$12:$Y$12"),0)),0),0)</f>
        <v>177319.03050444793</v>
      </c>
      <c r="I3250" s="366" t="s">
        <v>1731</v>
      </c>
      <c r="J3250" s="348" t="str">
        <f t="shared" ca="1" si="100"/>
        <v>OK</v>
      </c>
      <c r="K3250" s="366" t="s">
        <v>1746</v>
      </c>
      <c r="L3250" s="366" t="s">
        <v>2264</v>
      </c>
      <c r="M3250" s="350" t="str">
        <f>IF($B3250="Portfolio","Portfolio",IFERROR(INDEX(DATA_ASSET_CLASSIFICATION!$B$8:$B$24,MATCH($C3250,DATA_ASSET_CLASSIFICATION!$A$8:$A$24,0)),"Review"))</f>
        <v>Natalia Terrace</v>
      </c>
      <c r="N3250" s="350" t="str">
        <f ca="1">IF($B3250="Portfolio","Portfolio",IFERROR(INDEX(DATA_ASSET_CLASSIFICATION!$U$8:$U$24,MATCH($C3250,DATA_ASSET_CLASSIFICATION!$A$8:$A$24,0)),"Review"))</f>
        <v>Refi Watch</v>
      </c>
      <c r="O3250" s="350" t="str">
        <f ca="1">IF($B3250="Portfolio","Portfolio",IFERROR(INDEX(DATA_ASSET_CLASSIFICATION!$AB$8:$AB$13,MATCH($N3250,DATA_ASSET_CLASSIFICATION!$AA$8:$AA$13,0)),"Review"))</f>
        <v>Bucket 2 · Legacy</v>
      </c>
      <c r="P3250" s="350" t="str">
        <f>IF($B3250="Portfolio","Portfolio",IFERROR(INDEX(DATA_ASSET_CLASSIFICATION!$C$8:$C$24,MATCH($C3250,DATA_ASSET_CLASSIFICATION!$A$8:$A$24,0)),"Review"))</f>
        <v>Yes</v>
      </c>
      <c r="Q3250" s="350" t="str">
        <f t="shared" ca="1" si="101"/>
        <v>OK</v>
      </c>
    </row>
    <row r="3251" spans="1:17">
      <c r="A3251" s="366" t="s">
        <v>5207</v>
      </c>
      <c r="B3251" s="366" t="s">
        <v>231</v>
      </c>
      <c r="C3251" s="348" t="str">
        <f>DATA_PROPERTY_MASTER!$A$15</f>
        <v>BLD_NT</v>
      </c>
      <c r="D3251" s="380">
        <f>'00_PORTFOLIO ROLLUP'!H$12</f>
        <v>2028</v>
      </c>
      <c r="E3251" s="366" t="s">
        <v>1741</v>
      </c>
      <c r="F3251" s="366" t="s">
        <v>1749</v>
      </c>
      <c r="G3251" s="348" t="str">
        <f>"'"&amp;$C3251&amp;"'!rows 56, 63, 68"</f>
        <v>'BLD_NT'!rows 56, 63, 68</v>
      </c>
      <c r="H3251" s="381">
        <f ca="1">IF(IFERROR(INDEX(DATA_PROPERTY_MASTER!$E$5:$E$21,MATCH($C3251,DATA_PROPERTY_MASTER!$A$5:$A$21,0))="Yes",FALSE),(IFERROR(INDEX(INDIRECT("'"&amp;$C3251&amp;"'!$E$56:$Y$56"),1,MATCH($D3251,INDIRECT("'"&amp;$C3251&amp;"'!$E$12:$Y$12"),0)),0)+MAX(IFERROR(INDEX(INDIRECT("'"&amp;$C3251&amp;"'!$E$63:$Y$63"),1,MATCH($D3251,INDIRECT("'"&amp;$C3251&amp;"'!$E$12:$Y$12"),0)),0),0))-(IFERROR(INDEX(INDIRECT("'"&amp;$C3251&amp;"'!$E$68:$Y$68"),1,MATCH($D3251,INDIRECT("'"&amp;$C3251&amp;"'!$E$12:$Y$12"),0)),0)),0)</f>
        <v>0</v>
      </c>
      <c r="I3251" s="366" t="s">
        <v>1750</v>
      </c>
      <c r="J3251" s="348" t="str">
        <f t="shared" ca="1" si="100"/>
        <v>OK</v>
      </c>
      <c r="K3251" s="366" t="s">
        <v>1751</v>
      </c>
      <c r="L3251" s="366" t="s">
        <v>2266</v>
      </c>
      <c r="M3251" s="350" t="str">
        <f>IF($B3251="Portfolio","Portfolio",IFERROR(INDEX(DATA_ASSET_CLASSIFICATION!$B$8:$B$24,MATCH($C3251,DATA_ASSET_CLASSIFICATION!$A$8:$A$24,0)),"Review"))</f>
        <v>Natalia Terrace</v>
      </c>
      <c r="N3251" s="350" t="str">
        <f ca="1">IF($B3251="Portfolio","Portfolio",IFERROR(INDEX(DATA_ASSET_CLASSIFICATION!$U$8:$U$24,MATCH($C3251,DATA_ASSET_CLASSIFICATION!$A$8:$A$24,0)),"Review"))</f>
        <v>Refi Watch</v>
      </c>
      <c r="O3251" s="350" t="str">
        <f ca="1">IF($B3251="Portfolio","Portfolio",IFERROR(INDEX(DATA_ASSET_CLASSIFICATION!$AB$8:$AB$13,MATCH($N3251,DATA_ASSET_CLASSIFICATION!$AA$8:$AA$13,0)),"Review"))</f>
        <v>Bucket 2 · Legacy</v>
      </c>
      <c r="P3251" s="350" t="str">
        <f>IF($B3251="Portfolio","Portfolio",IFERROR(INDEX(DATA_ASSET_CLASSIFICATION!$C$8:$C$24,MATCH($C3251,DATA_ASSET_CLASSIFICATION!$A$8:$A$24,0)),"Review"))</f>
        <v>Yes</v>
      </c>
      <c r="Q3251" s="350" t="str">
        <f t="shared" ca="1" si="101"/>
        <v>OK</v>
      </c>
    </row>
    <row r="3252" spans="1:17">
      <c r="A3252" s="366" t="s">
        <v>5208</v>
      </c>
      <c r="B3252" s="366" t="s">
        <v>231</v>
      </c>
      <c r="C3252" s="348" t="str">
        <f>DATA_PROPERTY_MASTER!$A$15</f>
        <v>BLD_NT</v>
      </c>
      <c r="D3252" s="380">
        <f>'00_PORTFOLIO ROLLUP'!I$12</f>
        <v>2029</v>
      </c>
      <c r="E3252" s="366" t="s">
        <v>1683</v>
      </c>
      <c r="F3252" s="366" t="s">
        <v>341</v>
      </c>
      <c r="G3252" s="348" t="str">
        <f>"'"&amp;$C3252&amp;"'!$E$24:$Y$24"</f>
        <v>'BLD_NT'!$E$24:$Y$24</v>
      </c>
      <c r="H3252" s="381">
        <f ca="1">IF(IFERROR(INDEX(DATA_PROPERTY_MASTER!$E$5:$E$21,MATCH($C3252,DATA_PROPERTY_MASTER!$A$5:$A$21,0))="Yes",FALSE),IFERROR(INDEX(INDIRECT("'"&amp;$C3252&amp;"'!$E$24:$Y$24"),1,MATCH($D3252,INDIRECT("'"&amp;$C3252&amp;"'!$E$12:$Y$12"),0)),0),0)</f>
        <v>783672.91713930247</v>
      </c>
      <c r="I3252" s="366" t="s">
        <v>1685</v>
      </c>
      <c r="J3252" s="348" t="str">
        <f t="shared" ca="1" si="100"/>
        <v>OK</v>
      </c>
      <c r="K3252" s="366" t="s">
        <v>1686</v>
      </c>
      <c r="L3252" s="366" t="s">
        <v>2234</v>
      </c>
      <c r="M3252" s="350" t="str">
        <f>IF($B3252="Portfolio","Portfolio",IFERROR(INDEX(DATA_ASSET_CLASSIFICATION!$B$8:$B$24,MATCH($C3252,DATA_ASSET_CLASSIFICATION!$A$8:$A$24,0)),"Review"))</f>
        <v>Natalia Terrace</v>
      </c>
      <c r="N3252" s="350" t="str">
        <f ca="1">IF($B3252="Portfolio","Portfolio",IFERROR(INDEX(DATA_ASSET_CLASSIFICATION!$U$8:$U$24,MATCH($C3252,DATA_ASSET_CLASSIFICATION!$A$8:$A$24,0)),"Review"))</f>
        <v>Refi Watch</v>
      </c>
      <c r="O3252" s="350" t="str">
        <f ca="1">IF($B3252="Portfolio","Portfolio",IFERROR(INDEX(DATA_ASSET_CLASSIFICATION!$AB$8:$AB$13,MATCH($N3252,DATA_ASSET_CLASSIFICATION!$AA$8:$AA$13,0)),"Review"))</f>
        <v>Bucket 2 · Legacy</v>
      </c>
      <c r="P3252" s="350" t="str">
        <f>IF($B3252="Portfolio","Portfolio",IFERROR(INDEX(DATA_ASSET_CLASSIFICATION!$C$8:$C$24,MATCH($C3252,DATA_ASSET_CLASSIFICATION!$A$8:$A$24,0)),"Review"))</f>
        <v>Yes</v>
      </c>
      <c r="Q3252" s="350" t="str">
        <f t="shared" ca="1" si="101"/>
        <v>OK</v>
      </c>
    </row>
    <row r="3253" spans="1:17">
      <c r="A3253" s="366" t="s">
        <v>5209</v>
      </c>
      <c r="B3253" s="366" t="s">
        <v>231</v>
      </c>
      <c r="C3253" s="348" t="str">
        <f>DATA_PROPERTY_MASTER!$A$15</f>
        <v>BLD_NT</v>
      </c>
      <c r="D3253" s="380">
        <f>'00_PORTFOLIO ROLLUP'!I$12</f>
        <v>2029</v>
      </c>
      <c r="E3253" s="366" t="s">
        <v>1683</v>
      </c>
      <c r="F3253" s="366" t="s">
        <v>355</v>
      </c>
      <c r="G3253" s="348" t="str">
        <f>"'"&amp;$C3253&amp;"'!$E$39:$Y$39"</f>
        <v>'BLD_NT'!$E$39:$Y$39</v>
      </c>
      <c r="H3253" s="381">
        <f ca="1">IF(IFERROR(INDEX(DATA_PROPERTY_MASTER!$E$5:$E$21,MATCH($C3253,DATA_PROPERTY_MASTER!$A$5:$A$21,0))="Yes",FALSE),IFERROR(INDEX(INDIRECT("'"&amp;$C3253&amp;"'!$E$39:$Y$39"),1,MATCH($D3253,INDIRECT("'"&amp;$C3253&amp;"'!$E$12:$Y$12"),0)),0),0)</f>
        <v>338009.57345792005</v>
      </c>
      <c r="I3253" s="366" t="s">
        <v>1690</v>
      </c>
      <c r="J3253" s="348" t="str">
        <f t="shared" ca="1" si="100"/>
        <v>OK</v>
      </c>
      <c r="K3253" s="366" t="s">
        <v>1686</v>
      </c>
      <c r="L3253" s="366" t="s">
        <v>2236</v>
      </c>
      <c r="M3253" s="350" t="str">
        <f>IF($B3253="Portfolio","Portfolio",IFERROR(INDEX(DATA_ASSET_CLASSIFICATION!$B$8:$B$24,MATCH($C3253,DATA_ASSET_CLASSIFICATION!$A$8:$A$24,0)),"Review"))</f>
        <v>Natalia Terrace</v>
      </c>
      <c r="N3253" s="350" t="str">
        <f ca="1">IF($B3253="Portfolio","Portfolio",IFERROR(INDEX(DATA_ASSET_CLASSIFICATION!$U$8:$U$24,MATCH($C3253,DATA_ASSET_CLASSIFICATION!$A$8:$A$24,0)),"Review"))</f>
        <v>Refi Watch</v>
      </c>
      <c r="O3253" s="350" t="str">
        <f ca="1">IF($B3253="Portfolio","Portfolio",IFERROR(INDEX(DATA_ASSET_CLASSIFICATION!$AB$8:$AB$13,MATCH($N3253,DATA_ASSET_CLASSIFICATION!$AA$8:$AA$13,0)),"Review"))</f>
        <v>Bucket 2 · Legacy</v>
      </c>
      <c r="P3253" s="350" t="str">
        <f>IF($B3253="Portfolio","Portfolio",IFERROR(INDEX(DATA_ASSET_CLASSIFICATION!$C$8:$C$24,MATCH($C3253,DATA_ASSET_CLASSIFICATION!$A$8:$A$24,0)),"Review"))</f>
        <v>Yes</v>
      </c>
      <c r="Q3253" s="350" t="str">
        <f t="shared" ca="1" si="101"/>
        <v>OK</v>
      </c>
    </row>
    <row r="3254" spans="1:17">
      <c r="A3254" s="366" t="s">
        <v>5210</v>
      </c>
      <c r="B3254" s="366" t="s">
        <v>231</v>
      </c>
      <c r="C3254" s="348" t="str">
        <f>DATA_PROPERTY_MASTER!$A$15</f>
        <v>BLD_NT</v>
      </c>
      <c r="D3254" s="380">
        <f>'00_PORTFOLIO ROLLUP'!I$12</f>
        <v>2029</v>
      </c>
      <c r="E3254" s="366" t="s">
        <v>1683</v>
      </c>
      <c r="F3254" s="366" t="s">
        <v>19</v>
      </c>
      <c r="G3254" s="348" t="str">
        <f>"'"&amp;$C3254&amp;"'!$E$41:$Y$41"</f>
        <v>'BLD_NT'!$E$41:$Y$41</v>
      </c>
      <c r="H3254" s="381">
        <f ca="1">IF(IFERROR(INDEX(DATA_PROPERTY_MASTER!$E$5:$E$21,MATCH($C3254,DATA_PROPERTY_MASTER!$A$5:$A$21,0))="Yes",FALSE),IFERROR(INDEX(INDIRECT("'"&amp;$C3254&amp;"'!$E$41:$Y$41"),1,MATCH($D3254,INDIRECT("'"&amp;$C3254&amp;"'!$E$12:$Y$12"),0)),0),0)</f>
        <v>445663.34368138242</v>
      </c>
      <c r="I3254" s="366" t="s">
        <v>1685</v>
      </c>
      <c r="J3254" s="348" t="str">
        <f t="shared" ca="1" si="100"/>
        <v>OK</v>
      </c>
      <c r="K3254" s="366" t="s">
        <v>1694</v>
      </c>
      <c r="L3254" s="366" t="s">
        <v>2238</v>
      </c>
      <c r="M3254" s="350" t="str">
        <f>IF($B3254="Portfolio","Portfolio",IFERROR(INDEX(DATA_ASSET_CLASSIFICATION!$B$8:$B$24,MATCH($C3254,DATA_ASSET_CLASSIFICATION!$A$8:$A$24,0)),"Review"))</f>
        <v>Natalia Terrace</v>
      </c>
      <c r="N3254" s="350" t="str">
        <f ca="1">IF($B3254="Portfolio","Portfolio",IFERROR(INDEX(DATA_ASSET_CLASSIFICATION!$U$8:$U$24,MATCH($C3254,DATA_ASSET_CLASSIFICATION!$A$8:$A$24,0)),"Review"))</f>
        <v>Refi Watch</v>
      </c>
      <c r="O3254" s="350" t="str">
        <f ca="1">IF($B3254="Portfolio","Portfolio",IFERROR(INDEX(DATA_ASSET_CLASSIFICATION!$AB$8:$AB$13,MATCH($N3254,DATA_ASSET_CLASSIFICATION!$AA$8:$AA$13,0)),"Review"))</f>
        <v>Bucket 2 · Legacy</v>
      </c>
      <c r="P3254" s="350" t="str">
        <f>IF($B3254="Portfolio","Portfolio",IFERROR(INDEX(DATA_ASSET_CLASSIFICATION!$C$8:$C$24,MATCH($C3254,DATA_ASSET_CLASSIFICATION!$A$8:$A$24,0)),"Review"))</f>
        <v>Yes</v>
      </c>
      <c r="Q3254" s="350" t="str">
        <f t="shared" ca="1" si="101"/>
        <v>OK</v>
      </c>
    </row>
    <row r="3255" spans="1:17">
      <c r="A3255" s="366" t="s">
        <v>5211</v>
      </c>
      <c r="B3255" s="366" t="s">
        <v>231</v>
      </c>
      <c r="C3255" s="348" t="str">
        <f>DATA_PROPERTY_MASTER!$A$15</f>
        <v>BLD_NT</v>
      </c>
      <c r="D3255" s="380">
        <f>'00_PORTFOLIO ROLLUP'!I$12</f>
        <v>2029</v>
      </c>
      <c r="E3255" s="366" t="s">
        <v>1683</v>
      </c>
      <c r="F3255" s="366" t="s">
        <v>1697</v>
      </c>
      <c r="G3255" s="348" t="str">
        <f>"'"&amp;$C3255&amp;"'!$E$44:$Y$44"</f>
        <v>'BLD_NT'!$E$44:$Y$44</v>
      </c>
      <c r="H3255" s="381">
        <f ca="1">IF(IFERROR(INDEX(DATA_PROPERTY_MASTER!$E$5:$E$21,MATCH($C3255,DATA_PROPERTY_MASTER!$A$5:$A$21,0))="Yes",FALSE),IFERROR(INDEX(INDIRECT("'"&amp;$C3255&amp;"'!$E$44:$Y$44"),1,MATCH($D3255,INDIRECT("'"&amp;$C3255&amp;"'!$E$12:$Y$12"),0)),0),0)</f>
        <v>6494.5929599999999</v>
      </c>
      <c r="I3255" s="366" t="s">
        <v>1690</v>
      </c>
      <c r="J3255" s="348" t="str">
        <f t="shared" ca="1" si="100"/>
        <v>OK</v>
      </c>
      <c r="K3255" s="366" t="s">
        <v>1699</v>
      </c>
      <c r="L3255" s="366" t="s">
        <v>2240</v>
      </c>
      <c r="M3255" s="350" t="str">
        <f>IF($B3255="Portfolio","Portfolio",IFERROR(INDEX(DATA_ASSET_CLASSIFICATION!$B$8:$B$24,MATCH($C3255,DATA_ASSET_CLASSIFICATION!$A$8:$A$24,0)),"Review"))</f>
        <v>Natalia Terrace</v>
      </c>
      <c r="N3255" s="350" t="str">
        <f ca="1">IF($B3255="Portfolio","Portfolio",IFERROR(INDEX(DATA_ASSET_CLASSIFICATION!$U$8:$U$24,MATCH($C3255,DATA_ASSET_CLASSIFICATION!$A$8:$A$24,0)),"Review"))</f>
        <v>Refi Watch</v>
      </c>
      <c r="O3255" s="350" t="str">
        <f ca="1">IF($B3255="Portfolio","Portfolio",IFERROR(INDEX(DATA_ASSET_CLASSIFICATION!$AB$8:$AB$13,MATCH($N3255,DATA_ASSET_CLASSIFICATION!$AA$8:$AA$13,0)),"Review"))</f>
        <v>Bucket 2 · Legacy</v>
      </c>
      <c r="P3255" s="350" t="str">
        <f>IF($B3255="Portfolio","Portfolio",IFERROR(INDEX(DATA_ASSET_CLASSIFICATION!$C$8:$C$24,MATCH($C3255,DATA_ASSET_CLASSIFICATION!$A$8:$A$24,0)),"Review"))</f>
        <v>Yes</v>
      </c>
      <c r="Q3255" s="350" t="str">
        <f t="shared" ca="1" si="101"/>
        <v>OK</v>
      </c>
    </row>
    <row r="3256" spans="1:17">
      <c r="A3256" s="366" t="s">
        <v>5212</v>
      </c>
      <c r="B3256" s="366" t="s">
        <v>231</v>
      </c>
      <c r="C3256" s="348" t="str">
        <f>DATA_PROPERTY_MASTER!$A$15</f>
        <v>BLD_NT</v>
      </c>
      <c r="D3256" s="380">
        <f>'00_PORTFOLIO ROLLUP'!I$12</f>
        <v>2029</v>
      </c>
      <c r="E3256" s="366" t="s">
        <v>1683</v>
      </c>
      <c r="F3256" s="366" t="s">
        <v>21</v>
      </c>
      <c r="G3256" s="348" t="str">
        <f>"'"&amp;$C3256&amp;"'!$E$45:$Y$45"</f>
        <v>'BLD_NT'!$E$45:$Y$45</v>
      </c>
      <c r="H3256" s="381">
        <f ca="1">IF(IFERROR(INDEX(DATA_PROPERTY_MASTER!$E$5:$E$21,MATCH($C3256,DATA_PROPERTY_MASTER!$A$5:$A$21,0))="Yes",FALSE),IFERROR(INDEX(INDIRECT("'"&amp;$C3256&amp;"'!$E$45:$Y$45"),1,MATCH($D3256,INDIRECT("'"&amp;$C3256&amp;"'!$E$12:$Y$12"),0)),0),0)</f>
        <v>439168.75072138244</v>
      </c>
      <c r="I3256" s="366" t="s">
        <v>1685</v>
      </c>
      <c r="J3256" s="348" t="str">
        <f t="shared" ca="1" si="100"/>
        <v>OK</v>
      </c>
      <c r="K3256" s="366" t="s">
        <v>1694</v>
      </c>
      <c r="L3256" s="366" t="s">
        <v>2242</v>
      </c>
      <c r="M3256" s="350" t="str">
        <f>IF($B3256="Portfolio","Portfolio",IFERROR(INDEX(DATA_ASSET_CLASSIFICATION!$B$8:$B$24,MATCH($C3256,DATA_ASSET_CLASSIFICATION!$A$8:$A$24,0)),"Review"))</f>
        <v>Natalia Terrace</v>
      </c>
      <c r="N3256" s="350" t="str">
        <f ca="1">IF($B3256="Portfolio","Portfolio",IFERROR(INDEX(DATA_ASSET_CLASSIFICATION!$U$8:$U$24,MATCH($C3256,DATA_ASSET_CLASSIFICATION!$A$8:$A$24,0)),"Review"))</f>
        <v>Refi Watch</v>
      </c>
      <c r="O3256" s="350" t="str">
        <f ca="1">IF($B3256="Portfolio","Portfolio",IFERROR(INDEX(DATA_ASSET_CLASSIFICATION!$AB$8:$AB$13,MATCH($N3256,DATA_ASSET_CLASSIFICATION!$AA$8:$AA$13,0)),"Review"))</f>
        <v>Bucket 2 · Legacy</v>
      </c>
      <c r="P3256" s="350" t="str">
        <f>IF($B3256="Portfolio","Portfolio",IFERROR(INDEX(DATA_ASSET_CLASSIFICATION!$C$8:$C$24,MATCH($C3256,DATA_ASSET_CLASSIFICATION!$A$8:$A$24,0)),"Review"))</f>
        <v>Yes</v>
      </c>
      <c r="Q3256" s="350" t="str">
        <f t="shared" ca="1" si="101"/>
        <v>OK</v>
      </c>
    </row>
    <row r="3257" spans="1:17">
      <c r="A3257" s="366" t="s">
        <v>5213</v>
      </c>
      <c r="B3257" s="366" t="s">
        <v>231</v>
      </c>
      <c r="C3257" s="348" t="str">
        <f>DATA_PROPERTY_MASTER!$A$15</f>
        <v>BLD_NT</v>
      </c>
      <c r="D3257" s="380">
        <f>'00_PORTFOLIO ROLLUP'!I$12</f>
        <v>2029</v>
      </c>
      <c r="E3257" s="366" t="s">
        <v>23</v>
      </c>
      <c r="F3257" s="366" t="s">
        <v>23</v>
      </c>
      <c r="G3257" s="348" t="str">
        <f>"'"&amp;$C3257&amp;"'!$E$48:$Y$48"</f>
        <v>'BLD_NT'!$E$48:$Y$48</v>
      </c>
      <c r="H3257" s="381">
        <f ca="1">IF(IFERROR(INDEX(DATA_PROPERTY_MASTER!$E$5:$E$21,MATCH($C3257,DATA_PROPERTY_MASTER!$A$5:$A$21,0))="Yes",FALSE),IFERROR(INDEX(INDIRECT("'"&amp;$C3257&amp;"'!$E$48:$Y$48"),1,MATCH($D3257,INDIRECT("'"&amp;$C3257&amp;"'!$E$12:$Y$12"),0)),0),0)</f>
        <v>0</v>
      </c>
      <c r="I3257" s="366" t="s">
        <v>1690</v>
      </c>
      <c r="J3257" s="348" t="str">
        <f t="shared" ca="1" si="100"/>
        <v>OK</v>
      </c>
      <c r="K3257" s="366" t="s">
        <v>1706</v>
      </c>
      <c r="L3257" s="366" t="s">
        <v>2244</v>
      </c>
      <c r="M3257" s="350" t="str">
        <f>IF($B3257="Portfolio","Portfolio",IFERROR(INDEX(DATA_ASSET_CLASSIFICATION!$B$8:$B$24,MATCH($C3257,DATA_ASSET_CLASSIFICATION!$A$8:$A$24,0)),"Review"))</f>
        <v>Natalia Terrace</v>
      </c>
      <c r="N3257" s="350" t="str">
        <f ca="1">IF($B3257="Portfolio","Portfolio",IFERROR(INDEX(DATA_ASSET_CLASSIFICATION!$U$8:$U$24,MATCH($C3257,DATA_ASSET_CLASSIFICATION!$A$8:$A$24,0)),"Review"))</f>
        <v>Refi Watch</v>
      </c>
      <c r="O3257" s="350" t="str">
        <f ca="1">IF($B3257="Portfolio","Portfolio",IFERROR(INDEX(DATA_ASSET_CLASSIFICATION!$AB$8:$AB$13,MATCH($N3257,DATA_ASSET_CLASSIFICATION!$AA$8:$AA$13,0)),"Review"))</f>
        <v>Bucket 2 · Legacy</v>
      </c>
      <c r="P3257" s="350" t="str">
        <f>IF($B3257="Portfolio","Portfolio",IFERROR(INDEX(DATA_ASSET_CLASSIFICATION!$C$8:$C$24,MATCH($C3257,DATA_ASSET_CLASSIFICATION!$A$8:$A$24,0)),"Review"))</f>
        <v>Yes</v>
      </c>
      <c r="Q3257" s="350" t="str">
        <f t="shared" ca="1" si="101"/>
        <v>OK</v>
      </c>
    </row>
    <row r="3258" spans="1:17">
      <c r="A3258" s="366" t="s">
        <v>5214</v>
      </c>
      <c r="B3258" s="366" t="s">
        <v>231</v>
      </c>
      <c r="C3258" s="348" t="str">
        <f>DATA_PROPERTY_MASTER!$A$15</f>
        <v>BLD_NT</v>
      </c>
      <c r="D3258" s="380">
        <f>'00_PORTFOLIO ROLLUP'!I$12</f>
        <v>2029</v>
      </c>
      <c r="E3258" s="366" t="s">
        <v>1683</v>
      </c>
      <c r="F3258" s="366" t="s">
        <v>25</v>
      </c>
      <c r="G3258" s="348" t="str">
        <f>"'"&amp;$C3258&amp;"'!$E$52:$Y$52"</f>
        <v>'BLD_NT'!$E$52:$Y$52</v>
      </c>
      <c r="H3258" s="381">
        <f ca="1">IF(IFERROR(INDEX(DATA_PROPERTY_MASTER!$E$5:$E$21,MATCH($C3258,DATA_PROPERTY_MASTER!$A$5:$A$21,0))="Yes",FALSE),IFERROR(INDEX(INDIRECT("'"&amp;$C3258&amp;"'!$E$52:$Y$52"),1,MATCH($D3258,INDIRECT("'"&amp;$C3258&amp;"'!$E$12:$Y$12"),0)),0),0)</f>
        <v>445663.34368138242</v>
      </c>
      <c r="I3258" s="366" t="s">
        <v>1685</v>
      </c>
      <c r="J3258" s="348" t="str">
        <f t="shared" ca="1" si="100"/>
        <v>OK</v>
      </c>
      <c r="K3258" s="366" t="s">
        <v>1710</v>
      </c>
      <c r="L3258" s="366" t="s">
        <v>2246</v>
      </c>
      <c r="M3258" s="350" t="str">
        <f>IF($B3258="Portfolio","Portfolio",IFERROR(INDEX(DATA_ASSET_CLASSIFICATION!$B$8:$B$24,MATCH($C3258,DATA_ASSET_CLASSIFICATION!$A$8:$A$24,0)),"Review"))</f>
        <v>Natalia Terrace</v>
      </c>
      <c r="N3258" s="350" t="str">
        <f ca="1">IF($B3258="Portfolio","Portfolio",IFERROR(INDEX(DATA_ASSET_CLASSIFICATION!$U$8:$U$24,MATCH($C3258,DATA_ASSET_CLASSIFICATION!$A$8:$A$24,0)),"Review"))</f>
        <v>Refi Watch</v>
      </c>
      <c r="O3258" s="350" t="str">
        <f ca="1">IF($B3258="Portfolio","Portfolio",IFERROR(INDEX(DATA_ASSET_CLASSIFICATION!$AB$8:$AB$13,MATCH($N3258,DATA_ASSET_CLASSIFICATION!$AA$8:$AA$13,0)),"Review"))</f>
        <v>Bucket 2 · Legacy</v>
      </c>
      <c r="P3258" s="350" t="str">
        <f>IF($B3258="Portfolio","Portfolio",IFERROR(INDEX(DATA_ASSET_CLASSIFICATION!$C$8:$C$24,MATCH($C3258,DATA_ASSET_CLASSIFICATION!$A$8:$A$24,0)),"Review"))</f>
        <v>Yes</v>
      </c>
      <c r="Q3258" s="350" t="str">
        <f t="shared" ca="1" si="101"/>
        <v>OK</v>
      </c>
    </row>
    <row r="3259" spans="1:17">
      <c r="A3259" s="366" t="s">
        <v>5215</v>
      </c>
      <c r="B3259" s="366" t="s">
        <v>231</v>
      </c>
      <c r="C3259" s="348" t="str">
        <f>DATA_PROPERTY_MASTER!$A$15</f>
        <v>BLD_NT</v>
      </c>
      <c r="D3259" s="380">
        <f>'00_PORTFOLIO ROLLUP'!I$12</f>
        <v>2029</v>
      </c>
      <c r="E3259" s="366" t="s">
        <v>1683</v>
      </c>
      <c r="F3259" s="366" t="s">
        <v>27</v>
      </c>
      <c r="G3259" s="348" t="str">
        <f>"'"&amp;$C3259&amp;"'!$E$54:$Y$54"</f>
        <v>'BLD_NT'!$E$54:$Y$54</v>
      </c>
      <c r="H3259" s="381">
        <f ca="1">IF(IFERROR(INDEX(DATA_PROPERTY_MASTER!$E$5:$E$21,MATCH($C3259,DATA_PROPERTY_MASTER!$A$5:$A$21,0))="Yes",FALSE),IFERROR(INDEX(INDIRECT("'"&amp;$C3259&amp;"'!$E$54:$Y$54"),1,MATCH($D3259,INDIRECT("'"&amp;$C3259&amp;"'!$E$12:$Y$12"),0)),0),0)</f>
        <v>267398.00620882947</v>
      </c>
      <c r="I3259" s="366" t="s">
        <v>1690</v>
      </c>
      <c r="J3259" s="348" t="str">
        <f t="shared" ca="1" si="100"/>
        <v>OK</v>
      </c>
      <c r="K3259" s="366" t="s">
        <v>1714</v>
      </c>
      <c r="L3259" s="366" t="s">
        <v>2248</v>
      </c>
      <c r="M3259" s="350" t="str">
        <f>IF($B3259="Portfolio","Portfolio",IFERROR(INDEX(DATA_ASSET_CLASSIFICATION!$B$8:$B$24,MATCH($C3259,DATA_ASSET_CLASSIFICATION!$A$8:$A$24,0)),"Review"))</f>
        <v>Natalia Terrace</v>
      </c>
      <c r="N3259" s="350" t="str">
        <f ca="1">IF($B3259="Portfolio","Portfolio",IFERROR(INDEX(DATA_ASSET_CLASSIFICATION!$U$8:$U$24,MATCH($C3259,DATA_ASSET_CLASSIFICATION!$A$8:$A$24,0)),"Review"))</f>
        <v>Refi Watch</v>
      </c>
      <c r="O3259" s="350" t="str">
        <f ca="1">IF($B3259="Portfolio","Portfolio",IFERROR(INDEX(DATA_ASSET_CLASSIFICATION!$AB$8:$AB$13,MATCH($N3259,DATA_ASSET_CLASSIFICATION!$AA$8:$AA$13,0)),"Review"))</f>
        <v>Bucket 2 · Legacy</v>
      </c>
      <c r="P3259" s="350" t="str">
        <f>IF($B3259="Portfolio","Portfolio",IFERROR(INDEX(DATA_ASSET_CLASSIFICATION!$C$8:$C$24,MATCH($C3259,DATA_ASSET_CLASSIFICATION!$A$8:$A$24,0)),"Review"))</f>
        <v>Yes</v>
      </c>
      <c r="Q3259" s="350" t="str">
        <f t="shared" ca="1" si="101"/>
        <v>OK</v>
      </c>
    </row>
    <row r="3260" spans="1:17">
      <c r="A3260" s="366" t="s">
        <v>5216</v>
      </c>
      <c r="B3260" s="366" t="s">
        <v>231</v>
      </c>
      <c r="C3260" s="348" t="str">
        <f>DATA_PROPERTY_MASTER!$A$15</f>
        <v>BLD_NT</v>
      </c>
      <c r="D3260" s="380">
        <f>'00_PORTFOLIO ROLLUP'!I$12</f>
        <v>2029</v>
      </c>
      <c r="E3260" s="366" t="s">
        <v>1683</v>
      </c>
      <c r="F3260" s="366" t="s">
        <v>29</v>
      </c>
      <c r="G3260" s="348" t="str">
        <f>"'"&amp;$C3260&amp;"'!$E$56:$Y$56"</f>
        <v>'BLD_NT'!$E$56:$Y$56</v>
      </c>
      <c r="H3260" s="381">
        <f ca="1">IF(IFERROR(INDEX(DATA_PROPERTY_MASTER!$E$5:$E$21,MATCH($C3260,DATA_PROPERTY_MASTER!$A$5:$A$21,0))="Yes",FALSE),IFERROR(INDEX(INDIRECT("'"&amp;$C3260&amp;"'!$E$56:$Y$56"),1,MATCH($D3260,INDIRECT("'"&amp;$C3260&amp;"'!$E$12:$Y$12"),0)),0),0)</f>
        <v>178265.33747255296</v>
      </c>
      <c r="I3260" s="366" t="s">
        <v>1685</v>
      </c>
      <c r="J3260" s="348" t="str">
        <f t="shared" ca="1" si="100"/>
        <v>OK</v>
      </c>
      <c r="K3260" s="366" t="s">
        <v>1718</v>
      </c>
      <c r="L3260" s="366" t="s">
        <v>2250</v>
      </c>
      <c r="M3260" s="350" t="str">
        <f>IF($B3260="Portfolio","Portfolio",IFERROR(INDEX(DATA_ASSET_CLASSIFICATION!$B$8:$B$24,MATCH($C3260,DATA_ASSET_CLASSIFICATION!$A$8:$A$24,0)),"Review"))</f>
        <v>Natalia Terrace</v>
      </c>
      <c r="N3260" s="350" t="str">
        <f ca="1">IF($B3260="Portfolio","Portfolio",IFERROR(INDEX(DATA_ASSET_CLASSIFICATION!$U$8:$U$24,MATCH($C3260,DATA_ASSET_CLASSIFICATION!$A$8:$A$24,0)),"Review"))</f>
        <v>Refi Watch</v>
      </c>
      <c r="O3260" s="350" t="str">
        <f ca="1">IF($B3260="Portfolio","Portfolio",IFERROR(INDEX(DATA_ASSET_CLASSIFICATION!$AB$8:$AB$13,MATCH($N3260,DATA_ASSET_CLASSIFICATION!$AA$8:$AA$13,0)),"Review"))</f>
        <v>Bucket 2 · Legacy</v>
      </c>
      <c r="P3260" s="350" t="str">
        <f>IF($B3260="Portfolio","Portfolio",IFERROR(INDEX(DATA_ASSET_CLASSIFICATION!$C$8:$C$24,MATCH($C3260,DATA_ASSET_CLASSIFICATION!$A$8:$A$24,0)),"Review"))</f>
        <v>Yes</v>
      </c>
      <c r="Q3260" s="350" t="str">
        <f t="shared" ca="1" si="101"/>
        <v>OK</v>
      </c>
    </row>
    <row r="3261" spans="1:17">
      <c r="A3261" s="366" t="s">
        <v>5217</v>
      </c>
      <c r="B3261" s="366" t="s">
        <v>231</v>
      </c>
      <c r="C3261" s="348" t="str">
        <f>DATA_PROPERTY_MASTER!$A$15</f>
        <v>BLD_NT</v>
      </c>
      <c r="D3261" s="380">
        <f>'00_PORTFOLIO ROLLUP'!I$12</f>
        <v>2029</v>
      </c>
      <c r="E3261" s="366" t="s">
        <v>1721</v>
      </c>
      <c r="F3261" s="366" t="s">
        <v>31</v>
      </c>
      <c r="G3261" s="348" t="str">
        <f>"'"&amp;$C3261&amp;"'!$E$61:$Y$61"</f>
        <v>'BLD_NT'!$E$61:$Y$61</v>
      </c>
      <c r="H3261" s="381">
        <f ca="1">IF(IFERROR(INDEX(DATA_PROPERTY_MASTER!$E$5:$E$21,MATCH($C3261,DATA_PROPERTY_MASTER!$A$5:$A$21,0))="Yes",FALSE),IFERROR(INDEX(INDIRECT("'"&amp;$C3261&amp;"'!$E$61:$Y$61"),1,MATCH($D3261,INDIRECT("'"&amp;$C3261&amp;"'!$E$12:$Y$12"),0)),0),0)</f>
        <v>0</v>
      </c>
      <c r="I3261" s="366" t="s">
        <v>1690</v>
      </c>
      <c r="J3261" s="348" t="str">
        <f t="shared" ca="1" si="100"/>
        <v>OK</v>
      </c>
      <c r="K3261" s="366" t="s">
        <v>1723</v>
      </c>
      <c r="L3261" s="366" t="s">
        <v>2252</v>
      </c>
      <c r="M3261" s="350" t="str">
        <f>IF($B3261="Portfolio","Portfolio",IFERROR(INDEX(DATA_ASSET_CLASSIFICATION!$B$8:$B$24,MATCH($C3261,DATA_ASSET_CLASSIFICATION!$A$8:$A$24,0)),"Review"))</f>
        <v>Natalia Terrace</v>
      </c>
      <c r="N3261" s="350" t="str">
        <f ca="1">IF($B3261="Portfolio","Portfolio",IFERROR(INDEX(DATA_ASSET_CLASSIFICATION!$U$8:$U$24,MATCH($C3261,DATA_ASSET_CLASSIFICATION!$A$8:$A$24,0)),"Review"))</f>
        <v>Refi Watch</v>
      </c>
      <c r="O3261" s="350" t="str">
        <f ca="1">IF($B3261="Portfolio","Portfolio",IFERROR(INDEX(DATA_ASSET_CLASSIFICATION!$AB$8:$AB$13,MATCH($N3261,DATA_ASSET_CLASSIFICATION!$AA$8:$AA$13,0)),"Review"))</f>
        <v>Bucket 2 · Legacy</v>
      </c>
      <c r="P3261" s="350" t="str">
        <f>IF($B3261="Portfolio","Portfolio",IFERROR(INDEX(DATA_ASSET_CLASSIFICATION!$C$8:$C$24,MATCH($C3261,DATA_ASSET_CLASSIFICATION!$A$8:$A$24,0)),"Review"))</f>
        <v>Yes</v>
      </c>
      <c r="Q3261" s="350" t="str">
        <f t="shared" ca="1" si="101"/>
        <v>OK</v>
      </c>
    </row>
    <row r="3262" spans="1:17">
      <c r="A3262" s="366" t="s">
        <v>5218</v>
      </c>
      <c r="B3262" s="366" t="s">
        <v>231</v>
      </c>
      <c r="C3262" s="348" t="str">
        <f>DATA_PROPERTY_MASTER!$A$15</f>
        <v>BLD_NT</v>
      </c>
      <c r="D3262" s="380">
        <f>'00_PORTFOLIO ROLLUP'!I$12</f>
        <v>2029</v>
      </c>
      <c r="E3262" s="366" t="s">
        <v>1721</v>
      </c>
      <c r="F3262" s="366" t="s">
        <v>33</v>
      </c>
      <c r="G3262" s="348" t="str">
        <f>"'"&amp;$C3262&amp;"'!$E$62:$Y$62"</f>
        <v>'BLD_NT'!$E$62:$Y$62</v>
      </c>
      <c r="H3262" s="381">
        <f ca="1">IF(IFERROR(INDEX(DATA_PROPERTY_MASTER!$E$5:$E$21,MATCH($C3262,DATA_PROPERTY_MASTER!$A$5:$A$21,0))="Yes",FALSE),IFERROR(INDEX(INDIRECT("'"&amp;$C3262&amp;"'!$E$62:$Y$62"),1,MATCH($D3262,INDIRECT("'"&amp;$C3262&amp;"'!$E$12:$Y$12"),0)),0),0)</f>
        <v>0</v>
      </c>
      <c r="I3262" s="366" t="s">
        <v>1685</v>
      </c>
      <c r="J3262" s="348" t="str">
        <f t="shared" ca="1" si="100"/>
        <v>OK</v>
      </c>
      <c r="K3262" s="366" t="s">
        <v>1727</v>
      </c>
      <c r="L3262" s="366" t="s">
        <v>2254</v>
      </c>
      <c r="M3262" s="350" t="str">
        <f>IF($B3262="Portfolio","Portfolio",IFERROR(INDEX(DATA_ASSET_CLASSIFICATION!$B$8:$B$24,MATCH($C3262,DATA_ASSET_CLASSIFICATION!$A$8:$A$24,0)),"Review"))</f>
        <v>Natalia Terrace</v>
      </c>
      <c r="N3262" s="350" t="str">
        <f ca="1">IF($B3262="Portfolio","Portfolio",IFERROR(INDEX(DATA_ASSET_CLASSIFICATION!$U$8:$U$24,MATCH($C3262,DATA_ASSET_CLASSIFICATION!$A$8:$A$24,0)),"Review"))</f>
        <v>Refi Watch</v>
      </c>
      <c r="O3262" s="350" t="str">
        <f ca="1">IF($B3262="Portfolio","Portfolio",IFERROR(INDEX(DATA_ASSET_CLASSIFICATION!$AB$8:$AB$13,MATCH($N3262,DATA_ASSET_CLASSIFICATION!$AA$8:$AA$13,0)),"Review"))</f>
        <v>Bucket 2 · Legacy</v>
      </c>
      <c r="P3262" s="350" t="str">
        <f>IF($B3262="Portfolio","Portfolio",IFERROR(INDEX(DATA_ASSET_CLASSIFICATION!$C$8:$C$24,MATCH($C3262,DATA_ASSET_CLASSIFICATION!$A$8:$A$24,0)),"Review"))</f>
        <v>Yes</v>
      </c>
      <c r="Q3262" s="350" t="str">
        <f t="shared" ca="1" si="101"/>
        <v>OK</v>
      </c>
    </row>
    <row r="3263" spans="1:17">
      <c r="A3263" s="366" t="s">
        <v>5219</v>
      </c>
      <c r="B3263" s="366" t="s">
        <v>231</v>
      </c>
      <c r="C3263" s="348" t="str">
        <f>DATA_PROPERTY_MASTER!$A$15</f>
        <v>BLD_NT</v>
      </c>
      <c r="D3263" s="380">
        <f>'00_PORTFOLIO ROLLUP'!I$12</f>
        <v>2029</v>
      </c>
      <c r="E3263" s="366" t="s">
        <v>1721</v>
      </c>
      <c r="F3263" s="366" t="s">
        <v>35</v>
      </c>
      <c r="G3263" s="348" t="str">
        <f>"'"&amp;$C3263&amp;"'!$E$63:$Y$63"</f>
        <v>'BLD_NT'!$E$63:$Y$63</v>
      </c>
      <c r="H3263" s="381">
        <f ca="1">IF(IFERROR(INDEX(DATA_PROPERTY_MASTER!$E$5:$E$21,MATCH($C3263,DATA_PROPERTY_MASTER!$A$5:$A$21,0))="Yes",FALSE),IFERROR(INDEX(INDIRECT("'"&amp;$C3263&amp;"'!$E$63:$Y$63"),1,MATCH($D3263,INDIRECT("'"&amp;$C3263&amp;"'!$E$12:$Y$12"),0)),0),0)</f>
        <v>0</v>
      </c>
      <c r="I3263" s="366" t="s">
        <v>1731</v>
      </c>
      <c r="J3263" s="348" t="str">
        <f t="shared" ca="1" si="100"/>
        <v>OK</v>
      </c>
      <c r="K3263" s="366" t="s">
        <v>1732</v>
      </c>
      <c r="L3263" s="366" t="s">
        <v>2256</v>
      </c>
      <c r="M3263" s="350" t="str">
        <f>IF($B3263="Portfolio","Portfolio",IFERROR(INDEX(DATA_ASSET_CLASSIFICATION!$B$8:$B$24,MATCH($C3263,DATA_ASSET_CLASSIFICATION!$A$8:$A$24,0)),"Review"))</f>
        <v>Natalia Terrace</v>
      </c>
      <c r="N3263" s="350" t="str">
        <f ca="1">IF($B3263="Portfolio","Portfolio",IFERROR(INDEX(DATA_ASSET_CLASSIFICATION!$U$8:$U$24,MATCH($C3263,DATA_ASSET_CLASSIFICATION!$A$8:$A$24,0)),"Review"))</f>
        <v>Refi Watch</v>
      </c>
      <c r="O3263" s="350" t="str">
        <f ca="1">IF($B3263="Portfolio","Portfolio",IFERROR(INDEX(DATA_ASSET_CLASSIFICATION!$AB$8:$AB$13,MATCH($N3263,DATA_ASSET_CLASSIFICATION!$AA$8:$AA$13,0)),"Review"))</f>
        <v>Bucket 2 · Legacy</v>
      </c>
      <c r="P3263" s="350" t="str">
        <f>IF($B3263="Portfolio","Portfolio",IFERROR(INDEX(DATA_ASSET_CLASSIFICATION!$C$8:$C$24,MATCH($C3263,DATA_ASSET_CLASSIFICATION!$A$8:$A$24,0)),"Review"))</f>
        <v>Yes</v>
      </c>
      <c r="Q3263" s="350" t="str">
        <f t="shared" ca="1" si="101"/>
        <v>OK</v>
      </c>
    </row>
    <row r="3264" spans="1:17">
      <c r="A3264" s="366" t="s">
        <v>5220</v>
      </c>
      <c r="B3264" s="366" t="s">
        <v>231</v>
      </c>
      <c r="C3264" s="348" t="str">
        <f>DATA_PROPERTY_MASTER!$A$15</f>
        <v>BLD_NT</v>
      </c>
      <c r="D3264" s="380">
        <f>'00_PORTFOLIO ROLLUP'!I$12</f>
        <v>2029</v>
      </c>
      <c r="E3264" s="366" t="s">
        <v>1721</v>
      </c>
      <c r="F3264" s="366" t="s">
        <v>37</v>
      </c>
      <c r="G3264" s="348" t="str">
        <f>"'"&amp;$C3264&amp;"'!$E$63:$Y$63"</f>
        <v>'BLD_NT'!$E$63:$Y$63</v>
      </c>
      <c r="H3264" s="381">
        <f ca="1">IF(IFERROR(INDEX(DATA_PROPERTY_MASTER!$E$5:$E$21,MATCH($C3264,DATA_PROPERTY_MASTER!$A$5:$A$21,0))="Yes",FALSE),MAX(IFERROR(INDEX(INDIRECT("'"&amp;$C3264&amp;"'!$E$63:$Y$63"),1,MATCH($D3264,INDIRECT("'"&amp;$C3264&amp;"'!$E$12:$Y$12"),0)),0),0),0)</f>
        <v>0</v>
      </c>
      <c r="I3264" s="366" t="s">
        <v>1685</v>
      </c>
      <c r="J3264" s="348" t="str">
        <f t="shared" ca="1" si="100"/>
        <v>OK</v>
      </c>
      <c r="K3264" s="366" t="s">
        <v>1735</v>
      </c>
      <c r="L3264" s="366" t="s">
        <v>2258</v>
      </c>
      <c r="M3264" s="350" t="str">
        <f>IF($B3264="Portfolio","Portfolio",IFERROR(INDEX(DATA_ASSET_CLASSIFICATION!$B$8:$B$24,MATCH($C3264,DATA_ASSET_CLASSIFICATION!$A$8:$A$24,0)),"Review"))</f>
        <v>Natalia Terrace</v>
      </c>
      <c r="N3264" s="350" t="str">
        <f ca="1">IF($B3264="Portfolio","Portfolio",IFERROR(INDEX(DATA_ASSET_CLASSIFICATION!$U$8:$U$24,MATCH($C3264,DATA_ASSET_CLASSIFICATION!$A$8:$A$24,0)),"Review"))</f>
        <v>Refi Watch</v>
      </c>
      <c r="O3264" s="350" t="str">
        <f ca="1">IF($B3264="Portfolio","Portfolio",IFERROR(INDEX(DATA_ASSET_CLASSIFICATION!$AB$8:$AB$13,MATCH($N3264,DATA_ASSET_CLASSIFICATION!$AA$8:$AA$13,0)),"Review"))</f>
        <v>Bucket 2 · Legacy</v>
      </c>
      <c r="P3264" s="350" t="str">
        <f>IF($B3264="Portfolio","Portfolio",IFERROR(INDEX(DATA_ASSET_CLASSIFICATION!$C$8:$C$24,MATCH($C3264,DATA_ASSET_CLASSIFICATION!$A$8:$A$24,0)),"Review"))</f>
        <v>Yes</v>
      </c>
      <c r="Q3264" s="350" t="str">
        <f t="shared" ca="1" si="101"/>
        <v>OK</v>
      </c>
    </row>
    <row r="3265" spans="1:17">
      <c r="A3265" s="366" t="s">
        <v>5221</v>
      </c>
      <c r="B3265" s="366" t="s">
        <v>231</v>
      </c>
      <c r="C3265" s="348" t="str">
        <f>DATA_PROPERTY_MASTER!$A$15</f>
        <v>BLD_NT</v>
      </c>
      <c r="D3265" s="380">
        <f>'00_PORTFOLIO ROLLUP'!I$12</f>
        <v>2029</v>
      </c>
      <c r="E3265" s="366" t="s">
        <v>1721</v>
      </c>
      <c r="F3265" s="366" t="s">
        <v>39</v>
      </c>
      <c r="G3265" s="348" t="str">
        <f>"'"&amp;$C3265&amp;"'!$E$63:$Y$63"</f>
        <v>'BLD_NT'!$E$63:$Y$63</v>
      </c>
      <c r="H3265" s="381">
        <f ca="1">IF(IFERROR(INDEX(DATA_PROPERTY_MASTER!$E$5:$E$21,MATCH($C3265,DATA_PROPERTY_MASTER!$A$5:$A$21,0))="Yes",FALSE),MAX(-IFERROR(INDEX(INDIRECT("'"&amp;$C3265&amp;"'!$E$63:$Y$63"),1,MATCH($D3265,INDIRECT("'"&amp;$C3265&amp;"'!$E$12:$Y$12"),0)),0),0),0)</f>
        <v>0</v>
      </c>
      <c r="I3265" s="366" t="s">
        <v>1690</v>
      </c>
      <c r="J3265" s="348" t="str">
        <f t="shared" ca="1" si="100"/>
        <v>OK</v>
      </c>
      <c r="K3265" s="366" t="s">
        <v>1738</v>
      </c>
      <c r="L3265" s="366" t="s">
        <v>2260</v>
      </c>
      <c r="M3265" s="350" t="str">
        <f>IF($B3265="Portfolio","Portfolio",IFERROR(INDEX(DATA_ASSET_CLASSIFICATION!$B$8:$B$24,MATCH($C3265,DATA_ASSET_CLASSIFICATION!$A$8:$A$24,0)),"Review"))</f>
        <v>Natalia Terrace</v>
      </c>
      <c r="N3265" s="350" t="str">
        <f ca="1">IF($B3265="Portfolio","Portfolio",IFERROR(INDEX(DATA_ASSET_CLASSIFICATION!$U$8:$U$24,MATCH($C3265,DATA_ASSET_CLASSIFICATION!$A$8:$A$24,0)),"Review"))</f>
        <v>Refi Watch</v>
      </c>
      <c r="O3265" s="350" t="str">
        <f ca="1">IF($B3265="Portfolio","Portfolio",IFERROR(INDEX(DATA_ASSET_CLASSIFICATION!$AB$8:$AB$13,MATCH($N3265,DATA_ASSET_CLASSIFICATION!$AA$8:$AA$13,0)),"Review"))</f>
        <v>Bucket 2 · Legacy</v>
      </c>
      <c r="P3265" s="350" t="str">
        <f>IF($B3265="Portfolio","Portfolio",IFERROR(INDEX(DATA_ASSET_CLASSIFICATION!$C$8:$C$24,MATCH($C3265,DATA_ASSET_CLASSIFICATION!$A$8:$A$24,0)),"Review"))</f>
        <v>Yes</v>
      </c>
      <c r="Q3265" s="350" t="str">
        <f t="shared" ca="1" si="101"/>
        <v>OK</v>
      </c>
    </row>
    <row r="3266" spans="1:17">
      <c r="A3266" s="366" t="s">
        <v>5222</v>
      </c>
      <c r="B3266" s="366" t="s">
        <v>231</v>
      </c>
      <c r="C3266" s="348" t="str">
        <f>DATA_PROPERTY_MASTER!$A$15</f>
        <v>BLD_NT</v>
      </c>
      <c r="D3266" s="380">
        <f>'00_PORTFOLIO ROLLUP'!I$12</f>
        <v>2029</v>
      </c>
      <c r="E3266" s="366" t="s">
        <v>1741</v>
      </c>
      <c r="F3266" s="366" t="s">
        <v>41</v>
      </c>
      <c r="G3266" s="348" t="str">
        <f>"'"&amp;$C3266&amp;"'!rows 56 + positive row 63"</f>
        <v>'BLD_NT'!rows 56 + positive row 63</v>
      </c>
      <c r="H3266" s="381">
        <f ca="1">IF(IFERROR(INDEX(DATA_PROPERTY_MASTER!$E$5:$E$21,MATCH($C3266,DATA_PROPERTY_MASTER!$A$5:$A$21,0))="Yes",FALSE),IFERROR(INDEX(INDIRECT("'"&amp;$C3266&amp;"'!$E$56:$Y$56"),1,MATCH($D3266,INDIRECT("'"&amp;$C3266&amp;"'!$E$12:$Y$12"),0)),0)+MAX(IFERROR(INDEX(INDIRECT("'"&amp;$C3266&amp;"'!$E$63:$Y$63"),1,MATCH($D3266,INDIRECT("'"&amp;$C3266&amp;"'!$E$12:$Y$12"),0)),0),0),0)</f>
        <v>178265.33747255296</v>
      </c>
      <c r="I3266" s="366" t="s">
        <v>1685</v>
      </c>
      <c r="J3266" s="348" t="str">
        <f t="shared" ca="1" si="100"/>
        <v>OK</v>
      </c>
      <c r="K3266" s="366" t="s">
        <v>1742</v>
      </c>
      <c r="L3266" s="366" t="s">
        <v>2262</v>
      </c>
      <c r="M3266" s="350" t="str">
        <f>IF($B3266="Portfolio","Portfolio",IFERROR(INDEX(DATA_ASSET_CLASSIFICATION!$B$8:$B$24,MATCH($C3266,DATA_ASSET_CLASSIFICATION!$A$8:$A$24,0)),"Review"))</f>
        <v>Natalia Terrace</v>
      </c>
      <c r="N3266" s="350" t="str">
        <f ca="1">IF($B3266="Portfolio","Portfolio",IFERROR(INDEX(DATA_ASSET_CLASSIFICATION!$U$8:$U$24,MATCH($C3266,DATA_ASSET_CLASSIFICATION!$A$8:$A$24,0)),"Review"))</f>
        <v>Refi Watch</v>
      </c>
      <c r="O3266" s="350" t="str">
        <f ca="1">IF($B3266="Portfolio","Portfolio",IFERROR(INDEX(DATA_ASSET_CLASSIFICATION!$AB$8:$AB$13,MATCH($N3266,DATA_ASSET_CLASSIFICATION!$AA$8:$AA$13,0)),"Review"))</f>
        <v>Bucket 2 · Legacy</v>
      </c>
      <c r="P3266" s="350" t="str">
        <f>IF($B3266="Portfolio","Portfolio",IFERROR(INDEX(DATA_ASSET_CLASSIFICATION!$C$8:$C$24,MATCH($C3266,DATA_ASSET_CLASSIFICATION!$A$8:$A$24,0)),"Review"))</f>
        <v>Yes</v>
      </c>
      <c r="Q3266" s="350" t="str">
        <f t="shared" ca="1" si="101"/>
        <v>OK</v>
      </c>
    </row>
    <row r="3267" spans="1:17">
      <c r="A3267" s="366" t="s">
        <v>5223</v>
      </c>
      <c r="B3267" s="366" t="s">
        <v>231</v>
      </c>
      <c r="C3267" s="348" t="str">
        <f>DATA_PROPERTY_MASTER!$A$15</f>
        <v>BLD_NT</v>
      </c>
      <c r="D3267" s="380">
        <f>'00_PORTFOLIO ROLLUP'!I$12</f>
        <v>2029</v>
      </c>
      <c r="E3267" s="366" t="s">
        <v>1741</v>
      </c>
      <c r="F3267" s="366" t="s">
        <v>43</v>
      </c>
      <c r="G3267" s="348" t="str">
        <f>"'"&amp;$C3267&amp;"'!$E$68:$Y$68"</f>
        <v>'BLD_NT'!$E$68:$Y$68</v>
      </c>
      <c r="H3267" s="381">
        <f ca="1">IF(IFERROR(INDEX(DATA_PROPERTY_MASTER!$E$5:$E$21,MATCH($C3267,DATA_PROPERTY_MASTER!$A$5:$A$21,0))="Yes",FALSE),IFERROR(INDEX(INDIRECT("'"&amp;$C3267&amp;"'!$E$68:$Y$68"),1,MATCH($D3267,INDIRECT("'"&amp;$C3267&amp;"'!$E$12:$Y$12"),0)),0),0)</f>
        <v>178265.33747255296</v>
      </c>
      <c r="I3267" s="366" t="s">
        <v>1731</v>
      </c>
      <c r="J3267" s="348" t="str">
        <f t="shared" ca="1" si="100"/>
        <v>OK</v>
      </c>
      <c r="K3267" s="366" t="s">
        <v>1746</v>
      </c>
      <c r="L3267" s="366" t="s">
        <v>2264</v>
      </c>
      <c r="M3267" s="350" t="str">
        <f>IF($B3267="Portfolio","Portfolio",IFERROR(INDEX(DATA_ASSET_CLASSIFICATION!$B$8:$B$24,MATCH($C3267,DATA_ASSET_CLASSIFICATION!$A$8:$A$24,0)),"Review"))</f>
        <v>Natalia Terrace</v>
      </c>
      <c r="N3267" s="350" t="str">
        <f ca="1">IF($B3267="Portfolio","Portfolio",IFERROR(INDEX(DATA_ASSET_CLASSIFICATION!$U$8:$U$24,MATCH($C3267,DATA_ASSET_CLASSIFICATION!$A$8:$A$24,0)),"Review"))</f>
        <v>Refi Watch</v>
      </c>
      <c r="O3267" s="350" t="str">
        <f ca="1">IF($B3267="Portfolio","Portfolio",IFERROR(INDEX(DATA_ASSET_CLASSIFICATION!$AB$8:$AB$13,MATCH($N3267,DATA_ASSET_CLASSIFICATION!$AA$8:$AA$13,0)),"Review"))</f>
        <v>Bucket 2 · Legacy</v>
      </c>
      <c r="P3267" s="350" t="str">
        <f>IF($B3267="Portfolio","Portfolio",IFERROR(INDEX(DATA_ASSET_CLASSIFICATION!$C$8:$C$24,MATCH($C3267,DATA_ASSET_CLASSIFICATION!$A$8:$A$24,0)),"Review"))</f>
        <v>Yes</v>
      </c>
      <c r="Q3267" s="350" t="str">
        <f t="shared" ca="1" si="101"/>
        <v>OK</v>
      </c>
    </row>
    <row r="3268" spans="1:17">
      <c r="A3268" s="366" t="s">
        <v>5224</v>
      </c>
      <c r="B3268" s="366" t="s">
        <v>231</v>
      </c>
      <c r="C3268" s="348" t="str">
        <f>DATA_PROPERTY_MASTER!$A$15</f>
        <v>BLD_NT</v>
      </c>
      <c r="D3268" s="380">
        <f>'00_PORTFOLIO ROLLUP'!I$12</f>
        <v>2029</v>
      </c>
      <c r="E3268" s="366" t="s">
        <v>1741</v>
      </c>
      <c r="F3268" s="366" t="s">
        <v>1749</v>
      </c>
      <c r="G3268" s="348" t="str">
        <f>"'"&amp;$C3268&amp;"'!rows 56, 63, 68"</f>
        <v>'BLD_NT'!rows 56, 63, 68</v>
      </c>
      <c r="H3268" s="381">
        <f ca="1">IF(IFERROR(INDEX(DATA_PROPERTY_MASTER!$E$5:$E$21,MATCH($C3268,DATA_PROPERTY_MASTER!$A$5:$A$21,0))="Yes",FALSE),(IFERROR(INDEX(INDIRECT("'"&amp;$C3268&amp;"'!$E$56:$Y$56"),1,MATCH($D3268,INDIRECT("'"&amp;$C3268&amp;"'!$E$12:$Y$12"),0)),0)+MAX(IFERROR(INDEX(INDIRECT("'"&amp;$C3268&amp;"'!$E$63:$Y$63"),1,MATCH($D3268,INDIRECT("'"&amp;$C3268&amp;"'!$E$12:$Y$12"),0)),0),0))-(IFERROR(INDEX(INDIRECT("'"&amp;$C3268&amp;"'!$E$68:$Y$68"),1,MATCH($D3268,INDIRECT("'"&amp;$C3268&amp;"'!$E$12:$Y$12"),0)),0)),0)</f>
        <v>0</v>
      </c>
      <c r="I3268" s="366" t="s">
        <v>1750</v>
      </c>
      <c r="J3268" s="348" t="str">
        <f t="shared" ca="1" si="100"/>
        <v>OK</v>
      </c>
      <c r="K3268" s="366" t="s">
        <v>1751</v>
      </c>
      <c r="L3268" s="366" t="s">
        <v>2266</v>
      </c>
      <c r="M3268" s="350" t="str">
        <f>IF($B3268="Portfolio","Portfolio",IFERROR(INDEX(DATA_ASSET_CLASSIFICATION!$B$8:$B$24,MATCH($C3268,DATA_ASSET_CLASSIFICATION!$A$8:$A$24,0)),"Review"))</f>
        <v>Natalia Terrace</v>
      </c>
      <c r="N3268" s="350" t="str">
        <f ca="1">IF($B3268="Portfolio","Portfolio",IFERROR(INDEX(DATA_ASSET_CLASSIFICATION!$U$8:$U$24,MATCH($C3268,DATA_ASSET_CLASSIFICATION!$A$8:$A$24,0)),"Review"))</f>
        <v>Refi Watch</v>
      </c>
      <c r="O3268" s="350" t="str">
        <f ca="1">IF($B3268="Portfolio","Portfolio",IFERROR(INDEX(DATA_ASSET_CLASSIFICATION!$AB$8:$AB$13,MATCH($N3268,DATA_ASSET_CLASSIFICATION!$AA$8:$AA$13,0)),"Review"))</f>
        <v>Bucket 2 · Legacy</v>
      </c>
      <c r="P3268" s="350" t="str">
        <f>IF($B3268="Portfolio","Portfolio",IFERROR(INDEX(DATA_ASSET_CLASSIFICATION!$C$8:$C$24,MATCH($C3268,DATA_ASSET_CLASSIFICATION!$A$8:$A$24,0)),"Review"))</f>
        <v>Yes</v>
      </c>
      <c r="Q3268" s="350" t="str">
        <f t="shared" ca="1" si="101"/>
        <v>OK</v>
      </c>
    </row>
    <row r="3269" spans="1:17">
      <c r="A3269" s="366" t="s">
        <v>5225</v>
      </c>
      <c r="B3269" s="366" t="s">
        <v>231</v>
      </c>
      <c r="C3269" s="348" t="str">
        <f>DATA_PROPERTY_MASTER!$A$15</f>
        <v>BLD_NT</v>
      </c>
      <c r="D3269" s="380">
        <f>'00_PORTFOLIO ROLLUP'!J$12</f>
        <v>2030</v>
      </c>
      <c r="E3269" s="366" t="s">
        <v>1683</v>
      </c>
      <c r="F3269" s="366" t="s">
        <v>341</v>
      </c>
      <c r="G3269" s="348" t="str">
        <f>"'"&amp;$C3269&amp;"'!$E$24:$Y$24"</f>
        <v>'BLD_NT'!$E$24:$Y$24</v>
      </c>
      <c r="H3269" s="381">
        <f ca="1">IF(IFERROR(INDEX(DATA_PROPERTY_MASTER!$E$5:$E$21,MATCH($C3269,DATA_PROPERTY_MASTER!$A$5:$A$21,0))="Yes",FALSE),IFERROR(INDEX(INDIRECT("'"&amp;$C3269&amp;"'!$E$24:$Y$24"),1,MATCH($D3269,INDIRECT("'"&amp;$C3269&amp;"'!$E$12:$Y$12"),0)),0),0)</f>
        <v>799346.37548208842</v>
      </c>
      <c r="I3269" s="366" t="s">
        <v>1685</v>
      </c>
      <c r="J3269" s="348" t="str">
        <f t="shared" ref="J3269:J3332" ca="1" si="102">IF($F3269="Residual Funding Gap",IF($H3269&gt;0,"Funding Gap","OK"),IF(AND($F3269="Net Refinance Position",$H3269&lt;0),"Negative net refi position","OK"))</f>
        <v>OK</v>
      </c>
      <c r="K3269" s="366" t="s">
        <v>1686</v>
      </c>
      <c r="L3269" s="366" t="s">
        <v>2234</v>
      </c>
      <c r="M3269" s="350" t="str">
        <f>IF($B3269="Portfolio","Portfolio",IFERROR(INDEX(DATA_ASSET_CLASSIFICATION!$B$8:$B$24,MATCH($C3269,DATA_ASSET_CLASSIFICATION!$A$8:$A$24,0)),"Review"))</f>
        <v>Natalia Terrace</v>
      </c>
      <c r="N3269" s="350" t="str">
        <f ca="1">IF($B3269="Portfolio","Portfolio",IFERROR(INDEX(DATA_ASSET_CLASSIFICATION!$U$8:$U$24,MATCH($C3269,DATA_ASSET_CLASSIFICATION!$A$8:$A$24,0)),"Review"))</f>
        <v>Refi Watch</v>
      </c>
      <c r="O3269" s="350" t="str">
        <f ca="1">IF($B3269="Portfolio","Portfolio",IFERROR(INDEX(DATA_ASSET_CLASSIFICATION!$AB$8:$AB$13,MATCH($N3269,DATA_ASSET_CLASSIFICATION!$AA$8:$AA$13,0)),"Review"))</f>
        <v>Bucket 2 · Legacy</v>
      </c>
      <c r="P3269" s="350" t="str">
        <f>IF($B3269="Portfolio","Portfolio",IFERROR(INDEX(DATA_ASSET_CLASSIFICATION!$C$8:$C$24,MATCH($C3269,DATA_ASSET_CLASSIFICATION!$A$8:$A$24,0)),"Review"))</f>
        <v>Yes</v>
      </c>
      <c r="Q3269" s="350" t="str">
        <f t="shared" ref="Q3269:Q3332" ca="1" si="103">IF(AND($B3269="Property",$F3269="Residual Funding Gap",$H3269&gt;0),"Property Funding Gap",IF($J3269&lt;&gt;"OK",$J3269,"OK"))</f>
        <v>OK</v>
      </c>
    </row>
    <row r="3270" spans="1:17">
      <c r="A3270" s="366" t="s">
        <v>5226</v>
      </c>
      <c r="B3270" s="366" t="s">
        <v>231</v>
      </c>
      <c r="C3270" s="348" t="str">
        <f>DATA_PROPERTY_MASTER!$A$15</f>
        <v>BLD_NT</v>
      </c>
      <c r="D3270" s="380">
        <f>'00_PORTFOLIO ROLLUP'!J$12</f>
        <v>2030</v>
      </c>
      <c r="E3270" s="366" t="s">
        <v>1683</v>
      </c>
      <c r="F3270" s="366" t="s">
        <v>355</v>
      </c>
      <c r="G3270" s="348" t="str">
        <f>"'"&amp;$C3270&amp;"'!$E$39:$Y$39"</f>
        <v>'BLD_NT'!$E$39:$Y$39</v>
      </c>
      <c r="H3270" s="381">
        <f ca="1">IF(IFERROR(INDEX(DATA_PROPERTY_MASTER!$E$5:$E$21,MATCH($C3270,DATA_PROPERTY_MASTER!$A$5:$A$21,0))="Yes",FALSE),IFERROR(INDEX(INDIRECT("'"&amp;$C3270&amp;"'!$E$39:$Y$39"),1,MATCH($D3270,INDIRECT("'"&amp;$C3270&amp;"'!$E$12:$Y$12"),0)),0),0)</f>
        <v>351529.9563962369</v>
      </c>
      <c r="I3270" s="366" t="s">
        <v>1690</v>
      </c>
      <c r="J3270" s="348" t="str">
        <f t="shared" ca="1" si="102"/>
        <v>OK</v>
      </c>
      <c r="K3270" s="366" t="s">
        <v>1686</v>
      </c>
      <c r="L3270" s="366" t="s">
        <v>2236</v>
      </c>
      <c r="M3270" s="350" t="str">
        <f>IF($B3270="Portfolio","Portfolio",IFERROR(INDEX(DATA_ASSET_CLASSIFICATION!$B$8:$B$24,MATCH($C3270,DATA_ASSET_CLASSIFICATION!$A$8:$A$24,0)),"Review"))</f>
        <v>Natalia Terrace</v>
      </c>
      <c r="N3270" s="350" t="str">
        <f ca="1">IF($B3270="Portfolio","Portfolio",IFERROR(INDEX(DATA_ASSET_CLASSIFICATION!$U$8:$U$24,MATCH($C3270,DATA_ASSET_CLASSIFICATION!$A$8:$A$24,0)),"Review"))</f>
        <v>Refi Watch</v>
      </c>
      <c r="O3270" s="350" t="str">
        <f ca="1">IF($B3270="Portfolio","Portfolio",IFERROR(INDEX(DATA_ASSET_CLASSIFICATION!$AB$8:$AB$13,MATCH($N3270,DATA_ASSET_CLASSIFICATION!$AA$8:$AA$13,0)),"Review"))</f>
        <v>Bucket 2 · Legacy</v>
      </c>
      <c r="P3270" s="350" t="str">
        <f>IF($B3270="Portfolio","Portfolio",IFERROR(INDEX(DATA_ASSET_CLASSIFICATION!$C$8:$C$24,MATCH($C3270,DATA_ASSET_CLASSIFICATION!$A$8:$A$24,0)),"Review"))</f>
        <v>Yes</v>
      </c>
      <c r="Q3270" s="350" t="str">
        <f t="shared" ca="1" si="103"/>
        <v>OK</v>
      </c>
    </row>
    <row r="3271" spans="1:17">
      <c r="A3271" s="366" t="s">
        <v>5227</v>
      </c>
      <c r="B3271" s="366" t="s">
        <v>231</v>
      </c>
      <c r="C3271" s="348" t="str">
        <f>DATA_PROPERTY_MASTER!$A$15</f>
        <v>BLD_NT</v>
      </c>
      <c r="D3271" s="380">
        <f>'00_PORTFOLIO ROLLUP'!J$12</f>
        <v>2030</v>
      </c>
      <c r="E3271" s="366" t="s">
        <v>1683</v>
      </c>
      <c r="F3271" s="366" t="s">
        <v>19</v>
      </c>
      <c r="G3271" s="348" t="str">
        <f>"'"&amp;$C3271&amp;"'!$E$41:$Y$41"</f>
        <v>'BLD_NT'!$E$41:$Y$41</v>
      </c>
      <c r="H3271" s="381">
        <f ca="1">IF(IFERROR(INDEX(DATA_PROPERTY_MASTER!$E$5:$E$21,MATCH($C3271,DATA_PROPERTY_MASTER!$A$5:$A$21,0))="Yes",FALSE),IFERROR(INDEX(INDIRECT("'"&amp;$C3271&amp;"'!$E$41:$Y$41"),1,MATCH($D3271,INDIRECT("'"&amp;$C3271&amp;"'!$E$12:$Y$12"),0)),0),0)</f>
        <v>447816.41908585152</v>
      </c>
      <c r="I3271" s="366" t="s">
        <v>1685</v>
      </c>
      <c r="J3271" s="348" t="str">
        <f t="shared" ca="1" si="102"/>
        <v>OK</v>
      </c>
      <c r="K3271" s="366" t="s">
        <v>1694</v>
      </c>
      <c r="L3271" s="366" t="s">
        <v>2238</v>
      </c>
      <c r="M3271" s="350" t="str">
        <f>IF($B3271="Portfolio","Portfolio",IFERROR(INDEX(DATA_ASSET_CLASSIFICATION!$B$8:$B$24,MATCH($C3271,DATA_ASSET_CLASSIFICATION!$A$8:$A$24,0)),"Review"))</f>
        <v>Natalia Terrace</v>
      </c>
      <c r="N3271" s="350" t="str">
        <f ca="1">IF($B3271="Portfolio","Portfolio",IFERROR(INDEX(DATA_ASSET_CLASSIFICATION!$U$8:$U$24,MATCH($C3271,DATA_ASSET_CLASSIFICATION!$A$8:$A$24,0)),"Review"))</f>
        <v>Refi Watch</v>
      </c>
      <c r="O3271" s="350" t="str">
        <f ca="1">IF($B3271="Portfolio","Portfolio",IFERROR(INDEX(DATA_ASSET_CLASSIFICATION!$AB$8:$AB$13,MATCH($N3271,DATA_ASSET_CLASSIFICATION!$AA$8:$AA$13,0)),"Review"))</f>
        <v>Bucket 2 · Legacy</v>
      </c>
      <c r="P3271" s="350" t="str">
        <f>IF($B3271="Portfolio","Portfolio",IFERROR(INDEX(DATA_ASSET_CLASSIFICATION!$C$8:$C$24,MATCH($C3271,DATA_ASSET_CLASSIFICATION!$A$8:$A$24,0)),"Review"))</f>
        <v>Yes</v>
      </c>
      <c r="Q3271" s="350" t="str">
        <f t="shared" ca="1" si="103"/>
        <v>OK</v>
      </c>
    </row>
    <row r="3272" spans="1:17">
      <c r="A3272" s="366" t="s">
        <v>5228</v>
      </c>
      <c r="B3272" s="366" t="s">
        <v>231</v>
      </c>
      <c r="C3272" s="348" t="str">
        <f>DATA_PROPERTY_MASTER!$A$15</f>
        <v>BLD_NT</v>
      </c>
      <c r="D3272" s="380">
        <f>'00_PORTFOLIO ROLLUP'!J$12</f>
        <v>2030</v>
      </c>
      <c r="E3272" s="366" t="s">
        <v>1683</v>
      </c>
      <c r="F3272" s="366" t="s">
        <v>1697</v>
      </c>
      <c r="G3272" s="348" t="str">
        <f>"'"&amp;$C3272&amp;"'!$E$44:$Y$44"</f>
        <v>'BLD_NT'!$E$44:$Y$44</v>
      </c>
      <c r="H3272" s="381">
        <f ca="1">IF(IFERROR(INDEX(DATA_PROPERTY_MASTER!$E$5:$E$21,MATCH($C3272,DATA_PROPERTY_MASTER!$A$5:$A$21,0))="Yes",FALSE),IFERROR(INDEX(INDIRECT("'"&amp;$C3272&amp;"'!$E$44:$Y$44"),1,MATCH($D3272,INDIRECT("'"&amp;$C3272&amp;"'!$E$12:$Y$12"),0)),0),0)</f>
        <v>6624.4848191999999</v>
      </c>
      <c r="I3272" s="366" t="s">
        <v>1690</v>
      </c>
      <c r="J3272" s="348" t="str">
        <f t="shared" ca="1" si="102"/>
        <v>OK</v>
      </c>
      <c r="K3272" s="366" t="s">
        <v>1699</v>
      </c>
      <c r="L3272" s="366" t="s">
        <v>2240</v>
      </c>
      <c r="M3272" s="350" t="str">
        <f>IF($B3272="Portfolio","Portfolio",IFERROR(INDEX(DATA_ASSET_CLASSIFICATION!$B$8:$B$24,MATCH($C3272,DATA_ASSET_CLASSIFICATION!$A$8:$A$24,0)),"Review"))</f>
        <v>Natalia Terrace</v>
      </c>
      <c r="N3272" s="350" t="str">
        <f ca="1">IF($B3272="Portfolio","Portfolio",IFERROR(INDEX(DATA_ASSET_CLASSIFICATION!$U$8:$U$24,MATCH($C3272,DATA_ASSET_CLASSIFICATION!$A$8:$A$24,0)),"Review"))</f>
        <v>Refi Watch</v>
      </c>
      <c r="O3272" s="350" t="str">
        <f ca="1">IF($B3272="Portfolio","Portfolio",IFERROR(INDEX(DATA_ASSET_CLASSIFICATION!$AB$8:$AB$13,MATCH($N3272,DATA_ASSET_CLASSIFICATION!$AA$8:$AA$13,0)),"Review"))</f>
        <v>Bucket 2 · Legacy</v>
      </c>
      <c r="P3272" s="350" t="str">
        <f>IF($B3272="Portfolio","Portfolio",IFERROR(INDEX(DATA_ASSET_CLASSIFICATION!$C$8:$C$24,MATCH($C3272,DATA_ASSET_CLASSIFICATION!$A$8:$A$24,0)),"Review"))</f>
        <v>Yes</v>
      </c>
      <c r="Q3272" s="350" t="str">
        <f t="shared" ca="1" si="103"/>
        <v>OK</v>
      </c>
    </row>
    <row r="3273" spans="1:17">
      <c r="A3273" s="366" t="s">
        <v>5229</v>
      </c>
      <c r="B3273" s="366" t="s">
        <v>231</v>
      </c>
      <c r="C3273" s="348" t="str">
        <f>DATA_PROPERTY_MASTER!$A$15</f>
        <v>BLD_NT</v>
      </c>
      <c r="D3273" s="380">
        <f>'00_PORTFOLIO ROLLUP'!J$12</f>
        <v>2030</v>
      </c>
      <c r="E3273" s="366" t="s">
        <v>1683</v>
      </c>
      <c r="F3273" s="366" t="s">
        <v>21</v>
      </c>
      <c r="G3273" s="348" t="str">
        <f>"'"&amp;$C3273&amp;"'!$E$45:$Y$45"</f>
        <v>'BLD_NT'!$E$45:$Y$45</v>
      </c>
      <c r="H3273" s="381">
        <f ca="1">IF(IFERROR(INDEX(DATA_PROPERTY_MASTER!$E$5:$E$21,MATCH($C3273,DATA_PROPERTY_MASTER!$A$5:$A$21,0))="Yes",FALSE),IFERROR(INDEX(INDIRECT("'"&amp;$C3273&amp;"'!$E$45:$Y$45"),1,MATCH($D3273,INDIRECT("'"&amp;$C3273&amp;"'!$E$12:$Y$12"),0)),0),0)</f>
        <v>441191.93426665151</v>
      </c>
      <c r="I3273" s="366" t="s">
        <v>1685</v>
      </c>
      <c r="J3273" s="348" t="str">
        <f t="shared" ca="1" si="102"/>
        <v>OK</v>
      </c>
      <c r="K3273" s="366" t="s">
        <v>1694</v>
      </c>
      <c r="L3273" s="366" t="s">
        <v>2242</v>
      </c>
      <c r="M3273" s="350" t="str">
        <f>IF($B3273="Portfolio","Portfolio",IFERROR(INDEX(DATA_ASSET_CLASSIFICATION!$B$8:$B$24,MATCH($C3273,DATA_ASSET_CLASSIFICATION!$A$8:$A$24,0)),"Review"))</f>
        <v>Natalia Terrace</v>
      </c>
      <c r="N3273" s="350" t="str">
        <f ca="1">IF($B3273="Portfolio","Portfolio",IFERROR(INDEX(DATA_ASSET_CLASSIFICATION!$U$8:$U$24,MATCH($C3273,DATA_ASSET_CLASSIFICATION!$A$8:$A$24,0)),"Review"))</f>
        <v>Refi Watch</v>
      </c>
      <c r="O3273" s="350" t="str">
        <f ca="1">IF($B3273="Portfolio","Portfolio",IFERROR(INDEX(DATA_ASSET_CLASSIFICATION!$AB$8:$AB$13,MATCH($N3273,DATA_ASSET_CLASSIFICATION!$AA$8:$AA$13,0)),"Review"))</f>
        <v>Bucket 2 · Legacy</v>
      </c>
      <c r="P3273" s="350" t="str">
        <f>IF($B3273="Portfolio","Portfolio",IFERROR(INDEX(DATA_ASSET_CLASSIFICATION!$C$8:$C$24,MATCH($C3273,DATA_ASSET_CLASSIFICATION!$A$8:$A$24,0)),"Review"))</f>
        <v>Yes</v>
      </c>
      <c r="Q3273" s="350" t="str">
        <f t="shared" ca="1" si="103"/>
        <v>OK</v>
      </c>
    </row>
    <row r="3274" spans="1:17">
      <c r="A3274" s="366" t="s">
        <v>5230</v>
      </c>
      <c r="B3274" s="366" t="s">
        <v>231</v>
      </c>
      <c r="C3274" s="348" t="str">
        <f>DATA_PROPERTY_MASTER!$A$15</f>
        <v>BLD_NT</v>
      </c>
      <c r="D3274" s="380">
        <f>'00_PORTFOLIO ROLLUP'!J$12</f>
        <v>2030</v>
      </c>
      <c r="E3274" s="366" t="s">
        <v>23</v>
      </c>
      <c r="F3274" s="366" t="s">
        <v>23</v>
      </c>
      <c r="G3274" s="348" t="str">
        <f>"'"&amp;$C3274&amp;"'!$E$48:$Y$48"</f>
        <v>'BLD_NT'!$E$48:$Y$48</v>
      </c>
      <c r="H3274" s="381">
        <f ca="1">IF(IFERROR(INDEX(DATA_PROPERTY_MASTER!$E$5:$E$21,MATCH($C3274,DATA_PROPERTY_MASTER!$A$5:$A$21,0))="Yes",FALSE),IFERROR(INDEX(INDIRECT("'"&amp;$C3274&amp;"'!$E$48:$Y$48"),1,MATCH($D3274,INDIRECT("'"&amp;$C3274&amp;"'!$E$12:$Y$12"),0)),0),0)</f>
        <v>0</v>
      </c>
      <c r="I3274" s="366" t="s">
        <v>1690</v>
      </c>
      <c r="J3274" s="348" t="str">
        <f t="shared" ca="1" si="102"/>
        <v>OK</v>
      </c>
      <c r="K3274" s="366" t="s">
        <v>1706</v>
      </c>
      <c r="L3274" s="366" t="s">
        <v>2244</v>
      </c>
      <c r="M3274" s="350" t="str">
        <f>IF($B3274="Portfolio","Portfolio",IFERROR(INDEX(DATA_ASSET_CLASSIFICATION!$B$8:$B$24,MATCH($C3274,DATA_ASSET_CLASSIFICATION!$A$8:$A$24,0)),"Review"))</f>
        <v>Natalia Terrace</v>
      </c>
      <c r="N3274" s="350" t="str">
        <f ca="1">IF($B3274="Portfolio","Portfolio",IFERROR(INDEX(DATA_ASSET_CLASSIFICATION!$U$8:$U$24,MATCH($C3274,DATA_ASSET_CLASSIFICATION!$A$8:$A$24,0)),"Review"))</f>
        <v>Refi Watch</v>
      </c>
      <c r="O3274" s="350" t="str">
        <f ca="1">IF($B3274="Portfolio","Portfolio",IFERROR(INDEX(DATA_ASSET_CLASSIFICATION!$AB$8:$AB$13,MATCH($N3274,DATA_ASSET_CLASSIFICATION!$AA$8:$AA$13,0)),"Review"))</f>
        <v>Bucket 2 · Legacy</v>
      </c>
      <c r="P3274" s="350" t="str">
        <f>IF($B3274="Portfolio","Portfolio",IFERROR(INDEX(DATA_ASSET_CLASSIFICATION!$C$8:$C$24,MATCH($C3274,DATA_ASSET_CLASSIFICATION!$A$8:$A$24,0)),"Review"))</f>
        <v>Yes</v>
      </c>
      <c r="Q3274" s="350" t="str">
        <f t="shared" ca="1" si="103"/>
        <v>OK</v>
      </c>
    </row>
    <row r="3275" spans="1:17">
      <c r="A3275" s="366" t="s">
        <v>5231</v>
      </c>
      <c r="B3275" s="366" t="s">
        <v>231</v>
      </c>
      <c r="C3275" s="348" t="str">
        <f>DATA_PROPERTY_MASTER!$A$15</f>
        <v>BLD_NT</v>
      </c>
      <c r="D3275" s="380">
        <f>'00_PORTFOLIO ROLLUP'!J$12</f>
        <v>2030</v>
      </c>
      <c r="E3275" s="366" t="s">
        <v>1683</v>
      </c>
      <c r="F3275" s="366" t="s">
        <v>25</v>
      </c>
      <c r="G3275" s="348" t="str">
        <f>"'"&amp;$C3275&amp;"'!$E$52:$Y$52"</f>
        <v>'BLD_NT'!$E$52:$Y$52</v>
      </c>
      <c r="H3275" s="381">
        <f ca="1">IF(IFERROR(INDEX(DATA_PROPERTY_MASTER!$E$5:$E$21,MATCH($C3275,DATA_PROPERTY_MASTER!$A$5:$A$21,0))="Yes",FALSE),IFERROR(INDEX(INDIRECT("'"&amp;$C3275&amp;"'!$E$52:$Y$52"),1,MATCH($D3275,INDIRECT("'"&amp;$C3275&amp;"'!$E$12:$Y$12"),0)),0),0)</f>
        <v>447816.41908585152</v>
      </c>
      <c r="I3275" s="366" t="s">
        <v>1685</v>
      </c>
      <c r="J3275" s="348" t="str">
        <f t="shared" ca="1" si="102"/>
        <v>OK</v>
      </c>
      <c r="K3275" s="366" t="s">
        <v>1710</v>
      </c>
      <c r="L3275" s="366" t="s">
        <v>2246</v>
      </c>
      <c r="M3275" s="350" t="str">
        <f>IF($B3275="Portfolio","Portfolio",IFERROR(INDEX(DATA_ASSET_CLASSIFICATION!$B$8:$B$24,MATCH($C3275,DATA_ASSET_CLASSIFICATION!$A$8:$A$24,0)),"Review"))</f>
        <v>Natalia Terrace</v>
      </c>
      <c r="N3275" s="350" t="str">
        <f ca="1">IF($B3275="Portfolio","Portfolio",IFERROR(INDEX(DATA_ASSET_CLASSIFICATION!$U$8:$U$24,MATCH($C3275,DATA_ASSET_CLASSIFICATION!$A$8:$A$24,0)),"Review"))</f>
        <v>Refi Watch</v>
      </c>
      <c r="O3275" s="350" t="str">
        <f ca="1">IF($B3275="Portfolio","Portfolio",IFERROR(INDEX(DATA_ASSET_CLASSIFICATION!$AB$8:$AB$13,MATCH($N3275,DATA_ASSET_CLASSIFICATION!$AA$8:$AA$13,0)),"Review"))</f>
        <v>Bucket 2 · Legacy</v>
      </c>
      <c r="P3275" s="350" t="str">
        <f>IF($B3275="Portfolio","Portfolio",IFERROR(INDEX(DATA_ASSET_CLASSIFICATION!$C$8:$C$24,MATCH($C3275,DATA_ASSET_CLASSIFICATION!$A$8:$A$24,0)),"Review"))</f>
        <v>Yes</v>
      </c>
      <c r="Q3275" s="350" t="str">
        <f t="shared" ca="1" si="103"/>
        <v>OK</v>
      </c>
    </row>
    <row r="3276" spans="1:17">
      <c r="A3276" s="366" t="s">
        <v>5232</v>
      </c>
      <c r="B3276" s="366" t="s">
        <v>231</v>
      </c>
      <c r="C3276" s="348" t="str">
        <f>DATA_PROPERTY_MASTER!$A$15</f>
        <v>BLD_NT</v>
      </c>
      <c r="D3276" s="380">
        <f>'00_PORTFOLIO ROLLUP'!J$12</f>
        <v>2030</v>
      </c>
      <c r="E3276" s="366" t="s">
        <v>1683</v>
      </c>
      <c r="F3276" s="366" t="s">
        <v>27</v>
      </c>
      <c r="G3276" s="348" t="str">
        <f>"'"&amp;$C3276&amp;"'!$E$54:$Y$54"</f>
        <v>'BLD_NT'!$E$54:$Y$54</v>
      </c>
      <c r="H3276" s="381">
        <f ca="1">IF(IFERROR(INDEX(DATA_PROPERTY_MASTER!$E$5:$E$21,MATCH($C3276,DATA_PROPERTY_MASTER!$A$5:$A$21,0))="Yes",FALSE),IFERROR(INDEX(INDIRECT("'"&amp;$C3276&amp;"'!$E$54:$Y$54"),1,MATCH($D3276,INDIRECT("'"&amp;$C3276&amp;"'!$E$12:$Y$12"),0)),0),0)</f>
        <v>268689.85145151091</v>
      </c>
      <c r="I3276" s="366" t="s">
        <v>1690</v>
      </c>
      <c r="J3276" s="348" t="str">
        <f t="shared" ca="1" si="102"/>
        <v>OK</v>
      </c>
      <c r="K3276" s="366" t="s">
        <v>1714</v>
      </c>
      <c r="L3276" s="366" t="s">
        <v>2248</v>
      </c>
      <c r="M3276" s="350" t="str">
        <f>IF($B3276="Portfolio","Portfolio",IFERROR(INDEX(DATA_ASSET_CLASSIFICATION!$B$8:$B$24,MATCH($C3276,DATA_ASSET_CLASSIFICATION!$A$8:$A$24,0)),"Review"))</f>
        <v>Natalia Terrace</v>
      </c>
      <c r="N3276" s="350" t="str">
        <f ca="1">IF($B3276="Portfolio","Portfolio",IFERROR(INDEX(DATA_ASSET_CLASSIFICATION!$U$8:$U$24,MATCH($C3276,DATA_ASSET_CLASSIFICATION!$A$8:$A$24,0)),"Review"))</f>
        <v>Refi Watch</v>
      </c>
      <c r="O3276" s="350" t="str">
        <f ca="1">IF($B3276="Portfolio","Portfolio",IFERROR(INDEX(DATA_ASSET_CLASSIFICATION!$AB$8:$AB$13,MATCH($N3276,DATA_ASSET_CLASSIFICATION!$AA$8:$AA$13,0)),"Review"))</f>
        <v>Bucket 2 · Legacy</v>
      </c>
      <c r="P3276" s="350" t="str">
        <f>IF($B3276="Portfolio","Portfolio",IFERROR(INDEX(DATA_ASSET_CLASSIFICATION!$C$8:$C$24,MATCH($C3276,DATA_ASSET_CLASSIFICATION!$A$8:$A$24,0)),"Review"))</f>
        <v>Yes</v>
      </c>
      <c r="Q3276" s="350" t="str">
        <f t="shared" ca="1" si="103"/>
        <v>OK</v>
      </c>
    </row>
    <row r="3277" spans="1:17">
      <c r="A3277" s="366" t="s">
        <v>5233</v>
      </c>
      <c r="B3277" s="366" t="s">
        <v>231</v>
      </c>
      <c r="C3277" s="348" t="str">
        <f>DATA_PROPERTY_MASTER!$A$15</f>
        <v>BLD_NT</v>
      </c>
      <c r="D3277" s="380">
        <f>'00_PORTFOLIO ROLLUP'!J$12</f>
        <v>2030</v>
      </c>
      <c r="E3277" s="366" t="s">
        <v>1683</v>
      </c>
      <c r="F3277" s="366" t="s">
        <v>29</v>
      </c>
      <c r="G3277" s="348" t="str">
        <f>"'"&amp;$C3277&amp;"'!$E$56:$Y$56"</f>
        <v>'BLD_NT'!$E$56:$Y$56</v>
      </c>
      <c r="H3277" s="381">
        <f ca="1">IF(IFERROR(INDEX(DATA_PROPERTY_MASTER!$E$5:$E$21,MATCH($C3277,DATA_PROPERTY_MASTER!$A$5:$A$21,0))="Yes",FALSE),IFERROR(INDEX(INDIRECT("'"&amp;$C3277&amp;"'!$E$56:$Y$56"),1,MATCH($D3277,INDIRECT("'"&amp;$C3277&amp;"'!$E$12:$Y$12"),0)),0),0)</f>
        <v>179126.56763434061</v>
      </c>
      <c r="I3277" s="366" t="s">
        <v>1685</v>
      </c>
      <c r="J3277" s="348" t="str">
        <f t="shared" ca="1" si="102"/>
        <v>OK</v>
      </c>
      <c r="K3277" s="366" t="s">
        <v>1718</v>
      </c>
      <c r="L3277" s="366" t="s">
        <v>2250</v>
      </c>
      <c r="M3277" s="350" t="str">
        <f>IF($B3277="Portfolio","Portfolio",IFERROR(INDEX(DATA_ASSET_CLASSIFICATION!$B$8:$B$24,MATCH($C3277,DATA_ASSET_CLASSIFICATION!$A$8:$A$24,0)),"Review"))</f>
        <v>Natalia Terrace</v>
      </c>
      <c r="N3277" s="350" t="str">
        <f ca="1">IF($B3277="Portfolio","Portfolio",IFERROR(INDEX(DATA_ASSET_CLASSIFICATION!$U$8:$U$24,MATCH($C3277,DATA_ASSET_CLASSIFICATION!$A$8:$A$24,0)),"Review"))</f>
        <v>Refi Watch</v>
      </c>
      <c r="O3277" s="350" t="str">
        <f ca="1">IF($B3277="Portfolio","Portfolio",IFERROR(INDEX(DATA_ASSET_CLASSIFICATION!$AB$8:$AB$13,MATCH($N3277,DATA_ASSET_CLASSIFICATION!$AA$8:$AA$13,0)),"Review"))</f>
        <v>Bucket 2 · Legacy</v>
      </c>
      <c r="P3277" s="350" t="str">
        <f>IF($B3277="Portfolio","Portfolio",IFERROR(INDEX(DATA_ASSET_CLASSIFICATION!$C$8:$C$24,MATCH($C3277,DATA_ASSET_CLASSIFICATION!$A$8:$A$24,0)),"Review"))</f>
        <v>Yes</v>
      </c>
      <c r="Q3277" s="350" t="str">
        <f t="shared" ca="1" si="103"/>
        <v>OK</v>
      </c>
    </row>
    <row r="3278" spans="1:17">
      <c r="A3278" s="366" t="s">
        <v>5234</v>
      </c>
      <c r="B3278" s="366" t="s">
        <v>231</v>
      </c>
      <c r="C3278" s="348" t="str">
        <f>DATA_PROPERTY_MASTER!$A$15</f>
        <v>BLD_NT</v>
      </c>
      <c r="D3278" s="380">
        <f>'00_PORTFOLIO ROLLUP'!J$12</f>
        <v>2030</v>
      </c>
      <c r="E3278" s="366" t="s">
        <v>1721</v>
      </c>
      <c r="F3278" s="366" t="s">
        <v>31</v>
      </c>
      <c r="G3278" s="348" t="str">
        <f>"'"&amp;$C3278&amp;"'!$E$61:$Y$61"</f>
        <v>'BLD_NT'!$E$61:$Y$61</v>
      </c>
      <c r="H3278" s="381">
        <f ca="1">IF(IFERROR(INDEX(DATA_PROPERTY_MASTER!$E$5:$E$21,MATCH($C3278,DATA_PROPERTY_MASTER!$A$5:$A$21,0))="Yes",FALSE),IFERROR(INDEX(INDIRECT("'"&amp;$C3278&amp;"'!$E$61:$Y$61"),1,MATCH($D3278,INDIRECT("'"&amp;$C3278&amp;"'!$E$12:$Y$12"),0)),0),0)</f>
        <v>0</v>
      </c>
      <c r="I3278" s="366" t="s">
        <v>1690</v>
      </c>
      <c r="J3278" s="348" t="str">
        <f t="shared" ca="1" si="102"/>
        <v>OK</v>
      </c>
      <c r="K3278" s="366" t="s">
        <v>1723</v>
      </c>
      <c r="L3278" s="366" t="s">
        <v>2252</v>
      </c>
      <c r="M3278" s="350" t="str">
        <f>IF($B3278="Portfolio","Portfolio",IFERROR(INDEX(DATA_ASSET_CLASSIFICATION!$B$8:$B$24,MATCH($C3278,DATA_ASSET_CLASSIFICATION!$A$8:$A$24,0)),"Review"))</f>
        <v>Natalia Terrace</v>
      </c>
      <c r="N3278" s="350" t="str">
        <f ca="1">IF($B3278="Portfolio","Portfolio",IFERROR(INDEX(DATA_ASSET_CLASSIFICATION!$U$8:$U$24,MATCH($C3278,DATA_ASSET_CLASSIFICATION!$A$8:$A$24,0)),"Review"))</f>
        <v>Refi Watch</v>
      </c>
      <c r="O3278" s="350" t="str">
        <f ca="1">IF($B3278="Portfolio","Portfolio",IFERROR(INDEX(DATA_ASSET_CLASSIFICATION!$AB$8:$AB$13,MATCH($N3278,DATA_ASSET_CLASSIFICATION!$AA$8:$AA$13,0)),"Review"))</f>
        <v>Bucket 2 · Legacy</v>
      </c>
      <c r="P3278" s="350" t="str">
        <f>IF($B3278="Portfolio","Portfolio",IFERROR(INDEX(DATA_ASSET_CLASSIFICATION!$C$8:$C$24,MATCH($C3278,DATA_ASSET_CLASSIFICATION!$A$8:$A$24,0)),"Review"))</f>
        <v>Yes</v>
      </c>
      <c r="Q3278" s="350" t="str">
        <f t="shared" ca="1" si="103"/>
        <v>OK</v>
      </c>
    </row>
    <row r="3279" spans="1:17">
      <c r="A3279" s="366" t="s">
        <v>5235</v>
      </c>
      <c r="B3279" s="366" t="s">
        <v>231</v>
      </c>
      <c r="C3279" s="348" t="str">
        <f>DATA_PROPERTY_MASTER!$A$15</f>
        <v>BLD_NT</v>
      </c>
      <c r="D3279" s="380">
        <f>'00_PORTFOLIO ROLLUP'!J$12</f>
        <v>2030</v>
      </c>
      <c r="E3279" s="366" t="s">
        <v>1721</v>
      </c>
      <c r="F3279" s="366" t="s">
        <v>33</v>
      </c>
      <c r="G3279" s="348" t="str">
        <f>"'"&amp;$C3279&amp;"'!$E$62:$Y$62"</f>
        <v>'BLD_NT'!$E$62:$Y$62</v>
      </c>
      <c r="H3279" s="381">
        <f ca="1">IF(IFERROR(INDEX(DATA_PROPERTY_MASTER!$E$5:$E$21,MATCH($C3279,DATA_PROPERTY_MASTER!$A$5:$A$21,0))="Yes",FALSE),IFERROR(INDEX(INDIRECT("'"&amp;$C3279&amp;"'!$E$62:$Y$62"),1,MATCH($D3279,INDIRECT("'"&amp;$C3279&amp;"'!$E$12:$Y$12"),0)),0),0)</f>
        <v>0</v>
      </c>
      <c r="I3279" s="366" t="s">
        <v>1685</v>
      </c>
      <c r="J3279" s="348" t="str">
        <f t="shared" ca="1" si="102"/>
        <v>OK</v>
      </c>
      <c r="K3279" s="366" t="s">
        <v>1727</v>
      </c>
      <c r="L3279" s="366" t="s">
        <v>2254</v>
      </c>
      <c r="M3279" s="350" t="str">
        <f>IF($B3279="Portfolio","Portfolio",IFERROR(INDEX(DATA_ASSET_CLASSIFICATION!$B$8:$B$24,MATCH($C3279,DATA_ASSET_CLASSIFICATION!$A$8:$A$24,0)),"Review"))</f>
        <v>Natalia Terrace</v>
      </c>
      <c r="N3279" s="350" t="str">
        <f ca="1">IF($B3279="Portfolio","Portfolio",IFERROR(INDEX(DATA_ASSET_CLASSIFICATION!$U$8:$U$24,MATCH($C3279,DATA_ASSET_CLASSIFICATION!$A$8:$A$24,0)),"Review"))</f>
        <v>Refi Watch</v>
      </c>
      <c r="O3279" s="350" t="str">
        <f ca="1">IF($B3279="Portfolio","Portfolio",IFERROR(INDEX(DATA_ASSET_CLASSIFICATION!$AB$8:$AB$13,MATCH($N3279,DATA_ASSET_CLASSIFICATION!$AA$8:$AA$13,0)),"Review"))</f>
        <v>Bucket 2 · Legacy</v>
      </c>
      <c r="P3279" s="350" t="str">
        <f>IF($B3279="Portfolio","Portfolio",IFERROR(INDEX(DATA_ASSET_CLASSIFICATION!$C$8:$C$24,MATCH($C3279,DATA_ASSET_CLASSIFICATION!$A$8:$A$24,0)),"Review"))</f>
        <v>Yes</v>
      </c>
      <c r="Q3279" s="350" t="str">
        <f t="shared" ca="1" si="103"/>
        <v>OK</v>
      </c>
    </row>
    <row r="3280" spans="1:17">
      <c r="A3280" s="366" t="s">
        <v>5236</v>
      </c>
      <c r="B3280" s="366" t="s">
        <v>231</v>
      </c>
      <c r="C3280" s="348" t="str">
        <f>DATA_PROPERTY_MASTER!$A$15</f>
        <v>BLD_NT</v>
      </c>
      <c r="D3280" s="380">
        <f>'00_PORTFOLIO ROLLUP'!J$12</f>
        <v>2030</v>
      </c>
      <c r="E3280" s="366" t="s">
        <v>1721</v>
      </c>
      <c r="F3280" s="366" t="s">
        <v>35</v>
      </c>
      <c r="G3280" s="348" t="str">
        <f>"'"&amp;$C3280&amp;"'!$E$63:$Y$63"</f>
        <v>'BLD_NT'!$E$63:$Y$63</v>
      </c>
      <c r="H3280" s="381">
        <f ca="1">IF(IFERROR(INDEX(DATA_PROPERTY_MASTER!$E$5:$E$21,MATCH($C3280,DATA_PROPERTY_MASTER!$A$5:$A$21,0))="Yes",FALSE),IFERROR(INDEX(INDIRECT("'"&amp;$C3280&amp;"'!$E$63:$Y$63"),1,MATCH($D3280,INDIRECT("'"&amp;$C3280&amp;"'!$E$12:$Y$12"),0)),0),0)</f>
        <v>0</v>
      </c>
      <c r="I3280" s="366" t="s">
        <v>1731</v>
      </c>
      <c r="J3280" s="348" t="str">
        <f t="shared" ca="1" si="102"/>
        <v>OK</v>
      </c>
      <c r="K3280" s="366" t="s">
        <v>1732</v>
      </c>
      <c r="L3280" s="366" t="s">
        <v>2256</v>
      </c>
      <c r="M3280" s="350" t="str">
        <f>IF($B3280="Portfolio","Portfolio",IFERROR(INDEX(DATA_ASSET_CLASSIFICATION!$B$8:$B$24,MATCH($C3280,DATA_ASSET_CLASSIFICATION!$A$8:$A$24,0)),"Review"))</f>
        <v>Natalia Terrace</v>
      </c>
      <c r="N3280" s="350" t="str">
        <f ca="1">IF($B3280="Portfolio","Portfolio",IFERROR(INDEX(DATA_ASSET_CLASSIFICATION!$U$8:$U$24,MATCH($C3280,DATA_ASSET_CLASSIFICATION!$A$8:$A$24,0)),"Review"))</f>
        <v>Refi Watch</v>
      </c>
      <c r="O3280" s="350" t="str">
        <f ca="1">IF($B3280="Portfolio","Portfolio",IFERROR(INDEX(DATA_ASSET_CLASSIFICATION!$AB$8:$AB$13,MATCH($N3280,DATA_ASSET_CLASSIFICATION!$AA$8:$AA$13,0)),"Review"))</f>
        <v>Bucket 2 · Legacy</v>
      </c>
      <c r="P3280" s="350" t="str">
        <f>IF($B3280="Portfolio","Portfolio",IFERROR(INDEX(DATA_ASSET_CLASSIFICATION!$C$8:$C$24,MATCH($C3280,DATA_ASSET_CLASSIFICATION!$A$8:$A$24,0)),"Review"))</f>
        <v>Yes</v>
      </c>
      <c r="Q3280" s="350" t="str">
        <f t="shared" ca="1" si="103"/>
        <v>OK</v>
      </c>
    </row>
    <row r="3281" spans="1:17">
      <c r="A3281" s="366" t="s">
        <v>5237</v>
      </c>
      <c r="B3281" s="366" t="s">
        <v>231</v>
      </c>
      <c r="C3281" s="348" t="str">
        <f>DATA_PROPERTY_MASTER!$A$15</f>
        <v>BLD_NT</v>
      </c>
      <c r="D3281" s="380">
        <f>'00_PORTFOLIO ROLLUP'!J$12</f>
        <v>2030</v>
      </c>
      <c r="E3281" s="366" t="s">
        <v>1721</v>
      </c>
      <c r="F3281" s="366" t="s">
        <v>37</v>
      </c>
      <c r="G3281" s="348" t="str">
        <f>"'"&amp;$C3281&amp;"'!$E$63:$Y$63"</f>
        <v>'BLD_NT'!$E$63:$Y$63</v>
      </c>
      <c r="H3281" s="381">
        <f ca="1">IF(IFERROR(INDEX(DATA_PROPERTY_MASTER!$E$5:$E$21,MATCH($C3281,DATA_PROPERTY_MASTER!$A$5:$A$21,0))="Yes",FALSE),MAX(IFERROR(INDEX(INDIRECT("'"&amp;$C3281&amp;"'!$E$63:$Y$63"),1,MATCH($D3281,INDIRECT("'"&amp;$C3281&amp;"'!$E$12:$Y$12"),0)),0),0),0)</f>
        <v>0</v>
      </c>
      <c r="I3281" s="366" t="s">
        <v>1685</v>
      </c>
      <c r="J3281" s="348" t="str">
        <f t="shared" ca="1" si="102"/>
        <v>OK</v>
      </c>
      <c r="K3281" s="366" t="s">
        <v>1735</v>
      </c>
      <c r="L3281" s="366" t="s">
        <v>2258</v>
      </c>
      <c r="M3281" s="350" t="str">
        <f>IF($B3281="Portfolio","Portfolio",IFERROR(INDEX(DATA_ASSET_CLASSIFICATION!$B$8:$B$24,MATCH($C3281,DATA_ASSET_CLASSIFICATION!$A$8:$A$24,0)),"Review"))</f>
        <v>Natalia Terrace</v>
      </c>
      <c r="N3281" s="350" t="str">
        <f ca="1">IF($B3281="Portfolio","Portfolio",IFERROR(INDEX(DATA_ASSET_CLASSIFICATION!$U$8:$U$24,MATCH($C3281,DATA_ASSET_CLASSIFICATION!$A$8:$A$24,0)),"Review"))</f>
        <v>Refi Watch</v>
      </c>
      <c r="O3281" s="350" t="str">
        <f ca="1">IF($B3281="Portfolio","Portfolio",IFERROR(INDEX(DATA_ASSET_CLASSIFICATION!$AB$8:$AB$13,MATCH($N3281,DATA_ASSET_CLASSIFICATION!$AA$8:$AA$13,0)),"Review"))</f>
        <v>Bucket 2 · Legacy</v>
      </c>
      <c r="P3281" s="350" t="str">
        <f>IF($B3281="Portfolio","Portfolio",IFERROR(INDEX(DATA_ASSET_CLASSIFICATION!$C$8:$C$24,MATCH($C3281,DATA_ASSET_CLASSIFICATION!$A$8:$A$24,0)),"Review"))</f>
        <v>Yes</v>
      </c>
      <c r="Q3281" s="350" t="str">
        <f t="shared" ca="1" si="103"/>
        <v>OK</v>
      </c>
    </row>
    <row r="3282" spans="1:17">
      <c r="A3282" s="366" t="s">
        <v>5238</v>
      </c>
      <c r="B3282" s="366" t="s">
        <v>231</v>
      </c>
      <c r="C3282" s="348" t="str">
        <f>DATA_PROPERTY_MASTER!$A$15</f>
        <v>BLD_NT</v>
      </c>
      <c r="D3282" s="380">
        <f>'00_PORTFOLIO ROLLUP'!J$12</f>
        <v>2030</v>
      </c>
      <c r="E3282" s="366" t="s">
        <v>1721</v>
      </c>
      <c r="F3282" s="366" t="s">
        <v>39</v>
      </c>
      <c r="G3282" s="348" t="str">
        <f>"'"&amp;$C3282&amp;"'!$E$63:$Y$63"</f>
        <v>'BLD_NT'!$E$63:$Y$63</v>
      </c>
      <c r="H3282" s="381">
        <f ca="1">IF(IFERROR(INDEX(DATA_PROPERTY_MASTER!$E$5:$E$21,MATCH($C3282,DATA_PROPERTY_MASTER!$A$5:$A$21,0))="Yes",FALSE),MAX(-IFERROR(INDEX(INDIRECT("'"&amp;$C3282&amp;"'!$E$63:$Y$63"),1,MATCH($D3282,INDIRECT("'"&amp;$C3282&amp;"'!$E$12:$Y$12"),0)),0),0),0)</f>
        <v>0</v>
      </c>
      <c r="I3282" s="366" t="s">
        <v>1690</v>
      </c>
      <c r="J3282" s="348" t="str">
        <f t="shared" ca="1" si="102"/>
        <v>OK</v>
      </c>
      <c r="K3282" s="366" t="s">
        <v>1738</v>
      </c>
      <c r="L3282" s="366" t="s">
        <v>2260</v>
      </c>
      <c r="M3282" s="350" t="str">
        <f>IF($B3282="Portfolio","Portfolio",IFERROR(INDEX(DATA_ASSET_CLASSIFICATION!$B$8:$B$24,MATCH($C3282,DATA_ASSET_CLASSIFICATION!$A$8:$A$24,0)),"Review"))</f>
        <v>Natalia Terrace</v>
      </c>
      <c r="N3282" s="350" t="str">
        <f ca="1">IF($B3282="Portfolio","Portfolio",IFERROR(INDEX(DATA_ASSET_CLASSIFICATION!$U$8:$U$24,MATCH($C3282,DATA_ASSET_CLASSIFICATION!$A$8:$A$24,0)),"Review"))</f>
        <v>Refi Watch</v>
      </c>
      <c r="O3282" s="350" t="str">
        <f ca="1">IF($B3282="Portfolio","Portfolio",IFERROR(INDEX(DATA_ASSET_CLASSIFICATION!$AB$8:$AB$13,MATCH($N3282,DATA_ASSET_CLASSIFICATION!$AA$8:$AA$13,0)),"Review"))</f>
        <v>Bucket 2 · Legacy</v>
      </c>
      <c r="P3282" s="350" t="str">
        <f>IF($B3282="Portfolio","Portfolio",IFERROR(INDEX(DATA_ASSET_CLASSIFICATION!$C$8:$C$24,MATCH($C3282,DATA_ASSET_CLASSIFICATION!$A$8:$A$24,0)),"Review"))</f>
        <v>Yes</v>
      </c>
      <c r="Q3282" s="350" t="str">
        <f t="shared" ca="1" si="103"/>
        <v>OK</v>
      </c>
    </row>
    <row r="3283" spans="1:17">
      <c r="A3283" s="366" t="s">
        <v>5239</v>
      </c>
      <c r="B3283" s="366" t="s">
        <v>231</v>
      </c>
      <c r="C3283" s="348" t="str">
        <f>DATA_PROPERTY_MASTER!$A$15</f>
        <v>BLD_NT</v>
      </c>
      <c r="D3283" s="380">
        <f>'00_PORTFOLIO ROLLUP'!J$12</f>
        <v>2030</v>
      </c>
      <c r="E3283" s="366" t="s">
        <v>1741</v>
      </c>
      <c r="F3283" s="366" t="s">
        <v>41</v>
      </c>
      <c r="G3283" s="348" t="str">
        <f>"'"&amp;$C3283&amp;"'!rows 56 + positive row 63"</f>
        <v>'BLD_NT'!rows 56 + positive row 63</v>
      </c>
      <c r="H3283" s="381">
        <f ca="1">IF(IFERROR(INDEX(DATA_PROPERTY_MASTER!$E$5:$E$21,MATCH($C3283,DATA_PROPERTY_MASTER!$A$5:$A$21,0))="Yes",FALSE),IFERROR(INDEX(INDIRECT("'"&amp;$C3283&amp;"'!$E$56:$Y$56"),1,MATCH($D3283,INDIRECT("'"&amp;$C3283&amp;"'!$E$12:$Y$12"),0)),0)+MAX(IFERROR(INDEX(INDIRECT("'"&amp;$C3283&amp;"'!$E$63:$Y$63"),1,MATCH($D3283,INDIRECT("'"&amp;$C3283&amp;"'!$E$12:$Y$12"),0)),0),0),0)</f>
        <v>179126.56763434061</v>
      </c>
      <c r="I3283" s="366" t="s">
        <v>1685</v>
      </c>
      <c r="J3283" s="348" t="str">
        <f t="shared" ca="1" si="102"/>
        <v>OK</v>
      </c>
      <c r="K3283" s="366" t="s">
        <v>1742</v>
      </c>
      <c r="L3283" s="366" t="s">
        <v>2262</v>
      </c>
      <c r="M3283" s="350" t="str">
        <f>IF($B3283="Portfolio","Portfolio",IFERROR(INDEX(DATA_ASSET_CLASSIFICATION!$B$8:$B$24,MATCH($C3283,DATA_ASSET_CLASSIFICATION!$A$8:$A$24,0)),"Review"))</f>
        <v>Natalia Terrace</v>
      </c>
      <c r="N3283" s="350" t="str">
        <f ca="1">IF($B3283="Portfolio","Portfolio",IFERROR(INDEX(DATA_ASSET_CLASSIFICATION!$U$8:$U$24,MATCH($C3283,DATA_ASSET_CLASSIFICATION!$A$8:$A$24,0)),"Review"))</f>
        <v>Refi Watch</v>
      </c>
      <c r="O3283" s="350" t="str">
        <f ca="1">IF($B3283="Portfolio","Portfolio",IFERROR(INDEX(DATA_ASSET_CLASSIFICATION!$AB$8:$AB$13,MATCH($N3283,DATA_ASSET_CLASSIFICATION!$AA$8:$AA$13,0)),"Review"))</f>
        <v>Bucket 2 · Legacy</v>
      </c>
      <c r="P3283" s="350" t="str">
        <f>IF($B3283="Portfolio","Portfolio",IFERROR(INDEX(DATA_ASSET_CLASSIFICATION!$C$8:$C$24,MATCH($C3283,DATA_ASSET_CLASSIFICATION!$A$8:$A$24,0)),"Review"))</f>
        <v>Yes</v>
      </c>
      <c r="Q3283" s="350" t="str">
        <f t="shared" ca="1" si="103"/>
        <v>OK</v>
      </c>
    </row>
    <row r="3284" spans="1:17">
      <c r="A3284" s="366" t="s">
        <v>5240</v>
      </c>
      <c r="B3284" s="366" t="s">
        <v>231</v>
      </c>
      <c r="C3284" s="348" t="str">
        <f>DATA_PROPERTY_MASTER!$A$15</f>
        <v>BLD_NT</v>
      </c>
      <c r="D3284" s="380">
        <f>'00_PORTFOLIO ROLLUP'!J$12</f>
        <v>2030</v>
      </c>
      <c r="E3284" s="366" t="s">
        <v>1741</v>
      </c>
      <c r="F3284" s="366" t="s">
        <v>43</v>
      </c>
      <c r="G3284" s="348" t="str">
        <f>"'"&amp;$C3284&amp;"'!$E$68:$Y$68"</f>
        <v>'BLD_NT'!$E$68:$Y$68</v>
      </c>
      <c r="H3284" s="381">
        <f ca="1">IF(IFERROR(INDEX(DATA_PROPERTY_MASTER!$E$5:$E$21,MATCH($C3284,DATA_PROPERTY_MASTER!$A$5:$A$21,0))="Yes",FALSE),IFERROR(INDEX(INDIRECT("'"&amp;$C3284&amp;"'!$E$68:$Y$68"),1,MATCH($D3284,INDIRECT("'"&amp;$C3284&amp;"'!$E$12:$Y$12"),0)),0),0)</f>
        <v>179126.56763434061</v>
      </c>
      <c r="I3284" s="366" t="s">
        <v>1731</v>
      </c>
      <c r="J3284" s="348" t="str">
        <f t="shared" ca="1" si="102"/>
        <v>OK</v>
      </c>
      <c r="K3284" s="366" t="s">
        <v>1746</v>
      </c>
      <c r="L3284" s="366" t="s">
        <v>2264</v>
      </c>
      <c r="M3284" s="350" t="str">
        <f>IF($B3284="Portfolio","Portfolio",IFERROR(INDEX(DATA_ASSET_CLASSIFICATION!$B$8:$B$24,MATCH($C3284,DATA_ASSET_CLASSIFICATION!$A$8:$A$24,0)),"Review"))</f>
        <v>Natalia Terrace</v>
      </c>
      <c r="N3284" s="350" t="str">
        <f ca="1">IF($B3284="Portfolio","Portfolio",IFERROR(INDEX(DATA_ASSET_CLASSIFICATION!$U$8:$U$24,MATCH($C3284,DATA_ASSET_CLASSIFICATION!$A$8:$A$24,0)),"Review"))</f>
        <v>Refi Watch</v>
      </c>
      <c r="O3284" s="350" t="str">
        <f ca="1">IF($B3284="Portfolio","Portfolio",IFERROR(INDEX(DATA_ASSET_CLASSIFICATION!$AB$8:$AB$13,MATCH($N3284,DATA_ASSET_CLASSIFICATION!$AA$8:$AA$13,0)),"Review"))</f>
        <v>Bucket 2 · Legacy</v>
      </c>
      <c r="P3284" s="350" t="str">
        <f>IF($B3284="Portfolio","Portfolio",IFERROR(INDEX(DATA_ASSET_CLASSIFICATION!$C$8:$C$24,MATCH($C3284,DATA_ASSET_CLASSIFICATION!$A$8:$A$24,0)),"Review"))</f>
        <v>Yes</v>
      </c>
      <c r="Q3284" s="350" t="str">
        <f t="shared" ca="1" si="103"/>
        <v>OK</v>
      </c>
    </row>
    <row r="3285" spans="1:17">
      <c r="A3285" s="366" t="s">
        <v>5241</v>
      </c>
      <c r="B3285" s="366" t="s">
        <v>231</v>
      </c>
      <c r="C3285" s="348" t="str">
        <f>DATA_PROPERTY_MASTER!$A$15</f>
        <v>BLD_NT</v>
      </c>
      <c r="D3285" s="380">
        <f>'00_PORTFOLIO ROLLUP'!J$12</f>
        <v>2030</v>
      </c>
      <c r="E3285" s="366" t="s">
        <v>1741</v>
      </c>
      <c r="F3285" s="366" t="s">
        <v>1749</v>
      </c>
      <c r="G3285" s="348" t="str">
        <f>"'"&amp;$C3285&amp;"'!rows 56, 63, 68"</f>
        <v>'BLD_NT'!rows 56, 63, 68</v>
      </c>
      <c r="H3285" s="381">
        <f ca="1">IF(IFERROR(INDEX(DATA_PROPERTY_MASTER!$E$5:$E$21,MATCH($C3285,DATA_PROPERTY_MASTER!$A$5:$A$21,0))="Yes",FALSE),(IFERROR(INDEX(INDIRECT("'"&amp;$C3285&amp;"'!$E$56:$Y$56"),1,MATCH($D3285,INDIRECT("'"&amp;$C3285&amp;"'!$E$12:$Y$12"),0)),0)+MAX(IFERROR(INDEX(INDIRECT("'"&amp;$C3285&amp;"'!$E$63:$Y$63"),1,MATCH($D3285,INDIRECT("'"&amp;$C3285&amp;"'!$E$12:$Y$12"),0)),0),0))-(IFERROR(INDEX(INDIRECT("'"&amp;$C3285&amp;"'!$E$68:$Y$68"),1,MATCH($D3285,INDIRECT("'"&amp;$C3285&amp;"'!$E$12:$Y$12"),0)),0)),0)</f>
        <v>0</v>
      </c>
      <c r="I3285" s="366" t="s">
        <v>1750</v>
      </c>
      <c r="J3285" s="348" t="str">
        <f t="shared" ca="1" si="102"/>
        <v>OK</v>
      </c>
      <c r="K3285" s="366" t="s">
        <v>1751</v>
      </c>
      <c r="L3285" s="366" t="s">
        <v>2266</v>
      </c>
      <c r="M3285" s="350" t="str">
        <f>IF($B3285="Portfolio","Portfolio",IFERROR(INDEX(DATA_ASSET_CLASSIFICATION!$B$8:$B$24,MATCH($C3285,DATA_ASSET_CLASSIFICATION!$A$8:$A$24,0)),"Review"))</f>
        <v>Natalia Terrace</v>
      </c>
      <c r="N3285" s="350" t="str">
        <f ca="1">IF($B3285="Portfolio","Portfolio",IFERROR(INDEX(DATA_ASSET_CLASSIFICATION!$U$8:$U$24,MATCH($C3285,DATA_ASSET_CLASSIFICATION!$A$8:$A$24,0)),"Review"))</f>
        <v>Refi Watch</v>
      </c>
      <c r="O3285" s="350" t="str">
        <f ca="1">IF($B3285="Portfolio","Portfolio",IFERROR(INDEX(DATA_ASSET_CLASSIFICATION!$AB$8:$AB$13,MATCH($N3285,DATA_ASSET_CLASSIFICATION!$AA$8:$AA$13,0)),"Review"))</f>
        <v>Bucket 2 · Legacy</v>
      </c>
      <c r="P3285" s="350" t="str">
        <f>IF($B3285="Portfolio","Portfolio",IFERROR(INDEX(DATA_ASSET_CLASSIFICATION!$C$8:$C$24,MATCH($C3285,DATA_ASSET_CLASSIFICATION!$A$8:$A$24,0)),"Review"))</f>
        <v>Yes</v>
      </c>
      <c r="Q3285" s="350" t="str">
        <f t="shared" ca="1" si="103"/>
        <v>OK</v>
      </c>
    </row>
    <row r="3286" spans="1:17">
      <c r="A3286" s="366" t="s">
        <v>5242</v>
      </c>
      <c r="B3286" s="366" t="s">
        <v>231</v>
      </c>
      <c r="C3286" s="348" t="str">
        <f>DATA_PROPERTY_MASTER!$A$15</f>
        <v>BLD_NT</v>
      </c>
      <c r="D3286" s="380">
        <f>'00_PORTFOLIO ROLLUP'!K$12</f>
        <v>2031</v>
      </c>
      <c r="E3286" s="366" t="s">
        <v>1683</v>
      </c>
      <c r="F3286" s="366" t="s">
        <v>341</v>
      </c>
      <c r="G3286" s="348" t="str">
        <f>"'"&amp;$C3286&amp;"'!$E$24:$Y$24"</f>
        <v>'BLD_NT'!$E$24:$Y$24</v>
      </c>
      <c r="H3286" s="381">
        <f ca="1">IF(IFERROR(INDEX(DATA_PROPERTY_MASTER!$E$5:$E$21,MATCH($C3286,DATA_PROPERTY_MASTER!$A$5:$A$21,0))="Yes",FALSE),IFERROR(INDEX(INDIRECT("'"&amp;$C3286&amp;"'!$E$24:$Y$24"),1,MATCH($D3286,INDIRECT("'"&amp;$C3286&amp;"'!$E$12:$Y$12"),0)),0),0)</f>
        <v>815333.30299173028</v>
      </c>
      <c r="I3286" s="366" t="s">
        <v>1685</v>
      </c>
      <c r="J3286" s="348" t="str">
        <f t="shared" ca="1" si="102"/>
        <v>OK</v>
      </c>
      <c r="K3286" s="366" t="s">
        <v>1686</v>
      </c>
      <c r="L3286" s="366" t="s">
        <v>2234</v>
      </c>
      <c r="M3286" s="350" t="str">
        <f>IF($B3286="Portfolio","Portfolio",IFERROR(INDEX(DATA_ASSET_CLASSIFICATION!$B$8:$B$24,MATCH($C3286,DATA_ASSET_CLASSIFICATION!$A$8:$A$24,0)),"Review"))</f>
        <v>Natalia Terrace</v>
      </c>
      <c r="N3286" s="350" t="str">
        <f ca="1">IF($B3286="Portfolio","Portfolio",IFERROR(INDEX(DATA_ASSET_CLASSIFICATION!$U$8:$U$24,MATCH($C3286,DATA_ASSET_CLASSIFICATION!$A$8:$A$24,0)),"Review"))</f>
        <v>Refi Watch</v>
      </c>
      <c r="O3286" s="350" t="str">
        <f ca="1">IF($B3286="Portfolio","Portfolio",IFERROR(INDEX(DATA_ASSET_CLASSIFICATION!$AB$8:$AB$13,MATCH($N3286,DATA_ASSET_CLASSIFICATION!$AA$8:$AA$13,0)),"Review"))</f>
        <v>Bucket 2 · Legacy</v>
      </c>
      <c r="P3286" s="350" t="str">
        <f>IF($B3286="Portfolio","Portfolio",IFERROR(INDEX(DATA_ASSET_CLASSIFICATION!$C$8:$C$24,MATCH($C3286,DATA_ASSET_CLASSIFICATION!$A$8:$A$24,0)),"Review"))</f>
        <v>Yes</v>
      </c>
      <c r="Q3286" s="350" t="str">
        <f t="shared" ca="1" si="103"/>
        <v>OK</v>
      </c>
    </row>
    <row r="3287" spans="1:17">
      <c r="A3287" s="366" t="s">
        <v>5243</v>
      </c>
      <c r="B3287" s="366" t="s">
        <v>231</v>
      </c>
      <c r="C3287" s="348" t="str">
        <f>DATA_PROPERTY_MASTER!$A$15</f>
        <v>BLD_NT</v>
      </c>
      <c r="D3287" s="380">
        <f>'00_PORTFOLIO ROLLUP'!K$12</f>
        <v>2031</v>
      </c>
      <c r="E3287" s="366" t="s">
        <v>1683</v>
      </c>
      <c r="F3287" s="366" t="s">
        <v>355</v>
      </c>
      <c r="G3287" s="348" t="str">
        <f>"'"&amp;$C3287&amp;"'!$E$39:$Y$39"</f>
        <v>'BLD_NT'!$E$39:$Y$39</v>
      </c>
      <c r="H3287" s="381">
        <f ca="1">IF(IFERROR(INDEX(DATA_PROPERTY_MASTER!$E$5:$E$21,MATCH($C3287,DATA_PROPERTY_MASTER!$A$5:$A$21,0))="Yes",FALSE),IFERROR(INDEX(INDIRECT("'"&amp;$C3287&amp;"'!$E$39:$Y$39"),1,MATCH($D3287,INDIRECT("'"&amp;$C3287&amp;"'!$E$12:$Y$12"),0)),0),0)</f>
        <v>365591.15465208638</v>
      </c>
      <c r="I3287" s="366" t="s">
        <v>1690</v>
      </c>
      <c r="J3287" s="348" t="str">
        <f t="shared" ca="1" si="102"/>
        <v>OK</v>
      </c>
      <c r="K3287" s="366" t="s">
        <v>1686</v>
      </c>
      <c r="L3287" s="366" t="s">
        <v>2236</v>
      </c>
      <c r="M3287" s="350" t="str">
        <f>IF($B3287="Portfolio","Portfolio",IFERROR(INDEX(DATA_ASSET_CLASSIFICATION!$B$8:$B$24,MATCH($C3287,DATA_ASSET_CLASSIFICATION!$A$8:$A$24,0)),"Review"))</f>
        <v>Natalia Terrace</v>
      </c>
      <c r="N3287" s="350" t="str">
        <f ca="1">IF($B3287="Portfolio","Portfolio",IFERROR(INDEX(DATA_ASSET_CLASSIFICATION!$U$8:$U$24,MATCH($C3287,DATA_ASSET_CLASSIFICATION!$A$8:$A$24,0)),"Review"))</f>
        <v>Refi Watch</v>
      </c>
      <c r="O3287" s="350" t="str">
        <f ca="1">IF($B3287="Portfolio","Portfolio",IFERROR(INDEX(DATA_ASSET_CLASSIFICATION!$AB$8:$AB$13,MATCH($N3287,DATA_ASSET_CLASSIFICATION!$AA$8:$AA$13,0)),"Review"))</f>
        <v>Bucket 2 · Legacy</v>
      </c>
      <c r="P3287" s="350" t="str">
        <f>IF($B3287="Portfolio","Portfolio",IFERROR(INDEX(DATA_ASSET_CLASSIFICATION!$C$8:$C$24,MATCH($C3287,DATA_ASSET_CLASSIFICATION!$A$8:$A$24,0)),"Review"))</f>
        <v>Yes</v>
      </c>
      <c r="Q3287" s="350" t="str">
        <f t="shared" ca="1" si="103"/>
        <v>OK</v>
      </c>
    </row>
    <row r="3288" spans="1:17">
      <c r="A3288" s="366" t="s">
        <v>5244</v>
      </c>
      <c r="B3288" s="366" t="s">
        <v>231</v>
      </c>
      <c r="C3288" s="348" t="str">
        <f>DATA_PROPERTY_MASTER!$A$15</f>
        <v>BLD_NT</v>
      </c>
      <c r="D3288" s="380">
        <f>'00_PORTFOLIO ROLLUP'!K$12</f>
        <v>2031</v>
      </c>
      <c r="E3288" s="366" t="s">
        <v>1683</v>
      </c>
      <c r="F3288" s="366" t="s">
        <v>19</v>
      </c>
      <c r="G3288" s="348" t="str">
        <f>"'"&amp;$C3288&amp;"'!$E$41:$Y$41"</f>
        <v>'BLD_NT'!$E$41:$Y$41</v>
      </c>
      <c r="H3288" s="381">
        <f ca="1">IF(IFERROR(INDEX(DATA_PROPERTY_MASTER!$E$5:$E$21,MATCH($C3288,DATA_PROPERTY_MASTER!$A$5:$A$21,0))="Yes",FALSE),IFERROR(INDEX(INDIRECT("'"&amp;$C3288&amp;"'!$E$41:$Y$41"),1,MATCH($D3288,INDIRECT("'"&amp;$C3288&amp;"'!$E$12:$Y$12"),0)),0),0)</f>
        <v>449742.1483396439</v>
      </c>
      <c r="I3288" s="366" t="s">
        <v>1685</v>
      </c>
      <c r="J3288" s="348" t="str">
        <f t="shared" ca="1" si="102"/>
        <v>OK</v>
      </c>
      <c r="K3288" s="366" t="s">
        <v>1694</v>
      </c>
      <c r="L3288" s="366" t="s">
        <v>2238</v>
      </c>
      <c r="M3288" s="350" t="str">
        <f>IF($B3288="Portfolio","Portfolio",IFERROR(INDEX(DATA_ASSET_CLASSIFICATION!$B$8:$B$24,MATCH($C3288,DATA_ASSET_CLASSIFICATION!$A$8:$A$24,0)),"Review"))</f>
        <v>Natalia Terrace</v>
      </c>
      <c r="N3288" s="350" t="str">
        <f ca="1">IF($B3288="Portfolio","Portfolio",IFERROR(INDEX(DATA_ASSET_CLASSIFICATION!$U$8:$U$24,MATCH($C3288,DATA_ASSET_CLASSIFICATION!$A$8:$A$24,0)),"Review"))</f>
        <v>Refi Watch</v>
      </c>
      <c r="O3288" s="350" t="str">
        <f ca="1">IF($B3288="Portfolio","Portfolio",IFERROR(INDEX(DATA_ASSET_CLASSIFICATION!$AB$8:$AB$13,MATCH($N3288,DATA_ASSET_CLASSIFICATION!$AA$8:$AA$13,0)),"Review"))</f>
        <v>Bucket 2 · Legacy</v>
      </c>
      <c r="P3288" s="350" t="str">
        <f>IF($B3288="Portfolio","Portfolio",IFERROR(INDEX(DATA_ASSET_CLASSIFICATION!$C$8:$C$24,MATCH($C3288,DATA_ASSET_CLASSIFICATION!$A$8:$A$24,0)),"Review"))</f>
        <v>Yes</v>
      </c>
      <c r="Q3288" s="350" t="str">
        <f t="shared" ca="1" si="103"/>
        <v>OK</v>
      </c>
    </row>
    <row r="3289" spans="1:17">
      <c r="A3289" s="366" t="s">
        <v>5245</v>
      </c>
      <c r="B3289" s="366" t="s">
        <v>231</v>
      </c>
      <c r="C3289" s="348" t="str">
        <f>DATA_PROPERTY_MASTER!$A$15</f>
        <v>BLD_NT</v>
      </c>
      <c r="D3289" s="380">
        <f>'00_PORTFOLIO ROLLUP'!K$12</f>
        <v>2031</v>
      </c>
      <c r="E3289" s="366" t="s">
        <v>1683</v>
      </c>
      <c r="F3289" s="366" t="s">
        <v>1697</v>
      </c>
      <c r="G3289" s="348" t="str">
        <f>"'"&amp;$C3289&amp;"'!$E$44:$Y$44"</f>
        <v>'BLD_NT'!$E$44:$Y$44</v>
      </c>
      <c r="H3289" s="381">
        <f ca="1">IF(IFERROR(INDEX(DATA_PROPERTY_MASTER!$E$5:$E$21,MATCH($C3289,DATA_PROPERTY_MASTER!$A$5:$A$21,0))="Yes",FALSE),IFERROR(INDEX(INDIRECT("'"&amp;$C3289&amp;"'!$E$44:$Y$44"),1,MATCH($D3289,INDIRECT("'"&amp;$C3289&amp;"'!$E$12:$Y$12"),0)),0),0)</f>
        <v>6756.9745155840001</v>
      </c>
      <c r="I3289" s="366" t="s">
        <v>1690</v>
      </c>
      <c r="J3289" s="348" t="str">
        <f t="shared" ca="1" si="102"/>
        <v>OK</v>
      </c>
      <c r="K3289" s="366" t="s">
        <v>1699</v>
      </c>
      <c r="L3289" s="366" t="s">
        <v>2240</v>
      </c>
      <c r="M3289" s="350" t="str">
        <f>IF($B3289="Portfolio","Portfolio",IFERROR(INDEX(DATA_ASSET_CLASSIFICATION!$B$8:$B$24,MATCH($C3289,DATA_ASSET_CLASSIFICATION!$A$8:$A$24,0)),"Review"))</f>
        <v>Natalia Terrace</v>
      </c>
      <c r="N3289" s="350" t="str">
        <f ca="1">IF($B3289="Portfolio","Portfolio",IFERROR(INDEX(DATA_ASSET_CLASSIFICATION!$U$8:$U$24,MATCH($C3289,DATA_ASSET_CLASSIFICATION!$A$8:$A$24,0)),"Review"))</f>
        <v>Refi Watch</v>
      </c>
      <c r="O3289" s="350" t="str">
        <f ca="1">IF($B3289="Portfolio","Portfolio",IFERROR(INDEX(DATA_ASSET_CLASSIFICATION!$AB$8:$AB$13,MATCH($N3289,DATA_ASSET_CLASSIFICATION!$AA$8:$AA$13,0)),"Review"))</f>
        <v>Bucket 2 · Legacy</v>
      </c>
      <c r="P3289" s="350" t="str">
        <f>IF($B3289="Portfolio","Portfolio",IFERROR(INDEX(DATA_ASSET_CLASSIFICATION!$C$8:$C$24,MATCH($C3289,DATA_ASSET_CLASSIFICATION!$A$8:$A$24,0)),"Review"))</f>
        <v>Yes</v>
      </c>
      <c r="Q3289" s="350" t="str">
        <f t="shared" ca="1" si="103"/>
        <v>OK</v>
      </c>
    </row>
    <row r="3290" spans="1:17">
      <c r="A3290" s="366" t="s">
        <v>5246</v>
      </c>
      <c r="B3290" s="366" t="s">
        <v>231</v>
      </c>
      <c r="C3290" s="348" t="str">
        <f>DATA_PROPERTY_MASTER!$A$15</f>
        <v>BLD_NT</v>
      </c>
      <c r="D3290" s="380">
        <f>'00_PORTFOLIO ROLLUP'!K$12</f>
        <v>2031</v>
      </c>
      <c r="E3290" s="366" t="s">
        <v>1683</v>
      </c>
      <c r="F3290" s="366" t="s">
        <v>21</v>
      </c>
      <c r="G3290" s="348" t="str">
        <f>"'"&amp;$C3290&amp;"'!$E$45:$Y$45"</f>
        <v>'BLD_NT'!$E$45:$Y$45</v>
      </c>
      <c r="H3290" s="381">
        <f ca="1">IF(IFERROR(INDEX(DATA_PROPERTY_MASTER!$E$5:$E$21,MATCH($C3290,DATA_PROPERTY_MASTER!$A$5:$A$21,0))="Yes",FALSE),IFERROR(INDEX(INDIRECT("'"&amp;$C3290&amp;"'!$E$45:$Y$45"),1,MATCH($D3290,INDIRECT("'"&amp;$C3290&amp;"'!$E$12:$Y$12"),0)),0),0)</f>
        <v>442985.17382405989</v>
      </c>
      <c r="I3290" s="366" t="s">
        <v>1685</v>
      </c>
      <c r="J3290" s="348" t="str">
        <f t="shared" ca="1" si="102"/>
        <v>OK</v>
      </c>
      <c r="K3290" s="366" t="s">
        <v>1694</v>
      </c>
      <c r="L3290" s="366" t="s">
        <v>2242</v>
      </c>
      <c r="M3290" s="350" t="str">
        <f>IF($B3290="Portfolio","Portfolio",IFERROR(INDEX(DATA_ASSET_CLASSIFICATION!$B$8:$B$24,MATCH($C3290,DATA_ASSET_CLASSIFICATION!$A$8:$A$24,0)),"Review"))</f>
        <v>Natalia Terrace</v>
      </c>
      <c r="N3290" s="350" t="str">
        <f ca="1">IF($B3290="Portfolio","Portfolio",IFERROR(INDEX(DATA_ASSET_CLASSIFICATION!$U$8:$U$24,MATCH($C3290,DATA_ASSET_CLASSIFICATION!$A$8:$A$24,0)),"Review"))</f>
        <v>Refi Watch</v>
      </c>
      <c r="O3290" s="350" t="str">
        <f ca="1">IF($B3290="Portfolio","Portfolio",IFERROR(INDEX(DATA_ASSET_CLASSIFICATION!$AB$8:$AB$13,MATCH($N3290,DATA_ASSET_CLASSIFICATION!$AA$8:$AA$13,0)),"Review"))</f>
        <v>Bucket 2 · Legacy</v>
      </c>
      <c r="P3290" s="350" t="str">
        <f>IF($B3290="Portfolio","Portfolio",IFERROR(INDEX(DATA_ASSET_CLASSIFICATION!$C$8:$C$24,MATCH($C3290,DATA_ASSET_CLASSIFICATION!$A$8:$A$24,0)),"Review"))</f>
        <v>Yes</v>
      </c>
      <c r="Q3290" s="350" t="str">
        <f t="shared" ca="1" si="103"/>
        <v>OK</v>
      </c>
    </row>
    <row r="3291" spans="1:17">
      <c r="A3291" s="366" t="s">
        <v>5247</v>
      </c>
      <c r="B3291" s="366" t="s">
        <v>231</v>
      </c>
      <c r="C3291" s="348" t="str">
        <f>DATA_PROPERTY_MASTER!$A$15</f>
        <v>BLD_NT</v>
      </c>
      <c r="D3291" s="380">
        <f>'00_PORTFOLIO ROLLUP'!K$12</f>
        <v>2031</v>
      </c>
      <c r="E3291" s="366" t="s">
        <v>23</v>
      </c>
      <c r="F3291" s="366" t="s">
        <v>23</v>
      </c>
      <c r="G3291" s="348" t="str">
        <f>"'"&amp;$C3291&amp;"'!$E$48:$Y$48"</f>
        <v>'BLD_NT'!$E$48:$Y$48</v>
      </c>
      <c r="H3291" s="381">
        <f ca="1">IF(IFERROR(INDEX(DATA_PROPERTY_MASTER!$E$5:$E$21,MATCH($C3291,DATA_PROPERTY_MASTER!$A$5:$A$21,0))="Yes",FALSE),IFERROR(INDEX(INDIRECT("'"&amp;$C3291&amp;"'!$E$48:$Y$48"),1,MATCH($D3291,INDIRECT("'"&amp;$C3291&amp;"'!$E$12:$Y$12"),0)),0),0)</f>
        <v>0</v>
      </c>
      <c r="I3291" s="366" t="s">
        <v>1690</v>
      </c>
      <c r="J3291" s="348" t="str">
        <f t="shared" ca="1" si="102"/>
        <v>OK</v>
      </c>
      <c r="K3291" s="366" t="s">
        <v>1706</v>
      </c>
      <c r="L3291" s="366" t="s">
        <v>2244</v>
      </c>
      <c r="M3291" s="350" t="str">
        <f>IF($B3291="Portfolio","Portfolio",IFERROR(INDEX(DATA_ASSET_CLASSIFICATION!$B$8:$B$24,MATCH($C3291,DATA_ASSET_CLASSIFICATION!$A$8:$A$24,0)),"Review"))</f>
        <v>Natalia Terrace</v>
      </c>
      <c r="N3291" s="350" t="str">
        <f ca="1">IF($B3291="Portfolio","Portfolio",IFERROR(INDEX(DATA_ASSET_CLASSIFICATION!$U$8:$U$24,MATCH($C3291,DATA_ASSET_CLASSIFICATION!$A$8:$A$24,0)),"Review"))</f>
        <v>Refi Watch</v>
      </c>
      <c r="O3291" s="350" t="str">
        <f ca="1">IF($B3291="Portfolio","Portfolio",IFERROR(INDEX(DATA_ASSET_CLASSIFICATION!$AB$8:$AB$13,MATCH($N3291,DATA_ASSET_CLASSIFICATION!$AA$8:$AA$13,0)),"Review"))</f>
        <v>Bucket 2 · Legacy</v>
      </c>
      <c r="P3291" s="350" t="str">
        <f>IF($B3291="Portfolio","Portfolio",IFERROR(INDEX(DATA_ASSET_CLASSIFICATION!$C$8:$C$24,MATCH($C3291,DATA_ASSET_CLASSIFICATION!$A$8:$A$24,0)),"Review"))</f>
        <v>Yes</v>
      </c>
      <c r="Q3291" s="350" t="str">
        <f t="shared" ca="1" si="103"/>
        <v>OK</v>
      </c>
    </row>
    <row r="3292" spans="1:17">
      <c r="A3292" s="366" t="s">
        <v>5248</v>
      </c>
      <c r="B3292" s="366" t="s">
        <v>231</v>
      </c>
      <c r="C3292" s="348" t="str">
        <f>DATA_PROPERTY_MASTER!$A$15</f>
        <v>BLD_NT</v>
      </c>
      <c r="D3292" s="380">
        <f>'00_PORTFOLIO ROLLUP'!K$12</f>
        <v>2031</v>
      </c>
      <c r="E3292" s="366" t="s">
        <v>1683</v>
      </c>
      <c r="F3292" s="366" t="s">
        <v>25</v>
      </c>
      <c r="G3292" s="348" t="str">
        <f>"'"&amp;$C3292&amp;"'!$E$52:$Y$52"</f>
        <v>'BLD_NT'!$E$52:$Y$52</v>
      </c>
      <c r="H3292" s="381">
        <f ca="1">IF(IFERROR(INDEX(DATA_PROPERTY_MASTER!$E$5:$E$21,MATCH($C3292,DATA_PROPERTY_MASTER!$A$5:$A$21,0))="Yes",FALSE),IFERROR(INDEX(INDIRECT("'"&amp;$C3292&amp;"'!$E$52:$Y$52"),1,MATCH($D3292,INDIRECT("'"&amp;$C3292&amp;"'!$E$12:$Y$12"),0)),0),0)</f>
        <v>449742.1483396439</v>
      </c>
      <c r="I3292" s="366" t="s">
        <v>1685</v>
      </c>
      <c r="J3292" s="348" t="str">
        <f t="shared" ca="1" si="102"/>
        <v>OK</v>
      </c>
      <c r="K3292" s="366" t="s">
        <v>1710</v>
      </c>
      <c r="L3292" s="366" t="s">
        <v>2246</v>
      </c>
      <c r="M3292" s="350" t="str">
        <f>IF($B3292="Portfolio","Portfolio",IFERROR(INDEX(DATA_ASSET_CLASSIFICATION!$B$8:$B$24,MATCH($C3292,DATA_ASSET_CLASSIFICATION!$A$8:$A$24,0)),"Review"))</f>
        <v>Natalia Terrace</v>
      </c>
      <c r="N3292" s="350" t="str">
        <f ca="1">IF($B3292="Portfolio","Portfolio",IFERROR(INDEX(DATA_ASSET_CLASSIFICATION!$U$8:$U$24,MATCH($C3292,DATA_ASSET_CLASSIFICATION!$A$8:$A$24,0)),"Review"))</f>
        <v>Refi Watch</v>
      </c>
      <c r="O3292" s="350" t="str">
        <f ca="1">IF($B3292="Portfolio","Portfolio",IFERROR(INDEX(DATA_ASSET_CLASSIFICATION!$AB$8:$AB$13,MATCH($N3292,DATA_ASSET_CLASSIFICATION!$AA$8:$AA$13,0)),"Review"))</f>
        <v>Bucket 2 · Legacy</v>
      </c>
      <c r="P3292" s="350" t="str">
        <f>IF($B3292="Portfolio","Portfolio",IFERROR(INDEX(DATA_ASSET_CLASSIFICATION!$C$8:$C$24,MATCH($C3292,DATA_ASSET_CLASSIFICATION!$A$8:$A$24,0)),"Review"))</f>
        <v>Yes</v>
      </c>
      <c r="Q3292" s="350" t="str">
        <f t="shared" ca="1" si="103"/>
        <v>OK</v>
      </c>
    </row>
    <row r="3293" spans="1:17">
      <c r="A3293" s="366" t="s">
        <v>5249</v>
      </c>
      <c r="B3293" s="366" t="s">
        <v>231</v>
      </c>
      <c r="C3293" s="348" t="str">
        <f>DATA_PROPERTY_MASTER!$A$15</f>
        <v>BLD_NT</v>
      </c>
      <c r="D3293" s="380">
        <f>'00_PORTFOLIO ROLLUP'!K$12</f>
        <v>2031</v>
      </c>
      <c r="E3293" s="366" t="s">
        <v>1683</v>
      </c>
      <c r="F3293" s="366" t="s">
        <v>27</v>
      </c>
      <c r="G3293" s="348" t="str">
        <f>"'"&amp;$C3293&amp;"'!$E$54:$Y$54"</f>
        <v>'BLD_NT'!$E$54:$Y$54</v>
      </c>
      <c r="H3293" s="381">
        <f ca="1">IF(IFERROR(INDEX(DATA_PROPERTY_MASTER!$E$5:$E$21,MATCH($C3293,DATA_PROPERTY_MASTER!$A$5:$A$21,0))="Yes",FALSE),IFERROR(INDEX(INDIRECT("'"&amp;$C3293&amp;"'!$E$54:$Y$54"),1,MATCH($D3293,INDIRECT("'"&amp;$C3293&amp;"'!$E$12:$Y$12"),0)),0),0)</f>
        <v>269845.28900378634</v>
      </c>
      <c r="I3293" s="366" t="s">
        <v>1690</v>
      </c>
      <c r="J3293" s="348" t="str">
        <f t="shared" ca="1" si="102"/>
        <v>OK</v>
      </c>
      <c r="K3293" s="366" t="s">
        <v>1714</v>
      </c>
      <c r="L3293" s="366" t="s">
        <v>2248</v>
      </c>
      <c r="M3293" s="350" t="str">
        <f>IF($B3293="Portfolio","Portfolio",IFERROR(INDEX(DATA_ASSET_CLASSIFICATION!$B$8:$B$24,MATCH($C3293,DATA_ASSET_CLASSIFICATION!$A$8:$A$24,0)),"Review"))</f>
        <v>Natalia Terrace</v>
      </c>
      <c r="N3293" s="350" t="str">
        <f ca="1">IF($B3293="Portfolio","Portfolio",IFERROR(INDEX(DATA_ASSET_CLASSIFICATION!$U$8:$U$24,MATCH($C3293,DATA_ASSET_CLASSIFICATION!$A$8:$A$24,0)),"Review"))</f>
        <v>Refi Watch</v>
      </c>
      <c r="O3293" s="350" t="str">
        <f ca="1">IF($B3293="Portfolio","Portfolio",IFERROR(INDEX(DATA_ASSET_CLASSIFICATION!$AB$8:$AB$13,MATCH($N3293,DATA_ASSET_CLASSIFICATION!$AA$8:$AA$13,0)),"Review"))</f>
        <v>Bucket 2 · Legacy</v>
      </c>
      <c r="P3293" s="350" t="str">
        <f>IF($B3293="Portfolio","Portfolio",IFERROR(INDEX(DATA_ASSET_CLASSIFICATION!$C$8:$C$24,MATCH($C3293,DATA_ASSET_CLASSIFICATION!$A$8:$A$24,0)),"Review"))</f>
        <v>Yes</v>
      </c>
      <c r="Q3293" s="350" t="str">
        <f t="shared" ca="1" si="103"/>
        <v>OK</v>
      </c>
    </row>
    <row r="3294" spans="1:17">
      <c r="A3294" s="366" t="s">
        <v>5250</v>
      </c>
      <c r="B3294" s="366" t="s">
        <v>231</v>
      </c>
      <c r="C3294" s="348" t="str">
        <f>DATA_PROPERTY_MASTER!$A$15</f>
        <v>BLD_NT</v>
      </c>
      <c r="D3294" s="380">
        <f>'00_PORTFOLIO ROLLUP'!K$12</f>
        <v>2031</v>
      </c>
      <c r="E3294" s="366" t="s">
        <v>1683</v>
      </c>
      <c r="F3294" s="366" t="s">
        <v>29</v>
      </c>
      <c r="G3294" s="348" t="str">
        <f>"'"&amp;$C3294&amp;"'!$E$56:$Y$56"</f>
        <v>'BLD_NT'!$E$56:$Y$56</v>
      </c>
      <c r="H3294" s="381">
        <f ca="1">IF(IFERROR(INDEX(DATA_PROPERTY_MASTER!$E$5:$E$21,MATCH($C3294,DATA_PROPERTY_MASTER!$A$5:$A$21,0))="Yes",FALSE),IFERROR(INDEX(INDIRECT("'"&amp;$C3294&amp;"'!$E$56:$Y$56"),1,MATCH($D3294,INDIRECT("'"&amp;$C3294&amp;"'!$E$12:$Y$12"),0)),0),0)</f>
        <v>179896.85933585756</v>
      </c>
      <c r="I3294" s="366" t="s">
        <v>1685</v>
      </c>
      <c r="J3294" s="348" t="str">
        <f t="shared" ca="1" si="102"/>
        <v>OK</v>
      </c>
      <c r="K3294" s="366" t="s">
        <v>1718</v>
      </c>
      <c r="L3294" s="366" t="s">
        <v>2250</v>
      </c>
      <c r="M3294" s="350" t="str">
        <f>IF($B3294="Portfolio","Portfolio",IFERROR(INDEX(DATA_ASSET_CLASSIFICATION!$B$8:$B$24,MATCH($C3294,DATA_ASSET_CLASSIFICATION!$A$8:$A$24,0)),"Review"))</f>
        <v>Natalia Terrace</v>
      </c>
      <c r="N3294" s="350" t="str">
        <f ca="1">IF($B3294="Portfolio","Portfolio",IFERROR(INDEX(DATA_ASSET_CLASSIFICATION!$U$8:$U$24,MATCH($C3294,DATA_ASSET_CLASSIFICATION!$A$8:$A$24,0)),"Review"))</f>
        <v>Refi Watch</v>
      </c>
      <c r="O3294" s="350" t="str">
        <f ca="1">IF($B3294="Portfolio","Portfolio",IFERROR(INDEX(DATA_ASSET_CLASSIFICATION!$AB$8:$AB$13,MATCH($N3294,DATA_ASSET_CLASSIFICATION!$AA$8:$AA$13,0)),"Review"))</f>
        <v>Bucket 2 · Legacy</v>
      </c>
      <c r="P3294" s="350" t="str">
        <f>IF($B3294="Portfolio","Portfolio",IFERROR(INDEX(DATA_ASSET_CLASSIFICATION!$C$8:$C$24,MATCH($C3294,DATA_ASSET_CLASSIFICATION!$A$8:$A$24,0)),"Review"))</f>
        <v>Yes</v>
      </c>
      <c r="Q3294" s="350" t="str">
        <f t="shared" ca="1" si="103"/>
        <v>OK</v>
      </c>
    </row>
    <row r="3295" spans="1:17">
      <c r="A3295" s="366" t="s">
        <v>5251</v>
      </c>
      <c r="B3295" s="366" t="s">
        <v>231</v>
      </c>
      <c r="C3295" s="348" t="str">
        <f>DATA_PROPERTY_MASTER!$A$15</f>
        <v>BLD_NT</v>
      </c>
      <c r="D3295" s="380">
        <f>'00_PORTFOLIO ROLLUP'!K$12</f>
        <v>2031</v>
      </c>
      <c r="E3295" s="366" t="s">
        <v>1721</v>
      </c>
      <c r="F3295" s="366" t="s">
        <v>31</v>
      </c>
      <c r="G3295" s="348" t="str">
        <f>"'"&amp;$C3295&amp;"'!$E$61:$Y$61"</f>
        <v>'BLD_NT'!$E$61:$Y$61</v>
      </c>
      <c r="H3295" s="381">
        <f ca="1">IF(IFERROR(INDEX(DATA_PROPERTY_MASTER!$E$5:$E$21,MATCH($C3295,DATA_PROPERTY_MASTER!$A$5:$A$21,0))="Yes",FALSE),IFERROR(INDEX(INDIRECT("'"&amp;$C3295&amp;"'!$E$61:$Y$61"),1,MATCH($D3295,INDIRECT("'"&amp;$C3295&amp;"'!$E$12:$Y$12"),0)),0),0)</f>
        <v>0</v>
      </c>
      <c r="I3295" s="366" t="s">
        <v>1690</v>
      </c>
      <c r="J3295" s="348" t="str">
        <f t="shared" ca="1" si="102"/>
        <v>OK</v>
      </c>
      <c r="K3295" s="366" t="s">
        <v>1723</v>
      </c>
      <c r="L3295" s="366" t="s">
        <v>2252</v>
      </c>
      <c r="M3295" s="350" t="str">
        <f>IF($B3295="Portfolio","Portfolio",IFERROR(INDEX(DATA_ASSET_CLASSIFICATION!$B$8:$B$24,MATCH($C3295,DATA_ASSET_CLASSIFICATION!$A$8:$A$24,0)),"Review"))</f>
        <v>Natalia Terrace</v>
      </c>
      <c r="N3295" s="350" t="str">
        <f ca="1">IF($B3295="Portfolio","Portfolio",IFERROR(INDEX(DATA_ASSET_CLASSIFICATION!$U$8:$U$24,MATCH($C3295,DATA_ASSET_CLASSIFICATION!$A$8:$A$24,0)),"Review"))</f>
        <v>Refi Watch</v>
      </c>
      <c r="O3295" s="350" t="str">
        <f ca="1">IF($B3295="Portfolio","Portfolio",IFERROR(INDEX(DATA_ASSET_CLASSIFICATION!$AB$8:$AB$13,MATCH($N3295,DATA_ASSET_CLASSIFICATION!$AA$8:$AA$13,0)),"Review"))</f>
        <v>Bucket 2 · Legacy</v>
      </c>
      <c r="P3295" s="350" t="str">
        <f>IF($B3295="Portfolio","Portfolio",IFERROR(INDEX(DATA_ASSET_CLASSIFICATION!$C$8:$C$24,MATCH($C3295,DATA_ASSET_CLASSIFICATION!$A$8:$A$24,0)),"Review"))</f>
        <v>Yes</v>
      </c>
      <c r="Q3295" s="350" t="str">
        <f t="shared" ca="1" si="103"/>
        <v>OK</v>
      </c>
    </row>
    <row r="3296" spans="1:17">
      <c r="A3296" s="366" t="s">
        <v>5252</v>
      </c>
      <c r="B3296" s="366" t="s">
        <v>231</v>
      </c>
      <c r="C3296" s="348" t="str">
        <f>DATA_PROPERTY_MASTER!$A$15</f>
        <v>BLD_NT</v>
      </c>
      <c r="D3296" s="380">
        <f>'00_PORTFOLIO ROLLUP'!K$12</f>
        <v>2031</v>
      </c>
      <c r="E3296" s="366" t="s">
        <v>1721</v>
      </c>
      <c r="F3296" s="366" t="s">
        <v>33</v>
      </c>
      <c r="G3296" s="348" t="str">
        <f>"'"&amp;$C3296&amp;"'!$E$62:$Y$62"</f>
        <v>'BLD_NT'!$E$62:$Y$62</v>
      </c>
      <c r="H3296" s="381">
        <f ca="1">IF(IFERROR(INDEX(DATA_PROPERTY_MASTER!$E$5:$E$21,MATCH($C3296,DATA_PROPERTY_MASTER!$A$5:$A$21,0))="Yes",FALSE),IFERROR(INDEX(INDIRECT("'"&amp;$C3296&amp;"'!$E$62:$Y$62"),1,MATCH($D3296,INDIRECT("'"&amp;$C3296&amp;"'!$E$12:$Y$12"),0)),0),0)</f>
        <v>0</v>
      </c>
      <c r="I3296" s="366" t="s">
        <v>1685</v>
      </c>
      <c r="J3296" s="348" t="str">
        <f t="shared" ca="1" si="102"/>
        <v>OK</v>
      </c>
      <c r="K3296" s="366" t="s">
        <v>1727</v>
      </c>
      <c r="L3296" s="366" t="s">
        <v>2254</v>
      </c>
      <c r="M3296" s="350" t="str">
        <f>IF($B3296="Portfolio","Portfolio",IFERROR(INDEX(DATA_ASSET_CLASSIFICATION!$B$8:$B$24,MATCH($C3296,DATA_ASSET_CLASSIFICATION!$A$8:$A$24,0)),"Review"))</f>
        <v>Natalia Terrace</v>
      </c>
      <c r="N3296" s="350" t="str">
        <f ca="1">IF($B3296="Portfolio","Portfolio",IFERROR(INDEX(DATA_ASSET_CLASSIFICATION!$U$8:$U$24,MATCH($C3296,DATA_ASSET_CLASSIFICATION!$A$8:$A$24,0)),"Review"))</f>
        <v>Refi Watch</v>
      </c>
      <c r="O3296" s="350" t="str">
        <f ca="1">IF($B3296="Portfolio","Portfolio",IFERROR(INDEX(DATA_ASSET_CLASSIFICATION!$AB$8:$AB$13,MATCH($N3296,DATA_ASSET_CLASSIFICATION!$AA$8:$AA$13,0)),"Review"))</f>
        <v>Bucket 2 · Legacy</v>
      </c>
      <c r="P3296" s="350" t="str">
        <f>IF($B3296="Portfolio","Portfolio",IFERROR(INDEX(DATA_ASSET_CLASSIFICATION!$C$8:$C$24,MATCH($C3296,DATA_ASSET_CLASSIFICATION!$A$8:$A$24,0)),"Review"))</f>
        <v>Yes</v>
      </c>
      <c r="Q3296" s="350" t="str">
        <f t="shared" ca="1" si="103"/>
        <v>OK</v>
      </c>
    </row>
    <row r="3297" spans="1:17">
      <c r="A3297" s="366" t="s">
        <v>5253</v>
      </c>
      <c r="B3297" s="366" t="s">
        <v>231</v>
      </c>
      <c r="C3297" s="348" t="str">
        <f>DATA_PROPERTY_MASTER!$A$15</f>
        <v>BLD_NT</v>
      </c>
      <c r="D3297" s="380">
        <f>'00_PORTFOLIO ROLLUP'!K$12</f>
        <v>2031</v>
      </c>
      <c r="E3297" s="366" t="s">
        <v>1721</v>
      </c>
      <c r="F3297" s="366" t="s">
        <v>35</v>
      </c>
      <c r="G3297" s="348" t="str">
        <f>"'"&amp;$C3297&amp;"'!$E$63:$Y$63"</f>
        <v>'BLD_NT'!$E$63:$Y$63</v>
      </c>
      <c r="H3297" s="381">
        <f ca="1">IF(IFERROR(INDEX(DATA_PROPERTY_MASTER!$E$5:$E$21,MATCH($C3297,DATA_PROPERTY_MASTER!$A$5:$A$21,0))="Yes",FALSE),IFERROR(INDEX(INDIRECT("'"&amp;$C3297&amp;"'!$E$63:$Y$63"),1,MATCH($D3297,INDIRECT("'"&amp;$C3297&amp;"'!$E$12:$Y$12"),0)),0),0)</f>
        <v>0</v>
      </c>
      <c r="I3297" s="366" t="s">
        <v>1731</v>
      </c>
      <c r="J3297" s="348" t="str">
        <f t="shared" ca="1" si="102"/>
        <v>OK</v>
      </c>
      <c r="K3297" s="366" t="s">
        <v>1732</v>
      </c>
      <c r="L3297" s="366" t="s">
        <v>2256</v>
      </c>
      <c r="M3297" s="350" t="str">
        <f>IF($B3297="Portfolio","Portfolio",IFERROR(INDEX(DATA_ASSET_CLASSIFICATION!$B$8:$B$24,MATCH($C3297,DATA_ASSET_CLASSIFICATION!$A$8:$A$24,0)),"Review"))</f>
        <v>Natalia Terrace</v>
      </c>
      <c r="N3297" s="350" t="str">
        <f ca="1">IF($B3297="Portfolio","Portfolio",IFERROR(INDEX(DATA_ASSET_CLASSIFICATION!$U$8:$U$24,MATCH($C3297,DATA_ASSET_CLASSIFICATION!$A$8:$A$24,0)),"Review"))</f>
        <v>Refi Watch</v>
      </c>
      <c r="O3297" s="350" t="str">
        <f ca="1">IF($B3297="Portfolio","Portfolio",IFERROR(INDEX(DATA_ASSET_CLASSIFICATION!$AB$8:$AB$13,MATCH($N3297,DATA_ASSET_CLASSIFICATION!$AA$8:$AA$13,0)),"Review"))</f>
        <v>Bucket 2 · Legacy</v>
      </c>
      <c r="P3297" s="350" t="str">
        <f>IF($B3297="Portfolio","Portfolio",IFERROR(INDEX(DATA_ASSET_CLASSIFICATION!$C$8:$C$24,MATCH($C3297,DATA_ASSET_CLASSIFICATION!$A$8:$A$24,0)),"Review"))</f>
        <v>Yes</v>
      </c>
      <c r="Q3297" s="350" t="str">
        <f t="shared" ca="1" si="103"/>
        <v>OK</v>
      </c>
    </row>
    <row r="3298" spans="1:17">
      <c r="A3298" s="366" t="s">
        <v>5254</v>
      </c>
      <c r="B3298" s="366" t="s">
        <v>231</v>
      </c>
      <c r="C3298" s="348" t="str">
        <f>DATA_PROPERTY_MASTER!$A$15</f>
        <v>BLD_NT</v>
      </c>
      <c r="D3298" s="380">
        <f>'00_PORTFOLIO ROLLUP'!K$12</f>
        <v>2031</v>
      </c>
      <c r="E3298" s="366" t="s">
        <v>1721</v>
      </c>
      <c r="F3298" s="366" t="s">
        <v>37</v>
      </c>
      <c r="G3298" s="348" t="str">
        <f>"'"&amp;$C3298&amp;"'!$E$63:$Y$63"</f>
        <v>'BLD_NT'!$E$63:$Y$63</v>
      </c>
      <c r="H3298" s="381">
        <f ca="1">IF(IFERROR(INDEX(DATA_PROPERTY_MASTER!$E$5:$E$21,MATCH($C3298,DATA_PROPERTY_MASTER!$A$5:$A$21,0))="Yes",FALSE),MAX(IFERROR(INDEX(INDIRECT("'"&amp;$C3298&amp;"'!$E$63:$Y$63"),1,MATCH($D3298,INDIRECT("'"&amp;$C3298&amp;"'!$E$12:$Y$12"),0)),0),0),0)</f>
        <v>0</v>
      </c>
      <c r="I3298" s="366" t="s">
        <v>1685</v>
      </c>
      <c r="J3298" s="348" t="str">
        <f t="shared" ca="1" si="102"/>
        <v>OK</v>
      </c>
      <c r="K3298" s="366" t="s">
        <v>1735</v>
      </c>
      <c r="L3298" s="366" t="s">
        <v>2258</v>
      </c>
      <c r="M3298" s="350" t="str">
        <f>IF($B3298="Portfolio","Portfolio",IFERROR(INDEX(DATA_ASSET_CLASSIFICATION!$B$8:$B$24,MATCH($C3298,DATA_ASSET_CLASSIFICATION!$A$8:$A$24,0)),"Review"))</f>
        <v>Natalia Terrace</v>
      </c>
      <c r="N3298" s="350" t="str">
        <f ca="1">IF($B3298="Portfolio","Portfolio",IFERROR(INDEX(DATA_ASSET_CLASSIFICATION!$U$8:$U$24,MATCH($C3298,DATA_ASSET_CLASSIFICATION!$A$8:$A$24,0)),"Review"))</f>
        <v>Refi Watch</v>
      </c>
      <c r="O3298" s="350" t="str">
        <f ca="1">IF($B3298="Portfolio","Portfolio",IFERROR(INDEX(DATA_ASSET_CLASSIFICATION!$AB$8:$AB$13,MATCH($N3298,DATA_ASSET_CLASSIFICATION!$AA$8:$AA$13,0)),"Review"))</f>
        <v>Bucket 2 · Legacy</v>
      </c>
      <c r="P3298" s="350" t="str">
        <f>IF($B3298="Portfolio","Portfolio",IFERROR(INDEX(DATA_ASSET_CLASSIFICATION!$C$8:$C$24,MATCH($C3298,DATA_ASSET_CLASSIFICATION!$A$8:$A$24,0)),"Review"))</f>
        <v>Yes</v>
      </c>
      <c r="Q3298" s="350" t="str">
        <f t="shared" ca="1" si="103"/>
        <v>OK</v>
      </c>
    </row>
    <row r="3299" spans="1:17">
      <c r="A3299" s="366" t="s">
        <v>5255</v>
      </c>
      <c r="B3299" s="366" t="s">
        <v>231</v>
      </c>
      <c r="C3299" s="348" t="str">
        <f>DATA_PROPERTY_MASTER!$A$15</f>
        <v>BLD_NT</v>
      </c>
      <c r="D3299" s="380">
        <f>'00_PORTFOLIO ROLLUP'!K$12</f>
        <v>2031</v>
      </c>
      <c r="E3299" s="366" t="s">
        <v>1721</v>
      </c>
      <c r="F3299" s="366" t="s">
        <v>39</v>
      </c>
      <c r="G3299" s="348" t="str">
        <f>"'"&amp;$C3299&amp;"'!$E$63:$Y$63"</f>
        <v>'BLD_NT'!$E$63:$Y$63</v>
      </c>
      <c r="H3299" s="381">
        <f ca="1">IF(IFERROR(INDEX(DATA_PROPERTY_MASTER!$E$5:$E$21,MATCH($C3299,DATA_PROPERTY_MASTER!$A$5:$A$21,0))="Yes",FALSE),MAX(-IFERROR(INDEX(INDIRECT("'"&amp;$C3299&amp;"'!$E$63:$Y$63"),1,MATCH($D3299,INDIRECT("'"&amp;$C3299&amp;"'!$E$12:$Y$12"),0)),0),0),0)</f>
        <v>0</v>
      </c>
      <c r="I3299" s="366" t="s">
        <v>1690</v>
      </c>
      <c r="J3299" s="348" t="str">
        <f t="shared" ca="1" si="102"/>
        <v>OK</v>
      </c>
      <c r="K3299" s="366" t="s">
        <v>1738</v>
      </c>
      <c r="L3299" s="366" t="s">
        <v>2260</v>
      </c>
      <c r="M3299" s="350" t="str">
        <f>IF($B3299="Portfolio","Portfolio",IFERROR(INDEX(DATA_ASSET_CLASSIFICATION!$B$8:$B$24,MATCH($C3299,DATA_ASSET_CLASSIFICATION!$A$8:$A$24,0)),"Review"))</f>
        <v>Natalia Terrace</v>
      </c>
      <c r="N3299" s="350" t="str">
        <f ca="1">IF($B3299="Portfolio","Portfolio",IFERROR(INDEX(DATA_ASSET_CLASSIFICATION!$U$8:$U$24,MATCH($C3299,DATA_ASSET_CLASSIFICATION!$A$8:$A$24,0)),"Review"))</f>
        <v>Refi Watch</v>
      </c>
      <c r="O3299" s="350" t="str">
        <f ca="1">IF($B3299="Portfolio","Portfolio",IFERROR(INDEX(DATA_ASSET_CLASSIFICATION!$AB$8:$AB$13,MATCH($N3299,DATA_ASSET_CLASSIFICATION!$AA$8:$AA$13,0)),"Review"))</f>
        <v>Bucket 2 · Legacy</v>
      </c>
      <c r="P3299" s="350" t="str">
        <f>IF($B3299="Portfolio","Portfolio",IFERROR(INDEX(DATA_ASSET_CLASSIFICATION!$C$8:$C$24,MATCH($C3299,DATA_ASSET_CLASSIFICATION!$A$8:$A$24,0)),"Review"))</f>
        <v>Yes</v>
      </c>
      <c r="Q3299" s="350" t="str">
        <f t="shared" ca="1" si="103"/>
        <v>OK</v>
      </c>
    </row>
    <row r="3300" spans="1:17">
      <c r="A3300" s="366" t="s">
        <v>5256</v>
      </c>
      <c r="B3300" s="366" t="s">
        <v>231</v>
      </c>
      <c r="C3300" s="348" t="str">
        <f>DATA_PROPERTY_MASTER!$A$15</f>
        <v>BLD_NT</v>
      </c>
      <c r="D3300" s="380">
        <f>'00_PORTFOLIO ROLLUP'!K$12</f>
        <v>2031</v>
      </c>
      <c r="E3300" s="366" t="s">
        <v>1741</v>
      </c>
      <c r="F3300" s="366" t="s">
        <v>41</v>
      </c>
      <c r="G3300" s="348" t="str">
        <f>"'"&amp;$C3300&amp;"'!rows 56 + positive row 63"</f>
        <v>'BLD_NT'!rows 56 + positive row 63</v>
      </c>
      <c r="H3300" s="381">
        <f ca="1">IF(IFERROR(INDEX(DATA_PROPERTY_MASTER!$E$5:$E$21,MATCH($C3300,DATA_PROPERTY_MASTER!$A$5:$A$21,0))="Yes",FALSE),IFERROR(INDEX(INDIRECT("'"&amp;$C3300&amp;"'!$E$56:$Y$56"),1,MATCH($D3300,INDIRECT("'"&amp;$C3300&amp;"'!$E$12:$Y$12"),0)),0)+MAX(IFERROR(INDEX(INDIRECT("'"&amp;$C3300&amp;"'!$E$63:$Y$63"),1,MATCH($D3300,INDIRECT("'"&amp;$C3300&amp;"'!$E$12:$Y$12"),0)),0),0),0)</f>
        <v>179896.85933585756</v>
      </c>
      <c r="I3300" s="366" t="s">
        <v>1685</v>
      </c>
      <c r="J3300" s="348" t="str">
        <f t="shared" ca="1" si="102"/>
        <v>OK</v>
      </c>
      <c r="K3300" s="366" t="s">
        <v>1742</v>
      </c>
      <c r="L3300" s="366" t="s">
        <v>2262</v>
      </c>
      <c r="M3300" s="350" t="str">
        <f>IF($B3300="Portfolio","Portfolio",IFERROR(INDEX(DATA_ASSET_CLASSIFICATION!$B$8:$B$24,MATCH($C3300,DATA_ASSET_CLASSIFICATION!$A$8:$A$24,0)),"Review"))</f>
        <v>Natalia Terrace</v>
      </c>
      <c r="N3300" s="350" t="str">
        <f ca="1">IF($B3300="Portfolio","Portfolio",IFERROR(INDEX(DATA_ASSET_CLASSIFICATION!$U$8:$U$24,MATCH($C3300,DATA_ASSET_CLASSIFICATION!$A$8:$A$24,0)),"Review"))</f>
        <v>Refi Watch</v>
      </c>
      <c r="O3300" s="350" t="str">
        <f ca="1">IF($B3300="Portfolio","Portfolio",IFERROR(INDEX(DATA_ASSET_CLASSIFICATION!$AB$8:$AB$13,MATCH($N3300,DATA_ASSET_CLASSIFICATION!$AA$8:$AA$13,0)),"Review"))</f>
        <v>Bucket 2 · Legacy</v>
      </c>
      <c r="P3300" s="350" t="str">
        <f>IF($B3300="Portfolio","Portfolio",IFERROR(INDEX(DATA_ASSET_CLASSIFICATION!$C$8:$C$24,MATCH($C3300,DATA_ASSET_CLASSIFICATION!$A$8:$A$24,0)),"Review"))</f>
        <v>Yes</v>
      </c>
      <c r="Q3300" s="350" t="str">
        <f t="shared" ca="1" si="103"/>
        <v>OK</v>
      </c>
    </row>
    <row r="3301" spans="1:17">
      <c r="A3301" s="366" t="s">
        <v>5257</v>
      </c>
      <c r="B3301" s="366" t="s">
        <v>231</v>
      </c>
      <c r="C3301" s="348" t="str">
        <f>DATA_PROPERTY_MASTER!$A$15</f>
        <v>BLD_NT</v>
      </c>
      <c r="D3301" s="380">
        <f>'00_PORTFOLIO ROLLUP'!K$12</f>
        <v>2031</v>
      </c>
      <c r="E3301" s="366" t="s">
        <v>1741</v>
      </c>
      <c r="F3301" s="366" t="s">
        <v>43</v>
      </c>
      <c r="G3301" s="348" t="str">
        <f>"'"&amp;$C3301&amp;"'!$E$68:$Y$68"</f>
        <v>'BLD_NT'!$E$68:$Y$68</v>
      </c>
      <c r="H3301" s="381">
        <f ca="1">IF(IFERROR(INDEX(DATA_PROPERTY_MASTER!$E$5:$E$21,MATCH($C3301,DATA_PROPERTY_MASTER!$A$5:$A$21,0))="Yes",FALSE),IFERROR(INDEX(INDIRECT("'"&amp;$C3301&amp;"'!$E$68:$Y$68"),1,MATCH($D3301,INDIRECT("'"&amp;$C3301&amp;"'!$E$12:$Y$12"),0)),0),0)</f>
        <v>179896.85933585756</v>
      </c>
      <c r="I3301" s="366" t="s">
        <v>1731</v>
      </c>
      <c r="J3301" s="348" t="str">
        <f t="shared" ca="1" si="102"/>
        <v>OK</v>
      </c>
      <c r="K3301" s="366" t="s">
        <v>1746</v>
      </c>
      <c r="L3301" s="366" t="s">
        <v>2264</v>
      </c>
      <c r="M3301" s="350" t="str">
        <f>IF($B3301="Portfolio","Portfolio",IFERROR(INDEX(DATA_ASSET_CLASSIFICATION!$B$8:$B$24,MATCH($C3301,DATA_ASSET_CLASSIFICATION!$A$8:$A$24,0)),"Review"))</f>
        <v>Natalia Terrace</v>
      </c>
      <c r="N3301" s="350" t="str">
        <f ca="1">IF($B3301="Portfolio","Portfolio",IFERROR(INDEX(DATA_ASSET_CLASSIFICATION!$U$8:$U$24,MATCH($C3301,DATA_ASSET_CLASSIFICATION!$A$8:$A$24,0)),"Review"))</f>
        <v>Refi Watch</v>
      </c>
      <c r="O3301" s="350" t="str">
        <f ca="1">IF($B3301="Portfolio","Portfolio",IFERROR(INDEX(DATA_ASSET_CLASSIFICATION!$AB$8:$AB$13,MATCH($N3301,DATA_ASSET_CLASSIFICATION!$AA$8:$AA$13,0)),"Review"))</f>
        <v>Bucket 2 · Legacy</v>
      </c>
      <c r="P3301" s="350" t="str">
        <f>IF($B3301="Portfolio","Portfolio",IFERROR(INDEX(DATA_ASSET_CLASSIFICATION!$C$8:$C$24,MATCH($C3301,DATA_ASSET_CLASSIFICATION!$A$8:$A$24,0)),"Review"))</f>
        <v>Yes</v>
      </c>
      <c r="Q3301" s="350" t="str">
        <f t="shared" ca="1" si="103"/>
        <v>OK</v>
      </c>
    </row>
    <row r="3302" spans="1:17">
      <c r="A3302" s="366" t="s">
        <v>5258</v>
      </c>
      <c r="B3302" s="366" t="s">
        <v>231</v>
      </c>
      <c r="C3302" s="348" t="str">
        <f>DATA_PROPERTY_MASTER!$A$15</f>
        <v>BLD_NT</v>
      </c>
      <c r="D3302" s="380">
        <f>'00_PORTFOLIO ROLLUP'!K$12</f>
        <v>2031</v>
      </c>
      <c r="E3302" s="366" t="s">
        <v>1741</v>
      </c>
      <c r="F3302" s="366" t="s">
        <v>1749</v>
      </c>
      <c r="G3302" s="348" t="str">
        <f>"'"&amp;$C3302&amp;"'!rows 56, 63, 68"</f>
        <v>'BLD_NT'!rows 56, 63, 68</v>
      </c>
      <c r="H3302" s="381">
        <f ca="1">IF(IFERROR(INDEX(DATA_PROPERTY_MASTER!$E$5:$E$21,MATCH($C3302,DATA_PROPERTY_MASTER!$A$5:$A$21,0))="Yes",FALSE),(IFERROR(INDEX(INDIRECT("'"&amp;$C3302&amp;"'!$E$56:$Y$56"),1,MATCH($D3302,INDIRECT("'"&amp;$C3302&amp;"'!$E$12:$Y$12"),0)),0)+MAX(IFERROR(INDEX(INDIRECT("'"&amp;$C3302&amp;"'!$E$63:$Y$63"),1,MATCH($D3302,INDIRECT("'"&amp;$C3302&amp;"'!$E$12:$Y$12"),0)),0),0))-(IFERROR(INDEX(INDIRECT("'"&amp;$C3302&amp;"'!$E$68:$Y$68"),1,MATCH($D3302,INDIRECT("'"&amp;$C3302&amp;"'!$E$12:$Y$12"),0)),0)),0)</f>
        <v>0</v>
      </c>
      <c r="I3302" s="366" t="s">
        <v>1750</v>
      </c>
      <c r="J3302" s="348" t="str">
        <f t="shared" ca="1" si="102"/>
        <v>OK</v>
      </c>
      <c r="K3302" s="366" t="s">
        <v>1751</v>
      </c>
      <c r="L3302" s="366" t="s">
        <v>2266</v>
      </c>
      <c r="M3302" s="350" t="str">
        <f>IF($B3302="Portfolio","Portfolio",IFERROR(INDEX(DATA_ASSET_CLASSIFICATION!$B$8:$B$24,MATCH($C3302,DATA_ASSET_CLASSIFICATION!$A$8:$A$24,0)),"Review"))</f>
        <v>Natalia Terrace</v>
      </c>
      <c r="N3302" s="350" t="str">
        <f ca="1">IF($B3302="Portfolio","Portfolio",IFERROR(INDEX(DATA_ASSET_CLASSIFICATION!$U$8:$U$24,MATCH($C3302,DATA_ASSET_CLASSIFICATION!$A$8:$A$24,0)),"Review"))</f>
        <v>Refi Watch</v>
      </c>
      <c r="O3302" s="350" t="str">
        <f ca="1">IF($B3302="Portfolio","Portfolio",IFERROR(INDEX(DATA_ASSET_CLASSIFICATION!$AB$8:$AB$13,MATCH($N3302,DATA_ASSET_CLASSIFICATION!$AA$8:$AA$13,0)),"Review"))</f>
        <v>Bucket 2 · Legacy</v>
      </c>
      <c r="P3302" s="350" t="str">
        <f>IF($B3302="Portfolio","Portfolio",IFERROR(INDEX(DATA_ASSET_CLASSIFICATION!$C$8:$C$24,MATCH($C3302,DATA_ASSET_CLASSIFICATION!$A$8:$A$24,0)),"Review"))</f>
        <v>Yes</v>
      </c>
      <c r="Q3302" s="350" t="str">
        <f t="shared" ca="1" si="103"/>
        <v>OK</v>
      </c>
    </row>
    <row r="3303" spans="1:17">
      <c r="A3303" s="366" t="s">
        <v>5259</v>
      </c>
      <c r="B3303" s="366" t="s">
        <v>231</v>
      </c>
      <c r="C3303" s="348" t="str">
        <f>DATA_PROPERTY_MASTER!$A$15</f>
        <v>BLD_NT</v>
      </c>
      <c r="D3303" s="380">
        <f>'00_PORTFOLIO ROLLUP'!L$12</f>
        <v>2032</v>
      </c>
      <c r="E3303" s="366" t="s">
        <v>1683</v>
      </c>
      <c r="F3303" s="366" t="s">
        <v>341</v>
      </c>
      <c r="G3303" s="348" t="str">
        <f>"'"&amp;$C3303&amp;"'!$E$24:$Y$24"</f>
        <v>'BLD_NT'!$E$24:$Y$24</v>
      </c>
      <c r="H3303" s="381">
        <f ca="1">IF(IFERROR(INDEX(DATA_PROPERTY_MASTER!$E$5:$E$21,MATCH($C3303,DATA_PROPERTY_MASTER!$A$5:$A$21,0))="Yes",FALSE),IFERROR(INDEX(INDIRECT("'"&amp;$C3303&amp;"'!$E$24:$Y$24"),1,MATCH($D3303,INDIRECT("'"&amp;$C3303&amp;"'!$E$12:$Y$12"),0)),0),0)</f>
        <v>831639.96905156481</v>
      </c>
      <c r="I3303" s="366" t="s">
        <v>1685</v>
      </c>
      <c r="J3303" s="348" t="str">
        <f t="shared" ca="1" si="102"/>
        <v>OK</v>
      </c>
      <c r="K3303" s="366" t="s">
        <v>1686</v>
      </c>
      <c r="L3303" s="366" t="s">
        <v>2234</v>
      </c>
      <c r="M3303" s="350" t="str">
        <f>IF($B3303="Portfolio","Portfolio",IFERROR(INDEX(DATA_ASSET_CLASSIFICATION!$B$8:$B$24,MATCH($C3303,DATA_ASSET_CLASSIFICATION!$A$8:$A$24,0)),"Review"))</f>
        <v>Natalia Terrace</v>
      </c>
      <c r="N3303" s="350" t="str">
        <f ca="1">IF($B3303="Portfolio","Portfolio",IFERROR(INDEX(DATA_ASSET_CLASSIFICATION!$U$8:$U$24,MATCH($C3303,DATA_ASSET_CLASSIFICATION!$A$8:$A$24,0)),"Review"))</f>
        <v>Refi Watch</v>
      </c>
      <c r="O3303" s="350" t="str">
        <f ca="1">IF($B3303="Portfolio","Portfolio",IFERROR(INDEX(DATA_ASSET_CLASSIFICATION!$AB$8:$AB$13,MATCH($N3303,DATA_ASSET_CLASSIFICATION!$AA$8:$AA$13,0)),"Review"))</f>
        <v>Bucket 2 · Legacy</v>
      </c>
      <c r="P3303" s="350" t="str">
        <f>IF($B3303="Portfolio","Portfolio",IFERROR(INDEX(DATA_ASSET_CLASSIFICATION!$C$8:$C$24,MATCH($C3303,DATA_ASSET_CLASSIFICATION!$A$8:$A$24,0)),"Review"))</f>
        <v>Yes</v>
      </c>
      <c r="Q3303" s="350" t="str">
        <f t="shared" ca="1" si="103"/>
        <v>OK</v>
      </c>
    </row>
    <row r="3304" spans="1:17">
      <c r="A3304" s="366" t="s">
        <v>5260</v>
      </c>
      <c r="B3304" s="366" t="s">
        <v>231</v>
      </c>
      <c r="C3304" s="348" t="str">
        <f>DATA_PROPERTY_MASTER!$A$15</f>
        <v>BLD_NT</v>
      </c>
      <c r="D3304" s="380">
        <f>'00_PORTFOLIO ROLLUP'!L$12</f>
        <v>2032</v>
      </c>
      <c r="E3304" s="366" t="s">
        <v>1683</v>
      </c>
      <c r="F3304" s="366" t="s">
        <v>355</v>
      </c>
      <c r="G3304" s="348" t="str">
        <f>"'"&amp;$C3304&amp;"'!$E$39:$Y$39"</f>
        <v>'BLD_NT'!$E$39:$Y$39</v>
      </c>
      <c r="H3304" s="381">
        <f ca="1">IF(IFERROR(INDEX(DATA_PROPERTY_MASTER!$E$5:$E$21,MATCH($C3304,DATA_PROPERTY_MASTER!$A$5:$A$21,0))="Yes",FALSE),IFERROR(INDEX(INDIRECT("'"&amp;$C3304&amp;"'!$E$39:$Y$39"),1,MATCH($D3304,INDIRECT("'"&amp;$C3304&amp;"'!$E$12:$Y$12"),0)),0),0)</f>
        <v>380214.80083816982</v>
      </c>
      <c r="I3304" s="366" t="s">
        <v>1690</v>
      </c>
      <c r="J3304" s="348" t="str">
        <f t="shared" ca="1" si="102"/>
        <v>OK</v>
      </c>
      <c r="K3304" s="366" t="s">
        <v>1686</v>
      </c>
      <c r="L3304" s="366" t="s">
        <v>2236</v>
      </c>
      <c r="M3304" s="350" t="str">
        <f>IF($B3304="Portfolio","Portfolio",IFERROR(INDEX(DATA_ASSET_CLASSIFICATION!$B$8:$B$24,MATCH($C3304,DATA_ASSET_CLASSIFICATION!$A$8:$A$24,0)),"Review"))</f>
        <v>Natalia Terrace</v>
      </c>
      <c r="N3304" s="350" t="str">
        <f ca="1">IF($B3304="Portfolio","Portfolio",IFERROR(INDEX(DATA_ASSET_CLASSIFICATION!$U$8:$U$24,MATCH($C3304,DATA_ASSET_CLASSIFICATION!$A$8:$A$24,0)),"Review"))</f>
        <v>Refi Watch</v>
      </c>
      <c r="O3304" s="350" t="str">
        <f ca="1">IF($B3304="Portfolio","Portfolio",IFERROR(INDEX(DATA_ASSET_CLASSIFICATION!$AB$8:$AB$13,MATCH($N3304,DATA_ASSET_CLASSIFICATION!$AA$8:$AA$13,0)),"Review"))</f>
        <v>Bucket 2 · Legacy</v>
      </c>
      <c r="P3304" s="350" t="str">
        <f>IF($B3304="Portfolio","Portfolio",IFERROR(INDEX(DATA_ASSET_CLASSIFICATION!$C$8:$C$24,MATCH($C3304,DATA_ASSET_CLASSIFICATION!$A$8:$A$24,0)),"Review"))</f>
        <v>Yes</v>
      </c>
      <c r="Q3304" s="350" t="str">
        <f t="shared" ca="1" si="103"/>
        <v>OK</v>
      </c>
    </row>
    <row r="3305" spans="1:17">
      <c r="A3305" s="366" t="s">
        <v>5261</v>
      </c>
      <c r="B3305" s="366" t="s">
        <v>231</v>
      </c>
      <c r="C3305" s="348" t="str">
        <f>DATA_PROPERTY_MASTER!$A$15</f>
        <v>BLD_NT</v>
      </c>
      <c r="D3305" s="380">
        <f>'00_PORTFOLIO ROLLUP'!L$12</f>
        <v>2032</v>
      </c>
      <c r="E3305" s="366" t="s">
        <v>1683</v>
      </c>
      <c r="F3305" s="366" t="s">
        <v>19</v>
      </c>
      <c r="G3305" s="348" t="str">
        <f>"'"&amp;$C3305&amp;"'!$E$41:$Y$41"</f>
        <v>'BLD_NT'!$E$41:$Y$41</v>
      </c>
      <c r="H3305" s="381">
        <f ca="1">IF(IFERROR(INDEX(DATA_PROPERTY_MASTER!$E$5:$E$21,MATCH($C3305,DATA_PROPERTY_MASTER!$A$5:$A$21,0))="Yes",FALSE),IFERROR(INDEX(INDIRECT("'"&amp;$C3305&amp;"'!$E$41:$Y$41"),1,MATCH($D3305,INDIRECT("'"&amp;$C3305&amp;"'!$E$12:$Y$12"),0)),0),0)</f>
        <v>451425.16821339499</v>
      </c>
      <c r="I3305" s="366" t="s">
        <v>1685</v>
      </c>
      <c r="J3305" s="348" t="str">
        <f t="shared" ca="1" si="102"/>
        <v>OK</v>
      </c>
      <c r="K3305" s="366" t="s">
        <v>1694</v>
      </c>
      <c r="L3305" s="366" t="s">
        <v>2238</v>
      </c>
      <c r="M3305" s="350" t="str">
        <f>IF($B3305="Portfolio","Portfolio",IFERROR(INDEX(DATA_ASSET_CLASSIFICATION!$B$8:$B$24,MATCH($C3305,DATA_ASSET_CLASSIFICATION!$A$8:$A$24,0)),"Review"))</f>
        <v>Natalia Terrace</v>
      </c>
      <c r="N3305" s="350" t="str">
        <f ca="1">IF($B3305="Portfolio","Portfolio",IFERROR(INDEX(DATA_ASSET_CLASSIFICATION!$U$8:$U$24,MATCH($C3305,DATA_ASSET_CLASSIFICATION!$A$8:$A$24,0)),"Review"))</f>
        <v>Refi Watch</v>
      </c>
      <c r="O3305" s="350" t="str">
        <f ca="1">IF($B3305="Portfolio","Portfolio",IFERROR(INDEX(DATA_ASSET_CLASSIFICATION!$AB$8:$AB$13,MATCH($N3305,DATA_ASSET_CLASSIFICATION!$AA$8:$AA$13,0)),"Review"))</f>
        <v>Bucket 2 · Legacy</v>
      </c>
      <c r="P3305" s="350" t="str">
        <f>IF($B3305="Portfolio","Portfolio",IFERROR(INDEX(DATA_ASSET_CLASSIFICATION!$C$8:$C$24,MATCH($C3305,DATA_ASSET_CLASSIFICATION!$A$8:$A$24,0)),"Review"))</f>
        <v>Yes</v>
      </c>
      <c r="Q3305" s="350" t="str">
        <f t="shared" ca="1" si="103"/>
        <v>OK</v>
      </c>
    </row>
    <row r="3306" spans="1:17">
      <c r="A3306" s="366" t="s">
        <v>5262</v>
      </c>
      <c r="B3306" s="366" t="s">
        <v>231</v>
      </c>
      <c r="C3306" s="348" t="str">
        <f>DATA_PROPERTY_MASTER!$A$15</f>
        <v>BLD_NT</v>
      </c>
      <c r="D3306" s="380">
        <f>'00_PORTFOLIO ROLLUP'!L$12</f>
        <v>2032</v>
      </c>
      <c r="E3306" s="366" t="s">
        <v>1683</v>
      </c>
      <c r="F3306" s="366" t="s">
        <v>1697</v>
      </c>
      <c r="G3306" s="348" t="str">
        <f>"'"&amp;$C3306&amp;"'!$E$44:$Y$44"</f>
        <v>'BLD_NT'!$E$44:$Y$44</v>
      </c>
      <c r="H3306" s="381">
        <f ca="1">IF(IFERROR(INDEX(DATA_PROPERTY_MASTER!$E$5:$E$21,MATCH($C3306,DATA_PROPERTY_MASTER!$A$5:$A$21,0))="Yes",FALSE),IFERROR(INDEX(INDIRECT("'"&amp;$C3306&amp;"'!$E$44:$Y$44"),1,MATCH($D3306,INDIRECT("'"&amp;$C3306&amp;"'!$E$12:$Y$12"),0)),0),0)</f>
        <v>6892.1140058956789</v>
      </c>
      <c r="I3306" s="366" t="s">
        <v>1690</v>
      </c>
      <c r="J3306" s="348" t="str">
        <f t="shared" ca="1" si="102"/>
        <v>OK</v>
      </c>
      <c r="K3306" s="366" t="s">
        <v>1699</v>
      </c>
      <c r="L3306" s="366" t="s">
        <v>2240</v>
      </c>
      <c r="M3306" s="350" t="str">
        <f>IF($B3306="Portfolio","Portfolio",IFERROR(INDEX(DATA_ASSET_CLASSIFICATION!$B$8:$B$24,MATCH($C3306,DATA_ASSET_CLASSIFICATION!$A$8:$A$24,0)),"Review"))</f>
        <v>Natalia Terrace</v>
      </c>
      <c r="N3306" s="350" t="str">
        <f ca="1">IF($B3306="Portfolio","Portfolio",IFERROR(INDEX(DATA_ASSET_CLASSIFICATION!$U$8:$U$24,MATCH($C3306,DATA_ASSET_CLASSIFICATION!$A$8:$A$24,0)),"Review"))</f>
        <v>Refi Watch</v>
      </c>
      <c r="O3306" s="350" t="str">
        <f ca="1">IF($B3306="Portfolio","Portfolio",IFERROR(INDEX(DATA_ASSET_CLASSIFICATION!$AB$8:$AB$13,MATCH($N3306,DATA_ASSET_CLASSIFICATION!$AA$8:$AA$13,0)),"Review"))</f>
        <v>Bucket 2 · Legacy</v>
      </c>
      <c r="P3306" s="350" t="str">
        <f>IF($B3306="Portfolio","Portfolio",IFERROR(INDEX(DATA_ASSET_CLASSIFICATION!$C$8:$C$24,MATCH($C3306,DATA_ASSET_CLASSIFICATION!$A$8:$A$24,0)),"Review"))</f>
        <v>Yes</v>
      </c>
      <c r="Q3306" s="350" t="str">
        <f t="shared" ca="1" si="103"/>
        <v>OK</v>
      </c>
    </row>
    <row r="3307" spans="1:17">
      <c r="A3307" s="366" t="s">
        <v>5263</v>
      </c>
      <c r="B3307" s="366" t="s">
        <v>231</v>
      </c>
      <c r="C3307" s="348" t="str">
        <f>DATA_PROPERTY_MASTER!$A$15</f>
        <v>BLD_NT</v>
      </c>
      <c r="D3307" s="380">
        <f>'00_PORTFOLIO ROLLUP'!L$12</f>
        <v>2032</v>
      </c>
      <c r="E3307" s="366" t="s">
        <v>1683</v>
      </c>
      <c r="F3307" s="366" t="s">
        <v>21</v>
      </c>
      <c r="G3307" s="348" t="str">
        <f>"'"&amp;$C3307&amp;"'!$E$45:$Y$45"</f>
        <v>'BLD_NT'!$E$45:$Y$45</v>
      </c>
      <c r="H3307" s="381">
        <f ca="1">IF(IFERROR(INDEX(DATA_PROPERTY_MASTER!$E$5:$E$21,MATCH($C3307,DATA_PROPERTY_MASTER!$A$5:$A$21,0))="Yes",FALSE),IFERROR(INDEX(INDIRECT("'"&amp;$C3307&amp;"'!$E$45:$Y$45"),1,MATCH($D3307,INDIRECT("'"&amp;$C3307&amp;"'!$E$12:$Y$12"),0)),0),0)</f>
        <v>444533.05420749931</v>
      </c>
      <c r="I3307" s="366" t="s">
        <v>1685</v>
      </c>
      <c r="J3307" s="348" t="str">
        <f t="shared" ca="1" si="102"/>
        <v>OK</v>
      </c>
      <c r="K3307" s="366" t="s">
        <v>1694</v>
      </c>
      <c r="L3307" s="366" t="s">
        <v>2242</v>
      </c>
      <c r="M3307" s="350" t="str">
        <f>IF($B3307="Portfolio","Portfolio",IFERROR(INDEX(DATA_ASSET_CLASSIFICATION!$B$8:$B$24,MATCH($C3307,DATA_ASSET_CLASSIFICATION!$A$8:$A$24,0)),"Review"))</f>
        <v>Natalia Terrace</v>
      </c>
      <c r="N3307" s="350" t="str">
        <f ca="1">IF($B3307="Portfolio","Portfolio",IFERROR(INDEX(DATA_ASSET_CLASSIFICATION!$U$8:$U$24,MATCH($C3307,DATA_ASSET_CLASSIFICATION!$A$8:$A$24,0)),"Review"))</f>
        <v>Refi Watch</v>
      </c>
      <c r="O3307" s="350" t="str">
        <f ca="1">IF($B3307="Portfolio","Portfolio",IFERROR(INDEX(DATA_ASSET_CLASSIFICATION!$AB$8:$AB$13,MATCH($N3307,DATA_ASSET_CLASSIFICATION!$AA$8:$AA$13,0)),"Review"))</f>
        <v>Bucket 2 · Legacy</v>
      </c>
      <c r="P3307" s="350" t="str">
        <f>IF($B3307="Portfolio","Portfolio",IFERROR(INDEX(DATA_ASSET_CLASSIFICATION!$C$8:$C$24,MATCH($C3307,DATA_ASSET_CLASSIFICATION!$A$8:$A$24,0)),"Review"))</f>
        <v>Yes</v>
      </c>
      <c r="Q3307" s="350" t="str">
        <f t="shared" ca="1" si="103"/>
        <v>OK</v>
      </c>
    </row>
    <row r="3308" spans="1:17">
      <c r="A3308" s="366" t="s">
        <v>5264</v>
      </c>
      <c r="B3308" s="366" t="s">
        <v>231</v>
      </c>
      <c r="C3308" s="348" t="str">
        <f>DATA_PROPERTY_MASTER!$A$15</f>
        <v>BLD_NT</v>
      </c>
      <c r="D3308" s="380">
        <f>'00_PORTFOLIO ROLLUP'!L$12</f>
        <v>2032</v>
      </c>
      <c r="E3308" s="366" t="s">
        <v>23</v>
      </c>
      <c r="F3308" s="366" t="s">
        <v>23</v>
      </c>
      <c r="G3308" s="348" t="str">
        <f>"'"&amp;$C3308&amp;"'!$E$48:$Y$48"</f>
        <v>'BLD_NT'!$E$48:$Y$48</v>
      </c>
      <c r="H3308" s="381">
        <f ca="1">IF(IFERROR(INDEX(DATA_PROPERTY_MASTER!$E$5:$E$21,MATCH($C3308,DATA_PROPERTY_MASTER!$A$5:$A$21,0))="Yes",FALSE),IFERROR(INDEX(INDIRECT("'"&amp;$C3308&amp;"'!$E$48:$Y$48"),1,MATCH($D3308,INDIRECT("'"&amp;$C3308&amp;"'!$E$12:$Y$12"),0)),0),0)</f>
        <v>0</v>
      </c>
      <c r="I3308" s="366" t="s">
        <v>1690</v>
      </c>
      <c r="J3308" s="348" t="str">
        <f t="shared" ca="1" si="102"/>
        <v>OK</v>
      </c>
      <c r="K3308" s="366" t="s">
        <v>1706</v>
      </c>
      <c r="L3308" s="366" t="s">
        <v>2244</v>
      </c>
      <c r="M3308" s="350" t="str">
        <f>IF($B3308="Portfolio","Portfolio",IFERROR(INDEX(DATA_ASSET_CLASSIFICATION!$B$8:$B$24,MATCH($C3308,DATA_ASSET_CLASSIFICATION!$A$8:$A$24,0)),"Review"))</f>
        <v>Natalia Terrace</v>
      </c>
      <c r="N3308" s="350" t="str">
        <f ca="1">IF($B3308="Portfolio","Portfolio",IFERROR(INDEX(DATA_ASSET_CLASSIFICATION!$U$8:$U$24,MATCH($C3308,DATA_ASSET_CLASSIFICATION!$A$8:$A$24,0)),"Review"))</f>
        <v>Refi Watch</v>
      </c>
      <c r="O3308" s="350" t="str">
        <f ca="1">IF($B3308="Portfolio","Portfolio",IFERROR(INDEX(DATA_ASSET_CLASSIFICATION!$AB$8:$AB$13,MATCH($N3308,DATA_ASSET_CLASSIFICATION!$AA$8:$AA$13,0)),"Review"))</f>
        <v>Bucket 2 · Legacy</v>
      </c>
      <c r="P3308" s="350" t="str">
        <f>IF($B3308="Portfolio","Portfolio",IFERROR(INDEX(DATA_ASSET_CLASSIFICATION!$C$8:$C$24,MATCH($C3308,DATA_ASSET_CLASSIFICATION!$A$8:$A$24,0)),"Review"))</f>
        <v>Yes</v>
      </c>
      <c r="Q3308" s="350" t="str">
        <f t="shared" ca="1" si="103"/>
        <v>OK</v>
      </c>
    </row>
    <row r="3309" spans="1:17">
      <c r="A3309" s="366" t="s">
        <v>5265</v>
      </c>
      <c r="B3309" s="366" t="s">
        <v>231</v>
      </c>
      <c r="C3309" s="348" t="str">
        <f>DATA_PROPERTY_MASTER!$A$15</f>
        <v>BLD_NT</v>
      </c>
      <c r="D3309" s="380">
        <f>'00_PORTFOLIO ROLLUP'!L$12</f>
        <v>2032</v>
      </c>
      <c r="E3309" s="366" t="s">
        <v>1683</v>
      </c>
      <c r="F3309" s="366" t="s">
        <v>25</v>
      </c>
      <c r="G3309" s="348" t="str">
        <f>"'"&amp;$C3309&amp;"'!$E$52:$Y$52"</f>
        <v>'BLD_NT'!$E$52:$Y$52</v>
      </c>
      <c r="H3309" s="381">
        <f ca="1">IF(IFERROR(INDEX(DATA_PROPERTY_MASTER!$E$5:$E$21,MATCH($C3309,DATA_PROPERTY_MASTER!$A$5:$A$21,0))="Yes",FALSE),IFERROR(INDEX(INDIRECT("'"&amp;$C3309&amp;"'!$E$52:$Y$52"),1,MATCH($D3309,INDIRECT("'"&amp;$C3309&amp;"'!$E$12:$Y$12"),0)),0),0)</f>
        <v>451425.16821339499</v>
      </c>
      <c r="I3309" s="366" t="s">
        <v>1685</v>
      </c>
      <c r="J3309" s="348" t="str">
        <f t="shared" ca="1" si="102"/>
        <v>OK</v>
      </c>
      <c r="K3309" s="366" t="s">
        <v>1710</v>
      </c>
      <c r="L3309" s="366" t="s">
        <v>2246</v>
      </c>
      <c r="M3309" s="350" t="str">
        <f>IF($B3309="Portfolio","Portfolio",IFERROR(INDEX(DATA_ASSET_CLASSIFICATION!$B$8:$B$24,MATCH($C3309,DATA_ASSET_CLASSIFICATION!$A$8:$A$24,0)),"Review"))</f>
        <v>Natalia Terrace</v>
      </c>
      <c r="N3309" s="350" t="str">
        <f ca="1">IF($B3309="Portfolio","Portfolio",IFERROR(INDEX(DATA_ASSET_CLASSIFICATION!$U$8:$U$24,MATCH($C3309,DATA_ASSET_CLASSIFICATION!$A$8:$A$24,0)),"Review"))</f>
        <v>Refi Watch</v>
      </c>
      <c r="O3309" s="350" t="str">
        <f ca="1">IF($B3309="Portfolio","Portfolio",IFERROR(INDEX(DATA_ASSET_CLASSIFICATION!$AB$8:$AB$13,MATCH($N3309,DATA_ASSET_CLASSIFICATION!$AA$8:$AA$13,0)),"Review"))</f>
        <v>Bucket 2 · Legacy</v>
      </c>
      <c r="P3309" s="350" t="str">
        <f>IF($B3309="Portfolio","Portfolio",IFERROR(INDEX(DATA_ASSET_CLASSIFICATION!$C$8:$C$24,MATCH($C3309,DATA_ASSET_CLASSIFICATION!$A$8:$A$24,0)),"Review"))</f>
        <v>Yes</v>
      </c>
      <c r="Q3309" s="350" t="str">
        <f t="shared" ca="1" si="103"/>
        <v>OK</v>
      </c>
    </row>
    <row r="3310" spans="1:17">
      <c r="A3310" s="366" t="s">
        <v>5266</v>
      </c>
      <c r="B3310" s="366" t="s">
        <v>231</v>
      </c>
      <c r="C3310" s="348" t="str">
        <f>DATA_PROPERTY_MASTER!$A$15</f>
        <v>BLD_NT</v>
      </c>
      <c r="D3310" s="380">
        <f>'00_PORTFOLIO ROLLUP'!L$12</f>
        <v>2032</v>
      </c>
      <c r="E3310" s="366" t="s">
        <v>1683</v>
      </c>
      <c r="F3310" s="366" t="s">
        <v>27</v>
      </c>
      <c r="G3310" s="348" t="str">
        <f>"'"&amp;$C3310&amp;"'!$E$54:$Y$54"</f>
        <v>'BLD_NT'!$E$54:$Y$54</v>
      </c>
      <c r="H3310" s="381">
        <f ca="1">IF(IFERROR(INDEX(DATA_PROPERTY_MASTER!$E$5:$E$21,MATCH($C3310,DATA_PROPERTY_MASTER!$A$5:$A$21,0))="Yes",FALSE),IFERROR(INDEX(INDIRECT("'"&amp;$C3310&amp;"'!$E$54:$Y$54"),1,MATCH($D3310,INDIRECT("'"&amp;$C3310&amp;"'!$E$12:$Y$12"),0)),0),0)</f>
        <v>270855.10092803696</v>
      </c>
      <c r="I3310" s="366" t="s">
        <v>1690</v>
      </c>
      <c r="J3310" s="348" t="str">
        <f t="shared" ca="1" si="102"/>
        <v>OK</v>
      </c>
      <c r="K3310" s="366" t="s">
        <v>1714</v>
      </c>
      <c r="L3310" s="366" t="s">
        <v>2248</v>
      </c>
      <c r="M3310" s="350" t="str">
        <f>IF($B3310="Portfolio","Portfolio",IFERROR(INDEX(DATA_ASSET_CLASSIFICATION!$B$8:$B$24,MATCH($C3310,DATA_ASSET_CLASSIFICATION!$A$8:$A$24,0)),"Review"))</f>
        <v>Natalia Terrace</v>
      </c>
      <c r="N3310" s="350" t="str">
        <f ca="1">IF($B3310="Portfolio","Portfolio",IFERROR(INDEX(DATA_ASSET_CLASSIFICATION!$U$8:$U$24,MATCH($C3310,DATA_ASSET_CLASSIFICATION!$A$8:$A$24,0)),"Review"))</f>
        <v>Refi Watch</v>
      </c>
      <c r="O3310" s="350" t="str">
        <f ca="1">IF($B3310="Portfolio","Portfolio",IFERROR(INDEX(DATA_ASSET_CLASSIFICATION!$AB$8:$AB$13,MATCH($N3310,DATA_ASSET_CLASSIFICATION!$AA$8:$AA$13,0)),"Review"))</f>
        <v>Bucket 2 · Legacy</v>
      </c>
      <c r="P3310" s="350" t="str">
        <f>IF($B3310="Portfolio","Portfolio",IFERROR(INDEX(DATA_ASSET_CLASSIFICATION!$C$8:$C$24,MATCH($C3310,DATA_ASSET_CLASSIFICATION!$A$8:$A$24,0)),"Review"))</f>
        <v>Yes</v>
      </c>
      <c r="Q3310" s="350" t="str">
        <f t="shared" ca="1" si="103"/>
        <v>OK</v>
      </c>
    </row>
    <row r="3311" spans="1:17">
      <c r="A3311" s="366" t="s">
        <v>5267</v>
      </c>
      <c r="B3311" s="366" t="s">
        <v>231</v>
      </c>
      <c r="C3311" s="348" t="str">
        <f>DATA_PROPERTY_MASTER!$A$15</f>
        <v>BLD_NT</v>
      </c>
      <c r="D3311" s="380">
        <f>'00_PORTFOLIO ROLLUP'!L$12</f>
        <v>2032</v>
      </c>
      <c r="E3311" s="366" t="s">
        <v>1683</v>
      </c>
      <c r="F3311" s="366" t="s">
        <v>29</v>
      </c>
      <c r="G3311" s="348" t="str">
        <f>"'"&amp;$C3311&amp;"'!$E$56:$Y$56"</f>
        <v>'BLD_NT'!$E$56:$Y$56</v>
      </c>
      <c r="H3311" s="381">
        <f ca="1">IF(IFERROR(INDEX(DATA_PROPERTY_MASTER!$E$5:$E$21,MATCH($C3311,DATA_PROPERTY_MASTER!$A$5:$A$21,0))="Yes",FALSE),IFERROR(INDEX(INDIRECT("'"&amp;$C3311&amp;"'!$E$56:$Y$56"),1,MATCH($D3311,INDIRECT("'"&amp;$C3311&amp;"'!$E$12:$Y$12"),0)),0),0)</f>
        <v>180570.06728535803</v>
      </c>
      <c r="I3311" s="366" t="s">
        <v>1685</v>
      </c>
      <c r="J3311" s="348" t="str">
        <f t="shared" ca="1" si="102"/>
        <v>OK</v>
      </c>
      <c r="K3311" s="366" t="s">
        <v>1718</v>
      </c>
      <c r="L3311" s="366" t="s">
        <v>2250</v>
      </c>
      <c r="M3311" s="350" t="str">
        <f>IF($B3311="Portfolio","Portfolio",IFERROR(INDEX(DATA_ASSET_CLASSIFICATION!$B$8:$B$24,MATCH($C3311,DATA_ASSET_CLASSIFICATION!$A$8:$A$24,0)),"Review"))</f>
        <v>Natalia Terrace</v>
      </c>
      <c r="N3311" s="350" t="str">
        <f ca="1">IF($B3311="Portfolio","Portfolio",IFERROR(INDEX(DATA_ASSET_CLASSIFICATION!$U$8:$U$24,MATCH($C3311,DATA_ASSET_CLASSIFICATION!$A$8:$A$24,0)),"Review"))</f>
        <v>Refi Watch</v>
      </c>
      <c r="O3311" s="350" t="str">
        <f ca="1">IF($B3311="Portfolio","Portfolio",IFERROR(INDEX(DATA_ASSET_CLASSIFICATION!$AB$8:$AB$13,MATCH($N3311,DATA_ASSET_CLASSIFICATION!$AA$8:$AA$13,0)),"Review"))</f>
        <v>Bucket 2 · Legacy</v>
      </c>
      <c r="P3311" s="350" t="str">
        <f>IF($B3311="Portfolio","Portfolio",IFERROR(INDEX(DATA_ASSET_CLASSIFICATION!$C$8:$C$24,MATCH($C3311,DATA_ASSET_CLASSIFICATION!$A$8:$A$24,0)),"Review"))</f>
        <v>Yes</v>
      </c>
      <c r="Q3311" s="350" t="str">
        <f t="shared" ca="1" si="103"/>
        <v>OK</v>
      </c>
    </row>
    <row r="3312" spans="1:17">
      <c r="A3312" s="366" t="s">
        <v>5268</v>
      </c>
      <c r="B3312" s="366" t="s">
        <v>231</v>
      </c>
      <c r="C3312" s="348" t="str">
        <f>DATA_PROPERTY_MASTER!$A$15</f>
        <v>BLD_NT</v>
      </c>
      <c r="D3312" s="380">
        <f>'00_PORTFOLIO ROLLUP'!L$12</f>
        <v>2032</v>
      </c>
      <c r="E3312" s="366" t="s">
        <v>1721</v>
      </c>
      <c r="F3312" s="366" t="s">
        <v>31</v>
      </c>
      <c r="G3312" s="348" t="str">
        <f>"'"&amp;$C3312&amp;"'!$E$61:$Y$61"</f>
        <v>'BLD_NT'!$E$61:$Y$61</v>
      </c>
      <c r="H3312" s="381">
        <f ca="1">IF(IFERROR(INDEX(DATA_PROPERTY_MASTER!$E$5:$E$21,MATCH($C3312,DATA_PROPERTY_MASTER!$A$5:$A$21,0))="Yes",FALSE),IFERROR(INDEX(INDIRECT("'"&amp;$C3312&amp;"'!$E$61:$Y$61"),1,MATCH($D3312,INDIRECT("'"&amp;$C3312&amp;"'!$E$12:$Y$12"),0)),0),0)</f>
        <v>0</v>
      </c>
      <c r="I3312" s="366" t="s">
        <v>1690</v>
      </c>
      <c r="J3312" s="348" t="str">
        <f t="shared" ca="1" si="102"/>
        <v>OK</v>
      </c>
      <c r="K3312" s="366" t="s">
        <v>1723</v>
      </c>
      <c r="L3312" s="366" t="s">
        <v>2252</v>
      </c>
      <c r="M3312" s="350" t="str">
        <f>IF($B3312="Portfolio","Portfolio",IFERROR(INDEX(DATA_ASSET_CLASSIFICATION!$B$8:$B$24,MATCH($C3312,DATA_ASSET_CLASSIFICATION!$A$8:$A$24,0)),"Review"))</f>
        <v>Natalia Terrace</v>
      </c>
      <c r="N3312" s="350" t="str">
        <f ca="1">IF($B3312="Portfolio","Portfolio",IFERROR(INDEX(DATA_ASSET_CLASSIFICATION!$U$8:$U$24,MATCH($C3312,DATA_ASSET_CLASSIFICATION!$A$8:$A$24,0)),"Review"))</f>
        <v>Refi Watch</v>
      </c>
      <c r="O3312" s="350" t="str">
        <f ca="1">IF($B3312="Portfolio","Portfolio",IFERROR(INDEX(DATA_ASSET_CLASSIFICATION!$AB$8:$AB$13,MATCH($N3312,DATA_ASSET_CLASSIFICATION!$AA$8:$AA$13,0)),"Review"))</f>
        <v>Bucket 2 · Legacy</v>
      </c>
      <c r="P3312" s="350" t="str">
        <f>IF($B3312="Portfolio","Portfolio",IFERROR(INDEX(DATA_ASSET_CLASSIFICATION!$C$8:$C$24,MATCH($C3312,DATA_ASSET_CLASSIFICATION!$A$8:$A$24,0)),"Review"))</f>
        <v>Yes</v>
      </c>
      <c r="Q3312" s="350" t="str">
        <f t="shared" ca="1" si="103"/>
        <v>OK</v>
      </c>
    </row>
    <row r="3313" spans="1:17">
      <c r="A3313" s="366" t="s">
        <v>5269</v>
      </c>
      <c r="B3313" s="366" t="s">
        <v>231</v>
      </c>
      <c r="C3313" s="348" t="str">
        <f>DATA_PROPERTY_MASTER!$A$15</f>
        <v>BLD_NT</v>
      </c>
      <c r="D3313" s="380">
        <f>'00_PORTFOLIO ROLLUP'!L$12</f>
        <v>2032</v>
      </c>
      <c r="E3313" s="366" t="s">
        <v>1721</v>
      </c>
      <c r="F3313" s="366" t="s">
        <v>33</v>
      </c>
      <c r="G3313" s="348" t="str">
        <f>"'"&amp;$C3313&amp;"'!$E$62:$Y$62"</f>
        <v>'BLD_NT'!$E$62:$Y$62</v>
      </c>
      <c r="H3313" s="381">
        <f ca="1">IF(IFERROR(INDEX(DATA_PROPERTY_MASTER!$E$5:$E$21,MATCH($C3313,DATA_PROPERTY_MASTER!$A$5:$A$21,0))="Yes",FALSE),IFERROR(INDEX(INDIRECT("'"&amp;$C3313&amp;"'!$E$62:$Y$62"),1,MATCH($D3313,INDIRECT("'"&amp;$C3313&amp;"'!$E$12:$Y$12"),0)),0),0)</f>
        <v>0</v>
      </c>
      <c r="I3313" s="366" t="s">
        <v>1685</v>
      </c>
      <c r="J3313" s="348" t="str">
        <f t="shared" ca="1" si="102"/>
        <v>OK</v>
      </c>
      <c r="K3313" s="366" t="s">
        <v>1727</v>
      </c>
      <c r="L3313" s="366" t="s">
        <v>2254</v>
      </c>
      <c r="M3313" s="350" t="str">
        <f>IF($B3313="Portfolio","Portfolio",IFERROR(INDEX(DATA_ASSET_CLASSIFICATION!$B$8:$B$24,MATCH($C3313,DATA_ASSET_CLASSIFICATION!$A$8:$A$24,0)),"Review"))</f>
        <v>Natalia Terrace</v>
      </c>
      <c r="N3313" s="350" t="str">
        <f ca="1">IF($B3313="Portfolio","Portfolio",IFERROR(INDEX(DATA_ASSET_CLASSIFICATION!$U$8:$U$24,MATCH($C3313,DATA_ASSET_CLASSIFICATION!$A$8:$A$24,0)),"Review"))</f>
        <v>Refi Watch</v>
      </c>
      <c r="O3313" s="350" t="str">
        <f ca="1">IF($B3313="Portfolio","Portfolio",IFERROR(INDEX(DATA_ASSET_CLASSIFICATION!$AB$8:$AB$13,MATCH($N3313,DATA_ASSET_CLASSIFICATION!$AA$8:$AA$13,0)),"Review"))</f>
        <v>Bucket 2 · Legacy</v>
      </c>
      <c r="P3313" s="350" t="str">
        <f>IF($B3313="Portfolio","Portfolio",IFERROR(INDEX(DATA_ASSET_CLASSIFICATION!$C$8:$C$24,MATCH($C3313,DATA_ASSET_CLASSIFICATION!$A$8:$A$24,0)),"Review"))</f>
        <v>Yes</v>
      </c>
      <c r="Q3313" s="350" t="str">
        <f t="shared" ca="1" si="103"/>
        <v>OK</v>
      </c>
    </row>
    <row r="3314" spans="1:17">
      <c r="A3314" s="366" t="s">
        <v>5270</v>
      </c>
      <c r="B3314" s="366" t="s">
        <v>231</v>
      </c>
      <c r="C3314" s="348" t="str">
        <f>DATA_PROPERTY_MASTER!$A$15</f>
        <v>BLD_NT</v>
      </c>
      <c r="D3314" s="380">
        <f>'00_PORTFOLIO ROLLUP'!L$12</f>
        <v>2032</v>
      </c>
      <c r="E3314" s="366" t="s">
        <v>1721</v>
      </c>
      <c r="F3314" s="366" t="s">
        <v>35</v>
      </c>
      <c r="G3314" s="348" t="str">
        <f>"'"&amp;$C3314&amp;"'!$E$63:$Y$63"</f>
        <v>'BLD_NT'!$E$63:$Y$63</v>
      </c>
      <c r="H3314" s="381">
        <f ca="1">IF(IFERROR(INDEX(DATA_PROPERTY_MASTER!$E$5:$E$21,MATCH($C3314,DATA_PROPERTY_MASTER!$A$5:$A$21,0))="Yes",FALSE),IFERROR(INDEX(INDIRECT("'"&amp;$C3314&amp;"'!$E$63:$Y$63"),1,MATCH($D3314,INDIRECT("'"&amp;$C3314&amp;"'!$E$12:$Y$12"),0)),0),0)</f>
        <v>0</v>
      </c>
      <c r="I3314" s="366" t="s">
        <v>1731</v>
      </c>
      <c r="J3314" s="348" t="str">
        <f t="shared" ca="1" si="102"/>
        <v>OK</v>
      </c>
      <c r="K3314" s="366" t="s">
        <v>1732</v>
      </c>
      <c r="L3314" s="366" t="s">
        <v>2256</v>
      </c>
      <c r="M3314" s="350" t="str">
        <f>IF($B3314="Portfolio","Portfolio",IFERROR(INDEX(DATA_ASSET_CLASSIFICATION!$B$8:$B$24,MATCH($C3314,DATA_ASSET_CLASSIFICATION!$A$8:$A$24,0)),"Review"))</f>
        <v>Natalia Terrace</v>
      </c>
      <c r="N3314" s="350" t="str">
        <f ca="1">IF($B3314="Portfolio","Portfolio",IFERROR(INDEX(DATA_ASSET_CLASSIFICATION!$U$8:$U$24,MATCH($C3314,DATA_ASSET_CLASSIFICATION!$A$8:$A$24,0)),"Review"))</f>
        <v>Refi Watch</v>
      </c>
      <c r="O3314" s="350" t="str">
        <f ca="1">IF($B3314="Portfolio","Portfolio",IFERROR(INDEX(DATA_ASSET_CLASSIFICATION!$AB$8:$AB$13,MATCH($N3314,DATA_ASSET_CLASSIFICATION!$AA$8:$AA$13,0)),"Review"))</f>
        <v>Bucket 2 · Legacy</v>
      </c>
      <c r="P3314" s="350" t="str">
        <f>IF($B3314="Portfolio","Portfolio",IFERROR(INDEX(DATA_ASSET_CLASSIFICATION!$C$8:$C$24,MATCH($C3314,DATA_ASSET_CLASSIFICATION!$A$8:$A$24,0)),"Review"))</f>
        <v>Yes</v>
      </c>
      <c r="Q3314" s="350" t="str">
        <f t="shared" ca="1" si="103"/>
        <v>OK</v>
      </c>
    </row>
    <row r="3315" spans="1:17">
      <c r="A3315" s="366" t="s">
        <v>5271</v>
      </c>
      <c r="B3315" s="366" t="s">
        <v>231</v>
      </c>
      <c r="C3315" s="348" t="str">
        <f>DATA_PROPERTY_MASTER!$A$15</f>
        <v>BLD_NT</v>
      </c>
      <c r="D3315" s="380">
        <f>'00_PORTFOLIO ROLLUP'!L$12</f>
        <v>2032</v>
      </c>
      <c r="E3315" s="366" t="s">
        <v>1721</v>
      </c>
      <c r="F3315" s="366" t="s">
        <v>37</v>
      </c>
      <c r="G3315" s="348" t="str">
        <f>"'"&amp;$C3315&amp;"'!$E$63:$Y$63"</f>
        <v>'BLD_NT'!$E$63:$Y$63</v>
      </c>
      <c r="H3315" s="381">
        <f ca="1">IF(IFERROR(INDEX(DATA_PROPERTY_MASTER!$E$5:$E$21,MATCH($C3315,DATA_PROPERTY_MASTER!$A$5:$A$21,0))="Yes",FALSE),MAX(IFERROR(INDEX(INDIRECT("'"&amp;$C3315&amp;"'!$E$63:$Y$63"),1,MATCH($D3315,INDIRECT("'"&amp;$C3315&amp;"'!$E$12:$Y$12"),0)),0),0),0)</f>
        <v>0</v>
      </c>
      <c r="I3315" s="366" t="s">
        <v>1685</v>
      </c>
      <c r="J3315" s="348" t="str">
        <f t="shared" ca="1" si="102"/>
        <v>OK</v>
      </c>
      <c r="K3315" s="366" t="s">
        <v>1735</v>
      </c>
      <c r="L3315" s="366" t="s">
        <v>2258</v>
      </c>
      <c r="M3315" s="350" t="str">
        <f>IF($B3315="Portfolio","Portfolio",IFERROR(INDEX(DATA_ASSET_CLASSIFICATION!$B$8:$B$24,MATCH($C3315,DATA_ASSET_CLASSIFICATION!$A$8:$A$24,0)),"Review"))</f>
        <v>Natalia Terrace</v>
      </c>
      <c r="N3315" s="350" t="str">
        <f ca="1">IF($B3315="Portfolio","Portfolio",IFERROR(INDEX(DATA_ASSET_CLASSIFICATION!$U$8:$U$24,MATCH($C3315,DATA_ASSET_CLASSIFICATION!$A$8:$A$24,0)),"Review"))</f>
        <v>Refi Watch</v>
      </c>
      <c r="O3315" s="350" t="str">
        <f ca="1">IF($B3315="Portfolio","Portfolio",IFERROR(INDEX(DATA_ASSET_CLASSIFICATION!$AB$8:$AB$13,MATCH($N3315,DATA_ASSET_CLASSIFICATION!$AA$8:$AA$13,0)),"Review"))</f>
        <v>Bucket 2 · Legacy</v>
      </c>
      <c r="P3315" s="350" t="str">
        <f>IF($B3315="Portfolio","Portfolio",IFERROR(INDEX(DATA_ASSET_CLASSIFICATION!$C$8:$C$24,MATCH($C3315,DATA_ASSET_CLASSIFICATION!$A$8:$A$24,0)),"Review"))</f>
        <v>Yes</v>
      </c>
      <c r="Q3315" s="350" t="str">
        <f t="shared" ca="1" si="103"/>
        <v>OK</v>
      </c>
    </row>
    <row r="3316" spans="1:17">
      <c r="A3316" s="366" t="s">
        <v>5272</v>
      </c>
      <c r="B3316" s="366" t="s">
        <v>231</v>
      </c>
      <c r="C3316" s="348" t="str">
        <f>DATA_PROPERTY_MASTER!$A$15</f>
        <v>BLD_NT</v>
      </c>
      <c r="D3316" s="380">
        <f>'00_PORTFOLIO ROLLUP'!L$12</f>
        <v>2032</v>
      </c>
      <c r="E3316" s="366" t="s">
        <v>1721</v>
      </c>
      <c r="F3316" s="366" t="s">
        <v>39</v>
      </c>
      <c r="G3316" s="348" t="str">
        <f>"'"&amp;$C3316&amp;"'!$E$63:$Y$63"</f>
        <v>'BLD_NT'!$E$63:$Y$63</v>
      </c>
      <c r="H3316" s="381">
        <f ca="1">IF(IFERROR(INDEX(DATA_PROPERTY_MASTER!$E$5:$E$21,MATCH($C3316,DATA_PROPERTY_MASTER!$A$5:$A$21,0))="Yes",FALSE),MAX(-IFERROR(INDEX(INDIRECT("'"&amp;$C3316&amp;"'!$E$63:$Y$63"),1,MATCH($D3316,INDIRECT("'"&amp;$C3316&amp;"'!$E$12:$Y$12"),0)),0),0),0)</f>
        <v>0</v>
      </c>
      <c r="I3316" s="366" t="s">
        <v>1690</v>
      </c>
      <c r="J3316" s="348" t="str">
        <f t="shared" ca="1" si="102"/>
        <v>OK</v>
      </c>
      <c r="K3316" s="366" t="s">
        <v>1738</v>
      </c>
      <c r="L3316" s="366" t="s">
        <v>2260</v>
      </c>
      <c r="M3316" s="350" t="str">
        <f>IF($B3316="Portfolio","Portfolio",IFERROR(INDEX(DATA_ASSET_CLASSIFICATION!$B$8:$B$24,MATCH($C3316,DATA_ASSET_CLASSIFICATION!$A$8:$A$24,0)),"Review"))</f>
        <v>Natalia Terrace</v>
      </c>
      <c r="N3316" s="350" t="str">
        <f ca="1">IF($B3316="Portfolio","Portfolio",IFERROR(INDEX(DATA_ASSET_CLASSIFICATION!$U$8:$U$24,MATCH($C3316,DATA_ASSET_CLASSIFICATION!$A$8:$A$24,0)),"Review"))</f>
        <v>Refi Watch</v>
      </c>
      <c r="O3316" s="350" t="str">
        <f ca="1">IF($B3316="Portfolio","Portfolio",IFERROR(INDEX(DATA_ASSET_CLASSIFICATION!$AB$8:$AB$13,MATCH($N3316,DATA_ASSET_CLASSIFICATION!$AA$8:$AA$13,0)),"Review"))</f>
        <v>Bucket 2 · Legacy</v>
      </c>
      <c r="P3316" s="350" t="str">
        <f>IF($B3316="Portfolio","Portfolio",IFERROR(INDEX(DATA_ASSET_CLASSIFICATION!$C$8:$C$24,MATCH($C3316,DATA_ASSET_CLASSIFICATION!$A$8:$A$24,0)),"Review"))</f>
        <v>Yes</v>
      </c>
      <c r="Q3316" s="350" t="str">
        <f t="shared" ca="1" si="103"/>
        <v>OK</v>
      </c>
    </row>
    <row r="3317" spans="1:17">
      <c r="A3317" s="366" t="s">
        <v>5273</v>
      </c>
      <c r="B3317" s="366" t="s">
        <v>231</v>
      </c>
      <c r="C3317" s="348" t="str">
        <f>DATA_PROPERTY_MASTER!$A$15</f>
        <v>BLD_NT</v>
      </c>
      <c r="D3317" s="380">
        <f>'00_PORTFOLIO ROLLUP'!L$12</f>
        <v>2032</v>
      </c>
      <c r="E3317" s="366" t="s">
        <v>1741</v>
      </c>
      <c r="F3317" s="366" t="s">
        <v>41</v>
      </c>
      <c r="G3317" s="348" t="str">
        <f>"'"&amp;$C3317&amp;"'!rows 56 + positive row 63"</f>
        <v>'BLD_NT'!rows 56 + positive row 63</v>
      </c>
      <c r="H3317" s="381">
        <f ca="1">IF(IFERROR(INDEX(DATA_PROPERTY_MASTER!$E$5:$E$21,MATCH($C3317,DATA_PROPERTY_MASTER!$A$5:$A$21,0))="Yes",FALSE),IFERROR(INDEX(INDIRECT("'"&amp;$C3317&amp;"'!$E$56:$Y$56"),1,MATCH($D3317,INDIRECT("'"&amp;$C3317&amp;"'!$E$12:$Y$12"),0)),0)+MAX(IFERROR(INDEX(INDIRECT("'"&amp;$C3317&amp;"'!$E$63:$Y$63"),1,MATCH($D3317,INDIRECT("'"&amp;$C3317&amp;"'!$E$12:$Y$12"),0)),0),0),0)</f>
        <v>180570.06728535803</v>
      </c>
      <c r="I3317" s="366" t="s">
        <v>1685</v>
      </c>
      <c r="J3317" s="348" t="str">
        <f t="shared" ca="1" si="102"/>
        <v>OK</v>
      </c>
      <c r="K3317" s="366" t="s">
        <v>1742</v>
      </c>
      <c r="L3317" s="366" t="s">
        <v>2262</v>
      </c>
      <c r="M3317" s="350" t="str">
        <f>IF($B3317="Portfolio","Portfolio",IFERROR(INDEX(DATA_ASSET_CLASSIFICATION!$B$8:$B$24,MATCH($C3317,DATA_ASSET_CLASSIFICATION!$A$8:$A$24,0)),"Review"))</f>
        <v>Natalia Terrace</v>
      </c>
      <c r="N3317" s="350" t="str">
        <f ca="1">IF($B3317="Portfolio","Portfolio",IFERROR(INDEX(DATA_ASSET_CLASSIFICATION!$U$8:$U$24,MATCH($C3317,DATA_ASSET_CLASSIFICATION!$A$8:$A$24,0)),"Review"))</f>
        <v>Refi Watch</v>
      </c>
      <c r="O3317" s="350" t="str">
        <f ca="1">IF($B3317="Portfolio","Portfolio",IFERROR(INDEX(DATA_ASSET_CLASSIFICATION!$AB$8:$AB$13,MATCH($N3317,DATA_ASSET_CLASSIFICATION!$AA$8:$AA$13,0)),"Review"))</f>
        <v>Bucket 2 · Legacy</v>
      </c>
      <c r="P3317" s="350" t="str">
        <f>IF($B3317="Portfolio","Portfolio",IFERROR(INDEX(DATA_ASSET_CLASSIFICATION!$C$8:$C$24,MATCH($C3317,DATA_ASSET_CLASSIFICATION!$A$8:$A$24,0)),"Review"))</f>
        <v>Yes</v>
      </c>
      <c r="Q3317" s="350" t="str">
        <f t="shared" ca="1" si="103"/>
        <v>OK</v>
      </c>
    </row>
    <row r="3318" spans="1:17">
      <c r="A3318" s="366" t="s">
        <v>5274</v>
      </c>
      <c r="B3318" s="366" t="s">
        <v>231</v>
      </c>
      <c r="C3318" s="348" t="str">
        <f>DATA_PROPERTY_MASTER!$A$15</f>
        <v>BLD_NT</v>
      </c>
      <c r="D3318" s="380">
        <f>'00_PORTFOLIO ROLLUP'!L$12</f>
        <v>2032</v>
      </c>
      <c r="E3318" s="366" t="s">
        <v>1741</v>
      </c>
      <c r="F3318" s="366" t="s">
        <v>43</v>
      </c>
      <c r="G3318" s="348" t="str">
        <f>"'"&amp;$C3318&amp;"'!$E$68:$Y$68"</f>
        <v>'BLD_NT'!$E$68:$Y$68</v>
      </c>
      <c r="H3318" s="381">
        <f ca="1">IF(IFERROR(INDEX(DATA_PROPERTY_MASTER!$E$5:$E$21,MATCH($C3318,DATA_PROPERTY_MASTER!$A$5:$A$21,0))="Yes",FALSE),IFERROR(INDEX(INDIRECT("'"&amp;$C3318&amp;"'!$E$68:$Y$68"),1,MATCH($D3318,INDIRECT("'"&amp;$C3318&amp;"'!$E$12:$Y$12"),0)),0),0)</f>
        <v>180570.06728535803</v>
      </c>
      <c r="I3318" s="366" t="s">
        <v>1731</v>
      </c>
      <c r="J3318" s="348" t="str">
        <f t="shared" ca="1" si="102"/>
        <v>OK</v>
      </c>
      <c r="K3318" s="366" t="s">
        <v>1746</v>
      </c>
      <c r="L3318" s="366" t="s">
        <v>2264</v>
      </c>
      <c r="M3318" s="350" t="str">
        <f>IF($B3318="Portfolio","Portfolio",IFERROR(INDEX(DATA_ASSET_CLASSIFICATION!$B$8:$B$24,MATCH($C3318,DATA_ASSET_CLASSIFICATION!$A$8:$A$24,0)),"Review"))</f>
        <v>Natalia Terrace</v>
      </c>
      <c r="N3318" s="350" t="str">
        <f ca="1">IF($B3318="Portfolio","Portfolio",IFERROR(INDEX(DATA_ASSET_CLASSIFICATION!$U$8:$U$24,MATCH($C3318,DATA_ASSET_CLASSIFICATION!$A$8:$A$24,0)),"Review"))</f>
        <v>Refi Watch</v>
      </c>
      <c r="O3318" s="350" t="str">
        <f ca="1">IF($B3318="Portfolio","Portfolio",IFERROR(INDEX(DATA_ASSET_CLASSIFICATION!$AB$8:$AB$13,MATCH($N3318,DATA_ASSET_CLASSIFICATION!$AA$8:$AA$13,0)),"Review"))</f>
        <v>Bucket 2 · Legacy</v>
      </c>
      <c r="P3318" s="350" t="str">
        <f>IF($B3318="Portfolio","Portfolio",IFERROR(INDEX(DATA_ASSET_CLASSIFICATION!$C$8:$C$24,MATCH($C3318,DATA_ASSET_CLASSIFICATION!$A$8:$A$24,0)),"Review"))</f>
        <v>Yes</v>
      </c>
      <c r="Q3318" s="350" t="str">
        <f t="shared" ca="1" si="103"/>
        <v>OK</v>
      </c>
    </row>
    <row r="3319" spans="1:17">
      <c r="A3319" s="366" t="s">
        <v>5275</v>
      </c>
      <c r="B3319" s="366" t="s">
        <v>231</v>
      </c>
      <c r="C3319" s="348" t="str">
        <f>DATA_PROPERTY_MASTER!$A$15</f>
        <v>BLD_NT</v>
      </c>
      <c r="D3319" s="380">
        <f>'00_PORTFOLIO ROLLUP'!L$12</f>
        <v>2032</v>
      </c>
      <c r="E3319" s="366" t="s">
        <v>1741</v>
      </c>
      <c r="F3319" s="366" t="s">
        <v>1749</v>
      </c>
      <c r="G3319" s="348" t="str">
        <f>"'"&amp;$C3319&amp;"'!rows 56, 63, 68"</f>
        <v>'BLD_NT'!rows 56, 63, 68</v>
      </c>
      <c r="H3319" s="381">
        <f ca="1">IF(IFERROR(INDEX(DATA_PROPERTY_MASTER!$E$5:$E$21,MATCH($C3319,DATA_PROPERTY_MASTER!$A$5:$A$21,0))="Yes",FALSE),(IFERROR(INDEX(INDIRECT("'"&amp;$C3319&amp;"'!$E$56:$Y$56"),1,MATCH($D3319,INDIRECT("'"&amp;$C3319&amp;"'!$E$12:$Y$12"),0)),0)+MAX(IFERROR(INDEX(INDIRECT("'"&amp;$C3319&amp;"'!$E$63:$Y$63"),1,MATCH($D3319,INDIRECT("'"&amp;$C3319&amp;"'!$E$12:$Y$12"),0)),0),0))-(IFERROR(INDEX(INDIRECT("'"&amp;$C3319&amp;"'!$E$68:$Y$68"),1,MATCH($D3319,INDIRECT("'"&amp;$C3319&amp;"'!$E$12:$Y$12"),0)),0)),0)</f>
        <v>0</v>
      </c>
      <c r="I3319" s="366" t="s">
        <v>1750</v>
      </c>
      <c r="J3319" s="348" t="str">
        <f t="shared" ca="1" si="102"/>
        <v>OK</v>
      </c>
      <c r="K3319" s="366" t="s">
        <v>1751</v>
      </c>
      <c r="L3319" s="366" t="s">
        <v>2266</v>
      </c>
      <c r="M3319" s="350" t="str">
        <f>IF($B3319="Portfolio","Portfolio",IFERROR(INDEX(DATA_ASSET_CLASSIFICATION!$B$8:$B$24,MATCH($C3319,DATA_ASSET_CLASSIFICATION!$A$8:$A$24,0)),"Review"))</f>
        <v>Natalia Terrace</v>
      </c>
      <c r="N3319" s="350" t="str">
        <f ca="1">IF($B3319="Portfolio","Portfolio",IFERROR(INDEX(DATA_ASSET_CLASSIFICATION!$U$8:$U$24,MATCH($C3319,DATA_ASSET_CLASSIFICATION!$A$8:$A$24,0)),"Review"))</f>
        <v>Refi Watch</v>
      </c>
      <c r="O3319" s="350" t="str">
        <f ca="1">IF($B3319="Portfolio","Portfolio",IFERROR(INDEX(DATA_ASSET_CLASSIFICATION!$AB$8:$AB$13,MATCH($N3319,DATA_ASSET_CLASSIFICATION!$AA$8:$AA$13,0)),"Review"))</f>
        <v>Bucket 2 · Legacy</v>
      </c>
      <c r="P3319" s="350" t="str">
        <f>IF($B3319="Portfolio","Portfolio",IFERROR(INDEX(DATA_ASSET_CLASSIFICATION!$C$8:$C$24,MATCH($C3319,DATA_ASSET_CLASSIFICATION!$A$8:$A$24,0)),"Review"))</f>
        <v>Yes</v>
      </c>
      <c r="Q3319" s="350" t="str">
        <f t="shared" ca="1" si="103"/>
        <v>OK</v>
      </c>
    </row>
    <row r="3320" spans="1:17">
      <c r="A3320" s="366" t="s">
        <v>5276</v>
      </c>
      <c r="B3320" s="366" t="s">
        <v>231</v>
      </c>
      <c r="C3320" s="348" t="str">
        <f>DATA_PROPERTY_MASTER!$A$15</f>
        <v>BLD_NT</v>
      </c>
      <c r="D3320" s="380">
        <f>'00_PORTFOLIO ROLLUP'!M$12</f>
        <v>2033</v>
      </c>
      <c r="E3320" s="366" t="s">
        <v>1683</v>
      </c>
      <c r="F3320" s="366" t="s">
        <v>341</v>
      </c>
      <c r="G3320" s="348" t="str">
        <f>"'"&amp;$C3320&amp;"'!$E$24:$Y$24"</f>
        <v>'BLD_NT'!$E$24:$Y$24</v>
      </c>
      <c r="H3320" s="381">
        <f ca="1">IF(IFERROR(INDEX(DATA_PROPERTY_MASTER!$E$5:$E$21,MATCH($C3320,DATA_PROPERTY_MASTER!$A$5:$A$21,0))="Yes",FALSE),IFERROR(INDEX(INDIRECT("'"&amp;$C3320&amp;"'!$E$24:$Y$24"),1,MATCH($D3320,INDIRECT("'"&amp;$C3320&amp;"'!$E$12:$Y$12"),0)),0),0)</f>
        <v>848272.76843259588</v>
      </c>
      <c r="I3320" s="366" t="s">
        <v>1685</v>
      </c>
      <c r="J3320" s="348" t="str">
        <f t="shared" ca="1" si="102"/>
        <v>OK</v>
      </c>
      <c r="K3320" s="366" t="s">
        <v>1686</v>
      </c>
      <c r="L3320" s="366" t="s">
        <v>2234</v>
      </c>
      <c r="M3320" s="350" t="str">
        <f>IF($B3320="Portfolio","Portfolio",IFERROR(INDEX(DATA_ASSET_CLASSIFICATION!$B$8:$B$24,MATCH($C3320,DATA_ASSET_CLASSIFICATION!$A$8:$A$24,0)),"Review"))</f>
        <v>Natalia Terrace</v>
      </c>
      <c r="N3320" s="350" t="str">
        <f ca="1">IF($B3320="Portfolio","Portfolio",IFERROR(INDEX(DATA_ASSET_CLASSIFICATION!$U$8:$U$24,MATCH($C3320,DATA_ASSET_CLASSIFICATION!$A$8:$A$24,0)),"Review"))</f>
        <v>Refi Watch</v>
      </c>
      <c r="O3320" s="350" t="str">
        <f ca="1">IF($B3320="Portfolio","Portfolio",IFERROR(INDEX(DATA_ASSET_CLASSIFICATION!$AB$8:$AB$13,MATCH($N3320,DATA_ASSET_CLASSIFICATION!$AA$8:$AA$13,0)),"Review"))</f>
        <v>Bucket 2 · Legacy</v>
      </c>
      <c r="P3320" s="350" t="str">
        <f>IF($B3320="Portfolio","Portfolio",IFERROR(INDEX(DATA_ASSET_CLASSIFICATION!$C$8:$C$24,MATCH($C3320,DATA_ASSET_CLASSIFICATION!$A$8:$A$24,0)),"Review"))</f>
        <v>Yes</v>
      </c>
      <c r="Q3320" s="350" t="str">
        <f t="shared" ca="1" si="103"/>
        <v>OK</v>
      </c>
    </row>
    <row r="3321" spans="1:17">
      <c r="A3321" s="366" t="s">
        <v>5277</v>
      </c>
      <c r="B3321" s="366" t="s">
        <v>231</v>
      </c>
      <c r="C3321" s="348" t="str">
        <f>DATA_PROPERTY_MASTER!$A$15</f>
        <v>BLD_NT</v>
      </c>
      <c r="D3321" s="380">
        <f>'00_PORTFOLIO ROLLUP'!M$12</f>
        <v>2033</v>
      </c>
      <c r="E3321" s="366" t="s">
        <v>1683</v>
      </c>
      <c r="F3321" s="366" t="s">
        <v>355</v>
      </c>
      <c r="G3321" s="348" t="str">
        <f>"'"&amp;$C3321&amp;"'!$E$39:$Y$39"</f>
        <v>'BLD_NT'!$E$39:$Y$39</v>
      </c>
      <c r="H3321" s="381">
        <f ca="1">IF(IFERROR(INDEX(DATA_PROPERTY_MASTER!$E$5:$E$21,MATCH($C3321,DATA_PROPERTY_MASTER!$A$5:$A$21,0))="Yes",FALSE),IFERROR(INDEX(INDIRECT("'"&amp;$C3321&amp;"'!$E$39:$Y$39"),1,MATCH($D3321,INDIRECT("'"&amp;$C3321&amp;"'!$E$12:$Y$12"),0)),0),0)</f>
        <v>395423.39287169673</v>
      </c>
      <c r="I3321" s="366" t="s">
        <v>1690</v>
      </c>
      <c r="J3321" s="348" t="str">
        <f t="shared" ca="1" si="102"/>
        <v>OK</v>
      </c>
      <c r="K3321" s="366" t="s">
        <v>1686</v>
      </c>
      <c r="L3321" s="366" t="s">
        <v>2236</v>
      </c>
      <c r="M3321" s="350" t="str">
        <f>IF($B3321="Portfolio","Portfolio",IFERROR(INDEX(DATA_ASSET_CLASSIFICATION!$B$8:$B$24,MATCH($C3321,DATA_ASSET_CLASSIFICATION!$A$8:$A$24,0)),"Review"))</f>
        <v>Natalia Terrace</v>
      </c>
      <c r="N3321" s="350" t="str">
        <f ca="1">IF($B3321="Portfolio","Portfolio",IFERROR(INDEX(DATA_ASSET_CLASSIFICATION!$U$8:$U$24,MATCH($C3321,DATA_ASSET_CLASSIFICATION!$A$8:$A$24,0)),"Review"))</f>
        <v>Refi Watch</v>
      </c>
      <c r="O3321" s="350" t="str">
        <f ca="1">IF($B3321="Portfolio","Portfolio",IFERROR(INDEX(DATA_ASSET_CLASSIFICATION!$AB$8:$AB$13,MATCH($N3321,DATA_ASSET_CLASSIFICATION!$AA$8:$AA$13,0)),"Review"))</f>
        <v>Bucket 2 · Legacy</v>
      </c>
      <c r="P3321" s="350" t="str">
        <f>IF($B3321="Portfolio","Portfolio",IFERROR(INDEX(DATA_ASSET_CLASSIFICATION!$C$8:$C$24,MATCH($C3321,DATA_ASSET_CLASSIFICATION!$A$8:$A$24,0)),"Review"))</f>
        <v>Yes</v>
      </c>
      <c r="Q3321" s="350" t="str">
        <f t="shared" ca="1" si="103"/>
        <v>OK</v>
      </c>
    </row>
    <row r="3322" spans="1:17">
      <c r="A3322" s="366" t="s">
        <v>5278</v>
      </c>
      <c r="B3322" s="366" t="s">
        <v>231</v>
      </c>
      <c r="C3322" s="348" t="str">
        <f>DATA_PROPERTY_MASTER!$A$15</f>
        <v>BLD_NT</v>
      </c>
      <c r="D3322" s="380">
        <f>'00_PORTFOLIO ROLLUP'!M$12</f>
        <v>2033</v>
      </c>
      <c r="E3322" s="366" t="s">
        <v>1683</v>
      </c>
      <c r="F3322" s="366" t="s">
        <v>19</v>
      </c>
      <c r="G3322" s="348" t="str">
        <f>"'"&amp;$C3322&amp;"'!$E$41:$Y$41"</f>
        <v>'BLD_NT'!$E$41:$Y$41</v>
      </c>
      <c r="H3322" s="381">
        <f ca="1">IF(IFERROR(INDEX(DATA_PROPERTY_MASTER!$E$5:$E$21,MATCH($C3322,DATA_PROPERTY_MASTER!$A$5:$A$21,0))="Yes",FALSE),IFERROR(INDEX(INDIRECT("'"&amp;$C3322&amp;"'!$E$41:$Y$41"),1,MATCH($D3322,INDIRECT("'"&amp;$C3322&amp;"'!$E$12:$Y$12"),0)),0),0)</f>
        <v>452849.37556089915</v>
      </c>
      <c r="I3322" s="366" t="s">
        <v>1685</v>
      </c>
      <c r="J3322" s="348" t="str">
        <f t="shared" ca="1" si="102"/>
        <v>OK</v>
      </c>
      <c r="K3322" s="366" t="s">
        <v>1694</v>
      </c>
      <c r="L3322" s="366" t="s">
        <v>2238</v>
      </c>
      <c r="M3322" s="350" t="str">
        <f>IF($B3322="Portfolio","Portfolio",IFERROR(INDEX(DATA_ASSET_CLASSIFICATION!$B$8:$B$24,MATCH($C3322,DATA_ASSET_CLASSIFICATION!$A$8:$A$24,0)),"Review"))</f>
        <v>Natalia Terrace</v>
      </c>
      <c r="N3322" s="350" t="str">
        <f ca="1">IF($B3322="Portfolio","Portfolio",IFERROR(INDEX(DATA_ASSET_CLASSIFICATION!$U$8:$U$24,MATCH($C3322,DATA_ASSET_CLASSIFICATION!$A$8:$A$24,0)),"Review"))</f>
        <v>Refi Watch</v>
      </c>
      <c r="O3322" s="350" t="str">
        <f ca="1">IF($B3322="Portfolio","Portfolio",IFERROR(INDEX(DATA_ASSET_CLASSIFICATION!$AB$8:$AB$13,MATCH($N3322,DATA_ASSET_CLASSIFICATION!$AA$8:$AA$13,0)),"Review"))</f>
        <v>Bucket 2 · Legacy</v>
      </c>
      <c r="P3322" s="350" t="str">
        <f>IF($B3322="Portfolio","Portfolio",IFERROR(INDEX(DATA_ASSET_CLASSIFICATION!$C$8:$C$24,MATCH($C3322,DATA_ASSET_CLASSIFICATION!$A$8:$A$24,0)),"Review"))</f>
        <v>Yes</v>
      </c>
      <c r="Q3322" s="350" t="str">
        <f t="shared" ca="1" si="103"/>
        <v>OK</v>
      </c>
    </row>
    <row r="3323" spans="1:17">
      <c r="A3323" s="366" t="s">
        <v>5279</v>
      </c>
      <c r="B3323" s="366" t="s">
        <v>231</v>
      </c>
      <c r="C3323" s="348" t="str">
        <f>DATA_PROPERTY_MASTER!$A$15</f>
        <v>BLD_NT</v>
      </c>
      <c r="D3323" s="380">
        <f>'00_PORTFOLIO ROLLUP'!M$12</f>
        <v>2033</v>
      </c>
      <c r="E3323" s="366" t="s">
        <v>1683</v>
      </c>
      <c r="F3323" s="366" t="s">
        <v>1697</v>
      </c>
      <c r="G3323" s="348" t="str">
        <f>"'"&amp;$C3323&amp;"'!$E$44:$Y$44"</f>
        <v>'BLD_NT'!$E$44:$Y$44</v>
      </c>
      <c r="H3323" s="381">
        <f ca="1">IF(IFERROR(INDEX(DATA_PROPERTY_MASTER!$E$5:$E$21,MATCH($C3323,DATA_PROPERTY_MASTER!$A$5:$A$21,0))="Yes",FALSE),IFERROR(INDEX(INDIRECT("'"&amp;$C3323&amp;"'!$E$44:$Y$44"),1,MATCH($D3323,INDIRECT("'"&amp;$C3323&amp;"'!$E$12:$Y$12"),0)),0),0)</f>
        <v>7029.9562860135929</v>
      </c>
      <c r="I3323" s="366" t="s">
        <v>1690</v>
      </c>
      <c r="J3323" s="348" t="str">
        <f t="shared" ca="1" si="102"/>
        <v>OK</v>
      </c>
      <c r="K3323" s="366" t="s">
        <v>1699</v>
      </c>
      <c r="L3323" s="366" t="s">
        <v>2240</v>
      </c>
      <c r="M3323" s="350" t="str">
        <f>IF($B3323="Portfolio","Portfolio",IFERROR(INDEX(DATA_ASSET_CLASSIFICATION!$B$8:$B$24,MATCH($C3323,DATA_ASSET_CLASSIFICATION!$A$8:$A$24,0)),"Review"))</f>
        <v>Natalia Terrace</v>
      </c>
      <c r="N3323" s="350" t="str">
        <f ca="1">IF($B3323="Portfolio","Portfolio",IFERROR(INDEX(DATA_ASSET_CLASSIFICATION!$U$8:$U$24,MATCH($C3323,DATA_ASSET_CLASSIFICATION!$A$8:$A$24,0)),"Review"))</f>
        <v>Refi Watch</v>
      </c>
      <c r="O3323" s="350" t="str">
        <f ca="1">IF($B3323="Portfolio","Portfolio",IFERROR(INDEX(DATA_ASSET_CLASSIFICATION!$AB$8:$AB$13,MATCH($N3323,DATA_ASSET_CLASSIFICATION!$AA$8:$AA$13,0)),"Review"))</f>
        <v>Bucket 2 · Legacy</v>
      </c>
      <c r="P3323" s="350" t="str">
        <f>IF($B3323="Portfolio","Portfolio",IFERROR(INDEX(DATA_ASSET_CLASSIFICATION!$C$8:$C$24,MATCH($C3323,DATA_ASSET_CLASSIFICATION!$A$8:$A$24,0)),"Review"))</f>
        <v>Yes</v>
      </c>
      <c r="Q3323" s="350" t="str">
        <f t="shared" ca="1" si="103"/>
        <v>OK</v>
      </c>
    </row>
    <row r="3324" spans="1:17">
      <c r="A3324" s="366" t="s">
        <v>5280</v>
      </c>
      <c r="B3324" s="366" t="s">
        <v>231</v>
      </c>
      <c r="C3324" s="348" t="str">
        <f>DATA_PROPERTY_MASTER!$A$15</f>
        <v>BLD_NT</v>
      </c>
      <c r="D3324" s="380">
        <f>'00_PORTFOLIO ROLLUP'!M$12</f>
        <v>2033</v>
      </c>
      <c r="E3324" s="366" t="s">
        <v>1683</v>
      </c>
      <c r="F3324" s="366" t="s">
        <v>21</v>
      </c>
      <c r="G3324" s="348" t="str">
        <f>"'"&amp;$C3324&amp;"'!$E$45:$Y$45"</f>
        <v>'BLD_NT'!$E$45:$Y$45</v>
      </c>
      <c r="H3324" s="381">
        <f ca="1">IF(IFERROR(INDEX(DATA_PROPERTY_MASTER!$E$5:$E$21,MATCH($C3324,DATA_PROPERTY_MASTER!$A$5:$A$21,0))="Yes",FALSE),IFERROR(INDEX(INDIRECT("'"&amp;$C3324&amp;"'!$E$45:$Y$45"),1,MATCH($D3324,INDIRECT("'"&amp;$C3324&amp;"'!$E$12:$Y$12"),0)),0),0)</f>
        <v>445819.41927488556</v>
      </c>
      <c r="I3324" s="366" t="s">
        <v>1685</v>
      </c>
      <c r="J3324" s="348" t="str">
        <f t="shared" ca="1" si="102"/>
        <v>OK</v>
      </c>
      <c r="K3324" s="366" t="s">
        <v>1694</v>
      </c>
      <c r="L3324" s="366" t="s">
        <v>2242</v>
      </c>
      <c r="M3324" s="350" t="str">
        <f>IF($B3324="Portfolio","Portfolio",IFERROR(INDEX(DATA_ASSET_CLASSIFICATION!$B$8:$B$24,MATCH($C3324,DATA_ASSET_CLASSIFICATION!$A$8:$A$24,0)),"Review"))</f>
        <v>Natalia Terrace</v>
      </c>
      <c r="N3324" s="350" t="str">
        <f ca="1">IF($B3324="Portfolio","Portfolio",IFERROR(INDEX(DATA_ASSET_CLASSIFICATION!$U$8:$U$24,MATCH($C3324,DATA_ASSET_CLASSIFICATION!$A$8:$A$24,0)),"Review"))</f>
        <v>Refi Watch</v>
      </c>
      <c r="O3324" s="350" t="str">
        <f ca="1">IF($B3324="Portfolio","Portfolio",IFERROR(INDEX(DATA_ASSET_CLASSIFICATION!$AB$8:$AB$13,MATCH($N3324,DATA_ASSET_CLASSIFICATION!$AA$8:$AA$13,0)),"Review"))</f>
        <v>Bucket 2 · Legacy</v>
      </c>
      <c r="P3324" s="350" t="str">
        <f>IF($B3324="Portfolio","Portfolio",IFERROR(INDEX(DATA_ASSET_CLASSIFICATION!$C$8:$C$24,MATCH($C3324,DATA_ASSET_CLASSIFICATION!$A$8:$A$24,0)),"Review"))</f>
        <v>Yes</v>
      </c>
      <c r="Q3324" s="350" t="str">
        <f t="shared" ca="1" si="103"/>
        <v>OK</v>
      </c>
    </row>
    <row r="3325" spans="1:17">
      <c r="A3325" s="366" t="s">
        <v>5281</v>
      </c>
      <c r="B3325" s="366" t="s">
        <v>231</v>
      </c>
      <c r="C3325" s="348" t="str">
        <f>DATA_PROPERTY_MASTER!$A$15</f>
        <v>BLD_NT</v>
      </c>
      <c r="D3325" s="380">
        <f>'00_PORTFOLIO ROLLUP'!M$12</f>
        <v>2033</v>
      </c>
      <c r="E3325" s="366" t="s">
        <v>23</v>
      </c>
      <c r="F3325" s="366" t="s">
        <v>23</v>
      </c>
      <c r="G3325" s="348" t="str">
        <f>"'"&amp;$C3325&amp;"'!$E$48:$Y$48"</f>
        <v>'BLD_NT'!$E$48:$Y$48</v>
      </c>
      <c r="H3325" s="381">
        <f ca="1">IF(IFERROR(INDEX(DATA_PROPERTY_MASTER!$E$5:$E$21,MATCH($C3325,DATA_PROPERTY_MASTER!$A$5:$A$21,0))="Yes",FALSE),IFERROR(INDEX(INDIRECT("'"&amp;$C3325&amp;"'!$E$48:$Y$48"),1,MATCH($D3325,INDIRECT("'"&amp;$C3325&amp;"'!$E$12:$Y$12"),0)),0),0)</f>
        <v>0</v>
      </c>
      <c r="I3325" s="366" t="s">
        <v>1690</v>
      </c>
      <c r="J3325" s="348" t="str">
        <f t="shared" ca="1" si="102"/>
        <v>OK</v>
      </c>
      <c r="K3325" s="366" t="s">
        <v>1706</v>
      </c>
      <c r="L3325" s="366" t="s">
        <v>2244</v>
      </c>
      <c r="M3325" s="350" t="str">
        <f>IF($B3325="Portfolio","Portfolio",IFERROR(INDEX(DATA_ASSET_CLASSIFICATION!$B$8:$B$24,MATCH($C3325,DATA_ASSET_CLASSIFICATION!$A$8:$A$24,0)),"Review"))</f>
        <v>Natalia Terrace</v>
      </c>
      <c r="N3325" s="350" t="str">
        <f ca="1">IF($B3325="Portfolio","Portfolio",IFERROR(INDEX(DATA_ASSET_CLASSIFICATION!$U$8:$U$24,MATCH($C3325,DATA_ASSET_CLASSIFICATION!$A$8:$A$24,0)),"Review"))</f>
        <v>Refi Watch</v>
      </c>
      <c r="O3325" s="350" t="str">
        <f ca="1">IF($B3325="Portfolio","Portfolio",IFERROR(INDEX(DATA_ASSET_CLASSIFICATION!$AB$8:$AB$13,MATCH($N3325,DATA_ASSET_CLASSIFICATION!$AA$8:$AA$13,0)),"Review"))</f>
        <v>Bucket 2 · Legacy</v>
      </c>
      <c r="P3325" s="350" t="str">
        <f>IF($B3325="Portfolio","Portfolio",IFERROR(INDEX(DATA_ASSET_CLASSIFICATION!$C$8:$C$24,MATCH($C3325,DATA_ASSET_CLASSIFICATION!$A$8:$A$24,0)),"Review"))</f>
        <v>Yes</v>
      </c>
      <c r="Q3325" s="350" t="str">
        <f t="shared" ca="1" si="103"/>
        <v>OK</v>
      </c>
    </row>
    <row r="3326" spans="1:17">
      <c r="A3326" s="366" t="s">
        <v>5282</v>
      </c>
      <c r="B3326" s="366" t="s">
        <v>231</v>
      </c>
      <c r="C3326" s="348" t="str">
        <f>DATA_PROPERTY_MASTER!$A$15</f>
        <v>BLD_NT</v>
      </c>
      <c r="D3326" s="380">
        <f>'00_PORTFOLIO ROLLUP'!M$12</f>
        <v>2033</v>
      </c>
      <c r="E3326" s="366" t="s">
        <v>1683</v>
      </c>
      <c r="F3326" s="366" t="s">
        <v>25</v>
      </c>
      <c r="G3326" s="348" t="str">
        <f>"'"&amp;$C3326&amp;"'!$E$52:$Y$52"</f>
        <v>'BLD_NT'!$E$52:$Y$52</v>
      </c>
      <c r="H3326" s="381">
        <f ca="1">IF(IFERROR(INDEX(DATA_PROPERTY_MASTER!$E$5:$E$21,MATCH($C3326,DATA_PROPERTY_MASTER!$A$5:$A$21,0))="Yes",FALSE),IFERROR(INDEX(INDIRECT("'"&amp;$C3326&amp;"'!$E$52:$Y$52"),1,MATCH($D3326,INDIRECT("'"&amp;$C3326&amp;"'!$E$12:$Y$12"),0)),0),0)</f>
        <v>452849.37556089915</v>
      </c>
      <c r="I3326" s="366" t="s">
        <v>1685</v>
      </c>
      <c r="J3326" s="348" t="str">
        <f t="shared" ca="1" si="102"/>
        <v>OK</v>
      </c>
      <c r="K3326" s="366" t="s">
        <v>1710</v>
      </c>
      <c r="L3326" s="366" t="s">
        <v>2246</v>
      </c>
      <c r="M3326" s="350" t="str">
        <f>IF($B3326="Portfolio","Portfolio",IFERROR(INDEX(DATA_ASSET_CLASSIFICATION!$B$8:$B$24,MATCH($C3326,DATA_ASSET_CLASSIFICATION!$A$8:$A$24,0)),"Review"))</f>
        <v>Natalia Terrace</v>
      </c>
      <c r="N3326" s="350" t="str">
        <f ca="1">IF($B3326="Portfolio","Portfolio",IFERROR(INDEX(DATA_ASSET_CLASSIFICATION!$U$8:$U$24,MATCH($C3326,DATA_ASSET_CLASSIFICATION!$A$8:$A$24,0)),"Review"))</f>
        <v>Refi Watch</v>
      </c>
      <c r="O3326" s="350" t="str">
        <f ca="1">IF($B3326="Portfolio","Portfolio",IFERROR(INDEX(DATA_ASSET_CLASSIFICATION!$AB$8:$AB$13,MATCH($N3326,DATA_ASSET_CLASSIFICATION!$AA$8:$AA$13,0)),"Review"))</f>
        <v>Bucket 2 · Legacy</v>
      </c>
      <c r="P3326" s="350" t="str">
        <f>IF($B3326="Portfolio","Portfolio",IFERROR(INDEX(DATA_ASSET_CLASSIFICATION!$C$8:$C$24,MATCH($C3326,DATA_ASSET_CLASSIFICATION!$A$8:$A$24,0)),"Review"))</f>
        <v>Yes</v>
      </c>
      <c r="Q3326" s="350" t="str">
        <f t="shared" ca="1" si="103"/>
        <v>OK</v>
      </c>
    </row>
    <row r="3327" spans="1:17">
      <c r="A3327" s="366" t="s">
        <v>5283</v>
      </c>
      <c r="B3327" s="366" t="s">
        <v>231</v>
      </c>
      <c r="C3327" s="348" t="str">
        <f>DATA_PROPERTY_MASTER!$A$15</f>
        <v>BLD_NT</v>
      </c>
      <c r="D3327" s="380">
        <f>'00_PORTFOLIO ROLLUP'!M$12</f>
        <v>2033</v>
      </c>
      <c r="E3327" s="366" t="s">
        <v>1683</v>
      </c>
      <c r="F3327" s="366" t="s">
        <v>27</v>
      </c>
      <c r="G3327" s="348" t="str">
        <f>"'"&amp;$C3327&amp;"'!$E$54:$Y$54"</f>
        <v>'BLD_NT'!$E$54:$Y$54</v>
      </c>
      <c r="H3327" s="381">
        <f ca="1">IF(IFERROR(INDEX(DATA_PROPERTY_MASTER!$E$5:$E$21,MATCH($C3327,DATA_PROPERTY_MASTER!$A$5:$A$21,0))="Yes",FALSE),IFERROR(INDEX(INDIRECT("'"&amp;$C3327&amp;"'!$E$54:$Y$54"),1,MATCH($D3327,INDIRECT("'"&amp;$C3327&amp;"'!$E$12:$Y$12"),0)),0),0)</f>
        <v>271709.62533653947</v>
      </c>
      <c r="I3327" s="366" t="s">
        <v>1690</v>
      </c>
      <c r="J3327" s="348" t="str">
        <f t="shared" ca="1" si="102"/>
        <v>OK</v>
      </c>
      <c r="K3327" s="366" t="s">
        <v>1714</v>
      </c>
      <c r="L3327" s="366" t="s">
        <v>2248</v>
      </c>
      <c r="M3327" s="350" t="str">
        <f>IF($B3327="Portfolio","Portfolio",IFERROR(INDEX(DATA_ASSET_CLASSIFICATION!$B$8:$B$24,MATCH($C3327,DATA_ASSET_CLASSIFICATION!$A$8:$A$24,0)),"Review"))</f>
        <v>Natalia Terrace</v>
      </c>
      <c r="N3327" s="350" t="str">
        <f ca="1">IF($B3327="Portfolio","Portfolio",IFERROR(INDEX(DATA_ASSET_CLASSIFICATION!$U$8:$U$24,MATCH($C3327,DATA_ASSET_CLASSIFICATION!$A$8:$A$24,0)),"Review"))</f>
        <v>Refi Watch</v>
      </c>
      <c r="O3327" s="350" t="str">
        <f ca="1">IF($B3327="Portfolio","Portfolio",IFERROR(INDEX(DATA_ASSET_CLASSIFICATION!$AB$8:$AB$13,MATCH($N3327,DATA_ASSET_CLASSIFICATION!$AA$8:$AA$13,0)),"Review"))</f>
        <v>Bucket 2 · Legacy</v>
      </c>
      <c r="P3327" s="350" t="str">
        <f>IF($B3327="Portfolio","Portfolio",IFERROR(INDEX(DATA_ASSET_CLASSIFICATION!$C$8:$C$24,MATCH($C3327,DATA_ASSET_CLASSIFICATION!$A$8:$A$24,0)),"Review"))</f>
        <v>Yes</v>
      </c>
      <c r="Q3327" s="350" t="str">
        <f t="shared" ca="1" si="103"/>
        <v>OK</v>
      </c>
    </row>
    <row r="3328" spans="1:17">
      <c r="A3328" s="366" t="s">
        <v>5284</v>
      </c>
      <c r="B3328" s="366" t="s">
        <v>231</v>
      </c>
      <c r="C3328" s="348" t="str">
        <f>DATA_PROPERTY_MASTER!$A$15</f>
        <v>BLD_NT</v>
      </c>
      <c r="D3328" s="380">
        <f>'00_PORTFOLIO ROLLUP'!M$12</f>
        <v>2033</v>
      </c>
      <c r="E3328" s="366" t="s">
        <v>1683</v>
      </c>
      <c r="F3328" s="366" t="s">
        <v>29</v>
      </c>
      <c r="G3328" s="348" t="str">
        <f>"'"&amp;$C3328&amp;"'!$E$56:$Y$56"</f>
        <v>'BLD_NT'!$E$56:$Y$56</v>
      </c>
      <c r="H3328" s="381">
        <f ca="1">IF(IFERROR(INDEX(DATA_PROPERTY_MASTER!$E$5:$E$21,MATCH($C3328,DATA_PROPERTY_MASTER!$A$5:$A$21,0))="Yes",FALSE),IFERROR(INDEX(INDIRECT("'"&amp;$C3328&amp;"'!$E$56:$Y$56"),1,MATCH($D3328,INDIRECT("'"&amp;$C3328&amp;"'!$E$12:$Y$12"),0)),0),0)</f>
        <v>181139.75022435968</v>
      </c>
      <c r="I3328" s="366" t="s">
        <v>1685</v>
      </c>
      <c r="J3328" s="348" t="str">
        <f t="shared" ca="1" si="102"/>
        <v>OK</v>
      </c>
      <c r="K3328" s="366" t="s">
        <v>1718</v>
      </c>
      <c r="L3328" s="366" t="s">
        <v>2250</v>
      </c>
      <c r="M3328" s="350" t="str">
        <f>IF($B3328="Portfolio","Portfolio",IFERROR(INDEX(DATA_ASSET_CLASSIFICATION!$B$8:$B$24,MATCH($C3328,DATA_ASSET_CLASSIFICATION!$A$8:$A$24,0)),"Review"))</f>
        <v>Natalia Terrace</v>
      </c>
      <c r="N3328" s="350" t="str">
        <f ca="1">IF($B3328="Portfolio","Portfolio",IFERROR(INDEX(DATA_ASSET_CLASSIFICATION!$U$8:$U$24,MATCH($C3328,DATA_ASSET_CLASSIFICATION!$A$8:$A$24,0)),"Review"))</f>
        <v>Refi Watch</v>
      </c>
      <c r="O3328" s="350" t="str">
        <f ca="1">IF($B3328="Portfolio","Portfolio",IFERROR(INDEX(DATA_ASSET_CLASSIFICATION!$AB$8:$AB$13,MATCH($N3328,DATA_ASSET_CLASSIFICATION!$AA$8:$AA$13,0)),"Review"))</f>
        <v>Bucket 2 · Legacy</v>
      </c>
      <c r="P3328" s="350" t="str">
        <f>IF($B3328="Portfolio","Portfolio",IFERROR(INDEX(DATA_ASSET_CLASSIFICATION!$C$8:$C$24,MATCH($C3328,DATA_ASSET_CLASSIFICATION!$A$8:$A$24,0)),"Review"))</f>
        <v>Yes</v>
      </c>
      <c r="Q3328" s="350" t="str">
        <f t="shared" ca="1" si="103"/>
        <v>OK</v>
      </c>
    </row>
    <row r="3329" spans="1:17">
      <c r="A3329" s="366" t="s">
        <v>5285</v>
      </c>
      <c r="B3329" s="366" t="s">
        <v>231</v>
      </c>
      <c r="C3329" s="348" t="str">
        <f>DATA_PROPERTY_MASTER!$A$15</f>
        <v>BLD_NT</v>
      </c>
      <c r="D3329" s="380">
        <f>'00_PORTFOLIO ROLLUP'!M$12</f>
        <v>2033</v>
      </c>
      <c r="E3329" s="366" t="s">
        <v>1721</v>
      </c>
      <c r="F3329" s="366" t="s">
        <v>31</v>
      </c>
      <c r="G3329" s="348" t="str">
        <f>"'"&amp;$C3329&amp;"'!$E$61:$Y$61"</f>
        <v>'BLD_NT'!$E$61:$Y$61</v>
      </c>
      <c r="H3329" s="381">
        <f ca="1">IF(IFERROR(INDEX(DATA_PROPERTY_MASTER!$E$5:$E$21,MATCH($C3329,DATA_PROPERTY_MASTER!$A$5:$A$21,0))="Yes",FALSE),IFERROR(INDEX(INDIRECT("'"&amp;$C3329&amp;"'!$E$61:$Y$61"),1,MATCH($D3329,INDIRECT("'"&amp;$C3329&amp;"'!$E$12:$Y$12"),0)),0),0)</f>
        <v>0</v>
      </c>
      <c r="I3329" s="366" t="s">
        <v>1690</v>
      </c>
      <c r="J3329" s="348" t="str">
        <f t="shared" ca="1" si="102"/>
        <v>OK</v>
      </c>
      <c r="K3329" s="366" t="s">
        <v>1723</v>
      </c>
      <c r="L3329" s="366" t="s">
        <v>2252</v>
      </c>
      <c r="M3329" s="350" t="str">
        <f>IF($B3329="Portfolio","Portfolio",IFERROR(INDEX(DATA_ASSET_CLASSIFICATION!$B$8:$B$24,MATCH($C3329,DATA_ASSET_CLASSIFICATION!$A$8:$A$24,0)),"Review"))</f>
        <v>Natalia Terrace</v>
      </c>
      <c r="N3329" s="350" t="str">
        <f ca="1">IF($B3329="Portfolio","Portfolio",IFERROR(INDEX(DATA_ASSET_CLASSIFICATION!$U$8:$U$24,MATCH($C3329,DATA_ASSET_CLASSIFICATION!$A$8:$A$24,0)),"Review"))</f>
        <v>Refi Watch</v>
      </c>
      <c r="O3329" s="350" t="str">
        <f ca="1">IF($B3329="Portfolio","Portfolio",IFERROR(INDEX(DATA_ASSET_CLASSIFICATION!$AB$8:$AB$13,MATCH($N3329,DATA_ASSET_CLASSIFICATION!$AA$8:$AA$13,0)),"Review"))</f>
        <v>Bucket 2 · Legacy</v>
      </c>
      <c r="P3329" s="350" t="str">
        <f>IF($B3329="Portfolio","Portfolio",IFERROR(INDEX(DATA_ASSET_CLASSIFICATION!$C$8:$C$24,MATCH($C3329,DATA_ASSET_CLASSIFICATION!$A$8:$A$24,0)),"Review"))</f>
        <v>Yes</v>
      </c>
      <c r="Q3329" s="350" t="str">
        <f t="shared" ca="1" si="103"/>
        <v>OK</v>
      </c>
    </row>
    <row r="3330" spans="1:17">
      <c r="A3330" s="366" t="s">
        <v>5286</v>
      </c>
      <c r="B3330" s="366" t="s">
        <v>231</v>
      </c>
      <c r="C3330" s="348" t="str">
        <f>DATA_PROPERTY_MASTER!$A$15</f>
        <v>BLD_NT</v>
      </c>
      <c r="D3330" s="380">
        <f>'00_PORTFOLIO ROLLUP'!M$12</f>
        <v>2033</v>
      </c>
      <c r="E3330" s="366" t="s">
        <v>1721</v>
      </c>
      <c r="F3330" s="366" t="s">
        <v>33</v>
      </c>
      <c r="G3330" s="348" t="str">
        <f>"'"&amp;$C3330&amp;"'!$E$62:$Y$62"</f>
        <v>'BLD_NT'!$E$62:$Y$62</v>
      </c>
      <c r="H3330" s="381">
        <f ca="1">IF(IFERROR(INDEX(DATA_PROPERTY_MASTER!$E$5:$E$21,MATCH($C3330,DATA_PROPERTY_MASTER!$A$5:$A$21,0))="Yes",FALSE),IFERROR(INDEX(INDIRECT("'"&amp;$C3330&amp;"'!$E$62:$Y$62"),1,MATCH($D3330,INDIRECT("'"&amp;$C3330&amp;"'!$E$12:$Y$12"),0)),0),0)</f>
        <v>0</v>
      </c>
      <c r="I3330" s="366" t="s">
        <v>1685</v>
      </c>
      <c r="J3330" s="348" t="str">
        <f t="shared" ca="1" si="102"/>
        <v>OK</v>
      </c>
      <c r="K3330" s="366" t="s">
        <v>1727</v>
      </c>
      <c r="L3330" s="366" t="s">
        <v>2254</v>
      </c>
      <c r="M3330" s="350" t="str">
        <f>IF($B3330="Portfolio","Portfolio",IFERROR(INDEX(DATA_ASSET_CLASSIFICATION!$B$8:$B$24,MATCH($C3330,DATA_ASSET_CLASSIFICATION!$A$8:$A$24,0)),"Review"))</f>
        <v>Natalia Terrace</v>
      </c>
      <c r="N3330" s="350" t="str">
        <f ca="1">IF($B3330="Portfolio","Portfolio",IFERROR(INDEX(DATA_ASSET_CLASSIFICATION!$U$8:$U$24,MATCH($C3330,DATA_ASSET_CLASSIFICATION!$A$8:$A$24,0)),"Review"))</f>
        <v>Refi Watch</v>
      </c>
      <c r="O3330" s="350" t="str">
        <f ca="1">IF($B3330="Portfolio","Portfolio",IFERROR(INDEX(DATA_ASSET_CLASSIFICATION!$AB$8:$AB$13,MATCH($N3330,DATA_ASSET_CLASSIFICATION!$AA$8:$AA$13,0)),"Review"))</f>
        <v>Bucket 2 · Legacy</v>
      </c>
      <c r="P3330" s="350" t="str">
        <f>IF($B3330="Portfolio","Portfolio",IFERROR(INDEX(DATA_ASSET_CLASSIFICATION!$C$8:$C$24,MATCH($C3330,DATA_ASSET_CLASSIFICATION!$A$8:$A$24,0)),"Review"))</f>
        <v>Yes</v>
      </c>
      <c r="Q3330" s="350" t="str">
        <f t="shared" ca="1" si="103"/>
        <v>OK</v>
      </c>
    </row>
    <row r="3331" spans="1:17">
      <c r="A3331" s="366" t="s">
        <v>5287</v>
      </c>
      <c r="B3331" s="366" t="s">
        <v>231</v>
      </c>
      <c r="C3331" s="348" t="str">
        <f>DATA_PROPERTY_MASTER!$A$15</f>
        <v>BLD_NT</v>
      </c>
      <c r="D3331" s="380">
        <f>'00_PORTFOLIO ROLLUP'!M$12</f>
        <v>2033</v>
      </c>
      <c r="E3331" s="366" t="s">
        <v>1721</v>
      </c>
      <c r="F3331" s="366" t="s">
        <v>35</v>
      </c>
      <c r="G3331" s="348" t="str">
        <f>"'"&amp;$C3331&amp;"'!$E$63:$Y$63"</f>
        <v>'BLD_NT'!$E$63:$Y$63</v>
      </c>
      <c r="H3331" s="381">
        <f ca="1">IF(IFERROR(INDEX(DATA_PROPERTY_MASTER!$E$5:$E$21,MATCH($C3331,DATA_PROPERTY_MASTER!$A$5:$A$21,0))="Yes",FALSE),IFERROR(INDEX(INDIRECT("'"&amp;$C3331&amp;"'!$E$63:$Y$63"),1,MATCH($D3331,INDIRECT("'"&amp;$C3331&amp;"'!$E$12:$Y$12"),0)),0),0)</f>
        <v>0</v>
      </c>
      <c r="I3331" s="366" t="s">
        <v>1731</v>
      </c>
      <c r="J3331" s="348" t="str">
        <f t="shared" ca="1" si="102"/>
        <v>OK</v>
      </c>
      <c r="K3331" s="366" t="s">
        <v>1732</v>
      </c>
      <c r="L3331" s="366" t="s">
        <v>2256</v>
      </c>
      <c r="M3331" s="350" t="str">
        <f>IF($B3331="Portfolio","Portfolio",IFERROR(INDEX(DATA_ASSET_CLASSIFICATION!$B$8:$B$24,MATCH($C3331,DATA_ASSET_CLASSIFICATION!$A$8:$A$24,0)),"Review"))</f>
        <v>Natalia Terrace</v>
      </c>
      <c r="N3331" s="350" t="str">
        <f ca="1">IF($B3331="Portfolio","Portfolio",IFERROR(INDEX(DATA_ASSET_CLASSIFICATION!$U$8:$U$24,MATCH($C3331,DATA_ASSET_CLASSIFICATION!$A$8:$A$24,0)),"Review"))</f>
        <v>Refi Watch</v>
      </c>
      <c r="O3331" s="350" t="str">
        <f ca="1">IF($B3331="Portfolio","Portfolio",IFERROR(INDEX(DATA_ASSET_CLASSIFICATION!$AB$8:$AB$13,MATCH($N3331,DATA_ASSET_CLASSIFICATION!$AA$8:$AA$13,0)),"Review"))</f>
        <v>Bucket 2 · Legacy</v>
      </c>
      <c r="P3331" s="350" t="str">
        <f>IF($B3331="Portfolio","Portfolio",IFERROR(INDEX(DATA_ASSET_CLASSIFICATION!$C$8:$C$24,MATCH($C3331,DATA_ASSET_CLASSIFICATION!$A$8:$A$24,0)),"Review"))</f>
        <v>Yes</v>
      </c>
      <c r="Q3331" s="350" t="str">
        <f t="shared" ca="1" si="103"/>
        <v>OK</v>
      </c>
    </row>
    <row r="3332" spans="1:17">
      <c r="A3332" s="366" t="s">
        <v>5288</v>
      </c>
      <c r="B3332" s="366" t="s">
        <v>231</v>
      </c>
      <c r="C3332" s="348" t="str">
        <f>DATA_PROPERTY_MASTER!$A$15</f>
        <v>BLD_NT</v>
      </c>
      <c r="D3332" s="380">
        <f>'00_PORTFOLIO ROLLUP'!M$12</f>
        <v>2033</v>
      </c>
      <c r="E3332" s="366" t="s">
        <v>1721</v>
      </c>
      <c r="F3332" s="366" t="s">
        <v>37</v>
      </c>
      <c r="G3332" s="348" t="str">
        <f>"'"&amp;$C3332&amp;"'!$E$63:$Y$63"</f>
        <v>'BLD_NT'!$E$63:$Y$63</v>
      </c>
      <c r="H3332" s="381">
        <f ca="1">IF(IFERROR(INDEX(DATA_PROPERTY_MASTER!$E$5:$E$21,MATCH($C3332,DATA_PROPERTY_MASTER!$A$5:$A$21,0))="Yes",FALSE),MAX(IFERROR(INDEX(INDIRECT("'"&amp;$C3332&amp;"'!$E$63:$Y$63"),1,MATCH($D3332,INDIRECT("'"&amp;$C3332&amp;"'!$E$12:$Y$12"),0)),0),0),0)</f>
        <v>0</v>
      </c>
      <c r="I3332" s="366" t="s">
        <v>1685</v>
      </c>
      <c r="J3332" s="348" t="str">
        <f t="shared" ca="1" si="102"/>
        <v>OK</v>
      </c>
      <c r="K3332" s="366" t="s">
        <v>1735</v>
      </c>
      <c r="L3332" s="366" t="s">
        <v>2258</v>
      </c>
      <c r="M3332" s="350" t="str">
        <f>IF($B3332="Portfolio","Portfolio",IFERROR(INDEX(DATA_ASSET_CLASSIFICATION!$B$8:$B$24,MATCH($C3332,DATA_ASSET_CLASSIFICATION!$A$8:$A$24,0)),"Review"))</f>
        <v>Natalia Terrace</v>
      </c>
      <c r="N3332" s="350" t="str">
        <f ca="1">IF($B3332="Portfolio","Portfolio",IFERROR(INDEX(DATA_ASSET_CLASSIFICATION!$U$8:$U$24,MATCH($C3332,DATA_ASSET_CLASSIFICATION!$A$8:$A$24,0)),"Review"))</f>
        <v>Refi Watch</v>
      </c>
      <c r="O3332" s="350" t="str">
        <f ca="1">IF($B3332="Portfolio","Portfolio",IFERROR(INDEX(DATA_ASSET_CLASSIFICATION!$AB$8:$AB$13,MATCH($N3332,DATA_ASSET_CLASSIFICATION!$AA$8:$AA$13,0)),"Review"))</f>
        <v>Bucket 2 · Legacy</v>
      </c>
      <c r="P3332" s="350" t="str">
        <f>IF($B3332="Portfolio","Portfolio",IFERROR(INDEX(DATA_ASSET_CLASSIFICATION!$C$8:$C$24,MATCH($C3332,DATA_ASSET_CLASSIFICATION!$A$8:$A$24,0)),"Review"))</f>
        <v>Yes</v>
      </c>
      <c r="Q3332" s="350" t="str">
        <f t="shared" ca="1" si="103"/>
        <v>OK</v>
      </c>
    </row>
    <row r="3333" spans="1:17">
      <c r="A3333" s="366" t="s">
        <v>5289</v>
      </c>
      <c r="B3333" s="366" t="s">
        <v>231</v>
      </c>
      <c r="C3333" s="348" t="str">
        <f>DATA_PROPERTY_MASTER!$A$15</f>
        <v>BLD_NT</v>
      </c>
      <c r="D3333" s="380">
        <f>'00_PORTFOLIO ROLLUP'!M$12</f>
        <v>2033</v>
      </c>
      <c r="E3333" s="366" t="s">
        <v>1721</v>
      </c>
      <c r="F3333" s="366" t="s">
        <v>39</v>
      </c>
      <c r="G3333" s="348" t="str">
        <f>"'"&amp;$C3333&amp;"'!$E$63:$Y$63"</f>
        <v>'BLD_NT'!$E$63:$Y$63</v>
      </c>
      <c r="H3333" s="381">
        <f ca="1">IF(IFERROR(INDEX(DATA_PROPERTY_MASTER!$E$5:$E$21,MATCH($C3333,DATA_PROPERTY_MASTER!$A$5:$A$21,0))="Yes",FALSE),MAX(-IFERROR(INDEX(INDIRECT("'"&amp;$C3333&amp;"'!$E$63:$Y$63"),1,MATCH($D3333,INDIRECT("'"&amp;$C3333&amp;"'!$E$12:$Y$12"),0)),0),0),0)</f>
        <v>0</v>
      </c>
      <c r="I3333" s="366" t="s">
        <v>1690</v>
      </c>
      <c r="J3333" s="348" t="str">
        <f t="shared" ref="J3333:J3396" ca="1" si="104">IF($F3333="Residual Funding Gap",IF($H3333&gt;0,"Funding Gap","OK"),IF(AND($F3333="Net Refinance Position",$H3333&lt;0),"Negative net refi position","OK"))</f>
        <v>OK</v>
      </c>
      <c r="K3333" s="366" t="s">
        <v>1738</v>
      </c>
      <c r="L3333" s="366" t="s">
        <v>2260</v>
      </c>
      <c r="M3333" s="350" t="str">
        <f>IF($B3333="Portfolio","Portfolio",IFERROR(INDEX(DATA_ASSET_CLASSIFICATION!$B$8:$B$24,MATCH($C3333,DATA_ASSET_CLASSIFICATION!$A$8:$A$24,0)),"Review"))</f>
        <v>Natalia Terrace</v>
      </c>
      <c r="N3333" s="350" t="str">
        <f ca="1">IF($B3333="Portfolio","Portfolio",IFERROR(INDEX(DATA_ASSET_CLASSIFICATION!$U$8:$U$24,MATCH($C3333,DATA_ASSET_CLASSIFICATION!$A$8:$A$24,0)),"Review"))</f>
        <v>Refi Watch</v>
      </c>
      <c r="O3333" s="350" t="str">
        <f ca="1">IF($B3333="Portfolio","Portfolio",IFERROR(INDEX(DATA_ASSET_CLASSIFICATION!$AB$8:$AB$13,MATCH($N3333,DATA_ASSET_CLASSIFICATION!$AA$8:$AA$13,0)),"Review"))</f>
        <v>Bucket 2 · Legacy</v>
      </c>
      <c r="P3333" s="350" t="str">
        <f>IF($B3333="Portfolio","Portfolio",IFERROR(INDEX(DATA_ASSET_CLASSIFICATION!$C$8:$C$24,MATCH($C3333,DATA_ASSET_CLASSIFICATION!$A$8:$A$24,0)),"Review"))</f>
        <v>Yes</v>
      </c>
      <c r="Q3333" s="350" t="str">
        <f t="shared" ref="Q3333:Q3396" ca="1" si="105">IF(AND($B3333="Property",$F3333="Residual Funding Gap",$H3333&gt;0),"Property Funding Gap",IF($J3333&lt;&gt;"OK",$J3333,"OK"))</f>
        <v>OK</v>
      </c>
    </row>
    <row r="3334" spans="1:17">
      <c r="A3334" s="366" t="s">
        <v>5290</v>
      </c>
      <c r="B3334" s="366" t="s">
        <v>231</v>
      </c>
      <c r="C3334" s="348" t="str">
        <f>DATA_PROPERTY_MASTER!$A$15</f>
        <v>BLD_NT</v>
      </c>
      <c r="D3334" s="380">
        <f>'00_PORTFOLIO ROLLUP'!M$12</f>
        <v>2033</v>
      </c>
      <c r="E3334" s="366" t="s">
        <v>1741</v>
      </c>
      <c r="F3334" s="366" t="s">
        <v>41</v>
      </c>
      <c r="G3334" s="348" t="str">
        <f>"'"&amp;$C3334&amp;"'!rows 56 + positive row 63"</f>
        <v>'BLD_NT'!rows 56 + positive row 63</v>
      </c>
      <c r="H3334" s="381">
        <f ca="1">IF(IFERROR(INDEX(DATA_PROPERTY_MASTER!$E$5:$E$21,MATCH($C3334,DATA_PROPERTY_MASTER!$A$5:$A$21,0))="Yes",FALSE),IFERROR(INDEX(INDIRECT("'"&amp;$C3334&amp;"'!$E$56:$Y$56"),1,MATCH($D3334,INDIRECT("'"&amp;$C3334&amp;"'!$E$12:$Y$12"),0)),0)+MAX(IFERROR(INDEX(INDIRECT("'"&amp;$C3334&amp;"'!$E$63:$Y$63"),1,MATCH($D3334,INDIRECT("'"&amp;$C3334&amp;"'!$E$12:$Y$12"),0)),0),0),0)</f>
        <v>181139.75022435968</v>
      </c>
      <c r="I3334" s="366" t="s">
        <v>1685</v>
      </c>
      <c r="J3334" s="348" t="str">
        <f t="shared" ca="1" si="104"/>
        <v>OK</v>
      </c>
      <c r="K3334" s="366" t="s">
        <v>1742</v>
      </c>
      <c r="L3334" s="366" t="s">
        <v>2262</v>
      </c>
      <c r="M3334" s="350" t="str">
        <f>IF($B3334="Portfolio","Portfolio",IFERROR(INDEX(DATA_ASSET_CLASSIFICATION!$B$8:$B$24,MATCH($C3334,DATA_ASSET_CLASSIFICATION!$A$8:$A$24,0)),"Review"))</f>
        <v>Natalia Terrace</v>
      </c>
      <c r="N3334" s="350" t="str">
        <f ca="1">IF($B3334="Portfolio","Portfolio",IFERROR(INDEX(DATA_ASSET_CLASSIFICATION!$U$8:$U$24,MATCH($C3334,DATA_ASSET_CLASSIFICATION!$A$8:$A$24,0)),"Review"))</f>
        <v>Refi Watch</v>
      </c>
      <c r="O3334" s="350" t="str">
        <f ca="1">IF($B3334="Portfolio","Portfolio",IFERROR(INDEX(DATA_ASSET_CLASSIFICATION!$AB$8:$AB$13,MATCH($N3334,DATA_ASSET_CLASSIFICATION!$AA$8:$AA$13,0)),"Review"))</f>
        <v>Bucket 2 · Legacy</v>
      </c>
      <c r="P3334" s="350" t="str">
        <f>IF($B3334="Portfolio","Portfolio",IFERROR(INDEX(DATA_ASSET_CLASSIFICATION!$C$8:$C$24,MATCH($C3334,DATA_ASSET_CLASSIFICATION!$A$8:$A$24,0)),"Review"))</f>
        <v>Yes</v>
      </c>
      <c r="Q3334" s="350" t="str">
        <f t="shared" ca="1" si="105"/>
        <v>OK</v>
      </c>
    </row>
    <row r="3335" spans="1:17">
      <c r="A3335" s="366" t="s">
        <v>5291</v>
      </c>
      <c r="B3335" s="366" t="s">
        <v>231</v>
      </c>
      <c r="C3335" s="348" t="str">
        <f>DATA_PROPERTY_MASTER!$A$15</f>
        <v>BLD_NT</v>
      </c>
      <c r="D3335" s="380">
        <f>'00_PORTFOLIO ROLLUP'!M$12</f>
        <v>2033</v>
      </c>
      <c r="E3335" s="366" t="s">
        <v>1741</v>
      </c>
      <c r="F3335" s="366" t="s">
        <v>43</v>
      </c>
      <c r="G3335" s="348" t="str">
        <f>"'"&amp;$C3335&amp;"'!$E$68:$Y$68"</f>
        <v>'BLD_NT'!$E$68:$Y$68</v>
      </c>
      <c r="H3335" s="381">
        <f ca="1">IF(IFERROR(INDEX(DATA_PROPERTY_MASTER!$E$5:$E$21,MATCH($C3335,DATA_PROPERTY_MASTER!$A$5:$A$21,0))="Yes",FALSE),IFERROR(INDEX(INDIRECT("'"&amp;$C3335&amp;"'!$E$68:$Y$68"),1,MATCH($D3335,INDIRECT("'"&amp;$C3335&amp;"'!$E$12:$Y$12"),0)),0),0)</f>
        <v>181139.75022435968</v>
      </c>
      <c r="I3335" s="366" t="s">
        <v>1731</v>
      </c>
      <c r="J3335" s="348" t="str">
        <f t="shared" ca="1" si="104"/>
        <v>OK</v>
      </c>
      <c r="K3335" s="366" t="s">
        <v>1746</v>
      </c>
      <c r="L3335" s="366" t="s">
        <v>2264</v>
      </c>
      <c r="M3335" s="350" t="str">
        <f>IF($B3335="Portfolio","Portfolio",IFERROR(INDEX(DATA_ASSET_CLASSIFICATION!$B$8:$B$24,MATCH($C3335,DATA_ASSET_CLASSIFICATION!$A$8:$A$24,0)),"Review"))</f>
        <v>Natalia Terrace</v>
      </c>
      <c r="N3335" s="350" t="str">
        <f ca="1">IF($B3335="Portfolio","Portfolio",IFERROR(INDEX(DATA_ASSET_CLASSIFICATION!$U$8:$U$24,MATCH($C3335,DATA_ASSET_CLASSIFICATION!$A$8:$A$24,0)),"Review"))</f>
        <v>Refi Watch</v>
      </c>
      <c r="O3335" s="350" t="str">
        <f ca="1">IF($B3335="Portfolio","Portfolio",IFERROR(INDEX(DATA_ASSET_CLASSIFICATION!$AB$8:$AB$13,MATCH($N3335,DATA_ASSET_CLASSIFICATION!$AA$8:$AA$13,0)),"Review"))</f>
        <v>Bucket 2 · Legacy</v>
      </c>
      <c r="P3335" s="350" t="str">
        <f>IF($B3335="Portfolio","Portfolio",IFERROR(INDEX(DATA_ASSET_CLASSIFICATION!$C$8:$C$24,MATCH($C3335,DATA_ASSET_CLASSIFICATION!$A$8:$A$24,0)),"Review"))</f>
        <v>Yes</v>
      </c>
      <c r="Q3335" s="350" t="str">
        <f t="shared" ca="1" si="105"/>
        <v>OK</v>
      </c>
    </row>
    <row r="3336" spans="1:17">
      <c r="A3336" s="366" t="s">
        <v>5292</v>
      </c>
      <c r="B3336" s="366" t="s">
        <v>231</v>
      </c>
      <c r="C3336" s="348" t="str">
        <f>DATA_PROPERTY_MASTER!$A$15</f>
        <v>BLD_NT</v>
      </c>
      <c r="D3336" s="380">
        <f>'00_PORTFOLIO ROLLUP'!M$12</f>
        <v>2033</v>
      </c>
      <c r="E3336" s="366" t="s">
        <v>1741</v>
      </c>
      <c r="F3336" s="366" t="s">
        <v>1749</v>
      </c>
      <c r="G3336" s="348" t="str">
        <f>"'"&amp;$C3336&amp;"'!rows 56, 63, 68"</f>
        <v>'BLD_NT'!rows 56, 63, 68</v>
      </c>
      <c r="H3336" s="381">
        <f ca="1">IF(IFERROR(INDEX(DATA_PROPERTY_MASTER!$E$5:$E$21,MATCH($C3336,DATA_PROPERTY_MASTER!$A$5:$A$21,0))="Yes",FALSE),(IFERROR(INDEX(INDIRECT("'"&amp;$C3336&amp;"'!$E$56:$Y$56"),1,MATCH($D3336,INDIRECT("'"&amp;$C3336&amp;"'!$E$12:$Y$12"),0)),0)+MAX(IFERROR(INDEX(INDIRECT("'"&amp;$C3336&amp;"'!$E$63:$Y$63"),1,MATCH($D3336,INDIRECT("'"&amp;$C3336&amp;"'!$E$12:$Y$12"),0)),0),0))-(IFERROR(INDEX(INDIRECT("'"&amp;$C3336&amp;"'!$E$68:$Y$68"),1,MATCH($D3336,INDIRECT("'"&amp;$C3336&amp;"'!$E$12:$Y$12"),0)),0)),0)</f>
        <v>0</v>
      </c>
      <c r="I3336" s="366" t="s">
        <v>1750</v>
      </c>
      <c r="J3336" s="348" t="str">
        <f t="shared" ca="1" si="104"/>
        <v>OK</v>
      </c>
      <c r="K3336" s="366" t="s">
        <v>1751</v>
      </c>
      <c r="L3336" s="366" t="s">
        <v>2266</v>
      </c>
      <c r="M3336" s="350" t="str">
        <f>IF($B3336="Portfolio","Portfolio",IFERROR(INDEX(DATA_ASSET_CLASSIFICATION!$B$8:$B$24,MATCH($C3336,DATA_ASSET_CLASSIFICATION!$A$8:$A$24,0)),"Review"))</f>
        <v>Natalia Terrace</v>
      </c>
      <c r="N3336" s="350" t="str">
        <f ca="1">IF($B3336="Portfolio","Portfolio",IFERROR(INDEX(DATA_ASSET_CLASSIFICATION!$U$8:$U$24,MATCH($C3336,DATA_ASSET_CLASSIFICATION!$A$8:$A$24,0)),"Review"))</f>
        <v>Refi Watch</v>
      </c>
      <c r="O3336" s="350" t="str">
        <f ca="1">IF($B3336="Portfolio","Portfolio",IFERROR(INDEX(DATA_ASSET_CLASSIFICATION!$AB$8:$AB$13,MATCH($N3336,DATA_ASSET_CLASSIFICATION!$AA$8:$AA$13,0)),"Review"))</f>
        <v>Bucket 2 · Legacy</v>
      </c>
      <c r="P3336" s="350" t="str">
        <f>IF($B3336="Portfolio","Portfolio",IFERROR(INDEX(DATA_ASSET_CLASSIFICATION!$C$8:$C$24,MATCH($C3336,DATA_ASSET_CLASSIFICATION!$A$8:$A$24,0)),"Review"))</f>
        <v>Yes</v>
      </c>
      <c r="Q3336" s="350" t="str">
        <f t="shared" ca="1" si="105"/>
        <v>OK</v>
      </c>
    </row>
    <row r="3337" spans="1:17">
      <c r="A3337" s="366" t="s">
        <v>5293</v>
      </c>
      <c r="B3337" s="366" t="s">
        <v>231</v>
      </c>
      <c r="C3337" s="348" t="str">
        <f>DATA_PROPERTY_MASTER!$A$15</f>
        <v>BLD_NT</v>
      </c>
      <c r="D3337" s="380">
        <f>'00_PORTFOLIO ROLLUP'!N$12</f>
        <v>2034</v>
      </c>
      <c r="E3337" s="366" t="s">
        <v>1683</v>
      </c>
      <c r="F3337" s="366" t="s">
        <v>341</v>
      </c>
      <c r="G3337" s="348" t="str">
        <f>"'"&amp;$C3337&amp;"'!$E$24:$Y$24"</f>
        <v>'BLD_NT'!$E$24:$Y$24</v>
      </c>
      <c r="H3337" s="381">
        <f ca="1">IF(IFERROR(INDEX(DATA_PROPERTY_MASTER!$E$5:$E$21,MATCH($C3337,DATA_PROPERTY_MASTER!$A$5:$A$21,0))="Yes",FALSE),IFERROR(INDEX(INDIRECT("'"&amp;$C3337&amp;"'!$E$24:$Y$24"),1,MATCH($D3337,INDIRECT("'"&amp;$C3337&amp;"'!$E$12:$Y$12"),0)),0),0)</f>
        <v>865238.22380124789</v>
      </c>
      <c r="I3337" s="366" t="s">
        <v>1685</v>
      </c>
      <c r="J3337" s="348" t="str">
        <f t="shared" ca="1" si="104"/>
        <v>OK</v>
      </c>
      <c r="K3337" s="366" t="s">
        <v>1686</v>
      </c>
      <c r="L3337" s="366" t="s">
        <v>2234</v>
      </c>
      <c r="M3337" s="350" t="str">
        <f>IF($B3337="Portfolio","Portfolio",IFERROR(INDEX(DATA_ASSET_CLASSIFICATION!$B$8:$B$24,MATCH($C3337,DATA_ASSET_CLASSIFICATION!$A$8:$A$24,0)),"Review"))</f>
        <v>Natalia Terrace</v>
      </c>
      <c r="N3337" s="350" t="str">
        <f ca="1">IF($B3337="Portfolio","Portfolio",IFERROR(INDEX(DATA_ASSET_CLASSIFICATION!$U$8:$U$24,MATCH($C3337,DATA_ASSET_CLASSIFICATION!$A$8:$A$24,0)),"Review"))</f>
        <v>Refi Watch</v>
      </c>
      <c r="O3337" s="350" t="str">
        <f ca="1">IF($B3337="Portfolio","Portfolio",IFERROR(INDEX(DATA_ASSET_CLASSIFICATION!$AB$8:$AB$13,MATCH($N3337,DATA_ASSET_CLASSIFICATION!$AA$8:$AA$13,0)),"Review"))</f>
        <v>Bucket 2 · Legacy</v>
      </c>
      <c r="P3337" s="350" t="str">
        <f>IF($B3337="Portfolio","Portfolio",IFERROR(INDEX(DATA_ASSET_CLASSIFICATION!$C$8:$C$24,MATCH($C3337,DATA_ASSET_CLASSIFICATION!$A$8:$A$24,0)),"Review"))</f>
        <v>Yes</v>
      </c>
      <c r="Q3337" s="350" t="str">
        <f t="shared" ca="1" si="105"/>
        <v>OK</v>
      </c>
    </row>
    <row r="3338" spans="1:17">
      <c r="A3338" s="366" t="s">
        <v>5294</v>
      </c>
      <c r="B3338" s="366" t="s">
        <v>231</v>
      </c>
      <c r="C3338" s="348" t="str">
        <f>DATA_PROPERTY_MASTER!$A$15</f>
        <v>BLD_NT</v>
      </c>
      <c r="D3338" s="380">
        <f>'00_PORTFOLIO ROLLUP'!N$12</f>
        <v>2034</v>
      </c>
      <c r="E3338" s="366" t="s">
        <v>1683</v>
      </c>
      <c r="F3338" s="366" t="s">
        <v>355</v>
      </c>
      <c r="G3338" s="348" t="str">
        <f>"'"&amp;$C3338&amp;"'!$E$39:$Y$39"</f>
        <v>'BLD_NT'!$E$39:$Y$39</v>
      </c>
      <c r="H3338" s="381">
        <f ca="1">IF(IFERROR(INDEX(DATA_PROPERTY_MASTER!$E$5:$E$21,MATCH($C3338,DATA_PROPERTY_MASTER!$A$5:$A$21,0))="Yes",FALSE),IFERROR(INDEX(INDIRECT("'"&amp;$C3338&amp;"'!$E$39:$Y$39"),1,MATCH($D3338,INDIRECT("'"&amp;$C3338&amp;"'!$E$12:$Y$12"),0)),0),0)</f>
        <v>411240.32858656457</v>
      </c>
      <c r="I3338" s="366" t="s">
        <v>1690</v>
      </c>
      <c r="J3338" s="348" t="str">
        <f t="shared" ca="1" si="104"/>
        <v>OK</v>
      </c>
      <c r="K3338" s="366" t="s">
        <v>1686</v>
      </c>
      <c r="L3338" s="366" t="s">
        <v>2236</v>
      </c>
      <c r="M3338" s="350" t="str">
        <f>IF($B3338="Portfolio","Portfolio",IFERROR(INDEX(DATA_ASSET_CLASSIFICATION!$B$8:$B$24,MATCH($C3338,DATA_ASSET_CLASSIFICATION!$A$8:$A$24,0)),"Review"))</f>
        <v>Natalia Terrace</v>
      </c>
      <c r="N3338" s="350" t="str">
        <f ca="1">IF($B3338="Portfolio","Portfolio",IFERROR(INDEX(DATA_ASSET_CLASSIFICATION!$U$8:$U$24,MATCH($C3338,DATA_ASSET_CLASSIFICATION!$A$8:$A$24,0)),"Review"))</f>
        <v>Refi Watch</v>
      </c>
      <c r="O3338" s="350" t="str">
        <f ca="1">IF($B3338="Portfolio","Portfolio",IFERROR(INDEX(DATA_ASSET_CLASSIFICATION!$AB$8:$AB$13,MATCH($N3338,DATA_ASSET_CLASSIFICATION!$AA$8:$AA$13,0)),"Review"))</f>
        <v>Bucket 2 · Legacy</v>
      </c>
      <c r="P3338" s="350" t="str">
        <f>IF($B3338="Portfolio","Portfolio",IFERROR(INDEX(DATA_ASSET_CLASSIFICATION!$C$8:$C$24,MATCH($C3338,DATA_ASSET_CLASSIFICATION!$A$8:$A$24,0)),"Review"))</f>
        <v>Yes</v>
      </c>
      <c r="Q3338" s="350" t="str">
        <f t="shared" ca="1" si="105"/>
        <v>OK</v>
      </c>
    </row>
    <row r="3339" spans="1:17">
      <c r="A3339" s="366" t="s">
        <v>5295</v>
      </c>
      <c r="B3339" s="366" t="s">
        <v>231</v>
      </c>
      <c r="C3339" s="348" t="str">
        <f>DATA_PROPERTY_MASTER!$A$15</f>
        <v>BLD_NT</v>
      </c>
      <c r="D3339" s="380">
        <f>'00_PORTFOLIO ROLLUP'!N$12</f>
        <v>2034</v>
      </c>
      <c r="E3339" s="366" t="s">
        <v>1683</v>
      </c>
      <c r="F3339" s="366" t="s">
        <v>19</v>
      </c>
      <c r="G3339" s="348" t="str">
        <f>"'"&amp;$C3339&amp;"'!$E$41:$Y$41"</f>
        <v>'BLD_NT'!$E$41:$Y$41</v>
      </c>
      <c r="H3339" s="381">
        <f ca="1">IF(IFERROR(INDEX(DATA_PROPERTY_MASTER!$E$5:$E$21,MATCH($C3339,DATA_PROPERTY_MASTER!$A$5:$A$21,0))="Yes",FALSE),IFERROR(INDEX(INDIRECT("'"&amp;$C3339&amp;"'!$E$41:$Y$41"),1,MATCH($D3339,INDIRECT("'"&amp;$C3339&amp;"'!$E$12:$Y$12"),0)),0),0)</f>
        <v>453997.89521468332</v>
      </c>
      <c r="I3339" s="366" t="s">
        <v>1685</v>
      </c>
      <c r="J3339" s="348" t="str">
        <f t="shared" ca="1" si="104"/>
        <v>OK</v>
      </c>
      <c r="K3339" s="366" t="s">
        <v>1694</v>
      </c>
      <c r="L3339" s="366" t="s">
        <v>2238</v>
      </c>
      <c r="M3339" s="350" t="str">
        <f>IF($B3339="Portfolio","Portfolio",IFERROR(INDEX(DATA_ASSET_CLASSIFICATION!$B$8:$B$24,MATCH($C3339,DATA_ASSET_CLASSIFICATION!$A$8:$A$24,0)),"Review"))</f>
        <v>Natalia Terrace</v>
      </c>
      <c r="N3339" s="350" t="str">
        <f ca="1">IF($B3339="Portfolio","Portfolio",IFERROR(INDEX(DATA_ASSET_CLASSIFICATION!$U$8:$U$24,MATCH($C3339,DATA_ASSET_CLASSIFICATION!$A$8:$A$24,0)),"Review"))</f>
        <v>Refi Watch</v>
      </c>
      <c r="O3339" s="350" t="str">
        <f ca="1">IF($B3339="Portfolio","Portfolio",IFERROR(INDEX(DATA_ASSET_CLASSIFICATION!$AB$8:$AB$13,MATCH($N3339,DATA_ASSET_CLASSIFICATION!$AA$8:$AA$13,0)),"Review"))</f>
        <v>Bucket 2 · Legacy</v>
      </c>
      <c r="P3339" s="350" t="str">
        <f>IF($B3339="Portfolio","Portfolio",IFERROR(INDEX(DATA_ASSET_CLASSIFICATION!$C$8:$C$24,MATCH($C3339,DATA_ASSET_CLASSIFICATION!$A$8:$A$24,0)),"Review"))</f>
        <v>Yes</v>
      </c>
      <c r="Q3339" s="350" t="str">
        <f t="shared" ca="1" si="105"/>
        <v>OK</v>
      </c>
    </row>
    <row r="3340" spans="1:17">
      <c r="A3340" s="366" t="s">
        <v>5296</v>
      </c>
      <c r="B3340" s="366" t="s">
        <v>231</v>
      </c>
      <c r="C3340" s="348" t="str">
        <f>DATA_PROPERTY_MASTER!$A$15</f>
        <v>BLD_NT</v>
      </c>
      <c r="D3340" s="380">
        <f>'00_PORTFOLIO ROLLUP'!N$12</f>
        <v>2034</v>
      </c>
      <c r="E3340" s="366" t="s">
        <v>1683</v>
      </c>
      <c r="F3340" s="366" t="s">
        <v>1697</v>
      </c>
      <c r="G3340" s="348" t="str">
        <f>"'"&amp;$C3340&amp;"'!$E$44:$Y$44"</f>
        <v>'BLD_NT'!$E$44:$Y$44</v>
      </c>
      <c r="H3340" s="381">
        <f ca="1">IF(IFERROR(INDEX(DATA_PROPERTY_MASTER!$E$5:$E$21,MATCH($C3340,DATA_PROPERTY_MASTER!$A$5:$A$21,0))="Yes",FALSE),IFERROR(INDEX(INDIRECT("'"&amp;$C3340&amp;"'!$E$44:$Y$44"),1,MATCH($D3340,INDIRECT("'"&amp;$C3340&amp;"'!$E$12:$Y$12"),0)),0),0)</f>
        <v>7170.5554117338652</v>
      </c>
      <c r="I3340" s="366" t="s">
        <v>1690</v>
      </c>
      <c r="J3340" s="348" t="str">
        <f t="shared" ca="1" si="104"/>
        <v>OK</v>
      </c>
      <c r="K3340" s="366" t="s">
        <v>1699</v>
      </c>
      <c r="L3340" s="366" t="s">
        <v>2240</v>
      </c>
      <c r="M3340" s="350" t="str">
        <f>IF($B3340="Portfolio","Portfolio",IFERROR(INDEX(DATA_ASSET_CLASSIFICATION!$B$8:$B$24,MATCH($C3340,DATA_ASSET_CLASSIFICATION!$A$8:$A$24,0)),"Review"))</f>
        <v>Natalia Terrace</v>
      </c>
      <c r="N3340" s="350" t="str">
        <f ca="1">IF($B3340="Portfolio","Portfolio",IFERROR(INDEX(DATA_ASSET_CLASSIFICATION!$U$8:$U$24,MATCH($C3340,DATA_ASSET_CLASSIFICATION!$A$8:$A$24,0)),"Review"))</f>
        <v>Refi Watch</v>
      </c>
      <c r="O3340" s="350" t="str">
        <f ca="1">IF($B3340="Portfolio","Portfolio",IFERROR(INDEX(DATA_ASSET_CLASSIFICATION!$AB$8:$AB$13,MATCH($N3340,DATA_ASSET_CLASSIFICATION!$AA$8:$AA$13,0)),"Review"))</f>
        <v>Bucket 2 · Legacy</v>
      </c>
      <c r="P3340" s="350" t="str">
        <f>IF($B3340="Portfolio","Portfolio",IFERROR(INDEX(DATA_ASSET_CLASSIFICATION!$C$8:$C$24,MATCH($C3340,DATA_ASSET_CLASSIFICATION!$A$8:$A$24,0)),"Review"))</f>
        <v>Yes</v>
      </c>
      <c r="Q3340" s="350" t="str">
        <f t="shared" ca="1" si="105"/>
        <v>OK</v>
      </c>
    </row>
    <row r="3341" spans="1:17">
      <c r="A3341" s="366" t="s">
        <v>5297</v>
      </c>
      <c r="B3341" s="366" t="s">
        <v>231</v>
      </c>
      <c r="C3341" s="348" t="str">
        <f>DATA_PROPERTY_MASTER!$A$15</f>
        <v>BLD_NT</v>
      </c>
      <c r="D3341" s="380">
        <f>'00_PORTFOLIO ROLLUP'!N$12</f>
        <v>2034</v>
      </c>
      <c r="E3341" s="366" t="s">
        <v>1683</v>
      </c>
      <c r="F3341" s="366" t="s">
        <v>21</v>
      </c>
      <c r="G3341" s="348" t="str">
        <f>"'"&amp;$C3341&amp;"'!$E$45:$Y$45"</f>
        <v>'BLD_NT'!$E$45:$Y$45</v>
      </c>
      <c r="H3341" s="381">
        <f ca="1">IF(IFERROR(INDEX(DATA_PROPERTY_MASTER!$E$5:$E$21,MATCH($C3341,DATA_PROPERTY_MASTER!$A$5:$A$21,0))="Yes",FALSE),IFERROR(INDEX(INDIRECT("'"&amp;$C3341&amp;"'!$E$45:$Y$45"),1,MATCH($D3341,INDIRECT("'"&amp;$C3341&amp;"'!$E$12:$Y$12"),0)),0),0)</f>
        <v>446827.33980294946</v>
      </c>
      <c r="I3341" s="366" t="s">
        <v>1685</v>
      </c>
      <c r="J3341" s="348" t="str">
        <f t="shared" ca="1" si="104"/>
        <v>OK</v>
      </c>
      <c r="K3341" s="366" t="s">
        <v>1694</v>
      </c>
      <c r="L3341" s="366" t="s">
        <v>2242</v>
      </c>
      <c r="M3341" s="350" t="str">
        <f>IF($B3341="Portfolio","Portfolio",IFERROR(INDEX(DATA_ASSET_CLASSIFICATION!$B$8:$B$24,MATCH($C3341,DATA_ASSET_CLASSIFICATION!$A$8:$A$24,0)),"Review"))</f>
        <v>Natalia Terrace</v>
      </c>
      <c r="N3341" s="350" t="str">
        <f ca="1">IF($B3341="Portfolio","Portfolio",IFERROR(INDEX(DATA_ASSET_CLASSIFICATION!$U$8:$U$24,MATCH($C3341,DATA_ASSET_CLASSIFICATION!$A$8:$A$24,0)),"Review"))</f>
        <v>Refi Watch</v>
      </c>
      <c r="O3341" s="350" t="str">
        <f ca="1">IF($B3341="Portfolio","Portfolio",IFERROR(INDEX(DATA_ASSET_CLASSIFICATION!$AB$8:$AB$13,MATCH($N3341,DATA_ASSET_CLASSIFICATION!$AA$8:$AA$13,0)),"Review"))</f>
        <v>Bucket 2 · Legacy</v>
      </c>
      <c r="P3341" s="350" t="str">
        <f>IF($B3341="Portfolio","Portfolio",IFERROR(INDEX(DATA_ASSET_CLASSIFICATION!$C$8:$C$24,MATCH($C3341,DATA_ASSET_CLASSIFICATION!$A$8:$A$24,0)),"Review"))</f>
        <v>Yes</v>
      </c>
      <c r="Q3341" s="350" t="str">
        <f t="shared" ca="1" si="105"/>
        <v>OK</v>
      </c>
    </row>
    <row r="3342" spans="1:17">
      <c r="A3342" s="366" t="s">
        <v>5298</v>
      </c>
      <c r="B3342" s="366" t="s">
        <v>231</v>
      </c>
      <c r="C3342" s="348" t="str">
        <f>DATA_PROPERTY_MASTER!$A$15</f>
        <v>BLD_NT</v>
      </c>
      <c r="D3342" s="380">
        <f>'00_PORTFOLIO ROLLUP'!N$12</f>
        <v>2034</v>
      </c>
      <c r="E3342" s="366" t="s">
        <v>23</v>
      </c>
      <c r="F3342" s="366" t="s">
        <v>23</v>
      </c>
      <c r="G3342" s="348" t="str">
        <f>"'"&amp;$C3342&amp;"'!$E$48:$Y$48"</f>
        <v>'BLD_NT'!$E$48:$Y$48</v>
      </c>
      <c r="H3342" s="381">
        <f ca="1">IF(IFERROR(INDEX(DATA_PROPERTY_MASTER!$E$5:$E$21,MATCH($C3342,DATA_PROPERTY_MASTER!$A$5:$A$21,0))="Yes",FALSE),IFERROR(INDEX(INDIRECT("'"&amp;$C3342&amp;"'!$E$48:$Y$48"),1,MATCH($D3342,INDIRECT("'"&amp;$C3342&amp;"'!$E$12:$Y$12"),0)),0),0)</f>
        <v>0</v>
      </c>
      <c r="I3342" s="366" t="s">
        <v>1690</v>
      </c>
      <c r="J3342" s="348" t="str">
        <f t="shared" ca="1" si="104"/>
        <v>OK</v>
      </c>
      <c r="K3342" s="366" t="s">
        <v>1706</v>
      </c>
      <c r="L3342" s="366" t="s">
        <v>2244</v>
      </c>
      <c r="M3342" s="350" t="str">
        <f>IF($B3342="Portfolio","Portfolio",IFERROR(INDEX(DATA_ASSET_CLASSIFICATION!$B$8:$B$24,MATCH($C3342,DATA_ASSET_CLASSIFICATION!$A$8:$A$24,0)),"Review"))</f>
        <v>Natalia Terrace</v>
      </c>
      <c r="N3342" s="350" t="str">
        <f ca="1">IF($B3342="Portfolio","Portfolio",IFERROR(INDEX(DATA_ASSET_CLASSIFICATION!$U$8:$U$24,MATCH($C3342,DATA_ASSET_CLASSIFICATION!$A$8:$A$24,0)),"Review"))</f>
        <v>Refi Watch</v>
      </c>
      <c r="O3342" s="350" t="str">
        <f ca="1">IF($B3342="Portfolio","Portfolio",IFERROR(INDEX(DATA_ASSET_CLASSIFICATION!$AB$8:$AB$13,MATCH($N3342,DATA_ASSET_CLASSIFICATION!$AA$8:$AA$13,0)),"Review"))</f>
        <v>Bucket 2 · Legacy</v>
      </c>
      <c r="P3342" s="350" t="str">
        <f>IF($B3342="Portfolio","Portfolio",IFERROR(INDEX(DATA_ASSET_CLASSIFICATION!$C$8:$C$24,MATCH($C3342,DATA_ASSET_CLASSIFICATION!$A$8:$A$24,0)),"Review"))</f>
        <v>Yes</v>
      </c>
      <c r="Q3342" s="350" t="str">
        <f t="shared" ca="1" si="105"/>
        <v>OK</v>
      </c>
    </row>
    <row r="3343" spans="1:17">
      <c r="A3343" s="366" t="s">
        <v>5299</v>
      </c>
      <c r="B3343" s="366" t="s">
        <v>231</v>
      </c>
      <c r="C3343" s="348" t="str">
        <f>DATA_PROPERTY_MASTER!$A$15</f>
        <v>BLD_NT</v>
      </c>
      <c r="D3343" s="380">
        <f>'00_PORTFOLIO ROLLUP'!N$12</f>
        <v>2034</v>
      </c>
      <c r="E3343" s="366" t="s">
        <v>1683</v>
      </c>
      <c r="F3343" s="366" t="s">
        <v>25</v>
      </c>
      <c r="G3343" s="348" t="str">
        <f>"'"&amp;$C3343&amp;"'!$E$52:$Y$52"</f>
        <v>'BLD_NT'!$E$52:$Y$52</v>
      </c>
      <c r="H3343" s="381">
        <f ca="1">IF(IFERROR(INDEX(DATA_PROPERTY_MASTER!$E$5:$E$21,MATCH($C3343,DATA_PROPERTY_MASTER!$A$5:$A$21,0))="Yes",FALSE),IFERROR(INDEX(INDIRECT("'"&amp;$C3343&amp;"'!$E$52:$Y$52"),1,MATCH($D3343,INDIRECT("'"&amp;$C3343&amp;"'!$E$12:$Y$12"),0)),0),0)</f>
        <v>453997.89521468332</v>
      </c>
      <c r="I3343" s="366" t="s">
        <v>1685</v>
      </c>
      <c r="J3343" s="348" t="str">
        <f t="shared" ca="1" si="104"/>
        <v>OK</v>
      </c>
      <c r="K3343" s="366" t="s">
        <v>1710</v>
      </c>
      <c r="L3343" s="366" t="s">
        <v>2246</v>
      </c>
      <c r="M3343" s="350" t="str">
        <f>IF($B3343="Portfolio","Portfolio",IFERROR(INDEX(DATA_ASSET_CLASSIFICATION!$B$8:$B$24,MATCH($C3343,DATA_ASSET_CLASSIFICATION!$A$8:$A$24,0)),"Review"))</f>
        <v>Natalia Terrace</v>
      </c>
      <c r="N3343" s="350" t="str">
        <f ca="1">IF($B3343="Portfolio","Portfolio",IFERROR(INDEX(DATA_ASSET_CLASSIFICATION!$U$8:$U$24,MATCH($C3343,DATA_ASSET_CLASSIFICATION!$A$8:$A$24,0)),"Review"))</f>
        <v>Refi Watch</v>
      </c>
      <c r="O3343" s="350" t="str">
        <f ca="1">IF($B3343="Portfolio","Portfolio",IFERROR(INDEX(DATA_ASSET_CLASSIFICATION!$AB$8:$AB$13,MATCH($N3343,DATA_ASSET_CLASSIFICATION!$AA$8:$AA$13,0)),"Review"))</f>
        <v>Bucket 2 · Legacy</v>
      </c>
      <c r="P3343" s="350" t="str">
        <f>IF($B3343="Portfolio","Portfolio",IFERROR(INDEX(DATA_ASSET_CLASSIFICATION!$C$8:$C$24,MATCH($C3343,DATA_ASSET_CLASSIFICATION!$A$8:$A$24,0)),"Review"))</f>
        <v>Yes</v>
      </c>
      <c r="Q3343" s="350" t="str">
        <f t="shared" ca="1" si="105"/>
        <v>OK</v>
      </c>
    </row>
    <row r="3344" spans="1:17">
      <c r="A3344" s="366" t="s">
        <v>5300</v>
      </c>
      <c r="B3344" s="366" t="s">
        <v>231</v>
      </c>
      <c r="C3344" s="348" t="str">
        <f>DATA_PROPERTY_MASTER!$A$15</f>
        <v>BLD_NT</v>
      </c>
      <c r="D3344" s="380">
        <f>'00_PORTFOLIO ROLLUP'!N$12</f>
        <v>2034</v>
      </c>
      <c r="E3344" s="366" t="s">
        <v>1683</v>
      </c>
      <c r="F3344" s="366" t="s">
        <v>27</v>
      </c>
      <c r="G3344" s="348" t="str">
        <f>"'"&amp;$C3344&amp;"'!$E$54:$Y$54"</f>
        <v>'BLD_NT'!$E$54:$Y$54</v>
      </c>
      <c r="H3344" s="381">
        <f ca="1">IF(IFERROR(INDEX(DATA_PROPERTY_MASTER!$E$5:$E$21,MATCH($C3344,DATA_PROPERTY_MASTER!$A$5:$A$21,0))="Yes",FALSE),IFERROR(INDEX(INDIRECT("'"&amp;$C3344&amp;"'!$E$54:$Y$54"),1,MATCH($D3344,INDIRECT("'"&amp;$C3344&amp;"'!$E$12:$Y$12"),0)),0),0)</f>
        <v>272398.73712880997</v>
      </c>
      <c r="I3344" s="366" t="s">
        <v>1690</v>
      </c>
      <c r="J3344" s="348" t="str">
        <f t="shared" ca="1" si="104"/>
        <v>OK</v>
      </c>
      <c r="K3344" s="366" t="s">
        <v>1714</v>
      </c>
      <c r="L3344" s="366" t="s">
        <v>2248</v>
      </c>
      <c r="M3344" s="350" t="str">
        <f>IF($B3344="Portfolio","Portfolio",IFERROR(INDEX(DATA_ASSET_CLASSIFICATION!$B$8:$B$24,MATCH($C3344,DATA_ASSET_CLASSIFICATION!$A$8:$A$24,0)),"Review"))</f>
        <v>Natalia Terrace</v>
      </c>
      <c r="N3344" s="350" t="str">
        <f ca="1">IF($B3344="Portfolio","Portfolio",IFERROR(INDEX(DATA_ASSET_CLASSIFICATION!$U$8:$U$24,MATCH($C3344,DATA_ASSET_CLASSIFICATION!$A$8:$A$24,0)),"Review"))</f>
        <v>Refi Watch</v>
      </c>
      <c r="O3344" s="350" t="str">
        <f ca="1">IF($B3344="Portfolio","Portfolio",IFERROR(INDEX(DATA_ASSET_CLASSIFICATION!$AB$8:$AB$13,MATCH($N3344,DATA_ASSET_CLASSIFICATION!$AA$8:$AA$13,0)),"Review"))</f>
        <v>Bucket 2 · Legacy</v>
      </c>
      <c r="P3344" s="350" t="str">
        <f>IF($B3344="Portfolio","Portfolio",IFERROR(INDEX(DATA_ASSET_CLASSIFICATION!$C$8:$C$24,MATCH($C3344,DATA_ASSET_CLASSIFICATION!$A$8:$A$24,0)),"Review"))</f>
        <v>Yes</v>
      </c>
      <c r="Q3344" s="350" t="str">
        <f t="shared" ca="1" si="105"/>
        <v>OK</v>
      </c>
    </row>
    <row r="3345" spans="1:17">
      <c r="A3345" s="366" t="s">
        <v>5301</v>
      </c>
      <c r="B3345" s="366" t="s">
        <v>231</v>
      </c>
      <c r="C3345" s="348" t="str">
        <f>DATA_PROPERTY_MASTER!$A$15</f>
        <v>BLD_NT</v>
      </c>
      <c r="D3345" s="380">
        <f>'00_PORTFOLIO ROLLUP'!N$12</f>
        <v>2034</v>
      </c>
      <c r="E3345" s="366" t="s">
        <v>1683</v>
      </c>
      <c r="F3345" s="366" t="s">
        <v>29</v>
      </c>
      <c r="G3345" s="348" t="str">
        <f>"'"&amp;$C3345&amp;"'!$E$56:$Y$56"</f>
        <v>'BLD_NT'!$E$56:$Y$56</v>
      </c>
      <c r="H3345" s="381">
        <f ca="1">IF(IFERROR(INDEX(DATA_PROPERTY_MASTER!$E$5:$E$21,MATCH($C3345,DATA_PROPERTY_MASTER!$A$5:$A$21,0))="Yes",FALSE),IFERROR(INDEX(INDIRECT("'"&amp;$C3345&amp;"'!$E$56:$Y$56"),1,MATCH($D3345,INDIRECT("'"&amp;$C3345&amp;"'!$E$12:$Y$12"),0)),0),0)</f>
        <v>181599.15808587335</v>
      </c>
      <c r="I3345" s="366" t="s">
        <v>1685</v>
      </c>
      <c r="J3345" s="348" t="str">
        <f t="shared" ca="1" si="104"/>
        <v>OK</v>
      </c>
      <c r="K3345" s="366" t="s">
        <v>1718</v>
      </c>
      <c r="L3345" s="366" t="s">
        <v>2250</v>
      </c>
      <c r="M3345" s="350" t="str">
        <f>IF($B3345="Portfolio","Portfolio",IFERROR(INDEX(DATA_ASSET_CLASSIFICATION!$B$8:$B$24,MATCH($C3345,DATA_ASSET_CLASSIFICATION!$A$8:$A$24,0)),"Review"))</f>
        <v>Natalia Terrace</v>
      </c>
      <c r="N3345" s="350" t="str">
        <f ca="1">IF($B3345="Portfolio","Portfolio",IFERROR(INDEX(DATA_ASSET_CLASSIFICATION!$U$8:$U$24,MATCH($C3345,DATA_ASSET_CLASSIFICATION!$A$8:$A$24,0)),"Review"))</f>
        <v>Refi Watch</v>
      </c>
      <c r="O3345" s="350" t="str">
        <f ca="1">IF($B3345="Portfolio","Portfolio",IFERROR(INDEX(DATA_ASSET_CLASSIFICATION!$AB$8:$AB$13,MATCH($N3345,DATA_ASSET_CLASSIFICATION!$AA$8:$AA$13,0)),"Review"))</f>
        <v>Bucket 2 · Legacy</v>
      </c>
      <c r="P3345" s="350" t="str">
        <f>IF($B3345="Portfolio","Portfolio",IFERROR(INDEX(DATA_ASSET_CLASSIFICATION!$C$8:$C$24,MATCH($C3345,DATA_ASSET_CLASSIFICATION!$A$8:$A$24,0)),"Review"))</f>
        <v>Yes</v>
      </c>
      <c r="Q3345" s="350" t="str">
        <f t="shared" ca="1" si="105"/>
        <v>OK</v>
      </c>
    </row>
    <row r="3346" spans="1:17">
      <c r="A3346" s="366" t="s">
        <v>5302</v>
      </c>
      <c r="B3346" s="366" t="s">
        <v>231</v>
      </c>
      <c r="C3346" s="348" t="str">
        <f>DATA_PROPERTY_MASTER!$A$15</f>
        <v>BLD_NT</v>
      </c>
      <c r="D3346" s="380">
        <f>'00_PORTFOLIO ROLLUP'!N$12</f>
        <v>2034</v>
      </c>
      <c r="E3346" s="366" t="s">
        <v>1721</v>
      </c>
      <c r="F3346" s="366" t="s">
        <v>31</v>
      </c>
      <c r="G3346" s="348" t="str">
        <f>"'"&amp;$C3346&amp;"'!$E$61:$Y$61"</f>
        <v>'BLD_NT'!$E$61:$Y$61</v>
      </c>
      <c r="H3346" s="381">
        <f ca="1">IF(IFERROR(INDEX(DATA_PROPERTY_MASTER!$E$5:$E$21,MATCH($C3346,DATA_PROPERTY_MASTER!$A$5:$A$21,0))="Yes",FALSE),IFERROR(INDEX(INDIRECT("'"&amp;$C3346&amp;"'!$E$61:$Y$61"),1,MATCH($D3346,INDIRECT("'"&amp;$C3346&amp;"'!$E$12:$Y$12"),0)),0),0)</f>
        <v>0</v>
      </c>
      <c r="I3346" s="366" t="s">
        <v>1690</v>
      </c>
      <c r="J3346" s="348" t="str">
        <f t="shared" ca="1" si="104"/>
        <v>OK</v>
      </c>
      <c r="K3346" s="366" t="s">
        <v>1723</v>
      </c>
      <c r="L3346" s="366" t="s">
        <v>2252</v>
      </c>
      <c r="M3346" s="350" t="str">
        <f>IF($B3346="Portfolio","Portfolio",IFERROR(INDEX(DATA_ASSET_CLASSIFICATION!$B$8:$B$24,MATCH($C3346,DATA_ASSET_CLASSIFICATION!$A$8:$A$24,0)),"Review"))</f>
        <v>Natalia Terrace</v>
      </c>
      <c r="N3346" s="350" t="str">
        <f ca="1">IF($B3346="Portfolio","Portfolio",IFERROR(INDEX(DATA_ASSET_CLASSIFICATION!$U$8:$U$24,MATCH($C3346,DATA_ASSET_CLASSIFICATION!$A$8:$A$24,0)),"Review"))</f>
        <v>Refi Watch</v>
      </c>
      <c r="O3346" s="350" t="str">
        <f ca="1">IF($B3346="Portfolio","Portfolio",IFERROR(INDEX(DATA_ASSET_CLASSIFICATION!$AB$8:$AB$13,MATCH($N3346,DATA_ASSET_CLASSIFICATION!$AA$8:$AA$13,0)),"Review"))</f>
        <v>Bucket 2 · Legacy</v>
      </c>
      <c r="P3346" s="350" t="str">
        <f>IF($B3346="Portfolio","Portfolio",IFERROR(INDEX(DATA_ASSET_CLASSIFICATION!$C$8:$C$24,MATCH($C3346,DATA_ASSET_CLASSIFICATION!$A$8:$A$24,0)),"Review"))</f>
        <v>Yes</v>
      </c>
      <c r="Q3346" s="350" t="str">
        <f t="shared" ca="1" si="105"/>
        <v>OK</v>
      </c>
    </row>
    <row r="3347" spans="1:17">
      <c r="A3347" s="366" t="s">
        <v>5303</v>
      </c>
      <c r="B3347" s="366" t="s">
        <v>231</v>
      </c>
      <c r="C3347" s="348" t="str">
        <f>DATA_PROPERTY_MASTER!$A$15</f>
        <v>BLD_NT</v>
      </c>
      <c r="D3347" s="380">
        <f>'00_PORTFOLIO ROLLUP'!N$12</f>
        <v>2034</v>
      </c>
      <c r="E3347" s="366" t="s">
        <v>1721</v>
      </c>
      <c r="F3347" s="366" t="s">
        <v>33</v>
      </c>
      <c r="G3347" s="348" t="str">
        <f>"'"&amp;$C3347&amp;"'!$E$62:$Y$62"</f>
        <v>'BLD_NT'!$E$62:$Y$62</v>
      </c>
      <c r="H3347" s="381">
        <f ca="1">IF(IFERROR(INDEX(DATA_PROPERTY_MASTER!$E$5:$E$21,MATCH($C3347,DATA_PROPERTY_MASTER!$A$5:$A$21,0))="Yes",FALSE),IFERROR(INDEX(INDIRECT("'"&amp;$C3347&amp;"'!$E$62:$Y$62"),1,MATCH($D3347,INDIRECT("'"&amp;$C3347&amp;"'!$E$12:$Y$12"),0)),0),0)</f>
        <v>0</v>
      </c>
      <c r="I3347" s="366" t="s">
        <v>1685</v>
      </c>
      <c r="J3347" s="348" t="str">
        <f t="shared" ca="1" si="104"/>
        <v>OK</v>
      </c>
      <c r="K3347" s="366" t="s">
        <v>1727</v>
      </c>
      <c r="L3347" s="366" t="s">
        <v>2254</v>
      </c>
      <c r="M3347" s="350" t="str">
        <f>IF($B3347="Portfolio","Portfolio",IFERROR(INDEX(DATA_ASSET_CLASSIFICATION!$B$8:$B$24,MATCH($C3347,DATA_ASSET_CLASSIFICATION!$A$8:$A$24,0)),"Review"))</f>
        <v>Natalia Terrace</v>
      </c>
      <c r="N3347" s="350" t="str">
        <f ca="1">IF($B3347="Portfolio","Portfolio",IFERROR(INDEX(DATA_ASSET_CLASSIFICATION!$U$8:$U$24,MATCH($C3347,DATA_ASSET_CLASSIFICATION!$A$8:$A$24,0)),"Review"))</f>
        <v>Refi Watch</v>
      </c>
      <c r="O3347" s="350" t="str">
        <f ca="1">IF($B3347="Portfolio","Portfolio",IFERROR(INDEX(DATA_ASSET_CLASSIFICATION!$AB$8:$AB$13,MATCH($N3347,DATA_ASSET_CLASSIFICATION!$AA$8:$AA$13,0)),"Review"))</f>
        <v>Bucket 2 · Legacy</v>
      </c>
      <c r="P3347" s="350" t="str">
        <f>IF($B3347="Portfolio","Portfolio",IFERROR(INDEX(DATA_ASSET_CLASSIFICATION!$C$8:$C$24,MATCH($C3347,DATA_ASSET_CLASSIFICATION!$A$8:$A$24,0)),"Review"))</f>
        <v>Yes</v>
      </c>
      <c r="Q3347" s="350" t="str">
        <f t="shared" ca="1" si="105"/>
        <v>OK</v>
      </c>
    </row>
    <row r="3348" spans="1:17">
      <c r="A3348" s="366" t="s">
        <v>5304</v>
      </c>
      <c r="B3348" s="366" t="s">
        <v>231</v>
      </c>
      <c r="C3348" s="348" t="str">
        <f>DATA_PROPERTY_MASTER!$A$15</f>
        <v>BLD_NT</v>
      </c>
      <c r="D3348" s="380">
        <f>'00_PORTFOLIO ROLLUP'!N$12</f>
        <v>2034</v>
      </c>
      <c r="E3348" s="366" t="s">
        <v>1721</v>
      </c>
      <c r="F3348" s="366" t="s">
        <v>35</v>
      </c>
      <c r="G3348" s="348" t="str">
        <f>"'"&amp;$C3348&amp;"'!$E$63:$Y$63"</f>
        <v>'BLD_NT'!$E$63:$Y$63</v>
      </c>
      <c r="H3348" s="381">
        <f ca="1">IF(IFERROR(INDEX(DATA_PROPERTY_MASTER!$E$5:$E$21,MATCH($C3348,DATA_PROPERTY_MASTER!$A$5:$A$21,0))="Yes",FALSE),IFERROR(INDEX(INDIRECT("'"&amp;$C3348&amp;"'!$E$63:$Y$63"),1,MATCH($D3348,INDIRECT("'"&amp;$C3348&amp;"'!$E$12:$Y$12"),0)),0),0)</f>
        <v>0</v>
      </c>
      <c r="I3348" s="366" t="s">
        <v>1731</v>
      </c>
      <c r="J3348" s="348" t="str">
        <f t="shared" ca="1" si="104"/>
        <v>OK</v>
      </c>
      <c r="K3348" s="366" t="s">
        <v>1732</v>
      </c>
      <c r="L3348" s="366" t="s">
        <v>2256</v>
      </c>
      <c r="M3348" s="350" t="str">
        <f>IF($B3348="Portfolio","Portfolio",IFERROR(INDEX(DATA_ASSET_CLASSIFICATION!$B$8:$B$24,MATCH($C3348,DATA_ASSET_CLASSIFICATION!$A$8:$A$24,0)),"Review"))</f>
        <v>Natalia Terrace</v>
      </c>
      <c r="N3348" s="350" t="str">
        <f ca="1">IF($B3348="Portfolio","Portfolio",IFERROR(INDEX(DATA_ASSET_CLASSIFICATION!$U$8:$U$24,MATCH($C3348,DATA_ASSET_CLASSIFICATION!$A$8:$A$24,0)),"Review"))</f>
        <v>Refi Watch</v>
      </c>
      <c r="O3348" s="350" t="str">
        <f ca="1">IF($B3348="Portfolio","Portfolio",IFERROR(INDEX(DATA_ASSET_CLASSIFICATION!$AB$8:$AB$13,MATCH($N3348,DATA_ASSET_CLASSIFICATION!$AA$8:$AA$13,0)),"Review"))</f>
        <v>Bucket 2 · Legacy</v>
      </c>
      <c r="P3348" s="350" t="str">
        <f>IF($B3348="Portfolio","Portfolio",IFERROR(INDEX(DATA_ASSET_CLASSIFICATION!$C$8:$C$24,MATCH($C3348,DATA_ASSET_CLASSIFICATION!$A$8:$A$24,0)),"Review"))</f>
        <v>Yes</v>
      </c>
      <c r="Q3348" s="350" t="str">
        <f t="shared" ca="1" si="105"/>
        <v>OK</v>
      </c>
    </row>
    <row r="3349" spans="1:17">
      <c r="A3349" s="366" t="s">
        <v>5305</v>
      </c>
      <c r="B3349" s="366" t="s">
        <v>231</v>
      </c>
      <c r="C3349" s="348" t="str">
        <f>DATA_PROPERTY_MASTER!$A$15</f>
        <v>BLD_NT</v>
      </c>
      <c r="D3349" s="380">
        <f>'00_PORTFOLIO ROLLUP'!N$12</f>
        <v>2034</v>
      </c>
      <c r="E3349" s="366" t="s">
        <v>1721</v>
      </c>
      <c r="F3349" s="366" t="s">
        <v>37</v>
      </c>
      <c r="G3349" s="348" t="str">
        <f>"'"&amp;$C3349&amp;"'!$E$63:$Y$63"</f>
        <v>'BLD_NT'!$E$63:$Y$63</v>
      </c>
      <c r="H3349" s="381">
        <f ca="1">IF(IFERROR(INDEX(DATA_PROPERTY_MASTER!$E$5:$E$21,MATCH($C3349,DATA_PROPERTY_MASTER!$A$5:$A$21,0))="Yes",FALSE),MAX(IFERROR(INDEX(INDIRECT("'"&amp;$C3349&amp;"'!$E$63:$Y$63"),1,MATCH($D3349,INDIRECT("'"&amp;$C3349&amp;"'!$E$12:$Y$12"),0)),0),0),0)</f>
        <v>0</v>
      </c>
      <c r="I3349" s="366" t="s">
        <v>1685</v>
      </c>
      <c r="J3349" s="348" t="str">
        <f t="shared" ca="1" si="104"/>
        <v>OK</v>
      </c>
      <c r="K3349" s="366" t="s">
        <v>1735</v>
      </c>
      <c r="L3349" s="366" t="s">
        <v>2258</v>
      </c>
      <c r="M3349" s="350" t="str">
        <f>IF($B3349="Portfolio","Portfolio",IFERROR(INDEX(DATA_ASSET_CLASSIFICATION!$B$8:$B$24,MATCH($C3349,DATA_ASSET_CLASSIFICATION!$A$8:$A$24,0)),"Review"))</f>
        <v>Natalia Terrace</v>
      </c>
      <c r="N3349" s="350" t="str">
        <f ca="1">IF($B3349="Portfolio","Portfolio",IFERROR(INDEX(DATA_ASSET_CLASSIFICATION!$U$8:$U$24,MATCH($C3349,DATA_ASSET_CLASSIFICATION!$A$8:$A$24,0)),"Review"))</f>
        <v>Refi Watch</v>
      </c>
      <c r="O3349" s="350" t="str">
        <f ca="1">IF($B3349="Portfolio","Portfolio",IFERROR(INDEX(DATA_ASSET_CLASSIFICATION!$AB$8:$AB$13,MATCH($N3349,DATA_ASSET_CLASSIFICATION!$AA$8:$AA$13,0)),"Review"))</f>
        <v>Bucket 2 · Legacy</v>
      </c>
      <c r="P3349" s="350" t="str">
        <f>IF($B3349="Portfolio","Portfolio",IFERROR(INDEX(DATA_ASSET_CLASSIFICATION!$C$8:$C$24,MATCH($C3349,DATA_ASSET_CLASSIFICATION!$A$8:$A$24,0)),"Review"))</f>
        <v>Yes</v>
      </c>
      <c r="Q3349" s="350" t="str">
        <f t="shared" ca="1" si="105"/>
        <v>OK</v>
      </c>
    </row>
    <row r="3350" spans="1:17">
      <c r="A3350" s="366" t="s">
        <v>5306</v>
      </c>
      <c r="B3350" s="366" t="s">
        <v>231</v>
      </c>
      <c r="C3350" s="348" t="str">
        <f>DATA_PROPERTY_MASTER!$A$15</f>
        <v>BLD_NT</v>
      </c>
      <c r="D3350" s="380">
        <f>'00_PORTFOLIO ROLLUP'!N$12</f>
        <v>2034</v>
      </c>
      <c r="E3350" s="366" t="s">
        <v>1721</v>
      </c>
      <c r="F3350" s="366" t="s">
        <v>39</v>
      </c>
      <c r="G3350" s="348" t="str">
        <f>"'"&amp;$C3350&amp;"'!$E$63:$Y$63"</f>
        <v>'BLD_NT'!$E$63:$Y$63</v>
      </c>
      <c r="H3350" s="381">
        <f ca="1">IF(IFERROR(INDEX(DATA_PROPERTY_MASTER!$E$5:$E$21,MATCH($C3350,DATA_PROPERTY_MASTER!$A$5:$A$21,0))="Yes",FALSE),MAX(-IFERROR(INDEX(INDIRECT("'"&amp;$C3350&amp;"'!$E$63:$Y$63"),1,MATCH($D3350,INDIRECT("'"&amp;$C3350&amp;"'!$E$12:$Y$12"),0)),0),0),0)</f>
        <v>0</v>
      </c>
      <c r="I3350" s="366" t="s">
        <v>1690</v>
      </c>
      <c r="J3350" s="348" t="str">
        <f t="shared" ca="1" si="104"/>
        <v>OK</v>
      </c>
      <c r="K3350" s="366" t="s">
        <v>1738</v>
      </c>
      <c r="L3350" s="366" t="s">
        <v>2260</v>
      </c>
      <c r="M3350" s="350" t="str">
        <f>IF($B3350="Portfolio","Portfolio",IFERROR(INDEX(DATA_ASSET_CLASSIFICATION!$B$8:$B$24,MATCH($C3350,DATA_ASSET_CLASSIFICATION!$A$8:$A$24,0)),"Review"))</f>
        <v>Natalia Terrace</v>
      </c>
      <c r="N3350" s="350" t="str">
        <f ca="1">IF($B3350="Portfolio","Portfolio",IFERROR(INDEX(DATA_ASSET_CLASSIFICATION!$U$8:$U$24,MATCH($C3350,DATA_ASSET_CLASSIFICATION!$A$8:$A$24,0)),"Review"))</f>
        <v>Refi Watch</v>
      </c>
      <c r="O3350" s="350" t="str">
        <f ca="1">IF($B3350="Portfolio","Portfolio",IFERROR(INDEX(DATA_ASSET_CLASSIFICATION!$AB$8:$AB$13,MATCH($N3350,DATA_ASSET_CLASSIFICATION!$AA$8:$AA$13,0)),"Review"))</f>
        <v>Bucket 2 · Legacy</v>
      </c>
      <c r="P3350" s="350" t="str">
        <f>IF($B3350="Portfolio","Portfolio",IFERROR(INDEX(DATA_ASSET_CLASSIFICATION!$C$8:$C$24,MATCH($C3350,DATA_ASSET_CLASSIFICATION!$A$8:$A$24,0)),"Review"))</f>
        <v>Yes</v>
      </c>
      <c r="Q3350" s="350" t="str">
        <f t="shared" ca="1" si="105"/>
        <v>OK</v>
      </c>
    </row>
    <row r="3351" spans="1:17">
      <c r="A3351" s="366" t="s">
        <v>5307</v>
      </c>
      <c r="B3351" s="366" t="s">
        <v>231</v>
      </c>
      <c r="C3351" s="348" t="str">
        <f>DATA_PROPERTY_MASTER!$A$15</f>
        <v>BLD_NT</v>
      </c>
      <c r="D3351" s="380">
        <f>'00_PORTFOLIO ROLLUP'!N$12</f>
        <v>2034</v>
      </c>
      <c r="E3351" s="366" t="s">
        <v>1741</v>
      </c>
      <c r="F3351" s="366" t="s">
        <v>41</v>
      </c>
      <c r="G3351" s="348" t="str">
        <f>"'"&amp;$C3351&amp;"'!rows 56 + positive row 63"</f>
        <v>'BLD_NT'!rows 56 + positive row 63</v>
      </c>
      <c r="H3351" s="381">
        <f ca="1">IF(IFERROR(INDEX(DATA_PROPERTY_MASTER!$E$5:$E$21,MATCH($C3351,DATA_PROPERTY_MASTER!$A$5:$A$21,0))="Yes",FALSE),IFERROR(INDEX(INDIRECT("'"&amp;$C3351&amp;"'!$E$56:$Y$56"),1,MATCH($D3351,INDIRECT("'"&amp;$C3351&amp;"'!$E$12:$Y$12"),0)),0)+MAX(IFERROR(INDEX(INDIRECT("'"&amp;$C3351&amp;"'!$E$63:$Y$63"),1,MATCH($D3351,INDIRECT("'"&amp;$C3351&amp;"'!$E$12:$Y$12"),0)),0),0),0)</f>
        <v>181599.15808587335</v>
      </c>
      <c r="I3351" s="366" t="s">
        <v>1685</v>
      </c>
      <c r="J3351" s="348" t="str">
        <f t="shared" ca="1" si="104"/>
        <v>OK</v>
      </c>
      <c r="K3351" s="366" t="s">
        <v>1742</v>
      </c>
      <c r="L3351" s="366" t="s">
        <v>2262</v>
      </c>
      <c r="M3351" s="350" t="str">
        <f>IF($B3351="Portfolio","Portfolio",IFERROR(INDEX(DATA_ASSET_CLASSIFICATION!$B$8:$B$24,MATCH($C3351,DATA_ASSET_CLASSIFICATION!$A$8:$A$24,0)),"Review"))</f>
        <v>Natalia Terrace</v>
      </c>
      <c r="N3351" s="350" t="str">
        <f ca="1">IF($B3351="Portfolio","Portfolio",IFERROR(INDEX(DATA_ASSET_CLASSIFICATION!$U$8:$U$24,MATCH($C3351,DATA_ASSET_CLASSIFICATION!$A$8:$A$24,0)),"Review"))</f>
        <v>Refi Watch</v>
      </c>
      <c r="O3351" s="350" t="str">
        <f ca="1">IF($B3351="Portfolio","Portfolio",IFERROR(INDEX(DATA_ASSET_CLASSIFICATION!$AB$8:$AB$13,MATCH($N3351,DATA_ASSET_CLASSIFICATION!$AA$8:$AA$13,0)),"Review"))</f>
        <v>Bucket 2 · Legacy</v>
      </c>
      <c r="P3351" s="350" t="str">
        <f>IF($B3351="Portfolio","Portfolio",IFERROR(INDEX(DATA_ASSET_CLASSIFICATION!$C$8:$C$24,MATCH($C3351,DATA_ASSET_CLASSIFICATION!$A$8:$A$24,0)),"Review"))</f>
        <v>Yes</v>
      </c>
      <c r="Q3351" s="350" t="str">
        <f t="shared" ca="1" si="105"/>
        <v>OK</v>
      </c>
    </row>
    <row r="3352" spans="1:17">
      <c r="A3352" s="366" t="s">
        <v>5308</v>
      </c>
      <c r="B3352" s="366" t="s">
        <v>231</v>
      </c>
      <c r="C3352" s="348" t="str">
        <f>DATA_PROPERTY_MASTER!$A$15</f>
        <v>BLD_NT</v>
      </c>
      <c r="D3352" s="380">
        <f>'00_PORTFOLIO ROLLUP'!N$12</f>
        <v>2034</v>
      </c>
      <c r="E3352" s="366" t="s">
        <v>1741</v>
      </c>
      <c r="F3352" s="366" t="s">
        <v>43</v>
      </c>
      <c r="G3352" s="348" t="str">
        <f>"'"&amp;$C3352&amp;"'!$E$68:$Y$68"</f>
        <v>'BLD_NT'!$E$68:$Y$68</v>
      </c>
      <c r="H3352" s="381">
        <f ca="1">IF(IFERROR(INDEX(DATA_PROPERTY_MASTER!$E$5:$E$21,MATCH($C3352,DATA_PROPERTY_MASTER!$A$5:$A$21,0))="Yes",FALSE),IFERROR(INDEX(INDIRECT("'"&amp;$C3352&amp;"'!$E$68:$Y$68"),1,MATCH($D3352,INDIRECT("'"&amp;$C3352&amp;"'!$E$12:$Y$12"),0)),0),0)</f>
        <v>181599.15808587335</v>
      </c>
      <c r="I3352" s="366" t="s">
        <v>1731</v>
      </c>
      <c r="J3352" s="348" t="str">
        <f t="shared" ca="1" si="104"/>
        <v>OK</v>
      </c>
      <c r="K3352" s="366" t="s">
        <v>1746</v>
      </c>
      <c r="L3352" s="366" t="s">
        <v>2264</v>
      </c>
      <c r="M3352" s="350" t="str">
        <f>IF($B3352="Portfolio","Portfolio",IFERROR(INDEX(DATA_ASSET_CLASSIFICATION!$B$8:$B$24,MATCH($C3352,DATA_ASSET_CLASSIFICATION!$A$8:$A$24,0)),"Review"))</f>
        <v>Natalia Terrace</v>
      </c>
      <c r="N3352" s="350" t="str">
        <f ca="1">IF($B3352="Portfolio","Portfolio",IFERROR(INDEX(DATA_ASSET_CLASSIFICATION!$U$8:$U$24,MATCH($C3352,DATA_ASSET_CLASSIFICATION!$A$8:$A$24,0)),"Review"))</f>
        <v>Refi Watch</v>
      </c>
      <c r="O3352" s="350" t="str">
        <f ca="1">IF($B3352="Portfolio","Portfolio",IFERROR(INDEX(DATA_ASSET_CLASSIFICATION!$AB$8:$AB$13,MATCH($N3352,DATA_ASSET_CLASSIFICATION!$AA$8:$AA$13,0)),"Review"))</f>
        <v>Bucket 2 · Legacy</v>
      </c>
      <c r="P3352" s="350" t="str">
        <f>IF($B3352="Portfolio","Portfolio",IFERROR(INDEX(DATA_ASSET_CLASSIFICATION!$C$8:$C$24,MATCH($C3352,DATA_ASSET_CLASSIFICATION!$A$8:$A$24,0)),"Review"))</f>
        <v>Yes</v>
      </c>
      <c r="Q3352" s="350" t="str">
        <f t="shared" ca="1" si="105"/>
        <v>OK</v>
      </c>
    </row>
    <row r="3353" spans="1:17">
      <c r="A3353" s="366" t="s">
        <v>5309</v>
      </c>
      <c r="B3353" s="366" t="s">
        <v>231</v>
      </c>
      <c r="C3353" s="348" t="str">
        <f>DATA_PROPERTY_MASTER!$A$15</f>
        <v>BLD_NT</v>
      </c>
      <c r="D3353" s="380">
        <f>'00_PORTFOLIO ROLLUP'!N$12</f>
        <v>2034</v>
      </c>
      <c r="E3353" s="366" t="s">
        <v>1741</v>
      </c>
      <c r="F3353" s="366" t="s">
        <v>1749</v>
      </c>
      <c r="G3353" s="348" t="str">
        <f>"'"&amp;$C3353&amp;"'!rows 56, 63, 68"</f>
        <v>'BLD_NT'!rows 56, 63, 68</v>
      </c>
      <c r="H3353" s="381">
        <f ca="1">IF(IFERROR(INDEX(DATA_PROPERTY_MASTER!$E$5:$E$21,MATCH($C3353,DATA_PROPERTY_MASTER!$A$5:$A$21,0))="Yes",FALSE),(IFERROR(INDEX(INDIRECT("'"&amp;$C3353&amp;"'!$E$56:$Y$56"),1,MATCH($D3353,INDIRECT("'"&amp;$C3353&amp;"'!$E$12:$Y$12"),0)),0)+MAX(IFERROR(INDEX(INDIRECT("'"&amp;$C3353&amp;"'!$E$63:$Y$63"),1,MATCH($D3353,INDIRECT("'"&amp;$C3353&amp;"'!$E$12:$Y$12"),0)),0),0))-(IFERROR(INDEX(INDIRECT("'"&amp;$C3353&amp;"'!$E$68:$Y$68"),1,MATCH($D3353,INDIRECT("'"&amp;$C3353&amp;"'!$E$12:$Y$12"),0)),0)),0)</f>
        <v>0</v>
      </c>
      <c r="I3353" s="366" t="s">
        <v>1750</v>
      </c>
      <c r="J3353" s="348" t="str">
        <f t="shared" ca="1" si="104"/>
        <v>OK</v>
      </c>
      <c r="K3353" s="366" t="s">
        <v>1751</v>
      </c>
      <c r="L3353" s="366" t="s">
        <v>2266</v>
      </c>
      <c r="M3353" s="350" t="str">
        <f>IF($B3353="Portfolio","Portfolio",IFERROR(INDEX(DATA_ASSET_CLASSIFICATION!$B$8:$B$24,MATCH($C3353,DATA_ASSET_CLASSIFICATION!$A$8:$A$24,0)),"Review"))</f>
        <v>Natalia Terrace</v>
      </c>
      <c r="N3353" s="350" t="str">
        <f ca="1">IF($B3353="Portfolio","Portfolio",IFERROR(INDEX(DATA_ASSET_CLASSIFICATION!$U$8:$U$24,MATCH($C3353,DATA_ASSET_CLASSIFICATION!$A$8:$A$24,0)),"Review"))</f>
        <v>Refi Watch</v>
      </c>
      <c r="O3353" s="350" t="str">
        <f ca="1">IF($B3353="Portfolio","Portfolio",IFERROR(INDEX(DATA_ASSET_CLASSIFICATION!$AB$8:$AB$13,MATCH($N3353,DATA_ASSET_CLASSIFICATION!$AA$8:$AA$13,0)),"Review"))</f>
        <v>Bucket 2 · Legacy</v>
      </c>
      <c r="P3353" s="350" t="str">
        <f>IF($B3353="Portfolio","Portfolio",IFERROR(INDEX(DATA_ASSET_CLASSIFICATION!$C$8:$C$24,MATCH($C3353,DATA_ASSET_CLASSIFICATION!$A$8:$A$24,0)),"Review"))</f>
        <v>Yes</v>
      </c>
      <c r="Q3353" s="350" t="str">
        <f t="shared" ca="1" si="105"/>
        <v>OK</v>
      </c>
    </row>
    <row r="3354" spans="1:17">
      <c r="A3354" s="366" t="s">
        <v>5310</v>
      </c>
      <c r="B3354" s="366" t="s">
        <v>231</v>
      </c>
      <c r="C3354" s="348" t="str">
        <f>DATA_PROPERTY_MASTER!$A$15</f>
        <v>BLD_NT</v>
      </c>
      <c r="D3354" s="380">
        <f>'00_PORTFOLIO ROLLUP'!O$12</f>
        <v>2035</v>
      </c>
      <c r="E3354" s="366" t="s">
        <v>1683</v>
      </c>
      <c r="F3354" s="366" t="s">
        <v>341</v>
      </c>
      <c r="G3354" s="348" t="str">
        <f>"'"&amp;$C3354&amp;"'!$E$24:$Y$24"</f>
        <v>'BLD_NT'!$E$24:$Y$24</v>
      </c>
      <c r="H3354" s="381">
        <f ca="1">IF(IFERROR(INDEX(DATA_PROPERTY_MASTER!$E$5:$E$21,MATCH($C3354,DATA_PROPERTY_MASTER!$A$5:$A$21,0))="Yes",FALSE),IFERROR(INDEX(INDIRECT("'"&amp;$C3354&amp;"'!$E$24:$Y$24"),1,MATCH($D3354,INDIRECT("'"&amp;$C3354&amp;"'!$E$12:$Y$12"),0)),0),0)</f>
        <v>882542.9882772729</v>
      </c>
      <c r="I3354" s="366" t="s">
        <v>1685</v>
      </c>
      <c r="J3354" s="348" t="str">
        <f t="shared" ca="1" si="104"/>
        <v>OK</v>
      </c>
      <c r="K3354" s="366" t="s">
        <v>1686</v>
      </c>
      <c r="L3354" s="366" t="s">
        <v>2234</v>
      </c>
      <c r="M3354" s="350" t="str">
        <f>IF($B3354="Portfolio","Portfolio",IFERROR(INDEX(DATA_ASSET_CLASSIFICATION!$B$8:$B$24,MATCH($C3354,DATA_ASSET_CLASSIFICATION!$A$8:$A$24,0)),"Review"))</f>
        <v>Natalia Terrace</v>
      </c>
      <c r="N3354" s="350" t="str">
        <f ca="1">IF($B3354="Portfolio","Portfolio",IFERROR(INDEX(DATA_ASSET_CLASSIFICATION!$U$8:$U$24,MATCH($C3354,DATA_ASSET_CLASSIFICATION!$A$8:$A$24,0)),"Review"))</f>
        <v>Refi Watch</v>
      </c>
      <c r="O3354" s="350" t="str">
        <f ca="1">IF($B3354="Portfolio","Portfolio",IFERROR(INDEX(DATA_ASSET_CLASSIFICATION!$AB$8:$AB$13,MATCH($N3354,DATA_ASSET_CLASSIFICATION!$AA$8:$AA$13,0)),"Review"))</f>
        <v>Bucket 2 · Legacy</v>
      </c>
      <c r="P3354" s="350" t="str">
        <f>IF($B3354="Portfolio","Portfolio",IFERROR(INDEX(DATA_ASSET_CLASSIFICATION!$C$8:$C$24,MATCH($C3354,DATA_ASSET_CLASSIFICATION!$A$8:$A$24,0)),"Review"))</f>
        <v>Yes</v>
      </c>
      <c r="Q3354" s="350" t="str">
        <f t="shared" ca="1" si="105"/>
        <v>OK</v>
      </c>
    </row>
    <row r="3355" spans="1:17">
      <c r="A3355" s="366" t="s">
        <v>5311</v>
      </c>
      <c r="B3355" s="366" t="s">
        <v>231</v>
      </c>
      <c r="C3355" s="348" t="str">
        <f>DATA_PROPERTY_MASTER!$A$15</f>
        <v>BLD_NT</v>
      </c>
      <c r="D3355" s="380">
        <f>'00_PORTFOLIO ROLLUP'!O$12</f>
        <v>2035</v>
      </c>
      <c r="E3355" s="366" t="s">
        <v>1683</v>
      </c>
      <c r="F3355" s="366" t="s">
        <v>355</v>
      </c>
      <c r="G3355" s="348" t="str">
        <f>"'"&amp;$C3355&amp;"'!$E$39:$Y$39"</f>
        <v>'BLD_NT'!$E$39:$Y$39</v>
      </c>
      <c r="H3355" s="381">
        <f ca="1">IF(IFERROR(INDEX(DATA_PROPERTY_MASTER!$E$5:$E$21,MATCH($C3355,DATA_PROPERTY_MASTER!$A$5:$A$21,0))="Yes",FALSE),IFERROR(INDEX(INDIRECT("'"&amp;$C3355&amp;"'!$E$39:$Y$39"),1,MATCH($D3355,INDIRECT("'"&amp;$C3355&amp;"'!$E$12:$Y$12"),0)),0),0)</f>
        <v>421521.33680122864</v>
      </c>
      <c r="I3355" s="366" t="s">
        <v>1690</v>
      </c>
      <c r="J3355" s="348" t="str">
        <f t="shared" ca="1" si="104"/>
        <v>OK</v>
      </c>
      <c r="K3355" s="366" t="s">
        <v>1686</v>
      </c>
      <c r="L3355" s="366" t="s">
        <v>2236</v>
      </c>
      <c r="M3355" s="350" t="str">
        <f>IF($B3355="Portfolio","Portfolio",IFERROR(INDEX(DATA_ASSET_CLASSIFICATION!$B$8:$B$24,MATCH($C3355,DATA_ASSET_CLASSIFICATION!$A$8:$A$24,0)),"Review"))</f>
        <v>Natalia Terrace</v>
      </c>
      <c r="N3355" s="350" t="str">
        <f ca="1">IF($B3355="Portfolio","Portfolio",IFERROR(INDEX(DATA_ASSET_CLASSIFICATION!$U$8:$U$24,MATCH($C3355,DATA_ASSET_CLASSIFICATION!$A$8:$A$24,0)),"Review"))</f>
        <v>Refi Watch</v>
      </c>
      <c r="O3355" s="350" t="str">
        <f ca="1">IF($B3355="Portfolio","Portfolio",IFERROR(INDEX(DATA_ASSET_CLASSIFICATION!$AB$8:$AB$13,MATCH($N3355,DATA_ASSET_CLASSIFICATION!$AA$8:$AA$13,0)),"Review"))</f>
        <v>Bucket 2 · Legacy</v>
      </c>
      <c r="P3355" s="350" t="str">
        <f>IF($B3355="Portfolio","Portfolio",IFERROR(INDEX(DATA_ASSET_CLASSIFICATION!$C$8:$C$24,MATCH($C3355,DATA_ASSET_CLASSIFICATION!$A$8:$A$24,0)),"Review"))</f>
        <v>Yes</v>
      </c>
      <c r="Q3355" s="350" t="str">
        <f t="shared" ca="1" si="105"/>
        <v>OK</v>
      </c>
    </row>
    <row r="3356" spans="1:17">
      <c r="A3356" s="366" t="s">
        <v>5312</v>
      </c>
      <c r="B3356" s="366" t="s">
        <v>231</v>
      </c>
      <c r="C3356" s="348" t="str">
        <f>DATA_PROPERTY_MASTER!$A$15</f>
        <v>BLD_NT</v>
      </c>
      <c r="D3356" s="380">
        <f>'00_PORTFOLIO ROLLUP'!O$12</f>
        <v>2035</v>
      </c>
      <c r="E3356" s="366" t="s">
        <v>1683</v>
      </c>
      <c r="F3356" s="366" t="s">
        <v>19</v>
      </c>
      <c r="G3356" s="348" t="str">
        <f>"'"&amp;$C3356&amp;"'!$E$41:$Y$41"</f>
        <v>'BLD_NT'!$E$41:$Y$41</v>
      </c>
      <c r="H3356" s="381">
        <f ca="1">IF(IFERROR(INDEX(DATA_PROPERTY_MASTER!$E$5:$E$21,MATCH($C3356,DATA_PROPERTY_MASTER!$A$5:$A$21,0))="Yes",FALSE),IFERROR(INDEX(INDIRECT("'"&amp;$C3356&amp;"'!$E$41:$Y$41"),1,MATCH($D3356,INDIRECT("'"&amp;$C3356&amp;"'!$E$12:$Y$12"),0)),0),0)</f>
        <v>461021.65147604427</v>
      </c>
      <c r="I3356" s="366" t="s">
        <v>1685</v>
      </c>
      <c r="J3356" s="348" t="str">
        <f t="shared" ca="1" si="104"/>
        <v>OK</v>
      </c>
      <c r="K3356" s="366" t="s">
        <v>1694</v>
      </c>
      <c r="L3356" s="366" t="s">
        <v>2238</v>
      </c>
      <c r="M3356" s="350" t="str">
        <f>IF($B3356="Portfolio","Portfolio",IFERROR(INDEX(DATA_ASSET_CLASSIFICATION!$B$8:$B$24,MATCH($C3356,DATA_ASSET_CLASSIFICATION!$A$8:$A$24,0)),"Review"))</f>
        <v>Natalia Terrace</v>
      </c>
      <c r="N3356" s="350" t="str">
        <f ca="1">IF($B3356="Portfolio","Portfolio",IFERROR(INDEX(DATA_ASSET_CLASSIFICATION!$U$8:$U$24,MATCH($C3356,DATA_ASSET_CLASSIFICATION!$A$8:$A$24,0)),"Review"))</f>
        <v>Refi Watch</v>
      </c>
      <c r="O3356" s="350" t="str">
        <f ca="1">IF($B3356="Portfolio","Portfolio",IFERROR(INDEX(DATA_ASSET_CLASSIFICATION!$AB$8:$AB$13,MATCH($N3356,DATA_ASSET_CLASSIFICATION!$AA$8:$AA$13,0)),"Review"))</f>
        <v>Bucket 2 · Legacy</v>
      </c>
      <c r="P3356" s="350" t="str">
        <f>IF($B3356="Portfolio","Portfolio",IFERROR(INDEX(DATA_ASSET_CLASSIFICATION!$C$8:$C$24,MATCH($C3356,DATA_ASSET_CLASSIFICATION!$A$8:$A$24,0)),"Review"))</f>
        <v>Yes</v>
      </c>
      <c r="Q3356" s="350" t="str">
        <f t="shared" ca="1" si="105"/>
        <v>OK</v>
      </c>
    </row>
    <row r="3357" spans="1:17">
      <c r="A3357" s="366" t="s">
        <v>5313</v>
      </c>
      <c r="B3357" s="366" t="s">
        <v>231</v>
      </c>
      <c r="C3357" s="348" t="str">
        <f>DATA_PROPERTY_MASTER!$A$15</f>
        <v>BLD_NT</v>
      </c>
      <c r="D3357" s="380">
        <f>'00_PORTFOLIO ROLLUP'!O$12</f>
        <v>2035</v>
      </c>
      <c r="E3357" s="366" t="s">
        <v>1683</v>
      </c>
      <c r="F3357" s="366" t="s">
        <v>1697</v>
      </c>
      <c r="G3357" s="348" t="str">
        <f>"'"&amp;$C3357&amp;"'!$E$44:$Y$44"</f>
        <v>'BLD_NT'!$E$44:$Y$44</v>
      </c>
      <c r="H3357" s="381">
        <f ca="1">IF(IFERROR(INDEX(DATA_PROPERTY_MASTER!$E$5:$E$21,MATCH($C3357,DATA_PROPERTY_MASTER!$A$5:$A$21,0))="Yes",FALSE),IFERROR(INDEX(INDIRECT("'"&amp;$C3357&amp;"'!$E$44:$Y$44"),1,MATCH($D3357,INDIRECT("'"&amp;$C3357&amp;"'!$E$12:$Y$12"),0)),0),0)</f>
        <v>7313.9665199685423</v>
      </c>
      <c r="I3357" s="366" t="s">
        <v>1690</v>
      </c>
      <c r="J3357" s="348" t="str">
        <f t="shared" ca="1" si="104"/>
        <v>OK</v>
      </c>
      <c r="K3357" s="366" t="s">
        <v>1699</v>
      </c>
      <c r="L3357" s="366" t="s">
        <v>2240</v>
      </c>
      <c r="M3357" s="350" t="str">
        <f>IF($B3357="Portfolio","Portfolio",IFERROR(INDEX(DATA_ASSET_CLASSIFICATION!$B$8:$B$24,MATCH($C3357,DATA_ASSET_CLASSIFICATION!$A$8:$A$24,0)),"Review"))</f>
        <v>Natalia Terrace</v>
      </c>
      <c r="N3357" s="350" t="str">
        <f ca="1">IF($B3357="Portfolio","Portfolio",IFERROR(INDEX(DATA_ASSET_CLASSIFICATION!$U$8:$U$24,MATCH($C3357,DATA_ASSET_CLASSIFICATION!$A$8:$A$24,0)),"Review"))</f>
        <v>Refi Watch</v>
      </c>
      <c r="O3357" s="350" t="str">
        <f ca="1">IF($B3357="Portfolio","Portfolio",IFERROR(INDEX(DATA_ASSET_CLASSIFICATION!$AB$8:$AB$13,MATCH($N3357,DATA_ASSET_CLASSIFICATION!$AA$8:$AA$13,0)),"Review"))</f>
        <v>Bucket 2 · Legacy</v>
      </c>
      <c r="P3357" s="350" t="str">
        <f>IF($B3357="Portfolio","Portfolio",IFERROR(INDEX(DATA_ASSET_CLASSIFICATION!$C$8:$C$24,MATCH($C3357,DATA_ASSET_CLASSIFICATION!$A$8:$A$24,0)),"Review"))</f>
        <v>Yes</v>
      </c>
      <c r="Q3357" s="350" t="str">
        <f t="shared" ca="1" si="105"/>
        <v>OK</v>
      </c>
    </row>
    <row r="3358" spans="1:17">
      <c r="A3358" s="366" t="s">
        <v>5314</v>
      </c>
      <c r="B3358" s="366" t="s">
        <v>231</v>
      </c>
      <c r="C3358" s="348" t="str">
        <f>DATA_PROPERTY_MASTER!$A$15</f>
        <v>BLD_NT</v>
      </c>
      <c r="D3358" s="380">
        <f>'00_PORTFOLIO ROLLUP'!O$12</f>
        <v>2035</v>
      </c>
      <c r="E3358" s="366" t="s">
        <v>1683</v>
      </c>
      <c r="F3358" s="366" t="s">
        <v>21</v>
      </c>
      <c r="G3358" s="348" t="str">
        <f>"'"&amp;$C3358&amp;"'!$E$45:$Y$45"</f>
        <v>'BLD_NT'!$E$45:$Y$45</v>
      </c>
      <c r="H3358" s="381">
        <f ca="1">IF(IFERROR(INDEX(DATA_PROPERTY_MASTER!$E$5:$E$21,MATCH($C3358,DATA_PROPERTY_MASTER!$A$5:$A$21,0))="Yes",FALSE),IFERROR(INDEX(INDIRECT("'"&amp;$C3358&amp;"'!$E$45:$Y$45"),1,MATCH($D3358,INDIRECT("'"&amp;$C3358&amp;"'!$E$12:$Y$12"),0)),0),0)</f>
        <v>453707.68495607574</v>
      </c>
      <c r="I3358" s="366" t="s">
        <v>1685</v>
      </c>
      <c r="J3358" s="348" t="str">
        <f t="shared" ca="1" si="104"/>
        <v>OK</v>
      </c>
      <c r="K3358" s="366" t="s">
        <v>1694</v>
      </c>
      <c r="L3358" s="366" t="s">
        <v>2242</v>
      </c>
      <c r="M3358" s="350" t="str">
        <f>IF($B3358="Portfolio","Portfolio",IFERROR(INDEX(DATA_ASSET_CLASSIFICATION!$B$8:$B$24,MATCH($C3358,DATA_ASSET_CLASSIFICATION!$A$8:$A$24,0)),"Review"))</f>
        <v>Natalia Terrace</v>
      </c>
      <c r="N3358" s="350" t="str">
        <f ca="1">IF($B3358="Portfolio","Portfolio",IFERROR(INDEX(DATA_ASSET_CLASSIFICATION!$U$8:$U$24,MATCH($C3358,DATA_ASSET_CLASSIFICATION!$A$8:$A$24,0)),"Review"))</f>
        <v>Refi Watch</v>
      </c>
      <c r="O3358" s="350" t="str">
        <f ca="1">IF($B3358="Portfolio","Portfolio",IFERROR(INDEX(DATA_ASSET_CLASSIFICATION!$AB$8:$AB$13,MATCH($N3358,DATA_ASSET_CLASSIFICATION!$AA$8:$AA$13,0)),"Review"))</f>
        <v>Bucket 2 · Legacy</v>
      </c>
      <c r="P3358" s="350" t="str">
        <f>IF($B3358="Portfolio","Portfolio",IFERROR(INDEX(DATA_ASSET_CLASSIFICATION!$C$8:$C$24,MATCH($C3358,DATA_ASSET_CLASSIFICATION!$A$8:$A$24,0)),"Review"))</f>
        <v>Yes</v>
      </c>
      <c r="Q3358" s="350" t="str">
        <f t="shared" ca="1" si="105"/>
        <v>OK</v>
      </c>
    </row>
    <row r="3359" spans="1:17">
      <c r="A3359" s="366" t="s">
        <v>5315</v>
      </c>
      <c r="B3359" s="366" t="s">
        <v>231</v>
      </c>
      <c r="C3359" s="348" t="str">
        <f>DATA_PROPERTY_MASTER!$A$15</f>
        <v>BLD_NT</v>
      </c>
      <c r="D3359" s="380">
        <f>'00_PORTFOLIO ROLLUP'!O$12</f>
        <v>2035</v>
      </c>
      <c r="E3359" s="366" t="s">
        <v>23</v>
      </c>
      <c r="F3359" s="366" t="s">
        <v>23</v>
      </c>
      <c r="G3359" s="348" t="str">
        <f>"'"&amp;$C3359&amp;"'!$E$48:$Y$48"</f>
        <v>'BLD_NT'!$E$48:$Y$48</v>
      </c>
      <c r="H3359" s="381">
        <f ca="1">IF(IFERROR(INDEX(DATA_PROPERTY_MASTER!$E$5:$E$21,MATCH($C3359,DATA_PROPERTY_MASTER!$A$5:$A$21,0))="Yes",FALSE),IFERROR(INDEX(INDIRECT("'"&amp;$C3359&amp;"'!$E$48:$Y$48"),1,MATCH($D3359,INDIRECT("'"&amp;$C3359&amp;"'!$E$12:$Y$12"),0)),0),0)</f>
        <v>0</v>
      </c>
      <c r="I3359" s="366" t="s">
        <v>1690</v>
      </c>
      <c r="J3359" s="348" t="str">
        <f t="shared" ca="1" si="104"/>
        <v>OK</v>
      </c>
      <c r="K3359" s="366" t="s">
        <v>1706</v>
      </c>
      <c r="L3359" s="366" t="s">
        <v>2244</v>
      </c>
      <c r="M3359" s="350" t="str">
        <f>IF($B3359="Portfolio","Portfolio",IFERROR(INDEX(DATA_ASSET_CLASSIFICATION!$B$8:$B$24,MATCH($C3359,DATA_ASSET_CLASSIFICATION!$A$8:$A$24,0)),"Review"))</f>
        <v>Natalia Terrace</v>
      </c>
      <c r="N3359" s="350" t="str">
        <f ca="1">IF($B3359="Portfolio","Portfolio",IFERROR(INDEX(DATA_ASSET_CLASSIFICATION!$U$8:$U$24,MATCH($C3359,DATA_ASSET_CLASSIFICATION!$A$8:$A$24,0)),"Review"))</f>
        <v>Refi Watch</v>
      </c>
      <c r="O3359" s="350" t="str">
        <f ca="1">IF($B3359="Portfolio","Portfolio",IFERROR(INDEX(DATA_ASSET_CLASSIFICATION!$AB$8:$AB$13,MATCH($N3359,DATA_ASSET_CLASSIFICATION!$AA$8:$AA$13,0)),"Review"))</f>
        <v>Bucket 2 · Legacy</v>
      </c>
      <c r="P3359" s="350" t="str">
        <f>IF($B3359="Portfolio","Portfolio",IFERROR(INDEX(DATA_ASSET_CLASSIFICATION!$C$8:$C$24,MATCH($C3359,DATA_ASSET_CLASSIFICATION!$A$8:$A$24,0)),"Review"))</f>
        <v>Yes</v>
      </c>
      <c r="Q3359" s="350" t="str">
        <f t="shared" ca="1" si="105"/>
        <v>OK</v>
      </c>
    </row>
    <row r="3360" spans="1:17">
      <c r="A3360" s="366" t="s">
        <v>5316</v>
      </c>
      <c r="B3360" s="366" t="s">
        <v>231</v>
      </c>
      <c r="C3360" s="348" t="str">
        <f>DATA_PROPERTY_MASTER!$A$15</f>
        <v>BLD_NT</v>
      </c>
      <c r="D3360" s="380">
        <f>'00_PORTFOLIO ROLLUP'!O$12</f>
        <v>2035</v>
      </c>
      <c r="E3360" s="366" t="s">
        <v>1683</v>
      </c>
      <c r="F3360" s="366" t="s">
        <v>25</v>
      </c>
      <c r="G3360" s="348" t="str">
        <f>"'"&amp;$C3360&amp;"'!$E$52:$Y$52"</f>
        <v>'BLD_NT'!$E$52:$Y$52</v>
      </c>
      <c r="H3360" s="381">
        <f ca="1">IF(IFERROR(INDEX(DATA_PROPERTY_MASTER!$E$5:$E$21,MATCH($C3360,DATA_PROPERTY_MASTER!$A$5:$A$21,0))="Yes",FALSE),IFERROR(INDEX(INDIRECT("'"&amp;$C3360&amp;"'!$E$52:$Y$52"),1,MATCH($D3360,INDIRECT("'"&amp;$C3360&amp;"'!$E$12:$Y$12"),0)),0),0)</f>
        <v>461021.65147604427</v>
      </c>
      <c r="I3360" s="366" t="s">
        <v>1685</v>
      </c>
      <c r="J3360" s="348" t="str">
        <f t="shared" ca="1" si="104"/>
        <v>OK</v>
      </c>
      <c r="K3360" s="366" t="s">
        <v>1710</v>
      </c>
      <c r="L3360" s="366" t="s">
        <v>2246</v>
      </c>
      <c r="M3360" s="350" t="str">
        <f>IF($B3360="Portfolio","Portfolio",IFERROR(INDEX(DATA_ASSET_CLASSIFICATION!$B$8:$B$24,MATCH($C3360,DATA_ASSET_CLASSIFICATION!$A$8:$A$24,0)),"Review"))</f>
        <v>Natalia Terrace</v>
      </c>
      <c r="N3360" s="350" t="str">
        <f ca="1">IF($B3360="Portfolio","Portfolio",IFERROR(INDEX(DATA_ASSET_CLASSIFICATION!$U$8:$U$24,MATCH($C3360,DATA_ASSET_CLASSIFICATION!$A$8:$A$24,0)),"Review"))</f>
        <v>Refi Watch</v>
      </c>
      <c r="O3360" s="350" t="str">
        <f ca="1">IF($B3360="Portfolio","Portfolio",IFERROR(INDEX(DATA_ASSET_CLASSIFICATION!$AB$8:$AB$13,MATCH($N3360,DATA_ASSET_CLASSIFICATION!$AA$8:$AA$13,0)),"Review"))</f>
        <v>Bucket 2 · Legacy</v>
      </c>
      <c r="P3360" s="350" t="str">
        <f>IF($B3360="Portfolio","Portfolio",IFERROR(INDEX(DATA_ASSET_CLASSIFICATION!$C$8:$C$24,MATCH($C3360,DATA_ASSET_CLASSIFICATION!$A$8:$A$24,0)),"Review"))</f>
        <v>Yes</v>
      </c>
      <c r="Q3360" s="350" t="str">
        <f t="shared" ca="1" si="105"/>
        <v>OK</v>
      </c>
    </row>
    <row r="3361" spans="1:17">
      <c r="A3361" s="366" t="s">
        <v>5317</v>
      </c>
      <c r="B3361" s="366" t="s">
        <v>231</v>
      </c>
      <c r="C3361" s="348" t="str">
        <f>DATA_PROPERTY_MASTER!$A$15</f>
        <v>BLD_NT</v>
      </c>
      <c r="D3361" s="380">
        <f>'00_PORTFOLIO ROLLUP'!O$12</f>
        <v>2035</v>
      </c>
      <c r="E3361" s="366" t="s">
        <v>1683</v>
      </c>
      <c r="F3361" s="366" t="s">
        <v>27</v>
      </c>
      <c r="G3361" s="348" t="str">
        <f>"'"&amp;$C3361&amp;"'!$E$54:$Y$54"</f>
        <v>'BLD_NT'!$E$54:$Y$54</v>
      </c>
      <c r="H3361" s="381">
        <f ca="1">IF(IFERROR(INDEX(DATA_PROPERTY_MASTER!$E$5:$E$21,MATCH($C3361,DATA_PROPERTY_MASTER!$A$5:$A$21,0))="Yes",FALSE),IFERROR(INDEX(INDIRECT("'"&amp;$C3361&amp;"'!$E$54:$Y$54"),1,MATCH($D3361,INDIRECT("'"&amp;$C3361&amp;"'!$E$12:$Y$12"),0)),0),0)</f>
        <v>276612.99088562652</v>
      </c>
      <c r="I3361" s="366" t="s">
        <v>1690</v>
      </c>
      <c r="J3361" s="348" t="str">
        <f t="shared" ca="1" si="104"/>
        <v>OK</v>
      </c>
      <c r="K3361" s="366" t="s">
        <v>1714</v>
      </c>
      <c r="L3361" s="366" t="s">
        <v>2248</v>
      </c>
      <c r="M3361" s="350" t="str">
        <f>IF($B3361="Portfolio","Portfolio",IFERROR(INDEX(DATA_ASSET_CLASSIFICATION!$B$8:$B$24,MATCH($C3361,DATA_ASSET_CLASSIFICATION!$A$8:$A$24,0)),"Review"))</f>
        <v>Natalia Terrace</v>
      </c>
      <c r="N3361" s="350" t="str">
        <f ca="1">IF($B3361="Portfolio","Portfolio",IFERROR(INDEX(DATA_ASSET_CLASSIFICATION!$U$8:$U$24,MATCH($C3361,DATA_ASSET_CLASSIFICATION!$A$8:$A$24,0)),"Review"))</f>
        <v>Refi Watch</v>
      </c>
      <c r="O3361" s="350" t="str">
        <f ca="1">IF($B3361="Portfolio","Portfolio",IFERROR(INDEX(DATA_ASSET_CLASSIFICATION!$AB$8:$AB$13,MATCH($N3361,DATA_ASSET_CLASSIFICATION!$AA$8:$AA$13,0)),"Review"))</f>
        <v>Bucket 2 · Legacy</v>
      </c>
      <c r="P3361" s="350" t="str">
        <f>IF($B3361="Portfolio","Portfolio",IFERROR(INDEX(DATA_ASSET_CLASSIFICATION!$C$8:$C$24,MATCH($C3361,DATA_ASSET_CLASSIFICATION!$A$8:$A$24,0)),"Review"))</f>
        <v>Yes</v>
      </c>
      <c r="Q3361" s="350" t="str">
        <f t="shared" ca="1" si="105"/>
        <v>OK</v>
      </c>
    </row>
    <row r="3362" spans="1:17">
      <c r="A3362" s="366" t="s">
        <v>5318</v>
      </c>
      <c r="B3362" s="366" t="s">
        <v>231</v>
      </c>
      <c r="C3362" s="348" t="str">
        <f>DATA_PROPERTY_MASTER!$A$15</f>
        <v>BLD_NT</v>
      </c>
      <c r="D3362" s="380">
        <f>'00_PORTFOLIO ROLLUP'!O$12</f>
        <v>2035</v>
      </c>
      <c r="E3362" s="366" t="s">
        <v>1683</v>
      </c>
      <c r="F3362" s="366" t="s">
        <v>29</v>
      </c>
      <c r="G3362" s="348" t="str">
        <f>"'"&amp;$C3362&amp;"'!$E$56:$Y$56"</f>
        <v>'BLD_NT'!$E$56:$Y$56</v>
      </c>
      <c r="H3362" s="381">
        <f ca="1">IF(IFERROR(INDEX(DATA_PROPERTY_MASTER!$E$5:$E$21,MATCH($C3362,DATA_PROPERTY_MASTER!$A$5:$A$21,0))="Yes",FALSE),IFERROR(INDEX(INDIRECT("'"&amp;$C3362&amp;"'!$E$56:$Y$56"),1,MATCH($D3362,INDIRECT("'"&amp;$C3362&amp;"'!$E$12:$Y$12"),0)),0),0)</f>
        <v>184408.66059041774</v>
      </c>
      <c r="I3362" s="366" t="s">
        <v>1685</v>
      </c>
      <c r="J3362" s="348" t="str">
        <f t="shared" ca="1" si="104"/>
        <v>OK</v>
      </c>
      <c r="K3362" s="366" t="s">
        <v>1718</v>
      </c>
      <c r="L3362" s="366" t="s">
        <v>2250</v>
      </c>
      <c r="M3362" s="350" t="str">
        <f>IF($B3362="Portfolio","Portfolio",IFERROR(INDEX(DATA_ASSET_CLASSIFICATION!$B$8:$B$24,MATCH($C3362,DATA_ASSET_CLASSIFICATION!$A$8:$A$24,0)),"Review"))</f>
        <v>Natalia Terrace</v>
      </c>
      <c r="N3362" s="350" t="str">
        <f ca="1">IF($B3362="Portfolio","Portfolio",IFERROR(INDEX(DATA_ASSET_CLASSIFICATION!$U$8:$U$24,MATCH($C3362,DATA_ASSET_CLASSIFICATION!$A$8:$A$24,0)),"Review"))</f>
        <v>Refi Watch</v>
      </c>
      <c r="O3362" s="350" t="str">
        <f ca="1">IF($B3362="Portfolio","Portfolio",IFERROR(INDEX(DATA_ASSET_CLASSIFICATION!$AB$8:$AB$13,MATCH($N3362,DATA_ASSET_CLASSIFICATION!$AA$8:$AA$13,0)),"Review"))</f>
        <v>Bucket 2 · Legacy</v>
      </c>
      <c r="P3362" s="350" t="str">
        <f>IF($B3362="Portfolio","Portfolio",IFERROR(INDEX(DATA_ASSET_CLASSIFICATION!$C$8:$C$24,MATCH($C3362,DATA_ASSET_CLASSIFICATION!$A$8:$A$24,0)),"Review"))</f>
        <v>Yes</v>
      </c>
      <c r="Q3362" s="350" t="str">
        <f t="shared" ca="1" si="105"/>
        <v>OK</v>
      </c>
    </row>
    <row r="3363" spans="1:17">
      <c r="A3363" s="366" t="s">
        <v>5319</v>
      </c>
      <c r="B3363" s="366" t="s">
        <v>231</v>
      </c>
      <c r="C3363" s="348" t="str">
        <f>DATA_PROPERTY_MASTER!$A$15</f>
        <v>BLD_NT</v>
      </c>
      <c r="D3363" s="380">
        <f>'00_PORTFOLIO ROLLUP'!O$12</f>
        <v>2035</v>
      </c>
      <c r="E3363" s="366" t="s">
        <v>1721</v>
      </c>
      <c r="F3363" s="366" t="s">
        <v>31</v>
      </c>
      <c r="G3363" s="348" t="str">
        <f>"'"&amp;$C3363&amp;"'!$E$61:$Y$61"</f>
        <v>'BLD_NT'!$E$61:$Y$61</v>
      </c>
      <c r="H3363" s="381">
        <f ca="1">IF(IFERROR(INDEX(DATA_PROPERTY_MASTER!$E$5:$E$21,MATCH($C3363,DATA_PROPERTY_MASTER!$A$5:$A$21,0))="Yes",FALSE),IFERROR(INDEX(INDIRECT("'"&amp;$C3363&amp;"'!$E$61:$Y$61"),1,MATCH($D3363,INDIRECT("'"&amp;$C3363&amp;"'!$E$12:$Y$12"),0)),0),0)</f>
        <v>0</v>
      </c>
      <c r="I3363" s="366" t="s">
        <v>1690</v>
      </c>
      <c r="J3363" s="348" t="str">
        <f t="shared" ca="1" si="104"/>
        <v>OK</v>
      </c>
      <c r="K3363" s="366" t="s">
        <v>1723</v>
      </c>
      <c r="L3363" s="366" t="s">
        <v>2252</v>
      </c>
      <c r="M3363" s="350" t="str">
        <f>IF($B3363="Portfolio","Portfolio",IFERROR(INDEX(DATA_ASSET_CLASSIFICATION!$B$8:$B$24,MATCH($C3363,DATA_ASSET_CLASSIFICATION!$A$8:$A$24,0)),"Review"))</f>
        <v>Natalia Terrace</v>
      </c>
      <c r="N3363" s="350" t="str">
        <f ca="1">IF($B3363="Portfolio","Portfolio",IFERROR(INDEX(DATA_ASSET_CLASSIFICATION!$U$8:$U$24,MATCH($C3363,DATA_ASSET_CLASSIFICATION!$A$8:$A$24,0)),"Review"))</f>
        <v>Refi Watch</v>
      </c>
      <c r="O3363" s="350" t="str">
        <f ca="1">IF($B3363="Portfolio","Portfolio",IFERROR(INDEX(DATA_ASSET_CLASSIFICATION!$AB$8:$AB$13,MATCH($N3363,DATA_ASSET_CLASSIFICATION!$AA$8:$AA$13,0)),"Review"))</f>
        <v>Bucket 2 · Legacy</v>
      </c>
      <c r="P3363" s="350" t="str">
        <f>IF($B3363="Portfolio","Portfolio",IFERROR(INDEX(DATA_ASSET_CLASSIFICATION!$C$8:$C$24,MATCH($C3363,DATA_ASSET_CLASSIFICATION!$A$8:$A$24,0)),"Review"))</f>
        <v>Yes</v>
      </c>
      <c r="Q3363" s="350" t="str">
        <f t="shared" ca="1" si="105"/>
        <v>OK</v>
      </c>
    </row>
    <row r="3364" spans="1:17">
      <c r="A3364" s="366" t="s">
        <v>5320</v>
      </c>
      <c r="B3364" s="366" t="s">
        <v>231</v>
      </c>
      <c r="C3364" s="348" t="str">
        <f>DATA_PROPERTY_MASTER!$A$15</f>
        <v>BLD_NT</v>
      </c>
      <c r="D3364" s="380">
        <f>'00_PORTFOLIO ROLLUP'!O$12</f>
        <v>2035</v>
      </c>
      <c r="E3364" s="366" t="s">
        <v>1721</v>
      </c>
      <c r="F3364" s="366" t="s">
        <v>33</v>
      </c>
      <c r="G3364" s="348" t="str">
        <f>"'"&amp;$C3364&amp;"'!$E$62:$Y$62"</f>
        <v>'BLD_NT'!$E$62:$Y$62</v>
      </c>
      <c r="H3364" s="381">
        <f ca="1">IF(IFERROR(INDEX(DATA_PROPERTY_MASTER!$E$5:$E$21,MATCH($C3364,DATA_PROPERTY_MASTER!$A$5:$A$21,0))="Yes",FALSE),IFERROR(INDEX(INDIRECT("'"&amp;$C3364&amp;"'!$E$62:$Y$62"),1,MATCH($D3364,INDIRECT("'"&amp;$C3364&amp;"'!$E$12:$Y$12"),0)),0),0)</f>
        <v>0</v>
      </c>
      <c r="I3364" s="366" t="s">
        <v>1685</v>
      </c>
      <c r="J3364" s="348" t="str">
        <f t="shared" ca="1" si="104"/>
        <v>OK</v>
      </c>
      <c r="K3364" s="366" t="s">
        <v>1727</v>
      </c>
      <c r="L3364" s="366" t="s">
        <v>2254</v>
      </c>
      <c r="M3364" s="350" t="str">
        <f>IF($B3364="Portfolio","Portfolio",IFERROR(INDEX(DATA_ASSET_CLASSIFICATION!$B$8:$B$24,MATCH($C3364,DATA_ASSET_CLASSIFICATION!$A$8:$A$24,0)),"Review"))</f>
        <v>Natalia Terrace</v>
      </c>
      <c r="N3364" s="350" t="str">
        <f ca="1">IF($B3364="Portfolio","Portfolio",IFERROR(INDEX(DATA_ASSET_CLASSIFICATION!$U$8:$U$24,MATCH($C3364,DATA_ASSET_CLASSIFICATION!$A$8:$A$24,0)),"Review"))</f>
        <v>Refi Watch</v>
      </c>
      <c r="O3364" s="350" t="str">
        <f ca="1">IF($B3364="Portfolio","Portfolio",IFERROR(INDEX(DATA_ASSET_CLASSIFICATION!$AB$8:$AB$13,MATCH($N3364,DATA_ASSET_CLASSIFICATION!$AA$8:$AA$13,0)),"Review"))</f>
        <v>Bucket 2 · Legacy</v>
      </c>
      <c r="P3364" s="350" t="str">
        <f>IF($B3364="Portfolio","Portfolio",IFERROR(INDEX(DATA_ASSET_CLASSIFICATION!$C$8:$C$24,MATCH($C3364,DATA_ASSET_CLASSIFICATION!$A$8:$A$24,0)),"Review"))</f>
        <v>Yes</v>
      </c>
      <c r="Q3364" s="350" t="str">
        <f t="shared" ca="1" si="105"/>
        <v>OK</v>
      </c>
    </row>
    <row r="3365" spans="1:17">
      <c r="A3365" s="366" t="s">
        <v>5321</v>
      </c>
      <c r="B3365" s="366" t="s">
        <v>231</v>
      </c>
      <c r="C3365" s="348" t="str">
        <f>DATA_PROPERTY_MASTER!$A$15</f>
        <v>BLD_NT</v>
      </c>
      <c r="D3365" s="380">
        <f>'00_PORTFOLIO ROLLUP'!O$12</f>
        <v>2035</v>
      </c>
      <c r="E3365" s="366" t="s">
        <v>1721</v>
      </c>
      <c r="F3365" s="366" t="s">
        <v>35</v>
      </c>
      <c r="G3365" s="348" t="str">
        <f>"'"&amp;$C3365&amp;"'!$E$63:$Y$63"</f>
        <v>'BLD_NT'!$E$63:$Y$63</v>
      </c>
      <c r="H3365" s="381">
        <f ca="1">IF(IFERROR(INDEX(DATA_PROPERTY_MASTER!$E$5:$E$21,MATCH($C3365,DATA_PROPERTY_MASTER!$A$5:$A$21,0))="Yes",FALSE),IFERROR(INDEX(INDIRECT("'"&amp;$C3365&amp;"'!$E$63:$Y$63"),1,MATCH($D3365,INDIRECT("'"&amp;$C3365&amp;"'!$E$12:$Y$12"),0)),0),0)</f>
        <v>0</v>
      </c>
      <c r="I3365" s="366" t="s">
        <v>1731</v>
      </c>
      <c r="J3365" s="348" t="str">
        <f t="shared" ca="1" si="104"/>
        <v>OK</v>
      </c>
      <c r="K3365" s="366" t="s">
        <v>1732</v>
      </c>
      <c r="L3365" s="366" t="s">
        <v>2256</v>
      </c>
      <c r="M3365" s="350" t="str">
        <f>IF($B3365="Portfolio","Portfolio",IFERROR(INDEX(DATA_ASSET_CLASSIFICATION!$B$8:$B$24,MATCH($C3365,DATA_ASSET_CLASSIFICATION!$A$8:$A$24,0)),"Review"))</f>
        <v>Natalia Terrace</v>
      </c>
      <c r="N3365" s="350" t="str">
        <f ca="1">IF($B3365="Portfolio","Portfolio",IFERROR(INDEX(DATA_ASSET_CLASSIFICATION!$U$8:$U$24,MATCH($C3365,DATA_ASSET_CLASSIFICATION!$A$8:$A$24,0)),"Review"))</f>
        <v>Refi Watch</v>
      </c>
      <c r="O3365" s="350" t="str">
        <f ca="1">IF($B3365="Portfolio","Portfolio",IFERROR(INDEX(DATA_ASSET_CLASSIFICATION!$AB$8:$AB$13,MATCH($N3365,DATA_ASSET_CLASSIFICATION!$AA$8:$AA$13,0)),"Review"))</f>
        <v>Bucket 2 · Legacy</v>
      </c>
      <c r="P3365" s="350" t="str">
        <f>IF($B3365="Portfolio","Portfolio",IFERROR(INDEX(DATA_ASSET_CLASSIFICATION!$C$8:$C$24,MATCH($C3365,DATA_ASSET_CLASSIFICATION!$A$8:$A$24,0)),"Review"))</f>
        <v>Yes</v>
      </c>
      <c r="Q3365" s="350" t="str">
        <f t="shared" ca="1" si="105"/>
        <v>OK</v>
      </c>
    </row>
    <row r="3366" spans="1:17">
      <c r="A3366" s="366" t="s">
        <v>5322</v>
      </c>
      <c r="B3366" s="366" t="s">
        <v>231</v>
      </c>
      <c r="C3366" s="348" t="str">
        <f>DATA_PROPERTY_MASTER!$A$15</f>
        <v>BLD_NT</v>
      </c>
      <c r="D3366" s="380">
        <f>'00_PORTFOLIO ROLLUP'!O$12</f>
        <v>2035</v>
      </c>
      <c r="E3366" s="366" t="s">
        <v>1721</v>
      </c>
      <c r="F3366" s="366" t="s">
        <v>37</v>
      </c>
      <c r="G3366" s="348" t="str">
        <f>"'"&amp;$C3366&amp;"'!$E$63:$Y$63"</f>
        <v>'BLD_NT'!$E$63:$Y$63</v>
      </c>
      <c r="H3366" s="381">
        <f ca="1">IF(IFERROR(INDEX(DATA_PROPERTY_MASTER!$E$5:$E$21,MATCH($C3366,DATA_PROPERTY_MASTER!$A$5:$A$21,0))="Yes",FALSE),MAX(IFERROR(INDEX(INDIRECT("'"&amp;$C3366&amp;"'!$E$63:$Y$63"),1,MATCH($D3366,INDIRECT("'"&amp;$C3366&amp;"'!$E$12:$Y$12"),0)),0),0),0)</f>
        <v>0</v>
      </c>
      <c r="I3366" s="366" t="s">
        <v>1685</v>
      </c>
      <c r="J3366" s="348" t="str">
        <f t="shared" ca="1" si="104"/>
        <v>OK</v>
      </c>
      <c r="K3366" s="366" t="s">
        <v>1735</v>
      </c>
      <c r="L3366" s="366" t="s">
        <v>2258</v>
      </c>
      <c r="M3366" s="350" t="str">
        <f>IF($B3366="Portfolio","Portfolio",IFERROR(INDEX(DATA_ASSET_CLASSIFICATION!$B$8:$B$24,MATCH($C3366,DATA_ASSET_CLASSIFICATION!$A$8:$A$24,0)),"Review"))</f>
        <v>Natalia Terrace</v>
      </c>
      <c r="N3366" s="350" t="str">
        <f ca="1">IF($B3366="Portfolio","Portfolio",IFERROR(INDEX(DATA_ASSET_CLASSIFICATION!$U$8:$U$24,MATCH($C3366,DATA_ASSET_CLASSIFICATION!$A$8:$A$24,0)),"Review"))</f>
        <v>Refi Watch</v>
      </c>
      <c r="O3366" s="350" t="str">
        <f ca="1">IF($B3366="Portfolio","Portfolio",IFERROR(INDEX(DATA_ASSET_CLASSIFICATION!$AB$8:$AB$13,MATCH($N3366,DATA_ASSET_CLASSIFICATION!$AA$8:$AA$13,0)),"Review"))</f>
        <v>Bucket 2 · Legacy</v>
      </c>
      <c r="P3366" s="350" t="str">
        <f>IF($B3366="Portfolio","Portfolio",IFERROR(INDEX(DATA_ASSET_CLASSIFICATION!$C$8:$C$24,MATCH($C3366,DATA_ASSET_CLASSIFICATION!$A$8:$A$24,0)),"Review"))</f>
        <v>Yes</v>
      </c>
      <c r="Q3366" s="350" t="str">
        <f t="shared" ca="1" si="105"/>
        <v>OK</v>
      </c>
    </row>
    <row r="3367" spans="1:17">
      <c r="A3367" s="366" t="s">
        <v>5323</v>
      </c>
      <c r="B3367" s="366" t="s">
        <v>231</v>
      </c>
      <c r="C3367" s="348" t="str">
        <f>DATA_PROPERTY_MASTER!$A$15</f>
        <v>BLD_NT</v>
      </c>
      <c r="D3367" s="380">
        <f>'00_PORTFOLIO ROLLUP'!O$12</f>
        <v>2035</v>
      </c>
      <c r="E3367" s="366" t="s">
        <v>1721</v>
      </c>
      <c r="F3367" s="366" t="s">
        <v>39</v>
      </c>
      <c r="G3367" s="348" t="str">
        <f>"'"&amp;$C3367&amp;"'!$E$63:$Y$63"</f>
        <v>'BLD_NT'!$E$63:$Y$63</v>
      </c>
      <c r="H3367" s="381">
        <f ca="1">IF(IFERROR(INDEX(DATA_PROPERTY_MASTER!$E$5:$E$21,MATCH($C3367,DATA_PROPERTY_MASTER!$A$5:$A$21,0))="Yes",FALSE),MAX(-IFERROR(INDEX(INDIRECT("'"&amp;$C3367&amp;"'!$E$63:$Y$63"),1,MATCH($D3367,INDIRECT("'"&amp;$C3367&amp;"'!$E$12:$Y$12"),0)),0),0),0)</f>
        <v>0</v>
      </c>
      <c r="I3367" s="366" t="s">
        <v>1690</v>
      </c>
      <c r="J3367" s="348" t="str">
        <f t="shared" ca="1" si="104"/>
        <v>OK</v>
      </c>
      <c r="K3367" s="366" t="s">
        <v>1738</v>
      </c>
      <c r="L3367" s="366" t="s">
        <v>2260</v>
      </c>
      <c r="M3367" s="350" t="str">
        <f>IF($B3367="Portfolio","Portfolio",IFERROR(INDEX(DATA_ASSET_CLASSIFICATION!$B$8:$B$24,MATCH($C3367,DATA_ASSET_CLASSIFICATION!$A$8:$A$24,0)),"Review"))</f>
        <v>Natalia Terrace</v>
      </c>
      <c r="N3367" s="350" t="str">
        <f ca="1">IF($B3367="Portfolio","Portfolio",IFERROR(INDEX(DATA_ASSET_CLASSIFICATION!$U$8:$U$24,MATCH($C3367,DATA_ASSET_CLASSIFICATION!$A$8:$A$24,0)),"Review"))</f>
        <v>Refi Watch</v>
      </c>
      <c r="O3367" s="350" t="str">
        <f ca="1">IF($B3367="Portfolio","Portfolio",IFERROR(INDEX(DATA_ASSET_CLASSIFICATION!$AB$8:$AB$13,MATCH($N3367,DATA_ASSET_CLASSIFICATION!$AA$8:$AA$13,0)),"Review"))</f>
        <v>Bucket 2 · Legacy</v>
      </c>
      <c r="P3367" s="350" t="str">
        <f>IF($B3367="Portfolio","Portfolio",IFERROR(INDEX(DATA_ASSET_CLASSIFICATION!$C$8:$C$24,MATCH($C3367,DATA_ASSET_CLASSIFICATION!$A$8:$A$24,0)),"Review"))</f>
        <v>Yes</v>
      </c>
      <c r="Q3367" s="350" t="str">
        <f t="shared" ca="1" si="105"/>
        <v>OK</v>
      </c>
    </row>
    <row r="3368" spans="1:17">
      <c r="A3368" s="366" t="s">
        <v>5324</v>
      </c>
      <c r="B3368" s="366" t="s">
        <v>231</v>
      </c>
      <c r="C3368" s="348" t="str">
        <f>DATA_PROPERTY_MASTER!$A$15</f>
        <v>BLD_NT</v>
      </c>
      <c r="D3368" s="380">
        <f>'00_PORTFOLIO ROLLUP'!O$12</f>
        <v>2035</v>
      </c>
      <c r="E3368" s="366" t="s">
        <v>1741</v>
      </c>
      <c r="F3368" s="366" t="s">
        <v>41</v>
      </c>
      <c r="G3368" s="348" t="str">
        <f>"'"&amp;$C3368&amp;"'!rows 56 + positive row 63"</f>
        <v>'BLD_NT'!rows 56 + positive row 63</v>
      </c>
      <c r="H3368" s="381">
        <f ca="1">IF(IFERROR(INDEX(DATA_PROPERTY_MASTER!$E$5:$E$21,MATCH($C3368,DATA_PROPERTY_MASTER!$A$5:$A$21,0))="Yes",FALSE),IFERROR(INDEX(INDIRECT("'"&amp;$C3368&amp;"'!$E$56:$Y$56"),1,MATCH($D3368,INDIRECT("'"&amp;$C3368&amp;"'!$E$12:$Y$12"),0)),0)+MAX(IFERROR(INDEX(INDIRECT("'"&amp;$C3368&amp;"'!$E$63:$Y$63"),1,MATCH($D3368,INDIRECT("'"&amp;$C3368&amp;"'!$E$12:$Y$12"),0)),0),0),0)</f>
        <v>184408.66059041774</v>
      </c>
      <c r="I3368" s="366" t="s">
        <v>1685</v>
      </c>
      <c r="J3368" s="348" t="str">
        <f t="shared" ca="1" si="104"/>
        <v>OK</v>
      </c>
      <c r="K3368" s="366" t="s">
        <v>1742</v>
      </c>
      <c r="L3368" s="366" t="s">
        <v>2262</v>
      </c>
      <c r="M3368" s="350" t="str">
        <f>IF($B3368="Portfolio","Portfolio",IFERROR(INDEX(DATA_ASSET_CLASSIFICATION!$B$8:$B$24,MATCH($C3368,DATA_ASSET_CLASSIFICATION!$A$8:$A$24,0)),"Review"))</f>
        <v>Natalia Terrace</v>
      </c>
      <c r="N3368" s="350" t="str">
        <f ca="1">IF($B3368="Portfolio","Portfolio",IFERROR(INDEX(DATA_ASSET_CLASSIFICATION!$U$8:$U$24,MATCH($C3368,DATA_ASSET_CLASSIFICATION!$A$8:$A$24,0)),"Review"))</f>
        <v>Refi Watch</v>
      </c>
      <c r="O3368" s="350" t="str">
        <f ca="1">IF($B3368="Portfolio","Portfolio",IFERROR(INDEX(DATA_ASSET_CLASSIFICATION!$AB$8:$AB$13,MATCH($N3368,DATA_ASSET_CLASSIFICATION!$AA$8:$AA$13,0)),"Review"))</f>
        <v>Bucket 2 · Legacy</v>
      </c>
      <c r="P3368" s="350" t="str">
        <f>IF($B3368="Portfolio","Portfolio",IFERROR(INDEX(DATA_ASSET_CLASSIFICATION!$C$8:$C$24,MATCH($C3368,DATA_ASSET_CLASSIFICATION!$A$8:$A$24,0)),"Review"))</f>
        <v>Yes</v>
      </c>
      <c r="Q3368" s="350" t="str">
        <f t="shared" ca="1" si="105"/>
        <v>OK</v>
      </c>
    </row>
    <row r="3369" spans="1:17">
      <c r="A3369" s="366" t="s">
        <v>5325</v>
      </c>
      <c r="B3369" s="366" t="s">
        <v>231</v>
      </c>
      <c r="C3369" s="348" t="str">
        <f>DATA_PROPERTY_MASTER!$A$15</f>
        <v>BLD_NT</v>
      </c>
      <c r="D3369" s="380">
        <f>'00_PORTFOLIO ROLLUP'!O$12</f>
        <v>2035</v>
      </c>
      <c r="E3369" s="366" t="s">
        <v>1741</v>
      </c>
      <c r="F3369" s="366" t="s">
        <v>43</v>
      </c>
      <c r="G3369" s="348" t="str">
        <f>"'"&amp;$C3369&amp;"'!$E$68:$Y$68"</f>
        <v>'BLD_NT'!$E$68:$Y$68</v>
      </c>
      <c r="H3369" s="381">
        <f ca="1">IF(IFERROR(INDEX(DATA_PROPERTY_MASTER!$E$5:$E$21,MATCH($C3369,DATA_PROPERTY_MASTER!$A$5:$A$21,0))="Yes",FALSE),IFERROR(INDEX(INDIRECT("'"&amp;$C3369&amp;"'!$E$68:$Y$68"),1,MATCH($D3369,INDIRECT("'"&amp;$C3369&amp;"'!$E$12:$Y$12"),0)),0),0)</f>
        <v>184408.66059041774</v>
      </c>
      <c r="I3369" s="366" t="s">
        <v>1731</v>
      </c>
      <c r="J3369" s="348" t="str">
        <f t="shared" ca="1" si="104"/>
        <v>OK</v>
      </c>
      <c r="K3369" s="366" t="s">
        <v>1746</v>
      </c>
      <c r="L3369" s="366" t="s">
        <v>2264</v>
      </c>
      <c r="M3369" s="350" t="str">
        <f>IF($B3369="Portfolio","Portfolio",IFERROR(INDEX(DATA_ASSET_CLASSIFICATION!$B$8:$B$24,MATCH($C3369,DATA_ASSET_CLASSIFICATION!$A$8:$A$24,0)),"Review"))</f>
        <v>Natalia Terrace</v>
      </c>
      <c r="N3369" s="350" t="str">
        <f ca="1">IF($B3369="Portfolio","Portfolio",IFERROR(INDEX(DATA_ASSET_CLASSIFICATION!$U$8:$U$24,MATCH($C3369,DATA_ASSET_CLASSIFICATION!$A$8:$A$24,0)),"Review"))</f>
        <v>Refi Watch</v>
      </c>
      <c r="O3369" s="350" t="str">
        <f ca="1">IF($B3369="Portfolio","Portfolio",IFERROR(INDEX(DATA_ASSET_CLASSIFICATION!$AB$8:$AB$13,MATCH($N3369,DATA_ASSET_CLASSIFICATION!$AA$8:$AA$13,0)),"Review"))</f>
        <v>Bucket 2 · Legacy</v>
      </c>
      <c r="P3369" s="350" t="str">
        <f>IF($B3369="Portfolio","Portfolio",IFERROR(INDEX(DATA_ASSET_CLASSIFICATION!$C$8:$C$24,MATCH($C3369,DATA_ASSET_CLASSIFICATION!$A$8:$A$24,0)),"Review"))</f>
        <v>Yes</v>
      </c>
      <c r="Q3369" s="350" t="str">
        <f t="shared" ca="1" si="105"/>
        <v>OK</v>
      </c>
    </row>
    <row r="3370" spans="1:17">
      <c r="A3370" s="366" t="s">
        <v>5326</v>
      </c>
      <c r="B3370" s="366" t="s">
        <v>231</v>
      </c>
      <c r="C3370" s="348" t="str">
        <f>DATA_PROPERTY_MASTER!$A$15</f>
        <v>BLD_NT</v>
      </c>
      <c r="D3370" s="380">
        <f>'00_PORTFOLIO ROLLUP'!O$12</f>
        <v>2035</v>
      </c>
      <c r="E3370" s="366" t="s">
        <v>1741</v>
      </c>
      <c r="F3370" s="366" t="s">
        <v>1749</v>
      </c>
      <c r="G3370" s="348" t="str">
        <f>"'"&amp;$C3370&amp;"'!rows 56, 63, 68"</f>
        <v>'BLD_NT'!rows 56, 63, 68</v>
      </c>
      <c r="H3370" s="381">
        <f ca="1">IF(IFERROR(INDEX(DATA_PROPERTY_MASTER!$E$5:$E$21,MATCH($C3370,DATA_PROPERTY_MASTER!$A$5:$A$21,0))="Yes",FALSE),(IFERROR(INDEX(INDIRECT("'"&amp;$C3370&amp;"'!$E$56:$Y$56"),1,MATCH($D3370,INDIRECT("'"&amp;$C3370&amp;"'!$E$12:$Y$12"),0)),0)+MAX(IFERROR(INDEX(INDIRECT("'"&amp;$C3370&amp;"'!$E$63:$Y$63"),1,MATCH($D3370,INDIRECT("'"&amp;$C3370&amp;"'!$E$12:$Y$12"),0)),0),0))-(IFERROR(INDEX(INDIRECT("'"&amp;$C3370&amp;"'!$E$68:$Y$68"),1,MATCH($D3370,INDIRECT("'"&amp;$C3370&amp;"'!$E$12:$Y$12"),0)),0)),0)</f>
        <v>0</v>
      </c>
      <c r="I3370" s="366" t="s">
        <v>1750</v>
      </c>
      <c r="J3370" s="348" t="str">
        <f t="shared" ca="1" si="104"/>
        <v>OK</v>
      </c>
      <c r="K3370" s="366" t="s">
        <v>1751</v>
      </c>
      <c r="L3370" s="366" t="s">
        <v>2266</v>
      </c>
      <c r="M3370" s="350" t="str">
        <f>IF($B3370="Portfolio","Portfolio",IFERROR(INDEX(DATA_ASSET_CLASSIFICATION!$B$8:$B$24,MATCH($C3370,DATA_ASSET_CLASSIFICATION!$A$8:$A$24,0)),"Review"))</f>
        <v>Natalia Terrace</v>
      </c>
      <c r="N3370" s="350" t="str">
        <f ca="1">IF($B3370="Portfolio","Portfolio",IFERROR(INDEX(DATA_ASSET_CLASSIFICATION!$U$8:$U$24,MATCH($C3370,DATA_ASSET_CLASSIFICATION!$A$8:$A$24,0)),"Review"))</f>
        <v>Refi Watch</v>
      </c>
      <c r="O3370" s="350" t="str">
        <f ca="1">IF($B3370="Portfolio","Portfolio",IFERROR(INDEX(DATA_ASSET_CLASSIFICATION!$AB$8:$AB$13,MATCH($N3370,DATA_ASSET_CLASSIFICATION!$AA$8:$AA$13,0)),"Review"))</f>
        <v>Bucket 2 · Legacy</v>
      </c>
      <c r="P3370" s="350" t="str">
        <f>IF($B3370="Portfolio","Portfolio",IFERROR(INDEX(DATA_ASSET_CLASSIFICATION!$C$8:$C$24,MATCH($C3370,DATA_ASSET_CLASSIFICATION!$A$8:$A$24,0)),"Review"))</f>
        <v>Yes</v>
      </c>
      <c r="Q3370" s="350" t="str">
        <f t="shared" ca="1" si="105"/>
        <v>OK</v>
      </c>
    </row>
    <row r="3371" spans="1:17">
      <c r="A3371" s="366" t="s">
        <v>5327</v>
      </c>
      <c r="B3371" s="366" t="s">
        <v>231</v>
      </c>
      <c r="C3371" s="348" t="str">
        <f>DATA_PROPERTY_MASTER!$A$15</f>
        <v>BLD_NT</v>
      </c>
      <c r="D3371" s="380">
        <f>'00_PORTFOLIO ROLLUP'!P$12</f>
        <v>2036</v>
      </c>
      <c r="E3371" s="366" t="s">
        <v>1683</v>
      </c>
      <c r="F3371" s="366" t="s">
        <v>341</v>
      </c>
      <c r="G3371" s="348" t="str">
        <f>"'"&amp;$C3371&amp;"'!$E$24:$Y$24"</f>
        <v>'BLD_NT'!$E$24:$Y$24</v>
      </c>
      <c r="H3371" s="381">
        <f ca="1">IF(IFERROR(INDEX(DATA_PROPERTY_MASTER!$E$5:$E$21,MATCH($C3371,DATA_PROPERTY_MASTER!$A$5:$A$21,0))="Yes",FALSE),IFERROR(INDEX(INDIRECT("'"&amp;$C3371&amp;"'!$E$24:$Y$24"),1,MATCH($D3371,INDIRECT("'"&amp;$C3371&amp;"'!$E$12:$Y$12"),0)),0),0)</f>
        <v>900193.84804281848</v>
      </c>
      <c r="I3371" s="366" t="s">
        <v>1685</v>
      </c>
      <c r="J3371" s="348" t="str">
        <f t="shared" ca="1" si="104"/>
        <v>OK</v>
      </c>
      <c r="K3371" s="366" t="s">
        <v>1686</v>
      </c>
      <c r="L3371" s="366" t="s">
        <v>2234</v>
      </c>
      <c r="M3371" s="350" t="str">
        <f>IF($B3371="Portfolio","Portfolio",IFERROR(INDEX(DATA_ASSET_CLASSIFICATION!$B$8:$B$24,MATCH($C3371,DATA_ASSET_CLASSIFICATION!$A$8:$A$24,0)),"Review"))</f>
        <v>Natalia Terrace</v>
      </c>
      <c r="N3371" s="350" t="str">
        <f ca="1">IF($B3371="Portfolio","Portfolio",IFERROR(INDEX(DATA_ASSET_CLASSIFICATION!$U$8:$U$24,MATCH($C3371,DATA_ASSET_CLASSIFICATION!$A$8:$A$24,0)),"Review"))</f>
        <v>Refi Watch</v>
      </c>
      <c r="O3371" s="350" t="str">
        <f ca="1">IF($B3371="Portfolio","Portfolio",IFERROR(INDEX(DATA_ASSET_CLASSIFICATION!$AB$8:$AB$13,MATCH($N3371,DATA_ASSET_CLASSIFICATION!$AA$8:$AA$13,0)),"Review"))</f>
        <v>Bucket 2 · Legacy</v>
      </c>
      <c r="P3371" s="350" t="str">
        <f>IF($B3371="Portfolio","Portfolio",IFERROR(INDEX(DATA_ASSET_CLASSIFICATION!$C$8:$C$24,MATCH($C3371,DATA_ASSET_CLASSIFICATION!$A$8:$A$24,0)),"Review"))</f>
        <v>Yes</v>
      </c>
      <c r="Q3371" s="350" t="str">
        <f t="shared" ca="1" si="105"/>
        <v>OK</v>
      </c>
    </row>
    <row r="3372" spans="1:17">
      <c r="A3372" s="366" t="s">
        <v>5328</v>
      </c>
      <c r="B3372" s="366" t="s">
        <v>231</v>
      </c>
      <c r="C3372" s="348" t="str">
        <f>DATA_PROPERTY_MASTER!$A$15</f>
        <v>BLD_NT</v>
      </c>
      <c r="D3372" s="380">
        <f>'00_PORTFOLIO ROLLUP'!P$12</f>
        <v>2036</v>
      </c>
      <c r="E3372" s="366" t="s">
        <v>1683</v>
      </c>
      <c r="F3372" s="366" t="s">
        <v>355</v>
      </c>
      <c r="G3372" s="348" t="str">
        <f>"'"&amp;$C3372&amp;"'!$E$39:$Y$39"</f>
        <v>'BLD_NT'!$E$39:$Y$39</v>
      </c>
      <c r="H3372" s="381">
        <f ca="1">IF(IFERROR(INDEX(DATA_PROPERTY_MASTER!$E$5:$E$21,MATCH($C3372,DATA_PROPERTY_MASTER!$A$5:$A$21,0))="Yes",FALSE),IFERROR(INDEX(INDIRECT("'"&amp;$C3372&amp;"'!$E$39:$Y$39"),1,MATCH($D3372,INDIRECT("'"&amp;$C3372&amp;"'!$E$12:$Y$12"),0)),0),0)</f>
        <v>432059.37022125936</v>
      </c>
      <c r="I3372" s="366" t="s">
        <v>1690</v>
      </c>
      <c r="J3372" s="348" t="str">
        <f t="shared" ca="1" si="104"/>
        <v>OK</v>
      </c>
      <c r="K3372" s="366" t="s">
        <v>1686</v>
      </c>
      <c r="L3372" s="366" t="s">
        <v>2236</v>
      </c>
      <c r="M3372" s="350" t="str">
        <f>IF($B3372="Portfolio","Portfolio",IFERROR(INDEX(DATA_ASSET_CLASSIFICATION!$B$8:$B$24,MATCH($C3372,DATA_ASSET_CLASSIFICATION!$A$8:$A$24,0)),"Review"))</f>
        <v>Natalia Terrace</v>
      </c>
      <c r="N3372" s="350" t="str">
        <f ca="1">IF($B3372="Portfolio","Portfolio",IFERROR(INDEX(DATA_ASSET_CLASSIFICATION!$U$8:$U$24,MATCH($C3372,DATA_ASSET_CLASSIFICATION!$A$8:$A$24,0)),"Review"))</f>
        <v>Refi Watch</v>
      </c>
      <c r="O3372" s="350" t="str">
        <f ca="1">IF($B3372="Portfolio","Portfolio",IFERROR(INDEX(DATA_ASSET_CLASSIFICATION!$AB$8:$AB$13,MATCH($N3372,DATA_ASSET_CLASSIFICATION!$AA$8:$AA$13,0)),"Review"))</f>
        <v>Bucket 2 · Legacy</v>
      </c>
      <c r="P3372" s="350" t="str">
        <f>IF($B3372="Portfolio","Portfolio",IFERROR(INDEX(DATA_ASSET_CLASSIFICATION!$C$8:$C$24,MATCH($C3372,DATA_ASSET_CLASSIFICATION!$A$8:$A$24,0)),"Review"))</f>
        <v>Yes</v>
      </c>
      <c r="Q3372" s="350" t="str">
        <f t="shared" ca="1" si="105"/>
        <v>OK</v>
      </c>
    </row>
    <row r="3373" spans="1:17">
      <c r="A3373" s="366" t="s">
        <v>5329</v>
      </c>
      <c r="B3373" s="366" t="s">
        <v>231</v>
      </c>
      <c r="C3373" s="348" t="str">
        <f>DATA_PROPERTY_MASTER!$A$15</f>
        <v>BLD_NT</v>
      </c>
      <c r="D3373" s="380">
        <f>'00_PORTFOLIO ROLLUP'!P$12</f>
        <v>2036</v>
      </c>
      <c r="E3373" s="366" t="s">
        <v>1683</v>
      </c>
      <c r="F3373" s="366" t="s">
        <v>19</v>
      </c>
      <c r="G3373" s="348" t="str">
        <f>"'"&amp;$C3373&amp;"'!$E$41:$Y$41"</f>
        <v>'BLD_NT'!$E$41:$Y$41</v>
      </c>
      <c r="H3373" s="381">
        <f ca="1">IF(IFERROR(INDEX(DATA_PROPERTY_MASTER!$E$5:$E$21,MATCH($C3373,DATA_PROPERTY_MASTER!$A$5:$A$21,0))="Yes",FALSE),IFERROR(INDEX(INDIRECT("'"&amp;$C3373&amp;"'!$E$41:$Y$41"),1,MATCH($D3373,INDIRECT("'"&amp;$C3373&amp;"'!$E$12:$Y$12"),0)),0),0)</f>
        <v>468134.47782155912</v>
      </c>
      <c r="I3373" s="366" t="s">
        <v>1685</v>
      </c>
      <c r="J3373" s="348" t="str">
        <f t="shared" ca="1" si="104"/>
        <v>OK</v>
      </c>
      <c r="K3373" s="366" t="s">
        <v>1694</v>
      </c>
      <c r="L3373" s="366" t="s">
        <v>2238</v>
      </c>
      <c r="M3373" s="350" t="str">
        <f>IF($B3373="Portfolio","Portfolio",IFERROR(INDEX(DATA_ASSET_CLASSIFICATION!$B$8:$B$24,MATCH($C3373,DATA_ASSET_CLASSIFICATION!$A$8:$A$24,0)),"Review"))</f>
        <v>Natalia Terrace</v>
      </c>
      <c r="N3373" s="350" t="str">
        <f ca="1">IF($B3373="Portfolio","Portfolio",IFERROR(INDEX(DATA_ASSET_CLASSIFICATION!$U$8:$U$24,MATCH($C3373,DATA_ASSET_CLASSIFICATION!$A$8:$A$24,0)),"Review"))</f>
        <v>Refi Watch</v>
      </c>
      <c r="O3373" s="350" t="str">
        <f ca="1">IF($B3373="Portfolio","Portfolio",IFERROR(INDEX(DATA_ASSET_CLASSIFICATION!$AB$8:$AB$13,MATCH($N3373,DATA_ASSET_CLASSIFICATION!$AA$8:$AA$13,0)),"Review"))</f>
        <v>Bucket 2 · Legacy</v>
      </c>
      <c r="P3373" s="350" t="str">
        <f>IF($B3373="Portfolio","Portfolio",IFERROR(INDEX(DATA_ASSET_CLASSIFICATION!$C$8:$C$24,MATCH($C3373,DATA_ASSET_CLASSIFICATION!$A$8:$A$24,0)),"Review"))</f>
        <v>Yes</v>
      </c>
      <c r="Q3373" s="350" t="str">
        <f t="shared" ca="1" si="105"/>
        <v>OK</v>
      </c>
    </row>
    <row r="3374" spans="1:17">
      <c r="A3374" s="366" t="s">
        <v>5330</v>
      </c>
      <c r="B3374" s="366" t="s">
        <v>231</v>
      </c>
      <c r="C3374" s="348" t="str">
        <f>DATA_PROPERTY_MASTER!$A$15</f>
        <v>BLD_NT</v>
      </c>
      <c r="D3374" s="380">
        <f>'00_PORTFOLIO ROLLUP'!P$12</f>
        <v>2036</v>
      </c>
      <c r="E3374" s="366" t="s">
        <v>1683</v>
      </c>
      <c r="F3374" s="366" t="s">
        <v>1697</v>
      </c>
      <c r="G3374" s="348" t="str">
        <f>"'"&amp;$C3374&amp;"'!$E$44:$Y$44"</f>
        <v>'BLD_NT'!$E$44:$Y$44</v>
      </c>
      <c r="H3374" s="381">
        <f ca="1">IF(IFERROR(INDEX(DATA_PROPERTY_MASTER!$E$5:$E$21,MATCH($C3374,DATA_PROPERTY_MASTER!$A$5:$A$21,0))="Yes",FALSE),IFERROR(INDEX(INDIRECT("'"&amp;$C3374&amp;"'!$E$44:$Y$44"),1,MATCH($D3374,INDIRECT("'"&amp;$C3374&amp;"'!$E$12:$Y$12"),0)),0),0)</f>
        <v>7460.2458503679118</v>
      </c>
      <c r="I3374" s="366" t="s">
        <v>1690</v>
      </c>
      <c r="J3374" s="348" t="str">
        <f t="shared" ca="1" si="104"/>
        <v>OK</v>
      </c>
      <c r="K3374" s="366" t="s">
        <v>1699</v>
      </c>
      <c r="L3374" s="366" t="s">
        <v>2240</v>
      </c>
      <c r="M3374" s="350" t="str">
        <f>IF($B3374="Portfolio","Portfolio",IFERROR(INDEX(DATA_ASSET_CLASSIFICATION!$B$8:$B$24,MATCH($C3374,DATA_ASSET_CLASSIFICATION!$A$8:$A$24,0)),"Review"))</f>
        <v>Natalia Terrace</v>
      </c>
      <c r="N3374" s="350" t="str">
        <f ca="1">IF($B3374="Portfolio","Portfolio",IFERROR(INDEX(DATA_ASSET_CLASSIFICATION!$U$8:$U$24,MATCH($C3374,DATA_ASSET_CLASSIFICATION!$A$8:$A$24,0)),"Review"))</f>
        <v>Refi Watch</v>
      </c>
      <c r="O3374" s="350" t="str">
        <f ca="1">IF($B3374="Portfolio","Portfolio",IFERROR(INDEX(DATA_ASSET_CLASSIFICATION!$AB$8:$AB$13,MATCH($N3374,DATA_ASSET_CLASSIFICATION!$AA$8:$AA$13,0)),"Review"))</f>
        <v>Bucket 2 · Legacy</v>
      </c>
      <c r="P3374" s="350" t="str">
        <f>IF($B3374="Portfolio","Portfolio",IFERROR(INDEX(DATA_ASSET_CLASSIFICATION!$C$8:$C$24,MATCH($C3374,DATA_ASSET_CLASSIFICATION!$A$8:$A$24,0)),"Review"))</f>
        <v>Yes</v>
      </c>
      <c r="Q3374" s="350" t="str">
        <f t="shared" ca="1" si="105"/>
        <v>OK</v>
      </c>
    </row>
    <row r="3375" spans="1:17">
      <c r="A3375" s="366" t="s">
        <v>5331</v>
      </c>
      <c r="B3375" s="366" t="s">
        <v>231</v>
      </c>
      <c r="C3375" s="348" t="str">
        <f>DATA_PROPERTY_MASTER!$A$15</f>
        <v>BLD_NT</v>
      </c>
      <c r="D3375" s="380">
        <f>'00_PORTFOLIO ROLLUP'!P$12</f>
        <v>2036</v>
      </c>
      <c r="E3375" s="366" t="s">
        <v>1683</v>
      </c>
      <c r="F3375" s="366" t="s">
        <v>21</v>
      </c>
      <c r="G3375" s="348" t="str">
        <f>"'"&amp;$C3375&amp;"'!$E$45:$Y$45"</f>
        <v>'BLD_NT'!$E$45:$Y$45</v>
      </c>
      <c r="H3375" s="381">
        <f ca="1">IF(IFERROR(INDEX(DATA_PROPERTY_MASTER!$E$5:$E$21,MATCH($C3375,DATA_PROPERTY_MASTER!$A$5:$A$21,0))="Yes",FALSE),IFERROR(INDEX(INDIRECT("'"&amp;$C3375&amp;"'!$E$45:$Y$45"),1,MATCH($D3375,INDIRECT("'"&amp;$C3375&amp;"'!$E$12:$Y$12"),0)),0),0)</f>
        <v>460674.23197119118</v>
      </c>
      <c r="I3375" s="366" t="s">
        <v>1685</v>
      </c>
      <c r="J3375" s="348" t="str">
        <f t="shared" ca="1" si="104"/>
        <v>OK</v>
      </c>
      <c r="K3375" s="366" t="s">
        <v>1694</v>
      </c>
      <c r="L3375" s="366" t="s">
        <v>2242</v>
      </c>
      <c r="M3375" s="350" t="str">
        <f>IF($B3375="Portfolio","Portfolio",IFERROR(INDEX(DATA_ASSET_CLASSIFICATION!$B$8:$B$24,MATCH($C3375,DATA_ASSET_CLASSIFICATION!$A$8:$A$24,0)),"Review"))</f>
        <v>Natalia Terrace</v>
      </c>
      <c r="N3375" s="350" t="str">
        <f ca="1">IF($B3375="Portfolio","Portfolio",IFERROR(INDEX(DATA_ASSET_CLASSIFICATION!$U$8:$U$24,MATCH($C3375,DATA_ASSET_CLASSIFICATION!$A$8:$A$24,0)),"Review"))</f>
        <v>Refi Watch</v>
      </c>
      <c r="O3375" s="350" t="str">
        <f ca="1">IF($B3375="Portfolio","Portfolio",IFERROR(INDEX(DATA_ASSET_CLASSIFICATION!$AB$8:$AB$13,MATCH($N3375,DATA_ASSET_CLASSIFICATION!$AA$8:$AA$13,0)),"Review"))</f>
        <v>Bucket 2 · Legacy</v>
      </c>
      <c r="P3375" s="350" t="str">
        <f>IF($B3375="Portfolio","Portfolio",IFERROR(INDEX(DATA_ASSET_CLASSIFICATION!$C$8:$C$24,MATCH($C3375,DATA_ASSET_CLASSIFICATION!$A$8:$A$24,0)),"Review"))</f>
        <v>Yes</v>
      </c>
      <c r="Q3375" s="350" t="str">
        <f t="shared" ca="1" si="105"/>
        <v>OK</v>
      </c>
    </row>
    <row r="3376" spans="1:17">
      <c r="A3376" s="366" t="s">
        <v>5332</v>
      </c>
      <c r="B3376" s="366" t="s">
        <v>231</v>
      </c>
      <c r="C3376" s="348" t="str">
        <f>DATA_PROPERTY_MASTER!$A$15</f>
        <v>BLD_NT</v>
      </c>
      <c r="D3376" s="380">
        <f>'00_PORTFOLIO ROLLUP'!P$12</f>
        <v>2036</v>
      </c>
      <c r="E3376" s="366" t="s">
        <v>23</v>
      </c>
      <c r="F3376" s="366" t="s">
        <v>23</v>
      </c>
      <c r="G3376" s="348" t="str">
        <f>"'"&amp;$C3376&amp;"'!$E$48:$Y$48"</f>
        <v>'BLD_NT'!$E$48:$Y$48</v>
      </c>
      <c r="H3376" s="381">
        <f ca="1">IF(IFERROR(INDEX(DATA_PROPERTY_MASTER!$E$5:$E$21,MATCH($C3376,DATA_PROPERTY_MASTER!$A$5:$A$21,0))="Yes",FALSE),IFERROR(INDEX(INDIRECT("'"&amp;$C3376&amp;"'!$E$48:$Y$48"),1,MATCH($D3376,INDIRECT("'"&amp;$C3376&amp;"'!$E$12:$Y$12"),0)),0),0)</f>
        <v>0</v>
      </c>
      <c r="I3376" s="366" t="s">
        <v>1690</v>
      </c>
      <c r="J3376" s="348" t="str">
        <f t="shared" ca="1" si="104"/>
        <v>OK</v>
      </c>
      <c r="K3376" s="366" t="s">
        <v>1706</v>
      </c>
      <c r="L3376" s="366" t="s">
        <v>2244</v>
      </c>
      <c r="M3376" s="350" t="str">
        <f>IF($B3376="Portfolio","Portfolio",IFERROR(INDEX(DATA_ASSET_CLASSIFICATION!$B$8:$B$24,MATCH($C3376,DATA_ASSET_CLASSIFICATION!$A$8:$A$24,0)),"Review"))</f>
        <v>Natalia Terrace</v>
      </c>
      <c r="N3376" s="350" t="str">
        <f ca="1">IF($B3376="Portfolio","Portfolio",IFERROR(INDEX(DATA_ASSET_CLASSIFICATION!$U$8:$U$24,MATCH($C3376,DATA_ASSET_CLASSIFICATION!$A$8:$A$24,0)),"Review"))</f>
        <v>Refi Watch</v>
      </c>
      <c r="O3376" s="350" t="str">
        <f ca="1">IF($B3376="Portfolio","Portfolio",IFERROR(INDEX(DATA_ASSET_CLASSIFICATION!$AB$8:$AB$13,MATCH($N3376,DATA_ASSET_CLASSIFICATION!$AA$8:$AA$13,0)),"Review"))</f>
        <v>Bucket 2 · Legacy</v>
      </c>
      <c r="P3376" s="350" t="str">
        <f>IF($B3376="Portfolio","Portfolio",IFERROR(INDEX(DATA_ASSET_CLASSIFICATION!$C$8:$C$24,MATCH($C3376,DATA_ASSET_CLASSIFICATION!$A$8:$A$24,0)),"Review"))</f>
        <v>Yes</v>
      </c>
      <c r="Q3376" s="350" t="str">
        <f t="shared" ca="1" si="105"/>
        <v>OK</v>
      </c>
    </row>
    <row r="3377" spans="1:17">
      <c r="A3377" s="366" t="s">
        <v>5333</v>
      </c>
      <c r="B3377" s="366" t="s">
        <v>231</v>
      </c>
      <c r="C3377" s="348" t="str">
        <f>DATA_PROPERTY_MASTER!$A$15</f>
        <v>BLD_NT</v>
      </c>
      <c r="D3377" s="380">
        <f>'00_PORTFOLIO ROLLUP'!P$12</f>
        <v>2036</v>
      </c>
      <c r="E3377" s="366" t="s">
        <v>1683</v>
      </c>
      <c r="F3377" s="366" t="s">
        <v>25</v>
      </c>
      <c r="G3377" s="348" t="str">
        <f>"'"&amp;$C3377&amp;"'!$E$52:$Y$52"</f>
        <v>'BLD_NT'!$E$52:$Y$52</v>
      </c>
      <c r="H3377" s="381">
        <f ca="1">IF(IFERROR(INDEX(DATA_PROPERTY_MASTER!$E$5:$E$21,MATCH($C3377,DATA_PROPERTY_MASTER!$A$5:$A$21,0))="Yes",FALSE),IFERROR(INDEX(INDIRECT("'"&amp;$C3377&amp;"'!$E$52:$Y$52"),1,MATCH($D3377,INDIRECT("'"&amp;$C3377&amp;"'!$E$12:$Y$12"),0)),0),0)</f>
        <v>468134.47782155912</v>
      </c>
      <c r="I3377" s="366" t="s">
        <v>1685</v>
      </c>
      <c r="J3377" s="348" t="str">
        <f t="shared" ca="1" si="104"/>
        <v>OK</v>
      </c>
      <c r="K3377" s="366" t="s">
        <v>1710</v>
      </c>
      <c r="L3377" s="366" t="s">
        <v>2246</v>
      </c>
      <c r="M3377" s="350" t="str">
        <f>IF($B3377="Portfolio","Portfolio",IFERROR(INDEX(DATA_ASSET_CLASSIFICATION!$B$8:$B$24,MATCH($C3377,DATA_ASSET_CLASSIFICATION!$A$8:$A$24,0)),"Review"))</f>
        <v>Natalia Terrace</v>
      </c>
      <c r="N3377" s="350" t="str">
        <f ca="1">IF($B3377="Portfolio","Portfolio",IFERROR(INDEX(DATA_ASSET_CLASSIFICATION!$U$8:$U$24,MATCH($C3377,DATA_ASSET_CLASSIFICATION!$A$8:$A$24,0)),"Review"))</f>
        <v>Refi Watch</v>
      </c>
      <c r="O3377" s="350" t="str">
        <f ca="1">IF($B3377="Portfolio","Portfolio",IFERROR(INDEX(DATA_ASSET_CLASSIFICATION!$AB$8:$AB$13,MATCH($N3377,DATA_ASSET_CLASSIFICATION!$AA$8:$AA$13,0)),"Review"))</f>
        <v>Bucket 2 · Legacy</v>
      </c>
      <c r="P3377" s="350" t="str">
        <f>IF($B3377="Portfolio","Portfolio",IFERROR(INDEX(DATA_ASSET_CLASSIFICATION!$C$8:$C$24,MATCH($C3377,DATA_ASSET_CLASSIFICATION!$A$8:$A$24,0)),"Review"))</f>
        <v>Yes</v>
      </c>
      <c r="Q3377" s="350" t="str">
        <f t="shared" ca="1" si="105"/>
        <v>OK</v>
      </c>
    </row>
    <row r="3378" spans="1:17">
      <c r="A3378" s="366" t="s">
        <v>5334</v>
      </c>
      <c r="B3378" s="366" t="s">
        <v>231</v>
      </c>
      <c r="C3378" s="348" t="str">
        <f>DATA_PROPERTY_MASTER!$A$15</f>
        <v>BLD_NT</v>
      </c>
      <c r="D3378" s="380">
        <f>'00_PORTFOLIO ROLLUP'!P$12</f>
        <v>2036</v>
      </c>
      <c r="E3378" s="366" t="s">
        <v>1683</v>
      </c>
      <c r="F3378" s="366" t="s">
        <v>27</v>
      </c>
      <c r="G3378" s="348" t="str">
        <f>"'"&amp;$C3378&amp;"'!$E$54:$Y$54"</f>
        <v>'BLD_NT'!$E$54:$Y$54</v>
      </c>
      <c r="H3378" s="381">
        <f ca="1">IF(IFERROR(INDEX(DATA_PROPERTY_MASTER!$E$5:$E$21,MATCH($C3378,DATA_PROPERTY_MASTER!$A$5:$A$21,0))="Yes",FALSE),IFERROR(INDEX(INDIRECT("'"&amp;$C3378&amp;"'!$E$54:$Y$54"),1,MATCH($D3378,INDIRECT("'"&amp;$C3378&amp;"'!$E$12:$Y$12"),0)),0),0)</f>
        <v>280880.68669293547</v>
      </c>
      <c r="I3378" s="366" t="s">
        <v>1690</v>
      </c>
      <c r="J3378" s="348" t="str">
        <f t="shared" ca="1" si="104"/>
        <v>OK</v>
      </c>
      <c r="K3378" s="366" t="s">
        <v>1714</v>
      </c>
      <c r="L3378" s="366" t="s">
        <v>2248</v>
      </c>
      <c r="M3378" s="350" t="str">
        <f>IF($B3378="Portfolio","Portfolio",IFERROR(INDEX(DATA_ASSET_CLASSIFICATION!$B$8:$B$24,MATCH($C3378,DATA_ASSET_CLASSIFICATION!$A$8:$A$24,0)),"Review"))</f>
        <v>Natalia Terrace</v>
      </c>
      <c r="N3378" s="350" t="str">
        <f ca="1">IF($B3378="Portfolio","Portfolio",IFERROR(INDEX(DATA_ASSET_CLASSIFICATION!$U$8:$U$24,MATCH($C3378,DATA_ASSET_CLASSIFICATION!$A$8:$A$24,0)),"Review"))</f>
        <v>Refi Watch</v>
      </c>
      <c r="O3378" s="350" t="str">
        <f ca="1">IF($B3378="Portfolio","Portfolio",IFERROR(INDEX(DATA_ASSET_CLASSIFICATION!$AB$8:$AB$13,MATCH($N3378,DATA_ASSET_CLASSIFICATION!$AA$8:$AA$13,0)),"Review"))</f>
        <v>Bucket 2 · Legacy</v>
      </c>
      <c r="P3378" s="350" t="str">
        <f>IF($B3378="Portfolio","Portfolio",IFERROR(INDEX(DATA_ASSET_CLASSIFICATION!$C$8:$C$24,MATCH($C3378,DATA_ASSET_CLASSIFICATION!$A$8:$A$24,0)),"Review"))</f>
        <v>Yes</v>
      </c>
      <c r="Q3378" s="350" t="str">
        <f t="shared" ca="1" si="105"/>
        <v>OK</v>
      </c>
    </row>
    <row r="3379" spans="1:17">
      <c r="A3379" s="366" t="s">
        <v>5335</v>
      </c>
      <c r="B3379" s="366" t="s">
        <v>231</v>
      </c>
      <c r="C3379" s="348" t="str">
        <f>DATA_PROPERTY_MASTER!$A$15</f>
        <v>BLD_NT</v>
      </c>
      <c r="D3379" s="380">
        <f>'00_PORTFOLIO ROLLUP'!P$12</f>
        <v>2036</v>
      </c>
      <c r="E3379" s="366" t="s">
        <v>1683</v>
      </c>
      <c r="F3379" s="366" t="s">
        <v>29</v>
      </c>
      <c r="G3379" s="348" t="str">
        <f>"'"&amp;$C3379&amp;"'!$E$56:$Y$56"</f>
        <v>'BLD_NT'!$E$56:$Y$56</v>
      </c>
      <c r="H3379" s="381">
        <f ca="1">IF(IFERROR(INDEX(DATA_PROPERTY_MASTER!$E$5:$E$21,MATCH($C3379,DATA_PROPERTY_MASTER!$A$5:$A$21,0))="Yes",FALSE),IFERROR(INDEX(INDIRECT("'"&amp;$C3379&amp;"'!$E$56:$Y$56"),1,MATCH($D3379,INDIRECT("'"&amp;$C3379&amp;"'!$E$12:$Y$12"),0)),0),0)</f>
        <v>187253.79112862365</v>
      </c>
      <c r="I3379" s="366" t="s">
        <v>1685</v>
      </c>
      <c r="J3379" s="348" t="str">
        <f t="shared" ca="1" si="104"/>
        <v>OK</v>
      </c>
      <c r="K3379" s="366" t="s">
        <v>1718</v>
      </c>
      <c r="L3379" s="366" t="s">
        <v>2250</v>
      </c>
      <c r="M3379" s="350" t="str">
        <f>IF($B3379="Portfolio","Portfolio",IFERROR(INDEX(DATA_ASSET_CLASSIFICATION!$B$8:$B$24,MATCH($C3379,DATA_ASSET_CLASSIFICATION!$A$8:$A$24,0)),"Review"))</f>
        <v>Natalia Terrace</v>
      </c>
      <c r="N3379" s="350" t="str">
        <f ca="1">IF($B3379="Portfolio","Portfolio",IFERROR(INDEX(DATA_ASSET_CLASSIFICATION!$U$8:$U$24,MATCH($C3379,DATA_ASSET_CLASSIFICATION!$A$8:$A$24,0)),"Review"))</f>
        <v>Refi Watch</v>
      </c>
      <c r="O3379" s="350" t="str">
        <f ca="1">IF($B3379="Portfolio","Portfolio",IFERROR(INDEX(DATA_ASSET_CLASSIFICATION!$AB$8:$AB$13,MATCH($N3379,DATA_ASSET_CLASSIFICATION!$AA$8:$AA$13,0)),"Review"))</f>
        <v>Bucket 2 · Legacy</v>
      </c>
      <c r="P3379" s="350" t="str">
        <f>IF($B3379="Portfolio","Portfolio",IFERROR(INDEX(DATA_ASSET_CLASSIFICATION!$C$8:$C$24,MATCH($C3379,DATA_ASSET_CLASSIFICATION!$A$8:$A$24,0)),"Review"))</f>
        <v>Yes</v>
      </c>
      <c r="Q3379" s="350" t="str">
        <f t="shared" ca="1" si="105"/>
        <v>OK</v>
      </c>
    </row>
    <row r="3380" spans="1:17">
      <c r="A3380" s="366" t="s">
        <v>5336</v>
      </c>
      <c r="B3380" s="366" t="s">
        <v>231</v>
      </c>
      <c r="C3380" s="348" t="str">
        <f>DATA_PROPERTY_MASTER!$A$15</f>
        <v>BLD_NT</v>
      </c>
      <c r="D3380" s="380">
        <f>'00_PORTFOLIO ROLLUP'!P$12</f>
        <v>2036</v>
      </c>
      <c r="E3380" s="366" t="s">
        <v>1721</v>
      </c>
      <c r="F3380" s="366" t="s">
        <v>31</v>
      </c>
      <c r="G3380" s="348" t="str">
        <f>"'"&amp;$C3380&amp;"'!$E$61:$Y$61"</f>
        <v>'BLD_NT'!$E$61:$Y$61</v>
      </c>
      <c r="H3380" s="381">
        <f ca="1">IF(IFERROR(INDEX(DATA_PROPERTY_MASTER!$E$5:$E$21,MATCH($C3380,DATA_PROPERTY_MASTER!$A$5:$A$21,0))="Yes",FALSE),IFERROR(INDEX(INDIRECT("'"&amp;$C3380&amp;"'!$E$61:$Y$61"),1,MATCH($D3380,INDIRECT("'"&amp;$C3380&amp;"'!$E$12:$Y$12"),0)),0),0)</f>
        <v>0</v>
      </c>
      <c r="I3380" s="366" t="s">
        <v>1690</v>
      </c>
      <c r="J3380" s="348" t="str">
        <f t="shared" ca="1" si="104"/>
        <v>OK</v>
      </c>
      <c r="K3380" s="366" t="s">
        <v>1723</v>
      </c>
      <c r="L3380" s="366" t="s">
        <v>2252</v>
      </c>
      <c r="M3380" s="350" t="str">
        <f>IF($B3380="Portfolio","Portfolio",IFERROR(INDEX(DATA_ASSET_CLASSIFICATION!$B$8:$B$24,MATCH($C3380,DATA_ASSET_CLASSIFICATION!$A$8:$A$24,0)),"Review"))</f>
        <v>Natalia Terrace</v>
      </c>
      <c r="N3380" s="350" t="str">
        <f ca="1">IF($B3380="Portfolio","Portfolio",IFERROR(INDEX(DATA_ASSET_CLASSIFICATION!$U$8:$U$24,MATCH($C3380,DATA_ASSET_CLASSIFICATION!$A$8:$A$24,0)),"Review"))</f>
        <v>Refi Watch</v>
      </c>
      <c r="O3380" s="350" t="str">
        <f ca="1">IF($B3380="Portfolio","Portfolio",IFERROR(INDEX(DATA_ASSET_CLASSIFICATION!$AB$8:$AB$13,MATCH($N3380,DATA_ASSET_CLASSIFICATION!$AA$8:$AA$13,0)),"Review"))</f>
        <v>Bucket 2 · Legacy</v>
      </c>
      <c r="P3380" s="350" t="str">
        <f>IF($B3380="Portfolio","Portfolio",IFERROR(INDEX(DATA_ASSET_CLASSIFICATION!$C$8:$C$24,MATCH($C3380,DATA_ASSET_CLASSIFICATION!$A$8:$A$24,0)),"Review"))</f>
        <v>Yes</v>
      </c>
      <c r="Q3380" s="350" t="str">
        <f t="shared" ca="1" si="105"/>
        <v>OK</v>
      </c>
    </row>
    <row r="3381" spans="1:17">
      <c r="A3381" s="366" t="s">
        <v>5337</v>
      </c>
      <c r="B3381" s="366" t="s">
        <v>231</v>
      </c>
      <c r="C3381" s="348" t="str">
        <f>DATA_PROPERTY_MASTER!$A$15</f>
        <v>BLD_NT</v>
      </c>
      <c r="D3381" s="380">
        <f>'00_PORTFOLIO ROLLUP'!P$12</f>
        <v>2036</v>
      </c>
      <c r="E3381" s="366" t="s">
        <v>1721</v>
      </c>
      <c r="F3381" s="366" t="s">
        <v>33</v>
      </c>
      <c r="G3381" s="348" t="str">
        <f>"'"&amp;$C3381&amp;"'!$E$62:$Y$62"</f>
        <v>'BLD_NT'!$E$62:$Y$62</v>
      </c>
      <c r="H3381" s="381">
        <f ca="1">IF(IFERROR(INDEX(DATA_PROPERTY_MASTER!$E$5:$E$21,MATCH($C3381,DATA_PROPERTY_MASTER!$A$5:$A$21,0))="Yes",FALSE),IFERROR(INDEX(INDIRECT("'"&amp;$C3381&amp;"'!$E$62:$Y$62"),1,MATCH($D3381,INDIRECT("'"&amp;$C3381&amp;"'!$E$12:$Y$12"),0)),0),0)</f>
        <v>0</v>
      </c>
      <c r="I3381" s="366" t="s">
        <v>1685</v>
      </c>
      <c r="J3381" s="348" t="str">
        <f t="shared" ca="1" si="104"/>
        <v>OK</v>
      </c>
      <c r="K3381" s="366" t="s">
        <v>1727</v>
      </c>
      <c r="L3381" s="366" t="s">
        <v>2254</v>
      </c>
      <c r="M3381" s="350" t="str">
        <f>IF($B3381="Portfolio","Portfolio",IFERROR(INDEX(DATA_ASSET_CLASSIFICATION!$B$8:$B$24,MATCH($C3381,DATA_ASSET_CLASSIFICATION!$A$8:$A$24,0)),"Review"))</f>
        <v>Natalia Terrace</v>
      </c>
      <c r="N3381" s="350" t="str">
        <f ca="1">IF($B3381="Portfolio","Portfolio",IFERROR(INDEX(DATA_ASSET_CLASSIFICATION!$U$8:$U$24,MATCH($C3381,DATA_ASSET_CLASSIFICATION!$A$8:$A$24,0)),"Review"))</f>
        <v>Refi Watch</v>
      </c>
      <c r="O3381" s="350" t="str">
        <f ca="1">IF($B3381="Portfolio","Portfolio",IFERROR(INDEX(DATA_ASSET_CLASSIFICATION!$AB$8:$AB$13,MATCH($N3381,DATA_ASSET_CLASSIFICATION!$AA$8:$AA$13,0)),"Review"))</f>
        <v>Bucket 2 · Legacy</v>
      </c>
      <c r="P3381" s="350" t="str">
        <f>IF($B3381="Portfolio","Portfolio",IFERROR(INDEX(DATA_ASSET_CLASSIFICATION!$C$8:$C$24,MATCH($C3381,DATA_ASSET_CLASSIFICATION!$A$8:$A$24,0)),"Review"))</f>
        <v>Yes</v>
      </c>
      <c r="Q3381" s="350" t="str">
        <f t="shared" ca="1" si="105"/>
        <v>OK</v>
      </c>
    </row>
    <row r="3382" spans="1:17">
      <c r="A3382" s="366" t="s">
        <v>5338</v>
      </c>
      <c r="B3382" s="366" t="s">
        <v>231</v>
      </c>
      <c r="C3382" s="348" t="str">
        <f>DATA_PROPERTY_MASTER!$A$15</f>
        <v>BLD_NT</v>
      </c>
      <c r="D3382" s="380">
        <f>'00_PORTFOLIO ROLLUP'!P$12</f>
        <v>2036</v>
      </c>
      <c r="E3382" s="366" t="s">
        <v>1721</v>
      </c>
      <c r="F3382" s="366" t="s">
        <v>35</v>
      </c>
      <c r="G3382" s="348" t="str">
        <f>"'"&amp;$C3382&amp;"'!$E$63:$Y$63"</f>
        <v>'BLD_NT'!$E$63:$Y$63</v>
      </c>
      <c r="H3382" s="381">
        <f ca="1">IF(IFERROR(INDEX(DATA_PROPERTY_MASTER!$E$5:$E$21,MATCH($C3382,DATA_PROPERTY_MASTER!$A$5:$A$21,0))="Yes",FALSE),IFERROR(INDEX(INDIRECT("'"&amp;$C3382&amp;"'!$E$63:$Y$63"),1,MATCH($D3382,INDIRECT("'"&amp;$C3382&amp;"'!$E$12:$Y$12"),0)),0),0)</f>
        <v>0</v>
      </c>
      <c r="I3382" s="366" t="s">
        <v>1731</v>
      </c>
      <c r="J3382" s="348" t="str">
        <f t="shared" ca="1" si="104"/>
        <v>OK</v>
      </c>
      <c r="K3382" s="366" t="s">
        <v>1732</v>
      </c>
      <c r="L3382" s="366" t="s">
        <v>2256</v>
      </c>
      <c r="M3382" s="350" t="str">
        <f>IF($B3382="Portfolio","Portfolio",IFERROR(INDEX(DATA_ASSET_CLASSIFICATION!$B$8:$B$24,MATCH($C3382,DATA_ASSET_CLASSIFICATION!$A$8:$A$24,0)),"Review"))</f>
        <v>Natalia Terrace</v>
      </c>
      <c r="N3382" s="350" t="str">
        <f ca="1">IF($B3382="Portfolio","Portfolio",IFERROR(INDEX(DATA_ASSET_CLASSIFICATION!$U$8:$U$24,MATCH($C3382,DATA_ASSET_CLASSIFICATION!$A$8:$A$24,0)),"Review"))</f>
        <v>Refi Watch</v>
      </c>
      <c r="O3382" s="350" t="str">
        <f ca="1">IF($B3382="Portfolio","Portfolio",IFERROR(INDEX(DATA_ASSET_CLASSIFICATION!$AB$8:$AB$13,MATCH($N3382,DATA_ASSET_CLASSIFICATION!$AA$8:$AA$13,0)),"Review"))</f>
        <v>Bucket 2 · Legacy</v>
      </c>
      <c r="P3382" s="350" t="str">
        <f>IF($B3382="Portfolio","Portfolio",IFERROR(INDEX(DATA_ASSET_CLASSIFICATION!$C$8:$C$24,MATCH($C3382,DATA_ASSET_CLASSIFICATION!$A$8:$A$24,0)),"Review"))</f>
        <v>Yes</v>
      </c>
      <c r="Q3382" s="350" t="str">
        <f t="shared" ca="1" si="105"/>
        <v>OK</v>
      </c>
    </row>
    <row r="3383" spans="1:17">
      <c r="A3383" s="366" t="s">
        <v>5339</v>
      </c>
      <c r="B3383" s="366" t="s">
        <v>231</v>
      </c>
      <c r="C3383" s="348" t="str">
        <f>DATA_PROPERTY_MASTER!$A$15</f>
        <v>BLD_NT</v>
      </c>
      <c r="D3383" s="380">
        <f>'00_PORTFOLIO ROLLUP'!P$12</f>
        <v>2036</v>
      </c>
      <c r="E3383" s="366" t="s">
        <v>1721</v>
      </c>
      <c r="F3383" s="366" t="s">
        <v>37</v>
      </c>
      <c r="G3383" s="348" t="str">
        <f>"'"&amp;$C3383&amp;"'!$E$63:$Y$63"</f>
        <v>'BLD_NT'!$E$63:$Y$63</v>
      </c>
      <c r="H3383" s="381">
        <f ca="1">IF(IFERROR(INDEX(DATA_PROPERTY_MASTER!$E$5:$E$21,MATCH($C3383,DATA_PROPERTY_MASTER!$A$5:$A$21,0))="Yes",FALSE),MAX(IFERROR(INDEX(INDIRECT("'"&amp;$C3383&amp;"'!$E$63:$Y$63"),1,MATCH($D3383,INDIRECT("'"&amp;$C3383&amp;"'!$E$12:$Y$12"),0)),0),0),0)</f>
        <v>0</v>
      </c>
      <c r="I3383" s="366" t="s">
        <v>1685</v>
      </c>
      <c r="J3383" s="348" t="str">
        <f t="shared" ca="1" si="104"/>
        <v>OK</v>
      </c>
      <c r="K3383" s="366" t="s">
        <v>1735</v>
      </c>
      <c r="L3383" s="366" t="s">
        <v>2258</v>
      </c>
      <c r="M3383" s="350" t="str">
        <f>IF($B3383="Portfolio","Portfolio",IFERROR(INDEX(DATA_ASSET_CLASSIFICATION!$B$8:$B$24,MATCH($C3383,DATA_ASSET_CLASSIFICATION!$A$8:$A$24,0)),"Review"))</f>
        <v>Natalia Terrace</v>
      </c>
      <c r="N3383" s="350" t="str">
        <f ca="1">IF($B3383="Portfolio","Portfolio",IFERROR(INDEX(DATA_ASSET_CLASSIFICATION!$U$8:$U$24,MATCH($C3383,DATA_ASSET_CLASSIFICATION!$A$8:$A$24,0)),"Review"))</f>
        <v>Refi Watch</v>
      </c>
      <c r="O3383" s="350" t="str">
        <f ca="1">IF($B3383="Portfolio","Portfolio",IFERROR(INDEX(DATA_ASSET_CLASSIFICATION!$AB$8:$AB$13,MATCH($N3383,DATA_ASSET_CLASSIFICATION!$AA$8:$AA$13,0)),"Review"))</f>
        <v>Bucket 2 · Legacy</v>
      </c>
      <c r="P3383" s="350" t="str">
        <f>IF($B3383="Portfolio","Portfolio",IFERROR(INDEX(DATA_ASSET_CLASSIFICATION!$C$8:$C$24,MATCH($C3383,DATA_ASSET_CLASSIFICATION!$A$8:$A$24,0)),"Review"))</f>
        <v>Yes</v>
      </c>
      <c r="Q3383" s="350" t="str">
        <f t="shared" ca="1" si="105"/>
        <v>OK</v>
      </c>
    </row>
    <row r="3384" spans="1:17">
      <c r="A3384" s="366" t="s">
        <v>5340</v>
      </c>
      <c r="B3384" s="366" t="s">
        <v>231</v>
      </c>
      <c r="C3384" s="348" t="str">
        <f>DATA_PROPERTY_MASTER!$A$15</f>
        <v>BLD_NT</v>
      </c>
      <c r="D3384" s="380">
        <f>'00_PORTFOLIO ROLLUP'!P$12</f>
        <v>2036</v>
      </c>
      <c r="E3384" s="366" t="s">
        <v>1721</v>
      </c>
      <c r="F3384" s="366" t="s">
        <v>39</v>
      </c>
      <c r="G3384" s="348" t="str">
        <f>"'"&amp;$C3384&amp;"'!$E$63:$Y$63"</f>
        <v>'BLD_NT'!$E$63:$Y$63</v>
      </c>
      <c r="H3384" s="381">
        <f ca="1">IF(IFERROR(INDEX(DATA_PROPERTY_MASTER!$E$5:$E$21,MATCH($C3384,DATA_PROPERTY_MASTER!$A$5:$A$21,0))="Yes",FALSE),MAX(-IFERROR(INDEX(INDIRECT("'"&amp;$C3384&amp;"'!$E$63:$Y$63"),1,MATCH($D3384,INDIRECT("'"&amp;$C3384&amp;"'!$E$12:$Y$12"),0)),0),0),0)</f>
        <v>0</v>
      </c>
      <c r="I3384" s="366" t="s">
        <v>1690</v>
      </c>
      <c r="J3384" s="348" t="str">
        <f t="shared" ca="1" si="104"/>
        <v>OK</v>
      </c>
      <c r="K3384" s="366" t="s">
        <v>1738</v>
      </c>
      <c r="L3384" s="366" t="s">
        <v>2260</v>
      </c>
      <c r="M3384" s="350" t="str">
        <f>IF($B3384="Portfolio","Portfolio",IFERROR(INDEX(DATA_ASSET_CLASSIFICATION!$B$8:$B$24,MATCH($C3384,DATA_ASSET_CLASSIFICATION!$A$8:$A$24,0)),"Review"))</f>
        <v>Natalia Terrace</v>
      </c>
      <c r="N3384" s="350" t="str">
        <f ca="1">IF($B3384="Portfolio","Portfolio",IFERROR(INDEX(DATA_ASSET_CLASSIFICATION!$U$8:$U$24,MATCH($C3384,DATA_ASSET_CLASSIFICATION!$A$8:$A$24,0)),"Review"))</f>
        <v>Refi Watch</v>
      </c>
      <c r="O3384" s="350" t="str">
        <f ca="1">IF($B3384="Portfolio","Portfolio",IFERROR(INDEX(DATA_ASSET_CLASSIFICATION!$AB$8:$AB$13,MATCH($N3384,DATA_ASSET_CLASSIFICATION!$AA$8:$AA$13,0)),"Review"))</f>
        <v>Bucket 2 · Legacy</v>
      </c>
      <c r="P3384" s="350" t="str">
        <f>IF($B3384="Portfolio","Portfolio",IFERROR(INDEX(DATA_ASSET_CLASSIFICATION!$C$8:$C$24,MATCH($C3384,DATA_ASSET_CLASSIFICATION!$A$8:$A$24,0)),"Review"))</f>
        <v>Yes</v>
      </c>
      <c r="Q3384" s="350" t="str">
        <f t="shared" ca="1" si="105"/>
        <v>OK</v>
      </c>
    </row>
    <row r="3385" spans="1:17">
      <c r="A3385" s="366" t="s">
        <v>5341</v>
      </c>
      <c r="B3385" s="366" t="s">
        <v>231</v>
      </c>
      <c r="C3385" s="348" t="str">
        <f>DATA_PROPERTY_MASTER!$A$15</f>
        <v>BLD_NT</v>
      </c>
      <c r="D3385" s="380">
        <f>'00_PORTFOLIO ROLLUP'!P$12</f>
        <v>2036</v>
      </c>
      <c r="E3385" s="366" t="s">
        <v>1741</v>
      </c>
      <c r="F3385" s="366" t="s">
        <v>41</v>
      </c>
      <c r="G3385" s="348" t="str">
        <f>"'"&amp;$C3385&amp;"'!rows 56 + positive row 63"</f>
        <v>'BLD_NT'!rows 56 + positive row 63</v>
      </c>
      <c r="H3385" s="381">
        <f ca="1">IF(IFERROR(INDEX(DATA_PROPERTY_MASTER!$E$5:$E$21,MATCH($C3385,DATA_PROPERTY_MASTER!$A$5:$A$21,0))="Yes",FALSE),IFERROR(INDEX(INDIRECT("'"&amp;$C3385&amp;"'!$E$56:$Y$56"),1,MATCH($D3385,INDIRECT("'"&amp;$C3385&amp;"'!$E$12:$Y$12"),0)),0)+MAX(IFERROR(INDEX(INDIRECT("'"&amp;$C3385&amp;"'!$E$63:$Y$63"),1,MATCH($D3385,INDIRECT("'"&amp;$C3385&amp;"'!$E$12:$Y$12"),0)),0),0),0)</f>
        <v>187253.79112862365</v>
      </c>
      <c r="I3385" s="366" t="s">
        <v>1685</v>
      </c>
      <c r="J3385" s="348" t="str">
        <f t="shared" ca="1" si="104"/>
        <v>OK</v>
      </c>
      <c r="K3385" s="366" t="s">
        <v>1742</v>
      </c>
      <c r="L3385" s="366" t="s">
        <v>2262</v>
      </c>
      <c r="M3385" s="350" t="str">
        <f>IF($B3385="Portfolio","Portfolio",IFERROR(INDEX(DATA_ASSET_CLASSIFICATION!$B$8:$B$24,MATCH($C3385,DATA_ASSET_CLASSIFICATION!$A$8:$A$24,0)),"Review"))</f>
        <v>Natalia Terrace</v>
      </c>
      <c r="N3385" s="350" t="str">
        <f ca="1">IF($B3385="Portfolio","Portfolio",IFERROR(INDEX(DATA_ASSET_CLASSIFICATION!$U$8:$U$24,MATCH($C3385,DATA_ASSET_CLASSIFICATION!$A$8:$A$24,0)),"Review"))</f>
        <v>Refi Watch</v>
      </c>
      <c r="O3385" s="350" t="str">
        <f ca="1">IF($B3385="Portfolio","Portfolio",IFERROR(INDEX(DATA_ASSET_CLASSIFICATION!$AB$8:$AB$13,MATCH($N3385,DATA_ASSET_CLASSIFICATION!$AA$8:$AA$13,0)),"Review"))</f>
        <v>Bucket 2 · Legacy</v>
      </c>
      <c r="P3385" s="350" t="str">
        <f>IF($B3385="Portfolio","Portfolio",IFERROR(INDEX(DATA_ASSET_CLASSIFICATION!$C$8:$C$24,MATCH($C3385,DATA_ASSET_CLASSIFICATION!$A$8:$A$24,0)),"Review"))</f>
        <v>Yes</v>
      </c>
      <c r="Q3385" s="350" t="str">
        <f t="shared" ca="1" si="105"/>
        <v>OK</v>
      </c>
    </row>
    <row r="3386" spans="1:17">
      <c r="A3386" s="366" t="s">
        <v>5342</v>
      </c>
      <c r="B3386" s="366" t="s">
        <v>231</v>
      </c>
      <c r="C3386" s="348" t="str">
        <f>DATA_PROPERTY_MASTER!$A$15</f>
        <v>BLD_NT</v>
      </c>
      <c r="D3386" s="380">
        <f>'00_PORTFOLIO ROLLUP'!P$12</f>
        <v>2036</v>
      </c>
      <c r="E3386" s="366" t="s">
        <v>1741</v>
      </c>
      <c r="F3386" s="366" t="s">
        <v>43</v>
      </c>
      <c r="G3386" s="348" t="str">
        <f>"'"&amp;$C3386&amp;"'!$E$68:$Y$68"</f>
        <v>'BLD_NT'!$E$68:$Y$68</v>
      </c>
      <c r="H3386" s="381">
        <f ca="1">IF(IFERROR(INDEX(DATA_PROPERTY_MASTER!$E$5:$E$21,MATCH($C3386,DATA_PROPERTY_MASTER!$A$5:$A$21,0))="Yes",FALSE),IFERROR(INDEX(INDIRECT("'"&amp;$C3386&amp;"'!$E$68:$Y$68"),1,MATCH($D3386,INDIRECT("'"&amp;$C3386&amp;"'!$E$12:$Y$12"),0)),0),0)</f>
        <v>187253.79112862365</v>
      </c>
      <c r="I3386" s="366" t="s">
        <v>1731</v>
      </c>
      <c r="J3386" s="348" t="str">
        <f t="shared" ca="1" si="104"/>
        <v>OK</v>
      </c>
      <c r="K3386" s="366" t="s">
        <v>1746</v>
      </c>
      <c r="L3386" s="366" t="s">
        <v>2264</v>
      </c>
      <c r="M3386" s="350" t="str">
        <f>IF($B3386="Portfolio","Portfolio",IFERROR(INDEX(DATA_ASSET_CLASSIFICATION!$B$8:$B$24,MATCH($C3386,DATA_ASSET_CLASSIFICATION!$A$8:$A$24,0)),"Review"))</f>
        <v>Natalia Terrace</v>
      </c>
      <c r="N3386" s="350" t="str">
        <f ca="1">IF($B3386="Portfolio","Portfolio",IFERROR(INDEX(DATA_ASSET_CLASSIFICATION!$U$8:$U$24,MATCH($C3386,DATA_ASSET_CLASSIFICATION!$A$8:$A$24,0)),"Review"))</f>
        <v>Refi Watch</v>
      </c>
      <c r="O3386" s="350" t="str">
        <f ca="1">IF($B3386="Portfolio","Portfolio",IFERROR(INDEX(DATA_ASSET_CLASSIFICATION!$AB$8:$AB$13,MATCH($N3386,DATA_ASSET_CLASSIFICATION!$AA$8:$AA$13,0)),"Review"))</f>
        <v>Bucket 2 · Legacy</v>
      </c>
      <c r="P3386" s="350" t="str">
        <f>IF($B3386="Portfolio","Portfolio",IFERROR(INDEX(DATA_ASSET_CLASSIFICATION!$C$8:$C$24,MATCH($C3386,DATA_ASSET_CLASSIFICATION!$A$8:$A$24,0)),"Review"))</f>
        <v>Yes</v>
      </c>
      <c r="Q3386" s="350" t="str">
        <f t="shared" ca="1" si="105"/>
        <v>OK</v>
      </c>
    </row>
    <row r="3387" spans="1:17">
      <c r="A3387" s="366" t="s">
        <v>5343</v>
      </c>
      <c r="B3387" s="366" t="s">
        <v>231</v>
      </c>
      <c r="C3387" s="348" t="str">
        <f>DATA_PROPERTY_MASTER!$A$15</f>
        <v>BLD_NT</v>
      </c>
      <c r="D3387" s="380">
        <f>'00_PORTFOLIO ROLLUP'!P$12</f>
        <v>2036</v>
      </c>
      <c r="E3387" s="366" t="s">
        <v>1741</v>
      </c>
      <c r="F3387" s="366" t="s">
        <v>1749</v>
      </c>
      <c r="G3387" s="348" t="str">
        <f>"'"&amp;$C3387&amp;"'!rows 56, 63, 68"</f>
        <v>'BLD_NT'!rows 56, 63, 68</v>
      </c>
      <c r="H3387" s="381">
        <f ca="1">IF(IFERROR(INDEX(DATA_PROPERTY_MASTER!$E$5:$E$21,MATCH($C3387,DATA_PROPERTY_MASTER!$A$5:$A$21,0))="Yes",FALSE),(IFERROR(INDEX(INDIRECT("'"&amp;$C3387&amp;"'!$E$56:$Y$56"),1,MATCH($D3387,INDIRECT("'"&amp;$C3387&amp;"'!$E$12:$Y$12"),0)),0)+MAX(IFERROR(INDEX(INDIRECT("'"&amp;$C3387&amp;"'!$E$63:$Y$63"),1,MATCH($D3387,INDIRECT("'"&amp;$C3387&amp;"'!$E$12:$Y$12"),0)),0),0))-(IFERROR(INDEX(INDIRECT("'"&amp;$C3387&amp;"'!$E$68:$Y$68"),1,MATCH($D3387,INDIRECT("'"&amp;$C3387&amp;"'!$E$12:$Y$12"),0)),0)),0)</f>
        <v>0</v>
      </c>
      <c r="I3387" s="366" t="s">
        <v>1750</v>
      </c>
      <c r="J3387" s="348" t="str">
        <f t="shared" ca="1" si="104"/>
        <v>OK</v>
      </c>
      <c r="K3387" s="366" t="s">
        <v>1751</v>
      </c>
      <c r="L3387" s="366" t="s">
        <v>2266</v>
      </c>
      <c r="M3387" s="350" t="str">
        <f>IF($B3387="Portfolio","Portfolio",IFERROR(INDEX(DATA_ASSET_CLASSIFICATION!$B$8:$B$24,MATCH($C3387,DATA_ASSET_CLASSIFICATION!$A$8:$A$24,0)),"Review"))</f>
        <v>Natalia Terrace</v>
      </c>
      <c r="N3387" s="350" t="str">
        <f ca="1">IF($B3387="Portfolio","Portfolio",IFERROR(INDEX(DATA_ASSET_CLASSIFICATION!$U$8:$U$24,MATCH($C3387,DATA_ASSET_CLASSIFICATION!$A$8:$A$24,0)),"Review"))</f>
        <v>Refi Watch</v>
      </c>
      <c r="O3387" s="350" t="str">
        <f ca="1">IF($B3387="Portfolio","Portfolio",IFERROR(INDEX(DATA_ASSET_CLASSIFICATION!$AB$8:$AB$13,MATCH($N3387,DATA_ASSET_CLASSIFICATION!$AA$8:$AA$13,0)),"Review"))</f>
        <v>Bucket 2 · Legacy</v>
      </c>
      <c r="P3387" s="350" t="str">
        <f>IF($B3387="Portfolio","Portfolio",IFERROR(INDEX(DATA_ASSET_CLASSIFICATION!$C$8:$C$24,MATCH($C3387,DATA_ASSET_CLASSIFICATION!$A$8:$A$24,0)),"Review"))</f>
        <v>Yes</v>
      </c>
      <c r="Q3387" s="350" t="str">
        <f t="shared" ca="1" si="105"/>
        <v>OK</v>
      </c>
    </row>
    <row r="3388" spans="1:17">
      <c r="A3388" s="366" t="s">
        <v>5344</v>
      </c>
      <c r="B3388" s="366" t="s">
        <v>231</v>
      </c>
      <c r="C3388" s="348" t="str">
        <f>DATA_PROPERTY_MASTER!$A$15</f>
        <v>BLD_NT</v>
      </c>
      <c r="D3388" s="380">
        <f>'00_PORTFOLIO ROLLUP'!Q$12</f>
        <v>2037</v>
      </c>
      <c r="E3388" s="366" t="s">
        <v>1683</v>
      </c>
      <c r="F3388" s="366" t="s">
        <v>341</v>
      </c>
      <c r="G3388" s="348" t="str">
        <f>"'"&amp;$C3388&amp;"'!$E$24:$Y$24"</f>
        <v>'BLD_NT'!$E$24:$Y$24</v>
      </c>
      <c r="H3388" s="381">
        <f ca="1">IF(IFERROR(INDEX(DATA_PROPERTY_MASTER!$E$5:$E$21,MATCH($C3388,DATA_PROPERTY_MASTER!$A$5:$A$21,0))="Yes",FALSE),IFERROR(INDEX(INDIRECT("'"&amp;$C3388&amp;"'!$E$24:$Y$24"),1,MATCH($D3388,INDIRECT("'"&amp;$C3388&amp;"'!$E$12:$Y$12"),0)),0),0)</f>
        <v>918197.72500367463</v>
      </c>
      <c r="I3388" s="366" t="s">
        <v>1685</v>
      </c>
      <c r="J3388" s="348" t="str">
        <f t="shared" ca="1" si="104"/>
        <v>OK</v>
      </c>
      <c r="K3388" s="366" t="s">
        <v>1686</v>
      </c>
      <c r="L3388" s="366" t="s">
        <v>2234</v>
      </c>
      <c r="M3388" s="350" t="str">
        <f>IF($B3388="Portfolio","Portfolio",IFERROR(INDEX(DATA_ASSET_CLASSIFICATION!$B$8:$B$24,MATCH($C3388,DATA_ASSET_CLASSIFICATION!$A$8:$A$24,0)),"Review"))</f>
        <v>Natalia Terrace</v>
      </c>
      <c r="N3388" s="350" t="str">
        <f ca="1">IF($B3388="Portfolio","Portfolio",IFERROR(INDEX(DATA_ASSET_CLASSIFICATION!$U$8:$U$24,MATCH($C3388,DATA_ASSET_CLASSIFICATION!$A$8:$A$24,0)),"Review"))</f>
        <v>Refi Watch</v>
      </c>
      <c r="O3388" s="350" t="str">
        <f ca="1">IF($B3388="Portfolio","Portfolio",IFERROR(INDEX(DATA_ASSET_CLASSIFICATION!$AB$8:$AB$13,MATCH($N3388,DATA_ASSET_CLASSIFICATION!$AA$8:$AA$13,0)),"Review"))</f>
        <v>Bucket 2 · Legacy</v>
      </c>
      <c r="P3388" s="350" t="str">
        <f>IF($B3388="Portfolio","Portfolio",IFERROR(INDEX(DATA_ASSET_CLASSIFICATION!$C$8:$C$24,MATCH($C3388,DATA_ASSET_CLASSIFICATION!$A$8:$A$24,0)),"Review"))</f>
        <v>Yes</v>
      </c>
      <c r="Q3388" s="350" t="str">
        <f t="shared" ca="1" si="105"/>
        <v>OK</v>
      </c>
    </row>
    <row r="3389" spans="1:17">
      <c r="A3389" s="366" t="s">
        <v>5345</v>
      </c>
      <c r="B3389" s="366" t="s">
        <v>231</v>
      </c>
      <c r="C3389" s="348" t="str">
        <f>DATA_PROPERTY_MASTER!$A$15</f>
        <v>BLD_NT</v>
      </c>
      <c r="D3389" s="380">
        <f>'00_PORTFOLIO ROLLUP'!Q$12</f>
        <v>2037</v>
      </c>
      <c r="E3389" s="366" t="s">
        <v>1683</v>
      </c>
      <c r="F3389" s="366" t="s">
        <v>355</v>
      </c>
      <c r="G3389" s="348" t="str">
        <f>"'"&amp;$C3389&amp;"'!$E$39:$Y$39"</f>
        <v>'BLD_NT'!$E$39:$Y$39</v>
      </c>
      <c r="H3389" s="381">
        <f ca="1">IF(IFERROR(INDEX(DATA_PROPERTY_MASTER!$E$5:$E$21,MATCH($C3389,DATA_PROPERTY_MASTER!$A$5:$A$21,0))="Yes",FALSE),IFERROR(INDEX(INDIRECT("'"&amp;$C3389&amp;"'!$E$39:$Y$39"),1,MATCH($D3389,INDIRECT("'"&amp;$C3389&amp;"'!$E$12:$Y$12"),0)),0),0)</f>
        <v>442860.85447679088</v>
      </c>
      <c r="I3389" s="366" t="s">
        <v>1690</v>
      </c>
      <c r="J3389" s="348" t="str">
        <f t="shared" ca="1" si="104"/>
        <v>OK</v>
      </c>
      <c r="K3389" s="366" t="s">
        <v>1686</v>
      </c>
      <c r="L3389" s="366" t="s">
        <v>2236</v>
      </c>
      <c r="M3389" s="350" t="str">
        <f>IF($B3389="Portfolio","Portfolio",IFERROR(INDEX(DATA_ASSET_CLASSIFICATION!$B$8:$B$24,MATCH($C3389,DATA_ASSET_CLASSIFICATION!$A$8:$A$24,0)),"Review"))</f>
        <v>Natalia Terrace</v>
      </c>
      <c r="N3389" s="350" t="str">
        <f ca="1">IF($B3389="Portfolio","Portfolio",IFERROR(INDEX(DATA_ASSET_CLASSIFICATION!$U$8:$U$24,MATCH($C3389,DATA_ASSET_CLASSIFICATION!$A$8:$A$24,0)),"Review"))</f>
        <v>Refi Watch</v>
      </c>
      <c r="O3389" s="350" t="str">
        <f ca="1">IF($B3389="Portfolio","Portfolio",IFERROR(INDEX(DATA_ASSET_CLASSIFICATION!$AB$8:$AB$13,MATCH($N3389,DATA_ASSET_CLASSIFICATION!$AA$8:$AA$13,0)),"Review"))</f>
        <v>Bucket 2 · Legacy</v>
      </c>
      <c r="P3389" s="350" t="str">
        <f>IF($B3389="Portfolio","Portfolio",IFERROR(INDEX(DATA_ASSET_CLASSIFICATION!$C$8:$C$24,MATCH($C3389,DATA_ASSET_CLASSIFICATION!$A$8:$A$24,0)),"Review"))</f>
        <v>Yes</v>
      </c>
      <c r="Q3389" s="350" t="str">
        <f t="shared" ca="1" si="105"/>
        <v>OK</v>
      </c>
    </row>
    <row r="3390" spans="1:17">
      <c r="A3390" s="366" t="s">
        <v>5346</v>
      </c>
      <c r="B3390" s="366" t="s">
        <v>231</v>
      </c>
      <c r="C3390" s="348" t="str">
        <f>DATA_PROPERTY_MASTER!$A$15</f>
        <v>BLD_NT</v>
      </c>
      <c r="D3390" s="380">
        <f>'00_PORTFOLIO ROLLUP'!Q$12</f>
        <v>2037</v>
      </c>
      <c r="E3390" s="366" t="s">
        <v>1683</v>
      </c>
      <c r="F3390" s="366" t="s">
        <v>19</v>
      </c>
      <c r="G3390" s="348" t="str">
        <f>"'"&amp;$C3390&amp;"'!$E$41:$Y$41"</f>
        <v>'BLD_NT'!$E$41:$Y$41</v>
      </c>
      <c r="H3390" s="381">
        <f ca="1">IF(IFERROR(INDEX(DATA_PROPERTY_MASTER!$E$5:$E$21,MATCH($C3390,DATA_PROPERTY_MASTER!$A$5:$A$21,0))="Yes",FALSE),IFERROR(INDEX(INDIRECT("'"&amp;$C3390&amp;"'!$E$41:$Y$41"),1,MATCH($D3390,INDIRECT("'"&amp;$C3390&amp;"'!$E$12:$Y$12"),0)),0),0)</f>
        <v>475336.87052688375</v>
      </c>
      <c r="I3390" s="366" t="s">
        <v>1685</v>
      </c>
      <c r="J3390" s="348" t="str">
        <f t="shared" ca="1" si="104"/>
        <v>OK</v>
      </c>
      <c r="K3390" s="366" t="s">
        <v>1694</v>
      </c>
      <c r="L3390" s="366" t="s">
        <v>2238</v>
      </c>
      <c r="M3390" s="350" t="str">
        <f>IF($B3390="Portfolio","Portfolio",IFERROR(INDEX(DATA_ASSET_CLASSIFICATION!$B$8:$B$24,MATCH($C3390,DATA_ASSET_CLASSIFICATION!$A$8:$A$24,0)),"Review"))</f>
        <v>Natalia Terrace</v>
      </c>
      <c r="N3390" s="350" t="str">
        <f ca="1">IF($B3390="Portfolio","Portfolio",IFERROR(INDEX(DATA_ASSET_CLASSIFICATION!$U$8:$U$24,MATCH($C3390,DATA_ASSET_CLASSIFICATION!$A$8:$A$24,0)),"Review"))</f>
        <v>Refi Watch</v>
      </c>
      <c r="O3390" s="350" t="str">
        <f ca="1">IF($B3390="Portfolio","Portfolio",IFERROR(INDEX(DATA_ASSET_CLASSIFICATION!$AB$8:$AB$13,MATCH($N3390,DATA_ASSET_CLASSIFICATION!$AA$8:$AA$13,0)),"Review"))</f>
        <v>Bucket 2 · Legacy</v>
      </c>
      <c r="P3390" s="350" t="str">
        <f>IF($B3390="Portfolio","Portfolio",IFERROR(INDEX(DATA_ASSET_CLASSIFICATION!$C$8:$C$24,MATCH($C3390,DATA_ASSET_CLASSIFICATION!$A$8:$A$24,0)),"Review"))</f>
        <v>Yes</v>
      </c>
      <c r="Q3390" s="350" t="str">
        <f t="shared" ca="1" si="105"/>
        <v>OK</v>
      </c>
    </row>
    <row r="3391" spans="1:17">
      <c r="A3391" s="366" t="s">
        <v>5347</v>
      </c>
      <c r="B3391" s="366" t="s">
        <v>231</v>
      </c>
      <c r="C3391" s="348" t="str">
        <f>DATA_PROPERTY_MASTER!$A$15</f>
        <v>BLD_NT</v>
      </c>
      <c r="D3391" s="380">
        <f>'00_PORTFOLIO ROLLUP'!Q$12</f>
        <v>2037</v>
      </c>
      <c r="E3391" s="366" t="s">
        <v>1683</v>
      </c>
      <c r="F3391" s="366" t="s">
        <v>1697</v>
      </c>
      <c r="G3391" s="348" t="str">
        <f>"'"&amp;$C3391&amp;"'!$E$44:$Y$44"</f>
        <v>'BLD_NT'!$E$44:$Y$44</v>
      </c>
      <c r="H3391" s="381">
        <f ca="1">IF(IFERROR(INDEX(DATA_PROPERTY_MASTER!$E$5:$E$21,MATCH($C3391,DATA_PROPERTY_MASTER!$A$5:$A$21,0))="Yes",FALSE),IFERROR(INDEX(INDIRECT("'"&amp;$C3391&amp;"'!$E$44:$Y$44"),1,MATCH($D3391,INDIRECT("'"&amp;$C3391&amp;"'!$E$12:$Y$12"),0)),0),0)</f>
        <v>7609.4507673752714</v>
      </c>
      <c r="I3391" s="366" t="s">
        <v>1690</v>
      </c>
      <c r="J3391" s="348" t="str">
        <f t="shared" ca="1" si="104"/>
        <v>OK</v>
      </c>
      <c r="K3391" s="366" t="s">
        <v>1699</v>
      </c>
      <c r="L3391" s="366" t="s">
        <v>2240</v>
      </c>
      <c r="M3391" s="350" t="str">
        <f>IF($B3391="Portfolio","Portfolio",IFERROR(INDEX(DATA_ASSET_CLASSIFICATION!$B$8:$B$24,MATCH($C3391,DATA_ASSET_CLASSIFICATION!$A$8:$A$24,0)),"Review"))</f>
        <v>Natalia Terrace</v>
      </c>
      <c r="N3391" s="350" t="str">
        <f ca="1">IF($B3391="Portfolio","Portfolio",IFERROR(INDEX(DATA_ASSET_CLASSIFICATION!$U$8:$U$24,MATCH($C3391,DATA_ASSET_CLASSIFICATION!$A$8:$A$24,0)),"Review"))</f>
        <v>Refi Watch</v>
      </c>
      <c r="O3391" s="350" t="str">
        <f ca="1">IF($B3391="Portfolio","Portfolio",IFERROR(INDEX(DATA_ASSET_CLASSIFICATION!$AB$8:$AB$13,MATCH($N3391,DATA_ASSET_CLASSIFICATION!$AA$8:$AA$13,0)),"Review"))</f>
        <v>Bucket 2 · Legacy</v>
      </c>
      <c r="P3391" s="350" t="str">
        <f>IF($B3391="Portfolio","Portfolio",IFERROR(INDEX(DATA_ASSET_CLASSIFICATION!$C$8:$C$24,MATCH($C3391,DATA_ASSET_CLASSIFICATION!$A$8:$A$24,0)),"Review"))</f>
        <v>Yes</v>
      </c>
      <c r="Q3391" s="350" t="str">
        <f t="shared" ca="1" si="105"/>
        <v>OK</v>
      </c>
    </row>
    <row r="3392" spans="1:17">
      <c r="A3392" s="366" t="s">
        <v>5348</v>
      </c>
      <c r="B3392" s="366" t="s">
        <v>231</v>
      </c>
      <c r="C3392" s="348" t="str">
        <f>DATA_PROPERTY_MASTER!$A$15</f>
        <v>BLD_NT</v>
      </c>
      <c r="D3392" s="380">
        <f>'00_PORTFOLIO ROLLUP'!Q$12</f>
        <v>2037</v>
      </c>
      <c r="E3392" s="366" t="s">
        <v>1683</v>
      </c>
      <c r="F3392" s="366" t="s">
        <v>21</v>
      </c>
      <c r="G3392" s="348" t="str">
        <f>"'"&amp;$C3392&amp;"'!$E$45:$Y$45"</f>
        <v>'BLD_NT'!$E$45:$Y$45</v>
      </c>
      <c r="H3392" s="381">
        <f ca="1">IF(IFERROR(INDEX(DATA_PROPERTY_MASTER!$E$5:$E$21,MATCH($C3392,DATA_PROPERTY_MASTER!$A$5:$A$21,0))="Yes",FALSE),IFERROR(INDEX(INDIRECT("'"&amp;$C3392&amp;"'!$E$45:$Y$45"),1,MATCH($D3392,INDIRECT("'"&amp;$C3392&amp;"'!$E$12:$Y$12"),0)),0),0)</f>
        <v>467727.41975950846</v>
      </c>
      <c r="I3392" s="366" t="s">
        <v>1685</v>
      </c>
      <c r="J3392" s="348" t="str">
        <f t="shared" ca="1" si="104"/>
        <v>OK</v>
      </c>
      <c r="K3392" s="366" t="s">
        <v>1694</v>
      </c>
      <c r="L3392" s="366" t="s">
        <v>2242</v>
      </c>
      <c r="M3392" s="350" t="str">
        <f>IF($B3392="Portfolio","Portfolio",IFERROR(INDEX(DATA_ASSET_CLASSIFICATION!$B$8:$B$24,MATCH($C3392,DATA_ASSET_CLASSIFICATION!$A$8:$A$24,0)),"Review"))</f>
        <v>Natalia Terrace</v>
      </c>
      <c r="N3392" s="350" t="str">
        <f ca="1">IF($B3392="Portfolio","Portfolio",IFERROR(INDEX(DATA_ASSET_CLASSIFICATION!$U$8:$U$24,MATCH($C3392,DATA_ASSET_CLASSIFICATION!$A$8:$A$24,0)),"Review"))</f>
        <v>Refi Watch</v>
      </c>
      <c r="O3392" s="350" t="str">
        <f ca="1">IF($B3392="Portfolio","Portfolio",IFERROR(INDEX(DATA_ASSET_CLASSIFICATION!$AB$8:$AB$13,MATCH($N3392,DATA_ASSET_CLASSIFICATION!$AA$8:$AA$13,0)),"Review"))</f>
        <v>Bucket 2 · Legacy</v>
      </c>
      <c r="P3392" s="350" t="str">
        <f>IF($B3392="Portfolio","Portfolio",IFERROR(INDEX(DATA_ASSET_CLASSIFICATION!$C$8:$C$24,MATCH($C3392,DATA_ASSET_CLASSIFICATION!$A$8:$A$24,0)),"Review"))</f>
        <v>Yes</v>
      </c>
      <c r="Q3392" s="350" t="str">
        <f t="shared" ca="1" si="105"/>
        <v>OK</v>
      </c>
    </row>
    <row r="3393" spans="1:17">
      <c r="A3393" s="366" t="s">
        <v>5349</v>
      </c>
      <c r="B3393" s="366" t="s">
        <v>231</v>
      </c>
      <c r="C3393" s="348" t="str">
        <f>DATA_PROPERTY_MASTER!$A$15</f>
        <v>BLD_NT</v>
      </c>
      <c r="D3393" s="380">
        <f>'00_PORTFOLIO ROLLUP'!Q$12</f>
        <v>2037</v>
      </c>
      <c r="E3393" s="366" t="s">
        <v>23</v>
      </c>
      <c r="F3393" s="366" t="s">
        <v>23</v>
      </c>
      <c r="G3393" s="348" t="str">
        <f>"'"&amp;$C3393&amp;"'!$E$48:$Y$48"</f>
        <v>'BLD_NT'!$E$48:$Y$48</v>
      </c>
      <c r="H3393" s="381">
        <f ca="1">IF(IFERROR(INDEX(DATA_PROPERTY_MASTER!$E$5:$E$21,MATCH($C3393,DATA_PROPERTY_MASTER!$A$5:$A$21,0))="Yes",FALSE),IFERROR(INDEX(INDIRECT("'"&amp;$C3393&amp;"'!$E$48:$Y$48"),1,MATCH($D3393,INDIRECT("'"&amp;$C3393&amp;"'!$E$12:$Y$12"),0)),0),0)</f>
        <v>0</v>
      </c>
      <c r="I3393" s="366" t="s">
        <v>1690</v>
      </c>
      <c r="J3393" s="348" t="str">
        <f t="shared" ca="1" si="104"/>
        <v>OK</v>
      </c>
      <c r="K3393" s="366" t="s">
        <v>1706</v>
      </c>
      <c r="L3393" s="366" t="s">
        <v>2244</v>
      </c>
      <c r="M3393" s="350" t="str">
        <f>IF($B3393="Portfolio","Portfolio",IFERROR(INDEX(DATA_ASSET_CLASSIFICATION!$B$8:$B$24,MATCH($C3393,DATA_ASSET_CLASSIFICATION!$A$8:$A$24,0)),"Review"))</f>
        <v>Natalia Terrace</v>
      </c>
      <c r="N3393" s="350" t="str">
        <f ca="1">IF($B3393="Portfolio","Portfolio",IFERROR(INDEX(DATA_ASSET_CLASSIFICATION!$U$8:$U$24,MATCH($C3393,DATA_ASSET_CLASSIFICATION!$A$8:$A$24,0)),"Review"))</f>
        <v>Refi Watch</v>
      </c>
      <c r="O3393" s="350" t="str">
        <f ca="1">IF($B3393="Portfolio","Portfolio",IFERROR(INDEX(DATA_ASSET_CLASSIFICATION!$AB$8:$AB$13,MATCH($N3393,DATA_ASSET_CLASSIFICATION!$AA$8:$AA$13,0)),"Review"))</f>
        <v>Bucket 2 · Legacy</v>
      </c>
      <c r="P3393" s="350" t="str">
        <f>IF($B3393="Portfolio","Portfolio",IFERROR(INDEX(DATA_ASSET_CLASSIFICATION!$C$8:$C$24,MATCH($C3393,DATA_ASSET_CLASSIFICATION!$A$8:$A$24,0)),"Review"))</f>
        <v>Yes</v>
      </c>
      <c r="Q3393" s="350" t="str">
        <f t="shared" ca="1" si="105"/>
        <v>OK</v>
      </c>
    </row>
    <row r="3394" spans="1:17">
      <c r="A3394" s="366" t="s">
        <v>5350</v>
      </c>
      <c r="B3394" s="366" t="s">
        <v>231</v>
      </c>
      <c r="C3394" s="348" t="str">
        <f>DATA_PROPERTY_MASTER!$A$15</f>
        <v>BLD_NT</v>
      </c>
      <c r="D3394" s="380">
        <f>'00_PORTFOLIO ROLLUP'!Q$12</f>
        <v>2037</v>
      </c>
      <c r="E3394" s="366" t="s">
        <v>1683</v>
      </c>
      <c r="F3394" s="366" t="s">
        <v>25</v>
      </c>
      <c r="G3394" s="348" t="str">
        <f>"'"&amp;$C3394&amp;"'!$E$52:$Y$52"</f>
        <v>'BLD_NT'!$E$52:$Y$52</v>
      </c>
      <c r="H3394" s="381">
        <f ca="1">IF(IFERROR(INDEX(DATA_PROPERTY_MASTER!$E$5:$E$21,MATCH($C3394,DATA_PROPERTY_MASTER!$A$5:$A$21,0))="Yes",FALSE),IFERROR(INDEX(INDIRECT("'"&amp;$C3394&amp;"'!$E$52:$Y$52"),1,MATCH($D3394,INDIRECT("'"&amp;$C3394&amp;"'!$E$12:$Y$12"),0)),0),0)</f>
        <v>475336.87052688375</v>
      </c>
      <c r="I3394" s="366" t="s">
        <v>1685</v>
      </c>
      <c r="J3394" s="348" t="str">
        <f t="shared" ca="1" si="104"/>
        <v>OK</v>
      </c>
      <c r="K3394" s="366" t="s">
        <v>1710</v>
      </c>
      <c r="L3394" s="366" t="s">
        <v>2246</v>
      </c>
      <c r="M3394" s="350" t="str">
        <f>IF($B3394="Portfolio","Portfolio",IFERROR(INDEX(DATA_ASSET_CLASSIFICATION!$B$8:$B$24,MATCH($C3394,DATA_ASSET_CLASSIFICATION!$A$8:$A$24,0)),"Review"))</f>
        <v>Natalia Terrace</v>
      </c>
      <c r="N3394" s="350" t="str">
        <f ca="1">IF($B3394="Portfolio","Portfolio",IFERROR(INDEX(DATA_ASSET_CLASSIFICATION!$U$8:$U$24,MATCH($C3394,DATA_ASSET_CLASSIFICATION!$A$8:$A$24,0)),"Review"))</f>
        <v>Refi Watch</v>
      </c>
      <c r="O3394" s="350" t="str">
        <f ca="1">IF($B3394="Portfolio","Portfolio",IFERROR(INDEX(DATA_ASSET_CLASSIFICATION!$AB$8:$AB$13,MATCH($N3394,DATA_ASSET_CLASSIFICATION!$AA$8:$AA$13,0)),"Review"))</f>
        <v>Bucket 2 · Legacy</v>
      </c>
      <c r="P3394" s="350" t="str">
        <f>IF($B3394="Portfolio","Portfolio",IFERROR(INDEX(DATA_ASSET_CLASSIFICATION!$C$8:$C$24,MATCH($C3394,DATA_ASSET_CLASSIFICATION!$A$8:$A$24,0)),"Review"))</f>
        <v>Yes</v>
      </c>
      <c r="Q3394" s="350" t="str">
        <f t="shared" ca="1" si="105"/>
        <v>OK</v>
      </c>
    </row>
    <row r="3395" spans="1:17">
      <c r="A3395" s="366" t="s">
        <v>5351</v>
      </c>
      <c r="B3395" s="366" t="s">
        <v>231</v>
      </c>
      <c r="C3395" s="348" t="str">
        <f>DATA_PROPERTY_MASTER!$A$15</f>
        <v>BLD_NT</v>
      </c>
      <c r="D3395" s="380">
        <f>'00_PORTFOLIO ROLLUP'!Q$12</f>
        <v>2037</v>
      </c>
      <c r="E3395" s="366" t="s">
        <v>1683</v>
      </c>
      <c r="F3395" s="366" t="s">
        <v>27</v>
      </c>
      <c r="G3395" s="348" t="str">
        <f>"'"&amp;$C3395&amp;"'!$E$54:$Y$54"</f>
        <v>'BLD_NT'!$E$54:$Y$54</v>
      </c>
      <c r="H3395" s="381">
        <f ca="1">IF(IFERROR(INDEX(DATA_PROPERTY_MASTER!$E$5:$E$21,MATCH($C3395,DATA_PROPERTY_MASTER!$A$5:$A$21,0))="Yes",FALSE),IFERROR(INDEX(INDIRECT("'"&amp;$C3395&amp;"'!$E$54:$Y$54"),1,MATCH($D3395,INDIRECT("'"&amp;$C3395&amp;"'!$E$12:$Y$12"),0)),0),0)</f>
        <v>285202.12231613026</v>
      </c>
      <c r="I3395" s="366" t="s">
        <v>1690</v>
      </c>
      <c r="J3395" s="348" t="str">
        <f t="shared" ca="1" si="104"/>
        <v>OK</v>
      </c>
      <c r="K3395" s="366" t="s">
        <v>1714</v>
      </c>
      <c r="L3395" s="366" t="s">
        <v>2248</v>
      </c>
      <c r="M3395" s="350" t="str">
        <f>IF($B3395="Portfolio","Portfolio",IFERROR(INDEX(DATA_ASSET_CLASSIFICATION!$B$8:$B$24,MATCH($C3395,DATA_ASSET_CLASSIFICATION!$A$8:$A$24,0)),"Review"))</f>
        <v>Natalia Terrace</v>
      </c>
      <c r="N3395" s="350" t="str">
        <f ca="1">IF($B3395="Portfolio","Portfolio",IFERROR(INDEX(DATA_ASSET_CLASSIFICATION!$U$8:$U$24,MATCH($C3395,DATA_ASSET_CLASSIFICATION!$A$8:$A$24,0)),"Review"))</f>
        <v>Refi Watch</v>
      </c>
      <c r="O3395" s="350" t="str">
        <f ca="1">IF($B3395="Portfolio","Portfolio",IFERROR(INDEX(DATA_ASSET_CLASSIFICATION!$AB$8:$AB$13,MATCH($N3395,DATA_ASSET_CLASSIFICATION!$AA$8:$AA$13,0)),"Review"))</f>
        <v>Bucket 2 · Legacy</v>
      </c>
      <c r="P3395" s="350" t="str">
        <f>IF($B3395="Portfolio","Portfolio",IFERROR(INDEX(DATA_ASSET_CLASSIFICATION!$C$8:$C$24,MATCH($C3395,DATA_ASSET_CLASSIFICATION!$A$8:$A$24,0)),"Review"))</f>
        <v>Yes</v>
      </c>
      <c r="Q3395" s="350" t="str">
        <f t="shared" ca="1" si="105"/>
        <v>OK</v>
      </c>
    </row>
    <row r="3396" spans="1:17">
      <c r="A3396" s="366" t="s">
        <v>5352</v>
      </c>
      <c r="B3396" s="366" t="s">
        <v>231</v>
      </c>
      <c r="C3396" s="348" t="str">
        <f>DATA_PROPERTY_MASTER!$A$15</f>
        <v>BLD_NT</v>
      </c>
      <c r="D3396" s="380">
        <f>'00_PORTFOLIO ROLLUP'!Q$12</f>
        <v>2037</v>
      </c>
      <c r="E3396" s="366" t="s">
        <v>1683</v>
      </c>
      <c r="F3396" s="366" t="s">
        <v>29</v>
      </c>
      <c r="G3396" s="348" t="str">
        <f>"'"&amp;$C3396&amp;"'!$E$56:$Y$56"</f>
        <v>'BLD_NT'!$E$56:$Y$56</v>
      </c>
      <c r="H3396" s="381">
        <f ca="1">IF(IFERROR(INDEX(DATA_PROPERTY_MASTER!$E$5:$E$21,MATCH($C3396,DATA_PROPERTY_MASTER!$A$5:$A$21,0))="Yes",FALSE),IFERROR(INDEX(INDIRECT("'"&amp;$C3396&amp;"'!$E$56:$Y$56"),1,MATCH($D3396,INDIRECT("'"&amp;$C3396&amp;"'!$E$12:$Y$12"),0)),0),0)</f>
        <v>190134.74821075349</v>
      </c>
      <c r="I3396" s="366" t="s">
        <v>1685</v>
      </c>
      <c r="J3396" s="348" t="str">
        <f t="shared" ca="1" si="104"/>
        <v>OK</v>
      </c>
      <c r="K3396" s="366" t="s">
        <v>1718</v>
      </c>
      <c r="L3396" s="366" t="s">
        <v>2250</v>
      </c>
      <c r="M3396" s="350" t="str">
        <f>IF($B3396="Portfolio","Portfolio",IFERROR(INDEX(DATA_ASSET_CLASSIFICATION!$B$8:$B$24,MATCH($C3396,DATA_ASSET_CLASSIFICATION!$A$8:$A$24,0)),"Review"))</f>
        <v>Natalia Terrace</v>
      </c>
      <c r="N3396" s="350" t="str">
        <f ca="1">IF($B3396="Portfolio","Portfolio",IFERROR(INDEX(DATA_ASSET_CLASSIFICATION!$U$8:$U$24,MATCH($C3396,DATA_ASSET_CLASSIFICATION!$A$8:$A$24,0)),"Review"))</f>
        <v>Refi Watch</v>
      </c>
      <c r="O3396" s="350" t="str">
        <f ca="1">IF($B3396="Portfolio","Portfolio",IFERROR(INDEX(DATA_ASSET_CLASSIFICATION!$AB$8:$AB$13,MATCH($N3396,DATA_ASSET_CLASSIFICATION!$AA$8:$AA$13,0)),"Review"))</f>
        <v>Bucket 2 · Legacy</v>
      </c>
      <c r="P3396" s="350" t="str">
        <f>IF($B3396="Portfolio","Portfolio",IFERROR(INDEX(DATA_ASSET_CLASSIFICATION!$C$8:$C$24,MATCH($C3396,DATA_ASSET_CLASSIFICATION!$A$8:$A$24,0)),"Review"))</f>
        <v>Yes</v>
      </c>
      <c r="Q3396" s="350" t="str">
        <f t="shared" ca="1" si="105"/>
        <v>OK</v>
      </c>
    </row>
    <row r="3397" spans="1:17">
      <c r="A3397" s="366" t="s">
        <v>5353</v>
      </c>
      <c r="B3397" s="366" t="s">
        <v>231</v>
      </c>
      <c r="C3397" s="348" t="str">
        <f>DATA_PROPERTY_MASTER!$A$15</f>
        <v>BLD_NT</v>
      </c>
      <c r="D3397" s="380">
        <f>'00_PORTFOLIO ROLLUP'!Q$12</f>
        <v>2037</v>
      </c>
      <c r="E3397" s="366" t="s">
        <v>1721</v>
      </c>
      <c r="F3397" s="366" t="s">
        <v>31</v>
      </c>
      <c r="G3397" s="348" t="str">
        <f>"'"&amp;$C3397&amp;"'!$E$61:$Y$61"</f>
        <v>'BLD_NT'!$E$61:$Y$61</v>
      </c>
      <c r="H3397" s="381">
        <f ca="1">IF(IFERROR(INDEX(DATA_PROPERTY_MASTER!$E$5:$E$21,MATCH($C3397,DATA_PROPERTY_MASTER!$A$5:$A$21,0))="Yes",FALSE),IFERROR(INDEX(INDIRECT("'"&amp;$C3397&amp;"'!$E$61:$Y$61"),1,MATCH($D3397,INDIRECT("'"&amp;$C3397&amp;"'!$E$12:$Y$12"),0)),0),0)</f>
        <v>0</v>
      </c>
      <c r="I3397" s="366" t="s">
        <v>1690</v>
      </c>
      <c r="J3397" s="348" t="str">
        <f t="shared" ref="J3397:J3460" ca="1" si="106">IF($F3397="Residual Funding Gap",IF($H3397&gt;0,"Funding Gap","OK"),IF(AND($F3397="Net Refinance Position",$H3397&lt;0),"Negative net refi position","OK"))</f>
        <v>OK</v>
      </c>
      <c r="K3397" s="366" t="s">
        <v>1723</v>
      </c>
      <c r="L3397" s="366" t="s">
        <v>2252</v>
      </c>
      <c r="M3397" s="350" t="str">
        <f>IF($B3397="Portfolio","Portfolio",IFERROR(INDEX(DATA_ASSET_CLASSIFICATION!$B$8:$B$24,MATCH($C3397,DATA_ASSET_CLASSIFICATION!$A$8:$A$24,0)),"Review"))</f>
        <v>Natalia Terrace</v>
      </c>
      <c r="N3397" s="350" t="str">
        <f ca="1">IF($B3397="Portfolio","Portfolio",IFERROR(INDEX(DATA_ASSET_CLASSIFICATION!$U$8:$U$24,MATCH($C3397,DATA_ASSET_CLASSIFICATION!$A$8:$A$24,0)),"Review"))</f>
        <v>Refi Watch</v>
      </c>
      <c r="O3397" s="350" t="str">
        <f ca="1">IF($B3397="Portfolio","Portfolio",IFERROR(INDEX(DATA_ASSET_CLASSIFICATION!$AB$8:$AB$13,MATCH($N3397,DATA_ASSET_CLASSIFICATION!$AA$8:$AA$13,0)),"Review"))</f>
        <v>Bucket 2 · Legacy</v>
      </c>
      <c r="P3397" s="350" t="str">
        <f>IF($B3397="Portfolio","Portfolio",IFERROR(INDEX(DATA_ASSET_CLASSIFICATION!$C$8:$C$24,MATCH($C3397,DATA_ASSET_CLASSIFICATION!$A$8:$A$24,0)),"Review"))</f>
        <v>Yes</v>
      </c>
      <c r="Q3397" s="350" t="str">
        <f t="shared" ref="Q3397:Q3460" ca="1" si="107">IF(AND($B3397="Property",$F3397="Residual Funding Gap",$H3397&gt;0),"Property Funding Gap",IF($J3397&lt;&gt;"OK",$J3397,"OK"))</f>
        <v>OK</v>
      </c>
    </row>
    <row r="3398" spans="1:17">
      <c r="A3398" s="366" t="s">
        <v>5354</v>
      </c>
      <c r="B3398" s="366" t="s">
        <v>231</v>
      </c>
      <c r="C3398" s="348" t="str">
        <f>DATA_PROPERTY_MASTER!$A$15</f>
        <v>BLD_NT</v>
      </c>
      <c r="D3398" s="380">
        <f>'00_PORTFOLIO ROLLUP'!Q$12</f>
        <v>2037</v>
      </c>
      <c r="E3398" s="366" t="s">
        <v>1721</v>
      </c>
      <c r="F3398" s="366" t="s">
        <v>33</v>
      </c>
      <c r="G3398" s="348" t="str">
        <f>"'"&amp;$C3398&amp;"'!$E$62:$Y$62"</f>
        <v>'BLD_NT'!$E$62:$Y$62</v>
      </c>
      <c r="H3398" s="381">
        <f ca="1">IF(IFERROR(INDEX(DATA_PROPERTY_MASTER!$E$5:$E$21,MATCH($C3398,DATA_PROPERTY_MASTER!$A$5:$A$21,0))="Yes",FALSE),IFERROR(INDEX(INDIRECT("'"&amp;$C3398&amp;"'!$E$62:$Y$62"),1,MATCH($D3398,INDIRECT("'"&amp;$C3398&amp;"'!$E$12:$Y$12"),0)),0),0)</f>
        <v>0</v>
      </c>
      <c r="I3398" s="366" t="s">
        <v>1685</v>
      </c>
      <c r="J3398" s="348" t="str">
        <f t="shared" ca="1" si="106"/>
        <v>OK</v>
      </c>
      <c r="K3398" s="366" t="s">
        <v>1727</v>
      </c>
      <c r="L3398" s="366" t="s">
        <v>2254</v>
      </c>
      <c r="M3398" s="350" t="str">
        <f>IF($B3398="Portfolio","Portfolio",IFERROR(INDEX(DATA_ASSET_CLASSIFICATION!$B$8:$B$24,MATCH($C3398,DATA_ASSET_CLASSIFICATION!$A$8:$A$24,0)),"Review"))</f>
        <v>Natalia Terrace</v>
      </c>
      <c r="N3398" s="350" t="str">
        <f ca="1">IF($B3398="Portfolio","Portfolio",IFERROR(INDEX(DATA_ASSET_CLASSIFICATION!$U$8:$U$24,MATCH($C3398,DATA_ASSET_CLASSIFICATION!$A$8:$A$24,0)),"Review"))</f>
        <v>Refi Watch</v>
      </c>
      <c r="O3398" s="350" t="str">
        <f ca="1">IF($B3398="Portfolio","Portfolio",IFERROR(INDEX(DATA_ASSET_CLASSIFICATION!$AB$8:$AB$13,MATCH($N3398,DATA_ASSET_CLASSIFICATION!$AA$8:$AA$13,0)),"Review"))</f>
        <v>Bucket 2 · Legacy</v>
      </c>
      <c r="P3398" s="350" t="str">
        <f>IF($B3398="Portfolio","Portfolio",IFERROR(INDEX(DATA_ASSET_CLASSIFICATION!$C$8:$C$24,MATCH($C3398,DATA_ASSET_CLASSIFICATION!$A$8:$A$24,0)),"Review"))</f>
        <v>Yes</v>
      </c>
      <c r="Q3398" s="350" t="str">
        <f t="shared" ca="1" si="107"/>
        <v>OK</v>
      </c>
    </row>
    <row r="3399" spans="1:17">
      <c r="A3399" s="366" t="s">
        <v>5355</v>
      </c>
      <c r="B3399" s="366" t="s">
        <v>231</v>
      </c>
      <c r="C3399" s="348" t="str">
        <f>DATA_PROPERTY_MASTER!$A$15</f>
        <v>BLD_NT</v>
      </c>
      <c r="D3399" s="380">
        <f>'00_PORTFOLIO ROLLUP'!Q$12</f>
        <v>2037</v>
      </c>
      <c r="E3399" s="366" t="s">
        <v>1721</v>
      </c>
      <c r="F3399" s="366" t="s">
        <v>35</v>
      </c>
      <c r="G3399" s="348" t="str">
        <f>"'"&amp;$C3399&amp;"'!$E$63:$Y$63"</f>
        <v>'BLD_NT'!$E$63:$Y$63</v>
      </c>
      <c r="H3399" s="381">
        <f ca="1">IF(IFERROR(INDEX(DATA_PROPERTY_MASTER!$E$5:$E$21,MATCH($C3399,DATA_PROPERTY_MASTER!$A$5:$A$21,0))="Yes",FALSE),IFERROR(INDEX(INDIRECT("'"&amp;$C3399&amp;"'!$E$63:$Y$63"),1,MATCH($D3399,INDIRECT("'"&amp;$C3399&amp;"'!$E$12:$Y$12"),0)),0),0)</f>
        <v>0</v>
      </c>
      <c r="I3399" s="366" t="s">
        <v>1731</v>
      </c>
      <c r="J3399" s="348" t="str">
        <f t="shared" ca="1" si="106"/>
        <v>OK</v>
      </c>
      <c r="K3399" s="366" t="s">
        <v>1732</v>
      </c>
      <c r="L3399" s="366" t="s">
        <v>2256</v>
      </c>
      <c r="M3399" s="350" t="str">
        <f>IF($B3399="Portfolio","Portfolio",IFERROR(INDEX(DATA_ASSET_CLASSIFICATION!$B$8:$B$24,MATCH($C3399,DATA_ASSET_CLASSIFICATION!$A$8:$A$24,0)),"Review"))</f>
        <v>Natalia Terrace</v>
      </c>
      <c r="N3399" s="350" t="str">
        <f ca="1">IF($B3399="Portfolio","Portfolio",IFERROR(INDEX(DATA_ASSET_CLASSIFICATION!$U$8:$U$24,MATCH($C3399,DATA_ASSET_CLASSIFICATION!$A$8:$A$24,0)),"Review"))</f>
        <v>Refi Watch</v>
      </c>
      <c r="O3399" s="350" t="str">
        <f ca="1">IF($B3399="Portfolio","Portfolio",IFERROR(INDEX(DATA_ASSET_CLASSIFICATION!$AB$8:$AB$13,MATCH($N3399,DATA_ASSET_CLASSIFICATION!$AA$8:$AA$13,0)),"Review"))</f>
        <v>Bucket 2 · Legacy</v>
      </c>
      <c r="P3399" s="350" t="str">
        <f>IF($B3399="Portfolio","Portfolio",IFERROR(INDEX(DATA_ASSET_CLASSIFICATION!$C$8:$C$24,MATCH($C3399,DATA_ASSET_CLASSIFICATION!$A$8:$A$24,0)),"Review"))</f>
        <v>Yes</v>
      </c>
      <c r="Q3399" s="350" t="str">
        <f t="shared" ca="1" si="107"/>
        <v>OK</v>
      </c>
    </row>
    <row r="3400" spans="1:17">
      <c r="A3400" s="366" t="s">
        <v>5356</v>
      </c>
      <c r="B3400" s="366" t="s">
        <v>231</v>
      </c>
      <c r="C3400" s="348" t="str">
        <f>DATA_PROPERTY_MASTER!$A$15</f>
        <v>BLD_NT</v>
      </c>
      <c r="D3400" s="380">
        <f>'00_PORTFOLIO ROLLUP'!Q$12</f>
        <v>2037</v>
      </c>
      <c r="E3400" s="366" t="s">
        <v>1721</v>
      </c>
      <c r="F3400" s="366" t="s">
        <v>37</v>
      </c>
      <c r="G3400" s="348" t="str">
        <f>"'"&amp;$C3400&amp;"'!$E$63:$Y$63"</f>
        <v>'BLD_NT'!$E$63:$Y$63</v>
      </c>
      <c r="H3400" s="381">
        <f ca="1">IF(IFERROR(INDEX(DATA_PROPERTY_MASTER!$E$5:$E$21,MATCH($C3400,DATA_PROPERTY_MASTER!$A$5:$A$21,0))="Yes",FALSE),MAX(IFERROR(INDEX(INDIRECT("'"&amp;$C3400&amp;"'!$E$63:$Y$63"),1,MATCH($D3400,INDIRECT("'"&amp;$C3400&amp;"'!$E$12:$Y$12"),0)),0),0),0)</f>
        <v>0</v>
      </c>
      <c r="I3400" s="366" t="s">
        <v>1685</v>
      </c>
      <c r="J3400" s="348" t="str">
        <f t="shared" ca="1" si="106"/>
        <v>OK</v>
      </c>
      <c r="K3400" s="366" t="s">
        <v>1735</v>
      </c>
      <c r="L3400" s="366" t="s">
        <v>2258</v>
      </c>
      <c r="M3400" s="350" t="str">
        <f>IF($B3400="Portfolio","Portfolio",IFERROR(INDEX(DATA_ASSET_CLASSIFICATION!$B$8:$B$24,MATCH($C3400,DATA_ASSET_CLASSIFICATION!$A$8:$A$24,0)),"Review"))</f>
        <v>Natalia Terrace</v>
      </c>
      <c r="N3400" s="350" t="str">
        <f ca="1">IF($B3400="Portfolio","Portfolio",IFERROR(INDEX(DATA_ASSET_CLASSIFICATION!$U$8:$U$24,MATCH($C3400,DATA_ASSET_CLASSIFICATION!$A$8:$A$24,0)),"Review"))</f>
        <v>Refi Watch</v>
      </c>
      <c r="O3400" s="350" t="str">
        <f ca="1">IF($B3400="Portfolio","Portfolio",IFERROR(INDEX(DATA_ASSET_CLASSIFICATION!$AB$8:$AB$13,MATCH($N3400,DATA_ASSET_CLASSIFICATION!$AA$8:$AA$13,0)),"Review"))</f>
        <v>Bucket 2 · Legacy</v>
      </c>
      <c r="P3400" s="350" t="str">
        <f>IF($B3400="Portfolio","Portfolio",IFERROR(INDEX(DATA_ASSET_CLASSIFICATION!$C$8:$C$24,MATCH($C3400,DATA_ASSET_CLASSIFICATION!$A$8:$A$24,0)),"Review"))</f>
        <v>Yes</v>
      </c>
      <c r="Q3400" s="350" t="str">
        <f t="shared" ca="1" si="107"/>
        <v>OK</v>
      </c>
    </row>
    <row r="3401" spans="1:17">
      <c r="A3401" s="366" t="s">
        <v>5357</v>
      </c>
      <c r="B3401" s="366" t="s">
        <v>231</v>
      </c>
      <c r="C3401" s="348" t="str">
        <f>DATA_PROPERTY_MASTER!$A$15</f>
        <v>BLD_NT</v>
      </c>
      <c r="D3401" s="380">
        <f>'00_PORTFOLIO ROLLUP'!Q$12</f>
        <v>2037</v>
      </c>
      <c r="E3401" s="366" t="s">
        <v>1721</v>
      </c>
      <c r="F3401" s="366" t="s">
        <v>39</v>
      </c>
      <c r="G3401" s="348" t="str">
        <f>"'"&amp;$C3401&amp;"'!$E$63:$Y$63"</f>
        <v>'BLD_NT'!$E$63:$Y$63</v>
      </c>
      <c r="H3401" s="381">
        <f ca="1">IF(IFERROR(INDEX(DATA_PROPERTY_MASTER!$E$5:$E$21,MATCH($C3401,DATA_PROPERTY_MASTER!$A$5:$A$21,0))="Yes",FALSE),MAX(-IFERROR(INDEX(INDIRECT("'"&amp;$C3401&amp;"'!$E$63:$Y$63"),1,MATCH($D3401,INDIRECT("'"&amp;$C3401&amp;"'!$E$12:$Y$12"),0)),0),0),0)</f>
        <v>0</v>
      </c>
      <c r="I3401" s="366" t="s">
        <v>1690</v>
      </c>
      <c r="J3401" s="348" t="str">
        <f t="shared" ca="1" si="106"/>
        <v>OK</v>
      </c>
      <c r="K3401" s="366" t="s">
        <v>1738</v>
      </c>
      <c r="L3401" s="366" t="s">
        <v>2260</v>
      </c>
      <c r="M3401" s="350" t="str">
        <f>IF($B3401="Portfolio","Portfolio",IFERROR(INDEX(DATA_ASSET_CLASSIFICATION!$B$8:$B$24,MATCH($C3401,DATA_ASSET_CLASSIFICATION!$A$8:$A$24,0)),"Review"))</f>
        <v>Natalia Terrace</v>
      </c>
      <c r="N3401" s="350" t="str">
        <f ca="1">IF($B3401="Portfolio","Portfolio",IFERROR(INDEX(DATA_ASSET_CLASSIFICATION!$U$8:$U$24,MATCH($C3401,DATA_ASSET_CLASSIFICATION!$A$8:$A$24,0)),"Review"))</f>
        <v>Refi Watch</v>
      </c>
      <c r="O3401" s="350" t="str">
        <f ca="1">IF($B3401="Portfolio","Portfolio",IFERROR(INDEX(DATA_ASSET_CLASSIFICATION!$AB$8:$AB$13,MATCH($N3401,DATA_ASSET_CLASSIFICATION!$AA$8:$AA$13,0)),"Review"))</f>
        <v>Bucket 2 · Legacy</v>
      </c>
      <c r="P3401" s="350" t="str">
        <f>IF($B3401="Portfolio","Portfolio",IFERROR(INDEX(DATA_ASSET_CLASSIFICATION!$C$8:$C$24,MATCH($C3401,DATA_ASSET_CLASSIFICATION!$A$8:$A$24,0)),"Review"))</f>
        <v>Yes</v>
      </c>
      <c r="Q3401" s="350" t="str">
        <f t="shared" ca="1" si="107"/>
        <v>OK</v>
      </c>
    </row>
    <row r="3402" spans="1:17">
      <c r="A3402" s="366" t="s">
        <v>5358</v>
      </c>
      <c r="B3402" s="366" t="s">
        <v>231</v>
      </c>
      <c r="C3402" s="348" t="str">
        <f>DATA_PROPERTY_MASTER!$A$15</f>
        <v>BLD_NT</v>
      </c>
      <c r="D3402" s="380">
        <f>'00_PORTFOLIO ROLLUP'!Q$12</f>
        <v>2037</v>
      </c>
      <c r="E3402" s="366" t="s">
        <v>1741</v>
      </c>
      <c r="F3402" s="366" t="s">
        <v>41</v>
      </c>
      <c r="G3402" s="348" t="str">
        <f>"'"&amp;$C3402&amp;"'!rows 56 + positive row 63"</f>
        <v>'BLD_NT'!rows 56 + positive row 63</v>
      </c>
      <c r="H3402" s="381">
        <f ca="1">IF(IFERROR(INDEX(DATA_PROPERTY_MASTER!$E$5:$E$21,MATCH($C3402,DATA_PROPERTY_MASTER!$A$5:$A$21,0))="Yes",FALSE),IFERROR(INDEX(INDIRECT("'"&amp;$C3402&amp;"'!$E$56:$Y$56"),1,MATCH($D3402,INDIRECT("'"&amp;$C3402&amp;"'!$E$12:$Y$12"),0)),0)+MAX(IFERROR(INDEX(INDIRECT("'"&amp;$C3402&amp;"'!$E$63:$Y$63"),1,MATCH($D3402,INDIRECT("'"&amp;$C3402&amp;"'!$E$12:$Y$12"),0)),0),0),0)</f>
        <v>190134.74821075349</v>
      </c>
      <c r="I3402" s="366" t="s">
        <v>1685</v>
      </c>
      <c r="J3402" s="348" t="str">
        <f t="shared" ca="1" si="106"/>
        <v>OK</v>
      </c>
      <c r="K3402" s="366" t="s">
        <v>1742</v>
      </c>
      <c r="L3402" s="366" t="s">
        <v>2262</v>
      </c>
      <c r="M3402" s="350" t="str">
        <f>IF($B3402="Portfolio","Portfolio",IFERROR(INDEX(DATA_ASSET_CLASSIFICATION!$B$8:$B$24,MATCH($C3402,DATA_ASSET_CLASSIFICATION!$A$8:$A$24,0)),"Review"))</f>
        <v>Natalia Terrace</v>
      </c>
      <c r="N3402" s="350" t="str">
        <f ca="1">IF($B3402="Portfolio","Portfolio",IFERROR(INDEX(DATA_ASSET_CLASSIFICATION!$U$8:$U$24,MATCH($C3402,DATA_ASSET_CLASSIFICATION!$A$8:$A$24,0)),"Review"))</f>
        <v>Refi Watch</v>
      </c>
      <c r="O3402" s="350" t="str">
        <f ca="1">IF($B3402="Portfolio","Portfolio",IFERROR(INDEX(DATA_ASSET_CLASSIFICATION!$AB$8:$AB$13,MATCH($N3402,DATA_ASSET_CLASSIFICATION!$AA$8:$AA$13,0)),"Review"))</f>
        <v>Bucket 2 · Legacy</v>
      </c>
      <c r="P3402" s="350" t="str">
        <f>IF($B3402="Portfolio","Portfolio",IFERROR(INDEX(DATA_ASSET_CLASSIFICATION!$C$8:$C$24,MATCH($C3402,DATA_ASSET_CLASSIFICATION!$A$8:$A$24,0)),"Review"))</f>
        <v>Yes</v>
      </c>
      <c r="Q3402" s="350" t="str">
        <f t="shared" ca="1" si="107"/>
        <v>OK</v>
      </c>
    </row>
    <row r="3403" spans="1:17">
      <c r="A3403" s="366" t="s">
        <v>5359</v>
      </c>
      <c r="B3403" s="366" t="s">
        <v>231</v>
      </c>
      <c r="C3403" s="348" t="str">
        <f>DATA_PROPERTY_MASTER!$A$15</f>
        <v>BLD_NT</v>
      </c>
      <c r="D3403" s="380">
        <f>'00_PORTFOLIO ROLLUP'!Q$12</f>
        <v>2037</v>
      </c>
      <c r="E3403" s="366" t="s">
        <v>1741</v>
      </c>
      <c r="F3403" s="366" t="s">
        <v>43</v>
      </c>
      <c r="G3403" s="348" t="str">
        <f>"'"&amp;$C3403&amp;"'!$E$68:$Y$68"</f>
        <v>'BLD_NT'!$E$68:$Y$68</v>
      </c>
      <c r="H3403" s="381">
        <f ca="1">IF(IFERROR(INDEX(DATA_PROPERTY_MASTER!$E$5:$E$21,MATCH($C3403,DATA_PROPERTY_MASTER!$A$5:$A$21,0))="Yes",FALSE),IFERROR(INDEX(INDIRECT("'"&amp;$C3403&amp;"'!$E$68:$Y$68"),1,MATCH($D3403,INDIRECT("'"&amp;$C3403&amp;"'!$E$12:$Y$12"),0)),0),0)</f>
        <v>190134.74821075349</v>
      </c>
      <c r="I3403" s="366" t="s">
        <v>1731</v>
      </c>
      <c r="J3403" s="348" t="str">
        <f t="shared" ca="1" si="106"/>
        <v>OK</v>
      </c>
      <c r="K3403" s="366" t="s">
        <v>1746</v>
      </c>
      <c r="L3403" s="366" t="s">
        <v>2264</v>
      </c>
      <c r="M3403" s="350" t="str">
        <f>IF($B3403="Portfolio","Portfolio",IFERROR(INDEX(DATA_ASSET_CLASSIFICATION!$B$8:$B$24,MATCH($C3403,DATA_ASSET_CLASSIFICATION!$A$8:$A$24,0)),"Review"))</f>
        <v>Natalia Terrace</v>
      </c>
      <c r="N3403" s="350" t="str">
        <f ca="1">IF($B3403="Portfolio","Portfolio",IFERROR(INDEX(DATA_ASSET_CLASSIFICATION!$U$8:$U$24,MATCH($C3403,DATA_ASSET_CLASSIFICATION!$A$8:$A$24,0)),"Review"))</f>
        <v>Refi Watch</v>
      </c>
      <c r="O3403" s="350" t="str">
        <f ca="1">IF($B3403="Portfolio","Portfolio",IFERROR(INDEX(DATA_ASSET_CLASSIFICATION!$AB$8:$AB$13,MATCH($N3403,DATA_ASSET_CLASSIFICATION!$AA$8:$AA$13,0)),"Review"))</f>
        <v>Bucket 2 · Legacy</v>
      </c>
      <c r="P3403" s="350" t="str">
        <f>IF($B3403="Portfolio","Portfolio",IFERROR(INDEX(DATA_ASSET_CLASSIFICATION!$C$8:$C$24,MATCH($C3403,DATA_ASSET_CLASSIFICATION!$A$8:$A$24,0)),"Review"))</f>
        <v>Yes</v>
      </c>
      <c r="Q3403" s="350" t="str">
        <f t="shared" ca="1" si="107"/>
        <v>OK</v>
      </c>
    </row>
    <row r="3404" spans="1:17">
      <c r="A3404" s="366" t="s">
        <v>5360</v>
      </c>
      <c r="B3404" s="366" t="s">
        <v>231</v>
      </c>
      <c r="C3404" s="348" t="str">
        <f>DATA_PROPERTY_MASTER!$A$15</f>
        <v>BLD_NT</v>
      </c>
      <c r="D3404" s="380">
        <f>'00_PORTFOLIO ROLLUP'!Q$12</f>
        <v>2037</v>
      </c>
      <c r="E3404" s="366" t="s">
        <v>1741</v>
      </c>
      <c r="F3404" s="366" t="s">
        <v>1749</v>
      </c>
      <c r="G3404" s="348" t="str">
        <f>"'"&amp;$C3404&amp;"'!rows 56, 63, 68"</f>
        <v>'BLD_NT'!rows 56, 63, 68</v>
      </c>
      <c r="H3404" s="381">
        <f ca="1">IF(IFERROR(INDEX(DATA_PROPERTY_MASTER!$E$5:$E$21,MATCH($C3404,DATA_PROPERTY_MASTER!$A$5:$A$21,0))="Yes",FALSE),(IFERROR(INDEX(INDIRECT("'"&amp;$C3404&amp;"'!$E$56:$Y$56"),1,MATCH($D3404,INDIRECT("'"&amp;$C3404&amp;"'!$E$12:$Y$12"),0)),0)+MAX(IFERROR(INDEX(INDIRECT("'"&amp;$C3404&amp;"'!$E$63:$Y$63"),1,MATCH($D3404,INDIRECT("'"&amp;$C3404&amp;"'!$E$12:$Y$12"),0)),0),0))-(IFERROR(INDEX(INDIRECT("'"&amp;$C3404&amp;"'!$E$68:$Y$68"),1,MATCH($D3404,INDIRECT("'"&amp;$C3404&amp;"'!$E$12:$Y$12"),0)),0)),0)</f>
        <v>0</v>
      </c>
      <c r="I3404" s="366" t="s">
        <v>1750</v>
      </c>
      <c r="J3404" s="348" t="str">
        <f t="shared" ca="1" si="106"/>
        <v>OK</v>
      </c>
      <c r="K3404" s="366" t="s">
        <v>1751</v>
      </c>
      <c r="L3404" s="366" t="s">
        <v>2266</v>
      </c>
      <c r="M3404" s="350" t="str">
        <f>IF($B3404="Portfolio","Portfolio",IFERROR(INDEX(DATA_ASSET_CLASSIFICATION!$B$8:$B$24,MATCH($C3404,DATA_ASSET_CLASSIFICATION!$A$8:$A$24,0)),"Review"))</f>
        <v>Natalia Terrace</v>
      </c>
      <c r="N3404" s="350" t="str">
        <f ca="1">IF($B3404="Portfolio","Portfolio",IFERROR(INDEX(DATA_ASSET_CLASSIFICATION!$U$8:$U$24,MATCH($C3404,DATA_ASSET_CLASSIFICATION!$A$8:$A$24,0)),"Review"))</f>
        <v>Refi Watch</v>
      </c>
      <c r="O3404" s="350" t="str">
        <f ca="1">IF($B3404="Portfolio","Portfolio",IFERROR(INDEX(DATA_ASSET_CLASSIFICATION!$AB$8:$AB$13,MATCH($N3404,DATA_ASSET_CLASSIFICATION!$AA$8:$AA$13,0)),"Review"))</f>
        <v>Bucket 2 · Legacy</v>
      </c>
      <c r="P3404" s="350" t="str">
        <f>IF($B3404="Portfolio","Portfolio",IFERROR(INDEX(DATA_ASSET_CLASSIFICATION!$C$8:$C$24,MATCH($C3404,DATA_ASSET_CLASSIFICATION!$A$8:$A$24,0)),"Review"))</f>
        <v>Yes</v>
      </c>
      <c r="Q3404" s="350" t="str">
        <f t="shared" ca="1" si="107"/>
        <v>OK</v>
      </c>
    </row>
    <row r="3405" spans="1:17">
      <c r="A3405" s="366" t="s">
        <v>5361</v>
      </c>
      <c r="B3405" s="366" t="s">
        <v>231</v>
      </c>
      <c r="C3405" s="348" t="str">
        <f>DATA_PROPERTY_MASTER!$A$15</f>
        <v>BLD_NT</v>
      </c>
      <c r="D3405" s="380">
        <f>'00_PORTFOLIO ROLLUP'!R$12</f>
        <v>2038</v>
      </c>
      <c r="E3405" s="366" t="s">
        <v>1683</v>
      </c>
      <c r="F3405" s="366" t="s">
        <v>341</v>
      </c>
      <c r="G3405" s="348" t="str">
        <f>"'"&amp;$C3405&amp;"'!$E$24:$Y$24"</f>
        <v>'BLD_NT'!$E$24:$Y$24</v>
      </c>
      <c r="H3405" s="381">
        <f ca="1">IF(IFERROR(INDEX(DATA_PROPERTY_MASTER!$E$5:$E$21,MATCH($C3405,DATA_PROPERTY_MASTER!$A$5:$A$21,0))="Yes",FALSE),IFERROR(INDEX(INDIRECT("'"&amp;$C3405&amp;"'!$E$24:$Y$24"),1,MATCH($D3405,INDIRECT("'"&amp;$C3405&amp;"'!$E$12:$Y$12"),0)),0),0)</f>
        <v>936561.67950374808</v>
      </c>
      <c r="I3405" s="366" t="s">
        <v>1685</v>
      </c>
      <c r="J3405" s="348" t="str">
        <f t="shared" ca="1" si="106"/>
        <v>OK</v>
      </c>
      <c r="K3405" s="366" t="s">
        <v>1686</v>
      </c>
      <c r="L3405" s="366" t="s">
        <v>2234</v>
      </c>
      <c r="M3405" s="350" t="str">
        <f>IF($B3405="Portfolio","Portfolio",IFERROR(INDEX(DATA_ASSET_CLASSIFICATION!$B$8:$B$24,MATCH($C3405,DATA_ASSET_CLASSIFICATION!$A$8:$A$24,0)),"Review"))</f>
        <v>Natalia Terrace</v>
      </c>
      <c r="N3405" s="350" t="str">
        <f ca="1">IF($B3405="Portfolio","Portfolio",IFERROR(INDEX(DATA_ASSET_CLASSIFICATION!$U$8:$U$24,MATCH($C3405,DATA_ASSET_CLASSIFICATION!$A$8:$A$24,0)),"Review"))</f>
        <v>Refi Watch</v>
      </c>
      <c r="O3405" s="350" t="str">
        <f ca="1">IF($B3405="Portfolio","Portfolio",IFERROR(INDEX(DATA_ASSET_CLASSIFICATION!$AB$8:$AB$13,MATCH($N3405,DATA_ASSET_CLASSIFICATION!$AA$8:$AA$13,0)),"Review"))</f>
        <v>Bucket 2 · Legacy</v>
      </c>
      <c r="P3405" s="350" t="str">
        <f>IF($B3405="Portfolio","Portfolio",IFERROR(INDEX(DATA_ASSET_CLASSIFICATION!$C$8:$C$24,MATCH($C3405,DATA_ASSET_CLASSIFICATION!$A$8:$A$24,0)),"Review"))</f>
        <v>Yes</v>
      </c>
      <c r="Q3405" s="350" t="str">
        <f t="shared" ca="1" si="107"/>
        <v>OK</v>
      </c>
    </row>
    <row r="3406" spans="1:17">
      <c r="A3406" s="366" t="s">
        <v>5362</v>
      </c>
      <c r="B3406" s="366" t="s">
        <v>231</v>
      </c>
      <c r="C3406" s="348" t="str">
        <f>DATA_PROPERTY_MASTER!$A$15</f>
        <v>BLD_NT</v>
      </c>
      <c r="D3406" s="380">
        <f>'00_PORTFOLIO ROLLUP'!R$12</f>
        <v>2038</v>
      </c>
      <c r="E3406" s="366" t="s">
        <v>1683</v>
      </c>
      <c r="F3406" s="366" t="s">
        <v>355</v>
      </c>
      <c r="G3406" s="348" t="str">
        <f>"'"&amp;$C3406&amp;"'!$E$39:$Y$39"</f>
        <v>'BLD_NT'!$E$39:$Y$39</v>
      </c>
      <c r="H3406" s="381">
        <f ca="1">IF(IFERROR(INDEX(DATA_PROPERTY_MASTER!$E$5:$E$21,MATCH($C3406,DATA_PROPERTY_MASTER!$A$5:$A$21,0))="Yes",FALSE),IFERROR(INDEX(INDIRECT("'"&amp;$C3406&amp;"'!$E$39:$Y$39"),1,MATCH($D3406,INDIRECT("'"&amp;$C3406&amp;"'!$E$12:$Y$12"),0)),0),0)</f>
        <v>453932.37583871046</v>
      </c>
      <c r="I3406" s="366" t="s">
        <v>1690</v>
      </c>
      <c r="J3406" s="348" t="str">
        <f t="shared" ca="1" si="106"/>
        <v>OK</v>
      </c>
      <c r="K3406" s="366" t="s">
        <v>1686</v>
      </c>
      <c r="L3406" s="366" t="s">
        <v>2236</v>
      </c>
      <c r="M3406" s="350" t="str">
        <f>IF($B3406="Portfolio","Portfolio",IFERROR(INDEX(DATA_ASSET_CLASSIFICATION!$B$8:$B$24,MATCH($C3406,DATA_ASSET_CLASSIFICATION!$A$8:$A$24,0)),"Review"))</f>
        <v>Natalia Terrace</v>
      </c>
      <c r="N3406" s="350" t="str">
        <f ca="1">IF($B3406="Portfolio","Portfolio",IFERROR(INDEX(DATA_ASSET_CLASSIFICATION!$U$8:$U$24,MATCH($C3406,DATA_ASSET_CLASSIFICATION!$A$8:$A$24,0)),"Review"))</f>
        <v>Refi Watch</v>
      </c>
      <c r="O3406" s="350" t="str">
        <f ca="1">IF($B3406="Portfolio","Portfolio",IFERROR(INDEX(DATA_ASSET_CLASSIFICATION!$AB$8:$AB$13,MATCH($N3406,DATA_ASSET_CLASSIFICATION!$AA$8:$AA$13,0)),"Review"))</f>
        <v>Bucket 2 · Legacy</v>
      </c>
      <c r="P3406" s="350" t="str">
        <f>IF($B3406="Portfolio","Portfolio",IFERROR(INDEX(DATA_ASSET_CLASSIFICATION!$C$8:$C$24,MATCH($C3406,DATA_ASSET_CLASSIFICATION!$A$8:$A$24,0)),"Review"))</f>
        <v>Yes</v>
      </c>
      <c r="Q3406" s="350" t="str">
        <f t="shared" ca="1" si="107"/>
        <v>OK</v>
      </c>
    </row>
    <row r="3407" spans="1:17">
      <c r="A3407" s="366" t="s">
        <v>5363</v>
      </c>
      <c r="B3407" s="366" t="s">
        <v>231</v>
      </c>
      <c r="C3407" s="348" t="str">
        <f>DATA_PROPERTY_MASTER!$A$15</f>
        <v>BLD_NT</v>
      </c>
      <c r="D3407" s="380">
        <f>'00_PORTFOLIO ROLLUP'!R$12</f>
        <v>2038</v>
      </c>
      <c r="E3407" s="366" t="s">
        <v>1683</v>
      </c>
      <c r="F3407" s="366" t="s">
        <v>19</v>
      </c>
      <c r="G3407" s="348" t="str">
        <f>"'"&amp;$C3407&amp;"'!$E$41:$Y$41"</f>
        <v>'BLD_NT'!$E$41:$Y$41</v>
      </c>
      <c r="H3407" s="381">
        <f ca="1">IF(IFERROR(INDEX(DATA_PROPERTY_MASTER!$E$5:$E$21,MATCH($C3407,DATA_PROPERTY_MASTER!$A$5:$A$21,0))="Yes",FALSE),IFERROR(INDEX(INDIRECT("'"&amp;$C3407&amp;"'!$E$41:$Y$41"),1,MATCH($D3407,INDIRECT("'"&amp;$C3407&amp;"'!$E$12:$Y$12"),0)),0),0)</f>
        <v>482629.30366503762</v>
      </c>
      <c r="I3407" s="366" t="s">
        <v>1685</v>
      </c>
      <c r="J3407" s="348" t="str">
        <f t="shared" ca="1" si="106"/>
        <v>OK</v>
      </c>
      <c r="K3407" s="366" t="s">
        <v>1694</v>
      </c>
      <c r="L3407" s="366" t="s">
        <v>2238</v>
      </c>
      <c r="M3407" s="350" t="str">
        <f>IF($B3407="Portfolio","Portfolio",IFERROR(INDEX(DATA_ASSET_CLASSIFICATION!$B$8:$B$24,MATCH($C3407,DATA_ASSET_CLASSIFICATION!$A$8:$A$24,0)),"Review"))</f>
        <v>Natalia Terrace</v>
      </c>
      <c r="N3407" s="350" t="str">
        <f ca="1">IF($B3407="Portfolio","Portfolio",IFERROR(INDEX(DATA_ASSET_CLASSIFICATION!$U$8:$U$24,MATCH($C3407,DATA_ASSET_CLASSIFICATION!$A$8:$A$24,0)),"Review"))</f>
        <v>Refi Watch</v>
      </c>
      <c r="O3407" s="350" t="str">
        <f ca="1">IF($B3407="Portfolio","Portfolio",IFERROR(INDEX(DATA_ASSET_CLASSIFICATION!$AB$8:$AB$13,MATCH($N3407,DATA_ASSET_CLASSIFICATION!$AA$8:$AA$13,0)),"Review"))</f>
        <v>Bucket 2 · Legacy</v>
      </c>
      <c r="P3407" s="350" t="str">
        <f>IF($B3407="Portfolio","Portfolio",IFERROR(INDEX(DATA_ASSET_CLASSIFICATION!$C$8:$C$24,MATCH($C3407,DATA_ASSET_CLASSIFICATION!$A$8:$A$24,0)),"Review"))</f>
        <v>Yes</v>
      </c>
      <c r="Q3407" s="350" t="str">
        <f t="shared" ca="1" si="107"/>
        <v>OK</v>
      </c>
    </row>
    <row r="3408" spans="1:17">
      <c r="A3408" s="366" t="s">
        <v>5364</v>
      </c>
      <c r="B3408" s="366" t="s">
        <v>231</v>
      </c>
      <c r="C3408" s="348" t="str">
        <f>DATA_PROPERTY_MASTER!$A$15</f>
        <v>BLD_NT</v>
      </c>
      <c r="D3408" s="380">
        <f>'00_PORTFOLIO ROLLUP'!R$12</f>
        <v>2038</v>
      </c>
      <c r="E3408" s="366" t="s">
        <v>1683</v>
      </c>
      <c r="F3408" s="366" t="s">
        <v>1697</v>
      </c>
      <c r="G3408" s="348" t="str">
        <f>"'"&amp;$C3408&amp;"'!$E$44:$Y$44"</f>
        <v>'BLD_NT'!$E$44:$Y$44</v>
      </c>
      <c r="H3408" s="381">
        <f ca="1">IF(IFERROR(INDEX(DATA_PROPERTY_MASTER!$E$5:$E$21,MATCH($C3408,DATA_PROPERTY_MASTER!$A$5:$A$21,0))="Yes",FALSE),IFERROR(INDEX(INDIRECT("'"&amp;$C3408&amp;"'!$E$44:$Y$44"),1,MATCH($D3408,INDIRECT("'"&amp;$C3408&amp;"'!$E$12:$Y$12"),0)),0),0)</f>
        <v>7761.6397827227765</v>
      </c>
      <c r="I3408" s="366" t="s">
        <v>1690</v>
      </c>
      <c r="J3408" s="348" t="str">
        <f t="shared" ca="1" si="106"/>
        <v>OK</v>
      </c>
      <c r="K3408" s="366" t="s">
        <v>1699</v>
      </c>
      <c r="L3408" s="366" t="s">
        <v>2240</v>
      </c>
      <c r="M3408" s="350" t="str">
        <f>IF($B3408="Portfolio","Portfolio",IFERROR(INDEX(DATA_ASSET_CLASSIFICATION!$B$8:$B$24,MATCH($C3408,DATA_ASSET_CLASSIFICATION!$A$8:$A$24,0)),"Review"))</f>
        <v>Natalia Terrace</v>
      </c>
      <c r="N3408" s="350" t="str">
        <f ca="1">IF($B3408="Portfolio","Portfolio",IFERROR(INDEX(DATA_ASSET_CLASSIFICATION!$U$8:$U$24,MATCH($C3408,DATA_ASSET_CLASSIFICATION!$A$8:$A$24,0)),"Review"))</f>
        <v>Refi Watch</v>
      </c>
      <c r="O3408" s="350" t="str">
        <f ca="1">IF($B3408="Portfolio","Portfolio",IFERROR(INDEX(DATA_ASSET_CLASSIFICATION!$AB$8:$AB$13,MATCH($N3408,DATA_ASSET_CLASSIFICATION!$AA$8:$AA$13,0)),"Review"))</f>
        <v>Bucket 2 · Legacy</v>
      </c>
      <c r="P3408" s="350" t="str">
        <f>IF($B3408="Portfolio","Portfolio",IFERROR(INDEX(DATA_ASSET_CLASSIFICATION!$C$8:$C$24,MATCH($C3408,DATA_ASSET_CLASSIFICATION!$A$8:$A$24,0)),"Review"))</f>
        <v>Yes</v>
      </c>
      <c r="Q3408" s="350" t="str">
        <f t="shared" ca="1" si="107"/>
        <v>OK</v>
      </c>
    </row>
    <row r="3409" spans="1:17">
      <c r="A3409" s="366" t="s">
        <v>5365</v>
      </c>
      <c r="B3409" s="366" t="s">
        <v>231</v>
      </c>
      <c r="C3409" s="348" t="str">
        <f>DATA_PROPERTY_MASTER!$A$15</f>
        <v>BLD_NT</v>
      </c>
      <c r="D3409" s="380">
        <f>'00_PORTFOLIO ROLLUP'!R$12</f>
        <v>2038</v>
      </c>
      <c r="E3409" s="366" t="s">
        <v>1683</v>
      </c>
      <c r="F3409" s="366" t="s">
        <v>21</v>
      </c>
      <c r="G3409" s="348" t="str">
        <f>"'"&amp;$C3409&amp;"'!$E$45:$Y$45"</f>
        <v>'BLD_NT'!$E$45:$Y$45</v>
      </c>
      <c r="H3409" s="381">
        <f ca="1">IF(IFERROR(INDEX(DATA_PROPERTY_MASTER!$E$5:$E$21,MATCH($C3409,DATA_PROPERTY_MASTER!$A$5:$A$21,0))="Yes",FALSE),IFERROR(INDEX(INDIRECT("'"&amp;$C3409&amp;"'!$E$45:$Y$45"),1,MATCH($D3409,INDIRECT("'"&amp;$C3409&amp;"'!$E$12:$Y$12"),0)),0),0)</f>
        <v>474867.66388231487</v>
      </c>
      <c r="I3409" s="366" t="s">
        <v>1685</v>
      </c>
      <c r="J3409" s="348" t="str">
        <f t="shared" ca="1" si="106"/>
        <v>OK</v>
      </c>
      <c r="K3409" s="366" t="s">
        <v>1694</v>
      </c>
      <c r="L3409" s="366" t="s">
        <v>2242</v>
      </c>
      <c r="M3409" s="350" t="str">
        <f>IF($B3409="Portfolio","Portfolio",IFERROR(INDEX(DATA_ASSET_CLASSIFICATION!$B$8:$B$24,MATCH($C3409,DATA_ASSET_CLASSIFICATION!$A$8:$A$24,0)),"Review"))</f>
        <v>Natalia Terrace</v>
      </c>
      <c r="N3409" s="350" t="str">
        <f ca="1">IF($B3409="Portfolio","Portfolio",IFERROR(INDEX(DATA_ASSET_CLASSIFICATION!$U$8:$U$24,MATCH($C3409,DATA_ASSET_CLASSIFICATION!$A$8:$A$24,0)),"Review"))</f>
        <v>Refi Watch</v>
      </c>
      <c r="O3409" s="350" t="str">
        <f ca="1">IF($B3409="Portfolio","Portfolio",IFERROR(INDEX(DATA_ASSET_CLASSIFICATION!$AB$8:$AB$13,MATCH($N3409,DATA_ASSET_CLASSIFICATION!$AA$8:$AA$13,0)),"Review"))</f>
        <v>Bucket 2 · Legacy</v>
      </c>
      <c r="P3409" s="350" t="str">
        <f>IF($B3409="Portfolio","Portfolio",IFERROR(INDEX(DATA_ASSET_CLASSIFICATION!$C$8:$C$24,MATCH($C3409,DATA_ASSET_CLASSIFICATION!$A$8:$A$24,0)),"Review"))</f>
        <v>Yes</v>
      </c>
      <c r="Q3409" s="350" t="str">
        <f t="shared" ca="1" si="107"/>
        <v>OK</v>
      </c>
    </row>
    <row r="3410" spans="1:17">
      <c r="A3410" s="366" t="s">
        <v>5366</v>
      </c>
      <c r="B3410" s="366" t="s">
        <v>231</v>
      </c>
      <c r="C3410" s="348" t="str">
        <f>DATA_PROPERTY_MASTER!$A$15</f>
        <v>BLD_NT</v>
      </c>
      <c r="D3410" s="380">
        <f>'00_PORTFOLIO ROLLUP'!R$12</f>
        <v>2038</v>
      </c>
      <c r="E3410" s="366" t="s">
        <v>23</v>
      </c>
      <c r="F3410" s="366" t="s">
        <v>23</v>
      </c>
      <c r="G3410" s="348" t="str">
        <f>"'"&amp;$C3410&amp;"'!$E$48:$Y$48"</f>
        <v>'BLD_NT'!$E$48:$Y$48</v>
      </c>
      <c r="H3410" s="381">
        <f ca="1">IF(IFERROR(INDEX(DATA_PROPERTY_MASTER!$E$5:$E$21,MATCH($C3410,DATA_PROPERTY_MASTER!$A$5:$A$21,0))="Yes",FALSE),IFERROR(INDEX(INDIRECT("'"&amp;$C3410&amp;"'!$E$48:$Y$48"),1,MATCH($D3410,INDIRECT("'"&amp;$C3410&amp;"'!$E$12:$Y$12"),0)),0),0)</f>
        <v>0</v>
      </c>
      <c r="I3410" s="366" t="s">
        <v>1690</v>
      </c>
      <c r="J3410" s="348" t="str">
        <f t="shared" ca="1" si="106"/>
        <v>OK</v>
      </c>
      <c r="K3410" s="366" t="s">
        <v>1706</v>
      </c>
      <c r="L3410" s="366" t="s">
        <v>2244</v>
      </c>
      <c r="M3410" s="350" t="str">
        <f>IF($B3410="Portfolio","Portfolio",IFERROR(INDEX(DATA_ASSET_CLASSIFICATION!$B$8:$B$24,MATCH($C3410,DATA_ASSET_CLASSIFICATION!$A$8:$A$24,0)),"Review"))</f>
        <v>Natalia Terrace</v>
      </c>
      <c r="N3410" s="350" t="str">
        <f ca="1">IF($B3410="Portfolio","Portfolio",IFERROR(INDEX(DATA_ASSET_CLASSIFICATION!$U$8:$U$24,MATCH($C3410,DATA_ASSET_CLASSIFICATION!$A$8:$A$24,0)),"Review"))</f>
        <v>Refi Watch</v>
      </c>
      <c r="O3410" s="350" t="str">
        <f ca="1">IF($B3410="Portfolio","Portfolio",IFERROR(INDEX(DATA_ASSET_CLASSIFICATION!$AB$8:$AB$13,MATCH($N3410,DATA_ASSET_CLASSIFICATION!$AA$8:$AA$13,0)),"Review"))</f>
        <v>Bucket 2 · Legacy</v>
      </c>
      <c r="P3410" s="350" t="str">
        <f>IF($B3410="Portfolio","Portfolio",IFERROR(INDEX(DATA_ASSET_CLASSIFICATION!$C$8:$C$24,MATCH($C3410,DATA_ASSET_CLASSIFICATION!$A$8:$A$24,0)),"Review"))</f>
        <v>Yes</v>
      </c>
      <c r="Q3410" s="350" t="str">
        <f t="shared" ca="1" si="107"/>
        <v>OK</v>
      </c>
    </row>
    <row r="3411" spans="1:17">
      <c r="A3411" s="366" t="s">
        <v>5367</v>
      </c>
      <c r="B3411" s="366" t="s">
        <v>231</v>
      </c>
      <c r="C3411" s="348" t="str">
        <f>DATA_PROPERTY_MASTER!$A$15</f>
        <v>BLD_NT</v>
      </c>
      <c r="D3411" s="380">
        <f>'00_PORTFOLIO ROLLUP'!R$12</f>
        <v>2038</v>
      </c>
      <c r="E3411" s="366" t="s">
        <v>1683</v>
      </c>
      <c r="F3411" s="366" t="s">
        <v>25</v>
      </c>
      <c r="G3411" s="348" t="str">
        <f>"'"&amp;$C3411&amp;"'!$E$52:$Y$52"</f>
        <v>'BLD_NT'!$E$52:$Y$52</v>
      </c>
      <c r="H3411" s="381">
        <f ca="1">IF(IFERROR(INDEX(DATA_PROPERTY_MASTER!$E$5:$E$21,MATCH($C3411,DATA_PROPERTY_MASTER!$A$5:$A$21,0))="Yes",FALSE),IFERROR(INDEX(INDIRECT("'"&amp;$C3411&amp;"'!$E$52:$Y$52"),1,MATCH($D3411,INDIRECT("'"&amp;$C3411&amp;"'!$E$12:$Y$12"),0)),0),0)</f>
        <v>482629.30366503762</v>
      </c>
      <c r="I3411" s="366" t="s">
        <v>1685</v>
      </c>
      <c r="J3411" s="348" t="str">
        <f t="shared" ca="1" si="106"/>
        <v>OK</v>
      </c>
      <c r="K3411" s="366" t="s">
        <v>1710</v>
      </c>
      <c r="L3411" s="366" t="s">
        <v>2246</v>
      </c>
      <c r="M3411" s="350" t="str">
        <f>IF($B3411="Portfolio","Portfolio",IFERROR(INDEX(DATA_ASSET_CLASSIFICATION!$B$8:$B$24,MATCH($C3411,DATA_ASSET_CLASSIFICATION!$A$8:$A$24,0)),"Review"))</f>
        <v>Natalia Terrace</v>
      </c>
      <c r="N3411" s="350" t="str">
        <f ca="1">IF($B3411="Portfolio","Portfolio",IFERROR(INDEX(DATA_ASSET_CLASSIFICATION!$U$8:$U$24,MATCH($C3411,DATA_ASSET_CLASSIFICATION!$A$8:$A$24,0)),"Review"))</f>
        <v>Refi Watch</v>
      </c>
      <c r="O3411" s="350" t="str">
        <f ca="1">IF($B3411="Portfolio","Portfolio",IFERROR(INDEX(DATA_ASSET_CLASSIFICATION!$AB$8:$AB$13,MATCH($N3411,DATA_ASSET_CLASSIFICATION!$AA$8:$AA$13,0)),"Review"))</f>
        <v>Bucket 2 · Legacy</v>
      </c>
      <c r="P3411" s="350" t="str">
        <f>IF($B3411="Portfolio","Portfolio",IFERROR(INDEX(DATA_ASSET_CLASSIFICATION!$C$8:$C$24,MATCH($C3411,DATA_ASSET_CLASSIFICATION!$A$8:$A$24,0)),"Review"))</f>
        <v>Yes</v>
      </c>
      <c r="Q3411" s="350" t="str">
        <f t="shared" ca="1" si="107"/>
        <v>OK</v>
      </c>
    </row>
    <row r="3412" spans="1:17">
      <c r="A3412" s="366" t="s">
        <v>5368</v>
      </c>
      <c r="B3412" s="366" t="s">
        <v>231</v>
      </c>
      <c r="C3412" s="348" t="str">
        <f>DATA_PROPERTY_MASTER!$A$15</f>
        <v>BLD_NT</v>
      </c>
      <c r="D3412" s="380">
        <f>'00_PORTFOLIO ROLLUP'!R$12</f>
        <v>2038</v>
      </c>
      <c r="E3412" s="366" t="s">
        <v>1683</v>
      </c>
      <c r="F3412" s="366" t="s">
        <v>27</v>
      </c>
      <c r="G3412" s="348" t="str">
        <f>"'"&amp;$C3412&amp;"'!$E$54:$Y$54"</f>
        <v>'BLD_NT'!$E$54:$Y$54</v>
      </c>
      <c r="H3412" s="381">
        <f ca="1">IF(IFERROR(INDEX(DATA_PROPERTY_MASTER!$E$5:$E$21,MATCH($C3412,DATA_PROPERTY_MASTER!$A$5:$A$21,0))="Yes",FALSE),IFERROR(INDEX(INDIRECT("'"&amp;$C3412&amp;"'!$E$54:$Y$54"),1,MATCH($D3412,INDIRECT("'"&amp;$C3412&amp;"'!$E$12:$Y$12"),0)),0),0)</f>
        <v>289577.58219902258</v>
      </c>
      <c r="I3412" s="366" t="s">
        <v>1690</v>
      </c>
      <c r="J3412" s="348" t="str">
        <f t="shared" ca="1" si="106"/>
        <v>OK</v>
      </c>
      <c r="K3412" s="366" t="s">
        <v>1714</v>
      </c>
      <c r="L3412" s="366" t="s">
        <v>2248</v>
      </c>
      <c r="M3412" s="350" t="str">
        <f>IF($B3412="Portfolio","Portfolio",IFERROR(INDEX(DATA_ASSET_CLASSIFICATION!$B$8:$B$24,MATCH($C3412,DATA_ASSET_CLASSIFICATION!$A$8:$A$24,0)),"Review"))</f>
        <v>Natalia Terrace</v>
      </c>
      <c r="N3412" s="350" t="str">
        <f ca="1">IF($B3412="Portfolio","Portfolio",IFERROR(INDEX(DATA_ASSET_CLASSIFICATION!$U$8:$U$24,MATCH($C3412,DATA_ASSET_CLASSIFICATION!$A$8:$A$24,0)),"Review"))</f>
        <v>Refi Watch</v>
      </c>
      <c r="O3412" s="350" t="str">
        <f ca="1">IF($B3412="Portfolio","Portfolio",IFERROR(INDEX(DATA_ASSET_CLASSIFICATION!$AB$8:$AB$13,MATCH($N3412,DATA_ASSET_CLASSIFICATION!$AA$8:$AA$13,0)),"Review"))</f>
        <v>Bucket 2 · Legacy</v>
      </c>
      <c r="P3412" s="350" t="str">
        <f>IF($B3412="Portfolio","Portfolio",IFERROR(INDEX(DATA_ASSET_CLASSIFICATION!$C$8:$C$24,MATCH($C3412,DATA_ASSET_CLASSIFICATION!$A$8:$A$24,0)),"Review"))</f>
        <v>Yes</v>
      </c>
      <c r="Q3412" s="350" t="str">
        <f t="shared" ca="1" si="107"/>
        <v>OK</v>
      </c>
    </row>
    <row r="3413" spans="1:17">
      <c r="A3413" s="366" t="s">
        <v>5369</v>
      </c>
      <c r="B3413" s="366" t="s">
        <v>231</v>
      </c>
      <c r="C3413" s="348" t="str">
        <f>DATA_PROPERTY_MASTER!$A$15</f>
        <v>BLD_NT</v>
      </c>
      <c r="D3413" s="380">
        <f>'00_PORTFOLIO ROLLUP'!R$12</f>
        <v>2038</v>
      </c>
      <c r="E3413" s="366" t="s">
        <v>1683</v>
      </c>
      <c r="F3413" s="366" t="s">
        <v>29</v>
      </c>
      <c r="G3413" s="348" t="str">
        <f>"'"&amp;$C3413&amp;"'!$E$56:$Y$56"</f>
        <v>'BLD_NT'!$E$56:$Y$56</v>
      </c>
      <c r="H3413" s="381">
        <f ca="1">IF(IFERROR(INDEX(DATA_PROPERTY_MASTER!$E$5:$E$21,MATCH($C3413,DATA_PROPERTY_MASTER!$A$5:$A$21,0))="Yes",FALSE),IFERROR(INDEX(INDIRECT("'"&amp;$C3413&amp;"'!$E$56:$Y$56"),1,MATCH($D3413,INDIRECT("'"&amp;$C3413&amp;"'!$E$12:$Y$12"),0)),0),0)</f>
        <v>193051.72146601503</v>
      </c>
      <c r="I3413" s="366" t="s">
        <v>1685</v>
      </c>
      <c r="J3413" s="348" t="str">
        <f t="shared" ca="1" si="106"/>
        <v>OK</v>
      </c>
      <c r="K3413" s="366" t="s">
        <v>1718</v>
      </c>
      <c r="L3413" s="366" t="s">
        <v>2250</v>
      </c>
      <c r="M3413" s="350" t="str">
        <f>IF($B3413="Portfolio","Portfolio",IFERROR(INDEX(DATA_ASSET_CLASSIFICATION!$B$8:$B$24,MATCH($C3413,DATA_ASSET_CLASSIFICATION!$A$8:$A$24,0)),"Review"))</f>
        <v>Natalia Terrace</v>
      </c>
      <c r="N3413" s="350" t="str">
        <f ca="1">IF($B3413="Portfolio","Portfolio",IFERROR(INDEX(DATA_ASSET_CLASSIFICATION!$U$8:$U$24,MATCH($C3413,DATA_ASSET_CLASSIFICATION!$A$8:$A$24,0)),"Review"))</f>
        <v>Refi Watch</v>
      </c>
      <c r="O3413" s="350" t="str">
        <f ca="1">IF($B3413="Portfolio","Portfolio",IFERROR(INDEX(DATA_ASSET_CLASSIFICATION!$AB$8:$AB$13,MATCH($N3413,DATA_ASSET_CLASSIFICATION!$AA$8:$AA$13,0)),"Review"))</f>
        <v>Bucket 2 · Legacy</v>
      </c>
      <c r="P3413" s="350" t="str">
        <f>IF($B3413="Portfolio","Portfolio",IFERROR(INDEX(DATA_ASSET_CLASSIFICATION!$C$8:$C$24,MATCH($C3413,DATA_ASSET_CLASSIFICATION!$A$8:$A$24,0)),"Review"))</f>
        <v>Yes</v>
      </c>
      <c r="Q3413" s="350" t="str">
        <f t="shared" ca="1" si="107"/>
        <v>OK</v>
      </c>
    </row>
    <row r="3414" spans="1:17">
      <c r="A3414" s="366" t="s">
        <v>5370</v>
      </c>
      <c r="B3414" s="366" t="s">
        <v>231</v>
      </c>
      <c r="C3414" s="348" t="str">
        <f>DATA_PROPERTY_MASTER!$A$15</f>
        <v>BLD_NT</v>
      </c>
      <c r="D3414" s="380">
        <f>'00_PORTFOLIO ROLLUP'!R$12</f>
        <v>2038</v>
      </c>
      <c r="E3414" s="366" t="s">
        <v>1721</v>
      </c>
      <c r="F3414" s="366" t="s">
        <v>31</v>
      </c>
      <c r="G3414" s="348" t="str">
        <f>"'"&amp;$C3414&amp;"'!$E$61:$Y$61"</f>
        <v>'BLD_NT'!$E$61:$Y$61</v>
      </c>
      <c r="H3414" s="381">
        <f ca="1">IF(IFERROR(INDEX(DATA_PROPERTY_MASTER!$E$5:$E$21,MATCH($C3414,DATA_PROPERTY_MASTER!$A$5:$A$21,0))="Yes",FALSE),IFERROR(INDEX(INDIRECT("'"&amp;$C3414&amp;"'!$E$61:$Y$61"),1,MATCH($D3414,INDIRECT("'"&amp;$C3414&amp;"'!$E$12:$Y$12"),0)),0),0)</f>
        <v>0</v>
      </c>
      <c r="I3414" s="366" t="s">
        <v>1690</v>
      </c>
      <c r="J3414" s="348" t="str">
        <f t="shared" ca="1" si="106"/>
        <v>OK</v>
      </c>
      <c r="K3414" s="366" t="s">
        <v>1723</v>
      </c>
      <c r="L3414" s="366" t="s">
        <v>2252</v>
      </c>
      <c r="M3414" s="350" t="str">
        <f>IF($B3414="Portfolio","Portfolio",IFERROR(INDEX(DATA_ASSET_CLASSIFICATION!$B$8:$B$24,MATCH($C3414,DATA_ASSET_CLASSIFICATION!$A$8:$A$24,0)),"Review"))</f>
        <v>Natalia Terrace</v>
      </c>
      <c r="N3414" s="350" t="str">
        <f ca="1">IF($B3414="Portfolio","Portfolio",IFERROR(INDEX(DATA_ASSET_CLASSIFICATION!$U$8:$U$24,MATCH($C3414,DATA_ASSET_CLASSIFICATION!$A$8:$A$24,0)),"Review"))</f>
        <v>Refi Watch</v>
      </c>
      <c r="O3414" s="350" t="str">
        <f ca="1">IF($B3414="Portfolio","Portfolio",IFERROR(INDEX(DATA_ASSET_CLASSIFICATION!$AB$8:$AB$13,MATCH($N3414,DATA_ASSET_CLASSIFICATION!$AA$8:$AA$13,0)),"Review"))</f>
        <v>Bucket 2 · Legacy</v>
      </c>
      <c r="P3414" s="350" t="str">
        <f>IF($B3414="Portfolio","Portfolio",IFERROR(INDEX(DATA_ASSET_CLASSIFICATION!$C$8:$C$24,MATCH($C3414,DATA_ASSET_CLASSIFICATION!$A$8:$A$24,0)),"Review"))</f>
        <v>Yes</v>
      </c>
      <c r="Q3414" s="350" t="str">
        <f t="shared" ca="1" si="107"/>
        <v>OK</v>
      </c>
    </row>
    <row r="3415" spans="1:17">
      <c r="A3415" s="366" t="s">
        <v>5371</v>
      </c>
      <c r="B3415" s="366" t="s">
        <v>231</v>
      </c>
      <c r="C3415" s="348" t="str">
        <f>DATA_PROPERTY_MASTER!$A$15</f>
        <v>BLD_NT</v>
      </c>
      <c r="D3415" s="380">
        <f>'00_PORTFOLIO ROLLUP'!R$12</f>
        <v>2038</v>
      </c>
      <c r="E3415" s="366" t="s">
        <v>1721</v>
      </c>
      <c r="F3415" s="366" t="s">
        <v>33</v>
      </c>
      <c r="G3415" s="348" t="str">
        <f>"'"&amp;$C3415&amp;"'!$E$62:$Y$62"</f>
        <v>'BLD_NT'!$E$62:$Y$62</v>
      </c>
      <c r="H3415" s="381">
        <f ca="1">IF(IFERROR(INDEX(DATA_PROPERTY_MASTER!$E$5:$E$21,MATCH($C3415,DATA_PROPERTY_MASTER!$A$5:$A$21,0))="Yes",FALSE),IFERROR(INDEX(INDIRECT("'"&amp;$C3415&amp;"'!$E$62:$Y$62"),1,MATCH($D3415,INDIRECT("'"&amp;$C3415&amp;"'!$E$12:$Y$12"),0)),0),0)</f>
        <v>0</v>
      </c>
      <c r="I3415" s="366" t="s">
        <v>1685</v>
      </c>
      <c r="J3415" s="348" t="str">
        <f t="shared" ca="1" si="106"/>
        <v>OK</v>
      </c>
      <c r="K3415" s="366" t="s">
        <v>1727</v>
      </c>
      <c r="L3415" s="366" t="s">
        <v>2254</v>
      </c>
      <c r="M3415" s="350" t="str">
        <f>IF($B3415="Portfolio","Portfolio",IFERROR(INDEX(DATA_ASSET_CLASSIFICATION!$B$8:$B$24,MATCH($C3415,DATA_ASSET_CLASSIFICATION!$A$8:$A$24,0)),"Review"))</f>
        <v>Natalia Terrace</v>
      </c>
      <c r="N3415" s="350" t="str">
        <f ca="1">IF($B3415="Portfolio","Portfolio",IFERROR(INDEX(DATA_ASSET_CLASSIFICATION!$U$8:$U$24,MATCH($C3415,DATA_ASSET_CLASSIFICATION!$A$8:$A$24,0)),"Review"))</f>
        <v>Refi Watch</v>
      </c>
      <c r="O3415" s="350" t="str">
        <f ca="1">IF($B3415="Portfolio","Portfolio",IFERROR(INDEX(DATA_ASSET_CLASSIFICATION!$AB$8:$AB$13,MATCH($N3415,DATA_ASSET_CLASSIFICATION!$AA$8:$AA$13,0)),"Review"))</f>
        <v>Bucket 2 · Legacy</v>
      </c>
      <c r="P3415" s="350" t="str">
        <f>IF($B3415="Portfolio","Portfolio",IFERROR(INDEX(DATA_ASSET_CLASSIFICATION!$C$8:$C$24,MATCH($C3415,DATA_ASSET_CLASSIFICATION!$A$8:$A$24,0)),"Review"))</f>
        <v>Yes</v>
      </c>
      <c r="Q3415" s="350" t="str">
        <f t="shared" ca="1" si="107"/>
        <v>OK</v>
      </c>
    </row>
    <row r="3416" spans="1:17">
      <c r="A3416" s="366" t="s">
        <v>5372</v>
      </c>
      <c r="B3416" s="366" t="s">
        <v>231</v>
      </c>
      <c r="C3416" s="348" t="str">
        <f>DATA_PROPERTY_MASTER!$A$15</f>
        <v>BLD_NT</v>
      </c>
      <c r="D3416" s="380">
        <f>'00_PORTFOLIO ROLLUP'!R$12</f>
        <v>2038</v>
      </c>
      <c r="E3416" s="366" t="s">
        <v>1721</v>
      </c>
      <c r="F3416" s="366" t="s">
        <v>35</v>
      </c>
      <c r="G3416" s="348" t="str">
        <f>"'"&amp;$C3416&amp;"'!$E$63:$Y$63"</f>
        <v>'BLD_NT'!$E$63:$Y$63</v>
      </c>
      <c r="H3416" s="381">
        <f ca="1">IF(IFERROR(INDEX(DATA_PROPERTY_MASTER!$E$5:$E$21,MATCH($C3416,DATA_PROPERTY_MASTER!$A$5:$A$21,0))="Yes",FALSE),IFERROR(INDEX(INDIRECT("'"&amp;$C3416&amp;"'!$E$63:$Y$63"),1,MATCH($D3416,INDIRECT("'"&amp;$C3416&amp;"'!$E$12:$Y$12"),0)),0),0)</f>
        <v>0</v>
      </c>
      <c r="I3416" s="366" t="s">
        <v>1731</v>
      </c>
      <c r="J3416" s="348" t="str">
        <f t="shared" ca="1" si="106"/>
        <v>OK</v>
      </c>
      <c r="K3416" s="366" t="s">
        <v>1732</v>
      </c>
      <c r="L3416" s="366" t="s">
        <v>2256</v>
      </c>
      <c r="M3416" s="350" t="str">
        <f>IF($B3416="Portfolio","Portfolio",IFERROR(INDEX(DATA_ASSET_CLASSIFICATION!$B$8:$B$24,MATCH($C3416,DATA_ASSET_CLASSIFICATION!$A$8:$A$24,0)),"Review"))</f>
        <v>Natalia Terrace</v>
      </c>
      <c r="N3416" s="350" t="str">
        <f ca="1">IF($B3416="Portfolio","Portfolio",IFERROR(INDEX(DATA_ASSET_CLASSIFICATION!$U$8:$U$24,MATCH($C3416,DATA_ASSET_CLASSIFICATION!$A$8:$A$24,0)),"Review"))</f>
        <v>Refi Watch</v>
      </c>
      <c r="O3416" s="350" t="str">
        <f ca="1">IF($B3416="Portfolio","Portfolio",IFERROR(INDEX(DATA_ASSET_CLASSIFICATION!$AB$8:$AB$13,MATCH($N3416,DATA_ASSET_CLASSIFICATION!$AA$8:$AA$13,0)),"Review"))</f>
        <v>Bucket 2 · Legacy</v>
      </c>
      <c r="P3416" s="350" t="str">
        <f>IF($B3416="Portfolio","Portfolio",IFERROR(INDEX(DATA_ASSET_CLASSIFICATION!$C$8:$C$24,MATCH($C3416,DATA_ASSET_CLASSIFICATION!$A$8:$A$24,0)),"Review"))</f>
        <v>Yes</v>
      </c>
      <c r="Q3416" s="350" t="str">
        <f t="shared" ca="1" si="107"/>
        <v>OK</v>
      </c>
    </row>
    <row r="3417" spans="1:17">
      <c r="A3417" s="366" t="s">
        <v>5373</v>
      </c>
      <c r="B3417" s="366" t="s">
        <v>231</v>
      </c>
      <c r="C3417" s="348" t="str">
        <f>DATA_PROPERTY_MASTER!$A$15</f>
        <v>BLD_NT</v>
      </c>
      <c r="D3417" s="380">
        <f>'00_PORTFOLIO ROLLUP'!R$12</f>
        <v>2038</v>
      </c>
      <c r="E3417" s="366" t="s">
        <v>1721</v>
      </c>
      <c r="F3417" s="366" t="s">
        <v>37</v>
      </c>
      <c r="G3417" s="348" t="str">
        <f>"'"&amp;$C3417&amp;"'!$E$63:$Y$63"</f>
        <v>'BLD_NT'!$E$63:$Y$63</v>
      </c>
      <c r="H3417" s="381">
        <f ca="1">IF(IFERROR(INDEX(DATA_PROPERTY_MASTER!$E$5:$E$21,MATCH($C3417,DATA_PROPERTY_MASTER!$A$5:$A$21,0))="Yes",FALSE),MAX(IFERROR(INDEX(INDIRECT("'"&amp;$C3417&amp;"'!$E$63:$Y$63"),1,MATCH($D3417,INDIRECT("'"&amp;$C3417&amp;"'!$E$12:$Y$12"),0)),0),0),0)</f>
        <v>0</v>
      </c>
      <c r="I3417" s="366" t="s">
        <v>1685</v>
      </c>
      <c r="J3417" s="348" t="str">
        <f t="shared" ca="1" si="106"/>
        <v>OK</v>
      </c>
      <c r="K3417" s="366" t="s">
        <v>1735</v>
      </c>
      <c r="L3417" s="366" t="s">
        <v>2258</v>
      </c>
      <c r="M3417" s="350" t="str">
        <f>IF($B3417="Portfolio","Portfolio",IFERROR(INDEX(DATA_ASSET_CLASSIFICATION!$B$8:$B$24,MATCH($C3417,DATA_ASSET_CLASSIFICATION!$A$8:$A$24,0)),"Review"))</f>
        <v>Natalia Terrace</v>
      </c>
      <c r="N3417" s="350" t="str">
        <f ca="1">IF($B3417="Portfolio","Portfolio",IFERROR(INDEX(DATA_ASSET_CLASSIFICATION!$U$8:$U$24,MATCH($C3417,DATA_ASSET_CLASSIFICATION!$A$8:$A$24,0)),"Review"))</f>
        <v>Refi Watch</v>
      </c>
      <c r="O3417" s="350" t="str">
        <f ca="1">IF($B3417="Portfolio","Portfolio",IFERROR(INDEX(DATA_ASSET_CLASSIFICATION!$AB$8:$AB$13,MATCH($N3417,DATA_ASSET_CLASSIFICATION!$AA$8:$AA$13,0)),"Review"))</f>
        <v>Bucket 2 · Legacy</v>
      </c>
      <c r="P3417" s="350" t="str">
        <f>IF($B3417="Portfolio","Portfolio",IFERROR(INDEX(DATA_ASSET_CLASSIFICATION!$C$8:$C$24,MATCH($C3417,DATA_ASSET_CLASSIFICATION!$A$8:$A$24,0)),"Review"))</f>
        <v>Yes</v>
      </c>
      <c r="Q3417" s="350" t="str">
        <f t="shared" ca="1" si="107"/>
        <v>OK</v>
      </c>
    </row>
    <row r="3418" spans="1:17">
      <c r="A3418" s="366" t="s">
        <v>5374</v>
      </c>
      <c r="B3418" s="366" t="s">
        <v>231</v>
      </c>
      <c r="C3418" s="348" t="str">
        <f>DATA_PROPERTY_MASTER!$A$15</f>
        <v>BLD_NT</v>
      </c>
      <c r="D3418" s="380">
        <f>'00_PORTFOLIO ROLLUP'!R$12</f>
        <v>2038</v>
      </c>
      <c r="E3418" s="366" t="s">
        <v>1721</v>
      </c>
      <c r="F3418" s="366" t="s">
        <v>39</v>
      </c>
      <c r="G3418" s="348" t="str">
        <f>"'"&amp;$C3418&amp;"'!$E$63:$Y$63"</f>
        <v>'BLD_NT'!$E$63:$Y$63</v>
      </c>
      <c r="H3418" s="381">
        <f ca="1">IF(IFERROR(INDEX(DATA_PROPERTY_MASTER!$E$5:$E$21,MATCH($C3418,DATA_PROPERTY_MASTER!$A$5:$A$21,0))="Yes",FALSE),MAX(-IFERROR(INDEX(INDIRECT("'"&amp;$C3418&amp;"'!$E$63:$Y$63"),1,MATCH($D3418,INDIRECT("'"&amp;$C3418&amp;"'!$E$12:$Y$12"),0)),0),0),0)</f>
        <v>0</v>
      </c>
      <c r="I3418" s="366" t="s">
        <v>1690</v>
      </c>
      <c r="J3418" s="348" t="str">
        <f t="shared" ca="1" si="106"/>
        <v>OK</v>
      </c>
      <c r="K3418" s="366" t="s">
        <v>1738</v>
      </c>
      <c r="L3418" s="366" t="s">
        <v>2260</v>
      </c>
      <c r="M3418" s="350" t="str">
        <f>IF($B3418="Portfolio","Portfolio",IFERROR(INDEX(DATA_ASSET_CLASSIFICATION!$B$8:$B$24,MATCH($C3418,DATA_ASSET_CLASSIFICATION!$A$8:$A$24,0)),"Review"))</f>
        <v>Natalia Terrace</v>
      </c>
      <c r="N3418" s="350" t="str">
        <f ca="1">IF($B3418="Portfolio","Portfolio",IFERROR(INDEX(DATA_ASSET_CLASSIFICATION!$U$8:$U$24,MATCH($C3418,DATA_ASSET_CLASSIFICATION!$A$8:$A$24,0)),"Review"))</f>
        <v>Refi Watch</v>
      </c>
      <c r="O3418" s="350" t="str">
        <f ca="1">IF($B3418="Portfolio","Portfolio",IFERROR(INDEX(DATA_ASSET_CLASSIFICATION!$AB$8:$AB$13,MATCH($N3418,DATA_ASSET_CLASSIFICATION!$AA$8:$AA$13,0)),"Review"))</f>
        <v>Bucket 2 · Legacy</v>
      </c>
      <c r="P3418" s="350" t="str">
        <f>IF($B3418="Portfolio","Portfolio",IFERROR(INDEX(DATA_ASSET_CLASSIFICATION!$C$8:$C$24,MATCH($C3418,DATA_ASSET_CLASSIFICATION!$A$8:$A$24,0)),"Review"))</f>
        <v>Yes</v>
      </c>
      <c r="Q3418" s="350" t="str">
        <f t="shared" ca="1" si="107"/>
        <v>OK</v>
      </c>
    </row>
    <row r="3419" spans="1:17">
      <c r="A3419" s="366" t="s">
        <v>5375</v>
      </c>
      <c r="B3419" s="366" t="s">
        <v>231</v>
      </c>
      <c r="C3419" s="348" t="str">
        <f>DATA_PROPERTY_MASTER!$A$15</f>
        <v>BLD_NT</v>
      </c>
      <c r="D3419" s="380">
        <f>'00_PORTFOLIO ROLLUP'!R$12</f>
        <v>2038</v>
      </c>
      <c r="E3419" s="366" t="s">
        <v>1741</v>
      </c>
      <c r="F3419" s="366" t="s">
        <v>41</v>
      </c>
      <c r="G3419" s="348" t="str">
        <f>"'"&amp;$C3419&amp;"'!rows 56 + positive row 63"</f>
        <v>'BLD_NT'!rows 56 + positive row 63</v>
      </c>
      <c r="H3419" s="381">
        <f ca="1">IF(IFERROR(INDEX(DATA_PROPERTY_MASTER!$E$5:$E$21,MATCH($C3419,DATA_PROPERTY_MASTER!$A$5:$A$21,0))="Yes",FALSE),IFERROR(INDEX(INDIRECT("'"&amp;$C3419&amp;"'!$E$56:$Y$56"),1,MATCH($D3419,INDIRECT("'"&amp;$C3419&amp;"'!$E$12:$Y$12"),0)),0)+MAX(IFERROR(INDEX(INDIRECT("'"&amp;$C3419&amp;"'!$E$63:$Y$63"),1,MATCH($D3419,INDIRECT("'"&amp;$C3419&amp;"'!$E$12:$Y$12"),0)),0),0),0)</f>
        <v>193051.72146601503</v>
      </c>
      <c r="I3419" s="366" t="s">
        <v>1685</v>
      </c>
      <c r="J3419" s="348" t="str">
        <f t="shared" ca="1" si="106"/>
        <v>OK</v>
      </c>
      <c r="K3419" s="366" t="s">
        <v>1742</v>
      </c>
      <c r="L3419" s="366" t="s">
        <v>2262</v>
      </c>
      <c r="M3419" s="350" t="str">
        <f>IF($B3419="Portfolio","Portfolio",IFERROR(INDEX(DATA_ASSET_CLASSIFICATION!$B$8:$B$24,MATCH($C3419,DATA_ASSET_CLASSIFICATION!$A$8:$A$24,0)),"Review"))</f>
        <v>Natalia Terrace</v>
      </c>
      <c r="N3419" s="350" t="str">
        <f ca="1">IF($B3419="Portfolio","Portfolio",IFERROR(INDEX(DATA_ASSET_CLASSIFICATION!$U$8:$U$24,MATCH($C3419,DATA_ASSET_CLASSIFICATION!$A$8:$A$24,0)),"Review"))</f>
        <v>Refi Watch</v>
      </c>
      <c r="O3419" s="350" t="str">
        <f ca="1">IF($B3419="Portfolio","Portfolio",IFERROR(INDEX(DATA_ASSET_CLASSIFICATION!$AB$8:$AB$13,MATCH($N3419,DATA_ASSET_CLASSIFICATION!$AA$8:$AA$13,0)),"Review"))</f>
        <v>Bucket 2 · Legacy</v>
      </c>
      <c r="P3419" s="350" t="str">
        <f>IF($B3419="Portfolio","Portfolio",IFERROR(INDEX(DATA_ASSET_CLASSIFICATION!$C$8:$C$24,MATCH($C3419,DATA_ASSET_CLASSIFICATION!$A$8:$A$24,0)),"Review"))</f>
        <v>Yes</v>
      </c>
      <c r="Q3419" s="350" t="str">
        <f t="shared" ca="1" si="107"/>
        <v>OK</v>
      </c>
    </row>
    <row r="3420" spans="1:17">
      <c r="A3420" s="366" t="s">
        <v>5376</v>
      </c>
      <c r="B3420" s="366" t="s">
        <v>231</v>
      </c>
      <c r="C3420" s="348" t="str">
        <f>DATA_PROPERTY_MASTER!$A$15</f>
        <v>BLD_NT</v>
      </c>
      <c r="D3420" s="380">
        <f>'00_PORTFOLIO ROLLUP'!R$12</f>
        <v>2038</v>
      </c>
      <c r="E3420" s="366" t="s">
        <v>1741</v>
      </c>
      <c r="F3420" s="366" t="s">
        <v>43</v>
      </c>
      <c r="G3420" s="348" t="str">
        <f>"'"&amp;$C3420&amp;"'!$E$68:$Y$68"</f>
        <v>'BLD_NT'!$E$68:$Y$68</v>
      </c>
      <c r="H3420" s="381">
        <f ca="1">IF(IFERROR(INDEX(DATA_PROPERTY_MASTER!$E$5:$E$21,MATCH($C3420,DATA_PROPERTY_MASTER!$A$5:$A$21,0))="Yes",FALSE),IFERROR(INDEX(INDIRECT("'"&amp;$C3420&amp;"'!$E$68:$Y$68"),1,MATCH($D3420,INDIRECT("'"&amp;$C3420&amp;"'!$E$12:$Y$12"),0)),0),0)</f>
        <v>193051.72146601503</v>
      </c>
      <c r="I3420" s="366" t="s">
        <v>1731</v>
      </c>
      <c r="J3420" s="348" t="str">
        <f t="shared" ca="1" si="106"/>
        <v>OK</v>
      </c>
      <c r="K3420" s="366" t="s">
        <v>1746</v>
      </c>
      <c r="L3420" s="366" t="s">
        <v>2264</v>
      </c>
      <c r="M3420" s="350" t="str">
        <f>IF($B3420="Portfolio","Portfolio",IFERROR(INDEX(DATA_ASSET_CLASSIFICATION!$B$8:$B$24,MATCH($C3420,DATA_ASSET_CLASSIFICATION!$A$8:$A$24,0)),"Review"))</f>
        <v>Natalia Terrace</v>
      </c>
      <c r="N3420" s="350" t="str">
        <f ca="1">IF($B3420="Portfolio","Portfolio",IFERROR(INDEX(DATA_ASSET_CLASSIFICATION!$U$8:$U$24,MATCH($C3420,DATA_ASSET_CLASSIFICATION!$A$8:$A$24,0)),"Review"))</f>
        <v>Refi Watch</v>
      </c>
      <c r="O3420" s="350" t="str">
        <f ca="1">IF($B3420="Portfolio","Portfolio",IFERROR(INDEX(DATA_ASSET_CLASSIFICATION!$AB$8:$AB$13,MATCH($N3420,DATA_ASSET_CLASSIFICATION!$AA$8:$AA$13,0)),"Review"))</f>
        <v>Bucket 2 · Legacy</v>
      </c>
      <c r="P3420" s="350" t="str">
        <f>IF($B3420="Portfolio","Portfolio",IFERROR(INDEX(DATA_ASSET_CLASSIFICATION!$C$8:$C$24,MATCH($C3420,DATA_ASSET_CLASSIFICATION!$A$8:$A$24,0)),"Review"))</f>
        <v>Yes</v>
      </c>
      <c r="Q3420" s="350" t="str">
        <f t="shared" ca="1" si="107"/>
        <v>OK</v>
      </c>
    </row>
    <row r="3421" spans="1:17">
      <c r="A3421" s="366" t="s">
        <v>5377</v>
      </c>
      <c r="B3421" s="366" t="s">
        <v>231</v>
      </c>
      <c r="C3421" s="348" t="str">
        <f>DATA_PROPERTY_MASTER!$A$15</f>
        <v>BLD_NT</v>
      </c>
      <c r="D3421" s="380">
        <f>'00_PORTFOLIO ROLLUP'!R$12</f>
        <v>2038</v>
      </c>
      <c r="E3421" s="366" t="s">
        <v>1741</v>
      </c>
      <c r="F3421" s="366" t="s">
        <v>1749</v>
      </c>
      <c r="G3421" s="348" t="str">
        <f>"'"&amp;$C3421&amp;"'!rows 56, 63, 68"</f>
        <v>'BLD_NT'!rows 56, 63, 68</v>
      </c>
      <c r="H3421" s="381">
        <f ca="1">IF(IFERROR(INDEX(DATA_PROPERTY_MASTER!$E$5:$E$21,MATCH($C3421,DATA_PROPERTY_MASTER!$A$5:$A$21,0))="Yes",FALSE),(IFERROR(INDEX(INDIRECT("'"&amp;$C3421&amp;"'!$E$56:$Y$56"),1,MATCH($D3421,INDIRECT("'"&amp;$C3421&amp;"'!$E$12:$Y$12"),0)),0)+MAX(IFERROR(INDEX(INDIRECT("'"&amp;$C3421&amp;"'!$E$63:$Y$63"),1,MATCH($D3421,INDIRECT("'"&amp;$C3421&amp;"'!$E$12:$Y$12"),0)),0),0))-(IFERROR(INDEX(INDIRECT("'"&amp;$C3421&amp;"'!$E$68:$Y$68"),1,MATCH($D3421,INDIRECT("'"&amp;$C3421&amp;"'!$E$12:$Y$12"),0)),0)),0)</f>
        <v>0</v>
      </c>
      <c r="I3421" s="366" t="s">
        <v>1750</v>
      </c>
      <c r="J3421" s="348" t="str">
        <f t="shared" ca="1" si="106"/>
        <v>OK</v>
      </c>
      <c r="K3421" s="366" t="s">
        <v>1751</v>
      </c>
      <c r="L3421" s="366" t="s">
        <v>2266</v>
      </c>
      <c r="M3421" s="350" t="str">
        <f>IF($B3421="Portfolio","Portfolio",IFERROR(INDEX(DATA_ASSET_CLASSIFICATION!$B$8:$B$24,MATCH($C3421,DATA_ASSET_CLASSIFICATION!$A$8:$A$24,0)),"Review"))</f>
        <v>Natalia Terrace</v>
      </c>
      <c r="N3421" s="350" t="str">
        <f ca="1">IF($B3421="Portfolio","Portfolio",IFERROR(INDEX(DATA_ASSET_CLASSIFICATION!$U$8:$U$24,MATCH($C3421,DATA_ASSET_CLASSIFICATION!$A$8:$A$24,0)),"Review"))</f>
        <v>Refi Watch</v>
      </c>
      <c r="O3421" s="350" t="str">
        <f ca="1">IF($B3421="Portfolio","Portfolio",IFERROR(INDEX(DATA_ASSET_CLASSIFICATION!$AB$8:$AB$13,MATCH($N3421,DATA_ASSET_CLASSIFICATION!$AA$8:$AA$13,0)),"Review"))</f>
        <v>Bucket 2 · Legacy</v>
      </c>
      <c r="P3421" s="350" t="str">
        <f>IF($B3421="Portfolio","Portfolio",IFERROR(INDEX(DATA_ASSET_CLASSIFICATION!$C$8:$C$24,MATCH($C3421,DATA_ASSET_CLASSIFICATION!$A$8:$A$24,0)),"Review"))</f>
        <v>Yes</v>
      </c>
      <c r="Q3421" s="350" t="str">
        <f t="shared" ca="1" si="107"/>
        <v>OK</v>
      </c>
    </row>
    <row r="3422" spans="1:17">
      <c r="A3422" s="366" t="s">
        <v>5378</v>
      </c>
      <c r="B3422" s="366" t="s">
        <v>231</v>
      </c>
      <c r="C3422" s="348" t="str">
        <f>DATA_PROPERTY_MASTER!$A$15</f>
        <v>BLD_NT</v>
      </c>
      <c r="D3422" s="380">
        <f>'00_PORTFOLIO ROLLUP'!S$12</f>
        <v>2039</v>
      </c>
      <c r="E3422" s="366" t="s">
        <v>1683</v>
      </c>
      <c r="F3422" s="366" t="s">
        <v>341</v>
      </c>
      <c r="G3422" s="348" t="str">
        <f>"'"&amp;$C3422&amp;"'!$E$24:$Y$24"</f>
        <v>'BLD_NT'!$E$24:$Y$24</v>
      </c>
      <c r="H3422" s="381">
        <f ca="1">IF(IFERROR(INDEX(DATA_PROPERTY_MASTER!$E$5:$E$21,MATCH($C3422,DATA_PROPERTY_MASTER!$A$5:$A$21,0))="Yes",FALSE),IFERROR(INDEX(INDIRECT("'"&amp;$C3422&amp;"'!$E$24:$Y$24"),1,MATCH($D3422,INDIRECT("'"&amp;$C3422&amp;"'!$E$12:$Y$12"),0)),0),0)</f>
        <v>955292.91309382312</v>
      </c>
      <c r="I3422" s="366" t="s">
        <v>1685</v>
      </c>
      <c r="J3422" s="348" t="str">
        <f t="shared" ca="1" si="106"/>
        <v>OK</v>
      </c>
      <c r="K3422" s="366" t="s">
        <v>1686</v>
      </c>
      <c r="L3422" s="366" t="s">
        <v>2234</v>
      </c>
      <c r="M3422" s="350" t="str">
        <f>IF($B3422="Portfolio","Portfolio",IFERROR(INDEX(DATA_ASSET_CLASSIFICATION!$B$8:$B$24,MATCH($C3422,DATA_ASSET_CLASSIFICATION!$A$8:$A$24,0)),"Review"))</f>
        <v>Natalia Terrace</v>
      </c>
      <c r="N3422" s="350" t="str">
        <f ca="1">IF($B3422="Portfolio","Portfolio",IFERROR(INDEX(DATA_ASSET_CLASSIFICATION!$U$8:$U$24,MATCH($C3422,DATA_ASSET_CLASSIFICATION!$A$8:$A$24,0)),"Review"))</f>
        <v>Refi Watch</v>
      </c>
      <c r="O3422" s="350" t="str">
        <f ca="1">IF($B3422="Portfolio","Portfolio",IFERROR(INDEX(DATA_ASSET_CLASSIFICATION!$AB$8:$AB$13,MATCH($N3422,DATA_ASSET_CLASSIFICATION!$AA$8:$AA$13,0)),"Review"))</f>
        <v>Bucket 2 · Legacy</v>
      </c>
      <c r="P3422" s="350" t="str">
        <f>IF($B3422="Portfolio","Portfolio",IFERROR(INDEX(DATA_ASSET_CLASSIFICATION!$C$8:$C$24,MATCH($C3422,DATA_ASSET_CLASSIFICATION!$A$8:$A$24,0)),"Review"))</f>
        <v>Yes</v>
      </c>
      <c r="Q3422" s="350" t="str">
        <f t="shared" ca="1" si="107"/>
        <v>OK</v>
      </c>
    </row>
    <row r="3423" spans="1:17">
      <c r="A3423" s="366" t="s">
        <v>5379</v>
      </c>
      <c r="B3423" s="366" t="s">
        <v>231</v>
      </c>
      <c r="C3423" s="348" t="str">
        <f>DATA_PROPERTY_MASTER!$A$15</f>
        <v>BLD_NT</v>
      </c>
      <c r="D3423" s="380">
        <f>'00_PORTFOLIO ROLLUP'!S$12</f>
        <v>2039</v>
      </c>
      <c r="E3423" s="366" t="s">
        <v>1683</v>
      </c>
      <c r="F3423" s="366" t="s">
        <v>355</v>
      </c>
      <c r="G3423" s="348" t="str">
        <f>"'"&amp;$C3423&amp;"'!$E$39:$Y$39"</f>
        <v>'BLD_NT'!$E$39:$Y$39</v>
      </c>
      <c r="H3423" s="381">
        <f ca="1">IF(IFERROR(INDEX(DATA_PROPERTY_MASTER!$E$5:$E$21,MATCH($C3423,DATA_PROPERTY_MASTER!$A$5:$A$21,0))="Yes",FALSE),IFERROR(INDEX(INDIRECT("'"&amp;$C3423&amp;"'!$E$39:$Y$39"),1,MATCH($D3423,INDIRECT("'"&amp;$C3423&amp;"'!$E$12:$Y$12"),0)),0),0)</f>
        <v>465280.68523467833</v>
      </c>
      <c r="I3423" s="366" t="s">
        <v>1690</v>
      </c>
      <c r="J3423" s="348" t="str">
        <f t="shared" ca="1" si="106"/>
        <v>OK</v>
      </c>
      <c r="K3423" s="366" t="s">
        <v>1686</v>
      </c>
      <c r="L3423" s="366" t="s">
        <v>2236</v>
      </c>
      <c r="M3423" s="350" t="str">
        <f>IF($B3423="Portfolio","Portfolio",IFERROR(INDEX(DATA_ASSET_CLASSIFICATION!$B$8:$B$24,MATCH($C3423,DATA_ASSET_CLASSIFICATION!$A$8:$A$24,0)),"Review"))</f>
        <v>Natalia Terrace</v>
      </c>
      <c r="N3423" s="350" t="str">
        <f ca="1">IF($B3423="Portfolio","Portfolio",IFERROR(INDEX(DATA_ASSET_CLASSIFICATION!$U$8:$U$24,MATCH($C3423,DATA_ASSET_CLASSIFICATION!$A$8:$A$24,0)),"Review"))</f>
        <v>Refi Watch</v>
      </c>
      <c r="O3423" s="350" t="str">
        <f ca="1">IF($B3423="Portfolio","Portfolio",IFERROR(INDEX(DATA_ASSET_CLASSIFICATION!$AB$8:$AB$13,MATCH($N3423,DATA_ASSET_CLASSIFICATION!$AA$8:$AA$13,0)),"Review"))</f>
        <v>Bucket 2 · Legacy</v>
      </c>
      <c r="P3423" s="350" t="str">
        <f>IF($B3423="Portfolio","Portfolio",IFERROR(INDEX(DATA_ASSET_CLASSIFICATION!$C$8:$C$24,MATCH($C3423,DATA_ASSET_CLASSIFICATION!$A$8:$A$24,0)),"Review"))</f>
        <v>Yes</v>
      </c>
      <c r="Q3423" s="350" t="str">
        <f t="shared" ca="1" si="107"/>
        <v>OK</v>
      </c>
    </row>
    <row r="3424" spans="1:17">
      <c r="A3424" s="366" t="s">
        <v>5380</v>
      </c>
      <c r="B3424" s="366" t="s">
        <v>231</v>
      </c>
      <c r="C3424" s="348" t="str">
        <f>DATA_PROPERTY_MASTER!$A$15</f>
        <v>BLD_NT</v>
      </c>
      <c r="D3424" s="380">
        <f>'00_PORTFOLIO ROLLUP'!S$12</f>
        <v>2039</v>
      </c>
      <c r="E3424" s="366" t="s">
        <v>1683</v>
      </c>
      <c r="F3424" s="366" t="s">
        <v>19</v>
      </c>
      <c r="G3424" s="348" t="str">
        <f>"'"&amp;$C3424&amp;"'!$E$41:$Y$41"</f>
        <v>'BLD_NT'!$E$41:$Y$41</v>
      </c>
      <c r="H3424" s="381">
        <f ca="1">IF(IFERROR(INDEX(DATA_PROPERTY_MASTER!$E$5:$E$21,MATCH($C3424,DATA_PROPERTY_MASTER!$A$5:$A$21,0))="Yes",FALSE),IFERROR(INDEX(INDIRECT("'"&amp;$C3424&amp;"'!$E$41:$Y$41"),1,MATCH($D3424,INDIRECT("'"&amp;$C3424&amp;"'!$E$12:$Y$12"),0)),0),0)</f>
        <v>490012.2278591448</v>
      </c>
      <c r="I3424" s="366" t="s">
        <v>1685</v>
      </c>
      <c r="J3424" s="348" t="str">
        <f t="shared" ca="1" si="106"/>
        <v>OK</v>
      </c>
      <c r="K3424" s="366" t="s">
        <v>1694</v>
      </c>
      <c r="L3424" s="366" t="s">
        <v>2238</v>
      </c>
      <c r="M3424" s="350" t="str">
        <f>IF($B3424="Portfolio","Portfolio",IFERROR(INDEX(DATA_ASSET_CLASSIFICATION!$B$8:$B$24,MATCH($C3424,DATA_ASSET_CLASSIFICATION!$A$8:$A$24,0)),"Review"))</f>
        <v>Natalia Terrace</v>
      </c>
      <c r="N3424" s="350" t="str">
        <f ca="1">IF($B3424="Portfolio","Portfolio",IFERROR(INDEX(DATA_ASSET_CLASSIFICATION!$U$8:$U$24,MATCH($C3424,DATA_ASSET_CLASSIFICATION!$A$8:$A$24,0)),"Review"))</f>
        <v>Refi Watch</v>
      </c>
      <c r="O3424" s="350" t="str">
        <f ca="1">IF($B3424="Portfolio","Portfolio",IFERROR(INDEX(DATA_ASSET_CLASSIFICATION!$AB$8:$AB$13,MATCH($N3424,DATA_ASSET_CLASSIFICATION!$AA$8:$AA$13,0)),"Review"))</f>
        <v>Bucket 2 · Legacy</v>
      </c>
      <c r="P3424" s="350" t="str">
        <f>IF($B3424="Portfolio","Portfolio",IFERROR(INDEX(DATA_ASSET_CLASSIFICATION!$C$8:$C$24,MATCH($C3424,DATA_ASSET_CLASSIFICATION!$A$8:$A$24,0)),"Review"))</f>
        <v>Yes</v>
      </c>
      <c r="Q3424" s="350" t="str">
        <f t="shared" ca="1" si="107"/>
        <v>OK</v>
      </c>
    </row>
    <row r="3425" spans="1:17">
      <c r="A3425" s="366" t="s">
        <v>5381</v>
      </c>
      <c r="B3425" s="366" t="s">
        <v>231</v>
      </c>
      <c r="C3425" s="348" t="str">
        <f>DATA_PROPERTY_MASTER!$A$15</f>
        <v>BLD_NT</v>
      </c>
      <c r="D3425" s="380">
        <f>'00_PORTFOLIO ROLLUP'!S$12</f>
        <v>2039</v>
      </c>
      <c r="E3425" s="366" t="s">
        <v>1683</v>
      </c>
      <c r="F3425" s="366" t="s">
        <v>1697</v>
      </c>
      <c r="G3425" s="348" t="str">
        <f>"'"&amp;$C3425&amp;"'!$E$44:$Y$44"</f>
        <v>'BLD_NT'!$E$44:$Y$44</v>
      </c>
      <c r="H3425" s="381">
        <f ca="1">IF(IFERROR(INDEX(DATA_PROPERTY_MASTER!$E$5:$E$21,MATCH($C3425,DATA_PROPERTY_MASTER!$A$5:$A$21,0))="Yes",FALSE),IFERROR(INDEX(INDIRECT("'"&amp;$C3425&amp;"'!$E$44:$Y$44"),1,MATCH($D3425,INDIRECT("'"&amp;$C3425&amp;"'!$E$12:$Y$12"),0)),0),0)</f>
        <v>7916.8725783772325</v>
      </c>
      <c r="I3425" s="366" t="s">
        <v>1690</v>
      </c>
      <c r="J3425" s="348" t="str">
        <f t="shared" ca="1" si="106"/>
        <v>OK</v>
      </c>
      <c r="K3425" s="366" t="s">
        <v>1699</v>
      </c>
      <c r="L3425" s="366" t="s">
        <v>2240</v>
      </c>
      <c r="M3425" s="350" t="str">
        <f>IF($B3425="Portfolio","Portfolio",IFERROR(INDEX(DATA_ASSET_CLASSIFICATION!$B$8:$B$24,MATCH($C3425,DATA_ASSET_CLASSIFICATION!$A$8:$A$24,0)),"Review"))</f>
        <v>Natalia Terrace</v>
      </c>
      <c r="N3425" s="350" t="str">
        <f ca="1">IF($B3425="Portfolio","Portfolio",IFERROR(INDEX(DATA_ASSET_CLASSIFICATION!$U$8:$U$24,MATCH($C3425,DATA_ASSET_CLASSIFICATION!$A$8:$A$24,0)),"Review"))</f>
        <v>Refi Watch</v>
      </c>
      <c r="O3425" s="350" t="str">
        <f ca="1">IF($B3425="Portfolio","Portfolio",IFERROR(INDEX(DATA_ASSET_CLASSIFICATION!$AB$8:$AB$13,MATCH($N3425,DATA_ASSET_CLASSIFICATION!$AA$8:$AA$13,0)),"Review"))</f>
        <v>Bucket 2 · Legacy</v>
      </c>
      <c r="P3425" s="350" t="str">
        <f>IF($B3425="Portfolio","Portfolio",IFERROR(INDEX(DATA_ASSET_CLASSIFICATION!$C$8:$C$24,MATCH($C3425,DATA_ASSET_CLASSIFICATION!$A$8:$A$24,0)),"Review"))</f>
        <v>Yes</v>
      </c>
      <c r="Q3425" s="350" t="str">
        <f t="shared" ca="1" si="107"/>
        <v>OK</v>
      </c>
    </row>
    <row r="3426" spans="1:17">
      <c r="A3426" s="366" t="s">
        <v>5382</v>
      </c>
      <c r="B3426" s="366" t="s">
        <v>231</v>
      </c>
      <c r="C3426" s="348" t="str">
        <f>DATA_PROPERTY_MASTER!$A$15</f>
        <v>BLD_NT</v>
      </c>
      <c r="D3426" s="380">
        <f>'00_PORTFOLIO ROLLUP'!S$12</f>
        <v>2039</v>
      </c>
      <c r="E3426" s="366" t="s">
        <v>1683</v>
      </c>
      <c r="F3426" s="366" t="s">
        <v>21</v>
      </c>
      <c r="G3426" s="348" t="str">
        <f>"'"&amp;$C3426&amp;"'!$E$45:$Y$45"</f>
        <v>'BLD_NT'!$E$45:$Y$45</v>
      </c>
      <c r="H3426" s="381">
        <f ca="1">IF(IFERROR(INDEX(DATA_PROPERTY_MASTER!$E$5:$E$21,MATCH($C3426,DATA_PROPERTY_MASTER!$A$5:$A$21,0))="Yes",FALSE),IFERROR(INDEX(INDIRECT("'"&amp;$C3426&amp;"'!$E$45:$Y$45"),1,MATCH($D3426,INDIRECT("'"&amp;$C3426&amp;"'!$E$12:$Y$12"),0)),0),0)</f>
        <v>482095.35528076754</v>
      </c>
      <c r="I3426" s="366" t="s">
        <v>1685</v>
      </c>
      <c r="J3426" s="348" t="str">
        <f t="shared" ca="1" si="106"/>
        <v>OK</v>
      </c>
      <c r="K3426" s="366" t="s">
        <v>1694</v>
      </c>
      <c r="L3426" s="366" t="s">
        <v>2242</v>
      </c>
      <c r="M3426" s="350" t="str">
        <f>IF($B3426="Portfolio","Portfolio",IFERROR(INDEX(DATA_ASSET_CLASSIFICATION!$B$8:$B$24,MATCH($C3426,DATA_ASSET_CLASSIFICATION!$A$8:$A$24,0)),"Review"))</f>
        <v>Natalia Terrace</v>
      </c>
      <c r="N3426" s="350" t="str">
        <f ca="1">IF($B3426="Portfolio","Portfolio",IFERROR(INDEX(DATA_ASSET_CLASSIFICATION!$U$8:$U$24,MATCH($C3426,DATA_ASSET_CLASSIFICATION!$A$8:$A$24,0)),"Review"))</f>
        <v>Refi Watch</v>
      </c>
      <c r="O3426" s="350" t="str">
        <f ca="1">IF($B3426="Portfolio","Portfolio",IFERROR(INDEX(DATA_ASSET_CLASSIFICATION!$AB$8:$AB$13,MATCH($N3426,DATA_ASSET_CLASSIFICATION!$AA$8:$AA$13,0)),"Review"))</f>
        <v>Bucket 2 · Legacy</v>
      </c>
      <c r="P3426" s="350" t="str">
        <f>IF($B3426="Portfolio","Portfolio",IFERROR(INDEX(DATA_ASSET_CLASSIFICATION!$C$8:$C$24,MATCH($C3426,DATA_ASSET_CLASSIFICATION!$A$8:$A$24,0)),"Review"))</f>
        <v>Yes</v>
      </c>
      <c r="Q3426" s="350" t="str">
        <f t="shared" ca="1" si="107"/>
        <v>OK</v>
      </c>
    </row>
    <row r="3427" spans="1:17">
      <c r="A3427" s="366" t="s">
        <v>5383</v>
      </c>
      <c r="B3427" s="366" t="s">
        <v>231</v>
      </c>
      <c r="C3427" s="348" t="str">
        <f>DATA_PROPERTY_MASTER!$A$15</f>
        <v>BLD_NT</v>
      </c>
      <c r="D3427" s="380">
        <f>'00_PORTFOLIO ROLLUP'!S$12</f>
        <v>2039</v>
      </c>
      <c r="E3427" s="366" t="s">
        <v>23</v>
      </c>
      <c r="F3427" s="366" t="s">
        <v>23</v>
      </c>
      <c r="G3427" s="348" t="str">
        <f>"'"&amp;$C3427&amp;"'!$E$48:$Y$48"</f>
        <v>'BLD_NT'!$E$48:$Y$48</v>
      </c>
      <c r="H3427" s="381">
        <f ca="1">IF(IFERROR(INDEX(DATA_PROPERTY_MASTER!$E$5:$E$21,MATCH($C3427,DATA_PROPERTY_MASTER!$A$5:$A$21,0))="Yes",FALSE),IFERROR(INDEX(INDIRECT("'"&amp;$C3427&amp;"'!$E$48:$Y$48"),1,MATCH($D3427,INDIRECT("'"&amp;$C3427&amp;"'!$E$12:$Y$12"),0)),0),0)</f>
        <v>0</v>
      </c>
      <c r="I3427" s="366" t="s">
        <v>1690</v>
      </c>
      <c r="J3427" s="348" t="str">
        <f t="shared" ca="1" si="106"/>
        <v>OK</v>
      </c>
      <c r="K3427" s="366" t="s">
        <v>1706</v>
      </c>
      <c r="L3427" s="366" t="s">
        <v>2244</v>
      </c>
      <c r="M3427" s="350" t="str">
        <f>IF($B3427="Portfolio","Portfolio",IFERROR(INDEX(DATA_ASSET_CLASSIFICATION!$B$8:$B$24,MATCH($C3427,DATA_ASSET_CLASSIFICATION!$A$8:$A$24,0)),"Review"))</f>
        <v>Natalia Terrace</v>
      </c>
      <c r="N3427" s="350" t="str">
        <f ca="1">IF($B3427="Portfolio","Portfolio",IFERROR(INDEX(DATA_ASSET_CLASSIFICATION!$U$8:$U$24,MATCH($C3427,DATA_ASSET_CLASSIFICATION!$A$8:$A$24,0)),"Review"))</f>
        <v>Refi Watch</v>
      </c>
      <c r="O3427" s="350" t="str">
        <f ca="1">IF($B3427="Portfolio","Portfolio",IFERROR(INDEX(DATA_ASSET_CLASSIFICATION!$AB$8:$AB$13,MATCH($N3427,DATA_ASSET_CLASSIFICATION!$AA$8:$AA$13,0)),"Review"))</f>
        <v>Bucket 2 · Legacy</v>
      </c>
      <c r="P3427" s="350" t="str">
        <f>IF($B3427="Portfolio","Portfolio",IFERROR(INDEX(DATA_ASSET_CLASSIFICATION!$C$8:$C$24,MATCH($C3427,DATA_ASSET_CLASSIFICATION!$A$8:$A$24,0)),"Review"))</f>
        <v>Yes</v>
      </c>
      <c r="Q3427" s="350" t="str">
        <f t="shared" ca="1" si="107"/>
        <v>OK</v>
      </c>
    </row>
    <row r="3428" spans="1:17">
      <c r="A3428" s="366" t="s">
        <v>5384</v>
      </c>
      <c r="B3428" s="366" t="s">
        <v>231</v>
      </c>
      <c r="C3428" s="348" t="str">
        <f>DATA_PROPERTY_MASTER!$A$15</f>
        <v>BLD_NT</v>
      </c>
      <c r="D3428" s="380">
        <f>'00_PORTFOLIO ROLLUP'!S$12</f>
        <v>2039</v>
      </c>
      <c r="E3428" s="366" t="s">
        <v>1683</v>
      </c>
      <c r="F3428" s="366" t="s">
        <v>25</v>
      </c>
      <c r="G3428" s="348" t="str">
        <f>"'"&amp;$C3428&amp;"'!$E$52:$Y$52"</f>
        <v>'BLD_NT'!$E$52:$Y$52</v>
      </c>
      <c r="H3428" s="381">
        <f ca="1">IF(IFERROR(INDEX(DATA_PROPERTY_MASTER!$E$5:$E$21,MATCH($C3428,DATA_PROPERTY_MASTER!$A$5:$A$21,0))="Yes",FALSE),IFERROR(INDEX(INDIRECT("'"&amp;$C3428&amp;"'!$E$52:$Y$52"),1,MATCH($D3428,INDIRECT("'"&amp;$C3428&amp;"'!$E$12:$Y$12"),0)),0),0)</f>
        <v>490012.2278591448</v>
      </c>
      <c r="I3428" s="366" t="s">
        <v>1685</v>
      </c>
      <c r="J3428" s="348" t="str">
        <f t="shared" ca="1" si="106"/>
        <v>OK</v>
      </c>
      <c r="K3428" s="366" t="s">
        <v>1710</v>
      </c>
      <c r="L3428" s="366" t="s">
        <v>2246</v>
      </c>
      <c r="M3428" s="350" t="str">
        <f>IF($B3428="Portfolio","Portfolio",IFERROR(INDEX(DATA_ASSET_CLASSIFICATION!$B$8:$B$24,MATCH($C3428,DATA_ASSET_CLASSIFICATION!$A$8:$A$24,0)),"Review"))</f>
        <v>Natalia Terrace</v>
      </c>
      <c r="N3428" s="350" t="str">
        <f ca="1">IF($B3428="Portfolio","Portfolio",IFERROR(INDEX(DATA_ASSET_CLASSIFICATION!$U$8:$U$24,MATCH($C3428,DATA_ASSET_CLASSIFICATION!$A$8:$A$24,0)),"Review"))</f>
        <v>Refi Watch</v>
      </c>
      <c r="O3428" s="350" t="str">
        <f ca="1">IF($B3428="Portfolio","Portfolio",IFERROR(INDEX(DATA_ASSET_CLASSIFICATION!$AB$8:$AB$13,MATCH($N3428,DATA_ASSET_CLASSIFICATION!$AA$8:$AA$13,0)),"Review"))</f>
        <v>Bucket 2 · Legacy</v>
      </c>
      <c r="P3428" s="350" t="str">
        <f>IF($B3428="Portfolio","Portfolio",IFERROR(INDEX(DATA_ASSET_CLASSIFICATION!$C$8:$C$24,MATCH($C3428,DATA_ASSET_CLASSIFICATION!$A$8:$A$24,0)),"Review"))</f>
        <v>Yes</v>
      </c>
      <c r="Q3428" s="350" t="str">
        <f t="shared" ca="1" si="107"/>
        <v>OK</v>
      </c>
    </row>
    <row r="3429" spans="1:17">
      <c r="A3429" s="366" t="s">
        <v>5385</v>
      </c>
      <c r="B3429" s="366" t="s">
        <v>231</v>
      </c>
      <c r="C3429" s="348" t="str">
        <f>DATA_PROPERTY_MASTER!$A$15</f>
        <v>BLD_NT</v>
      </c>
      <c r="D3429" s="380">
        <f>'00_PORTFOLIO ROLLUP'!S$12</f>
        <v>2039</v>
      </c>
      <c r="E3429" s="366" t="s">
        <v>1683</v>
      </c>
      <c r="F3429" s="366" t="s">
        <v>27</v>
      </c>
      <c r="G3429" s="348" t="str">
        <f>"'"&amp;$C3429&amp;"'!$E$54:$Y$54"</f>
        <v>'BLD_NT'!$E$54:$Y$54</v>
      </c>
      <c r="H3429" s="381">
        <f ca="1">IF(IFERROR(INDEX(DATA_PROPERTY_MASTER!$E$5:$E$21,MATCH($C3429,DATA_PROPERTY_MASTER!$A$5:$A$21,0))="Yes",FALSE),IFERROR(INDEX(INDIRECT("'"&amp;$C3429&amp;"'!$E$54:$Y$54"),1,MATCH($D3429,INDIRECT("'"&amp;$C3429&amp;"'!$E$12:$Y$12"),0)),0),0)</f>
        <v>294007.33671548689</v>
      </c>
      <c r="I3429" s="366" t="s">
        <v>1690</v>
      </c>
      <c r="J3429" s="348" t="str">
        <f t="shared" ca="1" si="106"/>
        <v>OK</v>
      </c>
      <c r="K3429" s="366" t="s">
        <v>1714</v>
      </c>
      <c r="L3429" s="366" t="s">
        <v>2248</v>
      </c>
      <c r="M3429" s="350" t="str">
        <f>IF($B3429="Portfolio","Portfolio",IFERROR(INDEX(DATA_ASSET_CLASSIFICATION!$B$8:$B$24,MATCH($C3429,DATA_ASSET_CLASSIFICATION!$A$8:$A$24,0)),"Review"))</f>
        <v>Natalia Terrace</v>
      </c>
      <c r="N3429" s="350" t="str">
        <f ca="1">IF($B3429="Portfolio","Portfolio",IFERROR(INDEX(DATA_ASSET_CLASSIFICATION!$U$8:$U$24,MATCH($C3429,DATA_ASSET_CLASSIFICATION!$A$8:$A$24,0)),"Review"))</f>
        <v>Refi Watch</v>
      </c>
      <c r="O3429" s="350" t="str">
        <f ca="1">IF($B3429="Portfolio","Portfolio",IFERROR(INDEX(DATA_ASSET_CLASSIFICATION!$AB$8:$AB$13,MATCH($N3429,DATA_ASSET_CLASSIFICATION!$AA$8:$AA$13,0)),"Review"))</f>
        <v>Bucket 2 · Legacy</v>
      </c>
      <c r="P3429" s="350" t="str">
        <f>IF($B3429="Portfolio","Portfolio",IFERROR(INDEX(DATA_ASSET_CLASSIFICATION!$C$8:$C$24,MATCH($C3429,DATA_ASSET_CLASSIFICATION!$A$8:$A$24,0)),"Review"))</f>
        <v>Yes</v>
      </c>
      <c r="Q3429" s="350" t="str">
        <f t="shared" ca="1" si="107"/>
        <v>OK</v>
      </c>
    </row>
    <row r="3430" spans="1:17">
      <c r="A3430" s="366" t="s">
        <v>5386</v>
      </c>
      <c r="B3430" s="366" t="s">
        <v>231</v>
      </c>
      <c r="C3430" s="348" t="str">
        <f>DATA_PROPERTY_MASTER!$A$15</f>
        <v>BLD_NT</v>
      </c>
      <c r="D3430" s="380">
        <f>'00_PORTFOLIO ROLLUP'!S$12</f>
        <v>2039</v>
      </c>
      <c r="E3430" s="366" t="s">
        <v>1683</v>
      </c>
      <c r="F3430" s="366" t="s">
        <v>29</v>
      </c>
      <c r="G3430" s="348" t="str">
        <f>"'"&amp;$C3430&amp;"'!$E$56:$Y$56"</f>
        <v>'BLD_NT'!$E$56:$Y$56</v>
      </c>
      <c r="H3430" s="381">
        <f ca="1">IF(IFERROR(INDEX(DATA_PROPERTY_MASTER!$E$5:$E$21,MATCH($C3430,DATA_PROPERTY_MASTER!$A$5:$A$21,0))="Yes",FALSE),IFERROR(INDEX(INDIRECT("'"&amp;$C3430&amp;"'!$E$56:$Y$56"),1,MATCH($D3430,INDIRECT("'"&amp;$C3430&amp;"'!$E$12:$Y$12"),0)),0),0)</f>
        <v>196004.89114365791</v>
      </c>
      <c r="I3430" s="366" t="s">
        <v>1685</v>
      </c>
      <c r="J3430" s="348" t="str">
        <f t="shared" ca="1" si="106"/>
        <v>OK</v>
      </c>
      <c r="K3430" s="366" t="s">
        <v>1718</v>
      </c>
      <c r="L3430" s="366" t="s">
        <v>2250</v>
      </c>
      <c r="M3430" s="350" t="str">
        <f>IF($B3430="Portfolio","Portfolio",IFERROR(INDEX(DATA_ASSET_CLASSIFICATION!$B$8:$B$24,MATCH($C3430,DATA_ASSET_CLASSIFICATION!$A$8:$A$24,0)),"Review"))</f>
        <v>Natalia Terrace</v>
      </c>
      <c r="N3430" s="350" t="str">
        <f ca="1">IF($B3430="Portfolio","Portfolio",IFERROR(INDEX(DATA_ASSET_CLASSIFICATION!$U$8:$U$24,MATCH($C3430,DATA_ASSET_CLASSIFICATION!$A$8:$A$24,0)),"Review"))</f>
        <v>Refi Watch</v>
      </c>
      <c r="O3430" s="350" t="str">
        <f ca="1">IF($B3430="Portfolio","Portfolio",IFERROR(INDEX(DATA_ASSET_CLASSIFICATION!$AB$8:$AB$13,MATCH($N3430,DATA_ASSET_CLASSIFICATION!$AA$8:$AA$13,0)),"Review"))</f>
        <v>Bucket 2 · Legacy</v>
      </c>
      <c r="P3430" s="350" t="str">
        <f>IF($B3430="Portfolio","Portfolio",IFERROR(INDEX(DATA_ASSET_CLASSIFICATION!$C$8:$C$24,MATCH($C3430,DATA_ASSET_CLASSIFICATION!$A$8:$A$24,0)),"Review"))</f>
        <v>Yes</v>
      </c>
      <c r="Q3430" s="350" t="str">
        <f t="shared" ca="1" si="107"/>
        <v>OK</v>
      </c>
    </row>
    <row r="3431" spans="1:17">
      <c r="A3431" s="366" t="s">
        <v>5387</v>
      </c>
      <c r="B3431" s="366" t="s">
        <v>231</v>
      </c>
      <c r="C3431" s="348" t="str">
        <f>DATA_PROPERTY_MASTER!$A$15</f>
        <v>BLD_NT</v>
      </c>
      <c r="D3431" s="380">
        <f>'00_PORTFOLIO ROLLUP'!S$12</f>
        <v>2039</v>
      </c>
      <c r="E3431" s="366" t="s">
        <v>1721</v>
      </c>
      <c r="F3431" s="366" t="s">
        <v>31</v>
      </c>
      <c r="G3431" s="348" t="str">
        <f>"'"&amp;$C3431&amp;"'!$E$61:$Y$61"</f>
        <v>'BLD_NT'!$E$61:$Y$61</v>
      </c>
      <c r="H3431" s="381">
        <f ca="1">IF(IFERROR(INDEX(DATA_PROPERTY_MASTER!$E$5:$E$21,MATCH($C3431,DATA_PROPERTY_MASTER!$A$5:$A$21,0))="Yes",FALSE),IFERROR(INDEX(INDIRECT("'"&amp;$C3431&amp;"'!$E$61:$Y$61"),1,MATCH($D3431,INDIRECT("'"&amp;$C3431&amp;"'!$E$12:$Y$12"),0)),0),0)</f>
        <v>0</v>
      </c>
      <c r="I3431" s="366" t="s">
        <v>1690</v>
      </c>
      <c r="J3431" s="348" t="str">
        <f t="shared" ca="1" si="106"/>
        <v>OK</v>
      </c>
      <c r="K3431" s="366" t="s">
        <v>1723</v>
      </c>
      <c r="L3431" s="366" t="s">
        <v>2252</v>
      </c>
      <c r="M3431" s="350" t="str">
        <f>IF($B3431="Portfolio","Portfolio",IFERROR(INDEX(DATA_ASSET_CLASSIFICATION!$B$8:$B$24,MATCH($C3431,DATA_ASSET_CLASSIFICATION!$A$8:$A$24,0)),"Review"))</f>
        <v>Natalia Terrace</v>
      </c>
      <c r="N3431" s="350" t="str">
        <f ca="1">IF($B3431="Portfolio","Portfolio",IFERROR(INDEX(DATA_ASSET_CLASSIFICATION!$U$8:$U$24,MATCH($C3431,DATA_ASSET_CLASSIFICATION!$A$8:$A$24,0)),"Review"))</f>
        <v>Refi Watch</v>
      </c>
      <c r="O3431" s="350" t="str">
        <f ca="1">IF($B3431="Portfolio","Portfolio",IFERROR(INDEX(DATA_ASSET_CLASSIFICATION!$AB$8:$AB$13,MATCH($N3431,DATA_ASSET_CLASSIFICATION!$AA$8:$AA$13,0)),"Review"))</f>
        <v>Bucket 2 · Legacy</v>
      </c>
      <c r="P3431" s="350" t="str">
        <f>IF($B3431="Portfolio","Portfolio",IFERROR(INDEX(DATA_ASSET_CLASSIFICATION!$C$8:$C$24,MATCH($C3431,DATA_ASSET_CLASSIFICATION!$A$8:$A$24,0)),"Review"))</f>
        <v>Yes</v>
      </c>
      <c r="Q3431" s="350" t="str">
        <f t="shared" ca="1" si="107"/>
        <v>OK</v>
      </c>
    </row>
    <row r="3432" spans="1:17">
      <c r="A3432" s="366" t="s">
        <v>5388</v>
      </c>
      <c r="B3432" s="366" t="s">
        <v>231</v>
      </c>
      <c r="C3432" s="348" t="str">
        <f>DATA_PROPERTY_MASTER!$A$15</f>
        <v>BLD_NT</v>
      </c>
      <c r="D3432" s="380">
        <f>'00_PORTFOLIO ROLLUP'!S$12</f>
        <v>2039</v>
      </c>
      <c r="E3432" s="366" t="s">
        <v>1721</v>
      </c>
      <c r="F3432" s="366" t="s">
        <v>33</v>
      </c>
      <c r="G3432" s="348" t="str">
        <f>"'"&amp;$C3432&amp;"'!$E$62:$Y$62"</f>
        <v>'BLD_NT'!$E$62:$Y$62</v>
      </c>
      <c r="H3432" s="381">
        <f ca="1">IF(IFERROR(INDEX(DATA_PROPERTY_MASTER!$E$5:$E$21,MATCH($C3432,DATA_PROPERTY_MASTER!$A$5:$A$21,0))="Yes",FALSE),IFERROR(INDEX(INDIRECT("'"&amp;$C3432&amp;"'!$E$62:$Y$62"),1,MATCH($D3432,INDIRECT("'"&amp;$C3432&amp;"'!$E$12:$Y$12"),0)),0),0)</f>
        <v>0</v>
      </c>
      <c r="I3432" s="366" t="s">
        <v>1685</v>
      </c>
      <c r="J3432" s="348" t="str">
        <f t="shared" ca="1" si="106"/>
        <v>OK</v>
      </c>
      <c r="K3432" s="366" t="s">
        <v>1727</v>
      </c>
      <c r="L3432" s="366" t="s">
        <v>2254</v>
      </c>
      <c r="M3432" s="350" t="str">
        <f>IF($B3432="Portfolio","Portfolio",IFERROR(INDEX(DATA_ASSET_CLASSIFICATION!$B$8:$B$24,MATCH($C3432,DATA_ASSET_CLASSIFICATION!$A$8:$A$24,0)),"Review"))</f>
        <v>Natalia Terrace</v>
      </c>
      <c r="N3432" s="350" t="str">
        <f ca="1">IF($B3432="Portfolio","Portfolio",IFERROR(INDEX(DATA_ASSET_CLASSIFICATION!$U$8:$U$24,MATCH($C3432,DATA_ASSET_CLASSIFICATION!$A$8:$A$24,0)),"Review"))</f>
        <v>Refi Watch</v>
      </c>
      <c r="O3432" s="350" t="str">
        <f ca="1">IF($B3432="Portfolio","Portfolio",IFERROR(INDEX(DATA_ASSET_CLASSIFICATION!$AB$8:$AB$13,MATCH($N3432,DATA_ASSET_CLASSIFICATION!$AA$8:$AA$13,0)),"Review"))</f>
        <v>Bucket 2 · Legacy</v>
      </c>
      <c r="P3432" s="350" t="str">
        <f>IF($B3432="Portfolio","Portfolio",IFERROR(INDEX(DATA_ASSET_CLASSIFICATION!$C$8:$C$24,MATCH($C3432,DATA_ASSET_CLASSIFICATION!$A$8:$A$24,0)),"Review"))</f>
        <v>Yes</v>
      </c>
      <c r="Q3432" s="350" t="str">
        <f t="shared" ca="1" si="107"/>
        <v>OK</v>
      </c>
    </row>
    <row r="3433" spans="1:17">
      <c r="A3433" s="366" t="s">
        <v>5389</v>
      </c>
      <c r="B3433" s="366" t="s">
        <v>231</v>
      </c>
      <c r="C3433" s="348" t="str">
        <f>DATA_PROPERTY_MASTER!$A$15</f>
        <v>BLD_NT</v>
      </c>
      <c r="D3433" s="380">
        <f>'00_PORTFOLIO ROLLUP'!S$12</f>
        <v>2039</v>
      </c>
      <c r="E3433" s="366" t="s">
        <v>1721</v>
      </c>
      <c r="F3433" s="366" t="s">
        <v>35</v>
      </c>
      <c r="G3433" s="348" t="str">
        <f>"'"&amp;$C3433&amp;"'!$E$63:$Y$63"</f>
        <v>'BLD_NT'!$E$63:$Y$63</v>
      </c>
      <c r="H3433" s="381">
        <f ca="1">IF(IFERROR(INDEX(DATA_PROPERTY_MASTER!$E$5:$E$21,MATCH($C3433,DATA_PROPERTY_MASTER!$A$5:$A$21,0))="Yes",FALSE),IFERROR(INDEX(INDIRECT("'"&amp;$C3433&amp;"'!$E$63:$Y$63"),1,MATCH($D3433,INDIRECT("'"&amp;$C3433&amp;"'!$E$12:$Y$12"),0)),0),0)</f>
        <v>0</v>
      </c>
      <c r="I3433" s="366" t="s">
        <v>1731</v>
      </c>
      <c r="J3433" s="348" t="str">
        <f t="shared" ca="1" si="106"/>
        <v>OK</v>
      </c>
      <c r="K3433" s="366" t="s">
        <v>1732</v>
      </c>
      <c r="L3433" s="366" t="s">
        <v>2256</v>
      </c>
      <c r="M3433" s="350" t="str">
        <f>IF($B3433="Portfolio","Portfolio",IFERROR(INDEX(DATA_ASSET_CLASSIFICATION!$B$8:$B$24,MATCH($C3433,DATA_ASSET_CLASSIFICATION!$A$8:$A$24,0)),"Review"))</f>
        <v>Natalia Terrace</v>
      </c>
      <c r="N3433" s="350" t="str">
        <f ca="1">IF($B3433="Portfolio","Portfolio",IFERROR(INDEX(DATA_ASSET_CLASSIFICATION!$U$8:$U$24,MATCH($C3433,DATA_ASSET_CLASSIFICATION!$A$8:$A$24,0)),"Review"))</f>
        <v>Refi Watch</v>
      </c>
      <c r="O3433" s="350" t="str">
        <f ca="1">IF($B3433="Portfolio","Portfolio",IFERROR(INDEX(DATA_ASSET_CLASSIFICATION!$AB$8:$AB$13,MATCH($N3433,DATA_ASSET_CLASSIFICATION!$AA$8:$AA$13,0)),"Review"))</f>
        <v>Bucket 2 · Legacy</v>
      </c>
      <c r="P3433" s="350" t="str">
        <f>IF($B3433="Portfolio","Portfolio",IFERROR(INDEX(DATA_ASSET_CLASSIFICATION!$C$8:$C$24,MATCH($C3433,DATA_ASSET_CLASSIFICATION!$A$8:$A$24,0)),"Review"))</f>
        <v>Yes</v>
      </c>
      <c r="Q3433" s="350" t="str">
        <f t="shared" ca="1" si="107"/>
        <v>OK</v>
      </c>
    </row>
    <row r="3434" spans="1:17">
      <c r="A3434" s="366" t="s">
        <v>5390</v>
      </c>
      <c r="B3434" s="366" t="s">
        <v>231</v>
      </c>
      <c r="C3434" s="348" t="str">
        <f>DATA_PROPERTY_MASTER!$A$15</f>
        <v>BLD_NT</v>
      </c>
      <c r="D3434" s="380">
        <f>'00_PORTFOLIO ROLLUP'!S$12</f>
        <v>2039</v>
      </c>
      <c r="E3434" s="366" t="s">
        <v>1721</v>
      </c>
      <c r="F3434" s="366" t="s">
        <v>37</v>
      </c>
      <c r="G3434" s="348" t="str">
        <f>"'"&amp;$C3434&amp;"'!$E$63:$Y$63"</f>
        <v>'BLD_NT'!$E$63:$Y$63</v>
      </c>
      <c r="H3434" s="381">
        <f ca="1">IF(IFERROR(INDEX(DATA_PROPERTY_MASTER!$E$5:$E$21,MATCH($C3434,DATA_PROPERTY_MASTER!$A$5:$A$21,0))="Yes",FALSE),MAX(IFERROR(INDEX(INDIRECT("'"&amp;$C3434&amp;"'!$E$63:$Y$63"),1,MATCH($D3434,INDIRECT("'"&amp;$C3434&amp;"'!$E$12:$Y$12"),0)),0),0),0)</f>
        <v>0</v>
      </c>
      <c r="I3434" s="366" t="s">
        <v>1685</v>
      </c>
      <c r="J3434" s="348" t="str">
        <f t="shared" ca="1" si="106"/>
        <v>OK</v>
      </c>
      <c r="K3434" s="366" t="s">
        <v>1735</v>
      </c>
      <c r="L3434" s="366" t="s">
        <v>2258</v>
      </c>
      <c r="M3434" s="350" t="str">
        <f>IF($B3434="Portfolio","Portfolio",IFERROR(INDEX(DATA_ASSET_CLASSIFICATION!$B$8:$B$24,MATCH($C3434,DATA_ASSET_CLASSIFICATION!$A$8:$A$24,0)),"Review"))</f>
        <v>Natalia Terrace</v>
      </c>
      <c r="N3434" s="350" t="str">
        <f ca="1">IF($B3434="Portfolio","Portfolio",IFERROR(INDEX(DATA_ASSET_CLASSIFICATION!$U$8:$U$24,MATCH($C3434,DATA_ASSET_CLASSIFICATION!$A$8:$A$24,0)),"Review"))</f>
        <v>Refi Watch</v>
      </c>
      <c r="O3434" s="350" t="str">
        <f ca="1">IF($B3434="Portfolio","Portfolio",IFERROR(INDEX(DATA_ASSET_CLASSIFICATION!$AB$8:$AB$13,MATCH($N3434,DATA_ASSET_CLASSIFICATION!$AA$8:$AA$13,0)),"Review"))</f>
        <v>Bucket 2 · Legacy</v>
      </c>
      <c r="P3434" s="350" t="str">
        <f>IF($B3434="Portfolio","Portfolio",IFERROR(INDEX(DATA_ASSET_CLASSIFICATION!$C$8:$C$24,MATCH($C3434,DATA_ASSET_CLASSIFICATION!$A$8:$A$24,0)),"Review"))</f>
        <v>Yes</v>
      </c>
      <c r="Q3434" s="350" t="str">
        <f t="shared" ca="1" si="107"/>
        <v>OK</v>
      </c>
    </row>
    <row r="3435" spans="1:17">
      <c r="A3435" s="366" t="s">
        <v>5391</v>
      </c>
      <c r="B3435" s="366" t="s">
        <v>231</v>
      </c>
      <c r="C3435" s="348" t="str">
        <f>DATA_PROPERTY_MASTER!$A$15</f>
        <v>BLD_NT</v>
      </c>
      <c r="D3435" s="380">
        <f>'00_PORTFOLIO ROLLUP'!S$12</f>
        <v>2039</v>
      </c>
      <c r="E3435" s="366" t="s">
        <v>1721</v>
      </c>
      <c r="F3435" s="366" t="s">
        <v>39</v>
      </c>
      <c r="G3435" s="348" t="str">
        <f>"'"&amp;$C3435&amp;"'!$E$63:$Y$63"</f>
        <v>'BLD_NT'!$E$63:$Y$63</v>
      </c>
      <c r="H3435" s="381">
        <f ca="1">IF(IFERROR(INDEX(DATA_PROPERTY_MASTER!$E$5:$E$21,MATCH($C3435,DATA_PROPERTY_MASTER!$A$5:$A$21,0))="Yes",FALSE),MAX(-IFERROR(INDEX(INDIRECT("'"&amp;$C3435&amp;"'!$E$63:$Y$63"),1,MATCH($D3435,INDIRECT("'"&amp;$C3435&amp;"'!$E$12:$Y$12"),0)),0),0),0)</f>
        <v>0</v>
      </c>
      <c r="I3435" s="366" t="s">
        <v>1690</v>
      </c>
      <c r="J3435" s="348" t="str">
        <f t="shared" ca="1" si="106"/>
        <v>OK</v>
      </c>
      <c r="K3435" s="366" t="s">
        <v>1738</v>
      </c>
      <c r="L3435" s="366" t="s">
        <v>2260</v>
      </c>
      <c r="M3435" s="350" t="str">
        <f>IF($B3435="Portfolio","Portfolio",IFERROR(INDEX(DATA_ASSET_CLASSIFICATION!$B$8:$B$24,MATCH($C3435,DATA_ASSET_CLASSIFICATION!$A$8:$A$24,0)),"Review"))</f>
        <v>Natalia Terrace</v>
      </c>
      <c r="N3435" s="350" t="str">
        <f ca="1">IF($B3435="Portfolio","Portfolio",IFERROR(INDEX(DATA_ASSET_CLASSIFICATION!$U$8:$U$24,MATCH($C3435,DATA_ASSET_CLASSIFICATION!$A$8:$A$24,0)),"Review"))</f>
        <v>Refi Watch</v>
      </c>
      <c r="O3435" s="350" t="str">
        <f ca="1">IF($B3435="Portfolio","Portfolio",IFERROR(INDEX(DATA_ASSET_CLASSIFICATION!$AB$8:$AB$13,MATCH($N3435,DATA_ASSET_CLASSIFICATION!$AA$8:$AA$13,0)),"Review"))</f>
        <v>Bucket 2 · Legacy</v>
      </c>
      <c r="P3435" s="350" t="str">
        <f>IF($B3435="Portfolio","Portfolio",IFERROR(INDEX(DATA_ASSET_CLASSIFICATION!$C$8:$C$24,MATCH($C3435,DATA_ASSET_CLASSIFICATION!$A$8:$A$24,0)),"Review"))</f>
        <v>Yes</v>
      </c>
      <c r="Q3435" s="350" t="str">
        <f t="shared" ca="1" si="107"/>
        <v>OK</v>
      </c>
    </row>
    <row r="3436" spans="1:17">
      <c r="A3436" s="366" t="s">
        <v>5392</v>
      </c>
      <c r="B3436" s="366" t="s">
        <v>231</v>
      </c>
      <c r="C3436" s="348" t="str">
        <f>DATA_PROPERTY_MASTER!$A$15</f>
        <v>BLD_NT</v>
      </c>
      <c r="D3436" s="380">
        <f>'00_PORTFOLIO ROLLUP'!S$12</f>
        <v>2039</v>
      </c>
      <c r="E3436" s="366" t="s">
        <v>1741</v>
      </c>
      <c r="F3436" s="366" t="s">
        <v>41</v>
      </c>
      <c r="G3436" s="348" t="str">
        <f>"'"&amp;$C3436&amp;"'!rows 56 + positive row 63"</f>
        <v>'BLD_NT'!rows 56 + positive row 63</v>
      </c>
      <c r="H3436" s="381">
        <f ca="1">IF(IFERROR(INDEX(DATA_PROPERTY_MASTER!$E$5:$E$21,MATCH($C3436,DATA_PROPERTY_MASTER!$A$5:$A$21,0))="Yes",FALSE),IFERROR(INDEX(INDIRECT("'"&amp;$C3436&amp;"'!$E$56:$Y$56"),1,MATCH($D3436,INDIRECT("'"&amp;$C3436&amp;"'!$E$12:$Y$12"),0)),0)+MAX(IFERROR(INDEX(INDIRECT("'"&amp;$C3436&amp;"'!$E$63:$Y$63"),1,MATCH($D3436,INDIRECT("'"&amp;$C3436&amp;"'!$E$12:$Y$12"),0)),0),0),0)</f>
        <v>196004.89114365791</v>
      </c>
      <c r="I3436" s="366" t="s">
        <v>1685</v>
      </c>
      <c r="J3436" s="348" t="str">
        <f t="shared" ca="1" si="106"/>
        <v>OK</v>
      </c>
      <c r="K3436" s="366" t="s">
        <v>1742</v>
      </c>
      <c r="L3436" s="366" t="s">
        <v>2262</v>
      </c>
      <c r="M3436" s="350" t="str">
        <f>IF($B3436="Portfolio","Portfolio",IFERROR(INDEX(DATA_ASSET_CLASSIFICATION!$B$8:$B$24,MATCH($C3436,DATA_ASSET_CLASSIFICATION!$A$8:$A$24,0)),"Review"))</f>
        <v>Natalia Terrace</v>
      </c>
      <c r="N3436" s="350" t="str">
        <f ca="1">IF($B3436="Portfolio","Portfolio",IFERROR(INDEX(DATA_ASSET_CLASSIFICATION!$U$8:$U$24,MATCH($C3436,DATA_ASSET_CLASSIFICATION!$A$8:$A$24,0)),"Review"))</f>
        <v>Refi Watch</v>
      </c>
      <c r="O3436" s="350" t="str">
        <f ca="1">IF($B3436="Portfolio","Portfolio",IFERROR(INDEX(DATA_ASSET_CLASSIFICATION!$AB$8:$AB$13,MATCH($N3436,DATA_ASSET_CLASSIFICATION!$AA$8:$AA$13,0)),"Review"))</f>
        <v>Bucket 2 · Legacy</v>
      </c>
      <c r="P3436" s="350" t="str">
        <f>IF($B3436="Portfolio","Portfolio",IFERROR(INDEX(DATA_ASSET_CLASSIFICATION!$C$8:$C$24,MATCH($C3436,DATA_ASSET_CLASSIFICATION!$A$8:$A$24,0)),"Review"))</f>
        <v>Yes</v>
      </c>
      <c r="Q3436" s="350" t="str">
        <f t="shared" ca="1" si="107"/>
        <v>OK</v>
      </c>
    </row>
    <row r="3437" spans="1:17">
      <c r="A3437" s="366" t="s">
        <v>5393</v>
      </c>
      <c r="B3437" s="366" t="s">
        <v>231</v>
      </c>
      <c r="C3437" s="348" t="str">
        <f>DATA_PROPERTY_MASTER!$A$15</f>
        <v>BLD_NT</v>
      </c>
      <c r="D3437" s="380">
        <f>'00_PORTFOLIO ROLLUP'!S$12</f>
        <v>2039</v>
      </c>
      <c r="E3437" s="366" t="s">
        <v>1741</v>
      </c>
      <c r="F3437" s="366" t="s">
        <v>43</v>
      </c>
      <c r="G3437" s="348" t="str">
        <f>"'"&amp;$C3437&amp;"'!$E$68:$Y$68"</f>
        <v>'BLD_NT'!$E$68:$Y$68</v>
      </c>
      <c r="H3437" s="381">
        <f ca="1">IF(IFERROR(INDEX(DATA_PROPERTY_MASTER!$E$5:$E$21,MATCH($C3437,DATA_PROPERTY_MASTER!$A$5:$A$21,0))="Yes",FALSE),IFERROR(INDEX(INDIRECT("'"&amp;$C3437&amp;"'!$E$68:$Y$68"),1,MATCH($D3437,INDIRECT("'"&amp;$C3437&amp;"'!$E$12:$Y$12"),0)),0),0)</f>
        <v>196004.89114365791</v>
      </c>
      <c r="I3437" s="366" t="s">
        <v>1731</v>
      </c>
      <c r="J3437" s="348" t="str">
        <f t="shared" ca="1" si="106"/>
        <v>OK</v>
      </c>
      <c r="K3437" s="366" t="s">
        <v>1746</v>
      </c>
      <c r="L3437" s="366" t="s">
        <v>2264</v>
      </c>
      <c r="M3437" s="350" t="str">
        <f>IF($B3437="Portfolio","Portfolio",IFERROR(INDEX(DATA_ASSET_CLASSIFICATION!$B$8:$B$24,MATCH($C3437,DATA_ASSET_CLASSIFICATION!$A$8:$A$24,0)),"Review"))</f>
        <v>Natalia Terrace</v>
      </c>
      <c r="N3437" s="350" t="str">
        <f ca="1">IF($B3437="Portfolio","Portfolio",IFERROR(INDEX(DATA_ASSET_CLASSIFICATION!$U$8:$U$24,MATCH($C3437,DATA_ASSET_CLASSIFICATION!$A$8:$A$24,0)),"Review"))</f>
        <v>Refi Watch</v>
      </c>
      <c r="O3437" s="350" t="str">
        <f ca="1">IF($B3437="Portfolio","Portfolio",IFERROR(INDEX(DATA_ASSET_CLASSIFICATION!$AB$8:$AB$13,MATCH($N3437,DATA_ASSET_CLASSIFICATION!$AA$8:$AA$13,0)),"Review"))</f>
        <v>Bucket 2 · Legacy</v>
      </c>
      <c r="P3437" s="350" t="str">
        <f>IF($B3437="Portfolio","Portfolio",IFERROR(INDEX(DATA_ASSET_CLASSIFICATION!$C$8:$C$24,MATCH($C3437,DATA_ASSET_CLASSIFICATION!$A$8:$A$24,0)),"Review"))</f>
        <v>Yes</v>
      </c>
      <c r="Q3437" s="350" t="str">
        <f t="shared" ca="1" si="107"/>
        <v>OK</v>
      </c>
    </row>
    <row r="3438" spans="1:17">
      <c r="A3438" s="366" t="s">
        <v>5394</v>
      </c>
      <c r="B3438" s="366" t="s">
        <v>231</v>
      </c>
      <c r="C3438" s="348" t="str">
        <f>DATA_PROPERTY_MASTER!$A$15</f>
        <v>BLD_NT</v>
      </c>
      <c r="D3438" s="380">
        <f>'00_PORTFOLIO ROLLUP'!S$12</f>
        <v>2039</v>
      </c>
      <c r="E3438" s="366" t="s">
        <v>1741</v>
      </c>
      <c r="F3438" s="366" t="s">
        <v>1749</v>
      </c>
      <c r="G3438" s="348" t="str">
        <f>"'"&amp;$C3438&amp;"'!rows 56, 63, 68"</f>
        <v>'BLD_NT'!rows 56, 63, 68</v>
      </c>
      <c r="H3438" s="381">
        <f ca="1">IF(IFERROR(INDEX(DATA_PROPERTY_MASTER!$E$5:$E$21,MATCH($C3438,DATA_PROPERTY_MASTER!$A$5:$A$21,0))="Yes",FALSE),(IFERROR(INDEX(INDIRECT("'"&amp;$C3438&amp;"'!$E$56:$Y$56"),1,MATCH($D3438,INDIRECT("'"&amp;$C3438&amp;"'!$E$12:$Y$12"),0)),0)+MAX(IFERROR(INDEX(INDIRECT("'"&amp;$C3438&amp;"'!$E$63:$Y$63"),1,MATCH($D3438,INDIRECT("'"&amp;$C3438&amp;"'!$E$12:$Y$12"),0)),0),0))-(IFERROR(INDEX(INDIRECT("'"&amp;$C3438&amp;"'!$E$68:$Y$68"),1,MATCH($D3438,INDIRECT("'"&amp;$C3438&amp;"'!$E$12:$Y$12"),0)),0)),0)</f>
        <v>0</v>
      </c>
      <c r="I3438" s="366" t="s">
        <v>1750</v>
      </c>
      <c r="J3438" s="348" t="str">
        <f t="shared" ca="1" si="106"/>
        <v>OK</v>
      </c>
      <c r="K3438" s="366" t="s">
        <v>1751</v>
      </c>
      <c r="L3438" s="366" t="s">
        <v>2266</v>
      </c>
      <c r="M3438" s="350" t="str">
        <f>IF($B3438="Portfolio","Portfolio",IFERROR(INDEX(DATA_ASSET_CLASSIFICATION!$B$8:$B$24,MATCH($C3438,DATA_ASSET_CLASSIFICATION!$A$8:$A$24,0)),"Review"))</f>
        <v>Natalia Terrace</v>
      </c>
      <c r="N3438" s="350" t="str">
        <f ca="1">IF($B3438="Portfolio","Portfolio",IFERROR(INDEX(DATA_ASSET_CLASSIFICATION!$U$8:$U$24,MATCH($C3438,DATA_ASSET_CLASSIFICATION!$A$8:$A$24,0)),"Review"))</f>
        <v>Refi Watch</v>
      </c>
      <c r="O3438" s="350" t="str">
        <f ca="1">IF($B3438="Portfolio","Portfolio",IFERROR(INDEX(DATA_ASSET_CLASSIFICATION!$AB$8:$AB$13,MATCH($N3438,DATA_ASSET_CLASSIFICATION!$AA$8:$AA$13,0)),"Review"))</f>
        <v>Bucket 2 · Legacy</v>
      </c>
      <c r="P3438" s="350" t="str">
        <f>IF($B3438="Portfolio","Portfolio",IFERROR(INDEX(DATA_ASSET_CLASSIFICATION!$C$8:$C$24,MATCH($C3438,DATA_ASSET_CLASSIFICATION!$A$8:$A$24,0)),"Review"))</f>
        <v>Yes</v>
      </c>
      <c r="Q3438" s="350" t="str">
        <f t="shared" ca="1" si="107"/>
        <v>OK</v>
      </c>
    </row>
    <row r="3439" spans="1:17">
      <c r="A3439" s="366" t="s">
        <v>5395</v>
      </c>
      <c r="B3439" s="366" t="s">
        <v>231</v>
      </c>
      <c r="C3439" s="348" t="str">
        <f>DATA_PROPERTY_MASTER!$A$15</f>
        <v>BLD_NT</v>
      </c>
      <c r="D3439" s="380">
        <f>'00_PORTFOLIO ROLLUP'!T$12</f>
        <v>2040</v>
      </c>
      <c r="E3439" s="366" t="s">
        <v>1683</v>
      </c>
      <c r="F3439" s="366" t="s">
        <v>341</v>
      </c>
      <c r="G3439" s="348" t="str">
        <f>"'"&amp;$C3439&amp;"'!$E$24:$Y$24"</f>
        <v>'BLD_NT'!$E$24:$Y$24</v>
      </c>
      <c r="H3439" s="381">
        <f ca="1">IF(IFERROR(INDEX(DATA_PROPERTY_MASTER!$E$5:$E$21,MATCH($C3439,DATA_PROPERTY_MASTER!$A$5:$A$21,0))="Yes",FALSE),IFERROR(INDEX(INDIRECT("'"&amp;$C3439&amp;"'!$E$24:$Y$24"),1,MATCH($D3439,INDIRECT("'"&amp;$C3439&amp;"'!$E$12:$Y$12"),0)),0),0)</f>
        <v>974398.77135569986</v>
      </c>
      <c r="I3439" s="366" t="s">
        <v>1685</v>
      </c>
      <c r="J3439" s="348" t="str">
        <f t="shared" ca="1" si="106"/>
        <v>OK</v>
      </c>
      <c r="K3439" s="366" t="s">
        <v>1686</v>
      </c>
      <c r="L3439" s="366" t="s">
        <v>2234</v>
      </c>
      <c r="M3439" s="350" t="str">
        <f>IF($B3439="Portfolio","Portfolio",IFERROR(INDEX(DATA_ASSET_CLASSIFICATION!$B$8:$B$24,MATCH($C3439,DATA_ASSET_CLASSIFICATION!$A$8:$A$24,0)),"Review"))</f>
        <v>Natalia Terrace</v>
      </c>
      <c r="N3439" s="350" t="str">
        <f ca="1">IF($B3439="Portfolio","Portfolio",IFERROR(INDEX(DATA_ASSET_CLASSIFICATION!$U$8:$U$24,MATCH($C3439,DATA_ASSET_CLASSIFICATION!$A$8:$A$24,0)),"Review"))</f>
        <v>Refi Watch</v>
      </c>
      <c r="O3439" s="350" t="str">
        <f ca="1">IF($B3439="Portfolio","Portfolio",IFERROR(INDEX(DATA_ASSET_CLASSIFICATION!$AB$8:$AB$13,MATCH($N3439,DATA_ASSET_CLASSIFICATION!$AA$8:$AA$13,0)),"Review"))</f>
        <v>Bucket 2 · Legacy</v>
      </c>
      <c r="P3439" s="350" t="str">
        <f>IF($B3439="Portfolio","Portfolio",IFERROR(INDEX(DATA_ASSET_CLASSIFICATION!$C$8:$C$24,MATCH($C3439,DATA_ASSET_CLASSIFICATION!$A$8:$A$24,0)),"Review"))</f>
        <v>Yes</v>
      </c>
      <c r="Q3439" s="350" t="str">
        <f t="shared" ca="1" si="107"/>
        <v>OK</v>
      </c>
    </row>
    <row r="3440" spans="1:17">
      <c r="A3440" s="366" t="s">
        <v>5396</v>
      </c>
      <c r="B3440" s="366" t="s">
        <v>231</v>
      </c>
      <c r="C3440" s="348" t="str">
        <f>DATA_PROPERTY_MASTER!$A$15</f>
        <v>BLD_NT</v>
      </c>
      <c r="D3440" s="380">
        <f>'00_PORTFOLIO ROLLUP'!T$12</f>
        <v>2040</v>
      </c>
      <c r="E3440" s="366" t="s">
        <v>1683</v>
      </c>
      <c r="F3440" s="366" t="s">
        <v>355</v>
      </c>
      <c r="G3440" s="348" t="str">
        <f>"'"&amp;$C3440&amp;"'!$E$39:$Y$39"</f>
        <v>'BLD_NT'!$E$39:$Y$39</v>
      </c>
      <c r="H3440" s="381">
        <f ca="1">IF(IFERROR(INDEX(DATA_PROPERTY_MASTER!$E$5:$E$21,MATCH($C3440,DATA_PROPERTY_MASTER!$A$5:$A$21,0))="Yes",FALSE),IFERROR(INDEX(INDIRECT("'"&amp;$C3440&amp;"'!$E$39:$Y$39"),1,MATCH($D3440,INDIRECT("'"&amp;$C3440&amp;"'!$E$12:$Y$12"),0)),0),0)</f>
        <v>476912.70236554521</v>
      </c>
      <c r="I3440" s="366" t="s">
        <v>1690</v>
      </c>
      <c r="J3440" s="348" t="str">
        <f t="shared" ca="1" si="106"/>
        <v>OK</v>
      </c>
      <c r="K3440" s="366" t="s">
        <v>1686</v>
      </c>
      <c r="L3440" s="366" t="s">
        <v>2236</v>
      </c>
      <c r="M3440" s="350" t="str">
        <f>IF($B3440="Portfolio","Portfolio",IFERROR(INDEX(DATA_ASSET_CLASSIFICATION!$B$8:$B$24,MATCH($C3440,DATA_ASSET_CLASSIFICATION!$A$8:$A$24,0)),"Review"))</f>
        <v>Natalia Terrace</v>
      </c>
      <c r="N3440" s="350" t="str">
        <f ca="1">IF($B3440="Portfolio","Portfolio",IFERROR(INDEX(DATA_ASSET_CLASSIFICATION!$U$8:$U$24,MATCH($C3440,DATA_ASSET_CLASSIFICATION!$A$8:$A$24,0)),"Review"))</f>
        <v>Refi Watch</v>
      </c>
      <c r="O3440" s="350" t="str">
        <f ca="1">IF($B3440="Portfolio","Portfolio",IFERROR(INDEX(DATA_ASSET_CLASSIFICATION!$AB$8:$AB$13,MATCH($N3440,DATA_ASSET_CLASSIFICATION!$AA$8:$AA$13,0)),"Review"))</f>
        <v>Bucket 2 · Legacy</v>
      </c>
      <c r="P3440" s="350" t="str">
        <f>IF($B3440="Portfolio","Portfolio",IFERROR(INDEX(DATA_ASSET_CLASSIFICATION!$C$8:$C$24,MATCH($C3440,DATA_ASSET_CLASSIFICATION!$A$8:$A$24,0)),"Review"))</f>
        <v>Yes</v>
      </c>
      <c r="Q3440" s="350" t="str">
        <f t="shared" ca="1" si="107"/>
        <v>OK</v>
      </c>
    </row>
    <row r="3441" spans="1:17">
      <c r="A3441" s="366" t="s">
        <v>5397</v>
      </c>
      <c r="B3441" s="366" t="s">
        <v>231</v>
      </c>
      <c r="C3441" s="348" t="str">
        <f>DATA_PROPERTY_MASTER!$A$15</f>
        <v>BLD_NT</v>
      </c>
      <c r="D3441" s="380">
        <f>'00_PORTFOLIO ROLLUP'!T$12</f>
        <v>2040</v>
      </c>
      <c r="E3441" s="366" t="s">
        <v>1683</v>
      </c>
      <c r="F3441" s="366" t="s">
        <v>19</v>
      </c>
      <c r="G3441" s="348" t="str">
        <f>"'"&amp;$C3441&amp;"'!$E$41:$Y$41"</f>
        <v>'BLD_NT'!$E$41:$Y$41</v>
      </c>
      <c r="H3441" s="381">
        <f ca="1">IF(IFERROR(INDEX(DATA_PROPERTY_MASTER!$E$5:$E$21,MATCH($C3441,DATA_PROPERTY_MASTER!$A$5:$A$21,0))="Yes",FALSE),IFERROR(INDEX(INDIRECT("'"&amp;$C3441&amp;"'!$E$41:$Y$41"),1,MATCH($D3441,INDIRECT("'"&amp;$C3441&amp;"'!$E$12:$Y$12"),0)),0),0)</f>
        <v>497486.06899015466</v>
      </c>
      <c r="I3441" s="366" t="s">
        <v>1685</v>
      </c>
      <c r="J3441" s="348" t="str">
        <f t="shared" ca="1" si="106"/>
        <v>OK</v>
      </c>
      <c r="K3441" s="366" t="s">
        <v>1694</v>
      </c>
      <c r="L3441" s="366" t="s">
        <v>2238</v>
      </c>
      <c r="M3441" s="350" t="str">
        <f>IF($B3441="Portfolio","Portfolio",IFERROR(INDEX(DATA_ASSET_CLASSIFICATION!$B$8:$B$24,MATCH($C3441,DATA_ASSET_CLASSIFICATION!$A$8:$A$24,0)),"Review"))</f>
        <v>Natalia Terrace</v>
      </c>
      <c r="N3441" s="350" t="str">
        <f ca="1">IF($B3441="Portfolio","Portfolio",IFERROR(INDEX(DATA_ASSET_CLASSIFICATION!$U$8:$U$24,MATCH($C3441,DATA_ASSET_CLASSIFICATION!$A$8:$A$24,0)),"Review"))</f>
        <v>Refi Watch</v>
      </c>
      <c r="O3441" s="350" t="str">
        <f ca="1">IF($B3441="Portfolio","Portfolio",IFERROR(INDEX(DATA_ASSET_CLASSIFICATION!$AB$8:$AB$13,MATCH($N3441,DATA_ASSET_CLASSIFICATION!$AA$8:$AA$13,0)),"Review"))</f>
        <v>Bucket 2 · Legacy</v>
      </c>
      <c r="P3441" s="350" t="str">
        <f>IF($B3441="Portfolio","Portfolio",IFERROR(INDEX(DATA_ASSET_CLASSIFICATION!$C$8:$C$24,MATCH($C3441,DATA_ASSET_CLASSIFICATION!$A$8:$A$24,0)),"Review"))</f>
        <v>Yes</v>
      </c>
      <c r="Q3441" s="350" t="str">
        <f t="shared" ca="1" si="107"/>
        <v>OK</v>
      </c>
    </row>
    <row r="3442" spans="1:17">
      <c r="A3442" s="366" t="s">
        <v>5398</v>
      </c>
      <c r="B3442" s="366" t="s">
        <v>231</v>
      </c>
      <c r="C3442" s="348" t="str">
        <f>DATA_PROPERTY_MASTER!$A$15</f>
        <v>BLD_NT</v>
      </c>
      <c r="D3442" s="380">
        <f>'00_PORTFOLIO ROLLUP'!T$12</f>
        <v>2040</v>
      </c>
      <c r="E3442" s="366" t="s">
        <v>1683</v>
      </c>
      <c r="F3442" s="366" t="s">
        <v>1697</v>
      </c>
      <c r="G3442" s="348" t="str">
        <f>"'"&amp;$C3442&amp;"'!$E$44:$Y$44"</f>
        <v>'BLD_NT'!$E$44:$Y$44</v>
      </c>
      <c r="H3442" s="381">
        <f ca="1">IF(IFERROR(INDEX(DATA_PROPERTY_MASTER!$E$5:$E$21,MATCH($C3442,DATA_PROPERTY_MASTER!$A$5:$A$21,0))="Yes",FALSE),IFERROR(INDEX(INDIRECT("'"&amp;$C3442&amp;"'!$E$44:$Y$44"),1,MATCH($D3442,INDIRECT("'"&amp;$C3442&amp;"'!$E$12:$Y$12"),0)),0),0)</f>
        <v>8075.2100299447757</v>
      </c>
      <c r="I3442" s="366" t="s">
        <v>1690</v>
      </c>
      <c r="J3442" s="348" t="str">
        <f t="shared" ca="1" si="106"/>
        <v>OK</v>
      </c>
      <c r="K3442" s="366" t="s">
        <v>1699</v>
      </c>
      <c r="L3442" s="366" t="s">
        <v>2240</v>
      </c>
      <c r="M3442" s="350" t="str">
        <f>IF($B3442="Portfolio","Portfolio",IFERROR(INDEX(DATA_ASSET_CLASSIFICATION!$B$8:$B$24,MATCH($C3442,DATA_ASSET_CLASSIFICATION!$A$8:$A$24,0)),"Review"))</f>
        <v>Natalia Terrace</v>
      </c>
      <c r="N3442" s="350" t="str">
        <f ca="1">IF($B3442="Portfolio","Portfolio",IFERROR(INDEX(DATA_ASSET_CLASSIFICATION!$U$8:$U$24,MATCH($C3442,DATA_ASSET_CLASSIFICATION!$A$8:$A$24,0)),"Review"))</f>
        <v>Refi Watch</v>
      </c>
      <c r="O3442" s="350" t="str">
        <f ca="1">IF($B3442="Portfolio","Portfolio",IFERROR(INDEX(DATA_ASSET_CLASSIFICATION!$AB$8:$AB$13,MATCH($N3442,DATA_ASSET_CLASSIFICATION!$AA$8:$AA$13,0)),"Review"))</f>
        <v>Bucket 2 · Legacy</v>
      </c>
      <c r="P3442" s="350" t="str">
        <f>IF($B3442="Portfolio","Portfolio",IFERROR(INDEX(DATA_ASSET_CLASSIFICATION!$C$8:$C$24,MATCH($C3442,DATA_ASSET_CLASSIFICATION!$A$8:$A$24,0)),"Review"))</f>
        <v>Yes</v>
      </c>
      <c r="Q3442" s="350" t="str">
        <f t="shared" ca="1" si="107"/>
        <v>OK</v>
      </c>
    </row>
    <row r="3443" spans="1:17">
      <c r="A3443" s="366" t="s">
        <v>5399</v>
      </c>
      <c r="B3443" s="366" t="s">
        <v>231</v>
      </c>
      <c r="C3443" s="348" t="str">
        <f>DATA_PROPERTY_MASTER!$A$15</f>
        <v>BLD_NT</v>
      </c>
      <c r="D3443" s="380">
        <f>'00_PORTFOLIO ROLLUP'!T$12</f>
        <v>2040</v>
      </c>
      <c r="E3443" s="366" t="s">
        <v>1683</v>
      </c>
      <c r="F3443" s="366" t="s">
        <v>21</v>
      </c>
      <c r="G3443" s="348" t="str">
        <f>"'"&amp;$C3443&amp;"'!$E$45:$Y$45"</f>
        <v>'BLD_NT'!$E$45:$Y$45</v>
      </c>
      <c r="H3443" s="381">
        <f ca="1">IF(IFERROR(INDEX(DATA_PROPERTY_MASTER!$E$5:$E$21,MATCH($C3443,DATA_PROPERTY_MASTER!$A$5:$A$21,0))="Yes",FALSE),IFERROR(INDEX(INDIRECT("'"&amp;$C3443&amp;"'!$E$45:$Y$45"),1,MATCH($D3443,INDIRECT("'"&amp;$C3443&amp;"'!$E$12:$Y$12"),0)),0),0)</f>
        <v>489410.85896020988</v>
      </c>
      <c r="I3443" s="366" t="s">
        <v>1685</v>
      </c>
      <c r="J3443" s="348" t="str">
        <f t="shared" ca="1" si="106"/>
        <v>OK</v>
      </c>
      <c r="K3443" s="366" t="s">
        <v>1694</v>
      </c>
      <c r="L3443" s="366" t="s">
        <v>2242</v>
      </c>
      <c r="M3443" s="350" t="str">
        <f>IF($B3443="Portfolio","Portfolio",IFERROR(INDEX(DATA_ASSET_CLASSIFICATION!$B$8:$B$24,MATCH($C3443,DATA_ASSET_CLASSIFICATION!$A$8:$A$24,0)),"Review"))</f>
        <v>Natalia Terrace</v>
      </c>
      <c r="N3443" s="350" t="str">
        <f ca="1">IF($B3443="Portfolio","Portfolio",IFERROR(INDEX(DATA_ASSET_CLASSIFICATION!$U$8:$U$24,MATCH($C3443,DATA_ASSET_CLASSIFICATION!$A$8:$A$24,0)),"Review"))</f>
        <v>Refi Watch</v>
      </c>
      <c r="O3443" s="350" t="str">
        <f ca="1">IF($B3443="Portfolio","Portfolio",IFERROR(INDEX(DATA_ASSET_CLASSIFICATION!$AB$8:$AB$13,MATCH($N3443,DATA_ASSET_CLASSIFICATION!$AA$8:$AA$13,0)),"Review"))</f>
        <v>Bucket 2 · Legacy</v>
      </c>
      <c r="P3443" s="350" t="str">
        <f>IF($B3443="Portfolio","Portfolio",IFERROR(INDEX(DATA_ASSET_CLASSIFICATION!$C$8:$C$24,MATCH($C3443,DATA_ASSET_CLASSIFICATION!$A$8:$A$24,0)),"Review"))</f>
        <v>Yes</v>
      </c>
      <c r="Q3443" s="350" t="str">
        <f t="shared" ca="1" si="107"/>
        <v>OK</v>
      </c>
    </row>
    <row r="3444" spans="1:17">
      <c r="A3444" s="366" t="s">
        <v>5400</v>
      </c>
      <c r="B3444" s="366" t="s">
        <v>231</v>
      </c>
      <c r="C3444" s="348" t="str">
        <f>DATA_PROPERTY_MASTER!$A$15</f>
        <v>BLD_NT</v>
      </c>
      <c r="D3444" s="380">
        <f>'00_PORTFOLIO ROLLUP'!T$12</f>
        <v>2040</v>
      </c>
      <c r="E3444" s="366" t="s">
        <v>23</v>
      </c>
      <c r="F3444" s="366" t="s">
        <v>23</v>
      </c>
      <c r="G3444" s="348" t="str">
        <f>"'"&amp;$C3444&amp;"'!$E$48:$Y$48"</f>
        <v>'BLD_NT'!$E$48:$Y$48</v>
      </c>
      <c r="H3444" s="381">
        <f ca="1">IF(IFERROR(INDEX(DATA_PROPERTY_MASTER!$E$5:$E$21,MATCH($C3444,DATA_PROPERTY_MASTER!$A$5:$A$21,0))="Yes",FALSE),IFERROR(INDEX(INDIRECT("'"&amp;$C3444&amp;"'!$E$48:$Y$48"),1,MATCH($D3444,INDIRECT("'"&amp;$C3444&amp;"'!$E$12:$Y$12"),0)),0),0)</f>
        <v>0</v>
      </c>
      <c r="I3444" s="366" t="s">
        <v>1690</v>
      </c>
      <c r="J3444" s="348" t="str">
        <f t="shared" ca="1" si="106"/>
        <v>OK</v>
      </c>
      <c r="K3444" s="366" t="s">
        <v>1706</v>
      </c>
      <c r="L3444" s="366" t="s">
        <v>2244</v>
      </c>
      <c r="M3444" s="350" t="str">
        <f>IF($B3444="Portfolio","Portfolio",IFERROR(INDEX(DATA_ASSET_CLASSIFICATION!$B$8:$B$24,MATCH($C3444,DATA_ASSET_CLASSIFICATION!$A$8:$A$24,0)),"Review"))</f>
        <v>Natalia Terrace</v>
      </c>
      <c r="N3444" s="350" t="str">
        <f ca="1">IF($B3444="Portfolio","Portfolio",IFERROR(INDEX(DATA_ASSET_CLASSIFICATION!$U$8:$U$24,MATCH($C3444,DATA_ASSET_CLASSIFICATION!$A$8:$A$24,0)),"Review"))</f>
        <v>Refi Watch</v>
      </c>
      <c r="O3444" s="350" t="str">
        <f ca="1">IF($B3444="Portfolio","Portfolio",IFERROR(INDEX(DATA_ASSET_CLASSIFICATION!$AB$8:$AB$13,MATCH($N3444,DATA_ASSET_CLASSIFICATION!$AA$8:$AA$13,0)),"Review"))</f>
        <v>Bucket 2 · Legacy</v>
      </c>
      <c r="P3444" s="350" t="str">
        <f>IF($B3444="Portfolio","Portfolio",IFERROR(INDEX(DATA_ASSET_CLASSIFICATION!$C$8:$C$24,MATCH($C3444,DATA_ASSET_CLASSIFICATION!$A$8:$A$24,0)),"Review"))</f>
        <v>Yes</v>
      </c>
      <c r="Q3444" s="350" t="str">
        <f t="shared" ca="1" si="107"/>
        <v>OK</v>
      </c>
    </row>
    <row r="3445" spans="1:17">
      <c r="A3445" s="366" t="s">
        <v>5401</v>
      </c>
      <c r="B3445" s="366" t="s">
        <v>231</v>
      </c>
      <c r="C3445" s="348" t="str">
        <f>DATA_PROPERTY_MASTER!$A$15</f>
        <v>BLD_NT</v>
      </c>
      <c r="D3445" s="380">
        <f>'00_PORTFOLIO ROLLUP'!T$12</f>
        <v>2040</v>
      </c>
      <c r="E3445" s="366" t="s">
        <v>1683</v>
      </c>
      <c r="F3445" s="366" t="s">
        <v>25</v>
      </c>
      <c r="G3445" s="348" t="str">
        <f>"'"&amp;$C3445&amp;"'!$E$52:$Y$52"</f>
        <v>'BLD_NT'!$E$52:$Y$52</v>
      </c>
      <c r="H3445" s="381">
        <f ca="1">IF(IFERROR(INDEX(DATA_PROPERTY_MASTER!$E$5:$E$21,MATCH($C3445,DATA_PROPERTY_MASTER!$A$5:$A$21,0))="Yes",FALSE),IFERROR(INDEX(INDIRECT("'"&amp;$C3445&amp;"'!$E$52:$Y$52"),1,MATCH($D3445,INDIRECT("'"&amp;$C3445&amp;"'!$E$12:$Y$12"),0)),0),0)</f>
        <v>497486.06899015466</v>
      </c>
      <c r="I3445" s="366" t="s">
        <v>1685</v>
      </c>
      <c r="J3445" s="348" t="str">
        <f t="shared" ca="1" si="106"/>
        <v>OK</v>
      </c>
      <c r="K3445" s="366" t="s">
        <v>1710</v>
      </c>
      <c r="L3445" s="366" t="s">
        <v>2246</v>
      </c>
      <c r="M3445" s="350" t="str">
        <f>IF($B3445="Portfolio","Portfolio",IFERROR(INDEX(DATA_ASSET_CLASSIFICATION!$B$8:$B$24,MATCH($C3445,DATA_ASSET_CLASSIFICATION!$A$8:$A$24,0)),"Review"))</f>
        <v>Natalia Terrace</v>
      </c>
      <c r="N3445" s="350" t="str">
        <f ca="1">IF($B3445="Portfolio","Portfolio",IFERROR(INDEX(DATA_ASSET_CLASSIFICATION!$U$8:$U$24,MATCH($C3445,DATA_ASSET_CLASSIFICATION!$A$8:$A$24,0)),"Review"))</f>
        <v>Refi Watch</v>
      </c>
      <c r="O3445" s="350" t="str">
        <f ca="1">IF($B3445="Portfolio","Portfolio",IFERROR(INDEX(DATA_ASSET_CLASSIFICATION!$AB$8:$AB$13,MATCH($N3445,DATA_ASSET_CLASSIFICATION!$AA$8:$AA$13,0)),"Review"))</f>
        <v>Bucket 2 · Legacy</v>
      </c>
      <c r="P3445" s="350" t="str">
        <f>IF($B3445="Portfolio","Portfolio",IFERROR(INDEX(DATA_ASSET_CLASSIFICATION!$C$8:$C$24,MATCH($C3445,DATA_ASSET_CLASSIFICATION!$A$8:$A$24,0)),"Review"))</f>
        <v>Yes</v>
      </c>
      <c r="Q3445" s="350" t="str">
        <f t="shared" ca="1" si="107"/>
        <v>OK</v>
      </c>
    </row>
    <row r="3446" spans="1:17">
      <c r="A3446" s="366" t="s">
        <v>5402</v>
      </c>
      <c r="B3446" s="366" t="s">
        <v>231</v>
      </c>
      <c r="C3446" s="348" t="str">
        <f>DATA_PROPERTY_MASTER!$A$15</f>
        <v>BLD_NT</v>
      </c>
      <c r="D3446" s="380">
        <f>'00_PORTFOLIO ROLLUP'!T$12</f>
        <v>2040</v>
      </c>
      <c r="E3446" s="366" t="s">
        <v>1683</v>
      </c>
      <c r="F3446" s="366" t="s">
        <v>27</v>
      </c>
      <c r="G3446" s="348" t="str">
        <f>"'"&amp;$C3446&amp;"'!$E$54:$Y$54"</f>
        <v>'BLD_NT'!$E$54:$Y$54</v>
      </c>
      <c r="H3446" s="381">
        <f ca="1">IF(IFERROR(INDEX(DATA_PROPERTY_MASTER!$E$5:$E$21,MATCH($C3446,DATA_PROPERTY_MASTER!$A$5:$A$21,0))="Yes",FALSE),IFERROR(INDEX(INDIRECT("'"&amp;$C3446&amp;"'!$E$54:$Y$54"),1,MATCH($D3446,INDIRECT("'"&amp;$C3446&amp;"'!$E$12:$Y$12"),0)),0),0)</f>
        <v>298491.64139409276</v>
      </c>
      <c r="I3446" s="366" t="s">
        <v>1690</v>
      </c>
      <c r="J3446" s="348" t="str">
        <f t="shared" ca="1" si="106"/>
        <v>OK</v>
      </c>
      <c r="K3446" s="366" t="s">
        <v>1714</v>
      </c>
      <c r="L3446" s="366" t="s">
        <v>2248</v>
      </c>
      <c r="M3446" s="350" t="str">
        <f>IF($B3446="Portfolio","Portfolio",IFERROR(INDEX(DATA_ASSET_CLASSIFICATION!$B$8:$B$24,MATCH($C3446,DATA_ASSET_CLASSIFICATION!$A$8:$A$24,0)),"Review"))</f>
        <v>Natalia Terrace</v>
      </c>
      <c r="N3446" s="350" t="str">
        <f ca="1">IF($B3446="Portfolio","Portfolio",IFERROR(INDEX(DATA_ASSET_CLASSIFICATION!$U$8:$U$24,MATCH($C3446,DATA_ASSET_CLASSIFICATION!$A$8:$A$24,0)),"Review"))</f>
        <v>Refi Watch</v>
      </c>
      <c r="O3446" s="350" t="str">
        <f ca="1">IF($B3446="Portfolio","Portfolio",IFERROR(INDEX(DATA_ASSET_CLASSIFICATION!$AB$8:$AB$13,MATCH($N3446,DATA_ASSET_CLASSIFICATION!$AA$8:$AA$13,0)),"Review"))</f>
        <v>Bucket 2 · Legacy</v>
      </c>
      <c r="P3446" s="350" t="str">
        <f>IF($B3446="Portfolio","Portfolio",IFERROR(INDEX(DATA_ASSET_CLASSIFICATION!$C$8:$C$24,MATCH($C3446,DATA_ASSET_CLASSIFICATION!$A$8:$A$24,0)),"Review"))</f>
        <v>Yes</v>
      </c>
      <c r="Q3446" s="350" t="str">
        <f t="shared" ca="1" si="107"/>
        <v>OK</v>
      </c>
    </row>
    <row r="3447" spans="1:17">
      <c r="A3447" s="366" t="s">
        <v>5403</v>
      </c>
      <c r="B3447" s="366" t="s">
        <v>231</v>
      </c>
      <c r="C3447" s="348" t="str">
        <f>DATA_PROPERTY_MASTER!$A$15</f>
        <v>BLD_NT</v>
      </c>
      <c r="D3447" s="380">
        <f>'00_PORTFOLIO ROLLUP'!T$12</f>
        <v>2040</v>
      </c>
      <c r="E3447" s="366" t="s">
        <v>1683</v>
      </c>
      <c r="F3447" s="366" t="s">
        <v>29</v>
      </c>
      <c r="G3447" s="348" t="str">
        <f>"'"&amp;$C3447&amp;"'!$E$56:$Y$56"</f>
        <v>'BLD_NT'!$E$56:$Y$56</v>
      </c>
      <c r="H3447" s="381">
        <f ca="1">IF(IFERROR(INDEX(DATA_PROPERTY_MASTER!$E$5:$E$21,MATCH($C3447,DATA_PROPERTY_MASTER!$A$5:$A$21,0))="Yes",FALSE),IFERROR(INDEX(INDIRECT("'"&amp;$C3447&amp;"'!$E$56:$Y$56"),1,MATCH($D3447,INDIRECT("'"&amp;$C3447&amp;"'!$E$12:$Y$12"),0)),0),0)</f>
        <v>198994.4275960619</v>
      </c>
      <c r="I3447" s="366" t="s">
        <v>1685</v>
      </c>
      <c r="J3447" s="348" t="str">
        <f t="shared" ca="1" si="106"/>
        <v>OK</v>
      </c>
      <c r="K3447" s="366" t="s">
        <v>1718</v>
      </c>
      <c r="L3447" s="366" t="s">
        <v>2250</v>
      </c>
      <c r="M3447" s="350" t="str">
        <f>IF($B3447="Portfolio","Portfolio",IFERROR(INDEX(DATA_ASSET_CLASSIFICATION!$B$8:$B$24,MATCH($C3447,DATA_ASSET_CLASSIFICATION!$A$8:$A$24,0)),"Review"))</f>
        <v>Natalia Terrace</v>
      </c>
      <c r="N3447" s="350" t="str">
        <f ca="1">IF($B3447="Portfolio","Portfolio",IFERROR(INDEX(DATA_ASSET_CLASSIFICATION!$U$8:$U$24,MATCH($C3447,DATA_ASSET_CLASSIFICATION!$A$8:$A$24,0)),"Review"))</f>
        <v>Refi Watch</v>
      </c>
      <c r="O3447" s="350" t="str">
        <f ca="1">IF($B3447="Portfolio","Portfolio",IFERROR(INDEX(DATA_ASSET_CLASSIFICATION!$AB$8:$AB$13,MATCH($N3447,DATA_ASSET_CLASSIFICATION!$AA$8:$AA$13,0)),"Review"))</f>
        <v>Bucket 2 · Legacy</v>
      </c>
      <c r="P3447" s="350" t="str">
        <f>IF($B3447="Portfolio","Portfolio",IFERROR(INDEX(DATA_ASSET_CLASSIFICATION!$C$8:$C$24,MATCH($C3447,DATA_ASSET_CLASSIFICATION!$A$8:$A$24,0)),"Review"))</f>
        <v>Yes</v>
      </c>
      <c r="Q3447" s="350" t="str">
        <f t="shared" ca="1" si="107"/>
        <v>OK</v>
      </c>
    </row>
    <row r="3448" spans="1:17">
      <c r="A3448" s="366" t="s">
        <v>5404</v>
      </c>
      <c r="B3448" s="366" t="s">
        <v>231</v>
      </c>
      <c r="C3448" s="348" t="str">
        <f>DATA_PROPERTY_MASTER!$A$15</f>
        <v>BLD_NT</v>
      </c>
      <c r="D3448" s="380">
        <f>'00_PORTFOLIO ROLLUP'!T$12</f>
        <v>2040</v>
      </c>
      <c r="E3448" s="366" t="s">
        <v>1721</v>
      </c>
      <c r="F3448" s="366" t="s">
        <v>31</v>
      </c>
      <c r="G3448" s="348" t="str">
        <f>"'"&amp;$C3448&amp;"'!$E$61:$Y$61"</f>
        <v>'BLD_NT'!$E$61:$Y$61</v>
      </c>
      <c r="H3448" s="381">
        <f ca="1">IF(IFERROR(INDEX(DATA_PROPERTY_MASTER!$E$5:$E$21,MATCH($C3448,DATA_PROPERTY_MASTER!$A$5:$A$21,0))="Yes",FALSE),IFERROR(INDEX(INDIRECT("'"&amp;$C3448&amp;"'!$E$61:$Y$61"),1,MATCH($D3448,INDIRECT("'"&amp;$C3448&amp;"'!$E$12:$Y$12"),0)),0),0)</f>
        <v>0</v>
      </c>
      <c r="I3448" s="366" t="s">
        <v>1690</v>
      </c>
      <c r="J3448" s="348" t="str">
        <f t="shared" ca="1" si="106"/>
        <v>OK</v>
      </c>
      <c r="K3448" s="366" t="s">
        <v>1723</v>
      </c>
      <c r="L3448" s="366" t="s">
        <v>2252</v>
      </c>
      <c r="M3448" s="350" t="str">
        <f>IF($B3448="Portfolio","Portfolio",IFERROR(INDEX(DATA_ASSET_CLASSIFICATION!$B$8:$B$24,MATCH($C3448,DATA_ASSET_CLASSIFICATION!$A$8:$A$24,0)),"Review"))</f>
        <v>Natalia Terrace</v>
      </c>
      <c r="N3448" s="350" t="str">
        <f ca="1">IF($B3448="Portfolio","Portfolio",IFERROR(INDEX(DATA_ASSET_CLASSIFICATION!$U$8:$U$24,MATCH($C3448,DATA_ASSET_CLASSIFICATION!$A$8:$A$24,0)),"Review"))</f>
        <v>Refi Watch</v>
      </c>
      <c r="O3448" s="350" t="str">
        <f ca="1">IF($B3448="Portfolio","Portfolio",IFERROR(INDEX(DATA_ASSET_CLASSIFICATION!$AB$8:$AB$13,MATCH($N3448,DATA_ASSET_CLASSIFICATION!$AA$8:$AA$13,0)),"Review"))</f>
        <v>Bucket 2 · Legacy</v>
      </c>
      <c r="P3448" s="350" t="str">
        <f>IF($B3448="Portfolio","Portfolio",IFERROR(INDEX(DATA_ASSET_CLASSIFICATION!$C$8:$C$24,MATCH($C3448,DATA_ASSET_CLASSIFICATION!$A$8:$A$24,0)),"Review"))</f>
        <v>Yes</v>
      </c>
      <c r="Q3448" s="350" t="str">
        <f t="shared" ca="1" si="107"/>
        <v>OK</v>
      </c>
    </row>
    <row r="3449" spans="1:17">
      <c r="A3449" s="366" t="s">
        <v>5405</v>
      </c>
      <c r="B3449" s="366" t="s">
        <v>231</v>
      </c>
      <c r="C3449" s="348" t="str">
        <f>DATA_PROPERTY_MASTER!$A$15</f>
        <v>BLD_NT</v>
      </c>
      <c r="D3449" s="380">
        <f>'00_PORTFOLIO ROLLUP'!T$12</f>
        <v>2040</v>
      </c>
      <c r="E3449" s="366" t="s">
        <v>1721</v>
      </c>
      <c r="F3449" s="366" t="s">
        <v>33</v>
      </c>
      <c r="G3449" s="348" t="str">
        <f>"'"&amp;$C3449&amp;"'!$E$62:$Y$62"</f>
        <v>'BLD_NT'!$E$62:$Y$62</v>
      </c>
      <c r="H3449" s="381">
        <f ca="1">IF(IFERROR(INDEX(DATA_PROPERTY_MASTER!$E$5:$E$21,MATCH($C3449,DATA_PROPERTY_MASTER!$A$5:$A$21,0))="Yes",FALSE),IFERROR(INDEX(INDIRECT("'"&amp;$C3449&amp;"'!$E$62:$Y$62"),1,MATCH($D3449,INDIRECT("'"&amp;$C3449&amp;"'!$E$12:$Y$12"),0)),0),0)</f>
        <v>0</v>
      </c>
      <c r="I3449" s="366" t="s">
        <v>1685</v>
      </c>
      <c r="J3449" s="348" t="str">
        <f t="shared" ca="1" si="106"/>
        <v>OK</v>
      </c>
      <c r="K3449" s="366" t="s">
        <v>1727</v>
      </c>
      <c r="L3449" s="366" t="s">
        <v>2254</v>
      </c>
      <c r="M3449" s="350" t="str">
        <f>IF($B3449="Portfolio","Portfolio",IFERROR(INDEX(DATA_ASSET_CLASSIFICATION!$B$8:$B$24,MATCH($C3449,DATA_ASSET_CLASSIFICATION!$A$8:$A$24,0)),"Review"))</f>
        <v>Natalia Terrace</v>
      </c>
      <c r="N3449" s="350" t="str">
        <f ca="1">IF($B3449="Portfolio","Portfolio",IFERROR(INDEX(DATA_ASSET_CLASSIFICATION!$U$8:$U$24,MATCH($C3449,DATA_ASSET_CLASSIFICATION!$A$8:$A$24,0)),"Review"))</f>
        <v>Refi Watch</v>
      </c>
      <c r="O3449" s="350" t="str">
        <f ca="1">IF($B3449="Portfolio","Portfolio",IFERROR(INDEX(DATA_ASSET_CLASSIFICATION!$AB$8:$AB$13,MATCH($N3449,DATA_ASSET_CLASSIFICATION!$AA$8:$AA$13,0)),"Review"))</f>
        <v>Bucket 2 · Legacy</v>
      </c>
      <c r="P3449" s="350" t="str">
        <f>IF($B3449="Portfolio","Portfolio",IFERROR(INDEX(DATA_ASSET_CLASSIFICATION!$C$8:$C$24,MATCH($C3449,DATA_ASSET_CLASSIFICATION!$A$8:$A$24,0)),"Review"))</f>
        <v>Yes</v>
      </c>
      <c r="Q3449" s="350" t="str">
        <f t="shared" ca="1" si="107"/>
        <v>OK</v>
      </c>
    </row>
    <row r="3450" spans="1:17">
      <c r="A3450" s="366" t="s">
        <v>5406</v>
      </c>
      <c r="B3450" s="366" t="s">
        <v>231</v>
      </c>
      <c r="C3450" s="348" t="str">
        <f>DATA_PROPERTY_MASTER!$A$15</f>
        <v>BLD_NT</v>
      </c>
      <c r="D3450" s="380">
        <f>'00_PORTFOLIO ROLLUP'!T$12</f>
        <v>2040</v>
      </c>
      <c r="E3450" s="366" t="s">
        <v>1721</v>
      </c>
      <c r="F3450" s="366" t="s">
        <v>35</v>
      </c>
      <c r="G3450" s="348" t="str">
        <f>"'"&amp;$C3450&amp;"'!$E$63:$Y$63"</f>
        <v>'BLD_NT'!$E$63:$Y$63</v>
      </c>
      <c r="H3450" s="381">
        <f ca="1">IF(IFERROR(INDEX(DATA_PROPERTY_MASTER!$E$5:$E$21,MATCH($C3450,DATA_PROPERTY_MASTER!$A$5:$A$21,0))="Yes",FALSE),IFERROR(INDEX(INDIRECT("'"&amp;$C3450&amp;"'!$E$63:$Y$63"),1,MATCH($D3450,INDIRECT("'"&amp;$C3450&amp;"'!$E$12:$Y$12"),0)),0),0)</f>
        <v>0</v>
      </c>
      <c r="I3450" s="366" t="s">
        <v>1731</v>
      </c>
      <c r="J3450" s="348" t="str">
        <f t="shared" ca="1" si="106"/>
        <v>OK</v>
      </c>
      <c r="K3450" s="366" t="s">
        <v>1732</v>
      </c>
      <c r="L3450" s="366" t="s">
        <v>2256</v>
      </c>
      <c r="M3450" s="350" t="str">
        <f>IF($B3450="Portfolio","Portfolio",IFERROR(INDEX(DATA_ASSET_CLASSIFICATION!$B$8:$B$24,MATCH($C3450,DATA_ASSET_CLASSIFICATION!$A$8:$A$24,0)),"Review"))</f>
        <v>Natalia Terrace</v>
      </c>
      <c r="N3450" s="350" t="str">
        <f ca="1">IF($B3450="Portfolio","Portfolio",IFERROR(INDEX(DATA_ASSET_CLASSIFICATION!$U$8:$U$24,MATCH($C3450,DATA_ASSET_CLASSIFICATION!$A$8:$A$24,0)),"Review"))</f>
        <v>Refi Watch</v>
      </c>
      <c r="O3450" s="350" t="str">
        <f ca="1">IF($B3450="Portfolio","Portfolio",IFERROR(INDEX(DATA_ASSET_CLASSIFICATION!$AB$8:$AB$13,MATCH($N3450,DATA_ASSET_CLASSIFICATION!$AA$8:$AA$13,0)),"Review"))</f>
        <v>Bucket 2 · Legacy</v>
      </c>
      <c r="P3450" s="350" t="str">
        <f>IF($B3450="Portfolio","Portfolio",IFERROR(INDEX(DATA_ASSET_CLASSIFICATION!$C$8:$C$24,MATCH($C3450,DATA_ASSET_CLASSIFICATION!$A$8:$A$24,0)),"Review"))</f>
        <v>Yes</v>
      </c>
      <c r="Q3450" s="350" t="str">
        <f t="shared" ca="1" si="107"/>
        <v>OK</v>
      </c>
    </row>
    <row r="3451" spans="1:17">
      <c r="A3451" s="366" t="s">
        <v>5407</v>
      </c>
      <c r="B3451" s="366" t="s">
        <v>231</v>
      </c>
      <c r="C3451" s="348" t="str">
        <f>DATA_PROPERTY_MASTER!$A$15</f>
        <v>BLD_NT</v>
      </c>
      <c r="D3451" s="380">
        <f>'00_PORTFOLIO ROLLUP'!T$12</f>
        <v>2040</v>
      </c>
      <c r="E3451" s="366" t="s">
        <v>1721</v>
      </c>
      <c r="F3451" s="366" t="s">
        <v>37</v>
      </c>
      <c r="G3451" s="348" t="str">
        <f>"'"&amp;$C3451&amp;"'!$E$63:$Y$63"</f>
        <v>'BLD_NT'!$E$63:$Y$63</v>
      </c>
      <c r="H3451" s="381">
        <f ca="1">IF(IFERROR(INDEX(DATA_PROPERTY_MASTER!$E$5:$E$21,MATCH($C3451,DATA_PROPERTY_MASTER!$A$5:$A$21,0))="Yes",FALSE),MAX(IFERROR(INDEX(INDIRECT("'"&amp;$C3451&amp;"'!$E$63:$Y$63"),1,MATCH($D3451,INDIRECT("'"&amp;$C3451&amp;"'!$E$12:$Y$12"),0)),0),0),0)</f>
        <v>0</v>
      </c>
      <c r="I3451" s="366" t="s">
        <v>1685</v>
      </c>
      <c r="J3451" s="348" t="str">
        <f t="shared" ca="1" si="106"/>
        <v>OK</v>
      </c>
      <c r="K3451" s="366" t="s">
        <v>1735</v>
      </c>
      <c r="L3451" s="366" t="s">
        <v>2258</v>
      </c>
      <c r="M3451" s="350" t="str">
        <f>IF($B3451="Portfolio","Portfolio",IFERROR(INDEX(DATA_ASSET_CLASSIFICATION!$B$8:$B$24,MATCH($C3451,DATA_ASSET_CLASSIFICATION!$A$8:$A$24,0)),"Review"))</f>
        <v>Natalia Terrace</v>
      </c>
      <c r="N3451" s="350" t="str">
        <f ca="1">IF($B3451="Portfolio","Portfolio",IFERROR(INDEX(DATA_ASSET_CLASSIFICATION!$U$8:$U$24,MATCH($C3451,DATA_ASSET_CLASSIFICATION!$A$8:$A$24,0)),"Review"))</f>
        <v>Refi Watch</v>
      </c>
      <c r="O3451" s="350" t="str">
        <f ca="1">IF($B3451="Portfolio","Portfolio",IFERROR(INDEX(DATA_ASSET_CLASSIFICATION!$AB$8:$AB$13,MATCH($N3451,DATA_ASSET_CLASSIFICATION!$AA$8:$AA$13,0)),"Review"))</f>
        <v>Bucket 2 · Legacy</v>
      </c>
      <c r="P3451" s="350" t="str">
        <f>IF($B3451="Portfolio","Portfolio",IFERROR(INDEX(DATA_ASSET_CLASSIFICATION!$C$8:$C$24,MATCH($C3451,DATA_ASSET_CLASSIFICATION!$A$8:$A$24,0)),"Review"))</f>
        <v>Yes</v>
      </c>
      <c r="Q3451" s="350" t="str">
        <f t="shared" ca="1" si="107"/>
        <v>OK</v>
      </c>
    </row>
    <row r="3452" spans="1:17">
      <c r="A3452" s="366" t="s">
        <v>5408</v>
      </c>
      <c r="B3452" s="366" t="s">
        <v>231</v>
      </c>
      <c r="C3452" s="348" t="str">
        <f>DATA_PROPERTY_MASTER!$A$15</f>
        <v>BLD_NT</v>
      </c>
      <c r="D3452" s="380">
        <f>'00_PORTFOLIO ROLLUP'!T$12</f>
        <v>2040</v>
      </c>
      <c r="E3452" s="366" t="s">
        <v>1721</v>
      </c>
      <c r="F3452" s="366" t="s">
        <v>39</v>
      </c>
      <c r="G3452" s="348" t="str">
        <f>"'"&amp;$C3452&amp;"'!$E$63:$Y$63"</f>
        <v>'BLD_NT'!$E$63:$Y$63</v>
      </c>
      <c r="H3452" s="381">
        <f ca="1">IF(IFERROR(INDEX(DATA_PROPERTY_MASTER!$E$5:$E$21,MATCH($C3452,DATA_PROPERTY_MASTER!$A$5:$A$21,0))="Yes",FALSE),MAX(-IFERROR(INDEX(INDIRECT("'"&amp;$C3452&amp;"'!$E$63:$Y$63"),1,MATCH($D3452,INDIRECT("'"&amp;$C3452&amp;"'!$E$12:$Y$12"),0)),0),0),0)</f>
        <v>0</v>
      </c>
      <c r="I3452" s="366" t="s">
        <v>1690</v>
      </c>
      <c r="J3452" s="348" t="str">
        <f t="shared" ca="1" si="106"/>
        <v>OK</v>
      </c>
      <c r="K3452" s="366" t="s">
        <v>1738</v>
      </c>
      <c r="L3452" s="366" t="s">
        <v>2260</v>
      </c>
      <c r="M3452" s="350" t="str">
        <f>IF($B3452="Portfolio","Portfolio",IFERROR(INDEX(DATA_ASSET_CLASSIFICATION!$B$8:$B$24,MATCH($C3452,DATA_ASSET_CLASSIFICATION!$A$8:$A$24,0)),"Review"))</f>
        <v>Natalia Terrace</v>
      </c>
      <c r="N3452" s="350" t="str">
        <f ca="1">IF($B3452="Portfolio","Portfolio",IFERROR(INDEX(DATA_ASSET_CLASSIFICATION!$U$8:$U$24,MATCH($C3452,DATA_ASSET_CLASSIFICATION!$A$8:$A$24,0)),"Review"))</f>
        <v>Refi Watch</v>
      </c>
      <c r="O3452" s="350" t="str">
        <f ca="1">IF($B3452="Portfolio","Portfolio",IFERROR(INDEX(DATA_ASSET_CLASSIFICATION!$AB$8:$AB$13,MATCH($N3452,DATA_ASSET_CLASSIFICATION!$AA$8:$AA$13,0)),"Review"))</f>
        <v>Bucket 2 · Legacy</v>
      </c>
      <c r="P3452" s="350" t="str">
        <f>IF($B3452="Portfolio","Portfolio",IFERROR(INDEX(DATA_ASSET_CLASSIFICATION!$C$8:$C$24,MATCH($C3452,DATA_ASSET_CLASSIFICATION!$A$8:$A$24,0)),"Review"))</f>
        <v>Yes</v>
      </c>
      <c r="Q3452" s="350" t="str">
        <f t="shared" ca="1" si="107"/>
        <v>OK</v>
      </c>
    </row>
    <row r="3453" spans="1:17">
      <c r="A3453" s="366" t="s">
        <v>5409</v>
      </c>
      <c r="B3453" s="366" t="s">
        <v>231</v>
      </c>
      <c r="C3453" s="348" t="str">
        <f>DATA_PROPERTY_MASTER!$A$15</f>
        <v>BLD_NT</v>
      </c>
      <c r="D3453" s="380">
        <f>'00_PORTFOLIO ROLLUP'!T$12</f>
        <v>2040</v>
      </c>
      <c r="E3453" s="366" t="s">
        <v>1741</v>
      </c>
      <c r="F3453" s="366" t="s">
        <v>41</v>
      </c>
      <c r="G3453" s="348" t="str">
        <f>"'"&amp;$C3453&amp;"'!rows 56 + positive row 63"</f>
        <v>'BLD_NT'!rows 56 + positive row 63</v>
      </c>
      <c r="H3453" s="381">
        <f ca="1">IF(IFERROR(INDEX(DATA_PROPERTY_MASTER!$E$5:$E$21,MATCH($C3453,DATA_PROPERTY_MASTER!$A$5:$A$21,0))="Yes",FALSE),IFERROR(INDEX(INDIRECT("'"&amp;$C3453&amp;"'!$E$56:$Y$56"),1,MATCH($D3453,INDIRECT("'"&amp;$C3453&amp;"'!$E$12:$Y$12"),0)),0)+MAX(IFERROR(INDEX(INDIRECT("'"&amp;$C3453&amp;"'!$E$63:$Y$63"),1,MATCH($D3453,INDIRECT("'"&amp;$C3453&amp;"'!$E$12:$Y$12"),0)),0),0),0)</f>
        <v>198994.4275960619</v>
      </c>
      <c r="I3453" s="366" t="s">
        <v>1685</v>
      </c>
      <c r="J3453" s="348" t="str">
        <f t="shared" ca="1" si="106"/>
        <v>OK</v>
      </c>
      <c r="K3453" s="366" t="s">
        <v>1742</v>
      </c>
      <c r="L3453" s="366" t="s">
        <v>2262</v>
      </c>
      <c r="M3453" s="350" t="str">
        <f>IF($B3453="Portfolio","Portfolio",IFERROR(INDEX(DATA_ASSET_CLASSIFICATION!$B$8:$B$24,MATCH($C3453,DATA_ASSET_CLASSIFICATION!$A$8:$A$24,0)),"Review"))</f>
        <v>Natalia Terrace</v>
      </c>
      <c r="N3453" s="350" t="str">
        <f ca="1">IF($B3453="Portfolio","Portfolio",IFERROR(INDEX(DATA_ASSET_CLASSIFICATION!$U$8:$U$24,MATCH($C3453,DATA_ASSET_CLASSIFICATION!$A$8:$A$24,0)),"Review"))</f>
        <v>Refi Watch</v>
      </c>
      <c r="O3453" s="350" t="str">
        <f ca="1">IF($B3453="Portfolio","Portfolio",IFERROR(INDEX(DATA_ASSET_CLASSIFICATION!$AB$8:$AB$13,MATCH($N3453,DATA_ASSET_CLASSIFICATION!$AA$8:$AA$13,0)),"Review"))</f>
        <v>Bucket 2 · Legacy</v>
      </c>
      <c r="P3453" s="350" t="str">
        <f>IF($B3453="Portfolio","Portfolio",IFERROR(INDEX(DATA_ASSET_CLASSIFICATION!$C$8:$C$24,MATCH($C3453,DATA_ASSET_CLASSIFICATION!$A$8:$A$24,0)),"Review"))</f>
        <v>Yes</v>
      </c>
      <c r="Q3453" s="350" t="str">
        <f t="shared" ca="1" si="107"/>
        <v>OK</v>
      </c>
    </row>
    <row r="3454" spans="1:17">
      <c r="A3454" s="366" t="s">
        <v>5410</v>
      </c>
      <c r="B3454" s="366" t="s">
        <v>231</v>
      </c>
      <c r="C3454" s="348" t="str">
        <f>DATA_PROPERTY_MASTER!$A$15</f>
        <v>BLD_NT</v>
      </c>
      <c r="D3454" s="380">
        <f>'00_PORTFOLIO ROLLUP'!T$12</f>
        <v>2040</v>
      </c>
      <c r="E3454" s="366" t="s">
        <v>1741</v>
      </c>
      <c r="F3454" s="366" t="s">
        <v>43</v>
      </c>
      <c r="G3454" s="348" t="str">
        <f>"'"&amp;$C3454&amp;"'!$E$68:$Y$68"</f>
        <v>'BLD_NT'!$E$68:$Y$68</v>
      </c>
      <c r="H3454" s="381">
        <f ca="1">IF(IFERROR(INDEX(DATA_PROPERTY_MASTER!$E$5:$E$21,MATCH($C3454,DATA_PROPERTY_MASTER!$A$5:$A$21,0))="Yes",FALSE),IFERROR(INDEX(INDIRECT("'"&amp;$C3454&amp;"'!$E$68:$Y$68"),1,MATCH($D3454,INDIRECT("'"&amp;$C3454&amp;"'!$E$12:$Y$12"),0)),0),0)</f>
        <v>198994.4275960619</v>
      </c>
      <c r="I3454" s="366" t="s">
        <v>1731</v>
      </c>
      <c r="J3454" s="348" t="str">
        <f t="shared" ca="1" si="106"/>
        <v>OK</v>
      </c>
      <c r="K3454" s="366" t="s">
        <v>1746</v>
      </c>
      <c r="L3454" s="366" t="s">
        <v>2264</v>
      </c>
      <c r="M3454" s="350" t="str">
        <f>IF($B3454="Portfolio","Portfolio",IFERROR(INDEX(DATA_ASSET_CLASSIFICATION!$B$8:$B$24,MATCH($C3454,DATA_ASSET_CLASSIFICATION!$A$8:$A$24,0)),"Review"))</f>
        <v>Natalia Terrace</v>
      </c>
      <c r="N3454" s="350" t="str">
        <f ca="1">IF($B3454="Portfolio","Portfolio",IFERROR(INDEX(DATA_ASSET_CLASSIFICATION!$U$8:$U$24,MATCH($C3454,DATA_ASSET_CLASSIFICATION!$A$8:$A$24,0)),"Review"))</f>
        <v>Refi Watch</v>
      </c>
      <c r="O3454" s="350" t="str">
        <f ca="1">IF($B3454="Portfolio","Portfolio",IFERROR(INDEX(DATA_ASSET_CLASSIFICATION!$AB$8:$AB$13,MATCH($N3454,DATA_ASSET_CLASSIFICATION!$AA$8:$AA$13,0)),"Review"))</f>
        <v>Bucket 2 · Legacy</v>
      </c>
      <c r="P3454" s="350" t="str">
        <f>IF($B3454="Portfolio","Portfolio",IFERROR(INDEX(DATA_ASSET_CLASSIFICATION!$C$8:$C$24,MATCH($C3454,DATA_ASSET_CLASSIFICATION!$A$8:$A$24,0)),"Review"))</f>
        <v>Yes</v>
      </c>
      <c r="Q3454" s="350" t="str">
        <f t="shared" ca="1" si="107"/>
        <v>OK</v>
      </c>
    </row>
    <row r="3455" spans="1:17">
      <c r="A3455" s="366" t="s">
        <v>5411</v>
      </c>
      <c r="B3455" s="366" t="s">
        <v>231</v>
      </c>
      <c r="C3455" s="348" t="str">
        <f>DATA_PROPERTY_MASTER!$A$15</f>
        <v>BLD_NT</v>
      </c>
      <c r="D3455" s="380">
        <f>'00_PORTFOLIO ROLLUP'!T$12</f>
        <v>2040</v>
      </c>
      <c r="E3455" s="366" t="s">
        <v>1741</v>
      </c>
      <c r="F3455" s="366" t="s">
        <v>1749</v>
      </c>
      <c r="G3455" s="348" t="str">
        <f>"'"&amp;$C3455&amp;"'!rows 56, 63, 68"</f>
        <v>'BLD_NT'!rows 56, 63, 68</v>
      </c>
      <c r="H3455" s="381">
        <f ca="1">IF(IFERROR(INDEX(DATA_PROPERTY_MASTER!$E$5:$E$21,MATCH($C3455,DATA_PROPERTY_MASTER!$A$5:$A$21,0))="Yes",FALSE),(IFERROR(INDEX(INDIRECT("'"&amp;$C3455&amp;"'!$E$56:$Y$56"),1,MATCH($D3455,INDIRECT("'"&amp;$C3455&amp;"'!$E$12:$Y$12"),0)),0)+MAX(IFERROR(INDEX(INDIRECT("'"&amp;$C3455&amp;"'!$E$63:$Y$63"),1,MATCH($D3455,INDIRECT("'"&amp;$C3455&amp;"'!$E$12:$Y$12"),0)),0),0))-(IFERROR(INDEX(INDIRECT("'"&amp;$C3455&amp;"'!$E$68:$Y$68"),1,MATCH($D3455,INDIRECT("'"&amp;$C3455&amp;"'!$E$12:$Y$12"),0)),0)),0)</f>
        <v>0</v>
      </c>
      <c r="I3455" s="366" t="s">
        <v>1750</v>
      </c>
      <c r="J3455" s="348" t="str">
        <f t="shared" ca="1" si="106"/>
        <v>OK</v>
      </c>
      <c r="K3455" s="366" t="s">
        <v>1751</v>
      </c>
      <c r="L3455" s="366" t="s">
        <v>2266</v>
      </c>
      <c r="M3455" s="350" t="str">
        <f>IF($B3455="Portfolio","Portfolio",IFERROR(INDEX(DATA_ASSET_CLASSIFICATION!$B$8:$B$24,MATCH($C3455,DATA_ASSET_CLASSIFICATION!$A$8:$A$24,0)),"Review"))</f>
        <v>Natalia Terrace</v>
      </c>
      <c r="N3455" s="350" t="str">
        <f ca="1">IF($B3455="Portfolio","Portfolio",IFERROR(INDEX(DATA_ASSET_CLASSIFICATION!$U$8:$U$24,MATCH($C3455,DATA_ASSET_CLASSIFICATION!$A$8:$A$24,0)),"Review"))</f>
        <v>Refi Watch</v>
      </c>
      <c r="O3455" s="350" t="str">
        <f ca="1">IF($B3455="Portfolio","Portfolio",IFERROR(INDEX(DATA_ASSET_CLASSIFICATION!$AB$8:$AB$13,MATCH($N3455,DATA_ASSET_CLASSIFICATION!$AA$8:$AA$13,0)),"Review"))</f>
        <v>Bucket 2 · Legacy</v>
      </c>
      <c r="P3455" s="350" t="str">
        <f>IF($B3455="Portfolio","Portfolio",IFERROR(INDEX(DATA_ASSET_CLASSIFICATION!$C$8:$C$24,MATCH($C3455,DATA_ASSET_CLASSIFICATION!$A$8:$A$24,0)),"Review"))</f>
        <v>Yes</v>
      </c>
      <c r="Q3455" s="350" t="str">
        <f t="shared" ca="1" si="107"/>
        <v>OK</v>
      </c>
    </row>
    <row r="3456" spans="1:17">
      <c r="A3456" s="366" t="s">
        <v>5412</v>
      </c>
      <c r="B3456" s="366" t="s">
        <v>231</v>
      </c>
      <c r="C3456" s="348" t="str">
        <f>DATA_PROPERTY_MASTER!$A$15</f>
        <v>BLD_NT</v>
      </c>
      <c r="D3456" s="380">
        <f>'00_PORTFOLIO ROLLUP'!U$12</f>
        <v>2041</v>
      </c>
      <c r="E3456" s="366" t="s">
        <v>1683</v>
      </c>
      <c r="F3456" s="366" t="s">
        <v>341</v>
      </c>
      <c r="G3456" s="348" t="str">
        <f>"'"&amp;$C3456&amp;"'!$E$24:$Y$24"</f>
        <v>'BLD_NT'!$E$24:$Y$24</v>
      </c>
      <c r="H3456" s="381">
        <f ca="1">IF(IFERROR(INDEX(DATA_PROPERTY_MASTER!$E$5:$E$21,MATCH($C3456,DATA_PROPERTY_MASTER!$A$5:$A$21,0))="Yes",FALSE),IFERROR(INDEX(INDIRECT("'"&amp;$C3456&amp;"'!$E$24:$Y$24"),1,MATCH($D3456,INDIRECT("'"&amp;$C3456&amp;"'!$E$12:$Y$12"),0)),0),0)</f>
        <v>993886.74678281322</v>
      </c>
      <c r="I3456" s="366" t="s">
        <v>1685</v>
      </c>
      <c r="J3456" s="348" t="str">
        <f t="shared" ca="1" si="106"/>
        <v>OK</v>
      </c>
      <c r="K3456" s="366" t="s">
        <v>1686</v>
      </c>
      <c r="L3456" s="366" t="s">
        <v>2234</v>
      </c>
      <c r="M3456" s="350" t="str">
        <f>IF($B3456="Portfolio","Portfolio",IFERROR(INDEX(DATA_ASSET_CLASSIFICATION!$B$8:$B$24,MATCH($C3456,DATA_ASSET_CLASSIFICATION!$A$8:$A$24,0)),"Review"))</f>
        <v>Natalia Terrace</v>
      </c>
      <c r="N3456" s="350" t="str">
        <f ca="1">IF($B3456="Portfolio","Portfolio",IFERROR(INDEX(DATA_ASSET_CLASSIFICATION!$U$8:$U$24,MATCH($C3456,DATA_ASSET_CLASSIFICATION!$A$8:$A$24,0)),"Review"))</f>
        <v>Refi Watch</v>
      </c>
      <c r="O3456" s="350" t="str">
        <f ca="1">IF($B3456="Portfolio","Portfolio",IFERROR(INDEX(DATA_ASSET_CLASSIFICATION!$AB$8:$AB$13,MATCH($N3456,DATA_ASSET_CLASSIFICATION!$AA$8:$AA$13,0)),"Review"))</f>
        <v>Bucket 2 · Legacy</v>
      </c>
      <c r="P3456" s="350" t="str">
        <f>IF($B3456="Portfolio","Portfolio",IFERROR(INDEX(DATA_ASSET_CLASSIFICATION!$C$8:$C$24,MATCH($C3456,DATA_ASSET_CLASSIFICATION!$A$8:$A$24,0)),"Review"))</f>
        <v>Yes</v>
      </c>
      <c r="Q3456" s="350" t="str">
        <f t="shared" ca="1" si="107"/>
        <v>OK</v>
      </c>
    </row>
    <row r="3457" spans="1:17">
      <c r="A3457" s="366" t="s">
        <v>5413</v>
      </c>
      <c r="B3457" s="366" t="s">
        <v>231</v>
      </c>
      <c r="C3457" s="348" t="str">
        <f>DATA_PROPERTY_MASTER!$A$15</f>
        <v>BLD_NT</v>
      </c>
      <c r="D3457" s="380">
        <f>'00_PORTFOLIO ROLLUP'!U$12</f>
        <v>2041</v>
      </c>
      <c r="E3457" s="366" t="s">
        <v>1683</v>
      </c>
      <c r="F3457" s="366" t="s">
        <v>355</v>
      </c>
      <c r="G3457" s="348" t="str">
        <f>"'"&amp;$C3457&amp;"'!$E$39:$Y$39"</f>
        <v>'BLD_NT'!$E$39:$Y$39</v>
      </c>
      <c r="H3457" s="381">
        <f ca="1">IF(IFERROR(INDEX(DATA_PROPERTY_MASTER!$E$5:$E$21,MATCH($C3457,DATA_PROPERTY_MASTER!$A$5:$A$21,0))="Yes",FALSE),IFERROR(INDEX(INDIRECT("'"&amp;$C3457&amp;"'!$E$39:$Y$39"),1,MATCH($D3457,INDIRECT("'"&amp;$C3457&amp;"'!$E$12:$Y$12"),0)),0),0)</f>
        <v>488835.51992468379</v>
      </c>
      <c r="I3457" s="366" t="s">
        <v>1690</v>
      </c>
      <c r="J3457" s="348" t="str">
        <f t="shared" ca="1" si="106"/>
        <v>OK</v>
      </c>
      <c r="K3457" s="366" t="s">
        <v>1686</v>
      </c>
      <c r="L3457" s="366" t="s">
        <v>2236</v>
      </c>
      <c r="M3457" s="350" t="str">
        <f>IF($B3457="Portfolio","Portfolio",IFERROR(INDEX(DATA_ASSET_CLASSIFICATION!$B$8:$B$24,MATCH($C3457,DATA_ASSET_CLASSIFICATION!$A$8:$A$24,0)),"Review"))</f>
        <v>Natalia Terrace</v>
      </c>
      <c r="N3457" s="350" t="str">
        <f ca="1">IF($B3457="Portfolio","Portfolio",IFERROR(INDEX(DATA_ASSET_CLASSIFICATION!$U$8:$U$24,MATCH($C3457,DATA_ASSET_CLASSIFICATION!$A$8:$A$24,0)),"Review"))</f>
        <v>Refi Watch</v>
      </c>
      <c r="O3457" s="350" t="str">
        <f ca="1">IF($B3457="Portfolio","Portfolio",IFERROR(INDEX(DATA_ASSET_CLASSIFICATION!$AB$8:$AB$13,MATCH($N3457,DATA_ASSET_CLASSIFICATION!$AA$8:$AA$13,0)),"Review"))</f>
        <v>Bucket 2 · Legacy</v>
      </c>
      <c r="P3457" s="350" t="str">
        <f>IF($B3457="Portfolio","Portfolio",IFERROR(INDEX(DATA_ASSET_CLASSIFICATION!$C$8:$C$24,MATCH($C3457,DATA_ASSET_CLASSIFICATION!$A$8:$A$24,0)),"Review"))</f>
        <v>Yes</v>
      </c>
      <c r="Q3457" s="350" t="str">
        <f t="shared" ca="1" si="107"/>
        <v>OK</v>
      </c>
    </row>
    <row r="3458" spans="1:17">
      <c r="A3458" s="366" t="s">
        <v>5414</v>
      </c>
      <c r="B3458" s="366" t="s">
        <v>231</v>
      </c>
      <c r="C3458" s="348" t="str">
        <f>DATA_PROPERTY_MASTER!$A$15</f>
        <v>BLD_NT</v>
      </c>
      <c r="D3458" s="380">
        <f>'00_PORTFOLIO ROLLUP'!U$12</f>
        <v>2041</v>
      </c>
      <c r="E3458" s="366" t="s">
        <v>1683</v>
      </c>
      <c r="F3458" s="366" t="s">
        <v>19</v>
      </c>
      <c r="G3458" s="348" t="str">
        <f>"'"&amp;$C3458&amp;"'!$E$41:$Y$41"</f>
        <v>'BLD_NT'!$E$41:$Y$41</v>
      </c>
      <c r="H3458" s="381">
        <f ca="1">IF(IFERROR(INDEX(DATA_PROPERTY_MASTER!$E$5:$E$21,MATCH($C3458,DATA_PROPERTY_MASTER!$A$5:$A$21,0))="Yes",FALSE),IFERROR(INDEX(INDIRECT("'"&amp;$C3458&amp;"'!$E$41:$Y$41"),1,MATCH($D3458,INDIRECT("'"&amp;$C3458&amp;"'!$E$12:$Y$12"),0)),0),0)</f>
        <v>505051.22685812943</v>
      </c>
      <c r="I3458" s="366" t="s">
        <v>1685</v>
      </c>
      <c r="J3458" s="348" t="str">
        <f t="shared" ca="1" si="106"/>
        <v>OK</v>
      </c>
      <c r="K3458" s="366" t="s">
        <v>1694</v>
      </c>
      <c r="L3458" s="366" t="s">
        <v>2238</v>
      </c>
      <c r="M3458" s="350" t="str">
        <f>IF($B3458="Portfolio","Portfolio",IFERROR(INDEX(DATA_ASSET_CLASSIFICATION!$B$8:$B$24,MATCH($C3458,DATA_ASSET_CLASSIFICATION!$A$8:$A$24,0)),"Review"))</f>
        <v>Natalia Terrace</v>
      </c>
      <c r="N3458" s="350" t="str">
        <f ca="1">IF($B3458="Portfolio","Portfolio",IFERROR(INDEX(DATA_ASSET_CLASSIFICATION!$U$8:$U$24,MATCH($C3458,DATA_ASSET_CLASSIFICATION!$A$8:$A$24,0)),"Review"))</f>
        <v>Refi Watch</v>
      </c>
      <c r="O3458" s="350" t="str">
        <f ca="1">IF($B3458="Portfolio","Portfolio",IFERROR(INDEX(DATA_ASSET_CLASSIFICATION!$AB$8:$AB$13,MATCH($N3458,DATA_ASSET_CLASSIFICATION!$AA$8:$AA$13,0)),"Review"))</f>
        <v>Bucket 2 · Legacy</v>
      </c>
      <c r="P3458" s="350" t="str">
        <f>IF($B3458="Portfolio","Portfolio",IFERROR(INDEX(DATA_ASSET_CLASSIFICATION!$C$8:$C$24,MATCH($C3458,DATA_ASSET_CLASSIFICATION!$A$8:$A$24,0)),"Review"))</f>
        <v>Yes</v>
      </c>
      <c r="Q3458" s="350" t="str">
        <f t="shared" ca="1" si="107"/>
        <v>OK</v>
      </c>
    </row>
    <row r="3459" spans="1:17">
      <c r="A3459" s="366" t="s">
        <v>5415</v>
      </c>
      <c r="B3459" s="366" t="s">
        <v>231</v>
      </c>
      <c r="C3459" s="348" t="str">
        <f>DATA_PROPERTY_MASTER!$A$15</f>
        <v>BLD_NT</v>
      </c>
      <c r="D3459" s="380">
        <f>'00_PORTFOLIO ROLLUP'!U$12</f>
        <v>2041</v>
      </c>
      <c r="E3459" s="366" t="s">
        <v>1683</v>
      </c>
      <c r="F3459" s="366" t="s">
        <v>1697</v>
      </c>
      <c r="G3459" s="348" t="str">
        <f>"'"&amp;$C3459&amp;"'!$E$44:$Y$44"</f>
        <v>'BLD_NT'!$E$44:$Y$44</v>
      </c>
      <c r="H3459" s="381">
        <f ca="1">IF(IFERROR(INDEX(DATA_PROPERTY_MASTER!$E$5:$E$21,MATCH($C3459,DATA_PROPERTY_MASTER!$A$5:$A$21,0))="Yes",FALSE),IFERROR(INDEX(INDIRECT("'"&amp;$C3459&amp;"'!$E$44:$Y$44"),1,MATCH($D3459,INDIRECT("'"&amp;$C3459&amp;"'!$E$12:$Y$12"),0)),0),0)</f>
        <v>8236.7142305436719</v>
      </c>
      <c r="I3459" s="366" t="s">
        <v>1690</v>
      </c>
      <c r="J3459" s="348" t="str">
        <f t="shared" ca="1" si="106"/>
        <v>OK</v>
      </c>
      <c r="K3459" s="366" t="s">
        <v>1699</v>
      </c>
      <c r="L3459" s="366" t="s">
        <v>2240</v>
      </c>
      <c r="M3459" s="350" t="str">
        <f>IF($B3459="Portfolio","Portfolio",IFERROR(INDEX(DATA_ASSET_CLASSIFICATION!$B$8:$B$24,MATCH($C3459,DATA_ASSET_CLASSIFICATION!$A$8:$A$24,0)),"Review"))</f>
        <v>Natalia Terrace</v>
      </c>
      <c r="N3459" s="350" t="str">
        <f ca="1">IF($B3459="Portfolio","Portfolio",IFERROR(INDEX(DATA_ASSET_CLASSIFICATION!$U$8:$U$24,MATCH($C3459,DATA_ASSET_CLASSIFICATION!$A$8:$A$24,0)),"Review"))</f>
        <v>Refi Watch</v>
      </c>
      <c r="O3459" s="350" t="str">
        <f ca="1">IF($B3459="Portfolio","Portfolio",IFERROR(INDEX(DATA_ASSET_CLASSIFICATION!$AB$8:$AB$13,MATCH($N3459,DATA_ASSET_CLASSIFICATION!$AA$8:$AA$13,0)),"Review"))</f>
        <v>Bucket 2 · Legacy</v>
      </c>
      <c r="P3459" s="350" t="str">
        <f>IF($B3459="Portfolio","Portfolio",IFERROR(INDEX(DATA_ASSET_CLASSIFICATION!$C$8:$C$24,MATCH($C3459,DATA_ASSET_CLASSIFICATION!$A$8:$A$24,0)),"Review"))</f>
        <v>Yes</v>
      </c>
      <c r="Q3459" s="350" t="str">
        <f t="shared" ca="1" si="107"/>
        <v>OK</v>
      </c>
    </row>
    <row r="3460" spans="1:17">
      <c r="A3460" s="366" t="s">
        <v>5416</v>
      </c>
      <c r="B3460" s="366" t="s">
        <v>231</v>
      </c>
      <c r="C3460" s="348" t="str">
        <f>DATA_PROPERTY_MASTER!$A$15</f>
        <v>BLD_NT</v>
      </c>
      <c r="D3460" s="380">
        <f>'00_PORTFOLIO ROLLUP'!U$12</f>
        <v>2041</v>
      </c>
      <c r="E3460" s="366" t="s">
        <v>1683</v>
      </c>
      <c r="F3460" s="366" t="s">
        <v>21</v>
      </c>
      <c r="G3460" s="348" t="str">
        <f>"'"&amp;$C3460&amp;"'!$E$45:$Y$45"</f>
        <v>'BLD_NT'!$E$45:$Y$45</v>
      </c>
      <c r="H3460" s="381">
        <f ca="1">IF(IFERROR(INDEX(DATA_PROPERTY_MASTER!$E$5:$E$21,MATCH($C3460,DATA_PROPERTY_MASTER!$A$5:$A$21,0))="Yes",FALSE),IFERROR(INDEX(INDIRECT("'"&amp;$C3460&amp;"'!$E$45:$Y$45"),1,MATCH($D3460,INDIRECT("'"&amp;$C3460&amp;"'!$E$12:$Y$12"),0)),0),0)</f>
        <v>496814.51262758579</v>
      </c>
      <c r="I3460" s="366" t="s">
        <v>1685</v>
      </c>
      <c r="J3460" s="348" t="str">
        <f t="shared" ca="1" si="106"/>
        <v>OK</v>
      </c>
      <c r="K3460" s="366" t="s">
        <v>1694</v>
      </c>
      <c r="L3460" s="366" t="s">
        <v>2242</v>
      </c>
      <c r="M3460" s="350" t="str">
        <f>IF($B3460="Portfolio","Portfolio",IFERROR(INDEX(DATA_ASSET_CLASSIFICATION!$B$8:$B$24,MATCH($C3460,DATA_ASSET_CLASSIFICATION!$A$8:$A$24,0)),"Review"))</f>
        <v>Natalia Terrace</v>
      </c>
      <c r="N3460" s="350" t="str">
        <f ca="1">IF($B3460="Portfolio","Portfolio",IFERROR(INDEX(DATA_ASSET_CLASSIFICATION!$U$8:$U$24,MATCH($C3460,DATA_ASSET_CLASSIFICATION!$A$8:$A$24,0)),"Review"))</f>
        <v>Refi Watch</v>
      </c>
      <c r="O3460" s="350" t="str">
        <f ca="1">IF($B3460="Portfolio","Portfolio",IFERROR(INDEX(DATA_ASSET_CLASSIFICATION!$AB$8:$AB$13,MATCH($N3460,DATA_ASSET_CLASSIFICATION!$AA$8:$AA$13,0)),"Review"))</f>
        <v>Bucket 2 · Legacy</v>
      </c>
      <c r="P3460" s="350" t="str">
        <f>IF($B3460="Portfolio","Portfolio",IFERROR(INDEX(DATA_ASSET_CLASSIFICATION!$C$8:$C$24,MATCH($C3460,DATA_ASSET_CLASSIFICATION!$A$8:$A$24,0)),"Review"))</f>
        <v>Yes</v>
      </c>
      <c r="Q3460" s="350" t="str">
        <f t="shared" ca="1" si="107"/>
        <v>OK</v>
      </c>
    </row>
    <row r="3461" spans="1:17">
      <c r="A3461" s="366" t="s">
        <v>5417</v>
      </c>
      <c r="B3461" s="366" t="s">
        <v>231</v>
      </c>
      <c r="C3461" s="348" t="str">
        <f>DATA_PROPERTY_MASTER!$A$15</f>
        <v>BLD_NT</v>
      </c>
      <c r="D3461" s="380">
        <f>'00_PORTFOLIO ROLLUP'!U$12</f>
        <v>2041</v>
      </c>
      <c r="E3461" s="366" t="s">
        <v>23</v>
      </c>
      <c r="F3461" s="366" t="s">
        <v>23</v>
      </c>
      <c r="G3461" s="348" t="str">
        <f>"'"&amp;$C3461&amp;"'!$E$48:$Y$48"</f>
        <v>'BLD_NT'!$E$48:$Y$48</v>
      </c>
      <c r="H3461" s="381">
        <f ca="1">IF(IFERROR(INDEX(DATA_PROPERTY_MASTER!$E$5:$E$21,MATCH($C3461,DATA_PROPERTY_MASTER!$A$5:$A$21,0))="Yes",FALSE),IFERROR(INDEX(INDIRECT("'"&amp;$C3461&amp;"'!$E$48:$Y$48"),1,MATCH($D3461,INDIRECT("'"&amp;$C3461&amp;"'!$E$12:$Y$12"),0)),0),0)</f>
        <v>0</v>
      </c>
      <c r="I3461" s="366" t="s">
        <v>1690</v>
      </c>
      <c r="J3461" s="348" t="str">
        <f t="shared" ref="J3461:J3524" ca="1" si="108">IF($F3461="Residual Funding Gap",IF($H3461&gt;0,"Funding Gap","OK"),IF(AND($F3461="Net Refinance Position",$H3461&lt;0),"Negative net refi position","OK"))</f>
        <v>OK</v>
      </c>
      <c r="K3461" s="366" t="s">
        <v>1706</v>
      </c>
      <c r="L3461" s="366" t="s">
        <v>2244</v>
      </c>
      <c r="M3461" s="350" t="str">
        <f>IF($B3461="Portfolio","Portfolio",IFERROR(INDEX(DATA_ASSET_CLASSIFICATION!$B$8:$B$24,MATCH($C3461,DATA_ASSET_CLASSIFICATION!$A$8:$A$24,0)),"Review"))</f>
        <v>Natalia Terrace</v>
      </c>
      <c r="N3461" s="350" t="str">
        <f ca="1">IF($B3461="Portfolio","Portfolio",IFERROR(INDEX(DATA_ASSET_CLASSIFICATION!$U$8:$U$24,MATCH($C3461,DATA_ASSET_CLASSIFICATION!$A$8:$A$24,0)),"Review"))</f>
        <v>Refi Watch</v>
      </c>
      <c r="O3461" s="350" t="str">
        <f ca="1">IF($B3461="Portfolio","Portfolio",IFERROR(INDEX(DATA_ASSET_CLASSIFICATION!$AB$8:$AB$13,MATCH($N3461,DATA_ASSET_CLASSIFICATION!$AA$8:$AA$13,0)),"Review"))</f>
        <v>Bucket 2 · Legacy</v>
      </c>
      <c r="P3461" s="350" t="str">
        <f>IF($B3461="Portfolio","Portfolio",IFERROR(INDEX(DATA_ASSET_CLASSIFICATION!$C$8:$C$24,MATCH($C3461,DATA_ASSET_CLASSIFICATION!$A$8:$A$24,0)),"Review"))</f>
        <v>Yes</v>
      </c>
      <c r="Q3461" s="350" t="str">
        <f t="shared" ref="Q3461:Q3524" ca="1" si="109">IF(AND($B3461="Property",$F3461="Residual Funding Gap",$H3461&gt;0),"Property Funding Gap",IF($J3461&lt;&gt;"OK",$J3461,"OK"))</f>
        <v>OK</v>
      </c>
    </row>
    <row r="3462" spans="1:17">
      <c r="A3462" s="366" t="s">
        <v>5418</v>
      </c>
      <c r="B3462" s="366" t="s">
        <v>231</v>
      </c>
      <c r="C3462" s="348" t="str">
        <f>DATA_PROPERTY_MASTER!$A$15</f>
        <v>BLD_NT</v>
      </c>
      <c r="D3462" s="380">
        <f>'00_PORTFOLIO ROLLUP'!U$12</f>
        <v>2041</v>
      </c>
      <c r="E3462" s="366" t="s">
        <v>1683</v>
      </c>
      <c r="F3462" s="366" t="s">
        <v>25</v>
      </c>
      <c r="G3462" s="348" t="str">
        <f>"'"&amp;$C3462&amp;"'!$E$52:$Y$52"</f>
        <v>'BLD_NT'!$E$52:$Y$52</v>
      </c>
      <c r="H3462" s="381">
        <f ca="1">IF(IFERROR(INDEX(DATA_PROPERTY_MASTER!$E$5:$E$21,MATCH($C3462,DATA_PROPERTY_MASTER!$A$5:$A$21,0))="Yes",FALSE),IFERROR(INDEX(INDIRECT("'"&amp;$C3462&amp;"'!$E$52:$Y$52"),1,MATCH($D3462,INDIRECT("'"&amp;$C3462&amp;"'!$E$12:$Y$12"),0)),0),0)</f>
        <v>505051.22685812943</v>
      </c>
      <c r="I3462" s="366" t="s">
        <v>1685</v>
      </c>
      <c r="J3462" s="348" t="str">
        <f t="shared" ca="1" si="108"/>
        <v>OK</v>
      </c>
      <c r="K3462" s="366" t="s">
        <v>1710</v>
      </c>
      <c r="L3462" s="366" t="s">
        <v>2246</v>
      </c>
      <c r="M3462" s="350" t="str">
        <f>IF($B3462="Portfolio","Portfolio",IFERROR(INDEX(DATA_ASSET_CLASSIFICATION!$B$8:$B$24,MATCH($C3462,DATA_ASSET_CLASSIFICATION!$A$8:$A$24,0)),"Review"))</f>
        <v>Natalia Terrace</v>
      </c>
      <c r="N3462" s="350" t="str">
        <f ca="1">IF($B3462="Portfolio","Portfolio",IFERROR(INDEX(DATA_ASSET_CLASSIFICATION!$U$8:$U$24,MATCH($C3462,DATA_ASSET_CLASSIFICATION!$A$8:$A$24,0)),"Review"))</f>
        <v>Refi Watch</v>
      </c>
      <c r="O3462" s="350" t="str">
        <f ca="1">IF($B3462="Portfolio","Portfolio",IFERROR(INDEX(DATA_ASSET_CLASSIFICATION!$AB$8:$AB$13,MATCH($N3462,DATA_ASSET_CLASSIFICATION!$AA$8:$AA$13,0)),"Review"))</f>
        <v>Bucket 2 · Legacy</v>
      </c>
      <c r="P3462" s="350" t="str">
        <f>IF($B3462="Portfolio","Portfolio",IFERROR(INDEX(DATA_ASSET_CLASSIFICATION!$C$8:$C$24,MATCH($C3462,DATA_ASSET_CLASSIFICATION!$A$8:$A$24,0)),"Review"))</f>
        <v>Yes</v>
      </c>
      <c r="Q3462" s="350" t="str">
        <f t="shared" ca="1" si="109"/>
        <v>OK</v>
      </c>
    </row>
    <row r="3463" spans="1:17">
      <c r="A3463" s="366" t="s">
        <v>5419</v>
      </c>
      <c r="B3463" s="366" t="s">
        <v>231</v>
      </c>
      <c r="C3463" s="348" t="str">
        <f>DATA_PROPERTY_MASTER!$A$15</f>
        <v>BLD_NT</v>
      </c>
      <c r="D3463" s="380">
        <f>'00_PORTFOLIO ROLLUP'!U$12</f>
        <v>2041</v>
      </c>
      <c r="E3463" s="366" t="s">
        <v>1683</v>
      </c>
      <c r="F3463" s="366" t="s">
        <v>27</v>
      </c>
      <c r="G3463" s="348" t="str">
        <f>"'"&amp;$C3463&amp;"'!$E$54:$Y$54"</f>
        <v>'BLD_NT'!$E$54:$Y$54</v>
      </c>
      <c r="H3463" s="381">
        <f ca="1">IF(IFERROR(INDEX(DATA_PROPERTY_MASTER!$E$5:$E$21,MATCH($C3463,DATA_PROPERTY_MASTER!$A$5:$A$21,0))="Yes",FALSE),IFERROR(INDEX(INDIRECT("'"&amp;$C3463&amp;"'!$E$54:$Y$54"),1,MATCH($D3463,INDIRECT("'"&amp;$C3463&amp;"'!$E$12:$Y$12"),0)),0),0)</f>
        <v>303030.73611487763</v>
      </c>
      <c r="I3463" s="366" t="s">
        <v>1690</v>
      </c>
      <c r="J3463" s="348" t="str">
        <f t="shared" ca="1" si="108"/>
        <v>OK</v>
      </c>
      <c r="K3463" s="366" t="s">
        <v>1714</v>
      </c>
      <c r="L3463" s="366" t="s">
        <v>2248</v>
      </c>
      <c r="M3463" s="350" t="str">
        <f>IF($B3463="Portfolio","Portfolio",IFERROR(INDEX(DATA_ASSET_CLASSIFICATION!$B$8:$B$24,MATCH($C3463,DATA_ASSET_CLASSIFICATION!$A$8:$A$24,0)),"Review"))</f>
        <v>Natalia Terrace</v>
      </c>
      <c r="N3463" s="350" t="str">
        <f ca="1">IF($B3463="Portfolio","Portfolio",IFERROR(INDEX(DATA_ASSET_CLASSIFICATION!$U$8:$U$24,MATCH($C3463,DATA_ASSET_CLASSIFICATION!$A$8:$A$24,0)),"Review"))</f>
        <v>Refi Watch</v>
      </c>
      <c r="O3463" s="350" t="str">
        <f ca="1">IF($B3463="Portfolio","Portfolio",IFERROR(INDEX(DATA_ASSET_CLASSIFICATION!$AB$8:$AB$13,MATCH($N3463,DATA_ASSET_CLASSIFICATION!$AA$8:$AA$13,0)),"Review"))</f>
        <v>Bucket 2 · Legacy</v>
      </c>
      <c r="P3463" s="350" t="str">
        <f>IF($B3463="Portfolio","Portfolio",IFERROR(INDEX(DATA_ASSET_CLASSIFICATION!$C$8:$C$24,MATCH($C3463,DATA_ASSET_CLASSIFICATION!$A$8:$A$24,0)),"Review"))</f>
        <v>Yes</v>
      </c>
      <c r="Q3463" s="350" t="str">
        <f t="shared" ca="1" si="109"/>
        <v>OK</v>
      </c>
    </row>
    <row r="3464" spans="1:17">
      <c r="A3464" s="366" t="s">
        <v>5420</v>
      </c>
      <c r="B3464" s="366" t="s">
        <v>231</v>
      </c>
      <c r="C3464" s="348" t="str">
        <f>DATA_PROPERTY_MASTER!$A$15</f>
        <v>BLD_NT</v>
      </c>
      <c r="D3464" s="380">
        <f>'00_PORTFOLIO ROLLUP'!U$12</f>
        <v>2041</v>
      </c>
      <c r="E3464" s="366" t="s">
        <v>1683</v>
      </c>
      <c r="F3464" s="366" t="s">
        <v>29</v>
      </c>
      <c r="G3464" s="348" t="str">
        <f>"'"&amp;$C3464&amp;"'!$E$56:$Y$56"</f>
        <v>'BLD_NT'!$E$56:$Y$56</v>
      </c>
      <c r="H3464" s="381">
        <f ca="1">IF(IFERROR(INDEX(DATA_PROPERTY_MASTER!$E$5:$E$21,MATCH($C3464,DATA_PROPERTY_MASTER!$A$5:$A$21,0))="Yes",FALSE),IFERROR(INDEX(INDIRECT("'"&amp;$C3464&amp;"'!$E$56:$Y$56"),1,MATCH($D3464,INDIRECT("'"&amp;$C3464&amp;"'!$E$12:$Y$12"),0)),0),0)</f>
        <v>202020.49074325181</v>
      </c>
      <c r="I3464" s="366" t="s">
        <v>1685</v>
      </c>
      <c r="J3464" s="348" t="str">
        <f t="shared" ca="1" si="108"/>
        <v>OK</v>
      </c>
      <c r="K3464" s="366" t="s">
        <v>1718</v>
      </c>
      <c r="L3464" s="366" t="s">
        <v>2250</v>
      </c>
      <c r="M3464" s="350" t="str">
        <f>IF($B3464="Portfolio","Portfolio",IFERROR(INDEX(DATA_ASSET_CLASSIFICATION!$B$8:$B$24,MATCH($C3464,DATA_ASSET_CLASSIFICATION!$A$8:$A$24,0)),"Review"))</f>
        <v>Natalia Terrace</v>
      </c>
      <c r="N3464" s="350" t="str">
        <f ca="1">IF($B3464="Portfolio","Portfolio",IFERROR(INDEX(DATA_ASSET_CLASSIFICATION!$U$8:$U$24,MATCH($C3464,DATA_ASSET_CLASSIFICATION!$A$8:$A$24,0)),"Review"))</f>
        <v>Refi Watch</v>
      </c>
      <c r="O3464" s="350" t="str">
        <f ca="1">IF($B3464="Portfolio","Portfolio",IFERROR(INDEX(DATA_ASSET_CLASSIFICATION!$AB$8:$AB$13,MATCH($N3464,DATA_ASSET_CLASSIFICATION!$AA$8:$AA$13,0)),"Review"))</f>
        <v>Bucket 2 · Legacy</v>
      </c>
      <c r="P3464" s="350" t="str">
        <f>IF($B3464="Portfolio","Portfolio",IFERROR(INDEX(DATA_ASSET_CLASSIFICATION!$C$8:$C$24,MATCH($C3464,DATA_ASSET_CLASSIFICATION!$A$8:$A$24,0)),"Review"))</f>
        <v>Yes</v>
      </c>
      <c r="Q3464" s="350" t="str">
        <f t="shared" ca="1" si="109"/>
        <v>OK</v>
      </c>
    </row>
    <row r="3465" spans="1:17">
      <c r="A3465" s="366" t="s">
        <v>5421</v>
      </c>
      <c r="B3465" s="366" t="s">
        <v>231</v>
      </c>
      <c r="C3465" s="348" t="str">
        <f>DATA_PROPERTY_MASTER!$A$15</f>
        <v>BLD_NT</v>
      </c>
      <c r="D3465" s="380">
        <f>'00_PORTFOLIO ROLLUP'!U$12</f>
        <v>2041</v>
      </c>
      <c r="E3465" s="366" t="s">
        <v>1721</v>
      </c>
      <c r="F3465" s="366" t="s">
        <v>31</v>
      </c>
      <c r="G3465" s="348" t="str">
        <f>"'"&amp;$C3465&amp;"'!$E$61:$Y$61"</f>
        <v>'BLD_NT'!$E$61:$Y$61</v>
      </c>
      <c r="H3465" s="381">
        <f ca="1">IF(IFERROR(INDEX(DATA_PROPERTY_MASTER!$E$5:$E$21,MATCH($C3465,DATA_PROPERTY_MASTER!$A$5:$A$21,0))="Yes",FALSE),IFERROR(INDEX(INDIRECT("'"&amp;$C3465&amp;"'!$E$61:$Y$61"),1,MATCH($D3465,INDIRECT("'"&amp;$C3465&amp;"'!$E$12:$Y$12"),0)),0),0)</f>
        <v>0</v>
      </c>
      <c r="I3465" s="366" t="s">
        <v>1690</v>
      </c>
      <c r="J3465" s="348" t="str">
        <f t="shared" ca="1" si="108"/>
        <v>OK</v>
      </c>
      <c r="K3465" s="366" t="s">
        <v>1723</v>
      </c>
      <c r="L3465" s="366" t="s">
        <v>2252</v>
      </c>
      <c r="M3465" s="350" t="str">
        <f>IF($B3465="Portfolio","Portfolio",IFERROR(INDEX(DATA_ASSET_CLASSIFICATION!$B$8:$B$24,MATCH($C3465,DATA_ASSET_CLASSIFICATION!$A$8:$A$24,0)),"Review"))</f>
        <v>Natalia Terrace</v>
      </c>
      <c r="N3465" s="350" t="str">
        <f ca="1">IF($B3465="Portfolio","Portfolio",IFERROR(INDEX(DATA_ASSET_CLASSIFICATION!$U$8:$U$24,MATCH($C3465,DATA_ASSET_CLASSIFICATION!$A$8:$A$24,0)),"Review"))</f>
        <v>Refi Watch</v>
      </c>
      <c r="O3465" s="350" t="str">
        <f ca="1">IF($B3465="Portfolio","Portfolio",IFERROR(INDEX(DATA_ASSET_CLASSIFICATION!$AB$8:$AB$13,MATCH($N3465,DATA_ASSET_CLASSIFICATION!$AA$8:$AA$13,0)),"Review"))</f>
        <v>Bucket 2 · Legacy</v>
      </c>
      <c r="P3465" s="350" t="str">
        <f>IF($B3465="Portfolio","Portfolio",IFERROR(INDEX(DATA_ASSET_CLASSIFICATION!$C$8:$C$24,MATCH($C3465,DATA_ASSET_CLASSIFICATION!$A$8:$A$24,0)),"Review"))</f>
        <v>Yes</v>
      </c>
      <c r="Q3465" s="350" t="str">
        <f t="shared" ca="1" si="109"/>
        <v>OK</v>
      </c>
    </row>
    <row r="3466" spans="1:17">
      <c r="A3466" s="366" t="s">
        <v>5422</v>
      </c>
      <c r="B3466" s="366" t="s">
        <v>231</v>
      </c>
      <c r="C3466" s="348" t="str">
        <f>DATA_PROPERTY_MASTER!$A$15</f>
        <v>BLD_NT</v>
      </c>
      <c r="D3466" s="380">
        <f>'00_PORTFOLIO ROLLUP'!U$12</f>
        <v>2041</v>
      </c>
      <c r="E3466" s="366" t="s">
        <v>1721</v>
      </c>
      <c r="F3466" s="366" t="s">
        <v>33</v>
      </c>
      <c r="G3466" s="348" t="str">
        <f>"'"&amp;$C3466&amp;"'!$E$62:$Y$62"</f>
        <v>'BLD_NT'!$E$62:$Y$62</v>
      </c>
      <c r="H3466" s="381">
        <f ca="1">IF(IFERROR(INDEX(DATA_PROPERTY_MASTER!$E$5:$E$21,MATCH($C3466,DATA_PROPERTY_MASTER!$A$5:$A$21,0))="Yes",FALSE),IFERROR(INDEX(INDIRECT("'"&amp;$C3466&amp;"'!$E$62:$Y$62"),1,MATCH($D3466,INDIRECT("'"&amp;$C3466&amp;"'!$E$12:$Y$12"),0)),0),0)</f>
        <v>0</v>
      </c>
      <c r="I3466" s="366" t="s">
        <v>1685</v>
      </c>
      <c r="J3466" s="348" t="str">
        <f t="shared" ca="1" si="108"/>
        <v>OK</v>
      </c>
      <c r="K3466" s="366" t="s">
        <v>1727</v>
      </c>
      <c r="L3466" s="366" t="s">
        <v>2254</v>
      </c>
      <c r="M3466" s="350" t="str">
        <f>IF($B3466="Portfolio","Portfolio",IFERROR(INDEX(DATA_ASSET_CLASSIFICATION!$B$8:$B$24,MATCH($C3466,DATA_ASSET_CLASSIFICATION!$A$8:$A$24,0)),"Review"))</f>
        <v>Natalia Terrace</v>
      </c>
      <c r="N3466" s="350" t="str">
        <f ca="1">IF($B3466="Portfolio","Portfolio",IFERROR(INDEX(DATA_ASSET_CLASSIFICATION!$U$8:$U$24,MATCH($C3466,DATA_ASSET_CLASSIFICATION!$A$8:$A$24,0)),"Review"))</f>
        <v>Refi Watch</v>
      </c>
      <c r="O3466" s="350" t="str">
        <f ca="1">IF($B3466="Portfolio","Portfolio",IFERROR(INDEX(DATA_ASSET_CLASSIFICATION!$AB$8:$AB$13,MATCH($N3466,DATA_ASSET_CLASSIFICATION!$AA$8:$AA$13,0)),"Review"))</f>
        <v>Bucket 2 · Legacy</v>
      </c>
      <c r="P3466" s="350" t="str">
        <f>IF($B3466="Portfolio","Portfolio",IFERROR(INDEX(DATA_ASSET_CLASSIFICATION!$C$8:$C$24,MATCH($C3466,DATA_ASSET_CLASSIFICATION!$A$8:$A$24,0)),"Review"))</f>
        <v>Yes</v>
      </c>
      <c r="Q3466" s="350" t="str">
        <f t="shared" ca="1" si="109"/>
        <v>OK</v>
      </c>
    </row>
    <row r="3467" spans="1:17">
      <c r="A3467" s="366" t="s">
        <v>5423</v>
      </c>
      <c r="B3467" s="366" t="s">
        <v>231</v>
      </c>
      <c r="C3467" s="348" t="str">
        <f>DATA_PROPERTY_MASTER!$A$15</f>
        <v>BLD_NT</v>
      </c>
      <c r="D3467" s="380">
        <f>'00_PORTFOLIO ROLLUP'!U$12</f>
        <v>2041</v>
      </c>
      <c r="E3467" s="366" t="s">
        <v>1721</v>
      </c>
      <c r="F3467" s="366" t="s">
        <v>35</v>
      </c>
      <c r="G3467" s="348" t="str">
        <f>"'"&amp;$C3467&amp;"'!$E$63:$Y$63"</f>
        <v>'BLD_NT'!$E$63:$Y$63</v>
      </c>
      <c r="H3467" s="381">
        <f ca="1">IF(IFERROR(INDEX(DATA_PROPERTY_MASTER!$E$5:$E$21,MATCH($C3467,DATA_PROPERTY_MASTER!$A$5:$A$21,0))="Yes",FALSE),IFERROR(INDEX(INDIRECT("'"&amp;$C3467&amp;"'!$E$63:$Y$63"),1,MATCH($D3467,INDIRECT("'"&amp;$C3467&amp;"'!$E$12:$Y$12"),0)),0),0)</f>
        <v>0</v>
      </c>
      <c r="I3467" s="366" t="s">
        <v>1731</v>
      </c>
      <c r="J3467" s="348" t="str">
        <f t="shared" ca="1" si="108"/>
        <v>OK</v>
      </c>
      <c r="K3467" s="366" t="s">
        <v>1732</v>
      </c>
      <c r="L3467" s="366" t="s">
        <v>2256</v>
      </c>
      <c r="M3467" s="350" t="str">
        <f>IF($B3467="Portfolio","Portfolio",IFERROR(INDEX(DATA_ASSET_CLASSIFICATION!$B$8:$B$24,MATCH($C3467,DATA_ASSET_CLASSIFICATION!$A$8:$A$24,0)),"Review"))</f>
        <v>Natalia Terrace</v>
      </c>
      <c r="N3467" s="350" t="str">
        <f ca="1">IF($B3467="Portfolio","Portfolio",IFERROR(INDEX(DATA_ASSET_CLASSIFICATION!$U$8:$U$24,MATCH($C3467,DATA_ASSET_CLASSIFICATION!$A$8:$A$24,0)),"Review"))</f>
        <v>Refi Watch</v>
      </c>
      <c r="O3467" s="350" t="str">
        <f ca="1">IF($B3467="Portfolio","Portfolio",IFERROR(INDEX(DATA_ASSET_CLASSIFICATION!$AB$8:$AB$13,MATCH($N3467,DATA_ASSET_CLASSIFICATION!$AA$8:$AA$13,0)),"Review"))</f>
        <v>Bucket 2 · Legacy</v>
      </c>
      <c r="P3467" s="350" t="str">
        <f>IF($B3467="Portfolio","Portfolio",IFERROR(INDEX(DATA_ASSET_CLASSIFICATION!$C$8:$C$24,MATCH($C3467,DATA_ASSET_CLASSIFICATION!$A$8:$A$24,0)),"Review"))</f>
        <v>Yes</v>
      </c>
      <c r="Q3467" s="350" t="str">
        <f t="shared" ca="1" si="109"/>
        <v>OK</v>
      </c>
    </row>
    <row r="3468" spans="1:17">
      <c r="A3468" s="366" t="s">
        <v>5424</v>
      </c>
      <c r="B3468" s="366" t="s">
        <v>231</v>
      </c>
      <c r="C3468" s="348" t="str">
        <f>DATA_PROPERTY_MASTER!$A$15</f>
        <v>BLD_NT</v>
      </c>
      <c r="D3468" s="380">
        <f>'00_PORTFOLIO ROLLUP'!U$12</f>
        <v>2041</v>
      </c>
      <c r="E3468" s="366" t="s">
        <v>1721</v>
      </c>
      <c r="F3468" s="366" t="s">
        <v>37</v>
      </c>
      <c r="G3468" s="348" t="str">
        <f>"'"&amp;$C3468&amp;"'!$E$63:$Y$63"</f>
        <v>'BLD_NT'!$E$63:$Y$63</v>
      </c>
      <c r="H3468" s="381">
        <f ca="1">IF(IFERROR(INDEX(DATA_PROPERTY_MASTER!$E$5:$E$21,MATCH($C3468,DATA_PROPERTY_MASTER!$A$5:$A$21,0))="Yes",FALSE),MAX(IFERROR(INDEX(INDIRECT("'"&amp;$C3468&amp;"'!$E$63:$Y$63"),1,MATCH($D3468,INDIRECT("'"&amp;$C3468&amp;"'!$E$12:$Y$12"),0)),0),0),0)</f>
        <v>0</v>
      </c>
      <c r="I3468" s="366" t="s">
        <v>1685</v>
      </c>
      <c r="J3468" s="348" t="str">
        <f t="shared" ca="1" si="108"/>
        <v>OK</v>
      </c>
      <c r="K3468" s="366" t="s">
        <v>1735</v>
      </c>
      <c r="L3468" s="366" t="s">
        <v>2258</v>
      </c>
      <c r="M3468" s="350" t="str">
        <f>IF($B3468="Portfolio","Portfolio",IFERROR(INDEX(DATA_ASSET_CLASSIFICATION!$B$8:$B$24,MATCH($C3468,DATA_ASSET_CLASSIFICATION!$A$8:$A$24,0)),"Review"))</f>
        <v>Natalia Terrace</v>
      </c>
      <c r="N3468" s="350" t="str">
        <f ca="1">IF($B3468="Portfolio","Portfolio",IFERROR(INDEX(DATA_ASSET_CLASSIFICATION!$U$8:$U$24,MATCH($C3468,DATA_ASSET_CLASSIFICATION!$A$8:$A$24,0)),"Review"))</f>
        <v>Refi Watch</v>
      </c>
      <c r="O3468" s="350" t="str">
        <f ca="1">IF($B3468="Portfolio","Portfolio",IFERROR(INDEX(DATA_ASSET_CLASSIFICATION!$AB$8:$AB$13,MATCH($N3468,DATA_ASSET_CLASSIFICATION!$AA$8:$AA$13,0)),"Review"))</f>
        <v>Bucket 2 · Legacy</v>
      </c>
      <c r="P3468" s="350" t="str">
        <f>IF($B3468="Portfolio","Portfolio",IFERROR(INDEX(DATA_ASSET_CLASSIFICATION!$C$8:$C$24,MATCH($C3468,DATA_ASSET_CLASSIFICATION!$A$8:$A$24,0)),"Review"))</f>
        <v>Yes</v>
      </c>
      <c r="Q3468" s="350" t="str">
        <f t="shared" ca="1" si="109"/>
        <v>OK</v>
      </c>
    </row>
    <row r="3469" spans="1:17">
      <c r="A3469" s="366" t="s">
        <v>5425</v>
      </c>
      <c r="B3469" s="366" t="s">
        <v>231</v>
      </c>
      <c r="C3469" s="348" t="str">
        <f>DATA_PROPERTY_MASTER!$A$15</f>
        <v>BLD_NT</v>
      </c>
      <c r="D3469" s="380">
        <f>'00_PORTFOLIO ROLLUP'!U$12</f>
        <v>2041</v>
      </c>
      <c r="E3469" s="366" t="s">
        <v>1721</v>
      </c>
      <c r="F3469" s="366" t="s">
        <v>39</v>
      </c>
      <c r="G3469" s="348" t="str">
        <f>"'"&amp;$C3469&amp;"'!$E$63:$Y$63"</f>
        <v>'BLD_NT'!$E$63:$Y$63</v>
      </c>
      <c r="H3469" s="381">
        <f ca="1">IF(IFERROR(INDEX(DATA_PROPERTY_MASTER!$E$5:$E$21,MATCH($C3469,DATA_PROPERTY_MASTER!$A$5:$A$21,0))="Yes",FALSE),MAX(-IFERROR(INDEX(INDIRECT("'"&amp;$C3469&amp;"'!$E$63:$Y$63"),1,MATCH($D3469,INDIRECT("'"&amp;$C3469&amp;"'!$E$12:$Y$12"),0)),0),0),0)</f>
        <v>0</v>
      </c>
      <c r="I3469" s="366" t="s">
        <v>1690</v>
      </c>
      <c r="J3469" s="348" t="str">
        <f t="shared" ca="1" si="108"/>
        <v>OK</v>
      </c>
      <c r="K3469" s="366" t="s">
        <v>1738</v>
      </c>
      <c r="L3469" s="366" t="s">
        <v>2260</v>
      </c>
      <c r="M3469" s="350" t="str">
        <f>IF($B3469="Portfolio","Portfolio",IFERROR(INDEX(DATA_ASSET_CLASSIFICATION!$B$8:$B$24,MATCH($C3469,DATA_ASSET_CLASSIFICATION!$A$8:$A$24,0)),"Review"))</f>
        <v>Natalia Terrace</v>
      </c>
      <c r="N3469" s="350" t="str">
        <f ca="1">IF($B3469="Portfolio","Portfolio",IFERROR(INDEX(DATA_ASSET_CLASSIFICATION!$U$8:$U$24,MATCH($C3469,DATA_ASSET_CLASSIFICATION!$A$8:$A$24,0)),"Review"))</f>
        <v>Refi Watch</v>
      </c>
      <c r="O3469" s="350" t="str">
        <f ca="1">IF($B3469="Portfolio","Portfolio",IFERROR(INDEX(DATA_ASSET_CLASSIFICATION!$AB$8:$AB$13,MATCH($N3469,DATA_ASSET_CLASSIFICATION!$AA$8:$AA$13,0)),"Review"))</f>
        <v>Bucket 2 · Legacy</v>
      </c>
      <c r="P3469" s="350" t="str">
        <f>IF($B3469="Portfolio","Portfolio",IFERROR(INDEX(DATA_ASSET_CLASSIFICATION!$C$8:$C$24,MATCH($C3469,DATA_ASSET_CLASSIFICATION!$A$8:$A$24,0)),"Review"))</f>
        <v>Yes</v>
      </c>
      <c r="Q3469" s="350" t="str">
        <f t="shared" ca="1" si="109"/>
        <v>OK</v>
      </c>
    </row>
    <row r="3470" spans="1:17">
      <c r="A3470" s="366" t="s">
        <v>5426</v>
      </c>
      <c r="B3470" s="366" t="s">
        <v>231</v>
      </c>
      <c r="C3470" s="348" t="str">
        <f>DATA_PROPERTY_MASTER!$A$15</f>
        <v>BLD_NT</v>
      </c>
      <c r="D3470" s="380">
        <f>'00_PORTFOLIO ROLLUP'!U$12</f>
        <v>2041</v>
      </c>
      <c r="E3470" s="366" t="s">
        <v>1741</v>
      </c>
      <c r="F3470" s="366" t="s">
        <v>41</v>
      </c>
      <c r="G3470" s="348" t="str">
        <f>"'"&amp;$C3470&amp;"'!rows 56 + positive row 63"</f>
        <v>'BLD_NT'!rows 56 + positive row 63</v>
      </c>
      <c r="H3470" s="381">
        <f ca="1">IF(IFERROR(INDEX(DATA_PROPERTY_MASTER!$E$5:$E$21,MATCH($C3470,DATA_PROPERTY_MASTER!$A$5:$A$21,0))="Yes",FALSE),IFERROR(INDEX(INDIRECT("'"&amp;$C3470&amp;"'!$E$56:$Y$56"),1,MATCH($D3470,INDIRECT("'"&amp;$C3470&amp;"'!$E$12:$Y$12"),0)),0)+MAX(IFERROR(INDEX(INDIRECT("'"&amp;$C3470&amp;"'!$E$63:$Y$63"),1,MATCH($D3470,INDIRECT("'"&amp;$C3470&amp;"'!$E$12:$Y$12"),0)),0),0),0)</f>
        <v>202020.49074325181</v>
      </c>
      <c r="I3470" s="366" t="s">
        <v>1685</v>
      </c>
      <c r="J3470" s="348" t="str">
        <f t="shared" ca="1" si="108"/>
        <v>OK</v>
      </c>
      <c r="K3470" s="366" t="s">
        <v>1742</v>
      </c>
      <c r="L3470" s="366" t="s">
        <v>2262</v>
      </c>
      <c r="M3470" s="350" t="str">
        <f>IF($B3470="Portfolio","Portfolio",IFERROR(INDEX(DATA_ASSET_CLASSIFICATION!$B$8:$B$24,MATCH($C3470,DATA_ASSET_CLASSIFICATION!$A$8:$A$24,0)),"Review"))</f>
        <v>Natalia Terrace</v>
      </c>
      <c r="N3470" s="350" t="str">
        <f ca="1">IF($B3470="Portfolio","Portfolio",IFERROR(INDEX(DATA_ASSET_CLASSIFICATION!$U$8:$U$24,MATCH($C3470,DATA_ASSET_CLASSIFICATION!$A$8:$A$24,0)),"Review"))</f>
        <v>Refi Watch</v>
      </c>
      <c r="O3470" s="350" t="str">
        <f ca="1">IF($B3470="Portfolio","Portfolio",IFERROR(INDEX(DATA_ASSET_CLASSIFICATION!$AB$8:$AB$13,MATCH($N3470,DATA_ASSET_CLASSIFICATION!$AA$8:$AA$13,0)),"Review"))</f>
        <v>Bucket 2 · Legacy</v>
      </c>
      <c r="P3470" s="350" t="str">
        <f>IF($B3470="Portfolio","Portfolio",IFERROR(INDEX(DATA_ASSET_CLASSIFICATION!$C$8:$C$24,MATCH($C3470,DATA_ASSET_CLASSIFICATION!$A$8:$A$24,0)),"Review"))</f>
        <v>Yes</v>
      </c>
      <c r="Q3470" s="350" t="str">
        <f t="shared" ca="1" si="109"/>
        <v>OK</v>
      </c>
    </row>
    <row r="3471" spans="1:17">
      <c r="A3471" s="366" t="s">
        <v>5427</v>
      </c>
      <c r="B3471" s="366" t="s">
        <v>231</v>
      </c>
      <c r="C3471" s="348" t="str">
        <f>DATA_PROPERTY_MASTER!$A$15</f>
        <v>BLD_NT</v>
      </c>
      <c r="D3471" s="380">
        <f>'00_PORTFOLIO ROLLUP'!U$12</f>
        <v>2041</v>
      </c>
      <c r="E3471" s="366" t="s">
        <v>1741</v>
      </c>
      <c r="F3471" s="366" t="s">
        <v>43</v>
      </c>
      <c r="G3471" s="348" t="str">
        <f>"'"&amp;$C3471&amp;"'!$E$68:$Y$68"</f>
        <v>'BLD_NT'!$E$68:$Y$68</v>
      </c>
      <c r="H3471" s="381">
        <f ca="1">IF(IFERROR(INDEX(DATA_PROPERTY_MASTER!$E$5:$E$21,MATCH($C3471,DATA_PROPERTY_MASTER!$A$5:$A$21,0))="Yes",FALSE),IFERROR(INDEX(INDIRECT("'"&amp;$C3471&amp;"'!$E$68:$Y$68"),1,MATCH($D3471,INDIRECT("'"&amp;$C3471&amp;"'!$E$12:$Y$12"),0)),0),0)</f>
        <v>202020.49074325181</v>
      </c>
      <c r="I3471" s="366" t="s">
        <v>1731</v>
      </c>
      <c r="J3471" s="348" t="str">
        <f t="shared" ca="1" si="108"/>
        <v>OK</v>
      </c>
      <c r="K3471" s="366" t="s">
        <v>1746</v>
      </c>
      <c r="L3471" s="366" t="s">
        <v>2264</v>
      </c>
      <c r="M3471" s="350" t="str">
        <f>IF($B3471="Portfolio","Portfolio",IFERROR(INDEX(DATA_ASSET_CLASSIFICATION!$B$8:$B$24,MATCH($C3471,DATA_ASSET_CLASSIFICATION!$A$8:$A$24,0)),"Review"))</f>
        <v>Natalia Terrace</v>
      </c>
      <c r="N3471" s="350" t="str">
        <f ca="1">IF($B3471="Portfolio","Portfolio",IFERROR(INDEX(DATA_ASSET_CLASSIFICATION!$U$8:$U$24,MATCH($C3471,DATA_ASSET_CLASSIFICATION!$A$8:$A$24,0)),"Review"))</f>
        <v>Refi Watch</v>
      </c>
      <c r="O3471" s="350" t="str">
        <f ca="1">IF($B3471="Portfolio","Portfolio",IFERROR(INDEX(DATA_ASSET_CLASSIFICATION!$AB$8:$AB$13,MATCH($N3471,DATA_ASSET_CLASSIFICATION!$AA$8:$AA$13,0)),"Review"))</f>
        <v>Bucket 2 · Legacy</v>
      </c>
      <c r="P3471" s="350" t="str">
        <f>IF($B3471="Portfolio","Portfolio",IFERROR(INDEX(DATA_ASSET_CLASSIFICATION!$C$8:$C$24,MATCH($C3471,DATA_ASSET_CLASSIFICATION!$A$8:$A$24,0)),"Review"))</f>
        <v>Yes</v>
      </c>
      <c r="Q3471" s="350" t="str">
        <f t="shared" ca="1" si="109"/>
        <v>OK</v>
      </c>
    </row>
    <row r="3472" spans="1:17">
      <c r="A3472" s="366" t="s">
        <v>5428</v>
      </c>
      <c r="B3472" s="366" t="s">
        <v>231</v>
      </c>
      <c r="C3472" s="348" t="str">
        <f>DATA_PROPERTY_MASTER!$A$15</f>
        <v>BLD_NT</v>
      </c>
      <c r="D3472" s="380">
        <f>'00_PORTFOLIO ROLLUP'!U$12</f>
        <v>2041</v>
      </c>
      <c r="E3472" s="366" t="s">
        <v>1741</v>
      </c>
      <c r="F3472" s="366" t="s">
        <v>1749</v>
      </c>
      <c r="G3472" s="348" t="str">
        <f>"'"&amp;$C3472&amp;"'!rows 56, 63, 68"</f>
        <v>'BLD_NT'!rows 56, 63, 68</v>
      </c>
      <c r="H3472" s="381">
        <f ca="1">IF(IFERROR(INDEX(DATA_PROPERTY_MASTER!$E$5:$E$21,MATCH($C3472,DATA_PROPERTY_MASTER!$A$5:$A$21,0))="Yes",FALSE),(IFERROR(INDEX(INDIRECT("'"&amp;$C3472&amp;"'!$E$56:$Y$56"),1,MATCH($D3472,INDIRECT("'"&amp;$C3472&amp;"'!$E$12:$Y$12"),0)),0)+MAX(IFERROR(INDEX(INDIRECT("'"&amp;$C3472&amp;"'!$E$63:$Y$63"),1,MATCH($D3472,INDIRECT("'"&amp;$C3472&amp;"'!$E$12:$Y$12"),0)),0),0))-(IFERROR(INDEX(INDIRECT("'"&amp;$C3472&amp;"'!$E$68:$Y$68"),1,MATCH($D3472,INDIRECT("'"&amp;$C3472&amp;"'!$E$12:$Y$12"),0)),0)),0)</f>
        <v>0</v>
      </c>
      <c r="I3472" s="366" t="s">
        <v>1750</v>
      </c>
      <c r="J3472" s="348" t="str">
        <f t="shared" ca="1" si="108"/>
        <v>OK</v>
      </c>
      <c r="K3472" s="366" t="s">
        <v>1751</v>
      </c>
      <c r="L3472" s="366" t="s">
        <v>2266</v>
      </c>
      <c r="M3472" s="350" t="str">
        <f>IF($B3472="Portfolio","Portfolio",IFERROR(INDEX(DATA_ASSET_CLASSIFICATION!$B$8:$B$24,MATCH($C3472,DATA_ASSET_CLASSIFICATION!$A$8:$A$24,0)),"Review"))</f>
        <v>Natalia Terrace</v>
      </c>
      <c r="N3472" s="350" t="str">
        <f ca="1">IF($B3472="Portfolio","Portfolio",IFERROR(INDEX(DATA_ASSET_CLASSIFICATION!$U$8:$U$24,MATCH($C3472,DATA_ASSET_CLASSIFICATION!$A$8:$A$24,0)),"Review"))</f>
        <v>Refi Watch</v>
      </c>
      <c r="O3472" s="350" t="str">
        <f ca="1">IF($B3472="Portfolio","Portfolio",IFERROR(INDEX(DATA_ASSET_CLASSIFICATION!$AB$8:$AB$13,MATCH($N3472,DATA_ASSET_CLASSIFICATION!$AA$8:$AA$13,0)),"Review"))</f>
        <v>Bucket 2 · Legacy</v>
      </c>
      <c r="P3472" s="350" t="str">
        <f>IF($B3472="Portfolio","Portfolio",IFERROR(INDEX(DATA_ASSET_CLASSIFICATION!$C$8:$C$24,MATCH($C3472,DATA_ASSET_CLASSIFICATION!$A$8:$A$24,0)),"Review"))</f>
        <v>Yes</v>
      </c>
      <c r="Q3472" s="350" t="str">
        <f t="shared" ca="1" si="109"/>
        <v>OK</v>
      </c>
    </row>
    <row r="3473" spans="1:17">
      <c r="A3473" s="366" t="s">
        <v>5429</v>
      </c>
      <c r="B3473" s="366" t="s">
        <v>231</v>
      </c>
      <c r="C3473" s="348" t="str">
        <f>DATA_PROPERTY_MASTER!$A$16</f>
        <v>BLD_NG</v>
      </c>
      <c r="D3473" s="380">
        <f>'00_PORTFOLIO ROLLUP'!E$12</f>
        <v>2025</v>
      </c>
      <c r="E3473" s="366" t="s">
        <v>1683</v>
      </c>
      <c r="F3473" s="366" t="s">
        <v>341</v>
      </c>
      <c r="G3473" s="348" t="str">
        <f>"'"&amp;$C3473&amp;"'!$E$24:$Y$24"</f>
        <v>'BLD_NG'!$E$24:$Y$24</v>
      </c>
      <c r="H3473" s="381">
        <f ca="1">IF(IFERROR(INDEX(DATA_PROPERTY_MASTER!$E$5:$E$21,MATCH($C3473,DATA_PROPERTY_MASTER!$A$5:$A$21,0))="Yes",FALSE),IFERROR(INDEX(INDIRECT("'"&amp;$C3473&amp;"'!$E$24:$Y$24"),1,MATCH($D3473,INDIRECT("'"&amp;$C3473&amp;"'!$E$12:$Y$12"),0)),0),0)</f>
        <v>682436.62199999997</v>
      </c>
      <c r="I3473" s="366" t="s">
        <v>1685</v>
      </c>
      <c r="J3473" s="348" t="str">
        <f t="shared" ca="1" si="108"/>
        <v>OK</v>
      </c>
      <c r="K3473" s="366" t="s">
        <v>1686</v>
      </c>
      <c r="L3473" s="366" t="s">
        <v>2234</v>
      </c>
      <c r="M3473" s="350" t="str">
        <f>IF($B3473="Portfolio","Portfolio",IFERROR(INDEX(DATA_ASSET_CLASSIFICATION!$B$8:$B$24,MATCH($C3473,DATA_ASSET_CLASSIFICATION!$A$8:$A$24,0)),"Review"))</f>
        <v>Newton Green</v>
      </c>
      <c r="N3473" s="350" t="str">
        <f ca="1">IF($B3473="Portfolio","Portfolio",IFERROR(INDEX(DATA_ASSET_CLASSIFICATION!$U$8:$U$24,MATCH($C3473,DATA_ASSET_CLASSIFICATION!$A$8:$A$24,0)),"Review"))</f>
        <v>Refi Watch</v>
      </c>
      <c r="O3473" s="350" t="str">
        <f ca="1">IF($B3473="Portfolio","Portfolio",IFERROR(INDEX(DATA_ASSET_CLASSIFICATION!$AB$8:$AB$13,MATCH($N3473,DATA_ASSET_CLASSIFICATION!$AA$8:$AA$13,0)),"Review"))</f>
        <v>Bucket 2 · Legacy</v>
      </c>
      <c r="P3473" s="350" t="str">
        <f>IF($B3473="Portfolio","Portfolio",IFERROR(INDEX(DATA_ASSET_CLASSIFICATION!$C$8:$C$24,MATCH($C3473,DATA_ASSET_CLASSIFICATION!$A$8:$A$24,0)),"Review"))</f>
        <v>Yes</v>
      </c>
      <c r="Q3473" s="350" t="str">
        <f t="shared" ca="1" si="109"/>
        <v>OK</v>
      </c>
    </row>
    <row r="3474" spans="1:17">
      <c r="A3474" s="366" t="s">
        <v>5430</v>
      </c>
      <c r="B3474" s="366" t="s">
        <v>231</v>
      </c>
      <c r="C3474" s="348" t="str">
        <f>DATA_PROPERTY_MASTER!$A$16</f>
        <v>BLD_NG</v>
      </c>
      <c r="D3474" s="380">
        <f>'00_PORTFOLIO ROLLUP'!E$12</f>
        <v>2025</v>
      </c>
      <c r="E3474" s="366" t="s">
        <v>1683</v>
      </c>
      <c r="F3474" s="366" t="s">
        <v>355</v>
      </c>
      <c r="G3474" s="348" t="str">
        <f>"'"&amp;$C3474&amp;"'!$E$39:$Y$39"</f>
        <v>'BLD_NG'!$E$39:$Y$39</v>
      </c>
      <c r="H3474" s="381">
        <f ca="1">IF(IFERROR(INDEX(DATA_PROPERTY_MASTER!$E$5:$E$21,MATCH($C3474,DATA_PROPERTY_MASTER!$A$5:$A$21,0))="Yes",FALSE),IFERROR(INDEX(INDIRECT("'"&amp;$C3474&amp;"'!$E$39:$Y$39"),1,MATCH($D3474,INDIRECT("'"&amp;$C3474&amp;"'!$E$12:$Y$12"),0)),0),0)</f>
        <v>310831</v>
      </c>
      <c r="I3474" s="366" t="s">
        <v>1690</v>
      </c>
      <c r="J3474" s="348" t="str">
        <f t="shared" ca="1" si="108"/>
        <v>OK</v>
      </c>
      <c r="K3474" s="366" t="s">
        <v>1686</v>
      </c>
      <c r="L3474" s="366" t="s">
        <v>2236</v>
      </c>
      <c r="M3474" s="350" t="str">
        <f>IF($B3474="Portfolio","Portfolio",IFERROR(INDEX(DATA_ASSET_CLASSIFICATION!$B$8:$B$24,MATCH($C3474,DATA_ASSET_CLASSIFICATION!$A$8:$A$24,0)),"Review"))</f>
        <v>Newton Green</v>
      </c>
      <c r="N3474" s="350" t="str">
        <f ca="1">IF($B3474="Portfolio","Portfolio",IFERROR(INDEX(DATA_ASSET_CLASSIFICATION!$U$8:$U$24,MATCH($C3474,DATA_ASSET_CLASSIFICATION!$A$8:$A$24,0)),"Review"))</f>
        <v>Refi Watch</v>
      </c>
      <c r="O3474" s="350" t="str">
        <f ca="1">IF($B3474="Portfolio","Portfolio",IFERROR(INDEX(DATA_ASSET_CLASSIFICATION!$AB$8:$AB$13,MATCH($N3474,DATA_ASSET_CLASSIFICATION!$AA$8:$AA$13,0)),"Review"))</f>
        <v>Bucket 2 · Legacy</v>
      </c>
      <c r="P3474" s="350" t="str">
        <f>IF($B3474="Portfolio","Portfolio",IFERROR(INDEX(DATA_ASSET_CLASSIFICATION!$C$8:$C$24,MATCH($C3474,DATA_ASSET_CLASSIFICATION!$A$8:$A$24,0)),"Review"))</f>
        <v>Yes</v>
      </c>
      <c r="Q3474" s="350" t="str">
        <f t="shared" ca="1" si="109"/>
        <v>OK</v>
      </c>
    </row>
    <row r="3475" spans="1:17">
      <c r="A3475" s="366" t="s">
        <v>5431</v>
      </c>
      <c r="B3475" s="366" t="s">
        <v>231</v>
      </c>
      <c r="C3475" s="348" t="str">
        <f>DATA_PROPERTY_MASTER!$A$16</f>
        <v>BLD_NG</v>
      </c>
      <c r="D3475" s="380">
        <f>'00_PORTFOLIO ROLLUP'!E$12</f>
        <v>2025</v>
      </c>
      <c r="E3475" s="366" t="s">
        <v>1683</v>
      </c>
      <c r="F3475" s="366" t="s">
        <v>19</v>
      </c>
      <c r="G3475" s="348" t="str">
        <f>"'"&amp;$C3475&amp;"'!$E$41:$Y$41"</f>
        <v>'BLD_NG'!$E$41:$Y$41</v>
      </c>
      <c r="H3475" s="381">
        <f ca="1">IF(IFERROR(INDEX(DATA_PROPERTY_MASTER!$E$5:$E$21,MATCH($C3475,DATA_PROPERTY_MASTER!$A$5:$A$21,0))="Yes",FALSE),IFERROR(INDEX(INDIRECT("'"&amp;$C3475&amp;"'!$E$41:$Y$41"),1,MATCH($D3475,INDIRECT("'"&amp;$C3475&amp;"'!$E$12:$Y$12"),0)),0),0)</f>
        <v>371605.62199999997</v>
      </c>
      <c r="I3475" s="366" t="s">
        <v>1685</v>
      </c>
      <c r="J3475" s="348" t="str">
        <f t="shared" ca="1" si="108"/>
        <v>OK</v>
      </c>
      <c r="K3475" s="366" t="s">
        <v>1694</v>
      </c>
      <c r="L3475" s="366" t="s">
        <v>2238</v>
      </c>
      <c r="M3475" s="350" t="str">
        <f>IF($B3475="Portfolio","Portfolio",IFERROR(INDEX(DATA_ASSET_CLASSIFICATION!$B$8:$B$24,MATCH($C3475,DATA_ASSET_CLASSIFICATION!$A$8:$A$24,0)),"Review"))</f>
        <v>Newton Green</v>
      </c>
      <c r="N3475" s="350" t="str">
        <f ca="1">IF($B3475="Portfolio","Portfolio",IFERROR(INDEX(DATA_ASSET_CLASSIFICATION!$U$8:$U$24,MATCH($C3475,DATA_ASSET_CLASSIFICATION!$A$8:$A$24,0)),"Review"))</f>
        <v>Refi Watch</v>
      </c>
      <c r="O3475" s="350" t="str">
        <f ca="1">IF($B3475="Portfolio","Portfolio",IFERROR(INDEX(DATA_ASSET_CLASSIFICATION!$AB$8:$AB$13,MATCH($N3475,DATA_ASSET_CLASSIFICATION!$AA$8:$AA$13,0)),"Review"))</f>
        <v>Bucket 2 · Legacy</v>
      </c>
      <c r="P3475" s="350" t="str">
        <f>IF($B3475="Portfolio","Portfolio",IFERROR(INDEX(DATA_ASSET_CLASSIFICATION!$C$8:$C$24,MATCH($C3475,DATA_ASSET_CLASSIFICATION!$A$8:$A$24,0)),"Review"))</f>
        <v>Yes</v>
      </c>
      <c r="Q3475" s="350" t="str">
        <f t="shared" ca="1" si="109"/>
        <v>OK</v>
      </c>
    </row>
    <row r="3476" spans="1:17">
      <c r="A3476" s="366" t="s">
        <v>5432</v>
      </c>
      <c r="B3476" s="366" t="s">
        <v>231</v>
      </c>
      <c r="C3476" s="348" t="str">
        <f>DATA_PROPERTY_MASTER!$A$16</f>
        <v>BLD_NG</v>
      </c>
      <c r="D3476" s="380">
        <f>'00_PORTFOLIO ROLLUP'!E$12</f>
        <v>2025</v>
      </c>
      <c r="E3476" s="366" t="s">
        <v>1683</v>
      </c>
      <c r="F3476" s="366" t="s">
        <v>1697</v>
      </c>
      <c r="G3476" s="348" t="str">
        <f>"'"&amp;$C3476&amp;"'!$E$44:$Y$44"</f>
        <v>'BLD_NG'!$E$44:$Y$44</v>
      </c>
      <c r="H3476" s="381">
        <f ca="1">IF(IFERROR(INDEX(DATA_PROPERTY_MASTER!$E$5:$E$21,MATCH($C3476,DATA_PROPERTY_MASTER!$A$5:$A$21,0))="Yes",FALSE),IFERROR(INDEX(INDIRECT("'"&amp;$C3476&amp;"'!$E$44:$Y$44"),1,MATCH($D3476,INDIRECT("'"&amp;$C3476&amp;"'!$E$12:$Y$12"),0)),0),0)</f>
        <v>7350</v>
      </c>
      <c r="I3476" s="366" t="s">
        <v>1690</v>
      </c>
      <c r="J3476" s="348" t="str">
        <f t="shared" ca="1" si="108"/>
        <v>OK</v>
      </c>
      <c r="K3476" s="366" t="s">
        <v>1699</v>
      </c>
      <c r="L3476" s="366" t="s">
        <v>2240</v>
      </c>
      <c r="M3476" s="350" t="str">
        <f>IF($B3476="Portfolio","Portfolio",IFERROR(INDEX(DATA_ASSET_CLASSIFICATION!$B$8:$B$24,MATCH($C3476,DATA_ASSET_CLASSIFICATION!$A$8:$A$24,0)),"Review"))</f>
        <v>Newton Green</v>
      </c>
      <c r="N3476" s="350" t="str">
        <f ca="1">IF($B3476="Portfolio","Portfolio",IFERROR(INDEX(DATA_ASSET_CLASSIFICATION!$U$8:$U$24,MATCH($C3476,DATA_ASSET_CLASSIFICATION!$A$8:$A$24,0)),"Review"))</f>
        <v>Refi Watch</v>
      </c>
      <c r="O3476" s="350" t="str">
        <f ca="1">IF($B3476="Portfolio","Portfolio",IFERROR(INDEX(DATA_ASSET_CLASSIFICATION!$AB$8:$AB$13,MATCH($N3476,DATA_ASSET_CLASSIFICATION!$AA$8:$AA$13,0)),"Review"))</f>
        <v>Bucket 2 · Legacy</v>
      </c>
      <c r="P3476" s="350" t="str">
        <f>IF($B3476="Portfolio","Portfolio",IFERROR(INDEX(DATA_ASSET_CLASSIFICATION!$C$8:$C$24,MATCH($C3476,DATA_ASSET_CLASSIFICATION!$A$8:$A$24,0)),"Review"))</f>
        <v>Yes</v>
      </c>
      <c r="Q3476" s="350" t="str">
        <f t="shared" ca="1" si="109"/>
        <v>OK</v>
      </c>
    </row>
    <row r="3477" spans="1:17">
      <c r="A3477" s="366" t="s">
        <v>5433</v>
      </c>
      <c r="B3477" s="366" t="s">
        <v>231</v>
      </c>
      <c r="C3477" s="348" t="str">
        <f>DATA_PROPERTY_MASTER!$A$16</f>
        <v>BLD_NG</v>
      </c>
      <c r="D3477" s="380">
        <f>'00_PORTFOLIO ROLLUP'!E$12</f>
        <v>2025</v>
      </c>
      <c r="E3477" s="366" t="s">
        <v>1683</v>
      </c>
      <c r="F3477" s="366" t="s">
        <v>21</v>
      </c>
      <c r="G3477" s="348" t="str">
        <f>"'"&amp;$C3477&amp;"'!$E$45:$Y$45"</f>
        <v>'BLD_NG'!$E$45:$Y$45</v>
      </c>
      <c r="H3477" s="381">
        <f ca="1">IF(IFERROR(INDEX(DATA_PROPERTY_MASTER!$E$5:$E$21,MATCH($C3477,DATA_PROPERTY_MASTER!$A$5:$A$21,0))="Yes",FALSE),IFERROR(INDEX(INDIRECT("'"&amp;$C3477&amp;"'!$E$45:$Y$45"),1,MATCH($D3477,INDIRECT("'"&amp;$C3477&amp;"'!$E$12:$Y$12"),0)),0),0)</f>
        <v>364255.62199999997</v>
      </c>
      <c r="I3477" s="366" t="s">
        <v>1685</v>
      </c>
      <c r="J3477" s="348" t="str">
        <f t="shared" ca="1" si="108"/>
        <v>OK</v>
      </c>
      <c r="K3477" s="366" t="s">
        <v>1694</v>
      </c>
      <c r="L3477" s="366" t="s">
        <v>2242</v>
      </c>
      <c r="M3477" s="350" t="str">
        <f>IF($B3477="Portfolio","Portfolio",IFERROR(INDEX(DATA_ASSET_CLASSIFICATION!$B$8:$B$24,MATCH($C3477,DATA_ASSET_CLASSIFICATION!$A$8:$A$24,0)),"Review"))</f>
        <v>Newton Green</v>
      </c>
      <c r="N3477" s="350" t="str">
        <f ca="1">IF($B3477="Portfolio","Portfolio",IFERROR(INDEX(DATA_ASSET_CLASSIFICATION!$U$8:$U$24,MATCH($C3477,DATA_ASSET_CLASSIFICATION!$A$8:$A$24,0)),"Review"))</f>
        <v>Refi Watch</v>
      </c>
      <c r="O3477" s="350" t="str">
        <f ca="1">IF($B3477="Portfolio","Portfolio",IFERROR(INDEX(DATA_ASSET_CLASSIFICATION!$AB$8:$AB$13,MATCH($N3477,DATA_ASSET_CLASSIFICATION!$AA$8:$AA$13,0)),"Review"))</f>
        <v>Bucket 2 · Legacy</v>
      </c>
      <c r="P3477" s="350" t="str">
        <f>IF($B3477="Portfolio","Portfolio",IFERROR(INDEX(DATA_ASSET_CLASSIFICATION!$C$8:$C$24,MATCH($C3477,DATA_ASSET_CLASSIFICATION!$A$8:$A$24,0)),"Review"))</f>
        <v>Yes</v>
      </c>
      <c r="Q3477" s="350" t="str">
        <f t="shared" ca="1" si="109"/>
        <v>OK</v>
      </c>
    </row>
    <row r="3478" spans="1:17">
      <c r="A3478" s="366" t="s">
        <v>5434</v>
      </c>
      <c r="B3478" s="366" t="s">
        <v>231</v>
      </c>
      <c r="C3478" s="348" t="str">
        <f>DATA_PROPERTY_MASTER!$A$16</f>
        <v>BLD_NG</v>
      </c>
      <c r="D3478" s="380">
        <f>'00_PORTFOLIO ROLLUP'!E$12</f>
        <v>2025</v>
      </c>
      <c r="E3478" s="366" t="s">
        <v>23</v>
      </c>
      <c r="F3478" s="366" t="s">
        <v>23</v>
      </c>
      <c r="G3478" s="348" t="str">
        <f>"'"&amp;$C3478&amp;"'!$E$48:$Y$48"</f>
        <v>'BLD_NG'!$E$48:$Y$48</v>
      </c>
      <c r="H3478" s="381">
        <f ca="1">IF(IFERROR(INDEX(DATA_PROPERTY_MASTER!$E$5:$E$21,MATCH($C3478,DATA_PROPERTY_MASTER!$A$5:$A$21,0))="Yes",FALSE),IFERROR(INDEX(INDIRECT("'"&amp;$C3478&amp;"'!$E$48:$Y$48"),1,MATCH($D3478,INDIRECT("'"&amp;$C3478&amp;"'!$E$12:$Y$12"),0)),0),0)</f>
        <v>443187</v>
      </c>
      <c r="I3478" s="366" t="s">
        <v>1690</v>
      </c>
      <c r="J3478" s="348" t="str">
        <f t="shared" ca="1" si="108"/>
        <v>OK</v>
      </c>
      <c r="K3478" s="366" t="s">
        <v>1706</v>
      </c>
      <c r="L3478" s="366" t="s">
        <v>2244</v>
      </c>
      <c r="M3478" s="350" t="str">
        <f>IF($B3478="Portfolio","Portfolio",IFERROR(INDEX(DATA_ASSET_CLASSIFICATION!$B$8:$B$24,MATCH($C3478,DATA_ASSET_CLASSIFICATION!$A$8:$A$24,0)),"Review"))</f>
        <v>Newton Green</v>
      </c>
      <c r="N3478" s="350" t="str">
        <f ca="1">IF($B3478="Portfolio","Portfolio",IFERROR(INDEX(DATA_ASSET_CLASSIFICATION!$U$8:$U$24,MATCH($C3478,DATA_ASSET_CLASSIFICATION!$A$8:$A$24,0)),"Review"))</f>
        <v>Refi Watch</v>
      </c>
      <c r="O3478" s="350" t="str">
        <f ca="1">IF($B3478="Portfolio","Portfolio",IFERROR(INDEX(DATA_ASSET_CLASSIFICATION!$AB$8:$AB$13,MATCH($N3478,DATA_ASSET_CLASSIFICATION!$AA$8:$AA$13,0)),"Review"))</f>
        <v>Bucket 2 · Legacy</v>
      </c>
      <c r="P3478" s="350" t="str">
        <f>IF($B3478="Portfolio","Portfolio",IFERROR(INDEX(DATA_ASSET_CLASSIFICATION!$C$8:$C$24,MATCH($C3478,DATA_ASSET_CLASSIFICATION!$A$8:$A$24,0)),"Review"))</f>
        <v>Yes</v>
      </c>
      <c r="Q3478" s="350" t="str">
        <f t="shared" ca="1" si="109"/>
        <v>OK</v>
      </c>
    </row>
    <row r="3479" spans="1:17">
      <c r="A3479" s="366" t="s">
        <v>5435</v>
      </c>
      <c r="B3479" s="366" t="s">
        <v>231</v>
      </c>
      <c r="C3479" s="348" t="str">
        <f>DATA_PROPERTY_MASTER!$A$16</f>
        <v>BLD_NG</v>
      </c>
      <c r="D3479" s="380">
        <f>'00_PORTFOLIO ROLLUP'!E$12</f>
        <v>2025</v>
      </c>
      <c r="E3479" s="366" t="s">
        <v>1683</v>
      </c>
      <c r="F3479" s="366" t="s">
        <v>25</v>
      </c>
      <c r="G3479" s="348" t="str">
        <f>"'"&amp;$C3479&amp;"'!$E$52:$Y$52"</f>
        <v>'BLD_NG'!$E$52:$Y$52</v>
      </c>
      <c r="H3479" s="381">
        <f ca="1">IF(IFERROR(INDEX(DATA_PROPERTY_MASTER!$E$5:$E$21,MATCH($C3479,DATA_PROPERTY_MASTER!$A$5:$A$21,0))="Yes",FALSE),IFERROR(INDEX(INDIRECT("'"&amp;$C3479&amp;"'!$E$52:$Y$52"),1,MATCH($D3479,INDIRECT("'"&amp;$C3479&amp;"'!$E$12:$Y$12"),0)),0),0)</f>
        <v>-71581.378000000026</v>
      </c>
      <c r="I3479" s="366" t="s">
        <v>1685</v>
      </c>
      <c r="J3479" s="348" t="str">
        <f t="shared" ca="1" si="108"/>
        <v>OK</v>
      </c>
      <c r="K3479" s="366" t="s">
        <v>1710</v>
      </c>
      <c r="L3479" s="366" t="s">
        <v>2246</v>
      </c>
      <c r="M3479" s="350" t="str">
        <f>IF($B3479="Portfolio","Portfolio",IFERROR(INDEX(DATA_ASSET_CLASSIFICATION!$B$8:$B$24,MATCH($C3479,DATA_ASSET_CLASSIFICATION!$A$8:$A$24,0)),"Review"))</f>
        <v>Newton Green</v>
      </c>
      <c r="N3479" s="350" t="str">
        <f ca="1">IF($B3479="Portfolio","Portfolio",IFERROR(INDEX(DATA_ASSET_CLASSIFICATION!$U$8:$U$24,MATCH($C3479,DATA_ASSET_CLASSIFICATION!$A$8:$A$24,0)),"Review"))</f>
        <v>Refi Watch</v>
      </c>
      <c r="O3479" s="350" t="str">
        <f ca="1">IF($B3479="Portfolio","Portfolio",IFERROR(INDEX(DATA_ASSET_CLASSIFICATION!$AB$8:$AB$13,MATCH($N3479,DATA_ASSET_CLASSIFICATION!$AA$8:$AA$13,0)),"Review"))</f>
        <v>Bucket 2 · Legacy</v>
      </c>
      <c r="P3479" s="350" t="str">
        <f>IF($B3479="Portfolio","Portfolio",IFERROR(INDEX(DATA_ASSET_CLASSIFICATION!$C$8:$C$24,MATCH($C3479,DATA_ASSET_CLASSIFICATION!$A$8:$A$24,0)),"Review"))</f>
        <v>Yes</v>
      </c>
      <c r="Q3479" s="350" t="str">
        <f t="shared" ca="1" si="109"/>
        <v>OK</v>
      </c>
    </row>
    <row r="3480" spans="1:17">
      <c r="A3480" s="366" t="s">
        <v>5436</v>
      </c>
      <c r="B3480" s="366" t="s">
        <v>231</v>
      </c>
      <c r="C3480" s="348" t="str">
        <f>DATA_PROPERTY_MASTER!$A$16</f>
        <v>BLD_NG</v>
      </c>
      <c r="D3480" s="380">
        <f>'00_PORTFOLIO ROLLUP'!E$12</f>
        <v>2025</v>
      </c>
      <c r="E3480" s="366" t="s">
        <v>1683</v>
      </c>
      <c r="F3480" s="366" t="s">
        <v>27</v>
      </c>
      <c r="G3480" s="348" t="str">
        <f>"'"&amp;$C3480&amp;"'!$E$54:$Y$54"</f>
        <v>'BLD_NG'!$E$54:$Y$54</v>
      </c>
      <c r="H3480" s="381">
        <f ca="1">IF(IFERROR(INDEX(DATA_PROPERTY_MASTER!$E$5:$E$21,MATCH($C3480,DATA_PROPERTY_MASTER!$A$5:$A$21,0))="Yes",FALSE),IFERROR(INDEX(INDIRECT("'"&amp;$C3480&amp;"'!$E$54:$Y$54"),1,MATCH($D3480,INDIRECT("'"&amp;$C3480&amp;"'!$E$12:$Y$12"),0)),0),0)</f>
        <v>0</v>
      </c>
      <c r="I3480" s="366" t="s">
        <v>1690</v>
      </c>
      <c r="J3480" s="348" t="str">
        <f t="shared" ca="1" si="108"/>
        <v>OK</v>
      </c>
      <c r="K3480" s="366" t="s">
        <v>1714</v>
      </c>
      <c r="L3480" s="366" t="s">
        <v>2248</v>
      </c>
      <c r="M3480" s="350" t="str">
        <f>IF($B3480="Portfolio","Portfolio",IFERROR(INDEX(DATA_ASSET_CLASSIFICATION!$B$8:$B$24,MATCH($C3480,DATA_ASSET_CLASSIFICATION!$A$8:$A$24,0)),"Review"))</f>
        <v>Newton Green</v>
      </c>
      <c r="N3480" s="350" t="str">
        <f ca="1">IF($B3480="Portfolio","Portfolio",IFERROR(INDEX(DATA_ASSET_CLASSIFICATION!$U$8:$U$24,MATCH($C3480,DATA_ASSET_CLASSIFICATION!$A$8:$A$24,0)),"Review"))</f>
        <v>Refi Watch</v>
      </c>
      <c r="O3480" s="350" t="str">
        <f ca="1">IF($B3480="Portfolio","Portfolio",IFERROR(INDEX(DATA_ASSET_CLASSIFICATION!$AB$8:$AB$13,MATCH($N3480,DATA_ASSET_CLASSIFICATION!$AA$8:$AA$13,0)),"Review"))</f>
        <v>Bucket 2 · Legacy</v>
      </c>
      <c r="P3480" s="350" t="str">
        <f>IF($B3480="Portfolio","Portfolio",IFERROR(INDEX(DATA_ASSET_CLASSIFICATION!$C$8:$C$24,MATCH($C3480,DATA_ASSET_CLASSIFICATION!$A$8:$A$24,0)),"Review"))</f>
        <v>Yes</v>
      </c>
      <c r="Q3480" s="350" t="str">
        <f t="shared" ca="1" si="109"/>
        <v>OK</v>
      </c>
    </row>
    <row r="3481" spans="1:17">
      <c r="A3481" s="366" t="s">
        <v>5437</v>
      </c>
      <c r="B3481" s="366" t="s">
        <v>231</v>
      </c>
      <c r="C3481" s="348" t="str">
        <f>DATA_PROPERTY_MASTER!$A$16</f>
        <v>BLD_NG</v>
      </c>
      <c r="D3481" s="380">
        <f>'00_PORTFOLIO ROLLUP'!E$12</f>
        <v>2025</v>
      </c>
      <c r="E3481" s="366" t="s">
        <v>1683</v>
      </c>
      <c r="F3481" s="366" t="s">
        <v>29</v>
      </c>
      <c r="G3481" s="348" t="str">
        <f>"'"&amp;$C3481&amp;"'!$E$56:$Y$56"</f>
        <v>'BLD_NG'!$E$56:$Y$56</v>
      </c>
      <c r="H3481" s="381">
        <f ca="1">IF(IFERROR(INDEX(DATA_PROPERTY_MASTER!$E$5:$E$21,MATCH($C3481,DATA_PROPERTY_MASTER!$A$5:$A$21,0))="Yes",FALSE),IFERROR(INDEX(INDIRECT("'"&amp;$C3481&amp;"'!$E$56:$Y$56"),1,MATCH($D3481,INDIRECT("'"&amp;$C3481&amp;"'!$E$12:$Y$12"),0)),0),0)</f>
        <v>-71581.378000000026</v>
      </c>
      <c r="I3481" s="366" t="s">
        <v>1685</v>
      </c>
      <c r="J3481" s="348" t="str">
        <f t="shared" ca="1" si="108"/>
        <v>OK</v>
      </c>
      <c r="K3481" s="366" t="s">
        <v>1718</v>
      </c>
      <c r="L3481" s="366" t="s">
        <v>2250</v>
      </c>
      <c r="M3481" s="350" t="str">
        <f>IF($B3481="Portfolio","Portfolio",IFERROR(INDEX(DATA_ASSET_CLASSIFICATION!$B$8:$B$24,MATCH($C3481,DATA_ASSET_CLASSIFICATION!$A$8:$A$24,0)),"Review"))</f>
        <v>Newton Green</v>
      </c>
      <c r="N3481" s="350" t="str">
        <f ca="1">IF($B3481="Portfolio","Portfolio",IFERROR(INDEX(DATA_ASSET_CLASSIFICATION!$U$8:$U$24,MATCH($C3481,DATA_ASSET_CLASSIFICATION!$A$8:$A$24,0)),"Review"))</f>
        <v>Refi Watch</v>
      </c>
      <c r="O3481" s="350" t="str">
        <f ca="1">IF($B3481="Portfolio","Portfolio",IFERROR(INDEX(DATA_ASSET_CLASSIFICATION!$AB$8:$AB$13,MATCH($N3481,DATA_ASSET_CLASSIFICATION!$AA$8:$AA$13,0)),"Review"))</f>
        <v>Bucket 2 · Legacy</v>
      </c>
      <c r="P3481" s="350" t="str">
        <f>IF($B3481="Portfolio","Portfolio",IFERROR(INDEX(DATA_ASSET_CLASSIFICATION!$C$8:$C$24,MATCH($C3481,DATA_ASSET_CLASSIFICATION!$A$8:$A$24,0)),"Review"))</f>
        <v>Yes</v>
      </c>
      <c r="Q3481" s="350" t="str">
        <f t="shared" ca="1" si="109"/>
        <v>OK</v>
      </c>
    </row>
    <row r="3482" spans="1:17">
      <c r="A3482" s="366" t="s">
        <v>5438</v>
      </c>
      <c r="B3482" s="366" t="s">
        <v>231</v>
      </c>
      <c r="C3482" s="348" t="str">
        <f>DATA_PROPERTY_MASTER!$A$16</f>
        <v>BLD_NG</v>
      </c>
      <c r="D3482" s="380">
        <f>'00_PORTFOLIO ROLLUP'!E$12</f>
        <v>2025</v>
      </c>
      <c r="E3482" s="366" t="s">
        <v>1721</v>
      </c>
      <c r="F3482" s="366" t="s">
        <v>31</v>
      </c>
      <c r="G3482" s="348" t="str">
        <f>"'"&amp;$C3482&amp;"'!$E$61:$Y$61"</f>
        <v>'BLD_NG'!$E$61:$Y$61</v>
      </c>
      <c r="H3482" s="381">
        <f ca="1">IF(IFERROR(INDEX(DATA_PROPERTY_MASTER!$E$5:$E$21,MATCH($C3482,DATA_PROPERTY_MASTER!$A$5:$A$21,0))="Yes",FALSE),IFERROR(INDEX(INDIRECT("'"&amp;$C3482&amp;"'!$E$61:$Y$61"),1,MATCH($D3482,INDIRECT("'"&amp;$C3482&amp;"'!$E$12:$Y$12"),0)),0),0)</f>
        <v>0</v>
      </c>
      <c r="I3482" s="366" t="s">
        <v>1690</v>
      </c>
      <c r="J3482" s="348" t="str">
        <f t="shared" ca="1" si="108"/>
        <v>OK</v>
      </c>
      <c r="K3482" s="366" t="s">
        <v>1723</v>
      </c>
      <c r="L3482" s="366" t="s">
        <v>2252</v>
      </c>
      <c r="M3482" s="350" t="str">
        <f>IF($B3482="Portfolio","Portfolio",IFERROR(INDEX(DATA_ASSET_CLASSIFICATION!$B$8:$B$24,MATCH($C3482,DATA_ASSET_CLASSIFICATION!$A$8:$A$24,0)),"Review"))</f>
        <v>Newton Green</v>
      </c>
      <c r="N3482" s="350" t="str">
        <f ca="1">IF($B3482="Portfolio","Portfolio",IFERROR(INDEX(DATA_ASSET_CLASSIFICATION!$U$8:$U$24,MATCH($C3482,DATA_ASSET_CLASSIFICATION!$A$8:$A$24,0)),"Review"))</f>
        <v>Refi Watch</v>
      </c>
      <c r="O3482" s="350" t="str">
        <f ca="1">IF($B3482="Portfolio","Portfolio",IFERROR(INDEX(DATA_ASSET_CLASSIFICATION!$AB$8:$AB$13,MATCH($N3482,DATA_ASSET_CLASSIFICATION!$AA$8:$AA$13,0)),"Review"))</f>
        <v>Bucket 2 · Legacy</v>
      </c>
      <c r="P3482" s="350" t="str">
        <f>IF($B3482="Portfolio","Portfolio",IFERROR(INDEX(DATA_ASSET_CLASSIFICATION!$C$8:$C$24,MATCH($C3482,DATA_ASSET_CLASSIFICATION!$A$8:$A$24,0)),"Review"))</f>
        <v>Yes</v>
      </c>
      <c r="Q3482" s="350" t="str">
        <f t="shared" ca="1" si="109"/>
        <v>OK</v>
      </c>
    </row>
    <row r="3483" spans="1:17">
      <c r="A3483" s="366" t="s">
        <v>5439</v>
      </c>
      <c r="B3483" s="366" t="s">
        <v>231</v>
      </c>
      <c r="C3483" s="348" t="str">
        <f>DATA_PROPERTY_MASTER!$A$16</f>
        <v>BLD_NG</v>
      </c>
      <c r="D3483" s="380">
        <f>'00_PORTFOLIO ROLLUP'!E$12</f>
        <v>2025</v>
      </c>
      <c r="E3483" s="366" t="s">
        <v>1721</v>
      </c>
      <c r="F3483" s="366" t="s">
        <v>33</v>
      </c>
      <c r="G3483" s="348" t="str">
        <f>"'"&amp;$C3483&amp;"'!$E$62:$Y$62"</f>
        <v>'BLD_NG'!$E$62:$Y$62</v>
      </c>
      <c r="H3483" s="381">
        <f ca="1">IF(IFERROR(INDEX(DATA_PROPERTY_MASTER!$E$5:$E$21,MATCH($C3483,DATA_PROPERTY_MASTER!$A$5:$A$21,0))="Yes",FALSE),IFERROR(INDEX(INDIRECT("'"&amp;$C3483&amp;"'!$E$62:$Y$62"),1,MATCH($D3483,INDIRECT("'"&amp;$C3483&amp;"'!$E$12:$Y$12"),0)),0),0)</f>
        <v>0</v>
      </c>
      <c r="I3483" s="366" t="s">
        <v>1685</v>
      </c>
      <c r="J3483" s="348" t="str">
        <f t="shared" ca="1" si="108"/>
        <v>OK</v>
      </c>
      <c r="K3483" s="366" t="s">
        <v>1727</v>
      </c>
      <c r="L3483" s="366" t="s">
        <v>2254</v>
      </c>
      <c r="M3483" s="350" t="str">
        <f>IF($B3483="Portfolio","Portfolio",IFERROR(INDEX(DATA_ASSET_CLASSIFICATION!$B$8:$B$24,MATCH($C3483,DATA_ASSET_CLASSIFICATION!$A$8:$A$24,0)),"Review"))</f>
        <v>Newton Green</v>
      </c>
      <c r="N3483" s="350" t="str">
        <f ca="1">IF($B3483="Portfolio","Portfolio",IFERROR(INDEX(DATA_ASSET_CLASSIFICATION!$U$8:$U$24,MATCH($C3483,DATA_ASSET_CLASSIFICATION!$A$8:$A$24,0)),"Review"))</f>
        <v>Refi Watch</v>
      </c>
      <c r="O3483" s="350" t="str">
        <f ca="1">IF($B3483="Portfolio","Portfolio",IFERROR(INDEX(DATA_ASSET_CLASSIFICATION!$AB$8:$AB$13,MATCH($N3483,DATA_ASSET_CLASSIFICATION!$AA$8:$AA$13,0)),"Review"))</f>
        <v>Bucket 2 · Legacy</v>
      </c>
      <c r="P3483" s="350" t="str">
        <f>IF($B3483="Portfolio","Portfolio",IFERROR(INDEX(DATA_ASSET_CLASSIFICATION!$C$8:$C$24,MATCH($C3483,DATA_ASSET_CLASSIFICATION!$A$8:$A$24,0)),"Review"))</f>
        <v>Yes</v>
      </c>
      <c r="Q3483" s="350" t="str">
        <f t="shared" ca="1" si="109"/>
        <v>OK</v>
      </c>
    </row>
    <row r="3484" spans="1:17">
      <c r="A3484" s="366" t="s">
        <v>5440</v>
      </c>
      <c r="B3484" s="366" t="s">
        <v>231</v>
      </c>
      <c r="C3484" s="348" t="str">
        <f>DATA_PROPERTY_MASTER!$A$16</f>
        <v>BLD_NG</v>
      </c>
      <c r="D3484" s="380">
        <f>'00_PORTFOLIO ROLLUP'!E$12</f>
        <v>2025</v>
      </c>
      <c r="E3484" s="366" t="s">
        <v>1721</v>
      </c>
      <c r="F3484" s="366" t="s">
        <v>35</v>
      </c>
      <c r="G3484" s="348" t="str">
        <f>"'"&amp;$C3484&amp;"'!$E$63:$Y$63"</f>
        <v>'BLD_NG'!$E$63:$Y$63</v>
      </c>
      <c r="H3484" s="381">
        <f ca="1">IF(IFERROR(INDEX(DATA_PROPERTY_MASTER!$E$5:$E$21,MATCH($C3484,DATA_PROPERTY_MASTER!$A$5:$A$21,0))="Yes",FALSE),IFERROR(INDEX(INDIRECT("'"&amp;$C3484&amp;"'!$E$63:$Y$63"),1,MATCH($D3484,INDIRECT("'"&amp;$C3484&amp;"'!$E$12:$Y$12"),0)),0),0)</f>
        <v>0</v>
      </c>
      <c r="I3484" s="366" t="s">
        <v>1731</v>
      </c>
      <c r="J3484" s="348" t="str">
        <f t="shared" ca="1" si="108"/>
        <v>OK</v>
      </c>
      <c r="K3484" s="366" t="s">
        <v>1732</v>
      </c>
      <c r="L3484" s="366" t="s">
        <v>2256</v>
      </c>
      <c r="M3484" s="350" t="str">
        <f>IF($B3484="Portfolio","Portfolio",IFERROR(INDEX(DATA_ASSET_CLASSIFICATION!$B$8:$B$24,MATCH($C3484,DATA_ASSET_CLASSIFICATION!$A$8:$A$24,0)),"Review"))</f>
        <v>Newton Green</v>
      </c>
      <c r="N3484" s="350" t="str">
        <f ca="1">IF($B3484="Portfolio","Portfolio",IFERROR(INDEX(DATA_ASSET_CLASSIFICATION!$U$8:$U$24,MATCH($C3484,DATA_ASSET_CLASSIFICATION!$A$8:$A$24,0)),"Review"))</f>
        <v>Refi Watch</v>
      </c>
      <c r="O3484" s="350" t="str">
        <f ca="1">IF($B3484="Portfolio","Portfolio",IFERROR(INDEX(DATA_ASSET_CLASSIFICATION!$AB$8:$AB$13,MATCH($N3484,DATA_ASSET_CLASSIFICATION!$AA$8:$AA$13,0)),"Review"))</f>
        <v>Bucket 2 · Legacy</v>
      </c>
      <c r="P3484" s="350" t="str">
        <f>IF($B3484="Portfolio","Portfolio",IFERROR(INDEX(DATA_ASSET_CLASSIFICATION!$C$8:$C$24,MATCH($C3484,DATA_ASSET_CLASSIFICATION!$A$8:$A$24,0)),"Review"))</f>
        <v>Yes</v>
      </c>
      <c r="Q3484" s="350" t="str">
        <f t="shared" ca="1" si="109"/>
        <v>OK</v>
      </c>
    </row>
    <row r="3485" spans="1:17">
      <c r="A3485" s="366" t="s">
        <v>5441</v>
      </c>
      <c r="B3485" s="366" t="s">
        <v>231</v>
      </c>
      <c r="C3485" s="348" t="str">
        <f>DATA_PROPERTY_MASTER!$A$16</f>
        <v>BLD_NG</v>
      </c>
      <c r="D3485" s="380">
        <f>'00_PORTFOLIO ROLLUP'!E$12</f>
        <v>2025</v>
      </c>
      <c r="E3485" s="366" t="s">
        <v>1721</v>
      </c>
      <c r="F3485" s="366" t="s">
        <v>37</v>
      </c>
      <c r="G3485" s="348" t="str">
        <f>"'"&amp;$C3485&amp;"'!$E$63:$Y$63"</f>
        <v>'BLD_NG'!$E$63:$Y$63</v>
      </c>
      <c r="H3485" s="381">
        <f ca="1">IF(IFERROR(INDEX(DATA_PROPERTY_MASTER!$E$5:$E$21,MATCH($C3485,DATA_PROPERTY_MASTER!$A$5:$A$21,0))="Yes",FALSE),MAX(IFERROR(INDEX(INDIRECT("'"&amp;$C3485&amp;"'!$E$63:$Y$63"),1,MATCH($D3485,INDIRECT("'"&amp;$C3485&amp;"'!$E$12:$Y$12"),0)),0),0),0)</f>
        <v>0</v>
      </c>
      <c r="I3485" s="366" t="s">
        <v>1685</v>
      </c>
      <c r="J3485" s="348" t="str">
        <f t="shared" ca="1" si="108"/>
        <v>OK</v>
      </c>
      <c r="K3485" s="366" t="s">
        <v>1735</v>
      </c>
      <c r="L3485" s="366" t="s">
        <v>2258</v>
      </c>
      <c r="M3485" s="350" t="str">
        <f>IF($B3485="Portfolio","Portfolio",IFERROR(INDEX(DATA_ASSET_CLASSIFICATION!$B$8:$B$24,MATCH($C3485,DATA_ASSET_CLASSIFICATION!$A$8:$A$24,0)),"Review"))</f>
        <v>Newton Green</v>
      </c>
      <c r="N3485" s="350" t="str">
        <f ca="1">IF($B3485="Portfolio","Portfolio",IFERROR(INDEX(DATA_ASSET_CLASSIFICATION!$U$8:$U$24,MATCH($C3485,DATA_ASSET_CLASSIFICATION!$A$8:$A$24,0)),"Review"))</f>
        <v>Refi Watch</v>
      </c>
      <c r="O3485" s="350" t="str">
        <f ca="1">IF($B3485="Portfolio","Portfolio",IFERROR(INDEX(DATA_ASSET_CLASSIFICATION!$AB$8:$AB$13,MATCH($N3485,DATA_ASSET_CLASSIFICATION!$AA$8:$AA$13,0)),"Review"))</f>
        <v>Bucket 2 · Legacy</v>
      </c>
      <c r="P3485" s="350" t="str">
        <f>IF($B3485="Portfolio","Portfolio",IFERROR(INDEX(DATA_ASSET_CLASSIFICATION!$C$8:$C$24,MATCH($C3485,DATA_ASSET_CLASSIFICATION!$A$8:$A$24,0)),"Review"))</f>
        <v>Yes</v>
      </c>
      <c r="Q3485" s="350" t="str">
        <f t="shared" ca="1" si="109"/>
        <v>OK</v>
      </c>
    </row>
    <row r="3486" spans="1:17">
      <c r="A3486" s="366" t="s">
        <v>5442</v>
      </c>
      <c r="B3486" s="366" t="s">
        <v>231</v>
      </c>
      <c r="C3486" s="348" t="str">
        <f>DATA_PROPERTY_MASTER!$A$16</f>
        <v>BLD_NG</v>
      </c>
      <c r="D3486" s="380">
        <f>'00_PORTFOLIO ROLLUP'!E$12</f>
        <v>2025</v>
      </c>
      <c r="E3486" s="366" t="s">
        <v>1721</v>
      </c>
      <c r="F3486" s="366" t="s">
        <v>39</v>
      </c>
      <c r="G3486" s="348" t="str">
        <f>"'"&amp;$C3486&amp;"'!$E$63:$Y$63"</f>
        <v>'BLD_NG'!$E$63:$Y$63</v>
      </c>
      <c r="H3486" s="381">
        <f ca="1">IF(IFERROR(INDEX(DATA_PROPERTY_MASTER!$E$5:$E$21,MATCH($C3486,DATA_PROPERTY_MASTER!$A$5:$A$21,0))="Yes",FALSE),MAX(-IFERROR(INDEX(INDIRECT("'"&amp;$C3486&amp;"'!$E$63:$Y$63"),1,MATCH($D3486,INDIRECT("'"&amp;$C3486&amp;"'!$E$12:$Y$12"),0)),0),0),0)</f>
        <v>0</v>
      </c>
      <c r="I3486" s="366" t="s">
        <v>1690</v>
      </c>
      <c r="J3486" s="348" t="str">
        <f t="shared" ca="1" si="108"/>
        <v>OK</v>
      </c>
      <c r="K3486" s="366" t="s">
        <v>1738</v>
      </c>
      <c r="L3486" s="366" t="s">
        <v>2260</v>
      </c>
      <c r="M3486" s="350" t="str">
        <f>IF($B3486="Portfolio","Portfolio",IFERROR(INDEX(DATA_ASSET_CLASSIFICATION!$B$8:$B$24,MATCH($C3486,DATA_ASSET_CLASSIFICATION!$A$8:$A$24,0)),"Review"))</f>
        <v>Newton Green</v>
      </c>
      <c r="N3486" s="350" t="str">
        <f ca="1">IF($B3486="Portfolio","Portfolio",IFERROR(INDEX(DATA_ASSET_CLASSIFICATION!$U$8:$U$24,MATCH($C3486,DATA_ASSET_CLASSIFICATION!$A$8:$A$24,0)),"Review"))</f>
        <v>Refi Watch</v>
      </c>
      <c r="O3486" s="350" t="str">
        <f ca="1">IF($B3486="Portfolio","Portfolio",IFERROR(INDEX(DATA_ASSET_CLASSIFICATION!$AB$8:$AB$13,MATCH($N3486,DATA_ASSET_CLASSIFICATION!$AA$8:$AA$13,0)),"Review"))</f>
        <v>Bucket 2 · Legacy</v>
      </c>
      <c r="P3486" s="350" t="str">
        <f>IF($B3486="Portfolio","Portfolio",IFERROR(INDEX(DATA_ASSET_CLASSIFICATION!$C$8:$C$24,MATCH($C3486,DATA_ASSET_CLASSIFICATION!$A$8:$A$24,0)),"Review"))</f>
        <v>Yes</v>
      </c>
      <c r="Q3486" s="350" t="str">
        <f t="shared" ca="1" si="109"/>
        <v>OK</v>
      </c>
    </row>
    <row r="3487" spans="1:17">
      <c r="A3487" s="366" t="s">
        <v>5443</v>
      </c>
      <c r="B3487" s="366" t="s">
        <v>231</v>
      </c>
      <c r="C3487" s="348" t="str">
        <f>DATA_PROPERTY_MASTER!$A$16</f>
        <v>BLD_NG</v>
      </c>
      <c r="D3487" s="380">
        <f>'00_PORTFOLIO ROLLUP'!E$12</f>
        <v>2025</v>
      </c>
      <c r="E3487" s="366" t="s">
        <v>1741</v>
      </c>
      <c r="F3487" s="366" t="s">
        <v>41</v>
      </c>
      <c r="G3487" s="348" t="str">
        <f>"'"&amp;$C3487&amp;"'!rows 56 + positive row 63"</f>
        <v>'BLD_NG'!rows 56 + positive row 63</v>
      </c>
      <c r="H3487" s="381">
        <f ca="1">IF(IFERROR(INDEX(DATA_PROPERTY_MASTER!$E$5:$E$21,MATCH($C3487,DATA_PROPERTY_MASTER!$A$5:$A$21,0))="Yes",FALSE),IFERROR(INDEX(INDIRECT("'"&amp;$C3487&amp;"'!$E$56:$Y$56"),1,MATCH($D3487,INDIRECT("'"&amp;$C3487&amp;"'!$E$12:$Y$12"),0)),0)+MAX(IFERROR(INDEX(INDIRECT("'"&amp;$C3487&amp;"'!$E$63:$Y$63"),1,MATCH($D3487,INDIRECT("'"&amp;$C3487&amp;"'!$E$12:$Y$12"),0)),0),0),0)</f>
        <v>-71581.378000000026</v>
      </c>
      <c r="I3487" s="366" t="s">
        <v>1685</v>
      </c>
      <c r="J3487" s="348" t="str">
        <f t="shared" ca="1" si="108"/>
        <v>OK</v>
      </c>
      <c r="K3487" s="366" t="s">
        <v>1742</v>
      </c>
      <c r="L3487" s="366" t="s">
        <v>2262</v>
      </c>
      <c r="M3487" s="350" t="str">
        <f>IF($B3487="Portfolio","Portfolio",IFERROR(INDEX(DATA_ASSET_CLASSIFICATION!$B$8:$B$24,MATCH($C3487,DATA_ASSET_CLASSIFICATION!$A$8:$A$24,0)),"Review"))</f>
        <v>Newton Green</v>
      </c>
      <c r="N3487" s="350" t="str">
        <f ca="1">IF($B3487="Portfolio","Portfolio",IFERROR(INDEX(DATA_ASSET_CLASSIFICATION!$U$8:$U$24,MATCH($C3487,DATA_ASSET_CLASSIFICATION!$A$8:$A$24,0)),"Review"))</f>
        <v>Refi Watch</v>
      </c>
      <c r="O3487" s="350" t="str">
        <f ca="1">IF($B3487="Portfolio","Portfolio",IFERROR(INDEX(DATA_ASSET_CLASSIFICATION!$AB$8:$AB$13,MATCH($N3487,DATA_ASSET_CLASSIFICATION!$AA$8:$AA$13,0)),"Review"))</f>
        <v>Bucket 2 · Legacy</v>
      </c>
      <c r="P3487" s="350" t="str">
        <f>IF($B3487="Portfolio","Portfolio",IFERROR(INDEX(DATA_ASSET_CLASSIFICATION!$C$8:$C$24,MATCH($C3487,DATA_ASSET_CLASSIFICATION!$A$8:$A$24,0)),"Review"))</f>
        <v>Yes</v>
      </c>
      <c r="Q3487" s="350" t="str">
        <f t="shared" ca="1" si="109"/>
        <v>OK</v>
      </c>
    </row>
    <row r="3488" spans="1:17">
      <c r="A3488" s="366" t="s">
        <v>5444</v>
      </c>
      <c r="B3488" s="366" t="s">
        <v>231</v>
      </c>
      <c r="C3488" s="348" t="str">
        <f>DATA_PROPERTY_MASTER!$A$16</f>
        <v>BLD_NG</v>
      </c>
      <c r="D3488" s="380">
        <f>'00_PORTFOLIO ROLLUP'!E$12</f>
        <v>2025</v>
      </c>
      <c r="E3488" s="366" t="s">
        <v>1741</v>
      </c>
      <c r="F3488" s="366" t="s">
        <v>43</v>
      </c>
      <c r="G3488" s="348" t="str">
        <f>"'"&amp;$C3488&amp;"'!$E$68:$Y$68"</f>
        <v>'BLD_NG'!$E$68:$Y$68</v>
      </c>
      <c r="H3488" s="381">
        <f ca="1">IF(IFERROR(INDEX(DATA_PROPERTY_MASTER!$E$5:$E$21,MATCH($C3488,DATA_PROPERTY_MASTER!$A$5:$A$21,0))="Yes",FALSE),IFERROR(INDEX(INDIRECT("'"&amp;$C3488&amp;"'!$E$68:$Y$68"),1,MATCH($D3488,INDIRECT("'"&amp;$C3488&amp;"'!$E$12:$Y$12"),0)),0),0)</f>
        <v>-71581.378000000026</v>
      </c>
      <c r="I3488" s="366" t="s">
        <v>1731</v>
      </c>
      <c r="J3488" s="348" t="str">
        <f t="shared" ca="1" si="108"/>
        <v>OK</v>
      </c>
      <c r="K3488" s="366" t="s">
        <v>1746</v>
      </c>
      <c r="L3488" s="366" t="s">
        <v>2264</v>
      </c>
      <c r="M3488" s="350" t="str">
        <f>IF($B3488="Portfolio","Portfolio",IFERROR(INDEX(DATA_ASSET_CLASSIFICATION!$B$8:$B$24,MATCH($C3488,DATA_ASSET_CLASSIFICATION!$A$8:$A$24,0)),"Review"))</f>
        <v>Newton Green</v>
      </c>
      <c r="N3488" s="350" t="str">
        <f ca="1">IF($B3488="Portfolio","Portfolio",IFERROR(INDEX(DATA_ASSET_CLASSIFICATION!$U$8:$U$24,MATCH($C3488,DATA_ASSET_CLASSIFICATION!$A$8:$A$24,0)),"Review"))</f>
        <v>Refi Watch</v>
      </c>
      <c r="O3488" s="350" t="str">
        <f ca="1">IF($B3488="Portfolio","Portfolio",IFERROR(INDEX(DATA_ASSET_CLASSIFICATION!$AB$8:$AB$13,MATCH($N3488,DATA_ASSET_CLASSIFICATION!$AA$8:$AA$13,0)),"Review"))</f>
        <v>Bucket 2 · Legacy</v>
      </c>
      <c r="P3488" s="350" t="str">
        <f>IF($B3488="Portfolio","Portfolio",IFERROR(INDEX(DATA_ASSET_CLASSIFICATION!$C$8:$C$24,MATCH($C3488,DATA_ASSET_CLASSIFICATION!$A$8:$A$24,0)),"Review"))</f>
        <v>Yes</v>
      </c>
      <c r="Q3488" s="350" t="str">
        <f t="shared" ca="1" si="109"/>
        <v>OK</v>
      </c>
    </row>
    <row r="3489" spans="1:17">
      <c r="A3489" s="366" t="s">
        <v>5445</v>
      </c>
      <c r="B3489" s="366" t="s">
        <v>231</v>
      </c>
      <c r="C3489" s="348" t="str">
        <f>DATA_PROPERTY_MASTER!$A$16</f>
        <v>BLD_NG</v>
      </c>
      <c r="D3489" s="380">
        <f>'00_PORTFOLIO ROLLUP'!E$12</f>
        <v>2025</v>
      </c>
      <c r="E3489" s="366" t="s">
        <v>1741</v>
      </c>
      <c r="F3489" s="366" t="s">
        <v>1749</v>
      </c>
      <c r="G3489" s="348" t="str">
        <f>"'"&amp;$C3489&amp;"'!rows 56, 63, 68"</f>
        <v>'BLD_NG'!rows 56, 63, 68</v>
      </c>
      <c r="H3489" s="381">
        <f ca="1">IF(IFERROR(INDEX(DATA_PROPERTY_MASTER!$E$5:$E$21,MATCH($C3489,DATA_PROPERTY_MASTER!$A$5:$A$21,0))="Yes",FALSE),(IFERROR(INDEX(INDIRECT("'"&amp;$C3489&amp;"'!$E$56:$Y$56"),1,MATCH($D3489,INDIRECT("'"&amp;$C3489&amp;"'!$E$12:$Y$12"),0)),0)+MAX(IFERROR(INDEX(INDIRECT("'"&amp;$C3489&amp;"'!$E$63:$Y$63"),1,MATCH($D3489,INDIRECT("'"&amp;$C3489&amp;"'!$E$12:$Y$12"),0)),0),0))-(IFERROR(INDEX(INDIRECT("'"&amp;$C3489&amp;"'!$E$68:$Y$68"),1,MATCH($D3489,INDIRECT("'"&amp;$C3489&amp;"'!$E$12:$Y$12"),0)),0)),0)</f>
        <v>0</v>
      </c>
      <c r="I3489" s="366" t="s">
        <v>1750</v>
      </c>
      <c r="J3489" s="348" t="str">
        <f t="shared" ca="1" si="108"/>
        <v>OK</v>
      </c>
      <c r="K3489" s="366" t="s">
        <v>1751</v>
      </c>
      <c r="L3489" s="366" t="s">
        <v>2266</v>
      </c>
      <c r="M3489" s="350" t="str">
        <f>IF($B3489="Portfolio","Portfolio",IFERROR(INDEX(DATA_ASSET_CLASSIFICATION!$B$8:$B$24,MATCH($C3489,DATA_ASSET_CLASSIFICATION!$A$8:$A$24,0)),"Review"))</f>
        <v>Newton Green</v>
      </c>
      <c r="N3489" s="350" t="str">
        <f ca="1">IF($B3489="Portfolio","Portfolio",IFERROR(INDEX(DATA_ASSET_CLASSIFICATION!$U$8:$U$24,MATCH($C3489,DATA_ASSET_CLASSIFICATION!$A$8:$A$24,0)),"Review"))</f>
        <v>Refi Watch</v>
      </c>
      <c r="O3489" s="350" t="str">
        <f ca="1">IF($B3489="Portfolio","Portfolio",IFERROR(INDEX(DATA_ASSET_CLASSIFICATION!$AB$8:$AB$13,MATCH($N3489,DATA_ASSET_CLASSIFICATION!$AA$8:$AA$13,0)),"Review"))</f>
        <v>Bucket 2 · Legacy</v>
      </c>
      <c r="P3489" s="350" t="str">
        <f>IF($B3489="Portfolio","Portfolio",IFERROR(INDEX(DATA_ASSET_CLASSIFICATION!$C$8:$C$24,MATCH($C3489,DATA_ASSET_CLASSIFICATION!$A$8:$A$24,0)),"Review"))</f>
        <v>Yes</v>
      </c>
      <c r="Q3489" s="350" t="str">
        <f t="shared" ca="1" si="109"/>
        <v>OK</v>
      </c>
    </row>
    <row r="3490" spans="1:17">
      <c r="A3490" s="366" t="s">
        <v>5446</v>
      </c>
      <c r="B3490" s="366" t="s">
        <v>231</v>
      </c>
      <c r="C3490" s="348" t="str">
        <f>DATA_PROPERTY_MASTER!$A$16</f>
        <v>BLD_NG</v>
      </c>
      <c r="D3490" s="380">
        <f>'00_PORTFOLIO ROLLUP'!F$12</f>
        <v>2026</v>
      </c>
      <c r="E3490" s="366" t="s">
        <v>1683</v>
      </c>
      <c r="F3490" s="366" t="s">
        <v>341</v>
      </c>
      <c r="G3490" s="348" t="str">
        <f>"'"&amp;$C3490&amp;"'!$E$24:$Y$24"</f>
        <v>'BLD_NG'!$E$24:$Y$24</v>
      </c>
      <c r="H3490" s="381">
        <f ca="1">IF(IFERROR(INDEX(DATA_PROPERTY_MASTER!$E$5:$E$21,MATCH($C3490,DATA_PROPERTY_MASTER!$A$5:$A$21,0))="Yes",FALSE),IFERROR(INDEX(INDIRECT("'"&amp;$C3490&amp;"'!$E$24:$Y$24"),1,MATCH($D3490,INDIRECT("'"&amp;$C3490&amp;"'!$E$12:$Y$12"),0)),0),0)</f>
        <v>792410.70888000017</v>
      </c>
      <c r="I3490" s="366" t="s">
        <v>1685</v>
      </c>
      <c r="J3490" s="348" t="str">
        <f t="shared" ca="1" si="108"/>
        <v>OK</v>
      </c>
      <c r="K3490" s="366" t="s">
        <v>1686</v>
      </c>
      <c r="L3490" s="366" t="s">
        <v>2234</v>
      </c>
      <c r="M3490" s="350" t="str">
        <f>IF($B3490="Portfolio","Portfolio",IFERROR(INDEX(DATA_ASSET_CLASSIFICATION!$B$8:$B$24,MATCH($C3490,DATA_ASSET_CLASSIFICATION!$A$8:$A$24,0)),"Review"))</f>
        <v>Newton Green</v>
      </c>
      <c r="N3490" s="350" t="str">
        <f ca="1">IF($B3490="Portfolio","Portfolio",IFERROR(INDEX(DATA_ASSET_CLASSIFICATION!$U$8:$U$24,MATCH($C3490,DATA_ASSET_CLASSIFICATION!$A$8:$A$24,0)),"Review"))</f>
        <v>Refi Watch</v>
      </c>
      <c r="O3490" s="350" t="str">
        <f ca="1">IF($B3490="Portfolio","Portfolio",IFERROR(INDEX(DATA_ASSET_CLASSIFICATION!$AB$8:$AB$13,MATCH($N3490,DATA_ASSET_CLASSIFICATION!$AA$8:$AA$13,0)),"Review"))</f>
        <v>Bucket 2 · Legacy</v>
      </c>
      <c r="P3490" s="350" t="str">
        <f>IF($B3490="Portfolio","Portfolio",IFERROR(INDEX(DATA_ASSET_CLASSIFICATION!$C$8:$C$24,MATCH($C3490,DATA_ASSET_CLASSIFICATION!$A$8:$A$24,0)),"Review"))</f>
        <v>Yes</v>
      </c>
      <c r="Q3490" s="350" t="str">
        <f t="shared" ca="1" si="109"/>
        <v>OK</v>
      </c>
    </row>
    <row r="3491" spans="1:17">
      <c r="A3491" s="366" t="s">
        <v>5447</v>
      </c>
      <c r="B3491" s="366" t="s">
        <v>231</v>
      </c>
      <c r="C3491" s="348" t="str">
        <f>DATA_PROPERTY_MASTER!$A$16</f>
        <v>BLD_NG</v>
      </c>
      <c r="D3491" s="380">
        <f>'00_PORTFOLIO ROLLUP'!F$12</f>
        <v>2026</v>
      </c>
      <c r="E3491" s="366" t="s">
        <v>1683</v>
      </c>
      <c r="F3491" s="366" t="s">
        <v>355</v>
      </c>
      <c r="G3491" s="348" t="str">
        <f>"'"&amp;$C3491&amp;"'!$E$39:$Y$39"</f>
        <v>'BLD_NG'!$E$39:$Y$39</v>
      </c>
      <c r="H3491" s="381">
        <f ca="1">IF(IFERROR(INDEX(DATA_PROPERTY_MASTER!$E$5:$E$21,MATCH($C3491,DATA_PROPERTY_MASTER!$A$5:$A$21,0))="Yes",FALSE),IFERROR(INDEX(INDIRECT("'"&amp;$C3491&amp;"'!$E$39:$Y$39"),1,MATCH($D3491,INDIRECT("'"&amp;$C3491&amp;"'!$E$12:$Y$12"),0)),0),0)</f>
        <v>323264.24</v>
      </c>
      <c r="I3491" s="366" t="s">
        <v>1690</v>
      </c>
      <c r="J3491" s="348" t="str">
        <f t="shared" ca="1" si="108"/>
        <v>OK</v>
      </c>
      <c r="K3491" s="366" t="s">
        <v>1686</v>
      </c>
      <c r="L3491" s="366" t="s">
        <v>2236</v>
      </c>
      <c r="M3491" s="350" t="str">
        <f>IF($B3491="Portfolio","Portfolio",IFERROR(INDEX(DATA_ASSET_CLASSIFICATION!$B$8:$B$24,MATCH($C3491,DATA_ASSET_CLASSIFICATION!$A$8:$A$24,0)),"Review"))</f>
        <v>Newton Green</v>
      </c>
      <c r="N3491" s="350" t="str">
        <f ca="1">IF($B3491="Portfolio","Portfolio",IFERROR(INDEX(DATA_ASSET_CLASSIFICATION!$U$8:$U$24,MATCH($C3491,DATA_ASSET_CLASSIFICATION!$A$8:$A$24,0)),"Review"))</f>
        <v>Refi Watch</v>
      </c>
      <c r="O3491" s="350" t="str">
        <f ca="1">IF($B3491="Portfolio","Portfolio",IFERROR(INDEX(DATA_ASSET_CLASSIFICATION!$AB$8:$AB$13,MATCH($N3491,DATA_ASSET_CLASSIFICATION!$AA$8:$AA$13,0)),"Review"))</f>
        <v>Bucket 2 · Legacy</v>
      </c>
      <c r="P3491" s="350" t="str">
        <f>IF($B3491="Portfolio","Portfolio",IFERROR(INDEX(DATA_ASSET_CLASSIFICATION!$C$8:$C$24,MATCH($C3491,DATA_ASSET_CLASSIFICATION!$A$8:$A$24,0)),"Review"))</f>
        <v>Yes</v>
      </c>
      <c r="Q3491" s="350" t="str">
        <f t="shared" ca="1" si="109"/>
        <v>OK</v>
      </c>
    </row>
    <row r="3492" spans="1:17">
      <c r="A3492" s="366" t="s">
        <v>5448</v>
      </c>
      <c r="B3492" s="366" t="s">
        <v>231</v>
      </c>
      <c r="C3492" s="348" t="str">
        <f>DATA_PROPERTY_MASTER!$A$16</f>
        <v>BLD_NG</v>
      </c>
      <c r="D3492" s="380">
        <f>'00_PORTFOLIO ROLLUP'!F$12</f>
        <v>2026</v>
      </c>
      <c r="E3492" s="366" t="s">
        <v>1683</v>
      </c>
      <c r="F3492" s="366" t="s">
        <v>19</v>
      </c>
      <c r="G3492" s="348" t="str">
        <f>"'"&amp;$C3492&amp;"'!$E$41:$Y$41"</f>
        <v>'BLD_NG'!$E$41:$Y$41</v>
      </c>
      <c r="H3492" s="381">
        <f ca="1">IF(IFERROR(INDEX(DATA_PROPERTY_MASTER!$E$5:$E$21,MATCH($C3492,DATA_PROPERTY_MASTER!$A$5:$A$21,0))="Yes",FALSE),IFERROR(INDEX(INDIRECT("'"&amp;$C3492&amp;"'!$E$41:$Y$41"),1,MATCH($D3492,INDIRECT("'"&amp;$C3492&amp;"'!$E$12:$Y$12"),0)),0),0)</f>
        <v>469146.46888000017</v>
      </c>
      <c r="I3492" s="366" t="s">
        <v>1685</v>
      </c>
      <c r="J3492" s="348" t="str">
        <f t="shared" ca="1" si="108"/>
        <v>OK</v>
      </c>
      <c r="K3492" s="366" t="s">
        <v>1694</v>
      </c>
      <c r="L3492" s="366" t="s">
        <v>2238</v>
      </c>
      <c r="M3492" s="350" t="str">
        <f>IF($B3492="Portfolio","Portfolio",IFERROR(INDEX(DATA_ASSET_CLASSIFICATION!$B$8:$B$24,MATCH($C3492,DATA_ASSET_CLASSIFICATION!$A$8:$A$24,0)),"Review"))</f>
        <v>Newton Green</v>
      </c>
      <c r="N3492" s="350" t="str">
        <f ca="1">IF($B3492="Portfolio","Portfolio",IFERROR(INDEX(DATA_ASSET_CLASSIFICATION!$U$8:$U$24,MATCH($C3492,DATA_ASSET_CLASSIFICATION!$A$8:$A$24,0)),"Review"))</f>
        <v>Refi Watch</v>
      </c>
      <c r="O3492" s="350" t="str">
        <f ca="1">IF($B3492="Portfolio","Portfolio",IFERROR(INDEX(DATA_ASSET_CLASSIFICATION!$AB$8:$AB$13,MATCH($N3492,DATA_ASSET_CLASSIFICATION!$AA$8:$AA$13,0)),"Review"))</f>
        <v>Bucket 2 · Legacy</v>
      </c>
      <c r="P3492" s="350" t="str">
        <f>IF($B3492="Portfolio","Portfolio",IFERROR(INDEX(DATA_ASSET_CLASSIFICATION!$C$8:$C$24,MATCH($C3492,DATA_ASSET_CLASSIFICATION!$A$8:$A$24,0)),"Review"))</f>
        <v>Yes</v>
      </c>
      <c r="Q3492" s="350" t="str">
        <f t="shared" ca="1" si="109"/>
        <v>OK</v>
      </c>
    </row>
    <row r="3493" spans="1:17">
      <c r="A3493" s="366" t="s">
        <v>5449</v>
      </c>
      <c r="B3493" s="366" t="s">
        <v>231</v>
      </c>
      <c r="C3493" s="348" t="str">
        <f>DATA_PROPERTY_MASTER!$A$16</f>
        <v>BLD_NG</v>
      </c>
      <c r="D3493" s="380">
        <f>'00_PORTFOLIO ROLLUP'!F$12</f>
        <v>2026</v>
      </c>
      <c r="E3493" s="366" t="s">
        <v>1683</v>
      </c>
      <c r="F3493" s="366" t="s">
        <v>1697</v>
      </c>
      <c r="G3493" s="348" t="str">
        <f>"'"&amp;$C3493&amp;"'!$E$44:$Y$44"</f>
        <v>'BLD_NG'!$E$44:$Y$44</v>
      </c>
      <c r="H3493" s="381">
        <f ca="1">IF(IFERROR(INDEX(DATA_PROPERTY_MASTER!$E$5:$E$21,MATCH($C3493,DATA_PROPERTY_MASTER!$A$5:$A$21,0))="Yes",FALSE),IFERROR(INDEX(INDIRECT("'"&amp;$C3493&amp;"'!$E$44:$Y$44"),1,MATCH($D3493,INDIRECT("'"&amp;$C3493&amp;"'!$E$12:$Y$12"),0)),0),0)</f>
        <v>7497</v>
      </c>
      <c r="I3493" s="366" t="s">
        <v>1690</v>
      </c>
      <c r="J3493" s="348" t="str">
        <f t="shared" ca="1" si="108"/>
        <v>OK</v>
      </c>
      <c r="K3493" s="366" t="s">
        <v>1699</v>
      </c>
      <c r="L3493" s="366" t="s">
        <v>2240</v>
      </c>
      <c r="M3493" s="350" t="str">
        <f>IF($B3493="Portfolio","Portfolio",IFERROR(INDEX(DATA_ASSET_CLASSIFICATION!$B$8:$B$24,MATCH($C3493,DATA_ASSET_CLASSIFICATION!$A$8:$A$24,0)),"Review"))</f>
        <v>Newton Green</v>
      </c>
      <c r="N3493" s="350" t="str">
        <f ca="1">IF($B3493="Portfolio","Portfolio",IFERROR(INDEX(DATA_ASSET_CLASSIFICATION!$U$8:$U$24,MATCH($C3493,DATA_ASSET_CLASSIFICATION!$A$8:$A$24,0)),"Review"))</f>
        <v>Refi Watch</v>
      </c>
      <c r="O3493" s="350" t="str">
        <f ca="1">IF($B3493="Portfolio","Portfolio",IFERROR(INDEX(DATA_ASSET_CLASSIFICATION!$AB$8:$AB$13,MATCH($N3493,DATA_ASSET_CLASSIFICATION!$AA$8:$AA$13,0)),"Review"))</f>
        <v>Bucket 2 · Legacy</v>
      </c>
      <c r="P3493" s="350" t="str">
        <f>IF($B3493="Portfolio","Portfolio",IFERROR(INDEX(DATA_ASSET_CLASSIFICATION!$C$8:$C$24,MATCH($C3493,DATA_ASSET_CLASSIFICATION!$A$8:$A$24,0)),"Review"))</f>
        <v>Yes</v>
      </c>
      <c r="Q3493" s="350" t="str">
        <f t="shared" ca="1" si="109"/>
        <v>OK</v>
      </c>
    </row>
    <row r="3494" spans="1:17">
      <c r="A3494" s="366" t="s">
        <v>5450</v>
      </c>
      <c r="B3494" s="366" t="s">
        <v>231</v>
      </c>
      <c r="C3494" s="348" t="str">
        <f>DATA_PROPERTY_MASTER!$A$16</f>
        <v>BLD_NG</v>
      </c>
      <c r="D3494" s="380">
        <f>'00_PORTFOLIO ROLLUP'!F$12</f>
        <v>2026</v>
      </c>
      <c r="E3494" s="366" t="s">
        <v>1683</v>
      </c>
      <c r="F3494" s="366" t="s">
        <v>21</v>
      </c>
      <c r="G3494" s="348" t="str">
        <f>"'"&amp;$C3494&amp;"'!$E$45:$Y$45"</f>
        <v>'BLD_NG'!$E$45:$Y$45</v>
      </c>
      <c r="H3494" s="381">
        <f ca="1">IF(IFERROR(INDEX(DATA_PROPERTY_MASTER!$E$5:$E$21,MATCH($C3494,DATA_PROPERTY_MASTER!$A$5:$A$21,0))="Yes",FALSE),IFERROR(INDEX(INDIRECT("'"&amp;$C3494&amp;"'!$E$45:$Y$45"),1,MATCH($D3494,INDIRECT("'"&amp;$C3494&amp;"'!$E$12:$Y$12"),0)),0),0)</f>
        <v>461649.46888000017</v>
      </c>
      <c r="I3494" s="366" t="s">
        <v>1685</v>
      </c>
      <c r="J3494" s="348" t="str">
        <f t="shared" ca="1" si="108"/>
        <v>OK</v>
      </c>
      <c r="K3494" s="366" t="s">
        <v>1694</v>
      </c>
      <c r="L3494" s="366" t="s">
        <v>2242</v>
      </c>
      <c r="M3494" s="350" t="str">
        <f>IF($B3494="Portfolio","Portfolio",IFERROR(INDEX(DATA_ASSET_CLASSIFICATION!$B$8:$B$24,MATCH($C3494,DATA_ASSET_CLASSIFICATION!$A$8:$A$24,0)),"Review"))</f>
        <v>Newton Green</v>
      </c>
      <c r="N3494" s="350" t="str">
        <f ca="1">IF($B3494="Portfolio","Portfolio",IFERROR(INDEX(DATA_ASSET_CLASSIFICATION!$U$8:$U$24,MATCH($C3494,DATA_ASSET_CLASSIFICATION!$A$8:$A$24,0)),"Review"))</f>
        <v>Refi Watch</v>
      </c>
      <c r="O3494" s="350" t="str">
        <f ca="1">IF($B3494="Portfolio","Portfolio",IFERROR(INDEX(DATA_ASSET_CLASSIFICATION!$AB$8:$AB$13,MATCH($N3494,DATA_ASSET_CLASSIFICATION!$AA$8:$AA$13,0)),"Review"))</f>
        <v>Bucket 2 · Legacy</v>
      </c>
      <c r="P3494" s="350" t="str">
        <f>IF($B3494="Portfolio","Portfolio",IFERROR(INDEX(DATA_ASSET_CLASSIFICATION!$C$8:$C$24,MATCH($C3494,DATA_ASSET_CLASSIFICATION!$A$8:$A$24,0)),"Review"))</f>
        <v>Yes</v>
      </c>
      <c r="Q3494" s="350" t="str">
        <f t="shared" ca="1" si="109"/>
        <v>OK</v>
      </c>
    </row>
    <row r="3495" spans="1:17">
      <c r="A3495" s="366" t="s">
        <v>5451</v>
      </c>
      <c r="B3495" s="366" t="s">
        <v>231</v>
      </c>
      <c r="C3495" s="348" t="str">
        <f>DATA_PROPERTY_MASTER!$A$16</f>
        <v>BLD_NG</v>
      </c>
      <c r="D3495" s="380">
        <f>'00_PORTFOLIO ROLLUP'!F$12</f>
        <v>2026</v>
      </c>
      <c r="E3495" s="366" t="s">
        <v>23</v>
      </c>
      <c r="F3495" s="366" t="s">
        <v>23</v>
      </c>
      <c r="G3495" s="348" t="str">
        <f>"'"&amp;$C3495&amp;"'!$E$48:$Y$48"</f>
        <v>'BLD_NG'!$E$48:$Y$48</v>
      </c>
      <c r="H3495" s="381">
        <f ca="1">IF(IFERROR(INDEX(DATA_PROPERTY_MASTER!$E$5:$E$21,MATCH($C3495,DATA_PROPERTY_MASTER!$A$5:$A$21,0))="Yes",FALSE),IFERROR(INDEX(INDIRECT("'"&amp;$C3495&amp;"'!$E$48:$Y$48"),1,MATCH($D3495,INDIRECT("'"&amp;$C3495&amp;"'!$E$12:$Y$12"),0)),0),0)</f>
        <v>443187</v>
      </c>
      <c r="I3495" s="366" t="s">
        <v>1690</v>
      </c>
      <c r="J3495" s="348" t="str">
        <f t="shared" ca="1" si="108"/>
        <v>OK</v>
      </c>
      <c r="K3495" s="366" t="s">
        <v>1706</v>
      </c>
      <c r="L3495" s="366" t="s">
        <v>2244</v>
      </c>
      <c r="M3495" s="350" t="str">
        <f>IF($B3495="Portfolio","Portfolio",IFERROR(INDEX(DATA_ASSET_CLASSIFICATION!$B$8:$B$24,MATCH($C3495,DATA_ASSET_CLASSIFICATION!$A$8:$A$24,0)),"Review"))</f>
        <v>Newton Green</v>
      </c>
      <c r="N3495" s="350" t="str">
        <f ca="1">IF($B3495="Portfolio","Portfolio",IFERROR(INDEX(DATA_ASSET_CLASSIFICATION!$U$8:$U$24,MATCH($C3495,DATA_ASSET_CLASSIFICATION!$A$8:$A$24,0)),"Review"))</f>
        <v>Refi Watch</v>
      </c>
      <c r="O3495" s="350" t="str">
        <f ca="1">IF($B3495="Portfolio","Portfolio",IFERROR(INDEX(DATA_ASSET_CLASSIFICATION!$AB$8:$AB$13,MATCH($N3495,DATA_ASSET_CLASSIFICATION!$AA$8:$AA$13,0)),"Review"))</f>
        <v>Bucket 2 · Legacy</v>
      </c>
      <c r="P3495" s="350" t="str">
        <f>IF($B3495="Portfolio","Portfolio",IFERROR(INDEX(DATA_ASSET_CLASSIFICATION!$C$8:$C$24,MATCH($C3495,DATA_ASSET_CLASSIFICATION!$A$8:$A$24,0)),"Review"))</f>
        <v>Yes</v>
      </c>
      <c r="Q3495" s="350" t="str">
        <f t="shared" ca="1" si="109"/>
        <v>OK</v>
      </c>
    </row>
    <row r="3496" spans="1:17">
      <c r="A3496" s="366" t="s">
        <v>5452</v>
      </c>
      <c r="B3496" s="366" t="s">
        <v>231</v>
      </c>
      <c r="C3496" s="348" t="str">
        <f>DATA_PROPERTY_MASTER!$A$16</f>
        <v>BLD_NG</v>
      </c>
      <c r="D3496" s="380">
        <f>'00_PORTFOLIO ROLLUP'!F$12</f>
        <v>2026</v>
      </c>
      <c r="E3496" s="366" t="s">
        <v>1683</v>
      </c>
      <c r="F3496" s="366" t="s">
        <v>25</v>
      </c>
      <c r="G3496" s="348" t="str">
        <f>"'"&amp;$C3496&amp;"'!$E$52:$Y$52"</f>
        <v>'BLD_NG'!$E$52:$Y$52</v>
      </c>
      <c r="H3496" s="381">
        <f ca="1">IF(IFERROR(INDEX(DATA_PROPERTY_MASTER!$E$5:$E$21,MATCH($C3496,DATA_PROPERTY_MASTER!$A$5:$A$21,0))="Yes",FALSE),IFERROR(INDEX(INDIRECT("'"&amp;$C3496&amp;"'!$E$52:$Y$52"),1,MATCH($D3496,INDIRECT("'"&amp;$C3496&amp;"'!$E$12:$Y$12"),0)),0),0)</f>
        <v>25959.468880000175</v>
      </c>
      <c r="I3496" s="366" t="s">
        <v>1685</v>
      </c>
      <c r="J3496" s="348" t="str">
        <f t="shared" ca="1" si="108"/>
        <v>OK</v>
      </c>
      <c r="K3496" s="366" t="s">
        <v>1710</v>
      </c>
      <c r="L3496" s="366" t="s">
        <v>2246</v>
      </c>
      <c r="M3496" s="350" t="str">
        <f>IF($B3496="Portfolio","Portfolio",IFERROR(INDEX(DATA_ASSET_CLASSIFICATION!$B$8:$B$24,MATCH($C3496,DATA_ASSET_CLASSIFICATION!$A$8:$A$24,0)),"Review"))</f>
        <v>Newton Green</v>
      </c>
      <c r="N3496" s="350" t="str">
        <f ca="1">IF($B3496="Portfolio","Portfolio",IFERROR(INDEX(DATA_ASSET_CLASSIFICATION!$U$8:$U$24,MATCH($C3496,DATA_ASSET_CLASSIFICATION!$A$8:$A$24,0)),"Review"))</f>
        <v>Refi Watch</v>
      </c>
      <c r="O3496" s="350" t="str">
        <f ca="1">IF($B3496="Portfolio","Portfolio",IFERROR(INDEX(DATA_ASSET_CLASSIFICATION!$AB$8:$AB$13,MATCH($N3496,DATA_ASSET_CLASSIFICATION!$AA$8:$AA$13,0)),"Review"))</f>
        <v>Bucket 2 · Legacy</v>
      </c>
      <c r="P3496" s="350" t="str">
        <f>IF($B3496="Portfolio","Portfolio",IFERROR(INDEX(DATA_ASSET_CLASSIFICATION!$C$8:$C$24,MATCH($C3496,DATA_ASSET_CLASSIFICATION!$A$8:$A$24,0)),"Review"))</f>
        <v>Yes</v>
      </c>
      <c r="Q3496" s="350" t="str">
        <f t="shared" ca="1" si="109"/>
        <v>OK</v>
      </c>
    </row>
    <row r="3497" spans="1:17">
      <c r="A3497" s="366" t="s">
        <v>5453</v>
      </c>
      <c r="B3497" s="366" t="s">
        <v>231</v>
      </c>
      <c r="C3497" s="348" t="str">
        <f>DATA_PROPERTY_MASTER!$A$16</f>
        <v>BLD_NG</v>
      </c>
      <c r="D3497" s="380">
        <f>'00_PORTFOLIO ROLLUP'!F$12</f>
        <v>2026</v>
      </c>
      <c r="E3497" s="366" t="s">
        <v>1683</v>
      </c>
      <c r="F3497" s="366" t="s">
        <v>27</v>
      </c>
      <c r="G3497" s="348" t="str">
        <f>"'"&amp;$C3497&amp;"'!$E$54:$Y$54"</f>
        <v>'BLD_NG'!$E$54:$Y$54</v>
      </c>
      <c r="H3497" s="381">
        <f ca="1">IF(IFERROR(INDEX(DATA_PROPERTY_MASTER!$E$5:$E$21,MATCH($C3497,DATA_PROPERTY_MASTER!$A$5:$A$21,0))="Yes",FALSE),IFERROR(INDEX(INDIRECT("'"&amp;$C3497&amp;"'!$E$54:$Y$54"),1,MATCH($D3497,INDIRECT("'"&amp;$C3497&amp;"'!$E$12:$Y$12"),0)),0),0)</f>
        <v>15575.681328000104</v>
      </c>
      <c r="I3497" s="366" t="s">
        <v>1690</v>
      </c>
      <c r="J3497" s="348" t="str">
        <f t="shared" ca="1" si="108"/>
        <v>OK</v>
      </c>
      <c r="K3497" s="366" t="s">
        <v>1714</v>
      </c>
      <c r="L3497" s="366" t="s">
        <v>2248</v>
      </c>
      <c r="M3497" s="350" t="str">
        <f>IF($B3497="Portfolio","Portfolio",IFERROR(INDEX(DATA_ASSET_CLASSIFICATION!$B$8:$B$24,MATCH($C3497,DATA_ASSET_CLASSIFICATION!$A$8:$A$24,0)),"Review"))</f>
        <v>Newton Green</v>
      </c>
      <c r="N3497" s="350" t="str">
        <f ca="1">IF($B3497="Portfolio","Portfolio",IFERROR(INDEX(DATA_ASSET_CLASSIFICATION!$U$8:$U$24,MATCH($C3497,DATA_ASSET_CLASSIFICATION!$A$8:$A$24,0)),"Review"))</f>
        <v>Refi Watch</v>
      </c>
      <c r="O3497" s="350" t="str">
        <f ca="1">IF($B3497="Portfolio","Portfolio",IFERROR(INDEX(DATA_ASSET_CLASSIFICATION!$AB$8:$AB$13,MATCH($N3497,DATA_ASSET_CLASSIFICATION!$AA$8:$AA$13,0)),"Review"))</f>
        <v>Bucket 2 · Legacy</v>
      </c>
      <c r="P3497" s="350" t="str">
        <f>IF($B3497="Portfolio","Portfolio",IFERROR(INDEX(DATA_ASSET_CLASSIFICATION!$C$8:$C$24,MATCH($C3497,DATA_ASSET_CLASSIFICATION!$A$8:$A$24,0)),"Review"))</f>
        <v>Yes</v>
      </c>
      <c r="Q3497" s="350" t="str">
        <f t="shared" ca="1" si="109"/>
        <v>OK</v>
      </c>
    </row>
    <row r="3498" spans="1:17">
      <c r="A3498" s="366" t="s">
        <v>5454</v>
      </c>
      <c r="B3498" s="366" t="s">
        <v>231</v>
      </c>
      <c r="C3498" s="348" t="str">
        <f>DATA_PROPERTY_MASTER!$A$16</f>
        <v>BLD_NG</v>
      </c>
      <c r="D3498" s="380">
        <f>'00_PORTFOLIO ROLLUP'!F$12</f>
        <v>2026</v>
      </c>
      <c r="E3498" s="366" t="s">
        <v>1683</v>
      </c>
      <c r="F3498" s="366" t="s">
        <v>29</v>
      </c>
      <c r="G3498" s="348" t="str">
        <f>"'"&amp;$C3498&amp;"'!$E$56:$Y$56"</f>
        <v>'BLD_NG'!$E$56:$Y$56</v>
      </c>
      <c r="H3498" s="381">
        <f ca="1">IF(IFERROR(INDEX(DATA_PROPERTY_MASTER!$E$5:$E$21,MATCH($C3498,DATA_PROPERTY_MASTER!$A$5:$A$21,0))="Yes",FALSE),IFERROR(INDEX(INDIRECT("'"&amp;$C3498&amp;"'!$E$56:$Y$56"),1,MATCH($D3498,INDIRECT("'"&amp;$C3498&amp;"'!$E$12:$Y$12"),0)),0),0)</f>
        <v>10383.787552000071</v>
      </c>
      <c r="I3498" s="366" t="s">
        <v>1685</v>
      </c>
      <c r="J3498" s="348" t="str">
        <f t="shared" ca="1" si="108"/>
        <v>OK</v>
      </c>
      <c r="K3498" s="366" t="s">
        <v>1718</v>
      </c>
      <c r="L3498" s="366" t="s">
        <v>2250</v>
      </c>
      <c r="M3498" s="350" t="str">
        <f>IF($B3498="Portfolio","Portfolio",IFERROR(INDEX(DATA_ASSET_CLASSIFICATION!$B$8:$B$24,MATCH($C3498,DATA_ASSET_CLASSIFICATION!$A$8:$A$24,0)),"Review"))</f>
        <v>Newton Green</v>
      </c>
      <c r="N3498" s="350" t="str">
        <f ca="1">IF($B3498="Portfolio","Portfolio",IFERROR(INDEX(DATA_ASSET_CLASSIFICATION!$U$8:$U$24,MATCH($C3498,DATA_ASSET_CLASSIFICATION!$A$8:$A$24,0)),"Review"))</f>
        <v>Refi Watch</v>
      </c>
      <c r="O3498" s="350" t="str">
        <f ca="1">IF($B3498="Portfolio","Portfolio",IFERROR(INDEX(DATA_ASSET_CLASSIFICATION!$AB$8:$AB$13,MATCH($N3498,DATA_ASSET_CLASSIFICATION!$AA$8:$AA$13,0)),"Review"))</f>
        <v>Bucket 2 · Legacy</v>
      </c>
      <c r="P3498" s="350" t="str">
        <f>IF($B3498="Portfolio","Portfolio",IFERROR(INDEX(DATA_ASSET_CLASSIFICATION!$C$8:$C$24,MATCH($C3498,DATA_ASSET_CLASSIFICATION!$A$8:$A$24,0)),"Review"))</f>
        <v>Yes</v>
      </c>
      <c r="Q3498" s="350" t="str">
        <f t="shared" ca="1" si="109"/>
        <v>OK</v>
      </c>
    </row>
    <row r="3499" spans="1:17">
      <c r="A3499" s="366" t="s">
        <v>5455</v>
      </c>
      <c r="B3499" s="366" t="s">
        <v>231</v>
      </c>
      <c r="C3499" s="348" t="str">
        <f>DATA_PROPERTY_MASTER!$A$16</f>
        <v>BLD_NG</v>
      </c>
      <c r="D3499" s="380">
        <f>'00_PORTFOLIO ROLLUP'!F$12</f>
        <v>2026</v>
      </c>
      <c r="E3499" s="366" t="s">
        <v>1721</v>
      </c>
      <c r="F3499" s="366" t="s">
        <v>31</v>
      </c>
      <c r="G3499" s="348" t="str">
        <f>"'"&amp;$C3499&amp;"'!$E$61:$Y$61"</f>
        <v>'BLD_NG'!$E$61:$Y$61</v>
      </c>
      <c r="H3499" s="381">
        <f ca="1">IF(IFERROR(INDEX(DATA_PROPERTY_MASTER!$E$5:$E$21,MATCH($C3499,DATA_PROPERTY_MASTER!$A$5:$A$21,0))="Yes",FALSE),IFERROR(INDEX(INDIRECT("'"&amp;$C3499&amp;"'!$E$61:$Y$61"),1,MATCH($D3499,INDIRECT("'"&amp;$C3499&amp;"'!$E$12:$Y$12"),0)),0),0)</f>
        <v>0</v>
      </c>
      <c r="I3499" s="366" t="s">
        <v>1690</v>
      </c>
      <c r="J3499" s="348" t="str">
        <f t="shared" ca="1" si="108"/>
        <v>OK</v>
      </c>
      <c r="K3499" s="366" t="s">
        <v>1723</v>
      </c>
      <c r="L3499" s="366" t="s">
        <v>2252</v>
      </c>
      <c r="M3499" s="350" t="str">
        <f>IF($B3499="Portfolio","Portfolio",IFERROR(INDEX(DATA_ASSET_CLASSIFICATION!$B$8:$B$24,MATCH($C3499,DATA_ASSET_CLASSIFICATION!$A$8:$A$24,0)),"Review"))</f>
        <v>Newton Green</v>
      </c>
      <c r="N3499" s="350" t="str">
        <f ca="1">IF($B3499="Portfolio","Portfolio",IFERROR(INDEX(DATA_ASSET_CLASSIFICATION!$U$8:$U$24,MATCH($C3499,DATA_ASSET_CLASSIFICATION!$A$8:$A$24,0)),"Review"))</f>
        <v>Refi Watch</v>
      </c>
      <c r="O3499" s="350" t="str">
        <f ca="1">IF($B3499="Portfolio","Portfolio",IFERROR(INDEX(DATA_ASSET_CLASSIFICATION!$AB$8:$AB$13,MATCH($N3499,DATA_ASSET_CLASSIFICATION!$AA$8:$AA$13,0)),"Review"))</f>
        <v>Bucket 2 · Legacy</v>
      </c>
      <c r="P3499" s="350" t="str">
        <f>IF($B3499="Portfolio","Portfolio",IFERROR(INDEX(DATA_ASSET_CLASSIFICATION!$C$8:$C$24,MATCH($C3499,DATA_ASSET_CLASSIFICATION!$A$8:$A$24,0)),"Review"))</f>
        <v>Yes</v>
      </c>
      <c r="Q3499" s="350" t="str">
        <f t="shared" ca="1" si="109"/>
        <v>OK</v>
      </c>
    </row>
    <row r="3500" spans="1:17">
      <c r="A3500" s="366" t="s">
        <v>5456</v>
      </c>
      <c r="B3500" s="366" t="s">
        <v>231</v>
      </c>
      <c r="C3500" s="348" t="str">
        <f>DATA_PROPERTY_MASTER!$A$16</f>
        <v>BLD_NG</v>
      </c>
      <c r="D3500" s="380">
        <f>'00_PORTFOLIO ROLLUP'!F$12</f>
        <v>2026</v>
      </c>
      <c r="E3500" s="366" t="s">
        <v>1721</v>
      </c>
      <c r="F3500" s="366" t="s">
        <v>33</v>
      </c>
      <c r="G3500" s="348" t="str">
        <f>"'"&amp;$C3500&amp;"'!$E$62:$Y$62"</f>
        <v>'BLD_NG'!$E$62:$Y$62</v>
      </c>
      <c r="H3500" s="381">
        <f ca="1">IF(IFERROR(INDEX(DATA_PROPERTY_MASTER!$E$5:$E$21,MATCH($C3500,DATA_PROPERTY_MASTER!$A$5:$A$21,0))="Yes",FALSE),IFERROR(INDEX(INDIRECT("'"&amp;$C3500&amp;"'!$E$62:$Y$62"),1,MATCH($D3500,INDIRECT("'"&amp;$C3500&amp;"'!$E$12:$Y$12"),0)),0),0)</f>
        <v>0</v>
      </c>
      <c r="I3500" s="366" t="s">
        <v>1685</v>
      </c>
      <c r="J3500" s="348" t="str">
        <f t="shared" ca="1" si="108"/>
        <v>OK</v>
      </c>
      <c r="K3500" s="366" t="s">
        <v>1727</v>
      </c>
      <c r="L3500" s="366" t="s">
        <v>2254</v>
      </c>
      <c r="M3500" s="350" t="str">
        <f>IF($B3500="Portfolio","Portfolio",IFERROR(INDEX(DATA_ASSET_CLASSIFICATION!$B$8:$B$24,MATCH($C3500,DATA_ASSET_CLASSIFICATION!$A$8:$A$24,0)),"Review"))</f>
        <v>Newton Green</v>
      </c>
      <c r="N3500" s="350" t="str">
        <f ca="1">IF($B3500="Portfolio","Portfolio",IFERROR(INDEX(DATA_ASSET_CLASSIFICATION!$U$8:$U$24,MATCH($C3500,DATA_ASSET_CLASSIFICATION!$A$8:$A$24,0)),"Review"))</f>
        <v>Refi Watch</v>
      </c>
      <c r="O3500" s="350" t="str">
        <f ca="1">IF($B3500="Portfolio","Portfolio",IFERROR(INDEX(DATA_ASSET_CLASSIFICATION!$AB$8:$AB$13,MATCH($N3500,DATA_ASSET_CLASSIFICATION!$AA$8:$AA$13,0)),"Review"))</f>
        <v>Bucket 2 · Legacy</v>
      </c>
      <c r="P3500" s="350" t="str">
        <f>IF($B3500="Portfolio","Portfolio",IFERROR(INDEX(DATA_ASSET_CLASSIFICATION!$C$8:$C$24,MATCH($C3500,DATA_ASSET_CLASSIFICATION!$A$8:$A$24,0)),"Review"))</f>
        <v>Yes</v>
      </c>
      <c r="Q3500" s="350" t="str">
        <f t="shared" ca="1" si="109"/>
        <v>OK</v>
      </c>
    </row>
    <row r="3501" spans="1:17">
      <c r="A3501" s="366" t="s">
        <v>5457</v>
      </c>
      <c r="B3501" s="366" t="s">
        <v>231</v>
      </c>
      <c r="C3501" s="348" t="str">
        <f>DATA_PROPERTY_MASTER!$A$16</f>
        <v>BLD_NG</v>
      </c>
      <c r="D3501" s="380">
        <f>'00_PORTFOLIO ROLLUP'!F$12</f>
        <v>2026</v>
      </c>
      <c r="E3501" s="366" t="s">
        <v>1721</v>
      </c>
      <c r="F3501" s="366" t="s">
        <v>35</v>
      </c>
      <c r="G3501" s="348" t="str">
        <f>"'"&amp;$C3501&amp;"'!$E$63:$Y$63"</f>
        <v>'BLD_NG'!$E$63:$Y$63</v>
      </c>
      <c r="H3501" s="381">
        <f ca="1">IF(IFERROR(INDEX(DATA_PROPERTY_MASTER!$E$5:$E$21,MATCH($C3501,DATA_PROPERTY_MASTER!$A$5:$A$21,0))="Yes",FALSE),IFERROR(INDEX(INDIRECT("'"&amp;$C3501&amp;"'!$E$63:$Y$63"),1,MATCH($D3501,INDIRECT("'"&amp;$C3501&amp;"'!$E$12:$Y$12"),0)),0),0)</f>
        <v>0</v>
      </c>
      <c r="I3501" s="366" t="s">
        <v>1731</v>
      </c>
      <c r="J3501" s="348" t="str">
        <f t="shared" ca="1" si="108"/>
        <v>OK</v>
      </c>
      <c r="K3501" s="366" t="s">
        <v>1732</v>
      </c>
      <c r="L3501" s="366" t="s">
        <v>2256</v>
      </c>
      <c r="M3501" s="350" t="str">
        <f>IF($B3501="Portfolio","Portfolio",IFERROR(INDEX(DATA_ASSET_CLASSIFICATION!$B$8:$B$24,MATCH($C3501,DATA_ASSET_CLASSIFICATION!$A$8:$A$24,0)),"Review"))</f>
        <v>Newton Green</v>
      </c>
      <c r="N3501" s="350" t="str">
        <f ca="1">IF($B3501="Portfolio","Portfolio",IFERROR(INDEX(DATA_ASSET_CLASSIFICATION!$U$8:$U$24,MATCH($C3501,DATA_ASSET_CLASSIFICATION!$A$8:$A$24,0)),"Review"))</f>
        <v>Refi Watch</v>
      </c>
      <c r="O3501" s="350" t="str">
        <f ca="1">IF($B3501="Portfolio","Portfolio",IFERROR(INDEX(DATA_ASSET_CLASSIFICATION!$AB$8:$AB$13,MATCH($N3501,DATA_ASSET_CLASSIFICATION!$AA$8:$AA$13,0)),"Review"))</f>
        <v>Bucket 2 · Legacy</v>
      </c>
      <c r="P3501" s="350" t="str">
        <f>IF($B3501="Portfolio","Portfolio",IFERROR(INDEX(DATA_ASSET_CLASSIFICATION!$C$8:$C$24,MATCH($C3501,DATA_ASSET_CLASSIFICATION!$A$8:$A$24,0)),"Review"))</f>
        <v>Yes</v>
      </c>
      <c r="Q3501" s="350" t="str">
        <f t="shared" ca="1" si="109"/>
        <v>OK</v>
      </c>
    </row>
    <row r="3502" spans="1:17">
      <c r="A3502" s="366" t="s">
        <v>5458</v>
      </c>
      <c r="B3502" s="366" t="s">
        <v>231</v>
      </c>
      <c r="C3502" s="348" t="str">
        <f>DATA_PROPERTY_MASTER!$A$16</f>
        <v>BLD_NG</v>
      </c>
      <c r="D3502" s="380">
        <f>'00_PORTFOLIO ROLLUP'!F$12</f>
        <v>2026</v>
      </c>
      <c r="E3502" s="366" t="s">
        <v>1721</v>
      </c>
      <c r="F3502" s="366" t="s">
        <v>37</v>
      </c>
      <c r="G3502" s="348" t="str">
        <f>"'"&amp;$C3502&amp;"'!$E$63:$Y$63"</f>
        <v>'BLD_NG'!$E$63:$Y$63</v>
      </c>
      <c r="H3502" s="381">
        <f ca="1">IF(IFERROR(INDEX(DATA_PROPERTY_MASTER!$E$5:$E$21,MATCH($C3502,DATA_PROPERTY_MASTER!$A$5:$A$21,0))="Yes",FALSE),MAX(IFERROR(INDEX(INDIRECT("'"&amp;$C3502&amp;"'!$E$63:$Y$63"),1,MATCH($D3502,INDIRECT("'"&amp;$C3502&amp;"'!$E$12:$Y$12"),0)),0),0),0)</f>
        <v>0</v>
      </c>
      <c r="I3502" s="366" t="s">
        <v>1685</v>
      </c>
      <c r="J3502" s="348" t="str">
        <f t="shared" ca="1" si="108"/>
        <v>OK</v>
      </c>
      <c r="K3502" s="366" t="s">
        <v>1735</v>
      </c>
      <c r="L3502" s="366" t="s">
        <v>2258</v>
      </c>
      <c r="M3502" s="350" t="str">
        <f>IF($B3502="Portfolio","Portfolio",IFERROR(INDEX(DATA_ASSET_CLASSIFICATION!$B$8:$B$24,MATCH($C3502,DATA_ASSET_CLASSIFICATION!$A$8:$A$24,0)),"Review"))</f>
        <v>Newton Green</v>
      </c>
      <c r="N3502" s="350" t="str">
        <f ca="1">IF($B3502="Portfolio","Portfolio",IFERROR(INDEX(DATA_ASSET_CLASSIFICATION!$U$8:$U$24,MATCH($C3502,DATA_ASSET_CLASSIFICATION!$A$8:$A$24,0)),"Review"))</f>
        <v>Refi Watch</v>
      </c>
      <c r="O3502" s="350" t="str">
        <f ca="1">IF($B3502="Portfolio","Portfolio",IFERROR(INDEX(DATA_ASSET_CLASSIFICATION!$AB$8:$AB$13,MATCH($N3502,DATA_ASSET_CLASSIFICATION!$AA$8:$AA$13,0)),"Review"))</f>
        <v>Bucket 2 · Legacy</v>
      </c>
      <c r="P3502" s="350" t="str">
        <f>IF($B3502="Portfolio","Portfolio",IFERROR(INDEX(DATA_ASSET_CLASSIFICATION!$C$8:$C$24,MATCH($C3502,DATA_ASSET_CLASSIFICATION!$A$8:$A$24,0)),"Review"))</f>
        <v>Yes</v>
      </c>
      <c r="Q3502" s="350" t="str">
        <f t="shared" ca="1" si="109"/>
        <v>OK</v>
      </c>
    </row>
    <row r="3503" spans="1:17">
      <c r="A3503" s="366" t="s">
        <v>5459</v>
      </c>
      <c r="B3503" s="366" t="s">
        <v>231</v>
      </c>
      <c r="C3503" s="348" t="str">
        <f>DATA_PROPERTY_MASTER!$A$16</f>
        <v>BLD_NG</v>
      </c>
      <c r="D3503" s="380">
        <f>'00_PORTFOLIO ROLLUP'!F$12</f>
        <v>2026</v>
      </c>
      <c r="E3503" s="366" t="s">
        <v>1721</v>
      </c>
      <c r="F3503" s="366" t="s">
        <v>39</v>
      </c>
      <c r="G3503" s="348" t="str">
        <f>"'"&amp;$C3503&amp;"'!$E$63:$Y$63"</f>
        <v>'BLD_NG'!$E$63:$Y$63</v>
      </c>
      <c r="H3503" s="381">
        <f ca="1">IF(IFERROR(INDEX(DATA_PROPERTY_MASTER!$E$5:$E$21,MATCH($C3503,DATA_PROPERTY_MASTER!$A$5:$A$21,0))="Yes",FALSE),MAX(-IFERROR(INDEX(INDIRECT("'"&amp;$C3503&amp;"'!$E$63:$Y$63"),1,MATCH($D3503,INDIRECT("'"&amp;$C3503&amp;"'!$E$12:$Y$12"),0)),0),0),0)</f>
        <v>0</v>
      </c>
      <c r="I3503" s="366" t="s">
        <v>1690</v>
      </c>
      <c r="J3503" s="348" t="str">
        <f t="shared" ca="1" si="108"/>
        <v>OK</v>
      </c>
      <c r="K3503" s="366" t="s">
        <v>1738</v>
      </c>
      <c r="L3503" s="366" t="s">
        <v>2260</v>
      </c>
      <c r="M3503" s="350" t="str">
        <f>IF($B3503="Portfolio","Portfolio",IFERROR(INDEX(DATA_ASSET_CLASSIFICATION!$B$8:$B$24,MATCH($C3503,DATA_ASSET_CLASSIFICATION!$A$8:$A$24,0)),"Review"))</f>
        <v>Newton Green</v>
      </c>
      <c r="N3503" s="350" t="str">
        <f ca="1">IF($B3503="Portfolio","Portfolio",IFERROR(INDEX(DATA_ASSET_CLASSIFICATION!$U$8:$U$24,MATCH($C3503,DATA_ASSET_CLASSIFICATION!$A$8:$A$24,0)),"Review"))</f>
        <v>Refi Watch</v>
      </c>
      <c r="O3503" s="350" t="str">
        <f ca="1">IF($B3503="Portfolio","Portfolio",IFERROR(INDEX(DATA_ASSET_CLASSIFICATION!$AB$8:$AB$13,MATCH($N3503,DATA_ASSET_CLASSIFICATION!$AA$8:$AA$13,0)),"Review"))</f>
        <v>Bucket 2 · Legacy</v>
      </c>
      <c r="P3503" s="350" t="str">
        <f>IF($B3503="Portfolio","Portfolio",IFERROR(INDEX(DATA_ASSET_CLASSIFICATION!$C$8:$C$24,MATCH($C3503,DATA_ASSET_CLASSIFICATION!$A$8:$A$24,0)),"Review"))</f>
        <v>Yes</v>
      </c>
      <c r="Q3503" s="350" t="str">
        <f t="shared" ca="1" si="109"/>
        <v>OK</v>
      </c>
    </row>
    <row r="3504" spans="1:17">
      <c r="A3504" s="366" t="s">
        <v>5460</v>
      </c>
      <c r="B3504" s="366" t="s">
        <v>231</v>
      </c>
      <c r="C3504" s="348" t="str">
        <f>DATA_PROPERTY_MASTER!$A$16</f>
        <v>BLD_NG</v>
      </c>
      <c r="D3504" s="380">
        <f>'00_PORTFOLIO ROLLUP'!F$12</f>
        <v>2026</v>
      </c>
      <c r="E3504" s="366" t="s">
        <v>1741</v>
      </c>
      <c r="F3504" s="366" t="s">
        <v>41</v>
      </c>
      <c r="G3504" s="348" t="str">
        <f>"'"&amp;$C3504&amp;"'!rows 56 + positive row 63"</f>
        <v>'BLD_NG'!rows 56 + positive row 63</v>
      </c>
      <c r="H3504" s="381">
        <f ca="1">IF(IFERROR(INDEX(DATA_PROPERTY_MASTER!$E$5:$E$21,MATCH($C3504,DATA_PROPERTY_MASTER!$A$5:$A$21,0))="Yes",FALSE),IFERROR(INDEX(INDIRECT("'"&amp;$C3504&amp;"'!$E$56:$Y$56"),1,MATCH($D3504,INDIRECT("'"&amp;$C3504&amp;"'!$E$12:$Y$12"),0)),0)+MAX(IFERROR(INDEX(INDIRECT("'"&amp;$C3504&amp;"'!$E$63:$Y$63"),1,MATCH($D3504,INDIRECT("'"&amp;$C3504&amp;"'!$E$12:$Y$12"),0)),0),0),0)</f>
        <v>10383.787552000071</v>
      </c>
      <c r="I3504" s="366" t="s">
        <v>1685</v>
      </c>
      <c r="J3504" s="348" t="str">
        <f t="shared" ca="1" si="108"/>
        <v>OK</v>
      </c>
      <c r="K3504" s="366" t="s">
        <v>1742</v>
      </c>
      <c r="L3504" s="366" t="s">
        <v>2262</v>
      </c>
      <c r="M3504" s="350" t="str">
        <f>IF($B3504="Portfolio","Portfolio",IFERROR(INDEX(DATA_ASSET_CLASSIFICATION!$B$8:$B$24,MATCH($C3504,DATA_ASSET_CLASSIFICATION!$A$8:$A$24,0)),"Review"))</f>
        <v>Newton Green</v>
      </c>
      <c r="N3504" s="350" t="str">
        <f ca="1">IF($B3504="Portfolio","Portfolio",IFERROR(INDEX(DATA_ASSET_CLASSIFICATION!$U$8:$U$24,MATCH($C3504,DATA_ASSET_CLASSIFICATION!$A$8:$A$24,0)),"Review"))</f>
        <v>Refi Watch</v>
      </c>
      <c r="O3504" s="350" t="str">
        <f ca="1">IF($B3504="Portfolio","Portfolio",IFERROR(INDEX(DATA_ASSET_CLASSIFICATION!$AB$8:$AB$13,MATCH($N3504,DATA_ASSET_CLASSIFICATION!$AA$8:$AA$13,0)),"Review"))</f>
        <v>Bucket 2 · Legacy</v>
      </c>
      <c r="P3504" s="350" t="str">
        <f>IF($B3504="Portfolio","Portfolio",IFERROR(INDEX(DATA_ASSET_CLASSIFICATION!$C$8:$C$24,MATCH($C3504,DATA_ASSET_CLASSIFICATION!$A$8:$A$24,0)),"Review"))</f>
        <v>Yes</v>
      </c>
      <c r="Q3504" s="350" t="str">
        <f t="shared" ca="1" si="109"/>
        <v>OK</v>
      </c>
    </row>
    <row r="3505" spans="1:17">
      <c r="A3505" s="366" t="s">
        <v>5461</v>
      </c>
      <c r="B3505" s="366" t="s">
        <v>231</v>
      </c>
      <c r="C3505" s="348" t="str">
        <f>DATA_PROPERTY_MASTER!$A$16</f>
        <v>BLD_NG</v>
      </c>
      <c r="D3505" s="380">
        <f>'00_PORTFOLIO ROLLUP'!F$12</f>
        <v>2026</v>
      </c>
      <c r="E3505" s="366" t="s">
        <v>1741</v>
      </c>
      <c r="F3505" s="366" t="s">
        <v>43</v>
      </c>
      <c r="G3505" s="348" t="str">
        <f>"'"&amp;$C3505&amp;"'!$E$68:$Y$68"</f>
        <v>'BLD_NG'!$E$68:$Y$68</v>
      </c>
      <c r="H3505" s="381">
        <f ca="1">IF(IFERROR(INDEX(DATA_PROPERTY_MASTER!$E$5:$E$21,MATCH($C3505,DATA_PROPERTY_MASTER!$A$5:$A$21,0))="Yes",FALSE),IFERROR(INDEX(INDIRECT("'"&amp;$C3505&amp;"'!$E$68:$Y$68"),1,MATCH($D3505,INDIRECT("'"&amp;$C3505&amp;"'!$E$12:$Y$12"),0)),0),0)</f>
        <v>10383.787552000071</v>
      </c>
      <c r="I3505" s="366" t="s">
        <v>1731</v>
      </c>
      <c r="J3505" s="348" t="str">
        <f t="shared" ca="1" si="108"/>
        <v>OK</v>
      </c>
      <c r="K3505" s="366" t="s">
        <v>1746</v>
      </c>
      <c r="L3505" s="366" t="s">
        <v>2264</v>
      </c>
      <c r="M3505" s="350" t="str">
        <f>IF($B3505="Portfolio","Portfolio",IFERROR(INDEX(DATA_ASSET_CLASSIFICATION!$B$8:$B$24,MATCH($C3505,DATA_ASSET_CLASSIFICATION!$A$8:$A$24,0)),"Review"))</f>
        <v>Newton Green</v>
      </c>
      <c r="N3505" s="350" t="str">
        <f ca="1">IF($B3505="Portfolio","Portfolio",IFERROR(INDEX(DATA_ASSET_CLASSIFICATION!$U$8:$U$24,MATCH($C3505,DATA_ASSET_CLASSIFICATION!$A$8:$A$24,0)),"Review"))</f>
        <v>Refi Watch</v>
      </c>
      <c r="O3505" s="350" t="str">
        <f ca="1">IF($B3505="Portfolio","Portfolio",IFERROR(INDEX(DATA_ASSET_CLASSIFICATION!$AB$8:$AB$13,MATCH($N3505,DATA_ASSET_CLASSIFICATION!$AA$8:$AA$13,0)),"Review"))</f>
        <v>Bucket 2 · Legacy</v>
      </c>
      <c r="P3505" s="350" t="str">
        <f>IF($B3505="Portfolio","Portfolio",IFERROR(INDEX(DATA_ASSET_CLASSIFICATION!$C$8:$C$24,MATCH($C3505,DATA_ASSET_CLASSIFICATION!$A$8:$A$24,0)),"Review"))</f>
        <v>Yes</v>
      </c>
      <c r="Q3505" s="350" t="str">
        <f t="shared" ca="1" si="109"/>
        <v>OK</v>
      </c>
    </row>
    <row r="3506" spans="1:17">
      <c r="A3506" s="366" t="s">
        <v>5462</v>
      </c>
      <c r="B3506" s="366" t="s">
        <v>231</v>
      </c>
      <c r="C3506" s="348" t="str">
        <f>DATA_PROPERTY_MASTER!$A$16</f>
        <v>BLD_NG</v>
      </c>
      <c r="D3506" s="380">
        <f>'00_PORTFOLIO ROLLUP'!F$12</f>
        <v>2026</v>
      </c>
      <c r="E3506" s="366" t="s">
        <v>1741</v>
      </c>
      <c r="F3506" s="366" t="s">
        <v>1749</v>
      </c>
      <c r="G3506" s="348" t="str">
        <f>"'"&amp;$C3506&amp;"'!rows 56, 63, 68"</f>
        <v>'BLD_NG'!rows 56, 63, 68</v>
      </c>
      <c r="H3506" s="381">
        <f ca="1">IF(IFERROR(INDEX(DATA_PROPERTY_MASTER!$E$5:$E$21,MATCH($C3506,DATA_PROPERTY_MASTER!$A$5:$A$21,0))="Yes",FALSE),(IFERROR(INDEX(INDIRECT("'"&amp;$C3506&amp;"'!$E$56:$Y$56"),1,MATCH($D3506,INDIRECT("'"&amp;$C3506&amp;"'!$E$12:$Y$12"),0)),0)+MAX(IFERROR(INDEX(INDIRECT("'"&amp;$C3506&amp;"'!$E$63:$Y$63"),1,MATCH($D3506,INDIRECT("'"&amp;$C3506&amp;"'!$E$12:$Y$12"),0)),0),0))-(IFERROR(INDEX(INDIRECT("'"&amp;$C3506&amp;"'!$E$68:$Y$68"),1,MATCH($D3506,INDIRECT("'"&amp;$C3506&amp;"'!$E$12:$Y$12"),0)),0)),0)</f>
        <v>0</v>
      </c>
      <c r="I3506" s="366" t="s">
        <v>1750</v>
      </c>
      <c r="J3506" s="348" t="str">
        <f t="shared" ca="1" si="108"/>
        <v>OK</v>
      </c>
      <c r="K3506" s="366" t="s">
        <v>1751</v>
      </c>
      <c r="L3506" s="366" t="s">
        <v>2266</v>
      </c>
      <c r="M3506" s="350" t="str">
        <f>IF($B3506="Portfolio","Portfolio",IFERROR(INDEX(DATA_ASSET_CLASSIFICATION!$B$8:$B$24,MATCH($C3506,DATA_ASSET_CLASSIFICATION!$A$8:$A$24,0)),"Review"))</f>
        <v>Newton Green</v>
      </c>
      <c r="N3506" s="350" t="str">
        <f ca="1">IF($B3506="Portfolio","Portfolio",IFERROR(INDEX(DATA_ASSET_CLASSIFICATION!$U$8:$U$24,MATCH($C3506,DATA_ASSET_CLASSIFICATION!$A$8:$A$24,0)),"Review"))</f>
        <v>Refi Watch</v>
      </c>
      <c r="O3506" s="350" t="str">
        <f ca="1">IF($B3506="Portfolio","Portfolio",IFERROR(INDEX(DATA_ASSET_CLASSIFICATION!$AB$8:$AB$13,MATCH($N3506,DATA_ASSET_CLASSIFICATION!$AA$8:$AA$13,0)),"Review"))</f>
        <v>Bucket 2 · Legacy</v>
      </c>
      <c r="P3506" s="350" t="str">
        <f>IF($B3506="Portfolio","Portfolio",IFERROR(INDEX(DATA_ASSET_CLASSIFICATION!$C$8:$C$24,MATCH($C3506,DATA_ASSET_CLASSIFICATION!$A$8:$A$24,0)),"Review"))</f>
        <v>Yes</v>
      </c>
      <c r="Q3506" s="350" t="str">
        <f t="shared" ca="1" si="109"/>
        <v>OK</v>
      </c>
    </row>
    <row r="3507" spans="1:17">
      <c r="A3507" s="366" t="s">
        <v>5463</v>
      </c>
      <c r="B3507" s="366" t="s">
        <v>231</v>
      </c>
      <c r="C3507" s="348" t="str">
        <f>DATA_PROPERTY_MASTER!$A$16</f>
        <v>BLD_NG</v>
      </c>
      <c r="D3507" s="380">
        <f>'00_PORTFOLIO ROLLUP'!G$12</f>
        <v>2027</v>
      </c>
      <c r="E3507" s="366" t="s">
        <v>1683</v>
      </c>
      <c r="F3507" s="366" t="s">
        <v>341</v>
      </c>
      <c r="G3507" s="348" t="str">
        <f>"'"&amp;$C3507&amp;"'!$E$24:$Y$24"</f>
        <v>'BLD_NG'!$E$24:$Y$24</v>
      </c>
      <c r="H3507" s="381">
        <f ca="1">IF(IFERROR(INDEX(DATA_PROPERTY_MASTER!$E$5:$E$21,MATCH($C3507,DATA_PROPERTY_MASTER!$A$5:$A$21,0))="Yes",FALSE),IFERROR(INDEX(INDIRECT("'"&amp;$C3507&amp;"'!$E$24:$Y$24"),1,MATCH($D3507,INDIRECT("'"&amp;$C3507&amp;"'!$E$12:$Y$12"),0)),0),0)</f>
        <v>808258.92305760004</v>
      </c>
      <c r="I3507" s="366" t="s">
        <v>1685</v>
      </c>
      <c r="J3507" s="348" t="str">
        <f t="shared" ca="1" si="108"/>
        <v>OK</v>
      </c>
      <c r="K3507" s="366" t="s">
        <v>1686</v>
      </c>
      <c r="L3507" s="366" t="s">
        <v>2234</v>
      </c>
      <c r="M3507" s="350" t="str">
        <f>IF($B3507="Portfolio","Portfolio",IFERROR(INDEX(DATA_ASSET_CLASSIFICATION!$B$8:$B$24,MATCH($C3507,DATA_ASSET_CLASSIFICATION!$A$8:$A$24,0)),"Review"))</f>
        <v>Newton Green</v>
      </c>
      <c r="N3507" s="350" t="str">
        <f ca="1">IF($B3507="Portfolio","Portfolio",IFERROR(INDEX(DATA_ASSET_CLASSIFICATION!$U$8:$U$24,MATCH($C3507,DATA_ASSET_CLASSIFICATION!$A$8:$A$24,0)),"Review"))</f>
        <v>Refi Watch</v>
      </c>
      <c r="O3507" s="350" t="str">
        <f ca="1">IF($B3507="Portfolio","Portfolio",IFERROR(INDEX(DATA_ASSET_CLASSIFICATION!$AB$8:$AB$13,MATCH($N3507,DATA_ASSET_CLASSIFICATION!$AA$8:$AA$13,0)),"Review"))</f>
        <v>Bucket 2 · Legacy</v>
      </c>
      <c r="P3507" s="350" t="str">
        <f>IF($B3507="Portfolio","Portfolio",IFERROR(INDEX(DATA_ASSET_CLASSIFICATION!$C$8:$C$24,MATCH($C3507,DATA_ASSET_CLASSIFICATION!$A$8:$A$24,0)),"Review"))</f>
        <v>Yes</v>
      </c>
      <c r="Q3507" s="350" t="str">
        <f t="shared" ca="1" si="109"/>
        <v>OK</v>
      </c>
    </row>
    <row r="3508" spans="1:17">
      <c r="A3508" s="366" t="s">
        <v>5464</v>
      </c>
      <c r="B3508" s="366" t="s">
        <v>231</v>
      </c>
      <c r="C3508" s="348" t="str">
        <f>DATA_PROPERTY_MASTER!$A$16</f>
        <v>BLD_NG</v>
      </c>
      <c r="D3508" s="380">
        <f>'00_PORTFOLIO ROLLUP'!G$12</f>
        <v>2027</v>
      </c>
      <c r="E3508" s="366" t="s">
        <v>1683</v>
      </c>
      <c r="F3508" s="366" t="s">
        <v>355</v>
      </c>
      <c r="G3508" s="348" t="str">
        <f>"'"&amp;$C3508&amp;"'!$E$39:$Y$39"</f>
        <v>'BLD_NG'!$E$39:$Y$39</v>
      </c>
      <c r="H3508" s="381">
        <f ca="1">IF(IFERROR(INDEX(DATA_PROPERTY_MASTER!$E$5:$E$21,MATCH($C3508,DATA_PROPERTY_MASTER!$A$5:$A$21,0))="Yes",FALSE),IFERROR(INDEX(INDIRECT("'"&amp;$C3508&amp;"'!$E$39:$Y$39"),1,MATCH($D3508,INDIRECT("'"&amp;$C3508&amp;"'!$E$12:$Y$12"),0)),0),0)</f>
        <v>336194.80959999998</v>
      </c>
      <c r="I3508" s="366" t="s">
        <v>1690</v>
      </c>
      <c r="J3508" s="348" t="str">
        <f t="shared" ca="1" si="108"/>
        <v>OK</v>
      </c>
      <c r="K3508" s="366" t="s">
        <v>1686</v>
      </c>
      <c r="L3508" s="366" t="s">
        <v>2236</v>
      </c>
      <c r="M3508" s="350" t="str">
        <f>IF($B3508="Portfolio","Portfolio",IFERROR(INDEX(DATA_ASSET_CLASSIFICATION!$B$8:$B$24,MATCH($C3508,DATA_ASSET_CLASSIFICATION!$A$8:$A$24,0)),"Review"))</f>
        <v>Newton Green</v>
      </c>
      <c r="N3508" s="350" t="str">
        <f ca="1">IF($B3508="Portfolio","Portfolio",IFERROR(INDEX(DATA_ASSET_CLASSIFICATION!$U$8:$U$24,MATCH($C3508,DATA_ASSET_CLASSIFICATION!$A$8:$A$24,0)),"Review"))</f>
        <v>Refi Watch</v>
      </c>
      <c r="O3508" s="350" t="str">
        <f ca="1">IF($B3508="Portfolio","Portfolio",IFERROR(INDEX(DATA_ASSET_CLASSIFICATION!$AB$8:$AB$13,MATCH($N3508,DATA_ASSET_CLASSIFICATION!$AA$8:$AA$13,0)),"Review"))</f>
        <v>Bucket 2 · Legacy</v>
      </c>
      <c r="P3508" s="350" t="str">
        <f>IF($B3508="Portfolio","Portfolio",IFERROR(INDEX(DATA_ASSET_CLASSIFICATION!$C$8:$C$24,MATCH($C3508,DATA_ASSET_CLASSIFICATION!$A$8:$A$24,0)),"Review"))</f>
        <v>Yes</v>
      </c>
      <c r="Q3508" s="350" t="str">
        <f t="shared" ca="1" si="109"/>
        <v>OK</v>
      </c>
    </row>
    <row r="3509" spans="1:17">
      <c r="A3509" s="366" t="s">
        <v>5465</v>
      </c>
      <c r="B3509" s="366" t="s">
        <v>231</v>
      </c>
      <c r="C3509" s="348" t="str">
        <f>DATA_PROPERTY_MASTER!$A$16</f>
        <v>BLD_NG</v>
      </c>
      <c r="D3509" s="380">
        <f>'00_PORTFOLIO ROLLUP'!G$12</f>
        <v>2027</v>
      </c>
      <c r="E3509" s="366" t="s">
        <v>1683</v>
      </c>
      <c r="F3509" s="366" t="s">
        <v>19</v>
      </c>
      <c r="G3509" s="348" t="str">
        <f>"'"&amp;$C3509&amp;"'!$E$41:$Y$41"</f>
        <v>'BLD_NG'!$E$41:$Y$41</v>
      </c>
      <c r="H3509" s="381">
        <f ca="1">IF(IFERROR(INDEX(DATA_PROPERTY_MASTER!$E$5:$E$21,MATCH($C3509,DATA_PROPERTY_MASTER!$A$5:$A$21,0))="Yes",FALSE),IFERROR(INDEX(INDIRECT("'"&amp;$C3509&amp;"'!$E$41:$Y$41"),1,MATCH($D3509,INDIRECT("'"&amp;$C3509&amp;"'!$E$12:$Y$12"),0)),0),0)</f>
        <v>472064.11345760006</v>
      </c>
      <c r="I3509" s="366" t="s">
        <v>1685</v>
      </c>
      <c r="J3509" s="348" t="str">
        <f t="shared" ca="1" si="108"/>
        <v>OK</v>
      </c>
      <c r="K3509" s="366" t="s">
        <v>1694</v>
      </c>
      <c r="L3509" s="366" t="s">
        <v>2238</v>
      </c>
      <c r="M3509" s="350" t="str">
        <f>IF($B3509="Portfolio","Portfolio",IFERROR(INDEX(DATA_ASSET_CLASSIFICATION!$B$8:$B$24,MATCH($C3509,DATA_ASSET_CLASSIFICATION!$A$8:$A$24,0)),"Review"))</f>
        <v>Newton Green</v>
      </c>
      <c r="N3509" s="350" t="str">
        <f ca="1">IF($B3509="Portfolio","Portfolio",IFERROR(INDEX(DATA_ASSET_CLASSIFICATION!$U$8:$U$24,MATCH($C3509,DATA_ASSET_CLASSIFICATION!$A$8:$A$24,0)),"Review"))</f>
        <v>Refi Watch</v>
      </c>
      <c r="O3509" s="350" t="str">
        <f ca="1">IF($B3509="Portfolio","Portfolio",IFERROR(INDEX(DATA_ASSET_CLASSIFICATION!$AB$8:$AB$13,MATCH($N3509,DATA_ASSET_CLASSIFICATION!$AA$8:$AA$13,0)),"Review"))</f>
        <v>Bucket 2 · Legacy</v>
      </c>
      <c r="P3509" s="350" t="str">
        <f>IF($B3509="Portfolio","Portfolio",IFERROR(INDEX(DATA_ASSET_CLASSIFICATION!$C$8:$C$24,MATCH($C3509,DATA_ASSET_CLASSIFICATION!$A$8:$A$24,0)),"Review"))</f>
        <v>Yes</v>
      </c>
      <c r="Q3509" s="350" t="str">
        <f t="shared" ca="1" si="109"/>
        <v>OK</v>
      </c>
    </row>
    <row r="3510" spans="1:17">
      <c r="A3510" s="366" t="s">
        <v>5466</v>
      </c>
      <c r="B3510" s="366" t="s">
        <v>231</v>
      </c>
      <c r="C3510" s="348" t="str">
        <f>DATA_PROPERTY_MASTER!$A$16</f>
        <v>BLD_NG</v>
      </c>
      <c r="D3510" s="380">
        <f>'00_PORTFOLIO ROLLUP'!G$12</f>
        <v>2027</v>
      </c>
      <c r="E3510" s="366" t="s">
        <v>1683</v>
      </c>
      <c r="F3510" s="366" t="s">
        <v>1697</v>
      </c>
      <c r="G3510" s="348" t="str">
        <f>"'"&amp;$C3510&amp;"'!$E$44:$Y$44"</f>
        <v>'BLD_NG'!$E$44:$Y$44</v>
      </c>
      <c r="H3510" s="381">
        <f ca="1">IF(IFERROR(INDEX(DATA_PROPERTY_MASTER!$E$5:$E$21,MATCH($C3510,DATA_PROPERTY_MASTER!$A$5:$A$21,0))="Yes",FALSE),IFERROR(INDEX(INDIRECT("'"&amp;$C3510&amp;"'!$E$44:$Y$44"),1,MATCH($D3510,INDIRECT("'"&amp;$C3510&amp;"'!$E$12:$Y$12"),0)),0),0)</f>
        <v>7646.94</v>
      </c>
      <c r="I3510" s="366" t="s">
        <v>1690</v>
      </c>
      <c r="J3510" s="348" t="str">
        <f t="shared" ca="1" si="108"/>
        <v>OK</v>
      </c>
      <c r="K3510" s="366" t="s">
        <v>1699</v>
      </c>
      <c r="L3510" s="366" t="s">
        <v>2240</v>
      </c>
      <c r="M3510" s="350" t="str">
        <f>IF($B3510="Portfolio","Portfolio",IFERROR(INDEX(DATA_ASSET_CLASSIFICATION!$B$8:$B$24,MATCH($C3510,DATA_ASSET_CLASSIFICATION!$A$8:$A$24,0)),"Review"))</f>
        <v>Newton Green</v>
      </c>
      <c r="N3510" s="350" t="str">
        <f ca="1">IF($B3510="Portfolio","Portfolio",IFERROR(INDEX(DATA_ASSET_CLASSIFICATION!$U$8:$U$24,MATCH($C3510,DATA_ASSET_CLASSIFICATION!$A$8:$A$24,0)),"Review"))</f>
        <v>Refi Watch</v>
      </c>
      <c r="O3510" s="350" t="str">
        <f ca="1">IF($B3510="Portfolio","Portfolio",IFERROR(INDEX(DATA_ASSET_CLASSIFICATION!$AB$8:$AB$13,MATCH($N3510,DATA_ASSET_CLASSIFICATION!$AA$8:$AA$13,0)),"Review"))</f>
        <v>Bucket 2 · Legacy</v>
      </c>
      <c r="P3510" s="350" t="str">
        <f>IF($B3510="Portfolio","Portfolio",IFERROR(INDEX(DATA_ASSET_CLASSIFICATION!$C$8:$C$24,MATCH($C3510,DATA_ASSET_CLASSIFICATION!$A$8:$A$24,0)),"Review"))</f>
        <v>Yes</v>
      </c>
      <c r="Q3510" s="350" t="str">
        <f t="shared" ca="1" si="109"/>
        <v>OK</v>
      </c>
    </row>
    <row r="3511" spans="1:17">
      <c r="A3511" s="366" t="s">
        <v>5467</v>
      </c>
      <c r="B3511" s="366" t="s">
        <v>231</v>
      </c>
      <c r="C3511" s="348" t="str">
        <f>DATA_PROPERTY_MASTER!$A$16</f>
        <v>BLD_NG</v>
      </c>
      <c r="D3511" s="380">
        <f>'00_PORTFOLIO ROLLUP'!G$12</f>
        <v>2027</v>
      </c>
      <c r="E3511" s="366" t="s">
        <v>1683</v>
      </c>
      <c r="F3511" s="366" t="s">
        <v>21</v>
      </c>
      <c r="G3511" s="348" t="str">
        <f>"'"&amp;$C3511&amp;"'!$E$45:$Y$45"</f>
        <v>'BLD_NG'!$E$45:$Y$45</v>
      </c>
      <c r="H3511" s="381">
        <f ca="1">IF(IFERROR(INDEX(DATA_PROPERTY_MASTER!$E$5:$E$21,MATCH($C3511,DATA_PROPERTY_MASTER!$A$5:$A$21,0))="Yes",FALSE),IFERROR(INDEX(INDIRECT("'"&amp;$C3511&amp;"'!$E$45:$Y$45"),1,MATCH($D3511,INDIRECT("'"&amp;$C3511&amp;"'!$E$12:$Y$12"),0)),0),0)</f>
        <v>464417.17345760006</v>
      </c>
      <c r="I3511" s="366" t="s">
        <v>1685</v>
      </c>
      <c r="J3511" s="348" t="str">
        <f t="shared" ca="1" si="108"/>
        <v>OK</v>
      </c>
      <c r="K3511" s="366" t="s">
        <v>1694</v>
      </c>
      <c r="L3511" s="366" t="s">
        <v>2242</v>
      </c>
      <c r="M3511" s="350" t="str">
        <f>IF($B3511="Portfolio","Portfolio",IFERROR(INDEX(DATA_ASSET_CLASSIFICATION!$B$8:$B$24,MATCH($C3511,DATA_ASSET_CLASSIFICATION!$A$8:$A$24,0)),"Review"))</f>
        <v>Newton Green</v>
      </c>
      <c r="N3511" s="350" t="str">
        <f ca="1">IF($B3511="Portfolio","Portfolio",IFERROR(INDEX(DATA_ASSET_CLASSIFICATION!$U$8:$U$24,MATCH($C3511,DATA_ASSET_CLASSIFICATION!$A$8:$A$24,0)),"Review"))</f>
        <v>Refi Watch</v>
      </c>
      <c r="O3511" s="350" t="str">
        <f ca="1">IF($B3511="Portfolio","Portfolio",IFERROR(INDEX(DATA_ASSET_CLASSIFICATION!$AB$8:$AB$13,MATCH($N3511,DATA_ASSET_CLASSIFICATION!$AA$8:$AA$13,0)),"Review"))</f>
        <v>Bucket 2 · Legacy</v>
      </c>
      <c r="P3511" s="350" t="str">
        <f>IF($B3511="Portfolio","Portfolio",IFERROR(INDEX(DATA_ASSET_CLASSIFICATION!$C$8:$C$24,MATCH($C3511,DATA_ASSET_CLASSIFICATION!$A$8:$A$24,0)),"Review"))</f>
        <v>Yes</v>
      </c>
      <c r="Q3511" s="350" t="str">
        <f t="shared" ca="1" si="109"/>
        <v>OK</v>
      </c>
    </row>
    <row r="3512" spans="1:17">
      <c r="A3512" s="366" t="s">
        <v>5468</v>
      </c>
      <c r="B3512" s="366" t="s">
        <v>231</v>
      </c>
      <c r="C3512" s="348" t="str">
        <f>DATA_PROPERTY_MASTER!$A$16</f>
        <v>BLD_NG</v>
      </c>
      <c r="D3512" s="380">
        <f>'00_PORTFOLIO ROLLUP'!G$12</f>
        <v>2027</v>
      </c>
      <c r="E3512" s="366" t="s">
        <v>23</v>
      </c>
      <c r="F3512" s="366" t="s">
        <v>23</v>
      </c>
      <c r="G3512" s="348" t="str">
        <f>"'"&amp;$C3512&amp;"'!$E$48:$Y$48"</f>
        <v>'BLD_NG'!$E$48:$Y$48</v>
      </c>
      <c r="H3512" s="381">
        <f ca="1">IF(IFERROR(INDEX(DATA_PROPERTY_MASTER!$E$5:$E$21,MATCH($C3512,DATA_PROPERTY_MASTER!$A$5:$A$21,0))="Yes",FALSE),IFERROR(INDEX(INDIRECT("'"&amp;$C3512&amp;"'!$E$48:$Y$48"),1,MATCH($D3512,INDIRECT("'"&amp;$C3512&amp;"'!$E$12:$Y$12"),0)),0),0)</f>
        <v>443187</v>
      </c>
      <c r="I3512" s="366" t="s">
        <v>1690</v>
      </c>
      <c r="J3512" s="348" t="str">
        <f t="shared" ca="1" si="108"/>
        <v>OK</v>
      </c>
      <c r="K3512" s="366" t="s">
        <v>1706</v>
      </c>
      <c r="L3512" s="366" t="s">
        <v>2244</v>
      </c>
      <c r="M3512" s="350" t="str">
        <f>IF($B3512="Portfolio","Portfolio",IFERROR(INDEX(DATA_ASSET_CLASSIFICATION!$B$8:$B$24,MATCH($C3512,DATA_ASSET_CLASSIFICATION!$A$8:$A$24,0)),"Review"))</f>
        <v>Newton Green</v>
      </c>
      <c r="N3512" s="350" t="str">
        <f ca="1">IF($B3512="Portfolio","Portfolio",IFERROR(INDEX(DATA_ASSET_CLASSIFICATION!$U$8:$U$24,MATCH($C3512,DATA_ASSET_CLASSIFICATION!$A$8:$A$24,0)),"Review"))</f>
        <v>Refi Watch</v>
      </c>
      <c r="O3512" s="350" t="str">
        <f ca="1">IF($B3512="Portfolio","Portfolio",IFERROR(INDEX(DATA_ASSET_CLASSIFICATION!$AB$8:$AB$13,MATCH($N3512,DATA_ASSET_CLASSIFICATION!$AA$8:$AA$13,0)),"Review"))</f>
        <v>Bucket 2 · Legacy</v>
      </c>
      <c r="P3512" s="350" t="str">
        <f>IF($B3512="Portfolio","Portfolio",IFERROR(INDEX(DATA_ASSET_CLASSIFICATION!$C$8:$C$24,MATCH($C3512,DATA_ASSET_CLASSIFICATION!$A$8:$A$24,0)),"Review"))</f>
        <v>Yes</v>
      </c>
      <c r="Q3512" s="350" t="str">
        <f t="shared" ca="1" si="109"/>
        <v>OK</v>
      </c>
    </row>
    <row r="3513" spans="1:17">
      <c r="A3513" s="366" t="s">
        <v>5469</v>
      </c>
      <c r="B3513" s="366" t="s">
        <v>231</v>
      </c>
      <c r="C3513" s="348" t="str">
        <f>DATA_PROPERTY_MASTER!$A$16</f>
        <v>BLD_NG</v>
      </c>
      <c r="D3513" s="380">
        <f>'00_PORTFOLIO ROLLUP'!G$12</f>
        <v>2027</v>
      </c>
      <c r="E3513" s="366" t="s">
        <v>1683</v>
      </c>
      <c r="F3513" s="366" t="s">
        <v>25</v>
      </c>
      <c r="G3513" s="348" t="str">
        <f>"'"&amp;$C3513&amp;"'!$E$52:$Y$52"</f>
        <v>'BLD_NG'!$E$52:$Y$52</v>
      </c>
      <c r="H3513" s="381">
        <f ca="1">IF(IFERROR(INDEX(DATA_PROPERTY_MASTER!$E$5:$E$21,MATCH($C3513,DATA_PROPERTY_MASTER!$A$5:$A$21,0))="Yes",FALSE),IFERROR(INDEX(INDIRECT("'"&amp;$C3513&amp;"'!$E$52:$Y$52"),1,MATCH($D3513,INDIRECT("'"&amp;$C3513&amp;"'!$E$12:$Y$12"),0)),0),0)</f>
        <v>28877.113457600062</v>
      </c>
      <c r="I3513" s="366" t="s">
        <v>1685</v>
      </c>
      <c r="J3513" s="348" t="str">
        <f t="shared" ca="1" si="108"/>
        <v>OK</v>
      </c>
      <c r="K3513" s="366" t="s">
        <v>1710</v>
      </c>
      <c r="L3513" s="366" t="s">
        <v>2246</v>
      </c>
      <c r="M3513" s="350" t="str">
        <f>IF($B3513="Portfolio","Portfolio",IFERROR(INDEX(DATA_ASSET_CLASSIFICATION!$B$8:$B$24,MATCH($C3513,DATA_ASSET_CLASSIFICATION!$A$8:$A$24,0)),"Review"))</f>
        <v>Newton Green</v>
      </c>
      <c r="N3513" s="350" t="str">
        <f ca="1">IF($B3513="Portfolio","Portfolio",IFERROR(INDEX(DATA_ASSET_CLASSIFICATION!$U$8:$U$24,MATCH($C3513,DATA_ASSET_CLASSIFICATION!$A$8:$A$24,0)),"Review"))</f>
        <v>Refi Watch</v>
      </c>
      <c r="O3513" s="350" t="str">
        <f ca="1">IF($B3513="Portfolio","Portfolio",IFERROR(INDEX(DATA_ASSET_CLASSIFICATION!$AB$8:$AB$13,MATCH($N3513,DATA_ASSET_CLASSIFICATION!$AA$8:$AA$13,0)),"Review"))</f>
        <v>Bucket 2 · Legacy</v>
      </c>
      <c r="P3513" s="350" t="str">
        <f>IF($B3513="Portfolio","Portfolio",IFERROR(INDEX(DATA_ASSET_CLASSIFICATION!$C$8:$C$24,MATCH($C3513,DATA_ASSET_CLASSIFICATION!$A$8:$A$24,0)),"Review"))</f>
        <v>Yes</v>
      </c>
      <c r="Q3513" s="350" t="str">
        <f t="shared" ca="1" si="109"/>
        <v>OK</v>
      </c>
    </row>
    <row r="3514" spans="1:17">
      <c r="A3514" s="366" t="s">
        <v>5470</v>
      </c>
      <c r="B3514" s="366" t="s">
        <v>231</v>
      </c>
      <c r="C3514" s="348" t="str">
        <f>DATA_PROPERTY_MASTER!$A$16</f>
        <v>BLD_NG</v>
      </c>
      <c r="D3514" s="380">
        <f>'00_PORTFOLIO ROLLUP'!G$12</f>
        <v>2027</v>
      </c>
      <c r="E3514" s="366" t="s">
        <v>1683</v>
      </c>
      <c r="F3514" s="366" t="s">
        <v>27</v>
      </c>
      <c r="G3514" s="348" t="str">
        <f>"'"&amp;$C3514&amp;"'!$E$54:$Y$54"</f>
        <v>'BLD_NG'!$E$54:$Y$54</v>
      </c>
      <c r="H3514" s="381">
        <f ca="1">IF(IFERROR(INDEX(DATA_PROPERTY_MASTER!$E$5:$E$21,MATCH($C3514,DATA_PROPERTY_MASTER!$A$5:$A$21,0))="Yes",FALSE),IFERROR(INDEX(INDIRECT("'"&amp;$C3514&amp;"'!$E$54:$Y$54"),1,MATCH($D3514,INDIRECT("'"&amp;$C3514&amp;"'!$E$12:$Y$12"),0)),0),0)</f>
        <v>17326.268074560037</v>
      </c>
      <c r="I3514" s="366" t="s">
        <v>1690</v>
      </c>
      <c r="J3514" s="348" t="str">
        <f t="shared" ca="1" si="108"/>
        <v>OK</v>
      </c>
      <c r="K3514" s="366" t="s">
        <v>1714</v>
      </c>
      <c r="L3514" s="366" t="s">
        <v>2248</v>
      </c>
      <c r="M3514" s="350" t="str">
        <f>IF($B3514="Portfolio","Portfolio",IFERROR(INDEX(DATA_ASSET_CLASSIFICATION!$B$8:$B$24,MATCH($C3514,DATA_ASSET_CLASSIFICATION!$A$8:$A$24,0)),"Review"))</f>
        <v>Newton Green</v>
      </c>
      <c r="N3514" s="350" t="str">
        <f ca="1">IF($B3514="Portfolio","Portfolio",IFERROR(INDEX(DATA_ASSET_CLASSIFICATION!$U$8:$U$24,MATCH($C3514,DATA_ASSET_CLASSIFICATION!$A$8:$A$24,0)),"Review"))</f>
        <v>Refi Watch</v>
      </c>
      <c r="O3514" s="350" t="str">
        <f ca="1">IF($B3514="Portfolio","Portfolio",IFERROR(INDEX(DATA_ASSET_CLASSIFICATION!$AB$8:$AB$13,MATCH($N3514,DATA_ASSET_CLASSIFICATION!$AA$8:$AA$13,0)),"Review"))</f>
        <v>Bucket 2 · Legacy</v>
      </c>
      <c r="P3514" s="350" t="str">
        <f>IF($B3514="Portfolio","Portfolio",IFERROR(INDEX(DATA_ASSET_CLASSIFICATION!$C$8:$C$24,MATCH($C3514,DATA_ASSET_CLASSIFICATION!$A$8:$A$24,0)),"Review"))</f>
        <v>Yes</v>
      </c>
      <c r="Q3514" s="350" t="str">
        <f t="shared" ca="1" si="109"/>
        <v>OK</v>
      </c>
    </row>
    <row r="3515" spans="1:17">
      <c r="A3515" s="366" t="s">
        <v>5471</v>
      </c>
      <c r="B3515" s="366" t="s">
        <v>231</v>
      </c>
      <c r="C3515" s="348" t="str">
        <f>DATA_PROPERTY_MASTER!$A$16</f>
        <v>BLD_NG</v>
      </c>
      <c r="D3515" s="380">
        <f>'00_PORTFOLIO ROLLUP'!G$12</f>
        <v>2027</v>
      </c>
      <c r="E3515" s="366" t="s">
        <v>1683</v>
      </c>
      <c r="F3515" s="366" t="s">
        <v>29</v>
      </c>
      <c r="G3515" s="348" t="str">
        <f>"'"&amp;$C3515&amp;"'!$E$56:$Y$56"</f>
        <v>'BLD_NG'!$E$56:$Y$56</v>
      </c>
      <c r="H3515" s="381">
        <f ca="1">IF(IFERROR(INDEX(DATA_PROPERTY_MASTER!$E$5:$E$21,MATCH($C3515,DATA_PROPERTY_MASTER!$A$5:$A$21,0))="Yes",FALSE),IFERROR(INDEX(INDIRECT("'"&amp;$C3515&amp;"'!$E$56:$Y$56"),1,MATCH($D3515,INDIRECT("'"&amp;$C3515&amp;"'!$E$12:$Y$12"),0)),0),0)</f>
        <v>11550.845383040025</v>
      </c>
      <c r="I3515" s="366" t="s">
        <v>1685</v>
      </c>
      <c r="J3515" s="348" t="str">
        <f t="shared" ca="1" si="108"/>
        <v>OK</v>
      </c>
      <c r="K3515" s="366" t="s">
        <v>1718</v>
      </c>
      <c r="L3515" s="366" t="s">
        <v>2250</v>
      </c>
      <c r="M3515" s="350" t="str">
        <f>IF($B3515="Portfolio","Portfolio",IFERROR(INDEX(DATA_ASSET_CLASSIFICATION!$B$8:$B$24,MATCH($C3515,DATA_ASSET_CLASSIFICATION!$A$8:$A$24,0)),"Review"))</f>
        <v>Newton Green</v>
      </c>
      <c r="N3515" s="350" t="str">
        <f ca="1">IF($B3515="Portfolio","Portfolio",IFERROR(INDEX(DATA_ASSET_CLASSIFICATION!$U$8:$U$24,MATCH($C3515,DATA_ASSET_CLASSIFICATION!$A$8:$A$24,0)),"Review"))</f>
        <v>Refi Watch</v>
      </c>
      <c r="O3515" s="350" t="str">
        <f ca="1">IF($B3515="Portfolio","Portfolio",IFERROR(INDEX(DATA_ASSET_CLASSIFICATION!$AB$8:$AB$13,MATCH($N3515,DATA_ASSET_CLASSIFICATION!$AA$8:$AA$13,0)),"Review"))</f>
        <v>Bucket 2 · Legacy</v>
      </c>
      <c r="P3515" s="350" t="str">
        <f>IF($B3515="Portfolio","Portfolio",IFERROR(INDEX(DATA_ASSET_CLASSIFICATION!$C$8:$C$24,MATCH($C3515,DATA_ASSET_CLASSIFICATION!$A$8:$A$24,0)),"Review"))</f>
        <v>Yes</v>
      </c>
      <c r="Q3515" s="350" t="str">
        <f t="shared" ca="1" si="109"/>
        <v>OK</v>
      </c>
    </row>
    <row r="3516" spans="1:17">
      <c r="A3516" s="366" t="s">
        <v>5472</v>
      </c>
      <c r="B3516" s="366" t="s">
        <v>231</v>
      </c>
      <c r="C3516" s="348" t="str">
        <f>DATA_PROPERTY_MASTER!$A$16</f>
        <v>BLD_NG</v>
      </c>
      <c r="D3516" s="380">
        <f>'00_PORTFOLIO ROLLUP'!G$12</f>
        <v>2027</v>
      </c>
      <c r="E3516" s="366" t="s">
        <v>1721</v>
      </c>
      <c r="F3516" s="366" t="s">
        <v>31</v>
      </c>
      <c r="G3516" s="348" t="str">
        <f>"'"&amp;$C3516&amp;"'!$E$61:$Y$61"</f>
        <v>'BLD_NG'!$E$61:$Y$61</v>
      </c>
      <c r="H3516" s="381">
        <f ca="1">IF(IFERROR(INDEX(DATA_PROPERTY_MASTER!$E$5:$E$21,MATCH($C3516,DATA_PROPERTY_MASTER!$A$5:$A$21,0))="Yes",FALSE),IFERROR(INDEX(INDIRECT("'"&amp;$C3516&amp;"'!$E$61:$Y$61"),1,MATCH($D3516,INDIRECT("'"&amp;$C3516&amp;"'!$E$12:$Y$12"),0)),0),0)</f>
        <v>0</v>
      </c>
      <c r="I3516" s="366" t="s">
        <v>1690</v>
      </c>
      <c r="J3516" s="348" t="str">
        <f t="shared" ca="1" si="108"/>
        <v>OK</v>
      </c>
      <c r="K3516" s="366" t="s">
        <v>1723</v>
      </c>
      <c r="L3516" s="366" t="s">
        <v>2252</v>
      </c>
      <c r="M3516" s="350" t="str">
        <f>IF($B3516="Portfolio","Portfolio",IFERROR(INDEX(DATA_ASSET_CLASSIFICATION!$B$8:$B$24,MATCH($C3516,DATA_ASSET_CLASSIFICATION!$A$8:$A$24,0)),"Review"))</f>
        <v>Newton Green</v>
      </c>
      <c r="N3516" s="350" t="str">
        <f ca="1">IF($B3516="Portfolio","Portfolio",IFERROR(INDEX(DATA_ASSET_CLASSIFICATION!$U$8:$U$24,MATCH($C3516,DATA_ASSET_CLASSIFICATION!$A$8:$A$24,0)),"Review"))</f>
        <v>Refi Watch</v>
      </c>
      <c r="O3516" s="350" t="str">
        <f ca="1">IF($B3516="Portfolio","Portfolio",IFERROR(INDEX(DATA_ASSET_CLASSIFICATION!$AB$8:$AB$13,MATCH($N3516,DATA_ASSET_CLASSIFICATION!$AA$8:$AA$13,0)),"Review"))</f>
        <v>Bucket 2 · Legacy</v>
      </c>
      <c r="P3516" s="350" t="str">
        <f>IF($B3516="Portfolio","Portfolio",IFERROR(INDEX(DATA_ASSET_CLASSIFICATION!$C$8:$C$24,MATCH($C3516,DATA_ASSET_CLASSIFICATION!$A$8:$A$24,0)),"Review"))</f>
        <v>Yes</v>
      </c>
      <c r="Q3516" s="350" t="str">
        <f t="shared" ca="1" si="109"/>
        <v>OK</v>
      </c>
    </row>
    <row r="3517" spans="1:17">
      <c r="A3517" s="366" t="s">
        <v>5473</v>
      </c>
      <c r="B3517" s="366" t="s">
        <v>231</v>
      </c>
      <c r="C3517" s="348" t="str">
        <f>DATA_PROPERTY_MASTER!$A$16</f>
        <v>BLD_NG</v>
      </c>
      <c r="D3517" s="380">
        <f>'00_PORTFOLIO ROLLUP'!G$12</f>
        <v>2027</v>
      </c>
      <c r="E3517" s="366" t="s">
        <v>1721</v>
      </c>
      <c r="F3517" s="366" t="s">
        <v>33</v>
      </c>
      <c r="G3517" s="348" t="str">
        <f>"'"&amp;$C3517&amp;"'!$E$62:$Y$62"</f>
        <v>'BLD_NG'!$E$62:$Y$62</v>
      </c>
      <c r="H3517" s="381">
        <f ca="1">IF(IFERROR(INDEX(DATA_PROPERTY_MASTER!$E$5:$E$21,MATCH($C3517,DATA_PROPERTY_MASTER!$A$5:$A$21,0))="Yes",FALSE),IFERROR(INDEX(INDIRECT("'"&amp;$C3517&amp;"'!$E$62:$Y$62"),1,MATCH($D3517,INDIRECT("'"&amp;$C3517&amp;"'!$E$12:$Y$12"),0)),0),0)</f>
        <v>0</v>
      </c>
      <c r="I3517" s="366" t="s">
        <v>1685</v>
      </c>
      <c r="J3517" s="348" t="str">
        <f t="shared" ca="1" si="108"/>
        <v>OK</v>
      </c>
      <c r="K3517" s="366" t="s">
        <v>1727</v>
      </c>
      <c r="L3517" s="366" t="s">
        <v>2254</v>
      </c>
      <c r="M3517" s="350" t="str">
        <f>IF($B3517="Portfolio","Portfolio",IFERROR(INDEX(DATA_ASSET_CLASSIFICATION!$B$8:$B$24,MATCH($C3517,DATA_ASSET_CLASSIFICATION!$A$8:$A$24,0)),"Review"))</f>
        <v>Newton Green</v>
      </c>
      <c r="N3517" s="350" t="str">
        <f ca="1">IF($B3517="Portfolio","Portfolio",IFERROR(INDEX(DATA_ASSET_CLASSIFICATION!$U$8:$U$24,MATCH($C3517,DATA_ASSET_CLASSIFICATION!$A$8:$A$24,0)),"Review"))</f>
        <v>Refi Watch</v>
      </c>
      <c r="O3517" s="350" t="str">
        <f ca="1">IF($B3517="Portfolio","Portfolio",IFERROR(INDEX(DATA_ASSET_CLASSIFICATION!$AB$8:$AB$13,MATCH($N3517,DATA_ASSET_CLASSIFICATION!$AA$8:$AA$13,0)),"Review"))</f>
        <v>Bucket 2 · Legacy</v>
      </c>
      <c r="P3517" s="350" t="str">
        <f>IF($B3517="Portfolio","Portfolio",IFERROR(INDEX(DATA_ASSET_CLASSIFICATION!$C$8:$C$24,MATCH($C3517,DATA_ASSET_CLASSIFICATION!$A$8:$A$24,0)),"Review"))</f>
        <v>Yes</v>
      </c>
      <c r="Q3517" s="350" t="str">
        <f t="shared" ca="1" si="109"/>
        <v>OK</v>
      </c>
    </row>
    <row r="3518" spans="1:17">
      <c r="A3518" s="366" t="s">
        <v>5474</v>
      </c>
      <c r="B3518" s="366" t="s">
        <v>231</v>
      </c>
      <c r="C3518" s="348" t="str">
        <f>DATA_PROPERTY_MASTER!$A$16</f>
        <v>BLD_NG</v>
      </c>
      <c r="D3518" s="380">
        <f>'00_PORTFOLIO ROLLUP'!G$12</f>
        <v>2027</v>
      </c>
      <c r="E3518" s="366" t="s">
        <v>1721</v>
      </c>
      <c r="F3518" s="366" t="s">
        <v>35</v>
      </c>
      <c r="G3518" s="348" t="str">
        <f>"'"&amp;$C3518&amp;"'!$E$63:$Y$63"</f>
        <v>'BLD_NG'!$E$63:$Y$63</v>
      </c>
      <c r="H3518" s="381">
        <f ca="1">IF(IFERROR(INDEX(DATA_PROPERTY_MASTER!$E$5:$E$21,MATCH($C3518,DATA_PROPERTY_MASTER!$A$5:$A$21,0))="Yes",FALSE),IFERROR(INDEX(INDIRECT("'"&amp;$C3518&amp;"'!$E$63:$Y$63"),1,MATCH($D3518,INDIRECT("'"&amp;$C3518&amp;"'!$E$12:$Y$12"),0)),0),0)</f>
        <v>0</v>
      </c>
      <c r="I3518" s="366" t="s">
        <v>1731</v>
      </c>
      <c r="J3518" s="348" t="str">
        <f t="shared" ca="1" si="108"/>
        <v>OK</v>
      </c>
      <c r="K3518" s="366" t="s">
        <v>1732</v>
      </c>
      <c r="L3518" s="366" t="s">
        <v>2256</v>
      </c>
      <c r="M3518" s="350" t="str">
        <f>IF($B3518="Portfolio","Portfolio",IFERROR(INDEX(DATA_ASSET_CLASSIFICATION!$B$8:$B$24,MATCH($C3518,DATA_ASSET_CLASSIFICATION!$A$8:$A$24,0)),"Review"))</f>
        <v>Newton Green</v>
      </c>
      <c r="N3518" s="350" t="str">
        <f ca="1">IF($B3518="Portfolio","Portfolio",IFERROR(INDEX(DATA_ASSET_CLASSIFICATION!$U$8:$U$24,MATCH($C3518,DATA_ASSET_CLASSIFICATION!$A$8:$A$24,0)),"Review"))</f>
        <v>Refi Watch</v>
      </c>
      <c r="O3518" s="350" t="str">
        <f ca="1">IF($B3518="Portfolio","Portfolio",IFERROR(INDEX(DATA_ASSET_CLASSIFICATION!$AB$8:$AB$13,MATCH($N3518,DATA_ASSET_CLASSIFICATION!$AA$8:$AA$13,0)),"Review"))</f>
        <v>Bucket 2 · Legacy</v>
      </c>
      <c r="P3518" s="350" t="str">
        <f>IF($B3518="Portfolio","Portfolio",IFERROR(INDEX(DATA_ASSET_CLASSIFICATION!$C$8:$C$24,MATCH($C3518,DATA_ASSET_CLASSIFICATION!$A$8:$A$24,0)),"Review"))</f>
        <v>Yes</v>
      </c>
      <c r="Q3518" s="350" t="str">
        <f t="shared" ca="1" si="109"/>
        <v>OK</v>
      </c>
    </row>
    <row r="3519" spans="1:17">
      <c r="A3519" s="366" t="s">
        <v>5475</v>
      </c>
      <c r="B3519" s="366" t="s">
        <v>231</v>
      </c>
      <c r="C3519" s="348" t="str">
        <f>DATA_PROPERTY_MASTER!$A$16</f>
        <v>BLD_NG</v>
      </c>
      <c r="D3519" s="380">
        <f>'00_PORTFOLIO ROLLUP'!G$12</f>
        <v>2027</v>
      </c>
      <c r="E3519" s="366" t="s">
        <v>1721</v>
      </c>
      <c r="F3519" s="366" t="s">
        <v>37</v>
      </c>
      <c r="G3519" s="348" t="str">
        <f>"'"&amp;$C3519&amp;"'!$E$63:$Y$63"</f>
        <v>'BLD_NG'!$E$63:$Y$63</v>
      </c>
      <c r="H3519" s="381">
        <f ca="1">IF(IFERROR(INDEX(DATA_PROPERTY_MASTER!$E$5:$E$21,MATCH($C3519,DATA_PROPERTY_MASTER!$A$5:$A$21,0))="Yes",FALSE),MAX(IFERROR(INDEX(INDIRECT("'"&amp;$C3519&amp;"'!$E$63:$Y$63"),1,MATCH($D3519,INDIRECT("'"&amp;$C3519&amp;"'!$E$12:$Y$12"),0)),0),0),0)</f>
        <v>0</v>
      </c>
      <c r="I3519" s="366" t="s">
        <v>1685</v>
      </c>
      <c r="J3519" s="348" t="str">
        <f t="shared" ca="1" si="108"/>
        <v>OK</v>
      </c>
      <c r="K3519" s="366" t="s">
        <v>1735</v>
      </c>
      <c r="L3519" s="366" t="s">
        <v>2258</v>
      </c>
      <c r="M3519" s="350" t="str">
        <f>IF($B3519="Portfolio","Portfolio",IFERROR(INDEX(DATA_ASSET_CLASSIFICATION!$B$8:$B$24,MATCH($C3519,DATA_ASSET_CLASSIFICATION!$A$8:$A$24,0)),"Review"))</f>
        <v>Newton Green</v>
      </c>
      <c r="N3519" s="350" t="str">
        <f ca="1">IF($B3519="Portfolio","Portfolio",IFERROR(INDEX(DATA_ASSET_CLASSIFICATION!$U$8:$U$24,MATCH($C3519,DATA_ASSET_CLASSIFICATION!$A$8:$A$24,0)),"Review"))</f>
        <v>Refi Watch</v>
      </c>
      <c r="O3519" s="350" t="str">
        <f ca="1">IF($B3519="Portfolio","Portfolio",IFERROR(INDEX(DATA_ASSET_CLASSIFICATION!$AB$8:$AB$13,MATCH($N3519,DATA_ASSET_CLASSIFICATION!$AA$8:$AA$13,0)),"Review"))</f>
        <v>Bucket 2 · Legacy</v>
      </c>
      <c r="P3519" s="350" t="str">
        <f>IF($B3519="Portfolio","Portfolio",IFERROR(INDEX(DATA_ASSET_CLASSIFICATION!$C$8:$C$24,MATCH($C3519,DATA_ASSET_CLASSIFICATION!$A$8:$A$24,0)),"Review"))</f>
        <v>Yes</v>
      </c>
      <c r="Q3519" s="350" t="str">
        <f t="shared" ca="1" si="109"/>
        <v>OK</v>
      </c>
    </row>
    <row r="3520" spans="1:17">
      <c r="A3520" s="366" t="s">
        <v>5476</v>
      </c>
      <c r="B3520" s="366" t="s">
        <v>231</v>
      </c>
      <c r="C3520" s="348" t="str">
        <f>DATA_PROPERTY_MASTER!$A$16</f>
        <v>BLD_NG</v>
      </c>
      <c r="D3520" s="380">
        <f>'00_PORTFOLIO ROLLUP'!G$12</f>
        <v>2027</v>
      </c>
      <c r="E3520" s="366" t="s">
        <v>1721</v>
      </c>
      <c r="F3520" s="366" t="s">
        <v>39</v>
      </c>
      <c r="G3520" s="348" t="str">
        <f>"'"&amp;$C3520&amp;"'!$E$63:$Y$63"</f>
        <v>'BLD_NG'!$E$63:$Y$63</v>
      </c>
      <c r="H3520" s="381">
        <f ca="1">IF(IFERROR(INDEX(DATA_PROPERTY_MASTER!$E$5:$E$21,MATCH($C3520,DATA_PROPERTY_MASTER!$A$5:$A$21,0))="Yes",FALSE),MAX(-IFERROR(INDEX(INDIRECT("'"&amp;$C3520&amp;"'!$E$63:$Y$63"),1,MATCH($D3520,INDIRECT("'"&amp;$C3520&amp;"'!$E$12:$Y$12"),0)),0),0),0)</f>
        <v>0</v>
      </c>
      <c r="I3520" s="366" t="s">
        <v>1690</v>
      </c>
      <c r="J3520" s="348" t="str">
        <f t="shared" ca="1" si="108"/>
        <v>OK</v>
      </c>
      <c r="K3520" s="366" t="s">
        <v>1738</v>
      </c>
      <c r="L3520" s="366" t="s">
        <v>2260</v>
      </c>
      <c r="M3520" s="350" t="str">
        <f>IF($B3520="Portfolio","Portfolio",IFERROR(INDEX(DATA_ASSET_CLASSIFICATION!$B$8:$B$24,MATCH($C3520,DATA_ASSET_CLASSIFICATION!$A$8:$A$24,0)),"Review"))</f>
        <v>Newton Green</v>
      </c>
      <c r="N3520" s="350" t="str">
        <f ca="1">IF($B3520="Portfolio","Portfolio",IFERROR(INDEX(DATA_ASSET_CLASSIFICATION!$U$8:$U$24,MATCH($C3520,DATA_ASSET_CLASSIFICATION!$A$8:$A$24,0)),"Review"))</f>
        <v>Refi Watch</v>
      </c>
      <c r="O3520" s="350" t="str">
        <f ca="1">IF($B3520="Portfolio","Portfolio",IFERROR(INDEX(DATA_ASSET_CLASSIFICATION!$AB$8:$AB$13,MATCH($N3520,DATA_ASSET_CLASSIFICATION!$AA$8:$AA$13,0)),"Review"))</f>
        <v>Bucket 2 · Legacy</v>
      </c>
      <c r="P3520" s="350" t="str">
        <f>IF($B3520="Portfolio","Portfolio",IFERROR(INDEX(DATA_ASSET_CLASSIFICATION!$C$8:$C$24,MATCH($C3520,DATA_ASSET_CLASSIFICATION!$A$8:$A$24,0)),"Review"))</f>
        <v>Yes</v>
      </c>
      <c r="Q3520" s="350" t="str">
        <f t="shared" ca="1" si="109"/>
        <v>OK</v>
      </c>
    </row>
    <row r="3521" spans="1:17">
      <c r="A3521" s="366" t="s">
        <v>5477</v>
      </c>
      <c r="B3521" s="366" t="s">
        <v>231</v>
      </c>
      <c r="C3521" s="348" t="str">
        <f>DATA_PROPERTY_MASTER!$A$16</f>
        <v>BLD_NG</v>
      </c>
      <c r="D3521" s="380">
        <f>'00_PORTFOLIO ROLLUP'!G$12</f>
        <v>2027</v>
      </c>
      <c r="E3521" s="366" t="s">
        <v>1741</v>
      </c>
      <c r="F3521" s="366" t="s">
        <v>41</v>
      </c>
      <c r="G3521" s="348" t="str">
        <f>"'"&amp;$C3521&amp;"'!rows 56 + positive row 63"</f>
        <v>'BLD_NG'!rows 56 + positive row 63</v>
      </c>
      <c r="H3521" s="381">
        <f ca="1">IF(IFERROR(INDEX(DATA_PROPERTY_MASTER!$E$5:$E$21,MATCH($C3521,DATA_PROPERTY_MASTER!$A$5:$A$21,0))="Yes",FALSE),IFERROR(INDEX(INDIRECT("'"&amp;$C3521&amp;"'!$E$56:$Y$56"),1,MATCH($D3521,INDIRECT("'"&amp;$C3521&amp;"'!$E$12:$Y$12"),0)),0)+MAX(IFERROR(INDEX(INDIRECT("'"&amp;$C3521&amp;"'!$E$63:$Y$63"),1,MATCH($D3521,INDIRECT("'"&amp;$C3521&amp;"'!$E$12:$Y$12"),0)),0),0),0)</f>
        <v>11550.845383040025</v>
      </c>
      <c r="I3521" s="366" t="s">
        <v>1685</v>
      </c>
      <c r="J3521" s="348" t="str">
        <f t="shared" ca="1" si="108"/>
        <v>OK</v>
      </c>
      <c r="K3521" s="366" t="s">
        <v>1742</v>
      </c>
      <c r="L3521" s="366" t="s">
        <v>2262</v>
      </c>
      <c r="M3521" s="350" t="str">
        <f>IF($B3521="Portfolio","Portfolio",IFERROR(INDEX(DATA_ASSET_CLASSIFICATION!$B$8:$B$24,MATCH($C3521,DATA_ASSET_CLASSIFICATION!$A$8:$A$24,0)),"Review"))</f>
        <v>Newton Green</v>
      </c>
      <c r="N3521" s="350" t="str">
        <f ca="1">IF($B3521="Portfolio","Portfolio",IFERROR(INDEX(DATA_ASSET_CLASSIFICATION!$U$8:$U$24,MATCH($C3521,DATA_ASSET_CLASSIFICATION!$A$8:$A$24,0)),"Review"))</f>
        <v>Refi Watch</v>
      </c>
      <c r="O3521" s="350" t="str">
        <f ca="1">IF($B3521="Portfolio","Portfolio",IFERROR(INDEX(DATA_ASSET_CLASSIFICATION!$AB$8:$AB$13,MATCH($N3521,DATA_ASSET_CLASSIFICATION!$AA$8:$AA$13,0)),"Review"))</f>
        <v>Bucket 2 · Legacy</v>
      </c>
      <c r="P3521" s="350" t="str">
        <f>IF($B3521="Portfolio","Portfolio",IFERROR(INDEX(DATA_ASSET_CLASSIFICATION!$C$8:$C$24,MATCH($C3521,DATA_ASSET_CLASSIFICATION!$A$8:$A$24,0)),"Review"))</f>
        <v>Yes</v>
      </c>
      <c r="Q3521" s="350" t="str">
        <f t="shared" ca="1" si="109"/>
        <v>OK</v>
      </c>
    </row>
    <row r="3522" spans="1:17">
      <c r="A3522" s="366" t="s">
        <v>5478</v>
      </c>
      <c r="B3522" s="366" t="s">
        <v>231</v>
      </c>
      <c r="C3522" s="348" t="str">
        <f>DATA_PROPERTY_MASTER!$A$16</f>
        <v>BLD_NG</v>
      </c>
      <c r="D3522" s="380">
        <f>'00_PORTFOLIO ROLLUP'!G$12</f>
        <v>2027</v>
      </c>
      <c r="E3522" s="366" t="s">
        <v>1741</v>
      </c>
      <c r="F3522" s="366" t="s">
        <v>43</v>
      </c>
      <c r="G3522" s="348" t="str">
        <f>"'"&amp;$C3522&amp;"'!$E$68:$Y$68"</f>
        <v>'BLD_NG'!$E$68:$Y$68</v>
      </c>
      <c r="H3522" s="381">
        <f ca="1">IF(IFERROR(INDEX(DATA_PROPERTY_MASTER!$E$5:$E$21,MATCH($C3522,DATA_PROPERTY_MASTER!$A$5:$A$21,0))="Yes",FALSE),IFERROR(INDEX(INDIRECT("'"&amp;$C3522&amp;"'!$E$68:$Y$68"),1,MATCH($D3522,INDIRECT("'"&amp;$C3522&amp;"'!$E$12:$Y$12"),0)),0),0)</f>
        <v>11550.845383040025</v>
      </c>
      <c r="I3522" s="366" t="s">
        <v>1731</v>
      </c>
      <c r="J3522" s="348" t="str">
        <f t="shared" ca="1" si="108"/>
        <v>OK</v>
      </c>
      <c r="K3522" s="366" t="s">
        <v>1746</v>
      </c>
      <c r="L3522" s="366" t="s">
        <v>2264</v>
      </c>
      <c r="M3522" s="350" t="str">
        <f>IF($B3522="Portfolio","Portfolio",IFERROR(INDEX(DATA_ASSET_CLASSIFICATION!$B$8:$B$24,MATCH($C3522,DATA_ASSET_CLASSIFICATION!$A$8:$A$24,0)),"Review"))</f>
        <v>Newton Green</v>
      </c>
      <c r="N3522" s="350" t="str">
        <f ca="1">IF($B3522="Portfolio","Portfolio",IFERROR(INDEX(DATA_ASSET_CLASSIFICATION!$U$8:$U$24,MATCH($C3522,DATA_ASSET_CLASSIFICATION!$A$8:$A$24,0)),"Review"))</f>
        <v>Refi Watch</v>
      </c>
      <c r="O3522" s="350" t="str">
        <f ca="1">IF($B3522="Portfolio","Portfolio",IFERROR(INDEX(DATA_ASSET_CLASSIFICATION!$AB$8:$AB$13,MATCH($N3522,DATA_ASSET_CLASSIFICATION!$AA$8:$AA$13,0)),"Review"))</f>
        <v>Bucket 2 · Legacy</v>
      </c>
      <c r="P3522" s="350" t="str">
        <f>IF($B3522="Portfolio","Portfolio",IFERROR(INDEX(DATA_ASSET_CLASSIFICATION!$C$8:$C$24,MATCH($C3522,DATA_ASSET_CLASSIFICATION!$A$8:$A$24,0)),"Review"))</f>
        <v>Yes</v>
      </c>
      <c r="Q3522" s="350" t="str">
        <f t="shared" ca="1" si="109"/>
        <v>OK</v>
      </c>
    </row>
    <row r="3523" spans="1:17">
      <c r="A3523" s="366" t="s">
        <v>5479</v>
      </c>
      <c r="B3523" s="366" t="s">
        <v>231</v>
      </c>
      <c r="C3523" s="348" t="str">
        <f>DATA_PROPERTY_MASTER!$A$16</f>
        <v>BLD_NG</v>
      </c>
      <c r="D3523" s="380">
        <f>'00_PORTFOLIO ROLLUP'!G$12</f>
        <v>2027</v>
      </c>
      <c r="E3523" s="366" t="s">
        <v>1741</v>
      </c>
      <c r="F3523" s="366" t="s">
        <v>1749</v>
      </c>
      <c r="G3523" s="348" t="str">
        <f>"'"&amp;$C3523&amp;"'!rows 56, 63, 68"</f>
        <v>'BLD_NG'!rows 56, 63, 68</v>
      </c>
      <c r="H3523" s="381">
        <f ca="1">IF(IFERROR(INDEX(DATA_PROPERTY_MASTER!$E$5:$E$21,MATCH($C3523,DATA_PROPERTY_MASTER!$A$5:$A$21,0))="Yes",FALSE),(IFERROR(INDEX(INDIRECT("'"&amp;$C3523&amp;"'!$E$56:$Y$56"),1,MATCH($D3523,INDIRECT("'"&amp;$C3523&amp;"'!$E$12:$Y$12"),0)),0)+MAX(IFERROR(INDEX(INDIRECT("'"&amp;$C3523&amp;"'!$E$63:$Y$63"),1,MATCH($D3523,INDIRECT("'"&amp;$C3523&amp;"'!$E$12:$Y$12"),0)),0),0))-(IFERROR(INDEX(INDIRECT("'"&amp;$C3523&amp;"'!$E$68:$Y$68"),1,MATCH($D3523,INDIRECT("'"&amp;$C3523&amp;"'!$E$12:$Y$12"),0)),0)),0)</f>
        <v>0</v>
      </c>
      <c r="I3523" s="366" t="s">
        <v>1750</v>
      </c>
      <c r="J3523" s="348" t="str">
        <f t="shared" ca="1" si="108"/>
        <v>OK</v>
      </c>
      <c r="K3523" s="366" t="s">
        <v>1751</v>
      </c>
      <c r="L3523" s="366" t="s">
        <v>2266</v>
      </c>
      <c r="M3523" s="350" t="str">
        <f>IF($B3523="Portfolio","Portfolio",IFERROR(INDEX(DATA_ASSET_CLASSIFICATION!$B$8:$B$24,MATCH($C3523,DATA_ASSET_CLASSIFICATION!$A$8:$A$24,0)),"Review"))</f>
        <v>Newton Green</v>
      </c>
      <c r="N3523" s="350" t="str">
        <f ca="1">IF($B3523="Portfolio","Portfolio",IFERROR(INDEX(DATA_ASSET_CLASSIFICATION!$U$8:$U$24,MATCH($C3523,DATA_ASSET_CLASSIFICATION!$A$8:$A$24,0)),"Review"))</f>
        <v>Refi Watch</v>
      </c>
      <c r="O3523" s="350" t="str">
        <f ca="1">IF($B3523="Portfolio","Portfolio",IFERROR(INDEX(DATA_ASSET_CLASSIFICATION!$AB$8:$AB$13,MATCH($N3523,DATA_ASSET_CLASSIFICATION!$AA$8:$AA$13,0)),"Review"))</f>
        <v>Bucket 2 · Legacy</v>
      </c>
      <c r="P3523" s="350" t="str">
        <f>IF($B3523="Portfolio","Portfolio",IFERROR(INDEX(DATA_ASSET_CLASSIFICATION!$C$8:$C$24,MATCH($C3523,DATA_ASSET_CLASSIFICATION!$A$8:$A$24,0)),"Review"))</f>
        <v>Yes</v>
      </c>
      <c r="Q3523" s="350" t="str">
        <f t="shared" ca="1" si="109"/>
        <v>OK</v>
      </c>
    </row>
    <row r="3524" spans="1:17">
      <c r="A3524" s="366" t="s">
        <v>5480</v>
      </c>
      <c r="B3524" s="366" t="s">
        <v>231</v>
      </c>
      <c r="C3524" s="348" t="str">
        <f>DATA_PROPERTY_MASTER!$A$16</f>
        <v>BLD_NG</v>
      </c>
      <c r="D3524" s="380">
        <f>'00_PORTFOLIO ROLLUP'!H$12</f>
        <v>2028</v>
      </c>
      <c r="E3524" s="366" t="s">
        <v>1683</v>
      </c>
      <c r="F3524" s="366" t="s">
        <v>341</v>
      </c>
      <c r="G3524" s="348" t="str">
        <f>"'"&amp;$C3524&amp;"'!$E$24:$Y$24"</f>
        <v>'BLD_NG'!$E$24:$Y$24</v>
      </c>
      <c r="H3524" s="381">
        <f ca="1">IF(IFERROR(INDEX(DATA_PROPERTY_MASTER!$E$5:$E$21,MATCH($C3524,DATA_PROPERTY_MASTER!$A$5:$A$21,0))="Yes",FALSE),IFERROR(INDEX(INDIRECT("'"&amp;$C3524&amp;"'!$E$24:$Y$24"),1,MATCH($D3524,INDIRECT("'"&amp;$C3524&amp;"'!$E$12:$Y$12"),0)),0),0)</f>
        <v>824424.10151875205</v>
      </c>
      <c r="I3524" s="366" t="s">
        <v>1685</v>
      </c>
      <c r="J3524" s="348" t="str">
        <f t="shared" ca="1" si="108"/>
        <v>OK</v>
      </c>
      <c r="K3524" s="366" t="s">
        <v>1686</v>
      </c>
      <c r="L3524" s="366" t="s">
        <v>2234</v>
      </c>
      <c r="M3524" s="350" t="str">
        <f>IF($B3524="Portfolio","Portfolio",IFERROR(INDEX(DATA_ASSET_CLASSIFICATION!$B$8:$B$24,MATCH($C3524,DATA_ASSET_CLASSIFICATION!$A$8:$A$24,0)),"Review"))</f>
        <v>Newton Green</v>
      </c>
      <c r="N3524" s="350" t="str">
        <f ca="1">IF($B3524="Portfolio","Portfolio",IFERROR(INDEX(DATA_ASSET_CLASSIFICATION!$U$8:$U$24,MATCH($C3524,DATA_ASSET_CLASSIFICATION!$A$8:$A$24,0)),"Review"))</f>
        <v>Refi Watch</v>
      </c>
      <c r="O3524" s="350" t="str">
        <f ca="1">IF($B3524="Portfolio","Portfolio",IFERROR(INDEX(DATA_ASSET_CLASSIFICATION!$AB$8:$AB$13,MATCH($N3524,DATA_ASSET_CLASSIFICATION!$AA$8:$AA$13,0)),"Review"))</f>
        <v>Bucket 2 · Legacy</v>
      </c>
      <c r="P3524" s="350" t="str">
        <f>IF($B3524="Portfolio","Portfolio",IFERROR(INDEX(DATA_ASSET_CLASSIFICATION!$C$8:$C$24,MATCH($C3524,DATA_ASSET_CLASSIFICATION!$A$8:$A$24,0)),"Review"))</f>
        <v>Yes</v>
      </c>
      <c r="Q3524" s="350" t="str">
        <f t="shared" ca="1" si="109"/>
        <v>OK</v>
      </c>
    </row>
    <row r="3525" spans="1:17">
      <c r="A3525" s="366" t="s">
        <v>5481</v>
      </c>
      <c r="B3525" s="366" t="s">
        <v>231</v>
      </c>
      <c r="C3525" s="348" t="str">
        <f>DATA_PROPERTY_MASTER!$A$16</f>
        <v>BLD_NG</v>
      </c>
      <c r="D3525" s="380">
        <f>'00_PORTFOLIO ROLLUP'!H$12</f>
        <v>2028</v>
      </c>
      <c r="E3525" s="366" t="s">
        <v>1683</v>
      </c>
      <c r="F3525" s="366" t="s">
        <v>355</v>
      </c>
      <c r="G3525" s="348" t="str">
        <f>"'"&amp;$C3525&amp;"'!$E$39:$Y$39"</f>
        <v>'BLD_NG'!$E$39:$Y$39</v>
      </c>
      <c r="H3525" s="381">
        <f ca="1">IF(IFERROR(INDEX(DATA_PROPERTY_MASTER!$E$5:$E$21,MATCH($C3525,DATA_PROPERTY_MASTER!$A$5:$A$21,0))="Yes",FALSE),IFERROR(INDEX(INDIRECT("'"&amp;$C3525&amp;"'!$E$39:$Y$39"),1,MATCH($D3525,INDIRECT("'"&amp;$C3525&amp;"'!$E$12:$Y$12"),0)),0),0)</f>
        <v>349642.60198400007</v>
      </c>
      <c r="I3525" s="366" t="s">
        <v>1690</v>
      </c>
      <c r="J3525" s="348" t="str">
        <f t="shared" ref="J3525:J3588" ca="1" si="110">IF($F3525="Residual Funding Gap",IF($H3525&gt;0,"Funding Gap","OK"),IF(AND($F3525="Net Refinance Position",$H3525&lt;0),"Negative net refi position","OK"))</f>
        <v>OK</v>
      </c>
      <c r="K3525" s="366" t="s">
        <v>1686</v>
      </c>
      <c r="L3525" s="366" t="s">
        <v>2236</v>
      </c>
      <c r="M3525" s="350" t="str">
        <f>IF($B3525="Portfolio","Portfolio",IFERROR(INDEX(DATA_ASSET_CLASSIFICATION!$B$8:$B$24,MATCH($C3525,DATA_ASSET_CLASSIFICATION!$A$8:$A$24,0)),"Review"))</f>
        <v>Newton Green</v>
      </c>
      <c r="N3525" s="350" t="str">
        <f ca="1">IF($B3525="Portfolio","Portfolio",IFERROR(INDEX(DATA_ASSET_CLASSIFICATION!$U$8:$U$24,MATCH($C3525,DATA_ASSET_CLASSIFICATION!$A$8:$A$24,0)),"Review"))</f>
        <v>Refi Watch</v>
      </c>
      <c r="O3525" s="350" t="str">
        <f ca="1">IF($B3525="Portfolio","Portfolio",IFERROR(INDEX(DATA_ASSET_CLASSIFICATION!$AB$8:$AB$13,MATCH($N3525,DATA_ASSET_CLASSIFICATION!$AA$8:$AA$13,0)),"Review"))</f>
        <v>Bucket 2 · Legacy</v>
      </c>
      <c r="P3525" s="350" t="str">
        <f>IF($B3525="Portfolio","Portfolio",IFERROR(INDEX(DATA_ASSET_CLASSIFICATION!$C$8:$C$24,MATCH($C3525,DATA_ASSET_CLASSIFICATION!$A$8:$A$24,0)),"Review"))</f>
        <v>Yes</v>
      </c>
      <c r="Q3525" s="350" t="str">
        <f t="shared" ref="Q3525:Q3588" ca="1" si="111">IF(AND($B3525="Property",$F3525="Residual Funding Gap",$H3525&gt;0),"Property Funding Gap",IF($J3525&lt;&gt;"OK",$J3525,"OK"))</f>
        <v>OK</v>
      </c>
    </row>
    <row r="3526" spans="1:17">
      <c r="A3526" s="366" t="s">
        <v>5482</v>
      </c>
      <c r="B3526" s="366" t="s">
        <v>231</v>
      </c>
      <c r="C3526" s="348" t="str">
        <f>DATA_PROPERTY_MASTER!$A$16</f>
        <v>BLD_NG</v>
      </c>
      <c r="D3526" s="380">
        <f>'00_PORTFOLIO ROLLUP'!H$12</f>
        <v>2028</v>
      </c>
      <c r="E3526" s="366" t="s">
        <v>1683</v>
      </c>
      <c r="F3526" s="366" t="s">
        <v>19</v>
      </c>
      <c r="G3526" s="348" t="str">
        <f>"'"&amp;$C3526&amp;"'!$E$41:$Y$41"</f>
        <v>'BLD_NG'!$E$41:$Y$41</v>
      </c>
      <c r="H3526" s="381">
        <f ca="1">IF(IFERROR(INDEX(DATA_PROPERTY_MASTER!$E$5:$E$21,MATCH($C3526,DATA_PROPERTY_MASTER!$A$5:$A$21,0))="Yes",FALSE),IFERROR(INDEX(INDIRECT("'"&amp;$C3526&amp;"'!$E$41:$Y$41"),1,MATCH($D3526,INDIRECT("'"&amp;$C3526&amp;"'!$E$12:$Y$12"),0)),0),0)</f>
        <v>474781.49953475199</v>
      </c>
      <c r="I3526" s="366" t="s">
        <v>1685</v>
      </c>
      <c r="J3526" s="348" t="str">
        <f t="shared" ca="1" si="110"/>
        <v>OK</v>
      </c>
      <c r="K3526" s="366" t="s">
        <v>1694</v>
      </c>
      <c r="L3526" s="366" t="s">
        <v>2238</v>
      </c>
      <c r="M3526" s="350" t="str">
        <f>IF($B3526="Portfolio","Portfolio",IFERROR(INDEX(DATA_ASSET_CLASSIFICATION!$B$8:$B$24,MATCH($C3526,DATA_ASSET_CLASSIFICATION!$A$8:$A$24,0)),"Review"))</f>
        <v>Newton Green</v>
      </c>
      <c r="N3526" s="350" t="str">
        <f ca="1">IF($B3526="Portfolio","Portfolio",IFERROR(INDEX(DATA_ASSET_CLASSIFICATION!$U$8:$U$24,MATCH($C3526,DATA_ASSET_CLASSIFICATION!$A$8:$A$24,0)),"Review"))</f>
        <v>Refi Watch</v>
      </c>
      <c r="O3526" s="350" t="str">
        <f ca="1">IF($B3526="Portfolio","Portfolio",IFERROR(INDEX(DATA_ASSET_CLASSIFICATION!$AB$8:$AB$13,MATCH($N3526,DATA_ASSET_CLASSIFICATION!$AA$8:$AA$13,0)),"Review"))</f>
        <v>Bucket 2 · Legacy</v>
      </c>
      <c r="P3526" s="350" t="str">
        <f>IF($B3526="Portfolio","Portfolio",IFERROR(INDEX(DATA_ASSET_CLASSIFICATION!$C$8:$C$24,MATCH($C3526,DATA_ASSET_CLASSIFICATION!$A$8:$A$24,0)),"Review"))</f>
        <v>Yes</v>
      </c>
      <c r="Q3526" s="350" t="str">
        <f t="shared" ca="1" si="111"/>
        <v>OK</v>
      </c>
    </row>
    <row r="3527" spans="1:17">
      <c r="A3527" s="366" t="s">
        <v>5483</v>
      </c>
      <c r="B3527" s="366" t="s">
        <v>231</v>
      </c>
      <c r="C3527" s="348" t="str">
        <f>DATA_PROPERTY_MASTER!$A$16</f>
        <v>BLD_NG</v>
      </c>
      <c r="D3527" s="380">
        <f>'00_PORTFOLIO ROLLUP'!H$12</f>
        <v>2028</v>
      </c>
      <c r="E3527" s="366" t="s">
        <v>1683</v>
      </c>
      <c r="F3527" s="366" t="s">
        <v>1697</v>
      </c>
      <c r="G3527" s="348" t="str">
        <f>"'"&amp;$C3527&amp;"'!$E$44:$Y$44"</f>
        <v>'BLD_NG'!$E$44:$Y$44</v>
      </c>
      <c r="H3527" s="381">
        <f ca="1">IF(IFERROR(INDEX(DATA_PROPERTY_MASTER!$E$5:$E$21,MATCH($C3527,DATA_PROPERTY_MASTER!$A$5:$A$21,0))="Yes",FALSE),IFERROR(INDEX(INDIRECT("'"&amp;$C3527&amp;"'!$E$44:$Y$44"),1,MATCH($D3527,INDIRECT("'"&amp;$C3527&amp;"'!$E$12:$Y$12"),0)),0),0)</f>
        <v>7799.8787999999995</v>
      </c>
      <c r="I3527" s="366" t="s">
        <v>1690</v>
      </c>
      <c r="J3527" s="348" t="str">
        <f t="shared" ca="1" si="110"/>
        <v>OK</v>
      </c>
      <c r="K3527" s="366" t="s">
        <v>1699</v>
      </c>
      <c r="L3527" s="366" t="s">
        <v>2240</v>
      </c>
      <c r="M3527" s="350" t="str">
        <f>IF($B3527="Portfolio","Portfolio",IFERROR(INDEX(DATA_ASSET_CLASSIFICATION!$B$8:$B$24,MATCH($C3527,DATA_ASSET_CLASSIFICATION!$A$8:$A$24,0)),"Review"))</f>
        <v>Newton Green</v>
      </c>
      <c r="N3527" s="350" t="str">
        <f ca="1">IF($B3527="Portfolio","Portfolio",IFERROR(INDEX(DATA_ASSET_CLASSIFICATION!$U$8:$U$24,MATCH($C3527,DATA_ASSET_CLASSIFICATION!$A$8:$A$24,0)),"Review"))</f>
        <v>Refi Watch</v>
      </c>
      <c r="O3527" s="350" t="str">
        <f ca="1">IF($B3527="Portfolio","Portfolio",IFERROR(INDEX(DATA_ASSET_CLASSIFICATION!$AB$8:$AB$13,MATCH($N3527,DATA_ASSET_CLASSIFICATION!$AA$8:$AA$13,0)),"Review"))</f>
        <v>Bucket 2 · Legacy</v>
      </c>
      <c r="P3527" s="350" t="str">
        <f>IF($B3527="Portfolio","Portfolio",IFERROR(INDEX(DATA_ASSET_CLASSIFICATION!$C$8:$C$24,MATCH($C3527,DATA_ASSET_CLASSIFICATION!$A$8:$A$24,0)),"Review"))</f>
        <v>Yes</v>
      </c>
      <c r="Q3527" s="350" t="str">
        <f t="shared" ca="1" si="111"/>
        <v>OK</v>
      </c>
    </row>
    <row r="3528" spans="1:17">
      <c r="A3528" s="366" t="s">
        <v>5484</v>
      </c>
      <c r="B3528" s="366" t="s">
        <v>231</v>
      </c>
      <c r="C3528" s="348" t="str">
        <f>DATA_PROPERTY_MASTER!$A$16</f>
        <v>BLD_NG</v>
      </c>
      <c r="D3528" s="380">
        <f>'00_PORTFOLIO ROLLUP'!H$12</f>
        <v>2028</v>
      </c>
      <c r="E3528" s="366" t="s">
        <v>1683</v>
      </c>
      <c r="F3528" s="366" t="s">
        <v>21</v>
      </c>
      <c r="G3528" s="348" t="str">
        <f>"'"&amp;$C3528&amp;"'!$E$45:$Y$45"</f>
        <v>'BLD_NG'!$E$45:$Y$45</v>
      </c>
      <c r="H3528" s="381">
        <f ca="1">IF(IFERROR(INDEX(DATA_PROPERTY_MASTER!$E$5:$E$21,MATCH($C3528,DATA_PROPERTY_MASTER!$A$5:$A$21,0))="Yes",FALSE),IFERROR(INDEX(INDIRECT("'"&amp;$C3528&amp;"'!$E$45:$Y$45"),1,MATCH($D3528,INDIRECT("'"&amp;$C3528&amp;"'!$E$12:$Y$12"),0)),0),0)</f>
        <v>466981.62073475198</v>
      </c>
      <c r="I3528" s="366" t="s">
        <v>1685</v>
      </c>
      <c r="J3528" s="348" t="str">
        <f t="shared" ca="1" si="110"/>
        <v>OK</v>
      </c>
      <c r="K3528" s="366" t="s">
        <v>1694</v>
      </c>
      <c r="L3528" s="366" t="s">
        <v>2242</v>
      </c>
      <c r="M3528" s="350" t="str">
        <f>IF($B3528="Portfolio","Portfolio",IFERROR(INDEX(DATA_ASSET_CLASSIFICATION!$B$8:$B$24,MATCH($C3528,DATA_ASSET_CLASSIFICATION!$A$8:$A$24,0)),"Review"))</f>
        <v>Newton Green</v>
      </c>
      <c r="N3528" s="350" t="str">
        <f ca="1">IF($B3528="Portfolio","Portfolio",IFERROR(INDEX(DATA_ASSET_CLASSIFICATION!$U$8:$U$24,MATCH($C3528,DATA_ASSET_CLASSIFICATION!$A$8:$A$24,0)),"Review"))</f>
        <v>Refi Watch</v>
      </c>
      <c r="O3528" s="350" t="str">
        <f ca="1">IF($B3528="Portfolio","Portfolio",IFERROR(INDEX(DATA_ASSET_CLASSIFICATION!$AB$8:$AB$13,MATCH($N3528,DATA_ASSET_CLASSIFICATION!$AA$8:$AA$13,0)),"Review"))</f>
        <v>Bucket 2 · Legacy</v>
      </c>
      <c r="P3528" s="350" t="str">
        <f>IF($B3528="Portfolio","Portfolio",IFERROR(INDEX(DATA_ASSET_CLASSIFICATION!$C$8:$C$24,MATCH($C3528,DATA_ASSET_CLASSIFICATION!$A$8:$A$24,0)),"Review"))</f>
        <v>Yes</v>
      </c>
      <c r="Q3528" s="350" t="str">
        <f t="shared" ca="1" si="111"/>
        <v>OK</v>
      </c>
    </row>
    <row r="3529" spans="1:17">
      <c r="A3529" s="366" t="s">
        <v>5485</v>
      </c>
      <c r="B3529" s="366" t="s">
        <v>231</v>
      </c>
      <c r="C3529" s="348" t="str">
        <f>DATA_PROPERTY_MASTER!$A$16</f>
        <v>BLD_NG</v>
      </c>
      <c r="D3529" s="380">
        <f>'00_PORTFOLIO ROLLUP'!H$12</f>
        <v>2028</v>
      </c>
      <c r="E3529" s="366" t="s">
        <v>23</v>
      </c>
      <c r="F3529" s="366" t="s">
        <v>23</v>
      </c>
      <c r="G3529" s="348" t="str">
        <f>"'"&amp;$C3529&amp;"'!$E$48:$Y$48"</f>
        <v>'BLD_NG'!$E$48:$Y$48</v>
      </c>
      <c r="H3529" s="381">
        <f ca="1">IF(IFERROR(INDEX(DATA_PROPERTY_MASTER!$E$5:$E$21,MATCH($C3529,DATA_PROPERTY_MASTER!$A$5:$A$21,0))="Yes",FALSE),IFERROR(INDEX(INDIRECT("'"&amp;$C3529&amp;"'!$E$48:$Y$48"),1,MATCH($D3529,INDIRECT("'"&amp;$C3529&amp;"'!$E$12:$Y$12"),0)),0),0)</f>
        <v>443187</v>
      </c>
      <c r="I3529" s="366" t="s">
        <v>1690</v>
      </c>
      <c r="J3529" s="348" t="str">
        <f t="shared" ca="1" si="110"/>
        <v>OK</v>
      </c>
      <c r="K3529" s="366" t="s">
        <v>1706</v>
      </c>
      <c r="L3529" s="366" t="s">
        <v>2244</v>
      </c>
      <c r="M3529" s="350" t="str">
        <f>IF($B3529="Portfolio","Portfolio",IFERROR(INDEX(DATA_ASSET_CLASSIFICATION!$B$8:$B$24,MATCH($C3529,DATA_ASSET_CLASSIFICATION!$A$8:$A$24,0)),"Review"))</f>
        <v>Newton Green</v>
      </c>
      <c r="N3529" s="350" t="str">
        <f ca="1">IF($B3529="Portfolio","Portfolio",IFERROR(INDEX(DATA_ASSET_CLASSIFICATION!$U$8:$U$24,MATCH($C3529,DATA_ASSET_CLASSIFICATION!$A$8:$A$24,0)),"Review"))</f>
        <v>Refi Watch</v>
      </c>
      <c r="O3529" s="350" t="str">
        <f ca="1">IF($B3529="Portfolio","Portfolio",IFERROR(INDEX(DATA_ASSET_CLASSIFICATION!$AB$8:$AB$13,MATCH($N3529,DATA_ASSET_CLASSIFICATION!$AA$8:$AA$13,0)),"Review"))</f>
        <v>Bucket 2 · Legacy</v>
      </c>
      <c r="P3529" s="350" t="str">
        <f>IF($B3529="Portfolio","Portfolio",IFERROR(INDEX(DATA_ASSET_CLASSIFICATION!$C$8:$C$24,MATCH($C3529,DATA_ASSET_CLASSIFICATION!$A$8:$A$24,0)),"Review"))</f>
        <v>Yes</v>
      </c>
      <c r="Q3529" s="350" t="str">
        <f t="shared" ca="1" si="111"/>
        <v>OK</v>
      </c>
    </row>
    <row r="3530" spans="1:17">
      <c r="A3530" s="366" t="s">
        <v>5486</v>
      </c>
      <c r="B3530" s="366" t="s">
        <v>231</v>
      </c>
      <c r="C3530" s="348" t="str">
        <f>DATA_PROPERTY_MASTER!$A$16</f>
        <v>BLD_NG</v>
      </c>
      <c r="D3530" s="380">
        <f>'00_PORTFOLIO ROLLUP'!H$12</f>
        <v>2028</v>
      </c>
      <c r="E3530" s="366" t="s">
        <v>1683</v>
      </c>
      <c r="F3530" s="366" t="s">
        <v>25</v>
      </c>
      <c r="G3530" s="348" t="str">
        <f>"'"&amp;$C3530&amp;"'!$E$52:$Y$52"</f>
        <v>'BLD_NG'!$E$52:$Y$52</v>
      </c>
      <c r="H3530" s="381">
        <f ca="1">IF(IFERROR(INDEX(DATA_PROPERTY_MASTER!$E$5:$E$21,MATCH($C3530,DATA_PROPERTY_MASTER!$A$5:$A$21,0))="Yes",FALSE),IFERROR(INDEX(INDIRECT("'"&amp;$C3530&amp;"'!$E$52:$Y$52"),1,MATCH($D3530,INDIRECT("'"&amp;$C3530&amp;"'!$E$12:$Y$12"),0)),0),0)</f>
        <v>31594.499534751987</v>
      </c>
      <c r="I3530" s="366" t="s">
        <v>1685</v>
      </c>
      <c r="J3530" s="348" t="str">
        <f t="shared" ca="1" si="110"/>
        <v>OK</v>
      </c>
      <c r="K3530" s="366" t="s">
        <v>1710</v>
      </c>
      <c r="L3530" s="366" t="s">
        <v>2246</v>
      </c>
      <c r="M3530" s="350" t="str">
        <f>IF($B3530="Portfolio","Portfolio",IFERROR(INDEX(DATA_ASSET_CLASSIFICATION!$B$8:$B$24,MATCH($C3530,DATA_ASSET_CLASSIFICATION!$A$8:$A$24,0)),"Review"))</f>
        <v>Newton Green</v>
      </c>
      <c r="N3530" s="350" t="str">
        <f ca="1">IF($B3530="Portfolio","Portfolio",IFERROR(INDEX(DATA_ASSET_CLASSIFICATION!$U$8:$U$24,MATCH($C3530,DATA_ASSET_CLASSIFICATION!$A$8:$A$24,0)),"Review"))</f>
        <v>Refi Watch</v>
      </c>
      <c r="O3530" s="350" t="str">
        <f ca="1">IF($B3530="Portfolio","Portfolio",IFERROR(INDEX(DATA_ASSET_CLASSIFICATION!$AB$8:$AB$13,MATCH($N3530,DATA_ASSET_CLASSIFICATION!$AA$8:$AA$13,0)),"Review"))</f>
        <v>Bucket 2 · Legacy</v>
      </c>
      <c r="P3530" s="350" t="str">
        <f>IF($B3530="Portfolio","Portfolio",IFERROR(INDEX(DATA_ASSET_CLASSIFICATION!$C$8:$C$24,MATCH($C3530,DATA_ASSET_CLASSIFICATION!$A$8:$A$24,0)),"Review"))</f>
        <v>Yes</v>
      </c>
      <c r="Q3530" s="350" t="str">
        <f t="shared" ca="1" si="111"/>
        <v>OK</v>
      </c>
    </row>
    <row r="3531" spans="1:17">
      <c r="A3531" s="366" t="s">
        <v>5487</v>
      </c>
      <c r="B3531" s="366" t="s">
        <v>231</v>
      </c>
      <c r="C3531" s="348" t="str">
        <f>DATA_PROPERTY_MASTER!$A$16</f>
        <v>BLD_NG</v>
      </c>
      <c r="D3531" s="380">
        <f>'00_PORTFOLIO ROLLUP'!H$12</f>
        <v>2028</v>
      </c>
      <c r="E3531" s="366" t="s">
        <v>1683</v>
      </c>
      <c r="F3531" s="366" t="s">
        <v>27</v>
      </c>
      <c r="G3531" s="348" t="str">
        <f>"'"&amp;$C3531&amp;"'!$E$54:$Y$54"</f>
        <v>'BLD_NG'!$E$54:$Y$54</v>
      </c>
      <c r="H3531" s="381">
        <f ca="1">IF(IFERROR(INDEX(DATA_PROPERTY_MASTER!$E$5:$E$21,MATCH($C3531,DATA_PROPERTY_MASTER!$A$5:$A$21,0))="Yes",FALSE),IFERROR(INDEX(INDIRECT("'"&amp;$C3531&amp;"'!$E$54:$Y$54"),1,MATCH($D3531,INDIRECT("'"&amp;$C3531&amp;"'!$E$12:$Y$12"),0)),0),0)</f>
        <v>18956.699720851193</v>
      </c>
      <c r="I3531" s="366" t="s">
        <v>1690</v>
      </c>
      <c r="J3531" s="348" t="str">
        <f t="shared" ca="1" si="110"/>
        <v>OK</v>
      </c>
      <c r="K3531" s="366" t="s">
        <v>1714</v>
      </c>
      <c r="L3531" s="366" t="s">
        <v>2248</v>
      </c>
      <c r="M3531" s="350" t="str">
        <f>IF($B3531="Portfolio","Portfolio",IFERROR(INDEX(DATA_ASSET_CLASSIFICATION!$B$8:$B$24,MATCH($C3531,DATA_ASSET_CLASSIFICATION!$A$8:$A$24,0)),"Review"))</f>
        <v>Newton Green</v>
      </c>
      <c r="N3531" s="350" t="str">
        <f ca="1">IF($B3531="Portfolio","Portfolio",IFERROR(INDEX(DATA_ASSET_CLASSIFICATION!$U$8:$U$24,MATCH($C3531,DATA_ASSET_CLASSIFICATION!$A$8:$A$24,0)),"Review"))</f>
        <v>Refi Watch</v>
      </c>
      <c r="O3531" s="350" t="str">
        <f ca="1">IF($B3531="Portfolio","Portfolio",IFERROR(INDEX(DATA_ASSET_CLASSIFICATION!$AB$8:$AB$13,MATCH($N3531,DATA_ASSET_CLASSIFICATION!$AA$8:$AA$13,0)),"Review"))</f>
        <v>Bucket 2 · Legacy</v>
      </c>
      <c r="P3531" s="350" t="str">
        <f>IF($B3531="Portfolio","Portfolio",IFERROR(INDEX(DATA_ASSET_CLASSIFICATION!$C$8:$C$24,MATCH($C3531,DATA_ASSET_CLASSIFICATION!$A$8:$A$24,0)),"Review"))</f>
        <v>Yes</v>
      </c>
      <c r="Q3531" s="350" t="str">
        <f t="shared" ca="1" si="111"/>
        <v>OK</v>
      </c>
    </row>
    <row r="3532" spans="1:17">
      <c r="A3532" s="366" t="s">
        <v>5488</v>
      </c>
      <c r="B3532" s="366" t="s">
        <v>231</v>
      </c>
      <c r="C3532" s="348" t="str">
        <f>DATA_PROPERTY_MASTER!$A$16</f>
        <v>BLD_NG</v>
      </c>
      <c r="D3532" s="380">
        <f>'00_PORTFOLIO ROLLUP'!H$12</f>
        <v>2028</v>
      </c>
      <c r="E3532" s="366" t="s">
        <v>1683</v>
      </c>
      <c r="F3532" s="366" t="s">
        <v>29</v>
      </c>
      <c r="G3532" s="348" t="str">
        <f>"'"&amp;$C3532&amp;"'!$E$56:$Y$56"</f>
        <v>'BLD_NG'!$E$56:$Y$56</v>
      </c>
      <c r="H3532" s="381">
        <f ca="1">IF(IFERROR(INDEX(DATA_PROPERTY_MASTER!$E$5:$E$21,MATCH($C3532,DATA_PROPERTY_MASTER!$A$5:$A$21,0))="Yes",FALSE),IFERROR(INDEX(INDIRECT("'"&amp;$C3532&amp;"'!$E$56:$Y$56"),1,MATCH($D3532,INDIRECT("'"&amp;$C3532&amp;"'!$E$12:$Y$12"),0)),0),0)</f>
        <v>12637.799813900794</v>
      </c>
      <c r="I3532" s="366" t="s">
        <v>1685</v>
      </c>
      <c r="J3532" s="348" t="str">
        <f t="shared" ca="1" si="110"/>
        <v>OK</v>
      </c>
      <c r="K3532" s="366" t="s">
        <v>1718</v>
      </c>
      <c r="L3532" s="366" t="s">
        <v>2250</v>
      </c>
      <c r="M3532" s="350" t="str">
        <f>IF($B3532="Portfolio","Portfolio",IFERROR(INDEX(DATA_ASSET_CLASSIFICATION!$B$8:$B$24,MATCH($C3532,DATA_ASSET_CLASSIFICATION!$A$8:$A$24,0)),"Review"))</f>
        <v>Newton Green</v>
      </c>
      <c r="N3532" s="350" t="str">
        <f ca="1">IF($B3532="Portfolio","Portfolio",IFERROR(INDEX(DATA_ASSET_CLASSIFICATION!$U$8:$U$24,MATCH($C3532,DATA_ASSET_CLASSIFICATION!$A$8:$A$24,0)),"Review"))</f>
        <v>Refi Watch</v>
      </c>
      <c r="O3532" s="350" t="str">
        <f ca="1">IF($B3532="Portfolio","Portfolio",IFERROR(INDEX(DATA_ASSET_CLASSIFICATION!$AB$8:$AB$13,MATCH($N3532,DATA_ASSET_CLASSIFICATION!$AA$8:$AA$13,0)),"Review"))</f>
        <v>Bucket 2 · Legacy</v>
      </c>
      <c r="P3532" s="350" t="str">
        <f>IF($B3532="Portfolio","Portfolio",IFERROR(INDEX(DATA_ASSET_CLASSIFICATION!$C$8:$C$24,MATCH($C3532,DATA_ASSET_CLASSIFICATION!$A$8:$A$24,0)),"Review"))</f>
        <v>Yes</v>
      </c>
      <c r="Q3532" s="350" t="str">
        <f t="shared" ca="1" si="111"/>
        <v>OK</v>
      </c>
    </row>
    <row r="3533" spans="1:17">
      <c r="A3533" s="366" t="s">
        <v>5489</v>
      </c>
      <c r="B3533" s="366" t="s">
        <v>231</v>
      </c>
      <c r="C3533" s="348" t="str">
        <f>DATA_PROPERTY_MASTER!$A$16</f>
        <v>BLD_NG</v>
      </c>
      <c r="D3533" s="380">
        <f>'00_PORTFOLIO ROLLUP'!H$12</f>
        <v>2028</v>
      </c>
      <c r="E3533" s="366" t="s">
        <v>1721</v>
      </c>
      <c r="F3533" s="366" t="s">
        <v>31</v>
      </c>
      <c r="G3533" s="348" t="str">
        <f>"'"&amp;$C3533&amp;"'!$E$61:$Y$61"</f>
        <v>'BLD_NG'!$E$61:$Y$61</v>
      </c>
      <c r="H3533" s="381">
        <f ca="1">IF(IFERROR(INDEX(DATA_PROPERTY_MASTER!$E$5:$E$21,MATCH($C3533,DATA_PROPERTY_MASTER!$A$5:$A$21,0))="Yes",FALSE),IFERROR(INDEX(INDIRECT("'"&amp;$C3533&amp;"'!$E$61:$Y$61"),1,MATCH($D3533,INDIRECT("'"&amp;$C3533&amp;"'!$E$12:$Y$12"),0)),0),0)</f>
        <v>0</v>
      </c>
      <c r="I3533" s="366" t="s">
        <v>1690</v>
      </c>
      <c r="J3533" s="348" t="str">
        <f t="shared" ca="1" si="110"/>
        <v>OK</v>
      </c>
      <c r="K3533" s="366" t="s">
        <v>1723</v>
      </c>
      <c r="L3533" s="366" t="s">
        <v>2252</v>
      </c>
      <c r="M3533" s="350" t="str">
        <f>IF($B3533="Portfolio","Portfolio",IFERROR(INDEX(DATA_ASSET_CLASSIFICATION!$B$8:$B$24,MATCH($C3533,DATA_ASSET_CLASSIFICATION!$A$8:$A$24,0)),"Review"))</f>
        <v>Newton Green</v>
      </c>
      <c r="N3533" s="350" t="str">
        <f ca="1">IF($B3533="Portfolio","Portfolio",IFERROR(INDEX(DATA_ASSET_CLASSIFICATION!$U$8:$U$24,MATCH($C3533,DATA_ASSET_CLASSIFICATION!$A$8:$A$24,0)),"Review"))</f>
        <v>Refi Watch</v>
      </c>
      <c r="O3533" s="350" t="str">
        <f ca="1">IF($B3533="Portfolio","Portfolio",IFERROR(INDEX(DATA_ASSET_CLASSIFICATION!$AB$8:$AB$13,MATCH($N3533,DATA_ASSET_CLASSIFICATION!$AA$8:$AA$13,0)),"Review"))</f>
        <v>Bucket 2 · Legacy</v>
      </c>
      <c r="P3533" s="350" t="str">
        <f>IF($B3533="Portfolio","Portfolio",IFERROR(INDEX(DATA_ASSET_CLASSIFICATION!$C$8:$C$24,MATCH($C3533,DATA_ASSET_CLASSIFICATION!$A$8:$A$24,0)),"Review"))</f>
        <v>Yes</v>
      </c>
      <c r="Q3533" s="350" t="str">
        <f t="shared" ca="1" si="111"/>
        <v>OK</v>
      </c>
    </row>
    <row r="3534" spans="1:17">
      <c r="A3534" s="366" t="s">
        <v>5490</v>
      </c>
      <c r="B3534" s="366" t="s">
        <v>231</v>
      </c>
      <c r="C3534" s="348" t="str">
        <f>DATA_PROPERTY_MASTER!$A$16</f>
        <v>BLD_NG</v>
      </c>
      <c r="D3534" s="380">
        <f>'00_PORTFOLIO ROLLUP'!H$12</f>
        <v>2028</v>
      </c>
      <c r="E3534" s="366" t="s">
        <v>1721</v>
      </c>
      <c r="F3534" s="366" t="s">
        <v>33</v>
      </c>
      <c r="G3534" s="348" t="str">
        <f>"'"&amp;$C3534&amp;"'!$E$62:$Y$62"</f>
        <v>'BLD_NG'!$E$62:$Y$62</v>
      </c>
      <c r="H3534" s="381">
        <f ca="1">IF(IFERROR(INDEX(DATA_PROPERTY_MASTER!$E$5:$E$21,MATCH($C3534,DATA_PROPERTY_MASTER!$A$5:$A$21,0))="Yes",FALSE),IFERROR(INDEX(INDIRECT("'"&amp;$C3534&amp;"'!$E$62:$Y$62"),1,MATCH($D3534,INDIRECT("'"&amp;$C3534&amp;"'!$E$12:$Y$12"),0)),0),0)</f>
        <v>0</v>
      </c>
      <c r="I3534" s="366" t="s">
        <v>1685</v>
      </c>
      <c r="J3534" s="348" t="str">
        <f t="shared" ca="1" si="110"/>
        <v>OK</v>
      </c>
      <c r="K3534" s="366" t="s">
        <v>1727</v>
      </c>
      <c r="L3534" s="366" t="s">
        <v>2254</v>
      </c>
      <c r="M3534" s="350" t="str">
        <f>IF($B3534="Portfolio","Portfolio",IFERROR(INDEX(DATA_ASSET_CLASSIFICATION!$B$8:$B$24,MATCH($C3534,DATA_ASSET_CLASSIFICATION!$A$8:$A$24,0)),"Review"))</f>
        <v>Newton Green</v>
      </c>
      <c r="N3534" s="350" t="str">
        <f ca="1">IF($B3534="Portfolio","Portfolio",IFERROR(INDEX(DATA_ASSET_CLASSIFICATION!$U$8:$U$24,MATCH($C3534,DATA_ASSET_CLASSIFICATION!$A$8:$A$24,0)),"Review"))</f>
        <v>Refi Watch</v>
      </c>
      <c r="O3534" s="350" t="str">
        <f ca="1">IF($B3534="Portfolio","Portfolio",IFERROR(INDEX(DATA_ASSET_CLASSIFICATION!$AB$8:$AB$13,MATCH($N3534,DATA_ASSET_CLASSIFICATION!$AA$8:$AA$13,0)),"Review"))</f>
        <v>Bucket 2 · Legacy</v>
      </c>
      <c r="P3534" s="350" t="str">
        <f>IF($B3534="Portfolio","Portfolio",IFERROR(INDEX(DATA_ASSET_CLASSIFICATION!$C$8:$C$24,MATCH($C3534,DATA_ASSET_CLASSIFICATION!$A$8:$A$24,0)),"Review"))</f>
        <v>Yes</v>
      </c>
      <c r="Q3534" s="350" t="str">
        <f t="shared" ca="1" si="111"/>
        <v>OK</v>
      </c>
    </row>
    <row r="3535" spans="1:17">
      <c r="A3535" s="366" t="s">
        <v>5491</v>
      </c>
      <c r="B3535" s="366" t="s">
        <v>231</v>
      </c>
      <c r="C3535" s="348" t="str">
        <f>DATA_PROPERTY_MASTER!$A$16</f>
        <v>BLD_NG</v>
      </c>
      <c r="D3535" s="380">
        <f>'00_PORTFOLIO ROLLUP'!H$12</f>
        <v>2028</v>
      </c>
      <c r="E3535" s="366" t="s">
        <v>1721</v>
      </c>
      <c r="F3535" s="366" t="s">
        <v>35</v>
      </c>
      <c r="G3535" s="348" t="str">
        <f>"'"&amp;$C3535&amp;"'!$E$63:$Y$63"</f>
        <v>'BLD_NG'!$E$63:$Y$63</v>
      </c>
      <c r="H3535" s="381">
        <f ca="1">IF(IFERROR(INDEX(DATA_PROPERTY_MASTER!$E$5:$E$21,MATCH($C3535,DATA_PROPERTY_MASTER!$A$5:$A$21,0))="Yes",FALSE),IFERROR(INDEX(INDIRECT("'"&amp;$C3535&amp;"'!$E$63:$Y$63"),1,MATCH($D3535,INDIRECT("'"&amp;$C3535&amp;"'!$E$12:$Y$12"),0)),0),0)</f>
        <v>0</v>
      </c>
      <c r="I3535" s="366" t="s">
        <v>1731</v>
      </c>
      <c r="J3535" s="348" t="str">
        <f t="shared" ca="1" si="110"/>
        <v>OK</v>
      </c>
      <c r="K3535" s="366" t="s">
        <v>1732</v>
      </c>
      <c r="L3535" s="366" t="s">
        <v>2256</v>
      </c>
      <c r="M3535" s="350" t="str">
        <f>IF($B3535="Portfolio","Portfolio",IFERROR(INDEX(DATA_ASSET_CLASSIFICATION!$B$8:$B$24,MATCH($C3535,DATA_ASSET_CLASSIFICATION!$A$8:$A$24,0)),"Review"))</f>
        <v>Newton Green</v>
      </c>
      <c r="N3535" s="350" t="str">
        <f ca="1">IF($B3535="Portfolio","Portfolio",IFERROR(INDEX(DATA_ASSET_CLASSIFICATION!$U$8:$U$24,MATCH($C3535,DATA_ASSET_CLASSIFICATION!$A$8:$A$24,0)),"Review"))</f>
        <v>Refi Watch</v>
      </c>
      <c r="O3535" s="350" t="str">
        <f ca="1">IF($B3535="Portfolio","Portfolio",IFERROR(INDEX(DATA_ASSET_CLASSIFICATION!$AB$8:$AB$13,MATCH($N3535,DATA_ASSET_CLASSIFICATION!$AA$8:$AA$13,0)),"Review"))</f>
        <v>Bucket 2 · Legacy</v>
      </c>
      <c r="P3535" s="350" t="str">
        <f>IF($B3535="Portfolio","Portfolio",IFERROR(INDEX(DATA_ASSET_CLASSIFICATION!$C$8:$C$24,MATCH($C3535,DATA_ASSET_CLASSIFICATION!$A$8:$A$24,0)),"Review"))</f>
        <v>Yes</v>
      </c>
      <c r="Q3535" s="350" t="str">
        <f t="shared" ca="1" si="111"/>
        <v>OK</v>
      </c>
    </row>
    <row r="3536" spans="1:17">
      <c r="A3536" s="366" t="s">
        <v>5492</v>
      </c>
      <c r="B3536" s="366" t="s">
        <v>231</v>
      </c>
      <c r="C3536" s="348" t="str">
        <f>DATA_PROPERTY_MASTER!$A$16</f>
        <v>BLD_NG</v>
      </c>
      <c r="D3536" s="380">
        <f>'00_PORTFOLIO ROLLUP'!H$12</f>
        <v>2028</v>
      </c>
      <c r="E3536" s="366" t="s">
        <v>1721</v>
      </c>
      <c r="F3536" s="366" t="s">
        <v>37</v>
      </c>
      <c r="G3536" s="348" t="str">
        <f>"'"&amp;$C3536&amp;"'!$E$63:$Y$63"</f>
        <v>'BLD_NG'!$E$63:$Y$63</v>
      </c>
      <c r="H3536" s="381">
        <f ca="1">IF(IFERROR(INDEX(DATA_PROPERTY_MASTER!$E$5:$E$21,MATCH($C3536,DATA_PROPERTY_MASTER!$A$5:$A$21,0))="Yes",FALSE),MAX(IFERROR(INDEX(INDIRECT("'"&amp;$C3536&amp;"'!$E$63:$Y$63"),1,MATCH($D3536,INDIRECT("'"&amp;$C3536&amp;"'!$E$12:$Y$12"),0)),0),0),0)</f>
        <v>0</v>
      </c>
      <c r="I3536" s="366" t="s">
        <v>1685</v>
      </c>
      <c r="J3536" s="348" t="str">
        <f t="shared" ca="1" si="110"/>
        <v>OK</v>
      </c>
      <c r="K3536" s="366" t="s">
        <v>1735</v>
      </c>
      <c r="L3536" s="366" t="s">
        <v>2258</v>
      </c>
      <c r="M3536" s="350" t="str">
        <f>IF($B3536="Portfolio","Portfolio",IFERROR(INDEX(DATA_ASSET_CLASSIFICATION!$B$8:$B$24,MATCH($C3536,DATA_ASSET_CLASSIFICATION!$A$8:$A$24,0)),"Review"))</f>
        <v>Newton Green</v>
      </c>
      <c r="N3536" s="350" t="str">
        <f ca="1">IF($B3536="Portfolio","Portfolio",IFERROR(INDEX(DATA_ASSET_CLASSIFICATION!$U$8:$U$24,MATCH($C3536,DATA_ASSET_CLASSIFICATION!$A$8:$A$24,0)),"Review"))</f>
        <v>Refi Watch</v>
      </c>
      <c r="O3536" s="350" t="str">
        <f ca="1">IF($B3536="Portfolio","Portfolio",IFERROR(INDEX(DATA_ASSET_CLASSIFICATION!$AB$8:$AB$13,MATCH($N3536,DATA_ASSET_CLASSIFICATION!$AA$8:$AA$13,0)),"Review"))</f>
        <v>Bucket 2 · Legacy</v>
      </c>
      <c r="P3536" s="350" t="str">
        <f>IF($B3536="Portfolio","Portfolio",IFERROR(INDEX(DATA_ASSET_CLASSIFICATION!$C$8:$C$24,MATCH($C3536,DATA_ASSET_CLASSIFICATION!$A$8:$A$24,0)),"Review"))</f>
        <v>Yes</v>
      </c>
      <c r="Q3536" s="350" t="str">
        <f t="shared" ca="1" si="111"/>
        <v>OK</v>
      </c>
    </row>
    <row r="3537" spans="1:17">
      <c r="A3537" s="366" t="s">
        <v>5493</v>
      </c>
      <c r="B3537" s="366" t="s">
        <v>231</v>
      </c>
      <c r="C3537" s="348" t="str">
        <f>DATA_PROPERTY_MASTER!$A$16</f>
        <v>BLD_NG</v>
      </c>
      <c r="D3537" s="380">
        <f>'00_PORTFOLIO ROLLUP'!H$12</f>
        <v>2028</v>
      </c>
      <c r="E3537" s="366" t="s">
        <v>1721</v>
      </c>
      <c r="F3537" s="366" t="s">
        <v>39</v>
      </c>
      <c r="G3537" s="348" t="str">
        <f>"'"&amp;$C3537&amp;"'!$E$63:$Y$63"</f>
        <v>'BLD_NG'!$E$63:$Y$63</v>
      </c>
      <c r="H3537" s="381">
        <f ca="1">IF(IFERROR(INDEX(DATA_PROPERTY_MASTER!$E$5:$E$21,MATCH($C3537,DATA_PROPERTY_MASTER!$A$5:$A$21,0))="Yes",FALSE),MAX(-IFERROR(INDEX(INDIRECT("'"&amp;$C3537&amp;"'!$E$63:$Y$63"),1,MATCH($D3537,INDIRECT("'"&amp;$C3537&amp;"'!$E$12:$Y$12"),0)),0),0),0)</f>
        <v>0</v>
      </c>
      <c r="I3537" s="366" t="s">
        <v>1690</v>
      </c>
      <c r="J3537" s="348" t="str">
        <f t="shared" ca="1" si="110"/>
        <v>OK</v>
      </c>
      <c r="K3537" s="366" t="s">
        <v>1738</v>
      </c>
      <c r="L3537" s="366" t="s">
        <v>2260</v>
      </c>
      <c r="M3537" s="350" t="str">
        <f>IF($B3537="Portfolio","Portfolio",IFERROR(INDEX(DATA_ASSET_CLASSIFICATION!$B$8:$B$24,MATCH($C3537,DATA_ASSET_CLASSIFICATION!$A$8:$A$24,0)),"Review"))</f>
        <v>Newton Green</v>
      </c>
      <c r="N3537" s="350" t="str">
        <f ca="1">IF($B3537="Portfolio","Portfolio",IFERROR(INDEX(DATA_ASSET_CLASSIFICATION!$U$8:$U$24,MATCH($C3537,DATA_ASSET_CLASSIFICATION!$A$8:$A$24,0)),"Review"))</f>
        <v>Refi Watch</v>
      </c>
      <c r="O3537" s="350" t="str">
        <f ca="1">IF($B3537="Portfolio","Portfolio",IFERROR(INDEX(DATA_ASSET_CLASSIFICATION!$AB$8:$AB$13,MATCH($N3537,DATA_ASSET_CLASSIFICATION!$AA$8:$AA$13,0)),"Review"))</f>
        <v>Bucket 2 · Legacy</v>
      </c>
      <c r="P3537" s="350" t="str">
        <f>IF($B3537="Portfolio","Portfolio",IFERROR(INDEX(DATA_ASSET_CLASSIFICATION!$C$8:$C$24,MATCH($C3537,DATA_ASSET_CLASSIFICATION!$A$8:$A$24,0)),"Review"))</f>
        <v>Yes</v>
      </c>
      <c r="Q3537" s="350" t="str">
        <f t="shared" ca="1" si="111"/>
        <v>OK</v>
      </c>
    </row>
    <row r="3538" spans="1:17">
      <c r="A3538" s="366" t="s">
        <v>5494</v>
      </c>
      <c r="B3538" s="366" t="s">
        <v>231</v>
      </c>
      <c r="C3538" s="348" t="str">
        <f>DATA_PROPERTY_MASTER!$A$16</f>
        <v>BLD_NG</v>
      </c>
      <c r="D3538" s="380">
        <f>'00_PORTFOLIO ROLLUP'!H$12</f>
        <v>2028</v>
      </c>
      <c r="E3538" s="366" t="s">
        <v>1741</v>
      </c>
      <c r="F3538" s="366" t="s">
        <v>41</v>
      </c>
      <c r="G3538" s="348" t="str">
        <f>"'"&amp;$C3538&amp;"'!rows 56 + positive row 63"</f>
        <v>'BLD_NG'!rows 56 + positive row 63</v>
      </c>
      <c r="H3538" s="381">
        <f ca="1">IF(IFERROR(INDEX(DATA_PROPERTY_MASTER!$E$5:$E$21,MATCH($C3538,DATA_PROPERTY_MASTER!$A$5:$A$21,0))="Yes",FALSE),IFERROR(INDEX(INDIRECT("'"&amp;$C3538&amp;"'!$E$56:$Y$56"),1,MATCH($D3538,INDIRECT("'"&amp;$C3538&amp;"'!$E$12:$Y$12"),0)),0)+MAX(IFERROR(INDEX(INDIRECT("'"&amp;$C3538&amp;"'!$E$63:$Y$63"),1,MATCH($D3538,INDIRECT("'"&amp;$C3538&amp;"'!$E$12:$Y$12"),0)),0),0),0)</f>
        <v>12637.799813900794</v>
      </c>
      <c r="I3538" s="366" t="s">
        <v>1685</v>
      </c>
      <c r="J3538" s="348" t="str">
        <f t="shared" ca="1" si="110"/>
        <v>OK</v>
      </c>
      <c r="K3538" s="366" t="s">
        <v>1742</v>
      </c>
      <c r="L3538" s="366" t="s">
        <v>2262</v>
      </c>
      <c r="M3538" s="350" t="str">
        <f>IF($B3538="Portfolio","Portfolio",IFERROR(INDEX(DATA_ASSET_CLASSIFICATION!$B$8:$B$24,MATCH($C3538,DATA_ASSET_CLASSIFICATION!$A$8:$A$24,0)),"Review"))</f>
        <v>Newton Green</v>
      </c>
      <c r="N3538" s="350" t="str">
        <f ca="1">IF($B3538="Portfolio","Portfolio",IFERROR(INDEX(DATA_ASSET_CLASSIFICATION!$U$8:$U$24,MATCH($C3538,DATA_ASSET_CLASSIFICATION!$A$8:$A$24,0)),"Review"))</f>
        <v>Refi Watch</v>
      </c>
      <c r="O3538" s="350" t="str">
        <f ca="1">IF($B3538="Portfolio","Portfolio",IFERROR(INDEX(DATA_ASSET_CLASSIFICATION!$AB$8:$AB$13,MATCH($N3538,DATA_ASSET_CLASSIFICATION!$AA$8:$AA$13,0)),"Review"))</f>
        <v>Bucket 2 · Legacy</v>
      </c>
      <c r="P3538" s="350" t="str">
        <f>IF($B3538="Portfolio","Portfolio",IFERROR(INDEX(DATA_ASSET_CLASSIFICATION!$C$8:$C$24,MATCH($C3538,DATA_ASSET_CLASSIFICATION!$A$8:$A$24,0)),"Review"))</f>
        <v>Yes</v>
      </c>
      <c r="Q3538" s="350" t="str">
        <f t="shared" ca="1" si="111"/>
        <v>OK</v>
      </c>
    </row>
    <row r="3539" spans="1:17">
      <c r="A3539" s="366" t="s">
        <v>5495</v>
      </c>
      <c r="B3539" s="366" t="s">
        <v>231</v>
      </c>
      <c r="C3539" s="348" t="str">
        <f>DATA_PROPERTY_MASTER!$A$16</f>
        <v>BLD_NG</v>
      </c>
      <c r="D3539" s="380">
        <f>'00_PORTFOLIO ROLLUP'!H$12</f>
        <v>2028</v>
      </c>
      <c r="E3539" s="366" t="s">
        <v>1741</v>
      </c>
      <c r="F3539" s="366" t="s">
        <v>43</v>
      </c>
      <c r="G3539" s="348" t="str">
        <f>"'"&amp;$C3539&amp;"'!$E$68:$Y$68"</f>
        <v>'BLD_NG'!$E$68:$Y$68</v>
      </c>
      <c r="H3539" s="381">
        <f ca="1">IF(IFERROR(INDEX(DATA_PROPERTY_MASTER!$E$5:$E$21,MATCH($C3539,DATA_PROPERTY_MASTER!$A$5:$A$21,0))="Yes",FALSE),IFERROR(INDEX(INDIRECT("'"&amp;$C3539&amp;"'!$E$68:$Y$68"),1,MATCH($D3539,INDIRECT("'"&amp;$C3539&amp;"'!$E$12:$Y$12"),0)),0),0)</f>
        <v>12637.799813900794</v>
      </c>
      <c r="I3539" s="366" t="s">
        <v>1731</v>
      </c>
      <c r="J3539" s="348" t="str">
        <f t="shared" ca="1" si="110"/>
        <v>OK</v>
      </c>
      <c r="K3539" s="366" t="s">
        <v>1746</v>
      </c>
      <c r="L3539" s="366" t="s">
        <v>2264</v>
      </c>
      <c r="M3539" s="350" t="str">
        <f>IF($B3539="Portfolio","Portfolio",IFERROR(INDEX(DATA_ASSET_CLASSIFICATION!$B$8:$B$24,MATCH($C3539,DATA_ASSET_CLASSIFICATION!$A$8:$A$24,0)),"Review"))</f>
        <v>Newton Green</v>
      </c>
      <c r="N3539" s="350" t="str">
        <f ca="1">IF($B3539="Portfolio","Portfolio",IFERROR(INDEX(DATA_ASSET_CLASSIFICATION!$U$8:$U$24,MATCH($C3539,DATA_ASSET_CLASSIFICATION!$A$8:$A$24,0)),"Review"))</f>
        <v>Refi Watch</v>
      </c>
      <c r="O3539" s="350" t="str">
        <f ca="1">IF($B3539="Portfolio","Portfolio",IFERROR(INDEX(DATA_ASSET_CLASSIFICATION!$AB$8:$AB$13,MATCH($N3539,DATA_ASSET_CLASSIFICATION!$AA$8:$AA$13,0)),"Review"))</f>
        <v>Bucket 2 · Legacy</v>
      </c>
      <c r="P3539" s="350" t="str">
        <f>IF($B3539="Portfolio","Portfolio",IFERROR(INDEX(DATA_ASSET_CLASSIFICATION!$C$8:$C$24,MATCH($C3539,DATA_ASSET_CLASSIFICATION!$A$8:$A$24,0)),"Review"))</f>
        <v>Yes</v>
      </c>
      <c r="Q3539" s="350" t="str">
        <f t="shared" ca="1" si="111"/>
        <v>OK</v>
      </c>
    </row>
    <row r="3540" spans="1:17">
      <c r="A3540" s="366" t="s">
        <v>5496</v>
      </c>
      <c r="B3540" s="366" t="s">
        <v>231</v>
      </c>
      <c r="C3540" s="348" t="str">
        <f>DATA_PROPERTY_MASTER!$A$16</f>
        <v>BLD_NG</v>
      </c>
      <c r="D3540" s="380">
        <f>'00_PORTFOLIO ROLLUP'!H$12</f>
        <v>2028</v>
      </c>
      <c r="E3540" s="366" t="s">
        <v>1741</v>
      </c>
      <c r="F3540" s="366" t="s">
        <v>1749</v>
      </c>
      <c r="G3540" s="348" t="str">
        <f>"'"&amp;$C3540&amp;"'!rows 56, 63, 68"</f>
        <v>'BLD_NG'!rows 56, 63, 68</v>
      </c>
      <c r="H3540" s="381">
        <f ca="1">IF(IFERROR(INDEX(DATA_PROPERTY_MASTER!$E$5:$E$21,MATCH($C3540,DATA_PROPERTY_MASTER!$A$5:$A$21,0))="Yes",FALSE),(IFERROR(INDEX(INDIRECT("'"&amp;$C3540&amp;"'!$E$56:$Y$56"),1,MATCH($D3540,INDIRECT("'"&amp;$C3540&amp;"'!$E$12:$Y$12"),0)),0)+MAX(IFERROR(INDEX(INDIRECT("'"&amp;$C3540&amp;"'!$E$63:$Y$63"),1,MATCH($D3540,INDIRECT("'"&amp;$C3540&amp;"'!$E$12:$Y$12"),0)),0),0))-(IFERROR(INDEX(INDIRECT("'"&amp;$C3540&amp;"'!$E$68:$Y$68"),1,MATCH($D3540,INDIRECT("'"&amp;$C3540&amp;"'!$E$12:$Y$12"),0)),0)),0)</f>
        <v>0</v>
      </c>
      <c r="I3540" s="366" t="s">
        <v>1750</v>
      </c>
      <c r="J3540" s="348" t="str">
        <f t="shared" ca="1" si="110"/>
        <v>OK</v>
      </c>
      <c r="K3540" s="366" t="s">
        <v>1751</v>
      </c>
      <c r="L3540" s="366" t="s">
        <v>2266</v>
      </c>
      <c r="M3540" s="350" t="str">
        <f>IF($B3540="Portfolio","Portfolio",IFERROR(INDEX(DATA_ASSET_CLASSIFICATION!$B$8:$B$24,MATCH($C3540,DATA_ASSET_CLASSIFICATION!$A$8:$A$24,0)),"Review"))</f>
        <v>Newton Green</v>
      </c>
      <c r="N3540" s="350" t="str">
        <f ca="1">IF($B3540="Portfolio","Portfolio",IFERROR(INDEX(DATA_ASSET_CLASSIFICATION!$U$8:$U$24,MATCH($C3540,DATA_ASSET_CLASSIFICATION!$A$8:$A$24,0)),"Review"))</f>
        <v>Refi Watch</v>
      </c>
      <c r="O3540" s="350" t="str">
        <f ca="1">IF($B3540="Portfolio","Portfolio",IFERROR(INDEX(DATA_ASSET_CLASSIFICATION!$AB$8:$AB$13,MATCH($N3540,DATA_ASSET_CLASSIFICATION!$AA$8:$AA$13,0)),"Review"))</f>
        <v>Bucket 2 · Legacy</v>
      </c>
      <c r="P3540" s="350" t="str">
        <f>IF($B3540="Portfolio","Portfolio",IFERROR(INDEX(DATA_ASSET_CLASSIFICATION!$C$8:$C$24,MATCH($C3540,DATA_ASSET_CLASSIFICATION!$A$8:$A$24,0)),"Review"))</f>
        <v>Yes</v>
      </c>
      <c r="Q3540" s="350" t="str">
        <f t="shared" ca="1" si="111"/>
        <v>OK</v>
      </c>
    </row>
    <row r="3541" spans="1:17">
      <c r="A3541" s="366" t="s">
        <v>5497</v>
      </c>
      <c r="B3541" s="366" t="s">
        <v>231</v>
      </c>
      <c r="C3541" s="348" t="str">
        <f>DATA_PROPERTY_MASTER!$A$16</f>
        <v>BLD_NG</v>
      </c>
      <c r="D3541" s="380">
        <f>'00_PORTFOLIO ROLLUP'!I$12</f>
        <v>2029</v>
      </c>
      <c r="E3541" s="366" t="s">
        <v>1683</v>
      </c>
      <c r="F3541" s="366" t="s">
        <v>341</v>
      </c>
      <c r="G3541" s="348" t="str">
        <f>"'"&amp;$C3541&amp;"'!$E$24:$Y$24"</f>
        <v>'BLD_NG'!$E$24:$Y$24</v>
      </c>
      <c r="H3541" s="381">
        <f ca="1">IF(IFERROR(INDEX(DATA_PROPERTY_MASTER!$E$5:$E$21,MATCH($C3541,DATA_PROPERTY_MASTER!$A$5:$A$21,0))="Yes",FALSE),IFERROR(INDEX(INDIRECT("'"&amp;$C3541&amp;"'!$E$24:$Y$24"),1,MATCH($D3541,INDIRECT("'"&amp;$C3541&amp;"'!$E$12:$Y$12"),0)),0),0)</f>
        <v>840912.58354912722</v>
      </c>
      <c r="I3541" s="366" t="s">
        <v>1685</v>
      </c>
      <c r="J3541" s="348" t="str">
        <f t="shared" ca="1" si="110"/>
        <v>OK</v>
      </c>
      <c r="K3541" s="366" t="s">
        <v>1686</v>
      </c>
      <c r="L3541" s="366" t="s">
        <v>2234</v>
      </c>
      <c r="M3541" s="350" t="str">
        <f>IF($B3541="Portfolio","Portfolio",IFERROR(INDEX(DATA_ASSET_CLASSIFICATION!$B$8:$B$24,MATCH($C3541,DATA_ASSET_CLASSIFICATION!$A$8:$A$24,0)),"Review"))</f>
        <v>Newton Green</v>
      </c>
      <c r="N3541" s="350" t="str">
        <f ca="1">IF($B3541="Portfolio","Portfolio",IFERROR(INDEX(DATA_ASSET_CLASSIFICATION!$U$8:$U$24,MATCH($C3541,DATA_ASSET_CLASSIFICATION!$A$8:$A$24,0)),"Review"))</f>
        <v>Refi Watch</v>
      </c>
      <c r="O3541" s="350" t="str">
        <f ca="1">IF($B3541="Portfolio","Portfolio",IFERROR(INDEX(DATA_ASSET_CLASSIFICATION!$AB$8:$AB$13,MATCH($N3541,DATA_ASSET_CLASSIFICATION!$AA$8:$AA$13,0)),"Review"))</f>
        <v>Bucket 2 · Legacy</v>
      </c>
      <c r="P3541" s="350" t="str">
        <f>IF($B3541="Portfolio","Portfolio",IFERROR(INDEX(DATA_ASSET_CLASSIFICATION!$C$8:$C$24,MATCH($C3541,DATA_ASSET_CLASSIFICATION!$A$8:$A$24,0)),"Review"))</f>
        <v>Yes</v>
      </c>
      <c r="Q3541" s="350" t="str">
        <f t="shared" ca="1" si="111"/>
        <v>OK</v>
      </c>
    </row>
    <row r="3542" spans="1:17">
      <c r="A3542" s="366" t="s">
        <v>5498</v>
      </c>
      <c r="B3542" s="366" t="s">
        <v>231</v>
      </c>
      <c r="C3542" s="348" t="str">
        <f>DATA_PROPERTY_MASTER!$A$16</f>
        <v>BLD_NG</v>
      </c>
      <c r="D3542" s="380">
        <f>'00_PORTFOLIO ROLLUP'!I$12</f>
        <v>2029</v>
      </c>
      <c r="E3542" s="366" t="s">
        <v>1683</v>
      </c>
      <c r="F3542" s="366" t="s">
        <v>355</v>
      </c>
      <c r="G3542" s="348" t="str">
        <f>"'"&amp;$C3542&amp;"'!$E$39:$Y$39"</f>
        <v>'BLD_NG'!$E$39:$Y$39</v>
      </c>
      <c r="H3542" s="381">
        <f ca="1">IF(IFERROR(INDEX(DATA_PROPERTY_MASTER!$E$5:$E$21,MATCH($C3542,DATA_PROPERTY_MASTER!$A$5:$A$21,0))="Yes",FALSE),IFERROR(INDEX(INDIRECT("'"&amp;$C3542&amp;"'!$E$39:$Y$39"),1,MATCH($D3542,INDIRECT("'"&amp;$C3542&amp;"'!$E$12:$Y$12"),0)),0),0)</f>
        <v>363628.30606336007</v>
      </c>
      <c r="I3542" s="366" t="s">
        <v>1690</v>
      </c>
      <c r="J3542" s="348" t="str">
        <f t="shared" ca="1" si="110"/>
        <v>OK</v>
      </c>
      <c r="K3542" s="366" t="s">
        <v>1686</v>
      </c>
      <c r="L3542" s="366" t="s">
        <v>2236</v>
      </c>
      <c r="M3542" s="350" t="str">
        <f>IF($B3542="Portfolio","Portfolio",IFERROR(INDEX(DATA_ASSET_CLASSIFICATION!$B$8:$B$24,MATCH($C3542,DATA_ASSET_CLASSIFICATION!$A$8:$A$24,0)),"Review"))</f>
        <v>Newton Green</v>
      </c>
      <c r="N3542" s="350" t="str">
        <f ca="1">IF($B3542="Portfolio","Portfolio",IFERROR(INDEX(DATA_ASSET_CLASSIFICATION!$U$8:$U$24,MATCH($C3542,DATA_ASSET_CLASSIFICATION!$A$8:$A$24,0)),"Review"))</f>
        <v>Refi Watch</v>
      </c>
      <c r="O3542" s="350" t="str">
        <f ca="1">IF($B3542="Portfolio","Portfolio",IFERROR(INDEX(DATA_ASSET_CLASSIFICATION!$AB$8:$AB$13,MATCH($N3542,DATA_ASSET_CLASSIFICATION!$AA$8:$AA$13,0)),"Review"))</f>
        <v>Bucket 2 · Legacy</v>
      </c>
      <c r="P3542" s="350" t="str">
        <f>IF($B3542="Portfolio","Portfolio",IFERROR(INDEX(DATA_ASSET_CLASSIFICATION!$C$8:$C$24,MATCH($C3542,DATA_ASSET_CLASSIFICATION!$A$8:$A$24,0)),"Review"))</f>
        <v>Yes</v>
      </c>
      <c r="Q3542" s="350" t="str">
        <f t="shared" ca="1" si="111"/>
        <v>OK</v>
      </c>
    </row>
    <row r="3543" spans="1:17">
      <c r="A3543" s="366" t="s">
        <v>5499</v>
      </c>
      <c r="B3543" s="366" t="s">
        <v>231</v>
      </c>
      <c r="C3543" s="348" t="str">
        <f>DATA_PROPERTY_MASTER!$A$16</f>
        <v>BLD_NG</v>
      </c>
      <c r="D3543" s="380">
        <f>'00_PORTFOLIO ROLLUP'!I$12</f>
        <v>2029</v>
      </c>
      <c r="E3543" s="366" t="s">
        <v>1683</v>
      </c>
      <c r="F3543" s="366" t="s">
        <v>19</v>
      </c>
      <c r="G3543" s="348" t="str">
        <f>"'"&amp;$C3543&amp;"'!$E$41:$Y$41"</f>
        <v>'BLD_NG'!$E$41:$Y$41</v>
      </c>
      <c r="H3543" s="381">
        <f ca="1">IF(IFERROR(INDEX(DATA_PROPERTY_MASTER!$E$5:$E$21,MATCH($C3543,DATA_PROPERTY_MASTER!$A$5:$A$21,0))="Yes",FALSE),IFERROR(INDEX(INDIRECT("'"&amp;$C3543&amp;"'!$E$41:$Y$41"),1,MATCH($D3543,INDIRECT("'"&amp;$C3543&amp;"'!$E$12:$Y$12"),0)),0),0)</f>
        <v>477284.27748576715</v>
      </c>
      <c r="I3543" s="366" t="s">
        <v>1685</v>
      </c>
      <c r="J3543" s="348" t="str">
        <f t="shared" ca="1" si="110"/>
        <v>OK</v>
      </c>
      <c r="K3543" s="366" t="s">
        <v>1694</v>
      </c>
      <c r="L3543" s="366" t="s">
        <v>2238</v>
      </c>
      <c r="M3543" s="350" t="str">
        <f>IF($B3543="Portfolio","Portfolio",IFERROR(INDEX(DATA_ASSET_CLASSIFICATION!$B$8:$B$24,MATCH($C3543,DATA_ASSET_CLASSIFICATION!$A$8:$A$24,0)),"Review"))</f>
        <v>Newton Green</v>
      </c>
      <c r="N3543" s="350" t="str">
        <f ca="1">IF($B3543="Portfolio","Portfolio",IFERROR(INDEX(DATA_ASSET_CLASSIFICATION!$U$8:$U$24,MATCH($C3543,DATA_ASSET_CLASSIFICATION!$A$8:$A$24,0)),"Review"))</f>
        <v>Refi Watch</v>
      </c>
      <c r="O3543" s="350" t="str">
        <f ca="1">IF($B3543="Portfolio","Portfolio",IFERROR(INDEX(DATA_ASSET_CLASSIFICATION!$AB$8:$AB$13,MATCH($N3543,DATA_ASSET_CLASSIFICATION!$AA$8:$AA$13,0)),"Review"))</f>
        <v>Bucket 2 · Legacy</v>
      </c>
      <c r="P3543" s="350" t="str">
        <f>IF($B3543="Portfolio","Portfolio",IFERROR(INDEX(DATA_ASSET_CLASSIFICATION!$C$8:$C$24,MATCH($C3543,DATA_ASSET_CLASSIFICATION!$A$8:$A$24,0)),"Review"))</f>
        <v>Yes</v>
      </c>
      <c r="Q3543" s="350" t="str">
        <f t="shared" ca="1" si="111"/>
        <v>OK</v>
      </c>
    </row>
    <row r="3544" spans="1:17">
      <c r="A3544" s="366" t="s">
        <v>5500</v>
      </c>
      <c r="B3544" s="366" t="s">
        <v>231</v>
      </c>
      <c r="C3544" s="348" t="str">
        <f>DATA_PROPERTY_MASTER!$A$16</f>
        <v>BLD_NG</v>
      </c>
      <c r="D3544" s="380">
        <f>'00_PORTFOLIO ROLLUP'!I$12</f>
        <v>2029</v>
      </c>
      <c r="E3544" s="366" t="s">
        <v>1683</v>
      </c>
      <c r="F3544" s="366" t="s">
        <v>1697</v>
      </c>
      <c r="G3544" s="348" t="str">
        <f>"'"&amp;$C3544&amp;"'!$E$44:$Y$44"</f>
        <v>'BLD_NG'!$E$44:$Y$44</v>
      </c>
      <c r="H3544" s="381">
        <f ca="1">IF(IFERROR(INDEX(DATA_PROPERTY_MASTER!$E$5:$E$21,MATCH($C3544,DATA_PROPERTY_MASTER!$A$5:$A$21,0))="Yes",FALSE),IFERROR(INDEX(INDIRECT("'"&amp;$C3544&amp;"'!$E$44:$Y$44"),1,MATCH($D3544,INDIRECT("'"&amp;$C3544&amp;"'!$E$12:$Y$12"),0)),0),0)</f>
        <v>7955.8763760000002</v>
      </c>
      <c r="I3544" s="366" t="s">
        <v>1690</v>
      </c>
      <c r="J3544" s="348" t="str">
        <f t="shared" ca="1" si="110"/>
        <v>OK</v>
      </c>
      <c r="K3544" s="366" t="s">
        <v>1699</v>
      </c>
      <c r="L3544" s="366" t="s">
        <v>2240</v>
      </c>
      <c r="M3544" s="350" t="str">
        <f>IF($B3544="Portfolio","Portfolio",IFERROR(INDEX(DATA_ASSET_CLASSIFICATION!$B$8:$B$24,MATCH($C3544,DATA_ASSET_CLASSIFICATION!$A$8:$A$24,0)),"Review"))</f>
        <v>Newton Green</v>
      </c>
      <c r="N3544" s="350" t="str">
        <f ca="1">IF($B3544="Portfolio","Portfolio",IFERROR(INDEX(DATA_ASSET_CLASSIFICATION!$U$8:$U$24,MATCH($C3544,DATA_ASSET_CLASSIFICATION!$A$8:$A$24,0)),"Review"))</f>
        <v>Refi Watch</v>
      </c>
      <c r="O3544" s="350" t="str">
        <f ca="1">IF($B3544="Portfolio","Portfolio",IFERROR(INDEX(DATA_ASSET_CLASSIFICATION!$AB$8:$AB$13,MATCH($N3544,DATA_ASSET_CLASSIFICATION!$AA$8:$AA$13,0)),"Review"))</f>
        <v>Bucket 2 · Legacy</v>
      </c>
      <c r="P3544" s="350" t="str">
        <f>IF($B3544="Portfolio","Portfolio",IFERROR(INDEX(DATA_ASSET_CLASSIFICATION!$C$8:$C$24,MATCH($C3544,DATA_ASSET_CLASSIFICATION!$A$8:$A$24,0)),"Review"))</f>
        <v>Yes</v>
      </c>
      <c r="Q3544" s="350" t="str">
        <f t="shared" ca="1" si="111"/>
        <v>OK</v>
      </c>
    </row>
    <row r="3545" spans="1:17">
      <c r="A3545" s="366" t="s">
        <v>5501</v>
      </c>
      <c r="B3545" s="366" t="s">
        <v>231</v>
      </c>
      <c r="C3545" s="348" t="str">
        <f>DATA_PROPERTY_MASTER!$A$16</f>
        <v>BLD_NG</v>
      </c>
      <c r="D3545" s="380">
        <f>'00_PORTFOLIO ROLLUP'!I$12</f>
        <v>2029</v>
      </c>
      <c r="E3545" s="366" t="s">
        <v>1683</v>
      </c>
      <c r="F3545" s="366" t="s">
        <v>21</v>
      </c>
      <c r="G3545" s="348" t="str">
        <f>"'"&amp;$C3545&amp;"'!$E$45:$Y$45"</f>
        <v>'BLD_NG'!$E$45:$Y$45</v>
      </c>
      <c r="H3545" s="381">
        <f ca="1">IF(IFERROR(INDEX(DATA_PROPERTY_MASTER!$E$5:$E$21,MATCH($C3545,DATA_PROPERTY_MASTER!$A$5:$A$21,0))="Yes",FALSE),IFERROR(INDEX(INDIRECT("'"&amp;$C3545&amp;"'!$E$45:$Y$45"),1,MATCH($D3545,INDIRECT("'"&amp;$C3545&amp;"'!$E$12:$Y$12"),0)),0),0)</f>
        <v>469328.40110976715</v>
      </c>
      <c r="I3545" s="366" t="s">
        <v>1685</v>
      </c>
      <c r="J3545" s="348" t="str">
        <f t="shared" ca="1" si="110"/>
        <v>OK</v>
      </c>
      <c r="K3545" s="366" t="s">
        <v>1694</v>
      </c>
      <c r="L3545" s="366" t="s">
        <v>2242</v>
      </c>
      <c r="M3545" s="350" t="str">
        <f>IF($B3545="Portfolio","Portfolio",IFERROR(INDEX(DATA_ASSET_CLASSIFICATION!$B$8:$B$24,MATCH($C3545,DATA_ASSET_CLASSIFICATION!$A$8:$A$24,0)),"Review"))</f>
        <v>Newton Green</v>
      </c>
      <c r="N3545" s="350" t="str">
        <f ca="1">IF($B3545="Portfolio","Portfolio",IFERROR(INDEX(DATA_ASSET_CLASSIFICATION!$U$8:$U$24,MATCH($C3545,DATA_ASSET_CLASSIFICATION!$A$8:$A$24,0)),"Review"))</f>
        <v>Refi Watch</v>
      </c>
      <c r="O3545" s="350" t="str">
        <f ca="1">IF($B3545="Portfolio","Portfolio",IFERROR(INDEX(DATA_ASSET_CLASSIFICATION!$AB$8:$AB$13,MATCH($N3545,DATA_ASSET_CLASSIFICATION!$AA$8:$AA$13,0)),"Review"))</f>
        <v>Bucket 2 · Legacy</v>
      </c>
      <c r="P3545" s="350" t="str">
        <f>IF($B3545="Portfolio","Portfolio",IFERROR(INDEX(DATA_ASSET_CLASSIFICATION!$C$8:$C$24,MATCH($C3545,DATA_ASSET_CLASSIFICATION!$A$8:$A$24,0)),"Review"))</f>
        <v>Yes</v>
      </c>
      <c r="Q3545" s="350" t="str">
        <f t="shared" ca="1" si="111"/>
        <v>OK</v>
      </c>
    </row>
    <row r="3546" spans="1:17">
      <c r="A3546" s="366" t="s">
        <v>5502</v>
      </c>
      <c r="B3546" s="366" t="s">
        <v>231</v>
      </c>
      <c r="C3546" s="348" t="str">
        <f>DATA_PROPERTY_MASTER!$A$16</f>
        <v>BLD_NG</v>
      </c>
      <c r="D3546" s="380">
        <f>'00_PORTFOLIO ROLLUP'!I$12</f>
        <v>2029</v>
      </c>
      <c r="E3546" s="366" t="s">
        <v>23</v>
      </c>
      <c r="F3546" s="366" t="s">
        <v>23</v>
      </c>
      <c r="G3546" s="348" t="str">
        <f>"'"&amp;$C3546&amp;"'!$E$48:$Y$48"</f>
        <v>'BLD_NG'!$E$48:$Y$48</v>
      </c>
      <c r="H3546" s="381">
        <f ca="1">IF(IFERROR(INDEX(DATA_PROPERTY_MASTER!$E$5:$E$21,MATCH($C3546,DATA_PROPERTY_MASTER!$A$5:$A$21,0))="Yes",FALSE),IFERROR(INDEX(INDIRECT("'"&amp;$C3546&amp;"'!$E$48:$Y$48"),1,MATCH($D3546,INDIRECT("'"&amp;$C3546&amp;"'!$E$12:$Y$12"),0)),0),0)</f>
        <v>443187</v>
      </c>
      <c r="I3546" s="366" t="s">
        <v>1690</v>
      </c>
      <c r="J3546" s="348" t="str">
        <f t="shared" ca="1" si="110"/>
        <v>OK</v>
      </c>
      <c r="K3546" s="366" t="s">
        <v>1706</v>
      </c>
      <c r="L3546" s="366" t="s">
        <v>2244</v>
      </c>
      <c r="M3546" s="350" t="str">
        <f>IF($B3546="Portfolio","Portfolio",IFERROR(INDEX(DATA_ASSET_CLASSIFICATION!$B$8:$B$24,MATCH($C3546,DATA_ASSET_CLASSIFICATION!$A$8:$A$24,0)),"Review"))</f>
        <v>Newton Green</v>
      </c>
      <c r="N3546" s="350" t="str">
        <f ca="1">IF($B3546="Portfolio","Portfolio",IFERROR(INDEX(DATA_ASSET_CLASSIFICATION!$U$8:$U$24,MATCH($C3546,DATA_ASSET_CLASSIFICATION!$A$8:$A$24,0)),"Review"))</f>
        <v>Refi Watch</v>
      </c>
      <c r="O3546" s="350" t="str">
        <f ca="1">IF($B3546="Portfolio","Portfolio",IFERROR(INDEX(DATA_ASSET_CLASSIFICATION!$AB$8:$AB$13,MATCH($N3546,DATA_ASSET_CLASSIFICATION!$AA$8:$AA$13,0)),"Review"))</f>
        <v>Bucket 2 · Legacy</v>
      </c>
      <c r="P3546" s="350" t="str">
        <f>IF($B3546="Portfolio","Portfolio",IFERROR(INDEX(DATA_ASSET_CLASSIFICATION!$C$8:$C$24,MATCH($C3546,DATA_ASSET_CLASSIFICATION!$A$8:$A$24,0)),"Review"))</f>
        <v>Yes</v>
      </c>
      <c r="Q3546" s="350" t="str">
        <f t="shared" ca="1" si="111"/>
        <v>OK</v>
      </c>
    </row>
    <row r="3547" spans="1:17">
      <c r="A3547" s="366" t="s">
        <v>5503</v>
      </c>
      <c r="B3547" s="366" t="s">
        <v>231</v>
      </c>
      <c r="C3547" s="348" t="str">
        <f>DATA_PROPERTY_MASTER!$A$16</f>
        <v>BLD_NG</v>
      </c>
      <c r="D3547" s="380">
        <f>'00_PORTFOLIO ROLLUP'!I$12</f>
        <v>2029</v>
      </c>
      <c r="E3547" s="366" t="s">
        <v>1683</v>
      </c>
      <c r="F3547" s="366" t="s">
        <v>25</v>
      </c>
      <c r="G3547" s="348" t="str">
        <f>"'"&amp;$C3547&amp;"'!$E$52:$Y$52"</f>
        <v>'BLD_NG'!$E$52:$Y$52</v>
      </c>
      <c r="H3547" s="381">
        <f ca="1">IF(IFERROR(INDEX(DATA_PROPERTY_MASTER!$E$5:$E$21,MATCH($C3547,DATA_PROPERTY_MASTER!$A$5:$A$21,0))="Yes",FALSE),IFERROR(INDEX(INDIRECT("'"&amp;$C3547&amp;"'!$E$52:$Y$52"),1,MATCH($D3547,INDIRECT("'"&amp;$C3547&amp;"'!$E$12:$Y$12"),0)),0),0)</f>
        <v>34097.277485767147</v>
      </c>
      <c r="I3547" s="366" t="s">
        <v>1685</v>
      </c>
      <c r="J3547" s="348" t="str">
        <f t="shared" ca="1" si="110"/>
        <v>OK</v>
      </c>
      <c r="K3547" s="366" t="s">
        <v>1710</v>
      </c>
      <c r="L3547" s="366" t="s">
        <v>2246</v>
      </c>
      <c r="M3547" s="350" t="str">
        <f>IF($B3547="Portfolio","Portfolio",IFERROR(INDEX(DATA_ASSET_CLASSIFICATION!$B$8:$B$24,MATCH($C3547,DATA_ASSET_CLASSIFICATION!$A$8:$A$24,0)),"Review"))</f>
        <v>Newton Green</v>
      </c>
      <c r="N3547" s="350" t="str">
        <f ca="1">IF($B3547="Portfolio","Portfolio",IFERROR(INDEX(DATA_ASSET_CLASSIFICATION!$U$8:$U$24,MATCH($C3547,DATA_ASSET_CLASSIFICATION!$A$8:$A$24,0)),"Review"))</f>
        <v>Refi Watch</v>
      </c>
      <c r="O3547" s="350" t="str">
        <f ca="1">IF($B3547="Portfolio","Portfolio",IFERROR(INDEX(DATA_ASSET_CLASSIFICATION!$AB$8:$AB$13,MATCH($N3547,DATA_ASSET_CLASSIFICATION!$AA$8:$AA$13,0)),"Review"))</f>
        <v>Bucket 2 · Legacy</v>
      </c>
      <c r="P3547" s="350" t="str">
        <f>IF($B3547="Portfolio","Portfolio",IFERROR(INDEX(DATA_ASSET_CLASSIFICATION!$C$8:$C$24,MATCH($C3547,DATA_ASSET_CLASSIFICATION!$A$8:$A$24,0)),"Review"))</f>
        <v>Yes</v>
      </c>
      <c r="Q3547" s="350" t="str">
        <f t="shared" ca="1" si="111"/>
        <v>OK</v>
      </c>
    </row>
    <row r="3548" spans="1:17">
      <c r="A3548" s="366" t="s">
        <v>5504</v>
      </c>
      <c r="B3548" s="366" t="s">
        <v>231</v>
      </c>
      <c r="C3548" s="348" t="str">
        <f>DATA_PROPERTY_MASTER!$A$16</f>
        <v>BLD_NG</v>
      </c>
      <c r="D3548" s="380">
        <f>'00_PORTFOLIO ROLLUP'!I$12</f>
        <v>2029</v>
      </c>
      <c r="E3548" s="366" t="s">
        <v>1683</v>
      </c>
      <c r="F3548" s="366" t="s">
        <v>27</v>
      </c>
      <c r="G3548" s="348" t="str">
        <f>"'"&amp;$C3548&amp;"'!$E$54:$Y$54"</f>
        <v>'BLD_NG'!$E$54:$Y$54</v>
      </c>
      <c r="H3548" s="381">
        <f ca="1">IF(IFERROR(INDEX(DATA_PROPERTY_MASTER!$E$5:$E$21,MATCH($C3548,DATA_PROPERTY_MASTER!$A$5:$A$21,0))="Yes",FALSE),IFERROR(INDEX(INDIRECT("'"&amp;$C3548&amp;"'!$E$54:$Y$54"),1,MATCH($D3548,INDIRECT("'"&amp;$C3548&amp;"'!$E$12:$Y$12"),0)),0),0)</f>
        <v>20458.366491460289</v>
      </c>
      <c r="I3548" s="366" t="s">
        <v>1690</v>
      </c>
      <c r="J3548" s="348" t="str">
        <f t="shared" ca="1" si="110"/>
        <v>OK</v>
      </c>
      <c r="K3548" s="366" t="s">
        <v>1714</v>
      </c>
      <c r="L3548" s="366" t="s">
        <v>2248</v>
      </c>
      <c r="M3548" s="350" t="str">
        <f>IF($B3548="Portfolio","Portfolio",IFERROR(INDEX(DATA_ASSET_CLASSIFICATION!$B$8:$B$24,MATCH($C3548,DATA_ASSET_CLASSIFICATION!$A$8:$A$24,0)),"Review"))</f>
        <v>Newton Green</v>
      </c>
      <c r="N3548" s="350" t="str">
        <f ca="1">IF($B3548="Portfolio","Portfolio",IFERROR(INDEX(DATA_ASSET_CLASSIFICATION!$U$8:$U$24,MATCH($C3548,DATA_ASSET_CLASSIFICATION!$A$8:$A$24,0)),"Review"))</f>
        <v>Refi Watch</v>
      </c>
      <c r="O3548" s="350" t="str">
        <f ca="1">IF($B3548="Portfolio","Portfolio",IFERROR(INDEX(DATA_ASSET_CLASSIFICATION!$AB$8:$AB$13,MATCH($N3548,DATA_ASSET_CLASSIFICATION!$AA$8:$AA$13,0)),"Review"))</f>
        <v>Bucket 2 · Legacy</v>
      </c>
      <c r="P3548" s="350" t="str">
        <f>IF($B3548="Portfolio","Portfolio",IFERROR(INDEX(DATA_ASSET_CLASSIFICATION!$C$8:$C$24,MATCH($C3548,DATA_ASSET_CLASSIFICATION!$A$8:$A$24,0)),"Review"))</f>
        <v>Yes</v>
      </c>
      <c r="Q3548" s="350" t="str">
        <f t="shared" ca="1" si="111"/>
        <v>OK</v>
      </c>
    </row>
    <row r="3549" spans="1:17">
      <c r="A3549" s="366" t="s">
        <v>5505</v>
      </c>
      <c r="B3549" s="366" t="s">
        <v>231</v>
      </c>
      <c r="C3549" s="348" t="str">
        <f>DATA_PROPERTY_MASTER!$A$16</f>
        <v>BLD_NG</v>
      </c>
      <c r="D3549" s="380">
        <f>'00_PORTFOLIO ROLLUP'!I$12</f>
        <v>2029</v>
      </c>
      <c r="E3549" s="366" t="s">
        <v>1683</v>
      </c>
      <c r="F3549" s="366" t="s">
        <v>29</v>
      </c>
      <c r="G3549" s="348" t="str">
        <f>"'"&amp;$C3549&amp;"'!$E$56:$Y$56"</f>
        <v>'BLD_NG'!$E$56:$Y$56</v>
      </c>
      <c r="H3549" s="381">
        <f ca="1">IF(IFERROR(INDEX(DATA_PROPERTY_MASTER!$E$5:$E$21,MATCH($C3549,DATA_PROPERTY_MASTER!$A$5:$A$21,0))="Yes",FALSE),IFERROR(INDEX(INDIRECT("'"&amp;$C3549&amp;"'!$E$56:$Y$56"),1,MATCH($D3549,INDIRECT("'"&amp;$C3549&amp;"'!$E$12:$Y$12"),0)),0),0)</f>
        <v>13638.910994306858</v>
      </c>
      <c r="I3549" s="366" t="s">
        <v>1685</v>
      </c>
      <c r="J3549" s="348" t="str">
        <f t="shared" ca="1" si="110"/>
        <v>OK</v>
      </c>
      <c r="K3549" s="366" t="s">
        <v>1718</v>
      </c>
      <c r="L3549" s="366" t="s">
        <v>2250</v>
      </c>
      <c r="M3549" s="350" t="str">
        <f>IF($B3549="Portfolio","Portfolio",IFERROR(INDEX(DATA_ASSET_CLASSIFICATION!$B$8:$B$24,MATCH($C3549,DATA_ASSET_CLASSIFICATION!$A$8:$A$24,0)),"Review"))</f>
        <v>Newton Green</v>
      </c>
      <c r="N3549" s="350" t="str">
        <f ca="1">IF($B3549="Portfolio","Portfolio",IFERROR(INDEX(DATA_ASSET_CLASSIFICATION!$U$8:$U$24,MATCH($C3549,DATA_ASSET_CLASSIFICATION!$A$8:$A$24,0)),"Review"))</f>
        <v>Refi Watch</v>
      </c>
      <c r="O3549" s="350" t="str">
        <f ca="1">IF($B3549="Portfolio","Portfolio",IFERROR(INDEX(DATA_ASSET_CLASSIFICATION!$AB$8:$AB$13,MATCH($N3549,DATA_ASSET_CLASSIFICATION!$AA$8:$AA$13,0)),"Review"))</f>
        <v>Bucket 2 · Legacy</v>
      </c>
      <c r="P3549" s="350" t="str">
        <f>IF($B3549="Portfolio","Portfolio",IFERROR(INDEX(DATA_ASSET_CLASSIFICATION!$C$8:$C$24,MATCH($C3549,DATA_ASSET_CLASSIFICATION!$A$8:$A$24,0)),"Review"))</f>
        <v>Yes</v>
      </c>
      <c r="Q3549" s="350" t="str">
        <f t="shared" ca="1" si="111"/>
        <v>OK</v>
      </c>
    </row>
    <row r="3550" spans="1:17">
      <c r="A3550" s="366" t="s">
        <v>5506</v>
      </c>
      <c r="B3550" s="366" t="s">
        <v>231</v>
      </c>
      <c r="C3550" s="348" t="str">
        <f>DATA_PROPERTY_MASTER!$A$16</f>
        <v>BLD_NG</v>
      </c>
      <c r="D3550" s="380">
        <f>'00_PORTFOLIO ROLLUP'!I$12</f>
        <v>2029</v>
      </c>
      <c r="E3550" s="366" t="s">
        <v>1721</v>
      </c>
      <c r="F3550" s="366" t="s">
        <v>31</v>
      </c>
      <c r="G3550" s="348" t="str">
        <f>"'"&amp;$C3550&amp;"'!$E$61:$Y$61"</f>
        <v>'BLD_NG'!$E$61:$Y$61</v>
      </c>
      <c r="H3550" s="381">
        <f ca="1">IF(IFERROR(INDEX(DATA_PROPERTY_MASTER!$E$5:$E$21,MATCH($C3550,DATA_PROPERTY_MASTER!$A$5:$A$21,0))="Yes",FALSE),IFERROR(INDEX(INDIRECT("'"&amp;$C3550&amp;"'!$E$61:$Y$61"),1,MATCH($D3550,INDIRECT("'"&amp;$C3550&amp;"'!$E$12:$Y$12"),0)),0),0)</f>
        <v>0</v>
      </c>
      <c r="I3550" s="366" t="s">
        <v>1690</v>
      </c>
      <c r="J3550" s="348" t="str">
        <f t="shared" ca="1" si="110"/>
        <v>OK</v>
      </c>
      <c r="K3550" s="366" t="s">
        <v>1723</v>
      </c>
      <c r="L3550" s="366" t="s">
        <v>2252</v>
      </c>
      <c r="M3550" s="350" t="str">
        <f>IF($B3550="Portfolio","Portfolio",IFERROR(INDEX(DATA_ASSET_CLASSIFICATION!$B$8:$B$24,MATCH($C3550,DATA_ASSET_CLASSIFICATION!$A$8:$A$24,0)),"Review"))</f>
        <v>Newton Green</v>
      </c>
      <c r="N3550" s="350" t="str">
        <f ca="1">IF($B3550="Portfolio","Portfolio",IFERROR(INDEX(DATA_ASSET_CLASSIFICATION!$U$8:$U$24,MATCH($C3550,DATA_ASSET_CLASSIFICATION!$A$8:$A$24,0)),"Review"))</f>
        <v>Refi Watch</v>
      </c>
      <c r="O3550" s="350" t="str">
        <f ca="1">IF($B3550="Portfolio","Portfolio",IFERROR(INDEX(DATA_ASSET_CLASSIFICATION!$AB$8:$AB$13,MATCH($N3550,DATA_ASSET_CLASSIFICATION!$AA$8:$AA$13,0)),"Review"))</f>
        <v>Bucket 2 · Legacy</v>
      </c>
      <c r="P3550" s="350" t="str">
        <f>IF($B3550="Portfolio","Portfolio",IFERROR(INDEX(DATA_ASSET_CLASSIFICATION!$C$8:$C$24,MATCH($C3550,DATA_ASSET_CLASSIFICATION!$A$8:$A$24,0)),"Review"))</f>
        <v>Yes</v>
      </c>
      <c r="Q3550" s="350" t="str">
        <f t="shared" ca="1" si="111"/>
        <v>OK</v>
      </c>
    </row>
    <row r="3551" spans="1:17">
      <c r="A3551" s="366" t="s">
        <v>5507</v>
      </c>
      <c r="B3551" s="366" t="s">
        <v>231</v>
      </c>
      <c r="C3551" s="348" t="str">
        <f>DATA_PROPERTY_MASTER!$A$16</f>
        <v>BLD_NG</v>
      </c>
      <c r="D3551" s="380">
        <f>'00_PORTFOLIO ROLLUP'!I$12</f>
        <v>2029</v>
      </c>
      <c r="E3551" s="366" t="s">
        <v>1721</v>
      </c>
      <c r="F3551" s="366" t="s">
        <v>33</v>
      </c>
      <c r="G3551" s="348" t="str">
        <f>"'"&amp;$C3551&amp;"'!$E$62:$Y$62"</f>
        <v>'BLD_NG'!$E$62:$Y$62</v>
      </c>
      <c r="H3551" s="381">
        <f ca="1">IF(IFERROR(INDEX(DATA_PROPERTY_MASTER!$E$5:$E$21,MATCH($C3551,DATA_PROPERTY_MASTER!$A$5:$A$21,0))="Yes",FALSE),IFERROR(INDEX(INDIRECT("'"&amp;$C3551&amp;"'!$E$62:$Y$62"),1,MATCH($D3551,INDIRECT("'"&amp;$C3551&amp;"'!$E$12:$Y$12"),0)),0),0)</f>
        <v>0</v>
      </c>
      <c r="I3551" s="366" t="s">
        <v>1685</v>
      </c>
      <c r="J3551" s="348" t="str">
        <f t="shared" ca="1" si="110"/>
        <v>OK</v>
      </c>
      <c r="K3551" s="366" t="s">
        <v>1727</v>
      </c>
      <c r="L3551" s="366" t="s">
        <v>2254</v>
      </c>
      <c r="M3551" s="350" t="str">
        <f>IF($B3551="Portfolio","Portfolio",IFERROR(INDEX(DATA_ASSET_CLASSIFICATION!$B$8:$B$24,MATCH($C3551,DATA_ASSET_CLASSIFICATION!$A$8:$A$24,0)),"Review"))</f>
        <v>Newton Green</v>
      </c>
      <c r="N3551" s="350" t="str">
        <f ca="1">IF($B3551="Portfolio","Portfolio",IFERROR(INDEX(DATA_ASSET_CLASSIFICATION!$U$8:$U$24,MATCH($C3551,DATA_ASSET_CLASSIFICATION!$A$8:$A$24,0)),"Review"))</f>
        <v>Refi Watch</v>
      </c>
      <c r="O3551" s="350" t="str">
        <f ca="1">IF($B3551="Portfolio","Portfolio",IFERROR(INDEX(DATA_ASSET_CLASSIFICATION!$AB$8:$AB$13,MATCH($N3551,DATA_ASSET_CLASSIFICATION!$AA$8:$AA$13,0)),"Review"))</f>
        <v>Bucket 2 · Legacy</v>
      </c>
      <c r="P3551" s="350" t="str">
        <f>IF($B3551="Portfolio","Portfolio",IFERROR(INDEX(DATA_ASSET_CLASSIFICATION!$C$8:$C$24,MATCH($C3551,DATA_ASSET_CLASSIFICATION!$A$8:$A$24,0)),"Review"))</f>
        <v>Yes</v>
      </c>
      <c r="Q3551" s="350" t="str">
        <f t="shared" ca="1" si="111"/>
        <v>OK</v>
      </c>
    </row>
    <row r="3552" spans="1:17">
      <c r="A3552" s="366" t="s">
        <v>5508</v>
      </c>
      <c r="B3552" s="366" t="s">
        <v>231</v>
      </c>
      <c r="C3552" s="348" t="str">
        <f>DATA_PROPERTY_MASTER!$A$16</f>
        <v>BLD_NG</v>
      </c>
      <c r="D3552" s="380">
        <f>'00_PORTFOLIO ROLLUP'!I$12</f>
        <v>2029</v>
      </c>
      <c r="E3552" s="366" t="s">
        <v>1721</v>
      </c>
      <c r="F3552" s="366" t="s">
        <v>35</v>
      </c>
      <c r="G3552" s="348" t="str">
        <f>"'"&amp;$C3552&amp;"'!$E$63:$Y$63"</f>
        <v>'BLD_NG'!$E$63:$Y$63</v>
      </c>
      <c r="H3552" s="381">
        <f ca="1">IF(IFERROR(INDEX(DATA_PROPERTY_MASTER!$E$5:$E$21,MATCH($C3552,DATA_PROPERTY_MASTER!$A$5:$A$21,0))="Yes",FALSE),IFERROR(INDEX(INDIRECT("'"&amp;$C3552&amp;"'!$E$63:$Y$63"),1,MATCH($D3552,INDIRECT("'"&amp;$C3552&amp;"'!$E$12:$Y$12"),0)),0),0)</f>
        <v>0</v>
      </c>
      <c r="I3552" s="366" t="s">
        <v>1731</v>
      </c>
      <c r="J3552" s="348" t="str">
        <f t="shared" ca="1" si="110"/>
        <v>OK</v>
      </c>
      <c r="K3552" s="366" t="s">
        <v>1732</v>
      </c>
      <c r="L3552" s="366" t="s">
        <v>2256</v>
      </c>
      <c r="M3552" s="350" t="str">
        <f>IF($B3552="Portfolio","Portfolio",IFERROR(INDEX(DATA_ASSET_CLASSIFICATION!$B$8:$B$24,MATCH($C3552,DATA_ASSET_CLASSIFICATION!$A$8:$A$24,0)),"Review"))</f>
        <v>Newton Green</v>
      </c>
      <c r="N3552" s="350" t="str">
        <f ca="1">IF($B3552="Portfolio","Portfolio",IFERROR(INDEX(DATA_ASSET_CLASSIFICATION!$U$8:$U$24,MATCH($C3552,DATA_ASSET_CLASSIFICATION!$A$8:$A$24,0)),"Review"))</f>
        <v>Refi Watch</v>
      </c>
      <c r="O3552" s="350" t="str">
        <f ca="1">IF($B3552="Portfolio","Portfolio",IFERROR(INDEX(DATA_ASSET_CLASSIFICATION!$AB$8:$AB$13,MATCH($N3552,DATA_ASSET_CLASSIFICATION!$AA$8:$AA$13,0)),"Review"))</f>
        <v>Bucket 2 · Legacy</v>
      </c>
      <c r="P3552" s="350" t="str">
        <f>IF($B3552="Portfolio","Portfolio",IFERROR(INDEX(DATA_ASSET_CLASSIFICATION!$C$8:$C$24,MATCH($C3552,DATA_ASSET_CLASSIFICATION!$A$8:$A$24,0)),"Review"))</f>
        <v>Yes</v>
      </c>
      <c r="Q3552" s="350" t="str">
        <f t="shared" ca="1" si="111"/>
        <v>OK</v>
      </c>
    </row>
    <row r="3553" spans="1:17">
      <c r="A3553" s="366" t="s">
        <v>5509</v>
      </c>
      <c r="B3553" s="366" t="s">
        <v>231</v>
      </c>
      <c r="C3553" s="348" t="str">
        <f>DATA_PROPERTY_MASTER!$A$16</f>
        <v>BLD_NG</v>
      </c>
      <c r="D3553" s="380">
        <f>'00_PORTFOLIO ROLLUP'!I$12</f>
        <v>2029</v>
      </c>
      <c r="E3553" s="366" t="s">
        <v>1721</v>
      </c>
      <c r="F3553" s="366" t="s">
        <v>37</v>
      </c>
      <c r="G3553" s="348" t="str">
        <f>"'"&amp;$C3553&amp;"'!$E$63:$Y$63"</f>
        <v>'BLD_NG'!$E$63:$Y$63</v>
      </c>
      <c r="H3553" s="381">
        <f ca="1">IF(IFERROR(INDEX(DATA_PROPERTY_MASTER!$E$5:$E$21,MATCH($C3553,DATA_PROPERTY_MASTER!$A$5:$A$21,0))="Yes",FALSE),MAX(IFERROR(INDEX(INDIRECT("'"&amp;$C3553&amp;"'!$E$63:$Y$63"),1,MATCH($D3553,INDIRECT("'"&amp;$C3553&amp;"'!$E$12:$Y$12"),0)),0),0),0)</f>
        <v>0</v>
      </c>
      <c r="I3553" s="366" t="s">
        <v>1685</v>
      </c>
      <c r="J3553" s="348" t="str">
        <f t="shared" ca="1" si="110"/>
        <v>OK</v>
      </c>
      <c r="K3553" s="366" t="s">
        <v>1735</v>
      </c>
      <c r="L3553" s="366" t="s">
        <v>2258</v>
      </c>
      <c r="M3553" s="350" t="str">
        <f>IF($B3553="Portfolio","Portfolio",IFERROR(INDEX(DATA_ASSET_CLASSIFICATION!$B$8:$B$24,MATCH($C3553,DATA_ASSET_CLASSIFICATION!$A$8:$A$24,0)),"Review"))</f>
        <v>Newton Green</v>
      </c>
      <c r="N3553" s="350" t="str">
        <f ca="1">IF($B3553="Portfolio","Portfolio",IFERROR(INDEX(DATA_ASSET_CLASSIFICATION!$U$8:$U$24,MATCH($C3553,DATA_ASSET_CLASSIFICATION!$A$8:$A$24,0)),"Review"))</f>
        <v>Refi Watch</v>
      </c>
      <c r="O3553" s="350" t="str">
        <f ca="1">IF($B3553="Portfolio","Portfolio",IFERROR(INDEX(DATA_ASSET_CLASSIFICATION!$AB$8:$AB$13,MATCH($N3553,DATA_ASSET_CLASSIFICATION!$AA$8:$AA$13,0)),"Review"))</f>
        <v>Bucket 2 · Legacy</v>
      </c>
      <c r="P3553" s="350" t="str">
        <f>IF($B3553="Portfolio","Portfolio",IFERROR(INDEX(DATA_ASSET_CLASSIFICATION!$C$8:$C$24,MATCH($C3553,DATA_ASSET_CLASSIFICATION!$A$8:$A$24,0)),"Review"))</f>
        <v>Yes</v>
      </c>
      <c r="Q3553" s="350" t="str">
        <f t="shared" ca="1" si="111"/>
        <v>OK</v>
      </c>
    </row>
    <row r="3554" spans="1:17">
      <c r="A3554" s="366" t="s">
        <v>5510</v>
      </c>
      <c r="B3554" s="366" t="s">
        <v>231</v>
      </c>
      <c r="C3554" s="348" t="str">
        <f>DATA_PROPERTY_MASTER!$A$16</f>
        <v>BLD_NG</v>
      </c>
      <c r="D3554" s="380">
        <f>'00_PORTFOLIO ROLLUP'!I$12</f>
        <v>2029</v>
      </c>
      <c r="E3554" s="366" t="s">
        <v>1721</v>
      </c>
      <c r="F3554" s="366" t="s">
        <v>39</v>
      </c>
      <c r="G3554" s="348" t="str">
        <f>"'"&amp;$C3554&amp;"'!$E$63:$Y$63"</f>
        <v>'BLD_NG'!$E$63:$Y$63</v>
      </c>
      <c r="H3554" s="381">
        <f ca="1">IF(IFERROR(INDEX(DATA_PROPERTY_MASTER!$E$5:$E$21,MATCH($C3554,DATA_PROPERTY_MASTER!$A$5:$A$21,0))="Yes",FALSE),MAX(-IFERROR(INDEX(INDIRECT("'"&amp;$C3554&amp;"'!$E$63:$Y$63"),1,MATCH($D3554,INDIRECT("'"&amp;$C3554&amp;"'!$E$12:$Y$12"),0)),0),0),0)</f>
        <v>0</v>
      </c>
      <c r="I3554" s="366" t="s">
        <v>1690</v>
      </c>
      <c r="J3554" s="348" t="str">
        <f t="shared" ca="1" si="110"/>
        <v>OK</v>
      </c>
      <c r="K3554" s="366" t="s">
        <v>1738</v>
      </c>
      <c r="L3554" s="366" t="s">
        <v>2260</v>
      </c>
      <c r="M3554" s="350" t="str">
        <f>IF($B3554="Portfolio","Portfolio",IFERROR(INDEX(DATA_ASSET_CLASSIFICATION!$B$8:$B$24,MATCH($C3554,DATA_ASSET_CLASSIFICATION!$A$8:$A$24,0)),"Review"))</f>
        <v>Newton Green</v>
      </c>
      <c r="N3554" s="350" t="str">
        <f ca="1">IF($B3554="Portfolio","Portfolio",IFERROR(INDEX(DATA_ASSET_CLASSIFICATION!$U$8:$U$24,MATCH($C3554,DATA_ASSET_CLASSIFICATION!$A$8:$A$24,0)),"Review"))</f>
        <v>Refi Watch</v>
      </c>
      <c r="O3554" s="350" t="str">
        <f ca="1">IF($B3554="Portfolio","Portfolio",IFERROR(INDEX(DATA_ASSET_CLASSIFICATION!$AB$8:$AB$13,MATCH($N3554,DATA_ASSET_CLASSIFICATION!$AA$8:$AA$13,0)),"Review"))</f>
        <v>Bucket 2 · Legacy</v>
      </c>
      <c r="P3554" s="350" t="str">
        <f>IF($B3554="Portfolio","Portfolio",IFERROR(INDEX(DATA_ASSET_CLASSIFICATION!$C$8:$C$24,MATCH($C3554,DATA_ASSET_CLASSIFICATION!$A$8:$A$24,0)),"Review"))</f>
        <v>Yes</v>
      </c>
      <c r="Q3554" s="350" t="str">
        <f t="shared" ca="1" si="111"/>
        <v>OK</v>
      </c>
    </row>
    <row r="3555" spans="1:17">
      <c r="A3555" s="366" t="s">
        <v>5511</v>
      </c>
      <c r="B3555" s="366" t="s">
        <v>231</v>
      </c>
      <c r="C3555" s="348" t="str">
        <f>DATA_PROPERTY_MASTER!$A$16</f>
        <v>BLD_NG</v>
      </c>
      <c r="D3555" s="380">
        <f>'00_PORTFOLIO ROLLUP'!I$12</f>
        <v>2029</v>
      </c>
      <c r="E3555" s="366" t="s">
        <v>1741</v>
      </c>
      <c r="F3555" s="366" t="s">
        <v>41</v>
      </c>
      <c r="G3555" s="348" t="str">
        <f>"'"&amp;$C3555&amp;"'!rows 56 + positive row 63"</f>
        <v>'BLD_NG'!rows 56 + positive row 63</v>
      </c>
      <c r="H3555" s="381">
        <f ca="1">IF(IFERROR(INDEX(DATA_PROPERTY_MASTER!$E$5:$E$21,MATCH($C3555,DATA_PROPERTY_MASTER!$A$5:$A$21,0))="Yes",FALSE),IFERROR(INDEX(INDIRECT("'"&amp;$C3555&amp;"'!$E$56:$Y$56"),1,MATCH($D3555,INDIRECT("'"&amp;$C3555&amp;"'!$E$12:$Y$12"),0)),0)+MAX(IFERROR(INDEX(INDIRECT("'"&amp;$C3555&amp;"'!$E$63:$Y$63"),1,MATCH($D3555,INDIRECT("'"&amp;$C3555&amp;"'!$E$12:$Y$12"),0)),0),0),0)</f>
        <v>13638.910994306858</v>
      </c>
      <c r="I3555" s="366" t="s">
        <v>1685</v>
      </c>
      <c r="J3555" s="348" t="str">
        <f t="shared" ca="1" si="110"/>
        <v>OK</v>
      </c>
      <c r="K3555" s="366" t="s">
        <v>1742</v>
      </c>
      <c r="L3555" s="366" t="s">
        <v>2262</v>
      </c>
      <c r="M3555" s="350" t="str">
        <f>IF($B3555="Portfolio","Portfolio",IFERROR(INDEX(DATA_ASSET_CLASSIFICATION!$B$8:$B$24,MATCH($C3555,DATA_ASSET_CLASSIFICATION!$A$8:$A$24,0)),"Review"))</f>
        <v>Newton Green</v>
      </c>
      <c r="N3555" s="350" t="str">
        <f ca="1">IF($B3555="Portfolio","Portfolio",IFERROR(INDEX(DATA_ASSET_CLASSIFICATION!$U$8:$U$24,MATCH($C3555,DATA_ASSET_CLASSIFICATION!$A$8:$A$24,0)),"Review"))</f>
        <v>Refi Watch</v>
      </c>
      <c r="O3555" s="350" t="str">
        <f ca="1">IF($B3555="Portfolio","Portfolio",IFERROR(INDEX(DATA_ASSET_CLASSIFICATION!$AB$8:$AB$13,MATCH($N3555,DATA_ASSET_CLASSIFICATION!$AA$8:$AA$13,0)),"Review"))</f>
        <v>Bucket 2 · Legacy</v>
      </c>
      <c r="P3555" s="350" t="str">
        <f>IF($B3555="Portfolio","Portfolio",IFERROR(INDEX(DATA_ASSET_CLASSIFICATION!$C$8:$C$24,MATCH($C3555,DATA_ASSET_CLASSIFICATION!$A$8:$A$24,0)),"Review"))</f>
        <v>Yes</v>
      </c>
      <c r="Q3555" s="350" t="str">
        <f t="shared" ca="1" si="111"/>
        <v>OK</v>
      </c>
    </row>
    <row r="3556" spans="1:17">
      <c r="A3556" s="366" t="s">
        <v>5512</v>
      </c>
      <c r="B3556" s="366" t="s">
        <v>231</v>
      </c>
      <c r="C3556" s="348" t="str">
        <f>DATA_PROPERTY_MASTER!$A$16</f>
        <v>BLD_NG</v>
      </c>
      <c r="D3556" s="380">
        <f>'00_PORTFOLIO ROLLUP'!I$12</f>
        <v>2029</v>
      </c>
      <c r="E3556" s="366" t="s">
        <v>1741</v>
      </c>
      <c r="F3556" s="366" t="s">
        <v>43</v>
      </c>
      <c r="G3556" s="348" t="str">
        <f>"'"&amp;$C3556&amp;"'!$E$68:$Y$68"</f>
        <v>'BLD_NG'!$E$68:$Y$68</v>
      </c>
      <c r="H3556" s="381">
        <f ca="1">IF(IFERROR(INDEX(DATA_PROPERTY_MASTER!$E$5:$E$21,MATCH($C3556,DATA_PROPERTY_MASTER!$A$5:$A$21,0))="Yes",FALSE),IFERROR(INDEX(INDIRECT("'"&amp;$C3556&amp;"'!$E$68:$Y$68"),1,MATCH($D3556,INDIRECT("'"&amp;$C3556&amp;"'!$E$12:$Y$12"),0)),0),0)</f>
        <v>13638.910994306858</v>
      </c>
      <c r="I3556" s="366" t="s">
        <v>1731</v>
      </c>
      <c r="J3556" s="348" t="str">
        <f t="shared" ca="1" si="110"/>
        <v>OK</v>
      </c>
      <c r="K3556" s="366" t="s">
        <v>1746</v>
      </c>
      <c r="L3556" s="366" t="s">
        <v>2264</v>
      </c>
      <c r="M3556" s="350" t="str">
        <f>IF($B3556="Portfolio","Portfolio",IFERROR(INDEX(DATA_ASSET_CLASSIFICATION!$B$8:$B$24,MATCH($C3556,DATA_ASSET_CLASSIFICATION!$A$8:$A$24,0)),"Review"))</f>
        <v>Newton Green</v>
      </c>
      <c r="N3556" s="350" t="str">
        <f ca="1">IF($B3556="Portfolio","Portfolio",IFERROR(INDEX(DATA_ASSET_CLASSIFICATION!$U$8:$U$24,MATCH($C3556,DATA_ASSET_CLASSIFICATION!$A$8:$A$24,0)),"Review"))</f>
        <v>Refi Watch</v>
      </c>
      <c r="O3556" s="350" t="str">
        <f ca="1">IF($B3556="Portfolio","Portfolio",IFERROR(INDEX(DATA_ASSET_CLASSIFICATION!$AB$8:$AB$13,MATCH($N3556,DATA_ASSET_CLASSIFICATION!$AA$8:$AA$13,0)),"Review"))</f>
        <v>Bucket 2 · Legacy</v>
      </c>
      <c r="P3556" s="350" t="str">
        <f>IF($B3556="Portfolio","Portfolio",IFERROR(INDEX(DATA_ASSET_CLASSIFICATION!$C$8:$C$24,MATCH($C3556,DATA_ASSET_CLASSIFICATION!$A$8:$A$24,0)),"Review"))</f>
        <v>Yes</v>
      </c>
      <c r="Q3556" s="350" t="str">
        <f t="shared" ca="1" si="111"/>
        <v>OK</v>
      </c>
    </row>
    <row r="3557" spans="1:17">
      <c r="A3557" s="366" t="s">
        <v>5513</v>
      </c>
      <c r="B3557" s="366" t="s">
        <v>231</v>
      </c>
      <c r="C3557" s="348" t="str">
        <f>DATA_PROPERTY_MASTER!$A$16</f>
        <v>BLD_NG</v>
      </c>
      <c r="D3557" s="380">
        <f>'00_PORTFOLIO ROLLUP'!I$12</f>
        <v>2029</v>
      </c>
      <c r="E3557" s="366" t="s">
        <v>1741</v>
      </c>
      <c r="F3557" s="366" t="s">
        <v>1749</v>
      </c>
      <c r="G3557" s="348" t="str">
        <f>"'"&amp;$C3557&amp;"'!rows 56, 63, 68"</f>
        <v>'BLD_NG'!rows 56, 63, 68</v>
      </c>
      <c r="H3557" s="381">
        <f ca="1">IF(IFERROR(INDEX(DATA_PROPERTY_MASTER!$E$5:$E$21,MATCH($C3557,DATA_PROPERTY_MASTER!$A$5:$A$21,0))="Yes",FALSE),(IFERROR(INDEX(INDIRECT("'"&amp;$C3557&amp;"'!$E$56:$Y$56"),1,MATCH($D3557,INDIRECT("'"&amp;$C3557&amp;"'!$E$12:$Y$12"),0)),0)+MAX(IFERROR(INDEX(INDIRECT("'"&amp;$C3557&amp;"'!$E$63:$Y$63"),1,MATCH($D3557,INDIRECT("'"&amp;$C3557&amp;"'!$E$12:$Y$12"),0)),0),0))-(IFERROR(INDEX(INDIRECT("'"&amp;$C3557&amp;"'!$E$68:$Y$68"),1,MATCH($D3557,INDIRECT("'"&amp;$C3557&amp;"'!$E$12:$Y$12"),0)),0)),0)</f>
        <v>0</v>
      </c>
      <c r="I3557" s="366" t="s">
        <v>1750</v>
      </c>
      <c r="J3557" s="348" t="str">
        <f t="shared" ca="1" si="110"/>
        <v>OK</v>
      </c>
      <c r="K3557" s="366" t="s">
        <v>1751</v>
      </c>
      <c r="L3557" s="366" t="s">
        <v>2266</v>
      </c>
      <c r="M3557" s="350" t="str">
        <f>IF($B3557="Portfolio","Portfolio",IFERROR(INDEX(DATA_ASSET_CLASSIFICATION!$B$8:$B$24,MATCH($C3557,DATA_ASSET_CLASSIFICATION!$A$8:$A$24,0)),"Review"))</f>
        <v>Newton Green</v>
      </c>
      <c r="N3557" s="350" t="str">
        <f ca="1">IF($B3557="Portfolio","Portfolio",IFERROR(INDEX(DATA_ASSET_CLASSIFICATION!$U$8:$U$24,MATCH($C3557,DATA_ASSET_CLASSIFICATION!$A$8:$A$24,0)),"Review"))</f>
        <v>Refi Watch</v>
      </c>
      <c r="O3557" s="350" t="str">
        <f ca="1">IF($B3557="Portfolio","Portfolio",IFERROR(INDEX(DATA_ASSET_CLASSIFICATION!$AB$8:$AB$13,MATCH($N3557,DATA_ASSET_CLASSIFICATION!$AA$8:$AA$13,0)),"Review"))</f>
        <v>Bucket 2 · Legacy</v>
      </c>
      <c r="P3557" s="350" t="str">
        <f>IF($B3557="Portfolio","Portfolio",IFERROR(INDEX(DATA_ASSET_CLASSIFICATION!$C$8:$C$24,MATCH($C3557,DATA_ASSET_CLASSIFICATION!$A$8:$A$24,0)),"Review"))</f>
        <v>Yes</v>
      </c>
      <c r="Q3557" s="350" t="str">
        <f t="shared" ca="1" si="111"/>
        <v>OK</v>
      </c>
    </row>
    <row r="3558" spans="1:17">
      <c r="A3558" s="366" t="s">
        <v>5514</v>
      </c>
      <c r="B3558" s="366" t="s">
        <v>231</v>
      </c>
      <c r="C3558" s="348" t="str">
        <f>DATA_PROPERTY_MASTER!$A$16</f>
        <v>BLD_NG</v>
      </c>
      <c r="D3558" s="380">
        <f>'00_PORTFOLIO ROLLUP'!J$12</f>
        <v>2030</v>
      </c>
      <c r="E3558" s="366" t="s">
        <v>1683</v>
      </c>
      <c r="F3558" s="366" t="s">
        <v>341</v>
      </c>
      <c r="G3558" s="348" t="str">
        <f>"'"&amp;$C3558&amp;"'!$E$24:$Y$24"</f>
        <v>'BLD_NG'!$E$24:$Y$24</v>
      </c>
      <c r="H3558" s="381">
        <f ca="1">IF(IFERROR(INDEX(DATA_PROPERTY_MASTER!$E$5:$E$21,MATCH($C3558,DATA_PROPERTY_MASTER!$A$5:$A$21,0))="Yes",FALSE),IFERROR(INDEX(INDIRECT("'"&amp;$C3558&amp;"'!$E$24:$Y$24"),1,MATCH($D3558,INDIRECT("'"&amp;$C3558&amp;"'!$E$12:$Y$12"),0)),0),0)</f>
        <v>857730.83522010967</v>
      </c>
      <c r="I3558" s="366" t="s">
        <v>1685</v>
      </c>
      <c r="J3558" s="348" t="str">
        <f t="shared" ca="1" si="110"/>
        <v>OK</v>
      </c>
      <c r="K3558" s="366" t="s">
        <v>1686</v>
      </c>
      <c r="L3558" s="366" t="s">
        <v>2234</v>
      </c>
      <c r="M3558" s="350" t="str">
        <f>IF($B3558="Portfolio","Portfolio",IFERROR(INDEX(DATA_ASSET_CLASSIFICATION!$B$8:$B$24,MATCH($C3558,DATA_ASSET_CLASSIFICATION!$A$8:$A$24,0)),"Review"))</f>
        <v>Newton Green</v>
      </c>
      <c r="N3558" s="350" t="str">
        <f ca="1">IF($B3558="Portfolio","Portfolio",IFERROR(INDEX(DATA_ASSET_CLASSIFICATION!$U$8:$U$24,MATCH($C3558,DATA_ASSET_CLASSIFICATION!$A$8:$A$24,0)),"Review"))</f>
        <v>Refi Watch</v>
      </c>
      <c r="O3558" s="350" t="str">
        <f ca="1">IF($B3558="Portfolio","Portfolio",IFERROR(INDEX(DATA_ASSET_CLASSIFICATION!$AB$8:$AB$13,MATCH($N3558,DATA_ASSET_CLASSIFICATION!$AA$8:$AA$13,0)),"Review"))</f>
        <v>Bucket 2 · Legacy</v>
      </c>
      <c r="P3558" s="350" t="str">
        <f>IF($B3558="Portfolio","Portfolio",IFERROR(INDEX(DATA_ASSET_CLASSIFICATION!$C$8:$C$24,MATCH($C3558,DATA_ASSET_CLASSIFICATION!$A$8:$A$24,0)),"Review"))</f>
        <v>Yes</v>
      </c>
      <c r="Q3558" s="350" t="str">
        <f t="shared" ca="1" si="111"/>
        <v>OK</v>
      </c>
    </row>
    <row r="3559" spans="1:17">
      <c r="A3559" s="366" t="s">
        <v>5515</v>
      </c>
      <c r="B3559" s="366" t="s">
        <v>231</v>
      </c>
      <c r="C3559" s="348" t="str">
        <f>DATA_PROPERTY_MASTER!$A$16</f>
        <v>BLD_NG</v>
      </c>
      <c r="D3559" s="380">
        <f>'00_PORTFOLIO ROLLUP'!J$12</f>
        <v>2030</v>
      </c>
      <c r="E3559" s="366" t="s">
        <v>1683</v>
      </c>
      <c r="F3559" s="366" t="s">
        <v>355</v>
      </c>
      <c r="G3559" s="348" t="str">
        <f>"'"&amp;$C3559&amp;"'!$E$39:$Y$39"</f>
        <v>'BLD_NG'!$E$39:$Y$39</v>
      </c>
      <c r="H3559" s="381">
        <f ca="1">IF(IFERROR(INDEX(DATA_PROPERTY_MASTER!$E$5:$E$21,MATCH($C3559,DATA_PROPERTY_MASTER!$A$5:$A$21,0))="Yes",FALSE),IFERROR(INDEX(INDIRECT("'"&amp;$C3559&amp;"'!$E$39:$Y$39"),1,MATCH($D3559,INDIRECT("'"&amp;$C3559&amp;"'!$E$12:$Y$12"),0)),0),0)</f>
        <v>378173.43830589449</v>
      </c>
      <c r="I3559" s="366" t="s">
        <v>1690</v>
      </c>
      <c r="J3559" s="348" t="str">
        <f t="shared" ca="1" si="110"/>
        <v>OK</v>
      </c>
      <c r="K3559" s="366" t="s">
        <v>1686</v>
      </c>
      <c r="L3559" s="366" t="s">
        <v>2236</v>
      </c>
      <c r="M3559" s="350" t="str">
        <f>IF($B3559="Portfolio","Portfolio",IFERROR(INDEX(DATA_ASSET_CLASSIFICATION!$B$8:$B$24,MATCH($C3559,DATA_ASSET_CLASSIFICATION!$A$8:$A$24,0)),"Review"))</f>
        <v>Newton Green</v>
      </c>
      <c r="N3559" s="350" t="str">
        <f ca="1">IF($B3559="Portfolio","Portfolio",IFERROR(INDEX(DATA_ASSET_CLASSIFICATION!$U$8:$U$24,MATCH($C3559,DATA_ASSET_CLASSIFICATION!$A$8:$A$24,0)),"Review"))</f>
        <v>Refi Watch</v>
      </c>
      <c r="O3559" s="350" t="str">
        <f ca="1">IF($B3559="Portfolio","Portfolio",IFERROR(INDEX(DATA_ASSET_CLASSIFICATION!$AB$8:$AB$13,MATCH($N3559,DATA_ASSET_CLASSIFICATION!$AA$8:$AA$13,0)),"Review"))</f>
        <v>Bucket 2 · Legacy</v>
      </c>
      <c r="P3559" s="350" t="str">
        <f>IF($B3559="Portfolio","Portfolio",IFERROR(INDEX(DATA_ASSET_CLASSIFICATION!$C$8:$C$24,MATCH($C3559,DATA_ASSET_CLASSIFICATION!$A$8:$A$24,0)),"Review"))</f>
        <v>Yes</v>
      </c>
      <c r="Q3559" s="350" t="str">
        <f t="shared" ca="1" si="111"/>
        <v>OK</v>
      </c>
    </row>
    <row r="3560" spans="1:17">
      <c r="A3560" s="366" t="s">
        <v>5516</v>
      </c>
      <c r="B3560" s="366" t="s">
        <v>231</v>
      </c>
      <c r="C3560" s="348" t="str">
        <f>DATA_PROPERTY_MASTER!$A$16</f>
        <v>BLD_NG</v>
      </c>
      <c r="D3560" s="380">
        <f>'00_PORTFOLIO ROLLUP'!J$12</f>
        <v>2030</v>
      </c>
      <c r="E3560" s="366" t="s">
        <v>1683</v>
      </c>
      <c r="F3560" s="366" t="s">
        <v>19</v>
      </c>
      <c r="G3560" s="348" t="str">
        <f>"'"&amp;$C3560&amp;"'!$E$41:$Y$41"</f>
        <v>'BLD_NG'!$E$41:$Y$41</v>
      </c>
      <c r="H3560" s="381">
        <f ca="1">IF(IFERROR(INDEX(DATA_PROPERTY_MASTER!$E$5:$E$21,MATCH($C3560,DATA_PROPERTY_MASTER!$A$5:$A$21,0))="Yes",FALSE),IFERROR(INDEX(INDIRECT("'"&amp;$C3560&amp;"'!$E$41:$Y$41"),1,MATCH($D3560,INDIRECT("'"&amp;$C3560&amp;"'!$E$12:$Y$12"),0)),0),0)</f>
        <v>479557.39691421518</v>
      </c>
      <c r="I3560" s="366" t="s">
        <v>1685</v>
      </c>
      <c r="J3560" s="348" t="str">
        <f t="shared" ca="1" si="110"/>
        <v>OK</v>
      </c>
      <c r="K3560" s="366" t="s">
        <v>1694</v>
      </c>
      <c r="L3560" s="366" t="s">
        <v>2238</v>
      </c>
      <c r="M3560" s="350" t="str">
        <f>IF($B3560="Portfolio","Portfolio",IFERROR(INDEX(DATA_ASSET_CLASSIFICATION!$B$8:$B$24,MATCH($C3560,DATA_ASSET_CLASSIFICATION!$A$8:$A$24,0)),"Review"))</f>
        <v>Newton Green</v>
      </c>
      <c r="N3560" s="350" t="str">
        <f ca="1">IF($B3560="Portfolio","Portfolio",IFERROR(INDEX(DATA_ASSET_CLASSIFICATION!$U$8:$U$24,MATCH($C3560,DATA_ASSET_CLASSIFICATION!$A$8:$A$24,0)),"Review"))</f>
        <v>Refi Watch</v>
      </c>
      <c r="O3560" s="350" t="str">
        <f ca="1">IF($B3560="Portfolio","Portfolio",IFERROR(INDEX(DATA_ASSET_CLASSIFICATION!$AB$8:$AB$13,MATCH($N3560,DATA_ASSET_CLASSIFICATION!$AA$8:$AA$13,0)),"Review"))</f>
        <v>Bucket 2 · Legacy</v>
      </c>
      <c r="P3560" s="350" t="str">
        <f>IF($B3560="Portfolio","Portfolio",IFERROR(INDEX(DATA_ASSET_CLASSIFICATION!$C$8:$C$24,MATCH($C3560,DATA_ASSET_CLASSIFICATION!$A$8:$A$24,0)),"Review"))</f>
        <v>Yes</v>
      </c>
      <c r="Q3560" s="350" t="str">
        <f t="shared" ca="1" si="111"/>
        <v>OK</v>
      </c>
    </row>
    <row r="3561" spans="1:17">
      <c r="A3561" s="366" t="s">
        <v>5517</v>
      </c>
      <c r="B3561" s="366" t="s">
        <v>231</v>
      </c>
      <c r="C3561" s="348" t="str">
        <f>DATA_PROPERTY_MASTER!$A$16</f>
        <v>BLD_NG</v>
      </c>
      <c r="D3561" s="380">
        <f>'00_PORTFOLIO ROLLUP'!J$12</f>
        <v>2030</v>
      </c>
      <c r="E3561" s="366" t="s">
        <v>1683</v>
      </c>
      <c r="F3561" s="366" t="s">
        <v>1697</v>
      </c>
      <c r="G3561" s="348" t="str">
        <f>"'"&amp;$C3561&amp;"'!$E$44:$Y$44"</f>
        <v>'BLD_NG'!$E$44:$Y$44</v>
      </c>
      <c r="H3561" s="381">
        <f ca="1">IF(IFERROR(INDEX(DATA_PROPERTY_MASTER!$E$5:$E$21,MATCH($C3561,DATA_PROPERTY_MASTER!$A$5:$A$21,0))="Yes",FALSE),IFERROR(INDEX(INDIRECT("'"&amp;$C3561&amp;"'!$E$44:$Y$44"),1,MATCH($D3561,INDIRECT("'"&amp;$C3561&amp;"'!$E$12:$Y$12"),0)),0),0)</f>
        <v>8114.9939035200005</v>
      </c>
      <c r="I3561" s="366" t="s">
        <v>1690</v>
      </c>
      <c r="J3561" s="348" t="str">
        <f t="shared" ca="1" si="110"/>
        <v>OK</v>
      </c>
      <c r="K3561" s="366" t="s">
        <v>1699</v>
      </c>
      <c r="L3561" s="366" t="s">
        <v>2240</v>
      </c>
      <c r="M3561" s="350" t="str">
        <f>IF($B3561="Portfolio","Portfolio",IFERROR(INDEX(DATA_ASSET_CLASSIFICATION!$B$8:$B$24,MATCH($C3561,DATA_ASSET_CLASSIFICATION!$A$8:$A$24,0)),"Review"))</f>
        <v>Newton Green</v>
      </c>
      <c r="N3561" s="350" t="str">
        <f ca="1">IF($B3561="Portfolio","Portfolio",IFERROR(INDEX(DATA_ASSET_CLASSIFICATION!$U$8:$U$24,MATCH($C3561,DATA_ASSET_CLASSIFICATION!$A$8:$A$24,0)),"Review"))</f>
        <v>Refi Watch</v>
      </c>
      <c r="O3561" s="350" t="str">
        <f ca="1">IF($B3561="Portfolio","Portfolio",IFERROR(INDEX(DATA_ASSET_CLASSIFICATION!$AB$8:$AB$13,MATCH($N3561,DATA_ASSET_CLASSIFICATION!$AA$8:$AA$13,0)),"Review"))</f>
        <v>Bucket 2 · Legacy</v>
      </c>
      <c r="P3561" s="350" t="str">
        <f>IF($B3561="Portfolio","Portfolio",IFERROR(INDEX(DATA_ASSET_CLASSIFICATION!$C$8:$C$24,MATCH($C3561,DATA_ASSET_CLASSIFICATION!$A$8:$A$24,0)),"Review"))</f>
        <v>Yes</v>
      </c>
      <c r="Q3561" s="350" t="str">
        <f t="shared" ca="1" si="111"/>
        <v>OK</v>
      </c>
    </row>
    <row r="3562" spans="1:17">
      <c r="A3562" s="366" t="s">
        <v>5518</v>
      </c>
      <c r="B3562" s="366" t="s">
        <v>231</v>
      </c>
      <c r="C3562" s="348" t="str">
        <f>DATA_PROPERTY_MASTER!$A$16</f>
        <v>BLD_NG</v>
      </c>
      <c r="D3562" s="380">
        <f>'00_PORTFOLIO ROLLUP'!J$12</f>
        <v>2030</v>
      </c>
      <c r="E3562" s="366" t="s">
        <v>1683</v>
      </c>
      <c r="F3562" s="366" t="s">
        <v>21</v>
      </c>
      <c r="G3562" s="348" t="str">
        <f>"'"&amp;$C3562&amp;"'!$E$45:$Y$45"</f>
        <v>'BLD_NG'!$E$45:$Y$45</v>
      </c>
      <c r="H3562" s="381">
        <f ca="1">IF(IFERROR(INDEX(DATA_PROPERTY_MASTER!$E$5:$E$21,MATCH($C3562,DATA_PROPERTY_MASTER!$A$5:$A$21,0))="Yes",FALSE),IFERROR(INDEX(INDIRECT("'"&amp;$C3562&amp;"'!$E$45:$Y$45"),1,MATCH($D3562,INDIRECT("'"&amp;$C3562&amp;"'!$E$12:$Y$12"),0)),0),0)</f>
        <v>471442.40301069518</v>
      </c>
      <c r="I3562" s="366" t="s">
        <v>1685</v>
      </c>
      <c r="J3562" s="348" t="str">
        <f t="shared" ca="1" si="110"/>
        <v>OK</v>
      </c>
      <c r="K3562" s="366" t="s">
        <v>1694</v>
      </c>
      <c r="L3562" s="366" t="s">
        <v>2242</v>
      </c>
      <c r="M3562" s="350" t="str">
        <f>IF($B3562="Portfolio","Portfolio",IFERROR(INDEX(DATA_ASSET_CLASSIFICATION!$B$8:$B$24,MATCH($C3562,DATA_ASSET_CLASSIFICATION!$A$8:$A$24,0)),"Review"))</f>
        <v>Newton Green</v>
      </c>
      <c r="N3562" s="350" t="str">
        <f ca="1">IF($B3562="Portfolio","Portfolio",IFERROR(INDEX(DATA_ASSET_CLASSIFICATION!$U$8:$U$24,MATCH($C3562,DATA_ASSET_CLASSIFICATION!$A$8:$A$24,0)),"Review"))</f>
        <v>Refi Watch</v>
      </c>
      <c r="O3562" s="350" t="str">
        <f ca="1">IF($B3562="Portfolio","Portfolio",IFERROR(INDEX(DATA_ASSET_CLASSIFICATION!$AB$8:$AB$13,MATCH($N3562,DATA_ASSET_CLASSIFICATION!$AA$8:$AA$13,0)),"Review"))</f>
        <v>Bucket 2 · Legacy</v>
      </c>
      <c r="P3562" s="350" t="str">
        <f>IF($B3562="Portfolio","Portfolio",IFERROR(INDEX(DATA_ASSET_CLASSIFICATION!$C$8:$C$24,MATCH($C3562,DATA_ASSET_CLASSIFICATION!$A$8:$A$24,0)),"Review"))</f>
        <v>Yes</v>
      </c>
      <c r="Q3562" s="350" t="str">
        <f t="shared" ca="1" si="111"/>
        <v>OK</v>
      </c>
    </row>
    <row r="3563" spans="1:17">
      <c r="A3563" s="366" t="s">
        <v>5519</v>
      </c>
      <c r="B3563" s="366" t="s">
        <v>231</v>
      </c>
      <c r="C3563" s="348" t="str">
        <f>DATA_PROPERTY_MASTER!$A$16</f>
        <v>BLD_NG</v>
      </c>
      <c r="D3563" s="380">
        <f>'00_PORTFOLIO ROLLUP'!J$12</f>
        <v>2030</v>
      </c>
      <c r="E3563" s="366" t="s">
        <v>23</v>
      </c>
      <c r="F3563" s="366" t="s">
        <v>23</v>
      </c>
      <c r="G3563" s="348" t="str">
        <f>"'"&amp;$C3563&amp;"'!$E$48:$Y$48"</f>
        <v>'BLD_NG'!$E$48:$Y$48</v>
      </c>
      <c r="H3563" s="381">
        <f ca="1">IF(IFERROR(INDEX(DATA_PROPERTY_MASTER!$E$5:$E$21,MATCH($C3563,DATA_PROPERTY_MASTER!$A$5:$A$21,0))="Yes",FALSE),IFERROR(INDEX(INDIRECT("'"&amp;$C3563&amp;"'!$E$48:$Y$48"),1,MATCH($D3563,INDIRECT("'"&amp;$C3563&amp;"'!$E$12:$Y$12"),0)),0),0)</f>
        <v>443187</v>
      </c>
      <c r="I3563" s="366" t="s">
        <v>1690</v>
      </c>
      <c r="J3563" s="348" t="str">
        <f t="shared" ca="1" si="110"/>
        <v>OK</v>
      </c>
      <c r="K3563" s="366" t="s">
        <v>1706</v>
      </c>
      <c r="L3563" s="366" t="s">
        <v>2244</v>
      </c>
      <c r="M3563" s="350" t="str">
        <f>IF($B3563="Portfolio","Portfolio",IFERROR(INDEX(DATA_ASSET_CLASSIFICATION!$B$8:$B$24,MATCH($C3563,DATA_ASSET_CLASSIFICATION!$A$8:$A$24,0)),"Review"))</f>
        <v>Newton Green</v>
      </c>
      <c r="N3563" s="350" t="str">
        <f ca="1">IF($B3563="Portfolio","Portfolio",IFERROR(INDEX(DATA_ASSET_CLASSIFICATION!$U$8:$U$24,MATCH($C3563,DATA_ASSET_CLASSIFICATION!$A$8:$A$24,0)),"Review"))</f>
        <v>Refi Watch</v>
      </c>
      <c r="O3563" s="350" t="str">
        <f ca="1">IF($B3563="Portfolio","Portfolio",IFERROR(INDEX(DATA_ASSET_CLASSIFICATION!$AB$8:$AB$13,MATCH($N3563,DATA_ASSET_CLASSIFICATION!$AA$8:$AA$13,0)),"Review"))</f>
        <v>Bucket 2 · Legacy</v>
      </c>
      <c r="P3563" s="350" t="str">
        <f>IF($B3563="Portfolio","Portfolio",IFERROR(INDEX(DATA_ASSET_CLASSIFICATION!$C$8:$C$24,MATCH($C3563,DATA_ASSET_CLASSIFICATION!$A$8:$A$24,0)),"Review"))</f>
        <v>Yes</v>
      </c>
      <c r="Q3563" s="350" t="str">
        <f t="shared" ca="1" si="111"/>
        <v>OK</v>
      </c>
    </row>
    <row r="3564" spans="1:17">
      <c r="A3564" s="366" t="s">
        <v>5520</v>
      </c>
      <c r="B3564" s="366" t="s">
        <v>231</v>
      </c>
      <c r="C3564" s="348" t="str">
        <f>DATA_PROPERTY_MASTER!$A$16</f>
        <v>BLD_NG</v>
      </c>
      <c r="D3564" s="380">
        <f>'00_PORTFOLIO ROLLUP'!J$12</f>
        <v>2030</v>
      </c>
      <c r="E3564" s="366" t="s">
        <v>1683</v>
      </c>
      <c r="F3564" s="366" t="s">
        <v>25</v>
      </c>
      <c r="G3564" s="348" t="str">
        <f>"'"&amp;$C3564&amp;"'!$E$52:$Y$52"</f>
        <v>'BLD_NG'!$E$52:$Y$52</v>
      </c>
      <c r="H3564" s="381">
        <f ca="1">IF(IFERROR(INDEX(DATA_PROPERTY_MASTER!$E$5:$E$21,MATCH($C3564,DATA_PROPERTY_MASTER!$A$5:$A$21,0))="Yes",FALSE),IFERROR(INDEX(INDIRECT("'"&amp;$C3564&amp;"'!$E$52:$Y$52"),1,MATCH($D3564,INDIRECT("'"&amp;$C3564&amp;"'!$E$12:$Y$12"),0)),0),0)</f>
        <v>36370.396914215176</v>
      </c>
      <c r="I3564" s="366" t="s">
        <v>1685</v>
      </c>
      <c r="J3564" s="348" t="str">
        <f t="shared" ca="1" si="110"/>
        <v>OK</v>
      </c>
      <c r="K3564" s="366" t="s">
        <v>1710</v>
      </c>
      <c r="L3564" s="366" t="s">
        <v>2246</v>
      </c>
      <c r="M3564" s="350" t="str">
        <f>IF($B3564="Portfolio","Portfolio",IFERROR(INDEX(DATA_ASSET_CLASSIFICATION!$B$8:$B$24,MATCH($C3564,DATA_ASSET_CLASSIFICATION!$A$8:$A$24,0)),"Review"))</f>
        <v>Newton Green</v>
      </c>
      <c r="N3564" s="350" t="str">
        <f ca="1">IF($B3564="Portfolio","Portfolio",IFERROR(INDEX(DATA_ASSET_CLASSIFICATION!$U$8:$U$24,MATCH($C3564,DATA_ASSET_CLASSIFICATION!$A$8:$A$24,0)),"Review"))</f>
        <v>Refi Watch</v>
      </c>
      <c r="O3564" s="350" t="str">
        <f ca="1">IF($B3564="Portfolio","Portfolio",IFERROR(INDEX(DATA_ASSET_CLASSIFICATION!$AB$8:$AB$13,MATCH($N3564,DATA_ASSET_CLASSIFICATION!$AA$8:$AA$13,0)),"Review"))</f>
        <v>Bucket 2 · Legacy</v>
      </c>
      <c r="P3564" s="350" t="str">
        <f>IF($B3564="Portfolio","Portfolio",IFERROR(INDEX(DATA_ASSET_CLASSIFICATION!$C$8:$C$24,MATCH($C3564,DATA_ASSET_CLASSIFICATION!$A$8:$A$24,0)),"Review"))</f>
        <v>Yes</v>
      </c>
      <c r="Q3564" s="350" t="str">
        <f t="shared" ca="1" si="111"/>
        <v>OK</v>
      </c>
    </row>
    <row r="3565" spans="1:17">
      <c r="A3565" s="366" t="s">
        <v>5521</v>
      </c>
      <c r="B3565" s="366" t="s">
        <v>231</v>
      </c>
      <c r="C3565" s="348" t="str">
        <f>DATA_PROPERTY_MASTER!$A$16</f>
        <v>BLD_NG</v>
      </c>
      <c r="D3565" s="380">
        <f>'00_PORTFOLIO ROLLUP'!J$12</f>
        <v>2030</v>
      </c>
      <c r="E3565" s="366" t="s">
        <v>1683</v>
      </c>
      <c r="F3565" s="366" t="s">
        <v>27</v>
      </c>
      <c r="G3565" s="348" t="str">
        <f>"'"&amp;$C3565&amp;"'!$E$54:$Y$54"</f>
        <v>'BLD_NG'!$E$54:$Y$54</v>
      </c>
      <c r="H3565" s="381">
        <f ca="1">IF(IFERROR(INDEX(DATA_PROPERTY_MASTER!$E$5:$E$21,MATCH($C3565,DATA_PROPERTY_MASTER!$A$5:$A$21,0))="Yes",FALSE),IFERROR(INDEX(INDIRECT("'"&amp;$C3565&amp;"'!$E$54:$Y$54"),1,MATCH($D3565,INDIRECT("'"&amp;$C3565&amp;"'!$E$12:$Y$12"),0)),0),0)</f>
        <v>21822.238148529104</v>
      </c>
      <c r="I3565" s="366" t="s">
        <v>1690</v>
      </c>
      <c r="J3565" s="348" t="str">
        <f t="shared" ca="1" si="110"/>
        <v>OK</v>
      </c>
      <c r="K3565" s="366" t="s">
        <v>1714</v>
      </c>
      <c r="L3565" s="366" t="s">
        <v>2248</v>
      </c>
      <c r="M3565" s="350" t="str">
        <f>IF($B3565="Portfolio","Portfolio",IFERROR(INDEX(DATA_ASSET_CLASSIFICATION!$B$8:$B$24,MATCH($C3565,DATA_ASSET_CLASSIFICATION!$A$8:$A$24,0)),"Review"))</f>
        <v>Newton Green</v>
      </c>
      <c r="N3565" s="350" t="str">
        <f ca="1">IF($B3565="Portfolio","Portfolio",IFERROR(INDEX(DATA_ASSET_CLASSIFICATION!$U$8:$U$24,MATCH($C3565,DATA_ASSET_CLASSIFICATION!$A$8:$A$24,0)),"Review"))</f>
        <v>Refi Watch</v>
      </c>
      <c r="O3565" s="350" t="str">
        <f ca="1">IF($B3565="Portfolio","Portfolio",IFERROR(INDEX(DATA_ASSET_CLASSIFICATION!$AB$8:$AB$13,MATCH($N3565,DATA_ASSET_CLASSIFICATION!$AA$8:$AA$13,0)),"Review"))</f>
        <v>Bucket 2 · Legacy</v>
      </c>
      <c r="P3565" s="350" t="str">
        <f>IF($B3565="Portfolio","Portfolio",IFERROR(INDEX(DATA_ASSET_CLASSIFICATION!$C$8:$C$24,MATCH($C3565,DATA_ASSET_CLASSIFICATION!$A$8:$A$24,0)),"Review"))</f>
        <v>Yes</v>
      </c>
      <c r="Q3565" s="350" t="str">
        <f t="shared" ca="1" si="111"/>
        <v>OK</v>
      </c>
    </row>
    <row r="3566" spans="1:17">
      <c r="A3566" s="366" t="s">
        <v>5522</v>
      </c>
      <c r="B3566" s="366" t="s">
        <v>231</v>
      </c>
      <c r="C3566" s="348" t="str">
        <f>DATA_PROPERTY_MASTER!$A$16</f>
        <v>BLD_NG</v>
      </c>
      <c r="D3566" s="380">
        <f>'00_PORTFOLIO ROLLUP'!J$12</f>
        <v>2030</v>
      </c>
      <c r="E3566" s="366" t="s">
        <v>1683</v>
      </c>
      <c r="F3566" s="366" t="s">
        <v>29</v>
      </c>
      <c r="G3566" s="348" t="str">
        <f>"'"&amp;$C3566&amp;"'!$E$56:$Y$56"</f>
        <v>'BLD_NG'!$E$56:$Y$56</v>
      </c>
      <c r="H3566" s="381">
        <f ca="1">IF(IFERROR(INDEX(DATA_PROPERTY_MASTER!$E$5:$E$21,MATCH($C3566,DATA_PROPERTY_MASTER!$A$5:$A$21,0))="Yes",FALSE),IFERROR(INDEX(INDIRECT("'"&amp;$C3566&amp;"'!$E$56:$Y$56"),1,MATCH($D3566,INDIRECT("'"&amp;$C3566&amp;"'!$E$12:$Y$12"),0)),0),0)</f>
        <v>14548.158765686072</v>
      </c>
      <c r="I3566" s="366" t="s">
        <v>1685</v>
      </c>
      <c r="J3566" s="348" t="str">
        <f t="shared" ca="1" si="110"/>
        <v>OK</v>
      </c>
      <c r="K3566" s="366" t="s">
        <v>1718</v>
      </c>
      <c r="L3566" s="366" t="s">
        <v>2250</v>
      </c>
      <c r="M3566" s="350" t="str">
        <f>IF($B3566="Portfolio","Portfolio",IFERROR(INDEX(DATA_ASSET_CLASSIFICATION!$B$8:$B$24,MATCH($C3566,DATA_ASSET_CLASSIFICATION!$A$8:$A$24,0)),"Review"))</f>
        <v>Newton Green</v>
      </c>
      <c r="N3566" s="350" t="str">
        <f ca="1">IF($B3566="Portfolio","Portfolio",IFERROR(INDEX(DATA_ASSET_CLASSIFICATION!$U$8:$U$24,MATCH($C3566,DATA_ASSET_CLASSIFICATION!$A$8:$A$24,0)),"Review"))</f>
        <v>Refi Watch</v>
      </c>
      <c r="O3566" s="350" t="str">
        <f ca="1">IF($B3566="Portfolio","Portfolio",IFERROR(INDEX(DATA_ASSET_CLASSIFICATION!$AB$8:$AB$13,MATCH($N3566,DATA_ASSET_CLASSIFICATION!$AA$8:$AA$13,0)),"Review"))</f>
        <v>Bucket 2 · Legacy</v>
      </c>
      <c r="P3566" s="350" t="str">
        <f>IF($B3566="Portfolio","Portfolio",IFERROR(INDEX(DATA_ASSET_CLASSIFICATION!$C$8:$C$24,MATCH($C3566,DATA_ASSET_CLASSIFICATION!$A$8:$A$24,0)),"Review"))</f>
        <v>Yes</v>
      </c>
      <c r="Q3566" s="350" t="str">
        <f t="shared" ca="1" si="111"/>
        <v>OK</v>
      </c>
    </row>
    <row r="3567" spans="1:17">
      <c r="A3567" s="366" t="s">
        <v>5523</v>
      </c>
      <c r="B3567" s="366" t="s">
        <v>231</v>
      </c>
      <c r="C3567" s="348" t="str">
        <f>DATA_PROPERTY_MASTER!$A$16</f>
        <v>BLD_NG</v>
      </c>
      <c r="D3567" s="380">
        <f>'00_PORTFOLIO ROLLUP'!J$12</f>
        <v>2030</v>
      </c>
      <c r="E3567" s="366" t="s">
        <v>1721</v>
      </c>
      <c r="F3567" s="366" t="s">
        <v>31</v>
      </c>
      <c r="G3567" s="348" t="str">
        <f>"'"&amp;$C3567&amp;"'!$E$61:$Y$61"</f>
        <v>'BLD_NG'!$E$61:$Y$61</v>
      </c>
      <c r="H3567" s="381">
        <f ca="1">IF(IFERROR(INDEX(DATA_PROPERTY_MASTER!$E$5:$E$21,MATCH($C3567,DATA_PROPERTY_MASTER!$A$5:$A$21,0))="Yes",FALSE),IFERROR(INDEX(INDIRECT("'"&amp;$C3567&amp;"'!$E$61:$Y$61"),1,MATCH($D3567,INDIRECT("'"&amp;$C3567&amp;"'!$E$12:$Y$12"),0)),0),0)</f>
        <v>0</v>
      </c>
      <c r="I3567" s="366" t="s">
        <v>1690</v>
      </c>
      <c r="J3567" s="348" t="str">
        <f t="shared" ca="1" si="110"/>
        <v>OK</v>
      </c>
      <c r="K3567" s="366" t="s">
        <v>1723</v>
      </c>
      <c r="L3567" s="366" t="s">
        <v>2252</v>
      </c>
      <c r="M3567" s="350" t="str">
        <f>IF($B3567="Portfolio","Portfolio",IFERROR(INDEX(DATA_ASSET_CLASSIFICATION!$B$8:$B$24,MATCH($C3567,DATA_ASSET_CLASSIFICATION!$A$8:$A$24,0)),"Review"))</f>
        <v>Newton Green</v>
      </c>
      <c r="N3567" s="350" t="str">
        <f ca="1">IF($B3567="Portfolio","Portfolio",IFERROR(INDEX(DATA_ASSET_CLASSIFICATION!$U$8:$U$24,MATCH($C3567,DATA_ASSET_CLASSIFICATION!$A$8:$A$24,0)),"Review"))</f>
        <v>Refi Watch</v>
      </c>
      <c r="O3567" s="350" t="str">
        <f ca="1">IF($B3567="Portfolio","Portfolio",IFERROR(INDEX(DATA_ASSET_CLASSIFICATION!$AB$8:$AB$13,MATCH($N3567,DATA_ASSET_CLASSIFICATION!$AA$8:$AA$13,0)),"Review"))</f>
        <v>Bucket 2 · Legacy</v>
      </c>
      <c r="P3567" s="350" t="str">
        <f>IF($B3567="Portfolio","Portfolio",IFERROR(INDEX(DATA_ASSET_CLASSIFICATION!$C$8:$C$24,MATCH($C3567,DATA_ASSET_CLASSIFICATION!$A$8:$A$24,0)),"Review"))</f>
        <v>Yes</v>
      </c>
      <c r="Q3567" s="350" t="str">
        <f t="shared" ca="1" si="111"/>
        <v>OK</v>
      </c>
    </row>
    <row r="3568" spans="1:17">
      <c r="A3568" s="366" t="s">
        <v>5524</v>
      </c>
      <c r="B3568" s="366" t="s">
        <v>231</v>
      </c>
      <c r="C3568" s="348" t="str">
        <f>DATA_PROPERTY_MASTER!$A$16</f>
        <v>BLD_NG</v>
      </c>
      <c r="D3568" s="380">
        <f>'00_PORTFOLIO ROLLUP'!J$12</f>
        <v>2030</v>
      </c>
      <c r="E3568" s="366" t="s">
        <v>1721</v>
      </c>
      <c r="F3568" s="366" t="s">
        <v>33</v>
      </c>
      <c r="G3568" s="348" t="str">
        <f>"'"&amp;$C3568&amp;"'!$E$62:$Y$62"</f>
        <v>'BLD_NG'!$E$62:$Y$62</v>
      </c>
      <c r="H3568" s="381">
        <f ca="1">IF(IFERROR(INDEX(DATA_PROPERTY_MASTER!$E$5:$E$21,MATCH($C3568,DATA_PROPERTY_MASTER!$A$5:$A$21,0))="Yes",FALSE),IFERROR(INDEX(INDIRECT("'"&amp;$C3568&amp;"'!$E$62:$Y$62"),1,MATCH($D3568,INDIRECT("'"&amp;$C3568&amp;"'!$E$12:$Y$12"),0)),0),0)</f>
        <v>0</v>
      </c>
      <c r="I3568" s="366" t="s">
        <v>1685</v>
      </c>
      <c r="J3568" s="348" t="str">
        <f t="shared" ca="1" si="110"/>
        <v>OK</v>
      </c>
      <c r="K3568" s="366" t="s">
        <v>1727</v>
      </c>
      <c r="L3568" s="366" t="s">
        <v>2254</v>
      </c>
      <c r="M3568" s="350" t="str">
        <f>IF($B3568="Portfolio","Portfolio",IFERROR(INDEX(DATA_ASSET_CLASSIFICATION!$B$8:$B$24,MATCH($C3568,DATA_ASSET_CLASSIFICATION!$A$8:$A$24,0)),"Review"))</f>
        <v>Newton Green</v>
      </c>
      <c r="N3568" s="350" t="str">
        <f ca="1">IF($B3568="Portfolio","Portfolio",IFERROR(INDEX(DATA_ASSET_CLASSIFICATION!$U$8:$U$24,MATCH($C3568,DATA_ASSET_CLASSIFICATION!$A$8:$A$24,0)),"Review"))</f>
        <v>Refi Watch</v>
      </c>
      <c r="O3568" s="350" t="str">
        <f ca="1">IF($B3568="Portfolio","Portfolio",IFERROR(INDEX(DATA_ASSET_CLASSIFICATION!$AB$8:$AB$13,MATCH($N3568,DATA_ASSET_CLASSIFICATION!$AA$8:$AA$13,0)),"Review"))</f>
        <v>Bucket 2 · Legacy</v>
      </c>
      <c r="P3568" s="350" t="str">
        <f>IF($B3568="Portfolio","Portfolio",IFERROR(INDEX(DATA_ASSET_CLASSIFICATION!$C$8:$C$24,MATCH($C3568,DATA_ASSET_CLASSIFICATION!$A$8:$A$24,0)),"Review"))</f>
        <v>Yes</v>
      </c>
      <c r="Q3568" s="350" t="str">
        <f t="shared" ca="1" si="111"/>
        <v>OK</v>
      </c>
    </row>
    <row r="3569" spans="1:17">
      <c r="A3569" s="366" t="s">
        <v>5525</v>
      </c>
      <c r="B3569" s="366" t="s">
        <v>231</v>
      </c>
      <c r="C3569" s="348" t="str">
        <f>DATA_PROPERTY_MASTER!$A$16</f>
        <v>BLD_NG</v>
      </c>
      <c r="D3569" s="380">
        <f>'00_PORTFOLIO ROLLUP'!J$12</f>
        <v>2030</v>
      </c>
      <c r="E3569" s="366" t="s">
        <v>1721</v>
      </c>
      <c r="F3569" s="366" t="s">
        <v>35</v>
      </c>
      <c r="G3569" s="348" t="str">
        <f>"'"&amp;$C3569&amp;"'!$E$63:$Y$63"</f>
        <v>'BLD_NG'!$E$63:$Y$63</v>
      </c>
      <c r="H3569" s="381">
        <f ca="1">IF(IFERROR(INDEX(DATA_PROPERTY_MASTER!$E$5:$E$21,MATCH($C3569,DATA_PROPERTY_MASTER!$A$5:$A$21,0))="Yes",FALSE),IFERROR(INDEX(INDIRECT("'"&amp;$C3569&amp;"'!$E$63:$Y$63"),1,MATCH($D3569,INDIRECT("'"&amp;$C3569&amp;"'!$E$12:$Y$12"),0)),0),0)</f>
        <v>0</v>
      </c>
      <c r="I3569" s="366" t="s">
        <v>1731</v>
      </c>
      <c r="J3569" s="348" t="str">
        <f t="shared" ca="1" si="110"/>
        <v>OK</v>
      </c>
      <c r="K3569" s="366" t="s">
        <v>1732</v>
      </c>
      <c r="L3569" s="366" t="s">
        <v>2256</v>
      </c>
      <c r="M3569" s="350" t="str">
        <f>IF($B3569="Portfolio","Portfolio",IFERROR(INDEX(DATA_ASSET_CLASSIFICATION!$B$8:$B$24,MATCH($C3569,DATA_ASSET_CLASSIFICATION!$A$8:$A$24,0)),"Review"))</f>
        <v>Newton Green</v>
      </c>
      <c r="N3569" s="350" t="str">
        <f ca="1">IF($B3569="Portfolio","Portfolio",IFERROR(INDEX(DATA_ASSET_CLASSIFICATION!$U$8:$U$24,MATCH($C3569,DATA_ASSET_CLASSIFICATION!$A$8:$A$24,0)),"Review"))</f>
        <v>Refi Watch</v>
      </c>
      <c r="O3569" s="350" t="str">
        <f ca="1">IF($B3569="Portfolio","Portfolio",IFERROR(INDEX(DATA_ASSET_CLASSIFICATION!$AB$8:$AB$13,MATCH($N3569,DATA_ASSET_CLASSIFICATION!$AA$8:$AA$13,0)),"Review"))</f>
        <v>Bucket 2 · Legacy</v>
      </c>
      <c r="P3569" s="350" t="str">
        <f>IF($B3569="Portfolio","Portfolio",IFERROR(INDEX(DATA_ASSET_CLASSIFICATION!$C$8:$C$24,MATCH($C3569,DATA_ASSET_CLASSIFICATION!$A$8:$A$24,0)),"Review"))</f>
        <v>Yes</v>
      </c>
      <c r="Q3569" s="350" t="str">
        <f t="shared" ca="1" si="111"/>
        <v>OK</v>
      </c>
    </row>
    <row r="3570" spans="1:17">
      <c r="A3570" s="366" t="s">
        <v>5526</v>
      </c>
      <c r="B3570" s="366" t="s">
        <v>231</v>
      </c>
      <c r="C3570" s="348" t="str">
        <f>DATA_PROPERTY_MASTER!$A$16</f>
        <v>BLD_NG</v>
      </c>
      <c r="D3570" s="380">
        <f>'00_PORTFOLIO ROLLUP'!J$12</f>
        <v>2030</v>
      </c>
      <c r="E3570" s="366" t="s">
        <v>1721</v>
      </c>
      <c r="F3570" s="366" t="s">
        <v>37</v>
      </c>
      <c r="G3570" s="348" t="str">
        <f>"'"&amp;$C3570&amp;"'!$E$63:$Y$63"</f>
        <v>'BLD_NG'!$E$63:$Y$63</v>
      </c>
      <c r="H3570" s="381">
        <f ca="1">IF(IFERROR(INDEX(DATA_PROPERTY_MASTER!$E$5:$E$21,MATCH($C3570,DATA_PROPERTY_MASTER!$A$5:$A$21,0))="Yes",FALSE),MAX(IFERROR(INDEX(INDIRECT("'"&amp;$C3570&amp;"'!$E$63:$Y$63"),1,MATCH($D3570,INDIRECT("'"&amp;$C3570&amp;"'!$E$12:$Y$12"),0)),0),0),0)</f>
        <v>0</v>
      </c>
      <c r="I3570" s="366" t="s">
        <v>1685</v>
      </c>
      <c r="J3570" s="348" t="str">
        <f t="shared" ca="1" si="110"/>
        <v>OK</v>
      </c>
      <c r="K3570" s="366" t="s">
        <v>1735</v>
      </c>
      <c r="L3570" s="366" t="s">
        <v>2258</v>
      </c>
      <c r="M3570" s="350" t="str">
        <f>IF($B3570="Portfolio","Portfolio",IFERROR(INDEX(DATA_ASSET_CLASSIFICATION!$B$8:$B$24,MATCH($C3570,DATA_ASSET_CLASSIFICATION!$A$8:$A$24,0)),"Review"))</f>
        <v>Newton Green</v>
      </c>
      <c r="N3570" s="350" t="str">
        <f ca="1">IF($B3570="Portfolio","Portfolio",IFERROR(INDEX(DATA_ASSET_CLASSIFICATION!$U$8:$U$24,MATCH($C3570,DATA_ASSET_CLASSIFICATION!$A$8:$A$24,0)),"Review"))</f>
        <v>Refi Watch</v>
      </c>
      <c r="O3570" s="350" t="str">
        <f ca="1">IF($B3570="Portfolio","Portfolio",IFERROR(INDEX(DATA_ASSET_CLASSIFICATION!$AB$8:$AB$13,MATCH($N3570,DATA_ASSET_CLASSIFICATION!$AA$8:$AA$13,0)),"Review"))</f>
        <v>Bucket 2 · Legacy</v>
      </c>
      <c r="P3570" s="350" t="str">
        <f>IF($B3570="Portfolio","Portfolio",IFERROR(INDEX(DATA_ASSET_CLASSIFICATION!$C$8:$C$24,MATCH($C3570,DATA_ASSET_CLASSIFICATION!$A$8:$A$24,0)),"Review"))</f>
        <v>Yes</v>
      </c>
      <c r="Q3570" s="350" t="str">
        <f t="shared" ca="1" si="111"/>
        <v>OK</v>
      </c>
    </row>
    <row r="3571" spans="1:17">
      <c r="A3571" s="366" t="s">
        <v>5527</v>
      </c>
      <c r="B3571" s="366" t="s">
        <v>231</v>
      </c>
      <c r="C3571" s="348" t="str">
        <f>DATA_PROPERTY_MASTER!$A$16</f>
        <v>BLD_NG</v>
      </c>
      <c r="D3571" s="380">
        <f>'00_PORTFOLIO ROLLUP'!J$12</f>
        <v>2030</v>
      </c>
      <c r="E3571" s="366" t="s">
        <v>1721</v>
      </c>
      <c r="F3571" s="366" t="s">
        <v>39</v>
      </c>
      <c r="G3571" s="348" t="str">
        <f>"'"&amp;$C3571&amp;"'!$E$63:$Y$63"</f>
        <v>'BLD_NG'!$E$63:$Y$63</v>
      </c>
      <c r="H3571" s="381">
        <f ca="1">IF(IFERROR(INDEX(DATA_PROPERTY_MASTER!$E$5:$E$21,MATCH($C3571,DATA_PROPERTY_MASTER!$A$5:$A$21,0))="Yes",FALSE),MAX(-IFERROR(INDEX(INDIRECT("'"&amp;$C3571&amp;"'!$E$63:$Y$63"),1,MATCH($D3571,INDIRECT("'"&amp;$C3571&amp;"'!$E$12:$Y$12"),0)),0),0),0)</f>
        <v>0</v>
      </c>
      <c r="I3571" s="366" t="s">
        <v>1690</v>
      </c>
      <c r="J3571" s="348" t="str">
        <f t="shared" ca="1" si="110"/>
        <v>OK</v>
      </c>
      <c r="K3571" s="366" t="s">
        <v>1738</v>
      </c>
      <c r="L3571" s="366" t="s">
        <v>2260</v>
      </c>
      <c r="M3571" s="350" t="str">
        <f>IF($B3571="Portfolio","Portfolio",IFERROR(INDEX(DATA_ASSET_CLASSIFICATION!$B$8:$B$24,MATCH($C3571,DATA_ASSET_CLASSIFICATION!$A$8:$A$24,0)),"Review"))</f>
        <v>Newton Green</v>
      </c>
      <c r="N3571" s="350" t="str">
        <f ca="1">IF($B3571="Portfolio","Portfolio",IFERROR(INDEX(DATA_ASSET_CLASSIFICATION!$U$8:$U$24,MATCH($C3571,DATA_ASSET_CLASSIFICATION!$A$8:$A$24,0)),"Review"))</f>
        <v>Refi Watch</v>
      </c>
      <c r="O3571" s="350" t="str">
        <f ca="1">IF($B3571="Portfolio","Portfolio",IFERROR(INDEX(DATA_ASSET_CLASSIFICATION!$AB$8:$AB$13,MATCH($N3571,DATA_ASSET_CLASSIFICATION!$AA$8:$AA$13,0)),"Review"))</f>
        <v>Bucket 2 · Legacy</v>
      </c>
      <c r="P3571" s="350" t="str">
        <f>IF($B3571="Portfolio","Portfolio",IFERROR(INDEX(DATA_ASSET_CLASSIFICATION!$C$8:$C$24,MATCH($C3571,DATA_ASSET_CLASSIFICATION!$A$8:$A$24,0)),"Review"))</f>
        <v>Yes</v>
      </c>
      <c r="Q3571" s="350" t="str">
        <f t="shared" ca="1" si="111"/>
        <v>OK</v>
      </c>
    </row>
    <row r="3572" spans="1:17">
      <c r="A3572" s="366" t="s">
        <v>5528</v>
      </c>
      <c r="B3572" s="366" t="s">
        <v>231</v>
      </c>
      <c r="C3572" s="348" t="str">
        <f>DATA_PROPERTY_MASTER!$A$16</f>
        <v>BLD_NG</v>
      </c>
      <c r="D3572" s="380">
        <f>'00_PORTFOLIO ROLLUP'!J$12</f>
        <v>2030</v>
      </c>
      <c r="E3572" s="366" t="s">
        <v>1741</v>
      </c>
      <c r="F3572" s="366" t="s">
        <v>41</v>
      </c>
      <c r="G3572" s="348" t="str">
        <f>"'"&amp;$C3572&amp;"'!rows 56 + positive row 63"</f>
        <v>'BLD_NG'!rows 56 + positive row 63</v>
      </c>
      <c r="H3572" s="381">
        <f ca="1">IF(IFERROR(INDEX(DATA_PROPERTY_MASTER!$E$5:$E$21,MATCH($C3572,DATA_PROPERTY_MASTER!$A$5:$A$21,0))="Yes",FALSE),IFERROR(INDEX(INDIRECT("'"&amp;$C3572&amp;"'!$E$56:$Y$56"),1,MATCH($D3572,INDIRECT("'"&amp;$C3572&amp;"'!$E$12:$Y$12"),0)),0)+MAX(IFERROR(INDEX(INDIRECT("'"&amp;$C3572&amp;"'!$E$63:$Y$63"),1,MATCH($D3572,INDIRECT("'"&amp;$C3572&amp;"'!$E$12:$Y$12"),0)),0),0),0)</f>
        <v>14548.158765686072</v>
      </c>
      <c r="I3572" s="366" t="s">
        <v>1685</v>
      </c>
      <c r="J3572" s="348" t="str">
        <f t="shared" ca="1" si="110"/>
        <v>OK</v>
      </c>
      <c r="K3572" s="366" t="s">
        <v>1742</v>
      </c>
      <c r="L3572" s="366" t="s">
        <v>2262</v>
      </c>
      <c r="M3572" s="350" t="str">
        <f>IF($B3572="Portfolio","Portfolio",IFERROR(INDEX(DATA_ASSET_CLASSIFICATION!$B$8:$B$24,MATCH($C3572,DATA_ASSET_CLASSIFICATION!$A$8:$A$24,0)),"Review"))</f>
        <v>Newton Green</v>
      </c>
      <c r="N3572" s="350" t="str">
        <f ca="1">IF($B3572="Portfolio","Portfolio",IFERROR(INDEX(DATA_ASSET_CLASSIFICATION!$U$8:$U$24,MATCH($C3572,DATA_ASSET_CLASSIFICATION!$A$8:$A$24,0)),"Review"))</f>
        <v>Refi Watch</v>
      </c>
      <c r="O3572" s="350" t="str">
        <f ca="1">IF($B3572="Portfolio","Portfolio",IFERROR(INDEX(DATA_ASSET_CLASSIFICATION!$AB$8:$AB$13,MATCH($N3572,DATA_ASSET_CLASSIFICATION!$AA$8:$AA$13,0)),"Review"))</f>
        <v>Bucket 2 · Legacy</v>
      </c>
      <c r="P3572" s="350" t="str">
        <f>IF($B3572="Portfolio","Portfolio",IFERROR(INDEX(DATA_ASSET_CLASSIFICATION!$C$8:$C$24,MATCH($C3572,DATA_ASSET_CLASSIFICATION!$A$8:$A$24,0)),"Review"))</f>
        <v>Yes</v>
      </c>
      <c r="Q3572" s="350" t="str">
        <f t="shared" ca="1" si="111"/>
        <v>OK</v>
      </c>
    </row>
    <row r="3573" spans="1:17">
      <c r="A3573" s="366" t="s">
        <v>5529</v>
      </c>
      <c r="B3573" s="366" t="s">
        <v>231</v>
      </c>
      <c r="C3573" s="348" t="str">
        <f>DATA_PROPERTY_MASTER!$A$16</f>
        <v>BLD_NG</v>
      </c>
      <c r="D3573" s="380">
        <f>'00_PORTFOLIO ROLLUP'!J$12</f>
        <v>2030</v>
      </c>
      <c r="E3573" s="366" t="s">
        <v>1741</v>
      </c>
      <c r="F3573" s="366" t="s">
        <v>43</v>
      </c>
      <c r="G3573" s="348" t="str">
        <f>"'"&amp;$C3573&amp;"'!$E$68:$Y$68"</f>
        <v>'BLD_NG'!$E$68:$Y$68</v>
      </c>
      <c r="H3573" s="381">
        <f ca="1">IF(IFERROR(INDEX(DATA_PROPERTY_MASTER!$E$5:$E$21,MATCH($C3573,DATA_PROPERTY_MASTER!$A$5:$A$21,0))="Yes",FALSE),IFERROR(INDEX(INDIRECT("'"&amp;$C3573&amp;"'!$E$68:$Y$68"),1,MATCH($D3573,INDIRECT("'"&amp;$C3573&amp;"'!$E$12:$Y$12"),0)),0),0)</f>
        <v>14548.158765686072</v>
      </c>
      <c r="I3573" s="366" t="s">
        <v>1731</v>
      </c>
      <c r="J3573" s="348" t="str">
        <f t="shared" ca="1" si="110"/>
        <v>OK</v>
      </c>
      <c r="K3573" s="366" t="s">
        <v>1746</v>
      </c>
      <c r="L3573" s="366" t="s">
        <v>2264</v>
      </c>
      <c r="M3573" s="350" t="str">
        <f>IF($B3573="Portfolio","Portfolio",IFERROR(INDEX(DATA_ASSET_CLASSIFICATION!$B$8:$B$24,MATCH($C3573,DATA_ASSET_CLASSIFICATION!$A$8:$A$24,0)),"Review"))</f>
        <v>Newton Green</v>
      </c>
      <c r="N3573" s="350" t="str">
        <f ca="1">IF($B3573="Portfolio","Portfolio",IFERROR(INDEX(DATA_ASSET_CLASSIFICATION!$U$8:$U$24,MATCH($C3573,DATA_ASSET_CLASSIFICATION!$A$8:$A$24,0)),"Review"))</f>
        <v>Refi Watch</v>
      </c>
      <c r="O3573" s="350" t="str">
        <f ca="1">IF($B3573="Portfolio","Portfolio",IFERROR(INDEX(DATA_ASSET_CLASSIFICATION!$AB$8:$AB$13,MATCH($N3573,DATA_ASSET_CLASSIFICATION!$AA$8:$AA$13,0)),"Review"))</f>
        <v>Bucket 2 · Legacy</v>
      </c>
      <c r="P3573" s="350" t="str">
        <f>IF($B3573="Portfolio","Portfolio",IFERROR(INDEX(DATA_ASSET_CLASSIFICATION!$C$8:$C$24,MATCH($C3573,DATA_ASSET_CLASSIFICATION!$A$8:$A$24,0)),"Review"))</f>
        <v>Yes</v>
      </c>
      <c r="Q3573" s="350" t="str">
        <f t="shared" ca="1" si="111"/>
        <v>OK</v>
      </c>
    </row>
    <row r="3574" spans="1:17">
      <c r="A3574" s="366" t="s">
        <v>5530</v>
      </c>
      <c r="B3574" s="366" t="s">
        <v>231</v>
      </c>
      <c r="C3574" s="348" t="str">
        <f>DATA_PROPERTY_MASTER!$A$16</f>
        <v>BLD_NG</v>
      </c>
      <c r="D3574" s="380">
        <f>'00_PORTFOLIO ROLLUP'!J$12</f>
        <v>2030</v>
      </c>
      <c r="E3574" s="366" t="s">
        <v>1741</v>
      </c>
      <c r="F3574" s="366" t="s">
        <v>1749</v>
      </c>
      <c r="G3574" s="348" t="str">
        <f>"'"&amp;$C3574&amp;"'!rows 56, 63, 68"</f>
        <v>'BLD_NG'!rows 56, 63, 68</v>
      </c>
      <c r="H3574" s="381">
        <f ca="1">IF(IFERROR(INDEX(DATA_PROPERTY_MASTER!$E$5:$E$21,MATCH($C3574,DATA_PROPERTY_MASTER!$A$5:$A$21,0))="Yes",FALSE),(IFERROR(INDEX(INDIRECT("'"&amp;$C3574&amp;"'!$E$56:$Y$56"),1,MATCH($D3574,INDIRECT("'"&amp;$C3574&amp;"'!$E$12:$Y$12"),0)),0)+MAX(IFERROR(INDEX(INDIRECT("'"&amp;$C3574&amp;"'!$E$63:$Y$63"),1,MATCH($D3574,INDIRECT("'"&amp;$C3574&amp;"'!$E$12:$Y$12"),0)),0),0))-(IFERROR(INDEX(INDIRECT("'"&amp;$C3574&amp;"'!$E$68:$Y$68"),1,MATCH($D3574,INDIRECT("'"&amp;$C3574&amp;"'!$E$12:$Y$12"),0)),0)),0)</f>
        <v>0</v>
      </c>
      <c r="I3574" s="366" t="s">
        <v>1750</v>
      </c>
      <c r="J3574" s="348" t="str">
        <f t="shared" ca="1" si="110"/>
        <v>OK</v>
      </c>
      <c r="K3574" s="366" t="s">
        <v>1751</v>
      </c>
      <c r="L3574" s="366" t="s">
        <v>2266</v>
      </c>
      <c r="M3574" s="350" t="str">
        <f>IF($B3574="Portfolio","Portfolio",IFERROR(INDEX(DATA_ASSET_CLASSIFICATION!$B$8:$B$24,MATCH($C3574,DATA_ASSET_CLASSIFICATION!$A$8:$A$24,0)),"Review"))</f>
        <v>Newton Green</v>
      </c>
      <c r="N3574" s="350" t="str">
        <f ca="1">IF($B3574="Portfolio","Portfolio",IFERROR(INDEX(DATA_ASSET_CLASSIFICATION!$U$8:$U$24,MATCH($C3574,DATA_ASSET_CLASSIFICATION!$A$8:$A$24,0)),"Review"))</f>
        <v>Refi Watch</v>
      </c>
      <c r="O3574" s="350" t="str">
        <f ca="1">IF($B3574="Portfolio","Portfolio",IFERROR(INDEX(DATA_ASSET_CLASSIFICATION!$AB$8:$AB$13,MATCH($N3574,DATA_ASSET_CLASSIFICATION!$AA$8:$AA$13,0)),"Review"))</f>
        <v>Bucket 2 · Legacy</v>
      </c>
      <c r="P3574" s="350" t="str">
        <f>IF($B3574="Portfolio","Portfolio",IFERROR(INDEX(DATA_ASSET_CLASSIFICATION!$C$8:$C$24,MATCH($C3574,DATA_ASSET_CLASSIFICATION!$A$8:$A$24,0)),"Review"))</f>
        <v>Yes</v>
      </c>
      <c r="Q3574" s="350" t="str">
        <f t="shared" ca="1" si="111"/>
        <v>OK</v>
      </c>
    </row>
    <row r="3575" spans="1:17">
      <c r="A3575" s="366" t="s">
        <v>5531</v>
      </c>
      <c r="B3575" s="366" t="s">
        <v>231</v>
      </c>
      <c r="C3575" s="348" t="str">
        <f>DATA_PROPERTY_MASTER!$A$16</f>
        <v>BLD_NG</v>
      </c>
      <c r="D3575" s="380">
        <f>'00_PORTFOLIO ROLLUP'!K$12</f>
        <v>2031</v>
      </c>
      <c r="E3575" s="366" t="s">
        <v>1683</v>
      </c>
      <c r="F3575" s="366" t="s">
        <v>341</v>
      </c>
      <c r="G3575" s="348" t="str">
        <f>"'"&amp;$C3575&amp;"'!$E$24:$Y$24"</f>
        <v>'BLD_NG'!$E$24:$Y$24</v>
      </c>
      <c r="H3575" s="381">
        <f ca="1">IF(IFERROR(INDEX(DATA_PROPERTY_MASTER!$E$5:$E$21,MATCH($C3575,DATA_PROPERTY_MASTER!$A$5:$A$21,0))="Yes",FALSE),IFERROR(INDEX(INDIRECT("'"&amp;$C3575&amp;"'!$E$24:$Y$24"),1,MATCH($D3575,INDIRECT("'"&amp;$C3575&amp;"'!$E$12:$Y$12"),0)),0),0)</f>
        <v>874885.45192451181</v>
      </c>
      <c r="I3575" s="366" t="s">
        <v>1685</v>
      </c>
      <c r="J3575" s="348" t="str">
        <f t="shared" ca="1" si="110"/>
        <v>OK</v>
      </c>
      <c r="K3575" s="366" t="s">
        <v>1686</v>
      </c>
      <c r="L3575" s="366" t="s">
        <v>2234</v>
      </c>
      <c r="M3575" s="350" t="str">
        <f>IF($B3575="Portfolio","Portfolio",IFERROR(INDEX(DATA_ASSET_CLASSIFICATION!$B$8:$B$24,MATCH($C3575,DATA_ASSET_CLASSIFICATION!$A$8:$A$24,0)),"Review"))</f>
        <v>Newton Green</v>
      </c>
      <c r="N3575" s="350" t="str">
        <f ca="1">IF($B3575="Portfolio","Portfolio",IFERROR(INDEX(DATA_ASSET_CLASSIFICATION!$U$8:$U$24,MATCH($C3575,DATA_ASSET_CLASSIFICATION!$A$8:$A$24,0)),"Review"))</f>
        <v>Refi Watch</v>
      </c>
      <c r="O3575" s="350" t="str">
        <f ca="1">IF($B3575="Portfolio","Portfolio",IFERROR(INDEX(DATA_ASSET_CLASSIFICATION!$AB$8:$AB$13,MATCH($N3575,DATA_ASSET_CLASSIFICATION!$AA$8:$AA$13,0)),"Review"))</f>
        <v>Bucket 2 · Legacy</v>
      </c>
      <c r="P3575" s="350" t="str">
        <f>IF($B3575="Portfolio","Portfolio",IFERROR(INDEX(DATA_ASSET_CLASSIFICATION!$C$8:$C$24,MATCH($C3575,DATA_ASSET_CLASSIFICATION!$A$8:$A$24,0)),"Review"))</f>
        <v>Yes</v>
      </c>
      <c r="Q3575" s="350" t="str">
        <f t="shared" ca="1" si="111"/>
        <v>OK</v>
      </c>
    </row>
    <row r="3576" spans="1:17">
      <c r="A3576" s="366" t="s">
        <v>5532</v>
      </c>
      <c r="B3576" s="366" t="s">
        <v>231</v>
      </c>
      <c r="C3576" s="348" t="str">
        <f>DATA_PROPERTY_MASTER!$A$16</f>
        <v>BLD_NG</v>
      </c>
      <c r="D3576" s="380">
        <f>'00_PORTFOLIO ROLLUP'!K$12</f>
        <v>2031</v>
      </c>
      <c r="E3576" s="366" t="s">
        <v>1683</v>
      </c>
      <c r="F3576" s="366" t="s">
        <v>355</v>
      </c>
      <c r="G3576" s="348" t="str">
        <f>"'"&amp;$C3576&amp;"'!$E$39:$Y$39"</f>
        <v>'BLD_NG'!$E$39:$Y$39</v>
      </c>
      <c r="H3576" s="381">
        <f ca="1">IF(IFERROR(INDEX(DATA_PROPERTY_MASTER!$E$5:$E$21,MATCH($C3576,DATA_PROPERTY_MASTER!$A$5:$A$21,0))="Yes",FALSE),IFERROR(INDEX(INDIRECT("'"&amp;$C3576&amp;"'!$E$39:$Y$39"),1,MATCH($D3576,INDIRECT("'"&amp;$C3576&amp;"'!$E$12:$Y$12"),0)),0),0)</f>
        <v>393300.37583813031</v>
      </c>
      <c r="I3576" s="366" t="s">
        <v>1690</v>
      </c>
      <c r="J3576" s="348" t="str">
        <f t="shared" ca="1" si="110"/>
        <v>OK</v>
      </c>
      <c r="K3576" s="366" t="s">
        <v>1686</v>
      </c>
      <c r="L3576" s="366" t="s">
        <v>2236</v>
      </c>
      <c r="M3576" s="350" t="str">
        <f>IF($B3576="Portfolio","Portfolio",IFERROR(INDEX(DATA_ASSET_CLASSIFICATION!$B$8:$B$24,MATCH($C3576,DATA_ASSET_CLASSIFICATION!$A$8:$A$24,0)),"Review"))</f>
        <v>Newton Green</v>
      </c>
      <c r="N3576" s="350" t="str">
        <f ca="1">IF($B3576="Portfolio","Portfolio",IFERROR(INDEX(DATA_ASSET_CLASSIFICATION!$U$8:$U$24,MATCH($C3576,DATA_ASSET_CLASSIFICATION!$A$8:$A$24,0)),"Review"))</f>
        <v>Refi Watch</v>
      </c>
      <c r="O3576" s="350" t="str">
        <f ca="1">IF($B3576="Portfolio","Portfolio",IFERROR(INDEX(DATA_ASSET_CLASSIFICATION!$AB$8:$AB$13,MATCH($N3576,DATA_ASSET_CLASSIFICATION!$AA$8:$AA$13,0)),"Review"))</f>
        <v>Bucket 2 · Legacy</v>
      </c>
      <c r="P3576" s="350" t="str">
        <f>IF($B3576="Portfolio","Portfolio",IFERROR(INDEX(DATA_ASSET_CLASSIFICATION!$C$8:$C$24,MATCH($C3576,DATA_ASSET_CLASSIFICATION!$A$8:$A$24,0)),"Review"))</f>
        <v>Yes</v>
      </c>
      <c r="Q3576" s="350" t="str">
        <f t="shared" ca="1" si="111"/>
        <v>OK</v>
      </c>
    </row>
    <row r="3577" spans="1:17">
      <c r="A3577" s="366" t="s">
        <v>5533</v>
      </c>
      <c r="B3577" s="366" t="s">
        <v>231</v>
      </c>
      <c r="C3577" s="348" t="str">
        <f>DATA_PROPERTY_MASTER!$A$16</f>
        <v>BLD_NG</v>
      </c>
      <c r="D3577" s="380">
        <f>'00_PORTFOLIO ROLLUP'!K$12</f>
        <v>2031</v>
      </c>
      <c r="E3577" s="366" t="s">
        <v>1683</v>
      </c>
      <c r="F3577" s="366" t="s">
        <v>19</v>
      </c>
      <c r="G3577" s="348" t="str">
        <f>"'"&amp;$C3577&amp;"'!$E$41:$Y$41"</f>
        <v>'BLD_NG'!$E$41:$Y$41</v>
      </c>
      <c r="H3577" s="381">
        <f ca="1">IF(IFERROR(INDEX(DATA_PROPERTY_MASTER!$E$5:$E$21,MATCH($C3577,DATA_PROPERTY_MASTER!$A$5:$A$21,0))="Yes",FALSE),IFERROR(INDEX(INDIRECT("'"&amp;$C3577&amp;"'!$E$41:$Y$41"),1,MATCH($D3577,INDIRECT("'"&amp;$C3577&amp;"'!$E$12:$Y$12"),0)),0),0)</f>
        <v>481585.07608638151</v>
      </c>
      <c r="I3577" s="366" t="s">
        <v>1685</v>
      </c>
      <c r="J3577" s="348" t="str">
        <f t="shared" ca="1" si="110"/>
        <v>OK</v>
      </c>
      <c r="K3577" s="366" t="s">
        <v>1694</v>
      </c>
      <c r="L3577" s="366" t="s">
        <v>2238</v>
      </c>
      <c r="M3577" s="350" t="str">
        <f>IF($B3577="Portfolio","Portfolio",IFERROR(INDEX(DATA_ASSET_CLASSIFICATION!$B$8:$B$24,MATCH($C3577,DATA_ASSET_CLASSIFICATION!$A$8:$A$24,0)),"Review"))</f>
        <v>Newton Green</v>
      </c>
      <c r="N3577" s="350" t="str">
        <f ca="1">IF($B3577="Portfolio","Portfolio",IFERROR(INDEX(DATA_ASSET_CLASSIFICATION!$U$8:$U$24,MATCH($C3577,DATA_ASSET_CLASSIFICATION!$A$8:$A$24,0)),"Review"))</f>
        <v>Refi Watch</v>
      </c>
      <c r="O3577" s="350" t="str">
        <f ca="1">IF($B3577="Portfolio","Portfolio",IFERROR(INDEX(DATA_ASSET_CLASSIFICATION!$AB$8:$AB$13,MATCH($N3577,DATA_ASSET_CLASSIFICATION!$AA$8:$AA$13,0)),"Review"))</f>
        <v>Bucket 2 · Legacy</v>
      </c>
      <c r="P3577" s="350" t="str">
        <f>IF($B3577="Portfolio","Portfolio",IFERROR(INDEX(DATA_ASSET_CLASSIFICATION!$C$8:$C$24,MATCH($C3577,DATA_ASSET_CLASSIFICATION!$A$8:$A$24,0)),"Review"))</f>
        <v>Yes</v>
      </c>
      <c r="Q3577" s="350" t="str">
        <f t="shared" ca="1" si="111"/>
        <v>OK</v>
      </c>
    </row>
    <row r="3578" spans="1:17">
      <c r="A3578" s="366" t="s">
        <v>5534</v>
      </c>
      <c r="B3578" s="366" t="s">
        <v>231</v>
      </c>
      <c r="C3578" s="348" t="str">
        <f>DATA_PROPERTY_MASTER!$A$16</f>
        <v>BLD_NG</v>
      </c>
      <c r="D3578" s="380">
        <f>'00_PORTFOLIO ROLLUP'!K$12</f>
        <v>2031</v>
      </c>
      <c r="E3578" s="366" t="s">
        <v>1683</v>
      </c>
      <c r="F3578" s="366" t="s">
        <v>1697</v>
      </c>
      <c r="G3578" s="348" t="str">
        <f>"'"&amp;$C3578&amp;"'!$E$44:$Y$44"</f>
        <v>'BLD_NG'!$E$44:$Y$44</v>
      </c>
      <c r="H3578" s="381">
        <f ca="1">IF(IFERROR(INDEX(DATA_PROPERTY_MASTER!$E$5:$E$21,MATCH($C3578,DATA_PROPERTY_MASTER!$A$5:$A$21,0))="Yes",FALSE),IFERROR(INDEX(INDIRECT("'"&amp;$C3578&amp;"'!$E$44:$Y$44"),1,MATCH($D3578,INDIRECT("'"&amp;$C3578&amp;"'!$E$12:$Y$12"),0)),0),0)</f>
        <v>8277.2937815904006</v>
      </c>
      <c r="I3578" s="366" t="s">
        <v>1690</v>
      </c>
      <c r="J3578" s="348" t="str">
        <f t="shared" ca="1" si="110"/>
        <v>OK</v>
      </c>
      <c r="K3578" s="366" t="s">
        <v>1699</v>
      </c>
      <c r="L3578" s="366" t="s">
        <v>2240</v>
      </c>
      <c r="M3578" s="350" t="str">
        <f>IF($B3578="Portfolio","Portfolio",IFERROR(INDEX(DATA_ASSET_CLASSIFICATION!$B$8:$B$24,MATCH($C3578,DATA_ASSET_CLASSIFICATION!$A$8:$A$24,0)),"Review"))</f>
        <v>Newton Green</v>
      </c>
      <c r="N3578" s="350" t="str">
        <f ca="1">IF($B3578="Portfolio","Portfolio",IFERROR(INDEX(DATA_ASSET_CLASSIFICATION!$U$8:$U$24,MATCH($C3578,DATA_ASSET_CLASSIFICATION!$A$8:$A$24,0)),"Review"))</f>
        <v>Refi Watch</v>
      </c>
      <c r="O3578" s="350" t="str">
        <f ca="1">IF($B3578="Portfolio","Portfolio",IFERROR(INDEX(DATA_ASSET_CLASSIFICATION!$AB$8:$AB$13,MATCH($N3578,DATA_ASSET_CLASSIFICATION!$AA$8:$AA$13,0)),"Review"))</f>
        <v>Bucket 2 · Legacy</v>
      </c>
      <c r="P3578" s="350" t="str">
        <f>IF($B3578="Portfolio","Portfolio",IFERROR(INDEX(DATA_ASSET_CLASSIFICATION!$C$8:$C$24,MATCH($C3578,DATA_ASSET_CLASSIFICATION!$A$8:$A$24,0)),"Review"))</f>
        <v>Yes</v>
      </c>
      <c r="Q3578" s="350" t="str">
        <f t="shared" ca="1" si="111"/>
        <v>OK</v>
      </c>
    </row>
    <row r="3579" spans="1:17">
      <c r="A3579" s="366" t="s">
        <v>5535</v>
      </c>
      <c r="B3579" s="366" t="s">
        <v>231</v>
      </c>
      <c r="C3579" s="348" t="str">
        <f>DATA_PROPERTY_MASTER!$A$16</f>
        <v>BLD_NG</v>
      </c>
      <c r="D3579" s="380">
        <f>'00_PORTFOLIO ROLLUP'!K$12</f>
        <v>2031</v>
      </c>
      <c r="E3579" s="366" t="s">
        <v>1683</v>
      </c>
      <c r="F3579" s="366" t="s">
        <v>21</v>
      </c>
      <c r="G3579" s="348" t="str">
        <f>"'"&amp;$C3579&amp;"'!$E$45:$Y$45"</f>
        <v>'BLD_NG'!$E$45:$Y$45</v>
      </c>
      <c r="H3579" s="381">
        <f ca="1">IF(IFERROR(INDEX(DATA_PROPERTY_MASTER!$E$5:$E$21,MATCH($C3579,DATA_PROPERTY_MASTER!$A$5:$A$21,0))="Yes",FALSE),IFERROR(INDEX(INDIRECT("'"&amp;$C3579&amp;"'!$E$45:$Y$45"),1,MATCH($D3579,INDIRECT("'"&amp;$C3579&amp;"'!$E$12:$Y$12"),0)),0),0)</f>
        <v>473307.78230479109</v>
      </c>
      <c r="I3579" s="366" t="s">
        <v>1685</v>
      </c>
      <c r="J3579" s="348" t="str">
        <f t="shared" ca="1" si="110"/>
        <v>OK</v>
      </c>
      <c r="K3579" s="366" t="s">
        <v>1694</v>
      </c>
      <c r="L3579" s="366" t="s">
        <v>2242</v>
      </c>
      <c r="M3579" s="350" t="str">
        <f>IF($B3579="Portfolio","Portfolio",IFERROR(INDEX(DATA_ASSET_CLASSIFICATION!$B$8:$B$24,MATCH($C3579,DATA_ASSET_CLASSIFICATION!$A$8:$A$24,0)),"Review"))</f>
        <v>Newton Green</v>
      </c>
      <c r="N3579" s="350" t="str">
        <f ca="1">IF($B3579="Portfolio","Portfolio",IFERROR(INDEX(DATA_ASSET_CLASSIFICATION!$U$8:$U$24,MATCH($C3579,DATA_ASSET_CLASSIFICATION!$A$8:$A$24,0)),"Review"))</f>
        <v>Refi Watch</v>
      </c>
      <c r="O3579" s="350" t="str">
        <f ca="1">IF($B3579="Portfolio","Portfolio",IFERROR(INDEX(DATA_ASSET_CLASSIFICATION!$AB$8:$AB$13,MATCH($N3579,DATA_ASSET_CLASSIFICATION!$AA$8:$AA$13,0)),"Review"))</f>
        <v>Bucket 2 · Legacy</v>
      </c>
      <c r="P3579" s="350" t="str">
        <f>IF($B3579="Portfolio","Portfolio",IFERROR(INDEX(DATA_ASSET_CLASSIFICATION!$C$8:$C$24,MATCH($C3579,DATA_ASSET_CLASSIFICATION!$A$8:$A$24,0)),"Review"))</f>
        <v>Yes</v>
      </c>
      <c r="Q3579" s="350" t="str">
        <f t="shared" ca="1" si="111"/>
        <v>OK</v>
      </c>
    </row>
    <row r="3580" spans="1:17">
      <c r="A3580" s="366" t="s">
        <v>5536</v>
      </c>
      <c r="B3580" s="366" t="s">
        <v>231</v>
      </c>
      <c r="C3580" s="348" t="str">
        <f>DATA_PROPERTY_MASTER!$A$16</f>
        <v>BLD_NG</v>
      </c>
      <c r="D3580" s="380">
        <f>'00_PORTFOLIO ROLLUP'!K$12</f>
        <v>2031</v>
      </c>
      <c r="E3580" s="366" t="s">
        <v>23</v>
      </c>
      <c r="F3580" s="366" t="s">
        <v>23</v>
      </c>
      <c r="G3580" s="348" t="str">
        <f>"'"&amp;$C3580&amp;"'!$E$48:$Y$48"</f>
        <v>'BLD_NG'!$E$48:$Y$48</v>
      </c>
      <c r="H3580" s="381">
        <f ca="1">IF(IFERROR(INDEX(DATA_PROPERTY_MASTER!$E$5:$E$21,MATCH($C3580,DATA_PROPERTY_MASTER!$A$5:$A$21,0))="Yes",FALSE),IFERROR(INDEX(INDIRECT("'"&amp;$C3580&amp;"'!$E$48:$Y$48"),1,MATCH($D3580,INDIRECT("'"&amp;$C3580&amp;"'!$E$12:$Y$12"),0)),0),0)</f>
        <v>443187</v>
      </c>
      <c r="I3580" s="366" t="s">
        <v>1690</v>
      </c>
      <c r="J3580" s="348" t="str">
        <f t="shared" ca="1" si="110"/>
        <v>OK</v>
      </c>
      <c r="K3580" s="366" t="s">
        <v>1706</v>
      </c>
      <c r="L3580" s="366" t="s">
        <v>2244</v>
      </c>
      <c r="M3580" s="350" t="str">
        <f>IF($B3580="Portfolio","Portfolio",IFERROR(INDEX(DATA_ASSET_CLASSIFICATION!$B$8:$B$24,MATCH($C3580,DATA_ASSET_CLASSIFICATION!$A$8:$A$24,0)),"Review"))</f>
        <v>Newton Green</v>
      </c>
      <c r="N3580" s="350" t="str">
        <f ca="1">IF($B3580="Portfolio","Portfolio",IFERROR(INDEX(DATA_ASSET_CLASSIFICATION!$U$8:$U$24,MATCH($C3580,DATA_ASSET_CLASSIFICATION!$A$8:$A$24,0)),"Review"))</f>
        <v>Refi Watch</v>
      </c>
      <c r="O3580" s="350" t="str">
        <f ca="1">IF($B3580="Portfolio","Portfolio",IFERROR(INDEX(DATA_ASSET_CLASSIFICATION!$AB$8:$AB$13,MATCH($N3580,DATA_ASSET_CLASSIFICATION!$AA$8:$AA$13,0)),"Review"))</f>
        <v>Bucket 2 · Legacy</v>
      </c>
      <c r="P3580" s="350" t="str">
        <f>IF($B3580="Portfolio","Portfolio",IFERROR(INDEX(DATA_ASSET_CLASSIFICATION!$C$8:$C$24,MATCH($C3580,DATA_ASSET_CLASSIFICATION!$A$8:$A$24,0)),"Review"))</f>
        <v>Yes</v>
      </c>
      <c r="Q3580" s="350" t="str">
        <f t="shared" ca="1" si="111"/>
        <v>OK</v>
      </c>
    </row>
    <row r="3581" spans="1:17">
      <c r="A3581" s="366" t="s">
        <v>5537</v>
      </c>
      <c r="B3581" s="366" t="s">
        <v>231</v>
      </c>
      <c r="C3581" s="348" t="str">
        <f>DATA_PROPERTY_MASTER!$A$16</f>
        <v>BLD_NG</v>
      </c>
      <c r="D3581" s="380">
        <f>'00_PORTFOLIO ROLLUP'!K$12</f>
        <v>2031</v>
      </c>
      <c r="E3581" s="366" t="s">
        <v>1683</v>
      </c>
      <c r="F3581" s="366" t="s">
        <v>25</v>
      </c>
      <c r="G3581" s="348" t="str">
        <f>"'"&amp;$C3581&amp;"'!$E$52:$Y$52"</f>
        <v>'BLD_NG'!$E$52:$Y$52</v>
      </c>
      <c r="H3581" s="381">
        <f ca="1">IF(IFERROR(INDEX(DATA_PROPERTY_MASTER!$E$5:$E$21,MATCH($C3581,DATA_PROPERTY_MASTER!$A$5:$A$21,0))="Yes",FALSE),IFERROR(INDEX(INDIRECT("'"&amp;$C3581&amp;"'!$E$52:$Y$52"),1,MATCH($D3581,INDIRECT("'"&amp;$C3581&amp;"'!$E$12:$Y$12"),0)),0),0)</f>
        <v>38398.076086381509</v>
      </c>
      <c r="I3581" s="366" t="s">
        <v>1685</v>
      </c>
      <c r="J3581" s="348" t="str">
        <f t="shared" ca="1" si="110"/>
        <v>OK</v>
      </c>
      <c r="K3581" s="366" t="s">
        <v>1710</v>
      </c>
      <c r="L3581" s="366" t="s">
        <v>2246</v>
      </c>
      <c r="M3581" s="350" t="str">
        <f>IF($B3581="Portfolio","Portfolio",IFERROR(INDEX(DATA_ASSET_CLASSIFICATION!$B$8:$B$24,MATCH($C3581,DATA_ASSET_CLASSIFICATION!$A$8:$A$24,0)),"Review"))</f>
        <v>Newton Green</v>
      </c>
      <c r="N3581" s="350" t="str">
        <f ca="1">IF($B3581="Portfolio","Portfolio",IFERROR(INDEX(DATA_ASSET_CLASSIFICATION!$U$8:$U$24,MATCH($C3581,DATA_ASSET_CLASSIFICATION!$A$8:$A$24,0)),"Review"))</f>
        <v>Refi Watch</v>
      </c>
      <c r="O3581" s="350" t="str">
        <f ca="1">IF($B3581="Portfolio","Portfolio",IFERROR(INDEX(DATA_ASSET_CLASSIFICATION!$AB$8:$AB$13,MATCH($N3581,DATA_ASSET_CLASSIFICATION!$AA$8:$AA$13,0)),"Review"))</f>
        <v>Bucket 2 · Legacy</v>
      </c>
      <c r="P3581" s="350" t="str">
        <f>IF($B3581="Portfolio","Portfolio",IFERROR(INDEX(DATA_ASSET_CLASSIFICATION!$C$8:$C$24,MATCH($C3581,DATA_ASSET_CLASSIFICATION!$A$8:$A$24,0)),"Review"))</f>
        <v>Yes</v>
      </c>
      <c r="Q3581" s="350" t="str">
        <f t="shared" ca="1" si="111"/>
        <v>OK</v>
      </c>
    </row>
    <row r="3582" spans="1:17">
      <c r="A3582" s="366" t="s">
        <v>5538</v>
      </c>
      <c r="B3582" s="366" t="s">
        <v>231</v>
      </c>
      <c r="C3582" s="348" t="str">
        <f>DATA_PROPERTY_MASTER!$A$16</f>
        <v>BLD_NG</v>
      </c>
      <c r="D3582" s="380">
        <f>'00_PORTFOLIO ROLLUP'!K$12</f>
        <v>2031</v>
      </c>
      <c r="E3582" s="366" t="s">
        <v>1683</v>
      </c>
      <c r="F3582" s="366" t="s">
        <v>27</v>
      </c>
      <c r="G3582" s="348" t="str">
        <f>"'"&amp;$C3582&amp;"'!$E$54:$Y$54"</f>
        <v>'BLD_NG'!$E$54:$Y$54</v>
      </c>
      <c r="H3582" s="381">
        <f ca="1">IF(IFERROR(INDEX(DATA_PROPERTY_MASTER!$E$5:$E$21,MATCH($C3582,DATA_PROPERTY_MASTER!$A$5:$A$21,0))="Yes",FALSE),IFERROR(INDEX(INDIRECT("'"&amp;$C3582&amp;"'!$E$54:$Y$54"),1,MATCH($D3582,INDIRECT("'"&amp;$C3582&amp;"'!$E$12:$Y$12"),0)),0),0)</f>
        <v>23038.845651828906</v>
      </c>
      <c r="I3582" s="366" t="s">
        <v>1690</v>
      </c>
      <c r="J3582" s="348" t="str">
        <f t="shared" ca="1" si="110"/>
        <v>OK</v>
      </c>
      <c r="K3582" s="366" t="s">
        <v>1714</v>
      </c>
      <c r="L3582" s="366" t="s">
        <v>2248</v>
      </c>
      <c r="M3582" s="350" t="str">
        <f>IF($B3582="Portfolio","Portfolio",IFERROR(INDEX(DATA_ASSET_CLASSIFICATION!$B$8:$B$24,MATCH($C3582,DATA_ASSET_CLASSIFICATION!$A$8:$A$24,0)),"Review"))</f>
        <v>Newton Green</v>
      </c>
      <c r="N3582" s="350" t="str">
        <f ca="1">IF($B3582="Portfolio","Portfolio",IFERROR(INDEX(DATA_ASSET_CLASSIFICATION!$U$8:$U$24,MATCH($C3582,DATA_ASSET_CLASSIFICATION!$A$8:$A$24,0)),"Review"))</f>
        <v>Refi Watch</v>
      </c>
      <c r="O3582" s="350" t="str">
        <f ca="1">IF($B3582="Portfolio","Portfolio",IFERROR(INDEX(DATA_ASSET_CLASSIFICATION!$AB$8:$AB$13,MATCH($N3582,DATA_ASSET_CLASSIFICATION!$AA$8:$AA$13,0)),"Review"))</f>
        <v>Bucket 2 · Legacy</v>
      </c>
      <c r="P3582" s="350" t="str">
        <f>IF($B3582="Portfolio","Portfolio",IFERROR(INDEX(DATA_ASSET_CLASSIFICATION!$C$8:$C$24,MATCH($C3582,DATA_ASSET_CLASSIFICATION!$A$8:$A$24,0)),"Review"))</f>
        <v>Yes</v>
      </c>
      <c r="Q3582" s="350" t="str">
        <f t="shared" ca="1" si="111"/>
        <v>OK</v>
      </c>
    </row>
    <row r="3583" spans="1:17">
      <c r="A3583" s="366" t="s">
        <v>5539</v>
      </c>
      <c r="B3583" s="366" t="s">
        <v>231</v>
      </c>
      <c r="C3583" s="348" t="str">
        <f>DATA_PROPERTY_MASTER!$A$16</f>
        <v>BLD_NG</v>
      </c>
      <c r="D3583" s="380">
        <f>'00_PORTFOLIO ROLLUP'!K$12</f>
        <v>2031</v>
      </c>
      <c r="E3583" s="366" t="s">
        <v>1683</v>
      </c>
      <c r="F3583" s="366" t="s">
        <v>29</v>
      </c>
      <c r="G3583" s="348" t="str">
        <f>"'"&amp;$C3583&amp;"'!$E$56:$Y$56"</f>
        <v>'BLD_NG'!$E$56:$Y$56</v>
      </c>
      <c r="H3583" s="381">
        <f ca="1">IF(IFERROR(INDEX(DATA_PROPERTY_MASTER!$E$5:$E$21,MATCH($C3583,DATA_PROPERTY_MASTER!$A$5:$A$21,0))="Yes",FALSE),IFERROR(INDEX(INDIRECT("'"&amp;$C3583&amp;"'!$E$56:$Y$56"),1,MATCH($D3583,INDIRECT("'"&amp;$C3583&amp;"'!$E$12:$Y$12"),0)),0),0)</f>
        <v>15359.230434552603</v>
      </c>
      <c r="I3583" s="366" t="s">
        <v>1685</v>
      </c>
      <c r="J3583" s="348" t="str">
        <f t="shared" ca="1" si="110"/>
        <v>OK</v>
      </c>
      <c r="K3583" s="366" t="s">
        <v>1718</v>
      </c>
      <c r="L3583" s="366" t="s">
        <v>2250</v>
      </c>
      <c r="M3583" s="350" t="str">
        <f>IF($B3583="Portfolio","Portfolio",IFERROR(INDEX(DATA_ASSET_CLASSIFICATION!$B$8:$B$24,MATCH($C3583,DATA_ASSET_CLASSIFICATION!$A$8:$A$24,0)),"Review"))</f>
        <v>Newton Green</v>
      </c>
      <c r="N3583" s="350" t="str">
        <f ca="1">IF($B3583="Portfolio","Portfolio",IFERROR(INDEX(DATA_ASSET_CLASSIFICATION!$U$8:$U$24,MATCH($C3583,DATA_ASSET_CLASSIFICATION!$A$8:$A$24,0)),"Review"))</f>
        <v>Refi Watch</v>
      </c>
      <c r="O3583" s="350" t="str">
        <f ca="1">IF($B3583="Portfolio","Portfolio",IFERROR(INDEX(DATA_ASSET_CLASSIFICATION!$AB$8:$AB$13,MATCH($N3583,DATA_ASSET_CLASSIFICATION!$AA$8:$AA$13,0)),"Review"))</f>
        <v>Bucket 2 · Legacy</v>
      </c>
      <c r="P3583" s="350" t="str">
        <f>IF($B3583="Portfolio","Portfolio",IFERROR(INDEX(DATA_ASSET_CLASSIFICATION!$C$8:$C$24,MATCH($C3583,DATA_ASSET_CLASSIFICATION!$A$8:$A$24,0)),"Review"))</f>
        <v>Yes</v>
      </c>
      <c r="Q3583" s="350" t="str">
        <f t="shared" ca="1" si="111"/>
        <v>OK</v>
      </c>
    </row>
    <row r="3584" spans="1:17">
      <c r="A3584" s="366" t="s">
        <v>5540</v>
      </c>
      <c r="B3584" s="366" t="s">
        <v>231</v>
      </c>
      <c r="C3584" s="348" t="str">
        <f>DATA_PROPERTY_MASTER!$A$16</f>
        <v>BLD_NG</v>
      </c>
      <c r="D3584" s="380">
        <f>'00_PORTFOLIO ROLLUP'!K$12</f>
        <v>2031</v>
      </c>
      <c r="E3584" s="366" t="s">
        <v>1721</v>
      </c>
      <c r="F3584" s="366" t="s">
        <v>31</v>
      </c>
      <c r="G3584" s="348" t="str">
        <f>"'"&amp;$C3584&amp;"'!$E$61:$Y$61"</f>
        <v>'BLD_NG'!$E$61:$Y$61</v>
      </c>
      <c r="H3584" s="381">
        <f ca="1">IF(IFERROR(INDEX(DATA_PROPERTY_MASTER!$E$5:$E$21,MATCH($C3584,DATA_PROPERTY_MASTER!$A$5:$A$21,0))="Yes",FALSE),IFERROR(INDEX(INDIRECT("'"&amp;$C3584&amp;"'!$E$61:$Y$61"),1,MATCH($D3584,INDIRECT("'"&amp;$C3584&amp;"'!$E$12:$Y$12"),0)),0),0)</f>
        <v>0</v>
      </c>
      <c r="I3584" s="366" t="s">
        <v>1690</v>
      </c>
      <c r="J3584" s="348" t="str">
        <f t="shared" ca="1" si="110"/>
        <v>OK</v>
      </c>
      <c r="K3584" s="366" t="s">
        <v>1723</v>
      </c>
      <c r="L3584" s="366" t="s">
        <v>2252</v>
      </c>
      <c r="M3584" s="350" t="str">
        <f>IF($B3584="Portfolio","Portfolio",IFERROR(INDEX(DATA_ASSET_CLASSIFICATION!$B$8:$B$24,MATCH($C3584,DATA_ASSET_CLASSIFICATION!$A$8:$A$24,0)),"Review"))</f>
        <v>Newton Green</v>
      </c>
      <c r="N3584" s="350" t="str">
        <f ca="1">IF($B3584="Portfolio","Portfolio",IFERROR(INDEX(DATA_ASSET_CLASSIFICATION!$U$8:$U$24,MATCH($C3584,DATA_ASSET_CLASSIFICATION!$A$8:$A$24,0)),"Review"))</f>
        <v>Refi Watch</v>
      </c>
      <c r="O3584" s="350" t="str">
        <f ca="1">IF($B3584="Portfolio","Portfolio",IFERROR(INDEX(DATA_ASSET_CLASSIFICATION!$AB$8:$AB$13,MATCH($N3584,DATA_ASSET_CLASSIFICATION!$AA$8:$AA$13,0)),"Review"))</f>
        <v>Bucket 2 · Legacy</v>
      </c>
      <c r="P3584" s="350" t="str">
        <f>IF($B3584="Portfolio","Portfolio",IFERROR(INDEX(DATA_ASSET_CLASSIFICATION!$C$8:$C$24,MATCH($C3584,DATA_ASSET_CLASSIFICATION!$A$8:$A$24,0)),"Review"))</f>
        <v>Yes</v>
      </c>
      <c r="Q3584" s="350" t="str">
        <f t="shared" ca="1" si="111"/>
        <v>OK</v>
      </c>
    </row>
    <row r="3585" spans="1:17">
      <c r="A3585" s="366" t="s">
        <v>5541</v>
      </c>
      <c r="B3585" s="366" t="s">
        <v>231</v>
      </c>
      <c r="C3585" s="348" t="str">
        <f>DATA_PROPERTY_MASTER!$A$16</f>
        <v>BLD_NG</v>
      </c>
      <c r="D3585" s="380">
        <f>'00_PORTFOLIO ROLLUP'!K$12</f>
        <v>2031</v>
      </c>
      <c r="E3585" s="366" t="s">
        <v>1721</v>
      </c>
      <c r="F3585" s="366" t="s">
        <v>33</v>
      </c>
      <c r="G3585" s="348" t="str">
        <f>"'"&amp;$C3585&amp;"'!$E$62:$Y$62"</f>
        <v>'BLD_NG'!$E$62:$Y$62</v>
      </c>
      <c r="H3585" s="381">
        <f ca="1">IF(IFERROR(INDEX(DATA_PROPERTY_MASTER!$E$5:$E$21,MATCH($C3585,DATA_PROPERTY_MASTER!$A$5:$A$21,0))="Yes",FALSE),IFERROR(INDEX(INDIRECT("'"&amp;$C3585&amp;"'!$E$62:$Y$62"),1,MATCH($D3585,INDIRECT("'"&amp;$C3585&amp;"'!$E$12:$Y$12"),0)),0),0)</f>
        <v>0</v>
      </c>
      <c r="I3585" s="366" t="s">
        <v>1685</v>
      </c>
      <c r="J3585" s="348" t="str">
        <f t="shared" ca="1" si="110"/>
        <v>OK</v>
      </c>
      <c r="K3585" s="366" t="s">
        <v>1727</v>
      </c>
      <c r="L3585" s="366" t="s">
        <v>2254</v>
      </c>
      <c r="M3585" s="350" t="str">
        <f>IF($B3585="Portfolio","Portfolio",IFERROR(INDEX(DATA_ASSET_CLASSIFICATION!$B$8:$B$24,MATCH($C3585,DATA_ASSET_CLASSIFICATION!$A$8:$A$24,0)),"Review"))</f>
        <v>Newton Green</v>
      </c>
      <c r="N3585" s="350" t="str">
        <f ca="1">IF($B3585="Portfolio","Portfolio",IFERROR(INDEX(DATA_ASSET_CLASSIFICATION!$U$8:$U$24,MATCH($C3585,DATA_ASSET_CLASSIFICATION!$A$8:$A$24,0)),"Review"))</f>
        <v>Refi Watch</v>
      </c>
      <c r="O3585" s="350" t="str">
        <f ca="1">IF($B3585="Portfolio","Portfolio",IFERROR(INDEX(DATA_ASSET_CLASSIFICATION!$AB$8:$AB$13,MATCH($N3585,DATA_ASSET_CLASSIFICATION!$AA$8:$AA$13,0)),"Review"))</f>
        <v>Bucket 2 · Legacy</v>
      </c>
      <c r="P3585" s="350" t="str">
        <f>IF($B3585="Portfolio","Portfolio",IFERROR(INDEX(DATA_ASSET_CLASSIFICATION!$C$8:$C$24,MATCH($C3585,DATA_ASSET_CLASSIFICATION!$A$8:$A$24,0)),"Review"))</f>
        <v>Yes</v>
      </c>
      <c r="Q3585" s="350" t="str">
        <f t="shared" ca="1" si="111"/>
        <v>OK</v>
      </c>
    </row>
    <row r="3586" spans="1:17">
      <c r="A3586" s="366" t="s">
        <v>5542</v>
      </c>
      <c r="B3586" s="366" t="s">
        <v>231</v>
      </c>
      <c r="C3586" s="348" t="str">
        <f>DATA_PROPERTY_MASTER!$A$16</f>
        <v>BLD_NG</v>
      </c>
      <c r="D3586" s="380">
        <f>'00_PORTFOLIO ROLLUP'!K$12</f>
        <v>2031</v>
      </c>
      <c r="E3586" s="366" t="s">
        <v>1721</v>
      </c>
      <c r="F3586" s="366" t="s">
        <v>35</v>
      </c>
      <c r="G3586" s="348" t="str">
        <f>"'"&amp;$C3586&amp;"'!$E$63:$Y$63"</f>
        <v>'BLD_NG'!$E$63:$Y$63</v>
      </c>
      <c r="H3586" s="381">
        <f ca="1">IF(IFERROR(INDEX(DATA_PROPERTY_MASTER!$E$5:$E$21,MATCH($C3586,DATA_PROPERTY_MASTER!$A$5:$A$21,0))="Yes",FALSE),IFERROR(INDEX(INDIRECT("'"&amp;$C3586&amp;"'!$E$63:$Y$63"),1,MATCH($D3586,INDIRECT("'"&amp;$C3586&amp;"'!$E$12:$Y$12"),0)),0),0)</f>
        <v>0</v>
      </c>
      <c r="I3586" s="366" t="s">
        <v>1731</v>
      </c>
      <c r="J3586" s="348" t="str">
        <f t="shared" ca="1" si="110"/>
        <v>OK</v>
      </c>
      <c r="K3586" s="366" t="s">
        <v>1732</v>
      </c>
      <c r="L3586" s="366" t="s">
        <v>2256</v>
      </c>
      <c r="M3586" s="350" t="str">
        <f>IF($B3586="Portfolio","Portfolio",IFERROR(INDEX(DATA_ASSET_CLASSIFICATION!$B$8:$B$24,MATCH($C3586,DATA_ASSET_CLASSIFICATION!$A$8:$A$24,0)),"Review"))</f>
        <v>Newton Green</v>
      </c>
      <c r="N3586" s="350" t="str">
        <f ca="1">IF($B3586="Portfolio","Portfolio",IFERROR(INDEX(DATA_ASSET_CLASSIFICATION!$U$8:$U$24,MATCH($C3586,DATA_ASSET_CLASSIFICATION!$A$8:$A$24,0)),"Review"))</f>
        <v>Refi Watch</v>
      </c>
      <c r="O3586" s="350" t="str">
        <f ca="1">IF($B3586="Portfolio","Portfolio",IFERROR(INDEX(DATA_ASSET_CLASSIFICATION!$AB$8:$AB$13,MATCH($N3586,DATA_ASSET_CLASSIFICATION!$AA$8:$AA$13,0)),"Review"))</f>
        <v>Bucket 2 · Legacy</v>
      </c>
      <c r="P3586" s="350" t="str">
        <f>IF($B3586="Portfolio","Portfolio",IFERROR(INDEX(DATA_ASSET_CLASSIFICATION!$C$8:$C$24,MATCH($C3586,DATA_ASSET_CLASSIFICATION!$A$8:$A$24,0)),"Review"))</f>
        <v>Yes</v>
      </c>
      <c r="Q3586" s="350" t="str">
        <f t="shared" ca="1" si="111"/>
        <v>OK</v>
      </c>
    </row>
    <row r="3587" spans="1:17">
      <c r="A3587" s="366" t="s">
        <v>5543</v>
      </c>
      <c r="B3587" s="366" t="s">
        <v>231</v>
      </c>
      <c r="C3587" s="348" t="str">
        <f>DATA_PROPERTY_MASTER!$A$16</f>
        <v>BLD_NG</v>
      </c>
      <c r="D3587" s="380">
        <f>'00_PORTFOLIO ROLLUP'!K$12</f>
        <v>2031</v>
      </c>
      <c r="E3587" s="366" t="s">
        <v>1721</v>
      </c>
      <c r="F3587" s="366" t="s">
        <v>37</v>
      </c>
      <c r="G3587" s="348" t="str">
        <f>"'"&amp;$C3587&amp;"'!$E$63:$Y$63"</f>
        <v>'BLD_NG'!$E$63:$Y$63</v>
      </c>
      <c r="H3587" s="381">
        <f ca="1">IF(IFERROR(INDEX(DATA_PROPERTY_MASTER!$E$5:$E$21,MATCH($C3587,DATA_PROPERTY_MASTER!$A$5:$A$21,0))="Yes",FALSE),MAX(IFERROR(INDEX(INDIRECT("'"&amp;$C3587&amp;"'!$E$63:$Y$63"),1,MATCH($D3587,INDIRECT("'"&amp;$C3587&amp;"'!$E$12:$Y$12"),0)),0),0),0)</f>
        <v>0</v>
      </c>
      <c r="I3587" s="366" t="s">
        <v>1685</v>
      </c>
      <c r="J3587" s="348" t="str">
        <f t="shared" ca="1" si="110"/>
        <v>OK</v>
      </c>
      <c r="K3587" s="366" t="s">
        <v>1735</v>
      </c>
      <c r="L3587" s="366" t="s">
        <v>2258</v>
      </c>
      <c r="M3587" s="350" t="str">
        <f>IF($B3587="Portfolio","Portfolio",IFERROR(INDEX(DATA_ASSET_CLASSIFICATION!$B$8:$B$24,MATCH($C3587,DATA_ASSET_CLASSIFICATION!$A$8:$A$24,0)),"Review"))</f>
        <v>Newton Green</v>
      </c>
      <c r="N3587" s="350" t="str">
        <f ca="1">IF($B3587="Portfolio","Portfolio",IFERROR(INDEX(DATA_ASSET_CLASSIFICATION!$U$8:$U$24,MATCH($C3587,DATA_ASSET_CLASSIFICATION!$A$8:$A$24,0)),"Review"))</f>
        <v>Refi Watch</v>
      </c>
      <c r="O3587" s="350" t="str">
        <f ca="1">IF($B3587="Portfolio","Portfolio",IFERROR(INDEX(DATA_ASSET_CLASSIFICATION!$AB$8:$AB$13,MATCH($N3587,DATA_ASSET_CLASSIFICATION!$AA$8:$AA$13,0)),"Review"))</f>
        <v>Bucket 2 · Legacy</v>
      </c>
      <c r="P3587" s="350" t="str">
        <f>IF($B3587="Portfolio","Portfolio",IFERROR(INDEX(DATA_ASSET_CLASSIFICATION!$C$8:$C$24,MATCH($C3587,DATA_ASSET_CLASSIFICATION!$A$8:$A$24,0)),"Review"))</f>
        <v>Yes</v>
      </c>
      <c r="Q3587" s="350" t="str">
        <f t="shared" ca="1" si="111"/>
        <v>OK</v>
      </c>
    </row>
    <row r="3588" spans="1:17">
      <c r="A3588" s="366" t="s">
        <v>5544</v>
      </c>
      <c r="B3588" s="366" t="s">
        <v>231</v>
      </c>
      <c r="C3588" s="348" t="str">
        <f>DATA_PROPERTY_MASTER!$A$16</f>
        <v>BLD_NG</v>
      </c>
      <c r="D3588" s="380">
        <f>'00_PORTFOLIO ROLLUP'!K$12</f>
        <v>2031</v>
      </c>
      <c r="E3588" s="366" t="s">
        <v>1721</v>
      </c>
      <c r="F3588" s="366" t="s">
        <v>39</v>
      </c>
      <c r="G3588" s="348" t="str">
        <f>"'"&amp;$C3588&amp;"'!$E$63:$Y$63"</f>
        <v>'BLD_NG'!$E$63:$Y$63</v>
      </c>
      <c r="H3588" s="381">
        <f ca="1">IF(IFERROR(INDEX(DATA_PROPERTY_MASTER!$E$5:$E$21,MATCH($C3588,DATA_PROPERTY_MASTER!$A$5:$A$21,0))="Yes",FALSE),MAX(-IFERROR(INDEX(INDIRECT("'"&amp;$C3588&amp;"'!$E$63:$Y$63"),1,MATCH($D3588,INDIRECT("'"&amp;$C3588&amp;"'!$E$12:$Y$12"),0)),0),0),0)</f>
        <v>0</v>
      </c>
      <c r="I3588" s="366" t="s">
        <v>1690</v>
      </c>
      <c r="J3588" s="348" t="str">
        <f t="shared" ca="1" si="110"/>
        <v>OK</v>
      </c>
      <c r="K3588" s="366" t="s">
        <v>1738</v>
      </c>
      <c r="L3588" s="366" t="s">
        <v>2260</v>
      </c>
      <c r="M3588" s="350" t="str">
        <f>IF($B3588="Portfolio","Portfolio",IFERROR(INDEX(DATA_ASSET_CLASSIFICATION!$B$8:$B$24,MATCH($C3588,DATA_ASSET_CLASSIFICATION!$A$8:$A$24,0)),"Review"))</f>
        <v>Newton Green</v>
      </c>
      <c r="N3588" s="350" t="str">
        <f ca="1">IF($B3588="Portfolio","Portfolio",IFERROR(INDEX(DATA_ASSET_CLASSIFICATION!$U$8:$U$24,MATCH($C3588,DATA_ASSET_CLASSIFICATION!$A$8:$A$24,0)),"Review"))</f>
        <v>Refi Watch</v>
      </c>
      <c r="O3588" s="350" t="str">
        <f ca="1">IF($B3588="Portfolio","Portfolio",IFERROR(INDEX(DATA_ASSET_CLASSIFICATION!$AB$8:$AB$13,MATCH($N3588,DATA_ASSET_CLASSIFICATION!$AA$8:$AA$13,0)),"Review"))</f>
        <v>Bucket 2 · Legacy</v>
      </c>
      <c r="P3588" s="350" t="str">
        <f>IF($B3588="Portfolio","Portfolio",IFERROR(INDEX(DATA_ASSET_CLASSIFICATION!$C$8:$C$24,MATCH($C3588,DATA_ASSET_CLASSIFICATION!$A$8:$A$24,0)),"Review"))</f>
        <v>Yes</v>
      </c>
      <c r="Q3588" s="350" t="str">
        <f t="shared" ca="1" si="111"/>
        <v>OK</v>
      </c>
    </row>
    <row r="3589" spans="1:17">
      <c r="A3589" s="366" t="s">
        <v>5545</v>
      </c>
      <c r="B3589" s="366" t="s">
        <v>231</v>
      </c>
      <c r="C3589" s="348" t="str">
        <f>DATA_PROPERTY_MASTER!$A$16</f>
        <v>BLD_NG</v>
      </c>
      <c r="D3589" s="380">
        <f>'00_PORTFOLIO ROLLUP'!K$12</f>
        <v>2031</v>
      </c>
      <c r="E3589" s="366" t="s">
        <v>1741</v>
      </c>
      <c r="F3589" s="366" t="s">
        <v>41</v>
      </c>
      <c r="G3589" s="348" t="str">
        <f>"'"&amp;$C3589&amp;"'!rows 56 + positive row 63"</f>
        <v>'BLD_NG'!rows 56 + positive row 63</v>
      </c>
      <c r="H3589" s="381">
        <f ca="1">IF(IFERROR(INDEX(DATA_PROPERTY_MASTER!$E$5:$E$21,MATCH($C3589,DATA_PROPERTY_MASTER!$A$5:$A$21,0))="Yes",FALSE),IFERROR(INDEX(INDIRECT("'"&amp;$C3589&amp;"'!$E$56:$Y$56"),1,MATCH($D3589,INDIRECT("'"&amp;$C3589&amp;"'!$E$12:$Y$12"),0)),0)+MAX(IFERROR(INDEX(INDIRECT("'"&amp;$C3589&amp;"'!$E$63:$Y$63"),1,MATCH($D3589,INDIRECT("'"&amp;$C3589&amp;"'!$E$12:$Y$12"),0)),0),0),0)</f>
        <v>15359.230434552603</v>
      </c>
      <c r="I3589" s="366" t="s">
        <v>1685</v>
      </c>
      <c r="J3589" s="348" t="str">
        <f t="shared" ref="J3589:J3652" ca="1" si="112">IF($F3589="Residual Funding Gap",IF($H3589&gt;0,"Funding Gap","OK"),IF(AND($F3589="Net Refinance Position",$H3589&lt;0),"Negative net refi position","OK"))</f>
        <v>OK</v>
      </c>
      <c r="K3589" s="366" t="s">
        <v>1742</v>
      </c>
      <c r="L3589" s="366" t="s">
        <v>2262</v>
      </c>
      <c r="M3589" s="350" t="str">
        <f>IF($B3589="Portfolio","Portfolio",IFERROR(INDEX(DATA_ASSET_CLASSIFICATION!$B$8:$B$24,MATCH($C3589,DATA_ASSET_CLASSIFICATION!$A$8:$A$24,0)),"Review"))</f>
        <v>Newton Green</v>
      </c>
      <c r="N3589" s="350" t="str">
        <f ca="1">IF($B3589="Portfolio","Portfolio",IFERROR(INDEX(DATA_ASSET_CLASSIFICATION!$U$8:$U$24,MATCH($C3589,DATA_ASSET_CLASSIFICATION!$A$8:$A$24,0)),"Review"))</f>
        <v>Refi Watch</v>
      </c>
      <c r="O3589" s="350" t="str">
        <f ca="1">IF($B3589="Portfolio","Portfolio",IFERROR(INDEX(DATA_ASSET_CLASSIFICATION!$AB$8:$AB$13,MATCH($N3589,DATA_ASSET_CLASSIFICATION!$AA$8:$AA$13,0)),"Review"))</f>
        <v>Bucket 2 · Legacy</v>
      </c>
      <c r="P3589" s="350" t="str">
        <f>IF($B3589="Portfolio","Portfolio",IFERROR(INDEX(DATA_ASSET_CLASSIFICATION!$C$8:$C$24,MATCH($C3589,DATA_ASSET_CLASSIFICATION!$A$8:$A$24,0)),"Review"))</f>
        <v>Yes</v>
      </c>
      <c r="Q3589" s="350" t="str">
        <f t="shared" ref="Q3589:Q3652" ca="1" si="113">IF(AND($B3589="Property",$F3589="Residual Funding Gap",$H3589&gt;0),"Property Funding Gap",IF($J3589&lt;&gt;"OK",$J3589,"OK"))</f>
        <v>OK</v>
      </c>
    </row>
    <row r="3590" spans="1:17">
      <c r="A3590" s="366" t="s">
        <v>5546</v>
      </c>
      <c r="B3590" s="366" t="s">
        <v>231</v>
      </c>
      <c r="C3590" s="348" t="str">
        <f>DATA_PROPERTY_MASTER!$A$16</f>
        <v>BLD_NG</v>
      </c>
      <c r="D3590" s="380">
        <f>'00_PORTFOLIO ROLLUP'!K$12</f>
        <v>2031</v>
      </c>
      <c r="E3590" s="366" t="s">
        <v>1741</v>
      </c>
      <c r="F3590" s="366" t="s">
        <v>43</v>
      </c>
      <c r="G3590" s="348" t="str">
        <f>"'"&amp;$C3590&amp;"'!$E$68:$Y$68"</f>
        <v>'BLD_NG'!$E$68:$Y$68</v>
      </c>
      <c r="H3590" s="381">
        <f ca="1">IF(IFERROR(INDEX(DATA_PROPERTY_MASTER!$E$5:$E$21,MATCH($C3590,DATA_PROPERTY_MASTER!$A$5:$A$21,0))="Yes",FALSE),IFERROR(INDEX(INDIRECT("'"&amp;$C3590&amp;"'!$E$68:$Y$68"),1,MATCH($D3590,INDIRECT("'"&amp;$C3590&amp;"'!$E$12:$Y$12"),0)),0),0)</f>
        <v>15359.230434552603</v>
      </c>
      <c r="I3590" s="366" t="s">
        <v>1731</v>
      </c>
      <c r="J3590" s="348" t="str">
        <f t="shared" ca="1" si="112"/>
        <v>OK</v>
      </c>
      <c r="K3590" s="366" t="s">
        <v>1746</v>
      </c>
      <c r="L3590" s="366" t="s">
        <v>2264</v>
      </c>
      <c r="M3590" s="350" t="str">
        <f>IF($B3590="Portfolio","Portfolio",IFERROR(INDEX(DATA_ASSET_CLASSIFICATION!$B$8:$B$24,MATCH($C3590,DATA_ASSET_CLASSIFICATION!$A$8:$A$24,0)),"Review"))</f>
        <v>Newton Green</v>
      </c>
      <c r="N3590" s="350" t="str">
        <f ca="1">IF($B3590="Portfolio","Portfolio",IFERROR(INDEX(DATA_ASSET_CLASSIFICATION!$U$8:$U$24,MATCH($C3590,DATA_ASSET_CLASSIFICATION!$A$8:$A$24,0)),"Review"))</f>
        <v>Refi Watch</v>
      </c>
      <c r="O3590" s="350" t="str">
        <f ca="1">IF($B3590="Portfolio","Portfolio",IFERROR(INDEX(DATA_ASSET_CLASSIFICATION!$AB$8:$AB$13,MATCH($N3590,DATA_ASSET_CLASSIFICATION!$AA$8:$AA$13,0)),"Review"))</f>
        <v>Bucket 2 · Legacy</v>
      </c>
      <c r="P3590" s="350" t="str">
        <f>IF($B3590="Portfolio","Portfolio",IFERROR(INDEX(DATA_ASSET_CLASSIFICATION!$C$8:$C$24,MATCH($C3590,DATA_ASSET_CLASSIFICATION!$A$8:$A$24,0)),"Review"))</f>
        <v>Yes</v>
      </c>
      <c r="Q3590" s="350" t="str">
        <f t="shared" ca="1" si="113"/>
        <v>OK</v>
      </c>
    </row>
    <row r="3591" spans="1:17">
      <c r="A3591" s="366" t="s">
        <v>5547</v>
      </c>
      <c r="B3591" s="366" t="s">
        <v>231</v>
      </c>
      <c r="C3591" s="348" t="str">
        <f>DATA_PROPERTY_MASTER!$A$16</f>
        <v>BLD_NG</v>
      </c>
      <c r="D3591" s="380">
        <f>'00_PORTFOLIO ROLLUP'!K$12</f>
        <v>2031</v>
      </c>
      <c r="E3591" s="366" t="s">
        <v>1741</v>
      </c>
      <c r="F3591" s="366" t="s">
        <v>1749</v>
      </c>
      <c r="G3591" s="348" t="str">
        <f>"'"&amp;$C3591&amp;"'!rows 56, 63, 68"</f>
        <v>'BLD_NG'!rows 56, 63, 68</v>
      </c>
      <c r="H3591" s="381">
        <f ca="1">IF(IFERROR(INDEX(DATA_PROPERTY_MASTER!$E$5:$E$21,MATCH($C3591,DATA_PROPERTY_MASTER!$A$5:$A$21,0))="Yes",FALSE),(IFERROR(INDEX(INDIRECT("'"&amp;$C3591&amp;"'!$E$56:$Y$56"),1,MATCH($D3591,INDIRECT("'"&amp;$C3591&amp;"'!$E$12:$Y$12"),0)),0)+MAX(IFERROR(INDEX(INDIRECT("'"&amp;$C3591&amp;"'!$E$63:$Y$63"),1,MATCH($D3591,INDIRECT("'"&amp;$C3591&amp;"'!$E$12:$Y$12"),0)),0),0))-(IFERROR(INDEX(INDIRECT("'"&amp;$C3591&amp;"'!$E$68:$Y$68"),1,MATCH($D3591,INDIRECT("'"&amp;$C3591&amp;"'!$E$12:$Y$12"),0)),0)),0)</f>
        <v>0</v>
      </c>
      <c r="I3591" s="366" t="s">
        <v>1750</v>
      </c>
      <c r="J3591" s="348" t="str">
        <f t="shared" ca="1" si="112"/>
        <v>OK</v>
      </c>
      <c r="K3591" s="366" t="s">
        <v>1751</v>
      </c>
      <c r="L3591" s="366" t="s">
        <v>2266</v>
      </c>
      <c r="M3591" s="350" t="str">
        <f>IF($B3591="Portfolio","Portfolio",IFERROR(INDEX(DATA_ASSET_CLASSIFICATION!$B$8:$B$24,MATCH($C3591,DATA_ASSET_CLASSIFICATION!$A$8:$A$24,0)),"Review"))</f>
        <v>Newton Green</v>
      </c>
      <c r="N3591" s="350" t="str">
        <f ca="1">IF($B3591="Portfolio","Portfolio",IFERROR(INDEX(DATA_ASSET_CLASSIFICATION!$U$8:$U$24,MATCH($C3591,DATA_ASSET_CLASSIFICATION!$A$8:$A$24,0)),"Review"))</f>
        <v>Refi Watch</v>
      </c>
      <c r="O3591" s="350" t="str">
        <f ca="1">IF($B3591="Portfolio","Portfolio",IFERROR(INDEX(DATA_ASSET_CLASSIFICATION!$AB$8:$AB$13,MATCH($N3591,DATA_ASSET_CLASSIFICATION!$AA$8:$AA$13,0)),"Review"))</f>
        <v>Bucket 2 · Legacy</v>
      </c>
      <c r="P3591" s="350" t="str">
        <f>IF($B3591="Portfolio","Portfolio",IFERROR(INDEX(DATA_ASSET_CLASSIFICATION!$C$8:$C$24,MATCH($C3591,DATA_ASSET_CLASSIFICATION!$A$8:$A$24,0)),"Review"))</f>
        <v>Yes</v>
      </c>
      <c r="Q3591" s="350" t="str">
        <f t="shared" ca="1" si="113"/>
        <v>OK</v>
      </c>
    </row>
    <row r="3592" spans="1:17">
      <c r="A3592" s="366" t="s">
        <v>5548</v>
      </c>
      <c r="B3592" s="366" t="s">
        <v>231</v>
      </c>
      <c r="C3592" s="348" t="str">
        <f>DATA_PROPERTY_MASTER!$A$16</f>
        <v>BLD_NG</v>
      </c>
      <c r="D3592" s="380">
        <f>'00_PORTFOLIO ROLLUP'!L$12</f>
        <v>2032</v>
      </c>
      <c r="E3592" s="366" t="s">
        <v>1683</v>
      </c>
      <c r="F3592" s="366" t="s">
        <v>341</v>
      </c>
      <c r="G3592" s="348" t="str">
        <f>"'"&amp;$C3592&amp;"'!$E$24:$Y$24"</f>
        <v>'BLD_NG'!$E$24:$Y$24</v>
      </c>
      <c r="H3592" s="381">
        <f ca="1">IF(IFERROR(INDEX(DATA_PROPERTY_MASTER!$E$5:$E$21,MATCH($C3592,DATA_PROPERTY_MASTER!$A$5:$A$21,0))="Yes",FALSE),IFERROR(INDEX(INDIRECT("'"&amp;$C3592&amp;"'!$E$24:$Y$24"),1,MATCH($D3592,INDIRECT("'"&amp;$C3592&amp;"'!$E$12:$Y$12"),0)),0),0)</f>
        <v>892383.16096300178</v>
      </c>
      <c r="I3592" s="366" t="s">
        <v>1685</v>
      </c>
      <c r="J3592" s="348" t="str">
        <f t="shared" ca="1" si="112"/>
        <v>OK</v>
      </c>
      <c r="K3592" s="366" t="s">
        <v>1686</v>
      </c>
      <c r="L3592" s="366" t="s">
        <v>2234</v>
      </c>
      <c r="M3592" s="350" t="str">
        <f>IF($B3592="Portfolio","Portfolio",IFERROR(INDEX(DATA_ASSET_CLASSIFICATION!$B$8:$B$24,MATCH($C3592,DATA_ASSET_CLASSIFICATION!$A$8:$A$24,0)),"Review"))</f>
        <v>Newton Green</v>
      </c>
      <c r="N3592" s="350" t="str">
        <f ca="1">IF($B3592="Portfolio","Portfolio",IFERROR(INDEX(DATA_ASSET_CLASSIFICATION!$U$8:$U$24,MATCH($C3592,DATA_ASSET_CLASSIFICATION!$A$8:$A$24,0)),"Review"))</f>
        <v>Refi Watch</v>
      </c>
      <c r="O3592" s="350" t="str">
        <f ca="1">IF($B3592="Portfolio","Portfolio",IFERROR(INDEX(DATA_ASSET_CLASSIFICATION!$AB$8:$AB$13,MATCH($N3592,DATA_ASSET_CLASSIFICATION!$AA$8:$AA$13,0)),"Review"))</f>
        <v>Bucket 2 · Legacy</v>
      </c>
      <c r="P3592" s="350" t="str">
        <f>IF($B3592="Portfolio","Portfolio",IFERROR(INDEX(DATA_ASSET_CLASSIFICATION!$C$8:$C$24,MATCH($C3592,DATA_ASSET_CLASSIFICATION!$A$8:$A$24,0)),"Review"))</f>
        <v>Yes</v>
      </c>
      <c r="Q3592" s="350" t="str">
        <f t="shared" ca="1" si="113"/>
        <v>OK</v>
      </c>
    </row>
    <row r="3593" spans="1:17">
      <c r="A3593" s="366" t="s">
        <v>5549</v>
      </c>
      <c r="B3593" s="366" t="s">
        <v>231</v>
      </c>
      <c r="C3593" s="348" t="str">
        <f>DATA_PROPERTY_MASTER!$A$16</f>
        <v>BLD_NG</v>
      </c>
      <c r="D3593" s="380">
        <f>'00_PORTFOLIO ROLLUP'!L$12</f>
        <v>2032</v>
      </c>
      <c r="E3593" s="366" t="s">
        <v>1683</v>
      </c>
      <c r="F3593" s="366" t="s">
        <v>355</v>
      </c>
      <c r="G3593" s="348" t="str">
        <f>"'"&amp;$C3593&amp;"'!$E$39:$Y$39"</f>
        <v>'BLD_NG'!$E$39:$Y$39</v>
      </c>
      <c r="H3593" s="381">
        <f ca="1">IF(IFERROR(INDEX(DATA_PROPERTY_MASTER!$E$5:$E$21,MATCH($C3593,DATA_PROPERTY_MASTER!$A$5:$A$21,0))="Yes",FALSE),IFERROR(INDEX(INDIRECT("'"&amp;$C3593&amp;"'!$E$39:$Y$39"),1,MATCH($D3593,INDIRECT("'"&amp;$C3593&amp;"'!$E$12:$Y$12"),0)),0),0)</f>
        <v>409032.39087165549</v>
      </c>
      <c r="I3593" s="366" t="s">
        <v>1690</v>
      </c>
      <c r="J3593" s="348" t="str">
        <f t="shared" ca="1" si="112"/>
        <v>OK</v>
      </c>
      <c r="K3593" s="366" t="s">
        <v>1686</v>
      </c>
      <c r="L3593" s="366" t="s">
        <v>2236</v>
      </c>
      <c r="M3593" s="350" t="str">
        <f>IF($B3593="Portfolio","Portfolio",IFERROR(INDEX(DATA_ASSET_CLASSIFICATION!$B$8:$B$24,MATCH($C3593,DATA_ASSET_CLASSIFICATION!$A$8:$A$24,0)),"Review"))</f>
        <v>Newton Green</v>
      </c>
      <c r="N3593" s="350" t="str">
        <f ca="1">IF($B3593="Portfolio","Portfolio",IFERROR(INDEX(DATA_ASSET_CLASSIFICATION!$U$8:$U$24,MATCH($C3593,DATA_ASSET_CLASSIFICATION!$A$8:$A$24,0)),"Review"))</f>
        <v>Refi Watch</v>
      </c>
      <c r="O3593" s="350" t="str">
        <f ca="1">IF($B3593="Portfolio","Portfolio",IFERROR(INDEX(DATA_ASSET_CLASSIFICATION!$AB$8:$AB$13,MATCH($N3593,DATA_ASSET_CLASSIFICATION!$AA$8:$AA$13,0)),"Review"))</f>
        <v>Bucket 2 · Legacy</v>
      </c>
      <c r="P3593" s="350" t="str">
        <f>IF($B3593="Portfolio","Portfolio",IFERROR(INDEX(DATA_ASSET_CLASSIFICATION!$C$8:$C$24,MATCH($C3593,DATA_ASSET_CLASSIFICATION!$A$8:$A$24,0)),"Review"))</f>
        <v>Yes</v>
      </c>
      <c r="Q3593" s="350" t="str">
        <f t="shared" ca="1" si="113"/>
        <v>OK</v>
      </c>
    </row>
    <row r="3594" spans="1:17">
      <c r="A3594" s="366" t="s">
        <v>5550</v>
      </c>
      <c r="B3594" s="366" t="s">
        <v>231</v>
      </c>
      <c r="C3594" s="348" t="str">
        <f>DATA_PROPERTY_MASTER!$A$16</f>
        <v>BLD_NG</v>
      </c>
      <c r="D3594" s="380">
        <f>'00_PORTFOLIO ROLLUP'!L$12</f>
        <v>2032</v>
      </c>
      <c r="E3594" s="366" t="s">
        <v>1683</v>
      </c>
      <c r="F3594" s="366" t="s">
        <v>19</v>
      </c>
      <c r="G3594" s="348" t="str">
        <f>"'"&amp;$C3594&amp;"'!$E$41:$Y$41"</f>
        <v>'BLD_NG'!$E$41:$Y$41</v>
      </c>
      <c r="H3594" s="381">
        <f ca="1">IF(IFERROR(INDEX(DATA_PROPERTY_MASTER!$E$5:$E$21,MATCH($C3594,DATA_PROPERTY_MASTER!$A$5:$A$21,0))="Yes",FALSE),IFERROR(INDEX(INDIRECT("'"&amp;$C3594&amp;"'!$E$41:$Y$41"),1,MATCH($D3594,INDIRECT("'"&amp;$C3594&amp;"'!$E$12:$Y$12"),0)),0),0)</f>
        <v>483350.77009134629</v>
      </c>
      <c r="I3594" s="366" t="s">
        <v>1685</v>
      </c>
      <c r="J3594" s="348" t="str">
        <f t="shared" ca="1" si="112"/>
        <v>OK</v>
      </c>
      <c r="K3594" s="366" t="s">
        <v>1694</v>
      </c>
      <c r="L3594" s="366" t="s">
        <v>2238</v>
      </c>
      <c r="M3594" s="350" t="str">
        <f>IF($B3594="Portfolio","Portfolio",IFERROR(INDEX(DATA_ASSET_CLASSIFICATION!$B$8:$B$24,MATCH($C3594,DATA_ASSET_CLASSIFICATION!$A$8:$A$24,0)),"Review"))</f>
        <v>Newton Green</v>
      </c>
      <c r="N3594" s="350" t="str">
        <f ca="1">IF($B3594="Portfolio","Portfolio",IFERROR(INDEX(DATA_ASSET_CLASSIFICATION!$U$8:$U$24,MATCH($C3594,DATA_ASSET_CLASSIFICATION!$A$8:$A$24,0)),"Review"))</f>
        <v>Refi Watch</v>
      </c>
      <c r="O3594" s="350" t="str">
        <f ca="1">IF($B3594="Portfolio","Portfolio",IFERROR(INDEX(DATA_ASSET_CLASSIFICATION!$AB$8:$AB$13,MATCH($N3594,DATA_ASSET_CLASSIFICATION!$AA$8:$AA$13,0)),"Review"))</f>
        <v>Bucket 2 · Legacy</v>
      </c>
      <c r="P3594" s="350" t="str">
        <f>IF($B3594="Portfolio","Portfolio",IFERROR(INDEX(DATA_ASSET_CLASSIFICATION!$C$8:$C$24,MATCH($C3594,DATA_ASSET_CLASSIFICATION!$A$8:$A$24,0)),"Review"))</f>
        <v>Yes</v>
      </c>
      <c r="Q3594" s="350" t="str">
        <f t="shared" ca="1" si="113"/>
        <v>OK</v>
      </c>
    </row>
    <row r="3595" spans="1:17">
      <c r="A3595" s="366" t="s">
        <v>5551</v>
      </c>
      <c r="B3595" s="366" t="s">
        <v>231</v>
      </c>
      <c r="C3595" s="348" t="str">
        <f>DATA_PROPERTY_MASTER!$A$16</f>
        <v>BLD_NG</v>
      </c>
      <c r="D3595" s="380">
        <f>'00_PORTFOLIO ROLLUP'!L$12</f>
        <v>2032</v>
      </c>
      <c r="E3595" s="366" t="s">
        <v>1683</v>
      </c>
      <c r="F3595" s="366" t="s">
        <v>1697</v>
      </c>
      <c r="G3595" s="348" t="str">
        <f>"'"&amp;$C3595&amp;"'!$E$44:$Y$44"</f>
        <v>'BLD_NG'!$E$44:$Y$44</v>
      </c>
      <c r="H3595" s="381">
        <f ca="1">IF(IFERROR(INDEX(DATA_PROPERTY_MASTER!$E$5:$E$21,MATCH($C3595,DATA_PROPERTY_MASTER!$A$5:$A$21,0))="Yes",FALSE),IFERROR(INDEX(INDIRECT("'"&amp;$C3595&amp;"'!$E$44:$Y$44"),1,MATCH($D3595,INDIRECT("'"&amp;$C3595&amp;"'!$E$12:$Y$12"),0)),0),0)</f>
        <v>8442.8396572222064</v>
      </c>
      <c r="I3595" s="366" t="s">
        <v>1690</v>
      </c>
      <c r="J3595" s="348" t="str">
        <f t="shared" ca="1" si="112"/>
        <v>OK</v>
      </c>
      <c r="K3595" s="366" t="s">
        <v>1699</v>
      </c>
      <c r="L3595" s="366" t="s">
        <v>2240</v>
      </c>
      <c r="M3595" s="350" t="str">
        <f>IF($B3595="Portfolio","Portfolio",IFERROR(INDEX(DATA_ASSET_CLASSIFICATION!$B$8:$B$24,MATCH($C3595,DATA_ASSET_CLASSIFICATION!$A$8:$A$24,0)),"Review"))</f>
        <v>Newton Green</v>
      </c>
      <c r="N3595" s="350" t="str">
        <f ca="1">IF($B3595="Portfolio","Portfolio",IFERROR(INDEX(DATA_ASSET_CLASSIFICATION!$U$8:$U$24,MATCH($C3595,DATA_ASSET_CLASSIFICATION!$A$8:$A$24,0)),"Review"))</f>
        <v>Refi Watch</v>
      </c>
      <c r="O3595" s="350" t="str">
        <f ca="1">IF($B3595="Portfolio","Portfolio",IFERROR(INDEX(DATA_ASSET_CLASSIFICATION!$AB$8:$AB$13,MATCH($N3595,DATA_ASSET_CLASSIFICATION!$AA$8:$AA$13,0)),"Review"))</f>
        <v>Bucket 2 · Legacy</v>
      </c>
      <c r="P3595" s="350" t="str">
        <f>IF($B3595="Portfolio","Portfolio",IFERROR(INDEX(DATA_ASSET_CLASSIFICATION!$C$8:$C$24,MATCH($C3595,DATA_ASSET_CLASSIFICATION!$A$8:$A$24,0)),"Review"))</f>
        <v>Yes</v>
      </c>
      <c r="Q3595" s="350" t="str">
        <f t="shared" ca="1" si="113"/>
        <v>OK</v>
      </c>
    </row>
    <row r="3596" spans="1:17">
      <c r="A3596" s="366" t="s">
        <v>5552</v>
      </c>
      <c r="B3596" s="366" t="s">
        <v>231</v>
      </c>
      <c r="C3596" s="348" t="str">
        <f>DATA_PROPERTY_MASTER!$A$16</f>
        <v>BLD_NG</v>
      </c>
      <c r="D3596" s="380">
        <f>'00_PORTFOLIO ROLLUP'!L$12</f>
        <v>2032</v>
      </c>
      <c r="E3596" s="366" t="s">
        <v>1683</v>
      </c>
      <c r="F3596" s="366" t="s">
        <v>21</v>
      </c>
      <c r="G3596" s="348" t="str">
        <f>"'"&amp;$C3596&amp;"'!$E$45:$Y$45"</f>
        <v>'BLD_NG'!$E$45:$Y$45</v>
      </c>
      <c r="H3596" s="381">
        <f ca="1">IF(IFERROR(INDEX(DATA_PROPERTY_MASTER!$E$5:$E$21,MATCH($C3596,DATA_PROPERTY_MASTER!$A$5:$A$21,0))="Yes",FALSE),IFERROR(INDEX(INDIRECT("'"&amp;$C3596&amp;"'!$E$45:$Y$45"),1,MATCH($D3596,INDIRECT("'"&amp;$C3596&amp;"'!$E$12:$Y$12"),0)),0),0)</f>
        <v>474907.93043412408</v>
      </c>
      <c r="I3596" s="366" t="s">
        <v>1685</v>
      </c>
      <c r="J3596" s="348" t="str">
        <f t="shared" ca="1" si="112"/>
        <v>OK</v>
      </c>
      <c r="K3596" s="366" t="s">
        <v>1694</v>
      </c>
      <c r="L3596" s="366" t="s">
        <v>2242</v>
      </c>
      <c r="M3596" s="350" t="str">
        <f>IF($B3596="Portfolio","Portfolio",IFERROR(INDEX(DATA_ASSET_CLASSIFICATION!$B$8:$B$24,MATCH($C3596,DATA_ASSET_CLASSIFICATION!$A$8:$A$24,0)),"Review"))</f>
        <v>Newton Green</v>
      </c>
      <c r="N3596" s="350" t="str">
        <f ca="1">IF($B3596="Portfolio","Portfolio",IFERROR(INDEX(DATA_ASSET_CLASSIFICATION!$U$8:$U$24,MATCH($C3596,DATA_ASSET_CLASSIFICATION!$A$8:$A$24,0)),"Review"))</f>
        <v>Refi Watch</v>
      </c>
      <c r="O3596" s="350" t="str">
        <f ca="1">IF($B3596="Portfolio","Portfolio",IFERROR(INDEX(DATA_ASSET_CLASSIFICATION!$AB$8:$AB$13,MATCH($N3596,DATA_ASSET_CLASSIFICATION!$AA$8:$AA$13,0)),"Review"))</f>
        <v>Bucket 2 · Legacy</v>
      </c>
      <c r="P3596" s="350" t="str">
        <f>IF($B3596="Portfolio","Portfolio",IFERROR(INDEX(DATA_ASSET_CLASSIFICATION!$C$8:$C$24,MATCH($C3596,DATA_ASSET_CLASSIFICATION!$A$8:$A$24,0)),"Review"))</f>
        <v>Yes</v>
      </c>
      <c r="Q3596" s="350" t="str">
        <f t="shared" ca="1" si="113"/>
        <v>OK</v>
      </c>
    </row>
    <row r="3597" spans="1:17">
      <c r="A3597" s="366" t="s">
        <v>5553</v>
      </c>
      <c r="B3597" s="366" t="s">
        <v>231</v>
      </c>
      <c r="C3597" s="348" t="str">
        <f>DATA_PROPERTY_MASTER!$A$16</f>
        <v>BLD_NG</v>
      </c>
      <c r="D3597" s="380">
        <f>'00_PORTFOLIO ROLLUP'!L$12</f>
        <v>2032</v>
      </c>
      <c r="E3597" s="366" t="s">
        <v>23</v>
      </c>
      <c r="F3597" s="366" t="s">
        <v>23</v>
      </c>
      <c r="G3597" s="348" t="str">
        <f>"'"&amp;$C3597&amp;"'!$E$48:$Y$48"</f>
        <v>'BLD_NG'!$E$48:$Y$48</v>
      </c>
      <c r="H3597" s="381">
        <f ca="1">IF(IFERROR(INDEX(DATA_PROPERTY_MASTER!$E$5:$E$21,MATCH($C3597,DATA_PROPERTY_MASTER!$A$5:$A$21,0))="Yes",FALSE),IFERROR(INDEX(INDIRECT("'"&amp;$C3597&amp;"'!$E$48:$Y$48"),1,MATCH($D3597,INDIRECT("'"&amp;$C3597&amp;"'!$E$12:$Y$12"),0)),0),0)</f>
        <v>443187</v>
      </c>
      <c r="I3597" s="366" t="s">
        <v>1690</v>
      </c>
      <c r="J3597" s="348" t="str">
        <f t="shared" ca="1" si="112"/>
        <v>OK</v>
      </c>
      <c r="K3597" s="366" t="s">
        <v>1706</v>
      </c>
      <c r="L3597" s="366" t="s">
        <v>2244</v>
      </c>
      <c r="M3597" s="350" t="str">
        <f>IF($B3597="Portfolio","Portfolio",IFERROR(INDEX(DATA_ASSET_CLASSIFICATION!$B$8:$B$24,MATCH($C3597,DATA_ASSET_CLASSIFICATION!$A$8:$A$24,0)),"Review"))</f>
        <v>Newton Green</v>
      </c>
      <c r="N3597" s="350" t="str">
        <f ca="1">IF($B3597="Portfolio","Portfolio",IFERROR(INDEX(DATA_ASSET_CLASSIFICATION!$U$8:$U$24,MATCH($C3597,DATA_ASSET_CLASSIFICATION!$A$8:$A$24,0)),"Review"))</f>
        <v>Refi Watch</v>
      </c>
      <c r="O3597" s="350" t="str">
        <f ca="1">IF($B3597="Portfolio","Portfolio",IFERROR(INDEX(DATA_ASSET_CLASSIFICATION!$AB$8:$AB$13,MATCH($N3597,DATA_ASSET_CLASSIFICATION!$AA$8:$AA$13,0)),"Review"))</f>
        <v>Bucket 2 · Legacy</v>
      </c>
      <c r="P3597" s="350" t="str">
        <f>IF($B3597="Portfolio","Portfolio",IFERROR(INDEX(DATA_ASSET_CLASSIFICATION!$C$8:$C$24,MATCH($C3597,DATA_ASSET_CLASSIFICATION!$A$8:$A$24,0)),"Review"))</f>
        <v>Yes</v>
      </c>
      <c r="Q3597" s="350" t="str">
        <f t="shared" ca="1" si="113"/>
        <v>OK</v>
      </c>
    </row>
    <row r="3598" spans="1:17">
      <c r="A3598" s="366" t="s">
        <v>5554</v>
      </c>
      <c r="B3598" s="366" t="s">
        <v>231</v>
      </c>
      <c r="C3598" s="348" t="str">
        <f>DATA_PROPERTY_MASTER!$A$16</f>
        <v>BLD_NG</v>
      </c>
      <c r="D3598" s="380">
        <f>'00_PORTFOLIO ROLLUP'!L$12</f>
        <v>2032</v>
      </c>
      <c r="E3598" s="366" t="s">
        <v>1683</v>
      </c>
      <c r="F3598" s="366" t="s">
        <v>25</v>
      </c>
      <c r="G3598" s="348" t="str">
        <f>"'"&amp;$C3598&amp;"'!$E$52:$Y$52"</f>
        <v>'BLD_NG'!$E$52:$Y$52</v>
      </c>
      <c r="H3598" s="381">
        <f ca="1">IF(IFERROR(INDEX(DATA_PROPERTY_MASTER!$E$5:$E$21,MATCH($C3598,DATA_PROPERTY_MASTER!$A$5:$A$21,0))="Yes",FALSE),IFERROR(INDEX(INDIRECT("'"&amp;$C3598&amp;"'!$E$52:$Y$52"),1,MATCH($D3598,INDIRECT("'"&amp;$C3598&amp;"'!$E$12:$Y$12"),0)),0),0)</f>
        <v>40163.77009134629</v>
      </c>
      <c r="I3598" s="366" t="s">
        <v>1685</v>
      </c>
      <c r="J3598" s="348" t="str">
        <f t="shared" ca="1" si="112"/>
        <v>OK</v>
      </c>
      <c r="K3598" s="366" t="s">
        <v>1710</v>
      </c>
      <c r="L3598" s="366" t="s">
        <v>2246</v>
      </c>
      <c r="M3598" s="350" t="str">
        <f>IF($B3598="Portfolio","Portfolio",IFERROR(INDEX(DATA_ASSET_CLASSIFICATION!$B$8:$B$24,MATCH($C3598,DATA_ASSET_CLASSIFICATION!$A$8:$A$24,0)),"Review"))</f>
        <v>Newton Green</v>
      </c>
      <c r="N3598" s="350" t="str">
        <f ca="1">IF($B3598="Portfolio","Portfolio",IFERROR(INDEX(DATA_ASSET_CLASSIFICATION!$U$8:$U$24,MATCH($C3598,DATA_ASSET_CLASSIFICATION!$A$8:$A$24,0)),"Review"))</f>
        <v>Refi Watch</v>
      </c>
      <c r="O3598" s="350" t="str">
        <f ca="1">IF($B3598="Portfolio","Portfolio",IFERROR(INDEX(DATA_ASSET_CLASSIFICATION!$AB$8:$AB$13,MATCH($N3598,DATA_ASSET_CLASSIFICATION!$AA$8:$AA$13,0)),"Review"))</f>
        <v>Bucket 2 · Legacy</v>
      </c>
      <c r="P3598" s="350" t="str">
        <f>IF($B3598="Portfolio","Portfolio",IFERROR(INDEX(DATA_ASSET_CLASSIFICATION!$C$8:$C$24,MATCH($C3598,DATA_ASSET_CLASSIFICATION!$A$8:$A$24,0)),"Review"))</f>
        <v>Yes</v>
      </c>
      <c r="Q3598" s="350" t="str">
        <f t="shared" ca="1" si="113"/>
        <v>OK</v>
      </c>
    </row>
    <row r="3599" spans="1:17">
      <c r="A3599" s="366" t="s">
        <v>5555</v>
      </c>
      <c r="B3599" s="366" t="s">
        <v>231</v>
      </c>
      <c r="C3599" s="348" t="str">
        <f>DATA_PROPERTY_MASTER!$A$16</f>
        <v>BLD_NG</v>
      </c>
      <c r="D3599" s="380">
        <f>'00_PORTFOLIO ROLLUP'!L$12</f>
        <v>2032</v>
      </c>
      <c r="E3599" s="366" t="s">
        <v>1683</v>
      </c>
      <c r="F3599" s="366" t="s">
        <v>27</v>
      </c>
      <c r="G3599" s="348" t="str">
        <f>"'"&amp;$C3599&amp;"'!$E$54:$Y$54"</f>
        <v>'BLD_NG'!$E$54:$Y$54</v>
      </c>
      <c r="H3599" s="381">
        <f ca="1">IF(IFERROR(INDEX(DATA_PROPERTY_MASTER!$E$5:$E$21,MATCH($C3599,DATA_PROPERTY_MASTER!$A$5:$A$21,0))="Yes",FALSE),IFERROR(INDEX(INDIRECT("'"&amp;$C3599&amp;"'!$E$54:$Y$54"),1,MATCH($D3599,INDIRECT("'"&amp;$C3599&amp;"'!$E$12:$Y$12"),0)),0),0)</f>
        <v>24098.262054807772</v>
      </c>
      <c r="I3599" s="366" t="s">
        <v>1690</v>
      </c>
      <c r="J3599" s="348" t="str">
        <f t="shared" ca="1" si="112"/>
        <v>OK</v>
      </c>
      <c r="K3599" s="366" t="s">
        <v>1714</v>
      </c>
      <c r="L3599" s="366" t="s">
        <v>2248</v>
      </c>
      <c r="M3599" s="350" t="str">
        <f>IF($B3599="Portfolio","Portfolio",IFERROR(INDEX(DATA_ASSET_CLASSIFICATION!$B$8:$B$24,MATCH($C3599,DATA_ASSET_CLASSIFICATION!$A$8:$A$24,0)),"Review"))</f>
        <v>Newton Green</v>
      </c>
      <c r="N3599" s="350" t="str">
        <f ca="1">IF($B3599="Portfolio","Portfolio",IFERROR(INDEX(DATA_ASSET_CLASSIFICATION!$U$8:$U$24,MATCH($C3599,DATA_ASSET_CLASSIFICATION!$A$8:$A$24,0)),"Review"))</f>
        <v>Refi Watch</v>
      </c>
      <c r="O3599" s="350" t="str">
        <f ca="1">IF($B3599="Portfolio","Portfolio",IFERROR(INDEX(DATA_ASSET_CLASSIFICATION!$AB$8:$AB$13,MATCH($N3599,DATA_ASSET_CLASSIFICATION!$AA$8:$AA$13,0)),"Review"))</f>
        <v>Bucket 2 · Legacy</v>
      </c>
      <c r="P3599" s="350" t="str">
        <f>IF($B3599="Portfolio","Portfolio",IFERROR(INDEX(DATA_ASSET_CLASSIFICATION!$C$8:$C$24,MATCH($C3599,DATA_ASSET_CLASSIFICATION!$A$8:$A$24,0)),"Review"))</f>
        <v>Yes</v>
      </c>
      <c r="Q3599" s="350" t="str">
        <f t="shared" ca="1" si="113"/>
        <v>OK</v>
      </c>
    </row>
    <row r="3600" spans="1:17">
      <c r="A3600" s="366" t="s">
        <v>5556</v>
      </c>
      <c r="B3600" s="366" t="s">
        <v>231</v>
      </c>
      <c r="C3600" s="348" t="str">
        <f>DATA_PROPERTY_MASTER!$A$16</f>
        <v>BLD_NG</v>
      </c>
      <c r="D3600" s="380">
        <f>'00_PORTFOLIO ROLLUP'!L$12</f>
        <v>2032</v>
      </c>
      <c r="E3600" s="366" t="s">
        <v>1683</v>
      </c>
      <c r="F3600" s="366" t="s">
        <v>29</v>
      </c>
      <c r="G3600" s="348" t="str">
        <f>"'"&amp;$C3600&amp;"'!$E$56:$Y$56"</f>
        <v>'BLD_NG'!$E$56:$Y$56</v>
      </c>
      <c r="H3600" s="381">
        <f ca="1">IF(IFERROR(INDEX(DATA_PROPERTY_MASTER!$E$5:$E$21,MATCH($C3600,DATA_PROPERTY_MASTER!$A$5:$A$21,0))="Yes",FALSE),IFERROR(INDEX(INDIRECT("'"&amp;$C3600&amp;"'!$E$56:$Y$56"),1,MATCH($D3600,INDIRECT("'"&amp;$C3600&amp;"'!$E$12:$Y$12"),0)),0),0)</f>
        <v>16065.508036538518</v>
      </c>
      <c r="I3600" s="366" t="s">
        <v>1685</v>
      </c>
      <c r="J3600" s="348" t="str">
        <f t="shared" ca="1" si="112"/>
        <v>OK</v>
      </c>
      <c r="K3600" s="366" t="s">
        <v>1718</v>
      </c>
      <c r="L3600" s="366" t="s">
        <v>2250</v>
      </c>
      <c r="M3600" s="350" t="str">
        <f>IF($B3600="Portfolio","Portfolio",IFERROR(INDEX(DATA_ASSET_CLASSIFICATION!$B$8:$B$24,MATCH($C3600,DATA_ASSET_CLASSIFICATION!$A$8:$A$24,0)),"Review"))</f>
        <v>Newton Green</v>
      </c>
      <c r="N3600" s="350" t="str">
        <f ca="1">IF($B3600="Portfolio","Portfolio",IFERROR(INDEX(DATA_ASSET_CLASSIFICATION!$U$8:$U$24,MATCH($C3600,DATA_ASSET_CLASSIFICATION!$A$8:$A$24,0)),"Review"))</f>
        <v>Refi Watch</v>
      </c>
      <c r="O3600" s="350" t="str">
        <f ca="1">IF($B3600="Portfolio","Portfolio",IFERROR(INDEX(DATA_ASSET_CLASSIFICATION!$AB$8:$AB$13,MATCH($N3600,DATA_ASSET_CLASSIFICATION!$AA$8:$AA$13,0)),"Review"))</f>
        <v>Bucket 2 · Legacy</v>
      </c>
      <c r="P3600" s="350" t="str">
        <f>IF($B3600="Portfolio","Portfolio",IFERROR(INDEX(DATA_ASSET_CLASSIFICATION!$C$8:$C$24,MATCH($C3600,DATA_ASSET_CLASSIFICATION!$A$8:$A$24,0)),"Review"))</f>
        <v>Yes</v>
      </c>
      <c r="Q3600" s="350" t="str">
        <f t="shared" ca="1" si="113"/>
        <v>OK</v>
      </c>
    </row>
    <row r="3601" spans="1:17">
      <c r="A3601" s="366" t="s">
        <v>5557</v>
      </c>
      <c r="B3601" s="366" t="s">
        <v>231</v>
      </c>
      <c r="C3601" s="348" t="str">
        <f>DATA_PROPERTY_MASTER!$A$16</f>
        <v>BLD_NG</v>
      </c>
      <c r="D3601" s="380">
        <f>'00_PORTFOLIO ROLLUP'!L$12</f>
        <v>2032</v>
      </c>
      <c r="E3601" s="366" t="s">
        <v>1721</v>
      </c>
      <c r="F3601" s="366" t="s">
        <v>31</v>
      </c>
      <c r="G3601" s="348" t="str">
        <f>"'"&amp;$C3601&amp;"'!$E$61:$Y$61"</f>
        <v>'BLD_NG'!$E$61:$Y$61</v>
      </c>
      <c r="H3601" s="381">
        <f ca="1">IF(IFERROR(INDEX(DATA_PROPERTY_MASTER!$E$5:$E$21,MATCH($C3601,DATA_PROPERTY_MASTER!$A$5:$A$21,0))="Yes",FALSE),IFERROR(INDEX(INDIRECT("'"&amp;$C3601&amp;"'!$E$61:$Y$61"),1,MATCH($D3601,INDIRECT("'"&amp;$C3601&amp;"'!$E$12:$Y$12"),0)),0),0)</f>
        <v>0</v>
      </c>
      <c r="I3601" s="366" t="s">
        <v>1690</v>
      </c>
      <c r="J3601" s="348" t="str">
        <f t="shared" ca="1" si="112"/>
        <v>OK</v>
      </c>
      <c r="K3601" s="366" t="s">
        <v>1723</v>
      </c>
      <c r="L3601" s="366" t="s">
        <v>2252</v>
      </c>
      <c r="M3601" s="350" t="str">
        <f>IF($B3601="Portfolio","Portfolio",IFERROR(INDEX(DATA_ASSET_CLASSIFICATION!$B$8:$B$24,MATCH($C3601,DATA_ASSET_CLASSIFICATION!$A$8:$A$24,0)),"Review"))</f>
        <v>Newton Green</v>
      </c>
      <c r="N3601" s="350" t="str">
        <f ca="1">IF($B3601="Portfolio","Portfolio",IFERROR(INDEX(DATA_ASSET_CLASSIFICATION!$U$8:$U$24,MATCH($C3601,DATA_ASSET_CLASSIFICATION!$A$8:$A$24,0)),"Review"))</f>
        <v>Refi Watch</v>
      </c>
      <c r="O3601" s="350" t="str">
        <f ca="1">IF($B3601="Portfolio","Portfolio",IFERROR(INDEX(DATA_ASSET_CLASSIFICATION!$AB$8:$AB$13,MATCH($N3601,DATA_ASSET_CLASSIFICATION!$AA$8:$AA$13,0)),"Review"))</f>
        <v>Bucket 2 · Legacy</v>
      </c>
      <c r="P3601" s="350" t="str">
        <f>IF($B3601="Portfolio","Portfolio",IFERROR(INDEX(DATA_ASSET_CLASSIFICATION!$C$8:$C$24,MATCH($C3601,DATA_ASSET_CLASSIFICATION!$A$8:$A$24,0)),"Review"))</f>
        <v>Yes</v>
      </c>
      <c r="Q3601" s="350" t="str">
        <f t="shared" ca="1" si="113"/>
        <v>OK</v>
      </c>
    </row>
    <row r="3602" spans="1:17">
      <c r="A3602" s="366" t="s">
        <v>5558</v>
      </c>
      <c r="B3602" s="366" t="s">
        <v>231</v>
      </c>
      <c r="C3602" s="348" t="str">
        <f>DATA_PROPERTY_MASTER!$A$16</f>
        <v>BLD_NG</v>
      </c>
      <c r="D3602" s="380">
        <f>'00_PORTFOLIO ROLLUP'!L$12</f>
        <v>2032</v>
      </c>
      <c r="E3602" s="366" t="s">
        <v>1721</v>
      </c>
      <c r="F3602" s="366" t="s">
        <v>33</v>
      </c>
      <c r="G3602" s="348" t="str">
        <f>"'"&amp;$C3602&amp;"'!$E$62:$Y$62"</f>
        <v>'BLD_NG'!$E$62:$Y$62</v>
      </c>
      <c r="H3602" s="381">
        <f ca="1">IF(IFERROR(INDEX(DATA_PROPERTY_MASTER!$E$5:$E$21,MATCH($C3602,DATA_PROPERTY_MASTER!$A$5:$A$21,0))="Yes",FALSE),IFERROR(INDEX(INDIRECT("'"&amp;$C3602&amp;"'!$E$62:$Y$62"),1,MATCH($D3602,INDIRECT("'"&amp;$C3602&amp;"'!$E$12:$Y$12"),0)),0),0)</f>
        <v>0</v>
      </c>
      <c r="I3602" s="366" t="s">
        <v>1685</v>
      </c>
      <c r="J3602" s="348" t="str">
        <f t="shared" ca="1" si="112"/>
        <v>OK</v>
      </c>
      <c r="K3602" s="366" t="s">
        <v>1727</v>
      </c>
      <c r="L3602" s="366" t="s">
        <v>2254</v>
      </c>
      <c r="M3602" s="350" t="str">
        <f>IF($B3602="Portfolio","Portfolio",IFERROR(INDEX(DATA_ASSET_CLASSIFICATION!$B$8:$B$24,MATCH($C3602,DATA_ASSET_CLASSIFICATION!$A$8:$A$24,0)),"Review"))</f>
        <v>Newton Green</v>
      </c>
      <c r="N3602" s="350" t="str">
        <f ca="1">IF($B3602="Portfolio","Portfolio",IFERROR(INDEX(DATA_ASSET_CLASSIFICATION!$U$8:$U$24,MATCH($C3602,DATA_ASSET_CLASSIFICATION!$A$8:$A$24,0)),"Review"))</f>
        <v>Refi Watch</v>
      </c>
      <c r="O3602" s="350" t="str">
        <f ca="1">IF($B3602="Portfolio","Portfolio",IFERROR(INDEX(DATA_ASSET_CLASSIFICATION!$AB$8:$AB$13,MATCH($N3602,DATA_ASSET_CLASSIFICATION!$AA$8:$AA$13,0)),"Review"))</f>
        <v>Bucket 2 · Legacy</v>
      </c>
      <c r="P3602" s="350" t="str">
        <f>IF($B3602="Portfolio","Portfolio",IFERROR(INDEX(DATA_ASSET_CLASSIFICATION!$C$8:$C$24,MATCH($C3602,DATA_ASSET_CLASSIFICATION!$A$8:$A$24,0)),"Review"))</f>
        <v>Yes</v>
      </c>
      <c r="Q3602" s="350" t="str">
        <f t="shared" ca="1" si="113"/>
        <v>OK</v>
      </c>
    </row>
    <row r="3603" spans="1:17">
      <c r="A3603" s="366" t="s">
        <v>5559</v>
      </c>
      <c r="B3603" s="366" t="s">
        <v>231</v>
      </c>
      <c r="C3603" s="348" t="str">
        <f>DATA_PROPERTY_MASTER!$A$16</f>
        <v>BLD_NG</v>
      </c>
      <c r="D3603" s="380">
        <f>'00_PORTFOLIO ROLLUP'!L$12</f>
        <v>2032</v>
      </c>
      <c r="E3603" s="366" t="s">
        <v>1721</v>
      </c>
      <c r="F3603" s="366" t="s">
        <v>35</v>
      </c>
      <c r="G3603" s="348" t="str">
        <f>"'"&amp;$C3603&amp;"'!$E$63:$Y$63"</f>
        <v>'BLD_NG'!$E$63:$Y$63</v>
      </c>
      <c r="H3603" s="381">
        <f ca="1">IF(IFERROR(INDEX(DATA_PROPERTY_MASTER!$E$5:$E$21,MATCH($C3603,DATA_PROPERTY_MASTER!$A$5:$A$21,0))="Yes",FALSE),IFERROR(INDEX(INDIRECT("'"&amp;$C3603&amp;"'!$E$63:$Y$63"),1,MATCH($D3603,INDIRECT("'"&amp;$C3603&amp;"'!$E$12:$Y$12"),0)),0),0)</f>
        <v>0</v>
      </c>
      <c r="I3603" s="366" t="s">
        <v>1731</v>
      </c>
      <c r="J3603" s="348" t="str">
        <f t="shared" ca="1" si="112"/>
        <v>OK</v>
      </c>
      <c r="K3603" s="366" t="s">
        <v>1732</v>
      </c>
      <c r="L3603" s="366" t="s">
        <v>2256</v>
      </c>
      <c r="M3603" s="350" t="str">
        <f>IF($B3603="Portfolio","Portfolio",IFERROR(INDEX(DATA_ASSET_CLASSIFICATION!$B$8:$B$24,MATCH($C3603,DATA_ASSET_CLASSIFICATION!$A$8:$A$24,0)),"Review"))</f>
        <v>Newton Green</v>
      </c>
      <c r="N3603" s="350" t="str">
        <f ca="1">IF($B3603="Portfolio","Portfolio",IFERROR(INDEX(DATA_ASSET_CLASSIFICATION!$U$8:$U$24,MATCH($C3603,DATA_ASSET_CLASSIFICATION!$A$8:$A$24,0)),"Review"))</f>
        <v>Refi Watch</v>
      </c>
      <c r="O3603" s="350" t="str">
        <f ca="1">IF($B3603="Portfolio","Portfolio",IFERROR(INDEX(DATA_ASSET_CLASSIFICATION!$AB$8:$AB$13,MATCH($N3603,DATA_ASSET_CLASSIFICATION!$AA$8:$AA$13,0)),"Review"))</f>
        <v>Bucket 2 · Legacy</v>
      </c>
      <c r="P3603" s="350" t="str">
        <f>IF($B3603="Portfolio","Portfolio",IFERROR(INDEX(DATA_ASSET_CLASSIFICATION!$C$8:$C$24,MATCH($C3603,DATA_ASSET_CLASSIFICATION!$A$8:$A$24,0)),"Review"))</f>
        <v>Yes</v>
      </c>
      <c r="Q3603" s="350" t="str">
        <f t="shared" ca="1" si="113"/>
        <v>OK</v>
      </c>
    </row>
    <row r="3604" spans="1:17">
      <c r="A3604" s="366" t="s">
        <v>5560</v>
      </c>
      <c r="B3604" s="366" t="s">
        <v>231</v>
      </c>
      <c r="C3604" s="348" t="str">
        <f>DATA_PROPERTY_MASTER!$A$16</f>
        <v>BLD_NG</v>
      </c>
      <c r="D3604" s="380">
        <f>'00_PORTFOLIO ROLLUP'!L$12</f>
        <v>2032</v>
      </c>
      <c r="E3604" s="366" t="s">
        <v>1721</v>
      </c>
      <c r="F3604" s="366" t="s">
        <v>37</v>
      </c>
      <c r="G3604" s="348" t="str">
        <f>"'"&amp;$C3604&amp;"'!$E$63:$Y$63"</f>
        <v>'BLD_NG'!$E$63:$Y$63</v>
      </c>
      <c r="H3604" s="381">
        <f ca="1">IF(IFERROR(INDEX(DATA_PROPERTY_MASTER!$E$5:$E$21,MATCH($C3604,DATA_PROPERTY_MASTER!$A$5:$A$21,0))="Yes",FALSE),MAX(IFERROR(INDEX(INDIRECT("'"&amp;$C3604&amp;"'!$E$63:$Y$63"),1,MATCH($D3604,INDIRECT("'"&amp;$C3604&amp;"'!$E$12:$Y$12"),0)),0),0),0)</f>
        <v>0</v>
      </c>
      <c r="I3604" s="366" t="s">
        <v>1685</v>
      </c>
      <c r="J3604" s="348" t="str">
        <f t="shared" ca="1" si="112"/>
        <v>OK</v>
      </c>
      <c r="K3604" s="366" t="s">
        <v>1735</v>
      </c>
      <c r="L3604" s="366" t="s">
        <v>2258</v>
      </c>
      <c r="M3604" s="350" t="str">
        <f>IF($B3604="Portfolio","Portfolio",IFERROR(INDEX(DATA_ASSET_CLASSIFICATION!$B$8:$B$24,MATCH($C3604,DATA_ASSET_CLASSIFICATION!$A$8:$A$24,0)),"Review"))</f>
        <v>Newton Green</v>
      </c>
      <c r="N3604" s="350" t="str">
        <f ca="1">IF($B3604="Portfolio","Portfolio",IFERROR(INDEX(DATA_ASSET_CLASSIFICATION!$U$8:$U$24,MATCH($C3604,DATA_ASSET_CLASSIFICATION!$A$8:$A$24,0)),"Review"))</f>
        <v>Refi Watch</v>
      </c>
      <c r="O3604" s="350" t="str">
        <f ca="1">IF($B3604="Portfolio","Portfolio",IFERROR(INDEX(DATA_ASSET_CLASSIFICATION!$AB$8:$AB$13,MATCH($N3604,DATA_ASSET_CLASSIFICATION!$AA$8:$AA$13,0)),"Review"))</f>
        <v>Bucket 2 · Legacy</v>
      </c>
      <c r="P3604" s="350" t="str">
        <f>IF($B3604="Portfolio","Portfolio",IFERROR(INDEX(DATA_ASSET_CLASSIFICATION!$C$8:$C$24,MATCH($C3604,DATA_ASSET_CLASSIFICATION!$A$8:$A$24,0)),"Review"))</f>
        <v>Yes</v>
      </c>
      <c r="Q3604" s="350" t="str">
        <f t="shared" ca="1" si="113"/>
        <v>OK</v>
      </c>
    </row>
    <row r="3605" spans="1:17">
      <c r="A3605" s="366" t="s">
        <v>5561</v>
      </c>
      <c r="B3605" s="366" t="s">
        <v>231</v>
      </c>
      <c r="C3605" s="348" t="str">
        <f>DATA_PROPERTY_MASTER!$A$16</f>
        <v>BLD_NG</v>
      </c>
      <c r="D3605" s="380">
        <f>'00_PORTFOLIO ROLLUP'!L$12</f>
        <v>2032</v>
      </c>
      <c r="E3605" s="366" t="s">
        <v>1721</v>
      </c>
      <c r="F3605" s="366" t="s">
        <v>39</v>
      </c>
      <c r="G3605" s="348" t="str">
        <f>"'"&amp;$C3605&amp;"'!$E$63:$Y$63"</f>
        <v>'BLD_NG'!$E$63:$Y$63</v>
      </c>
      <c r="H3605" s="381">
        <f ca="1">IF(IFERROR(INDEX(DATA_PROPERTY_MASTER!$E$5:$E$21,MATCH($C3605,DATA_PROPERTY_MASTER!$A$5:$A$21,0))="Yes",FALSE),MAX(-IFERROR(INDEX(INDIRECT("'"&amp;$C3605&amp;"'!$E$63:$Y$63"),1,MATCH($D3605,INDIRECT("'"&amp;$C3605&amp;"'!$E$12:$Y$12"),0)),0),0),0)</f>
        <v>0</v>
      </c>
      <c r="I3605" s="366" t="s">
        <v>1690</v>
      </c>
      <c r="J3605" s="348" t="str">
        <f t="shared" ca="1" si="112"/>
        <v>OK</v>
      </c>
      <c r="K3605" s="366" t="s">
        <v>1738</v>
      </c>
      <c r="L3605" s="366" t="s">
        <v>2260</v>
      </c>
      <c r="M3605" s="350" t="str">
        <f>IF($B3605="Portfolio","Portfolio",IFERROR(INDEX(DATA_ASSET_CLASSIFICATION!$B$8:$B$24,MATCH($C3605,DATA_ASSET_CLASSIFICATION!$A$8:$A$24,0)),"Review"))</f>
        <v>Newton Green</v>
      </c>
      <c r="N3605" s="350" t="str">
        <f ca="1">IF($B3605="Portfolio","Portfolio",IFERROR(INDEX(DATA_ASSET_CLASSIFICATION!$U$8:$U$24,MATCH($C3605,DATA_ASSET_CLASSIFICATION!$A$8:$A$24,0)),"Review"))</f>
        <v>Refi Watch</v>
      </c>
      <c r="O3605" s="350" t="str">
        <f ca="1">IF($B3605="Portfolio","Portfolio",IFERROR(INDEX(DATA_ASSET_CLASSIFICATION!$AB$8:$AB$13,MATCH($N3605,DATA_ASSET_CLASSIFICATION!$AA$8:$AA$13,0)),"Review"))</f>
        <v>Bucket 2 · Legacy</v>
      </c>
      <c r="P3605" s="350" t="str">
        <f>IF($B3605="Portfolio","Portfolio",IFERROR(INDEX(DATA_ASSET_CLASSIFICATION!$C$8:$C$24,MATCH($C3605,DATA_ASSET_CLASSIFICATION!$A$8:$A$24,0)),"Review"))</f>
        <v>Yes</v>
      </c>
      <c r="Q3605" s="350" t="str">
        <f t="shared" ca="1" si="113"/>
        <v>OK</v>
      </c>
    </row>
    <row r="3606" spans="1:17">
      <c r="A3606" s="366" t="s">
        <v>5562</v>
      </c>
      <c r="B3606" s="366" t="s">
        <v>231</v>
      </c>
      <c r="C3606" s="348" t="str">
        <f>DATA_PROPERTY_MASTER!$A$16</f>
        <v>BLD_NG</v>
      </c>
      <c r="D3606" s="380">
        <f>'00_PORTFOLIO ROLLUP'!L$12</f>
        <v>2032</v>
      </c>
      <c r="E3606" s="366" t="s">
        <v>1741</v>
      </c>
      <c r="F3606" s="366" t="s">
        <v>41</v>
      </c>
      <c r="G3606" s="348" t="str">
        <f>"'"&amp;$C3606&amp;"'!rows 56 + positive row 63"</f>
        <v>'BLD_NG'!rows 56 + positive row 63</v>
      </c>
      <c r="H3606" s="381">
        <f ca="1">IF(IFERROR(INDEX(DATA_PROPERTY_MASTER!$E$5:$E$21,MATCH($C3606,DATA_PROPERTY_MASTER!$A$5:$A$21,0))="Yes",FALSE),IFERROR(INDEX(INDIRECT("'"&amp;$C3606&amp;"'!$E$56:$Y$56"),1,MATCH($D3606,INDIRECT("'"&amp;$C3606&amp;"'!$E$12:$Y$12"),0)),0)+MAX(IFERROR(INDEX(INDIRECT("'"&amp;$C3606&amp;"'!$E$63:$Y$63"),1,MATCH($D3606,INDIRECT("'"&amp;$C3606&amp;"'!$E$12:$Y$12"),0)),0),0),0)</f>
        <v>16065.508036538518</v>
      </c>
      <c r="I3606" s="366" t="s">
        <v>1685</v>
      </c>
      <c r="J3606" s="348" t="str">
        <f t="shared" ca="1" si="112"/>
        <v>OK</v>
      </c>
      <c r="K3606" s="366" t="s">
        <v>1742</v>
      </c>
      <c r="L3606" s="366" t="s">
        <v>2262</v>
      </c>
      <c r="M3606" s="350" t="str">
        <f>IF($B3606="Portfolio","Portfolio",IFERROR(INDEX(DATA_ASSET_CLASSIFICATION!$B$8:$B$24,MATCH($C3606,DATA_ASSET_CLASSIFICATION!$A$8:$A$24,0)),"Review"))</f>
        <v>Newton Green</v>
      </c>
      <c r="N3606" s="350" t="str">
        <f ca="1">IF($B3606="Portfolio","Portfolio",IFERROR(INDEX(DATA_ASSET_CLASSIFICATION!$U$8:$U$24,MATCH($C3606,DATA_ASSET_CLASSIFICATION!$A$8:$A$24,0)),"Review"))</f>
        <v>Refi Watch</v>
      </c>
      <c r="O3606" s="350" t="str">
        <f ca="1">IF($B3606="Portfolio","Portfolio",IFERROR(INDEX(DATA_ASSET_CLASSIFICATION!$AB$8:$AB$13,MATCH($N3606,DATA_ASSET_CLASSIFICATION!$AA$8:$AA$13,0)),"Review"))</f>
        <v>Bucket 2 · Legacy</v>
      </c>
      <c r="P3606" s="350" t="str">
        <f>IF($B3606="Portfolio","Portfolio",IFERROR(INDEX(DATA_ASSET_CLASSIFICATION!$C$8:$C$24,MATCH($C3606,DATA_ASSET_CLASSIFICATION!$A$8:$A$24,0)),"Review"))</f>
        <v>Yes</v>
      </c>
      <c r="Q3606" s="350" t="str">
        <f t="shared" ca="1" si="113"/>
        <v>OK</v>
      </c>
    </row>
    <row r="3607" spans="1:17">
      <c r="A3607" s="366" t="s">
        <v>5563</v>
      </c>
      <c r="B3607" s="366" t="s">
        <v>231</v>
      </c>
      <c r="C3607" s="348" t="str">
        <f>DATA_PROPERTY_MASTER!$A$16</f>
        <v>BLD_NG</v>
      </c>
      <c r="D3607" s="380">
        <f>'00_PORTFOLIO ROLLUP'!L$12</f>
        <v>2032</v>
      </c>
      <c r="E3607" s="366" t="s">
        <v>1741</v>
      </c>
      <c r="F3607" s="366" t="s">
        <v>43</v>
      </c>
      <c r="G3607" s="348" t="str">
        <f>"'"&amp;$C3607&amp;"'!$E$68:$Y$68"</f>
        <v>'BLD_NG'!$E$68:$Y$68</v>
      </c>
      <c r="H3607" s="381">
        <f ca="1">IF(IFERROR(INDEX(DATA_PROPERTY_MASTER!$E$5:$E$21,MATCH($C3607,DATA_PROPERTY_MASTER!$A$5:$A$21,0))="Yes",FALSE),IFERROR(INDEX(INDIRECT("'"&amp;$C3607&amp;"'!$E$68:$Y$68"),1,MATCH($D3607,INDIRECT("'"&amp;$C3607&amp;"'!$E$12:$Y$12"),0)),0),0)</f>
        <v>16065.508036538518</v>
      </c>
      <c r="I3607" s="366" t="s">
        <v>1731</v>
      </c>
      <c r="J3607" s="348" t="str">
        <f t="shared" ca="1" si="112"/>
        <v>OK</v>
      </c>
      <c r="K3607" s="366" t="s">
        <v>1746</v>
      </c>
      <c r="L3607" s="366" t="s">
        <v>2264</v>
      </c>
      <c r="M3607" s="350" t="str">
        <f>IF($B3607="Portfolio","Portfolio",IFERROR(INDEX(DATA_ASSET_CLASSIFICATION!$B$8:$B$24,MATCH($C3607,DATA_ASSET_CLASSIFICATION!$A$8:$A$24,0)),"Review"))</f>
        <v>Newton Green</v>
      </c>
      <c r="N3607" s="350" t="str">
        <f ca="1">IF($B3607="Portfolio","Portfolio",IFERROR(INDEX(DATA_ASSET_CLASSIFICATION!$U$8:$U$24,MATCH($C3607,DATA_ASSET_CLASSIFICATION!$A$8:$A$24,0)),"Review"))</f>
        <v>Refi Watch</v>
      </c>
      <c r="O3607" s="350" t="str">
        <f ca="1">IF($B3607="Portfolio","Portfolio",IFERROR(INDEX(DATA_ASSET_CLASSIFICATION!$AB$8:$AB$13,MATCH($N3607,DATA_ASSET_CLASSIFICATION!$AA$8:$AA$13,0)),"Review"))</f>
        <v>Bucket 2 · Legacy</v>
      </c>
      <c r="P3607" s="350" t="str">
        <f>IF($B3607="Portfolio","Portfolio",IFERROR(INDEX(DATA_ASSET_CLASSIFICATION!$C$8:$C$24,MATCH($C3607,DATA_ASSET_CLASSIFICATION!$A$8:$A$24,0)),"Review"))</f>
        <v>Yes</v>
      </c>
      <c r="Q3607" s="350" t="str">
        <f t="shared" ca="1" si="113"/>
        <v>OK</v>
      </c>
    </row>
    <row r="3608" spans="1:17">
      <c r="A3608" s="366" t="s">
        <v>5564</v>
      </c>
      <c r="B3608" s="366" t="s">
        <v>231</v>
      </c>
      <c r="C3608" s="348" t="str">
        <f>DATA_PROPERTY_MASTER!$A$16</f>
        <v>BLD_NG</v>
      </c>
      <c r="D3608" s="380">
        <f>'00_PORTFOLIO ROLLUP'!L$12</f>
        <v>2032</v>
      </c>
      <c r="E3608" s="366" t="s">
        <v>1741</v>
      </c>
      <c r="F3608" s="366" t="s">
        <v>1749</v>
      </c>
      <c r="G3608" s="348" t="str">
        <f>"'"&amp;$C3608&amp;"'!rows 56, 63, 68"</f>
        <v>'BLD_NG'!rows 56, 63, 68</v>
      </c>
      <c r="H3608" s="381">
        <f ca="1">IF(IFERROR(INDEX(DATA_PROPERTY_MASTER!$E$5:$E$21,MATCH($C3608,DATA_PROPERTY_MASTER!$A$5:$A$21,0))="Yes",FALSE),(IFERROR(INDEX(INDIRECT("'"&amp;$C3608&amp;"'!$E$56:$Y$56"),1,MATCH($D3608,INDIRECT("'"&amp;$C3608&amp;"'!$E$12:$Y$12"),0)),0)+MAX(IFERROR(INDEX(INDIRECT("'"&amp;$C3608&amp;"'!$E$63:$Y$63"),1,MATCH($D3608,INDIRECT("'"&amp;$C3608&amp;"'!$E$12:$Y$12"),0)),0),0))-(IFERROR(INDEX(INDIRECT("'"&amp;$C3608&amp;"'!$E$68:$Y$68"),1,MATCH($D3608,INDIRECT("'"&amp;$C3608&amp;"'!$E$12:$Y$12"),0)),0)),0)</f>
        <v>0</v>
      </c>
      <c r="I3608" s="366" t="s">
        <v>1750</v>
      </c>
      <c r="J3608" s="348" t="str">
        <f t="shared" ca="1" si="112"/>
        <v>OK</v>
      </c>
      <c r="K3608" s="366" t="s">
        <v>1751</v>
      </c>
      <c r="L3608" s="366" t="s">
        <v>2266</v>
      </c>
      <c r="M3608" s="350" t="str">
        <f>IF($B3608="Portfolio","Portfolio",IFERROR(INDEX(DATA_ASSET_CLASSIFICATION!$B$8:$B$24,MATCH($C3608,DATA_ASSET_CLASSIFICATION!$A$8:$A$24,0)),"Review"))</f>
        <v>Newton Green</v>
      </c>
      <c r="N3608" s="350" t="str">
        <f ca="1">IF($B3608="Portfolio","Portfolio",IFERROR(INDEX(DATA_ASSET_CLASSIFICATION!$U$8:$U$24,MATCH($C3608,DATA_ASSET_CLASSIFICATION!$A$8:$A$24,0)),"Review"))</f>
        <v>Refi Watch</v>
      </c>
      <c r="O3608" s="350" t="str">
        <f ca="1">IF($B3608="Portfolio","Portfolio",IFERROR(INDEX(DATA_ASSET_CLASSIFICATION!$AB$8:$AB$13,MATCH($N3608,DATA_ASSET_CLASSIFICATION!$AA$8:$AA$13,0)),"Review"))</f>
        <v>Bucket 2 · Legacy</v>
      </c>
      <c r="P3608" s="350" t="str">
        <f>IF($B3608="Portfolio","Portfolio",IFERROR(INDEX(DATA_ASSET_CLASSIFICATION!$C$8:$C$24,MATCH($C3608,DATA_ASSET_CLASSIFICATION!$A$8:$A$24,0)),"Review"))</f>
        <v>Yes</v>
      </c>
      <c r="Q3608" s="350" t="str">
        <f t="shared" ca="1" si="113"/>
        <v>OK</v>
      </c>
    </row>
    <row r="3609" spans="1:17">
      <c r="A3609" s="366" t="s">
        <v>5565</v>
      </c>
      <c r="B3609" s="366" t="s">
        <v>231</v>
      </c>
      <c r="C3609" s="348" t="str">
        <f>DATA_PROPERTY_MASTER!$A$16</f>
        <v>BLD_NG</v>
      </c>
      <c r="D3609" s="380">
        <f>'00_PORTFOLIO ROLLUP'!M$12</f>
        <v>2033</v>
      </c>
      <c r="E3609" s="366" t="s">
        <v>1683</v>
      </c>
      <c r="F3609" s="366" t="s">
        <v>341</v>
      </c>
      <c r="G3609" s="348" t="str">
        <f>"'"&amp;$C3609&amp;"'!$E$24:$Y$24"</f>
        <v>'BLD_NG'!$E$24:$Y$24</v>
      </c>
      <c r="H3609" s="381">
        <f ca="1">IF(IFERROR(INDEX(DATA_PROPERTY_MASTER!$E$5:$E$21,MATCH($C3609,DATA_PROPERTY_MASTER!$A$5:$A$21,0))="Yes",FALSE),IFERROR(INDEX(INDIRECT("'"&amp;$C3609&amp;"'!$E$24:$Y$24"),1,MATCH($D3609,INDIRECT("'"&amp;$C3609&amp;"'!$E$12:$Y$12"),0)),0),0)</f>
        <v>910230.82418226195</v>
      </c>
      <c r="I3609" s="366" t="s">
        <v>1685</v>
      </c>
      <c r="J3609" s="348" t="str">
        <f t="shared" ca="1" si="112"/>
        <v>OK</v>
      </c>
      <c r="K3609" s="366" t="s">
        <v>1686</v>
      </c>
      <c r="L3609" s="366" t="s">
        <v>2234</v>
      </c>
      <c r="M3609" s="350" t="str">
        <f>IF($B3609="Portfolio","Portfolio",IFERROR(INDEX(DATA_ASSET_CLASSIFICATION!$B$8:$B$24,MATCH($C3609,DATA_ASSET_CLASSIFICATION!$A$8:$A$24,0)),"Review"))</f>
        <v>Newton Green</v>
      </c>
      <c r="N3609" s="350" t="str">
        <f ca="1">IF($B3609="Portfolio","Portfolio",IFERROR(INDEX(DATA_ASSET_CLASSIFICATION!$U$8:$U$24,MATCH($C3609,DATA_ASSET_CLASSIFICATION!$A$8:$A$24,0)),"Review"))</f>
        <v>Refi Watch</v>
      </c>
      <c r="O3609" s="350" t="str">
        <f ca="1">IF($B3609="Portfolio","Portfolio",IFERROR(INDEX(DATA_ASSET_CLASSIFICATION!$AB$8:$AB$13,MATCH($N3609,DATA_ASSET_CLASSIFICATION!$AA$8:$AA$13,0)),"Review"))</f>
        <v>Bucket 2 · Legacy</v>
      </c>
      <c r="P3609" s="350" t="str">
        <f>IF($B3609="Portfolio","Portfolio",IFERROR(INDEX(DATA_ASSET_CLASSIFICATION!$C$8:$C$24,MATCH($C3609,DATA_ASSET_CLASSIFICATION!$A$8:$A$24,0)),"Review"))</f>
        <v>Yes</v>
      </c>
      <c r="Q3609" s="350" t="str">
        <f t="shared" ca="1" si="113"/>
        <v>OK</v>
      </c>
    </row>
    <row r="3610" spans="1:17">
      <c r="A3610" s="366" t="s">
        <v>5566</v>
      </c>
      <c r="B3610" s="366" t="s">
        <v>231</v>
      </c>
      <c r="C3610" s="348" t="str">
        <f>DATA_PROPERTY_MASTER!$A$16</f>
        <v>BLD_NG</v>
      </c>
      <c r="D3610" s="380">
        <f>'00_PORTFOLIO ROLLUP'!M$12</f>
        <v>2033</v>
      </c>
      <c r="E3610" s="366" t="s">
        <v>1683</v>
      </c>
      <c r="F3610" s="366" t="s">
        <v>355</v>
      </c>
      <c r="G3610" s="348" t="str">
        <f>"'"&amp;$C3610&amp;"'!$E$39:$Y$39"</f>
        <v>'BLD_NG'!$E$39:$Y$39</v>
      </c>
      <c r="H3610" s="381">
        <f ca="1">IF(IFERROR(INDEX(DATA_PROPERTY_MASTER!$E$5:$E$21,MATCH($C3610,DATA_PROPERTY_MASTER!$A$5:$A$21,0))="Yes",FALSE),IFERROR(INDEX(INDIRECT("'"&amp;$C3610&amp;"'!$E$39:$Y$39"),1,MATCH($D3610,INDIRECT("'"&amp;$C3610&amp;"'!$E$12:$Y$12"),0)),0),0)</f>
        <v>425393.68650652177</v>
      </c>
      <c r="I3610" s="366" t="s">
        <v>1690</v>
      </c>
      <c r="J3610" s="348" t="str">
        <f t="shared" ca="1" si="112"/>
        <v>OK</v>
      </c>
      <c r="K3610" s="366" t="s">
        <v>1686</v>
      </c>
      <c r="L3610" s="366" t="s">
        <v>2236</v>
      </c>
      <c r="M3610" s="350" t="str">
        <f>IF($B3610="Portfolio","Portfolio",IFERROR(INDEX(DATA_ASSET_CLASSIFICATION!$B$8:$B$24,MATCH($C3610,DATA_ASSET_CLASSIFICATION!$A$8:$A$24,0)),"Review"))</f>
        <v>Newton Green</v>
      </c>
      <c r="N3610" s="350" t="str">
        <f ca="1">IF($B3610="Portfolio","Portfolio",IFERROR(INDEX(DATA_ASSET_CLASSIFICATION!$U$8:$U$24,MATCH($C3610,DATA_ASSET_CLASSIFICATION!$A$8:$A$24,0)),"Review"))</f>
        <v>Refi Watch</v>
      </c>
      <c r="O3610" s="350" t="str">
        <f ca="1">IF($B3610="Portfolio","Portfolio",IFERROR(INDEX(DATA_ASSET_CLASSIFICATION!$AB$8:$AB$13,MATCH($N3610,DATA_ASSET_CLASSIFICATION!$AA$8:$AA$13,0)),"Review"))</f>
        <v>Bucket 2 · Legacy</v>
      </c>
      <c r="P3610" s="350" t="str">
        <f>IF($B3610="Portfolio","Portfolio",IFERROR(INDEX(DATA_ASSET_CLASSIFICATION!$C$8:$C$24,MATCH($C3610,DATA_ASSET_CLASSIFICATION!$A$8:$A$24,0)),"Review"))</f>
        <v>Yes</v>
      </c>
      <c r="Q3610" s="350" t="str">
        <f t="shared" ca="1" si="113"/>
        <v>OK</v>
      </c>
    </row>
    <row r="3611" spans="1:17">
      <c r="A3611" s="366" t="s">
        <v>5567</v>
      </c>
      <c r="B3611" s="366" t="s">
        <v>231</v>
      </c>
      <c r="C3611" s="348" t="str">
        <f>DATA_PROPERTY_MASTER!$A$16</f>
        <v>BLD_NG</v>
      </c>
      <c r="D3611" s="380">
        <f>'00_PORTFOLIO ROLLUP'!M$12</f>
        <v>2033</v>
      </c>
      <c r="E3611" s="366" t="s">
        <v>1683</v>
      </c>
      <c r="F3611" s="366" t="s">
        <v>19</v>
      </c>
      <c r="G3611" s="348" t="str">
        <f>"'"&amp;$C3611&amp;"'!$E$41:$Y$41"</f>
        <v>'BLD_NG'!$E$41:$Y$41</v>
      </c>
      <c r="H3611" s="381">
        <f ca="1">IF(IFERROR(INDEX(DATA_PROPERTY_MASTER!$E$5:$E$21,MATCH($C3611,DATA_PROPERTY_MASTER!$A$5:$A$21,0))="Yes",FALSE),IFERROR(INDEX(INDIRECT("'"&amp;$C3611&amp;"'!$E$41:$Y$41"),1,MATCH($D3611,INDIRECT("'"&amp;$C3611&amp;"'!$E$12:$Y$12"),0)),0),0)</f>
        <v>484837.13767574017</v>
      </c>
      <c r="I3611" s="366" t="s">
        <v>1685</v>
      </c>
      <c r="J3611" s="348" t="str">
        <f t="shared" ca="1" si="112"/>
        <v>OK</v>
      </c>
      <c r="K3611" s="366" t="s">
        <v>1694</v>
      </c>
      <c r="L3611" s="366" t="s">
        <v>2238</v>
      </c>
      <c r="M3611" s="350" t="str">
        <f>IF($B3611="Portfolio","Portfolio",IFERROR(INDEX(DATA_ASSET_CLASSIFICATION!$B$8:$B$24,MATCH($C3611,DATA_ASSET_CLASSIFICATION!$A$8:$A$24,0)),"Review"))</f>
        <v>Newton Green</v>
      </c>
      <c r="N3611" s="350" t="str">
        <f ca="1">IF($B3611="Portfolio","Portfolio",IFERROR(INDEX(DATA_ASSET_CLASSIFICATION!$U$8:$U$24,MATCH($C3611,DATA_ASSET_CLASSIFICATION!$A$8:$A$24,0)),"Review"))</f>
        <v>Refi Watch</v>
      </c>
      <c r="O3611" s="350" t="str">
        <f ca="1">IF($B3611="Portfolio","Portfolio",IFERROR(INDEX(DATA_ASSET_CLASSIFICATION!$AB$8:$AB$13,MATCH($N3611,DATA_ASSET_CLASSIFICATION!$AA$8:$AA$13,0)),"Review"))</f>
        <v>Bucket 2 · Legacy</v>
      </c>
      <c r="P3611" s="350" t="str">
        <f>IF($B3611="Portfolio","Portfolio",IFERROR(INDEX(DATA_ASSET_CLASSIFICATION!$C$8:$C$24,MATCH($C3611,DATA_ASSET_CLASSIFICATION!$A$8:$A$24,0)),"Review"))</f>
        <v>Yes</v>
      </c>
      <c r="Q3611" s="350" t="str">
        <f t="shared" ca="1" si="113"/>
        <v>OK</v>
      </c>
    </row>
    <row r="3612" spans="1:17">
      <c r="A3612" s="366" t="s">
        <v>5568</v>
      </c>
      <c r="B3612" s="366" t="s">
        <v>231</v>
      </c>
      <c r="C3612" s="348" t="str">
        <f>DATA_PROPERTY_MASTER!$A$16</f>
        <v>BLD_NG</v>
      </c>
      <c r="D3612" s="380">
        <f>'00_PORTFOLIO ROLLUP'!M$12</f>
        <v>2033</v>
      </c>
      <c r="E3612" s="366" t="s">
        <v>1683</v>
      </c>
      <c r="F3612" s="366" t="s">
        <v>1697</v>
      </c>
      <c r="G3612" s="348" t="str">
        <f>"'"&amp;$C3612&amp;"'!$E$44:$Y$44"</f>
        <v>'BLD_NG'!$E$44:$Y$44</v>
      </c>
      <c r="H3612" s="381">
        <f ca="1">IF(IFERROR(INDEX(DATA_PROPERTY_MASTER!$E$5:$E$21,MATCH($C3612,DATA_PROPERTY_MASTER!$A$5:$A$21,0))="Yes",FALSE),IFERROR(INDEX(INDIRECT("'"&amp;$C3612&amp;"'!$E$44:$Y$44"),1,MATCH($D3612,INDIRECT("'"&amp;$C3612&amp;"'!$E$12:$Y$12"),0)),0),0)</f>
        <v>8611.6964503666513</v>
      </c>
      <c r="I3612" s="366" t="s">
        <v>1690</v>
      </c>
      <c r="J3612" s="348" t="str">
        <f t="shared" ca="1" si="112"/>
        <v>OK</v>
      </c>
      <c r="K3612" s="366" t="s">
        <v>1699</v>
      </c>
      <c r="L3612" s="366" t="s">
        <v>2240</v>
      </c>
      <c r="M3612" s="350" t="str">
        <f>IF($B3612="Portfolio","Portfolio",IFERROR(INDEX(DATA_ASSET_CLASSIFICATION!$B$8:$B$24,MATCH($C3612,DATA_ASSET_CLASSIFICATION!$A$8:$A$24,0)),"Review"))</f>
        <v>Newton Green</v>
      </c>
      <c r="N3612" s="350" t="str">
        <f ca="1">IF($B3612="Portfolio","Portfolio",IFERROR(INDEX(DATA_ASSET_CLASSIFICATION!$U$8:$U$24,MATCH($C3612,DATA_ASSET_CLASSIFICATION!$A$8:$A$24,0)),"Review"))</f>
        <v>Refi Watch</v>
      </c>
      <c r="O3612" s="350" t="str">
        <f ca="1">IF($B3612="Portfolio","Portfolio",IFERROR(INDEX(DATA_ASSET_CLASSIFICATION!$AB$8:$AB$13,MATCH($N3612,DATA_ASSET_CLASSIFICATION!$AA$8:$AA$13,0)),"Review"))</f>
        <v>Bucket 2 · Legacy</v>
      </c>
      <c r="P3612" s="350" t="str">
        <f>IF($B3612="Portfolio","Portfolio",IFERROR(INDEX(DATA_ASSET_CLASSIFICATION!$C$8:$C$24,MATCH($C3612,DATA_ASSET_CLASSIFICATION!$A$8:$A$24,0)),"Review"))</f>
        <v>Yes</v>
      </c>
      <c r="Q3612" s="350" t="str">
        <f t="shared" ca="1" si="113"/>
        <v>OK</v>
      </c>
    </row>
    <row r="3613" spans="1:17">
      <c r="A3613" s="366" t="s">
        <v>5569</v>
      </c>
      <c r="B3613" s="366" t="s">
        <v>231</v>
      </c>
      <c r="C3613" s="348" t="str">
        <f>DATA_PROPERTY_MASTER!$A$16</f>
        <v>BLD_NG</v>
      </c>
      <c r="D3613" s="380">
        <f>'00_PORTFOLIO ROLLUP'!M$12</f>
        <v>2033</v>
      </c>
      <c r="E3613" s="366" t="s">
        <v>1683</v>
      </c>
      <c r="F3613" s="366" t="s">
        <v>21</v>
      </c>
      <c r="G3613" s="348" t="str">
        <f>"'"&amp;$C3613&amp;"'!$E$45:$Y$45"</f>
        <v>'BLD_NG'!$E$45:$Y$45</v>
      </c>
      <c r="H3613" s="381">
        <f ca="1">IF(IFERROR(INDEX(DATA_PROPERTY_MASTER!$E$5:$E$21,MATCH($C3613,DATA_PROPERTY_MASTER!$A$5:$A$21,0))="Yes",FALSE),IFERROR(INDEX(INDIRECT("'"&amp;$C3613&amp;"'!$E$45:$Y$45"),1,MATCH($D3613,INDIRECT("'"&amp;$C3613&amp;"'!$E$12:$Y$12"),0)),0),0)</f>
        <v>476225.44122537354</v>
      </c>
      <c r="I3613" s="366" t="s">
        <v>1685</v>
      </c>
      <c r="J3613" s="348" t="str">
        <f t="shared" ca="1" si="112"/>
        <v>OK</v>
      </c>
      <c r="K3613" s="366" t="s">
        <v>1694</v>
      </c>
      <c r="L3613" s="366" t="s">
        <v>2242</v>
      </c>
      <c r="M3613" s="350" t="str">
        <f>IF($B3613="Portfolio","Portfolio",IFERROR(INDEX(DATA_ASSET_CLASSIFICATION!$B$8:$B$24,MATCH($C3613,DATA_ASSET_CLASSIFICATION!$A$8:$A$24,0)),"Review"))</f>
        <v>Newton Green</v>
      </c>
      <c r="N3613" s="350" t="str">
        <f ca="1">IF($B3613="Portfolio","Portfolio",IFERROR(INDEX(DATA_ASSET_CLASSIFICATION!$U$8:$U$24,MATCH($C3613,DATA_ASSET_CLASSIFICATION!$A$8:$A$24,0)),"Review"))</f>
        <v>Refi Watch</v>
      </c>
      <c r="O3613" s="350" t="str">
        <f ca="1">IF($B3613="Portfolio","Portfolio",IFERROR(INDEX(DATA_ASSET_CLASSIFICATION!$AB$8:$AB$13,MATCH($N3613,DATA_ASSET_CLASSIFICATION!$AA$8:$AA$13,0)),"Review"))</f>
        <v>Bucket 2 · Legacy</v>
      </c>
      <c r="P3613" s="350" t="str">
        <f>IF($B3613="Portfolio","Portfolio",IFERROR(INDEX(DATA_ASSET_CLASSIFICATION!$C$8:$C$24,MATCH($C3613,DATA_ASSET_CLASSIFICATION!$A$8:$A$24,0)),"Review"))</f>
        <v>Yes</v>
      </c>
      <c r="Q3613" s="350" t="str">
        <f t="shared" ca="1" si="113"/>
        <v>OK</v>
      </c>
    </row>
    <row r="3614" spans="1:17">
      <c r="A3614" s="366" t="s">
        <v>5570</v>
      </c>
      <c r="B3614" s="366" t="s">
        <v>231</v>
      </c>
      <c r="C3614" s="348" t="str">
        <f>DATA_PROPERTY_MASTER!$A$16</f>
        <v>BLD_NG</v>
      </c>
      <c r="D3614" s="380">
        <f>'00_PORTFOLIO ROLLUP'!M$12</f>
        <v>2033</v>
      </c>
      <c r="E3614" s="366" t="s">
        <v>23</v>
      </c>
      <c r="F3614" s="366" t="s">
        <v>23</v>
      </c>
      <c r="G3614" s="348" t="str">
        <f>"'"&amp;$C3614&amp;"'!$E$48:$Y$48"</f>
        <v>'BLD_NG'!$E$48:$Y$48</v>
      </c>
      <c r="H3614" s="381">
        <f ca="1">IF(IFERROR(INDEX(DATA_PROPERTY_MASTER!$E$5:$E$21,MATCH($C3614,DATA_PROPERTY_MASTER!$A$5:$A$21,0))="Yes",FALSE),IFERROR(INDEX(INDIRECT("'"&amp;$C3614&amp;"'!$E$48:$Y$48"),1,MATCH($D3614,INDIRECT("'"&amp;$C3614&amp;"'!$E$12:$Y$12"),0)),0),0)</f>
        <v>443187</v>
      </c>
      <c r="I3614" s="366" t="s">
        <v>1690</v>
      </c>
      <c r="J3614" s="348" t="str">
        <f t="shared" ca="1" si="112"/>
        <v>OK</v>
      </c>
      <c r="K3614" s="366" t="s">
        <v>1706</v>
      </c>
      <c r="L3614" s="366" t="s">
        <v>2244</v>
      </c>
      <c r="M3614" s="350" t="str">
        <f>IF($B3614="Portfolio","Portfolio",IFERROR(INDEX(DATA_ASSET_CLASSIFICATION!$B$8:$B$24,MATCH($C3614,DATA_ASSET_CLASSIFICATION!$A$8:$A$24,0)),"Review"))</f>
        <v>Newton Green</v>
      </c>
      <c r="N3614" s="350" t="str">
        <f ca="1">IF($B3614="Portfolio","Portfolio",IFERROR(INDEX(DATA_ASSET_CLASSIFICATION!$U$8:$U$24,MATCH($C3614,DATA_ASSET_CLASSIFICATION!$A$8:$A$24,0)),"Review"))</f>
        <v>Refi Watch</v>
      </c>
      <c r="O3614" s="350" t="str">
        <f ca="1">IF($B3614="Portfolio","Portfolio",IFERROR(INDEX(DATA_ASSET_CLASSIFICATION!$AB$8:$AB$13,MATCH($N3614,DATA_ASSET_CLASSIFICATION!$AA$8:$AA$13,0)),"Review"))</f>
        <v>Bucket 2 · Legacy</v>
      </c>
      <c r="P3614" s="350" t="str">
        <f>IF($B3614="Portfolio","Portfolio",IFERROR(INDEX(DATA_ASSET_CLASSIFICATION!$C$8:$C$24,MATCH($C3614,DATA_ASSET_CLASSIFICATION!$A$8:$A$24,0)),"Review"))</f>
        <v>Yes</v>
      </c>
      <c r="Q3614" s="350" t="str">
        <f t="shared" ca="1" si="113"/>
        <v>OK</v>
      </c>
    </row>
    <row r="3615" spans="1:17">
      <c r="A3615" s="366" t="s">
        <v>5571</v>
      </c>
      <c r="B3615" s="366" t="s">
        <v>231</v>
      </c>
      <c r="C3615" s="348" t="str">
        <f>DATA_PROPERTY_MASTER!$A$16</f>
        <v>BLD_NG</v>
      </c>
      <c r="D3615" s="380">
        <f>'00_PORTFOLIO ROLLUP'!M$12</f>
        <v>2033</v>
      </c>
      <c r="E3615" s="366" t="s">
        <v>1683</v>
      </c>
      <c r="F3615" s="366" t="s">
        <v>25</v>
      </c>
      <c r="G3615" s="348" t="str">
        <f>"'"&amp;$C3615&amp;"'!$E$52:$Y$52"</f>
        <v>'BLD_NG'!$E$52:$Y$52</v>
      </c>
      <c r="H3615" s="381">
        <f ca="1">IF(IFERROR(INDEX(DATA_PROPERTY_MASTER!$E$5:$E$21,MATCH($C3615,DATA_PROPERTY_MASTER!$A$5:$A$21,0))="Yes",FALSE),IFERROR(INDEX(INDIRECT("'"&amp;$C3615&amp;"'!$E$52:$Y$52"),1,MATCH($D3615,INDIRECT("'"&amp;$C3615&amp;"'!$E$12:$Y$12"),0)),0),0)</f>
        <v>41650.137675740174</v>
      </c>
      <c r="I3615" s="366" t="s">
        <v>1685</v>
      </c>
      <c r="J3615" s="348" t="str">
        <f t="shared" ca="1" si="112"/>
        <v>OK</v>
      </c>
      <c r="K3615" s="366" t="s">
        <v>1710</v>
      </c>
      <c r="L3615" s="366" t="s">
        <v>2246</v>
      </c>
      <c r="M3615" s="350" t="str">
        <f>IF($B3615="Portfolio","Portfolio",IFERROR(INDEX(DATA_ASSET_CLASSIFICATION!$B$8:$B$24,MATCH($C3615,DATA_ASSET_CLASSIFICATION!$A$8:$A$24,0)),"Review"))</f>
        <v>Newton Green</v>
      </c>
      <c r="N3615" s="350" t="str">
        <f ca="1">IF($B3615="Portfolio","Portfolio",IFERROR(INDEX(DATA_ASSET_CLASSIFICATION!$U$8:$U$24,MATCH($C3615,DATA_ASSET_CLASSIFICATION!$A$8:$A$24,0)),"Review"))</f>
        <v>Refi Watch</v>
      </c>
      <c r="O3615" s="350" t="str">
        <f ca="1">IF($B3615="Portfolio","Portfolio",IFERROR(INDEX(DATA_ASSET_CLASSIFICATION!$AB$8:$AB$13,MATCH($N3615,DATA_ASSET_CLASSIFICATION!$AA$8:$AA$13,0)),"Review"))</f>
        <v>Bucket 2 · Legacy</v>
      </c>
      <c r="P3615" s="350" t="str">
        <f>IF($B3615="Portfolio","Portfolio",IFERROR(INDEX(DATA_ASSET_CLASSIFICATION!$C$8:$C$24,MATCH($C3615,DATA_ASSET_CLASSIFICATION!$A$8:$A$24,0)),"Review"))</f>
        <v>Yes</v>
      </c>
      <c r="Q3615" s="350" t="str">
        <f t="shared" ca="1" si="113"/>
        <v>OK</v>
      </c>
    </row>
    <row r="3616" spans="1:17">
      <c r="A3616" s="366" t="s">
        <v>5572</v>
      </c>
      <c r="B3616" s="366" t="s">
        <v>231</v>
      </c>
      <c r="C3616" s="348" t="str">
        <f>DATA_PROPERTY_MASTER!$A$16</f>
        <v>BLD_NG</v>
      </c>
      <c r="D3616" s="380">
        <f>'00_PORTFOLIO ROLLUP'!M$12</f>
        <v>2033</v>
      </c>
      <c r="E3616" s="366" t="s">
        <v>1683</v>
      </c>
      <c r="F3616" s="366" t="s">
        <v>27</v>
      </c>
      <c r="G3616" s="348" t="str">
        <f>"'"&amp;$C3616&amp;"'!$E$54:$Y$54"</f>
        <v>'BLD_NG'!$E$54:$Y$54</v>
      </c>
      <c r="H3616" s="381">
        <f ca="1">IF(IFERROR(INDEX(DATA_PROPERTY_MASTER!$E$5:$E$21,MATCH($C3616,DATA_PROPERTY_MASTER!$A$5:$A$21,0))="Yes",FALSE),IFERROR(INDEX(INDIRECT("'"&amp;$C3616&amp;"'!$E$54:$Y$54"),1,MATCH($D3616,INDIRECT("'"&amp;$C3616&amp;"'!$E$12:$Y$12"),0)),0),0)</f>
        <v>24990.082605444102</v>
      </c>
      <c r="I3616" s="366" t="s">
        <v>1690</v>
      </c>
      <c r="J3616" s="348" t="str">
        <f t="shared" ca="1" si="112"/>
        <v>OK</v>
      </c>
      <c r="K3616" s="366" t="s">
        <v>1714</v>
      </c>
      <c r="L3616" s="366" t="s">
        <v>2248</v>
      </c>
      <c r="M3616" s="350" t="str">
        <f>IF($B3616="Portfolio","Portfolio",IFERROR(INDEX(DATA_ASSET_CLASSIFICATION!$B$8:$B$24,MATCH($C3616,DATA_ASSET_CLASSIFICATION!$A$8:$A$24,0)),"Review"))</f>
        <v>Newton Green</v>
      </c>
      <c r="N3616" s="350" t="str">
        <f ca="1">IF($B3616="Portfolio","Portfolio",IFERROR(INDEX(DATA_ASSET_CLASSIFICATION!$U$8:$U$24,MATCH($C3616,DATA_ASSET_CLASSIFICATION!$A$8:$A$24,0)),"Review"))</f>
        <v>Refi Watch</v>
      </c>
      <c r="O3616" s="350" t="str">
        <f ca="1">IF($B3616="Portfolio","Portfolio",IFERROR(INDEX(DATA_ASSET_CLASSIFICATION!$AB$8:$AB$13,MATCH($N3616,DATA_ASSET_CLASSIFICATION!$AA$8:$AA$13,0)),"Review"))</f>
        <v>Bucket 2 · Legacy</v>
      </c>
      <c r="P3616" s="350" t="str">
        <f>IF($B3616="Portfolio","Portfolio",IFERROR(INDEX(DATA_ASSET_CLASSIFICATION!$C$8:$C$24,MATCH($C3616,DATA_ASSET_CLASSIFICATION!$A$8:$A$24,0)),"Review"))</f>
        <v>Yes</v>
      </c>
      <c r="Q3616" s="350" t="str">
        <f t="shared" ca="1" si="113"/>
        <v>OK</v>
      </c>
    </row>
    <row r="3617" spans="1:17">
      <c r="A3617" s="366" t="s">
        <v>5573</v>
      </c>
      <c r="B3617" s="366" t="s">
        <v>231</v>
      </c>
      <c r="C3617" s="348" t="str">
        <f>DATA_PROPERTY_MASTER!$A$16</f>
        <v>BLD_NG</v>
      </c>
      <c r="D3617" s="380">
        <f>'00_PORTFOLIO ROLLUP'!M$12</f>
        <v>2033</v>
      </c>
      <c r="E3617" s="366" t="s">
        <v>1683</v>
      </c>
      <c r="F3617" s="366" t="s">
        <v>29</v>
      </c>
      <c r="G3617" s="348" t="str">
        <f>"'"&amp;$C3617&amp;"'!$E$56:$Y$56"</f>
        <v>'BLD_NG'!$E$56:$Y$56</v>
      </c>
      <c r="H3617" s="381">
        <f ca="1">IF(IFERROR(INDEX(DATA_PROPERTY_MASTER!$E$5:$E$21,MATCH($C3617,DATA_PROPERTY_MASTER!$A$5:$A$21,0))="Yes",FALSE),IFERROR(INDEX(INDIRECT("'"&amp;$C3617&amp;"'!$E$56:$Y$56"),1,MATCH($D3617,INDIRECT("'"&amp;$C3617&amp;"'!$E$12:$Y$12"),0)),0),0)</f>
        <v>16660.055070296072</v>
      </c>
      <c r="I3617" s="366" t="s">
        <v>1685</v>
      </c>
      <c r="J3617" s="348" t="str">
        <f t="shared" ca="1" si="112"/>
        <v>OK</v>
      </c>
      <c r="K3617" s="366" t="s">
        <v>1718</v>
      </c>
      <c r="L3617" s="366" t="s">
        <v>2250</v>
      </c>
      <c r="M3617" s="350" t="str">
        <f>IF($B3617="Portfolio","Portfolio",IFERROR(INDEX(DATA_ASSET_CLASSIFICATION!$B$8:$B$24,MATCH($C3617,DATA_ASSET_CLASSIFICATION!$A$8:$A$24,0)),"Review"))</f>
        <v>Newton Green</v>
      </c>
      <c r="N3617" s="350" t="str">
        <f ca="1">IF($B3617="Portfolio","Portfolio",IFERROR(INDEX(DATA_ASSET_CLASSIFICATION!$U$8:$U$24,MATCH($C3617,DATA_ASSET_CLASSIFICATION!$A$8:$A$24,0)),"Review"))</f>
        <v>Refi Watch</v>
      </c>
      <c r="O3617" s="350" t="str">
        <f ca="1">IF($B3617="Portfolio","Portfolio",IFERROR(INDEX(DATA_ASSET_CLASSIFICATION!$AB$8:$AB$13,MATCH($N3617,DATA_ASSET_CLASSIFICATION!$AA$8:$AA$13,0)),"Review"))</f>
        <v>Bucket 2 · Legacy</v>
      </c>
      <c r="P3617" s="350" t="str">
        <f>IF($B3617="Portfolio","Portfolio",IFERROR(INDEX(DATA_ASSET_CLASSIFICATION!$C$8:$C$24,MATCH($C3617,DATA_ASSET_CLASSIFICATION!$A$8:$A$24,0)),"Review"))</f>
        <v>Yes</v>
      </c>
      <c r="Q3617" s="350" t="str">
        <f t="shared" ca="1" si="113"/>
        <v>OK</v>
      </c>
    </row>
    <row r="3618" spans="1:17">
      <c r="A3618" s="366" t="s">
        <v>5574</v>
      </c>
      <c r="B3618" s="366" t="s">
        <v>231</v>
      </c>
      <c r="C3618" s="348" t="str">
        <f>DATA_PROPERTY_MASTER!$A$16</f>
        <v>BLD_NG</v>
      </c>
      <c r="D3618" s="380">
        <f>'00_PORTFOLIO ROLLUP'!M$12</f>
        <v>2033</v>
      </c>
      <c r="E3618" s="366" t="s">
        <v>1721</v>
      </c>
      <c r="F3618" s="366" t="s">
        <v>31</v>
      </c>
      <c r="G3618" s="348" t="str">
        <f>"'"&amp;$C3618&amp;"'!$E$61:$Y$61"</f>
        <v>'BLD_NG'!$E$61:$Y$61</v>
      </c>
      <c r="H3618" s="381">
        <f ca="1">IF(IFERROR(INDEX(DATA_PROPERTY_MASTER!$E$5:$E$21,MATCH($C3618,DATA_PROPERTY_MASTER!$A$5:$A$21,0))="Yes",FALSE),IFERROR(INDEX(INDIRECT("'"&amp;$C3618&amp;"'!$E$61:$Y$61"),1,MATCH($D3618,INDIRECT("'"&amp;$C3618&amp;"'!$E$12:$Y$12"),0)),0),0)</f>
        <v>0</v>
      </c>
      <c r="I3618" s="366" t="s">
        <v>1690</v>
      </c>
      <c r="J3618" s="348" t="str">
        <f t="shared" ca="1" si="112"/>
        <v>OK</v>
      </c>
      <c r="K3618" s="366" t="s">
        <v>1723</v>
      </c>
      <c r="L3618" s="366" t="s">
        <v>2252</v>
      </c>
      <c r="M3618" s="350" t="str">
        <f>IF($B3618="Portfolio","Portfolio",IFERROR(INDEX(DATA_ASSET_CLASSIFICATION!$B$8:$B$24,MATCH($C3618,DATA_ASSET_CLASSIFICATION!$A$8:$A$24,0)),"Review"))</f>
        <v>Newton Green</v>
      </c>
      <c r="N3618" s="350" t="str">
        <f ca="1">IF($B3618="Portfolio","Portfolio",IFERROR(INDEX(DATA_ASSET_CLASSIFICATION!$U$8:$U$24,MATCH($C3618,DATA_ASSET_CLASSIFICATION!$A$8:$A$24,0)),"Review"))</f>
        <v>Refi Watch</v>
      </c>
      <c r="O3618" s="350" t="str">
        <f ca="1">IF($B3618="Portfolio","Portfolio",IFERROR(INDEX(DATA_ASSET_CLASSIFICATION!$AB$8:$AB$13,MATCH($N3618,DATA_ASSET_CLASSIFICATION!$AA$8:$AA$13,0)),"Review"))</f>
        <v>Bucket 2 · Legacy</v>
      </c>
      <c r="P3618" s="350" t="str">
        <f>IF($B3618="Portfolio","Portfolio",IFERROR(INDEX(DATA_ASSET_CLASSIFICATION!$C$8:$C$24,MATCH($C3618,DATA_ASSET_CLASSIFICATION!$A$8:$A$24,0)),"Review"))</f>
        <v>Yes</v>
      </c>
      <c r="Q3618" s="350" t="str">
        <f t="shared" ca="1" si="113"/>
        <v>OK</v>
      </c>
    </row>
    <row r="3619" spans="1:17">
      <c r="A3619" s="366" t="s">
        <v>5575</v>
      </c>
      <c r="B3619" s="366" t="s">
        <v>231</v>
      </c>
      <c r="C3619" s="348" t="str">
        <f>DATA_PROPERTY_MASTER!$A$16</f>
        <v>BLD_NG</v>
      </c>
      <c r="D3619" s="380">
        <f>'00_PORTFOLIO ROLLUP'!M$12</f>
        <v>2033</v>
      </c>
      <c r="E3619" s="366" t="s">
        <v>1721</v>
      </c>
      <c r="F3619" s="366" t="s">
        <v>33</v>
      </c>
      <c r="G3619" s="348" t="str">
        <f>"'"&amp;$C3619&amp;"'!$E$62:$Y$62"</f>
        <v>'BLD_NG'!$E$62:$Y$62</v>
      </c>
      <c r="H3619" s="381">
        <f ca="1">IF(IFERROR(INDEX(DATA_PROPERTY_MASTER!$E$5:$E$21,MATCH($C3619,DATA_PROPERTY_MASTER!$A$5:$A$21,0))="Yes",FALSE),IFERROR(INDEX(INDIRECT("'"&amp;$C3619&amp;"'!$E$62:$Y$62"),1,MATCH($D3619,INDIRECT("'"&amp;$C3619&amp;"'!$E$12:$Y$12"),0)),0),0)</f>
        <v>0</v>
      </c>
      <c r="I3619" s="366" t="s">
        <v>1685</v>
      </c>
      <c r="J3619" s="348" t="str">
        <f t="shared" ca="1" si="112"/>
        <v>OK</v>
      </c>
      <c r="K3619" s="366" t="s">
        <v>1727</v>
      </c>
      <c r="L3619" s="366" t="s">
        <v>2254</v>
      </c>
      <c r="M3619" s="350" t="str">
        <f>IF($B3619="Portfolio","Portfolio",IFERROR(INDEX(DATA_ASSET_CLASSIFICATION!$B$8:$B$24,MATCH($C3619,DATA_ASSET_CLASSIFICATION!$A$8:$A$24,0)),"Review"))</f>
        <v>Newton Green</v>
      </c>
      <c r="N3619" s="350" t="str">
        <f ca="1">IF($B3619="Portfolio","Portfolio",IFERROR(INDEX(DATA_ASSET_CLASSIFICATION!$U$8:$U$24,MATCH($C3619,DATA_ASSET_CLASSIFICATION!$A$8:$A$24,0)),"Review"))</f>
        <v>Refi Watch</v>
      </c>
      <c r="O3619" s="350" t="str">
        <f ca="1">IF($B3619="Portfolio","Portfolio",IFERROR(INDEX(DATA_ASSET_CLASSIFICATION!$AB$8:$AB$13,MATCH($N3619,DATA_ASSET_CLASSIFICATION!$AA$8:$AA$13,0)),"Review"))</f>
        <v>Bucket 2 · Legacy</v>
      </c>
      <c r="P3619" s="350" t="str">
        <f>IF($B3619="Portfolio","Portfolio",IFERROR(INDEX(DATA_ASSET_CLASSIFICATION!$C$8:$C$24,MATCH($C3619,DATA_ASSET_CLASSIFICATION!$A$8:$A$24,0)),"Review"))</f>
        <v>Yes</v>
      </c>
      <c r="Q3619" s="350" t="str">
        <f t="shared" ca="1" si="113"/>
        <v>OK</v>
      </c>
    </row>
    <row r="3620" spans="1:17">
      <c r="A3620" s="366" t="s">
        <v>5576</v>
      </c>
      <c r="B3620" s="366" t="s">
        <v>231</v>
      </c>
      <c r="C3620" s="348" t="str">
        <f>DATA_PROPERTY_MASTER!$A$16</f>
        <v>BLD_NG</v>
      </c>
      <c r="D3620" s="380">
        <f>'00_PORTFOLIO ROLLUP'!M$12</f>
        <v>2033</v>
      </c>
      <c r="E3620" s="366" t="s">
        <v>1721</v>
      </c>
      <c r="F3620" s="366" t="s">
        <v>35</v>
      </c>
      <c r="G3620" s="348" t="str">
        <f>"'"&amp;$C3620&amp;"'!$E$63:$Y$63"</f>
        <v>'BLD_NG'!$E$63:$Y$63</v>
      </c>
      <c r="H3620" s="381">
        <f ca="1">IF(IFERROR(INDEX(DATA_PROPERTY_MASTER!$E$5:$E$21,MATCH($C3620,DATA_PROPERTY_MASTER!$A$5:$A$21,0))="Yes",FALSE),IFERROR(INDEX(INDIRECT("'"&amp;$C3620&amp;"'!$E$63:$Y$63"),1,MATCH($D3620,INDIRECT("'"&amp;$C3620&amp;"'!$E$12:$Y$12"),0)),0),0)</f>
        <v>0</v>
      </c>
      <c r="I3620" s="366" t="s">
        <v>1731</v>
      </c>
      <c r="J3620" s="348" t="str">
        <f t="shared" ca="1" si="112"/>
        <v>OK</v>
      </c>
      <c r="K3620" s="366" t="s">
        <v>1732</v>
      </c>
      <c r="L3620" s="366" t="s">
        <v>2256</v>
      </c>
      <c r="M3620" s="350" t="str">
        <f>IF($B3620="Portfolio","Portfolio",IFERROR(INDEX(DATA_ASSET_CLASSIFICATION!$B$8:$B$24,MATCH($C3620,DATA_ASSET_CLASSIFICATION!$A$8:$A$24,0)),"Review"))</f>
        <v>Newton Green</v>
      </c>
      <c r="N3620" s="350" t="str">
        <f ca="1">IF($B3620="Portfolio","Portfolio",IFERROR(INDEX(DATA_ASSET_CLASSIFICATION!$U$8:$U$24,MATCH($C3620,DATA_ASSET_CLASSIFICATION!$A$8:$A$24,0)),"Review"))</f>
        <v>Refi Watch</v>
      </c>
      <c r="O3620" s="350" t="str">
        <f ca="1">IF($B3620="Portfolio","Portfolio",IFERROR(INDEX(DATA_ASSET_CLASSIFICATION!$AB$8:$AB$13,MATCH($N3620,DATA_ASSET_CLASSIFICATION!$AA$8:$AA$13,0)),"Review"))</f>
        <v>Bucket 2 · Legacy</v>
      </c>
      <c r="P3620" s="350" t="str">
        <f>IF($B3620="Portfolio","Portfolio",IFERROR(INDEX(DATA_ASSET_CLASSIFICATION!$C$8:$C$24,MATCH($C3620,DATA_ASSET_CLASSIFICATION!$A$8:$A$24,0)),"Review"))</f>
        <v>Yes</v>
      </c>
      <c r="Q3620" s="350" t="str">
        <f t="shared" ca="1" si="113"/>
        <v>OK</v>
      </c>
    </row>
    <row r="3621" spans="1:17">
      <c r="A3621" s="366" t="s">
        <v>5577</v>
      </c>
      <c r="B3621" s="366" t="s">
        <v>231</v>
      </c>
      <c r="C3621" s="348" t="str">
        <f>DATA_PROPERTY_MASTER!$A$16</f>
        <v>BLD_NG</v>
      </c>
      <c r="D3621" s="380">
        <f>'00_PORTFOLIO ROLLUP'!M$12</f>
        <v>2033</v>
      </c>
      <c r="E3621" s="366" t="s">
        <v>1721</v>
      </c>
      <c r="F3621" s="366" t="s">
        <v>37</v>
      </c>
      <c r="G3621" s="348" t="str">
        <f>"'"&amp;$C3621&amp;"'!$E$63:$Y$63"</f>
        <v>'BLD_NG'!$E$63:$Y$63</v>
      </c>
      <c r="H3621" s="381">
        <f ca="1">IF(IFERROR(INDEX(DATA_PROPERTY_MASTER!$E$5:$E$21,MATCH($C3621,DATA_PROPERTY_MASTER!$A$5:$A$21,0))="Yes",FALSE),MAX(IFERROR(INDEX(INDIRECT("'"&amp;$C3621&amp;"'!$E$63:$Y$63"),1,MATCH($D3621,INDIRECT("'"&amp;$C3621&amp;"'!$E$12:$Y$12"),0)),0),0),0)</f>
        <v>0</v>
      </c>
      <c r="I3621" s="366" t="s">
        <v>1685</v>
      </c>
      <c r="J3621" s="348" t="str">
        <f t="shared" ca="1" si="112"/>
        <v>OK</v>
      </c>
      <c r="K3621" s="366" t="s">
        <v>1735</v>
      </c>
      <c r="L3621" s="366" t="s">
        <v>2258</v>
      </c>
      <c r="M3621" s="350" t="str">
        <f>IF($B3621="Portfolio","Portfolio",IFERROR(INDEX(DATA_ASSET_CLASSIFICATION!$B$8:$B$24,MATCH($C3621,DATA_ASSET_CLASSIFICATION!$A$8:$A$24,0)),"Review"))</f>
        <v>Newton Green</v>
      </c>
      <c r="N3621" s="350" t="str">
        <f ca="1">IF($B3621="Portfolio","Portfolio",IFERROR(INDEX(DATA_ASSET_CLASSIFICATION!$U$8:$U$24,MATCH($C3621,DATA_ASSET_CLASSIFICATION!$A$8:$A$24,0)),"Review"))</f>
        <v>Refi Watch</v>
      </c>
      <c r="O3621" s="350" t="str">
        <f ca="1">IF($B3621="Portfolio","Portfolio",IFERROR(INDEX(DATA_ASSET_CLASSIFICATION!$AB$8:$AB$13,MATCH($N3621,DATA_ASSET_CLASSIFICATION!$AA$8:$AA$13,0)),"Review"))</f>
        <v>Bucket 2 · Legacy</v>
      </c>
      <c r="P3621" s="350" t="str">
        <f>IF($B3621="Portfolio","Portfolio",IFERROR(INDEX(DATA_ASSET_CLASSIFICATION!$C$8:$C$24,MATCH($C3621,DATA_ASSET_CLASSIFICATION!$A$8:$A$24,0)),"Review"))</f>
        <v>Yes</v>
      </c>
      <c r="Q3621" s="350" t="str">
        <f t="shared" ca="1" si="113"/>
        <v>OK</v>
      </c>
    </row>
    <row r="3622" spans="1:17">
      <c r="A3622" s="366" t="s">
        <v>5578</v>
      </c>
      <c r="B3622" s="366" t="s">
        <v>231</v>
      </c>
      <c r="C3622" s="348" t="str">
        <f>DATA_PROPERTY_MASTER!$A$16</f>
        <v>BLD_NG</v>
      </c>
      <c r="D3622" s="380">
        <f>'00_PORTFOLIO ROLLUP'!M$12</f>
        <v>2033</v>
      </c>
      <c r="E3622" s="366" t="s">
        <v>1721</v>
      </c>
      <c r="F3622" s="366" t="s">
        <v>39</v>
      </c>
      <c r="G3622" s="348" t="str">
        <f>"'"&amp;$C3622&amp;"'!$E$63:$Y$63"</f>
        <v>'BLD_NG'!$E$63:$Y$63</v>
      </c>
      <c r="H3622" s="381">
        <f ca="1">IF(IFERROR(INDEX(DATA_PROPERTY_MASTER!$E$5:$E$21,MATCH($C3622,DATA_PROPERTY_MASTER!$A$5:$A$21,0))="Yes",FALSE),MAX(-IFERROR(INDEX(INDIRECT("'"&amp;$C3622&amp;"'!$E$63:$Y$63"),1,MATCH($D3622,INDIRECT("'"&amp;$C3622&amp;"'!$E$12:$Y$12"),0)),0),0),0)</f>
        <v>0</v>
      </c>
      <c r="I3622" s="366" t="s">
        <v>1690</v>
      </c>
      <c r="J3622" s="348" t="str">
        <f t="shared" ca="1" si="112"/>
        <v>OK</v>
      </c>
      <c r="K3622" s="366" t="s">
        <v>1738</v>
      </c>
      <c r="L3622" s="366" t="s">
        <v>2260</v>
      </c>
      <c r="M3622" s="350" t="str">
        <f>IF($B3622="Portfolio","Portfolio",IFERROR(INDEX(DATA_ASSET_CLASSIFICATION!$B$8:$B$24,MATCH($C3622,DATA_ASSET_CLASSIFICATION!$A$8:$A$24,0)),"Review"))</f>
        <v>Newton Green</v>
      </c>
      <c r="N3622" s="350" t="str">
        <f ca="1">IF($B3622="Portfolio","Portfolio",IFERROR(INDEX(DATA_ASSET_CLASSIFICATION!$U$8:$U$24,MATCH($C3622,DATA_ASSET_CLASSIFICATION!$A$8:$A$24,0)),"Review"))</f>
        <v>Refi Watch</v>
      </c>
      <c r="O3622" s="350" t="str">
        <f ca="1">IF($B3622="Portfolio","Portfolio",IFERROR(INDEX(DATA_ASSET_CLASSIFICATION!$AB$8:$AB$13,MATCH($N3622,DATA_ASSET_CLASSIFICATION!$AA$8:$AA$13,0)),"Review"))</f>
        <v>Bucket 2 · Legacy</v>
      </c>
      <c r="P3622" s="350" t="str">
        <f>IF($B3622="Portfolio","Portfolio",IFERROR(INDEX(DATA_ASSET_CLASSIFICATION!$C$8:$C$24,MATCH($C3622,DATA_ASSET_CLASSIFICATION!$A$8:$A$24,0)),"Review"))</f>
        <v>Yes</v>
      </c>
      <c r="Q3622" s="350" t="str">
        <f t="shared" ca="1" si="113"/>
        <v>OK</v>
      </c>
    </row>
    <row r="3623" spans="1:17">
      <c r="A3623" s="366" t="s">
        <v>5579</v>
      </c>
      <c r="B3623" s="366" t="s">
        <v>231</v>
      </c>
      <c r="C3623" s="348" t="str">
        <f>DATA_PROPERTY_MASTER!$A$16</f>
        <v>BLD_NG</v>
      </c>
      <c r="D3623" s="380">
        <f>'00_PORTFOLIO ROLLUP'!M$12</f>
        <v>2033</v>
      </c>
      <c r="E3623" s="366" t="s">
        <v>1741</v>
      </c>
      <c r="F3623" s="366" t="s">
        <v>41</v>
      </c>
      <c r="G3623" s="348" t="str">
        <f>"'"&amp;$C3623&amp;"'!rows 56 + positive row 63"</f>
        <v>'BLD_NG'!rows 56 + positive row 63</v>
      </c>
      <c r="H3623" s="381">
        <f ca="1">IF(IFERROR(INDEX(DATA_PROPERTY_MASTER!$E$5:$E$21,MATCH($C3623,DATA_PROPERTY_MASTER!$A$5:$A$21,0))="Yes",FALSE),IFERROR(INDEX(INDIRECT("'"&amp;$C3623&amp;"'!$E$56:$Y$56"),1,MATCH($D3623,INDIRECT("'"&amp;$C3623&amp;"'!$E$12:$Y$12"),0)),0)+MAX(IFERROR(INDEX(INDIRECT("'"&amp;$C3623&amp;"'!$E$63:$Y$63"),1,MATCH($D3623,INDIRECT("'"&amp;$C3623&amp;"'!$E$12:$Y$12"),0)),0),0),0)</f>
        <v>16660.055070296072</v>
      </c>
      <c r="I3623" s="366" t="s">
        <v>1685</v>
      </c>
      <c r="J3623" s="348" t="str">
        <f t="shared" ca="1" si="112"/>
        <v>OK</v>
      </c>
      <c r="K3623" s="366" t="s">
        <v>1742</v>
      </c>
      <c r="L3623" s="366" t="s">
        <v>2262</v>
      </c>
      <c r="M3623" s="350" t="str">
        <f>IF($B3623="Portfolio","Portfolio",IFERROR(INDEX(DATA_ASSET_CLASSIFICATION!$B$8:$B$24,MATCH($C3623,DATA_ASSET_CLASSIFICATION!$A$8:$A$24,0)),"Review"))</f>
        <v>Newton Green</v>
      </c>
      <c r="N3623" s="350" t="str">
        <f ca="1">IF($B3623="Portfolio","Portfolio",IFERROR(INDEX(DATA_ASSET_CLASSIFICATION!$U$8:$U$24,MATCH($C3623,DATA_ASSET_CLASSIFICATION!$A$8:$A$24,0)),"Review"))</f>
        <v>Refi Watch</v>
      </c>
      <c r="O3623" s="350" t="str">
        <f ca="1">IF($B3623="Portfolio","Portfolio",IFERROR(INDEX(DATA_ASSET_CLASSIFICATION!$AB$8:$AB$13,MATCH($N3623,DATA_ASSET_CLASSIFICATION!$AA$8:$AA$13,0)),"Review"))</f>
        <v>Bucket 2 · Legacy</v>
      </c>
      <c r="P3623" s="350" t="str">
        <f>IF($B3623="Portfolio","Portfolio",IFERROR(INDEX(DATA_ASSET_CLASSIFICATION!$C$8:$C$24,MATCH($C3623,DATA_ASSET_CLASSIFICATION!$A$8:$A$24,0)),"Review"))</f>
        <v>Yes</v>
      </c>
      <c r="Q3623" s="350" t="str">
        <f t="shared" ca="1" si="113"/>
        <v>OK</v>
      </c>
    </row>
    <row r="3624" spans="1:17">
      <c r="A3624" s="366" t="s">
        <v>5580</v>
      </c>
      <c r="B3624" s="366" t="s">
        <v>231</v>
      </c>
      <c r="C3624" s="348" t="str">
        <f>DATA_PROPERTY_MASTER!$A$16</f>
        <v>BLD_NG</v>
      </c>
      <c r="D3624" s="380">
        <f>'00_PORTFOLIO ROLLUP'!M$12</f>
        <v>2033</v>
      </c>
      <c r="E3624" s="366" t="s">
        <v>1741</v>
      </c>
      <c r="F3624" s="366" t="s">
        <v>43</v>
      </c>
      <c r="G3624" s="348" t="str">
        <f>"'"&amp;$C3624&amp;"'!$E$68:$Y$68"</f>
        <v>'BLD_NG'!$E$68:$Y$68</v>
      </c>
      <c r="H3624" s="381">
        <f ca="1">IF(IFERROR(INDEX(DATA_PROPERTY_MASTER!$E$5:$E$21,MATCH($C3624,DATA_PROPERTY_MASTER!$A$5:$A$21,0))="Yes",FALSE),IFERROR(INDEX(INDIRECT("'"&amp;$C3624&amp;"'!$E$68:$Y$68"),1,MATCH($D3624,INDIRECT("'"&amp;$C3624&amp;"'!$E$12:$Y$12"),0)),0),0)</f>
        <v>16660.055070296072</v>
      </c>
      <c r="I3624" s="366" t="s">
        <v>1731</v>
      </c>
      <c r="J3624" s="348" t="str">
        <f t="shared" ca="1" si="112"/>
        <v>OK</v>
      </c>
      <c r="K3624" s="366" t="s">
        <v>1746</v>
      </c>
      <c r="L3624" s="366" t="s">
        <v>2264</v>
      </c>
      <c r="M3624" s="350" t="str">
        <f>IF($B3624="Portfolio","Portfolio",IFERROR(INDEX(DATA_ASSET_CLASSIFICATION!$B$8:$B$24,MATCH($C3624,DATA_ASSET_CLASSIFICATION!$A$8:$A$24,0)),"Review"))</f>
        <v>Newton Green</v>
      </c>
      <c r="N3624" s="350" t="str">
        <f ca="1">IF($B3624="Portfolio","Portfolio",IFERROR(INDEX(DATA_ASSET_CLASSIFICATION!$U$8:$U$24,MATCH($C3624,DATA_ASSET_CLASSIFICATION!$A$8:$A$24,0)),"Review"))</f>
        <v>Refi Watch</v>
      </c>
      <c r="O3624" s="350" t="str">
        <f ca="1">IF($B3624="Portfolio","Portfolio",IFERROR(INDEX(DATA_ASSET_CLASSIFICATION!$AB$8:$AB$13,MATCH($N3624,DATA_ASSET_CLASSIFICATION!$AA$8:$AA$13,0)),"Review"))</f>
        <v>Bucket 2 · Legacy</v>
      </c>
      <c r="P3624" s="350" t="str">
        <f>IF($B3624="Portfolio","Portfolio",IFERROR(INDEX(DATA_ASSET_CLASSIFICATION!$C$8:$C$24,MATCH($C3624,DATA_ASSET_CLASSIFICATION!$A$8:$A$24,0)),"Review"))</f>
        <v>Yes</v>
      </c>
      <c r="Q3624" s="350" t="str">
        <f t="shared" ca="1" si="113"/>
        <v>OK</v>
      </c>
    </row>
    <row r="3625" spans="1:17">
      <c r="A3625" s="366" t="s">
        <v>5581</v>
      </c>
      <c r="B3625" s="366" t="s">
        <v>231</v>
      </c>
      <c r="C3625" s="348" t="str">
        <f>DATA_PROPERTY_MASTER!$A$16</f>
        <v>BLD_NG</v>
      </c>
      <c r="D3625" s="380">
        <f>'00_PORTFOLIO ROLLUP'!M$12</f>
        <v>2033</v>
      </c>
      <c r="E3625" s="366" t="s">
        <v>1741</v>
      </c>
      <c r="F3625" s="366" t="s">
        <v>1749</v>
      </c>
      <c r="G3625" s="348" t="str">
        <f>"'"&amp;$C3625&amp;"'!rows 56, 63, 68"</f>
        <v>'BLD_NG'!rows 56, 63, 68</v>
      </c>
      <c r="H3625" s="381">
        <f ca="1">IF(IFERROR(INDEX(DATA_PROPERTY_MASTER!$E$5:$E$21,MATCH($C3625,DATA_PROPERTY_MASTER!$A$5:$A$21,0))="Yes",FALSE),(IFERROR(INDEX(INDIRECT("'"&amp;$C3625&amp;"'!$E$56:$Y$56"),1,MATCH($D3625,INDIRECT("'"&amp;$C3625&amp;"'!$E$12:$Y$12"),0)),0)+MAX(IFERROR(INDEX(INDIRECT("'"&amp;$C3625&amp;"'!$E$63:$Y$63"),1,MATCH($D3625,INDIRECT("'"&amp;$C3625&amp;"'!$E$12:$Y$12"),0)),0),0))-(IFERROR(INDEX(INDIRECT("'"&amp;$C3625&amp;"'!$E$68:$Y$68"),1,MATCH($D3625,INDIRECT("'"&amp;$C3625&amp;"'!$E$12:$Y$12"),0)),0)),0)</f>
        <v>0</v>
      </c>
      <c r="I3625" s="366" t="s">
        <v>1750</v>
      </c>
      <c r="J3625" s="348" t="str">
        <f t="shared" ca="1" si="112"/>
        <v>OK</v>
      </c>
      <c r="K3625" s="366" t="s">
        <v>1751</v>
      </c>
      <c r="L3625" s="366" t="s">
        <v>2266</v>
      </c>
      <c r="M3625" s="350" t="str">
        <f>IF($B3625="Portfolio","Portfolio",IFERROR(INDEX(DATA_ASSET_CLASSIFICATION!$B$8:$B$24,MATCH($C3625,DATA_ASSET_CLASSIFICATION!$A$8:$A$24,0)),"Review"))</f>
        <v>Newton Green</v>
      </c>
      <c r="N3625" s="350" t="str">
        <f ca="1">IF($B3625="Portfolio","Portfolio",IFERROR(INDEX(DATA_ASSET_CLASSIFICATION!$U$8:$U$24,MATCH($C3625,DATA_ASSET_CLASSIFICATION!$A$8:$A$24,0)),"Review"))</f>
        <v>Refi Watch</v>
      </c>
      <c r="O3625" s="350" t="str">
        <f ca="1">IF($B3625="Portfolio","Portfolio",IFERROR(INDEX(DATA_ASSET_CLASSIFICATION!$AB$8:$AB$13,MATCH($N3625,DATA_ASSET_CLASSIFICATION!$AA$8:$AA$13,0)),"Review"))</f>
        <v>Bucket 2 · Legacy</v>
      </c>
      <c r="P3625" s="350" t="str">
        <f>IF($B3625="Portfolio","Portfolio",IFERROR(INDEX(DATA_ASSET_CLASSIFICATION!$C$8:$C$24,MATCH($C3625,DATA_ASSET_CLASSIFICATION!$A$8:$A$24,0)),"Review"))</f>
        <v>Yes</v>
      </c>
      <c r="Q3625" s="350" t="str">
        <f t="shared" ca="1" si="113"/>
        <v>OK</v>
      </c>
    </row>
    <row r="3626" spans="1:17">
      <c r="A3626" s="366" t="s">
        <v>5582</v>
      </c>
      <c r="B3626" s="366" t="s">
        <v>231</v>
      </c>
      <c r="C3626" s="348" t="str">
        <f>DATA_PROPERTY_MASTER!$A$16</f>
        <v>BLD_NG</v>
      </c>
      <c r="D3626" s="380">
        <f>'00_PORTFOLIO ROLLUP'!N$12</f>
        <v>2034</v>
      </c>
      <c r="E3626" s="366" t="s">
        <v>1683</v>
      </c>
      <c r="F3626" s="366" t="s">
        <v>341</v>
      </c>
      <c r="G3626" s="348" t="str">
        <f>"'"&amp;$C3626&amp;"'!$E$24:$Y$24"</f>
        <v>'BLD_NG'!$E$24:$Y$24</v>
      </c>
      <c r="H3626" s="381">
        <f ca="1">IF(IFERROR(INDEX(DATA_PROPERTY_MASTER!$E$5:$E$21,MATCH($C3626,DATA_PROPERTY_MASTER!$A$5:$A$21,0))="Yes",FALSE),IFERROR(INDEX(INDIRECT("'"&amp;$C3626&amp;"'!$E$24:$Y$24"),1,MATCH($D3626,INDIRECT("'"&amp;$C3626&amp;"'!$E$12:$Y$12"),0)),0),0)</f>
        <v>928435.44066590734</v>
      </c>
      <c r="I3626" s="366" t="s">
        <v>1685</v>
      </c>
      <c r="J3626" s="348" t="str">
        <f t="shared" ca="1" si="112"/>
        <v>OK</v>
      </c>
      <c r="K3626" s="366" t="s">
        <v>1686</v>
      </c>
      <c r="L3626" s="366" t="s">
        <v>2234</v>
      </c>
      <c r="M3626" s="350" t="str">
        <f>IF($B3626="Portfolio","Portfolio",IFERROR(INDEX(DATA_ASSET_CLASSIFICATION!$B$8:$B$24,MATCH($C3626,DATA_ASSET_CLASSIFICATION!$A$8:$A$24,0)),"Review"))</f>
        <v>Newton Green</v>
      </c>
      <c r="N3626" s="350" t="str">
        <f ca="1">IF($B3626="Portfolio","Portfolio",IFERROR(INDEX(DATA_ASSET_CLASSIFICATION!$U$8:$U$24,MATCH($C3626,DATA_ASSET_CLASSIFICATION!$A$8:$A$24,0)),"Review"))</f>
        <v>Refi Watch</v>
      </c>
      <c r="O3626" s="350" t="str">
        <f ca="1">IF($B3626="Portfolio","Portfolio",IFERROR(INDEX(DATA_ASSET_CLASSIFICATION!$AB$8:$AB$13,MATCH($N3626,DATA_ASSET_CLASSIFICATION!$AA$8:$AA$13,0)),"Review"))</f>
        <v>Bucket 2 · Legacy</v>
      </c>
      <c r="P3626" s="350" t="str">
        <f>IF($B3626="Portfolio","Portfolio",IFERROR(INDEX(DATA_ASSET_CLASSIFICATION!$C$8:$C$24,MATCH($C3626,DATA_ASSET_CLASSIFICATION!$A$8:$A$24,0)),"Review"))</f>
        <v>Yes</v>
      </c>
      <c r="Q3626" s="350" t="str">
        <f t="shared" ca="1" si="113"/>
        <v>OK</v>
      </c>
    </row>
    <row r="3627" spans="1:17">
      <c r="A3627" s="366" t="s">
        <v>5583</v>
      </c>
      <c r="B3627" s="366" t="s">
        <v>231</v>
      </c>
      <c r="C3627" s="348" t="str">
        <f>DATA_PROPERTY_MASTER!$A$16</f>
        <v>BLD_NG</v>
      </c>
      <c r="D3627" s="380">
        <f>'00_PORTFOLIO ROLLUP'!N$12</f>
        <v>2034</v>
      </c>
      <c r="E3627" s="366" t="s">
        <v>1683</v>
      </c>
      <c r="F3627" s="366" t="s">
        <v>355</v>
      </c>
      <c r="G3627" s="348" t="str">
        <f>"'"&amp;$C3627&amp;"'!$E$39:$Y$39"</f>
        <v>'BLD_NG'!$E$39:$Y$39</v>
      </c>
      <c r="H3627" s="381">
        <f ca="1">IF(IFERROR(INDEX(DATA_PROPERTY_MASTER!$E$5:$E$21,MATCH($C3627,DATA_PROPERTY_MASTER!$A$5:$A$21,0))="Yes",FALSE),IFERROR(INDEX(INDIRECT("'"&amp;$C3627&amp;"'!$E$39:$Y$39"),1,MATCH($D3627,INDIRECT("'"&amp;$C3627&amp;"'!$E$12:$Y$12"),0)),0),0)</f>
        <v>442409.4339667827</v>
      </c>
      <c r="I3627" s="366" t="s">
        <v>1690</v>
      </c>
      <c r="J3627" s="348" t="str">
        <f t="shared" ca="1" si="112"/>
        <v>OK</v>
      </c>
      <c r="K3627" s="366" t="s">
        <v>1686</v>
      </c>
      <c r="L3627" s="366" t="s">
        <v>2236</v>
      </c>
      <c r="M3627" s="350" t="str">
        <f>IF($B3627="Portfolio","Portfolio",IFERROR(INDEX(DATA_ASSET_CLASSIFICATION!$B$8:$B$24,MATCH($C3627,DATA_ASSET_CLASSIFICATION!$A$8:$A$24,0)),"Review"))</f>
        <v>Newton Green</v>
      </c>
      <c r="N3627" s="350" t="str">
        <f ca="1">IF($B3627="Portfolio","Portfolio",IFERROR(INDEX(DATA_ASSET_CLASSIFICATION!$U$8:$U$24,MATCH($C3627,DATA_ASSET_CLASSIFICATION!$A$8:$A$24,0)),"Review"))</f>
        <v>Refi Watch</v>
      </c>
      <c r="O3627" s="350" t="str">
        <f ca="1">IF($B3627="Portfolio","Portfolio",IFERROR(INDEX(DATA_ASSET_CLASSIFICATION!$AB$8:$AB$13,MATCH($N3627,DATA_ASSET_CLASSIFICATION!$AA$8:$AA$13,0)),"Review"))</f>
        <v>Bucket 2 · Legacy</v>
      </c>
      <c r="P3627" s="350" t="str">
        <f>IF($B3627="Portfolio","Portfolio",IFERROR(INDEX(DATA_ASSET_CLASSIFICATION!$C$8:$C$24,MATCH($C3627,DATA_ASSET_CLASSIFICATION!$A$8:$A$24,0)),"Review"))</f>
        <v>Yes</v>
      </c>
      <c r="Q3627" s="350" t="str">
        <f t="shared" ca="1" si="113"/>
        <v>OK</v>
      </c>
    </row>
    <row r="3628" spans="1:17">
      <c r="A3628" s="366" t="s">
        <v>5584</v>
      </c>
      <c r="B3628" s="366" t="s">
        <v>231</v>
      </c>
      <c r="C3628" s="348" t="str">
        <f>DATA_PROPERTY_MASTER!$A$16</f>
        <v>BLD_NG</v>
      </c>
      <c r="D3628" s="380">
        <f>'00_PORTFOLIO ROLLUP'!N$12</f>
        <v>2034</v>
      </c>
      <c r="E3628" s="366" t="s">
        <v>1683</v>
      </c>
      <c r="F3628" s="366" t="s">
        <v>19</v>
      </c>
      <c r="G3628" s="348" t="str">
        <f>"'"&amp;$C3628&amp;"'!$E$41:$Y$41"</f>
        <v>'BLD_NG'!$E$41:$Y$41</v>
      </c>
      <c r="H3628" s="381">
        <f ca="1">IF(IFERROR(INDEX(DATA_PROPERTY_MASTER!$E$5:$E$21,MATCH($C3628,DATA_PROPERTY_MASTER!$A$5:$A$21,0))="Yes",FALSE),IFERROR(INDEX(INDIRECT("'"&amp;$C3628&amp;"'!$E$41:$Y$41"),1,MATCH($D3628,INDIRECT("'"&amp;$C3628&amp;"'!$E$12:$Y$12"),0)),0),0)</f>
        <v>486026.00669912464</v>
      </c>
      <c r="I3628" s="366" t="s">
        <v>1685</v>
      </c>
      <c r="J3628" s="348" t="str">
        <f t="shared" ca="1" si="112"/>
        <v>OK</v>
      </c>
      <c r="K3628" s="366" t="s">
        <v>1694</v>
      </c>
      <c r="L3628" s="366" t="s">
        <v>2238</v>
      </c>
      <c r="M3628" s="350" t="str">
        <f>IF($B3628="Portfolio","Portfolio",IFERROR(INDEX(DATA_ASSET_CLASSIFICATION!$B$8:$B$24,MATCH($C3628,DATA_ASSET_CLASSIFICATION!$A$8:$A$24,0)),"Review"))</f>
        <v>Newton Green</v>
      </c>
      <c r="N3628" s="350" t="str">
        <f ca="1">IF($B3628="Portfolio","Portfolio",IFERROR(INDEX(DATA_ASSET_CLASSIFICATION!$U$8:$U$24,MATCH($C3628,DATA_ASSET_CLASSIFICATION!$A$8:$A$24,0)),"Review"))</f>
        <v>Refi Watch</v>
      </c>
      <c r="O3628" s="350" t="str">
        <f ca="1">IF($B3628="Portfolio","Portfolio",IFERROR(INDEX(DATA_ASSET_CLASSIFICATION!$AB$8:$AB$13,MATCH($N3628,DATA_ASSET_CLASSIFICATION!$AA$8:$AA$13,0)),"Review"))</f>
        <v>Bucket 2 · Legacy</v>
      </c>
      <c r="P3628" s="350" t="str">
        <f>IF($B3628="Portfolio","Portfolio",IFERROR(INDEX(DATA_ASSET_CLASSIFICATION!$C$8:$C$24,MATCH($C3628,DATA_ASSET_CLASSIFICATION!$A$8:$A$24,0)),"Review"))</f>
        <v>Yes</v>
      </c>
      <c r="Q3628" s="350" t="str">
        <f t="shared" ca="1" si="113"/>
        <v>OK</v>
      </c>
    </row>
    <row r="3629" spans="1:17">
      <c r="A3629" s="366" t="s">
        <v>5585</v>
      </c>
      <c r="B3629" s="366" t="s">
        <v>231</v>
      </c>
      <c r="C3629" s="348" t="str">
        <f>DATA_PROPERTY_MASTER!$A$16</f>
        <v>BLD_NG</v>
      </c>
      <c r="D3629" s="380">
        <f>'00_PORTFOLIO ROLLUP'!N$12</f>
        <v>2034</v>
      </c>
      <c r="E3629" s="366" t="s">
        <v>1683</v>
      </c>
      <c r="F3629" s="366" t="s">
        <v>1697</v>
      </c>
      <c r="G3629" s="348" t="str">
        <f>"'"&amp;$C3629&amp;"'!$E$44:$Y$44"</f>
        <v>'BLD_NG'!$E$44:$Y$44</v>
      </c>
      <c r="H3629" s="381">
        <f ca="1">IF(IFERROR(INDEX(DATA_PROPERTY_MASTER!$E$5:$E$21,MATCH($C3629,DATA_PROPERTY_MASTER!$A$5:$A$21,0))="Yes",FALSE),IFERROR(INDEX(INDIRECT("'"&amp;$C3629&amp;"'!$E$44:$Y$44"),1,MATCH($D3629,INDIRECT("'"&amp;$C3629&amp;"'!$E$12:$Y$12"),0)),0),0)</f>
        <v>8783.9303793739855</v>
      </c>
      <c r="I3629" s="366" t="s">
        <v>1690</v>
      </c>
      <c r="J3629" s="348" t="str">
        <f t="shared" ca="1" si="112"/>
        <v>OK</v>
      </c>
      <c r="K3629" s="366" t="s">
        <v>1699</v>
      </c>
      <c r="L3629" s="366" t="s">
        <v>2240</v>
      </c>
      <c r="M3629" s="350" t="str">
        <f>IF($B3629="Portfolio","Portfolio",IFERROR(INDEX(DATA_ASSET_CLASSIFICATION!$B$8:$B$24,MATCH($C3629,DATA_ASSET_CLASSIFICATION!$A$8:$A$24,0)),"Review"))</f>
        <v>Newton Green</v>
      </c>
      <c r="N3629" s="350" t="str">
        <f ca="1">IF($B3629="Portfolio","Portfolio",IFERROR(INDEX(DATA_ASSET_CLASSIFICATION!$U$8:$U$24,MATCH($C3629,DATA_ASSET_CLASSIFICATION!$A$8:$A$24,0)),"Review"))</f>
        <v>Refi Watch</v>
      </c>
      <c r="O3629" s="350" t="str">
        <f ca="1">IF($B3629="Portfolio","Portfolio",IFERROR(INDEX(DATA_ASSET_CLASSIFICATION!$AB$8:$AB$13,MATCH($N3629,DATA_ASSET_CLASSIFICATION!$AA$8:$AA$13,0)),"Review"))</f>
        <v>Bucket 2 · Legacy</v>
      </c>
      <c r="P3629" s="350" t="str">
        <f>IF($B3629="Portfolio","Portfolio",IFERROR(INDEX(DATA_ASSET_CLASSIFICATION!$C$8:$C$24,MATCH($C3629,DATA_ASSET_CLASSIFICATION!$A$8:$A$24,0)),"Review"))</f>
        <v>Yes</v>
      </c>
      <c r="Q3629" s="350" t="str">
        <f t="shared" ca="1" si="113"/>
        <v>OK</v>
      </c>
    </row>
    <row r="3630" spans="1:17">
      <c r="A3630" s="366" t="s">
        <v>5586</v>
      </c>
      <c r="B3630" s="366" t="s">
        <v>231</v>
      </c>
      <c r="C3630" s="348" t="str">
        <f>DATA_PROPERTY_MASTER!$A$16</f>
        <v>BLD_NG</v>
      </c>
      <c r="D3630" s="380">
        <f>'00_PORTFOLIO ROLLUP'!N$12</f>
        <v>2034</v>
      </c>
      <c r="E3630" s="366" t="s">
        <v>1683</v>
      </c>
      <c r="F3630" s="366" t="s">
        <v>21</v>
      </c>
      <c r="G3630" s="348" t="str">
        <f>"'"&amp;$C3630&amp;"'!$E$45:$Y$45"</f>
        <v>'BLD_NG'!$E$45:$Y$45</v>
      </c>
      <c r="H3630" s="381">
        <f ca="1">IF(IFERROR(INDEX(DATA_PROPERTY_MASTER!$E$5:$E$21,MATCH($C3630,DATA_PROPERTY_MASTER!$A$5:$A$21,0))="Yes",FALSE),IFERROR(INDEX(INDIRECT("'"&amp;$C3630&amp;"'!$E$45:$Y$45"),1,MATCH($D3630,INDIRECT("'"&amp;$C3630&amp;"'!$E$12:$Y$12"),0)),0),0)</f>
        <v>477242.07631975063</v>
      </c>
      <c r="I3630" s="366" t="s">
        <v>1685</v>
      </c>
      <c r="J3630" s="348" t="str">
        <f t="shared" ca="1" si="112"/>
        <v>OK</v>
      </c>
      <c r="K3630" s="366" t="s">
        <v>1694</v>
      </c>
      <c r="L3630" s="366" t="s">
        <v>2242</v>
      </c>
      <c r="M3630" s="350" t="str">
        <f>IF($B3630="Portfolio","Portfolio",IFERROR(INDEX(DATA_ASSET_CLASSIFICATION!$B$8:$B$24,MATCH($C3630,DATA_ASSET_CLASSIFICATION!$A$8:$A$24,0)),"Review"))</f>
        <v>Newton Green</v>
      </c>
      <c r="N3630" s="350" t="str">
        <f ca="1">IF($B3630="Portfolio","Portfolio",IFERROR(INDEX(DATA_ASSET_CLASSIFICATION!$U$8:$U$24,MATCH($C3630,DATA_ASSET_CLASSIFICATION!$A$8:$A$24,0)),"Review"))</f>
        <v>Refi Watch</v>
      </c>
      <c r="O3630" s="350" t="str">
        <f ca="1">IF($B3630="Portfolio","Portfolio",IFERROR(INDEX(DATA_ASSET_CLASSIFICATION!$AB$8:$AB$13,MATCH($N3630,DATA_ASSET_CLASSIFICATION!$AA$8:$AA$13,0)),"Review"))</f>
        <v>Bucket 2 · Legacy</v>
      </c>
      <c r="P3630" s="350" t="str">
        <f>IF($B3630="Portfolio","Portfolio",IFERROR(INDEX(DATA_ASSET_CLASSIFICATION!$C$8:$C$24,MATCH($C3630,DATA_ASSET_CLASSIFICATION!$A$8:$A$24,0)),"Review"))</f>
        <v>Yes</v>
      </c>
      <c r="Q3630" s="350" t="str">
        <f t="shared" ca="1" si="113"/>
        <v>OK</v>
      </c>
    </row>
    <row r="3631" spans="1:17">
      <c r="A3631" s="366" t="s">
        <v>5587</v>
      </c>
      <c r="B3631" s="366" t="s">
        <v>231</v>
      </c>
      <c r="C3631" s="348" t="str">
        <f>DATA_PROPERTY_MASTER!$A$16</f>
        <v>BLD_NG</v>
      </c>
      <c r="D3631" s="380">
        <f>'00_PORTFOLIO ROLLUP'!N$12</f>
        <v>2034</v>
      </c>
      <c r="E3631" s="366" t="s">
        <v>23</v>
      </c>
      <c r="F3631" s="366" t="s">
        <v>23</v>
      </c>
      <c r="G3631" s="348" t="str">
        <f>"'"&amp;$C3631&amp;"'!$E$48:$Y$48"</f>
        <v>'BLD_NG'!$E$48:$Y$48</v>
      </c>
      <c r="H3631" s="381">
        <f ca="1">IF(IFERROR(INDEX(DATA_PROPERTY_MASTER!$E$5:$E$21,MATCH($C3631,DATA_PROPERTY_MASTER!$A$5:$A$21,0))="Yes",FALSE),IFERROR(INDEX(INDIRECT("'"&amp;$C3631&amp;"'!$E$48:$Y$48"),1,MATCH($D3631,INDIRECT("'"&amp;$C3631&amp;"'!$E$12:$Y$12"),0)),0),0)</f>
        <v>318638.49974513921</v>
      </c>
      <c r="I3631" s="366" t="s">
        <v>1690</v>
      </c>
      <c r="J3631" s="348" t="str">
        <f t="shared" ca="1" si="112"/>
        <v>OK</v>
      </c>
      <c r="K3631" s="366" t="s">
        <v>1706</v>
      </c>
      <c r="L3631" s="366" t="s">
        <v>2244</v>
      </c>
      <c r="M3631" s="350" t="str">
        <f>IF($B3631="Portfolio","Portfolio",IFERROR(INDEX(DATA_ASSET_CLASSIFICATION!$B$8:$B$24,MATCH($C3631,DATA_ASSET_CLASSIFICATION!$A$8:$A$24,0)),"Review"))</f>
        <v>Newton Green</v>
      </c>
      <c r="N3631" s="350" t="str">
        <f ca="1">IF($B3631="Portfolio","Portfolio",IFERROR(INDEX(DATA_ASSET_CLASSIFICATION!$U$8:$U$24,MATCH($C3631,DATA_ASSET_CLASSIFICATION!$A$8:$A$24,0)),"Review"))</f>
        <v>Refi Watch</v>
      </c>
      <c r="O3631" s="350" t="str">
        <f ca="1">IF($B3631="Portfolio","Portfolio",IFERROR(INDEX(DATA_ASSET_CLASSIFICATION!$AB$8:$AB$13,MATCH($N3631,DATA_ASSET_CLASSIFICATION!$AA$8:$AA$13,0)),"Review"))</f>
        <v>Bucket 2 · Legacy</v>
      </c>
      <c r="P3631" s="350" t="str">
        <f>IF($B3631="Portfolio","Portfolio",IFERROR(INDEX(DATA_ASSET_CLASSIFICATION!$C$8:$C$24,MATCH($C3631,DATA_ASSET_CLASSIFICATION!$A$8:$A$24,0)),"Review"))</f>
        <v>Yes</v>
      </c>
      <c r="Q3631" s="350" t="str">
        <f t="shared" ca="1" si="113"/>
        <v>OK</v>
      </c>
    </row>
    <row r="3632" spans="1:17">
      <c r="A3632" s="366" t="s">
        <v>5588</v>
      </c>
      <c r="B3632" s="366" t="s">
        <v>231</v>
      </c>
      <c r="C3632" s="348" t="str">
        <f>DATA_PROPERTY_MASTER!$A$16</f>
        <v>BLD_NG</v>
      </c>
      <c r="D3632" s="380">
        <f>'00_PORTFOLIO ROLLUP'!N$12</f>
        <v>2034</v>
      </c>
      <c r="E3632" s="366" t="s">
        <v>1683</v>
      </c>
      <c r="F3632" s="366" t="s">
        <v>25</v>
      </c>
      <c r="G3632" s="348" t="str">
        <f>"'"&amp;$C3632&amp;"'!$E$52:$Y$52"</f>
        <v>'BLD_NG'!$E$52:$Y$52</v>
      </c>
      <c r="H3632" s="381">
        <f ca="1">IF(IFERROR(INDEX(DATA_PROPERTY_MASTER!$E$5:$E$21,MATCH($C3632,DATA_PROPERTY_MASTER!$A$5:$A$21,0))="Yes",FALSE),IFERROR(INDEX(INDIRECT("'"&amp;$C3632&amp;"'!$E$52:$Y$52"),1,MATCH($D3632,INDIRECT("'"&amp;$C3632&amp;"'!$E$12:$Y$12"),0)),0),0)</f>
        <v>167387.50695398543</v>
      </c>
      <c r="I3632" s="366" t="s">
        <v>1685</v>
      </c>
      <c r="J3632" s="348" t="str">
        <f t="shared" ca="1" si="112"/>
        <v>OK</v>
      </c>
      <c r="K3632" s="366" t="s">
        <v>1710</v>
      </c>
      <c r="L3632" s="366" t="s">
        <v>2246</v>
      </c>
      <c r="M3632" s="350" t="str">
        <f>IF($B3632="Portfolio","Portfolio",IFERROR(INDEX(DATA_ASSET_CLASSIFICATION!$B$8:$B$24,MATCH($C3632,DATA_ASSET_CLASSIFICATION!$A$8:$A$24,0)),"Review"))</f>
        <v>Newton Green</v>
      </c>
      <c r="N3632" s="350" t="str">
        <f ca="1">IF($B3632="Portfolio","Portfolio",IFERROR(INDEX(DATA_ASSET_CLASSIFICATION!$U$8:$U$24,MATCH($C3632,DATA_ASSET_CLASSIFICATION!$A$8:$A$24,0)),"Review"))</f>
        <v>Refi Watch</v>
      </c>
      <c r="O3632" s="350" t="str">
        <f ca="1">IF($B3632="Portfolio","Portfolio",IFERROR(INDEX(DATA_ASSET_CLASSIFICATION!$AB$8:$AB$13,MATCH($N3632,DATA_ASSET_CLASSIFICATION!$AA$8:$AA$13,0)),"Review"))</f>
        <v>Bucket 2 · Legacy</v>
      </c>
      <c r="P3632" s="350" t="str">
        <f>IF($B3632="Portfolio","Portfolio",IFERROR(INDEX(DATA_ASSET_CLASSIFICATION!$C$8:$C$24,MATCH($C3632,DATA_ASSET_CLASSIFICATION!$A$8:$A$24,0)),"Review"))</f>
        <v>Yes</v>
      </c>
      <c r="Q3632" s="350" t="str">
        <f t="shared" ca="1" si="113"/>
        <v>OK</v>
      </c>
    </row>
    <row r="3633" spans="1:17">
      <c r="A3633" s="366" t="s">
        <v>5589</v>
      </c>
      <c r="B3633" s="366" t="s">
        <v>231</v>
      </c>
      <c r="C3633" s="348" t="str">
        <f>DATA_PROPERTY_MASTER!$A$16</f>
        <v>BLD_NG</v>
      </c>
      <c r="D3633" s="380">
        <f>'00_PORTFOLIO ROLLUP'!N$12</f>
        <v>2034</v>
      </c>
      <c r="E3633" s="366" t="s">
        <v>1683</v>
      </c>
      <c r="F3633" s="366" t="s">
        <v>27</v>
      </c>
      <c r="G3633" s="348" t="str">
        <f>"'"&amp;$C3633&amp;"'!$E$54:$Y$54"</f>
        <v>'BLD_NG'!$E$54:$Y$54</v>
      </c>
      <c r="H3633" s="381">
        <f ca="1">IF(IFERROR(INDEX(DATA_PROPERTY_MASTER!$E$5:$E$21,MATCH($C3633,DATA_PROPERTY_MASTER!$A$5:$A$21,0))="Yes",FALSE),IFERROR(INDEX(INDIRECT("'"&amp;$C3633&amp;"'!$E$54:$Y$54"),1,MATCH($D3633,INDIRECT("'"&amp;$C3633&amp;"'!$E$12:$Y$12"),0)),0),0)</f>
        <v>100432.50417239126</v>
      </c>
      <c r="I3633" s="366" t="s">
        <v>1690</v>
      </c>
      <c r="J3633" s="348" t="str">
        <f t="shared" ca="1" si="112"/>
        <v>OK</v>
      </c>
      <c r="K3633" s="366" t="s">
        <v>1714</v>
      </c>
      <c r="L3633" s="366" t="s">
        <v>2248</v>
      </c>
      <c r="M3633" s="350" t="str">
        <f>IF($B3633="Portfolio","Portfolio",IFERROR(INDEX(DATA_ASSET_CLASSIFICATION!$B$8:$B$24,MATCH($C3633,DATA_ASSET_CLASSIFICATION!$A$8:$A$24,0)),"Review"))</f>
        <v>Newton Green</v>
      </c>
      <c r="N3633" s="350" t="str">
        <f ca="1">IF($B3633="Portfolio","Portfolio",IFERROR(INDEX(DATA_ASSET_CLASSIFICATION!$U$8:$U$24,MATCH($C3633,DATA_ASSET_CLASSIFICATION!$A$8:$A$24,0)),"Review"))</f>
        <v>Refi Watch</v>
      </c>
      <c r="O3633" s="350" t="str">
        <f ca="1">IF($B3633="Portfolio","Portfolio",IFERROR(INDEX(DATA_ASSET_CLASSIFICATION!$AB$8:$AB$13,MATCH($N3633,DATA_ASSET_CLASSIFICATION!$AA$8:$AA$13,0)),"Review"))</f>
        <v>Bucket 2 · Legacy</v>
      </c>
      <c r="P3633" s="350" t="str">
        <f>IF($B3633="Portfolio","Portfolio",IFERROR(INDEX(DATA_ASSET_CLASSIFICATION!$C$8:$C$24,MATCH($C3633,DATA_ASSET_CLASSIFICATION!$A$8:$A$24,0)),"Review"))</f>
        <v>Yes</v>
      </c>
      <c r="Q3633" s="350" t="str">
        <f t="shared" ca="1" si="113"/>
        <v>OK</v>
      </c>
    </row>
    <row r="3634" spans="1:17">
      <c r="A3634" s="366" t="s">
        <v>5590</v>
      </c>
      <c r="B3634" s="366" t="s">
        <v>231</v>
      </c>
      <c r="C3634" s="348" t="str">
        <f>DATA_PROPERTY_MASTER!$A$16</f>
        <v>BLD_NG</v>
      </c>
      <c r="D3634" s="380">
        <f>'00_PORTFOLIO ROLLUP'!N$12</f>
        <v>2034</v>
      </c>
      <c r="E3634" s="366" t="s">
        <v>1683</v>
      </c>
      <c r="F3634" s="366" t="s">
        <v>29</v>
      </c>
      <c r="G3634" s="348" t="str">
        <f>"'"&amp;$C3634&amp;"'!$E$56:$Y$56"</f>
        <v>'BLD_NG'!$E$56:$Y$56</v>
      </c>
      <c r="H3634" s="381">
        <f ca="1">IF(IFERROR(INDEX(DATA_PROPERTY_MASTER!$E$5:$E$21,MATCH($C3634,DATA_PROPERTY_MASTER!$A$5:$A$21,0))="Yes",FALSE),IFERROR(INDEX(INDIRECT("'"&amp;$C3634&amp;"'!$E$56:$Y$56"),1,MATCH($D3634,INDIRECT("'"&amp;$C3634&amp;"'!$E$12:$Y$12"),0)),0),0)</f>
        <v>66955.002781594172</v>
      </c>
      <c r="I3634" s="366" t="s">
        <v>1685</v>
      </c>
      <c r="J3634" s="348" t="str">
        <f t="shared" ca="1" si="112"/>
        <v>OK</v>
      </c>
      <c r="K3634" s="366" t="s">
        <v>1718</v>
      </c>
      <c r="L3634" s="366" t="s">
        <v>2250</v>
      </c>
      <c r="M3634" s="350" t="str">
        <f>IF($B3634="Portfolio","Portfolio",IFERROR(INDEX(DATA_ASSET_CLASSIFICATION!$B$8:$B$24,MATCH($C3634,DATA_ASSET_CLASSIFICATION!$A$8:$A$24,0)),"Review"))</f>
        <v>Newton Green</v>
      </c>
      <c r="N3634" s="350" t="str">
        <f ca="1">IF($B3634="Portfolio","Portfolio",IFERROR(INDEX(DATA_ASSET_CLASSIFICATION!$U$8:$U$24,MATCH($C3634,DATA_ASSET_CLASSIFICATION!$A$8:$A$24,0)),"Review"))</f>
        <v>Refi Watch</v>
      </c>
      <c r="O3634" s="350" t="str">
        <f ca="1">IF($B3634="Portfolio","Portfolio",IFERROR(INDEX(DATA_ASSET_CLASSIFICATION!$AB$8:$AB$13,MATCH($N3634,DATA_ASSET_CLASSIFICATION!$AA$8:$AA$13,0)),"Review"))</f>
        <v>Bucket 2 · Legacy</v>
      </c>
      <c r="P3634" s="350" t="str">
        <f>IF($B3634="Portfolio","Portfolio",IFERROR(INDEX(DATA_ASSET_CLASSIFICATION!$C$8:$C$24,MATCH($C3634,DATA_ASSET_CLASSIFICATION!$A$8:$A$24,0)),"Review"))</f>
        <v>Yes</v>
      </c>
      <c r="Q3634" s="350" t="str">
        <f t="shared" ca="1" si="113"/>
        <v>OK</v>
      </c>
    </row>
    <row r="3635" spans="1:17">
      <c r="A3635" s="366" t="s">
        <v>5591</v>
      </c>
      <c r="B3635" s="366" t="s">
        <v>231</v>
      </c>
      <c r="C3635" s="348" t="str">
        <f>DATA_PROPERTY_MASTER!$A$16</f>
        <v>BLD_NG</v>
      </c>
      <c r="D3635" s="380">
        <f>'00_PORTFOLIO ROLLUP'!N$12</f>
        <v>2034</v>
      </c>
      <c r="E3635" s="366" t="s">
        <v>1721</v>
      </c>
      <c r="F3635" s="366" t="s">
        <v>31</v>
      </c>
      <c r="G3635" s="348" t="str">
        <f>"'"&amp;$C3635&amp;"'!$E$61:$Y$61"</f>
        <v>'BLD_NG'!$E$61:$Y$61</v>
      </c>
      <c r="H3635" s="381">
        <f ca="1">IF(IFERROR(INDEX(DATA_PROPERTY_MASTER!$E$5:$E$21,MATCH($C3635,DATA_PROPERTY_MASTER!$A$5:$A$21,0))="Yes",FALSE),IFERROR(INDEX(INDIRECT("'"&amp;$C3635&amp;"'!$E$61:$Y$61"),1,MATCH($D3635,INDIRECT("'"&amp;$C3635&amp;"'!$E$12:$Y$12"),0)),0),0)</f>
        <v>0</v>
      </c>
      <c r="I3635" s="366" t="s">
        <v>1690</v>
      </c>
      <c r="J3635" s="348" t="str">
        <f t="shared" ca="1" si="112"/>
        <v>OK</v>
      </c>
      <c r="K3635" s="366" t="s">
        <v>1723</v>
      </c>
      <c r="L3635" s="366" t="s">
        <v>2252</v>
      </c>
      <c r="M3635" s="350" t="str">
        <f>IF($B3635="Portfolio","Portfolio",IFERROR(INDEX(DATA_ASSET_CLASSIFICATION!$B$8:$B$24,MATCH($C3635,DATA_ASSET_CLASSIFICATION!$A$8:$A$24,0)),"Review"))</f>
        <v>Newton Green</v>
      </c>
      <c r="N3635" s="350" t="str">
        <f ca="1">IF($B3635="Portfolio","Portfolio",IFERROR(INDEX(DATA_ASSET_CLASSIFICATION!$U$8:$U$24,MATCH($C3635,DATA_ASSET_CLASSIFICATION!$A$8:$A$24,0)),"Review"))</f>
        <v>Refi Watch</v>
      </c>
      <c r="O3635" s="350" t="str">
        <f ca="1">IF($B3635="Portfolio","Portfolio",IFERROR(INDEX(DATA_ASSET_CLASSIFICATION!$AB$8:$AB$13,MATCH($N3635,DATA_ASSET_CLASSIFICATION!$AA$8:$AA$13,0)),"Review"))</f>
        <v>Bucket 2 · Legacy</v>
      </c>
      <c r="P3635" s="350" t="str">
        <f>IF($B3635="Portfolio","Portfolio",IFERROR(INDEX(DATA_ASSET_CLASSIFICATION!$C$8:$C$24,MATCH($C3635,DATA_ASSET_CLASSIFICATION!$A$8:$A$24,0)),"Review"))</f>
        <v>Yes</v>
      </c>
      <c r="Q3635" s="350" t="str">
        <f t="shared" ca="1" si="113"/>
        <v>OK</v>
      </c>
    </row>
    <row r="3636" spans="1:17">
      <c r="A3636" s="366" t="s">
        <v>5592</v>
      </c>
      <c r="B3636" s="366" t="s">
        <v>231</v>
      </c>
      <c r="C3636" s="348" t="str">
        <f>DATA_PROPERTY_MASTER!$A$16</f>
        <v>BLD_NG</v>
      </c>
      <c r="D3636" s="380">
        <f>'00_PORTFOLIO ROLLUP'!N$12</f>
        <v>2034</v>
      </c>
      <c r="E3636" s="366" t="s">
        <v>1721</v>
      </c>
      <c r="F3636" s="366" t="s">
        <v>33</v>
      </c>
      <c r="G3636" s="348" t="str">
        <f>"'"&amp;$C3636&amp;"'!$E$62:$Y$62"</f>
        <v>'BLD_NG'!$E$62:$Y$62</v>
      </c>
      <c r="H3636" s="381">
        <f ca="1">IF(IFERROR(INDEX(DATA_PROPERTY_MASTER!$E$5:$E$21,MATCH($C3636,DATA_PROPERTY_MASTER!$A$5:$A$21,0))="Yes",FALSE),IFERROR(INDEX(INDIRECT("'"&amp;$C3636&amp;"'!$E$62:$Y$62"),1,MATCH($D3636,INDIRECT("'"&amp;$C3636&amp;"'!$E$12:$Y$12"),0)),0),0)</f>
        <v>6075325.0837390581</v>
      </c>
      <c r="I3636" s="366" t="s">
        <v>1685</v>
      </c>
      <c r="J3636" s="348" t="str">
        <f t="shared" ca="1" si="112"/>
        <v>OK</v>
      </c>
      <c r="K3636" s="366" t="s">
        <v>1727</v>
      </c>
      <c r="L3636" s="366" t="s">
        <v>2254</v>
      </c>
      <c r="M3636" s="350" t="str">
        <f>IF($B3636="Portfolio","Portfolio",IFERROR(INDEX(DATA_ASSET_CLASSIFICATION!$B$8:$B$24,MATCH($C3636,DATA_ASSET_CLASSIFICATION!$A$8:$A$24,0)),"Review"))</f>
        <v>Newton Green</v>
      </c>
      <c r="N3636" s="350" t="str">
        <f ca="1">IF($B3636="Portfolio","Portfolio",IFERROR(INDEX(DATA_ASSET_CLASSIFICATION!$U$8:$U$24,MATCH($C3636,DATA_ASSET_CLASSIFICATION!$A$8:$A$24,0)),"Review"))</f>
        <v>Refi Watch</v>
      </c>
      <c r="O3636" s="350" t="str">
        <f ca="1">IF($B3636="Portfolio","Portfolio",IFERROR(INDEX(DATA_ASSET_CLASSIFICATION!$AB$8:$AB$13,MATCH($N3636,DATA_ASSET_CLASSIFICATION!$AA$8:$AA$13,0)),"Review"))</f>
        <v>Bucket 2 · Legacy</v>
      </c>
      <c r="P3636" s="350" t="str">
        <f>IF($B3636="Portfolio","Portfolio",IFERROR(INDEX(DATA_ASSET_CLASSIFICATION!$C$8:$C$24,MATCH($C3636,DATA_ASSET_CLASSIFICATION!$A$8:$A$24,0)),"Review"))</f>
        <v>Yes</v>
      </c>
      <c r="Q3636" s="350" t="str">
        <f t="shared" ca="1" si="113"/>
        <v>OK</v>
      </c>
    </row>
    <row r="3637" spans="1:17">
      <c r="A3637" s="366" t="s">
        <v>5593</v>
      </c>
      <c r="B3637" s="366" t="s">
        <v>231</v>
      </c>
      <c r="C3637" s="348" t="str">
        <f>DATA_PROPERTY_MASTER!$A$16</f>
        <v>BLD_NG</v>
      </c>
      <c r="D3637" s="380">
        <f>'00_PORTFOLIO ROLLUP'!N$12</f>
        <v>2034</v>
      </c>
      <c r="E3637" s="366" t="s">
        <v>1721</v>
      </c>
      <c r="F3637" s="366" t="s">
        <v>35</v>
      </c>
      <c r="G3637" s="348" t="str">
        <f>"'"&amp;$C3637&amp;"'!$E$63:$Y$63"</f>
        <v>'BLD_NG'!$E$63:$Y$63</v>
      </c>
      <c r="H3637" s="381">
        <f ca="1">IF(IFERROR(INDEX(DATA_PROPERTY_MASTER!$E$5:$E$21,MATCH($C3637,DATA_PROPERTY_MASTER!$A$5:$A$21,0))="Yes",FALSE),IFERROR(INDEX(INDIRECT("'"&amp;$C3637&amp;"'!$E$63:$Y$63"),1,MATCH($D3637,INDIRECT("'"&amp;$C3637&amp;"'!$E$12:$Y$12"),0)),0),0)</f>
        <v>6075325.0837390581</v>
      </c>
      <c r="I3637" s="366" t="s">
        <v>1731</v>
      </c>
      <c r="J3637" s="348" t="str">
        <f t="shared" ca="1" si="112"/>
        <v>OK</v>
      </c>
      <c r="K3637" s="366" t="s">
        <v>1732</v>
      </c>
      <c r="L3637" s="366" t="s">
        <v>2256</v>
      </c>
      <c r="M3637" s="350" t="str">
        <f>IF($B3637="Portfolio","Portfolio",IFERROR(INDEX(DATA_ASSET_CLASSIFICATION!$B$8:$B$24,MATCH($C3637,DATA_ASSET_CLASSIFICATION!$A$8:$A$24,0)),"Review"))</f>
        <v>Newton Green</v>
      </c>
      <c r="N3637" s="350" t="str">
        <f ca="1">IF($B3637="Portfolio","Portfolio",IFERROR(INDEX(DATA_ASSET_CLASSIFICATION!$U$8:$U$24,MATCH($C3637,DATA_ASSET_CLASSIFICATION!$A$8:$A$24,0)),"Review"))</f>
        <v>Refi Watch</v>
      </c>
      <c r="O3637" s="350" t="str">
        <f ca="1">IF($B3637="Portfolio","Portfolio",IFERROR(INDEX(DATA_ASSET_CLASSIFICATION!$AB$8:$AB$13,MATCH($N3637,DATA_ASSET_CLASSIFICATION!$AA$8:$AA$13,0)),"Review"))</f>
        <v>Bucket 2 · Legacy</v>
      </c>
      <c r="P3637" s="350" t="str">
        <f>IF($B3637="Portfolio","Portfolio",IFERROR(INDEX(DATA_ASSET_CLASSIFICATION!$C$8:$C$24,MATCH($C3637,DATA_ASSET_CLASSIFICATION!$A$8:$A$24,0)),"Review"))</f>
        <v>Yes</v>
      </c>
      <c r="Q3637" s="350" t="str">
        <f t="shared" ca="1" si="113"/>
        <v>OK</v>
      </c>
    </row>
    <row r="3638" spans="1:17">
      <c r="A3638" s="366" t="s">
        <v>5594</v>
      </c>
      <c r="B3638" s="366" t="s">
        <v>231</v>
      </c>
      <c r="C3638" s="348" t="str">
        <f>DATA_PROPERTY_MASTER!$A$16</f>
        <v>BLD_NG</v>
      </c>
      <c r="D3638" s="380">
        <f>'00_PORTFOLIO ROLLUP'!N$12</f>
        <v>2034</v>
      </c>
      <c r="E3638" s="366" t="s">
        <v>1721</v>
      </c>
      <c r="F3638" s="366" t="s">
        <v>37</v>
      </c>
      <c r="G3638" s="348" t="str">
        <f>"'"&amp;$C3638&amp;"'!$E$63:$Y$63"</f>
        <v>'BLD_NG'!$E$63:$Y$63</v>
      </c>
      <c r="H3638" s="381">
        <f ca="1">IF(IFERROR(INDEX(DATA_PROPERTY_MASTER!$E$5:$E$21,MATCH($C3638,DATA_PROPERTY_MASTER!$A$5:$A$21,0))="Yes",FALSE),MAX(IFERROR(INDEX(INDIRECT("'"&amp;$C3638&amp;"'!$E$63:$Y$63"),1,MATCH($D3638,INDIRECT("'"&amp;$C3638&amp;"'!$E$12:$Y$12"),0)),0),0),0)</f>
        <v>6075325.0837390581</v>
      </c>
      <c r="I3638" s="366" t="s">
        <v>1685</v>
      </c>
      <c r="J3638" s="348" t="str">
        <f t="shared" ca="1" si="112"/>
        <v>OK</v>
      </c>
      <c r="K3638" s="366" t="s">
        <v>1735</v>
      </c>
      <c r="L3638" s="366" t="s">
        <v>2258</v>
      </c>
      <c r="M3638" s="350" t="str">
        <f>IF($B3638="Portfolio","Portfolio",IFERROR(INDEX(DATA_ASSET_CLASSIFICATION!$B$8:$B$24,MATCH($C3638,DATA_ASSET_CLASSIFICATION!$A$8:$A$24,0)),"Review"))</f>
        <v>Newton Green</v>
      </c>
      <c r="N3638" s="350" t="str">
        <f ca="1">IF($B3638="Portfolio","Portfolio",IFERROR(INDEX(DATA_ASSET_CLASSIFICATION!$U$8:$U$24,MATCH($C3638,DATA_ASSET_CLASSIFICATION!$A$8:$A$24,0)),"Review"))</f>
        <v>Refi Watch</v>
      </c>
      <c r="O3638" s="350" t="str">
        <f ca="1">IF($B3638="Portfolio","Portfolio",IFERROR(INDEX(DATA_ASSET_CLASSIFICATION!$AB$8:$AB$13,MATCH($N3638,DATA_ASSET_CLASSIFICATION!$AA$8:$AA$13,0)),"Review"))</f>
        <v>Bucket 2 · Legacy</v>
      </c>
      <c r="P3638" s="350" t="str">
        <f>IF($B3638="Portfolio","Portfolio",IFERROR(INDEX(DATA_ASSET_CLASSIFICATION!$C$8:$C$24,MATCH($C3638,DATA_ASSET_CLASSIFICATION!$A$8:$A$24,0)),"Review"))</f>
        <v>Yes</v>
      </c>
      <c r="Q3638" s="350" t="str">
        <f t="shared" ca="1" si="113"/>
        <v>OK</v>
      </c>
    </row>
    <row r="3639" spans="1:17">
      <c r="A3639" s="366" t="s">
        <v>5595</v>
      </c>
      <c r="B3639" s="366" t="s">
        <v>231</v>
      </c>
      <c r="C3639" s="348" t="str">
        <f>DATA_PROPERTY_MASTER!$A$16</f>
        <v>BLD_NG</v>
      </c>
      <c r="D3639" s="380">
        <f>'00_PORTFOLIO ROLLUP'!N$12</f>
        <v>2034</v>
      </c>
      <c r="E3639" s="366" t="s">
        <v>1721</v>
      </c>
      <c r="F3639" s="366" t="s">
        <v>39</v>
      </c>
      <c r="G3639" s="348" t="str">
        <f>"'"&amp;$C3639&amp;"'!$E$63:$Y$63"</f>
        <v>'BLD_NG'!$E$63:$Y$63</v>
      </c>
      <c r="H3639" s="381">
        <f ca="1">IF(IFERROR(INDEX(DATA_PROPERTY_MASTER!$E$5:$E$21,MATCH($C3639,DATA_PROPERTY_MASTER!$A$5:$A$21,0))="Yes",FALSE),MAX(-IFERROR(INDEX(INDIRECT("'"&amp;$C3639&amp;"'!$E$63:$Y$63"),1,MATCH($D3639,INDIRECT("'"&amp;$C3639&amp;"'!$E$12:$Y$12"),0)),0),0),0)</f>
        <v>0</v>
      </c>
      <c r="I3639" s="366" t="s">
        <v>1690</v>
      </c>
      <c r="J3639" s="348" t="str">
        <f t="shared" ca="1" si="112"/>
        <v>OK</v>
      </c>
      <c r="K3639" s="366" t="s">
        <v>1738</v>
      </c>
      <c r="L3639" s="366" t="s">
        <v>2260</v>
      </c>
      <c r="M3639" s="350" t="str">
        <f>IF($B3639="Portfolio","Portfolio",IFERROR(INDEX(DATA_ASSET_CLASSIFICATION!$B$8:$B$24,MATCH($C3639,DATA_ASSET_CLASSIFICATION!$A$8:$A$24,0)),"Review"))</f>
        <v>Newton Green</v>
      </c>
      <c r="N3639" s="350" t="str">
        <f ca="1">IF($B3639="Portfolio","Portfolio",IFERROR(INDEX(DATA_ASSET_CLASSIFICATION!$U$8:$U$24,MATCH($C3639,DATA_ASSET_CLASSIFICATION!$A$8:$A$24,0)),"Review"))</f>
        <v>Refi Watch</v>
      </c>
      <c r="O3639" s="350" t="str">
        <f ca="1">IF($B3639="Portfolio","Portfolio",IFERROR(INDEX(DATA_ASSET_CLASSIFICATION!$AB$8:$AB$13,MATCH($N3639,DATA_ASSET_CLASSIFICATION!$AA$8:$AA$13,0)),"Review"))</f>
        <v>Bucket 2 · Legacy</v>
      </c>
      <c r="P3639" s="350" t="str">
        <f>IF($B3639="Portfolio","Portfolio",IFERROR(INDEX(DATA_ASSET_CLASSIFICATION!$C$8:$C$24,MATCH($C3639,DATA_ASSET_CLASSIFICATION!$A$8:$A$24,0)),"Review"))</f>
        <v>Yes</v>
      </c>
      <c r="Q3639" s="350" t="str">
        <f t="shared" ca="1" si="113"/>
        <v>OK</v>
      </c>
    </row>
    <row r="3640" spans="1:17">
      <c r="A3640" s="366" t="s">
        <v>5596</v>
      </c>
      <c r="B3640" s="366" t="s">
        <v>231</v>
      </c>
      <c r="C3640" s="348" t="str">
        <f>DATA_PROPERTY_MASTER!$A$16</f>
        <v>BLD_NG</v>
      </c>
      <c r="D3640" s="380">
        <f>'00_PORTFOLIO ROLLUP'!N$12</f>
        <v>2034</v>
      </c>
      <c r="E3640" s="366" t="s">
        <v>1741</v>
      </c>
      <c r="F3640" s="366" t="s">
        <v>41</v>
      </c>
      <c r="G3640" s="348" t="str">
        <f>"'"&amp;$C3640&amp;"'!rows 56 + positive row 63"</f>
        <v>'BLD_NG'!rows 56 + positive row 63</v>
      </c>
      <c r="H3640" s="381">
        <f ca="1">IF(IFERROR(INDEX(DATA_PROPERTY_MASTER!$E$5:$E$21,MATCH($C3640,DATA_PROPERTY_MASTER!$A$5:$A$21,0))="Yes",FALSE),IFERROR(INDEX(INDIRECT("'"&amp;$C3640&amp;"'!$E$56:$Y$56"),1,MATCH($D3640,INDIRECT("'"&amp;$C3640&amp;"'!$E$12:$Y$12"),0)),0)+MAX(IFERROR(INDEX(INDIRECT("'"&amp;$C3640&amp;"'!$E$63:$Y$63"),1,MATCH($D3640,INDIRECT("'"&amp;$C3640&amp;"'!$E$12:$Y$12"),0)),0),0),0)</f>
        <v>6142280.0865206523</v>
      </c>
      <c r="I3640" s="366" t="s">
        <v>1685</v>
      </c>
      <c r="J3640" s="348" t="str">
        <f t="shared" ca="1" si="112"/>
        <v>OK</v>
      </c>
      <c r="K3640" s="366" t="s">
        <v>1742</v>
      </c>
      <c r="L3640" s="366" t="s">
        <v>2262</v>
      </c>
      <c r="M3640" s="350" t="str">
        <f>IF($B3640="Portfolio","Portfolio",IFERROR(INDEX(DATA_ASSET_CLASSIFICATION!$B$8:$B$24,MATCH($C3640,DATA_ASSET_CLASSIFICATION!$A$8:$A$24,0)),"Review"))</f>
        <v>Newton Green</v>
      </c>
      <c r="N3640" s="350" t="str">
        <f ca="1">IF($B3640="Portfolio","Portfolio",IFERROR(INDEX(DATA_ASSET_CLASSIFICATION!$U$8:$U$24,MATCH($C3640,DATA_ASSET_CLASSIFICATION!$A$8:$A$24,0)),"Review"))</f>
        <v>Refi Watch</v>
      </c>
      <c r="O3640" s="350" t="str">
        <f ca="1">IF($B3640="Portfolio","Portfolio",IFERROR(INDEX(DATA_ASSET_CLASSIFICATION!$AB$8:$AB$13,MATCH($N3640,DATA_ASSET_CLASSIFICATION!$AA$8:$AA$13,0)),"Review"))</f>
        <v>Bucket 2 · Legacy</v>
      </c>
      <c r="P3640" s="350" t="str">
        <f>IF($B3640="Portfolio","Portfolio",IFERROR(INDEX(DATA_ASSET_CLASSIFICATION!$C$8:$C$24,MATCH($C3640,DATA_ASSET_CLASSIFICATION!$A$8:$A$24,0)),"Review"))</f>
        <v>Yes</v>
      </c>
      <c r="Q3640" s="350" t="str">
        <f t="shared" ca="1" si="113"/>
        <v>OK</v>
      </c>
    </row>
    <row r="3641" spans="1:17">
      <c r="A3641" s="366" t="s">
        <v>5597</v>
      </c>
      <c r="B3641" s="366" t="s">
        <v>231</v>
      </c>
      <c r="C3641" s="348" t="str">
        <f>DATA_PROPERTY_MASTER!$A$16</f>
        <v>BLD_NG</v>
      </c>
      <c r="D3641" s="380">
        <f>'00_PORTFOLIO ROLLUP'!N$12</f>
        <v>2034</v>
      </c>
      <c r="E3641" s="366" t="s">
        <v>1741</v>
      </c>
      <c r="F3641" s="366" t="s">
        <v>43</v>
      </c>
      <c r="G3641" s="348" t="str">
        <f>"'"&amp;$C3641&amp;"'!$E$68:$Y$68"</f>
        <v>'BLD_NG'!$E$68:$Y$68</v>
      </c>
      <c r="H3641" s="381">
        <f ca="1">IF(IFERROR(INDEX(DATA_PROPERTY_MASTER!$E$5:$E$21,MATCH($C3641,DATA_PROPERTY_MASTER!$A$5:$A$21,0))="Yes",FALSE),IFERROR(INDEX(INDIRECT("'"&amp;$C3641&amp;"'!$E$68:$Y$68"),1,MATCH($D3641,INDIRECT("'"&amp;$C3641&amp;"'!$E$12:$Y$12"),0)),0),0)</f>
        <v>6142280.0865206523</v>
      </c>
      <c r="I3641" s="366" t="s">
        <v>1731</v>
      </c>
      <c r="J3641" s="348" t="str">
        <f t="shared" ca="1" si="112"/>
        <v>OK</v>
      </c>
      <c r="K3641" s="366" t="s">
        <v>1746</v>
      </c>
      <c r="L3641" s="366" t="s">
        <v>2264</v>
      </c>
      <c r="M3641" s="350" t="str">
        <f>IF($B3641="Portfolio","Portfolio",IFERROR(INDEX(DATA_ASSET_CLASSIFICATION!$B$8:$B$24,MATCH($C3641,DATA_ASSET_CLASSIFICATION!$A$8:$A$24,0)),"Review"))</f>
        <v>Newton Green</v>
      </c>
      <c r="N3641" s="350" t="str">
        <f ca="1">IF($B3641="Portfolio","Portfolio",IFERROR(INDEX(DATA_ASSET_CLASSIFICATION!$U$8:$U$24,MATCH($C3641,DATA_ASSET_CLASSIFICATION!$A$8:$A$24,0)),"Review"))</f>
        <v>Refi Watch</v>
      </c>
      <c r="O3641" s="350" t="str">
        <f ca="1">IF($B3641="Portfolio","Portfolio",IFERROR(INDEX(DATA_ASSET_CLASSIFICATION!$AB$8:$AB$13,MATCH($N3641,DATA_ASSET_CLASSIFICATION!$AA$8:$AA$13,0)),"Review"))</f>
        <v>Bucket 2 · Legacy</v>
      </c>
      <c r="P3641" s="350" t="str">
        <f>IF($B3641="Portfolio","Portfolio",IFERROR(INDEX(DATA_ASSET_CLASSIFICATION!$C$8:$C$24,MATCH($C3641,DATA_ASSET_CLASSIFICATION!$A$8:$A$24,0)),"Review"))</f>
        <v>Yes</v>
      </c>
      <c r="Q3641" s="350" t="str">
        <f t="shared" ca="1" si="113"/>
        <v>OK</v>
      </c>
    </row>
    <row r="3642" spans="1:17">
      <c r="A3642" s="366" t="s">
        <v>5598</v>
      </c>
      <c r="B3642" s="366" t="s">
        <v>231</v>
      </c>
      <c r="C3642" s="348" t="str">
        <f>DATA_PROPERTY_MASTER!$A$16</f>
        <v>BLD_NG</v>
      </c>
      <c r="D3642" s="380">
        <f>'00_PORTFOLIO ROLLUP'!N$12</f>
        <v>2034</v>
      </c>
      <c r="E3642" s="366" t="s">
        <v>1741</v>
      </c>
      <c r="F3642" s="366" t="s">
        <v>1749</v>
      </c>
      <c r="G3642" s="348" t="str">
        <f>"'"&amp;$C3642&amp;"'!rows 56, 63, 68"</f>
        <v>'BLD_NG'!rows 56, 63, 68</v>
      </c>
      <c r="H3642" s="381">
        <f ca="1">IF(IFERROR(INDEX(DATA_PROPERTY_MASTER!$E$5:$E$21,MATCH($C3642,DATA_PROPERTY_MASTER!$A$5:$A$21,0))="Yes",FALSE),(IFERROR(INDEX(INDIRECT("'"&amp;$C3642&amp;"'!$E$56:$Y$56"),1,MATCH($D3642,INDIRECT("'"&amp;$C3642&amp;"'!$E$12:$Y$12"),0)),0)+MAX(IFERROR(INDEX(INDIRECT("'"&amp;$C3642&amp;"'!$E$63:$Y$63"),1,MATCH($D3642,INDIRECT("'"&amp;$C3642&amp;"'!$E$12:$Y$12"),0)),0),0))-(IFERROR(INDEX(INDIRECT("'"&amp;$C3642&amp;"'!$E$68:$Y$68"),1,MATCH($D3642,INDIRECT("'"&amp;$C3642&amp;"'!$E$12:$Y$12"),0)),0)),0)</f>
        <v>0</v>
      </c>
      <c r="I3642" s="366" t="s">
        <v>1750</v>
      </c>
      <c r="J3642" s="348" t="str">
        <f t="shared" ca="1" si="112"/>
        <v>OK</v>
      </c>
      <c r="K3642" s="366" t="s">
        <v>1751</v>
      </c>
      <c r="L3642" s="366" t="s">
        <v>2266</v>
      </c>
      <c r="M3642" s="350" t="str">
        <f>IF($B3642="Portfolio","Portfolio",IFERROR(INDEX(DATA_ASSET_CLASSIFICATION!$B$8:$B$24,MATCH($C3642,DATA_ASSET_CLASSIFICATION!$A$8:$A$24,0)),"Review"))</f>
        <v>Newton Green</v>
      </c>
      <c r="N3642" s="350" t="str">
        <f ca="1">IF($B3642="Portfolio","Portfolio",IFERROR(INDEX(DATA_ASSET_CLASSIFICATION!$U$8:$U$24,MATCH($C3642,DATA_ASSET_CLASSIFICATION!$A$8:$A$24,0)),"Review"))</f>
        <v>Refi Watch</v>
      </c>
      <c r="O3642" s="350" t="str">
        <f ca="1">IF($B3642="Portfolio","Portfolio",IFERROR(INDEX(DATA_ASSET_CLASSIFICATION!$AB$8:$AB$13,MATCH($N3642,DATA_ASSET_CLASSIFICATION!$AA$8:$AA$13,0)),"Review"))</f>
        <v>Bucket 2 · Legacy</v>
      </c>
      <c r="P3642" s="350" t="str">
        <f>IF($B3642="Portfolio","Portfolio",IFERROR(INDEX(DATA_ASSET_CLASSIFICATION!$C$8:$C$24,MATCH($C3642,DATA_ASSET_CLASSIFICATION!$A$8:$A$24,0)),"Review"))</f>
        <v>Yes</v>
      </c>
      <c r="Q3642" s="350" t="str">
        <f t="shared" ca="1" si="113"/>
        <v>OK</v>
      </c>
    </row>
    <row r="3643" spans="1:17">
      <c r="A3643" s="366" t="s">
        <v>5599</v>
      </c>
      <c r="B3643" s="366" t="s">
        <v>231</v>
      </c>
      <c r="C3643" s="348" t="str">
        <f>DATA_PROPERTY_MASTER!$A$16</f>
        <v>BLD_NG</v>
      </c>
      <c r="D3643" s="380">
        <f>'00_PORTFOLIO ROLLUP'!O$12</f>
        <v>2035</v>
      </c>
      <c r="E3643" s="366" t="s">
        <v>1683</v>
      </c>
      <c r="F3643" s="366" t="s">
        <v>341</v>
      </c>
      <c r="G3643" s="348" t="str">
        <f>"'"&amp;$C3643&amp;"'!$E$24:$Y$24"</f>
        <v>'BLD_NG'!$E$24:$Y$24</v>
      </c>
      <c r="H3643" s="381">
        <f ca="1">IF(IFERROR(INDEX(DATA_PROPERTY_MASTER!$E$5:$E$21,MATCH($C3643,DATA_PROPERTY_MASTER!$A$5:$A$21,0))="Yes",FALSE),IFERROR(INDEX(INDIRECT("'"&amp;$C3643&amp;"'!$E$24:$Y$24"),1,MATCH($D3643,INDIRECT("'"&amp;$C3643&amp;"'!$E$12:$Y$12"),0)),0),0)</f>
        <v>947004.14947922551</v>
      </c>
      <c r="I3643" s="366" t="s">
        <v>1685</v>
      </c>
      <c r="J3643" s="348" t="str">
        <f t="shared" ca="1" si="112"/>
        <v>OK</v>
      </c>
      <c r="K3643" s="366" t="s">
        <v>1686</v>
      </c>
      <c r="L3643" s="366" t="s">
        <v>2234</v>
      </c>
      <c r="M3643" s="350" t="str">
        <f>IF($B3643="Portfolio","Portfolio",IFERROR(INDEX(DATA_ASSET_CLASSIFICATION!$B$8:$B$24,MATCH($C3643,DATA_ASSET_CLASSIFICATION!$A$8:$A$24,0)),"Review"))</f>
        <v>Newton Green</v>
      </c>
      <c r="N3643" s="350" t="str">
        <f ca="1">IF($B3643="Portfolio","Portfolio",IFERROR(INDEX(DATA_ASSET_CLASSIFICATION!$U$8:$U$24,MATCH($C3643,DATA_ASSET_CLASSIFICATION!$A$8:$A$24,0)),"Review"))</f>
        <v>Refi Watch</v>
      </c>
      <c r="O3643" s="350" t="str">
        <f ca="1">IF($B3643="Portfolio","Portfolio",IFERROR(INDEX(DATA_ASSET_CLASSIFICATION!$AB$8:$AB$13,MATCH($N3643,DATA_ASSET_CLASSIFICATION!$AA$8:$AA$13,0)),"Review"))</f>
        <v>Bucket 2 · Legacy</v>
      </c>
      <c r="P3643" s="350" t="str">
        <f>IF($B3643="Portfolio","Portfolio",IFERROR(INDEX(DATA_ASSET_CLASSIFICATION!$C$8:$C$24,MATCH($C3643,DATA_ASSET_CLASSIFICATION!$A$8:$A$24,0)),"Review"))</f>
        <v>Yes</v>
      </c>
      <c r="Q3643" s="350" t="str">
        <f t="shared" ca="1" si="113"/>
        <v>OK</v>
      </c>
    </row>
    <row r="3644" spans="1:17">
      <c r="A3644" s="366" t="s">
        <v>5600</v>
      </c>
      <c r="B3644" s="366" t="s">
        <v>231</v>
      </c>
      <c r="C3644" s="348" t="str">
        <f>DATA_PROPERTY_MASTER!$A$16</f>
        <v>BLD_NG</v>
      </c>
      <c r="D3644" s="380">
        <f>'00_PORTFOLIO ROLLUP'!O$12</f>
        <v>2035</v>
      </c>
      <c r="E3644" s="366" t="s">
        <v>1683</v>
      </c>
      <c r="F3644" s="366" t="s">
        <v>355</v>
      </c>
      <c r="G3644" s="348" t="str">
        <f>"'"&amp;$C3644&amp;"'!$E$39:$Y$39"</f>
        <v>'BLD_NG'!$E$39:$Y$39</v>
      </c>
      <c r="H3644" s="381">
        <f ca="1">IF(IFERROR(INDEX(DATA_PROPERTY_MASTER!$E$5:$E$21,MATCH($C3644,DATA_PROPERTY_MASTER!$A$5:$A$21,0))="Yes",FALSE),IFERROR(INDEX(INDIRECT("'"&amp;$C3644&amp;"'!$E$39:$Y$39"),1,MATCH($D3644,INDIRECT("'"&amp;$C3644&amp;"'!$E$12:$Y$12"),0)),0),0)</f>
        <v>453469.66981595219</v>
      </c>
      <c r="I3644" s="366" t="s">
        <v>1690</v>
      </c>
      <c r="J3644" s="348" t="str">
        <f t="shared" ca="1" si="112"/>
        <v>OK</v>
      </c>
      <c r="K3644" s="366" t="s">
        <v>1686</v>
      </c>
      <c r="L3644" s="366" t="s">
        <v>2236</v>
      </c>
      <c r="M3644" s="350" t="str">
        <f>IF($B3644="Portfolio","Portfolio",IFERROR(INDEX(DATA_ASSET_CLASSIFICATION!$B$8:$B$24,MATCH($C3644,DATA_ASSET_CLASSIFICATION!$A$8:$A$24,0)),"Review"))</f>
        <v>Newton Green</v>
      </c>
      <c r="N3644" s="350" t="str">
        <f ca="1">IF($B3644="Portfolio","Portfolio",IFERROR(INDEX(DATA_ASSET_CLASSIFICATION!$U$8:$U$24,MATCH($C3644,DATA_ASSET_CLASSIFICATION!$A$8:$A$24,0)),"Review"))</f>
        <v>Refi Watch</v>
      </c>
      <c r="O3644" s="350" t="str">
        <f ca="1">IF($B3644="Portfolio","Portfolio",IFERROR(INDEX(DATA_ASSET_CLASSIFICATION!$AB$8:$AB$13,MATCH($N3644,DATA_ASSET_CLASSIFICATION!$AA$8:$AA$13,0)),"Review"))</f>
        <v>Bucket 2 · Legacy</v>
      </c>
      <c r="P3644" s="350" t="str">
        <f>IF($B3644="Portfolio","Portfolio",IFERROR(INDEX(DATA_ASSET_CLASSIFICATION!$C$8:$C$24,MATCH($C3644,DATA_ASSET_CLASSIFICATION!$A$8:$A$24,0)),"Review"))</f>
        <v>Yes</v>
      </c>
      <c r="Q3644" s="350" t="str">
        <f t="shared" ca="1" si="113"/>
        <v>OK</v>
      </c>
    </row>
    <row r="3645" spans="1:17">
      <c r="A3645" s="366" t="s">
        <v>5601</v>
      </c>
      <c r="B3645" s="366" t="s">
        <v>231</v>
      </c>
      <c r="C3645" s="348" t="str">
        <f>DATA_PROPERTY_MASTER!$A$16</f>
        <v>BLD_NG</v>
      </c>
      <c r="D3645" s="380">
        <f>'00_PORTFOLIO ROLLUP'!O$12</f>
        <v>2035</v>
      </c>
      <c r="E3645" s="366" t="s">
        <v>1683</v>
      </c>
      <c r="F3645" s="366" t="s">
        <v>19</v>
      </c>
      <c r="G3645" s="348" t="str">
        <f>"'"&amp;$C3645&amp;"'!$E$41:$Y$41"</f>
        <v>'BLD_NG'!$E$41:$Y$41</v>
      </c>
      <c r="H3645" s="381">
        <f ca="1">IF(IFERROR(INDEX(DATA_PROPERTY_MASTER!$E$5:$E$21,MATCH($C3645,DATA_PROPERTY_MASTER!$A$5:$A$21,0))="Yes",FALSE),IFERROR(INDEX(INDIRECT("'"&amp;$C3645&amp;"'!$E$41:$Y$41"),1,MATCH($D3645,INDIRECT("'"&amp;$C3645&amp;"'!$E$12:$Y$12"),0)),0),0)</f>
        <v>493534.47966327332</v>
      </c>
      <c r="I3645" s="366" t="s">
        <v>1685</v>
      </c>
      <c r="J3645" s="348" t="str">
        <f t="shared" ca="1" si="112"/>
        <v>OK</v>
      </c>
      <c r="K3645" s="366" t="s">
        <v>1694</v>
      </c>
      <c r="L3645" s="366" t="s">
        <v>2238</v>
      </c>
      <c r="M3645" s="350" t="str">
        <f>IF($B3645="Portfolio","Portfolio",IFERROR(INDEX(DATA_ASSET_CLASSIFICATION!$B$8:$B$24,MATCH($C3645,DATA_ASSET_CLASSIFICATION!$A$8:$A$24,0)),"Review"))</f>
        <v>Newton Green</v>
      </c>
      <c r="N3645" s="350" t="str">
        <f ca="1">IF($B3645="Portfolio","Portfolio",IFERROR(INDEX(DATA_ASSET_CLASSIFICATION!$U$8:$U$24,MATCH($C3645,DATA_ASSET_CLASSIFICATION!$A$8:$A$24,0)),"Review"))</f>
        <v>Refi Watch</v>
      </c>
      <c r="O3645" s="350" t="str">
        <f ca="1">IF($B3645="Portfolio","Portfolio",IFERROR(INDEX(DATA_ASSET_CLASSIFICATION!$AB$8:$AB$13,MATCH($N3645,DATA_ASSET_CLASSIFICATION!$AA$8:$AA$13,0)),"Review"))</f>
        <v>Bucket 2 · Legacy</v>
      </c>
      <c r="P3645" s="350" t="str">
        <f>IF($B3645="Portfolio","Portfolio",IFERROR(INDEX(DATA_ASSET_CLASSIFICATION!$C$8:$C$24,MATCH($C3645,DATA_ASSET_CLASSIFICATION!$A$8:$A$24,0)),"Review"))</f>
        <v>Yes</v>
      </c>
      <c r="Q3645" s="350" t="str">
        <f t="shared" ca="1" si="113"/>
        <v>OK</v>
      </c>
    </row>
    <row r="3646" spans="1:17">
      <c r="A3646" s="366" t="s">
        <v>5602</v>
      </c>
      <c r="B3646" s="366" t="s">
        <v>231</v>
      </c>
      <c r="C3646" s="348" t="str">
        <f>DATA_PROPERTY_MASTER!$A$16</f>
        <v>BLD_NG</v>
      </c>
      <c r="D3646" s="380">
        <f>'00_PORTFOLIO ROLLUP'!O$12</f>
        <v>2035</v>
      </c>
      <c r="E3646" s="366" t="s">
        <v>1683</v>
      </c>
      <c r="F3646" s="366" t="s">
        <v>1697</v>
      </c>
      <c r="G3646" s="348" t="str">
        <f>"'"&amp;$C3646&amp;"'!$E$44:$Y$44"</f>
        <v>'BLD_NG'!$E$44:$Y$44</v>
      </c>
      <c r="H3646" s="381">
        <f ca="1">IF(IFERROR(INDEX(DATA_PROPERTY_MASTER!$E$5:$E$21,MATCH($C3646,DATA_PROPERTY_MASTER!$A$5:$A$21,0))="Yes",FALSE),IFERROR(INDEX(INDIRECT("'"&amp;$C3646&amp;"'!$E$44:$Y$44"),1,MATCH($D3646,INDIRECT("'"&amp;$C3646&amp;"'!$E$12:$Y$12"),0)),0),0)</f>
        <v>8959.6089869614643</v>
      </c>
      <c r="I3646" s="366" t="s">
        <v>1690</v>
      </c>
      <c r="J3646" s="348" t="str">
        <f t="shared" ca="1" si="112"/>
        <v>OK</v>
      </c>
      <c r="K3646" s="366" t="s">
        <v>1699</v>
      </c>
      <c r="L3646" s="366" t="s">
        <v>2240</v>
      </c>
      <c r="M3646" s="350" t="str">
        <f>IF($B3646="Portfolio","Portfolio",IFERROR(INDEX(DATA_ASSET_CLASSIFICATION!$B$8:$B$24,MATCH($C3646,DATA_ASSET_CLASSIFICATION!$A$8:$A$24,0)),"Review"))</f>
        <v>Newton Green</v>
      </c>
      <c r="N3646" s="350" t="str">
        <f ca="1">IF($B3646="Portfolio","Portfolio",IFERROR(INDEX(DATA_ASSET_CLASSIFICATION!$U$8:$U$24,MATCH($C3646,DATA_ASSET_CLASSIFICATION!$A$8:$A$24,0)),"Review"))</f>
        <v>Refi Watch</v>
      </c>
      <c r="O3646" s="350" t="str">
        <f ca="1">IF($B3646="Portfolio","Portfolio",IFERROR(INDEX(DATA_ASSET_CLASSIFICATION!$AB$8:$AB$13,MATCH($N3646,DATA_ASSET_CLASSIFICATION!$AA$8:$AA$13,0)),"Review"))</f>
        <v>Bucket 2 · Legacy</v>
      </c>
      <c r="P3646" s="350" t="str">
        <f>IF($B3646="Portfolio","Portfolio",IFERROR(INDEX(DATA_ASSET_CLASSIFICATION!$C$8:$C$24,MATCH($C3646,DATA_ASSET_CLASSIFICATION!$A$8:$A$24,0)),"Review"))</f>
        <v>Yes</v>
      </c>
      <c r="Q3646" s="350" t="str">
        <f t="shared" ca="1" si="113"/>
        <v>OK</v>
      </c>
    </row>
    <row r="3647" spans="1:17">
      <c r="A3647" s="366" t="s">
        <v>5603</v>
      </c>
      <c r="B3647" s="366" t="s">
        <v>231</v>
      </c>
      <c r="C3647" s="348" t="str">
        <f>DATA_PROPERTY_MASTER!$A$16</f>
        <v>BLD_NG</v>
      </c>
      <c r="D3647" s="380">
        <f>'00_PORTFOLIO ROLLUP'!O$12</f>
        <v>2035</v>
      </c>
      <c r="E3647" s="366" t="s">
        <v>1683</v>
      </c>
      <c r="F3647" s="366" t="s">
        <v>21</v>
      </c>
      <c r="G3647" s="348" t="str">
        <f>"'"&amp;$C3647&amp;"'!$E$45:$Y$45"</f>
        <v>'BLD_NG'!$E$45:$Y$45</v>
      </c>
      <c r="H3647" s="381">
        <f ca="1">IF(IFERROR(INDEX(DATA_PROPERTY_MASTER!$E$5:$E$21,MATCH($C3647,DATA_PROPERTY_MASTER!$A$5:$A$21,0))="Yes",FALSE),IFERROR(INDEX(INDIRECT("'"&amp;$C3647&amp;"'!$E$45:$Y$45"),1,MATCH($D3647,INDIRECT("'"&amp;$C3647&amp;"'!$E$12:$Y$12"),0)),0),0)</f>
        <v>484574.87067631184</v>
      </c>
      <c r="I3647" s="366" t="s">
        <v>1685</v>
      </c>
      <c r="J3647" s="348" t="str">
        <f t="shared" ca="1" si="112"/>
        <v>OK</v>
      </c>
      <c r="K3647" s="366" t="s">
        <v>1694</v>
      </c>
      <c r="L3647" s="366" t="s">
        <v>2242</v>
      </c>
      <c r="M3647" s="350" t="str">
        <f>IF($B3647="Portfolio","Portfolio",IFERROR(INDEX(DATA_ASSET_CLASSIFICATION!$B$8:$B$24,MATCH($C3647,DATA_ASSET_CLASSIFICATION!$A$8:$A$24,0)),"Review"))</f>
        <v>Newton Green</v>
      </c>
      <c r="N3647" s="350" t="str">
        <f ca="1">IF($B3647="Portfolio","Portfolio",IFERROR(INDEX(DATA_ASSET_CLASSIFICATION!$U$8:$U$24,MATCH($C3647,DATA_ASSET_CLASSIFICATION!$A$8:$A$24,0)),"Review"))</f>
        <v>Refi Watch</v>
      </c>
      <c r="O3647" s="350" t="str">
        <f ca="1">IF($B3647="Portfolio","Portfolio",IFERROR(INDEX(DATA_ASSET_CLASSIFICATION!$AB$8:$AB$13,MATCH($N3647,DATA_ASSET_CLASSIFICATION!$AA$8:$AA$13,0)),"Review"))</f>
        <v>Bucket 2 · Legacy</v>
      </c>
      <c r="P3647" s="350" t="str">
        <f>IF($B3647="Portfolio","Portfolio",IFERROR(INDEX(DATA_ASSET_CLASSIFICATION!$C$8:$C$24,MATCH($C3647,DATA_ASSET_CLASSIFICATION!$A$8:$A$24,0)),"Review"))</f>
        <v>Yes</v>
      </c>
      <c r="Q3647" s="350" t="str">
        <f t="shared" ca="1" si="113"/>
        <v>OK</v>
      </c>
    </row>
    <row r="3648" spans="1:17">
      <c r="A3648" s="366" t="s">
        <v>5604</v>
      </c>
      <c r="B3648" s="366" t="s">
        <v>231</v>
      </c>
      <c r="C3648" s="348" t="str">
        <f>DATA_PROPERTY_MASTER!$A$16</f>
        <v>BLD_NG</v>
      </c>
      <c r="D3648" s="380">
        <f>'00_PORTFOLIO ROLLUP'!O$12</f>
        <v>2035</v>
      </c>
      <c r="E3648" s="366" t="s">
        <v>23</v>
      </c>
      <c r="F3648" s="366" t="s">
        <v>23</v>
      </c>
      <c r="G3648" s="348" t="str">
        <f>"'"&amp;$C3648&amp;"'!$E$48:$Y$48"</f>
        <v>'BLD_NG'!$E$48:$Y$48</v>
      </c>
      <c r="H3648" s="381">
        <f ca="1">IF(IFERROR(INDEX(DATA_PROPERTY_MASTER!$E$5:$E$21,MATCH($C3648,DATA_PROPERTY_MASTER!$A$5:$A$21,0))="Yes",FALSE),IFERROR(INDEX(INDIRECT("'"&amp;$C3648&amp;"'!$E$48:$Y$48"),1,MATCH($D3648,INDIRECT("'"&amp;$C3648&amp;"'!$E$12:$Y$12"),0)),0),0)</f>
        <v>322800.05887749186</v>
      </c>
      <c r="I3648" s="366" t="s">
        <v>1690</v>
      </c>
      <c r="J3648" s="348" t="str">
        <f t="shared" ca="1" si="112"/>
        <v>OK</v>
      </c>
      <c r="K3648" s="366" t="s">
        <v>1706</v>
      </c>
      <c r="L3648" s="366" t="s">
        <v>2244</v>
      </c>
      <c r="M3648" s="350" t="str">
        <f>IF($B3648="Portfolio","Portfolio",IFERROR(INDEX(DATA_ASSET_CLASSIFICATION!$B$8:$B$24,MATCH($C3648,DATA_ASSET_CLASSIFICATION!$A$8:$A$24,0)),"Review"))</f>
        <v>Newton Green</v>
      </c>
      <c r="N3648" s="350" t="str">
        <f ca="1">IF($B3648="Portfolio","Portfolio",IFERROR(INDEX(DATA_ASSET_CLASSIFICATION!$U$8:$U$24,MATCH($C3648,DATA_ASSET_CLASSIFICATION!$A$8:$A$24,0)),"Review"))</f>
        <v>Refi Watch</v>
      </c>
      <c r="O3648" s="350" t="str">
        <f ca="1">IF($B3648="Portfolio","Portfolio",IFERROR(INDEX(DATA_ASSET_CLASSIFICATION!$AB$8:$AB$13,MATCH($N3648,DATA_ASSET_CLASSIFICATION!$AA$8:$AA$13,0)),"Review"))</f>
        <v>Bucket 2 · Legacy</v>
      </c>
      <c r="P3648" s="350" t="str">
        <f>IF($B3648="Portfolio","Portfolio",IFERROR(INDEX(DATA_ASSET_CLASSIFICATION!$C$8:$C$24,MATCH($C3648,DATA_ASSET_CLASSIFICATION!$A$8:$A$24,0)),"Review"))</f>
        <v>Yes</v>
      </c>
      <c r="Q3648" s="350" t="str">
        <f t="shared" ca="1" si="113"/>
        <v>OK</v>
      </c>
    </row>
    <row r="3649" spans="1:17">
      <c r="A3649" s="366" t="s">
        <v>5605</v>
      </c>
      <c r="B3649" s="366" t="s">
        <v>231</v>
      </c>
      <c r="C3649" s="348" t="str">
        <f>DATA_PROPERTY_MASTER!$A$16</f>
        <v>BLD_NG</v>
      </c>
      <c r="D3649" s="380">
        <f>'00_PORTFOLIO ROLLUP'!O$12</f>
        <v>2035</v>
      </c>
      <c r="E3649" s="366" t="s">
        <v>1683</v>
      </c>
      <c r="F3649" s="366" t="s">
        <v>25</v>
      </c>
      <c r="G3649" s="348" t="str">
        <f>"'"&amp;$C3649&amp;"'!$E$52:$Y$52"</f>
        <v>'BLD_NG'!$E$52:$Y$52</v>
      </c>
      <c r="H3649" s="381">
        <f ca="1">IF(IFERROR(INDEX(DATA_PROPERTY_MASTER!$E$5:$E$21,MATCH($C3649,DATA_PROPERTY_MASTER!$A$5:$A$21,0))="Yes",FALSE),IFERROR(INDEX(INDIRECT("'"&amp;$C3649&amp;"'!$E$52:$Y$52"),1,MATCH($D3649,INDIRECT("'"&amp;$C3649&amp;"'!$E$12:$Y$12"),0)),0),0)</f>
        <v>170734.42078578146</v>
      </c>
      <c r="I3649" s="366" t="s">
        <v>1685</v>
      </c>
      <c r="J3649" s="348" t="str">
        <f t="shared" ca="1" si="112"/>
        <v>OK</v>
      </c>
      <c r="K3649" s="366" t="s">
        <v>1710</v>
      </c>
      <c r="L3649" s="366" t="s">
        <v>2246</v>
      </c>
      <c r="M3649" s="350" t="str">
        <f>IF($B3649="Portfolio","Portfolio",IFERROR(INDEX(DATA_ASSET_CLASSIFICATION!$B$8:$B$24,MATCH($C3649,DATA_ASSET_CLASSIFICATION!$A$8:$A$24,0)),"Review"))</f>
        <v>Newton Green</v>
      </c>
      <c r="N3649" s="350" t="str">
        <f ca="1">IF($B3649="Portfolio","Portfolio",IFERROR(INDEX(DATA_ASSET_CLASSIFICATION!$U$8:$U$24,MATCH($C3649,DATA_ASSET_CLASSIFICATION!$A$8:$A$24,0)),"Review"))</f>
        <v>Refi Watch</v>
      </c>
      <c r="O3649" s="350" t="str">
        <f ca="1">IF($B3649="Portfolio","Portfolio",IFERROR(INDEX(DATA_ASSET_CLASSIFICATION!$AB$8:$AB$13,MATCH($N3649,DATA_ASSET_CLASSIFICATION!$AA$8:$AA$13,0)),"Review"))</f>
        <v>Bucket 2 · Legacy</v>
      </c>
      <c r="P3649" s="350" t="str">
        <f>IF($B3649="Portfolio","Portfolio",IFERROR(INDEX(DATA_ASSET_CLASSIFICATION!$C$8:$C$24,MATCH($C3649,DATA_ASSET_CLASSIFICATION!$A$8:$A$24,0)),"Review"))</f>
        <v>Yes</v>
      </c>
      <c r="Q3649" s="350" t="str">
        <f t="shared" ca="1" si="113"/>
        <v>OK</v>
      </c>
    </row>
    <row r="3650" spans="1:17">
      <c r="A3650" s="366" t="s">
        <v>5606</v>
      </c>
      <c r="B3650" s="366" t="s">
        <v>231</v>
      </c>
      <c r="C3650" s="348" t="str">
        <f>DATA_PROPERTY_MASTER!$A$16</f>
        <v>BLD_NG</v>
      </c>
      <c r="D3650" s="380">
        <f>'00_PORTFOLIO ROLLUP'!O$12</f>
        <v>2035</v>
      </c>
      <c r="E3650" s="366" t="s">
        <v>1683</v>
      </c>
      <c r="F3650" s="366" t="s">
        <v>27</v>
      </c>
      <c r="G3650" s="348" t="str">
        <f>"'"&amp;$C3650&amp;"'!$E$54:$Y$54"</f>
        <v>'BLD_NG'!$E$54:$Y$54</v>
      </c>
      <c r="H3650" s="381">
        <f ca="1">IF(IFERROR(INDEX(DATA_PROPERTY_MASTER!$E$5:$E$21,MATCH($C3650,DATA_PROPERTY_MASTER!$A$5:$A$21,0))="Yes",FALSE),IFERROR(INDEX(INDIRECT("'"&amp;$C3650&amp;"'!$E$54:$Y$54"),1,MATCH($D3650,INDIRECT("'"&amp;$C3650&amp;"'!$E$12:$Y$12"),0)),0),0)</f>
        <v>102440.65247146887</v>
      </c>
      <c r="I3650" s="366" t="s">
        <v>1690</v>
      </c>
      <c r="J3650" s="348" t="str">
        <f t="shared" ca="1" si="112"/>
        <v>OK</v>
      </c>
      <c r="K3650" s="366" t="s">
        <v>1714</v>
      </c>
      <c r="L3650" s="366" t="s">
        <v>2248</v>
      </c>
      <c r="M3650" s="350" t="str">
        <f>IF($B3650="Portfolio","Portfolio",IFERROR(INDEX(DATA_ASSET_CLASSIFICATION!$B$8:$B$24,MATCH($C3650,DATA_ASSET_CLASSIFICATION!$A$8:$A$24,0)),"Review"))</f>
        <v>Newton Green</v>
      </c>
      <c r="N3650" s="350" t="str">
        <f ca="1">IF($B3650="Portfolio","Portfolio",IFERROR(INDEX(DATA_ASSET_CLASSIFICATION!$U$8:$U$24,MATCH($C3650,DATA_ASSET_CLASSIFICATION!$A$8:$A$24,0)),"Review"))</f>
        <v>Refi Watch</v>
      </c>
      <c r="O3650" s="350" t="str">
        <f ca="1">IF($B3650="Portfolio","Portfolio",IFERROR(INDEX(DATA_ASSET_CLASSIFICATION!$AB$8:$AB$13,MATCH($N3650,DATA_ASSET_CLASSIFICATION!$AA$8:$AA$13,0)),"Review"))</f>
        <v>Bucket 2 · Legacy</v>
      </c>
      <c r="P3650" s="350" t="str">
        <f>IF($B3650="Portfolio","Portfolio",IFERROR(INDEX(DATA_ASSET_CLASSIFICATION!$C$8:$C$24,MATCH($C3650,DATA_ASSET_CLASSIFICATION!$A$8:$A$24,0)),"Review"))</f>
        <v>Yes</v>
      </c>
      <c r="Q3650" s="350" t="str">
        <f t="shared" ca="1" si="113"/>
        <v>OK</v>
      </c>
    </row>
    <row r="3651" spans="1:17">
      <c r="A3651" s="366" t="s">
        <v>5607</v>
      </c>
      <c r="B3651" s="366" t="s">
        <v>231</v>
      </c>
      <c r="C3651" s="348" t="str">
        <f>DATA_PROPERTY_MASTER!$A$16</f>
        <v>BLD_NG</v>
      </c>
      <c r="D3651" s="380">
        <f>'00_PORTFOLIO ROLLUP'!O$12</f>
        <v>2035</v>
      </c>
      <c r="E3651" s="366" t="s">
        <v>1683</v>
      </c>
      <c r="F3651" s="366" t="s">
        <v>29</v>
      </c>
      <c r="G3651" s="348" t="str">
        <f>"'"&amp;$C3651&amp;"'!$E$56:$Y$56"</f>
        <v>'BLD_NG'!$E$56:$Y$56</v>
      </c>
      <c r="H3651" s="381">
        <f ca="1">IF(IFERROR(INDEX(DATA_PROPERTY_MASTER!$E$5:$E$21,MATCH($C3651,DATA_PROPERTY_MASTER!$A$5:$A$21,0))="Yes",FALSE),IFERROR(INDEX(INDIRECT("'"&amp;$C3651&amp;"'!$E$56:$Y$56"),1,MATCH($D3651,INDIRECT("'"&amp;$C3651&amp;"'!$E$12:$Y$12"),0)),0),0)</f>
        <v>68293.768314312591</v>
      </c>
      <c r="I3651" s="366" t="s">
        <v>1685</v>
      </c>
      <c r="J3651" s="348" t="str">
        <f t="shared" ca="1" si="112"/>
        <v>OK</v>
      </c>
      <c r="K3651" s="366" t="s">
        <v>1718</v>
      </c>
      <c r="L3651" s="366" t="s">
        <v>2250</v>
      </c>
      <c r="M3651" s="350" t="str">
        <f>IF($B3651="Portfolio","Portfolio",IFERROR(INDEX(DATA_ASSET_CLASSIFICATION!$B$8:$B$24,MATCH($C3651,DATA_ASSET_CLASSIFICATION!$A$8:$A$24,0)),"Review"))</f>
        <v>Newton Green</v>
      </c>
      <c r="N3651" s="350" t="str">
        <f ca="1">IF($B3651="Portfolio","Portfolio",IFERROR(INDEX(DATA_ASSET_CLASSIFICATION!$U$8:$U$24,MATCH($C3651,DATA_ASSET_CLASSIFICATION!$A$8:$A$24,0)),"Review"))</f>
        <v>Refi Watch</v>
      </c>
      <c r="O3651" s="350" t="str">
        <f ca="1">IF($B3651="Portfolio","Portfolio",IFERROR(INDEX(DATA_ASSET_CLASSIFICATION!$AB$8:$AB$13,MATCH($N3651,DATA_ASSET_CLASSIFICATION!$AA$8:$AA$13,0)),"Review"))</f>
        <v>Bucket 2 · Legacy</v>
      </c>
      <c r="P3651" s="350" t="str">
        <f>IF($B3651="Portfolio","Portfolio",IFERROR(INDEX(DATA_ASSET_CLASSIFICATION!$C$8:$C$24,MATCH($C3651,DATA_ASSET_CLASSIFICATION!$A$8:$A$24,0)),"Review"))</f>
        <v>Yes</v>
      </c>
      <c r="Q3651" s="350" t="str">
        <f t="shared" ca="1" si="113"/>
        <v>OK</v>
      </c>
    </row>
    <row r="3652" spans="1:17">
      <c r="A3652" s="366" t="s">
        <v>5608</v>
      </c>
      <c r="B3652" s="366" t="s">
        <v>231</v>
      </c>
      <c r="C3652" s="348" t="str">
        <f>DATA_PROPERTY_MASTER!$A$16</f>
        <v>BLD_NG</v>
      </c>
      <c r="D3652" s="380">
        <f>'00_PORTFOLIO ROLLUP'!O$12</f>
        <v>2035</v>
      </c>
      <c r="E3652" s="366" t="s">
        <v>1721</v>
      </c>
      <c r="F3652" s="366" t="s">
        <v>31</v>
      </c>
      <c r="G3652" s="348" t="str">
        <f>"'"&amp;$C3652&amp;"'!$E$61:$Y$61"</f>
        <v>'BLD_NG'!$E$61:$Y$61</v>
      </c>
      <c r="H3652" s="381">
        <f ca="1">IF(IFERROR(INDEX(DATA_PROPERTY_MASTER!$E$5:$E$21,MATCH($C3652,DATA_PROPERTY_MASTER!$A$5:$A$21,0))="Yes",FALSE),IFERROR(INDEX(INDIRECT("'"&amp;$C3652&amp;"'!$E$61:$Y$61"),1,MATCH($D3652,INDIRECT("'"&amp;$C3652&amp;"'!$E$12:$Y$12"),0)),0),0)</f>
        <v>0</v>
      </c>
      <c r="I3652" s="366" t="s">
        <v>1690</v>
      </c>
      <c r="J3652" s="348" t="str">
        <f t="shared" ca="1" si="112"/>
        <v>OK</v>
      </c>
      <c r="K3652" s="366" t="s">
        <v>1723</v>
      </c>
      <c r="L3652" s="366" t="s">
        <v>2252</v>
      </c>
      <c r="M3652" s="350" t="str">
        <f>IF($B3652="Portfolio","Portfolio",IFERROR(INDEX(DATA_ASSET_CLASSIFICATION!$B$8:$B$24,MATCH($C3652,DATA_ASSET_CLASSIFICATION!$A$8:$A$24,0)),"Review"))</f>
        <v>Newton Green</v>
      </c>
      <c r="N3652" s="350" t="str">
        <f ca="1">IF($B3652="Portfolio","Portfolio",IFERROR(INDEX(DATA_ASSET_CLASSIFICATION!$U$8:$U$24,MATCH($C3652,DATA_ASSET_CLASSIFICATION!$A$8:$A$24,0)),"Review"))</f>
        <v>Refi Watch</v>
      </c>
      <c r="O3652" s="350" t="str">
        <f ca="1">IF($B3652="Portfolio","Portfolio",IFERROR(INDEX(DATA_ASSET_CLASSIFICATION!$AB$8:$AB$13,MATCH($N3652,DATA_ASSET_CLASSIFICATION!$AA$8:$AA$13,0)),"Review"))</f>
        <v>Bucket 2 · Legacy</v>
      </c>
      <c r="P3652" s="350" t="str">
        <f>IF($B3652="Portfolio","Portfolio",IFERROR(INDEX(DATA_ASSET_CLASSIFICATION!$C$8:$C$24,MATCH($C3652,DATA_ASSET_CLASSIFICATION!$A$8:$A$24,0)),"Review"))</f>
        <v>Yes</v>
      </c>
      <c r="Q3652" s="350" t="str">
        <f t="shared" ca="1" si="113"/>
        <v>OK</v>
      </c>
    </row>
    <row r="3653" spans="1:17">
      <c r="A3653" s="366" t="s">
        <v>5609</v>
      </c>
      <c r="B3653" s="366" t="s">
        <v>231</v>
      </c>
      <c r="C3653" s="348" t="str">
        <f>DATA_PROPERTY_MASTER!$A$16</f>
        <v>BLD_NG</v>
      </c>
      <c r="D3653" s="380">
        <f>'00_PORTFOLIO ROLLUP'!O$12</f>
        <v>2035</v>
      </c>
      <c r="E3653" s="366" t="s">
        <v>1721</v>
      </c>
      <c r="F3653" s="366" t="s">
        <v>33</v>
      </c>
      <c r="G3653" s="348" t="str">
        <f>"'"&amp;$C3653&amp;"'!$E$62:$Y$62"</f>
        <v>'BLD_NG'!$E$62:$Y$62</v>
      </c>
      <c r="H3653" s="381">
        <f ca="1">IF(IFERROR(INDEX(DATA_PROPERTY_MASTER!$E$5:$E$21,MATCH($C3653,DATA_PROPERTY_MASTER!$A$5:$A$21,0))="Yes",FALSE),IFERROR(INDEX(INDIRECT("'"&amp;$C3653&amp;"'!$E$62:$Y$62"),1,MATCH($D3653,INDIRECT("'"&amp;$C3653&amp;"'!$E$12:$Y$12"),0)),0),0)</f>
        <v>0</v>
      </c>
      <c r="I3653" s="366" t="s">
        <v>1685</v>
      </c>
      <c r="J3653" s="348" t="str">
        <f t="shared" ref="J3653:J3716" ca="1" si="114">IF($F3653="Residual Funding Gap",IF($H3653&gt;0,"Funding Gap","OK"),IF(AND($F3653="Net Refinance Position",$H3653&lt;0),"Negative net refi position","OK"))</f>
        <v>OK</v>
      </c>
      <c r="K3653" s="366" t="s">
        <v>1727</v>
      </c>
      <c r="L3653" s="366" t="s">
        <v>2254</v>
      </c>
      <c r="M3653" s="350" t="str">
        <f>IF($B3653="Portfolio","Portfolio",IFERROR(INDEX(DATA_ASSET_CLASSIFICATION!$B$8:$B$24,MATCH($C3653,DATA_ASSET_CLASSIFICATION!$A$8:$A$24,0)),"Review"))</f>
        <v>Newton Green</v>
      </c>
      <c r="N3653" s="350" t="str">
        <f ca="1">IF($B3653="Portfolio","Portfolio",IFERROR(INDEX(DATA_ASSET_CLASSIFICATION!$U$8:$U$24,MATCH($C3653,DATA_ASSET_CLASSIFICATION!$A$8:$A$24,0)),"Review"))</f>
        <v>Refi Watch</v>
      </c>
      <c r="O3653" s="350" t="str">
        <f ca="1">IF($B3653="Portfolio","Portfolio",IFERROR(INDEX(DATA_ASSET_CLASSIFICATION!$AB$8:$AB$13,MATCH($N3653,DATA_ASSET_CLASSIFICATION!$AA$8:$AA$13,0)),"Review"))</f>
        <v>Bucket 2 · Legacy</v>
      </c>
      <c r="P3653" s="350" t="str">
        <f>IF($B3653="Portfolio","Portfolio",IFERROR(INDEX(DATA_ASSET_CLASSIFICATION!$C$8:$C$24,MATCH($C3653,DATA_ASSET_CLASSIFICATION!$A$8:$A$24,0)),"Review"))</f>
        <v>Yes</v>
      </c>
      <c r="Q3653" s="350" t="str">
        <f t="shared" ref="Q3653:Q3716" ca="1" si="115">IF(AND($B3653="Property",$F3653="Residual Funding Gap",$H3653&gt;0),"Property Funding Gap",IF($J3653&lt;&gt;"OK",$J3653,"OK"))</f>
        <v>OK</v>
      </c>
    </row>
    <row r="3654" spans="1:17">
      <c r="A3654" s="366" t="s">
        <v>5610</v>
      </c>
      <c r="B3654" s="366" t="s">
        <v>231</v>
      </c>
      <c r="C3654" s="348" t="str">
        <f>DATA_PROPERTY_MASTER!$A$16</f>
        <v>BLD_NG</v>
      </c>
      <c r="D3654" s="380">
        <f>'00_PORTFOLIO ROLLUP'!O$12</f>
        <v>2035</v>
      </c>
      <c r="E3654" s="366" t="s">
        <v>1721</v>
      </c>
      <c r="F3654" s="366" t="s">
        <v>35</v>
      </c>
      <c r="G3654" s="348" t="str">
        <f>"'"&amp;$C3654&amp;"'!$E$63:$Y$63"</f>
        <v>'BLD_NG'!$E$63:$Y$63</v>
      </c>
      <c r="H3654" s="381">
        <f ca="1">IF(IFERROR(INDEX(DATA_PROPERTY_MASTER!$E$5:$E$21,MATCH($C3654,DATA_PROPERTY_MASTER!$A$5:$A$21,0))="Yes",FALSE),IFERROR(INDEX(INDIRECT("'"&amp;$C3654&amp;"'!$E$63:$Y$63"),1,MATCH($D3654,INDIRECT("'"&amp;$C3654&amp;"'!$E$12:$Y$12"),0)),0),0)</f>
        <v>0</v>
      </c>
      <c r="I3654" s="366" t="s">
        <v>1731</v>
      </c>
      <c r="J3654" s="348" t="str">
        <f t="shared" ca="1" si="114"/>
        <v>OK</v>
      </c>
      <c r="K3654" s="366" t="s">
        <v>1732</v>
      </c>
      <c r="L3654" s="366" t="s">
        <v>2256</v>
      </c>
      <c r="M3654" s="350" t="str">
        <f>IF($B3654="Portfolio","Portfolio",IFERROR(INDEX(DATA_ASSET_CLASSIFICATION!$B$8:$B$24,MATCH($C3654,DATA_ASSET_CLASSIFICATION!$A$8:$A$24,0)),"Review"))</f>
        <v>Newton Green</v>
      </c>
      <c r="N3654" s="350" t="str">
        <f ca="1">IF($B3654="Portfolio","Portfolio",IFERROR(INDEX(DATA_ASSET_CLASSIFICATION!$U$8:$U$24,MATCH($C3654,DATA_ASSET_CLASSIFICATION!$A$8:$A$24,0)),"Review"))</f>
        <v>Refi Watch</v>
      </c>
      <c r="O3654" s="350" t="str">
        <f ca="1">IF($B3654="Portfolio","Portfolio",IFERROR(INDEX(DATA_ASSET_CLASSIFICATION!$AB$8:$AB$13,MATCH($N3654,DATA_ASSET_CLASSIFICATION!$AA$8:$AA$13,0)),"Review"))</f>
        <v>Bucket 2 · Legacy</v>
      </c>
      <c r="P3654" s="350" t="str">
        <f>IF($B3654="Portfolio","Portfolio",IFERROR(INDEX(DATA_ASSET_CLASSIFICATION!$C$8:$C$24,MATCH($C3654,DATA_ASSET_CLASSIFICATION!$A$8:$A$24,0)),"Review"))</f>
        <v>Yes</v>
      </c>
      <c r="Q3654" s="350" t="str">
        <f t="shared" ca="1" si="115"/>
        <v>OK</v>
      </c>
    </row>
    <row r="3655" spans="1:17">
      <c r="A3655" s="366" t="s">
        <v>5611</v>
      </c>
      <c r="B3655" s="366" t="s">
        <v>231</v>
      </c>
      <c r="C3655" s="348" t="str">
        <f>DATA_PROPERTY_MASTER!$A$16</f>
        <v>BLD_NG</v>
      </c>
      <c r="D3655" s="380">
        <f>'00_PORTFOLIO ROLLUP'!O$12</f>
        <v>2035</v>
      </c>
      <c r="E3655" s="366" t="s">
        <v>1721</v>
      </c>
      <c r="F3655" s="366" t="s">
        <v>37</v>
      </c>
      <c r="G3655" s="348" t="str">
        <f>"'"&amp;$C3655&amp;"'!$E$63:$Y$63"</f>
        <v>'BLD_NG'!$E$63:$Y$63</v>
      </c>
      <c r="H3655" s="381">
        <f ca="1">IF(IFERROR(INDEX(DATA_PROPERTY_MASTER!$E$5:$E$21,MATCH($C3655,DATA_PROPERTY_MASTER!$A$5:$A$21,0))="Yes",FALSE),MAX(IFERROR(INDEX(INDIRECT("'"&amp;$C3655&amp;"'!$E$63:$Y$63"),1,MATCH($D3655,INDIRECT("'"&amp;$C3655&amp;"'!$E$12:$Y$12"),0)),0),0),0)</f>
        <v>0</v>
      </c>
      <c r="I3655" s="366" t="s">
        <v>1685</v>
      </c>
      <c r="J3655" s="348" t="str">
        <f t="shared" ca="1" si="114"/>
        <v>OK</v>
      </c>
      <c r="K3655" s="366" t="s">
        <v>1735</v>
      </c>
      <c r="L3655" s="366" t="s">
        <v>2258</v>
      </c>
      <c r="M3655" s="350" t="str">
        <f>IF($B3655="Portfolio","Portfolio",IFERROR(INDEX(DATA_ASSET_CLASSIFICATION!$B$8:$B$24,MATCH($C3655,DATA_ASSET_CLASSIFICATION!$A$8:$A$24,0)),"Review"))</f>
        <v>Newton Green</v>
      </c>
      <c r="N3655" s="350" t="str">
        <f ca="1">IF($B3655="Portfolio","Portfolio",IFERROR(INDEX(DATA_ASSET_CLASSIFICATION!$U$8:$U$24,MATCH($C3655,DATA_ASSET_CLASSIFICATION!$A$8:$A$24,0)),"Review"))</f>
        <v>Refi Watch</v>
      </c>
      <c r="O3655" s="350" t="str">
        <f ca="1">IF($B3655="Portfolio","Portfolio",IFERROR(INDEX(DATA_ASSET_CLASSIFICATION!$AB$8:$AB$13,MATCH($N3655,DATA_ASSET_CLASSIFICATION!$AA$8:$AA$13,0)),"Review"))</f>
        <v>Bucket 2 · Legacy</v>
      </c>
      <c r="P3655" s="350" t="str">
        <f>IF($B3655="Portfolio","Portfolio",IFERROR(INDEX(DATA_ASSET_CLASSIFICATION!$C$8:$C$24,MATCH($C3655,DATA_ASSET_CLASSIFICATION!$A$8:$A$24,0)),"Review"))</f>
        <v>Yes</v>
      </c>
      <c r="Q3655" s="350" t="str">
        <f t="shared" ca="1" si="115"/>
        <v>OK</v>
      </c>
    </row>
    <row r="3656" spans="1:17">
      <c r="A3656" s="366" t="s">
        <v>5612</v>
      </c>
      <c r="B3656" s="366" t="s">
        <v>231</v>
      </c>
      <c r="C3656" s="348" t="str">
        <f>DATA_PROPERTY_MASTER!$A$16</f>
        <v>BLD_NG</v>
      </c>
      <c r="D3656" s="380">
        <f>'00_PORTFOLIO ROLLUP'!O$12</f>
        <v>2035</v>
      </c>
      <c r="E3656" s="366" t="s">
        <v>1721</v>
      </c>
      <c r="F3656" s="366" t="s">
        <v>39</v>
      </c>
      <c r="G3656" s="348" t="str">
        <f>"'"&amp;$C3656&amp;"'!$E$63:$Y$63"</f>
        <v>'BLD_NG'!$E$63:$Y$63</v>
      </c>
      <c r="H3656" s="381">
        <f ca="1">IF(IFERROR(INDEX(DATA_PROPERTY_MASTER!$E$5:$E$21,MATCH($C3656,DATA_PROPERTY_MASTER!$A$5:$A$21,0))="Yes",FALSE),MAX(-IFERROR(INDEX(INDIRECT("'"&amp;$C3656&amp;"'!$E$63:$Y$63"),1,MATCH($D3656,INDIRECT("'"&amp;$C3656&amp;"'!$E$12:$Y$12"),0)),0),0),0)</f>
        <v>0</v>
      </c>
      <c r="I3656" s="366" t="s">
        <v>1690</v>
      </c>
      <c r="J3656" s="348" t="str">
        <f t="shared" ca="1" si="114"/>
        <v>OK</v>
      </c>
      <c r="K3656" s="366" t="s">
        <v>1738</v>
      </c>
      <c r="L3656" s="366" t="s">
        <v>2260</v>
      </c>
      <c r="M3656" s="350" t="str">
        <f>IF($B3656="Portfolio","Portfolio",IFERROR(INDEX(DATA_ASSET_CLASSIFICATION!$B$8:$B$24,MATCH($C3656,DATA_ASSET_CLASSIFICATION!$A$8:$A$24,0)),"Review"))</f>
        <v>Newton Green</v>
      </c>
      <c r="N3656" s="350" t="str">
        <f ca="1">IF($B3656="Portfolio","Portfolio",IFERROR(INDEX(DATA_ASSET_CLASSIFICATION!$U$8:$U$24,MATCH($C3656,DATA_ASSET_CLASSIFICATION!$A$8:$A$24,0)),"Review"))</f>
        <v>Refi Watch</v>
      </c>
      <c r="O3656" s="350" t="str">
        <f ca="1">IF($B3656="Portfolio","Portfolio",IFERROR(INDEX(DATA_ASSET_CLASSIFICATION!$AB$8:$AB$13,MATCH($N3656,DATA_ASSET_CLASSIFICATION!$AA$8:$AA$13,0)),"Review"))</f>
        <v>Bucket 2 · Legacy</v>
      </c>
      <c r="P3656" s="350" t="str">
        <f>IF($B3656="Portfolio","Portfolio",IFERROR(INDEX(DATA_ASSET_CLASSIFICATION!$C$8:$C$24,MATCH($C3656,DATA_ASSET_CLASSIFICATION!$A$8:$A$24,0)),"Review"))</f>
        <v>Yes</v>
      </c>
      <c r="Q3656" s="350" t="str">
        <f t="shared" ca="1" si="115"/>
        <v>OK</v>
      </c>
    </row>
    <row r="3657" spans="1:17">
      <c r="A3657" s="366" t="s">
        <v>5613</v>
      </c>
      <c r="B3657" s="366" t="s">
        <v>231</v>
      </c>
      <c r="C3657" s="348" t="str">
        <f>DATA_PROPERTY_MASTER!$A$16</f>
        <v>BLD_NG</v>
      </c>
      <c r="D3657" s="380">
        <f>'00_PORTFOLIO ROLLUP'!O$12</f>
        <v>2035</v>
      </c>
      <c r="E3657" s="366" t="s">
        <v>1741</v>
      </c>
      <c r="F3657" s="366" t="s">
        <v>41</v>
      </c>
      <c r="G3657" s="348" t="str">
        <f>"'"&amp;$C3657&amp;"'!rows 56 + positive row 63"</f>
        <v>'BLD_NG'!rows 56 + positive row 63</v>
      </c>
      <c r="H3657" s="381">
        <f ca="1">IF(IFERROR(INDEX(DATA_PROPERTY_MASTER!$E$5:$E$21,MATCH($C3657,DATA_PROPERTY_MASTER!$A$5:$A$21,0))="Yes",FALSE),IFERROR(INDEX(INDIRECT("'"&amp;$C3657&amp;"'!$E$56:$Y$56"),1,MATCH($D3657,INDIRECT("'"&amp;$C3657&amp;"'!$E$12:$Y$12"),0)),0)+MAX(IFERROR(INDEX(INDIRECT("'"&amp;$C3657&amp;"'!$E$63:$Y$63"),1,MATCH($D3657,INDIRECT("'"&amp;$C3657&amp;"'!$E$12:$Y$12"),0)),0),0),0)</f>
        <v>68293.768314312591</v>
      </c>
      <c r="I3657" s="366" t="s">
        <v>1685</v>
      </c>
      <c r="J3657" s="348" t="str">
        <f t="shared" ca="1" si="114"/>
        <v>OK</v>
      </c>
      <c r="K3657" s="366" t="s">
        <v>1742</v>
      </c>
      <c r="L3657" s="366" t="s">
        <v>2262</v>
      </c>
      <c r="M3657" s="350" t="str">
        <f>IF($B3657="Portfolio","Portfolio",IFERROR(INDEX(DATA_ASSET_CLASSIFICATION!$B$8:$B$24,MATCH($C3657,DATA_ASSET_CLASSIFICATION!$A$8:$A$24,0)),"Review"))</f>
        <v>Newton Green</v>
      </c>
      <c r="N3657" s="350" t="str">
        <f ca="1">IF($B3657="Portfolio","Portfolio",IFERROR(INDEX(DATA_ASSET_CLASSIFICATION!$U$8:$U$24,MATCH($C3657,DATA_ASSET_CLASSIFICATION!$A$8:$A$24,0)),"Review"))</f>
        <v>Refi Watch</v>
      </c>
      <c r="O3657" s="350" t="str">
        <f ca="1">IF($B3657="Portfolio","Portfolio",IFERROR(INDEX(DATA_ASSET_CLASSIFICATION!$AB$8:$AB$13,MATCH($N3657,DATA_ASSET_CLASSIFICATION!$AA$8:$AA$13,0)),"Review"))</f>
        <v>Bucket 2 · Legacy</v>
      </c>
      <c r="P3657" s="350" t="str">
        <f>IF($B3657="Portfolio","Portfolio",IFERROR(INDEX(DATA_ASSET_CLASSIFICATION!$C$8:$C$24,MATCH($C3657,DATA_ASSET_CLASSIFICATION!$A$8:$A$24,0)),"Review"))</f>
        <v>Yes</v>
      </c>
      <c r="Q3657" s="350" t="str">
        <f t="shared" ca="1" si="115"/>
        <v>OK</v>
      </c>
    </row>
    <row r="3658" spans="1:17">
      <c r="A3658" s="366" t="s">
        <v>5614</v>
      </c>
      <c r="B3658" s="366" t="s">
        <v>231</v>
      </c>
      <c r="C3658" s="348" t="str">
        <f>DATA_PROPERTY_MASTER!$A$16</f>
        <v>BLD_NG</v>
      </c>
      <c r="D3658" s="380">
        <f>'00_PORTFOLIO ROLLUP'!O$12</f>
        <v>2035</v>
      </c>
      <c r="E3658" s="366" t="s">
        <v>1741</v>
      </c>
      <c r="F3658" s="366" t="s">
        <v>43</v>
      </c>
      <c r="G3658" s="348" t="str">
        <f>"'"&amp;$C3658&amp;"'!$E$68:$Y$68"</f>
        <v>'BLD_NG'!$E$68:$Y$68</v>
      </c>
      <c r="H3658" s="381">
        <f ca="1">IF(IFERROR(INDEX(DATA_PROPERTY_MASTER!$E$5:$E$21,MATCH($C3658,DATA_PROPERTY_MASTER!$A$5:$A$21,0))="Yes",FALSE),IFERROR(INDEX(INDIRECT("'"&amp;$C3658&amp;"'!$E$68:$Y$68"),1,MATCH($D3658,INDIRECT("'"&amp;$C3658&amp;"'!$E$12:$Y$12"),0)),0),0)</f>
        <v>68293.768314312591</v>
      </c>
      <c r="I3658" s="366" t="s">
        <v>1731</v>
      </c>
      <c r="J3658" s="348" t="str">
        <f t="shared" ca="1" si="114"/>
        <v>OK</v>
      </c>
      <c r="K3658" s="366" t="s">
        <v>1746</v>
      </c>
      <c r="L3658" s="366" t="s">
        <v>2264</v>
      </c>
      <c r="M3658" s="350" t="str">
        <f>IF($B3658="Portfolio","Portfolio",IFERROR(INDEX(DATA_ASSET_CLASSIFICATION!$B$8:$B$24,MATCH($C3658,DATA_ASSET_CLASSIFICATION!$A$8:$A$24,0)),"Review"))</f>
        <v>Newton Green</v>
      </c>
      <c r="N3658" s="350" t="str">
        <f ca="1">IF($B3658="Portfolio","Portfolio",IFERROR(INDEX(DATA_ASSET_CLASSIFICATION!$U$8:$U$24,MATCH($C3658,DATA_ASSET_CLASSIFICATION!$A$8:$A$24,0)),"Review"))</f>
        <v>Refi Watch</v>
      </c>
      <c r="O3658" s="350" t="str">
        <f ca="1">IF($B3658="Portfolio","Portfolio",IFERROR(INDEX(DATA_ASSET_CLASSIFICATION!$AB$8:$AB$13,MATCH($N3658,DATA_ASSET_CLASSIFICATION!$AA$8:$AA$13,0)),"Review"))</f>
        <v>Bucket 2 · Legacy</v>
      </c>
      <c r="P3658" s="350" t="str">
        <f>IF($B3658="Portfolio","Portfolio",IFERROR(INDEX(DATA_ASSET_CLASSIFICATION!$C$8:$C$24,MATCH($C3658,DATA_ASSET_CLASSIFICATION!$A$8:$A$24,0)),"Review"))</f>
        <v>Yes</v>
      </c>
      <c r="Q3658" s="350" t="str">
        <f t="shared" ca="1" si="115"/>
        <v>OK</v>
      </c>
    </row>
    <row r="3659" spans="1:17">
      <c r="A3659" s="366" t="s">
        <v>5615</v>
      </c>
      <c r="B3659" s="366" t="s">
        <v>231</v>
      </c>
      <c r="C3659" s="348" t="str">
        <f>DATA_PROPERTY_MASTER!$A$16</f>
        <v>BLD_NG</v>
      </c>
      <c r="D3659" s="380">
        <f>'00_PORTFOLIO ROLLUP'!O$12</f>
        <v>2035</v>
      </c>
      <c r="E3659" s="366" t="s">
        <v>1741</v>
      </c>
      <c r="F3659" s="366" t="s">
        <v>1749</v>
      </c>
      <c r="G3659" s="348" t="str">
        <f>"'"&amp;$C3659&amp;"'!rows 56, 63, 68"</f>
        <v>'BLD_NG'!rows 56, 63, 68</v>
      </c>
      <c r="H3659" s="381">
        <f ca="1">IF(IFERROR(INDEX(DATA_PROPERTY_MASTER!$E$5:$E$21,MATCH($C3659,DATA_PROPERTY_MASTER!$A$5:$A$21,0))="Yes",FALSE),(IFERROR(INDEX(INDIRECT("'"&amp;$C3659&amp;"'!$E$56:$Y$56"),1,MATCH($D3659,INDIRECT("'"&amp;$C3659&amp;"'!$E$12:$Y$12"),0)),0)+MAX(IFERROR(INDEX(INDIRECT("'"&amp;$C3659&amp;"'!$E$63:$Y$63"),1,MATCH($D3659,INDIRECT("'"&amp;$C3659&amp;"'!$E$12:$Y$12"),0)),0),0))-(IFERROR(INDEX(INDIRECT("'"&amp;$C3659&amp;"'!$E$68:$Y$68"),1,MATCH($D3659,INDIRECT("'"&amp;$C3659&amp;"'!$E$12:$Y$12"),0)),0)),0)</f>
        <v>0</v>
      </c>
      <c r="I3659" s="366" t="s">
        <v>1750</v>
      </c>
      <c r="J3659" s="348" t="str">
        <f t="shared" ca="1" si="114"/>
        <v>OK</v>
      </c>
      <c r="K3659" s="366" t="s">
        <v>1751</v>
      </c>
      <c r="L3659" s="366" t="s">
        <v>2266</v>
      </c>
      <c r="M3659" s="350" t="str">
        <f>IF($B3659="Portfolio","Portfolio",IFERROR(INDEX(DATA_ASSET_CLASSIFICATION!$B$8:$B$24,MATCH($C3659,DATA_ASSET_CLASSIFICATION!$A$8:$A$24,0)),"Review"))</f>
        <v>Newton Green</v>
      </c>
      <c r="N3659" s="350" t="str">
        <f ca="1">IF($B3659="Portfolio","Portfolio",IFERROR(INDEX(DATA_ASSET_CLASSIFICATION!$U$8:$U$24,MATCH($C3659,DATA_ASSET_CLASSIFICATION!$A$8:$A$24,0)),"Review"))</f>
        <v>Refi Watch</v>
      </c>
      <c r="O3659" s="350" t="str">
        <f ca="1">IF($B3659="Portfolio","Portfolio",IFERROR(INDEX(DATA_ASSET_CLASSIFICATION!$AB$8:$AB$13,MATCH($N3659,DATA_ASSET_CLASSIFICATION!$AA$8:$AA$13,0)),"Review"))</f>
        <v>Bucket 2 · Legacy</v>
      </c>
      <c r="P3659" s="350" t="str">
        <f>IF($B3659="Portfolio","Portfolio",IFERROR(INDEX(DATA_ASSET_CLASSIFICATION!$C$8:$C$24,MATCH($C3659,DATA_ASSET_CLASSIFICATION!$A$8:$A$24,0)),"Review"))</f>
        <v>Yes</v>
      </c>
      <c r="Q3659" s="350" t="str">
        <f t="shared" ca="1" si="115"/>
        <v>OK</v>
      </c>
    </row>
    <row r="3660" spans="1:17">
      <c r="A3660" s="366" t="s">
        <v>5616</v>
      </c>
      <c r="B3660" s="366" t="s">
        <v>231</v>
      </c>
      <c r="C3660" s="348" t="str">
        <f>DATA_PROPERTY_MASTER!$A$16</f>
        <v>BLD_NG</v>
      </c>
      <c r="D3660" s="380">
        <f>'00_PORTFOLIO ROLLUP'!P$12</f>
        <v>2036</v>
      </c>
      <c r="E3660" s="366" t="s">
        <v>1683</v>
      </c>
      <c r="F3660" s="366" t="s">
        <v>341</v>
      </c>
      <c r="G3660" s="348" t="str">
        <f>"'"&amp;$C3660&amp;"'!$E$24:$Y$24"</f>
        <v>'BLD_NG'!$E$24:$Y$24</v>
      </c>
      <c r="H3660" s="381">
        <f ca="1">IF(IFERROR(INDEX(DATA_PROPERTY_MASTER!$E$5:$E$21,MATCH($C3660,DATA_PROPERTY_MASTER!$A$5:$A$21,0))="Yes",FALSE),IFERROR(INDEX(INDIRECT("'"&amp;$C3660&amp;"'!$E$24:$Y$24"),1,MATCH($D3660,INDIRECT("'"&amp;$C3660&amp;"'!$E$12:$Y$12"),0)),0),0)</f>
        <v>965944.23246880982</v>
      </c>
      <c r="I3660" s="366" t="s">
        <v>1685</v>
      </c>
      <c r="J3660" s="348" t="str">
        <f t="shared" ca="1" si="114"/>
        <v>OK</v>
      </c>
      <c r="K3660" s="366" t="s">
        <v>1686</v>
      </c>
      <c r="L3660" s="366" t="s">
        <v>2234</v>
      </c>
      <c r="M3660" s="350" t="str">
        <f>IF($B3660="Portfolio","Portfolio",IFERROR(INDEX(DATA_ASSET_CLASSIFICATION!$B$8:$B$24,MATCH($C3660,DATA_ASSET_CLASSIFICATION!$A$8:$A$24,0)),"Review"))</f>
        <v>Newton Green</v>
      </c>
      <c r="N3660" s="350" t="str">
        <f ca="1">IF($B3660="Portfolio","Portfolio",IFERROR(INDEX(DATA_ASSET_CLASSIFICATION!$U$8:$U$24,MATCH($C3660,DATA_ASSET_CLASSIFICATION!$A$8:$A$24,0)),"Review"))</f>
        <v>Refi Watch</v>
      </c>
      <c r="O3660" s="350" t="str">
        <f ca="1">IF($B3660="Portfolio","Portfolio",IFERROR(INDEX(DATA_ASSET_CLASSIFICATION!$AB$8:$AB$13,MATCH($N3660,DATA_ASSET_CLASSIFICATION!$AA$8:$AA$13,0)),"Review"))</f>
        <v>Bucket 2 · Legacy</v>
      </c>
      <c r="P3660" s="350" t="str">
        <f>IF($B3660="Portfolio","Portfolio",IFERROR(INDEX(DATA_ASSET_CLASSIFICATION!$C$8:$C$24,MATCH($C3660,DATA_ASSET_CLASSIFICATION!$A$8:$A$24,0)),"Review"))</f>
        <v>Yes</v>
      </c>
      <c r="Q3660" s="350" t="str">
        <f t="shared" ca="1" si="115"/>
        <v>OK</v>
      </c>
    </row>
    <row r="3661" spans="1:17">
      <c r="A3661" s="366" t="s">
        <v>5617</v>
      </c>
      <c r="B3661" s="366" t="s">
        <v>231</v>
      </c>
      <c r="C3661" s="348" t="str">
        <f>DATA_PROPERTY_MASTER!$A$16</f>
        <v>BLD_NG</v>
      </c>
      <c r="D3661" s="380">
        <f>'00_PORTFOLIO ROLLUP'!P$12</f>
        <v>2036</v>
      </c>
      <c r="E3661" s="366" t="s">
        <v>1683</v>
      </c>
      <c r="F3661" s="366" t="s">
        <v>355</v>
      </c>
      <c r="G3661" s="348" t="str">
        <f>"'"&amp;$C3661&amp;"'!$E$39:$Y$39"</f>
        <v>'BLD_NG'!$E$39:$Y$39</v>
      </c>
      <c r="H3661" s="381">
        <f ca="1">IF(IFERROR(INDEX(DATA_PROPERTY_MASTER!$E$5:$E$21,MATCH($C3661,DATA_PROPERTY_MASTER!$A$5:$A$21,0))="Yes",FALSE),IFERROR(INDEX(INDIRECT("'"&amp;$C3661&amp;"'!$E$39:$Y$39"),1,MATCH($D3661,INDIRECT("'"&amp;$C3661&amp;"'!$E$12:$Y$12"),0)),0),0)</f>
        <v>464806.41156135104</v>
      </c>
      <c r="I3661" s="366" t="s">
        <v>1690</v>
      </c>
      <c r="J3661" s="348" t="str">
        <f t="shared" ca="1" si="114"/>
        <v>OK</v>
      </c>
      <c r="K3661" s="366" t="s">
        <v>1686</v>
      </c>
      <c r="L3661" s="366" t="s">
        <v>2236</v>
      </c>
      <c r="M3661" s="350" t="str">
        <f>IF($B3661="Portfolio","Portfolio",IFERROR(INDEX(DATA_ASSET_CLASSIFICATION!$B$8:$B$24,MATCH($C3661,DATA_ASSET_CLASSIFICATION!$A$8:$A$24,0)),"Review"))</f>
        <v>Newton Green</v>
      </c>
      <c r="N3661" s="350" t="str">
        <f ca="1">IF($B3661="Portfolio","Portfolio",IFERROR(INDEX(DATA_ASSET_CLASSIFICATION!$U$8:$U$24,MATCH($C3661,DATA_ASSET_CLASSIFICATION!$A$8:$A$24,0)),"Review"))</f>
        <v>Refi Watch</v>
      </c>
      <c r="O3661" s="350" t="str">
        <f ca="1">IF($B3661="Portfolio","Portfolio",IFERROR(INDEX(DATA_ASSET_CLASSIFICATION!$AB$8:$AB$13,MATCH($N3661,DATA_ASSET_CLASSIFICATION!$AA$8:$AA$13,0)),"Review"))</f>
        <v>Bucket 2 · Legacy</v>
      </c>
      <c r="P3661" s="350" t="str">
        <f>IF($B3661="Portfolio","Portfolio",IFERROR(INDEX(DATA_ASSET_CLASSIFICATION!$C$8:$C$24,MATCH($C3661,DATA_ASSET_CLASSIFICATION!$A$8:$A$24,0)),"Review"))</f>
        <v>Yes</v>
      </c>
      <c r="Q3661" s="350" t="str">
        <f t="shared" ca="1" si="115"/>
        <v>OK</v>
      </c>
    </row>
    <row r="3662" spans="1:17">
      <c r="A3662" s="366" t="s">
        <v>5618</v>
      </c>
      <c r="B3662" s="366" t="s">
        <v>231</v>
      </c>
      <c r="C3662" s="348" t="str">
        <f>DATA_PROPERTY_MASTER!$A$16</f>
        <v>BLD_NG</v>
      </c>
      <c r="D3662" s="380">
        <f>'00_PORTFOLIO ROLLUP'!P$12</f>
        <v>2036</v>
      </c>
      <c r="E3662" s="366" t="s">
        <v>1683</v>
      </c>
      <c r="F3662" s="366" t="s">
        <v>19</v>
      </c>
      <c r="G3662" s="348" t="str">
        <f>"'"&amp;$C3662&amp;"'!$E$41:$Y$41"</f>
        <v>'BLD_NG'!$E$41:$Y$41</v>
      </c>
      <c r="H3662" s="381">
        <f ca="1">IF(IFERROR(INDEX(DATA_PROPERTY_MASTER!$E$5:$E$21,MATCH($C3662,DATA_PROPERTY_MASTER!$A$5:$A$21,0))="Yes",FALSE),IFERROR(INDEX(INDIRECT("'"&amp;$C3662&amp;"'!$E$41:$Y$41"),1,MATCH($D3662,INDIRECT("'"&amp;$C3662&amp;"'!$E$12:$Y$12"),0)),0),0)</f>
        <v>501137.82090745878</v>
      </c>
      <c r="I3662" s="366" t="s">
        <v>1685</v>
      </c>
      <c r="J3662" s="348" t="str">
        <f t="shared" ca="1" si="114"/>
        <v>OK</v>
      </c>
      <c r="K3662" s="366" t="s">
        <v>1694</v>
      </c>
      <c r="L3662" s="366" t="s">
        <v>2238</v>
      </c>
      <c r="M3662" s="350" t="str">
        <f>IF($B3662="Portfolio","Portfolio",IFERROR(INDEX(DATA_ASSET_CLASSIFICATION!$B$8:$B$24,MATCH($C3662,DATA_ASSET_CLASSIFICATION!$A$8:$A$24,0)),"Review"))</f>
        <v>Newton Green</v>
      </c>
      <c r="N3662" s="350" t="str">
        <f ca="1">IF($B3662="Portfolio","Portfolio",IFERROR(INDEX(DATA_ASSET_CLASSIFICATION!$U$8:$U$24,MATCH($C3662,DATA_ASSET_CLASSIFICATION!$A$8:$A$24,0)),"Review"))</f>
        <v>Refi Watch</v>
      </c>
      <c r="O3662" s="350" t="str">
        <f ca="1">IF($B3662="Portfolio","Portfolio",IFERROR(INDEX(DATA_ASSET_CLASSIFICATION!$AB$8:$AB$13,MATCH($N3662,DATA_ASSET_CLASSIFICATION!$AA$8:$AA$13,0)),"Review"))</f>
        <v>Bucket 2 · Legacy</v>
      </c>
      <c r="P3662" s="350" t="str">
        <f>IF($B3662="Portfolio","Portfolio",IFERROR(INDEX(DATA_ASSET_CLASSIFICATION!$C$8:$C$24,MATCH($C3662,DATA_ASSET_CLASSIFICATION!$A$8:$A$24,0)),"Review"))</f>
        <v>Yes</v>
      </c>
      <c r="Q3662" s="350" t="str">
        <f t="shared" ca="1" si="115"/>
        <v>OK</v>
      </c>
    </row>
    <row r="3663" spans="1:17">
      <c r="A3663" s="366" t="s">
        <v>5619</v>
      </c>
      <c r="B3663" s="366" t="s">
        <v>231</v>
      </c>
      <c r="C3663" s="348" t="str">
        <f>DATA_PROPERTY_MASTER!$A$16</f>
        <v>BLD_NG</v>
      </c>
      <c r="D3663" s="380">
        <f>'00_PORTFOLIO ROLLUP'!P$12</f>
        <v>2036</v>
      </c>
      <c r="E3663" s="366" t="s">
        <v>1683</v>
      </c>
      <c r="F3663" s="366" t="s">
        <v>1697</v>
      </c>
      <c r="G3663" s="348" t="str">
        <f>"'"&amp;$C3663&amp;"'!$E$44:$Y$44"</f>
        <v>'BLD_NG'!$E$44:$Y$44</v>
      </c>
      <c r="H3663" s="381">
        <f ca="1">IF(IFERROR(INDEX(DATA_PROPERTY_MASTER!$E$5:$E$21,MATCH($C3663,DATA_PROPERTY_MASTER!$A$5:$A$21,0))="Yes",FALSE),IFERROR(INDEX(INDIRECT("'"&amp;$C3663&amp;"'!$E$44:$Y$44"),1,MATCH($D3663,INDIRECT("'"&amp;$C3663&amp;"'!$E$12:$Y$12"),0)),0),0)</f>
        <v>9138.8011667006922</v>
      </c>
      <c r="I3663" s="366" t="s">
        <v>1690</v>
      </c>
      <c r="J3663" s="348" t="str">
        <f t="shared" ca="1" si="114"/>
        <v>OK</v>
      </c>
      <c r="K3663" s="366" t="s">
        <v>1699</v>
      </c>
      <c r="L3663" s="366" t="s">
        <v>2240</v>
      </c>
      <c r="M3663" s="350" t="str">
        <f>IF($B3663="Portfolio","Portfolio",IFERROR(INDEX(DATA_ASSET_CLASSIFICATION!$B$8:$B$24,MATCH($C3663,DATA_ASSET_CLASSIFICATION!$A$8:$A$24,0)),"Review"))</f>
        <v>Newton Green</v>
      </c>
      <c r="N3663" s="350" t="str">
        <f ca="1">IF($B3663="Portfolio","Portfolio",IFERROR(INDEX(DATA_ASSET_CLASSIFICATION!$U$8:$U$24,MATCH($C3663,DATA_ASSET_CLASSIFICATION!$A$8:$A$24,0)),"Review"))</f>
        <v>Refi Watch</v>
      </c>
      <c r="O3663" s="350" t="str">
        <f ca="1">IF($B3663="Portfolio","Portfolio",IFERROR(INDEX(DATA_ASSET_CLASSIFICATION!$AB$8:$AB$13,MATCH($N3663,DATA_ASSET_CLASSIFICATION!$AA$8:$AA$13,0)),"Review"))</f>
        <v>Bucket 2 · Legacy</v>
      </c>
      <c r="P3663" s="350" t="str">
        <f>IF($B3663="Portfolio","Portfolio",IFERROR(INDEX(DATA_ASSET_CLASSIFICATION!$C$8:$C$24,MATCH($C3663,DATA_ASSET_CLASSIFICATION!$A$8:$A$24,0)),"Review"))</f>
        <v>Yes</v>
      </c>
      <c r="Q3663" s="350" t="str">
        <f t="shared" ca="1" si="115"/>
        <v>OK</v>
      </c>
    </row>
    <row r="3664" spans="1:17">
      <c r="A3664" s="366" t="s">
        <v>5620</v>
      </c>
      <c r="B3664" s="366" t="s">
        <v>231</v>
      </c>
      <c r="C3664" s="348" t="str">
        <f>DATA_PROPERTY_MASTER!$A$16</f>
        <v>BLD_NG</v>
      </c>
      <c r="D3664" s="380">
        <f>'00_PORTFOLIO ROLLUP'!P$12</f>
        <v>2036</v>
      </c>
      <c r="E3664" s="366" t="s">
        <v>1683</v>
      </c>
      <c r="F3664" s="366" t="s">
        <v>21</v>
      </c>
      <c r="G3664" s="348" t="str">
        <f>"'"&amp;$C3664&amp;"'!$E$45:$Y$45"</f>
        <v>'BLD_NG'!$E$45:$Y$45</v>
      </c>
      <c r="H3664" s="381">
        <f ca="1">IF(IFERROR(INDEX(DATA_PROPERTY_MASTER!$E$5:$E$21,MATCH($C3664,DATA_PROPERTY_MASTER!$A$5:$A$21,0))="Yes",FALSE),IFERROR(INDEX(INDIRECT("'"&amp;$C3664&amp;"'!$E$45:$Y$45"),1,MATCH($D3664,INDIRECT("'"&amp;$C3664&amp;"'!$E$12:$Y$12"),0)),0),0)</f>
        <v>491999.01974075811</v>
      </c>
      <c r="I3664" s="366" t="s">
        <v>1685</v>
      </c>
      <c r="J3664" s="348" t="str">
        <f t="shared" ca="1" si="114"/>
        <v>OK</v>
      </c>
      <c r="K3664" s="366" t="s">
        <v>1694</v>
      </c>
      <c r="L3664" s="366" t="s">
        <v>2242</v>
      </c>
      <c r="M3664" s="350" t="str">
        <f>IF($B3664="Portfolio","Portfolio",IFERROR(INDEX(DATA_ASSET_CLASSIFICATION!$B$8:$B$24,MATCH($C3664,DATA_ASSET_CLASSIFICATION!$A$8:$A$24,0)),"Review"))</f>
        <v>Newton Green</v>
      </c>
      <c r="N3664" s="350" t="str">
        <f ca="1">IF($B3664="Portfolio","Portfolio",IFERROR(INDEX(DATA_ASSET_CLASSIFICATION!$U$8:$U$24,MATCH($C3664,DATA_ASSET_CLASSIFICATION!$A$8:$A$24,0)),"Review"))</f>
        <v>Refi Watch</v>
      </c>
      <c r="O3664" s="350" t="str">
        <f ca="1">IF($B3664="Portfolio","Portfolio",IFERROR(INDEX(DATA_ASSET_CLASSIFICATION!$AB$8:$AB$13,MATCH($N3664,DATA_ASSET_CLASSIFICATION!$AA$8:$AA$13,0)),"Review"))</f>
        <v>Bucket 2 · Legacy</v>
      </c>
      <c r="P3664" s="350" t="str">
        <f>IF($B3664="Portfolio","Portfolio",IFERROR(INDEX(DATA_ASSET_CLASSIFICATION!$C$8:$C$24,MATCH($C3664,DATA_ASSET_CLASSIFICATION!$A$8:$A$24,0)),"Review"))</f>
        <v>Yes</v>
      </c>
      <c r="Q3664" s="350" t="str">
        <f t="shared" ca="1" si="115"/>
        <v>OK</v>
      </c>
    </row>
    <row r="3665" spans="1:17">
      <c r="A3665" s="366" t="s">
        <v>5621</v>
      </c>
      <c r="B3665" s="366" t="s">
        <v>231</v>
      </c>
      <c r="C3665" s="348" t="str">
        <f>DATA_PROPERTY_MASTER!$A$16</f>
        <v>BLD_NG</v>
      </c>
      <c r="D3665" s="380">
        <f>'00_PORTFOLIO ROLLUP'!P$12</f>
        <v>2036</v>
      </c>
      <c r="E3665" s="366" t="s">
        <v>23</v>
      </c>
      <c r="F3665" s="366" t="s">
        <v>23</v>
      </c>
      <c r="G3665" s="348" t="str">
        <f>"'"&amp;$C3665&amp;"'!$E$48:$Y$48"</f>
        <v>'BLD_NG'!$E$48:$Y$48</v>
      </c>
      <c r="H3665" s="381">
        <f ca="1">IF(IFERROR(INDEX(DATA_PROPERTY_MASTER!$E$5:$E$21,MATCH($C3665,DATA_PROPERTY_MASTER!$A$5:$A$21,0))="Yes",FALSE),IFERROR(INDEX(INDIRECT("'"&amp;$C3665&amp;"'!$E$48:$Y$48"),1,MATCH($D3665,INDIRECT("'"&amp;$C3665&amp;"'!$E$12:$Y$12"),0)),0),0)</f>
        <v>322800.05887749186</v>
      </c>
      <c r="I3665" s="366" t="s">
        <v>1690</v>
      </c>
      <c r="J3665" s="348" t="str">
        <f t="shared" ca="1" si="114"/>
        <v>OK</v>
      </c>
      <c r="K3665" s="366" t="s">
        <v>1706</v>
      </c>
      <c r="L3665" s="366" t="s">
        <v>2244</v>
      </c>
      <c r="M3665" s="350" t="str">
        <f>IF($B3665="Portfolio","Portfolio",IFERROR(INDEX(DATA_ASSET_CLASSIFICATION!$B$8:$B$24,MATCH($C3665,DATA_ASSET_CLASSIFICATION!$A$8:$A$24,0)),"Review"))</f>
        <v>Newton Green</v>
      </c>
      <c r="N3665" s="350" t="str">
        <f ca="1">IF($B3665="Portfolio","Portfolio",IFERROR(INDEX(DATA_ASSET_CLASSIFICATION!$U$8:$U$24,MATCH($C3665,DATA_ASSET_CLASSIFICATION!$A$8:$A$24,0)),"Review"))</f>
        <v>Refi Watch</v>
      </c>
      <c r="O3665" s="350" t="str">
        <f ca="1">IF($B3665="Portfolio","Portfolio",IFERROR(INDEX(DATA_ASSET_CLASSIFICATION!$AB$8:$AB$13,MATCH($N3665,DATA_ASSET_CLASSIFICATION!$AA$8:$AA$13,0)),"Review"))</f>
        <v>Bucket 2 · Legacy</v>
      </c>
      <c r="P3665" s="350" t="str">
        <f>IF($B3665="Portfolio","Portfolio",IFERROR(INDEX(DATA_ASSET_CLASSIFICATION!$C$8:$C$24,MATCH($C3665,DATA_ASSET_CLASSIFICATION!$A$8:$A$24,0)),"Review"))</f>
        <v>Yes</v>
      </c>
      <c r="Q3665" s="350" t="str">
        <f t="shared" ca="1" si="115"/>
        <v>OK</v>
      </c>
    </row>
    <row r="3666" spans="1:17">
      <c r="A3666" s="366" t="s">
        <v>5622</v>
      </c>
      <c r="B3666" s="366" t="s">
        <v>231</v>
      </c>
      <c r="C3666" s="348" t="str">
        <f>DATA_PROPERTY_MASTER!$A$16</f>
        <v>BLD_NG</v>
      </c>
      <c r="D3666" s="380">
        <f>'00_PORTFOLIO ROLLUP'!P$12</f>
        <v>2036</v>
      </c>
      <c r="E3666" s="366" t="s">
        <v>1683</v>
      </c>
      <c r="F3666" s="366" t="s">
        <v>25</v>
      </c>
      <c r="G3666" s="348" t="str">
        <f>"'"&amp;$C3666&amp;"'!$E$52:$Y$52"</f>
        <v>'BLD_NG'!$E$52:$Y$52</v>
      </c>
      <c r="H3666" s="381">
        <f ca="1">IF(IFERROR(INDEX(DATA_PROPERTY_MASTER!$E$5:$E$21,MATCH($C3666,DATA_PROPERTY_MASTER!$A$5:$A$21,0))="Yes",FALSE),IFERROR(INDEX(INDIRECT("'"&amp;$C3666&amp;"'!$E$52:$Y$52"),1,MATCH($D3666,INDIRECT("'"&amp;$C3666&amp;"'!$E$12:$Y$12"),0)),0),0)</f>
        <v>178337.76202996692</v>
      </c>
      <c r="I3666" s="366" t="s">
        <v>1685</v>
      </c>
      <c r="J3666" s="348" t="str">
        <f t="shared" ca="1" si="114"/>
        <v>OK</v>
      </c>
      <c r="K3666" s="366" t="s">
        <v>1710</v>
      </c>
      <c r="L3666" s="366" t="s">
        <v>2246</v>
      </c>
      <c r="M3666" s="350" t="str">
        <f>IF($B3666="Portfolio","Portfolio",IFERROR(INDEX(DATA_ASSET_CLASSIFICATION!$B$8:$B$24,MATCH($C3666,DATA_ASSET_CLASSIFICATION!$A$8:$A$24,0)),"Review"))</f>
        <v>Newton Green</v>
      </c>
      <c r="N3666" s="350" t="str">
        <f ca="1">IF($B3666="Portfolio","Portfolio",IFERROR(INDEX(DATA_ASSET_CLASSIFICATION!$U$8:$U$24,MATCH($C3666,DATA_ASSET_CLASSIFICATION!$A$8:$A$24,0)),"Review"))</f>
        <v>Refi Watch</v>
      </c>
      <c r="O3666" s="350" t="str">
        <f ca="1">IF($B3666="Portfolio","Portfolio",IFERROR(INDEX(DATA_ASSET_CLASSIFICATION!$AB$8:$AB$13,MATCH($N3666,DATA_ASSET_CLASSIFICATION!$AA$8:$AA$13,0)),"Review"))</f>
        <v>Bucket 2 · Legacy</v>
      </c>
      <c r="P3666" s="350" t="str">
        <f>IF($B3666="Portfolio","Portfolio",IFERROR(INDEX(DATA_ASSET_CLASSIFICATION!$C$8:$C$24,MATCH($C3666,DATA_ASSET_CLASSIFICATION!$A$8:$A$24,0)),"Review"))</f>
        <v>Yes</v>
      </c>
      <c r="Q3666" s="350" t="str">
        <f t="shared" ca="1" si="115"/>
        <v>OK</v>
      </c>
    </row>
    <row r="3667" spans="1:17">
      <c r="A3667" s="366" t="s">
        <v>5623</v>
      </c>
      <c r="B3667" s="366" t="s">
        <v>231</v>
      </c>
      <c r="C3667" s="348" t="str">
        <f>DATA_PROPERTY_MASTER!$A$16</f>
        <v>BLD_NG</v>
      </c>
      <c r="D3667" s="380">
        <f>'00_PORTFOLIO ROLLUP'!P$12</f>
        <v>2036</v>
      </c>
      <c r="E3667" s="366" t="s">
        <v>1683</v>
      </c>
      <c r="F3667" s="366" t="s">
        <v>27</v>
      </c>
      <c r="G3667" s="348" t="str">
        <f>"'"&amp;$C3667&amp;"'!$E$54:$Y$54"</f>
        <v>'BLD_NG'!$E$54:$Y$54</v>
      </c>
      <c r="H3667" s="381">
        <f ca="1">IF(IFERROR(INDEX(DATA_PROPERTY_MASTER!$E$5:$E$21,MATCH($C3667,DATA_PROPERTY_MASTER!$A$5:$A$21,0))="Yes",FALSE),IFERROR(INDEX(INDIRECT("'"&amp;$C3667&amp;"'!$E$54:$Y$54"),1,MATCH($D3667,INDIRECT("'"&amp;$C3667&amp;"'!$E$12:$Y$12"),0)),0),0)</f>
        <v>107002.65721798014</v>
      </c>
      <c r="I3667" s="366" t="s">
        <v>1690</v>
      </c>
      <c r="J3667" s="348" t="str">
        <f t="shared" ca="1" si="114"/>
        <v>OK</v>
      </c>
      <c r="K3667" s="366" t="s">
        <v>1714</v>
      </c>
      <c r="L3667" s="366" t="s">
        <v>2248</v>
      </c>
      <c r="M3667" s="350" t="str">
        <f>IF($B3667="Portfolio","Portfolio",IFERROR(INDEX(DATA_ASSET_CLASSIFICATION!$B$8:$B$24,MATCH($C3667,DATA_ASSET_CLASSIFICATION!$A$8:$A$24,0)),"Review"))</f>
        <v>Newton Green</v>
      </c>
      <c r="N3667" s="350" t="str">
        <f ca="1">IF($B3667="Portfolio","Portfolio",IFERROR(INDEX(DATA_ASSET_CLASSIFICATION!$U$8:$U$24,MATCH($C3667,DATA_ASSET_CLASSIFICATION!$A$8:$A$24,0)),"Review"))</f>
        <v>Refi Watch</v>
      </c>
      <c r="O3667" s="350" t="str">
        <f ca="1">IF($B3667="Portfolio","Portfolio",IFERROR(INDEX(DATA_ASSET_CLASSIFICATION!$AB$8:$AB$13,MATCH($N3667,DATA_ASSET_CLASSIFICATION!$AA$8:$AA$13,0)),"Review"))</f>
        <v>Bucket 2 · Legacy</v>
      </c>
      <c r="P3667" s="350" t="str">
        <f>IF($B3667="Portfolio","Portfolio",IFERROR(INDEX(DATA_ASSET_CLASSIFICATION!$C$8:$C$24,MATCH($C3667,DATA_ASSET_CLASSIFICATION!$A$8:$A$24,0)),"Review"))</f>
        <v>Yes</v>
      </c>
      <c r="Q3667" s="350" t="str">
        <f t="shared" ca="1" si="115"/>
        <v>OK</v>
      </c>
    </row>
    <row r="3668" spans="1:17">
      <c r="A3668" s="366" t="s">
        <v>5624</v>
      </c>
      <c r="B3668" s="366" t="s">
        <v>231</v>
      </c>
      <c r="C3668" s="348" t="str">
        <f>DATA_PROPERTY_MASTER!$A$16</f>
        <v>BLD_NG</v>
      </c>
      <c r="D3668" s="380">
        <f>'00_PORTFOLIO ROLLUP'!P$12</f>
        <v>2036</v>
      </c>
      <c r="E3668" s="366" t="s">
        <v>1683</v>
      </c>
      <c r="F3668" s="366" t="s">
        <v>29</v>
      </c>
      <c r="G3668" s="348" t="str">
        <f>"'"&amp;$C3668&amp;"'!$E$56:$Y$56"</f>
        <v>'BLD_NG'!$E$56:$Y$56</v>
      </c>
      <c r="H3668" s="381">
        <f ca="1">IF(IFERROR(INDEX(DATA_PROPERTY_MASTER!$E$5:$E$21,MATCH($C3668,DATA_PROPERTY_MASTER!$A$5:$A$21,0))="Yes",FALSE),IFERROR(INDEX(INDIRECT("'"&amp;$C3668&amp;"'!$E$56:$Y$56"),1,MATCH($D3668,INDIRECT("'"&amp;$C3668&amp;"'!$E$12:$Y$12"),0)),0),0)</f>
        <v>71335.104811986777</v>
      </c>
      <c r="I3668" s="366" t="s">
        <v>1685</v>
      </c>
      <c r="J3668" s="348" t="str">
        <f t="shared" ca="1" si="114"/>
        <v>OK</v>
      </c>
      <c r="K3668" s="366" t="s">
        <v>1718</v>
      </c>
      <c r="L3668" s="366" t="s">
        <v>2250</v>
      </c>
      <c r="M3668" s="350" t="str">
        <f>IF($B3668="Portfolio","Portfolio",IFERROR(INDEX(DATA_ASSET_CLASSIFICATION!$B$8:$B$24,MATCH($C3668,DATA_ASSET_CLASSIFICATION!$A$8:$A$24,0)),"Review"))</f>
        <v>Newton Green</v>
      </c>
      <c r="N3668" s="350" t="str">
        <f ca="1">IF($B3668="Portfolio","Portfolio",IFERROR(INDEX(DATA_ASSET_CLASSIFICATION!$U$8:$U$24,MATCH($C3668,DATA_ASSET_CLASSIFICATION!$A$8:$A$24,0)),"Review"))</f>
        <v>Refi Watch</v>
      </c>
      <c r="O3668" s="350" t="str">
        <f ca="1">IF($B3668="Portfolio","Portfolio",IFERROR(INDEX(DATA_ASSET_CLASSIFICATION!$AB$8:$AB$13,MATCH($N3668,DATA_ASSET_CLASSIFICATION!$AA$8:$AA$13,0)),"Review"))</f>
        <v>Bucket 2 · Legacy</v>
      </c>
      <c r="P3668" s="350" t="str">
        <f>IF($B3668="Portfolio","Portfolio",IFERROR(INDEX(DATA_ASSET_CLASSIFICATION!$C$8:$C$24,MATCH($C3668,DATA_ASSET_CLASSIFICATION!$A$8:$A$24,0)),"Review"))</f>
        <v>Yes</v>
      </c>
      <c r="Q3668" s="350" t="str">
        <f t="shared" ca="1" si="115"/>
        <v>OK</v>
      </c>
    </row>
    <row r="3669" spans="1:17">
      <c r="A3669" s="366" t="s">
        <v>5625</v>
      </c>
      <c r="B3669" s="366" t="s">
        <v>231</v>
      </c>
      <c r="C3669" s="348" t="str">
        <f>DATA_PROPERTY_MASTER!$A$16</f>
        <v>BLD_NG</v>
      </c>
      <c r="D3669" s="380">
        <f>'00_PORTFOLIO ROLLUP'!P$12</f>
        <v>2036</v>
      </c>
      <c r="E3669" s="366" t="s">
        <v>1721</v>
      </c>
      <c r="F3669" s="366" t="s">
        <v>31</v>
      </c>
      <c r="G3669" s="348" t="str">
        <f>"'"&amp;$C3669&amp;"'!$E$61:$Y$61"</f>
        <v>'BLD_NG'!$E$61:$Y$61</v>
      </c>
      <c r="H3669" s="381">
        <f ca="1">IF(IFERROR(INDEX(DATA_PROPERTY_MASTER!$E$5:$E$21,MATCH($C3669,DATA_PROPERTY_MASTER!$A$5:$A$21,0))="Yes",FALSE),IFERROR(INDEX(INDIRECT("'"&amp;$C3669&amp;"'!$E$61:$Y$61"),1,MATCH($D3669,INDIRECT("'"&amp;$C3669&amp;"'!$E$12:$Y$12"),0)),0),0)</f>
        <v>0</v>
      </c>
      <c r="I3669" s="366" t="s">
        <v>1690</v>
      </c>
      <c r="J3669" s="348" t="str">
        <f t="shared" ca="1" si="114"/>
        <v>OK</v>
      </c>
      <c r="K3669" s="366" t="s">
        <v>1723</v>
      </c>
      <c r="L3669" s="366" t="s">
        <v>2252</v>
      </c>
      <c r="M3669" s="350" t="str">
        <f>IF($B3669="Portfolio","Portfolio",IFERROR(INDEX(DATA_ASSET_CLASSIFICATION!$B$8:$B$24,MATCH($C3669,DATA_ASSET_CLASSIFICATION!$A$8:$A$24,0)),"Review"))</f>
        <v>Newton Green</v>
      </c>
      <c r="N3669" s="350" t="str">
        <f ca="1">IF($B3669="Portfolio","Portfolio",IFERROR(INDEX(DATA_ASSET_CLASSIFICATION!$U$8:$U$24,MATCH($C3669,DATA_ASSET_CLASSIFICATION!$A$8:$A$24,0)),"Review"))</f>
        <v>Refi Watch</v>
      </c>
      <c r="O3669" s="350" t="str">
        <f ca="1">IF($B3669="Portfolio","Portfolio",IFERROR(INDEX(DATA_ASSET_CLASSIFICATION!$AB$8:$AB$13,MATCH($N3669,DATA_ASSET_CLASSIFICATION!$AA$8:$AA$13,0)),"Review"))</f>
        <v>Bucket 2 · Legacy</v>
      </c>
      <c r="P3669" s="350" t="str">
        <f>IF($B3669="Portfolio","Portfolio",IFERROR(INDEX(DATA_ASSET_CLASSIFICATION!$C$8:$C$24,MATCH($C3669,DATA_ASSET_CLASSIFICATION!$A$8:$A$24,0)),"Review"))</f>
        <v>Yes</v>
      </c>
      <c r="Q3669" s="350" t="str">
        <f t="shared" ca="1" si="115"/>
        <v>OK</v>
      </c>
    </row>
    <row r="3670" spans="1:17">
      <c r="A3670" s="366" t="s">
        <v>5626</v>
      </c>
      <c r="B3670" s="366" t="s">
        <v>231</v>
      </c>
      <c r="C3670" s="348" t="str">
        <f>DATA_PROPERTY_MASTER!$A$16</f>
        <v>BLD_NG</v>
      </c>
      <c r="D3670" s="380">
        <f>'00_PORTFOLIO ROLLUP'!P$12</f>
        <v>2036</v>
      </c>
      <c r="E3670" s="366" t="s">
        <v>1721</v>
      </c>
      <c r="F3670" s="366" t="s">
        <v>33</v>
      </c>
      <c r="G3670" s="348" t="str">
        <f>"'"&amp;$C3670&amp;"'!$E$62:$Y$62"</f>
        <v>'BLD_NG'!$E$62:$Y$62</v>
      </c>
      <c r="H3670" s="381">
        <f ca="1">IF(IFERROR(INDEX(DATA_PROPERTY_MASTER!$E$5:$E$21,MATCH($C3670,DATA_PROPERTY_MASTER!$A$5:$A$21,0))="Yes",FALSE),IFERROR(INDEX(INDIRECT("'"&amp;$C3670&amp;"'!$E$62:$Y$62"),1,MATCH($D3670,INDIRECT("'"&amp;$C3670&amp;"'!$E$12:$Y$12"),0)),0),0)</f>
        <v>0</v>
      </c>
      <c r="I3670" s="366" t="s">
        <v>1685</v>
      </c>
      <c r="J3670" s="348" t="str">
        <f t="shared" ca="1" si="114"/>
        <v>OK</v>
      </c>
      <c r="K3670" s="366" t="s">
        <v>1727</v>
      </c>
      <c r="L3670" s="366" t="s">
        <v>2254</v>
      </c>
      <c r="M3670" s="350" t="str">
        <f>IF($B3670="Portfolio","Portfolio",IFERROR(INDEX(DATA_ASSET_CLASSIFICATION!$B$8:$B$24,MATCH($C3670,DATA_ASSET_CLASSIFICATION!$A$8:$A$24,0)),"Review"))</f>
        <v>Newton Green</v>
      </c>
      <c r="N3670" s="350" t="str">
        <f ca="1">IF($B3670="Portfolio","Portfolio",IFERROR(INDEX(DATA_ASSET_CLASSIFICATION!$U$8:$U$24,MATCH($C3670,DATA_ASSET_CLASSIFICATION!$A$8:$A$24,0)),"Review"))</f>
        <v>Refi Watch</v>
      </c>
      <c r="O3670" s="350" t="str">
        <f ca="1">IF($B3670="Portfolio","Portfolio",IFERROR(INDEX(DATA_ASSET_CLASSIFICATION!$AB$8:$AB$13,MATCH($N3670,DATA_ASSET_CLASSIFICATION!$AA$8:$AA$13,0)),"Review"))</f>
        <v>Bucket 2 · Legacy</v>
      </c>
      <c r="P3670" s="350" t="str">
        <f>IF($B3670="Portfolio","Portfolio",IFERROR(INDEX(DATA_ASSET_CLASSIFICATION!$C$8:$C$24,MATCH($C3670,DATA_ASSET_CLASSIFICATION!$A$8:$A$24,0)),"Review"))</f>
        <v>Yes</v>
      </c>
      <c r="Q3670" s="350" t="str">
        <f t="shared" ca="1" si="115"/>
        <v>OK</v>
      </c>
    </row>
    <row r="3671" spans="1:17">
      <c r="A3671" s="366" t="s">
        <v>5627</v>
      </c>
      <c r="B3671" s="366" t="s">
        <v>231</v>
      </c>
      <c r="C3671" s="348" t="str">
        <f>DATA_PROPERTY_MASTER!$A$16</f>
        <v>BLD_NG</v>
      </c>
      <c r="D3671" s="380">
        <f>'00_PORTFOLIO ROLLUP'!P$12</f>
        <v>2036</v>
      </c>
      <c r="E3671" s="366" t="s">
        <v>1721</v>
      </c>
      <c r="F3671" s="366" t="s">
        <v>35</v>
      </c>
      <c r="G3671" s="348" t="str">
        <f>"'"&amp;$C3671&amp;"'!$E$63:$Y$63"</f>
        <v>'BLD_NG'!$E$63:$Y$63</v>
      </c>
      <c r="H3671" s="381">
        <f ca="1">IF(IFERROR(INDEX(DATA_PROPERTY_MASTER!$E$5:$E$21,MATCH($C3671,DATA_PROPERTY_MASTER!$A$5:$A$21,0))="Yes",FALSE),IFERROR(INDEX(INDIRECT("'"&amp;$C3671&amp;"'!$E$63:$Y$63"),1,MATCH($D3671,INDIRECT("'"&amp;$C3671&amp;"'!$E$12:$Y$12"),0)),0),0)</f>
        <v>0</v>
      </c>
      <c r="I3671" s="366" t="s">
        <v>1731</v>
      </c>
      <c r="J3671" s="348" t="str">
        <f t="shared" ca="1" si="114"/>
        <v>OK</v>
      </c>
      <c r="K3671" s="366" t="s">
        <v>1732</v>
      </c>
      <c r="L3671" s="366" t="s">
        <v>2256</v>
      </c>
      <c r="M3671" s="350" t="str">
        <f>IF($B3671="Portfolio","Portfolio",IFERROR(INDEX(DATA_ASSET_CLASSIFICATION!$B$8:$B$24,MATCH($C3671,DATA_ASSET_CLASSIFICATION!$A$8:$A$24,0)),"Review"))</f>
        <v>Newton Green</v>
      </c>
      <c r="N3671" s="350" t="str">
        <f ca="1">IF($B3671="Portfolio","Portfolio",IFERROR(INDEX(DATA_ASSET_CLASSIFICATION!$U$8:$U$24,MATCH($C3671,DATA_ASSET_CLASSIFICATION!$A$8:$A$24,0)),"Review"))</f>
        <v>Refi Watch</v>
      </c>
      <c r="O3671" s="350" t="str">
        <f ca="1">IF($B3671="Portfolio","Portfolio",IFERROR(INDEX(DATA_ASSET_CLASSIFICATION!$AB$8:$AB$13,MATCH($N3671,DATA_ASSET_CLASSIFICATION!$AA$8:$AA$13,0)),"Review"))</f>
        <v>Bucket 2 · Legacy</v>
      </c>
      <c r="P3671" s="350" t="str">
        <f>IF($B3671="Portfolio","Portfolio",IFERROR(INDEX(DATA_ASSET_CLASSIFICATION!$C$8:$C$24,MATCH($C3671,DATA_ASSET_CLASSIFICATION!$A$8:$A$24,0)),"Review"))</f>
        <v>Yes</v>
      </c>
      <c r="Q3671" s="350" t="str">
        <f t="shared" ca="1" si="115"/>
        <v>OK</v>
      </c>
    </row>
    <row r="3672" spans="1:17">
      <c r="A3672" s="366" t="s">
        <v>5628</v>
      </c>
      <c r="B3672" s="366" t="s">
        <v>231</v>
      </c>
      <c r="C3672" s="348" t="str">
        <f>DATA_PROPERTY_MASTER!$A$16</f>
        <v>BLD_NG</v>
      </c>
      <c r="D3672" s="380">
        <f>'00_PORTFOLIO ROLLUP'!P$12</f>
        <v>2036</v>
      </c>
      <c r="E3672" s="366" t="s">
        <v>1721</v>
      </c>
      <c r="F3672" s="366" t="s">
        <v>37</v>
      </c>
      <c r="G3672" s="348" t="str">
        <f>"'"&amp;$C3672&amp;"'!$E$63:$Y$63"</f>
        <v>'BLD_NG'!$E$63:$Y$63</v>
      </c>
      <c r="H3672" s="381">
        <f ca="1">IF(IFERROR(INDEX(DATA_PROPERTY_MASTER!$E$5:$E$21,MATCH($C3672,DATA_PROPERTY_MASTER!$A$5:$A$21,0))="Yes",FALSE),MAX(IFERROR(INDEX(INDIRECT("'"&amp;$C3672&amp;"'!$E$63:$Y$63"),1,MATCH($D3672,INDIRECT("'"&amp;$C3672&amp;"'!$E$12:$Y$12"),0)),0),0),0)</f>
        <v>0</v>
      </c>
      <c r="I3672" s="366" t="s">
        <v>1685</v>
      </c>
      <c r="J3672" s="348" t="str">
        <f t="shared" ca="1" si="114"/>
        <v>OK</v>
      </c>
      <c r="K3672" s="366" t="s">
        <v>1735</v>
      </c>
      <c r="L3672" s="366" t="s">
        <v>2258</v>
      </c>
      <c r="M3672" s="350" t="str">
        <f>IF($B3672="Portfolio","Portfolio",IFERROR(INDEX(DATA_ASSET_CLASSIFICATION!$B$8:$B$24,MATCH($C3672,DATA_ASSET_CLASSIFICATION!$A$8:$A$24,0)),"Review"))</f>
        <v>Newton Green</v>
      </c>
      <c r="N3672" s="350" t="str">
        <f ca="1">IF($B3672="Portfolio","Portfolio",IFERROR(INDEX(DATA_ASSET_CLASSIFICATION!$U$8:$U$24,MATCH($C3672,DATA_ASSET_CLASSIFICATION!$A$8:$A$24,0)),"Review"))</f>
        <v>Refi Watch</v>
      </c>
      <c r="O3672" s="350" t="str">
        <f ca="1">IF($B3672="Portfolio","Portfolio",IFERROR(INDEX(DATA_ASSET_CLASSIFICATION!$AB$8:$AB$13,MATCH($N3672,DATA_ASSET_CLASSIFICATION!$AA$8:$AA$13,0)),"Review"))</f>
        <v>Bucket 2 · Legacy</v>
      </c>
      <c r="P3672" s="350" t="str">
        <f>IF($B3672="Portfolio","Portfolio",IFERROR(INDEX(DATA_ASSET_CLASSIFICATION!$C$8:$C$24,MATCH($C3672,DATA_ASSET_CLASSIFICATION!$A$8:$A$24,0)),"Review"))</f>
        <v>Yes</v>
      </c>
      <c r="Q3672" s="350" t="str">
        <f t="shared" ca="1" si="115"/>
        <v>OK</v>
      </c>
    </row>
    <row r="3673" spans="1:17">
      <c r="A3673" s="366" t="s">
        <v>5629</v>
      </c>
      <c r="B3673" s="366" t="s">
        <v>231</v>
      </c>
      <c r="C3673" s="348" t="str">
        <f>DATA_PROPERTY_MASTER!$A$16</f>
        <v>BLD_NG</v>
      </c>
      <c r="D3673" s="380">
        <f>'00_PORTFOLIO ROLLUP'!P$12</f>
        <v>2036</v>
      </c>
      <c r="E3673" s="366" t="s">
        <v>1721</v>
      </c>
      <c r="F3673" s="366" t="s">
        <v>39</v>
      </c>
      <c r="G3673" s="348" t="str">
        <f>"'"&amp;$C3673&amp;"'!$E$63:$Y$63"</f>
        <v>'BLD_NG'!$E$63:$Y$63</v>
      </c>
      <c r="H3673" s="381">
        <f ca="1">IF(IFERROR(INDEX(DATA_PROPERTY_MASTER!$E$5:$E$21,MATCH($C3673,DATA_PROPERTY_MASTER!$A$5:$A$21,0))="Yes",FALSE),MAX(-IFERROR(INDEX(INDIRECT("'"&amp;$C3673&amp;"'!$E$63:$Y$63"),1,MATCH($D3673,INDIRECT("'"&amp;$C3673&amp;"'!$E$12:$Y$12"),0)),0),0),0)</f>
        <v>0</v>
      </c>
      <c r="I3673" s="366" t="s">
        <v>1690</v>
      </c>
      <c r="J3673" s="348" t="str">
        <f t="shared" ca="1" si="114"/>
        <v>OK</v>
      </c>
      <c r="K3673" s="366" t="s">
        <v>1738</v>
      </c>
      <c r="L3673" s="366" t="s">
        <v>2260</v>
      </c>
      <c r="M3673" s="350" t="str">
        <f>IF($B3673="Portfolio","Portfolio",IFERROR(INDEX(DATA_ASSET_CLASSIFICATION!$B$8:$B$24,MATCH($C3673,DATA_ASSET_CLASSIFICATION!$A$8:$A$24,0)),"Review"))</f>
        <v>Newton Green</v>
      </c>
      <c r="N3673" s="350" t="str">
        <f ca="1">IF($B3673="Portfolio","Portfolio",IFERROR(INDEX(DATA_ASSET_CLASSIFICATION!$U$8:$U$24,MATCH($C3673,DATA_ASSET_CLASSIFICATION!$A$8:$A$24,0)),"Review"))</f>
        <v>Refi Watch</v>
      </c>
      <c r="O3673" s="350" t="str">
        <f ca="1">IF($B3673="Portfolio","Portfolio",IFERROR(INDEX(DATA_ASSET_CLASSIFICATION!$AB$8:$AB$13,MATCH($N3673,DATA_ASSET_CLASSIFICATION!$AA$8:$AA$13,0)),"Review"))</f>
        <v>Bucket 2 · Legacy</v>
      </c>
      <c r="P3673" s="350" t="str">
        <f>IF($B3673="Portfolio","Portfolio",IFERROR(INDEX(DATA_ASSET_CLASSIFICATION!$C$8:$C$24,MATCH($C3673,DATA_ASSET_CLASSIFICATION!$A$8:$A$24,0)),"Review"))</f>
        <v>Yes</v>
      </c>
      <c r="Q3673" s="350" t="str">
        <f t="shared" ca="1" si="115"/>
        <v>OK</v>
      </c>
    </row>
    <row r="3674" spans="1:17">
      <c r="A3674" s="366" t="s">
        <v>5630</v>
      </c>
      <c r="B3674" s="366" t="s">
        <v>231</v>
      </c>
      <c r="C3674" s="348" t="str">
        <f>DATA_PROPERTY_MASTER!$A$16</f>
        <v>BLD_NG</v>
      </c>
      <c r="D3674" s="380">
        <f>'00_PORTFOLIO ROLLUP'!P$12</f>
        <v>2036</v>
      </c>
      <c r="E3674" s="366" t="s">
        <v>1741</v>
      </c>
      <c r="F3674" s="366" t="s">
        <v>41</v>
      </c>
      <c r="G3674" s="348" t="str">
        <f>"'"&amp;$C3674&amp;"'!rows 56 + positive row 63"</f>
        <v>'BLD_NG'!rows 56 + positive row 63</v>
      </c>
      <c r="H3674" s="381">
        <f ca="1">IF(IFERROR(INDEX(DATA_PROPERTY_MASTER!$E$5:$E$21,MATCH($C3674,DATA_PROPERTY_MASTER!$A$5:$A$21,0))="Yes",FALSE),IFERROR(INDEX(INDIRECT("'"&amp;$C3674&amp;"'!$E$56:$Y$56"),1,MATCH($D3674,INDIRECT("'"&amp;$C3674&amp;"'!$E$12:$Y$12"),0)),0)+MAX(IFERROR(INDEX(INDIRECT("'"&amp;$C3674&amp;"'!$E$63:$Y$63"),1,MATCH($D3674,INDIRECT("'"&amp;$C3674&amp;"'!$E$12:$Y$12"),0)),0),0),0)</f>
        <v>71335.104811986777</v>
      </c>
      <c r="I3674" s="366" t="s">
        <v>1685</v>
      </c>
      <c r="J3674" s="348" t="str">
        <f t="shared" ca="1" si="114"/>
        <v>OK</v>
      </c>
      <c r="K3674" s="366" t="s">
        <v>1742</v>
      </c>
      <c r="L3674" s="366" t="s">
        <v>2262</v>
      </c>
      <c r="M3674" s="350" t="str">
        <f>IF($B3674="Portfolio","Portfolio",IFERROR(INDEX(DATA_ASSET_CLASSIFICATION!$B$8:$B$24,MATCH($C3674,DATA_ASSET_CLASSIFICATION!$A$8:$A$24,0)),"Review"))</f>
        <v>Newton Green</v>
      </c>
      <c r="N3674" s="350" t="str">
        <f ca="1">IF($B3674="Portfolio","Portfolio",IFERROR(INDEX(DATA_ASSET_CLASSIFICATION!$U$8:$U$24,MATCH($C3674,DATA_ASSET_CLASSIFICATION!$A$8:$A$24,0)),"Review"))</f>
        <v>Refi Watch</v>
      </c>
      <c r="O3674" s="350" t="str">
        <f ca="1">IF($B3674="Portfolio","Portfolio",IFERROR(INDEX(DATA_ASSET_CLASSIFICATION!$AB$8:$AB$13,MATCH($N3674,DATA_ASSET_CLASSIFICATION!$AA$8:$AA$13,0)),"Review"))</f>
        <v>Bucket 2 · Legacy</v>
      </c>
      <c r="P3674" s="350" t="str">
        <f>IF($B3674="Portfolio","Portfolio",IFERROR(INDEX(DATA_ASSET_CLASSIFICATION!$C$8:$C$24,MATCH($C3674,DATA_ASSET_CLASSIFICATION!$A$8:$A$24,0)),"Review"))</f>
        <v>Yes</v>
      </c>
      <c r="Q3674" s="350" t="str">
        <f t="shared" ca="1" si="115"/>
        <v>OK</v>
      </c>
    </row>
    <row r="3675" spans="1:17">
      <c r="A3675" s="366" t="s">
        <v>5631</v>
      </c>
      <c r="B3675" s="366" t="s">
        <v>231</v>
      </c>
      <c r="C3675" s="348" t="str">
        <f>DATA_PROPERTY_MASTER!$A$16</f>
        <v>BLD_NG</v>
      </c>
      <c r="D3675" s="380">
        <f>'00_PORTFOLIO ROLLUP'!P$12</f>
        <v>2036</v>
      </c>
      <c r="E3675" s="366" t="s">
        <v>1741</v>
      </c>
      <c r="F3675" s="366" t="s">
        <v>43</v>
      </c>
      <c r="G3675" s="348" t="str">
        <f>"'"&amp;$C3675&amp;"'!$E$68:$Y$68"</f>
        <v>'BLD_NG'!$E$68:$Y$68</v>
      </c>
      <c r="H3675" s="381">
        <f ca="1">IF(IFERROR(INDEX(DATA_PROPERTY_MASTER!$E$5:$E$21,MATCH($C3675,DATA_PROPERTY_MASTER!$A$5:$A$21,0))="Yes",FALSE),IFERROR(INDEX(INDIRECT("'"&amp;$C3675&amp;"'!$E$68:$Y$68"),1,MATCH($D3675,INDIRECT("'"&amp;$C3675&amp;"'!$E$12:$Y$12"),0)),0),0)</f>
        <v>71335.104811986777</v>
      </c>
      <c r="I3675" s="366" t="s">
        <v>1731</v>
      </c>
      <c r="J3675" s="348" t="str">
        <f t="shared" ca="1" si="114"/>
        <v>OK</v>
      </c>
      <c r="K3675" s="366" t="s">
        <v>1746</v>
      </c>
      <c r="L3675" s="366" t="s">
        <v>2264</v>
      </c>
      <c r="M3675" s="350" t="str">
        <f>IF($B3675="Portfolio","Portfolio",IFERROR(INDEX(DATA_ASSET_CLASSIFICATION!$B$8:$B$24,MATCH($C3675,DATA_ASSET_CLASSIFICATION!$A$8:$A$24,0)),"Review"))</f>
        <v>Newton Green</v>
      </c>
      <c r="N3675" s="350" t="str">
        <f ca="1">IF($B3675="Portfolio","Portfolio",IFERROR(INDEX(DATA_ASSET_CLASSIFICATION!$U$8:$U$24,MATCH($C3675,DATA_ASSET_CLASSIFICATION!$A$8:$A$24,0)),"Review"))</f>
        <v>Refi Watch</v>
      </c>
      <c r="O3675" s="350" t="str">
        <f ca="1">IF($B3675="Portfolio","Portfolio",IFERROR(INDEX(DATA_ASSET_CLASSIFICATION!$AB$8:$AB$13,MATCH($N3675,DATA_ASSET_CLASSIFICATION!$AA$8:$AA$13,0)),"Review"))</f>
        <v>Bucket 2 · Legacy</v>
      </c>
      <c r="P3675" s="350" t="str">
        <f>IF($B3675="Portfolio","Portfolio",IFERROR(INDEX(DATA_ASSET_CLASSIFICATION!$C$8:$C$24,MATCH($C3675,DATA_ASSET_CLASSIFICATION!$A$8:$A$24,0)),"Review"))</f>
        <v>Yes</v>
      </c>
      <c r="Q3675" s="350" t="str">
        <f t="shared" ca="1" si="115"/>
        <v>OK</v>
      </c>
    </row>
    <row r="3676" spans="1:17">
      <c r="A3676" s="366" t="s">
        <v>5632</v>
      </c>
      <c r="B3676" s="366" t="s">
        <v>231</v>
      </c>
      <c r="C3676" s="348" t="str">
        <f>DATA_PROPERTY_MASTER!$A$16</f>
        <v>BLD_NG</v>
      </c>
      <c r="D3676" s="380">
        <f>'00_PORTFOLIO ROLLUP'!P$12</f>
        <v>2036</v>
      </c>
      <c r="E3676" s="366" t="s">
        <v>1741</v>
      </c>
      <c r="F3676" s="366" t="s">
        <v>1749</v>
      </c>
      <c r="G3676" s="348" t="str">
        <f>"'"&amp;$C3676&amp;"'!rows 56, 63, 68"</f>
        <v>'BLD_NG'!rows 56, 63, 68</v>
      </c>
      <c r="H3676" s="381">
        <f ca="1">IF(IFERROR(INDEX(DATA_PROPERTY_MASTER!$E$5:$E$21,MATCH($C3676,DATA_PROPERTY_MASTER!$A$5:$A$21,0))="Yes",FALSE),(IFERROR(INDEX(INDIRECT("'"&amp;$C3676&amp;"'!$E$56:$Y$56"),1,MATCH($D3676,INDIRECT("'"&amp;$C3676&amp;"'!$E$12:$Y$12"),0)),0)+MAX(IFERROR(INDEX(INDIRECT("'"&amp;$C3676&amp;"'!$E$63:$Y$63"),1,MATCH($D3676,INDIRECT("'"&amp;$C3676&amp;"'!$E$12:$Y$12"),0)),0),0))-(IFERROR(INDEX(INDIRECT("'"&amp;$C3676&amp;"'!$E$68:$Y$68"),1,MATCH($D3676,INDIRECT("'"&amp;$C3676&amp;"'!$E$12:$Y$12"),0)),0)),0)</f>
        <v>0</v>
      </c>
      <c r="I3676" s="366" t="s">
        <v>1750</v>
      </c>
      <c r="J3676" s="348" t="str">
        <f t="shared" ca="1" si="114"/>
        <v>OK</v>
      </c>
      <c r="K3676" s="366" t="s">
        <v>1751</v>
      </c>
      <c r="L3676" s="366" t="s">
        <v>2266</v>
      </c>
      <c r="M3676" s="350" t="str">
        <f>IF($B3676="Portfolio","Portfolio",IFERROR(INDEX(DATA_ASSET_CLASSIFICATION!$B$8:$B$24,MATCH($C3676,DATA_ASSET_CLASSIFICATION!$A$8:$A$24,0)),"Review"))</f>
        <v>Newton Green</v>
      </c>
      <c r="N3676" s="350" t="str">
        <f ca="1">IF($B3676="Portfolio","Portfolio",IFERROR(INDEX(DATA_ASSET_CLASSIFICATION!$U$8:$U$24,MATCH($C3676,DATA_ASSET_CLASSIFICATION!$A$8:$A$24,0)),"Review"))</f>
        <v>Refi Watch</v>
      </c>
      <c r="O3676" s="350" t="str">
        <f ca="1">IF($B3676="Portfolio","Portfolio",IFERROR(INDEX(DATA_ASSET_CLASSIFICATION!$AB$8:$AB$13,MATCH($N3676,DATA_ASSET_CLASSIFICATION!$AA$8:$AA$13,0)),"Review"))</f>
        <v>Bucket 2 · Legacy</v>
      </c>
      <c r="P3676" s="350" t="str">
        <f>IF($B3676="Portfolio","Portfolio",IFERROR(INDEX(DATA_ASSET_CLASSIFICATION!$C$8:$C$24,MATCH($C3676,DATA_ASSET_CLASSIFICATION!$A$8:$A$24,0)),"Review"))</f>
        <v>Yes</v>
      </c>
      <c r="Q3676" s="350" t="str">
        <f t="shared" ca="1" si="115"/>
        <v>OK</v>
      </c>
    </row>
    <row r="3677" spans="1:17">
      <c r="A3677" s="366" t="s">
        <v>5633</v>
      </c>
      <c r="B3677" s="366" t="s">
        <v>231</v>
      </c>
      <c r="C3677" s="348" t="str">
        <f>DATA_PROPERTY_MASTER!$A$16</f>
        <v>BLD_NG</v>
      </c>
      <c r="D3677" s="380">
        <f>'00_PORTFOLIO ROLLUP'!Q$12</f>
        <v>2037</v>
      </c>
      <c r="E3677" s="366" t="s">
        <v>1683</v>
      </c>
      <c r="F3677" s="366" t="s">
        <v>341</v>
      </c>
      <c r="G3677" s="348" t="str">
        <f>"'"&amp;$C3677&amp;"'!$E$24:$Y$24"</f>
        <v>'BLD_NG'!$E$24:$Y$24</v>
      </c>
      <c r="H3677" s="381">
        <f ca="1">IF(IFERROR(INDEX(DATA_PROPERTY_MASTER!$E$5:$E$21,MATCH($C3677,DATA_PROPERTY_MASTER!$A$5:$A$21,0))="Yes",FALSE),IFERROR(INDEX(INDIRECT("'"&amp;$C3677&amp;"'!$E$24:$Y$24"),1,MATCH($D3677,INDIRECT("'"&amp;$C3677&amp;"'!$E$12:$Y$12"),0)),0),0)</f>
        <v>985263.1171181862</v>
      </c>
      <c r="I3677" s="366" t="s">
        <v>1685</v>
      </c>
      <c r="J3677" s="348" t="str">
        <f t="shared" ca="1" si="114"/>
        <v>OK</v>
      </c>
      <c r="K3677" s="366" t="s">
        <v>1686</v>
      </c>
      <c r="L3677" s="366" t="s">
        <v>2234</v>
      </c>
      <c r="M3677" s="350" t="str">
        <f>IF($B3677="Portfolio","Portfolio",IFERROR(INDEX(DATA_ASSET_CLASSIFICATION!$B$8:$B$24,MATCH($C3677,DATA_ASSET_CLASSIFICATION!$A$8:$A$24,0)),"Review"))</f>
        <v>Newton Green</v>
      </c>
      <c r="N3677" s="350" t="str">
        <f ca="1">IF($B3677="Portfolio","Portfolio",IFERROR(INDEX(DATA_ASSET_CLASSIFICATION!$U$8:$U$24,MATCH($C3677,DATA_ASSET_CLASSIFICATION!$A$8:$A$24,0)),"Review"))</f>
        <v>Refi Watch</v>
      </c>
      <c r="O3677" s="350" t="str">
        <f ca="1">IF($B3677="Portfolio","Portfolio",IFERROR(INDEX(DATA_ASSET_CLASSIFICATION!$AB$8:$AB$13,MATCH($N3677,DATA_ASSET_CLASSIFICATION!$AA$8:$AA$13,0)),"Review"))</f>
        <v>Bucket 2 · Legacy</v>
      </c>
      <c r="P3677" s="350" t="str">
        <f>IF($B3677="Portfolio","Portfolio",IFERROR(INDEX(DATA_ASSET_CLASSIFICATION!$C$8:$C$24,MATCH($C3677,DATA_ASSET_CLASSIFICATION!$A$8:$A$24,0)),"Review"))</f>
        <v>Yes</v>
      </c>
      <c r="Q3677" s="350" t="str">
        <f t="shared" ca="1" si="115"/>
        <v>OK</v>
      </c>
    </row>
    <row r="3678" spans="1:17">
      <c r="A3678" s="366" t="s">
        <v>5634</v>
      </c>
      <c r="B3678" s="366" t="s">
        <v>231</v>
      </c>
      <c r="C3678" s="348" t="str">
        <f>DATA_PROPERTY_MASTER!$A$16</f>
        <v>BLD_NG</v>
      </c>
      <c r="D3678" s="380">
        <f>'00_PORTFOLIO ROLLUP'!Q$12</f>
        <v>2037</v>
      </c>
      <c r="E3678" s="366" t="s">
        <v>1683</v>
      </c>
      <c r="F3678" s="366" t="s">
        <v>355</v>
      </c>
      <c r="G3678" s="348" t="str">
        <f>"'"&amp;$C3678&amp;"'!$E$39:$Y$39"</f>
        <v>'BLD_NG'!$E$39:$Y$39</v>
      </c>
      <c r="H3678" s="381">
        <f ca="1">IF(IFERROR(INDEX(DATA_PROPERTY_MASTER!$E$5:$E$21,MATCH($C3678,DATA_PROPERTY_MASTER!$A$5:$A$21,0))="Yes",FALSE),IFERROR(INDEX(INDIRECT("'"&amp;$C3678&amp;"'!$E$39:$Y$39"),1,MATCH($D3678,INDIRECT("'"&amp;$C3678&amp;"'!$E$12:$Y$12"),0)),0),0)</f>
        <v>476426.5718503847</v>
      </c>
      <c r="I3678" s="366" t="s">
        <v>1690</v>
      </c>
      <c r="J3678" s="348" t="str">
        <f t="shared" ca="1" si="114"/>
        <v>OK</v>
      </c>
      <c r="K3678" s="366" t="s">
        <v>1686</v>
      </c>
      <c r="L3678" s="366" t="s">
        <v>2236</v>
      </c>
      <c r="M3678" s="350" t="str">
        <f>IF($B3678="Portfolio","Portfolio",IFERROR(INDEX(DATA_ASSET_CLASSIFICATION!$B$8:$B$24,MATCH($C3678,DATA_ASSET_CLASSIFICATION!$A$8:$A$24,0)),"Review"))</f>
        <v>Newton Green</v>
      </c>
      <c r="N3678" s="350" t="str">
        <f ca="1">IF($B3678="Portfolio","Portfolio",IFERROR(INDEX(DATA_ASSET_CLASSIFICATION!$U$8:$U$24,MATCH($C3678,DATA_ASSET_CLASSIFICATION!$A$8:$A$24,0)),"Review"))</f>
        <v>Refi Watch</v>
      </c>
      <c r="O3678" s="350" t="str">
        <f ca="1">IF($B3678="Portfolio","Portfolio",IFERROR(INDEX(DATA_ASSET_CLASSIFICATION!$AB$8:$AB$13,MATCH($N3678,DATA_ASSET_CLASSIFICATION!$AA$8:$AA$13,0)),"Review"))</f>
        <v>Bucket 2 · Legacy</v>
      </c>
      <c r="P3678" s="350" t="str">
        <f>IF($B3678="Portfolio","Portfolio",IFERROR(INDEX(DATA_ASSET_CLASSIFICATION!$C$8:$C$24,MATCH($C3678,DATA_ASSET_CLASSIFICATION!$A$8:$A$24,0)),"Review"))</f>
        <v>Yes</v>
      </c>
      <c r="Q3678" s="350" t="str">
        <f t="shared" ca="1" si="115"/>
        <v>OK</v>
      </c>
    </row>
    <row r="3679" spans="1:17">
      <c r="A3679" s="366" t="s">
        <v>5635</v>
      </c>
      <c r="B3679" s="366" t="s">
        <v>231</v>
      </c>
      <c r="C3679" s="348" t="str">
        <f>DATA_PROPERTY_MASTER!$A$16</f>
        <v>BLD_NG</v>
      </c>
      <c r="D3679" s="380">
        <f>'00_PORTFOLIO ROLLUP'!Q$12</f>
        <v>2037</v>
      </c>
      <c r="E3679" s="366" t="s">
        <v>1683</v>
      </c>
      <c r="F3679" s="366" t="s">
        <v>19</v>
      </c>
      <c r="G3679" s="348" t="str">
        <f>"'"&amp;$C3679&amp;"'!$E$41:$Y$41"</f>
        <v>'BLD_NG'!$E$41:$Y$41</v>
      </c>
      <c r="H3679" s="381">
        <f ca="1">IF(IFERROR(INDEX(DATA_PROPERTY_MASTER!$E$5:$E$21,MATCH($C3679,DATA_PROPERTY_MASTER!$A$5:$A$21,0))="Yes",FALSE),IFERROR(INDEX(INDIRECT("'"&amp;$C3679&amp;"'!$E$41:$Y$41"),1,MATCH($D3679,INDIRECT("'"&amp;$C3679&amp;"'!$E$12:$Y$12"),0)),0),0)</f>
        <v>508836.5452678015</v>
      </c>
      <c r="I3679" s="366" t="s">
        <v>1685</v>
      </c>
      <c r="J3679" s="348" t="str">
        <f t="shared" ca="1" si="114"/>
        <v>OK</v>
      </c>
      <c r="K3679" s="366" t="s">
        <v>1694</v>
      </c>
      <c r="L3679" s="366" t="s">
        <v>2238</v>
      </c>
      <c r="M3679" s="350" t="str">
        <f>IF($B3679="Portfolio","Portfolio",IFERROR(INDEX(DATA_ASSET_CLASSIFICATION!$B$8:$B$24,MATCH($C3679,DATA_ASSET_CLASSIFICATION!$A$8:$A$24,0)),"Review"))</f>
        <v>Newton Green</v>
      </c>
      <c r="N3679" s="350" t="str">
        <f ca="1">IF($B3679="Portfolio","Portfolio",IFERROR(INDEX(DATA_ASSET_CLASSIFICATION!$U$8:$U$24,MATCH($C3679,DATA_ASSET_CLASSIFICATION!$A$8:$A$24,0)),"Review"))</f>
        <v>Refi Watch</v>
      </c>
      <c r="O3679" s="350" t="str">
        <f ca="1">IF($B3679="Portfolio","Portfolio",IFERROR(INDEX(DATA_ASSET_CLASSIFICATION!$AB$8:$AB$13,MATCH($N3679,DATA_ASSET_CLASSIFICATION!$AA$8:$AA$13,0)),"Review"))</f>
        <v>Bucket 2 · Legacy</v>
      </c>
      <c r="P3679" s="350" t="str">
        <f>IF($B3679="Portfolio","Portfolio",IFERROR(INDEX(DATA_ASSET_CLASSIFICATION!$C$8:$C$24,MATCH($C3679,DATA_ASSET_CLASSIFICATION!$A$8:$A$24,0)),"Review"))</f>
        <v>Yes</v>
      </c>
      <c r="Q3679" s="350" t="str">
        <f t="shared" ca="1" si="115"/>
        <v>OK</v>
      </c>
    </row>
    <row r="3680" spans="1:17">
      <c r="A3680" s="366" t="s">
        <v>5636</v>
      </c>
      <c r="B3680" s="366" t="s">
        <v>231</v>
      </c>
      <c r="C3680" s="348" t="str">
        <f>DATA_PROPERTY_MASTER!$A$16</f>
        <v>BLD_NG</v>
      </c>
      <c r="D3680" s="380">
        <f>'00_PORTFOLIO ROLLUP'!Q$12</f>
        <v>2037</v>
      </c>
      <c r="E3680" s="366" t="s">
        <v>1683</v>
      </c>
      <c r="F3680" s="366" t="s">
        <v>1697</v>
      </c>
      <c r="G3680" s="348" t="str">
        <f>"'"&amp;$C3680&amp;"'!$E$44:$Y$44"</f>
        <v>'BLD_NG'!$E$44:$Y$44</v>
      </c>
      <c r="H3680" s="381">
        <f ca="1">IF(IFERROR(INDEX(DATA_PROPERTY_MASTER!$E$5:$E$21,MATCH($C3680,DATA_PROPERTY_MASTER!$A$5:$A$21,0))="Yes",FALSE),IFERROR(INDEX(INDIRECT("'"&amp;$C3680&amp;"'!$E$44:$Y$44"),1,MATCH($D3680,INDIRECT("'"&amp;$C3680&amp;"'!$E$12:$Y$12"),0)),0),0)</f>
        <v>9321.5771900347081</v>
      </c>
      <c r="I3680" s="366" t="s">
        <v>1690</v>
      </c>
      <c r="J3680" s="348" t="str">
        <f t="shared" ca="1" si="114"/>
        <v>OK</v>
      </c>
      <c r="K3680" s="366" t="s">
        <v>1699</v>
      </c>
      <c r="L3680" s="366" t="s">
        <v>2240</v>
      </c>
      <c r="M3680" s="350" t="str">
        <f>IF($B3680="Portfolio","Portfolio",IFERROR(INDEX(DATA_ASSET_CLASSIFICATION!$B$8:$B$24,MATCH($C3680,DATA_ASSET_CLASSIFICATION!$A$8:$A$24,0)),"Review"))</f>
        <v>Newton Green</v>
      </c>
      <c r="N3680" s="350" t="str">
        <f ca="1">IF($B3680="Portfolio","Portfolio",IFERROR(INDEX(DATA_ASSET_CLASSIFICATION!$U$8:$U$24,MATCH($C3680,DATA_ASSET_CLASSIFICATION!$A$8:$A$24,0)),"Review"))</f>
        <v>Refi Watch</v>
      </c>
      <c r="O3680" s="350" t="str">
        <f ca="1">IF($B3680="Portfolio","Portfolio",IFERROR(INDEX(DATA_ASSET_CLASSIFICATION!$AB$8:$AB$13,MATCH($N3680,DATA_ASSET_CLASSIFICATION!$AA$8:$AA$13,0)),"Review"))</f>
        <v>Bucket 2 · Legacy</v>
      </c>
      <c r="P3680" s="350" t="str">
        <f>IF($B3680="Portfolio","Portfolio",IFERROR(INDEX(DATA_ASSET_CLASSIFICATION!$C$8:$C$24,MATCH($C3680,DATA_ASSET_CLASSIFICATION!$A$8:$A$24,0)),"Review"))</f>
        <v>Yes</v>
      </c>
      <c r="Q3680" s="350" t="str">
        <f t="shared" ca="1" si="115"/>
        <v>OK</v>
      </c>
    </row>
    <row r="3681" spans="1:17">
      <c r="A3681" s="366" t="s">
        <v>5637</v>
      </c>
      <c r="B3681" s="366" t="s">
        <v>231</v>
      </c>
      <c r="C3681" s="348" t="str">
        <f>DATA_PROPERTY_MASTER!$A$16</f>
        <v>BLD_NG</v>
      </c>
      <c r="D3681" s="380">
        <f>'00_PORTFOLIO ROLLUP'!Q$12</f>
        <v>2037</v>
      </c>
      <c r="E3681" s="366" t="s">
        <v>1683</v>
      </c>
      <c r="F3681" s="366" t="s">
        <v>21</v>
      </c>
      <c r="G3681" s="348" t="str">
        <f>"'"&amp;$C3681&amp;"'!$E$45:$Y$45"</f>
        <v>'BLD_NG'!$E$45:$Y$45</v>
      </c>
      <c r="H3681" s="381">
        <f ca="1">IF(IFERROR(INDEX(DATA_PROPERTY_MASTER!$E$5:$E$21,MATCH($C3681,DATA_PROPERTY_MASTER!$A$5:$A$21,0))="Yes",FALSE),IFERROR(INDEX(INDIRECT("'"&amp;$C3681&amp;"'!$E$45:$Y$45"),1,MATCH($D3681,INDIRECT("'"&amp;$C3681&amp;"'!$E$12:$Y$12"),0)),0),0)</f>
        <v>499514.96807776677</v>
      </c>
      <c r="I3681" s="366" t="s">
        <v>1685</v>
      </c>
      <c r="J3681" s="348" t="str">
        <f t="shared" ca="1" si="114"/>
        <v>OK</v>
      </c>
      <c r="K3681" s="366" t="s">
        <v>1694</v>
      </c>
      <c r="L3681" s="366" t="s">
        <v>2242</v>
      </c>
      <c r="M3681" s="350" t="str">
        <f>IF($B3681="Portfolio","Portfolio",IFERROR(INDEX(DATA_ASSET_CLASSIFICATION!$B$8:$B$24,MATCH($C3681,DATA_ASSET_CLASSIFICATION!$A$8:$A$24,0)),"Review"))</f>
        <v>Newton Green</v>
      </c>
      <c r="N3681" s="350" t="str">
        <f ca="1">IF($B3681="Portfolio","Portfolio",IFERROR(INDEX(DATA_ASSET_CLASSIFICATION!$U$8:$U$24,MATCH($C3681,DATA_ASSET_CLASSIFICATION!$A$8:$A$24,0)),"Review"))</f>
        <v>Refi Watch</v>
      </c>
      <c r="O3681" s="350" t="str">
        <f ca="1">IF($B3681="Portfolio","Portfolio",IFERROR(INDEX(DATA_ASSET_CLASSIFICATION!$AB$8:$AB$13,MATCH($N3681,DATA_ASSET_CLASSIFICATION!$AA$8:$AA$13,0)),"Review"))</f>
        <v>Bucket 2 · Legacy</v>
      </c>
      <c r="P3681" s="350" t="str">
        <f>IF($B3681="Portfolio","Portfolio",IFERROR(INDEX(DATA_ASSET_CLASSIFICATION!$C$8:$C$24,MATCH($C3681,DATA_ASSET_CLASSIFICATION!$A$8:$A$24,0)),"Review"))</f>
        <v>Yes</v>
      </c>
      <c r="Q3681" s="350" t="str">
        <f t="shared" ca="1" si="115"/>
        <v>OK</v>
      </c>
    </row>
    <row r="3682" spans="1:17">
      <c r="A3682" s="366" t="s">
        <v>5638</v>
      </c>
      <c r="B3682" s="366" t="s">
        <v>231</v>
      </c>
      <c r="C3682" s="348" t="str">
        <f>DATA_PROPERTY_MASTER!$A$16</f>
        <v>BLD_NG</v>
      </c>
      <c r="D3682" s="380">
        <f>'00_PORTFOLIO ROLLUP'!Q$12</f>
        <v>2037</v>
      </c>
      <c r="E3682" s="366" t="s">
        <v>23</v>
      </c>
      <c r="F3682" s="366" t="s">
        <v>23</v>
      </c>
      <c r="G3682" s="348" t="str">
        <f>"'"&amp;$C3682&amp;"'!$E$48:$Y$48"</f>
        <v>'BLD_NG'!$E$48:$Y$48</v>
      </c>
      <c r="H3682" s="381">
        <f ca="1">IF(IFERROR(INDEX(DATA_PROPERTY_MASTER!$E$5:$E$21,MATCH($C3682,DATA_PROPERTY_MASTER!$A$5:$A$21,0))="Yes",FALSE),IFERROR(INDEX(INDIRECT("'"&amp;$C3682&amp;"'!$E$48:$Y$48"),1,MATCH($D3682,INDIRECT("'"&amp;$C3682&amp;"'!$E$12:$Y$12"),0)),0),0)</f>
        <v>322800.05887749186</v>
      </c>
      <c r="I3682" s="366" t="s">
        <v>1690</v>
      </c>
      <c r="J3682" s="348" t="str">
        <f t="shared" ca="1" si="114"/>
        <v>OK</v>
      </c>
      <c r="K3682" s="366" t="s">
        <v>1706</v>
      </c>
      <c r="L3682" s="366" t="s">
        <v>2244</v>
      </c>
      <c r="M3682" s="350" t="str">
        <f>IF($B3682="Portfolio","Portfolio",IFERROR(INDEX(DATA_ASSET_CLASSIFICATION!$B$8:$B$24,MATCH($C3682,DATA_ASSET_CLASSIFICATION!$A$8:$A$24,0)),"Review"))</f>
        <v>Newton Green</v>
      </c>
      <c r="N3682" s="350" t="str">
        <f ca="1">IF($B3682="Portfolio","Portfolio",IFERROR(INDEX(DATA_ASSET_CLASSIFICATION!$U$8:$U$24,MATCH($C3682,DATA_ASSET_CLASSIFICATION!$A$8:$A$24,0)),"Review"))</f>
        <v>Refi Watch</v>
      </c>
      <c r="O3682" s="350" t="str">
        <f ca="1">IF($B3682="Portfolio","Portfolio",IFERROR(INDEX(DATA_ASSET_CLASSIFICATION!$AB$8:$AB$13,MATCH($N3682,DATA_ASSET_CLASSIFICATION!$AA$8:$AA$13,0)),"Review"))</f>
        <v>Bucket 2 · Legacy</v>
      </c>
      <c r="P3682" s="350" t="str">
        <f>IF($B3682="Portfolio","Portfolio",IFERROR(INDEX(DATA_ASSET_CLASSIFICATION!$C$8:$C$24,MATCH($C3682,DATA_ASSET_CLASSIFICATION!$A$8:$A$24,0)),"Review"))</f>
        <v>Yes</v>
      </c>
      <c r="Q3682" s="350" t="str">
        <f t="shared" ca="1" si="115"/>
        <v>OK</v>
      </c>
    </row>
    <row r="3683" spans="1:17">
      <c r="A3683" s="366" t="s">
        <v>5639</v>
      </c>
      <c r="B3683" s="366" t="s">
        <v>231</v>
      </c>
      <c r="C3683" s="348" t="str">
        <f>DATA_PROPERTY_MASTER!$A$16</f>
        <v>BLD_NG</v>
      </c>
      <c r="D3683" s="380">
        <f>'00_PORTFOLIO ROLLUP'!Q$12</f>
        <v>2037</v>
      </c>
      <c r="E3683" s="366" t="s">
        <v>1683</v>
      </c>
      <c r="F3683" s="366" t="s">
        <v>25</v>
      </c>
      <c r="G3683" s="348" t="str">
        <f>"'"&amp;$C3683&amp;"'!$E$52:$Y$52"</f>
        <v>'BLD_NG'!$E$52:$Y$52</v>
      </c>
      <c r="H3683" s="381">
        <f ca="1">IF(IFERROR(INDEX(DATA_PROPERTY_MASTER!$E$5:$E$21,MATCH($C3683,DATA_PROPERTY_MASTER!$A$5:$A$21,0))="Yes",FALSE),IFERROR(INDEX(INDIRECT("'"&amp;$C3683&amp;"'!$E$52:$Y$52"),1,MATCH($D3683,INDIRECT("'"&amp;$C3683&amp;"'!$E$12:$Y$12"),0)),0),0)</f>
        <v>186036.48639030964</v>
      </c>
      <c r="I3683" s="366" t="s">
        <v>1685</v>
      </c>
      <c r="J3683" s="348" t="str">
        <f t="shared" ca="1" si="114"/>
        <v>OK</v>
      </c>
      <c r="K3683" s="366" t="s">
        <v>1710</v>
      </c>
      <c r="L3683" s="366" t="s">
        <v>2246</v>
      </c>
      <c r="M3683" s="350" t="str">
        <f>IF($B3683="Portfolio","Portfolio",IFERROR(INDEX(DATA_ASSET_CLASSIFICATION!$B$8:$B$24,MATCH($C3683,DATA_ASSET_CLASSIFICATION!$A$8:$A$24,0)),"Review"))</f>
        <v>Newton Green</v>
      </c>
      <c r="N3683" s="350" t="str">
        <f ca="1">IF($B3683="Portfolio","Portfolio",IFERROR(INDEX(DATA_ASSET_CLASSIFICATION!$U$8:$U$24,MATCH($C3683,DATA_ASSET_CLASSIFICATION!$A$8:$A$24,0)),"Review"))</f>
        <v>Refi Watch</v>
      </c>
      <c r="O3683" s="350" t="str">
        <f ca="1">IF($B3683="Portfolio","Portfolio",IFERROR(INDEX(DATA_ASSET_CLASSIFICATION!$AB$8:$AB$13,MATCH($N3683,DATA_ASSET_CLASSIFICATION!$AA$8:$AA$13,0)),"Review"))</f>
        <v>Bucket 2 · Legacy</v>
      </c>
      <c r="P3683" s="350" t="str">
        <f>IF($B3683="Portfolio","Portfolio",IFERROR(INDEX(DATA_ASSET_CLASSIFICATION!$C$8:$C$24,MATCH($C3683,DATA_ASSET_CLASSIFICATION!$A$8:$A$24,0)),"Review"))</f>
        <v>Yes</v>
      </c>
      <c r="Q3683" s="350" t="str">
        <f t="shared" ca="1" si="115"/>
        <v>OK</v>
      </c>
    </row>
    <row r="3684" spans="1:17">
      <c r="A3684" s="366" t="s">
        <v>5640</v>
      </c>
      <c r="B3684" s="366" t="s">
        <v>231</v>
      </c>
      <c r="C3684" s="348" t="str">
        <f>DATA_PROPERTY_MASTER!$A$16</f>
        <v>BLD_NG</v>
      </c>
      <c r="D3684" s="380">
        <f>'00_PORTFOLIO ROLLUP'!Q$12</f>
        <v>2037</v>
      </c>
      <c r="E3684" s="366" t="s">
        <v>1683</v>
      </c>
      <c r="F3684" s="366" t="s">
        <v>27</v>
      </c>
      <c r="G3684" s="348" t="str">
        <f>"'"&amp;$C3684&amp;"'!$E$54:$Y$54"</f>
        <v>'BLD_NG'!$E$54:$Y$54</v>
      </c>
      <c r="H3684" s="381">
        <f ca="1">IF(IFERROR(INDEX(DATA_PROPERTY_MASTER!$E$5:$E$21,MATCH($C3684,DATA_PROPERTY_MASTER!$A$5:$A$21,0))="Yes",FALSE),IFERROR(INDEX(INDIRECT("'"&amp;$C3684&amp;"'!$E$54:$Y$54"),1,MATCH($D3684,INDIRECT("'"&amp;$C3684&amp;"'!$E$12:$Y$12"),0)),0),0)</f>
        <v>111621.89183418578</v>
      </c>
      <c r="I3684" s="366" t="s">
        <v>1690</v>
      </c>
      <c r="J3684" s="348" t="str">
        <f t="shared" ca="1" si="114"/>
        <v>OK</v>
      </c>
      <c r="K3684" s="366" t="s">
        <v>1714</v>
      </c>
      <c r="L3684" s="366" t="s">
        <v>2248</v>
      </c>
      <c r="M3684" s="350" t="str">
        <f>IF($B3684="Portfolio","Portfolio",IFERROR(INDEX(DATA_ASSET_CLASSIFICATION!$B$8:$B$24,MATCH($C3684,DATA_ASSET_CLASSIFICATION!$A$8:$A$24,0)),"Review"))</f>
        <v>Newton Green</v>
      </c>
      <c r="N3684" s="350" t="str">
        <f ca="1">IF($B3684="Portfolio","Portfolio",IFERROR(INDEX(DATA_ASSET_CLASSIFICATION!$U$8:$U$24,MATCH($C3684,DATA_ASSET_CLASSIFICATION!$A$8:$A$24,0)),"Review"))</f>
        <v>Refi Watch</v>
      </c>
      <c r="O3684" s="350" t="str">
        <f ca="1">IF($B3684="Portfolio","Portfolio",IFERROR(INDEX(DATA_ASSET_CLASSIFICATION!$AB$8:$AB$13,MATCH($N3684,DATA_ASSET_CLASSIFICATION!$AA$8:$AA$13,0)),"Review"))</f>
        <v>Bucket 2 · Legacy</v>
      </c>
      <c r="P3684" s="350" t="str">
        <f>IF($B3684="Portfolio","Portfolio",IFERROR(INDEX(DATA_ASSET_CLASSIFICATION!$C$8:$C$24,MATCH($C3684,DATA_ASSET_CLASSIFICATION!$A$8:$A$24,0)),"Review"))</f>
        <v>Yes</v>
      </c>
      <c r="Q3684" s="350" t="str">
        <f t="shared" ca="1" si="115"/>
        <v>OK</v>
      </c>
    </row>
    <row r="3685" spans="1:17">
      <c r="A3685" s="366" t="s">
        <v>5641</v>
      </c>
      <c r="B3685" s="366" t="s">
        <v>231</v>
      </c>
      <c r="C3685" s="348" t="str">
        <f>DATA_PROPERTY_MASTER!$A$16</f>
        <v>BLD_NG</v>
      </c>
      <c r="D3685" s="380">
        <f>'00_PORTFOLIO ROLLUP'!Q$12</f>
        <v>2037</v>
      </c>
      <c r="E3685" s="366" t="s">
        <v>1683</v>
      </c>
      <c r="F3685" s="366" t="s">
        <v>29</v>
      </c>
      <c r="G3685" s="348" t="str">
        <f>"'"&amp;$C3685&amp;"'!$E$56:$Y$56"</f>
        <v>'BLD_NG'!$E$56:$Y$56</v>
      </c>
      <c r="H3685" s="381">
        <f ca="1">IF(IFERROR(INDEX(DATA_PROPERTY_MASTER!$E$5:$E$21,MATCH($C3685,DATA_PROPERTY_MASTER!$A$5:$A$21,0))="Yes",FALSE),IFERROR(INDEX(INDIRECT("'"&amp;$C3685&amp;"'!$E$56:$Y$56"),1,MATCH($D3685,INDIRECT("'"&amp;$C3685&amp;"'!$E$12:$Y$12"),0)),0),0)</f>
        <v>74414.594556123862</v>
      </c>
      <c r="I3685" s="366" t="s">
        <v>1685</v>
      </c>
      <c r="J3685" s="348" t="str">
        <f t="shared" ca="1" si="114"/>
        <v>OK</v>
      </c>
      <c r="K3685" s="366" t="s">
        <v>1718</v>
      </c>
      <c r="L3685" s="366" t="s">
        <v>2250</v>
      </c>
      <c r="M3685" s="350" t="str">
        <f>IF($B3685="Portfolio","Portfolio",IFERROR(INDEX(DATA_ASSET_CLASSIFICATION!$B$8:$B$24,MATCH($C3685,DATA_ASSET_CLASSIFICATION!$A$8:$A$24,0)),"Review"))</f>
        <v>Newton Green</v>
      </c>
      <c r="N3685" s="350" t="str">
        <f ca="1">IF($B3685="Portfolio","Portfolio",IFERROR(INDEX(DATA_ASSET_CLASSIFICATION!$U$8:$U$24,MATCH($C3685,DATA_ASSET_CLASSIFICATION!$A$8:$A$24,0)),"Review"))</f>
        <v>Refi Watch</v>
      </c>
      <c r="O3685" s="350" t="str">
        <f ca="1">IF($B3685="Portfolio","Portfolio",IFERROR(INDEX(DATA_ASSET_CLASSIFICATION!$AB$8:$AB$13,MATCH($N3685,DATA_ASSET_CLASSIFICATION!$AA$8:$AA$13,0)),"Review"))</f>
        <v>Bucket 2 · Legacy</v>
      </c>
      <c r="P3685" s="350" t="str">
        <f>IF($B3685="Portfolio","Portfolio",IFERROR(INDEX(DATA_ASSET_CLASSIFICATION!$C$8:$C$24,MATCH($C3685,DATA_ASSET_CLASSIFICATION!$A$8:$A$24,0)),"Review"))</f>
        <v>Yes</v>
      </c>
      <c r="Q3685" s="350" t="str">
        <f t="shared" ca="1" si="115"/>
        <v>OK</v>
      </c>
    </row>
    <row r="3686" spans="1:17">
      <c r="A3686" s="366" t="s">
        <v>5642</v>
      </c>
      <c r="B3686" s="366" t="s">
        <v>231</v>
      </c>
      <c r="C3686" s="348" t="str">
        <f>DATA_PROPERTY_MASTER!$A$16</f>
        <v>BLD_NG</v>
      </c>
      <c r="D3686" s="380">
        <f>'00_PORTFOLIO ROLLUP'!Q$12</f>
        <v>2037</v>
      </c>
      <c r="E3686" s="366" t="s">
        <v>1721</v>
      </c>
      <c r="F3686" s="366" t="s">
        <v>31</v>
      </c>
      <c r="G3686" s="348" t="str">
        <f>"'"&amp;$C3686&amp;"'!$E$61:$Y$61"</f>
        <v>'BLD_NG'!$E$61:$Y$61</v>
      </c>
      <c r="H3686" s="381">
        <f ca="1">IF(IFERROR(INDEX(DATA_PROPERTY_MASTER!$E$5:$E$21,MATCH($C3686,DATA_PROPERTY_MASTER!$A$5:$A$21,0))="Yes",FALSE),IFERROR(INDEX(INDIRECT("'"&amp;$C3686&amp;"'!$E$61:$Y$61"),1,MATCH($D3686,INDIRECT("'"&amp;$C3686&amp;"'!$E$12:$Y$12"),0)),0),0)</f>
        <v>0</v>
      </c>
      <c r="I3686" s="366" t="s">
        <v>1690</v>
      </c>
      <c r="J3686" s="348" t="str">
        <f t="shared" ca="1" si="114"/>
        <v>OK</v>
      </c>
      <c r="K3686" s="366" t="s">
        <v>1723</v>
      </c>
      <c r="L3686" s="366" t="s">
        <v>2252</v>
      </c>
      <c r="M3686" s="350" t="str">
        <f>IF($B3686="Portfolio","Portfolio",IFERROR(INDEX(DATA_ASSET_CLASSIFICATION!$B$8:$B$24,MATCH($C3686,DATA_ASSET_CLASSIFICATION!$A$8:$A$24,0)),"Review"))</f>
        <v>Newton Green</v>
      </c>
      <c r="N3686" s="350" t="str">
        <f ca="1">IF($B3686="Portfolio","Portfolio",IFERROR(INDEX(DATA_ASSET_CLASSIFICATION!$U$8:$U$24,MATCH($C3686,DATA_ASSET_CLASSIFICATION!$A$8:$A$24,0)),"Review"))</f>
        <v>Refi Watch</v>
      </c>
      <c r="O3686" s="350" t="str">
        <f ca="1">IF($B3686="Portfolio","Portfolio",IFERROR(INDEX(DATA_ASSET_CLASSIFICATION!$AB$8:$AB$13,MATCH($N3686,DATA_ASSET_CLASSIFICATION!$AA$8:$AA$13,0)),"Review"))</f>
        <v>Bucket 2 · Legacy</v>
      </c>
      <c r="P3686" s="350" t="str">
        <f>IF($B3686="Portfolio","Portfolio",IFERROR(INDEX(DATA_ASSET_CLASSIFICATION!$C$8:$C$24,MATCH($C3686,DATA_ASSET_CLASSIFICATION!$A$8:$A$24,0)),"Review"))</f>
        <v>Yes</v>
      </c>
      <c r="Q3686" s="350" t="str">
        <f t="shared" ca="1" si="115"/>
        <v>OK</v>
      </c>
    </row>
    <row r="3687" spans="1:17">
      <c r="A3687" s="366" t="s">
        <v>5643</v>
      </c>
      <c r="B3687" s="366" t="s">
        <v>231</v>
      </c>
      <c r="C3687" s="348" t="str">
        <f>DATA_PROPERTY_MASTER!$A$16</f>
        <v>BLD_NG</v>
      </c>
      <c r="D3687" s="380">
        <f>'00_PORTFOLIO ROLLUP'!Q$12</f>
        <v>2037</v>
      </c>
      <c r="E3687" s="366" t="s">
        <v>1721</v>
      </c>
      <c r="F3687" s="366" t="s">
        <v>33</v>
      </c>
      <c r="G3687" s="348" t="str">
        <f>"'"&amp;$C3687&amp;"'!$E$62:$Y$62"</f>
        <v>'BLD_NG'!$E$62:$Y$62</v>
      </c>
      <c r="H3687" s="381">
        <f ca="1">IF(IFERROR(INDEX(DATA_PROPERTY_MASTER!$E$5:$E$21,MATCH($C3687,DATA_PROPERTY_MASTER!$A$5:$A$21,0))="Yes",FALSE),IFERROR(INDEX(INDIRECT("'"&amp;$C3687&amp;"'!$E$62:$Y$62"),1,MATCH($D3687,INDIRECT("'"&amp;$C3687&amp;"'!$E$12:$Y$12"),0)),0),0)</f>
        <v>0</v>
      </c>
      <c r="I3687" s="366" t="s">
        <v>1685</v>
      </c>
      <c r="J3687" s="348" t="str">
        <f t="shared" ca="1" si="114"/>
        <v>OK</v>
      </c>
      <c r="K3687" s="366" t="s">
        <v>1727</v>
      </c>
      <c r="L3687" s="366" t="s">
        <v>2254</v>
      </c>
      <c r="M3687" s="350" t="str">
        <f>IF($B3687="Portfolio","Portfolio",IFERROR(INDEX(DATA_ASSET_CLASSIFICATION!$B$8:$B$24,MATCH($C3687,DATA_ASSET_CLASSIFICATION!$A$8:$A$24,0)),"Review"))</f>
        <v>Newton Green</v>
      </c>
      <c r="N3687" s="350" t="str">
        <f ca="1">IF($B3687="Portfolio","Portfolio",IFERROR(INDEX(DATA_ASSET_CLASSIFICATION!$U$8:$U$24,MATCH($C3687,DATA_ASSET_CLASSIFICATION!$A$8:$A$24,0)),"Review"))</f>
        <v>Refi Watch</v>
      </c>
      <c r="O3687" s="350" t="str">
        <f ca="1">IF($B3687="Portfolio","Portfolio",IFERROR(INDEX(DATA_ASSET_CLASSIFICATION!$AB$8:$AB$13,MATCH($N3687,DATA_ASSET_CLASSIFICATION!$AA$8:$AA$13,0)),"Review"))</f>
        <v>Bucket 2 · Legacy</v>
      </c>
      <c r="P3687" s="350" t="str">
        <f>IF($B3687="Portfolio","Portfolio",IFERROR(INDEX(DATA_ASSET_CLASSIFICATION!$C$8:$C$24,MATCH($C3687,DATA_ASSET_CLASSIFICATION!$A$8:$A$24,0)),"Review"))</f>
        <v>Yes</v>
      </c>
      <c r="Q3687" s="350" t="str">
        <f t="shared" ca="1" si="115"/>
        <v>OK</v>
      </c>
    </row>
    <row r="3688" spans="1:17">
      <c r="A3688" s="366" t="s">
        <v>5644</v>
      </c>
      <c r="B3688" s="366" t="s">
        <v>231</v>
      </c>
      <c r="C3688" s="348" t="str">
        <f>DATA_PROPERTY_MASTER!$A$16</f>
        <v>BLD_NG</v>
      </c>
      <c r="D3688" s="380">
        <f>'00_PORTFOLIO ROLLUP'!Q$12</f>
        <v>2037</v>
      </c>
      <c r="E3688" s="366" t="s">
        <v>1721</v>
      </c>
      <c r="F3688" s="366" t="s">
        <v>35</v>
      </c>
      <c r="G3688" s="348" t="str">
        <f>"'"&amp;$C3688&amp;"'!$E$63:$Y$63"</f>
        <v>'BLD_NG'!$E$63:$Y$63</v>
      </c>
      <c r="H3688" s="381">
        <f ca="1">IF(IFERROR(INDEX(DATA_PROPERTY_MASTER!$E$5:$E$21,MATCH($C3688,DATA_PROPERTY_MASTER!$A$5:$A$21,0))="Yes",FALSE),IFERROR(INDEX(INDIRECT("'"&amp;$C3688&amp;"'!$E$63:$Y$63"),1,MATCH($D3688,INDIRECT("'"&amp;$C3688&amp;"'!$E$12:$Y$12"),0)),0),0)</f>
        <v>0</v>
      </c>
      <c r="I3688" s="366" t="s">
        <v>1731</v>
      </c>
      <c r="J3688" s="348" t="str">
        <f t="shared" ca="1" si="114"/>
        <v>OK</v>
      </c>
      <c r="K3688" s="366" t="s">
        <v>1732</v>
      </c>
      <c r="L3688" s="366" t="s">
        <v>2256</v>
      </c>
      <c r="M3688" s="350" t="str">
        <f>IF($B3688="Portfolio","Portfolio",IFERROR(INDEX(DATA_ASSET_CLASSIFICATION!$B$8:$B$24,MATCH($C3688,DATA_ASSET_CLASSIFICATION!$A$8:$A$24,0)),"Review"))</f>
        <v>Newton Green</v>
      </c>
      <c r="N3688" s="350" t="str">
        <f ca="1">IF($B3688="Portfolio","Portfolio",IFERROR(INDEX(DATA_ASSET_CLASSIFICATION!$U$8:$U$24,MATCH($C3688,DATA_ASSET_CLASSIFICATION!$A$8:$A$24,0)),"Review"))</f>
        <v>Refi Watch</v>
      </c>
      <c r="O3688" s="350" t="str">
        <f ca="1">IF($B3688="Portfolio","Portfolio",IFERROR(INDEX(DATA_ASSET_CLASSIFICATION!$AB$8:$AB$13,MATCH($N3688,DATA_ASSET_CLASSIFICATION!$AA$8:$AA$13,0)),"Review"))</f>
        <v>Bucket 2 · Legacy</v>
      </c>
      <c r="P3688" s="350" t="str">
        <f>IF($B3688="Portfolio","Portfolio",IFERROR(INDEX(DATA_ASSET_CLASSIFICATION!$C$8:$C$24,MATCH($C3688,DATA_ASSET_CLASSIFICATION!$A$8:$A$24,0)),"Review"))</f>
        <v>Yes</v>
      </c>
      <c r="Q3688" s="350" t="str">
        <f t="shared" ca="1" si="115"/>
        <v>OK</v>
      </c>
    </row>
    <row r="3689" spans="1:17">
      <c r="A3689" s="366" t="s">
        <v>5645</v>
      </c>
      <c r="B3689" s="366" t="s">
        <v>231</v>
      </c>
      <c r="C3689" s="348" t="str">
        <f>DATA_PROPERTY_MASTER!$A$16</f>
        <v>BLD_NG</v>
      </c>
      <c r="D3689" s="380">
        <f>'00_PORTFOLIO ROLLUP'!Q$12</f>
        <v>2037</v>
      </c>
      <c r="E3689" s="366" t="s">
        <v>1721</v>
      </c>
      <c r="F3689" s="366" t="s">
        <v>37</v>
      </c>
      <c r="G3689" s="348" t="str">
        <f>"'"&amp;$C3689&amp;"'!$E$63:$Y$63"</f>
        <v>'BLD_NG'!$E$63:$Y$63</v>
      </c>
      <c r="H3689" s="381">
        <f ca="1">IF(IFERROR(INDEX(DATA_PROPERTY_MASTER!$E$5:$E$21,MATCH($C3689,DATA_PROPERTY_MASTER!$A$5:$A$21,0))="Yes",FALSE),MAX(IFERROR(INDEX(INDIRECT("'"&amp;$C3689&amp;"'!$E$63:$Y$63"),1,MATCH($D3689,INDIRECT("'"&amp;$C3689&amp;"'!$E$12:$Y$12"),0)),0),0),0)</f>
        <v>0</v>
      </c>
      <c r="I3689" s="366" t="s">
        <v>1685</v>
      </c>
      <c r="J3689" s="348" t="str">
        <f t="shared" ca="1" si="114"/>
        <v>OK</v>
      </c>
      <c r="K3689" s="366" t="s">
        <v>1735</v>
      </c>
      <c r="L3689" s="366" t="s">
        <v>2258</v>
      </c>
      <c r="M3689" s="350" t="str">
        <f>IF($B3689="Portfolio","Portfolio",IFERROR(INDEX(DATA_ASSET_CLASSIFICATION!$B$8:$B$24,MATCH($C3689,DATA_ASSET_CLASSIFICATION!$A$8:$A$24,0)),"Review"))</f>
        <v>Newton Green</v>
      </c>
      <c r="N3689" s="350" t="str">
        <f ca="1">IF($B3689="Portfolio","Portfolio",IFERROR(INDEX(DATA_ASSET_CLASSIFICATION!$U$8:$U$24,MATCH($C3689,DATA_ASSET_CLASSIFICATION!$A$8:$A$24,0)),"Review"))</f>
        <v>Refi Watch</v>
      </c>
      <c r="O3689" s="350" t="str">
        <f ca="1">IF($B3689="Portfolio","Portfolio",IFERROR(INDEX(DATA_ASSET_CLASSIFICATION!$AB$8:$AB$13,MATCH($N3689,DATA_ASSET_CLASSIFICATION!$AA$8:$AA$13,0)),"Review"))</f>
        <v>Bucket 2 · Legacy</v>
      </c>
      <c r="P3689" s="350" t="str">
        <f>IF($B3689="Portfolio","Portfolio",IFERROR(INDEX(DATA_ASSET_CLASSIFICATION!$C$8:$C$24,MATCH($C3689,DATA_ASSET_CLASSIFICATION!$A$8:$A$24,0)),"Review"))</f>
        <v>Yes</v>
      </c>
      <c r="Q3689" s="350" t="str">
        <f t="shared" ca="1" si="115"/>
        <v>OK</v>
      </c>
    </row>
    <row r="3690" spans="1:17">
      <c r="A3690" s="366" t="s">
        <v>5646</v>
      </c>
      <c r="B3690" s="366" t="s">
        <v>231</v>
      </c>
      <c r="C3690" s="348" t="str">
        <f>DATA_PROPERTY_MASTER!$A$16</f>
        <v>BLD_NG</v>
      </c>
      <c r="D3690" s="380">
        <f>'00_PORTFOLIO ROLLUP'!Q$12</f>
        <v>2037</v>
      </c>
      <c r="E3690" s="366" t="s">
        <v>1721</v>
      </c>
      <c r="F3690" s="366" t="s">
        <v>39</v>
      </c>
      <c r="G3690" s="348" t="str">
        <f>"'"&amp;$C3690&amp;"'!$E$63:$Y$63"</f>
        <v>'BLD_NG'!$E$63:$Y$63</v>
      </c>
      <c r="H3690" s="381">
        <f ca="1">IF(IFERROR(INDEX(DATA_PROPERTY_MASTER!$E$5:$E$21,MATCH($C3690,DATA_PROPERTY_MASTER!$A$5:$A$21,0))="Yes",FALSE),MAX(-IFERROR(INDEX(INDIRECT("'"&amp;$C3690&amp;"'!$E$63:$Y$63"),1,MATCH($D3690,INDIRECT("'"&amp;$C3690&amp;"'!$E$12:$Y$12"),0)),0),0),0)</f>
        <v>0</v>
      </c>
      <c r="I3690" s="366" t="s">
        <v>1690</v>
      </c>
      <c r="J3690" s="348" t="str">
        <f t="shared" ca="1" si="114"/>
        <v>OK</v>
      </c>
      <c r="K3690" s="366" t="s">
        <v>1738</v>
      </c>
      <c r="L3690" s="366" t="s">
        <v>2260</v>
      </c>
      <c r="M3690" s="350" t="str">
        <f>IF($B3690="Portfolio","Portfolio",IFERROR(INDEX(DATA_ASSET_CLASSIFICATION!$B$8:$B$24,MATCH($C3690,DATA_ASSET_CLASSIFICATION!$A$8:$A$24,0)),"Review"))</f>
        <v>Newton Green</v>
      </c>
      <c r="N3690" s="350" t="str">
        <f ca="1">IF($B3690="Portfolio","Portfolio",IFERROR(INDEX(DATA_ASSET_CLASSIFICATION!$U$8:$U$24,MATCH($C3690,DATA_ASSET_CLASSIFICATION!$A$8:$A$24,0)),"Review"))</f>
        <v>Refi Watch</v>
      </c>
      <c r="O3690" s="350" t="str">
        <f ca="1">IF($B3690="Portfolio","Portfolio",IFERROR(INDEX(DATA_ASSET_CLASSIFICATION!$AB$8:$AB$13,MATCH($N3690,DATA_ASSET_CLASSIFICATION!$AA$8:$AA$13,0)),"Review"))</f>
        <v>Bucket 2 · Legacy</v>
      </c>
      <c r="P3690" s="350" t="str">
        <f>IF($B3690="Portfolio","Portfolio",IFERROR(INDEX(DATA_ASSET_CLASSIFICATION!$C$8:$C$24,MATCH($C3690,DATA_ASSET_CLASSIFICATION!$A$8:$A$24,0)),"Review"))</f>
        <v>Yes</v>
      </c>
      <c r="Q3690" s="350" t="str">
        <f t="shared" ca="1" si="115"/>
        <v>OK</v>
      </c>
    </row>
    <row r="3691" spans="1:17">
      <c r="A3691" s="366" t="s">
        <v>5647</v>
      </c>
      <c r="B3691" s="366" t="s">
        <v>231</v>
      </c>
      <c r="C3691" s="348" t="str">
        <f>DATA_PROPERTY_MASTER!$A$16</f>
        <v>BLD_NG</v>
      </c>
      <c r="D3691" s="380">
        <f>'00_PORTFOLIO ROLLUP'!Q$12</f>
        <v>2037</v>
      </c>
      <c r="E3691" s="366" t="s">
        <v>1741</v>
      </c>
      <c r="F3691" s="366" t="s">
        <v>41</v>
      </c>
      <c r="G3691" s="348" t="str">
        <f>"'"&amp;$C3691&amp;"'!rows 56 + positive row 63"</f>
        <v>'BLD_NG'!rows 56 + positive row 63</v>
      </c>
      <c r="H3691" s="381">
        <f ca="1">IF(IFERROR(INDEX(DATA_PROPERTY_MASTER!$E$5:$E$21,MATCH($C3691,DATA_PROPERTY_MASTER!$A$5:$A$21,0))="Yes",FALSE),IFERROR(INDEX(INDIRECT("'"&amp;$C3691&amp;"'!$E$56:$Y$56"),1,MATCH($D3691,INDIRECT("'"&amp;$C3691&amp;"'!$E$12:$Y$12"),0)),0)+MAX(IFERROR(INDEX(INDIRECT("'"&amp;$C3691&amp;"'!$E$63:$Y$63"),1,MATCH($D3691,INDIRECT("'"&amp;$C3691&amp;"'!$E$12:$Y$12"),0)),0),0),0)</f>
        <v>74414.594556123862</v>
      </c>
      <c r="I3691" s="366" t="s">
        <v>1685</v>
      </c>
      <c r="J3691" s="348" t="str">
        <f t="shared" ca="1" si="114"/>
        <v>OK</v>
      </c>
      <c r="K3691" s="366" t="s">
        <v>1742</v>
      </c>
      <c r="L3691" s="366" t="s">
        <v>2262</v>
      </c>
      <c r="M3691" s="350" t="str">
        <f>IF($B3691="Portfolio","Portfolio",IFERROR(INDEX(DATA_ASSET_CLASSIFICATION!$B$8:$B$24,MATCH($C3691,DATA_ASSET_CLASSIFICATION!$A$8:$A$24,0)),"Review"))</f>
        <v>Newton Green</v>
      </c>
      <c r="N3691" s="350" t="str">
        <f ca="1">IF($B3691="Portfolio","Portfolio",IFERROR(INDEX(DATA_ASSET_CLASSIFICATION!$U$8:$U$24,MATCH($C3691,DATA_ASSET_CLASSIFICATION!$A$8:$A$24,0)),"Review"))</f>
        <v>Refi Watch</v>
      </c>
      <c r="O3691" s="350" t="str">
        <f ca="1">IF($B3691="Portfolio","Portfolio",IFERROR(INDEX(DATA_ASSET_CLASSIFICATION!$AB$8:$AB$13,MATCH($N3691,DATA_ASSET_CLASSIFICATION!$AA$8:$AA$13,0)),"Review"))</f>
        <v>Bucket 2 · Legacy</v>
      </c>
      <c r="P3691" s="350" t="str">
        <f>IF($B3691="Portfolio","Portfolio",IFERROR(INDEX(DATA_ASSET_CLASSIFICATION!$C$8:$C$24,MATCH($C3691,DATA_ASSET_CLASSIFICATION!$A$8:$A$24,0)),"Review"))</f>
        <v>Yes</v>
      </c>
      <c r="Q3691" s="350" t="str">
        <f t="shared" ca="1" si="115"/>
        <v>OK</v>
      </c>
    </row>
    <row r="3692" spans="1:17">
      <c r="A3692" s="366" t="s">
        <v>5648</v>
      </c>
      <c r="B3692" s="366" t="s">
        <v>231</v>
      </c>
      <c r="C3692" s="348" t="str">
        <f>DATA_PROPERTY_MASTER!$A$16</f>
        <v>BLD_NG</v>
      </c>
      <c r="D3692" s="380">
        <f>'00_PORTFOLIO ROLLUP'!Q$12</f>
        <v>2037</v>
      </c>
      <c r="E3692" s="366" t="s">
        <v>1741</v>
      </c>
      <c r="F3692" s="366" t="s">
        <v>43</v>
      </c>
      <c r="G3692" s="348" t="str">
        <f>"'"&amp;$C3692&amp;"'!$E$68:$Y$68"</f>
        <v>'BLD_NG'!$E$68:$Y$68</v>
      </c>
      <c r="H3692" s="381">
        <f ca="1">IF(IFERROR(INDEX(DATA_PROPERTY_MASTER!$E$5:$E$21,MATCH($C3692,DATA_PROPERTY_MASTER!$A$5:$A$21,0))="Yes",FALSE),IFERROR(INDEX(INDIRECT("'"&amp;$C3692&amp;"'!$E$68:$Y$68"),1,MATCH($D3692,INDIRECT("'"&amp;$C3692&amp;"'!$E$12:$Y$12"),0)),0),0)</f>
        <v>74414.594556123862</v>
      </c>
      <c r="I3692" s="366" t="s">
        <v>1731</v>
      </c>
      <c r="J3692" s="348" t="str">
        <f t="shared" ca="1" si="114"/>
        <v>OK</v>
      </c>
      <c r="K3692" s="366" t="s">
        <v>1746</v>
      </c>
      <c r="L3692" s="366" t="s">
        <v>2264</v>
      </c>
      <c r="M3692" s="350" t="str">
        <f>IF($B3692="Portfolio","Portfolio",IFERROR(INDEX(DATA_ASSET_CLASSIFICATION!$B$8:$B$24,MATCH($C3692,DATA_ASSET_CLASSIFICATION!$A$8:$A$24,0)),"Review"))</f>
        <v>Newton Green</v>
      </c>
      <c r="N3692" s="350" t="str">
        <f ca="1">IF($B3692="Portfolio","Portfolio",IFERROR(INDEX(DATA_ASSET_CLASSIFICATION!$U$8:$U$24,MATCH($C3692,DATA_ASSET_CLASSIFICATION!$A$8:$A$24,0)),"Review"))</f>
        <v>Refi Watch</v>
      </c>
      <c r="O3692" s="350" t="str">
        <f ca="1">IF($B3692="Portfolio","Portfolio",IFERROR(INDEX(DATA_ASSET_CLASSIFICATION!$AB$8:$AB$13,MATCH($N3692,DATA_ASSET_CLASSIFICATION!$AA$8:$AA$13,0)),"Review"))</f>
        <v>Bucket 2 · Legacy</v>
      </c>
      <c r="P3692" s="350" t="str">
        <f>IF($B3692="Portfolio","Portfolio",IFERROR(INDEX(DATA_ASSET_CLASSIFICATION!$C$8:$C$24,MATCH($C3692,DATA_ASSET_CLASSIFICATION!$A$8:$A$24,0)),"Review"))</f>
        <v>Yes</v>
      </c>
      <c r="Q3692" s="350" t="str">
        <f t="shared" ca="1" si="115"/>
        <v>OK</v>
      </c>
    </row>
    <row r="3693" spans="1:17">
      <c r="A3693" s="366" t="s">
        <v>5649</v>
      </c>
      <c r="B3693" s="366" t="s">
        <v>231</v>
      </c>
      <c r="C3693" s="348" t="str">
        <f>DATA_PROPERTY_MASTER!$A$16</f>
        <v>BLD_NG</v>
      </c>
      <c r="D3693" s="380">
        <f>'00_PORTFOLIO ROLLUP'!Q$12</f>
        <v>2037</v>
      </c>
      <c r="E3693" s="366" t="s">
        <v>1741</v>
      </c>
      <c r="F3693" s="366" t="s">
        <v>1749</v>
      </c>
      <c r="G3693" s="348" t="str">
        <f>"'"&amp;$C3693&amp;"'!rows 56, 63, 68"</f>
        <v>'BLD_NG'!rows 56, 63, 68</v>
      </c>
      <c r="H3693" s="381">
        <f ca="1">IF(IFERROR(INDEX(DATA_PROPERTY_MASTER!$E$5:$E$21,MATCH($C3693,DATA_PROPERTY_MASTER!$A$5:$A$21,0))="Yes",FALSE),(IFERROR(INDEX(INDIRECT("'"&amp;$C3693&amp;"'!$E$56:$Y$56"),1,MATCH($D3693,INDIRECT("'"&amp;$C3693&amp;"'!$E$12:$Y$12"),0)),0)+MAX(IFERROR(INDEX(INDIRECT("'"&amp;$C3693&amp;"'!$E$63:$Y$63"),1,MATCH($D3693,INDIRECT("'"&amp;$C3693&amp;"'!$E$12:$Y$12"),0)),0),0))-(IFERROR(INDEX(INDIRECT("'"&amp;$C3693&amp;"'!$E$68:$Y$68"),1,MATCH($D3693,INDIRECT("'"&amp;$C3693&amp;"'!$E$12:$Y$12"),0)),0)),0)</f>
        <v>0</v>
      </c>
      <c r="I3693" s="366" t="s">
        <v>1750</v>
      </c>
      <c r="J3693" s="348" t="str">
        <f t="shared" ca="1" si="114"/>
        <v>OK</v>
      </c>
      <c r="K3693" s="366" t="s">
        <v>1751</v>
      </c>
      <c r="L3693" s="366" t="s">
        <v>2266</v>
      </c>
      <c r="M3693" s="350" t="str">
        <f>IF($B3693="Portfolio","Portfolio",IFERROR(INDEX(DATA_ASSET_CLASSIFICATION!$B$8:$B$24,MATCH($C3693,DATA_ASSET_CLASSIFICATION!$A$8:$A$24,0)),"Review"))</f>
        <v>Newton Green</v>
      </c>
      <c r="N3693" s="350" t="str">
        <f ca="1">IF($B3693="Portfolio","Portfolio",IFERROR(INDEX(DATA_ASSET_CLASSIFICATION!$U$8:$U$24,MATCH($C3693,DATA_ASSET_CLASSIFICATION!$A$8:$A$24,0)),"Review"))</f>
        <v>Refi Watch</v>
      </c>
      <c r="O3693" s="350" t="str">
        <f ca="1">IF($B3693="Portfolio","Portfolio",IFERROR(INDEX(DATA_ASSET_CLASSIFICATION!$AB$8:$AB$13,MATCH($N3693,DATA_ASSET_CLASSIFICATION!$AA$8:$AA$13,0)),"Review"))</f>
        <v>Bucket 2 · Legacy</v>
      </c>
      <c r="P3693" s="350" t="str">
        <f>IF($B3693="Portfolio","Portfolio",IFERROR(INDEX(DATA_ASSET_CLASSIFICATION!$C$8:$C$24,MATCH($C3693,DATA_ASSET_CLASSIFICATION!$A$8:$A$24,0)),"Review"))</f>
        <v>Yes</v>
      </c>
      <c r="Q3693" s="350" t="str">
        <f t="shared" ca="1" si="115"/>
        <v>OK</v>
      </c>
    </row>
    <row r="3694" spans="1:17">
      <c r="A3694" s="366" t="s">
        <v>5650</v>
      </c>
      <c r="B3694" s="366" t="s">
        <v>231</v>
      </c>
      <c r="C3694" s="348" t="str">
        <f>DATA_PROPERTY_MASTER!$A$16</f>
        <v>BLD_NG</v>
      </c>
      <c r="D3694" s="380">
        <f>'00_PORTFOLIO ROLLUP'!R$12</f>
        <v>2038</v>
      </c>
      <c r="E3694" s="366" t="s">
        <v>1683</v>
      </c>
      <c r="F3694" s="366" t="s">
        <v>341</v>
      </c>
      <c r="G3694" s="348" t="str">
        <f>"'"&amp;$C3694&amp;"'!$E$24:$Y$24"</f>
        <v>'BLD_NG'!$E$24:$Y$24</v>
      </c>
      <c r="H3694" s="381">
        <f ca="1">IF(IFERROR(INDEX(DATA_PROPERTY_MASTER!$E$5:$E$21,MATCH($C3694,DATA_PROPERTY_MASTER!$A$5:$A$21,0))="Yes",FALSE),IFERROR(INDEX(INDIRECT("'"&amp;$C3694&amp;"'!$E$24:$Y$24"),1,MATCH($D3694,INDIRECT("'"&amp;$C3694&amp;"'!$E$12:$Y$12"),0)),0),0)</f>
        <v>1004968.3794605499</v>
      </c>
      <c r="I3694" s="366" t="s">
        <v>1685</v>
      </c>
      <c r="J3694" s="348" t="str">
        <f t="shared" ca="1" si="114"/>
        <v>OK</v>
      </c>
      <c r="K3694" s="366" t="s">
        <v>1686</v>
      </c>
      <c r="L3694" s="366" t="s">
        <v>2234</v>
      </c>
      <c r="M3694" s="350" t="str">
        <f>IF($B3694="Portfolio","Portfolio",IFERROR(INDEX(DATA_ASSET_CLASSIFICATION!$B$8:$B$24,MATCH($C3694,DATA_ASSET_CLASSIFICATION!$A$8:$A$24,0)),"Review"))</f>
        <v>Newton Green</v>
      </c>
      <c r="N3694" s="350" t="str">
        <f ca="1">IF($B3694="Portfolio","Portfolio",IFERROR(INDEX(DATA_ASSET_CLASSIFICATION!$U$8:$U$24,MATCH($C3694,DATA_ASSET_CLASSIFICATION!$A$8:$A$24,0)),"Review"))</f>
        <v>Refi Watch</v>
      </c>
      <c r="O3694" s="350" t="str">
        <f ca="1">IF($B3694="Portfolio","Portfolio",IFERROR(INDEX(DATA_ASSET_CLASSIFICATION!$AB$8:$AB$13,MATCH($N3694,DATA_ASSET_CLASSIFICATION!$AA$8:$AA$13,0)),"Review"))</f>
        <v>Bucket 2 · Legacy</v>
      </c>
      <c r="P3694" s="350" t="str">
        <f>IF($B3694="Portfolio","Portfolio",IFERROR(INDEX(DATA_ASSET_CLASSIFICATION!$C$8:$C$24,MATCH($C3694,DATA_ASSET_CLASSIFICATION!$A$8:$A$24,0)),"Review"))</f>
        <v>Yes</v>
      </c>
      <c r="Q3694" s="350" t="str">
        <f t="shared" ca="1" si="115"/>
        <v>OK</v>
      </c>
    </row>
    <row r="3695" spans="1:17">
      <c r="A3695" s="366" t="s">
        <v>5651</v>
      </c>
      <c r="B3695" s="366" t="s">
        <v>231</v>
      </c>
      <c r="C3695" s="348" t="str">
        <f>DATA_PROPERTY_MASTER!$A$16</f>
        <v>BLD_NG</v>
      </c>
      <c r="D3695" s="380">
        <f>'00_PORTFOLIO ROLLUP'!R$12</f>
        <v>2038</v>
      </c>
      <c r="E3695" s="366" t="s">
        <v>1683</v>
      </c>
      <c r="F3695" s="366" t="s">
        <v>355</v>
      </c>
      <c r="G3695" s="348" t="str">
        <f>"'"&amp;$C3695&amp;"'!$E$39:$Y$39"</f>
        <v>'BLD_NG'!$E$39:$Y$39</v>
      </c>
      <c r="H3695" s="381">
        <f ca="1">IF(IFERROR(INDEX(DATA_PROPERTY_MASTER!$E$5:$E$21,MATCH($C3695,DATA_PROPERTY_MASTER!$A$5:$A$21,0))="Yes",FALSE),IFERROR(INDEX(INDIRECT("'"&amp;$C3695&amp;"'!$E$39:$Y$39"),1,MATCH($D3695,INDIRECT("'"&amp;$C3695&amp;"'!$E$12:$Y$12"),0)),0),0)</f>
        <v>488337.23614664434</v>
      </c>
      <c r="I3695" s="366" t="s">
        <v>1690</v>
      </c>
      <c r="J3695" s="348" t="str">
        <f t="shared" ca="1" si="114"/>
        <v>OK</v>
      </c>
      <c r="K3695" s="366" t="s">
        <v>1686</v>
      </c>
      <c r="L3695" s="366" t="s">
        <v>2236</v>
      </c>
      <c r="M3695" s="350" t="str">
        <f>IF($B3695="Portfolio","Portfolio",IFERROR(INDEX(DATA_ASSET_CLASSIFICATION!$B$8:$B$24,MATCH($C3695,DATA_ASSET_CLASSIFICATION!$A$8:$A$24,0)),"Review"))</f>
        <v>Newton Green</v>
      </c>
      <c r="N3695" s="350" t="str">
        <f ca="1">IF($B3695="Portfolio","Portfolio",IFERROR(INDEX(DATA_ASSET_CLASSIFICATION!$U$8:$U$24,MATCH($C3695,DATA_ASSET_CLASSIFICATION!$A$8:$A$24,0)),"Review"))</f>
        <v>Refi Watch</v>
      </c>
      <c r="O3695" s="350" t="str">
        <f ca="1">IF($B3695="Portfolio","Portfolio",IFERROR(INDEX(DATA_ASSET_CLASSIFICATION!$AB$8:$AB$13,MATCH($N3695,DATA_ASSET_CLASSIFICATION!$AA$8:$AA$13,0)),"Review"))</f>
        <v>Bucket 2 · Legacy</v>
      </c>
      <c r="P3695" s="350" t="str">
        <f>IF($B3695="Portfolio","Portfolio",IFERROR(INDEX(DATA_ASSET_CLASSIFICATION!$C$8:$C$24,MATCH($C3695,DATA_ASSET_CLASSIFICATION!$A$8:$A$24,0)),"Review"))</f>
        <v>Yes</v>
      </c>
      <c r="Q3695" s="350" t="str">
        <f t="shared" ca="1" si="115"/>
        <v>OK</v>
      </c>
    </row>
    <row r="3696" spans="1:17">
      <c r="A3696" s="366" t="s">
        <v>5652</v>
      </c>
      <c r="B3696" s="366" t="s">
        <v>231</v>
      </c>
      <c r="C3696" s="348" t="str">
        <f>DATA_PROPERTY_MASTER!$A$16</f>
        <v>BLD_NG</v>
      </c>
      <c r="D3696" s="380">
        <f>'00_PORTFOLIO ROLLUP'!R$12</f>
        <v>2038</v>
      </c>
      <c r="E3696" s="366" t="s">
        <v>1683</v>
      </c>
      <c r="F3696" s="366" t="s">
        <v>19</v>
      </c>
      <c r="G3696" s="348" t="str">
        <f>"'"&amp;$C3696&amp;"'!$E$41:$Y$41"</f>
        <v>'BLD_NG'!$E$41:$Y$41</v>
      </c>
      <c r="H3696" s="381">
        <f ca="1">IF(IFERROR(INDEX(DATA_PROPERTY_MASTER!$E$5:$E$21,MATCH($C3696,DATA_PROPERTY_MASTER!$A$5:$A$21,0))="Yes",FALSE),IFERROR(INDEX(INDIRECT("'"&amp;$C3696&amp;"'!$E$41:$Y$41"),1,MATCH($D3696,INDIRECT("'"&amp;$C3696&amp;"'!$E$12:$Y$12"),0)),0),0)</f>
        <v>516631.14331390557</v>
      </c>
      <c r="I3696" s="366" t="s">
        <v>1685</v>
      </c>
      <c r="J3696" s="348" t="str">
        <f t="shared" ca="1" si="114"/>
        <v>OK</v>
      </c>
      <c r="K3696" s="366" t="s">
        <v>1694</v>
      </c>
      <c r="L3696" s="366" t="s">
        <v>2238</v>
      </c>
      <c r="M3696" s="350" t="str">
        <f>IF($B3696="Portfolio","Portfolio",IFERROR(INDEX(DATA_ASSET_CLASSIFICATION!$B$8:$B$24,MATCH($C3696,DATA_ASSET_CLASSIFICATION!$A$8:$A$24,0)),"Review"))</f>
        <v>Newton Green</v>
      </c>
      <c r="N3696" s="350" t="str">
        <f ca="1">IF($B3696="Portfolio","Portfolio",IFERROR(INDEX(DATA_ASSET_CLASSIFICATION!$U$8:$U$24,MATCH($C3696,DATA_ASSET_CLASSIFICATION!$A$8:$A$24,0)),"Review"))</f>
        <v>Refi Watch</v>
      </c>
      <c r="O3696" s="350" t="str">
        <f ca="1">IF($B3696="Portfolio","Portfolio",IFERROR(INDEX(DATA_ASSET_CLASSIFICATION!$AB$8:$AB$13,MATCH($N3696,DATA_ASSET_CLASSIFICATION!$AA$8:$AA$13,0)),"Review"))</f>
        <v>Bucket 2 · Legacy</v>
      </c>
      <c r="P3696" s="350" t="str">
        <f>IF($B3696="Portfolio","Portfolio",IFERROR(INDEX(DATA_ASSET_CLASSIFICATION!$C$8:$C$24,MATCH($C3696,DATA_ASSET_CLASSIFICATION!$A$8:$A$24,0)),"Review"))</f>
        <v>Yes</v>
      </c>
      <c r="Q3696" s="350" t="str">
        <f t="shared" ca="1" si="115"/>
        <v>OK</v>
      </c>
    </row>
    <row r="3697" spans="1:17">
      <c r="A3697" s="366" t="s">
        <v>5653</v>
      </c>
      <c r="B3697" s="366" t="s">
        <v>231</v>
      </c>
      <c r="C3697" s="348" t="str">
        <f>DATA_PROPERTY_MASTER!$A$16</f>
        <v>BLD_NG</v>
      </c>
      <c r="D3697" s="380">
        <f>'00_PORTFOLIO ROLLUP'!R$12</f>
        <v>2038</v>
      </c>
      <c r="E3697" s="366" t="s">
        <v>1683</v>
      </c>
      <c r="F3697" s="366" t="s">
        <v>1697</v>
      </c>
      <c r="G3697" s="348" t="str">
        <f>"'"&amp;$C3697&amp;"'!$E$44:$Y$44"</f>
        <v>'BLD_NG'!$E$44:$Y$44</v>
      </c>
      <c r="H3697" s="381">
        <f ca="1">IF(IFERROR(INDEX(DATA_PROPERTY_MASTER!$E$5:$E$21,MATCH($C3697,DATA_PROPERTY_MASTER!$A$5:$A$21,0))="Yes",FALSE),IFERROR(INDEX(INDIRECT("'"&amp;$C3697&amp;"'!$E$44:$Y$44"),1,MATCH($D3697,INDIRECT("'"&amp;$C3697&amp;"'!$E$12:$Y$12"),0)),0),0)</f>
        <v>9508.0087338354006</v>
      </c>
      <c r="I3697" s="366" t="s">
        <v>1690</v>
      </c>
      <c r="J3697" s="348" t="str">
        <f t="shared" ca="1" si="114"/>
        <v>OK</v>
      </c>
      <c r="K3697" s="366" t="s">
        <v>1699</v>
      </c>
      <c r="L3697" s="366" t="s">
        <v>2240</v>
      </c>
      <c r="M3697" s="350" t="str">
        <f>IF($B3697="Portfolio","Portfolio",IFERROR(INDEX(DATA_ASSET_CLASSIFICATION!$B$8:$B$24,MATCH($C3697,DATA_ASSET_CLASSIFICATION!$A$8:$A$24,0)),"Review"))</f>
        <v>Newton Green</v>
      </c>
      <c r="N3697" s="350" t="str">
        <f ca="1">IF($B3697="Portfolio","Portfolio",IFERROR(INDEX(DATA_ASSET_CLASSIFICATION!$U$8:$U$24,MATCH($C3697,DATA_ASSET_CLASSIFICATION!$A$8:$A$24,0)),"Review"))</f>
        <v>Refi Watch</v>
      </c>
      <c r="O3697" s="350" t="str">
        <f ca="1">IF($B3697="Portfolio","Portfolio",IFERROR(INDEX(DATA_ASSET_CLASSIFICATION!$AB$8:$AB$13,MATCH($N3697,DATA_ASSET_CLASSIFICATION!$AA$8:$AA$13,0)),"Review"))</f>
        <v>Bucket 2 · Legacy</v>
      </c>
      <c r="P3697" s="350" t="str">
        <f>IF($B3697="Portfolio","Portfolio",IFERROR(INDEX(DATA_ASSET_CLASSIFICATION!$C$8:$C$24,MATCH($C3697,DATA_ASSET_CLASSIFICATION!$A$8:$A$24,0)),"Review"))</f>
        <v>Yes</v>
      </c>
      <c r="Q3697" s="350" t="str">
        <f t="shared" ca="1" si="115"/>
        <v>OK</v>
      </c>
    </row>
    <row r="3698" spans="1:17">
      <c r="A3698" s="366" t="s">
        <v>5654</v>
      </c>
      <c r="B3698" s="366" t="s">
        <v>231</v>
      </c>
      <c r="C3698" s="348" t="str">
        <f>DATA_PROPERTY_MASTER!$A$16</f>
        <v>BLD_NG</v>
      </c>
      <c r="D3698" s="380">
        <f>'00_PORTFOLIO ROLLUP'!R$12</f>
        <v>2038</v>
      </c>
      <c r="E3698" s="366" t="s">
        <v>1683</v>
      </c>
      <c r="F3698" s="366" t="s">
        <v>21</v>
      </c>
      <c r="G3698" s="348" t="str">
        <f>"'"&amp;$C3698&amp;"'!$E$45:$Y$45"</f>
        <v>'BLD_NG'!$E$45:$Y$45</v>
      </c>
      <c r="H3698" s="381">
        <f ca="1">IF(IFERROR(INDEX(DATA_PROPERTY_MASTER!$E$5:$E$21,MATCH($C3698,DATA_PROPERTY_MASTER!$A$5:$A$21,0))="Yes",FALSE),IFERROR(INDEX(INDIRECT("'"&amp;$C3698&amp;"'!$E$45:$Y$45"),1,MATCH($D3698,INDIRECT("'"&amp;$C3698&amp;"'!$E$12:$Y$12"),0)),0),0)</f>
        <v>507123.13458007015</v>
      </c>
      <c r="I3698" s="366" t="s">
        <v>1685</v>
      </c>
      <c r="J3698" s="348" t="str">
        <f t="shared" ca="1" si="114"/>
        <v>OK</v>
      </c>
      <c r="K3698" s="366" t="s">
        <v>1694</v>
      </c>
      <c r="L3698" s="366" t="s">
        <v>2242</v>
      </c>
      <c r="M3698" s="350" t="str">
        <f>IF($B3698="Portfolio","Portfolio",IFERROR(INDEX(DATA_ASSET_CLASSIFICATION!$B$8:$B$24,MATCH($C3698,DATA_ASSET_CLASSIFICATION!$A$8:$A$24,0)),"Review"))</f>
        <v>Newton Green</v>
      </c>
      <c r="N3698" s="350" t="str">
        <f ca="1">IF($B3698="Portfolio","Portfolio",IFERROR(INDEX(DATA_ASSET_CLASSIFICATION!$U$8:$U$24,MATCH($C3698,DATA_ASSET_CLASSIFICATION!$A$8:$A$24,0)),"Review"))</f>
        <v>Refi Watch</v>
      </c>
      <c r="O3698" s="350" t="str">
        <f ca="1">IF($B3698="Portfolio","Portfolio",IFERROR(INDEX(DATA_ASSET_CLASSIFICATION!$AB$8:$AB$13,MATCH($N3698,DATA_ASSET_CLASSIFICATION!$AA$8:$AA$13,0)),"Review"))</f>
        <v>Bucket 2 · Legacy</v>
      </c>
      <c r="P3698" s="350" t="str">
        <f>IF($B3698="Portfolio","Portfolio",IFERROR(INDEX(DATA_ASSET_CLASSIFICATION!$C$8:$C$24,MATCH($C3698,DATA_ASSET_CLASSIFICATION!$A$8:$A$24,0)),"Review"))</f>
        <v>Yes</v>
      </c>
      <c r="Q3698" s="350" t="str">
        <f t="shared" ca="1" si="115"/>
        <v>OK</v>
      </c>
    </row>
    <row r="3699" spans="1:17">
      <c r="A3699" s="366" t="s">
        <v>5655</v>
      </c>
      <c r="B3699" s="366" t="s">
        <v>231</v>
      </c>
      <c r="C3699" s="348" t="str">
        <f>DATA_PROPERTY_MASTER!$A$16</f>
        <v>BLD_NG</v>
      </c>
      <c r="D3699" s="380">
        <f>'00_PORTFOLIO ROLLUP'!R$12</f>
        <v>2038</v>
      </c>
      <c r="E3699" s="366" t="s">
        <v>23</v>
      </c>
      <c r="F3699" s="366" t="s">
        <v>23</v>
      </c>
      <c r="G3699" s="348" t="str">
        <f>"'"&amp;$C3699&amp;"'!$E$48:$Y$48"</f>
        <v>'BLD_NG'!$E$48:$Y$48</v>
      </c>
      <c r="H3699" s="381">
        <f ca="1">IF(IFERROR(INDEX(DATA_PROPERTY_MASTER!$E$5:$E$21,MATCH($C3699,DATA_PROPERTY_MASTER!$A$5:$A$21,0))="Yes",FALSE),IFERROR(INDEX(INDIRECT("'"&amp;$C3699&amp;"'!$E$48:$Y$48"),1,MATCH($D3699,INDIRECT("'"&amp;$C3699&amp;"'!$E$12:$Y$12"),0)),0),0)</f>
        <v>322800.05887749186</v>
      </c>
      <c r="I3699" s="366" t="s">
        <v>1690</v>
      </c>
      <c r="J3699" s="348" t="str">
        <f t="shared" ca="1" si="114"/>
        <v>OK</v>
      </c>
      <c r="K3699" s="366" t="s">
        <v>1706</v>
      </c>
      <c r="L3699" s="366" t="s">
        <v>2244</v>
      </c>
      <c r="M3699" s="350" t="str">
        <f>IF($B3699="Portfolio","Portfolio",IFERROR(INDEX(DATA_ASSET_CLASSIFICATION!$B$8:$B$24,MATCH($C3699,DATA_ASSET_CLASSIFICATION!$A$8:$A$24,0)),"Review"))</f>
        <v>Newton Green</v>
      </c>
      <c r="N3699" s="350" t="str">
        <f ca="1">IF($B3699="Portfolio","Portfolio",IFERROR(INDEX(DATA_ASSET_CLASSIFICATION!$U$8:$U$24,MATCH($C3699,DATA_ASSET_CLASSIFICATION!$A$8:$A$24,0)),"Review"))</f>
        <v>Refi Watch</v>
      </c>
      <c r="O3699" s="350" t="str">
        <f ca="1">IF($B3699="Portfolio","Portfolio",IFERROR(INDEX(DATA_ASSET_CLASSIFICATION!$AB$8:$AB$13,MATCH($N3699,DATA_ASSET_CLASSIFICATION!$AA$8:$AA$13,0)),"Review"))</f>
        <v>Bucket 2 · Legacy</v>
      </c>
      <c r="P3699" s="350" t="str">
        <f>IF($B3699="Portfolio","Portfolio",IFERROR(INDEX(DATA_ASSET_CLASSIFICATION!$C$8:$C$24,MATCH($C3699,DATA_ASSET_CLASSIFICATION!$A$8:$A$24,0)),"Review"))</f>
        <v>Yes</v>
      </c>
      <c r="Q3699" s="350" t="str">
        <f t="shared" ca="1" si="115"/>
        <v>OK</v>
      </c>
    </row>
    <row r="3700" spans="1:17">
      <c r="A3700" s="366" t="s">
        <v>5656</v>
      </c>
      <c r="B3700" s="366" t="s">
        <v>231</v>
      </c>
      <c r="C3700" s="348" t="str">
        <f>DATA_PROPERTY_MASTER!$A$16</f>
        <v>BLD_NG</v>
      </c>
      <c r="D3700" s="380">
        <f>'00_PORTFOLIO ROLLUP'!R$12</f>
        <v>2038</v>
      </c>
      <c r="E3700" s="366" t="s">
        <v>1683</v>
      </c>
      <c r="F3700" s="366" t="s">
        <v>25</v>
      </c>
      <c r="G3700" s="348" t="str">
        <f>"'"&amp;$C3700&amp;"'!$E$52:$Y$52"</f>
        <v>'BLD_NG'!$E$52:$Y$52</v>
      </c>
      <c r="H3700" s="381">
        <f ca="1">IF(IFERROR(INDEX(DATA_PROPERTY_MASTER!$E$5:$E$21,MATCH($C3700,DATA_PROPERTY_MASTER!$A$5:$A$21,0))="Yes",FALSE),IFERROR(INDEX(INDIRECT("'"&amp;$C3700&amp;"'!$E$52:$Y$52"),1,MATCH($D3700,INDIRECT("'"&amp;$C3700&amp;"'!$E$12:$Y$12"),0)),0),0)</f>
        <v>193831.08443641372</v>
      </c>
      <c r="I3700" s="366" t="s">
        <v>1685</v>
      </c>
      <c r="J3700" s="348" t="str">
        <f t="shared" ca="1" si="114"/>
        <v>OK</v>
      </c>
      <c r="K3700" s="366" t="s">
        <v>1710</v>
      </c>
      <c r="L3700" s="366" t="s">
        <v>2246</v>
      </c>
      <c r="M3700" s="350" t="str">
        <f>IF($B3700="Portfolio","Portfolio",IFERROR(INDEX(DATA_ASSET_CLASSIFICATION!$B$8:$B$24,MATCH($C3700,DATA_ASSET_CLASSIFICATION!$A$8:$A$24,0)),"Review"))</f>
        <v>Newton Green</v>
      </c>
      <c r="N3700" s="350" t="str">
        <f ca="1">IF($B3700="Portfolio","Portfolio",IFERROR(INDEX(DATA_ASSET_CLASSIFICATION!$U$8:$U$24,MATCH($C3700,DATA_ASSET_CLASSIFICATION!$A$8:$A$24,0)),"Review"))</f>
        <v>Refi Watch</v>
      </c>
      <c r="O3700" s="350" t="str">
        <f ca="1">IF($B3700="Portfolio","Portfolio",IFERROR(INDEX(DATA_ASSET_CLASSIFICATION!$AB$8:$AB$13,MATCH($N3700,DATA_ASSET_CLASSIFICATION!$AA$8:$AA$13,0)),"Review"))</f>
        <v>Bucket 2 · Legacy</v>
      </c>
      <c r="P3700" s="350" t="str">
        <f>IF($B3700="Portfolio","Portfolio",IFERROR(INDEX(DATA_ASSET_CLASSIFICATION!$C$8:$C$24,MATCH($C3700,DATA_ASSET_CLASSIFICATION!$A$8:$A$24,0)),"Review"))</f>
        <v>Yes</v>
      </c>
      <c r="Q3700" s="350" t="str">
        <f t="shared" ca="1" si="115"/>
        <v>OK</v>
      </c>
    </row>
    <row r="3701" spans="1:17">
      <c r="A3701" s="366" t="s">
        <v>5657</v>
      </c>
      <c r="B3701" s="366" t="s">
        <v>231</v>
      </c>
      <c r="C3701" s="348" t="str">
        <f>DATA_PROPERTY_MASTER!$A$16</f>
        <v>BLD_NG</v>
      </c>
      <c r="D3701" s="380">
        <f>'00_PORTFOLIO ROLLUP'!R$12</f>
        <v>2038</v>
      </c>
      <c r="E3701" s="366" t="s">
        <v>1683</v>
      </c>
      <c r="F3701" s="366" t="s">
        <v>27</v>
      </c>
      <c r="G3701" s="348" t="str">
        <f>"'"&amp;$C3701&amp;"'!$E$54:$Y$54"</f>
        <v>'BLD_NG'!$E$54:$Y$54</v>
      </c>
      <c r="H3701" s="381">
        <f ca="1">IF(IFERROR(INDEX(DATA_PROPERTY_MASTER!$E$5:$E$21,MATCH($C3701,DATA_PROPERTY_MASTER!$A$5:$A$21,0))="Yes",FALSE),IFERROR(INDEX(INDIRECT("'"&amp;$C3701&amp;"'!$E$54:$Y$54"),1,MATCH($D3701,INDIRECT("'"&amp;$C3701&amp;"'!$E$12:$Y$12"),0)),0),0)</f>
        <v>116298.65066184822</v>
      </c>
      <c r="I3701" s="366" t="s">
        <v>1690</v>
      </c>
      <c r="J3701" s="348" t="str">
        <f t="shared" ca="1" si="114"/>
        <v>OK</v>
      </c>
      <c r="K3701" s="366" t="s">
        <v>1714</v>
      </c>
      <c r="L3701" s="366" t="s">
        <v>2248</v>
      </c>
      <c r="M3701" s="350" t="str">
        <f>IF($B3701="Portfolio","Portfolio",IFERROR(INDEX(DATA_ASSET_CLASSIFICATION!$B$8:$B$24,MATCH($C3701,DATA_ASSET_CLASSIFICATION!$A$8:$A$24,0)),"Review"))</f>
        <v>Newton Green</v>
      </c>
      <c r="N3701" s="350" t="str">
        <f ca="1">IF($B3701="Portfolio","Portfolio",IFERROR(INDEX(DATA_ASSET_CLASSIFICATION!$U$8:$U$24,MATCH($C3701,DATA_ASSET_CLASSIFICATION!$A$8:$A$24,0)),"Review"))</f>
        <v>Refi Watch</v>
      </c>
      <c r="O3701" s="350" t="str">
        <f ca="1">IF($B3701="Portfolio","Portfolio",IFERROR(INDEX(DATA_ASSET_CLASSIFICATION!$AB$8:$AB$13,MATCH($N3701,DATA_ASSET_CLASSIFICATION!$AA$8:$AA$13,0)),"Review"))</f>
        <v>Bucket 2 · Legacy</v>
      </c>
      <c r="P3701" s="350" t="str">
        <f>IF($B3701="Portfolio","Portfolio",IFERROR(INDEX(DATA_ASSET_CLASSIFICATION!$C$8:$C$24,MATCH($C3701,DATA_ASSET_CLASSIFICATION!$A$8:$A$24,0)),"Review"))</f>
        <v>Yes</v>
      </c>
      <c r="Q3701" s="350" t="str">
        <f t="shared" ca="1" si="115"/>
        <v>OK</v>
      </c>
    </row>
    <row r="3702" spans="1:17">
      <c r="A3702" s="366" t="s">
        <v>5658</v>
      </c>
      <c r="B3702" s="366" t="s">
        <v>231</v>
      </c>
      <c r="C3702" s="348" t="str">
        <f>DATA_PROPERTY_MASTER!$A$16</f>
        <v>BLD_NG</v>
      </c>
      <c r="D3702" s="380">
        <f>'00_PORTFOLIO ROLLUP'!R$12</f>
        <v>2038</v>
      </c>
      <c r="E3702" s="366" t="s">
        <v>1683</v>
      </c>
      <c r="F3702" s="366" t="s">
        <v>29</v>
      </c>
      <c r="G3702" s="348" t="str">
        <f>"'"&amp;$C3702&amp;"'!$E$56:$Y$56"</f>
        <v>'BLD_NG'!$E$56:$Y$56</v>
      </c>
      <c r="H3702" s="381">
        <f ca="1">IF(IFERROR(INDEX(DATA_PROPERTY_MASTER!$E$5:$E$21,MATCH($C3702,DATA_PROPERTY_MASTER!$A$5:$A$21,0))="Yes",FALSE),IFERROR(INDEX(INDIRECT("'"&amp;$C3702&amp;"'!$E$56:$Y$56"),1,MATCH($D3702,INDIRECT("'"&amp;$C3702&amp;"'!$E$12:$Y$12"),0)),0),0)</f>
        <v>77532.433774565492</v>
      </c>
      <c r="I3702" s="366" t="s">
        <v>1685</v>
      </c>
      <c r="J3702" s="348" t="str">
        <f t="shared" ca="1" si="114"/>
        <v>OK</v>
      </c>
      <c r="K3702" s="366" t="s">
        <v>1718</v>
      </c>
      <c r="L3702" s="366" t="s">
        <v>2250</v>
      </c>
      <c r="M3702" s="350" t="str">
        <f>IF($B3702="Portfolio","Portfolio",IFERROR(INDEX(DATA_ASSET_CLASSIFICATION!$B$8:$B$24,MATCH($C3702,DATA_ASSET_CLASSIFICATION!$A$8:$A$24,0)),"Review"))</f>
        <v>Newton Green</v>
      </c>
      <c r="N3702" s="350" t="str">
        <f ca="1">IF($B3702="Portfolio","Portfolio",IFERROR(INDEX(DATA_ASSET_CLASSIFICATION!$U$8:$U$24,MATCH($C3702,DATA_ASSET_CLASSIFICATION!$A$8:$A$24,0)),"Review"))</f>
        <v>Refi Watch</v>
      </c>
      <c r="O3702" s="350" t="str">
        <f ca="1">IF($B3702="Portfolio","Portfolio",IFERROR(INDEX(DATA_ASSET_CLASSIFICATION!$AB$8:$AB$13,MATCH($N3702,DATA_ASSET_CLASSIFICATION!$AA$8:$AA$13,0)),"Review"))</f>
        <v>Bucket 2 · Legacy</v>
      </c>
      <c r="P3702" s="350" t="str">
        <f>IF($B3702="Portfolio","Portfolio",IFERROR(INDEX(DATA_ASSET_CLASSIFICATION!$C$8:$C$24,MATCH($C3702,DATA_ASSET_CLASSIFICATION!$A$8:$A$24,0)),"Review"))</f>
        <v>Yes</v>
      </c>
      <c r="Q3702" s="350" t="str">
        <f t="shared" ca="1" si="115"/>
        <v>OK</v>
      </c>
    </row>
    <row r="3703" spans="1:17">
      <c r="A3703" s="366" t="s">
        <v>5659</v>
      </c>
      <c r="B3703" s="366" t="s">
        <v>231</v>
      </c>
      <c r="C3703" s="348" t="str">
        <f>DATA_PROPERTY_MASTER!$A$16</f>
        <v>BLD_NG</v>
      </c>
      <c r="D3703" s="380">
        <f>'00_PORTFOLIO ROLLUP'!R$12</f>
        <v>2038</v>
      </c>
      <c r="E3703" s="366" t="s">
        <v>1721</v>
      </c>
      <c r="F3703" s="366" t="s">
        <v>31</v>
      </c>
      <c r="G3703" s="348" t="str">
        <f>"'"&amp;$C3703&amp;"'!$E$61:$Y$61"</f>
        <v>'BLD_NG'!$E$61:$Y$61</v>
      </c>
      <c r="H3703" s="381">
        <f ca="1">IF(IFERROR(INDEX(DATA_PROPERTY_MASTER!$E$5:$E$21,MATCH($C3703,DATA_PROPERTY_MASTER!$A$5:$A$21,0))="Yes",FALSE),IFERROR(INDEX(INDIRECT("'"&amp;$C3703&amp;"'!$E$61:$Y$61"),1,MATCH($D3703,INDIRECT("'"&amp;$C3703&amp;"'!$E$12:$Y$12"),0)),0),0)</f>
        <v>0</v>
      </c>
      <c r="I3703" s="366" t="s">
        <v>1690</v>
      </c>
      <c r="J3703" s="348" t="str">
        <f t="shared" ca="1" si="114"/>
        <v>OK</v>
      </c>
      <c r="K3703" s="366" t="s">
        <v>1723</v>
      </c>
      <c r="L3703" s="366" t="s">
        <v>2252</v>
      </c>
      <c r="M3703" s="350" t="str">
        <f>IF($B3703="Portfolio","Portfolio",IFERROR(INDEX(DATA_ASSET_CLASSIFICATION!$B$8:$B$24,MATCH($C3703,DATA_ASSET_CLASSIFICATION!$A$8:$A$24,0)),"Review"))</f>
        <v>Newton Green</v>
      </c>
      <c r="N3703" s="350" t="str">
        <f ca="1">IF($B3703="Portfolio","Portfolio",IFERROR(INDEX(DATA_ASSET_CLASSIFICATION!$U$8:$U$24,MATCH($C3703,DATA_ASSET_CLASSIFICATION!$A$8:$A$24,0)),"Review"))</f>
        <v>Refi Watch</v>
      </c>
      <c r="O3703" s="350" t="str">
        <f ca="1">IF($B3703="Portfolio","Portfolio",IFERROR(INDEX(DATA_ASSET_CLASSIFICATION!$AB$8:$AB$13,MATCH($N3703,DATA_ASSET_CLASSIFICATION!$AA$8:$AA$13,0)),"Review"))</f>
        <v>Bucket 2 · Legacy</v>
      </c>
      <c r="P3703" s="350" t="str">
        <f>IF($B3703="Portfolio","Portfolio",IFERROR(INDEX(DATA_ASSET_CLASSIFICATION!$C$8:$C$24,MATCH($C3703,DATA_ASSET_CLASSIFICATION!$A$8:$A$24,0)),"Review"))</f>
        <v>Yes</v>
      </c>
      <c r="Q3703" s="350" t="str">
        <f t="shared" ca="1" si="115"/>
        <v>OK</v>
      </c>
    </row>
    <row r="3704" spans="1:17">
      <c r="A3704" s="366" t="s">
        <v>5660</v>
      </c>
      <c r="B3704" s="366" t="s">
        <v>231</v>
      </c>
      <c r="C3704" s="348" t="str">
        <f>DATA_PROPERTY_MASTER!$A$16</f>
        <v>BLD_NG</v>
      </c>
      <c r="D3704" s="380">
        <f>'00_PORTFOLIO ROLLUP'!R$12</f>
        <v>2038</v>
      </c>
      <c r="E3704" s="366" t="s">
        <v>1721</v>
      </c>
      <c r="F3704" s="366" t="s">
        <v>33</v>
      </c>
      <c r="G3704" s="348" t="str">
        <f>"'"&amp;$C3704&amp;"'!$E$62:$Y$62"</f>
        <v>'BLD_NG'!$E$62:$Y$62</v>
      </c>
      <c r="H3704" s="381">
        <f ca="1">IF(IFERROR(INDEX(DATA_PROPERTY_MASTER!$E$5:$E$21,MATCH($C3704,DATA_PROPERTY_MASTER!$A$5:$A$21,0))="Yes",FALSE),IFERROR(INDEX(INDIRECT("'"&amp;$C3704&amp;"'!$E$62:$Y$62"),1,MATCH($D3704,INDIRECT("'"&amp;$C3704&amp;"'!$E$12:$Y$12"),0)),0),0)</f>
        <v>0</v>
      </c>
      <c r="I3704" s="366" t="s">
        <v>1685</v>
      </c>
      <c r="J3704" s="348" t="str">
        <f t="shared" ca="1" si="114"/>
        <v>OK</v>
      </c>
      <c r="K3704" s="366" t="s">
        <v>1727</v>
      </c>
      <c r="L3704" s="366" t="s">
        <v>2254</v>
      </c>
      <c r="M3704" s="350" t="str">
        <f>IF($B3704="Portfolio","Portfolio",IFERROR(INDEX(DATA_ASSET_CLASSIFICATION!$B$8:$B$24,MATCH($C3704,DATA_ASSET_CLASSIFICATION!$A$8:$A$24,0)),"Review"))</f>
        <v>Newton Green</v>
      </c>
      <c r="N3704" s="350" t="str">
        <f ca="1">IF($B3704="Portfolio","Portfolio",IFERROR(INDEX(DATA_ASSET_CLASSIFICATION!$U$8:$U$24,MATCH($C3704,DATA_ASSET_CLASSIFICATION!$A$8:$A$24,0)),"Review"))</f>
        <v>Refi Watch</v>
      </c>
      <c r="O3704" s="350" t="str">
        <f ca="1">IF($B3704="Portfolio","Portfolio",IFERROR(INDEX(DATA_ASSET_CLASSIFICATION!$AB$8:$AB$13,MATCH($N3704,DATA_ASSET_CLASSIFICATION!$AA$8:$AA$13,0)),"Review"))</f>
        <v>Bucket 2 · Legacy</v>
      </c>
      <c r="P3704" s="350" t="str">
        <f>IF($B3704="Portfolio","Portfolio",IFERROR(INDEX(DATA_ASSET_CLASSIFICATION!$C$8:$C$24,MATCH($C3704,DATA_ASSET_CLASSIFICATION!$A$8:$A$24,0)),"Review"))</f>
        <v>Yes</v>
      </c>
      <c r="Q3704" s="350" t="str">
        <f t="shared" ca="1" si="115"/>
        <v>OK</v>
      </c>
    </row>
    <row r="3705" spans="1:17">
      <c r="A3705" s="366" t="s">
        <v>5661</v>
      </c>
      <c r="B3705" s="366" t="s">
        <v>231</v>
      </c>
      <c r="C3705" s="348" t="str">
        <f>DATA_PROPERTY_MASTER!$A$16</f>
        <v>BLD_NG</v>
      </c>
      <c r="D3705" s="380">
        <f>'00_PORTFOLIO ROLLUP'!R$12</f>
        <v>2038</v>
      </c>
      <c r="E3705" s="366" t="s">
        <v>1721</v>
      </c>
      <c r="F3705" s="366" t="s">
        <v>35</v>
      </c>
      <c r="G3705" s="348" t="str">
        <f>"'"&amp;$C3705&amp;"'!$E$63:$Y$63"</f>
        <v>'BLD_NG'!$E$63:$Y$63</v>
      </c>
      <c r="H3705" s="381">
        <f ca="1">IF(IFERROR(INDEX(DATA_PROPERTY_MASTER!$E$5:$E$21,MATCH($C3705,DATA_PROPERTY_MASTER!$A$5:$A$21,0))="Yes",FALSE),IFERROR(INDEX(INDIRECT("'"&amp;$C3705&amp;"'!$E$63:$Y$63"),1,MATCH($D3705,INDIRECT("'"&amp;$C3705&amp;"'!$E$12:$Y$12"),0)),0),0)</f>
        <v>0</v>
      </c>
      <c r="I3705" s="366" t="s">
        <v>1731</v>
      </c>
      <c r="J3705" s="348" t="str">
        <f t="shared" ca="1" si="114"/>
        <v>OK</v>
      </c>
      <c r="K3705" s="366" t="s">
        <v>1732</v>
      </c>
      <c r="L3705" s="366" t="s">
        <v>2256</v>
      </c>
      <c r="M3705" s="350" t="str">
        <f>IF($B3705="Portfolio","Portfolio",IFERROR(INDEX(DATA_ASSET_CLASSIFICATION!$B$8:$B$24,MATCH($C3705,DATA_ASSET_CLASSIFICATION!$A$8:$A$24,0)),"Review"))</f>
        <v>Newton Green</v>
      </c>
      <c r="N3705" s="350" t="str">
        <f ca="1">IF($B3705="Portfolio","Portfolio",IFERROR(INDEX(DATA_ASSET_CLASSIFICATION!$U$8:$U$24,MATCH($C3705,DATA_ASSET_CLASSIFICATION!$A$8:$A$24,0)),"Review"))</f>
        <v>Refi Watch</v>
      </c>
      <c r="O3705" s="350" t="str">
        <f ca="1">IF($B3705="Portfolio","Portfolio",IFERROR(INDEX(DATA_ASSET_CLASSIFICATION!$AB$8:$AB$13,MATCH($N3705,DATA_ASSET_CLASSIFICATION!$AA$8:$AA$13,0)),"Review"))</f>
        <v>Bucket 2 · Legacy</v>
      </c>
      <c r="P3705" s="350" t="str">
        <f>IF($B3705="Portfolio","Portfolio",IFERROR(INDEX(DATA_ASSET_CLASSIFICATION!$C$8:$C$24,MATCH($C3705,DATA_ASSET_CLASSIFICATION!$A$8:$A$24,0)),"Review"))</f>
        <v>Yes</v>
      </c>
      <c r="Q3705" s="350" t="str">
        <f t="shared" ca="1" si="115"/>
        <v>OK</v>
      </c>
    </row>
    <row r="3706" spans="1:17">
      <c r="A3706" s="366" t="s">
        <v>5662</v>
      </c>
      <c r="B3706" s="366" t="s">
        <v>231</v>
      </c>
      <c r="C3706" s="348" t="str">
        <f>DATA_PROPERTY_MASTER!$A$16</f>
        <v>BLD_NG</v>
      </c>
      <c r="D3706" s="380">
        <f>'00_PORTFOLIO ROLLUP'!R$12</f>
        <v>2038</v>
      </c>
      <c r="E3706" s="366" t="s">
        <v>1721</v>
      </c>
      <c r="F3706" s="366" t="s">
        <v>37</v>
      </c>
      <c r="G3706" s="348" t="str">
        <f>"'"&amp;$C3706&amp;"'!$E$63:$Y$63"</f>
        <v>'BLD_NG'!$E$63:$Y$63</v>
      </c>
      <c r="H3706" s="381">
        <f ca="1">IF(IFERROR(INDEX(DATA_PROPERTY_MASTER!$E$5:$E$21,MATCH($C3706,DATA_PROPERTY_MASTER!$A$5:$A$21,0))="Yes",FALSE),MAX(IFERROR(INDEX(INDIRECT("'"&amp;$C3706&amp;"'!$E$63:$Y$63"),1,MATCH($D3706,INDIRECT("'"&amp;$C3706&amp;"'!$E$12:$Y$12"),0)),0),0),0)</f>
        <v>0</v>
      </c>
      <c r="I3706" s="366" t="s">
        <v>1685</v>
      </c>
      <c r="J3706" s="348" t="str">
        <f t="shared" ca="1" si="114"/>
        <v>OK</v>
      </c>
      <c r="K3706" s="366" t="s">
        <v>1735</v>
      </c>
      <c r="L3706" s="366" t="s">
        <v>2258</v>
      </c>
      <c r="M3706" s="350" t="str">
        <f>IF($B3706="Portfolio","Portfolio",IFERROR(INDEX(DATA_ASSET_CLASSIFICATION!$B$8:$B$24,MATCH($C3706,DATA_ASSET_CLASSIFICATION!$A$8:$A$24,0)),"Review"))</f>
        <v>Newton Green</v>
      </c>
      <c r="N3706" s="350" t="str">
        <f ca="1">IF($B3706="Portfolio","Portfolio",IFERROR(INDEX(DATA_ASSET_CLASSIFICATION!$U$8:$U$24,MATCH($C3706,DATA_ASSET_CLASSIFICATION!$A$8:$A$24,0)),"Review"))</f>
        <v>Refi Watch</v>
      </c>
      <c r="O3706" s="350" t="str">
        <f ca="1">IF($B3706="Portfolio","Portfolio",IFERROR(INDEX(DATA_ASSET_CLASSIFICATION!$AB$8:$AB$13,MATCH($N3706,DATA_ASSET_CLASSIFICATION!$AA$8:$AA$13,0)),"Review"))</f>
        <v>Bucket 2 · Legacy</v>
      </c>
      <c r="P3706" s="350" t="str">
        <f>IF($B3706="Portfolio","Portfolio",IFERROR(INDEX(DATA_ASSET_CLASSIFICATION!$C$8:$C$24,MATCH($C3706,DATA_ASSET_CLASSIFICATION!$A$8:$A$24,0)),"Review"))</f>
        <v>Yes</v>
      </c>
      <c r="Q3706" s="350" t="str">
        <f t="shared" ca="1" si="115"/>
        <v>OK</v>
      </c>
    </row>
    <row r="3707" spans="1:17">
      <c r="A3707" s="366" t="s">
        <v>5663</v>
      </c>
      <c r="B3707" s="366" t="s">
        <v>231</v>
      </c>
      <c r="C3707" s="348" t="str">
        <f>DATA_PROPERTY_MASTER!$A$16</f>
        <v>BLD_NG</v>
      </c>
      <c r="D3707" s="380">
        <f>'00_PORTFOLIO ROLLUP'!R$12</f>
        <v>2038</v>
      </c>
      <c r="E3707" s="366" t="s">
        <v>1721</v>
      </c>
      <c r="F3707" s="366" t="s">
        <v>39</v>
      </c>
      <c r="G3707" s="348" t="str">
        <f>"'"&amp;$C3707&amp;"'!$E$63:$Y$63"</f>
        <v>'BLD_NG'!$E$63:$Y$63</v>
      </c>
      <c r="H3707" s="381">
        <f ca="1">IF(IFERROR(INDEX(DATA_PROPERTY_MASTER!$E$5:$E$21,MATCH($C3707,DATA_PROPERTY_MASTER!$A$5:$A$21,0))="Yes",FALSE),MAX(-IFERROR(INDEX(INDIRECT("'"&amp;$C3707&amp;"'!$E$63:$Y$63"),1,MATCH($D3707,INDIRECT("'"&amp;$C3707&amp;"'!$E$12:$Y$12"),0)),0),0),0)</f>
        <v>0</v>
      </c>
      <c r="I3707" s="366" t="s">
        <v>1690</v>
      </c>
      <c r="J3707" s="348" t="str">
        <f t="shared" ca="1" si="114"/>
        <v>OK</v>
      </c>
      <c r="K3707" s="366" t="s">
        <v>1738</v>
      </c>
      <c r="L3707" s="366" t="s">
        <v>2260</v>
      </c>
      <c r="M3707" s="350" t="str">
        <f>IF($B3707="Portfolio","Portfolio",IFERROR(INDEX(DATA_ASSET_CLASSIFICATION!$B$8:$B$24,MATCH($C3707,DATA_ASSET_CLASSIFICATION!$A$8:$A$24,0)),"Review"))</f>
        <v>Newton Green</v>
      </c>
      <c r="N3707" s="350" t="str">
        <f ca="1">IF($B3707="Portfolio","Portfolio",IFERROR(INDEX(DATA_ASSET_CLASSIFICATION!$U$8:$U$24,MATCH($C3707,DATA_ASSET_CLASSIFICATION!$A$8:$A$24,0)),"Review"))</f>
        <v>Refi Watch</v>
      </c>
      <c r="O3707" s="350" t="str">
        <f ca="1">IF($B3707="Portfolio","Portfolio",IFERROR(INDEX(DATA_ASSET_CLASSIFICATION!$AB$8:$AB$13,MATCH($N3707,DATA_ASSET_CLASSIFICATION!$AA$8:$AA$13,0)),"Review"))</f>
        <v>Bucket 2 · Legacy</v>
      </c>
      <c r="P3707" s="350" t="str">
        <f>IF($B3707="Portfolio","Portfolio",IFERROR(INDEX(DATA_ASSET_CLASSIFICATION!$C$8:$C$24,MATCH($C3707,DATA_ASSET_CLASSIFICATION!$A$8:$A$24,0)),"Review"))</f>
        <v>Yes</v>
      </c>
      <c r="Q3707" s="350" t="str">
        <f t="shared" ca="1" si="115"/>
        <v>OK</v>
      </c>
    </row>
    <row r="3708" spans="1:17">
      <c r="A3708" s="366" t="s">
        <v>5664</v>
      </c>
      <c r="B3708" s="366" t="s">
        <v>231</v>
      </c>
      <c r="C3708" s="348" t="str">
        <f>DATA_PROPERTY_MASTER!$A$16</f>
        <v>BLD_NG</v>
      </c>
      <c r="D3708" s="380">
        <f>'00_PORTFOLIO ROLLUP'!R$12</f>
        <v>2038</v>
      </c>
      <c r="E3708" s="366" t="s">
        <v>1741</v>
      </c>
      <c r="F3708" s="366" t="s">
        <v>41</v>
      </c>
      <c r="G3708" s="348" t="str">
        <f>"'"&amp;$C3708&amp;"'!rows 56 + positive row 63"</f>
        <v>'BLD_NG'!rows 56 + positive row 63</v>
      </c>
      <c r="H3708" s="381">
        <f ca="1">IF(IFERROR(INDEX(DATA_PROPERTY_MASTER!$E$5:$E$21,MATCH($C3708,DATA_PROPERTY_MASTER!$A$5:$A$21,0))="Yes",FALSE),IFERROR(INDEX(INDIRECT("'"&amp;$C3708&amp;"'!$E$56:$Y$56"),1,MATCH($D3708,INDIRECT("'"&amp;$C3708&amp;"'!$E$12:$Y$12"),0)),0)+MAX(IFERROR(INDEX(INDIRECT("'"&amp;$C3708&amp;"'!$E$63:$Y$63"),1,MATCH($D3708,INDIRECT("'"&amp;$C3708&amp;"'!$E$12:$Y$12"),0)),0),0),0)</f>
        <v>77532.433774565492</v>
      </c>
      <c r="I3708" s="366" t="s">
        <v>1685</v>
      </c>
      <c r="J3708" s="348" t="str">
        <f t="shared" ca="1" si="114"/>
        <v>OK</v>
      </c>
      <c r="K3708" s="366" t="s">
        <v>1742</v>
      </c>
      <c r="L3708" s="366" t="s">
        <v>2262</v>
      </c>
      <c r="M3708" s="350" t="str">
        <f>IF($B3708="Portfolio","Portfolio",IFERROR(INDEX(DATA_ASSET_CLASSIFICATION!$B$8:$B$24,MATCH($C3708,DATA_ASSET_CLASSIFICATION!$A$8:$A$24,0)),"Review"))</f>
        <v>Newton Green</v>
      </c>
      <c r="N3708" s="350" t="str">
        <f ca="1">IF($B3708="Portfolio","Portfolio",IFERROR(INDEX(DATA_ASSET_CLASSIFICATION!$U$8:$U$24,MATCH($C3708,DATA_ASSET_CLASSIFICATION!$A$8:$A$24,0)),"Review"))</f>
        <v>Refi Watch</v>
      </c>
      <c r="O3708" s="350" t="str">
        <f ca="1">IF($B3708="Portfolio","Portfolio",IFERROR(INDEX(DATA_ASSET_CLASSIFICATION!$AB$8:$AB$13,MATCH($N3708,DATA_ASSET_CLASSIFICATION!$AA$8:$AA$13,0)),"Review"))</f>
        <v>Bucket 2 · Legacy</v>
      </c>
      <c r="P3708" s="350" t="str">
        <f>IF($B3708="Portfolio","Portfolio",IFERROR(INDEX(DATA_ASSET_CLASSIFICATION!$C$8:$C$24,MATCH($C3708,DATA_ASSET_CLASSIFICATION!$A$8:$A$24,0)),"Review"))</f>
        <v>Yes</v>
      </c>
      <c r="Q3708" s="350" t="str">
        <f t="shared" ca="1" si="115"/>
        <v>OK</v>
      </c>
    </row>
    <row r="3709" spans="1:17">
      <c r="A3709" s="366" t="s">
        <v>5665</v>
      </c>
      <c r="B3709" s="366" t="s">
        <v>231</v>
      </c>
      <c r="C3709" s="348" t="str">
        <f>DATA_PROPERTY_MASTER!$A$16</f>
        <v>BLD_NG</v>
      </c>
      <c r="D3709" s="380">
        <f>'00_PORTFOLIO ROLLUP'!R$12</f>
        <v>2038</v>
      </c>
      <c r="E3709" s="366" t="s">
        <v>1741</v>
      </c>
      <c r="F3709" s="366" t="s">
        <v>43</v>
      </c>
      <c r="G3709" s="348" t="str">
        <f>"'"&amp;$C3709&amp;"'!$E$68:$Y$68"</f>
        <v>'BLD_NG'!$E$68:$Y$68</v>
      </c>
      <c r="H3709" s="381">
        <f ca="1">IF(IFERROR(INDEX(DATA_PROPERTY_MASTER!$E$5:$E$21,MATCH($C3709,DATA_PROPERTY_MASTER!$A$5:$A$21,0))="Yes",FALSE),IFERROR(INDEX(INDIRECT("'"&amp;$C3709&amp;"'!$E$68:$Y$68"),1,MATCH($D3709,INDIRECT("'"&amp;$C3709&amp;"'!$E$12:$Y$12"),0)),0),0)</f>
        <v>77532.433774565492</v>
      </c>
      <c r="I3709" s="366" t="s">
        <v>1731</v>
      </c>
      <c r="J3709" s="348" t="str">
        <f t="shared" ca="1" si="114"/>
        <v>OK</v>
      </c>
      <c r="K3709" s="366" t="s">
        <v>1746</v>
      </c>
      <c r="L3709" s="366" t="s">
        <v>2264</v>
      </c>
      <c r="M3709" s="350" t="str">
        <f>IF($B3709="Portfolio","Portfolio",IFERROR(INDEX(DATA_ASSET_CLASSIFICATION!$B$8:$B$24,MATCH($C3709,DATA_ASSET_CLASSIFICATION!$A$8:$A$24,0)),"Review"))</f>
        <v>Newton Green</v>
      </c>
      <c r="N3709" s="350" t="str">
        <f ca="1">IF($B3709="Portfolio","Portfolio",IFERROR(INDEX(DATA_ASSET_CLASSIFICATION!$U$8:$U$24,MATCH($C3709,DATA_ASSET_CLASSIFICATION!$A$8:$A$24,0)),"Review"))</f>
        <v>Refi Watch</v>
      </c>
      <c r="O3709" s="350" t="str">
        <f ca="1">IF($B3709="Portfolio","Portfolio",IFERROR(INDEX(DATA_ASSET_CLASSIFICATION!$AB$8:$AB$13,MATCH($N3709,DATA_ASSET_CLASSIFICATION!$AA$8:$AA$13,0)),"Review"))</f>
        <v>Bucket 2 · Legacy</v>
      </c>
      <c r="P3709" s="350" t="str">
        <f>IF($B3709="Portfolio","Portfolio",IFERROR(INDEX(DATA_ASSET_CLASSIFICATION!$C$8:$C$24,MATCH($C3709,DATA_ASSET_CLASSIFICATION!$A$8:$A$24,0)),"Review"))</f>
        <v>Yes</v>
      </c>
      <c r="Q3709" s="350" t="str">
        <f t="shared" ca="1" si="115"/>
        <v>OK</v>
      </c>
    </row>
    <row r="3710" spans="1:17">
      <c r="A3710" s="366" t="s">
        <v>5666</v>
      </c>
      <c r="B3710" s="366" t="s">
        <v>231</v>
      </c>
      <c r="C3710" s="348" t="str">
        <f>DATA_PROPERTY_MASTER!$A$16</f>
        <v>BLD_NG</v>
      </c>
      <c r="D3710" s="380">
        <f>'00_PORTFOLIO ROLLUP'!R$12</f>
        <v>2038</v>
      </c>
      <c r="E3710" s="366" t="s">
        <v>1741</v>
      </c>
      <c r="F3710" s="366" t="s">
        <v>1749</v>
      </c>
      <c r="G3710" s="348" t="str">
        <f>"'"&amp;$C3710&amp;"'!rows 56, 63, 68"</f>
        <v>'BLD_NG'!rows 56, 63, 68</v>
      </c>
      <c r="H3710" s="381">
        <f ca="1">IF(IFERROR(INDEX(DATA_PROPERTY_MASTER!$E$5:$E$21,MATCH($C3710,DATA_PROPERTY_MASTER!$A$5:$A$21,0))="Yes",FALSE),(IFERROR(INDEX(INDIRECT("'"&amp;$C3710&amp;"'!$E$56:$Y$56"),1,MATCH($D3710,INDIRECT("'"&amp;$C3710&amp;"'!$E$12:$Y$12"),0)),0)+MAX(IFERROR(INDEX(INDIRECT("'"&amp;$C3710&amp;"'!$E$63:$Y$63"),1,MATCH($D3710,INDIRECT("'"&amp;$C3710&amp;"'!$E$12:$Y$12"),0)),0),0))-(IFERROR(INDEX(INDIRECT("'"&amp;$C3710&amp;"'!$E$68:$Y$68"),1,MATCH($D3710,INDIRECT("'"&amp;$C3710&amp;"'!$E$12:$Y$12"),0)),0)),0)</f>
        <v>0</v>
      </c>
      <c r="I3710" s="366" t="s">
        <v>1750</v>
      </c>
      <c r="J3710" s="348" t="str">
        <f t="shared" ca="1" si="114"/>
        <v>OK</v>
      </c>
      <c r="K3710" s="366" t="s">
        <v>1751</v>
      </c>
      <c r="L3710" s="366" t="s">
        <v>2266</v>
      </c>
      <c r="M3710" s="350" t="str">
        <f>IF($B3710="Portfolio","Portfolio",IFERROR(INDEX(DATA_ASSET_CLASSIFICATION!$B$8:$B$24,MATCH($C3710,DATA_ASSET_CLASSIFICATION!$A$8:$A$24,0)),"Review"))</f>
        <v>Newton Green</v>
      </c>
      <c r="N3710" s="350" t="str">
        <f ca="1">IF($B3710="Portfolio","Portfolio",IFERROR(INDEX(DATA_ASSET_CLASSIFICATION!$U$8:$U$24,MATCH($C3710,DATA_ASSET_CLASSIFICATION!$A$8:$A$24,0)),"Review"))</f>
        <v>Refi Watch</v>
      </c>
      <c r="O3710" s="350" t="str">
        <f ca="1">IF($B3710="Portfolio","Portfolio",IFERROR(INDEX(DATA_ASSET_CLASSIFICATION!$AB$8:$AB$13,MATCH($N3710,DATA_ASSET_CLASSIFICATION!$AA$8:$AA$13,0)),"Review"))</f>
        <v>Bucket 2 · Legacy</v>
      </c>
      <c r="P3710" s="350" t="str">
        <f>IF($B3710="Portfolio","Portfolio",IFERROR(INDEX(DATA_ASSET_CLASSIFICATION!$C$8:$C$24,MATCH($C3710,DATA_ASSET_CLASSIFICATION!$A$8:$A$24,0)),"Review"))</f>
        <v>Yes</v>
      </c>
      <c r="Q3710" s="350" t="str">
        <f t="shared" ca="1" si="115"/>
        <v>OK</v>
      </c>
    </row>
    <row r="3711" spans="1:17">
      <c r="A3711" s="366" t="s">
        <v>5667</v>
      </c>
      <c r="B3711" s="366" t="s">
        <v>231</v>
      </c>
      <c r="C3711" s="348" t="str">
        <f>DATA_PROPERTY_MASTER!$A$16</f>
        <v>BLD_NG</v>
      </c>
      <c r="D3711" s="380">
        <f>'00_PORTFOLIO ROLLUP'!S$12</f>
        <v>2039</v>
      </c>
      <c r="E3711" s="366" t="s">
        <v>1683</v>
      </c>
      <c r="F3711" s="366" t="s">
        <v>341</v>
      </c>
      <c r="G3711" s="348" t="str">
        <f>"'"&amp;$C3711&amp;"'!$E$24:$Y$24"</f>
        <v>'BLD_NG'!$E$24:$Y$24</v>
      </c>
      <c r="H3711" s="381">
        <f ca="1">IF(IFERROR(INDEX(DATA_PROPERTY_MASTER!$E$5:$E$21,MATCH($C3711,DATA_PROPERTY_MASTER!$A$5:$A$21,0))="Yes",FALSE),IFERROR(INDEX(INDIRECT("'"&amp;$C3711&amp;"'!$E$24:$Y$24"),1,MATCH($D3711,INDIRECT("'"&amp;$C3711&amp;"'!$E$12:$Y$12"),0)),0),0)</f>
        <v>1025067.7470497608</v>
      </c>
      <c r="I3711" s="366" t="s">
        <v>1685</v>
      </c>
      <c r="J3711" s="348" t="str">
        <f t="shared" ca="1" si="114"/>
        <v>OK</v>
      </c>
      <c r="K3711" s="366" t="s">
        <v>1686</v>
      </c>
      <c r="L3711" s="366" t="s">
        <v>2234</v>
      </c>
      <c r="M3711" s="350" t="str">
        <f>IF($B3711="Portfolio","Portfolio",IFERROR(INDEX(DATA_ASSET_CLASSIFICATION!$B$8:$B$24,MATCH($C3711,DATA_ASSET_CLASSIFICATION!$A$8:$A$24,0)),"Review"))</f>
        <v>Newton Green</v>
      </c>
      <c r="N3711" s="350" t="str">
        <f ca="1">IF($B3711="Portfolio","Portfolio",IFERROR(INDEX(DATA_ASSET_CLASSIFICATION!$U$8:$U$24,MATCH($C3711,DATA_ASSET_CLASSIFICATION!$A$8:$A$24,0)),"Review"))</f>
        <v>Refi Watch</v>
      </c>
      <c r="O3711" s="350" t="str">
        <f ca="1">IF($B3711="Portfolio","Portfolio",IFERROR(INDEX(DATA_ASSET_CLASSIFICATION!$AB$8:$AB$13,MATCH($N3711,DATA_ASSET_CLASSIFICATION!$AA$8:$AA$13,0)),"Review"))</f>
        <v>Bucket 2 · Legacy</v>
      </c>
      <c r="P3711" s="350" t="str">
        <f>IF($B3711="Portfolio","Portfolio",IFERROR(INDEX(DATA_ASSET_CLASSIFICATION!$C$8:$C$24,MATCH($C3711,DATA_ASSET_CLASSIFICATION!$A$8:$A$24,0)),"Review"))</f>
        <v>Yes</v>
      </c>
      <c r="Q3711" s="350" t="str">
        <f t="shared" ca="1" si="115"/>
        <v>OK</v>
      </c>
    </row>
    <row r="3712" spans="1:17">
      <c r="A3712" s="366" t="s">
        <v>5668</v>
      </c>
      <c r="B3712" s="366" t="s">
        <v>231</v>
      </c>
      <c r="C3712" s="348" t="str">
        <f>DATA_PROPERTY_MASTER!$A$16</f>
        <v>BLD_NG</v>
      </c>
      <c r="D3712" s="380">
        <f>'00_PORTFOLIO ROLLUP'!S$12</f>
        <v>2039</v>
      </c>
      <c r="E3712" s="366" t="s">
        <v>1683</v>
      </c>
      <c r="F3712" s="366" t="s">
        <v>355</v>
      </c>
      <c r="G3712" s="348" t="str">
        <f>"'"&amp;$C3712&amp;"'!$E$39:$Y$39"</f>
        <v>'BLD_NG'!$E$39:$Y$39</v>
      </c>
      <c r="H3712" s="381">
        <f ca="1">IF(IFERROR(INDEX(DATA_PROPERTY_MASTER!$E$5:$E$21,MATCH($C3712,DATA_PROPERTY_MASTER!$A$5:$A$21,0))="Yes",FALSE),IFERROR(INDEX(INDIRECT("'"&amp;$C3712&amp;"'!$E$39:$Y$39"),1,MATCH($D3712,INDIRECT("'"&amp;$C3712&amp;"'!$E$12:$Y$12"),0)),0),0)</f>
        <v>500545.66705031029</v>
      </c>
      <c r="I3712" s="366" t="s">
        <v>1690</v>
      </c>
      <c r="J3712" s="348" t="str">
        <f t="shared" ca="1" si="114"/>
        <v>OK</v>
      </c>
      <c r="K3712" s="366" t="s">
        <v>1686</v>
      </c>
      <c r="L3712" s="366" t="s">
        <v>2236</v>
      </c>
      <c r="M3712" s="350" t="str">
        <f>IF($B3712="Portfolio","Portfolio",IFERROR(INDEX(DATA_ASSET_CLASSIFICATION!$B$8:$B$24,MATCH($C3712,DATA_ASSET_CLASSIFICATION!$A$8:$A$24,0)),"Review"))</f>
        <v>Newton Green</v>
      </c>
      <c r="N3712" s="350" t="str">
        <f ca="1">IF($B3712="Portfolio","Portfolio",IFERROR(INDEX(DATA_ASSET_CLASSIFICATION!$U$8:$U$24,MATCH($C3712,DATA_ASSET_CLASSIFICATION!$A$8:$A$24,0)),"Review"))</f>
        <v>Refi Watch</v>
      </c>
      <c r="O3712" s="350" t="str">
        <f ca="1">IF($B3712="Portfolio","Portfolio",IFERROR(INDEX(DATA_ASSET_CLASSIFICATION!$AB$8:$AB$13,MATCH($N3712,DATA_ASSET_CLASSIFICATION!$AA$8:$AA$13,0)),"Review"))</f>
        <v>Bucket 2 · Legacy</v>
      </c>
      <c r="P3712" s="350" t="str">
        <f>IF($B3712="Portfolio","Portfolio",IFERROR(INDEX(DATA_ASSET_CLASSIFICATION!$C$8:$C$24,MATCH($C3712,DATA_ASSET_CLASSIFICATION!$A$8:$A$24,0)),"Review"))</f>
        <v>Yes</v>
      </c>
      <c r="Q3712" s="350" t="str">
        <f t="shared" ca="1" si="115"/>
        <v>OK</v>
      </c>
    </row>
    <row r="3713" spans="1:17">
      <c r="A3713" s="366" t="s">
        <v>5669</v>
      </c>
      <c r="B3713" s="366" t="s">
        <v>231</v>
      </c>
      <c r="C3713" s="348" t="str">
        <f>DATA_PROPERTY_MASTER!$A$16</f>
        <v>BLD_NG</v>
      </c>
      <c r="D3713" s="380">
        <f>'00_PORTFOLIO ROLLUP'!S$12</f>
        <v>2039</v>
      </c>
      <c r="E3713" s="366" t="s">
        <v>1683</v>
      </c>
      <c r="F3713" s="366" t="s">
        <v>19</v>
      </c>
      <c r="G3713" s="348" t="str">
        <f>"'"&amp;$C3713&amp;"'!$E$41:$Y$41"</f>
        <v>'BLD_NG'!$E$41:$Y$41</v>
      </c>
      <c r="H3713" s="381">
        <f ca="1">IF(IFERROR(INDEX(DATA_PROPERTY_MASTER!$E$5:$E$21,MATCH($C3713,DATA_PROPERTY_MASTER!$A$5:$A$21,0))="Yes",FALSE),IFERROR(INDEX(INDIRECT("'"&amp;$C3713&amp;"'!$E$41:$Y$41"),1,MATCH($D3713,INDIRECT("'"&amp;$C3713&amp;"'!$E$12:$Y$12"),0)),0),0)</f>
        <v>524522.07999945048</v>
      </c>
      <c r="I3713" s="366" t="s">
        <v>1685</v>
      </c>
      <c r="J3713" s="348" t="str">
        <f t="shared" ca="1" si="114"/>
        <v>OK</v>
      </c>
      <c r="K3713" s="366" t="s">
        <v>1694</v>
      </c>
      <c r="L3713" s="366" t="s">
        <v>2238</v>
      </c>
      <c r="M3713" s="350" t="str">
        <f>IF($B3713="Portfolio","Portfolio",IFERROR(INDEX(DATA_ASSET_CLASSIFICATION!$B$8:$B$24,MATCH($C3713,DATA_ASSET_CLASSIFICATION!$A$8:$A$24,0)),"Review"))</f>
        <v>Newton Green</v>
      </c>
      <c r="N3713" s="350" t="str">
        <f ca="1">IF($B3713="Portfolio","Portfolio",IFERROR(INDEX(DATA_ASSET_CLASSIFICATION!$U$8:$U$24,MATCH($C3713,DATA_ASSET_CLASSIFICATION!$A$8:$A$24,0)),"Review"))</f>
        <v>Refi Watch</v>
      </c>
      <c r="O3713" s="350" t="str">
        <f ca="1">IF($B3713="Portfolio","Portfolio",IFERROR(INDEX(DATA_ASSET_CLASSIFICATION!$AB$8:$AB$13,MATCH($N3713,DATA_ASSET_CLASSIFICATION!$AA$8:$AA$13,0)),"Review"))</f>
        <v>Bucket 2 · Legacy</v>
      </c>
      <c r="P3713" s="350" t="str">
        <f>IF($B3713="Portfolio","Portfolio",IFERROR(INDEX(DATA_ASSET_CLASSIFICATION!$C$8:$C$24,MATCH($C3713,DATA_ASSET_CLASSIFICATION!$A$8:$A$24,0)),"Review"))</f>
        <v>Yes</v>
      </c>
      <c r="Q3713" s="350" t="str">
        <f t="shared" ca="1" si="115"/>
        <v>OK</v>
      </c>
    </row>
    <row r="3714" spans="1:17">
      <c r="A3714" s="366" t="s">
        <v>5670</v>
      </c>
      <c r="B3714" s="366" t="s">
        <v>231</v>
      </c>
      <c r="C3714" s="348" t="str">
        <f>DATA_PROPERTY_MASTER!$A$16</f>
        <v>BLD_NG</v>
      </c>
      <c r="D3714" s="380">
        <f>'00_PORTFOLIO ROLLUP'!S$12</f>
        <v>2039</v>
      </c>
      <c r="E3714" s="366" t="s">
        <v>1683</v>
      </c>
      <c r="F3714" s="366" t="s">
        <v>1697</v>
      </c>
      <c r="G3714" s="348" t="str">
        <f>"'"&amp;$C3714&amp;"'!$E$44:$Y$44"</f>
        <v>'BLD_NG'!$E$44:$Y$44</v>
      </c>
      <c r="H3714" s="381">
        <f ca="1">IF(IFERROR(INDEX(DATA_PROPERTY_MASTER!$E$5:$E$21,MATCH($C3714,DATA_PROPERTY_MASTER!$A$5:$A$21,0))="Yes",FALSE),IFERROR(INDEX(INDIRECT("'"&amp;$C3714&amp;"'!$E$44:$Y$44"),1,MATCH($D3714,INDIRECT("'"&amp;$C3714&amp;"'!$E$12:$Y$12"),0)),0),0)</f>
        <v>9698.1689085121106</v>
      </c>
      <c r="I3714" s="366" t="s">
        <v>1690</v>
      </c>
      <c r="J3714" s="348" t="str">
        <f t="shared" ca="1" si="114"/>
        <v>OK</v>
      </c>
      <c r="K3714" s="366" t="s">
        <v>1699</v>
      </c>
      <c r="L3714" s="366" t="s">
        <v>2240</v>
      </c>
      <c r="M3714" s="350" t="str">
        <f>IF($B3714="Portfolio","Portfolio",IFERROR(INDEX(DATA_ASSET_CLASSIFICATION!$B$8:$B$24,MATCH($C3714,DATA_ASSET_CLASSIFICATION!$A$8:$A$24,0)),"Review"))</f>
        <v>Newton Green</v>
      </c>
      <c r="N3714" s="350" t="str">
        <f ca="1">IF($B3714="Portfolio","Portfolio",IFERROR(INDEX(DATA_ASSET_CLASSIFICATION!$U$8:$U$24,MATCH($C3714,DATA_ASSET_CLASSIFICATION!$A$8:$A$24,0)),"Review"))</f>
        <v>Refi Watch</v>
      </c>
      <c r="O3714" s="350" t="str">
        <f ca="1">IF($B3714="Portfolio","Portfolio",IFERROR(INDEX(DATA_ASSET_CLASSIFICATION!$AB$8:$AB$13,MATCH($N3714,DATA_ASSET_CLASSIFICATION!$AA$8:$AA$13,0)),"Review"))</f>
        <v>Bucket 2 · Legacy</v>
      </c>
      <c r="P3714" s="350" t="str">
        <f>IF($B3714="Portfolio","Portfolio",IFERROR(INDEX(DATA_ASSET_CLASSIFICATION!$C$8:$C$24,MATCH($C3714,DATA_ASSET_CLASSIFICATION!$A$8:$A$24,0)),"Review"))</f>
        <v>Yes</v>
      </c>
      <c r="Q3714" s="350" t="str">
        <f t="shared" ca="1" si="115"/>
        <v>OK</v>
      </c>
    </row>
    <row r="3715" spans="1:17">
      <c r="A3715" s="366" t="s">
        <v>5671</v>
      </c>
      <c r="B3715" s="366" t="s">
        <v>231</v>
      </c>
      <c r="C3715" s="348" t="str">
        <f>DATA_PROPERTY_MASTER!$A$16</f>
        <v>BLD_NG</v>
      </c>
      <c r="D3715" s="380">
        <f>'00_PORTFOLIO ROLLUP'!S$12</f>
        <v>2039</v>
      </c>
      <c r="E3715" s="366" t="s">
        <v>1683</v>
      </c>
      <c r="F3715" s="366" t="s">
        <v>21</v>
      </c>
      <c r="G3715" s="348" t="str">
        <f>"'"&amp;$C3715&amp;"'!$E$45:$Y$45"</f>
        <v>'BLD_NG'!$E$45:$Y$45</v>
      </c>
      <c r="H3715" s="381">
        <f ca="1">IF(IFERROR(INDEX(DATA_PROPERTY_MASTER!$E$5:$E$21,MATCH($C3715,DATA_PROPERTY_MASTER!$A$5:$A$21,0))="Yes",FALSE),IFERROR(INDEX(INDIRECT("'"&amp;$C3715&amp;"'!$E$45:$Y$45"),1,MATCH($D3715,INDIRECT("'"&amp;$C3715&amp;"'!$E$12:$Y$12"),0)),0),0)</f>
        <v>514823.91109093837</v>
      </c>
      <c r="I3715" s="366" t="s">
        <v>1685</v>
      </c>
      <c r="J3715" s="348" t="str">
        <f t="shared" ca="1" si="114"/>
        <v>OK</v>
      </c>
      <c r="K3715" s="366" t="s">
        <v>1694</v>
      </c>
      <c r="L3715" s="366" t="s">
        <v>2242</v>
      </c>
      <c r="M3715" s="350" t="str">
        <f>IF($B3715="Portfolio","Portfolio",IFERROR(INDEX(DATA_ASSET_CLASSIFICATION!$B$8:$B$24,MATCH($C3715,DATA_ASSET_CLASSIFICATION!$A$8:$A$24,0)),"Review"))</f>
        <v>Newton Green</v>
      </c>
      <c r="N3715" s="350" t="str">
        <f ca="1">IF($B3715="Portfolio","Portfolio",IFERROR(INDEX(DATA_ASSET_CLASSIFICATION!$U$8:$U$24,MATCH($C3715,DATA_ASSET_CLASSIFICATION!$A$8:$A$24,0)),"Review"))</f>
        <v>Refi Watch</v>
      </c>
      <c r="O3715" s="350" t="str">
        <f ca="1">IF($B3715="Portfolio","Portfolio",IFERROR(INDEX(DATA_ASSET_CLASSIFICATION!$AB$8:$AB$13,MATCH($N3715,DATA_ASSET_CLASSIFICATION!$AA$8:$AA$13,0)),"Review"))</f>
        <v>Bucket 2 · Legacy</v>
      </c>
      <c r="P3715" s="350" t="str">
        <f>IF($B3715="Portfolio","Portfolio",IFERROR(INDEX(DATA_ASSET_CLASSIFICATION!$C$8:$C$24,MATCH($C3715,DATA_ASSET_CLASSIFICATION!$A$8:$A$24,0)),"Review"))</f>
        <v>Yes</v>
      </c>
      <c r="Q3715" s="350" t="str">
        <f t="shared" ca="1" si="115"/>
        <v>OK</v>
      </c>
    </row>
    <row r="3716" spans="1:17">
      <c r="A3716" s="366" t="s">
        <v>5672</v>
      </c>
      <c r="B3716" s="366" t="s">
        <v>231</v>
      </c>
      <c r="C3716" s="348" t="str">
        <f>DATA_PROPERTY_MASTER!$A$16</f>
        <v>BLD_NG</v>
      </c>
      <c r="D3716" s="380">
        <f>'00_PORTFOLIO ROLLUP'!S$12</f>
        <v>2039</v>
      </c>
      <c r="E3716" s="366" t="s">
        <v>23</v>
      </c>
      <c r="F3716" s="366" t="s">
        <v>23</v>
      </c>
      <c r="G3716" s="348" t="str">
        <f>"'"&amp;$C3716&amp;"'!$E$48:$Y$48"</f>
        <v>'BLD_NG'!$E$48:$Y$48</v>
      </c>
      <c r="H3716" s="381">
        <f ca="1">IF(IFERROR(INDEX(DATA_PROPERTY_MASTER!$E$5:$E$21,MATCH($C3716,DATA_PROPERTY_MASTER!$A$5:$A$21,0))="Yes",FALSE),IFERROR(INDEX(INDIRECT("'"&amp;$C3716&amp;"'!$E$48:$Y$48"),1,MATCH($D3716,INDIRECT("'"&amp;$C3716&amp;"'!$E$12:$Y$12"),0)),0),0)</f>
        <v>322800.05887749186</v>
      </c>
      <c r="I3716" s="366" t="s">
        <v>1690</v>
      </c>
      <c r="J3716" s="348" t="str">
        <f t="shared" ca="1" si="114"/>
        <v>OK</v>
      </c>
      <c r="K3716" s="366" t="s">
        <v>1706</v>
      </c>
      <c r="L3716" s="366" t="s">
        <v>2244</v>
      </c>
      <c r="M3716" s="350" t="str">
        <f>IF($B3716="Portfolio","Portfolio",IFERROR(INDEX(DATA_ASSET_CLASSIFICATION!$B$8:$B$24,MATCH($C3716,DATA_ASSET_CLASSIFICATION!$A$8:$A$24,0)),"Review"))</f>
        <v>Newton Green</v>
      </c>
      <c r="N3716" s="350" t="str">
        <f ca="1">IF($B3716="Portfolio","Portfolio",IFERROR(INDEX(DATA_ASSET_CLASSIFICATION!$U$8:$U$24,MATCH($C3716,DATA_ASSET_CLASSIFICATION!$A$8:$A$24,0)),"Review"))</f>
        <v>Refi Watch</v>
      </c>
      <c r="O3716" s="350" t="str">
        <f ca="1">IF($B3716="Portfolio","Portfolio",IFERROR(INDEX(DATA_ASSET_CLASSIFICATION!$AB$8:$AB$13,MATCH($N3716,DATA_ASSET_CLASSIFICATION!$AA$8:$AA$13,0)),"Review"))</f>
        <v>Bucket 2 · Legacy</v>
      </c>
      <c r="P3716" s="350" t="str">
        <f>IF($B3716="Portfolio","Portfolio",IFERROR(INDEX(DATA_ASSET_CLASSIFICATION!$C$8:$C$24,MATCH($C3716,DATA_ASSET_CLASSIFICATION!$A$8:$A$24,0)),"Review"))</f>
        <v>Yes</v>
      </c>
      <c r="Q3716" s="350" t="str">
        <f t="shared" ca="1" si="115"/>
        <v>OK</v>
      </c>
    </row>
    <row r="3717" spans="1:17">
      <c r="A3717" s="366" t="s">
        <v>5673</v>
      </c>
      <c r="B3717" s="366" t="s">
        <v>231</v>
      </c>
      <c r="C3717" s="348" t="str">
        <f>DATA_PROPERTY_MASTER!$A$16</f>
        <v>BLD_NG</v>
      </c>
      <c r="D3717" s="380">
        <f>'00_PORTFOLIO ROLLUP'!S$12</f>
        <v>2039</v>
      </c>
      <c r="E3717" s="366" t="s">
        <v>1683</v>
      </c>
      <c r="F3717" s="366" t="s">
        <v>25</v>
      </c>
      <c r="G3717" s="348" t="str">
        <f>"'"&amp;$C3717&amp;"'!$E$52:$Y$52"</f>
        <v>'BLD_NG'!$E$52:$Y$52</v>
      </c>
      <c r="H3717" s="381">
        <f ca="1">IF(IFERROR(INDEX(DATA_PROPERTY_MASTER!$E$5:$E$21,MATCH($C3717,DATA_PROPERTY_MASTER!$A$5:$A$21,0))="Yes",FALSE),IFERROR(INDEX(INDIRECT("'"&amp;$C3717&amp;"'!$E$52:$Y$52"),1,MATCH($D3717,INDIRECT("'"&amp;$C3717&amp;"'!$E$12:$Y$12"),0)),0),0)</f>
        <v>201722.02112195862</v>
      </c>
      <c r="I3717" s="366" t="s">
        <v>1685</v>
      </c>
      <c r="J3717" s="348" t="str">
        <f t="shared" ref="J3717:J3780" ca="1" si="116">IF($F3717="Residual Funding Gap",IF($H3717&gt;0,"Funding Gap","OK"),IF(AND($F3717="Net Refinance Position",$H3717&lt;0),"Negative net refi position","OK"))</f>
        <v>OK</v>
      </c>
      <c r="K3717" s="366" t="s">
        <v>1710</v>
      </c>
      <c r="L3717" s="366" t="s">
        <v>2246</v>
      </c>
      <c r="M3717" s="350" t="str">
        <f>IF($B3717="Portfolio","Portfolio",IFERROR(INDEX(DATA_ASSET_CLASSIFICATION!$B$8:$B$24,MATCH($C3717,DATA_ASSET_CLASSIFICATION!$A$8:$A$24,0)),"Review"))</f>
        <v>Newton Green</v>
      </c>
      <c r="N3717" s="350" t="str">
        <f ca="1">IF($B3717="Portfolio","Portfolio",IFERROR(INDEX(DATA_ASSET_CLASSIFICATION!$U$8:$U$24,MATCH($C3717,DATA_ASSET_CLASSIFICATION!$A$8:$A$24,0)),"Review"))</f>
        <v>Refi Watch</v>
      </c>
      <c r="O3717" s="350" t="str">
        <f ca="1">IF($B3717="Portfolio","Portfolio",IFERROR(INDEX(DATA_ASSET_CLASSIFICATION!$AB$8:$AB$13,MATCH($N3717,DATA_ASSET_CLASSIFICATION!$AA$8:$AA$13,0)),"Review"))</f>
        <v>Bucket 2 · Legacy</v>
      </c>
      <c r="P3717" s="350" t="str">
        <f>IF($B3717="Portfolio","Portfolio",IFERROR(INDEX(DATA_ASSET_CLASSIFICATION!$C$8:$C$24,MATCH($C3717,DATA_ASSET_CLASSIFICATION!$A$8:$A$24,0)),"Review"))</f>
        <v>Yes</v>
      </c>
      <c r="Q3717" s="350" t="str">
        <f t="shared" ref="Q3717:Q3780" ca="1" si="117">IF(AND($B3717="Property",$F3717="Residual Funding Gap",$H3717&gt;0),"Property Funding Gap",IF($J3717&lt;&gt;"OK",$J3717,"OK"))</f>
        <v>OK</v>
      </c>
    </row>
    <row r="3718" spans="1:17">
      <c r="A3718" s="366" t="s">
        <v>5674</v>
      </c>
      <c r="B3718" s="366" t="s">
        <v>231</v>
      </c>
      <c r="C3718" s="348" t="str">
        <f>DATA_PROPERTY_MASTER!$A$16</f>
        <v>BLD_NG</v>
      </c>
      <c r="D3718" s="380">
        <f>'00_PORTFOLIO ROLLUP'!S$12</f>
        <v>2039</v>
      </c>
      <c r="E3718" s="366" t="s">
        <v>1683</v>
      </c>
      <c r="F3718" s="366" t="s">
        <v>27</v>
      </c>
      <c r="G3718" s="348" t="str">
        <f>"'"&amp;$C3718&amp;"'!$E$54:$Y$54"</f>
        <v>'BLD_NG'!$E$54:$Y$54</v>
      </c>
      <c r="H3718" s="381">
        <f ca="1">IF(IFERROR(INDEX(DATA_PROPERTY_MASTER!$E$5:$E$21,MATCH($C3718,DATA_PROPERTY_MASTER!$A$5:$A$21,0))="Yes",FALSE),IFERROR(INDEX(INDIRECT("'"&amp;$C3718&amp;"'!$E$54:$Y$54"),1,MATCH($D3718,INDIRECT("'"&amp;$C3718&amp;"'!$E$12:$Y$12"),0)),0),0)</f>
        <v>121033.21267317516</v>
      </c>
      <c r="I3718" s="366" t="s">
        <v>1690</v>
      </c>
      <c r="J3718" s="348" t="str">
        <f t="shared" ca="1" si="116"/>
        <v>OK</v>
      </c>
      <c r="K3718" s="366" t="s">
        <v>1714</v>
      </c>
      <c r="L3718" s="366" t="s">
        <v>2248</v>
      </c>
      <c r="M3718" s="350" t="str">
        <f>IF($B3718="Portfolio","Portfolio",IFERROR(INDEX(DATA_ASSET_CLASSIFICATION!$B$8:$B$24,MATCH($C3718,DATA_ASSET_CLASSIFICATION!$A$8:$A$24,0)),"Review"))</f>
        <v>Newton Green</v>
      </c>
      <c r="N3718" s="350" t="str">
        <f ca="1">IF($B3718="Portfolio","Portfolio",IFERROR(INDEX(DATA_ASSET_CLASSIFICATION!$U$8:$U$24,MATCH($C3718,DATA_ASSET_CLASSIFICATION!$A$8:$A$24,0)),"Review"))</f>
        <v>Refi Watch</v>
      </c>
      <c r="O3718" s="350" t="str">
        <f ca="1">IF($B3718="Portfolio","Portfolio",IFERROR(INDEX(DATA_ASSET_CLASSIFICATION!$AB$8:$AB$13,MATCH($N3718,DATA_ASSET_CLASSIFICATION!$AA$8:$AA$13,0)),"Review"))</f>
        <v>Bucket 2 · Legacy</v>
      </c>
      <c r="P3718" s="350" t="str">
        <f>IF($B3718="Portfolio","Portfolio",IFERROR(INDEX(DATA_ASSET_CLASSIFICATION!$C$8:$C$24,MATCH($C3718,DATA_ASSET_CLASSIFICATION!$A$8:$A$24,0)),"Review"))</f>
        <v>Yes</v>
      </c>
      <c r="Q3718" s="350" t="str">
        <f t="shared" ca="1" si="117"/>
        <v>OK</v>
      </c>
    </row>
    <row r="3719" spans="1:17">
      <c r="A3719" s="366" t="s">
        <v>5675</v>
      </c>
      <c r="B3719" s="366" t="s">
        <v>231</v>
      </c>
      <c r="C3719" s="348" t="str">
        <f>DATA_PROPERTY_MASTER!$A$16</f>
        <v>BLD_NG</v>
      </c>
      <c r="D3719" s="380">
        <f>'00_PORTFOLIO ROLLUP'!S$12</f>
        <v>2039</v>
      </c>
      <c r="E3719" s="366" t="s">
        <v>1683</v>
      </c>
      <c r="F3719" s="366" t="s">
        <v>29</v>
      </c>
      <c r="G3719" s="348" t="str">
        <f>"'"&amp;$C3719&amp;"'!$E$56:$Y$56"</f>
        <v>'BLD_NG'!$E$56:$Y$56</v>
      </c>
      <c r="H3719" s="381">
        <f ca="1">IF(IFERROR(INDEX(DATA_PROPERTY_MASTER!$E$5:$E$21,MATCH($C3719,DATA_PROPERTY_MASTER!$A$5:$A$21,0))="Yes",FALSE),IFERROR(INDEX(INDIRECT("'"&amp;$C3719&amp;"'!$E$56:$Y$56"),1,MATCH($D3719,INDIRECT("'"&amp;$C3719&amp;"'!$E$12:$Y$12"),0)),0),0)</f>
        <v>80688.808448783457</v>
      </c>
      <c r="I3719" s="366" t="s">
        <v>1685</v>
      </c>
      <c r="J3719" s="348" t="str">
        <f t="shared" ca="1" si="116"/>
        <v>OK</v>
      </c>
      <c r="K3719" s="366" t="s">
        <v>1718</v>
      </c>
      <c r="L3719" s="366" t="s">
        <v>2250</v>
      </c>
      <c r="M3719" s="350" t="str">
        <f>IF($B3719="Portfolio","Portfolio",IFERROR(INDEX(DATA_ASSET_CLASSIFICATION!$B$8:$B$24,MATCH($C3719,DATA_ASSET_CLASSIFICATION!$A$8:$A$24,0)),"Review"))</f>
        <v>Newton Green</v>
      </c>
      <c r="N3719" s="350" t="str">
        <f ca="1">IF($B3719="Portfolio","Portfolio",IFERROR(INDEX(DATA_ASSET_CLASSIFICATION!$U$8:$U$24,MATCH($C3719,DATA_ASSET_CLASSIFICATION!$A$8:$A$24,0)),"Review"))</f>
        <v>Refi Watch</v>
      </c>
      <c r="O3719" s="350" t="str">
        <f ca="1">IF($B3719="Portfolio","Portfolio",IFERROR(INDEX(DATA_ASSET_CLASSIFICATION!$AB$8:$AB$13,MATCH($N3719,DATA_ASSET_CLASSIFICATION!$AA$8:$AA$13,0)),"Review"))</f>
        <v>Bucket 2 · Legacy</v>
      </c>
      <c r="P3719" s="350" t="str">
        <f>IF($B3719="Portfolio","Portfolio",IFERROR(INDEX(DATA_ASSET_CLASSIFICATION!$C$8:$C$24,MATCH($C3719,DATA_ASSET_CLASSIFICATION!$A$8:$A$24,0)),"Review"))</f>
        <v>Yes</v>
      </c>
      <c r="Q3719" s="350" t="str">
        <f t="shared" ca="1" si="117"/>
        <v>OK</v>
      </c>
    </row>
    <row r="3720" spans="1:17">
      <c r="A3720" s="366" t="s">
        <v>5676</v>
      </c>
      <c r="B3720" s="366" t="s">
        <v>231</v>
      </c>
      <c r="C3720" s="348" t="str">
        <f>DATA_PROPERTY_MASTER!$A$16</f>
        <v>BLD_NG</v>
      </c>
      <c r="D3720" s="380">
        <f>'00_PORTFOLIO ROLLUP'!S$12</f>
        <v>2039</v>
      </c>
      <c r="E3720" s="366" t="s">
        <v>1721</v>
      </c>
      <c r="F3720" s="366" t="s">
        <v>31</v>
      </c>
      <c r="G3720" s="348" t="str">
        <f>"'"&amp;$C3720&amp;"'!$E$61:$Y$61"</f>
        <v>'BLD_NG'!$E$61:$Y$61</v>
      </c>
      <c r="H3720" s="381">
        <f ca="1">IF(IFERROR(INDEX(DATA_PROPERTY_MASTER!$E$5:$E$21,MATCH($C3720,DATA_PROPERTY_MASTER!$A$5:$A$21,0))="Yes",FALSE),IFERROR(INDEX(INDIRECT("'"&amp;$C3720&amp;"'!$E$61:$Y$61"),1,MATCH($D3720,INDIRECT("'"&amp;$C3720&amp;"'!$E$12:$Y$12"),0)),0),0)</f>
        <v>0</v>
      </c>
      <c r="I3720" s="366" t="s">
        <v>1690</v>
      </c>
      <c r="J3720" s="348" t="str">
        <f t="shared" ca="1" si="116"/>
        <v>OK</v>
      </c>
      <c r="K3720" s="366" t="s">
        <v>1723</v>
      </c>
      <c r="L3720" s="366" t="s">
        <v>2252</v>
      </c>
      <c r="M3720" s="350" t="str">
        <f>IF($B3720="Portfolio","Portfolio",IFERROR(INDEX(DATA_ASSET_CLASSIFICATION!$B$8:$B$24,MATCH($C3720,DATA_ASSET_CLASSIFICATION!$A$8:$A$24,0)),"Review"))</f>
        <v>Newton Green</v>
      </c>
      <c r="N3720" s="350" t="str">
        <f ca="1">IF($B3720="Portfolio","Portfolio",IFERROR(INDEX(DATA_ASSET_CLASSIFICATION!$U$8:$U$24,MATCH($C3720,DATA_ASSET_CLASSIFICATION!$A$8:$A$24,0)),"Review"))</f>
        <v>Refi Watch</v>
      </c>
      <c r="O3720" s="350" t="str">
        <f ca="1">IF($B3720="Portfolio","Portfolio",IFERROR(INDEX(DATA_ASSET_CLASSIFICATION!$AB$8:$AB$13,MATCH($N3720,DATA_ASSET_CLASSIFICATION!$AA$8:$AA$13,0)),"Review"))</f>
        <v>Bucket 2 · Legacy</v>
      </c>
      <c r="P3720" s="350" t="str">
        <f>IF($B3720="Portfolio","Portfolio",IFERROR(INDEX(DATA_ASSET_CLASSIFICATION!$C$8:$C$24,MATCH($C3720,DATA_ASSET_CLASSIFICATION!$A$8:$A$24,0)),"Review"))</f>
        <v>Yes</v>
      </c>
      <c r="Q3720" s="350" t="str">
        <f t="shared" ca="1" si="117"/>
        <v>OK</v>
      </c>
    </row>
    <row r="3721" spans="1:17">
      <c r="A3721" s="366" t="s">
        <v>5677</v>
      </c>
      <c r="B3721" s="366" t="s">
        <v>231</v>
      </c>
      <c r="C3721" s="348" t="str">
        <f>DATA_PROPERTY_MASTER!$A$16</f>
        <v>BLD_NG</v>
      </c>
      <c r="D3721" s="380">
        <f>'00_PORTFOLIO ROLLUP'!S$12</f>
        <v>2039</v>
      </c>
      <c r="E3721" s="366" t="s">
        <v>1721</v>
      </c>
      <c r="F3721" s="366" t="s">
        <v>33</v>
      </c>
      <c r="G3721" s="348" t="str">
        <f>"'"&amp;$C3721&amp;"'!$E$62:$Y$62"</f>
        <v>'BLD_NG'!$E$62:$Y$62</v>
      </c>
      <c r="H3721" s="381">
        <f ca="1">IF(IFERROR(INDEX(DATA_PROPERTY_MASTER!$E$5:$E$21,MATCH($C3721,DATA_PROPERTY_MASTER!$A$5:$A$21,0))="Yes",FALSE),IFERROR(INDEX(INDIRECT("'"&amp;$C3721&amp;"'!$E$62:$Y$62"),1,MATCH($D3721,INDIRECT("'"&amp;$C3721&amp;"'!$E$12:$Y$12"),0)),0),0)</f>
        <v>0</v>
      </c>
      <c r="I3721" s="366" t="s">
        <v>1685</v>
      </c>
      <c r="J3721" s="348" t="str">
        <f t="shared" ca="1" si="116"/>
        <v>OK</v>
      </c>
      <c r="K3721" s="366" t="s">
        <v>1727</v>
      </c>
      <c r="L3721" s="366" t="s">
        <v>2254</v>
      </c>
      <c r="M3721" s="350" t="str">
        <f>IF($B3721="Portfolio","Portfolio",IFERROR(INDEX(DATA_ASSET_CLASSIFICATION!$B$8:$B$24,MATCH($C3721,DATA_ASSET_CLASSIFICATION!$A$8:$A$24,0)),"Review"))</f>
        <v>Newton Green</v>
      </c>
      <c r="N3721" s="350" t="str">
        <f ca="1">IF($B3721="Portfolio","Portfolio",IFERROR(INDEX(DATA_ASSET_CLASSIFICATION!$U$8:$U$24,MATCH($C3721,DATA_ASSET_CLASSIFICATION!$A$8:$A$24,0)),"Review"))</f>
        <v>Refi Watch</v>
      </c>
      <c r="O3721" s="350" t="str">
        <f ca="1">IF($B3721="Portfolio","Portfolio",IFERROR(INDEX(DATA_ASSET_CLASSIFICATION!$AB$8:$AB$13,MATCH($N3721,DATA_ASSET_CLASSIFICATION!$AA$8:$AA$13,0)),"Review"))</f>
        <v>Bucket 2 · Legacy</v>
      </c>
      <c r="P3721" s="350" t="str">
        <f>IF($B3721="Portfolio","Portfolio",IFERROR(INDEX(DATA_ASSET_CLASSIFICATION!$C$8:$C$24,MATCH($C3721,DATA_ASSET_CLASSIFICATION!$A$8:$A$24,0)),"Review"))</f>
        <v>Yes</v>
      </c>
      <c r="Q3721" s="350" t="str">
        <f t="shared" ca="1" si="117"/>
        <v>OK</v>
      </c>
    </row>
    <row r="3722" spans="1:17">
      <c r="A3722" s="366" t="s">
        <v>5678</v>
      </c>
      <c r="B3722" s="366" t="s">
        <v>231</v>
      </c>
      <c r="C3722" s="348" t="str">
        <f>DATA_PROPERTY_MASTER!$A$16</f>
        <v>BLD_NG</v>
      </c>
      <c r="D3722" s="380">
        <f>'00_PORTFOLIO ROLLUP'!S$12</f>
        <v>2039</v>
      </c>
      <c r="E3722" s="366" t="s">
        <v>1721</v>
      </c>
      <c r="F3722" s="366" t="s">
        <v>35</v>
      </c>
      <c r="G3722" s="348" t="str">
        <f>"'"&amp;$C3722&amp;"'!$E$63:$Y$63"</f>
        <v>'BLD_NG'!$E$63:$Y$63</v>
      </c>
      <c r="H3722" s="381">
        <f ca="1">IF(IFERROR(INDEX(DATA_PROPERTY_MASTER!$E$5:$E$21,MATCH($C3722,DATA_PROPERTY_MASTER!$A$5:$A$21,0))="Yes",FALSE),IFERROR(INDEX(INDIRECT("'"&amp;$C3722&amp;"'!$E$63:$Y$63"),1,MATCH($D3722,INDIRECT("'"&amp;$C3722&amp;"'!$E$12:$Y$12"),0)),0),0)</f>
        <v>0</v>
      </c>
      <c r="I3722" s="366" t="s">
        <v>1731</v>
      </c>
      <c r="J3722" s="348" t="str">
        <f t="shared" ca="1" si="116"/>
        <v>OK</v>
      </c>
      <c r="K3722" s="366" t="s">
        <v>1732</v>
      </c>
      <c r="L3722" s="366" t="s">
        <v>2256</v>
      </c>
      <c r="M3722" s="350" t="str">
        <f>IF($B3722="Portfolio","Portfolio",IFERROR(INDEX(DATA_ASSET_CLASSIFICATION!$B$8:$B$24,MATCH($C3722,DATA_ASSET_CLASSIFICATION!$A$8:$A$24,0)),"Review"))</f>
        <v>Newton Green</v>
      </c>
      <c r="N3722" s="350" t="str">
        <f ca="1">IF($B3722="Portfolio","Portfolio",IFERROR(INDEX(DATA_ASSET_CLASSIFICATION!$U$8:$U$24,MATCH($C3722,DATA_ASSET_CLASSIFICATION!$A$8:$A$24,0)),"Review"))</f>
        <v>Refi Watch</v>
      </c>
      <c r="O3722" s="350" t="str">
        <f ca="1">IF($B3722="Portfolio","Portfolio",IFERROR(INDEX(DATA_ASSET_CLASSIFICATION!$AB$8:$AB$13,MATCH($N3722,DATA_ASSET_CLASSIFICATION!$AA$8:$AA$13,0)),"Review"))</f>
        <v>Bucket 2 · Legacy</v>
      </c>
      <c r="P3722" s="350" t="str">
        <f>IF($B3722="Portfolio","Portfolio",IFERROR(INDEX(DATA_ASSET_CLASSIFICATION!$C$8:$C$24,MATCH($C3722,DATA_ASSET_CLASSIFICATION!$A$8:$A$24,0)),"Review"))</f>
        <v>Yes</v>
      </c>
      <c r="Q3722" s="350" t="str">
        <f t="shared" ca="1" si="117"/>
        <v>OK</v>
      </c>
    </row>
    <row r="3723" spans="1:17">
      <c r="A3723" s="366" t="s">
        <v>5679</v>
      </c>
      <c r="B3723" s="366" t="s">
        <v>231</v>
      </c>
      <c r="C3723" s="348" t="str">
        <f>DATA_PROPERTY_MASTER!$A$16</f>
        <v>BLD_NG</v>
      </c>
      <c r="D3723" s="380">
        <f>'00_PORTFOLIO ROLLUP'!S$12</f>
        <v>2039</v>
      </c>
      <c r="E3723" s="366" t="s">
        <v>1721</v>
      </c>
      <c r="F3723" s="366" t="s">
        <v>37</v>
      </c>
      <c r="G3723" s="348" t="str">
        <f>"'"&amp;$C3723&amp;"'!$E$63:$Y$63"</f>
        <v>'BLD_NG'!$E$63:$Y$63</v>
      </c>
      <c r="H3723" s="381">
        <f ca="1">IF(IFERROR(INDEX(DATA_PROPERTY_MASTER!$E$5:$E$21,MATCH($C3723,DATA_PROPERTY_MASTER!$A$5:$A$21,0))="Yes",FALSE),MAX(IFERROR(INDEX(INDIRECT("'"&amp;$C3723&amp;"'!$E$63:$Y$63"),1,MATCH($D3723,INDIRECT("'"&amp;$C3723&amp;"'!$E$12:$Y$12"),0)),0),0),0)</f>
        <v>0</v>
      </c>
      <c r="I3723" s="366" t="s">
        <v>1685</v>
      </c>
      <c r="J3723" s="348" t="str">
        <f t="shared" ca="1" si="116"/>
        <v>OK</v>
      </c>
      <c r="K3723" s="366" t="s">
        <v>1735</v>
      </c>
      <c r="L3723" s="366" t="s">
        <v>2258</v>
      </c>
      <c r="M3723" s="350" t="str">
        <f>IF($B3723="Portfolio","Portfolio",IFERROR(INDEX(DATA_ASSET_CLASSIFICATION!$B$8:$B$24,MATCH($C3723,DATA_ASSET_CLASSIFICATION!$A$8:$A$24,0)),"Review"))</f>
        <v>Newton Green</v>
      </c>
      <c r="N3723" s="350" t="str">
        <f ca="1">IF($B3723="Portfolio","Portfolio",IFERROR(INDEX(DATA_ASSET_CLASSIFICATION!$U$8:$U$24,MATCH($C3723,DATA_ASSET_CLASSIFICATION!$A$8:$A$24,0)),"Review"))</f>
        <v>Refi Watch</v>
      </c>
      <c r="O3723" s="350" t="str">
        <f ca="1">IF($B3723="Portfolio","Portfolio",IFERROR(INDEX(DATA_ASSET_CLASSIFICATION!$AB$8:$AB$13,MATCH($N3723,DATA_ASSET_CLASSIFICATION!$AA$8:$AA$13,0)),"Review"))</f>
        <v>Bucket 2 · Legacy</v>
      </c>
      <c r="P3723" s="350" t="str">
        <f>IF($B3723="Portfolio","Portfolio",IFERROR(INDEX(DATA_ASSET_CLASSIFICATION!$C$8:$C$24,MATCH($C3723,DATA_ASSET_CLASSIFICATION!$A$8:$A$24,0)),"Review"))</f>
        <v>Yes</v>
      </c>
      <c r="Q3723" s="350" t="str">
        <f t="shared" ca="1" si="117"/>
        <v>OK</v>
      </c>
    </row>
    <row r="3724" spans="1:17">
      <c r="A3724" s="366" t="s">
        <v>5680</v>
      </c>
      <c r="B3724" s="366" t="s">
        <v>231</v>
      </c>
      <c r="C3724" s="348" t="str">
        <f>DATA_PROPERTY_MASTER!$A$16</f>
        <v>BLD_NG</v>
      </c>
      <c r="D3724" s="380">
        <f>'00_PORTFOLIO ROLLUP'!S$12</f>
        <v>2039</v>
      </c>
      <c r="E3724" s="366" t="s">
        <v>1721</v>
      </c>
      <c r="F3724" s="366" t="s">
        <v>39</v>
      </c>
      <c r="G3724" s="348" t="str">
        <f>"'"&amp;$C3724&amp;"'!$E$63:$Y$63"</f>
        <v>'BLD_NG'!$E$63:$Y$63</v>
      </c>
      <c r="H3724" s="381">
        <f ca="1">IF(IFERROR(INDEX(DATA_PROPERTY_MASTER!$E$5:$E$21,MATCH($C3724,DATA_PROPERTY_MASTER!$A$5:$A$21,0))="Yes",FALSE),MAX(-IFERROR(INDEX(INDIRECT("'"&amp;$C3724&amp;"'!$E$63:$Y$63"),1,MATCH($D3724,INDIRECT("'"&amp;$C3724&amp;"'!$E$12:$Y$12"),0)),0),0),0)</f>
        <v>0</v>
      </c>
      <c r="I3724" s="366" t="s">
        <v>1690</v>
      </c>
      <c r="J3724" s="348" t="str">
        <f t="shared" ca="1" si="116"/>
        <v>OK</v>
      </c>
      <c r="K3724" s="366" t="s">
        <v>1738</v>
      </c>
      <c r="L3724" s="366" t="s">
        <v>2260</v>
      </c>
      <c r="M3724" s="350" t="str">
        <f>IF($B3724="Portfolio","Portfolio",IFERROR(INDEX(DATA_ASSET_CLASSIFICATION!$B$8:$B$24,MATCH($C3724,DATA_ASSET_CLASSIFICATION!$A$8:$A$24,0)),"Review"))</f>
        <v>Newton Green</v>
      </c>
      <c r="N3724" s="350" t="str">
        <f ca="1">IF($B3724="Portfolio","Portfolio",IFERROR(INDEX(DATA_ASSET_CLASSIFICATION!$U$8:$U$24,MATCH($C3724,DATA_ASSET_CLASSIFICATION!$A$8:$A$24,0)),"Review"))</f>
        <v>Refi Watch</v>
      </c>
      <c r="O3724" s="350" t="str">
        <f ca="1">IF($B3724="Portfolio","Portfolio",IFERROR(INDEX(DATA_ASSET_CLASSIFICATION!$AB$8:$AB$13,MATCH($N3724,DATA_ASSET_CLASSIFICATION!$AA$8:$AA$13,0)),"Review"))</f>
        <v>Bucket 2 · Legacy</v>
      </c>
      <c r="P3724" s="350" t="str">
        <f>IF($B3724="Portfolio","Portfolio",IFERROR(INDEX(DATA_ASSET_CLASSIFICATION!$C$8:$C$24,MATCH($C3724,DATA_ASSET_CLASSIFICATION!$A$8:$A$24,0)),"Review"))</f>
        <v>Yes</v>
      </c>
      <c r="Q3724" s="350" t="str">
        <f t="shared" ca="1" si="117"/>
        <v>OK</v>
      </c>
    </row>
    <row r="3725" spans="1:17">
      <c r="A3725" s="366" t="s">
        <v>5681</v>
      </c>
      <c r="B3725" s="366" t="s">
        <v>231</v>
      </c>
      <c r="C3725" s="348" t="str">
        <f>DATA_PROPERTY_MASTER!$A$16</f>
        <v>BLD_NG</v>
      </c>
      <c r="D3725" s="380">
        <f>'00_PORTFOLIO ROLLUP'!S$12</f>
        <v>2039</v>
      </c>
      <c r="E3725" s="366" t="s">
        <v>1741</v>
      </c>
      <c r="F3725" s="366" t="s">
        <v>41</v>
      </c>
      <c r="G3725" s="348" t="str">
        <f>"'"&amp;$C3725&amp;"'!rows 56 + positive row 63"</f>
        <v>'BLD_NG'!rows 56 + positive row 63</v>
      </c>
      <c r="H3725" s="381">
        <f ca="1">IF(IFERROR(INDEX(DATA_PROPERTY_MASTER!$E$5:$E$21,MATCH($C3725,DATA_PROPERTY_MASTER!$A$5:$A$21,0))="Yes",FALSE),IFERROR(INDEX(INDIRECT("'"&amp;$C3725&amp;"'!$E$56:$Y$56"),1,MATCH($D3725,INDIRECT("'"&amp;$C3725&amp;"'!$E$12:$Y$12"),0)),0)+MAX(IFERROR(INDEX(INDIRECT("'"&amp;$C3725&amp;"'!$E$63:$Y$63"),1,MATCH($D3725,INDIRECT("'"&amp;$C3725&amp;"'!$E$12:$Y$12"),0)),0),0),0)</f>
        <v>80688.808448783457</v>
      </c>
      <c r="I3725" s="366" t="s">
        <v>1685</v>
      </c>
      <c r="J3725" s="348" t="str">
        <f t="shared" ca="1" si="116"/>
        <v>OK</v>
      </c>
      <c r="K3725" s="366" t="s">
        <v>1742</v>
      </c>
      <c r="L3725" s="366" t="s">
        <v>2262</v>
      </c>
      <c r="M3725" s="350" t="str">
        <f>IF($B3725="Portfolio","Portfolio",IFERROR(INDEX(DATA_ASSET_CLASSIFICATION!$B$8:$B$24,MATCH($C3725,DATA_ASSET_CLASSIFICATION!$A$8:$A$24,0)),"Review"))</f>
        <v>Newton Green</v>
      </c>
      <c r="N3725" s="350" t="str">
        <f ca="1">IF($B3725="Portfolio","Portfolio",IFERROR(INDEX(DATA_ASSET_CLASSIFICATION!$U$8:$U$24,MATCH($C3725,DATA_ASSET_CLASSIFICATION!$A$8:$A$24,0)),"Review"))</f>
        <v>Refi Watch</v>
      </c>
      <c r="O3725" s="350" t="str">
        <f ca="1">IF($B3725="Portfolio","Portfolio",IFERROR(INDEX(DATA_ASSET_CLASSIFICATION!$AB$8:$AB$13,MATCH($N3725,DATA_ASSET_CLASSIFICATION!$AA$8:$AA$13,0)),"Review"))</f>
        <v>Bucket 2 · Legacy</v>
      </c>
      <c r="P3725" s="350" t="str">
        <f>IF($B3725="Portfolio","Portfolio",IFERROR(INDEX(DATA_ASSET_CLASSIFICATION!$C$8:$C$24,MATCH($C3725,DATA_ASSET_CLASSIFICATION!$A$8:$A$24,0)),"Review"))</f>
        <v>Yes</v>
      </c>
      <c r="Q3725" s="350" t="str">
        <f t="shared" ca="1" si="117"/>
        <v>OK</v>
      </c>
    </row>
    <row r="3726" spans="1:17">
      <c r="A3726" s="366" t="s">
        <v>5682</v>
      </c>
      <c r="B3726" s="366" t="s">
        <v>231</v>
      </c>
      <c r="C3726" s="348" t="str">
        <f>DATA_PROPERTY_MASTER!$A$16</f>
        <v>BLD_NG</v>
      </c>
      <c r="D3726" s="380">
        <f>'00_PORTFOLIO ROLLUP'!S$12</f>
        <v>2039</v>
      </c>
      <c r="E3726" s="366" t="s">
        <v>1741</v>
      </c>
      <c r="F3726" s="366" t="s">
        <v>43</v>
      </c>
      <c r="G3726" s="348" t="str">
        <f>"'"&amp;$C3726&amp;"'!$E$68:$Y$68"</f>
        <v>'BLD_NG'!$E$68:$Y$68</v>
      </c>
      <c r="H3726" s="381">
        <f ca="1">IF(IFERROR(INDEX(DATA_PROPERTY_MASTER!$E$5:$E$21,MATCH($C3726,DATA_PROPERTY_MASTER!$A$5:$A$21,0))="Yes",FALSE),IFERROR(INDEX(INDIRECT("'"&amp;$C3726&amp;"'!$E$68:$Y$68"),1,MATCH($D3726,INDIRECT("'"&amp;$C3726&amp;"'!$E$12:$Y$12"),0)),0),0)</f>
        <v>80688.808448783457</v>
      </c>
      <c r="I3726" s="366" t="s">
        <v>1731</v>
      </c>
      <c r="J3726" s="348" t="str">
        <f t="shared" ca="1" si="116"/>
        <v>OK</v>
      </c>
      <c r="K3726" s="366" t="s">
        <v>1746</v>
      </c>
      <c r="L3726" s="366" t="s">
        <v>2264</v>
      </c>
      <c r="M3726" s="350" t="str">
        <f>IF($B3726="Portfolio","Portfolio",IFERROR(INDEX(DATA_ASSET_CLASSIFICATION!$B$8:$B$24,MATCH($C3726,DATA_ASSET_CLASSIFICATION!$A$8:$A$24,0)),"Review"))</f>
        <v>Newton Green</v>
      </c>
      <c r="N3726" s="350" t="str">
        <f ca="1">IF($B3726="Portfolio","Portfolio",IFERROR(INDEX(DATA_ASSET_CLASSIFICATION!$U$8:$U$24,MATCH($C3726,DATA_ASSET_CLASSIFICATION!$A$8:$A$24,0)),"Review"))</f>
        <v>Refi Watch</v>
      </c>
      <c r="O3726" s="350" t="str">
        <f ca="1">IF($B3726="Portfolio","Portfolio",IFERROR(INDEX(DATA_ASSET_CLASSIFICATION!$AB$8:$AB$13,MATCH($N3726,DATA_ASSET_CLASSIFICATION!$AA$8:$AA$13,0)),"Review"))</f>
        <v>Bucket 2 · Legacy</v>
      </c>
      <c r="P3726" s="350" t="str">
        <f>IF($B3726="Portfolio","Portfolio",IFERROR(INDEX(DATA_ASSET_CLASSIFICATION!$C$8:$C$24,MATCH($C3726,DATA_ASSET_CLASSIFICATION!$A$8:$A$24,0)),"Review"))</f>
        <v>Yes</v>
      </c>
      <c r="Q3726" s="350" t="str">
        <f t="shared" ca="1" si="117"/>
        <v>OK</v>
      </c>
    </row>
    <row r="3727" spans="1:17">
      <c r="A3727" s="366" t="s">
        <v>5683</v>
      </c>
      <c r="B3727" s="366" t="s">
        <v>231</v>
      </c>
      <c r="C3727" s="348" t="str">
        <f>DATA_PROPERTY_MASTER!$A$16</f>
        <v>BLD_NG</v>
      </c>
      <c r="D3727" s="380">
        <f>'00_PORTFOLIO ROLLUP'!S$12</f>
        <v>2039</v>
      </c>
      <c r="E3727" s="366" t="s">
        <v>1741</v>
      </c>
      <c r="F3727" s="366" t="s">
        <v>1749</v>
      </c>
      <c r="G3727" s="348" t="str">
        <f>"'"&amp;$C3727&amp;"'!rows 56, 63, 68"</f>
        <v>'BLD_NG'!rows 56, 63, 68</v>
      </c>
      <c r="H3727" s="381">
        <f ca="1">IF(IFERROR(INDEX(DATA_PROPERTY_MASTER!$E$5:$E$21,MATCH($C3727,DATA_PROPERTY_MASTER!$A$5:$A$21,0))="Yes",FALSE),(IFERROR(INDEX(INDIRECT("'"&amp;$C3727&amp;"'!$E$56:$Y$56"),1,MATCH($D3727,INDIRECT("'"&amp;$C3727&amp;"'!$E$12:$Y$12"),0)),0)+MAX(IFERROR(INDEX(INDIRECT("'"&amp;$C3727&amp;"'!$E$63:$Y$63"),1,MATCH($D3727,INDIRECT("'"&amp;$C3727&amp;"'!$E$12:$Y$12"),0)),0),0))-(IFERROR(INDEX(INDIRECT("'"&amp;$C3727&amp;"'!$E$68:$Y$68"),1,MATCH($D3727,INDIRECT("'"&amp;$C3727&amp;"'!$E$12:$Y$12"),0)),0)),0)</f>
        <v>0</v>
      </c>
      <c r="I3727" s="366" t="s">
        <v>1750</v>
      </c>
      <c r="J3727" s="348" t="str">
        <f t="shared" ca="1" si="116"/>
        <v>OK</v>
      </c>
      <c r="K3727" s="366" t="s">
        <v>1751</v>
      </c>
      <c r="L3727" s="366" t="s">
        <v>2266</v>
      </c>
      <c r="M3727" s="350" t="str">
        <f>IF($B3727="Portfolio","Portfolio",IFERROR(INDEX(DATA_ASSET_CLASSIFICATION!$B$8:$B$24,MATCH($C3727,DATA_ASSET_CLASSIFICATION!$A$8:$A$24,0)),"Review"))</f>
        <v>Newton Green</v>
      </c>
      <c r="N3727" s="350" t="str">
        <f ca="1">IF($B3727="Portfolio","Portfolio",IFERROR(INDEX(DATA_ASSET_CLASSIFICATION!$U$8:$U$24,MATCH($C3727,DATA_ASSET_CLASSIFICATION!$A$8:$A$24,0)),"Review"))</f>
        <v>Refi Watch</v>
      </c>
      <c r="O3727" s="350" t="str">
        <f ca="1">IF($B3727="Portfolio","Portfolio",IFERROR(INDEX(DATA_ASSET_CLASSIFICATION!$AB$8:$AB$13,MATCH($N3727,DATA_ASSET_CLASSIFICATION!$AA$8:$AA$13,0)),"Review"))</f>
        <v>Bucket 2 · Legacy</v>
      </c>
      <c r="P3727" s="350" t="str">
        <f>IF($B3727="Portfolio","Portfolio",IFERROR(INDEX(DATA_ASSET_CLASSIFICATION!$C$8:$C$24,MATCH($C3727,DATA_ASSET_CLASSIFICATION!$A$8:$A$24,0)),"Review"))</f>
        <v>Yes</v>
      </c>
      <c r="Q3727" s="350" t="str">
        <f t="shared" ca="1" si="117"/>
        <v>OK</v>
      </c>
    </row>
    <row r="3728" spans="1:17">
      <c r="A3728" s="366" t="s">
        <v>5684</v>
      </c>
      <c r="B3728" s="366" t="s">
        <v>231</v>
      </c>
      <c r="C3728" s="348" t="str">
        <f>DATA_PROPERTY_MASTER!$A$16</f>
        <v>BLD_NG</v>
      </c>
      <c r="D3728" s="380">
        <f>'00_PORTFOLIO ROLLUP'!T$12</f>
        <v>2040</v>
      </c>
      <c r="E3728" s="366" t="s">
        <v>1683</v>
      </c>
      <c r="F3728" s="366" t="s">
        <v>341</v>
      </c>
      <c r="G3728" s="348" t="str">
        <f>"'"&amp;$C3728&amp;"'!$E$24:$Y$24"</f>
        <v>'BLD_NG'!$E$24:$Y$24</v>
      </c>
      <c r="H3728" s="381">
        <f ca="1">IF(IFERROR(INDEX(DATA_PROPERTY_MASTER!$E$5:$E$21,MATCH($C3728,DATA_PROPERTY_MASTER!$A$5:$A$21,0))="Yes",FALSE),IFERROR(INDEX(INDIRECT("'"&amp;$C3728&amp;"'!$E$24:$Y$24"),1,MATCH($D3728,INDIRECT("'"&amp;$C3728&amp;"'!$E$12:$Y$12"),0)),0),0)</f>
        <v>1045569.1019907558</v>
      </c>
      <c r="I3728" s="366" t="s">
        <v>1685</v>
      </c>
      <c r="J3728" s="348" t="str">
        <f t="shared" ca="1" si="116"/>
        <v>OK</v>
      </c>
      <c r="K3728" s="366" t="s">
        <v>1686</v>
      </c>
      <c r="L3728" s="366" t="s">
        <v>2234</v>
      </c>
      <c r="M3728" s="350" t="str">
        <f>IF($B3728="Portfolio","Portfolio",IFERROR(INDEX(DATA_ASSET_CLASSIFICATION!$B$8:$B$24,MATCH($C3728,DATA_ASSET_CLASSIFICATION!$A$8:$A$24,0)),"Review"))</f>
        <v>Newton Green</v>
      </c>
      <c r="N3728" s="350" t="str">
        <f ca="1">IF($B3728="Portfolio","Portfolio",IFERROR(INDEX(DATA_ASSET_CLASSIFICATION!$U$8:$U$24,MATCH($C3728,DATA_ASSET_CLASSIFICATION!$A$8:$A$24,0)),"Review"))</f>
        <v>Refi Watch</v>
      </c>
      <c r="O3728" s="350" t="str">
        <f ca="1">IF($B3728="Portfolio","Portfolio",IFERROR(INDEX(DATA_ASSET_CLASSIFICATION!$AB$8:$AB$13,MATCH($N3728,DATA_ASSET_CLASSIFICATION!$AA$8:$AA$13,0)),"Review"))</f>
        <v>Bucket 2 · Legacy</v>
      </c>
      <c r="P3728" s="350" t="str">
        <f>IF($B3728="Portfolio","Portfolio",IFERROR(INDEX(DATA_ASSET_CLASSIFICATION!$C$8:$C$24,MATCH($C3728,DATA_ASSET_CLASSIFICATION!$A$8:$A$24,0)),"Review"))</f>
        <v>Yes</v>
      </c>
      <c r="Q3728" s="350" t="str">
        <f t="shared" ca="1" si="117"/>
        <v>OK</v>
      </c>
    </row>
    <row r="3729" spans="1:17">
      <c r="A3729" s="366" t="s">
        <v>5685</v>
      </c>
      <c r="B3729" s="366" t="s">
        <v>231</v>
      </c>
      <c r="C3729" s="348" t="str">
        <f>DATA_PROPERTY_MASTER!$A$16</f>
        <v>BLD_NG</v>
      </c>
      <c r="D3729" s="380">
        <f>'00_PORTFOLIO ROLLUP'!T$12</f>
        <v>2040</v>
      </c>
      <c r="E3729" s="366" t="s">
        <v>1683</v>
      </c>
      <c r="F3729" s="366" t="s">
        <v>355</v>
      </c>
      <c r="G3729" s="348" t="str">
        <f>"'"&amp;$C3729&amp;"'!$E$39:$Y$39"</f>
        <v>'BLD_NG'!$E$39:$Y$39</v>
      </c>
      <c r="H3729" s="381">
        <f ca="1">IF(IFERROR(INDEX(DATA_PROPERTY_MASTER!$E$5:$E$21,MATCH($C3729,DATA_PROPERTY_MASTER!$A$5:$A$21,0))="Yes",FALSE),IFERROR(INDEX(INDIRECT("'"&amp;$C3729&amp;"'!$E$39:$Y$39"),1,MATCH($D3729,INDIRECT("'"&amp;$C3729&amp;"'!$E$12:$Y$12"),0)),0),0)</f>
        <v>513059.30872656812</v>
      </c>
      <c r="I3729" s="366" t="s">
        <v>1690</v>
      </c>
      <c r="J3729" s="348" t="str">
        <f t="shared" ca="1" si="116"/>
        <v>OK</v>
      </c>
      <c r="K3729" s="366" t="s">
        <v>1686</v>
      </c>
      <c r="L3729" s="366" t="s">
        <v>2236</v>
      </c>
      <c r="M3729" s="350" t="str">
        <f>IF($B3729="Portfolio","Portfolio",IFERROR(INDEX(DATA_ASSET_CLASSIFICATION!$B$8:$B$24,MATCH($C3729,DATA_ASSET_CLASSIFICATION!$A$8:$A$24,0)),"Review"))</f>
        <v>Newton Green</v>
      </c>
      <c r="N3729" s="350" t="str">
        <f ca="1">IF($B3729="Portfolio","Portfolio",IFERROR(INDEX(DATA_ASSET_CLASSIFICATION!$U$8:$U$24,MATCH($C3729,DATA_ASSET_CLASSIFICATION!$A$8:$A$24,0)),"Review"))</f>
        <v>Refi Watch</v>
      </c>
      <c r="O3729" s="350" t="str">
        <f ca="1">IF($B3729="Portfolio","Portfolio",IFERROR(INDEX(DATA_ASSET_CLASSIFICATION!$AB$8:$AB$13,MATCH($N3729,DATA_ASSET_CLASSIFICATION!$AA$8:$AA$13,0)),"Review"))</f>
        <v>Bucket 2 · Legacy</v>
      </c>
      <c r="P3729" s="350" t="str">
        <f>IF($B3729="Portfolio","Portfolio",IFERROR(INDEX(DATA_ASSET_CLASSIFICATION!$C$8:$C$24,MATCH($C3729,DATA_ASSET_CLASSIFICATION!$A$8:$A$24,0)),"Review"))</f>
        <v>Yes</v>
      </c>
      <c r="Q3729" s="350" t="str">
        <f t="shared" ca="1" si="117"/>
        <v>OK</v>
      </c>
    </row>
    <row r="3730" spans="1:17">
      <c r="A3730" s="366" t="s">
        <v>5686</v>
      </c>
      <c r="B3730" s="366" t="s">
        <v>231</v>
      </c>
      <c r="C3730" s="348" t="str">
        <f>DATA_PROPERTY_MASTER!$A$16</f>
        <v>BLD_NG</v>
      </c>
      <c r="D3730" s="380">
        <f>'00_PORTFOLIO ROLLUP'!T$12</f>
        <v>2040</v>
      </c>
      <c r="E3730" s="366" t="s">
        <v>1683</v>
      </c>
      <c r="F3730" s="366" t="s">
        <v>19</v>
      </c>
      <c r="G3730" s="348" t="str">
        <f>"'"&amp;$C3730&amp;"'!$E$41:$Y$41"</f>
        <v>'BLD_NG'!$E$41:$Y$41</v>
      </c>
      <c r="H3730" s="381">
        <f ca="1">IF(IFERROR(INDEX(DATA_PROPERTY_MASTER!$E$5:$E$21,MATCH($C3730,DATA_PROPERTY_MASTER!$A$5:$A$21,0))="Yes",FALSE),IFERROR(INDEX(INDIRECT("'"&amp;$C3730&amp;"'!$E$41:$Y$41"),1,MATCH($D3730,INDIRECT("'"&amp;$C3730&amp;"'!$E$12:$Y$12"),0)),0),0)</f>
        <v>532509.79326418764</v>
      </c>
      <c r="I3730" s="366" t="s">
        <v>1685</v>
      </c>
      <c r="J3730" s="348" t="str">
        <f t="shared" ca="1" si="116"/>
        <v>OK</v>
      </c>
      <c r="K3730" s="366" t="s">
        <v>1694</v>
      </c>
      <c r="L3730" s="366" t="s">
        <v>2238</v>
      </c>
      <c r="M3730" s="350" t="str">
        <f>IF($B3730="Portfolio","Portfolio",IFERROR(INDEX(DATA_ASSET_CLASSIFICATION!$B$8:$B$24,MATCH($C3730,DATA_ASSET_CLASSIFICATION!$A$8:$A$24,0)),"Review"))</f>
        <v>Newton Green</v>
      </c>
      <c r="N3730" s="350" t="str">
        <f ca="1">IF($B3730="Portfolio","Portfolio",IFERROR(INDEX(DATA_ASSET_CLASSIFICATION!$U$8:$U$24,MATCH($C3730,DATA_ASSET_CLASSIFICATION!$A$8:$A$24,0)),"Review"))</f>
        <v>Refi Watch</v>
      </c>
      <c r="O3730" s="350" t="str">
        <f ca="1">IF($B3730="Portfolio","Portfolio",IFERROR(INDEX(DATA_ASSET_CLASSIFICATION!$AB$8:$AB$13,MATCH($N3730,DATA_ASSET_CLASSIFICATION!$AA$8:$AA$13,0)),"Review"))</f>
        <v>Bucket 2 · Legacy</v>
      </c>
      <c r="P3730" s="350" t="str">
        <f>IF($B3730="Portfolio","Portfolio",IFERROR(INDEX(DATA_ASSET_CLASSIFICATION!$C$8:$C$24,MATCH($C3730,DATA_ASSET_CLASSIFICATION!$A$8:$A$24,0)),"Review"))</f>
        <v>Yes</v>
      </c>
      <c r="Q3730" s="350" t="str">
        <f t="shared" ca="1" si="117"/>
        <v>OK</v>
      </c>
    </row>
    <row r="3731" spans="1:17">
      <c r="A3731" s="366" t="s">
        <v>5687</v>
      </c>
      <c r="B3731" s="366" t="s">
        <v>231</v>
      </c>
      <c r="C3731" s="348" t="str">
        <f>DATA_PROPERTY_MASTER!$A$16</f>
        <v>BLD_NG</v>
      </c>
      <c r="D3731" s="380">
        <f>'00_PORTFOLIO ROLLUP'!T$12</f>
        <v>2040</v>
      </c>
      <c r="E3731" s="366" t="s">
        <v>1683</v>
      </c>
      <c r="F3731" s="366" t="s">
        <v>1697</v>
      </c>
      <c r="G3731" s="348" t="str">
        <f>"'"&amp;$C3731&amp;"'!$E$44:$Y$44"</f>
        <v>'BLD_NG'!$E$44:$Y$44</v>
      </c>
      <c r="H3731" s="381">
        <f ca="1">IF(IFERROR(INDEX(DATA_PROPERTY_MASTER!$E$5:$E$21,MATCH($C3731,DATA_PROPERTY_MASTER!$A$5:$A$21,0))="Yes",FALSE),IFERROR(INDEX(INDIRECT("'"&amp;$C3731&amp;"'!$E$44:$Y$44"),1,MATCH($D3731,INDIRECT("'"&amp;$C3731&amp;"'!$E$12:$Y$12"),0)),0),0)</f>
        <v>9892.1322866823502</v>
      </c>
      <c r="I3731" s="366" t="s">
        <v>1690</v>
      </c>
      <c r="J3731" s="348" t="str">
        <f t="shared" ca="1" si="116"/>
        <v>OK</v>
      </c>
      <c r="K3731" s="366" t="s">
        <v>1699</v>
      </c>
      <c r="L3731" s="366" t="s">
        <v>2240</v>
      </c>
      <c r="M3731" s="350" t="str">
        <f>IF($B3731="Portfolio","Portfolio",IFERROR(INDEX(DATA_ASSET_CLASSIFICATION!$B$8:$B$24,MATCH($C3731,DATA_ASSET_CLASSIFICATION!$A$8:$A$24,0)),"Review"))</f>
        <v>Newton Green</v>
      </c>
      <c r="N3731" s="350" t="str">
        <f ca="1">IF($B3731="Portfolio","Portfolio",IFERROR(INDEX(DATA_ASSET_CLASSIFICATION!$U$8:$U$24,MATCH($C3731,DATA_ASSET_CLASSIFICATION!$A$8:$A$24,0)),"Review"))</f>
        <v>Refi Watch</v>
      </c>
      <c r="O3731" s="350" t="str">
        <f ca="1">IF($B3731="Portfolio","Portfolio",IFERROR(INDEX(DATA_ASSET_CLASSIFICATION!$AB$8:$AB$13,MATCH($N3731,DATA_ASSET_CLASSIFICATION!$AA$8:$AA$13,0)),"Review"))</f>
        <v>Bucket 2 · Legacy</v>
      </c>
      <c r="P3731" s="350" t="str">
        <f>IF($B3731="Portfolio","Portfolio",IFERROR(INDEX(DATA_ASSET_CLASSIFICATION!$C$8:$C$24,MATCH($C3731,DATA_ASSET_CLASSIFICATION!$A$8:$A$24,0)),"Review"))</f>
        <v>Yes</v>
      </c>
      <c r="Q3731" s="350" t="str">
        <f t="shared" ca="1" si="117"/>
        <v>OK</v>
      </c>
    </row>
    <row r="3732" spans="1:17">
      <c r="A3732" s="366" t="s">
        <v>5688</v>
      </c>
      <c r="B3732" s="366" t="s">
        <v>231</v>
      </c>
      <c r="C3732" s="348" t="str">
        <f>DATA_PROPERTY_MASTER!$A$16</f>
        <v>BLD_NG</v>
      </c>
      <c r="D3732" s="380">
        <f>'00_PORTFOLIO ROLLUP'!T$12</f>
        <v>2040</v>
      </c>
      <c r="E3732" s="366" t="s">
        <v>1683</v>
      </c>
      <c r="F3732" s="366" t="s">
        <v>21</v>
      </c>
      <c r="G3732" s="348" t="str">
        <f>"'"&amp;$C3732&amp;"'!$E$45:$Y$45"</f>
        <v>'BLD_NG'!$E$45:$Y$45</v>
      </c>
      <c r="H3732" s="381">
        <f ca="1">IF(IFERROR(INDEX(DATA_PROPERTY_MASTER!$E$5:$E$21,MATCH($C3732,DATA_PROPERTY_MASTER!$A$5:$A$21,0))="Yes",FALSE),IFERROR(INDEX(INDIRECT("'"&amp;$C3732&amp;"'!$E$45:$Y$45"),1,MATCH($D3732,INDIRECT("'"&amp;$C3732&amp;"'!$E$12:$Y$12"),0)),0),0)</f>
        <v>522617.66097750526</v>
      </c>
      <c r="I3732" s="366" t="s">
        <v>1685</v>
      </c>
      <c r="J3732" s="348" t="str">
        <f t="shared" ca="1" si="116"/>
        <v>OK</v>
      </c>
      <c r="K3732" s="366" t="s">
        <v>1694</v>
      </c>
      <c r="L3732" s="366" t="s">
        <v>2242</v>
      </c>
      <c r="M3732" s="350" t="str">
        <f>IF($B3732="Portfolio","Portfolio",IFERROR(INDEX(DATA_ASSET_CLASSIFICATION!$B$8:$B$24,MATCH($C3732,DATA_ASSET_CLASSIFICATION!$A$8:$A$24,0)),"Review"))</f>
        <v>Newton Green</v>
      </c>
      <c r="N3732" s="350" t="str">
        <f ca="1">IF($B3732="Portfolio","Portfolio",IFERROR(INDEX(DATA_ASSET_CLASSIFICATION!$U$8:$U$24,MATCH($C3732,DATA_ASSET_CLASSIFICATION!$A$8:$A$24,0)),"Review"))</f>
        <v>Refi Watch</v>
      </c>
      <c r="O3732" s="350" t="str">
        <f ca="1">IF($B3732="Portfolio","Portfolio",IFERROR(INDEX(DATA_ASSET_CLASSIFICATION!$AB$8:$AB$13,MATCH($N3732,DATA_ASSET_CLASSIFICATION!$AA$8:$AA$13,0)),"Review"))</f>
        <v>Bucket 2 · Legacy</v>
      </c>
      <c r="P3732" s="350" t="str">
        <f>IF($B3732="Portfolio","Portfolio",IFERROR(INDEX(DATA_ASSET_CLASSIFICATION!$C$8:$C$24,MATCH($C3732,DATA_ASSET_CLASSIFICATION!$A$8:$A$24,0)),"Review"))</f>
        <v>Yes</v>
      </c>
      <c r="Q3732" s="350" t="str">
        <f t="shared" ca="1" si="117"/>
        <v>OK</v>
      </c>
    </row>
    <row r="3733" spans="1:17">
      <c r="A3733" s="366" t="s">
        <v>5689</v>
      </c>
      <c r="B3733" s="366" t="s">
        <v>231</v>
      </c>
      <c r="C3733" s="348" t="str">
        <f>DATA_PROPERTY_MASTER!$A$16</f>
        <v>BLD_NG</v>
      </c>
      <c r="D3733" s="380">
        <f>'00_PORTFOLIO ROLLUP'!T$12</f>
        <v>2040</v>
      </c>
      <c r="E3733" s="366" t="s">
        <v>23</v>
      </c>
      <c r="F3733" s="366" t="s">
        <v>23</v>
      </c>
      <c r="G3733" s="348" t="str">
        <f>"'"&amp;$C3733&amp;"'!$E$48:$Y$48"</f>
        <v>'BLD_NG'!$E$48:$Y$48</v>
      </c>
      <c r="H3733" s="381">
        <f ca="1">IF(IFERROR(INDEX(DATA_PROPERTY_MASTER!$E$5:$E$21,MATCH($C3733,DATA_PROPERTY_MASTER!$A$5:$A$21,0))="Yes",FALSE),IFERROR(INDEX(INDIRECT("'"&amp;$C3733&amp;"'!$E$48:$Y$48"),1,MATCH($D3733,INDIRECT("'"&amp;$C3733&amp;"'!$E$12:$Y$12"),0)),0),0)</f>
        <v>322800.05887749186</v>
      </c>
      <c r="I3733" s="366" t="s">
        <v>1690</v>
      </c>
      <c r="J3733" s="348" t="str">
        <f t="shared" ca="1" si="116"/>
        <v>OK</v>
      </c>
      <c r="K3733" s="366" t="s">
        <v>1706</v>
      </c>
      <c r="L3733" s="366" t="s">
        <v>2244</v>
      </c>
      <c r="M3733" s="350" t="str">
        <f>IF($B3733="Portfolio","Portfolio",IFERROR(INDEX(DATA_ASSET_CLASSIFICATION!$B$8:$B$24,MATCH($C3733,DATA_ASSET_CLASSIFICATION!$A$8:$A$24,0)),"Review"))</f>
        <v>Newton Green</v>
      </c>
      <c r="N3733" s="350" t="str">
        <f ca="1">IF($B3733="Portfolio","Portfolio",IFERROR(INDEX(DATA_ASSET_CLASSIFICATION!$U$8:$U$24,MATCH($C3733,DATA_ASSET_CLASSIFICATION!$A$8:$A$24,0)),"Review"))</f>
        <v>Refi Watch</v>
      </c>
      <c r="O3733" s="350" t="str">
        <f ca="1">IF($B3733="Portfolio","Portfolio",IFERROR(INDEX(DATA_ASSET_CLASSIFICATION!$AB$8:$AB$13,MATCH($N3733,DATA_ASSET_CLASSIFICATION!$AA$8:$AA$13,0)),"Review"))</f>
        <v>Bucket 2 · Legacy</v>
      </c>
      <c r="P3733" s="350" t="str">
        <f>IF($B3733="Portfolio","Portfolio",IFERROR(INDEX(DATA_ASSET_CLASSIFICATION!$C$8:$C$24,MATCH($C3733,DATA_ASSET_CLASSIFICATION!$A$8:$A$24,0)),"Review"))</f>
        <v>Yes</v>
      </c>
      <c r="Q3733" s="350" t="str">
        <f t="shared" ca="1" si="117"/>
        <v>OK</v>
      </c>
    </row>
    <row r="3734" spans="1:17">
      <c r="A3734" s="366" t="s">
        <v>5690</v>
      </c>
      <c r="B3734" s="366" t="s">
        <v>231</v>
      </c>
      <c r="C3734" s="348" t="str">
        <f>DATA_PROPERTY_MASTER!$A$16</f>
        <v>BLD_NG</v>
      </c>
      <c r="D3734" s="380">
        <f>'00_PORTFOLIO ROLLUP'!T$12</f>
        <v>2040</v>
      </c>
      <c r="E3734" s="366" t="s">
        <v>1683</v>
      </c>
      <c r="F3734" s="366" t="s">
        <v>25</v>
      </c>
      <c r="G3734" s="348" t="str">
        <f>"'"&amp;$C3734&amp;"'!$E$52:$Y$52"</f>
        <v>'BLD_NG'!$E$52:$Y$52</v>
      </c>
      <c r="H3734" s="381">
        <f ca="1">IF(IFERROR(INDEX(DATA_PROPERTY_MASTER!$E$5:$E$21,MATCH($C3734,DATA_PROPERTY_MASTER!$A$5:$A$21,0))="Yes",FALSE),IFERROR(INDEX(INDIRECT("'"&amp;$C3734&amp;"'!$E$52:$Y$52"),1,MATCH($D3734,INDIRECT("'"&amp;$C3734&amp;"'!$E$12:$Y$12"),0)),0),0)</f>
        <v>209709.73438669578</v>
      </c>
      <c r="I3734" s="366" t="s">
        <v>1685</v>
      </c>
      <c r="J3734" s="348" t="str">
        <f t="shared" ca="1" si="116"/>
        <v>OK</v>
      </c>
      <c r="K3734" s="366" t="s">
        <v>1710</v>
      </c>
      <c r="L3734" s="366" t="s">
        <v>2246</v>
      </c>
      <c r="M3734" s="350" t="str">
        <f>IF($B3734="Portfolio","Portfolio",IFERROR(INDEX(DATA_ASSET_CLASSIFICATION!$B$8:$B$24,MATCH($C3734,DATA_ASSET_CLASSIFICATION!$A$8:$A$24,0)),"Review"))</f>
        <v>Newton Green</v>
      </c>
      <c r="N3734" s="350" t="str">
        <f ca="1">IF($B3734="Portfolio","Portfolio",IFERROR(INDEX(DATA_ASSET_CLASSIFICATION!$U$8:$U$24,MATCH($C3734,DATA_ASSET_CLASSIFICATION!$A$8:$A$24,0)),"Review"))</f>
        <v>Refi Watch</v>
      </c>
      <c r="O3734" s="350" t="str">
        <f ca="1">IF($B3734="Portfolio","Portfolio",IFERROR(INDEX(DATA_ASSET_CLASSIFICATION!$AB$8:$AB$13,MATCH($N3734,DATA_ASSET_CLASSIFICATION!$AA$8:$AA$13,0)),"Review"))</f>
        <v>Bucket 2 · Legacy</v>
      </c>
      <c r="P3734" s="350" t="str">
        <f>IF($B3734="Portfolio","Portfolio",IFERROR(INDEX(DATA_ASSET_CLASSIFICATION!$C$8:$C$24,MATCH($C3734,DATA_ASSET_CLASSIFICATION!$A$8:$A$24,0)),"Review"))</f>
        <v>Yes</v>
      </c>
      <c r="Q3734" s="350" t="str">
        <f t="shared" ca="1" si="117"/>
        <v>OK</v>
      </c>
    </row>
    <row r="3735" spans="1:17">
      <c r="A3735" s="366" t="s">
        <v>5691</v>
      </c>
      <c r="B3735" s="366" t="s">
        <v>231</v>
      </c>
      <c r="C3735" s="348" t="str">
        <f>DATA_PROPERTY_MASTER!$A$16</f>
        <v>BLD_NG</v>
      </c>
      <c r="D3735" s="380">
        <f>'00_PORTFOLIO ROLLUP'!T$12</f>
        <v>2040</v>
      </c>
      <c r="E3735" s="366" t="s">
        <v>1683</v>
      </c>
      <c r="F3735" s="366" t="s">
        <v>27</v>
      </c>
      <c r="G3735" s="348" t="str">
        <f>"'"&amp;$C3735&amp;"'!$E$54:$Y$54"</f>
        <v>'BLD_NG'!$E$54:$Y$54</v>
      </c>
      <c r="H3735" s="381">
        <f ca="1">IF(IFERROR(INDEX(DATA_PROPERTY_MASTER!$E$5:$E$21,MATCH($C3735,DATA_PROPERTY_MASTER!$A$5:$A$21,0))="Yes",FALSE),IFERROR(INDEX(INDIRECT("'"&amp;$C3735&amp;"'!$E$54:$Y$54"),1,MATCH($D3735,INDIRECT("'"&amp;$C3735&amp;"'!$E$12:$Y$12"),0)),0),0)</f>
        <v>125825.84063201747</v>
      </c>
      <c r="I3735" s="366" t="s">
        <v>1690</v>
      </c>
      <c r="J3735" s="348" t="str">
        <f t="shared" ca="1" si="116"/>
        <v>OK</v>
      </c>
      <c r="K3735" s="366" t="s">
        <v>1714</v>
      </c>
      <c r="L3735" s="366" t="s">
        <v>2248</v>
      </c>
      <c r="M3735" s="350" t="str">
        <f>IF($B3735="Portfolio","Portfolio",IFERROR(INDEX(DATA_ASSET_CLASSIFICATION!$B$8:$B$24,MATCH($C3735,DATA_ASSET_CLASSIFICATION!$A$8:$A$24,0)),"Review"))</f>
        <v>Newton Green</v>
      </c>
      <c r="N3735" s="350" t="str">
        <f ca="1">IF($B3735="Portfolio","Portfolio",IFERROR(INDEX(DATA_ASSET_CLASSIFICATION!$U$8:$U$24,MATCH($C3735,DATA_ASSET_CLASSIFICATION!$A$8:$A$24,0)),"Review"))</f>
        <v>Refi Watch</v>
      </c>
      <c r="O3735" s="350" t="str">
        <f ca="1">IF($B3735="Portfolio","Portfolio",IFERROR(INDEX(DATA_ASSET_CLASSIFICATION!$AB$8:$AB$13,MATCH($N3735,DATA_ASSET_CLASSIFICATION!$AA$8:$AA$13,0)),"Review"))</f>
        <v>Bucket 2 · Legacy</v>
      </c>
      <c r="P3735" s="350" t="str">
        <f>IF($B3735="Portfolio","Portfolio",IFERROR(INDEX(DATA_ASSET_CLASSIFICATION!$C$8:$C$24,MATCH($C3735,DATA_ASSET_CLASSIFICATION!$A$8:$A$24,0)),"Review"))</f>
        <v>Yes</v>
      </c>
      <c r="Q3735" s="350" t="str">
        <f t="shared" ca="1" si="117"/>
        <v>OK</v>
      </c>
    </row>
    <row r="3736" spans="1:17">
      <c r="A3736" s="366" t="s">
        <v>5692</v>
      </c>
      <c r="B3736" s="366" t="s">
        <v>231</v>
      </c>
      <c r="C3736" s="348" t="str">
        <f>DATA_PROPERTY_MASTER!$A$16</f>
        <v>BLD_NG</v>
      </c>
      <c r="D3736" s="380">
        <f>'00_PORTFOLIO ROLLUP'!T$12</f>
        <v>2040</v>
      </c>
      <c r="E3736" s="366" t="s">
        <v>1683</v>
      </c>
      <c r="F3736" s="366" t="s">
        <v>29</v>
      </c>
      <c r="G3736" s="348" t="str">
        <f>"'"&amp;$C3736&amp;"'!$E$56:$Y$56"</f>
        <v>'BLD_NG'!$E$56:$Y$56</v>
      </c>
      <c r="H3736" s="381">
        <f ca="1">IF(IFERROR(INDEX(DATA_PROPERTY_MASTER!$E$5:$E$21,MATCH($C3736,DATA_PROPERTY_MASTER!$A$5:$A$21,0))="Yes",FALSE),IFERROR(INDEX(INDIRECT("'"&amp;$C3736&amp;"'!$E$56:$Y$56"),1,MATCH($D3736,INDIRECT("'"&amp;$C3736&amp;"'!$E$12:$Y$12"),0)),0),0)</f>
        <v>83883.893754678313</v>
      </c>
      <c r="I3736" s="366" t="s">
        <v>1685</v>
      </c>
      <c r="J3736" s="348" t="str">
        <f t="shared" ca="1" si="116"/>
        <v>OK</v>
      </c>
      <c r="K3736" s="366" t="s">
        <v>1718</v>
      </c>
      <c r="L3736" s="366" t="s">
        <v>2250</v>
      </c>
      <c r="M3736" s="350" t="str">
        <f>IF($B3736="Portfolio","Portfolio",IFERROR(INDEX(DATA_ASSET_CLASSIFICATION!$B$8:$B$24,MATCH($C3736,DATA_ASSET_CLASSIFICATION!$A$8:$A$24,0)),"Review"))</f>
        <v>Newton Green</v>
      </c>
      <c r="N3736" s="350" t="str">
        <f ca="1">IF($B3736="Portfolio","Portfolio",IFERROR(INDEX(DATA_ASSET_CLASSIFICATION!$U$8:$U$24,MATCH($C3736,DATA_ASSET_CLASSIFICATION!$A$8:$A$24,0)),"Review"))</f>
        <v>Refi Watch</v>
      </c>
      <c r="O3736" s="350" t="str">
        <f ca="1">IF($B3736="Portfolio","Portfolio",IFERROR(INDEX(DATA_ASSET_CLASSIFICATION!$AB$8:$AB$13,MATCH($N3736,DATA_ASSET_CLASSIFICATION!$AA$8:$AA$13,0)),"Review"))</f>
        <v>Bucket 2 · Legacy</v>
      </c>
      <c r="P3736" s="350" t="str">
        <f>IF($B3736="Portfolio","Portfolio",IFERROR(INDEX(DATA_ASSET_CLASSIFICATION!$C$8:$C$24,MATCH($C3736,DATA_ASSET_CLASSIFICATION!$A$8:$A$24,0)),"Review"))</f>
        <v>Yes</v>
      </c>
      <c r="Q3736" s="350" t="str">
        <f t="shared" ca="1" si="117"/>
        <v>OK</v>
      </c>
    </row>
    <row r="3737" spans="1:17">
      <c r="A3737" s="366" t="s">
        <v>5693</v>
      </c>
      <c r="B3737" s="366" t="s">
        <v>231</v>
      </c>
      <c r="C3737" s="348" t="str">
        <f>DATA_PROPERTY_MASTER!$A$16</f>
        <v>BLD_NG</v>
      </c>
      <c r="D3737" s="380">
        <f>'00_PORTFOLIO ROLLUP'!T$12</f>
        <v>2040</v>
      </c>
      <c r="E3737" s="366" t="s">
        <v>1721</v>
      </c>
      <c r="F3737" s="366" t="s">
        <v>31</v>
      </c>
      <c r="G3737" s="348" t="str">
        <f>"'"&amp;$C3737&amp;"'!$E$61:$Y$61"</f>
        <v>'BLD_NG'!$E$61:$Y$61</v>
      </c>
      <c r="H3737" s="381">
        <f ca="1">IF(IFERROR(INDEX(DATA_PROPERTY_MASTER!$E$5:$E$21,MATCH($C3737,DATA_PROPERTY_MASTER!$A$5:$A$21,0))="Yes",FALSE),IFERROR(INDEX(INDIRECT("'"&amp;$C3737&amp;"'!$E$61:$Y$61"),1,MATCH($D3737,INDIRECT("'"&amp;$C3737&amp;"'!$E$12:$Y$12"),0)),0),0)</f>
        <v>0</v>
      </c>
      <c r="I3737" s="366" t="s">
        <v>1690</v>
      </c>
      <c r="J3737" s="348" t="str">
        <f t="shared" ca="1" si="116"/>
        <v>OK</v>
      </c>
      <c r="K3737" s="366" t="s">
        <v>1723</v>
      </c>
      <c r="L3737" s="366" t="s">
        <v>2252</v>
      </c>
      <c r="M3737" s="350" t="str">
        <f>IF($B3737="Portfolio","Portfolio",IFERROR(INDEX(DATA_ASSET_CLASSIFICATION!$B$8:$B$24,MATCH($C3737,DATA_ASSET_CLASSIFICATION!$A$8:$A$24,0)),"Review"))</f>
        <v>Newton Green</v>
      </c>
      <c r="N3737" s="350" t="str">
        <f ca="1">IF($B3737="Portfolio","Portfolio",IFERROR(INDEX(DATA_ASSET_CLASSIFICATION!$U$8:$U$24,MATCH($C3737,DATA_ASSET_CLASSIFICATION!$A$8:$A$24,0)),"Review"))</f>
        <v>Refi Watch</v>
      </c>
      <c r="O3737" s="350" t="str">
        <f ca="1">IF($B3737="Portfolio","Portfolio",IFERROR(INDEX(DATA_ASSET_CLASSIFICATION!$AB$8:$AB$13,MATCH($N3737,DATA_ASSET_CLASSIFICATION!$AA$8:$AA$13,0)),"Review"))</f>
        <v>Bucket 2 · Legacy</v>
      </c>
      <c r="P3737" s="350" t="str">
        <f>IF($B3737="Portfolio","Portfolio",IFERROR(INDEX(DATA_ASSET_CLASSIFICATION!$C$8:$C$24,MATCH($C3737,DATA_ASSET_CLASSIFICATION!$A$8:$A$24,0)),"Review"))</f>
        <v>Yes</v>
      </c>
      <c r="Q3737" s="350" t="str">
        <f t="shared" ca="1" si="117"/>
        <v>OK</v>
      </c>
    </row>
    <row r="3738" spans="1:17">
      <c r="A3738" s="366" t="s">
        <v>5694</v>
      </c>
      <c r="B3738" s="366" t="s">
        <v>231</v>
      </c>
      <c r="C3738" s="348" t="str">
        <f>DATA_PROPERTY_MASTER!$A$16</f>
        <v>BLD_NG</v>
      </c>
      <c r="D3738" s="380">
        <f>'00_PORTFOLIO ROLLUP'!T$12</f>
        <v>2040</v>
      </c>
      <c r="E3738" s="366" t="s">
        <v>1721</v>
      </c>
      <c r="F3738" s="366" t="s">
        <v>33</v>
      </c>
      <c r="G3738" s="348" t="str">
        <f>"'"&amp;$C3738&amp;"'!$E$62:$Y$62"</f>
        <v>'BLD_NG'!$E$62:$Y$62</v>
      </c>
      <c r="H3738" s="381">
        <f ca="1">IF(IFERROR(INDEX(DATA_PROPERTY_MASTER!$E$5:$E$21,MATCH($C3738,DATA_PROPERTY_MASTER!$A$5:$A$21,0))="Yes",FALSE),IFERROR(INDEX(INDIRECT("'"&amp;$C3738&amp;"'!$E$62:$Y$62"),1,MATCH($D3738,INDIRECT("'"&amp;$C3738&amp;"'!$E$12:$Y$12"),0)),0),0)</f>
        <v>0</v>
      </c>
      <c r="I3738" s="366" t="s">
        <v>1685</v>
      </c>
      <c r="J3738" s="348" t="str">
        <f t="shared" ca="1" si="116"/>
        <v>OK</v>
      </c>
      <c r="K3738" s="366" t="s">
        <v>1727</v>
      </c>
      <c r="L3738" s="366" t="s">
        <v>2254</v>
      </c>
      <c r="M3738" s="350" t="str">
        <f>IF($B3738="Portfolio","Portfolio",IFERROR(INDEX(DATA_ASSET_CLASSIFICATION!$B$8:$B$24,MATCH($C3738,DATA_ASSET_CLASSIFICATION!$A$8:$A$24,0)),"Review"))</f>
        <v>Newton Green</v>
      </c>
      <c r="N3738" s="350" t="str">
        <f ca="1">IF($B3738="Portfolio","Portfolio",IFERROR(INDEX(DATA_ASSET_CLASSIFICATION!$U$8:$U$24,MATCH($C3738,DATA_ASSET_CLASSIFICATION!$A$8:$A$24,0)),"Review"))</f>
        <v>Refi Watch</v>
      </c>
      <c r="O3738" s="350" t="str">
        <f ca="1">IF($B3738="Portfolio","Portfolio",IFERROR(INDEX(DATA_ASSET_CLASSIFICATION!$AB$8:$AB$13,MATCH($N3738,DATA_ASSET_CLASSIFICATION!$AA$8:$AA$13,0)),"Review"))</f>
        <v>Bucket 2 · Legacy</v>
      </c>
      <c r="P3738" s="350" t="str">
        <f>IF($B3738="Portfolio","Portfolio",IFERROR(INDEX(DATA_ASSET_CLASSIFICATION!$C$8:$C$24,MATCH($C3738,DATA_ASSET_CLASSIFICATION!$A$8:$A$24,0)),"Review"))</f>
        <v>Yes</v>
      </c>
      <c r="Q3738" s="350" t="str">
        <f t="shared" ca="1" si="117"/>
        <v>OK</v>
      </c>
    </row>
    <row r="3739" spans="1:17">
      <c r="A3739" s="366" t="s">
        <v>5695</v>
      </c>
      <c r="B3739" s="366" t="s">
        <v>231</v>
      </c>
      <c r="C3739" s="348" t="str">
        <f>DATA_PROPERTY_MASTER!$A$16</f>
        <v>BLD_NG</v>
      </c>
      <c r="D3739" s="380">
        <f>'00_PORTFOLIO ROLLUP'!T$12</f>
        <v>2040</v>
      </c>
      <c r="E3739" s="366" t="s">
        <v>1721</v>
      </c>
      <c r="F3739" s="366" t="s">
        <v>35</v>
      </c>
      <c r="G3739" s="348" t="str">
        <f>"'"&amp;$C3739&amp;"'!$E$63:$Y$63"</f>
        <v>'BLD_NG'!$E$63:$Y$63</v>
      </c>
      <c r="H3739" s="381">
        <f ca="1">IF(IFERROR(INDEX(DATA_PROPERTY_MASTER!$E$5:$E$21,MATCH($C3739,DATA_PROPERTY_MASTER!$A$5:$A$21,0))="Yes",FALSE),IFERROR(INDEX(INDIRECT("'"&amp;$C3739&amp;"'!$E$63:$Y$63"),1,MATCH($D3739,INDIRECT("'"&amp;$C3739&amp;"'!$E$12:$Y$12"),0)),0),0)</f>
        <v>0</v>
      </c>
      <c r="I3739" s="366" t="s">
        <v>1731</v>
      </c>
      <c r="J3739" s="348" t="str">
        <f t="shared" ca="1" si="116"/>
        <v>OK</v>
      </c>
      <c r="K3739" s="366" t="s">
        <v>1732</v>
      </c>
      <c r="L3739" s="366" t="s">
        <v>2256</v>
      </c>
      <c r="M3739" s="350" t="str">
        <f>IF($B3739="Portfolio","Portfolio",IFERROR(INDEX(DATA_ASSET_CLASSIFICATION!$B$8:$B$24,MATCH($C3739,DATA_ASSET_CLASSIFICATION!$A$8:$A$24,0)),"Review"))</f>
        <v>Newton Green</v>
      </c>
      <c r="N3739" s="350" t="str">
        <f ca="1">IF($B3739="Portfolio","Portfolio",IFERROR(INDEX(DATA_ASSET_CLASSIFICATION!$U$8:$U$24,MATCH($C3739,DATA_ASSET_CLASSIFICATION!$A$8:$A$24,0)),"Review"))</f>
        <v>Refi Watch</v>
      </c>
      <c r="O3739" s="350" t="str">
        <f ca="1">IF($B3739="Portfolio","Portfolio",IFERROR(INDEX(DATA_ASSET_CLASSIFICATION!$AB$8:$AB$13,MATCH($N3739,DATA_ASSET_CLASSIFICATION!$AA$8:$AA$13,0)),"Review"))</f>
        <v>Bucket 2 · Legacy</v>
      </c>
      <c r="P3739" s="350" t="str">
        <f>IF($B3739="Portfolio","Portfolio",IFERROR(INDEX(DATA_ASSET_CLASSIFICATION!$C$8:$C$24,MATCH($C3739,DATA_ASSET_CLASSIFICATION!$A$8:$A$24,0)),"Review"))</f>
        <v>Yes</v>
      </c>
      <c r="Q3739" s="350" t="str">
        <f t="shared" ca="1" si="117"/>
        <v>OK</v>
      </c>
    </row>
    <row r="3740" spans="1:17">
      <c r="A3740" s="366" t="s">
        <v>5696</v>
      </c>
      <c r="B3740" s="366" t="s">
        <v>231</v>
      </c>
      <c r="C3740" s="348" t="str">
        <f>DATA_PROPERTY_MASTER!$A$16</f>
        <v>BLD_NG</v>
      </c>
      <c r="D3740" s="380">
        <f>'00_PORTFOLIO ROLLUP'!T$12</f>
        <v>2040</v>
      </c>
      <c r="E3740" s="366" t="s">
        <v>1721</v>
      </c>
      <c r="F3740" s="366" t="s">
        <v>37</v>
      </c>
      <c r="G3740" s="348" t="str">
        <f>"'"&amp;$C3740&amp;"'!$E$63:$Y$63"</f>
        <v>'BLD_NG'!$E$63:$Y$63</v>
      </c>
      <c r="H3740" s="381">
        <f ca="1">IF(IFERROR(INDEX(DATA_PROPERTY_MASTER!$E$5:$E$21,MATCH($C3740,DATA_PROPERTY_MASTER!$A$5:$A$21,0))="Yes",FALSE),MAX(IFERROR(INDEX(INDIRECT("'"&amp;$C3740&amp;"'!$E$63:$Y$63"),1,MATCH($D3740,INDIRECT("'"&amp;$C3740&amp;"'!$E$12:$Y$12"),0)),0),0),0)</f>
        <v>0</v>
      </c>
      <c r="I3740" s="366" t="s">
        <v>1685</v>
      </c>
      <c r="J3740" s="348" t="str">
        <f t="shared" ca="1" si="116"/>
        <v>OK</v>
      </c>
      <c r="K3740" s="366" t="s">
        <v>1735</v>
      </c>
      <c r="L3740" s="366" t="s">
        <v>2258</v>
      </c>
      <c r="M3740" s="350" t="str">
        <f>IF($B3740="Portfolio","Portfolio",IFERROR(INDEX(DATA_ASSET_CLASSIFICATION!$B$8:$B$24,MATCH($C3740,DATA_ASSET_CLASSIFICATION!$A$8:$A$24,0)),"Review"))</f>
        <v>Newton Green</v>
      </c>
      <c r="N3740" s="350" t="str">
        <f ca="1">IF($B3740="Portfolio","Portfolio",IFERROR(INDEX(DATA_ASSET_CLASSIFICATION!$U$8:$U$24,MATCH($C3740,DATA_ASSET_CLASSIFICATION!$A$8:$A$24,0)),"Review"))</f>
        <v>Refi Watch</v>
      </c>
      <c r="O3740" s="350" t="str">
        <f ca="1">IF($B3740="Portfolio","Portfolio",IFERROR(INDEX(DATA_ASSET_CLASSIFICATION!$AB$8:$AB$13,MATCH($N3740,DATA_ASSET_CLASSIFICATION!$AA$8:$AA$13,0)),"Review"))</f>
        <v>Bucket 2 · Legacy</v>
      </c>
      <c r="P3740" s="350" t="str">
        <f>IF($B3740="Portfolio","Portfolio",IFERROR(INDEX(DATA_ASSET_CLASSIFICATION!$C$8:$C$24,MATCH($C3740,DATA_ASSET_CLASSIFICATION!$A$8:$A$24,0)),"Review"))</f>
        <v>Yes</v>
      </c>
      <c r="Q3740" s="350" t="str">
        <f t="shared" ca="1" si="117"/>
        <v>OK</v>
      </c>
    </row>
    <row r="3741" spans="1:17">
      <c r="A3741" s="366" t="s">
        <v>5697</v>
      </c>
      <c r="B3741" s="366" t="s">
        <v>231</v>
      </c>
      <c r="C3741" s="348" t="str">
        <f>DATA_PROPERTY_MASTER!$A$16</f>
        <v>BLD_NG</v>
      </c>
      <c r="D3741" s="380">
        <f>'00_PORTFOLIO ROLLUP'!T$12</f>
        <v>2040</v>
      </c>
      <c r="E3741" s="366" t="s">
        <v>1721</v>
      </c>
      <c r="F3741" s="366" t="s">
        <v>39</v>
      </c>
      <c r="G3741" s="348" t="str">
        <f>"'"&amp;$C3741&amp;"'!$E$63:$Y$63"</f>
        <v>'BLD_NG'!$E$63:$Y$63</v>
      </c>
      <c r="H3741" s="381">
        <f ca="1">IF(IFERROR(INDEX(DATA_PROPERTY_MASTER!$E$5:$E$21,MATCH($C3741,DATA_PROPERTY_MASTER!$A$5:$A$21,0))="Yes",FALSE),MAX(-IFERROR(INDEX(INDIRECT("'"&amp;$C3741&amp;"'!$E$63:$Y$63"),1,MATCH($D3741,INDIRECT("'"&amp;$C3741&amp;"'!$E$12:$Y$12"),0)),0),0),0)</f>
        <v>0</v>
      </c>
      <c r="I3741" s="366" t="s">
        <v>1690</v>
      </c>
      <c r="J3741" s="348" t="str">
        <f t="shared" ca="1" si="116"/>
        <v>OK</v>
      </c>
      <c r="K3741" s="366" t="s">
        <v>1738</v>
      </c>
      <c r="L3741" s="366" t="s">
        <v>2260</v>
      </c>
      <c r="M3741" s="350" t="str">
        <f>IF($B3741="Portfolio","Portfolio",IFERROR(INDEX(DATA_ASSET_CLASSIFICATION!$B$8:$B$24,MATCH($C3741,DATA_ASSET_CLASSIFICATION!$A$8:$A$24,0)),"Review"))</f>
        <v>Newton Green</v>
      </c>
      <c r="N3741" s="350" t="str">
        <f ca="1">IF($B3741="Portfolio","Portfolio",IFERROR(INDEX(DATA_ASSET_CLASSIFICATION!$U$8:$U$24,MATCH($C3741,DATA_ASSET_CLASSIFICATION!$A$8:$A$24,0)),"Review"))</f>
        <v>Refi Watch</v>
      </c>
      <c r="O3741" s="350" t="str">
        <f ca="1">IF($B3741="Portfolio","Portfolio",IFERROR(INDEX(DATA_ASSET_CLASSIFICATION!$AB$8:$AB$13,MATCH($N3741,DATA_ASSET_CLASSIFICATION!$AA$8:$AA$13,0)),"Review"))</f>
        <v>Bucket 2 · Legacy</v>
      </c>
      <c r="P3741" s="350" t="str">
        <f>IF($B3741="Portfolio","Portfolio",IFERROR(INDEX(DATA_ASSET_CLASSIFICATION!$C$8:$C$24,MATCH($C3741,DATA_ASSET_CLASSIFICATION!$A$8:$A$24,0)),"Review"))</f>
        <v>Yes</v>
      </c>
      <c r="Q3741" s="350" t="str">
        <f t="shared" ca="1" si="117"/>
        <v>OK</v>
      </c>
    </row>
    <row r="3742" spans="1:17">
      <c r="A3742" s="366" t="s">
        <v>5698</v>
      </c>
      <c r="B3742" s="366" t="s">
        <v>231</v>
      </c>
      <c r="C3742" s="348" t="str">
        <f>DATA_PROPERTY_MASTER!$A$16</f>
        <v>BLD_NG</v>
      </c>
      <c r="D3742" s="380">
        <f>'00_PORTFOLIO ROLLUP'!T$12</f>
        <v>2040</v>
      </c>
      <c r="E3742" s="366" t="s">
        <v>1741</v>
      </c>
      <c r="F3742" s="366" t="s">
        <v>41</v>
      </c>
      <c r="G3742" s="348" t="str">
        <f>"'"&amp;$C3742&amp;"'!rows 56 + positive row 63"</f>
        <v>'BLD_NG'!rows 56 + positive row 63</v>
      </c>
      <c r="H3742" s="381">
        <f ca="1">IF(IFERROR(INDEX(DATA_PROPERTY_MASTER!$E$5:$E$21,MATCH($C3742,DATA_PROPERTY_MASTER!$A$5:$A$21,0))="Yes",FALSE),IFERROR(INDEX(INDIRECT("'"&amp;$C3742&amp;"'!$E$56:$Y$56"),1,MATCH($D3742,INDIRECT("'"&amp;$C3742&amp;"'!$E$12:$Y$12"),0)),0)+MAX(IFERROR(INDEX(INDIRECT("'"&amp;$C3742&amp;"'!$E$63:$Y$63"),1,MATCH($D3742,INDIRECT("'"&amp;$C3742&amp;"'!$E$12:$Y$12"),0)),0),0),0)</f>
        <v>83883.893754678313</v>
      </c>
      <c r="I3742" s="366" t="s">
        <v>1685</v>
      </c>
      <c r="J3742" s="348" t="str">
        <f t="shared" ca="1" si="116"/>
        <v>OK</v>
      </c>
      <c r="K3742" s="366" t="s">
        <v>1742</v>
      </c>
      <c r="L3742" s="366" t="s">
        <v>2262</v>
      </c>
      <c r="M3742" s="350" t="str">
        <f>IF($B3742="Portfolio","Portfolio",IFERROR(INDEX(DATA_ASSET_CLASSIFICATION!$B$8:$B$24,MATCH($C3742,DATA_ASSET_CLASSIFICATION!$A$8:$A$24,0)),"Review"))</f>
        <v>Newton Green</v>
      </c>
      <c r="N3742" s="350" t="str">
        <f ca="1">IF($B3742="Portfolio","Portfolio",IFERROR(INDEX(DATA_ASSET_CLASSIFICATION!$U$8:$U$24,MATCH($C3742,DATA_ASSET_CLASSIFICATION!$A$8:$A$24,0)),"Review"))</f>
        <v>Refi Watch</v>
      </c>
      <c r="O3742" s="350" t="str">
        <f ca="1">IF($B3742="Portfolio","Portfolio",IFERROR(INDEX(DATA_ASSET_CLASSIFICATION!$AB$8:$AB$13,MATCH($N3742,DATA_ASSET_CLASSIFICATION!$AA$8:$AA$13,0)),"Review"))</f>
        <v>Bucket 2 · Legacy</v>
      </c>
      <c r="P3742" s="350" t="str">
        <f>IF($B3742="Portfolio","Portfolio",IFERROR(INDEX(DATA_ASSET_CLASSIFICATION!$C$8:$C$24,MATCH($C3742,DATA_ASSET_CLASSIFICATION!$A$8:$A$24,0)),"Review"))</f>
        <v>Yes</v>
      </c>
      <c r="Q3742" s="350" t="str">
        <f t="shared" ca="1" si="117"/>
        <v>OK</v>
      </c>
    </row>
    <row r="3743" spans="1:17">
      <c r="A3743" s="366" t="s">
        <v>5699</v>
      </c>
      <c r="B3743" s="366" t="s">
        <v>231</v>
      </c>
      <c r="C3743" s="348" t="str">
        <f>DATA_PROPERTY_MASTER!$A$16</f>
        <v>BLD_NG</v>
      </c>
      <c r="D3743" s="380">
        <f>'00_PORTFOLIO ROLLUP'!T$12</f>
        <v>2040</v>
      </c>
      <c r="E3743" s="366" t="s">
        <v>1741</v>
      </c>
      <c r="F3743" s="366" t="s">
        <v>43</v>
      </c>
      <c r="G3743" s="348" t="str">
        <f>"'"&amp;$C3743&amp;"'!$E$68:$Y$68"</f>
        <v>'BLD_NG'!$E$68:$Y$68</v>
      </c>
      <c r="H3743" s="381">
        <f ca="1">IF(IFERROR(INDEX(DATA_PROPERTY_MASTER!$E$5:$E$21,MATCH($C3743,DATA_PROPERTY_MASTER!$A$5:$A$21,0))="Yes",FALSE),IFERROR(INDEX(INDIRECT("'"&amp;$C3743&amp;"'!$E$68:$Y$68"),1,MATCH($D3743,INDIRECT("'"&amp;$C3743&amp;"'!$E$12:$Y$12"),0)),0),0)</f>
        <v>83883.893754678313</v>
      </c>
      <c r="I3743" s="366" t="s">
        <v>1731</v>
      </c>
      <c r="J3743" s="348" t="str">
        <f t="shared" ca="1" si="116"/>
        <v>OK</v>
      </c>
      <c r="K3743" s="366" t="s">
        <v>1746</v>
      </c>
      <c r="L3743" s="366" t="s">
        <v>2264</v>
      </c>
      <c r="M3743" s="350" t="str">
        <f>IF($B3743="Portfolio","Portfolio",IFERROR(INDEX(DATA_ASSET_CLASSIFICATION!$B$8:$B$24,MATCH($C3743,DATA_ASSET_CLASSIFICATION!$A$8:$A$24,0)),"Review"))</f>
        <v>Newton Green</v>
      </c>
      <c r="N3743" s="350" t="str">
        <f ca="1">IF($B3743="Portfolio","Portfolio",IFERROR(INDEX(DATA_ASSET_CLASSIFICATION!$U$8:$U$24,MATCH($C3743,DATA_ASSET_CLASSIFICATION!$A$8:$A$24,0)),"Review"))</f>
        <v>Refi Watch</v>
      </c>
      <c r="O3743" s="350" t="str">
        <f ca="1">IF($B3743="Portfolio","Portfolio",IFERROR(INDEX(DATA_ASSET_CLASSIFICATION!$AB$8:$AB$13,MATCH($N3743,DATA_ASSET_CLASSIFICATION!$AA$8:$AA$13,0)),"Review"))</f>
        <v>Bucket 2 · Legacy</v>
      </c>
      <c r="P3743" s="350" t="str">
        <f>IF($B3743="Portfolio","Portfolio",IFERROR(INDEX(DATA_ASSET_CLASSIFICATION!$C$8:$C$24,MATCH($C3743,DATA_ASSET_CLASSIFICATION!$A$8:$A$24,0)),"Review"))</f>
        <v>Yes</v>
      </c>
      <c r="Q3743" s="350" t="str">
        <f t="shared" ca="1" si="117"/>
        <v>OK</v>
      </c>
    </row>
    <row r="3744" spans="1:17">
      <c r="A3744" s="366" t="s">
        <v>5700</v>
      </c>
      <c r="B3744" s="366" t="s">
        <v>231</v>
      </c>
      <c r="C3744" s="348" t="str">
        <f>DATA_PROPERTY_MASTER!$A$16</f>
        <v>BLD_NG</v>
      </c>
      <c r="D3744" s="380">
        <f>'00_PORTFOLIO ROLLUP'!T$12</f>
        <v>2040</v>
      </c>
      <c r="E3744" s="366" t="s">
        <v>1741</v>
      </c>
      <c r="F3744" s="366" t="s">
        <v>1749</v>
      </c>
      <c r="G3744" s="348" t="str">
        <f>"'"&amp;$C3744&amp;"'!rows 56, 63, 68"</f>
        <v>'BLD_NG'!rows 56, 63, 68</v>
      </c>
      <c r="H3744" s="381">
        <f ca="1">IF(IFERROR(INDEX(DATA_PROPERTY_MASTER!$E$5:$E$21,MATCH($C3744,DATA_PROPERTY_MASTER!$A$5:$A$21,0))="Yes",FALSE),(IFERROR(INDEX(INDIRECT("'"&amp;$C3744&amp;"'!$E$56:$Y$56"),1,MATCH($D3744,INDIRECT("'"&amp;$C3744&amp;"'!$E$12:$Y$12"),0)),0)+MAX(IFERROR(INDEX(INDIRECT("'"&amp;$C3744&amp;"'!$E$63:$Y$63"),1,MATCH($D3744,INDIRECT("'"&amp;$C3744&amp;"'!$E$12:$Y$12"),0)),0),0))-(IFERROR(INDEX(INDIRECT("'"&amp;$C3744&amp;"'!$E$68:$Y$68"),1,MATCH($D3744,INDIRECT("'"&amp;$C3744&amp;"'!$E$12:$Y$12"),0)),0)),0)</f>
        <v>0</v>
      </c>
      <c r="I3744" s="366" t="s">
        <v>1750</v>
      </c>
      <c r="J3744" s="348" t="str">
        <f t="shared" ca="1" si="116"/>
        <v>OK</v>
      </c>
      <c r="K3744" s="366" t="s">
        <v>1751</v>
      </c>
      <c r="L3744" s="366" t="s">
        <v>2266</v>
      </c>
      <c r="M3744" s="350" t="str">
        <f>IF($B3744="Portfolio","Portfolio",IFERROR(INDEX(DATA_ASSET_CLASSIFICATION!$B$8:$B$24,MATCH($C3744,DATA_ASSET_CLASSIFICATION!$A$8:$A$24,0)),"Review"))</f>
        <v>Newton Green</v>
      </c>
      <c r="N3744" s="350" t="str">
        <f ca="1">IF($B3744="Portfolio","Portfolio",IFERROR(INDEX(DATA_ASSET_CLASSIFICATION!$U$8:$U$24,MATCH($C3744,DATA_ASSET_CLASSIFICATION!$A$8:$A$24,0)),"Review"))</f>
        <v>Refi Watch</v>
      </c>
      <c r="O3744" s="350" t="str">
        <f ca="1">IF($B3744="Portfolio","Portfolio",IFERROR(INDEX(DATA_ASSET_CLASSIFICATION!$AB$8:$AB$13,MATCH($N3744,DATA_ASSET_CLASSIFICATION!$AA$8:$AA$13,0)),"Review"))</f>
        <v>Bucket 2 · Legacy</v>
      </c>
      <c r="P3744" s="350" t="str">
        <f>IF($B3744="Portfolio","Portfolio",IFERROR(INDEX(DATA_ASSET_CLASSIFICATION!$C$8:$C$24,MATCH($C3744,DATA_ASSET_CLASSIFICATION!$A$8:$A$24,0)),"Review"))</f>
        <v>Yes</v>
      </c>
      <c r="Q3744" s="350" t="str">
        <f t="shared" ca="1" si="117"/>
        <v>OK</v>
      </c>
    </row>
    <row r="3745" spans="1:17">
      <c r="A3745" s="366" t="s">
        <v>5701</v>
      </c>
      <c r="B3745" s="366" t="s">
        <v>231</v>
      </c>
      <c r="C3745" s="348" t="str">
        <f>DATA_PROPERTY_MASTER!$A$16</f>
        <v>BLD_NG</v>
      </c>
      <c r="D3745" s="380">
        <f>'00_PORTFOLIO ROLLUP'!U$12</f>
        <v>2041</v>
      </c>
      <c r="E3745" s="366" t="s">
        <v>1683</v>
      </c>
      <c r="F3745" s="366" t="s">
        <v>341</v>
      </c>
      <c r="G3745" s="348" t="str">
        <f>"'"&amp;$C3745&amp;"'!$E$24:$Y$24"</f>
        <v>'BLD_NG'!$E$24:$Y$24</v>
      </c>
      <c r="H3745" s="381">
        <f ca="1">IF(IFERROR(INDEX(DATA_PROPERTY_MASTER!$E$5:$E$21,MATCH($C3745,DATA_PROPERTY_MASTER!$A$5:$A$21,0))="Yes",FALSE),IFERROR(INDEX(INDIRECT("'"&amp;$C3745&amp;"'!$E$24:$Y$24"),1,MATCH($D3745,INDIRECT("'"&amp;$C3745&amp;"'!$E$12:$Y$12"),0)),0),0)</f>
        <v>1066480.4840305713</v>
      </c>
      <c r="I3745" s="366" t="s">
        <v>1685</v>
      </c>
      <c r="J3745" s="348" t="str">
        <f t="shared" ca="1" si="116"/>
        <v>OK</v>
      </c>
      <c r="K3745" s="366" t="s">
        <v>1686</v>
      </c>
      <c r="L3745" s="366" t="s">
        <v>2234</v>
      </c>
      <c r="M3745" s="350" t="str">
        <f>IF($B3745="Portfolio","Portfolio",IFERROR(INDEX(DATA_ASSET_CLASSIFICATION!$B$8:$B$24,MATCH($C3745,DATA_ASSET_CLASSIFICATION!$A$8:$A$24,0)),"Review"))</f>
        <v>Newton Green</v>
      </c>
      <c r="N3745" s="350" t="str">
        <f ca="1">IF($B3745="Portfolio","Portfolio",IFERROR(INDEX(DATA_ASSET_CLASSIFICATION!$U$8:$U$24,MATCH($C3745,DATA_ASSET_CLASSIFICATION!$A$8:$A$24,0)),"Review"))</f>
        <v>Refi Watch</v>
      </c>
      <c r="O3745" s="350" t="str">
        <f ca="1">IF($B3745="Portfolio","Portfolio",IFERROR(INDEX(DATA_ASSET_CLASSIFICATION!$AB$8:$AB$13,MATCH($N3745,DATA_ASSET_CLASSIFICATION!$AA$8:$AA$13,0)),"Review"))</f>
        <v>Bucket 2 · Legacy</v>
      </c>
      <c r="P3745" s="350" t="str">
        <f>IF($B3745="Portfolio","Portfolio",IFERROR(INDEX(DATA_ASSET_CLASSIFICATION!$C$8:$C$24,MATCH($C3745,DATA_ASSET_CLASSIFICATION!$A$8:$A$24,0)),"Review"))</f>
        <v>Yes</v>
      </c>
      <c r="Q3745" s="350" t="str">
        <f t="shared" ca="1" si="117"/>
        <v>OK</v>
      </c>
    </row>
    <row r="3746" spans="1:17">
      <c r="A3746" s="366" t="s">
        <v>5702</v>
      </c>
      <c r="B3746" s="366" t="s">
        <v>231</v>
      </c>
      <c r="C3746" s="348" t="str">
        <f>DATA_PROPERTY_MASTER!$A$16</f>
        <v>BLD_NG</v>
      </c>
      <c r="D3746" s="380">
        <f>'00_PORTFOLIO ROLLUP'!U$12</f>
        <v>2041</v>
      </c>
      <c r="E3746" s="366" t="s">
        <v>1683</v>
      </c>
      <c r="F3746" s="366" t="s">
        <v>355</v>
      </c>
      <c r="G3746" s="348" t="str">
        <f>"'"&amp;$C3746&amp;"'!$E$39:$Y$39"</f>
        <v>'BLD_NG'!$E$39:$Y$39</v>
      </c>
      <c r="H3746" s="381">
        <f ca="1">IF(IFERROR(INDEX(DATA_PROPERTY_MASTER!$E$5:$E$21,MATCH($C3746,DATA_PROPERTY_MASTER!$A$5:$A$21,0))="Yes",FALSE),IFERROR(INDEX(INDIRECT("'"&amp;$C3746&amp;"'!$E$39:$Y$39"),1,MATCH($D3746,INDIRECT("'"&amp;$C3746&amp;"'!$E$12:$Y$12"),0)),0),0)</f>
        <v>525885.79144473246</v>
      </c>
      <c r="I3746" s="366" t="s">
        <v>1690</v>
      </c>
      <c r="J3746" s="348" t="str">
        <f t="shared" ca="1" si="116"/>
        <v>OK</v>
      </c>
      <c r="K3746" s="366" t="s">
        <v>1686</v>
      </c>
      <c r="L3746" s="366" t="s">
        <v>2236</v>
      </c>
      <c r="M3746" s="350" t="str">
        <f>IF($B3746="Portfolio","Portfolio",IFERROR(INDEX(DATA_ASSET_CLASSIFICATION!$B$8:$B$24,MATCH($C3746,DATA_ASSET_CLASSIFICATION!$A$8:$A$24,0)),"Review"))</f>
        <v>Newton Green</v>
      </c>
      <c r="N3746" s="350" t="str">
        <f ca="1">IF($B3746="Portfolio","Portfolio",IFERROR(INDEX(DATA_ASSET_CLASSIFICATION!$U$8:$U$24,MATCH($C3746,DATA_ASSET_CLASSIFICATION!$A$8:$A$24,0)),"Review"))</f>
        <v>Refi Watch</v>
      </c>
      <c r="O3746" s="350" t="str">
        <f ca="1">IF($B3746="Portfolio","Portfolio",IFERROR(INDEX(DATA_ASSET_CLASSIFICATION!$AB$8:$AB$13,MATCH($N3746,DATA_ASSET_CLASSIFICATION!$AA$8:$AA$13,0)),"Review"))</f>
        <v>Bucket 2 · Legacy</v>
      </c>
      <c r="P3746" s="350" t="str">
        <f>IF($B3746="Portfolio","Portfolio",IFERROR(INDEX(DATA_ASSET_CLASSIFICATION!$C$8:$C$24,MATCH($C3746,DATA_ASSET_CLASSIFICATION!$A$8:$A$24,0)),"Review"))</f>
        <v>Yes</v>
      </c>
      <c r="Q3746" s="350" t="str">
        <f t="shared" ca="1" si="117"/>
        <v>OK</v>
      </c>
    </row>
    <row r="3747" spans="1:17">
      <c r="A3747" s="366" t="s">
        <v>5703</v>
      </c>
      <c r="B3747" s="366" t="s">
        <v>231</v>
      </c>
      <c r="C3747" s="348" t="str">
        <f>DATA_PROPERTY_MASTER!$A$16</f>
        <v>BLD_NG</v>
      </c>
      <c r="D3747" s="380">
        <f>'00_PORTFOLIO ROLLUP'!U$12</f>
        <v>2041</v>
      </c>
      <c r="E3747" s="366" t="s">
        <v>1683</v>
      </c>
      <c r="F3747" s="366" t="s">
        <v>19</v>
      </c>
      <c r="G3747" s="348" t="str">
        <f>"'"&amp;$C3747&amp;"'!$E$41:$Y$41"</f>
        <v>'BLD_NG'!$E$41:$Y$41</v>
      </c>
      <c r="H3747" s="381">
        <f ca="1">IF(IFERROR(INDEX(DATA_PROPERTY_MASTER!$E$5:$E$21,MATCH($C3747,DATA_PROPERTY_MASTER!$A$5:$A$21,0))="Yes",FALSE),IFERROR(INDEX(INDIRECT("'"&amp;$C3747&amp;"'!$E$41:$Y$41"),1,MATCH($D3747,INDIRECT("'"&amp;$C3747&amp;"'!$E$12:$Y$12"),0)),0),0)</f>
        <v>540594.69258583884</v>
      </c>
      <c r="I3747" s="366" t="s">
        <v>1685</v>
      </c>
      <c r="J3747" s="348" t="str">
        <f t="shared" ca="1" si="116"/>
        <v>OK</v>
      </c>
      <c r="K3747" s="366" t="s">
        <v>1694</v>
      </c>
      <c r="L3747" s="366" t="s">
        <v>2238</v>
      </c>
      <c r="M3747" s="350" t="str">
        <f>IF($B3747="Portfolio","Portfolio",IFERROR(INDEX(DATA_ASSET_CLASSIFICATION!$B$8:$B$24,MATCH($C3747,DATA_ASSET_CLASSIFICATION!$A$8:$A$24,0)),"Review"))</f>
        <v>Newton Green</v>
      </c>
      <c r="N3747" s="350" t="str">
        <f ca="1">IF($B3747="Portfolio","Portfolio",IFERROR(INDEX(DATA_ASSET_CLASSIFICATION!$U$8:$U$24,MATCH($C3747,DATA_ASSET_CLASSIFICATION!$A$8:$A$24,0)),"Review"))</f>
        <v>Refi Watch</v>
      </c>
      <c r="O3747" s="350" t="str">
        <f ca="1">IF($B3747="Portfolio","Portfolio",IFERROR(INDEX(DATA_ASSET_CLASSIFICATION!$AB$8:$AB$13,MATCH($N3747,DATA_ASSET_CLASSIFICATION!$AA$8:$AA$13,0)),"Review"))</f>
        <v>Bucket 2 · Legacy</v>
      </c>
      <c r="P3747" s="350" t="str">
        <f>IF($B3747="Portfolio","Portfolio",IFERROR(INDEX(DATA_ASSET_CLASSIFICATION!$C$8:$C$24,MATCH($C3747,DATA_ASSET_CLASSIFICATION!$A$8:$A$24,0)),"Review"))</f>
        <v>Yes</v>
      </c>
      <c r="Q3747" s="350" t="str">
        <f t="shared" ca="1" si="117"/>
        <v>OK</v>
      </c>
    </row>
    <row r="3748" spans="1:17">
      <c r="A3748" s="366" t="s">
        <v>5704</v>
      </c>
      <c r="B3748" s="366" t="s">
        <v>231</v>
      </c>
      <c r="C3748" s="348" t="str">
        <f>DATA_PROPERTY_MASTER!$A$16</f>
        <v>BLD_NG</v>
      </c>
      <c r="D3748" s="380">
        <f>'00_PORTFOLIO ROLLUP'!U$12</f>
        <v>2041</v>
      </c>
      <c r="E3748" s="366" t="s">
        <v>1683</v>
      </c>
      <c r="F3748" s="366" t="s">
        <v>1697</v>
      </c>
      <c r="G3748" s="348" t="str">
        <f>"'"&amp;$C3748&amp;"'!$E$44:$Y$44"</f>
        <v>'BLD_NG'!$E$44:$Y$44</v>
      </c>
      <c r="H3748" s="381">
        <f ca="1">IF(IFERROR(INDEX(DATA_PROPERTY_MASTER!$E$5:$E$21,MATCH($C3748,DATA_PROPERTY_MASTER!$A$5:$A$21,0))="Yes",FALSE),IFERROR(INDEX(INDIRECT("'"&amp;$C3748&amp;"'!$E$44:$Y$44"),1,MATCH($D3748,INDIRECT("'"&amp;$C3748&amp;"'!$E$12:$Y$12"),0)),0),0)</f>
        <v>10089.974932415998</v>
      </c>
      <c r="I3748" s="366" t="s">
        <v>1690</v>
      </c>
      <c r="J3748" s="348" t="str">
        <f t="shared" ca="1" si="116"/>
        <v>OK</v>
      </c>
      <c r="K3748" s="366" t="s">
        <v>1699</v>
      </c>
      <c r="L3748" s="366" t="s">
        <v>2240</v>
      </c>
      <c r="M3748" s="350" t="str">
        <f>IF($B3748="Portfolio","Portfolio",IFERROR(INDEX(DATA_ASSET_CLASSIFICATION!$B$8:$B$24,MATCH($C3748,DATA_ASSET_CLASSIFICATION!$A$8:$A$24,0)),"Review"))</f>
        <v>Newton Green</v>
      </c>
      <c r="N3748" s="350" t="str">
        <f ca="1">IF($B3748="Portfolio","Portfolio",IFERROR(INDEX(DATA_ASSET_CLASSIFICATION!$U$8:$U$24,MATCH($C3748,DATA_ASSET_CLASSIFICATION!$A$8:$A$24,0)),"Review"))</f>
        <v>Refi Watch</v>
      </c>
      <c r="O3748" s="350" t="str">
        <f ca="1">IF($B3748="Portfolio","Portfolio",IFERROR(INDEX(DATA_ASSET_CLASSIFICATION!$AB$8:$AB$13,MATCH($N3748,DATA_ASSET_CLASSIFICATION!$AA$8:$AA$13,0)),"Review"))</f>
        <v>Bucket 2 · Legacy</v>
      </c>
      <c r="P3748" s="350" t="str">
        <f>IF($B3748="Portfolio","Portfolio",IFERROR(INDEX(DATA_ASSET_CLASSIFICATION!$C$8:$C$24,MATCH($C3748,DATA_ASSET_CLASSIFICATION!$A$8:$A$24,0)),"Review"))</f>
        <v>Yes</v>
      </c>
      <c r="Q3748" s="350" t="str">
        <f t="shared" ca="1" si="117"/>
        <v>OK</v>
      </c>
    </row>
    <row r="3749" spans="1:17">
      <c r="A3749" s="366" t="s">
        <v>5705</v>
      </c>
      <c r="B3749" s="366" t="s">
        <v>231</v>
      </c>
      <c r="C3749" s="348" t="str">
        <f>DATA_PROPERTY_MASTER!$A$16</f>
        <v>BLD_NG</v>
      </c>
      <c r="D3749" s="380">
        <f>'00_PORTFOLIO ROLLUP'!U$12</f>
        <v>2041</v>
      </c>
      <c r="E3749" s="366" t="s">
        <v>1683</v>
      </c>
      <c r="F3749" s="366" t="s">
        <v>21</v>
      </c>
      <c r="G3749" s="348" t="str">
        <f>"'"&amp;$C3749&amp;"'!$E$45:$Y$45"</f>
        <v>'BLD_NG'!$E$45:$Y$45</v>
      </c>
      <c r="H3749" s="381">
        <f ca="1">IF(IFERROR(INDEX(DATA_PROPERTY_MASTER!$E$5:$E$21,MATCH($C3749,DATA_PROPERTY_MASTER!$A$5:$A$21,0))="Yes",FALSE),IFERROR(INDEX(INDIRECT("'"&amp;$C3749&amp;"'!$E$45:$Y$45"),1,MATCH($D3749,INDIRECT("'"&amp;$C3749&amp;"'!$E$12:$Y$12"),0)),0),0)</f>
        <v>530504.71765342285</v>
      </c>
      <c r="I3749" s="366" t="s">
        <v>1685</v>
      </c>
      <c r="J3749" s="348" t="str">
        <f t="shared" ca="1" si="116"/>
        <v>OK</v>
      </c>
      <c r="K3749" s="366" t="s">
        <v>1694</v>
      </c>
      <c r="L3749" s="366" t="s">
        <v>2242</v>
      </c>
      <c r="M3749" s="350" t="str">
        <f>IF($B3749="Portfolio","Portfolio",IFERROR(INDEX(DATA_ASSET_CLASSIFICATION!$B$8:$B$24,MATCH($C3749,DATA_ASSET_CLASSIFICATION!$A$8:$A$24,0)),"Review"))</f>
        <v>Newton Green</v>
      </c>
      <c r="N3749" s="350" t="str">
        <f ca="1">IF($B3749="Portfolio","Portfolio",IFERROR(INDEX(DATA_ASSET_CLASSIFICATION!$U$8:$U$24,MATCH($C3749,DATA_ASSET_CLASSIFICATION!$A$8:$A$24,0)),"Review"))</f>
        <v>Refi Watch</v>
      </c>
      <c r="O3749" s="350" t="str">
        <f ca="1">IF($B3749="Portfolio","Portfolio",IFERROR(INDEX(DATA_ASSET_CLASSIFICATION!$AB$8:$AB$13,MATCH($N3749,DATA_ASSET_CLASSIFICATION!$AA$8:$AA$13,0)),"Review"))</f>
        <v>Bucket 2 · Legacy</v>
      </c>
      <c r="P3749" s="350" t="str">
        <f>IF($B3749="Portfolio","Portfolio",IFERROR(INDEX(DATA_ASSET_CLASSIFICATION!$C$8:$C$24,MATCH($C3749,DATA_ASSET_CLASSIFICATION!$A$8:$A$24,0)),"Review"))</f>
        <v>Yes</v>
      </c>
      <c r="Q3749" s="350" t="str">
        <f t="shared" ca="1" si="117"/>
        <v>OK</v>
      </c>
    </row>
    <row r="3750" spans="1:17">
      <c r="A3750" s="366" t="s">
        <v>5706</v>
      </c>
      <c r="B3750" s="366" t="s">
        <v>231</v>
      </c>
      <c r="C3750" s="348" t="str">
        <f>DATA_PROPERTY_MASTER!$A$16</f>
        <v>BLD_NG</v>
      </c>
      <c r="D3750" s="380">
        <f>'00_PORTFOLIO ROLLUP'!U$12</f>
        <v>2041</v>
      </c>
      <c r="E3750" s="366" t="s">
        <v>23</v>
      </c>
      <c r="F3750" s="366" t="s">
        <v>23</v>
      </c>
      <c r="G3750" s="348" t="str">
        <f>"'"&amp;$C3750&amp;"'!$E$48:$Y$48"</f>
        <v>'BLD_NG'!$E$48:$Y$48</v>
      </c>
      <c r="H3750" s="381">
        <f ca="1">IF(IFERROR(INDEX(DATA_PROPERTY_MASTER!$E$5:$E$21,MATCH($C3750,DATA_PROPERTY_MASTER!$A$5:$A$21,0))="Yes",FALSE),IFERROR(INDEX(INDIRECT("'"&amp;$C3750&amp;"'!$E$48:$Y$48"),1,MATCH($D3750,INDIRECT("'"&amp;$C3750&amp;"'!$E$12:$Y$12"),0)),0),0)</f>
        <v>322800.05887749186</v>
      </c>
      <c r="I3750" s="366" t="s">
        <v>1690</v>
      </c>
      <c r="J3750" s="348" t="str">
        <f t="shared" ca="1" si="116"/>
        <v>OK</v>
      </c>
      <c r="K3750" s="366" t="s">
        <v>1706</v>
      </c>
      <c r="L3750" s="366" t="s">
        <v>2244</v>
      </c>
      <c r="M3750" s="350" t="str">
        <f>IF($B3750="Portfolio","Portfolio",IFERROR(INDEX(DATA_ASSET_CLASSIFICATION!$B$8:$B$24,MATCH($C3750,DATA_ASSET_CLASSIFICATION!$A$8:$A$24,0)),"Review"))</f>
        <v>Newton Green</v>
      </c>
      <c r="N3750" s="350" t="str">
        <f ca="1">IF($B3750="Portfolio","Portfolio",IFERROR(INDEX(DATA_ASSET_CLASSIFICATION!$U$8:$U$24,MATCH($C3750,DATA_ASSET_CLASSIFICATION!$A$8:$A$24,0)),"Review"))</f>
        <v>Refi Watch</v>
      </c>
      <c r="O3750" s="350" t="str">
        <f ca="1">IF($B3750="Portfolio","Portfolio",IFERROR(INDEX(DATA_ASSET_CLASSIFICATION!$AB$8:$AB$13,MATCH($N3750,DATA_ASSET_CLASSIFICATION!$AA$8:$AA$13,0)),"Review"))</f>
        <v>Bucket 2 · Legacy</v>
      </c>
      <c r="P3750" s="350" t="str">
        <f>IF($B3750="Portfolio","Portfolio",IFERROR(INDEX(DATA_ASSET_CLASSIFICATION!$C$8:$C$24,MATCH($C3750,DATA_ASSET_CLASSIFICATION!$A$8:$A$24,0)),"Review"))</f>
        <v>Yes</v>
      </c>
      <c r="Q3750" s="350" t="str">
        <f t="shared" ca="1" si="117"/>
        <v>OK</v>
      </c>
    </row>
    <row r="3751" spans="1:17">
      <c r="A3751" s="366" t="s">
        <v>5707</v>
      </c>
      <c r="B3751" s="366" t="s">
        <v>231</v>
      </c>
      <c r="C3751" s="348" t="str">
        <f>DATA_PROPERTY_MASTER!$A$16</f>
        <v>BLD_NG</v>
      </c>
      <c r="D3751" s="380">
        <f>'00_PORTFOLIO ROLLUP'!U$12</f>
        <v>2041</v>
      </c>
      <c r="E3751" s="366" t="s">
        <v>1683</v>
      </c>
      <c r="F3751" s="366" t="s">
        <v>25</v>
      </c>
      <c r="G3751" s="348" t="str">
        <f>"'"&amp;$C3751&amp;"'!$E$52:$Y$52"</f>
        <v>'BLD_NG'!$E$52:$Y$52</v>
      </c>
      <c r="H3751" s="381">
        <f ca="1">IF(IFERROR(INDEX(DATA_PROPERTY_MASTER!$E$5:$E$21,MATCH($C3751,DATA_PROPERTY_MASTER!$A$5:$A$21,0))="Yes",FALSE),IFERROR(INDEX(INDIRECT("'"&amp;$C3751&amp;"'!$E$52:$Y$52"),1,MATCH($D3751,INDIRECT("'"&amp;$C3751&amp;"'!$E$12:$Y$12"),0)),0),0)</f>
        <v>217794.63370834698</v>
      </c>
      <c r="I3751" s="366" t="s">
        <v>1685</v>
      </c>
      <c r="J3751" s="348" t="str">
        <f t="shared" ca="1" si="116"/>
        <v>OK</v>
      </c>
      <c r="K3751" s="366" t="s">
        <v>1710</v>
      </c>
      <c r="L3751" s="366" t="s">
        <v>2246</v>
      </c>
      <c r="M3751" s="350" t="str">
        <f>IF($B3751="Portfolio","Portfolio",IFERROR(INDEX(DATA_ASSET_CLASSIFICATION!$B$8:$B$24,MATCH($C3751,DATA_ASSET_CLASSIFICATION!$A$8:$A$24,0)),"Review"))</f>
        <v>Newton Green</v>
      </c>
      <c r="N3751" s="350" t="str">
        <f ca="1">IF($B3751="Portfolio","Portfolio",IFERROR(INDEX(DATA_ASSET_CLASSIFICATION!$U$8:$U$24,MATCH($C3751,DATA_ASSET_CLASSIFICATION!$A$8:$A$24,0)),"Review"))</f>
        <v>Refi Watch</v>
      </c>
      <c r="O3751" s="350" t="str">
        <f ca="1">IF($B3751="Portfolio","Portfolio",IFERROR(INDEX(DATA_ASSET_CLASSIFICATION!$AB$8:$AB$13,MATCH($N3751,DATA_ASSET_CLASSIFICATION!$AA$8:$AA$13,0)),"Review"))</f>
        <v>Bucket 2 · Legacy</v>
      </c>
      <c r="P3751" s="350" t="str">
        <f>IF($B3751="Portfolio","Portfolio",IFERROR(INDEX(DATA_ASSET_CLASSIFICATION!$C$8:$C$24,MATCH($C3751,DATA_ASSET_CLASSIFICATION!$A$8:$A$24,0)),"Review"))</f>
        <v>Yes</v>
      </c>
      <c r="Q3751" s="350" t="str">
        <f t="shared" ca="1" si="117"/>
        <v>OK</v>
      </c>
    </row>
    <row r="3752" spans="1:17">
      <c r="A3752" s="366" t="s">
        <v>5708</v>
      </c>
      <c r="B3752" s="366" t="s">
        <v>231</v>
      </c>
      <c r="C3752" s="348" t="str">
        <f>DATA_PROPERTY_MASTER!$A$16</f>
        <v>BLD_NG</v>
      </c>
      <c r="D3752" s="380">
        <f>'00_PORTFOLIO ROLLUP'!U$12</f>
        <v>2041</v>
      </c>
      <c r="E3752" s="366" t="s">
        <v>1683</v>
      </c>
      <c r="F3752" s="366" t="s">
        <v>27</v>
      </c>
      <c r="G3752" s="348" t="str">
        <f>"'"&amp;$C3752&amp;"'!$E$54:$Y$54"</f>
        <v>'BLD_NG'!$E$54:$Y$54</v>
      </c>
      <c r="H3752" s="381">
        <f ca="1">IF(IFERROR(INDEX(DATA_PROPERTY_MASTER!$E$5:$E$21,MATCH($C3752,DATA_PROPERTY_MASTER!$A$5:$A$21,0))="Yes",FALSE),IFERROR(INDEX(INDIRECT("'"&amp;$C3752&amp;"'!$E$54:$Y$54"),1,MATCH($D3752,INDIRECT("'"&amp;$C3752&amp;"'!$E$12:$Y$12"),0)),0),0)</f>
        <v>130676.78022500819</v>
      </c>
      <c r="I3752" s="366" t="s">
        <v>1690</v>
      </c>
      <c r="J3752" s="348" t="str">
        <f t="shared" ca="1" si="116"/>
        <v>OK</v>
      </c>
      <c r="K3752" s="366" t="s">
        <v>1714</v>
      </c>
      <c r="L3752" s="366" t="s">
        <v>2248</v>
      </c>
      <c r="M3752" s="350" t="str">
        <f>IF($B3752="Portfolio","Portfolio",IFERROR(INDEX(DATA_ASSET_CLASSIFICATION!$B$8:$B$24,MATCH($C3752,DATA_ASSET_CLASSIFICATION!$A$8:$A$24,0)),"Review"))</f>
        <v>Newton Green</v>
      </c>
      <c r="N3752" s="350" t="str">
        <f ca="1">IF($B3752="Portfolio","Portfolio",IFERROR(INDEX(DATA_ASSET_CLASSIFICATION!$U$8:$U$24,MATCH($C3752,DATA_ASSET_CLASSIFICATION!$A$8:$A$24,0)),"Review"))</f>
        <v>Refi Watch</v>
      </c>
      <c r="O3752" s="350" t="str">
        <f ca="1">IF($B3752="Portfolio","Portfolio",IFERROR(INDEX(DATA_ASSET_CLASSIFICATION!$AB$8:$AB$13,MATCH($N3752,DATA_ASSET_CLASSIFICATION!$AA$8:$AA$13,0)),"Review"))</f>
        <v>Bucket 2 · Legacy</v>
      </c>
      <c r="P3752" s="350" t="str">
        <f>IF($B3752="Portfolio","Portfolio",IFERROR(INDEX(DATA_ASSET_CLASSIFICATION!$C$8:$C$24,MATCH($C3752,DATA_ASSET_CLASSIFICATION!$A$8:$A$24,0)),"Review"))</f>
        <v>Yes</v>
      </c>
      <c r="Q3752" s="350" t="str">
        <f t="shared" ca="1" si="117"/>
        <v>OK</v>
      </c>
    </row>
    <row r="3753" spans="1:17">
      <c r="A3753" s="366" t="s">
        <v>5709</v>
      </c>
      <c r="B3753" s="366" t="s">
        <v>231</v>
      </c>
      <c r="C3753" s="348" t="str">
        <f>DATA_PROPERTY_MASTER!$A$16</f>
        <v>BLD_NG</v>
      </c>
      <c r="D3753" s="380">
        <f>'00_PORTFOLIO ROLLUP'!U$12</f>
        <v>2041</v>
      </c>
      <c r="E3753" s="366" t="s">
        <v>1683</v>
      </c>
      <c r="F3753" s="366" t="s">
        <v>29</v>
      </c>
      <c r="G3753" s="348" t="str">
        <f>"'"&amp;$C3753&amp;"'!$E$56:$Y$56"</f>
        <v>'BLD_NG'!$E$56:$Y$56</v>
      </c>
      <c r="H3753" s="381">
        <f ca="1">IF(IFERROR(INDEX(DATA_PROPERTY_MASTER!$E$5:$E$21,MATCH($C3753,DATA_PROPERTY_MASTER!$A$5:$A$21,0))="Yes",FALSE),IFERROR(INDEX(INDIRECT("'"&amp;$C3753&amp;"'!$E$56:$Y$56"),1,MATCH($D3753,INDIRECT("'"&amp;$C3753&amp;"'!$E$12:$Y$12"),0)),0),0)</f>
        <v>87117.853483338797</v>
      </c>
      <c r="I3753" s="366" t="s">
        <v>1685</v>
      </c>
      <c r="J3753" s="348" t="str">
        <f t="shared" ca="1" si="116"/>
        <v>OK</v>
      </c>
      <c r="K3753" s="366" t="s">
        <v>1718</v>
      </c>
      <c r="L3753" s="366" t="s">
        <v>2250</v>
      </c>
      <c r="M3753" s="350" t="str">
        <f>IF($B3753="Portfolio","Portfolio",IFERROR(INDEX(DATA_ASSET_CLASSIFICATION!$B$8:$B$24,MATCH($C3753,DATA_ASSET_CLASSIFICATION!$A$8:$A$24,0)),"Review"))</f>
        <v>Newton Green</v>
      </c>
      <c r="N3753" s="350" t="str">
        <f ca="1">IF($B3753="Portfolio","Portfolio",IFERROR(INDEX(DATA_ASSET_CLASSIFICATION!$U$8:$U$24,MATCH($C3753,DATA_ASSET_CLASSIFICATION!$A$8:$A$24,0)),"Review"))</f>
        <v>Refi Watch</v>
      </c>
      <c r="O3753" s="350" t="str">
        <f ca="1">IF($B3753="Portfolio","Portfolio",IFERROR(INDEX(DATA_ASSET_CLASSIFICATION!$AB$8:$AB$13,MATCH($N3753,DATA_ASSET_CLASSIFICATION!$AA$8:$AA$13,0)),"Review"))</f>
        <v>Bucket 2 · Legacy</v>
      </c>
      <c r="P3753" s="350" t="str">
        <f>IF($B3753="Portfolio","Portfolio",IFERROR(INDEX(DATA_ASSET_CLASSIFICATION!$C$8:$C$24,MATCH($C3753,DATA_ASSET_CLASSIFICATION!$A$8:$A$24,0)),"Review"))</f>
        <v>Yes</v>
      </c>
      <c r="Q3753" s="350" t="str">
        <f t="shared" ca="1" si="117"/>
        <v>OK</v>
      </c>
    </row>
    <row r="3754" spans="1:17">
      <c r="A3754" s="366" t="s">
        <v>5710</v>
      </c>
      <c r="B3754" s="366" t="s">
        <v>231</v>
      </c>
      <c r="C3754" s="348" t="str">
        <f>DATA_PROPERTY_MASTER!$A$16</f>
        <v>BLD_NG</v>
      </c>
      <c r="D3754" s="380">
        <f>'00_PORTFOLIO ROLLUP'!U$12</f>
        <v>2041</v>
      </c>
      <c r="E3754" s="366" t="s">
        <v>1721</v>
      </c>
      <c r="F3754" s="366" t="s">
        <v>31</v>
      </c>
      <c r="G3754" s="348" t="str">
        <f>"'"&amp;$C3754&amp;"'!$E$61:$Y$61"</f>
        <v>'BLD_NG'!$E$61:$Y$61</v>
      </c>
      <c r="H3754" s="381">
        <f ca="1">IF(IFERROR(INDEX(DATA_PROPERTY_MASTER!$E$5:$E$21,MATCH($C3754,DATA_PROPERTY_MASTER!$A$5:$A$21,0))="Yes",FALSE),IFERROR(INDEX(INDIRECT("'"&amp;$C3754&amp;"'!$E$61:$Y$61"),1,MATCH($D3754,INDIRECT("'"&amp;$C3754&amp;"'!$E$12:$Y$12"),0)),0),0)</f>
        <v>0</v>
      </c>
      <c r="I3754" s="366" t="s">
        <v>1690</v>
      </c>
      <c r="J3754" s="348" t="str">
        <f t="shared" ca="1" si="116"/>
        <v>OK</v>
      </c>
      <c r="K3754" s="366" t="s">
        <v>1723</v>
      </c>
      <c r="L3754" s="366" t="s">
        <v>2252</v>
      </c>
      <c r="M3754" s="350" t="str">
        <f>IF($B3754="Portfolio","Portfolio",IFERROR(INDEX(DATA_ASSET_CLASSIFICATION!$B$8:$B$24,MATCH($C3754,DATA_ASSET_CLASSIFICATION!$A$8:$A$24,0)),"Review"))</f>
        <v>Newton Green</v>
      </c>
      <c r="N3754" s="350" t="str">
        <f ca="1">IF($B3754="Portfolio","Portfolio",IFERROR(INDEX(DATA_ASSET_CLASSIFICATION!$U$8:$U$24,MATCH($C3754,DATA_ASSET_CLASSIFICATION!$A$8:$A$24,0)),"Review"))</f>
        <v>Refi Watch</v>
      </c>
      <c r="O3754" s="350" t="str">
        <f ca="1">IF($B3754="Portfolio","Portfolio",IFERROR(INDEX(DATA_ASSET_CLASSIFICATION!$AB$8:$AB$13,MATCH($N3754,DATA_ASSET_CLASSIFICATION!$AA$8:$AA$13,0)),"Review"))</f>
        <v>Bucket 2 · Legacy</v>
      </c>
      <c r="P3754" s="350" t="str">
        <f>IF($B3754="Portfolio","Portfolio",IFERROR(INDEX(DATA_ASSET_CLASSIFICATION!$C$8:$C$24,MATCH($C3754,DATA_ASSET_CLASSIFICATION!$A$8:$A$24,0)),"Review"))</f>
        <v>Yes</v>
      </c>
      <c r="Q3754" s="350" t="str">
        <f t="shared" ca="1" si="117"/>
        <v>OK</v>
      </c>
    </row>
    <row r="3755" spans="1:17">
      <c r="A3755" s="366" t="s">
        <v>5711</v>
      </c>
      <c r="B3755" s="366" t="s">
        <v>231</v>
      </c>
      <c r="C3755" s="348" t="str">
        <f>DATA_PROPERTY_MASTER!$A$16</f>
        <v>BLD_NG</v>
      </c>
      <c r="D3755" s="380">
        <f>'00_PORTFOLIO ROLLUP'!U$12</f>
        <v>2041</v>
      </c>
      <c r="E3755" s="366" t="s">
        <v>1721</v>
      </c>
      <c r="F3755" s="366" t="s">
        <v>33</v>
      </c>
      <c r="G3755" s="348" t="str">
        <f>"'"&amp;$C3755&amp;"'!$E$62:$Y$62"</f>
        <v>'BLD_NG'!$E$62:$Y$62</v>
      </c>
      <c r="H3755" s="381">
        <f ca="1">IF(IFERROR(INDEX(DATA_PROPERTY_MASTER!$E$5:$E$21,MATCH($C3755,DATA_PROPERTY_MASTER!$A$5:$A$21,0))="Yes",FALSE),IFERROR(INDEX(INDIRECT("'"&amp;$C3755&amp;"'!$E$62:$Y$62"),1,MATCH($D3755,INDIRECT("'"&amp;$C3755&amp;"'!$E$12:$Y$12"),0)),0),0)</f>
        <v>0</v>
      </c>
      <c r="I3755" s="366" t="s">
        <v>1685</v>
      </c>
      <c r="J3755" s="348" t="str">
        <f t="shared" ca="1" si="116"/>
        <v>OK</v>
      </c>
      <c r="K3755" s="366" t="s">
        <v>1727</v>
      </c>
      <c r="L3755" s="366" t="s">
        <v>2254</v>
      </c>
      <c r="M3755" s="350" t="str">
        <f>IF($B3755="Portfolio","Portfolio",IFERROR(INDEX(DATA_ASSET_CLASSIFICATION!$B$8:$B$24,MATCH($C3755,DATA_ASSET_CLASSIFICATION!$A$8:$A$24,0)),"Review"))</f>
        <v>Newton Green</v>
      </c>
      <c r="N3755" s="350" t="str">
        <f ca="1">IF($B3755="Portfolio","Portfolio",IFERROR(INDEX(DATA_ASSET_CLASSIFICATION!$U$8:$U$24,MATCH($C3755,DATA_ASSET_CLASSIFICATION!$A$8:$A$24,0)),"Review"))</f>
        <v>Refi Watch</v>
      </c>
      <c r="O3755" s="350" t="str">
        <f ca="1">IF($B3755="Portfolio","Portfolio",IFERROR(INDEX(DATA_ASSET_CLASSIFICATION!$AB$8:$AB$13,MATCH($N3755,DATA_ASSET_CLASSIFICATION!$AA$8:$AA$13,0)),"Review"))</f>
        <v>Bucket 2 · Legacy</v>
      </c>
      <c r="P3755" s="350" t="str">
        <f>IF($B3755="Portfolio","Portfolio",IFERROR(INDEX(DATA_ASSET_CLASSIFICATION!$C$8:$C$24,MATCH($C3755,DATA_ASSET_CLASSIFICATION!$A$8:$A$24,0)),"Review"))</f>
        <v>Yes</v>
      </c>
      <c r="Q3755" s="350" t="str">
        <f t="shared" ca="1" si="117"/>
        <v>OK</v>
      </c>
    </row>
    <row r="3756" spans="1:17">
      <c r="A3756" s="366" t="s">
        <v>5712</v>
      </c>
      <c r="B3756" s="366" t="s">
        <v>231</v>
      </c>
      <c r="C3756" s="348" t="str">
        <f>DATA_PROPERTY_MASTER!$A$16</f>
        <v>BLD_NG</v>
      </c>
      <c r="D3756" s="380">
        <f>'00_PORTFOLIO ROLLUP'!U$12</f>
        <v>2041</v>
      </c>
      <c r="E3756" s="366" t="s">
        <v>1721</v>
      </c>
      <c r="F3756" s="366" t="s">
        <v>35</v>
      </c>
      <c r="G3756" s="348" t="str">
        <f>"'"&amp;$C3756&amp;"'!$E$63:$Y$63"</f>
        <v>'BLD_NG'!$E$63:$Y$63</v>
      </c>
      <c r="H3756" s="381">
        <f ca="1">IF(IFERROR(INDEX(DATA_PROPERTY_MASTER!$E$5:$E$21,MATCH($C3756,DATA_PROPERTY_MASTER!$A$5:$A$21,0))="Yes",FALSE),IFERROR(INDEX(INDIRECT("'"&amp;$C3756&amp;"'!$E$63:$Y$63"),1,MATCH($D3756,INDIRECT("'"&amp;$C3756&amp;"'!$E$12:$Y$12"),0)),0),0)</f>
        <v>0</v>
      </c>
      <c r="I3756" s="366" t="s">
        <v>1731</v>
      </c>
      <c r="J3756" s="348" t="str">
        <f t="shared" ca="1" si="116"/>
        <v>OK</v>
      </c>
      <c r="K3756" s="366" t="s">
        <v>1732</v>
      </c>
      <c r="L3756" s="366" t="s">
        <v>2256</v>
      </c>
      <c r="M3756" s="350" t="str">
        <f>IF($B3756="Portfolio","Portfolio",IFERROR(INDEX(DATA_ASSET_CLASSIFICATION!$B$8:$B$24,MATCH($C3756,DATA_ASSET_CLASSIFICATION!$A$8:$A$24,0)),"Review"))</f>
        <v>Newton Green</v>
      </c>
      <c r="N3756" s="350" t="str">
        <f ca="1">IF($B3756="Portfolio","Portfolio",IFERROR(INDEX(DATA_ASSET_CLASSIFICATION!$U$8:$U$24,MATCH($C3756,DATA_ASSET_CLASSIFICATION!$A$8:$A$24,0)),"Review"))</f>
        <v>Refi Watch</v>
      </c>
      <c r="O3756" s="350" t="str">
        <f ca="1">IF($B3756="Portfolio","Portfolio",IFERROR(INDEX(DATA_ASSET_CLASSIFICATION!$AB$8:$AB$13,MATCH($N3756,DATA_ASSET_CLASSIFICATION!$AA$8:$AA$13,0)),"Review"))</f>
        <v>Bucket 2 · Legacy</v>
      </c>
      <c r="P3756" s="350" t="str">
        <f>IF($B3756="Portfolio","Portfolio",IFERROR(INDEX(DATA_ASSET_CLASSIFICATION!$C$8:$C$24,MATCH($C3756,DATA_ASSET_CLASSIFICATION!$A$8:$A$24,0)),"Review"))</f>
        <v>Yes</v>
      </c>
      <c r="Q3756" s="350" t="str">
        <f t="shared" ca="1" si="117"/>
        <v>OK</v>
      </c>
    </row>
    <row r="3757" spans="1:17">
      <c r="A3757" s="366" t="s">
        <v>5713</v>
      </c>
      <c r="B3757" s="366" t="s">
        <v>231</v>
      </c>
      <c r="C3757" s="348" t="str">
        <f>DATA_PROPERTY_MASTER!$A$16</f>
        <v>BLD_NG</v>
      </c>
      <c r="D3757" s="380">
        <f>'00_PORTFOLIO ROLLUP'!U$12</f>
        <v>2041</v>
      </c>
      <c r="E3757" s="366" t="s">
        <v>1721</v>
      </c>
      <c r="F3757" s="366" t="s">
        <v>37</v>
      </c>
      <c r="G3757" s="348" t="str">
        <f>"'"&amp;$C3757&amp;"'!$E$63:$Y$63"</f>
        <v>'BLD_NG'!$E$63:$Y$63</v>
      </c>
      <c r="H3757" s="381">
        <f ca="1">IF(IFERROR(INDEX(DATA_PROPERTY_MASTER!$E$5:$E$21,MATCH($C3757,DATA_PROPERTY_MASTER!$A$5:$A$21,0))="Yes",FALSE),MAX(IFERROR(INDEX(INDIRECT("'"&amp;$C3757&amp;"'!$E$63:$Y$63"),1,MATCH($D3757,INDIRECT("'"&amp;$C3757&amp;"'!$E$12:$Y$12"),0)),0),0),0)</f>
        <v>0</v>
      </c>
      <c r="I3757" s="366" t="s">
        <v>1685</v>
      </c>
      <c r="J3757" s="348" t="str">
        <f t="shared" ca="1" si="116"/>
        <v>OK</v>
      </c>
      <c r="K3757" s="366" t="s">
        <v>1735</v>
      </c>
      <c r="L3757" s="366" t="s">
        <v>2258</v>
      </c>
      <c r="M3757" s="350" t="str">
        <f>IF($B3757="Portfolio","Portfolio",IFERROR(INDEX(DATA_ASSET_CLASSIFICATION!$B$8:$B$24,MATCH($C3757,DATA_ASSET_CLASSIFICATION!$A$8:$A$24,0)),"Review"))</f>
        <v>Newton Green</v>
      </c>
      <c r="N3757" s="350" t="str">
        <f ca="1">IF($B3757="Portfolio","Portfolio",IFERROR(INDEX(DATA_ASSET_CLASSIFICATION!$U$8:$U$24,MATCH($C3757,DATA_ASSET_CLASSIFICATION!$A$8:$A$24,0)),"Review"))</f>
        <v>Refi Watch</v>
      </c>
      <c r="O3757" s="350" t="str">
        <f ca="1">IF($B3757="Portfolio","Portfolio",IFERROR(INDEX(DATA_ASSET_CLASSIFICATION!$AB$8:$AB$13,MATCH($N3757,DATA_ASSET_CLASSIFICATION!$AA$8:$AA$13,0)),"Review"))</f>
        <v>Bucket 2 · Legacy</v>
      </c>
      <c r="P3757" s="350" t="str">
        <f>IF($B3757="Portfolio","Portfolio",IFERROR(INDEX(DATA_ASSET_CLASSIFICATION!$C$8:$C$24,MATCH($C3757,DATA_ASSET_CLASSIFICATION!$A$8:$A$24,0)),"Review"))</f>
        <v>Yes</v>
      </c>
      <c r="Q3757" s="350" t="str">
        <f t="shared" ca="1" si="117"/>
        <v>OK</v>
      </c>
    </row>
    <row r="3758" spans="1:17">
      <c r="A3758" s="366" t="s">
        <v>5714</v>
      </c>
      <c r="B3758" s="366" t="s">
        <v>231</v>
      </c>
      <c r="C3758" s="348" t="str">
        <f>DATA_PROPERTY_MASTER!$A$16</f>
        <v>BLD_NG</v>
      </c>
      <c r="D3758" s="380">
        <f>'00_PORTFOLIO ROLLUP'!U$12</f>
        <v>2041</v>
      </c>
      <c r="E3758" s="366" t="s">
        <v>1721</v>
      </c>
      <c r="F3758" s="366" t="s">
        <v>39</v>
      </c>
      <c r="G3758" s="348" t="str">
        <f>"'"&amp;$C3758&amp;"'!$E$63:$Y$63"</f>
        <v>'BLD_NG'!$E$63:$Y$63</v>
      </c>
      <c r="H3758" s="381">
        <f ca="1">IF(IFERROR(INDEX(DATA_PROPERTY_MASTER!$E$5:$E$21,MATCH($C3758,DATA_PROPERTY_MASTER!$A$5:$A$21,0))="Yes",FALSE),MAX(-IFERROR(INDEX(INDIRECT("'"&amp;$C3758&amp;"'!$E$63:$Y$63"),1,MATCH($D3758,INDIRECT("'"&amp;$C3758&amp;"'!$E$12:$Y$12"),0)),0),0),0)</f>
        <v>0</v>
      </c>
      <c r="I3758" s="366" t="s">
        <v>1690</v>
      </c>
      <c r="J3758" s="348" t="str">
        <f t="shared" ca="1" si="116"/>
        <v>OK</v>
      </c>
      <c r="K3758" s="366" t="s">
        <v>1738</v>
      </c>
      <c r="L3758" s="366" t="s">
        <v>2260</v>
      </c>
      <c r="M3758" s="350" t="str">
        <f>IF($B3758="Portfolio","Portfolio",IFERROR(INDEX(DATA_ASSET_CLASSIFICATION!$B$8:$B$24,MATCH($C3758,DATA_ASSET_CLASSIFICATION!$A$8:$A$24,0)),"Review"))</f>
        <v>Newton Green</v>
      </c>
      <c r="N3758" s="350" t="str">
        <f ca="1">IF($B3758="Portfolio","Portfolio",IFERROR(INDEX(DATA_ASSET_CLASSIFICATION!$U$8:$U$24,MATCH($C3758,DATA_ASSET_CLASSIFICATION!$A$8:$A$24,0)),"Review"))</f>
        <v>Refi Watch</v>
      </c>
      <c r="O3758" s="350" t="str">
        <f ca="1">IF($B3758="Portfolio","Portfolio",IFERROR(INDEX(DATA_ASSET_CLASSIFICATION!$AB$8:$AB$13,MATCH($N3758,DATA_ASSET_CLASSIFICATION!$AA$8:$AA$13,0)),"Review"))</f>
        <v>Bucket 2 · Legacy</v>
      </c>
      <c r="P3758" s="350" t="str">
        <f>IF($B3758="Portfolio","Portfolio",IFERROR(INDEX(DATA_ASSET_CLASSIFICATION!$C$8:$C$24,MATCH($C3758,DATA_ASSET_CLASSIFICATION!$A$8:$A$24,0)),"Review"))</f>
        <v>Yes</v>
      </c>
      <c r="Q3758" s="350" t="str">
        <f t="shared" ca="1" si="117"/>
        <v>OK</v>
      </c>
    </row>
    <row r="3759" spans="1:17">
      <c r="A3759" s="366" t="s">
        <v>5715</v>
      </c>
      <c r="B3759" s="366" t="s">
        <v>231</v>
      </c>
      <c r="C3759" s="348" t="str">
        <f>DATA_PROPERTY_MASTER!$A$16</f>
        <v>BLD_NG</v>
      </c>
      <c r="D3759" s="380">
        <f>'00_PORTFOLIO ROLLUP'!U$12</f>
        <v>2041</v>
      </c>
      <c r="E3759" s="366" t="s">
        <v>1741</v>
      </c>
      <c r="F3759" s="366" t="s">
        <v>41</v>
      </c>
      <c r="G3759" s="348" t="str">
        <f>"'"&amp;$C3759&amp;"'!rows 56 + positive row 63"</f>
        <v>'BLD_NG'!rows 56 + positive row 63</v>
      </c>
      <c r="H3759" s="381">
        <f ca="1">IF(IFERROR(INDEX(DATA_PROPERTY_MASTER!$E$5:$E$21,MATCH($C3759,DATA_PROPERTY_MASTER!$A$5:$A$21,0))="Yes",FALSE),IFERROR(INDEX(INDIRECT("'"&amp;$C3759&amp;"'!$E$56:$Y$56"),1,MATCH($D3759,INDIRECT("'"&amp;$C3759&amp;"'!$E$12:$Y$12"),0)),0)+MAX(IFERROR(INDEX(INDIRECT("'"&amp;$C3759&amp;"'!$E$63:$Y$63"),1,MATCH($D3759,INDIRECT("'"&amp;$C3759&amp;"'!$E$12:$Y$12"),0)),0),0),0)</f>
        <v>87117.853483338797</v>
      </c>
      <c r="I3759" s="366" t="s">
        <v>1685</v>
      </c>
      <c r="J3759" s="348" t="str">
        <f t="shared" ca="1" si="116"/>
        <v>OK</v>
      </c>
      <c r="K3759" s="366" t="s">
        <v>1742</v>
      </c>
      <c r="L3759" s="366" t="s">
        <v>2262</v>
      </c>
      <c r="M3759" s="350" t="str">
        <f>IF($B3759="Portfolio","Portfolio",IFERROR(INDEX(DATA_ASSET_CLASSIFICATION!$B$8:$B$24,MATCH($C3759,DATA_ASSET_CLASSIFICATION!$A$8:$A$24,0)),"Review"))</f>
        <v>Newton Green</v>
      </c>
      <c r="N3759" s="350" t="str">
        <f ca="1">IF($B3759="Portfolio","Portfolio",IFERROR(INDEX(DATA_ASSET_CLASSIFICATION!$U$8:$U$24,MATCH($C3759,DATA_ASSET_CLASSIFICATION!$A$8:$A$24,0)),"Review"))</f>
        <v>Refi Watch</v>
      </c>
      <c r="O3759" s="350" t="str">
        <f ca="1">IF($B3759="Portfolio","Portfolio",IFERROR(INDEX(DATA_ASSET_CLASSIFICATION!$AB$8:$AB$13,MATCH($N3759,DATA_ASSET_CLASSIFICATION!$AA$8:$AA$13,0)),"Review"))</f>
        <v>Bucket 2 · Legacy</v>
      </c>
      <c r="P3759" s="350" t="str">
        <f>IF($B3759="Portfolio","Portfolio",IFERROR(INDEX(DATA_ASSET_CLASSIFICATION!$C$8:$C$24,MATCH($C3759,DATA_ASSET_CLASSIFICATION!$A$8:$A$24,0)),"Review"))</f>
        <v>Yes</v>
      </c>
      <c r="Q3759" s="350" t="str">
        <f t="shared" ca="1" si="117"/>
        <v>OK</v>
      </c>
    </row>
    <row r="3760" spans="1:17">
      <c r="A3760" s="366" t="s">
        <v>5716</v>
      </c>
      <c r="B3760" s="366" t="s">
        <v>231</v>
      </c>
      <c r="C3760" s="348" t="str">
        <f>DATA_PROPERTY_MASTER!$A$16</f>
        <v>BLD_NG</v>
      </c>
      <c r="D3760" s="380">
        <f>'00_PORTFOLIO ROLLUP'!U$12</f>
        <v>2041</v>
      </c>
      <c r="E3760" s="366" t="s">
        <v>1741</v>
      </c>
      <c r="F3760" s="366" t="s">
        <v>43</v>
      </c>
      <c r="G3760" s="348" t="str">
        <f>"'"&amp;$C3760&amp;"'!$E$68:$Y$68"</f>
        <v>'BLD_NG'!$E$68:$Y$68</v>
      </c>
      <c r="H3760" s="381">
        <f ca="1">IF(IFERROR(INDEX(DATA_PROPERTY_MASTER!$E$5:$E$21,MATCH($C3760,DATA_PROPERTY_MASTER!$A$5:$A$21,0))="Yes",FALSE),IFERROR(INDEX(INDIRECT("'"&amp;$C3760&amp;"'!$E$68:$Y$68"),1,MATCH($D3760,INDIRECT("'"&amp;$C3760&amp;"'!$E$12:$Y$12"),0)),0),0)</f>
        <v>87117.853483338797</v>
      </c>
      <c r="I3760" s="366" t="s">
        <v>1731</v>
      </c>
      <c r="J3760" s="348" t="str">
        <f t="shared" ca="1" si="116"/>
        <v>OK</v>
      </c>
      <c r="K3760" s="366" t="s">
        <v>1746</v>
      </c>
      <c r="L3760" s="366" t="s">
        <v>2264</v>
      </c>
      <c r="M3760" s="350" t="str">
        <f>IF($B3760="Portfolio","Portfolio",IFERROR(INDEX(DATA_ASSET_CLASSIFICATION!$B$8:$B$24,MATCH($C3760,DATA_ASSET_CLASSIFICATION!$A$8:$A$24,0)),"Review"))</f>
        <v>Newton Green</v>
      </c>
      <c r="N3760" s="350" t="str">
        <f ca="1">IF($B3760="Portfolio","Portfolio",IFERROR(INDEX(DATA_ASSET_CLASSIFICATION!$U$8:$U$24,MATCH($C3760,DATA_ASSET_CLASSIFICATION!$A$8:$A$24,0)),"Review"))</f>
        <v>Refi Watch</v>
      </c>
      <c r="O3760" s="350" t="str">
        <f ca="1">IF($B3760="Portfolio","Portfolio",IFERROR(INDEX(DATA_ASSET_CLASSIFICATION!$AB$8:$AB$13,MATCH($N3760,DATA_ASSET_CLASSIFICATION!$AA$8:$AA$13,0)),"Review"))</f>
        <v>Bucket 2 · Legacy</v>
      </c>
      <c r="P3760" s="350" t="str">
        <f>IF($B3760="Portfolio","Portfolio",IFERROR(INDEX(DATA_ASSET_CLASSIFICATION!$C$8:$C$24,MATCH($C3760,DATA_ASSET_CLASSIFICATION!$A$8:$A$24,0)),"Review"))</f>
        <v>Yes</v>
      </c>
      <c r="Q3760" s="350" t="str">
        <f t="shared" ca="1" si="117"/>
        <v>OK</v>
      </c>
    </row>
    <row r="3761" spans="1:17">
      <c r="A3761" s="366" t="s">
        <v>5717</v>
      </c>
      <c r="B3761" s="366" t="s">
        <v>231</v>
      </c>
      <c r="C3761" s="348" t="str">
        <f>DATA_PROPERTY_MASTER!$A$16</f>
        <v>BLD_NG</v>
      </c>
      <c r="D3761" s="380">
        <f>'00_PORTFOLIO ROLLUP'!U$12</f>
        <v>2041</v>
      </c>
      <c r="E3761" s="366" t="s">
        <v>1741</v>
      </c>
      <c r="F3761" s="366" t="s">
        <v>1749</v>
      </c>
      <c r="G3761" s="348" t="str">
        <f>"'"&amp;$C3761&amp;"'!rows 56, 63, 68"</f>
        <v>'BLD_NG'!rows 56, 63, 68</v>
      </c>
      <c r="H3761" s="381">
        <f ca="1">IF(IFERROR(INDEX(DATA_PROPERTY_MASTER!$E$5:$E$21,MATCH($C3761,DATA_PROPERTY_MASTER!$A$5:$A$21,0))="Yes",FALSE),(IFERROR(INDEX(INDIRECT("'"&amp;$C3761&amp;"'!$E$56:$Y$56"),1,MATCH($D3761,INDIRECT("'"&amp;$C3761&amp;"'!$E$12:$Y$12"),0)),0)+MAX(IFERROR(INDEX(INDIRECT("'"&amp;$C3761&amp;"'!$E$63:$Y$63"),1,MATCH($D3761,INDIRECT("'"&amp;$C3761&amp;"'!$E$12:$Y$12"),0)),0),0))-(IFERROR(INDEX(INDIRECT("'"&amp;$C3761&amp;"'!$E$68:$Y$68"),1,MATCH($D3761,INDIRECT("'"&amp;$C3761&amp;"'!$E$12:$Y$12"),0)),0)),0)</f>
        <v>0</v>
      </c>
      <c r="I3761" s="366" t="s">
        <v>1750</v>
      </c>
      <c r="J3761" s="348" t="str">
        <f t="shared" ca="1" si="116"/>
        <v>OK</v>
      </c>
      <c r="K3761" s="366" t="s">
        <v>1751</v>
      </c>
      <c r="L3761" s="366" t="s">
        <v>2266</v>
      </c>
      <c r="M3761" s="350" t="str">
        <f>IF($B3761="Portfolio","Portfolio",IFERROR(INDEX(DATA_ASSET_CLASSIFICATION!$B$8:$B$24,MATCH($C3761,DATA_ASSET_CLASSIFICATION!$A$8:$A$24,0)),"Review"))</f>
        <v>Newton Green</v>
      </c>
      <c r="N3761" s="350" t="str">
        <f ca="1">IF($B3761="Portfolio","Portfolio",IFERROR(INDEX(DATA_ASSET_CLASSIFICATION!$U$8:$U$24,MATCH($C3761,DATA_ASSET_CLASSIFICATION!$A$8:$A$24,0)),"Review"))</f>
        <v>Refi Watch</v>
      </c>
      <c r="O3761" s="350" t="str">
        <f ca="1">IF($B3761="Portfolio","Portfolio",IFERROR(INDEX(DATA_ASSET_CLASSIFICATION!$AB$8:$AB$13,MATCH($N3761,DATA_ASSET_CLASSIFICATION!$AA$8:$AA$13,0)),"Review"))</f>
        <v>Bucket 2 · Legacy</v>
      </c>
      <c r="P3761" s="350" t="str">
        <f>IF($B3761="Portfolio","Portfolio",IFERROR(INDEX(DATA_ASSET_CLASSIFICATION!$C$8:$C$24,MATCH($C3761,DATA_ASSET_CLASSIFICATION!$A$8:$A$24,0)),"Review"))</f>
        <v>Yes</v>
      </c>
      <c r="Q3761" s="350" t="str">
        <f t="shared" ca="1" si="117"/>
        <v>OK</v>
      </c>
    </row>
    <row r="3762" spans="1:17">
      <c r="A3762" s="366" t="s">
        <v>5718</v>
      </c>
      <c r="B3762" s="366" t="s">
        <v>231</v>
      </c>
      <c r="C3762" s="348" t="str">
        <f>DATA_PROPERTY_MASTER!$A$17</f>
        <v>BLD_RG</v>
      </c>
      <c r="D3762" s="380">
        <f>'00_PORTFOLIO ROLLUP'!E$12</f>
        <v>2025</v>
      </c>
      <c r="E3762" s="366" t="s">
        <v>1683</v>
      </c>
      <c r="F3762" s="366" t="s">
        <v>341</v>
      </c>
      <c r="G3762" s="348" t="str">
        <f>"'"&amp;$C3762&amp;"'!$E$24:$Y$24"</f>
        <v>'BLD_RG'!$E$24:$Y$24</v>
      </c>
      <c r="H3762" s="381">
        <f ca="1">IF(IFERROR(INDEX(DATA_PROPERTY_MASTER!$E$5:$E$21,MATCH($C3762,DATA_PROPERTY_MASTER!$A$5:$A$21,0))="Yes",FALSE),IFERROR(INDEX(INDIRECT("'"&amp;$C3762&amp;"'!$E$24:$Y$24"),1,MATCH($D3762,INDIRECT("'"&amp;$C3762&amp;"'!$E$12:$Y$12"),0)),0),0)</f>
        <v>449096.56400000007</v>
      </c>
      <c r="I3762" s="366" t="s">
        <v>1685</v>
      </c>
      <c r="J3762" s="348" t="str">
        <f t="shared" ca="1" si="116"/>
        <v>OK</v>
      </c>
      <c r="K3762" s="366" t="s">
        <v>1686</v>
      </c>
      <c r="L3762" s="366" t="s">
        <v>2234</v>
      </c>
      <c r="M3762" s="350" t="str">
        <f>IF($B3762="Portfolio","Portfolio",IFERROR(INDEX(DATA_ASSET_CLASSIFICATION!$B$8:$B$24,MATCH($C3762,DATA_ASSET_CLASSIFICATION!$A$8:$A$24,0)),"Review"))</f>
        <v>Rosemary Green</v>
      </c>
      <c r="N3762" s="350" t="str">
        <f ca="1">IF($B3762="Portfolio","Portfolio",IFERROR(INDEX(DATA_ASSET_CLASSIFICATION!$U$8:$U$24,MATCH($C3762,DATA_ASSET_CLASSIFICATION!$A$8:$A$24,0)),"Review"))</f>
        <v>Refi Watch</v>
      </c>
      <c r="O3762" s="350" t="str">
        <f ca="1">IF($B3762="Portfolio","Portfolio",IFERROR(INDEX(DATA_ASSET_CLASSIFICATION!$AB$8:$AB$13,MATCH($N3762,DATA_ASSET_CLASSIFICATION!$AA$8:$AA$13,0)),"Review"))</f>
        <v>Bucket 2 · Legacy</v>
      </c>
      <c r="P3762" s="350" t="str">
        <f>IF($B3762="Portfolio","Portfolio",IFERROR(INDEX(DATA_ASSET_CLASSIFICATION!$C$8:$C$24,MATCH($C3762,DATA_ASSET_CLASSIFICATION!$A$8:$A$24,0)),"Review"))</f>
        <v>Yes</v>
      </c>
      <c r="Q3762" s="350" t="str">
        <f t="shared" ca="1" si="117"/>
        <v>OK</v>
      </c>
    </row>
    <row r="3763" spans="1:17">
      <c r="A3763" s="366" t="s">
        <v>5719</v>
      </c>
      <c r="B3763" s="366" t="s">
        <v>231</v>
      </c>
      <c r="C3763" s="348" t="str">
        <f>DATA_PROPERTY_MASTER!$A$17</f>
        <v>BLD_RG</v>
      </c>
      <c r="D3763" s="380">
        <f>'00_PORTFOLIO ROLLUP'!E$12</f>
        <v>2025</v>
      </c>
      <c r="E3763" s="366" t="s">
        <v>1683</v>
      </c>
      <c r="F3763" s="366" t="s">
        <v>355</v>
      </c>
      <c r="G3763" s="348" t="str">
        <f>"'"&amp;$C3763&amp;"'!$E$39:$Y$39"</f>
        <v>'BLD_RG'!$E$39:$Y$39</v>
      </c>
      <c r="H3763" s="381">
        <f ca="1">IF(IFERROR(INDEX(DATA_PROPERTY_MASTER!$E$5:$E$21,MATCH($C3763,DATA_PROPERTY_MASTER!$A$5:$A$21,0))="Yes",FALSE),IFERROR(INDEX(INDIRECT("'"&amp;$C3763&amp;"'!$E$39:$Y$39"),1,MATCH($D3763,INDIRECT("'"&amp;$C3763&amp;"'!$E$12:$Y$12"),0)),0),0)</f>
        <v>215588</v>
      </c>
      <c r="I3763" s="366" t="s">
        <v>1690</v>
      </c>
      <c r="J3763" s="348" t="str">
        <f t="shared" ca="1" si="116"/>
        <v>OK</v>
      </c>
      <c r="K3763" s="366" t="s">
        <v>1686</v>
      </c>
      <c r="L3763" s="366" t="s">
        <v>2236</v>
      </c>
      <c r="M3763" s="350" t="str">
        <f>IF($B3763="Portfolio","Portfolio",IFERROR(INDEX(DATA_ASSET_CLASSIFICATION!$B$8:$B$24,MATCH($C3763,DATA_ASSET_CLASSIFICATION!$A$8:$A$24,0)),"Review"))</f>
        <v>Rosemary Green</v>
      </c>
      <c r="N3763" s="350" t="str">
        <f ca="1">IF($B3763="Portfolio","Portfolio",IFERROR(INDEX(DATA_ASSET_CLASSIFICATION!$U$8:$U$24,MATCH($C3763,DATA_ASSET_CLASSIFICATION!$A$8:$A$24,0)),"Review"))</f>
        <v>Refi Watch</v>
      </c>
      <c r="O3763" s="350" t="str">
        <f ca="1">IF($B3763="Portfolio","Portfolio",IFERROR(INDEX(DATA_ASSET_CLASSIFICATION!$AB$8:$AB$13,MATCH($N3763,DATA_ASSET_CLASSIFICATION!$AA$8:$AA$13,0)),"Review"))</f>
        <v>Bucket 2 · Legacy</v>
      </c>
      <c r="P3763" s="350" t="str">
        <f>IF($B3763="Portfolio","Portfolio",IFERROR(INDEX(DATA_ASSET_CLASSIFICATION!$C$8:$C$24,MATCH($C3763,DATA_ASSET_CLASSIFICATION!$A$8:$A$24,0)),"Review"))</f>
        <v>Yes</v>
      </c>
      <c r="Q3763" s="350" t="str">
        <f t="shared" ca="1" si="117"/>
        <v>OK</v>
      </c>
    </row>
    <row r="3764" spans="1:17">
      <c r="A3764" s="366" t="s">
        <v>5720</v>
      </c>
      <c r="B3764" s="366" t="s">
        <v>231</v>
      </c>
      <c r="C3764" s="348" t="str">
        <f>DATA_PROPERTY_MASTER!$A$17</f>
        <v>BLD_RG</v>
      </c>
      <c r="D3764" s="380">
        <f>'00_PORTFOLIO ROLLUP'!E$12</f>
        <v>2025</v>
      </c>
      <c r="E3764" s="366" t="s">
        <v>1683</v>
      </c>
      <c r="F3764" s="366" t="s">
        <v>19</v>
      </c>
      <c r="G3764" s="348" t="str">
        <f>"'"&amp;$C3764&amp;"'!$E$41:$Y$41"</f>
        <v>'BLD_RG'!$E$41:$Y$41</v>
      </c>
      <c r="H3764" s="381">
        <f ca="1">IF(IFERROR(INDEX(DATA_PROPERTY_MASTER!$E$5:$E$21,MATCH($C3764,DATA_PROPERTY_MASTER!$A$5:$A$21,0))="Yes",FALSE),IFERROR(INDEX(INDIRECT("'"&amp;$C3764&amp;"'!$E$41:$Y$41"),1,MATCH($D3764,INDIRECT("'"&amp;$C3764&amp;"'!$E$12:$Y$12"),0)),0),0)</f>
        <v>233508.56400000007</v>
      </c>
      <c r="I3764" s="366" t="s">
        <v>1685</v>
      </c>
      <c r="J3764" s="348" t="str">
        <f t="shared" ca="1" si="116"/>
        <v>OK</v>
      </c>
      <c r="K3764" s="366" t="s">
        <v>1694</v>
      </c>
      <c r="L3764" s="366" t="s">
        <v>2238</v>
      </c>
      <c r="M3764" s="350" t="str">
        <f>IF($B3764="Portfolio","Portfolio",IFERROR(INDEX(DATA_ASSET_CLASSIFICATION!$B$8:$B$24,MATCH($C3764,DATA_ASSET_CLASSIFICATION!$A$8:$A$24,0)),"Review"))</f>
        <v>Rosemary Green</v>
      </c>
      <c r="N3764" s="350" t="str">
        <f ca="1">IF($B3764="Portfolio","Portfolio",IFERROR(INDEX(DATA_ASSET_CLASSIFICATION!$U$8:$U$24,MATCH($C3764,DATA_ASSET_CLASSIFICATION!$A$8:$A$24,0)),"Review"))</f>
        <v>Refi Watch</v>
      </c>
      <c r="O3764" s="350" t="str">
        <f ca="1">IF($B3764="Portfolio","Portfolio",IFERROR(INDEX(DATA_ASSET_CLASSIFICATION!$AB$8:$AB$13,MATCH($N3764,DATA_ASSET_CLASSIFICATION!$AA$8:$AA$13,0)),"Review"))</f>
        <v>Bucket 2 · Legacy</v>
      </c>
      <c r="P3764" s="350" t="str">
        <f>IF($B3764="Portfolio","Portfolio",IFERROR(INDEX(DATA_ASSET_CLASSIFICATION!$C$8:$C$24,MATCH($C3764,DATA_ASSET_CLASSIFICATION!$A$8:$A$24,0)),"Review"))</f>
        <v>Yes</v>
      </c>
      <c r="Q3764" s="350" t="str">
        <f t="shared" ca="1" si="117"/>
        <v>OK</v>
      </c>
    </row>
    <row r="3765" spans="1:17">
      <c r="A3765" s="366" t="s">
        <v>5721</v>
      </c>
      <c r="B3765" s="366" t="s">
        <v>231</v>
      </c>
      <c r="C3765" s="348" t="str">
        <f>DATA_PROPERTY_MASTER!$A$17</f>
        <v>BLD_RG</v>
      </c>
      <c r="D3765" s="380">
        <f>'00_PORTFOLIO ROLLUP'!E$12</f>
        <v>2025</v>
      </c>
      <c r="E3765" s="366" t="s">
        <v>1683</v>
      </c>
      <c r="F3765" s="366" t="s">
        <v>1697</v>
      </c>
      <c r="G3765" s="348" t="str">
        <f>"'"&amp;$C3765&amp;"'!$E$44:$Y$44"</f>
        <v>'BLD_RG'!$E$44:$Y$44</v>
      </c>
      <c r="H3765" s="381">
        <f ca="1">IF(IFERROR(INDEX(DATA_PROPERTY_MASTER!$E$5:$E$21,MATCH($C3765,DATA_PROPERTY_MASTER!$A$5:$A$21,0))="Yes",FALSE),IFERROR(INDEX(INDIRECT("'"&amp;$C3765&amp;"'!$E$44:$Y$44"),1,MATCH($D3765,INDIRECT("'"&amp;$C3765&amp;"'!$E$12:$Y$12"),0)),0),0)</f>
        <v>5700</v>
      </c>
      <c r="I3765" s="366" t="s">
        <v>1690</v>
      </c>
      <c r="J3765" s="348" t="str">
        <f t="shared" ca="1" si="116"/>
        <v>OK</v>
      </c>
      <c r="K3765" s="366" t="s">
        <v>1699</v>
      </c>
      <c r="L3765" s="366" t="s">
        <v>2240</v>
      </c>
      <c r="M3765" s="350" t="str">
        <f>IF($B3765="Portfolio","Portfolio",IFERROR(INDEX(DATA_ASSET_CLASSIFICATION!$B$8:$B$24,MATCH($C3765,DATA_ASSET_CLASSIFICATION!$A$8:$A$24,0)),"Review"))</f>
        <v>Rosemary Green</v>
      </c>
      <c r="N3765" s="350" t="str">
        <f ca="1">IF($B3765="Portfolio","Portfolio",IFERROR(INDEX(DATA_ASSET_CLASSIFICATION!$U$8:$U$24,MATCH($C3765,DATA_ASSET_CLASSIFICATION!$A$8:$A$24,0)),"Review"))</f>
        <v>Refi Watch</v>
      </c>
      <c r="O3765" s="350" t="str">
        <f ca="1">IF($B3765="Portfolio","Portfolio",IFERROR(INDEX(DATA_ASSET_CLASSIFICATION!$AB$8:$AB$13,MATCH($N3765,DATA_ASSET_CLASSIFICATION!$AA$8:$AA$13,0)),"Review"))</f>
        <v>Bucket 2 · Legacy</v>
      </c>
      <c r="P3765" s="350" t="str">
        <f>IF($B3765="Portfolio","Portfolio",IFERROR(INDEX(DATA_ASSET_CLASSIFICATION!$C$8:$C$24,MATCH($C3765,DATA_ASSET_CLASSIFICATION!$A$8:$A$24,0)),"Review"))</f>
        <v>Yes</v>
      </c>
      <c r="Q3765" s="350" t="str">
        <f t="shared" ca="1" si="117"/>
        <v>OK</v>
      </c>
    </row>
    <row r="3766" spans="1:17">
      <c r="A3766" s="366" t="s">
        <v>5722</v>
      </c>
      <c r="B3766" s="366" t="s">
        <v>231</v>
      </c>
      <c r="C3766" s="348" t="str">
        <f>DATA_PROPERTY_MASTER!$A$17</f>
        <v>BLD_RG</v>
      </c>
      <c r="D3766" s="380">
        <f>'00_PORTFOLIO ROLLUP'!E$12</f>
        <v>2025</v>
      </c>
      <c r="E3766" s="366" t="s">
        <v>1683</v>
      </c>
      <c r="F3766" s="366" t="s">
        <v>21</v>
      </c>
      <c r="G3766" s="348" t="str">
        <f>"'"&amp;$C3766&amp;"'!$E$45:$Y$45"</f>
        <v>'BLD_RG'!$E$45:$Y$45</v>
      </c>
      <c r="H3766" s="381">
        <f ca="1">IF(IFERROR(INDEX(DATA_PROPERTY_MASTER!$E$5:$E$21,MATCH($C3766,DATA_PROPERTY_MASTER!$A$5:$A$21,0))="Yes",FALSE),IFERROR(INDEX(INDIRECT("'"&amp;$C3766&amp;"'!$E$45:$Y$45"),1,MATCH($D3766,INDIRECT("'"&amp;$C3766&amp;"'!$E$12:$Y$12"),0)),0),0)</f>
        <v>227808.56400000007</v>
      </c>
      <c r="I3766" s="366" t="s">
        <v>1685</v>
      </c>
      <c r="J3766" s="348" t="str">
        <f t="shared" ca="1" si="116"/>
        <v>OK</v>
      </c>
      <c r="K3766" s="366" t="s">
        <v>1694</v>
      </c>
      <c r="L3766" s="366" t="s">
        <v>2242</v>
      </c>
      <c r="M3766" s="350" t="str">
        <f>IF($B3766="Portfolio","Portfolio",IFERROR(INDEX(DATA_ASSET_CLASSIFICATION!$B$8:$B$24,MATCH($C3766,DATA_ASSET_CLASSIFICATION!$A$8:$A$24,0)),"Review"))</f>
        <v>Rosemary Green</v>
      </c>
      <c r="N3766" s="350" t="str">
        <f ca="1">IF($B3766="Portfolio","Portfolio",IFERROR(INDEX(DATA_ASSET_CLASSIFICATION!$U$8:$U$24,MATCH($C3766,DATA_ASSET_CLASSIFICATION!$A$8:$A$24,0)),"Review"))</f>
        <v>Refi Watch</v>
      </c>
      <c r="O3766" s="350" t="str">
        <f ca="1">IF($B3766="Portfolio","Portfolio",IFERROR(INDEX(DATA_ASSET_CLASSIFICATION!$AB$8:$AB$13,MATCH($N3766,DATA_ASSET_CLASSIFICATION!$AA$8:$AA$13,0)),"Review"))</f>
        <v>Bucket 2 · Legacy</v>
      </c>
      <c r="P3766" s="350" t="str">
        <f>IF($B3766="Portfolio","Portfolio",IFERROR(INDEX(DATA_ASSET_CLASSIFICATION!$C$8:$C$24,MATCH($C3766,DATA_ASSET_CLASSIFICATION!$A$8:$A$24,0)),"Review"))</f>
        <v>Yes</v>
      </c>
      <c r="Q3766" s="350" t="str">
        <f t="shared" ca="1" si="117"/>
        <v>OK</v>
      </c>
    </row>
    <row r="3767" spans="1:17">
      <c r="A3767" s="366" t="s">
        <v>5723</v>
      </c>
      <c r="B3767" s="366" t="s">
        <v>231</v>
      </c>
      <c r="C3767" s="348" t="str">
        <f>DATA_PROPERTY_MASTER!$A$17</f>
        <v>BLD_RG</v>
      </c>
      <c r="D3767" s="380">
        <f>'00_PORTFOLIO ROLLUP'!E$12</f>
        <v>2025</v>
      </c>
      <c r="E3767" s="366" t="s">
        <v>23</v>
      </c>
      <c r="F3767" s="366" t="s">
        <v>23</v>
      </c>
      <c r="G3767" s="348" t="str">
        <f>"'"&amp;$C3767&amp;"'!$E$48:$Y$48"</f>
        <v>'BLD_RG'!$E$48:$Y$48</v>
      </c>
      <c r="H3767" s="381">
        <f ca="1">IF(IFERROR(INDEX(DATA_PROPERTY_MASTER!$E$5:$E$21,MATCH($C3767,DATA_PROPERTY_MASTER!$A$5:$A$21,0))="Yes",FALSE),IFERROR(INDEX(INDIRECT("'"&amp;$C3767&amp;"'!$E$48:$Y$48"),1,MATCH($D3767,INDIRECT("'"&amp;$C3767&amp;"'!$E$12:$Y$12"),0)),0),0)</f>
        <v>291146.28000000003</v>
      </c>
      <c r="I3767" s="366" t="s">
        <v>1690</v>
      </c>
      <c r="J3767" s="348" t="str">
        <f t="shared" ca="1" si="116"/>
        <v>OK</v>
      </c>
      <c r="K3767" s="366" t="s">
        <v>1706</v>
      </c>
      <c r="L3767" s="366" t="s">
        <v>2244</v>
      </c>
      <c r="M3767" s="350" t="str">
        <f>IF($B3767="Portfolio","Portfolio",IFERROR(INDEX(DATA_ASSET_CLASSIFICATION!$B$8:$B$24,MATCH($C3767,DATA_ASSET_CLASSIFICATION!$A$8:$A$24,0)),"Review"))</f>
        <v>Rosemary Green</v>
      </c>
      <c r="N3767" s="350" t="str">
        <f ca="1">IF($B3767="Portfolio","Portfolio",IFERROR(INDEX(DATA_ASSET_CLASSIFICATION!$U$8:$U$24,MATCH($C3767,DATA_ASSET_CLASSIFICATION!$A$8:$A$24,0)),"Review"))</f>
        <v>Refi Watch</v>
      </c>
      <c r="O3767" s="350" t="str">
        <f ca="1">IF($B3767="Portfolio","Portfolio",IFERROR(INDEX(DATA_ASSET_CLASSIFICATION!$AB$8:$AB$13,MATCH($N3767,DATA_ASSET_CLASSIFICATION!$AA$8:$AA$13,0)),"Review"))</f>
        <v>Bucket 2 · Legacy</v>
      </c>
      <c r="P3767" s="350" t="str">
        <f>IF($B3767="Portfolio","Portfolio",IFERROR(INDEX(DATA_ASSET_CLASSIFICATION!$C$8:$C$24,MATCH($C3767,DATA_ASSET_CLASSIFICATION!$A$8:$A$24,0)),"Review"))</f>
        <v>Yes</v>
      </c>
      <c r="Q3767" s="350" t="str">
        <f t="shared" ca="1" si="117"/>
        <v>OK</v>
      </c>
    </row>
    <row r="3768" spans="1:17">
      <c r="A3768" s="366" t="s">
        <v>5724</v>
      </c>
      <c r="B3768" s="366" t="s">
        <v>231</v>
      </c>
      <c r="C3768" s="348" t="str">
        <f>DATA_PROPERTY_MASTER!$A$17</f>
        <v>BLD_RG</v>
      </c>
      <c r="D3768" s="380">
        <f>'00_PORTFOLIO ROLLUP'!E$12</f>
        <v>2025</v>
      </c>
      <c r="E3768" s="366" t="s">
        <v>1683</v>
      </c>
      <c r="F3768" s="366" t="s">
        <v>25</v>
      </c>
      <c r="G3768" s="348" t="str">
        <f>"'"&amp;$C3768&amp;"'!$E$52:$Y$52"</f>
        <v>'BLD_RG'!$E$52:$Y$52</v>
      </c>
      <c r="H3768" s="381">
        <f ca="1">IF(IFERROR(INDEX(DATA_PROPERTY_MASTER!$E$5:$E$21,MATCH($C3768,DATA_PROPERTY_MASTER!$A$5:$A$21,0))="Yes",FALSE),IFERROR(INDEX(INDIRECT("'"&amp;$C3768&amp;"'!$E$52:$Y$52"),1,MATCH($D3768,INDIRECT("'"&amp;$C3768&amp;"'!$E$12:$Y$12"),0)),0),0)</f>
        <v>-57637.715999999957</v>
      </c>
      <c r="I3768" s="366" t="s">
        <v>1685</v>
      </c>
      <c r="J3768" s="348" t="str">
        <f t="shared" ca="1" si="116"/>
        <v>OK</v>
      </c>
      <c r="K3768" s="366" t="s">
        <v>1710</v>
      </c>
      <c r="L3768" s="366" t="s">
        <v>2246</v>
      </c>
      <c r="M3768" s="350" t="str">
        <f>IF($B3768="Portfolio","Portfolio",IFERROR(INDEX(DATA_ASSET_CLASSIFICATION!$B$8:$B$24,MATCH($C3768,DATA_ASSET_CLASSIFICATION!$A$8:$A$24,0)),"Review"))</f>
        <v>Rosemary Green</v>
      </c>
      <c r="N3768" s="350" t="str">
        <f ca="1">IF($B3768="Portfolio","Portfolio",IFERROR(INDEX(DATA_ASSET_CLASSIFICATION!$U$8:$U$24,MATCH($C3768,DATA_ASSET_CLASSIFICATION!$A$8:$A$24,0)),"Review"))</f>
        <v>Refi Watch</v>
      </c>
      <c r="O3768" s="350" t="str">
        <f ca="1">IF($B3768="Portfolio","Portfolio",IFERROR(INDEX(DATA_ASSET_CLASSIFICATION!$AB$8:$AB$13,MATCH($N3768,DATA_ASSET_CLASSIFICATION!$AA$8:$AA$13,0)),"Review"))</f>
        <v>Bucket 2 · Legacy</v>
      </c>
      <c r="P3768" s="350" t="str">
        <f>IF($B3768="Portfolio","Portfolio",IFERROR(INDEX(DATA_ASSET_CLASSIFICATION!$C$8:$C$24,MATCH($C3768,DATA_ASSET_CLASSIFICATION!$A$8:$A$24,0)),"Review"))</f>
        <v>Yes</v>
      </c>
      <c r="Q3768" s="350" t="str">
        <f t="shared" ca="1" si="117"/>
        <v>OK</v>
      </c>
    </row>
    <row r="3769" spans="1:17">
      <c r="A3769" s="366" t="s">
        <v>5725</v>
      </c>
      <c r="B3769" s="366" t="s">
        <v>231</v>
      </c>
      <c r="C3769" s="348" t="str">
        <f>DATA_PROPERTY_MASTER!$A$17</f>
        <v>BLD_RG</v>
      </c>
      <c r="D3769" s="380">
        <f>'00_PORTFOLIO ROLLUP'!E$12</f>
        <v>2025</v>
      </c>
      <c r="E3769" s="366" t="s">
        <v>1683</v>
      </c>
      <c r="F3769" s="366" t="s">
        <v>27</v>
      </c>
      <c r="G3769" s="348" t="str">
        <f>"'"&amp;$C3769&amp;"'!$E$54:$Y$54"</f>
        <v>'BLD_RG'!$E$54:$Y$54</v>
      </c>
      <c r="H3769" s="381">
        <f ca="1">IF(IFERROR(INDEX(DATA_PROPERTY_MASTER!$E$5:$E$21,MATCH($C3769,DATA_PROPERTY_MASTER!$A$5:$A$21,0))="Yes",FALSE),IFERROR(INDEX(INDIRECT("'"&amp;$C3769&amp;"'!$E$54:$Y$54"),1,MATCH($D3769,INDIRECT("'"&amp;$C3769&amp;"'!$E$12:$Y$12"),0)),0),0)</f>
        <v>0</v>
      </c>
      <c r="I3769" s="366" t="s">
        <v>1690</v>
      </c>
      <c r="J3769" s="348" t="str">
        <f t="shared" ca="1" si="116"/>
        <v>OK</v>
      </c>
      <c r="K3769" s="366" t="s">
        <v>1714</v>
      </c>
      <c r="L3769" s="366" t="s">
        <v>2248</v>
      </c>
      <c r="M3769" s="350" t="str">
        <f>IF($B3769="Portfolio","Portfolio",IFERROR(INDEX(DATA_ASSET_CLASSIFICATION!$B$8:$B$24,MATCH($C3769,DATA_ASSET_CLASSIFICATION!$A$8:$A$24,0)),"Review"))</f>
        <v>Rosemary Green</v>
      </c>
      <c r="N3769" s="350" t="str">
        <f ca="1">IF($B3769="Portfolio","Portfolio",IFERROR(INDEX(DATA_ASSET_CLASSIFICATION!$U$8:$U$24,MATCH($C3769,DATA_ASSET_CLASSIFICATION!$A$8:$A$24,0)),"Review"))</f>
        <v>Refi Watch</v>
      </c>
      <c r="O3769" s="350" t="str">
        <f ca="1">IF($B3769="Portfolio","Portfolio",IFERROR(INDEX(DATA_ASSET_CLASSIFICATION!$AB$8:$AB$13,MATCH($N3769,DATA_ASSET_CLASSIFICATION!$AA$8:$AA$13,0)),"Review"))</f>
        <v>Bucket 2 · Legacy</v>
      </c>
      <c r="P3769" s="350" t="str">
        <f>IF($B3769="Portfolio","Portfolio",IFERROR(INDEX(DATA_ASSET_CLASSIFICATION!$C$8:$C$24,MATCH($C3769,DATA_ASSET_CLASSIFICATION!$A$8:$A$24,0)),"Review"))</f>
        <v>Yes</v>
      </c>
      <c r="Q3769" s="350" t="str">
        <f t="shared" ca="1" si="117"/>
        <v>OK</v>
      </c>
    </row>
    <row r="3770" spans="1:17">
      <c r="A3770" s="366" t="s">
        <v>5726</v>
      </c>
      <c r="B3770" s="366" t="s">
        <v>231</v>
      </c>
      <c r="C3770" s="348" t="str">
        <f>DATA_PROPERTY_MASTER!$A$17</f>
        <v>BLD_RG</v>
      </c>
      <c r="D3770" s="380">
        <f>'00_PORTFOLIO ROLLUP'!E$12</f>
        <v>2025</v>
      </c>
      <c r="E3770" s="366" t="s">
        <v>1683</v>
      </c>
      <c r="F3770" s="366" t="s">
        <v>29</v>
      </c>
      <c r="G3770" s="348" t="str">
        <f>"'"&amp;$C3770&amp;"'!$E$56:$Y$56"</f>
        <v>'BLD_RG'!$E$56:$Y$56</v>
      </c>
      <c r="H3770" s="381">
        <f ca="1">IF(IFERROR(INDEX(DATA_PROPERTY_MASTER!$E$5:$E$21,MATCH($C3770,DATA_PROPERTY_MASTER!$A$5:$A$21,0))="Yes",FALSE),IFERROR(INDEX(INDIRECT("'"&amp;$C3770&amp;"'!$E$56:$Y$56"),1,MATCH($D3770,INDIRECT("'"&amp;$C3770&amp;"'!$E$12:$Y$12"),0)),0),0)</f>
        <v>-57637.715999999957</v>
      </c>
      <c r="I3770" s="366" t="s">
        <v>1685</v>
      </c>
      <c r="J3770" s="348" t="str">
        <f t="shared" ca="1" si="116"/>
        <v>OK</v>
      </c>
      <c r="K3770" s="366" t="s">
        <v>1718</v>
      </c>
      <c r="L3770" s="366" t="s">
        <v>2250</v>
      </c>
      <c r="M3770" s="350" t="str">
        <f>IF($B3770="Portfolio","Portfolio",IFERROR(INDEX(DATA_ASSET_CLASSIFICATION!$B$8:$B$24,MATCH($C3770,DATA_ASSET_CLASSIFICATION!$A$8:$A$24,0)),"Review"))</f>
        <v>Rosemary Green</v>
      </c>
      <c r="N3770" s="350" t="str">
        <f ca="1">IF($B3770="Portfolio","Portfolio",IFERROR(INDEX(DATA_ASSET_CLASSIFICATION!$U$8:$U$24,MATCH($C3770,DATA_ASSET_CLASSIFICATION!$A$8:$A$24,0)),"Review"))</f>
        <v>Refi Watch</v>
      </c>
      <c r="O3770" s="350" t="str">
        <f ca="1">IF($B3770="Portfolio","Portfolio",IFERROR(INDEX(DATA_ASSET_CLASSIFICATION!$AB$8:$AB$13,MATCH($N3770,DATA_ASSET_CLASSIFICATION!$AA$8:$AA$13,0)),"Review"))</f>
        <v>Bucket 2 · Legacy</v>
      </c>
      <c r="P3770" s="350" t="str">
        <f>IF($B3770="Portfolio","Portfolio",IFERROR(INDEX(DATA_ASSET_CLASSIFICATION!$C$8:$C$24,MATCH($C3770,DATA_ASSET_CLASSIFICATION!$A$8:$A$24,0)),"Review"))</f>
        <v>Yes</v>
      </c>
      <c r="Q3770" s="350" t="str">
        <f t="shared" ca="1" si="117"/>
        <v>OK</v>
      </c>
    </row>
    <row r="3771" spans="1:17">
      <c r="A3771" s="366" t="s">
        <v>5727</v>
      </c>
      <c r="B3771" s="366" t="s">
        <v>231</v>
      </c>
      <c r="C3771" s="348" t="str">
        <f>DATA_PROPERTY_MASTER!$A$17</f>
        <v>BLD_RG</v>
      </c>
      <c r="D3771" s="380">
        <f>'00_PORTFOLIO ROLLUP'!E$12</f>
        <v>2025</v>
      </c>
      <c r="E3771" s="366" t="s">
        <v>1721</v>
      </c>
      <c r="F3771" s="366" t="s">
        <v>31</v>
      </c>
      <c r="G3771" s="348" t="str">
        <f>"'"&amp;$C3771&amp;"'!$E$61:$Y$61"</f>
        <v>'BLD_RG'!$E$61:$Y$61</v>
      </c>
      <c r="H3771" s="381">
        <f ca="1">IF(IFERROR(INDEX(DATA_PROPERTY_MASTER!$E$5:$E$21,MATCH($C3771,DATA_PROPERTY_MASTER!$A$5:$A$21,0))="Yes",FALSE),IFERROR(INDEX(INDIRECT("'"&amp;$C3771&amp;"'!$E$61:$Y$61"),1,MATCH($D3771,INDIRECT("'"&amp;$C3771&amp;"'!$E$12:$Y$12"),0)),0),0)</f>
        <v>0</v>
      </c>
      <c r="I3771" s="366" t="s">
        <v>1690</v>
      </c>
      <c r="J3771" s="348" t="str">
        <f t="shared" ca="1" si="116"/>
        <v>OK</v>
      </c>
      <c r="K3771" s="366" t="s">
        <v>1723</v>
      </c>
      <c r="L3771" s="366" t="s">
        <v>2252</v>
      </c>
      <c r="M3771" s="350" t="str">
        <f>IF($B3771="Portfolio","Portfolio",IFERROR(INDEX(DATA_ASSET_CLASSIFICATION!$B$8:$B$24,MATCH($C3771,DATA_ASSET_CLASSIFICATION!$A$8:$A$24,0)),"Review"))</f>
        <v>Rosemary Green</v>
      </c>
      <c r="N3771" s="350" t="str">
        <f ca="1">IF($B3771="Portfolio","Portfolio",IFERROR(INDEX(DATA_ASSET_CLASSIFICATION!$U$8:$U$24,MATCH($C3771,DATA_ASSET_CLASSIFICATION!$A$8:$A$24,0)),"Review"))</f>
        <v>Refi Watch</v>
      </c>
      <c r="O3771" s="350" t="str">
        <f ca="1">IF($B3771="Portfolio","Portfolio",IFERROR(INDEX(DATA_ASSET_CLASSIFICATION!$AB$8:$AB$13,MATCH($N3771,DATA_ASSET_CLASSIFICATION!$AA$8:$AA$13,0)),"Review"))</f>
        <v>Bucket 2 · Legacy</v>
      </c>
      <c r="P3771" s="350" t="str">
        <f>IF($B3771="Portfolio","Portfolio",IFERROR(INDEX(DATA_ASSET_CLASSIFICATION!$C$8:$C$24,MATCH($C3771,DATA_ASSET_CLASSIFICATION!$A$8:$A$24,0)),"Review"))</f>
        <v>Yes</v>
      </c>
      <c r="Q3771" s="350" t="str">
        <f t="shared" ca="1" si="117"/>
        <v>OK</v>
      </c>
    </row>
    <row r="3772" spans="1:17">
      <c r="A3772" s="366" t="s">
        <v>5728</v>
      </c>
      <c r="B3772" s="366" t="s">
        <v>231</v>
      </c>
      <c r="C3772" s="348" t="str">
        <f>DATA_PROPERTY_MASTER!$A$17</f>
        <v>BLD_RG</v>
      </c>
      <c r="D3772" s="380">
        <f>'00_PORTFOLIO ROLLUP'!E$12</f>
        <v>2025</v>
      </c>
      <c r="E3772" s="366" t="s">
        <v>1721</v>
      </c>
      <c r="F3772" s="366" t="s">
        <v>33</v>
      </c>
      <c r="G3772" s="348" t="str">
        <f>"'"&amp;$C3772&amp;"'!$E$62:$Y$62"</f>
        <v>'BLD_RG'!$E$62:$Y$62</v>
      </c>
      <c r="H3772" s="381">
        <f ca="1">IF(IFERROR(INDEX(DATA_PROPERTY_MASTER!$E$5:$E$21,MATCH($C3772,DATA_PROPERTY_MASTER!$A$5:$A$21,0))="Yes",FALSE),IFERROR(INDEX(INDIRECT("'"&amp;$C3772&amp;"'!$E$62:$Y$62"),1,MATCH($D3772,INDIRECT("'"&amp;$C3772&amp;"'!$E$12:$Y$12"),0)),0),0)</f>
        <v>0</v>
      </c>
      <c r="I3772" s="366" t="s">
        <v>1685</v>
      </c>
      <c r="J3772" s="348" t="str">
        <f t="shared" ca="1" si="116"/>
        <v>OK</v>
      </c>
      <c r="K3772" s="366" t="s">
        <v>1727</v>
      </c>
      <c r="L3772" s="366" t="s">
        <v>2254</v>
      </c>
      <c r="M3772" s="350" t="str">
        <f>IF($B3772="Portfolio","Portfolio",IFERROR(INDEX(DATA_ASSET_CLASSIFICATION!$B$8:$B$24,MATCH($C3772,DATA_ASSET_CLASSIFICATION!$A$8:$A$24,0)),"Review"))</f>
        <v>Rosemary Green</v>
      </c>
      <c r="N3772" s="350" t="str">
        <f ca="1">IF($B3772="Portfolio","Portfolio",IFERROR(INDEX(DATA_ASSET_CLASSIFICATION!$U$8:$U$24,MATCH($C3772,DATA_ASSET_CLASSIFICATION!$A$8:$A$24,0)),"Review"))</f>
        <v>Refi Watch</v>
      </c>
      <c r="O3772" s="350" t="str">
        <f ca="1">IF($B3772="Portfolio","Portfolio",IFERROR(INDEX(DATA_ASSET_CLASSIFICATION!$AB$8:$AB$13,MATCH($N3772,DATA_ASSET_CLASSIFICATION!$AA$8:$AA$13,0)),"Review"))</f>
        <v>Bucket 2 · Legacy</v>
      </c>
      <c r="P3772" s="350" t="str">
        <f>IF($B3772="Portfolio","Portfolio",IFERROR(INDEX(DATA_ASSET_CLASSIFICATION!$C$8:$C$24,MATCH($C3772,DATA_ASSET_CLASSIFICATION!$A$8:$A$24,0)),"Review"))</f>
        <v>Yes</v>
      </c>
      <c r="Q3772" s="350" t="str">
        <f t="shared" ca="1" si="117"/>
        <v>OK</v>
      </c>
    </row>
    <row r="3773" spans="1:17">
      <c r="A3773" s="366" t="s">
        <v>5729</v>
      </c>
      <c r="B3773" s="366" t="s">
        <v>231</v>
      </c>
      <c r="C3773" s="348" t="str">
        <f>DATA_PROPERTY_MASTER!$A$17</f>
        <v>BLD_RG</v>
      </c>
      <c r="D3773" s="380">
        <f>'00_PORTFOLIO ROLLUP'!E$12</f>
        <v>2025</v>
      </c>
      <c r="E3773" s="366" t="s">
        <v>1721</v>
      </c>
      <c r="F3773" s="366" t="s">
        <v>35</v>
      </c>
      <c r="G3773" s="348" t="str">
        <f>"'"&amp;$C3773&amp;"'!$E$63:$Y$63"</f>
        <v>'BLD_RG'!$E$63:$Y$63</v>
      </c>
      <c r="H3773" s="381">
        <f ca="1">IF(IFERROR(INDEX(DATA_PROPERTY_MASTER!$E$5:$E$21,MATCH($C3773,DATA_PROPERTY_MASTER!$A$5:$A$21,0))="Yes",FALSE),IFERROR(INDEX(INDIRECT("'"&amp;$C3773&amp;"'!$E$63:$Y$63"),1,MATCH($D3773,INDIRECT("'"&amp;$C3773&amp;"'!$E$12:$Y$12"),0)),0),0)</f>
        <v>0</v>
      </c>
      <c r="I3773" s="366" t="s">
        <v>1731</v>
      </c>
      <c r="J3773" s="348" t="str">
        <f t="shared" ca="1" si="116"/>
        <v>OK</v>
      </c>
      <c r="K3773" s="366" t="s">
        <v>1732</v>
      </c>
      <c r="L3773" s="366" t="s">
        <v>2256</v>
      </c>
      <c r="M3773" s="350" t="str">
        <f>IF($B3773="Portfolio","Portfolio",IFERROR(INDEX(DATA_ASSET_CLASSIFICATION!$B$8:$B$24,MATCH($C3773,DATA_ASSET_CLASSIFICATION!$A$8:$A$24,0)),"Review"))</f>
        <v>Rosemary Green</v>
      </c>
      <c r="N3773" s="350" t="str">
        <f ca="1">IF($B3773="Portfolio","Portfolio",IFERROR(INDEX(DATA_ASSET_CLASSIFICATION!$U$8:$U$24,MATCH($C3773,DATA_ASSET_CLASSIFICATION!$A$8:$A$24,0)),"Review"))</f>
        <v>Refi Watch</v>
      </c>
      <c r="O3773" s="350" t="str">
        <f ca="1">IF($B3773="Portfolio","Portfolio",IFERROR(INDEX(DATA_ASSET_CLASSIFICATION!$AB$8:$AB$13,MATCH($N3773,DATA_ASSET_CLASSIFICATION!$AA$8:$AA$13,0)),"Review"))</f>
        <v>Bucket 2 · Legacy</v>
      </c>
      <c r="P3773" s="350" t="str">
        <f>IF($B3773="Portfolio","Portfolio",IFERROR(INDEX(DATA_ASSET_CLASSIFICATION!$C$8:$C$24,MATCH($C3773,DATA_ASSET_CLASSIFICATION!$A$8:$A$24,0)),"Review"))</f>
        <v>Yes</v>
      </c>
      <c r="Q3773" s="350" t="str">
        <f t="shared" ca="1" si="117"/>
        <v>OK</v>
      </c>
    </row>
    <row r="3774" spans="1:17">
      <c r="A3774" s="366" t="s">
        <v>5730</v>
      </c>
      <c r="B3774" s="366" t="s">
        <v>231</v>
      </c>
      <c r="C3774" s="348" t="str">
        <f>DATA_PROPERTY_MASTER!$A$17</f>
        <v>BLD_RG</v>
      </c>
      <c r="D3774" s="380">
        <f>'00_PORTFOLIO ROLLUP'!E$12</f>
        <v>2025</v>
      </c>
      <c r="E3774" s="366" t="s">
        <v>1721</v>
      </c>
      <c r="F3774" s="366" t="s">
        <v>37</v>
      </c>
      <c r="G3774" s="348" t="str">
        <f>"'"&amp;$C3774&amp;"'!$E$63:$Y$63"</f>
        <v>'BLD_RG'!$E$63:$Y$63</v>
      </c>
      <c r="H3774" s="381">
        <f ca="1">IF(IFERROR(INDEX(DATA_PROPERTY_MASTER!$E$5:$E$21,MATCH($C3774,DATA_PROPERTY_MASTER!$A$5:$A$21,0))="Yes",FALSE),MAX(IFERROR(INDEX(INDIRECT("'"&amp;$C3774&amp;"'!$E$63:$Y$63"),1,MATCH($D3774,INDIRECT("'"&amp;$C3774&amp;"'!$E$12:$Y$12"),0)),0),0),0)</f>
        <v>0</v>
      </c>
      <c r="I3774" s="366" t="s">
        <v>1685</v>
      </c>
      <c r="J3774" s="348" t="str">
        <f t="shared" ca="1" si="116"/>
        <v>OK</v>
      </c>
      <c r="K3774" s="366" t="s">
        <v>1735</v>
      </c>
      <c r="L3774" s="366" t="s">
        <v>2258</v>
      </c>
      <c r="M3774" s="350" t="str">
        <f>IF($B3774="Portfolio","Portfolio",IFERROR(INDEX(DATA_ASSET_CLASSIFICATION!$B$8:$B$24,MATCH($C3774,DATA_ASSET_CLASSIFICATION!$A$8:$A$24,0)),"Review"))</f>
        <v>Rosemary Green</v>
      </c>
      <c r="N3774" s="350" t="str">
        <f ca="1">IF($B3774="Portfolio","Portfolio",IFERROR(INDEX(DATA_ASSET_CLASSIFICATION!$U$8:$U$24,MATCH($C3774,DATA_ASSET_CLASSIFICATION!$A$8:$A$24,0)),"Review"))</f>
        <v>Refi Watch</v>
      </c>
      <c r="O3774" s="350" t="str">
        <f ca="1">IF($B3774="Portfolio","Portfolio",IFERROR(INDEX(DATA_ASSET_CLASSIFICATION!$AB$8:$AB$13,MATCH($N3774,DATA_ASSET_CLASSIFICATION!$AA$8:$AA$13,0)),"Review"))</f>
        <v>Bucket 2 · Legacy</v>
      </c>
      <c r="P3774" s="350" t="str">
        <f>IF($B3774="Portfolio","Portfolio",IFERROR(INDEX(DATA_ASSET_CLASSIFICATION!$C$8:$C$24,MATCH($C3774,DATA_ASSET_CLASSIFICATION!$A$8:$A$24,0)),"Review"))</f>
        <v>Yes</v>
      </c>
      <c r="Q3774" s="350" t="str">
        <f t="shared" ca="1" si="117"/>
        <v>OK</v>
      </c>
    </row>
    <row r="3775" spans="1:17">
      <c r="A3775" s="366" t="s">
        <v>5731</v>
      </c>
      <c r="B3775" s="366" t="s">
        <v>231</v>
      </c>
      <c r="C3775" s="348" t="str">
        <f>DATA_PROPERTY_MASTER!$A$17</f>
        <v>BLD_RG</v>
      </c>
      <c r="D3775" s="380">
        <f>'00_PORTFOLIO ROLLUP'!E$12</f>
        <v>2025</v>
      </c>
      <c r="E3775" s="366" t="s">
        <v>1721</v>
      </c>
      <c r="F3775" s="366" t="s">
        <v>39</v>
      </c>
      <c r="G3775" s="348" t="str">
        <f>"'"&amp;$C3775&amp;"'!$E$63:$Y$63"</f>
        <v>'BLD_RG'!$E$63:$Y$63</v>
      </c>
      <c r="H3775" s="381">
        <f ca="1">IF(IFERROR(INDEX(DATA_PROPERTY_MASTER!$E$5:$E$21,MATCH($C3775,DATA_PROPERTY_MASTER!$A$5:$A$21,0))="Yes",FALSE),MAX(-IFERROR(INDEX(INDIRECT("'"&amp;$C3775&amp;"'!$E$63:$Y$63"),1,MATCH($D3775,INDIRECT("'"&amp;$C3775&amp;"'!$E$12:$Y$12"),0)),0),0),0)</f>
        <v>0</v>
      </c>
      <c r="I3775" s="366" t="s">
        <v>1690</v>
      </c>
      <c r="J3775" s="348" t="str">
        <f t="shared" ca="1" si="116"/>
        <v>OK</v>
      </c>
      <c r="K3775" s="366" t="s">
        <v>1738</v>
      </c>
      <c r="L3775" s="366" t="s">
        <v>2260</v>
      </c>
      <c r="M3775" s="350" t="str">
        <f>IF($B3775="Portfolio","Portfolio",IFERROR(INDEX(DATA_ASSET_CLASSIFICATION!$B$8:$B$24,MATCH($C3775,DATA_ASSET_CLASSIFICATION!$A$8:$A$24,0)),"Review"))</f>
        <v>Rosemary Green</v>
      </c>
      <c r="N3775" s="350" t="str">
        <f ca="1">IF($B3775="Portfolio","Portfolio",IFERROR(INDEX(DATA_ASSET_CLASSIFICATION!$U$8:$U$24,MATCH($C3775,DATA_ASSET_CLASSIFICATION!$A$8:$A$24,0)),"Review"))</f>
        <v>Refi Watch</v>
      </c>
      <c r="O3775" s="350" t="str">
        <f ca="1">IF($B3775="Portfolio","Portfolio",IFERROR(INDEX(DATA_ASSET_CLASSIFICATION!$AB$8:$AB$13,MATCH($N3775,DATA_ASSET_CLASSIFICATION!$AA$8:$AA$13,0)),"Review"))</f>
        <v>Bucket 2 · Legacy</v>
      </c>
      <c r="P3775" s="350" t="str">
        <f>IF($B3775="Portfolio","Portfolio",IFERROR(INDEX(DATA_ASSET_CLASSIFICATION!$C$8:$C$24,MATCH($C3775,DATA_ASSET_CLASSIFICATION!$A$8:$A$24,0)),"Review"))</f>
        <v>Yes</v>
      </c>
      <c r="Q3775" s="350" t="str">
        <f t="shared" ca="1" si="117"/>
        <v>OK</v>
      </c>
    </row>
    <row r="3776" spans="1:17">
      <c r="A3776" s="366" t="s">
        <v>5732</v>
      </c>
      <c r="B3776" s="366" t="s">
        <v>231</v>
      </c>
      <c r="C3776" s="348" t="str">
        <f>DATA_PROPERTY_MASTER!$A$17</f>
        <v>BLD_RG</v>
      </c>
      <c r="D3776" s="380">
        <f>'00_PORTFOLIO ROLLUP'!E$12</f>
        <v>2025</v>
      </c>
      <c r="E3776" s="366" t="s">
        <v>1741</v>
      </c>
      <c r="F3776" s="366" t="s">
        <v>41</v>
      </c>
      <c r="G3776" s="348" t="str">
        <f>"'"&amp;$C3776&amp;"'!rows 56 + positive row 63"</f>
        <v>'BLD_RG'!rows 56 + positive row 63</v>
      </c>
      <c r="H3776" s="381">
        <f ca="1">IF(IFERROR(INDEX(DATA_PROPERTY_MASTER!$E$5:$E$21,MATCH($C3776,DATA_PROPERTY_MASTER!$A$5:$A$21,0))="Yes",FALSE),IFERROR(INDEX(INDIRECT("'"&amp;$C3776&amp;"'!$E$56:$Y$56"),1,MATCH($D3776,INDIRECT("'"&amp;$C3776&amp;"'!$E$12:$Y$12"),0)),0)+MAX(IFERROR(INDEX(INDIRECT("'"&amp;$C3776&amp;"'!$E$63:$Y$63"),1,MATCH($D3776,INDIRECT("'"&amp;$C3776&amp;"'!$E$12:$Y$12"),0)),0),0),0)</f>
        <v>-57637.715999999957</v>
      </c>
      <c r="I3776" s="366" t="s">
        <v>1685</v>
      </c>
      <c r="J3776" s="348" t="str">
        <f t="shared" ca="1" si="116"/>
        <v>OK</v>
      </c>
      <c r="K3776" s="366" t="s">
        <v>1742</v>
      </c>
      <c r="L3776" s="366" t="s">
        <v>2262</v>
      </c>
      <c r="M3776" s="350" t="str">
        <f>IF($B3776="Portfolio","Portfolio",IFERROR(INDEX(DATA_ASSET_CLASSIFICATION!$B$8:$B$24,MATCH($C3776,DATA_ASSET_CLASSIFICATION!$A$8:$A$24,0)),"Review"))</f>
        <v>Rosemary Green</v>
      </c>
      <c r="N3776" s="350" t="str">
        <f ca="1">IF($B3776="Portfolio","Portfolio",IFERROR(INDEX(DATA_ASSET_CLASSIFICATION!$U$8:$U$24,MATCH($C3776,DATA_ASSET_CLASSIFICATION!$A$8:$A$24,0)),"Review"))</f>
        <v>Refi Watch</v>
      </c>
      <c r="O3776" s="350" t="str">
        <f ca="1">IF($B3776="Portfolio","Portfolio",IFERROR(INDEX(DATA_ASSET_CLASSIFICATION!$AB$8:$AB$13,MATCH($N3776,DATA_ASSET_CLASSIFICATION!$AA$8:$AA$13,0)),"Review"))</f>
        <v>Bucket 2 · Legacy</v>
      </c>
      <c r="P3776" s="350" t="str">
        <f>IF($B3776="Portfolio","Portfolio",IFERROR(INDEX(DATA_ASSET_CLASSIFICATION!$C$8:$C$24,MATCH($C3776,DATA_ASSET_CLASSIFICATION!$A$8:$A$24,0)),"Review"))</f>
        <v>Yes</v>
      </c>
      <c r="Q3776" s="350" t="str">
        <f t="shared" ca="1" si="117"/>
        <v>OK</v>
      </c>
    </row>
    <row r="3777" spans="1:17">
      <c r="A3777" s="366" t="s">
        <v>5733</v>
      </c>
      <c r="B3777" s="366" t="s">
        <v>231</v>
      </c>
      <c r="C3777" s="348" t="str">
        <f>DATA_PROPERTY_MASTER!$A$17</f>
        <v>BLD_RG</v>
      </c>
      <c r="D3777" s="380">
        <f>'00_PORTFOLIO ROLLUP'!E$12</f>
        <v>2025</v>
      </c>
      <c r="E3777" s="366" t="s">
        <v>1741</v>
      </c>
      <c r="F3777" s="366" t="s">
        <v>43</v>
      </c>
      <c r="G3777" s="348" t="str">
        <f>"'"&amp;$C3777&amp;"'!$E$68:$Y$68"</f>
        <v>'BLD_RG'!$E$68:$Y$68</v>
      </c>
      <c r="H3777" s="381">
        <f ca="1">IF(IFERROR(INDEX(DATA_PROPERTY_MASTER!$E$5:$E$21,MATCH($C3777,DATA_PROPERTY_MASTER!$A$5:$A$21,0))="Yes",FALSE),IFERROR(INDEX(INDIRECT("'"&amp;$C3777&amp;"'!$E$68:$Y$68"),1,MATCH($D3777,INDIRECT("'"&amp;$C3777&amp;"'!$E$12:$Y$12"),0)),0),0)</f>
        <v>-57637.715999999957</v>
      </c>
      <c r="I3777" s="366" t="s">
        <v>1731</v>
      </c>
      <c r="J3777" s="348" t="str">
        <f t="shared" ca="1" si="116"/>
        <v>OK</v>
      </c>
      <c r="K3777" s="366" t="s">
        <v>1746</v>
      </c>
      <c r="L3777" s="366" t="s">
        <v>2264</v>
      </c>
      <c r="M3777" s="350" t="str">
        <f>IF($B3777="Portfolio","Portfolio",IFERROR(INDEX(DATA_ASSET_CLASSIFICATION!$B$8:$B$24,MATCH($C3777,DATA_ASSET_CLASSIFICATION!$A$8:$A$24,0)),"Review"))</f>
        <v>Rosemary Green</v>
      </c>
      <c r="N3777" s="350" t="str">
        <f ca="1">IF($B3777="Portfolio","Portfolio",IFERROR(INDEX(DATA_ASSET_CLASSIFICATION!$U$8:$U$24,MATCH($C3777,DATA_ASSET_CLASSIFICATION!$A$8:$A$24,0)),"Review"))</f>
        <v>Refi Watch</v>
      </c>
      <c r="O3777" s="350" t="str">
        <f ca="1">IF($B3777="Portfolio","Portfolio",IFERROR(INDEX(DATA_ASSET_CLASSIFICATION!$AB$8:$AB$13,MATCH($N3777,DATA_ASSET_CLASSIFICATION!$AA$8:$AA$13,0)),"Review"))</f>
        <v>Bucket 2 · Legacy</v>
      </c>
      <c r="P3777" s="350" t="str">
        <f>IF($B3777="Portfolio","Portfolio",IFERROR(INDEX(DATA_ASSET_CLASSIFICATION!$C$8:$C$24,MATCH($C3777,DATA_ASSET_CLASSIFICATION!$A$8:$A$24,0)),"Review"))</f>
        <v>Yes</v>
      </c>
      <c r="Q3777" s="350" t="str">
        <f t="shared" ca="1" si="117"/>
        <v>OK</v>
      </c>
    </row>
    <row r="3778" spans="1:17">
      <c r="A3778" s="366" t="s">
        <v>5734</v>
      </c>
      <c r="B3778" s="366" t="s">
        <v>231</v>
      </c>
      <c r="C3778" s="348" t="str">
        <f>DATA_PROPERTY_MASTER!$A$17</f>
        <v>BLD_RG</v>
      </c>
      <c r="D3778" s="380">
        <f>'00_PORTFOLIO ROLLUP'!E$12</f>
        <v>2025</v>
      </c>
      <c r="E3778" s="366" t="s">
        <v>1741</v>
      </c>
      <c r="F3778" s="366" t="s">
        <v>1749</v>
      </c>
      <c r="G3778" s="348" t="str">
        <f>"'"&amp;$C3778&amp;"'!rows 56, 63, 68"</f>
        <v>'BLD_RG'!rows 56, 63, 68</v>
      </c>
      <c r="H3778" s="381">
        <f ca="1">IF(IFERROR(INDEX(DATA_PROPERTY_MASTER!$E$5:$E$21,MATCH($C3778,DATA_PROPERTY_MASTER!$A$5:$A$21,0))="Yes",FALSE),(IFERROR(INDEX(INDIRECT("'"&amp;$C3778&amp;"'!$E$56:$Y$56"),1,MATCH($D3778,INDIRECT("'"&amp;$C3778&amp;"'!$E$12:$Y$12"),0)),0)+MAX(IFERROR(INDEX(INDIRECT("'"&amp;$C3778&amp;"'!$E$63:$Y$63"),1,MATCH($D3778,INDIRECT("'"&amp;$C3778&amp;"'!$E$12:$Y$12"),0)),0),0))-(IFERROR(INDEX(INDIRECT("'"&amp;$C3778&amp;"'!$E$68:$Y$68"),1,MATCH($D3778,INDIRECT("'"&amp;$C3778&amp;"'!$E$12:$Y$12"),0)),0)),0)</f>
        <v>0</v>
      </c>
      <c r="I3778" s="366" t="s">
        <v>1750</v>
      </c>
      <c r="J3778" s="348" t="str">
        <f t="shared" ca="1" si="116"/>
        <v>OK</v>
      </c>
      <c r="K3778" s="366" t="s">
        <v>1751</v>
      </c>
      <c r="L3778" s="366" t="s">
        <v>2266</v>
      </c>
      <c r="M3778" s="350" t="str">
        <f>IF($B3778="Portfolio","Portfolio",IFERROR(INDEX(DATA_ASSET_CLASSIFICATION!$B$8:$B$24,MATCH($C3778,DATA_ASSET_CLASSIFICATION!$A$8:$A$24,0)),"Review"))</f>
        <v>Rosemary Green</v>
      </c>
      <c r="N3778" s="350" t="str">
        <f ca="1">IF($B3778="Portfolio","Portfolio",IFERROR(INDEX(DATA_ASSET_CLASSIFICATION!$U$8:$U$24,MATCH($C3778,DATA_ASSET_CLASSIFICATION!$A$8:$A$24,0)),"Review"))</f>
        <v>Refi Watch</v>
      </c>
      <c r="O3778" s="350" t="str">
        <f ca="1">IF($B3778="Portfolio","Portfolio",IFERROR(INDEX(DATA_ASSET_CLASSIFICATION!$AB$8:$AB$13,MATCH($N3778,DATA_ASSET_CLASSIFICATION!$AA$8:$AA$13,0)),"Review"))</f>
        <v>Bucket 2 · Legacy</v>
      </c>
      <c r="P3778" s="350" t="str">
        <f>IF($B3778="Portfolio","Portfolio",IFERROR(INDEX(DATA_ASSET_CLASSIFICATION!$C$8:$C$24,MATCH($C3778,DATA_ASSET_CLASSIFICATION!$A$8:$A$24,0)),"Review"))</f>
        <v>Yes</v>
      </c>
      <c r="Q3778" s="350" t="str">
        <f t="shared" ca="1" si="117"/>
        <v>OK</v>
      </c>
    </row>
    <row r="3779" spans="1:17">
      <c r="A3779" s="366" t="s">
        <v>5735</v>
      </c>
      <c r="B3779" s="366" t="s">
        <v>231</v>
      </c>
      <c r="C3779" s="348" t="str">
        <f>DATA_PROPERTY_MASTER!$A$17</f>
        <v>BLD_RG</v>
      </c>
      <c r="D3779" s="380">
        <f>'00_PORTFOLIO ROLLUP'!F$12</f>
        <v>2026</v>
      </c>
      <c r="E3779" s="366" t="s">
        <v>1683</v>
      </c>
      <c r="F3779" s="366" t="s">
        <v>341</v>
      </c>
      <c r="G3779" s="348" t="str">
        <f>"'"&amp;$C3779&amp;"'!$E$24:$Y$24"</f>
        <v>'BLD_RG'!$E$24:$Y$24</v>
      </c>
      <c r="H3779" s="381">
        <f ca="1">IF(IFERROR(INDEX(DATA_PROPERTY_MASTER!$E$5:$E$21,MATCH($C3779,DATA_PROPERTY_MASTER!$A$5:$A$21,0))="Yes",FALSE),IFERROR(INDEX(INDIRECT("'"&amp;$C3779&amp;"'!$E$24:$Y$24"),1,MATCH($D3779,INDIRECT("'"&amp;$C3779&amp;"'!$E$12:$Y$12"),0)),0),0)</f>
        <v>458078.49528000009</v>
      </c>
      <c r="I3779" s="366" t="s">
        <v>1685</v>
      </c>
      <c r="J3779" s="348" t="str">
        <f t="shared" ca="1" si="116"/>
        <v>OK</v>
      </c>
      <c r="K3779" s="366" t="s">
        <v>1686</v>
      </c>
      <c r="L3779" s="366" t="s">
        <v>2234</v>
      </c>
      <c r="M3779" s="350" t="str">
        <f>IF($B3779="Portfolio","Portfolio",IFERROR(INDEX(DATA_ASSET_CLASSIFICATION!$B$8:$B$24,MATCH($C3779,DATA_ASSET_CLASSIFICATION!$A$8:$A$24,0)),"Review"))</f>
        <v>Rosemary Green</v>
      </c>
      <c r="N3779" s="350" t="str">
        <f ca="1">IF($B3779="Portfolio","Portfolio",IFERROR(INDEX(DATA_ASSET_CLASSIFICATION!$U$8:$U$24,MATCH($C3779,DATA_ASSET_CLASSIFICATION!$A$8:$A$24,0)),"Review"))</f>
        <v>Refi Watch</v>
      </c>
      <c r="O3779" s="350" t="str">
        <f ca="1">IF($B3779="Portfolio","Portfolio",IFERROR(INDEX(DATA_ASSET_CLASSIFICATION!$AB$8:$AB$13,MATCH($N3779,DATA_ASSET_CLASSIFICATION!$AA$8:$AA$13,0)),"Review"))</f>
        <v>Bucket 2 · Legacy</v>
      </c>
      <c r="P3779" s="350" t="str">
        <f>IF($B3779="Portfolio","Portfolio",IFERROR(INDEX(DATA_ASSET_CLASSIFICATION!$C$8:$C$24,MATCH($C3779,DATA_ASSET_CLASSIFICATION!$A$8:$A$24,0)),"Review"))</f>
        <v>Yes</v>
      </c>
      <c r="Q3779" s="350" t="str">
        <f t="shared" ca="1" si="117"/>
        <v>OK</v>
      </c>
    </row>
    <row r="3780" spans="1:17">
      <c r="A3780" s="366" t="s">
        <v>5736</v>
      </c>
      <c r="B3780" s="366" t="s">
        <v>231</v>
      </c>
      <c r="C3780" s="348" t="str">
        <f>DATA_PROPERTY_MASTER!$A$17</f>
        <v>BLD_RG</v>
      </c>
      <c r="D3780" s="380">
        <f>'00_PORTFOLIO ROLLUP'!F$12</f>
        <v>2026</v>
      </c>
      <c r="E3780" s="366" t="s">
        <v>1683</v>
      </c>
      <c r="F3780" s="366" t="s">
        <v>355</v>
      </c>
      <c r="G3780" s="348" t="str">
        <f>"'"&amp;$C3780&amp;"'!$E$39:$Y$39"</f>
        <v>'BLD_RG'!$E$39:$Y$39</v>
      </c>
      <c r="H3780" s="381">
        <f ca="1">IF(IFERROR(INDEX(DATA_PROPERTY_MASTER!$E$5:$E$21,MATCH($C3780,DATA_PROPERTY_MASTER!$A$5:$A$21,0))="Yes",FALSE),IFERROR(INDEX(INDIRECT("'"&amp;$C3780&amp;"'!$E$39:$Y$39"),1,MATCH($D3780,INDIRECT("'"&amp;$C3780&amp;"'!$E$12:$Y$12"),0)),0),0)</f>
        <v>224211.52000000002</v>
      </c>
      <c r="I3780" s="366" t="s">
        <v>1690</v>
      </c>
      <c r="J3780" s="348" t="str">
        <f t="shared" ca="1" si="116"/>
        <v>OK</v>
      </c>
      <c r="K3780" s="366" t="s">
        <v>1686</v>
      </c>
      <c r="L3780" s="366" t="s">
        <v>2236</v>
      </c>
      <c r="M3780" s="350" t="str">
        <f>IF($B3780="Portfolio","Portfolio",IFERROR(INDEX(DATA_ASSET_CLASSIFICATION!$B$8:$B$24,MATCH($C3780,DATA_ASSET_CLASSIFICATION!$A$8:$A$24,0)),"Review"))</f>
        <v>Rosemary Green</v>
      </c>
      <c r="N3780" s="350" t="str">
        <f ca="1">IF($B3780="Portfolio","Portfolio",IFERROR(INDEX(DATA_ASSET_CLASSIFICATION!$U$8:$U$24,MATCH($C3780,DATA_ASSET_CLASSIFICATION!$A$8:$A$24,0)),"Review"))</f>
        <v>Refi Watch</v>
      </c>
      <c r="O3780" s="350" t="str">
        <f ca="1">IF($B3780="Portfolio","Portfolio",IFERROR(INDEX(DATA_ASSET_CLASSIFICATION!$AB$8:$AB$13,MATCH($N3780,DATA_ASSET_CLASSIFICATION!$AA$8:$AA$13,0)),"Review"))</f>
        <v>Bucket 2 · Legacy</v>
      </c>
      <c r="P3780" s="350" t="str">
        <f>IF($B3780="Portfolio","Portfolio",IFERROR(INDEX(DATA_ASSET_CLASSIFICATION!$C$8:$C$24,MATCH($C3780,DATA_ASSET_CLASSIFICATION!$A$8:$A$24,0)),"Review"))</f>
        <v>Yes</v>
      </c>
      <c r="Q3780" s="350" t="str">
        <f t="shared" ca="1" si="117"/>
        <v>OK</v>
      </c>
    </row>
    <row r="3781" spans="1:17">
      <c r="A3781" s="366" t="s">
        <v>5737</v>
      </c>
      <c r="B3781" s="366" t="s">
        <v>231</v>
      </c>
      <c r="C3781" s="348" t="str">
        <f>DATA_PROPERTY_MASTER!$A$17</f>
        <v>BLD_RG</v>
      </c>
      <c r="D3781" s="380">
        <f>'00_PORTFOLIO ROLLUP'!F$12</f>
        <v>2026</v>
      </c>
      <c r="E3781" s="366" t="s">
        <v>1683</v>
      </c>
      <c r="F3781" s="366" t="s">
        <v>19</v>
      </c>
      <c r="G3781" s="348" t="str">
        <f>"'"&amp;$C3781&amp;"'!$E$41:$Y$41"</f>
        <v>'BLD_RG'!$E$41:$Y$41</v>
      </c>
      <c r="H3781" s="381">
        <f ca="1">IF(IFERROR(INDEX(DATA_PROPERTY_MASTER!$E$5:$E$21,MATCH($C3781,DATA_PROPERTY_MASTER!$A$5:$A$21,0))="Yes",FALSE),IFERROR(INDEX(INDIRECT("'"&amp;$C3781&amp;"'!$E$41:$Y$41"),1,MATCH($D3781,INDIRECT("'"&amp;$C3781&amp;"'!$E$12:$Y$12"),0)),0),0)</f>
        <v>233866.97528000007</v>
      </c>
      <c r="I3781" s="366" t="s">
        <v>1685</v>
      </c>
      <c r="J3781" s="348" t="str">
        <f t="shared" ref="J3781:J3844" ca="1" si="118">IF($F3781="Residual Funding Gap",IF($H3781&gt;0,"Funding Gap","OK"),IF(AND($F3781="Net Refinance Position",$H3781&lt;0),"Negative net refi position","OK"))</f>
        <v>OK</v>
      </c>
      <c r="K3781" s="366" t="s">
        <v>1694</v>
      </c>
      <c r="L3781" s="366" t="s">
        <v>2238</v>
      </c>
      <c r="M3781" s="350" t="str">
        <f>IF($B3781="Portfolio","Portfolio",IFERROR(INDEX(DATA_ASSET_CLASSIFICATION!$B$8:$B$24,MATCH($C3781,DATA_ASSET_CLASSIFICATION!$A$8:$A$24,0)),"Review"))</f>
        <v>Rosemary Green</v>
      </c>
      <c r="N3781" s="350" t="str">
        <f ca="1">IF($B3781="Portfolio","Portfolio",IFERROR(INDEX(DATA_ASSET_CLASSIFICATION!$U$8:$U$24,MATCH($C3781,DATA_ASSET_CLASSIFICATION!$A$8:$A$24,0)),"Review"))</f>
        <v>Refi Watch</v>
      </c>
      <c r="O3781" s="350" t="str">
        <f ca="1">IF($B3781="Portfolio","Portfolio",IFERROR(INDEX(DATA_ASSET_CLASSIFICATION!$AB$8:$AB$13,MATCH($N3781,DATA_ASSET_CLASSIFICATION!$AA$8:$AA$13,0)),"Review"))</f>
        <v>Bucket 2 · Legacy</v>
      </c>
      <c r="P3781" s="350" t="str">
        <f>IF($B3781="Portfolio","Portfolio",IFERROR(INDEX(DATA_ASSET_CLASSIFICATION!$C$8:$C$24,MATCH($C3781,DATA_ASSET_CLASSIFICATION!$A$8:$A$24,0)),"Review"))</f>
        <v>Yes</v>
      </c>
      <c r="Q3781" s="350" t="str">
        <f t="shared" ref="Q3781:Q3844" ca="1" si="119">IF(AND($B3781="Property",$F3781="Residual Funding Gap",$H3781&gt;0),"Property Funding Gap",IF($J3781&lt;&gt;"OK",$J3781,"OK"))</f>
        <v>OK</v>
      </c>
    </row>
    <row r="3782" spans="1:17">
      <c r="A3782" s="366" t="s">
        <v>5738</v>
      </c>
      <c r="B3782" s="366" t="s">
        <v>231</v>
      </c>
      <c r="C3782" s="348" t="str">
        <f>DATA_PROPERTY_MASTER!$A$17</f>
        <v>BLD_RG</v>
      </c>
      <c r="D3782" s="380">
        <f>'00_PORTFOLIO ROLLUP'!F$12</f>
        <v>2026</v>
      </c>
      <c r="E3782" s="366" t="s">
        <v>1683</v>
      </c>
      <c r="F3782" s="366" t="s">
        <v>1697</v>
      </c>
      <c r="G3782" s="348" t="str">
        <f>"'"&amp;$C3782&amp;"'!$E$44:$Y$44"</f>
        <v>'BLD_RG'!$E$44:$Y$44</v>
      </c>
      <c r="H3782" s="381">
        <f ca="1">IF(IFERROR(INDEX(DATA_PROPERTY_MASTER!$E$5:$E$21,MATCH($C3782,DATA_PROPERTY_MASTER!$A$5:$A$21,0))="Yes",FALSE),IFERROR(INDEX(INDIRECT("'"&amp;$C3782&amp;"'!$E$44:$Y$44"),1,MATCH($D3782,INDIRECT("'"&amp;$C3782&amp;"'!$E$12:$Y$12"),0)),0),0)</f>
        <v>5814</v>
      </c>
      <c r="I3782" s="366" t="s">
        <v>1690</v>
      </c>
      <c r="J3782" s="348" t="str">
        <f t="shared" ca="1" si="118"/>
        <v>OK</v>
      </c>
      <c r="K3782" s="366" t="s">
        <v>1699</v>
      </c>
      <c r="L3782" s="366" t="s">
        <v>2240</v>
      </c>
      <c r="M3782" s="350" t="str">
        <f>IF($B3782="Portfolio","Portfolio",IFERROR(INDEX(DATA_ASSET_CLASSIFICATION!$B$8:$B$24,MATCH($C3782,DATA_ASSET_CLASSIFICATION!$A$8:$A$24,0)),"Review"))</f>
        <v>Rosemary Green</v>
      </c>
      <c r="N3782" s="350" t="str">
        <f ca="1">IF($B3782="Portfolio","Portfolio",IFERROR(INDEX(DATA_ASSET_CLASSIFICATION!$U$8:$U$24,MATCH($C3782,DATA_ASSET_CLASSIFICATION!$A$8:$A$24,0)),"Review"))</f>
        <v>Refi Watch</v>
      </c>
      <c r="O3782" s="350" t="str">
        <f ca="1">IF($B3782="Portfolio","Portfolio",IFERROR(INDEX(DATA_ASSET_CLASSIFICATION!$AB$8:$AB$13,MATCH($N3782,DATA_ASSET_CLASSIFICATION!$AA$8:$AA$13,0)),"Review"))</f>
        <v>Bucket 2 · Legacy</v>
      </c>
      <c r="P3782" s="350" t="str">
        <f>IF($B3782="Portfolio","Portfolio",IFERROR(INDEX(DATA_ASSET_CLASSIFICATION!$C$8:$C$24,MATCH($C3782,DATA_ASSET_CLASSIFICATION!$A$8:$A$24,0)),"Review"))</f>
        <v>Yes</v>
      </c>
      <c r="Q3782" s="350" t="str">
        <f t="shared" ca="1" si="119"/>
        <v>OK</v>
      </c>
    </row>
    <row r="3783" spans="1:17">
      <c r="A3783" s="366" t="s">
        <v>5739</v>
      </c>
      <c r="B3783" s="366" t="s">
        <v>231</v>
      </c>
      <c r="C3783" s="348" t="str">
        <f>DATA_PROPERTY_MASTER!$A$17</f>
        <v>BLD_RG</v>
      </c>
      <c r="D3783" s="380">
        <f>'00_PORTFOLIO ROLLUP'!F$12</f>
        <v>2026</v>
      </c>
      <c r="E3783" s="366" t="s">
        <v>1683</v>
      </c>
      <c r="F3783" s="366" t="s">
        <v>21</v>
      </c>
      <c r="G3783" s="348" t="str">
        <f>"'"&amp;$C3783&amp;"'!$E$45:$Y$45"</f>
        <v>'BLD_RG'!$E$45:$Y$45</v>
      </c>
      <c r="H3783" s="381">
        <f ca="1">IF(IFERROR(INDEX(DATA_PROPERTY_MASTER!$E$5:$E$21,MATCH($C3783,DATA_PROPERTY_MASTER!$A$5:$A$21,0))="Yes",FALSE),IFERROR(INDEX(INDIRECT("'"&amp;$C3783&amp;"'!$E$45:$Y$45"),1,MATCH($D3783,INDIRECT("'"&amp;$C3783&amp;"'!$E$12:$Y$12"),0)),0),0)</f>
        <v>228052.97528000007</v>
      </c>
      <c r="I3783" s="366" t="s">
        <v>1685</v>
      </c>
      <c r="J3783" s="348" t="str">
        <f t="shared" ca="1" si="118"/>
        <v>OK</v>
      </c>
      <c r="K3783" s="366" t="s">
        <v>1694</v>
      </c>
      <c r="L3783" s="366" t="s">
        <v>2242</v>
      </c>
      <c r="M3783" s="350" t="str">
        <f>IF($B3783="Portfolio","Portfolio",IFERROR(INDEX(DATA_ASSET_CLASSIFICATION!$B$8:$B$24,MATCH($C3783,DATA_ASSET_CLASSIFICATION!$A$8:$A$24,0)),"Review"))</f>
        <v>Rosemary Green</v>
      </c>
      <c r="N3783" s="350" t="str">
        <f ca="1">IF($B3783="Portfolio","Portfolio",IFERROR(INDEX(DATA_ASSET_CLASSIFICATION!$U$8:$U$24,MATCH($C3783,DATA_ASSET_CLASSIFICATION!$A$8:$A$24,0)),"Review"))</f>
        <v>Refi Watch</v>
      </c>
      <c r="O3783" s="350" t="str">
        <f ca="1">IF($B3783="Portfolio","Portfolio",IFERROR(INDEX(DATA_ASSET_CLASSIFICATION!$AB$8:$AB$13,MATCH($N3783,DATA_ASSET_CLASSIFICATION!$AA$8:$AA$13,0)),"Review"))</f>
        <v>Bucket 2 · Legacy</v>
      </c>
      <c r="P3783" s="350" t="str">
        <f>IF($B3783="Portfolio","Portfolio",IFERROR(INDEX(DATA_ASSET_CLASSIFICATION!$C$8:$C$24,MATCH($C3783,DATA_ASSET_CLASSIFICATION!$A$8:$A$24,0)),"Review"))</f>
        <v>Yes</v>
      </c>
      <c r="Q3783" s="350" t="str">
        <f t="shared" ca="1" si="119"/>
        <v>OK</v>
      </c>
    </row>
    <row r="3784" spans="1:17">
      <c r="A3784" s="366" t="s">
        <v>5740</v>
      </c>
      <c r="B3784" s="366" t="s">
        <v>231</v>
      </c>
      <c r="C3784" s="348" t="str">
        <f>DATA_PROPERTY_MASTER!$A$17</f>
        <v>BLD_RG</v>
      </c>
      <c r="D3784" s="380">
        <f>'00_PORTFOLIO ROLLUP'!F$12</f>
        <v>2026</v>
      </c>
      <c r="E3784" s="366" t="s">
        <v>23</v>
      </c>
      <c r="F3784" s="366" t="s">
        <v>23</v>
      </c>
      <c r="G3784" s="348" t="str">
        <f>"'"&amp;$C3784&amp;"'!$E$48:$Y$48"</f>
        <v>'BLD_RG'!$E$48:$Y$48</v>
      </c>
      <c r="H3784" s="381">
        <f ca="1">IF(IFERROR(INDEX(DATA_PROPERTY_MASTER!$E$5:$E$21,MATCH($C3784,DATA_PROPERTY_MASTER!$A$5:$A$21,0))="Yes",FALSE),IFERROR(INDEX(INDIRECT("'"&amp;$C3784&amp;"'!$E$48:$Y$48"),1,MATCH($D3784,INDIRECT("'"&amp;$C3784&amp;"'!$E$12:$Y$12"),0)),0),0)</f>
        <v>291146.28000000003</v>
      </c>
      <c r="I3784" s="366" t="s">
        <v>1690</v>
      </c>
      <c r="J3784" s="348" t="str">
        <f t="shared" ca="1" si="118"/>
        <v>OK</v>
      </c>
      <c r="K3784" s="366" t="s">
        <v>1706</v>
      </c>
      <c r="L3784" s="366" t="s">
        <v>2244</v>
      </c>
      <c r="M3784" s="350" t="str">
        <f>IF($B3784="Portfolio","Portfolio",IFERROR(INDEX(DATA_ASSET_CLASSIFICATION!$B$8:$B$24,MATCH($C3784,DATA_ASSET_CLASSIFICATION!$A$8:$A$24,0)),"Review"))</f>
        <v>Rosemary Green</v>
      </c>
      <c r="N3784" s="350" t="str">
        <f ca="1">IF($B3784="Portfolio","Portfolio",IFERROR(INDEX(DATA_ASSET_CLASSIFICATION!$U$8:$U$24,MATCH($C3784,DATA_ASSET_CLASSIFICATION!$A$8:$A$24,0)),"Review"))</f>
        <v>Refi Watch</v>
      </c>
      <c r="O3784" s="350" t="str">
        <f ca="1">IF($B3784="Portfolio","Portfolio",IFERROR(INDEX(DATA_ASSET_CLASSIFICATION!$AB$8:$AB$13,MATCH($N3784,DATA_ASSET_CLASSIFICATION!$AA$8:$AA$13,0)),"Review"))</f>
        <v>Bucket 2 · Legacy</v>
      </c>
      <c r="P3784" s="350" t="str">
        <f>IF($B3784="Portfolio","Portfolio",IFERROR(INDEX(DATA_ASSET_CLASSIFICATION!$C$8:$C$24,MATCH($C3784,DATA_ASSET_CLASSIFICATION!$A$8:$A$24,0)),"Review"))</f>
        <v>Yes</v>
      </c>
      <c r="Q3784" s="350" t="str">
        <f t="shared" ca="1" si="119"/>
        <v>OK</v>
      </c>
    </row>
    <row r="3785" spans="1:17">
      <c r="A3785" s="366" t="s">
        <v>5741</v>
      </c>
      <c r="B3785" s="366" t="s">
        <v>231</v>
      </c>
      <c r="C3785" s="348" t="str">
        <f>DATA_PROPERTY_MASTER!$A$17</f>
        <v>BLD_RG</v>
      </c>
      <c r="D3785" s="380">
        <f>'00_PORTFOLIO ROLLUP'!F$12</f>
        <v>2026</v>
      </c>
      <c r="E3785" s="366" t="s">
        <v>1683</v>
      </c>
      <c r="F3785" s="366" t="s">
        <v>25</v>
      </c>
      <c r="G3785" s="348" t="str">
        <f>"'"&amp;$C3785&amp;"'!$E$52:$Y$52"</f>
        <v>'BLD_RG'!$E$52:$Y$52</v>
      </c>
      <c r="H3785" s="381">
        <f ca="1">IF(IFERROR(INDEX(DATA_PROPERTY_MASTER!$E$5:$E$21,MATCH($C3785,DATA_PROPERTY_MASTER!$A$5:$A$21,0))="Yes",FALSE),IFERROR(INDEX(INDIRECT("'"&amp;$C3785&amp;"'!$E$52:$Y$52"),1,MATCH($D3785,INDIRECT("'"&amp;$C3785&amp;"'!$E$12:$Y$12"),0)),0),0)</f>
        <v>-57279.304719999956</v>
      </c>
      <c r="I3785" s="366" t="s">
        <v>1685</v>
      </c>
      <c r="J3785" s="348" t="str">
        <f t="shared" ca="1" si="118"/>
        <v>OK</v>
      </c>
      <c r="K3785" s="366" t="s">
        <v>1710</v>
      </c>
      <c r="L3785" s="366" t="s">
        <v>2246</v>
      </c>
      <c r="M3785" s="350" t="str">
        <f>IF($B3785="Portfolio","Portfolio",IFERROR(INDEX(DATA_ASSET_CLASSIFICATION!$B$8:$B$24,MATCH($C3785,DATA_ASSET_CLASSIFICATION!$A$8:$A$24,0)),"Review"))</f>
        <v>Rosemary Green</v>
      </c>
      <c r="N3785" s="350" t="str">
        <f ca="1">IF($B3785="Portfolio","Portfolio",IFERROR(INDEX(DATA_ASSET_CLASSIFICATION!$U$8:$U$24,MATCH($C3785,DATA_ASSET_CLASSIFICATION!$A$8:$A$24,0)),"Review"))</f>
        <v>Refi Watch</v>
      </c>
      <c r="O3785" s="350" t="str">
        <f ca="1">IF($B3785="Portfolio","Portfolio",IFERROR(INDEX(DATA_ASSET_CLASSIFICATION!$AB$8:$AB$13,MATCH($N3785,DATA_ASSET_CLASSIFICATION!$AA$8:$AA$13,0)),"Review"))</f>
        <v>Bucket 2 · Legacy</v>
      </c>
      <c r="P3785" s="350" t="str">
        <f>IF($B3785="Portfolio","Portfolio",IFERROR(INDEX(DATA_ASSET_CLASSIFICATION!$C$8:$C$24,MATCH($C3785,DATA_ASSET_CLASSIFICATION!$A$8:$A$24,0)),"Review"))</f>
        <v>Yes</v>
      </c>
      <c r="Q3785" s="350" t="str">
        <f t="shared" ca="1" si="119"/>
        <v>OK</v>
      </c>
    </row>
    <row r="3786" spans="1:17">
      <c r="A3786" s="366" t="s">
        <v>5742</v>
      </c>
      <c r="B3786" s="366" t="s">
        <v>231</v>
      </c>
      <c r="C3786" s="348" t="str">
        <f>DATA_PROPERTY_MASTER!$A$17</f>
        <v>BLD_RG</v>
      </c>
      <c r="D3786" s="380">
        <f>'00_PORTFOLIO ROLLUP'!F$12</f>
        <v>2026</v>
      </c>
      <c r="E3786" s="366" t="s">
        <v>1683</v>
      </c>
      <c r="F3786" s="366" t="s">
        <v>27</v>
      </c>
      <c r="G3786" s="348" t="str">
        <f>"'"&amp;$C3786&amp;"'!$E$54:$Y$54"</f>
        <v>'BLD_RG'!$E$54:$Y$54</v>
      </c>
      <c r="H3786" s="381">
        <f ca="1">IF(IFERROR(INDEX(DATA_PROPERTY_MASTER!$E$5:$E$21,MATCH($C3786,DATA_PROPERTY_MASTER!$A$5:$A$21,0))="Yes",FALSE),IFERROR(INDEX(INDIRECT("'"&amp;$C3786&amp;"'!$E$54:$Y$54"),1,MATCH($D3786,INDIRECT("'"&amp;$C3786&amp;"'!$E$12:$Y$12"),0)),0),0)</f>
        <v>0</v>
      </c>
      <c r="I3786" s="366" t="s">
        <v>1690</v>
      </c>
      <c r="J3786" s="348" t="str">
        <f t="shared" ca="1" si="118"/>
        <v>OK</v>
      </c>
      <c r="K3786" s="366" t="s">
        <v>1714</v>
      </c>
      <c r="L3786" s="366" t="s">
        <v>2248</v>
      </c>
      <c r="M3786" s="350" t="str">
        <f>IF($B3786="Portfolio","Portfolio",IFERROR(INDEX(DATA_ASSET_CLASSIFICATION!$B$8:$B$24,MATCH($C3786,DATA_ASSET_CLASSIFICATION!$A$8:$A$24,0)),"Review"))</f>
        <v>Rosemary Green</v>
      </c>
      <c r="N3786" s="350" t="str">
        <f ca="1">IF($B3786="Portfolio","Portfolio",IFERROR(INDEX(DATA_ASSET_CLASSIFICATION!$U$8:$U$24,MATCH($C3786,DATA_ASSET_CLASSIFICATION!$A$8:$A$24,0)),"Review"))</f>
        <v>Refi Watch</v>
      </c>
      <c r="O3786" s="350" t="str">
        <f ca="1">IF($B3786="Portfolio","Portfolio",IFERROR(INDEX(DATA_ASSET_CLASSIFICATION!$AB$8:$AB$13,MATCH($N3786,DATA_ASSET_CLASSIFICATION!$AA$8:$AA$13,0)),"Review"))</f>
        <v>Bucket 2 · Legacy</v>
      </c>
      <c r="P3786" s="350" t="str">
        <f>IF($B3786="Portfolio","Portfolio",IFERROR(INDEX(DATA_ASSET_CLASSIFICATION!$C$8:$C$24,MATCH($C3786,DATA_ASSET_CLASSIFICATION!$A$8:$A$24,0)),"Review"))</f>
        <v>Yes</v>
      </c>
      <c r="Q3786" s="350" t="str">
        <f t="shared" ca="1" si="119"/>
        <v>OK</v>
      </c>
    </row>
    <row r="3787" spans="1:17">
      <c r="A3787" s="366" t="s">
        <v>5743</v>
      </c>
      <c r="B3787" s="366" t="s">
        <v>231</v>
      </c>
      <c r="C3787" s="348" t="str">
        <f>DATA_PROPERTY_MASTER!$A$17</f>
        <v>BLD_RG</v>
      </c>
      <c r="D3787" s="380">
        <f>'00_PORTFOLIO ROLLUP'!F$12</f>
        <v>2026</v>
      </c>
      <c r="E3787" s="366" t="s">
        <v>1683</v>
      </c>
      <c r="F3787" s="366" t="s">
        <v>29</v>
      </c>
      <c r="G3787" s="348" t="str">
        <f>"'"&amp;$C3787&amp;"'!$E$56:$Y$56"</f>
        <v>'BLD_RG'!$E$56:$Y$56</v>
      </c>
      <c r="H3787" s="381">
        <f ca="1">IF(IFERROR(INDEX(DATA_PROPERTY_MASTER!$E$5:$E$21,MATCH($C3787,DATA_PROPERTY_MASTER!$A$5:$A$21,0))="Yes",FALSE),IFERROR(INDEX(INDIRECT("'"&amp;$C3787&amp;"'!$E$56:$Y$56"),1,MATCH($D3787,INDIRECT("'"&amp;$C3787&amp;"'!$E$12:$Y$12"),0)),0),0)</f>
        <v>-57279.304719999956</v>
      </c>
      <c r="I3787" s="366" t="s">
        <v>1685</v>
      </c>
      <c r="J3787" s="348" t="str">
        <f t="shared" ca="1" si="118"/>
        <v>OK</v>
      </c>
      <c r="K3787" s="366" t="s">
        <v>1718</v>
      </c>
      <c r="L3787" s="366" t="s">
        <v>2250</v>
      </c>
      <c r="M3787" s="350" t="str">
        <f>IF($B3787="Portfolio","Portfolio",IFERROR(INDEX(DATA_ASSET_CLASSIFICATION!$B$8:$B$24,MATCH($C3787,DATA_ASSET_CLASSIFICATION!$A$8:$A$24,0)),"Review"))</f>
        <v>Rosemary Green</v>
      </c>
      <c r="N3787" s="350" t="str">
        <f ca="1">IF($B3787="Portfolio","Portfolio",IFERROR(INDEX(DATA_ASSET_CLASSIFICATION!$U$8:$U$24,MATCH($C3787,DATA_ASSET_CLASSIFICATION!$A$8:$A$24,0)),"Review"))</f>
        <v>Refi Watch</v>
      </c>
      <c r="O3787" s="350" t="str">
        <f ca="1">IF($B3787="Portfolio","Portfolio",IFERROR(INDEX(DATA_ASSET_CLASSIFICATION!$AB$8:$AB$13,MATCH($N3787,DATA_ASSET_CLASSIFICATION!$AA$8:$AA$13,0)),"Review"))</f>
        <v>Bucket 2 · Legacy</v>
      </c>
      <c r="P3787" s="350" t="str">
        <f>IF($B3787="Portfolio","Portfolio",IFERROR(INDEX(DATA_ASSET_CLASSIFICATION!$C$8:$C$24,MATCH($C3787,DATA_ASSET_CLASSIFICATION!$A$8:$A$24,0)),"Review"))</f>
        <v>Yes</v>
      </c>
      <c r="Q3787" s="350" t="str">
        <f t="shared" ca="1" si="119"/>
        <v>OK</v>
      </c>
    </row>
    <row r="3788" spans="1:17">
      <c r="A3788" s="366" t="s">
        <v>5744</v>
      </c>
      <c r="B3788" s="366" t="s">
        <v>231</v>
      </c>
      <c r="C3788" s="348" t="str">
        <f>DATA_PROPERTY_MASTER!$A$17</f>
        <v>BLD_RG</v>
      </c>
      <c r="D3788" s="380">
        <f>'00_PORTFOLIO ROLLUP'!F$12</f>
        <v>2026</v>
      </c>
      <c r="E3788" s="366" t="s">
        <v>1721</v>
      </c>
      <c r="F3788" s="366" t="s">
        <v>31</v>
      </c>
      <c r="G3788" s="348" t="str">
        <f>"'"&amp;$C3788&amp;"'!$E$61:$Y$61"</f>
        <v>'BLD_RG'!$E$61:$Y$61</v>
      </c>
      <c r="H3788" s="381">
        <f ca="1">IF(IFERROR(INDEX(DATA_PROPERTY_MASTER!$E$5:$E$21,MATCH($C3788,DATA_PROPERTY_MASTER!$A$5:$A$21,0))="Yes",FALSE),IFERROR(INDEX(INDIRECT("'"&amp;$C3788&amp;"'!$E$61:$Y$61"),1,MATCH($D3788,INDIRECT("'"&amp;$C3788&amp;"'!$E$12:$Y$12"),0)),0),0)</f>
        <v>0</v>
      </c>
      <c r="I3788" s="366" t="s">
        <v>1690</v>
      </c>
      <c r="J3788" s="348" t="str">
        <f t="shared" ca="1" si="118"/>
        <v>OK</v>
      </c>
      <c r="K3788" s="366" t="s">
        <v>1723</v>
      </c>
      <c r="L3788" s="366" t="s">
        <v>2252</v>
      </c>
      <c r="M3788" s="350" t="str">
        <f>IF($B3788="Portfolio","Portfolio",IFERROR(INDEX(DATA_ASSET_CLASSIFICATION!$B$8:$B$24,MATCH($C3788,DATA_ASSET_CLASSIFICATION!$A$8:$A$24,0)),"Review"))</f>
        <v>Rosemary Green</v>
      </c>
      <c r="N3788" s="350" t="str">
        <f ca="1">IF($B3788="Portfolio","Portfolio",IFERROR(INDEX(DATA_ASSET_CLASSIFICATION!$U$8:$U$24,MATCH($C3788,DATA_ASSET_CLASSIFICATION!$A$8:$A$24,0)),"Review"))</f>
        <v>Refi Watch</v>
      </c>
      <c r="O3788" s="350" t="str">
        <f ca="1">IF($B3788="Portfolio","Portfolio",IFERROR(INDEX(DATA_ASSET_CLASSIFICATION!$AB$8:$AB$13,MATCH($N3788,DATA_ASSET_CLASSIFICATION!$AA$8:$AA$13,0)),"Review"))</f>
        <v>Bucket 2 · Legacy</v>
      </c>
      <c r="P3788" s="350" t="str">
        <f>IF($B3788="Portfolio","Portfolio",IFERROR(INDEX(DATA_ASSET_CLASSIFICATION!$C$8:$C$24,MATCH($C3788,DATA_ASSET_CLASSIFICATION!$A$8:$A$24,0)),"Review"))</f>
        <v>Yes</v>
      </c>
      <c r="Q3788" s="350" t="str">
        <f t="shared" ca="1" si="119"/>
        <v>OK</v>
      </c>
    </row>
    <row r="3789" spans="1:17">
      <c r="A3789" s="366" t="s">
        <v>5745</v>
      </c>
      <c r="B3789" s="366" t="s">
        <v>231</v>
      </c>
      <c r="C3789" s="348" t="str">
        <f>DATA_PROPERTY_MASTER!$A$17</f>
        <v>BLD_RG</v>
      </c>
      <c r="D3789" s="380">
        <f>'00_PORTFOLIO ROLLUP'!F$12</f>
        <v>2026</v>
      </c>
      <c r="E3789" s="366" t="s">
        <v>1721</v>
      </c>
      <c r="F3789" s="366" t="s">
        <v>33</v>
      </c>
      <c r="G3789" s="348" t="str">
        <f>"'"&amp;$C3789&amp;"'!$E$62:$Y$62"</f>
        <v>'BLD_RG'!$E$62:$Y$62</v>
      </c>
      <c r="H3789" s="381">
        <f ca="1">IF(IFERROR(INDEX(DATA_PROPERTY_MASTER!$E$5:$E$21,MATCH($C3789,DATA_PROPERTY_MASTER!$A$5:$A$21,0))="Yes",FALSE),IFERROR(INDEX(INDIRECT("'"&amp;$C3789&amp;"'!$E$62:$Y$62"),1,MATCH($D3789,INDIRECT("'"&amp;$C3789&amp;"'!$E$12:$Y$12"),0)),0),0)</f>
        <v>0</v>
      </c>
      <c r="I3789" s="366" t="s">
        <v>1685</v>
      </c>
      <c r="J3789" s="348" t="str">
        <f t="shared" ca="1" si="118"/>
        <v>OK</v>
      </c>
      <c r="K3789" s="366" t="s">
        <v>1727</v>
      </c>
      <c r="L3789" s="366" t="s">
        <v>2254</v>
      </c>
      <c r="M3789" s="350" t="str">
        <f>IF($B3789="Portfolio","Portfolio",IFERROR(INDEX(DATA_ASSET_CLASSIFICATION!$B$8:$B$24,MATCH($C3789,DATA_ASSET_CLASSIFICATION!$A$8:$A$24,0)),"Review"))</f>
        <v>Rosemary Green</v>
      </c>
      <c r="N3789" s="350" t="str">
        <f ca="1">IF($B3789="Portfolio","Portfolio",IFERROR(INDEX(DATA_ASSET_CLASSIFICATION!$U$8:$U$24,MATCH($C3789,DATA_ASSET_CLASSIFICATION!$A$8:$A$24,0)),"Review"))</f>
        <v>Refi Watch</v>
      </c>
      <c r="O3789" s="350" t="str">
        <f ca="1">IF($B3789="Portfolio","Portfolio",IFERROR(INDEX(DATA_ASSET_CLASSIFICATION!$AB$8:$AB$13,MATCH($N3789,DATA_ASSET_CLASSIFICATION!$AA$8:$AA$13,0)),"Review"))</f>
        <v>Bucket 2 · Legacy</v>
      </c>
      <c r="P3789" s="350" t="str">
        <f>IF($B3789="Portfolio","Portfolio",IFERROR(INDEX(DATA_ASSET_CLASSIFICATION!$C$8:$C$24,MATCH($C3789,DATA_ASSET_CLASSIFICATION!$A$8:$A$24,0)),"Review"))</f>
        <v>Yes</v>
      </c>
      <c r="Q3789" s="350" t="str">
        <f t="shared" ca="1" si="119"/>
        <v>OK</v>
      </c>
    </row>
    <row r="3790" spans="1:17">
      <c r="A3790" s="366" t="s">
        <v>5746</v>
      </c>
      <c r="B3790" s="366" t="s">
        <v>231</v>
      </c>
      <c r="C3790" s="348" t="str">
        <f>DATA_PROPERTY_MASTER!$A$17</f>
        <v>BLD_RG</v>
      </c>
      <c r="D3790" s="380">
        <f>'00_PORTFOLIO ROLLUP'!F$12</f>
        <v>2026</v>
      </c>
      <c r="E3790" s="366" t="s">
        <v>1721</v>
      </c>
      <c r="F3790" s="366" t="s">
        <v>35</v>
      </c>
      <c r="G3790" s="348" t="str">
        <f>"'"&amp;$C3790&amp;"'!$E$63:$Y$63"</f>
        <v>'BLD_RG'!$E$63:$Y$63</v>
      </c>
      <c r="H3790" s="381">
        <f ca="1">IF(IFERROR(INDEX(DATA_PROPERTY_MASTER!$E$5:$E$21,MATCH($C3790,DATA_PROPERTY_MASTER!$A$5:$A$21,0))="Yes",FALSE),IFERROR(INDEX(INDIRECT("'"&amp;$C3790&amp;"'!$E$63:$Y$63"),1,MATCH($D3790,INDIRECT("'"&amp;$C3790&amp;"'!$E$12:$Y$12"),0)),0),0)</f>
        <v>0</v>
      </c>
      <c r="I3790" s="366" t="s">
        <v>1731</v>
      </c>
      <c r="J3790" s="348" t="str">
        <f t="shared" ca="1" si="118"/>
        <v>OK</v>
      </c>
      <c r="K3790" s="366" t="s">
        <v>1732</v>
      </c>
      <c r="L3790" s="366" t="s">
        <v>2256</v>
      </c>
      <c r="M3790" s="350" t="str">
        <f>IF($B3790="Portfolio","Portfolio",IFERROR(INDEX(DATA_ASSET_CLASSIFICATION!$B$8:$B$24,MATCH($C3790,DATA_ASSET_CLASSIFICATION!$A$8:$A$24,0)),"Review"))</f>
        <v>Rosemary Green</v>
      </c>
      <c r="N3790" s="350" t="str">
        <f ca="1">IF($B3790="Portfolio","Portfolio",IFERROR(INDEX(DATA_ASSET_CLASSIFICATION!$U$8:$U$24,MATCH($C3790,DATA_ASSET_CLASSIFICATION!$A$8:$A$24,0)),"Review"))</f>
        <v>Refi Watch</v>
      </c>
      <c r="O3790" s="350" t="str">
        <f ca="1">IF($B3790="Portfolio","Portfolio",IFERROR(INDEX(DATA_ASSET_CLASSIFICATION!$AB$8:$AB$13,MATCH($N3790,DATA_ASSET_CLASSIFICATION!$AA$8:$AA$13,0)),"Review"))</f>
        <v>Bucket 2 · Legacy</v>
      </c>
      <c r="P3790" s="350" t="str">
        <f>IF($B3790="Portfolio","Portfolio",IFERROR(INDEX(DATA_ASSET_CLASSIFICATION!$C$8:$C$24,MATCH($C3790,DATA_ASSET_CLASSIFICATION!$A$8:$A$24,0)),"Review"))</f>
        <v>Yes</v>
      </c>
      <c r="Q3790" s="350" t="str">
        <f t="shared" ca="1" si="119"/>
        <v>OK</v>
      </c>
    </row>
    <row r="3791" spans="1:17">
      <c r="A3791" s="366" t="s">
        <v>5747</v>
      </c>
      <c r="B3791" s="366" t="s">
        <v>231</v>
      </c>
      <c r="C3791" s="348" t="str">
        <f>DATA_PROPERTY_MASTER!$A$17</f>
        <v>BLD_RG</v>
      </c>
      <c r="D3791" s="380">
        <f>'00_PORTFOLIO ROLLUP'!F$12</f>
        <v>2026</v>
      </c>
      <c r="E3791" s="366" t="s">
        <v>1721</v>
      </c>
      <c r="F3791" s="366" t="s">
        <v>37</v>
      </c>
      <c r="G3791" s="348" t="str">
        <f>"'"&amp;$C3791&amp;"'!$E$63:$Y$63"</f>
        <v>'BLD_RG'!$E$63:$Y$63</v>
      </c>
      <c r="H3791" s="381">
        <f ca="1">IF(IFERROR(INDEX(DATA_PROPERTY_MASTER!$E$5:$E$21,MATCH($C3791,DATA_PROPERTY_MASTER!$A$5:$A$21,0))="Yes",FALSE),MAX(IFERROR(INDEX(INDIRECT("'"&amp;$C3791&amp;"'!$E$63:$Y$63"),1,MATCH($D3791,INDIRECT("'"&amp;$C3791&amp;"'!$E$12:$Y$12"),0)),0),0),0)</f>
        <v>0</v>
      </c>
      <c r="I3791" s="366" t="s">
        <v>1685</v>
      </c>
      <c r="J3791" s="348" t="str">
        <f t="shared" ca="1" si="118"/>
        <v>OK</v>
      </c>
      <c r="K3791" s="366" t="s">
        <v>1735</v>
      </c>
      <c r="L3791" s="366" t="s">
        <v>2258</v>
      </c>
      <c r="M3791" s="350" t="str">
        <f>IF($B3791="Portfolio","Portfolio",IFERROR(INDEX(DATA_ASSET_CLASSIFICATION!$B$8:$B$24,MATCH($C3791,DATA_ASSET_CLASSIFICATION!$A$8:$A$24,0)),"Review"))</f>
        <v>Rosemary Green</v>
      </c>
      <c r="N3791" s="350" t="str">
        <f ca="1">IF($B3791="Portfolio","Portfolio",IFERROR(INDEX(DATA_ASSET_CLASSIFICATION!$U$8:$U$24,MATCH($C3791,DATA_ASSET_CLASSIFICATION!$A$8:$A$24,0)),"Review"))</f>
        <v>Refi Watch</v>
      </c>
      <c r="O3791" s="350" t="str">
        <f ca="1">IF($B3791="Portfolio","Portfolio",IFERROR(INDEX(DATA_ASSET_CLASSIFICATION!$AB$8:$AB$13,MATCH($N3791,DATA_ASSET_CLASSIFICATION!$AA$8:$AA$13,0)),"Review"))</f>
        <v>Bucket 2 · Legacy</v>
      </c>
      <c r="P3791" s="350" t="str">
        <f>IF($B3791="Portfolio","Portfolio",IFERROR(INDEX(DATA_ASSET_CLASSIFICATION!$C$8:$C$24,MATCH($C3791,DATA_ASSET_CLASSIFICATION!$A$8:$A$24,0)),"Review"))</f>
        <v>Yes</v>
      </c>
      <c r="Q3791" s="350" t="str">
        <f t="shared" ca="1" si="119"/>
        <v>OK</v>
      </c>
    </row>
    <row r="3792" spans="1:17">
      <c r="A3792" s="366" t="s">
        <v>5748</v>
      </c>
      <c r="B3792" s="366" t="s">
        <v>231</v>
      </c>
      <c r="C3792" s="348" t="str">
        <f>DATA_PROPERTY_MASTER!$A$17</f>
        <v>BLD_RG</v>
      </c>
      <c r="D3792" s="380">
        <f>'00_PORTFOLIO ROLLUP'!F$12</f>
        <v>2026</v>
      </c>
      <c r="E3792" s="366" t="s">
        <v>1721</v>
      </c>
      <c r="F3792" s="366" t="s">
        <v>39</v>
      </c>
      <c r="G3792" s="348" t="str">
        <f>"'"&amp;$C3792&amp;"'!$E$63:$Y$63"</f>
        <v>'BLD_RG'!$E$63:$Y$63</v>
      </c>
      <c r="H3792" s="381">
        <f ca="1">IF(IFERROR(INDEX(DATA_PROPERTY_MASTER!$E$5:$E$21,MATCH($C3792,DATA_PROPERTY_MASTER!$A$5:$A$21,0))="Yes",FALSE),MAX(-IFERROR(INDEX(INDIRECT("'"&amp;$C3792&amp;"'!$E$63:$Y$63"),1,MATCH($D3792,INDIRECT("'"&amp;$C3792&amp;"'!$E$12:$Y$12"),0)),0),0),0)</f>
        <v>0</v>
      </c>
      <c r="I3792" s="366" t="s">
        <v>1690</v>
      </c>
      <c r="J3792" s="348" t="str">
        <f t="shared" ca="1" si="118"/>
        <v>OK</v>
      </c>
      <c r="K3792" s="366" t="s">
        <v>1738</v>
      </c>
      <c r="L3792" s="366" t="s">
        <v>2260</v>
      </c>
      <c r="M3792" s="350" t="str">
        <f>IF($B3792="Portfolio","Portfolio",IFERROR(INDEX(DATA_ASSET_CLASSIFICATION!$B$8:$B$24,MATCH($C3792,DATA_ASSET_CLASSIFICATION!$A$8:$A$24,0)),"Review"))</f>
        <v>Rosemary Green</v>
      </c>
      <c r="N3792" s="350" t="str">
        <f ca="1">IF($B3792="Portfolio","Portfolio",IFERROR(INDEX(DATA_ASSET_CLASSIFICATION!$U$8:$U$24,MATCH($C3792,DATA_ASSET_CLASSIFICATION!$A$8:$A$24,0)),"Review"))</f>
        <v>Refi Watch</v>
      </c>
      <c r="O3792" s="350" t="str">
        <f ca="1">IF($B3792="Portfolio","Portfolio",IFERROR(INDEX(DATA_ASSET_CLASSIFICATION!$AB$8:$AB$13,MATCH($N3792,DATA_ASSET_CLASSIFICATION!$AA$8:$AA$13,0)),"Review"))</f>
        <v>Bucket 2 · Legacy</v>
      </c>
      <c r="P3792" s="350" t="str">
        <f>IF($B3792="Portfolio","Portfolio",IFERROR(INDEX(DATA_ASSET_CLASSIFICATION!$C$8:$C$24,MATCH($C3792,DATA_ASSET_CLASSIFICATION!$A$8:$A$24,0)),"Review"))</f>
        <v>Yes</v>
      </c>
      <c r="Q3792" s="350" t="str">
        <f t="shared" ca="1" si="119"/>
        <v>OK</v>
      </c>
    </row>
    <row r="3793" spans="1:17">
      <c r="A3793" s="366" t="s">
        <v>5749</v>
      </c>
      <c r="B3793" s="366" t="s">
        <v>231</v>
      </c>
      <c r="C3793" s="348" t="str">
        <f>DATA_PROPERTY_MASTER!$A$17</f>
        <v>BLD_RG</v>
      </c>
      <c r="D3793" s="380">
        <f>'00_PORTFOLIO ROLLUP'!F$12</f>
        <v>2026</v>
      </c>
      <c r="E3793" s="366" t="s">
        <v>1741</v>
      </c>
      <c r="F3793" s="366" t="s">
        <v>41</v>
      </c>
      <c r="G3793" s="348" t="str">
        <f>"'"&amp;$C3793&amp;"'!rows 56 + positive row 63"</f>
        <v>'BLD_RG'!rows 56 + positive row 63</v>
      </c>
      <c r="H3793" s="381">
        <f ca="1">IF(IFERROR(INDEX(DATA_PROPERTY_MASTER!$E$5:$E$21,MATCH($C3793,DATA_PROPERTY_MASTER!$A$5:$A$21,0))="Yes",FALSE),IFERROR(INDEX(INDIRECT("'"&amp;$C3793&amp;"'!$E$56:$Y$56"),1,MATCH($D3793,INDIRECT("'"&amp;$C3793&amp;"'!$E$12:$Y$12"),0)),0)+MAX(IFERROR(INDEX(INDIRECT("'"&amp;$C3793&amp;"'!$E$63:$Y$63"),1,MATCH($D3793,INDIRECT("'"&amp;$C3793&amp;"'!$E$12:$Y$12"),0)),0),0),0)</f>
        <v>-57279.304719999956</v>
      </c>
      <c r="I3793" s="366" t="s">
        <v>1685</v>
      </c>
      <c r="J3793" s="348" t="str">
        <f t="shared" ca="1" si="118"/>
        <v>OK</v>
      </c>
      <c r="K3793" s="366" t="s">
        <v>1742</v>
      </c>
      <c r="L3793" s="366" t="s">
        <v>2262</v>
      </c>
      <c r="M3793" s="350" t="str">
        <f>IF($B3793="Portfolio","Portfolio",IFERROR(INDEX(DATA_ASSET_CLASSIFICATION!$B$8:$B$24,MATCH($C3793,DATA_ASSET_CLASSIFICATION!$A$8:$A$24,0)),"Review"))</f>
        <v>Rosemary Green</v>
      </c>
      <c r="N3793" s="350" t="str">
        <f ca="1">IF($B3793="Portfolio","Portfolio",IFERROR(INDEX(DATA_ASSET_CLASSIFICATION!$U$8:$U$24,MATCH($C3793,DATA_ASSET_CLASSIFICATION!$A$8:$A$24,0)),"Review"))</f>
        <v>Refi Watch</v>
      </c>
      <c r="O3793" s="350" t="str">
        <f ca="1">IF($B3793="Portfolio","Portfolio",IFERROR(INDEX(DATA_ASSET_CLASSIFICATION!$AB$8:$AB$13,MATCH($N3793,DATA_ASSET_CLASSIFICATION!$AA$8:$AA$13,0)),"Review"))</f>
        <v>Bucket 2 · Legacy</v>
      </c>
      <c r="P3793" s="350" t="str">
        <f>IF($B3793="Portfolio","Portfolio",IFERROR(INDEX(DATA_ASSET_CLASSIFICATION!$C$8:$C$24,MATCH($C3793,DATA_ASSET_CLASSIFICATION!$A$8:$A$24,0)),"Review"))</f>
        <v>Yes</v>
      </c>
      <c r="Q3793" s="350" t="str">
        <f t="shared" ca="1" si="119"/>
        <v>OK</v>
      </c>
    </row>
    <row r="3794" spans="1:17">
      <c r="A3794" s="366" t="s">
        <v>5750</v>
      </c>
      <c r="B3794" s="366" t="s">
        <v>231</v>
      </c>
      <c r="C3794" s="348" t="str">
        <f>DATA_PROPERTY_MASTER!$A$17</f>
        <v>BLD_RG</v>
      </c>
      <c r="D3794" s="380">
        <f>'00_PORTFOLIO ROLLUP'!F$12</f>
        <v>2026</v>
      </c>
      <c r="E3794" s="366" t="s">
        <v>1741</v>
      </c>
      <c r="F3794" s="366" t="s">
        <v>43</v>
      </c>
      <c r="G3794" s="348" t="str">
        <f>"'"&amp;$C3794&amp;"'!$E$68:$Y$68"</f>
        <v>'BLD_RG'!$E$68:$Y$68</v>
      </c>
      <c r="H3794" s="381">
        <f ca="1">IF(IFERROR(INDEX(DATA_PROPERTY_MASTER!$E$5:$E$21,MATCH($C3794,DATA_PROPERTY_MASTER!$A$5:$A$21,0))="Yes",FALSE),IFERROR(INDEX(INDIRECT("'"&amp;$C3794&amp;"'!$E$68:$Y$68"),1,MATCH($D3794,INDIRECT("'"&amp;$C3794&amp;"'!$E$12:$Y$12"),0)),0),0)</f>
        <v>-57279.304719999956</v>
      </c>
      <c r="I3794" s="366" t="s">
        <v>1731</v>
      </c>
      <c r="J3794" s="348" t="str">
        <f t="shared" ca="1" si="118"/>
        <v>OK</v>
      </c>
      <c r="K3794" s="366" t="s">
        <v>1746</v>
      </c>
      <c r="L3794" s="366" t="s">
        <v>2264</v>
      </c>
      <c r="M3794" s="350" t="str">
        <f>IF($B3794="Portfolio","Portfolio",IFERROR(INDEX(DATA_ASSET_CLASSIFICATION!$B$8:$B$24,MATCH($C3794,DATA_ASSET_CLASSIFICATION!$A$8:$A$24,0)),"Review"))</f>
        <v>Rosemary Green</v>
      </c>
      <c r="N3794" s="350" t="str">
        <f ca="1">IF($B3794="Portfolio","Portfolio",IFERROR(INDEX(DATA_ASSET_CLASSIFICATION!$U$8:$U$24,MATCH($C3794,DATA_ASSET_CLASSIFICATION!$A$8:$A$24,0)),"Review"))</f>
        <v>Refi Watch</v>
      </c>
      <c r="O3794" s="350" t="str">
        <f ca="1">IF($B3794="Portfolio","Portfolio",IFERROR(INDEX(DATA_ASSET_CLASSIFICATION!$AB$8:$AB$13,MATCH($N3794,DATA_ASSET_CLASSIFICATION!$AA$8:$AA$13,0)),"Review"))</f>
        <v>Bucket 2 · Legacy</v>
      </c>
      <c r="P3794" s="350" t="str">
        <f>IF($B3794="Portfolio","Portfolio",IFERROR(INDEX(DATA_ASSET_CLASSIFICATION!$C$8:$C$24,MATCH($C3794,DATA_ASSET_CLASSIFICATION!$A$8:$A$24,0)),"Review"))</f>
        <v>Yes</v>
      </c>
      <c r="Q3794" s="350" t="str">
        <f t="shared" ca="1" si="119"/>
        <v>OK</v>
      </c>
    </row>
    <row r="3795" spans="1:17">
      <c r="A3795" s="366" t="s">
        <v>5751</v>
      </c>
      <c r="B3795" s="366" t="s">
        <v>231</v>
      </c>
      <c r="C3795" s="348" t="str">
        <f>DATA_PROPERTY_MASTER!$A$17</f>
        <v>BLD_RG</v>
      </c>
      <c r="D3795" s="380">
        <f>'00_PORTFOLIO ROLLUP'!F$12</f>
        <v>2026</v>
      </c>
      <c r="E3795" s="366" t="s">
        <v>1741</v>
      </c>
      <c r="F3795" s="366" t="s">
        <v>1749</v>
      </c>
      <c r="G3795" s="348" t="str">
        <f>"'"&amp;$C3795&amp;"'!rows 56, 63, 68"</f>
        <v>'BLD_RG'!rows 56, 63, 68</v>
      </c>
      <c r="H3795" s="381">
        <f ca="1">IF(IFERROR(INDEX(DATA_PROPERTY_MASTER!$E$5:$E$21,MATCH($C3795,DATA_PROPERTY_MASTER!$A$5:$A$21,0))="Yes",FALSE),(IFERROR(INDEX(INDIRECT("'"&amp;$C3795&amp;"'!$E$56:$Y$56"),1,MATCH($D3795,INDIRECT("'"&amp;$C3795&amp;"'!$E$12:$Y$12"),0)),0)+MAX(IFERROR(INDEX(INDIRECT("'"&amp;$C3795&amp;"'!$E$63:$Y$63"),1,MATCH($D3795,INDIRECT("'"&amp;$C3795&amp;"'!$E$12:$Y$12"),0)),0),0))-(IFERROR(INDEX(INDIRECT("'"&amp;$C3795&amp;"'!$E$68:$Y$68"),1,MATCH($D3795,INDIRECT("'"&amp;$C3795&amp;"'!$E$12:$Y$12"),0)),0)),0)</f>
        <v>0</v>
      </c>
      <c r="I3795" s="366" t="s">
        <v>1750</v>
      </c>
      <c r="J3795" s="348" t="str">
        <f t="shared" ca="1" si="118"/>
        <v>OK</v>
      </c>
      <c r="K3795" s="366" t="s">
        <v>1751</v>
      </c>
      <c r="L3795" s="366" t="s">
        <v>2266</v>
      </c>
      <c r="M3795" s="350" t="str">
        <f>IF($B3795="Portfolio","Portfolio",IFERROR(INDEX(DATA_ASSET_CLASSIFICATION!$B$8:$B$24,MATCH($C3795,DATA_ASSET_CLASSIFICATION!$A$8:$A$24,0)),"Review"))</f>
        <v>Rosemary Green</v>
      </c>
      <c r="N3795" s="350" t="str">
        <f ca="1">IF($B3795="Portfolio","Portfolio",IFERROR(INDEX(DATA_ASSET_CLASSIFICATION!$U$8:$U$24,MATCH($C3795,DATA_ASSET_CLASSIFICATION!$A$8:$A$24,0)),"Review"))</f>
        <v>Refi Watch</v>
      </c>
      <c r="O3795" s="350" t="str">
        <f ca="1">IF($B3795="Portfolio","Portfolio",IFERROR(INDEX(DATA_ASSET_CLASSIFICATION!$AB$8:$AB$13,MATCH($N3795,DATA_ASSET_CLASSIFICATION!$AA$8:$AA$13,0)),"Review"))</f>
        <v>Bucket 2 · Legacy</v>
      </c>
      <c r="P3795" s="350" t="str">
        <f>IF($B3795="Portfolio","Portfolio",IFERROR(INDEX(DATA_ASSET_CLASSIFICATION!$C$8:$C$24,MATCH($C3795,DATA_ASSET_CLASSIFICATION!$A$8:$A$24,0)),"Review"))</f>
        <v>Yes</v>
      </c>
      <c r="Q3795" s="350" t="str">
        <f t="shared" ca="1" si="119"/>
        <v>OK</v>
      </c>
    </row>
    <row r="3796" spans="1:17">
      <c r="A3796" s="366" t="s">
        <v>5752</v>
      </c>
      <c r="B3796" s="366" t="s">
        <v>231</v>
      </c>
      <c r="C3796" s="348" t="str">
        <f>DATA_PROPERTY_MASTER!$A$17</f>
        <v>BLD_RG</v>
      </c>
      <c r="D3796" s="380">
        <f>'00_PORTFOLIO ROLLUP'!G$12</f>
        <v>2027</v>
      </c>
      <c r="E3796" s="366" t="s">
        <v>1683</v>
      </c>
      <c r="F3796" s="366" t="s">
        <v>341</v>
      </c>
      <c r="G3796" s="348" t="str">
        <f>"'"&amp;$C3796&amp;"'!$E$24:$Y$24"</f>
        <v>'BLD_RG'!$E$24:$Y$24</v>
      </c>
      <c r="H3796" s="381">
        <f ca="1">IF(IFERROR(INDEX(DATA_PROPERTY_MASTER!$E$5:$E$21,MATCH($C3796,DATA_PROPERTY_MASTER!$A$5:$A$21,0))="Yes",FALSE),IFERROR(INDEX(INDIRECT("'"&amp;$C3796&amp;"'!$E$24:$Y$24"),1,MATCH($D3796,INDIRECT("'"&amp;$C3796&amp;"'!$E$12:$Y$12"),0)),0),0)</f>
        <v>467240.06518560002</v>
      </c>
      <c r="I3796" s="366" t="s">
        <v>1685</v>
      </c>
      <c r="J3796" s="348" t="str">
        <f t="shared" ca="1" si="118"/>
        <v>OK</v>
      </c>
      <c r="K3796" s="366" t="s">
        <v>1686</v>
      </c>
      <c r="L3796" s="366" t="s">
        <v>2234</v>
      </c>
      <c r="M3796" s="350" t="str">
        <f>IF($B3796="Portfolio","Portfolio",IFERROR(INDEX(DATA_ASSET_CLASSIFICATION!$B$8:$B$24,MATCH($C3796,DATA_ASSET_CLASSIFICATION!$A$8:$A$24,0)),"Review"))</f>
        <v>Rosemary Green</v>
      </c>
      <c r="N3796" s="350" t="str">
        <f ca="1">IF($B3796="Portfolio","Portfolio",IFERROR(INDEX(DATA_ASSET_CLASSIFICATION!$U$8:$U$24,MATCH($C3796,DATA_ASSET_CLASSIFICATION!$A$8:$A$24,0)),"Review"))</f>
        <v>Refi Watch</v>
      </c>
      <c r="O3796" s="350" t="str">
        <f ca="1">IF($B3796="Portfolio","Portfolio",IFERROR(INDEX(DATA_ASSET_CLASSIFICATION!$AB$8:$AB$13,MATCH($N3796,DATA_ASSET_CLASSIFICATION!$AA$8:$AA$13,0)),"Review"))</f>
        <v>Bucket 2 · Legacy</v>
      </c>
      <c r="P3796" s="350" t="str">
        <f>IF($B3796="Portfolio","Portfolio",IFERROR(INDEX(DATA_ASSET_CLASSIFICATION!$C$8:$C$24,MATCH($C3796,DATA_ASSET_CLASSIFICATION!$A$8:$A$24,0)),"Review"))</f>
        <v>Yes</v>
      </c>
      <c r="Q3796" s="350" t="str">
        <f t="shared" ca="1" si="119"/>
        <v>OK</v>
      </c>
    </row>
    <row r="3797" spans="1:17">
      <c r="A3797" s="366" t="s">
        <v>5753</v>
      </c>
      <c r="B3797" s="366" t="s">
        <v>231</v>
      </c>
      <c r="C3797" s="348" t="str">
        <f>DATA_PROPERTY_MASTER!$A$17</f>
        <v>BLD_RG</v>
      </c>
      <c r="D3797" s="380">
        <f>'00_PORTFOLIO ROLLUP'!G$12</f>
        <v>2027</v>
      </c>
      <c r="E3797" s="366" t="s">
        <v>1683</v>
      </c>
      <c r="F3797" s="366" t="s">
        <v>355</v>
      </c>
      <c r="G3797" s="348" t="str">
        <f>"'"&amp;$C3797&amp;"'!$E$39:$Y$39"</f>
        <v>'BLD_RG'!$E$39:$Y$39</v>
      </c>
      <c r="H3797" s="381">
        <f ca="1">IF(IFERROR(INDEX(DATA_PROPERTY_MASTER!$E$5:$E$21,MATCH($C3797,DATA_PROPERTY_MASTER!$A$5:$A$21,0))="Yes",FALSE),IFERROR(INDEX(INDIRECT("'"&amp;$C3797&amp;"'!$E$39:$Y$39"),1,MATCH($D3797,INDIRECT("'"&amp;$C3797&amp;"'!$E$12:$Y$12"),0)),0),0)</f>
        <v>233179.98080000002</v>
      </c>
      <c r="I3797" s="366" t="s">
        <v>1690</v>
      </c>
      <c r="J3797" s="348" t="str">
        <f t="shared" ca="1" si="118"/>
        <v>OK</v>
      </c>
      <c r="K3797" s="366" t="s">
        <v>1686</v>
      </c>
      <c r="L3797" s="366" t="s">
        <v>2236</v>
      </c>
      <c r="M3797" s="350" t="str">
        <f>IF($B3797="Portfolio","Portfolio",IFERROR(INDEX(DATA_ASSET_CLASSIFICATION!$B$8:$B$24,MATCH($C3797,DATA_ASSET_CLASSIFICATION!$A$8:$A$24,0)),"Review"))</f>
        <v>Rosemary Green</v>
      </c>
      <c r="N3797" s="350" t="str">
        <f ca="1">IF($B3797="Portfolio","Portfolio",IFERROR(INDEX(DATA_ASSET_CLASSIFICATION!$U$8:$U$24,MATCH($C3797,DATA_ASSET_CLASSIFICATION!$A$8:$A$24,0)),"Review"))</f>
        <v>Refi Watch</v>
      </c>
      <c r="O3797" s="350" t="str">
        <f ca="1">IF($B3797="Portfolio","Portfolio",IFERROR(INDEX(DATA_ASSET_CLASSIFICATION!$AB$8:$AB$13,MATCH($N3797,DATA_ASSET_CLASSIFICATION!$AA$8:$AA$13,0)),"Review"))</f>
        <v>Bucket 2 · Legacy</v>
      </c>
      <c r="P3797" s="350" t="str">
        <f>IF($B3797="Portfolio","Portfolio",IFERROR(INDEX(DATA_ASSET_CLASSIFICATION!$C$8:$C$24,MATCH($C3797,DATA_ASSET_CLASSIFICATION!$A$8:$A$24,0)),"Review"))</f>
        <v>Yes</v>
      </c>
      <c r="Q3797" s="350" t="str">
        <f t="shared" ca="1" si="119"/>
        <v>OK</v>
      </c>
    </row>
    <row r="3798" spans="1:17">
      <c r="A3798" s="366" t="s">
        <v>5754</v>
      </c>
      <c r="B3798" s="366" t="s">
        <v>231</v>
      </c>
      <c r="C3798" s="348" t="str">
        <f>DATA_PROPERTY_MASTER!$A$17</f>
        <v>BLD_RG</v>
      </c>
      <c r="D3798" s="380">
        <f>'00_PORTFOLIO ROLLUP'!G$12</f>
        <v>2027</v>
      </c>
      <c r="E3798" s="366" t="s">
        <v>1683</v>
      </c>
      <c r="F3798" s="366" t="s">
        <v>19</v>
      </c>
      <c r="G3798" s="348" t="str">
        <f>"'"&amp;$C3798&amp;"'!$E$41:$Y$41"</f>
        <v>'BLD_RG'!$E$41:$Y$41</v>
      </c>
      <c r="H3798" s="381">
        <f ca="1">IF(IFERROR(INDEX(DATA_PROPERTY_MASTER!$E$5:$E$21,MATCH($C3798,DATA_PROPERTY_MASTER!$A$5:$A$21,0))="Yes",FALSE),IFERROR(INDEX(INDIRECT("'"&amp;$C3798&amp;"'!$E$41:$Y$41"),1,MATCH($D3798,INDIRECT("'"&amp;$C3798&amp;"'!$E$12:$Y$12"),0)),0),0)</f>
        <v>234060.0843856</v>
      </c>
      <c r="I3798" s="366" t="s">
        <v>1685</v>
      </c>
      <c r="J3798" s="348" t="str">
        <f t="shared" ca="1" si="118"/>
        <v>OK</v>
      </c>
      <c r="K3798" s="366" t="s">
        <v>1694</v>
      </c>
      <c r="L3798" s="366" t="s">
        <v>2238</v>
      </c>
      <c r="M3798" s="350" t="str">
        <f>IF($B3798="Portfolio","Portfolio",IFERROR(INDEX(DATA_ASSET_CLASSIFICATION!$B$8:$B$24,MATCH($C3798,DATA_ASSET_CLASSIFICATION!$A$8:$A$24,0)),"Review"))</f>
        <v>Rosemary Green</v>
      </c>
      <c r="N3798" s="350" t="str">
        <f ca="1">IF($B3798="Portfolio","Portfolio",IFERROR(INDEX(DATA_ASSET_CLASSIFICATION!$U$8:$U$24,MATCH($C3798,DATA_ASSET_CLASSIFICATION!$A$8:$A$24,0)),"Review"))</f>
        <v>Refi Watch</v>
      </c>
      <c r="O3798" s="350" t="str">
        <f ca="1">IF($B3798="Portfolio","Portfolio",IFERROR(INDEX(DATA_ASSET_CLASSIFICATION!$AB$8:$AB$13,MATCH($N3798,DATA_ASSET_CLASSIFICATION!$AA$8:$AA$13,0)),"Review"))</f>
        <v>Bucket 2 · Legacy</v>
      </c>
      <c r="P3798" s="350" t="str">
        <f>IF($B3798="Portfolio","Portfolio",IFERROR(INDEX(DATA_ASSET_CLASSIFICATION!$C$8:$C$24,MATCH($C3798,DATA_ASSET_CLASSIFICATION!$A$8:$A$24,0)),"Review"))</f>
        <v>Yes</v>
      </c>
      <c r="Q3798" s="350" t="str">
        <f t="shared" ca="1" si="119"/>
        <v>OK</v>
      </c>
    </row>
    <row r="3799" spans="1:17">
      <c r="A3799" s="366" t="s">
        <v>5755</v>
      </c>
      <c r="B3799" s="366" t="s">
        <v>231</v>
      </c>
      <c r="C3799" s="348" t="str">
        <f>DATA_PROPERTY_MASTER!$A$17</f>
        <v>BLD_RG</v>
      </c>
      <c r="D3799" s="380">
        <f>'00_PORTFOLIO ROLLUP'!G$12</f>
        <v>2027</v>
      </c>
      <c r="E3799" s="366" t="s">
        <v>1683</v>
      </c>
      <c r="F3799" s="366" t="s">
        <v>1697</v>
      </c>
      <c r="G3799" s="348" t="str">
        <f>"'"&amp;$C3799&amp;"'!$E$44:$Y$44"</f>
        <v>'BLD_RG'!$E$44:$Y$44</v>
      </c>
      <c r="H3799" s="381">
        <f ca="1">IF(IFERROR(INDEX(DATA_PROPERTY_MASTER!$E$5:$E$21,MATCH($C3799,DATA_PROPERTY_MASTER!$A$5:$A$21,0))="Yes",FALSE),IFERROR(INDEX(INDIRECT("'"&amp;$C3799&amp;"'!$E$44:$Y$44"),1,MATCH($D3799,INDIRECT("'"&amp;$C3799&amp;"'!$E$12:$Y$12"),0)),0),0)</f>
        <v>5930.28</v>
      </c>
      <c r="I3799" s="366" t="s">
        <v>1690</v>
      </c>
      <c r="J3799" s="348" t="str">
        <f t="shared" ca="1" si="118"/>
        <v>OK</v>
      </c>
      <c r="K3799" s="366" t="s">
        <v>1699</v>
      </c>
      <c r="L3799" s="366" t="s">
        <v>2240</v>
      </c>
      <c r="M3799" s="350" t="str">
        <f>IF($B3799="Portfolio","Portfolio",IFERROR(INDEX(DATA_ASSET_CLASSIFICATION!$B$8:$B$24,MATCH($C3799,DATA_ASSET_CLASSIFICATION!$A$8:$A$24,0)),"Review"))</f>
        <v>Rosemary Green</v>
      </c>
      <c r="N3799" s="350" t="str">
        <f ca="1">IF($B3799="Portfolio","Portfolio",IFERROR(INDEX(DATA_ASSET_CLASSIFICATION!$U$8:$U$24,MATCH($C3799,DATA_ASSET_CLASSIFICATION!$A$8:$A$24,0)),"Review"))</f>
        <v>Refi Watch</v>
      </c>
      <c r="O3799" s="350" t="str">
        <f ca="1">IF($B3799="Portfolio","Portfolio",IFERROR(INDEX(DATA_ASSET_CLASSIFICATION!$AB$8:$AB$13,MATCH($N3799,DATA_ASSET_CLASSIFICATION!$AA$8:$AA$13,0)),"Review"))</f>
        <v>Bucket 2 · Legacy</v>
      </c>
      <c r="P3799" s="350" t="str">
        <f>IF($B3799="Portfolio","Portfolio",IFERROR(INDEX(DATA_ASSET_CLASSIFICATION!$C$8:$C$24,MATCH($C3799,DATA_ASSET_CLASSIFICATION!$A$8:$A$24,0)),"Review"))</f>
        <v>Yes</v>
      </c>
      <c r="Q3799" s="350" t="str">
        <f t="shared" ca="1" si="119"/>
        <v>OK</v>
      </c>
    </row>
    <row r="3800" spans="1:17">
      <c r="A3800" s="366" t="s">
        <v>5756</v>
      </c>
      <c r="B3800" s="366" t="s">
        <v>231</v>
      </c>
      <c r="C3800" s="348" t="str">
        <f>DATA_PROPERTY_MASTER!$A$17</f>
        <v>BLD_RG</v>
      </c>
      <c r="D3800" s="380">
        <f>'00_PORTFOLIO ROLLUP'!G$12</f>
        <v>2027</v>
      </c>
      <c r="E3800" s="366" t="s">
        <v>1683</v>
      </c>
      <c r="F3800" s="366" t="s">
        <v>21</v>
      </c>
      <c r="G3800" s="348" t="str">
        <f>"'"&amp;$C3800&amp;"'!$E$45:$Y$45"</f>
        <v>'BLD_RG'!$E$45:$Y$45</v>
      </c>
      <c r="H3800" s="381">
        <f ca="1">IF(IFERROR(INDEX(DATA_PROPERTY_MASTER!$E$5:$E$21,MATCH($C3800,DATA_PROPERTY_MASTER!$A$5:$A$21,0))="Yes",FALSE),IFERROR(INDEX(INDIRECT("'"&amp;$C3800&amp;"'!$E$45:$Y$45"),1,MATCH($D3800,INDIRECT("'"&amp;$C3800&amp;"'!$E$12:$Y$12"),0)),0),0)</f>
        <v>228129.8043856</v>
      </c>
      <c r="I3800" s="366" t="s">
        <v>1685</v>
      </c>
      <c r="J3800" s="348" t="str">
        <f t="shared" ca="1" si="118"/>
        <v>OK</v>
      </c>
      <c r="K3800" s="366" t="s">
        <v>1694</v>
      </c>
      <c r="L3800" s="366" t="s">
        <v>2242</v>
      </c>
      <c r="M3800" s="350" t="str">
        <f>IF($B3800="Portfolio","Portfolio",IFERROR(INDEX(DATA_ASSET_CLASSIFICATION!$B$8:$B$24,MATCH($C3800,DATA_ASSET_CLASSIFICATION!$A$8:$A$24,0)),"Review"))</f>
        <v>Rosemary Green</v>
      </c>
      <c r="N3800" s="350" t="str">
        <f ca="1">IF($B3800="Portfolio","Portfolio",IFERROR(INDEX(DATA_ASSET_CLASSIFICATION!$U$8:$U$24,MATCH($C3800,DATA_ASSET_CLASSIFICATION!$A$8:$A$24,0)),"Review"))</f>
        <v>Refi Watch</v>
      </c>
      <c r="O3800" s="350" t="str">
        <f ca="1">IF($B3800="Portfolio","Portfolio",IFERROR(INDEX(DATA_ASSET_CLASSIFICATION!$AB$8:$AB$13,MATCH($N3800,DATA_ASSET_CLASSIFICATION!$AA$8:$AA$13,0)),"Review"))</f>
        <v>Bucket 2 · Legacy</v>
      </c>
      <c r="P3800" s="350" t="str">
        <f>IF($B3800="Portfolio","Portfolio",IFERROR(INDEX(DATA_ASSET_CLASSIFICATION!$C$8:$C$24,MATCH($C3800,DATA_ASSET_CLASSIFICATION!$A$8:$A$24,0)),"Review"))</f>
        <v>Yes</v>
      </c>
      <c r="Q3800" s="350" t="str">
        <f t="shared" ca="1" si="119"/>
        <v>OK</v>
      </c>
    </row>
    <row r="3801" spans="1:17">
      <c r="A3801" s="366" t="s">
        <v>5757</v>
      </c>
      <c r="B3801" s="366" t="s">
        <v>231</v>
      </c>
      <c r="C3801" s="348" t="str">
        <f>DATA_PROPERTY_MASTER!$A$17</f>
        <v>BLD_RG</v>
      </c>
      <c r="D3801" s="380">
        <f>'00_PORTFOLIO ROLLUP'!G$12</f>
        <v>2027</v>
      </c>
      <c r="E3801" s="366" t="s">
        <v>23</v>
      </c>
      <c r="F3801" s="366" t="s">
        <v>23</v>
      </c>
      <c r="G3801" s="348" t="str">
        <f>"'"&amp;$C3801&amp;"'!$E$48:$Y$48"</f>
        <v>'BLD_RG'!$E$48:$Y$48</v>
      </c>
      <c r="H3801" s="381">
        <f ca="1">IF(IFERROR(INDEX(DATA_PROPERTY_MASTER!$E$5:$E$21,MATCH($C3801,DATA_PROPERTY_MASTER!$A$5:$A$21,0))="Yes",FALSE),IFERROR(INDEX(INDIRECT("'"&amp;$C3801&amp;"'!$E$48:$Y$48"),1,MATCH($D3801,INDIRECT("'"&amp;$C3801&amp;"'!$E$12:$Y$12"),0)),0),0)</f>
        <v>291146.28000000003</v>
      </c>
      <c r="I3801" s="366" t="s">
        <v>1690</v>
      </c>
      <c r="J3801" s="348" t="str">
        <f t="shared" ca="1" si="118"/>
        <v>OK</v>
      </c>
      <c r="K3801" s="366" t="s">
        <v>1706</v>
      </c>
      <c r="L3801" s="366" t="s">
        <v>2244</v>
      </c>
      <c r="M3801" s="350" t="str">
        <f>IF($B3801="Portfolio","Portfolio",IFERROR(INDEX(DATA_ASSET_CLASSIFICATION!$B$8:$B$24,MATCH($C3801,DATA_ASSET_CLASSIFICATION!$A$8:$A$24,0)),"Review"))</f>
        <v>Rosemary Green</v>
      </c>
      <c r="N3801" s="350" t="str">
        <f ca="1">IF($B3801="Portfolio","Portfolio",IFERROR(INDEX(DATA_ASSET_CLASSIFICATION!$U$8:$U$24,MATCH($C3801,DATA_ASSET_CLASSIFICATION!$A$8:$A$24,0)),"Review"))</f>
        <v>Refi Watch</v>
      </c>
      <c r="O3801" s="350" t="str">
        <f ca="1">IF($B3801="Portfolio","Portfolio",IFERROR(INDEX(DATA_ASSET_CLASSIFICATION!$AB$8:$AB$13,MATCH($N3801,DATA_ASSET_CLASSIFICATION!$AA$8:$AA$13,0)),"Review"))</f>
        <v>Bucket 2 · Legacy</v>
      </c>
      <c r="P3801" s="350" t="str">
        <f>IF($B3801="Portfolio","Portfolio",IFERROR(INDEX(DATA_ASSET_CLASSIFICATION!$C$8:$C$24,MATCH($C3801,DATA_ASSET_CLASSIFICATION!$A$8:$A$24,0)),"Review"))</f>
        <v>Yes</v>
      </c>
      <c r="Q3801" s="350" t="str">
        <f t="shared" ca="1" si="119"/>
        <v>OK</v>
      </c>
    </row>
    <row r="3802" spans="1:17">
      <c r="A3802" s="366" t="s">
        <v>5758</v>
      </c>
      <c r="B3802" s="366" t="s">
        <v>231</v>
      </c>
      <c r="C3802" s="348" t="str">
        <f>DATA_PROPERTY_MASTER!$A$17</f>
        <v>BLD_RG</v>
      </c>
      <c r="D3802" s="380">
        <f>'00_PORTFOLIO ROLLUP'!G$12</f>
        <v>2027</v>
      </c>
      <c r="E3802" s="366" t="s">
        <v>1683</v>
      </c>
      <c r="F3802" s="366" t="s">
        <v>25</v>
      </c>
      <c r="G3802" s="348" t="str">
        <f>"'"&amp;$C3802&amp;"'!$E$52:$Y$52"</f>
        <v>'BLD_RG'!$E$52:$Y$52</v>
      </c>
      <c r="H3802" s="381">
        <f ca="1">IF(IFERROR(INDEX(DATA_PROPERTY_MASTER!$E$5:$E$21,MATCH($C3802,DATA_PROPERTY_MASTER!$A$5:$A$21,0))="Yes",FALSE),IFERROR(INDEX(INDIRECT("'"&amp;$C3802&amp;"'!$E$52:$Y$52"),1,MATCH($D3802,INDIRECT("'"&amp;$C3802&amp;"'!$E$12:$Y$12"),0)),0),0)</f>
        <v>-57086.195614400029</v>
      </c>
      <c r="I3802" s="366" t="s">
        <v>1685</v>
      </c>
      <c r="J3802" s="348" t="str">
        <f t="shared" ca="1" si="118"/>
        <v>OK</v>
      </c>
      <c r="K3802" s="366" t="s">
        <v>1710</v>
      </c>
      <c r="L3802" s="366" t="s">
        <v>2246</v>
      </c>
      <c r="M3802" s="350" t="str">
        <f>IF($B3802="Portfolio","Portfolio",IFERROR(INDEX(DATA_ASSET_CLASSIFICATION!$B$8:$B$24,MATCH($C3802,DATA_ASSET_CLASSIFICATION!$A$8:$A$24,0)),"Review"))</f>
        <v>Rosemary Green</v>
      </c>
      <c r="N3802" s="350" t="str">
        <f ca="1">IF($B3802="Portfolio","Portfolio",IFERROR(INDEX(DATA_ASSET_CLASSIFICATION!$U$8:$U$24,MATCH($C3802,DATA_ASSET_CLASSIFICATION!$A$8:$A$24,0)),"Review"))</f>
        <v>Refi Watch</v>
      </c>
      <c r="O3802" s="350" t="str">
        <f ca="1">IF($B3802="Portfolio","Portfolio",IFERROR(INDEX(DATA_ASSET_CLASSIFICATION!$AB$8:$AB$13,MATCH($N3802,DATA_ASSET_CLASSIFICATION!$AA$8:$AA$13,0)),"Review"))</f>
        <v>Bucket 2 · Legacy</v>
      </c>
      <c r="P3802" s="350" t="str">
        <f>IF($B3802="Portfolio","Portfolio",IFERROR(INDEX(DATA_ASSET_CLASSIFICATION!$C$8:$C$24,MATCH($C3802,DATA_ASSET_CLASSIFICATION!$A$8:$A$24,0)),"Review"))</f>
        <v>Yes</v>
      </c>
      <c r="Q3802" s="350" t="str">
        <f t="shared" ca="1" si="119"/>
        <v>OK</v>
      </c>
    </row>
    <row r="3803" spans="1:17">
      <c r="A3803" s="366" t="s">
        <v>5759</v>
      </c>
      <c r="B3803" s="366" t="s">
        <v>231</v>
      </c>
      <c r="C3803" s="348" t="str">
        <f>DATA_PROPERTY_MASTER!$A$17</f>
        <v>BLD_RG</v>
      </c>
      <c r="D3803" s="380">
        <f>'00_PORTFOLIO ROLLUP'!G$12</f>
        <v>2027</v>
      </c>
      <c r="E3803" s="366" t="s">
        <v>1683</v>
      </c>
      <c r="F3803" s="366" t="s">
        <v>27</v>
      </c>
      <c r="G3803" s="348" t="str">
        <f>"'"&amp;$C3803&amp;"'!$E$54:$Y$54"</f>
        <v>'BLD_RG'!$E$54:$Y$54</v>
      </c>
      <c r="H3803" s="381">
        <f ca="1">IF(IFERROR(INDEX(DATA_PROPERTY_MASTER!$E$5:$E$21,MATCH($C3803,DATA_PROPERTY_MASTER!$A$5:$A$21,0))="Yes",FALSE),IFERROR(INDEX(INDIRECT("'"&amp;$C3803&amp;"'!$E$54:$Y$54"),1,MATCH($D3803,INDIRECT("'"&amp;$C3803&amp;"'!$E$12:$Y$12"),0)),0),0)</f>
        <v>0</v>
      </c>
      <c r="I3803" s="366" t="s">
        <v>1690</v>
      </c>
      <c r="J3803" s="348" t="str">
        <f t="shared" ca="1" si="118"/>
        <v>OK</v>
      </c>
      <c r="K3803" s="366" t="s">
        <v>1714</v>
      </c>
      <c r="L3803" s="366" t="s">
        <v>2248</v>
      </c>
      <c r="M3803" s="350" t="str">
        <f>IF($B3803="Portfolio","Portfolio",IFERROR(INDEX(DATA_ASSET_CLASSIFICATION!$B$8:$B$24,MATCH($C3803,DATA_ASSET_CLASSIFICATION!$A$8:$A$24,0)),"Review"))</f>
        <v>Rosemary Green</v>
      </c>
      <c r="N3803" s="350" t="str">
        <f ca="1">IF($B3803="Portfolio","Portfolio",IFERROR(INDEX(DATA_ASSET_CLASSIFICATION!$U$8:$U$24,MATCH($C3803,DATA_ASSET_CLASSIFICATION!$A$8:$A$24,0)),"Review"))</f>
        <v>Refi Watch</v>
      </c>
      <c r="O3803" s="350" t="str">
        <f ca="1">IF($B3803="Portfolio","Portfolio",IFERROR(INDEX(DATA_ASSET_CLASSIFICATION!$AB$8:$AB$13,MATCH($N3803,DATA_ASSET_CLASSIFICATION!$AA$8:$AA$13,0)),"Review"))</f>
        <v>Bucket 2 · Legacy</v>
      </c>
      <c r="P3803" s="350" t="str">
        <f>IF($B3803="Portfolio","Portfolio",IFERROR(INDEX(DATA_ASSET_CLASSIFICATION!$C$8:$C$24,MATCH($C3803,DATA_ASSET_CLASSIFICATION!$A$8:$A$24,0)),"Review"))</f>
        <v>Yes</v>
      </c>
      <c r="Q3803" s="350" t="str">
        <f t="shared" ca="1" si="119"/>
        <v>OK</v>
      </c>
    </row>
    <row r="3804" spans="1:17">
      <c r="A3804" s="366" t="s">
        <v>5760</v>
      </c>
      <c r="B3804" s="366" t="s">
        <v>231</v>
      </c>
      <c r="C3804" s="348" t="str">
        <f>DATA_PROPERTY_MASTER!$A$17</f>
        <v>BLD_RG</v>
      </c>
      <c r="D3804" s="380">
        <f>'00_PORTFOLIO ROLLUP'!G$12</f>
        <v>2027</v>
      </c>
      <c r="E3804" s="366" t="s">
        <v>1683</v>
      </c>
      <c r="F3804" s="366" t="s">
        <v>29</v>
      </c>
      <c r="G3804" s="348" t="str">
        <f>"'"&amp;$C3804&amp;"'!$E$56:$Y$56"</f>
        <v>'BLD_RG'!$E$56:$Y$56</v>
      </c>
      <c r="H3804" s="381">
        <f ca="1">IF(IFERROR(INDEX(DATA_PROPERTY_MASTER!$E$5:$E$21,MATCH($C3804,DATA_PROPERTY_MASTER!$A$5:$A$21,0))="Yes",FALSE),IFERROR(INDEX(INDIRECT("'"&amp;$C3804&amp;"'!$E$56:$Y$56"),1,MATCH($D3804,INDIRECT("'"&amp;$C3804&amp;"'!$E$12:$Y$12"),0)),0),0)</f>
        <v>-57086.195614400029</v>
      </c>
      <c r="I3804" s="366" t="s">
        <v>1685</v>
      </c>
      <c r="J3804" s="348" t="str">
        <f t="shared" ca="1" si="118"/>
        <v>OK</v>
      </c>
      <c r="K3804" s="366" t="s">
        <v>1718</v>
      </c>
      <c r="L3804" s="366" t="s">
        <v>2250</v>
      </c>
      <c r="M3804" s="350" t="str">
        <f>IF($B3804="Portfolio","Portfolio",IFERROR(INDEX(DATA_ASSET_CLASSIFICATION!$B$8:$B$24,MATCH($C3804,DATA_ASSET_CLASSIFICATION!$A$8:$A$24,0)),"Review"))</f>
        <v>Rosemary Green</v>
      </c>
      <c r="N3804" s="350" t="str">
        <f ca="1">IF($B3804="Portfolio","Portfolio",IFERROR(INDEX(DATA_ASSET_CLASSIFICATION!$U$8:$U$24,MATCH($C3804,DATA_ASSET_CLASSIFICATION!$A$8:$A$24,0)),"Review"))</f>
        <v>Refi Watch</v>
      </c>
      <c r="O3804" s="350" t="str">
        <f ca="1">IF($B3804="Portfolio","Portfolio",IFERROR(INDEX(DATA_ASSET_CLASSIFICATION!$AB$8:$AB$13,MATCH($N3804,DATA_ASSET_CLASSIFICATION!$AA$8:$AA$13,0)),"Review"))</f>
        <v>Bucket 2 · Legacy</v>
      </c>
      <c r="P3804" s="350" t="str">
        <f>IF($B3804="Portfolio","Portfolio",IFERROR(INDEX(DATA_ASSET_CLASSIFICATION!$C$8:$C$24,MATCH($C3804,DATA_ASSET_CLASSIFICATION!$A$8:$A$24,0)),"Review"))</f>
        <v>Yes</v>
      </c>
      <c r="Q3804" s="350" t="str">
        <f t="shared" ca="1" si="119"/>
        <v>OK</v>
      </c>
    </row>
    <row r="3805" spans="1:17">
      <c r="A3805" s="366" t="s">
        <v>5761</v>
      </c>
      <c r="B3805" s="366" t="s">
        <v>231</v>
      </c>
      <c r="C3805" s="348" t="str">
        <f>DATA_PROPERTY_MASTER!$A$17</f>
        <v>BLD_RG</v>
      </c>
      <c r="D3805" s="380">
        <f>'00_PORTFOLIO ROLLUP'!G$12</f>
        <v>2027</v>
      </c>
      <c r="E3805" s="366" t="s">
        <v>1721</v>
      </c>
      <c r="F3805" s="366" t="s">
        <v>31</v>
      </c>
      <c r="G3805" s="348" t="str">
        <f>"'"&amp;$C3805&amp;"'!$E$61:$Y$61"</f>
        <v>'BLD_RG'!$E$61:$Y$61</v>
      </c>
      <c r="H3805" s="381">
        <f ca="1">IF(IFERROR(INDEX(DATA_PROPERTY_MASTER!$E$5:$E$21,MATCH($C3805,DATA_PROPERTY_MASTER!$A$5:$A$21,0))="Yes",FALSE),IFERROR(INDEX(INDIRECT("'"&amp;$C3805&amp;"'!$E$61:$Y$61"),1,MATCH($D3805,INDIRECT("'"&amp;$C3805&amp;"'!$E$12:$Y$12"),0)),0),0)</f>
        <v>0</v>
      </c>
      <c r="I3805" s="366" t="s">
        <v>1690</v>
      </c>
      <c r="J3805" s="348" t="str">
        <f t="shared" ca="1" si="118"/>
        <v>OK</v>
      </c>
      <c r="K3805" s="366" t="s">
        <v>1723</v>
      </c>
      <c r="L3805" s="366" t="s">
        <v>2252</v>
      </c>
      <c r="M3805" s="350" t="str">
        <f>IF($B3805="Portfolio","Portfolio",IFERROR(INDEX(DATA_ASSET_CLASSIFICATION!$B$8:$B$24,MATCH($C3805,DATA_ASSET_CLASSIFICATION!$A$8:$A$24,0)),"Review"))</f>
        <v>Rosemary Green</v>
      </c>
      <c r="N3805" s="350" t="str">
        <f ca="1">IF($B3805="Portfolio","Portfolio",IFERROR(INDEX(DATA_ASSET_CLASSIFICATION!$U$8:$U$24,MATCH($C3805,DATA_ASSET_CLASSIFICATION!$A$8:$A$24,0)),"Review"))</f>
        <v>Refi Watch</v>
      </c>
      <c r="O3805" s="350" t="str">
        <f ca="1">IF($B3805="Portfolio","Portfolio",IFERROR(INDEX(DATA_ASSET_CLASSIFICATION!$AB$8:$AB$13,MATCH($N3805,DATA_ASSET_CLASSIFICATION!$AA$8:$AA$13,0)),"Review"))</f>
        <v>Bucket 2 · Legacy</v>
      </c>
      <c r="P3805" s="350" t="str">
        <f>IF($B3805="Portfolio","Portfolio",IFERROR(INDEX(DATA_ASSET_CLASSIFICATION!$C$8:$C$24,MATCH($C3805,DATA_ASSET_CLASSIFICATION!$A$8:$A$24,0)),"Review"))</f>
        <v>Yes</v>
      </c>
      <c r="Q3805" s="350" t="str">
        <f t="shared" ca="1" si="119"/>
        <v>OK</v>
      </c>
    </row>
    <row r="3806" spans="1:17">
      <c r="A3806" s="366" t="s">
        <v>5762</v>
      </c>
      <c r="B3806" s="366" t="s">
        <v>231</v>
      </c>
      <c r="C3806" s="348" t="str">
        <f>DATA_PROPERTY_MASTER!$A$17</f>
        <v>BLD_RG</v>
      </c>
      <c r="D3806" s="380">
        <f>'00_PORTFOLIO ROLLUP'!G$12</f>
        <v>2027</v>
      </c>
      <c r="E3806" s="366" t="s">
        <v>1721</v>
      </c>
      <c r="F3806" s="366" t="s">
        <v>33</v>
      </c>
      <c r="G3806" s="348" t="str">
        <f>"'"&amp;$C3806&amp;"'!$E$62:$Y$62"</f>
        <v>'BLD_RG'!$E$62:$Y$62</v>
      </c>
      <c r="H3806" s="381">
        <f ca="1">IF(IFERROR(INDEX(DATA_PROPERTY_MASTER!$E$5:$E$21,MATCH($C3806,DATA_PROPERTY_MASTER!$A$5:$A$21,0))="Yes",FALSE),IFERROR(INDEX(INDIRECT("'"&amp;$C3806&amp;"'!$E$62:$Y$62"),1,MATCH($D3806,INDIRECT("'"&amp;$C3806&amp;"'!$E$12:$Y$12"),0)),0),0)</f>
        <v>0</v>
      </c>
      <c r="I3806" s="366" t="s">
        <v>1685</v>
      </c>
      <c r="J3806" s="348" t="str">
        <f t="shared" ca="1" si="118"/>
        <v>OK</v>
      </c>
      <c r="K3806" s="366" t="s">
        <v>1727</v>
      </c>
      <c r="L3806" s="366" t="s">
        <v>2254</v>
      </c>
      <c r="M3806" s="350" t="str">
        <f>IF($B3806="Portfolio","Portfolio",IFERROR(INDEX(DATA_ASSET_CLASSIFICATION!$B$8:$B$24,MATCH($C3806,DATA_ASSET_CLASSIFICATION!$A$8:$A$24,0)),"Review"))</f>
        <v>Rosemary Green</v>
      </c>
      <c r="N3806" s="350" t="str">
        <f ca="1">IF($B3806="Portfolio","Portfolio",IFERROR(INDEX(DATA_ASSET_CLASSIFICATION!$U$8:$U$24,MATCH($C3806,DATA_ASSET_CLASSIFICATION!$A$8:$A$24,0)),"Review"))</f>
        <v>Refi Watch</v>
      </c>
      <c r="O3806" s="350" t="str">
        <f ca="1">IF($B3806="Portfolio","Portfolio",IFERROR(INDEX(DATA_ASSET_CLASSIFICATION!$AB$8:$AB$13,MATCH($N3806,DATA_ASSET_CLASSIFICATION!$AA$8:$AA$13,0)),"Review"))</f>
        <v>Bucket 2 · Legacy</v>
      </c>
      <c r="P3806" s="350" t="str">
        <f>IF($B3806="Portfolio","Portfolio",IFERROR(INDEX(DATA_ASSET_CLASSIFICATION!$C$8:$C$24,MATCH($C3806,DATA_ASSET_CLASSIFICATION!$A$8:$A$24,0)),"Review"))</f>
        <v>Yes</v>
      </c>
      <c r="Q3806" s="350" t="str">
        <f t="shared" ca="1" si="119"/>
        <v>OK</v>
      </c>
    </row>
    <row r="3807" spans="1:17">
      <c r="A3807" s="366" t="s">
        <v>5763</v>
      </c>
      <c r="B3807" s="366" t="s">
        <v>231</v>
      </c>
      <c r="C3807" s="348" t="str">
        <f>DATA_PROPERTY_MASTER!$A$17</f>
        <v>BLD_RG</v>
      </c>
      <c r="D3807" s="380">
        <f>'00_PORTFOLIO ROLLUP'!G$12</f>
        <v>2027</v>
      </c>
      <c r="E3807" s="366" t="s">
        <v>1721</v>
      </c>
      <c r="F3807" s="366" t="s">
        <v>35</v>
      </c>
      <c r="G3807" s="348" t="str">
        <f>"'"&amp;$C3807&amp;"'!$E$63:$Y$63"</f>
        <v>'BLD_RG'!$E$63:$Y$63</v>
      </c>
      <c r="H3807" s="381">
        <f ca="1">IF(IFERROR(INDEX(DATA_PROPERTY_MASTER!$E$5:$E$21,MATCH($C3807,DATA_PROPERTY_MASTER!$A$5:$A$21,0))="Yes",FALSE),IFERROR(INDEX(INDIRECT("'"&amp;$C3807&amp;"'!$E$63:$Y$63"),1,MATCH($D3807,INDIRECT("'"&amp;$C3807&amp;"'!$E$12:$Y$12"),0)),0),0)</f>
        <v>0</v>
      </c>
      <c r="I3807" s="366" t="s">
        <v>1731</v>
      </c>
      <c r="J3807" s="348" t="str">
        <f t="shared" ca="1" si="118"/>
        <v>OK</v>
      </c>
      <c r="K3807" s="366" t="s">
        <v>1732</v>
      </c>
      <c r="L3807" s="366" t="s">
        <v>2256</v>
      </c>
      <c r="M3807" s="350" t="str">
        <f>IF($B3807="Portfolio","Portfolio",IFERROR(INDEX(DATA_ASSET_CLASSIFICATION!$B$8:$B$24,MATCH($C3807,DATA_ASSET_CLASSIFICATION!$A$8:$A$24,0)),"Review"))</f>
        <v>Rosemary Green</v>
      </c>
      <c r="N3807" s="350" t="str">
        <f ca="1">IF($B3807="Portfolio","Portfolio",IFERROR(INDEX(DATA_ASSET_CLASSIFICATION!$U$8:$U$24,MATCH($C3807,DATA_ASSET_CLASSIFICATION!$A$8:$A$24,0)),"Review"))</f>
        <v>Refi Watch</v>
      </c>
      <c r="O3807" s="350" t="str">
        <f ca="1">IF($B3807="Portfolio","Portfolio",IFERROR(INDEX(DATA_ASSET_CLASSIFICATION!$AB$8:$AB$13,MATCH($N3807,DATA_ASSET_CLASSIFICATION!$AA$8:$AA$13,0)),"Review"))</f>
        <v>Bucket 2 · Legacy</v>
      </c>
      <c r="P3807" s="350" t="str">
        <f>IF($B3807="Portfolio","Portfolio",IFERROR(INDEX(DATA_ASSET_CLASSIFICATION!$C$8:$C$24,MATCH($C3807,DATA_ASSET_CLASSIFICATION!$A$8:$A$24,0)),"Review"))</f>
        <v>Yes</v>
      </c>
      <c r="Q3807" s="350" t="str">
        <f t="shared" ca="1" si="119"/>
        <v>OK</v>
      </c>
    </row>
    <row r="3808" spans="1:17">
      <c r="A3808" s="366" t="s">
        <v>5764</v>
      </c>
      <c r="B3808" s="366" t="s">
        <v>231</v>
      </c>
      <c r="C3808" s="348" t="str">
        <f>DATA_PROPERTY_MASTER!$A$17</f>
        <v>BLD_RG</v>
      </c>
      <c r="D3808" s="380">
        <f>'00_PORTFOLIO ROLLUP'!G$12</f>
        <v>2027</v>
      </c>
      <c r="E3808" s="366" t="s">
        <v>1721</v>
      </c>
      <c r="F3808" s="366" t="s">
        <v>37</v>
      </c>
      <c r="G3808" s="348" t="str">
        <f>"'"&amp;$C3808&amp;"'!$E$63:$Y$63"</f>
        <v>'BLD_RG'!$E$63:$Y$63</v>
      </c>
      <c r="H3808" s="381">
        <f ca="1">IF(IFERROR(INDEX(DATA_PROPERTY_MASTER!$E$5:$E$21,MATCH($C3808,DATA_PROPERTY_MASTER!$A$5:$A$21,0))="Yes",FALSE),MAX(IFERROR(INDEX(INDIRECT("'"&amp;$C3808&amp;"'!$E$63:$Y$63"),1,MATCH($D3808,INDIRECT("'"&amp;$C3808&amp;"'!$E$12:$Y$12"),0)),0),0),0)</f>
        <v>0</v>
      </c>
      <c r="I3808" s="366" t="s">
        <v>1685</v>
      </c>
      <c r="J3808" s="348" t="str">
        <f t="shared" ca="1" si="118"/>
        <v>OK</v>
      </c>
      <c r="K3808" s="366" t="s">
        <v>1735</v>
      </c>
      <c r="L3808" s="366" t="s">
        <v>2258</v>
      </c>
      <c r="M3808" s="350" t="str">
        <f>IF($B3808="Portfolio","Portfolio",IFERROR(INDEX(DATA_ASSET_CLASSIFICATION!$B$8:$B$24,MATCH($C3808,DATA_ASSET_CLASSIFICATION!$A$8:$A$24,0)),"Review"))</f>
        <v>Rosemary Green</v>
      </c>
      <c r="N3808" s="350" t="str">
        <f ca="1">IF($B3808="Portfolio","Portfolio",IFERROR(INDEX(DATA_ASSET_CLASSIFICATION!$U$8:$U$24,MATCH($C3808,DATA_ASSET_CLASSIFICATION!$A$8:$A$24,0)),"Review"))</f>
        <v>Refi Watch</v>
      </c>
      <c r="O3808" s="350" t="str">
        <f ca="1">IF($B3808="Portfolio","Portfolio",IFERROR(INDEX(DATA_ASSET_CLASSIFICATION!$AB$8:$AB$13,MATCH($N3808,DATA_ASSET_CLASSIFICATION!$AA$8:$AA$13,0)),"Review"))</f>
        <v>Bucket 2 · Legacy</v>
      </c>
      <c r="P3808" s="350" t="str">
        <f>IF($B3808="Portfolio","Portfolio",IFERROR(INDEX(DATA_ASSET_CLASSIFICATION!$C$8:$C$24,MATCH($C3808,DATA_ASSET_CLASSIFICATION!$A$8:$A$24,0)),"Review"))</f>
        <v>Yes</v>
      </c>
      <c r="Q3808" s="350" t="str">
        <f t="shared" ca="1" si="119"/>
        <v>OK</v>
      </c>
    </row>
    <row r="3809" spans="1:17">
      <c r="A3809" s="366" t="s">
        <v>5765</v>
      </c>
      <c r="B3809" s="366" t="s">
        <v>231</v>
      </c>
      <c r="C3809" s="348" t="str">
        <f>DATA_PROPERTY_MASTER!$A$17</f>
        <v>BLD_RG</v>
      </c>
      <c r="D3809" s="380">
        <f>'00_PORTFOLIO ROLLUP'!G$12</f>
        <v>2027</v>
      </c>
      <c r="E3809" s="366" t="s">
        <v>1721</v>
      </c>
      <c r="F3809" s="366" t="s">
        <v>39</v>
      </c>
      <c r="G3809" s="348" t="str">
        <f>"'"&amp;$C3809&amp;"'!$E$63:$Y$63"</f>
        <v>'BLD_RG'!$E$63:$Y$63</v>
      </c>
      <c r="H3809" s="381">
        <f ca="1">IF(IFERROR(INDEX(DATA_PROPERTY_MASTER!$E$5:$E$21,MATCH($C3809,DATA_PROPERTY_MASTER!$A$5:$A$21,0))="Yes",FALSE),MAX(-IFERROR(INDEX(INDIRECT("'"&amp;$C3809&amp;"'!$E$63:$Y$63"),1,MATCH($D3809,INDIRECT("'"&amp;$C3809&amp;"'!$E$12:$Y$12"),0)),0),0),0)</f>
        <v>0</v>
      </c>
      <c r="I3809" s="366" t="s">
        <v>1690</v>
      </c>
      <c r="J3809" s="348" t="str">
        <f t="shared" ca="1" si="118"/>
        <v>OK</v>
      </c>
      <c r="K3809" s="366" t="s">
        <v>1738</v>
      </c>
      <c r="L3809" s="366" t="s">
        <v>2260</v>
      </c>
      <c r="M3809" s="350" t="str">
        <f>IF($B3809="Portfolio","Portfolio",IFERROR(INDEX(DATA_ASSET_CLASSIFICATION!$B$8:$B$24,MATCH($C3809,DATA_ASSET_CLASSIFICATION!$A$8:$A$24,0)),"Review"))</f>
        <v>Rosemary Green</v>
      </c>
      <c r="N3809" s="350" t="str">
        <f ca="1">IF($B3809="Portfolio","Portfolio",IFERROR(INDEX(DATA_ASSET_CLASSIFICATION!$U$8:$U$24,MATCH($C3809,DATA_ASSET_CLASSIFICATION!$A$8:$A$24,0)),"Review"))</f>
        <v>Refi Watch</v>
      </c>
      <c r="O3809" s="350" t="str">
        <f ca="1">IF($B3809="Portfolio","Portfolio",IFERROR(INDEX(DATA_ASSET_CLASSIFICATION!$AB$8:$AB$13,MATCH($N3809,DATA_ASSET_CLASSIFICATION!$AA$8:$AA$13,0)),"Review"))</f>
        <v>Bucket 2 · Legacy</v>
      </c>
      <c r="P3809" s="350" t="str">
        <f>IF($B3809="Portfolio","Portfolio",IFERROR(INDEX(DATA_ASSET_CLASSIFICATION!$C$8:$C$24,MATCH($C3809,DATA_ASSET_CLASSIFICATION!$A$8:$A$24,0)),"Review"))</f>
        <v>Yes</v>
      </c>
      <c r="Q3809" s="350" t="str">
        <f t="shared" ca="1" si="119"/>
        <v>OK</v>
      </c>
    </row>
    <row r="3810" spans="1:17">
      <c r="A3810" s="366" t="s">
        <v>5766</v>
      </c>
      <c r="B3810" s="366" t="s">
        <v>231</v>
      </c>
      <c r="C3810" s="348" t="str">
        <f>DATA_PROPERTY_MASTER!$A$17</f>
        <v>BLD_RG</v>
      </c>
      <c r="D3810" s="380">
        <f>'00_PORTFOLIO ROLLUP'!G$12</f>
        <v>2027</v>
      </c>
      <c r="E3810" s="366" t="s">
        <v>1741</v>
      </c>
      <c r="F3810" s="366" t="s">
        <v>41</v>
      </c>
      <c r="G3810" s="348" t="str">
        <f>"'"&amp;$C3810&amp;"'!rows 56 + positive row 63"</f>
        <v>'BLD_RG'!rows 56 + positive row 63</v>
      </c>
      <c r="H3810" s="381">
        <f ca="1">IF(IFERROR(INDEX(DATA_PROPERTY_MASTER!$E$5:$E$21,MATCH($C3810,DATA_PROPERTY_MASTER!$A$5:$A$21,0))="Yes",FALSE),IFERROR(INDEX(INDIRECT("'"&amp;$C3810&amp;"'!$E$56:$Y$56"),1,MATCH($D3810,INDIRECT("'"&amp;$C3810&amp;"'!$E$12:$Y$12"),0)),0)+MAX(IFERROR(INDEX(INDIRECT("'"&amp;$C3810&amp;"'!$E$63:$Y$63"),1,MATCH($D3810,INDIRECT("'"&amp;$C3810&amp;"'!$E$12:$Y$12"),0)),0),0),0)</f>
        <v>-57086.195614400029</v>
      </c>
      <c r="I3810" s="366" t="s">
        <v>1685</v>
      </c>
      <c r="J3810" s="348" t="str">
        <f t="shared" ca="1" si="118"/>
        <v>OK</v>
      </c>
      <c r="K3810" s="366" t="s">
        <v>1742</v>
      </c>
      <c r="L3810" s="366" t="s">
        <v>2262</v>
      </c>
      <c r="M3810" s="350" t="str">
        <f>IF($B3810="Portfolio","Portfolio",IFERROR(INDEX(DATA_ASSET_CLASSIFICATION!$B$8:$B$24,MATCH($C3810,DATA_ASSET_CLASSIFICATION!$A$8:$A$24,0)),"Review"))</f>
        <v>Rosemary Green</v>
      </c>
      <c r="N3810" s="350" t="str">
        <f ca="1">IF($B3810="Portfolio","Portfolio",IFERROR(INDEX(DATA_ASSET_CLASSIFICATION!$U$8:$U$24,MATCH($C3810,DATA_ASSET_CLASSIFICATION!$A$8:$A$24,0)),"Review"))</f>
        <v>Refi Watch</v>
      </c>
      <c r="O3810" s="350" t="str">
        <f ca="1">IF($B3810="Portfolio","Portfolio",IFERROR(INDEX(DATA_ASSET_CLASSIFICATION!$AB$8:$AB$13,MATCH($N3810,DATA_ASSET_CLASSIFICATION!$AA$8:$AA$13,0)),"Review"))</f>
        <v>Bucket 2 · Legacy</v>
      </c>
      <c r="P3810" s="350" t="str">
        <f>IF($B3810="Portfolio","Portfolio",IFERROR(INDEX(DATA_ASSET_CLASSIFICATION!$C$8:$C$24,MATCH($C3810,DATA_ASSET_CLASSIFICATION!$A$8:$A$24,0)),"Review"))</f>
        <v>Yes</v>
      </c>
      <c r="Q3810" s="350" t="str">
        <f t="shared" ca="1" si="119"/>
        <v>OK</v>
      </c>
    </row>
    <row r="3811" spans="1:17">
      <c r="A3811" s="366" t="s">
        <v>5767</v>
      </c>
      <c r="B3811" s="366" t="s">
        <v>231</v>
      </c>
      <c r="C3811" s="348" t="str">
        <f>DATA_PROPERTY_MASTER!$A$17</f>
        <v>BLD_RG</v>
      </c>
      <c r="D3811" s="380">
        <f>'00_PORTFOLIO ROLLUP'!G$12</f>
        <v>2027</v>
      </c>
      <c r="E3811" s="366" t="s">
        <v>1741</v>
      </c>
      <c r="F3811" s="366" t="s">
        <v>43</v>
      </c>
      <c r="G3811" s="348" t="str">
        <f>"'"&amp;$C3811&amp;"'!$E$68:$Y$68"</f>
        <v>'BLD_RG'!$E$68:$Y$68</v>
      </c>
      <c r="H3811" s="381">
        <f ca="1">IF(IFERROR(INDEX(DATA_PROPERTY_MASTER!$E$5:$E$21,MATCH($C3811,DATA_PROPERTY_MASTER!$A$5:$A$21,0))="Yes",FALSE),IFERROR(INDEX(INDIRECT("'"&amp;$C3811&amp;"'!$E$68:$Y$68"),1,MATCH($D3811,INDIRECT("'"&amp;$C3811&amp;"'!$E$12:$Y$12"),0)),0),0)</f>
        <v>-57086.195614400029</v>
      </c>
      <c r="I3811" s="366" t="s">
        <v>1731</v>
      </c>
      <c r="J3811" s="348" t="str">
        <f t="shared" ca="1" si="118"/>
        <v>OK</v>
      </c>
      <c r="K3811" s="366" t="s">
        <v>1746</v>
      </c>
      <c r="L3811" s="366" t="s">
        <v>2264</v>
      </c>
      <c r="M3811" s="350" t="str">
        <f>IF($B3811="Portfolio","Portfolio",IFERROR(INDEX(DATA_ASSET_CLASSIFICATION!$B$8:$B$24,MATCH($C3811,DATA_ASSET_CLASSIFICATION!$A$8:$A$24,0)),"Review"))</f>
        <v>Rosemary Green</v>
      </c>
      <c r="N3811" s="350" t="str">
        <f ca="1">IF($B3811="Portfolio","Portfolio",IFERROR(INDEX(DATA_ASSET_CLASSIFICATION!$U$8:$U$24,MATCH($C3811,DATA_ASSET_CLASSIFICATION!$A$8:$A$24,0)),"Review"))</f>
        <v>Refi Watch</v>
      </c>
      <c r="O3811" s="350" t="str">
        <f ca="1">IF($B3811="Portfolio","Portfolio",IFERROR(INDEX(DATA_ASSET_CLASSIFICATION!$AB$8:$AB$13,MATCH($N3811,DATA_ASSET_CLASSIFICATION!$AA$8:$AA$13,0)),"Review"))</f>
        <v>Bucket 2 · Legacy</v>
      </c>
      <c r="P3811" s="350" t="str">
        <f>IF($B3811="Portfolio","Portfolio",IFERROR(INDEX(DATA_ASSET_CLASSIFICATION!$C$8:$C$24,MATCH($C3811,DATA_ASSET_CLASSIFICATION!$A$8:$A$24,0)),"Review"))</f>
        <v>Yes</v>
      </c>
      <c r="Q3811" s="350" t="str">
        <f t="shared" ca="1" si="119"/>
        <v>OK</v>
      </c>
    </row>
    <row r="3812" spans="1:17">
      <c r="A3812" s="366" t="s">
        <v>5768</v>
      </c>
      <c r="B3812" s="366" t="s">
        <v>231</v>
      </c>
      <c r="C3812" s="348" t="str">
        <f>DATA_PROPERTY_MASTER!$A$17</f>
        <v>BLD_RG</v>
      </c>
      <c r="D3812" s="380">
        <f>'00_PORTFOLIO ROLLUP'!G$12</f>
        <v>2027</v>
      </c>
      <c r="E3812" s="366" t="s">
        <v>1741</v>
      </c>
      <c r="F3812" s="366" t="s">
        <v>1749</v>
      </c>
      <c r="G3812" s="348" t="str">
        <f>"'"&amp;$C3812&amp;"'!rows 56, 63, 68"</f>
        <v>'BLD_RG'!rows 56, 63, 68</v>
      </c>
      <c r="H3812" s="381">
        <f ca="1">IF(IFERROR(INDEX(DATA_PROPERTY_MASTER!$E$5:$E$21,MATCH($C3812,DATA_PROPERTY_MASTER!$A$5:$A$21,0))="Yes",FALSE),(IFERROR(INDEX(INDIRECT("'"&amp;$C3812&amp;"'!$E$56:$Y$56"),1,MATCH($D3812,INDIRECT("'"&amp;$C3812&amp;"'!$E$12:$Y$12"),0)),0)+MAX(IFERROR(INDEX(INDIRECT("'"&amp;$C3812&amp;"'!$E$63:$Y$63"),1,MATCH($D3812,INDIRECT("'"&amp;$C3812&amp;"'!$E$12:$Y$12"),0)),0),0))-(IFERROR(INDEX(INDIRECT("'"&amp;$C3812&amp;"'!$E$68:$Y$68"),1,MATCH($D3812,INDIRECT("'"&amp;$C3812&amp;"'!$E$12:$Y$12"),0)),0)),0)</f>
        <v>0</v>
      </c>
      <c r="I3812" s="366" t="s">
        <v>1750</v>
      </c>
      <c r="J3812" s="348" t="str">
        <f t="shared" ca="1" si="118"/>
        <v>OK</v>
      </c>
      <c r="K3812" s="366" t="s">
        <v>1751</v>
      </c>
      <c r="L3812" s="366" t="s">
        <v>2266</v>
      </c>
      <c r="M3812" s="350" t="str">
        <f>IF($B3812="Portfolio","Portfolio",IFERROR(INDEX(DATA_ASSET_CLASSIFICATION!$B$8:$B$24,MATCH($C3812,DATA_ASSET_CLASSIFICATION!$A$8:$A$24,0)),"Review"))</f>
        <v>Rosemary Green</v>
      </c>
      <c r="N3812" s="350" t="str">
        <f ca="1">IF($B3812="Portfolio","Portfolio",IFERROR(INDEX(DATA_ASSET_CLASSIFICATION!$U$8:$U$24,MATCH($C3812,DATA_ASSET_CLASSIFICATION!$A$8:$A$24,0)),"Review"))</f>
        <v>Refi Watch</v>
      </c>
      <c r="O3812" s="350" t="str">
        <f ca="1">IF($B3812="Portfolio","Portfolio",IFERROR(INDEX(DATA_ASSET_CLASSIFICATION!$AB$8:$AB$13,MATCH($N3812,DATA_ASSET_CLASSIFICATION!$AA$8:$AA$13,0)),"Review"))</f>
        <v>Bucket 2 · Legacy</v>
      </c>
      <c r="P3812" s="350" t="str">
        <f>IF($B3812="Portfolio","Portfolio",IFERROR(INDEX(DATA_ASSET_CLASSIFICATION!$C$8:$C$24,MATCH($C3812,DATA_ASSET_CLASSIFICATION!$A$8:$A$24,0)),"Review"))</f>
        <v>Yes</v>
      </c>
      <c r="Q3812" s="350" t="str">
        <f t="shared" ca="1" si="119"/>
        <v>OK</v>
      </c>
    </row>
    <row r="3813" spans="1:17">
      <c r="A3813" s="366" t="s">
        <v>5769</v>
      </c>
      <c r="B3813" s="366" t="s">
        <v>231</v>
      </c>
      <c r="C3813" s="348" t="str">
        <f>DATA_PROPERTY_MASTER!$A$17</f>
        <v>BLD_RG</v>
      </c>
      <c r="D3813" s="380">
        <f>'00_PORTFOLIO ROLLUP'!H$12</f>
        <v>2028</v>
      </c>
      <c r="E3813" s="366" t="s">
        <v>1683</v>
      </c>
      <c r="F3813" s="366" t="s">
        <v>341</v>
      </c>
      <c r="G3813" s="348" t="str">
        <f>"'"&amp;$C3813&amp;"'!$E$24:$Y$24"</f>
        <v>'BLD_RG'!$E$24:$Y$24</v>
      </c>
      <c r="H3813" s="381">
        <f ca="1">IF(IFERROR(INDEX(DATA_PROPERTY_MASTER!$E$5:$E$21,MATCH($C3813,DATA_PROPERTY_MASTER!$A$5:$A$21,0))="Yes",FALSE),IFERROR(INDEX(INDIRECT("'"&amp;$C3813&amp;"'!$E$24:$Y$24"),1,MATCH($D3813,INDIRECT("'"&amp;$C3813&amp;"'!$E$12:$Y$12"),0)),0),0)</f>
        <v>476584.86648931197</v>
      </c>
      <c r="I3813" s="366" t="s">
        <v>1685</v>
      </c>
      <c r="J3813" s="348" t="str">
        <f t="shared" ca="1" si="118"/>
        <v>OK</v>
      </c>
      <c r="K3813" s="366" t="s">
        <v>1686</v>
      </c>
      <c r="L3813" s="366" t="s">
        <v>2234</v>
      </c>
      <c r="M3813" s="350" t="str">
        <f>IF($B3813="Portfolio","Portfolio",IFERROR(INDEX(DATA_ASSET_CLASSIFICATION!$B$8:$B$24,MATCH($C3813,DATA_ASSET_CLASSIFICATION!$A$8:$A$24,0)),"Review"))</f>
        <v>Rosemary Green</v>
      </c>
      <c r="N3813" s="350" t="str">
        <f ca="1">IF($B3813="Portfolio","Portfolio",IFERROR(INDEX(DATA_ASSET_CLASSIFICATION!$U$8:$U$24,MATCH($C3813,DATA_ASSET_CLASSIFICATION!$A$8:$A$24,0)),"Review"))</f>
        <v>Refi Watch</v>
      </c>
      <c r="O3813" s="350" t="str">
        <f ca="1">IF($B3813="Portfolio","Portfolio",IFERROR(INDEX(DATA_ASSET_CLASSIFICATION!$AB$8:$AB$13,MATCH($N3813,DATA_ASSET_CLASSIFICATION!$AA$8:$AA$13,0)),"Review"))</f>
        <v>Bucket 2 · Legacy</v>
      </c>
      <c r="P3813" s="350" t="str">
        <f>IF($B3813="Portfolio","Portfolio",IFERROR(INDEX(DATA_ASSET_CLASSIFICATION!$C$8:$C$24,MATCH($C3813,DATA_ASSET_CLASSIFICATION!$A$8:$A$24,0)),"Review"))</f>
        <v>Yes</v>
      </c>
      <c r="Q3813" s="350" t="str">
        <f t="shared" ca="1" si="119"/>
        <v>OK</v>
      </c>
    </row>
    <row r="3814" spans="1:17">
      <c r="A3814" s="366" t="s">
        <v>5770</v>
      </c>
      <c r="B3814" s="366" t="s">
        <v>231</v>
      </c>
      <c r="C3814" s="348" t="str">
        <f>DATA_PROPERTY_MASTER!$A$17</f>
        <v>BLD_RG</v>
      </c>
      <c r="D3814" s="380">
        <f>'00_PORTFOLIO ROLLUP'!H$12</f>
        <v>2028</v>
      </c>
      <c r="E3814" s="366" t="s">
        <v>1683</v>
      </c>
      <c r="F3814" s="366" t="s">
        <v>355</v>
      </c>
      <c r="G3814" s="348" t="str">
        <f>"'"&amp;$C3814&amp;"'!$E$39:$Y$39"</f>
        <v>'BLD_RG'!$E$39:$Y$39</v>
      </c>
      <c r="H3814" s="381">
        <f ca="1">IF(IFERROR(INDEX(DATA_PROPERTY_MASTER!$E$5:$E$21,MATCH($C3814,DATA_PROPERTY_MASTER!$A$5:$A$21,0))="Yes",FALSE),IFERROR(INDEX(INDIRECT("'"&amp;$C3814&amp;"'!$E$39:$Y$39"),1,MATCH($D3814,INDIRECT("'"&amp;$C3814&amp;"'!$E$12:$Y$12"),0)),0),0)</f>
        <v>242507.18003200003</v>
      </c>
      <c r="I3814" s="366" t="s">
        <v>1690</v>
      </c>
      <c r="J3814" s="348" t="str">
        <f t="shared" ca="1" si="118"/>
        <v>OK</v>
      </c>
      <c r="K3814" s="366" t="s">
        <v>1686</v>
      </c>
      <c r="L3814" s="366" t="s">
        <v>2236</v>
      </c>
      <c r="M3814" s="350" t="str">
        <f>IF($B3814="Portfolio","Portfolio",IFERROR(INDEX(DATA_ASSET_CLASSIFICATION!$B$8:$B$24,MATCH($C3814,DATA_ASSET_CLASSIFICATION!$A$8:$A$24,0)),"Review"))</f>
        <v>Rosemary Green</v>
      </c>
      <c r="N3814" s="350" t="str">
        <f ca="1">IF($B3814="Portfolio","Portfolio",IFERROR(INDEX(DATA_ASSET_CLASSIFICATION!$U$8:$U$24,MATCH($C3814,DATA_ASSET_CLASSIFICATION!$A$8:$A$24,0)),"Review"))</f>
        <v>Refi Watch</v>
      </c>
      <c r="O3814" s="350" t="str">
        <f ca="1">IF($B3814="Portfolio","Portfolio",IFERROR(INDEX(DATA_ASSET_CLASSIFICATION!$AB$8:$AB$13,MATCH($N3814,DATA_ASSET_CLASSIFICATION!$AA$8:$AA$13,0)),"Review"))</f>
        <v>Bucket 2 · Legacy</v>
      </c>
      <c r="P3814" s="350" t="str">
        <f>IF($B3814="Portfolio","Portfolio",IFERROR(INDEX(DATA_ASSET_CLASSIFICATION!$C$8:$C$24,MATCH($C3814,DATA_ASSET_CLASSIFICATION!$A$8:$A$24,0)),"Review"))</f>
        <v>Yes</v>
      </c>
      <c r="Q3814" s="350" t="str">
        <f t="shared" ca="1" si="119"/>
        <v>OK</v>
      </c>
    </row>
    <row r="3815" spans="1:17">
      <c r="A3815" s="366" t="s">
        <v>5771</v>
      </c>
      <c r="B3815" s="366" t="s">
        <v>231</v>
      </c>
      <c r="C3815" s="348" t="str">
        <f>DATA_PROPERTY_MASTER!$A$17</f>
        <v>BLD_RG</v>
      </c>
      <c r="D3815" s="380">
        <f>'00_PORTFOLIO ROLLUP'!H$12</f>
        <v>2028</v>
      </c>
      <c r="E3815" s="366" t="s">
        <v>1683</v>
      </c>
      <c r="F3815" s="366" t="s">
        <v>19</v>
      </c>
      <c r="G3815" s="348" t="str">
        <f>"'"&amp;$C3815&amp;"'!$E$41:$Y$41"</f>
        <v>'BLD_RG'!$E$41:$Y$41</v>
      </c>
      <c r="H3815" s="381">
        <f ca="1">IF(IFERROR(INDEX(DATA_PROPERTY_MASTER!$E$5:$E$21,MATCH($C3815,DATA_PROPERTY_MASTER!$A$5:$A$21,0))="Yes",FALSE),IFERROR(INDEX(INDIRECT("'"&amp;$C3815&amp;"'!$E$41:$Y$41"),1,MATCH($D3815,INDIRECT("'"&amp;$C3815&amp;"'!$E$12:$Y$12"),0)),0),0)</f>
        <v>234077.68645731194</v>
      </c>
      <c r="I3815" s="366" t="s">
        <v>1685</v>
      </c>
      <c r="J3815" s="348" t="str">
        <f t="shared" ca="1" si="118"/>
        <v>OK</v>
      </c>
      <c r="K3815" s="366" t="s">
        <v>1694</v>
      </c>
      <c r="L3815" s="366" t="s">
        <v>2238</v>
      </c>
      <c r="M3815" s="350" t="str">
        <f>IF($B3815="Portfolio","Portfolio",IFERROR(INDEX(DATA_ASSET_CLASSIFICATION!$B$8:$B$24,MATCH($C3815,DATA_ASSET_CLASSIFICATION!$A$8:$A$24,0)),"Review"))</f>
        <v>Rosemary Green</v>
      </c>
      <c r="N3815" s="350" t="str">
        <f ca="1">IF($B3815="Portfolio","Portfolio",IFERROR(INDEX(DATA_ASSET_CLASSIFICATION!$U$8:$U$24,MATCH($C3815,DATA_ASSET_CLASSIFICATION!$A$8:$A$24,0)),"Review"))</f>
        <v>Refi Watch</v>
      </c>
      <c r="O3815" s="350" t="str">
        <f ca="1">IF($B3815="Portfolio","Portfolio",IFERROR(INDEX(DATA_ASSET_CLASSIFICATION!$AB$8:$AB$13,MATCH($N3815,DATA_ASSET_CLASSIFICATION!$AA$8:$AA$13,0)),"Review"))</f>
        <v>Bucket 2 · Legacy</v>
      </c>
      <c r="P3815" s="350" t="str">
        <f>IF($B3815="Portfolio","Portfolio",IFERROR(INDEX(DATA_ASSET_CLASSIFICATION!$C$8:$C$24,MATCH($C3815,DATA_ASSET_CLASSIFICATION!$A$8:$A$24,0)),"Review"))</f>
        <v>Yes</v>
      </c>
      <c r="Q3815" s="350" t="str">
        <f t="shared" ca="1" si="119"/>
        <v>OK</v>
      </c>
    </row>
    <row r="3816" spans="1:17">
      <c r="A3816" s="366" t="s">
        <v>5772</v>
      </c>
      <c r="B3816" s="366" t="s">
        <v>231</v>
      </c>
      <c r="C3816" s="348" t="str">
        <f>DATA_PROPERTY_MASTER!$A$17</f>
        <v>BLD_RG</v>
      </c>
      <c r="D3816" s="380">
        <f>'00_PORTFOLIO ROLLUP'!H$12</f>
        <v>2028</v>
      </c>
      <c r="E3816" s="366" t="s">
        <v>1683</v>
      </c>
      <c r="F3816" s="366" t="s">
        <v>1697</v>
      </c>
      <c r="G3816" s="348" t="str">
        <f>"'"&amp;$C3816&amp;"'!$E$44:$Y$44"</f>
        <v>'BLD_RG'!$E$44:$Y$44</v>
      </c>
      <c r="H3816" s="381">
        <f ca="1">IF(IFERROR(INDEX(DATA_PROPERTY_MASTER!$E$5:$E$21,MATCH($C3816,DATA_PROPERTY_MASTER!$A$5:$A$21,0))="Yes",FALSE),IFERROR(INDEX(INDIRECT("'"&amp;$C3816&amp;"'!$E$44:$Y$44"),1,MATCH($D3816,INDIRECT("'"&amp;$C3816&amp;"'!$E$12:$Y$12"),0)),0),0)</f>
        <v>6048.8855999999996</v>
      </c>
      <c r="I3816" s="366" t="s">
        <v>1690</v>
      </c>
      <c r="J3816" s="348" t="str">
        <f t="shared" ca="1" si="118"/>
        <v>OK</v>
      </c>
      <c r="K3816" s="366" t="s">
        <v>1699</v>
      </c>
      <c r="L3816" s="366" t="s">
        <v>2240</v>
      </c>
      <c r="M3816" s="350" t="str">
        <f>IF($B3816="Portfolio","Portfolio",IFERROR(INDEX(DATA_ASSET_CLASSIFICATION!$B$8:$B$24,MATCH($C3816,DATA_ASSET_CLASSIFICATION!$A$8:$A$24,0)),"Review"))</f>
        <v>Rosemary Green</v>
      </c>
      <c r="N3816" s="350" t="str">
        <f ca="1">IF($B3816="Portfolio","Portfolio",IFERROR(INDEX(DATA_ASSET_CLASSIFICATION!$U$8:$U$24,MATCH($C3816,DATA_ASSET_CLASSIFICATION!$A$8:$A$24,0)),"Review"))</f>
        <v>Refi Watch</v>
      </c>
      <c r="O3816" s="350" t="str">
        <f ca="1">IF($B3816="Portfolio","Portfolio",IFERROR(INDEX(DATA_ASSET_CLASSIFICATION!$AB$8:$AB$13,MATCH($N3816,DATA_ASSET_CLASSIFICATION!$AA$8:$AA$13,0)),"Review"))</f>
        <v>Bucket 2 · Legacy</v>
      </c>
      <c r="P3816" s="350" t="str">
        <f>IF($B3816="Portfolio","Portfolio",IFERROR(INDEX(DATA_ASSET_CLASSIFICATION!$C$8:$C$24,MATCH($C3816,DATA_ASSET_CLASSIFICATION!$A$8:$A$24,0)),"Review"))</f>
        <v>Yes</v>
      </c>
      <c r="Q3816" s="350" t="str">
        <f t="shared" ca="1" si="119"/>
        <v>OK</v>
      </c>
    </row>
    <row r="3817" spans="1:17">
      <c r="A3817" s="366" t="s">
        <v>5773</v>
      </c>
      <c r="B3817" s="366" t="s">
        <v>231</v>
      </c>
      <c r="C3817" s="348" t="str">
        <f>DATA_PROPERTY_MASTER!$A$17</f>
        <v>BLD_RG</v>
      </c>
      <c r="D3817" s="380">
        <f>'00_PORTFOLIO ROLLUP'!H$12</f>
        <v>2028</v>
      </c>
      <c r="E3817" s="366" t="s">
        <v>1683</v>
      </c>
      <c r="F3817" s="366" t="s">
        <v>21</v>
      </c>
      <c r="G3817" s="348" t="str">
        <f>"'"&amp;$C3817&amp;"'!$E$45:$Y$45"</f>
        <v>'BLD_RG'!$E$45:$Y$45</v>
      </c>
      <c r="H3817" s="381">
        <f ca="1">IF(IFERROR(INDEX(DATA_PROPERTY_MASTER!$E$5:$E$21,MATCH($C3817,DATA_PROPERTY_MASTER!$A$5:$A$21,0))="Yes",FALSE),IFERROR(INDEX(INDIRECT("'"&amp;$C3817&amp;"'!$E$45:$Y$45"),1,MATCH($D3817,INDIRECT("'"&amp;$C3817&amp;"'!$E$12:$Y$12"),0)),0),0)</f>
        <v>228028.80085731193</v>
      </c>
      <c r="I3817" s="366" t="s">
        <v>1685</v>
      </c>
      <c r="J3817" s="348" t="str">
        <f t="shared" ca="1" si="118"/>
        <v>OK</v>
      </c>
      <c r="K3817" s="366" t="s">
        <v>1694</v>
      </c>
      <c r="L3817" s="366" t="s">
        <v>2242</v>
      </c>
      <c r="M3817" s="350" t="str">
        <f>IF($B3817="Portfolio","Portfolio",IFERROR(INDEX(DATA_ASSET_CLASSIFICATION!$B$8:$B$24,MATCH($C3817,DATA_ASSET_CLASSIFICATION!$A$8:$A$24,0)),"Review"))</f>
        <v>Rosemary Green</v>
      </c>
      <c r="N3817" s="350" t="str">
        <f ca="1">IF($B3817="Portfolio","Portfolio",IFERROR(INDEX(DATA_ASSET_CLASSIFICATION!$U$8:$U$24,MATCH($C3817,DATA_ASSET_CLASSIFICATION!$A$8:$A$24,0)),"Review"))</f>
        <v>Refi Watch</v>
      </c>
      <c r="O3817" s="350" t="str">
        <f ca="1">IF($B3817="Portfolio","Portfolio",IFERROR(INDEX(DATA_ASSET_CLASSIFICATION!$AB$8:$AB$13,MATCH($N3817,DATA_ASSET_CLASSIFICATION!$AA$8:$AA$13,0)),"Review"))</f>
        <v>Bucket 2 · Legacy</v>
      </c>
      <c r="P3817" s="350" t="str">
        <f>IF($B3817="Portfolio","Portfolio",IFERROR(INDEX(DATA_ASSET_CLASSIFICATION!$C$8:$C$24,MATCH($C3817,DATA_ASSET_CLASSIFICATION!$A$8:$A$24,0)),"Review"))</f>
        <v>Yes</v>
      </c>
      <c r="Q3817" s="350" t="str">
        <f t="shared" ca="1" si="119"/>
        <v>OK</v>
      </c>
    </row>
    <row r="3818" spans="1:17">
      <c r="A3818" s="366" t="s">
        <v>5774</v>
      </c>
      <c r="B3818" s="366" t="s">
        <v>231</v>
      </c>
      <c r="C3818" s="348" t="str">
        <f>DATA_PROPERTY_MASTER!$A$17</f>
        <v>BLD_RG</v>
      </c>
      <c r="D3818" s="380">
        <f>'00_PORTFOLIO ROLLUP'!H$12</f>
        <v>2028</v>
      </c>
      <c r="E3818" s="366" t="s">
        <v>23</v>
      </c>
      <c r="F3818" s="366" t="s">
        <v>23</v>
      </c>
      <c r="G3818" s="348" t="str">
        <f>"'"&amp;$C3818&amp;"'!$E$48:$Y$48"</f>
        <v>'BLD_RG'!$E$48:$Y$48</v>
      </c>
      <c r="H3818" s="381">
        <f ca="1">IF(IFERROR(INDEX(DATA_PROPERTY_MASTER!$E$5:$E$21,MATCH($C3818,DATA_PROPERTY_MASTER!$A$5:$A$21,0))="Yes",FALSE),IFERROR(INDEX(INDIRECT("'"&amp;$C3818&amp;"'!$E$48:$Y$48"),1,MATCH($D3818,INDIRECT("'"&amp;$C3818&amp;"'!$E$12:$Y$12"),0)),0),0)</f>
        <v>291146.28000000003</v>
      </c>
      <c r="I3818" s="366" t="s">
        <v>1690</v>
      </c>
      <c r="J3818" s="348" t="str">
        <f t="shared" ca="1" si="118"/>
        <v>OK</v>
      </c>
      <c r="K3818" s="366" t="s">
        <v>1706</v>
      </c>
      <c r="L3818" s="366" t="s">
        <v>2244</v>
      </c>
      <c r="M3818" s="350" t="str">
        <f>IF($B3818="Portfolio","Portfolio",IFERROR(INDEX(DATA_ASSET_CLASSIFICATION!$B$8:$B$24,MATCH($C3818,DATA_ASSET_CLASSIFICATION!$A$8:$A$24,0)),"Review"))</f>
        <v>Rosemary Green</v>
      </c>
      <c r="N3818" s="350" t="str">
        <f ca="1">IF($B3818="Portfolio","Portfolio",IFERROR(INDEX(DATA_ASSET_CLASSIFICATION!$U$8:$U$24,MATCH($C3818,DATA_ASSET_CLASSIFICATION!$A$8:$A$24,0)),"Review"))</f>
        <v>Refi Watch</v>
      </c>
      <c r="O3818" s="350" t="str">
        <f ca="1">IF($B3818="Portfolio","Portfolio",IFERROR(INDEX(DATA_ASSET_CLASSIFICATION!$AB$8:$AB$13,MATCH($N3818,DATA_ASSET_CLASSIFICATION!$AA$8:$AA$13,0)),"Review"))</f>
        <v>Bucket 2 · Legacy</v>
      </c>
      <c r="P3818" s="350" t="str">
        <f>IF($B3818="Portfolio","Portfolio",IFERROR(INDEX(DATA_ASSET_CLASSIFICATION!$C$8:$C$24,MATCH($C3818,DATA_ASSET_CLASSIFICATION!$A$8:$A$24,0)),"Review"))</f>
        <v>Yes</v>
      </c>
      <c r="Q3818" s="350" t="str">
        <f t="shared" ca="1" si="119"/>
        <v>OK</v>
      </c>
    </row>
    <row r="3819" spans="1:17">
      <c r="A3819" s="366" t="s">
        <v>5775</v>
      </c>
      <c r="B3819" s="366" t="s">
        <v>231</v>
      </c>
      <c r="C3819" s="348" t="str">
        <f>DATA_PROPERTY_MASTER!$A$17</f>
        <v>BLD_RG</v>
      </c>
      <c r="D3819" s="380">
        <f>'00_PORTFOLIO ROLLUP'!H$12</f>
        <v>2028</v>
      </c>
      <c r="E3819" s="366" t="s">
        <v>1683</v>
      </c>
      <c r="F3819" s="366" t="s">
        <v>25</v>
      </c>
      <c r="G3819" s="348" t="str">
        <f>"'"&amp;$C3819&amp;"'!$E$52:$Y$52"</f>
        <v>'BLD_RG'!$E$52:$Y$52</v>
      </c>
      <c r="H3819" s="381">
        <f ca="1">IF(IFERROR(INDEX(DATA_PROPERTY_MASTER!$E$5:$E$21,MATCH($C3819,DATA_PROPERTY_MASTER!$A$5:$A$21,0))="Yes",FALSE),IFERROR(INDEX(INDIRECT("'"&amp;$C3819&amp;"'!$E$52:$Y$52"),1,MATCH($D3819,INDIRECT("'"&amp;$C3819&amp;"'!$E$12:$Y$12"),0)),0),0)</f>
        <v>-57068.59354268809</v>
      </c>
      <c r="I3819" s="366" t="s">
        <v>1685</v>
      </c>
      <c r="J3819" s="348" t="str">
        <f t="shared" ca="1" si="118"/>
        <v>OK</v>
      </c>
      <c r="K3819" s="366" t="s">
        <v>1710</v>
      </c>
      <c r="L3819" s="366" t="s">
        <v>2246</v>
      </c>
      <c r="M3819" s="350" t="str">
        <f>IF($B3819="Portfolio","Portfolio",IFERROR(INDEX(DATA_ASSET_CLASSIFICATION!$B$8:$B$24,MATCH($C3819,DATA_ASSET_CLASSIFICATION!$A$8:$A$24,0)),"Review"))</f>
        <v>Rosemary Green</v>
      </c>
      <c r="N3819" s="350" t="str">
        <f ca="1">IF($B3819="Portfolio","Portfolio",IFERROR(INDEX(DATA_ASSET_CLASSIFICATION!$U$8:$U$24,MATCH($C3819,DATA_ASSET_CLASSIFICATION!$A$8:$A$24,0)),"Review"))</f>
        <v>Refi Watch</v>
      </c>
      <c r="O3819" s="350" t="str">
        <f ca="1">IF($B3819="Portfolio","Portfolio",IFERROR(INDEX(DATA_ASSET_CLASSIFICATION!$AB$8:$AB$13,MATCH($N3819,DATA_ASSET_CLASSIFICATION!$AA$8:$AA$13,0)),"Review"))</f>
        <v>Bucket 2 · Legacy</v>
      </c>
      <c r="P3819" s="350" t="str">
        <f>IF($B3819="Portfolio","Portfolio",IFERROR(INDEX(DATA_ASSET_CLASSIFICATION!$C$8:$C$24,MATCH($C3819,DATA_ASSET_CLASSIFICATION!$A$8:$A$24,0)),"Review"))</f>
        <v>Yes</v>
      </c>
      <c r="Q3819" s="350" t="str">
        <f t="shared" ca="1" si="119"/>
        <v>OK</v>
      </c>
    </row>
    <row r="3820" spans="1:17">
      <c r="A3820" s="366" t="s">
        <v>5776</v>
      </c>
      <c r="B3820" s="366" t="s">
        <v>231</v>
      </c>
      <c r="C3820" s="348" t="str">
        <f>DATA_PROPERTY_MASTER!$A$17</f>
        <v>BLD_RG</v>
      </c>
      <c r="D3820" s="380">
        <f>'00_PORTFOLIO ROLLUP'!H$12</f>
        <v>2028</v>
      </c>
      <c r="E3820" s="366" t="s">
        <v>1683</v>
      </c>
      <c r="F3820" s="366" t="s">
        <v>27</v>
      </c>
      <c r="G3820" s="348" t="str">
        <f>"'"&amp;$C3820&amp;"'!$E$54:$Y$54"</f>
        <v>'BLD_RG'!$E$54:$Y$54</v>
      </c>
      <c r="H3820" s="381">
        <f ca="1">IF(IFERROR(INDEX(DATA_PROPERTY_MASTER!$E$5:$E$21,MATCH($C3820,DATA_PROPERTY_MASTER!$A$5:$A$21,0))="Yes",FALSE),IFERROR(INDEX(INDIRECT("'"&amp;$C3820&amp;"'!$E$54:$Y$54"),1,MATCH($D3820,INDIRECT("'"&amp;$C3820&amp;"'!$E$12:$Y$12"),0)),0),0)</f>
        <v>0</v>
      </c>
      <c r="I3820" s="366" t="s">
        <v>1690</v>
      </c>
      <c r="J3820" s="348" t="str">
        <f t="shared" ca="1" si="118"/>
        <v>OK</v>
      </c>
      <c r="K3820" s="366" t="s">
        <v>1714</v>
      </c>
      <c r="L3820" s="366" t="s">
        <v>2248</v>
      </c>
      <c r="M3820" s="350" t="str">
        <f>IF($B3820="Portfolio","Portfolio",IFERROR(INDEX(DATA_ASSET_CLASSIFICATION!$B$8:$B$24,MATCH($C3820,DATA_ASSET_CLASSIFICATION!$A$8:$A$24,0)),"Review"))</f>
        <v>Rosemary Green</v>
      </c>
      <c r="N3820" s="350" t="str">
        <f ca="1">IF($B3820="Portfolio","Portfolio",IFERROR(INDEX(DATA_ASSET_CLASSIFICATION!$U$8:$U$24,MATCH($C3820,DATA_ASSET_CLASSIFICATION!$A$8:$A$24,0)),"Review"))</f>
        <v>Refi Watch</v>
      </c>
      <c r="O3820" s="350" t="str">
        <f ca="1">IF($B3820="Portfolio","Portfolio",IFERROR(INDEX(DATA_ASSET_CLASSIFICATION!$AB$8:$AB$13,MATCH($N3820,DATA_ASSET_CLASSIFICATION!$AA$8:$AA$13,0)),"Review"))</f>
        <v>Bucket 2 · Legacy</v>
      </c>
      <c r="P3820" s="350" t="str">
        <f>IF($B3820="Portfolio","Portfolio",IFERROR(INDEX(DATA_ASSET_CLASSIFICATION!$C$8:$C$24,MATCH($C3820,DATA_ASSET_CLASSIFICATION!$A$8:$A$24,0)),"Review"))</f>
        <v>Yes</v>
      </c>
      <c r="Q3820" s="350" t="str">
        <f t="shared" ca="1" si="119"/>
        <v>OK</v>
      </c>
    </row>
    <row r="3821" spans="1:17">
      <c r="A3821" s="366" t="s">
        <v>5777</v>
      </c>
      <c r="B3821" s="366" t="s">
        <v>231</v>
      </c>
      <c r="C3821" s="348" t="str">
        <f>DATA_PROPERTY_MASTER!$A$17</f>
        <v>BLD_RG</v>
      </c>
      <c r="D3821" s="380">
        <f>'00_PORTFOLIO ROLLUP'!H$12</f>
        <v>2028</v>
      </c>
      <c r="E3821" s="366" t="s">
        <v>1683</v>
      </c>
      <c r="F3821" s="366" t="s">
        <v>29</v>
      </c>
      <c r="G3821" s="348" t="str">
        <f>"'"&amp;$C3821&amp;"'!$E$56:$Y$56"</f>
        <v>'BLD_RG'!$E$56:$Y$56</v>
      </c>
      <c r="H3821" s="381">
        <f ca="1">IF(IFERROR(INDEX(DATA_PROPERTY_MASTER!$E$5:$E$21,MATCH($C3821,DATA_PROPERTY_MASTER!$A$5:$A$21,0))="Yes",FALSE),IFERROR(INDEX(INDIRECT("'"&amp;$C3821&amp;"'!$E$56:$Y$56"),1,MATCH($D3821,INDIRECT("'"&amp;$C3821&amp;"'!$E$12:$Y$12"),0)),0),0)</f>
        <v>-57068.59354268809</v>
      </c>
      <c r="I3821" s="366" t="s">
        <v>1685</v>
      </c>
      <c r="J3821" s="348" t="str">
        <f t="shared" ca="1" si="118"/>
        <v>OK</v>
      </c>
      <c r="K3821" s="366" t="s">
        <v>1718</v>
      </c>
      <c r="L3821" s="366" t="s">
        <v>2250</v>
      </c>
      <c r="M3821" s="350" t="str">
        <f>IF($B3821="Portfolio","Portfolio",IFERROR(INDEX(DATA_ASSET_CLASSIFICATION!$B$8:$B$24,MATCH($C3821,DATA_ASSET_CLASSIFICATION!$A$8:$A$24,0)),"Review"))</f>
        <v>Rosemary Green</v>
      </c>
      <c r="N3821" s="350" t="str">
        <f ca="1">IF($B3821="Portfolio","Portfolio",IFERROR(INDEX(DATA_ASSET_CLASSIFICATION!$U$8:$U$24,MATCH($C3821,DATA_ASSET_CLASSIFICATION!$A$8:$A$24,0)),"Review"))</f>
        <v>Refi Watch</v>
      </c>
      <c r="O3821" s="350" t="str">
        <f ca="1">IF($B3821="Portfolio","Portfolio",IFERROR(INDEX(DATA_ASSET_CLASSIFICATION!$AB$8:$AB$13,MATCH($N3821,DATA_ASSET_CLASSIFICATION!$AA$8:$AA$13,0)),"Review"))</f>
        <v>Bucket 2 · Legacy</v>
      </c>
      <c r="P3821" s="350" t="str">
        <f>IF($B3821="Portfolio","Portfolio",IFERROR(INDEX(DATA_ASSET_CLASSIFICATION!$C$8:$C$24,MATCH($C3821,DATA_ASSET_CLASSIFICATION!$A$8:$A$24,0)),"Review"))</f>
        <v>Yes</v>
      </c>
      <c r="Q3821" s="350" t="str">
        <f t="shared" ca="1" si="119"/>
        <v>OK</v>
      </c>
    </row>
    <row r="3822" spans="1:17">
      <c r="A3822" s="366" t="s">
        <v>5778</v>
      </c>
      <c r="B3822" s="366" t="s">
        <v>231</v>
      </c>
      <c r="C3822" s="348" t="str">
        <f>DATA_PROPERTY_MASTER!$A$17</f>
        <v>BLD_RG</v>
      </c>
      <c r="D3822" s="380">
        <f>'00_PORTFOLIO ROLLUP'!H$12</f>
        <v>2028</v>
      </c>
      <c r="E3822" s="366" t="s">
        <v>1721</v>
      </c>
      <c r="F3822" s="366" t="s">
        <v>31</v>
      </c>
      <c r="G3822" s="348" t="str">
        <f>"'"&amp;$C3822&amp;"'!$E$61:$Y$61"</f>
        <v>'BLD_RG'!$E$61:$Y$61</v>
      </c>
      <c r="H3822" s="381">
        <f ca="1">IF(IFERROR(INDEX(DATA_PROPERTY_MASTER!$E$5:$E$21,MATCH($C3822,DATA_PROPERTY_MASTER!$A$5:$A$21,0))="Yes",FALSE),IFERROR(INDEX(INDIRECT("'"&amp;$C3822&amp;"'!$E$61:$Y$61"),1,MATCH($D3822,INDIRECT("'"&amp;$C3822&amp;"'!$E$12:$Y$12"),0)),0),0)</f>
        <v>0</v>
      </c>
      <c r="I3822" s="366" t="s">
        <v>1690</v>
      </c>
      <c r="J3822" s="348" t="str">
        <f t="shared" ca="1" si="118"/>
        <v>OK</v>
      </c>
      <c r="K3822" s="366" t="s">
        <v>1723</v>
      </c>
      <c r="L3822" s="366" t="s">
        <v>2252</v>
      </c>
      <c r="M3822" s="350" t="str">
        <f>IF($B3822="Portfolio","Portfolio",IFERROR(INDEX(DATA_ASSET_CLASSIFICATION!$B$8:$B$24,MATCH($C3822,DATA_ASSET_CLASSIFICATION!$A$8:$A$24,0)),"Review"))</f>
        <v>Rosemary Green</v>
      </c>
      <c r="N3822" s="350" t="str">
        <f ca="1">IF($B3822="Portfolio","Portfolio",IFERROR(INDEX(DATA_ASSET_CLASSIFICATION!$U$8:$U$24,MATCH($C3822,DATA_ASSET_CLASSIFICATION!$A$8:$A$24,0)),"Review"))</f>
        <v>Refi Watch</v>
      </c>
      <c r="O3822" s="350" t="str">
        <f ca="1">IF($B3822="Portfolio","Portfolio",IFERROR(INDEX(DATA_ASSET_CLASSIFICATION!$AB$8:$AB$13,MATCH($N3822,DATA_ASSET_CLASSIFICATION!$AA$8:$AA$13,0)),"Review"))</f>
        <v>Bucket 2 · Legacy</v>
      </c>
      <c r="P3822" s="350" t="str">
        <f>IF($B3822="Portfolio","Portfolio",IFERROR(INDEX(DATA_ASSET_CLASSIFICATION!$C$8:$C$24,MATCH($C3822,DATA_ASSET_CLASSIFICATION!$A$8:$A$24,0)),"Review"))</f>
        <v>Yes</v>
      </c>
      <c r="Q3822" s="350" t="str">
        <f t="shared" ca="1" si="119"/>
        <v>OK</v>
      </c>
    </row>
    <row r="3823" spans="1:17">
      <c r="A3823" s="366" t="s">
        <v>5779</v>
      </c>
      <c r="B3823" s="366" t="s">
        <v>231</v>
      </c>
      <c r="C3823" s="348" t="str">
        <f>DATA_PROPERTY_MASTER!$A$17</f>
        <v>BLD_RG</v>
      </c>
      <c r="D3823" s="380">
        <f>'00_PORTFOLIO ROLLUP'!H$12</f>
        <v>2028</v>
      </c>
      <c r="E3823" s="366" t="s">
        <v>1721</v>
      </c>
      <c r="F3823" s="366" t="s">
        <v>33</v>
      </c>
      <c r="G3823" s="348" t="str">
        <f>"'"&amp;$C3823&amp;"'!$E$62:$Y$62"</f>
        <v>'BLD_RG'!$E$62:$Y$62</v>
      </c>
      <c r="H3823" s="381">
        <f ca="1">IF(IFERROR(INDEX(DATA_PROPERTY_MASTER!$E$5:$E$21,MATCH($C3823,DATA_PROPERTY_MASTER!$A$5:$A$21,0))="Yes",FALSE),IFERROR(INDEX(INDIRECT("'"&amp;$C3823&amp;"'!$E$62:$Y$62"),1,MATCH($D3823,INDIRECT("'"&amp;$C3823&amp;"'!$E$12:$Y$12"),0)),0),0)</f>
        <v>0</v>
      </c>
      <c r="I3823" s="366" t="s">
        <v>1685</v>
      </c>
      <c r="J3823" s="348" t="str">
        <f t="shared" ca="1" si="118"/>
        <v>OK</v>
      </c>
      <c r="K3823" s="366" t="s">
        <v>1727</v>
      </c>
      <c r="L3823" s="366" t="s">
        <v>2254</v>
      </c>
      <c r="M3823" s="350" t="str">
        <f>IF($B3823="Portfolio","Portfolio",IFERROR(INDEX(DATA_ASSET_CLASSIFICATION!$B$8:$B$24,MATCH($C3823,DATA_ASSET_CLASSIFICATION!$A$8:$A$24,0)),"Review"))</f>
        <v>Rosemary Green</v>
      </c>
      <c r="N3823" s="350" t="str">
        <f ca="1">IF($B3823="Portfolio","Portfolio",IFERROR(INDEX(DATA_ASSET_CLASSIFICATION!$U$8:$U$24,MATCH($C3823,DATA_ASSET_CLASSIFICATION!$A$8:$A$24,0)),"Review"))</f>
        <v>Refi Watch</v>
      </c>
      <c r="O3823" s="350" t="str">
        <f ca="1">IF($B3823="Portfolio","Portfolio",IFERROR(INDEX(DATA_ASSET_CLASSIFICATION!$AB$8:$AB$13,MATCH($N3823,DATA_ASSET_CLASSIFICATION!$AA$8:$AA$13,0)),"Review"))</f>
        <v>Bucket 2 · Legacy</v>
      </c>
      <c r="P3823" s="350" t="str">
        <f>IF($B3823="Portfolio","Portfolio",IFERROR(INDEX(DATA_ASSET_CLASSIFICATION!$C$8:$C$24,MATCH($C3823,DATA_ASSET_CLASSIFICATION!$A$8:$A$24,0)),"Review"))</f>
        <v>Yes</v>
      </c>
      <c r="Q3823" s="350" t="str">
        <f t="shared" ca="1" si="119"/>
        <v>OK</v>
      </c>
    </row>
    <row r="3824" spans="1:17">
      <c r="A3824" s="366" t="s">
        <v>5780</v>
      </c>
      <c r="B3824" s="366" t="s">
        <v>231</v>
      </c>
      <c r="C3824" s="348" t="str">
        <f>DATA_PROPERTY_MASTER!$A$17</f>
        <v>BLD_RG</v>
      </c>
      <c r="D3824" s="380">
        <f>'00_PORTFOLIO ROLLUP'!H$12</f>
        <v>2028</v>
      </c>
      <c r="E3824" s="366" t="s">
        <v>1721</v>
      </c>
      <c r="F3824" s="366" t="s">
        <v>35</v>
      </c>
      <c r="G3824" s="348" t="str">
        <f>"'"&amp;$C3824&amp;"'!$E$63:$Y$63"</f>
        <v>'BLD_RG'!$E$63:$Y$63</v>
      </c>
      <c r="H3824" s="381">
        <f ca="1">IF(IFERROR(INDEX(DATA_PROPERTY_MASTER!$E$5:$E$21,MATCH($C3824,DATA_PROPERTY_MASTER!$A$5:$A$21,0))="Yes",FALSE),IFERROR(INDEX(INDIRECT("'"&amp;$C3824&amp;"'!$E$63:$Y$63"),1,MATCH($D3824,INDIRECT("'"&amp;$C3824&amp;"'!$E$12:$Y$12"),0)),0),0)</f>
        <v>0</v>
      </c>
      <c r="I3824" s="366" t="s">
        <v>1731</v>
      </c>
      <c r="J3824" s="348" t="str">
        <f t="shared" ca="1" si="118"/>
        <v>OK</v>
      </c>
      <c r="K3824" s="366" t="s">
        <v>1732</v>
      </c>
      <c r="L3824" s="366" t="s">
        <v>2256</v>
      </c>
      <c r="M3824" s="350" t="str">
        <f>IF($B3824="Portfolio","Portfolio",IFERROR(INDEX(DATA_ASSET_CLASSIFICATION!$B$8:$B$24,MATCH($C3824,DATA_ASSET_CLASSIFICATION!$A$8:$A$24,0)),"Review"))</f>
        <v>Rosemary Green</v>
      </c>
      <c r="N3824" s="350" t="str">
        <f ca="1">IF($B3824="Portfolio","Portfolio",IFERROR(INDEX(DATA_ASSET_CLASSIFICATION!$U$8:$U$24,MATCH($C3824,DATA_ASSET_CLASSIFICATION!$A$8:$A$24,0)),"Review"))</f>
        <v>Refi Watch</v>
      </c>
      <c r="O3824" s="350" t="str">
        <f ca="1">IF($B3824="Portfolio","Portfolio",IFERROR(INDEX(DATA_ASSET_CLASSIFICATION!$AB$8:$AB$13,MATCH($N3824,DATA_ASSET_CLASSIFICATION!$AA$8:$AA$13,0)),"Review"))</f>
        <v>Bucket 2 · Legacy</v>
      </c>
      <c r="P3824" s="350" t="str">
        <f>IF($B3824="Portfolio","Portfolio",IFERROR(INDEX(DATA_ASSET_CLASSIFICATION!$C$8:$C$24,MATCH($C3824,DATA_ASSET_CLASSIFICATION!$A$8:$A$24,0)),"Review"))</f>
        <v>Yes</v>
      </c>
      <c r="Q3824" s="350" t="str">
        <f t="shared" ca="1" si="119"/>
        <v>OK</v>
      </c>
    </row>
    <row r="3825" spans="1:17">
      <c r="A3825" s="366" t="s">
        <v>5781</v>
      </c>
      <c r="B3825" s="366" t="s">
        <v>231</v>
      </c>
      <c r="C3825" s="348" t="str">
        <f>DATA_PROPERTY_MASTER!$A$17</f>
        <v>BLD_RG</v>
      </c>
      <c r="D3825" s="380">
        <f>'00_PORTFOLIO ROLLUP'!H$12</f>
        <v>2028</v>
      </c>
      <c r="E3825" s="366" t="s">
        <v>1721</v>
      </c>
      <c r="F3825" s="366" t="s">
        <v>37</v>
      </c>
      <c r="G3825" s="348" t="str">
        <f>"'"&amp;$C3825&amp;"'!$E$63:$Y$63"</f>
        <v>'BLD_RG'!$E$63:$Y$63</v>
      </c>
      <c r="H3825" s="381">
        <f ca="1">IF(IFERROR(INDEX(DATA_PROPERTY_MASTER!$E$5:$E$21,MATCH($C3825,DATA_PROPERTY_MASTER!$A$5:$A$21,0))="Yes",FALSE),MAX(IFERROR(INDEX(INDIRECT("'"&amp;$C3825&amp;"'!$E$63:$Y$63"),1,MATCH($D3825,INDIRECT("'"&amp;$C3825&amp;"'!$E$12:$Y$12"),0)),0),0),0)</f>
        <v>0</v>
      </c>
      <c r="I3825" s="366" t="s">
        <v>1685</v>
      </c>
      <c r="J3825" s="348" t="str">
        <f t="shared" ca="1" si="118"/>
        <v>OK</v>
      </c>
      <c r="K3825" s="366" t="s">
        <v>1735</v>
      </c>
      <c r="L3825" s="366" t="s">
        <v>2258</v>
      </c>
      <c r="M3825" s="350" t="str">
        <f>IF($B3825="Portfolio","Portfolio",IFERROR(INDEX(DATA_ASSET_CLASSIFICATION!$B$8:$B$24,MATCH($C3825,DATA_ASSET_CLASSIFICATION!$A$8:$A$24,0)),"Review"))</f>
        <v>Rosemary Green</v>
      </c>
      <c r="N3825" s="350" t="str">
        <f ca="1">IF($B3825="Portfolio","Portfolio",IFERROR(INDEX(DATA_ASSET_CLASSIFICATION!$U$8:$U$24,MATCH($C3825,DATA_ASSET_CLASSIFICATION!$A$8:$A$24,0)),"Review"))</f>
        <v>Refi Watch</v>
      </c>
      <c r="O3825" s="350" t="str">
        <f ca="1">IF($B3825="Portfolio","Portfolio",IFERROR(INDEX(DATA_ASSET_CLASSIFICATION!$AB$8:$AB$13,MATCH($N3825,DATA_ASSET_CLASSIFICATION!$AA$8:$AA$13,0)),"Review"))</f>
        <v>Bucket 2 · Legacy</v>
      </c>
      <c r="P3825" s="350" t="str">
        <f>IF($B3825="Portfolio","Portfolio",IFERROR(INDEX(DATA_ASSET_CLASSIFICATION!$C$8:$C$24,MATCH($C3825,DATA_ASSET_CLASSIFICATION!$A$8:$A$24,0)),"Review"))</f>
        <v>Yes</v>
      </c>
      <c r="Q3825" s="350" t="str">
        <f t="shared" ca="1" si="119"/>
        <v>OK</v>
      </c>
    </row>
    <row r="3826" spans="1:17">
      <c r="A3826" s="366" t="s">
        <v>5782</v>
      </c>
      <c r="B3826" s="366" t="s">
        <v>231</v>
      </c>
      <c r="C3826" s="348" t="str">
        <f>DATA_PROPERTY_MASTER!$A$17</f>
        <v>BLD_RG</v>
      </c>
      <c r="D3826" s="380">
        <f>'00_PORTFOLIO ROLLUP'!H$12</f>
        <v>2028</v>
      </c>
      <c r="E3826" s="366" t="s">
        <v>1721</v>
      </c>
      <c r="F3826" s="366" t="s">
        <v>39</v>
      </c>
      <c r="G3826" s="348" t="str">
        <f>"'"&amp;$C3826&amp;"'!$E$63:$Y$63"</f>
        <v>'BLD_RG'!$E$63:$Y$63</v>
      </c>
      <c r="H3826" s="381">
        <f ca="1">IF(IFERROR(INDEX(DATA_PROPERTY_MASTER!$E$5:$E$21,MATCH($C3826,DATA_PROPERTY_MASTER!$A$5:$A$21,0))="Yes",FALSE),MAX(-IFERROR(INDEX(INDIRECT("'"&amp;$C3826&amp;"'!$E$63:$Y$63"),1,MATCH($D3826,INDIRECT("'"&amp;$C3826&amp;"'!$E$12:$Y$12"),0)),0),0),0)</f>
        <v>0</v>
      </c>
      <c r="I3826" s="366" t="s">
        <v>1690</v>
      </c>
      <c r="J3826" s="348" t="str">
        <f t="shared" ca="1" si="118"/>
        <v>OK</v>
      </c>
      <c r="K3826" s="366" t="s">
        <v>1738</v>
      </c>
      <c r="L3826" s="366" t="s">
        <v>2260</v>
      </c>
      <c r="M3826" s="350" t="str">
        <f>IF($B3826="Portfolio","Portfolio",IFERROR(INDEX(DATA_ASSET_CLASSIFICATION!$B$8:$B$24,MATCH($C3826,DATA_ASSET_CLASSIFICATION!$A$8:$A$24,0)),"Review"))</f>
        <v>Rosemary Green</v>
      </c>
      <c r="N3826" s="350" t="str">
        <f ca="1">IF($B3826="Portfolio","Portfolio",IFERROR(INDEX(DATA_ASSET_CLASSIFICATION!$U$8:$U$24,MATCH($C3826,DATA_ASSET_CLASSIFICATION!$A$8:$A$24,0)),"Review"))</f>
        <v>Refi Watch</v>
      </c>
      <c r="O3826" s="350" t="str">
        <f ca="1">IF($B3826="Portfolio","Portfolio",IFERROR(INDEX(DATA_ASSET_CLASSIFICATION!$AB$8:$AB$13,MATCH($N3826,DATA_ASSET_CLASSIFICATION!$AA$8:$AA$13,0)),"Review"))</f>
        <v>Bucket 2 · Legacy</v>
      </c>
      <c r="P3826" s="350" t="str">
        <f>IF($B3826="Portfolio","Portfolio",IFERROR(INDEX(DATA_ASSET_CLASSIFICATION!$C$8:$C$24,MATCH($C3826,DATA_ASSET_CLASSIFICATION!$A$8:$A$24,0)),"Review"))</f>
        <v>Yes</v>
      </c>
      <c r="Q3826" s="350" t="str">
        <f t="shared" ca="1" si="119"/>
        <v>OK</v>
      </c>
    </row>
    <row r="3827" spans="1:17">
      <c r="A3827" s="366" t="s">
        <v>5783</v>
      </c>
      <c r="B3827" s="366" t="s">
        <v>231</v>
      </c>
      <c r="C3827" s="348" t="str">
        <f>DATA_PROPERTY_MASTER!$A$17</f>
        <v>BLD_RG</v>
      </c>
      <c r="D3827" s="380">
        <f>'00_PORTFOLIO ROLLUP'!H$12</f>
        <v>2028</v>
      </c>
      <c r="E3827" s="366" t="s">
        <v>1741</v>
      </c>
      <c r="F3827" s="366" t="s">
        <v>41</v>
      </c>
      <c r="G3827" s="348" t="str">
        <f>"'"&amp;$C3827&amp;"'!rows 56 + positive row 63"</f>
        <v>'BLD_RG'!rows 56 + positive row 63</v>
      </c>
      <c r="H3827" s="381">
        <f ca="1">IF(IFERROR(INDEX(DATA_PROPERTY_MASTER!$E$5:$E$21,MATCH($C3827,DATA_PROPERTY_MASTER!$A$5:$A$21,0))="Yes",FALSE),IFERROR(INDEX(INDIRECT("'"&amp;$C3827&amp;"'!$E$56:$Y$56"),1,MATCH($D3827,INDIRECT("'"&amp;$C3827&amp;"'!$E$12:$Y$12"),0)),0)+MAX(IFERROR(INDEX(INDIRECT("'"&amp;$C3827&amp;"'!$E$63:$Y$63"),1,MATCH($D3827,INDIRECT("'"&amp;$C3827&amp;"'!$E$12:$Y$12"),0)),0),0),0)</f>
        <v>-57068.59354268809</v>
      </c>
      <c r="I3827" s="366" t="s">
        <v>1685</v>
      </c>
      <c r="J3827" s="348" t="str">
        <f t="shared" ca="1" si="118"/>
        <v>OK</v>
      </c>
      <c r="K3827" s="366" t="s">
        <v>1742</v>
      </c>
      <c r="L3827" s="366" t="s">
        <v>2262</v>
      </c>
      <c r="M3827" s="350" t="str">
        <f>IF($B3827="Portfolio","Portfolio",IFERROR(INDEX(DATA_ASSET_CLASSIFICATION!$B$8:$B$24,MATCH($C3827,DATA_ASSET_CLASSIFICATION!$A$8:$A$24,0)),"Review"))</f>
        <v>Rosemary Green</v>
      </c>
      <c r="N3827" s="350" t="str">
        <f ca="1">IF($B3827="Portfolio","Portfolio",IFERROR(INDEX(DATA_ASSET_CLASSIFICATION!$U$8:$U$24,MATCH($C3827,DATA_ASSET_CLASSIFICATION!$A$8:$A$24,0)),"Review"))</f>
        <v>Refi Watch</v>
      </c>
      <c r="O3827" s="350" t="str">
        <f ca="1">IF($B3827="Portfolio","Portfolio",IFERROR(INDEX(DATA_ASSET_CLASSIFICATION!$AB$8:$AB$13,MATCH($N3827,DATA_ASSET_CLASSIFICATION!$AA$8:$AA$13,0)),"Review"))</f>
        <v>Bucket 2 · Legacy</v>
      </c>
      <c r="P3827" s="350" t="str">
        <f>IF($B3827="Portfolio","Portfolio",IFERROR(INDEX(DATA_ASSET_CLASSIFICATION!$C$8:$C$24,MATCH($C3827,DATA_ASSET_CLASSIFICATION!$A$8:$A$24,0)),"Review"))</f>
        <v>Yes</v>
      </c>
      <c r="Q3827" s="350" t="str">
        <f t="shared" ca="1" si="119"/>
        <v>OK</v>
      </c>
    </row>
    <row r="3828" spans="1:17">
      <c r="A3828" s="366" t="s">
        <v>5784</v>
      </c>
      <c r="B3828" s="366" t="s">
        <v>231</v>
      </c>
      <c r="C3828" s="348" t="str">
        <f>DATA_PROPERTY_MASTER!$A$17</f>
        <v>BLD_RG</v>
      </c>
      <c r="D3828" s="380">
        <f>'00_PORTFOLIO ROLLUP'!H$12</f>
        <v>2028</v>
      </c>
      <c r="E3828" s="366" t="s">
        <v>1741</v>
      </c>
      <c r="F3828" s="366" t="s">
        <v>43</v>
      </c>
      <c r="G3828" s="348" t="str">
        <f>"'"&amp;$C3828&amp;"'!$E$68:$Y$68"</f>
        <v>'BLD_RG'!$E$68:$Y$68</v>
      </c>
      <c r="H3828" s="381">
        <f ca="1">IF(IFERROR(INDEX(DATA_PROPERTY_MASTER!$E$5:$E$21,MATCH($C3828,DATA_PROPERTY_MASTER!$A$5:$A$21,0))="Yes",FALSE),IFERROR(INDEX(INDIRECT("'"&amp;$C3828&amp;"'!$E$68:$Y$68"),1,MATCH($D3828,INDIRECT("'"&amp;$C3828&amp;"'!$E$12:$Y$12"),0)),0),0)</f>
        <v>-57068.59354268809</v>
      </c>
      <c r="I3828" s="366" t="s">
        <v>1731</v>
      </c>
      <c r="J3828" s="348" t="str">
        <f t="shared" ca="1" si="118"/>
        <v>OK</v>
      </c>
      <c r="K3828" s="366" t="s">
        <v>1746</v>
      </c>
      <c r="L3828" s="366" t="s">
        <v>2264</v>
      </c>
      <c r="M3828" s="350" t="str">
        <f>IF($B3828="Portfolio","Portfolio",IFERROR(INDEX(DATA_ASSET_CLASSIFICATION!$B$8:$B$24,MATCH($C3828,DATA_ASSET_CLASSIFICATION!$A$8:$A$24,0)),"Review"))</f>
        <v>Rosemary Green</v>
      </c>
      <c r="N3828" s="350" t="str">
        <f ca="1">IF($B3828="Portfolio","Portfolio",IFERROR(INDEX(DATA_ASSET_CLASSIFICATION!$U$8:$U$24,MATCH($C3828,DATA_ASSET_CLASSIFICATION!$A$8:$A$24,0)),"Review"))</f>
        <v>Refi Watch</v>
      </c>
      <c r="O3828" s="350" t="str">
        <f ca="1">IF($B3828="Portfolio","Portfolio",IFERROR(INDEX(DATA_ASSET_CLASSIFICATION!$AB$8:$AB$13,MATCH($N3828,DATA_ASSET_CLASSIFICATION!$AA$8:$AA$13,0)),"Review"))</f>
        <v>Bucket 2 · Legacy</v>
      </c>
      <c r="P3828" s="350" t="str">
        <f>IF($B3828="Portfolio","Portfolio",IFERROR(INDEX(DATA_ASSET_CLASSIFICATION!$C$8:$C$24,MATCH($C3828,DATA_ASSET_CLASSIFICATION!$A$8:$A$24,0)),"Review"))</f>
        <v>Yes</v>
      </c>
      <c r="Q3828" s="350" t="str">
        <f t="shared" ca="1" si="119"/>
        <v>OK</v>
      </c>
    </row>
    <row r="3829" spans="1:17">
      <c r="A3829" s="366" t="s">
        <v>5785</v>
      </c>
      <c r="B3829" s="366" t="s">
        <v>231</v>
      </c>
      <c r="C3829" s="348" t="str">
        <f>DATA_PROPERTY_MASTER!$A$17</f>
        <v>BLD_RG</v>
      </c>
      <c r="D3829" s="380">
        <f>'00_PORTFOLIO ROLLUP'!H$12</f>
        <v>2028</v>
      </c>
      <c r="E3829" s="366" t="s">
        <v>1741</v>
      </c>
      <c r="F3829" s="366" t="s">
        <v>1749</v>
      </c>
      <c r="G3829" s="348" t="str">
        <f>"'"&amp;$C3829&amp;"'!rows 56, 63, 68"</f>
        <v>'BLD_RG'!rows 56, 63, 68</v>
      </c>
      <c r="H3829" s="381">
        <f ca="1">IF(IFERROR(INDEX(DATA_PROPERTY_MASTER!$E$5:$E$21,MATCH($C3829,DATA_PROPERTY_MASTER!$A$5:$A$21,0))="Yes",FALSE),(IFERROR(INDEX(INDIRECT("'"&amp;$C3829&amp;"'!$E$56:$Y$56"),1,MATCH($D3829,INDIRECT("'"&amp;$C3829&amp;"'!$E$12:$Y$12"),0)),0)+MAX(IFERROR(INDEX(INDIRECT("'"&amp;$C3829&amp;"'!$E$63:$Y$63"),1,MATCH($D3829,INDIRECT("'"&amp;$C3829&amp;"'!$E$12:$Y$12"),0)),0),0))-(IFERROR(INDEX(INDIRECT("'"&amp;$C3829&amp;"'!$E$68:$Y$68"),1,MATCH($D3829,INDIRECT("'"&amp;$C3829&amp;"'!$E$12:$Y$12"),0)),0)),0)</f>
        <v>0</v>
      </c>
      <c r="I3829" s="366" t="s">
        <v>1750</v>
      </c>
      <c r="J3829" s="348" t="str">
        <f t="shared" ca="1" si="118"/>
        <v>OK</v>
      </c>
      <c r="K3829" s="366" t="s">
        <v>1751</v>
      </c>
      <c r="L3829" s="366" t="s">
        <v>2266</v>
      </c>
      <c r="M3829" s="350" t="str">
        <f>IF($B3829="Portfolio","Portfolio",IFERROR(INDEX(DATA_ASSET_CLASSIFICATION!$B$8:$B$24,MATCH($C3829,DATA_ASSET_CLASSIFICATION!$A$8:$A$24,0)),"Review"))</f>
        <v>Rosemary Green</v>
      </c>
      <c r="N3829" s="350" t="str">
        <f ca="1">IF($B3829="Portfolio","Portfolio",IFERROR(INDEX(DATA_ASSET_CLASSIFICATION!$U$8:$U$24,MATCH($C3829,DATA_ASSET_CLASSIFICATION!$A$8:$A$24,0)),"Review"))</f>
        <v>Refi Watch</v>
      </c>
      <c r="O3829" s="350" t="str">
        <f ca="1">IF($B3829="Portfolio","Portfolio",IFERROR(INDEX(DATA_ASSET_CLASSIFICATION!$AB$8:$AB$13,MATCH($N3829,DATA_ASSET_CLASSIFICATION!$AA$8:$AA$13,0)),"Review"))</f>
        <v>Bucket 2 · Legacy</v>
      </c>
      <c r="P3829" s="350" t="str">
        <f>IF($B3829="Portfolio","Portfolio",IFERROR(INDEX(DATA_ASSET_CLASSIFICATION!$C$8:$C$24,MATCH($C3829,DATA_ASSET_CLASSIFICATION!$A$8:$A$24,0)),"Review"))</f>
        <v>Yes</v>
      </c>
      <c r="Q3829" s="350" t="str">
        <f t="shared" ca="1" si="119"/>
        <v>OK</v>
      </c>
    </row>
    <row r="3830" spans="1:17">
      <c r="A3830" s="366" t="s">
        <v>5786</v>
      </c>
      <c r="B3830" s="366" t="s">
        <v>231</v>
      </c>
      <c r="C3830" s="348" t="str">
        <f>DATA_PROPERTY_MASTER!$A$17</f>
        <v>BLD_RG</v>
      </c>
      <c r="D3830" s="380">
        <f>'00_PORTFOLIO ROLLUP'!I$12</f>
        <v>2029</v>
      </c>
      <c r="E3830" s="366" t="s">
        <v>1683</v>
      </c>
      <c r="F3830" s="366" t="s">
        <v>341</v>
      </c>
      <c r="G3830" s="348" t="str">
        <f>"'"&amp;$C3830&amp;"'!$E$24:$Y$24"</f>
        <v>'BLD_RG'!$E$24:$Y$24</v>
      </c>
      <c r="H3830" s="381">
        <f ca="1">IF(IFERROR(INDEX(DATA_PROPERTY_MASTER!$E$5:$E$21,MATCH($C3830,DATA_PROPERTY_MASTER!$A$5:$A$21,0))="Yes",FALSE),IFERROR(INDEX(INDIRECT("'"&amp;$C3830&amp;"'!$E$24:$Y$24"),1,MATCH($D3830,INDIRECT("'"&amp;$C3830&amp;"'!$E$12:$Y$12"),0)),0),0)</f>
        <v>486116.56381909823</v>
      </c>
      <c r="I3830" s="366" t="s">
        <v>1685</v>
      </c>
      <c r="J3830" s="348" t="str">
        <f t="shared" ca="1" si="118"/>
        <v>OK</v>
      </c>
      <c r="K3830" s="366" t="s">
        <v>1686</v>
      </c>
      <c r="L3830" s="366" t="s">
        <v>2234</v>
      </c>
      <c r="M3830" s="350" t="str">
        <f>IF($B3830="Portfolio","Portfolio",IFERROR(INDEX(DATA_ASSET_CLASSIFICATION!$B$8:$B$24,MATCH($C3830,DATA_ASSET_CLASSIFICATION!$A$8:$A$24,0)),"Review"))</f>
        <v>Rosemary Green</v>
      </c>
      <c r="N3830" s="350" t="str">
        <f ca="1">IF($B3830="Portfolio","Portfolio",IFERROR(INDEX(DATA_ASSET_CLASSIFICATION!$U$8:$U$24,MATCH($C3830,DATA_ASSET_CLASSIFICATION!$A$8:$A$24,0)),"Review"))</f>
        <v>Refi Watch</v>
      </c>
      <c r="O3830" s="350" t="str">
        <f ca="1">IF($B3830="Portfolio","Portfolio",IFERROR(INDEX(DATA_ASSET_CLASSIFICATION!$AB$8:$AB$13,MATCH($N3830,DATA_ASSET_CLASSIFICATION!$AA$8:$AA$13,0)),"Review"))</f>
        <v>Bucket 2 · Legacy</v>
      </c>
      <c r="P3830" s="350" t="str">
        <f>IF($B3830="Portfolio","Portfolio",IFERROR(INDEX(DATA_ASSET_CLASSIFICATION!$C$8:$C$24,MATCH($C3830,DATA_ASSET_CLASSIFICATION!$A$8:$A$24,0)),"Review"))</f>
        <v>Yes</v>
      </c>
      <c r="Q3830" s="350" t="str">
        <f t="shared" ca="1" si="119"/>
        <v>OK</v>
      </c>
    </row>
    <row r="3831" spans="1:17">
      <c r="A3831" s="366" t="s">
        <v>5787</v>
      </c>
      <c r="B3831" s="366" t="s">
        <v>231</v>
      </c>
      <c r="C3831" s="348" t="str">
        <f>DATA_PROPERTY_MASTER!$A$17</f>
        <v>BLD_RG</v>
      </c>
      <c r="D3831" s="380">
        <f>'00_PORTFOLIO ROLLUP'!I$12</f>
        <v>2029</v>
      </c>
      <c r="E3831" s="366" t="s">
        <v>1683</v>
      </c>
      <c r="F3831" s="366" t="s">
        <v>355</v>
      </c>
      <c r="G3831" s="348" t="str">
        <f>"'"&amp;$C3831&amp;"'!$E$39:$Y$39"</f>
        <v>'BLD_RG'!$E$39:$Y$39</v>
      </c>
      <c r="H3831" s="381">
        <f ca="1">IF(IFERROR(INDEX(DATA_PROPERTY_MASTER!$E$5:$E$21,MATCH($C3831,DATA_PROPERTY_MASTER!$A$5:$A$21,0))="Yes",FALSE),IFERROR(INDEX(INDIRECT("'"&amp;$C3831&amp;"'!$E$39:$Y$39"),1,MATCH($D3831,INDIRECT("'"&amp;$C3831&amp;"'!$E$12:$Y$12"),0)),0),0)</f>
        <v>252207.46723328004</v>
      </c>
      <c r="I3831" s="366" t="s">
        <v>1690</v>
      </c>
      <c r="J3831" s="348" t="str">
        <f t="shared" ca="1" si="118"/>
        <v>OK</v>
      </c>
      <c r="K3831" s="366" t="s">
        <v>1686</v>
      </c>
      <c r="L3831" s="366" t="s">
        <v>2236</v>
      </c>
      <c r="M3831" s="350" t="str">
        <f>IF($B3831="Portfolio","Portfolio",IFERROR(INDEX(DATA_ASSET_CLASSIFICATION!$B$8:$B$24,MATCH($C3831,DATA_ASSET_CLASSIFICATION!$A$8:$A$24,0)),"Review"))</f>
        <v>Rosemary Green</v>
      </c>
      <c r="N3831" s="350" t="str">
        <f ca="1">IF($B3831="Portfolio","Portfolio",IFERROR(INDEX(DATA_ASSET_CLASSIFICATION!$U$8:$U$24,MATCH($C3831,DATA_ASSET_CLASSIFICATION!$A$8:$A$24,0)),"Review"))</f>
        <v>Refi Watch</v>
      </c>
      <c r="O3831" s="350" t="str">
        <f ca="1">IF($B3831="Portfolio","Portfolio",IFERROR(INDEX(DATA_ASSET_CLASSIFICATION!$AB$8:$AB$13,MATCH($N3831,DATA_ASSET_CLASSIFICATION!$AA$8:$AA$13,0)),"Review"))</f>
        <v>Bucket 2 · Legacy</v>
      </c>
      <c r="P3831" s="350" t="str">
        <f>IF($B3831="Portfolio","Portfolio",IFERROR(INDEX(DATA_ASSET_CLASSIFICATION!$C$8:$C$24,MATCH($C3831,DATA_ASSET_CLASSIFICATION!$A$8:$A$24,0)),"Review"))</f>
        <v>Yes</v>
      </c>
      <c r="Q3831" s="350" t="str">
        <f t="shared" ca="1" si="119"/>
        <v>OK</v>
      </c>
    </row>
    <row r="3832" spans="1:17">
      <c r="A3832" s="366" t="s">
        <v>5788</v>
      </c>
      <c r="B3832" s="366" t="s">
        <v>231</v>
      </c>
      <c r="C3832" s="348" t="str">
        <f>DATA_PROPERTY_MASTER!$A$17</f>
        <v>BLD_RG</v>
      </c>
      <c r="D3832" s="380">
        <f>'00_PORTFOLIO ROLLUP'!I$12</f>
        <v>2029</v>
      </c>
      <c r="E3832" s="366" t="s">
        <v>1683</v>
      </c>
      <c r="F3832" s="366" t="s">
        <v>19</v>
      </c>
      <c r="G3832" s="348" t="str">
        <f>"'"&amp;$C3832&amp;"'!$E$41:$Y$41"</f>
        <v>'BLD_RG'!$E$41:$Y$41</v>
      </c>
      <c r="H3832" s="381">
        <f ca="1">IF(IFERROR(INDEX(DATA_PROPERTY_MASTER!$E$5:$E$21,MATCH($C3832,DATA_PROPERTY_MASTER!$A$5:$A$21,0))="Yes",FALSE),IFERROR(INDEX(INDIRECT("'"&amp;$C3832&amp;"'!$E$41:$Y$41"),1,MATCH($D3832,INDIRECT("'"&amp;$C3832&amp;"'!$E$12:$Y$12"),0)),0),0)</f>
        <v>233909.09658581819</v>
      </c>
      <c r="I3832" s="366" t="s">
        <v>1685</v>
      </c>
      <c r="J3832" s="348" t="str">
        <f t="shared" ca="1" si="118"/>
        <v>OK</v>
      </c>
      <c r="K3832" s="366" t="s">
        <v>1694</v>
      </c>
      <c r="L3832" s="366" t="s">
        <v>2238</v>
      </c>
      <c r="M3832" s="350" t="str">
        <f>IF($B3832="Portfolio","Portfolio",IFERROR(INDEX(DATA_ASSET_CLASSIFICATION!$B$8:$B$24,MATCH($C3832,DATA_ASSET_CLASSIFICATION!$A$8:$A$24,0)),"Review"))</f>
        <v>Rosemary Green</v>
      </c>
      <c r="N3832" s="350" t="str">
        <f ca="1">IF($B3832="Portfolio","Portfolio",IFERROR(INDEX(DATA_ASSET_CLASSIFICATION!$U$8:$U$24,MATCH($C3832,DATA_ASSET_CLASSIFICATION!$A$8:$A$24,0)),"Review"))</f>
        <v>Refi Watch</v>
      </c>
      <c r="O3832" s="350" t="str">
        <f ca="1">IF($B3832="Portfolio","Portfolio",IFERROR(INDEX(DATA_ASSET_CLASSIFICATION!$AB$8:$AB$13,MATCH($N3832,DATA_ASSET_CLASSIFICATION!$AA$8:$AA$13,0)),"Review"))</f>
        <v>Bucket 2 · Legacy</v>
      </c>
      <c r="P3832" s="350" t="str">
        <f>IF($B3832="Portfolio","Portfolio",IFERROR(INDEX(DATA_ASSET_CLASSIFICATION!$C$8:$C$24,MATCH($C3832,DATA_ASSET_CLASSIFICATION!$A$8:$A$24,0)),"Review"))</f>
        <v>Yes</v>
      </c>
      <c r="Q3832" s="350" t="str">
        <f t="shared" ca="1" si="119"/>
        <v>OK</v>
      </c>
    </row>
    <row r="3833" spans="1:17">
      <c r="A3833" s="366" t="s">
        <v>5789</v>
      </c>
      <c r="B3833" s="366" t="s">
        <v>231</v>
      </c>
      <c r="C3833" s="348" t="str">
        <f>DATA_PROPERTY_MASTER!$A$17</f>
        <v>BLD_RG</v>
      </c>
      <c r="D3833" s="380">
        <f>'00_PORTFOLIO ROLLUP'!I$12</f>
        <v>2029</v>
      </c>
      <c r="E3833" s="366" t="s">
        <v>1683</v>
      </c>
      <c r="F3833" s="366" t="s">
        <v>1697</v>
      </c>
      <c r="G3833" s="348" t="str">
        <f>"'"&amp;$C3833&amp;"'!$E$44:$Y$44"</f>
        <v>'BLD_RG'!$E$44:$Y$44</v>
      </c>
      <c r="H3833" s="381">
        <f ca="1">IF(IFERROR(INDEX(DATA_PROPERTY_MASTER!$E$5:$E$21,MATCH($C3833,DATA_PROPERTY_MASTER!$A$5:$A$21,0))="Yes",FALSE),IFERROR(INDEX(INDIRECT("'"&amp;$C3833&amp;"'!$E$44:$Y$44"),1,MATCH($D3833,INDIRECT("'"&amp;$C3833&amp;"'!$E$12:$Y$12"),0)),0),0)</f>
        <v>6169.8633119999995</v>
      </c>
      <c r="I3833" s="366" t="s">
        <v>1690</v>
      </c>
      <c r="J3833" s="348" t="str">
        <f t="shared" ca="1" si="118"/>
        <v>OK</v>
      </c>
      <c r="K3833" s="366" t="s">
        <v>1699</v>
      </c>
      <c r="L3833" s="366" t="s">
        <v>2240</v>
      </c>
      <c r="M3833" s="350" t="str">
        <f>IF($B3833="Portfolio","Portfolio",IFERROR(INDEX(DATA_ASSET_CLASSIFICATION!$B$8:$B$24,MATCH($C3833,DATA_ASSET_CLASSIFICATION!$A$8:$A$24,0)),"Review"))</f>
        <v>Rosemary Green</v>
      </c>
      <c r="N3833" s="350" t="str">
        <f ca="1">IF($B3833="Portfolio","Portfolio",IFERROR(INDEX(DATA_ASSET_CLASSIFICATION!$U$8:$U$24,MATCH($C3833,DATA_ASSET_CLASSIFICATION!$A$8:$A$24,0)),"Review"))</f>
        <v>Refi Watch</v>
      </c>
      <c r="O3833" s="350" t="str">
        <f ca="1">IF($B3833="Portfolio","Portfolio",IFERROR(INDEX(DATA_ASSET_CLASSIFICATION!$AB$8:$AB$13,MATCH($N3833,DATA_ASSET_CLASSIFICATION!$AA$8:$AA$13,0)),"Review"))</f>
        <v>Bucket 2 · Legacy</v>
      </c>
      <c r="P3833" s="350" t="str">
        <f>IF($B3833="Portfolio","Portfolio",IFERROR(INDEX(DATA_ASSET_CLASSIFICATION!$C$8:$C$24,MATCH($C3833,DATA_ASSET_CLASSIFICATION!$A$8:$A$24,0)),"Review"))</f>
        <v>Yes</v>
      </c>
      <c r="Q3833" s="350" t="str">
        <f t="shared" ca="1" si="119"/>
        <v>OK</v>
      </c>
    </row>
    <row r="3834" spans="1:17">
      <c r="A3834" s="366" t="s">
        <v>5790</v>
      </c>
      <c r="B3834" s="366" t="s">
        <v>231</v>
      </c>
      <c r="C3834" s="348" t="str">
        <f>DATA_PROPERTY_MASTER!$A$17</f>
        <v>BLD_RG</v>
      </c>
      <c r="D3834" s="380">
        <f>'00_PORTFOLIO ROLLUP'!I$12</f>
        <v>2029</v>
      </c>
      <c r="E3834" s="366" t="s">
        <v>1683</v>
      </c>
      <c r="F3834" s="366" t="s">
        <v>21</v>
      </c>
      <c r="G3834" s="348" t="str">
        <f>"'"&amp;$C3834&amp;"'!$E$45:$Y$45"</f>
        <v>'BLD_RG'!$E$45:$Y$45</v>
      </c>
      <c r="H3834" s="381">
        <f ca="1">IF(IFERROR(INDEX(DATA_PROPERTY_MASTER!$E$5:$E$21,MATCH($C3834,DATA_PROPERTY_MASTER!$A$5:$A$21,0))="Yes",FALSE),IFERROR(INDEX(INDIRECT("'"&amp;$C3834&amp;"'!$E$45:$Y$45"),1,MATCH($D3834,INDIRECT("'"&amp;$C3834&amp;"'!$E$12:$Y$12"),0)),0),0)</f>
        <v>227739.23327381819</v>
      </c>
      <c r="I3834" s="366" t="s">
        <v>1685</v>
      </c>
      <c r="J3834" s="348" t="str">
        <f t="shared" ca="1" si="118"/>
        <v>OK</v>
      </c>
      <c r="K3834" s="366" t="s">
        <v>1694</v>
      </c>
      <c r="L3834" s="366" t="s">
        <v>2242</v>
      </c>
      <c r="M3834" s="350" t="str">
        <f>IF($B3834="Portfolio","Portfolio",IFERROR(INDEX(DATA_ASSET_CLASSIFICATION!$B$8:$B$24,MATCH($C3834,DATA_ASSET_CLASSIFICATION!$A$8:$A$24,0)),"Review"))</f>
        <v>Rosemary Green</v>
      </c>
      <c r="N3834" s="350" t="str">
        <f ca="1">IF($B3834="Portfolio","Portfolio",IFERROR(INDEX(DATA_ASSET_CLASSIFICATION!$U$8:$U$24,MATCH($C3834,DATA_ASSET_CLASSIFICATION!$A$8:$A$24,0)),"Review"))</f>
        <v>Refi Watch</v>
      </c>
      <c r="O3834" s="350" t="str">
        <f ca="1">IF($B3834="Portfolio","Portfolio",IFERROR(INDEX(DATA_ASSET_CLASSIFICATION!$AB$8:$AB$13,MATCH($N3834,DATA_ASSET_CLASSIFICATION!$AA$8:$AA$13,0)),"Review"))</f>
        <v>Bucket 2 · Legacy</v>
      </c>
      <c r="P3834" s="350" t="str">
        <f>IF($B3834="Portfolio","Portfolio",IFERROR(INDEX(DATA_ASSET_CLASSIFICATION!$C$8:$C$24,MATCH($C3834,DATA_ASSET_CLASSIFICATION!$A$8:$A$24,0)),"Review"))</f>
        <v>Yes</v>
      </c>
      <c r="Q3834" s="350" t="str">
        <f t="shared" ca="1" si="119"/>
        <v>OK</v>
      </c>
    </row>
    <row r="3835" spans="1:17">
      <c r="A3835" s="366" t="s">
        <v>5791</v>
      </c>
      <c r="B3835" s="366" t="s">
        <v>231</v>
      </c>
      <c r="C3835" s="348" t="str">
        <f>DATA_PROPERTY_MASTER!$A$17</f>
        <v>BLD_RG</v>
      </c>
      <c r="D3835" s="380">
        <f>'00_PORTFOLIO ROLLUP'!I$12</f>
        <v>2029</v>
      </c>
      <c r="E3835" s="366" t="s">
        <v>23</v>
      </c>
      <c r="F3835" s="366" t="s">
        <v>23</v>
      </c>
      <c r="G3835" s="348" t="str">
        <f>"'"&amp;$C3835&amp;"'!$E$48:$Y$48"</f>
        <v>'BLD_RG'!$E$48:$Y$48</v>
      </c>
      <c r="H3835" s="381">
        <f ca="1">IF(IFERROR(INDEX(DATA_PROPERTY_MASTER!$E$5:$E$21,MATCH($C3835,DATA_PROPERTY_MASTER!$A$5:$A$21,0))="Yes",FALSE),IFERROR(INDEX(INDIRECT("'"&amp;$C3835&amp;"'!$E$48:$Y$48"),1,MATCH($D3835,INDIRECT("'"&amp;$C3835&amp;"'!$E$12:$Y$12"),0)),0),0)</f>
        <v>291146.28000000003</v>
      </c>
      <c r="I3835" s="366" t="s">
        <v>1690</v>
      </c>
      <c r="J3835" s="348" t="str">
        <f t="shared" ca="1" si="118"/>
        <v>OK</v>
      </c>
      <c r="K3835" s="366" t="s">
        <v>1706</v>
      </c>
      <c r="L3835" s="366" t="s">
        <v>2244</v>
      </c>
      <c r="M3835" s="350" t="str">
        <f>IF($B3835="Portfolio","Portfolio",IFERROR(INDEX(DATA_ASSET_CLASSIFICATION!$B$8:$B$24,MATCH($C3835,DATA_ASSET_CLASSIFICATION!$A$8:$A$24,0)),"Review"))</f>
        <v>Rosemary Green</v>
      </c>
      <c r="N3835" s="350" t="str">
        <f ca="1">IF($B3835="Portfolio","Portfolio",IFERROR(INDEX(DATA_ASSET_CLASSIFICATION!$U$8:$U$24,MATCH($C3835,DATA_ASSET_CLASSIFICATION!$A$8:$A$24,0)),"Review"))</f>
        <v>Refi Watch</v>
      </c>
      <c r="O3835" s="350" t="str">
        <f ca="1">IF($B3835="Portfolio","Portfolio",IFERROR(INDEX(DATA_ASSET_CLASSIFICATION!$AB$8:$AB$13,MATCH($N3835,DATA_ASSET_CLASSIFICATION!$AA$8:$AA$13,0)),"Review"))</f>
        <v>Bucket 2 · Legacy</v>
      </c>
      <c r="P3835" s="350" t="str">
        <f>IF($B3835="Portfolio","Portfolio",IFERROR(INDEX(DATA_ASSET_CLASSIFICATION!$C$8:$C$24,MATCH($C3835,DATA_ASSET_CLASSIFICATION!$A$8:$A$24,0)),"Review"))</f>
        <v>Yes</v>
      </c>
      <c r="Q3835" s="350" t="str">
        <f t="shared" ca="1" si="119"/>
        <v>OK</v>
      </c>
    </row>
    <row r="3836" spans="1:17">
      <c r="A3836" s="366" t="s">
        <v>5792</v>
      </c>
      <c r="B3836" s="366" t="s">
        <v>231</v>
      </c>
      <c r="C3836" s="348" t="str">
        <f>DATA_PROPERTY_MASTER!$A$17</f>
        <v>BLD_RG</v>
      </c>
      <c r="D3836" s="380">
        <f>'00_PORTFOLIO ROLLUP'!I$12</f>
        <v>2029</v>
      </c>
      <c r="E3836" s="366" t="s">
        <v>1683</v>
      </c>
      <c r="F3836" s="366" t="s">
        <v>25</v>
      </c>
      <c r="G3836" s="348" t="str">
        <f>"'"&amp;$C3836&amp;"'!$E$52:$Y$52"</f>
        <v>'BLD_RG'!$E$52:$Y$52</v>
      </c>
      <c r="H3836" s="381">
        <f ca="1">IF(IFERROR(INDEX(DATA_PROPERTY_MASTER!$E$5:$E$21,MATCH($C3836,DATA_PROPERTY_MASTER!$A$5:$A$21,0))="Yes",FALSE),IFERROR(INDEX(INDIRECT("'"&amp;$C3836&amp;"'!$E$52:$Y$52"),1,MATCH($D3836,INDIRECT("'"&amp;$C3836&amp;"'!$E$12:$Y$12"),0)),0),0)</f>
        <v>-57237.18341418184</v>
      </c>
      <c r="I3836" s="366" t="s">
        <v>1685</v>
      </c>
      <c r="J3836" s="348" t="str">
        <f t="shared" ca="1" si="118"/>
        <v>OK</v>
      </c>
      <c r="K3836" s="366" t="s">
        <v>1710</v>
      </c>
      <c r="L3836" s="366" t="s">
        <v>2246</v>
      </c>
      <c r="M3836" s="350" t="str">
        <f>IF($B3836="Portfolio","Portfolio",IFERROR(INDEX(DATA_ASSET_CLASSIFICATION!$B$8:$B$24,MATCH($C3836,DATA_ASSET_CLASSIFICATION!$A$8:$A$24,0)),"Review"))</f>
        <v>Rosemary Green</v>
      </c>
      <c r="N3836" s="350" t="str">
        <f ca="1">IF($B3836="Portfolio","Portfolio",IFERROR(INDEX(DATA_ASSET_CLASSIFICATION!$U$8:$U$24,MATCH($C3836,DATA_ASSET_CLASSIFICATION!$A$8:$A$24,0)),"Review"))</f>
        <v>Refi Watch</v>
      </c>
      <c r="O3836" s="350" t="str">
        <f ca="1">IF($B3836="Portfolio","Portfolio",IFERROR(INDEX(DATA_ASSET_CLASSIFICATION!$AB$8:$AB$13,MATCH($N3836,DATA_ASSET_CLASSIFICATION!$AA$8:$AA$13,0)),"Review"))</f>
        <v>Bucket 2 · Legacy</v>
      </c>
      <c r="P3836" s="350" t="str">
        <f>IF($B3836="Portfolio","Portfolio",IFERROR(INDEX(DATA_ASSET_CLASSIFICATION!$C$8:$C$24,MATCH($C3836,DATA_ASSET_CLASSIFICATION!$A$8:$A$24,0)),"Review"))</f>
        <v>Yes</v>
      </c>
      <c r="Q3836" s="350" t="str">
        <f t="shared" ca="1" si="119"/>
        <v>OK</v>
      </c>
    </row>
    <row r="3837" spans="1:17">
      <c r="A3837" s="366" t="s">
        <v>5793</v>
      </c>
      <c r="B3837" s="366" t="s">
        <v>231</v>
      </c>
      <c r="C3837" s="348" t="str">
        <f>DATA_PROPERTY_MASTER!$A$17</f>
        <v>BLD_RG</v>
      </c>
      <c r="D3837" s="380">
        <f>'00_PORTFOLIO ROLLUP'!I$12</f>
        <v>2029</v>
      </c>
      <c r="E3837" s="366" t="s">
        <v>1683</v>
      </c>
      <c r="F3837" s="366" t="s">
        <v>27</v>
      </c>
      <c r="G3837" s="348" t="str">
        <f>"'"&amp;$C3837&amp;"'!$E$54:$Y$54"</f>
        <v>'BLD_RG'!$E$54:$Y$54</v>
      </c>
      <c r="H3837" s="381">
        <f ca="1">IF(IFERROR(INDEX(DATA_PROPERTY_MASTER!$E$5:$E$21,MATCH($C3837,DATA_PROPERTY_MASTER!$A$5:$A$21,0))="Yes",FALSE),IFERROR(INDEX(INDIRECT("'"&amp;$C3837&amp;"'!$E$54:$Y$54"),1,MATCH($D3837,INDIRECT("'"&amp;$C3837&amp;"'!$E$12:$Y$12"),0)),0),0)</f>
        <v>0</v>
      </c>
      <c r="I3837" s="366" t="s">
        <v>1690</v>
      </c>
      <c r="J3837" s="348" t="str">
        <f t="shared" ca="1" si="118"/>
        <v>OK</v>
      </c>
      <c r="K3837" s="366" t="s">
        <v>1714</v>
      </c>
      <c r="L3837" s="366" t="s">
        <v>2248</v>
      </c>
      <c r="M3837" s="350" t="str">
        <f>IF($B3837="Portfolio","Portfolio",IFERROR(INDEX(DATA_ASSET_CLASSIFICATION!$B$8:$B$24,MATCH($C3837,DATA_ASSET_CLASSIFICATION!$A$8:$A$24,0)),"Review"))</f>
        <v>Rosemary Green</v>
      </c>
      <c r="N3837" s="350" t="str">
        <f ca="1">IF($B3837="Portfolio","Portfolio",IFERROR(INDEX(DATA_ASSET_CLASSIFICATION!$U$8:$U$24,MATCH($C3837,DATA_ASSET_CLASSIFICATION!$A$8:$A$24,0)),"Review"))</f>
        <v>Refi Watch</v>
      </c>
      <c r="O3837" s="350" t="str">
        <f ca="1">IF($B3837="Portfolio","Portfolio",IFERROR(INDEX(DATA_ASSET_CLASSIFICATION!$AB$8:$AB$13,MATCH($N3837,DATA_ASSET_CLASSIFICATION!$AA$8:$AA$13,0)),"Review"))</f>
        <v>Bucket 2 · Legacy</v>
      </c>
      <c r="P3837" s="350" t="str">
        <f>IF($B3837="Portfolio","Portfolio",IFERROR(INDEX(DATA_ASSET_CLASSIFICATION!$C$8:$C$24,MATCH($C3837,DATA_ASSET_CLASSIFICATION!$A$8:$A$24,0)),"Review"))</f>
        <v>Yes</v>
      </c>
      <c r="Q3837" s="350" t="str">
        <f t="shared" ca="1" si="119"/>
        <v>OK</v>
      </c>
    </row>
    <row r="3838" spans="1:17">
      <c r="A3838" s="366" t="s">
        <v>5794</v>
      </c>
      <c r="B3838" s="366" t="s">
        <v>231</v>
      </c>
      <c r="C3838" s="348" t="str">
        <f>DATA_PROPERTY_MASTER!$A$17</f>
        <v>BLD_RG</v>
      </c>
      <c r="D3838" s="380">
        <f>'00_PORTFOLIO ROLLUP'!I$12</f>
        <v>2029</v>
      </c>
      <c r="E3838" s="366" t="s">
        <v>1683</v>
      </c>
      <c r="F3838" s="366" t="s">
        <v>29</v>
      </c>
      <c r="G3838" s="348" t="str">
        <f>"'"&amp;$C3838&amp;"'!$E$56:$Y$56"</f>
        <v>'BLD_RG'!$E$56:$Y$56</v>
      </c>
      <c r="H3838" s="381">
        <f ca="1">IF(IFERROR(INDEX(DATA_PROPERTY_MASTER!$E$5:$E$21,MATCH($C3838,DATA_PROPERTY_MASTER!$A$5:$A$21,0))="Yes",FALSE),IFERROR(INDEX(INDIRECT("'"&amp;$C3838&amp;"'!$E$56:$Y$56"),1,MATCH($D3838,INDIRECT("'"&amp;$C3838&amp;"'!$E$12:$Y$12"),0)),0),0)</f>
        <v>-57237.18341418184</v>
      </c>
      <c r="I3838" s="366" t="s">
        <v>1685</v>
      </c>
      <c r="J3838" s="348" t="str">
        <f t="shared" ca="1" si="118"/>
        <v>OK</v>
      </c>
      <c r="K3838" s="366" t="s">
        <v>1718</v>
      </c>
      <c r="L3838" s="366" t="s">
        <v>2250</v>
      </c>
      <c r="M3838" s="350" t="str">
        <f>IF($B3838="Portfolio","Portfolio",IFERROR(INDEX(DATA_ASSET_CLASSIFICATION!$B$8:$B$24,MATCH($C3838,DATA_ASSET_CLASSIFICATION!$A$8:$A$24,0)),"Review"))</f>
        <v>Rosemary Green</v>
      </c>
      <c r="N3838" s="350" t="str">
        <f ca="1">IF($B3838="Portfolio","Portfolio",IFERROR(INDEX(DATA_ASSET_CLASSIFICATION!$U$8:$U$24,MATCH($C3838,DATA_ASSET_CLASSIFICATION!$A$8:$A$24,0)),"Review"))</f>
        <v>Refi Watch</v>
      </c>
      <c r="O3838" s="350" t="str">
        <f ca="1">IF($B3838="Portfolio","Portfolio",IFERROR(INDEX(DATA_ASSET_CLASSIFICATION!$AB$8:$AB$13,MATCH($N3838,DATA_ASSET_CLASSIFICATION!$AA$8:$AA$13,0)),"Review"))</f>
        <v>Bucket 2 · Legacy</v>
      </c>
      <c r="P3838" s="350" t="str">
        <f>IF($B3838="Portfolio","Portfolio",IFERROR(INDEX(DATA_ASSET_CLASSIFICATION!$C$8:$C$24,MATCH($C3838,DATA_ASSET_CLASSIFICATION!$A$8:$A$24,0)),"Review"))</f>
        <v>Yes</v>
      </c>
      <c r="Q3838" s="350" t="str">
        <f t="shared" ca="1" si="119"/>
        <v>OK</v>
      </c>
    </row>
    <row r="3839" spans="1:17">
      <c r="A3839" s="366" t="s">
        <v>5795</v>
      </c>
      <c r="B3839" s="366" t="s">
        <v>231</v>
      </c>
      <c r="C3839" s="348" t="str">
        <f>DATA_PROPERTY_MASTER!$A$17</f>
        <v>BLD_RG</v>
      </c>
      <c r="D3839" s="380">
        <f>'00_PORTFOLIO ROLLUP'!I$12</f>
        <v>2029</v>
      </c>
      <c r="E3839" s="366" t="s">
        <v>1721</v>
      </c>
      <c r="F3839" s="366" t="s">
        <v>31</v>
      </c>
      <c r="G3839" s="348" t="str">
        <f>"'"&amp;$C3839&amp;"'!$E$61:$Y$61"</f>
        <v>'BLD_RG'!$E$61:$Y$61</v>
      </c>
      <c r="H3839" s="381">
        <f ca="1">IF(IFERROR(INDEX(DATA_PROPERTY_MASTER!$E$5:$E$21,MATCH($C3839,DATA_PROPERTY_MASTER!$A$5:$A$21,0))="Yes",FALSE),IFERROR(INDEX(INDIRECT("'"&amp;$C3839&amp;"'!$E$61:$Y$61"),1,MATCH($D3839,INDIRECT("'"&amp;$C3839&amp;"'!$E$12:$Y$12"),0)),0),0)</f>
        <v>0</v>
      </c>
      <c r="I3839" s="366" t="s">
        <v>1690</v>
      </c>
      <c r="J3839" s="348" t="str">
        <f t="shared" ca="1" si="118"/>
        <v>OK</v>
      </c>
      <c r="K3839" s="366" t="s">
        <v>1723</v>
      </c>
      <c r="L3839" s="366" t="s">
        <v>2252</v>
      </c>
      <c r="M3839" s="350" t="str">
        <f>IF($B3839="Portfolio","Portfolio",IFERROR(INDEX(DATA_ASSET_CLASSIFICATION!$B$8:$B$24,MATCH($C3839,DATA_ASSET_CLASSIFICATION!$A$8:$A$24,0)),"Review"))</f>
        <v>Rosemary Green</v>
      </c>
      <c r="N3839" s="350" t="str">
        <f ca="1">IF($B3839="Portfolio","Portfolio",IFERROR(INDEX(DATA_ASSET_CLASSIFICATION!$U$8:$U$24,MATCH($C3839,DATA_ASSET_CLASSIFICATION!$A$8:$A$24,0)),"Review"))</f>
        <v>Refi Watch</v>
      </c>
      <c r="O3839" s="350" t="str">
        <f ca="1">IF($B3839="Portfolio","Portfolio",IFERROR(INDEX(DATA_ASSET_CLASSIFICATION!$AB$8:$AB$13,MATCH($N3839,DATA_ASSET_CLASSIFICATION!$AA$8:$AA$13,0)),"Review"))</f>
        <v>Bucket 2 · Legacy</v>
      </c>
      <c r="P3839" s="350" t="str">
        <f>IF($B3839="Portfolio","Portfolio",IFERROR(INDEX(DATA_ASSET_CLASSIFICATION!$C$8:$C$24,MATCH($C3839,DATA_ASSET_CLASSIFICATION!$A$8:$A$24,0)),"Review"))</f>
        <v>Yes</v>
      </c>
      <c r="Q3839" s="350" t="str">
        <f t="shared" ca="1" si="119"/>
        <v>OK</v>
      </c>
    </row>
    <row r="3840" spans="1:17">
      <c r="A3840" s="366" t="s">
        <v>5796</v>
      </c>
      <c r="B3840" s="366" t="s">
        <v>231</v>
      </c>
      <c r="C3840" s="348" t="str">
        <f>DATA_PROPERTY_MASTER!$A$17</f>
        <v>BLD_RG</v>
      </c>
      <c r="D3840" s="380">
        <f>'00_PORTFOLIO ROLLUP'!I$12</f>
        <v>2029</v>
      </c>
      <c r="E3840" s="366" t="s">
        <v>1721</v>
      </c>
      <c r="F3840" s="366" t="s">
        <v>33</v>
      </c>
      <c r="G3840" s="348" t="str">
        <f>"'"&amp;$C3840&amp;"'!$E$62:$Y$62"</f>
        <v>'BLD_RG'!$E$62:$Y$62</v>
      </c>
      <c r="H3840" s="381">
        <f ca="1">IF(IFERROR(INDEX(DATA_PROPERTY_MASTER!$E$5:$E$21,MATCH($C3840,DATA_PROPERTY_MASTER!$A$5:$A$21,0))="Yes",FALSE),IFERROR(INDEX(INDIRECT("'"&amp;$C3840&amp;"'!$E$62:$Y$62"),1,MATCH($D3840,INDIRECT("'"&amp;$C3840&amp;"'!$E$12:$Y$12"),0)),0),0)</f>
        <v>0</v>
      </c>
      <c r="I3840" s="366" t="s">
        <v>1685</v>
      </c>
      <c r="J3840" s="348" t="str">
        <f t="shared" ca="1" si="118"/>
        <v>OK</v>
      </c>
      <c r="K3840" s="366" t="s">
        <v>1727</v>
      </c>
      <c r="L3840" s="366" t="s">
        <v>2254</v>
      </c>
      <c r="M3840" s="350" t="str">
        <f>IF($B3840="Portfolio","Portfolio",IFERROR(INDEX(DATA_ASSET_CLASSIFICATION!$B$8:$B$24,MATCH($C3840,DATA_ASSET_CLASSIFICATION!$A$8:$A$24,0)),"Review"))</f>
        <v>Rosemary Green</v>
      </c>
      <c r="N3840" s="350" t="str">
        <f ca="1">IF($B3840="Portfolio","Portfolio",IFERROR(INDEX(DATA_ASSET_CLASSIFICATION!$U$8:$U$24,MATCH($C3840,DATA_ASSET_CLASSIFICATION!$A$8:$A$24,0)),"Review"))</f>
        <v>Refi Watch</v>
      </c>
      <c r="O3840" s="350" t="str">
        <f ca="1">IF($B3840="Portfolio","Portfolio",IFERROR(INDEX(DATA_ASSET_CLASSIFICATION!$AB$8:$AB$13,MATCH($N3840,DATA_ASSET_CLASSIFICATION!$AA$8:$AA$13,0)),"Review"))</f>
        <v>Bucket 2 · Legacy</v>
      </c>
      <c r="P3840" s="350" t="str">
        <f>IF($B3840="Portfolio","Portfolio",IFERROR(INDEX(DATA_ASSET_CLASSIFICATION!$C$8:$C$24,MATCH($C3840,DATA_ASSET_CLASSIFICATION!$A$8:$A$24,0)),"Review"))</f>
        <v>Yes</v>
      </c>
      <c r="Q3840" s="350" t="str">
        <f t="shared" ca="1" si="119"/>
        <v>OK</v>
      </c>
    </row>
    <row r="3841" spans="1:17">
      <c r="A3841" s="366" t="s">
        <v>5797</v>
      </c>
      <c r="B3841" s="366" t="s">
        <v>231</v>
      </c>
      <c r="C3841" s="348" t="str">
        <f>DATA_PROPERTY_MASTER!$A$17</f>
        <v>BLD_RG</v>
      </c>
      <c r="D3841" s="380">
        <f>'00_PORTFOLIO ROLLUP'!I$12</f>
        <v>2029</v>
      </c>
      <c r="E3841" s="366" t="s">
        <v>1721</v>
      </c>
      <c r="F3841" s="366" t="s">
        <v>35</v>
      </c>
      <c r="G3841" s="348" t="str">
        <f>"'"&amp;$C3841&amp;"'!$E$63:$Y$63"</f>
        <v>'BLD_RG'!$E$63:$Y$63</v>
      </c>
      <c r="H3841" s="381">
        <f ca="1">IF(IFERROR(INDEX(DATA_PROPERTY_MASTER!$E$5:$E$21,MATCH($C3841,DATA_PROPERTY_MASTER!$A$5:$A$21,0))="Yes",FALSE),IFERROR(INDEX(INDIRECT("'"&amp;$C3841&amp;"'!$E$63:$Y$63"),1,MATCH($D3841,INDIRECT("'"&amp;$C3841&amp;"'!$E$12:$Y$12"),0)),0),0)</f>
        <v>0</v>
      </c>
      <c r="I3841" s="366" t="s">
        <v>1731</v>
      </c>
      <c r="J3841" s="348" t="str">
        <f t="shared" ca="1" si="118"/>
        <v>OK</v>
      </c>
      <c r="K3841" s="366" t="s">
        <v>1732</v>
      </c>
      <c r="L3841" s="366" t="s">
        <v>2256</v>
      </c>
      <c r="M3841" s="350" t="str">
        <f>IF($B3841="Portfolio","Portfolio",IFERROR(INDEX(DATA_ASSET_CLASSIFICATION!$B$8:$B$24,MATCH($C3841,DATA_ASSET_CLASSIFICATION!$A$8:$A$24,0)),"Review"))</f>
        <v>Rosemary Green</v>
      </c>
      <c r="N3841" s="350" t="str">
        <f ca="1">IF($B3841="Portfolio","Portfolio",IFERROR(INDEX(DATA_ASSET_CLASSIFICATION!$U$8:$U$24,MATCH($C3841,DATA_ASSET_CLASSIFICATION!$A$8:$A$24,0)),"Review"))</f>
        <v>Refi Watch</v>
      </c>
      <c r="O3841" s="350" t="str">
        <f ca="1">IF($B3841="Portfolio","Portfolio",IFERROR(INDEX(DATA_ASSET_CLASSIFICATION!$AB$8:$AB$13,MATCH($N3841,DATA_ASSET_CLASSIFICATION!$AA$8:$AA$13,0)),"Review"))</f>
        <v>Bucket 2 · Legacy</v>
      </c>
      <c r="P3841" s="350" t="str">
        <f>IF($B3841="Portfolio","Portfolio",IFERROR(INDEX(DATA_ASSET_CLASSIFICATION!$C$8:$C$24,MATCH($C3841,DATA_ASSET_CLASSIFICATION!$A$8:$A$24,0)),"Review"))</f>
        <v>Yes</v>
      </c>
      <c r="Q3841" s="350" t="str">
        <f t="shared" ca="1" si="119"/>
        <v>OK</v>
      </c>
    </row>
    <row r="3842" spans="1:17">
      <c r="A3842" s="366" t="s">
        <v>5798</v>
      </c>
      <c r="B3842" s="366" t="s">
        <v>231</v>
      </c>
      <c r="C3842" s="348" t="str">
        <f>DATA_PROPERTY_MASTER!$A$17</f>
        <v>BLD_RG</v>
      </c>
      <c r="D3842" s="380">
        <f>'00_PORTFOLIO ROLLUP'!I$12</f>
        <v>2029</v>
      </c>
      <c r="E3842" s="366" t="s">
        <v>1721</v>
      </c>
      <c r="F3842" s="366" t="s">
        <v>37</v>
      </c>
      <c r="G3842" s="348" t="str">
        <f>"'"&amp;$C3842&amp;"'!$E$63:$Y$63"</f>
        <v>'BLD_RG'!$E$63:$Y$63</v>
      </c>
      <c r="H3842" s="381">
        <f ca="1">IF(IFERROR(INDEX(DATA_PROPERTY_MASTER!$E$5:$E$21,MATCH($C3842,DATA_PROPERTY_MASTER!$A$5:$A$21,0))="Yes",FALSE),MAX(IFERROR(INDEX(INDIRECT("'"&amp;$C3842&amp;"'!$E$63:$Y$63"),1,MATCH($D3842,INDIRECT("'"&amp;$C3842&amp;"'!$E$12:$Y$12"),0)),0),0),0)</f>
        <v>0</v>
      </c>
      <c r="I3842" s="366" t="s">
        <v>1685</v>
      </c>
      <c r="J3842" s="348" t="str">
        <f t="shared" ca="1" si="118"/>
        <v>OK</v>
      </c>
      <c r="K3842" s="366" t="s">
        <v>1735</v>
      </c>
      <c r="L3842" s="366" t="s">
        <v>2258</v>
      </c>
      <c r="M3842" s="350" t="str">
        <f>IF($B3842="Portfolio","Portfolio",IFERROR(INDEX(DATA_ASSET_CLASSIFICATION!$B$8:$B$24,MATCH($C3842,DATA_ASSET_CLASSIFICATION!$A$8:$A$24,0)),"Review"))</f>
        <v>Rosemary Green</v>
      </c>
      <c r="N3842" s="350" t="str">
        <f ca="1">IF($B3842="Portfolio","Portfolio",IFERROR(INDEX(DATA_ASSET_CLASSIFICATION!$U$8:$U$24,MATCH($C3842,DATA_ASSET_CLASSIFICATION!$A$8:$A$24,0)),"Review"))</f>
        <v>Refi Watch</v>
      </c>
      <c r="O3842" s="350" t="str">
        <f ca="1">IF($B3842="Portfolio","Portfolio",IFERROR(INDEX(DATA_ASSET_CLASSIFICATION!$AB$8:$AB$13,MATCH($N3842,DATA_ASSET_CLASSIFICATION!$AA$8:$AA$13,0)),"Review"))</f>
        <v>Bucket 2 · Legacy</v>
      </c>
      <c r="P3842" s="350" t="str">
        <f>IF($B3842="Portfolio","Portfolio",IFERROR(INDEX(DATA_ASSET_CLASSIFICATION!$C$8:$C$24,MATCH($C3842,DATA_ASSET_CLASSIFICATION!$A$8:$A$24,0)),"Review"))</f>
        <v>Yes</v>
      </c>
      <c r="Q3842" s="350" t="str">
        <f t="shared" ca="1" si="119"/>
        <v>OK</v>
      </c>
    </row>
    <row r="3843" spans="1:17">
      <c r="A3843" s="366" t="s">
        <v>5799</v>
      </c>
      <c r="B3843" s="366" t="s">
        <v>231</v>
      </c>
      <c r="C3843" s="348" t="str">
        <f>DATA_PROPERTY_MASTER!$A$17</f>
        <v>BLD_RG</v>
      </c>
      <c r="D3843" s="380">
        <f>'00_PORTFOLIO ROLLUP'!I$12</f>
        <v>2029</v>
      </c>
      <c r="E3843" s="366" t="s">
        <v>1721</v>
      </c>
      <c r="F3843" s="366" t="s">
        <v>39</v>
      </c>
      <c r="G3843" s="348" t="str">
        <f>"'"&amp;$C3843&amp;"'!$E$63:$Y$63"</f>
        <v>'BLD_RG'!$E$63:$Y$63</v>
      </c>
      <c r="H3843" s="381">
        <f ca="1">IF(IFERROR(INDEX(DATA_PROPERTY_MASTER!$E$5:$E$21,MATCH($C3843,DATA_PROPERTY_MASTER!$A$5:$A$21,0))="Yes",FALSE),MAX(-IFERROR(INDEX(INDIRECT("'"&amp;$C3843&amp;"'!$E$63:$Y$63"),1,MATCH($D3843,INDIRECT("'"&amp;$C3843&amp;"'!$E$12:$Y$12"),0)),0),0),0)</f>
        <v>0</v>
      </c>
      <c r="I3843" s="366" t="s">
        <v>1690</v>
      </c>
      <c r="J3843" s="348" t="str">
        <f t="shared" ca="1" si="118"/>
        <v>OK</v>
      </c>
      <c r="K3843" s="366" t="s">
        <v>1738</v>
      </c>
      <c r="L3843" s="366" t="s">
        <v>2260</v>
      </c>
      <c r="M3843" s="350" t="str">
        <f>IF($B3843="Portfolio","Portfolio",IFERROR(INDEX(DATA_ASSET_CLASSIFICATION!$B$8:$B$24,MATCH($C3843,DATA_ASSET_CLASSIFICATION!$A$8:$A$24,0)),"Review"))</f>
        <v>Rosemary Green</v>
      </c>
      <c r="N3843" s="350" t="str">
        <f ca="1">IF($B3843="Portfolio","Portfolio",IFERROR(INDEX(DATA_ASSET_CLASSIFICATION!$U$8:$U$24,MATCH($C3843,DATA_ASSET_CLASSIFICATION!$A$8:$A$24,0)),"Review"))</f>
        <v>Refi Watch</v>
      </c>
      <c r="O3843" s="350" t="str">
        <f ca="1">IF($B3843="Portfolio","Portfolio",IFERROR(INDEX(DATA_ASSET_CLASSIFICATION!$AB$8:$AB$13,MATCH($N3843,DATA_ASSET_CLASSIFICATION!$AA$8:$AA$13,0)),"Review"))</f>
        <v>Bucket 2 · Legacy</v>
      </c>
      <c r="P3843" s="350" t="str">
        <f>IF($B3843="Portfolio","Portfolio",IFERROR(INDEX(DATA_ASSET_CLASSIFICATION!$C$8:$C$24,MATCH($C3843,DATA_ASSET_CLASSIFICATION!$A$8:$A$24,0)),"Review"))</f>
        <v>Yes</v>
      </c>
      <c r="Q3843" s="350" t="str">
        <f t="shared" ca="1" si="119"/>
        <v>OK</v>
      </c>
    </row>
    <row r="3844" spans="1:17">
      <c r="A3844" s="366" t="s">
        <v>5800</v>
      </c>
      <c r="B3844" s="366" t="s">
        <v>231</v>
      </c>
      <c r="C3844" s="348" t="str">
        <f>DATA_PROPERTY_MASTER!$A$17</f>
        <v>BLD_RG</v>
      </c>
      <c r="D3844" s="380">
        <f>'00_PORTFOLIO ROLLUP'!I$12</f>
        <v>2029</v>
      </c>
      <c r="E3844" s="366" t="s">
        <v>1741</v>
      </c>
      <c r="F3844" s="366" t="s">
        <v>41</v>
      </c>
      <c r="G3844" s="348" t="str">
        <f>"'"&amp;$C3844&amp;"'!rows 56 + positive row 63"</f>
        <v>'BLD_RG'!rows 56 + positive row 63</v>
      </c>
      <c r="H3844" s="381">
        <f ca="1">IF(IFERROR(INDEX(DATA_PROPERTY_MASTER!$E$5:$E$21,MATCH($C3844,DATA_PROPERTY_MASTER!$A$5:$A$21,0))="Yes",FALSE),IFERROR(INDEX(INDIRECT("'"&amp;$C3844&amp;"'!$E$56:$Y$56"),1,MATCH($D3844,INDIRECT("'"&amp;$C3844&amp;"'!$E$12:$Y$12"),0)),0)+MAX(IFERROR(INDEX(INDIRECT("'"&amp;$C3844&amp;"'!$E$63:$Y$63"),1,MATCH($D3844,INDIRECT("'"&amp;$C3844&amp;"'!$E$12:$Y$12"),0)),0),0),0)</f>
        <v>-57237.18341418184</v>
      </c>
      <c r="I3844" s="366" t="s">
        <v>1685</v>
      </c>
      <c r="J3844" s="348" t="str">
        <f t="shared" ca="1" si="118"/>
        <v>OK</v>
      </c>
      <c r="K3844" s="366" t="s">
        <v>1742</v>
      </c>
      <c r="L3844" s="366" t="s">
        <v>2262</v>
      </c>
      <c r="M3844" s="350" t="str">
        <f>IF($B3844="Portfolio","Portfolio",IFERROR(INDEX(DATA_ASSET_CLASSIFICATION!$B$8:$B$24,MATCH($C3844,DATA_ASSET_CLASSIFICATION!$A$8:$A$24,0)),"Review"))</f>
        <v>Rosemary Green</v>
      </c>
      <c r="N3844" s="350" t="str">
        <f ca="1">IF($B3844="Portfolio","Portfolio",IFERROR(INDEX(DATA_ASSET_CLASSIFICATION!$U$8:$U$24,MATCH($C3844,DATA_ASSET_CLASSIFICATION!$A$8:$A$24,0)),"Review"))</f>
        <v>Refi Watch</v>
      </c>
      <c r="O3844" s="350" t="str">
        <f ca="1">IF($B3844="Portfolio","Portfolio",IFERROR(INDEX(DATA_ASSET_CLASSIFICATION!$AB$8:$AB$13,MATCH($N3844,DATA_ASSET_CLASSIFICATION!$AA$8:$AA$13,0)),"Review"))</f>
        <v>Bucket 2 · Legacy</v>
      </c>
      <c r="P3844" s="350" t="str">
        <f>IF($B3844="Portfolio","Portfolio",IFERROR(INDEX(DATA_ASSET_CLASSIFICATION!$C$8:$C$24,MATCH($C3844,DATA_ASSET_CLASSIFICATION!$A$8:$A$24,0)),"Review"))</f>
        <v>Yes</v>
      </c>
      <c r="Q3844" s="350" t="str">
        <f t="shared" ca="1" si="119"/>
        <v>OK</v>
      </c>
    </row>
    <row r="3845" spans="1:17">
      <c r="A3845" s="366" t="s">
        <v>5801</v>
      </c>
      <c r="B3845" s="366" t="s">
        <v>231</v>
      </c>
      <c r="C3845" s="348" t="str">
        <f>DATA_PROPERTY_MASTER!$A$17</f>
        <v>BLD_RG</v>
      </c>
      <c r="D3845" s="380">
        <f>'00_PORTFOLIO ROLLUP'!I$12</f>
        <v>2029</v>
      </c>
      <c r="E3845" s="366" t="s">
        <v>1741</v>
      </c>
      <c r="F3845" s="366" t="s">
        <v>43</v>
      </c>
      <c r="G3845" s="348" t="str">
        <f>"'"&amp;$C3845&amp;"'!$E$68:$Y$68"</f>
        <v>'BLD_RG'!$E$68:$Y$68</v>
      </c>
      <c r="H3845" s="381">
        <f ca="1">IF(IFERROR(INDEX(DATA_PROPERTY_MASTER!$E$5:$E$21,MATCH($C3845,DATA_PROPERTY_MASTER!$A$5:$A$21,0))="Yes",FALSE),IFERROR(INDEX(INDIRECT("'"&amp;$C3845&amp;"'!$E$68:$Y$68"),1,MATCH($D3845,INDIRECT("'"&amp;$C3845&amp;"'!$E$12:$Y$12"),0)),0),0)</f>
        <v>-57237.18341418184</v>
      </c>
      <c r="I3845" s="366" t="s">
        <v>1731</v>
      </c>
      <c r="J3845" s="348" t="str">
        <f t="shared" ref="J3845:J3908" ca="1" si="120">IF($F3845="Residual Funding Gap",IF($H3845&gt;0,"Funding Gap","OK"),IF(AND($F3845="Net Refinance Position",$H3845&lt;0),"Negative net refi position","OK"))</f>
        <v>OK</v>
      </c>
      <c r="K3845" s="366" t="s">
        <v>1746</v>
      </c>
      <c r="L3845" s="366" t="s">
        <v>2264</v>
      </c>
      <c r="M3845" s="350" t="str">
        <f>IF($B3845="Portfolio","Portfolio",IFERROR(INDEX(DATA_ASSET_CLASSIFICATION!$B$8:$B$24,MATCH($C3845,DATA_ASSET_CLASSIFICATION!$A$8:$A$24,0)),"Review"))</f>
        <v>Rosemary Green</v>
      </c>
      <c r="N3845" s="350" t="str">
        <f ca="1">IF($B3845="Portfolio","Portfolio",IFERROR(INDEX(DATA_ASSET_CLASSIFICATION!$U$8:$U$24,MATCH($C3845,DATA_ASSET_CLASSIFICATION!$A$8:$A$24,0)),"Review"))</f>
        <v>Refi Watch</v>
      </c>
      <c r="O3845" s="350" t="str">
        <f ca="1">IF($B3845="Portfolio","Portfolio",IFERROR(INDEX(DATA_ASSET_CLASSIFICATION!$AB$8:$AB$13,MATCH($N3845,DATA_ASSET_CLASSIFICATION!$AA$8:$AA$13,0)),"Review"))</f>
        <v>Bucket 2 · Legacy</v>
      </c>
      <c r="P3845" s="350" t="str">
        <f>IF($B3845="Portfolio","Portfolio",IFERROR(INDEX(DATA_ASSET_CLASSIFICATION!$C$8:$C$24,MATCH($C3845,DATA_ASSET_CLASSIFICATION!$A$8:$A$24,0)),"Review"))</f>
        <v>Yes</v>
      </c>
      <c r="Q3845" s="350" t="str">
        <f t="shared" ref="Q3845:Q3908" ca="1" si="121">IF(AND($B3845="Property",$F3845="Residual Funding Gap",$H3845&gt;0),"Property Funding Gap",IF($J3845&lt;&gt;"OK",$J3845,"OK"))</f>
        <v>OK</v>
      </c>
    </row>
    <row r="3846" spans="1:17">
      <c r="A3846" s="366" t="s">
        <v>5802</v>
      </c>
      <c r="B3846" s="366" t="s">
        <v>231</v>
      </c>
      <c r="C3846" s="348" t="str">
        <f>DATA_PROPERTY_MASTER!$A$17</f>
        <v>BLD_RG</v>
      </c>
      <c r="D3846" s="380">
        <f>'00_PORTFOLIO ROLLUP'!I$12</f>
        <v>2029</v>
      </c>
      <c r="E3846" s="366" t="s">
        <v>1741</v>
      </c>
      <c r="F3846" s="366" t="s">
        <v>1749</v>
      </c>
      <c r="G3846" s="348" t="str">
        <f>"'"&amp;$C3846&amp;"'!rows 56, 63, 68"</f>
        <v>'BLD_RG'!rows 56, 63, 68</v>
      </c>
      <c r="H3846" s="381">
        <f ca="1">IF(IFERROR(INDEX(DATA_PROPERTY_MASTER!$E$5:$E$21,MATCH($C3846,DATA_PROPERTY_MASTER!$A$5:$A$21,0))="Yes",FALSE),(IFERROR(INDEX(INDIRECT("'"&amp;$C3846&amp;"'!$E$56:$Y$56"),1,MATCH($D3846,INDIRECT("'"&amp;$C3846&amp;"'!$E$12:$Y$12"),0)),0)+MAX(IFERROR(INDEX(INDIRECT("'"&amp;$C3846&amp;"'!$E$63:$Y$63"),1,MATCH($D3846,INDIRECT("'"&amp;$C3846&amp;"'!$E$12:$Y$12"),0)),0),0))-(IFERROR(INDEX(INDIRECT("'"&amp;$C3846&amp;"'!$E$68:$Y$68"),1,MATCH($D3846,INDIRECT("'"&amp;$C3846&amp;"'!$E$12:$Y$12"),0)),0)),0)</f>
        <v>0</v>
      </c>
      <c r="I3846" s="366" t="s">
        <v>1750</v>
      </c>
      <c r="J3846" s="348" t="str">
        <f t="shared" ca="1" si="120"/>
        <v>OK</v>
      </c>
      <c r="K3846" s="366" t="s">
        <v>1751</v>
      </c>
      <c r="L3846" s="366" t="s">
        <v>2266</v>
      </c>
      <c r="M3846" s="350" t="str">
        <f>IF($B3846="Portfolio","Portfolio",IFERROR(INDEX(DATA_ASSET_CLASSIFICATION!$B$8:$B$24,MATCH($C3846,DATA_ASSET_CLASSIFICATION!$A$8:$A$24,0)),"Review"))</f>
        <v>Rosemary Green</v>
      </c>
      <c r="N3846" s="350" t="str">
        <f ca="1">IF($B3846="Portfolio","Portfolio",IFERROR(INDEX(DATA_ASSET_CLASSIFICATION!$U$8:$U$24,MATCH($C3846,DATA_ASSET_CLASSIFICATION!$A$8:$A$24,0)),"Review"))</f>
        <v>Refi Watch</v>
      </c>
      <c r="O3846" s="350" t="str">
        <f ca="1">IF($B3846="Portfolio","Portfolio",IFERROR(INDEX(DATA_ASSET_CLASSIFICATION!$AB$8:$AB$13,MATCH($N3846,DATA_ASSET_CLASSIFICATION!$AA$8:$AA$13,0)),"Review"))</f>
        <v>Bucket 2 · Legacy</v>
      </c>
      <c r="P3846" s="350" t="str">
        <f>IF($B3846="Portfolio","Portfolio",IFERROR(INDEX(DATA_ASSET_CLASSIFICATION!$C$8:$C$24,MATCH($C3846,DATA_ASSET_CLASSIFICATION!$A$8:$A$24,0)),"Review"))</f>
        <v>Yes</v>
      </c>
      <c r="Q3846" s="350" t="str">
        <f t="shared" ca="1" si="121"/>
        <v>OK</v>
      </c>
    </row>
    <row r="3847" spans="1:17">
      <c r="A3847" s="366" t="s">
        <v>5803</v>
      </c>
      <c r="B3847" s="366" t="s">
        <v>231</v>
      </c>
      <c r="C3847" s="348" t="str">
        <f>DATA_PROPERTY_MASTER!$A$17</f>
        <v>BLD_RG</v>
      </c>
      <c r="D3847" s="380">
        <f>'00_PORTFOLIO ROLLUP'!J$12</f>
        <v>2030</v>
      </c>
      <c r="E3847" s="366" t="s">
        <v>1683</v>
      </c>
      <c r="F3847" s="366" t="s">
        <v>341</v>
      </c>
      <c r="G3847" s="348" t="str">
        <f>"'"&amp;$C3847&amp;"'!$E$24:$Y$24"</f>
        <v>'BLD_RG'!$E$24:$Y$24</v>
      </c>
      <c r="H3847" s="381">
        <f ca="1">IF(IFERROR(INDEX(DATA_PROPERTY_MASTER!$E$5:$E$21,MATCH($C3847,DATA_PROPERTY_MASTER!$A$5:$A$21,0))="Yes",FALSE),IFERROR(INDEX(INDIRECT("'"&amp;$C3847&amp;"'!$E$24:$Y$24"),1,MATCH($D3847,INDIRECT("'"&amp;$C3847&amp;"'!$E$12:$Y$12"),0)),0),0)</f>
        <v>495838.8950954802</v>
      </c>
      <c r="I3847" s="366" t="s">
        <v>1685</v>
      </c>
      <c r="J3847" s="348" t="str">
        <f t="shared" ca="1" si="120"/>
        <v>OK</v>
      </c>
      <c r="K3847" s="366" t="s">
        <v>1686</v>
      </c>
      <c r="L3847" s="366" t="s">
        <v>2234</v>
      </c>
      <c r="M3847" s="350" t="str">
        <f>IF($B3847="Portfolio","Portfolio",IFERROR(INDEX(DATA_ASSET_CLASSIFICATION!$B$8:$B$24,MATCH($C3847,DATA_ASSET_CLASSIFICATION!$A$8:$A$24,0)),"Review"))</f>
        <v>Rosemary Green</v>
      </c>
      <c r="N3847" s="350" t="str">
        <f ca="1">IF($B3847="Portfolio","Portfolio",IFERROR(INDEX(DATA_ASSET_CLASSIFICATION!$U$8:$U$24,MATCH($C3847,DATA_ASSET_CLASSIFICATION!$A$8:$A$24,0)),"Review"))</f>
        <v>Refi Watch</v>
      </c>
      <c r="O3847" s="350" t="str">
        <f ca="1">IF($B3847="Portfolio","Portfolio",IFERROR(INDEX(DATA_ASSET_CLASSIFICATION!$AB$8:$AB$13,MATCH($N3847,DATA_ASSET_CLASSIFICATION!$AA$8:$AA$13,0)),"Review"))</f>
        <v>Bucket 2 · Legacy</v>
      </c>
      <c r="P3847" s="350" t="str">
        <f>IF($B3847="Portfolio","Portfolio",IFERROR(INDEX(DATA_ASSET_CLASSIFICATION!$C$8:$C$24,MATCH($C3847,DATA_ASSET_CLASSIFICATION!$A$8:$A$24,0)),"Review"))</f>
        <v>Yes</v>
      </c>
      <c r="Q3847" s="350" t="str">
        <f t="shared" ca="1" si="121"/>
        <v>OK</v>
      </c>
    </row>
    <row r="3848" spans="1:17">
      <c r="A3848" s="366" t="s">
        <v>5804</v>
      </c>
      <c r="B3848" s="366" t="s">
        <v>231</v>
      </c>
      <c r="C3848" s="348" t="str">
        <f>DATA_PROPERTY_MASTER!$A$17</f>
        <v>BLD_RG</v>
      </c>
      <c r="D3848" s="380">
        <f>'00_PORTFOLIO ROLLUP'!J$12</f>
        <v>2030</v>
      </c>
      <c r="E3848" s="366" t="s">
        <v>1683</v>
      </c>
      <c r="F3848" s="366" t="s">
        <v>355</v>
      </c>
      <c r="G3848" s="348" t="str">
        <f>"'"&amp;$C3848&amp;"'!$E$39:$Y$39"</f>
        <v>'BLD_RG'!$E$39:$Y$39</v>
      </c>
      <c r="H3848" s="381">
        <f ca="1">IF(IFERROR(INDEX(DATA_PROPERTY_MASTER!$E$5:$E$21,MATCH($C3848,DATA_PROPERTY_MASTER!$A$5:$A$21,0))="Yes",FALSE),IFERROR(INDEX(INDIRECT("'"&amp;$C3848&amp;"'!$E$39:$Y$39"),1,MATCH($D3848,INDIRECT("'"&amp;$C3848&amp;"'!$E$12:$Y$12"),0)),0),0)</f>
        <v>262295.76592261129</v>
      </c>
      <c r="I3848" s="366" t="s">
        <v>1690</v>
      </c>
      <c r="J3848" s="348" t="str">
        <f t="shared" ca="1" si="120"/>
        <v>OK</v>
      </c>
      <c r="K3848" s="366" t="s">
        <v>1686</v>
      </c>
      <c r="L3848" s="366" t="s">
        <v>2236</v>
      </c>
      <c r="M3848" s="350" t="str">
        <f>IF($B3848="Portfolio","Portfolio",IFERROR(INDEX(DATA_ASSET_CLASSIFICATION!$B$8:$B$24,MATCH($C3848,DATA_ASSET_CLASSIFICATION!$A$8:$A$24,0)),"Review"))</f>
        <v>Rosemary Green</v>
      </c>
      <c r="N3848" s="350" t="str">
        <f ca="1">IF($B3848="Portfolio","Portfolio",IFERROR(INDEX(DATA_ASSET_CLASSIFICATION!$U$8:$U$24,MATCH($C3848,DATA_ASSET_CLASSIFICATION!$A$8:$A$24,0)),"Review"))</f>
        <v>Refi Watch</v>
      </c>
      <c r="O3848" s="350" t="str">
        <f ca="1">IF($B3848="Portfolio","Portfolio",IFERROR(INDEX(DATA_ASSET_CLASSIFICATION!$AB$8:$AB$13,MATCH($N3848,DATA_ASSET_CLASSIFICATION!$AA$8:$AA$13,0)),"Review"))</f>
        <v>Bucket 2 · Legacy</v>
      </c>
      <c r="P3848" s="350" t="str">
        <f>IF($B3848="Portfolio","Portfolio",IFERROR(INDEX(DATA_ASSET_CLASSIFICATION!$C$8:$C$24,MATCH($C3848,DATA_ASSET_CLASSIFICATION!$A$8:$A$24,0)),"Review"))</f>
        <v>Yes</v>
      </c>
      <c r="Q3848" s="350" t="str">
        <f t="shared" ca="1" si="121"/>
        <v>OK</v>
      </c>
    </row>
    <row r="3849" spans="1:17">
      <c r="A3849" s="366" t="s">
        <v>5805</v>
      </c>
      <c r="B3849" s="366" t="s">
        <v>231</v>
      </c>
      <c r="C3849" s="348" t="str">
        <f>DATA_PROPERTY_MASTER!$A$17</f>
        <v>BLD_RG</v>
      </c>
      <c r="D3849" s="380">
        <f>'00_PORTFOLIO ROLLUP'!J$12</f>
        <v>2030</v>
      </c>
      <c r="E3849" s="366" t="s">
        <v>1683</v>
      </c>
      <c r="F3849" s="366" t="s">
        <v>19</v>
      </c>
      <c r="G3849" s="348" t="str">
        <f>"'"&amp;$C3849&amp;"'!$E$41:$Y$41"</f>
        <v>'BLD_RG'!$E$41:$Y$41</v>
      </c>
      <c r="H3849" s="381">
        <f ca="1">IF(IFERROR(INDEX(DATA_PROPERTY_MASTER!$E$5:$E$21,MATCH($C3849,DATA_PROPERTY_MASTER!$A$5:$A$21,0))="Yes",FALSE),IFERROR(INDEX(INDIRECT("'"&amp;$C3849&amp;"'!$E$41:$Y$41"),1,MATCH($D3849,INDIRECT("'"&amp;$C3849&amp;"'!$E$12:$Y$12"),0)),0),0)</f>
        <v>233543.12917286891</v>
      </c>
      <c r="I3849" s="366" t="s">
        <v>1685</v>
      </c>
      <c r="J3849" s="348" t="str">
        <f t="shared" ca="1" si="120"/>
        <v>OK</v>
      </c>
      <c r="K3849" s="366" t="s">
        <v>1694</v>
      </c>
      <c r="L3849" s="366" t="s">
        <v>2238</v>
      </c>
      <c r="M3849" s="350" t="str">
        <f>IF($B3849="Portfolio","Portfolio",IFERROR(INDEX(DATA_ASSET_CLASSIFICATION!$B$8:$B$24,MATCH($C3849,DATA_ASSET_CLASSIFICATION!$A$8:$A$24,0)),"Review"))</f>
        <v>Rosemary Green</v>
      </c>
      <c r="N3849" s="350" t="str">
        <f ca="1">IF($B3849="Portfolio","Portfolio",IFERROR(INDEX(DATA_ASSET_CLASSIFICATION!$U$8:$U$24,MATCH($C3849,DATA_ASSET_CLASSIFICATION!$A$8:$A$24,0)),"Review"))</f>
        <v>Refi Watch</v>
      </c>
      <c r="O3849" s="350" t="str">
        <f ca="1">IF($B3849="Portfolio","Portfolio",IFERROR(INDEX(DATA_ASSET_CLASSIFICATION!$AB$8:$AB$13,MATCH($N3849,DATA_ASSET_CLASSIFICATION!$AA$8:$AA$13,0)),"Review"))</f>
        <v>Bucket 2 · Legacy</v>
      </c>
      <c r="P3849" s="350" t="str">
        <f>IF($B3849="Portfolio","Portfolio",IFERROR(INDEX(DATA_ASSET_CLASSIFICATION!$C$8:$C$24,MATCH($C3849,DATA_ASSET_CLASSIFICATION!$A$8:$A$24,0)),"Review"))</f>
        <v>Yes</v>
      </c>
      <c r="Q3849" s="350" t="str">
        <f t="shared" ca="1" si="121"/>
        <v>OK</v>
      </c>
    </row>
    <row r="3850" spans="1:17">
      <c r="A3850" s="366" t="s">
        <v>5806</v>
      </c>
      <c r="B3850" s="366" t="s">
        <v>231</v>
      </c>
      <c r="C3850" s="348" t="str">
        <f>DATA_PROPERTY_MASTER!$A$17</f>
        <v>BLD_RG</v>
      </c>
      <c r="D3850" s="380">
        <f>'00_PORTFOLIO ROLLUP'!J$12</f>
        <v>2030</v>
      </c>
      <c r="E3850" s="366" t="s">
        <v>1683</v>
      </c>
      <c r="F3850" s="366" t="s">
        <v>1697</v>
      </c>
      <c r="G3850" s="348" t="str">
        <f>"'"&amp;$C3850&amp;"'!$E$44:$Y$44"</f>
        <v>'BLD_RG'!$E$44:$Y$44</v>
      </c>
      <c r="H3850" s="381">
        <f ca="1">IF(IFERROR(INDEX(DATA_PROPERTY_MASTER!$E$5:$E$21,MATCH($C3850,DATA_PROPERTY_MASTER!$A$5:$A$21,0))="Yes",FALSE),IFERROR(INDEX(INDIRECT("'"&amp;$C3850&amp;"'!$E$44:$Y$44"),1,MATCH($D3850,INDIRECT("'"&amp;$C3850&amp;"'!$E$12:$Y$12"),0)),0),0)</f>
        <v>6293.2605782400005</v>
      </c>
      <c r="I3850" s="366" t="s">
        <v>1690</v>
      </c>
      <c r="J3850" s="348" t="str">
        <f t="shared" ca="1" si="120"/>
        <v>OK</v>
      </c>
      <c r="K3850" s="366" t="s">
        <v>1699</v>
      </c>
      <c r="L3850" s="366" t="s">
        <v>2240</v>
      </c>
      <c r="M3850" s="350" t="str">
        <f>IF($B3850="Portfolio","Portfolio",IFERROR(INDEX(DATA_ASSET_CLASSIFICATION!$B$8:$B$24,MATCH($C3850,DATA_ASSET_CLASSIFICATION!$A$8:$A$24,0)),"Review"))</f>
        <v>Rosemary Green</v>
      </c>
      <c r="N3850" s="350" t="str">
        <f ca="1">IF($B3850="Portfolio","Portfolio",IFERROR(INDEX(DATA_ASSET_CLASSIFICATION!$U$8:$U$24,MATCH($C3850,DATA_ASSET_CLASSIFICATION!$A$8:$A$24,0)),"Review"))</f>
        <v>Refi Watch</v>
      </c>
      <c r="O3850" s="350" t="str">
        <f ca="1">IF($B3850="Portfolio","Portfolio",IFERROR(INDEX(DATA_ASSET_CLASSIFICATION!$AB$8:$AB$13,MATCH($N3850,DATA_ASSET_CLASSIFICATION!$AA$8:$AA$13,0)),"Review"))</f>
        <v>Bucket 2 · Legacy</v>
      </c>
      <c r="P3850" s="350" t="str">
        <f>IF($B3850="Portfolio","Portfolio",IFERROR(INDEX(DATA_ASSET_CLASSIFICATION!$C$8:$C$24,MATCH($C3850,DATA_ASSET_CLASSIFICATION!$A$8:$A$24,0)),"Review"))</f>
        <v>Yes</v>
      </c>
      <c r="Q3850" s="350" t="str">
        <f t="shared" ca="1" si="121"/>
        <v>OK</v>
      </c>
    </row>
    <row r="3851" spans="1:17">
      <c r="A3851" s="366" t="s">
        <v>5807</v>
      </c>
      <c r="B3851" s="366" t="s">
        <v>231</v>
      </c>
      <c r="C3851" s="348" t="str">
        <f>DATA_PROPERTY_MASTER!$A$17</f>
        <v>BLD_RG</v>
      </c>
      <c r="D3851" s="380">
        <f>'00_PORTFOLIO ROLLUP'!J$12</f>
        <v>2030</v>
      </c>
      <c r="E3851" s="366" t="s">
        <v>1683</v>
      </c>
      <c r="F3851" s="366" t="s">
        <v>21</v>
      </c>
      <c r="G3851" s="348" t="str">
        <f>"'"&amp;$C3851&amp;"'!$E$45:$Y$45"</f>
        <v>'BLD_RG'!$E$45:$Y$45</v>
      </c>
      <c r="H3851" s="381">
        <f ca="1">IF(IFERROR(INDEX(DATA_PROPERTY_MASTER!$E$5:$E$21,MATCH($C3851,DATA_PROPERTY_MASTER!$A$5:$A$21,0))="Yes",FALSE),IFERROR(INDEX(INDIRECT("'"&amp;$C3851&amp;"'!$E$45:$Y$45"),1,MATCH($D3851,INDIRECT("'"&amp;$C3851&amp;"'!$E$12:$Y$12"),0)),0),0)</f>
        <v>227249.8685946289</v>
      </c>
      <c r="I3851" s="366" t="s">
        <v>1685</v>
      </c>
      <c r="J3851" s="348" t="str">
        <f t="shared" ca="1" si="120"/>
        <v>OK</v>
      </c>
      <c r="K3851" s="366" t="s">
        <v>1694</v>
      </c>
      <c r="L3851" s="366" t="s">
        <v>2242</v>
      </c>
      <c r="M3851" s="350" t="str">
        <f>IF($B3851="Portfolio","Portfolio",IFERROR(INDEX(DATA_ASSET_CLASSIFICATION!$B$8:$B$24,MATCH($C3851,DATA_ASSET_CLASSIFICATION!$A$8:$A$24,0)),"Review"))</f>
        <v>Rosemary Green</v>
      </c>
      <c r="N3851" s="350" t="str">
        <f ca="1">IF($B3851="Portfolio","Portfolio",IFERROR(INDEX(DATA_ASSET_CLASSIFICATION!$U$8:$U$24,MATCH($C3851,DATA_ASSET_CLASSIFICATION!$A$8:$A$24,0)),"Review"))</f>
        <v>Refi Watch</v>
      </c>
      <c r="O3851" s="350" t="str">
        <f ca="1">IF($B3851="Portfolio","Portfolio",IFERROR(INDEX(DATA_ASSET_CLASSIFICATION!$AB$8:$AB$13,MATCH($N3851,DATA_ASSET_CLASSIFICATION!$AA$8:$AA$13,0)),"Review"))</f>
        <v>Bucket 2 · Legacy</v>
      </c>
      <c r="P3851" s="350" t="str">
        <f>IF($B3851="Portfolio","Portfolio",IFERROR(INDEX(DATA_ASSET_CLASSIFICATION!$C$8:$C$24,MATCH($C3851,DATA_ASSET_CLASSIFICATION!$A$8:$A$24,0)),"Review"))</f>
        <v>Yes</v>
      </c>
      <c r="Q3851" s="350" t="str">
        <f t="shared" ca="1" si="121"/>
        <v>OK</v>
      </c>
    </row>
    <row r="3852" spans="1:17">
      <c r="A3852" s="366" t="s">
        <v>5808</v>
      </c>
      <c r="B3852" s="366" t="s">
        <v>231</v>
      </c>
      <c r="C3852" s="348" t="str">
        <f>DATA_PROPERTY_MASTER!$A$17</f>
        <v>BLD_RG</v>
      </c>
      <c r="D3852" s="380">
        <f>'00_PORTFOLIO ROLLUP'!J$12</f>
        <v>2030</v>
      </c>
      <c r="E3852" s="366" t="s">
        <v>23</v>
      </c>
      <c r="F3852" s="366" t="s">
        <v>23</v>
      </c>
      <c r="G3852" s="348" t="str">
        <f>"'"&amp;$C3852&amp;"'!$E$48:$Y$48"</f>
        <v>'BLD_RG'!$E$48:$Y$48</v>
      </c>
      <c r="H3852" s="381">
        <f ca="1">IF(IFERROR(INDEX(DATA_PROPERTY_MASTER!$E$5:$E$21,MATCH($C3852,DATA_PROPERTY_MASTER!$A$5:$A$21,0))="Yes",FALSE),IFERROR(INDEX(INDIRECT("'"&amp;$C3852&amp;"'!$E$48:$Y$48"),1,MATCH($D3852,INDIRECT("'"&amp;$C3852&amp;"'!$E$12:$Y$12"),0)),0),0)</f>
        <v>291146.28000000003</v>
      </c>
      <c r="I3852" s="366" t="s">
        <v>1690</v>
      </c>
      <c r="J3852" s="348" t="str">
        <f t="shared" ca="1" si="120"/>
        <v>OK</v>
      </c>
      <c r="K3852" s="366" t="s">
        <v>1706</v>
      </c>
      <c r="L3852" s="366" t="s">
        <v>2244</v>
      </c>
      <c r="M3852" s="350" t="str">
        <f>IF($B3852="Portfolio","Portfolio",IFERROR(INDEX(DATA_ASSET_CLASSIFICATION!$B$8:$B$24,MATCH($C3852,DATA_ASSET_CLASSIFICATION!$A$8:$A$24,0)),"Review"))</f>
        <v>Rosemary Green</v>
      </c>
      <c r="N3852" s="350" t="str">
        <f ca="1">IF($B3852="Portfolio","Portfolio",IFERROR(INDEX(DATA_ASSET_CLASSIFICATION!$U$8:$U$24,MATCH($C3852,DATA_ASSET_CLASSIFICATION!$A$8:$A$24,0)),"Review"))</f>
        <v>Refi Watch</v>
      </c>
      <c r="O3852" s="350" t="str">
        <f ca="1">IF($B3852="Portfolio","Portfolio",IFERROR(INDEX(DATA_ASSET_CLASSIFICATION!$AB$8:$AB$13,MATCH($N3852,DATA_ASSET_CLASSIFICATION!$AA$8:$AA$13,0)),"Review"))</f>
        <v>Bucket 2 · Legacy</v>
      </c>
      <c r="P3852" s="350" t="str">
        <f>IF($B3852="Portfolio","Portfolio",IFERROR(INDEX(DATA_ASSET_CLASSIFICATION!$C$8:$C$24,MATCH($C3852,DATA_ASSET_CLASSIFICATION!$A$8:$A$24,0)),"Review"))</f>
        <v>Yes</v>
      </c>
      <c r="Q3852" s="350" t="str">
        <f t="shared" ca="1" si="121"/>
        <v>OK</v>
      </c>
    </row>
    <row r="3853" spans="1:17">
      <c r="A3853" s="366" t="s">
        <v>5809</v>
      </c>
      <c r="B3853" s="366" t="s">
        <v>231</v>
      </c>
      <c r="C3853" s="348" t="str">
        <f>DATA_PROPERTY_MASTER!$A$17</f>
        <v>BLD_RG</v>
      </c>
      <c r="D3853" s="380">
        <f>'00_PORTFOLIO ROLLUP'!J$12</f>
        <v>2030</v>
      </c>
      <c r="E3853" s="366" t="s">
        <v>1683</v>
      </c>
      <c r="F3853" s="366" t="s">
        <v>25</v>
      </c>
      <c r="G3853" s="348" t="str">
        <f>"'"&amp;$C3853&amp;"'!$E$52:$Y$52"</f>
        <v>'BLD_RG'!$E$52:$Y$52</v>
      </c>
      <c r="H3853" s="381">
        <f ca="1">IF(IFERROR(INDEX(DATA_PROPERTY_MASTER!$E$5:$E$21,MATCH($C3853,DATA_PROPERTY_MASTER!$A$5:$A$21,0))="Yes",FALSE),IFERROR(INDEX(INDIRECT("'"&amp;$C3853&amp;"'!$E$52:$Y$52"),1,MATCH($D3853,INDIRECT("'"&amp;$C3853&amp;"'!$E$12:$Y$12"),0)),0),0)</f>
        <v>-57603.150827131118</v>
      </c>
      <c r="I3853" s="366" t="s">
        <v>1685</v>
      </c>
      <c r="J3853" s="348" t="str">
        <f t="shared" ca="1" si="120"/>
        <v>OK</v>
      </c>
      <c r="K3853" s="366" t="s">
        <v>1710</v>
      </c>
      <c r="L3853" s="366" t="s">
        <v>2246</v>
      </c>
      <c r="M3853" s="350" t="str">
        <f>IF($B3853="Portfolio","Portfolio",IFERROR(INDEX(DATA_ASSET_CLASSIFICATION!$B$8:$B$24,MATCH($C3853,DATA_ASSET_CLASSIFICATION!$A$8:$A$24,0)),"Review"))</f>
        <v>Rosemary Green</v>
      </c>
      <c r="N3853" s="350" t="str">
        <f ca="1">IF($B3853="Portfolio","Portfolio",IFERROR(INDEX(DATA_ASSET_CLASSIFICATION!$U$8:$U$24,MATCH($C3853,DATA_ASSET_CLASSIFICATION!$A$8:$A$24,0)),"Review"))</f>
        <v>Refi Watch</v>
      </c>
      <c r="O3853" s="350" t="str">
        <f ca="1">IF($B3853="Portfolio","Portfolio",IFERROR(INDEX(DATA_ASSET_CLASSIFICATION!$AB$8:$AB$13,MATCH($N3853,DATA_ASSET_CLASSIFICATION!$AA$8:$AA$13,0)),"Review"))</f>
        <v>Bucket 2 · Legacy</v>
      </c>
      <c r="P3853" s="350" t="str">
        <f>IF($B3853="Portfolio","Portfolio",IFERROR(INDEX(DATA_ASSET_CLASSIFICATION!$C$8:$C$24,MATCH($C3853,DATA_ASSET_CLASSIFICATION!$A$8:$A$24,0)),"Review"))</f>
        <v>Yes</v>
      </c>
      <c r="Q3853" s="350" t="str">
        <f t="shared" ca="1" si="121"/>
        <v>OK</v>
      </c>
    </row>
    <row r="3854" spans="1:17">
      <c r="A3854" s="366" t="s">
        <v>5810</v>
      </c>
      <c r="B3854" s="366" t="s">
        <v>231</v>
      </c>
      <c r="C3854" s="348" t="str">
        <f>DATA_PROPERTY_MASTER!$A$17</f>
        <v>BLD_RG</v>
      </c>
      <c r="D3854" s="380">
        <f>'00_PORTFOLIO ROLLUP'!J$12</f>
        <v>2030</v>
      </c>
      <c r="E3854" s="366" t="s">
        <v>1683</v>
      </c>
      <c r="F3854" s="366" t="s">
        <v>27</v>
      </c>
      <c r="G3854" s="348" t="str">
        <f>"'"&amp;$C3854&amp;"'!$E$54:$Y$54"</f>
        <v>'BLD_RG'!$E$54:$Y$54</v>
      </c>
      <c r="H3854" s="381">
        <f ca="1">IF(IFERROR(INDEX(DATA_PROPERTY_MASTER!$E$5:$E$21,MATCH($C3854,DATA_PROPERTY_MASTER!$A$5:$A$21,0))="Yes",FALSE),IFERROR(INDEX(INDIRECT("'"&amp;$C3854&amp;"'!$E$54:$Y$54"),1,MATCH($D3854,INDIRECT("'"&amp;$C3854&amp;"'!$E$12:$Y$12"),0)),0),0)</f>
        <v>0</v>
      </c>
      <c r="I3854" s="366" t="s">
        <v>1690</v>
      </c>
      <c r="J3854" s="348" t="str">
        <f t="shared" ca="1" si="120"/>
        <v>OK</v>
      </c>
      <c r="K3854" s="366" t="s">
        <v>1714</v>
      </c>
      <c r="L3854" s="366" t="s">
        <v>2248</v>
      </c>
      <c r="M3854" s="350" t="str">
        <f>IF($B3854="Portfolio","Portfolio",IFERROR(INDEX(DATA_ASSET_CLASSIFICATION!$B$8:$B$24,MATCH($C3854,DATA_ASSET_CLASSIFICATION!$A$8:$A$24,0)),"Review"))</f>
        <v>Rosemary Green</v>
      </c>
      <c r="N3854" s="350" t="str">
        <f ca="1">IF($B3854="Portfolio","Portfolio",IFERROR(INDEX(DATA_ASSET_CLASSIFICATION!$U$8:$U$24,MATCH($C3854,DATA_ASSET_CLASSIFICATION!$A$8:$A$24,0)),"Review"))</f>
        <v>Refi Watch</v>
      </c>
      <c r="O3854" s="350" t="str">
        <f ca="1">IF($B3854="Portfolio","Portfolio",IFERROR(INDEX(DATA_ASSET_CLASSIFICATION!$AB$8:$AB$13,MATCH($N3854,DATA_ASSET_CLASSIFICATION!$AA$8:$AA$13,0)),"Review"))</f>
        <v>Bucket 2 · Legacy</v>
      </c>
      <c r="P3854" s="350" t="str">
        <f>IF($B3854="Portfolio","Portfolio",IFERROR(INDEX(DATA_ASSET_CLASSIFICATION!$C$8:$C$24,MATCH($C3854,DATA_ASSET_CLASSIFICATION!$A$8:$A$24,0)),"Review"))</f>
        <v>Yes</v>
      </c>
      <c r="Q3854" s="350" t="str">
        <f t="shared" ca="1" si="121"/>
        <v>OK</v>
      </c>
    </row>
    <row r="3855" spans="1:17">
      <c r="A3855" s="366" t="s">
        <v>5811</v>
      </c>
      <c r="B3855" s="366" t="s">
        <v>231</v>
      </c>
      <c r="C3855" s="348" t="str">
        <f>DATA_PROPERTY_MASTER!$A$17</f>
        <v>BLD_RG</v>
      </c>
      <c r="D3855" s="380">
        <f>'00_PORTFOLIO ROLLUP'!J$12</f>
        <v>2030</v>
      </c>
      <c r="E3855" s="366" t="s">
        <v>1683</v>
      </c>
      <c r="F3855" s="366" t="s">
        <v>29</v>
      </c>
      <c r="G3855" s="348" t="str">
        <f>"'"&amp;$C3855&amp;"'!$E$56:$Y$56"</f>
        <v>'BLD_RG'!$E$56:$Y$56</v>
      </c>
      <c r="H3855" s="381">
        <f ca="1">IF(IFERROR(INDEX(DATA_PROPERTY_MASTER!$E$5:$E$21,MATCH($C3855,DATA_PROPERTY_MASTER!$A$5:$A$21,0))="Yes",FALSE),IFERROR(INDEX(INDIRECT("'"&amp;$C3855&amp;"'!$E$56:$Y$56"),1,MATCH($D3855,INDIRECT("'"&amp;$C3855&amp;"'!$E$12:$Y$12"),0)),0),0)</f>
        <v>-57603.150827131118</v>
      </c>
      <c r="I3855" s="366" t="s">
        <v>1685</v>
      </c>
      <c r="J3855" s="348" t="str">
        <f t="shared" ca="1" si="120"/>
        <v>OK</v>
      </c>
      <c r="K3855" s="366" t="s">
        <v>1718</v>
      </c>
      <c r="L3855" s="366" t="s">
        <v>2250</v>
      </c>
      <c r="M3855" s="350" t="str">
        <f>IF($B3855="Portfolio","Portfolio",IFERROR(INDEX(DATA_ASSET_CLASSIFICATION!$B$8:$B$24,MATCH($C3855,DATA_ASSET_CLASSIFICATION!$A$8:$A$24,0)),"Review"))</f>
        <v>Rosemary Green</v>
      </c>
      <c r="N3855" s="350" t="str">
        <f ca="1">IF($B3855="Portfolio","Portfolio",IFERROR(INDEX(DATA_ASSET_CLASSIFICATION!$U$8:$U$24,MATCH($C3855,DATA_ASSET_CLASSIFICATION!$A$8:$A$24,0)),"Review"))</f>
        <v>Refi Watch</v>
      </c>
      <c r="O3855" s="350" t="str">
        <f ca="1">IF($B3855="Portfolio","Portfolio",IFERROR(INDEX(DATA_ASSET_CLASSIFICATION!$AB$8:$AB$13,MATCH($N3855,DATA_ASSET_CLASSIFICATION!$AA$8:$AA$13,0)),"Review"))</f>
        <v>Bucket 2 · Legacy</v>
      </c>
      <c r="P3855" s="350" t="str">
        <f>IF($B3855="Portfolio","Portfolio",IFERROR(INDEX(DATA_ASSET_CLASSIFICATION!$C$8:$C$24,MATCH($C3855,DATA_ASSET_CLASSIFICATION!$A$8:$A$24,0)),"Review"))</f>
        <v>Yes</v>
      </c>
      <c r="Q3855" s="350" t="str">
        <f t="shared" ca="1" si="121"/>
        <v>OK</v>
      </c>
    </row>
    <row r="3856" spans="1:17">
      <c r="A3856" s="366" t="s">
        <v>5812</v>
      </c>
      <c r="B3856" s="366" t="s">
        <v>231</v>
      </c>
      <c r="C3856" s="348" t="str">
        <f>DATA_PROPERTY_MASTER!$A$17</f>
        <v>BLD_RG</v>
      </c>
      <c r="D3856" s="380">
        <f>'00_PORTFOLIO ROLLUP'!J$12</f>
        <v>2030</v>
      </c>
      <c r="E3856" s="366" t="s">
        <v>1721</v>
      </c>
      <c r="F3856" s="366" t="s">
        <v>31</v>
      </c>
      <c r="G3856" s="348" t="str">
        <f>"'"&amp;$C3856&amp;"'!$E$61:$Y$61"</f>
        <v>'BLD_RG'!$E$61:$Y$61</v>
      </c>
      <c r="H3856" s="381">
        <f ca="1">IF(IFERROR(INDEX(DATA_PROPERTY_MASTER!$E$5:$E$21,MATCH($C3856,DATA_PROPERTY_MASTER!$A$5:$A$21,0))="Yes",FALSE),IFERROR(INDEX(INDIRECT("'"&amp;$C3856&amp;"'!$E$61:$Y$61"),1,MATCH($D3856,INDIRECT("'"&amp;$C3856&amp;"'!$E$12:$Y$12"),0)),0),0)</f>
        <v>0</v>
      </c>
      <c r="I3856" s="366" t="s">
        <v>1690</v>
      </c>
      <c r="J3856" s="348" t="str">
        <f t="shared" ca="1" si="120"/>
        <v>OK</v>
      </c>
      <c r="K3856" s="366" t="s">
        <v>1723</v>
      </c>
      <c r="L3856" s="366" t="s">
        <v>2252</v>
      </c>
      <c r="M3856" s="350" t="str">
        <f>IF($B3856="Portfolio","Portfolio",IFERROR(INDEX(DATA_ASSET_CLASSIFICATION!$B$8:$B$24,MATCH($C3856,DATA_ASSET_CLASSIFICATION!$A$8:$A$24,0)),"Review"))</f>
        <v>Rosemary Green</v>
      </c>
      <c r="N3856" s="350" t="str">
        <f ca="1">IF($B3856="Portfolio","Portfolio",IFERROR(INDEX(DATA_ASSET_CLASSIFICATION!$U$8:$U$24,MATCH($C3856,DATA_ASSET_CLASSIFICATION!$A$8:$A$24,0)),"Review"))</f>
        <v>Refi Watch</v>
      </c>
      <c r="O3856" s="350" t="str">
        <f ca="1">IF($B3856="Portfolio","Portfolio",IFERROR(INDEX(DATA_ASSET_CLASSIFICATION!$AB$8:$AB$13,MATCH($N3856,DATA_ASSET_CLASSIFICATION!$AA$8:$AA$13,0)),"Review"))</f>
        <v>Bucket 2 · Legacy</v>
      </c>
      <c r="P3856" s="350" t="str">
        <f>IF($B3856="Portfolio","Portfolio",IFERROR(INDEX(DATA_ASSET_CLASSIFICATION!$C$8:$C$24,MATCH($C3856,DATA_ASSET_CLASSIFICATION!$A$8:$A$24,0)),"Review"))</f>
        <v>Yes</v>
      </c>
      <c r="Q3856" s="350" t="str">
        <f t="shared" ca="1" si="121"/>
        <v>OK</v>
      </c>
    </row>
    <row r="3857" spans="1:17">
      <c r="A3857" s="366" t="s">
        <v>5813</v>
      </c>
      <c r="B3857" s="366" t="s">
        <v>231</v>
      </c>
      <c r="C3857" s="348" t="str">
        <f>DATA_PROPERTY_MASTER!$A$17</f>
        <v>BLD_RG</v>
      </c>
      <c r="D3857" s="380">
        <f>'00_PORTFOLIO ROLLUP'!J$12</f>
        <v>2030</v>
      </c>
      <c r="E3857" s="366" t="s">
        <v>1721</v>
      </c>
      <c r="F3857" s="366" t="s">
        <v>33</v>
      </c>
      <c r="G3857" s="348" t="str">
        <f>"'"&amp;$C3857&amp;"'!$E$62:$Y$62"</f>
        <v>'BLD_RG'!$E$62:$Y$62</v>
      </c>
      <c r="H3857" s="381">
        <f ca="1">IF(IFERROR(INDEX(DATA_PROPERTY_MASTER!$E$5:$E$21,MATCH($C3857,DATA_PROPERTY_MASTER!$A$5:$A$21,0))="Yes",FALSE),IFERROR(INDEX(INDIRECT("'"&amp;$C3857&amp;"'!$E$62:$Y$62"),1,MATCH($D3857,INDIRECT("'"&amp;$C3857&amp;"'!$E$12:$Y$12"),0)),0),0)</f>
        <v>0</v>
      </c>
      <c r="I3857" s="366" t="s">
        <v>1685</v>
      </c>
      <c r="J3857" s="348" t="str">
        <f t="shared" ca="1" si="120"/>
        <v>OK</v>
      </c>
      <c r="K3857" s="366" t="s">
        <v>1727</v>
      </c>
      <c r="L3857" s="366" t="s">
        <v>2254</v>
      </c>
      <c r="M3857" s="350" t="str">
        <f>IF($B3857="Portfolio","Portfolio",IFERROR(INDEX(DATA_ASSET_CLASSIFICATION!$B$8:$B$24,MATCH($C3857,DATA_ASSET_CLASSIFICATION!$A$8:$A$24,0)),"Review"))</f>
        <v>Rosemary Green</v>
      </c>
      <c r="N3857" s="350" t="str">
        <f ca="1">IF($B3857="Portfolio","Portfolio",IFERROR(INDEX(DATA_ASSET_CLASSIFICATION!$U$8:$U$24,MATCH($C3857,DATA_ASSET_CLASSIFICATION!$A$8:$A$24,0)),"Review"))</f>
        <v>Refi Watch</v>
      </c>
      <c r="O3857" s="350" t="str">
        <f ca="1">IF($B3857="Portfolio","Portfolio",IFERROR(INDEX(DATA_ASSET_CLASSIFICATION!$AB$8:$AB$13,MATCH($N3857,DATA_ASSET_CLASSIFICATION!$AA$8:$AA$13,0)),"Review"))</f>
        <v>Bucket 2 · Legacy</v>
      </c>
      <c r="P3857" s="350" t="str">
        <f>IF($B3857="Portfolio","Portfolio",IFERROR(INDEX(DATA_ASSET_CLASSIFICATION!$C$8:$C$24,MATCH($C3857,DATA_ASSET_CLASSIFICATION!$A$8:$A$24,0)),"Review"))</f>
        <v>Yes</v>
      </c>
      <c r="Q3857" s="350" t="str">
        <f t="shared" ca="1" si="121"/>
        <v>OK</v>
      </c>
    </row>
    <row r="3858" spans="1:17">
      <c r="A3858" s="366" t="s">
        <v>5814</v>
      </c>
      <c r="B3858" s="366" t="s">
        <v>231</v>
      </c>
      <c r="C3858" s="348" t="str">
        <f>DATA_PROPERTY_MASTER!$A$17</f>
        <v>BLD_RG</v>
      </c>
      <c r="D3858" s="380">
        <f>'00_PORTFOLIO ROLLUP'!J$12</f>
        <v>2030</v>
      </c>
      <c r="E3858" s="366" t="s">
        <v>1721</v>
      </c>
      <c r="F3858" s="366" t="s">
        <v>35</v>
      </c>
      <c r="G3858" s="348" t="str">
        <f>"'"&amp;$C3858&amp;"'!$E$63:$Y$63"</f>
        <v>'BLD_RG'!$E$63:$Y$63</v>
      </c>
      <c r="H3858" s="381">
        <f ca="1">IF(IFERROR(INDEX(DATA_PROPERTY_MASTER!$E$5:$E$21,MATCH($C3858,DATA_PROPERTY_MASTER!$A$5:$A$21,0))="Yes",FALSE),IFERROR(INDEX(INDIRECT("'"&amp;$C3858&amp;"'!$E$63:$Y$63"),1,MATCH($D3858,INDIRECT("'"&amp;$C3858&amp;"'!$E$12:$Y$12"),0)),0),0)</f>
        <v>0</v>
      </c>
      <c r="I3858" s="366" t="s">
        <v>1731</v>
      </c>
      <c r="J3858" s="348" t="str">
        <f t="shared" ca="1" si="120"/>
        <v>OK</v>
      </c>
      <c r="K3858" s="366" t="s">
        <v>1732</v>
      </c>
      <c r="L3858" s="366" t="s">
        <v>2256</v>
      </c>
      <c r="M3858" s="350" t="str">
        <f>IF($B3858="Portfolio","Portfolio",IFERROR(INDEX(DATA_ASSET_CLASSIFICATION!$B$8:$B$24,MATCH($C3858,DATA_ASSET_CLASSIFICATION!$A$8:$A$24,0)),"Review"))</f>
        <v>Rosemary Green</v>
      </c>
      <c r="N3858" s="350" t="str">
        <f ca="1">IF($B3858="Portfolio","Portfolio",IFERROR(INDEX(DATA_ASSET_CLASSIFICATION!$U$8:$U$24,MATCH($C3858,DATA_ASSET_CLASSIFICATION!$A$8:$A$24,0)),"Review"))</f>
        <v>Refi Watch</v>
      </c>
      <c r="O3858" s="350" t="str">
        <f ca="1">IF($B3858="Portfolio","Portfolio",IFERROR(INDEX(DATA_ASSET_CLASSIFICATION!$AB$8:$AB$13,MATCH($N3858,DATA_ASSET_CLASSIFICATION!$AA$8:$AA$13,0)),"Review"))</f>
        <v>Bucket 2 · Legacy</v>
      </c>
      <c r="P3858" s="350" t="str">
        <f>IF($B3858="Portfolio","Portfolio",IFERROR(INDEX(DATA_ASSET_CLASSIFICATION!$C$8:$C$24,MATCH($C3858,DATA_ASSET_CLASSIFICATION!$A$8:$A$24,0)),"Review"))</f>
        <v>Yes</v>
      </c>
      <c r="Q3858" s="350" t="str">
        <f t="shared" ca="1" si="121"/>
        <v>OK</v>
      </c>
    </row>
    <row r="3859" spans="1:17">
      <c r="A3859" s="366" t="s">
        <v>5815</v>
      </c>
      <c r="B3859" s="366" t="s">
        <v>231</v>
      </c>
      <c r="C3859" s="348" t="str">
        <f>DATA_PROPERTY_MASTER!$A$17</f>
        <v>BLD_RG</v>
      </c>
      <c r="D3859" s="380">
        <f>'00_PORTFOLIO ROLLUP'!J$12</f>
        <v>2030</v>
      </c>
      <c r="E3859" s="366" t="s">
        <v>1721</v>
      </c>
      <c r="F3859" s="366" t="s">
        <v>37</v>
      </c>
      <c r="G3859" s="348" t="str">
        <f>"'"&amp;$C3859&amp;"'!$E$63:$Y$63"</f>
        <v>'BLD_RG'!$E$63:$Y$63</v>
      </c>
      <c r="H3859" s="381">
        <f ca="1">IF(IFERROR(INDEX(DATA_PROPERTY_MASTER!$E$5:$E$21,MATCH($C3859,DATA_PROPERTY_MASTER!$A$5:$A$21,0))="Yes",FALSE),MAX(IFERROR(INDEX(INDIRECT("'"&amp;$C3859&amp;"'!$E$63:$Y$63"),1,MATCH($D3859,INDIRECT("'"&amp;$C3859&amp;"'!$E$12:$Y$12"),0)),0),0),0)</f>
        <v>0</v>
      </c>
      <c r="I3859" s="366" t="s">
        <v>1685</v>
      </c>
      <c r="J3859" s="348" t="str">
        <f t="shared" ca="1" si="120"/>
        <v>OK</v>
      </c>
      <c r="K3859" s="366" t="s">
        <v>1735</v>
      </c>
      <c r="L3859" s="366" t="s">
        <v>2258</v>
      </c>
      <c r="M3859" s="350" t="str">
        <f>IF($B3859="Portfolio","Portfolio",IFERROR(INDEX(DATA_ASSET_CLASSIFICATION!$B$8:$B$24,MATCH($C3859,DATA_ASSET_CLASSIFICATION!$A$8:$A$24,0)),"Review"))</f>
        <v>Rosemary Green</v>
      </c>
      <c r="N3859" s="350" t="str">
        <f ca="1">IF($B3859="Portfolio","Portfolio",IFERROR(INDEX(DATA_ASSET_CLASSIFICATION!$U$8:$U$24,MATCH($C3859,DATA_ASSET_CLASSIFICATION!$A$8:$A$24,0)),"Review"))</f>
        <v>Refi Watch</v>
      </c>
      <c r="O3859" s="350" t="str">
        <f ca="1">IF($B3859="Portfolio","Portfolio",IFERROR(INDEX(DATA_ASSET_CLASSIFICATION!$AB$8:$AB$13,MATCH($N3859,DATA_ASSET_CLASSIFICATION!$AA$8:$AA$13,0)),"Review"))</f>
        <v>Bucket 2 · Legacy</v>
      </c>
      <c r="P3859" s="350" t="str">
        <f>IF($B3859="Portfolio","Portfolio",IFERROR(INDEX(DATA_ASSET_CLASSIFICATION!$C$8:$C$24,MATCH($C3859,DATA_ASSET_CLASSIFICATION!$A$8:$A$24,0)),"Review"))</f>
        <v>Yes</v>
      </c>
      <c r="Q3859" s="350" t="str">
        <f t="shared" ca="1" si="121"/>
        <v>OK</v>
      </c>
    </row>
    <row r="3860" spans="1:17">
      <c r="A3860" s="366" t="s">
        <v>5816</v>
      </c>
      <c r="B3860" s="366" t="s">
        <v>231</v>
      </c>
      <c r="C3860" s="348" t="str">
        <f>DATA_PROPERTY_MASTER!$A$17</f>
        <v>BLD_RG</v>
      </c>
      <c r="D3860" s="380">
        <f>'00_PORTFOLIO ROLLUP'!J$12</f>
        <v>2030</v>
      </c>
      <c r="E3860" s="366" t="s">
        <v>1721</v>
      </c>
      <c r="F3860" s="366" t="s">
        <v>39</v>
      </c>
      <c r="G3860" s="348" t="str">
        <f>"'"&amp;$C3860&amp;"'!$E$63:$Y$63"</f>
        <v>'BLD_RG'!$E$63:$Y$63</v>
      </c>
      <c r="H3860" s="381">
        <f ca="1">IF(IFERROR(INDEX(DATA_PROPERTY_MASTER!$E$5:$E$21,MATCH($C3860,DATA_PROPERTY_MASTER!$A$5:$A$21,0))="Yes",FALSE),MAX(-IFERROR(INDEX(INDIRECT("'"&amp;$C3860&amp;"'!$E$63:$Y$63"),1,MATCH($D3860,INDIRECT("'"&amp;$C3860&amp;"'!$E$12:$Y$12"),0)),0),0),0)</f>
        <v>0</v>
      </c>
      <c r="I3860" s="366" t="s">
        <v>1690</v>
      </c>
      <c r="J3860" s="348" t="str">
        <f t="shared" ca="1" si="120"/>
        <v>OK</v>
      </c>
      <c r="K3860" s="366" t="s">
        <v>1738</v>
      </c>
      <c r="L3860" s="366" t="s">
        <v>2260</v>
      </c>
      <c r="M3860" s="350" t="str">
        <f>IF($B3860="Portfolio","Portfolio",IFERROR(INDEX(DATA_ASSET_CLASSIFICATION!$B$8:$B$24,MATCH($C3860,DATA_ASSET_CLASSIFICATION!$A$8:$A$24,0)),"Review"))</f>
        <v>Rosemary Green</v>
      </c>
      <c r="N3860" s="350" t="str">
        <f ca="1">IF($B3860="Portfolio","Portfolio",IFERROR(INDEX(DATA_ASSET_CLASSIFICATION!$U$8:$U$24,MATCH($C3860,DATA_ASSET_CLASSIFICATION!$A$8:$A$24,0)),"Review"))</f>
        <v>Refi Watch</v>
      </c>
      <c r="O3860" s="350" t="str">
        <f ca="1">IF($B3860="Portfolio","Portfolio",IFERROR(INDEX(DATA_ASSET_CLASSIFICATION!$AB$8:$AB$13,MATCH($N3860,DATA_ASSET_CLASSIFICATION!$AA$8:$AA$13,0)),"Review"))</f>
        <v>Bucket 2 · Legacy</v>
      </c>
      <c r="P3860" s="350" t="str">
        <f>IF($B3860="Portfolio","Portfolio",IFERROR(INDEX(DATA_ASSET_CLASSIFICATION!$C$8:$C$24,MATCH($C3860,DATA_ASSET_CLASSIFICATION!$A$8:$A$24,0)),"Review"))</f>
        <v>Yes</v>
      </c>
      <c r="Q3860" s="350" t="str">
        <f t="shared" ca="1" si="121"/>
        <v>OK</v>
      </c>
    </row>
    <row r="3861" spans="1:17">
      <c r="A3861" s="366" t="s">
        <v>5817</v>
      </c>
      <c r="B3861" s="366" t="s">
        <v>231</v>
      </c>
      <c r="C3861" s="348" t="str">
        <f>DATA_PROPERTY_MASTER!$A$17</f>
        <v>BLD_RG</v>
      </c>
      <c r="D3861" s="380">
        <f>'00_PORTFOLIO ROLLUP'!J$12</f>
        <v>2030</v>
      </c>
      <c r="E3861" s="366" t="s">
        <v>1741</v>
      </c>
      <c r="F3861" s="366" t="s">
        <v>41</v>
      </c>
      <c r="G3861" s="348" t="str">
        <f>"'"&amp;$C3861&amp;"'!rows 56 + positive row 63"</f>
        <v>'BLD_RG'!rows 56 + positive row 63</v>
      </c>
      <c r="H3861" s="381">
        <f ca="1">IF(IFERROR(INDEX(DATA_PROPERTY_MASTER!$E$5:$E$21,MATCH($C3861,DATA_PROPERTY_MASTER!$A$5:$A$21,0))="Yes",FALSE),IFERROR(INDEX(INDIRECT("'"&amp;$C3861&amp;"'!$E$56:$Y$56"),1,MATCH($D3861,INDIRECT("'"&amp;$C3861&amp;"'!$E$12:$Y$12"),0)),0)+MAX(IFERROR(INDEX(INDIRECT("'"&amp;$C3861&amp;"'!$E$63:$Y$63"),1,MATCH($D3861,INDIRECT("'"&amp;$C3861&amp;"'!$E$12:$Y$12"),0)),0),0),0)</f>
        <v>-57603.150827131118</v>
      </c>
      <c r="I3861" s="366" t="s">
        <v>1685</v>
      </c>
      <c r="J3861" s="348" t="str">
        <f t="shared" ca="1" si="120"/>
        <v>OK</v>
      </c>
      <c r="K3861" s="366" t="s">
        <v>1742</v>
      </c>
      <c r="L3861" s="366" t="s">
        <v>2262</v>
      </c>
      <c r="M3861" s="350" t="str">
        <f>IF($B3861="Portfolio","Portfolio",IFERROR(INDEX(DATA_ASSET_CLASSIFICATION!$B$8:$B$24,MATCH($C3861,DATA_ASSET_CLASSIFICATION!$A$8:$A$24,0)),"Review"))</f>
        <v>Rosemary Green</v>
      </c>
      <c r="N3861" s="350" t="str">
        <f ca="1">IF($B3861="Portfolio","Portfolio",IFERROR(INDEX(DATA_ASSET_CLASSIFICATION!$U$8:$U$24,MATCH($C3861,DATA_ASSET_CLASSIFICATION!$A$8:$A$24,0)),"Review"))</f>
        <v>Refi Watch</v>
      </c>
      <c r="O3861" s="350" t="str">
        <f ca="1">IF($B3861="Portfolio","Portfolio",IFERROR(INDEX(DATA_ASSET_CLASSIFICATION!$AB$8:$AB$13,MATCH($N3861,DATA_ASSET_CLASSIFICATION!$AA$8:$AA$13,0)),"Review"))</f>
        <v>Bucket 2 · Legacy</v>
      </c>
      <c r="P3861" s="350" t="str">
        <f>IF($B3861="Portfolio","Portfolio",IFERROR(INDEX(DATA_ASSET_CLASSIFICATION!$C$8:$C$24,MATCH($C3861,DATA_ASSET_CLASSIFICATION!$A$8:$A$24,0)),"Review"))</f>
        <v>Yes</v>
      </c>
      <c r="Q3861" s="350" t="str">
        <f t="shared" ca="1" si="121"/>
        <v>OK</v>
      </c>
    </row>
    <row r="3862" spans="1:17">
      <c r="A3862" s="366" t="s">
        <v>5818</v>
      </c>
      <c r="B3862" s="366" t="s">
        <v>231</v>
      </c>
      <c r="C3862" s="348" t="str">
        <f>DATA_PROPERTY_MASTER!$A$17</f>
        <v>BLD_RG</v>
      </c>
      <c r="D3862" s="380">
        <f>'00_PORTFOLIO ROLLUP'!J$12</f>
        <v>2030</v>
      </c>
      <c r="E3862" s="366" t="s">
        <v>1741</v>
      </c>
      <c r="F3862" s="366" t="s">
        <v>43</v>
      </c>
      <c r="G3862" s="348" t="str">
        <f>"'"&amp;$C3862&amp;"'!$E$68:$Y$68"</f>
        <v>'BLD_RG'!$E$68:$Y$68</v>
      </c>
      <c r="H3862" s="381">
        <f ca="1">IF(IFERROR(INDEX(DATA_PROPERTY_MASTER!$E$5:$E$21,MATCH($C3862,DATA_PROPERTY_MASTER!$A$5:$A$21,0))="Yes",FALSE),IFERROR(INDEX(INDIRECT("'"&amp;$C3862&amp;"'!$E$68:$Y$68"),1,MATCH($D3862,INDIRECT("'"&amp;$C3862&amp;"'!$E$12:$Y$12"),0)),0),0)</f>
        <v>-57603.150827131118</v>
      </c>
      <c r="I3862" s="366" t="s">
        <v>1731</v>
      </c>
      <c r="J3862" s="348" t="str">
        <f t="shared" ca="1" si="120"/>
        <v>OK</v>
      </c>
      <c r="K3862" s="366" t="s">
        <v>1746</v>
      </c>
      <c r="L3862" s="366" t="s">
        <v>2264</v>
      </c>
      <c r="M3862" s="350" t="str">
        <f>IF($B3862="Portfolio","Portfolio",IFERROR(INDEX(DATA_ASSET_CLASSIFICATION!$B$8:$B$24,MATCH($C3862,DATA_ASSET_CLASSIFICATION!$A$8:$A$24,0)),"Review"))</f>
        <v>Rosemary Green</v>
      </c>
      <c r="N3862" s="350" t="str">
        <f ca="1">IF($B3862="Portfolio","Portfolio",IFERROR(INDEX(DATA_ASSET_CLASSIFICATION!$U$8:$U$24,MATCH($C3862,DATA_ASSET_CLASSIFICATION!$A$8:$A$24,0)),"Review"))</f>
        <v>Refi Watch</v>
      </c>
      <c r="O3862" s="350" t="str">
        <f ca="1">IF($B3862="Portfolio","Portfolio",IFERROR(INDEX(DATA_ASSET_CLASSIFICATION!$AB$8:$AB$13,MATCH($N3862,DATA_ASSET_CLASSIFICATION!$AA$8:$AA$13,0)),"Review"))</f>
        <v>Bucket 2 · Legacy</v>
      </c>
      <c r="P3862" s="350" t="str">
        <f>IF($B3862="Portfolio","Portfolio",IFERROR(INDEX(DATA_ASSET_CLASSIFICATION!$C$8:$C$24,MATCH($C3862,DATA_ASSET_CLASSIFICATION!$A$8:$A$24,0)),"Review"))</f>
        <v>Yes</v>
      </c>
      <c r="Q3862" s="350" t="str">
        <f t="shared" ca="1" si="121"/>
        <v>OK</v>
      </c>
    </row>
    <row r="3863" spans="1:17">
      <c r="A3863" s="366" t="s">
        <v>5819</v>
      </c>
      <c r="B3863" s="366" t="s">
        <v>231</v>
      </c>
      <c r="C3863" s="348" t="str">
        <f>DATA_PROPERTY_MASTER!$A$17</f>
        <v>BLD_RG</v>
      </c>
      <c r="D3863" s="380">
        <f>'00_PORTFOLIO ROLLUP'!J$12</f>
        <v>2030</v>
      </c>
      <c r="E3863" s="366" t="s">
        <v>1741</v>
      </c>
      <c r="F3863" s="366" t="s">
        <v>1749</v>
      </c>
      <c r="G3863" s="348" t="str">
        <f>"'"&amp;$C3863&amp;"'!rows 56, 63, 68"</f>
        <v>'BLD_RG'!rows 56, 63, 68</v>
      </c>
      <c r="H3863" s="381">
        <f ca="1">IF(IFERROR(INDEX(DATA_PROPERTY_MASTER!$E$5:$E$21,MATCH($C3863,DATA_PROPERTY_MASTER!$A$5:$A$21,0))="Yes",FALSE),(IFERROR(INDEX(INDIRECT("'"&amp;$C3863&amp;"'!$E$56:$Y$56"),1,MATCH($D3863,INDIRECT("'"&amp;$C3863&amp;"'!$E$12:$Y$12"),0)),0)+MAX(IFERROR(INDEX(INDIRECT("'"&amp;$C3863&amp;"'!$E$63:$Y$63"),1,MATCH($D3863,INDIRECT("'"&amp;$C3863&amp;"'!$E$12:$Y$12"),0)),0),0))-(IFERROR(INDEX(INDIRECT("'"&amp;$C3863&amp;"'!$E$68:$Y$68"),1,MATCH($D3863,INDIRECT("'"&amp;$C3863&amp;"'!$E$12:$Y$12"),0)),0)),0)</f>
        <v>0</v>
      </c>
      <c r="I3863" s="366" t="s">
        <v>1750</v>
      </c>
      <c r="J3863" s="348" t="str">
        <f t="shared" ca="1" si="120"/>
        <v>OK</v>
      </c>
      <c r="K3863" s="366" t="s">
        <v>1751</v>
      </c>
      <c r="L3863" s="366" t="s">
        <v>2266</v>
      </c>
      <c r="M3863" s="350" t="str">
        <f>IF($B3863="Portfolio","Portfolio",IFERROR(INDEX(DATA_ASSET_CLASSIFICATION!$B$8:$B$24,MATCH($C3863,DATA_ASSET_CLASSIFICATION!$A$8:$A$24,0)),"Review"))</f>
        <v>Rosemary Green</v>
      </c>
      <c r="N3863" s="350" t="str">
        <f ca="1">IF($B3863="Portfolio","Portfolio",IFERROR(INDEX(DATA_ASSET_CLASSIFICATION!$U$8:$U$24,MATCH($C3863,DATA_ASSET_CLASSIFICATION!$A$8:$A$24,0)),"Review"))</f>
        <v>Refi Watch</v>
      </c>
      <c r="O3863" s="350" t="str">
        <f ca="1">IF($B3863="Portfolio","Portfolio",IFERROR(INDEX(DATA_ASSET_CLASSIFICATION!$AB$8:$AB$13,MATCH($N3863,DATA_ASSET_CLASSIFICATION!$AA$8:$AA$13,0)),"Review"))</f>
        <v>Bucket 2 · Legacy</v>
      </c>
      <c r="P3863" s="350" t="str">
        <f>IF($B3863="Portfolio","Portfolio",IFERROR(INDEX(DATA_ASSET_CLASSIFICATION!$C$8:$C$24,MATCH($C3863,DATA_ASSET_CLASSIFICATION!$A$8:$A$24,0)),"Review"))</f>
        <v>Yes</v>
      </c>
      <c r="Q3863" s="350" t="str">
        <f t="shared" ca="1" si="121"/>
        <v>OK</v>
      </c>
    </row>
    <row r="3864" spans="1:17">
      <c r="A3864" s="366" t="s">
        <v>5820</v>
      </c>
      <c r="B3864" s="366" t="s">
        <v>231</v>
      </c>
      <c r="C3864" s="348" t="str">
        <f>DATA_PROPERTY_MASTER!$A$17</f>
        <v>BLD_RG</v>
      </c>
      <c r="D3864" s="380">
        <f>'00_PORTFOLIO ROLLUP'!K$12</f>
        <v>2031</v>
      </c>
      <c r="E3864" s="366" t="s">
        <v>1683</v>
      </c>
      <c r="F3864" s="366" t="s">
        <v>341</v>
      </c>
      <c r="G3864" s="348" t="str">
        <f>"'"&amp;$C3864&amp;"'!$E$24:$Y$24"</f>
        <v>'BLD_RG'!$E$24:$Y$24</v>
      </c>
      <c r="H3864" s="381">
        <f ca="1">IF(IFERROR(INDEX(DATA_PROPERTY_MASTER!$E$5:$E$21,MATCH($C3864,DATA_PROPERTY_MASTER!$A$5:$A$21,0))="Yes",FALSE),IFERROR(INDEX(INDIRECT("'"&amp;$C3864&amp;"'!$E$24:$Y$24"),1,MATCH($D3864,INDIRECT("'"&amp;$C3864&amp;"'!$E$12:$Y$12"),0)),0),0)</f>
        <v>505755.6729973898</v>
      </c>
      <c r="I3864" s="366" t="s">
        <v>1685</v>
      </c>
      <c r="J3864" s="348" t="str">
        <f t="shared" ca="1" si="120"/>
        <v>OK</v>
      </c>
      <c r="K3864" s="366" t="s">
        <v>1686</v>
      </c>
      <c r="L3864" s="366" t="s">
        <v>2234</v>
      </c>
      <c r="M3864" s="350" t="str">
        <f>IF($B3864="Portfolio","Portfolio",IFERROR(INDEX(DATA_ASSET_CLASSIFICATION!$B$8:$B$24,MATCH($C3864,DATA_ASSET_CLASSIFICATION!$A$8:$A$24,0)),"Review"))</f>
        <v>Rosemary Green</v>
      </c>
      <c r="N3864" s="350" t="str">
        <f ca="1">IF($B3864="Portfolio","Portfolio",IFERROR(INDEX(DATA_ASSET_CLASSIFICATION!$U$8:$U$24,MATCH($C3864,DATA_ASSET_CLASSIFICATION!$A$8:$A$24,0)),"Review"))</f>
        <v>Refi Watch</v>
      </c>
      <c r="O3864" s="350" t="str">
        <f ca="1">IF($B3864="Portfolio","Portfolio",IFERROR(INDEX(DATA_ASSET_CLASSIFICATION!$AB$8:$AB$13,MATCH($N3864,DATA_ASSET_CLASSIFICATION!$AA$8:$AA$13,0)),"Review"))</f>
        <v>Bucket 2 · Legacy</v>
      </c>
      <c r="P3864" s="350" t="str">
        <f>IF($B3864="Portfolio","Portfolio",IFERROR(INDEX(DATA_ASSET_CLASSIFICATION!$C$8:$C$24,MATCH($C3864,DATA_ASSET_CLASSIFICATION!$A$8:$A$24,0)),"Review"))</f>
        <v>Yes</v>
      </c>
      <c r="Q3864" s="350" t="str">
        <f t="shared" ca="1" si="121"/>
        <v>OK</v>
      </c>
    </row>
    <row r="3865" spans="1:17">
      <c r="A3865" s="366" t="s">
        <v>5821</v>
      </c>
      <c r="B3865" s="366" t="s">
        <v>231</v>
      </c>
      <c r="C3865" s="348" t="str">
        <f>DATA_PROPERTY_MASTER!$A$17</f>
        <v>BLD_RG</v>
      </c>
      <c r="D3865" s="380">
        <f>'00_PORTFOLIO ROLLUP'!K$12</f>
        <v>2031</v>
      </c>
      <c r="E3865" s="366" t="s">
        <v>1683</v>
      </c>
      <c r="F3865" s="366" t="s">
        <v>355</v>
      </c>
      <c r="G3865" s="348" t="str">
        <f>"'"&amp;$C3865&amp;"'!$E$39:$Y$39"</f>
        <v>'BLD_RG'!$E$39:$Y$39</v>
      </c>
      <c r="H3865" s="381">
        <f ca="1">IF(IFERROR(INDEX(DATA_PROPERTY_MASTER!$E$5:$E$21,MATCH($C3865,DATA_PROPERTY_MASTER!$A$5:$A$21,0))="Yes",FALSE),IFERROR(INDEX(INDIRECT("'"&amp;$C3865&amp;"'!$E$39:$Y$39"),1,MATCH($D3865,INDIRECT("'"&amp;$C3865&amp;"'!$E$12:$Y$12"),0)),0),0)</f>
        <v>272787.59655951569</v>
      </c>
      <c r="I3865" s="366" t="s">
        <v>1690</v>
      </c>
      <c r="J3865" s="348" t="str">
        <f t="shared" ca="1" si="120"/>
        <v>OK</v>
      </c>
      <c r="K3865" s="366" t="s">
        <v>1686</v>
      </c>
      <c r="L3865" s="366" t="s">
        <v>2236</v>
      </c>
      <c r="M3865" s="350" t="str">
        <f>IF($B3865="Portfolio","Portfolio",IFERROR(INDEX(DATA_ASSET_CLASSIFICATION!$B$8:$B$24,MATCH($C3865,DATA_ASSET_CLASSIFICATION!$A$8:$A$24,0)),"Review"))</f>
        <v>Rosemary Green</v>
      </c>
      <c r="N3865" s="350" t="str">
        <f ca="1">IF($B3865="Portfolio","Portfolio",IFERROR(INDEX(DATA_ASSET_CLASSIFICATION!$U$8:$U$24,MATCH($C3865,DATA_ASSET_CLASSIFICATION!$A$8:$A$24,0)),"Review"))</f>
        <v>Refi Watch</v>
      </c>
      <c r="O3865" s="350" t="str">
        <f ca="1">IF($B3865="Portfolio","Portfolio",IFERROR(INDEX(DATA_ASSET_CLASSIFICATION!$AB$8:$AB$13,MATCH($N3865,DATA_ASSET_CLASSIFICATION!$AA$8:$AA$13,0)),"Review"))</f>
        <v>Bucket 2 · Legacy</v>
      </c>
      <c r="P3865" s="350" t="str">
        <f>IF($B3865="Portfolio","Portfolio",IFERROR(INDEX(DATA_ASSET_CLASSIFICATION!$C$8:$C$24,MATCH($C3865,DATA_ASSET_CLASSIFICATION!$A$8:$A$24,0)),"Review"))</f>
        <v>Yes</v>
      </c>
      <c r="Q3865" s="350" t="str">
        <f t="shared" ca="1" si="121"/>
        <v>OK</v>
      </c>
    </row>
    <row r="3866" spans="1:17">
      <c r="A3866" s="366" t="s">
        <v>5822</v>
      </c>
      <c r="B3866" s="366" t="s">
        <v>231</v>
      </c>
      <c r="C3866" s="348" t="str">
        <f>DATA_PROPERTY_MASTER!$A$17</f>
        <v>BLD_RG</v>
      </c>
      <c r="D3866" s="380">
        <f>'00_PORTFOLIO ROLLUP'!K$12</f>
        <v>2031</v>
      </c>
      <c r="E3866" s="366" t="s">
        <v>1683</v>
      </c>
      <c r="F3866" s="366" t="s">
        <v>19</v>
      </c>
      <c r="G3866" s="348" t="str">
        <f>"'"&amp;$C3866&amp;"'!$E$41:$Y$41"</f>
        <v>'BLD_RG'!$E$41:$Y$41</v>
      </c>
      <c r="H3866" s="381">
        <f ca="1">IF(IFERROR(INDEX(DATA_PROPERTY_MASTER!$E$5:$E$21,MATCH($C3866,DATA_PROPERTY_MASTER!$A$5:$A$21,0))="Yes",FALSE),IFERROR(INDEX(INDIRECT("'"&amp;$C3866&amp;"'!$E$41:$Y$41"),1,MATCH($D3866,INDIRECT("'"&amp;$C3866&amp;"'!$E$12:$Y$12"),0)),0),0)</f>
        <v>232968.07643787412</v>
      </c>
      <c r="I3866" s="366" t="s">
        <v>1685</v>
      </c>
      <c r="J3866" s="348" t="str">
        <f t="shared" ca="1" si="120"/>
        <v>OK</v>
      </c>
      <c r="K3866" s="366" t="s">
        <v>1694</v>
      </c>
      <c r="L3866" s="366" t="s">
        <v>2238</v>
      </c>
      <c r="M3866" s="350" t="str">
        <f>IF($B3866="Portfolio","Portfolio",IFERROR(INDEX(DATA_ASSET_CLASSIFICATION!$B$8:$B$24,MATCH($C3866,DATA_ASSET_CLASSIFICATION!$A$8:$A$24,0)),"Review"))</f>
        <v>Rosemary Green</v>
      </c>
      <c r="N3866" s="350" t="str">
        <f ca="1">IF($B3866="Portfolio","Portfolio",IFERROR(INDEX(DATA_ASSET_CLASSIFICATION!$U$8:$U$24,MATCH($C3866,DATA_ASSET_CLASSIFICATION!$A$8:$A$24,0)),"Review"))</f>
        <v>Refi Watch</v>
      </c>
      <c r="O3866" s="350" t="str">
        <f ca="1">IF($B3866="Portfolio","Portfolio",IFERROR(INDEX(DATA_ASSET_CLASSIFICATION!$AB$8:$AB$13,MATCH($N3866,DATA_ASSET_CLASSIFICATION!$AA$8:$AA$13,0)),"Review"))</f>
        <v>Bucket 2 · Legacy</v>
      </c>
      <c r="P3866" s="350" t="str">
        <f>IF($B3866="Portfolio","Portfolio",IFERROR(INDEX(DATA_ASSET_CLASSIFICATION!$C$8:$C$24,MATCH($C3866,DATA_ASSET_CLASSIFICATION!$A$8:$A$24,0)),"Review"))</f>
        <v>Yes</v>
      </c>
      <c r="Q3866" s="350" t="str">
        <f t="shared" ca="1" si="121"/>
        <v>OK</v>
      </c>
    </row>
    <row r="3867" spans="1:17">
      <c r="A3867" s="366" t="s">
        <v>5823</v>
      </c>
      <c r="B3867" s="366" t="s">
        <v>231</v>
      </c>
      <c r="C3867" s="348" t="str">
        <f>DATA_PROPERTY_MASTER!$A$17</f>
        <v>BLD_RG</v>
      </c>
      <c r="D3867" s="380">
        <f>'00_PORTFOLIO ROLLUP'!K$12</f>
        <v>2031</v>
      </c>
      <c r="E3867" s="366" t="s">
        <v>1683</v>
      </c>
      <c r="F3867" s="366" t="s">
        <v>1697</v>
      </c>
      <c r="G3867" s="348" t="str">
        <f>"'"&amp;$C3867&amp;"'!$E$44:$Y$44"</f>
        <v>'BLD_RG'!$E$44:$Y$44</v>
      </c>
      <c r="H3867" s="381">
        <f ca="1">IF(IFERROR(INDEX(DATA_PROPERTY_MASTER!$E$5:$E$21,MATCH($C3867,DATA_PROPERTY_MASTER!$A$5:$A$21,0))="Yes",FALSE),IFERROR(INDEX(INDIRECT("'"&amp;$C3867&amp;"'!$E$44:$Y$44"),1,MATCH($D3867,INDIRECT("'"&amp;$C3867&amp;"'!$E$12:$Y$12"),0)),0),0)</f>
        <v>6419.1257898048007</v>
      </c>
      <c r="I3867" s="366" t="s">
        <v>1690</v>
      </c>
      <c r="J3867" s="348" t="str">
        <f t="shared" ca="1" si="120"/>
        <v>OK</v>
      </c>
      <c r="K3867" s="366" t="s">
        <v>1699</v>
      </c>
      <c r="L3867" s="366" t="s">
        <v>2240</v>
      </c>
      <c r="M3867" s="350" t="str">
        <f>IF($B3867="Portfolio","Portfolio",IFERROR(INDEX(DATA_ASSET_CLASSIFICATION!$B$8:$B$24,MATCH($C3867,DATA_ASSET_CLASSIFICATION!$A$8:$A$24,0)),"Review"))</f>
        <v>Rosemary Green</v>
      </c>
      <c r="N3867" s="350" t="str">
        <f ca="1">IF($B3867="Portfolio","Portfolio",IFERROR(INDEX(DATA_ASSET_CLASSIFICATION!$U$8:$U$24,MATCH($C3867,DATA_ASSET_CLASSIFICATION!$A$8:$A$24,0)),"Review"))</f>
        <v>Refi Watch</v>
      </c>
      <c r="O3867" s="350" t="str">
        <f ca="1">IF($B3867="Portfolio","Portfolio",IFERROR(INDEX(DATA_ASSET_CLASSIFICATION!$AB$8:$AB$13,MATCH($N3867,DATA_ASSET_CLASSIFICATION!$AA$8:$AA$13,0)),"Review"))</f>
        <v>Bucket 2 · Legacy</v>
      </c>
      <c r="P3867" s="350" t="str">
        <f>IF($B3867="Portfolio","Portfolio",IFERROR(INDEX(DATA_ASSET_CLASSIFICATION!$C$8:$C$24,MATCH($C3867,DATA_ASSET_CLASSIFICATION!$A$8:$A$24,0)),"Review"))</f>
        <v>Yes</v>
      </c>
      <c r="Q3867" s="350" t="str">
        <f t="shared" ca="1" si="121"/>
        <v>OK</v>
      </c>
    </row>
    <row r="3868" spans="1:17">
      <c r="A3868" s="366" t="s">
        <v>5824</v>
      </c>
      <c r="B3868" s="366" t="s">
        <v>231</v>
      </c>
      <c r="C3868" s="348" t="str">
        <f>DATA_PROPERTY_MASTER!$A$17</f>
        <v>BLD_RG</v>
      </c>
      <c r="D3868" s="380">
        <f>'00_PORTFOLIO ROLLUP'!K$12</f>
        <v>2031</v>
      </c>
      <c r="E3868" s="366" t="s">
        <v>1683</v>
      </c>
      <c r="F3868" s="366" t="s">
        <v>21</v>
      </c>
      <c r="G3868" s="348" t="str">
        <f>"'"&amp;$C3868&amp;"'!$E$45:$Y$45"</f>
        <v>'BLD_RG'!$E$45:$Y$45</v>
      </c>
      <c r="H3868" s="381">
        <f ca="1">IF(IFERROR(INDEX(DATA_PROPERTY_MASTER!$E$5:$E$21,MATCH($C3868,DATA_PROPERTY_MASTER!$A$5:$A$21,0))="Yes",FALSE),IFERROR(INDEX(INDIRECT("'"&amp;$C3868&amp;"'!$E$45:$Y$45"),1,MATCH($D3868,INDIRECT("'"&amp;$C3868&amp;"'!$E$12:$Y$12"),0)),0),0)</f>
        <v>226548.95064806932</v>
      </c>
      <c r="I3868" s="366" t="s">
        <v>1685</v>
      </c>
      <c r="J3868" s="348" t="str">
        <f t="shared" ca="1" si="120"/>
        <v>OK</v>
      </c>
      <c r="K3868" s="366" t="s">
        <v>1694</v>
      </c>
      <c r="L3868" s="366" t="s">
        <v>2242</v>
      </c>
      <c r="M3868" s="350" t="str">
        <f>IF($B3868="Portfolio","Portfolio",IFERROR(INDEX(DATA_ASSET_CLASSIFICATION!$B$8:$B$24,MATCH($C3868,DATA_ASSET_CLASSIFICATION!$A$8:$A$24,0)),"Review"))</f>
        <v>Rosemary Green</v>
      </c>
      <c r="N3868" s="350" t="str">
        <f ca="1">IF($B3868="Portfolio","Portfolio",IFERROR(INDEX(DATA_ASSET_CLASSIFICATION!$U$8:$U$24,MATCH($C3868,DATA_ASSET_CLASSIFICATION!$A$8:$A$24,0)),"Review"))</f>
        <v>Refi Watch</v>
      </c>
      <c r="O3868" s="350" t="str">
        <f ca="1">IF($B3868="Portfolio","Portfolio",IFERROR(INDEX(DATA_ASSET_CLASSIFICATION!$AB$8:$AB$13,MATCH($N3868,DATA_ASSET_CLASSIFICATION!$AA$8:$AA$13,0)),"Review"))</f>
        <v>Bucket 2 · Legacy</v>
      </c>
      <c r="P3868" s="350" t="str">
        <f>IF($B3868="Portfolio","Portfolio",IFERROR(INDEX(DATA_ASSET_CLASSIFICATION!$C$8:$C$24,MATCH($C3868,DATA_ASSET_CLASSIFICATION!$A$8:$A$24,0)),"Review"))</f>
        <v>Yes</v>
      </c>
      <c r="Q3868" s="350" t="str">
        <f t="shared" ca="1" si="121"/>
        <v>OK</v>
      </c>
    </row>
    <row r="3869" spans="1:17">
      <c r="A3869" s="366" t="s">
        <v>5825</v>
      </c>
      <c r="B3869" s="366" t="s">
        <v>231</v>
      </c>
      <c r="C3869" s="348" t="str">
        <f>DATA_PROPERTY_MASTER!$A$17</f>
        <v>BLD_RG</v>
      </c>
      <c r="D3869" s="380">
        <f>'00_PORTFOLIO ROLLUP'!K$12</f>
        <v>2031</v>
      </c>
      <c r="E3869" s="366" t="s">
        <v>23</v>
      </c>
      <c r="F3869" s="366" t="s">
        <v>23</v>
      </c>
      <c r="G3869" s="348" t="str">
        <f>"'"&amp;$C3869&amp;"'!$E$48:$Y$48"</f>
        <v>'BLD_RG'!$E$48:$Y$48</v>
      </c>
      <c r="H3869" s="381">
        <f ca="1">IF(IFERROR(INDEX(DATA_PROPERTY_MASTER!$E$5:$E$21,MATCH($C3869,DATA_PROPERTY_MASTER!$A$5:$A$21,0))="Yes",FALSE),IFERROR(INDEX(INDIRECT("'"&amp;$C3869&amp;"'!$E$48:$Y$48"),1,MATCH($D3869,INDIRECT("'"&amp;$C3869&amp;"'!$E$12:$Y$12"),0)),0),0)</f>
        <v>291146.28000000003</v>
      </c>
      <c r="I3869" s="366" t="s">
        <v>1690</v>
      </c>
      <c r="J3869" s="348" t="str">
        <f t="shared" ca="1" si="120"/>
        <v>OK</v>
      </c>
      <c r="K3869" s="366" t="s">
        <v>1706</v>
      </c>
      <c r="L3869" s="366" t="s">
        <v>2244</v>
      </c>
      <c r="M3869" s="350" t="str">
        <f>IF($B3869="Portfolio","Portfolio",IFERROR(INDEX(DATA_ASSET_CLASSIFICATION!$B$8:$B$24,MATCH($C3869,DATA_ASSET_CLASSIFICATION!$A$8:$A$24,0)),"Review"))</f>
        <v>Rosemary Green</v>
      </c>
      <c r="N3869" s="350" t="str">
        <f ca="1">IF($B3869="Portfolio","Portfolio",IFERROR(INDEX(DATA_ASSET_CLASSIFICATION!$U$8:$U$24,MATCH($C3869,DATA_ASSET_CLASSIFICATION!$A$8:$A$24,0)),"Review"))</f>
        <v>Refi Watch</v>
      </c>
      <c r="O3869" s="350" t="str">
        <f ca="1">IF($B3869="Portfolio","Portfolio",IFERROR(INDEX(DATA_ASSET_CLASSIFICATION!$AB$8:$AB$13,MATCH($N3869,DATA_ASSET_CLASSIFICATION!$AA$8:$AA$13,0)),"Review"))</f>
        <v>Bucket 2 · Legacy</v>
      </c>
      <c r="P3869" s="350" t="str">
        <f>IF($B3869="Portfolio","Portfolio",IFERROR(INDEX(DATA_ASSET_CLASSIFICATION!$C$8:$C$24,MATCH($C3869,DATA_ASSET_CLASSIFICATION!$A$8:$A$24,0)),"Review"))</f>
        <v>Yes</v>
      </c>
      <c r="Q3869" s="350" t="str">
        <f t="shared" ca="1" si="121"/>
        <v>OK</v>
      </c>
    </row>
    <row r="3870" spans="1:17">
      <c r="A3870" s="366" t="s">
        <v>5826</v>
      </c>
      <c r="B3870" s="366" t="s">
        <v>231</v>
      </c>
      <c r="C3870" s="348" t="str">
        <f>DATA_PROPERTY_MASTER!$A$17</f>
        <v>BLD_RG</v>
      </c>
      <c r="D3870" s="380">
        <f>'00_PORTFOLIO ROLLUP'!K$12</f>
        <v>2031</v>
      </c>
      <c r="E3870" s="366" t="s">
        <v>1683</v>
      </c>
      <c r="F3870" s="366" t="s">
        <v>25</v>
      </c>
      <c r="G3870" s="348" t="str">
        <f>"'"&amp;$C3870&amp;"'!$E$52:$Y$52"</f>
        <v>'BLD_RG'!$E$52:$Y$52</v>
      </c>
      <c r="H3870" s="381">
        <f ca="1">IF(IFERROR(INDEX(DATA_PROPERTY_MASTER!$E$5:$E$21,MATCH($C3870,DATA_PROPERTY_MASTER!$A$5:$A$21,0))="Yes",FALSE),IFERROR(INDEX(INDIRECT("'"&amp;$C3870&amp;"'!$E$52:$Y$52"),1,MATCH($D3870,INDIRECT("'"&amp;$C3870&amp;"'!$E$12:$Y$12"),0)),0),0)</f>
        <v>-58178.203562125913</v>
      </c>
      <c r="I3870" s="366" t="s">
        <v>1685</v>
      </c>
      <c r="J3870" s="348" t="str">
        <f t="shared" ca="1" si="120"/>
        <v>OK</v>
      </c>
      <c r="K3870" s="366" t="s">
        <v>1710</v>
      </c>
      <c r="L3870" s="366" t="s">
        <v>2246</v>
      </c>
      <c r="M3870" s="350" t="str">
        <f>IF($B3870="Portfolio","Portfolio",IFERROR(INDEX(DATA_ASSET_CLASSIFICATION!$B$8:$B$24,MATCH($C3870,DATA_ASSET_CLASSIFICATION!$A$8:$A$24,0)),"Review"))</f>
        <v>Rosemary Green</v>
      </c>
      <c r="N3870" s="350" t="str">
        <f ca="1">IF($B3870="Portfolio","Portfolio",IFERROR(INDEX(DATA_ASSET_CLASSIFICATION!$U$8:$U$24,MATCH($C3870,DATA_ASSET_CLASSIFICATION!$A$8:$A$24,0)),"Review"))</f>
        <v>Refi Watch</v>
      </c>
      <c r="O3870" s="350" t="str">
        <f ca="1">IF($B3870="Portfolio","Portfolio",IFERROR(INDEX(DATA_ASSET_CLASSIFICATION!$AB$8:$AB$13,MATCH($N3870,DATA_ASSET_CLASSIFICATION!$AA$8:$AA$13,0)),"Review"))</f>
        <v>Bucket 2 · Legacy</v>
      </c>
      <c r="P3870" s="350" t="str">
        <f>IF($B3870="Portfolio","Portfolio",IFERROR(INDEX(DATA_ASSET_CLASSIFICATION!$C$8:$C$24,MATCH($C3870,DATA_ASSET_CLASSIFICATION!$A$8:$A$24,0)),"Review"))</f>
        <v>Yes</v>
      </c>
      <c r="Q3870" s="350" t="str">
        <f t="shared" ca="1" si="121"/>
        <v>OK</v>
      </c>
    </row>
    <row r="3871" spans="1:17">
      <c r="A3871" s="366" t="s">
        <v>5827</v>
      </c>
      <c r="B3871" s="366" t="s">
        <v>231</v>
      </c>
      <c r="C3871" s="348" t="str">
        <f>DATA_PROPERTY_MASTER!$A$17</f>
        <v>BLD_RG</v>
      </c>
      <c r="D3871" s="380">
        <f>'00_PORTFOLIO ROLLUP'!K$12</f>
        <v>2031</v>
      </c>
      <c r="E3871" s="366" t="s">
        <v>1683</v>
      </c>
      <c r="F3871" s="366" t="s">
        <v>27</v>
      </c>
      <c r="G3871" s="348" t="str">
        <f>"'"&amp;$C3871&amp;"'!$E$54:$Y$54"</f>
        <v>'BLD_RG'!$E$54:$Y$54</v>
      </c>
      <c r="H3871" s="381">
        <f ca="1">IF(IFERROR(INDEX(DATA_PROPERTY_MASTER!$E$5:$E$21,MATCH($C3871,DATA_PROPERTY_MASTER!$A$5:$A$21,0))="Yes",FALSE),IFERROR(INDEX(INDIRECT("'"&amp;$C3871&amp;"'!$E$54:$Y$54"),1,MATCH($D3871,INDIRECT("'"&amp;$C3871&amp;"'!$E$12:$Y$12"),0)),0),0)</f>
        <v>0</v>
      </c>
      <c r="I3871" s="366" t="s">
        <v>1690</v>
      </c>
      <c r="J3871" s="348" t="str">
        <f t="shared" ca="1" si="120"/>
        <v>OK</v>
      </c>
      <c r="K3871" s="366" t="s">
        <v>1714</v>
      </c>
      <c r="L3871" s="366" t="s">
        <v>2248</v>
      </c>
      <c r="M3871" s="350" t="str">
        <f>IF($B3871="Portfolio","Portfolio",IFERROR(INDEX(DATA_ASSET_CLASSIFICATION!$B$8:$B$24,MATCH($C3871,DATA_ASSET_CLASSIFICATION!$A$8:$A$24,0)),"Review"))</f>
        <v>Rosemary Green</v>
      </c>
      <c r="N3871" s="350" t="str">
        <f ca="1">IF($B3871="Portfolio","Portfolio",IFERROR(INDEX(DATA_ASSET_CLASSIFICATION!$U$8:$U$24,MATCH($C3871,DATA_ASSET_CLASSIFICATION!$A$8:$A$24,0)),"Review"))</f>
        <v>Refi Watch</v>
      </c>
      <c r="O3871" s="350" t="str">
        <f ca="1">IF($B3871="Portfolio","Portfolio",IFERROR(INDEX(DATA_ASSET_CLASSIFICATION!$AB$8:$AB$13,MATCH($N3871,DATA_ASSET_CLASSIFICATION!$AA$8:$AA$13,0)),"Review"))</f>
        <v>Bucket 2 · Legacy</v>
      </c>
      <c r="P3871" s="350" t="str">
        <f>IF($B3871="Portfolio","Portfolio",IFERROR(INDEX(DATA_ASSET_CLASSIFICATION!$C$8:$C$24,MATCH($C3871,DATA_ASSET_CLASSIFICATION!$A$8:$A$24,0)),"Review"))</f>
        <v>Yes</v>
      </c>
      <c r="Q3871" s="350" t="str">
        <f t="shared" ca="1" si="121"/>
        <v>OK</v>
      </c>
    </row>
    <row r="3872" spans="1:17">
      <c r="A3872" s="366" t="s">
        <v>5828</v>
      </c>
      <c r="B3872" s="366" t="s">
        <v>231</v>
      </c>
      <c r="C3872" s="348" t="str">
        <f>DATA_PROPERTY_MASTER!$A$17</f>
        <v>BLD_RG</v>
      </c>
      <c r="D3872" s="380">
        <f>'00_PORTFOLIO ROLLUP'!K$12</f>
        <v>2031</v>
      </c>
      <c r="E3872" s="366" t="s">
        <v>1683</v>
      </c>
      <c r="F3872" s="366" t="s">
        <v>29</v>
      </c>
      <c r="G3872" s="348" t="str">
        <f>"'"&amp;$C3872&amp;"'!$E$56:$Y$56"</f>
        <v>'BLD_RG'!$E$56:$Y$56</v>
      </c>
      <c r="H3872" s="381">
        <f ca="1">IF(IFERROR(INDEX(DATA_PROPERTY_MASTER!$E$5:$E$21,MATCH($C3872,DATA_PROPERTY_MASTER!$A$5:$A$21,0))="Yes",FALSE),IFERROR(INDEX(INDIRECT("'"&amp;$C3872&amp;"'!$E$56:$Y$56"),1,MATCH($D3872,INDIRECT("'"&amp;$C3872&amp;"'!$E$12:$Y$12"),0)),0),0)</f>
        <v>-58178.203562125913</v>
      </c>
      <c r="I3872" s="366" t="s">
        <v>1685</v>
      </c>
      <c r="J3872" s="348" t="str">
        <f t="shared" ca="1" si="120"/>
        <v>OK</v>
      </c>
      <c r="K3872" s="366" t="s">
        <v>1718</v>
      </c>
      <c r="L3872" s="366" t="s">
        <v>2250</v>
      </c>
      <c r="M3872" s="350" t="str">
        <f>IF($B3872="Portfolio","Portfolio",IFERROR(INDEX(DATA_ASSET_CLASSIFICATION!$B$8:$B$24,MATCH($C3872,DATA_ASSET_CLASSIFICATION!$A$8:$A$24,0)),"Review"))</f>
        <v>Rosemary Green</v>
      </c>
      <c r="N3872" s="350" t="str">
        <f ca="1">IF($B3872="Portfolio","Portfolio",IFERROR(INDEX(DATA_ASSET_CLASSIFICATION!$U$8:$U$24,MATCH($C3872,DATA_ASSET_CLASSIFICATION!$A$8:$A$24,0)),"Review"))</f>
        <v>Refi Watch</v>
      </c>
      <c r="O3872" s="350" t="str">
        <f ca="1">IF($B3872="Portfolio","Portfolio",IFERROR(INDEX(DATA_ASSET_CLASSIFICATION!$AB$8:$AB$13,MATCH($N3872,DATA_ASSET_CLASSIFICATION!$AA$8:$AA$13,0)),"Review"))</f>
        <v>Bucket 2 · Legacy</v>
      </c>
      <c r="P3872" s="350" t="str">
        <f>IF($B3872="Portfolio","Portfolio",IFERROR(INDEX(DATA_ASSET_CLASSIFICATION!$C$8:$C$24,MATCH($C3872,DATA_ASSET_CLASSIFICATION!$A$8:$A$24,0)),"Review"))</f>
        <v>Yes</v>
      </c>
      <c r="Q3872" s="350" t="str">
        <f t="shared" ca="1" si="121"/>
        <v>OK</v>
      </c>
    </row>
    <row r="3873" spans="1:17">
      <c r="A3873" s="366" t="s">
        <v>5829</v>
      </c>
      <c r="B3873" s="366" t="s">
        <v>231</v>
      </c>
      <c r="C3873" s="348" t="str">
        <f>DATA_PROPERTY_MASTER!$A$17</f>
        <v>BLD_RG</v>
      </c>
      <c r="D3873" s="380">
        <f>'00_PORTFOLIO ROLLUP'!K$12</f>
        <v>2031</v>
      </c>
      <c r="E3873" s="366" t="s">
        <v>1721</v>
      </c>
      <c r="F3873" s="366" t="s">
        <v>31</v>
      </c>
      <c r="G3873" s="348" t="str">
        <f>"'"&amp;$C3873&amp;"'!$E$61:$Y$61"</f>
        <v>'BLD_RG'!$E$61:$Y$61</v>
      </c>
      <c r="H3873" s="381">
        <f ca="1">IF(IFERROR(INDEX(DATA_PROPERTY_MASTER!$E$5:$E$21,MATCH($C3873,DATA_PROPERTY_MASTER!$A$5:$A$21,0))="Yes",FALSE),IFERROR(INDEX(INDIRECT("'"&amp;$C3873&amp;"'!$E$61:$Y$61"),1,MATCH($D3873,INDIRECT("'"&amp;$C3873&amp;"'!$E$12:$Y$12"),0)),0),0)</f>
        <v>0</v>
      </c>
      <c r="I3873" s="366" t="s">
        <v>1690</v>
      </c>
      <c r="J3873" s="348" t="str">
        <f t="shared" ca="1" si="120"/>
        <v>OK</v>
      </c>
      <c r="K3873" s="366" t="s">
        <v>1723</v>
      </c>
      <c r="L3873" s="366" t="s">
        <v>2252</v>
      </c>
      <c r="M3873" s="350" t="str">
        <f>IF($B3873="Portfolio","Portfolio",IFERROR(INDEX(DATA_ASSET_CLASSIFICATION!$B$8:$B$24,MATCH($C3873,DATA_ASSET_CLASSIFICATION!$A$8:$A$24,0)),"Review"))</f>
        <v>Rosemary Green</v>
      </c>
      <c r="N3873" s="350" t="str">
        <f ca="1">IF($B3873="Portfolio","Portfolio",IFERROR(INDEX(DATA_ASSET_CLASSIFICATION!$U$8:$U$24,MATCH($C3873,DATA_ASSET_CLASSIFICATION!$A$8:$A$24,0)),"Review"))</f>
        <v>Refi Watch</v>
      </c>
      <c r="O3873" s="350" t="str">
        <f ca="1">IF($B3873="Portfolio","Portfolio",IFERROR(INDEX(DATA_ASSET_CLASSIFICATION!$AB$8:$AB$13,MATCH($N3873,DATA_ASSET_CLASSIFICATION!$AA$8:$AA$13,0)),"Review"))</f>
        <v>Bucket 2 · Legacy</v>
      </c>
      <c r="P3873" s="350" t="str">
        <f>IF($B3873="Portfolio","Portfolio",IFERROR(INDEX(DATA_ASSET_CLASSIFICATION!$C$8:$C$24,MATCH($C3873,DATA_ASSET_CLASSIFICATION!$A$8:$A$24,0)),"Review"))</f>
        <v>Yes</v>
      </c>
      <c r="Q3873" s="350" t="str">
        <f t="shared" ca="1" si="121"/>
        <v>OK</v>
      </c>
    </row>
    <row r="3874" spans="1:17">
      <c r="A3874" s="366" t="s">
        <v>5830</v>
      </c>
      <c r="B3874" s="366" t="s">
        <v>231</v>
      </c>
      <c r="C3874" s="348" t="str">
        <f>DATA_PROPERTY_MASTER!$A$17</f>
        <v>BLD_RG</v>
      </c>
      <c r="D3874" s="380">
        <f>'00_PORTFOLIO ROLLUP'!K$12</f>
        <v>2031</v>
      </c>
      <c r="E3874" s="366" t="s">
        <v>1721</v>
      </c>
      <c r="F3874" s="366" t="s">
        <v>33</v>
      </c>
      <c r="G3874" s="348" t="str">
        <f>"'"&amp;$C3874&amp;"'!$E$62:$Y$62"</f>
        <v>'BLD_RG'!$E$62:$Y$62</v>
      </c>
      <c r="H3874" s="381">
        <f ca="1">IF(IFERROR(INDEX(DATA_PROPERTY_MASTER!$E$5:$E$21,MATCH($C3874,DATA_PROPERTY_MASTER!$A$5:$A$21,0))="Yes",FALSE),IFERROR(INDEX(INDIRECT("'"&amp;$C3874&amp;"'!$E$62:$Y$62"),1,MATCH($D3874,INDIRECT("'"&amp;$C3874&amp;"'!$E$12:$Y$12"),0)),0),0)</f>
        <v>0</v>
      </c>
      <c r="I3874" s="366" t="s">
        <v>1685</v>
      </c>
      <c r="J3874" s="348" t="str">
        <f t="shared" ca="1" si="120"/>
        <v>OK</v>
      </c>
      <c r="K3874" s="366" t="s">
        <v>1727</v>
      </c>
      <c r="L3874" s="366" t="s">
        <v>2254</v>
      </c>
      <c r="M3874" s="350" t="str">
        <f>IF($B3874="Portfolio","Portfolio",IFERROR(INDEX(DATA_ASSET_CLASSIFICATION!$B$8:$B$24,MATCH($C3874,DATA_ASSET_CLASSIFICATION!$A$8:$A$24,0)),"Review"))</f>
        <v>Rosemary Green</v>
      </c>
      <c r="N3874" s="350" t="str">
        <f ca="1">IF($B3874="Portfolio","Portfolio",IFERROR(INDEX(DATA_ASSET_CLASSIFICATION!$U$8:$U$24,MATCH($C3874,DATA_ASSET_CLASSIFICATION!$A$8:$A$24,0)),"Review"))</f>
        <v>Refi Watch</v>
      </c>
      <c r="O3874" s="350" t="str">
        <f ca="1">IF($B3874="Portfolio","Portfolio",IFERROR(INDEX(DATA_ASSET_CLASSIFICATION!$AB$8:$AB$13,MATCH($N3874,DATA_ASSET_CLASSIFICATION!$AA$8:$AA$13,0)),"Review"))</f>
        <v>Bucket 2 · Legacy</v>
      </c>
      <c r="P3874" s="350" t="str">
        <f>IF($B3874="Portfolio","Portfolio",IFERROR(INDEX(DATA_ASSET_CLASSIFICATION!$C$8:$C$24,MATCH($C3874,DATA_ASSET_CLASSIFICATION!$A$8:$A$24,0)),"Review"))</f>
        <v>Yes</v>
      </c>
      <c r="Q3874" s="350" t="str">
        <f t="shared" ca="1" si="121"/>
        <v>OK</v>
      </c>
    </row>
    <row r="3875" spans="1:17">
      <c r="A3875" s="366" t="s">
        <v>5831</v>
      </c>
      <c r="B3875" s="366" t="s">
        <v>231</v>
      </c>
      <c r="C3875" s="348" t="str">
        <f>DATA_PROPERTY_MASTER!$A$17</f>
        <v>BLD_RG</v>
      </c>
      <c r="D3875" s="380">
        <f>'00_PORTFOLIO ROLLUP'!K$12</f>
        <v>2031</v>
      </c>
      <c r="E3875" s="366" t="s">
        <v>1721</v>
      </c>
      <c r="F3875" s="366" t="s">
        <v>35</v>
      </c>
      <c r="G3875" s="348" t="str">
        <f>"'"&amp;$C3875&amp;"'!$E$63:$Y$63"</f>
        <v>'BLD_RG'!$E$63:$Y$63</v>
      </c>
      <c r="H3875" s="381">
        <f ca="1">IF(IFERROR(INDEX(DATA_PROPERTY_MASTER!$E$5:$E$21,MATCH($C3875,DATA_PROPERTY_MASTER!$A$5:$A$21,0))="Yes",FALSE),IFERROR(INDEX(INDIRECT("'"&amp;$C3875&amp;"'!$E$63:$Y$63"),1,MATCH($D3875,INDIRECT("'"&amp;$C3875&amp;"'!$E$12:$Y$12"),0)),0),0)</f>
        <v>0</v>
      </c>
      <c r="I3875" s="366" t="s">
        <v>1731</v>
      </c>
      <c r="J3875" s="348" t="str">
        <f t="shared" ca="1" si="120"/>
        <v>OK</v>
      </c>
      <c r="K3875" s="366" t="s">
        <v>1732</v>
      </c>
      <c r="L3875" s="366" t="s">
        <v>2256</v>
      </c>
      <c r="M3875" s="350" t="str">
        <f>IF($B3875="Portfolio","Portfolio",IFERROR(INDEX(DATA_ASSET_CLASSIFICATION!$B$8:$B$24,MATCH($C3875,DATA_ASSET_CLASSIFICATION!$A$8:$A$24,0)),"Review"))</f>
        <v>Rosemary Green</v>
      </c>
      <c r="N3875" s="350" t="str">
        <f ca="1">IF($B3875="Portfolio","Portfolio",IFERROR(INDEX(DATA_ASSET_CLASSIFICATION!$U$8:$U$24,MATCH($C3875,DATA_ASSET_CLASSIFICATION!$A$8:$A$24,0)),"Review"))</f>
        <v>Refi Watch</v>
      </c>
      <c r="O3875" s="350" t="str">
        <f ca="1">IF($B3875="Portfolio","Portfolio",IFERROR(INDEX(DATA_ASSET_CLASSIFICATION!$AB$8:$AB$13,MATCH($N3875,DATA_ASSET_CLASSIFICATION!$AA$8:$AA$13,0)),"Review"))</f>
        <v>Bucket 2 · Legacy</v>
      </c>
      <c r="P3875" s="350" t="str">
        <f>IF($B3875="Portfolio","Portfolio",IFERROR(INDEX(DATA_ASSET_CLASSIFICATION!$C$8:$C$24,MATCH($C3875,DATA_ASSET_CLASSIFICATION!$A$8:$A$24,0)),"Review"))</f>
        <v>Yes</v>
      </c>
      <c r="Q3875" s="350" t="str">
        <f t="shared" ca="1" si="121"/>
        <v>OK</v>
      </c>
    </row>
    <row r="3876" spans="1:17">
      <c r="A3876" s="366" t="s">
        <v>5832</v>
      </c>
      <c r="B3876" s="366" t="s">
        <v>231</v>
      </c>
      <c r="C3876" s="348" t="str">
        <f>DATA_PROPERTY_MASTER!$A$17</f>
        <v>BLD_RG</v>
      </c>
      <c r="D3876" s="380">
        <f>'00_PORTFOLIO ROLLUP'!K$12</f>
        <v>2031</v>
      </c>
      <c r="E3876" s="366" t="s">
        <v>1721</v>
      </c>
      <c r="F3876" s="366" t="s">
        <v>37</v>
      </c>
      <c r="G3876" s="348" t="str">
        <f>"'"&amp;$C3876&amp;"'!$E$63:$Y$63"</f>
        <v>'BLD_RG'!$E$63:$Y$63</v>
      </c>
      <c r="H3876" s="381">
        <f ca="1">IF(IFERROR(INDEX(DATA_PROPERTY_MASTER!$E$5:$E$21,MATCH($C3876,DATA_PROPERTY_MASTER!$A$5:$A$21,0))="Yes",FALSE),MAX(IFERROR(INDEX(INDIRECT("'"&amp;$C3876&amp;"'!$E$63:$Y$63"),1,MATCH($D3876,INDIRECT("'"&amp;$C3876&amp;"'!$E$12:$Y$12"),0)),0),0),0)</f>
        <v>0</v>
      </c>
      <c r="I3876" s="366" t="s">
        <v>1685</v>
      </c>
      <c r="J3876" s="348" t="str">
        <f t="shared" ca="1" si="120"/>
        <v>OK</v>
      </c>
      <c r="K3876" s="366" t="s">
        <v>1735</v>
      </c>
      <c r="L3876" s="366" t="s">
        <v>2258</v>
      </c>
      <c r="M3876" s="350" t="str">
        <f>IF($B3876="Portfolio","Portfolio",IFERROR(INDEX(DATA_ASSET_CLASSIFICATION!$B$8:$B$24,MATCH($C3876,DATA_ASSET_CLASSIFICATION!$A$8:$A$24,0)),"Review"))</f>
        <v>Rosemary Green</v>
      </c>
      <c r="N3876" s="350" t="str">
        <f ca="1">IF($B3876="Portfolio","Portfolio",IFERROR(INDEX(DATA_ASSET_CLASSIFICATION!$U$8:$U$24,MATCH($C3876,DATA_ASSET_CLASSIFICATION!$A$8:$A$24,0)),"Review"))</f>
        <v>Refi Watch</v>
      </c>
      <c r="O3876" s="350" t="str">
        <f ca="1">IF($B3876="Portfolio","Portfolio",IFERROR(INDEX(DATA_ASSET_CLASSIFICATION!$AB$8:$AB$13,MATCH($N3876,DATA_ASSET_CLASSIFICATION!$AA$8:$AA$13,0)),"Review"))</f>
        <v>Bucket 2 · Legacy</v>
      </c>
      <c r="P3876" s="350" t="str">
        <f>IF($B3876="Portfolio","Portfolio",IFERROR(INDEX(DATA_ASSET_CLASSIFICATION!$C$8:$C$24,MATCH($C3876,DATA_ASSET_CLASSIFICATION!$A$8:$A$24,0)),"Review"))</f>
        <v>Yes</v>
      </c>
      <c r="Q3876" s="350" t="str">
        <f t="shared" ca="1" si="121"/>
        <v>OK</v>
      </c>
    </row>
    <row r="3877" spans="1:17">
      <c r="A3877" s="366" t="s">
        <v>5833</v>
      </c>
      <c r="B3877" s="366" t="s">
        <v>231</v>
      </c>
      <c r="C3877" s="348" t="str">
        <f>DATA_PROPERTY_MASTER!$A$17</f>
        <v>BLD_RG</v>
      </c>
      <c r="D3877" s="380">
        <f>'00_PORTFOLIO ROLLUP'!K$12</f>
        <v>2031</v>
      </c>
      <c r="E3877" s="366" t="s">
        <v>1721</v>
      </c>
      <c r="F3877" s="366" t="s">
        <v>39</v>
      </c>
      <c r="G3877" s="348" t="str">
        <f>"'"&amp;$C3877&amp;"'!$E$63:$Y$63"</f>
        <v>'BLD_RG'!$E$63:$Y$63</v>
      </c>
      <c r="H3877" s="381">
        <f ca="1">IF(IFERROR(INDEX(DATA_PROPERTY_MASTER!$E$5:$E$21,MATCH($C3877,DATA_PROPERTY_MASTER!$A$5:$A$21,0))="Yes",FALSE),MAX(-IFERROR(INDEX(INDIRECT("'"&amp;$C3877&amp;"'!$E$63:$Y$63"),1,MATCH($D3877,INDIRECT("'"&amp;$C3877&amp;"'!$E$12:$Y$12"),0)),0),0),0)</f>
        <v>0</v>
      </c>
      <c r="I3877" s="366" t="s">
        <v>1690</v>
      </c>
      <c r="J3877" s="348" t="str">
        <f t="shared" ca="1" si="120"/>
        <v>OK</v>
      </c>
      <c r="K3877" s="366" t="s">
        <v>1738</v>
      </c>
      <c r="L3877" s="366" t="s">
        <v>2260</v>
      </c>
      <c r="M3877" s="350" t="str">
        <f>IF($B3877="Portfolio","Portfolio",IFERROR(INDEX(DATA_ASSET_CLASSIFICATION!$B$8:$B$24,MATCH($C3877,DATA_ASSET_CLASSIFICATION!$A$8:$A$24,0)),"Review"))</f>
        <v>Rosemary Green</v>
      </c>
      <c r="N3877" s="350" t="str">
        <f ca="1">IF($B3877="Portfolio","Portfolio",IFERROR(INDEX(DATA_ASSET_CLASSIFICATION!$U$8:$U$24,MATCH($C3877,DATA_ASSET_CLASSIFICATION!$A$8:$A$24,0)),"Review"))</f>
        <v>Refi Watch</v>
      </c>
      <c r="O3877" s="350" t="str">
        <f ca="1">IF($B3877="Portfolio","Portfolio",IFERROR(INDEX(DATA_ASSET_CLASSIFICATION!$AB$8:$AB$13,MATCH($N3877,DATA_ASSET_CLASSIFICATION!$AA$8:$AA$13,0)),"Review"))</f>
        <v>Bucket 2 · Legacy</v>
      </c>
      <c r="P3877" s="350" t="str">
        <f>IF($B3877="Portfolio","Portfolio",IFERROR(INDEX(DATA_ASSET_CLASSIFICATION!$C$8:$C$24,MATCH($C3877,DATA_ASSET_CLASSIFICATION!$A$8:$A$24,0)),"Review"))</f>
        <v>Yes</v>
      </c>
      <c r="Q3877" s="350" t="str">
        <f t="shared" ca="1" si="121"/>
        <v>OK</v>
      </c>
    </row>
    <row r="3878" spans="1:17">
      <c r="A3878" s="366" t="s">
        <v>5834</v>
      </c>
      <c r="B3878" s="366" t="s">
        <v>231</v>
      </c>
      <c r="C3878" s="348" t="str">
        <f>DATA_PROPERTY_MASTER!$A$17</f>
        <v>BLD_RG</v>
      </c>
      <c r="D3878" s="380">
        <f>'00_PORTFOLIO ROLLUP'!K$12</f>
        <v>2031</v>
      </c>
      <c r="E3878" s="366" t="s">
        <v>1741</v>
      </c>
      <c r="F3878" s="366" t="s">
        <v>41</v>
      </c>
      <c r="G3878" s="348" t="str">
        <f>"'"&amp;$C3878&amp;"'!rows 56 + positive row 63"</f>
        <v>'BLD_RG'!rows 56 + positive row 63</v>
      </c>
      <c r="H3878" s="381">
        <f ca="1">IF(IFERROR(INDEX(DATA_PROPERTY_MASTER!$E$5:$E$21,MATCH($C3878,DATA_PROPERTY_MASTER!$A$5:$A$21,0))="Yes",FALSE),IFERROR(INDEX(INDIRECT("'"&amp;$C3878&amp;"'!$E$56:$Y$56"),1,MATCH($D3878,INDIRECT("'"&amp;$C3878&amp;"'!$E$12:$Y$12"),0)),0)+MAX(IFERROR(INDEX(INDIRECT("'"&amp;$C3878&amp;"'!$E$63:$Y$63"),1,MATCH($D3878,INDIRECT("'"&amp;$C3878&amp;"'!$E$12:$Y$12"),0)),0),0),0)</f>
        <v>-58178.203562125913</v>
      </c>
      <c r="I3878" s="366" t="s">
        <v>1685</v>
      </c>
      <c r="J3878" s="348" t="str">
        <f t="shared" ca="1" si="120"/>
        <v>OK</v>
      </c>
      <c r="K3878" s="366" t="s">
        <v>1742</v>
      </c>
      <c r="L3878" s="366" t="s">
        <v>2262</v>
      </c>
      <c r="M3878" s="350" t="str">
        <f>IF($B3878="Portfolio","Portfolio",IFERROR(INDEX(DATA_ASSET_CLASSIFICATION!$B$8:$B$24,MATCH($C3878,DATA_ASSET_CLASSIFICATION!$A$8:$A$24,0)),"Review"))</f>
        <v>Rosemary Green</v>
      </c>
      <c r="N3878" s="350" t="str">
        <f ca="1">IF($B3878="Portfolio","Portfolio",IFERROR(INDEX(DATA_ASSET_CLASSIFICATION!$U$8:$U$24,MATCH($C3878,DATA_ASSET_CLASSIFICATION!$A$8:$A$24,0)),"Review"))</f>
        <v>Refi Watch</v>
      </c>
      <c r="O3878" s="350" t="str">
        <f ca="1">IF($B3878="Portfolio","Portfolio",IFERROR(INDEX(DATA_ASSET_CLASSIFICATION!$AB$8:$AB$13,MATCH($N3878,DATA_ASSET_CLASSIFICATION!$AA$8:$AA$13,0)),"Review"))</f>
        <v>Bucket 2 · Legacy</v>
      </c>
      <c r="P3878" s="350" t="str">
        <f>IF($B3878="Portfolio","Portfolio",IFERROR(INDEX(DATA_ASSET_CLASSIFICATION!$C$8:$C$24,MATCH($C3878,DATA_ASSET_CLASSIFICATION!$A$8:$A$24,0)),"Review"))</f>
        <v>Yes</v>
      </c>
      <c r="Q3878" s="350" t="str">
        <f t="shared" ca="1" si="121"/>
        <v>OK</v>
      </c>
    </row>
    <row r="3879" spans="1:17">
      <c r="A3879" s="366" t="s">
        <v>5835</v>
      </c>
      <c r="B3879" s="366" t="s">
        <v>231</v>
      </c>
      <c r="C3879" s="348" t="str">
        <f>DATA_PROPERTY_MASTER!$A$17</f>
        <v>BLD_RG</v>
      </c>
      <c r="D3879" s="380">
        <f>'00_PORTFOLIO ROLLUP'!K$12</f>
        <v>2031</v>
      </c>
      <c r="E3879" s="366" t="s">
        <v>1741</v>
      </c>
      <c r="F3879" s="366" t="s">
        <v>43</v>
      </c>
      <c r="G3879" s="348" t="str">
        <f>"'"&amp;$C3879&amp;"'!$E$68:$Y$68"</f>
        <v>'BLD_RG'!$E$68:$Y$68</v>
      </c>
      <c r="H3879" s="381">
        <f ca="1">IF(IFERROR(INDEX(DATA_PROPERTY_MASTER!$E$5:$E$21,MATCH($C3879,DATA_PROPERTY_MASTER!$A$5:$A$21,0))="Yes",FALSE),IFERROR(INDEX(INDIRECT("'"&amp;$C3879&amp;"'!$E$68:$Y$68"),1,MATCH($D3879,INDIRECT("'"&amp;$C3879&amp;"'!$E$12:$Y$12"),0)),0),0)</f>
        <v>-58178.203562125913</v>
      </c>
      <c r="I3879" s="366" t="s">
        <v>1731</v>
      </c>
      <c r="J3879" s="348" t="str">
        <f t="shared" ca="1" si="120"/>
        <v>OK</v>
      </c>
      <c r="K3879" s="366" t="s">
        <v>1746</v>
      </c>
      <c r="L3879" s="366" t="s">
        <v>2264</v>
      </c>
      <c r="M3879" s="350" t="str">
        <f>IF($B3879="Portfolio","Portfolio",IFERROR(INDEX(DATA_ASSET_CLASSIFICATION!$B$8:$B$24,MATCH($C3879,DATA_ASSET_CLASSIFICATION!$A$8:$A$24,0)),"Review"))</f>
        <v>Rosemary Green</v>
      </c>
      <c r="N3879" s="350" t="str">
        <f ca="1">IF($B3879="Portfolio","Portfolio",IFERROR(INDEX(DATA_ASSET_CLASSIFICATION!$U$8:$U$24,MATCH($C3879,DATA_ASSET_CLASSIFICATION!$A$8:$A$24,0)),"Review"))</f>
        <v>Refi Watch</v>
      </c>
      <c r="O3879" s="350" t="str">
        <f ca="1">IF($B3879="Portfolio","Portfolio",IFERROR(INDEX(DATA_ASSET_CLASSIFICATION!$AB$8:$AB$13,MATCH($N3879,DATA_ASSET_CLASSIFICATION!$AA$8:$AA$13,0)),"Review"))</f>
        <v>Bucket 2 · Legacy</v>
      </c>
      <c r="P3879" s="350" t="str">
        <f>IF($B3879="Portfolio","Portfolio",IFERROR(INDEX(DATA_ASSET_CLASSIFICATION!$C$8:$C$24,MATCH($C3879,DATA_ASSET_CLASSIFICATION!$A$8:$A$24,0)),"Review"))</f>
        <v>Yes</v>
      </c>
      <c r="Q3879" s="350" t="str">
        <f t="shared" ca="1" si="121"/>
        <v>OK</v>
      </c>
    </row>
    <row r="3880" spans="1:17">
      <c r="A3880" s="366" t="s">
        <v>5836</v>
      </c>
      <c r="B3880" s="366" t="s">
        <v>231</v>
      </c>
      <c r="C3880" s="348" t="str">
        <f>DATA_PROPERTY_MASTER!$A$17</f>
        <v>BLD_RG</v>
      </c>
      <c r="D3880" s="380">
        <f>'00_PORTFOLIO ROLLUP'!K$12</f>
        <v>2031</v>
      </c>
      <c r="E3880" s="366" t="s">
        <v>1741</v>
      </c>
      <c r="F3880" s="366" t="s">
        <v>1749</v>
      </c>
      <c r="G3880" s="348" t="str">
        <f>"'"&amp;$C3880&amp;"'!rows 56, 63, 68"</f>
        <v>'BLD_RG'!rows 56, 63, 68</v>
      </c>
      <c r="H3880" s="381">
        <f ca="1">IF(IFERROR(INDEX(DATA_PROPERTY_MASTER!$E$5:$E$21,MATCH($C3880,DATA_PROPERTY_MASTER!$A$5:$A$21,0))="Yes",FALSE),(IFERROR(INDEX(INDIRECT("'"&amp;$C3880&amp;"'!$E$56:$Y$56"),1,MATCH($D3880,INDIRECT("'"&amp;$C3880&amp;"'!$E$12:$Y$12"),0)),0)+MAX(IFERROR(INDEX(INDIRECT("'"&amp;$C3880&amp;"'!$E$63:$Y$63"),1,MATCH($D3880,INDIRECT("'"&amp;$C3880&amp;"'!$E$12:$Y$12"),0)),0),0))-(IFERROR(INDEX(INDIRECT("'"&amp;$C3880&amp;"'!$E$68:$Y$68"),1,MATCH($D3880,INDIRECT("'"&amp;$C3880&amp;"'!$E$12:$Y$12"),0)),0)),0)</f>
        <v>0</v>
      </c>
      <c r="I3880" s="366" t="s">
        <v>1750</v>
      </c>
      <c r="J3880" s="348" t="str">
        <f t="shared" ca="1" si="120"/>
        <v>OK</v>
      </c>
      <c r="K3880" s="366" t="s">
        <v>1751</v>
      </c>
      <c r="L3880" s="366" t="s">
        <v>2266</v>
      </c>
      <c r="M3880" s="350" t="str">
        <f>IF($B3880="Portfolio","Portfolio",IFERROR(INDEX(DATA_ASSET_CLASSIFICATION!$B$8:$B$24,MATCH($C3880,DATA_ASSET_CLASSIFICATION!$A$8:$A$24,0)),"Review"))</f>
        <v>Rosemary Green</v>
      </c>
      <c r="N3880" s="350" t="str">
        <f ca="1">IF($B3880="Portfolio","Portfolio",IFERROR(INDEX(DATA_ASSET_CLASSIFICATION!$U$8:$U$24,MATCH($C3880,DATA_ASSET_CLASSIFICATION!$A$8:$A$24,0)),"Review"))</f>
        <v>Refi Watch</v>
      </c>
      <c r="O3880" s="350" t="str">
        <f ca="1">IF($B3880="Portfolio","Portfolio",IFERROR(INDEX(DATA_ASSET_CLASSIFICATION!$AB$8:$AB$13,MATCH($N3880,DATA_ASSET_CLASSIFICATION!$AA$8:$AA$13,0)),"Review"))</f>
        <v>Bucket 2 · Legacy</v>
      </c>
      <c r="P3880" s="350" t="str">
        <f>IF($B3880="Portfolio","Portfolio",IFERROR(INDEX(DATA_ASSET_CLASSIFICATION!$C$8:$C$24,MATCH($C3880,DATA_ASSET_CLASSIFICATION!$A$8:$A$24,0)),"Review"))</f>
        <v>Yes</v>
      </c>
      <c r="Q3880" s="350" t="str">
        <f t="shared" ca="1" si="121"/>
        <v>OK</v>
      </c>
    </row>
    <row r="3881" spans="1:17">
      <c r="A3881" s="366" t="s">
        <v>5837</v>
      </c>
      <c r="B3881" s="366" t="s">
        <v>231</v>
      </c>
      <c r="C3881" s="348" t="str">
        <f>DATA_PROPERTY_MASTER!$A$17</f>
        <v>BLD_RG</v>
      </c>
      <c r="D3881" s="380">
        <f>'00_PORTFOLIO ROLLUP'!L$12</f>
        <v>2032</v>
      </c>
      <c r="E3881" s="366" t="s">
        <v>1683</v>
      </c>
      <c r="F3881" s="366" t="s">
        <v>341</v>
      </c>
      <c r="G3881" s="348" t="str">
        <f>"'"&amp;$C3881&amp;"'!$E$24:$Y$24"</f>
        <v>'BLD_RG'!$E$24:$Y$24</v>
      </c>
      <c r="H3881" s="381">
        <f ca="1">IF(IFERROR(INDEX(DATA_PROPERTY_MASTER!$E$5:$E$21,MATCH($C3881,DATA_PROPERTY_MASTER!$A$5:$A$21,0))="Yes",FALSE),IFERROR(INDEX(INDIRECT("'"&amp;$C3881&amp;"'!$E$24:$Y$24"),1,MATCH($D3881,INDIRECT("'"&amp;$C3881&amp;"'!$E$12:$Y$12"),0)),0),0)</f>
        <v>515870.7864573375</v>
      </c>
      <c r="I3881" s="366" t="s">
        <v>1685</v>
      </c>
      <c r="J3881" s="348" t="str">
        <f t="shared" ca="1" si="120"/>
        <v>OK</v>
      </c>
      <c r="K3881" s="366" t="s">
        <v>1686</v>
      </c>
      <c r="L3881" s="366" t="s">
        <v>2234</v>
      </c>
      <c r="M3881" s="350" t="str">
        <f>IF($B3881="Portfolio","Portfolio",IFERROR(INDEX(DATA_ASSET_CLASSIFICATION!$B$8:$B$24,MATCH($C3881,DATA_ASSET_CLASSIFICATION!$A$8:$A$24,0)),"Review"))</f>
        <v>Rosemary Green</v>
      </c>
      <c r="N3881" s="350" t="str">
        <f ca="1">IF($B3881="Portfolio","Portfolio",IFERROR(INDEX(DATA_ASSET_CLASSIFICATION!$U$8:$U$24,MATCH($C3881,DATA_ASSET_CLASSIFICATION!$A$8:$A$24,0)),"Review"))</f>
        <v>Refi Watch</v>
      </c>
      <c r="O3881" s="350" t="str">
        <f ca="1">IF($B3881="Portfolio","Portfolio",IFERROR(INDEX(DATA_ASSET_CLASSIFICATION!$AB$8:$AB$13,MATCH($N3881,DATA_ASSET_CLASSIFICATION!$AA$8:$AA$13,0)),"Review"))</f>
        <v>Bucket 2 · Legacy</v>
      </c>
      <c r="P3881" s="350" t="str">
        <f>IF($B3881="Portfolio","Portfolio",IFERROR(INDEX(DATA_ASSET_CLASSIFICATION!$C$8:$C$24,MATCH($C3881,DATA_ASSET_CLASSIFICATION!$A$8:$A$24,0)),"Review"))</f>
        <v>Yes</v>
      </c>
      <c r="Q3881" s="350" t="str">
        <f t="shared" ca="1" si="121"/>
        <v>OK</v>
      </c>
    </row>
    <row r="3882" spans="1:17">
      <c r="A3882" s="366" t="s">
        <v>5838</v>
      </c>
      <c r="B3882" s="366" t="s">
        <v>231</v>
      </c>
      <c r="C3882" s="348" t="str">
        <f>DATA_PROPERTY_MASTER!$A$17</f>
        <v>BLD_RG</v>
      </c>
      <c r="D3882" s="380">
        <f>'00_PORTFOLIO ROLLUP'!L$12</f>
        <v>2032</v>
      </c>
      <c r="E3882" s="366" t="s">
        <v>1683</v>
      </c>
      <c r="F3882" s="366" t="s">
        <v>355</v>
      </c>
      <c r="G3882" s="348" t="str">
        <f>"'"&amp;$C3882&amp;"'!$E$39:$Y$39"</f>
        <v>'BLD_RG'!$E$39:$Y$39</v>
      </c>
      <c r="H3882" s="381">
        <f ca="1">IF(IFERROR(INDEX(DATA_PROPERTY_MASTER!$E$5:$E$21,MATCH($C3882,DATA_PROPERTY_MASTER!$A$5:$A$21,0))="Yes",FALSE),IFERROR(INDEX(INDIRECT("'"&amp;$C3882&amp;"'!$E$39:$Y$39"),1,MATCH($D3882,INDIRECT("'"&amp;$C3882&amp;"'!$E$12:$Y$12"),0)),0),0)</f>
        <v>283699.10042189632</v>
      </c>
      <c r="I3882" s="366" t="s">
        <v>1690</v>
      </c>
      <c r="J3882" s="348" t="str">
        <f t="shared" ca="1" si="120"/>
        <v>OK</v>
      </c>
      <c r="K3882" s="366" t="s">
        <v>1686</v>
      </c>
      <c r="L3882" s="366" t="s">
        <v>2236</v>
      </c>
      <c r="M3882" s="350" t="str">
        <f>IF($B3882="Portfolio","Portfolio",IFERROR(INDEX(DATA_ASSET_CLASSIFICATION!$B$8:$B$24,MATCH($C3882,DATA_ASSET_CLASSIFICATION!$A$8:$A$24,0)),"Review"))</f>
        <v>Rosemary Green</v>
      </c>
      <c r="N3882" s="350" t="str">
        <f ca="1">IF($B3882="Portfolio","Portfolio",IFERROR(INDEX(DATA_ASSET_CLASSIFICATION!$U$8:$U$24,MATCH($C3882,DATA_ASSET_CLASSIFICATION!$A$8:$A$24,0)),"Review"))</f>
        <v>Refi Watch</v>
      </c>
      <c r="O3882" s="350" t="str">
        <f ca="1">IF($B3882="Portfolio","Portfolio",IFERROR(INDEX(DATA_ASSET_CLASSIFICATION!$AB$8:$AB$13,MATCH($N3882,DATA_ASSET_CLASSIFICATION!$AA$8:$AA$13,0)),"Review"))</f>
        <v>Bucket 2 · Legacy</v>
      </c>
      <c r="P3882" s="350" t="str">
        <f>IF($B3882="Portfolio","Portfolio",IFERROR(INDEX(DATA_ASSET_CLASSIFICATION!$C$8:$C$24,MATCH($C3882,DATA_ASSET_CLASSIFICATION!$A$8:$A$24,0)),"Review"))</f>
        <v>Yes</v>
      </c>
      <c r="Q3882" s="350" t="str">
        <f t="shared" ca="1" si="121"/>
        <v>OK</v>
      </c>
    </row>
    <row r="3883" spans="1:17">
      <c r="A3883" s="366" t="s">
        <v>5839</v>
      </c>
      <c r="B3883" s="366" t="s">
        <v>231</v>
      </c>
      <c r="C3883" s="348" t="str">
        <f>DATA_PROPERTY_MASTER!$A$17</f>
        <v>BLD_RG</v>
      </c>
      <c r="D3883" s="380">
        <f>'00_PORTFOLIO ROLLUP'!L$12</f>
        <v>2032</v>
      </c>
      <c r="E3883" s="366" t="s">
        <v>1683</v>
      </c>
      <c r="F3883" s="366" t="s">
        <v>19</v>
      </c>
      <c r="G3883" s="348" t="str">
        <f>"'"&amp;$C3883&amp;"'!$E$41:$Y$41"</f>
        <v>'BLD_RG'!$E$41:$Y$41</v>
      </c>
      <c r="H3883" s="381">
        <f ca="1">IF(IFERROR(INDEX(DATA_PROPERTY_MASTER!$E$5:$E$21,MATCH($C3883,DATA_PROPERTY_MASTER!$A$5:$A$21,0))="Yes",FALSE),IFERROR(INDEX(INDIRECT("'"&amp;$C3883&amp;"'!$E$41:$Y$41"),1,MATCH($D3883,INDIRECT("'"&amp;$C3883&amp;"'!$E$12:$Y$12"),0)),0),0)</f>
        <v>232171.68603544118</v>
      </c>
      <c r="I3883" s="366" t="s">
        <v>1685</v>
      </c>
      <c r="J3883" s="348" t="str">
        <f t="shared" ca="1" si="120"/>
        <v>OK</v>
      </c>
      <c r="K3883" s="366" t="s">
        <v>1694</v>
      </c>
      <c r="L3883" s="366" t="s">
        <v>2238</v>
      </c>
      <c r="M3883" s="350" t="str">
        <f>IF($B3883="Portfolio","Portfolio",IFERROR(INDEX(DATA_ASSET_CLASSIFICATION!$B$8:$B$24,MATCH($C3883,DATA_ASSET_CLASSIFICATION!$A$8:$A$24,0)),"Review"))</f>
        <v>Rosemary Green</v>
      </c>
      <c r="N3883" s="350" t="str">
        <f ca="1">IF($B3883="Portfolio","Portfolio",IFERROR(INDEX(DATA_ASSET_CLASSIFICATION!$U$8:$U$24,MATCH($C3883,DATA_ASSET_CLASSIFICATION!$A$8:$A$24,0)),"Review"))</f>
        <v>Refi Watch</v>
      </c>
      <c r="O3883" s="350" t="str">
        <f ca="1">IF($B3883="Portfolio","Portfolio",IFERROR(INDEX(DATA_ASSET_CLASSIFICATION!$AB$8:$AB$13,MATCH($N3883,DATA_ASSET_CLASSIFICATION!$AA$8:$AA$13,0)),"Review"))</f>
        <v>Bucket 2 · Legacy</v>
      </c>
      <c r="P3883" s="350" t="str">
        <f>IF($B3883="Portfolio","Portfolio",IFERROR(INDEX(DATA_ASSET_CLASSIFICATION!$C$8:$C$24,MATCH($C3883,DATA_ASSET_CLASSIFICATION!$A$8:$A$24,0)),"Review"))</f>
        <v>Yes</v>
      </c>
      <c r="Q3883" s="350" t="str">
        <f t="shared" ca="1" si="121"/>
        <v>OK</v>
      </c>
    </row>
    <row r="3884" spans="1:17">
      <c r="A3884" s="366" t="s">
        <v>5840</v>
      </c>
      <c r="B3884" s="366" t="s">
        <v>231</v>
      </c>
      <c r="C3884" s="348" t="str">
        <f>DATA_PROPERTY_MASTER!$A$17</f>
        <v>BLD_RG</v>
      </c>
      <c r="D3884" s="380">
        <f>'00_PORTFOLIO ROLLUP'!L$12</f>
        <v>2032</v>
      </c>
      <c r="E3884" s="366" t="s">
        <v>1683</v>
      </c>
      <c r="F3884" s="366" t="s">
        <v>1697</v>
      </c>
      <c r="G3884" s="348" t="str">
        <f>"'"&amp;$C3884&amp;"'!$E$44:$Y$44"</f>
        <v>'BLD_RG'!$E$44:$Y$44</v>
      </c>
      <c r="H3884" s="381">
        <f ca="1">IF(IFERROR(INDEX(DATA_PROPERTY_MASTER!$E$5:$E$21,MATCH($C3884,DATA_PROPERTY_MASTER!$A$5:$A$21,0))="Yes",FALSE),IFERROR(INDEX(INDIRECT("'"&amp;$C3884&amp;"'!$E$44:$Y$44"),1,MATCH($D3884,INDIRECT("'"&amp;$C3884&amp;"'!$E$12:$Y$12"),0)),0),0)</f>
        <v>6547.5083056008953</v>
      </c>
      <c r="I3884" s="366" t="s">
        <v>1690</v>
      </c>
      <c r="J3884" s="348" t="str">
        <f t="shared" ca="1" si="120"/>
        <v>OK</v>
      </c>
      <c r="K3884" s="366" t="s">
        <v>1699</v>
      </c>
      <c r="L3884" s="366" t="s">
        <v>2240</v>
      </c>
      <c r="M3884" s="350" t="str">
        <f>IF($B3884="Portfolio","Portfolio",IFERROR(INDEX(DATA_ASSET_CLASSIFICATION!$B$8:$B$24,MATCH($C3884,DATA_ASSET_CLASSIFICATION!$A$8:$A$24,0)),"Review"))</f>
        <v>Rosemary Green</v>
      </c>
      <c r="N3884" s="350" t="str">
        <f ca="1">IF($B3884="Portfolio","Portfolio",IFERROR(INDEX(DATA_ASSET_CLASSIFICATION!$U$8:$U$24,MATCH($C3884,DATA_ASSET_CLASSIFICATION!$A$8:$A$24,0)),"Review"))</f>
        <v>Refi Watch</v>
      </c>
      <c r="O3884" s="350" t="str">
        <f ca="1">IF($B3884="Portfolio","Portfolio",IFERROR(INDEX(DATA_ASSET_CLASSIFICATION!$AB$8:$AB$13,MATCH($N3884,DATA_ASSET_CLASSIFICATION!$AA$8:$AA$13,0)),"Review"))</f>
        <v>Bucket 2 · Legacy</v>
      </c>
      <c r="P3884" s="350" t="str">
        <f>IF($B3884="Portfolio","Portfolio",IFERROR(INDEX(DATA_ASSET_CLASSIFICATION!$C$8:$C$24,MATCH($C3884,DATA_ASSET_CLASSIFICATION!$A$8:$A$24,0)),"Review"))</f>
        <v>Yes</v>
      </c>
      <c r="Q3884" s="350" t="str">
        <f t="shared" ca="1" si="121"/>
        <v>OK</v>
      </c>
    </row>
    <row r="3885" spans="1:17">
      <c r="A3885" s="366" t="s">
        <v>5841</v>
      </c>
      <c r="B3885" s="366" t="s">
        <v>231</v>
      </c>
      <c r="C3885" s="348" t="str">
        <f>DATA_PROPERTY_MASTER!$A$17</f>
        <v>BLD_RG</v>
      </c>
      <c r="D3885" s="380">
        <f>'00_PORTFOLIO ROLLUP'!L$12</f>
        <v>2032</v>
      </c>
      <c r="E3885" s="366" t="s">
        <v>1683</v>
      </c>
      <c r="F3885" s="366" t="s">
        <v>21</v>
      </c>
      <c r="G3885" s="348" t="str">
        <f>"'"&amp;$C3885&amp;"'!$E$45:$Y$45"</f>
        <v>'BLD_RG'!$E$45:$Y$45</v>
      </c>
      <c r="H3885" s="381">
        <f ca="1">IF(IFERROR(INDEX(DATA_PROPERTY_MASTER!$E$5:$E$21,MATCH($C3885,DATA_PROPERTY_MASTER!$A$5:$A$21,0))="Yes",FALSE),IFERROR(INDEX(INDIRECT("'"&amp;$C3885&amp;"'!$E$45:$Y$45"),1,MATCH($D3885,INDIRECT("'"&amp;$C3885&amp;"'!$E$12:$Y$12"),0)),0),0)</f>
        <v>225624.17772984027</v>
      </c>
      <c r="I3885" s="366" t="s">
        <v>1685</v>
      </c>
      <c r="J3885" s="348" t="str">
        <f t="shared" ca="1" si="120"/>
        <v>OK</v>
      </c>
      <c r="K3885" s="366" t="s">
        <v>1694</v>
      </c>
      <c r="L3885" s="366" t="s">
        <v>2242</v>
      </c>
      <c r="M3885" s="350" t="str">
        <f>IF($B3885="Portfolio","Portfolio",IFERROR(INDEX(DATA_ASSET_CLASSIFICATION!$B$8:$B$24,MATCH($C3885,DATA_ASSET_CLASSIFICATION!$A$8:$A$24,0)),"Review"))</f>
        <v>Rosemary Green</v>
      </c>
      <c r="N3885" s="350" t="str">
        <f ca="1">IF($B3885="Portfolio","Portfolio",IFERROR(INDEX(DATA_ASSET_CLASSIFICATION!$U$8:$U$24,MATCH($C3885,DATA_ASSET_CLASSIFICATION!$A$8:$A$24,0)),"Review"))</f>
        <v>Refi Watch</v>
      </c>
      <c r="O3885" s="350" t="str">
        <f ca="1">IF($B3885="Portfolio","Portfolio",IFERROR(INDEX(DATA_ASSET_CLASSIFICATION!$AB$8:$AB$13,MATCH($N3885,DATA_ASSET_CLASSIFICATION!$AA$8:$AA$13,0)),"Review"))</f>
        <v>Bucket 2 · Legacy</v>
      </c>
      <c r="P3885" s="350" t="str">
        <f>IF($B3885="Portfolio","Portfolio",IFERROR(INDEX(DATA_ASSET_CLASSIFICATION!$C$8:$C$24,MATCH($C3885,DATA_ASSET_CLASSIFICATION!$A$8:$A$24,0)),"Review"))</f>
        <v>Yes</v>
      </c>
      <c r="Q3885" s="350" t="str">
        <f t="shared" ca="1" si="121"/>
        <v>OK</v>
      </c>
    </row>
    <row r="3886" spans="1:17">
      <c r="A3886" s="366" t="s">
        <v>5842</v>
      </c>
      <c r="B3886" s="366" t="s">
        <v>231</v>
      </c>
      <c r="C3886" s="348" t="str">
        <f>DATA_PROPERTY_MASTER!$A$17</f>
        <v>BLD_RG</v>
      </c>
      <c r="D3886" s="380">
        <f>'00_PORTFOLIO ROLLUP'!L$12</f>
        <v>2032</v>
      </c>
      <c r="E3886" s="366" t="s">
        <v>23</v>
      </c>
      <c r="F3886" s="366" t="s">
        <v>23</v>
      </c>
      <c r="G3886" s="348" t="str">
        <f>"'"&amp;$C3886&amp;"'!$E$48:$Y$48"</f>
        <v>'BLD_RG'!$E$48:$Y$48</v>
      </c>
      <c r="H3886" s="381">
        <f ca="1">IF(IFERROR(INDEX(DATA_PROPERTY_MASTER!$E$5:$E$21,MATCH($C3886,DATA_PROPERTY_MASTER!$A$5:$A$21,0))="Yes",FALSE),IFERROR(INDEX(INDIRECT("'"&amp;$C3886&amp;"'!$E$48:$Y$48"),1,MATCH($D3886,INDIRECT("'"&amp;$C3886&amp;"'!$E$12:$Y$12"),0)),0),0)</f>
        <v>146404.95610520948</v>
      </c>
      <c r="I3886" s="366" t="s">
        <v>1690</v>
      </c>
      <c r="J3886" s="348" t="str">
        <f t="shared" ca="1" si="120"/>
        <v>OK</v>
      </c>
      <c r="K3886" s="366" t="s">
        <v>1706</v>
      </c>
      <c r="L3886" s="366" t="s">
        <v>2244</v>
      </c>
      <c r="M3886" s="350" t="str">
        <f>IF($B3886="Portfolio","Portfolio",IFERROR(INDEX(DATA_ASSET_CLASSIFICATION!$B$8:$B$24,MATCH($C3886,DATA_ASSET_CLASSIFICATION!$A$8:$A$24,0)),"Review"))</f>
        <v>Rosemary Green</v>
      </c>
      <c r="N3886" s="350" t="str">
        <f ca="1">IF($B3886="Portfolio","Portfolio",IFERROR(INDEX(DATA_ASSET_CLASSIFICATION!$U$8:$U$24,MATCH($C3886,DATA_ASSET_CLASSIFICATION!$A$8:$A$24,0)),"Review"))</f>
        <v>Refi Watch</v>
      </c>
      <c r="O3886" s="350" t="str">
        <f ca="1">IF($B3886="Portfolio","Portfolio",IFERROR(INDEX(DATA_ASSET_CLASSIFICATION!$AB$8:$AB$13,MATCH($N3886,DATA_ASSET_CLASSIFICATION!$AA$8:$AA$13,0)),"Review"))</f>
        <v>Bucket 2 · Legacy</v>
      </c>
      <c r="P3886" s="350" t="str">
        <f>IF($B3886="Portfolio","Portfolio",IFERROR(INDEX(DATA_ASSET_CLASSIFICATION!$C$8:$C$24,MATCH($C3886,DATA_ASSET_CLASSIFICATION!$A$8:$A$24,0)),"Review"))</f>
        <v>Yes</v>
      </c>
      <c r="Q3886" s="350" t="str">
        <f t="shared" ca="1" si="121"/>
        <v>OK</v>
      </c>
    </row>
    <row r="3887" spans="1:17">
      <c r="A3887" s="366" t="s">
        <v>5843</v>
      </c>
      <c r="B3887" s="366" t="s">
        <v>231</v>
      </c>
      <c r="C3887" s="348" t="str">
        <f>DATA_PROPERTY_MASTER!$A$17</f>
        <v>BLD_RG</v>
      </c>
      <c r="D3887" s="380">
        <f>'00_PORTFOLIO ROLLUP'!L$12</f>
        <v>2032</v>
      </c>
      <c r="E3887" s="366" t="s">
        <v>1683</v>
      </c>
      <c r="F3887" s="366" t="s">
        <v>25</v>
      </c>
      <c r="G3887" s="348" t="str">
        <f>"'"&amp;$C3887&amp;"'!$E$52:$Y$52"</f>
        <v>'BLD_RG'!$E$52:$Y$52</v>
      </c>
      <c r="H3887" s="381">
        <f ca="1">IF(IFERROR(INDEX(DATA_PROPERTY_MASTER!$E$5:$E$21,MATCH($C3887,DATA_PROPERTY_MASTER!$A$5:$A$21,0))="Yes",FALSE),IFERROR(INDEX(INDIRECT("'"&amp;$C3887&amp;"'!$E$52:$Y$52"),1,MATCH($D3887,INDIRECT("'"&amp;$C3887&amp;"'!$E$12:$Y$12"),0)),0),0)</f>
        <v>85766.729930231697</v>
      </c>
      <c r="I3887" s="366" t="s">
        <v>1685</v>
      </c>
      <c r="J3887" s="348" t="str">
        <f t="shared" ca="1" si="120"/>
        <v>OK</v>
      </c>
      <c r="K3887" s="366" t="s">
        <v>1710</v>
      </c>
      <c r="L3887" s="366" t="s">
        <v>2246</v>
      </c>
      <c r="M3887" s="350" t="str">
        <f>IF($B3887="Portfolio","Portfolio",IFERROR(INDEX(DATA_ASSET_CLASSIFICATION!$B$8:$B$24,MATCH($C3887,DATA_ASSET_CLASSIFICATION!$A$8:$A$24,0)),"Review"))</f>
        <v>Rosemary Green</v>
      </c>
      <c r="N3887" s="350" t="str">
        <f ca="1">IF($B3887="Portfolio","Portfolio",IFERROR(INDEX(DATA_ASSET_CLASSIFICATION!$U$8:$U$24,MATCH($C3887,DATA_ASSET_CLASSIFICATION!$A$8:$A$24,0)),"Review"))</f>
        <v>Refi Watch</v>
      </c>
      <c r="O3887" s="350" t="str">
        <f ca="1">IF($B3887="Portfolio","Portfolio",IFERROR(INDEX(DATA_ASSET_CLASSIFICATION!$AB$8:$AB$13,MATCH($N3887,DATA_ASSET_CLASSIFICATION!$AA$8:$AA$13,0)),"Review"))</f>
        <v>Bucket 2 · Legacy</v>
      </c>
      <c r="P3887" s="350" t="str">
        <f>IF($B3887="Portfolio","Portfolio",IFERROR(INDEX(DATA_ASSET_CLASSIFICATION!$C$8:$C$24,MATCH($C3887,DATA_ASSET_CLASSIFICATION!$A$8:$A$24,0)),"Review"))</f>
        <v>Yes</v>
      </c>
      <c r="Q3887" s="350" t="str">
        <f t="shared" ca="1" si="121"/>
        <v>OK</v>
      </c>
    </row>
    <row r="3888" spans="1:17">
      <c r="A3888" s="366" t="s">
        <v>5844</v>
      </c>
      <c r="B3888" s="366" t="s">
        <v>231</v>
      </c>
      <c r="C3888" s="348" t="str">
        <f>DATA_PROPERTY_MASTER!$A$17</f>
        <v>BLD_RG</v>
      </c>
      <c r="D3888" s="380">
        <f>'00_PORTFOLIO ROLLUP'!L$12</f>
        <v>2032</v>
      </c>
      <c r="E3888" s="366" t="s">
        <v>1683</v>
      </c>
      <c r="F3888" s="366" t="s">
        <v>27</v>
      </c>
      <c r="G3888" s="348" t="str">
        <f>"'"&amp;$C3888&amp;"'!$E$54:$Y$54"</f>
        <v>'BLD_RG'!$E$54:$Y$54</v>
      </c>
      <c r="H3888" s="381">
        <f ca="1">IF(IFERROR(INDEX(DATA_PROPERTY_MASTER!$E$5:$E$21,MATCH($C3888,DATA_PROPERTY_MASTER!$A$5:$A$21,0))="Yes",FALSE),IFERROR(INDEX(INDIRECT("'"&amp;$C3888&amp;"'!$E$54:$Y$54"),1,MATCH($D3888,INDIRECT("'"&amp;$C3888&amp;"'!$E$12:$Y$12"),0)),0),0)</f>
        <v>51460.037958139015</v>
      </c>
      <c r="I3888" s="366" t="s">
        <v>1690</v>
      </c>
      <c r="J3888" s="348" t="str">
        <f t="shared" ca="1" si="120"/>
        <v>OK</v>
      </c>
      <c r="K3888" s="366" t="s">
        <v>1714</v>
      </c>
      <c r="L3888" s="366" t="s">
        <v>2248</v>
      </c>
      <c r="M3888" s="350" t="str">
        <f>IF($B3888="Portfolio","Portfolio",IFERROR(INDEX(DATA_ASSET_CLASSIFICATION!$B$8:$B$24,MATCH($C3888,DATA_ASSET_CLASSIFICATION!$A$8:$A$24,0)),"Review"))</f>
        <v>Rosemary Green</v>
      </c>
      <c r="N3888" s="350" t="str">
        <f ca="1">IF($B3888="Portfolio","Portfolio",IFERROR(INDEX(DATA_ASSET_CLASSIFICATION!$U$8:$U$24,MATCH($C3888,DATA_ASSET_CLASSIFICATION!$A$8:$A$24,0)),"Review"))</f>
        <v>Refi Watch</v>
      </c>
      <c r="O3888" s="350" t="str">
        <f ca="1">IF($B3888="Portfolio","Portfolio",IFERROR(INDEX(DATA_ASSET_CLASSIFICATION!$AB$8:$AB$13,MATCH($N3888,DATA_ASSET_CLASSIFICATION!$AA$8:$AA$13,0)),"Review"))</f>
        <v>Bucket 2 · Legacy</v>
      </c>
      <c r="P3888" s="350" t="str">
        <f>IF($B3888="Portfolio","Portfolio",IFERROR(INDEX(DATA_ASSET_CLASSIFICATION!$C$8:$C$24,MATCH($C3888,DATA_ASSET_CLASSIFICATION!$A$8:$A$24,0)),"Review"))</f>
        <v>Yes</v>
      </c>
      <c r="Q3888" s="350" t="str">
        <f t="shared" ca="1" si="121"/>
        <v>OK</v>
      </c>
    </row>
    <row r="3889" spans="1:17">
      <c r="A3889" s="366" t="s">
        <v>5845</v>
      </c>
      <c r="B3889" s="366" t="s">
        <v>231</v>
      </c>
      <c r="C3889" s="348" t="str">
        <f>DATA_PROPERTY_MASTER!$A$17</f>
        <v>BLD_RG</v>
      </c>
      <c r="D3889" s="380">
        <f>'00_PORTFOLIO ROLLUP'!L$12</f>
        <v>2032</v>
      </c>
      <c r="E3889" s="366" t="s">
        <v>1683</v>
      </c>
      <c r="F3889" s="366" t="s">
        <v>29</v>
      </c>
      <c r="G3889" s="348" t="str">
        <f>"'"&amp;$C3889&amp;"'!$E$56:$Y$56"</f>
        <v>'BLD_RG'!$E$56:$Y$56</v>
      </c>
      <c r="H3889" s="381">
        <f ca="1">IF(IFERROR(INDEX(DATA_PROPERTY_MASTER!$E$5:$E$21,MATCH($C3889,DATA_PROPERTY_MASTER!$A$5:$A$21,0))="Yes",FALSE),IFERROR(INDEX(INDIRECT("'"&amp;$C3889&amp;"'!$E$56:$Y$56"),1,MATCH($D3889,INDIRECT("'"&amp;$C3889&amp;"'!$E$12:$Y$12"),0)),0),0)</f>
        <v>34306.691972092682</v>
      </c>
      <c r="I3889" s="366" t="s">
        <v>1685</v>
      </c>
      <c r="J3889" s="348" t="str">
        <f t="shared" ca="1" si="120"/>
        <v>OK</v>
      </c>
      <c r="K3889" s="366" t="s">
        <v>1718</v>
      </c>
      <c r="L3889" s="366" t="s">
        <v>2250</v>
      </c>
      <c r="M3889" s="350" t="str">
        <f>IF($B3889="Portfolio","Portfolio",IFERROR(INDEX(DATA_ASSET_CLASSIFICATION!$B$8:$B$24,MATCH($C3889,DATA_ASSET_CLASSIFICATION!$A$8:$A$24,0)),"Review"))</f>
        <v>Rosemary Green</v>
      </c>
      <c r="N3889" s="350" t="str">
        <f ca="1">IF($B3889="Portfolio","Portfolio",IFERROR(INDEX(DATA_ASSET_CLASSIFICATION!$U$8:$U$24,MATCH($C3889,DATA_ASSET_CLASSIFICATION!$A$8:$A$24,0)),"Review"))</f>
        <v>Refi Watch</v>
      </c>
      <c r="O3889" s="350" t="str">
        <f ca="1">IF($B3889="Portfolio","Portfolio",IFERROR(INDEX(DATA_ASSET_CLASSIFICATION!$AB$8:$AB$13,MATCH($N3889,DATA_ASSET_CLASSIFICATION!$AA$8:$AA$13,0)),"Review"))</f>
        <v>Bucket 2 · Legacy</v>
      </c>
      <c r="P3889" s="350" t="str">
        <f>IF($B3889="Portfolio","Portfolio",IFERROR(INDEX(DATA_ASSET_CLASSIFICATION!$C$8:$C$24,MATCH($C3889,DATA_ASSET_CLASSIFICATION!$A$8:$A$24,0)),"Review"))</f>
        <v>Yes</v>
      </c>
      <c r="Q3889" s="350" t="str">
        <f t="shared" ca="1" si="121"/>
        <v>OK</v>
      </c>
    </row>
    <row r="3890" spans="1:17">
      <c r="A3890" s="366" t="s">
        <v>5846</v>
      </c>
      <c r="B3890" s="366" t="s">
        <v>231</v>
      </c>
      <c r="C3890" s="348" t="str">
        <f>DATA_PROPERTY_MASTER!$A$17</f>
        <v>BLD_RG</v>
      </c>
      <c r="D3890" s="380">
        <f>'00_PORTFOLIO ROLLUP'!L$12</f>
        <v>2032</v>
      </c>
      <c r="E3890" s="366" t="s">
        <v>1721</v>
      </c>
      <c r="F3890" s="366" t="s">
        <v>31</v>
      </c>
      <c r="G3890" s="348" t="str">
        <f>"'"&amp;$C3890&amp;"'!$E$61:$Y$61"</f>
        <v>'BLD_RG'!$E$61:$Y$61</v>
      </c>
      <c r="H3890" s="381">
        <f ca="1">IF(IFERROR(INDEX(DATA_PROPERTY_MASTER!$E$5:$E$21,MATCH($C3890,DATA_PROPERTY_MASTER!$A$5:$A$21,0))="Yes",FALSE),IFERROR(INDEX(INDIRECT("'"&amp;$C3890&amp;"'!$E$61:$Y$61"),1,MATCH($D3890,INDIRECT("'"&amp;$C3890&amp;"'!$E$12:$Y$12"),0)),0),0)</f>
        <v>0</v>
      </c>
      <c r="I3890" s="366" t="s">
        <v>1690</v>
      </c>
      <c r="J3890" s="348" t="str">
        <f t="shared" ca="1" si="120"/>
        <v>OK</v>
      </c>
      <c r="K3890" s="366" t="s">
        <v>1723</v>
      </c>
      <c r="L3890" s="366" t="s">
        <v>2252</v>
      </c>
      <c r="M3890" s="350" t="str">
        <f>IF($B3890="Portfolio","Portfolio",IFERROR(INDEX(DATA_ASSET_CLASSIFICATION!$B$8:$B$24,MATCH($C3890,DATA_ASSET_CLASSIFICATION!$A$8:$A$24,0)),"Review"))</f>
        <v>Rosemary Green</v>
      </c>
      <c r="N3890" s="350" t="str">
        <f ca="1">IF($B3890="Portfolio","Portfolio",IFERROR(INDEX(DATA_ASSET_CLASSIFICATION!$U$8:$U$24,MATCH($C3890,DATA_ASSET_CLASSIFICATION!$A$8:$A$24,0)),"Review"))</f>
        <v>Refi Watch</v>
      </c>
      <c r="O3890" s="350" t="str">
        <f ca="1">IF($B3890="Portfolio","Portfolio",IFERROR(INDEX(DATA_ASSET_CLASSIFICATION!$AB$8:$AB$13,MATCH($N3890,DATA_ASSET_CLASSIFICATION!$AA$8:$AA$13,0)),"Review"))</f>
        <v>Bucket 2 · Legacy</v>
      </c>
      <c r="P3890" s="350" t="str">
        <f>IF($B3890="Portfolio","Portfolio",IFERROR(INDEX(DATA_ASSET_CLASSIFICATION!$C$8:$C$24,MATCH($C3890,DATA_ASSET_CLASSIFICATION!$A$8:$A$24,0)),"Review"))</f>
        <v>Yes</v>
      </c>
      <c r="Q3890" s="350" t="str">
        <f t="shared" ca="1" si="121"/>
        <v>OK</v>
      </c>
    </row>
    <row r="3891" spans="1:17">
      <c r="A3891" s="366" t="s">
        <v>5847</v>
      </c>
      <c r="B3891" s="366" t="s">
        <v>231</v>
      </c>
      <c r="C3891" s="348" t="str">
        <f>DATA_PROPERTY_MASTER!$A$17</f>
        <v>BLD_RG</v>
      </c>
      <c r="D3891" s="380">
        <f>'00_PORTFOLIO ROLLUP'!L$12</f>
        <v>2032</v>
      </c>
      <c r="E3891" s="366" t="s">
        <v>1721</v>
      </c>
      <c r="F3891" s="366" t="s">
        <v>33</v>
      </c>
      <c r="G3891" s="348" t="str">
        <f>"'"&amp;$C3891&amp;"'!$E$62:$Y$62"</f>
        <v>'BLD_RG'!$E$62:$Y$62</v>
      </c>
      <c r="H3891" s="381">
        <f ca="1">IF(IFERROR(INDEX(DATA_PROPERTY_MASTER!$E$5:$E$21,MATCH($C3891,DATA_PROPERTY_MASTER!$A$5:$A$21,0))="Yes",FALSE),IFERROR(INDEX(INDIRECT("'"&amp;$C3891&amp;"'!$E$62:$Y$62"),1,MATCH($D3891,INDIRECT("'"&amp;$C3891&amp;"'!$E$12:$Y$12"),0)),0),0)</f>
        <v>0</v>
      </c>
      <c r="I3891" s="366" t="s">
        <v>1685</v>
      </c>
      <c r="J3891" s="348" t="str">
        <f t="shared" ca="1" si="120"/>
        <v>OK</v>
      </c>
      <c r="K3891" s="366" t="s">
        <v>1727</v>
      </c>
      <c r="L3891" s="366" t="s">
        <v>2254</v>
      </c>
      <c r="M3891" s="350" t="str">
        <f>IF($B3891="Portfolio","Portfolio",IFERROR(INDEX(DATA_ASSET_CLASSIFICATION!$B$8:$B$24,MATCH($C3891,DATA_ASSET_CLASSIFICATION!$A$8:$A$24,0)),"Review"))</f>
        <v>Rosemary Green</v>
      </c>
      <c r="N3891" s="350" t="str">
        <f ca="1">IF($B3891="Portfolio","Portfolio",IFERROR(INDEX(DATA_ASSET_CLASSIFICATION!$U$8:$U$24,MATCH($C3891,DATA_ASSET_CLASSIFICATION!$A$8:$A$24,0)),"Review"))</f>
        <v>Refi Watch</v>
      </c>
      <c r="O3891" s="350" t="str">
        <f ca="1">IF($B3891="Portfolio","Portfolio",IFERROR(INDEX(DATA_ASSET_CLASSIFICATION!$AB$8:$AB$13,MATCH($N3891,DATA_ASSET_CLASSIFICATION!$AA$8:$AA$13,0)),"Review"))</f>
        <v>Bucket 2 · Legacy</v>
      </c>
      <c r="P3891" s="350" t="str">
        <f>IF($B3891="Portfolio","Portfolio",IFERROR(INDEX(DATA_ASSET_CLASSIFICATION!$C$8:$C$24,MATCH($C3891,DATA_ASSET_CLASSIFICATION!$A$8:$A$24,0)),"Review"))</f>
        <v>Yes</v>
      </c>
      <c r="Q3891" s="350" t="str">
        <f t="shared" ca="1" si="121"/>
        <v>OK</v>
      </c>
    </row>
    <row r="3892" spans="1:17">
      <c r="A3892" s="366" t="s">
        <v>5848</v>
      </c>
      <c r="B3892" s="366" t="s">
        <v>231</v>
      </c>
      <c r="C3892" s="348" t="str">
        <f>DATA_PROPERTY_MASTER!$A$17</f>
        <v>BLD_RG</v>
      </c>
      <c r="D3892" s="380">
        <f>'00_PORTFOLIO ROLLUP'!L$12</f>
        <v>2032</v>
      </c>
      <c r="E3892" s="366" t="s">
        <v>1721</v>
      </c>
      <c r="F3892" s="366" t="s">
        <v>35</v>
      </c>
      <c r="G3892" s="348" t="str">
        <f>"'"&amp;$C3892&amp;"'!$E$63:$Y$63"</f>
        <v>'BLD_RG'!$E$63:$Y$63</v>
      </c>
      <c r="H3892" s="381">
        <f ca="1">IF(IFERROR(INDEX(DATA_PROPERTY_MASTER!$E$5:$E$21,MATCH($C3892,DATA_PROPERTY_MASTER!$A$5:$A$21,0))="Yes",FALSE),IFERROR(INDEX(INDIRECT("'"&amp;$C3892&amp;"'!$E$63:$Y$63"),1,MATCH($D3892,INDIRECT("'"&amp;$C3892&amp;"'!$E$12:$Y$12"),0)),0),0)</f>
        <v>0</v>
      </c>
      <c r="I3892" s="366" t="s">
        <v>1731</v>
      </c>
      <c r="J3892" s="348" t="str">
        <f t="shared" ca="1" si="120"/>
        <v>OK</v>
      </c>
      <c r="K3892" s="366" t="s">
        <v>1732</v>
      </c>
      <c r="L3892" s="366" t="s">
        <v>2256</v>
      </c>
      <c r="M3892" s="350" t="str">
        <f>IF($B3892="Portfolio","Portfolio",IFERROR(INDEX(DATA_ASSET_CLASSIFICATION!$B$8:$B$24,MATCH($C3892,DATA_ASSET_CLASSIFICATION!$A$8:$A$24,0)),"Review"))</f>
        <v>Rosemary Green</v>
      </c>
      <c r="N3892" s="350" t="str">
        <f ca="1">IF($B3892="Portfolio","Portfolio",IFERROR(INDEX(DATA_ASSET_CLASSIFICATION!$U$8:$U$24,MATCH($C3892,DATA_ASSET_CLASSIFICATION!$A$8:$A$24,0)),"Review"))</f>
        <v>Refi Watch</v>
      </c>
      <c r="O3892" s="350" t="str">
        <f ca="1">IF($B3892="Portfolio","Portfolio",IFERROR(INDEX(DATA_ASSET_CLASSIFICATION!$AB$8:$AB$13,MATCH($N3892,DATA_ASSET_CLASSIFICATION!$AA$8:$AA$13,0)),"Review"))</f>
        <v>Bucket 2 · Legacy</v>
      </c>
      <c r="P3892" s="350" t="str">
        <f>IF($B3892="Portfolio","Portfolio",IFERROR(INDEX(DATA_ASSET_CLASSIFICATION!$C$8:$C$24,MATCH($C3892,DATA_ASSET_CLASSIFICATION!$A$8:$A$24,0)),"Review"))</f>
        <v>Yes</v>
      </c>
      <c r="Q3892" s="350" t="str">
        <f t="shared" ca="1" si="121"/>
        <v>OK</v>
      </c>
    </row>
    <row r="3893" spans="1:17">
      <c r="A3893" s="366" t="s">
        <v>5849</v>
      </c>
      <c r="B3893" s="366" t="s">
        <v>231</v>
      </c>
      <c r="C3893" s="348" t="str">
        <f>DATA_PROPERTY_MASTER!$A$17</f>
        <v>BLD_RG</v>
      </c>
      <c r="D3893" s="380">
        <f>'00_PORTFOLIO ROLLUP'!L$12</f>
        <v>2032</v>
      </c>
      <c r="E3893" s="366" t="s">
        <v>1721</v>
      </c>
      <c r="F3893" s="366" t="s">
        <v>37</v>
      </c>
      <c r="G3893" s="348" t="str">
        <f>"'"&amp;$C3893&amp;"'!$E$63:$Y$63"</f>
        <v>'BLD_RG'!$E$63:$Y$63</v>
      </c>
      <c r="H3893" s="381">
        <f ca="1">IF(IFERROR(INDEX(DATA_PROPERTY_MASTER!$E$5:$E$21,MATCH($C3893,DATA_PROPERTY_MASTER!$A$5:$A$21,0))="Yes",FALSE),MAX(IFERROR(INDEX(INDIRECT("'"&amp;$C3893&amp;"'!$E$63:$Y$63"),1,MATCH($D3893,INDIRECT("'"&amp;$C3893&amp;"'!$E$12:$Y$12"),0)),0),0),0)</f>
        <v>0</v>
      </c>
      <c r="I3893" s="366" t="s">
        <v>1685</v>
      </c>
      <c r="J3893" s="348" t="str">
        <f t="shared" ca="1" si="120"/>
        <v>OK</v>
      </c>
      <c r="K3893" s="366" t="s">
        <v>1735</v>
      </c>
      <c r="L3893" s="366" t="s">
        <v>2258</v>
      </c>
      <c r="M3893" s="350" t="str">
        <f>IF($B3893="Portfolio","Portfolio",IFERROR(INDEX(DATA_ASSET_CLASSIFICATION!$B$8:$B$24,MATCH($C3893,DATA_ASSET_CLASSIFICATION!$A$8:$A$24,0)),"Review"))</f>
        <v>Rosemary Green</v>
      </c>
      <c r="N3893" s="350" t="str">
        <f ca="1">IF($B3893="Portfolio","Portfolio",IFERROR(INDEX(DATA_ASSET_CLASSIFICATION!$U$8:$U$24,MATCH($C3893,DATA_ASSET_CLASSIFICATION!$A$8:$A$24,0)),"Review"))</f>
        <v>Refi Watch</v>
      </c>
      <c r="O3893" s="350" t="str">
        <f ca="1">IF($B3893="Portfolio","Portfolio",IFERROR(INDEX(DATA_ASSET_CLASSIFICATION!$AB$8:$AB$13,MATCH($N3893,DATA_ASSET_CLASSIFICATION!$AA$8:$AA$13,0)),"Review"))</f>
        <v>Bucket 2 · Legacy</v>
      </c>
      <c r="P3893" s="350" t="str">
        <f>IF($B3893="Portfolio","Portfolio",IFERROR(INDEX(DATA_ASSET_CLASSIFICATION!$C$8:$C$24,MATCH($C3893,DATA_ASSET_CLASSIFICATION!$A$8:$A$24,0)),"Review"))</f>
        <v>Yes</v>
      </c>
      <c r="Q3893" s="350" t="str">
        <f t="shared" ca="1" si="121"/>
        <v>OK</v>
      </c>
    </row>
    <row r="3894" spans="1:17">
      <c r="A3894" s="366" t="s">
        <v>5850</v>
      </c>
      <c r="B3894" s="366" t="s">
        <v>231</v>
      </c>
      <c r="C3894" s="348" t="str">
        <f>DATA_PROPERTY_MASTER!$A$17</f>
        <v>BLD_RG</v>
      </c>
      <c r="D3894" s="380">
        <f>'00_PORTFOLIO ROLLUP'!L$12</f>
        <v>2032</v>
      </c>
      <c r="E3894" s="366" t="s">
        <v>1721</v>
      </c>
      <c r="F3894" s="366" t="s">
        <v>39</v>
      </c>
      <c r="G3894" s="348" t="str">
        <f>"'"&amp;$C3894&amp;"'!$E$63:$Y$63"</f>
        <v>'BLD_RG'!$E$63:$Y$63</v>
      </c>
      <c r="H3894" s="381">
        <f ca="1">IF(IFERROR(INDEX(DATA_PROPERTY_MASTER!$E$5:$E$21,MATCH($C3894,DATA_PROPERTY_MASTER!$A$5:$A$21,0))="Yes",FALSE),MAX(-IFERROR(INDEX(INDIRECT("'"&amp;$C3894&amp;"'!$E$63:$Y$63"),1,MATCH($D3894,INDIRECT("'"&amp;$C3894&amp;"'!$E$12:$Y$12"),0)),0),0),0)</f>
        <v>0</v>
      </c>
      <c r="I3894" s="366" t="s">
        <v>1690</v>
      </c>
      <c r="J3894" s="348" t="str">
        <f t="shared" ca="1" si="120"/>
        <v>OK</v>
      </c>
      <c r="K3894" s="366" t="s">
        <v>1738</v>
      </c>
      <c r="L3894" s="366" t="s">
        <v>2260</v>
      </c>
      <c r="M3894" s="350" t="str">
        <f>IF($B3894="Portfolio","Portfolio",IFERROR(INDEX(DATA_ASSET_CLASSIFICATION!$B$8:$B$24,MATCH($C3894,DATA_ASSET_CLASSIFICATION!$A$8:$A$24,0)),"Review"))</f>
        <v>Rosemary Green</v>
      </c>
      <c r="N3894" s="350" t="str">
        <f ca="1">IF($B3894="Portfolio","Portfolio",IFERROR(INDEX(DATA_ASSET_CLASSIFICATION!$U$8:$U$24,MATCH($C3894,DATA_ASSET_CLASSIFICATION!$A$8:$A$24,0)),"Review"))</f>
        <v>Refi Watch</v>
      </c>
      <c r="O3894" s="350" t="str">
        <f ca="1">IF($B3894="Portfolio","Portfolio",IFERROR(INDEX(DATA_ASSET_CLASSIFICATION!$AB$8:$AB$13,MATCH($N3894,DATA_ASSET_CLASSIFICATION!$AA$8:$AA$13,0)),"Review"))</f>
        <v>Bucket 2 · Legacy</v>
      </c>
      <c r="P3894" s="350" t="str">
        <f>IF($B3894="Portfolio","Portfolio",IFERROR(INDEX(DATA_ASSET_CLASSIFICATION!$C$8:$C$24,MATCH($C3894,DATA_ASSET_CLASSIFICATION!$A$8:$A$24,0)),"Review"))</f>
        <v>Yes</v>
      </c>
      <c r="Q3894" s="350" t="str">
        <f t="shared" ca="1" si="121"/>
        <v>OK</v>
      </c>
    </row>
    <row r="3895" spans="1:17">
      <c r="A3895" s="366" t="s">
        <v>5851</v>
      </c>
      <c r="B3895" s="366" t="s">
        <v>231</v>
      </c>
      <c r="C3895" s="348" t="str">
        <f>DATA_PROPERTY_MASTER!$A$17</f>
        <v>BLD_RG</v>
      </c>
      <c r="D3895" s="380">
        <f>'00_PORTFOLIO ROLLUP'!L$12</f>
        <v>2032</v>
      </c>
      <c r="E3895" s="366" t="s">
        <v>1741</v>
      </c>
      <c r="F3895" s="366" t="s">
        <v>41</v>
      </c>
      <c r="G3895" s="348" t="str">
        <f>"'"&amp;$C3895&amp;"'!rows 56 + positive row 63"</f>
        <v>'BLD_RG'!rows 56 + positive row 63</v>
      </c>
      <c r="H3895" s="381">
        <f ca="1">IF(IFERROR(INDEX(DATA_PROPERTY_MASTER!$E$5:$E$21,MATCH($C3895,DATA_PROPERTY_MASTER!$A$5:$A$21,0))="Yes",FALSE),IFERROR(INDEX(INDIRECT("'"&amp;$C3895&amp;"'!$E$56:$Y$56"),1,MATCH($D3895,INDIRECT("'"&amp;$C3895&amp;"'!$E$12:$Y$12"),0)),0)+MAX(IFERROR(INDEX(INDIRECT("'"&amp;$C3895&amp;"'!$E$63:$Y$63"),1,MATCH($D3895,INDIRECT("'"&amp;$C3895&amp;"'!$E$12:$Y$12"),0)),0),0),0)</f>
        <v>34306.691972092682</v>
      </c>
      <c r="I3895" s="366" t="s">
        <v>1685</v>
      </c>
      <c r="J3895" s="348" t="str">
        <f t="shared" ca="1" si="120"/>
        <v>OK</v>
      </c>
      <c r="K3895" s="366" t="s">
        <v>1742</v>
      </c>
      <c r="L3895" s="366" t="s">
        <v>2262</v>
      </c>
      <c r="M3895" s="350" t="str">
        <f>IF($B3895="Portfolio","Portfolio",IFERROR(INDEX(DATA_ASSET_CLASSIFICATION!$B$8:$B$24,MATCH($C3895,DATA_ASSET_CLASSIFICATION!$A$8:$A$24,0)),"Review"))</f>
        <v>Rosemary Green</v>
      </c>
      <c r="N3895" s="350" t="str">
        <f ca="1">IF($B3895="Portfolio","Portfolio",IFERROR(INDEX(DATA_ASSET_CLASSIFICATION!$U$8:$U$24,MATCH($C3895,DATA_ASSET_CLASSIFICATION!$A$8:$A$24,0)),"Review"))</f>
        <v>Refi Watch</v>
      </c>
      <c r="O3895" s="350" t="str">
        <f ca="1">IF($B3895="Portfolio","Portfolio",IFERROR(INDEX(DATA_ASSET_CLASSIFICATION!$AB$8:$AB$13,MATCH($N3895,DATA_ASSET_CLASSIFICATION!$AA$8:$AA$13,0)),"Review"))</f>
        <v>Bucket 2 · Legacy</v>
      </c>
      <c r="P3895" s="350" t="str">
        <f>IF($B3895="Portfolio","Portfolio",IFERROR(INDEX(DATA_ASSET_CLASSIFICATION!$C$8:$C$24,MATCH($C3895,DATA_ASSET_CLASSIFICATION!$A$8:$A$24,0)),"Review"))</f>
        <v>Yes</v>
      </c>
      <c r="Q3895" s="350" t="str">
        <f t="shared" ca="1" si="121"/>
        <v>OK</v>
      </c>
    </row>
    <row r="3896" spans="1:17">
      <c r="A3896" s="366" t="s">
        <v>5852</v>
      </c>
      <c r="B3896" s="366" t="s">
        <v>231</v>
      </c>
      <c r="C3896" s="348" t="str">
        <f>DATA_PROPERTY_MASTER!$A$17</f>
        <v>BLD_RG</v>
      </c>
      <c r="D3896" s="380">
        <f>'00_PORTFOLIO ROLLUP'!L$12</f>
        <v>2032</v>
      </c>
      <c r="E3896" s="366" t="s">
        <v>1741</v>
      </c>
      <c r="F3896" s="366" t="s">
        <v>43</v>
      </c>
      <c r="G3896" s="348" t="str">
        <f>"'"&amp;$C3896&amp;"'!$E$68:$Y$68"</f>
        <v>'BLD_RG'!$E$68:$Y$68</v>
      </c>
      <c r="H3896" s="381">
        <f ca="1">IF(IFERROR(INDEX(DATA_PROPERTY_MASTER!$E$5:$E$21,MATCH($C3896,DATA_PROPERTY_MASTER!$A$5:$A$21,0))="Yes",FALSE),IFERROR(INDEX(INDIRECT("'"&amp;$C3896&amp;"'!$E$68:$Y$68"),1,MATCH($D3896,INDIRECT("'"&amp;$C3896&amp;"'!$E$12:$Y$12"),0)),0),0)</f>
        <v>34306.691972092682</v>
      </c>
      <c r="I3896" s="366" t="s">
        <v>1731</v>
      </c>
      <c r="J3896" s="348" t="str">
        <f t="shared" ca="1" si="120"/>
        <v>OK</v>
      </c>
      <c r="K3896" s="366" t="s">
        <v>1746</v>
      </c>
      <c r="L3896" s="366" t="s">
        <v>2264</v>
      </c>
      <c r="M3896" s="350" t="str">
        <f>IF($B3896="Portfolio","Portfolio",IFERROR(INDEX(DATA_ASSET_CLASSIFICATION!$B$8:$B$24,MATCH($C3896,DATA_ASSET_CLASSIFICATION!$A$8:$A$24,0)),"Review"))</f>
        <v>Rosemary Green</v>
      </c>
      <c r="N3896" s="350" t="str">
        <f ca="1">IF($B3896="Portfolio","Portfolio",IFERROR(INDEX(DATA_ASSET_CLASSIFICATION!$U$8:$U$24,MATCH($C3896,DATA_ASSET_CLASSIFICATION!$A$8:$A$24,0)),"Review"))</f>
        <v>Refi Watch</v>
      </c>
      <c r="O3896" s="350" t="str">
        <f ca="1">IF($B3896="Portfolio","Portfolio",IFERROR(INDEX(DATA_ASSET_CLASSIFICATION!$AB$8:$AB$13,MATCH($N3896,DATA_ASSET_CLASSIFICATION!$AA$8:$AA$13,0)),"Review"))</f>
        <v>Bucket 2 · Legacy</v>
      </c>
      <c r="P3896" s="350" t="str">
        <f>IF($B3896="Portfolio","Portfolio",IFERROR(INDEX(DATA_ASSET_CLASSIFICATION!$C$8:$C$24,MATCH($C3896,DATA_ASSET_CLASSIFICATION!$A$8:$A$24,0)),"Review"))</f>
        <v>Yes</v>
      </c>
      <c r="Q3896" s="350" t="str">
        <f t="shared" ca="1" si="121"/>
        <v>OK</v>
      </c>
    </row>
    <row r="3897" spans="1:17">
      <c r="A3897" s="366" t="s">
        <v>5853</v>
      </c>
      <c r="B3897" s="366" t="s">
        <v>231</v>
      </c>
      <c r="C3897" s="348" t="str">
        <f>DATA_PROPERTY_MASTER!$A$17</f>
        <v>BLD_RG</v>
      </c>
      <c r="D3897" s="380">
        <f>'00_PORTFOLIO ROLLUP'!L$12</f>
        <v>2032</v>
      </c>
      <c r="E3897" s="366" t="s">
        <v>1741</v>
      </c>
      <c r="F3897" s="366" t="s">
        <v>1749</v>
      </c>
      <c r="G3897" s="348" t="str">
        <f>"'"&amp;$C3897&amp;"'!rows 56, 63, 68"</f>
        <v>'BLD_RG'!rows 56, 63, 68</v>
      </c>
      <c r="H3897" s="381">
        <f ca="1">IF(IFERROR(INDEX(DATA_PROPERTY_MASTER!$E$5:$E$21,MATCH($C3897,DATA_PROPERTY_MASTER!$A$5:$A$21,0))="Yes",FALSE),(IFERROR(INDEX(INDIRECT("'"&amp;$C3897&amp;"'!$E$56:$Y$56"),1,MATCH($D3897,INDIRECT("'"&amp;$C3897&amp;"'!$E$12:$Y$12"),0)),0)+MAX(IFERROR(INDEX(INDIRECT("'"&amp;$C3897&amp;"'!$E$63:$Y$63"),1,MATCH($D3897,INDIRECT("'"&amp;$C3897&amp;"'!$E$12:$Y$12"),0)),0),0))-(IFERROR(INDEX(INDIRECT("'"&amp;$C3897&amp;"'!$E$68:$Y$68"),1,MATCH($D3897,INDIRECT("'"&amp;$C3897&amp;"'!$E$12:$Y$12"),0)),0)),0)</f>
        <v>0</v>
      </c>
      <c r="I3897" s="366" t="s">
        <v>1750</v>
      </c>
      <c r="J3897" s="348" t="str">
        <f t="shared" ca="1" si="120"/>
        <v>OK</v>
      </c>
      <c r="K3897" s="366" t="s">
        <v>1751</v>
      </c>
      <c r="L3897" s="366" t="s">
        <v>2266</v>
      </c>
      <c r="M3897" s="350" t="str">
        <f>IF($B3897="Portfolio","Portfolio",IFERROR(INDEX(DATA_ASSET_CLASSIFICATION!$B$8:$B$24,MATCH($C3897,DATA_ASSET_CLASSIFICATION!$A$8:$A$24,0)),"Review"))</f>
        <v>Rosemary Green</v>
      </c>
      <c r="N3897" s="350" t="str">
        <f ca="1">IF($B3897="Portfolio","Portfolio",IFERROR(INDEX(DATA_ASSET_CLASSIFICATION!$U$8:$U$24,MATCH($C3897,DATA_ASSET_CLASSIFICATION!$A$8:$A$24,0)),"Review"))</f>
        <v>Refi Watch</v>
      </c>
      <c r="O3897" s="350" t="str">
        <f ca="1">IF($B3897="Portfolio","Portfolio",IFERROR(INDEX(DATA_ASSET_CLASSIFICATION!$AB$8:$AB$13,MATCH($N3897,DATA_ASSET_CLASSIFICATION!$AA$8:$AA$13,0)),"Review"))</f>
        <v>Bucket 2 · Legacy</v>
      </c>
      <c r="P3897" s="350" t="str">
        <f>IF($B3897="Portfolio","Portfolio",IFERROR(INDEX(DATA_ASSET_CLASSIFICATION!$C$8:$C$24,MATCH($C3897,DATA_ASSET_CLASSIFICATION!$A$8:$A$24,0)),"Review"))</f>
        <v>Yes</v>
      </c>
      <c r="Q3897" s="350" t="str">
        <f t="shared" ca="1" si="121"/>
        <v>OK</v>
      </c>
    </row>
    <row r="3898" spans="1:17">
      <c r="A3898" s="366" t="s">
        <v>5854</v>
      </c>
      <c r="B3898" s="366" t="s">
        <v>231</v>
      </c>
      <c r="C3898" s="348" t="str">
        <f>DATA_PROPERTY_MASTER!$A$17</f>
        <v>BLD_RG</v>
      </c>
      <c r="D3898" s="380">
        <f>'00_PORTFOLIO ROLLUP'!M$12</f>
        <v>2033</v>
      </c>
      <c r="E3898" s="366" t="s">
        <v>1683</v>
      </c>
      <c r="F3898" s="366" t="s">
        <v>341</v>
      </c>
      <c r="G3898" s="348" t="str">
        <f>"'"&amp;$C3898&amp;"'!$E$24:$Y$24"</f>
        <v>'BLD_RG'!$E$24:$Y$24</v>
      </c>
      <c r="H3898" s="381">
        <f ca="1">IF(IFERROR(INDEX(DATA_PROPERTY_MASTER!$E$5:$E$21,MATCH($C3898,DATA_PROPERTY_MASTER!$A$5:$A$21,0))="Yes",FALSE),IFERROR(INDEX(INDIRECT("'"&amp;$C3898&amp;"'!$E$24:$Y$24"),1,MATCH($D3898,INDIRECT("'"&amp;$C3898&amp;"'!$E$12:$Y$12"),0)),0),0)</f>
        <v>526188.20218648436</v>
      </c>
      <c r="I3898" s="366" t="s">
        <v>1685</v>
      </c>
      <c r="J3898" s="348" t="str">
        <f t="shared" ca="1" si="120"/>
        <v>OK</v>
      </c>
      <c r="K3898" s="366" t="s">
        <v>1686</v>
      </c>
      <c r="L3898" s="366" t="s">
        <v>2234</v>
      </c>
      <c r="M3898" s="350" t="str">
        <f>IF($B3898="Portfolio","Portfolio",IFERROR(INDEX(DATA_ASSET_CLASSIFICATION!$B$8:$B$24,MATCH($C3898,DATA_ASSET_CLASSIFICATION!$A$8:$A$24,0)),"Review"))</f>
        <v>Rosemary Green</v>
      </c>
      <c r="N3898" s="350" t="str">
        <f ca="1">IF($B3898="Portfolio","Portfolio",IFERROR(INDEX(DATA_ASSET_CLASSIFICATION!$U$8:$U$24,MATCH($C3898,DATA_ASSET_CLASSIFICATION!$A$8:$A$24,0)),"Review"))</f>
        <v>Refi Watch</v>
      </c>
      <c r="O3898" s="350" t="str">
        <f ca="1">IF($B3898="Portfolio","Portfolio",IFERROR(INDEX(DATA_ASSET_CLASSIFICATION!$AB$8:$AB$13,MATCH($N3898,DATA_ASSET_CLASSIFICATION!$AA$8:$AA$13,0)),"Review"))</f>
        <v>Bucket 2 · Legacy</v>
      </c>
      <c r="P3898" s="350" t="str">
        <f>IF($B3898="Portfolio","Portfolio",IFERROR(INDEX(DATA_ASSET_CLASSIFICATION!$C$8:$C$24,MATCH($C3898,DATA_ASSET_CLASSIFICATION!$A$8:$A$24,0)),"Review"))</f>
        <v>Yes</v>
      </c>
      <c r="Q3898" s="350" t="str">
        <f t="shared" ca="1" si="121"/>
        <v>OK</v>
      </c>
    </row>
    <row r="3899" spans="1:17">
      <c r="A3899" s="366" t="s">
        <v>5855</v>
      </c>
      <c r="B3899" s="366" t="s">
        <v>231</v>
      </c>
      <c r="C3899" s="348" t="str">
        <f>DATA_PROPERTY_MASTER!$A$17</f>
        <v>BLD_RG</v>
      </c>
      <c r="D3899" s="380">
        <f>'00_PORTFOLIO ROLLUP'!M$12</f>
        <v>2033</v>
      </c>
      <c r="E3899" s="366" t="s">
        <v>1683</v>
      </c>
      <c r="F3899" s="366" t="s">
        <v>355</v>
      </c>
      <c r="G3899" s="348" t="str">
        <f>"'"&amp;$C3899&amp;"'!$E$39:$Y$39"</f>
        <v>'BLD_RG'!$E$39:$Y$39</v>
      </c>
      <c r="H3899" s="381">
        <f ca="1">IF(IFERROR(INDEX(DATA_PROPERTY_MASTER!$E$5:$E$21,MATCH($C3899,DATA_PROPERTY_MASTER!$A$5:$A$21,0))="Yes",FALSE),IFERROR(INDEX(INDIRECT("'"&amp;$C3899&amp;"'!$E$39:$Y$39"),1,MATCH($D3899,INDIRECT("'"&amp;$C3899&amp;"'!$E$12:$Y$12"),0)),0),0)</f>
        <v>295047.06443877221</v>
      </c>
      <c r="I3899" s="366" t="s">
        <v>1690</v>
      </c>
      <c r="J3899" s="348" t="str">
        <f t="shared" ca="1" si="120"/>
        <v>OK</v>
      </c>
      <c r="K3899" s="366" t="s">
        <v>1686</v>
      </c>
      <c r="L3899" s="366" t="s">
        <v>2236</v>
      </c>
      <c r="M3899" s="350" t="str">
        <f>IF($B3899="Portfolio","Portfolio",IFERROR(INDEX(DATA_ASSET_CLASSIFICATION!$B$8:$B$24,MATCH($C3899,DATA_ASSET_CLASSIFICATION!$A$8:$A$24,0)),"Review"))</f>
        <v>Rosemary Green</v>
      </c>
      <c r="N3899" s="350" t="str">
        <f ca="1">IF($B3899="Portfolio","Portfolio",IFERROR(INDEX(DATA_ASSET_CLASSIFICATION!$U$8:$U$24,MATCH($C3899,DATA_ASSET_CLASSIFICATION!$A$8:$A$24,0)),"Review"))</f>
        <v>Refi Watch</v>
      </c>
      <c r="O3899" s="350" t="str">
        <f ca="1">IF($B3899="Portfolio","Portfolio",IFERROR(INDEX(DATA_ASSET_CLASSIFICATION!$AB$8:$AB$13,MATCH($N3899,DATA_ASSET_CLASSIFICATION!$AA$8:$AA$13,0)),"Review"))</f>
        <v>Bucket 2 · Legacy</v>
      </c>
      <c r="P3899" s="350" t="str">
        <f>IF($B3899="Portfolio","Portfolio",IFERROR(INDEX(DATA_ASSET_CLASSIFICATION!$C$8:$C$24,MATCH($C3899,DATA_ASSET_CLASSIFICATION!$A$8:$A$24,0)),"Review"))</f>
        <v>Yes</v>
      </c>
      <c r="Q3899" s="350" t="str">
        <f t="shared" ca="1" si="121"/>
        <v>OK</v>
      </c>
    </row>
    <row r="3900" spans="1:17">
      <c r="A3900" s="366" t="s">
        <v>5856</v>
      </c>
      <c r="B3900" s="366" t="s">
        <v>231</v>
      </c>
      <c r="C3900" s="348" t="str">
        <f>DATA_PROPERTY_MASTER!$A$17</f>
        <v>BLD_RG</v>
      </c>
      <c r="D3900" s="380">
        <f>'00_PORTFOLIO ROLLUP'!M$12</f>
        <v>2033</v>
      </c>
      <c r="E3900" s="366" t="s">
        <v>1683</v>
      </c>
      <c r="F3900" s="366" t="s">
        <v>19</v>
      </c>
      <c r="G3900" s="348" t="str">
        <f>"'"&amp;$C3900&amp;"'!$E$41:$Y$41"</f>
        <v>'BLD_RG'!$E$41:$Y$41</v>
      </c>
      <c r="H3900" s="381">
        <f ca="1">IF(IFERROR(INDEX(DATA_PROPERTY_MASTER!$E$5:$E$21,MATCH($C3900,DATA_PROPERTY_MASTER!$A$5:$A$21,0))="Yes",FALSE),IFERROR(INDEX(INDIRECT("'"&amp;$C3900&amp;"'!$E$41:$Y$41"),1,MATCH($D3900,INDIRECT("'"&amp;$C3900&amp;"'!$E$12:$Y$12"),0)),0),0)</f>
        <v>231141.13774771214</v>
      </c>
      <c r="I3900" s="366" t="s">
        <v>1685</v>
      </c>
      <c r="J3900" s="348" t="str">
        <f t="shared" ca="1" si="120"/>
        <v>OK</v>
      </c>
      <c r="K3900" s="366" t="s">
        <v>1694</v>
      </c>
      <c r="L3900" s="366" t="s">
        <v>2238</v>
      </c>
      <c r="M3900" s="350" t="str">
        <f>IF($B3900="Portfolio","Portfolio",IFERROR(INDEX(DATA_ASSET_CLASSIFICATION!$B$8:$B$24,MATCH($C3900,DATA_ASSET_CLASSIFICATION!$A$8:$A$24,0)),"Review"))</f>
        <v>Rosemary Green</v>
      </c>
      <c r="N3900" s="350" t="str">
        <f ca="1">IF($B3900="Portfolio","Portfolio",IFERROR(INDEX(DATA_ASSET_CLASSIFICATION!$U$8:$U$24,MATCH($C3900,DATA_ASSET_CLASSIFICATION!$A$8:$A$24,0)),"Review"))</f>
        <v>Refi Watch</v>
      </c>
      <c r="O3900" s="350" t="str">
        <f ca="1">IF($B3900="Portfolio","Portfolio",IFERROR(INDEX(DATA_ASSET_CLASSIFICATION!$AB$8:$AB$13,MATCH($N3900,DATA_ASSET_CLASSIFICATION!$AA$8:$AA$13,0)),"Review"))</f>
        <v>Bucket 2 · Legacy</v>
      </c>
      <c r="P3900" s="350" t="str">
        <f>IF($B3900="Portfolio","Portfolio",IFERROR(INDEX(DATA_ASSET_CLASSIFICATION!$C$8:$C$24,MATCH($C3900,DATA_ASSET_CLASSIFICATION!$A$8:$A$24,0)),"Review"))</f>
        <v>Yes</v>
      </c>
      <c r="Q3900" s="350" t="str">
        <f t="shared" ca="1" si="121"/>
        <v>OK</v>
      </c>
    </row>
    <row r="3901" spans="1:17">
      <c r="A3901" s="366" t="s">
        <v>5857</v>
      </c>
      <c r="B3901" s="366" t="s">
        <v>231</v>
      </c>
      <c r="C3901" s="348" t="str">
        <f>DATA_PROPERTY_MASTER!$A$17</f>
        <v>BLD_RG</v>
      </c>
      <c r="D3901" s="380">
        <f>'00_PORTFOLIO ROLLUP'!M$12</f>
        <v>2033</v>
      </c>
      <c r="E3901" s="366" t="s">
        <v>1683</v>
      </c>
      <c r="F3901" s="366" t="s">
        <v>1697</v>
      </c>
      <c r="G3901" s="348" t="str">
        <f>"'"&amp;$C3901&amp;"'!$E$44:$Y$44"</f>
        <v>'BLD_RG'!$E$44:$Y$44</v>
      </c>
      <c r="H3901" s="381">
        <f ca="1">IF(IFERROR(INDEX(DATA_PROPERTY_MASTER!$E$5:$E$21,MATCH($C3901,DATA_PROPERTY_MASTER!$A$5:$A$21,0))="Yes",FALSE),IFERROR(INDEX(INDIRECT("'"&amp;$C3901&amp;"'!$E$44:$Y$44"),1,MATCH($D3901,INDIRECT("'"&amp;$C3901&amp;"'!$E$12:$Y$12"),0)),0),0)</f>
        <v>6678.4584717129137</v>
      </c>
      <c r="I3901" s="366" t="s">
        <v>1690</v>
      </c>
      <c r="J3901" s="348" t="str">
        <f t="shared" ca="1" si="120"/>
        <v>OK</v>
      </c>
      <c r="K3901" s="366" t="s">
        <v>1699</v>
      </c>
      <c r="L3901" s="366" t="s">
        <v>2240</v>
      </c>
      <c r="M3901" s="350" t="str">
        <f>IF($B3901="Portfolio","Portfolio",IFERROR(INDEX(DATA_ASSET_CLASSIFICATION!$B$8:$B$24,MATCH($C3901,DATA_ASSET_CLASSIFICATION!$A$8:$A$24,0)),"Review"))</f>
        <v>Rosemary Green</v>
      </c>
      <c r="N3901" s="350" t="str">
        <f ca="1">IF($B3901="Portfolio","Portfolio",IFERROR(INDEX(DATA_ASSET_CLASSIFICATION!$U$8:$U$24,MATCH($C3901,DATA_ASSET_CLASSIFICATION!$A$8:$A$24,0)),"Review"))</f>
        <v>Refi Watch</v>
      </c>
      <c r="O3901" s="350" t="str">
        <f ca="1">IF($B3901="Portfolio","Portfolio",IFERROR(INDEX(DATA_ASSET_CLASSIFICATION!$AB$8:$AB$13,MATCH($N3901,DATA_ASSET_CLASSIFICATION!$AA$8:$AA$13,0)),"Review"))</f>
        <v>Bucket 2 · Legacy</v>
      </c>
      <c r="P3901" s="350" t="str">
        <f>IF($B3901="Portfolio","Portfolio",IFERROR(INDEX(DATA_ASSET_CLASSIFICATION!$C$8:$C$24,MATCH($C3901,DATA_ASSET_CLASSIFICATION!$A$8:$A$24,0)),"Review"))</f>
        <v>Yes</v>
      </c>
      <c r="Q3901" s="350" t="str">
        <f t="shared" ca="1" si="121"/>
        <v>OK</v>
      </c>
    </row>
    <row r="3902" spans="1:17">
      <c r="A3902" s="366" t="s">
        <v>5858</v>
      </c>
      <c r="B3902" s="366" t="s">
        <v>231</v>
      </c>
      <c r="C3902" s="348" t="str">
        <f>DATA_PROPERTY_MASTER!$A$17</f>
        <v>BLD_RG</v>
      </c>
      <c r="D3902" s="380">
        <f>'00_PORTFOLIO ROLLUP'!M$12</f>
        <v>2033</v>
      </c>
      <c r="E3902" s="366" t="s">
        <v>1683</v>
      </c>
      <c r="F3902" s="366" t="s">
        <v>21</v>
      </c>
      <c r="G3902" s="348" t="str">
        <f>"'"&amp;$C3902&amp;"'!$E$45:$Y$45"</f>
        <v>'BLD_RG'!$E$45:$Y$45</v>
      </c>
      <c r="H3902" s="381">
        <f ca="1">IF(IFERROR(INDEX(DATA_PROPERTY_MASTER!$E$5:$E$21,MATCH($C3902,DATA_PROPERTY_MASTER!$A$5:$A$21,0))="Yes",FALSE),IFERROR(INDEX(INDIRECT("'"&amp;$C3902&amp;"'!$E$45:$Y$45"),1,MATCH($D3902,INDIRECT("'"&amp;$C3902&amp;"'!$E$12:$Y$12"),0)),0),0)</f>
        <v>224462.67927599922</v>
      </c>
      <c r="I3902" s="366" t="s">
        <v>1685</v>
      </c>
      <c r="J3902" s="348" t="str">
        <f t="shared" ca="1" si="120"/>
        <v>OK</v>
      </c>
      <c r="K3902" s="366" t="s">
        <v>1694</v>
      </c>
      <c r="L3902" s="366" t="s">
        <v>2242</v>
      </c>
      <c r="M3902" s="350" t="str">
        <f>IF($B3902="Portfolio","Portfolio",IFERROR(INDEX(DATA_ASSET_CLASSIFICATION!$B$8:$B$24,MATCH($C3902,DATA_ASSET_CLASSIFICATION!$A$8:$A$24,0)),"Review"))</f>
        <v>Rosemary Green</v>
      </c>
      <c r="N3902" s="350" t="str">
        <f ca="1">IF($B3902="Portfolio","Portfolio",IFERROR(INDEX(DATA_ASSET_CLASSIFICATION!$U$8:$U$24,MATCH($C3902,DATA_ASSET_CLASSIFICATION!$A$8:$A$24,0)),"Review"))</f>
        <v>Refi Watch</v>
      </c>
      <c r="O3902" s="350" t="str">
        <f ca="1">IF($B3902="Portfolio","Portfolio",IFERROR(INDEX(DATA_ASSET_CLASSIFICATION!$AB$8:$AB$13,MATCH($N3902,DATA_ASSET_CLASSIFICATION!$AA$8:$AA$13,0)),"Review"))</f>
        <v>Bucket 2 · Legacy</v>
      </c>
      <c r="P3902" s="350" t="str">
        <f>IF($B3902="Portfolio","Portfolio",IFERROR(INDEX(DATA_ASSET_CLASSIFICATION!$C$8:$C$24,MATCH($C3902,DATA_ASSET_CLASSIFICATION!$A$8:$A$24,0)),"Review"))</f>
        <v>Yes</v>
      </c>
      <c r="Q3902" s="350" t="str">
        <f t="shared" ca="1" si="121"/>
        <v>OK</v>
      </c>
    </row>
    <row r="3903" spans="1:17">
      <c r="A3903" s="366" t="s">
        <v>5859</v>
      </c>
      <c r="B3903" s="366" t="s">
        <v>231</v>
      </c>
      <c r="C3903" s="348" t="str">
        <f>DATA_PROPERTY_MASTER!$A$17</f>
        <v>BLD_RG</v>
      </c>
      <c r="D3903" s="380">
        <f>'00_PORTFOLIO ROLLUP'!M$12</f>
        <v>2033</v>
      </c>
      <c r="E3903" s="366" t="s">
        <v>23</v>
      </c>
      <c r="F3903" s="366" t="s">
        <v>23</v>
      </c>
      <c r="G3903" s="348" t="str">
        <f>"'"&amp;$C3903&amp;"'!$E$48:$Y$48"</f>
        <v>'BLD_RG'!$E$48:$Y$48</v>
      </c>
      <c r="H3903" s="381">
        <f ca="1">IF(IFERROR(INDEX(DATA_PROPERTY_MASTER!$E$5:$E$21,MATCH($C3903,DATA_PROPERTY_MASTER!$A$5:$A$21,0))="Yes",FALSE),IFERROR(INDEX(INDIRECT("'"&amp;$C3903&amp;"'!$E$48:$Y$48"),1,MATCH($D3903,INDIRECT("'"&amp;$C3903&amp;"'!$E$12:$Y$12"),0)),0),0)</f>
        <v>0</v>
      </c>
      <c r="I3903" s="366" t="s">
        <v>1690</v>
      </c>
      <c r="J3903" s="348" t="str">
        <f t="shared" ca="1" si="120"/>
        <v>OK</v>
      </c>
      <c r="K3903" s="366" t="s">
        <v>1706</v>
      </c>
      <c r="L3903" s="366" t="s">
        <v>2244</v>
      </c>
      <c r="M3903" s="350" t="str">
        <f>IF($B3903="Portfolio","Portfolio",IFERROR(INDEX(DATA_ASSET_CLASSIFICATION!$B$8:$B$24,MATCH($C3903,DATA_ASSET_CLASSIFICATION!$A$8:$A$24,0)),"Review"))</f>
        <v>Rosemary Green</v>
      </c>
      <c r="N3903" s="350" t="str">
        <f ca="1">IF($B3903="Portfolio","Portfolio",IFERROR(INDEX(DATA_ASSET_CLASSIFICATION!$U$8:$U$24,MATCH($C3903,DATA_ASSET_CLASSIFICATION!$A$8:$A$24,0)),"Review"))</f>
        <v>Refi Watch</v>
      </c>
      <c r="O3903" s="350" t="str">
        <f ca="1">IF($B3903="Portfolio","Portfolio",IFERROR(INDEX(DATA_ASSET_CLASSIFICATION!$AB$8:$AB$13,MATCH($N3903,DATA_ASSET_CLASSIFICATION!$AA$8:$AA$13,0)),"Review"))</f>
        <v>Bucket 2 · Legacy</v>
      </c>
      <c r="P3903" s="350" t="str">
        <f>IF($B3903="Portfolio","Portfolio",IFERROR(INDEX(DATA_ASSET_CLASSIFICATION!$C$8:$C$24,MATCH($C3903,DATA_ASSET_CLASSIFICATION!$A$8:$A$24,0)),"Review"))</f>
        <v>Yes</v>
      </c>
      <c r="Q3903" s="350" t="str">
        <f t="shared" ca="1" si="121"/>
        <v>OK</v>
      </c>
    </row>
    <row r="3904" spans="1:17">
      <c r="A3904" s="366" t="s">
        <v>5860</v>
      </c>
      <c r="B3904" s="366" t="s">
        <v>231</v>
      </c>
      <c r="C3904" s="348" t="str">
        <f>DATA_PROPERTY_MASTER!$A$17</f>
        <v>BLD_RG</v>
      </c>
      <c r="D3904" s="380">
        <f>'00_PORTFOLIO ROLLUP'!M$12</f>
        <v>2033</v>
      </c>
      <c r="E3904" s="366" t="s">
        <v>1683</v>
      </c>
      <c r="F3904" s="366" t="s">
        <v>25</v>
      </c>
      <c r="G3904" s="348" t="str">
        <f>"'"&amp;$C3904&amp;"'!$E$52:$Y$52"</f>
        <v>'BLD_RG'!$E$52:$Y$52</v>
      </c>
      <c r="H3904" s="381">
        <f ca="1">IF(IFERROR(INDEX(DATA_PROPERTY_MASTER!$E$5:$E$21,MATCH($C3904,DATA_PROPERTY_MASTER!$A$5:$A$21,0))="Yes",FALSE),IFERROR(INDEX(INDIRECT("'"&amp;$C3904&amp;"'!$E$52:$Y$52"),1,MATCH($D3904,INDIRECT("'"&amp;$C3904&amp;"'!$E$12:$Y$12"),0)),0),0)</f>
        <v>231141.13774771214</v>
      </c>
      <c r="I3904" s="366" t="s">
        <v>1685</v>
      </c>
      <c r="J3904" s="348" t="str">
        <f t="shared" ca="1" si="120"/>
        <v>OK</v>
      </c>
      <c r="K3904" s="366" t="s">
        <v>1710</v>
      </c>
      <c r="L3904" s="366" t="s">
        <v>2246</v>
      </c>
      <c r="M3904" s="350" t="str">
        <f>IF($B3904="Portfolio","Portfolio",IFERROR(INDEX(DATA_ASSET_CLASSIFICATION!$B$8:$B$24,MATCH($C3904,DATA_ASSET_CLASSIFICATION!$A$8:$A$24,0)),"Review"))</f>
        <v>Rosemary Green</v>
      </c>
      <c r="N3904" s="350" t="str">
        <f ca="1">IF($B3904="Portfolio","Portfolio",IFERROR(INDEX(DATA_ASSET_CLASSIFICATION!$U$8:$U$24,MATCH($C3904,DATA_ASSET_CLASSIFICATION!$A$8:$A$24,0)),"Review"))</f>
        <v>Refi Watch</v>
      </c>
      <c r="O3904" s="350" t="str">
        <f ca="1">IF($B3904="Portfolio","Portfolio",IFERROR(INDEX(DATA_ASSET_CLASSIFICATION!$AB$8:$AB$13,MATCH($N3904,DATA_ASSET_CLASSIFICATION!$AA$8:$AA$13,0)),"Review"))</f>
        <v>Bucket 2 · Legacy</v>
      </c>
      <c r="P3904" s="350" t="str">
        <f>IF($B3904="Portfolio","Portfolio",IFERROR(INDEX(DATA_ASSET_CLASSIFICATION!$C$8:$C$24,MATCH($C3904,DATA_ASSET_CLASSIFICATION!$A$8:$A$24,0)),"Review"))</f>
        <v>Yes</v>
      </c>
      <c r="Q3904" s="350" t="str">
        <f t="shared" ca="1" si="121"/>
        <v>OK</v>
      </c>
    </row>
    <row r="3905" spans="1:17">
      <c r="A3905" s="366" t="s">
        <v>5861</v>
      </c>
      <c r="B3905" s="366" t="s">
        <v>231</v>
      </c>
      <c r="C3905" s="348" t="str">
        <f>DATA_PROPERTY_MASTER!$A$17</f>
        <v>BLD_RG</v>
      </c>
      <c r="D3905" s="380">
        <f>'00_PORTFOLIO ROLLUP'!M$12</f>
        <v>2033</v>
      </c>
      <c r="E3905" s="366" t="s">
        <v>1683</v>
      </c>
      <c r="F3905" s="366" t="s">
        <v>27</v>
      </c>
      <c r="G3905" s="348" t="str">
        <f>"'"&amp;$C3905&amp;"'!$E$54:$Y$54"</f>
        <v>'BLD_RG'!$E$54:$Y$54</v>
      </c>
      <c r="H3905" s="381">
        <f ca="1">IF(IFERROR(INDEX(DATA_PROPERTY_MASTER!$E$5:$E$21,MATCH($C3905,DATA_PROPERTY_MASTER!$A$5:$A$21,0))="Yes",FALSE),IFERROR(INDEX(INDIRECT("'"&amp;$C3905&amp;"'!$E$54:$Y$54"),1,MATCH($D3905,INDIRECT("'"&amp;$C3905&amp;"'!$E$12:$Y$12"),0)),0),0)</f>
        <v>138684.68264862729</v>
      </c>
      <c r="I3905" s="366" t="s">
        <v>1690</v>
      </c>
      <c r="J3905" s="348" t="str">
        <f t="shared" ca="1" si="120"/>
        <v>OK</v>
      </c>
      <c r="K3905" s="366" t="s">
        <v>1714</v>
      </c>
      <c r="L3905" s="366" t="s">
        <v>2248</v>
      </c>
      <c r="M3905" s="350" t="str">
        <f>IF($B3905="Portfolio","Portfolio",IFERROR(INDEX(DATA_ASSET_CLASSIFICATION!$B$8:$B$24,MATCH($C3905,DATA_ASSET_CLASSIFICATION!$A$8:$A$24,0)),"Review"))</f>
        <v>Rosemary Green</v>
      </c>
      <c r="N3905" s="350" t="str">
        <f ca="1">IF($B3905="Portfolio","Portfolio",IFERROR(INDEX(DATA_ASSET_CLASSIFICATION!$U$8:$U$24,MATCH($C3905,DATA_ASSET_CLASSIFICATION!$A$8:$A$24,0)),"Review"))</f>
        <v>Refi Watch</v>
      </c>
      <c r="O3905" s="350" t="str">
        <f ca="1">IF($B3905="Portfolio","Portfolio",IFERROR(INDEX(DATA_ASSET_CLASSIFICATION!$AB$8:$AB$13,MATCH($N3905,DATA_ASSET_CLASSIFICATION!$AA$8:$AA$13,0)),"Review"))</f>
        <v>Bucket 2 · Legacy</v>
      </c>
      <c r="P3905" s="350" t="str">
        <f>IF($B3905="Portfolio","Portfolio",IFERROR(INDEX(DATA_ASSET_CLASSIFICATION!$C$8:$C$24,MATCH($C3905,DATA_ASSET_CLASSIFICATION!$A$8:$A$24,0)),"Review"))</f>
        <v>Yes</v>
      </c>
      <c r="Q3905" s="350" t="str">
        <f t="shared" ca="1" si="121"/>
        <v>OK</v>
      </c>
    </row>
    <row r="3906" spans="1:17">
      <c r="A3906" s="366" t="s">
        <v>5862</v>
      </c>
      <c r="B3906" s="366" t="s">
        <v>231</v>
      </c>
      <c r="C3906" s="348" t="str">
        <f>DATA_PROPERTY_MASTER!$A$17</f>
        <v>BLD_RG</v>
      </c>
      <c r="D3906" s="380">
        <f>'00_PORTFOLIO ROLLUP'!M$12</f>
        <v>2033</v>
      </c>
      <c r="E3906" s="366" t="s">
        <v>1683</v>
      </c>
      <c r="F3906" s="366" t="s">
        <v>29</v>
      </c>
      <c r="G3906" s="348" t="str">
        <f>"'"&amp;$C3906&amp;"'!$E$56:$Y$56"</f>
        <v>'BLD_RG'!$E$56:$Y$56</v>
      </c>
      <c r="H3906" s="381">
        <f ca="1">IF(IFERROR(INDEX(DATA_PROPERTY_MASTER!$E$5:$E$21,MATCH($C3906,DATA_PROPERTY_MASTER!$A$5:$A$21,0))="Yes",FALSE),IFERROR(INDEX(INDIRECT("'"&amp;$C3906&amp;"'!$E$56:$Y$56"),1,MATCH($D3906,INDIRECT("'"&amp;$C3906&amp;"'!$E$12:$Y$12"),0)),0),0)</f>
        <v>92456.455099084851</v>
      </c>
      <c r="I3906" s="366" t="s">
        <v>1685</v>
      </c>
      <c r="J3906" s="348" t="str">
        <f t="shared" ca="1" si="120"/>
        <v>OK</v>
      </c>
      <c r="K3906" s="366" t="s">
        <v>1718</v>
      </c>
      <c r="L3906" s="366" t="s">
        <v>2250</v>
      </c>
      <c r="M3906" s="350" t="str">
        <f>IF($B3906="Portfolio","Portfolio",IFERROR(INDEX(DATA_ASSET_CLASSIFICATION!$B$8:$B$24,MATCH($C3906,DATA_ASSET_CLASSIFICATION!$A$8:$A$24,0)),"Review"))</f>
        <v>Rosemary Green</v>
      </c>
      <c r="N3906" s="350" t="str">
        <f ca="1">IF($B3906="Portfolio","Portfolio",IFERROR(INDEX(DATA_ASSET_CLASSIFICATION!$U$8:$U$24,MATCH($C3906,DATA_ASSET_CLASSIFICATION!$A$8:$A$24,0)),"Review"))</f>
        <v>Refi Watch</v>
      </c>
      <c r="O3906" s="350" t="str">
        <f ca="1">IF($B3906="Portfolio","Portfolio",IFERROR(INDEX(DATA_ASSET_CLASSIFICATION!$AB$8:$AB$13,MATCH($N3906,DATA_ASSET_CLASSIFICATION!$AA$8:$AA$13,0)),"Review"))</f>
        <v>Bucket 2 · Legacy</v>
      </c>
      <c r="P3906" s="350" t="str">
        <f>IF($B3906="Portfolio","Portfolio",IFERROR(INDEX(DATA_ASSET_CLASSIFICATION!$C$8:$C$24,MATCH($C3906,DATA_ASSET_CLASSIFICATION!$A$8:$A$24,0)),"Review"))</f>
        <v>Yes</v>
      </c>
      <c r="Q3906" s="350" t="str">
        <f t="shared" ca="1" si="121"/>
        <v>OK</v>
      </c>
    </row>
    <row r="3907" spans="1:17">
      <c r="A3907" s="366" t="s">
        <v>5863</v>
      </c>
      <c r="B3907" s="366" t="s">
        <v>231</v>
      </c>
      <c r="C3907" s="348" t="str">
        <f>DATA_PROPERTY_MASTER!$A$17</f>
        <v>BLD_RG</v>
      </c>
      <c r="D3907" s="380">
        <f>'00_PORTFOLIO ROLLUP'!M$12</f>
        <v>2033</v>
      </c>
      <c r="E3907" s="366" t="s">
        <v>1721</v>
      </c>
      <c r="F3907" s="366" t="s">
        <v>31</v>
      </c>
      <c r="G3907" s="348" t="str">
        <f>"'"&amp;$C3907&amp;"'!$E$61:$Y$61"</f>
        <v>'BLD_RG'!$E$61:$Y$61</v>
      </c>
      <c r="H3907" s="381">
        <f ca="1">IF(IFERROR(INDEX(DATA_PROPERTY_MASTER!$E$5:$E$21,MATCH($C3907,DATA_PROPERTY_MASTER!$A$5:$A$21,0))="Yes",FALSE),IFERROR(INDEX(INDIRECT("'"&amp;$C3907&amp;"'!$E$61:$Y$61"),1,MATCH($D3907,INDIRECT("'"&amp;$C3907&amp;"'!$E$12:$Y$12"),0)),0),0)</f>
        <v>0</v>
      </c>
      <c r="I3907" s="366" t="s">
        <v>1690</v>
      </c>
      <c r="J3907" s="348" t="str">
        <f t="shared" ca="1" si="120"/>
        <v>OK</v>
      </c>
      <c r="K3907" s="366" t="s">
        <v>1723</v>
      </c>
      <c r="L3907" s="366" t="s">
        <v>2252</v>
      </c>
      <c r="M3907" s="350" t="str">
        <f>IF($B3907="Portfolio","Portfolio",IFERROR(INDEX(DATA_ASSET_CLASSIFICATION!$B$8:$B$24,MATCH($C3907,DATA_ASSET_CLASSIFICATION!$A$8:$A$24,0)),"Review"))</f>
        <v>Rosemary Green</v>
      </c>
      <c r="N3907" s="350" t="str">
        <f ca="1">IF($B3907="Portfolio","Portfolio",IFERROR(INDEX(DATA_ASSET_CLASSIFICATION!$U$8:$U$24,MATCH($C3907,DATA_ASSET_CLASSIFICATION!$A$8:$A$24,0)),"Review"))</f>
        <v>Refi Watch</v>
      </c>
      <c r="O3907" s="350" t="str">
        <f ca="1">IF($B3907="Portfolio","Portfolio",IFERROR(INDEX(DATA_ASSET_CLASSIFICATION!$AB$8:$AB$13,MATCH($N3907,DATA_ASSET_CLASSIFICATION!$AA$8:$AA$13,0)),"Review"))</f>
        <v>Bucket 2 · Legacy</v>
      </c>
      <c r="P3907" s="350" t="str">
        <f>IF($B3907="Portfolio","Portfolio",IFERROR(INDEX(DATA_ASSET_CLASSIFICATION!$C$8:$C$24,MATCH($C3907,DATA_ASSET_CLASSIFICATION!$A$8:$A$24,0)),"Review"))</f>
        <v>Yes</v>
      </c>
      <c r="Q3907" s="350" t="str">
        <f t="shared" ca="1" si="121"/>
        <v>OK</v>
      </c>
    </row>
    <row r="3908" spans="1:17">
      <c r="A3908" s="366" t="s">
        <v>5864</v>
      </c>
      <c r="B3908" s="366" t="s">
        <v>231</v>
      </c>
      <c r="C3908" s="348" t="str">
        <f>DATA_PROPERTY_MASTER!$A$17</f>
        <v>BLD_RG</v>
      </c>
      <c r="D3908" s="380">
        <f>'00_PORTFOLIO ROLLUP'!M$12</f>
        <v>2033</v>
      </c>
      <c r="E3908" s="366" t="s">
        <v>1721</v>
      </c>
      <c r="F3908" s="366" t="s">
        <v>33</v>
      </c>
      <c r="G3908" s="348" t="str">
        <f>"'"&amp;$C3908&amp;"'!$E$62:$Y$62"</f>
        <v>'BLD_RG'!$E$62:$Y$62</v>
      </c>
      <c r="H3908" s="381">
        <f ca="1">IF(IFERROR(INDEX(DATA_PROPERTY_MASTER!$E$5:$E$21,MATCH($C3908,DATA_PROPERTY_MASTER!$A$5:$A$21,0))="Yes",FALSE),IFERROR(INDEX(INDIRECT("'"&amp;$C3908&amp;"'!$E$62:$Y$62"),1,MATCH($D3908,INDIRECT("'"&amp;$C3908&amp;"'!$E$12:$Y$12"),0)),0),0)</f>
        <v>0</v>
      </c>
      <c r="I3908" s="366" t="s">
        <v>1685</v>
      </c>
      <c r="J3908" s="348" t="str">
        <f t="shared" ca="1" si="120"/>
        <v>OK</v>
      </c>
      <c r="K3908" s="366" t="s">
        <v>1727</v>
      </c>
      <c r="L3908" s="366" t="s">
        <v>2254</v>
      </c>
      <c r="M3908" s="350" t="str">
        <f>IF($B3908="Portfolio","Portfolio",IFERROR(INDEX(DATA_ASSET_CLASSIFICATION!$B$8:$B$24,MATCH($C3908,DATA_ASSET_CLASSIFICATION!$A$8:$A$24,0)),"Review"))</f>
        <v>Rosemary Green</v>
      </c>
      <c r="N3908" s="350" t="str">
        <f ca="1">IF($B3908="Portfolio","Portfolio",IFERROR(INDEX(DATA_ASSET_CLASSIFICATION!$U$8:$U$24,MATCH($C3908,DATA_ASSET_CLASSIFICATION!$A$8:$A$24,0)),"Review"))</f>
        <v>Refi Watch</v>
      </c>
      <c r="O3908" s="350" t="str">
        <f ca="1">IF($B3908="Portfolio","Portfolio",IFERROR(INDEX(DATA_ASSET_CLASSIFICATION!$AB$8:$AB$13,MATCH($N3908,DATA_ASSET_CLASSIFICATION!$AA$8:$AA$13,0)),"Review"))</f>
        <v>Bucket 2 · Legacy</v>
      </c>
      <c r="P3908" s="350" t="str">
        <f>IF($B3908="Portfolio","Portfolio",IFERROR(INDEX(DATA_ASSET_CLASSIFICATION!$C$8:$C$24,MATCH($C3908,DATA_ASSET_CLASSIFICATION!$A$8:$A$24,0)),"Review"))</f>
        <v>Yes</v>
      </c>
      <c r="Q3908" s="350" t="str">
        <f t="shared" ca="1" si="121"/>
        <v>OK</v>
      </c>
    </row>
    <row r="3909" spans="1:17">
      <c r="A3909" s="366" t="s">
        <v>5865</v>
      </c>
      <c r="B3909" s="366" t="s">
        <v>231</v>
      </c>
      <c r="C3909" s="348" t="str">
        <f>DATA_PROPERTY_MASTER!$A$17</f>
        <v>BLD_RG</v>
      </c>
      <c r="D3909" s="380">
        <f>'00_PORTFOLIO ROLLUP'!M$12</f>
        <v>2033</v>
      </c>
      <c r="E3909" s="366" t="s">
        <v>1721</v>
      </c>
      <c r="F3909" s="366" t="s">
        <v>35</v>
      </c>
      <c r="G3909" s="348" t="str">
        <f>"'"&amp;$C3909&amp;"'!$E$63:$Y$63"</f>
        <v>'BLD_RG'!$E$63:$Y$63</v>
      </c>
      <c r="H3909" s="381">
        <f ca="1">IF(IFERROR(INDEX(DATA_PROPERTY_MASTER!$E$5:$E$21,MATCH($C3909,DATA_PROPERTY_MASTER!$A$5:$A$21,0))="Yes",FALSE),IFERROR(INDEX(INDIRECT("'"&amp;$C3909&amp;"'!$E$63:$Y$63"),1,MATCH($D3909,INDIRECT("'"&amp;$C3909&amp;"'!$E$12:$Y$12"),0)),0),0)</f>
        <v>0</v>
      </c>
      <c r="I3909" s="366" t="s">
        <v>1731</v>
      </c>
      <c r="J3909" s="348" t="str">
        <f t="shared" ref="J3909:J3972" ca="1" si="122">IF($F3909="Residual Funding Gap",IF($H3909&gt;0,"Funding Gap","OK"),IF(AND($F3909="Net Refinance Position",$H3909&lt;0),"Negative net refi position","OK"))</f>
        <v>OK</v>
      </c>
      <c r="K3909" s="366" t="s">
        <v>1732</v>
      </c>
      <c r="L3909" s="366" t="s">
        <v>2256</v>
      </c>
      <c r="M3909" s="350" t="str">
        <f>IF($B3909="Portfolio","Portfolio",IFERROR(INDEX(DATA_ASSET_CLASSIFICATION!$B$8:$B$24,MATCH($C3909,DATA_ASSET_CLASSIFICATION!$A$8:$A$24,0)),"Review"))</f>
        <v>Rosemary Green</v>
      </c>
      <c r="N3909" s="350" t="str">
        <f ca="1">IF($B3909="Portfolio","Portfolio",IFERROR(INDEX(DATA_ASSET_CLASSIFICATION!$U$8:$U$24,MATCH($C3909,DATA_ASSET_CLASSIFICATION!$A$8:$A$24,0)),"Review"))</f>
        <v>Refi Watch</v>
      </c>
      <c r="O3909" s="350" t="str">
        <f ca="1">IF($B3909="Portfolio","Portfolio",IFERROR(INDEX(DATA_ASSET_CLASSIFICATION!$AB$8:$AB$13,MATCH($N3909,DATA_ASSET_CLASSIFICATION!$AA$8:$AA$13,0)),"Review"))</f>
        <v>Bucket 2 · Legacy</v>
      </c>
      <c r="P3909" s="350" t="str">
        <f>IF($B3909="Portfolio","Portfolio",IFERROR(INDEX(DATA_ASSET_CLASSIFICATION!$C$8:$C$24,MATCH($C3909,DATA_ASSET_CLASSIFICATION!$A$8:$A$24,0)),"Review"))</f>
        <v>Yes</v>
      </c>
      <c r="Q3909" s="350" t="str">
        <f t="shared" ref="Q3909:Q3972" ca="1" si="123">IF(AND($B3909="Property",$F3909="Residual Funding Gap",$H3909&gt;0),"Property Funding Gap",IF($J3909&lt;&gt;"OK",$J3909,"OK"))</f>
        <v>OK</v>
      </c>
    </row>
    <row r="3910" spans="1:17">
      <c r="A3910" s="366" t="s">
        <v>5866</v>
      </c>
      <c r="B3910" s="366" t="s">
        <v>231</v>
      </c>
      <c r="C3910" s="348" t="str">
        <f>DATA_PROPERTY_MASTER!$A$17</f>
        <v>BLD_RG</v>
      </c>
      <c r="D3910" s="380">
        <f>'00_PORTFOLIO ROLLUP'!M$12</f>
        <v>2033</v>
      </c>
      <c r="E3910" s="366" t="s">
        <v>1721</v>
      </c>
      <c r="F3910" s="366" t="s">
        <v>37</v>
      </c>
      <c r="G3910" s="348" t="str">
        <f>"'"&amp;$C3910&amp;"'!$E$63:$Y$63"</f>
        <v>'BLD_RG'!$E$63:$Y$63</v>
      </c>
      <c r="H3910" s="381">
        <f ca="1">IF(IFERROR(INDEX(DATA_PROPERTY_MASTER!$E$5:$E$21,MATCH($C3910,DATA_PROPERTY_MASTER!$A$5:$A$21,0))="Yes",FALSE),MAX(IFERROR(INDEX(INDIRECT("'"&amp;$C3910&amp;"'!$E$63:$Y$63"),1,MATCH($D3910,INDIRECT("'"&amp;$C3910&amp;"'!$E$12:$Y$12"),0)),0),0),0)</f>
        <v>0</v>
      </c>
      <c r="I3910" s="366" t="s">
        <v>1685</v>
      </c>
      <c r="J3910" s="348" t="str">
        <f t="shared" ca="1" si="122"/>
        <v>OK</v>
      </c>
      <c r="K3910" s="366" t="s">
        <v>1735</v>
      </c>
      <c r="L3910" s="366" t="s">
        <v>2258</v>
      </c>
      <c r="M3910" s="350" t="str">
        <f>IF($B3910="Portfolio","Portfolio",IFERROR(INDEX(DATA_ASSET_CLASSIFICATION!$B$8:$B$24,MATCH($C3910,DATA_ASSET_CLASSIFICATION!$A$8:$A$24,0)),"Review"))</f>
        <v>Rosemary Green</v>
      </c>
      <c r="N3910" s="350" t="str">
        <f ca="1">IF($B3910="Portfolio","Portfolio",IFERROR(INDEX(DATA_ASSET_CLASSIFICATION!$U$8:$U$24,MATCH($C3910,DATA_ASSET_CLASSIFICATION!$A$8:$A$24,0)),"Review"))</f>
        <v>Refi Watch</v>
      </c>
      <c r="O3910" s="350" t="str">
        <f ca="1">IF($B3910="Portfolio","Portfolio",IFERROR(INDEX(DATA_ASSET_CLASSIFICATION!$AB$8:$AB$13,MATCH($N3910,DATA_ASSET_CLASSIFICATION!$AA$8:$AA$13,0)),"Review"))</f>
        <v>Bucket 2 · Legacy</v>
      </c>
      <c r="P3910" s="350" t="str">
        <f>IF($B3910="Portfolio","Portfolio",IFERROR(INDEX(DATA_ASSET_CLASSIFICATION!$C$8:$C$24,MATCH($C3910,DATA_ASSET_CLASSIFICATION!$A$8:$A$24,0)),"Review"))</f>
        <v>Yes</v>
      </c>
      <c r="Q3910" s="350" t="str">
        <f t="shared" ca="1" si="123"/>
        <v>OK</v>
      </c>
    </row>
    <row r="3911" spans="1:17">
      <c r="A3911" s="366" t="s">
        <v>5867</v>
      </c>
      <c r="B3911" s="366" t="s">
        <v>231</v>
      </c>
      <c r="C3911" s="348" t="str">
        <f>DATA_PROPERTY_MASTER!$A$17</f>
        <v>BLD_RG</v>
      </c>
      <c r="D3911" s="380">
        <f>'00_PORTFOLIO ROLLUP'!M$12</f>
        <v>2033</v>
      </c>
      <c r="E3911" s="366" t="s">
        <v>1721</v>
      </c>
      <c r="F3911" s="366" t="s">
        <v>39</v>
      </c>
      <c r="G3911" s="348" t="str">
        <f>"'"&amp;$C3911&amp;"'!$E$63:$Y$63"</f>
        <v>'BLD_RG'!$E$63:$Y$63</v>
      </c>
      <c r="H3911" s="381">
        <f ca="1">IF(IFERROR(INDEX(DATA_PROPERTY_MASTER!$E$5:$E$21,MATCH($C3911,DATA_PROPERTY_MASTER!$A$5:$A$21,0))="Yes",FALSE),MAX(-IFERROR(INDEX(INDIRECT("'"&amp;$C3911&amp;"'!$E$63:$Y$63"),1,MATCH($D3911,INDIRECT("'"&amp;$C3911&amp;"'!$E$12:$Y$12"),0)),0),0),0)</f>
        <v>0</v>
      </c>
      <c r="I3911" s="366" t="s">
        <v>1690</v>
      </c>
      <c r="J3911" s="348" t="str">
        <f t="shared" ca="1" si="122"/>
        <v>OK</v>
      </c>
      <c r="K3911" s="366" t="s">
        <v>1738</v>
      </c>
      <c r="L3911" s="366" t="s">
        <v>2260</v>
      </c>
      <c r="M3911" s="350" t="str">
        <f>IF($B3911="Portfolio","Portfolio",IFERROR(INDEX(DATA_ASSET_CLASSIFICATION!$B$8:$B$24,MATCH($C3911,DATA_ASSET_CLASSIFICATION!$A$8:$A$24,0)),"Review"))</f>
        <v>Rosemary Green</v>
      </c>
      <c r="N3911" s="350" t="str">
        <f ca="1">IF($B3911="Portfolio","Portfolio",IFERROR(INDEX(DATA_ASSET_CLASSIFICATION!$U$8:$U$24,MATCH($C3911,DATA_ASSET_CLASSIFICATION!$A$8:$A$24,0)),"Review"))</f>
        <v>Refi Watch</v>
      </c>
      <c r="O3911" s="350" t="str">
        <f ca="1">IF($B3911="Portfolio","Portfolio",IFERROR(INDEX(DATA_ASSET_CLASSIFICATION!$AB$8:$AB$13,MATCH($N3911,DATA_ASSET_CLASSIFICATION!$AA$8:$AA$13,0)),"Review"))</f>
        <v>Bucket 2 · Legacy</v>
      </c>
      <c r="P3911" s="350" t="str">
        <f>IF($B3911="Portfolio","Portfolio",IFERROR(INDEX(DATA_ASSET_CLASSIFICATION!$C$8:$C$24,MATCH($C3911,DATA_ASSET_CLASSIFICATION!$A$8:$A$24,0)),"Review"))</f>
        <v>Yes</v>
      </c>
      <c r="Q3911" s="350" t="str">
        <f t="shared" ca="1" si="123"/>
        <v>OK</v>
      </c>
    </row>
    <row r="3912" spans="1:17">
      <c r="A3912" s="366" t="s">
        <v>5868</v>
      </c>
      <c r="B3912" s="366" t="s">
        <v>231</v>
      </c>
      <c r="C3912" s="348" t="str">
        <f>DATA_PROPERTY_MASTER!$A$17</f>
        <v>BLD_RG</v>
      </c>
      <c r="D3912" s="380">
        <f>'00_PORTFOLIO ROLLUP'!M$12</f>
        <v>2033</v>
      </c>
      <c r="E3912" s="366" t="s">
        <v>1741</v>
      </c>
      <c r="F3912" s="366" t="s">
        <v>41</v>
      </c>
      <c r="G3912" s="348" t="str">
        <f>"'"&amp;$C3912&amp;"'!rows 56 + positive row 63"</f>
        <v>'BLD_RG'!rows 56 + positive row 63</v>
      </c>
      <c r="H3912" s="381">
        <f ca="1">IF(IFERROR(INDEX(DATA_PROPERTY_MASTER!$E$5:$E$21,MATCH($C3912,DATA_PROPERTY_MASTER!$A$5:$A$21,0))="Yes",FALSE),IFERROR(INDEX(INDIRECT("'"&amp;$C3912&amp;"'!$E$56:$Y$56"),1,MATCH($D3912,INDIRECT("'"&amp;$C3912&amp;"'!$E$12:$Y$12"),0)),0)+MAX(IFERROR(INDEX(INDIRECT("'"&amp;$C3912&amp;"'!$E$63:$Y$63"),1,MATCH($D3912,INDIRECT("'"&amp;$C3912&amp;"'!$E$12:$Y$12"),0)),0),0),0)</f>
        <v>92456.455099084851</v>
      </c>
      <c r="I3912" s="366" t="s">
        <v>1685</v>
      </c>
      <c r="J3912" s="348" t="str">
        <f t="shared" ca="1" si="122"/>
        <v>OK</v>
      </c>
      <c r="K3912" s="366" t="s">
        <v>1742</v>
      </c>
      <c r="L3912" s="366" t="s">
        <v>2262</v>
      </c>
      <c r="M3912" s="350" t="str">
        <f>IF($B3912="Portfolio","Portfolio",IFERROR(INDEX(DATA_ASSET_CLASSIFICATION!$B$8:$B$24,MATCH($C3912,DATA_ASSET_CLASSIFICATION!$A$8:$A$24,0)),"Review"))</f>
        <v>Rosemary Green</v>
      </c>
      <c r="N3912" s="350" t="str">
        <f ca="1">IF($B3912="Portfolio","Portfolio",IFERROR(INDEX(DATA_ASSET_CLASSIFICATION!$U$8:$U$24,MATCH($C3912,DATA_ASSET_CLASSIFICATION!$A$8:$A$24,0)),"Review"))</f>
        <v>Refi Watch</v>
      </c>
      <c r="O3912" s="350" t="str">
        <f ca="1">IF($B3912="Portfolio","Portfolio",IFERROR(INDEX(DATA_ASSET_CLASSIFICATION!$AB$8:$AB$13,MATCH($N3912,DATA_ASSET_CLASSIFICATION!$AA$8:$AA$13,0)),"Review"))</f>
        <v>Bucket 2 · Legacy</v>
      </c>
      <c r="P3912" s="350" t="str">
        <f>IF($B3912="Portfolio","Portfolio",IFERROR(INDEX(DATA_ASSET_CLASSIFICATION!$C$8:$C$24,MATCH($C3912,DATA_ASSET_CLASSIFICATION!$A$8:$A$24,0)),"Review"))</f>
        <v>Yes</v>
      </c>
      <c r="Q3912" s="350" t="str">
        <f t="shared" ca="1" si="123"/>
        <v>OK</v>
      </c>
    </row>
    <row r="3913" spans="1:17">
      <c r="A3913" s="366" t="s">
        <v>5869</v>
      </c>
      <c r="B3913" s="366" t="s">
        <v>231</v>
      </c>
      <c r="C3913" s="348" t="str">
        <f>DATA_PROPERTY_MASTER!$A$17</f>
        <v>BLD_RG</v>
      </c>
      <c r="D3913" s="380">
        <f>'00_PORTFOLIO ROLLUP'!M$12</f>
        <v>2033</v>
      </c>
      <c r="E3913" s="366" t="s">
        <v>1741</v>
      </c>
      <c r="F3913" s="366" t="s">
        <v>43</v>
      </c>
      <c r="G3913" s="348" t="str">
        <f>"'"&amp;$C3913&amp;"'!$E$68:$Y$68"</f>
        <v>'BLD_RG'!$E$68:$Y$68</v>
      </c>
      <c r="H3913" s="381">
        <f ca="1">IF(IFERROR(INDEX(DATA_PROPERTY_MASTER!$E$5:$E$21,MATCH($C3913,DATA_PROPERTY_MASTER!$A$5:$A$21,0))="Yes",FALSE),IFERROR(INDEX(INDIRECT("'"&amp;$C3913&amp;"'!$E$68:$Y$68"),1,MATCH($D3913,INDIRECT("'"&amp;$C3913&amp;"'!$E$12:$Y$12"),0)),0),0)</f>
        <v>92456.455099084851</v>
      </c>
      <c r="I3913" s="366" t="s">
        <v>1731</v>
      </c>
      <c r="J3913" s="348" t="str">
        <f t="shared" ca="1" si="122"/>
        <v>OK</v>
      </c>
      <c r="K3913" s="366" t="s">
        <v>1746</v>
      </c>
      <c r="L3913" s="366" t="s">
        <v>2264</v>
      </c>
      <c r="M3913" s="350" t="str">
        <f>IF($B3913="Portfolio","Portfolio",IFERROR(INDEX(DATA_ASSET_CLASSIFICATION!$B$8:$B$24,MATCH($C3913,DATA_ASSET_CLASSIFICATION!$A$8:$A$24,0)),"Review"))</f>
        <v>Rosemary Green</v>
      </c>
      <c r="N3913" s="350" t="str">
        <f ca="1">IF($B3913="Portfolio","Portfolio",IFERROR(INDEX(DATA_ASSET_CLASSIFICATION!$U$8:$U$24,MATCH($C3913,DATA_ASSET_CLASSIFICATION!$A$8:$A$24,0)),"Review"))</f>
        <v>Refi Watch</v>
      </c>
      <c r="O3913" s="350" t="str">
        <f ca="1">IF($B3913="Portfolio","Portfolio",IFERROR(INDEX(DATA_ASSET_CLASSIFICATION!$AB$8:$AB$13,MATCH($N3913,DATA_ASSET_CLASSIFICATION!$AA$8:$AA$13,0)),"Review"))</f>
        <v>Bucket 2 · Legacy</v>
      </c>
      <c r="P3913" s="350" t="str">
        <f>IF($B3913="Portfolio","Portfolio",IFERROR(INDEX(DATA_ASSET_CLASSIFICATION!$C$8:$C$24,MATCH($C3913,DATA_ASSET_CLASSIFICATION!$A$8:$A$24,0)),"Review"))</f>
        <v>Yes</v>
      </c>
      <c r="Q3913" s="350" t="str">
        <f t="shared" ca="1" si="123"/>
        <v>OK</v>
      </c>
    </row>
    <row r="3914" spans="1:17">
      <c r="A3914" s="366" t="s">
        <v>5870</v>
      </c>
      <c r="B3914" s="366" t="s">
        <v>231</v>
      </c>
      <c r="C3914" s="348" t="str">
        <f>DATA_PROPERTY_MASTER!$A$17</f>
        <v>BLD_RG</v>
      </c>
      <c r="D3914" s="380">
        <f>'00_PORTFOLIO ROLLUP'!M$12</f>
        <v>2033</v>
      </c>
      <c r="E3914" s="366" t="s">
        <v>1741</v>
      </c>
      <c r="F3914" s="366" t="s">
        <v>1749</v>
      </c>
      <c r="G3914" s="348" t="str">
        <f>"'"&amp;$C3914&amp;"'!rows 56, 63, 68"</f>
        <v>'BLD_RG'!rows 56, 63, 68</v>
      </c>
      <c r="H3914" s="381">
        <f ca="1">IF(IFERROR(INDEX(DATA_PROPERTY_MASTER!$E$5:$E$21,MATCH($C3914,DATA_PROPERTY_MASTER!$A$5:$A$21,0))="Yes",FALSE),(IFERROR(INDEX(INDIRECT("'"&amp;$C3914&amp;"'!$E$56:$Y$56"),1,MATCH($D3914,INDIRECT("'"&amp;$C3914&amp;"'!$E$12:$Y$12"),0)),0)+MAX(IFERROR(INDEX(INDIRECT("'"&amp;$C3914&amp;"'!$E$63:$Y$63"),1,MATCH($D3914,INDIRECT("'"&amp;$C3914&amp;"'!$E$12:$Y$12"),0)),0),0))-(IFERROR(INDEX(INDIRECT("'"&amp;$C3914&amp;"'!$E$68:$Y$68"),1,MATCH($D3914,INDIRECT("'"&amp;$C3914&amp;"'!$E$12:$Y$12"),0)),0)),0)</f>
        <v>0</v>
      </c>
      <c r="I3914" s="366" t="s">
        <v>1750</v>
      </c>
      <c r="J3914" s="348" t="str">
        <f t="shared" ca="1" si="122"/>
        <v>OK</v>
      </c>
      <c r="K3914" s="366" t="s">
        <v>1751</v>
      </c>
      <c r="L3914" s="366" t="s">
        <v>2266</v>
      </c>
      <c r="M3914" s="350" t="str">
        <f>IF($B3914="Portfolio","Portfolio",IFERROR(INDEX(DATA_ASSET_CLASSIFICATION!$B$8:$B$24,MATCH($C3914,DATA_ASSET_CLASSIFICATION!$A$8:$A$24,0)),"Review"))</f>
        <v>Rosemary Green</v>
      </c>
      <c r="N3914" s="350" t="str">
        <f ca="1">IF($B3914="Portfolio","Portfolio",IFERROR(INDEX(DATA_ASSET_CLASSIFICATION!$U$8:$U$24,MATCH($C3914,DATA_ASSET_CLASSIFICATION!$A$8:$A$24,0)),"Review"))</f>
        <v>Refi Watch</v>
      </c>
      <c r="O3914" s="350" t="str">
        <f ca="1">IF($B3914="Portfolio","Portfolio",IFERROR(INDEX(DATA_ASSET_CLASSIFICATION!$AB$8:$AB$13,MATCH($N3914,DATA_ASSET_CLASSIFICATION!$AA$8:$AA$13,0)),"Review"))</f>
        <v>Bucket 2 · Legacy</v>
      </c>
      <c r="P3914" s="350" t="str">
        <f>IF($B3914="Portfolio","Portfolio",IFERROR(INDEX(DATA_ASSET_CLASSIFICATION!$C$8:$C$24,MATCH($C3914,DATA_ASSET_CLASSIFICATION!$A$8:$A$24,0)),"Review"))</f>
        <v>Yes</v>
      </c>
      <c r="Q3914" s="350" t="str">
        <f t="shared" ca="1" si="123"/>
        <v>OK</v>
      </c>
    </row>
    <row r="3915" spans="1:17">
      <c r="A3915" s="366" t="s">
        <v>5871</v>
      </c>
      <c r="B3915" s="366" t="s">
        <v>231</v>
      </c>
      <c r="C3915" s="348" t="str">
        <f>DATA_PROPERTY_MASTER!$A$17</f>
        <v>BLD_RG</v>
      </c>
      <c r="D3915" s="380">
        <f>'00_PORTFOLIO ROLLUP'!N$12</f>
        <v>2034</v>
      </c>
      <c r="E3915" s="366" t="s">
        <v>1683</v>
      </c>
      <c r="F3915" s="366" t="s">
        <v>341</v>
      </c>
      <c r="G3915" s="348" t="str">
        <f>"'"&amp;$C3915&amp;"'!$E$24:$Y$24"</f>
        <v>'BLD_RG'!$E$24:$Y$24</v>
      </c>
      <c r="H3915" s="381">
        <f ca="1">IF(IFERROR(INDEX(DATA_PROPERTY_MASTER!$E$5:$E$21,MATCH($C3915,DATA_PROPERTY_MASTER!$A$5:$A$21,0))="Yes",FALSE),IFERROR(INDEX(INDIRECT("'"&amp;$C3915&amp;"'!$E$24:$Y$24"),1,MATCH($D3915,INDIRECT("'"&amp;$C3915&amp;"'!$E$12:$Y$12"),0)),0),0)</f>
        <v>536711.96623021399</v>
      </c>
      <c r="I3915" s="366" t="s">
        <v>1685</v>
      </c>
      <c r="J3915" s="348" t="str">
        <f t="shared" ca="1" si="122"/>
        <v>OK</v>
      </c>
      <c r="K3915" s="366" t="s">
        <v>1686</v>
      </c>
      <c r="L3915" s="366" t="s">
        <v>2234</v>
      </c>
      <c r="M3915" s="350" t="str">
        <f>IF($B3915="Portfolio","Portfolio",IFERROR(INDEX(DATA_ASSET_CLASSIFICATION!$B$8:$B$24,MATCH($C3915,DATA_ASSET_CLASSIFICATION!$A$8:$A$24,0)),"Review"))</f>
        <v>Rosemary Green</v>
      </c>
      <c r="N3915" s="350" t="str">
        <f ca="1">IF($B3915="Portfolio","Portfolio",IFERROR(INDEX(DATA_ASSET_CLASSIFICATION!$U$8:$U$24,MATCH($C3915,DATA_ASSET_CLASSIFICATION!$A$8:$A$24,0)),"Review"))</f>
        <v>Refi Watch</v>
      </c>
      <c r="O3915" s="350" t="str">
        <f ca="1">IF($B3915="Portfolio","Portfolio",IFERROR(INDEX(DATA_ASSET_CLASSIFICATION!$AB$8:$AB$13,MATCH($N3915,DATA_ASSET_CLASSIFICATION!$AA$8:$AA$13,0)),"Review"))</f>
        <v>Bucket 2 · Legacy</v>
      </c>
      <c r="P3915" s="350" t="str">
        <f>IF($B3915="Portfolio","Portfolio",IFERROR(INDEX(DATA_ASSET_CLASSIFICATION!$C$8:$C$24,MATCH($C3915,DATA_ASSET_CLASSIFICATION!$A$8:$A$24,0)),"Review"))</f>
        <v>Yes</v>
      </c>
      <c r="Q3915" s="350" t="str">
        <f t="shared" ca="1" si="123"/>
        <v>OK</v>
      </c>
    </row>
    <row r="3916" spans="1:17">
      <c r="A3916" s="366" t="s">
        <v>5872</v>
      </c>
      <c r="B3916" s="366" t="s">
        <v>231</v>
      </c>
      <c r="C3916" s="348" t="str">
        <f>DATA_PROPERTY_MASTER!$A$17</f>
        <v>BLD_RG</v>
      </c>
      <c r="D3916" s="380">
        <f>'00_PORTFOLIO ROLLUP'!N$12</f>
        <v>2034</v>
      </c>
      <c r="E3916" s="366" t="s">
        <v>1683</v>
      </c>
      <c r="F3916" s="366" t="s">
        <v>355</v>
      </c>
      <c r="G3916" s="348" t="str">
        <f>"'"&amp;$C3916&amp;"'!$E$39:$Y$39"</f>
        <v>'BLD_RG'!$E$39:$Y$39</v>
      </c>
      <c r="H3916" s="381">
        <f ca="1">IF(IFERROR(INDEX(DATA_PROPERTY_MASTER!$E$5:$E$21,MATCH($C3916,DATA_PROPERTY_MASTER!$A$5:$A$21,0))="Yes",FALSE),IFERROR(INDEX(INDIRECT("'"&amp;$C3916&amp;"'!$E$39:$Y$39"),1,MATCH($D3916,INDIRECT("'"&amp;$C3916&amp;"'!$E$12:$Y$12"),0)),0),0)</f>
        <v>306848.94701632316</v>
      </c>
      <c r="I3916" s="366" t="s">
        <v>1690</v>
      </c>
      <c r="J3916" s="348" t="str">
        <f t="shared" ca="1" si="122"/>
        <v>OK</v>
      </c>
      <c r="K3916" s="366" t="s">
        <v>1686</v>
      </c>
      <c r="L3916" s="366" t="s">
        <v>2236</v>
      </c>
      <c r="M3916" s="350" t="str">
        <f>IF($B3916="Portfolio","Portfolio",IFERROR(INDEX(DATA_ASSET_CLASSIFICATION!$B$8:$B$24,MATCH($C3916,DATA_ASSET_CLASSIFICATION!$A$8:$A$24,0)),"Review"))</f>
        <v>Rosemary Green</v>
      </c>
      <c r="N3916" s="350" t="str">
        <f ca="1">IF($B3916="Portfolio","Portfolio",IFERROR(INDEX(DATA_ASSET_CLASSIFICATION!$U$8:$U$24,MATCH($C3916,DATA_ASSET_CLASSIFICATION!$A$8:$A$24,0)),"Review"))</f>
        <v>Refi Watch</v>
      </c>
      <c r="O3916" s="350" t="str">
        <f ca="1">IF($B3916="Portfolio","Portfolio",IFERROR(INDEX(DATA_ASSET_CLASSIFICATION!$AB$8:$AB$13,MATCH($N3916,DATA_ASSET_CLASSIFICATION!$AA$8:$AA$13,0)),"Review"))</f>
        <v>Bucket 2 · Legacy</v>
      </c>
      <c r="P3916" s="350" t="str">
        <f>IF($B3916="Portfolio","Portfolio",IFERROR(INDEX(DATA_ASSET_CLASSIFICATION!$C$8:$C$24,MATCH($C3916,DATA_ASSET_CLASSIFICATION!$A$8:$A$24,0)),"Review"))</f>
        <v>Yes</v>
      </c>
      <c r="Q3916" s="350" t="str">
        <f t="shared" ca="1" si="123"/>
        <v>OK</v>
      </c>
    </row>
    <row r="3917" spans="1:17">
      <c r="A3917" s="366" t="s">
        <v>5873</v>
      </c>
      <c r="B3917" s="366" t="s">
        <v>231</v>
      </c>
      <c r="C3917" s="348" t="str">
        <f>DATA_PROPERTY_MASTER!$A$17</f>
        <v>BLD_RG</v>
      </c>
      <c r="D3917" s="380">
        <f>'00_PORTFOLIO ROLLUP'!N$12</f>
        <v>2034</v>
      </c>
      <c r="E3917" s="366" t="s">
        <v>1683</v>
      </c>
      <c r="F3917" s="366" t="s">
        <v>19</v>
      </c>
      <c r="G3917" s="348" t="str">
        <f>"'"&amp;$C3917&amp;"'!$E$41:$Y$41"</f>
        <v>'BLD_RG'!$E$41:$Y$41</v>
      </c>
      <c r="H3917" s="381">
        <f ca="1">IF(IFERROR(INDEX(DATA_PROPERTY_MASTER!$E$5:$E$21,MATCH($C3917,DATA_PROPERTY_MASTER!$A$5:$A$21,0))="Yes",FALSE),IFERROR(INDEX(INDIRECT("'"&amp;$C3917&amp;"'!$E$41:$Y$41"),1,MATCH($D3917,INDIRECT("'"&amp;$C3917&amp;"'!$E$12:$Y$12"),0)),0),0)</f>
        <v>229863.01921389083</v>
      </c>
      <c r="I3917" s="366" t="s">
        <v>1685</v>
      </c>
      <c r="J3917" s="348" t="str">
        <f t="shared" ca="1" si="122"/>
        <v>OK</v>
      </c>
      <c r="K3917" s="366" t="s">
        <v>1694</v>
      </c>
      <c r="L3917" s="366" t="s">
        <v>2238</v>
      </c>
      <c r="M3917" s="350" t="str">
        <f>IF($B3917="Portfolio","Portfolio",IFERROR(INDEX(DATA_ASSET_CLASSIFICATION!$B$8:$B$24,MATCH($C3917,DATA_ASSET_CLASSIFICATION!$A$8:$A$24,0)),"Review"))</f>
        <v>Rosemary Green</v>
      </c>
      <c r="N3917" s="350" t="str">
        <f ca="1">IF($B3917="Portfolio","Portfolio",IFERROR(INDEX(DATA_ASSET_CLASSIFICATION!$U$8:$U$24,MATCH($C3917,DATA_ASSET_CLASSIFICATION!$A$8:$A$24,0)),"Review"))</f>
        <v>Refi Watch</v>
      </c>
      <c r="O3917" s="350" t="str">
        <f ca="1">IF($B3917="Portfolio","Portfolio",IFERROR(INDEX(DATA_ASSET_CLASSIFICATION!$AB$8:$AB$13,MATCH($N3917,DATA_ASSET_CLASSIFICATION!$AA$8:$AA$13,0)),"Review"))</f>
        <v>Bucket 2 · Legacy</v>
      </c>
      <c r="P3917" s="350" t="str">
        <f>IF($B3917="Portfolio","Portfolio",IFERROR(INDEX(DATA_ASSET_CLASSIFICATION!$C$8:$C$24,MATCH($C3917,DATA_ASSET_CLASSIFICATION!$A$8:$A$24,0)),"Review"))</f>
        <v>Yes</v>
      </c>
      <c r="Q3917" s="350" t="str">
        <f t="shared" ca="1" si="123"/>
        <v>OK</v>
      </c>
    </row>
    <row r="3918" spans="1:17">
      <c r="A3918" s="366" t="s">
        <v>5874</v>
      </c>
      <c r="B3918" s="366" t="s">
        <v>231</v>
      </c>
      <c r="C3918" s="348" t="str">
        <f>DATA_PROPERTY_MASTER!$A$17</f>
        <v>BLD_RG</v>
      </c>
      <c r="D3918" s="380">
        <f>'00_PORTFOLIO ROLLUP'!N$12</f>
        <v>2034</v>
      </c>
      <c r="E3918" s="366" t="s">
        <v>1683</v>
      </c>
      <c r="F3918" s="366" t="s">
        <v>1697</v>
      </c>
      <c r="G3918" s="348" t="str">
        <f>"'"&amp;$C3918&amp;"'!$E$44:$Y$44"</f>
        <v>'BLD_RG'!$E$44:$Y$44</v>
      </c>
      <c r="H3918" s="381">
        <f ca="1">IF(IFERROR(INDEX(DATA_PROPERTY_MASTER!$E$5:$E$21,MATCH($C3918,DATA_PROPERTY_MASTER!$A$5:$A$21,0))="Yes",FALSE),IFERROR(INDEX(INDIRECT("'"&amp;$C3918&amp;"'!$E$44:$Y$44"),1,MATCH($D3918,INDIRECT("'"&amp;$C3918&amp;"'!$E$12:$Y$12"),0)),0),0)</f>
        <v>6812.0276411471714</v>
      </c>
      <c r="I3918" s="366" t="s">
        <v>1690</v>
      </c>
      <c r="J3918" s="348" t="str">
        <f t="shared" ca="1" si="122"/>
        <v>OK</v>
      </c>
      <c r="K3918" s="366" t="s">
        <v>1699</v>
      </c>
      <c r="L3918" s="366" t="s">
        <v>2240</v>
      </c>
      <c r="M3918" s="350" t="str">
        <f>IF($B3918="Portfolio","Portfolio",IFERROR(INDEX(DATA_ASSET_CLASSIFICATION!$B$8:$B$24,MATCH($C3918,DATA_ASSET_CLASSIFICATION!$A$8:$A$24,0)),"Review"))</f>
        <v>Rosemary Green</v>
      </c>
      <c r="N3918" s="350" t="str">
        <f ca="1">IF($B3918="Portfolio","Portfolio",IFERROR(INDEX(DATA_ASSET_CLASSIFICATION!$U$8:$U$24,MATCH($C3918,DATA_ASSET_CLASSIFICATION!$A$8:$A$24,0)),"Review"))</f>
        <v>Refi Watch</v>
      </c>
      <c r="O3918" s="350" t="str">
        <f ca="1">IF($B3918="Portfolio","Portfolio",IFERROR(INDEX(DATA_ASSET_CLASSIFICATION!$AB$8:$AB$13,MATCH($N3918,DATA_ASSET_CLASSIFICATION!$AA$8:$AA$13,0)),"Review"))</f>
        <v>Bucket 2 · Legacy</v>
      </c>
      <c r="P3918" s="350" t="str">
        <f>IF($B3918="Portfolio","Portfolio",IFERROR(INDEX(DATA_ASSET_CLASSIFICATION!$C$8:$C$24,MATCH($C3918,DATA_ASSET_CLASSIFICATION!$A$8:$A$24,0)),"Review"))</f>
        <v>Yes</v>
      </c>
      <c r="Q3918" s="350" t="str">
        <f t="shared" ca="1" si="123"/>
        <v>OK</v>
      </c>
    </row>
    <row r="3919" spans="1:17">
      <c r="A3919" s="366" t="s">
        <v>5875</v>
      </c>
      <c r="B3919" s="366" t="s">
        <v>231</v>
      </c>
      <c r="C3919" s="348" t="str">
        <f>DATA_PROPERTY_MASTER!$A$17</f>
        <v>BLD_RG</v>
      </c>
      <c r="D3919" s="380">
        <f>'00_PORTFOLIO ROLLUP'!N$12</f>
        <v>2034</v>
      </c>
      <c r="E3919" s="366" t="s">
        <v>1683</v>
      </c>
      <c r="F3919" s="366" t="s">
        <v>21</v>
      </c>
      <c r="G3919" s="348" t="str">
        <f>"'"&amp;$C3919&amp;"'!$E$45:$Y$45"</f>
        <v>'BLD_RG'!$E$45:$Y$45</v>
      </c>
      <c r="H3919" s="381">
        <f ca="1">IF(IFERROR(INDEX(DATA_PROPERTY_MASTER!$E$5:$E$21,MATCH($C3919,DATA_PROPERTY_MASTER!$A$5:$A$21,0))="Yes",FALSE),IFERROR(INDEX(INDIRECT("'"&amp;$C3919&amp;"'!$E$45:$Y$45"),1,MATCH($D3919,INDIRECT("'"&amp;$C3919&amp;"'!$E$12:$Y$12"),0)),0),0)</f>
        <v>223050.99157274366</v>
      </c>
      <c r="I3919" s="366" t="s">
        <v>1685</v>
      </c>
      <c r="J3919" s="348" t="str">
        <f t="shared" ca="1" si="122"/>
        <v>OK</v>
      </c>
      <c r="K3919" s="366" t="s">
        <v>1694</v>
      </c>
      <c r="L3919" s="366" t="s">
        <v>2242</v>
      </c>
      <c r="M3919" s="350" t="str">
        <f>IF($B3919="Portfolio","Portfolio",IFERROR(INDEX(DATA_ASSET_CLASSIFICATION!$B$8:$B$24,MATCH($C3919,DATA_ASSET_CLASSIFICATION!$A$8:$A$24,0)),"Review"))</f>
        <v>Rosemary Green</v>
      </c>
      <c r="N3919" s="350" t="str">
        <f ca="1">IF($B3919="Portfolio","Portfolio",IFERROR(INDEX(DATA_ASSET_CLASSIFICATION!$U$8:$U$24,MATCH($C3919,DATA_ASSET_CLASSIFICATION!$A$8:$A$24,0)),"Review"))</f>
        <v>Refi Watch</v>
      </c>
      <c r="O3919" s="350" t="str">
        <f ca="1">IF($B3919="Portfolio","Portfolio",IFERROR(INDEX(DATA_ASSET_CLASSIFICATION!$AB$8:$AB$13,MATCH($N3919,DATA_ASSET_CLASSIFICATION!$AA$8:$AA$13,0)),"Review"))</f>
        <v>Bucket 2 · Legacy</v>
      </c>
      <c r="P3919" s="350" t="str">
        <f>IF($B3919="Portfolio","Portfolio",IFERROR(INDEX(DATA_ASSET_CLASSIFICATION!$C$8:$C$24,MATCH($C3919,DATA_ASSET_CLASSIFICATION!$A$8:$A$24,0)),"Review"))</f>
        <v>Yes</v>
      </c>
      <c r="Q3919" s="350" t="str">
        <f t="shared" ca="1" si="123"/>
        <v>OK</v>
      </c>
    </row>
    <row r="3920" spans="1:17">
      <c r="A3920" s="366" t="s">
        <v>5876</v>
      </c>
      <c r="B3920" s="366" t="s">
        <v>231</v>
      </c>
      <c r="C3920" s="348" t="str">
        <f>DATA_PROPERTY_MASTER!$A$17</f>
        <v>BLD_RG</v>
      </c>
      <c r="D3920" s="380">
        <f>'00_PORTFOLIO ROLLUP'!N$12</f>
        <v>2034</v>
      </c>
      <c r="E3920" s="366" t="s">
        <v>23</v>
      </c>
      <c r="F3920" s="366" t="s">
        <v>23</v>
      </c>
      <c r="G3920" s="348" t="str">
        <f>"'"&amp;$C3920&amp;"'!$E$48:$Y$48"</f>
        <v>'BLD_RG'!$E$48:$Y$48</v>
      </c>
      <c r="H3920" s="381">
        <f ca="1">IF(IFERROR(INDEX(DATA_PROPERTY_MASTER!$E$5:$E$21,MATCH($C3920,DATA_PROPERTY_MASTER!$A$5:$A$21,0))="Yes",FALSE),IFERROR(INDEX(INDIRECT("'"&amp;$C3920&amp;"'!$E$48:$Y$48"),1,MATCH($D3920,INDIRECT("'"&amp;$C3920&amp;"'!$E$12:$Y$12"),0)),0),0)</f>
        <v>0</v>
      </c>
      <c r="I3920" s="366" t="s">
        <v>1690</v>
      </c>
      <c r="J3920" s="348" t="str">
        <f t="shared" ca="1" si="122"/>
        <v>OK</v>
      </c>
      <c r="K3920" s="366" t="s">
        <v>1706</v>
      </c>
      <c r="L3920" s="366" t="s">
        <v>2244</v>
      </c>
      <c r="M3920" s="350" t="str">
        <f>IF($B3920="Portfolio","Portfolio",IFERROR(INDEX(DATA_ASSET_CLASSIFICATION!$B$8:$B$24,MATCH($C3920,DATA_ASSET_CLASSIFICATION!$A$8:$A$24,0)),"Review"))</f>
        <v>Rosemary Green</v>
      </c>
      <c r="N3920" s="350" t="str">
        <f ca="1">IF($B3920="Portfolio","Portfolio",IFERROR(INDEX(DATA_ASSET_CLASSIFICATION!$U$8:$U$24,MATCH($C3920,DATA_ASSET_CLASSIFICATION!$A$8:$A$24,0)),"Review"))</f>
        <v>Refi Watch</v>
      </c>
      <c r="O3920" s="350" t="str">
        <f ca="1">IF($B3920="Portfolio","Portfolio",IFERROR(INDEX(DATA_ASSET_CLASSIFICATION!$AB$8:$AB$13,MATCH($N3920,DATA_ASSET_CLASSIFICATION!$AA$8:$AA$13,0)),"Review"))</f>
        <v>Bucket 2 · Legacy</v>
      </c>
      <c r="P3920" s="350" t="str">
        <f>IF($B3920="Portfolio","Portfolio",IFERROR(INDEX(DATA_ASSET_CLASSIFICATION!$C$8:$C$24,MATCH($C3920,DATA_ASSET_CLASSIFICATION!$A$8:$A$24,0)),"Review"))</f>
        <v>Yes</v>
      </c>
      <c r="Q3920" s="350" t="str">
        <f t="shared" ca="1" si="123"/>
        <v>OK</v>
      </c>
    </row>
    <row r="3921" spans="1:17">
      <c r="A3921" s="366" t="s">
        <v>5877</v>
      </c>
      <c r="B3921" s="366" t="s">
        <v>231</v>
      </c>
      <c r="C3921" s="348" t="str">
        <f>DATA_PROPERTY_MASTER!$A$17</f>
        <v>BLD_RG</v>
      </c>
      <c r="D3921" s="380">
        <f>'00_PORTFOLIO ROLLUP'!N$12</f>
        <v>2034</v>
      </c>
      <c r="E3921" s="366" t="s">
        <v>1683</v>
      </c>
      <c r="F3921" s="366" t="s">
        <v>25</v>
      </c>
      <c r="G3921" s="348" t="str">
        <f>"'"&amp;$C3921&amp;"'!$E$52:$Y$52"</f>
        <v>'BLD_RG'!$E$52:$Y$52</v>
      </c>
      <c r="H3921" s="381">
        <f ca="1">IF(IFERROR(INDEX(DATA_PROPERTY_MASTER!$E$5:$E$21,MATCH($C3921,DATA_PROPERTY_MASTER!$A$5:$A$21,0))="Yes",FALSE),IFERROR(INDEX(INDIRECT("'"&amp;$C3921&amp;"'!$E$52:$Y$52"),1,MATCH($D3921,INDIRECT("'"&amp;$C3921&amp;"'!$E$12:$Y$12"),0)),0),0)</f>
        <v>229863.01921389083</v>
      </c>
      <c r="I3921" s="366" t="s">
        <v>1685</v>
      </c>
      <c r="J3921" s="348" t="str">
        <f t="shared" ca="1" si="122"/>
        <v>OK</v>
      </c>
      <c r="K3921" s="366" t="s">
        <v>1710</v>
      </c>
      <c r="L3921" s="366" t="s">
        <v>2246</v>
      </c>
      <c r="M3921" s="350" t="str">
        <f>IF($B3921="Portfolio","Portfolio",IFERROR(INDEX(DATA_ASSET_CLASSIFICATION!$B$8:$B$24,MATCH($C3921,DATA_ASSET_CLASSIFICATION!$A$8:$A$24,0)),"Review"))</f>
        <v>Rosemary Green</v>
      </c>
      <c r="N3921" s="350" t="str">
        <f ca="1">IF($B3921="Portfolio","Portfolio",IFERROR(INDEX(DATA_ASSET_CLASSIFICATION!$U$8:$U$24,MATCH($C3921,DATA_ASSET_CLASSIFICATION!$A$8:$A$24,0)),"Review"))</f>
        <v>Refi Watch</v>
      </c>
      <c r="O3921" s="350" t="str">
        <f ca="1">IF($B3921="Portfolio","Portfolio",IFERROR(INDEX(DATA_ASSET_CLASSIFICATION!$AB$8:$AB$13,MATCH($N3921,DATA_ASSET_CLASSIFICATION!$AA$8:$AA$13,0)),"Review"))</f>
        <v>Bucket 2 · Legacy</v>
      </c>
      <c r="P3921" s="350" t="str">
        <f>IF($B3921="Portfolio","Portfolio",IFERROR(INDEX(DATA_ASSET_CLASSIFICATION!$C$8:$C$24,MATCH($C3921,DATA_ASSET_CLASSIFICATION!$A$8:$A$24,0)),"Review"))</f>
        <v>Yes</v>
      </c>
      <c r="Q3921" s="350" t="str">
        <f t="shared" ca="1" si="123"/>
        <v>OK</v>
      </c>
    </row>
    <row r="3922" spans="1:17">
      <c r="A3922" s="366" t="s">
        <v>5878</v>
      </c>
      <c r="B3922" s="366" t="s">
        <v>231</v>
      </c>
      <c r="C3922" s="348" t="str">
        <f>DATA_PROPERTY_MASTER!$A$17</f>
        <v>BLD_RG</v>
      </c>
      <c r="D3922" s="380">
        <f>'00_PORTFOLIO ROLLUP'!N$12</f>
        <v>2034</v>
      </c>
      <c r="E3922" s="366" t="s">
        <v>1683</v>
      </c>
      <c r="F3922" s="366" t="s">
        <v>27</v>
      </c>
      <c r="G3922" s="348" t="str">
        <f>"'"&amp;$C3922&amp;"'!$E$54:$Y$54"</f>
        <v>'BLD_RG'!$E$54:$Y$54</v>
      </c>
      <c r="H3922" s="381">
        <f ca="1">IF(IFERROR(INDEX(DATA_PROPERTY_MASTER!$E$5:$E$21,MATCH($C3922,DATA_PROPERTY_MASTER!$A$5:$A$21,0))="Yes",FALSE),IFERROR(INDEX(INDIRECT("'"&amp;$C3922&amp;"'!$E$54:$Y$54"),1,MATCH($D3922,INDIRECT("'"&amp;$C3922&amp;"'!$E$12:$Y$12"),0)),0),0)</f>
        <v>137917.81152833448</v>
      </c>
      <c r="I3922" s="366" t="s">
        <v>1690</v>
      </c>
      <c r="J3922" s="348" t="str">
        <f t="shared" ca="1" si="122"/>
        <v>OK</v>
      </c>
      <c r="K3922" s="366" t="s">
        <v>1714</v>
      </c>
      <c r="L3922" s="366" t="s">
        <v>2248</v>
      </c>
      <c r="M3922" s="350" t="str">
        <f>IF($B3922="Portfolio","Portfolio",IFERROR(INDEX(DATA_ASSET_CLASSIFICATION!$B$8:$B$24,MATCH($C3922,DATA_ASSET_CLASSIFICATION!$A$8:$A$24,0)),"Review"))</f>
        <v>Rosemary Green</v>
      </c>
      <c r="N3922" s="350" t="str">
        <f ca="1">IF($B3922="Portfolio","Portfolio",IFERROR(INDEX(DATA_ASSET_CLASSIFICATION!$U$8:$U$24,MATCH($C3922,DATA_ASSET_CLASSIFICATION!$A$8:$A$24,0)),"Review"))</f>
        <v>Refi Watch</v>
      </c>
      <c r="O3922" s="350" t="str">
        <f ca="1">IF($B3922="Portfolio","Portfolio",IFERROR(INDEX(DATA_ASSET_CLASSIFICATION!$AB$8:$AB$13,MATCH($N3922,DATA_ASSET_CLASSIFICATION!$AA$8:$AA$13,0)),"Review"))</f>
        <v>Bucket 2 · Legacy</v>
      </c>
      <c r="P3922" s="350" t="str">
        <f>IF($B3922="Portfolio","Portfolio",IFERROR(INDEX(DATA_ASSET_CLASSIFICATION!$C$8:$C$24,MATCH($C3922,DATA_ASSET_CLASSIFICATION!$A$8:$A$24,0)),"Review"))</f>
        <v>Yes</v>
      </c>
      <c r="Q3922" s="350" t="str">
        <f t="shared" ca="1" si="123"/>
        <v>OK</v>
      </c>
    </row>
    <row r="3923" spans="1:17">
      <c r="A3923" s="366" t="s">
        <v>5879</v>
      </c>
      <c r="B3923" s="366" t="s">
        <v>231</v>
      </c>
      <c r="C3923" s="348" t="str">
        <f>DATA_PROPERTY_MASTER!$A$17</f>
        <v>BLD_RG</v>
      </c>
      <c r="D3923" s="380">
        <f>'00_PORTFOLIO ROLLUP'!N$12</f>
        <v>2034</v>
      </c>
      <c r="E3923" s="366" t="s">
        <v>1683</v>
      </c>
      <c r="F3923" s="366" t="s">
        <v>29</v>
      </c>
      <c r="G3923" s="348" t="str">
        <f>"'"&amp;$C3923&amp;"'!$E$56:$Y$56"</f>
        <v>'BLD_RG'!$E$56:$Y$56</v>
      </c>
      <c r="H3923" s="381">
        <f ca="1">IF(IFERROR(INDEX(DATA_PROPERTY_MASTER!$E$5:$E$21,MATCH($C3923,DATA_PROPERTY_MASTER!$A$5:$A$21,0))="Yes",FALSE),IFERROR(INDEX(INDIRECT("'"&amp;$C3923&amp;"'!$E$56:$Y$56"),1,MATCH($D3923,INDIRECT("'"&amp;$C3923&amp;"'!$E$12:$Y$12"),0)),0),0)</f>
        <v>91945.20768555635</v>
      </c>
      <c r="I3923" s="366" t="s">
        <v>1685</v>
      </c>
      <c r="J3923" s="348" t="str">
        <f t="shared" ca="1" si="122"/>
        <v>OK</v>
      </c>
      <c r="K3923" s="366" t="s">
        <v>1718</v>
      </c>
      <c r="L3923" s="366" t="s">
        <v>2250</v>
      </c>
      <c r="M3923" s="350" t="str">
        <f>IF($B3923="Portfolio","Portfolio",IFERROR(INDEX(DATA_ASSET_CLASSIFICATION!$B$8:$B$24,MATCH($C3923,DATA_ASSET_CLASSIFICATION!$A$8:$A$24,0)),"Review"))</f>
        <v>Rosemary Green</v>
      </c>
      <c r="N3923" s="350" t="str">
        <f ca="1">IF($B3923="Portfolio","Portfolio",IFERROR(INDEX(DATA_ASSET_CLASSIFICATION!$U$8:$U$24,MATCH($C3923,DATA_ASSET_CLASSIFICATION!$A$8:$A$24,0)),"Review"))</f>
        <v>Refi Watch</v>
      </c>
      <c r="O3923" s="350" t="str">
        <f ca="1">IF($B3923="Portfolio","Portfolio",IFERROR(INDEX(DATA_ASSET_CLASSIFICATION!$AB$8:$AB$13,MATCH($N3923,DATA_ASSET_CLASSIFICATION!$AA$8:$AA$13,0)),"Review"))</f>
        <v>Bucket 2 · Legacy</v>
      </c>
      <c r="P3923" s="350" t="str">
        <f>IF($B3923="Portfolio","Portfolio",IFERROR(INDEX(DATA_ASSET_CLASSIFICATION!$C$8:$C$24,MATCH($C3923,DATA_ASSET_CLASSIFICATION!$A$8:$A$24,0)),"Review"))</f>
        <v>Yes</v>
      </c>
      <c r="Q3923" s="350" t="str">
        <f t="shared" ca="1" si="123"/>
        <v>OK</v>
      </c>
    </row>
    <row r="3924" spans="1:17">
      <c r="A3924" s="366" t="s">
        <v>5880</v>
      </c>
      <c r="B3924" s="366" t="s">
        <v>231</v>
      </c>
      <c r="C3924" s="348" t="str">
        <f>DATA_PROPERTY_MASTER!$A$17</f>
        <v>BLD_RG</v>
      </c>
      <c r="D3924" s="380">
        <f>'00_PORTFOLIO ROLLUP'!N$12</f>
        <v>2034</v>
      </c>
      <c r="E3924" s="366" t="s">
        <v>1721</v>
      </c>
      <c r="F3924" s="366" t="s">
        <v>31</v>
      </c>
      <c r="G3924" s="348" t="str">
        <f>"'"&amp;$C3924&amp;"'!$E$61:$Y$61"</f>
        <v>'BLD_RG'!$E$61:$Y$61</v>
      </c>
      <c r="H3924" s="381">
        <f ca="1">IF(IFERROR(INDEX(DATA_PROPERTY_MASTER!$E$5:$E$21,MATCH($C3924,DATA_PROPERTY_MASTER!$A$5:$A$21,0))="Yes",FALSE),IFERROR(INDEX(INDIRECT("'"&amp;$C3924&amp;"'!$E$61:$Y$61"),1,MATCH($D3924,INDIRECT("'"&amp;$C3924&amp;"'!$E$12:$Y$12"),0)),0),0)</f>
        <v>0</v>
      </c>
      <c r="I3924" s="366" t="s">
        <v>1690</v>
      </c>
      <c r="J3924" s="348" t="str">
        <f t="shared" ca="1" si="122"/>
        <v>OK</v>
      </c>
      <c r="K3924" s="366" t="s">
        <v>1723</v>
      </c>
      <c r="L3924" s="366" t="s">
        <v>2252</v>
      </c>
      <c r="M3924" s="350" t="str">
        <f>IF($B3924="Portfolio","Portfolio",IFERROR(INDEX(DATA_ASSET_CLASSIFICATION!$B$8:$B$24,MATCH($C3924,DATA_ASSET_CLASSIFICATION!$A$8:$A$24,0)),"Review"))</f>
        <v>Rosemary Green</v>
      </c>
      <c r="N3924" s="350" t="str">
        <f ca="1">IF($B3924="Portfolio","Portfolio",IFERROR(INDEX(DATA_ASSET_CLASSIFICATION!$U$8:$U$24,MATCH($C3924,DATA_ASSET_CLASSIFICATION!$A$8:$A$24,0)),"Review"))</f>
        <v>Refi Watch</v>
      </c>
      <c r="O3924" s="350" t="str">
        <f ca="1">IF($B3924="Portfolio","Portfolio",IFERROR(INDEX(DATA_ASSET_CLASSIFICATION!$AB$8:$AB$13,MATCH($N3924,DATA_ASSET_CLASSIFICATION!$AA$8:$AA$13,0)),"Review"))</f>
        <v>Bucket 2 · Legacy</v>
      </c>
      <c r="P3924" s="350" t="str">
        <f>IF($B3924="Portfolio","Portfolio",IFERROR(INDEX(DATA_ASSET_CLASSIFICATION!$C$8:$C$24,MATCH($C3924,DATA_ASSET_CLASSIFICATION!$A$8:$A$24,0)),"Review"))</f>
        <v>Yes</v>
      </c>
      <c r="Q3924" s="350" t="str">
        <f t="shared" ca="1" si="123"/>
        <v>OK</v>
      </c>
    </row>
    <row r="3925" spans="1:17">
      <c r="A3925" s="366" t="s">
        <v>5881</v>
      </c>
      <c r="B3925" s="366" t="s">
        <v>231</v>
      </c>
      <c r="C3925" s="348" t="str">
        <f>DATA_PROPERTY_MASTER!$A$17</f>
        <v>BLD_RG</v>
      </c>
      <c r="D3925" s="380">
        <f>'00_PORTFOLIO ROLLUP'!N$12</f>
        <v>2034</v>
      </c>
      <c r="E3925" s="366" t="s">
        <v>1721</v>
      </c>
      <c r="F3925" s="366" t="s">
        <v>33</v>
      </c>
      <c r="G3925" s="348" t="str">
        <f>"'"&amp;$C3925&amp;"'!$E$62:$Y$62"</f>
        <v>'BLD_RG'!$E$62:$Y$62</v>
      </c>
      <c r="H3925" s="381">
        <f ca="1">IF(IFERROR(INDEX(DATA_PROPERTY_MASTER!$E$5:$E$21,MATCH($C3925,DATA_PROPERTY_MASTER!$A$5:$A$21,0))="Yes",FALSE),IFERROR(INDEX(INDIRECT("'"&amp;$C3925&amp;"'!$E$62:$Y$62"),1,MATCH($D3925,INDIRECT("'"&amp;$C3925&amp;"'!$E$12:$Y$12"),0)),0),0)</f>
        <v>0</v>
      </c>
      <c r="I3925" s="366" t="s">
        <v>1685</v>
      </c>
      <c r="J3925" s="348" t="str">
        <f t="shared" ca="1" si="122"/>
        <v>OK</v>
      </c>
      <c r="K3925" s="366" t="s">
        <v>1727</v>
      </c>
      <c r="L3925" s="366" t="s">
        <v>2254</v>
      </c>
      <c r="M3925" s="350" t="str">
        <f>IF($B3925="Portfolio","Portfolio",IFERROR(INDEX(DATA_ASSET_CLASSIFICATION!$B$8:$B$24,MATCH($C3925,DATA_ASSET_CLASSIFICATION!$A$8:$A$24,0)),"Review"))</f>
        <v>Rosemary Green</v>
      </c>
      <c r="N3925" s="350" t="str">
        <f ca="1">IF($B3925="Portfolio","Portfolio",IFERROR(INDEX(DATA_ASSET_CLASSIFICATION!$U$8:$U$24,MATCH($C3925,DATA_ASSET_CLASSIFICATION!$A$8:$A$24,0)),"Review"))</f>
        <v>Refi Watch</v>
      </c>
      <c r="O3925" s="350" t="str">
        <f ca="1">IF($B3925="Portfolio","Portfolio",IFERROR(INDEX(DATA_ASSET_CLASSIFICATION!$AB$8:$AB$13,MATCH($N3925,DATA_ASSET_CLASSIFICATION!$AA$8:$AA$13,0)),"Review"))</f>
        <v>Bucket 2 · Legacy</v>
      </c>
      <c r="P3925" s="350" t="str">
        <f>IF($B3925="Portfolio","Portfolio",IFERROR(INDEX(DATA_ASSET_CLASSIFICATION!$C$8:$C$24,MATCH($C3925,DATA_ASSET_CLASSIFICATION!$A$8:$A$24,0)),"Review"))</f>
        <v>Yes</v>
      </c>
      <c r="Q3925" s="350" t="str">
        <f t="shared" ca="1" si="123"/>
        <v>OK</v>
      </c>
    </row>
    <row r="3926" spans="1:17">
      <c r="A3926" s="366" t="s">
        <v>5882</v>
      </c>
      <c r="B3926" s="366" t="s">
        <v>231</v>
      </c>
      <c r="C3926" s="348" t="str">
        <f>DATA_PROPERTY_MASTER!$A$17</f>
        <v>BLD_RG</v>
      </c>
      <c r="D3926" s="380">
        <f>'00_PORTFOLIO ROLLUP'!N$12</f>
        <v>2034</v>
      </c>
      <c r="E3926" s="366" t="s">
        <v>1721</v>
      </c>
      <c r="F3926" s="366" t="s">
        <v>35</v>
      </c>
      <c r="G3926" s="348" t="str">
        <f>"'"&amp;$C3926&amp;"'!$E$63:$Y$63"</f>
        <v>'BLD_RG'!$E$63:$Y$63</v>
      </c>
      <c r="H3926" s="381">
        <f ca="1">IF(IFERROR(INDEX(DATA_PROPERTY_MASTER!$E$5:$E$21,MATCH($C3926,DATA_PROPERTY_MASTER!$A$5:$A$21,0))="Yes",FALSE),IFERROR(INDEX(INDIRECT("'"&amp;$C3926&amp;"'!$E$63:$Y$63"),1,MATCH($D3926,INDIRECT("'"&amp;$C3926&amp;"'!$E$12:$Y$12"),0)),0),0)</f>
        <v>0</v>
      </c>
      <c r="I3926" s="366" t="s">
        <v>1731</v>
      </c>
      <c r="J3926" s="348" t="str">
        <f t="shared" ca="1" si="122"/>
        <v>OK</v>
      </c>
      <c r="K3926" s="366" t="s">
        <v>1732</v>
      </c>
      <c r="L3926" s="366" t="s">
        <v>2256</v>
      </c>
      <c r="M3926" s="350" t="str">
        <f>IF($B3926="Portfolio","Portfolio",IFERROR(INDEX(DATA_ASSET_CLASSIFICATION!$B$8:$B$24,MATCH($C3926,DATA_ASSET_CLASSIFICATION!$A$8:$A$24,0)),"Review"))</f>
        <v>Rosemary Green</v>
      </c>
      <c r="N3926" s="350" t="str">
        <f ca="1">IF($B3926="Portfolio","Portfolio",IFERROR(INDEX(DATA_ASSET_CLASSIFICATION!$U$8:$U$24,MATCH($C3926,DATA_ASSET_CLASSIFICATION!$A$8:$A$24,0)),"Review"))</f>
        <v>Refi Watch</v>
      </c>
      <c r="O3926" s="350" t="str">
        <f ca="1">IF($B3926="Portfolio","Portfolio",IFERROR(INDEX(DATA_ASSET_CLASSIFICATION!$AB$8:$AB$13,MATCH($N3926,DATA_ASSET_CLASSIFICATION!$AA$8:$AA$13,0)),"Review"))</f>
        <v>Bucket 2 · Legacy</v>
      </c>
      <c r="P3926" s="350" t="str">
        <f>IF($B3926="Portfolio","Portfolio",IFERROR(INDEX(DATA_ASSET_CLASSIFICATION!$C$8:$C$24,MATCH($C3926,DATA_ASSET_CLASSIFICATION!$A$8:$A$24,0)),"Review"))</f>
        <v>Yes</v>
      </c>
      <c r="Q3926" s="350" t="str">
        <f t="shared" ca="1" si="123"/>
        <v>OK</v>
      </c>
    </row>
    <row r="3927" spans="1:17">
      <c r="A3927" s="366" t="s">
        <v>5883</v>
      </c>
      <c r="B3927" s="366" t="s">
        <v>231</v>
      </c>
      <c r="C3927" s="348" t="str">
        <f>DATA_PROPERTY_MASTER!$A$17</f>
        <v>BLD_RG</v>
      </c>
      <c r="D3927" s="380">
        <f>'00_PORTFOLIO ROLLUP'!N$12</f>
        <v>2034</v>
      </c>
      <c r="E3927" s="366" t="s">
        <v>1721</v>
      </c>
      <c r="F3927" s="366" t="s">
        <v>37</v>
      </c>
      <c r="G3927" s="348" t="str">
        <f>"'"&amp;$C3927&amp;"'!$E$63:$Y$63"</f>
        <v>'BLD_RG'!$E$63:$Y$63</v>
      </c>
      <c r="H3927" s="381">
        <f ca="1">IF(IFERROR(INDEX(DATA_PROPERTY_MASTER!$E$5:$E$21,MATCH($C3927,DATA_PROPERTY_MASTER!$A$5:$A$21,0))="Yes",FALSE),MAX(IFERROR(INDEX(INDIRECT("'"&amp;$C3927&amp;"'!$E$63:$Y$63"),1,MATCH($D3927,INDIRECT("'"&amp;$C3927&amp;"'!$E$12:$Y$12"),0)),0),0),0)</f>
        <v>0</v>
      </c>
      <c r="I3927" s="366" t="s">
        <v>1685</v>
      </c>
      <c r="J3927" s="348" t="str">
        <f t="shared" ca="1" si="122"/>
        <v>OK</v>
      </c>
      <c r="K3927" s="366" t="s">
        <v>1735</v>
      </c>
      <c r="L3927" s="366" t="s">
        <v>2258</v>
      </c>
      <c r="M3927" s="350" t="str">
        <f>IF($B3927="Portfolio","Portfolio",IFERROR(INDEX(DATA_ASSET_CLASSIFICATION!$B$8:$B$24,MATCH($C3927,DATA_ASSET_CLASSIFICATION!$A$8:$A$24,0)),"Review"))</f>
        <v>Rosemary Green</v>
      </c>
      <c r="N3927" s="350" t="str">
        <f ca="1">IF($B3927="Portfolio","Portfolio",IFERROR(INDEX(DATA_ASSET_CLASSIFICATION!$U$8:$U$24,MATCH($C3927,DATA_ASSET_CLASSIFICATION!$A$8:$A$24,0)),"Review"))</f>
        <v>Refi Watch</v>
      </c>
      <c r="O3927" s="350" t="str">
        <f ca="1">IF($B3927="Portfolio","Portfolio",IFERROR(INDEX(DATA_ASSET_CLASSIFICATION!$AB$8:$AB$13,MATCH($N3927,DATA_ASSET_CLASSIFICATION!$AA$8:$AA$13,0)),"Review"))</f>
        <v>Bucket 2 · Legacy</v>
      </c>
      <c r="P3927" s="350" t="str">
        <f>IF($B3927="Portfolio","Portfolio",IFERROR(INDEX(DATA_ASSET_CLASSIFICATION!$C$8:$C$24,MATCH($C3927,DATA_ASSET_CLASSIFICATION!$A$8:$A$24,0)),"Review"))</f>
        <v>Yes</v>
      </c>
      <c r="Q3927" s="350" t="str">
        <f t="shared" ca="1" si="123"/>
        <v>OK</v>
      </c>
    </row>
    <row r="3928" spans="1:17">
      <c r="A3928" s="366" t="s">
        <v>5884</v>
      </c>
      <c r="B3928" s="366" t="s">
        <v>231</v>
      </c>
      <c r="C3928" s="348" t="str">
        <f>DATA_PROPERTY_MASTER!$A$17</f>
        <v>BLD_RG</v>
      </c>
      <c r="D3928" s="380">
        <f>'00_PORTFOLIO ROLLUP'!N$12</f>
        <v>2034</v>
      </c>
      <c r="E3928" s="366" t="s">
        <v>1721</v>
      </c>
      <c r="F3928" s="366" t="s">
        <v>39</v>
      </c>
      <c r="G3928" s="348" t="str">
        <f>"'"&amp;$C3928&amp;"'!$E$63:$Y$63"</f>
        <v>'BLD_RG'!$E$63:$Y$63</v>
      </c>
      <c r="H3928" s="381">
        <f ca="1">IF(IFERROR(INDEX(DATA_PROPERTY_MASTER!$E$5:$E$21,MATCH($C3928,DATA_PROPERTY_MASTER!$A$5:$A$21,0))="Yes",FALSE),MAX(-IFERROR(INDEX(INDIRECT("'"&amp;$C3928&amp;"'!$E$63:$Y$63"),1,MATCH($D3928,INDIRECT("'"&amp;$C3928&amp;"'!$E$12:$Y$12"),0)),0),0),0)</f>
        <v>0</v>
      </c>
      <c r="I3928" s="366" t="s">
        <v>1690</v>
      </c>
      <c r="J3928" s="348" t="str">
        <f t="shared" ca="1" si="122"/>
        <v>OK</v>
      </c>
      <c r="K3928" s="366" t="s">
        <v>1738</v>
      </c>
      <c r="L3928" s="366" t="s">
        <v>2260</v>
      </c>
      <c r="M3928" s="350" t="str">
        <f>IF($B3928="Portfolio","Portfolio",IFERROR(INDEX(DATA_ASSET_CLASSIFICATION!$B$8:$B$24,MATCH($C3928,DATA_ASSET_CLASSIFICATION!$A$8:$A$24,0)),"Review"))</f>
        <v>Rosemary Green</v>
      </c>
      <c r="N3928" s="350" t="str">
        <f ca="1">IF($B3928="Portfolio","Portfolio",IFERROR(INDEX(DATA_ASSET_CLASSIFICATION!$U$8:$U$24,MATCH($C3928,DATA_ASSET_CLASSIFICATION!$A$8:$A$24,0)),"Review"))</f>
        <v>Refi Watch</v>
      </c>
      <c r="O3928" s="350" t="str">
        <f ca="1">IF($B3928="Portfolio","Portfolio",IFERROR(INDEX(DATA_ASSET_CLASSIFICATION!$AB$8:$AB$13,MATCH($N3928,DATA_ASSET_CLASSIFICATION!$AA$8:$AA$13,0)),"Review"))</f>
        <v>Bucket 2 · Legacy</v>
      </c>
      <c r="P3928" s="350" t="str">
        <f>IF($B3928="Portfolio","Portfolio",IFERROR(INDEX(DATA_ASSET_CLASSIFICATION!$C$8:$C$24,MATCH($C3928,DATA_ASSET_CLASSIFICATION!$A$8:$A$24,0)),"Review"))</f>
        <v>Yes</v>
      </c>
      <c r="Q3928" s="350" t="str">
        <f t="shared" ca="1" si="123"/>
        <v>OK</v>
      </c>
    </row>
    <row r="3929" spans="1:17">
      <c r="A3929" s="366" t="s">
        <v>5885</v>
      </c>
      <c r="B3929" s="366" t="s">
        <v>231</v>
      </c>
      <c r="C3929" s="348" t="str">
        <f>DATA_PROPERTY_MASTER!$A$17</f>
        <v>BLD_RG</v>
      </c>
      <c r="D3929" s="380">
        <f>'00_PORTFOLIO ROLLUP'!N$12</f>
        <v>2034</v>
      </c>
      <c r="E3929" s="366" t="s">
        <v>1741</v>
      </c>
      <c r="F3929" s="366" t="s">
        <v>41</v>
      </c>
      <c r="G3929" s="348" t="str">
        <f>"'"&amp;$C3929&amp;"'!rows 56 + positive row 63"</f>
        <v>'BLD_RG'!rows 56 + positive row 63</v>
      </c>
      <c r="H3929" s="381">
        <f ca="1">IF(IFERROR(INDEX(DATA_PROPERTY_MASTER!$E$5:$E$21,MATCH($C3929,DATA_PROPERTY_MASTER!$A$5:$A$21,0))="Yes",FALSE),IFERROR(INDEX(INDIRECT("'"&amp;$C3929&amp;"'!$E$56:$Y$56"),1,MATCH($D3929,INDIRECT("'"&amp;$C3929&amp;"'!$E$12:$Y$12"),0)),0)+MAX(IFERROR(INDEX(INDIRECT("'"&amp;$C3929&amp;"'!$E$63:$Y$63"),1,MATCH($D3929,INDIRECT("'"&amp;$C3929&amp;"'!$E$12:$Y$12"),0)),0),0),0)</f>
        <v>91945.20768555635</v>
      </c>
      <c r="I3929" s="366" t="s">
        <v>1685</v>
      </c>
      <c r="J3929" s="348" t="str">
        <f t="shared" ca="1" si="122"/>
        <v>OK</v>
      </c>
      <c r="K3929" s="366" t="s">
        <v>1742</v>
      </c>
      <c r="L3929" s="366" t="s">
        <v>2262</v>
      </c>
      <c r="M3929" s="350" t="str">
        <f>IF($B3929="Portfolio","Portfolio",IFERROR(INDEX(DATA_ASSET_CLASSIFICATION!$B$8:$B$24,MATCH($C3929,DATA_ASSET_CLASSIFICATION!$A$8:$A$24,0)),"Review"))</f>
        <v>Rosemary Green</v>
      </c>
      <c r="N3929" s="350" t="str">
        <f ca="1">IF($B3929="Portfolio","Portfolio",IFERROR(INDEX(DATA_ASSET_CLASSIFICATION!$U$8:$U$24,MATCH($C3929,DATA_ASSET_CLASSIFICATION!$A$8:$A$24,0)),"Review"))</f>
        <v>Refi Watch</v>
      </c>
      <c r="O3929" s="350" t="str">
        <f ca="1">IF($B3929="Portfolio","Portfolio",IFERROR(INDEX(DATA_ASSET_CLASSIFICATION!$AB$8:$AB$13,MATCH($N3929,DATA_ASSET_CLASSIFICATION!$AA$8:$AA$13,0)),"Review"))</f>
        <v>Bucket 2 · Legacy</v>
      </c>
      <c r="P3929" s="350" t="str">
        <f>IF($B3929="Portfolio","Portfolio",IFERROR(INDEX(DATA_ASSET_CLASSIFICATION!$C$8:$C$24,MATCH($C3929,DATA_ASSET_CLASSIFICATION!$A$8:$A$24,0)),"Review"))</f>
        <v>Yes</v>
      </c>
      <c r="Q3929" s="350" t="str">
        <f t="shared" ca="1" si="123"/>
        <v>OK</v>
      </c>
    </row>
    <row r="3930" spans="1:17">
      <c r="A3930" s="366" t="s">
        <v>5886</v>
      </c>
      <c r="B3930" s="366" t="s">
        <v>231</v>
      </c>
      <c r="C3930" s="348" t="str">
        <f>DATA_PROPERTY_MASTER!$A$17</f>
        <v>BLD_RG</v>
      </c>
      <c r="D3930" s="380">
        <f>'00_PORTFOLIO ROLLUP'!N$12</f>
        <v>2034</v>
      </c>
      <c r="E3930" s="366" t="s">
        <v>1741</v>
      </c>
      <c r="F3930" s="366" t="s">
        <v>43</v>
      </c>
      <c r="G3930" s="348" t="str">
        <f>"'"&amp;$C3930&amp;"'!$E$68:$Y$68"</f>
        <v>'BLD_RG'!$E$68:$Y$68</v>
      </c>
      <c r="H3930" s="381">
        <f ca="1">IF(IFERROR(INDEX(DATA_PROPERTY_MASTER!$E$5:$E$21,MATCH($C3930,DATA_PROPERTY_MASTER!$A$5:$A$21,0))="Yes",FALSE),IFERROR(INDEX(INDIRECT("'"&amp;$C3930&amp;"'!$E$68:$Y$68"),1,MATCH($D3930,INDIRECT("'"&amp;$C3930&amp;"'!$E$12:$Y$12"),0)),0),0)</f>
        <v>91945.20768555635</v>
      </c>
      <c r="I3930" s="366" t="s">
        <v>1731</v>
      </c>
      <c r="J3930" s="348" t="str">
        <f t="shared" ca="1" si="122"/>
        <v>OK</v>
      </c>
      <c r="K3930" s="366" t="s">
        <v>1746</v>
      </c>
      <c r="L3930" s="366" t="s">
        <v>2264</v>
      </c>
      <c r="M3930" s="350" t="str">
        <f>IF($B3930="Portfolio","Portfolio",IFERROR(INDEX(DATA_ASSET_CLASSIFICATION!$B$8:$B$24,MATCH($C3930,DATA_ASSET_CLASSIFICATION!$A$8:$A$24,0)),"Review"))</f>
        <v>Rosemary Green</v>
      </c>
      <c r="N3930" s="350" t="str">
        <f ca="1">IF($B3930="Portfolio","Portfolio",IFERROR(INDEX(DATA_ASSET_CLASSIFICATION!$U$8:$U$24,MATCH($C3930,DATA_ASSET_CLASSIFICATION!$A$8:$A$24,0)),"Review"))</f>
        <v>Refi Watch</v>
      </c>
      <c r="O3930" s="350" t="str">
        <f ca="1">IF($B3930="Portfolio","Portfolio",IFERROR(INDEX(DATA_ASSET_CLASSIFICATION!$AB$8:$AB$13,MATCH($N3930,DATA_ASSET_CLASSIFICATION!$AA$8:$AA$13,0)),"Review"))</f>
        <v>Bucket 2 · Legacy</v>
      </c>
      <c r="P3930" s="350" t="str">
        <f>IF($B3930="Portfolio","Portfolio",IFERROR(INDEX(DATA_ASSET_CLASSIFICATION!$C$8:$C$24,MATCH($C3930,DATA_ASSET_CLASSIFICATION!$A$8:$A$24,0)),"Review"))</f>
        <v>Yes</v>
      </c>
      <c r="Q3930" s="350" t="str">
        <f t="shared" ca="1" si="123"/>
        <v>OK</v>
      </c>
    </row>
    <row r="3931" spans="1:17">
      <c r="A3931" s="366" t="s">
        <v>5887</v>
      </c>
      <c r="B3931" s="366" t="s">
        <v>231</v>
      </c>
      <c r="C3931" s="348" t="str">
        <f>DATA_PROPERTY_MASTER!$A$17</f>
        <v>BLD_RG</v>
      </c>
      <c r="D3931" s="380">
        <f>'00_PORTFOLIO ROLLUP'!N$12</f>
        <v>2034</v>
      </c>
      <c r="E3931" s="366" t="s">
        <v>1741</v>
      </c>
      <c r="F3931" s="366" t="s">
        <v>1749</v>
      </c>
      <c r="G3931" s="348" t="str">
        <f>"'"&amp;$C3931&amp;"'!rows 56, 63, 68"</f>
        <v>'BLD_RG'!rows 56, 63, 68</v>
      </c>
      <c r="H3931" s="381">
        <f ca="1">IF(IFERROR(INDEX(DATA_PROPERTY_MASTER!$E$5:$E$21,MATCH($C3931,DATA_PROPERTY_MASTER!$A$5:$A$21,0))="Yes",FALSE),(IFERROR(INDEX(INDIRECT("'"&amp;$C3931&amp;"'!$E$56:$Y$56"),1,MATCH($D3931,INDIRECT("'"&amp;$C3931&amp;"'!$E$12:$Y$12"),0)),0)+MAX(IFERROR(INDEX(INDIRECT("'"&amp;$C3931&amp;"'!$E$63:$Y$63"),1,MATCH($D3931,INDIRECT("'"&amp;$C3931&amp;"'!$E$12:$Y$12"),0)),0),0))-(IFERROR(INDEX(INDIRECT("'"&amp;$C3931&amp;"'!$E$68:$Y$68"),1,MATCH($D3931,INDIRECT("'"&amp;$C3931&amp;"'!$E$12:$Y$12"),0)),0)),0)</f>
        <v>0</v>
      </c>
      <c r="I3931" s="366" t="s">
        <v>1750</v>
      </c>
      <c r="J3931" s="348" t="str">
        <f t="shared" ca="1" si="122"/>
        <v>OK</v>
      </c>
      <c r="K3931" s="366" t="s">
        <v>1751</v>
      </c>
      <c r="L3931" s="366" t="s">
        <v>2266</v>
      </c>
      <c r="M3931" s="350" t="str">
        <f>IF($B3931="Portfolio","Portfolio",IFERROR(INDEX(DATA_ASSET_CLASSIFICATION!$B$8:$B$24,MATCH($C3931,DATA_ASSET_CLASSIFICATION!$A$8:$A$24,0)),"Review"))</f>
        <v>Rosemary Green</v>
      </c>
      <c r="N3931" s="350" t="str">
        <f ca="1">IF($B3931="Portfolio","Portfolio",IFERROR(INDEX(DATA_ASSET_CLASSIFICATION!$U$8:$U$24,MATCH($C3931,DATA_ASSET_CLASSIFICATION!$A$8:$A$24,0)),"Review"))</f>
        <v>Refi Watch</v>
      </c>
      <c r="O3931" s="350" t="str">
        <f ca="1">IF($B3931="Portfolio","Portfolio",IFERROR(INDEX(DATA_ASSET_CLASSIFICATION!$AB$8:$AB$13,MATCH($N3931,DATA_ASSET_CLASSIFICATION!$AA$8:$AA$13,0)),"Review"))</f>
        <v>Bucket 2 · Legacy</v>
      </c>
      <c r="P3931" s="350" t="str">
        <f>IF($B3931="Portfolio","Portfolio",IFERROR(INDEX(DATA_ASSET_CLASSIFICATION!$C$8:$C$24,MATCH($C3931,DATA_ASSET_CLASSIFICATION!$A$8:$A$24,0)),"Review"))</f>
        <v>Yes</v>
      </c>
      <c r="Q3931" s="350" t="str">
        <f t="shared" ca="1" si="123"/>
        <v>OK</v>
      </c>
    </row>
    <row r="3932" spans="1:17">
      <c r="A3932" s="366" t="s">
        <v>5888</v>
      </c>
      <c r="B3932" s="366" t="s">
        <v>231</v>
      </c>
      <c r="C3932" s="348" t="str">
        <f>DATA_PROPERTY_MASTER!$A$17</f>
        <v>BLD_RG</v>
      </c>
      <c r="D3932" s="380">
        <f>'00_PORTFOLIO ROLLUP'!O$12</f>
        <v>2035</v>
      </c>
      <c r="E3932" s="366" t="s">
        <v>1683</v>
      </c>
      <c r="F3932" s="366" t="s">
        <v>341</v>
      </c>
      <c r="G3932" s="348" t="str">
        <f>"'"&amp;$C3932&amp;"'!$E$24:$Y$24"</f>
        <v>'BLD_RG'!$E$24:$Y$24</v>
      </c>
      <c r="H3932" s="381">
        <f ca="1">IF(IFERROR(INDEX(DATA_PROPERTY_MASTER!$E$5:$E$21,MATCH($C3932,DATA_PROPERTY_MASTER!$A$5:$A$21,0))="Yes",FALSE),IFERROR(INDEX(INDIRECT("'"&amp;$C3932&amp;"'!$E$24:$Y$24"),1,MATCH($D3932,INDIRECT("'"&amp;$C3932&amp;"'!$E$12:$Y$12"),0)),0),0)</f>
        <v>547446.20555481839</v>
      </c>
      <c r="I3932" s="366" t="s">
        <v>1685</v>
      </c>
      <c r="J3932" s="348" t="str">
        <f t="shared" ca="1" si="122"/>
        <v>OK</v>
      </c>
      <c r="K3932" s="366" t="s">
        <v>1686</v>
      </c>
      <c r="L3932" s="366" t="s">
        <v>2234</v>
      </c>
      <c r="M3932" s="350" t="str">
        <f>IF($B3932="Portfolio","Portfolio",IFERROR(INDEX(DATA_ASSET_CLASSIFICATION!$B$8:$B$24,MATCH($C3932,DATA_ASSET_CLASSIFICATION!$A$8:$A$24,0)),"Review"))</f>
        <v>Rosemary Green</v>
      </c>
      <c r="N3932" s="350" t="str">
        <f ca="1">IF($B3932="Portfolio","Portfolio",IFERROR(INDEX(DATA_ASSET_CLASSIFICATION!$U$8:$U$24,MATCH($C3932,DATA_ASSET_CLASSIFICATION!$A$8:$A$24,0)),"Review"))</f>
        <v>Refi Watch</v>
      </c>
      <c r="O3932" s="350" t="str">
        <f ca="1">IF($B3932="Portfolio","Portfolio",IFERROR(INDEX(DATA_ASSET_CLASSIFICATION!$AB$8:$AB$13,MATCH($N3932,DATA_ASSET_CLASSIFICATION!$AA$8:$AA$13,0)),"Review"))</f>
        <v>Bucket 2 · Legacy</v>
      </c>
      <c r="P3932" s="350" t="str">
        <f>IF($B3932="Portfolio","Portfolio",IFERROR(INDEX(DATA_ASSET_CLASSIFICATION!$C$8:$C$24,MATCH($C3932,DATA_ASSET_CLASSIFICATION!$A$8:$A$24,0)),"Review"))</f>
        <v>Yes</v>
      </c>
      <c r="Q3932" s="350" t="str">
        <f t="shared" ca="1" si="123"/>
        <v>OK</v>
      </c>
    </row>
    <row r="3933" spans="1:17">
      <c r="A3933" s="366" t="s">
        <v>5889</v>
      </c>
      <c r="B3933" s="366" t="s">
        <v>231</v>
      </c>
      <c r="C3933" s="348" t="str">
        <f>DATA_PROPERTY_MASTER!$A$17</f>
        <v>BLD_RG</v>
      </c>
      <c r="D3933" s="380">
        <f>'00_PORTFOLIO ROLLUP'!O$12</f>
        <v>2035</v>
      </c>
      <c r="E3933" s="366" t="s">
        <v>1683</v>
      </c>
      <c r="F3933" s="366" t="s">
        <v>355</v>
      </c>
      <c r="G3933" s="348" t="str">
        <f>"'"&amp;$C3933&amp;"'!$E$39:$Y$39"</f>
        <v>'BLD_RG'!$E$39:$Y$39</v>
      </c>
      <c r="H3933" s="381">
        <f ca="1">IF(IFERROR(INDEX(DATA_PROPERTY_MASTER!$E$5:$E$21,MATCH($C3933,DATA_PROPERTY_MASTER!$A$5:$A$21,0))="Yes",FALSE),IFERROR(INDEX(INDIRECT("'"&amp;$C3933&amp;"'!$E$39:$Y$39"),1,MATCH($D3933,INDIRECT("'"&amp;$C3933&amp;"'!$E$12:$Y$12"),0)),0),0)</f>
        <v>314520.17069173121</v>
      </c>
      <c r="I3933" s="366" t="s">
        <v>1690</v>
      </c>
      <c r="J3933" s="348" t="str">
        <f t="shared" ca="1" si="122"/>
        <v>OK</v>
      </c>
      <c r="K3933" s="366" t="s">
        <v>1686</v>
      </c>
      <c r="L3933" s="366" t="s">
        <v>2236</v>
      </c>
      <c r="M3933" s="350" t="str">
        <f>IF($B3933="Portfolio","Portfolio",IFERROR(INDEX(DATA_ASSET_CLASSIFICATION!$B$8:$B$24,MATCH($C3933,DATA_ASSET_CLASSIFICATION!$A$8:$A$24,0)),"Review"))</f>
        <v>Rosemary Green</v>
      </c>
      <c r="N3933" s="350" t="str">
        <f ca="1">IF($B3933="Portfolio","Portfolio",IFERROR(INDEX(DATA_ASSET_CLASSIFICATION!$U$8:$U$24,MATCH($C3933,DATA_ASSET_CLASSIFICATION!$A$8:$A$24,0)),"Review"))</f>
        <v>Refi Watch</v>
      </c>
      <c r="O3933" s="350" t="str">
        <f ca="1">IF($B3933="Portfolio","Portfolio",IFERROR(INDEX(DATA_ASSET_CLASSIFICATION!$AB$8:$AB$13,MATCH($N3933,DATA_ASSET_CLASSIFICATION!$AA$8:$AA$13,0)),"Review"))</f>
        <v>Bucket 2 · Legacy</v>
      </c>
      <c r="P3933" s="350" t="str">
        <f>IF($B3933="Portfolio","Portfolio",IFERROR(INDEX(DATA_ASSET_CLASSIFICATION!$C$8:$C$24,MATCH($C3933,DATA_ASSET_CLASSIFICATION!$A$8:$A$24,0)),"Review"))</f>
        <v>Yes</v>
      </c>
      <c r="Q3933" s="350" t="str">
        <f t="shared" ca="1" si="123"/>
        <v>OK</v>
      </c>
    </row>
    <row r="3934" spans="1:17">
      <c r="A3934" s="366" t="s">
        <v>5890</v>
      </c>
      <c r="B3934" s="366" t="s">
        <v>231</v>
      </c>
      <c r="C3934" s="348" t="str">
        <f>DATA_PROPERTY_MASTER!$A$17</f>
        <v>BLD_RG</v>
      </c>
      <c r="D3934" s="380">
        <f>'00_PORTFOLIO ROLLUP'!O$12</f>
        <v>2035</v>
      </c>
      <c r="E3934" s="366" t="s">
        <v>1683</v>
      </c>
      <c r="F3934" s="366" t="s">
        <v>19</v>
      </c>
      <c r="G3934" s="348" t="str">
        <f>"'"&amp;$C3934&amp;"'!$E$41:$Y$41"</f>
        <v>'BLD_RG'!$E$41:$Y$41</v>
      </c>
      <c r="H3934" s="381">
        <f ca="1">IF(IFERROR(INDEX(DATA_PROPERTY_MASTER!$E$5:$E$21,MATCH($C3934,DATA_PROPERTY_MASTER!$A$5:$A$21,0))="Yes",FALSE),IFERROR(INDEX(INDIRECT("'"&amp;$C3934&amp;"'!$E$41:$Y$41"),1,MATCH($D3934,INDIRECT("'"&amp;$C3934&amp;"'!$E$12:$Y$12"),0)),0),0)</f>
        <v>232926.03486308717</v>
      </c>
      <c r="I3934" s="366" t="s">
        <v>1685</v>
      </c>
      <c r="J3934" s="348" t="str">
        <f t="shared" ca="1" si="122"/>
        <v>OK</v>
      </c>
      <c r="K3934" s="366" t="s">
        <v>1694</v>
      </c>
      <c r="L3934" s="366" t="s">
        <v>2238</v>
      </c>
      <c r="M3934" s="350" t="str">
        <f>IF($B3934="Portfolio","Portfolio",IFERROR(INDEX(DATA_ASSET_CLASSIFICATION!$B$8:$B$24,MATCH($C3934,DATA_ASSET_CLASSIFICATION!$A$8:$A$24,0)),"Review"))</f>
        <v>Rosemary Green</v>
      </c>
      <c r="N3934" s="350" t="str">
        <f ca="1">IF($B3934="Portfolio","Portfolio",IFERROR(INDEX(DATA_ASSET_CLASSIFICATION!$U$8:$U$24,MATCH($C3934,DATA_ASSET_CLASSIFICATION!$A$8:$A$24,0)),"Review"))</f>
        <v>Refi Watch</v>
      </c>
      <c r="O3934" s="350" t="str">
        <f ca="1">IF($B3934="Portfolio","Portfolio",IFERROR(INDEX(DATA_ASSET_CLASSIFICATION!$AB$8:$AB$13,MATCH($N3934,DATA_ASSET_CLASSIFICATION!$AA$8:$AA$13,0)),"Review"))</f>
        <v>Bucket 2 · Legacy</v>
      </c>
      <c r="P3934" s="350" t="str">
        <f>IF($B3934="Portfolio","Portfolio",IFERROR(INDEX(DATA_ASSET_CLASSIFICATION!$C$8:$C$24,MATCH($C3934,DATA_ASSET_CLASSIFICATION!$A$8:$A$24,0)),"Review"))</f>
        <v>Yes</v>
      </c>
      <c r="Q3934" s="350" t="str">
        <f t="shared" ca="1" si="123"/>
        <v>OK</v>
      </c>
    </row>
    <row r="3935" spans="1:17">
      <c r="A3935" s="366" t="s">
        <v>5891</v>
      </c>
      <c r="B3935" s="366" t="s">
        <v>231</v>
      </c>
      <c r="C3935" s="348" t="str">
        <f>DATA_PROPERTY_MASTER!$A$17</f>
        <v>BLD_RG</v>
      </c>
      <c r="D3935" s="380">
        <f>'00_PORTFOLIO ROLLUP'!O$12</f>
        <v>2035</v>
      </c>
      <c r="E3935" s="366" t="s">
        <v>1683</v>
      </c>
      <c r="F3935" s="366" t="s">
        <v>1697</v>
      </c>
      <c r="G3935" s="348" t="str">
        <f>"'"&amp;$C3935&amp;"'!$E$44:$Y$44"</f>
        <v>'BLD_RG'!$E$44:$Y$44</v>
      </c>
      <c r="H3935" s="381">
        <f ca="1">IF(IFERROR(INDEX(DATA_PROPERTY_MASTER!$E$5:$E$21,MATCH($C3935,DATA_PROPERTY_MASTER!$A$5:$A$21,0))="Yes",FALSE),IFERROR(INDEX(INDIRECT("'"&amp;$C3935&amp;"'!$E$44:$Y$44"),1,MATCH($D3935,INDIRECT("'"&amp;$C3935&amp;"'!$E$12:$Y$12"),0)),0),0)</f>
        <v>6948.2681939701151</v>
      </c>
      <c r="I3935" s="366" t="s">
        <v>1690</v>
      </c>
      <c r="J3935" s="348" t="str">
        <f t="shared" ca="1" si="122"/>
        <v>OK</v>
      </c>
      <c r="K3935" s="366" t="s">
        <v>1699</v>
      </c>
      <c r="L3935" s="366" t="s">
        <v>2240</v>
      </c>
      <c r="M3935" s="350" t="str">
        <f>IF($B3935="Portfolio","Portfolio",IFERROR(INDEX(DATA_ASSET_CLASSIFICATION!$B$8:$B$24,MATCH($C3935,DATA_ASSET_CLASSIFICATION!$A$8:$A$24,0)),"Review"))</f>
        <v>Rosemary Green</v>
      </c>
      <c r="N3935" s="350" t="str">
        <f ca="1">IF($B3935="Portfolio","Portfolio",IFERROR(INDEX(DATA_ASSET_CLASSIFICATION!$U$8:$U$24,MATCH($C3935,DATA_ASSET_CLASSIFICATION!$A$8:$A$24,0)),"Review"))</f>
        <v>Refi Watch</v>
      </c>
      <c r="O3935" s="350" t="str">
        <f ca="1">IF($B3935="Portfolio","Portfolio",IFERROR(INDEX(DATA_ASSET_CLASSIFICATION!$AB$8:$AB$13,MATCH($N3935,DATA_ASSET_CLASSIFICATION!$AA$8:$AA$13,0)),"Review"))</f>
        <v>Bucket 2 · Legacy</v>
      </c>
      <c r="P3935" s="350" t="str">
        <f>IF($B3935="Portfolio","Portfolio",IFERROR(INDEX(DATA_ASSET_CLASSIFICATION!$C$8:$C$24,MATCH($C3935,DATA_ASSET_CLASSIFICATION!$A$8:$A$24,0)),"Review"))</f>
        <v>Yes</v>
      </c>
      <c r="Q3935" s="350" t="str">
        <f t="shared" ca="1" si="123"/>
        <v>OK</v>
      </c>
    </row>
    <row r="3936" spans="1:17">
      <c r="A3936" s="366" t="s">
        <v>5892</v>
      </c>
      <c r="B3936" s="366" t="s">
        <v>231</v>
      </c>
      <c r="C3936" s="348" t="str">
        <f>DATA_PROPERTY_MASTER!$A$17</f>
        <v>BLD_RG</v>
      </c>
      <c r="D3936" s="380">
        <f>'00_PORTFOLIO ROLLUP'!O$12</f>
        <v>2035</v>
      </c>
      <c r="E3936" s="366" t="s">
        <v>1683</v>
      </c>
      <c r="F3936" s="366" t="s">
        <v>21</v>
      </c>
      <c r="G3936" s="348" t="str">
        <f>"'"&amp;$C3936&amp;"'!$E$45:$Y$45"</f>
        <v>'BLD_RG'!$E$45:$Y$45</v>
      </c>
      <c r="H3936" s="381">
        <f ca="1">IF(IFERROR(INDEX(DATA_PROPERTY_MASTER!$E$5:$E$21,MATCH($C3936,DATA_PROPERTY_MASTER!$A$5:$A$21,0))="Yes",FALSE),IFERROR(INDEX(INDIRECT("'"&amp;$C3936&amp;"'!$E$45:$Y$45"),1,MATCH($D3936,INDIRECT("'"&amp;$C3936&amp;"'!$E$12:$Y$12"),0)),0),0)</f>
        <v>225977.76666911706</v>
      </c>
      <c r="I3936" s="366" t="s">
        <v>1685</v>
      </c>
      <c r="J3936" s="348" t="str">
        <f t="shared" ca="1" si="122"/>
        <v>OK</v>
      </c>
      <c r="K3936" s="366" t="s">
        <v>1694</v>
      </c>
      <c r="L3936" s="366" t="s">
        <v>2242</v>
      </c>
      <c r="M3936" s="350" t="str">
        <f>IF($B3936="Portfolio","Portfolio",IFERROR(INDEX(DATA_ASSET_CLASSIFICATION!$B$8:$B$24,MATCH($C3936,DATA_ASSET_CLASSIFICATION!$A$8:$A$24,0)),"Review"))</f>
        <v>Rosemary Green</v>
      </c>
      <c r="N3936" s="350" t="str">
        <f ca="1">IF($B3936="Portfolio","Portfolio",IFERROR(INDEX(DATA_ASSET_CLASSIFICATION!$U$8:$U$24,MATCH($C3936,DATA_ASSET_CLASSIFICATION!$A$8:$A$24,0)),"Review"))</f>
        <v>Refi Watch</v>
      </c>
      <c r="O3936" s="350" t="str">
        <f ca="1">IF($B3936="Portfolio","Portfolio",IFERROR(INDEX(DATA_ASSET_CLASSIFICATION!$AB$8:$AB$13,MATCH($N3936,DATA_ASSET_CLASSIFICATION!$AA$8:$AA$13,0)),"Review"))</f>
        <v>Bucket 2 · Legacy</v>
      </c>
      <c r="P3936" s="350" t="str">
        <f>IF($B3936="Portfolio","Portfolio",IFERROR(INDEX(DATA_ASSET_CLASSIFICATION!$C$8:$C$24,MATCH($C3936,DATA_ASSET_CLASSIFICATION!$A$8:$A$24,0)),"Review"))</f>
        <v>Yes</v>
      </c>
      <c r="Q3936" s="350" t="str">
        <f t="shared" ca="1" si="123"/>
        <v>OK</v>
      </c>
    </row>
    <row r="3937" spans="1:17">
      <c r="A3937" s="366" t="s">
        <v>5893</v>
      </c>
      <c r="B3937" s="366" t="s">
        <v>231</v>
      </c>
      <c r="C3937" s="348" t="str">
        <f>DATA_PROPERTY_MASTER!$A$17</f>
        <v>BLD_RG</v>
      </c>
      <c r="D3937" s="380">
        <f>'00_PORTFOLIO ROLLUP'!O$12</f>
        <v>2035</v>
      </c>
      <c r="E3937" s="366" t="s">
        <v>23</v>
      </c>
      <c r="F3937" s="366" t="s">
        <v>23</v>
      </c>
      <c r="G3937" s="348" t="str">
        <f>"'"&amp;$C3937&amp;"'!$E$48:$Y$48"</f>
        <v>'BLD_RG'!$E$48:$Y$48</v>
      </c>
      <c r="H3937" s="381">
        <f ca="1">IF(IFERROR(INDEX(DATA_PROPERTY_MASTER!$E$5:$E$21,MATCH($C3937,DATA_PROPERTY_MASTER!$A$5:$A$21,0))="Yes",FALSE),IFERROR(INDEX(INDIRECT("'"&amp;$C3937&amp;"'!$E$48:$Y$48"),1,MATCH($D3937,INDIRECT("'"&amp;$C3937&amp;"'!$E$12:$Y$12"),0)),0),0)</f>
        <v>0</v>
      </c>
      <c r="I3937" s="366" t="s">
        <v>1690</v>
      </c>
      <c r="J3937" s="348" t="str">
        <f t="shared" ca="1" si="122"/>
        <v>OK</v>
      </c>
      <c r="K3937" s="366" t="s">
        <v>1706</v>
      </c>
      <c r="L3937" s="366" t="s">
        <v>2244</v>
      </c>
      <c r="M3937" s="350" t="str">
        <f>IF($B3937="Portfolio","Portfolio",IFERROR(INDEX(DATA_ASSET_CLASSIFICATION!$B$8:$B$24,MATCH($C3937,DATA_ASSET_CLASSIFICATION!$A$8:$A$24,0)),"Review"))</f>
        <v>Rosemary Green</v>
      </c>
      <c r="N3937" s="350" t="str">
        <f ca="1">IF($B3937="Portfolio","Portfolio",IFERROR(INDEX(DATA_ASSET_CLASSIFICATION!$U$8:$U$24,MATCH($C3937,DATA_ASSET_CLASSIFICATION!$A$8:$A$24,0)),"Review"))</f>
        <v>Refi Watch</v>
      </c>
      <c r="O3937" s="350" t="str">
        <f ca="1">IF($B3937="Portfolio","Portfolio",IFERROR(INDEX(DATA_ASSET_CLASSIFICATION!$AB$8:$AB$13,MATCH($N3937,DATA_ASSET_CLASSIFICATION!$AA$8:$AA$13,0)),"Review"))</f>
        <v>Bucket 2 · Legacy</v>
      </c>
      <c r="P3937" s="350" t="str">
        <f>IF($B3937="Portfolio","Portfolio",IFERROR(INDEX(DATA_ASSET_CLASSIFICATION!$C$8:$C$24,MATCH($C3937,DATA_ASSET_CLASSIFICATION!$A$8:$A$24,0)),"Review"))</f>
        <v>Yes</v>
      </c>
      <c r="Q3937" s="350" t="str">
        <f t="shared" ca="1" si="123"/>
        <v>OK</v>
      </c>
    </row>
    <row r="3938" spans="1:17">
      <c r="A3938" s="366" t="s">
        <v>5894</v>
      </c>
      <c r="B3938" s="366" t="s">
        <v>231</v>
      </c>
      <c r="C3938" s="348" t="str">
        <f>DATA_PROPERTY_MASTER!$A$17</f>
        <v>BLD_RG</v>
      </c>
      <c r="D3938" s="380">
        <f>'00_PORTFOLIO ROLLUP'!O$12</f>
        <v>2035</v>
      </c>
      <c r="E3938" s="366" t="s">
        <v>1683</v>
      </c>
      <c r="F3938" s="366" t="s">
        <v>25</v>
      </c>
      <c r="G3938" s="348" t="str">
        <f>"'"&amp;$C3938&amp;"'!$E$52:$Y$52"</f>
        <v>'BLD_RG'!$E$52:$Y$52</v>
      </c>
      <c r="H3938" s="381">
        <f ca="1">IF(IFERROR(INDEX(DATA_PROPERTY_MASTER!$E$5:$E$21,MATCH($C3938,DATA_PROPERTY_MASTER!$A$5:$A$21,0))="Yes",FALSE),IFERROR(INDEX(INDIRECT("'"&amp;$C3938&amp;"'!$E$52:$Y$52"),1,MATCH($D3938,INDIRECT("'"&amp;$C3938&amp;"'!$E$12:$Y$12"),0)),0),0)</f>
        <v>232926.03486308717</v>
      </c>
      <c r="I3938" s="366" t="s">
        <v>1685</v>
      </c>
      <c r="J3938" s="348" t="str">
        <f t="shared" ca="1" si="122"/>
        <v>OK</v>
      </c>
      <c r="K3938" s="366" t="s">
        <v>1710</v>
      </c>
      <c r="L3938" s="366" t="s">
        <v>2246</v>
      </c>
      <c r="M3938" s="350" t="str">
        <f>IF($B3938="Portfolio","Portfolio",IFERROR(INDEX(DATA_ASSET_CLASSIFICATION!$B$8:$B$24,MATCH($C3938,DATA_ASSET_CLASSIFICATION!$A$8:$A$24,0)),"Review"))</f>
        <v>Rosemary Green</v>
      </c>
      <c r="N3938" s="350" t="str">
        <f ca="1">IF($B3938="Portfolio","Portfolio",IFERROR(INDEX(DATA_ASSET_CLASSIFICATION!$U$8:$U$24,MATCH($C3938,DATA_ASSET_CLASSIFICATION!$A$8:$A$24,0)),"Review"))</f>
        <v>Refi Watch</v>
      </c>
      <c r="O3938" s="350" t="str">
        <f ca="1">IF($B3938="Portfolio","Portfolio",IFERROR(INDEX(DATA_ASSET_CLASSIFICATION!$AB$8:$AB$13,MATCH($N3938,DATA_ASSET_CLASSIFICATION!$AA$8:$AA$13,0)),"Review"))</f>
        <v>Bucket 2 · Legacy</v>
      </c>
      <c r="P3938" s="350" t="str">
        <f>IF($B3938="Portfolio","Portfolio",IFERROR(INDEX(DATA_ASSET_CLASSIFICATION!$C$8:$C$24,MATCH($C3938,DATA_ASSET_CLASSIFICATION!$A$8:$A$24,0)),"Review"))</f>
        <v>Yes</v>
      </c>
      <c r="Q3938" s="350" t="str">
        <f t="shared" ca="1" si="123"/>
        <v>OK</v>
      </c>
    </row>
    <row r="3939" spans="1:17">
      <c r="A3939" s="366" t="s">
        <v>5895</v>
      </c>
      <c r="B3939" s="366" t="s">
        <v>231</v>
      </c>
      <c r="C3939" s="348" t="str">
        <f>DATA_PROPERTY_MASTER!$A$17</f>
        <v>BLD_RG</v>
      </c>
      <c r="D3939" s="380">
        <f>'00_PORTFOLIO ROLLUP'!O$12</f>
        <v>2035</v>
      </c>
      <c r="E3939" s="366" t="s">
        <v>1683</v>
      </c>
      <c r="F3939" s="366" t="s">
        <v>27</v>
      </c>
      <c r="G3939" s="348" t="str">
        <f>"'"&amp;$C3939&amp;"'!$E$54:$Y$54"</f>
        <v>'BLD_RG'!$E$54:$Y$54</v>
      </c>
      <c r="H3939" s="381">
        <f ca="1">IF(IFERROR(INDEX(DATA_PROPERTY_MASTER!$E$5:$E$21,MATCH($C3939,DATA_PROPERTY_MASTER!$A$5:$A$21,0))="Yes",FALSE),IFERROR(INDEX(INDIRECT("'"&amp;$C3939&amp;"'!$E$54:$Y$54"),1,MATCH($D3939,INDIRECT("'"&amp;$C3939&amp;"'!$E$12:$Y$12"),0)),0),0)</f>
        <v>139755.6209178523</v>
      </c>
      <c r="I3939" s="366" t="s">
        <v>1690</v>
      </c>
      <c r="J3939" s="348" t="str">
        <f t="shared" ca="1" si="122"/>
        <v>OK</v>
      </c>
      <c r="K3939" s="366" t="s">
        <v>1714</v>
      </c>
      <c r="L3939" s="366" t="s">
        <v>2248</v>
      </c>
      <c r="M3939" s="350" t="str">
        <f>IF($B3939="Portfolio","Portfolio",IFERROR(INDEX(DATA_ASSET_CLASSIFICATION!$B$8:$B$24,MATCH($C3939,DATA_ASSET_CLASSIFICATION!$A$8:$A$24,0)),"Review"))</f>
        <v>Rosemary Green</v>
      </c>
      <c r="N3939" s="350" t="str">
        <f ca="1">IF($B3939="Portfolio","Portfolio",IFERROR(INDEX(DATA_ASSET_CLASSIFICATION!$U$8:$U$24,MATCH($C3939,DATA_ASSET_CLASSIFICATION!$A$8:$A$24,0)),"Review"))</f>
        <v>Refi Watch</v>
      </c>
      <c r="O3939" s="350" t="str">
        <f ca="1">IF($B3939="Portfolio","Portfolio",IFERROR(INDEX(DATA_ASSET_CLASSIFICATION!$AB$8:$AB$13,MATCH($N3939,DATA_ASSET_CLASSIFICATION!$AA$8:$AA$13,0)),"Review"))</f>
        <v>Bucket 2 · Legacy</v>
      </c>
      <c r="P3939" s="350" t="str">
        <f>IF($B3939="Portfolio","Portfolio",IFERROR(INDEX(DATA_ASSET_CLASSIFICATION!$C$8:$C$24,MATCH($C3939,DATA_ASSET_CLASSIFICATION!$A$8:$A$24,0)),"Review"))</f>
        <v>Yes</v>
      </c>
      <c r="Q3939" s="350" t="str">
        <f t="shared" ca="1" si="123"/>
        <v>OK</v>
      </c>
    </row>
    <row r="3940" spans="1:17">
      <c r="A3940" s="366" t="s">
        <v>5896</v>
      </c>
      <c r="B3940" s="366" t="s">
        <v>231</v>
      </c>
      <c r="C3940" s="348" t="str">
        <f>DATA_PROPERTY_MASTER!$A$17</f>
        <v>BLD_RG</v>
      </c>
      <c r="D3940" s="380">
        <f>'00_PORTFOLIO ROLLUP'!O$12</f>
        <v>2035</v>
      </c>
      <c r="E3940" s="366" t="s">
        <v>1683</v>
      </c>
      <c r="F3940" s="366" t="s">
        <v>29</v>
      </c>
      <c r="G3940" s="348" t="str">
        <f>"'"&amp;$C3940&amp;"'!$E$56:$Y$56"</f>
        <v>'BLD_RG'!$E$56:$Y$56</v>
      </c>
      <c r="H3940" s="381">
        <f ca="1">IF(IFERROR(INDEX(DATA_PROPERTY_MASTER!$E$5:$E$21,MATCH($C3940,DATA_PROPERTY_MASTER!$A$5:$A$21,0))="Yes",FALSE),IFERROR(INDEX(INDIRECT("'"&amp;$C3940&amp;"'!$E$56:$Y$56"),1,MATCH($D3940,INDIRECT("'"&amp;$C3940&amp;"'!$E$12:$Y$12"),0)),0),0)</f>
        <v>93170.413945234875</v>
      </c>
      <c r="I3940" s="366" t="s">
        <v>1685</v>
      </c>
      <c r="J3940" s="348" t="str">
        <f t="shared" ca="1" si="122"/>
        <v>OK</v>
      </c>
      <c r="K3940" s="366" t="s">
        <v>1718</v>
      </c>
      <c r="L3940" s="366" t="s">
        <v>2250</v>
      </c>
      <c r="M3940" s="350" t="str">
        <f>IF($B3940="Portfolio","Portfolio",IFERROR(INDEX(DATA_ASSET_CLASSIFICATION!$B$8:$B$24,MATCH($C3940,DATA_ASSET_CLASSIFICATION!$A$8:$A$24,0)),"Review"))</f>
        <v>Rosemary Green</v>
      </c>
      <c r="N3940" s="350" t="str">
        <f ca="1">IF($B3940="Portfolio","Portfolio",IFERROR(INDEX(DATA_ASSET_CLASSIFICATION!$U$8:$U$24,MATCH($C3940,DATA_ASSET_CLASSIFICATION!$A$8:$A$24,0)),"Review"))</f>
        <v>Refi Watch</v>
      </c>
      <c r="O3940" s="350" t="str">
        <f ca="1">IF($B3940="Portfolio","Portfolio",IFERROR(INDEX(DATA_ASSET_CLASSIFICATION!$AB$8:$AB$13,MATCH($N3940,DATA_ASSET_CLASSIFICATION!$AA$8:$AA$13,0)),"Review"))</f>
        <v>Bucket 2 · Legacy</v>
      </c>
      <c r="P3940" s="350" t="str">
        <f>IF($B3940="Portfolio","Portfolio",IFERROR(INDEX(DATA_ASSET_CLASSIFICATION!$C$8:$C$24,MATCH($C3940,DATA_ASSET_CLASSIFICATION!$A$8:$A$24,0)),"Review"))</f>
        <v>Yes</v>
      </c>
      <c r="Q3940" s="350" t="str">
        <f t="shared" ca="1" si="123"/>
        <v>OK</v>
      </c>
    </row>
    <row r="3941" spans="1:17">
      <c r="A3941" s="366" t="s">
        <v>5897</v>
      </c>
      <c r="B3941" s="366" t="s">
        <v>231</v>
      </c>
      <c r="C3941" s="348" t="str">
        <f>DATA_PROPERTY_MASTER!$A$17</f>
        <v>BLD_RG</v>
      </c>
      <c r="D3941" s="380">
        <f>'00_PORTFOLIO ROLLUP'!O$12</f>
        <v>2035</v>
      </c>
      <c r="E3941" s="366" t="s">
        <v>1721</v>
      </c>
      <c r="F3941" s="366" t="s">
        <v>31</v>
      </c>
      <c r="G3941" s="348" t="str">
        <f>"'"&amp;$C3941&amp;"'!$E$61:$Y$61"</f>
        <v>'BLD_RG'!$E$61:$Y$61</v>
      </c>
      <c r="H3941" s="381">
        <f ca="1">IF(IFERROR(INDEX(DATA_PROPERTY_MASTER!$E$5:$E$21,MATCH($C3941,DATA_PROPERTY_MASTER!$A$5:$A$21,0))="Yes",FALSE),IFERROR(INDEX(INDIRECT("'"&amp;$C3941&amp;"'!$E$61:$Y$61"),1,MATCH($D3941,INDIRECT("'"&amp;$C3941&amp;"'!$E$12:$Y$12"),0)),0),0)</f>
        <v>0</v>
      </c>
      <c r="I3941" s="366" t="s">
        <v>1690</v>
      </c>
      <c r="J3941" s="348" t="str">
        <f t="shared" ca="1" si="122"/>
        <v>OK</v>
      </c>
      <c r="K3941" s="366" t="s">
        <v>1723</v>
      </c>
      <c r="L3941" s="366" t="s">
        <v>2252</v>
      </c>
      <c r="M3941" s="350" t="str">
        <f>IF($B3941="Portfolio","Portfolio",IFERROR(INDEX(DATA_ASSET_CLASSIFICATION!$B$8:$B$24,MATCH($C3941,DATA_ASSET_CLASSIFICATION!$A$8:$A$24,0)),"Review"))</f>
        <v>Rosemary Green</v>
      </c>
      <c r="N3941" s="350" t="str">
        <f ca="1">IF($B3941="Portfolio","Portfolio",IFERROR(INDEX(DATA_ASSET_CLASSIFICATION!$U$8:$U$24,MATCH($C3941,DATA_ASSET_CLASSIFICATION!$A$8:$A$24,0)),"Review"))</f>
        <v>Refi Watch</v>
      </c>
      <c r="O3941" s="350" t="str">
        <f ca="1">IF($B3941="Portfolio","Portfolio",IFERROR(INDEX(DATA_ASSET_CLASSIFICATION!$AB$8:$AB$13,MATCH($N3941,DATA_ASSET_CLASSIFICATION!$AA$8:$AA$13,0)),"Review"))</f>
        <v>Bucket 2 · Legacy</v>
      </c>
      <c r="P3941" s="350" t="str">
        <f>IF($B3941="Portfolio","Portfolio",IFERROR(INDEX(DATA_ASSET_CLASSIFICATION!$C$8:$C$24,MATCH($C3941,DATA_ASSET_CLASSIFICATION!$A$8:$A$24,0)),"Review"))</f>
        <v>Yes</v>
      </c>
      <c r="Q3941" s="350" t="str">
        <f t="shared" ca="1" si="123"/>
        <v>OK</v>
      </c>
    </row>
    <row r="3942" spans="1:17">
      <c r="A3942" s="366" t="s">
        <v>5898</v>
      </c>
      <c r="B3942" s="366" t="s">
        <v>231</v>
      </c>
      <c r="C3942" s="348" t="str">
        <f>DATA_PROPERTY_MASTER!$A$17</f>
        <v>BLD_RG</v>
      </c>
      <c r="D3942" s="380">
        <f>'00_PORTFOLIO ROLLUP'!O$12</f>
        <v>2035</v>
      </c>
      <c r="E3942" s="366" t="s">
        <v>1721</v>
      </c>
      <c r="F3942" s="366" t="s">
        <v>33</v>
      </c>
      <c r="G3942" s="348" t="str">
        <f>"'"&amp;$C3942&amp;"'!$E$62:$Y$62"</f>
        <v>'BLD_RG'!$E$62:$Y$62</v>
      </c>
      <c r="H3942" s="381">
        <f ca="1">IF(IFERROR(INDEX(DATA_PROPERTY_MASTER!$E$5:$E$21,MATCH($C3942,DATA_PROPERTY_MASTER!$A$5:$A$21,0))="Yes",FALSE),IFERROR(INDEX(INDIRECT("'"&amp;$C3942&amp;"'!$E$62:$Y$62"),1,MATCH($D3942,INDIRECT("'"&amp;$C3942&amp;"'!$E$12:$Y$12"),0)),0),0)</f>
        <v>0</v>
      </c>
      <c r="I3942" s="366" t="s">
        <v>1685</v>
      </c>
      <c r="J3942" s="348" t="str">
        <f t="shared" ca="1" si="122"/>
        <v>OK</v>
      </c>
      <c r="K3942" s="366" t="s">
        <v>1727</v>
      </c>
      <c r="L3942" s="366" t="s">
        <v>2254</v>
      </c>
      <c r="M3942" s="350" t="str">
        <f>IF($B3942="Portfolio","Portfolio",IFERROR(INDEX(DATA_ASSET_CLASSIFICATION!$B$8:$B$24,MATCH($C3942,DATA_ASSET_CLASSIFICATION!$A$8:$A$24,0)),"Review"))</f>
        <v>Rosemary Green</v>
      </c>
      <c r="N3942" s="350" t="str">
        <f ca="1">IF($B3942="Portfolio","Portfolio",IFERROR(INDEX(DATA_ASSET_CLASSIFICATION!$U$8:$U$24,MATCH($C3942,DATA_ASSET_CLASSIFICATION!$A$8:$A$24,0)),"Review"))</f>
        <v>Refi Watch</v>
      </c>
      <c r="O3942" s="350" t="str">
        <f ca="1">IF($B3942="Portfolio","Portfolio",IFERROR(INDEX(DATA_ASSET_CLASSIFICATION!$AB$8:$AB$13,MATCH($N3942,DATA_ASSET_CLASSIFICATION!$AA$8:$AA$13,0)),"Review"))</f>
        <v>Bucket 2 · Legacy</v>
      </c>
      <c r="P3942" s="350" t="str">
        <f>IF($B3942="Portfolio","Portfolio",IFERROR(INDEX(DATA_ASSET_CLASSIFICATION!$C$8:$C$24,MATCH($C3942,DATA_ASSET_CLASSIFICATION!$A$8:$A$24,0)),"Review"))</f>
        <v>Yes</v>
      </c>
      <c r="Q3942" s="350" t="str">
        <f t="shared" ca="1" si="123"/>
        <v>OK</v>
      </c>
    </row>
    <row r="3943" spans="1:17">
      <c r="A3943" s="366" t="s">
        <v>5899</v>
      </c>
      <c r="B3943" s="366" t="s">
        <v>231</v>
      </c>
      <c r="C3943" s="348" t="str">
        <f>DATA_PROPERTY_MASTER!$A$17</f>
        <v>BLD_RG</v>
      </c>
      <c r="D3943" s="380">
        <f>'00_PORTFOLIO ROLLUP'!O$12</f>
        <v>2035</v>
      </c>
      <c r="E3943" s="366" t="s">
        <v>1721</v>
      </c>
      <c r="F3943" s="366" t="s">
        <v>35</v>
      </c>
      <c r="G3943" s="348" t="str">
        <f>"'"&amp;$C3943&amp;"'!$E$63:$Y$63"</f>
        <v>'BLD_RG'!$E$63:$Y$63</v>
      </c>
      <c r="H3943" s="381">
        <f ca="1">IF(IFERROR(INDEX(DATA_PROPERTY_MASTER!$E$5:$E$21,MATCH($C3943,DATA_PROPERTY_MASTER!$A$5:$A$21,0))="Yes",FALSE),IFERROR(INDEX(INDIRECT("'"&amp;$C3943&amp;"'!$E$63:$Y$63"),1,MATCH($D3943,INDIRECT("'"&amp;$C3943&amp;"'!$E$12:$Y$12"),0)),0),0)</f>
        <v>0</v>
      </c>
      <c r="I3943" s="366" t="s">
        <v>1731</v>
      </c>
      <c r="J3943" s="348" t="str">
        <f t="shared" ca="1" si="122"/>
        <v>OK</v>
      </c>
      <c r="K3943" s="366" t="s">
        <v>1732</v>
      </c>
      <c r="L3943" s="366" t="s">
        <v>2256</v>
      </c>
      <c r="M3943" s="350" t="str">
        <f>IF($B3943="Portfolio","Portfolio",IFERROR(INDEX(DATA_ASSET_CLASSIFICATION!$B$8:$B$24,MATCH($C3943,DATA_ASSET_CLASSIFICATION!$A$8:$A$24,0)),"Review"))</f>
        <v>Rosemary Green</v>
      </c>
      <c r="N3943" s="350" t="str">
        <f ca="1">IF($B3943="Portfolio","Portfolio",IFERROR(INDEX(DATA_ASSET_CLASSIFICATION!$U$8:$U$24,MATCH($C3943,DATA_ASSET_CLASSIFICATION!$A$8:$A$24,0)),"Review"))</f>
        <v>Refi Watch</v>
      </c>
      <c r="O3943" s="350" t="str">
        <f ca="1">IF($B3943="Portfolio","Portfolio",IFERROR(INDEX(DATA_ASSET_CLASSIFICATION!$AB$8:$AB$13,MATCH($N3943,DATA_ASSET_CLASSIFICATION!$AA$8:$AA$13,0)),"Review"))</f>
        <v>Bucket 2 · Legacy</v>
      </c>
      <c r="P3943" s="350" t="str">
        <f>IF($B3943="Portfolio","Portfolio",IFERROR(INDEX(DATA_ASSET_CLASSIFICATION!$C$8:$C$24,MATCH($C3943,DATA_ASSET_CLASSIFICATION!$A$8:$A$24,0)),"Review"))</f>
        <v>Yes</v>
      </c>
      <c r="Q3943" s="350" t="str">
        <f t="shared" ca="1" si="123"/>
        <v>OK</v>
      </c>
    </row>
    <row r="3944" spans="1:17">
      <c r="A3944" s="366" t="s">
        <v>5900</v>
      </c>
      <c r="B3944" s="366" t="s">
        <v>231</v>
      </c>
      <c r="C3944" s="348" t="str">
        <f>DATA_PROPERTY_MASTER!$A$17</f>
        <v>BLD_RG</v>
      </c>
      <c r="D3944" s="380">
        <f>'00_PORTFOLIO ROLLUP'!O$12</f>
        <v>2035</v>
      </c>
      <c r="E3944" s="366" t="s">
        <v>1721</v>
      </c>
      <c r="F3944" s="366" t="s">
        <v>37</v>
      </c>
      <c r="G3944" s="348" t="str">
        <f>"'"&amp;$C3944&amp;"'!$E$63:$Y$63"</f>
        <v>'BLD_RG'!$E$63:$Y$63</v>
      </c>
      <c r="H3944" s="381">
        <f ca="1">IF(IFERROR(INDEX(DATA_PROPERTY_MASTER!$E$5:$E$21,MATCH($C3944,DATA_PROPERTY_MASTER!$A$5:$A$21,0))="Yes",FALSE),MAX(IFERROR(INDEX(INDIRECT("'"&amp;$C3944&amp;"'!$E$63:$Y$63"),1,MATCH($D3944,INDIRECT("'"&amp;$C3944&amp;"'!$E$12:$Y$12"),0)),0),0),0)</f>
        <v>0</v>
      </c>
      <c r="I3944" s="366" t="s">
        <v>1685</v>
      </c>
      <c r="J3944" s="348" t="str">
        <f t="shared" ca="1" si="122"/>
        <v>OK</v>
      </c>
      <c r="K3944" s="366" t="s">
        <v>1735</v>
      </c>
      <c r="L3944" s="366" t="s">
        <v>2258</v>
      </c>
      <c r="M3944" s="350" t="str">
        <f>IF($B3944="Portfolio","Portfolio",IFERROR(INDEX(DATA_ASSET_CLASSIFICATION!$B$8:$B$24,MATCH($C3944,DATA_ASSET_CLASSIFICATION!$A$8:$A$24,0)),"Review"))</f>
        <v>Rosemary Green</v>
      </c>
      <c r="N3944" s="350" t="str">
        <f ca="1">IF($B3944="Portfolio","Portfolio",IFERROR(INDEX(DATA_ASSET_CLASSIFICATION!$U$8:$U$24,MATCH($C3944,DATA_ASSET_CLASSIFICATION!$A$8:$A$24,0)),"Review"))</f>
        <v>Refi Watch</v>
      </c>
      <c r="O3944" s="350" t="str">
        <f ca="1">IF($B3944="Portfolio","Portfolio",IFERROR(INDEX(DATA_ASSET_CLASSIFICATION!$AB$8:$AB$13,MATCH($N3944,DATA_ASSET_CLASSIFICATION!$AA$8:$AA$13,0)),"Review"))</f>
        <v>Bucket 2 · Legacy</v>
      </c>
      <c r="P3944" s="350" t="str">
        <f>IF($B3944="Portfolio","Portfolio",IFERROR(INDEX(DATA_ASSET_CLASSIFICATION!$C$8:$C$24,MATCH($C3944,DATA_ASSET_CLASSIFICATION!$A$8:$A$24,0)),"Review"))</f>
        <v>Yes</v>
      </c>
      <c r="Q3944" s="350" t="str">
        <f t="shared" ca="1" si="123"/>
        <v>OK</v>
      </c>
    </row>
    <row r="3945" spans="1:17">
      <c r="A3945" s="366" t="s">
        <v>5901</v>
      </c>
      <c r="B3945" s="366" t="s">
        <v>231</v>
      </c>
      <c r="C3945" s="348" t="str">
        <f>DATA_PROPERTY_MASTER!$A$17</f>
        <v>BLD_RG</v>
      </c>
      <c r="D3945" s="380">
        <f>'00_PORTFOLIO ROLLUP'!O$12</f>
        <v>2035</v>
      </c>
      <c r="E3945" s="366" t="s">
        <v>1721</v>
      </c>
      <c r="F3945" s="366" t="s">
        <v>39</v>
      </c>
      <c r="G3945" s="348" t="str">
        <f>"'"&amp;$C3945&amp;"'!$E$63:$Y$63"</f>
        <v>'BLD_RG'!$E$63:$Y$63</v>
      </c>
      <c r="H3945" s="381">
        <f ca="1">IF(IFERROR(INDEX(DATA_PROPERTY_MASTER!$E$5:$E$21,MATCH($C3945,DATA_PROPERTY_MASTER!$A$5:$A$21,0))="Yes",FALSE),MAX(-IFERROR(INDEX(INDIRECT("'"&amp;$C3945&amp;"'!$E$63:$Y$63"),1,MATCH($D3945,INDIRECT("'"&amp;$C3945&amp;"'!$E$12:$Y$12"),0)),0),0),0)</f>
        <v>0</v>
      </c>
      <c r="I3945" s="366" t="s">
        <v>1690</v>
      </c>
      <c r="J3945" s="348" t="str">
        <f t="shared" ca="1" si="122"/>
        <v>OK</v>
      </c>
      <c r="K3945" s="366" t="s">
        <v>1738</v>
      </c>
      <c r="L3945" s="366" t="s">
        <v>2260</v>
      </c>
      <c r="M3945" s="350" t="str">
        <f>IF($B3945="Portfolio","Portfolio",IFERROR(INDEX(DATA_ASSET_CLASSIFICATION!$B$8:$B$24,MATCH($C3945,DATA_ASSET_CLASSIFICATION!$A$8:$A$24,0)),"Review"))</f>
        <v>Rosemary Green</v>
      </c>
      <c r="N3945" s="350" t="str">
        <f ca="1">IF($B3945="Portfolio","Portfolio",IFERROR(INDEX(DATA_ASSET_CLASSIFICATION!$U$8:$U$24,MATCH($C3945,DATA_ASSET_CLASSIFICATION!$A$8:$A$24,0)),"Review"))</f>
        <v>Refi Watch</v>
      </c>
      <c r="O3945" s="350" t="str">
        <f ca="1">IF($B3945="Portfolio","Portfolio",IFERROR(INDEX(DATA_ASSET_CLASSIFICATION!$AB$8:$AB$13,MATCH($N3945,DATA_ASSET_CLASSIFICATION!$AA$8:$AA$13,0)),"Review"))</f>
        <v>Bucket 2 · Legacy</v>
      </c>
      <c r="P3945" s="350" t="str">
        <f>IF($B3945="Portfolio","Portfolio",IFERROR(INDEX(DATA_ASSET_CLASSIFICATION!$C$8:$C$24,MATCH($C3945,DATA_ASSET_CLASSIFICATION!$A$8:$A$24,0)),"Review"))</f>
        <v>Yes</v>
      </c>
      <c r="Q3945" s="350" t="str">
        <f t="shared" ca="1" si="123"/>
        <v>OK</v>
      </c>
    </row>
    <row r="3946" spans="1:17">
      <c r="A3946" s="366" t="s">
        <v>5902</v>
      </c>
      <c r="B3946" s="366" t="s">
        <v>231</v>
      </c>
      <c r="C3946" s="348" t="str">
        <f>DATA_PROPERTY_MASTER!$A$17</f>
        <v>BLD_RG</v>
      </c>
      <c r="D3946" s="380">
        <f>'00_PORTFOLIO ROLLUP'!O$12</f>
        <v>2035</v>
      </c>
      <c r="E3946" s="366" t="s">
        <v>1741</v>
      </c>
      <c r="F3946" s="366" t="s">
        <v>41</v>
      </c>
      <c r="G3946" s="348" t="str">
        <f>"'"&amp;$C3946&amp;"'!rows 56 + positive row 63"</f>
        <v>'BLD_RG'!rows 56 + positive row 63</v>
      </c>
      <c r="H3946" s="381">
        <f ca="1">IF(IFERROR(INDEX(DATA_PROPERTY_MASTER!$E$5:$E$21,MATCH($C3946,DATA_PROPERTY_MASTER!$A$5:$A$21,0))="Yes",FALSE),IFERROR(INDEX(INDIRECT("'"&amp;$C3946&amp;"'!$E$56:$Y$56"),1,MATCH($D3946,INDIRECT("'"&amp;$C3946&amp;"'!$E$12:$Y$12"),0)),0)+MAX(IFERROR(INDEX(INDIRECT("'"&amp;$C3946&amp;"'!$E$63:$Y$63"),1,MATCH($D3946,INDIRECT("'"&amp;$C3946&amp;"'!$E$12:$Y$12"),0)),0),0),0)</f>
        <v>93170.413945234875</v>
      </c>
      <c r="I3946" s="366" t="s">
        <v>1685</v>
      </c>
      <c r="J3946" s="348" t="str">
        <f t="shared" ca="1" si="122"/>
        <v>OK</v>
      </c>
      <c r="K3946" s="366" t="s">
        <v>1742</v>
      </c>
      <c r="L3946" s="366" t="s">
        <v>2262</v>
      </c>
      <c r="M3946" s="350" t="str">
        <f>IF($B3946="Portfolio","Portfolio",IFERROR(INDEX(DATA_ASSET_CLASSIFICATION!$B$8:$B$24,MATCH($C3946,DATA_ASSET_CLASSIFICATION!$A$8:$A$24,0)),"Review"))</f>
        <v>Rosemary Green</v>
      </c>
      <c r="N3946" s="350" t="str">
        <f ca="1">IF($B3946="Portfolio","Portfolio",IFERROR(INDEX(DATA_ASSET_CLASSIFICATION!$U$8:$U$24,MATCH($C3946,DATA_ASSET_CLASSIFICATION!$A$8:$A$24,0)),"Review"))</f>
        <v>Refi Watch</v>
      </c>
      <c r="O3946" s="350" t="str">
        <f ca="1">IF($B3946="Portfolio","Portfolio",IFERROR(INDEX(DATA_ASSET_CLASSIFICATION!$AB$8:$AB$13,MATCH($N3946,DATA_ASSET_CLASSIFICATION!$AA$8:$AA$13,0)),"Review"))</f>
        <v>Bucket 2 · Legacy</v>
      </c>
      <c r="P3946" s="350" t="str">
        <f>IF($B3946="Portfolio","Portfolio",IFERROR(INDEX(DATA_ASSET_CLASSIFICATION!$C$8:$C$24,MATCH($C3946,DATA_ASSET_CLASSIFICATION!$A$8:$A$24,0)),"Review"))</f>
        <v>Yes</v>
      </c>
      <c r="Q3946" s="350" t="str">
        <f t="shared" ca="1" si="123"/>
        <v>OK</v>
      </c>
    </row>
    <row r="3947" spans="1:17">
      <c r="A3947" s="366" t="s">
        <v>5903</v>
      </c>
      <c r="B3947" s="366" t="s">
        <v>231</v>
      </c>
      <c r="C3947" s="348" t="str">
        <f>DATA_PROPERTY_MASTER!$A$17</f>
        <v>BLD_RG</v>
      </c>
      <c r="D3947" s="380">
        <f>'00_PORTFOLIO ROLLUP'!O$12</f>
        <v>2035</v>
      </c>
      <c r="E3947" s="366" t="s">
        <v>1741</v>
      </c>
      <c r="F3947" s="366" t="s">
        <v>43</v>
      </c>
      <c r="G3947" s="348" t="str">
        <f>"'"&amp;$C3947&amp;"'!$E$68:$Y$68"</f>
        <v>'BLD_RG'!$E$68:$Y$68</v>
      </c>
      <c r="H3947" s="381">
        <f ca="1">IF(IFERROR(INDEX(DATA_PROPERTY_MASTER!$E$5:$E$21,MATCH($C3947,DATA_PROPERTY_MASTER!$A$5:$A$21,0))="Yes",FALSE),IFERROR(INDEX(INDIRECT("'"&amp;$C3947&amp;"'!$E$68:$Y$68"),1,MATCH($D3947,INDIRECT("'"&amp;$C3947&amp;"'!$E$12:$Y$12"),0)),0),0)</f>
        <v>93170.413945234875</v>
      </c>
      <c r="I3947" s="366" t="s">
        <v>1731</v>
      </c>
      <c r="J3947" s="348" t="str">
        <f t="shared" ca="1" si="122"/>
        <v>OK</v>
      </c>
      <c r="K3947" s="366" t="s">
        <v>1746</v>
      </c>
      <c r="L3947" s="366" t="s">
        <v>2264</v>
      </c>
      <c r="M3947" s="350" t="str">
        <f>IF($B3947="Portfolio","Portfolio",IFERROR(INDEX(DATA_ASSET_CLASSIFICATION!$B$8:$B$24,MATCH($C3947,DATA_ASSET_CLASSIFICATION!$A$8:$A$24,0)),"Review"))</f>
        <v>Rosemary Green</v>
      </c>
      <c r="N3947" s="350" t="str">
        <f ca="1">IF($B3947="Portfolio","Portfolio",IFERROR(INDEX(DATA_ASSET_CLASSIFICATION!$U$8:$U$24,MATCH($C3947,DATA_ASSET_CLASSIFICATION!$A$8:$A$24,0)),"Review"))</f>
        <v>Refi Watch</v>
      </c>
      <c r="O3947" s="350" t="str">
        <f ca="1">IF($B3947="Portfolio","Portfolio",IFERROR(INDEX(DATA_ASSET_CLASSIFICATION!$AB$8:$AB$13,MATCH($N3947,DATA_ASSET_CLASSIFICATION!$AA$8:$AA$13,0)),"Review"))</f>
        <v>Bucket 2 · Legacy</v>
      </c>
      <c r="P3947" s="350" t="str">
        <f>IF($B3947="Portfolio","Portfolio",IFERROR(INDEX(DATA_ASSET_CLASSIFICATION!$C$8:$C$24,MATCH($C3947,DATA_ASSET_CLASSIFICATION!$A$8:$A$24,0)),"Review"))</f>
        <v>Yes</v>
      </c>
      <c r="Q3947" s="350" t="str">
        <f t="shared" ca="1" si="123"/>
        <v>OK</v>
      </c>
    </row>
    <row r="3948" spans="1:17">
      <c r="A3948" s="366" t="s">
        <v>5904</v>
      </c>
      <c r="B3948" s="366" t="s">
        <v>231</v>
      </c>
      <c r="C3948" s="348" t="str">
        <f>DATA_PROPERTY_MASTER!$A$17</f>
        <v>BLD_RG</v>
      </c>
      <c r="D3948" s="380">
        <f>'00_PORTFOLIO ROLLUP'!O$12</f>
        <v>2035</v>
      </c>
      <c r="E3948" s="366" t="s">
        <v>1741</v>
      </c>
      <c r="F3948" s="366" t="s">
        <v>1749</v>
      </c>
      <c r="G3948" s="348" t="str">
        <f>"'"&amp;$C3948&amp;"'!rows 56, 63, 68"</f>
        <v>'BLD_RG'!rows 56, 63, 68</v>
      </c>
      <c r="H3948" s="381">
        <f ca="1">IF(IFERROR(INDEX(DATA_PROPERTY_MASTER!$E$5:$E$21,MATCH($C3948,DATA_PROPERTY_MASTER!$A$5:$A$21,0))="Yes",FALSE),(IFERROR(INDEX(INDIRECT("'"&amp;$C3948&amp;"'!$E$56:$Y$56"),1,MATCH($D3948,INDIRECT("'"&amp;$C3948&amp;"'!$E$12:$Y$12"),0)),0)+MAX(IFERROR(INDEX(INDIRECT("'"&amp;$C3948&amp;"'!$E$63:$Y$63"),1,MATCH($D3948,INDIRECT("'"&amp;$C3948&amp;"'!$E$12:$Y$12"),0)),0),0))-(IFERROR(INDEX(INDIRECT("'"&amp;$C3948&amp;"'!$E$68:$Y$68"),1,MATCH($D3948,INDIRECT("'"&amp;$C3948&amp;"'!$E$12:$Y$12"),0)),0)),0)</f>
        <v>0</v>
      </c>
      <c r="I3948" s="366" t="s">
        <v>1750</v>
      </c>
      <c r="J3948" s="348" t="str">
        <f t="shared" ca="1" si="122"/>
        <v>OK</v>
      </c>
      <c r="K3948" s="366" t="s">
        <v>1751</v>
      </c>
      <c r="L3948" s="366" t="s">
        <v>2266</v>
      </c>
      <c r="M3948" s="350" t="str">
        <f>IF($B3948="Portfolio","Portfolio",IFERROR(INDEX(DATA_ASSET_CLASSIFICATION!$B$8:$B$24,MATCH($C3948,DATA_ASSET_CLASSIFICATION!$A$8:$A$24,0)),"Review"))</f>
        <v>Rosemary Green</v>
      </c>
      <c r="N3948" s="350" t="str">
        <f ca="1">IF($B3948="Portfolio","Portfolio",IFERROR(INDEX(DATA_ASSET_CLASSIFICATION!$U$8:$U$24,MATCH($C3948,DATA_ASSET_CLASSIFICATION!$A$8:$A$24,0)),"Review"))</f>
        <v>Refi Watch</v>
      </c>
      <c r="O3948" s="350" t="str">
        <f ca="1">IF($B3948="Portfolio","Portfolio",IFERROR(INDEX(DATA_ASSET_CLASSIFICATION!$AB$8:$AB$13,MATCH($N3948,DATA_ASSET_CLASSIFICATION!$AA$8:$AA$13,0)),"Review"))</f>
        <v>Bucket 2 · Legacy</v>
      </c>
      <c r="P3948" s="350" t="str">
        <f>IF($B3948="Portfolio","Portfolio",IFERROR(INDEX(DATA_ASSET_CLASSIFICATION!$C$8:$C$24,MATCH($C3948,DATA_ASSET_CLASSIFICATION!$A$8:$A$24,0)),"Review"))</f>
        <v>Yes</v>
      </c>
      <c r="Q3948" s="350" t="str">
        <f t="shared" ca="1" si="123"/>
        <v>OK</v>
      </c>
    </row>
    <row r="3949" spans="1:17">
      <c r="A3949" s="366" t="s">
        <v>5905</v>
      </c>
      <c r="B3949" s="366" t="s">
        <v>231</v>
      </c>
      <c r="C3949" s="348" t="str">
        <f>DATA_PROPERTY_MASTER!$A$17</f>
        <v>BLD_RG</v>
      </c>
      <c r="D3949" s="380">
        <f>'00_PORTFOLIO ROLLUP'!P$12</f>
        <v>2036</v>
      </c>
      <c r="E3949" s="366" t="s">
        <v>1683</v>
      </c>
      <c r="F3949" s="366" t="s">
        <v>341</v>
      </c>
      <c r="G3949" s="348" t="str">
        <f>"'"&amp;$C3949&amp;"'!$E$24:$Y$24"</f>
        <v>'BLD_RG'!$E$24:$Y$24</v>
      </c>
      <c r="H3949" s="381">
        <f ca="1">IF(IFERROR(INDEX(DATA_PROPERTY_MASTER!$E$5:$E$21,MATCH($C3949,DATA_PROPERTY_MASTER!$A$5:$A$21,0))="Yes",FALSE),IFERROR(INDEX(INDIRECT("'"&amp;$C3949&amp;"'!$E$24:$Y$24"),1,MATCH($D3949,INDIRECT("'"&amp;$C3949&amp;"'!$E$12:$Y$12"),0)),0),0)</f>
        <v>558395.12966591469</v>
      </c>
      <c r="I3949" s="366" t="s">
        <v>1685</v>
      </c>
      <c r="J3949" s="348" t="str">
        <f t="shared" ca="1" si="122"/>
        <v>OK</v>
      </c>
      <c r="K3949" s="366" t="s">
        <v>1686</v>
      </c>
      <c r="L3949" s="366" t="s">
        <v>2234</v>
      </c>
      <c r="M3949" s="350" t="str">
        <f>IF($B3949="Portfolio","Portfolio",IFERROR(INDEX(DATA_ASSET_CLASSIFICATION!$B$8:$B$24,MATCH($C3949,DATA_ASSET_CLASSIFICATION!$A$8:$A$24,0)),"Review"))</f>
        <v>Rosemary Green</v>
      </c>
      <c r="N3949" s="350" t="str">
        <f ca="1">IF($B3949="Portfolio","Portfolio",IFERROR(INDEX(DATA_ASSET_CLASSIFICATION!$U$8:$U$24,MATCH($C3949,DATA_ASSET_CLASSIFICATION!$A$8:$A$24,0)),"Review"))</f>
        <v>Refi Watch</v>
      </c>
      <c r="O3949" s="350" t="str">
        <f ca="1">IF($B3949="Portfolio","Portfolio",IFERROR(INDEX(DATA_ASSET_CLASSIFICATION!$AB$8:$AB$13,MATCH($N3949,DATA_ASSET_CLASSIFICATION!$AA$8:$AA$13,0)),"Review"))</f>
        <v>Bucket 2 · Legacy</v>
      </c>
      <c r="P3949" s="350" t="str">
        <f>IF($B3949="Portfolio","Portfolio",IFERROR(INDEX(DATA_ASSET_CLASSIFICATION!$C$8:$C$24,MATCH($C3949,DATA_ASSET_CLASSIFICATION!$A$8:$A$24,0)),"Review"))</f>
        <v>Yes</v>
      </c>
      <c r="Q3949" s="350" t="str">
        <f t="shared" ca="1" si="123"/>
        <v>OK</v>
      </c>
    </row>
    <row r="3950" spans="1:17">
      <c r="A3950" s="366" t="s">
        <v>5906</v>
      </c>
      <c r="B3950" s="366" t="s">
        <v>231</v>
      </c>
      <c r="C3950" s="348" t="str">
        <f>DATA_PROPERTY_MASTER!$A$17</f>
        <v>BLD_RG</v>
      </c>
      <c r="D3950" s="380">
        <f>'00_PORTFOLIO ROLLUP'!P$12</f>
        <v>2036</v>
      </c>
      <c r="E3950" s="366" t="s">
        <v>1683</v>
      </c>
      <c r="F3950" s="366" t="s">
        <v>355</v>
      </c>
      <c r="G3950" s="348" t="str">
        <f>"'"&amp;$C3950&amp;"'!$E$39:$Y$39"</f>
        <v>'BLD_RG'!$E$39:$Y$39</v>
      </c>
      <c r="H3950" s="381">
        <f ca="1">IF(IFERROR(INDEX(DATA_PROPERTY_MASTER!$E$5:$E$21,MATCH($C3950,DATA_PROPERTY_MASTER!$A$5:$A$21,0))="Yes",FALSE),IFERROR(INDEX(INDIRECT("'"&amp;$C3950&amp;"'!$E$39:$Y$39"),1,MATCH($D3950,INDIRECT("'"&amp;$C3950&amp;"'!$E$12:$Y$12"),0)),0),0)</f>
        <v>322383.17495902447</v>
      </c>
      <c r="I3950" s="366" t="s">
        <v>1690</v>
      </c>
      <c r="J3950" s="348" t="str">
        <f t="shared" ca="1" si="122"/>
        <v>OK</v>
      </c>
      <c r="K3950" s="366" t="s">
        <v>1686</v>
      </c>
      <c r="L3950" s="366" t="s">
        <v>2236</v>
      </c>
      <c r="M3950" s="350" t="str">
        <f>IF($B3950="Portfolio","Portfolio",IFERROR(INDEX(DATA_ASSET_CLASSIFICATION!$B$8:$B$24,MATCH($C3950,DATA_ASSET_CLASSIFICATION!$A$8:$A$24,0)),"Review"))</f>
        <v>Rosemary Green</v>
      </c>
      <c r="N3950" s="350" t="str">
        <f ca="1">IF($B3950="Portfolio","Portfolio",IFERROR(INDEX(DATA_ASSET_CLASSIFICATION!$U$8:$U$24,MATCH($C3950,DATA_ASSET_CLASSIFICATION!$A$8:$A$24,0)),"Review"))</f>
        <v>Refi Watch</v>
      </c>
      <c r="O3950" s="350" t="str">
        <f ca="1">IF($B3950="Portfolio","Portfolio",IFERROR(INDEX(DATA_ASSET_CLASSIFICATION!$AB$8:$AB$13,MATCH($N3950,DATA_ASSET_CLASSIFICATION!$AA$8:$AA$13,0)),"Review"))</f>
        <v>Bucket 2 · Legacy</v>
      </c>
      <c r="P3950" s="350" t="str">
        <f>IF($B3950="Portfolio","Portfolio",IFERROR(INDEX(DATA_ASSET_CLASSIFICATION!$C$8:$C$24,MATCH($C3950,DATA_ASSET_CLASSIFICATION!$A$8:$A$24,0)),"Review"))</f>
        <v>Yes</v>
      </c>
      <c r="Q3950" s="350" t="str">
        <f t="shared" ca="1" si="123"/>
        <v>OK</v>
      </c>
    </row>
    <row r="3951" spans="1:17">
      <c r="A3951" s="366" t="s">
        <v>5907</v>
      </c>
      <c r="B3951" s="366" t="s">
        <v>231</v>
      </c>
      <c r="C3951" s="348" t="str">
        <f>DATA_PROPERTY_MASTER!$A$17</f>
        <v>BLD_RG</v>
      </c>
      <c r="D3951" s="380">
        <f>'00_PORTFOLIO ROLLUP'!P$12</f>
        <v>2036</v>
      </c>
      <c r="E3951" s="366" t="s">
        <v>1683</v>
      </c>
      <c r="F3951" s="366" t="s">
        <v>19</v>
      </c>
      <c r="G3951" s="348" t="str">
        <f>"'"&amp;$C3951&amp;"'!$E$41:$Y$41"</f>
        <v>'BLD_RG'!$E$41:$Y$41</v>
      </c>
      <c r="H3951" s="381">
        <f ca="1">IF(IFERROR(INDEX(DATA_PROPERTY_MASTER!$E$5:$E$21,MATCH($C3951,DATA_PROPERTY_MASTER!$A$5:$A$21,0))="Yes",FALSE),IFERROR(INDEX(INDIRECT("'"&amp;$C3951&amp;"'!$E$41:$Y$41"),1,MATCH($D3951,INDIRECT("'"&amp;$C3951&amp;"'!$E$12:$Y$12"),0)),0),0)</f>
        <v>236011.95470689022</v>
      </c>
      <c r="I3951" s="366" t="s">
        <v>1685</v>
      </c>
      <c r="J3951" s="348" t="str">
        <f t="shared" ca="1" si="122"/>
        <v>OK</v>
      </c>
      <c r="K3951" s="366" t="s">
        <v>1694</v>
      </c>
      <c r="L3951" s="366" t="s">
        <v>2238</v>
      </c>
      <c r="M3951" s="350" t="str">
        <f>IF($B3951="Portfolio","Portfolio",IFERROR(INDEX(DATA_ASSET_CLASSIFICATION!$B$8:$B$24,MATCH($C3951,DATA_ASSET_CLASSIFICATION!$A$8:$A$24,0)),"Review"))</f>
        <v>Rosemary Green</v>
      </c>
      <c r="N3951" s="350" t="str">
        <f ca="1">IF($B3951="Portfolio","Portfolio",IFERROR(INDEX(DATA_ASSET_CLASSIFICATION!$U$8:$U$24,MATCH($C3951,DATA_ASSET_CLASSIFICATION!$A$8:$A$24,0)),"Review"))</f>
        <v>Refi Watch</v>
      </c>
      <c r="O3951" s="350" t="str">
        <f ca="1">IF($B3951="Portfolio","Portfolio",IFERROR(INDEX(DATA_ASSET_CLASSIFICATION!$AB$8:$AB$13,MATCH($N3951,DATA_ASSET_CLASSIFICATION!$AA$8:$AA$13,0)),"Review"))</f>
        <v>Bucket 2 · Legacy</v>
      </c>
      <c r="P3951" s="350" t="str">
        <f>IF($B3951="Portfolio","Portfolio",IFERROR(INDEX(DATA_ASSET_CLASSIFICATION!$C$8:$C$24,MATCH($C3951,DATA_ASSET_CLASSIFICATION!$A$8:$A$24,0)),"Review"))</f>
        <v>Yes</v>
      </c>
      <c r="Q3951" s="350" t="str">
        <f t="shared" ca="1" si="123"/>
        <v>OK</v>
      </c>
    </row>
    <row r="3952" spans="1:17">
      <c r="A3952" s="366" t="s">
        <v>5908</v>
      </c>
      <c r="B3952" s="366" t="s">
        <v>231</v>
      </c>
      <c r="C3952" s="348" t="str">
        <f>DATA_PROPERTY_MASTER!$A$17</f>
        <v>BLD_RG</v>
      </c>
      <c r="D3952" s="380">
        <f>'00_PORTFOLIO ROLLUP'!P$12</f>
        <v>2036</v>
      </c>
      <c r="E3952" s="366" t="s">
        <v>1683</v>
      </c>
      <c r="F3952" s="366" t="s">
        <v>1697</v>
      </c>
      <c r="G3952" s="348" t="str">
        <f>"'"&amp;$C3952&amp;"'!$E$44:$Y$44"</f>
        <v>'BLD_RG'!$E$44:$Y$44</v>
      </c>
      <c r="H3952" s="381">
        <f ca="1">IF(IFERROR(INDEX(DATA_PROPERTY_MASTER!$E$5:$E$21,MATCH($C3952,DATA_PROPERTY_MASTER!$A$5:$A$21,0))="Yes",FALSE),IFERROR(INDEX(INDIRECT("'"&amp;$C3952&amp;"'!$E$44:$Y$44"),1,MATCH($D3952,INDIRECT("'"&amp;$C3952&amp;"'!$E$12:$Y$12"),0)),0),0)</f>
        <v>7087.2335578495167</v>
      </c>
      <c r="I3952" s="366" t="s">
        <v>1690</v>
      </c>
      <c r="J3952" s="348" t="str">
        <f t="shared" ca="1" si="122"/>
        <v>OK</v>
      </c>
      <c r="K3952" s="366" t="s">
        <v>1699</v>
      </c>
      <c r="L3952" s="366" t="s">
        <v>2240</v>
      </c>
      <c r="M3952" s="350" t="str">
        <f>IF($B3952="Portfolio","Portfolio",IFERROR(INDEX(DATA_ASSET_CLASSIFICATION!$B$8:$B$24,MATCH($C3952,DATA_ASSET_CLASSIFICATION!$A$8:$A$24,0)),"Review"))</f>
        <v>Rosemary Green</v>
      </c>
      <c r="N3952" s="350" t="str">
        <f ca="1">IF($B3952="Portfolio","Portfolio",IFERROR(INDEX(DATA_ASSET_CLASSIFICATION!$U$8:$U$24,MATCH($C3952,DATA_ASSET_CLASSIFICATION!$A$8:$A$24,0)),"Review"))</f>
        <v>Refi Watch</v>
      </c>
      <c r="O3952" s="350" t="str">
        <f ca="1">IF($B3952="Portfolio","Portfolio",IFERROR(INDEX(DATA_ASSET_CLASSIFICATION!$AB$8:$AB$13,MATCH($N3952,DATA_ASSET_CLASSIFICATION!$AA$8:$AA$13,0)),"Review"))</f>
        <v>Bucket 2 · Legacy</v>
      </c>
      <c r="P3952" s="350" t="str">
        <f>IF($B3952="Portfolio","Portfolio",IFERROR(INDEX(DATA_ASSET_CLASSIFICATION!$C$8:$C$24,MATCH($C3952,DATA_ASSET_CLASSIFICATION!$A$8:$A$24,0)),"Review"))</f>
        <v>Yes</v>
      </c>
      <c r="Q3952" s="350" t="str">
        <f t="shared" ca="1" si="123"/>
        <v>OK</v>
      </c>
    </row>
    <row r="3953" spans="1:17">
      <c r="A3953" s="366" t="s">
        <v>5909</v>
      </c>
      <c r="B3953" s="366" t="s">
        <v>231</v>
      </c>
      <c r="C3953" s="348" t="str">
        <f>DATA_PROPERTY_MASTER!$A$17</f>
        <v>BLD_RG</v>
      </c>
      <c r="D3953" s="380">
        <f>'00_PORTFOLIO ROLLUP'!P$12</f>
        <v>2036</v>
      </c>
      <c r="E3953" s="366" t="s">
        <v>1683</v>
      </c>
      <c r="F3953" s="366" t="s">
        <v>21</v>
      </c>
      <c r="G3953" s="348" t="str">
        <f>"'"&amp;$C3953&amp;"'!$E$45:$Y$45"</f>
        <v>'BLD_RG'!$E$45:$Y$45</v>
      </c>
      <c r="H3953" s="381">
        <f ca="1">IF(IFERROR(INDEX(DATA_PROPERTY_MASTER!$E$5:$E$21,MATCH($C3953,DATA_PROPERTY_MASTER!$A$5:$A$21,0))="Yes",FALSE),IFERROR(INDEX(INDIRECT("'"&amp;$C3953&amp;"'!$E$45:$Y$45"),1,MATCH($D3953,INDIRECT("'"&amp;$C3953&amp;"'!$E$12:$Y$12"),0)),0),0)</f>
        <v>228924.72114904071</v>
      </c>
      <c r="I3953" s="366" t="s">
        <v>1685</v>
      </c>
      <c r="J3953" s="348" t="str">
        <f t="shared" ca="1" si="122"/>
        <v>OK</v>
      </c>
      <c r="K3953" s="366" t="s">
        <v>1694</v>
      </c>
      <c r="L3953" s="366" t="s">
        <v>2242</v>
      </c>
      <c r="M3953" s="350" t="str">
        <f>IF($B3953="Portfolio","Portfolio",IFERROR(INDEX(DATA_ASSET_CLASSIFICATION!$B$8:$B$24,MATCH($C3953,DATA_ASSET_CLASSIFICATION!$A$8:$A$24,0)),"Review"))</f>
        <v>Rosemary Green</v>
      </c>
      <c r="N3953" s="350" t="str">
        <f ca="1">IF($B3953="Portfolio","Portfolio",IFERROR(INDEX(DATA_ASSET_CLASSIFICATION!$U$8:$U$24,MATCH($C3953,DATA_ASSET_CLASSIFICATION!$A$8:$A$24,0)),"Review"))</f>
        <v>Refi Watch</v>
      </c>
      <c r="O3953" s="350" t="str">
        <f ca="1">IF($B3953="Portfolio","Portfolio",IFERROR(INDEX(DATA_ASSET_CLASSIFICATION!$AB$8:$AB$13,MATCH($N3953,DATA_ASSET_CLASSIFICATION!$AA$8:$AA$13,0)),"Review"))</f>
        <v>Bucket 2 · Legacy</v>
      </c>
      <c r="P3953" s="350" t="str">
        <f>IF($B3953="Portfolio","Portfolio",IFERROR(INDEX(DATA_ASSET_CLASSIFICATION!$C$8:$C$24,MATCH($C3953,DATA_ASSET_CLASSIFICATION!$A$8:$A$24,0)),"Review"))</f>
        <v>Yes</v>
      </c>
      <c r="Q3953" s="350" t="str">
        <f t="shared" ca="1" si="123"/>
        <v>OK</v>
      </c>
    </row>
    <row r="3954" spans="1:17">
      <c r="A3954" s="366" t="s">
        <v>5910</v>
      </c>
      <c r="B3954" s="366" t="s">
        <v>231</v>
      </c>
      <c r="C3954" s="348" t="str">
        <f>DATA_PROPERTY_MASTER!$A$17</f>
        <v>BLD_RG</v>
      </c>
      <c r="D3954" s="380">
        <f>'00_PORTFOLIO ROLLUP'!P$12</f>
        <v>2036</v>
      </c>
      <c r="E3954" s="366" t="s">
        <v>23</v>
      </c>
      <c r="F3954" s="366" t="s">
        <v>23</v>
      </c>
      <c r="G3954" s="348" t="str">
        <f>"'"&amp;$C3954&amp;"'!$E$48:$Y$48"</f>
        <v>'BLD_RG'!$E$48:$Y$48</v>
      </c>
      <c r="H3954" s="381">
        <f ca="1">IF(IFERROR(INDEX(DATA_PROPERTY_MASTER!$E$5:$E$21,MATCH($C3954,DATA_PROPERTY_MASTER!$A$5:$A$21,0))="Yes",FALSE),IFERROR(INDEX(INDIRECT("'"&amp;$C3954&amp;"'!$E$48:$Y$48"),1,MATCH($D3954,INDIRECT("'"&amp;$C3954&amp;"'!$E$12:$Y$12"),0)),0),0)</f>
        <v>0</v>
      </c>
      <c r="I3954" s="366" t="s">
        <v>1690</v>
      </c>
      <c r="J3954" s="348" t="str">
        <f t="shared" ca="1" si="122"/>
        <v>OK</v>
      </c>
      <c r="K3954" s="366" t="s">
        <v>1706</v>
      </c>
      <c r="L3954" s="366" t="s">
        <v>2244</v>
      </c>
      <c r="M3954" s="350" t="str">
        <f>IF($B3954="Portfolio","Portfolio",IFERROR(INDEX(DATA_ASSET_CLASSIFICATION!$B$8:$B$24,MATCH($C3954,DATA_ASSET_CLASSIFICATION!$A$8:$A$24,0)),"Review"))</f>
        <v>Rosemary Green</v>
      </c>
      <c r="N3954" s="350" t="str">
        <f ca="1">IF($B3954="Portfolio","Portfolio",IFERROR(INDEX(DATA_ASSET_CLASSIFICATION!$U$8:$U$24,MATCH($C3954,DATA_ASSET_CLASSIFICATION!$A$8:$A$24,0)),"Review"))</f>
        <v>Refi Watch</v>
      </c>
      <c r="O3954" s="350" t="str">
        <f ca="1">IF($B3954="Portfolio","Portfolio",IFERROR(INDEX(DATA_ASSET_CLASSIFICATION!$AB$8:$AB$13,MATCH($N3954,DATA_ASSET_CLASSIFICATION!$AA$8:$AA$13,0)),"Review"))</f>
        <v>Bucket 2 · Legacy</v>
      </c>
      <c r="P3954" s="350" t="str">
        <f>IF($B3954="Portfolio","Portfolio",IFERROR(INDEX(DATA_ASSET_CLASSIFICATION!$C$8:$C$24,MATCH($C3954,DATA_ASSET_CLASSIFICATION!$A$8:$A$24,0)),"Review"))</f>
        <v>Yes</v>
      </c>
      <c r="Q3954" s="350" t="str">
        <f t="shared" ca="1" si="123"/>
        <v>OK</v>
      </c>
    </row>
    <row r="3955" spans="1:17">
      <c r="A3955" s="366" t="s">
        <v>5911</v>
      </c>
      <c r="B3955" s="366" t="s">
        <v>231</v>
      </c>
      <c r="C3955" s="348" t="str">
        <f>DATA_PROPERTY_MASTER!$A$17</f>
        <v>BLD_RG</v>
      </c>
      <c r="D3955" s="380">
        <f>'00_PORTFOLIO ROLLUP'!P$12</f>
        <v>2036</v>
      </c>
      <c r="E3955" s="366" t="s">
        <v>1683</v>
      </c>
      <c r="F3955" s="366" t="s">
        <v>25</v>
      </c>
      <c r="G3955" s="348" t="str">
        <f>"'"&amp;$C3955&amp;"'!$E$52:$Y$52"</f>
        <v>'BLD_RG'!$E$52:$Y$52</v>
      </c>
      <c r="H3955" s="381">
        <f ca="1">IF(IFERROR(INDEX(DATA_PROPERTY_MASTER!$E$5:$E$21,MATCH($C3955,DATA_PROPERTY_MASTER!$A$5:$A$21,0))="Yes",FALSE),IFERROR(INDEX(INDIRECT("'"&amp;$C3955&amp;"'!$E$52:$Y$52"),1,MATCH($D3955,INDIRECT("'"&amp;$C3955&amp;"'!$E$12:$Y$12"),0)),0),0)</f>
        <v>236011.95470689022</v>
      </c>
      <c r="I3955" s="366" t="s">
        <v>1685</v>
      </c>
      <c r="J3955" s="348" t="str">
        <f t="shared" ca="1" si="122"/>
        <v>OK</v>
      </c>
      <c r="K3955" s="366" t="s">
        <v>1710</v>
      </c>
      <c r="L3955" s="366" t="s">
        <v>2246</v>
      </c>
      <c r="M3955" s="350" t="str">
        <f>IF($B3955="Portfolio","Portfolio",IFERROR(INDEX(DATA_ASSET_CLASSIFICATION!$B$8:$B$24,MATCH($C3955,DATA_ASSET_CLASSIFICATION!$A$8:$A$24,0)),"Review"))</f>
        <v>Rosemary Green</v>
      </c>
      <c r="N3955" s="350" t="str">
        <f ca="1">IF($B3955="Portfolio","Portfolio",IFERROR(INDEX(DATA_ASSET_CLASSIFICATION!$U$8:$U$24,MATCH($C3955,DATA_ASSET_CLASSIFICATION!$A$8:$A$24,0)),"Review"))</f>
        <v>Refi Watch</v>
      </c>
      <c r="O3955" s="350" t="str">
        <f ca="1">IF($B3955="Portfolio","Portfolio",IFERROR(INDEX(DATA_ASSET_CLASSIFICATION!$AB$8:$AB$13,MATCH($N3955,DATA_ASSET_CLASSIFICATION!$AA$8:$AA$13,0)),"Review"))</f>
        <v>Bucket 2 · Legacy</v>
      </c>
      <c r="P3955" s="350" t="str">
        <f>IF($B3955="Portfolio","Portfolio",IFERROR(INDEX(DATA_ASSET_CLASSIFICATION!$C$8:$C$24,MATCH($C3955,DATA_ASSET_CLASSIFICATION!$A$8:$A$24,0)),"Review"))</f>
        <v>Yes</v>
      </c>
      <c r="Q3955" s="350" t="str">
        <f t="shared" ca="1" si="123"/>
        <v>OK</v>
      </c>
    </row>
    <row r="3956" spans="1:17">
      <c r="A3956" s="366" t="s">
        <v>5912</v>
      </c>
      <c r="B3956" s="366" t="s">
        <v>231</v>
      </c>
      <c r="C3956" s="348" t="str">
        <f>DATA_PROPERTY_MASTER!$A$17</f>
        <v>BLD_RG</v>
      </c>
      <c r="D3956" s="380">
        <f>'00_PORTFOLIO ROLLUP'!P$12</f>
        <v>2036</v>
      </c>
      <c r="E3956" s="366" t="s">
        <v>1683</v>
      </c>
      <c r="F3956" s="366" t="s">
        <v>27</v>
      </c>
      <c r="G3956" s="348" t="str">
        <f>"'"&amp;$C3956&amp;"'!$E$54:$Y$54"</f>
        <v>'BLD_RG'!$E$54:$Y$54</v>
      </c>
      <c r="H3956" s="381">
        <f ca="1">IF(IFERROR(INDEX(DATA_PROPERTY_MASTER!$E$5:$E$21,MATCH($C3956,DATA_PROPERTY_MASTER!$A$5:$A$21,0))="Yes",FALSE),IFERROR(INDEX(INDIRECT("'"&amp;$C3956&amp;"'!$E$54:$Y$54"),1,MATCH($D3956,INDIRECT("'"&amp;$C3956&amp;"'!$E$12:$Y$12"),0)),0),0)</f>
        <v>141607.17282413412</v>
      </c>
      <c r="I3956" s="366" t="s">
        <v>1690</v>
      </c>
      <c r="J3956" s="348" t="str">
        <f t="shared" ca="1" si="122"/>
        <v>OK</v>
      </c>
      <c r="K3956" s="366" t="s">
        <v>1714</v>
      </c>
      <c r="L3956" s="366" t="s">
        <v>2248</v>
      </c>
      <c r="M3956" s="350" t="str">
        <f>IF($B3956="Portfolio","Portfolio",IFERROR(INDEX(DATA_ASSET_CLASSIFICATION!$B$8:$B$24,MATCH($C3956,DATA_ASSET_CLASSIFICATION!$A$8:$A$24,0)),"Review"))</f>
        <v>Rosemary Green</v>
      </c>
      <c r="N3956" s="350" t="str">
        <f ca="1">IF($B3956="Portfolio","Portfolio",IFERROR(INDEX(DATA_ASSET_CLASSIFICATION!$U$8:$U$24,MATCH($C3956,DATA_ASSET_CLASSIFICATION!$A$8:$A$24,0)),"Review"))</f>
        <v>Refi Watch</v>
      </c>
      <c r="O3956" s="350" t="str">
        <f ca="1">IF($B3956="Portfolio","Portfolio",IFERROR(INDEX(DATA_ASSET_CLASSIFICATION!$AB$8:$AB$13,MATCH($N3956,DATA_ASSET_CLASSIFICATION!$AA$8:$AA$13,0)),"Review"))</f>
        <v>Bucket 2 · Legacy</v>
      </c>
      <c r="P3956" s="350" t="str">
        <f>IF($B3956="Portfolio","Portfolio",IFERROR(INDEX(DATA_ASSET_CLASSIFICATION!$C$8:$C$24,MATCH($C3956,DATA_ASSET_CLASSIFICATION!$A$8:$A$24,0)),"Review"))</f>
        <v>Yes</v>
      </c>
      <c r="Q3956" s="350" t="str">
        <f t="shared" ca="1" si="123"/>
        <v>OK</v>
      </c>
    </row>
    <row r="3957" spans="1:17">
      <c r="A3957" s="366" t="s">
        <v>5913</v>
      </c>
      <c r="B3957" s="366" t="s">
        <v>231</v>
      </c>
      <c r="C3957" s="348" t="str">
        <f>DATA_PROPERTY_MASTER!$A$17</f>
        <v>BLD_RG</v>
      </c>
      <c r="D3957" s="380">
        <f>'00_PORTFOLIO ROLLUP'!P$12</f>
        <v>2036</v>
      </c>
      <c r="E3957" s="366" t="s">
        <v>1683</v>
      </c>
      <c r="F3957" s="366" t="s">
        <v>29</v>
      </c>
      <c r="G3957" s="348" t="str">
        <f>"'"&amp;$C3957&amp;"'!$E$56:$Y$56"</f>
        <v>'BLD_RG'!$E$56:$Y$56</v>
      </c>
      <c r="H3957" s="381">
        <f ca="1">IF(IFERROR(INDEX(DATA_PROPERTY_MASTER!$E$5:$E$21,MATCH($C3957,DATA_PROPERTY_MASTER!$A$5:$A$21,0))="Yes",FALSE),IFERROR(INDEX(INDIRECT("'"&amp;$C3957&amp;"'!$E$56:$Y$56"),1,MATCH($D3957,INDIRECT("'"&amp;$C3957&amp;"'!$E$12:$Y$12"),0)),0),0)</f>
        <v>94404.781882756099</v>
      </c>
      <c r="I3957" s="366" t="s">
        <v>1685</v>
      </c>
      <c r="J3957" s="348" t="str">
        <f t="shared" ca="1" si="122"/>
        <v>OK</v>
      </c>
      <c r="K3957" s="366" t="s">
        <v>1718</v>
      </c>
      <c r="L3957" s="366" t="s">
        <v>2250</v>
      </c>
      <c r="M3957" s="350" t="str">
        <f>IF($B3957="Portfolio","Portfolio",IFERROR(INDEX(DATA_ASSET_CLASSIFICATION!$B$8:$B$24,MATCH($C3957,DATA_ASSET_CLASSIFICATION!$A$8:$A$24,0)),"Review"))</f>
        <v>Rosemary Green</v>
      </c>
      <c r="N3957" s="350" t="str">
        <f ca="1">IF($B3957="Portfolio","Portfolio",IFERROR(INDEX(DATA_ASSET_CLASSIFICATION!$U$8:$U$24,MATCH($C3957,DATA_ASSET_CLASSIFICATION!$A$8:$A$24,0)),"Review"))</f>
        <v>Refi Watch</v>
      </c>
      <c r="O3957" s="350" t="str">
        <f ca="1">IF($B3957="Portfolio","Portfolio",IFERROR(INDEX(DATA_ASSET_CLASSIFICATION!$AB$8:$AB$13,MATCH($N3957,DATA_ASSET_CLASSIFICATION!$AA$8:$AA$13,0)),"Review"))</f>
        <v>Bucket 2 · Legacy</v>
      </c>
      <c r="P3957" s="350" t="str">
        <f>IF($B3957="Portfolio","Portfolio",IFERROR(INDEX(DATA_ASSET_CLASSIFICATION!$C$8:$C$24,MATCH($C3957,DATA_ASSET_CLASSIFICATION!$A$8:$A$24,0)),"Review"))</f>
        <v>Yes</v>
      </c>
      <c r="Q3957" s="350" t="str">
        <f t="shared" ca="1" si="123"/>
        <v>OK</v>
      </c>
    </row>
    <row r="3958" spans="1:17">
      <c r="A3958" s="366" t="s">
        <v>5914</v>
      </c>
      <c r="B3958" s="366" t="s">
        <v>231</v>
      </c>
      <c r="C3958" s="348" t="str">
        <f>DATA_PROPERTY_MASTER!$A$17</f>
        <v>BLD_RG</v>
      </c>
      <c r="D3958" s="380">
        <f>'00_PORTFOLIO ROLLUP'!P$12</f>
        <v>2036</v>
      </c>
      <c r="E3958" s="366" t="s">
        <v>1721</v>
      </c>
      <c r="F3958" s="366" t="s">
        <v>31</v>
      </c>
      <c r="G3958" s="348" t="str">
        <f>"'"&amp;$C3958&amp;"'!$E$61:$Y$61"</f>
        <v>'BLD_RG'!$E$61:$Y$61</v>
      </c>
      <c r="H3958" s="381">
        <f ca="1">IF(IFERROR(INDEX(DATA_PROPERTY_MASTER!$E$5:$E$21,MATCH($C3958,DATA_PROPERTY_MASTER!$A$5:$A$21,0))="Yes",FALSE),IFERROR(INDEX(INDIRECT("'"&amp;$C3958&amp;"'!$E$61:$Y$61"),1,MATCH($D3958,INDIRECT("'"&amp;$C3958&amp;"'!$E$12:$Y$12"),0)),0),0)</f>
        <v>0</v>
      </c>
      <c r="I3958" s="366" t="s">
        <v>1690</v>
      </c>
      <c r="J3958" s="348" t="str">
        <f t="shared" ca="1" si="122"/>
        <v>OK</v>
      </c>
      <c r="K3958" s="366" t="s">
        <v>1723</v>
      </c>
      <c r="L3958" s="366" t="s">
        <v>2252</v>
      </c>
      <c r="M3958" s="350" t="str">
        <f>IF($B3958="Portfolio","Portfolio",IFERROR(INDEX(DATA_ASSET_CLASSIFICATION!$B$8:$B$24,MATCH($C3958,DATA_ASSET_CLASSIFICATION!$A$8:$A$24,0)),"Review"))</f>
        <v>Rosemary Green</v>
      </c>
      <c r="N3958" s="350" t="str">
        <f ca="1">IF($B3958="Portfolio","Portfolio",IFERROR(INDEX(DATA_ASSET_CLASSIFICATION!$U$8:$U$24,MATCH($C3958,DATA_ASSET_CLASSIFICATION!$A$8:$A$24,0)),"Review"))</f>
        <v>Refi Watch</v>
      </c>
      <c r="O3958" s="350" t="str">
        <f ca="1">IF($B3958="Portfolio","Portfolio",IFERROR(INDEX(DATA_ASSET_CLASSIFICATION!$AB$8:$AB$13,MATCH($N3958,DATA_ASSET_CLASSIFICATION!$AA$8:$AA$13,0)),"Review"))</f>
        <v>Bucket 2 · Legacy</v>
      </c>
      <c r="P3958" s="350" t="str">
        <f>IF($B3958="Portfolio","Portfolio",IFERROR(INDEX(DATA_ASSET_CLASSIFICATION!$C$8:$C$24,MATCH($C3958,DATA_ASSET_CLASSIFICATION!$A$8:$A$24,0)),"Review"))</f>
        <v>Yes</v>
      </c>
      <c r="Q3958" s="350" t="str">
        <f t="shared" ca="1" si="123"/>
        <v>OK</v>
      </c>
    </row>
    <row r="3959" spans="1:17">
      <c r="A3959" s="366" t="s">
        <v>5915</v>
      </c>
      <c r="B3959" s="366" t="s">
        <v>231</v>
      </c>
      <c r="C3959" s="348" t="str">
        <f>DATA_PROPERTY_MASTER!$A$17</f>
        <v>BLD_RG</v>
      </c>
      <c r="D3959" s="380">
        <f>'00_PORTFOLIO ROLLUP'!P$12</f>
        <v>2036</v>
      </c>
      <c r="E3959" s="366" t="s">
        <v>1721</v>
      </c>
      <c r="F3959" s="366" t="s">
        <v>33</v>
      </c>
      <c r="G3959" s="348" t="str">
        <f>"'"&amp;$C3959&amp;"'!$E$62:$Y$62"</f>
        <v>'BLD_RG'!$E$62:$Y$62</v>
      </c>
      <c r="H3959" s="381">
        <f ca="1">IF(IFERROR(INDEX(DATA_PROPERTY_MASTER!$E$5:$E$21,MATCH($C3959,DATA_PROPERTY_MASTER!$A$5:$A$21,0))="Yes",FALSE),IFERROR(INDEX(INDIRECT("'"&amp;$C3959&amp;"'!$E$62:$Y$62"),1,MATCH($D3959,INDIRECT("'"&amp;$C3959&amp;"'!$E$12:$Y$12"),0)),0),0)</f>
        <v>0</v>
      </c>
      <c r="I3959" s="366" t="s">
        <v>1685</v>
      </c>
      <c r="J3959" s="348" t="str">
        <f t="shared" ca="1" si="122"/>
        <v>OK</v>
      </c>
      <c r="K3959" s="366" t="s">
        <v>1727</v>
      </c>
      <c r="L3959" s="366" t="s">
        <v>2254</v>
      </c>
      <c r="M3959" s="350" t="str">
        <f>IF($B3959="Portfolio","Portfolio",IFERROR(INDEX(DATA_ASSET_CLASSIFICATION!$B$8:$B$24,MATCH($C3959,DATA_ASSET_CLASSIFICATION!$A$8:$A$24,0)),"Review"))</f>
        <v>Rosemary Green</v>
      </c>
      <c r="N3959" s="350" t="str">
        <f ca="1">IF($B3959="Portfolio","Portfolio",IFERROR(INDEX(DATA_ASSET_CLASSIFICATION!$U$8:$U$24,MATCH($C3959,DATA_ASSET_CLASSIFICATION!$A$8:$A$24,0)),"Review"))</f>
        <v>Refi Watch</v>
      </c>
      <c r="O3959" s="350" t="str">
        <f ca="1">IF($B3959="Portfolio","Portfolio",IFERROR(INDEX(DATA_ASSET_CLASSIFICATION!$AB$8:$AB$13,MATCH($N3959,DATA_ASSET_CLASSIFICATION!$AA$8:$AA$13,0)),"Review"))</f>
        <v>Bucket 2 · Legacy</v>
      </c>
      <c r="P3959" s="350" t="str">
        <f>IF($B3959="Portfolio","Portfolio",IFERROR(INDEX(DATA_ASSET_CLASSIFICATION!$C$8:$C$24,MATCH($C3959,DATA_ASSET_CLASSIFICATION!$A$8:$A$24,0)),"Review"))</f>
        <v>Yes</v>
      </c>
      <c r="Q3959" s="350" t="str">
        <f t="shared" ca="1" si="123"/>
        <v>OK</v>
      </c>
    </row>
    <row r="3960" spans="1:17">
      <c r="A3960" s="366" t="s">
        <v>5916</v>
      </c>
      <c r="B3960" s="366" t="s">
        <v>231</v>
      </c>
      <c r="C3960" s="348" t="str">
        <f>DATA_PROPERTY_MASTER!$A$17</f>
        <v>BLD_RG</v>
      </c>
      <c r="D3960" s="380">
        <f>'00_PORTFOLIO ROLLUP'!P$12</f>
        <v>2036</v>
      </c>
      <c r="E3960" s="366" t="s">
        <v>1721</v>
      </c>
      <c r="F3960" s="366" t="s">
        <v>35</v>
      </c>
      <c r="G3960" s="348" t="str">
        <f>"'"&amp;$C3960&amp;"'!$E$63:$Y$63"</f>
        <v>'BLD_RG'!$E$63:$Y$63</v>
      </c>
      <c r="H3960" s="381">
        <f ca="1">IF(IFERROR(INDEX(DATA_PROPERTY_MASTER!$E$5:$E$21,MATCH($C3960,DATA_PROPERTY_MASTER!$A$5:$A$21,0))="Yes",FALSE),IFERROR(INDEX(INDIRECT("'"&amp;$C3960&amp;"'!$E$63:$Y$63"),1,MATCH($D3960,INDIRECT("'"&amp;$C3960&amp;"'!$E$12:$Y$12"),0)),0),0)</f>
        <v>0</v>
      </c>
      <c r="I3960" s="366" t="s">
        <v>1731</v>
      </c>
      <c r="J3960" s="348" t="str">
        <f t="shared" ca="1" si="122"/>
        <v>OK</v>
      </c>
      <c r="K3960" s="366" t="s">
        <v>1732</v>
      </c>
      <c r="L3960" s="366" t="s">
        <v>2256</v>
      </c>
      <c r="M3960" s="350" t="str">
        <f>IF($B3960="Portfolio","Portfolio",IFERROR(INDEX(DATA_ASSET_CLASSIFICATION!$B$8:$B$24,MATCH($C3960,DATA_ASSET_CLASSIFICATION!$A$8:$A$24,0)),"Review"))</f>
        <v>Rosemary Green</v>
      </c>
      <c r="N3960" s="350" t="str">
        <f ca="1">IF($B3960="Portfolio","Portfolio",IFERROR(INDEX(DATA_ASSET_CLASSIFICATION!$U$8:$U$24,MATCH($C3960,DATA_ASSET_CLASSIFICATION!$A$8:$A$24,0)),"Review"))</f>
        <v>Refi Watch</v>
      </c>
      <c r="O3960" s="350" t="str">
        <f ca="1">IF($B3960="Portfolio","Portfolio",IFERROR(INDEX(DATA_ASSET_CLASSIFICATION!$AB$8:$AB$13,MATCH($N3960,DATA_ASSET_CLASSIFICATION!$AA$8:$AA$13,0)),"Review"))</f>
        <v>Bucket 2 · Legacy</v>
      </c>
      <c r="P3960" s="350" t="str">
        <f>IF($B3960="Portfolio","Portfolio",IFERROR(INDEX(DATA_ASSET_CLASSIFICATION!$C$8:$C$24,MATCH($C3960,DATA_ASSET_CLASSIFICATION!$A$8:$A$24,0)),"Review"))</f>
        <v>Yes</v>
      </c>
      <c r="Q3960" s="350" t="str">
        <f t="shared" ca="1" si="123"/>
        <v>OK</v>
      </c>
    </row>
    <row r="3961" spans="1:17">
      <c r="A3961" s="366" t="s">
        <v>5917</v>
      </c>
      <c r="B3961" s="366" t="s">
        <v>231</v>
      </c>
      <c r="C3961" s="348" t="str">
        <f>DATA_PROPERTY_MASTER!$A$17</f>
        <v>BLD_RG</v>
      </c>
      <c r="D3961" s="380">
        <f>'00_PORTFOLIO ROLLUP'!P$12</f>
        <v>2036</v>
      </c>
      <c r="E3961" s="366" t="s">
        <v>1721</v>
      </c>
      <c r="F3961" s="366" t="s">
        <v>37</v>
      </c>
      <c r="G3961" s="348" t="str">
        <f>"'"&amp;$C3961&amp;"'!$E$63:$Y$63"</f>
        <v>'BLD_RG'!$E$63:$Y$63</v>
      </c>
      <c r="H3961" s="381">
        <f ca="1">IF(IFERROR(INDEX(DATA_PROPERTY_MASTER!$E$5:$E$21,MATCH($C3961,DATA_PROPERTY_MASTER!$A$5:$A$21,0))="Yes",FALSE),MAX(IFERROR(INDEX(INDIRECT("'"&amp;$C3961&amp;"'!$E$63:$Y$63"),1,MATCH($D3961,INDIRECT("'"&amp;$C3961&amp;"'!$E$12:$Y$12"),0)),0),0),0)</f>
        <v>0</v>
      </c>
      <c r="I3961" s="366" t="s">
        <v>1685</v>
      </c>
      <c r="J3961" s="348" t="str">
        <f t="shared" ca="1" si="122"/>
        <v>OK</v>
      </c>
      <c r="K3961" s="366" t="s">
        <v>1735</v>
      </c>
      <c r="L3961" s="366" t="s">
        <v>2258</v>
      </c>
      <c r="M3961" s="350" t="str">
        <f>IF($B3961="Portfolio","Portfolio",IFERROR(INDEX(DATA_ASSET_CLASSIFICATION!$B$8:$B$24,MATCH($C3961,DATA_ASSET_CLASSIFICATION!$A$8:$A$24,0)),"Review"))</f>
        <v>Rosemary Green</v>
      </c>
      <c r="N3961" s="350" t="str">
        <f ca="1">IF($B3961="Portfolio","Portfolio",IFERROR(INDEX(DATA_ASSET_CLASSIFICATION!$U$8:$U$24,MATCH($C3961,DATA_ASSET_CLASSIFICATION!$A$8:$A$24,0)),"Review"))</f>
        <v>Refi Watch</v>
      </c>
      <c r="O3961" s="350" t="str">
        <f ca="1">IF($B3961="Portfolio","Portfolio",IFERROR(INDEX(DATA_ASSET_CLASSIFICATION!$AB$8:$AB$13,MATCH($N3961,DATA_ASSET_CLASSIFICATION!$AA$8:$AA$13,0)),"Review"))</f>
        <v>Bucket 2 · Legacy</v>
      </c>
      <c r="P3961" s="350" t="str">
        <f>IF($B3961="Portfolio","Portfolio",IFERROR(INDEX(DATA_ASSET_CLASSIFICATION!$C$8:$C$24,MATCH($C3961,DATA_ASSET_CLASSIFICATION!$A$8:$A$24,0)),"Review"))</f>
        <v>Yes</v>
      </c>
      <c r="Q3961" s="350" t="str">
        <f t="shared" ca="1" si="123"/>
        <v>OK</v>
      </c>
    </row>
    <row r="3962" spans="1:17">
      <c r="A3962" s="366" t="s">
        <v>5918</v>
      </c>
      <c r="B3962" s="366" t="s">
        <v>231</v>
      </c>
      <c r="C3962" s="348" t="str">
        <f>DATA_PROPERTY_MASTER!$A$17</f>
        <v>BLD_RG</v>
      </c>
      <c r="D3962" s="380">
        <f>'00_PORTFOLIO ROLLUP'!P$12</f>
        <v>2036</v>
      </c>
      <c r="E3962" s="366" t="s">
        <v>1721</v>
      </c>
      <c r="F3962" s="366" t="s">
        <v>39</v>
      </c>
      <c r="G3962" s="348" t="str">
        <f>"'"&amp;$C3962&amp;"'!$E$63:$Y$63"</f>
        <v>'BLD_RG'!$E$63:$Y$63</v>
      </c>
      <c r="H3962" s="381">
        <f ca="1">IF(IFERROR(INDEX(DATA_PROPERTY_MASTER!$E$5:$E$21,MATCH($C3962,DATA_PROPERTY_MASTER!$A$5:$A$21,0))="Yes",FALSE),MAX(-IFERROR(INDEX(INDIRECT("'"&amp;$C3962&amp;"'!$E$63:$Y$63"),1,MATCH($D3962,INDIRECT("'"&amp;$C3962&amp;"'!$E$12:$Y$12"),0)),0),0),0)</f>
        <v>0</v>
      </c>
      <c r="I3962" s="366" t="s">
        <v>1690</v>
      </c>
      <c r="J3962" s="348" t="str">
        <f t="shared" ca="1" si="122"/>
        <v>OK</v>
      </c>
      <c r="K3962" s="366" t="s">
        <v>1738</v>
      </c>
      <c r="L3962" s="366" t="s">
        <v>2260</v>
      </c>
      <c r="M3962" s="350" t="str">
        <f>IF($B3962="Portfolio","Portfolio",IFERROR(INDEX(DATA_ASSET_CLASSIFICATION!$B$8:$B$24,MATCH($C3962,DATA_ASSET_CLASSIFICATION!$A$8:$A$24,0)),"Review"))</f>
        <v>Rosemary Green</v>
      </c>
      <c r="N3962" s="350" t="str">
        <f ca="1">IF($B3962="Portfolio","Portfolio",IFERROR(INDEX(DATA_ASSET_CLASSIFICATION!$U$8:$U$24,MATCH($C3962,DATA_ASSET_CLASSIFICATION!$A$8:$A$24,0)),"Review"))</f>
        <v>Refi Watch</v>
      </c>
      <c r="O3962" s="350" t="str">
        <f ca="1">IF($B3962="Portfolio","Portfolio",IFERROR(INDEX(DATA_ASSET_CLASSIFICATION!$AB$8:$AB$13,MATCH($N3962,DATA_ASSET_CLASSIFICATION!$AA$8:$AA$13,0)),"Review"))</f>
        <v>Bucket 2 · Legacy</v>
      </c>
      <c r="P3962" s="350" t="str">
        <f>IF($B3962="Portfolio","Portfolio",IFERROR(INDEX(DATA_ASSET_CLASSIFICATION!$C$8:$C$24,MATCH($C3962,DATA_ASSET_CLASSIFICATION!$A$8:$A$24,0)),"Review"))</f>
        <v>Yes</v>
      </c>
      <c r="Q3962" s="350" t="str">
        <f t="shared" ca="1" si="123"/>
        <v>OK</v>
      </c>
    </row>
    <row r="3963" spans="1:17">
      <c r="A3963" s="366" t="s">
        <v>5919</v>
      </c>
      <c r="B3963" s="366" t="s">
        <v>231</v>
      </c>
      <c r="C3963" s="348" t="str">
        <f>DATA_PROPERTY_MASTER!$A$17</f>
        <v>BLD_RG</v>
      </c>
      <c r="D3963" s="380">
        <f>'00_PORTFOLIO ROLLUP'!P$12</f>
        <v>2036</v>
      </c>
      <c r="E3963" s="366" t="s">
        <v>1741</v>
      </c>
      <c r="F3963" s="366" t="s">
        <v>41</v>
      </c>
      <c r="G3963" s="348" t="str">
        <f>"'"&amp;$C3963&amp;"'!rows 56 + positive row 63"</f>
        <v>'BLD_RG'!rows 56 + positive row 63</v>
      </c>
      <c r="H3963" s="381">
        <f ca="1">IF(IFERROR(INDEX(DATA_PROPERTY_MASTER!$E$5:$E$21,MATCH($C3963,DATA_PROPERTY_MASTER!$A$5:$A$21,0))="Yes",FALSE),IFERROR(INDEX(INDIRECT("'"&amp;$C3963&amp;"'!$E$56:$Y$56"),1,MATCH($D3963,INDIRECT("'"&amp;$C3963&amp;"'!$E$12:$Y$12"),0)),0)+MAX(IFERROR(INDEX(INDIRECT("'"&amp;$C3963&amp;"'!$E$63:$Y$63"),1,MATCH($D3963,INDIRECT("'"&amp;$C3963&amp;"'!$E$12:$Y$12"),0)),0),0),0)</f>
        <v>94404.781882756099</v>
      </c>
      <c r="I3963" s="366" t="s">
        <v>1685</v>
      </c>
      <c r="J3963" s="348" t="str">
        <f t="shared" ca="1" si="122"/>
        <v>OK</v>
      </c>
      <c r="K3963" s="366" t="s">
        <v>1742</v>
      </c>
      <c r="L3963" s="366" t="s">
        <v>2262</v>
      </c>
      <c r="M3963" s="350" t="str">
        <f>IF($B3963="Portfolio","Portfolio",IFERROR(INDEX(DATA_ASSET_CLASSIFICATION!$B$8:$B$24,MATCH($C3963,DATA_ASSET_CLASSIFICATION!$A$8:$A$24,0)),"Review"))</f>
        <v>Rosemary Green</v>
      </c>
      <c r="N3963" s="350" t="str">
        <f ca="1">IF($B3963="Portfolio","Portfolio",IFERROR(INDEX(DATA_ASSET_CLASSIFICATION!$U$8:$U$24,MATCH($C3963,DATA_ASSET_CLASSIFICATION!$A$8:$A$24,0)),"Review"))</f>
        <v>Refi Watch</v>
      </c>
      <c r="O3963" s="350" t="str">
        <f ca="1">IF($B3963="Portfolio","Portfolio",IFERROR(INDEX(DATA_ASSET_CLASSIFICATION!$AB$8:$AB$13,MATCH($N3963,DATA_ASSET_CLASSIFICATION!$AA$8:$AA$13,0)),"Review"))</f>
        <v>Bucket 2 · Legacy</v>
      </c>
      <c r="P3963" s="350" t="str">
        <f>IF($B3963="Portfolio","Portfolio",IFERROR(INDEX(DATA_ASSET_CLASSIFICATION!$C$8:$C$24,MATCH($C3963,DATA_ASSET_CLASSIFICATION!$A$8:$A$24,0)),"Review"))</f>
        <v>Yes</v>
      </c>
      <c r="Q3963" s="350" t="str">
        <f t="shared" ca="1" si="123"/>
        <v>OK</v>
      </c>
    </row>
    <row r="3964" spans="1:17">
      <c r="A3964" s="366" t="s">
        <v>5920</v>
      </c>
      <c r="B3964" s="366" t="s">
        <v>231</v>
      </c>
      <c r="C3964" s="348" t="str">
        <f>DATA_PROPERTY_MASTER!$A$17</f>
        <v>BLD_RG</v>
      </c>
      <c r="D3964" s="380">
        <f>'00_PORTFOLIO ROLLUP'!P$12</f>
        <v>2036</v>
      </c>
      <c r="E3964" s="366" t="s">
        <v>1741</v>
      </c>
      <c r="F3964" s="366" t="s">
        <v>43</v>
      </c>
      <c r="G3964" s="348" t="str">
        <f>"'"&amp;$C3964&amp;"'!$E$68:$Y$68"</f>
        <v>'BLD_RG'!$E$68:$Y$68</v>
      </c>
      <c r="H3964" s="381">
        <f ca="1">IF(IFERROR(INDEX(DATA_PROPERTY_MASTER!$E$5:$E$21,MATCH($C3964,DATA_PROPERTY_MASTER!$A$5:$A$21,0))="Yes",FALSE),IFERROR(INDEX(INDIRECT("'"&amp;$C3964&amp;"'!$E$68:$Y$68"),1,MATCH($D3964,INDIRECT("'"&amp;$C3964&amp;"'!$E$12:$Y$12"),0)),0),0)</f>
        <v>94404.781882756099</v>
      </c>
      <c r="I3964" s="366" t="s">
        <v>1731</v>
      </c>
      <c r="J3964" s="348" t="str">
        <f t="shared" ca="1" si="122"/>
        <v>OK</v>
      </c>
      <c r="K3964" s="366" t="s">
        <v>1746</v>
      </c>
      <c r="L3964" s="366" t="s">
        <v>2264</v>
      </c>
      <c r="M3964" s="350" t="str">
        <f>IF($B3964="Portfolio","Portfolio",IFERROR(INDEX(DATA_ASSET_CLASSIFICATION!$B$8:$B$24,MATCH($C3964,DATA_ASSET_CLASSIFICATION!$A$8:$A$24,0)),"Review"))</f>
        <v>Rosemary Green</v>
      </c>
      <c r="N3964" s="350" t="str">
        <f ca="1">IF($B3964="Portfolio","Portfolio",IFERROR(INDEX(DATA_ASSET_CLASSIFICATION!$U$8:$U$24,MATCH($C3964,DATA_ASSET_CLASSIFICATION!$A$8:$A$24,0)),"Review"))</f>
        <v>Refi Watch</v>
      </c>
      <c r="O3964" s="350" t="str">
        <f ca="1">IF($B3964="Portfolio","Portfolio",IFERROR(INDEX(DATA_ASSET_CLASSIFICATION!$AB$8:$AB$13,MATCH($N3964,DATA_ASSET_CLASSIFICATION!$AA$8:$AA$13,0)),"Review"))</f>
        <v>Bucket 2 · Legacy</v>
      </c>
      <c r="P3964" s="350" t="str">
        <f>IF($B3964="Portfolio","Portfolio",IFERROR(INDEX(DATA_ASSET_CLASSIFICATION!$C$8:$C$24,MATCH($C3964,DATA_ASSET_CLASSIFICATION!$A$8:$A$24,0)),"Review"))</f>
        <v>Yes</v>
      </c>
      <c r="Q3964" s="350" t="str">
        <f t="shared" ca="1" si="123"/>
        <v>OK</v>
      </c>
    </row>
    <row r="3965" spans="1:17">
      <c r="A3965" s="366" t="s">
        <v>5921</v>
      </c>
      <c r="B3965" s="366" t="s">
        <v>231</v>
      </c>
      <c r="C3965" s="348" t="str">
        <f>DATA_PROPERTY_MASTER!$A$17</f>
        <v>BLD_RG</v>
      </c>
      <c r="D3965" s="380">
        <f>'00_PORTFOLIO ROLLUP'!P$12</f>
        <v>2036</v>
      </c>
      <c r="E3965" s="366" t="s">
        <v>1741</v>
      </c>
      <c r="F3965" s="366" t="s">
        <v>1749</v>
      </c>
      <c r="G3965" s="348" t="str">
        <f>"'"&amp;$C3965&amp;"'!rows 56, 63, 68"</f>
        <v>'BLD_RG'!rows 56, 63, 68</v>
      </c>
      <c r="H3965" s="381">
        <f ca="1">IF(IFERROR(INDEX(DATA_PROPERTY_MASTER!$E$5:$E$21,MATCH($C3965,DATA_PROPERTY_MASTER!$A$5:$A$21,0))="Yes",FALSE),(IFERROR(INDEX(INDIRECT("'"&amp;$C3965&amp;"'!$E$56:$Y$56"),1,MATCH($D3965,INDIRECT("'"&amp;$C3965&amp;"'!$E$12:$Y$12"),0)),0)+MAX(IFERROR(INDEX(INDIRECT("'"&amp;$C3965&amp;"'!$E$63:$Y$63"),1,MATCH($D3965,INDIRECT("'"&amp;$C3965&amp;"'!$E$12:$Y$12"),0)),0),0))-(IFERROR(INDEX(INDIRECT("'"&amp;$C3965&amp;"'!$E$68:$Y$68"),1,MATCH($D3965,INDIRECT("'"&amp;$C3965&amp;"'!$E$12:$Y$12"),0)),0)),0)</f>
        <v>0</v>
      </c>
      <c r="I3965" s="366" t="s">
        <v>1750</v>
      </c>
      <c r="J3965" s="348" t="str">
        <f t="shared" ca="1" si="122"/>
        <v>OK</v>
      </c>
      <c r="K3965" s="366" t="s">
        <v>1751</v>
      </c>
      <c r="L3965" s="366" t="s">
        <v>2266</v>
      </c>
      <c r="M3965" s="350" t="str">
        <f>IF($B3965="Portfolio","Portfolio",IFERROR(INDEX(DATA_ASSET_CLASSIFICATION!$B$8:$B$24,MATCH($C3965,DATA_ASSET_CLASSIFICATION!$A$8:$A$24,0)),"Review"))</f>
        <v>Rosemary Green</v>
      </c>
      <c r="N3965" s="350" t="str">
        <f ca="1">IF($B3965="Portfolio","Portfolio",IFERROR(INDEX(DATA_ASSET_CLASSIFICATION!$U$8:$U$24,MATCH($C3965,DATA_ASSET_CLASSIFICATION!$A$8:$A$24,0)),"Review"))</f>
        <v>Refi Watch</v>
      </c>
      <c r="O3965" s="350" t="str">
        <f ca="1">IF($B3965="Portfolio","Portfolio",IFERROR(INDEX(DATA_ASSET_CLASSIFICATION!$AB$8:$AB$13,MATCH($N3965,DATA_ASSET_CLASSIFICATION!$AA$8:$AA$13,0)),"Review"))</f>
        <v>Bucket 2 · Legacy</v>
      </c>
      <c r="P3965" s="350" t="str">
        <f>IF($B3965="Portfolio","Portfolio",IFERROR(INDEX(DATA_ASSET_CLASSIFICATION!$C$8:$C$24,MATCH($C3965,DATA_ASSET_CLASSIFICATION!$A$8:$A$24,0)),"Review"))</f>
        <v>Yes</v>
      </c>
      <c r="Q3965" s="350" t="str">
        <f t="shared" ca="1" si="123"/>
        <v>OK</v>
      </c>
    </row>
    <row r="3966" spans="1:17">
      <c r="A3966" s="366" t="s">
        <v>5922</v>
      </c>
      <c r="B3966" s="366" t="s">
        <v>231</v>
      </c>
      <c r="C3966" s="348" t="str">
        <f>DATA_PROPERTY_MASTER!$A$17</f>
        <v>BLD_RG</v>
      </c>
      <c r="D3966" s="380">
        <f>'00_PORTFOLIO ROLLUP'!Q$12</f>
        <v>2037</v>
      </c>
      <c r="E3966" s="366" t="s">
        <v>1683</v>
      </c>
      <c r="F3966" s="366" t="s">
        <v>341</v>
      </c>
      <c r="G3966" s="348" t="str">
        <f>"'"&amp;$C3966&amp;"'!$E$24:$Y$24"</f>
        <v>'BLD_RG'!$E$24:$Y$24</v>
      </c>
      <c r="H3966" s="381">
        <f ca="1">IF(IFERROR(INDEX(DATA_PROPERTY_MASTER!$E$5:$E$21,MATCH($C3966,DATA_PROPERTY_MASTER!$A$5:$A$21,0))="Yes",FALSE),IFERROR(INDEX(INDIRECT("'"&amp;$C3966&amp;"'!$E$24:$Y$24"),1,MATCH($D3966,INDIRECT("'"&amp;$C3966&amp;"'!$E$12:$Y$12"),0)),0),0)</f>
        <v>569563.03225923295</v>
      </c>
      <c r="I3966" s="366" t="s">
        <v>1685</v>
      </c>
      <c r="J3966" s="348" t="str">
        <f t="shared" ca="1" si="122"/>
        <v>OK</v>
      </c>
      <c r="K3966" s="366" t="s">
        <v>1686</v>
      </c>
      <c r="L3966" s="366" t="s">
        <v>2234</v>
      </c>
      <c r="M3966" s="350" t="str">
        <f>IF($B3966="Portfolio","Portfolio",IFERROR(INDEX(DATA_ASSET_CLASSIFICATION!$B$8:$B$24,MATCH($C3966,DATA_ASSET_CLASSIFICATION!$A$8:$A$24,0)),"Review"))</f>
        <v>Rosemary Green</v>
      </c>
      <c r="N3966" s="350" t="str">
        <f ca="1">IF($B3966="Portfolio","Portfolio",IFERROR(INDEX(DATA_ASSET_CLASSIFICATION!$U$8:$U$24,MATCH($C3966,DATA_ASSET_CLASSIFICATION!$A$8:$A$24,0)),"Review"))</f>
        <v>Refi Watch</v>
      </c>
      <c r="O3966" s="350" t="str">
        <f ca="1">IF($B3966="Portfolio","Portfolio",IFERROR(INDEX(DATA_ASSET_CLASSIFICATION!$AB$8:$AB$13,MATCH($N3966,DATA_ASSET_CLASSIFICATION!$AA$8:$AA$13,0)),"Review"))</f>
        <v>Bucket 2 · Legacy</v>
      </c>
      <c r="P3966" s="350" t="str">
        <f>IF($B3966="Portfolio","Portfolio",IFERROR(INDEX(DATA_ASSET_CLASSIFICATION!$C$8:$C$24,MATCH($C3966,DATA_ASSET_CLASSIFICATION!$A$8:$A$24,0)),"Review"))</f>
        <v>Yes</v>
      </c>
      <c r="Q3966" s="350" t="str">
        <f t="shared" ca="1" si="123"/>
        <v>OK</v>
      </c>
    </row>
    <row r="3967" spans="1:17">
      <c r="A3967" s="366" t="s">
        <v>5923</v>
      </c>
      <c r="B3967" s="366" t="s">
        <v>231</v>
      </c>
      <c r="C3967" s="348" t="str">
        <f>DATA_PROPERTY_MASTER!$A$17</f>
        <v>BLD_RG</v>
      </c>
      <c r="D3967" s="380">
        <f>'00_PORTFOLIO ROLLUP'!Q$12</f>
        <v>2037</v>
      </c>
      <c r="E3967" s="366" t="s">
        <v>1683</v>
      </c>
      <c r="F3967" s="366" t="s">
        <v>355</v>
      </c>
      <c r="G3967" s="348" t="str">
        <f>"'"&amp;$C3967&amp;"'!$E$39:$Y$39"</f>
        <v>'BLD_RG'!$E$39:$Y$39</v>
      </c>
      <c r="H3967" s="381">
        <f ca="1">IF(IFERROR(INDEX(DATA_PROPERTY_MASTER!$E$5:$E$21,MATCH($C3967,DATA_PROPERTY_MASTER!$A$5:$A$21,0))="Yes",FALSE),IFERROR(INDEX(INDIRECT("'"&amp;$C3967&amp;"'!$E$39:$Y$39"),1,MATCH($D3967,INDIRECT("'"&amp;$C3967&amp;"'!$E$12:$Y$12"),0)),0),0)</f>
        <v>330442.75433300005</v>
      </c>
      <c r="I3967" s="366" t="s">
        <v>1690</v>
      </c>
      <c r="J3967" s="348" t="str">
        <f t="shared" ca="1" si="122"/>
        <v>OK</v>
      </c>
      <c r="K3967" s="366" t="s">
        <v>1686</v>
      </c>
      <c r="L3967" s="366" t="s">
        <v>2236</v>
      </c>
      <c r="M3967" s="350" t="str">
        <f>IF($B3967="Portfolio","Portfolio",IFERROR(INDEX(DATA_ASSET_CLASSIFICATION!$B$8:$B$24,MATCH($C3967,DATA_ASSET_CLASSIFICATION!$A$8:$A$24,0)),"Review"))</f>
        <v>Rosemary Green</v>
      </c>
      <c r="N3967" s="350" t="str">
        <f ca="1">IF($B3967="Portfolio","Portfolio",IFERROR(INDEX(DATA_ASSET_CLASSIFICATION!$U$8:$U$24,MATCH($C3967,DATA_ASSET_CLASSIFICATION!$A$8:$A$24,0)),"Review"))</f>
        <v>Refi Watch</v>
      </c>
      <c r="O3967" s="350" t="str">
        <f ca="1">IF($B3967="Portfolio","Portfolio",IFERROR(INDEX(DATA_ASSET_CLASSIFICATION!$AB$8:$AB$13,MATCH($N3967,DATA_ASSET_CLASSIFICATION!$AA$8:$AA$13,0)),"Review"))</f>
        <v>Bucket 2 · Legacy</v>
      </c>
      <c r="P3967" s="350" t="str">
        <f>IF($B3967="Portfolio","Portfolio",IFERROR(INDEX(DATA_ASSET_CLASSIFICATION!$C$8:$C$24,MATCH($C3967,DATA_ASSET_CLASSIFICATION!$A$8:$A$24,0)),"Review"))</f>
        <v>Yes</v>
      </c>
      <c r="Q3967" s="350" t="str">
        <f t="shared" ca="1" si="123"/>
        <v>OK</v>
      </c>
    </row>
    <row r="3968" spans="1:17">
      <c r="A3968" s="366" t="s">
        <v>5924</v>
      </c>
      <c r="B3968" s="366" t="s">
        <v>231</v>
      </c>
      <c r="C3968" s="348" t="str">
        <f>DATA_PROPERTY_MASTER!$A$17</f>
        <v>BLD_RG</v>
      </c>
      <c r="D3968" s="380">
        <f>'00_PORTFOLIO ROLLUP'!Q$12</f>
        <v>2037</v>
      </c>
      <c r="E3968" s="366" t="s">
        <v>1683</v>
      </c>
      <c r="F3968" s="366" t="s">
        <v>19</v>
      </c>
      <c r="G3968" s="348" t="str">
        <f>"'"&amp;$C3968&amp;"'!$E$41:$Y$41"</f>
        <v>'BLD_RG'!$E$41:$Y$41</v>
      </c>
      <c r="H3968" s="381">
        <f ca="1">IF(IFERROR(INDEX(DATA_PROPERTY_MASTER!$E$5:$E$21,MATCH($C3968,DATA_PROPERTY_MASTER!$A$5:$A$21,0))="Yes",FALSE),IFERROR(INDEX(INDIRECT("'"&amp;$C3968&amp;"'!$E$41:$Y$41"),1,MATCH($D3968,INDIRECT("'"&amp;$C3968&amp;"'!$E$12:$Y$12"),0)),0),0)</f>
        <v>239120.2779262329</v>
      </c>
      <c r="I3968" s="366" t="s">
        <v>1685</v>
      </c>
      <c r="J3968" s="348" t="str">
        <f t="shared" ca="1" si="122"/>
        <v>OK</v>
      </c>
      <c r="K3968" s="366" t="s">
        <v>1694</v>
      </c>
      <c r="L3968" s="366" t="s">
        <v>2238</v>
      </c>
      <c r="M3968" s="350" t="str">
        <f>IF($B3968="Portfolio","Portfolio",IFERROR(INDEX(DATA_ASSET_CLASSIFICATION!$B$8:$B$24,MATCH($C3968,DATA_ASSET_CLASSIFICATION!$A$8:$A$24,0)),"Review"))</f>
        <v>Rosemary Green</v>
      </c>
      <c r="N3968" s="350" t="str">
        <f ca="1">IF($B3968="Portfolio","Portfolio",IFERROR(INDEX(DATA_ASSET_CLASSIFICATION!$U$8:$U$24,MATCH($C3968,DATA_ASSET_CLASSIFICATION!$A$8:$A$24,0)),"Review"))</f>
        <v>Refi Watch</v>
      </c>
      <c r="O3968" s="350" t="str">
        <f ca="1">IF($B3968="Portfolio","Portfolio",IFERROR(INDEX(DATA_ASSET_CLASSIFICATION!$AB$8:$AB$13,MATCH($N3968,DATA_ASSET_CLASSIFICATION!$AA$8:$AA$13,0)),"Review"))</f>
        <v>Bucket 2 · Legacy</v>
      </c>
      <c r="P3968" s="350" t="str">
        <f>IF($B3968="Portfolio","Portfolio",IFERROR(INDEX(DATA_ASSET_CLASSIFICATION!$C$8:$C$24,MATCH($C3968,DATA_ASSET_CLASSIFICATION!$A$8:$A$24,0)),"Review"))</f>
        <v>Yes</v>
      </c>
      <c r="Q3968" s="350" t="str">
        <f t="shared" ca="1" si="123"/>
        <v>OK</v>
      </c>
    </row>
    <row r="3969" spans="1:17">
      <c r="A3969" s="366" t="s">
        <v>5925</v>
      </c>
      <c r="B3969" s="366" t="s">
        <v>231</v>
      </c>
      <c r="C3969" s="348" t="str">
        <f>DATA_PROPERTY_MASTER!$A$17</f>
        <v>BLD_RG</v>
      </c>
      <c r="D3969" s="380">
        <f>'00_PORTFOLIO ROLLUP'!Q$12</f>
        <v>2037</v>
      </c>
      <c r="E3969" s="366" t="s">
        <v>1683</v>
      </c>
      <c r="F3969" s="366" t="s">
        <v>1697</v>
      </c>
      <c r="G3969" s="348" t="str">
        <f>"'"&amp;$C3969&amp;"'!$E$44:$Y$44"</f>
        <v>'BLD_RG'!$E$44:$Y$44</v>
      </c>
      <c r="H3969" s="381">
        <f ca="1">IF(IFERROR(INDEX(DATA_PROPERTY_MASTER!$E$5:$E$21,MATCH($C3969,DATA_PROPERTY_MASTER!$A$5:$A$21,0))="Yes",FALSE),IFERROR(INDEX(INDIRECT("'"&amp;$C3969&amp;"'!$E$44:$Y$44"),1,MATCH($D3969,INDIRECT("'"&amp;$C3969&amp;"'!$E$12:$Y$12"),0)),0),0)</f>
        <v>7228.9782290065077</v>
      </c>
      <c r="I3969" s="366" t="s">
        <v>1690</v>
      </c>
      <c r="J3969" s="348" t="str">
        <f t="shared" ca="1" si="122"/>
        <v>OK</v>
      </c>
      <c r="K3969" s="366" t="s">
        <v>1699</v>
      </c>
      <c r="L3969" s="366" t="s">
        <v>2240</v>
      </c>
      <c r="M3969" s="350" t="str">
        <f>IF($B3969="Portfolio","Portfolio",IFERROR(INDEX(DATA_ASSET_CLASSIFICATION!$B$8:$B$24,MATCH($C3969,DATA_ASSET_CLASSIFICATION!$A$8:$A$24,0)),"Review"))</f>
        <v>Rosemary Green</v>
      </c>
      <c r="N3969" s="350" t="str">
        <f ca="1">IF($B3969="Portfolio","Portfolio",IFERROR(INDEX(DATA_ASSET_CLASSIFICATION!$U$8:$U$24,MATCH($C3969,DATA_ASSET_CLASSIFICATION!$A$8:$A$24,0)),"Review"))</f>
        <v>Refi Watch</v>
      </c>
      <c r="O3969" s="350" t="str">
        <f ca="1">IF($B3969="Portfolio","Portfolio",IFERROR(INDEX(DATA_ASSET_CLASSIFICATION!$AB$8:$AB$13,MATCH($N3969,DATA_ASSET_CLASSIFICATION!$AA$8:$AA$13,0)),"Review"))</f>
        <v>Bucket 2 · Legacy</v>
      </c>
      <c r="P3969" s="350" t="str">
        <f>IF($B3969="Portfolio","Portfolio",IFERROR(INDEX(DATA_ASSET_CLASSIFICATION!$C$8:$C$24,MATCH($C3969,DATA_ASSET_CLASSIFICATION!$A$8:$A$24,0)),"Review"))</f>
        <v>Yes</v>
      </c>
      <c r="Q3969" s="350" t="str">
        <f t="shared" ca="1" si="123"/>
        <v>OK</v>
      </c>
    </row>
    <row r="3970" spans="1:17">
      <c r="A3970" s="366" t="s">
        <v>5926</v>
      </c>
      <c r="B3970" s="366" t="s">
        <v>231</v>
      </c>
      <c r="C3970" s="348" t="str">
        <f>DATA_PROPERTY_MASTER!$A$17</f>
        <v>BLD_RG</v>
      </c>
      <c r="D3970" s="380">
        <f>'00_PORTFOLIO ROLLUP'!Q$12</f>
        <v>2037</v>
      </c>
      <c r="E3970" s="366" t="s">
        <v>1683</v>
      </c>
      <c r="F3970" s="366" t="s">
        <v>21</v>
      </c>
      <c r="G3970" s="348" t="str">
        <f>"'"&amp;$C3970&amp;"'!$E$45:$Y$45"</f>
        <v>'BLD_RG'!$E$45:$Y$45</v>
      </c>
      <c r="H3970" s="381">
        <f ca="1">IF(IFERROR(INDEX(DATA_PROPERTY_MASTER!$E$5:$E$21,MATCH($C3970,DATA_PROPERTY_MASTER!$A$5:$A$21,0))="Yes",FALSE),IFERROR(INDEX(INDIRECT("'"&amp;$C3970&amp;"'!$E$45:$Y$45"),1,MATCH($D3970,INDIRECT("'"&amp;$C3970&amp;"'!$E$12:$Y$12"),0)),0),0)</f>
        <v>231891.29969722638</v>
      </c>
      <c r="I3970" s="366" t="s">
        <v>1685</v>
      </c>
      <c r="J3970" s="348" t="str">
        <f t="shared" ca="1" si="122"/>
        <v>OK</v>
      </c>
      <c r="K3970" s="366" t="s">
        <v>1694</v>
      </c>
      <c r="L3970" s="366" t="s">
        <v>2242</v>
      </c>
      <c r="M3970" s="350" t="str">
        <f>IF($B3970="Portfolio","Portfolio",IFERROR(INDEX(DATA_ASSET_CLASSIFICATION!$B$8:$B$24,MATCH($C3970,DATA_ASSET_CLASSIFICATION!$A$8:$A$24,0)),"Review"))</f>
        <v>Rosemary Green</v>
      </c>
      <c r="N3970" s="350" t="str">
        <f ca="1">IF($B3970="Portfolio","Portfolio",IFERROR(INDEX(DATA_ASSET_CLASSIFICATION!$U$8:$U$24,MATCH($C3970,DATA_ASSET_CLASSIFICATION!$A$8:$A$24,0)),"Review"))</f>
        <v>Refi Watch</v>
      </c>
      <c r="O3970" s="350" t="str">
        <f ca="1">IF($B3970="Portfolio","Portfolio",IFERROR(INDEX(DATA_ASSET_CLASSIFICATION!$AB$8:$AB$13,MATCH($N3970,DATA_ASSET_CLASSIFICATION!$AA$8:$AA$13,0)),"Review"))</f>
        <v>Bucket 2 · Legacy</v>
      </c>
      <c r="P3970" s="350" t="str">
        <f>IF($B3970="Portfolio","Portfolio",IFERROR(INDEX(DATA_ASSET_CLASSIFICATION!$C$8:$C$24,MATCH($C3970,DATA_ASSET_CLASSIFICATION!$A$8:$A$24,0)),"Review"))</f>
        <v>Yes</v>
      </c>
      <c r="Q3970" s="350" t="str">
        <f t="shared" ca="1" si="123"/>
        <v>OK</v>
      </c>
    </row>
    <row r="3971" spans="1:17">
      <c r="A3971" s="366" t="s">
        <v>5927</v>
      </c>
      <c r="B3971" s="366" t="s">
        <v>231</v>
      </c>
      <c r="C3971" s="348" t="str">
        <f>DATA_PROPERTY_MASTER!$A$17</f>
        <v>BLD_RG</v>
      </c>
      <c r="D3971" s="380">
        <f>'00_PORTFOLIO ROLLUP'!Q$12</f>
        <v>2037</v>
      </c>
      <c r="E3971" s="366" t="s">
        <v>23</v>
      </c>
      <c r="F3971" s="366" t="s">
        <v>23</v>
      </c>
      <c r="G3971" s="348" t="str">
        <f>"'"&amp;$C3971&amp;"'!$E$48:$Y$48"</f>
        <v>'BLD_RG'!$E$48:$Y$48</v>
      </c>
      <c r="H3971" s="381">
        <f ca="1">IF(IFERROR(INDEX(DATA_PROPERTY_MASTER!$E$5:$E$21,MATCH($C3971,DATA_PROPERTY_MASTER!$A$5:$A$21,0))="Yes",FALSE),IFERROR(INDEX(INDIRECT("'"&amp;$C3971&amp;"'!$E$48:$Y$48"),1,MATCH($D3971,INDIRECT("'"&amp;$C3971&amp;"'!$E$12:$Y$12"),0)),0),0)</f>
        <v>0</v>
      </c>
      <c r="I3971" s="366" t="s">
        <v>1690</v>
      </c>
      <c r="J3971" s="348" t="str">
        <f t="shared" ca="1" si="122"/>
        <v>OK</v>
      </c>
      <c r="K3971" s="366" t="s">
        <v>1706</v>
      </c>
      <c r="L3971" s="366" t="s">
        <v>2244</v>
      </c>
      <c r="M3971" s="350" t="str">
        <f>IF($B3971="Portfolio","Portfolio",IFERROR(INDEX(DATA_ASSET_CLASSIFICATION!$B$8:$B$24,MATCH($C3971,DATA_ASSET_CLASSIFICATION!$A$8:$A$24,0)),"Review"))</f>
        <v>Rosemary Green</v>
      </c>
      <c r="N3971" s="350" t="str">
        <f ca="1">IF($B3971="Portfolio","Portfolio",IFERROR(INDEX(DATA_ASSET_CLASSIFICATION!$U$8:$U$24,MATCH($C3971,DATA_ASSET_CLASSIFICATION!$A$8:$A$24,0)),"Review"))</f>
        <v>Refi Watch</v>
      </c>
      <c r="O3971" s="350" t="str">
        <f ca="1">IF($B3971="Portfolio","Portfolio",IFERROR(INDEX(DATA_ASSET_CLASSIFICATION!$AB$8:$AB$13,MATCH($N3971,DATA_ASSET_CLASSIFICATION!$AA$8:$AA$13,0)),"Review"))</f>
        <v>Bucket 2 · Legacy</v>
      </c>
      <c r="P3971" s="350" t="str">
        <f>IF($B3971="Portfolio","Portfolio",IFERROR(INDEX(DATA_ASSET_CLASSIFICATION!$C$8:$C$24,MATCH($C3971,DATA_ASSET_CLASSIFICATION!$A$8:$A$24,0)),"Review"))</f>
        <v>Yes</v>
      </c>
      <c r="Q3971" s="350" t="str">
        <f t="shared" ca="1" si="123"/>
        <v>OK</v>
      </c>
    </row>
    <row r="3972" spans="1:17">
      <c r="A3972" s="366" t="s">
        <v>5928</v>
      </c>
      <c r="B3972" s="366" t="s">
        <v>231</v>
      </c>
      <c r="C3972" s="348" t="str">
        <f>DATA_PROPERTY_MASTER!$A$17</f>
        <v>BLD_RG</v>
      </c>
      <c r="D3972" s="380">
        <f>'00_PORTFOLIO ROLLUP'!Q$12</f>
        <v>2037</v>
      </c>
      <c r="E3972" s="366" t="s">
        <v>1683</v>
      </c>
      <c r="F3972" s="366" t="s">
        <v>25</v>
      </c>
      <c r="G3972" s="348" t="str">
        <f>"'"&amp;$C3972&amp;"'!$E$52:$Y$52"</f>
        <v>'BLD_RG'!$E$52:$Y$52</v>
      </c>
      <c r="H3972" s="381">
        <f ca="1">IF(IFERROR(INDEX(DATA_PROPERTY_MASTER!$E$5:$E$21,MATCH($C3972,DATA_PROPERTY_MASTER!$A$5:$A$21,0))="Yes",FALSE),IFERROR(INDEX(INDIRECT("'"&amp;$C3972&amp;"'!$E$52:$Y$52"),1,MATCH($D3972,INDIRECT("'"&amp;$C3972&amp;"'!$E$12:$Y$12"),0)),0),0)</f>
        <v>239120.2779262329</v>
      </c>
      <c r="I3972" s="366" t="s">
        <v>1685</v>
      </c>
      <c r="J3972" s="348" t="str">
        <f t="shared" ca="1" si="122"/>
        <v>OK</v>
      </c>
      <c r="K3972" s="366" t="s">
        <v>1710</v>
      </c>
      <c r="L3972" s="366" t="s">
        <v>2246</v>
      </c>
      <c r="M3972" s="350" t="str">
        <f>IF($B3972="Portfolio","Portfolio",IFERROR(INDEX(DATA_ASSET_CLASSIFICATION!$B$8:$B$24,MATCH($C3972,DATA_ASSET_CLASSIFICATION!$A$8:$A$24,0)),"Review"))</f>
        <v>Rosemary Green</v>
      </c>
      <c r="N3972" s="350" t="str">
        <f ca="1">IF($B3972="Portfolio","Portfolio",IFERROR(INDEX(DATA_ASSET_CLASSIFICATION!$U$8:$U$24,MATCH($C3972,DATA_ASSET_CLASSIFICATION!$A$8:$A$24,0)),"Review"))</f>
        <v>Refi Watch</v>
      </c>
      <c r="O3972" s="350" t="str">
        <f ca="1">IF($B3972="Portfolio","Portfolio",IFERROR(INDEX(DATA_ASSET_CLASSIFICATION!$AB$8:$AB$13,MATCH($N3972,DATA_ASSET_CLASSIFICATION!$AA$8:$AA$13,0)),"Review"))</f>
        <v>Bucket 2 · Legacy</v>
      </c>
      <c r="P3972" s="350" t="str">
        <f>IF($B3972="Portfolio","Portfolio",IFERROR(INDEX(DATA_ASSET_CLASSIFICATION!$C$8:$C$24,MATCH($C3972,DATA_ASSET_CLASSIFICATION!$A$8:$A$24,0)),"Review"))</f>
        <v>Yes</v>
      </c>
      <c r="Q3972" s="350" t="str">
        <f t="shared" ca="1" si="123"/>
        <v>OK</v>
      </c>
    </row>
    <row r="3973" spans="1:17">
      <c r="A3973" s="366" t="s">
        <v>5929</v>
      </c>
      <c r="B3973" s="366" t="s">
        <v>231</v>
      </c>
      <c r="C3973" s="348" t="str">
        <f>DATA_PROPERTY_MASTER!$A$17</f>
        <v>BLD_RG</v>
      </c>
      <c r="D3973" s="380">
        <f>'00_PORTFOLIO ROLLUP'!Q$12</f>
        <v>2037</v>
      </c>
      <c r="E3973" s="366" t="s">
        <v>1683</v>
      </c>
      <c r="F3973" s="366" t="s">
        <v>27</v>
      </c>
      <c r="G3973" s="348" t="str">
        <f>"'"&amp;$C3973&amp;"'!$E$54:$Y$54"</f>
        <v>'BLD_RG'!$E$54:$Y$54</v>
      </c>
      <c r="H3973" s="381">
        <f ca="1">IF(IFERROR(INDEX(DATA_PROPERTY_MASTER!$E$5:$E$21,MATCH($C3973,DATA_PROPERTY_MASTER!$A$5:$A$21,0))="Yes",FALSE),IFERROR(INDEX(INDIRECT("'"&amp;$C3973&amp;"'!$E$54:$Y$54"),1,MATCH($D3973,INDIRECT("'"&amp;$C3973&amp;"'!$E$12:$Y$12"),0)),0),0)</f>
        <v>143472.16675573974</v>
      </c>
      <c r="I3973" s="366" t="s">
        <v>1690</v>
      </c>
      <c r="J3973" s="348" t="str">
        <f t="shared" ref="J3973:J4036" ca="1" si="124">IF($F3973="Residual Funding Gap",IF($H3973&gt;0,"Funding Gap","OK"),IF(AND($F3973="Net Refinance Position",$H3973&lt;0),"Negative net refi position","OK"))</f>
        <v>OK</v>
      </c>
      <c r="K3973" s="366" t="s">
        <v>1714</v>
      </c>
      <c r="L3973" s="366" t="s">
        <v>2248</v>
      </c>
      <c r="M3973" s="350" t="str">
        <f>IF($B3973="Portfolio","Portfolio",IFERROR(INDEX(DATA_ASSET_CLASSIFICATION!$B$8:$B$24,MATCH($C3973,DATA_ASSET_CLASSIFICATION!$A$8:$A$24,0)),"Review"))</f>
        <v>Rosemary Green</v>
      </c>
      <c r="N3973" s="350" t="str">
        <f ca="1">IF($B3973="Portfolio","Portfolio",IFERROR(INDEX(DATA_ASSET_CLASSIFICATION!$U$8:$U$24,MATCH($C3973,DATA_ASSET_CLASSIFICATION!$A$8:$A$24,0)),"Review"))</f>
        <v>Refi Watch</v>
      </c>
      <c r="O3973" s="350" t="str">
        <f ca="1">IF($B3973="Portfolio","Portfolio",IFERROR(INDEX(DATA_ASSET_CLASSIFICATION!$AB$8:$AB$13,MATCH($N3973,DATA_ASSET_CLASSIFICATION!$AA$8:$AA$13,0)),"Review"))</f>
        <v>Bucket 2 · Legacy</v>
      </c>
      <c r="P3973" s="350" t="str">
        <f>IF($B3973="Portfolio","Portfolio",IFERROR(INDEX(DATA_ASSET_CLASSIFICATION!$C$8:$C$24,MATCH($C3973,DATA_ASSET_CLASSIFICATION!$A$8:$A$24,0)),"Review"))</f>
        <v>Yes</v>
      </c>
      <c r="Q3973" s="350" t="str">
        <f t="shared" ref="Q3973:Q4036" ca="1" si="125">IF(AND($B3973="Property",$F3973="Residual Funding Gap",$H3973&gt;0),"Property Funding Gap",IF($J3973&lt;&gt;"OK",$J3973,"OK"))</f>
        <v>OK</v>
      </c>
    </row>
    <row r="3974" spans="1:17">
      <c r="A3974" s="366" t="s">
        <v>5930</v>
      </c>
      <c r="B3974" s="366" t="s">
        <v>231</v>
      </c>
      <c r="C3974" s="348" t="str">
        <f>DATA_PROPERTY_MASTER!$A$17</f>
        <v>BLD_RG</v>
      </c>
      <c r="D3974" s="380">
        <f>'00_PORTFOLIO ROLLUP'!Q$12</f>
        <v>2037</v>
      </c>
      <c r="E3974" s="366" t="s">
        <v>1683</v>
      </c>
      <c r="F3974" s="366" t="s">
        <v>29</v>
      </c>
      <c r="G3974" s="348" t="str">
        <f>"'"&amp;$C3974&amp;"'!$E$56:$Y$56"</f>
        <v>'BLD_RG'!$E$56:$Y$56</v>
      </c>
      <c r="H3974" s="381">
        <f ca="1">IF(IFERROR(INDEX(DATA_PROPERTY_MASTER!$E$5:$E$21,MATCH($C3974,DATA_PROPERTY_MASTER!$A$5:$A$21,0))="Yes",FALSE),IFERROR(INDEX(INDIRECT("'"&amp;$C3974&amp;"'!$E$56:$Y$56"),1,MATCH($D3974,INDIRECT("'"&amp;$C3974&amp;"'!$E$12:$Y$12"),0)),0),0)</f>
        <v>95648.111170493154</v>
      </c>
      <c r="I3974" s="366" t="s">
        <v>1685</v>
      </c>
      <c r="J3974" s="348" t="str">
        <f t="shared" ca="1" si="124"/>
        <v>OK</v>
      </c>
      <c r="K3974" s="366" t="s">
        <v>1718</v>
      </c>
      <c r="L3974" s="366" t="s">
        <v>2250</v>
      </c>
      <c r="M3974" s="350" t="str">
        <f>IF($B3974="Portfolio","Portfolio",IFERROR(INDEX(DATA_ASSET_CLASSIFICATION!$B$8:$B$24,MATCH($C3974,DATA_ASSET_CLASSIFICATION!$A$8:$A$24,0)),"Review"))</f>
        <v>Rosemary Green</v>
      </c>
      <c r="N3974" s="350" t="str">
        <f ca="1">IF($B3974="Portfolio","Portfolio",IFERROR(INDEX(DATA_ASSET_CLASSIFICATION!$U$8:$U$24,MATCH($C3974,DATA_ASSET_CLASSIFICATION!$A$8:$A$24,0)),"Review"))</f>
        <v>Refi Watch</v>
      </c>
      <c r="O3974" s="350" t="str">
        <f ca="1">IF($B3974="Portfolio","Portfolio",IFERROR(INDEX(DATA_ASSET_CLASSIFICATION!$AB$8:$AB$13,MATCH($N3974,DATA_ASSET_CLASSIFICATION!$AA$8:$AA$13,0)),"Review"))</f>
        <v>Bucket 2 · Legacy</v>
      </c>
      <c r="P3974" s="350" t="str">
        <f>IF($B3974="Portfolio","Portfolio",IFERROR(INDEX(DATA_ASSET_CLASSIFICATION!$C$8:$C$24,MATCH($C3974,DATA_ASSET_CLASSIFICATION!$A$8:$A$24,0)),"Review"))</f>
        <v>Yes</v>
      </c>
      <c r="Q3974" s="350" t="str">
        <f t="shared" ca="1" si="125"/>
        <v>OK</v>
      </c>
    </row>
    <row r="3975" spans="1:17">
      <c r="A3975" s="366" t="s">
        <v>5931</v>
      </c>
      <c r="B3975" s="366" t="s">
        <v>231</v>
      </c>
      <c r="C3975" s="348" t="str">
        <f>DATA_PROPERTY_MASTER!$A$17</f>
        <v>BLD_RG</v>
      </c>
      <c r="D3975" s="380">
        <f>'00_PORTFOLIO ROLLUP'!Q$12</f>
        <v>2037</v>
      </c>
      <c r="E3975" s="366" t="s">
        <v>1721</v>
      </c>
      <c r="F3975" s="366" t="s">
        <v>31</v>
      </c>
      <c r="G3975" s="348" t="str">
        <f>"'"&amp;$C3975&amp;"'!$E$61:$Y$61"</f>
        <v>'BLD_RG'!$E$61:$Y$61</v>
      </c>
      <c r="H3975" s="381">
        <f ca="1">IF(IFERROR(INDEX(DATA_PROPERTY_MASTER!$E$5:$E$21,MATCH($C3975,DATA_PROPERTY_MASTER!$A$5:$A$21,0))="Yes",FALSE),IFERROR(INDEX(INDIRECT("'"&amp;$C3975&amp;"'!$E$61:$Y$61"),1,MATCH($D3975,INDIRECT("'"&amp;$C3975&amp;"'!$E$12:$Y$12"),0)),0),0)</f>
        <v>0</v>
      </c>
      <c r="I3975" s="366" t="s">
        <v>1690</v>
      </c>
      <c r="J3975" s="348" t="str">
        <f t="shared" ca="1" si="124"/>
        <v>OK</v>
      </c>
      <c r="K3975" s="366" t="s">
        <v>1723</v>
      </c>
      <c r="L3975" s="366" t="s">
        <v>2252</v>
      </c>
      <c r="M3975" s="350" t="str">
        <f>IF($B3975="Portfolio","Portfolio",IFERROR(INDEX(DATA_ASSET_CLASSIFICATION!$B$8:$B$24,MATCH($C3975,DATA_ASSET_CLASSIFICATION!$A$8:$A$24,0)),"Review"))</f>
        <v>Rosemary Green</v>
      </c>
      <c r="N3975" s="350" t="str">
        <f ca="1">IF($B3975="Portfolio","Portfolio",IFERROR(INDEX(DATA_ASSET_CLASSIFICATION!$U$8:$U$24,MATCH($C3975,DATA_ASSET_CLASSIFICATION!$A$8:$A$24,0)),"Review"))</f>
        <v>Refi Watch</v>
      </c>
      <c r="O3975" s="350" t="str">
        <f ca="1">IF($B3975="Portfolio","Portfolio",IFERROR(INDEX(DATA_ASSET_CLASSIFICATION!$AB$8:$AB$13,MATCH($N3975,DATA_ASSET_CLASSIFICATION!$AA$8:$AA$13,0)),"Review"))</f>
        <v>Bucket 2 · Legacy</v>
      </c>
      <c r="P3975" s="350" t="str">
        <f>IF($B3975="Portfolio","Portfolio",IFERROR(INDEX(DATA_ASSET_CLASSIFICATION!$C$8:$C$24,MATCH($C3975,DATA_ASSET_CLASSIFICATION!$A$8:$A$24,0)),"Review"))</f>
        <v>Yes</v>
      </c>
      <c r="Q3975" s="350" t="str">
        <f t="shared" ca="1" si="125"/>
        <v>OK</v>
      </c>
    </row>
    <row r="3976" spans="1:17">
      <c r="A3976" s="366" t="s">
        <v>5932</v>
      </c>
      <c r="B3976" s="366" t="s">
        <v>231</v>
      </c>
      <c r="C3976" s="348" t="str">
        <f>DATA_PROPERTY_MASTER!$A$17</f>
        <v>BLD_RG</v>
      </c>
      <c r="D3976" s="380">
        <f>'00_PORTFOLIO ROLLUP'!Q$12</f>
        <v>2037</v>
      </c>
      <c r="E3976" s="366" t="s">
        <v>1721</v>
      </c>
      <c r="F3976" s="366" t="s">
        <v>33</v>
      </c>
      <c r="G3976" s="348" t="str">
        <f>"'"&amp;$C3976&amp;"'!$E$62:$Y$62"</f>
        <v>'BLD_RG'!$E$62:$Y$62</v>
      </c>
      <c r="H3976" s="381">
        <f ca="1">IF(IFERROR(INDEX(DATA_PROPERTY_MASTER!$E$5:$E$21,MATCH($C3976,DATA_PROPERTY_MASTER!$A$5:$A$21,0))="Yes",FALSE),IFERROR(INDEX(INDIRECT("'"&amp;$C3976&amp;"'!$E$62:$Y$62"),1,MATCH($D3976,INDIRECT("'"&amp;$C3976&amp;"'!$E$12:$Y$12"),0)),0),0)</f>
        <v>0</v>
      </c>
      <c r="I3976" s="366" t="s">
        <v>1685</v>
      </c>
      <c r="J3976" s="348" t="str">
        <f t="shared" ca="1" si="124"/>
        <v>OK</v>
      </c>
      <c r="K3976" s="366" t="s">
        <v>1727</v>
      </c>
      <c r="L3976" s="366" t="s">
        <v>2254</v>
      </c>
      <c r="M3976" s="350" t="str">
        <f>IF($B3976="Portfolio","Portfolio",IFERROR(INDEX(DATA_ASSET_CLASSIFICATION!$B$8:$B$24,MATCH($C3976,DATA_ASSET_CLASSIFICATION!$A$8:$A$24,0)),"Review"))</f>
        <v>Rosemary Green</v>
      </c>
      <c r="N3976" s="350" t="str">
        <f ca="1">IF($B3976="Portfolio","Portfolio",IFERROR(INDEX(DATA_ASSET_CLASSIFICATION!$U$8:$U$24,MATCH($C3976,DATA_ASSET_CLASSIFICATION!$A$8:$A$24,0)),"Review"))</f>
        <v>Refi Watch</v>
      </c>
      <c r="O3976" s="350" t="str">
        <f ca="1">IF($B3976="Portfolio","Portfolio",IFERROR(INDEX(DATA_ASSET_CLASSIFICATION!$AB$8:$AB$13,MATCH($N3976,DATA_ASSET_CLASSIFICATION!$AA$8:$AA$13,0)),"Review"))</f>
        <v>Bucket 2 · Legacy</v>
      </c>
      <c r="P3976" s="350" t="str">
        <f>IF($B3976="Portfolio","Portfolio",IFERROR(INDEX(DATA_ASSET_CLASSIFICATION!$C$8:$C$24,MATCH($C3976,DATA_ASSET_CLASSIFICATION!$A$8:$A$24,0)),"Review"))</f>
        <v>Yes</v>
      </c>
      <c r="Q3976" s="350" t="str">
        <f t="shared" ca="1" si="125"/>
        <v>OK</v>
      </c>
    </row>
    <row r="3977" spans="1:17">
      <c r="A3977" s="366" t="s">
        <v>5933</v>
      </c>
      <c r="B3977" s="366" t="s">
        <v>231</v>
      </c>
      <c r="C3977" s="348" t="str">
        <f>DATA_PROPERTY_MASTER!$A$17</f>
        <v>BLD_RG</v>
      </c>
      <c r="D3977" s="380">
        <f>'00_PORTFOLIO ROLLUP'!Q$12</f>
        <v>2037</v>
      </c>
      <c r="E3977" s="366" t="s">
        <v>1721</v>
      </c>
      <c r="F3977" s="366" t="s">
        <v>35</v>
      </c>
      <c r="G3977" s="348" t="str">
        <f>"'"&amp;$C3977&amp;"'!$E$63:$Y$63"</f>
        <v>'BLD_RG'!$E$63:$Y$63</v>
      </c>
      <c r="H3977" s="381">
        <f ca="1">IF(IFERROR(INDEX(DATA_PROPERTY_MASTER!$E$5:$E$21,MATCH($C3977,DATA_PROPERTY_MASTER!$A$5:$A$21,0))="Yes",FALSE),IFERROR(INDEX(INDIRECT("'"&amp;$C3977&amp;"'!$E$63:$Y$63"),1,MATCH($D3977,INDIRECT("'"&amp;$C3977&amp;"'!$E$12:$Y$12"),0)),0),0)</f>
        <v>0</v>
      </c>
      <c r="I3977" s="366" t="s">
        <v>1731</v>
      </c>
      <c r="J3977" s="348" t="str">
        <f t="shared" ca="1" si="124"/>
        <v>OK</v>
      </c>
      <c r="K3977" s="366" t="s">
        <v>1732</v>
      </c>
      <c r="L3977" s="366" t="s">
        <v>2256</v>
      </c>
      <c r="M3977" s="350" t="str">
        <f>IF($B3977="Portfolio","Portfolio",IFERROR(INDEX(DATA_ASSET_CLASSIFICATION!$B$8:$B$24,MATCH($C3977,DATA_ASSET_CLASSIFICATION!$A$8:$A$24,0)),"Review"))</f>
        <v>Rosemary Green</v>
      </c>
      <c r="N3977" s="350" t="str">
        <f ca="1">IF($B3977="Portfolio","Portfolio",IFERROR(INDEX(DATA_ASSET_CLASSIFICATION!$U$8:$U$24,MATCH($C3977,DATA_ASSET_CLASSIFICATION!$A$8:$A$24,0)),"Review"))</f>
        <v>Refi Watch</v>
      </c>
      <c r="O3977" s="350" t="str">
        <f ca="1">IF($B3977="Portfolio","Portfolio",IFERROR(INDEX(DATA_ASSET_CLASSIFICATION!$AB$8:$AB$13,MATCH($N3977,DATA_ASSET_CLASSIFICATION!$AA$8:$AA$13,0)),"Review"))</f>
        <v>Bucket 2 · Legacy</v>
      </c>
      <c r="P3977" s="350" t="str">
        <f>IF($B3977="Portfolio","Portfolio",IFERROR(INDEX(DATA_ASSET_CLASSIFICATION!$C$8:$C$24,MATCH($C3977,DATA_ASSET_CLASSIFICATION!$A$8:$A$24,0)),"Review"))</f>
        <v>Yes</v>
      </c>
      <c r="Q3977" s="350" t="str">
        <f t="shared" ca="1" si="125"/>
        <v>OK</v>
      </c>
    </row>
    <row r="3978" spans="1:17">
      <c r="A3978" s="366" t="s">
        <v>5934</v>
      </c>
      <c r="B3978" s="366" t="s">
        <v>231</v>
      </c>
      <c r="C3978" s="348" t="str">
        <f>DATA_PROPERTY_MASTER!$A$17</f>
        <v>BLD_RG</v>
      </c>
      <c r="D3978" s="380">
        <f>'00_PORTFOLIO ROLLUP'!Q$12</f>
        <v>2037</v>
      </c>
      <c r="E3978" s="366" t="s">
        <v>1721</v>
      </c>
      <c r="F3978" s="366" t="s">
        <v>37</v>
      </c>
      <c r="G3978" s="348" t="str">
        <f>"'"&amp;$C3978&amp;"'!$E$63:$Y$63"</f>
        <v>'BLD_RG'!$E$63:$Y$63</v>
      </c>
      <c r="H3978" s="381">
        <f ca="1">IF(IFERROR(INDEX(DATA_PROPERTY_MASTER!$E$5:$E$21,MATCH($C3978,DATA_PROPERTY_MASTER!$A$5:$A$21,0))="Yes",FALSE),MAX(IFERROR(INDEX(INDIRECT("'"&amp;$C3978&amp;"'!$E$63:$Y$63"),1,MATCH($D3978,INDIRECT("'"&amp;$C3978&amp;"'!$E$12:$Y$12"),0)),0),0),0)</f>
        <v>0</v>
      </c>
      <c r="I3978" s="366" t="s">
        <v>1685</v>
      </c>
      <c r="J3978" s="348" t="str">
        <f t="shared" ca="1" si="124"/>
        <v>OK</v>
      </c>
      <c r="K3978" s="366" t="s">
        <v>1735</v>
      </c>
      <c r="L3978" s="366" t="s">
        <v>2258</v>
      </c>
      <c r="M3978" s="350" t="str">
        <f>IF($B3978="Portfolio","Portfolio",IFERROR(INDEX(DATA_ASSET_CLASSIFICATION!$B$8:$B$24,MATCH($C3978,DATA_ASSET_CLASSIFICATION!$A$8:$A$24,0)),"Review"))</f>
        <v>Rosemary Green</v>
      </c>
      <c r="N3978" s="350" t="str">
        <f ca="1">IF($B3978="Portfolio","Portfolio",IFERROR(INDEX(DATA_ASSET_CLASSIFICATION!$U$8:$U$24,MATCH($C3978,DATA_ASSET_CLASSIFICATION!$A$8:$A$24,0)),"Review"))</f>
        <v>Refi Watch</v>
      </c>
      <c r="O3978" s="350" t="str">
        <f ca="1">IF($B3978="Portfolio","Portfolio",IFERROR(INDEX(DATA_ASSET_CLASSIFICATION!$AB$8:$AB$13,MATCH($N3978,DATA_ASSET_CLASSIFICATION!$AA$8:$AA$13,0)),"Review"))</f>
        <v>Bucket 2 · Legacy</v>
      </c>
      <c r="P3978" s="350" t="str">
        <f>IF($B3978="Portfolio","Portfolio",IFERROR(INDEX(DATA_ASSET_CLASSIFICATION!$C$8:$C$24,MATCH($C3978,DATA_ASSET_CLASSIFICATION!$A$8:$A$24,0)),"Review"))</f>
        <v>Yes</v>
      </c>
      <c r="Q3978" s="350" t="str">
        <f t="shared" ca="1" si="125"/>
        <v>OK</v>
      </c>
    </row>
    <row r="3979" spans="1:17">
      <c r="A3979" s="366" t="s">
        <v>5935</v>
      </c>
      <c r="B3979" s="366" t="s">
        <v>231</v>
      </c>
      <c r="C3979" s="348" t="str">
        <f>DATA_PROPERTY_MASTER!$A$17</f>
        <v>BLD_RG</v>
      </c>
      <c r="D3979" s="380">
        <f>'00_PORTFOLIO ROLLUP'!Q$12</f>
        <v>2037</v>
      </c>
      <c r="E3979" s="366" t="s">
        <v>1721</v>
      </c>
      <c r="F3979" s="366" t="s">
        <v>39</v>
      </c>
      <c r="G3979" s="348" t="str">
        <f>"'"&amp;$C3979&amp;"'!$E$63:$Y$63"</f>
        <v>'BLD_RG'!$E$63:$Y$63</v>
      </c>
      <c r="H3979" s="381">
        <f ca="1">IF(IFERROR(INDEX(DATA_PROPERTY_MASTER!$E$5:$E$21,MATCH($C3979,DATA_PROPERTY_MASTER!$A$5:$A$21,0))="Yes",FALSE),MAX(-IFERROR(INDEX(INDIRECT("'"&amp;$C3979&amp;"'!$E$63:$Y$63"),1,MATCH($D3979,INDIRECT("'"&amp;$C3979&amp;"'!$E$12:$Y$12"),0)),0),0),0)</f>
        <v>0</v>
      </c>
      <c r="I3979" s="366" t="s">
        <v>1690</v>
      </c>
      <c r="J3979" s="348" t="str">
        <f t="shared" ca="1" si="124"/>
        <v>OK</v>
      </c>
      <c r="K3979" s="366" t="s">
        <v>1738</v>
      </c>
      <c r="L3979" s="366" t="s">
        <v>2260</v>
      </c>
      <c r="M3979" s="350" t="str">
        <f>IF($B3979="Portfolio","Portfolio",IFERROR(INDEX(DATA_ASSET_CLASSIFICATION!$B$8:$B$24,MATCH($C3979,DATA_ASSET_CLASSIFICATION!$A$8:$A$24,0)),"Review"))</f>
        <v>Rosemary Green</v>
      </c>
      <c r="N3979" s="350" t="str">
        <f ca="1">IF($B3979="Portfolio","Portfolio",IFERROR(INDEX(DATA_ASSET_CLASSIFICATION!$U$8:$U$24,MATCH($C3979,DATA_ASSET_CLASSIFICATION!$A$8:$A$24,0)),"Review"))</f>
        <v>Refi Watch</v>
      </c>
      <c r="O3979" s="350" t="str">
        <f ca="1">IF($B3979="Portfolio","Portfolio",IFERROR(INDEX(DATA_ASSET_CLASSIFICATION!$AB$8:$AB$13,MATCH($N3979,DATA_ASSET_CLASSIFICATION!$AA$8:$AA$13,0)),"Review"))</f>
        <v>Bucket 2 · Legacy</v>
      </c>
      <c r="P3979" s="350" t="str">
        <f>IF($B3979="Portfolio","Portfolio",IFERROR(INDEX(DATA_ASSET_CLASSIFICATION!$C$8:$C$24,MATCH($C3979,DATA_ASSET_CLASSIFICATION!$A$8:$A$24,0)),"Review"))</f>
        <v>Yes</v>
      </c>
      <c r="Q3979" s="350" t="str">
        <f t="shared" ca="1" si="125"/>
        <v>OK</v>
      </c>
    </row>
    <row r="3980" spans="1:17">
      <c r="A3980" s="366" t="s">
        <v>5936</v>
      </c>
      <c r="B3980" s="366" t="s">
        <v>231</v>
      </c>
      <c r="C3980" s="348" t="str">
        <f>DATA_PROPERTY_MASTER!$A$17</f>
        <v>BLD_RG</v>
      </c>
      <c r="D3980" s="380">
        <f>'00_PORTFOLIO ROLLUP'!Q$12</f>
        <v>2037</v>
      </c>
      <c r="E3980" s="366" t="s">
        <v>1741</v>
      </c>
      <c r="F3980" s="366" t="s">
        <v>41</v>
      </c>
      <c r="G3980" s="348" t="str">
        <f>"'"&amp;$C3980&amp;"'!rows 56 + positive row 63"</f>
        <v>'BLD_RG'!rows 56 + positive row 63</v>
      </c>
      <c r="H3980" s="381">
        <f ca="1">IF(IFERROR(INDEX(DATA_PROPERTY_MASTER!$E$5:$E$21,MATCH($C3980,DATA_PROPERTY_MASTER!$A$5:$A$21,0))="Yes",FALSE),IFERROR(INDEX(INDIRECT("'"&amp;$C3980&amp;"'!$E$56:$Y$56"),1,MATCH($D3980,INDIRECT("'"&amp;$C3980&amp;"'!$E$12:$Y$12"),0)),0)+MAX(IFERROR(INDEX(INDIRECT("'"&amp;$C3980&amp;"'!$E$63:$Y$63"),1,MATCH($D3980,INDIRECT("'"&amp;$C3980&amp;"'!$E$12:$Y$12"),0)),0),0),0)</f>
        <v>95648.111170493154</v>
      </c>
      <c r="I3980" s="366" t="s">
        <v>1685</v>
      </c>
      <c r="J3980" s="348" t="str">
        <f t="shared" ca="1" si="124"/>
        <v>OK</v>
      </c>
      <c r="K3980" s="366" t="s">
        <v>1742</v>
      </c>
      <c r="L3980" s="366" t="s">
        <v>2262</v>
      </c>
      <c r="M3980" s="350" t="str">
        <f>IF($B3980="Portfolio","Portfolio",IFERROR(INDEX(DATA_ASSET_CLASSIFICATION!$B$8:$B$24,MATCH($C3980,DATA_ASSET_CLASSIFICATION!$A$8:$A$24,0)),"Review"))</f>
        <v>Rosemary Green</v>
      </c>
      <c r="N3980" s="350" t="str">
        <f ca="1">IF($B3980="Portfolio","Portfolio",IFERROR(INDEX(DATA_ASSET_CLASSIFICATION!$U$8:$U$24,MATCH($C3980,DATA_ASSET_CLASSIFICATION!$A$8:$A$24,0)),"Review"))</f>
        <v>Refi Watch</v>
      </c>
      <c r="O3980" s="350" t="str">
        <f ca="1">IF($B3980="Portfolio","Portfolio",IFERROR(INDEX(DATA_ASSET_CLASSIFICATION!$AB$8:$AB$13,MATCH($N3980,DATA_ASSET_CLASSIFICATION!$AA$8:$AA$13,0)),"Review"))</f>
        <v>Bucket 2 · Legacy</v>
      </c>
      <c r="P3980" s="350" t="str">
        <f>IF($B3980="Portfolio","Portfolio",IFERROR(INDEX(DATA_ASSET_CLASSIFICATION!$C$8:$C$24,MATCH($C3980,DATA_ASSET_CLASSIFICATION!$A$8:$A$24,0)),"Review"))</f>
        <v>Yes</v>
      </c>
      <c r="Q3980" s="350" t="str">
        <f t="shared" ca="1" si="125"/>
        <v>OK</v>
      </c>
    </row>
    <row r="3981" spans="1:17">
      <c r="A3981" s="366" t="s">
        <v>5937</v>
      </c>
      <c r="B3981" s="366" t="s">
        <v>231</v>
      </c>
      <c r="C3981" s="348" t="str">
        <f>DATA_PROPERTY_MASTER!$A$17</f>
        <v>BLD_RG</v>
      </c>
      <c r="D3981" s="380">
        <f>'00_PORTFOLIO ROLLUP'!Q$12</f>
        <v>2037</v>
      </c>
      <c r="E3981" s="366" t="s">
        <v>1741</v>
      </c>
      <c r="F3981" s="366" t="s">
        <v>43</v>
      </c>
      <c r="G3981" s="348" t="str">
        <f>"'"&amp;$C3981&amp;"'!$E$68:$Y$68"</f>
        <v>'BLD_RG'!$E$68:$Y$68</v>
      </c>
      <c r="H3981" s="381">
        <f ca="1">IF(IFERROR(INDEX(DATA_PROPERTY_MASTER!$E$5:$E$21,MATCH($C3981,DATA_PROPERTY_MASTER!$A$5:$A$21,0))="Yes",FALSE),IFERROR(INDEX(INDIRECT("'"&amp;$C3981&amp;"'!$E$68:$Y$68"),1,MATCH($D3981,INDIRECT("'"&amp;$C3981&amp;"'!$E$12:$Y$12"),0)),0),0)</f>
        <v>95648.111170493154</v>
      </c>
      <c r="I3981" s="366" t="s">
        <v>1731</v>
      </c>
      <c r="J3981" s="348" t="str">
        <f t="shared" ca="1" si="124"/>
        <v>OK</v>
      </c>
      <c r="K3981" s="366" t="s">
        <v>1746</v>
      </c>
      <c r="L3981" s="366" t="s">
        <v>2264</v>
      </c>
      <c r="M3981" s="350" t="str">
        <f>IF($B3981="Portfolio","Portfolio",IFERROR(INDEX(DATA_ASSET_CLASSIFICATION!$B$8:$B$24,MATCH($C3981,DATA_ASSET_CLASSIFICATION!$A$8:$A$24,0)),"Review"))</f>
        <v>Rosemary Green</v>
      </c>
      <c r="N3981" s="350" t="str">
        <f ca="1">IF($B3981="Portfolio","Portfolio",IFERROR(INDEX(DATA_ASSET_CLASSIFICATION!$U$8:$U$24,MATCH($C3981,DATA_ASSET_CLASSIFICATION!$A$8:$A$24,0)),"Review"))</f>
        <v>Refi Watch</v>
      </c>
      <c r="O3981" s="350" t="str">
        <f ca="1">IF($B3981="Portfolio","Portfolio",IFERROR(INDEX(DATA_ASSET_CLASSIFICATION!$AB$8:$AB$13,MATCH($N3981,DATA_ASSET_CLASSIFICATION!$AA$8:$AA$13,0)),"Review"))</f>
        <v>Bucket 2 · Legacy</v>
      </c>
      <c r="P3981" s="350" t="str">
        <f>IF($B3981="Portfolio","Portfolio",IFERROR(INDEX(DATA_ASSET_CLASSIFICATION!$C$8:$C$24,MATCH($C3981,DATA_ASSET_CLASSIFICATION!$A$8:$A$24,0)),"Review"))</f>
        <v>Yes</v>
      </c>
      <c r="Q3981" s="350" t="str">
        <f t="shared" ca="1" si="125"/>
        <v>OK</v>
      </c>
    </row>
    <row r="3982" spans="1:17">
      <c r="A3982" s="366" t="s">
        <v>5938</v>
      </c>
      <c r="B3982" s="366" t="s">
        <v>231</v>
      </c>
      <c r="C3982" s="348" t="str">
        <f>DATA_PROPERTY_MASTER!$A$17</f>
        <v>BLD_RG</v>
      </c>
      <c r="D3982" s="380">
        <f>'00_PORTFOLIO ROLLUP'!Q$12</f>
        <v>2037</v>
      </c>
      <c r="E3982" s="366" t="s">
        <v>1741</v>
      </c>
      <c r="F3982" s="366" t="s">
        <v>1749</v>
      </c>
      <c r="G3982" s="348" t="str">
        <f>"'"&amp;$C3982&amp;"'!rows 56, 63, 68"</f>
        <v>'BLD_RG'!rows 56, 63, 68</v>
      </c>
      <c r="H3982" s="381">
        <f ca="1">IF(IFERROR(INDEX(DATA_PROPERTY_MASTER!$E$5:$E$21,MATCH($C3982,DATA_PROPERTY_MASTER!$A$5:$A$21,0))="Yes",FALSE),(IFERROR(INDEX(INDIRECT("'"&amp;$C3982&amp;"'!$E$56:$Y$56"),1,MATCH($D3982,INDIRECT("'"&amp;$C3982&amp;"'!$E$12:$Y$12"),0)),0)+MAX(IFERROR(INDEX(INDIRECT("'"&amp;$C3982&amp;"'!$E$63:$Y$63"),1,MATCH($D3982,INDIRECT("'"&amp;$C3982&amp;"'!$E$12:$Y$12"),0)),0),0))-(IFERROR(INDEX(INDIRECT("'"&amp;$C3982&amp;"'!$E$68:$Y$68"),1,MATCH($D3982,INDIRECT("'"&amp;$C3982&amp;"'!$E$12:$Y$12"),0)),0)),0)</f>
        <v>0</v>
      </c>
      <c r="I3982" s="366" t="s">
        <v>1750</v>
      </c>
      <c r="J3982" s="348" t="str">
        <f t="shared" ca="1" si="124"/>
        <v>OK</v>
      </c>
      <c r="K3982" s="366" t="s">
        <v>1751</v>
      </c>
      <c r="L3982" s="366" t="s">
        <v>2266</v>
      </c>
      <c r="M3982" s="350" t="str">
        <f>IF($B3982="Portfolio","Portfolio",IFERROR(INDEX(DATA_ASSET_CLASSIFICATION!$B$8:$B$24,MATCH($C3982,DATA_ASSET_CLASSIFICATION!$A$8:$A$24,0)),"Review"))</f>
        <v>Rosemary Green</v>
      </c>
      <c r="N3982" s="350" t="str">
        <f ca="1">IF($B3982="Portfolio","Portfolio",IFERROR(INDEX(DATA_ASSET_CLASSIFICATION!$U$8:$U$24,MATCH($C3982,DATA_ASSET_CLASSIFICATION!$A$8:$A$24,0)),"Review"))</f>
        <v>Refi Watch</v>
      </c>
      <c r="O3982" s="350" t="str">
        <f ca="1">IF($B3982="Portfolio","Portfolio",IFERROR(INDEX(DATA_ASSET_CLASSIFICATION!$AB$8:$AB$13,MATCH($N3982,DATA_ASSET_CLASSIFICATION!$AA$8:$AA$13,0)),"Review"))</f>
        <v>Bucket 2 · Legacy</v>
      </c>
      <c r="P3982" s="350" t="str">
        <f>IF($B3982="Portfolio","Portfolio",IFERROR(INDEX(DATA_ASSET_CLASSIFICATION!$C$8:$C$24,MATCH($C3982,DATA_ASSET_CLASSIFICATION!$A$8:$A$24,0)),"Review"))</f>
        <v>Yes</v>
      </c>
      <c r="Q3982" s="350" t="str">
        <f t="shared" ca="1" si="125"/>
        <v>OK</v>
      </c>
    </row>
    <row r="3983" spans="1:17">
      <c r="A3983" s="366" t="s">
        <v>5939</v>
      </c>
      <c r="B3983" s="366" t="s">
        <v>231</v>
      </c>
      <c r="C3983" s="348" t="str">
        <f>DATA_PROPERTY_MASTER!$A$17</f>
        <v>BLD_RG</v>
      </c>
      <c r="D3983" s="380">
        <f>'00_PORTFOLIO ROLLUP'!R$12</f>
        <v>2038</v>
      </c>
      <c r="E3983" s="366" t="s">
        <v>1683</v>
      </c>
      <c r="F3983" s="366" t="s">
        <v>341</v>
      </c>
      <c r="G3983" s="348" t="str">
        <f>"'"&amp;$C3983&amp;"'!$E$24:$Y$24"</f>
        <v>'BLD_RG'!$E$24:$Y$24</v>
      </c>
      <c r="H3983" s="381">
        <f ca="1">IF(IFERROR(INDEX(DATA_PROPERTY_MASTER!$E$5:$E$21,MATCH($C3983,DATA_PROPERTY_MASTER!$A$5:$A$21,0))="Yes",FALSE),IFERROR(INDEX(INDIRECT("'"&amp;$C3983&amp;"'!$E$24:$Y$24"),1,MATCH($D3983,INDIRECT("'"&amp;$C3983&amp;"'!$E$12:$Y$12"),0)),0),0)</f>
        <v>580954.2929044175</v>
      </c>
      <c r="I3983" s="366" t="s">
        <v>1685</v>
      </c>
      <c r="J3983" s="348" t="str">
        <f t="shared" ca="1" si="124"/>
        <v>OK</v>
      </c>
      <c r="K3983" s="366" t="s">
        <v>1686</v>
      </c>
      <c r="L3983" s="366" t="s">
        <v>2234</v>
      </c>
      <c r="M3983" s="350" t="str">
        <f>IF($B3983="Portfolio","Portfolio",IFERROR(INDEX(DATA_ASSET_CLASSIFICATION!$B$8:$B$24,MATCH($C3983,DATA_ASSET_CLASSIFICATION!$A$8:$A$24,0)),"Review"))</f>
        <v>Rosemary Green</v>
      </c>
      <c r="N3983" s="350" t="str">
        <f ca="1">IF($B3983="Portfolio","Portfolio",IFERROR(INDEX(DATA_ASSET_CLASSIFICATION!$U$8:$U$24,MATCH($C3983,DATA_ASSET_CLASSIFICATION!$A$8:$A$24,0)),"Review"))</f>
        <v>Refi Watch</v>
      </c>
      <c r="O3983" s="350" t="str">
        <f ca="1">IF($B3983="Portfolio","Portfolio",IFERROR(INDEX(DATA_ASSET_CLASSIFICATION!$AB$8:$AB$13,MATCH($N3983,DATA_ASSET_CLASSIFICATION!$AA$8:$AA$13,0)),"Review"))</f>
        <v>Bucket 2 · Legacy</v>
      </c>
      <c r="P3983" s="350" t="str">
        <f>IF($B3983="Portfolio","Portfolio",IFERROR(INDEX(DATA_ASSET_CLASSIFICATION!$C$8:$C$24,MATCH($C3983,DATA_ASSET_CLASSIFICATION!$A$8:$A$24,0)),"Review"))</f>
        <v>Yes</v>
      </c>
      <c r="Q3983" s="350" t="str">
        <f t="shared" ca="1" si="125"/>
        <v>OK</v>
      </c>
    </row>
    <row r="3984" spans="1:17">
      <c r="A3984" s="366" t="s">
        <v>5940</v>
      </c>
      <c r="B3984" s="366" t="s">
        <v>231</v>
      </c>
      <c r="C3984" s="348" t="str">
        <f>DATA_PROPERTY_MASTER!$A$17</f>
        <v>BLD_RG</v>
      </c>
      <c r="D3984" s="380">
        <f>'00_PORTFOLIO ROLLUP'!R$12</f>
        <v>2038</v>
      </c>
      <c r="E3984" s="366" t="s">
        <v>1683</v>
      </c>
      <c r="F3984" s="366" t="s">
        <v>355</v>
      </c>
      <c r="G3984" s="348" t="str">
        <f>"'"&amp;$C3984&amp;"'!$E$39:$Y$39"</f>
        <v>'BLD_RG'!$E$39:$Y$39</v>
      </c>
      <c r="H3984" s="381">
        <f ca="1">IF(IFERROR(INDEX(DATA_PROPERTY_MASTER!$E$5:$E$21,MATCH($C3984,DATA_PROPERTY_MASTER!$A$5:$A$21,0))="Yes",FALSE),IFERROR(INDEX(INDIRECT("'"&amp;$C3984&amp;"'!$E$39:$Y$39"),1,MATCH($D3984,INDIRECT("'"&amp;$C3984&amp;"'!$E$12:$Y$12"),0)),0),0)</f>
        <v>338703.82319132512</v>
      </c>
      <c r="I3984" s="366" t="s">
        <v>1690</v>
      </c>
      <c r="J3984" s="348" t="str">
        <f t="shared" ca="1" si="124"/>
        <v>OK</v>
      </c>
      <c r="K3984" s="366" t="s">
        <v>1686</v>
      </c>
      <c r="L3984" s="366" t="s">
        <v>2236</v>
      </c>
      <c r="M3984" s="350" t="str">
        <f>IF($B3984="Portfolio","Portfolio",IFERROR(INDEX(DATA_ASSET_CLASSIFICATION!$B$8:$B$24,MATCH($C3984,DATA_ASSET_CLASSIFICATION!$A$8:$A$24,0)),"Review"))</f>
        <v>Rosemary Green</v>
      </c>
      <c r="N3984" s="350" t="str">
        <f ca="1">IF($B3984="Portfolio","Portfolio",IFERROR(INDEX(DATA_ASSET_CLASSIFICATION!$U$8:$U$24,MATCH($C3984,DATA_ASSET_CLASSIFICATION!$A$8:$A$24,0)),"Review"))</f>
        <v>Refi Watch</v>
      </c>
      <c r="O3984" s="350" t="str">
        <f ca="1">IF($B3984="Portfolio","Portfolio",IFERROR(INDEX(DATA_ASSET_CLASSIFICATION!$AB$8:$AB$13,MATCH($N3984,DATA_ASSET_CLASSIFICATION!$AA$8:$AA$13,0)),"Review"))</f>
        <v>Bucket 2 · Legacy</v>
      </c>
      <c r="P3984" s="350" t="str">
        <f>IF($B3984="Portfolio","Portfolio",IFERROR(INDEX(DATA_ASSET_CLASSIFICATION!$C$8:$C$24,MATCH($C3984,DATA_ASSET_CLASSIFICATION!$A$8:$A$24,0)),"Review"))</f>
        <v>Yes</v>
      </c>
      <c r="Q3984" s="350" t="str">
        <f t="shared" ca="1" si="125"/>
        <v>OK</v>
      </c>
    </row>
    <row r="3985" spans="1:17">
      <c r="A3985" s="366" t="s">
        <v>5941</v>
      </c>
      <c r="B3985" s="366" t="s">
        <v>231</v>
      </c>
      <c r="C3985" s="348" t="str">
        <f>DATA_PROPERTY_MASTER!$A$17</f>
        <v>BLD_RG</v>
      </c>
      <c r="D3985" s="380">
        <f>'00_PORTFOLIO ROLLUP'!R$12</f>
        <v>2038</v>
      </c>
      <c r="E3985" s="366" t="s">
        <v>1683</v>
      </c>
      <c r="F3985" s="366" t="s">
        <v>19</v>
      </c>
      <c r="G3985" s="348" t="str">
        <f>"'"&amp;$C3985&amp;"'!$E$41:$Y$41"</f>
        <v>'BLD_RG'!$E$41:$Y$41</v>
      </c>
      <c r="H3985" s="381">
        <f ca="1">IF(IFERROR(INDEX(DATA_PROPERTY_MASTER!$E$5:$E$21,MATCH($C3985,DATA_PROPERTY_MASTER!$A$5:$A$21,0))="Yes",FALSE),IFERROR(INDEX(INDIRECT("'"&amp;$C3985&amp;"'!$E$41:$Y$41"),1,MATCH($D3985,INDIRECT("'"&amp;$C3985&amp;"'!$E$12:$Y$12"),0)),0),0)</f>
        <v>242250.46971309237</v>
      </c>
      <c r="I3985" s="366" t="s">
        <v>1685</v>
      </c>
      <c r="J3985" s="348" t="str">
        <f t="shared" ca="1" si="124"/>
        <v>OK</v>
      </c>
      <c r="K3985" s="366" t="s">
        <v>1694</v>
      </c>
      <c r="L3985" s="366" t="s">
        <v>2238</v>
      </c>
      <c r="M3985" s="350" t="str">
        <f>IF($B3985="Portfolio","Portfolio",IFERROR(INDEX(DATA_ASSET_CLASSIFICATION!$B$8:$B$24,MATCH($C3985,DATA_ASSET_CLASSIFICATION!$A$8:$A$24,0)),"Review"))</f>
        <v>Rosemary Green</v>
      </c>
      <c r="N3985" s="350" t="str">
        <f ca="1">IF($B3985="Portfolio","Portfolio",IFERROR(INDEX(DATA_ASSET_CLASSIFICATION!$U$8:$U$24,MATCH($C3985,DATA_ASSET_CLASSIFICATION!$A$8:$A$24,0)),"Review"))</f>
        <v>Refi Watch</v>
      </c>
      <c r="O3985" s="350" t="str">
        <f ca="1">IF($B3985="Portfolio","Portfolio",IFERROR(INDEX(DATA_ASSET_CLASSIFICATION!$AB$8:$AB$13,MATCH($N3985,DATA_ASSET_CLASSIFICATION!$AA$8:$AA$13,0)),"Review"))</f>
        <v>Bucket 2 · Legacy</v>
      </c>
      <c r="P3985" s="350" t="str">
        <f>IF($B3985="Portfolio","Portfolio",IFERROR(INDEX(DATA_ASSET_CLASSIFICATION!$C$8:$C$24,MATCH($C3985,DATA_ASSET_CLASSIFICATION!$A$8:$A$24,0)),"Review"))</f>
        <v>Yes</v>
      </c>
      <c r="Q3985" s="350" t="str">
        <f t="shared" ca="1" si="125"/>
        <v>OK</v>
      </c>
    </row>
    <row r="3986" spans="1:17">
      <c r="A3986" s="366" t="s">
        <v>5942</v>
      </c>
      <c r="B3986" s="366" t="s">
        <v>231</v>
      </c>
      <c r="C3986" s="348" t="str">
        <f>DATA_PROPERTY_MASTER!$A$17</f>
        <v>BLD_RG</v>
      </c>
      <c r="D3986" s="380">
        <f>'00_PORTFOLIO ROLLUP'!R$12</f>
        <v>2038</v>
      </c>
      <c r="E3986" s="366" t="s">
        <v>1683</v>
      </c>
      <c r="F3986" s="366" t="s">
        <v>1697</v>
      </c>
      <c r="G3986" s="348" t="str">
        <f>"'"&amp;$C3986&amp;"'!$E$44:$Y$44"</f>
        <v>'BLD_RG'!$E$44:$Y$44</v>
      </c>
      <c r="H3986" s="381">
        <f ca="1">IF(IFERROR(INDEX(DATA_PROPERTY_MASTER!$E$5:$E$21,MATCH($C3986,DATA_PROPERTY_MASTER!$A$5:$A$21,0))="Yes",FALSE),IFERROR(INDEX(INDIRECT("'"&amp;$C3986&amp;"'!$E$44:$Y$44"),1,MATCH($D3986,INDIRECT("'"&amp;$C3986&amp;"'!$E$12:$Y$12"),0)),0),0)</f>
        <v>7373.5577935866377</v>
      </c>
      <c r="I3986" s="366" t="s">
        <v>1690</v>
      </c>
      <c r="J3986" s="348" t="str">
        <f t="shared" ca="1" si="124"/>
        <v>OK</v>
      </c>
      <c r="K3986" s="366" t="s">
        <v>1699</v>
      </c>
      <c r="L3986" s="366" t="s">
        <v>2240</v>
      </c>
      <c r="M3986" s="350" t="str">
        <f>IF($B3986="Portfolio","Portfolio",IFERROR(INDEX(DATA_ASSET_CLASSIFICATION!$B$8:$B$24,MATCH($C3986,DATA_ASSET_CLASSIFICATION!$A$8:$A$24,0)),"Review"))</f>
        <v>Rosemary Green</v>
      </c>
      <c r="N3986" s="350" t="str">
        <f ca="1">IF($B3986="Portfolio","Portfolio",IFERROR(INDEX(DATA_ASSET_CLASSIFICATION!$U$8:$U$24,MATCH($C3986,DATA_ASSET_CLASSIFICATION!$A$8:$A$24,0)),"Review"))</f>
        <v>Refi Watch</v>
      </c>
      <c r="O3986" s="350" t="str">
        <f ca="1">IF($B3986="Portfolio","Portfolio",IFERROR(INDEX(DATA_ASSET_CLASSIFICATION!$AB$8:$AB$13,MATCH($N3986,DATA_ASSET_CLASSIFICATION!$AA$8:$AA$13,0)),"Review"))</f>
        <v>Bucket 2 · Legacy</v>
      </c>
      <c r="P3986" s="350" t="str">
        <f>IF($B3986="Portfolio","Portfolio",IFERROR(INDEX(DATA_ASSET_CLASSIFICATION!$C$8:$C$24,MATCH($C3986,DATA_ASSET_CLASSIFICATION!$A$8:$A$24,0)),"Review"))</f>
        <v>Yes</v>
      </c>
      <c r="Q3986" s="350" t="str">
        <f t="shared" ca="1" si="125"/>
        <v>OK</v>
      </c>
    </row>
    <row r="3987" spans="1:17">
      <c r="A3987" s="366" t="s">
        <v>5943</v>
      </c>
      <c r="B3987" s="366" t="s">
        <v>231</v>
      </c>
      <c r="C3987" s="348" t="str">
        <f>DATA_PROPERTY_MASTER!$A$17</f>
        <v>BLD_RG</v>
      </c>
      <c r="D3987" s="380">
        <f>'00_PORTFOLIO ROLLUP'!R$12</f>
        <v>2038</v>
      </c>
      <c r="E3987" s="366" t="s">
        <v>1683</v>
      </c>
      <c r="F3987" s="366" t="s">
        <v>21</v>
      </c>
      <c r="G3987" s="348" t="str">
        <f>"'"&amp;$C3987&amp;"'!$E$45:$Y$45"</f>
        <v>'BLD_RG'!$E$45:$Y$45</v>
      </c>
      <c r="H3987" s="381">
        <f ca="1">IF(IFERROR(INDEX(DATA_PROPERTY_MASTER!$E$5:$E$21,MATCH($C3987,DATA_PROPERTY_MASTER!$A$5:$A$21,0))="Yes",FALSE),IFERROR(INDEX(INDIRECT("'"&amp;$C3987&amp;"'!$E$45:$Y$45"),1,MATCH($D3987,INDIRECT("'"&amp;$C3987&amp;"'!$E$12:$Y$12"),0)),0),0)</f>
        <v>234876.91191950574</v>
      </c>
      <c r="I3987" s="366" t="s">
        <v>1685</v>
      </c>
      <c r="J3987" s="348" t="str">
        <f t="shared" ca="1" si="124"/>
        <v>OK</v>
      </c>
      <c r="K3987" s="366" t="s">
        <v>1694</v>
      </c>
      <c r="L3987" s="366" t="s">
        <v>2242</v>
      </c>
      <c r="M3987" s="350" t="str">
        <f>IF($B3987="Portfolio","Portfolio",IFERROR(INDEX(DATA_ASSET_CLASSIFICATION!$B$8:$B$24,MATCH($C3987,DATA_ASSET_CLASSIFICATION!$A$8:$A$24,0)),"Review"))</f>
        <v>Rosemary Green</v>
      </c>
      <c r="N3987" s="350" t="str">
        <f ca="1">IF($B3987="Portfolio","Portfolio",IFERROR(INDEX(DATA_ASSET_CLASSIFICATION!$U$8:$U$24,MATCH($C3987,DATA_ASSET_CLASSIFICATION!$A$8:$A$24,0)),"Review"))</f>
        <v>Refi Watch</v>
      </c>
      <c r="O3987" s="350" t="str">
        <f ca="1">IF($B3987="Portfolio","Portfolio",IFERROR(INDEX(DATA_ASSET_CLASSIFICATION!$AB$8:$AB$13,MATCH($N3987,DATA_ASSET_CLASSIFICATION!$AA$8:$AA$13,0)),"Review"))</f>
        <v>Bucket 2 · Legacy</v>
      </c>
      <c r="P3987" s="350" t="str">
        <f>IF($B3987="Portfolio","Portfolio",IFERROR(INDEX(DATA_ASSET_CLASSIFICATION!$C$8:$C$24,MATCH($C3987,DATA_ASSET_CLASSIFICATION!$A$8:$A$24,0)),"Review"))</f>
        <v>Yes</v>
      </c>
      <c r="Q3987" s="350" t="str">
        <f t="shared" ca="1" si="125"/>
        <v>OK</v>
      </c>
    </row>
    <row r="3988" spans="1:17">
      <c r="A3988" s="366" t="s">
        <v>5944</v>
      </c>
      <c r="B3988" s="366" t="s">
        <v>231</v>
      </c>
      <c r="C3988" s="348" t="str">
        <f>DATA_PROPERTY_MASTER!$A$17</f>
        <v>BLD_RG</v>
      </c>
      <c r="D3988" s="380">
        <f>'00_PORTFOLIO ROLLUP'!R$12</f>
        <v>2038</v>
      </c>
      <c r="E3988" s="366" t="s">
        <v>23</v>
      </c>
      <c r="F3988" s="366" t="s">
        <v>23</v>
      </c>
      <c r="G3988" s="348" t="str">
        <f>"'"&amp;$C3988&amp;"'!$E$48:$Y$48"</f>
        <v>'BLD_RG'!$E$48:$Y$48</v>
      </c>
      <c r="H3988" s="381">
        <f ca="1">IF(IFERROR(INDEX(DATA_PROPERTY_MASTER!$E$5:$E$21,MATCH($C3988,DATA_PROPERTY_MASTER!$A$5:$A$21,0))="Yes",FALSE),IFERROR(INDEX(INDIRECT("'"&amp;$C3988&amp;"'!$E$48:$Y$48"),1,MATCH($D3988,INDIRECT("'"&amp;$C3988&amp;"'!$E$12:$Y$12"),0)),0),0)</f>
        <v>0</v>
      </c>
      <c r="I3988" s="366" t="s">
        <v>1690</v>
      </c>
      <c r="J3988" s="348" t="str">
        <f t="shared" ca="1" si="124"/>
        <v>OK</v>
      </c>
      <c r="K3988" s="366" t="s">
        <v>1706</v>
      </c>
      <c r="L3988" s="366" t="s">
        <v>2244</v>
      </c>
      <c r="M3988" s="350" t="str">
        <f>IF($B3988="Portfolio","Portfolio",IFERROR(INDEX(DATA_ASSET_CLASSIFICATION!$B$8:$B$24,MATCH($C3988,DATA_ASSET_CLASSIFICATION!$A$8:$A$24,0)),"Review"))</f>
        <v>Rosemary Green</v>
      </c>
      <c r="N3988" s="350" t="str">
        <f ca="1">IF($B3988="Portfolio","Portfolio",IFERROR(INDEX(DATA_ASSET_CLASSIFICATION!$U$8:$U$24,MATCH($C3988,DATA_ASSET_CLASSIFICATION!$A$8:$A$24,0)),"Review"))</f>
        <v>Refi Watch</v>
      </c>
      <c r="O3988" s="350" t="str">
        <f ca="1">IF($B3988="Portfolio","Portfolio",IFERROR(INDEX(DATA_ASSET_CLASSIFICATION!$AB$8:$AB$13,MATCH($N3988,DATA_ASSET_CLASSIFICATION!$AA$8:$AA$13,0)),"Review"))</f>
        <v>Bucket 2 · Legacy</v>
      </c>
      <c r="P3988" s="350" t="str">
        <f>IF($B3988="Portfolio","Portfolio",IFERROR(INDEX(DATA_ASSET_CLASSIFICATION!$C$8:$C$24,MATCH($C3988,DATA_ASSET_CLASSIFICATION!$A$8:$A$24,0)),"Review"))</f>
        <v>Yes</v>
      </c>
      <c r="Q3988" s="350" t="str">
        <f t="shared" ca="1" si="125"/>
        <v>OK</v>
      </c>
    </row>
    <row r="3989" spans="1:17">
      <c r="A3989" s="366" t="s">
        <v>5945</v>
      </c>
      <c r="B3989" s="366" t="s">
        <v>231</v>
      </c>
      <c r="C3989" s="348" t="str">
        <f>DATA_PROPERTY_MASTER!$A$17</f>
        <v>BLD_RG</v>
      </c>
      <c r="D3989" s="380">
        <f>'00_PORTFOLIO ROLLUP'!R$12</f>
        <v>2038</v>
      </c>
      <c r="E3989" s="366" t="s">
        <v>1683</v>
      </c>
      <c r="F3989" s="366" t="s">
        <v>25</v>
      </c>
      <c r="G3989" s="348" t="str">
        <f>"'"&amp;$C3989&amp;"'!$E$52:$Y$52"</f>
        <v>'BLD_RG'!$E$52:$Y$52</v>
      </c>
      <c r="H3989" s="381">
        <f ca="1">IF(IFERROR(INDEX(DATA_PROPERTY_MASTER!$E$5:$E$21,MATCH($C3989,DATA_PROPERTY_MASTER!$A$5:$A$21,0))="Yes",FALSE),IFERROR(INDEX(INDIRECT("'"&amp;$C3989&amp;"'!$E$52:$Y$52"),1,MATCH($D3989,INDIRECT("'"&amp;$C3989&amp;"'!$E$12:$Y$12"),0)),0),0)</f>
        <v>242250.46971309237</v>
      </c>
      <c r="I3989" s="366" t="s">
        <v>1685</v>
      </c>
      <c r="J3989" s="348" t="str">
        <f t="shared" ca="1" si="124"/>
        <v>OK</v>
      </c>
      <c r="K3989" s="366" t="s">
        <v>1710</v>
      </c>
      <c r="L3989" s="366" t="s">
        <v>2246</v>
      </c>
      <c r="M3989" s="350" t="str">
        <f>IF($B3989="Portfolio","Portfolio",IFERROR(INDEX(DATA_ASSET_CLASSIFICATION!$B$8:$B$24,MATCH($C3989,DATA_ASSET_CLASSIFICATION!$A$8:$A$24,0)),"Review"))</f>
        <v>Rosemary Green</v>
      </c>
      <c r="N3989" s="350" t="str">
        <f ca="1">IF($B3989="Portfolio","Portfolio",IFERROR(INDEX(DATA_ASSET_CLASSIFICATION!$U$8:$U$24,MATCH($C3989,DATA_ASSET_CLASSIFICATION!$A$8:$A$24,0)),"Review"))</f>
        <v>Refi Watch</v>
      </c>
      <c r="O3989" s="350" t="str">
        <f ca="1">IF($B3989="Portfolio","Portfolio",IFERROR(INDEX(DATA_ASSET_CLASSIFICATION!$AB$8:$AB$13,MATCH($N3989,DATA_ASSET_CLASSIFICATION!$AA$8:$AA$13,0)),"Review"))</f>
        <v>Bucket 2 · Legacy</v>
      </c>
      <c r="P3989" s="350" t="str">
        <f>IF($B3989="Portfolio","Portfolio",IFERROR(INDEX(DATA_ASSET_CLASSIFICATION!$C$8:$C$24,MATCH($C3989,DATA_ASSET_CLASSIFICATION!$A$8:$A$24,0)),"Review"))</f>
        <v>Yes</v>
      </c>
      <c r="Q3989" s="350" t="str">
        <f t="shared" ca="1" si="125"/>
        <v>OK</v>
      </c>
    </row>
    <row r="3990" spans="1:17">
      <c r="A3990" s="366" t="s">
        <v>5946</v>
      </c>
      <c r="B3990" s="366" t="s">
        <v>231</v>
      </c>
      <c r="C3990" s="348" t="str">
        <f>DATA_PROPERTY_MASTER!$A$17</f>
        <v>BLD_RG</v>
      </c>
      <c r="D3990" s="380">
        <f>'00_PORTFOLIO ROLLUP'!R$12</f>
        <v>2038</v>
      </c>
      <c r="E3990" s="366" t="s">
        <v>1683</v>
      </c>
      <c r="F3990" s="366" t="s">
        <v>27</v>
      </c>
      <c r="G3990" s="348" t="str">
        <f>"'"&amp;$C3990&amp;"'!$E$54:$Y$54"</f>
        <v>'BLD_RG'!$E$54:$Y$54</v>
      </c>
      <c r="H3990" s="381">
        <f ca="1">IF(IFERROR(INDEX(DATA_PROPERTY_MASTER!$E$5:$E$21,MATCH($C3990,DATA_PROPERTY_MASTER!$A$5:$A$21,0))="Yes",FALSE),IFERROR(INDEX(INDIRECT("'"&amp;$C3990&amp;"'!$E$54:$Y$54"),1,MATCH($D3990,INDIRECT("'"&amp;$C3990&amp;"'!$E$12:$Y$12"),0)),0),0)</f>
        <v>145350.28182785542</v>
      </c>
      <c r="I3990" s="366" t="s">
        <v>1690</v>
      </c>
      <c r="J3990" s="348" t="str">
        <f t="shared" ca="1" si="124"/>
        <v>OK</v>
      </c>
      <c r="K3990" s="366" t="s">
        <v>1714</v>
      </c>
      <c r="L3990" s="366" t="s">
        <v>2248</v>
      </c>
      <c r="M3990" s="350" t="str">
        <f>IF($B3990="Portfolio","Portfolio",IFERROR(INDEX(DATA_ASSET_CLASSIFICATION!$B$8:$B$24,MATCH($C3990,DATA_ASSET_CLASSIFICATION!$A$8:$A$24,0)),"Review"))</f>
        <v>Rosemary Green</v>
      </c>
      <c r="N3990" s="350" t="str">
        <f ca="1">IF($B3990="Portfolio","Portfolio",IFERROR(INDEX(DATA_ASSET_CLASSIFICATION!$U$8:$U$24,MATCH($C3990,DATA_ASSET_CLASSIFICATION!$A$8:$A$24,0)),"Review"))</f>
        <v>Refi Watch</v>
      </c>
      <c r="O3990" s="350" t="str">
        <f ca="1">IF($B3990="Portfolio","Portfolio",IFERROR(INDEX(DATA_ASSET_CLASSIFICATION!$AB$8:$AB$13,MATCH($N3990,DATA_ASSET_CLASSIFICATION!$AA$8:$AA$13,0)),"Review"))</f>
        <v>Bucket 2 · Legacy</v>
      </c>
      <c r="P3990" s="350" t="str">
        <f>IF($B3990="Portfolio","Portfolio",IFERROR(INDEX(DATA_ASSET_CLASSIFICATION!$C$8:$C$24,MATCH($C3990,DATA_ASSET_CLASSIFICATION!$A$8:$A$24,0)),"Review"))</f>
        <v>Yes</v>
      </c>
      <c r="Q3990" s="350" t="str">
        <f t="shared" ca="1" si="125"/>
        <v>OK</v>
      </c>
    </row>
    <row r="3991" spans="1:17">
      <c r="A3991" s="366" t="s">
        <v>5947</v>
      </c>
      <c r="B3991" s="366" t="s">
        <v>231</v>
      </c>
      <c r="C3991" s="348" t="str">
        <f>DATA_PROPERTY_MASTER!$A$17</f>
        <v>BLD_RG</v>
      </c>
      <c r="D3991" s="380">
        <f>'00_PORTFOLIO ROLLUP'!R$12</f>
        <v>2038</v>
      </c>
      <c r="E3991" s="366" t="s">
        <v>1683</v>
      </c>
      <c r="F3991" s="366" t="s">
        <v>29</v>
      </c>
      <c r="G3991" s="348" t="str">
        <f>"'"&amp;$C3991&amp;"'!$E$56:$Y$56"</f>
        <v>'BLD_RG'!$E$56:$Y$56</v>
      </c>
      <c r="H3991" s="381">
        <f ca="1">IF(IFERROR(INDEX(DATA_PROPERTY_MASTER!$E$5:$E$21,MATCH($C3991,DATA_PROPERTY_MASTER!$A$5:$A$21,0))="Yes",FALSE),IFERROR(INDEX(INDIRECT("'"&amp;$C3991&amp;"'!$E$56:$Y$56"),1,MATCH($D3991,INDIRECT("'"&amp;$C3991&amp;"'!$E$12:$Y$12"),0)),0),0)</f>
        <v>96900.187885236955</v>
      </c>
      <c r="I3991" s="366" t="s">
        <v>1685</v>
      </c>
      <c r="J3991" s="348" t="str">
        <f t="shared" ca="1" si="124"/>
        <v>OK</v>
      </c>
      <c r="K3991" s="366" t="s">
        <v>1718</v>
      </c>
      <c r="L3991" s="366" t="s">
        <v>2250</v>
      </c>
      <c r="M3991" s="350" t="str">
        <f>IF($B3991="Portfolio","Portfolio",IFERROR(INDEX(DATA_ASSET_CLASSIFICATION!$B$8:$B$24,MATCH($C3991,DATA_ASSET_CLASSIFICATION!$A$8:$A$24,0)),"Review"))</f>
        <v>Rosemary Green</v>
      </c>
      <c r="N3991" s="350" t="str">
        <f ca="1">IF($B3991="Portfolio","Portfolio",IFERROR(INDEX(DATA_ASSET_CLASSIFICATION!$U$8:$U$24,MATCH($C3991,DATA_ASSET_CLASSIFICATION!$A$8:$A$24,0)),"Review"))</f>
        <v>Refi Watch</v>
      </c>
      <c r="O3991" s="350" t="str">
        <f ca="1">IF($B3991="Portfolio","Portfolio",IFERROR(INDEX(DATA_ASSET_CLASSIFICATION!$AB$8:$AB$13,MATCH($N3991,DATA_ASSET_CLASSIFICATION!$AA$8:$AA$13,0)),"Review"))</f>
        <v>Bucket 2 · Legacy</v>
      </c>
      <c r="P3991" s="350" t="str">
        <f>IF($B3991="Portfolio","Portfolio",IFERROR(INDEX(DATA_ASSET_CLASSIFICATION!$C$8:$C$24,MATCH($C3991,DATA_ASSET_CLASSIFICATION!$A$8:$A$24,0)),"Review"))</f>
        <v>Yes</v>
      </c>
      <c r="Q3991" s="350" t="str">
        <f t="shared" ca="1" si="125"/>
        <v>OK</v>
      </c>
    </row>
    <row r="3992" spans="1:17">
      <c r="A3992" s="366" t="s">
        <v>5948</v>
      </c>
      <c r="B3992" s="366" t="s">
        <v>231</v>
      </c>
      <c r="C3992" s="348" t="str">
        <f>DATA_PROPERTY_MASTER!$A$17</f>
        <v>BLD_RG</v>
      </c>
      <c r="D3992" s="380">
        <f>'00_PORTFOLIO ROLLUP'!R$12</f>
        <v>2038</v>
      </c>
      <c r="E3992" s="366" t="s">
        <v>1721</v>
      </c>
      <c r="F3992" s="366" t="s">
        <v>31</v>
      </c>
      <c r="G3992" s="348" t="str">
        <f>"'"&amp;$C3992&amp;"'!$E$61:$Y$61"</f>
        <v>'BLD_RG'!$E$61:$Y$61</v>
      </c>
      <c r="H3992" s="381">
        <f ca="1">IF(IFERROR(INDEX(DATA_PROPERTY_MASTER!$E$5:$E$21,MATCH($C3992,DATA_PROPERTY_MASTER!$A$5:$A$21,0))="Yes",FALSE),IFERROR(INDEX(INDIRECT("'"&amp;$C3992&amp;"'!$E$61:$Y$61"),1,MATCH($D3992,INDIRECT("'"&amp;$C3992&amp;"'!$E$12:$Y$12"),0)),0),0)</f>
        <v>0</v>
      </c>
      <c r="I3992" s="366" t="s">
        <v>1690</v>
      </c>
      <c r="J3992" s="348" t="str">
        <f t="shared" ca="1" si="124"/>
        <v>OK</v>
      </c>
      <c r="K3992" s="366" t="s">
        <v>1723</v>
      </c>
      <c r="L3992" s="366" t="s">
        <v>2252</v>
      </c>
      <c r="M3992" s="350" t="str">
        <f>IF($B3992="Portfolio","Portfolio",IFERROR(INDEX(DATA_ASSET_CLASSIFICATION!$B$8:$B$24,MATCH($C3992,DATA_ASSET_CLASSIFICATION!$A$8:$A$24,0)),"Review"))</f>
        <v>Rosemary Green</v>
      </c>
      <c r="N3992" s="350" t="str">
        <f ca="1">IF($B3992="Portfolio","Portfolio",IFERROR(INDEX(DATA_ASSET_CLASSIFICATION!$U$8:$U$24,MATCH($C3992,DATA_ASSET_CLASSIFICATION!$A$8:$A$24,0)),"Review"))</f>
        <v>Refi Watch</v>
      </c>
      <c r="O3992" s="350" t="str">
        <f ca="1">IF($B3992="Portfolio","Portfolio",IFERROR(INDEX(DATA_ASSET_CLASSIFICATION!$AB$8:$AB$13,MATCH($N3992,DATA_ASSET_CLASSIFICATION!$AA$8:$AA$13,0)),"Review"))</f>
        <v>Bucket 2 · Legacy</v>
      </c>
      <c r="P3992" s="350" t="str">
        <f>IF($B3992="Portfolio","Portfolio",IFERROR(INDEX(DATA_ASSET_CLASSIFICATION!$C$8:$C$24,MATCH($C3992,DATA_ASSET_CLASSIFICATION!$A$8:$A$24,0)),"Review"))</f>
        <v>Yes</v>
      </c>
      <c r="Q3992" s="350" t="str">
        <f t="shared" ca="1" si="125"/>
        <v>OK</v>
      </c>
    </row>
    <row r="3993" spans="1:17">
      <c r="A3993" s="366" t="s">
        <v>5949</v>
      </c>
      <c r="B3993" s="366" t="s">
        <v>231</v>
      </c>
      <c r="C3993" s="348" t="str">
        <f>DATA_PROPERTY_MASTER!$A$17</f>
        <v>BLD_RG</v>
      </c>
      <c r="D3993" s="380">
        <f>'00_PORTFOLIO ROLLUP'!R$12</f>
        <v>2038</v>
      </c>
      <c r="E3993" s="366" t="s">
        <v>1721</v>
      </c>
      <c r="F3993" s="366" t="s">
        <v>33</v>
      </c>
      <c r="G3993" s="348" t="str">
        <f>"'"&amp;$C3993&amp;"'!$E$62:$Y$62"</f>
        <v>'BLD_RG'!$E$62:$Y$62</v>
      </c>
      <c r="H3993" s="381">
        <f ca="1">IF(IFERROR(INDEX(DATA_PROPERTY_MASTER!$E$5:$E$21,MATCH($C3993,DATA_PROPERTY_MASTER!$A$5:$A$21,0))="Yes",FALSE),IFERROR(INDEX(INDIRECT("'"&amp;$C3993&amp;"'!$E$62:$Y$62"),1,MATCH($D3993,INDIRECT("'"&amp;$C3993&amp;"'!$E$12:$Y$12"),0)),0),0)</f>
        <v>0</v>
      </c>
      <c r="I3993" s="366" t="s">
        <v>1685</v>
      </c>
      <c r="J3993" s="348" t="str">
        <f t="shared" ca="1" si="124"/>
        <v>OK</v>
      </c>
      <c r="K3993" s="366" t="s">
        <v>1727</v>
      </c>
      <c r="L3993" s="366" t="s">
        <v>2254</v>
      </c>
      <c r="M3993" s="350" t="str">
        <f>IF($B3993="Portfolio","Portfolio",IFERROR(INDEX(DATA_ASSET_CLASSIFICATION!$B$8:$B$24,MATCH($C3993,DATA_ASSET_CLASSIFICATION!$A$8:$A$24,0)),"Review"))</f>
        <v>Rosemary Green</v>
      </c>
      <c r="N3993" s="350" t="str">
        <f ca="1">IF($B3993="Portfolio","Portfolio",IFERROR(INDEX(DATA_ASSET_CLASSIFICATION!$U$8:$U$24,MATCH($C3993,DATA_ASSET_CLASSIFICATION!$A$8:$A$24,0)),"Review"))</f>
        <v>Refi Watch</v>
      </c>
      <c r="O3993" s="350" t="str">
        <f ca="1">IF($B3993="Portfolio","Portfolio",IFERROR(INDEX(DATA_ASSET_CLASSIFICATION!$AB$8:$AB$13,MATCH($N3993,DATA_ASSET_CLASSIFICATION!$AA$8:$AA$13,0)),"Review"))</f>
        <v>Bucket 2 · Legacy</v>
      </c>
      <c r="P3993" s="350" t="str">
        <f>IF($B3993="Portfolio","Portfolio",IFERROR(INDEX(DATA_ASSET_CLASSIFICATION!$C$8:$C$24,MATCH($C3993,DATA_ASSET_CLASSIFICATION!$A$8:$A$24,0)),"Review"))</f>
        <v>Yes</v>
      </c>
      <c r="Q3993" s="350" t="str">
        <f t="shared" ca="1" si="125"/>
        <v>OK</v>
      </c>
    </row>
    <row r="3994" spans="1:17">
      <c r="A3994" s="366" t="s">
        <v>5950</v>
      </c>
      <c r="B3994" s="366" t="s">
        <v>231</v>
      </c>
      <c r="C3994" s="348" t="str">
        <f>DATA_PROPERTY_MASTER!$A$17</f>
        <v>BLD_RG</v>
      </c>
      <c r="D3994" s="380">
        <f>'00_PORTFOLIO ROLLUP'!R$12</f>
        <v>2038</v>
      </c>
      <c r="E3994" s="366" t="s">
        <v>1721</v>
      </c>
      <c r="F3994" s="366" t="s">
        <v>35</v>
      </c>
      <c r="G3994" s="348" t="str">
        <f>"'"&amp;$C3994&amp;"'!$E$63:$Y$63"</f>
        <v>'BLD_RG'!$E$63:$Y$63</v>
      </c>
      <c r="H3994" s="381">
        <f ca="1">IF(IFERROR(INDEX(DATA_PROPERTY_MASTER!$E$5:$E$21,MATCH($C3994,DATA_PROPERTY_MASTER!$A$5:$A$21,0))="Yes",FALSE),IFERROR(INDEX(INDIRECT("'"&amp;$C3994&amp;"'!$E$63:$Y$63"),1,MATCH($D3994,INDIRECT("'"&amp;$C3994&amp;"'!$E$12:$Y$12"),0)),0),0)</f>
        <v>0</v>
      </c>
      <c r="I3994" s="366" t="s">
        <v>1731</v>
      </c>
      <c r="J3994" s="348" t="str">
        <f t="shared" ca="1" si="124"/>
        <v>OK</v>
      </c>
      <c r="K3994" s="366" t="s">
        <v>1732</v>
      </c>
      <c r="L3994" s="366" t="s">
        <v>2256</v>
      </c>
      <c r="M3994" s="350" t="str">
        <f>IF($B3994="Portfolio","Portfolio",IFERROR(INDEX(DATA_ASSET_CLASSIFICATION!$B$8:$B$24,MATCH($C3994,DATA_ASSET_CLASSIFICATION!$A$8:$A$24,0)),"Review"))</f>
        <v>Rosemary Green</v>
      </c>
      <c r="N3994" s="350" t="str">
        <f ca="1">IF($B3994="Portfolio","Portfolio",IFERROR(INDEX(DATA_ASSET_CLASSIFICATION!$U$8:$U$24,MATCH($C3994,DATA_ASSET_CLASSIFICATION!$A$8:$A$24,0)),"Review"))</f>
        <v>Refi Watch</v>
      </c>
      <c r="O3994" s="350" t="str">
        <f ca="1">IF($B3994="Portfolio","Portfolio",IFERROR(INDEX(DATA_ASSET_CLASSIFICATION!$AB$8:$AB$13,MATCH($N3994,DATA_ASSET_CLASSIFICATION!$AA$8:$AA$13,0)),"Review"))</f>
        <v>Bucket 2 · Legacy</v>
      </c>
      <c r="P3994" s="350" t="str">
        <f>IF($B3994="Portfolio","Portfolio",IFERROR(INDEX(DATA_ASSET_CLASSIFICATION!$C$8:$C$24,MATCH($C3994,DATA_ASSET_CLASSIFICATION!$A$8:$A$24,0)),"Review"))</f>
        <v>Yes</v>
      </c>
      <c r="Q3994" s="350" t="str">
        <f t="shared" ca="1" si="125"/>
        <v>OK</v>
      </c>
    </row>
    <row r="3995" spans="1:17">
      <c r="A3995" s="366" t="s">
        <v>5951</v>
      </c>
      <c r="B3995" s="366" t="s">
        <v>231</v>
      </c>
      <c r="C3995" s="348" t="str">
        <f>DATA_PROPERTY_MASTER!$A$17</f>
        <v>BLD_RG</v>
      </c>
      <c r="D3995" s="380">
        <f>'00_PORTFOLIO ROLLUP'!R$12</f>
        <v>2038</v>
      </c>
      <c r="E3995" s="366" t="s">
        <v>1721</v>
      </c>
      <c r="F3995" s="366" t="s">
        <v>37</v>
      </c>
      <c r="G3995" s="348" t="str">
        <f>"'"&amp;$C3995&amp;"'!$E$63:$Y$63"</f>
        <v>'BLD_RG'!$E$63:$Y$63</v>
      </c>
      <c r="H3995" s="381">
        <f ca="1">IF(IFERROR(INDEX(DATA_PROPERTY_MASTER!$E$5:$E$21,MATCH($C3995,DATA_PROPERTY_MASTER!$A$5:$A$21,0))="Yes",FALSE),MAX(IFERROR(INDEX(INDIRECT("'"&amp;$C3995&amp;"'!$E$63:$Y$63"),1,MATCH($D3995,INDIRECT("'"&amp;$C3995&amp;"'!$E$12:$Y$12"),0)),0),0),0)</f>
        <v>0</v>
      </c>
      <c r="I3995" s="366" t="s">
        <v>1685</v>
      </c>
      <c r="J3995" s="348" t="str">
        <f t="shared" ca="1" si="124"/>
        <v>OK</v>
      </c>
      <c r="K3995" s="366" t="s">
        <v>1735</v>
      </c>
      <c r="L3995" s="366" t="s">
        <v>2258</v>
      </c>
      <c r="M3995" s="350" t="str">
        <f>IF($B3995="Portfolio","Portfolio",IFERROR(INDEX(DATA_ASSET_CLASSIFICATION!$B$8:$B$24,MATCH($C3995,DATA_ASSET_CLASSIFICATION!$A$8:$A$24,0)),"Review"))</f>
        <v>Rosemary Green</v>
      </c>
      <c r="N3995" s="350" t="str">
        <f ca="1">IF($B3995="Portfolio","Portfolio",IFERROR(INDEX(DATA_ASSET_CLASSIFICATION!$U$8:$U$24,MATCH($C3995,DATA_ASSET_CLASSIFICATION!$A$8:$A$24,0)),"Review"))</f>
        <v>Refi Watch</v>
      </c>
      <c r="O3995" s="350" t="str">
        <f ca="1">IF($B3995="Portfolio","Portfolio",IFERROR(INDEX(DATA_ASSET_CLASSIFICATION!$AB$8:$AB$13,MATCH($N3995,DATA_ASSET_CLASSIFICATION!$AA$8:$AA$13,0)),"Review"))</f>
        <v>Bucket 2 · Legacy</v>
      </c>
      <c r="P3995" s="350" t="str">
        <f>IF($B3995="Portfolio","Portfolio",IFERROR(INDEX(DATA_ASSET_CLASSIFICATION!$C$8:$C$24,MATCH($C3995,DATA_ASSET_CLASSIFICATION!$A$8:$A$24,0)),"Review"))</f>
        <v>Yes</v>
      </c>
      <c r="Q3995" s="350" t="str">
        <f t="shared" ca="1" si="125"/>
        <v>OK</v>
      </c>
    </row>
    <row r="3996" spans="1:17">
      <c r="A3996" s="366" t="s">
        <v>5952</v>
      </c>
      <c r="B3996" s="366" t="s">
        <v>231</v>
      </c>
      <c r="C3996" s="348" t="str">
        <f>DATA_PROPERTY_MASTER!$A$17</f>
        <v>BLD_RG</v>
      </c>
      <c r="D3996" s="380">
        <f>'00_PORTFOLIO ROLLUP'!R$12</f>
        <v>2038</v>
      </c>
      <c r="E3996" s="366" t="s">
        <v>1721</v>
      </c>
      <c r="F3996" s="366" t="s">
        <v>39</v>
      </c>
      <c r="G3996" s="348" t="str">
        <f>"'"&amp;$C3996&amp;"'!$E$63:$Y$63"</f>
        <v>'BLD_RG'!$E$63:$Y$63</v>
      </c>
      <c r="H3996" s="381">
        <f ca="1">IF(IFERROR(INDEX(DATA_PROPERTY_MASTER!$E$5:$E$21,MATCH($C3996,DATA_PROPERTY_MASTER!$A$5:$A$21,0))="Yes",FALSE),MAX(-IFERROR(INDEX(INDIRECT("'"&amp;$C3996&amp;"'!$E$63:$Y$63"),1,MATCH($D3996,INDIRECT("'"&amp;$C3996&amp;"'!$E$12:$Y$12"),0)),0),0),0)</f>
        <v>0</v>
      </c>
      <c r="I3996" s="366" t="s">
        <v>1690</v>
      </c>
      <c r="J3996" s="348" t="str">
        <f t="shared" ca="1" si="124"/>
        <v>OK</v>
      </c>
      <c r="K3996" s="366" t="s">
        <v>1738</v>
      </c>
      <c r="L3996" s="366" t="s">
        <v>2260</v>
      </c>
      <c r="M3996" s="350" t="str">
        <f>IF($B3996="Portfolio","Portfolio",IFERROR(INDEX(DATA_ASSET_CLASSIFICATION!$B$8:$B$24,MATCH($C3996,DATA_ASSET_CLASSIFICATION!$A$8:$A$24,0)),"Review"))</f>
        <v>Rosemary Green</v>
      </c>
      <c r="N3996" s="350" t="str">
        <f ca="1">IF($B3996="Portfolio","Portfolio",IFERROR(INDEX(DATA_ASSET_CLASSIFICATION!$U$8:$U$24,MATCH($C3996,DATA_ASSET_CLASSIFICATION!$A$8:$A$24,0)),"Review"))</f>
        <v>Refi Watch</v>
      </c>
      <c r="O3996" s="350" t="str">
        <f ca="1">IF($B3996="Portfolio","Portfolio",IFERROR(INDEX(DATA_ASSET_CLASSIFICATION!$AB$8:$AB$13,MATCH($N3996,DATA_ASSET_CLASSIFICATION!$AA$8:$AA$13,0)),"Review"))</f>
        <v>Bucket 2 · Legacy</v>
      </c>
      <c r="P3996" s="350" t="str">
        <f>IF($B3996="Portfolio","Portfolio",IFERROR(INDEX(DATA_ASSET_CLASSIFICATION!$C$8:$C$24,MATCH($C3996,DATA_ASSET_CLASSIFICATION!$A$8:$A$24,0)),"Review"))</f>
        <v>Yes</v>
      </c>
      <c r="Q3996" s="350" t="str">
        <f t="shared" ca="1" si="125"/>
        <v>OK</v>
      </c>
    </row>
    <row r="3997" spans="1:17">
      <c r="A3997" s="366" t="s">
        <v>5953</v>
      </c>
      <c r="B3997" s="366" t="s">
        <v>231</v>
      </c>
      <c r="C3997" s="348" t="str">
        <f>DATA_PROPERTY_MASTER!$A$17</f>
        <v>BLD_RG</v>
      </c>
      <c r="D3997" s="380">
        <f>'00_PORTFOLIO ROLLUP'!R$12</f>
        <v>2038</v>
      </c>
      <c r="E3997" s="366" t="s">
        <v>1741</v>
      </c>
      <c r="F3997" s="366" t="s">
        <v>41</v>
      </c>
      <c r="G3997" s="348" t="str">
        <f>"'"&amp;$C3997&amp;"'!rows 56 + positive row 63"</f>
        <v>'BLD_RG'!rows 56 + positive row 63</v>
      </c>
      <c r="H3997" s="381">
        <f ca="1">IF(IFERROR(INDEX(DATA_PROPERTY_MASTER!$E$5:$E$21,MATCH($C3997,DATA_PROPERTY_MASTER!$A$5:$A$21,0))="Yes",FALSE),IFERROR(INDEX(INDIRECT("'"&amp;$C3997&amp;"'!$E$56:$Y$56"),1,MATCH($D3997,INDIRECT("'"&amp;$C3997&amp;"'!$E$12:$Y$12"),0)),0)+MAX(IFERROR(INDEX(INDIRECT("'"&amp;$C3997&amp;"'!$E$63:$Y$63"),1,MATCH($D3997,INDIRECT("'"&amp;$C3997&amp;"'!$E$12:$Y$12"),0)),0),0),0)</f>
        <v>96900.187885236955</v>
      </c>
      <c r="I3997" s="366" t="s">
        <v>1685</v>
      </c>
      <c r="J3997" s="348" t="str">
        <f t="shared" ca="1" si="124"/>
        <v>OK</v>
      </c>
      <c r="K3997" s="366" t="s">
        <v>1742</v>
      </c>
      <c r="L3997" s="366" t="s">
        <v>2262</v>
      </c>
      <c r="M3997" s="350" t="str">
        <f>IF($B3997="Portfolio","Portfolio",IFERROR(INDEX(DATA_ASSET_CLASSIFICATION!$B$8:$B$24,MATCH($C3997,DATA_ASSET_CLASSIFICATION!$A$8:$A$24,0)),"Review"))</f>
        <v>Rosemary Green</v>
      </c>
      <c r="N3997" s="350" t="str">
        <f ca="1">IF($B3997="Portfolio","Portfolio",IFERROR(INDEX(DATA_ASSET_CLASSIFICATION!$U$8:$U$24,MATCH($C3997,DATA_ASSET_CLASSIFICATION!$A$8:$A$24,0)),"Review"))</f>
        <v>Refi Watch</v>
      </c>
      <c r="O3997" s="350" t="str">
        <f ca="1">IF($B3997="Portfolio","Portfolio",IFERROR(INDEX(DATA_ASSET_CLASSIFICATION!$AB$8:$AB$13,MATCH($N3997,DATA_ASSET_CLASSIFICATION!$AA$8:$AA$13,0)),"Review"))</f>
        <v>Bucket 2 · Legacy</v>
      </c>
      <c r="P3997" s="350" t="str">
        <f>IF($B3997="Portfolio","Portfolio",IFERROR(INDEX(DATA_ASSET_CLASSIFICATION!$C$8:$C$24,MATCH($C3997,DATA_ASSET_CLASSIFICATION!$A$8:$A$24,0)),"Review"))</f>
        <v>Yes</v>
      </c>
      <c r="Q3997" s="350" t="str">
        <f t="shared" ca="1" si="125"/>
        <v>OK</v>
      </c>
    </row>
    <row r="3998" spans="1:17">
      <c r="A3998" s="366" t="s">
        <v>5954</v>
      </c>
      <c r="B3998" s="366" t="s">
        <v>231</v>
      </c>
      <c r="C3998" s="348" t="str">
        <f>DATA_PROPERTY_MASTER!$A$17</f>
        <v>BLD_RG</v>
      </c>
      <c r="D3998" s="380">
        <f>'00_PORTFOLIO ROLLUP'!R$12</f>
        <v>2038</v>
      </c>
      <c r="E3998" s="366" t="s">
        <v>1741</v>
      </c>
      <c r="F3998" s="366" t="s">
        <v>43</v>
      </c>
      <c r="G3998" s="348" t="str">
        <f>"'"&amp;$C3998&amp;"'!$E$68:$Y$68"</f>
        <v>'BLD_RG'!$E$68:$Y$68</v>
      </c>
      <c r="H3998" s="381">
        <f ca="1">IF(IFERROR(INDEX(DATA_PROPERTY_MASTER!$E$5:$E$21,MATCH($C3998,DATA_PROPERTY_MASTER!$A$5:$A$21,0))="Yes",FALSE),IFERROR(INDEX(INDIRECT("'"&amp;$C3998&amp;"'!$E$68:$Y$68"),1,MATCH($D3998,INDIRECT("'"&amp;$C3998&amp;"'!$E$12:$Y$12"),0)),0),0)</f>
        <v>96900.187885236955</v>
      </c>
      <c r="I3998" s="366" t="s">
        <v>1731</v>
      </c>
      <c r="J3998" s="348" t="str">
        <f t="shared" ca="1" si="124"/>
        <v>OK</v>
      </c>
      <c r="K3998" s="366" t="s">
        <v>1746</v>
      </c>
      <c r="L3998" s="366" t="s">
        <v>2264</v>
      </c>
      <c r="M3998" s="350" t="str">
        <f>IF($B3998="Portfolio","Portfolio",IFERROR(INDEX(DATA_ASSET_CLASSIFICATION!$B$8:$B$24,MATCH($C3998,DATA_ASSET_CLASSIFICATION!$A$8:$A$24,0)),"Review"))</f>
        <v>Rosemary Green</v>
      </c>
      <c r="N3998" s="350" t="str">
        <f ca="1">IF($B3998="Portfolio","Portfolio",IFERROR(INDEX(DATA_ASSET_CLASSIFICATION!$U$8:$U$24,MATCH($C3998,DATA_ASSET_CLASSIFICATION!$A$8:$A$24,0)),"Review"))</f>
        <v>Refi Watch</v>
      </c>
      <c r="O3998" s="350" t="str">
        <f ca="1">IF($B3998="Portfolio","Portfolio",IFERROR(INDEX(DATA_ASSET_CLASSIFICATION!$AB$8:$AB$13,MATCH($N3998,DATA_ASSET_CLASSIFICATION!$AA$8:$AA$13,0)),"Review"))</f>
        <v>Bucket 2 · Legacy</v>
      </c>
      <c r="P3998" s="350" t="str">
        <f>IF($B3998="Portfolio","Portfolio",IFERROR(INDEX(DATA_ASSET_CLASSIFICATION!$C$8:$C$24,MATCH($C3998,DATA_ASSET_CLASSIFICATION!$A$8:$A$24,0)),"Review"))</f>
        <v>Yes</v>
      </c>
      <c r="Q3998" s="350" t="str">
        <f t="shared" ca="1" si="125"/>
        <v>OK</v>
      </c>
    </row>
    <row r="3999" spans="1:17">
      <c r="A3999" s="366" t="s">
        <v>5955</v>
      </c>
      <c r="B3999" s="366" t="s">
        <v>231</v>
      </c>
      <c r="C3999" s="348" t="str">
        <f>DATA_PROPERTY_MASTER!$A$17</f>
        <v>BLD_RG</v>
      </c>
      <c r="D3999" s="380">
        <f>'00_PORTFOLIO ROLLUP'!R$12</f>
        <v>2038</v>
      </c>
      <c r="E3999" s="366" t="s">
        <v>1741</v>
      </c>
      <c r="F3999" s="366" t="s">
        <v>1749</v>
      </c>
      <c r="G3999" s="348" t="str">
        <f>"'"&amp;$C3999&amp;"'!rows 56, 63, 68"</f>
        <v>'BLD_RG'!rows 56, 63, 68</v>
      </c>
      <c r="H3999" s="381">
        <f ca="1">IF(IFERROR(INDEX(DATA_PROPERTY_MASTER!$E$5:$E$21,MATCH($C3999,DATA_PROPERTY_MASTER!$A$5:$A$21,0))="Yes",FALSE),(IFERROR(INDEX(INDIRECT("'"&amp;$C3999&amp;"'!$E$56:$Y$56"),1,MATCH($D3999,INDIRECT("'"&amp;$C3999&amp;"'!$E$12:$Y$12"),0)),0)+MAX(IFERROR(INDEX(INDIRECT("'"&amp;$C3999&amp;"'!$E$63:$Y$63"),1,MATCH($D3999,INDIRECT("'"&amp;$C3999&amp;"'!$E$12:$Y$12"),0)),0),0))-(IFERROR(INDEX(INDIRECT("'"&amp;$C3999&amp;"'!$E$68:$Y$68"),1,MATCH($D3999,INDIRECT("'"&amp;$C3999&amp;"'!$E$12:$Y$12"),0)),0)),0)</f>
        <v>0</v>
      </c>
      <c r="I3999" s="366" t="s">
        <v>1750</v>
      </c>
      <c r="J3999" s="348" t="str">
        <f t="shared" ca="1" si="124"/>
        <v>OK</v>
      </c>
      <c r="K3999" s="366" t="s">
        <v>1751</v>
      </c>
      <c r="L3999" s="366" t="s">
        <v>2266</v>
      </c>
      <c r="M3999" s="350" t="str">
        <f>IF($B3999="Portfolio","Portfolio",IFERROR(INDEX(DATA_ASSET_CLASSIFICATION!$B$8:$B$24,MATCH($C3999,DATA_ASSET_CLASSIFICATION!$A$8:$A$24,0)),"Review"))</f>
        <v>Rosemary Green</v>
      </c>
      <c r="N3999" s="350" t="str">
        <f ca="1">IF($B3999="Portfolio","Portfolio",IFERROR(INDEX(DATA_ASSET_CLASSIFICATION!$U$8:$U$24,MATCH($C3999,DATA_ASSET_CLASSIFICATION!$A$8:$A$24,0)),"Review"))</f>
        <v>Refi Watch</v>
      </c>
      <c r="O3999" s="350" t="str">
        <f ca="1">IF($B3999="Portfolio","Portfolio",IFERROR(INDEX(DATA_ASSET_CLASSIFICATION!$AB$8:$AB$13,MATCH($N3999,DATA_ASSET_CLASSIFICATION!$AA$8:$AA$13,0)),"Review"))</f>
        <v>Bucket 2 · Legacy</v>
      </c>
      <c r="P3999" s="350" t="str">
        <f>IF($B3999="Portfolio","Portfolio",IFERROR(INDEX(DATA_ASSET_CLASSIFICATION!$C$8:$C$24,MATCH($C3999,DATA_ASSET_CLASSIFICATION!$A$8:$A$24,0)),"Review"))</f>
        <v>Yes</v>
      </c>
      <c r="Q3999" s="350" t="str">
        <f t="shared" ca="1" si="125"/>
        <v>OK</v>
      </c>
    </row>
    <row r="4000" spans="1:17">
      <c r="A4000" s="366" t="s">
        <v>5956</v>
      </c>
      <c r="B4000" s="366" t="s">
        <v>231</v>
      </c>
      <c r="C4000" s="348" t="str">
        <f>DATA_PROPERTY_MASTER!$A$17</f>
        <v>BLD_RG</v>
      </c>
      <c r="D4000" s="380">
        <f>'00_PORTFOLIO ROLLUP'!S$12</f>
        <v>2039</v>
      </c>
      <c r="E4000" s="366" t="s">
        <v>1683</v>
      </c>
      <c r="F4000" s="366" t="s">
        <v>341</v>
      </c>
      <c r="G4000" s="348" t="str">
        <f>"'"&amp;$C4000&amp;"'!$E$24:$Y$24"</f>
        <v>'BLD_RG'!$E$24:$Y$24</v>
      </c>
      <c r="H4000" s="381">
        <f ca="1">IF(IFERROR(INDEX(DATA_PROPERTY_MASTER!$E$5:$E$21,MATCH($C4000,DATA_PROPERTY_MASTER!$A$5:$A$21,0))="Yes",FALSE),IFERROR(INDEX(INDIRECT("'"&amp;$C4000&amp;"'!$E$24:$Y$24"),1,MATCH($D4000,INDIRECT("'"&amp;$C4000&amp;"'!$E$12:$Y$12"),0)),0),0)</f>
        <v>592573.37876250595</v>
      </c>
      <c r="I4000" s="366" t="s">
        <v>1685</v>
      </c>
      <c r="J4000" s="348" t="str">
        <f t="shared" ca="1" si="124"/>
        <v>OK</v>
      </c>
      <c r="K4000" s="366" t="s">
        <v>1686</v>
      </c>
      <c r="L4000" s="366" t="s">
        <v>2234</v>
      </c>
      <c r="M4000" s="350" t="str">
        <f>IF($B4000="Portfolio","Portfolio",IFERROR(INDEX(DATA_ASSET_CLASSIFICATION!$B$8:$B$24,MATCH($C4000,DATA_ASSET_CLASSIFICATION!$A$8:$A$24,0)),"Review"))</f>
        <v>Rosemary Green</v>
      </c>
      <c r="N4000" s="350" t="str">
        <f ca="1">IF($B4000="Portfolio","Portfolio",IFERROR(INDEX(DATA_ASSET_CLASSIFICATION!$U$8:$U$24,MATCH($C4000,DATA_ASSET_CLASSIFICATION!$A$8:$A$24,0)),"Review"))</f>
        <v>Refi Watch</v>
      </c>
      <c r="O4000" s="350" t="str">
        <f ca="1">IF($B4000="Portfolio","Portfolio",IFERROR(INDEX(DATA_ASSET_CLASSIFICATION!$AB$8:$AB$13,MATCH($N4000,DATA_ASSET_CLASSIFICATION!$AA$8:$AA$13,0)),"Review"))</f>
        <v>Bucket 2 · Legacy</v>
      </c>
      <c r="P4000" s="350" t="str">
        <f>IF($B4000="Portfolio","Portfolio",IFERROR(INDEX(DATA_ASSET_CLASSIFICATION!$C$8:$C$24,MATCH($C4000,DATA_ASSET_CLASSIFICATION!$A$8:$A$24,0)),"Review"))</f>
        <v>Yes</v>
      </c>
      <c r="Q4000" s="350" t="str">
        <f t="shared" ca="1" si="125"/>
        <v>OK</v>
      </c>
    </row>
    <row r="4001" spans="1:17">
      <c r="A4001" s="366" t="s">
        <v>5957</v>
      </c>
      <c r="B4001" s="366" t="s">
        <v>231</v>
      </c>
      <c r="C4001" s="348" t="str">
        <f>DATA_PROPERTY_MASTER!$A$17</f>
        <v>BLD_RG</v>
      </c>
      <c r="D4001" s="380">
        <f>'00_PORTFOLIO ROLLUP'!S$12</f>
        <v>2039</v>
      </c>
      <c r="E4001" s="366" t="s">
        <v>1683</v>
      </c>
      <c r="F4001" s="366" t="s">
        <v>355</v>
      </c>
      <c r="G4001" s="348" t="str">
        <f>"'"&amp;$C4001&amp;"'!$E$39:$Y$39"</f>
        <v>'BLD_RG'!$E$39:$Y$39</v>
      </c>
      <c r="H4001" s="381">
        <f ca="1">IF(IFERROR(INDEX(DATA_PROPERTY_MASTER!$E$5:$E$21,MATCH($C4001,DATA_PROPERTY_MASTER!$A$5:$A$21,0))="Yes",FALSE),IFERROR(INDEX(INDIRECT("'"&amp;$C4001&amp;"'!$E$39:$Y$39"),1,MATCH($D4001,INDIRECT("'"&amp;$C4001&amp;"'!$E$12:$Y$12"),0)),0),0)</f>
        <v>347171.41877110815</v>
      </c>
      <c r="I4001" s="366" t="s">
        <v>1690</v>
      </c>
      <c r="J4001" s="348" t="str">
        <f t="shared" ca="1" si="124"/>
        <v>OK</v>
      </c>
      <c r="K4001" s="366" t="s">
        <v>1686</v>
      </c>
      <c r="L4001" s="366" t="s">
        <v>2236</v>
      </c>
      <c r="M4001" s="350" t="str">
        <f>IF($B4001="Portfolio","Portfolio",IFERROR(INDEX(DATA_ASSET_CLASSIFICATION!$B$8:$B$24,MATCH($C4001,DATA_ASSET_CLASSIFICATION!$A$8:$A$24,0)),"Review"))</f>
        <v>Rosemary Green</v>
      </c>
      <c r="N4001" s="350" t="str">
        <f ca="1">IF($B4001="Portfolio","Portfolio",IFERROR(INDEX(DATA_ASSET_CLASSIFICATION!$U$8:$U$24,MATCH($C4001,DATA_ASSET_CLASSIFICATION!$A$8:$A$24,0)),"Review"))</f>
        <v>Refi Watch</v>
      </c>
      <c r="O4001" s="350" t="str">
        <f ca="1">IF($B4001="Portfolio","Portfolio",IFERROR(INDEX(DATA_ASSET_CLASSIFICATION!$AB$8:$AB$13,MATCH($N4001,DATA_ASSET_CLASSIFICATION!$AA$8:$AA$13,0)),"Review"))</f>
        <v>Bucket 2 · Legacy</v>
      </c>
      <c r="P4001" s="350" t="str">
        <f>IF($B4001="Portfolio","Portfolio",IFERROR(INDEX(DATA_ASSET_CLASSIFICATION!$C$8:$C$24,MATCH($C4001,DATA_ASSET_CLASSIFICATION!$A$8:$A$24,0)),"Review"))</f>
        <v>Yes</v>
      </c>
      <c r="Q4001" s="350" t="str">
        <f t="shared" ca="1" si="125"/>
        <v>OK</v>
      </c>
    </row>
    <row r="4002" spans="1:17">
      <c r="A4002" s="366" t="s">
        <v>5958</v>
      </c>
      <c r="B4002" s="366" t="s">
        <v>231</v>
      </c>
      <c r="C4002" s="348" t="str">
        <f>DATA_PROPERTY_MASTER!$A$17</f>
        <v>BLD_RG</v>
      </c>
      <c r="D4002" s="380">
        <f>'00_PORTFOLIO ROLLUP'!S$12</f>
        <v>2039</v>
      </c>
      <c r="E4002" s="366" t="s">
        <v>1683</v>
      </c>
      <c r="F4002" s="366" t="s">
        <v>19</v>
      </c>
      <c r="G4002" s="348" t="str">
        <f>"'"&amp;$C4002&amp;"'!$E$41:$Y$41"</f>
        <v>'BLD_RG'!$E$41:$Y$41</v>
      </c>
      <c r="H4002" s="381">
        <f ca="1">IF(IFERROR(INDEX(DATA_PROPERTY_MASTER!$E$5:$E$21,MATCH($C4002,DATA_PROPERTY_MASTER!$A$5:$A$21,0))="Yes",FALSE),IFERROR(INDEX(INDIRECT("'"&amp;$C4002&amp;"'!$E$41:$Y$41"),1,MATCH($D4002,INDIRECT("'"&amp;$C4002&amp;"'!$E$12:$Y$12"),0)),0),0)</f>
        <v>245401.9599913978</v>
      </c>
      <c r="I4002" s="366" t="s">
        <v>1685</v>
      </c>
      <c r="J4002" s="348" t="str">
        <f t="shared" ca="1" si="124"/>
        <v>OK</v>
      </c>
      <c r="K4002" s="366" t="s">
        <v>1694</v>
      </c>
      <c r="L4002" s="366" t="s">
        <v>2238</v>
      </c>
      <c r="M4002" s="350" t="str">
        <f>IF($B4002="Portfolio","Portfolio",IFERROR(INDEX(DATA_ASSET_CLASSIFICATION!$B$8:$B$24,MATCH($C4002,DATA_ASSET_CLASSIFICATION!$A$8:$A$24,0)),"Review"))</f>
        <v>Rosemary Green</v>
      </c>
      <c r="N4002" s="350" t="str">
        <f ca="1">IF($B4002="Portfolio","Portfolio",IFERROR(INDEX(DATA_ASSET_CLASSIFICATION!$U$8:$U$24,MATCH($C4002,DATA_ASSET_CLASSIFICATION!$A$8:$A$24,0)),"Review"))</f>
        <v>Refi Watch</v>
      </c>
      <c r="O4002" s="350" t="str">
        <f ca="1">IF($B4002="Portfolio","Portfolio",IFERROR(INDEX(DATA_ASSET_CLASSIFICATION!$AB$8:$AB$13,MATCH($N4002,DATA_ASSET_CLASSIFICATION!$AA$8:$AA$13,0)),"Review"))</f>
        <v>Bucket 2 · Legacy</v>
      </c>
      <c r="P4002" s="350" t="str">
        <f>IF($B4002="Portfolio","Portfolio",IFERROR(INDEX(DATA_ASSET_CLASSIFICATION!$C$8:$C$24,MATCH($C4002,DATA_ASSET_CLASSIFICATION!$A$8:$A$24,0)),"Review"))</f>
        <v>Yes</v>
      </c>
      <c r="Q4002" s="350" t="str">
        <f t="shared" ca="1" si="125"/>
        <v>OK</v>
      </c>
    </row>
    <row r="4003" spans="1:17">
      <c r="A4003" s="366" t="s">
        <v>5959</v>
      </c>
      <c r="B4003" s="366" t="s">
        <v>231</v>
      </c>
      <c r="C4003" s="348" t="str">
        <f>DATA_PROPERTY_MASTER!$A$17</f>
        <v>BLD_RG</v>
      </c>
      <c r="D4003" s="380">
        <f>'00_PORTFOLIO ROLLUP'!S$12</f>
        <v>2039</v>
      </c>
      <c r="E4003" s="366" t="s">
        <v>1683</v>
      </c>
      <c r="F4003" s="366" t="s">
        <v>1697</v>
      </c>
      <c r="G4003" s="348" t="str">
        <f>"'"&amp;$C4003&amp;"'!$E$44:$Y$44"</f>
        <v>'BLD_RG'!$E$44:$Y$44</v>
      </c>
      <c r="H4003" s="381">
        <f ca="1">IF(IFERROR(INDEX(DATA_PROPERTY_MASTER!$E$5:$E$21,MATCH($C4003,DATA_PROPERTY_MASTER!$A$5:$A$21,0))="Yes",FALSE),IFERROR(INDEX(INDIRECT("'"&amp;$C4003&amp;"'!$E$44:$Y$44"),1,MATCH($D4003,INDIRECT("'"&amp;$C4003&amp;"'!$E$12:$Y$12"),0)),0),0)</f>
        <v>7521.0289494583712</v>
      </c>
      <c r="I4003" s="366" t="s">
        <v>1690</v>
      </c>
      <c r="J4003" s="348" t="str">
        <f t="shared" ca="1" si="124"/>
        <v>OK</v>
      </c>
      <c r="K4003" s="366" t="s">
        <v>1699</v>
      </c>
      <c r="L4003" s="366" t="s">
        <v>2240</v>
      </c>
      <c r="M4003" s="350" t="str">
        <f>IF($B4003="Portfolio","Portfolio",IFERROR(INDEX(DATA_ASSET_CLASSIFICATION!$B$8:$B$24,MATCH($C4003,DATA_ASSET_CLASSIFICATION!$A$8:$A$24,0)),"Review"))</f>
        <v>Rosemary Green</v>
      </c>
      <c r="N4003" s="350" t="str">
        <f ca="1">IF($B4003="Portfolio","Portfolio",IFERROR(INDEX(DATA_ASSET_CLASSIFICATION!$U$8:$U$24,MATCH($C4003,DATA_ASSET_CLASSIFICATION!$A$8:$A$24,0)),"Review"))</f>
        <v>Refi Watch</v>
      </c>
      <c r="O4003" s="350" t="str">
        <f ca="1">IF($B4003="Portfolio","Portfolio",IFERROR(INDEX(DATA_ASSET_CLASSIFICATION!$AB$8:$AB$13,MATCH($N4003,DATA_ASSET_CLASSIFICATION!$AA$8:$AA$13,0)),"Review"))</f>
        <v>Bucket 2 · Legacy</v>
      </c>
      <c r="P4003" s="350" t="str">
        <f>IF($B4003="Portfolio","Portfolio",IFERROR(INDEX(DATA_ASSET_CLASSIFICATION!$C$8:$C$24,MATCH($C4003,DATA_ASSET_CLASSIFICATION!$A$8:$A$24,0)),"Review"))</f>
        <v>Yes</v>
      </c>
      <c r="Q4003" s="350" t="str">
        <f t="shared" ca="1" si="125"/>
        <v>OK</v>
      </c>
    </row>
    <row r="4004" spans="1:17">
      <c r="A4004" s="366" t="s">
        <v>5960</v>
      </c>
      <c r="B4004" s="366" t="s">
        <v>231</v>
      </c>
      <c r="C4004" s="348" t="str">
        <f>DATA_PROPERTY_MASTER!$A$17</f>
        <v>BLD_RG</v>
      </c>
      <c r="D4004" s="380">
        <f>'00_PORTFOLIO ROLLUP'!S$12</f>
        <v>2039</v>
      </c>
      <c r="E4004" s="366" t="s">
        <v>1683</v>
      </c>
      <c r="F4004" s="366" t="s">
        <v>21</v>
      </c>
      <c r="G4004" s="348" t="str">
        <f>"'"&amp;$C4004&amp;"'!$E$45:$Y$45"</f>
        <v>'BLD_RG'!$E$45:$Y$45</v>
      </c>
      <c r="H4004" s="381">
        <f ca="1">IF(IFERROR(INDEX(DATA_PROPERTY_MASTER!$E$5:$E$21,MATCH($C4004,DATA_PROPERTY_MASTER!$A$5:$A$21,0))="Yes",FALSE),IFERROR(INDEX(INDIRECT("'"&amp;$C4004&amp;"'!$E$45:$Y$45"),1,MATCH($D4004,INDIRECT("'"&amp;$C4004&amp;"'!$E$12:$Y$12"),0)),0),0)</f>
        <v>237880.93104193942</v>
      </c>
      <c r="I4004" s="366" t="s">
        <v>1685</v>
      </c>
      <c r="J4004" s="348" t="str">
        <f t="shared" ca="1" si="124"/>
        <v>OK</v>
      </c>
      <c r="K4004" s="366" t="s">
        <v>1694</v>
      </c>
      <c r="L4004" s="366" t="s">
        <v>2242</v>
      </c>
      <c r="M4004" s="350" t="str">
        <f>IF($B4004="Portfolio","Portfolio",IFERROR(INDEX(DATA_ASSET_CLASSIFICATION!$B$8:$B$24,MATCH($C4004,DATA_ASSET_CLASSIFICATION!$A$8:$A$24,0)),"Review"))</f>
        <v>Rosemary Green</v>
      </c>
      <c r="N4004" s="350" t="str">
        <f ca="1">IF($B4004="Portfolio","Portfolio",IFERROR(INDEX(DATA_ASSET_CLASSIFICATION!$U$8:$U$24,MATCH($C4004,DATA_ASSET_CLASSIFICATION!$A$8:$A$24,0)),"Review"))</f>
        <v>Refi Watch</v>
      </c>
      <c r="O4004" s="350" t="str">
        <f ca="1">IF($B4004="Portfolio","Portfolio",IFERROR(INDEX(DATA_ASSET_CLASSIFICATION!$AB$8:$AB$13,MATCH($N4004,DATA_ASSET_CLASSIFICATION!$AA$8:$AA$13,0)),"Review"))</f>
        <v>Bucket 2 · Legacy</v>
      </c>
      <c r="P4004" s="350" t="str">
        <f>IF($B4004="Portfolio","Portfolio",IFERROR(INDEX(DATA_ASSET_CLASSIFICATION!$C$8:$C$24,MATCH($C4004,DATA_ASSET_CLASSIFICATION!$A$8:$A$24,0)),"Review"))</f>
        <v>Yes</v>
      </c>
      <c r="Q4004" s="350" t="str">
        <f t="shared" ca="1" si="125"/>
        <v>OK</v>
      </c>
    </row>
    <row r="4005" spans="1:17">
      <c r="A4005" s="366" t="s">
        <v>5961</v>
      </c>
      <c r="B4005" s="366" t="s">
        <v>231</v>
      </c>
      <c r="C4005" s="348" t="str">
        <f>DATA_PROPERTY_MASTER!$A$17</f>
        <v>BLD_RG</v>
      </c>
      <c r="D4005" s="380">
        <f>'00_PORTFOLIO ROLLUP'!S$12</f>
        <v>2039</v>
      </c>
      <c r="E4005" s="366" t="s">
        <v>23</v>
      </c>
      <c r="F4005" s="366" t="s">
        <v>23</v>
      </c>
      <c r="G4005" s="348" t="str">
        <f>"'"&amp;$C4005&amp;"'!$E$48:$Y$48"</f>
        <v>'BLD_RG'!$E$48:$Y$48</v>
      </c>
      <c r="H4005" s="381">
        <f ca="1">IF(IFERROR(INDEX(DATA_PROPERTY_MASTER!$E$5:$E$21,MATCH($C4005,DATA_PROPERTY_MASTER!$A$5:$A$21,0))="Yes",FALSE),IFERROR(INDEX(INDIRECT("'"&amp;$C4005&amp;"'!$E$48:$Y$48"),1,MATCH($D4005,INDIRECT("'"&amp;$C4005&amp;"'!$E$12:$Y$12"),0)),0),0)</f>
        <v>0</v>
      </c>
      <c r="I4005" s="366" t="s">
        <v>1690</v>
      </c>
      <c r="J4005" s="348" t="str">
        <f t="shared" ca="1" si="124"/>
        <v>OK</v>
      </c>
      <c r="K4005" s="366" t="s">
        <v>1706</v>
      </c>
      <c r="L4005" s="366" t="s">
        <v>2244</v>
      </c>
      <c r="M4005" s="350" t="str">
        <f>IF($B4005="Portfolio","Portfolio",IFERROR(INDEX(DATA_ASSET_CLASSIFICATION!$B$8:$B$24,MATCH($C4005,DATA_ASSET_CLASSIFICATION!$A$8:$A$24,0)),"Review"))</f>
        <v>Rosemary Green</v>
      </c>
      <c r="N4005" s="350" t="str">
        <f ca="1">IF($B4005="Portfolio","Portfolio",IFERROR(INDEX(DATA_ASSET_CLASSIFICATION!$U$8:$U$24,MATCH($C4005,DATA_ASSET_CLASSIFICATION!$A$8:$A$24,0)),"Review"))</f>
        <v>Refi Watch</v>
      </c>
      <c r="O4005" s="350" t="str">
        <f ca="1">IF($B4005="Portfolio","Portfolio",IFERROR(INDEX(DATA_ASSET_CLASSIFICATION!$AB$8:$AB$13,MATCH($N4005,DATA_ASSET_CLASSIFICATION!$AA$8:$AA$13,0)),"Review"))</f>
        <v>Bucket 2 · Legacy</v>
      </c>
      <c r="P4005" s="350" t="str">
        <f>IF($B4005="Portfolio","Portfolio",IFERROR(INDEX(DATA_ASSET_CLASSIFICATION!$C$8:$C$24,MATCH($C4005,DATA_ASSET_CLASSIFICATION!$A$8:$A$24,0)),"Review"))</f>
        <v>Yes</v>
      </c>
      <c r="Q4005" s="350" t="str">
        <f t="shared" ca="1" si="125"/>
        <v>OK</v>
      </c>
    </row>
    <row r="4006" spans="1:17">
      <c r="A4006" s="366" t="s">
        <v>5962</v>
      </c>
      <c r="B4006" s="366" t="s">
        <v>231</v>
      </c>
      <c r="C4006" s="348" t="str">
        <f>DATA_PROPERTY_MASTER!$A$17</f>
        <v>BLD_RG</v>
      </c>
      <c r="D4006" s="380">
        <f>'00_PORTFOLIO ROLLUP'!S$12</f>
        <v>2039</v>
      </c>
      <c r="E4006" s="366" t="s">
        <v>1683</v>
      </c>
      <c r="F4006" s="366" t="s">
        <v>25</v>
      </c>
      <c r="G4006" s="348" t="str">
        <f>"'"&amp;$C4006&amp;"'!$E$52:$Y$52"</f>
        <v>'BLD_RG'!$E$52:$Y$52</v>
      </c>
      <c r="H4006" s="381">
        <f ca="1">IF(IFERROR(INDEX(DATA_PROPERTY_MASTER!$E$5:$E$21,MATCH($C4006,DATA_PROPERTY_MASTER!$A$5:$A$21,0))="Yes",FALSE),IFERROR(INDEX(INDIRECT("'"&amp;$C4006&amp;"'!$E$52:$Y$52"),1,MATCH($D4006,INDIRECT("'"&amp;$C4006&amp;"'!$E$12:$Y$12"),0)),0),0)</f>
        <v>245401.9599913978</v>
      </c>
      <c r="I4006" s="366" t="s">
        <v>1685</v>
      </c>
      <c r="J4006" s="348" t="str">
        <f t="shared" ca="1" si="124"/>
        <v>OK</v>
      </c>
      <c r="K4006" s="366" t="s">
        <v>1710</v>
      </c>
      <c r="L4006" s="366" t="s">
        <v>2246</v>
      </c>
      <c r="M4006" s="350" t="str">
        <f>IF($B4006="Portfolio","Portfolio",IFERROR(INDEX(DATA_ASSET_CLASSIFICATION!$B$8:$B$24,MATCH($C4006,DATA_ASSET_CLASSIFICATION!$A$8:$A$24,0)),"Review"))</f>
        <v>Rosemary Green</v>
      </c>
      <c r="N4006" s="350" t="str">
        <f ca="1">IF($B4006="Portfolio","Portfolio",IFERROR(INDEX(DATA_ASSET_CLASSIFICATION!$U$8:$U$24,MATCH($C4006,DATA_ASSET_CLASSIFICATION!$A$8:$A$24,0)),"Review"))</f>
        <v>Refi Watch</v>
      </c>
      <c r="O4006" s="350" t="str">
        <f ca="1">IF($B4006="Portfolio","Portfolio",IFERROR(INDEX(DATA_ASSET_CLASSIFICATION!$AB$8:$AB$13,MATCH($N4006,DATA_ASSET_CLASSIFICATION!$AA$8:$AA$13,0)),"Review"))</f>
        <v>Bucket 2 · Legacy</v>
      </c>
      <c r="P4006" s="350" t="str">
        <f>IF($B4006="Portfolio","Portfolio",IFERROR(INDEX(DATA_ASSET_CLASSIFICATION!$C$8:$C$24,MATCH($C4006,DATA_ASSET_CLASSIFICATION!$A$8:$A$24,0)),"Review"))</f>
        <v>Yes</v>
      </c>
      <c r="Q4006" s="350" t="str">
        <f t="shared" ca="1" si="125"/>
        <v>OK</v>
      </c>
    </row>
    <row r="4007" spans="1:17">
      <c r="A4007" s="366" t="s">
        <v>5963</v>
      </c>
      <c r="B4007" s="366" t="s">
        <v>231</v>
      </c>
      <c r="C4007" s="348" t="str">
        <f>DATA_PROPERTY_MASTER!$A$17</f>
        <v>BLD_RG</v>
      </c>
      <c r="D4007" s="380">
        <f>'00_PORTFOLIO ROLLUP'!S$12</f>
        <v>2039</v>
      </c>
      <c r="E4007" s="366" t="s">
        <v>1683</v>
      </c>
      <c r="F4007" s="366" t="s">
        <v>27</v>
      </c>
      <c r="G4007" s="348" t="str">
        <f>"'"&amp;$C4007&amp;"'!$E$54:$Y$54"</f>
        <v>'BLD_RG'!$E$54:$Y$54</v>
      </c>
      <c r="H4007" s="381">
        <f ca="1">IF(IFERROR(INDEX(DATA_PROPERTY_MASTER!$E$5:$E$21,MATCH($C4007,DATA_PROPERTY_MASTER!$A$5:$A$21,0))="Yes",FALSE),IFERROR(INDEX(INDIRECT("'"&amp;$C4007&amp;"'!$E$54:$Y$54"),1,MATCH($D4007,INDIRECT("'"&amp;$C4007&amp;"'!$E$12:$Y$12"),0)),0),0)</f>
        <v>147241.17599483868</v>
      </c>
      <c r="I4007" s="366" t="s">
        <v>1690</v>
      </c>
      <c r="J4007" s="348" t="str">
        <f t="shared" ca="1" si="124"/>
        <v>OK</v>
      </c>
      <c r="K4007" s="366" t="s">
        <v>1714</v>
      </c>
      <c r="L4007" s="366" t="s">
        <v>2248</v>
      </c>
      <c r="M4007" s="350" t="str">
        <f>IF($B4007="Portfolio","Portfolio",IFERROR(INDEX(DATA_ASSET_CLASSIFICATION!$B$8:$B$24,MATCH($C4007,DATA_ASSET_CLASSIFICATION!$A$8:$A$24,0)),"Review"))</f>
        <v>Rosemary Green</v>
      </c>
      <c r="N4007" s="350" t="str">
        <f ca="1">IF($B4007="Portfolio","Portfolio",IFERROR(INDEX(DATA_ASSET_CLASSIFICATION!$U$8:$U$24,MATCH($C4007,DATA_ASSET_CLASSIFICATION!$A$8:$A$24,0)),"Review"))</f>
        <v>Refi Watch</v>
      </c>
      <c r="O4007" s="350" t="str">
        <f ca="1">IF($B4007="Portfolio","Portfolio",IFERROR(INDEX(DATA_ASSET_CLASSIFICATION!$AB$8:$AB$13,MATCH($N4007,DATA_ASSET_CLASSIFICATION!$AA$8:$AA$13,0)),"Review"))</f>
        <v>Bucket 2 · Legacy</v>
      </c>
      <c r="P4007" s="350" t="str">
        <f>IF($B4007="Portfolio","Portfolio",IFERROR(INDEX(DATA_ASSET_CLASSIFICATION!$C$8:$C$24,MATCH($C4007,DATA_ASSET_CLASSIFICATION!$A$8:$A$24,0)),"Review"))</f>
        <v>Yes</v>
      </c>
      <c r="Q4007" s="350" t="str">
        <f t="shared" ca="1" si="125"/>
        <v>OK</v>
      </c>
    </row>
    <row r="4008" spans="1:17">
      <c r="A4008" s="366" t="s">
        <v>5964</v>
      </c>
      <c r="B4008" s="366" t="s">
        <v>231</v>
      </c>
      <c r="C4008" s="348" t="str">
        <f>DATA_PROPERTY_MASTER!$A$17</f>
        <v>BLD_RG</v>
      </c>
      <c r="D4008" s="380">
        <f>'00_PORTFOLIO ROLLUP'!S$12</f>
        <v>2039</v>
      </c>
      <c r="E4008" s="366" t="s">
        <v>1683</v>
      </c>
      <c r="F4008" s="366" t="s">
        <v>29</v>
      </c>
      <c r="G4008" s="348" t="str">
        <f>"'"&amp;$C4008&amp;"'!$E$56:$Y$56"</f>
        <v>'BLD_RG'!$E$56:$Y$56</v>
      </c>
      <c r="H4008" s="381">
        <f ca="1">IF(IFERROR(INDEX(DATA_PROPERTY_MASTER!$E$5:$E$21,MATCH($C4008,DATA_PROPERTY_MASTER!$A$5:$A$21,0))="Yes",FALSE),IFERROR(INDEX(INDIRECT("'"&amp;$C4008&amp;"'!$E$56:$Y$56"),1,MATCH($D4008,INDIRECT("'"&amp;$C4008&amp;"'!$E$12:$Y$12"),0)),0),0)</f>
        <v>98160.783996559127</v>
      </c>
      <c r="I4008" s="366" t="s">
        <v>1685</v>
      </c>
      <c r="J4008" s="348" t="str">
        <f t="shared" ca="1" si="124"/>
        <v>OK</v>
      </c>
      <c r="K4008" s="366" t="s">
        <v>1718</v>
      </c>
      <c r="L4008" s="366" t="s">
        <v>2250</v>
      </c>
      <c r="M4008" s="350" t="str">
        <f>IF($B4008="Portfolio","Portfolio",IFERROR(INDEX(DATA_ASSET_CLASSIFICATION!$B$8:$B$24,MATCH($C4008,DATA_ASSET_CLASSIFICATION!$A$8:$A$24,0)),"Review"))</f>
        <v>Rosemary Green</v>
      </c>
      <c r="N4008" s="350" t="str">
        <f ca="1">IF($B4008="Portfolio","Portfolio",IFERROR(INDEX(DATA_ASSET_CLASSIFICATION!$U$8:$U$24,MATCH($C4008,DATA_ASSET_CLASSIFICATION!$A$8:$A$24,0)),"Review"))</f>
        <v>Refi Watch</v>
      </c>
      <c r="O4008" s="350" t="str">
        <f ca="1">IF($B4008="Portfolio","Portfolio",IFERROR(INDEX(DATA_ASSET_CLASSIFICATION!$AB$8:$AB$13,MATCH($N4008,DATA_ASSET_CLASSIFICATION!$AA$8:$AA$13,0)),"Review"))</f>
        <v>Bucket 2 · Legacy</v>
      </c>
      <c r="P4008" s="350" t="str">
        <f>IF($B4008="Portfolio","Portfolio",IFERROR(INDEX(DATA_ASSET_CLASSIFICATION!$C$8:$C$24,MATCH($C4008,DATA_ASSET_CLASSIFICATION!$A$8:$A$24,0)),"Review"))</f>
        <v>Yes</v>
      </c>
      <c r="Q4008" s="350" t="str">
        <f t="shared" ca="1" si="125"/>
        <v>OK</v>
      </c>
    </row>
    <row r="4009" spans="1:17">
      <c r="A4009" s="366" t="s">
        <v>5965</v>
      </c>
      <c r="B4009" s="366" t="s">
        <v>231</v>
      </c>
      <c r="C4009" s="348" t="str">
        <f>DATA_PROPERTY_MASTER!$A$17</f>
        <v>BLD_RG</v>
      </c>
      <c r="D4009" s="380">
        <f>'00_PORTFOLIO ROLLUP'!S$12</f>
        <v>2039</v>
      </c>
      <c r="E4009" s="366" t="s">
        <v>1721</v>
      </c>
      <c r="F4009" s="366" t="s">
        <v>31</v>
      </c>
      <c r="G4009" s="348" t="str">
        <f>"'"&amp;$C4009&amp;"'!$E$61:$Y$61"</f>
        <v>'BLD_RG'!$E$61:$Y$61</v>
      </c>
      <c r="H4009" s="381">
        <f ca="1">IF(IFERROR(INDEX(DATA_PROPERTY_MASTER!$E$5:$E$21,MATCH($C4009,DATA_PROPERTY_MASTER!$A$5:$A$21,0))="Yes",FALSE),IFERROR(INDEX(INDIRECT("'"&amp;$C4009&amp;"'!$E$61:$Y$61"),1,MATCH($D4009,INDIRECT("'"&amp;$C4009&amp;"'!$E$12:$Y$12"),0)),0),0)</f>
        <v>0</v>
      </c>
      <c r="I4009" s="366" t="s">
        <v>1690</v>
      </c>
      <c r="J4009" s="348" t="str">
        <f t="shared" ca="1" si="124"/>
        <v>OK</v>
      </c>
      <c r="K4009" s="366" t="s">
        <v>1723</v>
      </c>
      <c r="L4009" s="366" t="s">
        <v>2252</v>
      </c>
      <c r="M4009" s="350" t="str">
        <f>IF($B4009="Portfolio","Portfolio",IFERROR(INDEX(DATA_ASSET_CLASSIFICATION!$B$8:$B$24,MATCH($C4009,DATA_ASSET_CLASSIFICATION!$A$8:$A$24,0)),"Review"))</f>
        <v>Rosemary Green</v>
      </c>
      <c r="N4009" s="350" t="str">
        <f ca="1">IF($B4009="Portfolio","Portfolio",IFERROR(INDEX(DATA_ASSET_CLASSIFICATION!$U$8:$U$24,MATCH($C4009,DATA_ASSET_CLASSIFICATION!$A$8:$A$24,0)),"Review"))</f>
        <v>Refi Watch</v>
      </c>
      <c r="O4009" s="350" t="str">
        <f ca="1">IF($B4009="Portfolio","Portfolio",IFERROR(INDEX(DATA_ASSET_CLASSIFICATION!$AB$8:$AB$13,MATCH($N4009,DATA_ASSET_CLASSIFICATION!$AA$8:$AA$13,0)),"Review"))</f>
        <v>Bucket 2 · Legacy</v>
      </c>
      <c r="P4009" s="350" t="str">
        <f>IF($B4009="Portfolio","Portfolio",IFERROR(INDEX(DATA_ASSET_CLASSIFICATION!$C$8:$C$24,MATCH($C4009,DATA_ASSET_CLASSIFICATION!$A$8:$A$24,0)),"Review"))</f>
        <v>Yes</v>
      </c>
      <c r="Q4009" s="350" t="str">
        <f t="shared" ca="1" si="125"/>
        <v>OK</v>
      </c>
    </row>
    <row r="4010" spans="1:17">
      <c r="A4010" s="366" t="s">
        <v>5966</v>
      </c>
      <c r="B4010" s="366" t="s">
        <v>231</v>
      </c>
      <c r="C4010" s="348" t="str">
        <f>DATA_PROPERTY_MASTER!$A$17</f>
        <v>BLD_RG</v>
      </c>
      <c r="D4010" s="380">
        <f>'00_PORTFOLIO ROLLUP'!S$12</f>
        <v>2039</v>
      </c>
      <c r="E4010" s="366" t="s">
        <v>1721</v>
      </c>
      <c r="F4010" s="366" t="s">
        <v>33</v>
      </c>
      <c r="G4010" s="348" t="str">
        <f>"'"&amp;$C4010&amp;"'!$E$62:$Y$62"</f>
        <v>'BLD_RG'!$E$62:$Y$62</v>
      </c>
      <c r="H4010" s="381">
        <f ca="1">IF(IFERROR(INDEX(DATA_PROPERTY_MASTER!$E$5:$E$21,MATCH($C4010,DATA_PROPERTY_MASTER!$A$5:$A$21,0))="Yes",FALSE),IFERROR(INDEX(INDIRECT("'"&amp;$C4010&amp;"'!$E$62:$Y$62"),1,MATCH($D4010,INDIRECT("'"&amp;$C4010&amp;"'!$E$12:$Y$12"),0)),0),0)</f>
        <v>0</v>
      </c>
      <c r="I4010" s="366" t="s">
        <v>1685</v>
      </c>
      <c r="J4010" s="348" t="str">
        <f t="shared" ca="1" si="124"/>
        <v>OK</v>
      </c>
      <c r="K4010" s="366" t="s">
        <v>1727</v>
      </c>
      <c r="L4010" s="366" t="s">
        <v>2254</v>
      </c>
      <c r="M4010" s="350" t="str">
        <f>IF($B4010="Portfolio","Portfolio",IFERROR(INDEX(DATA_ASSET_CLASSIFICATION!$B$8:$B$24,MATCH($C4010,DATA_ASSET_CLASSIFICATION!$A$8:$A$24,0)),"Review"))</f>
        <v>Rosemary Green</v>
      </c>
      <c r="N4010" s="350" t="str">
        <f ca="1">IF($B4010="Portfolio","Portfolio",IFERROR(INDEX(DATA_ASSET_CLASSIFICATION!$U$8:$U$24,MATCH($C4010,DATA_ASSET_CLASSIFICATION!$A$8:$A$24,0)),"Review"))</f>
        <v>Refi Watch</v>
      </c>
      <c r="O4010" s="350" t="str">
        <f ca="1">IF($B4010="Portfolio","Portfolio",IFERROR(INDEX(DATA_ASSET_CLASSIFICATION!$AB$8:$AB$13,MATCH($N4010,DATA_ASSET_CLASSIFICATION!$AA$8:$AA$13,0)),"Review"))</f>
        <v>Bucket 2 · Legacy</v>
      </c>
      <c r="P4010" s="350" t="str">
        <f>IF($B4010="Portfolio","Portfolio",IFERROR(INDEX(DATA_ASSET_CLASSIFICATION!$C$8:$C$24,MATCH($C4010,DATA_ASSET_CLASSIFICATION!$A$8:$A$24,0)),"Review"))</f>
        <v>Yes</v>
      </c>
      <c r="Q4010" s="350" t="str">
        <f t="shared" ca="1" si="125"/>
        <v>OK</v>
      </c>
    </row>
    <row r="4011" spans="1:17">
      <c r="A4011" s="366" t="s">
        <v>5967</v>
      </c>
      <c r="B4011" s="366" t="s">
        <v>231</v>
      </c>
      <c r="C4011" s="348" t="str">
        <f>DATA_PROPERTY_MASTER!$A$17</f>
        <v>BLD_RG</v>
      </c>
      <c r="D4011" s="380">
        <f>'00_PORTFOLIO ROLLUP'!S$12</f>
        <v>2039</v>
      </c>
      <c r="E4011" s="366" t="s">
        <v>1721</v>
      </c>
      <c r="F4011" s="366" t="s">
        <v>35</v>
      </c>
      <c r="G4011" s="348" t="str">
        <f>"'"&amp;$C4011&amp;"'!$E$63:$Y$63"</f>
        <v>'BLD_RG'!$E$63:$Y$63</v>
      </c>
      <c r="H4011" s="381">
        <f ca="1">IF(IFERROR(INDEX(DATA_PROPERTY_MASTER!$E$5:$E$21,MATCH($C4011,DATA_PROPERTY_MASTER!$A$5:$A$21,0))="Yes",FALSE),IFERROR(INDEX(INDIRECT("'"&amp;$C4011&amp;"'!$E$63:$Y$63"),1,MATCH($D4011,INDIRECT("'"&amp;$C4011&amp;"'!$E$12:$Y$12"),0)),0),0)</f>
        <v>0</v>
      </c>
      <c r="I4011" s="366" t="s">
        <v>1731</v>
      </c>
      <c r="J4011" s="348" t="str">
        <f t="shared" ca="1" si="124"/>
        <v>OK</v>
      </c>
      <c r="K4011" s="366" t="s">
        <v>1732</v>
      </c>
      <c r="L4011" s="366" t="s">
        <v>2256</v>
      </c>
      <c r="M4011" s="350" t="str">
        <f>IF($B4011="Portfolio","Portfolio",IFERROR(INDEX(DATA_ASSET_CLASSIFICATION!$B$8:$B$24,MATCH($C4011,DATA_ASSET_CLASSIFICATION!$A$8:$A$24,0)),"Review"))</f>
        <v>Rosemary Green</v>
      </c>
      <c r="N4011" s="350" t="str">
        <f ca="1">IF($B4011="Portfolio","Portfolio",IFERROR(INDEX(DATA_ASSET_CLASSIFICATION!$U$8:$U$24,MATCH($C4011,DATA_ASSET_CLASSIFICATION!$A$8:$A$24,0)),"Review"))</f>
        <v>Refi Watch</v>
      </c>
      <c r="O4011" s="350" t="str">
        <f ca="1">IF($B4011="Portfolio","Portfolio",IFERROR(INDEX(DATA_ASSET_CLASSIFICATION!$AB$8:$AB$13,MATCH($N4011,DATA_ASSET_CLASSIFICATION!$AA$8:$AA$13,0)),"Review"))</f>
        <v>Bucket 2 · Legacy</v>
      </c>
      <c r="P4011" s="350" t="str">
        <f>IF($B4011="Portfolio","Portfolio",IFERROR(INDEX(DATA_ASSET_CLASSIFICATION!$C$8:$C$24,MATCH($C4011,DATA_ASSET_CLASSIFICATION!$A$8:$A$24,0)),"Review"))</f>
        <v>Yes</v>
      </c>
      <c r="Q4011" s="350" t="str">
        <f t="shared" ca="1" si="125"/>
        <v>OK</v>
      </c>
    </row>
    <row r="4012" spans="1:17">
      <c r="A4012" s="366" t="s">
        <v>5968</v>
      </c>
      <c r="B4012" s="366" t="s">
        <v>231</v>
      </c>
      <c r="C4012" s="348" t="str">
        <f>DATA_PROPERTY_MASTER!$A$17</f>
        <v>BLD_RG</v>
      </c>
      <c r="D4012" s="380">
        <f>'00_PORTFOLIO ROLLUP'!S$12</f>
        <v>2039</v>
      </c>
      <c r="E4012" s="366" t="s">
        <v>1721</v>
      </c>
      <c r="F4012" s="366" t="s">
        <v>37</v>
      </c>
      <c r="G4012" s="348" t="str">
        <f>"'"&amp;$C4012&amp;"'!$E$63:$Y$63"</f>
        <v>'BLD_RG'!$E$63:$Y$63</v>
      </c>
      <c r="H4012" s="381">
        <f ca="1">IF(IFERROR(INDEX(DATA_PROPERTY_MASTER!$E$5:$E$21,MATCH($C4012,DATA_PROPERTY_MASTER!$A$5:$A$21,0))="Yes",FALSE),MAX(IFERROR(INDEX(INDIRECT("'"&amp;$C4012&amp;"'!$E$63:$Y$63"),1,MATCH($D4012,INDIRECT("'"&amp;$C4012&amp;"'!$E$12:$Y$12"),0)),0),0),0)</f>
        <v>0</v>
      </c>
      <c r="I4012" s="366" t="s">
        <v>1685</v>
      </c>
      <c r="J4012" s="348" t="str">
        <f t="shared" ca="1" si="124"/>
        <v>OK</v>
      </c>
      <c r="K4012" s="366" t="s">
        <v>1735</v>
      </c>
      <c r="L4012" s="366" t="s">
        <v>2258</v>
      </c>
      <c r="M4012" s="350" t="str">
        <f>IF($B4012="Portfolio","Portfolio",IFERROR(INDEX(DATA_ASSET_CLASSIFICATION!$B$8:$B$24,MATCH($C4012,DATA_ASSET_CLASSIFICATION!$A$8:$A$24,0)),"Review"))</f>
        <v>Rosemary Green</v>
      </c>
      <c r="N4012" s="350" t="str">
        <f ca="1">IF($B4012="Portfolio","Portfolio",IFERROR(INDEX(DATA_ASSET_CLASSIFICATION!$U$8:$U$24,MATCH($C4012,DATA_ASSET_CLASSIFICATION!$A$8:$A$24,0)),"Review"))</f>
        <v>Refi Watch</v>
      </c>
      <c r="O4012" s="350" t="str">
        <f ca="1">IF($B4012="Portfolio","Portfolio",IFERROR(INDEX(DATA_ASSET_CLASSIFICATION!$AB$8:$AB$13,MATCH($N4012,DATA_ASSET_CLASSIFICATION!$AA$8:$AA$13,0)),"Review"))</f>
        <v>Bucket 2 · Legacy</v>
      </c>
      <c r="P4012" s="350" t="str">
        <f>IF($B4012="Portfolio","Portfolio",IFERROR(INDEX(DATA_ASSET_CLASSIFICATION!$C$8:$C$24,MATCH($C4012,DATA_ASSET_CLASSIFICATION!$A$8:$A$24,0)),"Review"))</f>
        <v>Yes</v>
      </c>
      <c r="Q4012" s="350" t="str">
        <f t="shared" ca="1" si="125"/>
        <v>OK</v>
      </c>
    </row>
    <row r="4013" spans="1:17">
      <c r="A4013" s="366" t="s">
        <v>5969</v>
      </c>
      <c r="B4013" s="366" t="s">
        <v>231</v>
      </c>
      <c r="C4013" s="348" t="str">
        <f>DATA_PROPERTY_MASTER!$A$17</f>
        <v>BLD_RG</v>
      </c>
      <c r="D4013" s="380">
        <f>'00_PORTFOLIO ROLLUP'!S$12</f>
        <v>2039</v>
      </c>
      <c r="E4013" s="366" t="s">
        <v>1721</v>
      </c>
      <c r="F4013" s="366" t="s">
        <v>39</v>
      </c>
      <c r="G4013" s="348" t="str">
        <f>"'"&amp;$C4013&amp;"'!$E$63:$Y$63"</f>
        <v>'BLD_RG'!$E$63:$Y$63</v>
      </c>
      <c r="H4013" s="381">
        <f ca="1">IF(IFERROR(INDEX(DATA_PROPERTY_MASTER!$E$5:$E$21,MATCH($C4013,DATA_PROPERTY_MASTER!$A$5:$A$21,0))="Yes",FALSE),MAX(-IFERROR(INDEX(INDIRECT("'"&amp;$C4013&amp;"'!$E$63:$Y$63"),1,MATCH($D4013,INDIRECT("'"&amp;$C4013&amp;"'!$E$12:$Y$12"),0)),0),0),0)</f>
        <v>0</v>
      </c>
      <c r="I4013" s="366" t="s">
        <v>1690</v>
      </c>
      <c r="J4013" s="348" t="str">
        <f t="shared" ca="1" si="124"/>
        <v>OK</v>
      </c>
      <c r="K4013" s="366" t="s">
        <v>1738</v>
      </c>
      <c r="L4013" s="366" t="s">
        <v>2260</v>
      </c>
      <c r="M4013" s="350" t="str">
        <f>IF($B4013="Portfolio","Portfolio",IFERROR(INDEX(DATA_ASSET_CLASSIFICATION!$B$8:$B$24,MATCH($C4013,DATA_ASSET_CLASSIFICATION!$A$8:$A$24,0)),"Review"))</f>
        <v>Rosemary Green</v>
      </c>
      <c r="N4013" s="350" t="str">
        <f ca="1">IF($B4013="Portfolio","Portfolio",IFERROR(INDEX(DATA_ASSET_CLASSIFICATION!$U$8:$U$24,MATCH($C4013,DATA_ASSET_CLASSIFICATION!$A$8:$A$24,0)),"Review"))</f>
        <v>Refi Watch</v>
      </c>
      <c r="O4013" s="350" t="str">
        <f ca="1">IF($B4013="Portfolio","Portfolio",IFERROR(INDEX(DATA_ASSET_CLASSIFICATION!$AB$8:$AB$13,MATCH($N4013,DATA_ASSET_CLASSIFICATION!$AA$8:$AA$13,0)),"Review"))</f>
        <v>Bucket 2 · Legacy</v>
      </c>
      <c r="P4013" s="350" t="str">
        <f>IF($B4013="Portfolio","Portfolio",IFERROR(INDEX(DATA_ASSET_CLASSIFICATION!$C$8:$C$24,MATCH($C4013,DATA_ASSET_CLASSIFICATION!$A$8:$A$24,0)),"Review"))</f>
        <v>Yes</v>
      </c>
      <c r="Q4013" s="350" t="str">
        <f t="shared" ca="1" si="125"/>
        <v>OK</v>
      </c>
    </row>
    <row r="4014" spans="1:17">
      <c r="A4014" s="366" t="s">
        <v>5970</v>
      </c>
      <c r="B4014" s="366" t="s">
        <v>231</v>
      </c>
      <c r="C4014" s="348" t="str">
        <f>DATA_PROPERTY_MASTER!$A$17</f>
        <v>BLD_RG</v>
      </c>
      <c r="D4014" s="380">
        <f>'00_PORTFOLIO ROLLUP'!S$12</f>
        <v>2039</v>
      </c>
      <c r="E4014" s="366" t="s">
        <v>1741</v>
      </c>
      <c r="F4014" s="366" t="s">
        <v>41</v>
      </c>
      <c r="G4014" s="348" t="str">
        <f>"'"&amp;$C4014&amp;"'!rows 56 + positive row 63"</f>
        <v>'BLD_RG'!rows 56 + positive row 63</v>
      </c>
      <c r="H4014" s="381">
        <f ca="1">IF(IFERROR(INDEX(DATA_PROPERTY_MASTER!$E$5:$E$21,MATCH($C4014,DATA_PROPERTY_MASTER!$A$5:$A$21,0))="Yes",FALSE),IFERROR(INDEX(INDIRECT("'"&amp;$C4014&amp;"'!$E$56:$Y$56"),1,MATCH($D4014,INDIRECT("'"&amp;$C4014&amp;"'!$E$12:$Y$12"),0)),0)+MAX(IFERROR(INDEX(INDIRECT("'"&amp;$C4014&amp;"'!$E$63:$Y$63"),1,MATCH($D4014,INDIRECT("'"&amp;$C4014&amp;"'!$E$12:$Y$12"),0)),0),0),0)</f>
        <v>98160.783996559127</v>
      </c>
      <c r="I4014" s="366" t="s">
        <v>1685</v>
      </c>
      <c r="J4014" s="348" t="str">
        <f t="shared" ca="1" si="124"/>
        <v>OK</v>
      </c>
      <c r="K4014" s="366" t="s">
        <v>1742</v>
      </c>
      <c r="L4014" s="366" t="s">
        <v>2262</v>
      </c>
      <c r="M4014" s="350" t="str">
        <f>IF($B4014="Portfolio","Portfolio",IFERROR(INDEX(DATA_ASSET_CLASSIFICATION!$B$8:$B$24,MATCH($C4014,DATA_ASSET_CLASSIFICATION!$A$8:$A$24,0)),"Review"))</f>
        <v>Rosemary Green</v>
      </c>
      <c r="N4014" s="350" t="str">
        <f ca="1">IF($B4014="Portfolio","Portfolio",IFERROR(INDEX(DATA_ASSET_CLASSIFICATION!$U$8:$U$24,MATCH($C4014,DATA_ASSET_CLASSIFICATION!$A$8:$A$24,0)),"Review"))</f>
        <v>Refi Watch</v>
      </c>
      <c r="O4014" s="350" t="str">
        <f ca="1">IF($B4014="Portfolio","Portfolio",IFERROR(INDEX(DATA_ASSET_CLASSIFICATION!$AB$8:$AB$13,MATCH($N4014,DATA_ASSET_CLASSIFICATION!$AA$8:$AA$13,0)),"Review"))</f>
        <v>Bucket 2 · Legacy</v>
      </c>
      <c r="P4014" s="350" t="str">
        <f>IF($B4014="Portfolio","Portfolio",IFERROR(INDEX(DATA_ASSET_CLASSIFICATION!$C$8:$C$24,MATCH($C4014,DATA_ASSET_CLASSIFICATION!$A$8:$A$24,0)),"Review"))</f>
        <v>Yes</v>
      </c>
      <c r="Q4014" s="350" t="str">
        <f t="shared" ca="1" si="125"/>
        <v>OK</v>
      </c>
    </row>
    <row r="4015" spans="1:17">
      <c r="A4015" s="366" t="s">
        <v>5971</v>
      </c>
      <c r="B4015" s="366" t="s">
        <v>231</v>
      </c>
      <c r="C4015" s="348" t="str">
        <f>DATA_PROPERTY_MASTER!$A$17</f>
        <v>BLD_RG</v>
      </c>
      <c r="D4015" s="380">
        <f>'00_PORTFOLIO ROLLUP'!S$12</f>
        <v>2039</v>
      </c>
      <c r="E4015" s="366" t="s">
        <v>1741</v>
      </c>
      <c r="F4015" s="366" t="s">
        <v>43</v>
      </c>
      <c r="G4015" s="348" t="str">
        <f>"'"&amp;$C4015&amp;"'!$E$68:$Y$68"</f>
        <v>'BLD_RG'!$E$68:$Y$68</v>
      </c>
      <c r="H4015" s="381">
        <f ca="1">IF(IFERROR(INDEX(DATA_PROPERTY_MASTER!$E$5:$E$21,MATCH($C4015,DATA_PROPERTY_MASTER!$A$5:$A$21,0))="Yes",FALSE),IFERROR(INDEX(INDIRECT("'"&amp;$C4015&amp;"'!$E$68:$Y$68"),1,MATCH($D4015,INDIRECT("'"&amp;$C4015&amp;"'!$E$12:$Y$12"),0)),0),0)</f>
        <v>98160.783996559127</v>
      </c>
      <c r="I4015" s="366" t="s">
        <v>1731</v>
      </c>
      <c r="J4015" s="348" t="str">
        <f t="shared" ca="1" si="124"/>
        <v>OK</v>
      </c>
      <c r="K4015" s="366" t="s">
        <v>1746</v>
      </c>
      <c r="L4015" s="366" t="s">
        <v>2264</v>
      </c>
      <c r="M4015" s="350" t="str">
        <f>IF($B4015="Portfolio","Portfolio",IFERROR(INDEX(DATA_ASSET_CLASSIFICATION!$B$8:$B$24,MATCH($C4015,DATA_ASSET_CLASSIFICATION!$A$8:$A$24,0)),"Review"))</f>
        <v>Rosemary Green</v>
      </c>
      <c r="N4015" s="350" t="str">
        <f ca="1">IF($B4015="Portfolio","Portfolio",IFERROR(INDEX(DATA_ASSET_CLASSIFICATION!$U$8:$U$24,MATCH($C4015,DATA_ASSET_CLASSIFICATION!$A$8:$A$24,0)),"Review"))</f>
        <v>Refi Watch</v>
      </c>
      <c r="O4015" s="350" t="str">
        <f ca="1">IF($B4015="Portfolio","Portfolio",IFERROR(INDEX(DATA_ASSET_CLASSIFICATION!$AB$8:$AB$13,MATCH($N4015,DATA_ASSET_CLASSIFICATION!$AA$8:$AA$13,0)),"Review"))</f>
        <v>Bucket 2 · Legacy</v>
      </c>
      <c r="P4015" s="350" t="str">
        <f>IF($B4015="Portfolio","Portfolio",IFERROR(INDEX(DATA_ASSET_CLASSIFICATION!$C$8:$C$24,MATCH($C4015,DATA_ASSET_CLASSIFICATION!$A$8:$A$24,0)),"Review"))</f>
        <v>Yes</v>
      </c>
      <c r="Q4015" s="350" t="str">
        <f t="shared" ca="1" si="125"/>
        <v>OK</v>
      </c>
    </row>
    <row r="4016" spans="1:17">
      <c r="A4016" s="366" t="s">
        <v>5972</v>
      </c>
      <c r="B4016" s="366" t="s">
        <v>231</v>
      </c>
      <c r="C4016" s="348" t="str">
        <f>DATA_PROPERTY_MASTER!$A$17</f>
        <v>BLD_RG</v>
      </c>
      <c r="D4016" s="380">
        <f>'00_PORTFOLIO ROLLUP'!S$12</f>
        <v>2039</v>
      </c>
      <c r="E4016" s="366" t="s">
        <v>1741</v>
      </c>
      <c r="F4016" s="366" t="s">
        <v>1749</v>
      </c>
      <c r="G4016" s="348" t="str">
        <f>"'"&amp;$C4016&amp;"'!rows 56, 63, 68"</f>
        <v>'BLD_RG'!rows 56, 63, 68</v>
      </c>
      <c r="H4016" s="381">
        <f ca="1">IF(IFERROR(INDEX(DATA_PROPERTY_MASTER!$E$5:$E$21,MATCH($C4016,DATA_PROPERTY_MASTER!$A$5:$A$21,0))="Yes",FALSE),(IFERROR(INDEX(INDIRECT("'"&amp;$C4016&amp;"'!$E$56:$Y$56"),1,MATCH($D4016,INDIRECT("'"&amp;$C4016&amp;"'!$E$12:$Y$12"),0)),0)+MAX(IFERROR(INDEX(INDIRECT("'"&amp;$C4016&amp;"'!$E$63:$Y$63"),1,MATCH($D4016,INDIRECT("'"&amp;$C4016&amp;"'!$E$12:$Y$12"),0)),0),0))-(IFERROR(INDEX(INDIRECT("'"&amp;$C4016&amp;"'!$E$68:$Y$68"),1,MATCH($D4016,INDIRECT("'"&amp;$C4016&amp;"'!$E$12:$Y$12"),0)),0)),0)</f>
        <v>0</v>
      </c>
      <c r="I4016" s="366" t="s">
        <v>1750</v>
      </c>
      <c r="J4016" s="348" t="str">
        <f t="shared" ca="1" si="124"/>
        <v>OK</v>
      </c>
      <c r="K4016" s="366" t="s">
        <v>1751</v>
      </c>
      <c r="L4016" s="366" t="s">
        <v>2266</v>
      </c>
      <c r="M4016" s="350" t="str">
        <f>IF($B4016="Portfolio","Portfolio",IFERROR(INDEX(DATA_ASSET_CLASSIFICATION!$B$8:$B$24,MATCH($C4016,DATA_ASSET_CLASSIFICATION!$A$8:$A$24,0)),"Review"))</f>
        <v>Rosemary Green</v>
      </c>
      <c r="N4016" s="350" t="str">
        <f ca="1">IF($B4016="Portfolio","Portfolio",IFERROR(INDEX(DATA_ASSET_CLASSIFICATION!$U$8:$U$24,MATCH($C4016,DATA_ASSET_CLASSIFICATION!$A$8:$A$24,0)),"Review"))</f>
        <v>Refi Watch</v>
      </c>
      <c r="O4016" s="350" t="str">
        <f ca="1">IF($B4016="Portfolio","Portfolio",IFERROR(INDEX(DATA_ASSET_CLASSIFICATION!$AB$8:$AB$13,MATCH($N4016,DATA_ASSET_CLASSIFICATION!$AA$8:$AA$13,0)),"Review"))</f>
        <v>Bucket 2 · Legacy</v>
      </c>
      <c r="P4016" s="350" t="str">
        <f>IF($B4016="Portfolio","Portfolio",IFERROR(INDEX(DATA_ASSET_CLASSIFICATION!$C$8:$C$24,MATCH($C4016,DATA_ASSET_CLASSIFICATION!$A$8:$A$24,0)),"Review"))</f>
        <v>Yes</v>
      </c>
      <c r="Q4016" s="350" t="str">
        <f t="shared" ca="1" si="125"/>
        <v>OK</v>
      </c>
    </row>
    <row r="4017" spans="1:17">
      <c r="A4017" s="366" t="s">
        <v>5973</v>
      </c>
      <c r="B4017" s="366" t="s">
        <v>231</v>
      </c>
      <c r="C4017" s="348" t="str">
        <f>DATA_PROPERTY_MASTER!$A$17</f>
        <v>BLD_RG</v>
      </c>
      <c r="D4017" s="380">
        <f>'00_PORTFOLIO ROLLUP'!T$12</f>
        <v>2040</v>
      </c>
      <c r="E4017" s="366" t="s">
        <v>1683</v>
      </c>
      <c r="F4017" s="366" t="s">
        <v>341</v>
      </c>
      <c r="G4017" s="348" t="str">
        <f>"'"&amp;$C4017&amp;"'!$E$24:$Y$24"</f>
        <v>'BLD_RG'!$E$24:$Y$24</v>
      </c>
      <c r="H4017" s="381">
        <f ca="1">IF(IFERROR(INDEX(DATA_PROPERTY_MASTER!$E$5:$E$21,MATCH($C4017,DATA_PROPERTY_MASTER!$A$5:$A$21,0))="Yes",FALSE),IFERROR(INDEX(INDIRECT("'"&amp;$C4017&amp;"'!$E$24:$Y$24"),1,MATCH($D4017,INDIRECT("'"&amp;$C4017&amp;"'!$E$12:$Y$12"),0)),0),0)</f>
        <v>604424.84633775591</v>
      </c>
      <c r="I4017" s="366" t="s">
        <v>1685</v>
      </c>
      <c r="J4017" s="348" t="str">
        <f t="shared" ca="1" si="124"/>
        <v>OK</v>
      </c>
      <c r="K4017" s="366" t="s">
        <v>1686</v>
      </c>
      <c r="L4017" s="366" t="s">
        <v>2234</v>
      </c>
      <c r="M4017" s="350" t="str">
        <f>IF($B4017="Portfolio","Portfolio",IFERROR(INDEX(DATA_ASSET_CLASSIFICATION!$B$8:$B$24,MATCH($C4017,DATA_ASSET_CLASSIFICATION!$A$8:$A$24,0)),"Review"))</f>
        <v>Rosemary Green</v>
      </c>
      <c r="N4017" s="350" t="str">
        <f ca="1">IF($B4017="Portfolio","Portfolio",IFERROR(INDEX(DATA_ASSET_CLASSIFICATION!$U$8:$U$24,MATCH($C4017,DATA_ASSET_CLASSIFICATION!$A$8:$A$24,0)),"Review"))</f>
        <v>Refi Watch</v>
      </c>
      <c r="O4017" s="350" t="str">
        <f ca="1">IF($B4017="Portfolio","Portfolio",IFERROR(INDEX(DATA_ASSET_CLASSIFICATION!$AB$8:$AB$13,MATCH($N4017,DATA_ASSET_CLASSIFICATION!$AA$8:$AA$13,0)),"Review"))</f>
        <v>Bucket 2 · Legacy</v>
      </c>
      <c r="P4017" s="350" t="str">
        <f>IF($B4017="Portfolio","Portfolio",IFERROR(INDEX(DATA_ASSET_CLASSIFICATION!$C$8:$C$24,MATCH($C4017,DATA_ASSET_CLASSIFICATION!$A$8:$A$24,0)),"Review"))</f>
        <v>Yes</v>
      </c>
      <c r="Q4017" s="350" t="str">
        <f t="shared" ca="1" si="125"/>
        <v>OK</v>
      </c>
    </row>
    <row r="4018" spans="1:17">
      <c r="A4018" s="366" t="s">
        <v>5974</v>
      </c>
      <c r="B4018" s="366" t="s">
        <v>231</v>
      </c>
      <c r="C4018" s="348" t="str">
        <f>DATA_PROPERTY_MASTER!$A$17</f>
        <v>BLD_RG</v>
      </c>
      <c r="D4018" s="380">
        <f>'00_PORTFOLIO ROLLUP'!T$12</f>
        <v>2040</v>
      </c>
      <c r="E4018" s="366" t="s">
        <v>1683</v>
      </c>
      <c r="F4018" s="366" t="s">
        <v>355</v>
      </c>
      <c r="G4018" s="348" t="str">
        <f>"'"&amp;$C4018&amp;"'!$E$39:$Y$39"</f>
        <v>'BLD_RG'!$E$39:$Y$39</v>
      </c>
      <c r="H4018" s="381">
        <f ca="1">IF(IFERROR(INDEX(DATA_PROPERTY_MASTER!$E$5:$E$21,MATCH($C4018,DATA_PROPERTY_MASTER!$A$5:$A$21,0))="Yes",FALSE),IFERROR(INDEX(INDIRECT("'"&amp;$C4018&amp;"'!$E$39:$Y$39"),1,MATCH($D4018,INDIRECT("'"&amp;$C4018&amp;"'!$E$12:$Y$12"),0)),0),0)</f>
        <v>355850.70424038579</v>
      </c>
      <c r="I4018" s="366" t="s">
        <v>1690</v>
      </c>
      <c r="J4018" s="348" t="str">
        <f t="shared" ca="1" si="124"/>
        <v>OK</v>
      </c>
      <c r="K4018" s="366" t="s">
        <v>1686</v>
      </c>
      <c r="L4018" s="366" t="s">
        <v>2236</v>
      </c>
      <c r="M4018" s="350" t="str">
        <f>IF($B4018="Portfolio","Portfolio",IFERROR(INDEX(DATA_ASSET_CLASSIFICATION!$B$8:$B$24,MATCH($C4018,DATA_ASSET_CLASSIFICATION!$A$8:$A$24,0)),"Review"))</f>
        <v>Rosemary Green</v>
      </c>
      <c r="N4018" s="350" t="str">
        <f ca="1">IF($B4018="Portfolio","Portfolio",IFERROR(INDEX(DATA_ASSET_CLASSIFICATION!$U$8:$U$24,MATCH($C4018,DATA_ASSET_CLASSIFICATION!$A$8:$A$24,0)),"Review"))</f>
        <v>Refi Watch</v>
      </c>
      <c r="O4018" s="350" t="str">
        <f ca="1">IF($B4018="Portfolio","Portfolio",IFERROR(INDEX(DATA_ASSET_CLASSIFICATION!$AB$8:$AB$13,MATCH($N4018,DATA_ASSET_CLASSIFICATION!$AA$8:$AA$13,0)),"Review"))</f>
        <v>Bucket 2 · Legacy</v>
      </c>
      <c r="P4018" s="350" t="str">
        <f>IF($B4018="Portfolio","Portfolio",IFERROR(INDEX(DATA_ASSET_CLASSIFICATION!$C$8:$C$24,MATCH($C4018,DATA_ASSET_CLASSIFICATION!$A$8:$A$24,0)),"Review"))</f>
        <v>Yes</v>
      </c>
      <c r="Q4018" s="350" t="str">
        <f t="shared" ca="1" si="125"/>
        <v>OK</v>
      </c>
    </row>
    <row r="4019" spans="1:17">
      <c r="A4019" s="366" t="s">
        <v>5975</v>
      </c>
      <c r="B4019" s="366" t="s">
        <v>231</v>
      </c>
      <c r="C4019" s="348" t="str">
        <f>DATA_PROPERTY_MASTER!$A$17</f>
        <v>BLD_RG</v>
      </c>
      <c r="D4019" s="380">
        <f>'00_PORTFOLIO ROLLUP'!T$12</f>
        <v>2040</v>
      </c>
      <c r="E4019" s="366" t="s">
        <v>1683</v>
      </c>
      <c r="F4019" s="366" t="s">
        <v>19</v>
      </c>
      <c r="G4019" s="348" t="str">
        <f>"'"&amp;$C4019&amp;"'!$E$41:$Y$41"</f>
        <v>'BLD_RG'!$E$41:$Y$41</v>
      </c>
      <c r="H4019" s="381">
        <f ca="1">IF(IFERROR(INDEX(DATA_PROPERTY_MASTER!$E$5:$E$21,MATCH($C4019,DATA_PROPERTY_MASTER!$A$5:$A$21,0))="Yes",FALSE),IFERROR(INDEX(INDIRECT("'"&amp;$C4019&amp;"'!$E$41:$Y$41"),1,MATCH($D4019,INDIRECT("'"&amp;$C4019&amp;"'!$E$12:$Y$12"),0)),0),0)</f>
        <v>248574.14209737012</v>
      </c>
      <c r="I4019" s="366" t="s">
        <v>1685</v>
      </c>
      <c r="J4019" s="348" t="str">
        <f t="shared" ca="1" si="124"/>
        <v>OK</v>
      </c>
      <c r="K4019" s="366" t="s">
        <v>1694</v>
      </c>
      <c r="L4019" s="366" t="s">
        <v>2238</v>
      </c>
      <c r="M4019" s="350" t="str">
        <f>IF($B4019="Portfolio","Portfolio",IFERROR(INDEX(DATA_ASSET_CLASSIFICATION!$B$8:$B$24,MATCH($C4019,DATA_ASSET_CLASSIFICATION!$A$8:$A$24,0)),"Review"))</f>
        <v>Rosemary Green</v>
      </c>
      <c r="N4019" s="350" t="str">
        <f ca="1">IF($B4019="Portfolio","Portfolio",IFERROR(INDEX(DATA_ASSET_CLASSIFICATION!$U$8:$U$24,MATCH($C4019,DATA_ASSET_CLASSIFICATION!$A$8:$A$24,0)),"Review"))</f>
        <v>Refi Watch</v>
      </c>
      <c r="O4019" s="350" t="str">
        <f ca="1">IF($B4019="Portfolio","Portfolio",IFERROR(INDEX(DATA_ASSET_CLASSIFICATION!$AB$8:$AB$13,MATCH($N4019,DATA_ASSET_CLASSIFICATION!$AA$8:$AA$13,0)),"Review"))</f>
        <v>Bucket 2 · Legacy</v>
      </c>
      <c r="P4019" s="350" t="str">
        <f>IF($B4019="Portfolio","Portfolio",IFERROR(INDEX(DATA_ASSET_CLASSIFICATION!$C$8:$C$24,MATCH($C4019,DATA_ASSET_CLASSIFICATION!$A$8:$A$24,0)),"Review"))</f>
        <v>Yes</v>
      </c>
      <c r="Q4019" s="350" t="str">
        <f t="shared" ca="1" si="125"/>
        <v>OK</v>
      </c>
    </row>
    <row r="4020" spans="1:17">
      <c r="A4020" s="366" t="s">
        <v>5976</v>
      </c>
      <c r="B4020" s="366" t="s">
        <v>231</v>
      </c>
      <c r="C4020" s="348" t="str">
        <f>DATA_PROPERTY_MASTER!$A$17</f>
        <v>BLD_RG</v>
      </c>
      <c r="D4020" s="380">
        <f>'00_PORTFOLIO ROLLUP'!T$12</f>
        <v>2040</v>
      </c>
      <c r="E4020" s="366" t="s">
        <v>1683</v>
      </c>
      <c r="F4020" s="366" t="s">
        <v>1697</v>
      </c>
      <c r="G4020" s="348" t="str">
        <f>"'"&amp;$C4020&amp;"'!$E$44:$Y$44"</f>
        <v>'BLD_RG'!$E$44:$Y$44</v>
      </c>
      <c r="H4020" s="381">
        <f ca="1">IF(IFERROR(INDEX(DATA_PROPERTY_MASTER!$E$5:$E$21,MATCH($C4020,DATA_PROPERTY_MASTER!$A$5:$A$21,0))="Yes",FALSE),IFERROR(INDEX(INDIRECT("'"&amp;$C4020&amp;"'!$E$44:$Y$44"),1,MATCH($D4020,INDIRECT("'"&amp;$C4020&amp;"'!$E$12:$Y$12"),0)),0),0)</f>
        <v>7671.449528447537</v>
      </c>
      <c r="I4020" s="366" t="s">
        <v>1690</v>
      </c>
      <c r="J4020" s="348" t="str">
        <f t="shared" ca="1" si="124"/>
        <v>OK</v>
      </c>
      <c r="K4020" s="366" t="s">
        <v>1699</v>
      </c>
      <c r="L4020" s="366" t="s">
        <v>2240</v>
      </c>
      <c r="M4020" s="350" t="str">
        <f>IF($B4020="Portfolio","Portfolio",IFERROR(INDEX(DATA_ASSET_CLASSIFICATION!$B$8:$B$24,MATCH($C4020,DATA_ASSET_CLASSIFICATION!$A$8:$A$24,0)),"Review"))</f>
        <v>Rosemary Green</v>
      </c>
      <c r="N4020" s="350" t="str">
        <f ca="1">IF($B4020="Portfolio","Portfolio",IFERROR(INDEX(DATA_ASSET_CLASSIFICATION!$U$8:$U$24,MATCH($C4020,DATA_ASSET_CLASSIFICATION!$A$8:$A$24,0)),"Review"))</f>
        <v>Refi Watch</v>
      </c>
      <c r="O4020" s="350" t="str">
        <f ca="1">IF($B4020="Portfolio","Portfolio",IFERROR(INDEX(DATA_ASSET_CLASSIFICATION!$AB$8:$AB$13,MATCH($N4020,DATA_ASSET_CLASSIFICATION!$AA$8:$AA$13,0)),"Review"))</f>
        <v>Bucket 2 · Legacy</v>
      </c>
      <c r="P4020" s="350" t="str">
        <f>IF($B4020="Portfolio","Portfolio",IFERROR(INDEX(DATA_ASSET_CLASSIFICATION!$C$8:$C$24,MATCH($C4020,DATA_ASSET_CLASSIFICATION!$A$8:$A$24,0)),"Review"))</f>
        <v>Yes</v>
      </c>
      <c r="Q4020" s="350" t="str">
        <f t="shared" ca="1" si="125"/>
        <v>OK</v>
      </c>
    </row>
    <row r="4021" spans="1:17">
      <c r="A4021" s="366" t="s">
        <v>5977</v>
      </c>
      <c r="B4021" s="366" t="s">
        <v>231</v>
      </c>
      <c r="C4021" s="348" t="str">
        <f>DATA_PROPERTY_MASTER!$A$17</f>
        <v>BLD_RG</v>
      </c>
      <c r="D4021" s="380">
        <f>'00_PORTFOLIO ROLLUP'!T$12</f>
        <v>2040</v>
      </c>
      <c r="E4021" s="366" t="s">
        <v>1683</v>
      </c>
      <c r="F4021" s="366" t="s">
        <v>21</v>
      </c>
      <c r="G4021" s="348" t="str">
        <f>"'"&amp;$C4021&amp;"'!$E$45:$Y$45"</f>
        <v>'BLD_RG'!$E$45:$Y$45</v>
      </c>
      <c r="H4021" s="381">
        <f ca="1">IF(IFERROR(INDEX(DATA_PROPERTY_MASTER!$E$5:$E$21,MATCH($C4021,DATA_PROPERTY_MASTER!$A$5:$A$21,0))="Yes",FALSE),IFERROR(INDEX(INDIRECT("'"&amp;$C4021&amp;"'!$E$45:$Y$45"),1,MATCH($D4021,INDIRECT("'"&amp;$C4021&amp;"'!$E$12:$Y$12"),0)),0),0)</f>
        <v>240902.69256892259</v>
      </c>
      <c r="I4021" s="366" t="s">
        <v>1685</v>
      </c>
      <c r="J4021" s="348" t="str">
        <f t="shared" ca="1" si="124"/>
        <v>OK</v>
      </c>
      <c r="K4021" s="366" t="s">
        <v>1694</v>
      </c>
      <c r="L4021" s="366" t="s">
        <v>2242</v>
      </c>
      <c r="M4021" s="350" t="str">
        <f>IF($B4021="Portfolio","Portfolio",IFERROR(INDEX(DATA_ASSET_CLASSIFICATION!$B$8:$B$24,MATCH($C4021,DATA_ASSET_CLASSIFICATION!$A$8:$A$24,0)),"Review"))</f>
        <v>Rosemary Green</v>
      </c>
      <c r="N4021" s="350" t="str">
        <f ca="1">IF($B4021="Portfolio","Portfolio",IFERROR(INDEX(DATA_ASSET_CLASSIFICATION!$U$8:$U$24,MATCH($C4021,DATA_ASSET_CLASSIFICATION!$A$8:$A$24,0)),"Review"))</f>
        <v>Refi Watch</v>
      </c>
      <c r="O4021" s="350" t="str">
        <f ca="1">IF($B4021="Portfolio","Portfolio",IFERROR(INDEX(DATA_ASSET_CLASSIFICATION!$AB$8:$AB$13,MATCH($N4021,DATA_ASSET_CLASSIFICATION!$AA$8:$AA$13,0)),"Review"))</f>
        <v>Bucket 2 · Legacy</v>
      </c>
      <c r="P4021" s="350" t="str">
        <f>IF($B4021="Portfolio","Portfolio",IFERROR(INDEX(DATA_ASSET_CLASSIFICATION!$C$8:$C$24,MATCH($C4021,DATA_ASSET_CLASSIFICATION!$A$8:$A$24,0)),"Review"))</f>
        <v>Yes</v>
      </c>
      <c r="Q4021" s="350" t="str">
        <f t="shared" ca="1" si="125"/>
        <v>OK</v>
      </c>
    </row>
    <row r="4022" spans="1:17">
      <c r="A4022" s="366" t="s">
        <v>5978</v>
      </c>
      <c r="B4022" s="366" t="s">
        <v>231</v>
      </c>
      <c r="C4022" s="348" t="str">
        <f>DATA_PROPERTY_MASTER!$A$17</f>
        <v>BLD_RG</v>
      </c>
      <c r="D4022" s="380">
        <f>'00_PORTFOLIO ROLLUP'!T$12</f>
        <v>2040</v>
      </c>
      <c r="E4022" s="366" t="s">
        <v>23</v>
      </c>
      <c r="F4022" s="366" t="s">
        <v>23</v>
      </c>
      <c r="G4022" s="348" t="str">
        <f>"'"&amp;$C4022&amp;"'!$E$48:$Y$48"</f>
        <v>'BLD_RG'!$E$48:$Y$48</v>
      </c>
      <c r="H4022" s="381">
        <f ca="1">IF(IFERROR(INDEX(DATA_PROPERTY_MASTER!$E$5:$E$21,MATCH($C4022,DATA_PROPERTY_MASTER!$A$5:$A$21,0))="Yes",FALSE),IFERROR(INDEX(INDIRECT("'"&amp;$C4022&amp;"'!$E$48:$Y$48"),1,MATCH($D4022,INDIRECT("'"&amp;$C4022&amp;"'!$E$12:$Y$12"),0)),0),0)</f>
        <v>0</v>
      </c>
      <c r="I4022" s="366" t="s">
        <v>1690</v>
      </c>
      <c r="J4022" s="348" t="str">
        <f t="shared" ca="1" si="124"/>
        <v>OK</v>
      </c>
      <c r="K4022" s="366" t="s">
        <v>1706</v>
      </c>
      <c r="L4022" s="366" t="s">
        <v>2244</v>
      </c>
      <c r="M4022" s="350" t="str">
        <f>IF($B4022="Portfolio","Portfolio",IFERROR(INDEX(DATA_ASSET_CLASSIFICATION!$B$8:$B$24,MATCH($C4022,DATA_ASSET_CLASSIFICATION!$A$8:$A$24,0)),"Review"))</f>
        <v>Rosemary Green</v>
      </c>
      <c r="N4022" s="350" t="str">
        <f ca="1">IF($B4022="Portfolio","Portfolio",IFERROR(INDEX(DATA_ASSET_CLASSIFICATION!$U$8:$U$24,MATCH($C4022,DATA_ASSET_CLASSIFICATION!$A$8:$A$24,0)),"Review"))</f>
        <v>Refi Watch</v>
      </c>
      <c r="O4022" s="350" t="str">
        <f ca="1">IF($B4022="Portfolio","Portfolio",IFERROR(INDEX(DATA_ASSET_CLASSIFICATION!$AB$8:$AB$13,MATCH($N4022,DATA_ASSET_CLASSIFICATION!$AA$8:$AA$13,0)),"Review"))</f>
        <v>Bucket 2 · Legacy</v>
      </c>
      <c r="P4022" s="350" t="str">
        <f>IF($B4022="Portfolio","Portfolio",IFERROR(INDEX(DATA_ASSET_CLASSIFICATION!$C$8:$C$24,MATCH($C4022,DATA_ASSET_CLASSIFICATION!$A$8:$A$24,0)),"Review"))</f>
        <v>Yes</v>
      </c>
      <c r="Q4022" s="350" t="str">
        <f t="shared" ca="1" si="125"/>
        <v>OK</v>
      </c>
    </row>
    <row r="4023" spans="1:17">
      <c r="A4023" s="366" t="s">
        <v>5979</v>
      </c>
      <c r="B4023" s="366" t="s">
        <v>231</v>
      </c>
      <c r="C4023" s="348" t="str">
        <f>DATA_PROPERTY_MASTER!$A$17</f>
        <v>BLD_RG</v>
      </c>
      <c r="D4023" s="380">
        <f>'00_PORTFOLIO ROLLUP'!T$12</f>
        <v>2040</v>
      </c>
      <c r="E4023" s="366" t="s">
        <v>1683</v>
      </c>
      <c r="F4023" s="366" t="s">
        <v>25</v>
      </c>
      <c r="G4023" s="348" t="str">
        <f>"'"&amp;$C4023&amp;"'!$E$52:$Y$52"</f>
        <v>'BLD_RG'!$E$52:$Y$52</v>
      </c>
      <c r="H4023" s="381">
        <f ca="1">IF(IFERROR(INDEX(DATA_PROPERTY_MASTER!$E$5:$E$21,MATCH($C4023,DATA_PROPERTY_MASTER!$A$5:$A$21,0))="Yes",FALSE),IFERROR(INDEX(INDIRECT("'"&amp;$C4023&amp;"'!$E$52:$Y$52"),1,MATCH($D4023,INDIRECT("'"&amp;$C4023&amp;"'!$E$12:$Y$12"),0)),0),0)</f>
        <v>248574.14209737012</v>
      </c>
      <c r="I4023" s="366" t="s">
        <v>1685</v>
      </c>
      <c r="J4023" s="348" t="str">
        <f t="shared" ca="1" si="124"/>
        <v>OK</v>
      </c>
      <c r="K4023" s="366" t="s">
        <v>1710</v>
      </c>
      <c r="L4023" s="366" t="s">
        <v>2246</v>
      </c>
      <c r="M4023" s="350" t="str">
        <f>IF($B4023="Portfolio","Portfolio",IFERROR(INDEX(DATA_ASSET_CLASSIFICATION!$B$8:$B$24,MATCH($C4023,DATA_ASSET_CLASSIFICATION!$A$8:$A$24,0)),"Review"))</f>
        <v>Rosemary Green</v>
      </c>
      <c r="N4023" s="350" t="str">
        <f ca="1">IF($B4023="Portfolio","Portfolio",IFERROR(INDEX(DATA_ASSET_CLASSIFICATION!$U$8:$U$24,MATCH($C4023,DATA_ASSET_CLASSIFICATION!$A$8:$A$24,0)),"Review"))</f>
        <v>Refi Watch</v>
      </c>
      <c r="O4023" s="350" t="str">
        <f ca="1">IF($B4023="Portfolio","Portfolio",IFERROR(INDEX(DATA_ASSET_CLASSIFICATION!$AB$8:$AB$13,MATCH($N4023,DATA_ASSET_CLASSIFICATION!$AA$8:$AA$13,0)),"Review"))</f>
        <v>Bucket 2 · Legacy</v>
      </c>
      <c r="P4023" s="350" t="str">
        <f>IF($B4023="Portfolio","Portfolio",IFERROR(INDEX(DATA_ASSET_CLASSIFICATION!$C$8:$C$24,MATCH($C4023,DATA_ASSET_CLASSIFICATION!$A$8:$A$24,0)),"Review"))</f>
        <v>Yes</v>
      </c>
      <c r="Q4023" s="350" t="str">
        <f t="shared" ca="1" si="125"/>
        <v>OK</v>
      </c>
    </row>
    <row r="4024" spans="1:17">
      <c r="A4024" s="366" t="s">
        <v>5980</v>
      </c>
      <c r="B4024" s="366" t="s">
        <v>231</v>
      </c>
      <c r="C4024" s="348" t="str">
        <f>DATA_PROPERTY_MASTER!$A$17</f>
        <v>BLD_RG</v>
      </c>
      <c r="D4024" s="380">
        <f>'00_PORTFOLIO ROLLUP'!T$12</f>
        <v>2040</v>
      </c>
      <c r="E4024" s="366" t="s">
        <v>1683</v>
      </c>
      <c r="F4024" s="366" t="s">
        <v>27</v>
      </c>
      <c r="G4024" s="348" t="str">
        <f>"'"&amp;$C4024&amp;"'!$E$54:$Y$54"</f>
        <v>'BLD_RG'!$E$54:$Y$54</v>
      </c>
      <c r="H4024" s="381">
        <f ca="1">IF(IFERROR(INDEX(DATA_PROPERTY_MASTER!$E$5:$E$21,MATCH($C4024,DATA_PROPERTY_MASTER!$A$5:$A$21,0))="Yes",FALSE),IFERROR(INDEX(INDIRECT("'"&amp;$C4024&amp;"'!$E$54:$Y$54"),1,MATCH($D4024,INDIRECT("'"&amp;$C4024&amp;"'!$E$12:$Y$12"),0)),0),0)</f>
        <v>149144.48525842206</v>
      </c>
      <c r="I4024" s="366" t="s">
        <v>1690</v>
      </c>
      <c r="J4024" s="348" t="str">
        <f t="shared" ca="1" si="124"/>
        <v>OK</v>
      </c>
      <c r="K4024" s="366" t="s">
        <v>1714</v>
      </c>
      <c r="L4024" s="366" t="s">
        <v>2248</v>
      </c>
      <c r="M4024" s="350" t="str">
        <f>IF($B4024="Portfolio","Portfolio",IFERROR(INDEX(DATA_ASSET_CLASSIFICATION!$B$8:$B$24,MATCH($C4024,DATA_ASSET_CLASSIFICATION!$A$8:$A$24,0)),"Review"))</f>
        <v>Rosemary Green</v>
      </c>
      <c r="N4024" s="350" t="str">
        <f ca="1">IF($B4024="Portfolio","Portfolio",IFERROR(INDEX(DATA_ASSET_CLASSIFICATION!$U$8:$U$24,MATCH($C4024,DATA_ASSET_CLASSIFICATION!$A$8:$A$24,0)),"Review"))</f>
        <v>Refi Watch</v>
      </c>
      <c r="O4024" s="350" t="str">
        <f ca="1">IF($B4024="Portfolio","Portfolio",IFERROR(INDEX(DATA_ASSET_CLASSIFICATION!$AB$8:$AB$13,MATCH($N4024,DATA_ASSET_CLASSIFICATION!$AA$8:$AA$13,0)),"Review"))</f>
        <v>Bucket 2 · Legacy</v>
      </c>
      <c r="P4024" s="350" t="str">
        <f>IF($B4024="Portfolio","Portfolio",IFERROR(INDEX(DATA_ASSET_CLASSIFICATION!$C$8:$C$24,MATCH($C4024,DATA_ASSET_CLASSIFICATION!$A$8:$A$24,0)),"Review"))</f>
        <v>Yes</v>
      </c>
      <c r="Q4024" s="350" t="str">
        <f t="shared" ca="1" si="125"/>
        <v>OK</v>
      </c>
    </row>
    <row r="4025" spans="1:17">
      <c r="A4025" s="366" t="s">
        <v>5981</v>
      </c>
      <c r="B4025" s="366" t="s">
        <v>231</v>
      </c>
      <c r="C4025" s="348" t="str">
        <f>DATA_PROPERTY_MASTER!$A$17</f>
        <v>BLD_RG</v>
      </c>
      <c r="D4025" s="380">
        <f>'00_PORTFOLIO ROLLUP'!T$12</f>
        <v>2040</v>
      </c>
      <c r="E4025" s="366" t="s">
        <v>1683</v>
      </c>
      <c r="F4025" s="366" t="s">
        <v>29</v>
      </c>
      <c r="G4025" s="348" t="str">
        <f>"'"&amp;$C4025&amp;"'!$E$56:$Y$56"</f>
        <v>'BLD_RG'!$E$56:$Y$56</v>
      </c>
      <c r="H4025" s="381">
        <f ca="1">IF(IFERROR(INDEX(DATA_PROPERTY_MASTER!$E$5:$E$21,MATCH($C4025,DATA_PROPERTY_MASTER!$A$5:$A$21,0))="Yes",FALSE),IFERROR(INDEX(INDIRECT("'"&amp;$C4025&amp;"'!$E$56:$Y$56"),1,MATCH($D4025,INDIRECT("'"&amp;$C4025&amp;"'!$E$12:$Y$12"),0)),0),0)</f>
        <v>99429.656838948053</v>
      </c>
      <c r="I4025" s="366" t="s">
        <v>1685</v>
      </c>
      <c r="J4025" s="348" t="str">
        <f t="shared" ca="1" si="124"/>
        <v>OK</v>
      </c>
      <c r="K4025" s="366" t="s">
        <v>1718</v>
      </c>
      <c r="L4025" s="366" t="s">
        <v>2250</v>
      </c>
      <c r="M4025" s="350" t="str">
        <f>IF($B4025="Portfolio","Portfolio",IFERROR(INDEX(DATA_ASSET_CLASSIFICATION!$B$8:$B$24,MATCH($C4025,DATA_ASSET_CLASSIFICATION!$A$8:$A$24,0)),"Review"))</f>
        <v>Rosemary Green</v>
      </c>
      <c r="N4025" s="350" t="str">
        <f ca="1">IF($B4025="Portfolio","Portfolio",IFERROR(INDEX(DATA_ASSET_CLASSIFICATION!$U$8:$U$24,MATCH($C4025,DATA_ASSET_CLASSIFICATION!$A$8:$A$24,0)),"Review"))</f>
        <v>Refi Watch</v>
      </c>
      <c r="O4025" s="350" t="str">
        <f ca="1">IF($B4025="Portfolio","Portfolio",IFERROR(INDEX(DATA_ASSET_CLASSIFICATION!$AB$8:$AB$13,MATCH($N4025,DATA_ASSET_CLASSIFICATION!$AA$8:$AA$13,0)),"Review"))</f>
        <v>Bucket 2 · Legacy</v>
      </c>
      <c r="P4025" s="350" t="str">
        <f>IF($B4025="Portfolio","Portfolio",IFERROR(INDEX(DATA_ASSET_CLASSIFICATION!$C$8:$C$24,MATCH($C4025,DATA_ASSET_CLASSIFICATION!$A$8:$A$24,0)),"Review"))</f>
        <v>Yes</v>
      </c>
      <c r="Q4025" s="350" t="str">
        <f t="shared" ca="1" si="125"/>
        <v>OK</v>
      </c>
    </row>
    <row r="4026" spans="1:17">
      <c r="A4026" s="366" t="s">
        <v>5982</v>
      </c>
      <c r="B4026" s="366" t="s">
        <v>231</v>
      </c>
      <c r="C4026" s="348" t="str">
        <f>DATA_PROPERTY_MASTER!$A$17</f>
        <v>BLD_RG</v>
      </c>
      <c r="D4026" s="380">
        <f>'00_PORTFOLIO ROLLUP'!T$12</f>
        <v>2040</v>
      </c>
      <c r="E4026" s="366" t="s">
        <v>1721</v>
      </c>
      <c r="F4026" s="366" t="s">
        <v>31</v>
      </c>
      <c r="G4026" s="348" t="str">
        <f>"'"&amp;$C4026&amp;"'!$E$61:$Y$61"</f>
        <v>'BLD_RG'!$E$61:$Y$61</v>
      </c>
      <c r="H4026" s="381">
        <f ca="1">IF(IFERROR(INDEX(DATA_PROPERTY_MASTER!$E$5:$E$21,MATCH($C4026,DATA_PROPERTY_MASTER!$A$5:$A$21,0))="Yes",FALSE),IFERROR(INDEX(INDIRECT("'"&amp;$C4026&amp;"'!$E$61:$Y$61"),1,MATCH($D4026,INDIRECT("'"&amp;$C4026&amp;"'!$E$12:$Y$12"),0)),0),0)</f>
        <v>0</v>
      </c>
      <c r="I4026" s="366" t="s">
        <v>1690</v>
      </c>
      <c r="J4026" s="348" t="str">
        <f t="shared" ca="1" si="124"/>
        <v>OK</v>
      </c>
      <c r="K4026" s="366" t="s">
        <v>1723</v>
      </c>
      <c r="L4026" s="366" t="s">
        <v>2252</v>
      </c>
      <c r="M4026" s="350" t="str">
        <f>IF($B4026="Portfolio","Portfolio",IFERROR(INDEX(DATA_ASSET_CLASSIFICATION!$B$8:$B$24,MATCH($C4026,DATA_ASSET_CLASSIFICATION!$A$8:$A$24,0)),"Review"))</f>
        <v>Rosemary Green</v>
      </c>
      <c r="N4026" s="350" t="str">
        <f ca="1">IF($B4026="Portfolio","Portfolio",IFERROR(INDEX(DATA_ASSET_CLASSIFICATION!$U$8:$U$24,MATCH($C4026,DATA_ASSET_CLASSIFICATION!$A$8:$A$24,0)),"Review"))</f>
        <v>Refi Watch</v>
      </c>
      <c r="O4026" s="350" t="str">
        <f ca="1">IF($B4026="Portfolio","Portfolio",IFERROR(INDEX(DATA_ASSET_CLASSIFICATION!$AB$8:$AB$13,MATCH($N4026,DATA_ASSET_CLASSIFICATION!$AA$8:$AA$13,0)),"Review"))</f>
        <v>Bucket 2 · Legacy</v>
      </c>
      <c r="P4026" s="350" t="str">
        <f>IF($B4026="Portfolio","Portfolio",IFERROR(INDEX(DATA_ASSET_CLASSIFICATION!$C$8:$C$24,MATCH($C4026,DATA_ASSET_CLASSIFICATION!$A$8:$A$24,0)),"Review"))</f>
        <v>Yes</v>
      </c>
      <c r="Q4026" s="350" t="str">
        <f t="shared" ca="1" si="125"/>
        <v>OK</v>
      </c>
    </row>
    <row r="4027" spans="1:17">
      <c r="A4027" s="366" t="s">
        <v>5983</v>
      </c>
      <c r="B4027" s="366" t="s">
        <v>231</v>
      </c>
      <c r="C4027" s="348" t="str">
        <f>DATA_PROPERTY_MASTER!$A$17</f>
        <v>BLD_RG</v>
      </c>
      <c r="D4027" s="380">
        <f>'00_PORTFOLIO ROLLUP'!T$12</f>
        <v>2040</v>
      </c>
      <c r="E4027" s="366" t="s">
        <v>1721</v>
      </c>
      <c r="F4027" s="366" t="s">
        <v>33</v>
      </c>
      <c r="G4027" s="348" t="str">
        <f>"'"&amp;$C4027&amp;"'!$E$62:$Y$62"</f>
        <v>'BLD_RG'!$E$62:$Y$62</v>
      </c>
      <c r="H4027" s="381">
        <f ca="1">IF(IFERROR(INDEX(DATA_PROPERTY_MASTER!$E$5:$E$21,MATCH($C4027,DATA_PROPERTY_MASTER!$A$5:$A$21,0))="Yes",FALSE),IFERROR(INDEX(INDIRECT("'"&amp;$C4027&amp;"'!$E$62:$Y$62"),1,MATCH($D4027,INDIRECT("'"&amp;$C4027&amp;"'!$E$12:$Y$12"),0)),0),0)</f>
        <v>0</v>
      </c>
      <c r="I4027" s="366" t="s">
        <v>1685</v>
      </c>
      <c r="J4027" s="348" t="str">
        <f t="shared" ca="1" si="124"/>
        <v>OK</v>
      </c>
      <c r="K4027" s="366" t="s">
        <v>1727</v>
      </c>
      <c r="L4027" s="366" t="s">
        <v>2254</v>
      </c>
      <c r="M4027" s="350" t="str">
        <f>IF($B4027="Portfolio","Portfolio",IFERROR(INDEX(DATA_ASSET_CLASSIFICATION!$B$8:$B$24,MATCH($C4027,DATA_ASSET_CLASSIFICATION!$A$8:$A$24,0)),"Review"))</f>
        <v>Rosemary Green</v>
      </c>
      <c r="N4027" s="350" t="str">
        <f ca="1">IF($B4027="Portfolio","Portfolio",IFERROR(INDEX(DATA_ASSET_CLASSIFICATION!$U$8:$U$24,MATCH($C4027,DATA_ASSET_CLASSIFICATION!$A$8:$A$24,0)),"Review"))</f>
        <v>Refi Watch</v>
      </c>
      <c r="O4027" s="350" t="str">
        <f ca="1">IF($B4027="Portfolio","Portfolio",IFERROR(INDEX(DATA_ASSET_CLASSIFICATION!$AB$8:$AB$13,MATCH($N4027,DATA_ASSET_CLASSIFICATION!$AA$8:$AA$13,0)),"Review"))</f>
        <v>Bucket 2 · Legacy</v>
      </c>
      <c r="P4027" s="350" t="str">
        <f>IF($B4027="Portfolio","Portfolio",IFERROR(INDEX(DATA_ASSET_CLASSIFICATION!$C$8:$C$24,MATCH($C4027,DATA_ASSET_CLASSIFICATION!$A$8:$A$24,0)),"Review"))</f>
        <v>Yes</v>
      </c>
      <c r="Q4027" s="350" t="str">
        <f t="shared" ca="1" si="125"/>
        <v>OK</v>
      </c>
    </row>
    <row r="4028" spans="1:17">
      <c r="A4028" s="366" t="s">
        <v>5984</v>
      </c>
      <c r="B4028" s="366" t="s">
        <v>231</v>
      </c>
      <c r="C4028" s="348" t="str">
        <f>DATA_PROPERTY_MASTER!$A$17</f>
        <v>BLD_RG</v>
      </c>
      <c r="D4028" s="380">
        <f>'00_PORTFOLIO ROLLUP'!T$12</f>
        <v>2040</v>
      </c>
      <c r="E4028" s="366" t="s">
        <v>1721</v>
      </c>
      <c r="F4028" s="366" t="s">
        <v>35</v>
      </c>
      <c r="G4028" s="348" t="str">
        <f>"'"&amp;$C4028&amp;"'!$E$63:$Y$63"</f>
        <v>'BLD_RG'!$E$63:$Y$63</v>
      </c>
      <c r="H4028" s="381">
        <f ca="1">IF(IFERROR(INDEX(DATA_PROPERTY_MASTER!$E$5:$E$21,MATCH($C4028,DATA_PROPERTY_MASTER!$A$5:$A$21,0))="Yes",FALSE),IFERROR(INDEX(INDIRECT("'"&amp;$C4028&amp;"'!$E$63:$Y$63"),1,MATCH($D4028,INDIRECT("'"&amp;$C4028&amp;"'!$E$12:$Y$12"),0)),0),0)</f>
        <v>0</v>
      </c>
      <c r="I4028" s="366" t="s">
        <v>1731</v>
      </c>
      <c r="J4028" s="348" t="str">
        <f t="shared" ca="1" si="124"/>
        <v>OK</v>
      </c>
      <c r="K4028" s="366" t="s">
        <v>1732</v>
      </c>
      <c r="L4028" s="366" t="s">
        <v>2256</v>
      </c>
      <c r="M4028" s="350" t="str">
        <f>IF($B4028="Portfolio","Portfolio",IFERROR(INDEX(DATA_ASSET_CLASSIFICATION!$B$8:$B$24,MATCH($C4028,DATA_ASSET_CLASSIFICATION!$A$8:$A$24,0)),"Review"))</f>
        <v>Rosemary Green</v>
      </c>
      <c r="N4028" s="350" t="str">
        <f ca="1">IF($B4028="Portfolio","Portfolio",IFERROR(INDEX(DATA_ASSET_CLASSIFICATION!$U$8:$U$24,MATCH($C4028,DATA_ASSET_CLASSIFICATION!$A$8:$A$24,0)),"Review"))</f>
        <v>Refi Watch</v>
      </c>
      <c r="O4028" s="350" t="str">
        <f ca="1">IF($B4028="Portfolio","Portfolio",IFERROR(INDEX(DATA_ASSET_CLASSIFICATION!$AB$8:$AB$13,MATCH($N4028,DATA_ASSET_CLASSIFICATION!$AA$8:$AA$13,0)),"Review"))</f>
        <v>Bucket 2 · Legacy</v>
      </c>
      <c r="P4028" s="350" t="str">
        <f>IF($B4028="Portfolio","Portfolio",IFERROR(INDEX(DATA_ASSET_CLASSIFICATION!$C$8:$C$24,MATCH($C4028,DATA_ASSET_CLASSIFICATION!$A$8:$A$24,0)),"Review"))</f>
        <v>Yes</v>
      </c>
      <c r="Q4028" s="350" t="str">
        <f t="shared" ca="1" si="125"/>
        <v>OK</v>
      </c>
    </row>
    <row r="4029" spans="1:17">
      <c r="A4029" s="366" t="s">
        <v>5985</v>
      </c>
      <c r="B4029" s="366" t="s">
        <v>231</v>
      </c>
      <c r="C4029" s="348" t="str">
        <f>DATA_PROPERTY_MASTER!$A$17</f>
        <v>BLD_RG</v>
      </c>
      <c r="D4029" s="380">
        <f>'00_PORTFOLIO ROLLUP'!T$12</f>
        <v>2040</v>
      </c>
      <c r="E4029" s="366" t="s">
        <v>1721</v>
      </c>
      <c r="F4029" s="366" t="s">
        <v>37</v>
      </c>
      <c r="G4029" s="348" t="str">
        <f>"'"&amp;$C4029&amp;"'!$E$63:$Y$63"</f>
        <v>'BLD_RG'!$E$63:$Y$63</v>
      </c>
      <c r="H4029" s="381">
        <f ca="1">IF(IFERROR(INDEX(DATA_PROPERTY_MASTER!$E$5:$E$21,MATCH($C4029,DATA_PROPERTY_MASTER!$A$5:$A$21,0))="Yes",FALSE),MAX(IFERROR(INDEX(INDIRECT("'"&amp;$C4029&amp;"'!$E$63:$Y$63"),1,MATCH($D4029,INDIRECT("'"&amp;$C4029&amp;"'!$E$12:$Y$12"),0)),0),0),0)</f>
        <v>0</v>
      </c>
      <c r="I4029" s="366" t="s">
        <v>1685</v>
      </c>
      <c r="J4029" s="348" t="str">
        <f t="shared" ca="1" si="124"/>
        <v>OK</v>
      </c>
      <c r="K4029" s="366" t="s">
        <v>1735</v>
      </c>
      <c r="L4029" s="366" t="s">
        <v>2258</v>
      </c>
      <c r="M4029" s="350" t="str">
        <f>IF($B4029="Portfolio","Portfolio",IFERROR(INDEX(DATA_ASSET_CLASSIFICATION!$B$8:$B$24,MATCH($C4029,DATA_ASSET_CLASSIFICATION!$A$8:$A$24,0)),"Review"))</f>
        <v>Rosemary Green</v>
      </c>
      <c r="N4029" s="350" t="str">
        <f ca="1">IF($B4029="Portfolio","Portfolio",IFERROR(INDEX(DATA_ASSET_CLASSIFICATION!$U$8:$U$24,MATCH($C4029,DATA_ASSET_CLASSIFICATION!$A$8:$A$24,0)),"Review"))</f>
        <v>Refi Watch</v>
      </c>
      <c r="O4029" s="350" t="str">
        <f ca="1">IF($B4029="Portfolio","Portfolio",IFERROR(INDEX(DATA_ASSET_CLASSIFICATION!$AB$8:$AB$13,MATCH($N4029,DATA_ASSET_CLASSIFICATION!$AA$8:$AA$13,0)),"Review"))</f>
        <v>Bucket 2 · Legacy</v>
      </c>
      <c r="P4029" s="350" t="str">
        <f>IF($B4029="Portfolio","Portfolio",IFERROR(INDEX(DATA_ASSET_CLASSIFICATION!$C$8:$C$24,MATCH($C4029,DATA_ASSET_CLASSIFICATION!$A$8:$A$24,0)),"Review"))</f>
        <v>Yes</v>
      </c>
      <c r="Q4029" s="350" t="str">
        <f t="shared" ca="1" si="125"/>
        <v>OK</v>
      </c>
    </row>
    <row r="4030" spans="1:17">
      <c r="A4030" s="366" t="s">
        <v>5986</v>
      </c>
      <c r="B4030" s="366" t="s">
        <v>231</v>
      </c>
      <c r="C4030" s="348" t="str">
        <f>DATA_PROPERTY_MASTER!$A$17</f>
        <v>BLD_RG</v>
      </c>
      <c r="D4030" s="380">
        <f>'00_PORTFOLIO ROLLUP'!T$12</f>
        <v>2040</v>
      </c>
      <c r="E4030" s="366" t="s">
        <v>1721</v>
      </c>
      <c r="F4030" s="366" t="s">
        <v>39</v>
      </c>
      <c r="G4030" s="348" t="str">
        <f>"'"&amp;$C4030&amp;"'!$E$63:$Y$63"</f>
        <v>'BLD_RG'!$E$63:$Y$63</v>
      </c>
      <c r="H4030" s="381">
        <f ca="1">IF(IFERROR(INDEX(DATA_PROPERTY_MASTER!$E$5:$E$21,MATCH($C4030,DATA_PROPERTY_MASTER!$A$5:$A$21,0))="Yes",FALSE),MAX(-IFERROR(INDEX(INDIRECT("'"&amp;$C4030&amp;"'!$E$63:$Y$63"),1,MATCH($D4030,INDIRECT("'"&amp;$C4030&amp;"'!$E$12:$Y$12"),0)),0),0),0)</f>
        <v>0</v>
      </c>
      <c r="I4030" s="366" t="s">
        <v>1690</v>
      </c>
      <c r="J4030" s="348" t="str">
        <f t="shared" ca="1" si="124"/>
        <v>OK</v>
      </c>
      <c r="K4030" s="366" t="s">
        <v>1738</v>
      </c>
      <c r="L4030" s="366" t="s">
        <v>2260</v>
      </c>
      <c r="M4030" s="350" t="str">
        <f>IF($B4030="Portfolio","Portfolio",IFERROR(INDEX(DATA_ASSET_CLASSIFICATION!$B$8:$B$24,MATCH($C4030,DATA_ASSET_CLASSIFICATION!$A$8:$A$24,0)),"Review"))</f>
        <v>Rosemary Green</v>
      </c>
      <c r="N4030" s="350" t="str">
        <f ca="1">IF($B4030="Portfolio","Portfolio",IFERROR(INDEX(DATA_ASSET_CLASSIFICATION!$U$8:$U$24,MATCH($C4030,DATA_ASSET_CLASSIFICATION!$A$8:$A$24,0)),"Review"))</f>
        <v>Refi Watch</v>
      </c>
      <c r="O4030" s="350" t="str">
        <f ca="1">IF($B4030="Portfolio","Portfolio",IFERROR(INDEX(DATA_ASSET_CLASSIFICATION!$AB$8:$AB$13,MATCH($N4030,DATA_ASSET_CLASSIFICATION!$AA$8:$AA$13,0)),"Review"))</f>
        <v>Bucket 2 · Legacy</v>
      </c>
      <c r="P4030" s="350" t="str">
        <f>IF($B4030="Portfolio","Portfolio",IFERROR(INDEX(DATA_ASSET_CLASSIFICATION!$C$8:$C$24,MATCH($C4030,DATA_ASSET_CLASSIFICATION!$A$8:$A$24,0)),"Review"))</f>
        <v>Yes</v>
      </c>
      <c r="Q4030" s="350" t="str">
        <f t="shared" ca="1" si="125"/>
        <v>OK</v>
      </c>
    </row>
    <row r="4031" spans="1:17">
      <c r="A4031" s="366" t="s">
        <v>5987</v>
      </c>
      <c r="B4031" s="366" t="s">
        <v>231</v>
      </c>
      <c r="C4031" s="348" t="str">
        <f>DATA_PROPERTY_MASTER!$A$17</f>
        <v>BLD_RG</v>
      </c>
      <c r="D4031" s="380">
        <f>'00_PORTFOLIO ROLLUP'!T$12</f>
        <v>2040</v>
      </c>
      <c r="E4031" s="366" t="s">
        <v>1741</v>
      </c>
      <c r="F4031" s="366" t="s">
        <v>41</v>
      </c>
      <c r="G4031" s="348" t="str">
        <f>"'"&amp;$C4031&amp;"'!rows 56 + positive row 63"</f>
        <v>'BLD_RG'!rows 56 + positive row 63</v>
      </c>
      <c r="H4031" s="381">
        <f ca="1">IF(IFERROR(INDEX(DATA_PROPERTY_MASTER!$E$5:$E$21,MATCH($C4031,DATA_PROPERTY_MASTER!$A$5:$A$21,0))="Yes",FALSE),IFERROR(INDEX(INDIRECT("'"&amp;$C4031&amp;"'!$E$56:$Y$56"),1,MATCH($D4031,INDIRECT("'"&amp;$C4031&amp;"'!$E$12:$Y$12"),0)),0)+MAX(IFERROR(INDEX(INDIRECT("'"&amp;$C4031&amp;"'!$E$63:$Y$63"),1,MATCH($D4031,INDIRECT("'"&amp;$C4031&amp;"'!$E$12:$Y$12"),0)),0),0),0)</f>
        <v>99429.656838948053</v>
      </c>
      <c r="I4031" s="366" t="s">
        <v>1685</v>
      </c>
      <c r="J4031" s="348" t="str">
        <f t="shared" ca="1" si="124"/>
        <v>OK</v>
      </c>
      <c r="K4031" s="366" t="s">
        <v>1742</v>
      </c>
      <c r="L4031" s="366" t="s">
        <v>2262</v>
      </c>
      <c r="M4031" s="350" t="str">
        <f>IF($B4031="Portfolio","Portfolio",IFERROR(INDEX(DATA_ASSET_CLASSIFICATION!$B$8:$B$24,MATCH($C4031,DATA_ASSET_CLASSIFICATION!$A$8:$A$24,0)),"Review"))</f>
        <v>Rosemary Green</v>
      </c>
      <c r="N4031" s="350" t="str">
        <f ca="1">IF($B4031="Portfolio","Portfolio",IFERROR(INDEX(DATA_ASSET_CLASSIFICATION!$U$8:$U$24,MATCH($C4031,DATA_ASSET_CLASSIFICATION!$A$8:$A$24,0)),"Review"))</f>
        <v>Refi Watch</v>
      </c>
      <c r="O4031" s="350" t="str">
        <f ca="1">IF($B4031="Portfolio","Portfolio",IFERROR(INDEX(DATA_ASSET_CLASSIFICATION!$AB$8:$AB$13,MATCH($N4031,DATA_ASSET_CLASSIFICATION!$AA$8:$AA$13,0)),"Review"))</f>
        <v>Bucket 2 · Legacy</v>
      </c>
      <c r="P4031" s="350" t="str">
        <f>IF($B4031="Portfolio","Portfolio",IFERROR(INDEX(DATA_ASSET_CLASSIFICATION!$C$8:$C$24,MATCH($C4031,DATA_ASSET_CLASSIFICATION!$A$8:$A$24,0)),"Review"))</f>
        <v>Yes</v>
      </c>
      <c r="Q4031" s="350" t="str">
        <f t="shared" ca="1" si="125"/>
        <v>OK</v>
      </c>
    </row>
    <row r="4032" spans="1:17">
      <c r="A4032" s="366" t="s">
        <v>5988</v>
      </c>
      <c r="B4032" s="366" t="s">
        <v>231</v>
      </c>
      <c r="C4032" s="348" t="str">
        <f>DATA_PROPERTY_MASTER!$A$17</f>
        <v>BLD_RG</v>
      </c>
      <c r="D4032" s="380">
        <f>'00_PORTFOLIO ROLLUP'!T$12</f>
        <v>2040</v>
      </c>
      <c r="E4032" s="366" t="s">
        <v>1741</v>
      </c>
      <c r="F4032" s="366" t="s">
        <v>43</v>
      </c>
      <c r="G4032" s="348" t="str">
        <f>"'"&amp;$C4032&amp;"'!$E$68:$Y$68"</f>
        <v>'BLD_RG'!$E$68:$Y$68</v>
      </c>
      <c r="H4032" s="381">
        <f ca="1">IF(IFERROR(INDEX(DATA_PROPERTY_MASTER!$E$5:$E$21,MATCH($C4032,DATA_PROPERTY_MASTER!$A$5:$A$21,0))="Yes",FALSE),IFERROR(INDEX(INDIRECT("'"&amp;$C4032&amp;"'!$E$68:$Y$68"),1,MATCH($D4032,INDIRECT("'"&amp;$C4032&amp;"'!$E$12:$Y$12"),0)),0),0)</f>
        <v>99429.656838948053</v>
      </c>
      <c r="I4032" s="366" t="s">
        <v>1731</v>
      </c>
      <c r="J4032" s="348" t="str">
        <f t="shared" ca="1" si="124"/>
        <v>OK</v>
      </c>
      <c r="K4032" s="366" t="s">
        <v>1746</v>
      </c>
      <c r="L4032" s="366" t="s">
        <v>2264</v>
      </c>
      <c r="M4032" s="350" t="str">
        <f>IF($B4032="Portfolio","Portfolio",IFERROR(INDEX(DATA_ASSET_CLASSIFICATION!$B$8:$B$24,MATCH($C4032,DATA_ASSET_CLASSIFICATION!$A$8:$A$24,0)),"Review"))</f>
        <v>Rosemary Green</v>
      </c>
      <c r="N4032" s="350" t="str">
        <f ca="1">IF($B4032="Portfolio","Portfolio",IFERROR(INDEX(DATA_ASSET_CLASSIFICATION!$U$8:$U$24,MATCH($C4032,DATA_ASSET_CLASSIFICATION!$A$8:$A$24,0)),"Review"))</f>
        <v>Refi Watch</v>
      </c>
      <c r="O4032" s="350" t="str">
        <f ca="1">IF($B4032="Portfolio","Portfolio",IFERROR(INDEX(DATA_ASSET_CLASSIFICATION!$AB$8:$AB$13,MATCH($N4032,DATA_ASSET_CLASSIFICATION!$AA$8:$AA$13,0)),"Review"))</f>
        <v>Bucket 2 · Legacy</v>
      </c>
      <c r="P4032" s="350" t="str">
        <f>IF($B4032="Portfolio","Portfolio",IFERROR(INDEX(DATA_ASSET_CLASSIFICATION!$C$8:$C$24,MATCH($C4032,DATA_ASSET_CLASSIFICATION!$A$8:$A$24,0)),"Review"))</f>
        <v>Yes</v>
      </c>
      <c r="Q4032" s="350" t="str">
        <f t="shared" ca="1" si="125"/>
        <v>OK</v>
      </c>
    </row>
    <row r="4033" spans="1:17">
      <c r="A4033" s="366" t="s">
        <v>5989</v>
      </c>
      <c r="B4033" s="366" t="s">
        <v>231</v>
      </c>
      <c r="C4033" s="348" t="str">
        <f>DATA_PROPERTY_MASTER!$A$17</f>
        <v>BLD_RG</v>
      </c>
      <c r="D4033" s="380">
        <f>'00_PORTFOLIO ROLLUP'!T$12</f>
        <v>2040</v>
      </c>
      <c r="E4033" s="366" t="s">
        <v>1741</v>
      </c>
      <c r="F4033" s="366" t="s">
        <v>1749</v>
      </c>
      <c r="G4033" s="348" t="str">
        <f>"'"&amp;$C4033&amp;"'!rows 56, 63, 68"</f>
        <v>'BLD_RG'!rows 56, 63, 68</v>
      </c>
      <c r="H4033" s="381">
        <f ca="1">IF(IFERROR(INDEX(DATA_PROPERTY_MASTER!$E$5:$E$21,MATCH($C4033,DATA_PROPERTY_MASTER!$A$5:$A$21,0))="Yes",FALSE),(IFERROR(INDEX(INDIRECT("'"&amp;$C4033&amp;"'!$E$56:$Y$56"),1,MATCH($D4033,INDIRECT("'"&amp;$C4033&amp;"'!$E$12:$Y$12"),0)),0)+MAX(IFERROR(INDEX(INDIRECT("'"&amp;$C4033&amp;"'!$E$63:$Y$63"),1,MATCH($D4033,INDIRECT("'"&amp;$C4033&amp;"'!$E$12:$Y$12"),0)),0),0))-(IFERROR(INDEX(INDIRECT("'"&amp;$C4033&amp;"'!$E$68:$Y$68"),1,MATCH($D4033,INDIRECT("'"&amp;$C4033&amp;"'!$E$12:$Y$12"),0)),0)),0)</f>
        <v>0</v>
      </c>
      <c r="I4033" s="366" t="s">
        <v>1750</v>
      </c>
      <c r="J4033" s="348" t="str">
        <f t="shared" ca="1" si="124"/>
        <v>OK</v>
      </c>
      <c r="K4033" s="366" t="s">
        <v>1751</v>
      </c>
      <c r="L4033" s="366" t="s">
        <v>2266</v>
      </c>
      <c r="M4033" s="350" t="str">
        <f>IF($B4033="Portfolio","Portfolio",IFERROR(INDEX(DATA_ASSET_CLASSIFICATION!$B$8:$B$24,MATCH($C4033,DATA_ASSET_CLASSIFICATION!$A$8:$A$24,0)),"Review"))</f>
        <v>Rosemary Green</v>
      </c>
      <c r="N4033" s="350" t="str">
        <f ca="1">IF($B4033="Portfolio","Portfolio",IFERROR(INDEX(DATA_ASSET_CLASSIFICATION!$U$8:$U$24,MATCH($C4033,DATA_ASSET_CLASSIFICATION!$A$8:$A$24,0)),"Review"))</f>
        <v>Refi Watch</v>
      </c>
      <c r="O4033" s="350" t="str">
        <f ca="1">IF($B4033="Portfolio","Portfolio",IFERROR(INDEX(DATA_ASSET_CLASSIFICATION!$AB$8:$AB$13,MATCH($N4033,DATA_ASSET_CLASSIFICATION!$AA$8:$AA$13,0)),"Review"))</f>
        <v>Bucket 2 · Legacy</v>
      </c>
      <c r="P4033" s="350" t="str">
        <f>IF($B4033="Portfolio","Portfolio",IFERROR(INDEX(DATA_ASSET_CLASSIFICATION!$C$8:$C$24,MATCH($C4033,DATA_ASSET_CLASSIFICATION!$A$8:$A$24,0)),"Review"))</f>
        <v>Yes</v>
      </c>
      <c r="Q4033" s="350" t="str">
        <f t="shared" ca="1" si="125"/>
        <v>OK</v>
      </c>
    </row>
    <row r="4034" spans="1:17">
      <c r="A4034" s="366" t="s">
        <v>5990</v>
      </c>
      <c r="B4034" s="366" t="s">
        <v>231</v>
      </c>
      <c r="C4034" s="348" t="str">
        <f>DATA_PROPERTY_MASTER!$A$17</f>
        <v>BLD_RG</v>
      </c>
      <c r="D4034" s="380">
        <f>'00_PORTFOLIO ROLLUP'!U$12</f>
        <v>2041</v>
      </c>
      <c r="E4034" s="366" t="s">
        <v>1683</v>
      </c>
      <c r="F4034" s="366" t="s">
        <v>341</v>
      </c>
      <c r="G4034" s="348" t="str">
        <f>"'"&amp;$C4034&amp;"'!$E$24:$Y$24"</f>
        <v>'BLD_RG'!$E$24:$Y$24</v>
      </c>
      <c r="H4034" s="381">
        <f ca="1">IF(IFERROR(INDEX(DATA_PROPERTY_MASTER!$E$5:$E$21,MATCH($C4034,DATA_PROPERTY_MASTER!$A$5:$A$21,0))="Yes",FALSE),IFERROR(INDEX(INDIRECT("'"&amp;$C4034&amp;"'!$E$24:$Y$24"),1,MATCH($D4034,INDIRECT("'"&amp;$C4034&amp;"'!$E$12:$Y$12"),0)),0),0)</f>
        <v>616513.3432645112</v>
      </c>
      <c r="I4034" s="366" t="s">
        <v>1685</v>
      </c>
      <c r="J4034" s="348" t="str">
        <f t="shared" ca="1" si="124"/>
        <v>OK</v>
      </c>
      <c r="K4034" s="366" t="s">
        <v>1686</v>
      </c>
      <c r="L4034" s="366" t="s">
        <v>2234</v>
      </c>
      <c r="M4034" s="350" t="str">
        <f>IF($B4034="Portfolio","Portfolio",IFERROR(INDEX(DATA_ASSET_CLASSIFICATION!$B$8:$B$24,MATCH($C4034,DATA_ASSET_CLASSIFICATION!$A$8:$A$24,0)),"Review"))</f>
        <v>Rosemary Green</v>
      </c>
      <c r="N4034" s="350" t="str">
        <f ca="1">IF($B4034="Portfolio","Portfolio",IFERROR(INDEX(DATA_ASSET_CLASSIFICATION!$U$8:$U$24,MATCH($C4034,DATA_ASSET_CLASSIFICATION!$A$8:$A$24,0)),"Review"))</f>
        <v>Refi Watch</v>
      </c>
      <c r="O4034" s="350" t="str">
        <f ca="1">IF($B4034="Portfolio","Portfolio",IFERROR(INDEX(DATA_ASSET_CLASSIFICATION!$AB$8:$AB$13,MATCH($N4034,DATA_ASSET_CLASSIFICATION!$AA$8:$AA$13,0)),"Review"))</f>
        <v>Bucket 2 · Legacy</v>
      </c>
      <c r="P4034" s="350" t="str">
        <f>IF($B4034="Portfolio","Portfolio",IFERROR(INDEX(DATA_ASSET_CLASSIFICATION!$C$8:$C$24,MATCH($C4034,DATA_ASSET_CLASSIFICATION!$A$8:$A$24,0)),"Review"))</f>
        <v>Yes</v>
      </c>
      <c r="Q4034" s="350" t="str">
        <f t="shared" ca="1" si="125"/>
        <v>OK</v>
      </c>
    </row>
    <row r="4035" spans="1:17">
      <c r="A4035" s="366" t="s">
        <v>5991</v>
      </c>
      <c r="B4035" s="366" t="s">
        <v>231</v>
      </c>
      <c r="C4035" s="348" t="str">
        <f>DATA_PROPERTY_MASTER!$A$17</f>
        <v>BLD_RG</v>
      </c>
      <c r="D4035" s="380">
        <f>'00_PORTFOLIO ROLLUP'!U$12</f>
        <v>2041</v>
      </c>
      <c r="E4035" s="366" t="s">
        <v>1683</v>
      </c>
      <c r="F4035" s="366" t="s">
        <v>355</v>
      </c>
      <c r="G4035" s="348" t="str">
        <f>"'"&amp;$C4035&amp;"'!$E$39:$Y$39"</f>
        <v>'BLD_RG'!$E$39:$Y$39</v>
      </c>
      <c r="H4035" s="381">
        <f ca="1">IF(IFERROR(INDEX(DATA_PROPERTY_MASTER!$E$5:$E$21,MATCH($C4035,DATA_PROPERTY_MASTER!$A$5:$A$21,0))="Yes",FALSE),IFERROR(INDEX(INDIRECT("'"&amp;$C4035&amp;"'!$E$39:$Y$39"),1,MATCH($D4035,INDIRECT("'"&amp;$C4035&amp;"'!$E$12:$Y$12"),0)),0),0)</f>
        <v>364746.97184639546</v>
      </c>
      <c r="I4035" s="366" t="s">
        <v>1690</v>
      </c>
      <c r="J4035" s="348" t="str">
        <f t="shared" ca="1" si="124"/>
        <v>OK</v>
      </c>
      <c r="K4035" s="366" t="s">
        <v>1686</v>
      </c>
      <c r="L4035" s="366" t="s">
        <v>2236</v>
      </c>
      <c r="M4035" s="350" t="str">
        <f>IF($B4035="Portfolio","Portfolio",IFERROR(INDEX(DATA_ASSET_CLASSIFICATION!$B$8:$B$24,MATCH($C4035,DATA_ASSET_CLASSIFICATION!$A$8:$A$24,0)),"Review"))</f>
        <v>Rosemary Green</v>
      </c>
      <c r="N4035" s="350" t="str">
        <f ca="1">IF($B4035="Portfolio","Portfolio",IFERROR(INDEX(DATA_ASSET_CLASSIFICATION!$U$8:$U$24,MATCH($C4035,DATA_ASSET_CLASSIFICATION!$A$8:$A$24,0)),"Review"))</f>
        <v>Refi Watch</v>
      </c>
      <c r="O4035" s="350" t="str">
        <f ca="1">IF($B4035="Portfolio","Portfolio",IFERROR(INDEX(DATA_ASSET_CLASSIFICATION!$AB$8:$AB$13,MATCH($N4035,DATA_ASSET_CLASSIFICATION!$AA$8:$AA$13,0)),"Review"))</f>
        <v>Bucket 2 · Legacy</v>
      </c>
      <c r="P4035" s="350" t="str">
        <f>IF($B4035="Portfolio","Portfolio",IFERROR(INDEX(DATA_ASSET_CLASSIFICATION!$C$8:$C$24,MATCH($C4035,DATA_ASSET_CLASSIFICATION!$A$8:$A$24,0)),"Review"))</f>
        <v>Yes</v>
      </c>
      <c r="Q4035" s="350" t="str">
        <f t="shared" ca="1" si="125"/>
        <v>OK</v>
      </c>
    </row>
    <row r="4036" spans="1:17">
      <c r="A4036" s="366" t="s">
        <v>5992</v>
      </c>
      <c r="B4036" s="366" t="s">
        <v>231</v>
      </c>
      <c r="C4036" s="348" t="str">
        <f>DATA_PROPERTY_MASTER!$A$17</f>
        <v>BLD_RG</v>
      </c>
      <c r="D4036" s="380">
        <f>'00_PORTFOLIO ROLLUP'!U$12</f>
        <v>2041</v>
      </c>
      <c r="E4036" s="366" t="s">
        <v>1683</v>
      </c>
      <c r="F4036" s="366" t="s">
        <v>19</v>
      </c>
      <c r="G4036" s="348" t="str">
        <f>"'"&amp;$C4036&amp;"'!$E$41:$Y$41"</f>
        <v>'BLD_RG'!$E$41:$Y$41</v>
      </c>
      <c r="H4036" s="381">
        <f ca="1">IF(IFERROR(INDEX(DATA_PROPERTY_MASTER!$E$5:$E$21,MATCH($C4036,DATA_PROPERTY_MASTER!$A$5:$A$21,0))="Yes",FALSE),IFERROR(INDEX(INDIRECT("'"&amp;$C4036&amp;"'!$E$41:$Y$41"),1,MATCH($D4036,INDIRECT("'"&amp;$C4036&amp;"'!$E$12:$Y$12"),0)),0),0)</f>
        <v>251766.37141811574</v>
      </c>
      <c r="I4036" s="366" t="s">
        <v>1685</v>
      </c>
      <c r="J4036" s="348" t="str">
        <f t="shared" ca="1" si="124"/>
        <v>OK</v>
      </c>
      <c r="K4036" s="366" t="s">
        <v>1694</v>
      </c>
      <c r="L4036" s="366" t="s">
        <v>2238</v>
      </c>
      <c r="M4036" s="350" t="str">
        <f>IF($B4036="Portfolio","Portfolio",IFERROR(INDEX(DATA_ASSET_CLASSIFICATION!$B$8:$B$24,MATCH($C4036,DATA_ASSET_CLASSIFICATION!$A$8:$A$24,0)),"Review"))</f>
        <v>Rosemary Green</v>
      </c>
      <c r="N4036" s="350" t="str">
        <f ca="1">IF($B4036="Portfolio","Portfolio",IFERROR(INDEX(DATA_ASSET_CLASSIFICATION!$U$8:$U$24,MATCH($C4036,DATA_ASSET_CLASSIFICATION!$A$8:$A$24,0)),"Review"))</f>
        <v>Refi Watch</v>
      </c>
      <c r="O4036" s="350" t="str">
        <f ca="1">IF($B4036="Portfolio","Portfolio",IFERROR(INDEX(DATA_ASSET_CLASSIFICATION!$AB$8:$AB$13,MATCH($N4036,DATA_ASSET_CLASSIFICATION!$AA$8:$AA$13,0)),"Review"))</f>
        <v>Bucket 2 · Legacy</v>
      </c>
      <c r="P4036" s="350" t="str">
        <f>IF($B4036="Portfolio","Portfolio",IFERROR(INDEX(DATA_ASSET_CLASSIFICATION!$C$8:$C$24,MATCH($C4036,DATA_ASSET_CLASSIFICATION!$A$8:$A$24,0)),"Review"))</f>
        <v>Yes</v>
      </c>
      <c r="Q4036" s="350" t="str">
        <f t="shared" ca="1" si="125"/>
        <v>OK</v>
      </c>
    </row>
    <row r="4037" spans="1:17">
      <c r="A4037" s="366" t="s">
        <v>5993</v>
      </c>
      <c r="B4037" s="366" t="s">
        <v>231</v>
      </c>
      <c r="C4037" s="348" t="str">
        <f>DATA_PROPERTY_MASTER!$A$17</f>
        <v>BLD_RG</v>
      </c>
      <c r="D4037" s="380">
        <f>'00_PORTFOLIO ROLLUP'!U$12</f>
        <v>2041</v>
      </c>
      <c r="E4037" s="366" t="s">
        <v>1683</v>
      </c>
      <c r="F4037" s="366" t="s">
        <v>1697</v>
      </c>
      <c r="G4037" s="348" t="str">
        <f>"'"&amp;$C4037&amp;"'!$E$44:$Y$44"</f>
        <v>'BLD_RG'!$E$44:$Y$44</v>
      </c>
      <c r="H4037" s="381">
        <f ca="1">IF(IFERROR(INDEX(DATA_PROPERTY_MASTER!$E$5:$E$21,MATCH($C4037,DATA_PROPERTY_MASTER!$A$5:$A$21,0))="Yes",FALSE),IFERROR(INDEX(INDIRECT("'"&amp;$C4037&amp;"'!$E$44:$Y$44"),1,MATCH($D4037,INDIRECT("'"&amp;$C4037&amp;"'!$E$12:$Y$12"),0)),0),0)</f>
        <v>7824.878519016489</v>
      </c>
      <c r="I4037" s="366" t="s">
        <v>1690</v>
      </c>
      <c r="J4037" s="348" t="str">
        <f t="shared" ref="J4037:J4100" ca="1" si="126">IF($F4037="Residual Funding Gap",IF($H4037&gt;0,"Funding Gap","OK"),IF(AND($F4037="Net Refinance Position",$H4037&lt;0),"Negative net refi position","OK"))</f>
        <v>OK</v>
      </c>
      <c r="K4037" s="366" t="s">
        <v>1699</v>
      </c>
      <c r="L4037" s="366" t="s">
        <v>2240</v>
      </c>
      <c r="M4037" s="350" t="str">
        <f>IF($B4037="Portfolio","Portfolio",IFERROR(INDEX(DATA_ASSET_CLASSIFICATION!$B$8:$B$24,MATCH($C4037,DATA_ASSET_CLASSIFICATION!$A$8:$A$24,0)),"Review"))</f>
        <v>Rosemary Green</v>
      </c>
      <c r="N4037" s="350" t="str">
        <f ca="1">IF($B4037="Portfolio","Portfolio",IFERROR(INDEX(DATA_ASSET_CLASSIFICATION!$U$8:$U$24,MATCH($C4037,DATA_ASSET_CLASSIFICATION!$A$8:$A$24,0)),"Review"))</f>
        <v>Refi Watch</v>
      </c>
      <c r="O4037" s="350" t="str">
        <f ca="1">IF($B4037="Portfolio","Portfolio",IFERROR(INDEX(DATA_ASSET_CLASSIFICATION!$AB$8:$AB$13,MATCH($N4037,DATA_ASSET_CLASSIFICATION!$AA$8:$AA$13,0)),"Review"))</f>
        <v>Bucket 2 · Legacy</v>
      </c>
      <c r="P4037" s="350" t="str">
        <f>IF($B4037="Portfolio","Portfolio",IFERROR(INDEX(DATA_ASSET_CLASSIFICATION!$C$8:$C$24,MATCH($C4037,DATA_ASSET_CLASSIFICATION!$A$8:$A$24,0)),"Review"))</f>
        <v>Yes</v>
      </c>
      <c r="Q4037" s="350" t="str">
        <f t="shared" ref="Q4037:Q4100" ca="1" si="127">IF(AND($B4037="Property",$F4037="Residual Funding Gap",$H4037&gt;0),"Property Funding Gap",IF($J4037&lt;&gt;"OK",$J4037,"OK"))</f>
        <v>OK</v>
      </c>
    </row>
    <row r="4038" spans="1:17">
      <c r="A4038" s="366" t="s">
        <v>5994</v>
      </c>
      <c r="B4038" s="366" t="s">
        <v>231</v>
      </c>
      <c r="C4038" s="348" t="str">
        <f>DATA_PROPERTY_MASTER!$A$17</f>
        <v>BLD_RG</v>
      </c>
      <c r="D4038" s="380">
        <f>'00_PORTFOLIO ROLLUP'!U$12</f>
        <v>2041</v>
      </c>
      <c r="E4038" s="366" t="s">
        <v>1683</v>
      </c>
      <c r="F4038" s="366" t="s">
        <v>21</v>
      </c>
      <c r="G4038" s="348" t="str">
        <f>"'"&amp;$C4038&amp;"'!$E$45:$Y$45"</f>
        <v>'BLD_RG'!$E$45:$Y$45</v>
      </c>
      <c r="H4038" s="381">
        <f ca="1">IF(IFERROR(INDEX(DATA_PROPERTY_MASTER!$E$5:$E$21,MATCH($C4038,DATA_PROPERTY_MASTER!$A$5:$A$21,0))="Yes",FALSE),IFERROR(INDEX(INDIRECT("'"&amp;$C4038&amp;"'!$E$45:$Y$45"),1,MATCH($D4038,INDIRECT("'"&amp;$C4038&amp;"'!$E$12:$Y$12"),0)),0),0)</f>
        <v>243941.49289909925</v>
      </c>
      <c r="I4038" s="366" t="s">
        <v>1685</v>
      </c>
      <c r="J4038" s="348" t="str">
        <f t="shared" ca="1" si="126"/>
        <v>OK</v>
      </c>
      <c r="K4038" s="366" t="s">
        <v>1694</v>
      </c>
      <c r="L4038" s="366" t="s">
        <v>2242</v>
      </c>
      <c r="M4038" s="350" t="str">
        <f>IF($B4038="Portfolio","Portfolio",IFERROR(INDEX(DATA_ASSET_CLASSIFICATION!$B$8:$B$24,MATCH($C4038,DATA_ASSET_CLASSIFICATION!$A$8:$A$24,0)),"Review"))</f>
        <v>Rosemary Green</v>
      </c>
      <c r="N4038" s="350" t="str">
        <f ca="1">IF($B4038="Portfolio","Portfolio",IFERROR(INDEX(DATA_ASSET_CLASSIFICATION!$U$8:$U$24,MATCH($C4038,DATA_ASSET_CLASSIFICATION!$A$8:$A$24,0)),"Review"))</f>
        <v>Refi Watch</v>
      </c>
      <c r="O4038" s="350" t="str">
        <f ca="1">IF($B4038="Portfolio","Portfolio",IFERROR(INDEX(DATA_ASSET_CLASSIFICATION!$AB$8:$AB$13,MATCH($N4038,DATA_ASSET_CLASSIFICATION!$AA$8:$AA$13,0)),"Review"))</f>
        <v>Bucket 2 · Legacy</v>
      </c>
      <c r="P4038" s="350" t="str">
        <f>IF($B4038="Portfolio","Portfolio",IFERROR(INDEX(DATA_ASSET_CLASSIFICATION!$C$8:$C$24,MATCH($C4038,DATA_ASSET_CLASSIFICATION!$A$8:$A$24,0)),"Review"))</f>
        <v>Yes</v>
      </c>
      <c r="Q4038" s="350" t="str">
        <f t="shared" ca="1" si="127"/>
        <v>OK</v>
      </c>
    </row>
    <row r="4039" spans="1:17">
      <c r="A4039" s="366" t="s">
        <v>5995</v>
      </c>
      <c r="B4039" s="366" t="s">
        <v>231</v>
      </c>
      <c r="C4039" s="348" t="str">
        <f>DATA_PROPERTY_MASTER!$A$17</f>
        <v>BLD_RG</v>
      </c>
      <c r="D4039" s="380">
        <f>'00_PORTFOLIO ROLLUP'!U$12</f>
        <v>2041</v>
      </c>
      <c r="E4039" s="366" t="s">
        <v>23</v>
      </c>
      <c r="F4039" s="366" t="s">
        <v>23</v>
      </c>
      <c r="G4039" s="348" t="str">
        <f>"'"&amp;$C4039&amp;"'!$E$48:$Y$48"</f>
        <v>'BLD_RG'!$E$48:$Y$48</v>
      </c>
      <c r="H4039" s="381">
        <f ca="1">IF(IFERROR(INDEX(DATA_PROPERTY_MASTER!$E$5:$E$21,MATCH($C4039,DATA_PROPERTY_MASTER!$A$5:$A$21,0))="Yes",FALSE),IFERROR(INDEX(INDIRECT("'"&amp;$C4039&amp;"'!$E$48:$Y$48"),1,MATCH($D4039,INDIRECT("'"&amp;$C4039&amp;"'!$E$12:$Y$12"),0)),0),0)</f>
        <v>0</v>
      </c>
      <c r="I4039" s="366" t="s">
        <v>1690</v>
      </c>
      <c r="J4039" s="348" t="str">
        <f t="shared" ca="1" si="126"/>
        <v>OK</v>
      </c>
      <c r="K4039" s="366" t="s">
        <v>1706</v>
      </c>
      <c r="L4039" s="366" t="s">
        <v>2244</v>
      </c>
      <c r="M4039" s="350" t="str">
        <f>IF($B4039="Portfolio","Portfolio",IFERROR(INDEX(DATA_ASSET_CLASSIFICATION!$B$8:$B$24,MATCH($C4039,DATA_ASSET_CLASSIFICATION!$A$8:$A$24,0)),"Review"))</f>
        <v>Rosemary Green</v>
      </c>
      <c r="N4039" s="350" t="str">
        <f ca="1">IF($B4039="Portfolio","Portfolio",IFERROR(INDEX(DATA_ASSET_CLASSIFICATION!$U$8:$U$24,MATCH($C4039,DATA_ASSET_CLASSIFICATION!$A$8:$A$24,0)),"Review"))</f>
        <v>Refi Watch</v>
      </c>
      <c r="O4039" s="350" t="str">
        <f ca="1">IF($B4039="Portfolio","Portfolio",IFERROR(INDEX(DATA_ASSET_CLASSIFICATION!$AB$8:$AB$13,MATCH($N4039,DATA_ASSET_CLASSIFICATION!$AA$8:$AA$13,0)),"Review"))</f>
        <v>Bucket 2 · Legacy</v>
      </c>
      <c r="P4039" s="350" t="str">
        <f>IF($B4039="Portfolio","Portfolio",IFERROR(INDEX(DATA_ASSET_CLASSIFICATION!$C$8:$C$24,MATCH($C4039,DATA_ASSET_CLASSIFICATION!$A$8:$A$24,0)),"Review"))</f>
        <v>Yes</v>
      </c>
      <c r="Q4039" s="350" t="str">
        <f t="shared" ca="1" si="127"/>
        <v>OK</v>
      </c>
    </row>
    <row r="4040" spans="1:17">
      <c r="A4040" s="366" t="s">
        <v>5996</v>
      </c>
      <c r="B4040" s="366" t="s">
        <v>231</v>
      </c>
      <c r="C4040" s="348" t="str">
        <f>DATA_PROPERTY_MASTER!$A$17</f>
        <v>BLD_RG</v>
      </c>
      <c r="D4040" s="380">
        <f>'00_PORTFOLIO ROLLUP'!U$12</f>
        <v>2041</v>
      </c>
      <c r="E4040" s="366" t="s">
        <v>1683</v>
      </c>
      <c r="F4040" s="366" t="s">
        <v>25</v>
      </c>
      <c r="G4040" s="348" t="str">
        <f>"'"&amp;$C4040&amp;"'!$E$52:$Y$52"</f>
        <v>'BLD_RG'!$E$52:$Y$52</v>
      </c>
      <c r="H4040" s="381">
        <f ca="1">IF(IFERROR(INDEX(DATA_PROPERTY_MASTER!$E$5:$E$21,MATCH($C4040,DATA_PROPERTY_MASTER!$A$5:$A$21,0))="Yes",FALSE),IFERROR(INDEX(INDIRECT("'"&amp;$C4040&amp;"'!$E$52:$Y$52"),1,MATCH($D4040,INDIRECT("'"&amp;$C4040&amp;"'!$E$12:$Y$12"),0)),0),0)</f>
        <v>251766.37141811574</v>
      </c>
      <c r="I4040" s="366" t="s">
        <v>1685</v>
      </c>
      <c r="J4040" s="348" t="str">
        <f t="shared" ca="1" si="126"/>
        <v>OK</v>
      </c>
      <c r="K4040" s="366" t="s">
        <v>1710</v>
      </c>
      <c r="L4040" s="366" t="s">
        <v>2246</v>
      </c>
      <c r="M4040" s="350" t="str">
        <f>IF($B4040="Portfolio","Portfolio",IFERROR(INDEX(DATA_ASSET_CLASSIFICATION!$B$8:$B$24,MATCH($C4040,DATA_ASSET_CLASSIFICATION!$A$8:$A$24,0)),"Review"))</f>
        <v>Rosemary Green</v>
      </c>
      <c r="N4040" s="350" t="str">
        <f ca="1">IF($B4040="Portfolio","Portfolio",IFERROR(INDEX(DATA_ASSET_CLASSIFICATION!$U$8:$U$24,MATCH($C4040,DATA_ASSET_CLASSIFICATION!$A$8:$A$24,0)),"Review"))</f>
        <v>Refi Watch</v>
      </c>
      <c r="O4040" s="350" t="str">
        <f ca="1">IF($B4040="Portfolio","Portfolio",IFERROR(INDEX(DATA_ASSET_CLASSIFICATION!$AB$8:$AB$13,MATCH($N4040,DATA_ASSET_CLASSIFICATION!$AA$8:$AA$13,0)),"Review"))</f>
        <v>Bucket 2 · Legacy</v>
      </c>
      <c r="P4040" s="350" t="str">
        <f>IF($B4040="Portfolio","Portfolio",IFERROR(INDEX(DATA_ASSET_CLASSIFICATION!$C$8:$C$24,MATCH($C4040,DATA_ASSET_CLASSIFICATION!$A$8:$A$24,0)),"Review"))</f>
        <v>Yes</v>
      </c>
      <c r="Q4040" s="350" t="str">
        <f t="shared" ca="1" si="127"/>
        <v>OK</v>
      </c>
    </row>
    <row r="4041" spans="1:17">
      <c r="A4041" s="366" t="s">
        <v>5997</v>
      </c>
      <c r="B4041" s="366" t="s">
        <v>231</v>
      </c>
      <c r="C4041" s="348" t="str">
        <f>DATA_PROPERTY_MASTER!$A$17</f>
        <v>BLD_RG</v>
      </c>
      <c r="D4041" s="380">
        <f>'00_PORTFOLIO ROLLUP'!U$12</f>
        <v>2041</v>
      </c>
      <c r="E4041" s="366" t="s">
        <v>1683</v>
      </c>
      <c r="F4041" s="366" t="s">
        <v>27</v>
      </c>
      <c r="G4041" s="348" t="str">
        <f>"'"&amp;$C4041&amp;"'!$E$54:$Y$54"</f>
        <v>'BLD_RG'!$E$54:$Y$54</v>
      </c>
      <c r="H4041" s="381">
        <f ca="1">IF(IFERROR(INDEX(DATA_PROPERTY_MASTER!$E$5:$E$21,MATCH($C4041,DATA_PROPERTY_MASTER!$A$5:$A$21,0))="Yes",FALSE),IFERROR(INDEX(INDIRECT("'"&amp;$C4041&amp;"'!$E$54:$Y$54"),1,MATCH($D4041,INDIRECT("'"&amp;$C4041&amp;"'!$E$12:$Y$12"),0)),0),0)</f>
        <v>151059.82285086944</v>
      </c>
      <c r="I4041" s="366" t="s">
        <v>1690</v>
      </c>
      <c r="J4041" s="348" t="str">
        <f t="shared" ca="1" si="126"/>
        <v>OK</v>
      </c>
      <c r="K4041" s="366" t="s">
        <v>1714</v>
      </c>
      <c r="L4041" s="366" t="s">
        <v>2248</v>
      </c>
      <c r="M4041" s="350" t="str">
        <f>IF($B4041="Portfolio","Portfolio",IFERROR(INDEX(DATA_ASSET_CLASSIFICATION!$B$8:$B$24,MATCH($C4041,DATA_ASSET_CLASSIFICATION!$A$8:$A$24,0)),"Review"))</f>
        <v>Rosemary Green</v>
      </c>
      <c r="N4041" s="350" t="str">
        <f ca="1">IF($B4041="Portfolio","Portfolio",IFERROR(INDEX(DATA_ASSET_CLASSIFICATION!$U$8:$U$24,MATCH($C4041,DATA_ASSET_CLASSIFICATION!$A$8:$A$24,0)),"Review"))</f>
        <v>Refi Watch</v>
      </c>
      <c r="O4041" s="350" t="str">
        <f ca="1">IF($B4041="Portfolio","Portfolio",IFERROR(INDEX(DATA_ASSET_CLASSIFICATION!$AB$8:$AB$13,MATCH($N4041,DATA_ASSET_CLASSIFICATION!$AA$8:$AA$13,0)),"Review"))</f>
        <v>Bucket 2 · Legacy</v>
      </c>
      <c r="P4041" s="350" t="str">
        <f>IF($B4041="Portfolio","Portfolio",IFERROR(INDEX(DATA_ASSET_CLASSIFICATION!$C$8:$C$24,MATCH($C4041,DATA_ASSET_CLASSIFICATION!$A$8:$A$24,0)),"Review"))</f>
        <v>Yes</v>
      </c>
      <c r="Q4041" s="350" t="str">
        <f t="shared" ca="1" si="127"/>
        <v>OK</v>
      </c>
    </row>
    <row r="4042" spans="1:17">
      <c r="A4042" s="366" t="s">
        <v>5998</v>
      </c>
      <c r="B4042" s="366" t="s">
        <v>231</v>
      </c>
      <c r="C4042" s="348" t="str">
        <f>DATA_PROPERTY_MASTER!$A$17</f>
        <v>BLD_RG</v>
      </c>
      <c r="D4042" s="380">
        <f>'00_PORTFOLIO ROLLUP'!U$12</f>
        <v>2041</v>
      </c>
      <c r="E4042" s="366" t="s">
        <v>1683</v>
      </c>
      <c r="F4042" s="366" t="s">
        <v>29</v>
      </c>
      <c r="G4042" s="348" t="str">
        <f>"'"&amp;$C4042&amp;"'!$E$56:$Y$56"</f>
        <v>'BLD_RG'!$E$56:$Y$56</v>
      </c>
      <c r="H4042" s="381">
        <f ca="1">IF(IFERROR(INDEX(DATA_PROPERTY_MASTER!$E$5:$E$21,MATCH($C4042,DATA_PROPERTY_MASTER!$A$5:$A$21,0))="Yes",FALSE),IFERROR(INDEX(INDIRECT("'"&amp;$C4042&amp;"'!$E$56:$Y$56"),1,MATCH($D4042,INDIRECT("'"&amp;$C4042&amp;"'!$E$12:$Y$12"),0)),0),0)</f>
        <v>100706.5485672463</v>
      </c>
      <c r="I4042" s="366" t="s">
        <v>1685</v>
      </c>
      <c r="J4042" s="348" t="str">
        <f t="shared" ca="1" si="126"/>
        <v>OK</v>
      </c>
      <c r="K4042" s="366" t="s">
        <v>1718</v>
      </c>
      <c r="L4042" s="366" t="s">
        <v>2250</v>
      </c>
      <c r="M4042" s="350" t="str">
        <f>IF($B4042="Portfolio","Portfolio",IFERROR(INDEX(DATA_ASSET_CLASSIFICATION!$B$8:$B$24,MATCH($C4042,DATA_ASSET_CLASSIFICATION!$A$8:$A$24,0)),"Review"))</f>
        <v>Rosemary Green</v>
      </c>
      <c r="N4042" s="350" t="str">
        <f ca="1">IF($B4042="Portfolio","Portfolio",IFERROR(INDEX(DATA_ASSET_CLASSIFICATION!$U$8:$U$24,MATCH($C4042,DATA_ASSET_CLASSIFICATION!$A$8:$A$24,0)),"Review"))</f>
        <v>Refi Watch</v>
      </c>
      <c r="O4042" s="350" t="str">
        <f ca="1">IF($B4042="Portfolio","Portfolio",IFERROR(INDEX(DATA_ASSET_CLASSIFICATION!$AB$8:$AB$13,MATCH($N4042,DATA_ASSET_CLASSIFICATION!$AA$8:$AA$13,0)),"Review"))</f>
        <v>Bucket 2 · Legacy</v>
      </c>
      <c r="P4042" s="350" t="str">
        <f>IF($B4042="Portfolio","Portfolio",IFERROR(INDEX(DATA_ASSET_CLASSIFICATION!$C$8:$C$24,MATCH($C4042,DATA_ASSET_CLASSIFICATION!$A$8:$A$24,0)),"Review"))</f>
        <v>Yes</v>
      </c>
      <c r="Q4042" s="350" t="str">
        <f t="shared" ca="1" si="127"/>
        <v>OK</v>
      </c>
    </row>
    <row r="4043" spans="1:17">
      <c r="A4043" s="366" t="s">
        <v>5999</v>
      </c>
      <c r="B4043" s="366" t="s">
        <v>231</v>
      </c>
      <c r="C4043" s="348" t="str">
        <f>DATA_PROPERTY_MASTER!$A$17</f>
        <v>BLD_RG</v>
      </c>
      <c r="D4043" s="380">
        <f>'00_PORTFOLIO ROLLUP'!U$12</f>
        <v>2041</v>
      </c>
      <c r="E4043" s="366" t="s">
        <v>1721</v>
      </c>
      <c r="F4043" s="366" t="s">
        <v>31</v>
      </c>
      <c r="G4043" s="348" t="str">
        <f>"'"&amp;$C4043&amp;"'!$E$61:$Y$61"</f>
        <v>'BLD_RG'!$E$61:$Y$61</v>
      </c>
      <c r="H4043" s="381">
        <f ca="1">IF(IFERROR(INDEX(DATA_PROPERTY_MASTER!$E$5:$E$21,MATCH($C4043,DATA_PROPERTY_MASTER!$A$5:$A$21,0))="Yes",FALSE),IFERROR(INDEX(INDIRECT("'"&amp;$C4043&amp;"'!$E$61:$Y$61"),1,MATCH($D4043,INDIRECT("'"&amp;$C4043&amp;"'!$E$12:$Y$12"),0)),0),0)</f>
        <v>0</v>
      </c>
      <c r="I4043" s="366" t="s">
        <v>1690</v>
      </c>
      <c r="J4043" s="348" t="str">
        <f t="shared" ca="1" si="126"/>
        <v>OK</v>
      </c>
      <c r="K4043" s="366" t="s">
        <v>1723</v>
      </c>
      <c r="L4043" s="366" t="s">
        <v>2252</v>
      </c>
      <c r="M4043" s="350" t="str">
        <f>IF($B4043="Portfolio","Portfolio",IFERROR(INDEX(DATA_ASSET_CLASSIFICATION!$B$8:$B$24,MATCH($C4043,DATA_ASSET_CLASSIFICATION!$A$8:$A$24,0)),"Review"))</f>
        <v>Rosemary Green</v>
      </c>
      <c r="N4043" s="350" t="str">
        <f ca="1">IF($B4043="Portfolio","Portfolio",IFERROR(INDEX(DATA_ASSET_CLASSIFICATION!$U$8:$U$24,MATCH($C4043,DATA_ASSET_CLASSIFICATION!$A$8:$A$24,0)),"Review"))</f>
        <v>Refi Watch</v>
      </c>
      <c r="O4043" s="350" t="str">
        <f ca="1">IF($B4043="Portfolio","Portfolio",IFERROR(INDEX(DATA_ASSET_CLASSIFICATION!$AB$8:$AB$13,MATCH($N4043,DATA_ASSET_CLASSIFICATION!$AA$8:$AA$13,0)),"Review"))</f>
        <v>Bucket 2 · Legacy</v>
      </c>
      <c r="P4043" s="350" t="str">
        <f>IF($B4043="Portfolio","Portfolio",IFERROR(INDEX(DATA_ASSET_CLASSIFICATION!$C$8:$C$24,MATCH($C4043,DATA_ASSET_CLASSIFICATION!$A$8:$A$24,0)),"Review"))</f>
        <v>Yes</v>
      </c>
      <c r="Q4043" s="350" t="str">
        <f t="shared" ca="1" si="127"/>
        <v>OK</v>
      </c>
    </row>
    <row r="4044" spans="1:17">
      <c r="A4044" s="366" t="s">
        <v>6000</v>
      </c>
      <c r="B4044" s="366" t="s">
        <v>231</v>
      </c>
      <c r="C4044" s="348" t="str">
        <f>DATA_PROPERTY_MASTER!$A$17</f>
        <v>BLD_RG</v>
      </c>
      <c r="D4044" s="380">
        <f>'00_PORTFOLIO ROLLUP'!U$12</f>
        <v>2041</v>
      </c>
      <c r="E4044" s="366" t="s">
        <v>1721</v>
      </c>
      <c r="F4044" s="366" t="s">
        <v>33</v>
      </c>
      <c r="G4044" s="348" t="str">
        <f>"'"&amp;$C4044&amp;"'!$E$62:$Y$62"</f>
        <v>'BLD_RG'!$E$62:$Y$62</v>
      </c>
      <c r="H4044" s="381">
        <f ca="1">IF(IFERROR(INDEX(DATA_PROPERTY_MASTER!$E$5:$E$21,MATCH($C4044,DATA_PROPERTY_MASTER!$A$5:$A$21,0))="Yes",FALSE),IFERROR(INDEX(INDIRECT("'"&amp;$C4044&amp;"'!$E$62:$Y$62"),1,MATCH($D4044,INDIRECT("'"&amp;$C4044&amp;"'!$E$12:$Y$12"),0)),0),0)</f>
        <v>0</v>
      </c>
      <c r="I4044" s="366" t="s">
        <v>1685</v>
      </c>
      <c r="J4044" s="348" t="str">
        <f t="shared" ca="1" si="126"/>
        <v>OK</v>
      </c>
      <c r="K4044" s="366" t="s">
        <v>1727</v>
      </c>
      <c r="L4044" s="366" t="s">
        <v>2254</v>
      </c>
      <c r="M4044" s="350" t="str">
        <f>IF($B4044="Portfolio","Portfolio",IFERROR(INDEX(DATA_ASSET_CLASSIFICATION!$B$8:$B$24,MATCH($C4044,DATA_ASSET_CLASSIFICATION!$A$8:$A$24,0)),"Review"))</f>
        <v>Rosemary Green</v>
      </c>
      <c r="N4044" s="350" t="str">
        <f ca="1">IF($B4044="Portfolio","Portfolio",IFERROR(INDEX(DATA_ASSET_CLASSIFICATION!$U$8:$U$24,MATCH($C4044,DATA_ASSET_CLASSIFICATION!$A$8:$A$24,0)),"Review"))</f>
        <v>Refi Watch</v>
      </c>
      <c r="O4044" s="350" t="str">
        <f ca="1">IF($B4044="Portfolio","Portfolio",IFERROR(INDEX(DATA_ASSET_CLASSIFICATION!$AB$8:$AB$13,MATCH($N4044,DATA_ASSET_CLASSIFICATION!$AA$8:$AA$13,0)),"Review"))</f>
        <v>Bucket 2 · Legacy</v>
      </c>
      <c r="P4044" s="350" t="str">
        <f>IF($B4044="Portfolio","Portfolio",IFERROR(INDEX(DATA_ASSET_CLASSIFICATION!$C$8:$C$24,MATCH($C4044,DATA_ASSET_CLASSIFICATION!$A$8:$A$24,0)),"Review"))</f>
        <v>Yes</v>
      </c>
      <c r="Q4044" s="350" t="str">
        <f t="shared" ca="1" si="127"/>
        <v>OK</v>
      </c>
    </row>
    <row r="4045" spans="1:17">
      <c r="A4045" s="366" t="s">
        <v>6001</v>
      </c>
      <c r="B4045" s="366" t="s">
        <v>231</v>
      </c>
      <c r="C4045" s="348" t="str">
        <f>DATA_PROPERTY_MASTER!$A$17</f>
        <v>BLD_RG</v>
      </c>
      <c r="D4045" s="380">
        <f>'00_PORTFOLIO ROLLUP'!U$12</f>
        <v>2041</v>
      </c>
      <c r="E4045" s="366" t="s">
        <v>1721</v>
      </c>
      <c r="F4045" s="366" t="s">
        <v>35</v>
      </c>
      <c r="G4045" s="348" t="str">
        <f>"'"&amp;$C4045&amp;"'!$E$63:$Y$63"</f>
        <v>'BLD_RG'!$E$63:$Y$63</v>
      </c>
      <c r="H4045" s="381">
        <f ca="1">IF(IFERROR(INDEX(DATA_PROPERTY_MASTER!$E$5:$E$21,MATCH($C4045,DATA_PROPERTY_MASTER!$A$5:$A$21,0))="Yes",FALSE),IFERROR(INDEX(INDIRECT("'"&amp;$C4045&amp;"'!$E$63:$Y$63"),1,MATCH($D4045,INDIRECT("'"&amp;$C4045&amp;"'!$E$12:$Y$12"),0)),0),0)</f>
        <v>0</v>
      </c>
      <c r="I4045" s="366" t="s">
        <v>1731</v>
      </c>
      <c r="J4045" s="348" t="str">
        <f t="shared" ca="1" si="126"/>
        <v>OK</v>
      </c>
      <c r="K4045" s="366" t="s">
        <v>1732</v>
      </c>
      <c r="L4045" s="366" t="s">
        <v>2256</v>
      </c>
      <c r="M4045" s="350" t="str">
        <f>IF($B4045="Portfolio","Portfolio",IFERROR(INDEX(DATA_ASSET_CLASSIFICATION!$B$8:$B$24,MATCH($C4045,DATA_ASSET_CLASSIFICATION!$A$8:$A$24,0)),"Review"))</f>
        <v>Rosemary Green</v>
      </c>
      <c r="N4045" s="350" t="str">
        <f ca="1">IF($B4045="Portfolio","Portfolio",IFERROR(INDEX(DATA_ASSET_CLASSIFICATION!$U$8:$U$24,MATCH($C4045,DATA_ASSET_CLASSIFICATION!$A$8:$A$24,0)),"Review"))</f>
        <v>Refi Watch</v>
      </c>
      <c r="O4045" s="350" t="str">
        <f ca="1">IF($B4045="Portfolio","Portfolio",IFERROR(INDEX(DATA_ASSET_CLASSIFICATION!$AB$8:$AB$13,MATCH($N4045,DATA_ASSET_CLASSIFICATION!$AA$8:$AA$13,0)),"Review"))</f>
        <v>Bucket 2 · Legacy</v>
      </c>
      <c r="P4045" s="350" t="str">
        <f>IF($B4045="Portfolio","Portfolio",IFERROR(INDEX(DATA_ASSET_CLASSIFICATION!$C$8:$C$24,MATCH($C4045,DATA_ASSET_CLASSIFICATION!$A$8:$A$24,0)),"Review"))</f>
        <v>Yes</v>
      </c>
      <c r="Q4045" s="350" t="str">
        <f t="shared" ca="1" si="127"/>
        <v>OK</v>
      </c>
    </row>
    <row r="4046" spans="1:17">
      <c r="A4046" s="366" t="s">
        <v>6002</v>
      </c>
      <c r="B4046" s="366" t="s">
        <v>231</v>
      </c>
      <c r="C4046" s="348" t="str">
        <f>DATA_PROPERTY_MASTER!$A$17</f>
        <v>BLD_RG</v>
      </c>
      <c r="D4046" s="380">
        <f>'00_PORTFOLIO ROLLUP'!U$12</f>
        <v>2041</v>
      </c>
      <c r="E4046" s="366" t="s">
        <v>1721</v>
      </c>
      <c r="F4046" s="366" t="s">
        <v>37</v>
      </c>
      <c r="G4046" s="348" t="str">
        <f>"'"&amp;$C4046&amp;"'!$E$63:$Y$63"</f>
        <v>'BLD_RG'!$E$63:$Y$63</v>
      </c>
      <c r="H4046" s="381">
        <f ca="1">IF(IFERROR(INDEX(DATA_PROPERTY_MASTER!$E$5:$E$21,MATCH($C4046,DATA_PROPERTY_MASTER!$A$5:$A$21,0))="Yes",FALSE),MAX(IFERROR(INDEX(INDIRECT("'"&amp;$C4046&amp;"'!$E$63:$Y$63"),1,MATCH($D4046,INDIRECT("'"&amp;$C4046&amp;"'!$E$12:$Y$12"),0)),0),0),0)</f>
        <v>0</v>
      </c>
      <c r="I4046" s="366" t="s">
        <v>1685</v>
      </c>
      <c r="J4046" s="348" t="str">
        <f t="shared" ca="1" si="126"/>
        <v>OK</v>
      </c>
      <c r="K4046" s="366" t="s">
        <v>1735</v>
      </c>
      <c r="L4046" s="366" t="s">
        <v>2258</v>
      </c>
      <c r="M4046" s="350" t="str">
        <f>IF($B4046="Portfolio","Portfolio",IFERROR(INDEX(DATA_ASSET_CLASSIFICATION!$B$8:$B$24,MATCH($C4046,DATA_ASSET_CLASSIFICATION!$A$8:$A$24,0)),"Review"))</f>
        <v>Rosemary Green</v>
      </c>
      <c r="N4046" s="350" t="str">
        <f ca="1">IF($B4046="Portfolio","Portfolio",IFERROR(INDEX(DATA_ASSET_CLASSIFICATION!$U$8:$U$24,MATCH($C4046,DATA_ASSET_CLASSIFICATION!$A$8:$A$24,0)),"Review"))</f>
        <v>Refi Watch</v>
      </c>
      <c r="O4046" s="350" t="str">
        <f ca="1">IF($B4046="Portfolio","Portfolio",IFERROR(INDEX(DATA_ASSET_CLASSIFICATION!$AB$8:$AB$13,MATCH($N4046,DATA_ASSET_CLASSIFICATION!$AA$8:$AA$13,0)),"Review"))</f>
        <v>Bucket 2 · Legacy</v>
      </c>
      <c r="P4046" s="350" t="str">
        <f>IF($B4046="Portfolio","Portfolio",IFERROR(INDEX(DATA_ASSET_CLASSIFICATION!$C$8:$C$24,MATCH($C4046,DATA_ASSET_CLASSIFICATION!$A$8:$A$24,0)),"Review"))</f>
        <v>Yes</v>
      </c>
      <c r="Q4046" s="350" t="str">
        <f t="shared" ca="1" si="127"/>
        <v>OK</v>
      </c>
    </row>
    <row r="4047" spans="1:17">
      <c r="A4047" s="366" t="s">
        <v>6003</v>
      </c>
      <c r="B4047" s="366" t="s">
        <v>231</v>
      </c>
      <c r="C4047" s="348" t="str">
        <f>DATA_PROPERTY_MASTER!$A$17</f>
        <v>BLD_RG</v>
      </c>
      <c r="D4047" s="380">
        <f>'00_PORTFOLIO ROLLUP'!U$12</f>
        <v>2041</v>
      </c>
      <c r="E4047" s="366" t="s">
        <v>1721</v>
      </c>
      <c r="F4047" s="366" t="s">
        <v>39</v>
      </c>
      <c r="G4047" s="348" t="str">
        <f>"'"&amp;$C4047&amp;"'!$E$63:$Y$63"</f>
        <v>'BLD_RG'!$E$63:$Y$63</v>
      </c>
      <c r="H4047" s="381">
        <f ca="1">IF(IFERROR(INDEX(DATA_PROPERTY_MASTER!$E$5:$E$21,MATCH($C4047,DATA_PROPERTY_MASTER!$A$5:$A$21,0))="Yes",FALSE),MAX(-IFERROR(INDEX(INDIRECT("'"&amp;$C4047&amp;"'!$E$63:$Y$63"),1,MATCH($D4047,INDIRECT("'"&amp;$C4047&amp;"'!$E$12:$Y$12"),0)),0),0),0)</f>
        <v>0</v>
      </c>
      <c r="I4047" s="366" t="s">
        <v>1690</v>
      </c>
      <c r="J4047" s="348" t="str">
        <f t="shared" ca="1" si="126"/>
        <v>OK</v>
      </c>
      <c r="K4047" s="366" t="s">
        <v>1738</v>
      </c>
      <c r="L4047" s="366" t="s">
        <v>2260</v>
      </c>
      <c r="M4047" s="350" t="str">
        <f>IF($B4047="Portfolio","Portfolio",IFERROR(INDEX(DATA_ASSET_CLASSIFICATION!$B$8:$B$24,MATCH($C4047,DATA_ASSET_CLASSIFICATION!$A$8:$A$24,0)),"Review"))</f>
        <v>Rosemary Green</v>
      </c>
      <c r="N4047" s="350" t="str">
        <f ca="1">IF($B4047="Portfolio","Portfolio",IFERROR(INDEX(DATA_ASSET_CLASSIFICATION!$U$8:$U$24,MATCH($C4047,DATA_ASSET_CLASSIFICATION!$A$8:$A$24,0)),"Review"))</f>
        <v>Refi Watch</v>
      </c>
      <c r="O4047" s="350" t="str">
        <f ca="1">IF($B4047="Portfolio","Portfolio",IFERROR(INDEX(DATA_ASSET_CLASSIFICATION!$AB$8:$AB$13,MATCH($N4047,DATA_ASSET_CLASSIFICATION!$AA$8:$AA$13,0)),"Review"))</f>
        <v>Bucket 2 · Legacy</v>
      </c>
      <c r="P4047" s="350" t="str">
        <f>IF($B4047="Portfolio","Portfolio",IFERROR(INDEX(DATA_ASSET_CLASSIFICATION!$C$8:$C$24,MATCH($C4047,DATA_ASSET_CLASSIFICATION!$A$8:$A$24,0)),"Review"))</f>
        <v>Yes</v>
      </c>
      <c r="Q4047" s="350" t="str">
        <f t="shared" ca="1" si="127"/>
        <v>OK</v>
      </c>
    </row>
    <row r="4048" spans="1:17">
      <c r="A4048" s="366" t="s">
        <v>6004</v>
      </c>
      <c r="B4048" s="366" t="s">
        <v>231</v>
      </c>
      <c r="C4048" s="348" t="str">
        <f>DATA_PROPERTY_MASTER!$A$17</f>
        <v>BLD_RG</v>
      </c>
      <c r="D4048" s="380">
        <f>'00_PORTFOLIO ROLLUP'!U$12</f>
        <v>2041</v>
      </c>
      <c r="E4048" s="366" t="s">
        <v>1741</v>
      </c>
      <c r="F4048" s="366" t="s">
        <v>41</v>
      </c>
      <c r="G4048" s="348" t="str">
        <f>"'"&amp;$C4048&amp;"'!rows 56 + positive row 63"</f>
        <v>'BLD_RG'!rows 56 + positive row 63</v>
      </c>
      <c r="H4048" s="381">
        <f ca="1">IF(IFERROR(INDEX(DATA_PROPERTY_MASTER!$E$5:$E$21,MATCH($C4048,DATA_PROPERTY_MASTER!$A$5:$A$21,0))="Yes",FALSE),IFERROR(INDEX(INDIRECT("'"&amp;$C4048&amp;"'!$E$56:$Y$56"),1,MATCH($D4048,INDIRECT("'"&amp;$C4048&amp;"'!$E$12:$Y$12"),0)),0)+MAX(IFERROR(INDEX(INDIRECT("'"&amp;$C4048&amp;"'!$E$63:$Y$63"),1,MATCH($D4048,INDIRECT("'"&amp;$C4048&amp;"'!$E$12:$Y$12"),0)),0),0),0)</f>
        <v>100706.5485672463</v>
      </c>
      <c r="I4048" s="366" t="s">
        <v>1685</v>
      </c>
      <c r="J4048" s="348" t="str">
        <f t="shared" ca="1" si="126"/>
        <v>OK</v>
      </c>
      <c r="K4048" s="366" t="s">
        <v>1742</v>
      </c>
      <c r="L4048" s="366" t="s">
        <v>2262</v>
      </c>
      <c r="M4048" s="350" t="str">
        <f>IF($B4048="Portfolio","Portfolio",IFERROR(INDEX(DATA_ASSET_CLASSIFICATION!$B$8:$B$24,MATCH($C4048,DATA_ASSET_CLASSIFICATION!$A$8:$A$24,0)),"Review"))</f>
        <v>Rosemary Green</v>
      </c>
      <c r="N4048" s="350" t="str">
        <f ca="1">IF($B4048="Portfolio","Portfolio",IFERROR(INDEX(DATA_ASSET_CLASSIFICATION!$U$8:$U$24,MATCH($C4048,DATA_ASSET_CLASSIFICATION!$A$8:$A$24,0)),"Review"))</f>
        <v>Refi Watch</v>
      </c>
      <c r="O4048" s="350" t="str">
        <f ca="1">IF($B4048="Portfolio","Portfolio",IFERROR(INDEX(DATA_ASSET_CLASSIFICATION!$AB$8:$AB$13,MATCH($N4048,DATA_ASSET_CLASSIFICATION!$AA$8:$AA$13,0)),"Review"))</f>
        <v>Bucket 2 · Legacy</v>
      </c>
      <c r="P4048" s="350" t="str">
        <f>IF($B4048="Portfolio","Portfolio",IFERROR(INDEX(DATA_ASSET_CLASSIFICATION!$C$8:$C$24,MATCH($C4048,DATA_ASSET_CLASSIFICATION!$A$8:$A$24,0)),"Review"))</f>
        <v>Yes</v>
      </c>
      <c r="Q4048" s="350" t="str">
        <f t="shared" ca="1" si="127"/>
        <v>OK</v>
      </c>
    </row>
    <row r="4049" spans="1:17">
      <c r="A4049" s="366" t="s">
        <v>6005</v>
      </c>
      <c r="B4049" s="366" t="s">
        <v>231</v>
      </c>
      <c r="C4049" s="348" t="str">
        <f>DATA_PROPERTY_MASTER!$A$17</f>
        <v>BLD_RG</v>
      </c>
      <c r="D4049" s="380">
        <f>'00_PORTFOLIO ROLLUP'!U$12</f>
        <v>2041</v>
      </c>
      <c r="E4049" s="366" t="s">
        <v>1741</v>
      </c>
      <c r="F4049" s="366" t="s">
        <v>43</v>
      </c>
      <c r="G4049" s="348" t="str">
        <f>"'"&amp;$C4049&amp;"'!$E$68:$Y$68"</f>
        <v>'BLD_RG'!$E$68:$Y$68</v>
      </c>
      <c r="H4049" s="381">
        <f ca="1">IF(IFERROR(INDEX(DATA_PROPERTY_MASTER!$E$5:$E$21,MATCH($C4049,DATA_PROPERTY_MASTER!$A$5:$A$21,0))="Yes",FALSE),IFERROR(INDEX(INDIRECT("'"&amp;$C4049&amp;"'!$E$68:$Y$68"),1,MATCH($D4049,INDIRECT("'"&amp;$C4049&amp;"'!$E$12:$Y$12"),0)),0),0)</f>
        <v>100706.5485672463</v>
      </c>
      <c r="I4049" s="366" t="s">
        <v>1731</v>
      </c>
      <c r="J4049" s="348" t="str">
        <f t="shared" ca="1" si="126"/>
        <v>OK</v>
      </c>
      <c r="K4049" s="366" t="s">
        <v>1746</v>
      </c>
      <c r="L4049" s="366" t="s">
        <v>2264</v>
      </c>
      <c r="M4049" s="350" t="str">
        <f>IF($B4049="Portfolio","Portfolio",IFERROR(INDEX(DATA_ASSET_CLASSIFICATION!$B$8:$B$24,MATCH($C4049,DATA_ASSET_CLASSIFICATION!$A$8:$A$24,0)),"Review"))</f>
        <v>Rosemary Green</v>
      </c>
      <c r="N4049" s="350" t="str">
        <f ca="1">IF($B4049="Portfolio","Portfolio",IFERROR(INDEX(DATA_ASSET_CLASSIFICATION!$U$8:$U$24,MATCH($C4049,DATA_ASSET_CLASSIFICATION!$A$8:$A$24,0)),"Review"))</f>
        <v>Refi Watch</v>
      </c>
      <c r="O4049" s="350" t="str">
        <f ca="1">IF($B4049="Portfolio","Portfolio",IFERROR(INDEX(DATA_ASSET_CLASSIFICATION!$AB$8:$AB$13,MATCH($N4049,DATA_ASSET_CLASSIFICATION!$AA$8:$AA$13,0)),"Review"))</f>
        <v>Bucket 2 · Legacy</v>
      </c>
      <c r="P4049" s="350" t="str">
        <f>IF($B4049="Portfolio","Portfolio",IFERROR(INDEX(DATA_ASSET_CLASSIFICATION!$C$8:$C$24,MATCH($C4049,DATA_ASSET_CLASSIFICATION!$A$8:$A$24,0)),"Review"))</f>
        <v>Yes</v>
      </c>
      <c r="Q4049" s="350" t="str">
        <f t="shared" ca="1" si="127"/>
        <v>OK</v>
      </c>
    </row>
    <row r="4050" spans="1:17">
      <c r="A4050" s="366" t="s">
        <v>6006</v>
      </c>
      <c r="B4050" s="366" t="s">
        <v>231</v>
      </c>
      <c r="C4050" s="348" t="str">
        <f>DATA_PROPERTY_MASTER!$A$17</f>
        <v>BLD_RG</v>
      </c>
      <c r="D4050" s="380">
        <f>'00_PORTFOLIO ROLLUP'!U$12</f>
        <v>2041</v>
      </c>
      <c r="E4050" s="366" t="s">
        <v>1741</v>
      </c>
      <c r="F4050" s="366" t="s">
        <v>1749</v>
      </c>
      <c r="G4050" s="348" t="str">
        <f>"'"&amp;$C4050&amp;"'!rows 56, 63, 68"</f>
        <v>'BLD_RG'!rows 56, 63, 68</v>
      </c>
      <c r="H4050" s="381">
        <f ca="1">IF(IFERROR(INDEX(DATA_PROPERTY_MASTER!$E$5:$E$21,MATCH($C4050,DATA_PROPERTY_MASTER!$A$5:$A$21,0))="Yes",FALSE),(IFERROR(INDEX(INDIRECT("'"&amp;$C4050&amp;"'!$E$56:$Y$56"),1,MATCH($D4050,INDIRECT("'"&amp;$C4050&amp;"'!$E$12:$Y$12"),0)),0)+MAX(IFERROR(INDEX(INDIRECT("'"&amp;$C4050&amp;"'!$E$63:$Y$63"),1,MATCH($D4050,INDIRECT("'"&amp;$C4050&amp;"'!$E$12:$Y$12"),0)),0),0))-(IFERROR(INDEX(INDIRECT("'"&amp;$C4050&amp;"'!$E$68:$Y$68"),1,MATCH($D4050,INDIRECT("'"&amp;$C4050&amp;"'!$E$12:$Y$12"),0)),0)),0)</f>
        <v>0</v>
      </c>
      <c r="I4050" s="366" t="s">
        <v>1750</v>
      </c>
      <c r="J4050" s="348" t="str">
        <f t="shared" ca="1" si="126"/>
        <v>OK</v>
      </c>
      <c r="K4050" s="366" t="s">
        <v>1751</v>
      </c>
      <c r="L4050" s="366" t="s">
        <v>2266</v>
      </c>
      <c r="M4050" s="350" t="str">
        <f>IF($B4050="Portfolio","Portfolio",IFERROR(INDEX(DATA_ASSET_CLASSIFICATION!$B$8:$B$24,MATCH($C4050,DATA_ASSET_CLASSIFICATION!$A$8:$A$24,0)),"Review"))</f>
        <v>Rosemary Green</v>
      </c>
      <c r="N4050" s="350" t="str">
        <f ca="1">IF($B4050="Portfolio","Portfolio",IFERROR(INDEX(DATA_ASSET_CLASSIFICATION!$U$8:$U$24,MATCH($C4050,DATA_ASSET_CLASSIFICATION!$A$8:$A$24,0)),"Review"))</f>
        <v>Refi Watch</v>
      </c>
      <c r="O4050" s="350" t="str">
        <f ca="1">IF($B4050="Portfolio","Portfolio",IFERROR(INDEX(DATA_ASSET_CLASSIFICATION!$AB$8:$AB$13,MATCH($N4050,DATA_ASSET_CLASSIFICATION!$AA$8:$AA$13,0)),"Review"))</f>
        <v>Bucket 2 · Legacy</v>
      </c>
      <c r="P4050" s="350" t="str">
        <f>IF($B4050="Portfolio","Portfolio",IFERROR(INDEX(DATA_ASSET_CLASSIFICATION!$C$8:$C$24,MATCH($C4050,DATA_ASSET_CLASSIFICATION!$A$8:$A$24,0)),"Review"))</f>
        <v>Yes</v>
      </c>
      <c r="Q4050" s="350" t="str">
        <f t="shared" ca="1" si="127"/>
        <v>OK</v>
      </c>
    </row>
    <row r="4051" spans="1:17">
      <c r="A4051" s="366" t="s">
        <v>6007</v>
      </c>
      <c r="B4051" s="366" t="s">
        <v>231</v>
      </c>
      <c r="C4051" s="348" t="str">
        <f>DATA_PROPERTY_MASTER!$A$18</f>
        <v>BLD_AS</v>
      </c>
      <c r="D4051" s="380">
        <f>'00_PORTFOLIO ROLLUP'!E$12</f>
        <v>2025</v>
      </c>
      <c r="E4051" s="366" t="s">
        <v>1683</v>
      </c>
      <c r="F4051" s="366" t="s">
        <v>341</v>
      </c>
      <c r="G4051" s="348" t="str">
        <f>"'"&amp;$C4051&amp;"'!$E$24:$Y$24"</f>
        <v>'BLD_AS'!$E$24:$Y$24</v>
      </c>
      <c r="H4051" s="381">
        <f ca="1">IF(IFERROR(INDEX(DATA_PROPERTY_MASTER!$E$5:$E$21,MATCH($C4051,DATA_PROPERTY_MASTER!$A$5:$A$21,0))="Yes",FALSE),IFERROR(INDEX(INDIRECT("'"&amp;$C4051&amp;"'!$E$24:$Y$24"),1,MATCH($D4051,INDIRECT("'"&amp;$C4051&amp;"'!$E$12:$Y$12"),0)),0),0)</f>
        <v>0</v>
      </c>
      <c r="I4051" s="366" t="s">
        <v>1685</v>
      </c>
      <c r="J4051" s="348" t="str">
        <f t="shared" ca="1" si="126"/>
        <v>OK</v>
      </c>
      <c r="K4051" s="366" t="s">
        <v>1686</v>
      </c>
      <c r="L4051" s="366" t="s">
        <v>2234</v>
      </c>
      <c r="M4051" s="350" t="str">
        <f>IF($B4051="Portfolio","Portfolio",IFERROR(INDEX(DATA_ASSET_CLASSIFICATION!$B$8:$B$24,MATCH($C4051,DATA_ASSET_CLASSIFICATION!$A$8:$A$24,0)),"Review"))</f>
        <v>1656 Adanac Street</v>
      </c>
      <c r="N4051" s="350" t="str">
        <f>IF($B4051="Portfolio","Portfolio",IFERROR(INDEX(DATA_ASSET_CLASSIFICATION!$U$8:$U$24,MATCH($C4051,DATA_ASSET_CLASSIFICATION!$A$8:$A$24,0)),"Review"))</f>
        <v>New Build</v>
      </c>
      <c r="O4051" s="350" t="str">
        <f>IF($B4051="Portfolio","Portfolio",IFERROR(INDEX(DATA_ASSET_CLASSIFICATION!$AB$8:$AB$13,MATCH($N4051,DATA_ASSET_CLASSIFICATION!$AA$8:$AA$13,0)),"Review"))</f>
        <v>Bucket 1 · New Build</v>
      </c>
      <c r="P4051" s="350" t="str">
        <f>IF($B4051="Portfolio","Portfolio",IFERROR(INDEX(DATA_ASSET_CLASSIFICATION!$C$8:$C$24,MATCH($C4051,DATA_ASSET_CLASSIFICATION!$A$8:$A$24,0)),"Review"))</f>
        <v>Yes</v>
      </c>
      <c r="Q4051" s="350" t="str">
        <f t="shared" ca="1" si="127"/>
        <v>OK</v>
      </c>
    </row>
    <row r="4052" spans="1:17">
      <c r="A4052" s="366" t="s">
        <v>6008</v>
      </c>
      <c r="B4052" s="366" t="s">
        <v>231</v>
      </c>
      <c r="C4052" s="348" t="str">
        <f>DATA_PROPERTY_MASTER!$A$18</f>
        <v>BLD_AS</v>
      </c>
      <c r="D4052" s="380">
        <f>'00_PORTFOLIO ROLLUP'!E$12</f>
        <v>2025</v>
      </c>
      <c r="E4052" s="366" t="s">
        <v>1683</v>
      </c>
      <c r="F4052" s="366" t="s">
        <v>355</v>
      </c>
      <c r="G4052" s="348" t="str">
        <f>"'"&amp;$C4052&amp;"'!$E$39:$Y$39"</f>
        <v>'BLD_AS'!$E$39:$Y$39</v>
      </c>
      <c r="H4052" s="381">
        <f ca="1">IF(IFERROR(INDEX(DATA_PROPERTY_MASTER!$E$5:$E$21,MATCH($C4052,DATA_PROPERTY_MASTER!$A$5:$A$21,0))="Yes",FALSE),IFERROR(INDEX(INDIRECT("'"&amp;$C4052&amp;"'!$E$39:$Y$39"),1,MATCH($D4052,INDIRECT("'"&amp;$C4052&amp;"'!$E$12:$Y$12"),0)),0),0)</f>
        <v>0</v>
      </c>
      <c r="I4052" s="366" t="s">
        <v>1690</v>
      </c>
      <c r="J4052" s="348" t="str">
        <f t="shared" ca="1" si="126"/>
        <v>OK</v>
      </c>
      <c r="K4052" s="366" t="s">
        <v>1686</v>
      </c>
      <c r="L4052" s="366" t="s">
        <v>2236</v>
      </c>
      <c r="M4052" s="350" t="str">
        <f>IF($B4052="Portfolio","Portfolio",IFERROR(INDEX(DATA_ASSET_CLASSIFICATION!$B$8:$B$24,MATCH($C4052,DATA_ASSET_CLASSIFICATION!$A$8:$A$24,0)),"Review"))</f>
        <v>1656 Adanac Street</v>
      </c>
      <c r="N4052" s="350" t="str">
        <f>IF($B4052="Portfolio","Portfolio",IFERROR(INDEX(DATA_ASSET_CLASSIFICATION!$U$8:$U$24,MATCH($C4052,DATA_ASSET_CLASSIFICATION!$A$8:$A$24,0)),"Review"))</f>
        <v>New Build</v>
      </c>
      <c r="O4052" s="350" t="str">
        <f>IF($B4052="Portfolio","Portfolio",IFERROR(INDEX(DATA_ASSET_CLASSIFICATION!$AB$8:$AB$13,MATCH($N4052,DATA_ASSET_CLASSIFICATION!$AA$8:$AA$13,0)),"Review"))</f>
        <v>Bucket 1 · New Build</v>
      </c>
      <c r="P4052" s="350" t="str">
        <f>IF($B4052="Portfolio","Portfolio",IFERROR(INDEX(DATA_ASSET_CLASSIFICATION!$C$8:$C$24,MATCH($C4052,DATA_ASSET_CLASSIFICATION!$A$8:$A$24,0)),"Review"))</f>
        <v>Yes</v>
      </c>
      <c r="Q4052" s="350" t="str">
        <f t="shared" ca="1" si="127"/>
        <v>OK</v>
      </c>
    </row>
    <row r="4053" spans="1:17">
      <c r="A4053" s="366" t="s">
        <v>6009</v>
      </c>
      <c r="B4053" s="366" t="s">
        <v>231</v>
      </c>
      <c r="C4053" s="348" t="str">
        <f>DATA_PROPERTY_MASTER!$A$18</f>
        <v>BLD_AS</v>
      </c>
      <c r="D4053" s="380">
        <f>'00_PORTFOLIO ROLLUP'!E$12</f>
        <v>2025</v>
      </c>
      <c r="E4053" s="366" t="s">
        <v>1683</v>
      </c>
      <c r="F4053" s="366" t="s">
        <v>19</v>
      </c>
      <c r="G4053" s="348" t="str">
        <f>"'"&amp;$C4053&amp;"'!$E$41:$Y$41"</f>
        <v>'BLD_AS'!$E$41:$Y$41</v>
      </c>
      <c r="H4053" s="381">
        <f ca="1">IF(IFERROR(INDEX(DATA_PROPERTY_MASTER!$E$5:$E$21,MATCH($C4053,DATA_PROPERTY_MASTER!$A$5:$A$21,0))="Yes",FALSE),IFERROR(INDEX(INDIRECT("'"&amp;$C4053&amp;"'!$E$41:$Y$41"),1,MATCH($D4053,INDIRECT("'"&amp;$C4053&amp;"'!$E$12:$Y$12"),0)),0),0)</f>
        <v>0</v>
      </c>
      <c r="I4053" s="366" t="s">
        <v>1685</v>
      </c>
      <c r="J4053" s="348" t="str">
        <f t="shared" ca="1" si="126"/>
        <v>OK</v>
      </c>
      <c r="K4053" s="366" t="s">
        <v>1694</v>
      </c>
      <c r="L4053" s="366" t="s">
        <v>2238</v>
      </c>
      <c r="M4053" s="350" t="str">
        <f>IF($B4053="Portfolio","Portfolio",IFERROR(INDEX(DATA_ASSET_CLASSIFICATION!$B$8:$B$24,MATCH($C4053,DATA_ASSET_CLASSIFICATION!$A$8:$A$24,0)),"Review"))</f>
        <v>1656 Adanac Street</v>
      </c>
      <c r="N4053" s="350" t="str">
        <f>IF($B4053="Portfolio","Portfolio",IFERROR(INDEX(DATA_ASSET_CLASSIFICATION!$U$8:$U$24,MATCH($C4053,DATA_ASSET_CLASSIFICATION!$A$8:$A$24,0)),"Review"))</f>
        <v>New Build</v>
      </c>
      <c r="O4053" s="350" t="str">
        <f>IF($B4053="Portfolio","Portfolio",IFERROR(INDEX(DATA_ASSET_CLASSIFICATION!$AB$8:$AB$13,MATCH($N4053,DATA_ASSET_CLASSIFICATION!$AA$8:$AA$13,0)),"Review"))</f>
        <v>Bucket 1 · New Build</v>
      </c>
      <c r="P4053" s="350" t="str">
        <f>IF($B4053="Portfolio","Portfolio",IFERROR(INDEX(DATA_ASSET_CLASSIFICATION!$C$8:$C$24,MATCH($C4053,DATA_ASSET_CLASSIFICATION!$A$8:$A$24,0)),"Review"))</f>
        <v>Yes</v>
      </c>
      <c r="Q4053" s="350" t="str">
        <f t="shared" ca="1" si="127"/>
        <v>OK</v>
      </c>
    </row>
    <row r="4054" spans="1:17">
      <c r="A4054" s="366" t="s">
        <v>6010</v>
      </c>
      <c r="B4054" s="366" t="s">
        <v>231</v>
      </c>
      <c r="C4054" s="348" t="str">
        <f>DATA_PROPERTY_MASTER!$A$18</f>
        <v>BLD_AS</v>
      </c>
      <c r="D4054" s="380">
        <f>'00_PORTFOLIO ROLLUP'!E$12</f>
        <v>2025</v>
      </c>
      <c r="E4054" s="366" t="s">
        <v>1683</v>
      </c>
      <c r="F4054" s="366" t="s">
        <v>1697</v>
      </c>
      <c r="G4054" s="348" t="str">
        <f>"'"&amp;$C4054&amp;"'!$E$44:$Y$44"</f>
        <v>'BLD_AS'!$E$44:$Y$44</v>
      </c>
      <c r="H4054" s="381">
        <f ca="1">IF(IFERROR(INDEX(DATA_PROPERTY_MASTER!$E$5:$E$21,MATCH($C4054,DATA_PROPERTY_MASTER!$A$5:$A$21,0))="Yes",FALSE),IFERROR(INDEX(INDIRECT("'"&amp;$C4054&amp;"'!$E$44:$Y$44"),1,MATCH($D4054,INDIRECT("'"&amp;$C4054&amp;"'!$E$12:$Y$12"),0)),0),0)</f>
        <v>0</v>
      </c>
      <c r="I4054" s="366" t="s">
        <v>1690</v>
      </c>
      <c r="J4054" s="348" t="str">
        <f t="shared" ca="1" si="126"/>
        <v>OK</v>
      </c>
      <c r="K4054" s="366" t="s">
        <v>1699</v>
      </c>
      <c r="L4054" s="366" t="s">
        <v>2240</v>
      </c>
      <c r="M4054" s="350" t="str">
        <f>IF($B4054="Portfolio","Portfolio",IFERROR(INDEX(DATA_ASSET_CLASSIFICATION!$B$8:$B$24,MATCH($C4054,DATA_ASSET_CLASSIFICATION!$A$8:$A$24,0)),"Review"))</f>
        <v>1656 Adanac Street</v>
      </c>
      <c r="N4054" s="350" t="str">
        <f>IF($B4054="Portfolio","Portfolio",IFERROR(INDEX(DATA_ASSET_CLASSIFICATION!$U$8:$U$24,MATCH($C4054,DATA_ASSET_CLASSIFICATION!$A$8:$A$24,0)),"Review"))</f>
        <v>New Build</v>
      </c>
      <c r="O4054" s="350" t="str">
        <f>IF($B4054="Portfolio","Portfolio",IFERROR(INDEX(DATA_ASSET_CLASSIFICATION!$AB$8:$AB$13,MATCH($N4054,DATA_ASSET_CLASSIFICATION!$AA$8:$AA$13,0)),"Review"))</f>
        <v>Bucket 1 · New Build</v>
      </c>
      <c r="P4054" s="350" t="str">
        <f>IF($B4054="Portfolio","Portfolio",IFERROR(INDEX(DATA_ASSET_CLASSIFICATION!$C$8:$C$24,MATCH($C4054,DATA_ASSET_CLASSIFICATION!$A$8:$A$24,0)),"Review"))</f>
        <v>Yes</v>
      </c>
      <c r="Q4054" s="350" t="str">
        <f t="shared" ca="1" si="127"/>
        <v>OK</v>
      </c>
    </row>
    <row r="4055" spans="1:17">
      <c r="A4055" s="366" t="s">
        <v>6011</v>
      </c>
      <c r="B4055" s="366" t="s">
        <v>231</v>
      </c>
      <c r="C4055" s="348" t="str">
        <f>DATA_PROPERTY_MASTER!$A$18</f>
        <v>BLD_AS</v>
      </c>
      <c r="D4055" s="380">
        <f>'00_PORTFOLIO ROLLUP'!E$12</f>
        <v>2025</v>
      </c>
      <c r="E4055" s="366" t="s">
        <v>1683</v>
      </c>
      <c r="F4055" s="366" t="s">
        <v>21</v>
      </c>
      <c r="G4055" s="348" t="str">
        <f>"'"&amp;$C4055&amp;"'!$E$45:$Y$45"</f>
        <v>'BLD_AS'!$E$45:$Y$45</v>
      </c>
      <c r="H4055" s="381">
        <f ca="1">IF(IFERROR(INDEX(DATA_PROPERTY_MASTER!$E$5:$E$21,MATCH($C4055,DATA_PROPERTY_MASTER!$A$5:$A$21,0))="Yes",FALSE),IFERROR(INDEX(INDIRECT("'"&amp;$C4055&amp;"'!$E$45:$Y$45"),1,MATCH($D4055,INDIRECT("'"&amp;$C4055&amp;"'!$E$12:$Y$12"),0)),0),0)</f>
        <v>0</v>
      </c>
      <c r="I4055" s="366" t="s">
        <v>1685</v>
      </c>
      <c r="J4055" s="348" t="str">
        <f t="shared" ca="1" si="126"/>
        <v>OK</v>
      </c>
      <c r="K4055" s="366" t="s">
        <v>1694</v>
      </c>
      <c r="L4055" s="366" t="s">
        <v>2242</v>
      </c>
      <c r="M4055" s="350" t="str">
        <f>IF($B4055="Portfolio","Portfolio",IFERROR(INDEX(DATA_ASSET_CLASSIFICATION!$B$8:$B$24,MATCH($C4055,DATA_ASSET_CLASSIFICATION!$A$8:$A$24,0)),"Review"))</f>
        <v>1656 Adanac Street</v>
      </c>
      <c r="N4055" s="350" t="str">
        <f>IF($B4055="Portfolio","Portfolio",IFERROR(INDEX(DATA_ASSET_CLASSIFICATION!$U$8:$U$24,MATCH($C4055,DATA_ASSET_CLASSIFICATION!$A$8:$A$24,0)),"Review"))</f>
        <v>New Build</v>
      </c>
      <c r="O4055" s="350" t="str">
        <f>IF($B4055="Portfolio","Portfolio",IFERROR(INDEX(DATA_ASSET_CLASSIFICATION!$AB$8:$AB$13,MATCH($N4055,DATA_ASSET_CLASSIFICATION!$AA$8:$AA$13,0)),"Review"))</f>
        <v>Bucket 1 · New Build</v>
      </c>
      <c r="P4055" s="350" t="str">
        <f>IF($B4055="Portfolio","Portfolio",IFERROR(INDEX(DATA_ASSET_CLASSIFICATION!$C$8:$C$24,MATCH($C4055,DATA_ASSET_CLASSIFICATION!$A$8:$A$24,0)),"Review"))</f>
        <v>Yes</v>
      </c>
      <c r="Q4055" s="350" t="str">
        <f t="shared" ca="1" si="127"/>
        <v>OK</v>
      </c>
    </row>
    <row r="4056" spans="1:17">
      <c r="A4056" s="366" t="s">
        <v>6012</v>
      </c>
      <c r="B4056" s="366" t="s">
        <v>231</v>
      </c>
      <c r="C4056" s="348" t="str">
        <f>DATA_PROPERTY_MASTER!$A$18</f>
        <v>BLD_AS</v>
      </c>
      <c r="D4056" s="380">
        <f>'00_PORTFOLIO ROLLUP'!E$12</f>
        <v>2025</v>
      </c>
      <c r="E4056" s="366" t="s">
        <v>23</v>
      </c>
      <c r="F4056" s="366" t="s">
        <v>23</v>
      </c>
      <c r="G4056" s="348" t="str">
        <f>"'"&amp;$C4056&amp;"'!$E$48:$Y$48"</f>
        <v>'BLD_AS'!$E$48:$Y$48</v>
      </c>
      <c r="H4056" s="381">
        <f ca="1">IF(IFERROR(INDEX(DATA_PROPERTY_MASTER!$E$5:$E$21,MATCH($C4056,DATA_PROPERTY_MASTER!$A$5:$A$21,0))="Yes",FALSE),IFERROR(INDEX(INDIRECT("'"&amp;$C4056&amp;"'!$E$48:$Y$48"),1,MATCH($D4056,INDIRECT("'"&amp;$C4056&amp;"'!$E$12:$Y$12"),0)),0),0)</f>
        <v>2119329.1278112764</v>
      </c>
      <c r="I4056" s="366" t="s">
        <v>1690</v>
      </c>
      <c r="J4056" s="348" t="str">
        <f t="shared" ca="1" si="126"/>
        <v>OK</v>
      </c>
      <c r="K4056" s="366" t="s">
        <v>1706</v>
      </c>
      <c r="L4056" s="366" t="s">
        <v>2244</v>
      </c>
      <c r="M4056" s="350" t="str">
        <f>IF($B4056="Portfolio","Portfolio",IFERROR(INDEX(DATA_ASSET_CLASSIFICATION!$B$8:$B$24,MATCH($C4056,DATA_ASSET_CLASSIFICATION!$A$8:$A$24,0)),"Review"))</f>
        <v>1656 Adanac Street</v>
      </c>
      <c r="N4056" s="350" t="str">
        <f>IF($B4056="Portfolio","Portfolio",IFERROR(INDEX(DATA_ASSET_CLASSIFICATION!$U$8:$U$24,MATCH($C4056,DATA_ASSET_CLASSIFICATION!$A$8:$A$24,0)),"Review"))</f>
        <v>New Build</v>
      </c>
      <c r="O4056" s="350" t="str">
        <f>IF($B4056="Portfolio","Portfolio",IFERROR(INDEX(DATA_ASSET_CLASSIFICATION!$AB$8:$AB$13,MATCH($N4056,DATA_ASSET_CLASSIFICATION!$AA$8:$AA$13,0)),"Review"))</f>
        <v>Bucket 1 · New Build</v>
      </c>
      <c r="P4056" s="350" t="str">
        <f>IF($B4056="Portfolio","Portfolio",IFERROR(INDEX(DATA_ASSET_CLASSIFICATION!$C$8:$C$24,MATCH($C4056,DATA_ASSET_CLASSIFICATION!$A$8:$A$24,0)),"Review"))</f>
        <v>Yes</v>
      </c>
      <c r="Q4056" s="350" t="str">
        <f t="shared" ca="1" si="127"/>
        <v>OK</v>
      </c>
    </row>
    <row r="4057" spans="1:17">
      <c r="A4057" s="366" t="s">
        <v>6013</v>
      </c>
      <c r="B4057" s="366" t="s">
        <v>231</v>
      </c>
      <c r="C4057" s="348" t="str">
        <f>DATA_PROPERTY_MASTER!$A$18</f>
        <v>BLD_AS</v>
      </c>
      <c r="D4057" s="380">
        <f>'00_PORTFOLIO ROLLUP'!E$12</f>
        <v>2025</v>
      </c>
      <c r="E4057" s="366" t="s">
        <v>1683</v>
      </c>
      <c r="F4057" s="366" t="s">
        <v>25</v>
      </c>
      <c r="G4057" s="348" t="str">
        <f>"'"&amp;$C4057&amp;"'!$E$52:$Y$52"</f>
        <v>'BLD_AS'!$E$52:$Y$52</v>
      </c>
      <c r="H4057" s="381">
        <f ca="1">IF(IFERROR(INDEX(DATA_PROPERTY_MASTER!$E$5:$E$21,MATCH($C4057,DATA_PROPERTY_MASTER!$A$5:$A$21,0))="Yes",FALSE),IFERROR(INDEX(INDIRECT("'"&amp;$C4057&amp;"'!$E$52:$Y$52"),1,MATCH($D4057,INDIRECT("'"&amp;$C4057&amp;"'!$E$12:$Y$12"),0)),0),0)</f>
        <v>-2119329.1278112764</v>
      </c>
      <c r="I4057" s="366" t="s">
        <v>1685</v>
      </c>
      <c r="J4057" s="348" t="str">
        <f t="shared" ca="1" si="126"/>
        <v>OK</v>
      </c>
      <c r="K4057" s="366" t="s">
        <v>1710</v>
      </c>
      <c r="L4057" s="366" t="s">
        <v>2246</v>
      </c>
      <c r="M4057" s="350" t="str">
        <f>IF($B4057="Portfolio","Portfolio",IFERROR(INDEX(DATA_ASSET_CLASSIFICATION!$B$8:$B$24,MATCH($C4057,DATA_ASSET_CLASSIFICATION!$A$8:$A$24,0)),"Review"))</f>
        <v>1656 Adanac Street</v>
      </c>
      <c r="N4057" s="350" t="str">
        <f>IF($B4057="Portfolio","Portfolio",IFERROR(INDEX(DATA_ASSET_CLASSIFICATION!$U$8:$U$24,MATCH($C4057,DATA_ASSET_CLASSIFICATION!$A$8:$A$24,0)),"Review"))</f>
        <v>New Build</v>
      </c>
      <c r="O4057" s="350" t="str">
        <f>IF($B4057="Portfolio","Portfolio",IFERROR(INDEX(DATA_ASSET_CLASSIFICATION!$AB$8:$AB$13,MATCH($N4057,DATA_ASSET_CLASSIFICATION!$AA$8:$AA$13,0)),"Review"))</f>
        <v>Bucket 1 · New Build</v>
      </c>
      <c r="P4057" s="350" t="str">
        <f>IF($B4057="Portfolio","Portfolio",IFERROR(INDEX(DATA_ASSET_CLASSIFICATION!$C$8:$C$24,MATCH($C4057,DATA_ASSET_CLASSIFICATION!$A$8:$A$24,0)),"Review"))</f>
        <v>Yes</v>
      </c>
      <c r="Q4057" s="350" t="str">
        <f t="shared" ca="1" si="127"/>
        <v>OK</v>
      </c>
    </row>
    <row r="4058" spans="1:17">
      <c r="A4058" s="366" t="s">
        <v>6014</v>
      </c>
      <c r="B4058" s="366" t="s">
        <v>231</v>
      </c>
      <c r="C4058" s="348" t="str">
        <f>DATA_PROPERTY_MASTER!$A$18</f>
        <v>BLD_AS</v>
      </c>
      <c r="D4058" s="380">
        <f>'00_PORTFOLIO ROLLUP'!E$12</f>
        <v>2025</v>
      </c>
      <c r="E4058" s="366" t="s">
        <v>1683</v>
      </c>
      <c r="F4058" s="366" t="s">
        <v>27</v>
      </c>
      <c r="G4058" s="348" t="str">
        <f>"'"&amp;$C4058&amp;"'!$E$54:$Y$54"</f>
        <v>'BLD_AS'!$E$54:$Y$54</v>
      </c>
      <c r="H4058" s="381">
        <f ca="1">IF(IFERROR(INDEX(DATA_PROPERTY_MASTER!$E$5:$E$21,MATCH($C4058,DATA_PROPERTY_MASTER!$A$5:$A$21,0))="Yes",FALSE),IFERROR(INDEX(INDIRECT("'"&amp;$C4058&amp;"'!$E$54:$Y$54"),1,MATCH($D4058,INDIRECT("'"&amp;$C4058&amp;"'!$E$12:$Y$12"),0)),0),0)</f>
        <v>0</v>
      </c>
      <c r="I4058" s="366" t="s">
        <v>1690</v>
      </c>
      <c r="J4058" s="348" t="str">
        <f t="shared" ca="1" si="126"/>
        <v>OK</v>
      </c>
      <c r="K4058" s="366" t="s">
        <v>1714</v>
      </c>
      <c r="L4058" s="366" t="s">
        <v>2248</v>
      </c>
      <c r="M4058" s="350" t="str">
        <f>IF($B4058="Portfolio","Portfolio",IFERROR(INDEX(DATA_ASSET_CLASSIFICATION!$B$8:$B$24,MATCH($C4058,DATA_ASSET_CLASSIFICATION!$A$8:$A$24,0)),"Review"))</f>
        <v>1656 Adanac Street</v>
      </c>
      <c r="N4058" s="350" t="str">
        <f>IF($B4058="Portfolio","Portfolio",IFERROR(INDEX(DATA_ASSET_CLASSIFICATION!$U$8:$U$24,MATCH($C4058,DATA_ASSET_CLASSIFICATION!$A$8:$A$24,0)),"Review"))</f>
        <v>New Build</v>
      </c>
      <c r="O4058" s="350" t="str">
        <f>IF($B4058="Portfolio","Portfolio",IFERROR(INDEX(DATA_ASSET_CLASSIFICATION!$AB$8:$AB$13,MATCH($N4058,DATA_ASSET_CLASSIFICATION!$AA$8:$AA$13,0)),"Review"))</f>
        <v>Bucket 1 · New Build</v>
      </c>
      <c r="P4058" s="350" t="str">
        <f>IF($B4058="Portfolio","Portfolio",IFERROR(INDEX(DATA_ASSET_CLASSIFICATION!$C$8:$C$24,MATCH($C4058,DATA_ASSET_CLASSIFICATION!$A$8:$A$24,0)),"Review"))</f>
        <v>Yes</v>
      </c>
      <c r="Q4058" s="350" t="str">
        <f t="shared" ca="1" si="127"/>
        <v>OK</v>
      </c>
    </row>
    <row r="4059" spans="1:17">
      <c r="A4059" s="366" t="s">
        <v>6015</v>
      </c>
      <c r="B4059" s="366" t="s">
        <v>231</v>
      </c>
      <c r="C4059" s="348" t="str">
        <f>DATA_PROPERTY_MASTER!$A$18</f>
        <v>BLD_AS</v>
      </c>
      <c r="D4059" s="380">
        <f>'00_PORTFOLIO ROLLUP'!E$12</f>
        <v>2025</v>
      </c>
      <c r="E4059" s="366" t="s">
        <v>1683</v>
      </c>
      <c r="F4059" s="366" t="s">
        <v>29</v>
      </c>
      <c r="G4059" s="348" t="str">
        <f>"'"&amp;$C4059&amp;"'!$E$56:$Y$56"</f>
        <v>'BLD_AS'!$E$56:$Y$56</v>
      </c>
      <c r="H4059" s="381">
        <f ca="1">IF(IFERROR(INDEX(DATA_PROPERTY_MASTER!$E$5:$E$21,MATCH($C4059,DATA_PROPERTY_MASTER!$A$5:$A$21,0))="Yes",FALSE),IFERROR(INDEX(INDIRECT("'"&amp;$C4059&amp;"'!$E$56:$Y$56"),1,MATCH($D4059,INDIRECT("'"&amp;$C4059&amp;"'!$E$12:$Y$12"),0)),0),0)</f>
        <v>-2119329.1278112764</v>
      </c>
      <c r="I4059" s="366" t="s">
        <v>1685</v>
      </c>
      <c r="J4059" s="348" t="str">
        <f t="shared" ca="1" si="126"/>
        <v>OK</v>
      </c>
      <c r="K4059" s="366" t="s">
        <v>1718</v>
      </c>
      <c r="L4059" s="366" t="s">
        <v>2250</v>
      </c>
      <c r="M4059" s="350" t="str">
        <f>IF($B4059="Portfolio","Portfolio",IFERROR(INDEX(DATA_ASSET_CLASSIFICATION!$B$8:$B$24,MATCH($C4059,DATA_ASSET_CLASSIFICATION!$A$8:$A$24,0)),"Review"))</f>
        <v>1656 Adanac Street</v>
      </c>
      <c r="N4059" s="350" t="str">
        <f>IF($B4059="Portfolio","Portfolio",IFERROR(INDEX(DATA_ASSET_CLASSIFICATION!$U$8:$U$24,MATCH($C4059,DATA_ASSET_CLASSIFICATION!$A$8:$A$24,0)),"Review"))</f>
        <v>New Build</v>
      </c>
      <c r="O4059" s="350" t="str">
        <f>IF($B4059="Portfolio","Portfolio",IFERROR(INDEX(DATA_ASSET_CLASSIFICATION!$AB$8:$AB$13,MATCH($N4059,DATA_ASSET_CLASSIFICATION!$AA$8:$AA$13,0)),"Review"))</f>
        <v>Bucket 1 · New Build</v>
      </c>
      <c r="P4059" s="350" t="str">
        <f>IF($B4059="Portfolio","Portfolio",IFERROR(INDEX(DATA_ASSET_CLASSIFICATION!$C$8:$C$24,MATCH($C4059,DATA_ASSET_CLASSIFICATION!$A$8:$A$24,0)),"Review"))</f>
        <v>Yes</v>
      </c>
      <c r="Q4059" s="350" t="str">
        <f t="shared" ca="1" si="127"/>
        <v>OK</v>
      </c>
    </row>
    <row r="4060" spans="1:17">
      <c r="A4060" s="366" t="s">
        <v>6016</v>
      </c>
      <c r="B4060" s="366" t="s">
        <v>231</v>
      </c>
      <c r="C4060" s="348" t="str">
        <f>DATA_PROPERTY_MASTER!$A$18</f>
        <v>BLD_AS</v>
      </c>
      <c r="D4060" s="380">
        <f>'00_PORTFOLIO ROLLUP'!E$12</f>
        <v>2025</v>
      </c>
      <c r="E4060" s="366" t="s">
        <v>1721</v>
      </c>
      <c r="F4060" s="366" t="s">
        <v>31</v>
      </c>
      <c r="G4060" s="348" t="str">
        <f>"'"&amp;$C4060&amp;"'!$E$61:$Y$61"</f>
        <v>'BLD_AS'!$E$61:$Y$61</v>
      </c>
      <c r="H4060" s="381">
        <f ca="1">IF(IFERROR(INDEX(DATA_PROPERTY_MASTER!$E$5:$E$21,MATCH($C4060,DATA_PROPERTY_MASTER!$A$5:$A$21,0))="Yes",FALSE),IFERROR(INDEX(INDIRECT("'"&amp;$C4060&amp;"'!$E$61:$Y$61"),1,MATCH($D4060,INDIRECT("'"&amp;$C4060&amp;"'!$E$12:$Y$12"),0)),0),0)</f>
        <v>0</v>
      </c>
      <c r="I4060" s="366" t="s">
        <v>1690</v>
      </c>
      <c r="J4060" s="348" t="str">
        <f t="shared" ca="1" si="126"/>
        <v>OK</v>
      </c>
      <c r="K4060" s="366" t="s">
        <v>1723</v>
      </c>
      <c r="L4060" s="366" t="s">
        <v>2252</v>
      </c>
      <c r="M4060" s="350" t="str">
        <f>IF($B4060="Portfolio","Portfolio",IFERROR(INDEX(DATA_ASSET_CLASSIFICATION!$B$8:$B$24,MATCH($C4060,DATA_ASSET_CLASSIFICATION!$A$8:$A$24,0)),"Review"))</f>
        <v>1656 Adanac Street</v>
      </c>
      <c r="N4060" s="350" t="str">
        <f>IF($B4060="Portfolio","Portfolio",IFERROR(INDEX(DATA_ASSET_CLASSIFICATION!$U$8:$U$24,MATCH($C4060,DATA_ASSET_CLASSIFICATION!$A$8:$A$24,0)),"Review"))</f>
        <v>New Build</v>
      </c>
      <c r="O4060" s="350" t="str">
        <f>IF($B4060="Portfolio","Portfolio",IFERROR(INDEX(DATA_ASSET_CLASSIFICATION!$AB$8:$AB$13,MATCH($N4060,DATA_ASSET_CLASSIFICATION!$AA$8:$AA$13,0)),"Review"))</f>
        <v>Bucket 1 · New Build</v>
      </c>
      <c r="P4060" s="350" t="str">
        <f>IF($B4060="Portfolio","Portfolio",IFERROR(INDEX(DATA_ASSET_CLASSIFICATION!$C$8:$C$24,MATCH($C4060,DATA_ASSET_CLASSIFICATION!$A$8:$A$24,0)),"Review"))</f>
        <v>Yes</v>
      </c>
      <c r="Q4060" s="350" t="str">
        <f t="shared" ca="1" si="127"/>
        <v>OK</v>
      </c>
    </row>
    <row r="4061" spans="1:17">
      <c r="A4061" s="366" t="s">
        <v>6017</v>
      </c>
      <c r="B4061" s="366" t="s">
        <v>231</v>
      </c>
      <c r="C4061" s="348" t="str">
        <f>DATA_PROPERTY_MASTER!$A$18</f>
        <v>BLD_AS</v>
      </c>
      <c r="D4061" s="380">
        <f>'00_PORTFOLIO ROLLUP'!E$12</f>
        <v>2025</v>
      </c>
      <c r="E4061" s="366" t="s">
        <v>1721</v>
      </c>
      <c r="F4061" s="366" t="s">
        <v>33</v>
      </c>
      <c r="G4061" s="348" t="str">
        <f>"'"&amp;$C4061&amp;"'!$E$62:$Y$62"</f>
        <v>'BLD_AS'!$E$62:$Y$62</v>
      </c>
      <c r="H4061" s="381">
        <f ca="1">IF(IFERROR(INDEX(DATA_PROPERTY_MASTER!$E$5:$E$21,MATCH($C4061,DATA_PROPERTY_MASTER!$A$5:$A$21,0))="Yes",FALSE),IFERROR(INDEX(INDIRECT("'"&amp;$C4061&amp;"'!$E$62:$Y$62"),1,MATCH($D4061,INDIRECT("'"&amp;$C4061&amp;"'!$E$12:$Y$12"),0)),0),0)</f>
        <v>0</v>
      </c>
      <c r="I4061" s="366" t="s">
        <v>1685</v>
      </c>
      <c r="J4061" s="348" t="str">
        <f t="shared" ca="1" si="126"/>
        <v>OK</v>
      </c>
      <c r="K4061" s="366" t="s">
        <v>1727</v>
      </c>
      <c r="L4061" s="366" t="s">
        <v>2254</v>
      </c>
      <c r="M4061" s="350" t="str">
        <f>IF($B4061="Portfolio","Portfolio",IFERROR(INDEX(DATA_ASSET_CLASSIFICATION!$B$8:$B$24,MATCH($C4061,DATA_ASSET_CLASSIFICATION!$A$8:$A$24,0)),"Review"))</f>
        <v>1656 Adanac Street</v>
      </c>
      <c r="N4061" s="350" t="str">
        <f>IF($B4061="Portfolio","Portfolio",IFERROR(INDEX(DATA_ASSET_CLASSIFICATION!$U$8:$U$24,MATCH($C4061,DATA_ASSET_CLASSIFICATION!$A$8:$A$24,0)),"Review"))</f>
        <v>New Build</v>
      </c>
      <c r="O4061" s="350" t="str">
        <f>IF($B4061="Portfolio","Portfolio",IFERROR(INDEX(DATA_ASSET_CLASSIFICATION!$AB$8:$AB$13,MATCH($N4061,DATA_ASSET_CLASSIFICATION!$AA$8:$AA$13,0)),"Review"))</f>
        <v>Bucket 1 · New Build</v>
      </c>
      <c r="P4061" s="350" t="str">
        <f>IF($B4061="Portfolio","Portfolio",IFERROR(INDEX(DATA_ASSET_CLASSIFICATION!$C$8:$C$24,MATCH($C4061,DATA_ASSET_CLASSIFICATION!$A$8:$A$24,0)),"Review"))</f>
        <v>Yes</v>
      </c>
      <c r="Q4061" s="350" t="str">
        <f t="shared" ca="1" si="127"/>
        <v>OK</v>
      </c>
    </row>
    <row r="4062" spans="1:17">
      <c r="A4062" s="366" t="s">
        <v>6018</v>
      </c>
      <c r="B4062" s="366" t="s">
        <v>231</v>
      </c>
      <c r="C4062" s="348" t="str">
        <f>DATA_PROPERTY_MASTER!$A$18</f>
        <v>BLD_AS</v>
      </c>
      <c r="D4062" s="380">
        <f>'00_PORTFOLIO ROLLUP'!E$12</f>
        <v>2025</v>
      </c>
      <c r="E4062" s="366" t="s">
        <v>1721</v>
      </c>
      <c r="F4062" s="366" t="s">
        <v>35</v>
      </c>
      <c r="G4062" s="348" t="str">
        <f>"'"&amp;$C4062&amp;"'!$E$63:$Y$63"</f>
        <v>'BLD_AS'!$E$63:$Y$63</v>
      </c>
      <c r="H4062" s="381">
        <f ca="1">IF(IFERROR(INDEX(DATA_PROPERTY_MASTER!$E$5:$E$21,MATCH($C4062,DATA_PROPERTY_MASTER!$A$5:$A$21,0))="Yes",FALSE),IFERROR(INDEX(INDIRECT("'"&amp;$C4062&amp;"'!$E$63:$Y$63"),1,MATCH($D4062,INDIRECT("'"&amp;$C4062&amp;"'!$E$12:$Y$12"),0)),0),0)</f>
        <v>0</v>
      </c>
      <c r="I4062" s="366" t="s">
        <v>1731</v>
      </c>
      <c r="J4062" s="348" t="str">
        <f t="shared" ca="1" si="126"/>
        <v>OK</v>
      </c>
      <c r="K4062" s="366" t="s">
        <v>1732</v>
      </c>
      <c r="L4062" s="366" t="s">
        <v>2256</v>
      </c>
      <c r="M4062" s="350" t="str">
        <f>IF($B4062="Portfolio","Portfolio",IFERROR(INDEX(DATA_ASSET_CLASSIFICATION!$B$8:$B$24,MATCH($C4062,DATA_ASSET_CLASSIFICATION!$A$8:$A$24,0)),"Review"))</f>
        <v>1656 Adanac Street</v>
      </c>
      <c r="N4062" s="350" t="str">
        <f>IF($B4062="Portfolio","Portfolio",IFERROR(INDEX(DATA_ASSET_CLASSIFICATION!$U$8:$U$24,MATCH($C4062,DATA_ASSET_CLASSIFICATION!$A$8:$A$24,0)),"Review"))</f>
        <v>New Build</v>
      </c>
      <c r="O4062" s="350" t="str">
        <f>IF($B4062="Portfolio","Portfolio",IFERROR(INDEX(DATA_ASSET_CLASSIFICATION!$AB$8:$AB$13,MATCH($N4062,DATA_ASSET_CLASSIFICATION!$AA$8:$AA$13,0)),"Review"))</f>
        <v>Bucket 1 · New Build</v>
      </c>
      <c r="P4062" s="350" t="str">
        <f>IF($B4062="Portfolio","Portfolio",IFERROR(INDEX(DATA_ASSET_CLASSIFICATION!$C$8:$C$24,MATCH($C4062,DATA_ASSET_CLASSIFICATION!$A$8:$A$24,0)),"Review"))</f>
        <v>Yes</v>
      </c>
      <c r="Q4062" s="350" t="str">
        <f t="shared" ca="1" si="127"/>
        <v>OK</v>
      </c>
    </row>
    <row r="4063" spans="1:17">
      <c r="A4063" s="366" t="s">
        <v>6019</v>
      </c>
      <c r="B4063" s="366" t="s">
        <v>231</v>
      </c>
      <c r="C4063" s="348" t="str">
        <f>DATA_PROPERTY_MASTER!$A$18</f>
        <v>BLD_AS</v>
      </c>
      <c r="D4063" s="380">
        <f>'00_PORTFOLIO ROLLUP'!E$12</f>
        <v>2025</v>
      </c>
      <c r="E4063" s="366" t="s">
        <v>1721</v>
      </c>
      <c r="F4063" s="366" t="s">
        <v>37</v>
      </c>
      <c r="G4063" s="348" t="str">
        <f>"'"&amp;$C4063&amp;"'!$E$63:$Y$63"</f>
        <v>'BLD_AS'!$E$63:$Y$63</v>
      </c>
      <c r="H4063" s="381">
        <f ca="1">IF(IFERROR(INDEX(DATA_PROPERTY_MASTER!$E$5:$E$21,MATCH($C4063,DATA_PROPERTY_MASTER!$A$5:$A$21,0))="Yes",FALSE),MAX(IFERROR(INDEX(INDIRECT("'"&amp;$C4063&amp;"'!$E$63:$Y$63"),1,MATCH($D4063,INDIRECT("'"&amp;$C4063&amp;"'!$E$12:$Y$12"),0)),0),0),0)</f>
        <v>0</v>
      </c>
      <c r="I4063" s="366" t="s">
        <v>1685</v>
      </c>
      <c r="J4063" s="348" t="str">
        <f t="shared" ca="1" si="126"/>
        <v>OK</v>
      </c>
      <c r="K4063" s="366" t="s">
        <v>1735</v>
      </c>
      <c r="L4063" s="366" t="s">
        <v>2258</v>
      </c>
      <c r="M4063" s="350" t="str">
        <f>IF($B4063="Portfolio","Portfolio",IFERROR(INDEX(DATA_ASSET_CLASSIFICATION!$B$8:$B$24,MATCH($C4063,DATA_ASSET_CLASSIFICATION!$A$8:$A$24,0)),"Review"))</f>
        <v>1656 Adanac Street</v>
      </c>
      <c r="N4063" s="350" t="str">
        <f>IF($B4063="Portfolio","Portfolio",IFERROR(INDEX(DATA_ASSET_CLASSIFICATION!$U$8:$U$24,MATCH($C4063,DATA_ASSET_CLASSIFICATION!$A$8:$A$24,0)),"Review"))</f>
        <v>New Build</v>
      </c>
      <c r="O4063" s="350" t="str">
        <f>IF($B4063="Portfolio","Portfolio",IFERROR(INDEX(DATA_ASSET_CLASSIFICATION!$AB$8:$AB$13,MATCH($N4063,DATA_ASSET_CLASSIFICATION!$AA$8:$AA$13,0)),"Review"))</f>
        <v>Bucket 1 · New Build</v>
      </c>
      <c r="P4063" s="350" t="str">
        <f>IF($B4063="Portfolio","Portfolio",IFERROR(INDEX(DATA_ASSET_CLASSIFICATION!$C$8:$C$24,MATCH($C4063,DATA_ASSET_CLASSIFICATION!$A$8:$A$24,0)),"Review"))</f>
        <v>Yes</v>
      </c>
      <c r="Q4063" s="350" t="str">
        <f t="shared" ca="1" si="127"/>
        <v>OK</v>
      </c>
    </row>
    <row r="4064" spans="1:17">
      <c r="A4064" s="366" t="s">
        <v>6020</v>
      </c>
      <c r="B4064" s="366" t="s">
        <v>231</v>
      </c>
      <c r="C4064" s="348" t="str">
        <f>DATA_PROPERTY_MASTER!$A$18</f>
        <v>BLD_AS</v>
      </c>
      <c r="D4064" s="380">
        <f>'00_PORTFOLIO ROLLUP'!E$12</f>
        <v>2025</v>
      </c>
      <c r="E4064" s="366" t="s">
        <v>1721</v>
      </c>
      <c r="F4064" s="366" t="s">
        <v>39</v>
      </c>
      <c r="G4064" s="348" t="str">
        <f>"'"&amp;$C4064&amp;"'!$E$63:$Y$63"</f>
        <v>'BLD_AS'!$E$63:$Y$63</v>
      </c>
      <c r="H4064" s="381">
        <f ca="1">IF(IFERROR(INDEX(DATA_PROPERTY_MASTER!$E$5:$E$21,MATCH($C4064,DATA_PROPERTY_MASTER!$A$5:$A$21,0))="Yes",FALSE),MAX(-IFERROR(INDEX(INDIRECT("'"&amp;$C4064&amp;"'!$E$63:$Y$63"),1,MATCH($D4064,INDIRECT("'"&amp;$C4064&amp;"'!$E$12:$Y$12"),0)),0),0),0)</f>
        <v>0</v>
      </c>
      <c r="I4064" s="366" t="s">
        <v>1690</v>
      </c>
      <c r="J4064" s="348" t="str">
        <f t="shared" ca="1" si="126"/>
        <v>OK</v>
      </c>
      <c r="K4064" s="366" t="s">
        <v>1738</v>
      </c>
      <c r="L4064" s="366" t="s">
        <v>2260</v>
      </c>
      <c r="M4064" s="350" t="str">
        <f>IF($B4064="Portfolio","Portfolio",IFERROR(INDEX(DATA_ASSET_CLASSIFICATION!$B$8:$B$24,MATCH($C4064,DATA_ASSET_CLASSIFICATION!$A$8:$A$24,0)),"Review"))</f>
        <v>1656 Adanac Street</v>
      </c>
      <c r="N4064" s="350" t="str">
        <f>IF($B4064="Portfolio","Portfolio",IFERROR(INDEX(DATA_ASSET_CLASSIFICATION!$U$8:$U$24,MATCH($C4064,DATA_ASSET_CLASSIFICATION!$A$8:$A$24,0)),"Review"))</f>
        <v>New Build</v>
      </c>
      <c r="O4064" s="350" t="str">
        <f>IF($B4064="Portfolio","Portfolio",IFERROR(INDEX(DATA_ASSET_CLASSIFICATION!$AB$8:$AB$13,MATCH($N4064,DATA_ASSET_CLASSIFICATION!$AA$8:$AA$13,0)),"Review"))</f>
        <v>Bucket 1 · New Build</v>
      </c>
      <c r="P4064" s="350" t="str">
        <f>IF($B4064="Portfolio","Portfolio",IFERROR(INDEX(DATA_ASSET_CLASSIFICATION!$C$8:$C$24,MATCH($C4064,DATA_ASSET_CLASSIFICATION!$A$8:$A$24,0)),"Review"))</f>
        <v>Yes</v>
      </c>
      <c r="Q4064" s="350" t="str">
        <f t="shared" ca="1" si="127"/>
        <v>OK</v>
      </c>
    </row>
    <row r="4065" spans="1:17">
      <c r="A4065" s="366" t="s">
        <v>6021</v>
      </c>
      <c r="B4065" s="366" t="s">
        <v>231</v>
      </c>
      <c r="C4065" s="348" t="str">
        <f>DATA_PROPERTY_MASTER!$A$18</f>
        <v>BLD_AS</v>
      </c>
      <c r="D4065" s="380">
        <f>'00_PORTFOLIO ROLLUP'!E$12</f>
        <v>2025</v>
      </c>
      <c r="E4065" s="366" t="s">
        <v>1741</v>
      </c>
      <c r="F4065" s="366" t="s">
        <v>41</v>
      </c>
      <c r="G4065" s="348" t="str">
        <f>"'"&amp;$C4065&amp;"'!rows 56 + positive row 63"</f>
        <v>'BLD_AS'!rows 56 + positive row 63</v>
      </c>
      <c r="H4065" s="381">
        <f ca="1">IF(IFERROR(INDEX(DATA_PROPERTY_MASTER!$E$5:$E$21,MATCH($C4065,DATA_PROPERTY_MASTER!$A$5:$A$21,0))="Yes",FALSE),IFERROR(INDEX(INDIRECT("'"&amp;$C4065&amp;"'!$E$56:$Y$56"),1,MATCH($D4065,INDIRECT("'"&amp;$C4065&amp;"'!$E$12:$Y$12"),0)),0)+MAX(IFERROR(INDEX(INDIRECT("'"&amp;$C4065&amp;"'!$E$63:$Y$63"),1,MATCH($D4065,INDIRECT("'"&amp;$C4065&amp;"'!$E$12:$Y$12"),0)),0),0),0)</f>
        <v>-2119329.1278112764</v>
      </c>
      <c r="I4065" s="366" t="s">
        <v>1685</v>
      </c>
      <c r="J4065" s="348" t="str">
        <f t="shared" ca="1" si="126"/>
        <v>OK</v>
      </c>
      <c r="K4065" s="366" t="s">
        <v>1742</v>
      </c>
      <c r="L4065" s="366" t="s">
        <v>2262</v>
      </c>
      <c r="M4065" s="350" t="str">
        <f>IF($B4065="Portfolio","Portfolio",IFERROR(INDEX(DATA_ASSET_CLASSIFICATION!$B$8:$B$24,MATCH($C4065,DATA_ASSET_CLASSIFICATION!$A$8:$A$24,0)),"Review"))</f>
        <v>1656 Adanac Street</v>
      </c>
      <c r="N4065" s="350" t="str">
        <f>IF($B4065="Portfolio","Portfolio",IFERROR(INDEX(DATA_ASSET_CLASSIFICATION!$U$8:$U$24,MATCH($C4065,DATA_ASSET_CLASSIFICATION!$A$8:$A$24,0)),"Review"))</f>
        <v>New Build</v>
      </c>
      <c r="O4065" s="350" t="str">
        <f>IF($B4065="Portfolio","Portfolio",IFERROR(INDEX(DATA_ASSET_CLASSIFICATION!$AB$8:$AB$13,MATCH($N4065,DATA_ASSET_CLASSIFICATION!$AA$8:$AA$13,0)),"Review"))</f>
        <v>Bucket 1 · New Build</v>
      </c>
      <c r="P4065" s="350" t="str">
        <f>IF($B4065="Portfolio","Portfolio",IFERROR(INDEX(DATA_ASSET_CLASSIFICATION!$C$8:$C$24,MATCH($C4065,DATA_ASSET_CLASSIFICATION!$A$8:$A$24,0)),"Review"))</f>
        <v>Yes</v>
      </c>
      <c r="Q4065" s="350" t="str">
        <f t="shared" ca="1" si="127"/>
        <v>OK</v>
      </c>
    </row>
    <row r="4066" spans="1:17">
      <c r="A4066" s="366" t="s">
        <v>6022</v>
      </c>
      <c r="B4066" s="366" t="s">
        <v>231</v>
      </c>
      <c r="C4066" s="348" t="str">
        <f>DATA_PROPERTY_MASTER!$A$18</f>
        <v>BLD_AS</v>
      </c>
      <c r="D4066" s="380">
        <f>'00_PORTFOLIO ROLLUP'!E$12</f>
        <v>2025</v>
      </c>
      <c r="E4066" s="366" t="s">
        <v>1741</v>
      </c>
      <c r="F4066" s="366" t="s">
        <v>43</v>
      </c>
      <c r="G4066" s="348" t="str">
        <f>"'"&amp;$C4066&amp;"'!$E$68:$Y$68"</f>
        <v>'BLD_AS'!$E$68:$Y$68</v>
      </c>
      <c r="H4066" s="381">
        <f ca="1">IF(IFERROR(INDEX(DATA_PROPERTY_MASTER!$E$5:$E$21,MATCH($C4066,DATA_PROPERTY_MASTER!$A$5:$A$21,0))="Yes",FALSE),IFERROR(INDEX(INDIRECT("'"&amp;$C4066&amp;"'!$E$68:$Y$68"),1,MATCH($D4066,INDIRECT("'"&amp;$C4066&amp;"'!$E$12:$Y$12"),0)),0),0)</f>
        <v>-2119329.1278112764</v>
      </c>
      <c r="I4066" s="366" t="s">
        <v>1731</v>
      </c>
      <c r="J4066" s="348" t="str">
        <f t="shared" ca="1" si="126"/>
        <v>OK</v>
      </c>
      <c r="K4066" s="366" t="s">
        <v>1746</v>
      </c>
      <c r="L4066" s="366" t="s">
        <v>2264</v>
      </c>
      <c r="M4066" s="350" t="str">
        <f>IF($B4066="Portfolio","Portfolio",IFERROR(INDEX(DATA_ASSET_CLASSIFICATION!$B$8:$B$24,MATCH($C4066,DATA_ASSET_CLASSIFICATION!$A$8:$A$24,0)),"Review"))</f>
        <v>1656 Adanac Street</v>
      </c>
      <c r="N4066" s="350" t="str">
        <f>IF($B4066="Portfolio","Portfolio",IFERROR(INDEX(DATA_ASSET_CLASSIFICATION!$U$8:$U$24,MATCH($C4066,DATA_ASSET_CLASSIFICATION!$A$8:$A$24,0)),"Review"))</f>
        <v>New Build</v>
      </c>
      <c r="O4066" s="350" t="str">
        <f>IF($B4066="Portfolio","Portfolio",IFERROR(INDEX(DATA_ASSET_CLASSIFICATION!$AB$8:$AB$13,MATCH($N4066,DATA_ASSET_CLASSIFICATION!$AA$8:$AA$13,0)),"Review"))</f>
        <v>Bucket 1 · New Build</v>
      </c>
      <c r="P4066" s="350" t="str">
        <f>IF($B4066="Portfolio","Portfolio",IFERROR(INDEX(DATA_ASSET_CLASSIFICATION!$C$8:$C$24,MATCH($C4066,DATA_ASSET_CLASSIFICATION!$A$8:$A$24,0)),"Review"))</f>
        <v>Yes</v>
      </c>
      <c r="Q4066" s="350" t="str">
        <f t="shared" ca="1" si="127"/>
        <v>OK</v>
      </c>
    </row>
    <row r="4067" spans="1:17">
      <c r="A4067" s="366" t="s">
        <v>6023</v>
      </c>
      <c r="B4067" s="366" t="s">
        <v>231</v>
      </c>
      <c r="C4067" s="348" t="str">
        <f>DATA_PROPERTY_MASTER!$A$18</f>
        <v>BLD_AS</v>
      </c>
      <c r="D4067" s="380">
        <f>'00_PORTFOLIO ROLLUP'!E$12</f>
        <v>2025</v>
      </c>
      <c r="E4067" s="366" t="s">
        <v>1741</v>
      </c>
      <c r="F4067" s="366" t="s">
        <v>1749</v>
      </c>
      <c r="G4067" s="348" t="str">
        <f>"'"&amp;$C4067&amp;"'!rows 56, 63, 68"</f>
        <v>'BLD_AS'!rows 56, 63, 68</v>
      </c>
      <c r="H4067" s="381">
        <f ca="1">IF(IFERROR(INDEX(DATA_PROPERTY_MASTER!$E$5:$E$21,MATCH($C4067,DATA_PROPERTY_MASTER!$A$5:$A$21,0))="Yes",FALSE),(IFERROR(INDEX(INDIRECT("'"&amp;$C4067&amp;"'!$E$56:$Y$56"),1,MATCH($D4067,INDIRECT("'"&amp;$C4067&amp;"'!$E$12:$Y$12"),0)),0)+MAX(IFERROR(INDEX(INDIRECT("'"&amp;$C4067&amp;"'!$E$63:$Y$63"),1,MATCH($D4067,INDIRECT("'"&amp;$C4067&amp;"'!$E$12:$Y$12"),0)),0),0))-(IFERROR(INDEX(INDIRECT("'"&amp;$C4067&amp;"'!$E$68:$Y$68"),1,MATCH($D4067,INDIRECT("'"&amp;$C4067&amp;"'!$E$12:$Y$12"),0)),0)),0)</f>
        <v>0</v>
      </c>
      <c r="I4067" s="366" t="s">
        <v>1750</v>
      </c>
      <c r="J4067" s="348" t="str">
        <f t="shared" ca="1" si="126"/>
        <v>OK</v>
      </c>
      <c r="K4067" s="366" t="s">
        <v>1751</v>
      </c>
      <c r="L4067" s="366" t="s">
        <v>2266</v>
      </c>
      <c r="M4067" s="350" t="str">
        <f>IF($B4067="Portfolio","Portfolio",IFERROR(INDEX(DATA_ASSET_CLASSIFICATION!$B$8:$B$24,MATCH($C4067,DATA_ASSET_CLASSIFICATION!$A$8:$A$24,0)),"Review"))</f>
        <v>1656 Adanac Street</v>
      </c>
      <c r="N4067" s="350" t="str">
        <f>IF($B4067="Portfolio","Portfolio",IFERROR(INDEX(DATA_ASSET_CLASSIFICATION!$U$8:$U$24,MATCH($C4067,DATA_ASSET_CLASSIFICATION!$A$8:$A$24,0)),"Review"))</f>
        <v>New Build</v>
      </c>
      <c r="O4067" s="350" t="str">
        <f>IF($B4067="Portfolio","Portfolio",IFERROR(INDEX(DATA_ASSET_CLASSIFICATION!$AB$8:$AB$13,MATCH($N4067,DATA_ASSET_CLASSIFICATION!$AA$8:$AA$13,0)),"Review"))</f>
        <v>Bucket 1 · New Build</v>
      </c>
      <c r="P4067" s="350" t="str">
        <f>IF($B4067="Portfolio","Portfolio",IFERROR(INDEX(DATA_ASSET_CLASSIFICATION!$C$8:$C$24,MATCH($C4067,DATA_ASSET_CLASSIFICATION!$A$8:$A$24,0)),"Review"))</f>
        <v>Yes</v>
      </c>
      <c r="Q4067" s="350" t="str">
        <f t="shared" ca="1" si="127"/>
        <v>OK</v>
      </c>
    </row>
    <row r="4068" spans="1:17">
      <c r="A4068" s="366" t="s">
        <v>6024</v>
      </c>
      <c r="B4068" s="366" t="s">
        <v>231</v>
      </c>
      <c r="C4068" s="348" t="str">
        <f>DATA_PROPERTY_MASTER!$A$18</f>
        <v>BLD_AS</v>
      </c>
      <c r="D4068" s="380">
        <f>'00_PORTFOLIO ROLLUP'!F$12</f>
        <v>2026</v>
      </c>
      <c r="E4068" s="366" t="s">
        <v>1683</v>
      </c>
      <c r="F4068" s="366" t="s">
        <v>341</v>
      </c>
      <c r="G4068" s="348" t="str">
        <f>"'"&amp;$C4068&amp;"'!$E$24:$Y$24"</f>
        <v>'BLD_AS'!$E$24:$Y$24</v>
      </c>
      <c r="H4068" s="381">
        <f ca="1">IF(IFERROR(INDEX(DATA_PROPERTY_MASTER!$E$5:$E$21,MATCH($C4068,DATA_PROPERTY_MASTER!$A$5:$A$21,0))="Yes",FALSE),IFERROR(INDEX(INDIRECT("'"&amp;$C4068&amp;"'!$E$24:$Y$24"),1,MATCH($D4068,INDIRECT("'"&amp;$C4068&amp;"'!$E$12:$Y$12"),0)),0),0)</f>
        <v>0</v>
      </c>
      <c r="I4068" s="366" t="s">
        <v>1685</v>
      </c>
      <c r="J4068" s="348" t="str">
        <f t="shared" ca="1" si="126"/>
        <v>OK</v>
      </c>
      <c r="K4068" s="366" t="s">
        <v>1686</v>
      </c>
      <c r="L4068" s="366" t="s">
        <v>2234</v>
      </c>
      <c r="M4068" s="350" t="str">
        <f>IF($B4068="Portfolio","Portfolio",IFERROR(INDEX(DATA_ASSET_CLASSIFICATION!$B$8:$B$24,MATCH($C4068,DATA_ASSET_CLASSIFICATION!$A$8:$A$24,0)),"Review"))</f>
        <v>1656 Adanac Street</v>
      </c>
      <c r="N4068" s="350" t="str">
        <f>IF($B4068="Portfolio","Portfolio",IFERROR(INDEX(DATA_ASSET_CLASSIFICATION!$U$8:$U$24,MATCH($C4068,DATA_ASSET_CLASSIFICATION!$A$8:$A$24,0)),"Review"))</f>
        <v>New Build</v>
      </c>
      <c r="O4068" s="350" t="str">
        <f>IF($B4068="Portfolio","Portfolio",IFERROR(INDEX(DATA_ASSET_CLASSIFICATION!$AB$8:$AB$13,MATCH($N4068,DATA_ASSET_CLASSIFICATION!$AA$8:$AA$13,0)),"Review"))</f>
        <v>Bucket 1 · New Build</v>
      </c>
      <c r="P4068" s="350" t="str">
        <f>IF($B4068="Portfolio","Portfolio",IFERROR(INDEX(DATA_ASSET_CLASSIFICATION!$C$8:$C$24,MATCH($C4068,DATA_ASSET_CLASSIFICATION!$A$8:$A$24,0)),"Review"))</f>
        <v>Yes</v>
      </c>
      <c r="Q4068" s="350" t="str">
        <f t="shared" ca="1" si="127"/>
        <v>OK</v>
      </c>
    </row>
    <row r="4069" spans="1:17">
      <c r="A4069" s="366" t="s">
        <v>6025</v>
      </c>
      <c r="B4069" s="366" t="s">
        <v>231</v>
      </c>
      <c r="C4069" s="348" t="str">
        <f>DATA_PROPERTY_MASTER!$A$18</f>
        <v>BLD_AS</v>
      </c>
      <c r="D4069" s="380">
        <f>'00_PORTFOLIO ROLLUP'!F$12</f>
        <v>2026</v>
      </c>
      <c r="E4069" s="366" t="s">
        <v>1683</v>
      </c>
      <c r="F4069" s="366" t="s">
        <v>355</v>
      </c>
      <c r="G4069" s="348" t="str">
        <f>"'"&amp;$C4069&amp;"'!$E$39:$Y$39"</f>
        <v>'BLD_AS'!$E$39:$Y$39</v>
      </c>
      <c r="H4069" s="381">
        <f ca="1">IF(IFERROR(INDEX(DATA_PROPERTY_MASTER!$E$5:$E$21,MATCH($C4069,DATA_PROPERTY_MASTER!$A$5:$A$21,0))="Yes",FALSE),IFERROR(INDEX(INDIRECT("'"&amp;$C4069&amp;"'!$E$39:$Y$39"),1,MATCH($D4069,INDIRECT("'"&amp;$C4069&amp;"'!$E$12:$Y$12"),0)),0),0)</f>
        <v>0</v>
      </c>
      <c r="I4069" s="366" t="s">
        <v>1690</v>
      </c>
      <c r="J4069" s="348" t="str">
        <f t="shared" ca="1" si="126"/>
        <v>OK</v>
      </c>
      <c r="K4069" s="366" t="s">
        <v>1686</v>
      </c>
      <c r="L4069" s="366" t="s">
        <v>2236</v>
      </c>
      <c r="M4069" s="350" t="str">
        <f>IF($B4069="Portfolio","Portfolio",IFERROR(INDEX(DATA_ASSET_CLASSIFICATION!$B$8:$B$24,MATCH($C4069,DATA_ASSET_CLASSIFICATION!$A$8:$A$24,0)),"Review"))</f>
        <v>1656 Adanac Street</v>
      </c>
      <c r="N4069" s="350" t="str">
        <f>IF($B4069="Portfolio","Portfolio",IFERROR(INDEX(DATA_ASSET_CLASSIFICATION!$U$8:$U$24,MATCH($C4069,DATA_ASSET_CLASSIFICATION!$A$8:$A$24,0)),"Review"))</f>
        <v>New Build</v>
      </c>
      <c r="O4069" s="350" t="str">
        <f>IF($B4069="Portfolio","Portfolio",IFERROR(INDEX(DATA_ASSET_CLASSIFICATION!$AB$8:$AB$13,MATCH($N4069,DATA_ASSET_CLASSIFICATION!$AA$8:$AA$13,0)),"Review"))</f>
        <v>Bucket 1 · New Build</v>
      </c>
      <c r="P4069" s="350" t="str">
        <f>IF($B4069="Portfolio","Portfolio",IFERROR(INDEX(DATA_ASSET_CLASSIFICATION!$C$8:$C$24,MATCH($C4069,DATA_ASSET_CLASSIFICATION!$A$8:$A$24,0)),"Review"))</f>
        <v>Yes</v>
      </c>
      <c r="Q4069" s="350" t="str">
        <f t="shared" ca="1" si="127"/>
        <v>OK</v>
      </c>
    </row>
    <row r="4070" spans="1:17">
      <c r="A4070" s="366" t="s">
        <v>6026</v>
      </c>
      <c r="B4070" s="366" t="s">
        <v>231</v>
      </c>
      <c r="C4070" s="348" t="str">
        <f>DATA_PROPERTY_MASTER!$A$18</f>
        <v>BLD_AS</v>
      </c>
      <c r="D4070" s="380">
        <f>'00_PORTFOLIO ROLLUP'!F$12</f>
        <v>2026</v>
      </c>
      <c r="E4070" s="366" t="s">
        <v>1683</v>
      </c>
      <c r="F4070" s="366" t="s">
        <v>19</v>
      </c>
      <c r="G4070" s="348" t="str">
        <f>"'"&amp;$C4070&amp;"'!$E$41:$Y$41"</f>
        <v>'BLD_AS'!$E$41:$Y$41</v>
      </c>
      <c r="H4070" s="381">
        <f ca="1">IF(IFERROR(INDEX(DATA_PROPERTY_MASTER!$E$5:$E$21,MATCH($C4070,DATA_PROPERTY_MASTER!$A$5:$A$21,0))="Yes",FALSE),IFERROR(INDEX(INDIRECT("'"&amp;$C4070&amp;"'!$E$41:$Y$41"),1,MATCH($D4070,INDIRECT("'"&amp;$C4070&amp;"'!$E$12:$Y$12"),0)),0),0)</f>
        <v>0</v>
      </c>
      <c r="I4070" s="366" t="s">
        <v>1685</v>
      </c>
      <c r="J4070" s="348" t="str">
        <f t="shared" ca="1" si="126"/>
        <v>OK</v>
      </c>
      <c r="K4070" s="366" t="s">
        <v>1694</v>
      </c>
      <c r="L4070" s="366" t="s">
        <v>2238</v>
      </c>
      <c r="M4070" s="350" t="str">
        <f>IF($B4070="Portfolio","Portfolio",IFERROR(INDEX(DATA_ASSET_CLASSIFICATION!$B$8:$B$24,MATCH($C4070,DATA_ASSET_CLASSIFICATION!$A$8:$A$24,0)),"Review"))</f>
        <v>1656 Adanac Street</v>
      </c>
      <c r="N4070" s="350" t="str">
        <f>IF($B4070="Portfolio","Portfolio",IFERROR(INDEX(DATA_ASSET_CLASSIFICATION!$U$8:$U$24,MATCH($C4070,DATA_ASSET_CLASSIFICATION!$A$8:$A$24,0)),"Review"))</f>
        <v>New Build</v>
      </c>
      <c r="O4070" s="350" t="str">
        <f>IF($B4070="Portfolio","Portfolio",IFERROR(INDEX(DATA_ASSET_CLASSIFICATION!$AB$8:$AB$13,MATCH($N4070,DATA_ASSET_CLASSIFICATION!$AA$8:$AA$13,0)),"Review"))</f>
        <v>Bucket 1 · New Build</v>
      </c>
      <c r="P4070" s="350" t="str">
        <f>IF($B4070="Portfolio","Portfolio",IFERROR(INDEX(DATA_ASSET_CLASSIFICATION!$C$8:$C$24,MATCH($C4070,DATA_ASSET_CLASSIFICATION!$A$8:$A$24,0)),"Review"))</f>
        <v>Yes</v>
      </c>
      <c r="Q4070" s="350" t="str">
        <f t="shared" ca="1" si="127"/>
        <v>OK</v>
      </c>
    </row>
    <row r="4071" spans="1:17">
      <c r="A4071" s="366" t="s">
        <v>6027</v>
      </c>
      <c r="B4071" s="366" t="s">
        <v>231</v>
      </c>
      <c r="C4071" s="348" t="str">
        <f>DATA_PROPERTY_MASTER!$A$18</f>
        <v>BLD_AS</v>
      </c>
      <c r="D4071" s="380">
        <f>'00_PORTFOLIO ROLLUP'!F$12</f>
        <v>2026</v>
      </c>
      <c r="E4071" s="366" t="s">
        <v>1683</v>
      </c>
      <c r="F4071" s="366" t="s">
        <v>1697</v>
      </c>
      <c r="G4071" s="348" t="str">
        <f>"'"&amp;$C4071&amp;"'!$E$44:$Y$44"</f>
        <v>'BLD_AS'!$E$44:$Y$44</v>
      </c>
      <c r="H4071" s="381">
        <f ca="1">IF(IFERROR(INDEX(DATA_PROPERTY_MASTER!$E$5:$E$21,MATCH($C4071,DATA_PROPERTY_MASTER!$A$5:$A$21,0))="Yes",FALSE),IFERROR(INDEX(INDIRECT("'"&amp;$C4071&amp;"'!$E$44:$Y$44"),1,MATCH($D4071,INDIRECT("'"&amp;$C4071&amp;"'!$E$12:$Y$12"),0)),0),0)</f>
        <v>0</v>
      </c>
      <c r="I4071" s="366" t="s">
        <v>1690</v>
      </c>
      <c r="J4071" s="348" t="str">
        <f t="shared" ca="1" si="126"/>
        <v>OK</v>
      </c>
      <c r="K4071" s="366" t="s">
        <v>1699</v>
      </c>
      <c r="L4071" s="366" t="s">
        <v>2240</v>
      </c>
      <c r="M4071" s="350" t="str">
        <f>IF($B4071="Portfolio","Portfolio",IFERROR(INDEX(DATA_ASSET_CLASSIFICATION!$B$8:$B$24,MATCH($C4071,DATA_ASSET_CLASSIFICATION!$A$8:$A$24,0)),"Review"))</f>
        <v>1656 Adanac Street</v>
      </c>
      <c r="N4071" s="350" t="str">
        <f>IF($B4071="Portfolio","Portfolio",IFERROR(INDEX(DATA_ASSET_CLASSIFICATION!$U$8:$U$24,MATCH($C4071,DATA_ASSET_CLASSIFICATION!$A$8:$A$24,0)),"Review"))</f>
        <v>New Build</v>
      </c>
      <c r="O4071" s="350" t="str">
        <f>IF($B4071="Portfolio","Portfolio",IFERROR(INDEX(DATA_ASSET_CLASSIFICATION!$AB$8:$AB$13,MATCH($N4071,DATA_ASSET_CLASSIFICATION!$AA$8:$AA$13,0)),"Review"))</f>
        <v>Bucket 1 · New Build</v>
      </c>
      <c r="P4071" s="350" t="str">
        <f>IF($B4071="Portfolio","Portfolio",IFERROR(INDEX(DATA_ASSET_CLASSIFICATION!$C$8:$C$24,MATCH($C4071,DATA_ASSET_CLASSIFICATION!$A$8:$A$24,0)),"Review"))</f>
        <v>Yes</v>
      </c>
      <c r="Q4071" s="350" t="str">
        <f t="shared" ca="1" si="127"/>
        <v>OK</v>
      </c>
    </row>
    <row r="4072" spans="1:17">
      <c r="A4072" s="366" t="s">
        <v>6028</v>
      </c>
      <c r="B4072" s="366" t="s">
        <v>231</v>
      </c>
      <c r="C4072" s="348" t="str">
        <f>DATA_PROPERTY_MASTER!$A$18</f>
        <v>BLD_AS</v>
      </c>
      <c r="D4072" s="380">
        <f>'00_PORTFOLIO ROLLUP'!F$12</f>
        <v>2026</v>
      </c>
      <c r="E4072" s="366" t="s">
        <v>1683</v>
      </c>
      <c r="F4072" s="366" t="s">
        <v>21</v>
      </c>
      <c r="G4072" s="348" t="str">
        <f>"'"&amp;$C4072&amp;"'!$E$45:$Y$45"</f>
        <v>'BLD_AS'!$E$45:$Y$45</v>
      </c>
      <c r="H4072" s="381">
        <f ca="1">IF(IFERROR(INDEX(DATA_PROPERTY_MASTER!$E$5:$E$21,MATCH($C4072,DATA_PROPERTY_MASTER!$A$5:$A$21,0))="Yes",FALSE),IFERROR(INDEX(INDIRECT("'"&amp;$C4072&amp;"'!$E$45:$Y$45"),1,MATCH($D4072,INDIRECT("'"&amp;$C4072&amp;"'!$E$12:$Y$12"),0)),0),0)</f>
        <v>0</v>
      </c>
      <c r="I4072" s="366" t="s">
        <v>1685</v>
      </c>
      <c r="J4072" s="348" t="str">
        <f t="shared" ca="1" si="126"/>
        <v>OK</v>
      </c>
      <c r="K4072" s="366" t="s">
        <v>1694</v>
      </c>
      <c r="L4072" s="366" t="s">
        <v>2242</v>
      </c>
      <c r="M4072" s="350" t="str">
        <f>IF($B4072="Portfolio","Portfolio",IFERROR(INDEX(DATA_ASSET_CLASSIFICATION!$B$8:$B$24,MATCH($C4072,DATA_ASSET_CLASSIFICATION!$A$8:$A$24,0)),"Review"))</f>
        <v>1656 Adanac Street</v>
      </c>
      <c r="N4072" s="350" t="str">
        <f>IF($B4072="Portfolio","Portfolio",IFERROR(INDEX(DATA_ASSET_CLASSIFICATION!$U$8:$U$24,MATCH($C4072,DATA_ASSET_CLASSIFICATION!$A$8:$A$24,0)),"Review"))</f>
        <v>New Build</v>
      </c>
      <c r="O4072" s="350" t="str">
        <f>IF($B4072="Portfolio","Portfolio",IFERROR(INDEX(DATA_ASSET_CLASSIFICATION!$AB$8:$AB$13,MATCH($N4072,DATA_ASSET_CLASSIFICATION!$AA$8:$AA$13,0)),"Review"))</f>
        <v>Bucket 1 · New Build</v>
      </c>
      <c r="P4072" s="350" t="str">
        <f>IF($B4072="Portfolio","Portfolio",IFERROR(INDEX(DATA_ASSET_CLASSIFICATION!$C$8:$C$24,MATCH($C4072,DATA_ASSET_CLASSIFICATION!$A$8:$A$24,0)),"Review"))</f>
        <v>Yes</v>
      </c>
      <c r="Q4072" s="350" t="str">
        <f t="shared" ca="1" si="127"/>
        <v>OK</v>
      </c>
    </row>
    <row r="4073" spans="1:17">
      <c r="A4073" s="366" t="s">
        <v>6029</v>
      </c>
      <c r="B4073" s="366" t="s">
        <v>231</v>
      </c>
      <c r="C4073" s="348" t="str">
        <f>DATA_PROPERTY_MASTER!$A$18</f>
        <v>BLD_AS</v>
      </c>
      <c r="D4073" s="380">
        <f>'00_PORTFOLIO ROLLUP'!F$12</f>
        <v>2026</v>
      </c>
      <c r="E4073" s="366" t="s">
        <v>23</v>
      </c>
      <c r="F4073" s="366" t="s">
        <v>23</v>
      </c>
      <c r="G4073" s="348" t="str">
        <f>"'"&amp;$C4073&amp;"'!$E$48:$Y$48"</f>
        <v>'BLD_AS'!$E$48:$Y$48</v>
      </c>
      <c r="H4073" s="381">
        <f ca="1">IF(IFERROR(INDEX(DATA_PROPERTY_MASTER!$E$5:$E$21,MATCH($C4073,DATA_PROPERTY_MASTER!$A$5:$A$21,0))="Yes",FALSE),IFERROR(INDEX(INDIRECT("'"&amp;$C4073&amp;"'!$E$48:$Y$48"),1,MATCH($D4073,INDIRECT("'"&amp;$C4073&amp;"'!$E$12:$Y$12"),0)),0),0)</f>
        <v>2119329.1278112764</v>
      </c>
      <c r="I4073" s="366" t="s">
        <v>1690</v>
      </c>
      <c r="J4073" s="348" t="str">
        <f t="shared" ca="1" si="126"/>
        <v>OK</v>
      </c>
      <c r="K4073" s="366" t="s">
        <v>1706</v>
      </c>
      <c r="L4073" s="366" t="s">
        <v>2244</v>
      </c>
      <c r="M4073" s="350" t="str">
        <f>IF($B4073="Portfolio","Portfolio",IFERROR(INDEX(DATA_ASSET_CLASSIFICATION!$B$8:$B$24,MATCH($C4073,DATA_ASSET_CLASSIFICATION!$A$8:$A$24,0)),"Review"))</f>
        <v>1656 Adanac Street</v>
      </c>
      <c r="N4073" s="350" t="str">
        <f>IF($B4073="Portfolio","Portfolio",IFERROR(INDEX(DATA_ASSET_CLASSIFICATION!$U$8:$U$24,MATCH($C4073,DATA_ASSET_CLASSIFICATION!$A$8:$A$24,0)),"Review"))</f>
        <v>New Build</v>
      </c>
      <c r="O4073" s="350" t="str">
        <f>IF($B4073="Portfolio","Portfolio",IFERROR(INDEX(DATA_ASSET_CLASSIFICATION!$AB$8:$AB$13,MATCH($N4073,DATA_ASSET_CLASSIFICATION!$AA$8:$AA$13,0)),"Review"))</f>
        <v>Bucket 1 · New Build</v>
      </c>
      <c r="P4073" s="350" t="str">
        <f>IF($B4073="Portfolio","Portfolio",IFERROR(INDEX(DATA_ASSET_CLASSIFICATION!$C$8:$C$24,MATCH($C4073,DATA_ASSET_CLASSIFICATION!$A$8:$A$24,0)),"Review"))</f>
        <v>Yes</v>
      </c>
      <c r="Q4073" s="350" t="str">
        <f t="shared" ca="1" si="127"/>
        <v>OK</v>
      </c>
    </row>
    <row r="4074" spans="1:17">
      <c r="A4074" s="366" t="s">
        <v>6030</v>
      </c>
      <c r="B4074" s="366" t="s">
        <v>231</v>
      </c>
      <c r="C4074" s="348" t="str">
        <f>DATA_PROPERTY_MASTER!$A$18</f>
        <v>BLD_AS</v>
      </c>
      <c r="D4074" s="380">
        <f>'00_PORTFOLIO ROLLUP'!F$12</f>
        <v>2026</v>
      </c>
      <c r="E4074" s="366" t="s">
        <v>1683</v>
      </c>
      <c r="F4074" s="366" t="s">
        <v>25</v>
      </c>
      <c r="G4074" s="348" t="str">
        <f>"'"&amp;$C4074&amp;"'!$E$52:$Y$52"</f>
        <v>'BLD_AS'!$E$52:$Y$52</v>
      </c>
      <c r="H4074" s="381">
        <f ca="1">IF(IFERROR(INDEX(DATA_PROPERTY_MASTER!$E$5:$E$21,MATCH($C4074,DATA_PROPERTY_MASTER!$A$5:$A$21,0))="Yes",FALSE),IFERROR(INDEX(INDIRECT("'"&amp;$C4074&amp;"'!$E$52:$Y$52"),1,MATCH($D4074,INDIRECT("'"&amp;$C4074&amp;"'!$E$12:$Y$12"),0)),0),0)</f>
        <v>-2119329.1278112764</v>
      </c>
      <c r="I4074" s="366" t="s">
        <v>1685</v>
      </c>
      <c r="J4074" s="348" t="str">
        <f t="shared" ca="1" si="126"/>
        <v>OK</v>
      </c>
      <c r="K4074" s="366" t="s">
        <v>1710</v>
      </c>
      <c r="L4074" s="366" t="s">
        <v>2246</v>
      </c>
      <c r="M4074" s="350" t="str">
        <f>IF($B4074="Portfolio","Portfolio",IFERROR(INDEX(DATA_ASSET_CLASSIFICATION!$B$8:$B$24,MATCH($C4074,DATA_ASSET_CLASSIFICATION!$A$8:$A$24,0)),"Review"))</f>
        <v>1656 Adanac Street</v>
      </c>
      <c r="N4074" s="350" t="str">
        <f>IF($B4074="Portfolio","Portfolio",IFERROR(INDEX(DATA_ASSET_CLASSIFICATION!$U$8:$U$24,MATCH($C4074,DATA_ASSET_CLASSIFICATION!$A$8:$A$24,0)),"Review"))</f>
        <v>New Build</v>
      </c>
      <c r="O4074" s="350" t="str">
        <f>IF($B4074="Portfolio","Portfolio",IFERROR(INDEX(DATA_ASSET_CLASSIFICATION!$AB$8:$AB$13,MATCH($N4074,DATA_ASSET_CLASSIFICATION!$AA$8:$AA$13,0)),"Review"))</f>
        <v>Bucket 1 · New Build</v>
      </c>
      <c r="P4074" s="350" t="str">
        <f>IF($B4074="Portfolio","Portfolio",IFERROR(INDEX(DATA_ASSET_CLASSIFICATION!$C$8:$C$24,MATCH($C4074,DATA_ASSET_CLASSIFICATION!$A$8:$A$24,0)),"Review"))</f>
        <v>Yes</v>
      </c>
      <c r="Q4074" s="350" t="str">
        <f t="shared" ca="1" si="127"/>
        <v>OK</v>
      </c>
    </row>
    <row r="4075" spans="1:17">
      <c r="A4075" s="366" t="s">
        <v>6031</v>
      </c>
      <c r="B4075" s="366" t="s">
        <v>231</v>
      </c>
      <c r="C4075" s="348" t="str">
        <f>DATA_PROPERTY_MASTER!$A$18</f>
        <v>BLD_AS</v>
      </c>
      <c r="D4075" s="380">
        <f>'00_PORTFOLIO ROLLUP'!F$12</f>
        <v>2026</v>
      </c>
      <c r="E4075" s="366" t="s">
        <v>1683</v>
      </c>
      <c r="F4075" s="366" t="s">
        <v>27</v>
      </c>
      <c r="G4075" s="348" t="str">
        <f>"'"&amp;$C4075&amp;"'!$E$54:$Y$54"</f>
        <v>'BLD_AS'!$E$54:$Y$54</v>
      </c>
      <c r="H4075" s="381">
        <f ca="1">IF(IFERROR(INDEX(DATA_PROPERTY_MASTER!$E$5:$E$21,MATCH($C4075,DATA_PROPERTY_MASTER!$A$5:$A$21,0))="Yes",FALSE),IFERROR(INDEX(INDIRECT("'"&amp;$C4075&amp;"'!$E$54:$Y$54"),1,MATCH($D4075,INDIRECT("'"&amp;$C4075&amp;"'!$E$12:$Y$12"),0)),0),0)</f>
        <v>0</v>
      </c>
      <c r="I4075" s="366" t="s">
        <v>1690</v>
      </c>
      <c r="J4075" s="348" t="str">
        <f t="shared" ca="1" si="126"/>
        <v>OK</v>
      </c>
      <c r="K4075" s="366" t="s">
        <v>1714</v>
      </c>
      <c r="L4075" s="366" t="s">
        <v>2248</v>
      </c>
      <c r="M4075" s="350" t="str">
        <f>IF($B4075="Portfolio","Portfolio",IFERROR(INDEX(DATA_ASSET_CLASSIFICATION!$B$8:$B$24,MATCH($C4075,DATA_ASSET_CLASSIFICATION!$A$8:$A$24,0)),"Review"))</f>
        <v>1656 Adanac Street</v>
      </c>
      <c r="N4075" s="350" t="str">
        <f>IF($B4075="Portfolio","Portfolio",IFERROR(INDEX(DATA_ASSET_CLASSIFICATION!$U$8:$U$24,MATCH($C4075,DATA_ASSET_CLASSIFICATION!$A$8:$A$24,0)),"Review"))</f>
        <v>New Build</v>
      </c>
      <c r="O4075" s="350" t="str">
        <f>IF($B4075="Portfolio","Portfolio",IFERROR(INDEX(DATA_ASSET_CLASSIFICATION!$AB$8:$AB$13,MATCH($N4075,DATA_ASSET_CLASSIFICATION!$AA$8:$AA$13,0)),"Review"))</f>
        <v>Bucket 1 · New Build</v>
      </c>
      <c r="P4075" s="350" t="str">
        <f>IF($B4075="Portfolio","Portfolio",IFERROR(INDEX(DATA_ASSET_CLASSIFICATION!$C$8:$C$24,MATCH($C4075,DATA_ASSET_CLASSIFICATION!$A$8:$A$24,0)),"Review"))</f>
        <v>Yes</v>
      </c>
      <c r="Q4075" s="350" t="str">
        <f t="shared" ca="1" si="127"/>
        <v>OK</v>
      </c>
    </row>
    <row r="4076" spans="1:17">
      <c r="A4076" s="366" t="s">
        <v>6032</v>
      </c>
      <c r="B4076" s="366" t="s">
        <v>231</v>
      </c>
      <c r="C4076" s="348" t="str">
        <f>DATA_PROPERTY_MASTER!$A$18</f>
        <v>BLD_AS</v>
      </c>
      <c r="D4076" s="380">
        <f>'00_PORTFOLIO ROLLUP'!F$12</f>
        <v>2026</v>
      </c>
      <c r="E4076" s="366" t="s">
        <v>1683</v>
      </c>
      <c r="F4076" s="366" t="s">
        <v>29</v>
      </c>
      <c r="G4076" s="348" t="str">
        <f>"'"&amp;$C4076&amp;"'!$E$56:$Y$56"</f>
        <v>'BLD_AS'!$E$56:$Y$56</v>
      </c>
      <c r="H4076" s="381">
        <f ca="1">IF(IFERROR(INDEX(DATA_PROPERTY_MASTER!$E$5:$E$21,MATCH($C4076,DATA_PROPERTY_MASTER!$A$5:$A$21,0))="Yes",FALSE),IFERROR(INDEX(INDIRECT("'"&amp;$C4076&amp;"'!$E$56:$Y$56"),1,MATCH($D4076,INDIRECT("'"&amp;$C4076&amp;"'!$E$12:$Y$12"),0)),0),0)</f>
        <v>-2119329.1278112764</v>
      </c>
      <c r="I4076" s="366" t="s">
        <v>1685</v>
      </c>
      <c r="J4076" s="348" t="str">
        <f t="shared" ca="1" si="126"/>
        <v>OK</v>
      </c>
      <c r="K4076" s="366" t="s">
        <v>1718</v>
      </c>
      <c r="L4076" s="366" t="s">
        <v>2250</v>
      </c>
      <c r="M4076" s="350" t="str">
        <f>IF($B4076="Portfolio","Portfolio",IFERROR(INDEX(DATA_ASSET_CLASSIFICATION!$B$8:$B$24,MATCH($C4076,DATA_ASSET_CLASSIFICATION!$A$8:$A$24,0)),"Review"))</f>
        <v>1656 Adanac Street</v>
      </c>
      <c r="N4076" s="350" t="str">
        <f>IF($B4076="Portfolio","Portfolio",IFERROR(INDEX(DATA_ASSET_CLASSIFICATION!$U$8:$U$24,MATCH($C4076,DATA_ASSET_CLASSIFICATION!$A$8:$A$24,0)),"Review"))</f>
        <v>New Build</v>
      </c>
      <c r="O4076" s="350" t="str">
        <f>IF($B4076="Portfolio","Portfolio",IFERROR(INDEX(DATA_ASSET_CLASSIFICATION!$AB$8:$AB$13,MATCH($N4076,DATA_ASSET_CLASSIFICATION!$AA$8:$AA$13,0)),"Review"))</f>
        <v>Bucket 1 · New Build</v>
      </c>
      <c r="P4076" s="350" t="str">
        <f>IF($B4076="Portfolio","Portfolio",IFERROR(INDEX(DATA_ASSET_CLASSIFICATION!$C$8:$C$24,MATCH($C4076,DATA_ASSET_CLASSIFICATION!$A$8:$A$24,0)),"Review"))</f>
        <v>Yes</v>
      </c>
      <c r="Q4076" s="350" t="str">
        <f t="shared" ca="1" si="127"/>
        <v>OK</v>
      </c>
    </row>
    <row r="4077" spans="1:17">
      <c r="A4077" s="366" t="s">
        <v>6033</v>
      </c>
      <c r="B4077" s="366" t="s">
        <v>231</v>
      </c>
      <c r="C4077" s="348" t="str">
        <f>DATA_PROPERTY_MASTER!$A$18</f>
        <v>BLD_AS</v>
      </c>
      <c r="D4077" s="380">
        <f>'00_PORTFOLIO ROLLUP'!F$12</f>
        <v>2026</v>
      </c>
      <c r="E4077" s="366" t="s">
        <v>1721</v>
      </c>
      <c r="F4077" s="366" t="s">
        <v>31</v>
      </c>
      <c r="G4077" s="348" t="str">
        <f>"'"&amp;$C4077&amp;"'!$E$61:$Y$61"</f>
        <v>'BLD_AS'!$E$61:$Y$61</v>
      </c>
      <c r="H4077" s="381">
        <f ca="1">IF(IFERROR(INDEX(DATA_PROPERTY_MASTER!$E$5:$E$21,MATCH($C4077,DATA_PROPERTY_MASTER!$A$5:$A$21,0))="Yes",FALSE),IFERROR(INDEX(INDIRECT("'"&amp;$C4077&amp;"'!$E$61:$Y$61"),1,MATCH($D4077,INDIRECT("'"&amp;$C4077&amp;"'!$E$12:$Y$12"),0)),0),0)</f>
        <v>0</v>
      </c>
      <c r="I4077" s="366" t="s">
        <v>1690</v>
      </c>
      <c r="J4077" s="348" t="str">
        <f t="shared" ca="1" si="126"/>
        <v>OK</v>
      </c>
      <c r="K4077" s="366" t="s">
        <v>1723</v>
      </c>
      <c r="L4077" s="366" t="s">
        <v>2252</v>
      </c>
      <c r="M4077" s="350" t="str">
        <f>IF($B4077="Portfolio","Portfolio",IFERROR(INDEX(DATA_ASSET_CLASSIFICATION!$B$8:$B$24,MATCH($C4077,DATA_ASSET_CLASSIFICATION!$A$8:$A$24,0)),"Review"))</f>
        <v>1656 Adanac Street</v>
      </c>
      <c r="N4077" s="350" t="str">
        <f>IF($B4077="Portfolio","Portfolio",IFERROR(INDEX(DATA_ASSET_CLASSIFICATION!$U$8:$U$24,MATCH($C4077,DATA_ASSET_CLASSIFICATION!$A$8:$A$24,0)),"Review"))</f>
        <v>New Build</v>
      </c>
      <c r="O4077" s="350" t="str">
        <f>IF($B4077="Portfolio","Portfolio",IFERROR(INDEX(DATA_ASSET_CLASSIFICATION!$AB$8:$AB$13,MATCH($N4077,DATA_ASSET_CLASSIFICATION!$AA$8:$AA$13,0)),"Review"))</f>
        <v>Bucket 1 · New Build</v>
      </c>
      <c r="P4077" s="350" t="str">
        <f>IF($B4077="Portfolio","Portfolio",IFERROR(INDEX(DATA_ASSET_CLASSIFICATION!$C$8:$C$24,MATCH($C4077,DATA_ASSET_CLASSIFICATION!$A$8:$A$24,0)),"Review"))</f>
        <v>Yes</v>
      </c>
      <c r="Q4077" s="350" t="str">
        <f t="shared" ca="1" si="127"/>
        <v>OK</v>
      </c>
    </row>
    <row r="4078" spans="1:17">
      <c r="A4078" s="366" t="s">
        <v>6034</v>
      </c>
      <c r="B4078" s="366" t="s">
        <v>231</v>
      </c>
      <c r="C4078" s="348" t="str">
        <f>DATA_PROPERTY_MASTER!$A$18</f>
        <v>BLD_AS</v>
      </c>
      <c r="D4078" s="380">
        <f>'00_PORTFOLIO ROLLUP'!F$12</f>
        <v>2026</v>
      </c>
      <c r="E4078" s="366" t="s">
        <v>1721</v>
      </c>
      <c r="F4078" s="366" t="s">
        <v>33</v>
      </c>
      <c r="G4078" s="348" t="str">
        <f>"'"&amp;$C4078&amp;"'!$E$62:$Y$62"</f>
        <v>'BLD_AS'!$E$62:$Y$62</v>
      </c>
      <c r="H4078" s="381">
        <f ca="1">IF(IFERROR(INDEX(DATA_PROPERTY_MASTER!$E$5:$E$21,MATCH($C4078,DATA_PROPERTY_MASTER!$A$5:$A$21,0))="Yes",FALSE),IFERROR(INDEX(INDIRECT("'"&amp;$C4078&amp;"'!$E$62:$Y$62"),1,MATCH($D4078,INDIRECT("'"&amp;$C4078&amp;"'!$E$12:$Y$12"),0)),0),0)</f>
        <v>0</v>
      </c>
      <c r="I4078" s="366" t="s">
        <v>1685</v>
      </c>
      <c r="J4078" s="348" t="str">
        <f t="shared" ca="1" si="126"/>
        <v>OK</v>
      </c>
      <c r="K4078" s="366" t="s">
        <v>1727</v>
      </c>
      <c r="L4078" s="366" t="s">
        <v>2254</v>
      </c>
      <c r="M4078" s="350" t="str">
        <f>IF($B4078="Portfolio","Portfolio",IFERROR(INDEX(DATA_ASSET_CLASSIFICATION!$B$8:$B$24,MATCH($C4078,DATA_ASSET_CLASSIFICATION!$A$8:$A$24,0)),"Review"))</f>
        <v>1656 Adanac Street</v>
      </c>
      <c r="N4078" s="350" t="str">
        <f>IF($B4078="Portfolio","Portfolio",IFERROR(INDEX(DATA_ASSET_CLASSIFICATION!$U$8:$U$24,MATCH($C4078,DATA_ASSET_CLASSIFICATION!$A$8:$A$24,0)),"Review"))</f>
        <v>New Build</v>
      </c>
      <c r="O4078" s="350" t="str">
        <f>IF($B4078="Portfolio","Portfolio",IFERROR(INDEX(DATA_ASSET_CLASSIFICATION!$AB$8:$AB$13,MATCH($N4078,DATA_ASSET_CLASSIFICATION!$AA$8:$AA$13,0)),"Review"))</f>
        <v>Bucket 1 · New Build</v>
      </c>
      <c r="P4078" s="350" t="str">
        <f>IF($B4078="Portfolio","Portfolio",IFERROR(INDEX(DATA_ASSET_CLASSIFICATION!$C$8:$C$24,MATCH($C4078,DATA_ASSET_CLASSIFICATION!$A$8:$A$24,0)),"Review"))</f>
        <v>Yes</v>
      </c>
      <c r="Q4078" s="350" t="str">
        <f t="shared" ca="1" si="127"/>
        <v>OK</v>
      </c>
    </row>
    <row r="4079" spans="1:17">
      <c r="A4079" s="366" t="s">
        <v>6035</v>
      </c>
      <c r="B4079" s="366" t="s">
        <v>231</v>
      </c>
      <c r="C4079" s="348" t="str">
        <f>DATA_PROPERTY_MASTER!$A$18</f>
        <v>BLD_AS</v>
      </c>
      <c r="D4079" s="380">
        <f>'00_PORTFOLIO ROLLUP'!F$12</f>
        <v>2026</v>
      </c>
      <c r="E4079" s="366" t="s">
        <v>1721</v>
      </c>
      <c r="F4079" s="366" t="s">
        <v>35</v>
      </c>
      <c r="G4079" s="348" t="str">
        <f>"'"&amp;$C4079&amp;"'!$E$63:$Y$63"</f>
        <v>'BLD_AS'!$E$63:$Y$63</v>
      </c>
      <c r="H4079" s="381">
        <f ca="1">IF(IFERROR(INDEX(DATA_PROPERTY_MASTER!$E$5:$E$21,MATCH($C4079,DATA_PROPERTY_MASTER!$A$5:$A$21,0))="Yes",FALSE),IFERROR(INDEX(INDIRECT("'"&amp;$C4079&amp;"'!$E$63:$Y$63"),1,MATCH($D4079,INDIRECT("'"&amp;$C4079&amp;"'!$E$12:$Y$12"),0)),0),0)</f>
        <v>0</v>
      </c>
      <c r="I4079" s="366" t="s">
        <v>1731</v>
      </c>
      <c r="J4079" s="348" t="str">
        <f t="shared" ca="1" si="126"/>
        <v>OK</v>
      </c>
      <c r="K4079" s="366" t="s">
        <v>1732</v>
      </c>
      <c r="L4079" s="366" t="s">
        <v>2256</v>
      </c>
      <c r="M4079" s="350" t="str">
        <f>IF($B4079="Portfolio","Portfolio",IFERROR(INDEX(DATA_ASSET_CLASSIFICATION!$B$8:$B$24,MATCH($C4079,DATA_ASSET_CLASSIFICATION!$A$8:$A$24,0)),"Review"))</f>
        <v>1656 Adanac Street</v>
      </c>
      <c r="N4079" s="350" t="str">
        <f>IF($B4079="Portfolio","Portfolio",IFERROR(INDEX(DATA_ASSET_CLASSIFICATION!$U$8:$U$24,MATCH($C4079,DATA_ASSET_CLASSIFICATION!$A$8:$A$24,0)),"Review"))</f>
        <v>New Build</v>
      </c>
      <c r="O4079" s="350" t="str">
        <f>IF($B4079="Portfolio","Portfolio",IFERROR(INDEX(DATA_ASSET_CLASSIFICATION!$AB$8:$AB$13,MATCH($N4079,DATA_ASSET_CLASSIFICATION!$AA$8:$AA$13,0)),"Review"))</f>
        <v>Bucket 1 · New Build</v>
      </c>
      <c r="P4079" s="350" t="str">
        <f>IF($B4079="Portfolio","Portfolio",IFERROR(INDEX(DATA_ASSET_CLASSIFICATION!$C$8:$C$24,MATCH($C4079,DATA_ASSET_CLASSIFICATION!$A$8:$A$24,0)),"Review"))</f>
        <v>Yes</v>
      </c>
      <c r="Q4079" s="350" t="str">
        <f t="shared" ca="1" si="127"/>
        <v>OK</v>
      </c>
    </row>
    <row r="4080" spans="1:17">
      <c r="A4080" s="366" t="s">
        <v>6036</v>
      </c>
      <c r="B4080" s="366" t="s">
        <v>231</v>
      </c>
      <c r="C4080" s="348" t="str">
        <f>DATA_PROPERTY_MASTER!$A$18</f>
        <v>BLD_AS</v>
      </c>
      <c r="D4080" s="380">
        <f>'00_PORTFOLIO ROLLUP'!F$12</f>
        <v>2026</v>
      </c>
      <c r="E4080" s="366" t="s">
        <v>1721</v>
      </c>
      <c r="F4080" s="366" t="s">
        <v>37</v>
      </c>
      <c r="G4080" s="348" t="str">
        <f>"'"&amp;$C4080&amp;"'!$E$63:$Y$63"</f>
        <v>'BLD_AS'!$E$63:$Y$63</v>
      </c>
      <c r="H4080" s="381">
        <f ca="1">IF(IFERROR(INDEX(DATA_PROPERTY_MASTER!$E$5:$E$21,MATCH($C4080,DATA_PROPERTY_MASTER!$A$5:$A$21,0))="Yes",FALSE),MAX(IFERROR(INDEX(INDIRECT("'"&amp;$C4080&amp;"'!$E$63:$Y$63"),1,MATCH($D4080,INDIRECT("'"&amp;$C4080&amp;"'!$E$12:$Y$12"),0)),0),0),0)</f>
        <v>0</v>
      </c>
      <c r="I4080" s="366" t="s">
        <v>1685</v>
      </c>
      <c r="J4080" s="348" t="str">
        <f t="shared" ca="1" si="126"/>
        <v>OK</v>
      </c>
      <c r="K4080" s="366" t="s">
        <v>1735</v>
      </c>
      <c r="L4080" s="366" t="s">
        <v>2258</v>
      </c>
      <c r="M4080" s="350" t="str">
        <f>IF($B4080="Portfolio","Portfolio",IFERROR(INDEX(DATA_ASSET_CLASSIFICATION!$B$8:$B$24,MATCH($C4080,DATA_ASSET_CLASSIFICATION!$A$8:$A$24,0)),"Review"))</f>
        <v>1656 Adanac Street</v>
      </c>
      <c r="N4080" s="350" t="str">
        <f>IF($B4080="Portfolio","Portfolio",IFERROR(INDEX(DATA_ASSET_CLASSIFICATION!$U$8:$U$24,MATCH($C4080,DATA_ASSET_CLASSIFICATION!$A$8:$A$24,0)),"Review"))</f>
        <v>New Build</v>
      </c>
      <c r="O4080" s="350" t="str">
        <f>IF($B4080="Portfolio","Portfolio",IFERROR(INDEX(DATA_ASSET_CLASSIFICATION!$AB$8:$AB$13,MATCH($N4080,DATA_ASSET_CLASSIFICATION!$AA$8:$AA$13,0)),"Review"))</f>
        <v>Bucket 1 · New Build</v>
      </c>
      <c r="P4080" s="350" t="str">
        <f>IF($B4080="Portfolio","Portfolio",IFERROR(INDEX(DATA_ASSET_CLASSIFICATION!$C$8:$C$24,MATCH($C4080,DATA_ASSET_CLASSIFICATION!$A$8:$A$24,0)),"Review"))</f>
        <v>Yes</v>
      </c>
      <c r="Q4080" s="350" t="str">
        <f t="shared" ca="1" si="127"/>
        <v>OK</v>
      </c>
    </row>
    <row r="4081" spans="1:17">
      <c r="A4081" s="366" t="s">
        <v>6037</v>
      </c>
      <c r="B4081" s="366" t="s">
        <v>231</v>
      </c>
      <c r="C4081" s="348" t="str">
        <f>DATA_PROPERTY_MASTER!$A$18</f>
        <v>BLD_AS</v>
      </c>
      <c r="D4081" s="380">
        <f>'00_PORTFOLIO ROLLUP'!F$12</f>
        <v>2026</v>
      </c>
      <c r="E4081" s="366" t="s">
        <v>1721</v>
      </c>
      <c r="F4081" s="366" t="s">
        <v>39</v>
      </c>
      <c r="G4081" s="348" t="str">
        <f>"'"&amp;$C4081&amp;"'!$E$63:$Y$63"</f>
        <v>'BLD_AS'!$E$63:$Y$63</v>
      </c>
      <c r="H4081" s="381">
        <f ca="1">IF(IFERROR(INDEX(DATA_PROPERTY_MASTER!$E$5:$E$21,MATCH($C4081,DATA_PROPERTY_MASTER!$A$5:$A$21,0))="Yes",FALSE),MAX(-IFERROR(INDEX(INDIRECT("'"&amp;$C4081&amp;"'!$E$63:$Y$63"),1,MATCH($D4081,INDIRECT("'"&amp;$C4081&amp;"'!$E$12:$Y$12"),0)),0),0),0)</f>
        <v>0</v>
      </c>
      <c r="I4081" s="366" t="s">
        <v>1690</v>
      </c>
      <c r="J4081" s="348" t="str">
        <f t="shared" ca="1" si="126"/>
        <v>OK</v>
      </c>
      <c r="K4081" s="366" t="s">
        <v>1738</v>
      </c>
      <c r="L4081" s="366" t="s">
        <v>2260</v>
      </c>
      <c r="M4081" s="350" t="str">
        <f>IF($B4081="Portfolio","Portfolio",IFERROR(INDEX(DATA_ASSET_CLASSIFICATION!$B$8:$B$24,MATCH($C4081,DATA_ASSET_CLASSIFICATION!$A$8:$A$24,0)),"Review"))</f>
        <v>1656 Adanac Street</v>
      </c>
      <c r="N4081" s="350" t="str">
        <f>IF($B4081="Portfolio","Portfolio",IFERROR(INDEX(DATA_ASSET_CLASSIFICATION!$U$8:$U$24,MATCH($C4081,DATA_ASSET_CLASSIFICATION!$A$8:$A$24,0)),"Review"))</f>
        <v>New Build</v>
      </c>
      <c r="O4081" s="350" t="str">
        <f>IF($B4081="Portfolio","Portfolio",IFERROR(INDEX(DATA_ASSET_CLASSIFICATION!$AB$8:$AB$13,MATCH($N4081,DATA_ASSET_CLASSIFICATION!$AA$8:$AA$13,0)),"Review"))</f>
        <v>Bucket 1 · New Build</v>
      </c>
      <c r="P4081" s="350" t="str">
        <f>IF($B4081="Portfolio","Portfolio",IFERROR(INDEX(DATA_ASSET_CLASSIFICATION!$C$8:$C$24,MATCH($C4081,DATA_ASSET_CLASSIFICATION!$A$8:$A$24,0)),"Review"))</f>
        <v>Yes</v>
      </c>
      <c r="Q4081" s="350" t="str">
        <f t="shared" ca="1" si="127"/>
        <v>OK</v>
      </c>
    </row>
    <row r="4082" spans="1:17">
      <c r="A4082" s="366" t="s">
        <v>6038</v>
      </c>
      <c r="B4082" s="366" t="s">
        <v>231</v>
      </c>
      <c r="C4082" s="348" t="str">
        <f>DATA_PROPERTY_MASTER!$A$18</f>
        <v>BLD_AS</v>
      </c>
      <c r="D4082" s="380">
        <f>'00_PORTFOLIO ROLLUP'!F$12</f>
        <v>2026</v>
      </c>
      <c r="E4082" s="366" t="s">
        <v>1741</v>
      </c>
      <c r="F4082" s="366" t="s">
        <v>41</v>
      </c>
      <c r="G4082" s="348" t="str">
        <f>"'"&amp;$C4082&amp;"'!rows 56 + positive row 63"</f>
        <v>'BLD_AS'!rows 56 + positive row 63</v>
      </c>
      <c r="H4082" s="381">
        <f ca="1">IF(IFERROR(INDEX(DATA_PROPERTY_MASTER!$E$5:$E$21,MATCH($C4082,DATA_PROPERTY_MASTER!$A$5:$A$21,0))="Yes",FALSE),IFERROR(INDEX(INDIRECT("'"&amp;$C4082&amp;"'!$E$56:$Y$56"),1,MATCH($D4082,INDIRECT("'"&amp;$C4082&amp;"'!$E$12:$Y$12"),0)),0)+MAX(IFERROR(INDEX(INDIRECT("'"&amp;$C4082&amp;"'!$E$63:$Y$63"),1,MATCH($D4082,INDIRECT("'"&amp;$C4082&amp;"'!$E$12:$Y$12"),0)),0),0),0)</f>
        <v>-2119329.1278112764</v>
      </c>
      <c r="I4082" s="366" t="s">
        <v>1685</v>
      </c>
      <c r="J4082" s="348" t="str">
        <f t="shared" ca="1" si="126"/>
        <v>OK</v>
      </c>
      <c r="K4082" s="366" t="s">
        <v>1742</v>
      </c>
      <c r="L4082" s="366" t="s">
        <v>2262</v>
      </c>
      <c r="M4082" s="350" t="str">
        <f>IF($B4082="Portfolio","Portfolio",IFERROR(INDEX(DATA_ASSET_CLASSIFICATION!$B$8:$B$24,MATCH($C4082,DATA_ASSET_CLASSIFICATION!$A$8:$A$24,0)),"Review"))</f>
        <v>1656 Adanac Street</v>
      </c>
      <c r="N4082" s="350" t="str">
        <f>IF($B4082="Portfolio","Portfolio",IFERROR(INDEX(DATA_ASSET_CLASSIFICATION!$U$8:$U$24,MATCH($C4082,DATA_ASSET_CLASSIFICATION!$A$8:$A$24,0)),"Review"))</f>
        <v>New Build</v>
      </c>
      <c r="O4082" s="350" t="str">
        <f>IF($B4082="Portfolio","Portfolio",IFERROR(INDEX(DATA_ASSET_CLASSIFICATION!$AB$8:$AB$13,MATCH($N4082,DATA_ASSET_CLASSIFICATION!$AA$8:$AA$13,0)),"Review"))</f>
        <v>Bucket 1 · New Build</v>
      </c>
      <c r="P4082" s="350" t="str">
        <f>IF($B4082="Portfolio","Portfolio",IFERROR(INDEX(DATA_ASSET_CLASSIFICATION!$C$8:$C$24,MATCH($C4082,DATA_ASSET_CLASSIFICATION!$A$8:$A$24,0)),"Review"))</f>
        <v>Yes</v>
      </c>
      <c r="Q4082" s="350" t="str">
        <f t="shared" ca="1" si="127"/>
        <v>OK</v>
      </c>
    </row>
    <row r="4083" spans="1:17">
      <c r="A4083" s="366" t="s">
        <v>6039</v>
      </c>
      <c r="B4083" s="366" t="s">
        <v>231</v>
      </c>
      <c r="C4083" s="348" t="str">
        <f>DATA_PROPERTY_MASTER!$A$18</f>
        <v>BLD_AS</v>
      </c>
      <c r="D4083" s="380">
        <f>'00_PORTFOLIO ROLLUP'!F$12</f>
        <v>2026</v>
      </c>
      <c r="E4083" s="366" t="s">
        <v>1741</v>
      </c>
      <c r="F4083" s="366" t="s">
        <v>43</v>
      </c>
      <c r="G4083" s="348" t="str">
        <f>"'"&amp;$C4083&amp;"'!$E$68:$Y$68"</f>
        <v>'BLD_AS'!$E$68:$Y$68</v>
      </c>
      <c r="H4083" s="381">
        <f ca="1">IF(IFERROR(INDEX(DATA_PROPERTY_MASTER!$E$5:$E$21,MATCH($C4083,DATA_PROPERTY_MASTER!$A$5:$A$21,0))="Yes",FALSE),IFERROR(INDEX(INDIRECT("'"&amp;$C4083&amp;"'!$E$68:$Y$68"),1,MATCH($D4083,INDIRECT("'"&amp;$C4083&amp;"'!$E$12:$Y$12"),0)),0),0)</f>
        <v>-2119329.1278112764</v>
      </c>
      <c r="I4083" s="366" t="s">
        <v>1731</v>
      </c>
      <c r="J4083" s="348" t="str">
        <f t="shared" ca="1" si="126"/>
        <v>OK</v>
      </c>
      <c r="K4083" s="366" t="s">
        <v>1746</v>
      </c>
      <c r="L4083" s="366" t="s">
        <v>2264</v>
      </c>
      <c r="M4083" s="350" t="str">
        <f>IF($B4083="Portfolio","Portfolio",IFERROR(INDEX(DATA_ASSET_CLASSIFICATION!$B$8:$B$24,MATCH($C4083,DATA_ASSET_CLASSIFICATION!$A$8:$A$24,0)),"Review"))</f>
        <v>1656 Adanac Street</v>
      </c>
      <c r="N4083" s="350" t="str">
        <f>IF($B4083="Portfolio","Portfolio",IFERROR(INDEX(DATA_ASSET_CLASSIFICATION!$U$8:$U$24,MATCH($C4083,DATA_ASSET_CLASSIFICATION!$A$8:$A$24,0)),"Review"))</f>
        <v>New Build</v>
      </c>
      <c r="O4083" s="350" t="str">
        <f>IF($B4083="Portfolio","Portfolio",IFERROR(INDEX(DATA_ASSET_CLASSIFICATION!$AB$8:$AB$13,MATCH($N4083,DATA_ASSET_CLASSIFICATION!$AA$8:$AA$13,0)),"Review"))</f>
        <v>Bucket 1 · New Build</v>
      </c>
      <c r="P4083" s="350" t="str">
        <f>IF($B4083="Portfolio","Portfolio",IFERROR(INDEX(DATA_ASSET_CLASSIFICATION!$C$8:$C$24,MATCH($C4083,DATA_ASSET_CLASSIFICATION!$A$8:$A$24,0)),"Review"))</f>
        <v>Yes</v>
      </c>
      <c r="Q4083" s="350" t="str">
        <f t="shared" ca="1" si="127"/>
        <v>OK</v>
      </c>
    </row>
    <row r="4084" spans="1:17">
      <c r="A4084" s="366" t="s">
        <v>6040</v>
      </c>
      <c r="B4084" s="366" t="s">
        <v>231</v>
      </c>
      <c r="C4084" s="348" t="str">
        <f>DATA_PROPERTY_MASTER!$A$18</f>
        <v>BLD_AS</v>
      </c>
      <c r="D4084" s="380">
        <f>'00_PORTFOLIO ROLLUP'!F$12</f>
        <v>2026</v>
      </c>
      <c r="E4084" s="366" t="s">
        <v>1741</v>
      </c>
      <c r="F4084" s="366" t="s">
        <v>1749</v>
      </c>
      <c r="G4084" s="348" t="str">
        <f>"'"&amp;$C4084&amp;"'!rows 56, 63, 68"</f>
        <v>'BLD_AS'!rows 56, 63, 68</v>
      </c>
      <c r="H4084" s="381">
        <f ca="1">IF(IFERROR(INDEX(DATA_PROPERTY_MASTER!$E$5:$E$21,MATCH($C4084,DATA_PROPERTY_MASTER!$A$5:$A$21,0))="Yes",FALSE),(IFERROR(INDEX(INDIRECT("'"&amp;$C4084&amp;"'!$E$56:$Y$56"),1,MATCH($D4084,INDIRECT("'"&amp;$C4084&amp;"'!$E$12:$Y$12"),0)),0)+MAX(IFERROR(INDEX(INDIRECT("'"&amp;$C4084&amp;"'!$E$63:$Y$63"),1,MATCH($D4084,INDIRECT("'"&amp;$C4084&amp;"'!$E$12:$Y$12"),0)),0),0))-(IFERROR(INDEX(INDIRECT("'"&amp;$C4084&amp;"'!$E$68:$Y$68"),1,MATCH($D4084,INDIRECT("'"&amp;$C4084&amp;"'!$E$12:$Y$12"),0)),0)),0)</f>
        <v>0</v>
      </c>
      <c r="I4084" s="366" t="s">
        <v>1750</v>
      </c>
      <c r="J4084" s="348" t="str">
        <f t="shared" ca="1" si="126"/>
        <v>OK</v>
      </c>
      <c r="K4084" s="366" t="s">
        <v>1751</v>
      </c>
      <c r="L4084" s="366" t="s">
        <v>2266</v>
      </c>
      <c r="M4084" s="350" t="str">
        <f>IF($B4084="Portfolio","Portfolio",IFERROR(INDEX(DATA_ASSET_CLASSIFICATION!$B$8:$B$24,MATCH($C4084,DATA_ASSET_CLASSIFICATION!$A$8:$A$24,0)),"Review"))</f>
        <v>1656 Adanac Street</v>
      </c>
      <c r="N4084" s="350" t="str">
        <f>IF($B4084="Portfolio","Portfolio",IFERROR(INDEX(DATA_ASSET_CLASSIFICATION!$U$8:$U$24,MATCH($C4084,DATA_ASSET_CLASSIFICATION!$A$8:$A$24,0)),"Review"))</f>
        <v>New Build</v>
      </c>
      <c r="O4084" s="350" t="str">
        <f>IF($B4084="Portfolio","Portfolio",IFERROR(INDEX(DATA_ASSET_CLASSIFICATION!$AB$8:$AB$13,MATCH($N4084,DATA_ASSET_CLASSIFICATION!$AA$8:$AA$13,0)),"Review"))</f>
        <v>Bucket 1 · New Build</v>
      </c>
      <c r="P4084" s="350" t="str">
        <f>IF($B4084="Portfolio","Portfolio",IFERROR(INDEX(DATA_ASSET_CLASSIFICATION!$C$8:$C$24,MATCH($C4084,DATA_ASSET_CLASSIFICATION!$A$8:$A$24,0)),"Review"))</f>
        <v>Yes</v>
      </c>
      <c r="Q4084" s="350" t="str">
        <f t="shared" ca="1" si="127"/>
        <v>OK</v>
      </c>
    </row>
    <row r="4085" spans="1:17">
      <c r="A4085" s="366" t="s">
        <v>6041</v>
      </c>
      <c r="B4085" s="366" t="s">
        <v>231</v>
      </c>
      <c r="C4085" s="348" t="str">
        <f>DATA_PROPERTY_MASTER!$A$18</f>
        <v>BLD_AS</v>
      </c>
      <c r="D4085" s="380">
        <f>'00_PORTFOLIO ROLLUP'!G$12</f>
        <v>2027</v>
      </c>
      <c r="E4085" s="366" t="s">
        <v>1683</v>
      </c>
      <c r="F4085" s="366" t="s">
        <v>341</v>
      </c>
      <c r="G4085" s="348" t="str">
        <f>"'"&amp;$C4085&amp;"'!$E$24:$Y$24"</f>
        <v>'BLD_AS'!$E$24:$Y$24</v>
      </c>
      <c r="H4085" s="381">
        <f ca="1">IF(IFERROR(INDEX(DATA_PROPERTY_MASTER!$E$5:$E$21,MATCH($C4085,DATA_PROPERTY_MASTER!$A$5:$A$21,0))="Yes",FALSE),IFERROR(INDEX(INDIRECT("'"&amp;$C4085&amp;"'!$E$24:$Y$24"),1,MATCH($D4085,INDIRECT("'"&amp;$C4085&amp;"'!$E$12:$Y$12"),0)),0),0)</f>
        <v>0</v>
      </c>
      <c r="I4085" s="366" t="s">
        <v>1685</v>
      </c>
      <c r="J4085" s="348" t="str">
        <f t="shared" ca="1" si="126"/>
        <v>OK</v>
      </c>
      <c r="K4085" s="366" t="s">
        <v>1686</v>
      </c>
      <c r="L4085" s="366" t="s">
        <v>2234</v>
      </c>
      <c r="M4085" s="350" t="str">
        <f>IF($B4085="Portfolio","Portfolio",IFERROR(INDEX(DATA_ASSET_CLASSIFICATION!$B$8:$B$24,MATCH($C4085,DATA_ASSET_CLASSIFICATION!$A$8:$A$24,0)),"Review"))</f>
        <v>1656 Adanac Street</v>
      </c>
      <c r="N4085" s="350" t="str">
        <f>IF($B4085="Portfolio","Portfolio",IFERROR(INDEX(DATA_ASSET_CLASSIFICATION!$U$8:$U$24,MATCH($C4085,DATA_ASSET_CLASSIFICATION!$A$8:$A$24,0)),"Review"))</f>
        <v>New Build</v>
      </c>
      <c r="O4085" s="350" t="str">
        <f>IF($B4085="Portfolio","Portfolio",IFERROR(INDEX(DATA_ASSET_CLASSIFICATION!$AB$8:$AB$13,MATCH($N4085,DATA_ASSET_CLASSIFICATION!$AA$8:$AA$13,0)),"Review"))</f>
        <v>Bucket 1 · New Build</v>
      </c>
      <c r="P4085" s="350" t="str">
        <f>IF($B4085="Portfolio","Portfolio",IFERROR(INDEX(DATA_ASSET_CLASSIFICATION!$C$8:$C$24,MATCH($C4085,DATA_ASSET_CLASSIFICATION!$A$8:$A$24,0)),"Review"))</f>
        <v>Yes</v>
      </c>
      <c r="Q4085" s="350" t="str">
        <f t="shared" ca="1" si="127"/>
        <v>OK</v>
      </c>
    </row>
    <row r="4086" spans="1:17">
      <c r="A4086" s="366" t="s">
        <v>6042</v>
      </c>
      <c r="B4086" s="366" t="s">
        <v>231</v>
      </c>
      <c r="C4086" s="348" t="str">
        <f>DATA_PROPERTY_MASTER!$A$18</f>
        <v>BLD_AS</v>
      </c>
      <c r="D4086" s="380">
        <f>'00_PORTFOLIO ROLLUP'!G$12</f>
        <v>2027</v>
      </c>
      <c r="E4086" s="366" t="s">
        <v>1683</v>
      </c>
      <c r="F4086" s="366" t="s">
        <v>355</v>
      </c>
      <c r="G4086" s="348" t="str">
        <f>"'"&amp;$C4086&amp;"'!$E$39:$Y$39"</f>
        <v>'BLD_AS'!$E$39:$Y$39</v>
      </c>
      <c r="H4086" s="381">
        <f ca="1">IF(IFERROR(INDEX(DATA_PROPERTY_MASTER!$E$5:$E$21,MATCH($C4086,DATA_PROPERTY_MASTER!$A$5:$A$21,0))="Yes",FALSE),IFERROR(INDEX(INDIRECT("'"&amp;$C4086&amp;"'!$E$39:$Y$39"),1,MATCH($D4086,INDIRECT("'"&amp;$C4086&amp;"'!$E$12:$Y$12"),0)),0),0)</f>
        <v>0</v>
      </c>
      <c r="I4086" s="366" t="s">
        <v>1690</v>
      </c>
      <c r="J4086" s="348" t="str">
        <f t="shared" ca="1" si="126"/>
        <v>OK</v>
      </c>
      <c r="K4086" s="366" t="s">
        <v>1686</v>
      </c>
      <c r="L4086" s="366" t="s">
        <v>2236</v>
      </c>
      <c r="M4086" s="350" t="str">
        <f>IF($B4086="Portfolio","Portfolio",IFERROR(INDEX(DATA_ASSET_CLASSIFICATION!$B$8:$B$24,MATCH($C4086,DATA_ASSET_CLASSIFICATION!$A$8:$A$24,0)),"Review"))</f>
        <v>1656 Adanac Street</v>
      </c>
      <c r="N4086" s="350" t="str">
        <f>IF($B4086="Portfolio","Portfolio",IFERROR(INDEX(DATA_ASSET_CLASSIFICATION!$U$8:$U$24,MATCH($C4086,DATA_ASSET_CLASSIFICATION!$A$8:$A$24,0)),"Review"))</f>
        <v>New Build</v>
      </c>
      <c r="O4086" s="350" t="str">
        <f>IF($B4086="Portfolio","Portfolio",IFERROR(INDEX(DATA_ASSET_CLASSIFICATION!$AB$8:$AB$13,MATCH($N4086,DATA_ASSET_CLASSIFICATION!$AA$8:$AA$13,0)),"Review"))</f>
        <v>Bucket 1 · New Build</v>
      </c>
      <c r="P4086" s="350" t="str">
        <f>IF($B4086="Portfolio","Portfolio",IFERROR(INDEX(DATA_ASSET_CLASSIFICATION!$C$8:$C$24,MATCH($C4086,DATA_ASSET_CLASSIFICATION!$A$8:$A$24,0)),"Review"))</f>
        <v>Yes</v>
      </c>
      <c r="Q4086" s="350" t="str">
        <f t="shared" ca="1" si="127"/>
        <v>OK</v>
      </c>
    </row>
    <row r="4087" spans="1:17">
      <c r="A4087" s="366" t="s">
        <v>6043</v>
      </c>
      <c r="B4087" s="366" t="s">
        <v>231</v>
      </c>
      <c r="C4087" s="348" t="str">
        <f>DATA_PROPERTY_MASTER!$A$18</f>
        <v>BLD_AS</v>
      </c>
      <c r="D4087" s="380">
        <f>'00_PORTFOLIO ROLLUP'!G$12</f>
        <v>2027</v>
      </c>
      <c r="E4087" s="366" t="s">
        <v>1683</v>
      </c>
      <c r="F4087" s="366" t="s">
        <v>19</v>
      </c>
      <c r="G4087" s="348" t="str">
        <f>"'"&amp;$C4087&amp;"'!$E$41:$Y$41"</f>
        <v>'BLD_AS'!$E$41:$Y$41</v>
      </c>
      <c r="H4087" s="381">
        <f ca="1">IF(IFERROR(INDEX(DATA_PROPERTY_MASTER!$E$5:$E$21,MATCH($C4087,DATA_PROPERTY_MASTER!$A$5:$A$21,0))="Yes",FALSE),IFERROR(INDEX(INDIRECT("'"&amp;$C4087&amp;"'!$E$41:$Y$41"),1,MATCH($D4087,INDIRECT("'"&amp;$C4087&amp;"'!$E$12:$Y$12"),0)),0),0)</f>
        <v>0</v>
      </c>
      <c r="I4087" s="366" t="s">
        <v>1685</v>
      </c>
      <c r="J4087" s="348" t="str">
        <f t="shared" ca="1" si="126"/>
        <v>OK</v>
      </c>
      <c r="K4087" s="366" t="s">
        <v>1694</v>
      </c>
      <c r="L4087" s="366" t="s">
        <v>2238</v>
      </c>
      <c r="M4087" s="350" t="str">
        <f>IF($B4087="Portfolio","Portfolio",IFERROR(INDEX(DATA_ASSET_CLASSIFICATION!$B$8:$B$24,MATCH($C4087,DATA_ASSET_CLASSIFICATION!$A$8:$A$24,0)),"Review"))</f>
        <v>1656 Adanac Street</v>
      </c>
      <c r="N4087" s="350" t="str">
        <f>IF($B4087="Portfolio","Portfolio",IFERROR(INDEX(DATA_ASSET_CLASSIFICATION!$U$8:$U$24,MATCH($C4087,DATA_ASSET_CLASSIFICATION!$A$8:$A$24,0)),"Review"))</f>
        <v>New Build</v>
      </c>
      <c r="O4087" s="350" t="str">
        <f>IF($B4087="Portfolio","Portfolio",IFERROR(INDEX(DATA_ASSET_CLASSIFICATION!$AB$8:$AB$13,MATCH($N4087,DATA_ASSET_CLASSIFICATION!$AA$8:$AA$13,0)),"Review"))</f>
        <v>Bucket 1 · New Build</v>
      </c>
      <c r="P4087" s="350" t="str">
        <f>IF($B4087="Portfolio","Portfolio",IFERROR(INDEX(DATA_ASSET_CLASSIFICATION!$C$8:$C$24,MATCH($C4087,DATA_ASSET_CLASSIFICATION!$A$8:$A$24,0)),"Review"))</f>
        <v>Yes</v>
      </c>
      <c r="Q4087" s="350" t="str">
        <f t="shared" ca="1" si="127"/>
        <v>OK</v>
      </c>
    </row>
    <row r="4088" spans="1:17">
      <c r="A4088" s="366" t="s">
        <v>6044</v>
      </c>
      <c r="B4088" s="366" t="s">
        <v>231</v>
      </c>
      <c r="C4088" s="348" t="str">
        <f>DATA_PROPERTY_MASTER!$A$18</f>
        <v>BLD_AS</v>
      </c>
      <c r="D4088" s="380">
        <f>'00_PORTFOLIO ROLLUP'!G$12</f>
        <v>2027</v>
      </c>
      <c r="E4088" s="366" t="s">
        <v>1683</v>
      </c>
      <c r="F4088" s="366" t="s">
        <v>1697</v>
      </c>
      <c r="G4088" s="348" t="str">
        <f>"'"&amp;$C4088&amp;"'!$E$44:$Y$44"</f>
        <v>'BLD_AS'!$E$44:$Y$44</v>
      </c>
      <c r="H4088" s="381">
        <f ca="1">IF(IFERROR(INDEX(DATA_PROPERTY_MASTER!$E$5:$E$21,MATCH($C4088,DATA_PROPERTY_MASTER!$A$5:$A$21,0))="Yes",FALSE),IFERROR(INDEX(INDIRECT("'"&amp;$C4088&amp;"'!$E$44:$Y$44"),1,MATCH($D4088,INDIRECT("'"&amp;$C4088&amp;"'!$E$12:$Y$12"),0)),0),0)</f>
        <v>0</v>
      </c>
      <c r="I4088" s="366" t="s">
        <v>1690</v>
      </c>
      <c r="J4088" s="348" t="str">
        <f t="shared" ca="1" si="126"/>
        <v>OK</v>
      </c>
      <c r="K4088" s="366" t="s">
        <v>1699</v>
      </c>
      <c r="L4088" s="366" t="s">
        <v>2240</v>
      </c>
      <c r="M4088" s="350" t="str">
        <f>IF($B4088="Portfolio","Portfolio",IFERROR(INDEX(DATA_ASSET_CLASSIFICATION!$B$8:$B$24,MATCH($C4088,DATA_ASSET_CLASSIFICATION!$A$8:$A$24,0)),"Review"))</f>
        <v>1656 Adanac Street</v>
      </c>
      <c r="N4088" s="350" t="str">
        <f>IF($B4088="Portfolio","Portfolio",IFERROR(INDEX(DATA_ASSET_CLASSIFICATION!$U$8:$U$24,MATCH($C4088,DATA_ASSET_CLASSIFICATION!$A$8:$A$24,0)),"Review"))</f>
        <v>New Build</v>
      </c>
      <c r="O4088" s="350" t="str">
        <f>IF($B4088="Portfolio","Portfolio",IFERROR(INDEX(DATA_ASSET_CLASSIFICATION!$AB$8:$AB$13,MATCH($N4088,DATA_ASSET_CLASSIFICATION!$AA$8:$AA$13,0)),"Review"))</f>
        <v>Bucket 1 · New Build</v>
      </c>
      <c r="P4088" s="350" t="str">
        <f>IF($B4088="Portfolio","Portfolio",IFERROR(INDEX(DATA_ASSET_CLASSIFICATION!$C$8:$C$24,MATCH($C4088,DATA_ASSET_CLASSIFICATION!$A$8:$A$24,0)),"Review"))</f>
        <v>Yes</v>
      </c>
      <c r="Q4088" s="350" t="str">
        <f t="shared" ca="1" si="127"/>
        <v>OK</v>
      </c>
    </row>
    <row r="4089" spans="1:17">
      <c r="A4089" s="366" t="s">
        <v>6045</v>
      </c>
      <c r="B4089" s="366" t="s">
        <v>231</v>
      </c>
      <c r="C4089" s="348" t="str">
        <f>DATA_PROPERTY_MASTER!$A$18</f>
        <v>BLD_AS</v>
      </c>
      <c r="D4089" s="380">
        <f>'00_PORTFOLIO ROLLUP'!G$12</f>
        <v>2027</v>
      </c>
      <c r="E4089" s="366" t="s">
        <v>1683</v>
      </c>
      <c r="F4089" s="366" t="s">
        <v>21</v>
      </c>
      <c r="G4089" s="348" t="str">
        <f>"'"&amp;$C4089&amp;"'!$E$45:$Y$45"</f>
        <v>'BLD_AS'!$E$45:$Y$45</v>
      </c>
      <c r="H4089" s="381">
        <f ca="1">IF(IFERROR(INDEX(DATA_PROPERTY_MASTER!$E$5:$E$21,MATCH($C4089,DATA_PROPERTY_MASTER!$A$5:$A$21,0))="Yes",FALSE),IFERROR(INDEX(INDIRECT("'"&amp;$C4089&amp;"'!$E$45:$Y$45"),1,MATCH($D4089,INDIRECT("'"&amp;$C4089&amp;"'!$E$12:$Y$12"),0)),0),0)</f>
        <v>0</v>
      </c>
      <c r="I4089" s="366" t="s">
        <v>1685</v>
      </c>
      <c r="J4089" s="348" t="str">
        <f t="shared" ca="1" si="126"/>
        <v>OK</v>
      </c>
      <c r="K4089" s="366" t="s">
        <v>1694</v>
      </c>
      <c r="L4089" s="366" t="s">
        <v>2242</v>
      </c>
      <c r="M4089" s="350" t="str">
        <f>IF($B4089="Portfolio","Portfolio",IFERROR(INDEX(DATA_ASSET_CLASSIFICATION!$B$8:$B$24,MATCH($C4089,DATA_ASSET_CLASSIFICATION!$A$8:$A$24,0)),"Review"))</f>
        <v>1656 Adanac Street</v>
      </c>
      <c r="N4089" s="350" t="str">
        <f>IF($B4089="Portfolio","Portfolio",IFERROR(INDEX(DATA_ASSET_CLASSIFICATION!$U$8:$U$24,MATCH($C4089,DATA_ASSET_CLASSIFICATION!$A$8:$A$24,0)),"Review"))</f>
        <v>New Build</v>
      </c>
      <c r="O4089" s="350" t="str">
        <f>IF($B4089="Portfolio","Portfolio",IFERROR(INDEX(DATA_ASSET_CLASSIFICATION!$AB$8:$AB$13,MATCH($N4089,DATA_ASSET_CLASSIFICATION!$AA$8:$AA$13,0)),"Review"))</f>
        <v>Bucket 1 · New Build</v>
      </c>
      <c r="P4089" s="350" t="str">
        <f>IF($B4089="Portfolio","Portfolio",IFERROR(INDEX(DATA_ASSET_CLASSIFICATION!$C$8:$C$24,MATCH($C4089,DATA_ASSET_CLASSIFICATION!$A$8:$A$24,0)),"Review"))</f>
        <v>Yes</v>
      </c>
      <c r="Q4089" s="350" t="str">
        <f t="shared" ca="1" si="127"/>
        <v>OK</v>
      </c>
    </row>
    <row r="4090" spans="1:17">
      <c r="A4090" s="366" t="s">
        <v>6046</v>
      </c>
      <c r="B4090" s="366" t="s">
        <v>231</v>
      </c>
      <c r="C4090" s="348" t="str">
        <f>DATA_PROPERTY_MASTER!$A$18</f>
        <v>BLD_AS</v>
      </c>
      <c r="D4090" s="380">
        <f>'00_PORTFOLIO ROLLUP'!G$12</f>
        <v>2027</v>
      </c>
      <c r="E4090" s="366" t="s">
        <v>23</v>
      </c>
      <c r="F4090" s="366" t="s">
        <v>23</v>
      </c>
      <c r="G4090" s="348" t="str">
        <f>"'"&amp;$C4090&amp;"'!$E$48:$Y$48"</f>
        <v>'BLD_AS'!$E$48:$Y$48</v>
      </c>
      <c r="H4090" s="381">
        <f ca="1">IF(IFERROR(INDEX(DATA_PROPERTY_MASTER!$E$5:$E$21,MATCH($C4090,DATA_PROPERTY_MASTER!$A$5:$A$21,0))="Yes",FALSE),IFERROR(INDEX(INDIRECT("'"&amp;$C4090&amp;"'!$E$48:$Y$48"),1,MATCH($D4090,INDIRECT("'"&amp;$C4090&amp;"'!$E$12:$Y$12"),0)),0),0)</f>
        <v>2119329.1278112764</v>
      </c>
      <c r="I4090" s="366" t="s">
        <v>1690</v>
      </c>
      <c r="J4090" s="348" t="str">
        <f t="shared" ca="1" si="126"/>
        <v>OK</v>
      </c>
      <c r="K4090" s="366" t="s">
        <v>1706</v>
      </c>
      <c r="L4090" s="366" t="s">
        <v>2244</v>
      </c>
      <c r="M4090" s="350" t="str">
        <f>IF($B4090="Portfolio","Portfolio",IFERROR(INDEX(DATA_ASSET_CLASSIFICATION!$B$8:$B$24,MATCH($C4090,DATA_ASSET_CLASSIFICATION!$A$8:$A$24,0)),"Review"))</f>
        <v>1656 Adanac Street</v>
      </c>
      <c r="N4090" s="350" t="str">
        <f>IF($B4090="Portfolio","Portfolio",IFERROR(INDEX(DATA_ASSET_CLASSIFICATION!$U$8:$U$24,MATCH($C4090,DATA_ASSET_CLASSIFICATION!$A$8:$A$24,0)),"Review"))</f>
        <v>New Build</v>
      </c>
      <c r="O4090" s="350" t="str">
        <f>IF($B4090="Portfolio","Portfolio",IFERROR(INDEX(DATA_ASSET_CLASSIFICATION!$AB$8:$AB$13,MATCH($N4090,DATA_ASSET_CLASSIFICATION!$AA$8:$AA$13,0)),"Review"))</f>
        <v>Bucket 1 · New Build</v>
      </c>
      <c r="P4090" s="350" t="str">
        <f>IF($B4090="Portfolio","Portfolio",IFERROR(INDEX(DATA_ASSET_CLASSIFICATION!$C$8:$C$24,MATCH($C4090,DATA_ASSET_CLASSIFICATION!$A$8:$A$24,0)),"Review"))</f>
        <v>Yes</v>
      </c>
      <c r="Q4090" s="350" t="str">
        <f t="shared" ca="1" si="127"/>
        <v>OK</v>
      </c>
    </row>
    <row r="4091" spans="1:17">
      <c r="A4091" s="366" t="s">
        <v>6047</v>
      </c>
      <c r="B4091" s="366" t="s">
        <v>231</v>
      </c>
      <c r="C4091" s="348" t="str">
        <f>DATA_PROPERTY_MASTER!$A$18</f>
        <v>BLD_AS</v>
      </c>
      <c r="D4091" s="380">
        <f>'00_PORTFOLIO ROLLUP'!G$12</f>
        <v>2027</v>
      </c>
      <c r="E4091" s="366" t="s">
        <v>1683</v>
      </c>
      <c r="F4091" s="366" t="s">
        <v>25</v>
      </c>
      <c r="G4091" s="348" t="str">
        <f>"'"&amp;$C4091&amp;"'!$E$52:$Y$52"</f>
        <v>'BLD_AS'!$E$52:$Y$52</v>
      </c>
      <c r="H4091" s="381">
        <f ca="1">IF(IFERROR(INDEX(DATA_PROPERTY_MASTER!$E$5:$E$21,MATCH($C4091,DATA_PROPERTY_MASTER!$A$5:$A$21,0))="Yes",FALSE),IFERROR(INDEX(INDIRECT("'"&amp;$C4091&amp;"'!$E$52:$Y$52"),1,MATCH($D4091,INDIRECT("'"&amp;$C4091&amp;"'!$E$12:$Y$12"),0)),0),0)</f>
        <v>-2119329.1278112764</v>
      </c>
      <c r="I4091" s="366" t="s">
        <v>1685</v>
      </c>
      <c r="J4091" s="348" t="str">
        <f t="shared" ca="1" si="126"/>
        <v>OK</v>
      </c>
      <c r="K4091" s="366" t="s">
        <v>1710</v>
      </c>
      <c r="L4091" s="366" t="s">
        <v>2246</v>
      </c>
      <c r="M4091" s="350" t="str">
        <f>IF($B4091="Portfolio","Portfolio",IFERROR(INDEX(DATA_ASSET_CLASSIFICATION!$B$8:$B$24,MATCH($C4091,DATA_ASSET_CLASSIFICATION!$A$8:$A$24,0)),"Review"))</f>
        <v>1656 Adanac Street</v>
      </c>
      <c r="N4091" s="350" t="str">
        <f>IF($B4091="Portfolio","Portfolio",IFERROR(INDEX(DATA_ASSET_CLASSIFICATION!$U$8:$U$24,MATCH($C4091,DATA_ASSET_CLASSIFICATION!$A$8:$A$24,0)),"Review"))</f>
        <v>New Build</v>
      </c>
      <c r="O4091" s="350" t="str">
        <f>IF($B4091="Portfolio","Portfolio",IFERROR(INDEX(DATA_ASSET_CLASSIFICATION!$AB$8:$AB$13,MATCH($N4091,DATA_ASSET_CLASSIFICATION!$AA$8:$AA$13,0)),"Review"))</f>
        <v>Bucket 1 · New Build</v>
      </c>
      <c r="P4091" s="350" t="str">
        <f>IF($B4091="Portfolio","Portfolio",IFERROR(INDEX(DATA_ASSET_CLASSIFICATION!$C$8:$C$24,MATCH($C4091,DATA_ASSET_CLASSIFICATION!$A$8:$A$24,0)),"Review"))</f>
        <v>Yes</v>
      </c>
      <c r="Q4091" s="350" t="str">
        <f t="shared" ca="1" si="127"/>
        <v>OK</v>
      </c>
    </row>
    <row r="4092" spans="1:17">
      <c r="A4092" s="366" t="s">
        <v>6048</v>
      </c>
      <c r="B4092" s="366" t="s">
        <v>231</v>
      </c>
      <c r="C4092" s="348" t="str">
        <f>DATA_PROPERTY_MASTER!$A$18</f>
        <v>BLD_AS</v>
      </c>
      <c r="D4092" s="380">
        <f>'00_PORTFOLIO ROLLUP'!G$12</f>
        <v>2027</v>
      </c>
      <c r="E4092" s="366" t="s">
        <v>1683</v>
      </c>
      <c r="F4092" s="366" t="s">
        <v>27</v>
      </c>
      <c r="G4092" s="348" t="str">
        <f>"'"&amp;$C4092&amp;"'!$E$54:$Y$54"</f>
        <v>'BLD_AS'!$E$54:$Y$54</v>
      </c>
      <c r="H4092" s="381">
        <f ca="1">IF(IFERROR(INDEX(DATA_PROPERTY_MASTER!$E$5:$E$21,MATCH($C4092,DATA_PROPERTY_MASTER!$A$5:$A$21,0))="Yes",FALSE),IFERROR(INDEX(INDIRECT("'"&amp;$C4092&amp;"'!$E$54:$Y$54"),1,MATCH($D4092,INDIRECT("'"&amp;$C4092&amp;"'!$E$12:$Y$12"),0)),0),0)</f>
        <v>0</v>
      </c>
      <c r="I4092" s="366" t="s">
        <v>1690</v>
      </c>
      <c r="J4092" s="348" t="str">
        <f t="shared" ca="1" si="126"/>
        <v>OK</v>
      </c>
      <c r="K4092" s="366" t="s">
        <v>1714</v>
      </c>
      <c r="L4092" s="366" t="s">
        <v>2248</v>
      </c>
      <c r="M4092" s="350" t="str">
        <f>IF($B4092="Portfolio","Portfolio",IFERROR(INDEX(DATA_ASSET_CLASSIFICATION!$B$8:$B$24,MATCH($C4092,DATA_ASSET_CLASSIFICATION!$A$8:$A$24,0)),"Review"))</f>
        <v>1656 Adanac Street</v>
      </c>
      <c r="N4092" s="350" t="str">
        <f>IF($B4092="Portfolio","Portfolio",IFERROR(INDEX(DATA_ASSET_CLASSIFICATION!$U$8:$U$24,MATCH($C4092,DATA_ASSET_CLASSIFICATION!$A$8:$A$24,0)),"Review"))</f>
        <v>New Build</v>
      </c>
      <c r="O4092" s="350" t="str">
        <f>IF($B4092="Portfolio","Portfolio",IFERROR(INDEX(DATA_ASSET_CLASSIFICATION!$AB$8:$AB$13,MATCH($N4092,DATA_ASSET_CLASSIFICATION!$AA$8:$AA$13,0)),"Review"))</f>
        <v>Bucket 1 · New Build</v>
      </c>
      <c r="P4092" s="350" t="str">
        <f>IF($B4092="Portfolio","Portfolio",IFERROR(INDEX(DATA_ASSET_CLASSIFICATION!$C$8:$C$24,MATCH($C4092,DATA_ASSET_CLASSIFICATION!$A$8:$A$24,0)),"Review"))</f>
        <v>Yes</v>
      </c>
      <c r="Q4092" s="350" t="str">
        <f t="shared" ca="1" si="127"/>
        <v>OK</v>
      </c>
    </row>
    <row r="4093" spans="1:17">
      <c r="A4093" s="366" t="s">
        <v>6049</v>
      </c>
      <c r="B4093" s="366" t="s">
        <v>231</v>
      </c>
      <c r="C4093" s="348" t="str">
        <f>DATA_PROPERTY_MASTER!$A$18</f>
        <v>BLD_AS</v>
      </c>
      <c r="D4093" s="380">
        <f>'00_PORTFOLIO ROLLUP'!G$12</f>
        <v>2027</v>
      </c>
      <c r="E4093" s="366" t="s">
        <v>1683</v>
      </c>
      <c r="F4093" s="366" t="s">
        <v>29</v>
      </c>
      <c r="G4093" s="348" t="str">
        <f>"'"&amp;$C4093&amp;"'!$E$56:$Y$56"</f>
        <v>'BLD_AS'!$E$56:$Y$56</v>
      </c>
      <c r="H4093" s="381">
        <f ca="1">IF(IFERROR(INDEX(DATA_PROPERTY_MASTER!$E$5:$E$21,MATCH($C4093,DATA_PROPERTY_MASTER!$A$5:$A$21,0))="Yes",FALSE),IFERROR(INDEX(INDIRECT("'"&amp;$C4093&amp;"'!$E$56:$Y$56"),1,MATCH($D4093,INDIRECT("'"&amp;$C4093&amp;"'!$E$12:$Y$12"),0)),0),0)</f>
        <v>-2119329.1278112764</v>
      </c>
      <c r="I4093" s="366" t="s">
        <v>1685</v>
      </c>
      <c r="J4093" s="348" t="str">
        <f t="shared" ca="1" si="126"/>
        <v>OK</v>
      </c>
      <c r="K4093" s="366" t="s">
        <v>1718</v>
      </c>
      <c r="L4093" s="366" t="s">
        <v>2250</v>
      </c>
      <c r="M4093" s="350" t="str">
        <f>IF($B4093="Portfolio","Portfolio",IFERROR(INDEX(DATA_ASSET_CLASSIFICATION!$B$8:$B$24,MATCH($C4093,DATA_ASSET_CLASSIFICATION!$A$8:$A$24,0)),"Review"))</f>
        <v>1656 Adanac Street</v>
      </c>
      <c r="N4093" s="350" t="str">
        <f>IF($B4093="Portfolio","Portfolio",IFERROR(INDEX(DATA_ASSET_CLASSIFICATION!$U$8:$U$24,MATCH($C4093,DATA_ASSET_CLASSIFICATION!$A$8:$A$24,0)),"Review"))</f>
        <v>New Build</v>
      </c>
      <c r="O4093" s="350" t="str">
        <f>IF($B4093="Portfolio","Portfolio",IFERROR(INDEX(DATA_ASSET_CLASSIFICATION!$AB$8:$AB$13,MATCH($N4093,DATA_ASSET_CLASSIFICATION!$AA$8:$AA$13,0)),"Review"))</f>
        <v>Bucket 1 · New Build</v>
      </c>
      <c r="P4093" s="350" t="str">
        <f>IF($B4093="Portfolio","Portfolio",IFERROR(INDEX(DATA_ASSET_CLASSIFICATION!$C$8:$C$24,MATCH($C4093,DATA_ASSET_CLASSIFICATION!$A$8:$A$24,0)),"Review"))</f>
        <v>Yes</v>
      </c>
      <c r="Q4093" s="350" t="str">
        <f t="shared" ca="1" si="127"/>
        <v>OK</v>
      </c>
    </row>
    <row r="4094" spans="1:17">
      <c r="A4094" s="366" t="s">
        <v>6050</v>
      </c>
      <c r="B4094" s="366" t="s">
        <v>231</v>
      </c>
      <c r="C4094" s="348" t="str">
        <f>DATA_PROPERTY_MASTER!$A$18</f>
        <v>BLD_AS</v>
      </c>
      <c r="D4094" s="380">
        <f>'00_PORTFOLIO ROLLUP'!G$12</f>
        <v>2027</v>
      </c>
      <c r="E4094" s="366" t="s">
        <v>1721</v>
      </c>
      <c r="F4094" s="366" t="s">
        <v>31</v>
      </c>
      <c r="G4094" s="348" t="str">
        <f>"'"&amp;$C4094&amp;"'!$E$61:$Y$61"</f>
        <v>'BLD_AS'!$E$61:$Y$61</v>
      </c>
      <c r="H4094" s="381">
        <f ca="1">IF(IFERROR(INDEX(DATA_PROPERTY_MASTER!$E$5:$E$21,MATCH($C4094,DATA_PROPERTY_MASTER!$A$5:$A$21,0))="Yes",FALSE),IFERROR(INDEX(INDIRECT("'"&amp;$C4094&amp;"'!$E$61:$Y$61"),1,MATCH($D4094,INDIRECT("'"&amp;$C4094&amp;"'!$E$12:$Y$12"),0)),0),0)</f>
        <v>0</v>
      </c>
      <c r="I4094" s="366" t="s">
        <v>1690</v>
      </c>
      <c r="J4094" s="348" t="str">
        <f t="shared" ca="1" si="126"/>
        <v>OK</v>
      </c>
      <c r="K4094" s="366" t="s">
        <v>1723</v>
      </c>
      <c r="L4094" s="366" t="s">
        <v>2252</v>
      </c>
      <c r="M4094" s="350" t="str">
        <f>IF($B4094="Portfolio","Portfolio",IFERROR(INDEX(DATA_ASSET_CLASSIFICATION!$B$8:$B$24,MATCH($C4094,DATA_ASSET_CLASSIFICATION!$A$8:$A$24,0)),"Review"))</f>
        <v>1656 Adanac Street</v>
      </c>
      <c r="N4094" s="350" t="str">
        <f>IF($B4094="Portfolio","Portfolio",IFERROR(INDEX(DATA_ASSET_CLASSIFICATION!$U$8:$U$24,MATCH($C4094,DATA_ASSET_CLASSIFICATION!$A$8:$A$24,0)),"Review"))</f>
        <v>New Build</v>
      </c>
      <c r="O4094" s="350" t="str">
        <f>IF($B4094="Portfolio","Portfolio",IFERROR(INDEX(DATA_ASSET_CLASSIFICATION!$AB$8:$AB$13,MATCH($N4094,DATA_ASSET_CLASSIFICATION!$AA$8:$AA$13,0)),"Review"))</f>
        <v>Bucket 1 · New Build</v>
      </c>
      <c r="P4094" s="350" t="str">
        <f>IF($B4094="Portfolio","Portfolio",IFERROR(INDEX(DATA_ASSET_CLASSIFICATION!$C$8:$C$24,MATCH($C4094,DATA_ASSET_CLASSIFICATION!$A$8:$A$24,0)),"Review"))</f>
        <v>Yes</v>
      </c>
      <c r="Q4094" s="350" t="str">
        <f t="shared" ca="1" si="127"/>
        <v>OK</v>
      </c>
    </row>
    <row r="4095" spans="1:17">
      <c r="A4095" s="366" t="s">
        <v>6051</v>
      </c>
      <c r="B4095" s="366" t="s">
        <v>231</v>
      </c>
      <c r="C4095" s="348" t="str">
        <f>DATA_PROPERTY_MASTER!$A$18</f>
        <v>BLD_AS</v>
      </c>
      <c r="D4095" s="380">
        <f>'00_PORTFOLIO ROLLUP'!G$12</f>
        <v>2027</v>
      </c>
      <c r="E4095" s="366" t="s">
        <v>1721</v>
      </c>
      <c r="F4095" s="366" t="s">
        <v>33</v>
      </c>
      <c r="G4095" s="348" t="str">
        <f>"'"&amp;$C4095&amp;"'!$E$62:$Y$62"</f>
        <v>'BLD_AS'!$E$62:$Y$62</v>
      </c>
      <c r="H4095" s="381">
        <f ca="1">IF(IFERROR(INDEX(DATA_PROPERTY_MASTER!$E$5:$E$21,MATCH($C4095,DATA_PROPERTY_MASTER!$A$5:$A$21,0))="Yes",FALSE),IFERROR(INDEX(INDIRECT("'"&amp;$C4095&amp;"'!$E$62:$Y$62"),1,MATCH($D4095,INDIRECT("'"&amp;$C4095&amp;"'!$E$12:$Y$12"),0)),0),0)</f>
        <v>0</v>
      </c>
      <c r="I4095" s="366" t="s">
        <v>1685</v>
      </c>
      <c r="J4095" s="348" t="str">
        <f t="shared" ca="1" si="126"/>
        <v>OK</v>
      </c>
      <c r="K4095" s="366" t="s">
        <v>1727</v>
      </c>
      <c r="L4095" s="366" t="s">
        <v>2254</v>
      </c>
      <c r="M4095" s="350" t="str">
        <f>IF($B4095="Portfolio","Portfolio",IFERROR(INDEX(DATA_ASSET_CLASSIFICATION!$B$8:$B$24,MATCH($C4095,DATA_ASSET_CLASSIFICATION!$A$8:$A$24,0)),"Review"))</f>
        <v>1656 Adanac Street</v>
      </c>
      <c r="N4095" s="350" t="str">
        <f>IF($B4095="Portfolio","Portfolio",IFERROR(INDEX(DATA_ASSET_CLASSIFICATION!$U$8:$U$24,MATCH($C4095,DATA_ASSET_CLASSIFICATION!$A$8:$A$24,0)),"Review"))</f>
        <v>New Build</v>
      </c>
      <c r="O4095" s="350" t="str">
        <f>IF($B4095="Portfolio","Portfolio",IFERROR(INDEX(DATA_ASSET_CLASSIFICATION!$AB$8:$AB$13,MATCH($N4095,DATA_ASSET_CLASSIFICATION!$AA$8:$AA$13,0)),"Review"))</f>
        <v>Bucket 1 · New Build</v>
      </c>
      <c r="P4095" s="350" t="str">
        <f>IF($B4095="Portfolio","Portfolio",IFERROR(INDEX(DATA_ASSET_CLASSIFICATION!$C$8:$C$24,MATCH($C4095,DATA_ASSET_CLASSIFICATION!$A$8:$A$24,0)),"Review"))</f>
        <v>Yes</v>
      </c>
      <c r="Q4095" s="350" t="str">
        <f t="shared" ca="1" si="127"/>
        <v>OK</v>
      </c>
    </row>
    <row r="4096" spans="1:17">
      <c r="A4096" s="366" t="s">
        <v>6052</v>
      </c>
      <c r="B4096" s="366" t="s">
        <v>231</v>
      </c>
      <c r="C4096" s="348" t="str">
        <f>DATA_PROPERTY_MASTER!$A$18</f>
        <v>BLD_AS</v>
      </c>
      <c r="D4096" s="380">
        <f>'00_PORTFOLIO ROLLUP'!G$12</f>
        <v>2027</v>
      </c>
      <c r="E4096" s="366" t="s">
        <v>1721</v>
      </c>
      <c r="F4096" s="366" t="s">
        <v>35</v>
      </c>
      <c r="G4096" s="348" t="str">
        <f>"'"&amp;$C4096&amp;"'!$E$63:$Y$63"</f>
        <v>'BLD_AS'!$E$63:$Y$63</v>
      </c>
      <c r="H4096" s="381">
        <f ca="1">IF(IFERROR(INDEX(DATA_PROPERTY_MASTER!$E$5:$E$21,MATCH($C4096,DATA_PROPERTY_MASTER!$A$5:$A$21,0))="Yes",FALSE),IFERROR(INDEX(INDIRECT("'"&amp;$C4096&amp;"'!$E$63:$Y$63"),1,MATCH($D4096,INDIRECT("'"&amp;$C4096&amp;"'!$E$12:$Y$12"),0)),0),0)</f>
        <v>0</v>
      </c>
      <c r="I4096" s="366" t="s">
        <v>1731</v>
      </c>
      <c r="J4096" s="348" t="str">
        <f t="shared" ca="1" si="126"/>
        <v>OK</v>
      </c>
      <c r="K4096" s="366" t="s">
        <v>1732</v>
      </c>
      <c r="L4096" s="366" t="s">
        <v>2256</v>
      </c>
      <c r="M4096" s="350" t="str">
        <f>IF($B4096="Portfolio","Portfolio",IFERROR(INDEX(DATA_ASSET_CLASSIFICATION!$B$8:$B$24,MATCH($C4096,DATA_ASSET_CLASSIFICATION!$A$8:$A$24,0)),"Review"))</f>
        <v>1656 Adanac Street</v>
      </c>
      <c r="N4096" s="350" t="str">
        <f>IF($B4096="Portfolio","Portfolio",IFERROR(INDEX(DATA_ASSET_CLASSIFICATION!$U$8:$U$24,MATCH($C4096,DATA_ASSET_CLASSIFICATION!$A$8:$A$24,0)),"Review"))</f>
        <v>New Build</v>
      </c>
      <c r="O4096" s="350" t="str">
        <f>IF($B4096="Portfolio","Portfolio",IFERROR(INDEX(DATA_ASSET_CLASSIFICATION!$AB$8:$AB$13,MATCH($N4096,DATA_ASSET_CLASSIFICATION!$AA$8:$AA$13,0)),"Review"))</f>
        <v>Bucket 1 · New Build</v>
      </c>
      <c r="P4096" s="350" t="str">
        <f>IF($B4096="Portfolio","Portfolio",IFERROR(INDEX(DATA_ASSET_CLASSIFICATION!$C$8:$C$24,MATCH($C4096,DATA_ASSET_CLASSIFICATION!$A$8:$A$24,0)),"Review"))</f>
        <v>Yes</v>
      </c>
      <c r="Q4096" s="350" t="str">
        <f t="shared" ca="1" si="127"/>
        <v>OK</v>
      </c>
    </row>
    <row r="4097" spans="1:17">
      <c r="A4097" s="366" t="s">
        <v>6053</v>
      </c>
      <c r="B4097" s="366" t="s">
        <v>231</v>
      </c>
      <c r="C4097" s="348" t="str">
        <f>DATA_PROPERTY_MASTER!$A$18</f>
        <v>BLD_AS</v>
      </c>
      <c r="D4097" s="380">
        <f>'00_PORTFOLIO ROLLUP'!G$12</f>
        <v>2027</v>
      </c>
      <c r="E4097" s="366" t="s">
        <v>1721</v>
      </c>
      <c r="F4097" s="366" t="s">
        <v>37</v>
      </c>
      <c r="G4097" s="348" t="str">
        <f>"'"&amp;$C4097&amp;"'!$E$63:$Y$63"</f>
        <v>'BLD_AS'!$E$63:$Y$63</v>
      </c>
      <c r="H4097" s="381">
        <f ca="1">IF(IFERROR(INDEX(DATA_PROPERTY_MASTER!$E$5:$E$21,MATCH($C4097,DATA_PROPERTY_MASTER!$A$5:$A$21,0))="Yes",FALSE),MAX(IFERROR(INDEX(INDIRECT("'"&amp;$C4097&amp;"'!$E$63:$Y$63"),1,MATCH($D4097,INDIRECT("'"&amp;$C4097&amp;"'!$E$12:$Y$12"),0)),0),0),0)</f>
        <v>0</v>
      </c>
      <c r="I4097" s="366" t="s">
        <v>1685</v>
      </c>
      <c r="J4097" s="348" t="str">
        <f t="shared" ca="1" si="126"/>
        <v>OK</v>
      </c>
      <c r="K4097" s="366" t="s">
        <v>1735</v>
      </c>
      <c r="L4097" s="366" t="s">
        <v>2258</v>
      </c>
      <c r="M4097" s="350" t="str">
        <f>IF($B4097="Portfolio","Portfolio",IFERROR(INDEX(DATA_ASSET_CLASSIFICATION!$B$8:$B$24,MATCH($C4097,DATA_ASSET_CLASSIFICATION!$A$8:$A$24,0)),"Review"))</f>
        <v>1656 Adanac Street</v>
      </c>
      <c r="N4097" s="350" t="str">
        <f>IF($B4097="Portfolio","Portfolio",IFERROR(INDEX(DATA_ASSET_CLASSIFICATION!$U$8:$U$24,MATCH($C4097,DATA_ASSET_CLASSIFICATION!$A$8:$A$24,0)),"Review"))</f>
        <v>New Build</v>
      </c>
      <c r="O4097" s="350" t="str">
        <f>IF($B4097="Portfolio","Portfolio",IFERROR(INDEX(DATA_ASSET_CLASSIFICATION!$AB$8:$AB$13,MATCH($N4097,DATA_ASSET_CLASSIFICATION!$AA$8:$AA$13,0)),"Review"))</f>
        <v>Bucket 1 · New Build</v>
      </c>
      <c r="P4097" s="350" t="str">
        <f>IF($B4097="Portfolio","Portfolio",IFERROR(INDEX(DATA_ASSET_CLASSIFICATION!$C$8:$C$24,MATCH($C4097,DATA_ASSET_CLASSIFICATION!$A$8:$A$24,0)),"Review"))</f>
        <v>Yes</v>
      </c>
      <c r="Q4097" s="350" t="str">
        <f t="shared" ca="1" si="127"/>
        <v>OK</v>
      </c>
    </row>
    <row r="4098" spans="1:17">
      <c r="A4098" s="366" t="s">
        <v>6054</v>
      </c>
      <c r="B4098" s="366" t="s">
        <v>231</v>
      </c>
      <c r="C4098" s="348" t="str">
        <f>DATA_PROPERTY_MASTER!$A$18</f>
        <v>BLD_AS</v>
      </c>
      <c r="D4098" s="380">
        <f>'00_PORTFOLIO ROLLUP'!G$12</f>
        <v>2027</v>
      </c>
      <c r="E4098" s="366" t="s">
        <v>1721</v>
      </c>
      <c r="F4098" s="366" t="s">
        <v>39</v>
      </c>
      <c r="G4098" s="348" t="str">
        <f>"'"&amp;$C4098&amp;"'!$E$63:$Y$63"</f>
        <v>'BLD_AS'!$E$63:$Y$63</v>
      </c>
      <c r="H4098" s="381">
        <f ca="1">IF(IFERROR(INDEX(DATA_PROPERTY_MASTER!$E$5:$E$21,MATCH($C4098,DATA_PROPERTY_MASTER!$A$5:$A$21,0))="Yes",FALSE),MAX(-IFERROR(INDEX(INDIRECT("'"&amp;$C4098&amp;"'!$E$63:$Y$63"),1,MATCH($D4098,INDIRECT("'"&amp;$C4098&amp;"'!$E$12:$Y$12"),0)),0),0),0)</f>
        <v>0</v>
      </c>
      <c r="I4098" s="366" t="s">
        <v>1690</v>
      </c>
      <c r="J4098" s="348" t="str">
        <f t="shared" ca="1" si="126"/>
        <v>OK</v>
      </c>
      <c r="K4098" s="366" t="s">
        <v>1738</v>
      </c>
      <c r="L4098" s="366" t="s">
        <v>2260</v>
      </c>
      <c r="M4098" s="350" t="str">
        <f>IF($B4098="Portfolio","Portfolio",IFERROR(INDEX(DATA_ASSET_CLASSIFICATION!$B$8:$B$24,MATCH($C4098,DATA_ASSET_CLASSIFICATION!$A$8:$A$24,0)),"Review"))</f>
        <v>1656 Adanac Street</v>
      </c>
      <c r="N4098" s="350" t="str">
        <f>IF($B4098="Portfolio","Portfolio",IFERROR(INDEX(DATA_ASSET_CLASSIFICATION!$U$8:$U$24,MATCH($C4098,DATA_ASSET_CLASSIFICATION!$A$8:$A$24,0)),"Review"))</f>
        <v>New Build</v>
      </c>
      <c r="O4098" s="350" t="str">
        <f>IF($B4098="Portfolio","Portfolio",IFERROR(INDEX(DATA_ASSET_CLASSIFICATION!$AB$8:$AB$13,MATCH($N4098,DATA_ASSET_CLASSIFICATION!$AA$8:$AA$13,0)),"Review"))</f>
        <v>Bucket 1 · New Build</v>
      </c>
      <c r="P4098" s="350" t="str">
        <f>IF($B4098="Portfolio","Portfolio",IFERROR(INDEX(DATA_ASSET_CLASSIFICATION!$C$8:$C$24,MATCH($C4098,DATA_ASSET_CLASSIFICATION!$A$8:$A$24,0)),"Review"))</f>
        <v>Yes</v>
      </c>
      <c r="Q4098" s="350" t="str">
        <f t="shared" ca="1" si="127"/>
        <v>OK</v>
      </c>
    </row>
    <row r="4099" spans="1:17">
      <c r="A4099" s="366" t="s">
        <v>6055</v>
      </c>
      <c r="B4099" s="366" t="s">
        <v>231</v>
      </c>
      <c r="C4099" s="348" t="str">
        <f>DATA_PROPERTY_MASTER!$A$18</f>
        <v>BLD_AS</v>
      </c>
      <c r="D4099" s="380">
        <f>'00_PORTFOLIO ROLLUP'!G$12</f>
        <v>2027</v>
      </c>
      <c r="E4099" s="366" t="s">
        <v>1741</v>
      </c>
      <c r="F4099" s="366" t="s">
        <v>41</v>
      </c>
      <c r="G4099" s="348" t="str">
        <f>"'"&amp;$C4099&amp;"'!rows 56 + positive row 63"</f>
        <v>'BLD_AS'!rows 56 + positive row 63</v>
      </c>
      <c r="H4099" s="381">
        <f ca="1">IF(IFERROR(INDEX(DATA_PROPERTY_MASTER!$E$5:$E$21,MATCH($C4099,DATA_PROPERTY_MASTER!$A$5:$A$21,0))="Yes",FALSE),IFERROR(INDEX(INDIRECT("'"&amp;$C4099&amp;"'!$E$56:$Y$56"),1,MATCH($D4099,INDIRECT("'"&amp;$C4099&amp;"'!$E$12:$Y$12"),0)),0)+MAX(IFERROR(INDEX(INDIRECT("'"&amp;$C4099&amp;"'!$E$63:$Y$63"),1,MATCH($D4099,INDIRECT("'"&amp;$C4099&amp;"'!$E$12:$Y$12"),0)),0),0),0)</f>
        <v>-2119329.1278112764</v>
      </c>
      <c r="I4099" s="366" t="s">
        <v>1685</v>
      </c>
      <c r="J4099" s="348" t="str">
        <f t="shared" ca="1" si="126"/>
        <v>OK</v>
      </c>
      <c r="K4099" s="366" t="s">
        <v>1742</v>
      </c>
      <c r="L4099" s="366" t="s">
        <v>2262</v>
      </c>
      <c r="M4099" s="350" t="str">
        <f>IF($B4099="Portfolio","Portfolio",IFERROR(INDEX(DATA_ASSET_CLASSIFICATION!$B$8:$B$24,MATCH($C4099,DATA_ASSET_CLASSIFICATION!$A$8:$A$24,0)),"Review"))</f>
        <v>1656 Adanac Street</v>
      </c>
      <c r="N4099" s="350" t="str">
        <f>IF($B4099="Portfolio","Portfolio",IFERROR(INDEX(DATA_ASSET_CLASSIFICATION!$U$8:$U$24,MATCH($C4099,DATA_ASSET_CLASSIFICATION!$A$8:$A$24,0)),"Review"))</f>
        <v>New Build</v>
      </c>
      <c r="O4099" s="350" t="str">
        <f>IF($B4099="Portfolio","Portfolio",IFERROR(INDEX(DATA_ASSET_CLASSIFICATION!$AB$8:$AB$13,MATCH($N4099,DATA_ASSET_CLASSIFICATION!$AA$8:$AA$13,0)),"Review"))</f>
        <v>Bucket 1 · New Build</v>
      </c>
      <c r="P4099" s="350" t="str">
        <f>IF($B4099="Portfolio","Portfolio",IFERROR(INDEX(DATA_ASSET_CLASSIFICATION!$C$8:$C$24,MATCH($C4099,DATA_ASSET_CLASSIFICATION!$A$8:$A$24,0)),"Review"))</f>
        <v>Yes</v>
      </c>
      <c r="Q4099" s="350" t="str">
        <f t="shared" ca="1" si="127"/>
        <v>OK</v>
      </c>
    </row>
    <row r="4100" spans="1:17">
      <c r="A4100" s="366" t="s">
        <v>6056</v>
      </c>
      <c r="B4100" s="366" t="s">
        <v>231</v>
      </c>
      <c r="C4100" s="348" t="str">
        <f>DATA_PROPERTY_MASTER!$A$18</f>
        <v>BLD_AS</v>
      </c>
      <c r="D4100" s="380">
        <f>'00_PORTFOLIO ROLLUP'!G$12</f>
        <v>2027</v>
      </c>
      <c r="E4100" s="366" t="s">
        <v>1741</v>
      </c>
      <c r="F4100" s="366" t="s">
        <v>43</v>
      </c>
      <c r="G4100" s="348" t="str">
        <f>"'"&amp;$C4100&amp;"'!$E$68:$Y$68"</f>
        <v>'BLD_AS'!$E$68:$Y$68</v>
      </c>
      <c r="H4100" s="381">
        <f ca="1">IF(IFERROR(INDEX(DATA_PROPERTY_MASTER!$E$5:$E$21,MATCH($C4100,DATA_PROPERTY_MASTER!$A$5:$A$21,0))="Yes",FALSE),IFERROR(INDEX(INDIRECT("'"&amp;$C4100&amp;"'!$E$68:$Y$68"),1,MATCH($D4100,INDIRECT("'"&amp;$C4100&amp;"'!$E$12:$Y$12"),0)),0),0)</f>
        <v>-2119329.1278112764</v>
      </c>
      <c r="I4100" s="366" t="s">
        <v>1731</v>
      </c>
      <c r="J4100" s="348" t="str">
        <f t="shared" ca="1" si="126"/>
        <v>OK</v>
      </c>
      <c r="K4100" s="366" t="s">
        <v>1746</v>
      </c>
      <c r="L4100" s="366" t="s">
        <v>2264</v>
      </c>
      <c r="M4100" s="350" t="str">
        <f>IF($B4100="Portfolio","Portfolio",IFERROR(INDEX(DATA_ASSET_CLASSIFICATION!$B$8:$B$24,MATCH($C4100,DATA_ASSET_CLASSIFICATION!$A$8:$A$24,0)),"Review"))</f>
        <v>1656 Adanac Street</v>
      </c>
      <c r="N4100" s="350" t="str">
        <f>IF($B4100="Portfolio","Portfolio",IFERROR(INDEX(DATA_ASSET_CLASSIFICATION!$U$8:$U$24,MATCH($C4100,DATA_ASSET_CLASSIFICATION!$A$8:$A$24,0)),"Review"))</f>
        <v>New Build</v>
      </c>
      <c r="O4100" s="350" t="str">
        <f>IF($B4100="Portfolio","Portfolio",IFERROR(INDEX(DATA_ASSET_CLASSIFICATION!$AB$8:$AB$13,MATCH($N4100,DATA_ASSET_CLASSIFICATION!$AA$8:$AA$13,0)),"Review"))</f>
        <v>Bucket 1 · New Build</v>
      </c>
      <c r="P4100" s="350" t="str">
        <f>IF($B4100="Portfolio","Portfolio",IFERROR(INDEX(DATA_ASSET_CLASSIFICATION!$C$8:$C$24,MATCH($C4100,DATA_ASSET_CLASSIFICATION!$A$8:$A$24,0)),"Review"))</f>
        <v>Yes</v>
      </c>
      <c r="Q4100" s="350" t="str">
        <f t="shared" ca="1" si="127"/>
        <v>OK</v>
      </c>
    </row>
    <row r="4101" spans="1:17">
      <c r="A4101" s="366" t="s">
        <v>6057</v>
      </c>
      <c r="B4101" s="366" t="s">
        <v>231</v>
      </c>
      <c r="C4101" s="348" t="str">
        <f>DATA_PROPERTY_MASTER!$A$18</f>
        <v>BLD_AS</v>
      </c>
      <c r="D4101" s="380">
        <f>'00_PORTFOLIO ROLLUP'!G$12</f>
        <v>2027</v>
      </c>
      <c r="E4101" s="366" t="s">
        <v>1741</v>
      </c>
      <c r="F4101" s="366" t="s">
        <v>1749</v>
      </c>
      <c r="G4101" s="348" t="str">
        <f>"'"&amp;$C4101&amp;"'!rows 56, 63, 68"</f>
        <v>'BLD_AS'!rows 56, 63, 68</v>
      </c>
      <c r="H4101" s="381">
        <f ca="1">IF(IFERROR(INDEX(DATA_PROPERTY_MASTER!$E$5:$E$21,MATCH($C4101,DATA_PROPERTY_MASTER!$A$5:$A$21,0))="Yes",FALSE),(IFERROR(INDEX(INDIRECT("'"&amp;$C4101&amp;"'!$E$56:$Y$56"),1,MATCH($D4101,INDIRECT("'"&amp;$C4101&amp;"'!$E$12:$Y$12"),0)),0)+MAX(IFERROR(INDEX(INDIRECT("'"&amp;$C4101&amp;"'!$E$63:$Y$63"),1,MATCH($D4101,INDIRECT("'"&amp;$C4101&amp;"'!$E$12:$Y$12"),0)),0),0))-(IFERROR(INDEX(INDIRECT("'"&amp;$C4101&amp;"'!$E$68:$Y$68"),1,MATCH($D4101,INDIRECT("'"&amp;$C4101&amp;"'!$E$12:$Y$12"),0)),0)),0)</f>
        <v>0</v>
      </c>
      <c r="I4101" s="366" t="s">
        <v>1750</v>
      </c>
      <c r="J4101" s="348" t="str">
        <f t="shared" ref="J4101:J4164" ca="1" si="128">IF($F4101="Residual Funding Gap",IF($H4101&gt;0,"Funding Gap","OK"),IF(AND($F4101="Net Refinance Position",$H4101&lt;0),"Negative net refi position","OK"))</f>
        <v>OK</v>
      </c>
      <c r="K4101" s="366" t="s">
        <v>1751</v>
      </c>
      <c r="L4101" s="366" t="s">
        <v>2266</v>
      </c>
      <c r="M4101" s="350" t="str">
        <f>IF($B4101="Portfolio","Portfolio",IFERROR(INDEX(DATA_ASSET_CLASSIFICATION!$B$8:$B$24,MATCH($C4101,DATA_ASSET_CLASSIFICATION!$A$8:$A$24,0)),"Review"))</f>
        <v>1656 Adanac Street</v>
      </c>
      <c r="N4101" s="350" t="str">
        <f>IF($B4101="Portfolio","Portfolio",IFERROR(INDEX(DATA_ASSET_CLASSIFICATION!$U$8:$U$24,MATCH($C4101,DATA_ASSET_CLASSIFICATION!$A$8:$A$24,0)),"Review"))</f>
        <v>New Build</v>
      </c>
      <c r="O4101" s="350" t="str">
        <f>IF($B4101="Portfolio","Portfolio",IFERROR(INDEX(DATA_ASSET_CLASSIFICATION!$AB$8:$AB$13,MATCH($N4101,DATA_ASSET_CLASSIFICATION!$AA$8:$AA$13,0)),"Review"))</f>
        <v>Bucket 1 · New Build</v>
      </c>
      <c r="P4101" s="350" t="str">
        <f>IF($B4101="Portfolio","Portfolio",IFERROR(INDEX(DATA_ASSET_CLASSIFICATION!$C$8:$C$24,MATCH($C4101,DATA_ASSET_CLASSIFICATION!$A$8:$A$24,0)),"Review"))</f>
        <v>Yes</v>
      </c>
      <c r="Q4101" s="350" t="str">
        <f t="shared" ref="Q4101:Q4164" ca="1" si="129">IF(AND($B4101="Property",$F4101="Residual Funding Gap",$H4101&gt;0),"Property Funding Gap",IF($J4101&lt;&gt;"OK",$J4101,"OK"))</f>
        <v>OK</v>
      </c>
    </row>
    <row r="4102" spans="1:17">
      <c r="A4102" s="366" t="s">
        <v>6058</v>
      </c>
      <c r="B4102" s="366" t="s">
        <v>231</v>
      </c>
      <c r="C4102" s="348" t="str">
        <f>DATA_PROPERTY_MASTER!$A$18</f>
        <v>BLD_AS</v>
      </c>
      <c r="D4102" s="380">
        <f>'00_PORTFOLIO ROLLUP'!H$12</f>
        <v>2028</v>
      </c>
      <c r="E4102" s="366" t="s">
        <v>1683</v>
      </c>
      <c r="F4102" s="366" t="s">
        <v>341</v>
      </c>
      <c r="G4102" s="348" t="str">
        <f>"'"&amp;$C4102&amp;"'!$E$24:$Y$24"</f>
        <v>'BLD_AS'!$E$24:$Y$24</v>
      </c>
      <c r="H4102" s="381">
        <f ca="1">IF(IFERROR(INDEX(DATA_PROPERTY_MASTER!$E$5:$E$21,MATCH($C4102,DATA_PROPERTY_MASTER!$A$5:$A$21,0))="Yes",FALSE),IFERROR(INDEX(INDIRECT("'"&amp;$C4102&amp;"'!$E$24:$Y$24"),1,MATCH($D4102,INDIRECT("'"&amp;$C4102&amp;"'!$E$12:$Y$12"),0)),0),0)</f>
        <v>2035997.68323672</v>
      </c>
      <c r="I4102" s="366" t="s">
        <v>1685</v>
      </c>
      <c r="J4102" s="348" t="str">
        <f t="shared" ca="1" si="128"/>
        <v>OK</v>
      </c>
      <c r="K4102" s="366" t="s">
        <v>1686</v>
      </c>
      <c r="L4102" s="366" t="s">
        <v>2234</v>
      </c>
      <c r="M4102" s="350" t="str">
        <f>IF($B4102="Portfolio","Portfolio",IFERROR(INDEX(DATA_ASSET_CLASSIFICATION!$B$8:$B$24,MATCH($C4102,DATA_ASSET_CLASSIFICATION!$A$8:$A$24,0)),"Review"))</f>
        <v>1656 Adanac Street</v>
      </c>
      <c r="N4102" s="350" t="str">
        <f>IF($B4102="Portfolio","Portfolio",IFERROR(INDEX(DATA_ASSET_CLASSIFICATION!$U$8:$U$24,MATCH($C4102,DATA_ASSET_CLASSIFICATION!$A$8:$A$24,0)),"Review"))</f>
        <v>New Build</v>
      </c>
      <c r="O4102" s="350" t="str">
        <f>IF($B4102="Portfolio","Portfolio",IFERROR(INDEX(DATA_ASSET_CLASSIFICATION!$AB$8:$AB$13,MATCH($N4102,DATA_ASSET_CLASSIFICATION!$AA$8:$AA$13,0)),"Review"))</f>
        <v>Bucket 1 · New Build</v>
      </c>
      <c r="P4102" s="350" t="str">
        <f>IF($B4102="Portfolio","Portfolio",IFERROR(INDEX(DATA_ASSET_CLASSIFICATION!$C$8:$C$24,MATCH($C4102,DATA_ASSET_CLASSIFICATION!$A$8:$A$24,0)),"Review"))</f>
        <v>Yes</v>
      </c>
      <c r="Q4102" s="350" t="str">
        <f t="shared" ca="1" si="129"/>
        <v>OK</v>
      </c>
    </row>
    <row r="4103" spans="1:17">
      <c r="A4103" s="366" t="s">
        <v>6059</v>
      </c>
      <c r="B4103" s="366" t="s">
        <v>231</v>
      </c>
      <c r="C4103" s="348" t="str">
        <f>DATA_PROPERTY_MASTER!$A$18</f>
        <v>BLD_AS</v>
      </c>
      <c r="D4103" s="380">
        <f>'00_PORTFOLIO ROLLUP'!H$12</f>
        <v>2028</v>
      </c>
      <c r="E4103" s="366" t="s">
        <v>1683</v>
      </c>
      <c r="F4103" s="366" t="s">
        <v>355</v>
      </c>
      <c r="G4103" s="348" t="str">
        <f>"'"&amp;$C4103&amp;"'!$E$39:$Y$39"</f>
        <v>'BLD_AS'!$E$39:$Y$39</v>
      </c>
      <c r="H4103" s="381">
        <f ca="1">IF(IFERROR(INDEX(DATA_PROPERTY_MASTER!$E$5:$E$21,MATCH($C4103,DATA_PROPERTY_MASTER!$A$5:$A$21,0))="Yes",FALSE),IFERROR(INDEX(INDIRECT("'"&amp;$C4103&amp;"'!$E$39:$Y$39"),1,MATCH($D4103,INDIRECT("'"&amp;$C4103&amp;"'!$E$12:$Y$12"),0)),0),0)</f>
        <v>822966.25049600005</v>
      </c>
      <c r="I4103" s="366" t="s">
        <v>1690</v>
      </c>
      <c r="J4103" s="348" t="str">
        <f t="shared" ca="1" si="128"/>
        <v>OK</v>
      </c>
      <c r="K4103" s="366" t="s">
        <v>1686</v>
      </c>
      <c r="L4103" s="366" t="s">
        <v>2236</v>
      </c>
      <c r="M4103" s="350" t="str">
        <f>IF($B4103="Portfolio","Portfolio",IFERROR(INDEX(DATA_ASSET_CLASSIFICATION!$B$8:$B$24,MATCH($C4103,DATA_ASSET_CLASSIFICATION!$A$8:$A$24,0)),"Review"))</f>
        <v>1656 Adanac Street</v>
      </c>
      <c r="N4103" s="350" t="str">
        <f>IF($B4103="Portfolio","Portfolio",IFERROR(INDEX(DATA_ASSET_CLASSIFICATION!$U$8:$U$24,MATCH($C4103,DATA_ASSET_CLASSIFICATION!$A$8:$A$24,0)),"Review"))</f>
        <v>New Build</v>
      </c>
      <c r="O4103" s="350" t="str">
        <f>IF($B4103="Portfolio","Portfolio",IFERROR(INDEX(DATA_ASSET_CLASSIFICATION!$AB$8:$AB$13,MATCH($N4103,DATA_ASSET_CLASSIFICATION!$AA$8:$AA$13,0)),"Review"))</f>
        <v>Bucket 1 · New Build</v>
      </c>
      <c r="P4103" s="350" t="str">
        <f>IF($B4103="Portfolio","Portfolio",IFERROR(INDEX(DATA_ASSET_CLASSIFICATION!$C$8:$C$24,MATCH($C4103,DATA_ASSET_CLASSIFICATION!$A$8:$A$24,0)),"Review"))</f>
        <v>Yes</v>
      </c>
      <c r="Q4103" s="350" t="str">
        <f t="shared" ca="1" si="129"/>
        <v>OK</v>
      </c>
    </row>
    <row r="4104" spans="1:17">
      <c r="A4104" s="366" t="s">
        <v>6060</v>
      </c>
      <c r="B4104" s="366" t="s">
        <v>231</v>
      </c>
      <c r="C4104" s="348" t="str">
        <f>DATA_PROPERTY_MASTER!$A$18</f>
        <v>BLD_AS</v>
      </c>
      <c r="D4104" s="380">
        <f>'00_PORTFOLIO ROLLUP'!H$12</f>
        <v>2028</v>
      </c>
      <c r="E4104" s="366" t="s">
        <v>1683</v>
      </c>
      <c r="F4104" s="366" t="s">
        <v>19</v>
      </c>
      <c r="G4104" s="348" t="str">
        <f>"'"&amp;$C4104&amp;"'!$E$41:$Y$41"</f>
        <v>'BLD_AS'!$E$41:$Y$41</v>
      </c>
      <c r="H4104" s="381">
        <f ca="1">IF(IFERROR(INDEX(DATA_PROPERTY_MASTER!$E$5:$E$21,MATCH($C4104,DATA_PROPERTY_MASTER!$A$5:$A$21,0))="Yes",FALSE),IFERROR(INDEX(INDIRECT("'"&amp;$C4104&amp;"'!$E$41:$Y$41"),1,MATCH($D4104,INDIRECT("'"&amp;$C4104&amp;"'!$E$12:$Y$12"),0)),0),0)</f>
        <v>1213031.43274072</v>
      </c>
      <c r="I4104" s="366" t="s">
        <v>1685</v>
      </c>
      <c r="J4104" s="348" t="str">
        <f t="shared" ca="1" si="128"/>
        <v>OK</v>
      </c>
      <c r="K4104" s="366" t="s">
        <v>1694</v>
      </c>
      <c r="L4104" s="366" t="s">
        <v>2238</v>
      </c>
      <c r="M4104" s="350" t="str">
        <f>IF($B4104="Portfolio","Portfolio",IFERROR(INDEX(DATA_ASSET_CLASSIFICATION!$B$8:$B$24,MATCH($C4104,DATA_ASSET_CLASSIFICATION!$A$8:$A$24,0)),"Review"))</f>
        <v>1656 Adanac Street</v>
      </c>
      <c r="N4104" s="350" t="str">
        <f>IF($B4104="Portfolio","Portfolio",IFERROR(INDEX(DATA_ASSET_CLASSIFICATION!$U$8:$U$24,MATCH($C4104,DATA_ASSET_CLASSIFICATION!$A$8:$A$24,0)),"Review"))</f>
        <v>New Build</v>
      </c>
      <c r="O4104" s="350" t="str">
        <f>IF($B4104="Portfolio","Portfolio",IFERROR(INDEX(DATA_ASSET_CLASSIFICATION!$AB$8:$AB$13,MATCH($N4104,DATA_ASSET_CLASSIFICATION!$AA$8:$AA$13,0)),"Review"))</f>
        <v>Bucket 1 · New Build</v>
      </c>
      <c r="P4104" s="350" t="str">
        <f>IF($B4104="Portfolio","Portfolio",IFERROR(INDEX(DATA_ASSET_CLASSIFICATION!$C$8:$C$24,MATCH($C4104,DATA_ASSET_CLASSIFICATION!$A$8:$A$24,0)),"Review"))</f>
        <v>Yes</v>
      </c>
      <c r="Q4104" s="350" t="str">
        <f t="shared" ca="1" si="129"/>
        <v>OK</v>
      </c>
    </row>
    <row r="4105" spans="1:17">
      <c r="A4105" s="366" t="s">
        <v>6061</v>
      </c>
      <c r="B4105" s="366" t="s">
        <v>231</v>
      </c>
      <c r="C4105" s="348" t="str">
        <f>DATA_PROPERTY_MASTER!$A$18</f>
        <v>BLD_AS</v>
      </c>
      <c r="D4105" s="380">
        <f>'00_PORTFOLIO ROLLUP'!H$12</f>
        <v>2028</v>
      </c>
      <c r="E4105" s="366" t="s">
        <v>1683</v>
      </c>
      <c r="F4105" s="366" t="s">
        <v>1697</v>
      </c>
      <c r="G4105" s="348" t="str">
        <f>"'"&amp;$C4105&amp;"'!$E$44:$Y$44"</f>
        <v>'BLD_AS'!$E$44:$Y$44</v>
      </c>
      <c r="H4105" s="381">
        <f ca="1">IF(IFERROR(INDEX(DATA_PROPERTY_MASTER!$E$5:$E$21,MATCH($C4105,DATA_PROPERTY_MASTER!$A$5:$A$21,0))="Yes",FALSE),IFERROR(INDEX(INDIRECT("'"&amp;$C4105&amp;"'!$E$44:$Y$44"),1,MATCH($D4105,INDIRECT("'"&amp;$C4105&amp;"'!$E$12:$Y$12"),0)),0),0)</f>
        <v>15440.576399999998</v>
      </c>
      <c r="I4105" s="366" t="s">
        <v>1690</v>
      </c>
      <c r="J4105" s="348" t="str">
        <f t="shared" ca="1" si="128"/>
        <v>OK</v>
      </c>
      <c r="K4105" s="366" t="s">
        <v>1699</v>
      </c>
      <c r="L4105" s="366" t="s">
        <v>2240</v>
      </c>
      <c r="M4105" s="350" t="str">
        <f>IF($B4105="Portfolio","Portfolio",IFERROR(INDEX(DATA_ASSET_CLASSIFICATION!$B$8:$B$24,MATCH($C4105,DATA_ASSET_CLASSIFICATION!$A$8:$A$24,0)),"Review"))</f>
        <v>1656 Adanac Street</v>
      </c>
      <c r="N4105" s="350" t="str">
        <f>IF($B4105="Portfolio","Portfolio",IFERROR(INDEX(DATA_ASSET_CLASSIFICATION!$U$8:$U$24,MATCH($C4105,DATA_ASSET_CLASSIFICATION!$A$8:$A$24,0)),"Review"))</f>
        <v>New Build</v>
      </c>
      <c r="O4105" s="350" t="str">
        <f>IF($B4105="Portfolio","Portfolio",IFERROR(INDEX(DATA_ASSET_CLASSIFICATION!$AB$8:$AB$13,MATCH($N4105,DATA_ASSET_CLASSIFICATION!$AA$8:$AA$13,0)),"Review"))</f>
        <v>Bucket 1 · New Build</v>
      </c>
      <c r="P4105" s="350" t="str">
        <f>IF($B4105="Portfolio","Portfolio",IFERROR(INDEX(DATA_ASSET_CLASSIFICATION!$C$8:$C$24,MATCH($C4105,DATA_ASSET_CLASSIFICATION!$A$8:$A$24,0)),"Review"))</f>
        <v>Yes</v>
      </c>
      <c r="Q4105" s="350" t="str">
        <f t="shared" ca="1" si="129"/>
        <v>OK</v>
      </c>
    </row>
    <row r="4106" spans="1:17">
      <c r="A4106" s="366" t="s">
        <v>6062</v>
      </c>
      <c r="B4106" s="366" t="s">
        <v>231</v>
      </c>
      <c r="C4106" s="348" t="str">
        <f>DATA_PROPERTY_MASTER!$A$18</f>
        <v>BLD_AS</v>
      </c>
      <c r="D4106" s="380">
        <f>'00_PORTFOLIO ROLLUP'!H$12</f>
        <v>2028</v>
      </c>
      <c r="E4106" s="366" t="s">
        <v>1683</v>
      </c>
      <c r="F4106" s="366" t="s">
        <v>21</v>
      </c>
      <c r="G4106" s="348" t="str">
        <f>"'"&amp;$C4106&amp;"'!$E$45:$Y$45"</f>
        <v>'BLD_AS'!$E$45:$Y$45</v>
      </c>
      <c r="H4106" s="381">
        <f ca="1">IF(IFERROR(INDEX(DATA_PROPERTY_MASTER!$E$5:$E$21,MATCH($C4106,DATA_PROPERTY_MASTER!$A$5:$A$21,0))="Yes",FALSE),IFERROR(INDEX(INDIRECT("'"&amp;$C4106&amp;"'!$E$45:$Y$45"),1,MATCH($D4106,INDIRECT("'"&amp;$C4106&amp;"'!$E$12:$Y$12"),0)),0),0)</f>
        <v>1197590.8563407201</v>
      </c>
      <c r="I4106" s="366" t="s">
        <v>1685</v>
      </c>
      <c r="J4106" s="348" t="str">
        <f t="shared" ca="1" si="128"/>
        <v>OK</v>
      </c>
      <c r="K4106" s="366" t="s">
        <v>1694</v>
      </c>
      <c r="L4106" s="366" t="s">
        <v>2242</v>
      </c>
      <c r="M4106" s="350" t="str">
        <f>IF($B4106="Portfolio","Portfolio",IFERROR(INDEX(DATA_ASSET_CLASSIFICATION!$B$8:$B$24,MATCH($C4106,DATA_ASSET_CLASSIFICATION!$A$8:$A$24,0)),"Review"))</f>
        <v>1656 Adanac Street</v>
      </c>
      <c r="N4106" s="350" t="str">
        <f>IF($B4106="Portfolio","Portfolio",IFERROR(INDEX(DATA_ASSET_CLASSIFICATION!$U$8:$U$24,MATCH($C4106,DATA_ASSET_CLASSIFICATION!$A$8:$A$24,0)),"Review"))</f>
        <v>New Build</v>
      </c>
      <c r="O4106" s="350" t="str">
        <f>IF($B4106="Portfolio","Portfolio",IFERROR(INDEX(DATA_ASSET_CLASSIFICATION!$AB$8:$AB$13,MATCH($N4106,DATA_ASSET_CLASSIFICATION!$AA$8:$AA$13,0)),"Review"))</f>
        <v>Bucket 1 · New Build</v>
      </c>
      <c r="P4106" s="350" t="str">
        <f>IF($B4106="Portfolio","Portfolio",IFERROR(INDEX(DATA_ASSET_CLASSIFICATION!$C$8:$C$24,MATCH($C4106,DATA_ASSET_CLASSIFICATION!$A$8:$A$24,0)),"Review"))</f>
        <v>Yes</v>
      </c>
      <c r="Q4106" s="350" t="str">
        <f t="shared" ca="1" si="129"/>
        <v>OK</v>
      </c>
    </row>
    <row r="4107" spans="1:17">
      <c r="A4107" s="366" t="s">
        <v>6063</v>
      </c>
      <c r="B4107" s="366" t="s">
        <v>231</v>
      </c>
      <c r="C4107" s="348" t="str">
        <f>DATA_PROPERTY_MASTER!$A$18</f>
        <v>BLD_AS</v>
      </c>
      <c r="D4107" s="380">
        <f>'00_PORTFOLIO ROLLUP'!H$12</f>
        <v>2028</v>
      </c>
      <c r="E4107" s="366" t="s">
        <v>23</v>
      </c>
      <c r="F4107" s="366" t="s">
        <v>23</v>
      </c>
      <c r="G4107" s="348" t="str">
        <f>"'"&amp;$C4107&amp;"'!$E$48:$Y$48"</f>
        <v>'BLD_AS'!$E$48:$Y$48</v>
      </c>
      <c r="H4107" s="381">
        <f ca="1">IF(IFERROR(INDEX(DATA_PROPERTY_MASTER!$E$5:$E$21,MATCH($C4107,DATA_PROPERTY_MASTER!$A$5:$A$21,0))="Yes",FALSE),IFERROR(INDEX(INDIRECT("'"&amp;$C4107&amp;"'!$E$48:$Y$48"),1,MATCH($D4107,INDIRECT("'"&amp;$C4107&amp;"'!$E$12:$Y$12"),0)),0),0)</f>
        <v>2119329.1278112764</v>
      </c>
      <c r="I4107" s="366" t="s">
        <v>1690</v>
      </c>
      <c r="J4107" s="348" t="str">
        <f t="shared" ca="1" si="128"/>
        <v>OK</v>
      </c>
      <c r="K4107" s="366" t="s">
        <v>1706</v>
      </c>
      <c r="L4107" s="366" t="s">
        <v>2244</v>
      </c>
      <c r="M4107" s="350" t="str">
        <f>IF($B4107="Portfolio","Portfolio",IFERROR(INDEX(DATA_ASSET_CLASSIFICATION!$B$8:$B$24,MATCH($C4107,DATA_ASSET_CLASSIFICATION!$A$8:$A$24,0)),"Review"))</f>
        <v>1656 Adanac Street</v>
      </c>
      <c r="N4107" s="350" t="str">
        <f>IF($B4107="Portfolio","Portfolio",IFERROR(INDEX(DATA_ASSET_CLASSIFICATION!$U$8:$U$24,MATCH($C4107,DATA_ASSET_CLASSIFICATION!$A$8:$A$24,0)),"Review"))</f>
        <v>New Build</v>
      </c>
      <c r="O4107" s="350" t="str">
        <f>IF($B4107="Portfolio","Portfolio",IFERROR(INDEX(DATA_ASSET_CLASSIFICATION!$AB$8:$AB$13,MATCH($N4107,DATA_ASSET_CLASSIFICATION!$AA$8:$AA$13,0)),"Review"))</f>
        <v>Bucket 1 · New Build</v>
      </c>
      <c r="P4107" s="350" t="str">
        <f>IF($B4107="Portfolio","Portfolio",IFERROR(INDEX(DATA_ASSET_CLASSIFICATION!$C$8:$C$24,MATCH($C4107,DATA_ASSET_CLASSIFICATION!$A$8:$A$24,0)),"Review"))</f>
        <v>Yes</v>
      </c>
      <c r="Q4107" s="350" t="str">
        <f t="shared" ca="1" si="129"/>
        <v>OK</v>
      </c>
    </row>
    <row r="4108" spans="1:17">
      <c r="A4108" s="366" t="s">
        <v>6064</v>
      </c>
      <c r="B4108" s="366" t="s">
        <v>231</v>
      </c>
      <c r="C4108" s="348" t="str">
        <f>DATA_PROPERTY_MASTER!$A$18</f>
        <v>BLD_AS</v>
      </c>
      <c r="D4108" s="380">
        <f>'00_PORTFOLIO ROLLUP'!H$12</f>
        <v>2028</v>
      </c>
      <c r="E4108" s="366" t="s">
        <v>1683</v>
      </c>
      <c r="F4108" s="366" t="s">
        <v>25</v>
      </c>
      <c r="G4108" s="348" t="str">
        <f>"'"&amp;$C4108&amp;"'!$E$52:$Y$52"</f>
        <v>'BLD_AS'!$E$52:$Y$52</v>
      </c>
      <c r="H4108" s="381">
        <f ca="1">IF(IFERROR(INDEX(DATA_PROPERTY_MASTER!$E$5:$E$21,MATCH($C4108,DATA_PROPERTY_MASTER!$A$5:$A$21,0))="Yes",FALSE),IFERROR(INDEX(INDIRECT("'"&amp;$C4108&amp;"'!$E$52:$Y$52"),1,MATCH($D4108,INDIRECT("'"&amp;$C4108&amp;"'!$E$12:$Y$12"),0)),0),0)</f>
        <v>-906297.69507055636</v>
      </c>
      <c r="I4108" s="366" t="s">
        <v>1685</v>
      </c>
      <c r="J4108" s="348" t="str">
        <f t="shared" ca="1" si="128"/>
        <v>OK</v>
      </c>
      <c r="K4108" s="366" t="s">
        <v>1710</v>
      </c>
      <c r="L4108" s="366" t="s">
        <v>2246</v>
      </c>
      <c r="M4108" s="350" t="str">
        <f>IF($B4108="Portfolio","Portfolio",IFERROR(INDEX(DATA_ASSET_CLASSIFICATION!$B$8:$B$24,MATCH($C4108,DATA_ASSET_CLASSIFICATION!$A$8:$A$24,0)),"Review"))</f>
        <v>1656 Adanac Street</v>
      </c>
      <c r="N4108" s="350" t="str">
        <f>IF($B4108="Portfolio","Portfolio",IFERROR(INDEX(DATA_ASSET_CLASSIFICATION!$U$8:$U$24,MATCH($C4108,DATA_ASSET_CLASSIFICATION!$A$8:$A$24,0)),"Review"))</f>
        <v>New Build</v>
      </c>
      <c r="O4108" s="350" t="str">
        <f>IF($B4108="Portfolio","Portfolio",IFERROR(INDEX(DATA_ASSET_CLASSIFICATION!$AB$8:$AB$13,MATCH($N4108,DATA_ASSET_CLASSIFICATION!$AA$8:$AA$13,0)),"Review"))</f>
        <v>Bucket 1 · New Build</v>
      </c>
      <c r="P4108" s="350" t="str">
        <f>IF($B4108="Portfolio","Portfolio",IFERROR(INDEX(DATA_ASSET_CLASSIFICATION!$C$8:$C$24,MATCH($C4108,DATA_ASSET_CLASSIFICATION!$A$8:$A$24,0)),"Review"))</f>
        <v>Yes</v>
      </c>
      <c r="Q4108" s="350" t="str">
        <f t="shared" ca="1" si="129"/>
        <v>OK</v>
      </c>
    </row>
    <row r="4109" spans="1:17">
      <c r="A4109" s="366" t="s">
        <v>6065</v>
      </c>
      <c r="B4109" s="366" t="s">
        <v>231</v>
      </c>
      <c r="C4109" s="348" t="str">
        <f>DATA_PROPERTY_MASTER!$A$18</f>
        <v>BLD_AS</v>
      </c>
      <c r="D4109" s="380">
        <f>'00_PORTFOLIO ROLLUP'!H$12</f>
        <v>2028</v>
      </c>
      <c r="E4109" s="366" t="s">
        <v>1683</v>
      </c>
      <c r="F4109" s="366" t="s">
        <v>27</v>
      </c>
      <c r="G4109" s="348" t="str">
        <f>"'"&amp;$C4109&amp;"'!$E$54:$Y$54"</f>
        <v>'BLD_AS'!$E$54:$Y$54</v>
      </c>
      <c r="H4109" s="381">
        <f ca="1">IF(IFERROR(INDEX(DATA_PROPERTY_MASTER!$E$5:$E$21,MATCH($C4109,DATA_PROPERTY_MASTER!$A$5:$A$21,0))="Yes",FALSE),IFERROR(INDEX(INDIRECT("'"&amp;$C4109&amp;"'!$E$54:$Y$54"),1,MATCH($D4109,INDIRECT("'"&amp;$C4109&amp;"'!$E$12:$Y$12"),0)),0),0)</f>
        <v>0</v>
      </c>
      <c r="I4109" s="366" t="s">
        <v>1690</v>
      </c>
      <c r="J4109" s="348" t="str">
        <f t="shared" ca="1" si="128"/>
        <v>OK</v>
      </c>
      <c r="K4109" s="366" t="s">
        <v>1714</v>
      </c>
      <c r="L4109" s="366" t="s">
        <v>2248</v>
      </c>
      <c r="M4109" s="350" t="str">
        <f>IF($B4109="Portfolio","Portfolio",IFERROR(INDEX(DATA_ASSET_CLASSIFICATION!$B$8:$B$24,MATCH($C4109,DATA_ASSET_CLASSIFICATION!$A$8:$A$24,0)),"Review"))</f>
        <v>1656 Adanac Street</v>
      </c>
      <c r="N4109" s="350" t="str">
        <f>IF($B4109="Portfolio","Portfolio",IFERROR(INDEX(DATA_ASSET_CLASSIFICATION!$U$8:$U$24,MATCH($C4109,DATA_ASSET_CLASSIFICATION!$A$8:$A$24,0)),"Review"))</f>
        <v>New Build</v>
      </c>
      <c r="O4109" s="350" t="str">
        <f>IF($B4109="Portfolio","Portfolio",IFERROR(INDEX(DATA_ASSET_CLASSIFICATION!$AB$8:$AB$13,MATCH($N4109,DATA_ASSET_CLASSIFICATION!$AA$8:$AA$13,0)),"Review"))</f>
        <v>Bucket 1 · New Build</v>
      </c>
      <c r="P4109" s="350" t="str">
        <f>IF($B4109="Portfolio","Portfolio",IFERROR(INDEX(DATA_ASSET_CLASSIFICATION!$C$8:$C$24,MATCH($C4109,DATA_ASSET_CLASSIFICATION!$A$8:$A$24,0)),"Review"))</f>
        <v>Yes</v>
      </c>
      <c r="Q4109" s="350" t="str">
        <f t="shared" ca="1" si="129"/>
        <v>OK</v>
      </c>
    </row>
    <row r="4110" spans="1:17">
      <c r="A4110" s="366" t="s">
        <v>6066</v>
      </c>
      <c r="B4110" s="366" t="s">
        <v>231</v>
      </c>
      <c r="C4110" s="348" t="str">
        <f>DATA_PROPERTY_MASTER!$A$18</f>
        <v>BLD_AS</v>
      </c>
      <c r="D4110" s="380">
        <f>'00_PORTFOLIO ROLLUP'!H$12</f>
        <v>2028</v>
      </c>
      <c r="E4110" s="366" t="s">
        <v>1683</v>
      </c>
      <c r="F4110" s="366" t="s">
        <v>29</v>
      </c>
      <c r="G4110" s="348" t="str">
        <f>"'"&amp;$C4110&amp;"'!$E$56:$Y$56"</f>
        <v>'BLD_AS'!$E$56:$Y$56</v>
      </c>
      <c r="H4110" s="381">
        <f ca="1">IF(IFERROR(INDEX(DATA_PROPERTY_MASTER!$E$5:$E$21,MATCH($C4110,DATA_PROPERTY_MASTER!$A$5:$A$21,0))="Yes",FALSE),IFERROR(INDEX(INDIRECT("'"&amp;$C4110&amp;"'!$E$56:$Y$56"),1,MATCH($D4110,INDIRECT("'"&amp;$C4110&amp;"'!$E$12:$Y$12"),0)),0),0)</f>
        <v>-906297.69507055636</v>
      </c>
      <c r="I4110" s="366" t="s">
        <v>1685</v>
      </c>
      <c r="J4110" s="348" t="str">
        <f t="shared" ca="1" si="128"/>
        <v>OK</v>
      </c>
      <c r="K4110" s="366" t="s">
        <v>1718</v>
      </c>
      <c r="L4110" s="366" t="s">
        <v>2250</v>
      </c>
      <c r="M4110" s="350" t="str">
        <f>IF($B4110="Portfolio","Portfolio",IFERROR(INDEX(DATA_ASSET_CLASSIFICATION!$B$8:$B$24,MATCH($C4110,DATA_ASSET_CLASSIFICATION!$A$8:$A$24,0)),"Review"))</f>
        <v>1656 Adanac Street</v>
      </c>
      <c r="N4110" s="350" t="str">
        <f>IF($B4110="Portfolio","Portfolio",IFERROR(INDEX(DATA_ASSET_CLASSIFICATION!$U$8:$U$24,MATCH($C4110,DATA_ASSET_CLASSIFICATION!$A$8:$A$24,0)),"Review"))</f>
        <v>New Build</v>
      </c>
      <c r="O4110" s="350" t="str">
        <f>IF($B4110="Portfolio","Portfolio",IFERROR(INDEX(DATA_ASSET_CLASSIFICATION!$AB$8:$AB$13,MATCH($N4110,DATA_ASSET_CLASSIFICATION!$AA$8:$AA$13,0)),"Review"))</f>
        <v>Bucket 1 · New Build</v>
      </c>
      <c r="P4110" s="350" t="str">
        <f>IF($B4110="Portfolio","Portfolio",IFERROR(INDEX(DATA_ASSET_CLASSIFICATION!$C$8:$C$24,MATCH($C4110,DATA_ASSET_CLASSIFICATION!$A$8:$A$24,0)),"Review"))</f>
        <v>Yes</v>
      </c>
      <c r="Q4110" s="350" t="str">
        <f t="shared" ca="1" si="129"/>
        <v>OK</v>
      </c>
    </row>
    <row r="4111" spans="1:17">
      <c r="A4111" s="366" t="s">
        <v>6067</v>
      </c>
      <c r="B4111" s="366" t="s">
        <v>231</v>
      </c>
      <c r="C4111" s="348" t="str">
        <f>DATA_PROPERTY_MASTER!$A$18</f>
        <v>BLD_AS</v>
      </c>
      <c r="D4111" s="380">
        <f>'00_PORTFOLIO ROLLUP'!H$12</f>
        <v>2028</v>
      </c>
      <c r="E4111" s="366" t="s">
        <v>1721</v>
      </c>
      <c r="F4111" s="366" t="s">
        <v>31</v>
      </c>
      <c r="G4111" s="348" t="str">
        <f>"'"&amp;$C4111&amp;"'!$E$61:$Y$61"</f>
        <v>'BLD_AS'!$E$61:$Y$61</v>
      </c>
      <c r="H4111" s="381">
        <f ca="1">IF(IFERROR(INDEX(DATA_PROPERTY_MASTER!$E$5:$E$21,MATCH($C4111,DATA_PROPERTY_MASTER!$A$5:$A$21,0))="Yes",FALSE),IFERROR(INDEX(INDIRECT("'"&amp;$C4111&amp;"'!$E$61:$Y$61"),1,MATCH($D4111,INDIRECT("'"&amp;$C4111&amp;"'!$E$12:$Y$12"),0)),0),0)</f>
        <v>-37781198.159996934</v>
      </c>
      <c r="I4111" s="366" t="s">
        <v>1690</v>
      </c>
      <c r="J4111" s="348" t="str">
        <f t="shared" ca="1" si="128"/>
        <v>OK</v>
      </c>
      <c r="K4111" s="366" t="s">
        <v>1723</v>
      </c>
      <c r="L4111" s="366" t="s">
        <v>2252</v>
      </c>
      <c r="M4111" s="350" t="str">
        <f>IF($B4111="Portfolio","Portfolio",IFERROR(INDEX(DATA_ASSET_CLASSIFICATION!$B$8:$B$24,MATCH($C4111,DATA_ASSET_CLASSIFICATION!$A$8:$A$24,0)),"Review"))</f>
        <v>1656 Adanac Street</v>
      </c>
      <c r="N4111" s="350" t="str">
        <f>IF($B4111="Portfolio","Portfolio",IFERROR(INDEX(DATA_ASSET_CLASSIFICATION!$U$8:$U$24,MATCH($C4111,DATA_ASSET_CLASSIFICATION!$A$8:$A$24,0)),"Review"))</f>
        <v>New Build</v>
      </c>
      <c r="O4111" s="350" t="str">
        <f>IF($B4111="Portfolio","Portfolio",IFERROR(INDEX(DATA_ASSET_CLASSIFICATION!$AB$8:$AB$13,MATCH($N4111,DATA_ASSET_CLASSIFICATION!$AA$8:$AA$13,0)),"Review"))</f>
        <v>Bucket 1 · New Build</v>
      </c>
      <c r="P4111" s="350" t="str">
        <f>IF($B4111="Portfolio","Portfolio",IFERROR(INDEX(DATA_ASSET_CLASSIFICATION!$C$8:$C$24,MATCH($C4111,DATA_ASSET_CLASSIFICATION!$A$8:$A$24,0)),"Review"))</f>
        <v>Yes</v>
      </c>
      <c r="Q4111" s="350" t="str">
        <f t="shared" ca="1" si="129"/>
        <v>OK</v>
      </c>
    </row>
    <row r="4112" spans="1:17">
      <c r="A4112" s="366" t="s">
        <v>6068</v>
      </c>
      <c r="B4112" s="366" t="s">
        <v>231</v>
      </c>
      <c r="C4112" s="348" t="str">
        <f>DATA_PROPERTY_MASTER!$A$18</f>
        <v>BLD_AS</v>
      </c>
      <c r="D4112" s="380">
        <f>'00_PORTFOLIO ROLLUP'!H$12</f>
        <v>2028</v>
      </c>
      <c r="E4112" s="366" t="s">
        <v>1721</v>
      </c>
      <c r="F4112" s="366" t="s">
        <v>33</v>
      </c>
      <c r="G4112" s="348" t="str">
        <f>"'"&amp;$C4112&amp;"'!$E$62:$Y$62"</f>
        <v>'BLD_AS'!$E$62:$Y$62</v>
      </c>
      <c r="H4112" s="381">
        <f ca="1">IF(IFERROR(INDEX(DATA_PROPERTY_MASTER!$E$5:$E$21,MATCH($C4112,DATA_PROPERTY_MASTER!$A$5:$A$21,0))="Yes",FALSE),IFERROR(INDEX(INDIRECT("'"&amp;$C4112&amp;"'!$E$62:$Y$62"),1,MATCH($D4112,INDIRECT("'"&amp;$C4112&amp;"'!$E$12:$Y$12"),0)),0),0)</f>
        <v>15162892.909259001</v>
      </c>
      <c r="I4112" s="366" t="s">
        <v>1685</v>
      </c>
      <c r="J4112" s="348" t="str">
        <f t="shared" ca="1" si="128"/>
        <v>OK</v>
      </c>
      <c r="K4112" s="366" t="s">
        <v>1727</v>
      </c>
      <c r="L4112" s="366" t="s">
        <v>2254</v>
      </c>
      <c r="M4112" s="350" t="str">
        <f>IF($B4112="Portfolio","Portfolio",IFERROR(INDEX(DATA_ASSET_CLASSIFICATION!$B$8:$B$24,MATCH($C4112,DATA_ASSET_CLASSIFICATION!$A$8:$A$24,0)),"Review"))</f>
        <v>1656 Adanac Street</v>
      </c>
      <c r="N4112" s="350" t="str">
        <f>IF($B4112="Portfolio","Portfolio",IFERROR(INDEX(DATA_ASSET_CLASSIFICATION!$U$8:$U$24,MATCH($C4112,DATA_ASSET_CLASSIFICATION!$A$8:$A$24,0)),"Review"))</f>
        <v>New Build</v>
      </c>
      <c r="O4112" s="350" t="str">
        <f>IF($B4112="Portfolio","Portfolio",IFERROR(INDEX(DATA_ASSET_CLASSIFICATION!$AB$8:$AB$13,MATCH($N4112,DATA_ASSET_CLASSIFICATION!$AA$8:$AA$13,0)),"Review"))</f>
        <v>Bucket 1 · New Build</v>
      </c>
      <c r="P4112" s="350" t="str">
        <f>IF($B4112="Portfolio","Portfolio",IFERROR(INDEX(DATA_ASSET_CLASSIFICATION!$C$8:$C$24,MATCH($C4112,DATA_ASSET_CLASSIFICATION!$A$8:$A$24,0)),"Review"))</f>
        <v>Yes</v>
      </c>
      <c r="Q4112" s="350" t="str">
        <f t="shared" ca="1" si="129"/>
        <v>OK</v>
      </c>
    </row>
    <row r="4113" spans="1:17" ht="30">
      <c r="A4113" s="366" t="s">
        <v>6069</v>
      </c>
      <c r="B4113" s="366" t="s">
        <v>231</v>
      </c>
      <c r="C4113" s="348" t="str">
        <f>DATA_PROPERTY_MASTER!$A$18</f>
        <v>BLD_AS</v>
      </c>
      <c r="D4113" s="380">
        <f>'00_PORTFOLIO ROLLUP'!H$12</f>
        <v>2028</v>
      </c>
      <c r="E4113" s="366" t="s">
        <v>1721</v>
      </c>
      <c r="F4113" s="366" t="s">
        <v>35</v>
      </c>
      <c r="G4113" s="348" t="str">
        <f>"'"&amp;$C4113&amp;"'!$E$63:$Y$63"</f>
        <v>'BLD_AS'!$E$63:$Y$63</v>
      </c>
      <c r="H4113" s="381">
        <f ca="1">IF(IFERROR(INDEX(DATA_PROPERTY_MASTER!$E$5:$E$21,MATCH($C4113,DATA_PROPERTY_MASTER!$A$5:$A$21,0))="Yes",FALSE),IFERROR(INDEX(INDIRECT("'"&amp;$C4113&amp;"'!$E$63:$Y$63"),1,MATCH($D4113,INDIRECT("'"&amp;$C4113&amp;"'!$E$12:$Y$12"),0)),0),0)</f>
        <v>-22618305.250737935</v>
      </c>
      <c r="I4113" s="366" t="s">
        <v>1731</v>
      </c>
      <c r="J4113" s="348" t="str">
        <f t="shared" ca="1" si="128"/>
        <v>Negative net refi position</v>
      </c>
      <c r="K4113" s="366" t="s">
        <v>1732</v>
      </c>
      <c r="L4113" s="366" t="s">
        <v>2256</v>
      </c>
      <c r="M4113" s="350" t="str">
        <f>IF($B4113="Portfolio","Portfolio",IFERROR(INDEX(DATA_ASSET_CLASSIFICATION!$B$8:$B$24,MATCH($C4113,DATA_ASSET_CLASSIFICATION!$A$8:$A$24,0)),"Review"))</f>
        <v>1656 Adanac Street</v>
      </c>
      <c r="N4113" s="350" t="str">
        <f>IF($B4113="Portfolio","Portfolio",IFERROR(INDEX(DATA_ASSET_CLASSIFICATION!$U$8:$U$24,MATCH($C4113,DATA_ASSET_CLASSIFICATION!$A$8:$A$24,0)),"Review"))</f>
        <v>New Build</v>
      </c>
      <c r="O4113" s="350" t="str">
        <f>IF($B4113="Portfolio","Portfolio",IFERROR(INDEX(DATA_ASSET_CLASSIFICATION!$AB$8:$AB$13,MATCH($N4113,DATA_ASSET_CLASSIFICATION!$AA$8:$AA$13,0)),"Review"))</f>
        <v>Bucket 1 · New Build</v>
      </c>
      <c r="P4113" s="350" t="str">
        <f>IF($B4113="Portfolio","Portfolio",IFERROR(INDEX(DATA_ASSET_CLASSIFICATION!$C$8:$C$24,MATCH($C4113,DATA_ASSET_CLASSIFICATION!$A$8:$A$24,0)),"Review"))</f>
        <v>Yes</v>
      </c>
      <c r="Q4113" s="350" t="str">
        <f t="shared" ca="1" si="129"/>
        <v>Negative net refi position</v>
      </c>
    </row>
    <row r="4114" spans="1:17">
      <c r="A4114" s="366" t="s">
        <v>6070</v>
      </c>
      <c r="B4114" s="366" t="s">
        <v>231</v>
      </c>
      <c r="C4114" s="348" t="str">
        <f>DATA_PROPERTY_MASTER!$A$18</f>
        <v>BLD_AS</v>
      </c>
      <c r="D4114" s="380">
        <f>'00_PORTFOLIO ROLLUP'!H$12</f>
        <v>2028</v>
      </c>
      <c r="E4114" s="366" t="s">
        <v>1721</v>
      </c>
      <c r="F4114" s="366" t="s">
        <v>37</v>
      </c>
      <c r="G4114" s="348" t="str">
        <f>"'"&amp;$C4114&amp;"'!$E$63:$Y$63"</f>
        <v>'BLD_AS'!$E$63:$Y$63</v>
      </c>
      <c r="H4114" s="381">
        <f ca="1">IF(IFERROR(INDEX(DATA_PROPERTY_MASTER!$E$5:$E$21,MATCH($C4114,DATA_PROPERTY_MASTER!$A$5:$A$21,0))="Yes",FALSE),MAX(IFERROR(INDEX(INDIRECT("'"&amp;$C4114&amp;"'!$E$63:$Y$63"),1,MATCH($D4114,INDIRECT("'"&amp;$C4114&amp;"'!$E$12:$Y$12"),0)),0),0),0)</f>
        <v>0</v>
      </c>
      <c r="I4114" s="366" t="s">
        <v>1685</v>
      </c>
      <c r="J4114" s="348" t="str">
        <f t="shared" ca="1" si="128"/>
        <v>OK</v>
      </c>
      <c r="K4114" s="366" t="s">
        <v>1735</v>
      </c>
      <c r="L4114" s="366" t="s">
        <v>2258</v>
      </c>
      <c r="M4114" s="350" t="str">
        <f>IF($B4114="Portfolio","Portfolio",IFERROR(INDEX(DATA_ASSET_CLASSIFICATION!$B$8:$B$24,MATCH($C4114,DATA_ASSET_CLASSIFICATION!$A$8:$A$24,0)),"Review"))</f>
        <v>1656 Adanac Street</v>
      </c>
      <c r="N4114" s="350" t="str">
        <f>IF($B4114="Portfolio","Portfolio",IFERROR(INDEX(DATA_ASSET_CLASSIFICATION!$U$8:$U$24,MATCH($C4114,DATA_ASSET_CLASSIFICATION!$A$8:$A$24,0)),"Review"))</f>
        <v>New Build</v>
      </c>
      <c r="O4114" s="350" t="str">
        <f>IF($B4114="Portfolio","Portfolio",IFERROR(INDEX(DATA_ASSET_CLASSIFICATION!$AB$8:$AB$13,MATCH($N4114,DATA_ASSET_CLASSIFICATION!$AA$8:$AA$13,0)),"Review"))</f>
        <v>Bucket 1 · New Build</v>
      </c>
      <c r="P4114" s="350" t="str">
        <f>IF($B4114="Portfolio","Portfolio",IFERROR(INDEX(DATA_ASSET_CLASSIFICATION!$C$8:$C$24,MATCH($C4114,DATA_ASSET_CLASSIFICATION!$A$8:$A$24,0)),"Review"))</f>
        <v>Yes</v>
      </c>
      <c r="Q4114" s="350" t="str">
        <f t="shared" ca="1" si="129"/>
        <v>OK</v>
      </c>
    </row>
    <row r="4115" spans="1:17" ht="30">
      <c r="A4115" s="366" t="s">
        <v>6071</v>
      </c>
      <c r="B4115" s="366" t="s">
        <v>231</v>
      </c>
      <c r="C4115" s="348" t="str">
        <f>DATA_PROPERTY_MASTER!$A$18</f>
        <v>BLD_AS</v>
      </c>
      <c r="D4115" s="380">
        <f>'00_PORTFOLIO ROLLUP'!H$12</f>
        <v>2028</v>
      </c>
      <c r="E4115" s="366" t="s">
        <v>1721</v>
      </c>
      <c r="F4115" s="366" t="s">
        <v>39</v>
      </c>
      <c r="G4115" s="348" t="str">
        <f>"'"&amp;$C4115&amp;"'!$E$63:$Y$63"</f>
        <v>'BLD_AS'!$E$63:$Y$63</v>
      </c>
      <c r="H4115" s="381">
        <f ca="1">IF(IFERROR(INDEX(DATA_PROPERTY_MASTER!$E$5:$E$21,MATCH($C4115,DATA_PROPERTY_MASTER!$A$5:$A$21,0))="Yes",FALSE),MAX(-IFERROR(INDEX(INDIRECT("'"&amp;$C4115&amp;"'!$E$63:$Y$63"),1,MATCH($D4115,INDIRECT("'"&amp;$C4115&amp;"'!$E$12:$Y$12"),0)),0),0),0)</f>
        <v>22618305.250737935</v>
      </c>
      <c r="I4115" s="366" t="s">
        <v>1690</v>
      </c>
      <c r="J4115" s="348" t="str">
        <f t="shared" ca="1" si="128"/>
        <v>Funding Gap</v>
      </c>
      <c r="K4115" s="366" t="s">
        <v>1738</v>
      </c>
      <c r="L4115" s="366" t="s">
        <v>2260</v>
      </c>
      <c r="M4115" s="350" t="str">
        <f>IF($B4115="Portfolio","Portfolio",IFERROR(INDEX(DATA_ASSET_CLASSIFICATION!$B$8:$B$24,MATCH($C4115,DATA_ASSET_CLASSIFICATION!$A$8:$A$24,0)),"Review"))</f>
        <v>1656 Adanac Street</v>
      </c>
      <c r="N4115" s="350" t="str">
        <f>IF($B4115="Portfolio","Portfolio",IFERROR(INDEX(DATA_ASSET_CLASSIFICATION!$U$8:$U$24,MATCH($C4115,DATA_ASSET_CLASSIFICATION!$A$8:$A$24,0)),"Review"))</f>
        <v>New Build</v>
      </c>
      <c r="O4115" s="350" t="str">
        <f>IF($B4115="Portfolio","Portfolio",IFERROR(INDEX(DATA_ASSET_CLASSIFICATION!$AB$8:$AB$13,MATCH($N4115,DATA_ASSET_CLASSIFICATION!$AA$8:$AA$13,0)),"Review"))</f>
        <v>Bucket 1 · New Build</v>
      </c>
      <c r="P4115" s="350" t="str">
        <f>IF($B4115="Portfolio","Portfolio",IFERROR(INDEX(DATA_ASSET_CLASSIFICATION!$C$8:$C$24,MATCH($C4115,DATA_ASSET_CLASSIFICATION!$A$8:$A$24,0)),"Review"))</f>
        <v>Yes</v>
      </c>
      <c r="Q4115" s="350" t="str">
        <f t="shared" ca="1" si="129"/>
        <v>Property Funding Gap</v>
      </c>
    </row>
    <row r="4116" spans="1:17">
      <c r="A4116" s="366" t="s">
        <v>6072</v>
      </c>
      <c r="B4116" s="366" t="s">
        <v>231</v>
      </c>
      <c r="C4116" s="348" t="str">
        <f>DATA_PROPERTY_MASTER!$A$18</f>
        <v>BLD_AS</v>
      </c>
      <c r="D4116" s="380">
        <f>'00_PORTFOLIO ROLLUP'!H$12</f>
        <v>2028</v>
      </c>
      <c r="E4116" s="366" t="s">
        <v>1741</v>
      </c>
      <c r="F4116" s="366" t="s">
        <v>41</v>
      </c>
      <c r="G4116" s="348" t="str">
        <f>"'"&amp;$C4116&amp;"'!rows 56 + positive row 63"</f>
        <v>'BLD_AS'!rows 56 + positive row 63</v>
      </c>
      <c r="H4116" s="381">
        <f ca="1">IF(IFERROR(INDEX(DATA_PROPERTY_MASTER!$E$5:$E$21,MATCH($C4116,DATA_PROPERTY_MASTER!$A$5:$A$21,0))="Yes",FALSE),IFERROR(INDEX(INDIRECT("'"&amp;$C4116&amp;"'!$E$56:$Y$56"),1,MATCH($D4116,INDIRECT("'"&amp;$C4116&amp;"'!$E$12:$Y$12"),0)),0)+MAX(IFERROR(INDEX(INDIRECT("'"&amp;$C4116&amp;"'!$E$63:$Y$63"),1,MATCH($D4116,INDIRECT("'"&amp;$C4116&amp;"'!$E$12:$Y$12"),0)),0),0),0)</f>
        <v>-906297.69507055636</v>
      </c>
      <c r="I4116" s="366" t="s">
        <v>1685</v>
      </c>
      <c r="J4116" s="348" t="str">
        <f t="shared" ca="1" si="128"/>
        <v>OK</v>
      </c>
      <c r="K4116" s="366" t="s">
        <v>1742</v>
      </c>
      <c r="L4116" s="366" t="s">
        <v>2262</v>
      </c>
      <c r="M4116" s="350" t="str">
        <f>IF($B4116="Portfolio","Portfolio",IFERROR(INDEX(DATA_ASSET_CLASSIFICATION!$B$8:$B$24,MATCH($C4116,DATA_ASSET_CLASSIFICATION!$A$8:$A$24,0)),"Review"))</f>
        <v>1656 Adanac Street</v>
      </c>
      <c r="N4116" s="350" t="str">
        <f>IF($B4116="Portfolio","Portfolio",IFERROR(INDEX(DATA_ASSET_CLASSIFICATION!$U$8:$U$24,MATCH($C4116,DATA_ASSET_CLASSIFICATION!$A$8:$A$24,0)),"Review"))</f>
        <v>New Build</v>
      </c>
      <c r="O4116" s="350" t="str">
        <f>IF($B4116="Portfolio","Portfolio",IFERROR(INDEX(DATA_ASSET_CLASSIFICATION!$AB$8:$AB$13,MATCH($N4116,DATA_ASSET_CLASSIFICATION!$AA$8:$AA$13,0)),"Review"))</f>
        <v>Bucket 1 · New Build</v>
      </c>
      <c r="P4116" s="350" t="str">
        <f>IF($B4116="Portfolio","Portfolio",IFERROR(INDEX(DATA_ASSET_CLASSIFICATION!$C$8:$C$24,MATCH($C4116,DATA_ASSET_CLASSIFICATION!$A$8:$A$24,0)),"Review"))</f>
        <v>Yes</v>
      </c>
      <c r="Q4116" s="350" t="str">
        <f t="shared" ca="1" si="129"/>
        <v>OK</v>
      </c>
    </row>
    <row r="4117" spans="1:17">
      <c r="A4117" s="366" t="s">
        <v>6073</v>
      </c>
      <c r="B4117" s="366" t="s">
        <v>231</v>
      </c>
      <c r="C4117" s="348" t="str">
        <f>DATA_PROPERTY_MASTER!$A$18</f>
        <v>BLD_AS</v>
      </c>
      <c r="D4117" s="380">
        <f>'00_PORTFOLIO ROLLUP'!H$12</f>
        <v>2028</v>
      </c>
      <c r="E4117" s="366" t="s">
        <v>1741</v>
      </c>
      <c r="F4117" s="366" t="s">
        <v>43</v>
      </c>
      <c r="G4117" s="348" t="str">
        <f>"'"&amp;$C4117&amp;"'!$E$68:$Y$68"</f>
        <v>'BLD_AS'!$E$68:$Y$68</v>
      </c>
      <c r="H4117" s="381">
        <f ca="1">IF(IFERROR(INDEX(DATA_PROPERTY_MASTER!$E$5:$E$21,MATCH($C4117,DATA_PROPERTY_MASTER!$A$5:$A$21,0))="Yes",FALSE),IFERROR(INDEX(INDIRECT("'"&amp;$C4117&amp;"'!$E$68:$Y$68"),1,MATCH($D4117,INDIRECT("'"&amp;$C4117&amp;"'!$E$12:$Y$12"),0)),0),0)</f>
        <v>-23524602.945808493</v>
      </c>
      <c r="I4117" s="366" t="s">
        <v>1731</v>
      </c>
      <c r="J4117" s="348" t="str">
        <f t="shared" ca="1" si="128"/>
        <v>OK</v>
      </c>
      <c r="K4117" s="366" t="s">
        <v>1746</v>
      </c>
      <c r="L4117" s="366" t="s">
        <v>2264</v>
      </c>
      <c r="M4117" s="350" t="str">
        <f>IF($B4117="Portfolio","Portfolio",IFERROR(INDEX(DATA_ASSET_CLASSIFICATION!$B$8:$B$24,MATCH($C4117,DATA_ASSET_CLASSIFICATION!$A$8:$A$24,0)),"Review"))</f>
        <v>1656 Adanac Street</v>
      </c>
      <c r="N4117" s="350" t="str">
        <f>IF($B4117="Portfolio","Portfolio",IFERROR(INDEX(DATA_ASSET_CLASSIFICATION!$U$8:$U$24,MATCH($C4117,DATA_ASSET_CLASSIFICATION!$A$8:$A$24,0)),"Review"))</f>
        <v>New Build</v>
      </c>
      <c r="O4117" s="350" t="str">
        <f>IF($B4117="Portfolio","Portfolio",IFERROR(INDEX(DATA_ASSET_CLASSIFICATION!$AB$8:$AB$13,MATCH($N4117,DATA_ASSET_CLASSIFICATION!$AA$8:$AA$13,0)),"Review"))</f>
        <v>Bucket 1 · New Build</v>
      </c>
      <c r="P4117" s="350" t="str">
        <f>IF($B4117="Portfolio","Portfolio",IFERROR(INDEX(DATA_ASSET_CLASSIFICATION!$C$8:$C$24,MATCH($C4117,DATA_ASSET_CLASSIFICATION!$A$8:$A$24,0)),"Review"))</f>
        <v>Yes</v>
      </c>
      <c r="Q4117" s="350" t="str">
        <f t="shared" ca="1" si="129"/>
        <v>OK</v>
      </c>
    </row>
    <row r="4118" spans="1:17">
      <c r="A4118" s="366" t="s">
        <v>6074</v>
      </c>
      <c r="B4118" s="366" t="s">
        <v>231</v>
      </c>
      <c r="C4118" s="348" t="str">
        <f>DATA_PROPERTY_MASTER!$A$18</f>
        <v>BLD_AS</v>
      </c>
      <c r="D4118" s="380">
        <f>'00_PORTFOLIO ROLLUP'!H$12</f>
        <v>2028</v>
      </c>
      <c r="E4118" s="366" t="s">
        <v>1741</v>
      </c>
      <c r="F4118" s="366" t="s">
        <v>1749</v>
      </c>
      <c r="G4118" s="348" t="str">
        <f>"'"&amp;$C4118&amp;"'!rows 56, 63, 68"</f>
        <v>'BLD_AS'!rows 56, 63, 68</v>
      </c>
      <c r="H4118" s="381">
        <f ca="1">IF(IFERROR(INDEX(DATA_PROPERTY_MASTER!$E$5:$E$21,MATCH($C4118,DATA_PROPERTY_MASTER!$A$5:$A$21,0))="Yes",FALSE),(IFERROR(INDEX(INDIRECT("'"&amp;$C4118&amp;"'!$E$56:$Y$56"),1,MATCH($D4118,INDIRECT("'"&amp;$C4118&amp;"'!$E$12:$Y$12"),0)),0)+MAX(IFERROR(INDEX(INDIRECT("'"&amp;$C4118&amp;"'!$E$63:$Y$63"),1,MATCH($D4118,INDIRECT("'"&amp;$C4118&amp;"'!$E$12:$Y$12"),0)),0),0))-(IFERROR(INDEX(INDIRECT("'"&amp;$C4118&amp;"'!$E$68:$Y$68"),1,MATCH($D4118,INDIRECT("'"&amp;$C4118&amp;"'!$E$12:$Y$12"),0)),0)),0)</f>
        <v>22618305.250737935</v>
      </c>
      <c r="I4118" s="366" t="s">
        <v>1750</v>
      </c>
      <c r="J4118" s="348" t="str">
        <f t="shared" ca="1" si="128"/>
        <v>OK</v>
      </c>
      <c r="K4118" s="366" t="s">
        <v>1751</v>
      </c>
      <c r="L4118" s="366" t="s">
        <v>2266</v>
      </c>
      <c r="M4118" s="350" t="str">
        <f>IF($B4118="Portfolio","Portfolio",IFERROR(INDEX(DATA_ASSET_CLASSIFICATION!$B$8:$B$24,MATCH($C4118,DATA_ASSET_CLASSIFICATION!$A$8:$A$24,0)),"Review"))</f>
        <v>1656 Adanac Street</v>
      </c>
      <c r="N4118" s="350" t="str">
        <f>IF($B4118="Portfolio","Portfolio",IFERROR(INDEX(DATA_ASSET_CLASSIFICATION!$U$8:$U$24,MATCH($C4118,DATA_ASSET_CLASSIFICATION!$A$8:$A$24,0)),"Review"))</f>
        <v>New Build</v>
      </c>
      <c r="O4118" s="350" t="str">
        <f>IF($B4118="Portfolio","Portfolio",IFERROR(INDEX(DATA_ASSET_CLASSIFICATION!$AB$8:$AB$13,MATCH($N4118,DATA_ASSET_CLASSIFICATION!$AA$8:$AA$13,0)),"Review"))</f>
        <v>Bucket 1 · New Build</v>
      </c>
      <c r="P4118" s="350" t="str">
        <f>IF($B4118="Portfolio","Portfolio",IFERROR(INDEX(DATA_ASSET_CLASSIFICATION!$C$8:$C$24,MATCH($C4118,DATA_ASSET_CLASSIFICATION!$A$8:$A$24,0)),"Review"))</f>
        <v>Yes</v>
      </c>
      <c r="Q4118" s="350" t="str">
        <f t="shared" ca="1" si="129"/>
        <v>OK</v>
      </c>
    </row>
    <row r="4119" spans="1:17">
      <c r="A4119" s="366" t="s">
        <v>6075</v>
      </c>
      <c r="B4119" s="366" t="s">
        <v>231</v>
      </c>
      <c r="C4119" s="348" t="str">
        <f>DATA_PROPERTY_MASTER!$A$18</f>
        <v>BLD_AS</v>
      </c>
      <c r="D4119" s="380">
        <f>'00_PORTFOLIO ROLLUP'!I$12</f>
        <v>2029</v>
      </c>
      <c r="E4119" s="366" t="s">
        <v>1683</v>
      </c>
      <c r="F4119" s="366" t="s">
        <v>341</v>
      </c>
      <c r="G4119" s="348" t="str">
        <f>"'"&amp;$C4119&amp;"'!$E$24:$Y$24"</f>
        <v>'BLD_AS'!$E$24:$Y$24</v>
      </c>
      <c r="H4119" s="381">
        <f ca="1">IF(IFERROR(INDEX(DATA_PROPERTY_MASTER!$E$5:$E$21,MATCH($C4119,DATA_PROPERTY_MASTER!$A$5:$A$21,0))="Yes",FALSE),IFERROR(INDEX(INDIRECT("'"&amp;$C4119&amp;"'!$E$24:$Y$24"),1,MATCH($D4119,INDIRECT("'"&amp;$C4119&amp;"'!$E$12:$Y$12"),0)),0),0)</f>
        <v>2076717.6369014543</v>
      </c>
      <c r="I4119" s="366" t="s">
        <v>1685</v>
      </c>
      <c r="J4119" s="348" t="str">
        <f t="shared" ca="1" si="128"/>
        <v>OK</v>
      </c>
      <c r="K4119" s="366" t="s">
        <v>1686</v>
      </c>
      <c r="L4119" s="366" t="s">
        <v>2234</v>
      </c>
      <c r="M4119" s="350" t="str">
        <f>IF($B4119="Portfolio","Portfolio",IFERROR(INDEX(DATA_ASSET_CLASSIFICATION!$B$8:$B$24,MATCH($C4119,DATA_ASSET_CLASSIFICATION!$A$8:$A$24,0)),"Review"))</f>
        <v>1656 Adanac Street</v>
      </c>
      <c r="N4119" s="350" t="str">
        <f>IF($B4119="Portfolio","Portfolio",IFERROR(INDEX(DATA_ASSET_CLASSIFICATION!$U$8:$U$24,MATCH($C4119,DATA_ASSET_CLASSIFICATION!$A$8:$A$24,0)),"Review"))</f>
        <v>New Build</v>
      </c>
      <c r="O4119" s="350" t="str">
        <f>IF($B4119="Portfolio","Portfolio",IFERROR(INDEX(DATA_ASSET_CLASSIFICATION!$AB$8:$AB$13,MATCH($N4119,DATA_ASSET_CLASSIFICATION!$AA$8:$AA$13,0)),"Review"))</f>
        <v>Bucket 1 · New Build</v>
      </c>
      <c r="P4119" s="350" t="str">
        <f>IF($B4119="Portfolio","Portfolio",IFERROR(INDEX(DATA_ASSET_CLASSIFICATION!$C$8:$C$24,MATCH($C4119,DATA_ASSET_CLASSIFICATION!$A$8:$A$24,0)),"Review"))</f>
        <v>Yes</v>
      </c>
      <c r="Q4119" s="350" t="str">
        <f t="shared" ca="1" si="129"/>
        <v>OK</v>
      </c>
    </row>
    <row r="4120" spans="1:17">
      <c r="A4120" s="366" t="s">
        <v>6076</v>
      </c>
      <c r="B4120" s="366" t="s">
        <v>231</v>
      </c>
      <c r="C4120" s="348" t="str">
        <f>DATA_PROPERTY_MASTER!$A$18</f>
        <v>BLD_AS</v>
      </c>
      <c r="D4120" s="380">
        <f>'00_PORTFOLIO ROLLUP'!I$12</f>
        <v>2029</v>
      </c>
      <c r="E4120" s="366" t="s">
        <v>1683</v>
      </c>
      <c r="F4120" s="366" t="s">
        <v>355</v>
      </c>
      <c r="G4120" s="348" t="str">
        <f>"'"&amp;$C4120&amp;"'!$E$39:$Y$39"</f>
        <v>'BLD_AS'!$E$39:$Y$39</v>
      </c>
      <c r="H4120" s="381">
        <f ca="1">IF(IFERROR(INDEX(DATA_PROPERTY_MASTER!$E$5:$E$21,MATCH($C4120,DATA_PROPERTY_MASTER!$A$5:$A$21,0))="Yes",FALSE),IFERROR(INDEX(INDIRECT("'"&amp;$C4120&amp;"'!$E$39:$Y$39"),1,MATCH($D4120,INDIRECT("'"&amp;$C4120&amp;"'!$E$12:$Y$12"),0)),0),0)</f>
        <v>855884.90051584004</v>
      </c>
      <c r="I4120" s="366" t="s">
        <v>1690</v>
      </c>
      <c r="J4120" s="348" t="str">
        <f t="shared" ca="1" si="128"/>
        <v>OK</v>
      </c>
      <c r="K4120" s="366" t="s">
        <v>1686</v>
      </c>
      <c r="L4120" s="366" t="s">
        <v>2236</v>
      </c>
      <c r="M4120" s="350" t="str">
        <f>IF($B4120="Portfolio","Portfolio",IFERROR(INDEX(DATA_ASSET_CLASSIFICATION!$B$8:$B$24,MATCH($C4120,DATA_ASSET_CLASSIFICATION!$A$8:$A$24,0)),"Review"))</f>
        <v>1656 Adanac Street</v>
      </c>
      <c r="N4120" s="350" t="str">
        <f>IF($B4120="Portfolio","Portfolio",IFERROR(INDEX(DATA_ASSET_CLASSIFICATION!$U$8:$U$24,MATCH($C4120,DATA_ASSET_CLASSIFICATION!$A$8:$A$24,0)),"Review"))</f>
        <v>New Build</v>
      </c>
      <c r="O4120" s="350" t="str">
        <f>IF($B4120="Portfolio","Portfolio",IFERROR(INDEX(DATA_ASSET_CLASSIFICATION!$AB$8:$AB$13,MATCH($N4120,DATA_ASSET_CLASSIFICATION!$AA$8:$AA$13,0)),"Review"))</f>
        <v>Bucket 1 · New Build</v>
      </c>
      <c r="P4120" s="350" t="str">
        <f>IF($B4120="Portfolio","Portfolio",IFERROR(INDEX(DATA_ASSET_CLASSIFICATION!$C$8:$C$24,MATCH($C4120,DATA_ASSET_CLASSIFICATION!$A$8:$A$24,0)),"Review"))</f>
        <v>Yes</v>
      </c>
      <c r="Q4120" s="350" t="str">
        <f t="shared" ca="1" si="129"/>
        <v>OK</v>
      </c>
    </row>
    <row r="4121" spans="1:17">
      <c r="A4121" s="366" t="s">
        <v>6077</v>
      </c>
      <c r="B4121" s="366" t="s">
        <v>231</v>
      </c>
      <c r="C4121" s="348" t="str">
        <f>DATA_PROPERTY_MASTER!$A$18</f>
        <v>BLD_AS</v>
      </c>
      <c r="D4121" s="380">
        <f>'00_PORTFOLIO ROLLUP'!I$12</f>
        <v>2029</v>
      </c>
      <c r="E4121" s="366" t="s">
        <v>1683</v>
      </c>
      <c r="F4121" s="366" t="s">
        <v>19</v>
      </c>
      <c r="G4121" s="348" t="str">
        <f>"'"&amp;$C4121&amp;"'!$E$41:$Y$41"</f>
        <v>'BLD_AS'!$E$41:$Y$41</v>
      </c>
      <c r="H4121" s="381">
        <f ca="1">IF(IFERROR(INDEX(DATA_PROPERTY_MASTER!$E$5:$E$21,MATCH($C4121,DATA_PROPERTY_MASTER!$A$5:$A$21,0))="Yes",FALSE),IFERROR(INDEX(INDIRECT("'"&amp;$C4121&amp;"'!$E$41:$Y$41"),1,MATCH($D4121,INDIRECT("'"&amp;$C4121&amp;"'!$E$12:$Y$12"),0)),0),0)</f>
        <v>1220832.7363856141</v>
      </c>
      <c r="I4121" s="366" t="s">
        <v>1685</v>
      </c>
      <c r="J4121" s="348" t="str">
        <f t="shared" ca="1" si="128"/>
        <v>OK</v>
      </c>
      <c r="K4121" s="366" t="s">
        <v>1694</v>
      </c>
      <c r="L4121" s="366" t="s">
        <v>2238</v>
      </c>
      <c r="M4121" s="350" t="str">
        <f>IF($B4121="Portfolio","Portfolio",IFERROR(INDEX(DATA_ASSET_CLASSIFICATION!$B$8:$B$24,MATCH($C4121,DATA_ASSET_CLASSIFICATION!$A$8:$A$24,0)),"Review"))</f>
        <v>1656 Adanac Street</v>
      </c>
      <c r="N4121" s="350" t="str">
        <f>IF($B4121="Portfolio","Portfolio",IFERROR(INDEX(DATA_ASSET_CLASSIFICATION!$U$8:$U$24,MATCH($C4121,DATA_ASSET_CLASSIFICATION!$A$8:$A$24,0)),"Review"))</f>
        <v>New Build</v>
      </c>
      <c r="O4121" s="350" t="str">
        <f>IF($B4121="Portfolio","Portfolio",IFERROR(INDEX(DATA_ASSET_CLASSIFICATION!$AB$8:$AB$13,MATCH($N4121,DATA_ASSET_CLASSIFICATION!$AA$8:$AA$13,0)),"Review"))</f>
        <v>Bucket 1 · New Build</v>
      </c>
      <c r="P4121" s="350" t="str">
        <f>IF($B4121="Portfolio","Portfolio",IFERROR(INDEX(DATA_ASSET_CLASSIFICATION!$C$8:$C$24,MATCH($C4121,DATA_ASSET_CLASSIFICATION!$A$8:$A$24,0)),"Review"))</f>
        <v>Yes</v>
      </c>
      <c r="Q4121" s="350" t="str">
        <f t="shared" ca="1" si="129"/>
        <v>OK</v>
      </c>
    </row>
    <row r="4122" spans="1:17">
      <c r="A4122" s="366" t="s">
        <v>6078</v>
      </c>
      <c r="B4122" s="366" t="s">
        <v>231</v>
      </c>
      <c r="C4122" s="348" t="str">
        <f>DATA_PROPERTY_MASTER!$A$18</f>
        <v>BLD_AS</v>
      </c>
      <c r="D4122" s="380">
        <f>'00_PORTFOLIO ROLLUP'!I$12</f>
        <v>2029</v>
      </c>
      <c r="E4122" s="366" t="s">
        <v>1683</v>
      </c>
      <c r="F4122" s="366" t="s">
        <v>1697</v>
      </c>
      <c r="G4122" s="348" t="str">
        <f>"'"&amp;$C4122&amp;"'!$E$44:$Y$44"</f>
        <v>'BLD_AS'!$E$44:$Y$44</v>
      </c>
      <c r="H4122" s="381">
        <f ca="1">IF(IFERROR(INDEX(DATA_PROPERTY_MASTER!$E$5:$E$21,MATCH($C4122,DATA_PROPERTY_MASTER!$A$5:$A$21,0))="Yes",FALSE),IFERROR(INDEX(INDIRECT("'"&amp;$C4122&amp;"'!$E$44:$Y$44"),1,MATCH($D4122,INDIRECT("'"&amp;$C4122&amp;"'!$E$12:$Y$12"),0)),0),0)</f>
        <v>15749.387928</v>
      </c>
      <c r="I4122" s="366" t="s">
        <v>1690</v>
      </c>
      <c r="J4122" s="348" t="str">
        <f t="shared" ca="1" si="128"/>
        <v>OK</v>
      </c>
      <c r="K4122" s="366" t="s">
        <v>1699</v>
      </c>
      <c r="L4122" s="366" t="s">
        <v>2240</v>
      </c>
      <c r="M4122" s="350" t="str">
        <f>IF($B4122="Portfolio","Portfolio",IFERROR(INDEX(DATA_ASSET_CLASSIFICATION!$B$8:$B$24,MATCH($C4122,DATA_ASSET_CLASSIFICATION!$A$8:$A$24,0)),"Review"))</f>
        <v>1656 Adanac Street</v>
      </c>
      <c r="N4122" s="350" t="str">
        <f>IF($B4122="Portfolio","Portfolio",IFERROR(INDEX(DATA_ASSET_CLASSIFICATION!$U$8:$U$24,MATCH($C4122,DATA_ASSET_CLASSIFICATION!$A$8:$A$24,0)),"Review"))</f>
        <v>New Build</v>
      </c>
      <c r="O4122" s="350" t="str">
        <f>IF($B4122="Portfolio","Portfolio",IFERROR(INDEX(DATA_ASSET_CLASSIFICATION!$AB$8:$AB$13,MATCH($N4122,DATA_ASSET_CLASSIFICATION!$AA$8:$AA$13,0)),"Review"))</f>
        <v>Bucket 1 · New Build</v>
      </c>
      <c r="P4122" s="350" t="str">
        <f>IF($B4122="Portfolio","Portfolio",IFERROR(INDEX(DATA_ASSET_CLASSIFICATION!$C$8:$C$24,MATCH($C4122,DATA_ASSET_CLASSIFICATION!$A$8:$A$24,0)),"Review"))</f>
        <v>Yes</v>
      </c>
      <c r="Q4122" s="350" t="str">
        <f t="shared" ca="1" si="129"/>
        <v>OK</v>
      </c>
    </row>
    <row r="4123" spans="1:17">
      <c r="A4123" s="366" t="s">
        <v>6079</v>
      </c>
      <c r="B4123" s="366" t="s">
        <v>231</v>
      </c>
      <c r="C4123" s="348" t="str">
        <f>DATA_PROPERTY_MASTER!$A$18</f>
        <v>BLD_AS</v>
      </c>
      <c r="D4123" s="380">
        <f>'00_PORTFOLIO ROLLUP'!I$12</f>
        <v>2029</v>
      </c>
      <c r="E4123" s="366" t="s">
        <v>1683</v>
      </c>
      <c r="F4123" s="366" t="s">
        <v>21</v>
      </c>
      <c r="G4123" s="348" t="str">
        <f>"'"&amp;$C4123&amp;"'!$E$45:$Y$45"</f>
        <v>'BLD_AS'!$E$45:$Y$45</v>
      </c>
      <c r="H4123" s="381">
        <f ca="1">IF(IFERROR(INDEX(DATA_PROPERTY_MASTER!$E$5:$E$21,MATCH($C4123,DATA_PROPERTY_MASTER!$A$5:$A$21,0))="Yes",FALSE),IFERROR(INDEX(INDIRECT("'"&amp;$C4123&amp;"'!$E$45:$Y$45"),1,MATCH($D4123,INDIRECT("'"&amp;$C4123&amp;"'!$E$12:$Y$12"),0)),0),0)</f>
        <v>1205083.3484576142</v>
      </c>
      <c r="I4123" s="366" t="s">
        <v>1685</v>
      </c>
      <c r="J4123" s="348" t="str">
        <f t="shared" ca="1" si="128"/>
        <v>OK</v>
      </c>
      <c r="K4123" s="366" t="s">
        <v>1694</v>
      </c>
      <c r="L4123" s="366" t="s">
        <v>2242</v>
      </c>
      <c r="M4123" s="350" t="str">
        <f>IF($B4123="Portfolio","Portfolio",IFERROR(INDEX(DATA_ASSET_CLASSIFICATION!$B$8:$B$24,MATCH($C4123,DATA_ASSET_CLASSIFICATION!$A$8:$A$24,0)),"Review"))</f>
        <v>1656 Adanac Street</v>
      </c>
      <c r="N4123" s="350" t="str">
        <f>IF($B4123="Portfolio","Portfolio",IFERROR(INDEX(DATA_ASSET_CLASSIFICATION!$U$8:$U$24,MATCH($C4123,DATA_ASSET_CLASSIFICATION!$A$8:$A$24,0)),"Review"))</f>
        <v>New Build</v>
      </c>
      <c r="O4123" s="350" t="str">
        <f>IF($B4123="Portfolio","Portfolio",IFERROR(INDEX(DATA_ASSET_CLASSIFICATION!$AB$8:$AB$13,MATCH($N4123,DATA_ASSET_CLASSIFICATION!$AA$8:$AA$13,0)),"Review"))</f>
        <v>Bucket 1 · New Build</v>
      </c>
      <c r="P4123" s="350" t="str">
        <f>IF($B4123="Portfolio","Portfolio",IFERROR(INDEX(DATA_ASSET_CLASSIFICATION!$C$8:$C$24,MATCH($C4123,DATA_ASSET_CLASSIFICATION!$A$8:$A$24,0)),"Review"))</f>
        <v>Yes</v>
      </c>
      <c r="Q4123" s="350" t="str">
        <f t="shared" ca="1" si="129"/>
        <v>OK</v>
      </c>
    </row>
    <row r="4124" spans="1:17">
      <c r="A4124" s="366" t="s">
        <v>6080</v>
      </c>
      <c r="B4124" s="366" t="s">
        <v>231</v>
      </c>
      <c r="C4124" s="348" t="str">
        <f>DATA_PROPERTY_MASTER!$A$18</f>
        <v>BLD_AS</v>
      </c>
      <c r="D4124" s="380">
        <f>'00_PORTFOLIO ROLLUP'!I$12</f>
        <v>2029</v>
      </c>
      <c r="E4124" s="366" t="s">
        <v>23</v>
      </c>
      <c r="F4124" s="366" t="s">
        <v>23</v>
      </c>
      <c r="G4124" s="348" t="str">
        <f>"'"&amp;$C4124&amp;"'!$E$48:$Y$48"</f>
        <v>'BLD_AS'!$E$48:$Y$48</v>
      </c>
      <c r="H4124" s="381">
        <f ca="1">IF(IFERROR(INDEX(DATA_PROPERTY_MASTER!$E$5:$E$21,MATCH($C4124,DATA_PROPERTY_MASTER!$A$5:$A$21,0))="Yes",FALSE),IFERROR(INDEX(INDIRECT("'"&amp;$C4124&amp;"'!$E$48:$Y$48"),1,MATCH($D4124,INDIRECT("'"&amp;$C4124&amp;"'!$E$12:$Y$12"),0)),0),0)</f>
        <v>805649.51774556539</v>
      </c>
      <c r="I4124" s="366" t="s">
        <v>1690</v>
      </c>
      <c r="J4124" s="348" t="str">
        <f t="shared" ca="1" si="128"/>
        <v>OK</v>
      </c>
      <c r="K4124" s="366" t="s">
        <v>1706</v>
      </c>
      <c r="L4124" s="366" t="s">
        <v>2244</v>
      </c>
      <c r="M4124" s="350" t="str">
        <f>IF($B4124="Portfolio","Portfolio",IFERROR(INDEX(DATA_ASSET_CLASSIFICATION!$B$8:$B$24,MATCH($C4124,DATA_ASSET_CLASSIFICATION!$A$8:$A$24,0)),"Review"))</f>
        <v>1656 Adanac Street</v>
      </c>
      <c r="N4124" s="350" t="str">
        <f>IF($B4124="Portfolio","Portfolio",IFERROR(INDEX(DATA_ASSET_CLASSIFICATION!$U$8:$U$24,MATCH($C4124,DATA_ASSET_CLASSIFICATION!$A$8:$A$24,0)),"Review"))</f>
        <v>New Build</v>
      </c>
      <c r="O4124" s="350" t="str">
        <f>IF($B4124="Portfolio","Portfolio",IFERROR(INDEX(DATA_ASSET_CLASSIFICATION!$AB$8:$AB$13,MATCH($N4124,DATA_ASSET_CLASSIFICATION!$AA$8:$AA$13,0)),"Review"))</f>
        <v>Bucket 1 · New Build</v>
      </c>
      <c r="P4124" s="350" t="str">
        <f>IF($B4124="Portfolio","Portfolio",IFERROR(INDEX(DATA_ASSET_CLASSIFICATION!$C$8:$C$24,MATCH($C4124,DATA_ASSET_CLASSIFICATION!$A$8:$A$24,0)),"Review"))</f>
        <v>Yes</v>
      </c>
      <c r="Q4124" s="350" t="str">
        <f t="shared" ca="1" si="129"/>
        <v>OK</v>
      </c>
    </row>
    <row r="4125" spans="1:17">
      <c r="A4125" s="366" t="s">
        <v>6081</v>
      </c>
      <c r="B4125" s="366" t="s">
        <v>231</v>
      </c>
      <c r="C4125" s="348" t="str">
        <f>DATA_PROPERTY_MASTER!$A$18</f>
        <v>BLD_AS</v>
      </c>
      <c r="D4125" s="380">
        <f>'00_PORTFOLIO ROLLUP'!I$12</f>
        <v>2029</v>
      </c>
      <c r="E4125" s="366" t="s">
        <v>1683</v>
      </c>
      <c r="F4125" s="366" t="s">
        <v>25</v>
      </c>
      <c r="G4125" s="348" t="str">
        <f>"'"&amp;$C4125&amp;"'!$E$52:$Y$52"</f>
        <v>'BLD_AS'!$E$52:$Y$52</v>
      </c>
      <c r="H4125" s="381">
        <f ca="1">IF(IFERROR(INDEX(DATA_PROPERTY_MASTER!$E$5:$E$21,MATCH($C4125,DATA_PROPERTY_MASTER!$A$5:$A$21,0))="Yes",FALSE),IFERROR(INDEX(INDIRECT("'"&amp;$C4125&amp;"'!$E$52:$Y$52"),1,MATCH($D4125,INDIRECT("'"&amp;$C4125&amp;"'!$E$12:$Y$12"),0)),0),0)</f>
        <v>415183.21864004876</v>
      </c>
      <c r="I4125" s="366" t="s">
        <v>1685</v>
      </c>
      <c r="J4125" s="348" t="str">
        <f t="shared" ca="1" si="128"/>
        <v>OK</v>
      </c>
      <c r="K4125" s="366" t="s">
        <v>1710</v>
      </c>
      <c r="L4125" s="366" t="s">
        <v>2246</v>
      </c>
      <c r="M4125" s="350" t="str">
        <f>IF($B4125="Portfolio","Portfolio",IFERROR(INDEX(DATA_ASSET_CLASSIFICATION!$B$8:$B$24,MATCH($C4125,DATA_ASSET_CLASSIFICATION!$A$8:$A$24,0)),"Review"))</f>
        <v>1656 Adanac Street</v>
      </c>
      <c r="N4125" s="350" t="str">
        <f>IF($B4125="Portfolio","Portfolio",IFERROR(INDEX(DATA_ASSET_CLASSIFICATION!$U$8:$U$24,MATCH($C4125,DATA_ASSET_CLASSIFICATION!$A$8:$A$24,0)),"Review"))</f>
        <v>New Build</v>
      </c>
      <c r="O4125" s="350" t="str">
        <f>IF($B4125="Portfolio","Portfolio",IFERROR(INDEX(DATA_ASSET_CLASSIFICATION!$AB$8:$AB$13,MATCH($N4125,DATA_ASSET_CLASSIFICATION!$AA$8:$AA$13,0)),"Review"))</f>
        <v>Bucket 1 · New Build</v>
      </c>
      <c r="P4125" s="350" t="str">
        <f>IF($B4125="Portfolio","Portfolio",IFERROR(INDEX(DATA_ASSET_CLASSIFICATION!$C$8:$C$24,MATCH($C4125,DATA_ASSET_CLASSIFICATION!$A$8:$A$24,0)),"Review"))</f>
        <v>Yes</v>
      </c>
      <c r="Q4125" s="350" t="str">
        <f t="shared" ca="1" si="129"/>
        <v>OK</v>
      </c>
    </row>
    <row r="4126" spans="1:17">
      <c r="A4126" s="366" t="s">
        <v>6082</v>
      </c>
      <c r="B4126" s="366" t="s">
        <v>231</v>
      </c>
      <c r="C4126" s="348" t="str">
        <f>DATA_PROPERTY_MASTER!$A$18</f>
        <v>BLD_AS</v>
      </c>
      <c r="D4126" s="380">
        <f>'00_PORTFOLIO ROLLUP'!I$12</f>
        <v>2029</v>
      </c>
      <c r="E4126" s="366" t="s">
        <v>1683</v>
      </c>
      <c r="F4126" s="366" t="s">
        <v>27</v>
      </c>
      <c r="G4126" s="348" t="str">
        <f>"'"&amp;$C4126&amp;"'!$E$54:$Y$54"</f>
        <v>'BLD_AS'!$E$54:$Y$54</v>
      </c>
      <c r="H4126" s="381">
        <f ca="1">IF(IFERROR(INDEX(DATA_PROPERTY_MASTER!$E$5:$E$21,MATCH($C4126,DATA_PROPERTY_MASTER!$A$5:$A$21,0))="Yes",FALSE),IFERROR(INDEX(INDIRECT("'"&amp;$C4126&amp;"'!$E$54:$Y$54"),1,MATCH($D4126,INDIRECT("'"&amp;$C4126&amp;"'!$E$12:$Y$12"),0)),0),0)</f>
        <v>249109.93118402924</v>
      </c>
      <c r="I4126" s="366" t="s">
        <v>1690</v>
      </c>
      <c r="J4126" s="348" t="str">
        <f t="shared" ca="1" si="128"/>
        <v>OK</v>
      </c>
      <c r="K4126" s="366" t="s">
        <v>1714</v>
      </c>
      <c r="L4126" s="366" t="s">
        <v>2248</v>
      </c>
      <c r="M4126" s="350" t="str">
        <f>IF($B4126="Portfolio","Portfolio",IFERROR(INDEX(DATA_ASSET_CLASSIFICATION!$B$8:$B$24,MATCH($C4126,DATA_ASSET_CLASSIFICATION!$A$8:$A$24,0)),"Review"))</f>
        <v>1656 Adanac Street</v>
      </c>
      <c r="N4126" s="350" t="str">
        <f>IF($B4126="Portfolio","Portfolio",IFERROR(INDEX(DATA_ASSET_CLASSIFICATION!$U$8:$U$24,MATCH($C4126,DATA_ASSET_CLASSIFICATION!$A$8:$A$24,0)),"Review"))</f>
        <v>New Build</v>
      </c>
      <c r="O4126" s="350" t="str">
        <f>IF($B4126="Portfolio","Portfolio",IFERROR(INDEX(DATA_ASSET_CLASSIFICATION!$AB$8:$AB$13,MATCH($N4126,DATA_ASSET_CLASSIFICATION!$AA$8:$AA$13,0)),"Review"))</f>
        <v>Bucket 1 · New Build</v>
      </c>
      <c r="P4126" s="350" t="str">
        <f>IF($B4126="Portfolio","Portfolio",IFERROR(INDEX(DATA_ASSET_CLASSIFICATION!$C$8:$C$24,MATCH($C4126,DATA_ASSET_CLASSIFICATION!$A$8:$A$24,0)),"Review"))</f>
        <v>Yes</v>
      </c>
      <c r="Q4126" s="350" t="str">
        <f t="shared" ca="1" si="129"/>
        <v>OK</v>
      </c>
    </row>
    <row r="4127" spans="1:17">
      <c r="A4127" s="366" t="s">
        <v>6083</v>
      </c>
      <c r="B4127" s="366" t="s">
        <v>231</v>
      </c>
      <c r="C4127" s="348" t="str">
        <f>DATA_PROPERTY_MASTER!$A$18</f>
        <v>BLD_AS</v>
      </c>
      <c r="D4127" s="380">
        <f>'00_PORTFOLIO ROLLUP'!I$12</f>
        <v>2029</v>
      </c>
      <c r="E4127" s="366" t="s">
        <v>1683</v>
      </c>
      <c r="F4127" s="366" t="s">
        <v>29</v>
      </c>
      <c r="G4127" s="348" t="str">
        <f>"'"&amp;$C4127&amp;"'!$E$56:$Y$56"</f>
        <v>'BLD_AS'!$E$56:$Y$56</v>
      </c>
      <c r="H4127" s="381">
        <f ca="1">IF(IFERROR(INDEX(DATA_PROPERTY_MASTER!$E$5:$E$21,MATCH($C4127,DATA_PROPERTY_MASTER!$A$5:$A$21,0))="Yes",FALSE),IFERROR(INDEX(INDIRECT("'"&amp;$C4127&amp;"'!$E$56:$Y$56"),1,MATCH($D4127,INDIRECT("'"&amp;$C4127&amp;"'!$E$12:$Y$12"),0)),0),0)</f>
        <v>166073.28745601952</v>
      </c>
      <c r="I4127" s="366" t="s">
        <v>1685</v>
      </c>
      <c r="J4127" s="348" t="str">
        <f t="shared" ca="1" si="128"/>
        <v>OK</v>
      </c>
      <c r="K4127" s="366" t="s">
        <v>1718</v>
      </c>
      <c r="L4127" s="366" t="s">
        <v>2250</v>
      </c>
      <c r="M4127" s="350" t="str">
        <f>IF($B4127="Portfolio","Portfolio",IFERROR(INDEX(DATA_ASSET_CLASSIFICATION!$B$8:$B$24,MATCH($C4127,DATA_ASSET_CLASSIFICATION!$A$8:$A$24,0)),"Review"))</f>
        <v>1656 Adanac Street</v>
      </c>
      <c r="N4127" s="350" t="str">
        <f>IF($B4127="Portfolio","Portfolio",IFERROR(INDEX(DATA_ASSET_CLASSIFICATION!$U$8:$U$24,MATCH($C4127,DATA_ASSET_CLASSIFICATION!$A$8:$A$24,0)),"Review"))</f>
        <v>New Build</v>
      </c>
      <c r="O4127" s="350" t="str">
        <f>IF($B4127="Portfolio","Portfolio",IFERROR(INDEX(DATA_ASSET_CLASSIFICATION!$AB$8:$AB$13,MATCH($N4127,DATA_ASSET_CLASSIFICATION!$AA$8:$AA$13,0)),"Review"))</f>
        <v>Bucket 1 · New Build</v>
      </c>
      <c r="P4127" s="350" t="str">
        <f>IF($B4127="Portfolio","Portfolio",IFERROR(INDEX(DATA_ASSET_CLASSIFICATION!$C$8:$C$24,MATCH($C4127,DATA_ASSET_CLASSIFICATION!$A$8:$A$24,0)),"Review"))</f>
        <v>Yes</v>
      </c>
      <c r="Q4127" s="350" t="str">
        <f t="shared" ca="1" si="129"/>
        <v>OK</v>
      </c>
    </row>
    <row r="4128" spans="1:17">
      <c r="A4128" s="366" t="s">
        <v>6084</v>
      </c>
      <c r="B4128" s="366" t="s">
        <v>231</v>
      </c>
      <c r="C4128" s="348" t="str">
        <f>DATA_PROPERTY_MASTER!$A$18</f>
        <v>BLD_AS</v>
      </c>
      <c r="D4128" s="380">
        <f>'00_PORTFOLIO ROLLUP'!I$12</f>
        <v>2029</v>
      </c>
      <c r="E4128" s="366" t="s">
        <v>1721</v>
      </c>
      <c r="F4128" s="366" t="s">
        <v>31</v>
      </c>
      <c r="G4128" s="348" t="str">
        <f>"'"&amp;$C4128&amp;"'!$E$61:$Y$61"</f>
        <v>'BLD_AS'!$E$61:$Y$61</v>
      </c>
      <c r="H4128" s="381">
        <f ca="1">IF(IFERROR(INDEX(DATA_PROPERTY_MASTER!$E$5:$E$21,MATCH($C4128,DATA_PROPERTY_MASTER!$A$5:$A$21,0))="Yes",FALSE),IFERROR(INDEX(INDIRECT("'"&amp;$C4128&amp;"'!$E$61:$Y$61"),1,MATCH($D4128,INDIRECT("'"&amp;$C4128&amp;"'!$E$12:$Y$12"),0)),0),0)</f>
        <v>0</v>
      </c>
      <c r="I4128" s="366" t="s">
        <v>1690</v>
      </c>
      <c r="J4128" s="348" t="str">
        <f t="shared" ca="1" si="128"/>
        <v>OK</v>
      </c>
      <c r="K4128" s="366" t="s">
        <v>1723</v>
      </c>
      <c r="L4128" s="366" t="s">
        <v>2252</v>
      </c>
      <c r="M4128" s="350" t="str">
        <f>IF($B4128="Portfolio","Portfolio",IFERROR(INDEX(DATA_ASSET_CLASSIFICATION!$B$8:$B$24,MATCH($C4128,DATA_ASSET_CLASSIFICATION!$A$8:$A$24,0)),"Review"))</f>
        <v>1656 Adanac Street</v>
      </c>
      <c r="N4128" s="350" t="str">
        <f>IF($B4128="Portfolio","Portfolio",IFERROR(INDEX(DATA_ASSET_CLASSIFICATION!$U$8:$U$24,MATCH($C4128,DATA_ASSET_CLASSIFICATION!$A$8:$A$24,0)),"Review"))</f>
        <v>New Build</v>
      </c>
      <c r="O4128" s="350" t="str">
        <f>IF($B4128="Portfolio","Portfolio",IFERROR(INDEX(DATA_ASSET_CLASSIFICATION!$AB$8:$AB$13,MATCH($N4128,DATA_ASSET_CLASSIFICATION!$AA$8:$AA$13,0)),"Review"))</f>
        <v>Bucket 1 · New Build</v>
      </c>
      <c r="P4128" s="350" t="str">
        <f>IF($B4128="Portfolio","Portfolio",IFERROR(INDEX(DATA_ASSET_CLASSIFICATION!$C$8:$C$24,MATCH($C4128,DATA_ASSET_CLASSIFICATION!$A$8:$A$24,0)),"Review"))</f>
        <v>Yes</v>
      </c>
      <c r="Q4128" s="350" t="str">
        <f t="shared" ca="1" si="129"/>
        <v>OK</v>
      </c>
    </row>
    <row r="4129" spans="1:17">
      <c r="A4129" s="366" t="s">
        <v>6085</v>
      </c>
      <c r="B4129" s="366" t="s">
        <v>231</v>
      </c>
      <c r="C4129" s="348" t="str">
        <f>DATA_PROPERTY_MASTER!$A$18</f>
        <v>BLD_AS</v>
      </c>
      <c r="D4129" s="380">
        <f>'00_PORTFOLIO ROLLUP'!I$12</f>
        <v>2029</v>
      </c>
      <c r="E4129" s="366" t="s">
        <v>1721</v>
      </c>
      <c r="F4129" s="366" t="s">
        <v>33</v>
      </c>
      <c r="G4129" s="348" t="str">
        <f>"'"&amp;$C4129&amp;"'!$E$62:$Y$62"</f>
        <v>'BLD_AS'!$E$62:$Y$62</v>
      </c>
      <c r="H4129" s="381">
        <f ca="1">IF(IFERROR(INDEX(DATA_PROPERTY_MASTER!$E$5:$E$21,MATCH($C4129,DATA_PROPERTY_MASTER!$A$5:$A$21,0))="Yes",FALSE),IFERROR(INDEX(INDIRECT("'"&amp;$C4129&amp;"'!$E$62:$Y$62"),1,MATCH($D4129,INDIRECT("'"&amp;$C4129&amp;"'!$E$12:$Y$12"),0)),0),0)</f>
        <v>0</v>
      </c>
      <c r="I4129" s="366" t="s">
        <v>1685</v>
      </c>
      <c r="J4129" s="348" t="str">
        <f t="shared" ca="1" si="128"/>
        <v>OK</v>
      </c>
      <c r="K4129" s="366" t="s">
        <v>1727</v>
      </c>
      <c r="L4129" s="366" t="s">
        <v>2254</v>
      </c>
      <c r="M4129" s="350" t="str">
        <f>IF($B4129="Portfolio","Portfolio",IFERROR(INDEX(DATA_ASSET_CLASSIFICATION!$B$8:$B$24,MATCH($C4129,DATA_ASSET_CLASSIFICATION!$A$8:$A$24,0)),"Review"))</f>
        <v>1656 Adanac Street</v>
      </c>
      <c r="N4129" s="350" t="str">
        <f>IF($B4129="Portfolio","Portfolio",IFERROR(INDEX(DATA_ASSET_CLASSIFICATION!$U$8:$U$24,MATCH($C4129,DATA_ASSET_CLASSIFICATION!$A$8:$A$24,0)),"Review"))</f>
        <v>New Build</v>
      </c>
      <c r="O4129" s="350" t="str">
        <f>IF($B4129="Portfolio","Portfolio",IFERROR(INDEX(DATA_ASSET_CLASSIFICATION!$AB$8:$AB$13,MATCH($N4129,DATA_ASSET_CLASSIFICATION!$AA$8:$AA$13,0)),"Review"))</f>
        <v>Bucket 1 · New Build</v>
      </c>
      <c r="P4129" s="350" t="str">
        <f>IF($B4129="Portfolio","Portfolio",IFERROR(INDEX(DATA_ASSET_CLASSIFICATION!$C$8:$C$24,MATCH($C4129,DATA_ASSET_CLASSIFICATION!$A$8:$A$24,0)),"Review"))</f>
        <v>Yes</v>
      </c>
      <c r="Q4129" s="350" t="str">
        <f t="shared" ca="1" si="129"/>
        <v>OK</v>
      </c>
    </row>
    <row r="4130" spans="1:17">
      <c r="A4130" s="366" t="s">
        <v>6086</v>
      </c>
      <c r="B4130" s="366" t="s">
        <v>231</v>
      </c>
      <c r="C4130" s="348" t="str">
        <f>DATA_PROPERTY_MASTER!$A$18</f>
        <v>BLD_AS</v>
      </c>
      <c r="D4130" s="380">
        <f>'00_PORTFOLIO ROLLUP'!I$12</f>
        <v>2029</v>
      </c>
      <c r="E4130" s="366" t="s">
        <v>1721</v>
      </c>
      <c r="F4130" s="366" t="s">
        <v>35</v>
      </c>
      <c r="G4130" s="348" t="str">
        <f>"'"&amp;$C4130&amp;"'!$E$63:$Y$63"</f>
        <v>'BLD_AS'!$E$63:$Y$63</v>
      </c>
      <c r="H4130" s="381">
        <f ca="1">IF(IFERROR(INDEX(DATA_PROPERTY_MASTER!$E$5:$E$21,MATCH($C4130,DATA_PROPERTY_MASTER!$A$5:$A$21,0))="Yes",FALSE),IFERROR(INDEX(INDIRECT("'"&amp;$C4130&amp;"'!$E$63:$Y$63"),1,MATCH($D4130,INDIRECT("'"&amp;$C4130&amp;"'!$E$12:$Y$12"),0)),0),0)</f>
        <v>0</v>
      </c>
      <c r="I4130" s="366" t="s">
        <v>1731</v>
      </c>
      <c r="J4130" s="348" t="str">
        <f t="shared" ca="1" si="128"/>
        <v>OK</v>
      </c>
      <c r="K4130" s="366" t="s">
        <v>1732</v>
      </c>
      <c r="L4130" s="366" t="s">
        <v>2256</v>
      </c>
      <c r="M4130" s="350" t="str">
        <f>IF($B4130="Portfolio","Portfolio",IFERROR(INDEX(DATA_ASSET_CLASSIFICATION!$B$8:$B$24,MATCH($C4130,DATA_ASSET_CLASSIFICATION!$A$8:$A$24,0)),"Review"))</f>
        <v>1656 Adanac Street</v>
      </c>
      <c r="N4130" s="350" t="str">
        <f>IF($B4130="Portfolio","Portfolio",IFERROR(INDEX(DATA_ASSET_CLASSIFICATION!$U$8:$U$24,MATCH($C4130,DATA_ASSET_CLASSIFICATION!$A$8:$A$24,0)),"Review"))</f>
        <v>New Build</v>
      </c>
      <c r="O4130" s="350" t="str">
        <f>IF($B4130="Portfolio","Portfolio",IFERROR(INDEX(DATA_ASSET_CLASSIFICATION!$AB$8:$AB$13,MATCH($N4130,DATA_ASSET_CLASSIFICATION!$AA$8:$AA$13,0)),"Review"))</f>
        <v>Bucket 1 · New Build</v>
      </c>
      <c r="P4130" s="350" t="str">
        <f>IF($B4130="Portfolio","Portfolio",IFERROR(INDEX(DATA_ASSET_CLASSIFICATION!$C$8:$C$24,MATCH($C4130,DATA_ASSET_CLASSIFICATION!$A$8:$A$24,0)),"Review"))</f>
        <v>Yes</v>
      </c>
      <c r="Q4130" s="350" t="str">
        <f t="shared" ca="1" si="129"/>
        <v>OK</v>
      </c>
    </row>
    <row r="4131" spans="1:17">
      <c r="A4131" s="366" t="s">
        <v>6087</v>
      </c>
      <c r="B4131" s="366" t="s">
        <v>231</v>
      </c>
      <c r="C4131" s="348" t="str">
        <f>DATA_PROPERTY_MASTER!$A$18</f>
        <v>BLD_AS</v>
      </c>
      <c r="D4131" s="380">
        <f>'00_PORTFOLIO ROLLUP'!I$12</f>
        <v>2029</v>
      </c>
      <c r="E4131" s="366" t="s">
        <v>1721</v>
      </c>
      <c r="F4131" s="366" t="s">
        <v>37</v>
      </c>
      <c r="G4131" s="348" t="str">
        <f>"'"&amp;$C4131&amp;"'!$E$63:$Y$63"</f>
        <v>'BLD_AS'!$E$63:$Y$63</v>
      </c>
      <c r="H4131" s="381">
        <f ca="1">IF(IFERROR(INDEX(DATA_PROPERTY_MASTER!$E$5:$E$21,MATCH($C4131,DATA_PROPERTY_MASTER!$A$5:$A$21,0))="Yes",FALSE),MAX(IFERROR(INDEX(INDIRECT("'"&amp;$C4131&amp;"'!$E$63:$Y$63"),1,MATCH($D4131,INDIRECT("'"&amp;$C4131&amp;"'!$E$12:$Y$12"),0)),0),0),0)</f>
        <v>0</v>
      </c>
      <c r="I4131" s="366" t="s">
        <v>1685</v>
      </c>
      <c r="J4131" s="348" t="str">
        <f t="shared" ca="1" si="128"/>
        <v>OK</v>
      </c>
      <c r="K4131" s="366" t="s">
        <v>1735</v>
      </c>
      <c r="L4131" s="366" t="s">
        <v>2258</v>
      </c>
      <c r="M4131" s="350" t="str">
        <f>IF($B4131="Portfolio","Portfolio",IFERROR(INDEX(DATA_ASSET_CLASSIFICATION!$B$8:$B$24,MATCH($C4131,DATA_ASSET_CLASSIFICATION!$A$8:$A$24,0)),"Review"))</f>
        <v>1656 Adanac Street</v>
      </c>
      <c r="N4131" s="350" t="str">
        <f>IF($B4131="Portfolio","Portfolio",IFERROR(INDEX(DATA_ASSET_CLASSIFICATION!$U$8:$U$24,MATCH($C4131,DATA_ASSET_CLASSIFICATION!$A$8:$A$24,0)),"Review"))</f>
        <v>New Build</v>
      </c>
      <c r="O4131" s="350" t="str">
        <f>IF($B4131="Portfolio","Portfolio",IFERROR(INDEX(DATA_ASSET_CLASSIFICATION!$AB$8:$AB$13,MATCH($N4131,DATA_ASSET_CLASSIFICATION!$AA$8:$AA$13,0)),"Review"))</f>
        <v>Bucket 1 · New Build</v>
      </c>
      <c r="P4131" s="350" t="str">
        <f>IF($B4131="Portfolio","Portfolio",IFERROR(INDEX(DATA_ASSET_CLASSIFICATION!$C$8:$C$24,MATCH($C4131,DATA_ASSET_CLASSIFICATION!$A$8:$A$24,0)),"Review"))</f>
        <v>Yes</v>
      </c>
      <c r="Q4131" s="350" t="str">
        <f t="shared" ca="1" si="129"/>
        <v>OK</v>
      </c>
    </row>
    <row r="4132" spans="1:17">
      <c r="A4132" s="366" t="s">
        <v>6088</v>
      </c>
      <c r="B4132" s="366" t="s">
        <v>231</v>
      </c>
      <c r="C4132" s="348" t="str">
        <f>DATA_PROPERTY_MASTER!$A$18</f>
        <v>BLD_AS</v>
      </c>
      <c r="D4132" s="380">
        <f>'00_PORTFOLIO ROLLUP'!I$12</f>
        <v>2029</v>
      </c>
      <c r="E4132" s="366" t="s">
        <v>1721</v>
      </c>
      <c r="F4132" s="366" t="s">
        <v>39</v>
      </c>
      <c r="G4132" s="348" t="str">
        <f>"'"&amp;$C4132&amp;"'!$E$63:$Y$63"</f>
        <v>'BLD_AS'!$E$63:$Y$63</v>
      </c>
      <c r="H4132" s="381">
        <f ca="1">IF(IFERROR(INDEX(DATA_PROPERTY_MASTER!$E$5:$E$21,MATCH($C4132,DATA_PROPERTY_MASTER!$A$5:$A$21,0))="Yes",FALSE),MAX(-IFERROR(INDEX(INDIRECT("'"&amp;$C4132&amp;"'!$E$63:$Y$63"),1,MATCH($D4132,INDIRECT("'"&amp;$C4132&amp;"'!$E$12:$Y$12"),0)),0),0),0)</f>
        <v>0</v>
      </c>
      <c r="I4132" s="366" t="s">
        <v>1690</v>
      </c>
      <c r="J4132" s="348" t="str">
        <f t="shared" ca="1" si="128"/>
        <v>OK</v>
      </c>
      <c r="K4132" s="366" t="s">
        <v>1738</v>
      </c>
      <c r="L4132" s="366" t="s">
        <v>2260</v>
      </c>
      <c r="M4132" s="350" t="str">
        <f>IF($B4132="Portfolio","Portfolio",IFERROR(INDEX(DATA_ASSET_CLASSIFICATION!$B$8:$B$24,MATCH($C4132,DATA_ASSET_CLASSIFICATION!$A$8:$A$24,0)),"Review"))</f>
        <v>1656 Adanac Street</v>
      </c>
      <c r="N4132" s="350" t="str">
        <f>IF($B4132="Portfolio","Portfolio",IFERROR(INDEX(DATA_ASSET_CLASSIFICATION!$U$8:$U$24,MATCH($C4132,DATA_ASSET_CLASSIFICATION!$A$8:$A$24,0)),"Review"))</f>
        <v>New Build</v>
      </c>
      <c r="O4132" s="350" t="str">
        <f>IF($B4132="Portfolio","Portfolio",IFERROR(INDEX(DATA_ASSET_CLASSIFICATION!$AB$8:$AB$13,MATCH($N4132,DATA_ASSET_CLASSIFICATION!$AA$8:$AA$13,0)),"Review"))</f>
        <v>Bucket 1 · New Build</v>
      </c>
      <c r="P4132" s="350" t="str">
        <f>IF($B4132="Portfolio","Portfolio",IFERROR(INDEX(DATA_ASSET_CLASSIFICATION!$C$8:$C$24,MATCH($C4132,DATA_ASSET_CLASSIFICATION!$A$8:$A$24,0)),"Review"))</f>
        <v>Yes</v>
      </c>
      <c r="Q4132" s="350" t="str">
        <f t="shared" ca="1" si="129"/>
        <v>OK</v>
      </c>
    </row>
    <row r="4133" spans="1:17">
      <c r="A4133" s="366" t="s">
        <v>6089</v>
      </c>
      <c r="B4133" s="366" t="s">
        <v>231</v>
      </c>
      <c r="C4133" s="348" t="str">
        <f>DATA_PROPERTY_MASTER!$A$18</f>
        <v>BLD_AS</v>
      </c>
      <c r="D4133" s="380">
        <f>'00_PORTFOLIO ROLLUP'!I$12</f>
        <v>2029</v>
      </c>
      <c r="E4133" s="366" t="s">
        <v>1741</v>
      </c>
      <c r="F4133" s="366" t="s">
        <v>41</v>
      </c>
      <c r="G4133" s="348" t="str">
        <f>"'"&amp;$C4133&amp;"'!rows 56 + positive row 63"</f>
        <v>'BLD_AS'!rows 56 + positive row 63</v>
      </c>
      <c r="H4133" s="381">
        <f ca="1">IF(IFERROR(INDEX(DATA_PROPERTY_MASTER!$E$5:$E$21,MATCH($C4133,DATA_PROPERTY_MASTER!$A$5:$A$21,0))="Yes",FALSE),IFERROR(INDEX(INDIRECT("'"&amp;$C4133&amp;"'!$E$56:$Y$56"),1,MATCH($D4133,INDIRECT("'"&amp;$C4133&amp;"'!$E$12:$Y$12"),0)),0)+MAX(IFERROR(INDEX(INDIRECT("'"&amp;$C4133&amp;"'!$E$63:$Y$63"),1,MATCH($D4133,INDIRECT("'"&amp;$C4133&amp;"'!$E$12:$Y$12"),0)),0),0),0)</f>
        <v>166073.28745601952</v>
      </c>
      <c r="I4133" s="366" t="s">
        <v>1685</v>
      </c>
      <c r="J4133" s="348" t="str">
        <f t="shared" ca="1" si="128"/>
        <v>OK</v>
      </c>
      <c r="K4133" s="366" t="s">
        <v>1742</v>
      </c>
      <c r="L4133" s="366" t="s">
        <v>2262</v>
      </c>
      <c r="M4133" s="350" t="str">
        <f>IF($B4133="Portfolio","Portfolio",IFERROR(INDEX(DATA_ASSET_CLASSIFICATION!$B$8:$B$24,MATCH($C4133,DATA_ASSET_CLASSIFICATION!$A$8:$A$24,0)),"Review"))</f>
        <v>1656 Adanac Street</v>
      </c>
      <c r="N4133" s="350" t="str">
        <f>IF($B4133="Portfolio","Portfolio",IFERROR(INDEX(DATA_ASSET_CLASSIFICATION!$U$8:$U$24,MATCH($C4133,DATA_ASSET_CLASSIFICATION!$A$8:$A$24,0)),"Review"))</f>
        <v>New Build</v>
      </c>
      <c r="O4133" s="350" t="str">
        <f>IF($B4133="Portfolio","Portfolio",IFERROR(INDEX(DATA_ASSET_CLASSIFICATION!$AB$8:$AB$13,MATCH($N4133,DATA_ASSET_CLASSIFICATION!$AA$8:$AA$13,0)),"Review"))</f>
        <v>Bucket 1 · New Build</v>
      </c>
      <c r="P4133" s="350" t="str">
        <f>IF($B4133="Portfolio","Portfolio",IFERROR(INDEX(DATA_ASSET_CLASSIFICATION!$C$8:$C$24,MATCH($C4133,DATA_ASSET_CLASSIFICATION!$A$8:$A$24,0)),"Review"))</f>
        <v>Yes</v>
      </c>
      <c r="Q4133" s="350" t="str">
        <f t="shared" ca="1" si="129"/>
        <v>OK</v>
      </c>
    </row>
    <row r="4134" spans="1:17">
      <c r="A4134" s="366" t="s">
        <v>6090</v>
      </c>
      <c r="B4134" s="366" t="s">
        <v>231</v>
      </c>
      <c r="C4134" s="348" t="str">
        <f>DATA_PROPERTY_MASTER!$A$18</f>
        <v>BLD_AS</v>
      </c>
      <c r="D4134" s="380">
        <f>'00_PORTFOLIO ROLLUP'!I$12</f>
        <v>2029</v>
      </c>
      <c r="E4134" s="366" t="s">
        <v>1741</v>
      </c>
      <c r="F4134" s="366" t="s">
        <v>43</v>
      </c>
      <c r="G4134" s="348" t="str">
        <f>"'"&amp;$C4134&amp;"'!$E$68:$Y$68"</f>
        <v>'BLD_AS'!$E$68:$Y$68</v>
      </c>
      <c r="H4134" s="381">
        <f ca="1">IF(IFERROR(INDEX(DATA_PROPERTY_MASTER!$E$5:$E$21,MATCH($C4134,DATA_PROPERTY_MASTER!$A$5:$A$21,0))="Yes",FALSE),IFERROR(INDEX(INDIRECT("'"&amp;$C4134&amp;"'!$E$68:$Y$68"),1,MATCH($D4134,INDIRECT("'"&amp;$C4134&amp;"'!$E$12:$Y$12"),0)),0),0)</f>
        <v>166073.28745601952</v>
      </c>
      <c r="I4134" s="366" t="s">
        <v>1731</v>
      </c>
      <c r="J4134" s="348" t="str">
        <f t="shared" ca="1" si="128"/>
        <v>OK</v>
      </c>
      <c r="K4134" s="366" t="s">
        <v>1746</v>
      </c>
      <c r="L4134" s="366" t="s">
        <v>2264</v>
      </c>
      <c r="M4134" s="350" t="str">
        <f>IF($B4134="Portfolio","Portfolio",IFERROR(INDEX(DATA_ASSET_CLASSIFICATION!$B$8:$B$24,MATCH($C4134,DATA_ASSET_CLASSIFICATION!$A$8:$A$24,0)),"Review"))</f>
        <v>1656 Adanac Street</v>
      </c>
      <c r="N4134" s="350" t="str">
        <f>IF($B4134="Portfolio","Portfolio",IFERROR(INDEX(DATA_ASSET_CLASSIFICATION!$U$8:$U$24,MATCH($C4134,DATA_ASSET_CLASSIFICATION!$A$8:$A$24,0)),"Review"))</f>
        <v>New Build</v>
      </c>
      <c r="O4134" s="350" t="str">
        <f>IF($B4134="Portfolio","Portfolio",IFERROR(INDEX(DATA_ASSET_CLASSIFICATION!$AB$8:$AB$13,MATCH($N4134,DATA_ASSET_CLASSIFICATION!$AA$8:$AA$13,0)),"Review"))</f>
        <v>Bucket 1 · New Build</v>
      </c>
      <c r="P4134" s="350" t="str">
        <f>IF($B4134="Portfolio","Portfolio",IFERROR(INDEX(DATA_ASSET_CLASSIFICATION!$C$8:$C$24,MATCH($C4134,DATA_ASSET_CLASSIFICATION!$A$8:$A$24,0)),"Review"))</f>
        <v>Yes</v>
      </c>
      <c r="Q4134" s="350" t="str">
        <f t="shared" ca="1" si="129"/>
        <v>OK</v>
      </c>
    </row>
    <row r="4135" spans="1:17">
      <c r="A4135" s="366" t="s">
        <v>6091</v>
      </c>
      <c r="B4135" s="366" t="s">
        <v>231</v>
      </c>
      <c r="C4135" s="348" t="str">
        <f>DATA_PROPERTY_MASTER!$A$18</f>
        <v>BLD_AS</v>
      </c>
      <c r="D4135" s="380">
        <f>'00_PORTFOLIO ROLLUP'!I$12</f>
        <v>2029</v>
      </c>
      <c r="E4135" s="366" t="s">
        <v>1741</v>
      </c>
      <c r="F4135" s="366" t="s">
        <v>1749</v>
      </c>
      <c r="G4135" s="348" t="str">
        <f>"'"&amp;$C4135&amp;"'!rows 56, 63, 68"</f>
        <v>'BLD_AS'!rows 56, 63, 68</v>
      </c>
      <c r="H4135" s="381">
        <f ca="1">IF(IFERROR(INDEX(DATA_PROPERTY_MASTER!$E$5:$E$21,MATCH($C4135,DATA_PROPERTY_MASTER!$A$5:$A$21,0))="Yes",FALSE),(IFERROR(INDEX(INDIRECT("'"&amp;$C4135&amp;"'!$E$56:$Y$56"),1,MATCH($D4135,INDIRECT("'"&amp;$C4135&amp;"'!$E$12:$Y$12"),0)),0)+MAX(IFERROR(INDEX(INDIRECT("'"&amp;$C4135&amp;"'!$E$63:$Y$63"),1,MATCH($D4135,INDIRECT("'"&amp;$C4135&amp;"'!$E$12:$Y$12"),0)),0),0))-(IFERROR(INDEX(INDIRECT("'"&amp;$C4135&amp;"'!$E$68:$Y$68"),1,MATCH($D4135,INDIRECT("'"&amp;$C4135&amp;"'!$E$12:$Y$12"),0)),0)),0)</f>
        <v>0</v>
      </c>
      <c r="I4135" s="366" t="s">
        <v>1750</v>
      </c>
      <c r="J4135" s="348" t="str">
        <f t="shared" ca="1" si="128"/>
        <v>OK</v>
      </c>
      <c r="K4135" s="366" t="s">
        <v>1751</v>
      </c>
      <c r="L4135" s="366" t="s">
        <v>2266</v>
      </c>
      <c r="M4135" s="350" t="str">
        <f>IF($B4135="Portfolio","Portfolio",IFERROR(INDEX(DATA_ASSET_CLASSIFICATION!$B$8:$B$24,MATCH($C4135,DATA_ASSET_CLASSIFICATION!$A$8:$A$24,0)),"Review"))</f>
        <v>1656 Adanac Street</v>
      </c>
      <c r="N4135" s="350" t="str">
        <f>IF($B4135="Portfolio","Portfolio",IFERROR(INDEX(DATA_ASSET_CLASSIFICATION!$U$8:$U$24,MATCH($C4135,DATA_ASSET_CLASSIFICATION!$A$8:$A$24,0)),"Review"))</f>
        <v>New Build</v>
      </c>
      <c r="O4135" s="350" t="str">
        <f>IF($B4135="Portfolio","Portfolio",IFERROR(INDEX(DATA_ASSET_CLASSIFICATION!$AB$8:$AB$13,MATCH($N4135,DATA_ASSET_CLASSIFICATION!$AA$8:$AA$13,0)),"Review"))</f>
        <v>Bucket 1 · New Build</v>
      </c>
      <c r="P4135" s="350" t="str">
        <f>IF($B4135="Portfolio","Portfolio",IFERROR(INDEX(DATA_ASSET_CLASSIFICATION!$C$8:$C$24,MATCH($C4135,DATA_ASSET_CLASSIFICATION!$A$8:$A$24,0)),"Review"))</f>
        <v>Yes</v>
      </c>
      <c r="Q4135" s="350" t="str">
        <f t="shared" ca="1" si="129"/>
        <v>OK</v>
      </c>
    </row>
    <row r="4136" spans="1:17">
      <c r="A4136" s="366" t="s">
        <v>6092</v>
      </c>
      <c r="B4136" s="366" t="s">
        <v>231</v>
      </c>
      <c r="C4136" s="348" t="str">
        <f>DATA_PROPERTY_MASTER!$A$18</f>
        <v>BLD_AS</v>
      </c>
      <c r="D4136" s="380">
        <f>'00_PORTFOLIO ROLLUP'!J$12</f>
        <v>2030</v>
      </c>
      <c r="E4136" s="366" t="s">
        <v>1683</v>
      </c>
      <c r="F4136" s="366" t="s">
        <v>341</v>
      </c>
      <c r="G4136" s="348" t="str">
        <f>"'"&amp;$C4136&amp;"'!$E$24:$Y$24"</f>
        <v>'BLD_AS'!$E$24:$Y$24</v>
      </c>
      <c r="H4136" s="381">
        <f ca="1">IF(IFERROR(INDEX(DATA_PROPERTY_MASTER!$E$5:$E$21,MATCH($C4136,DATA_PROPERTY_MASTER!$A$5:$A$21,0))="Yes",FALSE),IFERROR(INDEX(INDIRECT("'"&amp;$C4136&amp;"'!$E$24:$Y$24"),1,MATCH($D4136,INDIRECT("'"&amp;$C4136&amp;"'!$E$12:$Y$12"),0)),0),0)</f>
        <v>2118251.9896394834</v>
      </c>
      <c r="I4136" s="366" t="s">
        <v>1685</v>
      </c>
      <c r="J4136" s="348" t="str">
        <f t="shared" ca="1" si="128"/>
        <v>OK</v>
      </c>
      <c r="K4136" s="366" t="s">
        <v>1686</v>
      </c>
      <c r="L4136" s="366" t="s">
        <v>2234</v>
      </c>
      <c r="M4136" s="350" t="str">
        <f>IF($B4136="Portfolio","Portfolio",IFERROR(INDEX(DATA_ASSET_CLASSIFICATION!$B$8:$B$24,MATCH($C4136,DATA_ASSET_CLASSIFICATION!$A$8:$A$24,0)),"Review"))</f>
        <v>1656 Adanac Street</v>
      </c>
      <c r="N4136" s="350" t="str">
        <f>IF($B4136="Portfolio","Portfolio",IFERROR(INDEX(DATA_ASSET_CLASSIFICATION!$U$8:$U$24,MATCH($C4136,DATA_ASSET_CLASSIFICATION!$A$8:$A$24,0)),"Review"))</f>
        <v>New Build</v>
      </c>
      <c r="O4136" s="350" t="str">
        <f>IF($B4136="Portfolio","Portfolio",IFERROR(INDEX(DATA_ASSET_CLASSIFICATION!$AB$8:$AB$13,MATCH($N4136,DATA_ASSET_CLASSIFICATION!$AA$8:$AA$13,0)),"Review"))</f>
        <v>Bucket 1 · New Build</v>
      </c>
      <c r="P4136" s="350" t="str">
        <f>IF($B4136="Portfolio","Portfolio",IFERROR(INDEX(DATA_ASSET_CLASSIFICATION!$C$8:$C$24,MATCH($C4136,DATA_ASSET_CLASSIFICATION!$A$8:$A$24,0)),"Review"))</f>
        <v>Yes</v>
      </c>
      <c r="Q4136" s="350" t="str">
        <f t="shared" ca="1" si="129"/>
        <v>OK</v>
      </c>
    </row>
    <row r="4137" spans="1:17">
      <c r="A4137" s="366" t="s">
        <v>6093</v>
      </c>
      <c r="B4137" s="366" t="s">
        <v>231</v>
      </c>
      <c r="C4137" s="348" t="str">
        <f>DATA_PROPERTY_MASTER!$A$18</f>
        <v>BLD_AS</v>
      </c>
      <c r="D4137" s="380">
        <f>'00_PORTFOLIO ROLLUP'!J$12</f>
        <v>2030</v>
      </c>
      <c r="E4137" s="366" t="s">
        <v>1683</v>
      </c>
      <c r="F4137" s="366" t="s">
        <v>355</v>
      </c>
      <c r="G4137" s="348" t="str">
        <f>"'"&amp;$C4137&amp;"'!$E$39:$Y$39"</f>
        <v>'BLD_AS'!$E$39:$Y$39</v>
      </c>
      <c r="H4137" s="381">
        <f ca="1">IF(IFERROR(INDEX(DATA_PROPERTY_MASTER!$E$5:$E$21,MATCH($C4137,DATA_PROPERTY_MASTER!$A$5:$A$21,0))="Yes",FALSE),IFERROR(INDEX(INDIRECT("'"&amp;$C4137&amp;"'!$E$39:$Y$39"),1,MATCH($D4137,INDIRECT("'"&amp;$C4137&amp;"'!$E$12:$Y$12"),0)),0),0)</f>
        <v>890120.29653647391</v>
      </c>
      <c r="I4137" s="366" t="s">
        <v>1690</v>
      </c>
      <c r="J4137" s="348" t="str">
        <f t="shared" ca="1" si="128"/>
        <v>OK</v>
      </c>
      <c r="K4137" s="366" t="s">
        <v>1686</v>
      </c>
      <c r="L4137" s="366" t="s">
        <v>2236</v>
      </c>
      <c r="M4137" s="350" t="str">
        <f>IF($B4137="Portfolio","Portfolio",IFERROR(INDEX(DATA_ASSET_CLASSIFICATION!$B$8:$B$24,MATCH($C4137,DATA_ASSET_CLASSIFICATION!$A$8:$A$24,0)),"Review"))</f>
        <v>1656 Adanac Street</v>
      </c>
      <c r="N4137" s="350" t="str">
        <f>IF($B4137="Portfolio","Portfolio",IFERROR(INDEX(DATA_ASSET_CLASSIFICATION!$U$8:$U$24,MATCH($C4137,DATA_ASSET_CLASSIFICATION!$A$8:$A$24,0)),"Review"))</f>
        <v>New Build</v>
      </c>
      <c r="O4137" s="350" t="str">
        <f>IF($B4137="Portfolio","Portfolio",IFERROR(INDEX(DATA_ASSET_CLASSIFICATION!$AB$8:$AB$13,MATCH($N4137,DATA_ASSET_CLASSIFICATION!$AA$8:$AA$13,0)),"Review"))</f>
        <v>Bucket 1 · New Build</v>
      </c>
      <c r="P4137" s="350" t="str">
        <f>IF($B4137="Portfolio","Portfolio",IFERROR(INDEX(DATA_ASSET_CLASSIFICATION!$C$8:$C$24,MATCH($C4137,DATA_ASSET_CLASSIFICATION!$A$8:$A$24,0)),"Review"))</f>
        <v>Yes</v>
      </c>
      <c r="Q4137" s="350" t="str">
        <f t="shared" ca="1" si="129"/>
        <v>OK</v>
      </c>
    </row>
    <row r="4138" spans="1:17">
      <c r="A4138" s="366" t="s">
        <v>6094</v>
      </c>
      <c r="B4138" s="366" t="s">
        <v>231</v>
      </c>
      <c r="C4138" s="348" t="str">
        <f>DATA_PROPERTY_MASTER!$A$18</f>
        <v>BLD_AS</v>
      </c>
      <c r="D4138" s="380">
        <f>'00_PORTFOLIO ROLLUP'!J$12</f>
        <v>2030</v>
      </c>
      <c r="E4138" s="366" t="s">
        <v>1683</v>
      </c>
      <c r="F4138" s="366" t="s">
        <v>19</v>
      </c>
      <c r="G4138" s="348" t="str">
        <f>"'"&amp;$C4138&amp;"'!$E$41:$Y$41"</f>
        <v>'BLD_AS'!$E$41:$Y$41</v>
      </c>
      <c r="H4138" s="381">
        <f ca="1">IF(IFERROR(INDEX(DATA_PROPERTY_MASTER!$E$5:$E$21,MATCH($C4138,DATA_PROPERTY_MASTER!$A$5:$A$21,0))="Yes",FALSE),IFERROR(INDEX(INDIRECT("'"&amp;$C4138&amp;"'!$E$41:$Y$41"),1,MATCH($D4138,INDIRECT("'"&amp;$C4138&amp;"'!$E$12:$Y$12"),0)),0),0)</f>
        <v>1228131.6931030094</v>
      </c>
      <c r="I4138" s="366" t="s">
        <v>1685</v>
      </c>
      <c r="J4138" s="348" t="str">
        <f t="shared" ca="1" si="128"/>
        <v>OK</v>
      </c>
      <c r="K4138" s="366" t="s">
        <v>1694</v>
      </c>
      <c r="L4138" s="366" t="s">
        <v>2238</v>
      </c>
      <c r="M4138" s="350" t="str">
        <f>IF($B4138="Portfolio","Portfolio",IFERROR(INDEX(DATA_ASSET_CLASSIFICATION!$B$8:$B$24,MATCH($C4138,DATA_ASSET_CLASSIFICATION!$A$8:$A$24,0)),"Review"))</f>
        <v>1656 Adanac Street</v>
      </c>
      <c r="N4138" s="350" t="str">
        <f>IF($B4138="Portfolio","Portfolio",IFERROR(INDEX(DATA_ASSET_CLASSIFICATION!$U$8:$U$24,MATCH($C4138,DATA_ASSET_CLASSIFICATION!$A$8:$A$24,0)),"Review"))</f>
        <v>New Build</v>
      </c>
      <c r="O4138" s="350" t="str">
        <f>IF($B4138="Portfolio","Portfolio",IFERROR(INDEX(DATA_ASSET_CLASSIFICATION!$AB$8:$AB$13,MATCH($N4138,DATA_ASSET_CLASSIFICATION!$AA$8:$AA$13,0)),"Review"))</f>
        <v>Bucket 1 · New Build</v>
      </c>
      <c r="P4138" s="350" t="str">
        <f>IF($B4138="Portfolio","Portfolio",IFERROR(INDEX(DATA_ASSET_CLASSIFICATION!$C$8:$C$24,MATCH($C4138,DATA_ASSET_CLASSIFICATION!$A$8:$A$24,0)),"Review"))</f>
        <v>Yes</v>
      </c>
      <c r="Q4138" s="350" t="str">
        <f t="shared" ca="1" si="129"/>
        <v>OK</v>
      </c>
    </row>
    <row r="4139" spans="1:17">
      <c r="A4139" s="366" t="s">
        <v>6095</v>
      </c>
      <c r="B4139" s="366" t="s">
        <v>231</v>
      </c>
      <c r="C4139" s="348" t="str">
        <f>DATA_PROPERTY_MASTER!$A$18</f>
        <v>BLD_AS</v>
      </c>
      <c r="D4139" s="380">
        <f>'00_PORTFOLIO ROLLUP'!J$12</f>
        <v>2030</v>
      </c>
      <c r="E4139" s="366" t="s">
        <v>1683</v>
      </c>
      <c r="F4139" s="366" t="s">
        <v>1697</v>
      </c>
      <c r="G4139" s="348" t="str">
        <f>"'"&amp;$C4139&amp;"'!$E$44:$Y$44"</f>
        <v>'BLD_AS'!$E$44:$Y$44</v>
      </c>
      <c r="H4139" s="381">
        <f ca="1">IF(IFERROR(INDEX(DATA_PROPERTY_MASTER!$E$5:$E$21,MATCH($C4139,DATA_PROPERTY_MASTER!$A$5:$A$21,0))="Yes",FALSE),IFERROR(INDEX(INDIRECT("'"&amp;$C4139&amp;"'!$E$44:$Y$44"),1,MATCH($D4139,INDIRECT("'"&amp;$C4139&amp;"'!$E$12:$Y$12"),0)),0),0)</f>
        <v>16064.375686560001</v>
      </c>
      <c r="I4139" s="366" t="s">
        <v>1690</v>
      </c>
      <c r="J4139" s="348" t="str">
        <f t="shared" ca="1" si="128"/>
        <v>OK</v>
      </c>
      <c r="K4139" s="366" t="s">
        <v>1699</v>
      </c>
      <c r="L4139" s="366" t="s">
        <v>2240</v>
      </c>
      <c r="M4139" s="350" t="str">
        <f>IF($B4139="Portfolio","Portfolio",IFERROR(INDEX(DATA_ASSET_CLASSIFICATION!$B$8:$B$24,MATCH($C4139,DATA_ASSET_CLASSIFICATION!$A$8:$A$24,0)),"Review"))</f>
        <v>1656 Adanac Street</v>
      </c>
      <c r="N4139" s="350" t="str">
        <f>IF($B4139="Portfolio","Portfolio",IFERROR(INDEX(DATA_ASSET_CLASSIFICATION!$U$8:$U$24,MATCH($C4139,DATA_ASSET_CLASSIFICATION!$A$8:$A$24,0)),"Review"))</f>
        <v>New Build</v>
      </c>
      <c r="O4139" s="350" t="str">
        <f>IF($B4139="Portfolio","Portfolio",IFERROR(INDEX(DATA_ASSET_CLASSIFICATION!$AB$8:$AB$13,MATCH($N4139,DATA_ASSET_CLASSIFICATION!$AA$8:$AA$13,0)),"Review"))</f>
        <v>Bucket 1 · New Build</v>
      </c>
      <c r="P4139" s="350" t="str">
        <f>IF($B4139="Portfolio","Portfolio",IFERROR(INDEX(DATA_ASSET_CLASSIFICATION!$C$8:$C$24,MATCH($C4139,DATA_ASSET_CLASSIFICATION!$A$8:$A$24,0)),"Review"))</f>
        <v>Yes</v>
      </c>
      <c r="Q4139" s="350" t="str">
        <f t="shared" ca="1" si="129"/>
        <v>OK</v>
      </c>
    </row>
    <row r="4140" spans="1:17">
      <c r="A4140" s="366" t="s">
        <v>6096</v>
      </c>
      <c r="B4140" s="366" t="s">
        <v>231</v>
      </c>
      <c r="C4140" s="348" t="str">
        <f>DATA_PROPERTY_MASTER!$A$18</f>
        <v>BLD_AS</v>
      </c>
      <c r="D4140" s="380">
        <f>'00_PORTFOLIO ROLLUP'!J$12</f>
        <v>2030</v>
      </c>
      <c r="E4140" s="366" t="s">
        <v>1683</v>
      </c>
      <c r="F4140" s="366" t="s">
        <v>21</v>
      </c>
      <c r="G4140" s="348" t="str">
        <f>"'"&amp;$C4140&amp;"'!$E$45:$Y$45"</f>
        <v>'BLD_AS'!$E$45:$Y$45</v>
      </c>
      <c r="H4140" s="381">
        <f ca="1">IF(IFERROR(INDEX(DATA_PROPERTY_MASTER!$E$5:$E$21,MATCH($C4140,DATA_PROPERTY_MASTER!$A$5:$A$21,0))="Yes",FALSE),IFERROR(INDEX(INDIRECT("'"&amp;$C4140&amp;"'!$E$45:$Y$45"),1,MATCH($D4140,INDIRECT("'"&amp;$C4140&amp;"'!$E$12:$Y$12"),0)),0),0)</f>
        <v>1212067.3174164493</v>
      </c>
      <c r="I4140" s="366" t="s">
        <v>1685</v>
      </c>
      <c r="J4140" s="348" t="str">
        <f t="shared" ca="1" si="128"/>
        <v>OK</v>
      </c>
      <c r="K4140" s="366" t="s">
        <v>1694</v>
      </c>
      <c r="L4140" s="366" t="s">
        <v>2242</v>
      </c>
      <c r="M4140" s="350" t="str">
        <f>IF($B4140="Portfolio","Portfolio",IFERROR(INDEX(DATA_ASSET_CLASSIFICATION!$B$8:$B$24,MATCH($C4140,DATA_ASSET_CLASSIFICATION!$A$8:$A$24,0)),"Review"))</f>
        <v>1656 Adanac Street</v>
      </c>
      <c r="N4140" s="350" t="str">
        <f>IF($B4140="Portfolio","Portfolio",IFERROR(INDEX(DATA_ASSET_CLASSIFICATION!$U$8:$U$24,MATCH($C4140,DATA_ASSET_CLASSIFICATION!$A$8:$A$24,0)),"Review"))</f>
        <v>New Build</v>
      </c>
      <c r="O4140" s="350" t="str">
        <f>IF($B4140="Portfolio","Portfolio",IFERROR(INDEX(DATA_ASSET_CLASSIFICATION!$AB$8:$AB$13,MATCH($N4140,DATA_ASSET_CLASSIFICATION!$AA$8:$AA$13,0)),"Review"))</f>
        <v>Bucket 1 · New Build</v>
      </c>
      <c r="P4140" s="350" t="str">
        <f>IF($B4140="Portfolio","Portfolio",IFERROR(INDEX(DATA_ASSET_CLASSIFICATION!$C$8:$C$24,MATCH($C4140,DATA_ASSET_CLASSIFICATION!$A$8:$A$24,0)),"Review"))</f>
        <v>Yes</v>
      </c>
      <c r="Q4140" s="350" t="str">
        <f t="shared" ca="1" si="129"/>
        <v>OK</v>
      </c>
    </row>
    <row r="4141" spans="1:17">
      <c r="A4141" s="366" t="s">
        <v>6097</v>
      </c>
      <c r="B4141" s="366" t="s">
        <v>231</v>
      </c>
      <c r="C4141" s="348" t="str">
        <f>DATA_PROPERTY_MASTER!$A$18</f>
        <v>BLD_AS</v>
      </c>
      <c r="D4141" s="380">
        <f>'00_PORTFOLIO ROLLUP'!J$12</f>
        <v>2030</v>
      </c>
      <c r="E4141" s="366" t="s">
        <v>23</v>
      </c>
      <c r="F4141" s="366" t="s">
        <v>23</v>
      </c>
      <c r="G4141" s="348" t="str">
        <f>"'"&amp;$C4141&amp;"'!$E$48:$Y$48"</f>
        <v>'BLD_AS'!$E$48:$Y$48</v>
      </c>
      <c r="H4141" s="381">
        <f ca="1">IF(IFERROR(INDEX(DATA_PROPERTY_MASTER!$E$5:$E$21,MATCH($C4141,DATA_PROPERTY_MASTER!$A$5:$A$21,0))="Yes",FALSE),IFERROR(INDEX(INDIRECT("'"&amp;$C4141&amp;"'!$E$48:$Y$48"),1,MATCH($D4141,INDIRECT("'"&amp;$C4141&amp;"'!$E$12:$Y$12"),0)),0),0)</f>
        <v>805649.51774556539</v>
      </c>
      <c r="I4141" s="366" t="s">
        <v>1690</v>
      </c>
      <c r="J4141" s="348" t="str">
        <f t="shared" ca="1" si="128"/>
        <v>OK</v>
      </c>
      <c r="K4141" s="366" t="s">
        <v>1706</v>
      </c>
      <c r="L4141" s="366" t="s">
        <v>2244</v>
      </c>
      <c r="M4141" s="350" t="str">
        <f>IF($B4141="Portfolio","Portfolio",IFERROR(INDEX(DATA_ASSET_CLASSIFICATION!$B$8:$B$24,MATCH($C4141,DATA_ASSET_CLASSIFICATION!$A$8:$A$24,0)),"Review"))</f>
        <v>1656 Adanac Street</v>
      </c>
      <c r="N4141" s="350" t="str">
        <f>IF($B4141="Portfolio","Portfolio",IFERROR(INDEX(DATA_ASSET_CLASSIFICATION!$U$8:$U$24,MATCH($C4141,DATA_ASSET_CLASSIFICATION!$A$8:$A$24,0)),"Review"))</f>
        <v>New Build</v>
      </c>
      <c r="O4141" s="350" t="str">
        <f>IF($B4141="Portfolio","Portfolio",IFERROR(INDEX(DATA_ASSET_CLASSIFICATION!$AB$8:$AB$13,MATCH($N4141,DATA_ASSET_CLASSIFICATION!$AA$8:$AA$13,0)),"Review"))</f>
        <v>Bucket 1 · New Build</v>
      </c>
      <c r="P4141" s="350" t="str">
        <f>IF($B4141="Portfolio","Portfolio",IFERROR(INDEX(DATA_ASSET_CLASSIFICATION!$C$8:$C$24,MATCH($C4141,DATA_ASSET_CLASSIFICATION!$A$8:$A$24,0)),"Review"))</f>
        <v>Yes</v>
      </c>
      <c r="Q4141" s="350" t="str">
        <f t="shared" ca="1" si="129"/>
        <v>OK</v>
      </c>
    </row>
    <row r="4142" spans="1:17">
      <c r="A4142" s="366" t="s">
        <v>6098</v>
      </c>
      <c r="B4142" s="366" t="s">
        <v>231</v>
      </c>
      <c r="C4142" s="348" t="str">
        <f>DATA_PROPERTY_MASTER!$A$18</f>
        <v>BLD_AS</v>
      </c>
      <c r="D4142" s="380">
        <f>'00_PORTFOLIO ROLLUP'!J$12</f>
        <v>2030</v>
      </c>
      <c r="E4142" s="366" t="s">
        <v>1683</v>
      </c>
      <c r="F4142" s="366" t="s">
        <v>25</v>
      </c>
      <c r="G4142" s="348" t="str">
        <f>"'"&amp;$C4142&amp;"'!$E$52:$Y$52"</f>
        <v>'BLD_AS'!$E$52:$Y$52</v>
      </c>
      <c r="H4142" s="381">
        <f ca="1">IF(IFERROR(INDEX(DATA_PROPERTY_MASTER!$E$5:$E$21,MATCH($C4142,DATA_PROPERTY_MASTER!$A$5:$A$21,0))="Yes",FALSE),IFERROR(INDEX(INDIRECT("'"&amp;$C4142&amp;"'!$E$52:$Y$52"),1,MATCH($D4142,INDIRECT("'"&amp;$C4142&amp;"'!$E$12:$Y$12"),0)),0),0)</f>
        <v>422482.17535744398</v>
      </c>
      <c r="I4142" s="366" t="s">
        <v>1685</v>
      </c>
      <c r="J4142" s="348" t="str">
        <f t="shared" ca="1" si="128"/>
        <v>OK</v>
      </c>
      <c r="K4142" s="366" t="s">
        <v>1710</v>
      </c>
      <c r="L4142" s="366" t="s">
        <v>2246</v>
      </c>
      <c r="M4142" s="350" t="str">
        <f>IF($B4142="Portfolio","Portfolio",IFERROR(INDEX(DATA_ASSET_CLASSIFICATION!$B$8:$B$24,MATCH($C4142,DATA_ASSET_CLASSIFICATION!$A$8:$A$24,0)),"Review"))</f>
        <v>1656 Adanac Street</v>
      </c>
      <c r="N4142" s="350" t="str">
        <f>IF($B4142="Portfolio","Portfolio",IFERROR(INDEX(DATA_ASSET_CLASSIFICATION!$U$8:$U$24,MATCH($C4142,DATA_ASSET_CLASSIFICATION!$A$8:$A$24,0)),"Review"))</f>
        <v>New Build</v>
      </c>
      <c r="O4142" s="350" t="str">
        <f>IF($B4142="Portfolio","Portfolio",IFERROR(INDEX(DATA_ASSET_CLASSIFICATION!$AB$8:$AB$13,MATCH($N4142,DATA_ASSET_CLASSIFICATION!$AA$8:$AA$13,0)),"Review"))</f>
        <v>Bucket 1 · New Build</v>
      </c>
      <c r="P4142" s="350" t="str">
        <f>IF($B4142="Portfolio","Portfolio",IFERROR(INDEX(DATA_ASSET_CLASSIFICATION!$C$8:$C$24,MATCH($C4142,DATA_ASSET_CLASSIFICATION!$A$8:$A$24,0)),"Review"))</f>
        <v>Yes</v>
      </c>
      <c r="Q4142" s="350" t="str">
        <f t="shared" ca="1" si="129"/>
        <v>OK</v>
      </c>
    </row>
    <row r="4143" spans="1:17">
      <c r="A4143" s="366" t="s">
        <v>6099</v>
      </c>
      <c r="B4143" s="366" t="s">
        <v>231</v>
      </c>
      <c r="C4143" s="348" t="str">
        <f>DATA_PROPERTY_MASTER!$A$18</f>
        <v>BLD_AS</v>
      </c>
      <c r="D4143" s="380">
        <f>'00_PORTFOLIO ROLLUP'!J$12</f>
        <v>2030</v>
      </c>
      <c r="E4143" s="366" t="s">
        <v>1683</v>
      </c>
      <c r="F4143" s="366" t="s">
        <v>27</v>
      </c>
      <c r="G4143" s="348" t="str">
        <f>"'"&amp;$C4143&amp;"'!$E$54:$Y$54"</f>
        <v>'BLD_AS'!$E$54:$Y$54</v>
      </c>
      <c r="H4143" s="381">
        <f ca="1">IF(IFERROR(INDEX(DATA_PROPERTY_MASTER!$E$5:$E$21,MATCH($C4143,DATA_PROPERTY_MASTER!$A$5:$A$21,0))="Yes",FALSE),IFERROR(INDEX(INDIRECT("'"&amp;$C4143&amp;"'!$E$54:$Y$54"),1,MATCH($D4143,INDIRECT("'"&amp;$C4143&amp;"'!$E$12:$Y$12"),0)),0),0)</f>
        <v>253489.30521446638</v>
      </c>
      <c r="I4143" s="366" t="s">
        <v>1690</v>
      </c>
      <c r="J4143" s="348" t="str">
        <f t="shared" ca="1" si="128"/>
        <v>OK</v>
      </c>
      <c r="K4143" s="366" t="s">
        <v>1714</v>
      </c>
      <c r="L4143" s="366" t="s">
        <v>2248</v>
      </c>
      <c r="M4143" s="350" t="str">
        <f>IF($B4143="Portfolio","Portfolio",IFERROR(INDEX(DATA_ASSET_CLASSIFICATION!$B$8:$B$24,MATCH($C4143,DATA_ASSET_CLASSIFICATION!$A$8:$A$24,0)),"Review"))</f>
        <v>1656 Adanac Street</v>
      </c>
      <c r="N4143" s="350" t="str">
        <f>IF($B4143="Portfolio","Portfolio",IFERROR(INDEX(DATA_ASSET_CLASSIFICATION!$U$8:$U$24,MATCH($C4143,DATA_ASSET_CLASSIFICATION!$A$8:$A$24,0)),"Review"))</f>
        <v>New Build</v>
      </c>
      <c r="O4143" s="350" t="str">
        <f>IF($B4143="Portfolio","Portfolio",IFERROR(INDEX(DATA_ASSET_CLASSIFICATION!$AB$8:$AB$13,MATCH($N4143,DATA_ASSET_CLASSIFICATION!$AA$8:$AA$13,0)),"Review"))</f>
        <v>Bucket 1 · New Build</v>
      </c>
      <c r="P4143" s="350" t="str">
        <f>IF($B4143="Portfolio","Portfolio",IFERROR(INDEX(DATA_ASSET_CLASSIFICATION!$C$8:$C$24,MATCH($C4143,DATA_ASSET_CLASSIFICATION!$A$8:$A$24,0)),"Review"))</f>
        <v>Yes</v>
      </c>
      <c r="Q4143" s="350" t="str">
        <f t="shared" ca="1" si="129"/>
        <v>OK</v>
      </c>
    </row>
    <row r="4144" spans="1:17">
      <c r="A4144" s="366" t="s">
        <v>6100</v>
      </c>
      <c r="B4144" s="366" t="s">
        <v>231</v>
      </c>
      <c r="C4144" s="348" t="str">
        <f>DATA_PROPERTY_MASTER!$A$18</f>
        <v>BLD_AS</v>
      </c>
      <c r="D4144" s="380">
        <f>'00_PORTFOLIO ROLLUP'!J$12</f>
        <v>2030</v>
      </c>
      <c r="E4144" s="366" t="s">
        <v>1683</v>
      </c>
      <c r="F4144" s="366" t="s">
        <v>29</v>
      </c>
      <c r="G4144" s="348" t="str">
        <f>"'"&amp;$C4144&amp;"'!$E$56:$Y$56"</f>
        <v>'BLD_AS'!$E$56:$Y$56</v>
      </c>
      <c r="H4144" s="381">
        <f ca="1">IF(IFERROR(INDEX(DATA_PROPERTY_MASTER!$E$5:$E$21,MATCH($C4144,DATA_PROPERTY_MASTER!$A$5:$A$21,0))="Yes",FALSE),IFERROR(INDEX(INDIRECT("'"&amp;$C4144&amp;"'!$E$56:$Y$56"),1,MATCH($D4144,INDIRECT("'"&amp;$C4144&amp;"'!$E$12:$Y$12"),0)),0),0)</f>
        <v>168992.8701429776</v>
      </c>
      <c r="I4144" s="366" t="s">
        <v>1685</v>
      </c>
      <c r="J4144" s="348" t="str">
        <f t="shared" ca="1" si="128"/>
        <v>OK</v>
      </c>
      <c r="K4144" s="366" t="s">
        <v>1718</v>
      </c>
      <c r="L4144" s="366" t="s">
        <v>2250</v>
      </c>
      <c r="M4144" s="350" t="str">
        <f>IF($B4144="Portfolio","Portfolio",IFERROR(INDEX(DATA_ASSET_CLASSIFICATION!$B$8:$B$24,MATCH($C4144,DATA_ASSET_CLASSIFICATION!$A$8:$A$24,0)),"Review"))</f>
        <v>1656 Adanac Street</v>
      </c>
      <c r="N4144" s="350" t="str">
        <f>IF($B4144="Portfolio","Portfolio",IFERROR(INDEX(DATA_ASSET_CLASSIFICATION!$U$8:$U$24,MATCH($C4144,DATA_ASSET_CLASSIFICATION!$A$8:$A$24,0)),"Review"))</f>
        <v>New Build</v>
      </c>
      <c r="O4144" s="350" t="str">
        <f>IF($B4144="Portfolio","Portfolio",IFERROR(INDEX(DATA_ASSET_CLASSIFICATION!$AB$8:$AB$13,MATCH($N4144,DATA_ASSET_CLASSIFICATION!$AA$8:$AA$13,0)),"Review"))</f>
        <v>Bucket 1 · New Build</v>
      </c>
      <c r="P4144" s="350" t="str">
        <f>IF($B4144="Portfolio","Portfolio",IFERROR(INDEX(DATA_ASSET_CLASSIFICATION!$C$8:$C$24,MATCH($C4144,DATA_ASSET_CLASSIFICATION!$A$8:$A$24,0)),"Review"))</f>
        <v>Yes</v>
      </c>
      <c r="Q4144" s="350" t="str">
        <f t="shared" ca="1" si="129"/>
        <v>OK</v>
      </c>
    </row>
    <row r="4145" spans="1:17">
      <c r="A4145" s="366" t="s">
        <v>6101</v>
      </c>
      <c r="B4145" s="366" t="s">
        <v>231</v>
      </c>
      <c r="C4145" s="348" t="str">
        <f>DATA_PROPERTY_MASTER!$A$18</f>
        <v>BLD_AS</v>
      </c>
      <c r="D4145" s="380">
        <f>'00_PORTFOLIO ROLLUP'!J$12</f>
        <v>2030</v>
      </c>
      <c r="E4145" s="366" t="s">
        <v>1721</v>
      </c>
      <c r="F4145" s="366" t="s">
        <v>31</v>
      </c>
      <c r="G4145" s="348" t="str">
        <f>"'"&amp;$C4145&amp;"'!$E$61:$Y$61"</f>
        <v>'BLD_AS'!$E$61:$Y$61</v>
      </c>
      <c r="H4145" s="381">
        <f ca="1">IF(IFERROR(INDEX(DATA_PROPERTY_MASTER!$E$5:$E$21,MATCH($C4145,DATA_PROPERTY_MASTER!$A$5:$A$21,0))="Yes",FALSE),IFERROR(INDEX(INDIRECT("'"&amp;$C4145&amp;"'!$E$61:$Y$61"),1,MATCH($D4145,INDIRECT("'"&amp;$C4145&amp;"'!$E$12:$Y$12"),0)),0),0)</f>
        <v>0</v>
      </c>
      <c r="I4145" s="366" t="s">
        <v>1690</v>
      </c>
      <c r="J4145" s="348" t="str">
        <f t="shared" ca="1" si="128"/>
        <v>OK</v>
      </c>
      <c r="K4145" s="366" t="s">
        <v>1723</v>
      </c>
      <c r="L4145" s="366" t="s">
        <v>2252</v>
      </c>
      <c r="M4145" s="350" t="str">
        <f>IF($B4145="Portfolio","Portfolio",IFERROR(INDEX(DATA_ASSET_CLASSIFICATION!$B$8:$B$24,MATCH($C4145,DATA_ASSET_CLASSIFICATION!$A$8:$A$24,0)),"Review"))</f>
        <v>1656 Adanac Street</v>
      </c>
      <c r="N4145" s="350" t="str">
        <f>IF($B4145="Portfolio","Portfolio",IFERROR(INDEX(DATA_ASSET_CLASSIFICATION!$U$8:$U$24,MATCH($C4145,DATA_ASSET_CLASSIFICATION!$A$8:$A$24,0)),"Review"))</f>
        <v>New Build</v>
      </c>
      <c r="O4145" s="350" t="str">
        <f>IF($B4145="Portfolio","Portfolio",IFERROR(INDEX(DATA_ASSET_CLASSIFICATION!$AB$8:$AB$13,MATCH($N4145,DATA_ASSET_CLASSIFICATION!$AA$8:$AA$13,0)),"Review"))</f>
        <v>Bucket 1 · New Build</v>
      </c>
      <c r="P4145" s="350" t="str">
        <f>IF($B4145="Portfolio","Portfolio",IFERROR(INDEX(DATA_ASSET_CLASSIFICATION!$C$8:$C$24,MATCH($C4145,DATA_ASSET_CLASSIFICATION!$A$8:$A$24,0)),"Review"))</f>
        <v>Yes</v>
      </c>
      <c r="Q4145" s="350" t="str">
        <f t="shared" ca="1" si="129"/>
        <v>OK</v>
      </c>
    </row>
    <row r="4146" spans="1:17">
      <c r="A4146" s="366" t="s">
        <v>6102</v>
      </c>
      <c r="B4146" s="366" t="s">
        <v>231</v>
      </c>
      <c r="C4146" s="348" t="str">
        <f>DATA_PROPERTY_MASTER!$A$18</f>
        <v>BLD_AS</v>
      </c>
      <c r="D4146" s="380">
        <f>'00_PORTFOLIO ROLLUP'!J$12</f>
        <v>2030</v>
      </c>
      <c r="E4146" s="366" t="s">
        <v>1721</v>
      </c>
      <c r="F4146" s="366" t="s">
        <v>33</v>
      </c>
      <c r="G4146" s="348" t="str">
        <f>"'"&amp;$C4146&amp;"'!$E$62:$Y$62"</f>
        <v>'BLD_AS'!$E$62:$Y$62</v>
      </c>
      <c r="H4146" s="381">
        <f ca="1">IF(IFERROR(INDEX(DATA_PROPERTY_MASTER!$E$5:$E$21,MATCH($C4146,DATA_PROPERTY_MASTER!$A$5:$A$21,0))="Yes",FALSE),IFERROR(INDEX(INDIRECT("'"&amp;$C4146&amp;"'!$E$62:$Y$62"),1,MATCH($D4146,INDIRECT("'"&amp;$C4146&amp;"'!$E$12:$Y$12"),0)),0),0)</f>
        <v>0</v>
      </c>
      <c r="I4146" s="366" t="s">
        <v>1685</v>
      </c>
      <c r="J4146" s="348" t="str">
        <f t="shared" ca="1" si="128"/>
        <v>OK</v>
      </c>
      <c r="K4146" s="366" t="s">
        <v>1727</v>
      </c>
      <c r="L4146" s="366" t="s">
        <v>2254</v>
      </c>
      <c r="M4146" s="350" t="str">
        <f>IF($B4146="Portfolio","Portfolio",IFERROR(INDEX(DATA_ASSET_CLASSIFICATION!$B$8:$B$24,MATCH($C4146,DATA_ASSET_CLASSIFICATION!$A$8:$A$24,0)),"Review"))</f>
        <v>1656 Adanac Street</v>
      </c>
      <c r="N4146" s="350" t="str">
        <f>IF($B4146="Portfolio","Portfolio",IFERROR(INDEX(DATA_ASSET_CLASSIFICATION!$U$8:$U$24,MATCH($C4146,DATA_ASSET_CLASSIFICATION!$A$8:$A$24,0)),"Review"))</f>
        <v>New Build</v>
      </c>
      <c r="O4146" s="350" t="str">
        <f>IF($B4146="Portfolio","Portfolio",IFERROR(INDEX(DATA_ASSET_CLASSIFICATION!$AB$8:$AB$13,MATCH($N4146,DATA_ASSET_CLASSIFICATION!$AA$8:$AA$13,0)),"Review"))</f>
        <v>Bucket 1 · New Build</v>
      </c>
      <c r="P4146" s="350" t="str">
        <f>IF($B4146="Portfolio","Portfolio",IFERROR(INDEX(DATA_ASSET_CLASSIFICATION!$C$8:$C$24,MATCH($C4146,DATA_ASSET_CLASSIFICATION!$A$8:$A$24,0)),"Review"))</f>
        <v>Yes</v>
      </c>
      <c r="Q4146" s="350" t="str">
        <f t="shared" ca="1" si="129"/>
        <v>OK</v>
      </c>
    </row>
    <row r="4147" spans="1:17">
      <c r="A4147" s="366" t="s">
        <v>6103</v>
      </c>
      <c r="B4147" s="366" t="s">
        <v>231</v>
      </c>
      <c r="C4147" s="348" t="str">
        <f>DATA_PROPERTY_MASTER!$A$18</f>
        <v>BLD_AS</v>
      </c>
      <c r="D4147" s="380">
        <f>'00_PORTFOLIO ROLLUP'!J$12</f>
        <v>2030</v>
      </c>
      <c r="E4147" s="366" t="s">
        <v>1721</v>
      </c>
      <c r="F4147" s="366" t="s">
        <v>35</v>
      </c>
      <c r="G4147" s="348" t="str">
        <f>"'"&amp;$C4147&amp;"'!$E$63:$Y$63"</f>
        <v>'BLD_AS'!$E$63:$Y$63</v>
      </c>
      <c r="H4147" s="381">
        <f ca="1">IF(IFERROR(INDEX(DATA_PROPERTY_MASTER!$E$5:$E$21,MATCH($C4147,DATA_PROPERTY_MASTER!$A$5:$A$21,0))="Yes",FALSE),IFERROR(INDEX(INDIRECT("'"&amp;$C4147&amp;"'!$E$63:$Y$63"),1,MATCH($D4147,INDIRECT("'"&amp;$C4147&amp;"'!$E$12:$Y$12"),0)),0),0)</f>
        <v>0</v>
      </c>
      <c r="I4147" s="366" t="s">
        <v>1731</v>
      </c>
      <c r="J4147" s="348" t="str">
        <f t="shared" ca="1" si="128"/>
        <v>OK</v>
      </c>
      <c r="K4147" s="366" t="s">
        <v>1732</v>
      </c>
      <c r="L4147" s="366" t="s">
        <v>2256</v>
      </c>
      <c r="M4147" s="350" t="str">
        <f>IF($B4147="Portfolio","Portfolio",IFERROR(INDEX(DATA_ASSET_CLASSIFICATION!$B$8:$B$24,MATCH($C4147,DATA_ASSET_CLASSIFICATION!$A$8:$A$24,0)),"Review"))</f>
        <v>1656 Adanac Street</v>
      </c>
      <c r="N4147" s="350" t="str">
        <f>IF($B4147="Portfolio","Portfolio",IFERROR(INDEX(DATA_ASSET_CLASSIFICATION!$U$8:$U$24,MATCH($C4147,DATA_ASSET_CLASSIFICATION!$A$8:$A$24,0)),"Review"))</f>
        <v>New Build</v>
      </c>
      <c r="O4147" s="350" t="str">
        <f>IF($B4147="Portfolio","Portfolio",IFERROR(INDEX(DATA_ASSET_CLASSIFICATION!$AB$8:$AB$13,MATCH($N4147,DATA_ASSET_CLASSIFICATION!$AA$8:$AA$13,0)),"Review"))</f>
        <v>Bucket 1 · New Build</v>
      </c>
      <c r="P4147" s="350" t="str">
        <f>IF($B4147="Portfolio","Portfolio",IFERROR(INDEX(DATA_ASSET_CLASSIFICATION!$C$8:$C$24,MATCH($C4147,DATA_ASSET_CLASSIFICATION!$A$8:$A$24,0)),"Review"))</f>
        <v>Yes</v>
      </c>
      <c r="Q4147" s="350" t="str">
        <f t="shared" ca="1" si="129"/>
        <v>OK</v>
      </c>
    </row>
    <row r="4148" spans="1:17">
      <c r="A4148" s="366" t="s">
        <v>6104</v>
      </c>
      <c r="B4148" s="366" t="s">
        <v>231</v>
      </c>
      <c r="C4148" s="348" t="str">
        <f>DATA_PROPERTY_MASTER!$A$18</f>
        <v>BLD_AS</v>
      </c>
      <c r="D4148" s="380">
        <f>'00_PORTFOLIO ROLLUP'!J$12</f>
        <v>2030</v>
      </c>
      <c r="E4148" s="366" t="s">
        <v>1721</v>
      </c>
      <c r="F4148" s="366" t="s">
        <v>37</v>
      </c>
      <c r="G4148" s="348" t="str">
        <f>"'"&amp;$C4148&amp;"'!$E$63:$Y$63"</f>
        <v>'BLD_AS'!$E$63:$Y$63</v>
      </c>
      <c r="H4148" s="381">
        <f ca="1">IF(IFERROR(INDEX(DATA_PROPERTY_MASTER!$E$5:$E$21,MATCH($C4148,DATA_PROPERTY_MASTER!$A$5:$A$21,0))="Yes",FALSE),MAX(IFERROR(INDEX(INDIRECT("'"&amp;$C4148&amp;"'!$E$63:$Y$63"),1,MATCH($D4148,INDIRECT("'"&amp;$C4148&amp;"'!$E$12:$Y$12"),0)),0),0),0)</f>
        <v>0</v>
      </c>
      <c r="I4148" s="366" t="s">
        <v>1685</v>
      </c>
      <c r="J4148" s="348" t="str">
        <f t="shared" ca="1" si="128"/>
        <v>OK</v>
      </c>
      <c r="K4148" s="366" t="s">
        <v>1735</v>
      </c>
      <c r="L4148" s="366" t="s">
        <v>2258</v>
      </c>
      <c r="M4148" s="350" t="str">
        <f>IF($B4148="Portfolio","Portfolio",IFERROR(INDEX(DATA_ASSET_CLASSIFICATION!$B$8:$B$24,MATCH($C4148,DATA_ASSET_CLASSIFICATION!$A$8:$A$24,0)),"Review"))</f>
        <v>1656 Adanac Street</v>
      </c>
      <c r="N4148" s="350" t="str">
        <f>IF($B4148="Portfolio","Portfolio",IFERROR(INDEX(DATA_ASSET_CLASSIFICATION!$U$8:$U$24,MATCH($C4148,DATA_ASSET_CLASSIFICATION!$A$8:$A$24,0)),"Review"))</f>
        <v>New Build</v>
      </c>
      <c r="O4148" s="350" t="str">
        <f>IF($B4148="Portfolio","Portfolio",IFERROR(INDEX(DATA_ASSET_CLASSIFICATION!$AB$8:$AB$13,MATCH($N4148,DATA_ASSET_CLASSIFICATION!$AA$8:$AA$13,0)),"Review"))</f>
        <v>Bucket 1 · New Build</v>
      </c>
      <c r="P4148" s="350" t="str">
        <f>IF($B4148="Portfolio","Portfolio",IFERROR(INDEX(DATA_ASSET_CLASSIFICATION!$C$8:$C$24,MATCH($C4148,DATA_ASSET_CLASSIFICATION!$A$8:$A$24,0)),"Review"))</f>
        <v>Yes</v>
      </c>
      <c r="Q4148" s="350" t="str">
        <f t="shared" ca="1" si="129"/>
        <v>OK</v>
      </c>
    </row>
    <row r="4149" spans="1:17">
      <c r="A4149" s="366" t="s">
        <v>6105</v>
      </c>
      <c r="B4149" s="366" t="s">
        <v>231</v>
      </c>
      <c r="C4149" s="348" t="str">
        <f>DATA_PROPERTY_MASTER!$A$18</f>
        <v>BLD_AS</v>
      </c>
      <c r="D4149" s="380">
        <f>'00_PORTFOLIO ROLLUP'!J$12</f>
        <v>2030</v>
      </c>
      <c r="E4149" s="366" t="s">
        <v>1721</v>
      </c>
      <c r="F4149" s="366" t="s">
        <v>39</v>
      </c>
      <c r="G4149" s="348" t="str">
        <f>"'"&amp;$C4149&amp;"'!$E$63:$Y$63"</f>
        <v>'BLD_AS'!$E$63:$Y$63</v>
      </c>
      <c r="H4149" s="381">
        <f ca="1">IF(IFERROR(INDEX(DATA_PROPERTY_MASTER!$E$5:$E$21,MATCH($C4149,DATA_PROPERTY_MASTER!$A$5:$A$21,0))="Yes",FALSE),MAX(-IFERROR(INDEX(INDIRECT("'"&amp;$C4149&amp;"'!$E$63:$Y$63"),1,MATCH($D4149,INDIRECT("'"&amp;$C4149&amp;"'!$E$12:$Y$12"),0)),0),0),0)</f>
        <v>0</v>
      </c>
      <c r="I4149" s="366" t="s">
        <v>1690</v>
      </c>
      <c r="J4149" s="348" t="str">
        <f t="shared" ca="1" si="128"/>
        <v>OK</v>
      </c>
      <c r="K4149" s="366" t="s">
        <v>1738</v>
      </c>
      <c r="L4149" s="366" t="s">
        <v>2260</v>
      </c>
      <c r="M4149" s="350" t="str">
        <f>IF($B4149="Portfolio","Portfolio",IFERROR(INDEX(DATA_ASSET_CLASSIFICATION!$B$8:$B$24,MATCH($C4149,DATA_ASSET_CLASSIFICATION!$A$8:$A$24,0)),"Review"))</f>
        <v>1656 Adanac Street</v>
      </c>
      <c r="N4149" s="350" t="str">
        <f>IF($B4149="Portfolio","Portfolio",IFERROR(INDEX(DATA_ASSET_CLASSIFICATION!$U$8:$U$24,MATCH($C4149,DATA_ASSET_CLASSIFICATION!$A$8:$A$24,0)),"Review"))</f>
        <v>New Build</v>
      </c>
      <c r="O4149" s="350" t="str">
        <f>IF($B4149="Portfolio","Portfolio",IFERROR(INDEX(DATA_ASSET_CLASSIFICATION!$AB$8:$AB$13,MATCH($N4149,DATA_ASSET_CLASSIFICATION!$AA$8:$AA$13,0)),"Review"))</f>
        <v>Bucket 1 · New Build</v>
      </c>
      <c r="P4149" s="350" t="str">
        <f>IF($B4149="Portfolio","Portfolio",IFERROR(INDEX(DATA_ASSET_CLASSIFICATION!$C$8:$C$24,MATCH($C4149,DATA_ASSET_CLASSIFICATION!$A$8:$A$24,0)),"Review"))</f>
        <v>Yes</v>
      </c>
      <c r="Q4149" s="350" t="str">
        <f t="shared" ca="1" si="129"/>
        <v>OK</v>
      </c>
    </row>
    <row r="4150" spans="1:17">
      <c r="A4150" s="366" t="s">
        <v>6106</v>
      </c>
      <c r="B4150" s="366" t="s">
        <v>231</v>
      </c>
      <c r="C4150" s="348" t="str">
        <f>DATA_PROPERTY_MASTER!$A$18</f>
        <v>BLD_AS</v>
      </c>
      <c r="D4150" s="380">
        <f>'00_PORTFOLIO ROLLUP'!J$12</f>
        <v>2030</v>
      </c>
      <c r="E4150" s="366" t="s">
        <v>1741</v>
      </c>
      <c r="F4150" s="366" t="s">
        <v>41</v>
      </c>
      <c r="G4150" s="348" t="str">
        <f>"'"&amp;$C4150&amp;"'!rows 56 + positive row 63"</f>
        <v>'BLD_AS'!rows 56 + positive row 63</v>
      </c>
      <c r="H4150" s="381">
        <f ca="1">IF(IFERROR(INDEX(DATA_PROPERTY_MASTER!$E$5:$E$21,MATCH($C4150,DATA_PROPERTY_MASTER!$A$5:$A$21,0))="Yes",FALSE),IFERROR(INDEX(INDIRECT("'"&amp;$C4150&amp;"'!$E$56:$Y$56"),1,MATCH($D4150,INDIRECT("'"&amp;$C4150&amp;"'!$E$12:$Y$12"),0)),0)+MAX(IFERROR(INDEX(INDIRECT("'"&amp;$C4150&amp;"'!$E$63:$Y$63"),1,MATCH($D4150,INDIRECT("'"&amp;$C4150&amp;"'!$E$12:$Y$12"),0)),0),0),0)</f>
        <v>168992.8701429776</v>
      </c>
      <c r="I4150" s="366" t="s">
        <v>1685</v>
      </c>
      <c r="J4150" s="348" t="str">
        <f t="shared" ca="1" si="128"/>
        <v>OK</v>
      </c>
      <c r="K4150" s="366" t="s">
        <v>1742</v>
      </c>
      <c r="L4150" s="366" t="s">
        <v>2262</v>
      </c>
      <c r="M4150" s="350" t="str">
        <f>IF($B4150="Portfolio","Portfolio",IFERROR(INDEX(DATA_ASSET_CLASSIFICATION!$B$8:$B$24,MATCH($C4150,DATA_ASSET_CLASSIFICATION!$A$8:$A$24,0)),"Review"))</f>
        <v>1656 Adanac Street</v>
      </c>
      <c r="N4150" s="350" t="str">
        <f>IF($B4150="Portfolio","Portfolio",IFERROR(INDEX(DATA_ASSET_CLASSIFICATION!$U$8:$U$24,MATCH($C4150,DATA_ASSET_CLASSIFICATION!$A$8:$A$24,0)),"Review"))</f>
        <v>New Build</v>
      </c>
      <c r="O4150" s="350" t="str">
        <f>IF($B4150="Portfolio","Portfolio",IFERROR(INDEX(DATA_ASSET_CLASSIFICATION!$AB$8:$AB$13,MATCH($N4150,DATA_ASSET_CLASSIFICATION!$AA$8:$AA$13,0)),"Review"))</f>
        <v>Bucket 1 · New Build</v>
      </c>
      <c r="P4150" s="350" t="str">
        <f>IF($B4150="Portfolio","Portfolio",IFERROR(INDEX(DATA_ASSET_CLASSIFICATION!$C$8:$C$24,MATCH($C4150,DATA_ASSET_CLASSIFICATION!$A$8:$A$24,0)),"Review"))</f>
        <v>Yes</v>
      </c>
      <c r="Q4150" s="350" t="str">
        <f t="shared" ca="1" si="129"/>
        <v>OK</v>
      </c>
    </row>
    <row r="4151" spans="1:17">
      <c r="A4151" s="366" t="s">
        <v>6107</v>
      </c>
      <c r="B4151" s="366" t="s">
        <v>231</v>
      </c>
      <c r="C4151" s="348" t="str">
        <f>DATA_PROPERTY_MASTER!$A$18</f>
        <v>BLD_AS</v>
      </c>
      <c r="D4151" s="380">
        <f>'00_PORTFOLIO ROLLUP'!J$12</f>
        <v>2030</v>
      </c>
      <c r="E4151" s="366" t="s">
        <v>1741</v>
      </c>
      <c r="F4151" s="366" t="s">
        <v>43</v>
      </c>
      <c r="G4151" s="348" t="str">
        <f>"'"&amp;$C4151&amp;"'!$E$68:$Y$68"</f>
        <v>'BLD_AS'!$E$68:$Y$68</v>
      </c>
      <c r="H4151" s="381">
        <f ca="1">IF(IFERROR(INDEX(DATA_PROPERTY_MASTER!$E$5:$E$21,MATCH($C4151,DATA_PROPERTY_MASTER!$A$5:$A$21,0))="Yes",FALSE),IFERROR(INDEX(INDIRECT("'"&amp;$C4151&amp;"'!$E$68:$Y$68"),1,MATCH($D4151,INDIRECT("'"&amp;$C4151&amp;"'!$E$12:$Y$12"),0)),0),0)</f>
        <v>168992.8701429776</v>
      </c>
      <c r="I4151" s="366" t="s">
        <v>1731</v>
      </c>
      <c r="J4151" s="348" t="str">
        <f t="shared" ca="1" si="128"/>
        <v>OK</v>
      </c>
      <c r="K4151" s="366" t="s">
        <v>1746</v>
      </c>
      <c r="L4151" s="366" t="s">
        <v>2264</v>
      </c>
      <c r="M4151" s="350" t="str">
        <f>IF($B4151="Portfolio","Portfolio",IFERROR(INDEX(DATA_ASSET_CLASSIFICATION!$B$8:$B$24,MATCH($C4151,DATA_ASSET_CLASSIFICATION!$A$8:$A$24,0)),"Review"))</f>
        <v>1656 Adanac Street</v>
      </c>
      <c r="N4151" s="350" t="str">
        <f>IF($B4151="Portfolio","Portfolio",IFERROR(INDEX(DATA_ASSET_CLASSIFICATION!$U$8:$U$24,MATCH($C4151,DATA_ASSET_CLASSIFICATION!$A$8:$A$24,0)),"Review"))</f>
        <v>New Build</v>
      </c>
      <c r="O4151" s="350" t="str">
        <f>IF($B4151="Portfolio","Portfolio",IFERROR(INDEX(DATA_ASSET_CLASSIFICATION!$AB$8:$AB$13,MATCH($N4151,DATA_ASSET_CLASSIFICATION!$AA$8:$AA$13,0)),"Review"))</f>
        <v>Bucket 1 · New Build</v>
      </c>
      <c r="P4151" s="350" t="str">
        <f>IF($B4151="Portfolio","Portfolio",IFERROR(INDEX(DATA_ASSET_CLASSIFICATION!$C$8:$C$24,MATCH($C4151,DATA_ASSET_CLASSIFICATION!$A$8:$A$24,0)),"Review"))</f>
        <v>Yes</v>
      </c>
      <c r="Q4151" s="350" t="str">
        <f t="shared" ca="1" si="129"/>
        <v>OK</v>
      </c>
    </row>
    <row r="4152" spans="1:17">
      <c r="A4152" s="366" t="s">
        <v>6108</v>
      </c>
      <c r="B4152" s="366" t="s">
        <v>231</v>
      </c>
      <c r="C4152" s="348" t="str">
        <f>DATA_PROPERTY_MASTER!$A$18</f>
        <v>BLD_AS</v>
      </c>
      <c r="D4152" s="380">
        <f>'00_PORTFOLIO ROLLUP'!J$12</f>
        <v>2030</v>
      </c>
      <c r="E4152" s="366" t="s">
        <v>1741</v>
      </c>
      <c r="F4152" s="366" t="s">
        <v>1749</v>
      </c>
      <c r="G4152" s="348" t="str">
        <f>"'"&amp;$C4152&amp;"'!rows 56, 63, 68"</f>
        <v>'BLD_AS'!rows 56, 63, 68</v>
      </c>
      <c r="H4152" s="381">
        <f ca="1">IF(IFERROR(INDEX(DATA_PROPERTY_MASTER!$E$5:$E$21,MATCH($C4152,DATA_PROPERTY_MASTER!$A$5:$A$21,0))="Yes",FALSE),(IFERROR(INDEX(INDIRECT("'"&amp;$C4152&amp;"'!$E$56:$Y$56"),1,MATCH($D4152,INDIRECT("'"&amp;$C4152&amp;"'!$E$12:$Y$12"),0)),0)+MAX(IFERROR(INDEX(INDIRECT("'"&amp;$C4152&amp;"'!$E$63:$Y$63"),1,MATCH($D4152,INDIRECT("'"&amp;$C4152&amp;"'!$E$12:$Y$12"),0)),0),0))-(IFERROR(INDEX(INDIRECT("'"&amp;$C4152&amp;"'!$E$68:$Y$68"),1,MATCH($D4152,INDIRECT("'"&amp;$C4152&amp;"'!$E$12:$Y$12"),0)),0)),0)</f>
        <v>0</v>
      </c>
      <c r="I4152" s="366" t="s">
        <v>1750</v>
      </c>
      <c r="J4152" s="348" t="str">
        <f t="shared" ca="1" si="128"/>
        <v>OK</v>
      </c>
      <c r="K4152" s="366" t="s">
        <v>1751</v>
      </c>
      <c r="L4152" s="366" t="s">
        <v>2266</v>
      </c>
      <c r="M4152" s="350" t="str">
        <f>IF($B4152="Portfolio","Portfolio",IFERROR(INDEX(DATA_ASSET_CLASSIFICATION!$B$8:$B$24,MATCH($C4152,DATA_ASSET_CLASSIFICATION!$A$8:$A$24,0)),"Review"))</f>
        <v>1656 Adanac Street</v>
      </c>
      <c r="N4152" s="350" t="str">
        <f>IF($B4152="Portfolio","Portfolio",IFERROR(INDEX(DATA_ASSET_CLASSIFICATION!$U$8:$U$24,MATCH($C4152,DATA_ASSET_CLASSIFICATION!$A$8:$A$24,0)),"Review"))</f>
        <v>New Build</v>
      </c>
      <c r="O4152" s="350" t="str">
        <f>IF($B4152="Portfolio","Portfolio",IFERROR(INDEX(DATA_ASSET_CLASSIFICATION!$AB$8:$AB$13,MATCH($N4152,DATA_ASSET_CLASSIFICATION!$AA$8:$AA$13,0)),"Review"))</f>
        <v>Bucket 1 · New Build</v>
      </c>
      <c r="P4152" s="350" t="str">
        <f>IF($B4152="Portfolio","Portfolio",IFERROR(INDEX(DATA_ASSET_CLASSIFICATION!$C$8:$C$24,MATCH($C4152,DATA_ASSET_CLASSIFICATION!$A$8:$A$24,0)),"Review"))</f>
        <v>Yes</v>
      </c>
      <c r="Q4152" s="350" t="str">
        <f t="shared" ca="1" si="129"/>
        <v>OK</v>
      </c>
    </row>
    <row r="4153" spans="1:17">
      <c r="A4153" s="366" t="s">
        <v>6109</v>
      </c>
      <c r="B4153" s="366" t="s">
        <v>231</v>
      </c>
      <c r="C4153" s="348" t="str">
        <f>DATA_PROPERTY_MASTER!$A$18</f>
        <v>BLD_AS</v>
      </c>
      <c r="D4153" s="380">
        <f>'00_PORTFOLIO ROLLUP'!K$12</f>
        <v>2031</v>
      </c>
      <c r="E4153" s="366" t="s">
        <v>1683</v>
      </c>
      <c r="F4153" s="366" t="s">
        <v>341</v>
      </c>
      <c r="G4153" s="348" t="str">
        <f>"'"&amp;$C4153&amp;"'!$E$24:$Y$24"</f>
        <v>'BLD_AS'!$E$24:$Y$24</v>
      </c>
      <c r="H4153" s="381">
        <f ca="1">IF(IFERROR(INDEX(DATA_PROPERTY_MASTER!$E$5:$E$21,MATCH($C4153,DATA_PROPERTY_MASTER!$A$5:$A$21,0))="Yes",FALSE),IFERROR(INDEX(INDIRECT("'"&amp;$C4153&amp;"'!$E$24:$Y$24"),1,MATCH($D4153,INDIRECT("'"&amp;$C4153&amp;"'!$E$12:$Y$12"),0)),0),0)</f>
        <v>2160617.0294322735</v>
      </c>
      <c r="I4153" s="366" t="s">
        <v>1685</v>
      </c>
      <c r="J4153" s="348" t="str">
        <f t="shared" ca="1" si="128"/>
        <v>OK</v>
      </c>
      <c r="K4153" s="366" t="s">
        <v>1686</v>
      </c>
      <c r="L4153" s="366" t="s">
        <v>2234</v>
      </c>
      <c r="M4153" s="350" t="str">
        <f>IF($B4153="Portfolio","Portfolio",IFERROR(INDEX(DATA_ASSET_CLASSIFICATION!$B$8:$B$24,MATCH($C4153,DATA_ASSET_CLASSIFICATION!$A$8:$A$24,0)),"Review"))</f>
        <v>1656 Adanac Street</v>
      </c>
      <c r="N4153" s="350" t="str">
        <f>IF($B4153="Portfolio","Portfolio",IFERROR(INDEX(DATA_ASSET_CLASSIFICATION!$U$8:$U$24,MATCH($C4153,DATA_ASSET_CLASSIFICATION!$A$8:$A$24,0)),"Review"))</f>
        <v>New Build</v>
      </c>
      <c r="O4153" s="350" t="str">
        <f>IF($B4153="Portfolio","Portfolio",IFERROR(INDEX(DATA_ASSET_CLASSIFICATION!$AB$8:$AB$13,MATCH($N4153,DATA_ASSET_CLASSIFICATION!$AA$8:$AA$13,0)),"Review"))</f>
        <v>Bucket 1 · New Build</v>
      </c>
      <c r="P4153" s="350" t="str">
        <f>IF($B4153="Portfolio","Portfolio",IFERROR(INDEX(DATA_ASSET_CLASSIFICATION!$C$8:$C$24,MATCH($C4153,DATA_ASSET_CLASSIFICATION!$A$8:$A$24,0)),"Review"))</f>
        <v>Yes</v>
      </c>
      <c r="Q4153" s="350" t="str">
        <f t="shared" ca="1" si="129"/>
        <v>OK</v>
      </c>
    </row>
    <row r="4154" spans="1:17">
      <c r="A4154" s="366" t="s">
        <v>6110</v>
      </c>
      <c r="B4154" s="366" t="s">
        <v>231</v>
      </c>
      <c r="C4154" s="348" t="str">
        <f>DATA_PROPERTY_MASTER!$A$18</f>
        <v>BLD_AS</v>
      </c>
      <c r="D4154" s="380">
        <f>'00_PORTFOLIO ROLLUP'!K$12</f>
        <v>2031</v>
      </c>
      <c r="E4154" s="366" t="s">
        <v>1683</v>
      </c>
      <c r="F4154" s="366" t="s">
        <v>355</v>
      </c>
      <c r="G4154" s="348" t="str">
        <f>"'"&amp;$C4154&amp;"'!$E$39:$Y$39"</f>
        <v>'BLD_AS'!$E$39:$Y$39</v>
      </c>
      <c r="H4154" s="381">
        <f ca="1">IF(IFERROR(INDEX(DATA_PROPERTY_MASTER!$E$5:$E$21,MATCH($C4154,DATA_PROPERTY_MASTER!$A$5:$A$21,0))="Yes",FALSE),IFERROR(INDEX(INDIRECT("'"&amp;$C4154&amp;"'!$E$39:$Y$39"),1,MATCH($D4154,INDIRECT("'"&amp;$C4154&amp;"'!$E$12:$Y$12"),0)),0),0)</f>
        <v>925725.10839793284</v>
      </c>
      <c r="I4154" s="366" t="s">
        <v>1690</v>
      </c>
      <c r="J4154" s="348" t="str">
        <f t="shared" ca="1" si="128"/>
        <v>OK</v>
      </c>
      <c r="K4154" s="366" t="s">
        <v>1686</v>
      </c>
      <c r="L4154" s="366" t="s">
        <v>2236</v>
      </c>
      <c r="M4154" s="350" t="str">
        <f>IF($B4154="Portfolio","Portfolio",IFERROR(INDEX(DATA_ASSET_CLASSIFICATION!$B$8:$B$24,MATCH($C4154,DATA_ASSET_CLASSIFICATION!$A$8:$A$24,0)),"Review"))</f>
        <v>1656 Adanac Street</v>
      </c>
      <c r="N4154" s="350" t="str">
        <f>IF($B4154="Portfolio","Portfolio",IFERROR(INDEX(DATA_ASSET_CLASSIFICATION!$U$8:$U$24,MATCH($C4154,DATA_ASSET_CLASSIFICATION!$A$8:$A$24,0)),"Review"))</f>
        <v>New Build</v>
      </c>
      <c r="O4154" s="350" t="str">
        <f>IF($B4154="Portfolio","Portfolio",IFERROR(INDEX(DATA_ASSET_CLASSIFICATION!$AB$8:$AB$13,MATCH($N4154,DATA_ASSET_CLASSIFICATION!$AA$8:$AA$13,0)),"Review"))</f>
        <v>Bucket 1 · New Build</v>
      </c>
      <c r="P4154" s="350" t="str">
        <f>IF($B4154="Portfolio","Portfolio",IFERROR(INDEX(DATA_ASSET_CLASSIFICATION!$C$8:$C$24,MATCH($C4154,DATA_ASSET_CLASSIFICATION!$A$8:$A$24,0)),"Review"))</f>
        <v>Yes</v>
      </c>
      <c r="Q4154" s="350" t="str">
        <f t="shared" ca="1" si="129"/>
        <v>OK</v>
      </c>
    </row>
    <row r="4155" spans="1:17">
      <c r="A4155" s="366" t="s">
        <v>6111</v>
      </c>
      <c r="B4155" s="366" t="s">
        <v>231</v>
      </c>
      <c r="C4155" s="348" t="str">
        <f>DATA_PROPERTY_MASTER!$A$18</f>
        <v>BLD_AS</v>
      </c>
      <c r="D4155" s="380">
        <f>'00_PORTFOLIO ROLLUP'!K$12</f>
        <v>2031</v>
      </c>
      <c r="E4155" s="366" t="s">
        <v>1683</v>
      </c>
      <c r="F4155" s="366" t="s">
        <v>19</v>
      </c>
      <c r="G4155" s="348" t="str">
        <f>"'"&amp;$C4155&amp;"'!$E$41:$Y$41"</f>
        <v>'BLD_AS'!$E$41:$Y$41</v>
      </c>
      <c r="H4155" s="381">
        <f ca="1">IF(IFERROR(INDEX(DATA_PROPERTY_MASTER!$E$5:$E$21,MATCH($C4155,DATA_PROPERTY_MASTER!$A$5:$A$21,0))="Yes",FALSE),IFERROR(INDEX(INDIRECT("'"&amp;$C4155&amp;"'!$E$41:$Y$41"),1,MATCH($D4155,INDIRECT("'"&amp;$C4155&amp;"'!$E$12:$Y$12"),0)),0),0)</f>
        <v>1234891.9210343407</v>
      </c>
      <c r="I4155" s="366" t="s">
        <v>1685</v>
      </c>
      <c r="J4155" s="348" t="str">
        <f t="shared" ca="1" si="128"/>
        <v>OK</v>
      </c>
      <c r="K4155" s="366" t="s">
        <v>1694</v>
      </c>
      <c r="L4155" s="366" t="s">
        <v>2238</v>
      </c>
      <c r="M4155" s="350" t="str">
        <f>IF($B4155="Portfolio","Portfolio",IFERROR(INDEX(DATA_ASSET_CLASSIFICATION!$B$8:$B$24,MATCH($C4155,DATA_ASSET_CLASSIFICATION!$A$8:$A$24,0)),"Review"))</f>
        <v>1656 Adanac Street</v>
      </c>
      <c r="N4155" s="350" t="str">
        <f>IF($B4155="Portfolio","Portfolio",IFERROR(INDEX(DATA_ASSET_CLASSIFICATION!$U$8:$U$24,MATCH($C4155,DATA_ASSET_CLASSIFICATION!$A$8:$A$24,0)),"Review"))</f>
        <v>New Build</v>
      </c>
      <c r="O4155" s="350" t="str">
        <f>IF($B4155="Portfolio","Portfolio",IFERROR(INDEX(DATA_ASSET_CLASSIFICATION!$AB$8:$AB$13,MATCH($N4155,DATA_ASSET_CLASSIFICATION!$AA$8:$AA$13,0)),"Review"))</f>
        <v>Bucket 1 · New Build</v>
      </c>
      <c r="P4155" s="350" t="str">
        <f>IF($B4155="Portfolio","Portfolio",IFERROR(INDEX(DATA_ASSET_CLASSIFICATION!$C$8:$C$24,MATCH($C4155,DATA_ASSET_CLASSIFICATION!$A$8:$A$24,0)),"Review"))</f>
        <v>Yes</v>
      </c>
      <c r="Q4155" s="350" t="str">
        <f t="shared" ca="1" si="129"/>
        <v>OK</v>
      </c>
    </row>
    <row r="4156" spans="1:17">
      <c r="A4156" s="366" t="s">
        <v>6112</v>
      </c>
      <c r="B4156" s="366" t="s">
        <v>231</v>
      </c>
      <c r="C4156" s="348" t="str">
        <f>DATA_PROPERTY_MASTER!$A$18</f>
        <v>BLD_AS</v>
      </c>
      <c r="D4156" s="380">
        <f>'00_PORTFOLIO ROLLUP'!K$12</f>
        <v>2031</v>
      </c>
      <c r="E4156" s="366" t="s">
        <v>1683</v>
      </c>
      <c r="F4156" s="366" t="s">
        <v>1697</v>
      </c>
      <c r="G4156" s="348" t="str">
        <f>"'"&amp;$C4156&amp;"'!$E$44:$Y$44"</f>
        <v>'BLD_AS'!$E$44:$Y$44</v>
      </c>
      <c r="H4156" s="381">
        <f ca="1">IF(IFERROR(INDEX(DATA_PROPERTY_MASTER!$E$5:$E$21,MATCH($C4156,DATA_PROPERTY_MASTER!$A$5:$A$21,0))="Yes",FALSE),IFERROR(INDEX(INDIRECT("'"&amp;$C4156&amp;"'!$E$44:$Y$44"),1,MATCH($D4156,INDIRECT("'"&amp;$C4156&amp;"'!$E$12:$Y$12"),0)),0),0)</f>
        <v>16385.663200291201</v>
      </c>
      <c r="I4156" s="366" t="s">
        <v>1690</v>
      </c>
      <c r="J4156" s="348" t="str">
        <f t="shared" ca="1" si="128"/>
        <v>OK</v>
      </c>
      <c r="K4156" s="366" t="s">
        <v>1699</v>
      </c>
      <c r="L4156" s="366" t="s">
        <v>2240</v>
      </c>
      <c r="M4156" s="350" t="str">
        <f>IF($B4156="Portfolio","Portfolio",IFERROR(INDEX(DATA_ASSET_CLASSIFICATION!$B$8:$B$24,MATCH($C4156,DATA_ASSET_CLASSIFICATION!$A$8:$A$24,0)),"Review"))</f>
        <v>1656 Adanac Street</v>
      </c>
      <c r="N4156" s="350" t="str">
        <f>IF($B4156="Portfolio","Portfolio",IFERROR(INDEX(DATA_ASSET_CLASSIFICATION!$U$8:$U$24,MATCH($C4156,DATA_ASSET_CLASSIFICATION!$A$8:$A$24,0)),"Review"))</f>
        <v>New Build</v>
      </c>
      <c r="O4156" s="350" t="str">
        <f>IF($B4156="Portfolio","Portfolio",IFERROR(INDEX(DATA_ASSET_CLASSIFICATION!$AB$8:$AB$13,MATCH($N4156,DATA_ASSET_CLASSIFICATION!$AA$8:$AA$13,0)),"Review"))</f>
        <v>Bucket 1 · New Build</v>
      </c>
      <c r="P4156" s="350" t="str">
        <f>IF($B4156="Portfolio","Portfolio",IFERROR(INDEX(DATA_ASSET_CLASSIFICATION!$C$8:$C$24,MATCH($C4156,DATA_ASSET_CLASSIFICATION!$A$8:$A$24,0)),"Review"))</f>
        <v>Yes</v>
      </c>
      <c r="Q4156" s="350" t="str">
        <f t="shared" ca="1" si="129"/>
        <v>OK</v>
      </c>
    </row>
    <row r="4157" spans="1:17">
      <c r="A4157" s="366" t="s">
        <v>6113</v>
      </c>
      <c r="B4157" s="366" t="s">
        <v>231</v>
      </c>
      <c r="C4157" s="348" t="str">
        <f>DATA_PROPERTY_MASTER!$A$18</f>
        <v>BLD_AS</v>
      </c>
      <c r="D4157" s="380">
        <f>'00_PORTFOLIO ROLLUP'!K$12</f>
        <v>2031</v>
      </c>
      <c r="E4157" s="366" t="s">
        <v>1683</v>
      </c>
      <c r="F4157" s="366" t="s">
        <v>21</v>
      </c>
      <c r="G4157" s="348" t="str">
        <f>"'"&amp;$C4157&amp;"'!$E$45:$Y$45"</f>
        <v>'BLD_AS'!$E$45:$Y$45</v>
      </c>
      <c r="H4157" s="381">
        <f ca="1">IF(IFERROR(INDEX(DATA_PROPERTY_MASTER!$E$5:$E$21,MATCH($C4157,DATA_PROPERTY_MASTER!$A$5:$A$21,0))="Yes",FALSE),IFERROR(INDEX(INDIRECT("'"&amp;$C4157&amp;"'!$E$45:$Y$45"),1,MATCH($D4157,INDIRECT("'"&amp;$C4157&amp;"'!$E$12:$Y$12"),0)),0),0)</f>
        <v>1218506.2578340496</v>
      </c>
      <c r="I4157" s="366" t="s">
        <v>1685</v>
      </c>
      <c r="J4157" s="348" t="str">
        <f t="shared" ca="1" si="128"/>
        <v>OK</v>
      </c>
      <c r="K4157" s="366" t="s">
        <v>1694</v>
      </c>
      <c r="L4157" s="366" t="s">
        <v>2242</v>
      </c>
      <c r="M4157" s="350" t="str">
        <f>IF($B4157="Portfolio","Portfolio",IFERROR(INDEX(DATA_ASSET_CLASSIFICATION!$B$8:$B$24,MATCH($C4157,DATA_ASSET_CLASSIFICATION!$A$8:$A$24,0)),"Review"))</f>
        <v>1656 Adanac Street</v>
      </c>
      <c r="N4157" s="350" t="str">
        <f>IF($B4157="Portfolio","Portfolio",IFERROR(INDEX(DATA_ASSET_CLASSIFICATION!$U$8:$U$24,MATCH($C4157,DATA_ASSET_CLASSIFICATION!$A$8:$A$24,0)),"Review"))</f>
        <v>New Build</v>
      </c>
      <c r="O4157" s="350" t="str">
        <f>IF($B4157="Portfolio","Portfolio",IFERROR(INDEX(DATA_ASSET_CLASSIFICATION!$AB$8:$AB$13,MATCH($N4157,DATA_ASSET_CLASSIFICATION!$AA$8:$AA$13,0)),"Review"))</f>
        <v>Bucket 1 · New Build</v>
      </c>
      <c r="P4157" s="350" t="str">
        <f>IF($B4157="Portfolio","Portfolio",IFERROR(INDEX(DATA_ASSET_CLASSIFICATION!$C$8:$C$24,MATCH($C4157,DATA_ASSET_CLASSIFICATION!$A$8:$A$24,0)),"Review"))</f>
        <v>Yes</v>
      </c>
      <c r="Q4157" s="350" t="str">
        <f t="shared" ca="1" si="129"/>
        <v>OK</v>
      </c>
    </row>
    <row r="4158" spans="1:17">
      <c r="A4158" s="366" t="s">
        <v>6114</v>
      </c>
      <c r="B4158" s="366" t="s">
        <v>231</v>
      </c>
      <c r="C4158" s="348" t="str">
        <f>DATA_PROPERTY_MASTER!$A$18</f>
        <v>BLD_AS</v>
      </c>
      <c r="D4158" s="380">
        <f>'00_PORTFOLIO ROLLUP'!K$12</f>
        <v>2031</v>
      </c>
      <c r="E4158" s="366" t="s">
        <v>23</v>
      </c>
      <c r="F4158" s="366" t="s">
        <v>23</v>
      </c>
      <c r="G4158" s="348" t="str">
        <f>"'"&amp;$C4158&amp;"'!$E$48:$Y$48"</f>
        <v>'BLD_AS'!$E$48:$Y$48</v>
      </c>
      <c r="H4158" s="381">
        <f ca="1">IF(IFERROR(INDEX(DATA_PROPERTY_MASTER!$E$5:$E$21,MATCH($C4158,DATA_PROPERTY_MASTER!$A$5:$A$21,0))="Yes",FALSE),IFERROR(INDEX(INDIRECT("'"&amp;$C4158&amp;"'!$E$48:$Y$48"),1,MATCH($D4158,INDIRECT("'"&amp;$C4158&amp;"'!$E$12:$Y$12"),0)),0),0)</f>
        <v>805649.51774556539</v>
      </c>
      <c r="I4158" s="366" t="s">
        <v>1690</v>
      </c>
      <c r="J4158" s="348" t="str">
        <f t="shared" ca="1" si="128"/>
        <v>OK</v>
      </c>
      <c r="K4158" s="366" t="s">
        <v>1706</v>
      </c>
      <c r="L4158" s="366" t="s">
        <v>2244</v>
      </c>
      <c r="M4158" s="350" t="str">
        <f>IF($B4158="Portfolio","Portfolio",IFERROR(INDEX(DATA_ASSET_CLASSIFICATION!$B$8:$B$24,MATCH($C4158,DATA_ASSET_CLASSIFICATION!$A$8:$A$24,0)),"Review"))</f>
        <v>1656 Adanac Street</v>
      </c>
      <c r="N4158" s="350" t="str">
        <f>IF($B4158="Portfolio","Portfolio",IFERROR(INDEX(DATA_ASSET_CLASSIFICATION!$U$8:$U$24,MATCH($C4158,DATA_ASSET_CLASSIFICATION!$A$8:$A$24,0)),"Review"))</f>
        <v>New Build</v>
      </c>
      <c r="O4158" s="350" t="str">
        <f>IF($B4158="Portfolio","Portfolio",IFERROR(INDEX(DATA_ASSET_CLASSIFICATION!$AB$8:$AB$13,MATCH($N4158,DATA_ASSET_CLASSIFICATION!$AA$8:$AA$13,0)),"Review"))</f>
        <v>Bucket 1 · New Build</v>
      </c>
      <c r="P4158" s="350" t="str">
        <f>IF($B4158="Portfolio","Portfolio",IFERROR(INDEX(DATA_ASSET_CLASSIFICATION!$C$8:$C$24,MATCH($C4158,DATA_ASSET_CLASSIFICATION!$A$8:$A$24,0)),"Review"))</f>
        <v>Yes</v>
      </c>
      <c r="Q4158" s="350" t="str">
        <f t="shared" ca="1" si="129"/>
        <v>OK</v>
      </c>
    </row>
    <row r="4159" spans="1:17">
      <c r="A4159" s="366" t="s">
        <v>6115</v>
      </c>
      <c r="B4159" s="366" t="s">
        <v>231</v>
      </c>
      <c r="C4159" s="348" t="str">
        <f>DATA_PROPERTY_MASTER!$A$18</f>
        <v>BLD_AS</v>
      </c>
      <c r="D4159" s="380">
        <f>'00_PORTFOLIO ROLLUP'!K$12</f>
        <v>2031</v>
      </c>
      <c r="E4159" s="366" t="s">
        <v>1683</v>
      </c>
      <c r="F4159" s="366" t="s">
        <v>25</v>
      </c>
      <c r="G4159" s="348" t="str">
        <f>"'"&amp;$C4159&amp;"'!$E$52:$Y$52"</f>
        <v>'BLD_AS'!$E$52:$Y$52</v>
      </c>
      <c r="H4159" s="381">
        <f ca="1">IF(IFERROR(INDEX(DATA_PROPERTY_MASTER!$E$5:$E$21,MATCH($C4159,DATA_PROPERTY_MASTER!$A$5:$A$21,0))="Yes",FALSE),IFERROR(INDEX(INDIRECT("'"&amp;$C4159&amp;"'!$E$52:$Y$52"),1,MATCH($D4159,INDIRECT("'"&amp;$C4159&amp;"'!$E$12:$Y$12"),0)),0),0)</f>
        <v>429242.40328877536</v>
      </c>
      <c r="I4159" s="366" t="s">
        <v>1685</v>
      </c>
      <c r="J4159" s="348" t="str">
        <f t="shared" ca="1" si="128"/>
        <v>OK</v>
      </c>
      <c r="K4159" s="366" t="s">
        <v>1710</v>
      </c>
      <c r="L4159" s="366" t="s">
        <v>2246</v>
      </c>
      <c r="M4159" s="350" t="str">
        <f>IF($B4159="Portfolio","Portfolio",IFERROR(INDEX(DATA_ASSET_CLASSIFICATION!$B$8:$B$24,MATCH($C4159,DATA_ASSET_CLASSIFICATION!$A$8:$A$24,0)),"Review"))</f>
        <v>1656 Adanac Street</v>
      </c>
      <c r="N4159" s="350" t="str">
        <f>IF($B4159="Portfolio","Portfolio",IFERROR(INDEX(DATA_ASSET_CLASSIFICATION!$U$8:$U$24,MATCH($C4159,DATA_ASSET_CLASSIFICATION!$A$8:$A$24,0)),"Review"))</f>
        <v>New Build</v>
      </c>
      <c r="O4159" s="350" t="str">
        <f>IF($B4159="Portfolio","Portfolio",IFERROR(INDEX(DATA_ASSET_CLASSIFICATION!$AB$8:$AB$13,MATCH($N4159,DATA_ASSET_CLASSIFICATION!$AA$8:$AA$13,0)),"Review"))</f>
        <v>Bucket 1 · New Build</v>
      </c>
      <c r="P4159" s="350" t="str">
        <f>IF($B4159="Portfolio","Portfolio",IFERROR(INDEX(DATA_ASSET_CLASSIFICATION!$C$8:$C$24,MATCH($C4159,DATA_ASSET_CLASSIFICATION!$A$8:$A$24,0)),"Review"))</f>
        <v>Yes</v>
      </c>
      <c r="Q4159" s="350" t="str">
        <f t="shared" ca="1" si="129"/>
        <v>OK</v>
      </c>
    </row>
    <row r="4160" spans="1:17">
      <c r="A4160" s="366" t="s">
        <v>6116</v>
      </c>
      <c r="B4160" s="366" t="s">
        <v>231</v>
      </c>
      <c r="C4160" s="348" t="str">
        <f>DATA_PROPERTY_MASTER!$A$18</f>
        <v>BLD_AS</v>
      </c>
      <c r="D4160" s="380">
        <f>'00_PORTFOLIO ROLLUP'!K$12</f>
        <v>2031</v>
      </c>
      <c r="E4160" s="366" t="s">
        <v>1683</v>
      </c>
      <c r="F4160" s="366" t="s">
        <v>27</v>
      </c>
      <c r="G4160" s="348" t="str">
        <f>"'"&amp;$C4160&amp;"'!$E$54:$Y$54"</f>
        <v>'BLD_AS'!$E$54:$Y$54</v>
      </c>
      <c r="H4160" s="381">
        <f ca="1">IF(IFERROR(INDEX(DATA_PROPERTY_MASTER!$E$5:$E$21,MATCH($C4160,DATA_PROPERTY_MASTER!$A$5:$A$21,0))="Yes",FALSE),IFERROR(INDEX(INDIRECT("'"&amp;$C4160&amp;"'!$E$54:$Y$54"),1,MATCH($D4160,INDIRECT("'"&amp;$C4160&amp;"'!$E$12:$Y$12"),0)),0),0)</f>
        <v>257545.4419732652</v>
      </c>
      <c r="I4160" s="366" t="s">
        <v>1690</v>
      </c>
      <c r="J4160" s="348" t="str">
        <f t="shared" ca="1" si="128"/>
        <v>OK</v>
      </c>
      <c r="K4160" s="366" t="s">
        <v>1714</v>
      </c>
      <c r="L4160" s="366" t="s">
        <v>2248</v>
      </c>
      <c r="M4160" s="350" t="str">
        <f>IF($B4160="Portfolio","Portfolio",IFERROR(INDEX(DATA_ASSET_CLASSIFICATION!$B$8:$B$24,MATCH($C4160,DATA_ASSET_CLASSIFICATION!$A$8:$A$24,0)),"Review"))</f>
        <v>1656 Adanac Street</v>
      </c>
      <c r="N4160" s="350" t="str">
        <f>IF($B4160="Portfolio","Portfolio",IFERROR(INDEX(DATA_ASSET_CLASSIFICATION!$U$8:$U$24,MATCH($C4160,DATA_ASSET_CLASSIFICATION!$A$8:$A$24,0)),"Review"))</f>
        <v>New Build</v>
      </c>
      <c r="O4160" s="350" t="str">
        <f>IF($B4160="Portfolio","Portfolio",IFERROR(INDEX(DATA_ASSET_CLASSIFICATION!$AB$8:$AB$13,MATCH($N4160,DATA_ASSET_CLASSIFICATION!$AA$8:$AA$13,0)),"Review"))</f>
        <v>Bucket 1 · New Build</v>
      </c>
      <c r="P4160" s="350" t="str">
        <f>IF($B4160="Portfolio","Portfolio",IFERROR(INDEX(DATA_ASSET_CLASSIFICATION!$C$8:$C$24,MATCH($C4160,DATA_ASSET_CLASSIFICATION!$A$8:$A$24,0)),"Review"))</f>
        <v>Yes</v>
      </c>
      <c r="Q4160" s="350" t="str">
        <f t="shared" ca="1" si="129"/>
        <v>OK</v>
      </c>
    </row>
    <row r="4161" spans="1:17">
      <c r="A4161" s="366" t="s">
        <v>6117</v>
      </c>
      <c r="B4161" s="366" t="s">
        <v>231</v>
      </c>
      <c r="C4161" s="348" t="str">
        <f>DATA_PROPERTY_MASTER!$A$18</f>
        <v>BLD_AS</v>
      </c>
      <c r="D4161" s="380">
        <f>'00_PORTFOLIO ROLLUP'!K$12</f>
        <v>2031</v>
      </c>
      <c r="E4161" s="366" t="s">
        <v>1683</v>
      </c>
      <c r="F4161" s="366" t="s">
        <v>29</v>
      </c>
      <c r="G4161" s="348" t="str">
        <f>"'"&amp;$C4161&amp;"'!$E$56:$Y$56"</f>
        <v>'BLD_AS'!$E$56:$Y$56</v>
      </c>
      <c r="H4161" s="381">
        <f ca="1">IF(IFERROR(INDEX(DATA_PROPERTY_MASTER!$E$5:$E$21,MATCH($C4161,DATA_PROPERTY_MASTER!$A$5:$A$21,0))="Yes",FALSE),IFERROR(INDEX(INDIRECT("'"&amp;$C4161&amp;"'!$E$56:$Y$56"),1,MATCH($D4161,INDIRECT("'"&amp;$C4161&amp;"'!$E$12:$Y$12"),0)),0),0)</f>
        <v>171696.96131551015</v>
      </c>
      <c r="I4161" s="366" t="s">
        <v>1685</v>
      </c>
      <c r="J4161" s="348" t="str">
        <f t="shared" ca="1" si="128"/>
        <v>OK</v>
      </c>
      <c r="K4161" s="366" t="s">
        <v>1718</v>
      </c>
      <c r="L4161" s="366" t="s">
        <v>2250</v>
      </c>
      <c r="M4161" s="350" t="str">
        <f>IF($B4161="Portfolio","Portfolio",IFERROR(INDEX(DATA_ASSET_CLASSIFICATION!$B$8:$B$24,MATCH($C4161,DATA_ASSET_CLASSIFICATION!$A$8:$A$24,0)),"Review"))</f>
        <v>1656 Adanac Street</v>
      </c>
      <c r="N4161" s="350" t="str">
        <f>IF($B4161="Portfolio","Portfolio",IFERROR(INDEX(DATA_ASSET_CLASSIFICATION!$U$8:$U$24,MATCH($C4161,DATA_ASSET_CLASSIFICATION!$A$8:$A$24,0)),"Review"))</f>
        <v>New Build</v>
      </c>
      <c r="O4161" s="350" t="str">
        <f>IF($B4161="Portfolio","Portfolio",IFERROR(INDEX(DATA_ASSET_CLASSIFICATION!$AB$8:$AB$13,MATCH($N4161,DATA_ASSET_CLASSIFICATION!$AA$8:$AA$13,0)),"Review"))</f>
        <v>Bucket 1 · New Build</v>
      </c>
      <c r="P4161" s="350" t="str">
        <f>IF($B4161="Portfolio","Portfolio",IFERROR(INDEX(DATA_ASSET_CLASSIFICATION!$C$8:$C$24,MATCH($C4161,DATA_ASSET_CLASSIFICATION!$A$8:$A$24,0)),"Review"))</f>
        <v>Yes</v>
      </c>
      <c r="Q4161" s="350" t="str">
        <f t="shared" ca="1" si="129"/>
        <v>OK</v>
      </c>
    </row>
    <row r="4162" spans="1:17">
      <c r="A4162" s="366" t="s">
        <v>6118</v>
      </c>
      <c r="B4162" s="366" t="s">
        <v>231</v>
      </c>
      <c r="C4162" s="348" t="str">
        <f>DATA_PROPERTY_MASTER!$A$18</f>
        <v>BLD_AS</v>
      </c>
      <c r="D4162" s="380">
        <f>'00_PORTFOLIO ROLLUP'!K$12</f>
        <v>2031</v>
      </c>
      <c r="E4162" s="366" t="s">
        <v>1721</v>
      </c>
      <c r="F4162" s="366" t="s">
        <v>31</v>
      </c>
      <c r="G4162" s="348" t="str">
        <f>"'"&amp;$C4162&amp;"'!$E$61:$Y$61"</f>
        <v>'BLD_AS'!$E$61:$Y$61</v>
      </c>
      <c r="H4162" s="381">
        <f ca="1">IF(IFERROR(INDEX(DATA_PROPERTY_MASTER!$E$5:$E$21,MATCH($C4162,DATA_PROPERTY_MASTER!$A$5:$A$21,0))="Yes",FALSE),IFERROR(INDEX(INDIRECT("'"&amp;$C4162&amp;"'!$E$61:$Y$61"),1,MATCH($D4162,INDIRECT("'"&amp;$C4162&amp;"'!$E$12:$Y$12"),0)),0),0)</f>
        <v>0</v>
      </c>
      <c r="I4162" s="366" t="s">
        <v>1690</v>
      </c>
      <c r="J4162" s="348" t="str">
        <f t="shared" ca="1" si="128"/>
        <v>OK</v>
      </c>
      <c r="K4162" s="366" t="s">
        <v>1723</v>
      </c>
      <c r="L4162" s="366" t="s">
        <v>2252</v>
      </c>
      <c r="M4162" s="350" t="str">
        <f>IF($B4162="Portfolio","Portfolio",IFERROR(INDEX(DATA_ASSET_CLASSIFICATION!$B$8:$B$24,MATCH($C4162,DATA_ASSET_CLASSIFICATION!$A$8:$A$24,0)),"Review"))</f>
        <v>1656 Adanac Street</v>
      </c>
      <c r="N4162" s="350" t="str">
        <f>IF($B4162="Portfolio","Portfolio",IFERROR(INDEX(DATA_ASSET_CLASSIFICATION!$U$8:$U$24,MATCH($C4162,DATA_ASSET_CLASSIFICATION!$A$8:$A$24,0)),"Review"))</f>
        <v>New Build</v>
      </c>
      <c r="O4162" s="350" t="str">
        <f>IF($B4162="Portfolio","Portfolio",IFERROR(INDEX(DATA_ASSET_CLASSIFICATION!$AB$8:$AB$13,MATCH($N4162,DATA_ASSET_CLASSIFICATION!$AA$8:$AA$13,0)),"Review"))</f>
        <v>Bucket 1 · New Build</v>
      </c>
      <c r="P4162" s="350" t="str">
        <f>IF($B4162="Portfolio","Portfolio",IFERROR(INDEX(DATA_ASSET_CLASSIFICATION!$C$8:$C$24,MATCH($C4162,DATA_ASSET_CLASSIFICATION!$A$8:$A$24,0)),"Review"))</f>
        <v>Yes</v>
      </c>
      <c r="Q4162" s="350" t="str">
        <f t="shared" ca="1" si="129"/>
        <v>OK</v>
      </c>
    </row>
    <row r="4163" spans="1:17">
      <c r="A4163" s="366" t="s">
        <v>6119</v>
      </c>
      <c r="B4163" s="366" t="s">
        <v>231</v>
      </c>
      <c r="C4163" s="348" t="str">
        <f>DATA_PROPERTY_MASTER!$A$18</f>
        <v>BLD_AS</v>
      </c>
      <c r="D4163" s="380">
        <f>'00_PORTFOLIO ROLLUP'!K$12</f>
        <v>2031</v>
      </c>
      <c r="E4163" s="366" t="s">
        <v>1721</v>
      </c>
      <c r="F4163" s="366" t="s">
        <v>33</v>
      </c>
      <c r="G4163" s="348" t="str">
        <f>"'"&amp;$C4163&amp;"'!$E$62:$Y$62"</f>
        <v>'BLD_AS'!$E$62:$Y$62</v>
      </c>
      <c r="H4163" s="381">
        <f ca="1">IF(IFERROR(INDEX(DATA_PROPERTY_MASTER!$E$5:$E$21,MATCH($C4163,DATA_PROPERTY_MASTER!$A$5:$A$21,0))="Yes",FALSE),IFERROR(INDEX(INDIRECT("'"&amp;$C4163&amp;"'!$E$62:$Y$62"),1,MATCH($D4163,INDIRECT("'"&amp;$C4163&amp;"'!$E$12:$Y$12"),0)),0),0)</f>
        <v>0</v>
      </c>
      <c r="I4163" s="366" t="s">
        <v>1685</v>
      </c>
      <c r="J4163" s="348" t="str">
        <f t="shared" ca="1" si="128"/>
        <v>OK</v>
      </c>
      <c r="K4163" s="366" t="s">
        <v>1727</v>
      </c>
      <c r="L4163" s="366" t="s">
        <v>2254</v>
      </c>
      <c r="M4163" s="350" t="str">
        <f>IF($B4163="Portfolio","Portfolio",IFERROR(INDEX(DATA_ASSET_CLASSIFICATION!$B$8:$B$24,MATCH($C4163,DATA_ASSET_CLASSIFICATION!$A$8:$A$24,0)),"Review"))</f>
        <v>1656 Adanac Street</v>
      </c>
      <c r="N4163" s="350" t="str">
        <f>IF($B4163="Portfolio","Portfolio",IFERROR(INDEX(DATA_ASSET_CLASSIFICATION!$U$8:$U$24,MATCH($C4163,DATA_ASSET_CLASSIFICATION!$A$8:$A$24,0)),"Review"))</f>
        <v>New Build</v>
      </c>
      <c r="O4163" s="350" t="str">
        <f>IF($B4163="Portfolio","Portfolio",IFERROR(INDEX(DATA_ASSET_CLASSIFICATION!$AB$8:$AB$13,MATCH($N4163,DATA_ASSET_CLASSIFICATION!$AA$8:$AA$13,0)),"Review"))</f>
        <v>Bucket 1 · New Build</v>
      </c>
      <c r="P4163" s="350" t="str">
        <f>IF($B4163="Portfolio","Portfolio",IFERROR(INDEX(DATA_ASSET_CLASSIFICATION!$C$8:$C$24,MATCH($C4163,DATA_ASSET_CLASSIFICATION!$A$8:$A$24,0)),"Review"))</f>
        <v>Yes</v>
      </c>
      <c r="Q4163" s="350" t="str">
        <f t="shared" ca="1" si="129"/>
        <v>OK</v>
      </c>
    </row>
    <row r="4164" spans="1:17">
      <c r="A4164" s="366" t="s">
        <v>6120</v>
      </c>
      <c r="B4164" s="366" t="s">
        <v>231</v>
      </c>
      <c r="C4164" s="348" t="str">
        <f>DATA_PROPERTY_MASTER!$A$18</f>
        <v>BLD_AS</v>
      </c>
      <c r="D4164" s="380">
        <f>'00_PORTFOLIO ROLLUP'!K$12</f>
        <v>2031</v>
      </c>
      <c r="E4164" s="366" t="s">
        <v>1721</v>
      </c>
      <c r="F4164" s="366" t="s">
        <v>35</v>
      </c>
      <c r="G4164" s="348" t="str">
        <f>"'"&amp;$C4164&amp;"'!$E$63:$Y$63"</f>
        <v>'BLD_AS'!$E$63:$Y$63</v>
      </c>
      <c r="H4164" s="381">
        <f ca="1">IF(IFERROR(INDEX(DATA_PROPERTY_MASTER!$E$5:$E$21,MATCH($C4164,DATA_PROPERTY_MASTER!$A$5:$A$21,0))="Yes",FALSE),IFERROR(INDEX(INDIRECT("'"&amp;$C4164&amp;"'!$E$63:$Y$63"),1,MATCH($D4164,INDIRECT("'"&amp;$C4164&amp;"'!$E$12:$Y$12"),0)),0),0)</f>
        <v>0</v>
      </c>
      <c r="I4164" s="366" t="s">
        <v>1731</v>
      </c>
      <c r="J4164" s="348" t="str">
        <f t="shared" ca="1" si="128"/>
        <v>OK</v>
      </c>
      <c r="K4164" s="366" t="s">
        <v>1732</v>
      </c>
      <c r="L4164" s="366" t="s">
        <v>2256</v>
      </c>
      <c r="M4164" s="350" t="str">
        <f>IF($B4164="Portfolio","Portfolio",IFERROR(INDEX(DATA_ASSET_CLASSIFICATION!$B$8:$B$24,MATCH($C4164,DATA_ASSET_CLASSIFICATION!$A$8:$A$24,0)),"Review"))</f>
        <v>1656 Adanac Street</v>
      </c>
      <c r="N4164" s="350" t="str">
        <f>IF($B4164="Portfolio","Portfolio",IFERROR(INDEX(DATA_ASSET_CLASSIFICATION!$U$8:$U$24,MATCH($C4164,DATA_ASSET_CLASSIFICATION!$A$8:$A$24,0)),"Review"))</f>
        <v>New Build</v>
      </c>
      <c r="O4164" s="350" t="str">
        <f>IF($B4164="Portfolio","Portfolio",IFERROR(INDEX(DATA_ASSET_CLASSIFICATION!$AB$8:$AB$13,MATCH($N4164,DATA_ASSET_CLASSIFICATION!$AA$8:$AA$13,0)),"Review"))</f>
        <v>Bucket 1 · New Build</v>
      </c>
      <c r="P4164" s="350" t="str">
        <f>IF($B4164="Portfolio","Portfolio",IFERROR(INDEX(DATA_ASSET_CLASSIFICATION!$C$8:$C$24,MATCH($C4164,DATA_ASSET_CLASSIFICATION!$A$8:$A$24,0)),"Review"))</f>
        <v>Yes</v>
      </c>
      <c r="Q4164" s="350" t="str">
        <f t="shared" ca="1" si="129"/>
        <v>OK</v>
      </c>
    </row>
    <row r="4165" spans="1:17">
      <c r="A4165" s="366" t="s">
        <v>6121</v>
      </c>
      <c r="B4165" s="366" t="s">
        <v>231</v>
      </c>
      <c r="C4165" s="348" t="str">
        <f>DATA_PROPERTY_MASTER!$A$18</f>
        <v>BLD_AS</v>
      </c>
      <c r="D4165" s="380">
        <f>'00_PORTFOLIO ROLLUP'!K$12</f>
        <v>2031</v>
      </c>
      <c r="E4165" s="366" t="s">
        <v>1721</v>
      </c>
      <c r="F4165" s="366" t="s">
        <v>37</v>
      </c>
      <c r="G4165" s="348" t="str">
        <f>"'"&amp;$C4165&amp;"'!$E$63:$Y$63"</f>
        <v>'BLD_AS'!$E$63:$Y$63</v>
      </c>
      <c r="H4165" s="381">
        <f ca="1">IF(IFERROR(INDEX(DATA_PROPERTY_MASTER!$E$5:$E$21,MATCH($C4165,DATA_PROPERTY_MASTER!$A$5:$A$21,0))="Yes",FALSE),MAX(IFERROR(INDEX(INDIRECT("'"&amp;$C4165&amp;"'!$E$63:$Y$63"),1,MATCH($D4165,INDIRECT("'"&amp;$C4165&amp;"'!$E$12:$Y$12"),0)),0),0),0)</f>
        <v>0</v>
      </c>
      <c r="I4165" s="366" t="s">
        <v>1685</v>
      </c>
      <c r="J4165" s="348" t="str">
        <f t="shared" ref="J4165:J4228" ca="1" si="130">IF($F4165="Residual Funding Gap",IF($H4165&gt;0,"Funding Gap","OK"),IF(AND($F4165="Net Refinance Position",$H4165&lt;0),"Negative net refi position","OK"))</f>
        <v>OK</v>
      </c>
      <c r="K4165" s="366" t="s">
        <v>1735</v>
      </c>
      <c r="L4165" s="366" t="s">
        <v>2258</v>
      </c>
      <c r="M4165" s="350" t="str">
        <f>IF($B4165="Portfolio","Portfolio",IFERROR(INDEX(DATA_ASSET_CLASSIFICATION!$B$8:$B$24,MATCH($C4165,DATA_ASSET_CLASSIFICATION!$A$8:$A$24,0)),"Review"))</f>
        <v>1656 Adanac Street</v>
      </c>
      <c r="N4165" s="350" t="str">
        <f>IF($B4165="Portfolio","Portfolio",IFERROR(INDEX(DATA_ASSET_CLASSIFICATION!$U$8:$U$24,MATCH($C4165,DATA_ASSET_CLASSIFICATION!$A$8:$A$24,0)),"Review"))</f>
        <v>New Build</v>
      </c>
      <c r="O4165" s="350" t="str">
        <f>IF($B4165="Portfolio","Portfolio",IFERROR(INDEX(DATA_ASSET_CLASSIFICATION!$AB$8:$AB$13,MATCH($N4165,DATA_ASSET_CLASSIFICATION!$AA$8:$AA$13,0)),"Review"))</f>
        <v>Bucket 1 · New Build</v>
      </c>
      <c r="P4165" s="350" t="str">
        <f>IF($B4165="Portfolio","Portfolio",IFERROR(INDEX(DATA_ASSET_CLASSIFICATION!$C$8:$C$24,MATCH($C4165,DATA_ASSET_CLASSIFICATION!$A$8:$A$24,0)),"Review"))</f>
        <v>Yes</v>
      </c>
      <c r="Q4165" s="350" t="str">
        <f t="shared" ref="Q4165:Q4228" ca="1" si="131">IF(AND($B4165="Property",$F4165="Residual Funding Gap",$H4165&gt;0),"Property Funding Gap",IF($J4165&lt;&gt;"OK",$J4165,"OK"))</f>
        <v>OK</v>
      </c>
    </row>
    <row r="4166" spans="1:17">
      <c r="A4166" s="366" t="s">
        <v>6122</v>
      </c>
      <c r="B4166" s="366" t="s">
        <v>231</v>
      </c>
      <c r="C4166" s="348" t="str">
        <f>DATA_PROPERTY_MASTER!$A$18</f>
        <v>BLD_AS</v>
      </c>
      <c r="D4166" s="380">
        <f>'00_PORTFOLIO ROLLUP'!K$12</f>
        <v>2031</v>
      </c>
      <c r="E4166" s="366" t="s">
        <v>1721</v>
      </c>
      <c r="F4166" s="366" t="s">
        <v>39</v>
      </c>
      <c r="G4166" s="348" t="str">
        <f>"'"&amp;$C4166&amp;"'!$E$63:$Y$63"</f>
        <v>'BLD_AS'!$E$63:$Y$63</v>
      </c>
      <c r="H4166" s="381">
        <f ca="1">IF(IFERROR(INDEX(DATA_PROPERTY_MASTER!$E$5:$E$21,MATCH($C4166,DATA_PROPERTY_MASTER!$A$5:$A$21,0))="Yes",FALSE),MAX(-IFERROR(INDEX(INDIRECT("'"&amp;$C4166&amp;"'!$E$63:$Y$63"),1,MATCH($D4166,INDIRECT("'"&amp;$C4166&amp;"'!$E$12:$Y$12"),0)),0),0),0)</f>
        <v>0</v>
      </c>
      <c r="I4166" s="366" t="s">
        <v>1690</v>
      </c>
      <c r="J4166" s="348" t="str">
        <f t="shared" ca="1" si="130"/>
        <v>OK</v>
      </c>
      <c r="K4166" s="366" t="s">
        <v>1738</v>
      </c>
      <c r="L4166" s="366" t="s">
        <v>2260</v>
      </c>
      <c r="M4166" s="350" t="str">
        <f>IF($B4166="Portfolio","Portfolio",IFERROR(INDEX(DATA_ASSET_CLASSIFICATION!$B$8:$B$24,MATCH($C4166,DATA_ASSET_CLASSIFICATION!$A$8:$A$24,0)),"Review"))</f>
        <v>1656 Adanac Street</v>
      </c>
      <c r="N4166" s="350" t="str">
        <f>IF($B4166="Portfolio","Portfolio",IFERROR(INDEX(DATA_ASSET_CLASSIFICATION!$U$8:$U$24,MATCH($C4166,DATA_ASSET_CLASSIFICATION!$A$8:$A$24,0)),"Review"))</f>
        <v>New Build</v>
      </c>
      <c r="O4166" s="350" t="str">
        <f>IF($B4166="Portfolio","Portfolio",IFERROR(INDEX(DATA_ASSET_CLASSIFICATION!$AB$8:$AB$13,MATCH($N4166,DATA_ASSET_CLASSIFICATION!$AA$8:$AA$13,0)),"Review"))</f>
        <v>Bucket 1 · New Build</v>
      </c>
      <c r="P4166" s="350" t="str">
        <f>IF($B4166="Portfolio","Portfolio",IFERROR(INDEX(DATA_ASSET_CLASSIFICATION!$C$8:$C$24,MATCH($C4166,DATA_ASSET_CLASSIFICATION!$A$8:$A$24,0)),"Review"))</f>
        <v>Yes</v>
      </c>
      <c r="Q4166" s="350" t="str">
        <f t="shared" ca="1" si="131"/>
        <v>OK</v>
      </c>
    </row>
    <row r="4167" spans="1:17">
      <c r="A4167" s="366" t="s">
        <v>6123</v>
      </c>
      <c r="B4167" s="366" t="s">
        <v>231</v>
      </c>
      <c r="C4167" s="348" t="str">
        <f>DATA_PROPERTY_MASTER!$A$18</f>
        <v>BLD_AS</v>
      </c>
      <c r="D4167" s="380">
        <f>'00_PORTFOLIO ROLLUP'!K$12</f>
        <v>2031</v>
      </c>
      <c r="E4167" s="366" t="s">
        <v>1741</v>
      </c>
      <c r="F4167" s="366" t="s">
        <v>41</v>
      </c>
      <c r="G4167" s="348" t="str">
        <f>"'"&amp;$C4167&amp;"'!rows 56 + positive row 63"</f>
        <v>'BLD_AS'!rows 56 + positive row 63</v>
      </c>
      <c r="H4167" s="381">
        <f ca="1">IF(IFERROR(INDEX(DATA_PROPERTY_MASTER!$E$5:$E$21,MATCH($C4167,DATA_PROPERTY_MASTER!$A$5:$A$21,0))="Yes",FALSE),IFERROR(INDEX(INDIRECT("'"&amp;$C4167&amp;"'!$E$56:$Y$56"),1,MATCH($D4167,INDIRECT("'"&amp;$C4167&amp;"'!$E$12:$Y$12"),0)),0)+MAX(IFERROR(INDEX(INDIRECT("'"&amp;$C4167&amp;"'!$E$63:$Y$63"),1,MATCH($D4167,INDIRECT("'"&amp;$C4167&amp;"'!$E$12:$Y$12"),0)),0),0),0)</f>
        <v>171696.96131551015</v>
      </c>
      <c r="I4167" s="366" t="s">
        <v>1685</v>
      </c>
      <c r="J4167" s="348" t="str">
        <f t="shared" ca="1" si="130"/>
        <v>OK</v>
      </c>
      <c r="K4167" s="366" t="s">
        <v>1742</v>
      </c>
      <c r="L4167" s="366" t="s">
        <v>2262</v>
      </c>
      <c r="M4167" s="350" t="str">
        <f>IF($B4167="Portfolio","Portfolio",IFERROR(INDEX(DATA_ASSET_CLASSIFICATION!$B$8:$B$24,MATCH($C4167,DATA_ASSET_CLASSIFICATION!$A$8:$A$24,0)),"Review"))</f>
        <v>1656 Adanac Street</v>
      </c>
      <c r="N4167" s="350" t="str">
        <f>IF($B4167="Portfolio","Portfolio",IFERROR(INDEX(DATA_ASSET_CLASSIFICATION!$U$8:$U$24,MATCH($C4167,DATA_ASSET_CLASSIFICATION!$A$8:$A$24,0)),"Review"))</f>
        <v>New Build</v>
      </c>
      <c r="O4167" s="350" t="str">
        <f>IF($B4167="Portfolio","Portfolio",IFERROR(INDEX(DATA_ASSET_CLASSIFICATION!$AB$8:$AB$13,MATCH($N4167,DATA_ASSET_CLASSIFICATION!$AA$8:$AA$13,0)),"Review"))</f>
        <v>Bucket 1 · New Build</v>
      </c>
      <c r="P4167" s="350" t="str">
        <f>IF($B4167="Portfolio","Portfolio",IFERROR(INDEX(DATA_ASSET_CLASSIFICATION!$C$8:$C$24,MATCH($C4167,DATA_ASSET_CLASSIFICATION!$A$8:$A$24,0)),"Review"))</f>
        <v>Yes</v>
      </c>
      <c r="Q4167" s="350" t="str">
        <f t="shared" ca="1" si="131"/>
        <v>OK</v>
      </c>
    </row>
    <row r="4168" spans="1:17">
      <c r="A4168" s="366" t="s">
        <v>6124</v>
      </c>
      <c r="B4168" s="366" t="s">
        <v>231</v>
      </c>
      <c r="C4168" s="348" t="str">
        <f>DATA_PROPERTY_MASTER!$A$18</f>
        <v>BLD_AS</v>
      </c>
      <c r="D4168" s="380">
        <f>'00_PORTFOLIO ROLLUP'!K$12</f>
        <v>2031</v>
      </c>
      <c r="E4168" s="366" t="s">
        <v>1741</v>
      </c>
      <c r="F4168" s="366" t="s">
        <v>43</v>
      </c>
      <c r="G4168" s="348" t="str">
        <f>"'"&amp;$C4168&amp;"'!$E$68:$Y$68"</f>
        <v>'BLD_AS'!$E$68:$Y$68</v>
      </c>
      <c r="H4168" s="381">
        <f ca="1">IF(IFERROR(INDEX(DATA_PROPERTY_MASTER!$E$5:$E$21,MATCH($C4168,DATA_PROPERTY_MASTER!$A$5:$A$21,0))="Yes",FALSE),IFERROR(INDEX(INDIRECT("'"&amp;$C4168&amp;"'!$E$68:$Y$68"),1,MATCH($D4168,INDIRECT("'"&amp;$C4168&amp;"'!$E$12:$Y$12"),0)),0),0)</f>
        <v>171696.96131551015</v>
      </c>
      <c r="I4168" s="366" t="s">
        <v>1731</v>
      </c>
      <c r="J4168" s="348" t="str">
        <f t="shared" ca="1" si="130"/>
        <v>OK</v>
      </c>
      <c r="K4168" s="366" t="s">
        <v>1746</v>
      </c>
      <c r="L4168" s="366" t="s">
        <v>2264</v>
      </c>
      <c r="M4168" s="350" t="str">
        <f>IF($B4168="Portfolio","Portfolio",IFERROR(INDEX(DATA_ASSET_CLASSIFICATION!$B$8:$B$24,MATCH($C4168,DATA_ASSET_CLASSIFICATION!$A$8:$A$24,0)),"Review"))</f>
        <v>1656 Adanac Street</v>
      </c>
      <c r="N4168" s="350" t="str">
        <f>IF($B4168="Portfolio","Portfolio",IFERROR(INDEX(DATA_ASSET_CLASSIFICATION!$U$8:$U$24,MATCH($C4168,DATA_ASSET_CLASSIFICATION!$A$8:$A$24,0)),"Review"))</f>
        <v>New Build</v>
      </c>
      <c r="O4168" s="350" t="str">
        <f>IF($B4168="Portfolio","Portfolio",IFERROR(INDEX(DATA_ASSET_CLASSIFICATION!$AB$8:$AB$13,MATCH($N4168,DATA_ASSET_CLASSIFICATION!$AA$8:$AA$13,0)),"Review"))</f>
        <v>Bucket 1 · New Build</v>
      </c>
      <c r="P4168" s="350" t="str">
        <f>IF($B4168="Portfolio","Portfolio",IFERROR(INDEX(DATA_ASSET_CLASSIFICATION!$C$8:$C$24,MATCH($C4168,DATA_ASSET_CLASSIFICATION!$A$8:$A$24,0)),"Review"))</f>
        <v>Yes</v>
      </c>
      <c r="Q4168" s="350" t="str">
        <f t="shared" ca="1" si="131"/>
        <v>OK</v>
      </c>
    </row>
    <row r="4169" spans="1:17">
      <c r="A4169" s="366" t="s">
        <v>6125</v>
      </c>
      <c r="B4169" s="366" t="s">
        <v>231</v>
      </c>
      <c r="C4169" s="348" t="str">
        <f>DATA_PROPERTY_MASTER!$A$18</f>
        <v>BLD_AS</v>
      </c>
      <c r="D4169" s="380">
        <f>'00_PORTFOLIO ROLLUP'!K$12</f>
        <v>2031</v>
      </c>
      <c r="E4169" s="366" t="s">
        <v>1741</v>
      </c>
      <c r="F4169" s="366" t="s">
        <v>1749</v>
      </c>
      <c r="G4169" s="348" t="str">
        <f>"'"&amp;$C4169&amp;"'!rows 56, 63, 68"</f>
        <v>'BLD_AS'!rows 56, 63, 68</v>
      </c>
      <c r="H4169" s="381">
        <f ca="1">IF(IFERROR(INDEX(DATA_PROPERTY_MASTER!$E$5:$E$21,MATCH($C4169,DATA_PROPERTY_MASTER!$A$5:$A$21,0))="Yes",FALSE),(IFERROR(INDEX(INDIRECT("'"&amp;$C4169&amp;"'!$E$56:$Y$56"),1,MATCH($D4169,INDIRECT("'"&amp;$C4169&amp;"'!$E$12:$Y$12"),0)),0)+MAX(IFERROR(INDEX(INDIRECT("'"&amp;$C4169&amp;"'!$E$63:$Y$63"),1,MATCH($D4169,INDIRECT("'"&amp;$C4169&amp;"'!$E$12:$Y$12"),0)),0),0))-(IFERROR(INDEX(INDIRECT("'"&amp;$C4169&amp;"'!$E$68:$Y$68"),1,MATCH($D4169,INDIRECT("'"&amp;$C4169&amp;"'!$E$12:$Y$12"),0)),0)),0)</f>
        <v>0</v>
      </c>
      <c r="I4169" s="366" t="s">
        <v>1750</v>
      </c>
      <c r="J4169" s="348" t="str">
        <f t="shared" ca="1" si="130"/>
        <v>OK</v>
      </c>
      <c r="K4169" s="366" t="s">
        <v>1751</v>
      </c>
      <c r="L4169" s="366" t="s">
        <v>2266</v>
      </c>
      <c r="M4169" s="350" t="str">
        <f>IF($B4169="Portfolio","Portfolio",IFERROR(INDEX(DATA_ASSET_CLASSIFICATION!$B$8:$B$24,MATCH($C4169,DATA_ASSET_CLASSIFICATION!$A$8:$A$24,0)),"Review"))</f>
        <v>1656 Adanac Street</v>
      </c>
      <c r="N4169" s="350" t="str">
        <f>IF($B4169="Portfolio","Portfolio",IFERROR(INDEX(DATA_ASSET_CLASSIFICATION!$U$8:$U$24,MATCH($C4169,DATA_ASSET_CLASSIFICATION!$A$8:$A$24,0)),"Review"))</f>
        <v>New Build</v>
      </c>
      <c r="O4169" s="350" t="str">
        <f>IF($B4169="Portfolio","Portfolio",IFERROR(INDEX(DATA_ASSET_CLASSIFICATION!$AB$8:$AB$13,MATCH($N4169,DATA_ASSET_CLASSIFICATION!$AA$8:$AA$13,0)),"Review"))</f>
        <v>Bucket 1 · New Build</v>
      </c>
      <c r="P4169" s="350" t="str">
        <f>IF($B4169="Portfolio","Portfolio",IFERROR(INDEX(DATA_ASSET_CLASSIFICATION!$C$8:$C$24,MATCH($C4169,DATA_ASSET_CLASSIFICATION!$A$8:$A$24,0)),"Review"))</f>
        <v>Yes</v>
      </c>
      <c r="Q4169" s="350" t="str">
        <f t="shared" ca="1" si="131"/>
        <v>OK</v>
      </c>
    </row>
    <row r="4170" spans="1:17">
      <c r="A4170" s="366" t="s">
        <v>6126</v>
      </c>
      <c r="B4170" s="366" t="s">
        <v>231</v>
      </c>
      <c r="C4170" s="348" t="str">
        <f>DATA_PROPERTY_MASTER!$A$18</f>
        <v>BLD_AS</v>
      </c>
      <c r="D4170" s="380">
        <f>'00_PORTFOLIO ROLLUP'!L$12</f>
        <v>2032</v>
      </c>
      <c r="E4170" s="366" t="s">
        <v>1683</v>
      </c>
      <c r="F4170" s="366" t="s">
        <v>341</v>
      </c>
      <c r="G4170" s="348" t="str">
        <f>"'"&amp;$C4170&amp;"'!$E$24:$Y$24"</f>
        <v>'BLD_AS'!$E$24:$Y$24</v>
      </c>
      <c r="H4170" s="381">
        <f ca="1">IF(IFERROR(INDEX(DATA_PROPERTY_MASTER!$E$5:$E$21,MATCH($C4170,DATA_PROPERTY_MASTER!$A$5:$A$21,0))="Yes",FALSE),IFERROR(INDEX(INDIRECT("'"&amp;$C4170&amp;"'!$E$24:$Y$24"),1,MATCH($D4170,INDIRECT("'"&amp;$C4170&amp;"'!$E$12:$Y$12"),0)),0),0)</f>
        <v>2203829.3700209185</v>
      </c>
      <c r="I4170" s="366" t="s">
        <v>1685</v>
      </c>
      <c r="J4170" s="348" t="str">
        <f t="shared" ca="1" si="130"/>
        <v>OK</v>
      </c>
      <c r="K4170" s="366" t="s">
        <v>1686</v>
      </c>
      <c r="L4170" s="366" t="s">
        <v>2234</v>
      </c>
      <c r="M4170" s="350" t="str">
        <f>IF($B4170="Portfolio","Portfolio",IFERROR(INDEX(DATA_ASSET_CLASSIFICATION!$B$8:$B$24,MATCH($C4170,DATA_ASSET_CLASSIFICATION!$A$8:$A$24,0)),"Review"))</f>
        <v>1656 Adanac Street</v>
      </c>
      <c r="N4170" s="350" t="str">
        <f>IF($B4170="Portfolio","Portfolio",IFERROR(INDEX(DATA_ASSET_CLASSIFICATION!$U$8:$U$24,MATCH($C4170,DATA_ASSET_CLASSIFICATION!$A$8:$A$24,0)),"Review"))</f>
        <v>New Build</v>
      </c>
      <c r="O4170" s="350" t="str">
        <f>IF($B4170="Portfolio","Portfolio",IFERROR(INDEX(DATA_ASSET_CLASSIFICATION!$AB$8:$AB$13,MATCH($N4170,DATA_ASSET_CLASSIFICATION!$AA$8:$AA$13,0)),"Review"))</f>
        <v>Bucket 1 · New Build</v>
      </c>
      <c r="P4170" s="350" t="str">
        <f>IF($B4170="Portfolio","Portfolio",IFERROR(INDEX(DATA_ASSET_CLASSIFICATION!$C$8:$C$24,MATCH($C4170,DATA_ASSET_CLASSIFICATION!$A$8:$A$24,0)),"Review"))</f>
        <v>Yes</v>
      </c>
      <c r="Q4170" s="350" t="str">
        <f t="shared" ca="1" si="131"/>
        <v>OK</v>
      </c>
    </row>
    <row r="4171" spans="1:17">
      <c r="A4171" s="366" t="s">
        <v>6127</v>
      </c>
      <c r="B4171" s="366" t="s">
        <v>231</v>
      </c>
      <c r="C4171" s="348" t="str">
        <f>DATA_PROPERTY_MASTER!$A$18</f>
        <v>BLD_AS</v>
      </c>
      <c r="D4171" s="380">
        <f>'00_PORTFOLIO ROLLUP'!L$12</f>
        <v>2032</v>
      </c>
      <c r="E4171" s="366" t="s">
        <v>1683</v>
      </c>
      <c r="F4171" s="366" t="s">
        <v>355</v>
      </c>
      <c r="G4171" s="348" t="str">
        <f>"'"&amp;$C4171&amp;"'!$E$39:$Y$39"</f>
        <v>'BLD_AS'!$E$39:$Y$39</v>
      </c>
      <c r="H4171" s="381">
        <f ca="1">IF(IFERROR(INDEX(DATA_PROPERTY_MASTER!$E$5:$E$21,MATCH($C4171,DATA_PROPERTY_MASTER!$A$5:$A$21,0))="Yes",FALSE),IFERROR(INDEX(INDIRECT("'"&amp;$C4171&amp;"'!$E$39:$Y$39"),1,MATCH($D4171,INDIRECT("'"&amp;$C4171&amp;"'!$E$12:$Y$12"),0)),0),0)</f>
        <v>962754.11273385002</v>
      </c>
      <c r="I4171" s="366" t="s">
        <v>1690</v>
      </c>
      <c r="J4171" s="348" t="str">
        <f t="shared" ca="1" si="130"/>
        <v>OK</v>
      </c>
      <c r="K4171" s="366" t="s">
        <v>1686</v>
      </c>
      <c r="L4171" s="366" t="s">
        <v>2236</v>
      </c>
      <c r="M4171" s="350" t="str">
        <f>IF($B4171="Portfolio","Portfolio",IFERROR(INDEX(DATA_ASSET_CLASSIFICATION!$B$8:$B$24,MATCH($C4171,DATA_ASSET_CLASSIFICATION!$A$8:$A$24,0)),"Review"))</f>
        <v>1656 Adanac Street</v>
      </c>
      <c r="N4171" s="350" t="str">
        <f>IF($B4171="Portfolio","Portfolio",IFERROR(INDEX(DATA_ASSET_CLASSIFICATION!$U$8:$U$24,MATCH($C4171,DATA_ASSET_CLASSIFICATION!$A$8:$A$24,0)),"Review"))</f>
        <v>New Build</v>
      </c>
      <c r="O4171" s="350" t="str">
        <f>IF($B4171="Portfolio","Portfolio",IFERROR(INDEX(DATA_ASSET_CLASSIFICATION!$AB$8:$AB$13,MATCH($N4171,DATA_ASSET_CLASSIFICATION!$AA$8:$AA$13,0)),"Review"))</f>
        <v>Bucket 1 · New Build</v>
      </c>
      <c r="P4171" s="350" t="str">
        <f>IF($B4171="Portfolio","Portfolio",IFERROR(INDEX(DATA_ASSET_CLASSIFICATION!$C$8:$C$24,MATCH($C4171,DATA_ASSET_CLASSIFICATION!$A$8:$A$24,0)),"Review"))</f>
        <v>Yes</v>
      </c>
      <c r="Q4171" s="350" t="str">
        <f t="shared" ca="1" si="131"/>
        <v>OK</v>
      </c>
    </row>
    <row r="4172" spans="1:17">
      <c r="A4172" s="366" t="s">
        <v>6128</v>
      </c>
      <c r="B4172" s="366" t="s">
        <v>231</v>
      </c>
      <c r="C4172" s="348" t="str">
        <f>DATA_PROPERTY_MASTER!$A$18</f>
        <v>BLD_AS</v>
      </c>
      <c r="D4172" s="380">
        <f>'00_PORTFOLIO ROLLUP'!L$12</f>
        <v>2032</v>
      </c>
      <c r="E4172" s="366" t="s">
        <v>1683</v>
      </c>
      <c r="F4172" s="366" t="s">
        <v>19</v>
      </c>
      <c r="G4172" s="348" t="str">
        <f>"'"&amp;$C4172&amp;"'!$E$41:$Y$41"</f>
        <v>'BLD_AS'!$E$41:$Y$41</v>
      </c>
      <c r="H4172" s="381">
        <f ca="1">IF(IFERROR(INDEX(DATA_PROPERTY_MASTER!$E$5:$E$21,MATCH($C4172,DATA_PROPERTY_MASTER!$A$5:$A$21,0))="Yes",FALSE),IFERROR(INDEX(INDIRECT("'"&amp;$C4172&amp;"'!$E$41:$Y$41"),1,MATCH($D4172,INDIRECT("'"&amp;$C4172&amp;"'!$E$12:$Y$12"),0)),0),0)</f>
        <v>1241075.2572870685</v>
      </c>
      <c r="I4172" s="366" t="s">
        <v>1685</v>
      </c>
      <c r="J4172" s="348" t="str">
        <f t="shared" ca="1" si="130"/>
        <v>OK</v>
      </c>
      <c r="K4172" s="366" t="s">
        <v>1694</v>
      </c>
      <c r="L4172" s="366" t="s">
        <v>2238</v>
      </c>
      <c r="M4172" s="350" t="str">
        <f>IF($B4172="Portfolio","Portfolio",IFERROR(INDEX(DATA_ASSET_CLASSIFICATION!$B$8:$B$24,MATCH($C4172,DATA_ASSET_CLASSIFICATION!$A$8:$A$24,0)),"Review"))</f>
        <v>1656 Adanac Street</v>
      </c>
      <c r="N4172" s="350" t="str">
        <f>IF($B4172="Portfolio","Portfolio",IFERROR(INDEX(DATA_ASSET_CLASSIFICATION!$U$8:$U$24,MATCH($C4172,DATA_ASSET_CLASSIFICATION!$A$8:$A$24,0)),"Review"))</f>
        <v>New Build</v>
      </c>
      <c r="O4172" s="350" t="str">
        <f>IF($B4172="Portfolio","Portfolio",IFERROR(INDEX(DATA_ASSET_CLASSIFICATION!$AB$8:$AB$13,MATCH($N4172,DATA_ASSET_CLASSIFICATION!$AA$8:$AA$13,0)),"Review"))</f>
        <v>Bucket 1 · New Build</v>
      </c>
      <c r="P4172" s="350" t="str">
        <f>IF($B4172="Portfolio","Portfolio",IFERROR(INDEX(DATA_ASSET_CLASSIFICATION!$C$8:$C$24,MATCH($C4172,DATA_ASSET_CLASSIFICATION!$A$8:$A$24,0)),"Review"))</f>
        <v>Yes</v>
      </c>
      <c r="Q4172" s="350" t="str">
        <f t="shared" ca="1" si="131"/>
        <v>OK</v>
      </c>
    </row>
    <row r="4173" spans="1:17">
      <c r="A4173" s="366" t="s">
        <v>6129</v>
      </c>
      <c r="B4173" s="366" t="s">
        <v>231</v>
      </c>
      <c r="C4173" s="348" t="str">
        <f>DATA_PROPERTY_MASTER!$A$18</f>
        <v>BLD_AS</v>
      </c>
      <c r="D4173" s="380">
        <f>'00_PORTFOLIO ROLLUP'!L$12</f>
        <v>2032</v>
      </c>
      <c r="E4173" s="366" t="s">
        <v>1683</v>
      </c>
      <c r="F4173" s="366" t="s">
        <v>1697</v>
      </c>
      <c r="G4173" s="348" t="str">
        <f>"'"&amp;$C4173&amp;"'!$E$44:$Y$44"</f>
        <v>'BLD_AS'!$E$44:$Y$44</v>
      </c>
      <c r="H4173" s="381">
        <f ca="1">IF(IFERROR(INDEX(DATA_PROPERTY_MASTER!$E$5:$E$21,MATCH($C4173,DATA_PROPERTY_MASTER!$A$5:$A$21,0))="Yes",FALSE),IFERROR(INDEX(INDIRECT("'"&amp;$C4173&amp;"'!$E$44:$Y$44"),1,MATCH($D4173,INDIRECT("'"&amp;$C4173&amp;"'!$E$12:$Y$12"),0)),0),0)</f>
        <v>16713.37646429702</v>
      </c>
      <c r="I4173" s="366" t="s">
        <v>1690</v>
      </c>
      <c r="J4173" s="348" t="str">
        <f t="shared" ca="1" si="130"/>
        <v>OK</v>
      </c>
      <c r="K4173" s="366" t="s">
        <v>1699</v>
      </c>
      <c r="L4173" s="366" t="s">
        <v>2240</v>
      </c>
      <c r="M4173" s="350" t="str">
        <f>IF($B4173="Portfolio","Portfolio",IFERROR(INDEX(DATA_ASSET_CLASSIFICATION!$B$8:$B$24,MATCH($C4173,DATA_ASSET_CLASSIFICATION!$A$8:$A$24,0)),"Review"))</f>
        <v>1656 Adanac Street</v>
      </c>
      <c r="N4173" s="350" t="str">
        <f>IF($B4173="Portfolio","Portfolio",IFERROR(INDEX(DATA_ASSET_CLASSIFICATION!$U$8:$U$24,MATCH($C4173,DATA_ASSET_CLASSIFICATION!$A$8:$A$24,0)),"Review"))</f>
        <v>New Build</v>
      </c>
      <c r="O4173" s="350" t="str">
        <f>IF($B4173="Portfolio","Portfolio",IFERROR(INDEX(DATA_ASSET_CLASSIFICATION!$AB$8:$AB$13,MATCH($N4173,DATA_ASSET_CLASSIFICATION!$AA$8:$AA$13,0)),"Review"))</f>
        <v>Bucket 1 · New Build</v>
      </c>
      <c r="P4173" s="350" t="str">
        <f>IF($B4173="Portfolio","Portfolio",IFERROR(INDEX(DATA_ASSET_CLASSIFICATION!$C$8:$C$24,MATCH($C4173,DATA_ASSET_CLASSIFICATION!$A$8:$A$24,0)),"Review"))</f>
        <v>Yes</v>
      </c>
      <c r="Q4173" s="350" t="str">
        <f t="shared" ca="1" si="131"/>
        <v>OK</v>
      </c>
    </row>
    <row r="4174" spans="1:17">
      <c r="A4174" s="366" t="s">
        <v>6130</v>
      </c>
      <c r="B4174" s="366" t="s">
        <v>231</v>
      </c>
      <c r="C4174" s="348" t="str">
        <f>DATA_PROPERTY_MASTER!$A$18</f>
        <v>BLD_AS</v>
      </c>
      <c r="D4174" s="380">
        <f>'00_PORTFOLIO ROLLUP'!L$12</f>
        <v>2032</v>
      </c>
      <c r="E4174" s="366" t="s">
        <v>1683</v>
      </c>
      <c r="F4174" s="366" t="s">
        <v>21</v>
      </c>
      <c r="G4174" s="348" t="str">
        <f>"'"&amp;$C4174&amp;"'!$E$45:$Y$45"</f>
        <v>'BLD_AS'!$E$45:$Y$45</v>
      </c>
      <c r="H4174" s="381">
        <f ca="1">IF(IFERROR(INDEX(DATA_PROPERTY_MASTER!$E$5:$E$21,MATCH($C4174,DATA_PROPERTY_MASTER!$A$5:$A$21,0))="Yes",FALSE),IFERROR(INDEX(INDIRECT("'"&amp;$C4174&amp;"'!$E$45:$Y$45"),1,MATCH($D4174,INDIRECT("'"&amp;$C4174&amp;"'!$E$12:$Y$12"),0)),0),0)</f>
        <v>1224361.8808227715</v>
      </c>
      <c r="I4174" s="366" t="s">
        <v>1685</v>
      </c>
      <c r="J4174" s="348" t="str">
        <f t="shared" ca="1" si="130"/>
        <v>OK</v>
      </c>
      <c r="K4174" s="366" t="s">
        <v>1694</v>
      </c>
      <c r="L4174" s="366" t="s">
        <v>2242</v>
      </c>
      <c r="M4174" s="350" t="str">
        <f>IF($B4174="Portfolio","Portfolio",IFERROR(INDEX(DATA_ASSET_CLASSIFICATION!$B$8:$B$24,MATCH($C4174,DATA_ASSET_CLASSIFICATION!$A$8:$A$24,0)),"Review"))</f>
        <v>1656 Adanac Street</v>
      </c>
      <c r="N4174" s="350" t="str">
        <f>IF($B4174="Portfolio","Portfolio",IFERROR(INDEX(DATA_ASSET_CLASSIFICATION!$U$8:$U$24,MATCH($C4174,DATA_ASSET_CLASSIFICATION!$A$8:$A$24,0)),"Review"))</f>
        <v>New Build</v>
      </c>
      <c r="O4174" s="350" t="str">
        <f>IF($B4174="Portfolio","Portfolio",IFERROR(INDEX(DATA_ASSET_CLASSIFICATION!$AB$8:$AB$13,MATCH($N4174,DATA_ASSET_CLASSIFICATION!$AA$8:$AA$13,0)),"Review"))</f>
        <v>Bucket 1 · New Build</v>
      </c>
      <c r="P4174" s="350" t="str">
        <f>IF($B4174="Portfolio","Portfolio",IFERROR(INDEX(DATA_ASSET_CLASSIFICATION!$C$8:$C$24,MATCH($C4174,DATA_ASSET_CLASSIFICATION!$A$8:$A$24,0)),"Review"))</f>
        <v>Yes</v>
      </c>
      <c r="Q4174" s="350" t="str">
        <f t="shared" ca="1" si="131"/>
        <v>OK</v>
      </c>
    </row>
    <row r="4175" spans="1:17">
      <c r="A4175" s="366" t="s">
        <v>6131</v>
      </c>
      <c r="B4175" s="366" t="s">
        <v>231</v>
      </c>
      <c r="C4175" s="348" t="str">
        <f>DATA_PROPERTY_MASTER!$A$18</f>
        <v>BLD_AS</v>
      </c>
      <c r="D4175" s="380">
        <f>'00_PORTFOLIO ROLLUP'!L$12</f>
        <v>2032</v>
      </c>
      <c r="E4175" s="366" t="s">
        <v>23</v>
      </c>
      <c r="F4175" s="366" t="s">
        <v>23</v>
      </c>
      <c r="G4175" s="348" t="str">
        <f>"'"&amp;$C4175&amp;"'!$E$48:$Y$48"</f>
        <v>'BLD_AS'!$E$48:$Y$48</v>
      </c>
      <c r="H4175" s="381">
        <f ca="1">IF(IFERROR(INDEX(DATA_PROPERTY_MASTER!$E$5:$E$21,MATCH($C4175,DATA_PROPERTY_MASTER!$A$5:$A$21,0))="Yes",FALSE),IFERROR(INDEX(INDIRECT("'"&amp;$C4175&amp;"'!$E$48:$Y$48"),1,MATCH($D4175,INDIRECT("'"&amp;$C4175&amp;"'!$E$12:$Y$12"),0)),0),0)</f>
        <v>805649.51774556539</v>
      </c>
      <c r="I4175" s="366" t="s">
        <v>1690</v>
      </c>
      <c r="J4175" s="348" t="str">
        <f t="shared" ca="1" si="130"/>
        <v>OK</v>
      </c>
      <c r="K4175" s="366" t="s">
        <v>1706</v>
      </c>
      <c r="L4175" s="366" t="s">
        <v>2244</v>
      </c>
      <c r="M4175" s="350" t="str">
        <f>IF($B4175="Portfolio","Portfolio",IFERROR(INDEX(DATA_ASSET_CLASSIFICATION!$B$8:$B$24,MATCH($C4175,DATA_ASSET_CLASSIFICATION!$A$8:$A$24,0)),"Review"))</f>
        <v>1656 Adanac Street</v>
      </c>
      <c r="N4175" s="350" t="str">
        <f>IF($B4175="Portfolio","Portfolio",IFERROR(INDEX(DATA_ASSET_CLASSIFICATION!$U$8:$U$24,MATCH($C4175,DATA_ASSET_CLASSIFICATION!$A$8:$A$24,0)),"Review"))</f>
        <v>New Build</v>
      </c>
      <c r="O4175" s="350" t="str">
        <f>IF($B4175="Portfolio","Portfolio",IFERROR(INDEX(DATA_ASSET_CLASSIFICATION!$AB$8:$AB$13,MATCH($N4175,DATA_ASSET_CLASSIFICATION!$AA$8:$AA$13,0)),"Review"))</f>
        <v>Bucket 1 · New Build</v>
      </c>
      <c r="P4175" s="350" t="str">
        <f>IF($B4175="Portfolio","Portfolio",IFERROR(INDEX(DATA_ASSET_CLASSIFICATION!$C$8:$C$24,MATCH($C4175,DATA_ASSET_CLASSIFICATION!$A$8:$A$24,0)),"Review"))</f>
        <v>Yes</v>
      </c>
      <c r="Q4175" s="350" t="str">
        <f t="shared" ca="1" si="131"/>
        <v>OK</v>
      </c>
    </row>
    <row r="4176" spans="1:17">
      <c r="A4176" s="366" t="s">
        <v>6132</v>
      </c>
      <c r="B4176" s="366" t="s">
        <v>231</v>
      </c>
      <c r="C4176" s="348" t="str">
        <f>DATA_PROPERTY_MASTER!$A$18</f>
        <v>BLD_AS</v>
      </c>
      <c r="D4176" s="380">
        <f>'00_PORTFOLIO ROLLUP'!L$12</f>
        <v>2032</v>
      </c>
      <c r="E4176" s="366" t="s">
        <v>1683</v>
      </c>
      <c r="F4176" s="366" t="s">
        <v>25</v>
      </c>
      <c r="G4176" s="348" t="str">
        <f>"'"&amp;$C4176&amp;"'!$E$52:$Y$52"</f>
        <v>'BLD_AS'!$E$52:$Y$52</v>
      </c>
      <c r="H4176" s="381">
        <f ca="1">IF(IFERROR(INDEX(DATA_PROPERTY_MASTER!$E$5:$E$21,MATCH($C4176,DATA_PROPERTY_MASTER!$A$5:$A$21,0))="Yes",FALSE),IFERROR(INDEX(INDIRECT("'"&amp;$C4176&amp;"'!$E$52:$Y$52"),1,MATCH($D4176,INDIRECT("'"&amp;$C4176&amp;"'!$E$12:$Y$12"),0)),0),0)</f>
        <v>435425.73954150314</v>
      </c>
      <c r="I4176" s="366" t="s">
        <v>1685</v>
      </c>
      <c r="J4176" s="348" t="str">
        <f t="shared" ca="1" si="130"/>
        <v>OK</v>
      </c>
      <c r="K4176" s="366" t="s">
        <v>1710</v>
      </c>
      <c r="L4176" s="366" t="s">
        <v>2246</v>
      </c>
      <c r="M4176" s="350" t="str">
        <f>IF($B4176="Portfolio","Portfolio",IFERROR(INDEX(DATA_ASSET_CLASSIFICATION!$B$8:$B$24,MATCH($C4176,DATA_ASSET_CLASSIFICATION!$A$8:$A$24,0)),"Review"))</f>
        <v>1656 Adanac Street</v>
      </c>
      <c r="N4176" s="350" t="str">
        <f>IF($B4176="Portfolio","Portfolio",IFERROR(INDEX(DATA_ASSET_CLASSIFICATION!$U$8:$U$24,MATCH($C4176,DATA_ASSET_CLASSIFICATION!$A$8:$A$24,0)),"Review"))</f>
        <v>New Build</v>
      </c>
      <c r="O4176" s="350" t="str">
        <f>IF($B4176="Portfolio","Portfolio",IFERROR(INDEX(DATA_ASSET_CLASSIFICATION!$AB$8:$AB$13,MATCH($N4176,DATA_ASSET_CLASSIFICATION!$AA$8:$AA$13,0)),"Review"))</f>
        <v>Bucket 1 · New Build</v>
      </c>
      <c r="P4176" s="350" t="str">
        <f>IF($B4176="Portfolio","Portfolio",IFERROR(INDEX(DATA_ASSET_CLASSIFICATION!$C$8:$C$24,MATCH($C4176,DATA_ASSET_CLASSIFICATION!$A$8:$A$24,0)),"Review"))</f>
        <v>Yes</v>
      </c>
      <c r="Q4176" s="350" t="str">
        <f t="shared" ca="1" si="131"/>
        <v>OK</v>
      </c>
    </row>
    <row r="4177" spans="1:17">
      <c r="A4177" s="366" t="s">
        <v>6133</v>
      </c>
      <c r="B4177" s="366" t="s">
        <v>231</v>
      </c>
      <c r="C4177" s="348" t="str">
        <f>DATA_PROPERTY_MASTER!$A$18</f>
        <v>BLD_AS</v>
      </c>
      <c r="D4177" s="380">
        <f>'00_PORTFOLIO ROLLUP'!L$12</f>
        <v>2032</v>
      </c>
      <c r="E4177" s="366" t="s">
        <v>1683</v>
      </c>
      <c r="F4177" s="366" t="s">
        <v>27</v>
      </c>
      <c r="G4177" s="348" t="str">
        <f>"'"&amp;$C4177&amp;"'!$E$54:$Y$54"</f>
        <v>'BLD_AS'!$E$54:$Y$54</v>
      </c>
      <c r="H4177" s="381">
        <f ca="1">IF(IFERROR(INDEX(DATA_PROPERTY_MASTER!$E$5:$E$21,MATCH($C4177,DATA_PROPERTY_MASTER!$A$5:$A$21,0))="Yes",FALSE),IFERROR(INDEX(INDIRECT("'"&amp;$C4177&amp;"'!$E$54:$Y$54"),1,MATCH($D4177,INDIRECT("'"&amp;$C4177&amp;"'!$E$12:$Y$12"),0)),0),0)</f>
        <v>261255.44372490188</v>
      </c>
      <c r="I4177" s="366" t="s">
        <v>1690</v>
      </c>
      <c r="J4177" s="348" t="str">
        <f t="shared" ca="1" si="130"/>
        <v>OK</v>
      </c>
      <c r="K4177" s="366" t="s">
        <v>1714</v>
      </c>
      <c r="L4177" s="366" t="s">
        <v>2248</v>
      </c>
      <c r="M4177" s="350" t="str">
        <f>IF($B4177="Portfolio","Portfolio",IFERROR(INDEX(DATA_ASSET_CLASSIFICATION!$B$8:$B$24,MATCH($C4177,DATA_ASSET_CLASSIFICATION!$A$8:$A$24,0)),"Review"))</f>
        <v>1656 Adanac Street</v>
      </c>
      <c r="N4177" s="350" t="str">
        <f>IF($B4177="Portfolio","Portfolio",IFERROR(INDEX(DATA_ASSET_CLASSIFICATION!$U$8:$U$24,MATCH($C4177,DATA_ASSET_CLASSIFICATION!$A$8:$A$24,0)),"Review"))</f>
        <v>New Build</v>
      </c>
      <c r="O4177" s="350" t="str">
        <f>IF($B4177="Portfolio","Portfolio",IFERROR(INDEX(DATA_ASSET_CLASSIFICATION!$AB$8:$AB$13,MATCH($N4177,DATA_ASSET_CLASSIFICATION!$AA$8:$AA$13,0)),"Review"))</f>
        <v>Bucket 1 · New Build</v>
      </c>
      <c r="P4177" s="350" t="str">
        <f>IF($B4177="Portfolio","Portfolio",IFERROR(INDEX(DATA_ASSET_CLASSIFICATION!$C$8:$C$24,MATCH($C4177,DATA_ASSET_CLASSIFICATION!$A$8:$A$24,0)),"Review"))</f>
        <v>Yes</v>
      </c>
      <c r="Q4177" s="350" t="str">
        <f t="shared" ca="1" si="131"/>
        <v>OK</v>
      </c>
    </row>
    <row r="4178" spans="1:17">
      <c r="A4178" s="366" t="s">
        <v>6134</v>
      </c>
      <c r="B4178" s="366" t="s">
        <v>231</v>
      </c>
      <c r="C4178" s="348" t="str">
        <f>DATA_PROPERTY_MASTER!$A$18</f>
        <v>BLD_AS</v>
      </c>
      <c r="D4178" s="380">
        <f>'00_PORTFOLIO ROLLUP'!L$12</f>
        <v>2032</v>
      </c>
      <c r="E4178" s="366" t="s">
        <v>1683</v>
      </c>
      <c r="F4178" s="366" t="s">
        <v>29</v>
      </c>
      <c r="G4178" s="348" t="str">
        <f>"'"&amp;$C4178&amp;"'!$E$56:$Y$56"</f>
        <v>'BLD_AS'!$E$56:$Y$56</v>
      </c>
      <c r="H4178" s="381">
        <f ca="1">IF(IFERROR(INDEX(DATA_PROPERTY_MASTER!$E$5:$E$21,MATCH($C4178,DATA_PROPERTY_MASTER!$A$5:$A$21,0))="Yes",FALSE),IFERROR(INDEX(INDIRECT("'"&amp;$C4178&amp;"'!$E$56:$Y$56"),1,MATCH($D4178,INDIRECT("'"&amp;$C4178&amp;"'!$E$12:$Y$12"),0)),0),0)</f>
        <v>174170.29581660125</v>
      </c>
      <c r="I4178" s="366" t="s">
        <v>1685</v>
      </c>
      <c r="J4178" s="348" t="str">
        <f t="shared" ca="1" si="130"/>
        <v>OK</v>
      </c>
      <c r="K4178" s="366" t="s">
        <v>1718</v>
      </c>
      <c r="L4178" s="366" t="s">
        <v>2250</v>
      </c>
      <c r="M4178" s="350" t="str">
        <f>IF($B4178="Portfolio","Portfolio",IFERROR(INDEX(DATA_ASSET_CLASSIFICATION!$B$8:$B$24,MATCH($C4178,DATA_ASSET_CLASSIFICATION!$A$8:$A$24,0)),"Review"))</f>
        <v>1656 Adanac Street</v>
      </c>
      <c r="N4178" s="350" t="str">
        <f>IF($B4178="Portfolio","Portfolio",IFERROR(INDEX(DATA_ASSET_CLASSIFICATION!$U$8:$U$24,MATCH($C4178,DATA_ASSET_CLASSIFICATION!$A$8:$A$24,0)),"Review"))</f>
        <v>New Build</v>
      </c>
      <c r="O4178" s="350" t="str">
        <f>IF($B4178="Portfolio","Portfolio",IFERROR(INDEX(DATA_ASSET_CLASSIFICATION!$AB$8:$AB$13,MATCH($N4178,DATA_ASSET_CLASSIFICATION!$AA$8:$AA$13,0)),"Review"))</f>
        <v>Bucket 1 · New Build</v>
      </c>
      <c r="P4178" s="350" t="str">
        <f>IF($B4178="Portfolio","Portfolio",IFERROR(INDEX(DATA_ASSET_CLASSIFICATION!$C$8:$C$24,MATCH($C4178,DATA_ASSET_CLASSIFICATION!$A$8:$A$24,0)),"Review"))</f>
        <v>Yes</v>
      </c>
      <c r="Q4178" s="350" t="str">
        <f t="shared" ca="1" si="131"/>
        <v>OK</v>
      </c>
    </row>
    <row r="4179" spans="1:17">
      <c r="A4179" s="366" t="s">
        <v>6135</v>
      </c>
      <c r="B4179" s="366" t="s">
        <v>231</v>
      </c>
      <c r="C4179" s="348" t="str">
        <f>DATA_PROPERTY_MASTER!$A$18</f>
        <v>BLD_AS</v>
      </c>
      <c r="D4179" s="380">
        <f>'00_PORTFOLIO ROLLUP'!L$12</f>
        <v>2032</v>
      </c>
      <c r="E4179" s="366" t="s">
        <v>1721</v>
      </c>
      <c r="F4179" s="366" t="s">
        <v>31</v>
      </c>
      <c r="G4179" s="348" t="str">
        <f>"'"&amp;$C4179&amp;"'!$E$61:$Y$61"</f>
        <v>'BLD_AS'!$E$61:$Y$61</v>
      </c>
      <c r="H4179" s="381">
        <f ca="1">IF(IFERROR(INDEX(DATA_PROPERTY_MASTER!$E$5:$E$21,MATCH($C4179,DATA_PROPERTY_MASTER!$A$5:$A$21,0))="Yes",FALSE),IFERROR(INDEX(INDIRECT("'"&amp;$C4179&amp;"'!$E$61:$Y$61"),1,MATCH($D4179,INDIRECT("'"&amp;$C4179&amp;"'!$E$12:$Y$12"),0)),0),0)</f>
        <v>0</v>
      </c>
      <c r="I4179" s="366" t="s">
        <v>1690</v>
      </c>
      <c r="J4179" s="348" t="str">
        <f t="shared" ca="1" si="130"/>
        <v>OK</v>
      </c>
      <c r="K4179" s="366" t="s">
        <v>1723</v>
      </c>
      <c r="L4179" s="366" t="s">
        <v>2252</v>
      </c>
      <c r="M4179" s="350" t="str">
        <f>IF($B4179="Portfolio","Portfolio",IFERROR(INDEX(DATA_ASSET_CLASSIFICATION!$B$8:$B$24,MATCH($C4179,DATA_ASSET_CLASSIFICATION!$A$8:$A$24,0)),"Review"))</f>
        <v>1656 Adanac Street</v>
      </c>
      <c r="N4179" s="350" t="str">
        <f>IF($B4179="Portfolio","Portfolio",IFERROR(INDEX(DATA_ASSET_CLASSIFICATION!$U$8:$U$24,MATCH($C4179,DATA_ASSET_CLASSIFICATION!$A$8:$A$24,0)),"Review"))</f>
        <v>New Build</v>
      </c>
      <c r="O4179" s="350" t="str">
        <f>IF($B4179="Portfolio","Portfolio",IFERROR(INDEX(DATA_ASSET_CLASSIFICATION!$AB$8:$AB$13,MATCH($N4179,DATA_ASSET_CLASSIFICATION!$AA$8:$AA$13,0)),"Review"))</f>
        <v>Bucket 1 · New Build</v>
      </c>
      <c r="P4179" s="350" t="str">
        <f>IF($B4179="Portfolio","Portfolio",IFERROR(INDEX(DATA_ASSET_CLASSIFICATION!$C$8:$C$24,MATCH($C4179,DATA_ASSET_CLASSIFICATION!$A$8:$A$24,0)),"Review"))</f>
        <v>Yes</v>
      </c>
      <c r="Q4179" s="350" t="str">
        <f t="shared" ca="1" si="131"/>
        <v>OK</v>
      </c>
    </row>
    <row r="4180" spans="1:17">
      <c r="A4180" s="366" t="s">
        <v>6136</v>
      </c>
      <c r="B4180" s="366" t="s">
        <v>231</v>
      </c>
      <c r="C4180" s="348" t="str">
        <f>DATA_PROPERTY_MASTER!$A$18</f>
        <v>BLD_AS</v>
      </c>
      <c r="D4180" s="380">
        <f>'00_PORTFOLIO ROLLUP'!L$12</f>
        <v>2032</v>
      </c>
      <c r="E4180" s="366" t="s">
        <v>1721</v>
      </c>
      <c r="F4180" s="366" t="s">
        <v>33</v>
      </c>
      <c r="G4180" s="348" t="str">
        <f>"'"&amp;$C4180&amp;"'!$E$62:$Y$62"</f>
        <v>'BLD_AS'!$E$62:$Y$62</v>
      </c>
      <c r="H4180" s="381">
        <f ca="1">IF(IFERROR(INDEX(DATA_PROPERTY_MASTER!$E$5:$E$21,MATCH($C4180,DATA_PROPERTY_MASTER!$A$5:$A$21,0))="Yes",FALSE),IFERROR(INDEX(INDIRECT("'"&amp;$C4180&amp;"'!$E$62:$Y$62"),1,MATCH($D4180,INDIRECT("'"&amp;$C4180&amp;"'!$E$12:$Y$12"),0)),0),0)</f>
        <v>0</v>
      </c>
      <c r="I4180" s="366" t="s">
        <v>1685</v>
      </c>
      <c r="J4180" s="348" t="str">
        <f t="shared" ca="1" si="130"/>
        <v>OK</v>
      </c>
      <c r="K4180" s="366" t="s">
        <v>1727</v>
      </c>
      <c r="L4180" s="366" t="s">
        <v>2254</v>
      </c>
      <c r="M4180" s="350" t="str">
        <f>IF($B4180="Portfolio","Portfolio",IFERROR(INDEX(DATA_ASSET_CLASSIFICATION!$B$8:$B$24,MATCH($C4180,DATA_ASSET_CLASSIFICATION!$A$8:$A$24,0)),"Review"))</f>
        <v>1656 Adanac Street</v>
      </c>
      <c r="N4180" s="350" t="str">
        <f>IF($B4180="Portfolio","Portfolio",IFERROR(INDEX(DATA_ASSET_CLASSIFICATION!$U$8:$U$24,MATCH($C4180,DATA_ASSET_CLASSIFICATION!$A$8:$A$24,0)),"Review"))</f>
        <v>New Build</v>
      </c>
      <c r="O4180" s="350" t="str">
        <f>IF($B4180="Portfolio","Portfolio",IFERROR(INDEX(DATA_ASSET_CLASSIFICATION!$AB$8:$AB$13,MATCH($N4180,DATA_ASSET_CLASSIFICATION!$AA$8:$AA$13,0)),"Review"))</f>
        <v>Bucket 1 · New Build</v>
      </c>
      <c r="P4180" s="350" t="str">
        <f>IF($B4180="Portfolio","Portfolio",IFERROR(INDEX(DATA_ASSET_CLASSIFICATION!$C$8:$C$24,MATCH($C4180,DATA_ASSET_CLASSIFICATION!$A$8:$A$24,0)),"Review"))</f>
        <v>Yes</v>
      </c>
      <c r="Q4180" s="350" t="str">
        <f t="shared" ca="1" si="131"/>
        <v>OK</v>
      </c>
    </row>
    <row r="4181" spans="1:17">
      <c r="A4181" s="366" t="s">
        <v>6137</v>
      </c>
      <c r="B4181" s="366" t="s">
        <v>231</v>
      </c>
      <c r="C4181" s="348" t="str">
        <f>DATA_PROPERTY_MASTER!$A$18</f>
        <v>BLD_AS</v>
      </c>
      <c r="D4181" s="380">
        <f>'00_PORTFOLIO ROLLUP'!L$12</f>
        <v>2032</v>
      </c>
      <c r="E4181" s="366" t="s">
        <v>1721</v>
      </c>
      <c r="F4181" s="366" t="s">
        <v>35</v>
      </c>
      <c r="G4181" s="348" t="str">
        <f>"'"&amp;$C4181&amp;"'!$E$63:$Y$63"</f>
        <v>'BLD_AS'!$E$63:$Y$63</v>
      </c>
      <c r="H4181" s="381">
        <f ca="1">IF(IFERROR(INDEX(DATA_PROPERTY_MASTER!$E$5:$E$21,MATCH($C4181,DATA_PROPERTY_MASTER!$A$5:$A$21,0))="Yes",FALSE),IFERROR(INDEX(INDIRECT("'"&amp;$C4181&amp;"'!$E$63:$Y$63"),1,MATCH($D4181,INDIRECT("'"&amp;$C4181&amp;"'!$E$12:$Y$12"),0)),0),0)</f>
        <v>0</v>
      </c>
      <c r="I4181" s="366" t="s">
        <v>1731</v>
      </c>
      <c r="J4181" s="348" t="str">
        <f t="shared" ca="1" si="130"/>
        <v>OK</v>
      </c>
      <c r="K4181" s="366" t="s">
        <v>1732</v>
      </c>
      <c r="L4181" s="366" t="s">
        <v>2256</v>
      </c>
      <c r="M4181" s="350" t="str">
        <f>IF($B4181="Portfolio","Portfolio",IFERROR(INDEX(DATA_ASSET_CLASSIFICATION!$B$8:$B$24,MATCH($C4181,DATA_ASSET_CLASSIFICATION!$A$8:$A$24,0)),"Review"))</f>
        <v>1656 Adanac Street</v>
      </c>
      <c r="N4181" s="350" t="str">
        <f>IF($B4181="Portfolio","Portfolio",IFERROR(INDEX(DATA_ASSET_CLASSIFICATION!$U$8:$U$24,MATCH($C4181,DATA_ASSET_CLASSIFICATION!$A$8:$A$24,0)),"Review"))</f>
        <v>New Build</v>
      </c>
      <c r="O4181" s="350" t="str">
        <f>IF($B4181="Portfolio","Portfolio",IFERROR(INDEX(DATA_ASSET_CLASSIFICATION!$AB$8:$AB$13,MATCH($N4181,DATA_ASSET_CLASSIFICATION!$AA$8:$AA$13,0)),"Review"))</f>
        <v>Bucket 1 · New Build</v>
      </c>
      <c r="P4181" s="350" t="str">
        <f>IF($B4181="Portfolio","Portfolio",IFERROR(INDEX(DATA_ASSET_CLASSIFICATION!$C$8:$C$24,MATCH($C4181,DATA_ASSET_CLASSIFICATION!$A$8:$A$24,0)),"Review"))</f>
        <v>Yes</v>
      </c>
      <c r="Q4181" s="350" t="str">
        <f t="shared" ca="1" si="131"/>
        <v>OK</v>
      </c>
    </row>
    <row r="4182" spans="1:17">
      <c r="A4182" s="366" t="s">
        <v>6138</v>
      </c>
      <c r="B4182" s="366" t="s">
        <v>231</v>
      </c>
      <c r="C4182" s="348" t="str">
        <f>DATA_PROPERTY_MASTER!$A$18</f>
        <v>BLD_AS</v>
      </c>
      <c r="D4182" s="380">
        <f>'00_PORTFOLIO ROLLUP'!L$12</f>
        <v>2032</v>
      </c>
      <c r="E4182" s="366" t="s">
        <v>1721</v>
      </c>
      <c r="F4182" s="366" t="s">
        <v>37</v>
      </c>
      <c r="G4182" s="348" t="str">
        <f>"'"&amp;$C4182&amp;"'!$E$63:$Y$63"</f>
        <v>'BLD_AS'!$E$63:$Y$63</v>
      </c>
      <c r="H4182" s="381">
        <f ca="1">IF(IFERROR(INDEX(DATA_PROPERTY_MASTER!$E$5:$E$21,MATCH($C4182,DATA_PROPERTY_MASTER!$A$5:$A$21,0))="Yes",FALSE),MAX(IFERROR(INDEX(INDIRECT("'"&amp;$C4182&amp;"'!$E$63:$Y$63"),1,MATCH($D4182,INDIRECT("'"&amp;$C4182&amp;"'!$E$12:$Y$12"),0)),0),0),0)</f>
        <v>0</v>
      </c>
      <c r="I4182" s="366" t="s">
        <v>1685</v>
      </c>
      <c r="J4182" s="348" t="str">
        <f t="shared" ca="1" si="130"/>
        <v>OK</v>
      </c>
      <c r="K4182" s="366" t="s">
        <v>1735</v>
      </c>
      <c r="L4182" s="366" t="s">
        <v>2258</v>
      </c>
      <c r="M4182" s="350" t="str">
        <f>IF($B4182="Portfolio","Portfolio",IFERROR(INDEX(DATA_ASSET_CLASSIFICATION!$B$8:$B$24,MATCH($C4182,DATA_ASSET_CLASSIFICATION!$A$8:$A$24,0)),"Review"))</f>
        <v>1656 Adanac Street</v>
      </c>
      <c r="N4182" s="350" t="str">
        <f>IF($B4182="Portfolio","Portfolio",IFERROR(INDEX(DATA_ASSET_CLASSIFICATION!$U$8:$U$24,MATCH($C4182,DATA_ASSET_CLASSIFICATION!$A$8:$A$24,0)),"Review"))</f>
        <v>New Build</v>
      </c>
      <c r="O4182" s="350" t="str">
        <f>IF($B4182="Portfolio","Portfolio",IFERROR(INDEX(DATA_ASSET_CLASSIFICATION!$AB$8:$AB$13,MATCH($N4182,DATA_ASSET_CLASSIFICATION!$AA$8:$AA$13,0)),"Review"))</f>
        <v>Bucket 1 · New Build</v>
      </c>
      <c r="P4182" s="350" t="str">
        <f>IF($B4182="Portfolio","Portfolio",IFERROR(INDEX(DATA_ASSET_CLASSIFICATION!$C$8:$C$24,MATCH($C4182,DATA_ASSET_CLASSIFICATION!$A$8:$A$24,0)),"Review"))</f>
        <v>Yes</v>
      </c>
      <c r="Q4182" s="350" t="str">
        <f t="shared" ca="1" si="131"/>
        <v>OK</v>
      </c>
    </row>
    <row r="4183" spans="1:17">
      <c r="A4183" s="366" t="s">
        <v>6139</v>
      </c>
      <c r="B4183" s="366" t="s">
        <v>231</v>
      </c>
      <c r="C4183" s="348" t="str">
        <f>DATA_PROPERTY_MASTER!$A$18</f>
        <v>BLD_AS</v>
      </c>
      <c r="D4183" s="380">
        <f>'00_PORTFOLIO ROLLUP'!L$12</f>
        <v>2032</v>
      </c>
      <c r="E4183" s="366" t="s">
        <v>1721</v>
      </c>
      <c r="F4183" s="366" t="s">
        <v>39</v>
      </c>
      <c r="G4183" s="348" t="str">
        <f>"'"&amp;$C4183&amp;"'!$E$63:$Y$63"</f>
        <v>'BLD_AS'!$E$63:$Y$63</v>
      </c>
      <c r="H4183" s="381">
        <f ca="1">IF(IFERROR(INDEX(DATA_PROPERTY_MASTER!$E$5:$E$21,MATCH($C4183,DATA_PROPERTY_MASTER!$A$5:$A$21,0))="Yes",FALSE),MAX(-IFERROR(INDEX(INDIRECT("'"&amp;$C4183&amp;"'!$E$63:$Y$63"),1,MATCH($D4183,INDIRECT("'"&amp;$C4183&amp;"'!$E$12:$Y$12"),0)),0),0),0)</f>
        <v>0</v>
      </c>
      <c r="I4183" s="366" t="s">
        <v>1690</v>
      </c>
      <c r="J4183" s="348" t="str">
        <f t="shared" ca="1" si="130"/>
        <v>OK</v>
      </c>
      <c r="K4183" s="366" t="s">
        <v>1738</v>
      </c>
      <c r="L4183" s="366" t="s">
        <v>2260</v>
      </c>
      <c r="M4183" s="350" t="str">
        <f>IF($B4183="Portfolio","Portfolio",IFERROR(INDEX(DATA_ASSET_CLASSIFICATION!$B$8:$B$24,MATCH($C4183,DATA_ASSET_CLASSIFICATION!$A$8:$A$24,0)),"Review"))</f>
        <v>1656 Adanac Street</v>
      </c>
      <c r="N4183" s="350" t="str">
        <f>IF($B4183="Portfolio","Portfolio",IFERROR(INDEX(DATA_ASSET_CLASSIFICATION!$U$8:$U$24,MATCH($C4183,DATA_ASSET_CLASSIFICATION!$A$8:$A$24,0)),"Review"))</f>
        <v>New Build</v>
      </c>
      <c r="O4183" s="350" t="str">
        <f>IF($B4183="Portfolio","Portfolio",IFERROR(INDEX(DATA_ASSET_CLASSIFICATION!$AB$8:$AB$13,MATCH($N4183,DATA_ASSET_CLASSIFICATION!$AA$8:$AA$13,0)),"Review"))</f>
        <v>Bucket 1 · New Build</v>
      </c>
      <c r="P4183" s="350" t="str">
        <f>IF($B4183="Portfolio","Portfolio",IFERROR(INDEX(DATA_ASSET_CLASSIFICATION!$C$8:$C$24,MATCH($C4183,DATA_ASSET_CLASSIFICATION!$A$8:$A$24,0)),"Review"))</f>
        <v>Yes</v>
      </c>
      <c r="Q4183" s="350" t="str">
        <f t="shared" ca="1" si="131"/>
        <v>OK</v>
      </c>
    </row>
    <row r="4184" spans="1:17">
      <c r="A4184" s="366" t="s">
        <v>6140</v>
      </c>
      <c r="B4184" s="366" t="s">
        <v>231</v>
      </c>
      <c r="C4184" s="348" t="str">
        <f>DATA_PROPERTY_MASTER!$A$18</f>
        <v>BLD_AS</v>
      </c>
      <c r="D4184" s="380">
        <f>'00_PORTFOLIO ROLLUP'!L$12</f>
        <v>2032</v>
      </c>
      <c r="E4184" s="366" t="s">
        <v>1741</v>
      </c>
      <c r="F4184" s="366" t="s">
        <v>41</v>
      </c>
      <c r="G4184" s="348" t="str">
        <f>"'"&amp;$C4184&amp;"'!rows 56 + positive row 63"</f>
        <v>'BLD_AS'!rows 56 + positive row 63</v>
      </c>
      <c r="H4184" s="381">
        <f ca="1">IF(IFERROR(INDEX(DATA_PROPERTY_MASTER!$E$5:$E$21,MATCH($C4184,DATA_PROPERTY_MASTER!$A$5:$A$21,0))="Yes",FALSE),IFERROR(INDEX(INDIRECT("'"&amp;$C4184&amp;"'!$E$56:$Y$56"),1,MATCH($D4184,INDIRECT("'"&amp;$C4184&amp;"'!$E$12:$Y$12"),0)),0)+MAX(IFERROR(INDEX(INDIRECT("'"&amp;$C4184&amp;"'!$E$63:$Y$63"),1,MATCH($D4184,INDIRECT("'"&amp;$C4184&amp;"'!$E$12:$Y$12"),0)),0),0),0)</f>
        <v>174170.29581660125</v>
      </c>
      <c r="I4184" s="366" t="s">
        <v>1685</v>
      </c>
      <c r="J4184" s="348" t="str">
        <f t="shared" ca="1" si="130"/>
        <v>OK</v>
      </c>
      <c r="K4184" s="366" t="s">
        <v>1742</v>
      </c>
      <c r="L4184" s="366" t="s">
        <v>2262</v>
      </c>
      <c r="M4184" s="350" t="str">
        <f>IF($B4184="Portfolio","Portfolio",IFERROR(INDEX(DATA_ASSET_CLASSIFICATION!$B$8:$B$24,MATCH($C4184,DATA_ASSET_CLASSIFICATION!$A$8:$A$24,0)),"Review"))</f>
        <v>1656 Adanac Street</v>
      </c>
      <c r="N4184" s="350" t="str">
        <f>IF($B4184="Portfolio","Portfolio",IFERROR(INDEX(DATA_ASSET_CLASSIFICATION!$U$8:$U$24,MATCH($C4184,DATA_ASSET_CLASSIFICATION!$A$8:$A$24,0)),"Review"))</f>
        <v>New Build</v>
      </c>
      <c r="O4184" s="350" t="str">
        <f>IF($B4184="Portfolio","Portfolio",IFERROR(INDEX(DATA_ASSET_CLASSIFICATION!$AB$8:$AB$13,MATCH($N4184,DATA_ASSET_CLASSIFICATION!$AA$8:$AA$13,0)),"Review"))</f>
        <v>Bucket 1 · New Build</v>
      </c>
      <c r="P4184" s="350" t="str">
        <f>IF($B4184="Portfolio","Portfolio",IFERROR(INDEX(DATA_ASSET_CLASSIFICATION!$C$8:$C$24,MATCH($C4184,DATA_ASSET_CLASSIFICATION!$A$8:$A$24,0)),"Review"))</f>
        <v>Yes</v>
      </c>
      <c r="Q4184" s="350" t="str">
        <f t="shared" ca="1" si="131"/>
        <v>OK</v>
      </c>
    </row>
    <row r="4185" spans="1:17">
      <c r="A4185" s="366" t="s">
        <v>6141</v>
      </c>
      <c r="B4185" s="366" t="s">
        <v>231</v>
      </c>
      <c r="C4185" s="348" t="str">
        <f>DATA_PROPERTY_MASTER!$A$18</f>
        <v>BLD_AS</v>
      </c>
      <c r="D4185" s="380">
        <f>'00_PORTFOLIO ROLLUP'!L$12</f>
        <v>2032</v>
      </c>
      <c r="E4185" s="366" t="s">
        <v>1741</v>
      </c>
      <c r="F4185" s="366" t="s">
        <v>43</v>
      </c>
      <c r="G4185" s="348" t="str">
        <f>"'"&amp;$C4185&amp;"'!$E$68:$Y$68"</f>
        <v>'BLD_AS'!$E$68:$Y$68</v>
      </c>
      <c r="H4185" s="381">
        <f ca="1">IF(IFERROR(INDEX(DATA_PROPERTY_MASTER!$E$5:$E$21,MATCH($C4185,DATA_PROPERTY_MASTER!$A$5:$A$21,0))="Yes",FALSE),IFERROR(INDEX(INDIRECT("'"&amp;$C4185&amp;"'!$E$68:$Y$68"),1,MATCH($D4185,INDIRECT("'"&amp;$C4185&amp;"'!$E$12:$Y$12"),0)),0),0)</f>
        <v>174170.29581660125</v>
      </c>
      <c r="I4185" s="366" t="s">
        <v>1731</v>
      </c>
      <c r="J4185" s="348" t="str">
        <f t="shared" ca="1" si="130"/>
        <v>OK</v>
      </c>
      <c r="K4185" s="366" t="s">
        <v>1746</v>
      </c>
      <c r="L4185" s="366" t="s">
        <v>2264</v>
      </c>
      <c r="M4185" s="350" t="str">
        <f>IF($B4185="Portfolio","Portfolio",IFERROR(INDEX(DATA_ASSET_CLASSIFICATION!$B$8:$B$24,MATCH($C4185,DATA_ASSET_CLASSIFICATION!$A$8:$A$24,0)),"Review"))</f>
        <v>1656 Adanac Street</v>
      </c>
      <c r="N4185" s="350" t="str">
        <f>IF($B4185="Portfolio","Portfolio",IFERROR(INDEX(DATA_ASSET_CLASSIFICATION!$U$8:$U$24,MATCH($C4185,DATA_ASSET_CLASSIFICATION!$A$8:$A$24,0)),"Review"))</f>
        <v>New Build</v>
      </c>
      <c r="O4185" s="350" t="str">
        <f>IF($B4185="Portfolio","Portfolio",IFERROR(INDEX(DATA_ASSET_CLASSIFICATION!$AB$8:$AB$13,MATCH($N4185,DATA_ASSET_CLASSIFICATION!$AA$8:$AA$13,0)),"Review"))</f>
        <v>Bucket 1 · New Build</v>
      </c>
      <c r="P4185" s="350" t="str">
        <f>IF($B4185="Portfolio","Portfolio",IFERROR(INDEX(DATA_ASSET_CLASSIFICATION!$C$8:$C$24,MATCH($C4185,DATA_ASSET_CLASSIFICATION!$A$8:$A$24,0)),"Review"))</f>
        <v>Yes</v>
      </c>
      <c r="Q4185" s="350" t="str">
        <f t="shared" ca="1" si="131"/>
        <v>OK</v>
      </c>
    </row>
    <row r="4186" spans="1:17">
      <c r="A4186" s="366" t="s">
        <v>6142</v>
      </c>
      <c r="B4186" s="366" t="s">
        <v>231</v>
      </c>
      <c r="C4186" s="348" t="str">
        <f>DATA_PROPERTY_MASTER!$A$18</f>
        <v>BLD_AS</v>
      </c>
      <c r="D4186" s="380">
        <f>'00_PORTFOLIO ROLLUP'!L$12</f>
        <v>2032</v>
      </c>
      <c r="E4186" s="366" t="s">
        <v>1741</v>
      </c>
      <c r="F4186" s="366" t="s">
        <v>1749</v>
      </c>
      <c r="G4186" s="348" t="str">
        <f>"'"&amp;$C4186&amp;"'!rows 56, 63, 68"</f>
        <v>'BLD_AS'!rows 56, 63, 68</v>
      </c>
      <c r="H4186" s="381">
        <f ca="1">IF(IFERROR(INDEX(DATA_PROPERTY_MASTER!$E$5:$E$21,MATCH($C4186,DATA_PROPERTY_MASTER!$A$5:$A$21,0))="Yes",FALSE),(IFERROR(INDEX(INDIRECT("'"&amp;$C4186&amp;"'!$E$56:$Y$56"),1,MATCH($D4186,INDIRECT("'"&amp;$C4186&amp;"'!$E$12:$Y$12"),0)),0)+MAX(IFERROR(INDEX(INDIRECT("'"&amp;$C4186&amp;"'!$E$63:$Y$63"),1,MATCH($D4186,INDIRECT("'"&amp;$C4186&amp;"'!$E$12:$Y$12"),0)),0),0))-(IFERROR(INDEX(INDIRECT("'"&amp;$C4186&amp;"'!$E$68:$Y$68"),1,MATCH($D4186,INDIRECT("'"&amp;$C4186&amp;"'!$E$12:$Y$12"),0)),0)),0)</f>
        <v>0</v>
      </c>
      <c r="I4186" s="366" t="s">
        <v>1750</v>
      </c>
      <c r="J4186" s="348" t="str">
        <f t="shared" ca="1" si="130"/>
        <v>OK</v>
      </c>
      <c r="K4186" s="366" t="s">
        <v>1751</v>
      </c>
      <c r="L4186" s="366" t="s">
        <v>2266</v>
      </c>
      <c r="M4186" s="350" t="str">
        <f>IF($B4186="Portfolio","Portfolio",IFERROR(INDEX(DATA_ASSET_CLASSIFICATION!$B$8:$B$24,MATCH($C4186,DATA_ASSET_CLASSIFICATION!$A$8:$A$24,0)),"Review"))</f>
        <v>1656 Adanac Street</v>
      </c>
      <c r="N4186" s="350" t="str">
        <f>IF($B4186="Portfolio","Portfolio",IFERROR(INDEX(DATA_ASSET_CLASSIFICATION!$U$8:$U$24,MATCH($C4186,DATA_ASSET_CLASSIFICATION!$A$8:$A$24,0)),"Review"))</f>
        <v>New Build</v>
      </c>
      <c r="O4186" s="350" t="str">
        <f>IF($B4186="Portfolio","Portfolio",IFERROR(INDEX(DATA_ASSET_CLASSIFICATION!$AB$8:$AB$13,MATCH($N4186,DATA_ASSET_CLASSIFICATION!$AA$8:$AA$13,0)),"Review"))</f>
        <v>Bucket 1 · New Build</v>
      </c>
      <c r="P4186" s="350" t="str">
        <f>IF($B4186="Portfolio","Portfolio",IFERROR(INDEX(DATA_ASSET_CLASSIFICATION!$C$8:$C$24,MATCH($C4186,DATA_ASSET_CLASSIFICATION!$A$8:$A$24,0)),"Review"))</f>
        <v>Yes</v>
      </c>
      <c r="Q4186" s="350" t="str">
        <f t="shared" ca="1" si="131"/>
        <v>OK</v>
      </c>
    </row>
    <row r="4187" spans="1:17">
      <c r="A4187" s="366" t="s">
        <v>6143</v>
      </c>
      <c r="B4187" s="366" t="s">
        <v>231</v>
      </c>
      <c r="C4187" s="348" t="str">
        <f>DATA_PROPERTY_MASTER!$A$18</f>
        <v>BLD_AS</v>
      </c>
      <c r="D4187" s="380">
        <f>'00_PORTFOLIO ROLLUP'!M$12</f>
        <v>2033</v>
      </c>
      <c r="E4187" s="366" t="s">
        <v>1683</v>
      </c>
      <c r="F4187" s="366" t="s">
        <v>341</v>
      </c>
      <c r="G4187" s="348" t="str">
        <f>"'"&amp;$C4187&amp;"'!$E$24:$Y$24"</f>
        <v>'BLD_AS'!$E$24:$Y$24</v>
      </c>
      <c r="H4187" s="381">
        <f ca="1">IF(IFERROR(INDEX(DATA_PROPERTY_MASTER!$E$5:$E$21,MATCH($C4187,DATA_PROPERTY_MASTER!$A$5:$A$21,0))="Yes",FALSE),IFERROR(INDEX(INDIRECT("'"&amp;$C4187&amp;"'!$E$24:$Y$24"),1,MATCH($D4187,INDIRECT("'"&amp;$C4187&amp;"'!$E$12:$Y$12"),0)),0),0)</f>
        <v>2247905.9574213368</v>
      </c>
      <c r="I4187" s="366" t="s">
        <v>1685</v>
      </c>
      <c r="J4187" s="348" t="str">
        <f t="shared" ca="1" si="130"/>
        <v>OK</v>
      </c>
      <c r="K4187" s="366" t="s">
        <v>1686</v>
      </c>
      <c r="L4187" s="366" t="s">
        <v>2234</v>
      </c>
      <c r="M4187" s="350" t="str">
        <f>IF($B4187="Portfolio","Portfolio",IFERROR(INDEX(DATA_ASSET_CLASSIFICATION!$B$8:$B$24,MATCH($C4187,DATA_ASSET_CLASSIFICATION!$A$8:$A$24,0)),"Review"))</f>
        <v>1656 Adanac Street</v>
      </c>
      <c r="N4187" s="350" t="str">
        <f>IF($B4187="Portfolio","Portfolio",IFERROR(INDEX(DATA_ASSET_CLASSIFICATION!$U$8:$U$24,MATCH($C4187,DATA_ASSET_CLASSIFICATION!$A$8:$A$24,0)),"Review"))</f>
        <v>New Build</v>
      </c>
      <c r="O4187" s="350" t="str">
        <f>IF($B4187="Portfolio","Portfolio",IFERROR(INDEX(DATA_ASSET_CLASSIFICATION!$AB$8:$AB$13,MATCH($N4187,DATA_ASSET_CLASSIFICATION!$AA$8:$AA$13,0)),"Review"))</f>
        <v>Bucket 1 · New Build</v>
      </c>
      <c r="P4187" s="350" t="str">
        <f>IF($B4187="Portfolio","Portfolio",IFERROR(INDEX(DATA_ASSET_CLASSIFICATION!$C$8:$C$24,MATCH($C4187,DATA_ASSET_CLASSIFICATION!$A$8:$A$24,0)),"Review"))</f>
        <v>Yes</v>
      </c>
      <c r="Q4187" s="350" t="str">
        <f t="shared" ca="1" si="131"/>
        <v>OK</v>
      </c>
    </row>
    <row r="4188" spans="1:17">
      <c r="A4188" s="366" t="s">
        <v>6144</v>
      </c>
      <c r="B4188" s="366" t="s">
        <v>231</v>
      </c>
      <c r="C4188" s="348" t="str">
        <f>DATA_PROPERTY_MASTER!$A$18</f>
        <v>BLD_AS</v>
      </c>
      <c r="D4188" s="380">
        <f>'00_PORTFOLIO ROLLUP'!M$12</f>
        <v>2033</v>
      </c>
      <c r="E4188" s="366" t="s">
        <v>1683</v>
      </c>
      <c r="F4188" s="366" t="s">
        <v>355</v>
      </c>
      <c r="G4188" s="348" t="str">
        <f>"'"&amp;$C4188&amp;"'!$E$39:$Y$39"</f>
        <v>'BLD_AS'!$E$39:$Y$39</v>
      </c>
      <c r="H4188" s="381">
        <f ca="1">IF(IFERROR(INDEX(DATA_PROPERTY_MASTER!$E$5:$E$21,MATCH($C4188,DATA_PROPERTY_MASTER!$A$5:$A$21,0))="Yes",FALSE),IFERROR(INDEX(INDIRECT("'"&amp;$C4188&amp;"'!$E$39:$Y$39"),1,MATCH($D4188,INDIRECT("'"&amp;$C4188&amp;"'!$E$12:$Y$12"),0)),0),0)</f>
        <v>1001264.2772432043</v>
      </c>
      <c r="I4188" s="366" t="s">
        <v>1690</v>
      </c>
      <c r="J4188" s="348" t="str">
        <f t="shared" ca="1" si="130"/>
        <v>OK</v>
      </c>
      <c r="K4188" s="366" t="s">
        <v>1686</v>
      </c>
      <c r="L4188" s="366" t="s">
        <v>2236</v>
      </c>
      <c r="M4188" s="350" t="str">
        <f>IF($B4188="Portfolio","Portfolio",IFERROR(INDEX(DATA_ASSET_CLASSIFICATION!$B$8:$B$24,MATCH($C4188,DATA_ASSET_CLASSIFICATION!$A$8:$A$24,0)),"Review"))</f>
        <v>1656 Adanac Street</v>
      </c>
      <c r="N4188" s="350" t="str">
        <f>IF($B4188="Portfolio","Portfolio",IFERROR(INDEX(DATA_ASSET_CLASSIFICATION!$U$8:$U$24,MATCH($C4188,DATA_ASSET_CLASSIFICATION!$A$8:$A$24,0)),"Review"))</f>
        <v>New Build</v>
      </c>
      <c r="O4188" s="350" t="str">
        <f>IF($B4188="Portfolio","Portfolio",IFERROR(INDEX(DATA_ASSET_CLASSIFICATION!$AB$8:$AB$13,MATCH($N4188,DATA_ASSET_CLASSIFICATION!$AA$8:$AA$13,0)),"Review"))</f>
        <v>Bucket 1 · New Build</v>
      </c>
      <c r="P4188" s="350" t="str">
        <f>IF($B4188="Portfolio","Portfolio",IFERROR(INDEX(DATA_ASSET_CLASSIFICATION!$C$8:$C$24,MATCH($C4188,DATA_ASSET_CLASSIFICATION!$A$8:$A$24,0)),"Review"))</f>
        <v>Yes</v>
      </c>
      <c r="Q4188" s="350" t="str">
        <f t="shared" ca="1" si="131"/>
        <v>OK</v>
      </c>
    </row>
    <row r="4189" spans="1:17">
      <c r="A4189" s="366" t="s">
        <v>6145</v>
      </c>
      <c r="B4189" s="366" t="s">
        <v>231</v>
      </c>
      <c r="C4189" s="348" t="str">
        <f>DATA_PROPERTY_MASTER!$A$18</f>
        <v>BLD_AS</v>
      </c>
      <c r="D4189" s="380">
        <f>'00_PORTFOLIO ROLLUP'!M$12</f>
        <v>2033</v>
      </c>
      <c r="E4189" s="366" t="s">
        <v>1683</v>
      </c>
      <c r="F4189" s="366" t="s">
        <v>19</v>
      </c>
      <c r="G4189" s="348" t="str">
        <f>"'"&amp;$C4189&amp;"'!$E$41:$Y$41"</f>
        <v>'BLD_AS'!$E$41:$Y$41</v>
      </c>
      <c r="H4189" s="381">
        <f ca="1">IF(IFERROR(INDEX(DATA_PROPERTY_MASTER!$E$5:$E$21,MATCH($C4189,DATA_PROPERTY_MASTER!$A$5:$A$21,0))="Yes",FALSE),IFERROR(INDEX(INDIRECT("'"&amp;$C4189&amp;"'!$E$41:$Y$41"),1,MATCH($D4189,INDIRECT("'"&amp;$C4189&amp;"'!$E$12:$Y$12"),0)),0),0)</f>
        <v>1246641.6801781324</v>
      </c>
      <c r="I4189" s="366" t="s">
        <v>1685</v>
      </c>
      <c r="J4189" s="348" t="str">
        <f t="shared" ca="1" si="130"/>
        <v>OK</v>
      </c>
      <c r="K4189" s="366" t="s">
        <v>1694</v>
      </c>
      <c r="L4189" s="366" t="s">
        <v>2238</v>
      </c>
      <c r="M4189" s="350" t="str">
        <f>IF($B4189="Portfolio","Portfolio",IFERROR(INDEX(DATA_ASSET_CLASSIFICATION!$B$8:$B$24,MATCH($C4189,DATA_ASSET_CLASSIFICATION!$A$8:$A$24,0)),"Review"))</f>
        <v>1656 Adanac Street</v>
      </c>
      <c r="N4189" s="350" t="str">
        <f>IF($B4189="Portfolio","Portfolio",IFERROR(INDEX(DATA_ASSET_CLASSIFICATION!$U$8:$U$24,MATCH($C4189,DATA_ASSET_CLASSIFICATION!$A$8:$A$24,0)),"Review"))</f>
        <v>New Build</v>
      </c>
      <c r="O4189" s="350" t="str">
        <f>IF($B4189="Portfolio","Portfolio",IFERROR(INDEX(DATA_ASSET_CLASSIFICATION!$AB$8:$AB$13,MATCH($N4189,DATA_ASSET_CLASSIFICATION!$AA$8:$AA$13,0)),"Review"))</f>
        <v>Bucket 1 · New Build</v>
      </c>
      <c r="P4189" s="350" t="str">
        <f>IF($B4189="Portfolio","Portfolio",IFERROR(INDEX(DATA_ASSET_CLASSIFICATION!$C$8:$C$24,MATCH($C4189,DATA_ASSET_CLASSIFICATION!$A$8:$A$24,0)),"Review"))</f>
        <v>Yes</v>
      </c>
      <c r="Q4189" s="350" t="str">
        <f t="shared" ca="1" si="131"/>
        <v>OK</v>
      </c>
    </row>
    <row r="4190" spans="1:17">
      <c r="A4190" s="366" t="s">
        <v>6146</v>
      </c>
      <c r="B4190" s="366" t="s">
        <v>231</v>
      </c>
      <c r="C4190" s="348" t="str">
        <f>DATA_PROPERTY_MASTER!$A$18</f>
        <v>BLD_AS</v>
      </c>
      <c r="D4190" s="380">
        <f>'00_PORTFOLIO ROLLUP'!M$12</f>
        <v>2033</v>
      </c>
      <c r="E4190" s="366" t="s">
        <v>1683</v>
      </c>
      <c r="F4190" s="366" t="s">
        <v>1697</v>
      </c>
      <c r="G4190" s="348" t="str">
        <f>"'"&amp;$C4190&amp;"'!$E$44:$Y$44"</f>
        <v>'BLD_AS'!$E$44:$Y$44</v>
      </c>
      <c r="H4190" s="381">
        <f ca="1">IF(IFERROR(INDEX(DATA_PROPERTY_MASTER!$E$5:$E$21,MATCH($C4190,DATA_PROPERTY_MASTER!$A$5:$A$21,0))="Yes",FALSE),IFERROR(INDEX(INDIRECT("'"&amp;$C4190&amp;"'!$E$44:$Y$44"),1,MATCH($D4190,INDIRECT("'"&amp;$C4190&amp;"'!$E$12:$Y$12"),0)),0),0)</f>
        <v>17047.643993582962</v>
      </c>
      <c r="I4190" s="366" t="s">
        <v>1690</v>
      </c>
      <c r="J4190" s="348" t="str">
        <f t="shared" ca="1" si="130"/>
        <v>OK</v>
      </c>
      <c r="K4190" s="366" t="s">
        <v>1699</v>
      </c>
      <c r="L4190" s="366" t="s">
        <v>2240</v>
      </c>
      <c r="M4190" s="350" t="str">
        <f>IF($B4190="Portfolio","Portfolio",IFERROR(INDEX(DATA_ASSET_CLASSIFICATION!$B$8:$B$24,MATCH($C4190,DATA_ASSET_CLASSIFICATION!$A$8:$A$24,0)),"Review"))</f>
        <v>1656 Adanac Street</v>
      </c>
      <c r="N4190" s="350" t="str">
        <f>IF($B4190="Portfolio","Portfolio",IFERROR(INDEX(DATA_ASSET_CLASSIFICATION!$U$8:$U$24,MATCH($C4190,DATA_ASSET_CLASSIFICATION!$A$8:$A$24,0)),"Review"))</f>
        <v>New Build</v>
      </c>
      <c r="O4190" s="350" t="str">
        <f>IF($B4190="Portfolio","Portfolio",IFERROR(INDEX(DATA_ASSET_CLASSIFICATION!$AB$8:$AB$13,MATCH($N4190,DATA_ASSET_CLASSIFICATION!$AA$8:$AA$13,0)),"Review"))</f>
        <v>Bucket 1 · New Build</v>
      </c>
      <c r="P4190" s="350" t="str">
        <f>IF($B4190="Portfolio","Portfolio",IFERROR(INDEX(DATA_ASSET_CLASSIFICATION!$C$8:$C$24,MATCH($C4190,DATA_ASSET_CLASSIFICATION!$A$8:$A$24,0)),"Review"))</f>
        <v>Yes</v>
      </c>
      <c r="Q4190" s="350" t="str">
        <f t="shared" ca="1" si="131"/>
        <v>OK</v>
      </c>
    </row>
    <row r="4191" spans="1:17">
      <c r="A4191" s="366" t="s">
        <v>6147</v>
      </c>
      <c r="B4191" s="366" t="s">
        <v>231</v>
      </c>
      <c r="C4191" s="348" t="str">
        <f>DATA_PROPERTY_MASTER!$A$18</f>
        <v>BLD_AS</v>
      </c>
      <c r="D4191" s="380">
        <f>'00_PORTFOLIO ROLLUP'!M$12</f>
        <v>2033</v>
      </c>
      <c r="E4191" s="366" t="s">
        <v>1683</v>
      </c>
      <c r="F4191" s="366" t="s">
        <v>21</v>
      </c>
      <c r="G4191" s="348" t="str">
        <f>"'"&amp;$C4191&amp;"'!$E$45:$Y$45"</f>
        <v>'BLD_AS'!$E$45:$Y$45</v>
      </c>
      <c r="H4191" s="381">
        <f ca="1">IF(IFERROR(INDEX(DATA_PROPERTY_MASTER!$E$5:$E$21,MATCH($C4191,DATA_PROPERTY_MASTER!$A$5:$A$21,0))="Yes",FALSE),IFERROR(INDEX(INDIRECT("'"&amp;$C4191&amp;"'!$E$45:$Y$45"),1,MATCH($D4191,INDIRECT("'"&amp;$C4191&amp;"'!$E$12:$Y$12"),0)),0),0)</f>
        <v>1229594.0361845493</v>
      </c>
      <c r="I4191" s="366" t="s">
        <v>1685</v>
      </c>
      <c r="J4191" s="348" t="str">
        <f t="shared" ca="1" si="130"/>
        <v>OK</v>
      </c>
      <c r="K4191" s="366" t="s">
        <v>1694</v>
      </c>
      <c r="L4191" s="366" t="s">
        <v>2242</v>
      </c>
      <c r="M4191" s="350" t="str">
        <f>IF($B4191="Portfolio","Portfolio",IFERROR(INDEX(DATA_ASSET_CLASSIFICATION!$B$8:$B$24,MATCH($C4191,DATA_ASSET_CLASSIFICATION!$A$8:$A$24,0)),"Review"))</f>
        <v>1656 Adanac Street</v>
      </c>
      <c r="N4191" s="350" t="str">
        <f>IF($B4191="Portfolio","Portfolio",IFERROR(INDEX(DATA_ASSET_CLASSIFICATION!$U$8:$U$24,MATCH($C4191,DATA_ASSET_CLASSIFICATION!$A$8:$A$24,0)),"Review"))</f>
        <v>New Build</v>
      </c>
      <c r="O4191" s="350" t="str">
        <f>IF($B4191="Portfolio","Portfolio",IFERROR(INDEX(DATA_ASSET_CLASSIFICATION!$AB$8:$AB$13,MATCH($N4191,DATA_ASSET_CLASSIFICATION!$AA$8:$AA$13,0)),"Review"))</f>
        <v>Bucket 1 · New Build</v>
      </c>
      <c r="P4191" s="350" t="str">
        <f>IF($B4191="Portfolio","Portfolio",IFERROR(INDEX(DATA_ASSET_CLASSIFICATION!$C$8:$C$24,MATCH($C4191,DATA_ASSET_CLASSIFICATION!$A$8:$A$24,0)),"Review"))</f>
        <v>Yes</v>
      </c>
      <c r="Q4191" s="350" t="str">
        <f t="shared" ca="1" si="131"/>
        <v>OK</v>
      </c>
    </row>
    <row r="4192" spans="1:17">
      <c r="A4192" s="366" t="s">
        <v>6148</v>
      </c>
      <c r="B4192" s="366" t="s">
        <v>231</v>
      </c>
      <c r="C4192" s="348" t="str">
        <f>DATA_PROPERTY_MASTER!$A$18</f>
        <v>BLD_AS</v>
      </c>
      <c r="D4192" s="380">
        <f>'00_PORTFOLIO ROLLUP'!M$12</f>
        <v>2033</v>
      </c>
      <c r="E4192" s="366" t="s">
        <v>23</v>
      </c>
      <c r="F4192" s="366" t="s">
        <v>23</v>
      </c>
      <c r="G4192" s="348" t="str">
        <f>"'"&amp;$C4192&amp;"'!$E$48:$Y$48"</f>
        <v>'BLD_AS'!$E$48:$Y$48</v>
      </c>
      <c r="H4192" s="381">
        <f ca="1">IF(IFERROR(INDEX(DATA_PROPERTY_MASTER!$E$5:$E$21,MATCH($C4192,DATA_PROPERTY_MASTER!$A$5:$A$21,0))="Yes",FALSE),IFERROR(INDEX(INDIRECT("'"&amp;$C4192&amp;"'!$E$48:$Y$48"),1,MATCH($D4192,INDIRECT("'"&amp;$C4192&amp;"'!$E$12:$Y$12"),0)),0),0)</f>
        <v>805649.51774556539</v>
      </c>
      <c r="I4192" s="366" t="s">
        <v>1690</v>
      </c>
      <c r="J4192" s="348" t="str">
        <f t="shared" ca="1" si="130"/>
        <v>OK</v>
      </c>
      <c r="K4192" s="366" t="s">
        <v>1706</v>
      </c>
      <c r="L4192" s="366" t="s">
        <v>2244</v>
      </c>
      <c r="M4192" s="350" t="str">
        <f>IF($B4192="Portfolio","Portfolio",IFERROR(INDEX(DATA_ASSET_CLASSIFICATION!$B$8:$B$24,MATCH($C4192,DATA_ASSET_CLASSIFICATION!$A$8:$A$24,0)),"Review"))</f>
        <v>1656 Adanac Street</v>
      </c>
      <c r="N4192" s="350" t="str">
        <f>IF($B4192="Portfolio","Portfolio",IFERROR(INDEX(DATA_ASSET_CLASSIFICATION!$U$8:$U$24,MATCH($C4192,DATA_ASSET_CLASSIFICATION!$A$8:$A$24,0)),"Review"))</f>
        <v>New Build</v>
      </c>
      <c r="O4192" s="350" t="str">
        <f>IF($B4192="Portfolio","Portfolio",IFERROR(INDEX(DATA_ASSET_CLASSIFICATION!$AB$8:$AB$13,MATCH($N4192,DATA_ASSET_CLASSIFICATION!$AA$8:$AA$13,0)),"Review"))</f>
        <v>Bucket 1 · New Build</v>
      </c>
      <c r="P4192" s="350" t="str">
        <f>IF($B4192="Portfolio","Portfolio",IFERROR(INDEX(DATA_ASSET_CLASSIFICATION!$C$8:$C$24,MATCH($C4192,DATA_ASSET_CLASSIFICATION!$A$8:$A$24,0)),"Review"))</f>
        <v>Yes</v>
      </c>
      <c r="Q4192" s="350" t="str">
        <f t="shared" ca="1" si="131"/>
        <v>OK</v>
      </c>
    </row>
    <row r="4193" spans="1:17">
      <c r="A4193" s="366" t="s">
        <v>6149</v>
      </c>
      <c r="B4193" s="366" t="s">
        <v>231</v>
      </c>
      <c r="C4193" s="348" t="str">
        <f>DATA_PROPERTY_MASTER!$A$18</f>
        <v>BLD_AS</v>
      </c>
      <c r="D4193" s="380">
        <f>'00_PORTFOLIO ROLLUP'!M$12</f>
        <v>2033</v>
      </c>
      <c r="E4193" s="366" t="s">
        <v>1683</v>
      </c>
      <c r="F4193" s="366" t="s">
        <v>25</v>
      </c>
      <c r="G4193" s="348" t="str">
        <f>"'"&amp;$C4193&amp;"'!$E$52:$Y$52"</f>
        <v>'BLD_AS'!$E$52:$Y$52</v>
      </c>
      <c r="H4193" s="381">
        <f ca="1">IF(IFERROR(INDEX(DATA_PROPERTY_MASTER!$E$5:$E$21,MATCH($C4193,DATA_PROPERTY_MASTER!$A$5:$A$21,0))="Yes",FALSE),IFERROR(INDEX(INDIRECT("'"&amp;$C4193&amp;"'!$E$52:$Y$52"),1,MATCH($D4193,INDIRECT("'"&amp;$C4193&amp;"'!$E$12:$Y$12"),0)),0),0)</f>
        <v>440992.16243256698</v>
      </c>
      <c r="I4193" s="366" t="s">
        <v>1685</v>
      </c>
      <c r="J4193" s="348" t="str">
        <f t="shared" ca="1" si="130"/>
        <v>OK</v>
      </c>
      <c r="K4193" s="366" t="s">
        <v>1710</v>
      </c>
      <c r="L4193" s="366" t="s">
        <v>2246</v>
      </c>
      <c r="M4193" s="350" t="str">
        <f>IF($B4193="Portfolio","Portfolio",IFERROR(INDEX(DATA_ASSET_CLASSIFICATION!$B$8:$B$24,MATCH($C4193,DATA_ASSET_CLASSIFICATION!$A$8:$A$24,0)),"Review"))</f>
        <v>1656 Adanac Street</v>
      </c>
      <c r="N4193" s="350" t="str">
        <f>IF($B4193="Portfolio","Portfolio",IFERROR(INDEX(DATA_ASSET_CLASSIFICATION!$U$8:$U$24,MATCH($C4193,DATA_ASSET_CLASSIFICATION!$A$8:$A$24,0)),"Review"))</f>
        <v>New Build</v>
      </c>
      <c r="O4193" s="350" t="str">
        <f>IF($B4193="Portfolio","Portfolio",IFERROR(INDEX(DATA_ASSET_CLASSIFICATION!$AB$8:$AB$13,MATCH($N4193,DATA_ASSET_CLASSIFICATION!$AA$8:$AA$13,0)),"Review"))</f>
        <v>Bucket 1 · New Build</v>
      </c>
      <c r="P4193" s="350" t="str">
        <f>IF($B4193="Portfolio","Portfolio",IFERROR(INDEX(DATA_ASSET_CLASSIFICATION!$C$8:$C$24,MATCH($C4193,DATA_ASSET_CLASSIFICATION!$A$8:$A$24,0)),"Review"))</f>
        <v>Yes</v>
      </c>
      <c r="Q4193" s="350" t="str">
        <f t="shared" ca="1" si="131"/>
        <v>OK</v>
      </c>
    </row>
    <row r="4194" spans="1:17">
      <c r="A4194" s="366" t="s">
        <v>6150</v>
      </c>
      <c r="B4194" s="366" t="s">
        <v>231</v>
      </c>
      <c r="C4194" s="348" t="str">
        <f>DATA_PROPERTY_MASTER!$A$18</f>
        <v>BLD_AS</v>
      </c>
      <c r="D4194" s="380">
        <f>'00_PORTFOLIO ROLLUP'!M$12</f>
        <v>2033</v>
      </c>
      <c r="E4194" s="366" t="s">
        <v>1683</v>
      </c>
      <c r="F4194" s="366" t="s">
        <v>27</v>
      </c>
      <c r="G4194" s="348" t="str">
        <f>"'"&amp;$C4194&amp;"'!$E$54:$Y$54"</f>
        <v>'BLD_AS'!$E$54:$Y$54</v>
      </c>
      <c r="H4194" s="381">
        <f ca="1">IF(IFERROR(INDEX(DATA_PROPERTY_MASTER!$E$5:$E$21,MATCH($C4194,DATA_PROPERTY_MASTER!$A$5:$A$21,0))="Yes",FALSE),IFERROR(INDEX(INDIRECT("'"&amp;$C4194&amp;"'!$E$54:$Y$54"),1,MATCH($D4194,INDIRECT("'"&amp;$C4194&amp;"'!$E$12:$Y$12"),0)),0),0)</f>
        <v>264595.29745954019</v>
      </c>
      <c r="I4194" s="366" t="s">
        <v>1690</v>
      </c>
      <c r="J4194" s="348" t="str">
        <f t="shared" ca="1" si="130"/>
        <v>OK</v>
      </c>
      <c r="K4194" s="366" t="s">
        <v>1714</v>
      </c>
      <c r="L4194" s="366" t="s">
        <v>2248</v>
      </c>
      <c r="M4194" s="350" t="str">
        <f>IF($B4194="Portfolio","Portfolio",IFERROR(INDEX(DATA_ASSET_CLASSIFICATION!$B$8:$B$24,MATCH($C4194,DATA_ASSET_CLASSIFICATION!$A$8:$A$24,0)),"Review"))</f>
        <v>1656 Adanac Street</v>
      </c>
      <c r="N4194" s="350" t="str">
        <f>IF($B4194="Portfolio","Portfolio",IFERROR(INDEX(DATA_ASSET_CLASSIFICATION!$U$8:$U$24,MATCH($C4194,DATA_ASSET_CLASSIFICATION!$A$8:$A$24,0)),"Review"))</f>
        <v>New Build</v>
      </c>
      <c r="O4194" s="350" t="str">
        <f>IF($B4194="Portfolio","Portfolio",IFERROR(INDEX(DATA_ASSET_CLASSIFICATION!$AB$8:$AB$13,MATCH($N4194,DATA_ASSET_CLASSIFICATION!$AA$8:$AA$13,0)),"Review"))</f>
        <v>Bucket 1 · New Build</v>
      </c>
      <c r="P4194" s="350" t="str">
        <f>IF($B4194="Portfolio","Portfolio",IFERROR(INDEX(DATA_ASSET_CLASSIFICATION!$C$8:$C$24,MATCH($C4194,DATA_ASSET_CLASSIFICATION!$A$8:$A$24,0)),"Review"))</f>
        <v>Yes</v>
      </c>
      <c r="Q4194" s="350" t="str">
        <f t="shared" ca="1" si="131"/>
        <v>OK</v>
      </c>
    </row>
    <row r="4195" spans="1:17">
      <c r="A4195" s="366" t="s">
        <v>6151</v>
      </c>
      <c r="B4195" s="366" t="s">
        <v>231</v>
      </c>
      <c r="C4195" s="348" t="str">
        <f>DATA_PROPERTY_MASTER!$A$18</f>
        <v>BLD_AS</v>
      </c>
      <c r="D4195" s="380">
        <f>'00_PORTFOLIO ROLLUP'!M$12</f>
        <v>2033</v>
      </c>
      <c r="E4195" s="366" t="s">
        <v>1683</v>
      </c>
      <c r="F4195" s="366" t="s">
        <v>29</v>
      </c>
      <c r="G4195" s="348" t="str">
        <f>"'"&amp;$C4195&amp;"'!$E$56:$Y$56"</f>
        <v>'BLD_AS'!$E$56:$Y$56</v>
      </c>
      <c r="H4195" s="381">
        <f ca="1">IF(IFERROR(INDEX(DATA_PROPERTY_MASTER!$E$5:$E$21,MATCH($C4195,DATA_PROPERTY_MASTER!$A$5:$A$21,0))="Yes",FALSE),IFERROR(INDEX(INDIRECT("'"&amp;$C4195&amp;"'!$E$56:$Y$56"),1,MATCH($D4195,INDIRECT("'"&amp;$C4195&amp;"'!$E$12:$Y$12"),0)),0),0)</f>
        <v>176396.86497302679</v>
      </c>
      <c r="I4195" s="366" t="s">
        <v>1685</v>
      </c>
      <c r="J4195" s="348" t="str">
        <f t="shared" ca="1" si="130"/>
        <v>OK</v>
      </c>
      <c r="K4195" s="366" t="s">
        <v>1718</v>
      </c>
      <c r="L4195" s="366" t="s">
        <v>2250</v>
      </c>
      <c r="M4195" s="350" t="str">
        <f>IF($B4195="Portfolio","Portfolio",IFERROR(INDEX(DATA_ASSET_CLASSIFICATION!$B$8:$B$24,MATCH($C4195,DATA_ASSET_CLASSIFICATION!$A$8:$A$24,0)),"Review"))</f>
        <v>1656 Adanac Street</v>
      </c>
      <c r="N4195" s="350" t="str">
        <f>IF($B4195="Portfolio","Portfolio",IFERROR(INDEX(DATA_ASSET_CLASSIFICATION!$U$8:$U$24,MATCH($C4195,DATA_ASSET_CLASSIFICATION!$A$8:$A$24,0)),"Review"))</f>
        <v>New Build</v>
      </c>
      <c r="O4195" s="350" t="str">
        <f>IF($B4195="Portfolio","Portfolio",IFERROR(INDEX(DATA_ASSET_CLASSIFICATION!$AB$8:$AB$13,MATCH($N4195,DATA_ASSET_CLASSIFICATION!$AA$8:$AA$13,0)),"Review"))</f>
        <v>Bucket 1 · New Build</v>
      </c>
      <c r="P4195" s="350" t="str">
        <f>IF($B4195="Portfolio","Portfolio",IFERROR(INDEX(DATA_ASSET_CLASSIFICATION!$C$8:$C$24,MATCH($C4195,DATA_ASSET_CLASSIFICATION!$A$8:$A$24,0)),"Review"))</f>
        <v>Yes</v>
      </c>
      <c r="Q4195" s="350" t="str">
        <f t="shared" ca="1" si="131"/>
        <v>OK</v>
      </c>
    </row>
    <row r="4196" spans="1:17">
      <c r="A4196" s="366" t="s">
        <v>6152</v>
      </c>
      <c r="B4196" s="366" t="s">
        <v>231</v>
      </c>
      <c r="C4196" s="348" t="str">
        <f>DATA_PROPERTY_MASTER!$A$18</f>
        <v>BLD_AS</v>
      </c>
      <c r="D4196" s="380">
        <f>'00_PORTFOLIO ROLLUP'!M$12</f>
        <v>2033</v>
      </c>
      <c r="E4196" s="366" t="s">
        <v>1721</v>
      </c>
      <c r="F4196" s="366" t="s">
        <v>31</v>
      </c>
      <c r="G4196" s="348" t="str">
        <f>"'"&amp;$C4196&amp;"'!$E$61:$Y$61"</f>
        <v>'BLD_AS'!$E$61:$Y$61</v>
      </c>
      <c r="H4196" s="381">
        <f ca="1">IF(IFERROR(INDEX(DATA_PROPERTY_MASTER!$E$5:$E$21,MATCH($C4196,DATA_PROPERTY_MASTER!$A$5:$A$21,0))="Yes",FALSE),IFERROR(INDEX(INDIRECT("'"&amp;$C4196&amp;"'!$E$61:$Y$61"),1,MATCH($D4196,INDIRECT("'"&amp;$C4196&amp;"'!$E$12:$Y$12"),0)),0),0)</f>
        <v>0</v>
      </c>
      <c r="I4196" s="366" t="s">
        <v>1690</v>
      </c>
      <c r="J4196" s="348" t="str">
        <f t="shared" ca="1" si="130"/>
        <v>OK</v>
      </c>
      <c r="K4196" s="366" t="s">
        <v>1723</v>
      </c>
      <c r="L4196" s="366" t="s">
        <v>2252</v>
      </c>
      <c r="M4196" s="350" t="str">
        <f>IF($B4196="Portfolio","Portfolio",IFERROR(INDEX(DATA_ASSET_CLASSIFICATION!$B$8:$B$24,MATCH($C4196,DATA_ASSET_CLASSIFICATION!$A$8:$A$24,0)),"Review"))</f>
        <v>1656 Adanac Street</v>
      </c>
      <c r="N4196" s="350" t="str">
        <f>IF($B4196="Portfolio","Portfolio",IFERROR(INDEX(DATA_ASSET_CLASSIFICATION!$U$8:$U$24,MATCH($C4196,DATA_ASSET_CLASSIFICATION!$A$8:$A$24,0)),"Review"))</f>
        <v>New Build</v>
      </c>
      <c r="O4196" s="350" t="str">
        <f>IF($B4196="Portfolio","Portfolio",IFERROR(INDEX(DATA_ASSET_CLASSIFICATION!$AB$8:$AB$13,MATCH($N4196,DATA_ASSET_CLASSIFICATION!$AA$8:$AA$13,0)),"Review"))</f>
        <v>Bucket 1 · New Build</v>
      </c>
      <c r="P4196" s="350" t="str">
        <f>IF($B4196="Portfolio","Portfolio",IFERROR(INDEX(DATA_ASSET_CLASSIFICATION!$C$8:$C$24,MATCH($C4196,DATA_ASSET_CLASSIFICATION!$A$8:$A$24,0)),"Review"))</f>
        <v>Yes</v>
      </c>
      <c r="Q4196" s="350" t="str">
        <f t="shared" ca="1" si="131"/>
        <v>OK</v>
      </c>
    </row>
    <row r="4197" spans="1:17">
      <c r="A4197" s="366" t="s">
        <v>6153</v>
      </c>
      <c r="B4197" s="366" t="s">
        <v>231</v>
      </c>
      <c r="C4197" s="348" t="str">
        <f>DATA_PROPERTY_MASTER!$A$18</f>
        <v>BLD_AS</v>
      </c>
      <c r="D4197" s="380">
        <f>'00_PORTFOLIO ROLLUP'!M$12</f>
        <v>2033</v>
      </c>
      <c r="E4197" s="366" t="s">
        <v>1721</v>
      </c>
      <c r="F4197" s="366" t="s">
        <v>33</v>
      </c>
      <c r="G4197" s="348" t="str">
        <f>"'"&amp;$C4197&amp;"'!$E$62:$Y$62"</f>
        <v>'BLD_AS'!$E$62:$Y$62</v>
      </c>
      <c r="H4197" s="381">
        <f ca="1">IF(IFERROR(INDEX(DATA_PROPERTY_MASTER!$E$5:$E$21,MATCH($C4197,DATA_PROPERTY_MASTER!$A$5:$A$21,0))="Yes",FALSE),IFERROR(INDEX(INDIRECT("'"&amp;$C4197&amp;"'!$E$62:$Y$62"),1,MATCH($D4197,INDIRECT("'"&amp;$C4197&amp;"'!$E$12:$Y$12"),0)),0),0)</f>
        <v>0</v>
      </c>
      <c r="I4197" s="366" t="s">
        <v>1685</v>
      </c>
      <c r="J4197" s="348" t="str">
        <f t="shared" ca="1" si="130"/>
        <v>OK</v>
      </c>
      <c r="K4197" s="366" t="s">
        <v>1727</v>
      </c>
      <c r="L4197" s="366" t="s">
        <v>2254</v>
      </c>
      <c r="M4197" s="350" t="str">
        <f>IF($B4197="Portfolio","Portfolio",IFERROR(INDEX(DATA_ASSET_CLASSIFICATION!$B$8:$B$24,MATCH($C4197,DATA_ASSET_CLASSIFICATION!$A$8:$A$24,0)),"Review"))</f>
        <v>1656 Adanac Street</v>
      </c>
      <c r="N4197" s="350" t="str">
        <f>IF($B4197="Portfolio","Portfolio",IFERROR(INDEX(DATA_ASSET_CLASSIFICATION!$U$8:$U$24,MATCH($C4197,DATA_ASSET_CLASSIFICATION!$A$8:$A$24,0)),"Review"))</f>
        <v>New Build</v>
      </c>
      <c r="O4197" s="350" t="str">
        <f>IF($B4197="Portfolio","Portfolio",IFERROR(INDEX(DATA_ASSET_CLASSIFICATION!$AB$8:$AB$13,MATCH($N4197,DATA_ASSET_CLASSIFICATION!$AA$8:$AA$13,0)),"Review"))</f>
        <v>Bucket 1 · New Build</v>
      </c>
      <c r="P4197" s="350" t="str">
        <f>IF($B4197="Portfolio","Portfolio",IFERROR(INDEX(DATA_ASSET_CLASSIFICATION!$C$8:$C$24,MATCH($C4197,DATA_ASSET_CLASSIFICATION!$A$8:$A$24,0)),"Review"))</f>
        <v>Yes</v>
      </c>
      <c r="Q4197" s="350" t="str">
        <f t="shared" ca="1" si="131"/>
        <v>OK</v>
      </c>
    </row>
    <row r="4198" spans="1:17">
      <c r="A4198" s="366" t="s">
        <v>6154</v>
      </c>
      <c r="B4198" s="366" t="s">
        <v>231</v>
      </c>
      <c r="C4198" s="348" t="str">
        <f>DATA_PROPERTY_MASTER!$A$18</f>
        <v>BLD_AS</v>
      </c>
      <c r="D4198" s="380">
        <f>'00_PORTFOLIO ROLLUP'!M$12</f>
        <v>2033</v>
      </c>
      <c r="E4198" s="366" t="s">
        <v>1721</v>
      </c>
      <c r="F4198" s="366" t="s">
        <v>35</v>
      </c>
      <c r="G4198" s="348" t="str">
        <f>"'"&amp;$C4198&amp;"'!$E$63:$Y$63"</f>
        <v>'BLD_AS'!$E$63:$Y$63</v>
      </c>
      <c r="H4198" s="381">
        <f ca="1">IF(IFERROR(INDEX(DATA_PROPERTY_MASTER!$E$5:$E$21,MATCH($C4198,DATA_PROPERTY_MASTER!$A$5:$A$21,0))="Yes",FALSE),IFERROR(INDEX(INDIRECT("'"&amp;$C4198&amp;"'!$E$63:$Y$63"),1,MATCH($D4198,INDIRECT("'"&amp;$C4198&amp;"'!$E$12:$Y$12"),0)),0),0)</f>
        <v>0</v>
      </c>
      <c r="I4198" s="366" t="s">
        <v>1731</v>
      </c>
      <c r="J4198" s="348" t="str">
        <f t="shared" ca="1" si="130"/>
        <v>OK</v>
      </c>
      <c r="K4198" s="366" t="s">
        <v>1732</v>
      </c>
      <c r="L4198" s="366" t="s">
        <v>2256</v>
      </c>
      <c r="M4198" s="350" t="str">
        <f>IF($B4198="Portfolio","Portfolio",IFERROR(INDEX(DATA_ASSET_CLASSIFICATION!$B$8:$B$24,MATCH($C4198,DATA_ASSET_CLASSIFICATION!$A$8:$A$24,0)),"Review"))</f>
        <v>1656 Adanac Street</v>
      </c>
      <c r="N4198" s="350" t="str">
        <f>IF($B4198="Portfolio","Portfolio",IFERROR(INDEX(DATA_ASSET_CLASSIFICATION!$U$8:$U$24,MATCH($C4198,DATA_ASSET_CLASSIFICATION!$A$8:$A$24,0)),"Review"))</f>
        <v>New Build</v>
      </c>
      <c r="O4198" s="350" t="str">
        <f>IF($B4198="Portfolio","Portfolio",IFERROR(INDEX(DATA_ASSET_CLASSIFICATION!$AB$8:$AB$13,MATCH($N4198,DATA_ASSET_CLASSIFICATION!$AA$8:$AA$13,0)),"Review"))</f>
        <v>Bucket 1 · New Build</v>
      </c>
      <c r="P4198" s="350" t="str">
        <f>IF($B4198="Portfolio","Portfolio",IFERROR(INDEX(DATA_ASSET_CLASSIFICATION!$C$8:$C$24,MATCH($C4198,DATA_ASSET_CLASSIFICATION!$A$8:$A$24,0)),"Review"))</f>
        <v>Yes</v>
      </c>
      <c r="Q4198" s="350" t="str">
        <f t="shared" ca="1" si="131"/>
        <v>OK</v>
      </c>
    </row>
    <row r="4199" spans="1:17">
      <c r="A4199" s="366" t="s">
        <v>6155</v>
      </c>
      <c r="B4199" s="366" t="s">
        <v>231</v>
      </c>
      <c r="C4199" s="348" t="str">
        <f>DATA_PROPERTY_MASTER!$A$18</f>
        <v>BLD_AS</v>
      </c>
      <c r="D4199" s="380">
        <f>'00_PORTFOLIO ROLLUP'!M$12</f>
        <v>2033</v>
      </c>
      <c r="E4199" s="366" t="s">
        <v>1721</v>
      </c>
      <c r="F4199" s="366" t="s">
        <v>37</v>
      </c>
      <c r="G4199" s="348" t="str">
        <f>"'"&amp;$C4199&amp;"'!$E$63:$Y$63"</f>
        <v>'BLD_AS'!$E$63:$Y$63</v>
      </c>
      <c r="H4199" s="381">
        <f ca="1">IF(IFERROR(INDEX(DATA_PROPERTY_MASTER!$E$5:$E$21,MATCH($C4199,DATA_PROPERTY_MASTER!$A$5:$A$21,0))="Yes",FALSE),MAX(IFERROR(INDEX(INDIRECT("'"&amp;$C4199&amp;"'!$E$63:$Y$63"),1,MATCH($D4199,INDIRECT("'"&amp;$C4199&amp;"'!$E$12:$Y$12"),0)),0),0),0)</f>
        <v>0</v>
      </c>
      <c r="I4199" s="366" t="s">
        <v>1685</v>
      </c>
      <c r="J4199" s="348" t="str">
        <f t="shared" ca="1" si="130"/>
        <v>OK</v>
      </c>
      <c r="K4199" s="366" t="s">
        <v>1735</v>
      </c>
      <c r="L4199" s="366" t="s">
        <v>2258</v>
      </c>
      <c r="M4199" s="350" t="str">
        <f>IF($B4199="Portfolio","Portfolio",IFERROR(INDEX(DATA_ASSET_CLASSIFICATION!$B$8:$B$24,MATCH($C4199,DATA_ASSET_CLASSIFICATION!$A$8:$A$24,0)),"Review"))</f>
        <v>1656 Adanac Street</v>
      </c>
      <c r="N4199" s="350" t="str">
        <f>IF($B4199="Portfolio","Portfolio",IFERROR(INDEX(DATA_ASSET_CLASSIFICATION!$U$8:$U$24,MATCH($C4199,DATA_ASSET_CLASSIFICATION!$A$8:$A$24,0)),"Review"))</f>
        <v>New Build</v>
      </c>
      <c r="O4199" s="350" t="str">
        <f>IF($B4199="Portfolio","Portfolio",IFERROR(INDEX(DATA_ASSET_CLASSIFICATION!$AB$8:$AB$13,MATCH($N4199,DATA_ASSET_CLASSIFICATION!$AA$8:$AA$13,0)),"Review"))</f>
        <v>Bucket 1 · New Build</v>
      </c>
      <c r="P4199" s="350" t="str">
        <f>IF($B4199="Portfolio","Portfolio",IFERROR(INDEX(DATA_ASSET_CLASSIFICATION!$C$8:$C$24,MATCH($C4199,DATA_ASSET_CLASSIFICATION!$A$8:$A$24,0)),"Review"))</f>
        <v>Yes</v>
      </c>
      <c r="Q4199" s="350" t="str">
        <f t="shared" ca="1" si="131"/>
        <v>OK</v>
      </c>
    </row>
    <row r="4200" spans="1:17">
      <c r="A4200" s="366" t="s">
        <v>6156</v>
      </c>
      <c r="B4200" s="366" t="s">
        <v>231</v>
      </c>
      <c r="C4200" s="348" t="str">
        <f>DATA_PROPERTY_MASTER!$A$18</f>
        <v>BLD_AS</v>
      </c>
      <c r="D4200" s="380">
        <f>'00_PORTFOLIO ROLLUP'!M$12</f>
        <v>2033</v>
      </c>
      <c r="E4200" s="366" t="s">
        <v>1721</v>
      </c>
      <c r="F4200" s="366" t="s">
        <v>39</v>
      </c>
      <c r="G4200" s="348" t="str">
        <f>"'"&amp;$C4200&amp;"'!$E$63:$Y$63"</f>
        <v>'BLD_AS'!$E$63:$Y$63</v>
      </c>
      <c r="H4200" s="381">
        <f ca="1">IF(IFERROR(INDEX(DATA_PROPERTY_MASTER!$E$5:$E$21,MATCH($C4200,DATA_PROPERTY_MASTER!$A$5:$A$21,0))="Yes",FALSE),MAX(-IFERROR(INDEX(INDIRECT("'"&amp;$C4200&amp;"'!$E$63:$Y$63"),1,MATCH($D4200,INDIRECT("'"&amp;$C4200&amp;"'!$E$12:$Y$12"),0)),0),0),0)</f>
        <v>0</v>
      </c>
      <c r="I4200" s="366" t="s">
        <v>1690</v>
      </c>
      <c r="J4200" s="348" t="str">
        <f t="shared" ca="1" si="130"/>
        <v>OK</v>
      </c>
      <c r="K4200" s="366" t="s">
        <v>1738</v>
      </c>
      <c r="L4200" s="366" t="s">
        <v>2260</v>
      </c>
      <c r="M4200" s="350" t="str">
        <f>IF($B4200="Portfolio","Portfolio",IFERROR(INDEX(DATA_ASSET_CLASSIFICATION!$B$8:$B$24,MATCH($C4200,DATA_ASSET_CLASSIFICATION!$A$8:$A$24,0)),"Review"))</f>
        <v>1656 Adanac Street</v>
      </c>
      <c r="N4200" s="350" t="str">
        <f>IF($B4200="Portfolio","Portfolio",IFERROR(INDEX(DATA_ASSET_CLASSIFICATION!$U$8:$U$24,MATCH($C4200,DATA_ASSET_CLASSIFICATION!$A$8:$A$24,0)),"Review"))</f>
        <v>New Build</v>
      </c>
      <c r="O4200" s="350" t="str">
        <f>IF($B4200="Portfolio","Portfolio",IFERROR(INDEX(DATA_ASSET_CLASSIFICATION!$AB$8:$AB$13,MATCH($N4200,DATA_ASSET_CLASSIFICATION!$AA$8:$AA$13,0)),"Review"))</f>
        <v>Bucket 1 · New Build</v>
      </c>
      <c r="P4200" s="350" t="str">
        <f>IF($B4200="Portfolio","Portfolio",IFERROR(INDEX(DATA_ASSET_CLASSIFICATION!$C$8:$C$24,MATCH($C4200,DATA_ASSET_CLASSIFICATION!$A$8:$A$24,0)),"Review"))</f>
        <v>Yes</v>
      </c>
      <c r="Q4200" s="350" t="str">
        <f t="shared" ca="1" si="131"/>
        <v>OK</v>
      </c>
    </row>
    <row r="4201" spans="1:17">
      <c r="A4201" s="366" t="s">
        <v>6157</v>
      </c>
      <c r="B4201" s="366" t="s">
        <v>231</v>
      </c>
      <c r="C4201" s="348" t="str">
        <f>DATA_PROPERTY_MASTER!$A$18</f>
        <v>BLD_AS</v>
      </c>
      <c r="D4201" s="380">
        <f>'00_PORTFOLIO ROLLUP'!M$12</f>
        <v>2033</v>
      </c>
      <c r="E4201" s="366" t="s">
        <v>1741</v>
      </c>
      <c r="F4201" s="366" t="s">
        <v>41</v>
      </c>
      <c r="G4201" s="348" t="str">
        <f>"'"&amp;$C4201&amp;"'!rows 56 + positive row 63"</f>
        <v>'BLD_AS'!rows 56 + positive row 63</v>
      </c>
      <c r="H4201" s="381">
        <f ca="1">IF(IFERROR(INDEX(DATA_PROPERTY_MASTER!$E$5:$E$21,MATCH($C4201,DATA_PROPERTY_MASTER!$A$5:$A$21,0))="Yes",FALSE),IFERROR(INDEX(INDIRECT("'"&amp;$C4201&amp;"'!$E$56:$Y$56"),1,MATCH($D4201,INDIRECT("'"&amp;$C4201&amp;"'!$E$12:$Y$12"),0)),0)+MAX(IFERROR(INDEX(INDIRECT("'"&amp;$C4201&amp;"'!$E$63:$Y$63"),1,MATCH($D4201,INDIRECT("'"&amp;$C4201&amp;"'!$E$12:$Y$12"),0)),0),0),0)</f>
        <v>176396.86497302679</v>
      </c>
      <c r="I4201" s="366" t="s">
        <v>1685</v>
      </c>
      <c r="J4201" s="348" t="str">
        <f t="shared" ca="1" si="130"/>
        <v>OK</v>
      </c>
      <c r="K4201" s="366" t="s">
        <v>1742</v>
      </c>
      <c r="L4201" s="366" t="s">
        <v>2262</v>
      </c>
      <c r="M4201" s="350" t="str">
        <f>IF($B4201="Portfolio","Portfolio",IFERROR(INDEX(DATA_ASSET_CLASSIFICATION!$B$8:$B$24,MATCH($C4201,DATA_ASSET_CLASSIFICATION!$A$8:$A$24,0)),"Review"))</f>
        <v>1656 Adanac Street</v>
      </c>
      <c r="N4201" s="350" t="str">
        <f>IF($B4201="Portfolio","Portfolio",IFERROR(INDEX(DATA_ASSET_CLASSIFICATION!$U$8:$U$24,MATCH($C4201,DATA_ASSET_CLASSIFICATION!$A$8:$A$24,0)),"Review"))</f>
        <v>New Build</v>
      </c>
      <c r="O4201" s="350" t="str">
        <f>IF($B4201="Portfolio","Portfolio",IFERROR(INDEX(DATA_ASSET_CLASSIFICATION!$AB$8:$AB$13,MATCH($N4201,DATA_ASSET_CLASSIFICATION!$AA$8:$AA$13,0)),"Review"))</f>
        <v>Bucket 1 · New Build</v>
      </c>
      <c r="P4201" s="350" t="str">
        <f>IF($B4201="Portfolio","Portfolio",IFERROR(INDEX(DATA_ASSET_CLASSIFICATION!$C$8:$C$24,MATCH($C4201,DATA_ASSET_CLASSIFICATION!$A$8:$A$24,0)),"Review"))</f>
        <v>Yes</v>
      </c>
      <c r="Q4201" s="350" t="str">
        <f t="shared" ca="1" si="131"/>
        <v>OK</v>
      </c>
    </row>
    <row r="4202" spans="1:17">
      <c r="A4202" s="366" t="s">
        <v>6158</v>
      </c>
      <c r="B4202" s="366" t="s">
        <v>231</v>
      </c>
      <c r="C4202" s="348" t="str">
        <f>DATA_PROPERTY_MASTER!$A$18</f>
        <v>BLD_AS</v>
      </c>
      <c r="D4202" s="380">
        <f>'00_PORTFOLIO ROLLUP'!M$12</f>
        <v>2033</v>
      </c>
      <c r="E4202" s="366" t="s">
        <v>1741</v>
      </c>
      <c r="F4202" s="366" t="s">
        <v>43</v>
      </c>
      <c r="G4202" s="348" t="str">
        <f>"'"&amp;$C4202&amp;"'!$E$68:$Y$68"</f>
        <v>'BLD_AS'!$E$68:$Y$68</v>
      </c>
      <c r="H4202" s="381">
        <f ca="1">IF(IFERROR(INDEX(DATA_PROPERTY_MASTER!$E$5:$E$21,MATCH($C4202,DATA_PROPERTY_MASTER!$A$5:$A$21,0))="Yes",FALSE),IFERROR(INDEX(INDIRECT("'"&amp;$C4202&amp;"'!$E$68:$Y$68"),1,MATCH($D4202,INDIRECT("'"&amp;$C4202&amp;"'!$E$12:$Y$12"),0)),0),0)</f>
        <v>176396.86497302679</v>
      </c>
      <c r="I4202" s="366" t="s">
        <v>1731</v>
      </c>
      <c r="J4202" s="348" t="str">
        <f t="shared" ca="1" si="130"/>
        <v>OK</v>
      </c>
      <c r="K4202" s="366" t="s">
        <v>1746</v>
      </c>
      <c r="L4202" s="366" t="s">
        <v>2264</v>
      </c>
      <c r="M4202" s="350" t="str">
        <f>IF($B4202="Portfolio","Portfolio",IFERROR(INDEX(DATA_ASSET_CLASSIFICATION!$B$8:$B$24,MATCH($C4202,DATA_ASSET_CLASSIFICATION!$A$8:$A$24,0)),"Review"))</f>
        <v>1656 Adanac Street</v>
      </c>
      <c r="N4202" s="350" t="str">
        <f>IF($B4202="Portfolio","Portfolio",IFERROR(INDEX(DATA_ASSET_CLASSIFICATION!$U$8:$U$24,MATCH($C4202,DATA_ASSET_CLASSIFICATION!$A$8:$A$24,0)),"Review"))</f>
        <v>New Build</v>
      </c>
      <c r="O4202" s="350" t="str">
        <f>IF($B4202="Portfolio","Portfolio",IFERROR(INDEX(DATA_ASSET_CLASSIFICATION!$AB$8:$AB$13,MATCH($N4202,DATA_ASSET_CLASSIFICATION!$AA$8:$AA$13,0)),"Review"))</f>
        <v>Bucket 1 · New Build</v>
      </c>
      <c r="P4202" s="350" t="str">
        <f>IF($B4202="Portfolio","Portfolio",IFERROR(INDEX(DATA_ASSET_CLASSIFICATION!$C$8:$C$24,MATCH($C4202,DATA_ASSET_CLASSIFICATION!$A$8:$A$24,0)),"Review"))</f>
        <v>Yes</v>
      </c>
      <c r="Q4202" s="350" t="str">
        <f t="shared" ca="1" si="131"/>
        <v>OK</v>
      </c>
    </row>
    <row r="4203" spans="1:17">
      <c r="A4203" s="366" t="s">
        <v>6159</v>
      </c>
      <c r="B4203" s="366" t="s">
        <v>231</v>
      </c>
      <c r="C4203" s="348" t="str">
        <f>DATA_PROPERTY_MASTER!$A$18</f>
        <v>BLD_AS</v>
      </c>
      <c r="D4203" s="380">
        <f>'00_PORTFOLIO ROLLUP'!M$12</f>
        <v>2033</v>
      </c>
      <c r="E4203" s="366" t="s">
        <v>1741</v>
      </c>
      <c r="F4203" s="366" t="s">
        <v>1749</v>
      </c>
      <c r="G4203" s="348" t="str">
        <f>"'"&amp;$C4203&amp;"'!rows 56, 63, 68"</f>
        <v>'BLD_AS'!rows 56, 63, 68</v>
      </c>
      <c r="H4203" s="381">
        <f ca="1">IF(IFERROR(INDEX(DATA_PROPERTY_MASTER!$E$5:$E$21,MATCH($C4203,DATA_PROPERTY_MASTER!$A$5:$A$21,0))="Yes",FALSE),(IFERROR(INDEX(INDIRECT("'"&amp;$C4203&amp;"'!$E$56:$Y$56"),1,MATCH($D4203,INDIRECT("'"&amp;$C4203&amp;"'!$E$12:$Y$12"),0)),0)+MAX(IFERROR(INDEX(INDIRECT("'"&amp;$C4203&amp;"'!$E$63:$Y$63"),1,MATCH($D4203,INDIRECT("'"&amp;$C4203&amp;"'!$E$12:$Y$12"),0)),0),0))-(IFERROR(INDEX(INDIRECT("'"&amp;$C4203&amp;"'!$E$68:$Y$68"),1,MATCH($D4203,INDIRECT("'"&amp;$C4203&amp;"'!$E$12:$Y$12"),0)),0)),0)</f>
        <v>0</v>
      </c>
      <c r="I4203" s="366" t="s">
        <v>1750</v>
      </c>
      <c r="J4203" s="348" t="str">
        <f t="shared" ca="1" si="130"/>
        <v>OK</v>
      </c>
      <c r="K4203" s="366" t="s">
        <v>1751</v>
      </c>
      <c r="L4203" s="366" t="s">
        <v>2266</v>
      </c>
      <c r="M4203" s="350" t="str">
        <f>IF($B4203="Portfolio","Portfolio",IFERROR(INDEX(DATA_ASSET_CLASSIFICATION!$B$8:$B$24,MATCH($C4203,DATA_ASSET_CLASSIFICATION!$A$8:$A$24,0)),"Review"))</f>
        <v>1656 Adanac Street</v>
      </c>
      <c r="N4203" s="350" t="str">
        <f>IF($B4203="Portfolio","Portfolio",IFERROR(INDEX(DATA_ASSET_CLASSIFICATION!$U$8:$U$24,MATCH($C4203,DATA_ASSET_CLASSIFICATION!$A$8:$A$24,0)),"Review"))</f>
        <v>New Build</v>
      </c>
      <c r="O4203" s="350" t="str">
        <f>IF($B4203="Portfolio","Portfolio",IFERROR(INDEX(DATA_ASSET_CLASSIFICATION!$AB$8:$AB$13,MATCH($N4203,DATA_ASSET_CLASSIFICATION!$AA$8:$AA$13,0)),"Review"))</f>
        <v>Bucket 1 · New Build</v>
      </c>
      <c r="P4203" s="350" t="str">
        <f>IF($B4203="Portfolio","Portfolio",IFERROR(INDEX(DATA_ASSET_CLASSIFICATION!$C$8:$C$24,MATCH($C4203,DATA_ASSET_CLASSIFICATION!$A$8:$A$24,0)),"Review"))</f>
        <v>Yes</v>
      </c>
      <c r="Q4203" s="350" t="str">
        <f t="shared" ca="1" si="131"/>
        <v>OK</v>
      </c>
    </row>
    <row r="4204" spans="1:17">
      <c r="A4204" s="366" t="s">
        <v>6160</v>
      </c>
      <c r="B4204" s="366" t="s">
        <v>231</v>
      </c>
      <c r="C4204" s="348" t="str">
        <f>DATA_PROPERTY_MASTER!$A$18</f>
        <v>BLD_AS</v>
      </c>
      <c r="D4204" s="380">
        <f>'00_PORTFOLIO ROLLUP'!N$12</f>
        <v>2034</v>
      </c>
      <c r="E4204" s="366" t="s">
        <v>1683</v>
      </c>
      <c r="F4204" s="366" t="s">
        <v>341</v>
      </c>
      <c r="G4204" s="348" t="str">
        <f>"'"&amp;$C4204&amp;"'!$E$24:$Y$24"</f>
        <v>'BLD_AS'!$E$24:$Y$24</v>
      </c>
      <c r="H4204" s="381">
        <f ca="1">IF(IFERROR(INDEX(DATA_PROPERTY_MASTER!$E$5:$E$21,MATCH($C4204,DATA_PROPERTY_MASTER!$A$5:$A$21,0))="Yes",FALSE),IFERROR(INDEX(INDIRECT("'"&amp;$C4204&amp;"'!$E$24:$Y$24"),1,MATCH($D4204,INDIRECT("'"&amp;$C4204&amp;"'!$E$12:$Y$12"),0)),0),0)</f>
        <v>2292864.0765697635</v>
      </c>
      <c r="I4204" s="366" t="s">
        <v>1685</v>
      </c>
      <c r="J4204" s="348" t="str">
        <f t="shared" ca="1" si="130"/>
        <v>OK</v>
      </c>
      <c r="K4204" s="366" t="s">
        <v>1686</v>
      </c>
      <c r="L4204" s="366" t="s">
        <v>2234</v>
      </c>
      <c r="M4204" s="350" t="str">
        <f>IF($B4204="Portfolio","Portfolio",IFERROR(INDEX(DATA_ASSET_CLASSIFICATION!$B$8:$B$24,MATCH($C4204,DATA_ASSET_CLASSIFICATION!$A$8:$A$24,0)),"Review"))</f>
        <v>1656 Adanac Street</v>
      </c>
      <c r="N4204" s="350" t="str">
        <f>IF($B4204="Portfolio","Portfolio",IFERROR(INDEX(DATA_ASSET_CLASSIFICATION!$U$8:$U$24,MATCH($C4204,DATA_ASSET_CLASSIFICATION!$A$8:$A$24,0)),"Review"))</f>
        <v>New Build</v>
      </c>
      <c r="O4204" s="350" t="str">
        <f>IF($B4204="Portfolio","Portfolio",IFERROR(INDEX(DATA_ASSET_CLASSIFICATION!$AB$8:$AB$13,MATCH($N4204,DATA_ASSET_CLASSIFICATION!$AA$8:$AA$13,0)),"Review"))</f>
        <v>Bucket 1 · New Build</v>
      </c>
      <c r="P4204" s="350" t="str">
        <f>IF($B4204="Portfolio","Portfolio",IFERROR(INDEX(DATA_ASSET_CLASSIFICATION!$C$8:$C$24,MATCH($C4204,DATA_ASSET_CLASSIFICATION!$A$8:$A$24,0)),"Review"))</f>
        <v>Yes</v>
      </c>
      <c r="Q4204" s="350" t="str">
        <f t="shared" ca="1" si="131"/>
        <v>OK</v>
      </c>
    </row>
    <row r="4205" spans="1:17">
      <c r="A4205" s="366" t="s">
        <v>6161</v>
      </c>
      <c r="B4205" s="366" t="s">
        <v>231</v>
      </c>
      <c r="C4205" s="348" t="str">
        <f>DATA_PROPERTY_MASTER!$A$18</f>
        <v>BLD_AS</v>
      </c>
      <c r="D4205" s="380">
        <f>'00_PORTFOLIO ROLLUP'!N$12</f>
        <v>2034</v>
      </c>
      <c r="E4205" s="366" t="s">
        <v>1683</v>
      </c>
      <c r="F4205" s="366" t="s">
        <v>355</v>
      </c>
      <c r="G4205" s="348" t="str">
        <f>"'"&amp;$C4205&amp;"'!$E$39:$Y$39"</f>
        <v>'BLD_AS'!$E$39:$Y$39</v>
      </c>
      <c r="H4205" s="381">
        <f ca="1">IF(IFERROR(INDEX(DATA_PROPERTY_MASTER!$E$5:$E$21,MATCH($C4205,DATA_PROPERTY_MASTER!$A$5:$A$21,0))="Yes",FALSE),IFERROR(INDEX(INDIRECT("'"&amp;$C4205&amp;"'!$E$39:$Y$39"),1,MATCH($D4205,INDIRECT("'"&amp;$C4205&amp;"'!$E$12:$Y$12"),0)),0),0)</f>
        <v>1041314.8483329325</v>
      </c>
      <c r="I4205" s="366" t="s">
        <v>1690</v>
      </c>
      <c r="J4205" s="348" t="str">
        <f t="shared" ca="1" si="130"/>
        <v>OK</v>
      </c>
      <c r="K4205" s="366" t="s">
        <v>1686</v>
      </c>
      <c r="L4205" s="366" t="s">
        <v>2236</v>
      </c>
      <c r="M4205" s="350" t="str">
        <f>IF($B4205="Portfolio","Portfolio",IFERROR(INDEX(DATA_ASSET_CLASSIFICATION!$B$8:$B$24,MATCH($C4205,DATA_ASSET_CLASSIFICATION!$A$8:$A$24,0)),"Review"))</f>
        <v>1656 Adanac Street</v>
      </c>
      <c r="N4205" s="350" t="str">
        <f>IF($B4205="Portfolio","Portfolio",IFERROR(INDEX(DATA_ASSET_CLASSIFICATION!$U$8:$U$24,MATCH($C4205,DATA_ASSET_CLASSIFICATION!$A$8:$A$24,0)),"Review"))</f>
        <v>New Build</v>
      </c>
      <c r="O4205" s="350" t="str">
        <f>IF($B4205="Portfolio","Portfolio",IFERROR(INDEX(DATA_ASSET_CLASSIFICATION!$AB$8:$AB$13,MATCH($N4205,DATA_ASSET_CLASSIFICATION!$AA$8:$AA$13,0)),"Review"))</f>
        <v>Bucket 1 · New Build</v>
      </c>
      <c r="P4205" s="350" t="str">
        <f>IF($B4205="Portfolio","Portfolio",IFERROR(INDEX(DATA_ASSET_CLASSIFICATION!$C$8:$C$24,MATCH($C4205,DATA_ASSET_CLASSIFICATION!$A$8:$A$24,0)),"Review"))</f>
        <v>Yes</v>
      </c>
      <c r="Q4205" s="350" t="str">
        <f t="shared" ca="1" si="131"/>
        <v>OK</v>
      </c>
    </row>
    <row r="4206" spans="1:17">
      <c r="A4206" s="366" t="s">
        <v>6162</v>
      </c>
      <c r="B4206" s="366" t="s">
        <v>231</v>
      </c>
      <c r="C4206" s="348" t="str">
        <f>DATA_PROPERTY_MASTER!$A$18</f>
        <v>BLD_AS</v>
      </c>
      <c r="D4206" s="380">
        <f>'00_PORTFOLIO ROLLUP'!N$12</f>
        <v>2034</v>
      </c>
      <c r="E4206" s="366" t="s">
        <v>1683</v>
      </c>
      <c r="F4206" s="366" t="s">
        <v>19</v>
      </c>
      <c r="G4206" s="348" t="str">
        <f>"'"&amp;$C4206&amp;"'!$E$41:$Y$41"</f>
        <v>'BLD_AS'!$E$41:$Y$41</v>
      </c>
      <c r="H4206" s="381">
        <f ca="1">IF(IFERROR(INDEX(DATA_PROPERTY_MASTER!$E$5:$E$21,MATCH($C4206,DATA_PROPERTY_MASTER!$A$5:$A$21,0))="Yes",FALSE),IFERROR(INDEX(INDIRECT("'"&amp;$C4206&amp;"'!$E$41:$Y$41"),1,MATCH($D4206,INDIRECT("'"&amp;$C4206&amp;"'!$E$12:$Y$12"),0)),0),0)</f>
        <v>1251549.228236831</v>
      </c>
      <c r="I4206" s="366" t="s">
        <v>1685</v>
      </c>
      <c r="J4206" s="348" t="str">
        <f t="shared" ca="1" si="130"/>
        <v>OK</v>
      </c>
      <c r="K4206" s="366" t="s">
        <v>1694</v>
      </c>
      <c r="L4206" s="366" t="s">
        <v>2238</v>
      </c>
      <c r="M4206" s="350" t="str">
        <f>IF($B4206="Portfolio","Portfolio",IFERROR(INDEX(DATA_ASSET_CLASSIFICATION!$B$8:$B$24,MATCH($C4206,DATA_ASSET_CLASSIFICATION!$A$8:$A$24,0)),"Review"))</f>
        <v>1656 Adanac Street</v>
      </c>
      <c r="N4206" s="350" t="str">
        <f>IF($B4206="Portfolio","Portfolio",IFERROR(INDEX(DATA_ASSET_CLASSIFICATION!$U$8:$U$24,MATCH($C4206,DATA_ASSET_CLASSIFICATION!$A$8:$A$24,0)),"Review"))</f>
        <v>New Build</v>
      </c>
      <c r="O4206" s="350" t="str">
        <f>IF($B4206="Portfolio","Portfolio",IFERROR(INDEX(DATA_ASSET_CLASSIFICATION!$AB$8:$AB$13,MATCH($N4206,DATA_ASSET_CLASSIFICATION!$AA$8:$AA$13,0)),"Review"))</f>
        <v>Bucket 1 · New Build</v>
      </c>
      <c r="P4206" s="350" t="str">
        <f>IF($B4206="Portfolio","Portfolio",IFERROR(INDEX(DATA_ASSET_CLASSIFICATION!$C$8:$C$24,MATCH($C4206,DATA_ASSET_CLASSIFICATION!$A$8:$A$24,0)),"Review"))</f>
        <v>Yes</v>
      </c>
      <c r="Q4206" s="350" t="str">
        <f t="shared" ca="1" si="131"/>
        <v>OK</v>
      </c>
    </row>
    <row r="4207" spans="1:17">
      <c r="A4207" s="366" t="s">
        <v>6163</v>
      </c>
      <c r="B4207" s="366" t="s">
        <v>231</v>
      </c>
      <c r="C4207" s="348" t="str">
        <f>DATA_PROPERTY_MASTER!$A$18</f>
        <v>BLD_AS</v>
      </c>
      <c r="D4207" s="380">
        <f>'00_PORTFOLIO ROLLUP'!N$12</f>
        <v>2034</v>
      </c>
      <c r="E4207" s="366" t="s">
        <v>1683</v>
      </c>
      <c r="F4207" s="366" t="s">
        <v>1697</v>
      </c>
      <c r="G4207" s="348" t="str">
        <f>"'"&amp;$C4207&amp;"'!$E$44:$Y$44"</f>
        <v>'BLD_AS'!$E$44:$Y$44</v>
      </c>
      <c r="H4207" s="381">
        <f ca="1">IF(IFERROR(INDEX(DATA_PROPERTY_MASTER!$E$5:$E$21,MATCH($C4207,DATA_PROPERTY_MASTER!$A$5:$A$21,0))="Yes",FALSE),IFERROR(INDEX(INDIRECT("'"&amp;$C4207&amp;"'!$E$44:$Y$44"),1,MATCH($D4207,INDIRECT("'"&amp;$C4207&amp;"'!$E$12:$Y$12"),0)),0),0)</f>
        <v>17388.596873454622</v>
      </c>
      <c r="I4207" s="366" t="s">
        <v>1690</v>
      </c>
      <c r="J4207" s="348" t="str">
        <f t="shared" ca="1" si="130"/>
        <v>OK</v>
      </c>
      <c r="K4207" s="366" t="s">
        <v>1699</v>
      </c>
      <c r="L4207" s="366" t="s">
        <v>2240</v>
      </c>
      <c r="M4207" s="350" t="str">
        <f>IF($B4207="Portfolio","Portfolio",IFERROR(INDEX(DATA_ASSET_CLASSIFICATION!$B$8:$B$24,MATCH($C4207,DATA_ASSET_CLASSIFICATION!$A$8:$A$24,0)),"Review"))</f>
        <v>1656 Adanac Street</v>
      </c>
      <c r="N4207" s="350" t="str">
        <f>IF($B4207="Portfolio","Portfolio",IFERROR(INDEX(DATA_ASSET_CLASSIFICATION!$U$8:$U$24,MATCH($C4207,DATA_ASSET_CLASSIFICATION!$A$8:$A$24,0)),"Review"))</f>
        <v>New Build</v>
      </c>
      <c r="O4207" s="350" t="str">
        <f>IF($B4207="Portfolio","Portfolio",IFERROR(INDEX(DATA_ASSET_CLASSIFICATION!$AB$8:$AB$13,MATCH($N4207,DATA_ASSET_CLASSIFICATION!$AA$8:$AA$13,0)),"Review"))</f>
        <v>Bucket 1 · New Build</v>
      </c>
      <c r="P4207" s="350" t="str">
        <f>IF($B4207="Portfolio","Portfolio",IFERROR(INDEX(DATA_ASSET_CLASSIFICATION!$C$8:$C$24,MATCH($C4207,DATA_ASSET_CLASSIFICATION!$A$8:$A$24,0)),"Review"))</f>
        <v>Yes</v>
      </c>
      <c r="Q4207" s="350" t="str">
        <f t="shared" ca="1" si="131"/>
        <v>OK</v>
      </c>
    </row>
    <row r="4208" spans="1:17">
      <c r="A4208" s="366" t="s">
        <v>6164</v>
      </c>
      <c r="B4208" s="366" t="s">
        <v>231</v>
      </c>
      <c r="C4208" s="348" t="str">
        <f>DATA_PROPERTY_MASTER!$A$18</f>
        <v>BLD_AS</v>
      </c>
      <c r="D4208" s="380">
        <f>'00_PORTFOLIO ROLLUP'!N$12</f>
        <v>2034</v>
      </c>
      <c r="E4208" s="366" t="s">
        <v>1683</v>
      </c>
      <c r="F4208" s="366" t="s">
        <v>21</v>
      </c>
      <c r="G4208" s="348" t="str">
        <f>"'"&amp;$C4208&amp;"'!$E$45:$Y$45"</f>
        <v>'BLD_AS'!$E$45:$Y$45</v>
      </c>
      <c r="H4208" s="381">
        <f ca="1">IF(IFERROR(INDEX(DATA_PROPERTY_MASTER!$E$5:$E$21,MATCH($C4208,DATA_PROPERTY_MASTER!$A$5:$A$21,0))="Yes",FALSE),IFERROR(INDEX(INDIRECT("'"&amp;$C4208&amp;"'!$E$45:$Y$45"),1,MATCH($D4208,INDIRECT("'"&amp;$C4208&amp;"'!$E$12:$Y$12"),0)),0),0)</f>
        <v>1234160.6313633765</v>
      </c>
      <c r="I4208" s="366" t="s">
        <v>1685</v>
      </c>
      <c r="J4208" s="348" t="str">
        <f t="shared" ca="1" si="130"/>
        <v>OK</v>
      </c>
      <c r="K4208" s="366" t="s">
        <v>1694</v>
      </c>
      <c r="L4208" s="366" t="s">
        <v>2242</v>
      </c>
      <c r="M4208" s="350" t="str">
        <f>IF($B4208="Portfolio","Portfolio",IFERROR(INDEX(DATA_ASSET_CLASSIFICATION!$B$8:$B$24,MATCH($C4208,DATA_ASSET_CLASSIFICATION!$A$8:$A$24,0)),"Review"))</f>
        <v>1656 Adanac Street</v>
      </c>
      <c r="N4208" s="350" t="str">
        <f>IF($B4208="Portfolio","Portfolio",IFERROR(INDEX(DATA_ASSET_CLASSIFICATION!$U$8:$U$24,MATCH($C4208,DATA_ASSET_CLASSIFICATION!$A$8:$A$24,0)),"Review"))</f>
        <v>New Build</v>
      </c>
      <c r="O4208" s="350" t="str">
        <f>IF($B4208="Portfolio","Portfolio",IFERROR(INDEX(DATA_ASSET_CLASSIFICATION!$AB$8:$AB$13,MATCH($N4208,DATA_ASSET_CLASSIFICATION!$AA$8:$AA$13,0)),"Review"))</f>
        <v>Bucket 1 · New Build</v>
      </c>
      <c r="P4208" s="350" t="str">
        <f>IF($B4208="Portfolio","Portfolio",IFERROR(INDEX(DATA_ASSET_CLASSIFICATION!$C$8:$C$24,MATCH($C4208,DATA_ASSET_CLASSIFICATION!$A$8:$A$24,0)),"Review"))</f>
        <v>Yes</v>
      </c>
      <c r="Q4208" s="350" t="str">
        <f t="shared" ca="1" si="131"/>
        <v>OK</v>
      </c>
    </row>
    <row r="4209" spans="1:17">
      <c r="A4209" s="366" t="s">
        <v>6165</v>
      </c>
      <c r="B4209" s="366" t="s">
        <v>231</v>
      </c>
      <c r="C4209" s="348" t="str">
        <f>DATA_PROPERTY_MASTER!$A$18</f>
        <v>BLD_AS</v>
      </c>
      <c r="D4209" s="380">
        <f>'00_PORTFOLIO ROLLUP'!N$12</f>
        <v>2034</v>
      </c>
      <c r="E4209" s="366" t="s">
        <v>23</v>
      </c>
      <c r="F4209" s="366" t="s">
        <v>23</v>
      </c>
      <c r="G4209" s="348" t="str">
        <f>"'"&amp;$C4209&amp;"'!$E$48:$Y$48"</f>
        <v>'BLD_AS'!$E$48:$Y$48</v>
      </c>
      <c r="H4209" s="381">
        <f ca="1">IF(IFERROR(INDEX(DATA_PROPERTY_MASTER!$E$5:$E$21,MATCH($C4209,DATA_PROPERTY_MASTER!$A$5:$A$21,0))="Yes",FALSE),IFERROR(INDEX(INDIRECT("'"&amp;$C4209&amp;"'!$E$48:$Y$48"),1,MATCH($D4209,INDIRECT("'"&amp;$C4209&amp;"'!$E$12:$Y$12"),0)),0),0)</f>
        <v>805649.51774556539</v>
      </c>
      <c r="I4209" s="366" t="s">
        <v>1690</v>
      </c>
      <c r="J4209" s="348" t="str">
        <f t="shared" ca="1" si="130"/>
        <v>OK</v>
      </c>
      <c r="K4209" s="366" t="s">
        <v>1706</v>
      </c>
      <c r="L4209" s="366" t="s">
        <v>2244</v>
      </c>
      <c r="M4209" s="350" t="str">
        <f>IF($B4209="Portfolio","Portfolio",IFERROR(INDEX(DATA_ASSET_CLASSIFICATION!$B$8:$B$24,MATCH($C4209,DATA_ASSET_CLASSIFICATION!$A$8:$A$24,0)),"Review"))</f>
        <v>1656 Adanac Street</v>
      </c>
      <c r="N4209" s="350" t="str">
        <f>IF($B4209="Portfolio","Portfolio",IFERROR(INDEX(DATA_ASSET_CLASSIFICATION!$U$8:$U$24,MATCH($C4209,DATA_ASSET_CLASSIFICATION!$A$8:$A$24,0)),"Review"))</f>
        <v>New Build</v>
      </c>
      <c r="O4209" s="350" t="str">
        <f>IF($B4209="Portfolio","Portfolio",IFERROR(INDEX(DATA_ASSET_CLASSIFICATION!$AB$8:$AB$13,MATCH($N4209,DATA_ASSET_CLASSIFICATION!$AA$8:$AA$13,0)),"Review"))</f>
        <v>Bucket 1 · New Build</v>
      </c>
      <c r="P4209" s="350" t="str">
        <f>IF($B4209="Portfolio","Portfolio",IFERROR(INDEX(DATA_ASSET_CLASSIFICATION!$C$8:$C$24,MATCH($C4209,DATA_ASSET_CLASSIFICATION!$A$8:$A$24,0)),"Review"))</f>
        <v>Yes</v>
      </c>
      <c r="Q4209" s="350" t="str">
        <f t="shared" ca="1" si="131"/>
        <v>OK</v>
      </c>
    </row>
    <row r="4210" spans="1:17">
      <c r="A4210" s="366" t="s">
        <v>6166</v>
      </c>
      <c r="B4210" s="366" t="s">
        <v>231</v>
      </c>
      <c r="C4210" s="348" t="str">
        <f>DATA_PROPERTY_MASTER!$A$18</f>
        <v>BLD_AS</v>
      </c>
      <c r="D4210" s="380">
        <f>'00_PORTFOLIO ROLLUP'!N$12</f>
        <v>2034</v>
      </c>
      <c r="E4210" s="366" t="s">
        <v>1683</v>
      </c>
      <c r="F4210" s="366" t="s">
        <v>25</v>
      </c>
      <c r="G4210" s="348" t="str">
        <f>"'"&amp;$C4210&amp;"'!$E$52:$Y$52"</f>
        <v>'BLD_AS'!$E$52:$Y$52</v>
      </c>
      <c r="H4210" s="381">
        <f ca="1">IF(IFERROR(INDEX(DATA_PROPERTY_MASTER!$E$5:$E$21,MATCH($C4210,DATA_PROPERTY_MASTER!$A$5:$A$21,0))="Yes",FALSE),IFERROR(INDEX(INDIRECT("'"&amp;$C4210&amp;"'!$E$52:$Y$52"),1,MATCH($D4210,INDIRECT("'"&amp;$C4210&amp;"'!$E$12:$Y$12"),0)),0),0)</f>
        <v>445899.71049126564</v>
      </c>
      <c r="I4210" s="366" t="s">
        <v>1685</v>
      </c>
      <c r="J4210" s="348" t="str">
        <f t="shared" ca="1" si="130"/>
        <v>OK</v>
      </c>
      <c r="K4210" s="366" t="s">
        <v>1710</v>
      </c>
      <c r="L4210" s="366" t="s">
        <v>2246</v>
      </c>
      <c r="M4210" s="350" t="str">
        <f>IF($B4210="Portfolio","Portfolio",IFERROR(INDEX(DATA_ASSET_CLASSIFICATION!$B$8:$B$24,MATCH($C4210,DATA_ASSET_CLASSIFICATION!$A$8:$A$24,0)),"Review"))</f>
        <v>1656 Adanac Street</v>
      </c>
      <c r="N4210" s="350" t="str">
        <f>IF($B4210="Portfolio","Portfolio",IFERROR(INDEX(DATA_ASSET_CLASSIFICATION!$U$8:$U$24,MATCH($C4210,DATA_ASSET_CLASSIFICATION!$A$8:$A$24,0)),"Review"))</f>
        <v>New Build</v>
      </c>
      <c r="O4210" s="350" t="str">
        <f>IF($B4210="Portfolio","Portfolio",IFERROR(INDEX(DATA_ASSET_CLASSIFICATION!$AB$8:$AB$13,MATCH($N4210,DATA_ASSET_CLASSIFICATION!$AA$8:$AA$13,0)),"Review"))</f>
        <v>Bucket 1 · New Build</v>
      </c>
      <c r="P4210" s="350" t="str">
        <f>IF($B4210="Portfolio","Portfolio",IFERROR(INDEX(DATA_ASSET_CLASSIFICATION!$C$8:$C$24,MATCH($C4210,DATA_ASSET_CLASSIFICATION!$A$8:$A$24,0)),"Review"))</f>
        <v>Yes</v>
      </c>
      <c r="Q4210" s="350" t="str">
        <f t="shared" ca="1" si="131"/>
        <v>OK</v>
      </c>
    </row>
    <row r="4211" spans="1:17">
      <c r="A4211" s="366" t="s">
        <v>6167</v>
      </c>
      <c r="B4211" s="366" t="s">
        <v>231</v>
      </c>
      <c r="C4211" s="348" t="str">
        <f>DATA_PROPERTY_MASTER!$A$18</f>
        <v>BLD_AS</v>
      </c>
      <c r="D4211" s="380">
        <f>'00_PORTFOLIO ROLLUP'!N$12</f>
        <v>2034</v>
      </c>
      <c r="E4211" s="366" t="s">
        <v>1683</v>
      </c>
      <c r="F4211" s="366" t="s">
        <v>27</v>
      </c>
      <c r="G4211" s="348" t="str">
        <f>"'"&amp;$C4211&amp;"'!$E$54:$Y$54"</f>
        <v>'BLD_AS'!$E$54:$Y$54</v>
      </c>
      <c r="H4211" s="381">
        <f ca="1">IF(IFERROR(INDEX(DATA_PROPERTY_MASTER!$E$5:$E$21,MATCH($C4211,DATA_PROPERTY_MASTER!$A$5:$A$21,0))="Yes",FALSE),IFERROR(INDEX(INDIRECT("'"&amp;$C4211&amp;"'!$E$54:$Y$54"),1,MATCH($D4211,INDIRECT("'"&amp;$C4211&amp;"'!$E$12:$Y$12"),0)),0),0)</f>
        <v>267539.82629475935</v>
      </c>
      <c r="I4211" s="366" t="s">
        <v>1690</v>
      </c>
      <c r="J4211" s="348" t="str">
        <f t="shared" ca="1" si="130"/>
        <v>OK</v>
      </c>
      <c r="K4211" s="366" t="s">
        <v>1714</v>
      </c>
      <c r="L4211" s="366" t="s">
        <v>2248</v>
      </c>
      <c r="M4211" s="350" t="str">
        <f>IF($B4211="Portfolio","Portfolio",IFERROR(INDEX(DATA_ASSET_CLASSIFICATION!$B$8:$B$24,MATCH($C4211,DATA_ASSET_CLASSIFICATION!$A$8:$A$24,0)),"Review"))</f>
        <v>1656 Adanac Street</v>
      </c>
      <c r="N4211" s="350" t="str">
        <f>IF($B4211="Portfolio","Portfolio",IFERROR(INDEX(DATA_ASSET_CLASSIFICATION!$U$8:$U$24,MATCH($C4211,DATA_ASSET_CLASSIFICATION!$A$8:$A$24,0)),"Review"))</f>
        <v>New Build</v>
      </c>
      <c r="O4211" s="350" t="str">
        <f>IF($B4211="Portfolio","Portfolio",IFERROR(INDEX(DATA_ASSET_CLASSIFICATION!$AB$8:$AB$13,MATCH($N4211,DATA_ASSET_CLASSIFICATION!$AA$8:$AA$13,0)),"Review"))</f>
        <v>Bucket 1 · New Build</v>
      </c>
      <c r="P4211" s="350" t="str">
        <f>IF($B4211="Portfolio","Portfolio",IFERROR(INDEX(DATA_ASSET_CLASSIFICATION!$C$8:$C$24,MATCH($C4211,DATA_ASSET_CLASSIFICATION!$A$8:$A$24,0)),"Review"))</f>
        <v>Yes</v>
      </c>
      <c r="Q4211" s="350" t="str">
        <f t="shared" ca="1" si="131"/>
        <v>OK</v>
      </c>
    </row>
    <row r="4212" spans="1:17">
      <c r="A4212" s="366" t="s">
        <v>6168</v>
      </c>
      <c r="B4212" s="366" t="s">
        <v>231</v>
      </c>
      <c r="C4212" s="348" t="str">
        <f>DATA_PROPERTY_MASTER!$A$18</f>
        <v>BLD_AS</v>
      </c>
      <c r="D4212" s="380">
        <f>'00_PORTFOLIO ROLLUP'!N$12</f>
        <v>2034</v>
      </c>
      <c r="E4212" s="366" t="s">
        <v>1683</v>
      </c>
      <c r="F4212" s="366" t="s">
        <v>29</v>
      </c>
      <c r="G4212" s="348" t="str">
        <f>"'"&amp;$C4212&amp;"'!$E$56:$Y$56"</f>
        <v>'BLD_AS'!$E$56:$Y$56</v>
      </c>
      <c r="H4212" s="381">
        <f ca="1">IF(IFERROR(INDEX(DATA_PROPERTY_MASTER!$E$5:$E$21,MATCH($C4212,DATA_PROPERTY_MASTER!$A$5:$A$21,0))="Yes",FALSE),IFERROR(INDEX(INDIRECT("'"&amp;$C4212&amp;"'!$E$56:$Y$56"),1,MATCH($D4212,INDIRECT("'"&amp;$C4212&amp;"'!$E$12:$Y$12"),0)),0),0)</f>
        <v>178359.88419650629</v>
      </c>
      <c r="I4212" s="366" t="s">
        <v>1685</v>
      </c>
      <c r="J4212" s="348" t="str">
        <f t="shared" ca="1" si="130"/>
        <v>OK</v>
      </c>
      <c r="K4212" s="366" t="s">
        <v>1718</v>
      </c>
      <c r="L4212" s="366" t="s">
        <v>2250</v>
      </c>
      <c r="M4212" s="350" t="str">
        <f>IF($B4212="Portfolio","Portfolio",IFERROR(INDEX(DATA_ASSET_CLASSIFICATION!$B$8:$B$24,MATCH($C4212,DATA_ASSET_CLASSIFICATION!$A$8:$A$24,0)),"Review"))</f>
        <v>1656 Adanac Street</v>
      </c>
      <c r="N4212" s="350" t="str">
        <f>IF($B4212="Portfolio","Portfolio",IFERROR(INDEX(DATA_ASSET_CLASSIFICATION!$U$8:$U$24,MATCH($C4212,DATA_ASSET_CLASSIFICATION!$A$8:$A$24,0)),"Review"))</f>
        <v>New Build</v>
      </c>
      <c r="O4212" s="350" t="str">
        <f>IF($B4212="Portfolio","Portfolio",IFERROR(INDEX(DATA_ASSET_CLASSIFICATION!$AB$8:$AB$13,MATCH($N4212,DATA_ASSET_CLASSIFICATION!$AA$8:$AA$13,0)),"Review"))</f>
        <v>Bucket 1 · New Build</v>
      </c>
      <c r="P4212" s="350" t="str">
        <f>IF($B4212="Portfolio","Portfolio",IFERROR(INDEX(DATA_ASSET_CLASSIFICATION!$C$8:$C$24,MATCH($C4212,DATA_ASSET_CLASSIFICATION!$A$8:$A$24,0)),"Review"))</f>
        <v>Yes</v>
      </c>
      <c r="Q4212" s="350" t="str">
        <f t="shared" ca="1" si="131"/>
        <v>OK</v>
      </c>
    </row>
    <row r="4213" spans="1:17">
      <c r="A4213" s="366" t="s">
        <v>6169</v>
      </c>
      <c r="B4213" s="366" t="s">
        <v>231</v>
      </c>
      <c r="C4213" s="348" t="str">
        <f>DATA_PROPERTY_MASTER!$A$18</f>
        <v>BLD_AS</v>
      </c>
      <c r="D4213" s="380">
        <f>'00_PORTFOLIO ROLLUP'!N$12</f>
        <v>2034</v>
      </c>
      <c r="E4213" s="366" t="s">
        <v>1721</v>
      </c>
      <c r="F4213" s="366" t="s">
        <v>31</v>
      </c>
      <c r="G4213" s="348" t="str">
        <f>"'"&amp;$C4213&amp;"'!$E$61:$Y$61"</f>
        <v>'BLD_AS'!$E$61:$Y$61</v>
      </c>
      <c r="H4213" s="381">
        <f ca="1">IF(IFERROR(INDEX(DATA_PROPERTY_MASTER!$E$5:$E$21,MATCH($C4213,DATA_PROPERTY_MASTER!$A$5:$A$21,0))="Yes",FALSE),IFERROR(INDEX(INDIRECT("'"&amp;$C4213&amp;"'!$E$61:$Y$61"),1,MATCH($D4213,INDIRECT("'"&amp;$C4213&amp;"'!$E$12:$Y$12"),0)),0),0)</f>
        <v>0</v>
      </c>
      <c r="I4213" s="366" t="s">
        <v>1690</v>
      </c>
      <c r="J4213" s="348" t="str">
        <f t="shared" ca="1" si="130"/>
        <v>OK</v>
      </c>
      <c r="K4213" s="366" t="s">
        <v>1723</v>
      </c>
      <c r="L4213" s="366" t="s">
        <v>2252</v>
      </c>
      <c r="M4213" s="350" t="str">
        <f>IF($B4213="Portfolio","Portfolio",IFERROR(INDEX(DATA_ASSET_CLASSIFICATION!$B$8:$B$24,MATCH($C4213,DATA_ASSET_CLASSIFICATION!$A$8:$A$24,0)),"Review"))</f>
        <v>1656 Adanac Street</v>
      </c>
      <c r="N4213" s="350" t="str">
        <f>IF($B4213="Portfolio","Portfolio",IFERROR(INDEX(DATA_ASSET_CLASSIFICATION!$U$8:$U$24,MATCH($C4213,DATA_ASSET_CLASSIFICATION!$A$8:$A$24,0)),"Review"))</f>
        <v>New Build</v>
      </c>
      <c r="O4213" s="350" t="str">
        <f>IF($B4213="Portfolio","Portfolio",IFERROR(INDEX(DATA_ASSET_CLASSIFICATION!$AB$8:$AB$13,MATCH($N4213,DATA_ASSET_CLASSIFICATION!$AA$8:$AA$13,0)),"Review"))</f>
        <v>Bucket 1 · New Build</v>
      </c>
      <c r="P4213" s="350" t="str">
        <f>IF($B4213="Portfolio","Portfolio",IFERROR(INDEX(DATA_ASSET_CLASSIFICATION!$C$8:$C$24,MATCH($C4213,DATA_ASSET_CLASSIFICATION!$A$8:$A$24,0)),"Review"))</f>
        <v>Yes</v>
      </c>
      <c r="Q4213" s="350" t="str">
        <f t="shared" ca="1" si="131"/>
        <v>OK</v>
      </c>
    </row>
    <row r="4214" spans="1:17">
      <c r="A4214" s="366" t="s">
        <v>6170</v>
      </c>
      <c r="B4214" s="366" t="s">
        <v>231</v>
      </c>
      <c r="C4214" s="348" t="str">
        <f>DATA_PROPERTY_MASTER!$A$18</f>
        <v>BLD_AS</v>
      </c>
      <c r="D4214" s="380">
        <f>'00_PORTFOLIO ROLLUP'!N$12</f>
        <v>2034</v>
      </c>
      <c r="E4214" s="366" t="s">
        <v>1721</v>
      </c>
      <c r="F4214" s="366" t="s">
        <v>33</v>
      </c>
      <c r="G4214" s="348" t="str">
        <f>"'"&amp;$C4214&amp;"'!$E$62:$Y$62"</f>
        <v>'BLD_AS'!$E$62:$Y$62</v>
      </c>
      <c r="H4214" s="381">
        <f ca="1">IF(IFERROR(INDEX(DATA_PROPERTY_MASTER!$E$5:$E$21,MATCH($C4214,DATA_PROPERTY_MASTER!$A$5:$A$21,0))="Yes",FALSE),IFERROR(INDEX(INDIRECT("'"&amp;$C4214&amp;"'!$E$62:$Y$62"),1,MATCH($D4214,INDIRECT("'"&amp;$C4214&amp;"'!$E$12:$Y$12"),0)),0),0)</f>
        <v>0</v>
      </c>
      <c r="I4214" s="366" t="s">
        <v>1685</v>
      </c>
      <c r="J4214" s="348" t="str">
        <f t="shared" ca="1" si="130"/>
        <v>OK</v>
      </c>
      <c r="K4214" s="366" t="s">
        <v>1727</v>
      </c>
      <c r="L4214" s="366" t="s">
        <v>2254</v>
      </c>
      <c r="M4214" s="350" t="str">
        <f>IF($B4214="Portfolio","Portfolio",IFERROR(INDEX(DATA_ASSET_CLASSIFICATION!$B$8:$B$24,MATCH($C4214,DATA_ASSET_CLASSIFICATION!$A$8:$A$24,0)),"Review"))</f>
        <v>1656 Adanac Street</v>
      </c>
      <c r="N4214" s="350" t="str">
        <f>IF($B4214="Portfolio","Portfolio",IFERROR(INDEX(DATA_ASSET_CLASSIFICATION!$U$8:$U$24,MATCH($C4214,DATA_ASSET_CLASSIFICATION!$A$8:$A$24,0)),"Review"))</f>
        <v>New Build</v>
      </c>
      <c r="O4214" s="350" t="str">
        <f>IF($B4214="Portfolio","Portfolio",IFERROR(INDEX(DATA_ASSET_CLASSIFICATION!$AB$8:$AB$13,MATCH($N4214,DATA_ASSET_CLASSIFICATION!$AA$8:$AA$13,0)),"Review"))</f>
        <v>Bucket 1 · New Build</v>
      </c>
      <c r="P4214" s="350" t="str">
        <f>IF($B4214="Portfolio","Portfolio",IFERROR(INDEX(DATA_ASSET_CLASSIFICATION!$C$8:$C$24,MATCH($C4214,DATA_ASSET_CLASSIFICATION!$A$8:$A$24,0)),"Review"))</f>
        <v>Yes</v>
      </c>
      <c r="Q4214" s="350" t="str">
        <f t="shared" ca="1" si="131"/>
        <v>OK</v>
      </c>
    </row>
    <row r="4215" spans="1:17">
      <c r="A4215" s="366" t="s">
        <v>6171</v>
      </c>
      <c r="B4215" s="366" t="s">
        <v>231</v>
      </c>
      <c r="C4215" s="348" t="str">
        <f>DATA_PROPERTY_MASTER!$A$18</f>
        <v>BLD_AS</v>
      </c>
      <c r="D4215" s="380">
        <f>'00_PORTFOLIO ROLLUP'!N$12</f>
        <v>2034</v>
      </c>
      <c r="E4215" s="366" t="s">
        <v>1721</v>
      </c>
      <c r="F4215" s="366" t="s">
        <v>35</v>
      </c>
      <c r="G4215" s="348" t="str">
        <f>"'"&amp;$C4215&amp;"'!$E$63:$Y$63"</f>
        <v>'BLD_AS'!$E$63:$Y$63</v>
      </c>
      <c r="H4215" s="381">
        <f ca="1">IF(IFERROR(INDEX(DATA_PROPERTY_MASTER!$E$5:$E$21,MATCH($C4215,DATA_PROPERTY_MASTER!$A$5:$A$21,0))="Yes",FALSE),IFERROR(INDEX(INDIRECT("'"&amp;$C4215&amp;"'!$E$63:$Y$63"),1,MATCH($D4215,INDIRECT("'"&amp;$C4215&amp;"'!$E$12:$Y$12"),0)),0),0)</f>
        <v>0</v>
      </c>
      <c r="I4215" s="366" t="s">
        <v>1731</v>
      </c>
      <c r="J4215" s="348" t="str">
        <f t="shared" ca="1" si="130"/>
        <v>OK</v>
      </c>
      <c r="K4215" s="366" t="s">
        <v>1732</v>
      </c>
      <c r="L4215" s="366" t="s">
        <v>2256</v>
      </c>
      <c r="M4215" s="350" t="str">
        <f>IF($B4215="Portfolio","Portfolio",IFERROR(INDEX(DATA_ASSET_CLASSIFICATION!$B$8:$B$24,MATCH($C4215,DATA_ASSET_CLASSIFICATION!$A$8:$A$24,0)),"Review"))</f>
        <v>1656 Adanac Street</v>
      </c>
      <c r="N4215" s="350" t="str">
        <f>IF($B4215="Portfolio","Portfolio",IFERROR(INDEX(DATA_ASSET_CLASSIFICATION!$U$8:$U$24,MATCH($C4215,DATA_ASSET_CLASSIFICATION!$A$8:$A$24,0)),"Review"))</f>
        <v>New Build</v>
      </c>
      <c r="O4215" s="350" t="str">
        <f>IF($B4215="Portfolio","Portfolio",IFERROR(INDEX(DATA_ASSET_CLASSIFICATION!$AB$8:$AB$13,MATCH($N4215,DATA_ASSET_CLASSIFICATION!$AA$8:$AA$13,0)),"Review"))</f>
        <v>Bucket 1 · New Build</v>
      </c>
      <c r="P4215" s="350" t="str">
        <f>IF($B4215="Portfolio","Portfolio",IFERROR(INDEX(DATA_ASSET_CLASSIFICATION!$C$8:$C$24,MATCH($C4215,DATA_ASSET_CLASSIFICATION!$A$8:$A$24,0)),"Review"))</f>
        <v>Yes</v>
      </c>
      <c r="Q4215" s="350" t="str">
        <f t="shared" ca="1" si="131"/>
        <v>OK</v>
      </c>
    </row>
    <row r="4216" spans="1:17">
      <c r="A4216" s="366" t="s">
        <v>6172</v>
      </c>
      <c r="B4216" s="366" t="s">
        <v>231</v>
      </c>
      <c r="C4216" s="348" t="str">
        <f>DATA_PROPERTY_MASTER!$A$18</f>
        <v>BLD_AS</v>
      </c>
      <c r="D4216" s="380">
        <f>'00_PORTFOLIO ROLLUP'!N$12</f>
        <v>2034</v>
      </c>
      <c r="E4216" s="366" t="s">
        <v>1721</v>
      </c>
      <c r="F4216" s="366" t="s">
        <v>37</v>
      </c>
      <c r="G4216" s="348" t="str">
        <f>"'"&amp;$C4216&amp;"'!$E$63:$Y$63"</f>
        <v>'BLD_AS'!$E$63:$Y$63</v>
      </c>
      <c r="H4216" s="381">
        <f ca="1">IF(IFERROR(INDEX(DATA_PROPERTY_MASTER!$E$5:$E$21,MATCH($C4216,DATA_PROPERTY_MASTER!$A$5:$A$21,0))="Yes",FALSE),MAX(IFERROR(INDEX(INDIRECT("'"&amp;$C4216&amp;"'!$E$63:$Y$63"),1,MATCH($D4216,INDIRECT("'"&amp;$C4216&amp;"'!$E$12:$Y$12"),0)),0),0),0)</f>
        <v>0</v>
      </c>
      <c r="I4216" s="366" t="s">
        <v>1685</v>
      </c>
      <c r="J4216" s="348" t="str">
        <f t="shared" ca="1" si="130"/>
        <v>OK</v>
      </c>
      <c r="K4216" s="366" t="s">
        <v>1735</v>
      </c>
      <c r="L4216" s="366" t="s">
        <v>2258</v>
      </c>
      <c r="M4216" s="350" t="str">
        <f>IF($B4216="Portfolio","Portfolio",IFERROR(INDEX(DATA_ASSET_CLASSIFICATION!$B$8:$B$24,MATCH($C4216,DATA_ASSET_CLASSIFICATION!$A$8:$A$24,0)),"Review"))</f>
        <v>1656 Adanac Street</v>
      </c>
      <c r="N4216" s="350" t="str">
        <f>IF($B4216="Portfolio","Portfolio",IFERROR(INDEX(DATA_ASSET_CLASSIFICATION!$U$8:$U$24,MATCH($C4216,DATA_ASSET_CLASSIFICATION!$A$8:$A$24,0)),"Review"))</f>
        <v>New Build</v>
      </c>
      <c r="O4216" s="350" t="str">
        <f>IF($B4216="Portfolio","Portfolio",IFERROR(INDEX(DATA_ASSET_CLASSIFICATION!$AB$8:$AB$13,MATCH($N4216,DATA_ASSET_CLASSIFICATION!$AA$8:$AA$13,0)),"Review"))</f>
        <v>Bucket 1 · New Build</v>
      </c>
      <c r="P4216" s="350" t="str">
        <f>IF($B4216="Portfolio","Portfolio",IFERROR(INDEX(DATA_ASSET_CLASSIFICATION!$C$8:$C$24,MATCH($C4216,DATA_ASSET_CLASSIFICATION!$A$8:$A$24,0)),"Review"))</f>
        <v>Yes</v>
      </c>
      <c r="Q4216" s="350" t="str">
        <f t="shared" ca="1" si="131"/>
        <v>OK</v>
      </c>
    </row>
    <row r="4217" spans="1:17">
      <c r="A4217" s="366" t="s">
        <v>6173</v>
      </c>
      <c r="B4217" s="366" t="s">
        <v>231</v>
      </c>
      <c r="C4217" s="348" t="str">
        <f>DATA_PROPERTY_MASTER!$A$18</f>
        <v>BLD_AS</v>
      </c>
      <c r="D4217" s="380">
        <f>'00_PORTFOLIO ROLLUP'!N$12</f>
        <v>2034</v>
      </c>
      <c r="E4217" s="366" t="s">
        <v>1721</v>
      </c>
      <c r="F4217" s="366" t="s">
        <v>39</v>
      </c>
      <c r="G4217" s="348" t="str">
        <f>"'"&amp;$C4217&amp;"'!$E$63:$Y$63"</f>
        <v>'BLD_AS'!$E$63:$Y$63</v>
      </c>
      <c r="H4217" s="381">
        <f ca="1">IF(IFERROR(INDEX(DATA_PROPERTY_MASTER!$E$5:$E$21,MATCH($C4217,DATA_PROPERTY_MASTER!$A$5:$A$21,0))="Yes",FALSE),MAX(-IFERROR(INDEX(INDIRECT("'"&amp;$C4217&amp;"'!$E$63:$Y$63"),1,MATCH($D4217,INDIRECT("'"&amp;$C4217&amp;"'!$E$12:$Y$12"),0)),0),0),0)</f>
        <v>0</v>
      </c>
      <c r="I4217" s="366" t="s">
        <v>1690</v>
      </c>
      <c r="J4217" s="348" t="str">
        <f t="shared" ca="1" si="130"/>
        <v>OK</v>
      </c>
      <c r="K4217" s="366" t="s">
        <v>1738</v>
      </c>
      <c r="L4217" s="366" t="s">
        <v>2260</v>
      </c>
      <c r="M4217" s="350" t="str">
        <f>IF($B4217="Portfolio","Portfolio",IFERROR(INDEX(DATA_ASSET_CLASSIFICATION!$B$8:$B$24,MATCH($C4217,DATA_ASSET_CLASSIFICATION!$A$8:$A$24,0)),"Review"))</f>
        <v>1656 Adanac Street</v>
      </c>
      <c r="N4217" s="350" t="str">
        <f>IF($B4217="Portfolio","Portfolio",IFERROR(INDEX(DATA_ASSET_CLASSIFICATION!$U$8:$U$24,MATCH($C4217,DATA_ASSET_CLASSIFICATION!$A$8:$A$24,0)),"Review"))</f>
        <v>New Build</v>
      </c>
      <c r="O4217" s="350" t="str">
        <f>IF($B4217="Portfolio","Portfolio",IFERROR(INDEX(DATA_ASSET_CLASSIFICATION!$AB$8:$AB$13,MATCH($N4217,DATA_ASSET_CLASSIFICATION!$AA$8:$AA$13,0)),"Review"))</f>
        <v>Bucket 1 · New Build</v>
      </c>
      <c r="P4217" s="350" t="str">
        <f>IF($B4217="Portfolio","Portfolio",IFERROR(INDEX(DATA_ASSET_CLASSIFICATION!$C$8:$C$24,MATCH($C4217,DATA_ASSET_CLASSIFICATION!$A$8:$A$24,0)),"Review"))</f>
        <v>Yes</v>
      </c>
      <c r="Q4217" s="350" t="str">
        <f t="shared" ca="1" si="131"/>
        <v>OK</v>
      </c>
    </row>
    <row r="4218" spans="1:17">
      <c r="A4218" s="366" t="s">
        <v>6174</v>
      </c>
      <c r="B4218" s="366" t="s">
        <v>231</v>
      </c>
      <c r="C4218" s="348" t="str">
        <f>DATA_PROPERTY_MASTER!$A$18</f>
        <v>BLD_AS</v>
      </c>
      <c r="D4218" s="380">
        <f>'00_PORTFOLIO ROLLUP'!N$12</f>
        <v>2034</v>
      </c>
      <c r="E4218" s="366" t="s">
        <v>1741</v>
      </c>
      <c r="F4218" s="366" t="s">
        <v>41</v>
      </c>
      <c r="G4218" s="348" t="str">
        <f>"'"&amp;$C4218&amp;"'!rows 56 + positive row 63"</f>
        <v>'BLD_AS'!rows 56 + positive row 63</v>
      </c>
      <c r="H4218" s="381">
        <f ca="1">IF(IFERROR(INDEX(DATA_PROPERTY_MASTER!$E$5:$E$21,MATCH($C4218,DATA_PROPERTY_MASTER!$A$5:$A$21,0))="Yes",FALSE),IFERROR(INDEX(INDIRECT("'"&amp;$C4218&amp;"'!$E$56:$Y$56"),1,MATCH($D4218,INDIRECT("'"&amp;$C4218&amp;"'!$E$12:$Y$12"),0)),0)+MAX(IFERROR(INDEX(INDIRECT("'"&amp;$C4218&amp;"'!$E$63:$Y$63"),1,MATCH($D4218,INDIRECT("'"&amp;$C4218&amp;"'!$E$12:$Y$12"),0)),0),0),0)</f>
        <v>178359.88419650629</v>
      </c>
      <c r="I4218" s="366" t="s">
        <v>1685</v>
      </c>
      <c r="J4218" s="348" t="str">
        <f t="shared" ca="1" si="130"/>
        <v>OK</v>
      </c>
      <c r="K4218" s="366" t="s">
        <v>1742</v>
      </c>
      <c r="L4218" s="366" t="s">
        <v>2262</v>
      </c>
      <c r="M4218" s="350" t="str">
        <f>IF($B4218="Portfolio","Portfolio",IFERROR(INDEX(DATA_ASSET_CLASSIFICATION!$B$8:$B$24,MATCH($C4218,DATA_ASSET_CLASSIFICATION!$A$8:$A$24,0)),"Review"))</f>
        <v>1656 Adanac Street</v>
      </c>
      <c r="N4218" s="350" t="str">
        <f>IF($B4218="Portfolio","Portfolio",IFERROR(INDEX(DATA_ASSET_CLASSIFICATION!$U$8:$U$24,MATCH($C4218,DATA_ASSET_CLASSIFICATION!$A$8:$A$24,0)),"Review"))</f>
        <v>New Build</v>
      </c>
      <c r="O4218" s="350" t="str">
        <f>IF($B4218="Portfolio","Portfolio",IFERROR(INDEX(DATA_ASSET_CLASSIFICATION!$AB$8:$AB$13,MATCH($N4218,DATA_ASSET_CLASSIFICATION!$AA$8:$AA$13,0)),"Review"))</f>
        <v>Bucket 1 · New Build</v>
      </c>
      <c r="P4218" s="350" t="str">
        <f>IF($B4218="Portfolio","Portfolio",IFERROR(INDEX(DATA_ASSET_CLASSIFICATION!$C$8:$C$24,MATCH($C4218,DATA_ASSET_CLASSIFICATION!$A$8:$A$24,0)),"Review"))</f>
        <v>Yes</v>
      </c>
      <c r="Q4218" s="350" t="str">
        <f t="shared" ca="1" si="131"/>
        <v>OK</v>
      </c>
    </row>
    <row r="4219" spans="1:17">
      <c r="A4219" s="366" t="s">
        <v>6175</v>
      </c>
      <c r="B4219" s="366" t="s">
        <v>231</v>
      </c>
      <c r="C4219" s="348" t="str">
        <f>DATA_PROPERTY_MASTER!$A$18</f>
        <v>BLD_AS</v>
      </c>
      <c r="D4219" s="380">
        <f>'00_PORTFOLIO ROLLUP'!N$12</f>
        <v>2034</v>
      </c>
      <c r="E4219" s="366" t="s">
        <v>1741</v>
      </c>
      <c r="F4219" s="366" t="s">
        <v>43</v>
      </c>
      <c r="G4219" s="348" t="str">
        <f>"'"&amp;$C4219&amp;"'!$E$68:$Y$68"</f>
        <v>'BLD_AS'!$E$68:$Y$68</v>
      </c>
      <c r="H4219" s="381">
        <f ca="1">IF(IFERROR(INDEX(DATA_PROPERTY_MASTER!$E$5:$E$21,MATCH($C4219,DATA_PROPERTY_MASTER!$A$5:$A$21,0))="Yes",FALSE),IFERROR(INDEX(INDIRECT("'"&amp;$C4219&amp;"'!$E$68:$Y$68"),1,MATCH($D4219,INDIRECT("'"&amp;$C4219&amp;"'!$E$12:$Y$12"),0)),0),0)</f>
        <v>178359.88419650629</v>
      </c>
      <c r="I4219" s="366" t="s">
        <v>1731</v>
      </c>
      <c r="J4219" s="348" t="str">
        <f t="shared" ca="1" si="130"/>
        <v>OK</v>
      </c>
      <c r="K4219" s="366" t="s">
        <v>1746</v>
      </c>
      <c r="L4219" s="366" t="s">
        <v>2264</v>
      </c>
      <c r="M4219" s="350" t="str">
        <f>IF($B4219="Portfolio","Portfolio",IFERROR(INDEX(DATA_ASSET_CLASSIFICATION!$B$8:$B$24,MATCH($C4219,DATA_ASSET_CLASSIFICATION!$A$8:$A$24,0)),"Review"))</f>
        <v>1656 Adanac Street</v>
      </c>
      <c r="N4219" s="350" t="str">
        <f>IF($B4219="Portfolio","Portfolio",IFERROR(INDEX(DATA_ASSET_CLASSIFICATION!$U$8:$U$24,MATCH($C4219,DATA_ASSET_CLASSIFICATION!$A$8:$A$24,0)),"Review"))</f>
        <v>New Build</v>
      </c>
      <c r="O4219" s="350" t="str">
        <f>IF($B4219="Portfolio","Portfolio",IFERROR(INDEX(DATA_ASSET_CLASSIFICATION!$AB$8:$AB$13,MATCH($N4219,DATA_ASSET_CLASSIFICATION!$AA$8:$AA$13,0)),"Review"))</f>
        <v>Bucket 1 · New Build</v>
      </c>
      <c r="P4219" s="350" t="str">
        <f>IF($B4219="Portfolio","Portfolio",IFERROR(INDEX(DATA_ASSET_CLASSIFICATION!$C$8:$C$24,MATCH($C4219,DATA_ASSET_CLASSIFICATION!$A$8:$A$24,0)),"Review"))</f>
        <v>Yes</v>
      </c>
      <c r="Q4219" s="350" t="str">
        <f t="shared" ca="1" si="131"/>
        <v>OK</v>
      </c>
    </row>
    <row r="4220" spans="1:17">
      <c r="A4220" s="366" t="s">
        <v>6176</v>
      </c>
      <c r="B4220" s="366" t="s">
        <v>231</v>
      </c>
      <c r="C4220" s="348" t="str">
        <f>DATA_PROPERTY_MASTER!$A$18</f>
        <v>BLD_AS</v>
      </c>
      <c r="D4220" s="380">
        <f>'00_PORTFOLIO ROLLUP'!N$12</f>
        <v>2034</v>
      </c>
      <c r="E4220" s="366" t="s">
        <v>1741</v>
      </c>
      <c r="F4220" s="366" t="s">
        <v>1749</v>
      </c>
      <c r="G4220" s="348" t="str">
        <f>"'"&amp;$C4220&amp;"'!rows 56, 63, 68"</f>
        <v>'BLD_AS'!rows 56, 63, 68</v>
      </c>
      <c r="H4220" s="381">
        <f ca="1">IF(IFERROR(INDEX(DATA_PROPERTY_MASTER!$E$5:$E$21,MATCH($C4220,DATA_PROPERTY_MASTER!$A$5:$A$21,0))="Yes",FALSE),(IFERROR(INDEX(INDIRECT("'"&amp;$C4220&amp;"'!$E$56:$Y$56"),1,MATCH($D4220,INDIRECT("'"&amp;$C4220&amp;"'!$E$12:$Y$12"),0)),0)+MAX(IFERROR(INDEX(INDIRECT("'"&amp;$C4220&amp;"'!$E$63:$Y$63"),1,MATCH($D4220,INDIRECT("'"&amp;$C4220&amp;"'!$E$12:$Y$12"),0)),0),0))-(IFERROR(INDEX(INDIRECT("'"&amp;$C4220&amp;"'!$E$68:$Y$68"),1,MATCH($D4220,INDIRECT("'"&amp;$C4220&amp;"'!$E$12:$Y$12"),0)),0)),0)</f>
        <v>0</v>
      </c>
      <c r="I4220" s="366" t="s">
        <v>1750</v>
      </c>
      <c r="J4220" s="348" t="str">
        <f t="shared" ca="1" si="130"/>
        <v>OK</v>
      </c>
      <c r="K4220" s="366" t="s">
        <v>1751</v>
      </c>
      <c r="L4220" s="366" t="s">
        <v>2266</v>
      </c>
      <c r="M4220" s="350" t="str">
        <f>IF($B4220="Portfolio","Portfolio",IFERROR(INDEX(DATA_ASSET_CLASSIFICATION!$B$8:$B$24,MATCH($C4220,DATA_ASSET_CLASSIFICATION!$A$8:$A$24,0)),"Review"))</f>
        <v>1656 Adanac Street</v>
      </c>
      <c r="N4220" s="350" t="str">
        <f>IF($B4220="Portfolio","Portfolio",IFERROR(INDEX(DATA_ASSET_CLASSIFICATION!$U$8:$U$24,MATCH($C4220,DATA_ASSET_CLASSIFICATION!$A$8:$A$24,0)),"Review"))</f>
        <v>New Build</v>
      </c>
      <c r="O4220" s="350" t="str">
        <f>IF($B4220="Portfolio","Portfolio",IFERROR(INDEX(DATA_ASSET_CLASSIFICATION!$AB$8:$AB$13,MATCH($N4220,DATA_ASSET_CLASSIFICATION!$AA$8:$AA$13,0)),"Review"))</f>
        <v>Bucket 1 · New Build</v>
      </c>
      <c r="P4220" s="350" t="str">
        <f>IF($B4220="Portfolio","Portfolio",IFERROR(INDEX(DATA_ASSET_CLASSIFICATION!$C$8:$C$24,MATCH($C4220,DATA_ASSET_CLASSIFICATION!$A$8:$A$24,0)),"Review"))</f>
        <v>Yes</v>
      </c>
      <c r="Q4220" s="350" t="str">
        <f t="shared" ca="1" si="131"/>
        <v>OK</v>
      </c>
    </row>
    <row r="4221" spans="1:17">
      <c r="A4221" s="366" t="s">
        <v>6177</v>
      </c>
      <c r="B4221" s="366" t="s">
        <v>231</v>
      </c>
      <c r="C4221" s="348" t="str">
        <f>DATA_PROPERTY_MASTER!$A$18</f>
        <v>BLD_AS</v>
      </c>
      <c r="D4221" s="380">
        <f>'00_PORTFOLIO ROLLUP'!O$12</f>
        <v>2035</v>
      </c>
      <c r="E4221" s="366" t="s">
        <v>1683</v>
      </c>
      <c r="F4221" s="366" t="s">
        <v>341</v>
      </c>
      <c r="G4221" s="348" t="str">
        <f>"'"&amp;$C4221&amp;"'!$E$24:$Y$24"</f>
        <v>'BLD_AS'!$E$24:$Y$24</v>
      </c>
      <c r="H4221" s="381">
        <f ca="1">IF(IFERROR(INDEX(DATA_PROPERTY_MASTER!$E$5:$E$21,MATCH($C4221,DATA_PROPERTY_MASTER!$A$5:$A$21,0))="Yes",FALSE),IFERROR(INDEX(INDIRECT("'"&amp;$C4221&amp;"'!$E$24:$Y$24"),1,MATCH($D4221,INDIRECT("'"&amp;$C4221&amp;"'!$E$12:$Y$12"),0)),0),0)</f>
        <v>2338721.3581011584</v>
      </c>
      <c r="I4221" s="366" t="s">
        <v>1685</v>
      </c>
      <c r="J4221" s="348" t="str">
        <f t="shared" ca="1" si="130"/>
        <v>OK</v>
      </c>
      <c r="K4221" s="366" t="s">
        <v>1686</v>
      </c>
      <c r="L4221" s="366" t="s">
        <v>2234</v>
      </c>
      <c r="M4221" s="350" t="str">
        <f>IF($B4221="Portfolio","Portfolio",IFERROR(INDEX(DATA_ASSET_CLASSIFICATION!$B$8:$B$24,MATCH($C4221,DATA_ASSET_CLASSIFICATION!$A$8:$A$24,0)),"Review"))</f>
        <v>1656 Adanac Street</v>
      </c>
      <c r="N4221" s="350" t="str">
        <f>IF($B4221="Portfolio","Portfolio",IFERROR(INDEX(DATA_ASSET_CLASSIFICATION!$U$8:$U$24,MATCH($C4221,DATA_ASSET_CLASSIFICATION!$A$8:$A$24,0)),"Review"))</f>
        <v>New Build</v>
      </c>
      <c r="O4221" s="350" t="str">
        <f>IF($B4221="Portfolio","Portfolio",IFERROR(INDEX(DATA_ASSET_CLASSIFICATION!$AB$8:$AB$13,MATCH($N4221,DATA_ASSET_CLASSIFICATION!$AA$8:$AA$13,0)),"Review"))</f>
        <v>Bucket 1 · New Build</v>
      </c>
      <c r="P4221" s="350" t="str">
        <f>IF($B4221="Portfolio","Portfolio",IFERROR(INDEX(DATA_ASSET_CLASSIFICATION!$C$8:$C$24,MATCH($C4221,DATA_ASSET_CLASSIFICATION!$A$8:$A$24,0)),"Review"))</f>
        <v>Yes</v>
      </c>
      <c r="Q4221" s="350" t="str">
        <f t="shared" ca="1" si="131"/>
        <v>OK</v>
      </c>
    </row>
    <row r="4222" spans="1:17">
      <c r="A4222" s="366" t="s">
        <v>6178</v>
      </c>
      <c r="B4222" s="366" t="s">
        <v>231</v>
      </c>
      <c r="C4222" s="348" t="str">
        <f>DATA_PROPERTY_MASTER!$A$18</f>
        <v>BLD_AS</v>
      </c>
      <c r="D4222" s="380">
        <f>'00_PORTFOLIO ROLLUP'!O$12</f>
        <v>2035</v>
      </c>
      <c r="E4222" s="366" t="s">
        <v>1683</v>
      </c>
      <c r="F4222" s="366" t="s">
        <v>355</v>
      </c>
      <c r="G4222" s="348" t="str">
        <f>"'"&amp;$C4222&amp;"'!$E$39:$Y$39"</f>
        <v>'BLD_AS'!$E$39:$Y$39</v>
      </c>
      <c r="H4222" s="381">
        <f ca="1">IF(IFERROR(INDEX(DATA_PROPERTY_MASTER!$E$5:$E$21,MATCH($C4222,DATA_PROPERTY_MASTER!$A$5:$A$21,0))="Yes",FALSE),IFERROR(INDEX(INDIRECT("'"&amp;$C4222&amp;"'!$E$39:$Y$39"),1,MATCH($D4222,INDIRECT("'"&amp;$C4222&amp;"'!$E$12:$Y$12"),0)),0),0)</f>
        <v>1067347.7195412556</v>
      </c>
      <c r="I4222" s="366" t="s">
        <v>1690</v>
      </c>
      <c r="J4222" s="348" t="str">
        <f t="shared" ca="1" si="130"/>
        <v>OK</v>
      </c>
      <c r="K4222" s="366" t="s">
        <v>1686</v>
      </c>
      <c r="L4222" s="366" t="s">
        <v>2236</v>
      </c>
      <c r="M4222" s="350" t="str">
        <f>IF($B4222="Portfolio","Portfolio",IFERROR(INDEX(DATA_ASSET_CLASSIFICATION!$B$8:$B$24,MATCH($C4222,DATA_ASSET_CLASSIFICATION!$A$8:$A$24,0)),"Review"))</f>
        <v>1656 Adanac Street</v>
      </c>
      <c r="N4222" s="350" t="str">
        <f>IF($B4222="Portfolio","Portfolio",IFERROR(INDEX(DATA_ASSET_CLASSIFICATION!$U$8:$U$24,MATCH($C4222,DATA_ASSET_CLASSIFICATION!$A$8:$A$24,0)),"Review"))</f>
        <v>New Build</v>
      </c>
      <c r="O4222" s="350" t="str">
        <f>IF($B4222="Portfolio","Portfolio",IFERROR(INDEX(DATA_ASSET_CLASSIFICATION!$AB$8:$AB$13,MATCH($N4222,DATA_ASSET_CLASSIFICATION!$AA$8:$AA$13,0)),"Review"))</f>
        <v>Bucket 1 · New Build</v>
      </c>
      <c r="P4222" s="350" t="str">
        <f>IF($B4222="Portfolio","Portfolio",IFERROR(INDEX(DATA_ASSET_CLASSIFICATION!$C$8:$C$24,MATCH($C4222,DATA_ASSET_CLASSIFICATION!$A$8:$A$24,0)),"Review"))</f>
        <v>Yes</v>
      </c>
      <c r="Q4222" s="350" t="str">
        <f t="shared" ca="1" si="131"/>
        <v>OK</v>
      </c>
    </row>
    <row r="4223" spans="1:17">
      <c r="A4223" s="366" t="s">
        <v>6179</v>
      </c>
      <c r="B4223" s="366" t="s">
        <v>231</v>
      </c>
      <c r="C4223" s="348" t="str">
        <f>DATA_PROPERTY_MASTER!$A$18</f>
        <v>BLD_AS</v>
      </c>
      <c r="D4223" s="380">
        <f>'00_PORTFOLIO ROLLUP'!O$12</f>
        <v>2035</v>
      </c>
      <c r="E4223" s="366" t="s">
        <v>1683</v>
      </c>
      <c r="F4223" s="366" t="s">
        <v>19</v>
      </c>
      <c r="G4223" s="348" t="str">
        <f>"'"&amp;$C4223&amp;"'!$E$41:$Y$41"</f>
        <v>'BLD_AS'!$E$41:$Y$41</v>
      </c>
      <c r="H4223" s="381">
        <f ca="1">IF(IFERROR(INDEX(DATA_PROPERTY_MASTER!$E$5:$E$21,MATCH($C4223,DATA_PROPERTY_MASTER!$A$5:$A$21,0))="Yes",FALSE),IFERROR(INDEX(INDIRECT("'"&amp;$C4223&amp;"'!$E$41:$Y$41"),1,MATCH($D4223,INDIRECT("'"&amp;$C4223&amp;"'!$E$12:$Y$12"),0)),0),0)</f>
        <v>1271373.6385599028</v>
      </c>
      <c r="I4223" s="366" t="s">
        <v>1685</v>
      </c>
      <c r="J4223" s="348" t="str">
        <f t="shared" ca="1" si="130"/>
        <v>OK</v>
      </c>
      <c r="K4223" s="366" t="s">
        <v>1694</v>
      </c>
      <c r="L4223" s="366" t="s">
        <v>2238</v>
      </c>
      <c r="M4223" s="350" t="str">
        <f>IF($B4223="Portfolio","Portfolio",IFERROR(INDEX(DATA_ASSET_CLASSIFICATION!$B$8:$B$24,MATCH($C4223,DATA_ASSET_CLASSIFICATION!$A$8:$A$24,0)),"Review"))</f>
        <v>1656 Adanac Street</v>
      </c>
      <c r="N4223" s="350" t="str">
        <f>IF($B4223="Portfolio","Portfolio",IFERROR(INDEX(DATA_ASSET_CLASSIFICATION!$U$8:$U$24,MATCH($C4223,DATA_ASSET_CLASSIFICATION!$A$8:$A$24,0)),"Review"))</f>
        <v>New Build</v>
      </c>
      <c r="O4223" s="350" t="str">
        <f>IF($B4223="Portfolio","Portfolio",IFERROR(INDEX(DATA_ASSET_CLASSIFICATION!$AB$8:$AB$13,MATCH($N4223,DATA_ASSET_CLASSIFICATION!$AA$8:$AA$13,0)),"Review"))</f>
        <v>Bucket 1 · New Build</v>
      </c>
      <c r="P4223" s="350" t="str">
        <f>IF($B4223="Portfolio","Portfolio",IFERROR(INDEX(DATA_ASSET_CLASSIFICATION!$C$8:$C$24,MATCH($C4223,DATA_ASSET_CLASSIFICATION!$A$8:$A$24,0)),"Review"))</f>
        <v>Yes</v>
      </c>
      <c r="Q4223" s="350" t="str">
        <f t="shared" ca="1" si="131"/>
        <v>OK</v>
      </c>
    </row>
    <row r="4224" spans="1:17">
      <c r="A4224" s="366" t="s">
        <v>6180</v>
      </c>
      <c r="B4224" s="366" t="s">
        <v>231</v>
      </c>
      <c r="C4224" s="348" t="str">
        <f>DATA_PROPERTY_MASTER!$A$18</f>
        <v>BLD_AS</v>
      </c>
      <c r="D4224" s="380">
        <f>'00_PORTFOLIO ROLLUP'!O$12</f>
        <v>2035</v>
      </c>
      <c r="E4224" s="366" t="s">
        <v>1683</v>
      </c>
      <c r="F4224" s="366" t="s">
        <v>1697</v>
      </c>
      <c r="G4224" s="348" t="str">
        <f>"'"&amp;$C4224&amp;"'!$E$44:$Y$44"</f>
        <v>'BLD_AS'!$E$44:$Y$44</v>
      </c>
      <c r="H4224" s="381">
        <f ca="1">IF(IFERROR(INDEX(DATA_PROPERTY_MASTER!$E$5:$E$21,MATCH($C4224,DATA_PROPERTY_MASTER!$A$5:$A$21,0))="Yes",FALSE),IFERROR(INDEX(INDIRECT("'"&amp;$C4224&amp;"'!$E$44:$Y$44"),1,MATCH($D4224,INDIRECT("'"&amp;$C4224&amp;"'!$E$12:$Y$12"),0)),0),0)</f>
        <v>17736.368810923716</v>
      </c>
      <c r="I4224" s="366" t="s">
        <v>1690</v>
      </c>
      <c r="J4224" s="348" t="str">
        <f t="shared" ca="1" si="130"/>
        <v>OK</v>
      </c>
      <c r="K4224" s="366" t="s">
        <v>1699</v>
      </c>
      <c r="L4224" s="366" t="s">
        <v>2240</v>
      </c>
      <c r="M4224" s="350" t="str">
        <f>IF($B4224="Portfolio","Portfolio",IFERROR(INDEX(DATA_ASSET_CLASSIFICATION!$B$8:$B$24,MATCH($C4224,DATA_ASSET_CLASSIFICATION!$A$8:$A$24,0)),"Review"))</f>
        <v>1656 Adanac Street</v>
      </c>
      <c r="N4224" s="350" t="str">
        <f>IF($B4224="Portfolio","Portfolio",IFERROR(INDEX(DATA_ASSET_CLASSIFICATION!$U$8:$U$24,MATCH($C4224,DATA_ASSET_CLASSIFICATION!$A$8:$A$24,0)),"Review"))</f>
        <v>New Build</v>
      </c>
      <c r="O4224" s="350" t="str">
        <f>IF($B4224="Portfolio","Portfolio",IFERROR(INDEX(DATA_ASSET_CLASSIFICATION!$AB$8:$AB$13,MATCH($N4224,DATA_ASSET_CLASSIFICATION!$AA$8:$AA$13,0)),"Review"))</f>
        <v>Bucket 1 · New Build</v>
      </c>
      <c r="P4224" s="350" t="str">
        <f>IF($B4224="Portfolio","Portfolio",IFERROR(INDEX(DATA_ASSET_CLASSIFICATION!$C$8:$C$24,MATCH($C4224,DATA_ASSET_CLASSIFICATION!$A$8:$A$24,0)),"Review"))</f>
        <v>Yes</v>
      </c>
      <c r="Q4224" s="350" t="str">
        <f t="shared" ca="1" si="131"/>
        <v>OK</v>
      </c>
    </row>
    <row r="4225" spans="1:17">
      <c r="A4225" s="366" t="s">
        <v>6181</v>
      </c>
      <c r="B4225" s="366" t="s">
        <v>231</v>
      </c>
      <c r="C4225" s="348" t="str">
        <f>DATA_PROPERTY_MASTER!$A$18</f>
        <v>BLD_AS</v>
      </c>
      <c r="D4225" s="380">
        <f>'00_PORTFOLIO ROLLUP'!O$12</f>
        <v>2035</v>
      </c>
      <c r="E4225" s="366" t="s">
        <v>1683</v>
      </c>
      <c r="F4225" s="366" t="s">
        <v>21</v>
      </c>
      <c r="G4225" s="348" t="str">
        <f>"'"&amp;$C4225&amp;"'!$E$45:$Y$45"</f>
        <v>'BLD_AS'!$E$45:$Y$45</v>
      </c>
      <c r="H4225" s="381">
        <f ca="1">IF(IFERROR(INDEX(DATA_PROPERTY_MASTER!$E$5:$E$21,MATCH($C4225,DATA_PROPERTY_MASTER!$A$5:$A$21,0))="Yes",FALSE),IFERROR(INDEX(INDIRECT("'"&amp;$C4225&amp;"'!$E$45:$Y$45"),1,MATCH($D4225,INDIRECT("'"&amp;$C4225&amp;"'!$E$12:$Y$12"),0)),0),0)</f>
        <v>1253637.269748979</v>
      </c>
      <c r="I4225" s="366" t="s">
        <v>1685</v>
      </c>
      <c r="J4225" s="348" t="str">
        <f t="shared" ca="1" si="130"/>
        <v>OK</v>
      </c>
      <c r="K4225" s="366" t="s">
        <v>1694</v>
      </c>
      <c r="L4225" s="366" t="s">
        <v>2242</v>
      </c>
      <c r="M4225" s="350" t="str">
        <f>IF($B4225="Portfolio","Portfolio",IFERROR(INDEX(DATA_ASSET_CLASSIFICATION!$B$8:$B$24,MATCH($C4225,DATA_ASSET_CLASSIFICATION!$A$8:$A$24,0)),"Review"))</f>
        <v>1656 Adanac Street</v>
      </c>
      <c r="N4225" s="350" t="str">
        <f>IF($B4225="Portfolio","Portfolio",IFERROR(INDEX(DATA_ASSET_CLASSIFICATION!$U$8:$U$24,MATCH($C4225,DATA_ASSET_CLASSIFICATION!$A$8:$A$24,0)),"Review"))</f>
        <v>New Build</v>
      </c>
      <c r="O4225" s="350" t="str">
        <f>IF($B4225="Portfolio","Portfolio",IFERROR(INDEX(DATA_ASSET_CLASSIFICATION!$AB$8:$AB$13,MATCH($N4225,DATA_ASSET_CLASSIFICATION!$AA$8:$AA$13,0)),"Review"))</f>
        <v>Bucket 1 · New Build</v>
      </c>
      <c r="P4225" s="350" t="str">
        <f>IF($B4225="Portfolio","Portfolio",IFERROR(INDEX(DATA_ASSET_CLASSIFICATION!$C$8:$C$24,MATCH($C4225,DATA_ASSET_CLASSIFICATION!$A$8:$A$24,0)),"Review"))</f>
        <v>Yes</v>
      </c>
      <c r="Q4225" s="350" t="str">
        <f t="shared" ca="1" si="131"/>
        <v>OK</v>
      </c>
    </row>
    <row r="4226" spans="1:17">
      <c r="A4226" s="366" t="s">
        <v>6182</v>
      </c>
      <c r="B4226" s="366" t="s">
        <v>231</v>
      </c>
      <c r="C4226" s="348" t="str">
        <f>DATA_PROPERTY_MASTER!$A$18</f>
        <v>BLD_AS</v>
      </c>
      <c r="D4226" s="380">
        <f>'00_PORTFOLIO ROLLUP'!O$12</f>
        <v>2035</v>
      </c>
      <c r="E4226" s="366" t="s">
        <v>23</v>
      </c>
      <c r="F4226" s="366" t="s">
        <v>23</v>
      </c>
      <c r="G4226" s="348" t="str">
        <f>"'"&amp;$C4226&amp;"'!$E$48:$Y$48"</f>
        <v>'BLD_AS'!$E$48:$Y$48</v>
      </c>
      <c r="H4226" s="381">
        <f ca="1">IF(IFERROR(INDEX(DATA_PROPERTY_MASTER!$E$5:$E$21,MATCH($C4226,DATA_PROPERTY_MASTER!$A$5:$A$21,0))="Yes",FALSE),IFERROR(INDEX(INDIRECT("'"&amp;$C4226&amp;"'!$E$48:$Y$48"),1,MATCH($D4226,INDIRECT("'"&amp;$C4226&amp;"'!$E$12:$Y$12"),0)),0),0)</f>
        <v>805649.51774556539</v>
      </c>
      <c r="I4226" s="366" t="s">
        <v>1690</v>
      </c>
      <c r="J4226" s="348" t="str">
        <f t="shared" ca="1" si="130"/>
        <v>OK</v>
      </c>
      <c r="K4226" s="366" t="s">
        <v>1706</v>
      </c>
      <c r="L4226" s="366" t="s">
        <v>2244</v>
      </c>
      <c r="M4226" s="350" t="str">
        <f>IF($B4226="Portfolio","Portfolio",IFERROR(INDEX(DATA_ASSET_CLASSIFICATION!$B$8:$B$24,MATCH($C4226,DATA_ASSET_CLASSIFICATION!$A$8:$A$24,0)),"Review"))</f>
        <v>1656 Adanac Street</v>
      </c>
      <c r="N4226" s="350" t="str">
        <f>IF($B4226="Portfolio","Portfolio",IFERROR(INDEX(DATA_ASSET_CLASSIFICATION!$U$8:$U$24,MATCH($C4226,DATA_ASSET_CLASSIFICATION!$A$8:$A$24,0)),"Review"))</f>
        <v>New Build</v>
      </c>
      <c r="O4226" s="350" t="str">
        <f>IF($B4226="Portfolio","Portfolio",IFERROR(INDEX(DATA_ASSET_CLASSIFICATION!$AB$8:$AB$13,MATCH($N4226,DATA_ASSET_CLASSIFICATION!$AA$8:$AA$13,0)),"Review"))</f>
        <v>Bucket 1 · New Build</v>
      </c>
      <c r="P4226" s="350" t="str">
        <f>IF($B4226="Portfolio","Portfolio",IFERROR(INDEX(DATA_ASSET_CLASSIFICATION!$C$8:$C$24,MATCH($C4226,DATA_ASSET_CLASSIFICATION!$A$8:$A$24,0)),"Review"))</f>
        <v>Yes</v>
      </c>
      <c r="Q4226" s="350" t="str">
        <f t="shared" ca="1" si="131"/>
        <v>OK</v>
      </c>
    </row>
    <row r="4227" spans="1:17">
      <c r="A4227" s="366" t="s">
        <v>6183</v>
      </c>
      <c r="B4227" s="366" t="s">
        <v>231</v>
      </c>
      <c r="C4227" s="348" t="str">
        <f>DATA_PROPERTY_MASTER!$A$18</f>
        <v>BLD_AS</v>
      </c>
      <c r="D4227" s="380">
        <f>'00_PORTFOLIO ROLLUP'!O$12</f>
        <v>2035</v>
      </c>
      <c r="E4227" s="366" t="s">
        <v>1683</v>
      </c>
      <c r="F4227" s="366" t="s">
        <v>25</v>
      </c>
      <c r="G4227" s="348" t="str">
        <f>"'"&amp;$C4227&amp;"'!$E$52:$Y$52"</f>
        <v>'BLD_AS'!$E$52:$Y$52</v>
      </c>
      <c r="H4227" s="381">
        <f ca="1">IF(IFERROR(INDEX(DATA_PROPERTY_MASTER!$E$5:$E$21,MATCH($C4227,DATA_PROPERTY_MASTER!$A$5:$A$21,0))="Yes",FALSE),IFERROR(INDEX(INDIRECT("'"&amp;$C4227&amp;"'!$E$52:$Y$52"),1,MATCH($D4227,INDIRECT("'"&amp;$C4227&amp;"'!$E$12:$Y$12"),0)),0),0)</f>
        <v>465724.1208143374</v>
      </c>
      <c r="I4227" s="366" t="s">
        <v>1685</v>
      </c>
      <c r="J4227" s="348" t="str">
        <f t="shared" ca="1" si="130"/>
        <v>OK</v>
      </c>
      <c r="K4227" s="366" t="s">
        <v>1710</v>
      </c>
      <c r="L4227" s="366" t="s">
        <v>2246</v>
      </c>
      <c r="M4227" s="350" t="str">
        <f>IF($B4227="Portfolio","Portfolio",IFERROR(INDEX(DATA_ASSET_CLASSIFICATION!$B$8:$B$24,MATCH($C4227,DATA_ASSET_CLASSIFICATION!$A$8:$A$24,0)),"Review"))</f>
        <v>1656 Adanac Street</v>
      </c>
      <c r="N4227" s="350" t="str">
        <f>IF($B4227="Portfolio","Portfolio",IFERROR(INDEX(DATA_ASSET_CLASSIFICATION!$U$8:$U$24,MATCH($C4227,DATA_ASSET_CLASSIFICATION!$A$8:$A$24,0)),"Review"))</f>
        <v>New Build</v>
      </c>
      <c r="O4227" s="350" t="str">
        <f>IF($B4227="Portfolio","Portfolio",IFERROR(INDEX(DATA_ASSET_CLASSIFICATION!$AB$8:$AB$13,MATCH($N4227,DATA_ASSET_CLASSIFICATION!$AA$8:$AA$13,0)),"Review"))</f>
        <v>Bucket 1 · New Build</v>
      </c>
      <c r="P4227" s="350" t="str">
        <f>IF($B4227="Portfolio","Portfolio",IFERROR(INDEX(DATA_ASSET_CLASSIFICATION!$C$8:$C$24,MATCH($C4227,DATA_ASSET_CLASSIFICATION!$A$8:$A$24,0)),"Review"))</f>
        <v>Yes</v>
      </c>
      <c r="Q4227" s="350" t="str">
        <f t="shared" ca="1" si="131"/>
        <v>OK</v>
      </c>
    </row>
    <row r="4228" spans="1:17">
      <c r="A4228" s="366" t="s">
        <v>6184</v>
      </c>
      <c r="B4228" s="366" t="s">
        <v>231</v>
      </c>
      <c r="C4228" s="348" t="str">
        <f>DATA_PROPERTY_MASTER!$A$18</f>
        <v>BLD_AS</v>
      </c>
      <c r="D4228" s="380">
        <f>'00_PORTFOLIO ROLLUP'!O$12</f>
        <v>2035</v>
      </c>
      <c r="E4228" s="366" t="s">
        <v>1683</v>
      </c>
      <c r="F4228" s="366" t="s">
        <v>27</v>
      </c>
      <c r="G4228" s="348" t="str">
        <f>"'"&amp;$C4228&amp;"'!$E$54:$Y$54"</f>
        <v>'BLD_AS'!$E$54:$Y$54</v>
      </c>
      <c r="H4228" s="381">
        <f ca="1">IF(IFERROR(INDEX(DATA_PROPERTY_MASTER!$E$5:$E$21,MATCH($C4228,DATA_PROPERTY_MASTER!$A$5:$A$21,0))="Yes",FALSE),IFERROR(INDEX(INDIRECT("'"&amp;$C4228&amp;"'!$E$54:$Y$54"),1,MATCH($D4228,INDIRECT("'"&amp;$C4228&amp;"'!$E$12:$Y$12"),0)),0),0)</f>
        <v>279434.47248860245</v>
      </c>
      <c r="I4228" s="366" t="s">
        <v>1690</v>
      </c>
      <c r="J4228" s="348" t="str">
        <f t="shared" ca="1" si="130"/>
        <v>OK</v>
      </c>
      <c r="K4228" s="366" t="s">
        <v>1714</v>
      </c>
      <c r="L4228" s="366" t="s">
        <v>2248</v>
      </c>
      <c r="M4228" s="350" t="str">
        <f>IF($B4228="Portfolio","Portfolio",IFERROR(INDEX(DATA_ASSET_CLASSIFICATION!$B$8:$B$24,MATCH($C4228,DATA_ASSET_CLASSIFICATION!$A$8:$A$24,0)),"Review"))</f>
        <v>1656 Adanac Street</v>
      </c>
      <c r="N4228" s="350" t="str">
        <f>IF($B4228="Portfolio","Portfolio",IFERROR(INDEX(DATA_ASSET_CLASSIFICATION!$U$8:$U$24,MATCH($C4228,DATA_ASSET_CLASSIFICATION!$A$8:$A$24,0)),"Review"))</f>
        <v>New Build</v>
      </c>
      <c r="O4228" s="350" t="str">
        <f>IF($B4228="Portfolio","Portfolio",IFERROR(INDEX(DATA_ASSET_CLASSIFICATION!$AB$8:$AB$13,MATCH($N4228,DATA_ASSET_CLASSIFICATION!$AA$8:$AA$13,0)),"Review"))</f>
        <v>Bucket 1 · New Build</v>
      </c>
      <c r="P4228" s="350" t="str">
        <f>IF($B4228="Portfolio","Portfolio",IFERROR(INDEX(DATA_ASSET_CLASSIFICATION!$C$8:$C$24,MATCH($C4228,DATA_ASSET_CLASSIFICATION!$A$8:$A$24,0)),"Review"))</f>
        <v>Yes</v>
      </c>
      <c r="Q4228" s="350" t="str">
        <f t="shared" ca="1" si="131"/>
        <v>OK</v>
      </c>
    </row>
    <row r="4229" spans="1:17">
      <c r="A4229" s="366" t="s">
        <v>6185</v>
      </c>
      <c r="B4229" s="366" t="s">
        <v>231</v>
      </c>
      <c r="C4229" s="348" t="str">
        <f>DATA_PROPERTY_MASTER!$A$18</f>
        <v>BLD_AS</v>
      </c>
      <c r="D4229" s="380">
        <f>'00_PORTFOLIO ROLLUP'!O$12</f>
        <v>2035</v>
      </c>
      <c r="E4229" s="366" t="s">
        <v>1683</v>
      </c>
      <c r="F4229" s="366" t="s">
        <v>29</v>
      </c>
      <c r="G4229" s="348" t="str">
        <f>"'"&amp;$C4229&amp;"'!$E$56:$Y$56"</f>
        <v>'BLD_AS'!$E$56:$Y$56</v>
      </c>
      <c r="H4229" s="381">
        <f ca="1">IF(IFERROR(INDEX(DATA_PROPERTY_MASTER!$E$5:$E$21,MATCH($C4229,DATA_PROPERTY_MASTER!$A$5:$A$21,0))="Yes",FALSE),IFERROR(INDEX(INDIRECT("'"&amp;$C4229&amp;"'!$E$56:$Y$56"),1,MATCH($D4229,INDIRECT("'"&amp;$C4229&amp;"'!$E$12:$Y$12"),0)),0),0)</f>
        <v>186289.64832573495</v>
      </c>
      <c r="I4229" s="366" t="s">
        <v>1685</v>
      </c>
      <c r="J4229" s="348" t="str">
        <f t="shared" ref="J4229:J4292" ca="1" si="132">IF($F4229="Residual Funding Gap",IF($H4229&gt;0,"Funding Gap","OK"),IF(AND($F4229="Net Refinance Position",$H4229&lt;0),"Negative net refi position","OK"))</f>
        <v>OK</v>
      </c>
      <c r="K4229" s="366" t="s">
        <v>1718</v>
      </c>
      <c r="L4229" s="366" t="s">
        <v>2250</v>
      </c>
      <c r="M4229" s="350" t="str">
        <f>IF($B4229="Portfolio","Portfolio",IFERROR(INDEX(DATA_ASSET_CLASSIFICATION!$B$8:$B$24,MATCH($C4229,DATA_ASSET_CLASSIFICATION!$A$8:$A$24,0)),"Review"))</f>
        <v>1656 Adanac Street</v>
      </c>
      <c r="N4229" s="350" t="str">
        <f>IF($B4229="Portfolio","Portfolio",IFERROR(INDEX(DATA_ASSET_CLASSIFICATION!$U$8:$U$24,MATCH($C4229,DATA_ASSET_CLASSIFICATION!$A$8:$A$24,0)),"Review"))</f>
        <v>New Build</v>
      </c>
      <c r="O4229" s="350" t="str">
        <f>IF($B4229="Portfolio","Portfolio",IFERROR(INDEX(DATA_ASSET_CLASSIFICATION!$AB$8:$AB$13,MATCH($N4229,DATA_ASSET_CLASSIFICATION!$AA$8:$AA$13,0)),"Review"))</f>
        <v>Bucket 1 · New Build</v>
      </c>
      <c r="P4229" s="350" t="str">
        <f>IF($B4229="Portfolio","Portfolio",IFERROR(INDEX(DATA_ASSET_CLASSIFICATION!$C$8:$C$24,MATCH($C4229,DATA_ASSET_CLASSIFICATION!$A$8:$A$24,0)),"Review"))</f>
        <v>Yes</v>
      </c>
      <c r="Q4229" s="350" t="str">
        <f t="shared" ref="Q4229:Q4292" ca="1" si="133">IF(AND($B4229="Property",$F4229="Residual Funding Gap",$H4229&gt;0),"Property Funding Gap",IF($J4229&lt;&gt;"OK",$J4229,"OK"))</f>
        <v>OK</v>
      </c>
    </row>
    <row r="4230" spans="1:17">
      <c r="A4230" s="366" t="s">
        <v>6186</v>
      </c>
      <c r="B4230" s="366" t="s">
        <v>231</v>
      </c>
      <c r="C4230" s="348" t="str">
        <f>DATA_PROPERTY_MASTER!$A$18</f>
        <v>BLD_AS</v>
      </c>
      <c r="D4230" s="380">
        <f>'00_PORTFOLIO ROLLUP'!O$12</f>
        <v>2035</v>
      </c>
      <c r="E4230" s="366" t="s">
        <v>1721</v>
      </c>
      <c r="F4230" s="366" t="s">
        <v>31</v>
      </c>
      <c r="G4230" s="348" t="str">
        <f>"'"&amp;$C4230&amp;"'!$E$61:$Y$61"</f>
        <v>'BLD_AS'!$E$61:$Y$61</v>
      </c>
      <c r="H4230" s="381">
        <f ca="1">IF(IFERROR(INDEX(DATA_PROPERTY_MASTER!$E$5:$E$21,MATCH($C4230,DATA_PROPERTY_MASTER!$A$5:$A$21,0))="Yes",FALSE),IFERROR(INDEX(INDIRECT("'"&amp;$C4230&amp;"'!$E$61:$Y$61"),1,MATCH($D4230,INDIRECT("'"&amp;$C4230&amp;"'!$E$12:$Y$12"),0)),0),0)</f>
        <v>0</v>
      </c>
      <c r="I4230" s="366" t="s">
        <v>1690</v>
      </c>
      <c r="J4230" s="348" t="str">
        <f t="shared" ca="1" si="132"/>
        <v>OK</v>
      </c>
      <c r="K4230" s="366" t="s">
        <v>1723</v>
      </c>
      <c r="L4230" s="366" t="s">
        <v>2252</v>
      </c>
      <c r="M4230" s="350" t="str">
        <f>IF($B4230="Portfolio","Portfolio",IFERROR(INDEX(DATA_ASSET_CLASSIFICATION!$B$8:$B$24,MATCH($C4230,DATA_ASSET_CLASSIFICATION!$A$8:$A$24,0)),"Review"))</f>
        <v>1656 Adanac Street</v>
      </c>
      <c r="N4230" s="350" t="str">
        <f>IF($B4230="Portfolio","Portfolio",IFERROR(INDEX(DATA_ASSET_CLASSIFICATION!$U$8:$U$24,MATCH($C4230,DATA_ASSET_CLASSIFICATION!$A$8:$A$24,0)),"Review"))</f>
        <v>New Build</v>
      </c>
      <c r="O4230" s="350" t="str">
        <f>IF($B4230="Portfolio","Portfolio",IFERROR(INDEX(DATA_ASSET_CLASSIFICATION!$AB$8:$AB$13,MATCH($N4230,DATA_ASSET_CLASSIFICATION!$AA$8:$AA$13,0)),"Review"))</f>
        <v>Bucket 1 · New Build</v>
      </c>
      <c r="P4230" s="350" t="str">
        <f>IF($B4230="Portfolio","Portfolio",IFERROR(INDEX(DATA_ASSET_CLASSIFICATION!$C$8:$C$24,MATCH($C4230,DATA_ASSET_CLASSIFICATION!$A$8:$A$24,0)),"Review"))</f>
        <v>Yes</v>
      </c>
      <c r="Q4230" s="350" t="str">
        <f t="shared" ca="1" si="133"/>
        <v>OK</v>
      </c>
    </row>
    <row r="4231" spans="1:17">
      <c r="A4231" s="366" t="s">
        <v>6187</v>
      </c>
      <c r="B4231" s="366" t="s">
        <v>231</v>
      </c>
      <c r="C4231" s="348" t="str">
        <f>DATA_PROPERTY_MASTER!$A$18</f>
        <v>BLD_AS</v>
      </c>
      <c r="D4231" s="380">
        <f>'00_PORTFOLIO ROLLUP'!O$12</f>
        <v>2035</v>
      </c>
      <c r="E4231" s="366" t="s">
        <v>1721</v>
      </c>
      <c r="F4231" s="366" t="s">
        <v>33</v>
      </c>
      <c r="G4231" s="348" t="str">
        <f>"'"&amp;$C4231&amp;"'!$E$62:$Y$62"</f>
        <v>'BLD_AS'!$E$62:$Y$62</v>
      </c>
      <c r="H4231" s="381">
        <f ca="1">IF(IFERROR(INDEX(DATA_PROPERTY_MASTER!$E$5:$E$21,MATCH($C4231,DATA_PROPERTY_MASTER!$A$5:$A$21,0))="Yes",FALSE),IFERROR(INDEX(INDIRECT("'"&amp;$C4231&amp;"'!$E$62:$Y$62"),1,MATCH($D4231,INDIRECT("'"&amp;$C4231&amp;"'!$E$12:$Y$12"),0)),0),0)</f>
        <v>0</v>
      </c>
      <c r="I4231" s="366" t="s">
        <v>1685</v>
      </c>
      <c r="J4231" s="348" t="str">
        <f t="shared" ca="1" si="132"/>
        <v>OK</v>
      </c>
      <c r="K4231" s="366" t="s">
        <v>1727</v>
      </c>
      <c r="L4231" s="366" t="s">
        <v>2254</v>
      </c>
      <c r="M4231" s="350" t="str">
        <f>IF($B4231="Portfolio","Portfolio",IFERROR(INDEX(DATA_ASSET_CLASSIFICATION!$B$8:$B$24,MATCH($C4231,DATA_ASSET_CLASSIFICATION!$A$8:$A$24,0)),"Review"))</f>
        <v>1656 Adanac Street</v>
      </c>
      <c r="N4231" s="350" t="str">
        <f>IF($B4231="Portfolio","Portfolio",IFERROR(INDEX(DATA_ASSET_CLASSIFICATION!$U$8:$U$24,MATCH($C4231,DATA_ASSET_CLASSIFICATION!$A$8:$A$24,0)),"Review"))</f>
        <v>New Build</v>
      </c>
      <c r="O4231" s="350" t="str">
        <f>IF($B4231="Portfolio","Portfolio",IFERROR(INDEX(DATA_ASSET_CLASSIFICATION!$AB$8:$AB$13,MATCH($N4231,DATA_ASSET_CLASSIFICATION!$AA$8:$AA$13,0)),"Review"))</f>
        <v>Bucket 1 · New Build</v>
      </c>
      <c r="P4231" s="350" t="str">
        <f>IF($B4231="Portfolio","Portfolio",IFERROR(INDEX(DATA_ASSET_CLASSIFICATION!$C$8:$C$24,MATCH($C4231,DATA_ASSET_CLASSIFICATION!$A$8:$A$24,0)),"Review"))</f>
        <v>Yes</v>
      </c>
      <c r="Q4231" s="350" t="str">
        <f t="shared" ca="1" si="133"/>
        <v>OK</v>
      </c>
    </row>
    <row r="4232" spans="1:17">
      <c r="A4232" s="366" t="s">
        <v>6188</v>
      </c>
      <c r="B4232" s="366" t="s">
        <v>231</v>
      </c>
      <c r="C4232" s="348" t="str">
        <f>DATA_PROPERTY_MASTER!$A$18</f>
        <v>BLD_AS</v>
      </c>
      <c r="D4232" s="380">
        <f>'00_PORTFOLIO ROLLUP'!O$12</f>
        <v>2035</v>
      </c>
      <c r="E4232" s="366" t="s">
        <v>1721</v>
      </c>
      <c r="F4232" s="366" t="s">
        <v>35</v>
      </c>
      <c r="G4232" s="348" t="str">
        <f>"'"&amp;$C4232&amp;"'!$E$63:$Y$63"</f>
        <v>'BLD_AS'!$E$63:$Y$63</v>
      </c>
      <c r="H4232" s="381">
        <f ca="1">IF(IFERROR(INDEX(DATA_PROPERTY_MASTER!$E$5:$E$21,MATCH($C4232,DATA_PROPERTY_MASTER!$A$5:$A$21,0))="Yes",FALSE),IFERROR(INDEX(INDIRECT("'"&amp;$C4232&amp;"'!$E$63:$Y$63"),1,MATCH($D4232,INDIRECT("'"&amp;$C4232&amp;"'!$E$12:$Y$12"),0)),0),0)</f>
        <v>0</v>
      </c>
      <c r="I4232" s="366" t="s">
        <v>1731</v>
      </c>
      <c r="J4232" s="348" t="str">
        <f t="shared" ca="1" si="132"/>
        <v>OK</v>
      </c>
      <c r="K4232" s="366" t="s">
        <v>1732</v>
      </c>
      <c r="L4232" s="366" t="s">
        <v>2256</v>
      </c>
      <c r="M4232" s="350" t="str">
        <f>IF($B4232="Portfolio","Portfolio",IFERROR(INDEX(DATA_ASSET_CLASSIFICATION!$B$8:$B$24,MATCH($C4232,DATA_ASSET_CLASSIFICATION!$A$8:$A$24,0)),"Review"))</f>
        <v>1656 Adanac Street</v>
      </c>
      <c r="N4232" s="350" t="str">
        <f>IF($B4232="Portfolio","Portfolio",IFERROR(INDEX(DATA_ASSET_CLASSIFICATION!$U$8:$U$24,MATCH($C4232,DATA_ASSET_CLASSIFICATION!$A$8:$A$24,0)),"Review"))</f>
        <v>New Build</v>
      </c>
      <c r="O4232" s="350" t="str">
        <f>IF($B4232="Portfolio","Portfolio",IFERROR(INDEX(DATA_ASSET_CLASSIFICATION!$AB$8:$AB$13,MATCH($N4232,DATA_ASSET_CLASSIFICATION!$AA$8:$AA$13,0)),"Review"))</f>
        <v>Bucket 1 · New Build</v>
      </c>
      <c r="P4232" s="350" t="str">
        <f>IF($B4232="Portfolio","Portfolio",IFERROR(INDEX(DATA_ASSET_CLASSIFICATION!$C$8:$C$24,MATCH($C4232,DATA_ASSET_CLASSIFICATION!$A$8:$A$24,0)),"Review"))</f>
        <v>Yes</v>
      </c>
      <c r="Q4232" s="350" t="str">
        <f t="shared" ca="1" si="133"/>
        <v>OK</v>
      </c>
    </row>
    <row r="4233" spans="1:17">
      <c r="A4233" s="366" t="s">
        <v>6189</v>
      </c>
      <c r="B4233" s="366" t="s">
        <v>231</v>
      </c>
      <c r="C4233" s="348" t="str">
        <f>DATA_PROPERTY_MASTER!$A$18</f>
        <v>BLD_AS</v>
      </c>
      <c r="D4233" s="380">
        <f>'00_PORTFOLIO ROLLUP'!O$12</f>
        <v>2035</v>
      </c>
      <c r="E4233" s="366" t="s">
        <v>1721</v>
      </c>
      <c r="F4233" s="366" t="s">
        <v>37</v>
      </c>
      <c r="G4233" s="348" t="str">
        <f>"'"&amp;$C4233&amp;"'!$E$63:$Y$63"</f>
        <v>'BLD_AS'!$E$63:$Y$63</v>
      </c>
      <c r="H4233" s="381">
        <f ca="1">IF(IFERROR(INDEX(DATA_PROPERTY_MASTER!$E$5:$E$21,MATCH($C4233,DATA_PROPERTY_MASTER!$A$5:$A$21,0))="Yes",FALSE),MAX(IFERROR(INDEX(INDIRECT("'"&amp;$C4233&amp;"'!$E$63:$Y$63"),1,MATCH($D4233,INDIRECT("'"&amp;$C4233&amp;"'!$E$12:$Y$12"),0)),0),0),0)</f>
        <v>0</v>
      </c>
      <c r="I4233" s="366" t="s">
        <v>1685</v>
      </c>
      <c r="J4233" s="348" t="str">
        <f t="shared" ca="1" si="132"/>
        <v>OK</v>
      </c>
      <c r="K4233" s="366" t="s">
        <v>1735</v>
      </c>
      <c r="L4233" s="366" t="s">
        <v>2258</v>
      </c>
      <c r="M4233" s="350" t="str">
        <f>IF($B4233="Portfolio","Portfolio",IFERROR(INDEX(DATA_ASSET_CLASSIFICATION!$B$8:$B$24,MATCH($C4233,DATA_ASSET_CLASSIFICATION!$A$8:$A$24,0)),"Review"))</f>
        <v>1656 Adanac Street</v>
      </c>
      <c r="N4233" s="350" t="str">
        <f>IF($B4233="Portfolio","Portfolio",IFERROR(INDEX(DATA_ASSET_CLASSIFICATION!$U$8:$U$24,MATCH($C4233,DATA_ASSET_CLASSIFICATION!$A$8:$A$24,0)),"Review"))</f>
        <v>New Build</v>
      </c>
      <c r="O4233" s="350" t="str">
        <f>IF($B4233="Portfolio","Portfolio",IFERROR(INDEX(DATA_ASSET_CLASSIFICATION!$AB$8:$AB$13,MATCH($N4233,DATA_ASSET_CLASSIFICATION!$AA$8:$AA$13,0)),"Review"))</f>
        <v>Bucket 1 · New Build</v>
      </c>
      <c r="P4233" s="350" t="str">
        <f>IF($B4233="Portfolio","Portfolio",IFERROR(INDEX(DATA_ASSET_CLASSIFICATION!$C$8:$C$24,MATCH($C4233,DATA_ASSET_CLASSIFICATION!$A$8:$A$24,0)),"Review"))</f>
        <v>Yes</v>
      </c>
      <c r="Q4233" s="350" t="str">
        <f t="shared" ca="1" si="133"/>
        <v>OK</v>
      </c>
    </row>
    <row r="4234" spans="1:17">
      <c r="A4234" s="366" t="s">
        <v>6190</v>
      </c>
      <c r="B4234" s="366" t="s">
        <v>231</v>
      </c>
      <c r="C4234" s="348" t="str">
        <f>DATA_PROPERTY_MASTER!$A$18</f>
        <v>BLD_AS</v>
      </c>
      <c r="D4234" s="380">
        <f>'00_PORTFOLIO ROLLUP'!O$12</f>
        <v>2035</v>
      </c>
      <c r="E4234" s="366" t="s">
        <v>1721</v>
      </c>
      <c r="F4234" s="366" t="s">
        <v>39</v>
      </c>
      <c r="G4234" s="348" t="str">
        <f>"'"&amp;$C4234&amp;"'!$E$63:$Y$63"</f>
        <v>'BLD_AS'!$E$63:$Y$63</v>
      </c>
      <c r="H4234" s="381">
        <f ca="1">IF(IFERROR(INDEX(DATA_PROPERTY_MASTER!$E$5:$E$21,MATCH($C4234,DATA_PROPERTY_MASTER!$A$5:$A$21,0))="Yes",FALSE),MAX(-IFERROR(INDEX(INDIRECT("'"&amp;$C4234&amp;"'!$E$63:$Y$63"),1,MATCH($D4234,INDIRECT("'"&amp;$C4234&amp;"'!$E$12:$Y$12"),0)),0),0),0)</f>
        <v>0</v>
      </c>
      <c r="I4234" s="366" t="s">
        <v>1690</v>
      </c>
      <c r="J4234" s="348" t="str">
        <f t="shared" ca="1" si="132"/>
        <v>OK</v>
      </c>
      <c r="K4234" s="366" t="s">
        <v>1738</v>
      </c>
      <c r="L4234" s="366" t="s">
        <v>2260</v>
      </c>
      <c r="M4234" s="350" t="str">
        <f>IF($B4234="Portfolio","Portfolio",IFERROR(INDEX(DATA_ASSET_CLASSIFICATION!$B$8:$B$24,MATCH($C4234,DATA_ASSET_CLASSIFICATION!$A$8:$A$24,0)),"Review"))</f>
        <v>1656 Adanac Street</v>
      </c>
      <c r="N4234" s="350" t="str">
        <f>IF($B4234="Portfolio","Portfolio",IFERROR(INDEX(DATA_ASSET_CLASSIFICATION!$U$8:$U$24,MATCH($C4234,DATA_ASSET_CLASSIFICATION!$A$8:$A$24,0)),"Review"))</f>
        <v>New Build</v>
      </c>
      <c r="O4234" s="350" t="str">
        <f>IF($B4234="Portfolio","Portfolio",IFERROR(INDEX(DATA_ASSET_CLASSIFICATION!$AB$8:$AB$13,MATCH($N4234,DATA_ASSET_CLASSIFICATION!$AA$8:$AA$13,0)),"Review"))</f>
        <v>Bucket 1 · New Build</v>
      </c>
      <c r="P4234" s="350" t="str">
        <f>IF($B4234="Portfolio","Portfolio",IFERROR(INDEX(DATA_ASSET_CLASSIFICATION!$C$8:$C$24,MATCH($C4234,DATA_ASSET_CLASSIFICATION!$A$8:$A$24,0)),"Review"))</f>
        <v>Yes</v>
      </c>
      <c r="Q4234" s="350" t="str">
        <f t="shared" ca="1" si="133"/>
        <v>OK</v>
      </c>
    </row>
    <row r="4235" spans="1:17">
      <c r="A4235" s="366" t="s">
        <v>6191</v>
      </c>
      <c r="B4235" s="366" t="s">
        <v>231</v>
      </c>
      <c r="C4235" s="348" t="str">
        <f>DATA_PROPERTY_MASTER!$A$18</f>
        <v>BLD_AS</v>
      </c>
      <c r="D4235" s="380">
        <f>'00_PORTFOLIO ROLLUP'!O$12</f>
        <v>2035</v>
      </c>
      <c r="E4235" s="366" t="s">
        <v>1741</v>
      </c>
      <c r="F4235" s="366" t="s">
        <v>41</v>
      </c>
      <c r="G4235" s="348" t="str">
        <f>"'"&amp;$C4235&amp;"'!rows 56 + positive row 63"</f>
        <v>'BLD_AS'!rows 56 + positive row 63</v>
      </c>
      <c r="H4235" s="381">
        <f ca="1">IF(IFERROR(INDEX(DATA_PROPERTY_MASTER!$E$5:$E$21,MATCH($C4235,DATA_PROPERTY_MASTER!$A$5:$A$21,0))="Yes",FALSE),IFERROR(INDEX(INDIRECT("'"&amp;$C4235&amp;"'!$E$56:$Y$56"),1,MATCH($D4235,INDIRECT("'"&amp;$C4235&amp;"'!$E$12:$Y$12"),0)),0)+MAX(IFERROR(INDEX(INDIRECT("'"&amp;$C4235&amp;"'!$E$63:$Y$63"),1,MATCH($D4235,INDIRECT("'"&amp;$C4235&amp;"'!$E$12:$Y$12"),0)),0),0),0)</f>
        <v>186289.64832573495</v>
      </c>
      <c r="I4235" s="366" t="s">
        <v>1685</v>
      </c>
      <c r="J4235" s="348" t="str">
        <f t="shared" ca="1" si="132"/>
        <v>OK</v>
      </c>
      <c r="K4235" s="366" t="s">
        <v>1742</v>
      </c>
      <c r="L4235" s="366" t="s">
        <v>2262</v>
      </c>
      <c r="M4235" s="350" t="str">
        <f>IF($B4235="Portfolio","Portfolio",IFERROR(INDEX(DATA_ASSET_CLASSIFICATION!$B$8:$B$24,MATCH($C4235,DATA_ASSET_CLASSIFICATION!$A$8:$A$24,0)),"Review"))</f>
        <v>1656 Adanac Street</v>
      </c>
      <c r="N4235" s="350" t="str">
        <f>IF($B4235="Portfolio","Portfolio",IFERROR(INDEX(DATA_ASSET_CLASSIFICATION!$U$8:$U$24,MATCH($C4235,DATA_ASSET_CLASSIFICATION!$A$8:$A$24,0)),"Review"))</f>
        <v>New Build</v>
      </c>
      <c r="O4235" s="350" t="str">
        <f>IF($B4235="Portfolio","Portfolio",IFERROR(INDEX(DATA_ASSET_CLASSIFICATION!$AB$8:$AB$13,MATCH($N4235,DATA_ASSET_CLASSIFICATION!$AA$8:$AA$13,0)),"Review"))</f>
        <v>Bucket 1 · New Build</v>
      </c>
      <c r="P4235" s="350" t="str">
        <f>IF($B4235="Portfolio","Portfolio",IFERROR(INDEX(DATA_ASSET_CLASSIFICATION!$C$8:$C$24,MATCH($C4235,DATA_ASSET_CLASSIFICATION!$A$8:$A$24,0)),"Review"))</f>
        <v>Yes</v>
      </c>
      <c r="Q4235" s="350" t="str">
        <f t="shared" ca="1" si="133"/>
        <v>OK</v>
      </c>
    </row>
    <row r="4236" spans="1:17">
      <c r="A4236" s="366" t="s">
        <v>6192</v>
      </c>
      <c r="B4236" s="366" t="s">
        <v>231</v>
      </c>
      <c r="C4236" s="348" t="str">
        <f>DATA_PROPERTY_MASTER!$A$18</f>
        <v>BLD_AS</v>
      </c>
      <c r="D4236" s="380">
        <f>'00_PORTFOLIO ROLLUP'!O$12</f>
        <v>2035</v>
      </c>
      <c r="E4236" s="366" t="s">
        <v>1741</v>
      </c>
      <c r="F4236" s="366" t="s">
        <v>43</v>
      </c>
      <c r="G4236" s="348" t="str">
        <f>"'"&amp;$C4236&amp;"'!$E$68:$Y$68"</f>
        <v>'BLD_AS'!$E$68:$Y$68</v>
      </c>
      <c r="H4236" s="381">
        <f ca="1">IF(IFERROR(INDEX(DATA_PROPERTY_MASTER!$E$5:$E$21,MATCH($C4236,DATA_PROPERTY_MASTER!$A$5:$A$21,0))="Yes",FALSE),IFERROR(INDEX(INDIRECT("'"&amp;$C4236&amp;"'!$E$68:$Y$68"),1,MATCH($D4236,INDIRECT("'"&amp;$C4236&amp;"'!$E$12:$Y$12"),0)),0),0)</f>
        <v>186289.64832573495</v>
      </c>
      <c r="I4236" s="366" t="s">
        <v>1731</v>
      </c>
      <c r="J4236" s="348" t="str">
        <f t="shared" ca="1" si="132"/>
        <v>OK</v>
      </c>
      <c r="K4236" s="366" t="s">
        <v>1746</v>
      </c>
      <c r="L4236" s="366" t="s">
        <v>2264</v>
      </c>
      <c r="M4236" s="350" t="str">
        <f>IF($B4236="Portfolio","Portfolio",IFERROR(INDEX(DATA_ASSET_CLASSIFICATION!$B$8:$B$24,MATCH($C4236,DATA_ASSET_CLASSIFICATION!$A$8:$A$24,0)),"Review"))</f>
        <v>1656 Adanac Street</v>
      </c>
      <c r="N4236" s="350" t="str">
        <f>IF($B4236="Portfolio","Portfolio",IFERROR(INDEX(DATA_ASSET_CLASSIFICATION!$U$8:$U$24,MATCH($C4236,DATA_ASSET_CLASSIFICATION!$A$8:$A$24,0)),"Review"))</f>
        <v>New Build</v>
      </c>
      <c r="O4236" s="350" t="str">
        <f>IF($B4236="Portfolio","Portfolio",IFERROR(INDEX(DATA_ASSET_CLASSIFICATION!$AB$8:$AB$13,MATCH($N4236,DATA_ASSET_CLASSIFICATION!$AA$8:$AA$13,0)),"Review"))</f>
        <v>Bucket 1 · New Build</v>
      </c>
      <c r="P4236" s="350" t="str">
        <f>IF($B4236="Portfolio","Portfolio",IFERROR(INDEX(DATA_ASSET_CLASSIFICATION!$C$8:$C$24,MATCH($C4236,DATA_ASSET_CLASSIFICATION!$A$8:$A$24,0)),"Review"))</f>
        <v>Yes</v>
      </c>
      <c r="Q4236" s="350" t="str">
        <f t="shared" ca="1" si="133"/>
        <v>OK</v>
      </c>
    </row>
    <row r="4237" spans="1:17">
      <c r="A4237" s="366" t="s">
        <v>6193</v>
      </c>
      <c r="B4237" s="366" t="s">
        <v>231</v>
      </c>
      <c r="C4237" s="348" t="str">
        <f>DATA_PROPERTY_MASTER!$A$18</f>
        <v>BLD_AS</v>
      </c>
      <c r="D4237" s="380">
        <f>'00_PORTFOLIO ROLLUP'!O$12</f>
        <v>2035</v>
      </c>
      <c r="E4237" s="366" t="s">
        <v>1741</v>
      </c>
      <c r="F4237" s="366" t="s">
        <v>1749</v>
      </c>
      <c r="G4237" s="348" t="str">
        <f>"'"&amp;$C4237&amp;"'!rows 56, 63, 68"</f>
        <v>'BLD_AS'!rows 56, 63, 68</v>
      </c>
      <c r="H4237" s="381">
        <f ca="1">IF(IFERROR(INDEX(DATA_PROPERTY_MASTER!$E$5:$E$21,MATCH($C4237,DATA_PROPERTY_MASTER!$A$5:$A$21,0))="Yes",FALSE),(IFERROR(INDEX(INDIRECT("'"&amp;$C4237&amp;"'!$E$56:$Y$56"),1,MATCH($D4237,INDIRECT("'"&amp;$C4237&amp;"'!$E$12:$Y$12"),0)),0)+MAX(IFERROR(INDEX(INDIRECT("'"&amp;$C4237&amp;"'!$E$63:$Y$63"),1,MATCH($D4237,INDIRECT("'"&amp;$C4237&amp;"'!$E$12:$Y$12"),0)),0),0))-(IFERROR(INDEX(INDIRECT("'"&amp;$C4237&amp;"'!$E$68:$Y$68"),1,MATCH($D4237,INDIRECT("'"&amp;$C4237&amp;"'!$E$12:$Y$12"),0)),0)),0)</f>
        <v>0</v>
      </c>
      <c r="I4237" s="366" t="s">
        <v>1750</v>
      </c>
      <c r="J4237" s="348" t="str">
        <f t="shared" ca="1" si="132"/>
        <v>OK</v>
      </c>
      <c r="K4237" s="366" t="s">
        <v>1751</v>
      </c>
      <c r="L4237" s="366" t="s">
        <v>2266</v>
      </c>
      <c r="M4237" s="350" t="str">
        <f>IF($B4237="Portfolio","Portfolio",IFERROR(INDEX(DATA_ASSET_CLASSIFICATION!$B$8:$B$24,MATCH($C4237,DATA_ASSET_CLASSIFICATION!$A$8:$A$24,0)),"Review"))</f>
        <v>1656 Adanac Street</v>
      </c>
      <c r="N4237" s="350" t="str">
        <f>IF($B4237="Portfolio","Portfolio",IFERROR(INDEX(DATA_ASSET_CLASSIFICATION!$U$8:$U$24,MATCH($C4237,DATA_ASSET_CLASSIFICATION!$A$8:$A$24,0)),"Review"))</f>
        <v>New Build</v>
      </c>
      <c r="O4237" s="350" t="str">
        <f>IF($B4237="Portfolio","Portfolio",IFERROR(INDEX(DATA_ASSET_CLASSIFICATION!$AB$8:$AB$13,MATCH($N4237,DATA_ASSET_CLASSIFICATION!$AA$8:$AA$13,0)),"Review"))</f>
        <v>Bucket 1 · New Build</v>
      </c>
      <c r="P4237" s="350" t="str">
        <f>IF($B4237="Portfolio","Portfolio",IFERROR(INDEX(DATA_ASSET_CLASSIFICATION!$C$8:$C$24,MATCH($C4237,DATA_ASSET_CLASSIFICATION!$A$8:$A$24,0)),"Review"))</f>
        <v>Yes</v>
      </c>
      <c r="Q4237" s="350" t="str">
        <f t="shared" ca="1" si="133"/>
        <v>OK</v>
      </c>
    </row>
    <row r="4238" spans="1:17">
      <c r="A4238" s="366" t="s">
        <v>6194</v>
      </c>
      <c r="B4238" s="366" t="s">
        <v>231</v>
      </c>
      <c r="C4238" s="348" t="str">
        <f>DATA_PROPERTY_MASTER!$A$18</f>
        <v>BLD_AS</v>
      </c>
      <c r="D4238" s="380">
        <f>'00_PORTFOLIO ROLLUP'!P$12</f>
        <v>2036</v>
      </c>
      <c r="E4238" s="366" t="s">
        <v>1683</v>
      </c>
      <c r="F4238" s="366" t="s">
        <v>341</v>
      </c>
      <c r="G4238" s="348" t="str">
        <f>"'"&amp;$C4238&amp;"'!$E$24:$Y$24"</f>
        <v>'BLD_AS'!$E$24:$Y$24</v>
      </c>
      <c r="H4238" s="381">
        <f ca="1">IF(IFERROR(INDEX(DATA_PROPERTY_MASTER!$E$5:$E$21,MATCH($C4238,DATA_PROPERTY_MASTER!$A$5:$A$21,0))="Yes",FALSE),IFERROR(INDEX(INDIRECT("'"&amp;$C4238&amp;"'!$E$24:$Y$24"),1,MATCH($D4238,INDIRECT("'"&amp;$C4238&amp;"'!$E$12:$Y$12"),0)),0),0)</f>
        <v>2385495.7852631821</v>
      </c>
      <c r="I4238" s="366" t="s">
        <v>1685</v>
      </c>
      <c r="J4238" s="348" t="str">
        <f t="shared" ca="1" si="132"/>
        <v>OK</v>
      </c>
      <c r="K4238" s="366" t="s">
        <v>1686</v>
      </c>
      <c r="L4238" s="366" t="s">
        <v>2234</v>
      </c>
      <c r="M4238" s="350" t="str">
        <f>IF($B4238="Portfolio","Portfolio",IFERROR(INDEX(DATA_ASSET_CLASSIFICATION!$B$8:$B$24,MATCH($C4238,DATA_ASSET_CLASSIFICATION!$A$8:$A$24,0)),"Review"))</f>
        <v>1656 Adanac Street</v>
      </c>
      <c r="N4238" s="350" t="str">
        <f>IF($B4238="Portfolio","Portfolio",IFERROR(INDEX(DATA_ASSET_CLASSIFICATION!$U$8:$U$24,MATCH($C4238,DATA_ASSET_CLASSIFICATION!$A$8:$A$24,0)),"Review"))</f>
        <v>New Build</v>
      </c>
      <c r="O4238" s="350" t="str">
        <f>IF($B4238="Portfolio","Portfolio",IFERROR(INDEX(DATA_ASSET_CLASSIFICATION!$AB$8:$AB$13,MATCH($N4238,DATA_ASSET_CLASSIFICATION!$AA$8:$AA$13,0)),"Review"))</f>
        <v>Bucket 1 · New Build</v>
      </c>
      <c r="P4238" s="350" t="str">
        <f>IF($B4238="Portfolio","Portfolio",IFERROR(INDEX(DATA_ASSET_CLASSIFICATION!$C$8:$C$24,MATCH($C4238,DATA_ASSET_CLASSIFICATION!$A$8:$A$24,0)),"Review"))</f>
        <v>Yes</v>
      </c>
      <c r="Q4238" s="350" t="str">
        <f t="shared" ca="1" si="133"/>
        <v>OK</v>
      </c>
    </row>
    <row r="4239" spans="1:17">
      <c r="A4239" s="366" t="s">
        <v>6195</v>
      </c>
      <c r="B4239" s="366" t="s">
        <v>231</v>
      </c>
      <c r="C4239" s="348" t="str">
        <f>DATA_PROPERTY_MASTER!$A$18</f>
        <v>BLD_AS</v>
      </c>
      <c r="D4239" s="380">
        <f>'00_PORTFOLIO ROLLUP'!P$12</f>
        <v>2036</v>
      </c>
      <c r="E4239" s="366" t="s">
        <v>1683</v>
      </c>
      <c r="F4239" s="366" t="s">
        <v>355</v>
      </c>
      <c r="G4239" s="348" t="str">
        <f>"'"&amp;$C4239&amp;"'!$E$39:$Y$39"</f>
        <v>'BLD_AS'!$E$39:$Y$39</v>
      </c>
      <c r="H4239" s="381">
        <f ca="1">IF(IFERROR(INDEX(DATA_PROPERTY_MASTER!$E$5:$E$21,MATCH($C4239,DATA_PROPERTY_MASTER!$A$5:$A$21,0))="Yes",FALSE),IFERROR(INDEX(INDIRECT("'"&amp;$C4239&amp;"'!$E$39:$Y$39"),1,MATCH($D4239,INDIRECT("'"&amp;$C4239&amp;"'!$E$12:$Y$12"),0)),0),0)</f>
        <v>1094031.412529787</v>
      </c>
      <c r="I4239" s="366" t="s">
        <v>1690</v>
      </c>
      <c r="J4239" s="348" t="str">
        <f t="shared" ca="1" si="132"/>
        <v>OK</v>
      </c>
      <c r="K4239" s="366" t="s">
        <v>1686</v>
      </c>
      <c r="L4239" s="366" t="s">
        <v>2236</v>
      </c>
      <c r="M4239" s="350" t="str">
        <f>IF($B4239="Portfolio","Portfolio",IFERROR(INDEX(DATA_ASSET_CLASSIFICATION!$B$8:$B$24,MATCH($C4239,DATA_ASSET_CLASSIFICATION!$A$8:$A$24,0)),"Review"))</f>
        <v>1656 Adanac Street</v>
      </c>
      <c r="N4239" s="350" t="str">
        <f>IF($B4239="Portfolio","Portfolio",IFERROR(INDEX(DATA_ASSET_CLASSIFICATION!$U$8:$U$24,MATCH($C4239,DATA_ASSET_CLASSIFICATION!$A$8:$A$24,0)),"Review"))</f>
        <v>New Build</v>
      </c>
      <c r="O4239" s="350" t="str">
        <f>IF($B4239="Portfolio","Portfolio",IFERROR(INDEX(DATA_ASSET_CLASSIFICATION!$AB$8:$AB$13,MATCH($N4239,DATA_ASSET_CLASSIFICATION!$AA$8:$AA$13,0)),"Review"))</f>
        <v>Bucket 1 · New Build</v>
      </c>
      <c r="P4239" s="350" t="str">
        <f>IF($B4239="Portfolio","Portfolio",IFERROR(INDEX(DATA_ASSET_CLASSIFICATION!$C$8:$C$24,MATCH($C4239,DATA_ASSET_CLASSIFICATION!$A$8:$A$24,0)),"Review"))</f>
        <v>Yes</v>
      </c>
      <c r="Q4239" s="350" t="str">
        <f t="shared" ca="1" si="133"/>
        <v>OK</v>
      </c>
    </row>
    <row r="4240" spans="1:17">
      <c r="A4240" s="366" t="s">
        <v>6196</v>
      </c>
      <c r="B4240" s="366" t="s">
        <v>231</v>
      </c>
      <c r="C4240" s="348" t="str">
        <f>DATA_PROPERTY_MASTER!$A$18</f>
        <v>BLD_AS</v>
      </c>
      <c r="D4240" s="380">
        <f>'00_PORTFOLIO ROLLUP'!P$12</f>
        <v>2036</v>
      </c>
      <c r="E4240" s="366" t="s">
        <v>1683</v>
      </c>
      <c r="F4240" s="366" t="s">
        <v>19</v>
      </c>
      <c r="G4240" s="348" t="str">
        <f>"'"&amp;$C4240&amp;"'!$E$41:$Y$41"</f>
        <v>'BLD_AS'!$E$41:$Y$41</v>
      </c>
      <c r="H4240" s="381">
        <f ca="1">IF(IFERROR(INDEX(DATA_PROPERTY_MASTER!$E$5:$E$21,MATCH($C4240,DATA_PROPERTY_MASTER!$A$5:$A$21,0))="Yes",FALSE),IFERROR(INDEX(INDIRECT("'"&amp;$C4240&amp;"'!$E$41:$Y$41"),1,MATCH($D4240,INDIRECT("'"&amp;$C4240&amp;"'!$E$12:$Y$12"),0)),0),0)</f>
        <v>1291464.3727333951</v>
      </c>
      <c r="I4240" s="366" t="s">
        <v>1685</v>
      </c>
      <c r="J4240" s="348" t="str">
        <f t="shared" ca="1" si="132"/>
        <v>OK</v>
      </c>
      <c r="K4240" s="366" t="s">
        <v>1694</v>
      </c>
      <c r="L4240" s="366" t="s">
        <v>2238</v>
      </c>
      <c r="M4240" s="350" t="str">
        <f>IF($B4240="Portfolio","Portfolio",IFERROR(INDEX(DATA_ASSET_CLASSIFICATION!$B$8:$B$24,MATCH($C4240,DATA_ASSET_CLASSIFICATION!$A$8:$A$24,0)),"Review"))</f>
        <v>1656 Adanac Street</v>
      </c>
      <c r="N4240" s="350" t="str">
        <f>IF($B4240="Portfolio","Portfolio",IFERROR(INDEX(DATA_ASSET_CLASSIFICATION!$U$8:$U$24,MATCH($C4240,DATA_ASSET_CLASSIFICATION!$A$8:$A$24,0)),"Review"))</f>
        <v>New Build</v>
      </c>
      <c r="O4240" s="350" t="str">
        <f>IF($B4240="Portfolio","Portfolio",IFERROR(INDEX(DATA_ASSET_CLASSIFICATION!$AB$8:$AB$13,MATCH($N4240,DATA_ASSET_CLASSIFICATION!$AA$8:$AA$13,0)),"Review"))</f>
        <v>Bucket 1 · New Build</v>
      </c>
      <c r="P4240" s="350" t="str">
        <f>IF($B4240="Portfolio","Portfolio",IFERROR(INDEX(DATA_ASSET_CLASSIFICATION!$C$8:$C$24,MATCH($C4240,DATA_ASSET_CLASSIFICATION!$A$8:$A$24,0)),"Review"))</f>
        <v>Yes</v>
      </c>
      <c r="Q4240" s="350" t="str">
        <f t="shared" ca="1" si="133"/>
        <v>OK</v>
      </c>
    </row>
    <row r="4241" spans="1:17">
      <c r="A4241" s="366" t="s">
        <v>6197</v>
      </c>
      <c r="B4241" s="366" t="s">
        <v>231</v>
      </c>
      <c r="C4241" s="348" t="str">
        <f>DATA_PROPERTY_MASTER!$A$18</f>
        <v>BLD_AS</v>
      </c>
      <c r="D4241" s="380">
        <f>'00_PORTFOLIO ROLLUP'!P$12</f>
        <v>2036</v>
      </c>
      <c r="E4241" s="366" t="s">
        <v>1683</v>
      </c>
      <c r="F4241" s="366" t="s">
        <v>1697</v>
      </c>
      <c r="G4241" s="348" t="str">
        <f>"'"&amp;$C4241&amp;"'!$E$44:$Y$44"</f>
        <v>'BLD_AS'!$E$44:$Y$44</v>
      </c>
      <c r="H4241" s="381">
        <f ca="1">IF(IFERROR(INDEX(DATA_PROPERTY_MASTER!$E$5:$E$21,MATCH($C4241,DATA_PROPERTY_MASTER!$A$5:$A$21,0))="Yes",FALSE),IFERROR(INDEX(INDIRECT("'"&amp;$C4241&amp;"'!$E$44:$Y$44"),1,MATCH($D4241,INDIRECT("'"&amp;$C4241&amp;"'!$E$12:$Y$12"),0)),0),0)</f>
        <v>18091.096187142186</v>
      </c>
      <c r="I4241" s="366" t="s">
        <v>1690</v>
      </c>
      <c r="J4241" s="348" t="str">
        <f t="shared" ca="1" si="132"/>
        <v>OK</v>
      </c>
      <c r="K4241" s="366" t="s">
        <v>1699</v>
      </c>
      <c r="L4241" s="366" t="s">
        <v>2240</v>
      </c>
      <c r="M4241" s="350" t="str">
        <f>IF($B4241="Portfolio","Portfolio",IFERROR(INDEX(DATA_ASSET_CLASSIFICATION!$B$8:$B$24,MATCH($C4241,DATA_ASSET_CLASSIFICATION!$A$8:$A$24,0)),"Review"))</f>
        <v>1656 Adanac Street</v>
      </c>
      <c r="N4241" s="350" t="str">
        <f>IF($B4241="Portfolio","Portfolio",IFERROR(INDEX(DATA_ASSET_CLASSIFICATION!$U$8:$U$24,MATCH($C4241,DATA_ASSET_CLASSIFICATION!$A$8:$A$24,0)),"Review"))</f>
        <v>New Build</v>
      </c>
      <c r="O4241" s="350" t="str">
        <f>IF($B4241="Portfolio","Portfolio",IFERROR(INDEX(DATA_ASSET_CLASSIFICATION!$AB$8:$AB$13,MATCH($N4241,DATA_ASSET_CLASSIFICATION!$AA$8:$AA$13,0)),"Review"))</f>
        <v>Bucket 1 · New Build</v>
      </c>
      <c r="P4241" s="350" t="str">
        <f>IF($B4241="Portfolio","Portfolio",IFERROR(INDEX(DATA_ASSET_CLASSIFICATION!$C$8:$C$24,MATCH($C4241,DATA_ASSET_CLASSIFICATION!$A$8:$A$24,0)),"Review"))</f>
        <v>Yes</v>
      </c>
      <c r="Q4241" s="350" t="str">
        <f t="shared" ca="1" si="133"/>
        <v>OK</v>
      </c>
    </row>
    <row r="4242" spans="1:17">
      <c r="A4242" s="366" t="s">
        <v>6198</v>
      </c>
      <c r="B4242" s="366" t="s">
        <v>231</v>
      </c>
      <c r="C4242" s="348" t="str">
        <f>DATA_PROPERTY_MASTER!$A$18</f>
        <v>BLD_AS</v>
      </c>
      <c r="D4242" s="380">
        <f>'00_PORTFOLIO ROLLUP'!P$12</f>
        <v>2036</v>
      </c>
      <c r="E4242" s="366" t="s">
        <v>1683</v>
      </c>
      <c r="F4242" s="366" t="s">
        <v>21</v>
      </c>
      <c r="G4242" s="348" t="str">
        <f>"'"&amp;$C4242&amp;"'!$E$45:$Y$45"</f>
        <v>'BLD_AS'!$E$45:$Y$45</v>
      </c>
      <c r="H4242" s="381">
        <f ca="1">IF(IFERROR(INDEX(DATA_PROPERTY_MASTER!$E$5:$E$21,MATCH($C4242,DATA_PROPERTY_MASTER!$A$5:$A$21,0))="Yes",FALSE),IFERROR(INDEX(INDIRECT("'"&amp;$C4242&amp;"'!$E$45:$Y$45"),1,MATCH($D4242,INDIRECT("'"&amp;$C4242&amp;"'!$E$12:$Y$12"),0)),0),0)</f>
        <v>1273373.2765462529</v>
      </c>
      <c r="I4242" s="366" t="s">
        <v>1685</v>
      </c>
      <c r="J4242" s="348" t="str">
        <f t="shared" ca="1" si="132"/>
        <v>OK</v>
      </c>
      <c r="K4242" s="366" t="s">
        <v>1694</v>
      </c>
      <c r="L4242" s="366" t="s">
        <v>2242</v>
      </c>
      <c r="M4242" s="350" t="str">
        <f>IF($B4242="Portfolio","Portfolio",IFERROR(INDEX(DATA_ASSET_CLASSIFICATION!$B$8:$B$24,MATCH($C4242,DATA_ASSET_CLASSIFICATION!$A$8:$A$24,0)),"Review"))</f>
        <v>1656 Adanac Street</v>
      </c>
      <c r="N4242" s="350" t="str">
        <f>IF($B4242="Portfolio","Portfolio",IFERROR(INDEX(DATA_ASSET_CLASSIFICATION!$U$8:$U$24,MATCH($C4242,DATA_ASSET_CLASSIFICATION!$A$8:$A$24,0)),"Review"))</f>
        <v>New Build</v>
      </c>
      <c r="O4242" s="350" t="str">
        <f>IF($B4242="Portfolio","Portfolio",IFERROR(INDEX(DATA_ASSET_CLASSIFICATION!$AB$8:$AB$13,MATCH($N4242,DATA_ASSET_CLASSIFICATION!$AA$8:$AA$13,0)),"Review"))</f>
        <v>Bucket 1 · New Build</v>
      </c>
      <c r="P4242" s="350" t="str">
        <f>IF($B4242="Portfolio","Portfolio",IFERROR(INDEX(DATA_ASSET_CLASSIFICATION!$C$8:$C$24,MATCH($C4242,DATA_ASSET_CLASSIFICATION!$A$8:$A$24,0)),"Review"))</f>
        <v>Yes</v>
      </c>
      <c r="Q4242" s="350" t="str">
        <f t="shared" ca="1" si="133"/>
        <v>OK</v>
      </c>
    </row>
    <row r="4243" spans="1:17">
      <c r="A4243" s="366" t="s">
        <v>6199</v>
      </c>
      <c r="B4243" s="366" t="s">
        <v>231</v>
      </c>
      <c r="C4243" s="348" t="str">
        <f>DATA_PROPERTY_MASTER!$A$18</f>
        <v>BLD_AS</v>
      </c>
      <c r="D4243" s="380">
        <f>'00_PORTFOLIO ROLLUP'!P$12</f>
        <v>2036</v>
      </c>
      <c r="E4243" s="366" t="s">
        <v>23</v>
      </c>
      <c r="F4243" s="366" t="s">
        <v>23</v>
      </c>
      <c r="G4243" s="348" t="str">
        <f>"'"&amp;$C4243&amp;"'!$E$48:$Y$48"</f>
        <v>'BLD_AS'!$E$48:$Y$48</v>
      </c>
      <c r="H4243" s="381">
        <f ca="1">IF(IFERROR(INDEX(DATA_PROPERTY_MASTER!$E$5:$E$21,MATCH($C4243,DATA_PROPERTY_MASTER!$A$5:$A$21,0))="Yes",FALSE),IFERROR(INDEX(INDIRECT("'"&amp;$C4243&amp;"'!$E$48:$Y$48"),1,MATCH($D4243,INDIRECT("'"&amp;$C4243&amp;"'!$E$12:$Y$12"),0)),0),0)</f>
        <v>805649.51774556539</v>
      </c>
      <c r="I4243" s="366" t="s">
        <v>1690</v>
      </c>
      <c r="J4243" s="348" t="str">
        <f t="shared" ca="1" si="132"/>
        <v>OK</v>
      </c>
      <c r="K4243" s="366" t="s">
        <v>1706</v>
      </c>
      <c r="L4243" s="366" t="s">
        <v>2244</v>
      </c>
      <c r="M4243" s="350" t="str">
        <f>IF($B4243="Portfolio","Portfolio",IFERROR(INDEX(DATA_ASSET_CLASSIFICATION!$B$8:$B$24,MATCH($C4243,DATA_ASSET_CLASSIFICATION!$A$8:$A$24,0)),"Review"))</f>
        <v>1656 Adanac Street</v>
      </c>
      <c r="N4243" s="350" t="str">
        <f>IF($B4243="Portfolio","Portfolio",IFERROR(INDEX(DATA_ASSET_CLASSIFICATION!$U$8:$U$24,MATCH($C4243,DATA_ASSET_CLASSIFICATION!$A$8:$A$24,0)),"Review"))</f>
        <v>New Build</v>
      </c>
      <c r="O4243" s="350" t="str">
        <f>IF($B4243="Portfolio","Portfolio",IFERROR(INDEX(DATA_ASSET_CLASSIFICATION!$AB$8:$AB$13,MATCH($N4243,DATA_ASSET_CLASSIFICATION!$AA$8:$AA$13,0)),"Review"))</f>
        <v>Bucket 1 · New Build</v>
      </c>
      <c r="P4243" s="350" t="str">
        <f>IF($B4243="Portfolio","Portfolio",IFERROR(INDEX(DATA_ASSET_CLASSIFICATION!$C$8:$C$24,MATCH($C4243,DATA_ASSET_CLASSIFICATION!$A$8:$A$24,0)),"Review"))</f>
        <v>Yes</v>
      </c>
      <c r="Q4243" s="350" t="str">
        <f t="shared" ca="1" si="133"/>
        <v>OK</v>
      </c>
    </row>
    <row r="4244" spans="1:17">
      <c r="A4244" s="366" t="s">
        <v>6200</v>
      </c>
      <c r="B4244" s="366" t="s">
        <v>231</v>
      </c>
      <c r="C4244" s="348" t="str">
        <f>DATA_PROPERTY_MASTER!$A$18</f>
        <v>BLD_AS</v>
      </c>
      <c r="D4244" s="380">
        <f>'00_PORTFOLIO ROLLUP'!P$12</f>
        <v>2036</v>
      </c>
      <c r="E4244" s="366" t="s">
        <v>1683</v>
      </c>
      <c r="F4244" s="366" t="s">
        <v>25</v>
      </c>
      <c r="G4244" s="348" t="str">
        <f>"'"&amp;$C4244&amp;"'!$E$52:$Y$52"</f>
        <v>'BLD_AS'!$E$52:$Y$52</v>
      </c>
      <c r="H4244" s="381">
        <f ca="1">IF(IFERROR(INDEX(DATA_PROPERTY_MASTER!$E$5:$E$21,MATCH($C4244,DATA_PROPERTY_MASTER!$A$5:$A$21,0))="Yes",FALSE),IFERROR(INDEX(INDIRECT("'"&amp;$C4244&amp;"'!$E$52:$Y$52"),1,MATCH($D4244,INDIRECT("'"&amp;$C4244&amp;"'!$E$12:$Y$12"),0)),0),0)</f>
        <v>485814.85498782969</v>
      </c>
      <c r="I4244" s="366" t="s">
        <v>1685</v>
      </c>
      <c r="J4244" s="348" t="str">
        <f t="shared" ca="1" si="132"/>
        <v>OK</v>
      </c>
      <c r="K4244" s="366" t="s">
        <v>1710</v>
      </c>
      <c r="L4244" s="366" t="s">
        <v>2246</v>
      </c>
      <c r="M4244" s="350" t="str">
        <f>IF($B4244="Portfolio","Portfolio",IFERROR(INDEX(DATA_ASSET_CLASSIFICATION!$B$8:$B$24,MATCH($C4244,DATA_ASSET_CLASSIFICATION!$A$8:$A$24,0)),"Review"))</f>
        <v>1656 Adanac Street</v>
      </c>
      <c r="N4244" s="350" t="str">
        <f>IF($B4244="Portfolio","Portfolio",IFERROR(INDEX(DATA_ASSET_CLASSIFICATION!$U$8:$U$24,MATCH($C4244,DATA_ASSET_CLASSIFICATION!$A$8:$A$24,0)),"Review"))</f>
        <v>New Build</v>
      </c>
      <c r="O4244" s="350" t="str">
        <f>IF($B4244="Portfolio","Portfolio",IFERROR(INDEX(DATA_ASSET_CLASSIFICATION!$AB$8:$AB$13,MATCH($N4244,DATA_ASSET_CLASSIFICATION!$AA$8:$AA$13,0)),"Review"))</f>
        <v>Bucket 1 · New Build</v>
      </c>
      <c r="P4244" s="350" t="str">
        <f>IF($B4244="Portfolio","Portfolio",IFERROR(INDEX(DATA_ASSET_CLASSIFICATION!$C$8:$C$24,MATCH($C4244,DATA_ASSET_CLASSIFICATION!$A$8:$A$24,0)),"Review"))</f>
        <v>Yes</v>
      </c>
      <c r="Q4244" s="350" t="str">
        <f t="shared" ca="1" si="133"/>
        <v>OK</v>
      </c>
    </row>
    <row r="4245" spans="1:17">
      <c r="A4245" s="366" t="s">
        <v>6201</v>
      </c>
      <c r="B4245" s="366" t="s">
        <v>231</v>
      </c>
      <c r="C4245" s="348" t="str">
        <f>DATA_PROPERTY_MASTER!$A$18</f>
        <v>BLD_AS</v>
      </c>
      <c r="D4245" s="380">
        <f>'00_PORTFOLIO ROLLUP'!P$12</f>
        <v>2036</v>
      </c>
      <c r="E4245" s="366" t="s">
        <v>1683</v>
      </c>
      <c r="F4245" s="366" t="s">
        <v>27</v>
      </c>
      <c r="G4245" s="348" t="str">
        <f>"'"&amp;$C4245&amp;"'!$E$54:$Y$54"</f>
        <v>'BLD_AS'!$E$54:$Y$54</v>
      </c>
      <c r="H4245" s="381">
        <f ca="1">IF(IFERROR(INDEX(DATA_PROPERTY_MASTER!$E$5:$E$21,MATCH($C4245,DATA_PROPERTY_MASTER!$A$5:$A$21,0))="Yes",FALSE),IFERROR(INDEX(INDIRECT("'"&amp;$C4245&amp;"'!$E$54:$Y$54"),1,MATCH($D4245,INDIRECT("'"&amp;$C4245&amp;"'!$E$12:$Y$12"),0)),0),0)</f>
        <v>291488.91299269779</v>
      </c>
      <c r="I4245" s="366" t="s">
        <v>1690</v>
      </c>
      <c r="J4245" s="348" t="str">
        <f t="shared" ca="1" si="132"/>
        <v>OK</v>
      </c>
      <c r="K4245" s="366" t="s">
        <v>1714</v>
      </c>
      <c r="L4245" s="366" t="s">
        <v>2248</v>
      </c>
      <c r="M4245" s="350" t="str">
        <f>IF($B4245="Portfolio","Portfolio",IFERROR(INDEX(DATA_ASSET_CLASSIFICATION!$B$8:$B$24,MATCH($C4245,DATA_ASSET_CLASSIFICATION!$A$8:$A$24,0)),"Review"))</f>
        <v>1656 Adanac Street</v>
      </c>
      <c r="N4245" s="350" t="str">
        <f>IF($B4245="Portfolio","Portfolio",IFERROR(INDEX(DATA_ASSET_CLASSIFICATION!$U$8:$U$24,MATCH($C4245,DATA_ASSET_CLASSIFICATION!$A$8:$A$24,0)),"Review"))</f>
        <v>New Build</v>
      </c>
      <c r="O4245" s="350" t="str">
        <f>IF($B4245="Portfolio","Portfolio",IFERROR(INDEX(DATA_ASSET_CLASSIFICATION!$AB$8:$AB$13,MATCH($N4245,DATA_ASSET_CLASSIFICATION!$AA$8:$AA$13,0)),"Review"))</f>
        <v>Bucket 1 · New Build</v>
      </c>
      <c r="P4245" s="350" t="str">
        <f>IF($B4245="Portfolio","Portfolio",IFERROR(INDEX(DATA_ASSET_CLASSIFICATION!$C$8:$C$24,MATCH($C4245,DATA_ASSET_CLASSIFICATION!$A$8:$A$24,0)),"Review"))</f>
        <v>Yes</v>
      </c>
      <c r="Q4245" s="350" t="str">
        <f t="shared" ca="1" si="133"/>
        <v>OK</v>
      </c>
    </row>
    <row r="4246" spans="1:17">
      <c r="A4246" s="366" t="s">
        <v>6202</v>
      </c>
      <c r="B4246" s="366" t="s">
        <v>231</v>
      </c>
      <c r="C4246" s="348" t="str">
        <f>DATA_PROPERTY_MASTER!$A$18</f>
        <v>BLD_AS</v>
      </c>
      <c r="D4246" s="380">
        <f>'00_PORTFOLIO ROLLUP'!P$12</f>
        <v>2036</v>
      </c>
      <c r="E4246" s="366" t="s">
        <v>1683</v>
      </c>
      <c r="F4246" s="366" t="s">
        <v>29</v>
      </c>
      <c r="G4246" s="348" t="str">
        <f>"'"&amp;$C4246&amp;"'!$E$56:$Y$56"</f>
        <v>'BLD_AS'!$E$56:$Y$56</v>
      </c>
      <c r="H4246" s="381">
        <f ca="1">IF(IFERROR(INDEX(DATA_PROPERTY_MASTER!$E$5:$E$21,MATCH($C4246,DATA_PROPERTY_MASTER!$A$5:$A$21,0))="Yes",FALSE),IFERROR(INDEX(INDIRECT("'"&amp;$C4246&amp;"'!$E$56:$Y$56"),1,MATCH($D4246,INDIRECT("'"&amp;$C4246&amp;"'!$E$12:$Y$12"),0)),0),0)</f>
        <v>194325.9419951319</v>
      </c>
      <c r="I4246" s="366" t="s">
        <v>1685</v>
      </c>
      <c r="J4246" s="348" t="str">
        <f t="shared" ca="1" si="132"/>
        <v>OK</v>
      </c>
      <c r="K4246" s="366" t="s">
        <v>1718</v>
      </c>
      <c r="L4246" s="366" t="s">
        <v>2250</v>
      </c>
      <c r="M4246" s="350" t="str">
        <f>IF($B4246="Portfolio","Portfolio",IFERROR(INDEX(DATA_ASSET_CLASSIFICATION!$B$8:$B$24,MATCH($C4246,DATA_ASSET_CLASSIFICATION!$A$8:$A$24,0)),"Review"))</f>
        <v>1656 Adanac Street</v>
      </c>
      <c r="N4246" s="350" t="str">
        <f>IF($B4246="Portfolio","Portfolio",IFERROR(INDEX(DATA_ASSET_CLASSIFICATION!$U$8:$U$24,MATCH($C4246,DATA_ASSET_CLASSIFICATION!$A$8:$A$24,0)),"Review"))</f>
        <v>New Build</v>
      </c>
      <c r="O4246" s="350" t="str">
        <f>IF($B4246="Portfolio","Portfolio",IFERROR(INDEX(DATA_ASSET_CLASSIFICATION!$AB$8:$AB$13,MATCH($N4246,DATA_ASSET_CLASSIFICATION!$AA$8:$AA$13,0)),"Review"))</f>
        <v>Bucket 1 · New Build</v>
      </c>
      <c r="P4246" s="350" t="str">
        <f>IF($B4246="Portfolio","Portfolio",IFERROR(INDEX(DATA_ASSET_CLASSIFICATION!$C$8:$C$24,MATCH($C4246,DATA_ASSET_CLASSIFICATION!$A$8:$A$24,0)),"Review"))</f>
        <v>Yes</v>
      </c>
      <c r="Q4246" s="350" t="str">
        <f t="shared" ca="1" si="133"/>
        <v>OK</v>
      </c>
    </row>
    <row r="4247" spans="1:17">
      <c r="A4247" s="366" t="s">
        <v>6203</v>
      </c>
      <c r="B4247" s="366" t="s">
        <v>231</v>
      </c>
      <c r="C4247" s="348" t="str">
        <f>DATA_PROPERTY_MASTER!$A$18</f>
        <v>BLD_AS</v>
      </c>
      <c r="D4247" s="380">
        <f>'00_PORTFOLIO ROLLUP'!P$12</f>
        <v>2036</v>
      </c>
      <c r="E4247" s="366" t="s">
        <v>1721</v>
      </c>
      <c r="F4247" s="366" t="s">
        <v>31</v>
      </c>
      <c r="G4247" s="348" t="str">
        <f>"'"&amp;$C4247&amp;"'!$E$61:$Y$61"</f>
        <v>'BLD_AS'!$E$61:$Y$61</v>
      </c>
      <c r="H4247" s="381">
        <f ca="1">IF(IFERROR(INDEX(DATA_PROPERTY_MASTER!$E$5:$E$21,MATCH($C4247,DATA_PROPERTY_MASTER!$A$5:$A$21,0))="Yes",FALSE),IFERROR(INDEX(INDIRECT("'"&amp;$C4247&amp;"'!$E$61:$Y$61"),1,MATCH($D4247,INDIRECT("'"&amp;$C4247&amp;"'!$E$12:$Y$12"),0)),0),0)</f>
        <v>0</v>
      </c>
      <c r="I4247" s="366" t="s">
        <v>1690</v>
      </c>
      <c r="J4247" s="348" t="str">
        <f t="shared" ca="1" si="132"/>
        <v>OK</v>
      </c>
      <c r="K4247" s="366" t="s">
        <v>1723</v>
      </c>
      <c r="L4247" s="366" t="s">
        <v>2252</v>
      </c>
      <c r="M4247" s="350" t="str">
        <f>IF($B4247="Portfolio","Portfolio",IFERROR(INDEX(DATA_ASSET_CLASSIFICATION!$B$8:$B$24,MATCH($C4247,DATA_ASSET_CLASSIFICATION!$A$8:$A$24,0)),"Review"))</f>
        <v>1656 Adanac Street</v>
      </c>
      <c r="N4247" s="350" t="str">
        <f>IF($B4247="Portfolio","Portfolio",IFERROR(INDEX(DATA_ASSET_CLASSIFICATION!$U$8:$U$24,MATCH($C4247,DATA_ASSET_CLASSIFICATION!$A$8:$A$24,0)),"Review"))</f>
        <v>New Build</v>
      </c>
      <c r="O4247" s="350" t="str">
        <f>IF($B4247="Portfolio","Portfolio",IFERROR(INDEX(DATA_ASSET_CLASSIFICATION!$AB$8:$AB$13,MATCH($N4247,DATA_ASSET_CLASSIFICATION!$AA$8:$AA$13,0)),"Review"))</f>
        <v>Bucket 1 · New Build</v>
      </c>
      <c r="P4247" s="350" t="str">
        <f>IF($B4247="Portfolio","Portfolio",IFERROR(INDEX(DATA_ASSET_CLASSIFICATION!$C$8:$C$24,MATCH($C4247,DATA_ASSET_CLASSIFICATION!$A$8:$A$24,0)),"Review"))</f>
        <v>Yes</v>
      </c>
      <c r="Q4247" s="350" t="str">
        <f t="shared" ca="1" si="133"/>
        <v>OK</v>
      </c>
    </row>
    <row r="4248" spans="1:17">
      <c r="A4248" s="366" t="s">
        <v>6204</v>
      </c>
      <c r="B4248" s="366" t="s">
        <v>231</v>
      </c>
      <c r="C4248" s="348" t="str">
        <f>DATA_PROPERTY_MASTER!$A$18</f>
        <v>BLD_AS</v>
      </c>
      <c r="D4248" s="380">
        <f>'00_PORTFOLIO ROLLUP'!P$12</f>
        <v>2036</v>
      </c>
      <c r="E4248" s="366" t="s">
        <v>1721</v>
      </c>
      <c r="F4248" s="366" t="s">
        <v>33</v>
      </c>
      <c r="G4248" s="348" t="str">
        <f>"'"&amp;$C4248&amp;"'!$E$62:$Y$62"</f>
        <v>'BLD_AS'!$E$62:$Y$62</v>
      </c>
      <c r="H4248" s="381">
        <f ca="1">IF(IFERROR(INDEX(DATA_PROPERTY_MASTER!$E$5:$E$21,MATCH($C4248,DATA_PROPERTY_MASTER!$A$5:$A$21,0))="Yes",FALSE),IFERROR(INDEX(INDIRECT("'"&amp;$C4248&amp;"'!$E$62:$Y$62"),1,MATCH($D4248,INDIRECT("'"&amp;$C4248&amp;"'!$E$12:$Y$12"),0)),0),0)</f>
        <v>0</v>
      </c>
      <c r="I4248" s="366" t="s">
        <v>1685</v>
      </c>
      <c r="J4248" s="348" t="str">
        <f t="shared" ca="1" si="132"/>
        <v>OK</v>
      </c>
      <c r="K4248" s="366" t="s">
        <v>1727</v>
      </c>
      <c r="L4248" s="366" t="s">
        <v>2254</v>
      </c>
      <c r="M4248" s="350" t="str">
        <f>IF($B4248="Portfolio","Portfolio",IFERROR(INDEX(DATA_ASSET_CLASSIFICATION!$B$8:$B$24,MATCH($C4248,DATA_ASSET_CLASSIFICATION!$A$8:$A$24,0)),"Review"))</f>
        <v>1656 Adanac Street</v>
      </c>
      <c r="N4248" s="350" t="str">
        <f>IF($B4248="Portfolio","Portfolio",IFERROR(INDEX(DATA_ASSET_CLASSIFICATION!$U$8:$U$24,MATCH($C4248,DATA_ASSET_CLASSIFICATION!$A$8:$A$24,0)),"Review"))</f>
        <v>New Build</v>
      </c>
      <c r="O4248" s="350" t="str">
        <f>IF($B4248="Portfolio","Portfolio",IFERROR(INDEX(DATA_ASSET_CLASSIFICATION!$AB$8:$AB$13,MATCH($N4248,DATA_ASSET_CLASSIFICATION!$AA$8:$AA$13,0)),"Review"))</f>
        <v>Bucket 1 · New Build</v>
      </c>
      <c r="P4248" s="350" t="str">
        <f>IF($B4248="Portfolio","Portfolio",IFERROR(INDEX(DATA_ASSET_CLASSIFICATION!$C$8:$C$24,MATCH($C4248,DATA_ASSET_CLASSIFICATION!$A$8:$A$24,0)),"Review"))</f>
        <v>Yes</v>
      </c>
      <c r="Q4248" s="350" t="str">
        <f t="shared" ca="1" si="133"/>
        <v>OK</v>
      </c>
    </row>
    <row r="4249" spans="1:17">
      <c r="A4249" s="366" t="s">
        <v>6205</v>
      </c>
      <c r="B4249" s="366" t="s">
        <v>231</v>
      </c>
      <c r="C4249" s="348" t="str">
        <f>DATA_PROPERTY_MASTER!$A$18</f>
        <v>BLD_AS</v>
      </c>
      <c r="D4249" s="380">
        <f>'00_PORTFOLIO ROLLUP'!P$12</f>
        <v>2036</v>
      </c>
      <c r="E4249" s="366" t="s">
        <v>1721</v>
      </c>
      <c r="F4249" s="366" t="s">
        <v>35</v>
      </c>
      <c r="G4249" s="348" t="str">
        <f>"'"&amp;$C4249&amp;"'!$E$63:$Y$63"</f>
        <v>'BLD_AS'!$E$63:$Y$63</v>
      </c>
      <c r="H4249" s="381">
        <f ca="1">IF(IFERROR(INDEX(DATA_PROPERTY_MASTER!$E$5:$E$21,MATCH($C4249,DATA_PROPERTY_MASTER!$A$5:$A$21,0))="Yes",FALSE),IFERROR(INDEX(INDIRECT("'"&amp;$C4249&amp;"'!$E$63:$Y$63"),1,MATCH($D4249,INDIRECT("'"&amp;$C4249&amp;"'!$E$12:$Y$12"),0)),0),0)</f>
        <v>0</v>
      </c>
      <c r="I4249" s="366" t="s">
        <v>1731</v>
      </c>
      <c r="J4249" s="348" t="str">
        <f t="shared" ca="1" si="132"/>
        <v>OK</v>
      </c>
      <c r="K4249" s="366" t="s">
        <v>1732</v>
      </c>
      <c r="L4249" s="366" t="s">
        <v>2256</v>
      </c>
      <c r="M4249" s="350" t="str">
        <f>IF($B4249="Portfolio","Portfolio",IFERROR(INDEX(DATA_ASSET_CLASSIFICATION!$B$8:$B$24,MATCH($C4249,DATA_ASSET_CLASSIFICATION!$A$8:$A$24,0)),"Review"))</f>
        <v>1656 Adanac Street</v>
      </c>
      <c r="N4249" s="350" t="str">
        <f>IF($B4249="Portfolio","Portfolio",IFERROR(INDEX(DATA_ASSET_CLASSIFICATION!$U$8:$U$24,MATCH($C4249,DATA_ASSET_CLASSIFICATION!$A$8:$A$24,0)),"Review"))</f>
        <v>New Build</v>
      </c>
      <c r="O4249" s="350" t="str">
        <f>IF($B4249="Portfolio","Portfolio",IFERROR(INDEX(DATA_ASSET_CLASSIFICATION!$AB$8:$AB$13,MATCH($N4249,DATA_ASSET_CLASSIFICATION!$AA$8:$AA$13,0)),"Review"))</f>
        <v>Bucket 1 · New Build</v>
      </c>
      <c r="P4249" s="350" t="str">
        <f>IF($B4249="Portfolio","Portfolio",IFERROR(INDEX(DATA_ASSET_CLASSIFICATION!$C$8:$C$24,MATCH($C4249,DATA_ASSET_CLASSIFICATION!$A$8:$A$24,0)),"Review"))</f>
        <v>Yes</v>
      </c>
      <c r="Q4249" s="350" t="str">
        <f t="shared" ca="1" si="133"/>
        <v>OK</v>
      </c>
    </row>
    <row r="4250" spans="1:17">
      <c r="A4250" s="366" t="s">
        <v>6206</v>
      </c>
      <c r="B4250" s="366" t="s">
        <v>231</v>
      </c>
      <c r="C4250" s="348" t="str">
        <f>DATA_PROPERTY_MASTER!$A$18</f>
        <v>BLD_AS</v>
      </c>
      <c r="D4250" s="380">
        <f>'00_PORTFOLIO ROLLUP'!P$12</f>
        <v>2036</v>
      </c>
      <c r="E4250" s="366" t="s">
        <v>1721</v>
      </c>
      <c r="F4250" s="366" t="s">
        <v>37</v>
      </c>
      <c r="G4250" s="348" t="str">
        <f>"'"&amp;$C4250&amp;"'!$E$63:$Y$63"</f>
        <v>'BLD_AS'!$E$63:$Y$63</v>
      </c>
      <c r="H4250" s="381">
        <f ca="1">IF(IFERROR(INDEX(DATA_PROPERTY_MASTER!$E$5:$E$21,MATCH($C4250,DATA_PROPERTY_MASTER!$A$5:$A$21,0))="Yes",FALSE),MAX(IFERROR(INDEX(INDIRECT("'"&amp;$C4250&amp;"'!$E$63:$Y$63"),1,MATCH($D4250,INDIRECT("'"&amp;$C4250&amp;"'!$E$12:$Y$12"),0)),0),0),0)</f>
        <v>0</v>
      </c>
      <c r="I4250" s="366" t="s">
        <v>1685</v>
      </c>
      <c r="J4250" s="348" t="str">
        <f t="shared" ca="1" si="132"/>
        <v>OK</v>
      </c>
      <c r="K4250" s="366" t="s">
        <v>1735</v>
      </c>
      <c r="L4250" s="366" t="s">
        <v>2258</v>
      </c>
      <c r="M4250" s="350" t="str">
        <f>IF($B4250="Portfolio","Portfolio",IFERROR(INDEX(DATA_ASSET_CLASSIFICATION!$B$8:$B$24,MATCH($C4250,DATA_ASSET_CLASSIFICATION!$A$8:$A$24,0)),"Review"))</f>
        <v>1656 Adanac Street</v>
      </c>
      <c r="N4250" s="350" t="str">
        <f>IF($B4250="Portfolio","Portfolio",IFERROR(INDEX(DATA_ASSET_CLASSIFICATION!$U$8:$U$24,MATCH($C4250,DATA_ASSET_CLASSIFICATION!$A$8:$A$24,0)),"Review"))</f>
        <v>New Build</v>
      </c>
      <c r="O4250" s="350" t="str">
        <f>IF($B4250="Portfolio","Portfolio",IFERROR(INDEX(DATA_ASSET_CLASSIFICATION!$AB$8:$AB$13,MATCH($N4250,DATA_ASSET_CLASSIFICATION!$AA$8:$AA$13,0)),"Review"))</f>
        <v>Bucket 1 · New Build</v>
      </c>
      <c r="P4250" s="350" t="str">
        <f>IF($B4250="Portfolio","Portfolio",IFERROR(INDEX(DATA_ASSET_CLASSIFICATION!$C$8:$C$24,MATCH($C4250,DATA_ASSET_CLASSIFICATION!$A$8:$A$24,0)),"Review"))</f>
        <v>Yes</v>
      </c>
      <c r="Q4250" s="350" t="str">
        <f t="shared" ca="1" si="133"/>
        <v>OK</v>
      </c>
    </row>
    <row r="4251" spans="1:17">
      <c r="A4251" s="366" t="s">
        <v>6207</v>
      </c>
      <c r="B4251" s="366" t="s">
        <v>231</v>
      </c>
      <c r="C4251" s="348" t="str">
        <f>DATA_PROPERTY_MASTER!$A$18</f>
        <v>BLD_AS</v>
      </c>
      <c r="D4251" s="380">
        <f>'00_PORTFOLIO ROLLUP'!P$12</f>
        <v>2036</v>
      </c>
      <c r="E4251" s="366" t="s">
        <v>1721</v>
      </c>
      <c r="F4251" s="366" t="s">
        <v>39</v>
      </c>
      <c r="G4251" s="348" t="str">
        <f>"'"&amp;$C4251&amp;"'!$E$63:$Y$63"</f>
        <v>'BLD_AS'!$E$63:$Y$63</v>
      </c>
      <c r="H4251" s="381">
        <f ca="1">IF(IFERROR(INDEX(DATA_PROPERTY_MASTER!$E$5:$E$21,MATCH($C4251,DATA_PROPERTY_MASTER!$A$5:$A$21,0))="Yes",FALSE),MAX(-IFERROR(INDEX(INDIRECT("'"&amp;$C4251&amp;"'!$E$63:$Y$63"),1,MATCH($D4251,INDIRECT("'"&amp;$C4251&amp;"'!$E$12:$Y$12"),0)),0),0),0)</f>
        <v>0</v>
      </c>
      <c r="I4251" s="366" t="s">
        <v>1690</v>
      </c>
      <c r="J4251" s="348" t="str">
        <f t="shared" ca="1" si="132"/>
        <v>OK</v>
      </c>
      <c r="K4251" s="366" t="s">
        <v>1738</v>
      </c>
      <c r="L4251" s="366" t="s">
        <v>2260</v>
      </c>
      <c r="M4251" s="350" t="str">
        <f>IF($B4251="Portfolio","Portfolio",IFERROR(INDEX(DATA_ASSET_CLASSIFICATION!$B$8:$B$24,MATCH($C4251,DATA_ASSET_CLASSIFICATION!$A$8:$A$24,0)),"Review"))</f>
        <v>1656 Adanac Street</v>
      </c>
      <c r="N4251" s="350" t="str">
        <f>IF($B4251="Portfolio","Portfolio",IFERROR(INDEX(DATA_ASSET_CLASSIFICATION!$U$8:$U$24,MATCH($C4251,DATA_ASSET_CLASSIFICATION!$A$8:$A$24,0)),"Review"))</f>
        <v>New Build</v>
      </c>
      <c r="O4251" s="350" t="str">
        <f>IF($B4251="Portfolio","Portfolio",IFERROR(INDEX(DATA_ASSET_CLASSIFICATION!$AB$8:$AB$13,MATCH($N4251,DATA_ASSET_CLASSIFICATION!$AA$8:$AA$13,0)),"Review"))</f>
        <v>Bucket 1 · New Build</v>
      </c>
      <c r="P4251" s="350" t="str">
        <f>IF($B4251="Portfolio","Portfolio",IFERROR(INDEX(DATA_ASSET_CLASSIFICATION!$C$8:$C$24,MATCH($C4251,DATA_ASSET_CLASSIFICATION!$A$8:$A$24,0)),"Review"))</f>
        <v>Yes</v>
      </c>
      <c r="Q4251" s="350" t="str">
        <f t="shared" ca="1" si="133"/>
        <v>OK</v>
      </c>
    </row>
    <row r="4252" spans="1:17">
      <c r="A4252" s="366" t="s">
        <v>6208</v>
      </c>
      <c r="B4252" s="366" t="s">
        <v>231</v>
      </c>
      <c r="C4252" s="348" t="str">
        <f>DATA_PROPERTY_MASTER!$A$18</f>
        <v>BLD_AS</v>
      </c>
      <c r="D4252" s="380">
        <f>'00_PORTFOLIO ROLLUP'!P$12</f>
        <v>2036</v>
      </c>
      <c r="E4252" s="366" t="s">
        <v>1741</v>
      </c>
      <c r="F4252" s="366" t="s">
        <v>41</v>
      </c>
      <c r="G4252" s="348" t="str">
        <f>"'"&amp;$C4252&amp;"'!rows 56 + positive row 63"</f>
        <v>'BLD_AS'!rows 56 + positive row 63</v>
      </c>
      <c r="H4252" s="381">
        <f ca="1">IF(IFERROR(INDEX(DATA_PROPERTY_MASTER!$E$5:$E$21,MATCH($C4252,DATA_PROPERTY_MASTER!$A$5:$A$21,0))="Yes",FALSE),IFERROR(INDEX(INDIRECT("'"&amp;$C4252&amp;"'!$E$56:$Y$56"),1,MATCH($D4252,INDIRECT("'"&amp;$C4252&amp;"'!$E$12:$Y$12"),0)),0)+MAX(IFERROR(INDEX(INDIRECT("'"&amp;$C4252&amp;"'!$E$63:$Y$63"),1,MATCH($D4252,INDIRECT("'"&amp;$C4252&amp;"'!$E$12:$Y$12"),0)),0),0),0)</f>
        <v>194325.9419951319</v>
      </c>
      <c r="I4252" s="366" t="s">
        <v>1685</v>
      </c>
      <c r="J4252" s="348" t="str">
        <f t="shared" ca="1" si="132"/>
        <v>OK</v>
      </c>
      <c r="K4252" s="366" t="s">
        <v>1742</v>
      </c>
      <c r="L4252" s="366" t="s">
        <v>2262</v>
      </c>
      <c r="M4252" s="350" t="str">
        <f>IF($B4252="Portfolio","Portfolio",IFERROR(INDEX(DATA_ASSET_CLASSIFICATION!$B$8:$B$24,MATCH($C4252,DATA_ASSET_CLASSIFICATION!$A$8:$A$24,0)),"Review"))</f>
        <v>1656 Adanac Street</v>
      </c>
      <c r="N4252" s="350" t="str">
        <f>IF($B4252="Portfolio","Portfolio",IFERROR(INDEX(DATA_ASSET_CLASSIFICATION!$U$8:$U$24,MATCH($C4252,DATA_ASSET_CLASSIFICATION!$A$8:$A$24,0)),"Review"))</f>
        <v>New Build</v>
      </c>
      <c r="O4252" s="350" t="str">
        <f>IF($B4252="Portfolio","Portfolio",IFERROR(INDEX(DATA_ASSET_CLASSIFICATION!$AB$8:$AB$13,MATCH($N4252,DATA_ASSET_CLASSIFICATION!$AA$8:$AA$13,0)),"Review"))</f>
        <v>Bucket 1 · New Build</v>
      </c>
      <c r="P4252" s="350" t="str">
        <f>IF($B4252="Portfolio","Portfolio",IFERROR(INDEX(DATA_ASSET_CLASSIFICATION!$C$8:$C$24,MATCH($C4252,DATA_ASSET_CLASSIFICATION!$A$8:$A$24,0)),"Review"))</f>
        <v>Yes</v>
      </c>
      <c r="Q4252" s="350" t="str">
        <f t="shared" ca="1" si="133"/>
        <v>OK</v>
      </c>
    </row>
    <row r="4253" spans="1:17">
      <c r="A4253" s="366" t="s">
        <v>6209</v>
      </c>
      <c r="B4253" s="366" t="s">
        <v>231</v>
      </c>
      <c r="C4253" s="348" t="str">
        <f>DATA_PROPERTY_MASTER!$A$18</f>
        <v>BLD_AS</v>
      </c>
      <c r="D4253" s="380">
        <f>'00_PORTFOLIO ROLLUP'!P$12</f>
        <v>2036</v>
      </c>
      <c r="E4253" s="366" t="s">
        <v>1741</v>
      </c>
      <c r="F4253" s="366" t="s">
        <v>43</v>
      </c>
      <c r="G4253" s="348" t="str">
        <f>"'"&amp;$C4253&amp;"'!$E$68:$Y$68"</f>
        <v>'BLD_AS'!$E$68:$Y$68</v>
      </c>
      <c r="H4253" s="381">
        <f ca="1">IF(IFERROR(INDEX(DATA_PROPERTY_MASTER!$E$5:$E$21,MATCH($C4253,DATA_PROPERTY_MASTER!$A$5:$A$21,0))="Yes",FALSE),IFERROR(INDEX(INDIRECT("'"&amp;$C4253&amp;"'!$E$68:$Y$68"),1,MATCH($D4253,INDIRECT("'"&amp;$C4253&amp;"'!$E$12:$Y$12"),0)),0),0)</f>
        <v>194325.9419951319</v>
      </c>
      <c r="I4253" s="366" t="s">
        <v>1731</v>
      </c>
      <c r="J4253" s="348" t="str">
        <f t="shared" ca="1" si="132"/>
        <v>OK</v>
      </c>
      <c r="K4253" s="366" t="s">
        <v>1746</v>
      </c>
      <c r="L4253" s="366" t="s">
        <v>2264</v>
      </c>
      <c r="M4253" s="350" t="str">
        <f>IF($B4253="Portfolio","Portfolio",IFERROR(INDEX(DATA_ASSET_CLASSIFICATION!$B$8:$B$24,MATCH($C4253,DATA_ASSET_CLASSIFICATION!$A$8:$A$24,0)),"Review"))</f>
        <v>1656 Adanac Street</v>
      </c>
      <c r="N4253" s="350" t="str">
        <f>IF($B4253="Portfolio","Portfolio",IFERROR(INDEX(DATA_ASSET_CLASSIFICATION!$U$8:$U$24,MATCH($C4253,DATA_ASSET_CLASSIFICATION!$A$8:$A$24,0)),"Review"))</f>
        <v>New Build</v>
      </c>
      <c r="O4253" s="350" t="str">
        <f>IF($B4253="Portfolio","Portfolio",IFERROR(INDEX(DATA_ASSET_CLASSIFICATION!$AB$8:$AB$13,MATCH($N4253,DATA_ASSET_CLASSIFICATION!$AA$8:$AA$13,0)),"Review"))</f>
        <v>Bucket 1 · New Build</v>
      </c>
      <c r="P4253" s="350" t="str">
        <f>IF($B4253="Portfolio","Portfolio",IFERROR(INDEX(DATA_ASSET_CLASSIFICATION!$C$8:$C$24,MATCH($C4253,DATA_ASSET_CLASSIFICATION!$A$8:$A$24,0)),"Review"))</f>
        <v>Yes</v>
      </c>
      <c r="Q4253" s="350" t="str">
        <f t="shared" ca="1" si="133"/>
        <v>OK</v>
      </c>
    </row>
    <row r="4254" spans="1:17">
      <c r="A4254" s="366" t="s">
        <v>6210</v>
      </c>
      <c r="B4254" s="366" t="s">
        <v>231</v>
      </c>
      <c r="C4254" s="348" t="str">
        <f>DATA_PROPERTY_MASTER!$A$18</f>
        <v>BLD_AS</v>
      </c>
      <c r="D4254" s="380">
        <f>'00_PORTFOLIO ROLLUP'!P$12</f>
        <v>2036</v>
      </c>
      <c r="E4254" s="366" t="s">
        <v>1741</v>
      </c>
      <c r="F4254" s="366" t="s">
        <v>1749</v>
      </c>
      <c r="G4254" s="348" t="str">
        <f>"'"&amp;$C4254&amp;"'!rows 56, 63, 68"</f>
        <v>'BLD_AS'!rows 56, 63, 68</v>
      </c>
      <c r="H4254" s="381">
        <f ca="1">IF(IFERROR(INDEX(DATA_PROPERTY_MASTER!$E$5:$E$21,MATCH($C4254,DATA_PROPERTY_MASTER!$A$5:$A$21,0))="Yes",FALSE),(IFERROR(INDEX(INDIRECT("'"&amp;$C4254&amp;"'!$E$56:$Y$56"),1,MATCH($D4254,INDIRECT("'"&amp;$C4254&amp;"'!$E$12:$Y$12"),0)),0)+MAX(IFERROR(INDEX(INDIRECT("'"&amp;$C4254&amp;"'!$E$63:$Y$63"),1,MATCH($D4254,INDIRECT("'"&amp;$C4254&amp;"'!$E$12:$Y$12"),0)),0),0))-(IFERROR(INDEX(INDIRECT("'"&amp;$C4254&amp;"'!$E$68:$Y$68"),1,MATCH($D4254,INDIRECT("'"&amp;$C4254&amp;"'!$E$12:$Y$12"),0)),0)),0)</f>
        <v>0</v>
      </c>
      <c r="I4254" s="366" t="s">
        <v>1750</v>
      </c>
      <c r="J4254" s="348" t="str">
        <f t="shared" ca="1" si="132"/>
        <v>OK</v>
      </c>
      <c r="K4254" s="366" t="s">
        <v>1751</v>
      </c>
      <c r="L4254" s="366" t="s">
        <v>2266</v>
      </c>
      <c r="M4254" s="350" t="str">
        <f>IF($B4254="Portfolio","Portfolio",IFERROR(INDEX(DATA_ASSET_CLASSIFICATION!$B$8:$B$24,MATCH($C4254,DATA_ASSET_CLASSIFICATION!$A$8:$A$24,0)),"Review"))</f>
        <v>1656 Adanac Street</v>
      </c>
      <c r="N4254" s="350" t="str">
        <f>IF($B4254="Portfolio","Portfolio",IFERROR(INDEX(DATA_ASSET_CLASSIFICATION!$U$8:$U$24,MATCH($C4254,DATA_ASSET_CLASSIFICATION!$A$8:$A$24,0)),"Review"))</f>
        <v>New Build</v>
      </c>
      <c r="O4254" s="350" t="str">
        <f>IF($B4254="Portfolio","Portfolio",IFERROR(INDEX(DATA_ASSET_CLASSIFICATION!$AB$8:$AB$13,MATCH($N4254,DATA_ASSET_CLASSIFICATION!$AA$8:$AA$13,0)),"Review"))</f>
        <v>Bucket 1 · New Build</v>
      </c>
      <c r="P4254" s="350" t="str">
        <f>IF($B4254="Portfolio","Portfolio",IFERROR(INDEX(DATA_ASSET_CLASSIFICATION!$C$8:$C$24,MATCH($C4254,DATA_ASSET_CLASSIFICATION!$A$8:$A$24,0)),"Review"))</f>
        <v>Yes</v>
      </c>
      <c r="Q4254" s="350" t="str">
        <f t="shared" ca="1" si="133"/>
        <v>OK</v>
      </c>
    </row>
    <row r="4255" spans="1:17">
      <c r="A4255" s="366" t="s">
        <v>6211</v>
      </c>
      <c r="B4255" s="366" t="s">
        <v>231</v>
      </c>
      <c r="C4255" s="348" t="str">
        <f>DATA_PROPERTY_MASTER!$A$18</f>
        <v>BLD_AS</v>
      </c>
      <c r="D4255" s="380">
        <f>'00_PORTFOLIO ROLLUP'!Q$12</f>
        <v>2037</v>
      </c>
      <c r="E4255" s="366" t="s">
        <v>1683</v>
      </c>
      <c r="F4255" s="366" t="s">
        <v>341</v>
      </c>
      <c r="G4255" s="348" t="str">
        <f>"'"&amp;$C4255&amp;"'!$E$24:$Y$24"</f>
        <v>'BLD_AS'!$E$24:$Y$24</v>
      </c>
      <c r="H4255" s="381">
        <f ca="1">IF(IFERROR(INDEX(DATA_PROPERTY_MASTER!$E$5:$E$21,MATCH($C4255,DATA_PROPERTY_MASTER!$A$5:$A$21,0))="Yes",FALSE),IFERROR(INDEX(INDIRECT("'"&amp;$C4255&amp;"'!$E$24:$Y$24"),1,MATCH($D4255,INDIRECT("'"&amp;$C4255&amp;"'!$E$12:$Y$12"),0)),0),0)</f>
        <v>2433205.7009684453</v>
      </c>
      <c r="I4255" s="366" t="s">
        <v>1685</v>
      </c>
      <c r="J4255" s="348" t="str">
        <f t="shared" ca="1" si="132"/>
        <v>OK</v>
      </c>
      <c r="K4255" s="366" t="s">
        <v>1686</v>
      </c>
      <c r="L4255" s="366" t="s">
        <v>2234</v>
      </c>
      <c r="M4255" s="350" t="str">
        <f>IF($B4255="Portfolio","Portfolio",IFERROR(INDEX(DATA_ASSET_CLASSIFICATION!$B$8:$B$24,MATCH($C4255,DATA_ASSET_CLASSIFICATION!$A$8:$A$24,0)),"Review"))</f>
        <v>1656 Adanac Street</v>
      </c>
      <c r="N4255" s="350" t="str">
        <f>IF($B4255="Portfolio","Portfolio",IFERROR(INDEX(DATA_ASSET_CLASSIFICATION!$U$8:$U$24,MATCH($C4255,DATA_ASSET_CLASSIFICATION!$A$8:$A$24,0)),"Review"))</f>
        <v>New Build</v>
      </c>
      <c r="O4255" s="350" t="str">
        <f>IF($B4255="Portfolio","Portfolio",IFERROR(INDEX(DATA_ASSET_CLASSIFICATION!$AB$8:$AB$13,MATCH($N4255,DATA_ASSET_CLASSIFICATION!$AA$8:$AA$13,0)),"Review"))</f>
        <v>Bucket 1 · New Build</v>
      </c>
      <c r="P4255" s="350" t="str">
        <f>IF($B4255="Portfolio","Portfolio",IFERROR(INDEX(DATA_ASSET_CLASSIFICATION!$C$8:$C$24,MATCH($C4255,DATA_ASSET_CLASSIFICATION!$A$8:$A$24,0)),"Review"))</f>
        <v>Yes</v>
      </c>
      <c r="Q4255" s="350" t="str">
        <f t="shared" ca="1" si="133"/>
        <v>OK</v>
      </c>
    </row>
    <row r="4256" spans="1:17">
      <c r="A4256" s="366" t="s">
        <v>6212</v>
      </c>
      <c r="B4256" s="366" t="s">
        <v>231</v>
      </c>
      <c r="C4256" s="348" t="str">
        <f>DATA_PROPERTY_MASTER!$A$18</f>
        <v>BLD_AS</v>
      </c>
      <c r="D4256" s="380">
        <f>'00_PORTFOLIO ROLLUP'!Q$12</f>
        <v>2037</v>
      </c>
      <c r="E4256" s="366" t="s">
        <v>1683</v>
      </c>
      <c r="F4256" s="366" t="s">
        <v>355</v>
      </c>
      <c r="G4256" s="348" t="str">
        <f>"'"&amp;$C4256&amp;"'!$E$39:$Y$39"</f>
        <v>'BLD_AS'!$E$39:$Y$39</v>
      </c>
      <c r="H4256" s="381">
        <f ca="1">IF(IFERROR(INDEX(DATA_PROPERTY_MASTER!$E$5:$E$21,MATCH($C4256,DATA_PROPERTY_MASTER!$A$5:$A$21,0))="Yes",FALSE),IFERROR(INDEX(INDIRECT("'"&amp;$C4256&amp;"'!$E$39:$Y$39"),1,MATCH($D4256,INDIRECT("'"&amp;$C4256&amp;"'!$E$12:$Y$12"),0)),0),0)</f>
        <v>1121382.197843032</v>
      </c>
      <c r="I4256" s="366" t="s">
        <v>1690</v>
      </c>
      <c r="J4256" s="348" t="str">
        <f t="shared" ca="1" si="132"/>
        <v>OK</v>
      </c>
      <c r="K4256" s="366" t="s">
        <v>1686</v>
      </c>
      <c r="L4256" s="366" t="s">
        <v>2236</v>
      </c>
      <c r="M4256" s="350" t="str">
        <f>IF($B4256="Portfolio","Portfolio",IFERROR(INDEX(DATA_ASSET_CLASSIFICATION!$B$8:$B$24,MATCH($C4256,DATA_ASSET_CLASSIFICATION!$A$8:$A$24,0)),"Review"))</f>
        <v>1656 Adanac Street</v>
      </c>
      <c r="N4256" s="350" t="str">
        <f>IF($B4256="Portfolio","Portfolio",IFERROR(INDEX(DATA_ASSET_CLASSIFICATION!$U$8:$U$24,MATCH($C4256,DATA_ASSET_CLASSIFICATION!$A$8:$A$24,0)),"Review"))</f>
        <v>New Build</v>
      </c>
      <c r="O4256" s="350" t="str">
        <f>IF($B4256="Portfolio","Portfolio",IFERROR(INDEX(DATA_ASSET_CLASSIFICATION!$AB$8:$AB$13,MATCH($N4256,DATA_ASSET_CLASSIFICATION!$AA$8:$AA$13,0)),"Review"))</f>
        <v>Bucket 1 · New Build</v>
      </c>
      <c r="P4256" s="350" t="str">
        <f>IF($B4256="Portfolio","Portfolio",IFERROR(INDEX(DATA_ASSET_CLASSIFICATION!$C$8:$C$24,MATCH($C4256,DATA_ASSET_CLASSIFICATION!$A$8:$A$24,0)),"Review"))</f>
        <v>Yes</v>
      </c>
      <c r="Q4256" s="350" t="str">
        <f t="shared" ca="1" si="133"/>
        <v>OK</v>
      </c>
    </row>
    <row r="4257" spans="1:17">
      <c r="A4257" s="366" t="s">
        <v>6213</v>
      </c>
      <c r="B4257" s="366" t="s">
        <v>231</v>
      </c>
      <c r="C4257" s="348" t="str">
        <f>DATA_PROPERTY_MASTER!$A$18</f>
        <v>BLD_AS</v>
      </c>
      <c r="D4257" s="380">
        <f>'00_PORTFOLIO ROLLUP'!Q$12</f>
        <v>2037</v>
      </c>
      <c r="E4257" s="366" t="s">
        <v>1683</v>
      </c>
      <c r="F4257" s="366" t="s">
        <v>19</v>
      </c>
      <c r="G4257" s="348" t="str">
        <f>"'"&amp;$C4257&amp;"'!$E$41:$Y$41"</f>
        <v>'BLD_AS'!$E$41:$Y$41</v>
      </c>
      <c r="H4257" s="381">
        <f ca="1">IF(IFERROR(INDEX(DATA_PROPERTY_MASTER!$E$5:$E$21,MATCH($C4257,DATA_PROPERTY_MASTER!$A$5:$A$21,0))="Yes",FALSE),IFERROR(INDEX(INDIRECT("'"&amp;$C4257&amp;"'!$E$41:$Y$41"),1,MATCH($D4257,INDIRECT("'"&amp;$C4257&amp;"'!$E$12:$Y$12"),0)),0),0)</f>
        <v>1311823.5031254133</v>
      </c>
      <c r="I4257" s="366" t="s">
        <v>1685</v>
      </c>
      <c r="J4257" s="348" t="str">
        <f t="shared" ca="1" si="132"/>
        <v>OK</v>
      </c>
      <c r="K4257" s="366" t="s">
        <v>1694</v>
      </c>
      <c r="L4257" s="366" t="s">
        <v>2238</v>
      </c>
      <c r="M4257" s="350" t="str">
        <f>IF($B4257="Portfolio","Portfolio",IFERROR(INDEX(DATA_ASSET_CLASSIFICATION!$B$8:$B$24,MATCH($C4257,DATA_ASSET_CLASSIFICATION!$A$8:$A$24,0)),"Review"))</f>
        <v>1656 Adanac Street</v>
      </c>
      <c r="N4257" s="350" t="str">
        <f>IF($B4257="Portfolio","Portfolio",IFERROR(INDEX(DATA_ASSET_CLASSIFICATION!$U$8:$U$24,MATCH($C4257,DATA_ASSET_CLASSIFICATION!$A$8:$A$24,0)),"Review"))</f>
        <v>New Build</v>
      </c>
      <c r="O4257" s="350" t="str">
        <f>IF($B4257="Portfolio","Portfolio",IFERROR(INDEX(DATA_ASSET_CLASSIFICATION!$AB$8:$AB$13,MATCH($N4257,DATA_ASSET_CLASSIFICATION!$AA$8:$AA$13,0)),"Review"))</f>
        <v>Bucket 1 · New Build</v>
      </c>
      <c r="P4257" s="350" t="str">
        <f>IF($B4257="Portfolio","Portfolio",IFERROR(INDEX(DATA_ASSET_CLASSIFICATION!$C$8:$C$24,MATCH($C4257,DATA_ASSET_CLASSIFICATION!$A$8:$A$24,0)),"Review"))</f>
        <v>Yes</v>
      </c>
      <c r="Q4257" s="350" t="str">
        <f t="shared" ca="1" si="133"/>
        <v>OK</v>
      </c>
    </row>
    <row r="4258" spans="1:17">
      <c r="A4258" s="366" t="s">
        <v>6214</v>
      </c>
      <c r="B4258" s="366" t="s">
        <v>231</v>
      </c>
      <c r="C4258" s="348" t="str">
        <f>DATA_PROPERTY_MASTER!$A$18</f>
        <v>BLD_AS</v>
      </c>
      <c r="D4258" s="380">
        <f>'00_PORTFOLIO ROLLUP'!Q$12</f>
        <v>2037</v>
      </c>
      <c r="E4258" s="366" t="s">
        <v>1683</v>
      </c>
      <c r="F4258" s="366" t="s">
        <v>1697</v>
      </c>
      <c r="G4258" s="348" t="str">
        <f>"'"&amp;$C4258&amp;"'!$E$44:$Y$44"</f>
        <v>'BLD_AS'!$E$44:$Y$44</v>
      </c>
      <c r="H4258" s="381">
        <f ca="1">IF(IFERROR(INDEX(DATA_PROPERTY_MASTER!$E$5:$E$21,MATCH($C4258,DATA_PROPERTY_MASTER!$A$5:$A$21,0))="Yes",FALSE),IFERROR(INDEX(INDIRECT("'"&amp;$C4258&amp;"'!$E$44:$Y$44"),1,MATCH($D4258,INDIRECT("'"&amp;$C4258&amp;"'!$E$12:$Y$12"),0)),0),0)</f>
        <v>18452.918110885035</v>
      </c>
      <c r="I4258" s="366" t="s">
        <v>1690</v>
      </c>
      <c r="J4258" s="348" t="str">
        <f t="shared" ca="1" si="132"/>
        <v>OK</v>
      </c>
      <c r="K4258" s="366" t="s">
        <v>1699</v>
      </c>
      <c r="L4258" s="366" t="s">
        <v>2240</v>
      </c>
      <c r="M4258" s="350" t="str">
        <f>IF($B4258="Portfolio","Portfolio",IFERROR(INDEX(DATA_ASSET_CLASSIFICATION!$B$8:$B$24,MATCH($C4258,DATA_ASSET_CLASSIFICATION!$A$8:$A$24,0)),"Review"))</f>
        <v>1656 Adanac Street</v>
      </c>
      <c r="N4258" s="350" t="str">
        <f>IF($B4258="Portfolio","Portfolio",IFERROR(INDEX(DATA_ASSET_CLASSIFICATION!$U$8:$U$24,MATCH($C4258,DATA_ASSET_CLASSIFICATION!$A$8:$A$24,0)),"Review"))</f>
        <v>New Build</v>
      </c>
      <c r="O4258" s="350" t="str">
        <f>IF($B4258="Portfolio","Portfolio",IFERROR(INDEX(DATA_ASSET_CLASSIFICATION!$AB$8:$AB$13,MATCH($N4258,DATA_ASSET_CLASSIFICATION!$AA$8:$AA$13,0)),"Review"))</f>
        <v>Bucket 1 · New Build</v>
      </c>
      <c r="P4258" s="350" t="str">
        <f>IF($B4258="Portfolio","Portfolio",IFERROR(INDEX(DATA_ASSET_CLASSIFICATION!$C$8:$C$24,MATCH($C4258,DATA_ASSET_CLASSIFICATION!$A$8:$A$24,0)),"Review"))</f>
        <v>Yes</v>
      </c>
      <c r="Q4258" s="350" t="str">
        <f t="shared" ca="1" si="133"/>
        <v>OK</v>
      </c>
    </row>
    <row r="4259" spans="1:17">
      <c r="A4259" s="366" t="s">
        <v>6215</v>
      </c>
      <c r="B4259" s="366" t="s">
        <v>231</v>
      </c>
      <c r="C4259" s="348" t="str">
        <f>DATA_PROPERTY_MASTER!$A$18</f>
        <v>BLD_AS</v>
      </c>
      <c r="D4259" s="380">
        <f>'00_PORTFOLIO ROLLUP'!Q$12</f>
        <v>2037</v>
      </c>
      <c r="E4259" s="366" t="s">
        <v>1683</v>
      </c>
      <c r="F4259" s="366" t="s">
        <v>21</v>
      </c>
      <c r="G4259" s="348" t="str">
        <f>"'"&amp;$C4259&amp;"'!$E$45:$Y$45"</f>
        <v>'BLD_AS'!$E$45:$Y$45</v>
      </c>
      <c r="H4259" s="381">
        <f ca="1">IF(IFERROR(INDEX(DATA_PROPERTY_MASTER!$E$5:$E$21,MATCH($C4259,DATA_PROPERTY_MASTER!$A$5:$A$21,0))="Yes",FALSE),IFERROR(INDEX(INDIRECT("'"&amp;$C4259&amp;"'!$E$45:$Y$45"),1,MATCH($D4259,INDIRECT("'"&amp;$C4259&amp;"'!$E$12:$Y$12"),0)),0),0)</f>
        <v>1293370.5850145284</v>
      </c>
      <c r="I4259" s="366" t="s">
        <v>1685</v>
      </c>
      <c r="J4259" s="348" t="str">
        <f t="shared" ca="1" si="132"/>
        <v>OK</v>
      </c>
      <c r="K4259" s="366" t="s">
        <v>1694</v>
      </c>
      <c r="L4259" s="366" t="s">
        <v>2242</v>
      </c>
      <c r="M4259" s="350" t="str">
        <f>IF($B4259="Portfolio","Portfolio",IFERROR(INDEX(DATA_ASSET_CLASSIFICATION!$B$8:$B$24,MATCH($C4259,DATA_ASSET_CLASSIFICATION!$A$8:$A$24,0)),"Review"))</f>
        <v>1656 Adanac Street</v>
      </c>
      <c r="N4259" s="350" t="str">
        <f>IF($B4259="Portfolio","Portfolio",IFERROR(INDEX(DATA_ASSET_CLASSIFICATION!$U$8:$U$24,MATCH($C4259,DATA_ASSET_CLASSIFICATION!$A$8:$A$24,0)),"Review"))</f>
        <v>New Build</v>
      </c>
      <c r="O4259" s="350" t="str">
        <f>IF($B4259="Portfolio","Portfolio",IFERROR(INDEX(DATA_ASSET_CLASSIFICATION!$AB$8:$AB$13,MATCH($N4259,DATA_ASSET_CLASSIFICATION!$AA$8:$AA$13,0)),"Review"))</f>
        <v>Bucket 1 · New Build</v>
      </c>
      <c r="P4259" s="350" t="str">
        <f>IF($B4259="Portfolio","Portfolio",IFERROR(INDEX(DATA_ASSET_CLASSIFICATION!$C$8:$C$24,MATCH($C4259,DATA_ASSET_CLASSIFICATION!$A$8:$A$24,0)),"Review"))</f>
        <v>Yes</v>
      </c>
      <c r="Q4259" s="350" t="str">
        <f t="shared" ca="1" si="133"/>
        <v>OK</v>
      </c>
    </row>
    <row r="4260" spans="1:17">
      <c r="A4260" s="366" t="s">
        <v>6216</v>
      </c>
      <c r="B4260" s="366" t="s">
        <v>231</v>
      </c>
      <c r="C4260" s="348" t="str">
        <f>DATA_PROPERTY_MASTER!$A$18</f>
        <v>BLD_AS</v>
      </c>
      <c r="D4260" s="380">
        <f>'00_PORTFOLIO ROLLUP'!Q$12</f>
        <v>2037</v>
      </c>
      <c r="E4260" s="366" t="s">
        <v>23</v>
      </c>
      <c r="F4260" s="366" t="s">
        <v>23</v>
      </c>
      <c r="G4260" s="348" t="str">
        <f>"'"&amp;$C4260&amp;"'!$E$48:$Y$48"</f>
        <v>'BLD_AS'!$E$48:$Y$48</v>
      </c>
      <c r="H4260" s="381">
        <f ca="1">IF(IFERROR(INDEX(DATA_PROPERTY_MASTER!$E$5:$E$21,MATCH($C4260,DATA_PROPERTY_MASTER!$A$5:$A$21,0))="Yes",FALSE),IFERROR(INDEX(INDIRECT("'"&amp;$C4260&amp;"'!$E$48:$Y$48"),1,MATCH($D4260,INDIRECT("'"&amp;$C4260&amp;"'!$E$12:$Y$12"),0)),0),0)</f>
        <v>805649.51774556539</v>
      </c>
      <c r="I4260" s="366" t="s">
        <v>1690</v>
      </c>
      <c r="J4260" s="348" t="str">
        <f t="shared" ca="1" si="132"/>
        <v>OK</v>
      </c>
      <c r="K4260" s="366" t="s">
        <v>1706</v>
      </c>
      <c r="L4260" s="366" t="s">
        <v>2244</v>
      </c>
      <c r="M4260" s="350" t="str">
        <f>IF($B4260="Portfolio","Portfolio",IFERROR(INDEX(DATA_ASSET_CLASSIFICATION!$B$8:$B$24,MATCH($C4260,DATA_ASSET_CLASSIFICATION!$A$8:$A$24,0)),"Review"))</f>
        <v>1656 Adanac Street</v>
      </c>
      <c r="N4260" s="350" t="str">
        <f>IF($B4260="Portfolio","Portfolio",IFERROR(INDEX(DATA_ASSET_CLASSIFICATION!$U$8:$U$24,MATCH($C4260,DATA_ASSET_CLASSIFICATION!$A$8:$A$24,0)),"Review"))</f>
        <v>New Build</v>
      </c>
      <c r="O4260" s="350" t="str">
        <f>IF($B4260="Portfolio","Portfolio",IFERROR(INDEX(DATA_ASSET_CLASSIFICATION!$AB$8:$AB$13,MATCH($N4260,DATA_ASSET_CLASSIFICATION!$AA$8:$AA$13,0)),"Review"))</f>
        <v>Bucket 1 · New Build</v>
      </c>
      <c r="P4260" s="350" t="str">
        <f>IF($B4260="Portfolio","Portfolio",IFERROR(INDEX(DATA_ASSET_CLASSIFICATION!$C$8:$C$24,MATCH($C4260,DATA_ASSET_CLASSIFICATION!$A$8:$A$24,0)),"Review"))</f>
        <v>Yes</v>
      </c>
      <c r="Q4260" s="350" t="str">
        <f t="shared" ca="1" si="133"/>
        <v>OK</v>
      </c>
    </row>
    <row r="4261" spans="1:17">
      <c r="A4261" s="366" t="s">
        <v>6217</v>
      </c>
      <c r="B4261" s="366" t="s">
        <v>231</v>
      </c>
      <c r="C4261" s="348" t="str">
        <f>DATA_PROPERTY_MASTER!$A$18</f>
        <v>BLD_AS</v>
      </c>
      <c r="D4261" s="380">
        <f>'00_PORTFOLIO ROLLUP'!Q$12</f>
        <v>2037</v>
      </c>
      <c r="E4261" s="366" t="s">
        <v>1683</v>
      </c>
      <c r="F4261" s="366" t="s">
        <v>25</v>
      </c>
      <c r="G4261" s="348" t="str">
        <f>"'"&amp;$C4261&amp;"'!$E$52:$Y$52"</f>
        <v>'BLD_AS'!$E$52:$Y$52</v>
      </c>
      <c r="H4261" s="381">
        <f ca="1">IF(IFERROR(INDEX(DATA_PROPERTY_MASTER!$E$5:$E$21,MATCH($C4261,DATA_PROPERTY_MASTER!$A$5:$A$21,0))="Yes",FALSE),IFERROR(INDEX(INDIRECT("'"&amp;$C4261&amp;"'!$E$52:$Y$52"),1,MATCH($D4261,INDIRECT("'"&amp;$C4261&amp;"'!$E$12:$Y$12"),0)),0),0)</f>
        <v>506173.98537984793</v>
      </c>
      <c r="I4261" s="366" t="s">
        <v>1685</v>
      </c>
      <c r="J4261" s="348" t="str">
        <f t="shared" ca="1" si="132"/>
        <v>OK</v>
      </c>
      <c r="K4261" s="366" t="s">
        <v>1710</v>
      </c>
      <c r="L4261" s="366" t="s">
        <v>2246</v>
      </c>
      <c r="M4261" s="350" t="str">
        <f>IF($B4261="Portfolio","Portfolio",IFERROR(INDEX(DATA_ASSET_CLASSIFICATION!$B$8:$B$24,MATCH($C4261,DATA_ASSET_CLASSIFICATION!$A$8:$A$24,0)),"Review"))</f>
        <v>1656 Adanac Street</v>
      </c>
      <c r="N4261" s="350" t="str">
        <f>IF($B4261="Portfolio","Portfolio",IFERROR(INDEX(DATA_ASSET_CLASSIFICATION!$U$8:$U$24,MATCH($C4261,DATA_ASSET_CLASSIFICATION!$A$8:$A$24,0)),"Review"))</f>
        <v>New Build</v>
      </c>
      <c r="O4261" s="350" t="str">
        <f>IF($B4261="Portfolio","Portfolio",IFERROR(INDEX(DATA_ASSET_CLASSIFICATION!$AB$8:$AB$13,MATCH($N4261,DATA_ASSET_CLASSIFICATION!$AA$8:$AA$13,0)),"Review"))</f>
        <v>Bucket 1 · New Build</v>
      </c>
      <c r="P4261" s="350" t="str">
        <f>IF($B4261="Portfolio","Portfolio",IFERROR(INDEX(DATA_ASSET_CLASSIFICATION!$C$8:$C$24,MATCH($C4261,DATA_ASSET_CLASSIFICATION!$A$8:$A$24,0)),"Review"))</f>
        <v>Yes</v>
      </c>
      <c r="Q4261" s="350" t="str">
        <f t="shared" ca="1" si="133"/>
        <v>OK</v>
      </c>
    </row>
    <row r="4262" spans="1:17">
      <c r="A4262" s="366" t="s">
        <v>6218</v>
      </c>
      <c r="B4262" s="366" t="s">
        <v>231</v>
      </c>
      <c r="C4262" s="348" t="str">
        <f>DATA_PROPERTY_MASTER!$A$18</f>
        <v>BLD_AS</v>
      </c>
      <c r="D4262" s="380">
        <f>'00_PORTFOLIO ROLLUP'!Q$12</f>
        <v>2037</v>
      </c>
      <c r="E4262" s="366" t="s">
        <v>1683</v>
      </c>
      <c r="F4262" s="366" t="s">
        <v>27</v>
      </c>
      <c r="G4262" s="348" t="str">
        <f>"'"&amp;$C4262&amp;"'!$E$54:$Y$54"</f>
        <v>'BLD_AS'!$E$54:$Y$54</v>
      </c>
      <c r="H4262" s="381">
        <f ca="1">IF(IFERROR(INDEX(DATA_PROPERTY_MASTER!$E$5:$E$21,MATCH($C4262,DATA_PROPERTY_MASTER!$A$5:$A$21,0))="Yes",FALSE),IFERROR(INDEX(INDIRECT("'"&amp;$C4262&amp;"'!$E$54:$Y$54"),1,MATCH($D4262,INDIRECT("'"&amp;$C4262&amp;"'!$E$12:$Y$12"),0)),0),0)</f>
        <v>303704.39122790872</v>
      </c>
      <c r="I4262" s="366" t="s">
        <v>1690</v>
      </c>
      <c r="J4262" s="348" t="str">
        <f t="shared" ca="1" si="132"/>
        <v>OK</v>
      </c>
      <c r="K4262" s="366" t="s">
        <v>1714</v>
      </c>
      <c r="L4262" s="366" t="s">
        <v>2248</v>
      </c>
      <c r="M4262" s="350" t="str">
        <f>IF($B4262="Portfolio","Portfolio",IFERROR(INDEX(DATA_ASSET_CLASSIFICATION!$B$8:$B$24,MATCH($C4262,DATA_ASSET_CLASSIFICATION!$A$8:$A$24,0)),"Review"))</f>
        <v>1656 Adanac Street</v>
      </c>
      <c r="N4262" s="350" t="str">
        <f>IF($B4262="Portfolio","Portfolio",IFERROR(INDEX(DATA_ASSET_CLASSIFICATION!$U$8:$U$24,MATCH($C4262,DATA_ASSET_CLASSIFICATION!$A$8:$A$24,0)),"Review"))</f>
        <v>New Build</v>
      </c>
      <c r="O4262" s="350" t="str">
        <f>IF($B4262="Portfolio","Portfolio",IFERROR(INDEX(DATA_ASSET_CLASSIFICATION!$AB$8:$AB$13,MATCH($N4262,DATA_ASSET_CLASSIFICATION!$AA$8:$AA$13,0)),"Review"))</f>
        <v>Bucket 1 · New Build</v>
      </c>
      <c r="P4262" s="350" t="str">
        <f>IF($B4262="Portfolio","Portfolio",IFERROR(INDEX(DATA_ASSET_CLASSIFICATION!$C$8:$C$24,MATCH($C4262,DATA_ASSET_CLASSIFICATION!$A$8:$A$24,0)),"Review"))</f>
        <v>Yes</v>
      </c>
      <c r="Q4262" s="350" t="str">
        <f t="shared" ca="1" si="133"/>
        <v>OK</v>
      </c>
    </row>
    <row r="4263" spans="1:17">
      <c r="A4263" s="366" t="s">
        <v>6219</v>
      </c>
      <c r="B4263" s="366" t="s">
        <v>231</v>
      </c>
      <c r="C4263" s="348" t="str">
        <f>DATA_PROPERTY_MASTER!$A$18</f>
        <v>BLD_AS</v>
      </c>
      <c r="D4263" s="380">
        <f>'00_PORTFOLIO ROLLUP'!Q$12</f>
        <v>2037</v>
      </c>
      <c r="E4263" s="366" t="s">
        <v>1683</v>
      </c>
      <c r="F4263" s="366" t="s">
        <v>29</v>
      </c>
      <c r="G4263" s="348" t="str">
        <f>"'"&amp;$C4263&amp;"'!$E$56:$Y$56"</f>
        <v>'BLD_AS'!$E$56:$Y$56</v>
      </c>
      <c r="H4263" s="381">
        <f ca="1">IF(IFERROR(INDEX(DATA_PROPERTY_MASTER!$E$5:$E$21,MATCH($C4263,DATA_PROPERTY_MASTER!$A$5:$A$21,0))="Yes",FALSE),IFERROR(INDEX(INDIRECT("'"&amp;$C4263&amp;"'!$E$56:$Y$56"),1,MATCH($D4263,INDIRECT("'"&amp;$C4263&amp;"'!$E$12:$Y$12"),0)),0),0)</f>
        <v>202469.59415193921</v>
      </c>
      <c r="I4263" s="366" t="s">
        <v>1685</v>
      </c>
      <c r="J4263" s="348" t="str">
        <f t="shared" ca="1" si="132"/>
        <v>OK</v>
      </c>
      <c r="K4263" s="366" t="s">
        <v>1718</v>
      </c>
      <c r="L4263" s="366" t="s">
        <v>2250</v>
      </c>
      <c r="M4263" s="350" t="str">
        <f>IF($B4263="Portfolio","Portfolio",IFERROR(INDEX(DATA_ASSET_CLASSIFICATION!$B$8:$B$24,MATCH($C4263,DATA_ASSET_CLASSIFICATION!$A$8:$A$24,0)),"Review"))</f>
        <v>1656 Adanac Street</v>
      </c>
      <c r="N4263" s="350" t="str">
        <f>IF($B4263="Portfolio","Portfolio",IFERROR(INDEX(DATA_ASSET_CLASSIFICATION!$U$8:$U$24,MATCH($C4263,DATA_ASSET_CLASSIFICATION!$A$8:$A$24,0)),"Review"))</f>
        <v>New Build</v>
      </c>
      <c r="O4263" s="350" t="str">
        <f>IF($B4263="Portfolio","Portfolio",IFERROR(INDEX(DATA_ASSET_CLASSIFICATION!$AB$8:$AB$13,MATCH($N4263,DATA_ASSET_CLASSIFICATION!$AA$8:$AA$13,0)),"Review"))</f>
        <v>Bucket 1 · New Build</v>
      </c>
      <c r="P4263" s="350" t="str">
        <f>IF($B4263="Portfolio","Portfolio",IFERROR(INDEX(DATA_ASSET_CLASSIFICATION!$C$8:$C$24,MATCH($C4263,DATA_ASSET_CLASSIFICATION!$A$8:$A$24,0)),"Review"))</f>
        <v>Yes</v>
      </c>
      <c r="Q4263" s="350" t="str">
        <f t="shared" ca="1" si="133"/>
        <v>OK</v>
      </c>
    </row>
    <row r="4264" spans="1:17">
      <c r="A4264" s="366" t="s">
        <v>6220</v>
      </c>
      <c r="B4264" s="366" t="s">
        <v>231</v>
      </c>
      <c r="C4264" s="348" t="str">
        <f>DATA_PROPERTY_MASTER!$A$18</f>
        <v>BLD_AS</v>
      </c>
      <c r="D4264" s="380">
        <f>'00_PORTFOLIO ROLLUP'!Q$12</f>
        <v>2037</v>
      </c>
      <c r="E4264" s="366" t="s">
        <v>1721</v>
      </c>
      <c r="F4264" s="366" t="s">
        <v>31</v>
      </c>
      <c r="G4264" s="348" t="str">
        <f>"'"&amp;$C4264&amp;"'!$E$61:$Y$61"</f>
        <v>'BLD_AS'!$E$61:$Y$61</v>
      </c>
      <c r="H4264" s="381">
        <f ca="1">IF(IFERROR(INDEX(DATA_PROPERTY_MASTER!$E$5:$E$21,MATCH($C4264,DATA_PROPERTY_MASTER!$A$5:$A$21,0))="Yes",FALSE),IFERROR(INDEX(INDIRECT("'"&amp;$C4264&amp;"'!$E$61:$Y$61"),1,MATCH($D4264,INDIRECT("'"&amp;$C4264&amp;"'!$E$12:$Y$12"),0)),0),0)</f>
        <v>0</v>
      </c>
      <c r="I4264" s="366" t="s">
        <v>1690</v>
      </c>
      <c r="J4264" s="348" t="str">
        <f t="shared" ca="1" si="132"/>
        <v>OK</v>
      </c>
      <c r="K4264" s="366" t="s">
        <v>1723</v>
      </c>
      <c r="L4264" s="366" t="s">
        <v>2252</v>
      </c>
      <c r="M4264" s="350" t="str">
        <f>IF($B4264="Portfolio","Portfolio",IFERROR(INDEX(DATA_ASSET_CLASSIFICATION!$B$8:$B$24,MATCH($C4264,DATA_ASSET_CLASSIFICATION!$A$8:$A$24,0)),"Review"))</f>
        <v>1656 Adanac Street</v>
      </c>
      <c r="N4264" s="350" t="str">
        <f>IF($B4264="Portfolio","Portfolio",IFERROR(INDEX(DATA_ASSET_CLASSIFICATION!$U$8:$U$24,MATCH($C4264,DATA_ASSET_CLASSIFICATION!$A$8:$A$24,0)),"Review"))</f>
        <v>New Build</v>
      </c>
      <c r="O4264" s="350" t="str">
        <f>IF($B4264="Portfolio","Portfolio",IFERROR(INDEX(DATA_ASSET_CLASSIFICATION!$AB$8:$AB$13,MATCH($N4264,DATA_ASSET_CLASSIFICATION!$AA$8:$AA$13,0)),"Review"))</f>
        <v>Bucket 1 · New Build</v>
      </c>
      <c r="P4264" s="350" t="str">
        <f>IF($B4264="Portfolio","Portfolio",IFERROR(INDEX(DATA_ASSET_CLASSIFICATION!$C$8:$C$24,MATCH($C4264,DATA_ASSET_CLASSIFICATION!$A$8:$A$24,0)),"Review"))</f>
        <v>Yes</v>
      </c>
      <c r="Q4264" s="350" t="str">
        <f t="shared" ca="1" si="133"/>
        <v>OK</v>
      </c>
    </row>
    <row r="4265" spans="1:17">
      <c r="A4265" s="366" t="s">
        <v>6221</v>
      </c>
      <c r="B4265" s="366" t="s">
        <v>231</v>
      </c>
      <c r="C4265" s="348" t="str">
        <f>DATA_PROPERTY_MASTER!$A$18</f>
        <v>BLD_AS</v>
      </c>
      <c r="D4265" s="380">
        <f>'00_PORTFOLIO ROLLUP'!Q$12</f>
        <v>2037</v>
      </c>
      <c r="E4265" s="366" t="s">
        <v>1721</v>
      </c>
      <c r="F4265" s="366" t="s">
        <v>33</v>
      </c>
      <c r="G4265" s="348" t="str">
        <f>"'"&amp;$C4265&amp;"'!$E$62:$Y$62"</f>
        <v>'BLD_AS'!$E$62:$Y$62</v>
      </c>
      <c r="H4265" s="381">
        <f ca="1">IF(IFERROR(INDEX(DATA_PROPERTY_MASTER!$E$5:$E$21,MATCH($C4265,DATA_PROPERTY_MASTER!$A$5:$A$21,0))="Yes",FALSE),IFERROR(INDEX(INDIRECT("'"&amp;$C4265&amp;"'!$E$62:$Y$62"),1,MATCH($D4265,INDIRECT("'"&amp;$C4265&amp;"'!$E$12:$Y$12"),0)),0),0)</f>
        <v>0</v>
      </c>
      <c r="I4265" s="366" t="s">
        <v>1685</v>
      </c>
      <c r="J4265" s="348" t="str">
        <f t="shared" ca="1" si="132"/>
        <v>OK</v>
      </c>
      <c r="K4265" s="366" t="s">
        <v>1727</v>
      </c>
      <c r="L4265" s="366" t="s">
        <v>2254</v>
      </c>
      <c r="M4265" s="350" t="str">
        <f>IF($B4265="Portfolio","Portfolio",IFERROR(INDEX(DATA_ASSET_CLASSIFICATION!$B$8:$B$24,MATCH($C4265,DATA_ASSET_CLASSIFICATION!$A$8:$A$24,0)),"Review"))</f>
        <v>1656 Adanac Street</v>
      </c>
      <c r="N4265" s="350" t="str">
        <f>IF($B4265="Portfolio","Portfolio",IFERROR(INDEX(DATA_ASSET_CLASSIFICATION!$U$8:$U$24,MATCH($C4265,DATA_ASSET_CLASSIFICATION!$A$8:$A$24,0)),"Review"))</f>
        <v>New Build</v>
      </c>
      <c r="O4265" s="350" t="str">
        <f>IF($B4265="Portfolio","Portfolio",IFERROR(INDEX(DATA_ASSET_CLASSIFICATION!$AB$8:$AB$13,MATCH($N4265,DATA_ASSET_CLASSIFICATION!$AA$8:$AA$13,0)),"Review"))</f>
        <v>Bucket 1 · New Build</v>
      </c>
      <c r="P4265" s="350" t="str">
        <f>IF($B4265="Portfolio","Portfolio",IFERROR(INDEX(DATA_ASSET_CLASSIFICATION!$C$8:$C$24,MATCH($C4265,DATA_ASSET_CLASSIFICATION!$A$8:$A$24,0)),"Review"))</f>
        <v>Yes</v>
      </c>
      <c r="Q4265" s="350" t="str">
        <f t="shared" ca="1" si="133"/>
        <v>OK</v>
      </c>
    </row>
    <row r="4266" spans="1:17">
      <c r="A4266" s="366" t="s">
        <v>6222</v>
      </c>
      <c r="B4266" s="366" t="s">
        <v>231</v>
      </c>
      <c r="C4266" s="348" t="str">
        <f>DATA_PROPERTY_MASTER!$A$18</f>
        <v>BLD_AS</v>
      </c>
      <c r="D4266" s="380">
        <f>'00_PORTFOLIO ROLLUP'!Q$12</f>
        <v>2037</v>
      </c>
      <c r="E4266" s="366" t="s">
        <v>1721</v>
      </c>
      <c r="F4266" s="366" t="s">
        <v>35</v>
      </c>
      <c r="G4266" s="348" t="str">
        <f>"'"&amp;$C4266&amp;"'!$E$63:$Y$63"</f>
        <v>'BLD_AS'!$E$63:$Y$63</v>
      </c>
      <c r="H4266" s="381">
        <f ca="1">IF(IFERROR(INDEX(DATA_PROPERTY_MASTER!$E$5:$E$21,MATCH($C4266,DATA_PROPERTY_MASTER!$A$5:$A$21,0))="Yes",FALSE),IFERROR(INDEX(INDIRECT("'"&amp;$C4266&amp;"'!$E$63:$Y$63"),1,MATCH($D4266,INDIRECT("'"&amp;$C4266&amp;"'!$E$12:$Y$12"),0)),0),0)</f>
        <v>0</v>
      </c>
      <c r="I4266" s="366" t="s">
        <v>1731</v>
      </c>
      <c r="J4266" s="348" t="str">
        <f t="shared" ca="1" si="132"/>
        <v>OK</v>
      </c>
      <c r="K4266" s="366" t="s">
        <v>1732</v>
      </c>
      <c r="L4266" s="366" t="s">
        <v>2256</v>
      </c>
      <c r="M4266" s="350" t="str">
        <f>IF($B4266="Portfolio","Portfolio",IFERROR(INDEX(DATA_ASSET_CLASSIFICATION!$B$8:$B$24,MATCH($C4266,DATA_ASSET_CLASSIFICATION!$A$8:$A$24,0)),"Review"))</f>
        <v>1656 Adanac Street</v>
      </c>
      <c r="N4266" s="350" t="str">
        <f>IF($B4266="Portfolio","Portfolio",IFERROR(INDEX(DATA_ASSET_CLASSIFICATION!$U$8:$U$24,MATCH($C4266,DATA_ASSET_CLASSIFICATION!$A$8:$A$24,0)),"Review"))</f>
        <v>New Build</v>
      </c>
      <c r="O4266" s="350" t="str">
        <f>IF($B4266="Portfolio","Portfolio",IFERROR(INDEX(DATA_ASSET_CLASSIFICATION!$AB$8:$AB$13,MATCH($N4266,DATA_ASSET_CLASSIFICATION!$AA$8:$AA$13,0)),"Review"))</f>
        <v>Bucket 1 · New Build</v>
      </c>
      <c r="P4266" s="350" t="str">
        <f>IF($B4266="Portfolio","Portfolio",IFERROR(INDEX(DATA_ASSET_CLASSIFICATION!$C$8:$C$24,MATCH($C4266,DATA_ASSET_CLASSIFICATION!$A$8:$A$24,0)),"Review"))</f>
        <v>Yes</v>
      </c>
      <c r="Q4266" s="350" t="str">
        <f t="shared" ca="1" si="133"/>
        <v>OK</v>
      </c>
    </row>
    <row r="4267" spans="1:17">
      <c r="A4267" s="366" t="s">
        <v>6223</v>
      </c>
      <c r="B4267" s="366" t="s">
        <v>231</v>
      </c>
      <c r="C4267" s="348" t="str">
        <f>DATA_PROPERTY_MASTER!$A$18</f>
        <v>BLD_AS</v>
      </c>
      <c r="D4267" s="380">
        <f>'00_PORTFOLIO ROLLUP'!Q$12</f>
        <v>2037</v>
      </c>
      <c r="E4267" s="366" t="s">
        <v>1721</v>
      </c>
      <c r="F4267" s="366" t="s">
        <v>37</v>
      </c>
      <c r="G4267" s="348" t="str">
        <f>"'"&amp;$C4267&amp;"'!$E$63:$Y$63"</f>
        <v>'BLD_AS'!$E$63:$Y$63</v>
      </c>
      <c r="H4267" s="381">
        <f ca="1">IF(IFERROR(INDEX(DATA_PROPERTY_MASTER!$E$5:$E$21,MATCH($C4267,DATA_PROPERTY_MASTER!$A$5:$A$21,0))="Yes",FALSE),MAX(IFERROR(INDEX(INDIRECT("'"&amp;$C4267&amp;"'!$E$63:$Y$63"),1,MATCH($D4267,INDIRECT("'"&amp;$C4267&amp;"'!$E$12:$Y$12"),0)),0),0),0)</f>
        <v>0</v>
      </c>
      <c r="I4267" s="366" t="s">
        <v>1685</v>
      </c>
      <c r="J4267" s="348" t="str">
        <f t="shared" ca="1" si="132"/>
        <v>OK</v>
      </c>
      <c r="K4267" s="366" t="s">
        <v>1735</v>
      </c>
      <c r="L4267" s="366" t="s">
        <v>2258</v>
      </c>
      <c r="M4267" s="350" t="str">
        <f>IF($B4267="Portfolio","Portfolio",IFERROR(INDEX(DATA_ASSET_CLASSIFICATION!$B$8:$B$24,MATCH($C4267,DATA_ASSET_CLASSIFICATION!$A$8:$A$24,0)),"Review"))</f>
        <v>1656 Adanac Street</v>
      </c>
      <c r="N4267" s="350" t="str">
        <f>IF($B4267="Portfolio","Portfolio",IFERROR(INDEX(DATA_ASSET_CLASSIFICATION!$U$8:$U$24,MATCH($C4267,DATA_ASSET_CLASSIFICATION!$A$8:$A$24,0)),"Review"))</f>
        <v>New Build</v>
      </c>
      <c r="O4267" s="350" t="str">
        <f>IF($B4267="Portfolio","Portfolio",IFERROR(INDEX(DATA_ASSET_CLASSIFICATION!$AB$8:$AB$13,MATCH($N4267,DATA_ASSET_CLASSIFICATION!$AA$8:$AA$13,0)),"Review"))</f>
        <v>Bucket 1 · New Build</v>
      </c>
      <c r="P4267" s="350" t="str">
        <f>IF($B4267="Portfolio","Portfolio",IFERROR(INDEX(DATA_ASSET_CLASSIFICATION!$C$8:$C$24,MATCH($C4267,DATA_ASSET_CLASSIFICATION!$A$8:$A$24,0)),"Review"))</f>
        <v>Yes</v>
      </c>
      <c r="Q4267" s="350" t="str">
        <f t="shared" ca="1" si="133"/>
        <v>OK</v>
      </c>
    </row>
    <row r="4268" spans="1:17">
      <c r="A4268" s="366" t="s">
        <v>6224</v>
      </c>
      <c r="B4268" s="366" t="s">
        <v>231</v>
      </c>
      <c r="C4268" s="348" t="str">
        <f>DATA_PROPERTY_MASTER!$A$18</f>
        <v>BLD_AS</v>
      </c>
      <c r="D4268" s="380">
        <f>'00_PORTFOLIO ROLLUP'!Q$12</f>
        <v>2037</v>
      </c>
      <c r="E4268" s="366" t="s">
        <v>1721</v>
      </c>
      <c r="F4268" s="366" t="s">
        <v>39</v>
      </c>
      <c r="G4268" s="348" t="str">
        <f>"'"&amp;$C4268&amp;"'!$E$63:$Y$63"</f>
        <v>'BLD_AS'!$E$63:$Y$63</v>
      </c>
      <c r="H4268" s="381">
        <f ca="1">IF(IFERROR(INDEX(DATA_PROPERTY_MASTER!$E$5:$E$21,MATCH($C4268,DATA_PROPERTY_MASTER!$A$5:$A$21,0))="Yes",FALSE),MAX(-IFERROR(INDEX(INDIRECT("'"&amp;$C4268&amp;"'!$E$63:$Y$63"),1,MATCH($D4268,INDIRECT("'"&amp;$C4268&amp;"'!$E$12:$Y$12"),0)),0),0),0)</f>
        <v>0</v>
      </c>
      <c r="I4268" s="366" t="s">
        <v>1690</v>
      </c>
      <c r="J4268" s="348" t="str">
        <f t="shared" ca="1" si="132"/>
        <v>OK</v>
      </c>
      <c r="K4268" s="366" t="s">
        <v>1738</v>
      </c>
      <c r="L4268" s="366" t="s">
        <v>2260</v>
      </c>
      <c r="M4268" s="350" t="str">
        <f>IF($B4268="Portfolio","Portfolio",IFERROR(INDEX(DATA_ASSET_CLASSIFICATION!$B$8:$B$24,MATCH($C4268,DATA_ASSET_CLASSIFICATION!$A$8:$A$24,0)),"Review"))</f>
        <v>1656 Adanac Street</v>
      </c>
      <c r="N4268" s="350" t="str">
        <f>IF($B4268="Portfolio","Portfolio",IFERROR(INDEX(DATA_ASSET_CLASSIFICATION!$U$8:$U$24,MATCH($C4268,DATA_ASSET_CLASSIFICATION!$A$8:$A$24,0)),"Review"))</f>
        <v>New Build</v>
      </c>
      <c r="O4268" s="350" t="str">
        <f>IF($B4268="Portfolio","Portfolio",IFERROR(INDEX(DATA_ASSET_CLASSIFICATION!$AB$8:$AB$13,MATCH($N4268,DATA_ASSET_CLASSIFICATION!$AA$8:$AA$13,0)),"Review"))</f>
        <v>Bucket 1 · New Build</v>
      </c>
      <c r="P4268" s="350" t="str">
        <f>IF($B4268="Portfolio","Portfolio",IFERROR(INDEX(DATA_ASSET_CLASSIFICATION!$C$8:$C$24,MATCH($C4268,DATA_ASSET_CLASSIFICATION!$A$8:$A$24,0)),"Review"))</f>
        <v>Yes</v>
      </c>
      <c r="Q4268" s="350" t="str">
        <f t="shared" ca="1" si="133"/>
        <v>OK</v>
      </c>
    </row>
    <row r="4269" spans="1:17">
      <c r="A4269" s="366" t="s">
        <v>6225</v>
      </c>
      <c r="B4269" s="366" t="s">
        <v>231</v>
      </c>
      <c r="C4269" s="348" t="str">
        <f>DATA_PROPERTY_MASTER!$A$18</f>
        <v>BLD_AS</v>
      </c>
      <c r="D4269" s="380">
        <f>'00_PORTFOLIO ROLLUP'!Q$12</f>
        <v>2037</v>
      </c>
      <c r="E4269" s="366" t="s">
        <v>1741</v>
      </c>
      <c r="F4269" s="366" t="s">
        <v>41</v>
      </c>
      <c r="G4269" s="348" t="str">
        <f>"'"&amp;$C4269&amp;"'!rows 56 + positive row 63"</f>
        <v>'BLD_AS'!rows 56 + positive row 63</v>
      </c>
      <c r="H4269" s="381">
        <f ca="1">IF(IFERROR(INDEX(DATA_PROPERTY_MASTER!$E$5:$E$21,MATCH($C4269,DATA_PROPERTY_MASTER!$A$5:$A$21,0))="Yes",FALSE),IFERROR(INDEX(INDIRECT("'"&amp;$C4269&amp;"'!$E$56:$Y$56"),1,MATCH($D4269,INDIRECT("'"&amp;$C4269&amp;"'!$E$12:$Y$12"),0)),0)+MAX(IFERROR(INDEX(INDIRECT("'"&amp;$C4269&amp;"'!$E$63:$Y$63"),1,MATCH($D4269,INDIRECT("'"&amp;$C4269&amp;"'!$E$12:$Y$12"),0)),0),0),0)</f>
        <v>202469.59415193921</v>
      </c>
      <c r="I4269" s="366" t="s">
        <v>1685</v>
      </c>
      <c r="J4269" s="348" t="str">
        <f t="shared" ca="1" si="132"/>
        <v>OK</v>
      </c>
      <c r="K4269" s="366" t="s">
        <v>1742</v>
      </c>
      <c r="L4269" s="366" t="s">
        <v>2262</v>
      </c>
      <c r="M4269" s="350" t="str">
        <f>IF($B4269="Portfolio","Portfolio",IFERROR(INDEX(DATA_ASSET_CLASSIFICATION!$B$8:$B$24,MATCH($C4269,DATA_ASSET_CLASSIFICATION!$A$8:$A$24,0)),"Review"))</f>
        <v>1656 Adanac Street</v>
      </c>
      <c r="N4269" s="350" t="str">
        <f>IF($B4269="Portfolio","Portfolio",IFERROR(INDEX(DATA_ASSET_CLASSIFICATION!$U$8:$U$24,MATCH($C4269,DATA_ASSET_CLASSIFICATION!$A$8:$A$24,0)),"Review"))</f>
        <v>New Build</v>
      </c>
      <c r="O4269" s="350" t="str">
        <f>IF($B4269="Portfolio","Portfolio",IFERROR(INDEX(DATA_ASSET_CLASSIFICATION!$AB$8:$AB$13,MATCH($N4269,DATA_ASSET_CLASSIFICATION!$AA$8:$AA$13,0)),"Review"))</f>
        <v>Bucket 1 · New Build</v>
      </c>
      <c r="P4269" s="350" t="str">
        <f>IF($B4269="Portfolio","Portfolio",IFERROR(INDEX(DATA_ASSET_CLASSIFICATION!$C$8:$C$24,MATCH($C4269,DATA_ASSET_CLASSIFICATION!$A$8:$A$24,0)),"Review"))</f>
        <v>Yes</v>
      </c>
      <c r="Q4269" s="350" t="str">
        <f t="shared" ca="1" si="133"/>
        <v>OK</v>
      </c>
    </row>
    <row r="4270" spans="1:17">
      <c r="A4270" s="366" t="s">
        <v>6226</v>
      </c>
      <c r="B4270" s="366" t="s">
        <v>231</v>
      </c>
      <c r="C4270" s="348" t="str">
        <f>DATA_PROPERTY_MASTER!$A$18</f>
        <v>BLD_AS</v>
      </c>
      <c r="D4270" s="380">
        <f>'00_PORTFOLIO ROLLUP'!Q$12</f>
        <v>2037</v>
      </c>
      <c r="E4270" s="366" t="s">
        <v>1741</v>
      </c>
      <c r="F4270" s="366" t="s">
        <v>43</v>
      </c>
      <c r="G4270" s="348" t="str">
        <f>"'"&amp;$C4270&amp;"'!$E$68:$Y$68"</f>
        <v>'BLD_AS'!$E$68:$Y$68</v>
      </c>
      <c r="H4270" s="381">
        <f ca="1">IF(IFERROR(INDEX(DATA_PROPERTY_MASTER!$E$5:$E$21,MATCH($C4270,DATA_PROPERTY_MASTER!$A$5:$A$21,0))="Yes",FALSE),IFERROR(INDEX(INDIRECT("'"&amp;$C4270&amp;"'!$E$68:$Y$68"),1,MATCH($D4270,INDIRECT("'"&amp;$C4270&amp;"'!$E$12:$Y$12"),0)),0),0)</f>
        <v>202469.59415193921</v>
      </c>
      <c r="I4270" s="366" t="s">
        <v>1731</v>
      </c>
      <c r="J4270" s="348" t="str">
        <f t="shared" ca="1" si="132"/>
        <v>OK</v>
      </c>
      <c r="K4270" s="366" t="s">
        <v>1746</v>
      </c>
      <c r="L4270" s="366" t="s">
        <v>2264</v>
      </c>
      <c r="M4270" s="350" t="str">
        <f>IF($B4270="Portfolio","Portfolio",IFERROR(INDEX(DATA_ASSET_CLASSIFICATION!$B$8:$B$24,MATCH($C4270,DATA_ASSET_CLASSIFICATION!$A$8:$A$24,0)),"Review"))</f>
        <v>1656 Adanac Street</v>
      </c>
      <c r="N4270" s="350" t="str">
        <f>IF($B4270="Portfolio","Portfolio",IFERROR(INDEX(DATA_ASSET_CLASSIFICATION!$U$8:$U$24,MATCH($C4270,DATA_ASSET_CLASSIFICATION!$A$8:$A$24,0)),"Review"))</f>
        <v>New Build</v>
      </c>
      <c r="O4270" s="350" t="str">
        <f>IF($B4270="Portfolio","Portfolio",IFERROR(INDEX(DATA_ASSET_CLASSIFICATION!$AB$8:$AB$13,MATCH($N4270,DATA_ASSET_CLASSIFICATION!$AA$8:$AA$13,0)),"Review"))</f>
        <v>Bucket 1 · New Build</v>
      </c>
      <c r="P4270" s="350" t="str">
        <f>IF($B4270="Portfolio","Portfolio",IFERROR(INDEX(DATA_ASSET_CLASSIFICATION!$C$8:$C$24,MATCH($C4270,DATA_ASSET_CLASSIFICATION!$A$8:$A$24,0)),"Review"))</f>
        <v>Yes</v>
      </c>
      <c r="Q4270" s="350" t="str">
        <f t="shared" ca="1" si="133"/>
        <v>OK</v>
      </c>
    </row>
    <row r="4271" spans="1:17">
      <c r="A4271" s="366" t="s">
        <v>6227</v>
      </c>
      <c r="B4271" s="366" t="s">
        <v>231</v>
      </c>
      <c r="C4271" s="348" t="str">
        <f>DATA_PROPERTY_MASTER!$A$18</f>
        <v>BLD_AS</v>
      </c>
      <c r="D4271" s="380">
        <f>'00_PORTFOLIO ROLLUP'!Q$12</f>
        <v>2037</v>
      </c>
      <c r="E4271" s="366" t="s">
        <v>1741</v>
      </c>
      <c r="F4271" s="366" t="s">
        <v>1749</v>
      </c>
      <c r="G4271" s="348" t="str">
        <f>"'"&amp;$C4271&amp;"'!rows 56, 63, 68"</f>
        <v>'BLD_AS'!rows 56, 63, 68</v>
      </c>
      <c r="H4271" s="381">
        <f ca="1">IF(IFERROR(INDEX(DATA_PROPERTY_MASTER!$E$5:$E$21,MATCH($C4271,DATA_PROPERTY_MASTER!$A$5:$A$21,0))="Yes",FALSE),(IFERROR(INDEX(INDIRECT("'"&amp;$C4271&amp;"'!$E$56:$Y$56"),1,MATCH($D4271,INDIRECT("'"&amp;$C4271&amp;"'!$E$12:$Y$12"),0)),0)+MAX(IFERROR(INDEX(INDIRECT("'"&amp;$C4271&amp;"'!$E$63:$Y$63"),1,MATCH($D4271,INDIRECT("'"&amp;$C4271&amp;"'!$E$12:$Y$12"),0)),0),0))-(IFERROR(INDEX(INDIRECT("'"&amp;$C4271&amp;"'!$E$68:$Y$68"),1,MATCH($D4271,INDIRECT("'"&amp;$C4271&amp;"'!$E$12:$Y$12"),0)),0)),0)</f>
        <v>0</v>
      </c>
      <c r="I4271" s="366" t="s">
        <v>1750</v>
      </c>
      <c r="J4271" s="348" t="str">
        <f t="shared" ca="1" si="132"/>
        <v>OK</v>
      </c>
      <c r="K4271" s="366" t="s">
        <v>1751</v>
      </c>
      <c r="L4271" s="366" t="s">
        <v>2266</v>
      </c>
      <c r="M4271" s="350" t="str">
        <f>IF($B4271="Portfolio","Portfolio",IFERROR(INDEX(DATA_ASSET_CLASSIFICATION!$B$8:$B$24,MATCH($C4271,DATA_ASSET_CLASSIFICATION!$A$8:$A$24,0)),"Review"))</f>
        <v>1656 Adanac Street</v>
      </c>
      <c r="N4271" s="350" t="str">
        <f>IF($B4271="Portfolio","Portfolio",IFERROR(INDEX(DATA_ASSET_CLASSIFICATION!$U$8:$U$24,MATCH($C4271,DATA_ASSET_CLASSIFICATION!$A$8:$A$24,0)),"Review"))</f>
        <v>New Build</v>
      </c>
      <c r="O4271" s="350" t="str">
        <f>IF($B4271="Portfolio","Portfolio",IFERROR(INDEX(DATA_ASSET_CLASSIFICATION!$AB$8:$AB$13,MATCH($N4271,DATA_ASSET_CLASSIFICATION!$AA$8:$AA$13,0)),"Review"))</f>
        <v>Bucket 1 · New Build</v>
      </c>
      <c r="P4271" s="350" t="str">
        <f>IF($B4271="Portfolio","Portfolio",IFERROR(INDEX(DATA_ASSET_CLASSIFICATION!$C$8:$C$24,MATCH($C4271,DATA_ASSET_CLASSIFICATION!$A$8:$A$24,0)),"Review"))</f>
        <v>Yes</v>
      </c>
      <c r="Q4271" s="350" t="str">
        <f t="shared" ca="1" si="133"/>
        <v>OK</v>
      </c>
    </row>
    <row r="4272" spans="1:17">
      <c r="A4272" s="366" t="s">
        <v>6228</v>
      </c>
      <c r="B4272" s="366" t="s">
        <v>231</v>
      </c>
      <c r="C4272" s="348" t="str">
        <f>DATA_PROPERTY_MASTER!$A$18</f>
        <v>BLD_AS</v>
      </c>
      <c r="D4272" s="380">
        <f>'00_PORTFOLIO ROLLUP'!R$12</f>
        <v>2038</v>
      </c>
      <c r="E4272" s="366" t="s">
        <v>1683</v>
      </c>
      <c r="F4272" s="366" t="s">
        <v>341</v>
      </c>
      <c r="G4272" s="348" t="str">
        <f>"'"&amp;$C4272&amp;"'!$E$24:$Y$24"</f>
        <v>'BLD_AS'!$E$24:$Y$24</v>
      </c>
      <c r="H4272" s="381">
        <f ca="1">IF(IFERROR(INDEX(DATA_PROPERTY_MASTER!$E$5:$E$21,MATCH($C4272,DATA_PROPERTY_MASTER!$A$5:$A$21,0))="Yes",FALSE),IFERROR(INDEX(INDIRECT("'"&amp;$C4272&amp;"'!$E$24:$Y$24"),1,MATCH($D4272,INDIRECT("'"&amp;$C4272&amp;"'!$E$12:$Y$12"),0)),0),0)</f>
        <v>2481869.8149878145</v>
      </c>
      <c r="I4272" s="366" t="s">
        <v>1685</v>
      </c>
      <c r="J4272" s="348" t="str">
        <f t="shared" ca="1" si="132"/>
        <v>OK</v>
      </c>
      <c r="K4272" s="366" t="s">
        <v>1686</v>
      </c>
      <c r="L4272" s="366" t="s">
        <v>2234</v>
      </c>
      <c r="M4272" s="350" t="str">
        <f>IF($B4272="Portfolio","Portfolio",IFERROR(INDEX(DATA_ASSET_CLASSIFICATION!$B$8:$B$24,MATCH($C4272,DATA_ASSET_CLASSIFICATION!$A$8:$A$24,0)),"Review"))</f>
        <v>1656 Adanac Street</v>
      </c>
      <c r="N4272" s="350" t="str">
        <f>IF($B4272="Portfolio","Portfolio",IFERROR(INDEX(DATA_ASSET_CLASSIFICATION!$U$8:$U$24,MATCH($C4272,DATA_ASSET_CLASSIFICATION!$A$8:$A$24,0)),"Review"))</f>
        <v>New Build</v>
      </c>
      <c r="O4272" s="350" t="str">
        <f>IF($B4272="Portfolio","Portfolio",IFERROR(INDEX(DATA_ASSET_CLASSIFICATION!$AB$8:$AB$13,MATCH($N4272,DATA_ASSET_CLASSIFICATION!$AA$8:$AA$13,0)),"Review"))</f>
        <v>Bucket 1 · New Build</v>
      </c>
      <c r="P4272" s="350" t="str">
        <f>IF($B4272="Portfolio","Portfolio",IFERROR(INDEX(DATA_ASSET_CLASSIFICATION!$C$8:$C$24,MATCH($C4272,DATA_ASSET_CLASSIFICATION!$A$8:$A$24,0)),"Review"))</f>
        <v>Yes</v>
      </c>
      <c r="Q4272" s="350" t="str">
        <f t="shared" ca="1" si="133"/>
        <v>OK</v>
      </c>
    </row>
    <row r="4273" spans="1:17">
      <c r="A4273" s="366" t="s">
        <v>6229</v>
      </c>
      <c r="B4273" s="366" t="s">
        <v>231</v>
      </c>
      <c r="C4273" s="348" t="str">
        <f>DATA_PROPERTY_MASTER!$A$18</f>
        <v>BLD_AS</v>
      </c>
      <c r="D4273" s="380">
        <f>'00_PORTFOLIO ROLLUP'!R$12</f>
        <v>2038</v>
      </c>
      <c r="E4273" s="366" t="s">
        <v>1683</v>
      </c>
      <c r="F4273" s="366" t="s">
        <v>355</v>
      </c>
      <c r="G4273" s="348" t="str">
        <f>"'"&amp;$C4273&amp;"'!$E$39:$Y$39"</f>
        <v>'BLD_AS'!$E$39:$Y$39</v>
      </c>
      <c r="H4273" s="381">
        <f ca="1">IF(IFERROR(INDEX(DATA_PROPERTY_MASTER!$E$5:$E$21,MATCH($C4273,DATA_PROPERTY_MASTER!$A$5:$A$21,0))="Yes",FALSE),IFERROR(INDEX(INDIRECT("'"&amp;$C4273&amp;"'!$E$39:$Y$39"),1,MATCH($D4273,INDIRECT("'"&amp;$C4273&amp;"'!$E$12:$Y$12"),0)),0),0)</f>
        <v>1149416.7527891074</v>
      </c>
      <c r="I4273" s="366" t="s">
        <v>1690</v>
      </c>
      <c r="J4273" s="348" t="str">
        <f t="shared" ca="1" si="132"/>
        <v>OK</v>
      </c>
      <c r="K4273" s="366" t="s">
        <v>1686</v>
      </c>
      <c r="L4273" s="366" t="s">
        <v>2236</v>
      </c>
      <c r="M4273" s="350" t="str">
        <f>IF($B4273="Portfolio","Portfolio",IFERROR(INDEX(DATA_ASSET_CLASSIFICATION!$B$8:$B$24,MATCH($C4273,DATA_ASSET_CLASSIFICATION!$A$8:$A$24,0)),"Review"))</f>
        <v>1656 Adanac Street</v>
      </c>
      <c r="N4273" s="350" t="str">
        <f>IF($B4273="Portfolio","Portfolio",IFERROR(INDEX(DATA_ASSET_CLASSIFICATION!$U$8:$U$24,MATCH($C4273,DATA_ASSET_CLASSIFICATION!$A$8:$A$24,0)),"Review"))</f>
        <v>New Build</v>
      </c>
      <c r="O4273" s="350" t="str">
        <f>IF($B4273="Portfolio","Portfolio",IFERROR(INDEX(DATA_ASSET_CLASSIFICATION!$AB$8:$AB$13,MATCH($N4273,DATA_ASSET_CLASSIFICATION!$AA$8:$AA$13,0)),"Review"))</f>
        <v>Bucket 1 · New Build</v>
      </c>
      <c r="P4273" s="350" t="str">
        <f>IF($B4273="Portfolio","Portfolio",IFERROR(INDEX(DATA_ASSET_CLASSIFICATION!$C$8:$C$24,MATCH($C4273,DATA_ASSET_CLASSIFICATION!$A$8:$A$24,0)),"Review"))</f>
        <v>Yes</v>
      </c>
      <c r="Q4273" s="350" t="str">
        <f t="shared" ca="1" si="133"/>
        <v>OK</v>
      </c>
    </row>
    <row r="4274" spans="1:17">
      <c r="A4274" s="366" t="s">
        <v>6230</v>
      </c>
      <c r="B4274" s="366" t="s">
        <v>231</v>
      </c>
      <c r="C4274" s="348" t="str">
        <f>DATA_PROPERTY_MASTER!$A$18</f>
        <v>BLD_AS</v>
      </c>
      <c r="D4274" s="380">
        <f>'00_PORTFOLIO ROLLUP'!R$12</f>
        <v>2038</v>
      </c>
      <c r="E4274" s="366" t="s">
        <v>1683</v>
      </c>
      <c r="F4274" s="366" t="s">
        <v>19</v>
      </c>
      <c r="G4274" s="348" t="str">
        <f>"'"&amp;$C4274&amp;"'!$E$41:$Y$41"</f>
        <v>'BLD_AS'!$E$41:$Y$41</v>
      </c>
      <c r="H4274" s="381">
        <f ca="1">IF(IFERROR(INDEX(DATA_PROPERTY_MASTER!$E$5:$E$21,MATCH($C4274,DATA_PROPERTY_MASTER!$A$5:$A$21,0))="Yes",FALSE),IFERROR(INDEX(INDIRECT("'"&amp;$C4274&amp;"'!$E$41:$Y$41"),1,MATCH($D4274,INDIRECT("'"&amp;$C4274&amp;"'!$E$12:$Y$12"),0)),0),0)</f>
        <v>1332453.0621987071</v>
      </c>
      <c r="I4274" s="366" t="s">
        <v>1685</v>
      </c>
      <c r="J4274" s="348" t="str">
        <f t="shared" ca="1" si="132"/>
        <v>OK</v>
      </c>
      <c r="K4274" s="366" t="s">
        <v>1694</v>
      </c>
      <c r="L4274" s="366" t="s">
        <v>2238</v>
      </c>
      <c r="M4274" s="350" t="str">
        <f>IF($B4274="Portfolio","Portfolio",IFERROR(INDEX(DATA_ASSET_CLASSIFICATION!$B$8:$B$24,MATCH($C4274,DATA_ASSET_CLASSIFICATION!$A$8:$A$24,0)),"Review"))</f>
        <v>1656 Adanac Street</v>
      </c>
      <c r="N4274" s="350" t="str">
        <f>IF($B4274="Portfolio","Portfolio",IFERROR(INDEX(DATA_ASSET_CLASSIFICATION!$U$8:$U$24,MATCH($C4274,DATA_ASSET_CLASSIFICATION!$A$8:$A$24,0)),"Review"))</f>
        <v>New Build</v>
      </c>
      <c r="O4274" s="350" t="str">
        <f>IF($B4274="Portfolio","Portfolio",IFERROR(INDEX(DATA_ASSET_CLASSIFICATION!$AB$8:$AB$13,MATCH($N4274,DATA_ASSET_CLASSIFICATION!$AA$8:$AA$13,0)),"Review"))</f>
        <v>Bucket 1 · New Build</v>
      </c>
      <c r="P4274" s="350" t="str">
        <f>IF($B4274="Portfolio","Portfolio",IFERROR(INDEX(DATA_ASSET_CLASSIFICATION!$C$8:$C$24,MATCH($C4274,DATA_ASSET_CLASSIFICATION!$A$8:$A$24,0)),"Review"))</f>
        <v>Yes</v>
      </c>
      <c r="Q4274" s="350" t="str">
        <f t="shared" ca="1" si="133"/>
        <v>OK</v>
      </c>
    </row>
    <row r="4275" spans="1:17">
      <c r="A4275" s="366" t="s">
        <v>6231</v>
      </c>
      <c r="B4275" s="366" t="s">
        <v>231</v>
      </c>
      <c r="C4275" s="348" t="str">
        <f>DATA_PROPERTY_MASTER!$A$18</f>
        <v>BLD_AS</v>
      </c>
      <c r="D4275" s="380">
        <f>'00_PORTFOLIO ROLLUP'!R$12</f>
        <v>2038</v>
      </c>
      <c r="E4275" s="366" t="s">
        <v>1683</v>
      </c>
      <c r="F4275" s="366" t="s">
        <v>1697</v>
      </c>
      <c r="G4275" s="348" t="str">
        <f>"'"&amp;$C4275&amp;"'!$E$44:$Y$44"</f>
        <v>'BLD_AS'!$E$44:$Y$44</v>
      </c>
      <c r="H4275" s="381">
        <f ca="1">IF(IFERROR(INDEX(DATA_PROPERTY_MASTER!$E$5:$E$21,MATCH($C4275,DATA_PROPERTY_MASTER!$A$5:$A$21,0))="Yes",FALSE),IFERROR(INDEX(INDIRECT("'"&amp;$C4275&amp;"'!$E$44:$Y$44"),1,MATCH($D4275,INDIRECT("'"&amp;$C4275&amp;"'!$E$12:$Y$12"),0)),0),0)</f>
        <v>18821.976473102732</v>
      </c>
      <c r="I4275" s="366" t="s">
        <v>1690</v>
      </c>
      <c r="J4275" s="348" t="str">
        <f t="shared" ca="1" si="132"/>
        <v>OK</v>
      </c>
      <c r="K4275" s="366" t="s">
        <v>1699</v>
      </c>
      <c r="L4275" s="366" t="s">
        <v>2240</v>
      </c>
      <c r="M4275" s="350" t="str">
        <f>IF($B4275="Portfolio","Portfolio",IFERROR(INDEX(DATA_ASSET_CLASSIFICATION!$B$8:$B$24,MATCH($C4275,DATA_ASSET_CLASSIFICATION!$A$8:$A$24,0)),"Review"))</f>
        <v>1656 Adanac Street</v>
      </c>
      <c r="N4275" s="350" t="str">
        <f>IF($B4275="Portfolio","Portfolio",IFERROR(INDEX(DATA_ASSET_CLASSIFICATION!$U$8:$U$24,MATCH($C4275,DATA_ASSET_CLASSIFICATION!$A$8:$A$24,0)),"Review"))</f>
        <v>New Build</v>
      </c>
      <c r="O4275" s="350" t="str">
        <f>IF($B4275="Portfolio","Portfolio",IFERROR(INDEX(DATA_ASSET_CLASSIFICATION!$AB$8:$AB$13,MATCH($N4275,DATA_ASSET_CLASSIFICATION!$AA$8:$AA$13,0)),"Review"))</f>
        <v>Bucket 1 · New Build</v>
      </c>
      <c r="P4275" s="350" t="str">
        <f>IF($B4275="Portfolio","Portfolio",IFERROR(INDEX(DATA_ASSET_CLASSIFICATION!$C$8:$C$24,MATCH($C4275,DATA_ASSET_CLASSIFICATION!$A$8:$A$24,0)),"Review"))</f>
        <v>Yes</v>
      </c>
      <c r="Q4275" s="350" t="str">
        <f t="shared" ca="1" si="133"/>
        <v>OK</v>
      </c>
    </row>
    <row r="4276" spans="1:17">
      <c r="A4276" s="366" t="s">
        <v>6232</v>
      </c>
      <c r="B4276" s="366" t="s">
        <v>231</v>
      </c>
      <c r="C4276" s="348" t="str">
        <f>DATA_PROPERTY_MASTER!$A$18</f>
        <v>BLD_AS</v>
      </c>
      <c r="D4276" s="380">
        <f>'00_PORTFOLIO ROLLUP'!R$12</f>
        <v>2038</v>
      </c>
      <c r="E4276" s="366" t="s">
        <v>1683</v>
      </c>
      <c r="F4276" s="366" t="s">
        <v>21</v>
      </c>
      <c r="G4276" s="348" t="str">
        <f>"'"&amp;$C4276&amp;"'!$E$45:$Y$45"</f>
        <v>'BLD_AS'!$E$45:$Y$45</v>
      </c>
      <c r="H4276" s="381">
        <f ca="1">IF(IFERROR(INDEX(DATA_PROPERTY_MASTER!$E$5:$E$21,MATCH($C4276,DATA_PROPERTY_MASTER!$A$5:$A$21,0))="Yes",FALSE),IFERROR(INDEX(INDIRECT("'"&amp;$C4276&amp;"'!$E$45:$Y$45"),1,MATCH($D4276,INDIRECT("'"&amp;$C4276&amp;"'!$E$12:$Y$12"),0)),0),0)</f>
        <v>1313631.0857256043</v>
      </c>
      <c r="I4276" s="366" t="s">
        <v>1685</v>
      </c>
      <c r="J4276" s="348" t="str">
        <f t="shared" ca="1" si="132"/>
        <v>OK</v>
      </c>
      <c r="K4276" s="366" t="s">
        <v>1694</v>
      </c>
      <c r="L4276" s="366" t="s">
        <v>2242</v>
      </c>
      <c r="M4276" s="350" t="str">
        <f>IF($B4276="Portfolio","Portfolio",IFERROR(INDEX(DATA_ASSET_CLASSIFICATION!$B$8:$B$24,MATCH($C4276,DATA_ASSET_CLASSIFICATION!$A$8:$A$24,0)),"Review"))</f>
        <v>1656 Adanac Street</v>
      </c>
      <c r="N4276" s="350" t="str">
        <f>IF($B4276="Portfolio","Portfolio",IFERROR(INDEX(DATA_ASSET_CLASSIFICATION!$U$8:$U$24,MATCH($C4276,DATA_ASSET_CLASSIFICATION!$A$8:$A$24,0)),"Review"))</f>
        <v>New Build</v>
      </c>
      <c r="O4276" s="350" t="str">
        <f>IF($B4276="Portfolio","Portfolio",IFERROR(INDEX(DATA_ASSET_CLASSIFICATION!$AB$8:$AB$13,MATCH($N4276,DATA_ASSET_CLASSIFICATION!$AA$8:$AA$13,0)),"Review"))</f>
        <v>Bucket 1 · New Build</v>
      </c>
      <c r="P4276" s="350" t="str">
        <f>IF($B4276="Portfolio","Portfolio",IFERROR(INDEX(DATA_ASSET_CLASSIFICATION!$C$8:$C$24,MATCH($C4276,DATA_ASSET_CLASSIFICATION!$A$8:$A$24,0)),"Review"))</f>
        <v>Yes</v>
      </c>
      <c r="Q4276" s="350" t="str">
        <f t="shared" ca="1" si="133"/>
        <v>OK</v>
      </c>
    </row>
    <row r="4277" spans="1:17">
      <c r="A4277" s="366" t="s">
        <v>6233</v>
      </c>
      <c r="B4277" s="366" t="s">
        <v>231</v>
      </c>
      <c r="C4277" s="348" t="str">
        <f>DATA_PROPERTY_MASTER!$A$18</f>
        <v>BLD_AS</v>
      </c>
      <c r="D4277" s="380">
        <f>'00_PORTFOLIO ROLLUP'!R$12</f>
        <v>2038</v>
      </c>
      <c r="E4277" s="366" t="s">
        <v>23</v>
      </c>
      <c r="F4277" s="366" t="s">
        <v>23</v>
      </c>
      <c r="G4277" s="348" t="str">
        <f>"'"&amp;$C4277&amp;"'!$E$48:$Y$48"</f>
        <v>'BLD_AS'!$E$48:$Y$48</v>
      </c>
      <c r="H4277" s="381">
        <f ca="1">IF(IFERROR(INDEX(DATA_PROPERTY_MASTER!$E$5:$E$21,MATCH($C4277,DATA_PROPERTY_MASTER!$A$5:$A$21,0))="Yes",FALSE),IFERROR(INDEX(INDIRECT("'"&amp;$C4277&amp;"'!$E$48:$Y$48"),1,MATCH($D4277,INDIRECT("'"&amp;$C4277&amp;"'!$E$12:$Y$12"),0)),0),0)</f>
        <v>805649.51774556539</v>
      </c>
      <c r="I4277" s="366" t="s">
        <v>1690</v>
      </c>
      <c r="J4277" s="348" t="str">
        <f t="shared" ca="1" si="132"/>
        <v>OK</v>
      </c>
      <c r="K4277" s="366" t="s">
        <v>1706</v>
      </c>
      <c r="L4277" s="366" t="s">
        <v>2244</v>
      </c>
      <c r="M4277" s="350" t="str">
        <f>IF($B4277="Portfolio","Portfolio",IFERROR(INDEX(DATA_ASSET_CLASSIFICATION!$B$8:$B$24,MATCH($C4277,DATA_ASSET_CLASSIFICATION!$A$8:$A$24,0)),"Review"))</f>
        <v>1656 Adanac Street</v>
      </c>
      <c r="N4277" s="350" t="str">
        <f>IF($B4277="Portfolio","Portfolio",IFERROR(INDEX(DATA_ASSET_CLASSIFICATION!$U$8:$U$24,MATCH($C4277,DATA_ASSET_CLASSIFICATION!$A$8:$A$24,0)),"Review"))</f>
        <v>New Build</v>
      </c>
      <c r="O4277" s="350" t="str">
        <f>IF($B4277="Portfolio","Portfolio",IFERROR(INDEX(DATA_ASSET_CLASSIFICATION!$AB$8:$AB$13,MATCH($N4277,DATA_ASSET_CLASSIFICATION!$AA$8:$AA$13,0)),"Review"))</f>
        <v>Bucket 1 · New Build</v>
      </c>
      <c r="P4277" s="350" t="str">
        <f>IF($B4277="Portfolio","Portfolio",IFERROR(INDEX(DATA_ASSET_CLASSIFICATION!$C$8:$C$24,MATCH($C4277,DATA_ASSET_CLASSIFICATION!$A$8:$A$24,0)),"Review"))</f>
        <v>Yes</v>
      </c>
      <c r="Q4277" s="350" t="str">
        <f t="shared" ca="1" si="133"/>
        <v>OK</v>
      </c>
    </row>
    <row r="4278" spans="1:17">
      <c r="A4278" s="366" t="s">
        <v>6234</v>
      </c>
      <c r="B4278" s="366" t="s">
        <v>231</v>
      </c>
      <c r="C4278" s="348" t="str">
        <f>DATA_PROPERTY_MASTER!$A$18</f>
        <v>BLD_AS</v>
      </c>
      <c r="D4278" s="380">
        <f>'00_PORTFOLIO ROLLUP'!R$12</f>
        <v>2038</v>
      </c>
      <c r="E4278" s="366" t="s">
        <v>1683</v>
      </c>
      <c r="F4278" s="366" t="s">
        <v>25</v>
      </c>
      <c r="G4278" s="348" t="str">
        <f>"'"&amp;$C4278&amp;"'!$E$52:$Y$52"</f>
        <v>'BLD_AS'!$E$52:$Y$52</v>
      </c>
      <c r="H4278" s="381">
        <f ca="1">IF(IFERROR(INDEX(DATA_PROPERTY_MASTER!$E$5:$E$21,MATCH($C4278,DATA_PROPERTY_MASTER!$A$5:$A$21,0))="Yes",FALSE),IFERROR(INDEX(INDIRECT("'"&amp;$C4278&amp;"'!$E$52:$Y$52"),1,MATCH($D4278,INDIRECT("'"&amp;$C4278&amp;"'!$E$12:$Y$12"),0)),0),0)</f>
        <v>526803.54445314175</v>
      </c>
      <c r="I4278" s="366" t="s">
        <v>1685</v>
      </c>
      <c r="J4278" s="348" t="str">
        <f t="shared" ca="1" si="132"/>
        <v>OK</v>
      </c>
      <c r="K4278" s="366" t="s">
        <v>1710</v>
      </c>
      <c r="L4278" s="366" t="s">
        <v>2246</v>
      </c>
      <c r="M4278" s="350" t="str">
        <f>IF($B4278="Portfolio","Portfolio",IFERROR(INDEX(DATA_ASSET_CLASSIFICATION!$B$8:$B$24,MATCH($C4278,DATA_ASSET_CLASSIFICATION!$A$8:$A$24,0)),"Review"))</f>
        <v>1656 Adanac Street</v>
      </c>
      <c r="N4278" s="350" t="str">
        <f>IF($B4278="Portfolio","Portfolio",IFERROR(INDEX(DATA_ASSET_CLASSIFICATION!$U$8:$U$24,MATCH($C4278,DATA_ASSET_CLASSIFICATION!$A$8:$A$24,0)),"Review"))</f>
        <v>New Build</v>
      </c>
      <c r="O4278" s="350" t="str">
        <f>IF($B4278="Portfolio","Portfolio",IFERROR(INDEX(DATA_ASSET_CLASSIFICATION!$AB$8:$AB$13,MATCH($N4278,DATA_ASSET_CLASSIFICATION!$AA$8:$AA$13,0)),"Review"))</f>
        <v>Bucket 1 · New Build</v>
      </c>
      <c r="P4278" s="350" t="str">
        <f>IF($B4278="Portfolio","Portfolio",IFERROR(INDEX(DATA_ASSET_CLASSIFICATION!$C$8:$C$24,MATCH($C4278,DATA_ASSET_CLASSIFICATION!$A$8:$A$24,0)),"Review"))</f>
        <v>Yes</v>
      </c>
      <c r="Q4278" s="350" t="str">
        <f t="shared" ca="1" si="133"/>
        <v>OK</v>
      </c>
    </row>
    <row r="4279" spans="1:17">
      <c r="A4279" s="366" t="s">
        <v>6235</v>
      </c>
      <c r="B4279" s="366" t="s">
        <v>231</v>
      </c>
      <c r="C4279" s="348" t="str">
        <f>DATA_PROPERTY_MASTER!$A$18</f>
        <v>BLD_AS</v>
      </c>
      <c r="D4279" s="380">
        <f>'00_PORTFOLIO ROLLUP'!R$12</f>
        <v>2038</v>
      </c>
      <c r="E4279" s="366" t="s">
        <v>1683</v>
      </c>
      <c r="F4279" s="366" t="s">
        <v>27</v>
      </c>
      <c r="G4279" s="348" t="str">
        <f>"'"&amp;$C4279&amp;"'!$E$54:$Y$54"</f>
        <v>'BLD_AS'!$E$54:$Y$54</v>
      </c>
      <c r="H4279" s="381">
        <f ca="1">IF(IFERROR(INDEX(DATA_PROPERTY_MASTER!$E$5:$E$21,MATCH($C4279,DATA_PROPERTY_MASTER!$A$5:$A$21,0))="Yes",FALSE),IFERROR(INDEX(INDIRECT("'"&amp;$C4279&amp;"'!$E$54:$Y$54"),1,MATCH($D4279,INDIRECT("'"&amp;$C4279&amp;"'!$E$12:$Y$12"),0)),0),0)</f>
        <v>316082.12667188502</v>
      </c>
      <c r="I4279" s="366" t="s">
        <v>1690</v>
      </c>
      <c r="J4279" s="348" t="str">
        <f t="shared" ca="1" si="132"/>
        <v>OK</v>
      </c>
      <c r="K4279" s="366" t="s">
        <v>1714</v>
      </c>
      <c r="L4279" s="366" t="s">
        <v>2248</v>
      </c>
      <c r="M4279" s="350" t="str">
        <f>IF($B4279="Portfolio","Portfolio",IFERROR(INDEX(DATA_ASSET_CLASSIFICATION!$B$8:$B$24,MATCH($C4279,DATA_ASSET_CLASSIFICATION!$A$8:$A$24,0)),"Review"))</f>
        <v>1656 Adanac Street</v>
      </c>
      <c r="N4279" s="350" t="str">
        <f>IF($B4279="Portfolio","Portfolio",IFERROR(INDEX(DATA_ASSET_CLASSIFICATION!$U$8:$U$24,MATCH($C4279,DATA_ASSET_CLASSIFICATION!$A$8:$A$24,0)),"Review"))</f>
        <v>New Build</v>
      </c>
      <c r="O4279" s="350" t="str">
        <f>IF($B4279="Portfolio","Portfolio",IFERROR(INDEX(DATA_ASSET_CLASSIFICATION!$AB$8:$AB$13,MATCH($N4279,DATA_ASSET_CLASSIFICATION!$AA$8:$AA$13,0)),"Review"))</f>
        <v>Bucket 1 · New Build</v>
      </c>
      <c r="P4279" s="350" t="str">
        <f>IF($B4279="Portfolio","Portfolio",IFERROR(INDEX(DATA_ASSET_CLASSIFICATION!$C$8:$C$24,MATCH($C4279,DATA_ASSET_CLASSIFICATION!$A$8:$A$24,0)),"Review"))</f>
        <v>Yes</v>
      </c>
      <c r="Q4279" s="350" t="str">
        <f t="shared" ca="1" si="133"/>
        <v>OK</v>
      </c>
    </row>
    <row r="4280" spans="1:17">
      <c r="A4280" s="366" t="s">
        <v>6236</v>
      </c>
      <c r="B4280" s="366" t="s">
        <v>231</v>
      </c>
      <c r="C4280" s="348" t="str">
        <f>DATA_PROPERTY_MASTER!$A$18</f>
        <v>BLD_AS</v>
      </c>
      <c r="D4280" s="380">
        <f>'00_PORTFOLIO ROLLUP'!R$12</f>
        <v>2038</v>
      </c>
      <c r="E4280" s="366" t="s">
        <v>1683</v>
      </c>
      <c r="F4280" s="366" t="s">
        <v>29</v>
      </c>
      <c r="G4280" s="348" t="str">
        <f>"'"&amp;$C4280&amp;"'!$E$56:$Y$56"</f>
        <v>'BLD_AS'!$E$56:$Y$56</v>
      </c>
      <c r="H4280" s="381">
        <f ca="1">IF(IFERROR(INDEX(DATA_PROPERTY_MASTER!$E$5:$E$21,MATCH($C4280,DATA_PROPERTY_MASTER!$A$5:$A$21,0))="Yes",FALSE),IFERROR(INDEX(INDIRECT("'"&amp;$C4280&amp;"'!$E$56:$Y$56"),1,MATCH($D4280,INDIRECT("'"&amp;$C4280&amp;"'!$E$12:$Y$12"),0)),0),0)</f>
        <v>210721.41778125672</v>
      </c>
      <c r="I4280" s="366" t="s">
        <v>1685</v>
      </c>
      <c r="J4280" s="348" t="str">
        <f t="shared" ca="1" si="132"/>
        <v>OK</v>
      </c>
      <c r="K4280" s="366" t="s">
        <v>1718</v>
      </c>
      <c r="L4280" s="366" t="s">
        <v>2250</v>
      </c>
      <c r="M4280" s="350" t="str">
        <f>IF($B4280="Portfolio","Portfolio",IFERROR(INDEX(DATA_ASSET_CLASSIFICATION!$B$8:$B$24,MATCH($C4280,DATA_ASSET_CLASSIFICATION!$A$8:$A$24,0)),"Review"))</f>
        <v>1656 Adanac Street</v>
      </c>
      <c r="N4280" s="350" t="str">
        <f>IF($B4280="Portfolio","Portfolio",IFERROR(INDEX(DATA_ASSET_CLASSIFICATION!$U$8:$U$24,MATCH($C4280,DATA_ASSET_CLASSIFICATION!$A$8:$A$24,0)),"Review"))</f>
        <v>New Build</v>
      </c>
      <c r="O4280" s="350" t="str">
        <f>IF($B4280="Portfolio","Portfolio",IFERROR(INDEX(DATA_ASSET_CLASSIFICATION!$AB$8:$AB$13,MATCH($N4280,DATA_ASSET_CLASSIFICATION!$AA$8:$AA$13,0)),"Review"))</f>
        <v>Bucket 1 · New Build</v>
      </c>
      <c r="P4280" s="350" t="str">
        <f>IF($B4280="Portfolio","Portfolio",IFERROR(INDEX(DATA_ASSET_CLASSIFICATION!$C$8:$C$24,MATCH($C4280,DATA_ASSET_CLASSIFICATION!$A$8:$A$24,0)),"Review"))</f>
        <v>Yes</v>
      </c>
      <c r="Q4280" s="350" t="str">
        <f t="shared" ca="1" si="133"/>
        <v>OK</v>
      </c>
    </row>
    <row r="4281" spans="1:17">
      <c r="A4281" s="366" t="s">
        <v>6237</v>
      </c>
      <c r="B4281" s="366" t="s">
        <v>231</v>
      </c>
      <c r="C4281" s="348" t="str">
        <f>DATA_PROPERTY_MASTER!$A$18</f>
        <v>BLD_AS</v>
      </c>
      <c r="D4281" s="380">
        <f>'00_PORTFOLIO ROLLUP'!R$12</f>
        <v>2038</v>
      </c>
      <c r="E4281" s="366" t="s">
        <v>1721</v>
      </c>
      <c r="F4281" s="366" t="s">
        <v>31</v>
      </c>
      <c r="G4281" s="348" t="str">
        <f>"'"&amp;$C4281&amp;"'!$E$61:$Y$61"</f>
        <v>'BLD_AS'!$E$61:$Y$61</v>
      </c>
      <c r="H4281" s="381">
        <f ca="1">IF(IFERROR(INDEX(DATA_PROPERTY_MASTER!$E$5:$E$21,MATCH($C4281,DATA_PROPERTY_MASTER!$A$5:$A$21,0))="Yes",FALSE),IFERROR(INDEX(INDIRECT("'"&amp;$C4281&amp;"'!$E$61:$Y$61"),1,MATCH($D4281,INDIRECT("'"&amp;$C4281&amp;"'!$E$12:$Y$12"),0)),0),0)</f>
        <v>0</v>
      </c>
      <c r="I4281" s="366" t="s">
        <v>1690</v>
      </c>
      <c r="J4281" s="348" t="str">
        <f t="shared" ca="1" si="132"/>
        <v>OK</v>
      </c>
      <c r="K4281" s="366" t="s">
        <v>1723</v>
      </c>
      <c r="L4281" s="366" t="s">
        <v>2252</v>
      </c>
      <c r="M4281" s="350" t="str">
        <f>IF($B4281="Portfolio","Portfolio",IFERROR(INDEX(DATA_ASSET_CLASSIFICATION!$B$8:$B$24,MATCH($C4281,DATA_ASSET_CLASSIFICATION!$A$8:$A$24,0)),"Review"))</f>
        <v>1656 Adanac Street</v>
      </c>
      <c r="N4281" s="350" t="str">
        <f>IF($B4281="Portfolio","Portfolio",IFERROR(INDEX(DATA_ASSET_CLASSIFICATION!$U$8:$U$24,MATCH($C4281,DATA_ASSET_CLASSIFICATION!$A$8:$A$24,0)),"Review"))</f>
        <v>New Build</v>
      </c>
      <c r="O4281" s="350" t="str">
        <f>IF($B4281="Portfolio","Portfolio",IFERROR(INDEX(DATA_ASSET_CLASSIFICATION!$AB$8:$AB$13,MATCH($N4281,DATA_ASSET_CLASSIFICATION!$AA$8:$AA$13,0)),"Review"))</f>
        <v>Bucket 1 · New Build</v>
      </c>
      <c r="P4281" s="350" t="str">
        <f>IF($B4281="Portfolio","Portfolio",IFERROR(INDEX(DATA_ASSET_CLASSIFICATION!$C$8:$C$24,MATCH($C4281,DATA_ASSET_CLASSIFICATION!$A$8:$A$24,0)),"Review"))</f>
        <v>Yes</v>
      </c>
      <c r="Q4281" s="350" t="str">
        <f t="shared" ca="1" si="133"/>
        <v>OK</v>
      </c>
    </row>
    <row r="4282" spans="1:17">
      <c r="A4282" s="366" t="s">
        <v>6238</v>
      </c>
      <c r="B4282" s="366" t="s">
        <v>231</v>
      </c>
      <c r="C4282" s="348" t="str">
        <f>DATA_PROPERTY_MASTER!$A$18</f>
        <v>BLD_AS</v>
      </c>
      <c r="D4282" s="380">
        <f>'00_PORTFOLIO ROLLUP'!R$12</f>
        <v>2038</v>
      </c>
      <c r="E4282" s="366" t="s">
        <v>1721</v>
      </c>
      <c r="F4282" s="366" t="s">
        <v>33</v>
      </c>
      <c r="G4282" s="348" t="str">
        <f>"'"&amp;$C4282&amp;"'!$E$62:$Y$62"</f>
        <v>'BLD_AS'!$E$62:$Y$62</v>
      </c>
      <c r="H4282" s="381">
        <f ca="1">IF(IFERROR(INDEX(DATA_PROPERTY_MASTER!$E$5:$E$21,MATCH($C4282,DATA_PROPERTY_MASTER!$A$5:$A$21,0))="Yes",FALSE),IFERROR(INDEX(INDIRECT("'"&amp;$C4282&amp;"'!$E$62:$Y$62"),1,MATCH($D4282,INDIRECT("'"&amp;$C4282&amp;"'!$E$12:$Y$12"),0)),0),0)</f>
        <v>0</v>
      </c>
      <c r="I4282" s="366" t="s">
        <v>1685</v>
      </c>
      <c r="J4282" s="348" t="str">
        <f t="shared" ca="1" si="132"/>
        <v>OK</v>
      </c>
      <c r="K4282" s="366" t="s">
        <v>1727</v>
      </c>
      <c r="L4282" s="366" t="s">
        <v>2254</v>
      </c>
      <c r="M4282" s="350" t="str">
        <f>IF($B4282="Portfolio","Portfolio",IFERROR(INDEX(DATA_ASSET_CLASSIFICATION!$B$8:$B$24,MATCH($C4282,DATA_ASSET_CLASSIFICATION!$A$8:$A$24,0)),"Review"))</f>
        <v>1656 Adanac Street</v>
      </c>
      <c r="N4282" s="350" t="str">
        <f>IF($B4282="Portfolio","Portfolio",IFERROR(INDEX(DATA_ASSET_CLASSIFICATION!$U$8:$U$24,MATCH($C4282,DATA_ASSET_CLASSIFICATION!$A$8:$A$24,0)),"Review"))</f>
        <v>New Build</v>
      </c>
      <c r="O4282" s="350" t="str">
        <f>IF($B4282="Portfolio","Portfolio",IFERROR(INDEX(DATA_ASSET_CLASSIFICATION!$AB$8:$AB$13,MATCH($N4282,DATA_ASSET_CLASSIFICATION!$AA$8:$AA$13,0)),"Review"))</f>
        <v>Bucket 1 · New Build</v>
      </c>
      <c r="P4282" s="350" t="str">
        <f>IF($B4282="Portfolio","Portfolio",IFERROR(INDEX(DATA_ASSET_CLASSIFICATION!$C$8:$C$24,MATCH($C4282,DATA_ASSET_CLASSIFICATION!$A$8:$A$24,0)),"Review"))</f>
        <v>Yes</v>
      </c>
      <c r="Q4282" s="350" t="str">
        <f t="shared" ca="1" si="133"/>
        <v>OK</v>
      </c>
    </row>
    <row r="4283" spans="1:17">
      <c r="A4283" s="366" t="s">
        <v>6239</v>
      </c>
      <c r="B4283" s="366" t="s">
        <v>231</v>
      </c>
      <c r="C4283" s="348" t="str">
        <f>DATA_PROPERTY_MASTER!$A$18</f>
        <v>BLD_AS</v>
      </c>
      <c r="D4283" s="380">
        <f>'00_PORTFOLIO ROLLUP'!R$12</f>
        <v>2038</v>
      </c>
      <c r="E4283" s="366" t="s">
        <v>1721</v>
      </c>
      <c r="F4283" s="366" t="s">
        <v>35</v>
      </c>
      <c r="G4283" s="348" t="str">
        <f>"'"&amp;$C4283&amp;"'!$E$63:$Y$63"</f>
        <v>'BLD_AS'!$E$63:$Y$63</v>
      </c>
      <c r="H4283" s="381">
        <f ca="1">IF(IFERROR(INDEX(DATA_PROPERTY_MASTER!$E$5:$E$21,MATCH($C4283,DATA_PROPERTY_MASTER!$A$5:$A$21,0))="Yes",FALSE),IFERROR(INDEX(INDIRECT("'"&amp;$C4283&amp;"'!$E$63:$Y$63"),1,MATCH($D4283,INDIRECT("'"&amp;$C4283&amp;"'!$E$12:$Y$12"),0)),0),0)</f>
        <v>0</v>
      </c>
      <c r="I4283" s="366" t="s">
        <v>1731</v>
      </c>
      <c r="J4283" s="348" t="str">
        <f t="shared" ca="1" si="132"/>
        <v>OK</v>
      </c>
      <c r="K4283" s="366" t="s">
        <v>1732</v>
      </c>
      <c r="L4283" s="366" t="s">
        <v>2256</v>
      </c>
      <c r="M4283" s="350" t="str">
        <f>IF($B4283="Portfolio","Portfolio",IFERROR(INDEX(DATA_ASSET_CLASSIFICATION!$B$8:$B$24,MATCH($C4283,DATA_ASSET_CLASSIFICATION!$A$8:$A$24,0)),"Review"))</f>
        <v>1656 Adanac Street</v>
      </c>
      <c r="N4283" s="350" t="str">
        <f>IF($B4283="Portfolio","Portfolio",IFERROR(INDEX(DATA_ASSET_CLASSIFICATION!$U$8:$U$24,MATCH($C4283,DATA_ASSET_CLASSIFICATION!$A$8:$A$24,0)),"Review"))</f>
        <v>New Build</v>
      </c>
      <c r="O4283" s="350" t="str">
        <f>IF($B4283="Portfolio","Portfolio",IFERROR(INDEX(DATA_ASSET_CLASSIFICATION!$AB$8:$AB$13,MATCH($N4283,DATA_ASSET_CLASSIFICATION!$AA$8:$AA$13,0)),"Review"))</f>
        <v>Bucket 1 · New Build</v>
      </c>
      <c r="P4283" s="350" t="str">
        <f>IF($B4283="Portfolio","Portfolio",IFERROR(INDEX(DATA_ASSET_CLASSIFICATION!$C$8:$C$24,MATCH($C4283,DATA_ASSET_CLASSIFICATION!$A$8:$A$24,0)),"Review"))</f>
        <v>Yes</v>
      </c>
      <c r="Q4283" s="350" t="str">
        <f t="shared" ca="1" si="133"/>
        <v>OK</v>
      </c>
    </row>
    <row r="4284" spans="1:17">
      <c r="A4284" s="366" t="s">
        <v>6240</v>
      </c>
      <c r="B4284" s="366" t="s">
        <v>231</v>
      </c>
      <c r="C4284" s="348" t="str">
        <f>DATA_PROPERTY_MASTER!$A$18</f>
        <v>BLD_AS</v>
      </c>
      <c r="D4284" s="380">
        <f>'00_PORTFOLIO ROLLUP'!R$12</f>
        <v>2038</v>
      </c>
      <c r="E4284" s="366" t="s">
        <v>1721</v>
      </c>
      <c r="F4284" s="366" t="s">
        <v>37</v>
      </c>
      <c r="G4284" s="348" t="str">
        <f>"'"&amp;$C4284&amp;"'!$E$63:$Y$63"</f>
        <v>'BLD_AS'!$E$63:$Y$63</v>
      </c>
      <c r="H4284" s="381">
        <f ca="1">IF(IFERROR(INDEX(DATA_PROPERTY_MASTER!$E$5:$E$21,MATCH($C4284,DATA_PROPERTY_MASTER!$A$5:$A$21,0))="Yes",FALSE),MAX(IFERROR(INDEX(INDIRECT("'"&amp;$C4284&amp;"'!$E$63:$Y$63"),1,MATCH($D4284,INDIRECT("'"&amp;$C4284&amp;"'!$E$12:$Y$12"),0)),0),0),0)</f>
        <v>0</v>
      </c>
      <c r="I4284" s="366" t="s">
        <v>1685</v>
      </c>
      <c r="J4284" s="348" t="str">
        <f t="shared" ca="1" si="132"/>
        <v>OK</v>
      </c>
      <c r="K4284" s="366" t="s">
        <v>1735</v>
      </c>
      <c r="L4284" s="366" t="s">
        <v>2258</v>
      </c>
      <c r="M4284" s="350" t="str">
        <f>IF($B4284="Portfolio","Portfolio",IFERROR(INDEX(DATA_ASSET_CLASSIFICATION!$B$8:$B$24,MATCH($C4284,DATA_ASSET_CLASSIFICATION!$A$8:$A$24,0)),"Review"))</f>
        <v>1656 Adanac Street</v>
      </c>
      <c r="N4284" s="350" t="str">
        <f>IF($B4284="Portfolio","Portfolio",IFERROR(INDEX(DATA_ASSET_CLASSIFICATION!$U$8:$U$24,MATCH($C4284,DATA_ASSET_CLASSIFICATION!$A$8:$A$24,0)),"Review"))</f>
        <v>New Build</v>
      </c>
      <c r="O4284" s="350" t="str">
        <f>IF($B4284="Portfolio","Portfolio",IFERROR(INDEX(DATA_ASSET_CLASSIFICATION!$AB$8:$AB$13,MATCH($N4284,DATA_ASSET_CLASSIFICATION!$AA$8:$AA$13,0)),"Review"))</f>
        <v>Bucket 1 · New Build</v>
      </c>
      <c r="P4284" s="350" t="str">
        <f>IF($B4284="Portfolio","Portfolio",IFERROR(INDEX(DATA_ASSET_CLASSIFICATION!$C$8:$C$24,MATCH($C4284,DATA_ASSET_CLASSIFICATION!$A$8:$A$24,0)),"Review"))</f>
        <v>Yes</v>
      </c>
      <c r="Q4284" s="350" t="str">
        <f t="shared" ca="1" si="133"/>
        <v>OK</v>
      </c>
    </row>
    <row r="4285" spans="1:17">
      <c r="A4285" s="366" t="s">
        <v>6241</v>
      </c>
      <c r="B4285" s="366" t="s">
        <v>231</v>
      </c>
      <c r="C4285" s="348" t="str">
        <f>DATA_PROPERTY_MASTER!$A$18</f>
        <v>BLD_AS</v>
      </c>
      <c r="D4285" s="380">
        <f>'00_PORTFOLIO ROLLUP'!R$12</f>
        <v>2038</v>
      </c>
      <c r="E4285" s="366" t="s">
        <v>1721</v>
      </c>
      <c r="F4285" s="366" t="s">
        <v>39</v>
      </c>
      <c r="G4285" s="348" t="str">
        <f>"'"&amp;$C4285&amp;"'!$E$63:$Y$63"</f>
        <v>'BLD_AS'!$E$63:$Y$63</v>
      </c>
      <c r="H4285" s="381">
        <f ca="1">IF(IFERROR(INDEX(DATA_PROPERTY_MASTER!$E$5:$E$21,MATCH($C4285,DATA_PROPERTY_MASTER!$A$5:$A$21,0))="Yes",FALSE),MAX(-IFERROR(INDEX(INDIRECT("'"&amp;$C4285&amp;"'!$E$63:$Y$63"),1,MATCH($D4285,INDIRECT("'"&amp;$C4285&amp;"'!$E$12:$Y$12"),0)),0),0),0)</f>
        <v>0</v>
      </c>
      <c r="I4285" s="366" t="s">
        <v>1690</v>
      </c>
      <c r="J4285" s="348" t="str">
        <f t="shared" ca="1" si="132"/>
        <v>OK</v>
      </c>
      <c r="K4285" s="366" t="s">
        <v>1738</v>
      </c>
      <c r="L4285" s="366" t="s">
        <v>2260</v>
      </c>
      <c r="M4285" s="350" t="str">
        <f>IF($B4285="Portfolio","Portfolio",IFERROR(INDEX(DATA_ASSET_CLASSIFICATION!$B$8:$B$24,MATCH($C4285,DATA_ASSET_CLASSIFICATION!$A$8:$A$24,0)),"Review"))</f>
        <v>1656 Adanac Street</v>
      </c>
      <c r="N4285" s="350" t="str">
        <f>IF($B4285="Portfolio","Portfolio",IFERROR(INDEX(DATA_ASSET_CLASSIFICATION!$U$8:$U$24,MATCH($C4285,DATA_ASSET_CLASSIFICATION!$A$8:$A$24,0)),"Review"))</f>
        <v>New Build</v>
      </c>
      <c r="O4285" s="350" t="str">
        <f>IF($B4285="Portfolio","Portfolio",IFERROR(INDEX(DATA_ASSET_CLASSIFICATION!$AB$8:$AB$13,MATCH($N4285,DATA_ASSET_CLASSIFICATION!$AA$8:$AA$13,0)),"Review"))</f>
        <v>Bucket 1 · New Build</v>
      </c>
      <c r="P4285" s="350" t="str">
        <f>IF($B4285="Portfolio","Portfolio",IFERROR(INDEX(DATA_ASSET_CLASSIFICATION!$C$8:$C$24,MATCH($C4285,DATA_ASSET_CLASSIFICATION!$A$8:$A$24,0)),"Review"))</f>
        <v>Yes</v>
      </c>
      <c r="Q4285" s="350" t="str">
        <f t="shared" ca="1" si="133"/>
        <v>OK</v>
      </c>
    </row>
    <row r="4286" spans="1:17">
      <c r="A4286" s="366" t="s">
        <v>6242</v>
      </c>
      <c r="B4286" s="366" t="s">
        <v>231</v>
      </c>
      <c r="C4286" s="348" t="str">
        <f>DATA_PROPERTY_MASTER!$A$18</f>
        <v>BLD_AS</v>
      </c>
      <c r="D4286" s="380">
        <f>'00_PORTFOLIO ROLLUP'!R$12</f>
        <v>2038</v>
      </c>
      <c r="E4286" s="366" t="s">
        <v>1741</v>
      </c>
      <c r="F4286" s="366" t="s">
        <v>41</v>
      </c>
      <c r="G4286" s="348" t="str">
        <f>"'"&amp;$C4286&amp;"'!rows 56 + positive row 63"</f>
        <v>'BLD_AS'!rows 56 + positive row 63</v>
      </c>
      <c r="H4286" s="381">
        <f ca="1">IF(IFERROR(INDEX(DATA_PROPERTY_MASTER!$E$5:$E$21,MATCH($C4286,DATA_PROPERTY_MASTER!$A$5:$A$21,0))="Yes",FALSE),IFERROR(INDEX(INDIRECT("'"&amp;$C4286&amp;"'!$E$56:$Y$56"),1,MATCH($D4286,INDIRECT("'"&amp;$C4286&amp;"'!$E$12:$Y$12"),0)),0)+MAX(IFERROR(INDEX(INDIRECT("'"&amp;$C4286&amp;"'!$E$63:$Y$63"),1,MATCH($D4286,INDIRECT("'"&amp;$C4286&amp;"'!$E$12:$Y$12"),0)),0),0),0)</f>
        <v>210721.41778125672</v>
      </c>
      <c r="I4286" s="366" t="s">
        <v>1685</v>
      </c>
      <c r="J4286" s="348" t="str">
        <f t="shared" ca="1" si="132"/>
        <v>OK</v>
      </c>
      <c r="K4286" s="366" t="s">
        <v>1742</v>
      </c>
      <c r="L4286" s="366" t="s">
        <v>2262</v>
      </c>
      <c r="M4286" s="350" t="str">
        <f>IF($B4286="Portfolio","Portfolio",IFERROR(INDEX(DATA_ASSET_CLASSIFICATION!$B$8:$B$24,MATCH($C4286,DATA_ASSET_CLASSIFICATION!$A$8:$A$24,0)),"Review"))</f>
        <v>1656 Adanac Street</v>
      </c>
      <c r="N4286" s="350" t="str">
        <f>IF($B4286="Portfolio","Portfolio",IFERROR(INDEX(DATA_ASSET_CLASSIFICATION!$U$8:$U$24,MATCH($C4286,DATA_ASSET_CLASSIFICATION!$A$8:$A$24,0)),"Review"))</f>
        <v>New Build</v>
      </c>
      <c r="O4286" s="350" t="str">
        <f>IF($B4286="Portfolio","Portfolio",IFERROR(INDEX(DATA_ASSET_CLASSIFICATION!$AB$8:$AB$13,MATCH($N4286,DATA_ASSET_CLASSIFICATION!$AA$8:$AA$13,0)),"Review"))</f>
        <v>Bucket 1 · New Build</v>
      </c>
      <c r="P4286" s="350" t="str">
        <f>IF($B4286="Portfolio","Portfolio",IFERROR(INDEX(DATA_ASSET_CLASSIFICATION!$C$8:$C$24,MATCH($C4286,DATA_ASSET_CLASSIFICATION!$A$8:$A$24,0)),"Review"))</f>
        <v>Yes</v>
      </c>
      <c r="Q4286" s="350" t="str">
        <f t="shared" ca="1" si="133"/>
        <v>OK</v>
      </c>
    </row>
    <row r="4287" spans="1:17">
      <c r="A4287" s="366" t="s">
        <v>6243</v>
      </c>
      <c r="B4287" s="366" t="s">
        <v>231</v>
      </c>
      <c r="C4287" s="348" t="str">
        <f>DATA_PROPERTY_MASTER!$A$18</f>
        <v>BLD_AS</v>
      </c>
      <c r="D4287" s="380">
        <f>'00_PORTFOLIO ROLLUP'!R$12</f>
        <v>2038</v>
      </c>
      <c r="E4287" s="366" t="s">
        <v>1741</v>
      </c>
      <c r="F4287" s="366" t="s">
        <v>43</v>
      </c>
      <c r="G4287" s="348" t="str">
        <f>"'"&amp;$C4287&amp;"'!$E$68:$Y$68"</f>
        <v>'BLD_AS'!$E$68:$Y$68</v>
      </c>
      <c r="H4287" s="381">
        <f ca="1">IF(IFERROR(INDEX(DATA_PROPERTY_MASTER!$E$5:$E$21,MATCH($C4287,DATA_PROPERTY_MASTER!$A$5:$A$21,0))="Yes",FALSE),IFERROR(INDEX(INDIRECT("'"&amp;$C4287&amp;"'!$E$68:$Y$68"),1,MATCH($D4287,INDIRECT("'"&amp;$C4287&amp;"'!$E$12:$Y$12"),0)),0),0)</f>
        <v>210721.41778125672</v>
      </c>
      <c r="I4287" s="366" t="s">
        <v>1731</v>
      </c>
      <c r="J4287" s="348" t="str">
        <f t="shared" ca="1" si="132"/>
        <v>OK</v>
      </c>
      <c r="K4287" s="366" t="s">
        <v>1746</v>
      </c>
      <c r="L4287" s="366" t="s">
        <v>2264</v>
      </c>
      <c r="M4287" s="350" t="str">
        <f>IF($B4287="Portfolio","Portfolio",IFERROR(INDEX(DATA_ASSET_CLASSIFICATION!$B$8:$B$24,MATCH($C4287,DATA_ASSET_CLASSIFICATION!$A$8:$A$24,0)),"Review"))</f>
        <v>1656 Adanac Street</v>
      </c>
      <c r="N4287" s="350" t="str">
        <f>IF($B4287="Portfolio","Portfolio",IFERROR(INDEX(DATA_ASSET_CLASSIFICATION!$U$8:$U$24,MATCH($C4287,DATA_ASSET_CLASSIFICATION!$A$8:$A$24,0)),"Review"))</f>
        <v>New Build</v>
      </c>
      <c r="O4287" s="350" t="str">
        <f>IF($B4287="Portfolio","Portfolio",IFERROR(INDEX(DATA_ASSET_CLASSIFICATION!$AB$8:$AB$13,MATCH($N4287,DATA_ASSET_CLASSIFICATION!$AA$8:$AA$13,0)),"Review"))</f>
        <v>Bucket 1 · New Build</v>
      </c>
      <c r="P4287" s="350" t="str">
        <f>IF($B4287="Portfolio","Portfolio",IFERROR(INDEX(DATA_ASSET_CLASSIFICATION!$C$8:$C$24,MATCH($C4287,DATA_ASSET_CLASSIFICATION!$A$8:$A$24,0)),"Review"))</f>
        <v>Yes</v>
      </c>
      <c r="Q4287" s="350" t="str">
        <f t="shared" ca="1" si="133"/>
        <v>OK</v>
      </c>
    </row>
    <row r="4288" spans="1:17">
      <c r="A4288" s="366" t="s">
        <v>6244</v>
      </c>
      <c r="B4288" s="366" t="s">
        <v>231</v>
      </c>
      <c r="C4288" s="348" t="str">
        <f>DATA_PROPERTY_MASTER!$A$18</f>
        <v>BLD_AS</v>
      </c>
      <c r="D4288" s="380">
        <f>'00_PORTFOLIO ROLLUP'!R$12</f>
        <v>2038</v>
      </c>
      <c r="E4288" s="366" t="s">
        <v>1741</v>
      </c>
      <c r="F4288" s="366" t="s">
        <v>1749</v>
      </c>
      <c r="G4288" s="348" t="str">
        <f>"'"&amp;$C4288&amp;"'!rows 56, 63, 68"</f>
        <v>'BLD_AS'!rows 56, 63, 68</v>
      </c>
      <c r="H4288" s="381">
        <f ca="1">IF(IFERROR(INDEX(DATA_PROPERTY_MASTER!$E$5:$E$21,MATCH($C4288,DATA_PROPERTY_MASTER!$A$5:$A$21,0))="Yes",FALSE),(IFERROR(INDEX(INDIRECT("'"&amp;$C4288&amp;"'!$E$56:$Y$56"),1,MATCH($D4288,INDIRECT("'"&amp;$C4288&amp;"'!$E$12:$Y$12"),0)),0)+MAX(IFERROR(INDEX(INDIRECT("'"&amp;$C4288&amp;"'!$E$63:$Y$63"),1,MATCH($D4288,INDIRECT("'"&amp;$C4288&amp;"'!$E$12:$Y$12"),0)),0),0))-(IFERROR(INDEX(INDIRECT("'"&amp;$C4288&amp;"'!$E$68:$Y$68"),1,MATCH($D4288,INDIRECT("'"&amp;$C4288&amp;"'!$E$12:$Y$12"),0)),0)),0)</f>
        <v>0</v>
      </c>
      <c r="I4288" s="366" t="s">
        <v>1750</v>
      </c>
      <c r="J4288" s="348" t="str">
        <f t="shared" ca="1" si="132"/>
        <v>OK</v>
      </c>
      <c r="K4288" s="366" t="s">
        <v>1751</v>
      </c>
      <c r="L4288" s="366" t="s">
        <v>2266</v>
      </c>
      <c r="M4288" s="350" t="str">
        <f>IF($B4288="Portfolio","Portfolio",IFERROR(INDEX(DATA_ASSET_CLASSIFICATION!$B$8:$B$24,MATCH($C4288,DATA_ASSET_CLASSIFICATION!$A$8:$A$24,0)),"Review"))</f>
        <v>1656 Adanac Street</v>
      </c>
      <c r="N4288" s="350" t="str">
        <f>IF($B4288="Portfolio","Portfolio",IFERROR(INDEX(DATA_ASSET_CLASSIFICATION!$U$8:$U$24,MATCH($C4288,DATA_ASSET_CLASSIFICATION!$A$8:$A$24,0)),"Review"))</f>
        <v>New Build</v>
      </c>
      <c r="O4288" s="350" t="str">
        <f>IF($B4288="Portfolio","Portfolio",IFERROR(INDEX(DATA_ASSET_CLASSIFICATION!$AB$8:$AB$13,MATCH($N4288,DATA_ASSET_CLASSIFICATION!$AA$8:$AA$13,0)),"Review"))</f>
        <v>Bucket 1 · New Build</v>
      </c>
      <c r="P4288" s="350" t="str">
        <f>IF($B4288="Portfolio","Portfolio",IFERROR(INDEX(DATA_ASSET_CLASSIFICATION!$C$8:$C$24,MATCH($C4288,DATA_ASSET_CLASSIFICATION!$A$8:$A$24,0)),"Review"))</f>
        <v>Yes</v>
      </c>
      <c r="Q4288" s="350" t="str">
        <f t="shared" ca="1" si="133"/>
        <v>OK</v>
      </c>
    </row>
    <row r="4289" spans="1:17">
      <c r="A4289" s="366" t="s">
        <v>6245</v>
      </c>
      <c r="B4289" s="366" t="s">
        <v>231</v>
      </c>
      <c r="C4289" s="348" t="str">
        <f>DATA_PROPERTY_MASTER!$A$18</f>
        <v>BLD_AS</v>
      </c>
      <c r="D4289" s="380">
        <f>'00_PORTFOLIO ROLLUP'!S$12</f>
        <v>2039</v>
      </c>
      <c r="E4289" s="366" t="s">
        <v>1683</v>
      </c>
      <c r="F4289" s="366" t="s">
        <v>341</v>
      </c>
      <c r="G4289" s="348" t="str">
        <f>"'"&amp;$C4289&amp;"'!$E$24:$Y$24"</f>
        <v>'BLD_AS'!$E$24:$Y$24</v>
      </c>
      <c r="H4289" s="381">
        <f ca="1">IF(IFERROR(INDEX(DATA_PROPERTY_MASTER!$E$5:$E$21,MATCH($C4289,DATA_PROPERTY_MASTER!$A$5:$A$21,0))="Yes",FALSE),IFERROR(INDEX(INDIRECT("'"&amp;$C4289&amp;"'!$E$24:$Y$24"),1,MATCH($D4289,INDIRECT("'"&amp;$C4289&amp;"'!$E$12:$Y$12"),0)),0),0)</f>
        <v>2531507.2112875711</v>
      </c>
      <c r="I4289" s="366" t="s">
        <v>1685</v>
      </c>
      <c r="J4289" s="348" t="str">
        <f t="shared" ca="1" si="132"/>
        <v>OK</v>
      </c>
      <c r="K4289" s="366" t="s">
        <v>1686</v>
      </c>
      <c r="L4289" s="366" t="s">
        <v>2234</v>
      </c>
      <c r="M4289" s="350" t="str">
        <f>IF($B4289="Portfolio","Portfolio",IFERROR(INDEX(DATA_ASSET_CLASSIFICATION!$B$8:$B$24,MATCH($C4289,DATA_ASSET_CLASSIFICATION!$A$8:$A$24,0)),"Review"))</f>
        <v>1656 Adanac Street</v>
      </c>
      <c r="N4289" s="350" t="str">
        <f>IF($B4289="Portfolio","Portfolio",IFERROR(INDEX(DATA_ASSET_CLASSIFICATION!$U$8:$U$24,MATCH($C4289,DATA_ASSET_CLASSIFICATION!$A$8:$A$24,0)),"Review"))</f>
        <v>New Build</v>
      </c>
      <c r="O4289" s="350" t="str">
        <f>IF($B4289="Portfolio","Portfolio",IFERROR(INDEX(DATA_ASSET_CLASSIFICATION!$AB$8:$AB$13,MATCH($N4289,DATA_ASSET_CLASSIFICATION!$AA$8:$AA$13,0)),"Review"))</f>
        <v>Bucket 1 · New Build</v>
      </c>
      <c r="P4289" s="350" t="str">
        <f>IF($B4289="Portfolio","Portfolio",IFERROR(INDEX(DATA_ASSET_CLASSIFICATION!$C$8:$C$24,MATCH($C4289,DATA_ASSET_CLASSIFICATION!$A$8:$A$24,0)),"Review"))</f>
        <v>Yes</v>
      </c>
      <c r="Q4289" s="350" t="str">
        <f t="shared" ca="1" si="133"/>
        <v>OK</v>
      </c>
    </row>
    <row r="4290" spans="1:17">
      <c r="A4290" s="366" t="s">
        <v>6246</v>
      </c>
      <c r="B4290" s="366" t="s">
        <v>231</v>
      </c>
      <c r="C4290" s="348" t="str">
        <f>DATA_PROPERTY_MASTER!$A$18</f>
        <v>BLD_AS</v>
      </c>
      <c r="D4290" s="380">
        <f>'00_PORTFOLIO ROLLUP'!S$12</f>
        <v>2039</v>
      </c>
      <c r="E4290" s="366" t="s">
        <v>1683</v>
      </c>
      <c r="F4290" s="366" t="s">
        <v>355</v>
      </c>
      <c r="G4290" s="348" t="str">
        <f>"'"&amp;$C4290&amp;"'!$E$39:$Y$39"</f>
        <v>'BLD_AS'!$E$39:$Y$39</v>
      </c>
      <c r="H4290" s="381">
        <f ca="1">IF(IFERROR(INDEX(DATA_PROPERTY_MASTER!$E$5:$E$21,MATCH($C4290,DATA_PROPERTY_MASTER!$A$5:$A$21,0))="Yes",FALSE),IFERROR(INDEX(INDIRECT("'"&amp;$C4290&amp;"'!$E$39:$Y$39"),1,MATCH($D4290,INDIRECT("'"&amp;$C4290&amp;"'!$E$12:$Y$12"),0)),0),0)</f>
        <v>1178152.171608835</v>
      </c>
      <c r="I4290" s="366" t="s">
        <v>1690</v>
      </c>
      <c r="J4290" s="348" t="str">
        <f t="shared" ca="1" si="132"/>
        <v>OK</v>
      </c>
      <c r="K4290" s="366" t="s">
        <v>1686</v>
      </c>
      <c r="L4290" s="366" t="s">
        <v>2236</v>
      </c>
      <c r="M4290" s="350" t="str">
        <f>IF($B4290="Portfolio","Portfolio",IFERROR(INDEX(DATA_ASSET_CLASSIFICATION!$B$8:$B$24,MATCH($C4290,DATA_ASSET_CLASSIFICATION!$A$8:$A$24,0)),"Review"))</f>
        <v>1656 Adanac Street</v>
      </c>
      <c r="N4290" s="350" t="str">
        <f>IF($B4290="Portfolio","Portfolio",IFERROR(INDEX(DATA_ASSET_CLASSIFICATION!$U$8:$U$24,MATCH($C4290,DATA_ASSET_CLASSIFICATION!$A$8:$A$24,0)),"Review"))</f>
        <v>New Build</v>
      </c>
      <c r="O4290" s="350" t="str">
        <f>IF($B4290="Portfolio","Portfolio",IFERROR(INDEX(DATA_ASSET_CLASSIFICATION!$AB$8:$AB$13,MATCH($N4290,DATA_ASSET_CLASSIFICATION!$AA$8:$AA$13,0)),"Review"))</f>
        <v>Bucket 1 · New Build</v>
      </c>
      <c r="P4290" s="350" t="str">
        <f>IF($B4290="Portfolio","Portfolio",IFERROR(INDEX(DATA_ASSET_CLASSIFICATION!$C$8:$C$24,MATCH($C4290,DATA_ASSET_CLASSIFICATION!$A$8:$A$24,0)),"Review"))</f>
        <v>Yes</v>
      </c>
      <c r="Q4290" s="350" t="str">
        <f t="shared" ca="1" si="133"/>
        <v>OK</v>
      </c>
    </row>
    <row r="4291" spans="1:17">
      <c r="A4291" s="366" t="s">
        <v>6247</v>
      </c>
      <c r="B4291" s="366" t="s">
        <v>231</v>
      </c>
      <c r="C4291" s="348" t="str">
        <f>DATA_PROPERTY_MASTER!$A$18</f>
        <v>BLD_AS</v>
      </c>
      <c r="D4291" s="380">
        <f>'00_PORTFOLIO ROLLUP'!S$12</f>
        <v>2039</v>
      </c>
      <c r="E4291" s="366" t="s">
        <v>1683</v>
      </c>
      <c r="F4291" s="366" t="s">
        <v>19</v>
      </c>
      <c r="G4291" s="348" t="str">
        <f>"'"&amp;$C4291&amp;"'!$E$41:$Y$41"</f>
        <v>'BLD_AS'!$E$41:$Y$41</v>
      </c>
      <c r="H4291" s="381">
        <f ca="1">IF(IFERROR(INDEX(DATA_PROPERTY_MASTER!$E$5:$E$21,MATCH($C4291,DATA_PROPERTY_MASTER!$A$5:$A$21,0))="Yes",FALSE),IFERROR(INDEX(INDIRECT("'"&amp;$C4291&amp;"'!$E$41:$Y$41"),1,MATCH($D4291,INDIRECT("'"&amp;$C4291&amp;"'!$E$12:$Y$12"),0)),0),0)</f>
        <v>1353355.0396787361</v>
      </c>
      <c r="I4291" s="366" t="s">
        <v>1685</v>
      </c>
      <c r="J4291" s="348" t="str">
        <f t="shared" ca="1" si="132"/>
        <v>OK</v>
      </c>
      <c r="K4291" s="366" t="s">
        <v>1694</v>
      </c>
      <c r="L4291" s="366" t="s">
        <v>2238</v>
      </c>
      <c r="M4291" s="350" t="str">
        <f>IF($B4291="Portfolio","Portfolio",IFERROR(INDEX(DATA_ASSET_CLASSIFICATION!$B$8:$B$24,MATCH($C4291,DATA_ASSET_CLASSIFICATION!$A$8:$A$24,0)),"Review"))</f>
        <v>1656 Adanac Street</v>
      </c>
      <c r="N4291" s="350" t="str">
        <f>IF($B4291="Portfolio","Portfolio",IFERROR(INDEX(DATA_ASSET_CLASSIFICATION!$U$8:$U$24,MATCH($C4291,DATA_ASSET_CLASSIFICATION!$A$8:$A$24,0)),"Review"))</f>
        <v>New Build</v>
      </c>
      <c r="O4291" s="350" t="str">
        <f>IF($B4291="Portfolio","Portfolio",IFERROR(INDEX(DATA_ASSET_CLASSIFICATION!$AB$8:$AB$13,MATCH($N4291,DATA_ASSET_CLASSIFICATION!$AA$8:$AA$13,0)),"Review"))</f>
        <v>Bucket 1 · New Build</v>
      </c>
      <c r="P4291" s="350" t="str">
        <f>IF($B4291="Portfolio","Portfolio",IFERROR(INDEX(DATA_ASSET_CLASSIFICATION!$C$8:$C$24,MATCH($C4291,DATA_ASSET_CLASSIFICATION!$A$8:$A$24,0)),"Review"))</f>
        <v>Yes</v>
      </c>
      <c r="Q4291" s="350" t="str">
        <f t="shared" ca="1" si="133"/>
        <v>OK</v>
      </c>
    </row>
    <row r="4292" spans="1:17">
      <c r="A4292" s="366" t="s">
        <v>6248</v>
      </c>
      <c r="B4292" s="366" t="s">
        <v>231</v>
      </c>
      <c r="C4292" s="348" t="str">
        <f>DATA_PROPERTY_MASTER!$A$18</f>
        <v>BLD_AS</v>
      </c>
      <c r="D4292" s="380">
        <f>'00_PORTFOLIO ROLLUP'!S$12</f>
        <v>2039</v>
      </c>
      <c r="E4292" s="366" t="s">
        <v>1683</v>
      </c>
      <c r="F4292" s="366" t="s">
        <v>1697</v>
      </c>
      <c r="G4292" s="348" t="str">
        <f>"'"&amp;$C4292&amp;"'!$E$44:$Y$44"</f>
        <v>'BLD_AS'!$E$44:$Y$44</v>
      </c>
      <c r="H4292" s="381">
        <f ca="1">IF(IFERROR(INDEX(DATA_PROPERTY_MASTER!$E$5:$E$21,MATCH($C4292,DATA_PROPERTY_MASTER!$A$5:$A$21,0))="Yes",FALSE),IFERROR(INDEX(INDIRECT("'"&amp;$C4292&amp;"'!$E$44:$Y$44"),1,MATCH($D4292,INDIRECT("'"&amp;$C4292&amp;"'!$E$12:$Y$12"),0)),0),0)</f>
        <v>19198.416002564791</v>
      </c>
      <c r="I4292" s="366" t="s">
        <v>1690</v>
      </c>
      <c r="J4292" s="348" t="str">
        <f t="shared" ca="1" si="132"/>
        <v>OK</v>
      </c>
      <c r="K4292" s="366" t="s">
        <v>1699</v>
      </c>
      <c r="L4292" s="366" t="s">
        <v>2240</v>
      </c>
      <c r="M4292" s="350" t="str">
        <f>IF($B4292="Portfolio","Portfolio",IFERROR(INDEX(DATA_ASSET_CLASSIFICATION!$B$8:$B$24,MATCH($C4292,DATA_ASSET_CLASSIFICATION!$A$8:$A$24,0)),"Review"))</f>
        <v>1656 Adanac Street</v>
      </c>
      <c r="N4292" s="350" t="str">
        <f>IF($B4292="Portfolio","Portfolio",IFERROR(INDEX(DATA_ASSET_CLASSIFICATION!$U$8:$U$24,MATCH($C4292,DATA_ASSET_CLASSIFICATION!$A$8:$A$24,0)),"Review"))</f>
        <v>New Build</v>
      </c>
      <c r="O4292" s="350" t="str">
        <f>IF($B4292="Portfolio","Portfolio",IFERROR(INDEX(DATA_ASSET_CLASSIFICATION!$AB$8:$AB$13,MATCH($N4292,DATA_ASSET_CLASSIFICATION!$AA$8:$AA$13,0)),"Review"))</f>
        <v>Bucket 1 · New Build</v>
      </c>
      <c r="P4292" s="350" t="str">
        <f>IF($B4292="Portfolio","Portfolio",IFERROR(INDEX(DATA_ASSET_CLASSIFICATION!$C$8:$C$24,MATCH($C4292,DATA_ASSET_CLASSIFICATION!$A$8:$A$24,0)),"Review"))</f>
        <v>Yes</v>
      </c>
      <c r="Q4292" s="350" t="str">
        <f t="shared" ca="1" si="133"/>
        <v>OK</v>
      </c>
    </row>
    <row r="4293" spans="1:17">
      <c r="A4293" s="366" t="s">
        <v>6249</v>
      </c>
      <c r="B4293" s="366" t="s">
        <v>231</v>
      </c>
      <c r="C4293" s="348" t="str">
        <f>DATA_PROPERTY_MASTER!$A$18</f>
        <v>BLD_AS</v>
      </c>
      <c r="D4293" s="380">
        <f>'00_PORTFOLIO ROLLUP'!S$12</f>
        <v>2039</v>
      </c>
      <c r="E4293" s="366" t="s">
        <v>1683</v>
      </c>
      <c r="F4293" s="366" t="s">
        <v>21</v>
      </c>
      <c r="G4293" s="348" t="str">
        <f>"'"&amp;$C4293&amp;"'!$E$45:$Y$45"</f>
        <v>'BLD_AS'!$E$45:$Y$45</v>
      </c>
      <c r="H4293" s="381">
        <f ca="1">IF(IFERROR(INDEX(DATA_PROPERTY_MASTER!$E$5:$E$21,MATCH($C4293,DATA_PROPERTY_MASTER!$A$5:$A$21,0))="Yes",FALSE),IFERROR(INDEX(INDIRECT("'"&amp;$C4293&amp;"'!$E$45:$Y$45"),1,MATCH($D4293,INDIRECT("'"&amp;$C4293&amp;"'!$E$12:$Y$12"),0)),0),0)</f>
        <v>1334156.6236761713</v>
      </c>
      <c r="I4293" s="366" t="s">
        <v>1685</v>
      </c>
      <c r="J4293" s="348" t="str">
        <f t="shared" ref="J4293:J4356" ca="1" si="134">IF($F4293="Residual Funding Gap",IF($H4293&gt;0,"Funding Gap","OK"),IF(AND($F4293="Net Refinance Position",$H4293&lt;0),"Negative net refi position","OK"))</f>
        <v>OK</v>
      </c>
      <c r="K4293" s="366" t="s">
        <v>1694</v>
      </c>
      <c r="L4293" s="366" t="s">
        <v>2242</v>
      </c>
      <c r="M4293" s="350" t="str">
        <f>IF($B4293="Portfolio","Portfolio",IFERROR(INDEX(DATA_ASSET_CLASSIFICATION!$B$8:$B$24,MATCH($C4293,DATA_ASSET_CLASSIFICATION!$A$8:$A$24,0)),"Review"))</f>
        <v>1656 Adanac Street</v>
      </c>
      <c r="N4293" s="350" t="str">
        <f>IF($B4293="Portfolio","Portfolio",IFERROR(INDEX(DATA_ASSET_CLASSIFICATION!$U$8:$U$24,MATCH($C4293,DATA_ASSET_CLASSIFICATION!$A$8:$A$24,0)),"Review"))</f>
        <v>New Build</v>
      </c>
      <c r="O4293" s="350" t="str">
        <f>IF($B4293="Portfolio","Portfolio",IFERROR(INDEX(DATA_ASSET_CLASSIFICATION!$AB$8:$AB$13,MATCH($N4293,DATA_ASSET_CLASSIFICATION!$AA$8:$AA$13,0)),"Review"))</f>
        <v>Bucket 1 · New Build</v>
      </c>
      <c r="P4293" s="350" t="str">
        <f>IF($B4293="Portfolio","Portfolio",IFERROR(INDEX(DATA_ASSET_CLASSIFICATION!$C$8:$C$24,MATCH($C4293,DATA_ASSET_CLASSIFICATION!$A$8:$A$24,0)),"Review"))</f>
        <v>Yes</v>
      </c>
      <c r="Q4293" s="350" t="str">
        <f t="shared" ref="Q4293:Q4356" ca="1" si="135">IF(AND($B4293="Property",$F4293="Residual Funding Gap",$H4293&gt;0),"Property Funding Gap",IF($J4293&lt;&gt;"OK",$J4293,"OK"))</f>
        <v>OK</v>
      </c>
    </row>
    <row r="4294" spans="1:17">
      <c r="A4294" s="366" t="s">
        <v>6250</v>
      </c>
      <c r="B4294" s="366" t="s">
        <v>231</v>
      </c>
      <c r="C4294" s="348" t="str">
        <f>DATA_PROPERTY_MASTER!$A$18</f>
        <v>BLD_AS</v>
      </c>
      <c r="D4294" s="380">
        <f>'00_PORTFOLIO ROLLUP'!S$12</f>
        <v>2039</v>
      </c>
      <c r="E4294" s="366" t="s">
        <v>23</v>
      </c>
      <c r="F4294" s="366" t="s">
        <v>23</v>
      </c>
      <c r="G4294" s="348" t="str">
        <f>"'"&amp;$C4294&amp;"'!$E$48:$Y$48"</f>
        <v>'BLD_AS'!$E$48:$Y$48</v>
      </c>
      <c r="H4294" s="381">
        <f ca="1">IF(IFERROR(INDEX(DATA_PROPERTY_MASTER!$E$5:$E$21,MATCH($C4294,DATA_PROPERTY_MASTER!$A$5:$A$21,0))="Yes",FALSE),IFERROR(INDEX(INDIRECT("'"&amp;$C4294&amp;"'!$E$48:$Y$48"),1,MATCH($D4294,INDIRECT("'"&amp;$C4294&amp;"'!$E$12:$Y$12"),0)),0),0)</f>
        <v>805649.51774556539</v>
      </c>
      <c r="I4294" s="366" t="s">
        <v>1690</v>
      </c>
      <c r="J4294" s="348" t="str">
        <f t="shared" ca="1" si="134"/>
        <v>OK</v>
      </c>
      <c r="K4294" s="366" t="s">
        <v>1706</v>
      </c>
      <c r="L4294" s="366" t="s">
        <v>2244</v>
      </c>
      <c r="M4294" s="350" t="str">
        <f>IF($B4294="Portfolio","Portfolio",IFERROR(INDEX(DATA_ASSET_CLASSIFICATION!$B$8:$B$24,MATCH($C4294,DATA_ASSET_CLASSIFICATION!$A$8:$A$24,0)),"Review"))</f>
        <v>1656 Adanac Street</v>
      </c>
      <c r="N4294" s="350" t="str">
        <f>IF($B4294="Portfolio","Portfolio",IFERROR(INDEX(DATA_ASSET_CLASSIFICATION!$U$8:$U$24,MATCH($C4294,DATA_ASSET_CLASSIFICATION!$A$8:$A$24,0)),"Review"))</f>
        <v>New Build</v>
      </c>
      <c r="O4294" s="350" t="str">
        <f>IF($B4294="Portfolio","Portfolio",IFERROR(INDEX(DATA_ASSET_CLASSIFICATION!$AB$8:$AB$13,MATCH($N4294,DATA_ASSET_CLASSIFICATION!$AA$8:$AA$13,0)),"Review"))</f>
        <v>Bucket 1 · New Build</v>
      </c>
      <c r="P4294" s="350" t="str">
        <f>IF($B4294="Portfolio","Portfolio",IFERROR(INDEX(DATA_ASSET_CLASSIFICATION!$C$8:$C$24,MATCH($C4294,DATA_ASSET_CLASSIFICATION!$A$8:$A$24,0)),"Review"))</f>
        <v>Yes</v>
      </c>
      <c r="Q4294" s="350" t="str">
        <f t="shared" ca="1" si="135"/>
        <v>OK</v>
      </c>
    </row>
    <row r="4295" spans="1:17">
      <c r="A4295" s="366" t="s">
        <v>6251</v>
      </c>
      <c r="B4295" s="366" t="s">
        <v>231</v>
      </c>
      <c r="C4295" s="348" t="str">
        <f>DATA_PROPERTY_MASTER!$A$18</f>
        <v>BLD_AS</v>
      </c>
      <c r="D4295" s="380">
        <f>'00_PORTFOLIO ROLLUP'!S$12</f>
        <v>2039</v>
      </c>
      <c r="E4295" s="366" t="s">
        <v>1683</v>
      </c>
      <c r="F4295" s="366" t="s">
        <v>25</v>
      </c>
      <c r="G4295" s="348" t="str">
        <f>"'"&amp;$C4295&amp;"'!$E$52:$Y$52"</f>
        <v>'BLD_AS'!$E$52:$Y$52</v>
      </c>
      <c r="H4295" s="381">
        <f ca="1">IF(IFERROR(INDEX(DATA_PROPERTY_MASTER!$E$5:$E$21,MATCH($C4295,DATA_PROPERTY_MASTER!$A$5:$A$21,0))="Yes",FALSE),IFERROR(INDEX(INDIRECT("'"&amp;$C4295&amp;"'!$E$52:$Y$52"),1,MATCH($D4295,INDIRECT("'"&amp;$C4295&amp;"'!$E$12:$Y$12"),0)),0),0)</f>
        <v>547705.52193317073</v>
      </c>
      <c r="I4295" s="366" t="s">
        <v>1685</v>
      </c>
      <c r="J4295" s="348" t="str">
        <f t="shared" ca="1" si="134"/>
        <v>OK</v>
      </c>
      <c r="K4295" s="366" t="s">
        <v>1710</v>
      </c>
      <c r="L4295" s="366" t="s">
        <v>2246</v>
      </c>
      <c r="M4295" s="350" t="str">
        <f>IF($B4295="Portfolio","Portfolio",IFERROR(INDEX(DATA_ASSET_CLASSIFICATION!$B$8:$B$24,MATCH($C4295,DATA_ASSET_CLASSIFICATION!$A$8:$A$24,0)),"Review"))</f>
        <v>1656 Adanac Street</v>
      </c>
      <c r="N4295" s="350" t="str">
        <f>IF($B4295="Portfolio","Portfolio",IFERROR(INDEX(DATA_ASSET_CLASSIFICATION!$U$8:$U$24,MATCH($C4295,DATA_ASSET_CLASSIFICATION!$A$8:$A$24,0)),"Review"))</f>
        <v>New Build</v>
      </c>
      <c r="O4295" s="350" t="str">
        <f>IF($B4295="Portfolio","Portfolio",IFERROR(INDEX(DATA_ASSET_CLASSIFICATION!$AB$8:$AB$13,MATCH($N4295,DATA_ASSET_CLASSIFICATION!$AA$8:$AA$13,0)),"Review"))</f>
        <v>Bucket 1 · New Build</v>
      </c>
      <c r="P4295" s="350" t="str">
        <f>IF($B4295="Portfolio","Portfolio",IFERROR(INDEX(DATA_ASSET_CLASSIFICATION!$C$8:$C$24,MATCH($C4295,DATA_ASSET_CLASSIFICATION!$A$8:$A$24,0)),"Review"))</f>
        <v>Yes</v>
      </c>
      <c r="Q4295" s="350" t="str">
        <f t="shared" ca="1" si="135"/>
        <v>OK</v>
      </c>
    </row>
    <row r="4296" spans="1:17">
      <c r="A4296" s="366" t="s">
        <v>6252</v>
      </c>
      <c r="B4296" s="366" t="s">
        <v>231</v>
      </c>
      <c r="C4296" s="348" t="str">
        <f>DATA_PROPERTY_MASTER!$A$18</f>
        <v>BLD_AS</v>
      </c>
      <c r="D4296" s="380">
        <f>'00_PORTFOLIO ROLLUP'!S$12</f>
        <v>2039</v>
      </c>
      <c r="E4296" s="366" t="s">
        <v>1683</v>
      </c>
      <c r="F4296" s="366" t="s">
        <v>27</v>
      </c>
      <c r="G4296" s="348" t="str">
        <f>"'"&amp;$C4296&amp;"'!$E$54:$Y$54"</f>
        <v>'BLD_AS'!$E$54:$Y$54</v>
      </c>
      <c r="H4296" s="381">
        <f ca="1">IF(IFERROR(INDEX(DATA_PROPERTY_MASTER!$E$5:$E$21,MATCH($C4296,DATA_PROPERTY_MASTER!$A$5:$A$21,0))="Yes",FALSE),IFERROR(INDEX(INDIRECT("'"&amp;$C4296&amp;"'!$E$54:$Y$54"),1,MATCH($D4296,INDIRECT("'"&amp;$C4296&amp;"'!$E$12:$Y$12"),0)),0),0)</f>
        <v>328623.31315990241</v>
      </c>
      <c r="I4296" s="366" t="s">
        <v>1690</v>
      </c>
      <c r="J4296" s="348" t="str">
        <f t="shared" ca="1" si="134"/>
        <v>OK</v>
      </c>
      <c r="K4296" s="366" t="s">
        <v>1714</v>
      </c>
      <c r="L4296" s="366" t="s">
        <v>2248</v>
      </c>
      <c r="M4296" s="350" t="str">
        <f>IF($B4296="Portfolio","Portfolio",IFERROR(INDEX(DATA_ASSET_CLASSIFICATION!$B$8:$B$24,MATCH($C4296,DATA_ASSET_CLASSIFICATION!$A$8:$A$24,0)),"Review"))</f>
        <v>1656 Adanac Street</v>
      </c>
      <c r="N4296" s="350" t="str">
        <f>IF($B4296="Portfolio","Portfolio",IFERROR(INDEX(DATA_ASSET_CLASSIFICATION!$U$8:$U$24,MATCH($C4296,DATA_ASSET_CLASSIFICATION!$A$8:$A$24,0)),"Review"))</f>
        <v>New Build</v>
      </c>
      <c r="O4296" s="350" t="str">
        <f>IF($B4296="Portfolio","Portfolio",IFERROR(INDEX(DATA_ASSET_CLASSIFICATION!$AB$8:$AB$13,MATCH($N4296,DATA_ASSET_CLASSIFICATION!$AA$8:$AA$13,0)),"Review"))</f>
        <v>Bucket 1 · New Build</v>
      </c>
      <c r="P4296" s="350" t="str">
        <f>IF($B4296="Portfolio","Portfolio",IFERROR(INDEX(DATA_ASSET_CLASSIFICATION!$C$8:$C$24,MATCH($C4296,DATA_ASSET_CLASSIFICATION!$A$8:$A$24,0)),"Review"))</f>
        <v>Yes</v>
      </c>
      <c r="Q4296" s="350" t="str">
        <f t="shared" ca="1" si="135"/>
        <v>OK</v>
      </c>
    </row>
    <row r="4297" spans="1:17">
      <c r="A4297" s="366" t="s">
        <v>6253</v>
      </c>
      <c r="B4297" s="366" t="s">
        <v>231</v>
      </c>
      <c r="C4297" s="348" t="str">
        <f>DATA_PROPERTY_MASTER!$A$18</f>
        <v>BLD_AS</v>
      </c>
      <c r="D4297" s="380">
        <f>'00_PORTFOLIO ROLLUP'!S$12</f>
        <v>2039</v>
      </c>
      <c r="E4297" s="366" t="s">
        <v>1683</v>
      </c>
      <c r="F4297" s="366" t="s">
        <v>29</v>
      </c>
      <c r="G4297" s="348" t="str">
        <f>"'"&amp;$C4297&amp;"'!$E$56:$Y$56"</f>
        <v>'BLD_AS'!$E$56:$Y$56</v>
      </c>
      <c r="H4297" s="381">
        <f ca="1">IF(IFERROR(INDEX(DATA_PROPERTY_MASTER!$E$5:$E$21,MATCH($C4297,DATA_PROPERTY_MASTER!$A$5:$A$21,0))="Yes",FALSE),IFERROR(INDEX(INDIRECT("'"&amp;$C4297&amp;"'!$E$56:$Y$56"),1,MATCH($D4297,INDIRECT("'"&amp;$C4297&amp;"'!$E$12:$Y$12"),0)),0),0)</f>
        <v>219082.20877326833</v>
      </c>
      <c r="I4297" s="366" t="s">
        <v>1685</v>
      </c>
      <c r="J4297" s="348" t="str">
        <f t="shared" ca="1" si="134"/>
        <v>OK</v>
      </c>
      <c r="K4297" s="366" t="s">
        <v>1718</v>
      </c>
      <c r="L4297" s="366" t="s">
        <v>2250</v>
      </c>
      <c r="M4297" s="350" t="str">
        <f>IF($B4297="Portfolio","Portfolio",IFERROR(INDEX(DATA_ASSET_CLASSIFICATION!$B$8:$B$24,MATCH($C4297,DATA_ASSET_CLASSIFICATION!$A$8:$A$24,0)),"Review"))</f>
        <v>1656 Adanac Street</v>
      </c>
      <c r="N4297" s="350" t="str">
        <f>IF($B4297="Portfolio","Portfolio",IFERROR(INDEX(DATA_ASSET_CLASSIFICATION!$U$8:$U$24,MATCH($C4297,DATA_ASSET_CLASSIFICATION!$A$8:$A$24,0)),"Review"))</f>
        <v>New Build</v>
      </c>
      <c r="O4297" s="350" t="str">
        <f>IF($B4297="Portfolio","Portfolio",IFERROR(INDEX(DATA_ASSET_CLASSIFICATION!$AB$8:$AB$13,MATCH($N4297,DATA_ASSET_CLASSIFICATION!$AA$8:$AA$13,0)),"Review"))</f>
        <v>Bucket 1 · New Build</v>
      </c>
      <c r="P4297" s="350" t="str">
        <f>IF($B4297="Portfolio","Portfolio",IFERROR(INDEX(DATA_ASSET_CLASSIFICATION!$C$8:$C$24,MATCH($C4297,DATA_ASSET_CLASSIFICATION!$A$8:$A$24,0)),"Review"))</f>
        <v>Yes</v>
      </c>
      <c r="Q4297" s="350" t="str">
        <f t="shared" ca="1" si="135"/>
        <v>OK</v>
      </c>
    </row>
    <row r="4298" spans="1:17">
      <c r="A4298" s="366" t="s">
        <v>6254</v>
      </c>
      <c r="B4298" s="366" t="s">
        <v>231</v>
      </c>
      <c r="C4298" s="348" t="str">
        <f>DATA_PROPERTY_MASTER!$A$18</f>
        <v>BLD_AS</v>
      </c>
      <c r="D4298" s="380">
        <f>'00_PORTFOLIO ROLLUP'!S$12</f>
        <v>2039</v>
      </c>
      <c r="E4298" s="366" t="s">
        <v>1721</v>
      </c>
      <c r="F4298" s="366" t="s">
        <v>31</v>
      </c>
      <c r="G4298" s="348" t="str">
        <f>"'"&amp;$C4298&amp;"'!$E$61:$Y$61"</f>
        <v>'BLD_AS'!$E$61:$Y$61</v>
      </c>
      <c r="H4298" s="381">
        <f ca="1">IF(IFERROR(INDEX(DATA_PROPERTY_MASTER!$E$5:$E$21,MATCH($C4298,DATA_PROPERTY_MASTER!$A$5:$A$21,0))="Yes",FALSE),IFERROR(INDEX(INDIRECT("'"&amp;$C4298&amp;"'!$E$61:$Y$61"),1,MATCH($D4298,INDIRECT("'"&amp;$C4298&amp;"'!$E$12:$Y$12"),0)),0),0)</f>
        <v>0</v>
      </c>
      <c r="I4298" s="366" t="s">
        <v>1690</v>
      </c>
      <c r="J4298" s="348" t="str">
        <f t="shared" ca="1" si="134"/>
        <v>OK</v>
      </c>
      <c r="K4298" s="366" t="s">
        <v>1723</v>
      </c>
      <c r="L4298" s="366" t="s">
        <v>2252</v>
      </c>
      <c r="M4298" s="350" t="str">
        <f>IF($B4298="Portfolio","Portfolio",IFERROR(INDEX(DATA_ASSET_CLASSIFICATION!$B$8:$B$24,MATCH($C4298,DATA_ASSET_CLASSIFICATION!$A$8:$A$24,0)),"Review"))</f>
        <v>1656 Adanac Street</v>
      </c>
      <c r="N4298" s="350" t="str">
        <f>IF($B4298="Portfolio","Portfolio",IFERROR(INDEX(DATA_ASSET_CLASSIFICATION!$U$8:$U$24,MATCH($C4298,DATA_ASSET_CLASSIFICATION!$A$8:$A$24,0)),"Review"))</f>
        <v>New Build</v>
      </c>
      <c r="O4298" s="350" t="str">
        <f>IF($B4298="Portfolio","Portfolio",IFERROR(INDEX(DATA_ASSET_CLASSIFICATION!$AB$8:$AB$13,MATCH($N4298,DATA_ASSET_CLASSIFICATION!$AA$8:$AA$13,0)),"Review"))</f>
        <v>Bucket 1 · New Build</v>
      </c>
      <c r="P4298" s="350" t="str">
        <f>IF($B4298="Portfolio","Portfolio",IFERROR(INDEX(DATA_ASSET_CLASSIFICATION!$C$8:$C$24,MATCH($C4298,DATA_ASSET_CLASSIFICATION!$A$8:$A$24,0)),"Review"))</f>
        <v>Yes</v>
      </c>
      <c r="Q4298" s="350" t="str">
        <f t="shared" ca="1" si="135"/>
        <v>OK</v>
      </c>
    </row>
    <row r="4299" spans="1:17">
      <c r="A4299" s="366" t="s">
        <v>6255</v>
      </c>
      <c r="B4299" s="366" t="s">
        <v>231</v>
      </c>
      <c r="C4299" s="348" t="str">
        <f>DATA_PROPERTY_MASTER!$A$18</f>
        <v>BLD_AS</v>
      </c>
      <c r="D4299" s="380">
        <f>'00_PORTFOLIO ROLLUP'!S$12</f>
        <v>2039</v>
      </c>
      <c r="E4299" s="366" t="s">
        <v>1721</v>
      </c>
      <c r="F4299" s="366" t="s">
        <v>33</v>
      </c>
      <c r="G4299" s="348" t="str">
        <f>"'"&amp;$C4299&amp;"'!$E$62:$Y$62"</f>
        <v>'BLD_AS'!$E$62:$Y$62</v>
      </c>
      <c r="H4299" s="381">
        <f ca="1">IF(IFERROR(INDEX(DATA_PROPERTY_MASTER!$E$5:$E$21,MATCH($C4299,DATA_PROPERTY_MASTER!$A$5:$A$21,0))="Yes",FALSE),IFERROR(INDEX(INDIRECT("'"&amp;$C4299&amp;"'!$E$62:$Y$62"),1,MATCH($D4299,INDIRECT("'"&amp;$C4299&amp;"'!$E$12:$Y$12"),0)),0),0)</f>
        <v>0</v>
      </c>
      <c r="I4299" s="366" t="s">
        <v>1685</v>
      </c>
      <c r="J4299" s="348" t="str">
        <f t="shared" ca="1" si="134"/>
        <v>OK</v>
      </c>
      <c r="K4299" s="366" t="s">
        <v>1727</v>
      </c>
      <c r="L4299" s="366" t="s">
        <v>2254</v>
      </c>
      <c r="M4299" s="350" t="str">
        <f>IF($B4299="Portfolio","Portfolio",IFERROR(INDEX(DATA_ASSET_CLASSIFICATION!$B$8:$B$24,MATCH($C4299,DATA_ASSET_CLASSIFICATION!$A$8:$A$24,0)),"Review"))</f>
        <v>1656 Adanac Street</v>
      </c>
      <c r="N4299" s="350" t="str">
        <f>IF($B4299="Portfolio","Portfolio",IFERROR(INDEX(DATA_ASSET_CLASSIFICATION!$U$8:$U$24,MATCH($C4299,DATA_ASSET_CLASSIFICATION!$A$8:$A$24,0)),"Review"))</f>
        <v>New Build</v>
      </c>
      <c r="O4299" s="350" t="str">
        <f>IF($B4299="Portfolio","Portfolio",IFERROR(INDEX(DATA_ASSET_CLASSIFICATION!$AB$8:$AB$13,MATCH($N4299,DATA_ASSET_CLASSIFICATION!$AA$8:$AA$13,0)),"Review"))</f>
        <v>Bucket 1 · New Build</v>
      </c>
      <c r="P4299" s="350" t="str">
        <f>IF($B4299="Portfolio","Portfolio",IFERROR(INDEX(DATA_ASSET_CLASSIFICATION!$C$8:$C$24,MATCH($C4299,DATA_ASSET_CLASSIFICATION!$A$8:$A$24,0)),"Review"))</f>
        <v>Yes</v>
      </c>
      <c r="Q4299" s="350" t="str">
        <f t="shared" ca="1" si="135"/>
        <v>OK</v>
      </c>
    </row>
    <row r="4300" spans="1:17">
      <c r="A4300" s="366" t="s">
        <v>6256</v>
      </c>
      <c r="B4300" s="366" t="s">
        <v>231</v>
      </c>
      <c r="C4300" s="348" t="str">
        <f>DATA_PROPERTY_MASTER!$A$18</f>
        <v>BLD_AS</v>
      </c>
      <c r="D4300" s="380">
        <f>'00_PORTFOLIO ROLLUP'!S$12</f>
        <v>2039</v>
      </c>
      <c r="E4300" s="366" t="s">
        <v>1721</v>
      </c>
      <c r="F4300" s="366" t="s">
        <v>35</v>
      </c>
      <c r="G4300" s="348" t="str">
        <f>"'"&amp;$C4300&amp;"'!$E$63:$Y$63"</f>
        <v>'BLD_AS'!$E$63:$Y$63</v>
      </c>
      <c r="H4300" s="381">
        <f ca="1">IF(IFERROR(INDEX(DATA_PROPERTY_MASTER!$E$5:$E$21,MATCH($C4300,DATA_PROPERTY_MASTER!$A$5:$A$21,0))="Yes",FALSE),IFERROR(INDEX(INDIRECT("'"&amp;$C4300&amp;"'!$E$63:$Y$63"),1,MATCH($D4300,INDIRECT("'"&amp;$C4300&amp;"'!$E$12:$Y$12"),0)),0),0)</f>
        <v>0</v>
      </c>
      <c r="I4300" s="366" t="s">
        <v>1731</v>
      </c>
      <c r="J4300" s="348" t="str">
        <f t="shared" ca="1" si="134"/>
        <v>OK</v>
      </c>
      <c r="K4300" s="366" t="s">
        <v>1732</v>
      </c>
      <c r="L4300" s="366" t="s">
        <v>2256</v>
      </c>
      <c r="M4300" s="350" t="str">
        <f>IF($B4300="Portfolio","Portfolio",IFERROR(INDEX(DATA_ASSET_CLASSIFICATION!$B$8:$B$24,MATCH($C4300,DATA_ASSET_CLASSIFICATION!$A$8:$A$24,0)),"Review"))</f>
        <v>1656 Adanac Street</v>
      </c>
      <c r="N4300" s="350" t="str">
        <f>IF($B4300="Portfolio","Portfolio",IFERROR(INDEX(DATA_ASSET_CLASSIFICATION!$U$8:$U$24,MATCH($C4300,DATA_ASSET_CLASSIFICATION!$A$8:$A$24,0)),"Review"))</f>
        <v>New Build</v>
      </c>
      <c r="O4300" s="350" t="str">
        <f>IF($B4300="Portfolio","Portfolio",IFERROR(INDEX(DATA_ASSET_CLASSIFICATION!$AB$8:$AB$13,MATCH($N4300,DATA_ASSET_CLASSIFICATION!$AA$8:$AA$13,0)),"Review"))</f>
        <v>Bucket 1 · New Build</v>
      </c>
      <c r="P4300" s="350" t="str">
        <f>IF($B4300="Portfolio","Portfolio",IFERROR(INDEX(DATA_ASSET_CLASSIFICATION!$C$8:$C$24,MATCH($C4300,DATA_ASSET_CLASSIFICATION!$A$8:$A$24,0)),"Review"))</f>
        <v>Yes</v>
      </c>
      <c r="Q4300" s="350" t="str">
        <f t="shared" ca="1" si="135"/>
        <v>OK</v>
      </c>
    </row>
    <row r="4301" spans="1:17">
      <c r="A4301" s="366" t="s">
        <v>6257</v>
      </c>
      <c r="B4301" s="366" t="s">
        <v>231</v>
      </c>
      <c r="C4301" s="348" t="str">
        <f>DATA_PROPERTY_MASTER!$A$18</f>
        <v>BLD_AS</v>
      </c>
      <c r="D4301" s="380">
        <f>'00_PORTFOLIO ROLLUP'!S$12</f>
        <v>2039</v>
      </c>
      <c r="E4301" s="366" t="s">
        <v>1721</v>
      </c>
      <c r="F4301" s="366" t="s">
        <v>37</v>
      </c>
      <c r="G4301" s="348" t="str">
        <f>"'"&amp;$C4301&amp;"'!$E$63:$Y$63"</f>
        <v>'BLD_AS'!$E$63:$Y$63</v>
      </c>
      <c r="H4301" s="381">
        <f ca="1">IF(IFERROR(INDEX(DATA_PROPERTY_MASTER!$E$5:$E$21,MATCH($C4301,DATA_PROPERTY_MASTER!$A$5:$A$21,0))="Yes",FALSE),MAX(IFERROR(INDEX(INDIRECT("'"&amp;$C4301&amp;"'!$E$63:$Y$63"),1,MATCH($D4301,INDIRECT("'"&amp;$C4301&amp;"'!$E$12:$Y$12"),0)),0),0),0)</f>
        <v>0</v>
      </c>
      <c r="I4301" s="366" t="s">
        <v>1685</v>
      </c>
      <c r="J4301" s="348" t="str">
        <f t="shared" ca="1" si="134"/>
        <v>OK</v>
      </c>
      <c r="K4301" s="366" t="s">
        <v>1735</v>
      </c>
      <c r="L4301" s="366" t="s">
        <v>2258</v>
      </c>
      <c r="M4301" s="350" t="str">
        <f>IF($B4301="Portfolio","Portfolio",IFERROR(INDEX(DATA_ASSET_CLASSIFICATION!$B$8:$B$24,MATCH($C4301,DATA_ASSET_CLASSIFICATION!$A$8:$A$24,0)),"Review"))</f>
        <v>1656 Adanac Street</v>
      </c>
      <c r="N4301" s="350" t="str">
        <f>IF($B4301="Portfolio","Portfolio",IFERROR(INDEX(DATA_ASSET_CLASSIFICATION!$U$8:$U$24,MATCH($C4301,DATA_ASSET_CLASSIFICATION!$A$8:$A$24,0)),"Review"))</f>
        <v>New Build</v>
      </c>
      <c r="O4301" s="350" t="str">
        <f>IF($B4301="Portfolio","Portfolio",IFERROR(INDEX(DATA_ASSET_CLASSIFICATION!$AB$8:$AB$13,MATCH($N4301,DATA_ASSET_CLASSIFICATION!$AA$8:$AA$13,0)),"Review"))</f>
        <v>Bucket 1 · New Build</v>
      </c>
      <c r="P4301" s="350" t="str">
        <f>IF($B4301="Portfolio","Portfolio",IFERROR(INDEX(DATA_ASSET_CLASSIFICATION!$C$8:$C$24,MATCH($C4301,DATA_ASSET_CLASSIFICATION!$A$8:$A$24,0)),"Review"))</f>
        <v>Yes</v>
      </c>
      <c r="Q4301" s="350" t="str">
        <f t="shared" ca="1" si="135"/>
        <v>OK</v>
      </c>
    </row>
    <row r="4302" spans="1:17">
      <c r="A4302" s="366" t="s">
        <v>6258</v>
      </c>
      <c r="B4302" s="366" t="s">
        <v>231</v>
      </c>
      <c r="C4302" s="348" t="str">
        <f>DATA_PROPERTY_MASTER!$A$18</f>
        <v>BLD_AS</v>
      </c>
      <c r="D4302" s="380">
        <f>'00_PORTFOLIO ROLLUP'!S$12</f>
        <v>2039</v>
      </c>
      <c r="E4302" s="366" t="s">
        <v>1721</v>
      </c>
      <c r="F4302" s="366" t="s">
        <v>39</v>
      </c>
      <c r="G4302" s="348" t="str">
        <f>"'"&amp;$C4302&amp;"'!$E$63:$Y$63"</f>
        <v>'BLD_AS'!$E$63:$Y$63</v>
      </c>
      <c r="H4302" s="381">
        <f ca="1">IF(IFERROR(INDEX(DATA_PROPERTY_MASTER!$E$5:$E$21,MATCH($C4302,DATA_PROPERTY_MASTER!$A$5:$A$21,0))="Yes",FALSE),MAX(-IFERROR(INDEX(INDIRECT("'"&amp;$C4302&amp;"'!$E$63:$Y$63"),1,MATCH($D4302,INDIRECT("'"&amp;$C4302&amp;"'!$E$12:$Y$12"),0)),0),0),0)</f>
        <v>0</v>
      </c>
      <c r="I4302" s="366" t="s">
        <v>1690</v>
      </c>
      <c r="J4302" s="348" t="str">
        <f t="shared" ca="1" si="134"/>
        <v>OK</v>
      </c>
      <c r="K4302" s="366" t="s">
        <v>1738</v>
      </c>
      <c r="L4302" s="366" t="s">
        <v>2260</v>
      </c>
      <c r="M4302" s="350" t="str">
        <f>IF($B4302="Portfolio","Portfolio",IFERROR(INDEX(DATA_ASSET_CLASSIFICATION!$B$8:$B$24,MATCH($C4302,DATA_ASSET_CLASSIFICATION!$A$8:$A$24,0)),"Review"))</f>
        <v>1656 Adanac Street</v>
      </c>
      <c r="N4302" s="350" t="str">
        <f>IF($B4302="Portfolio","Portfolio",IFERROR(INDEX(DATA_ASSET_CLASSIFICATION!$U$8:$U$24,MATCH($C4302,DATA_ASSET_CLASSIFICATION!$A$8:$A$24,0)),"Review"))</f>
        <v>New Build</v>
      </c>
      <c r="O4302" s="350" t="str">
        <f>IF($B4302="Portfolio","Portfolio",IFERROR(INDEX(DATA_ASSET_CLASSIFICATION!$AB$8:$AB$13,MATCH($N4302,DATA_ASSET_CLASSIFICATION!$AA$8:$AA$13,0)),"Review"))</f>
        <v>Bucket 1 · New Build</v>
      </c>
      <c r="P4302" s="350" t="str">
        <f>IF($B4302="Portfolio","Portfolio",IFERROR(INDEX(DATA_ASSET_CLASSIFICATION!$C$8:$C$24,MATCH($C4302,DATA_ASSET_CLASSIFICATION!$A$8:$A$24,0)),"Review"))</f>
        <v>Yes</v>
      </c>
      <c r="Q4302" s="350" t="str">
        <f t="shared" ca="1" si="135"/>
        <v>OK</v>
      </c>
    </row>
    <row r="4303" spans="1:17">
      <c r="A4303" s="366" t="s">
        <v>6259</v>
      </c>
      <c r="B4303" s="366" t="s">
        <v>231</v>
      </c>
      <c r="C4303" s="348" t="str">
        <f>DATA_PROPERTY_MASTER!$A$18</f>
        <v>BLD_AS</v>
      </c>
      <c r="D4303" s="380">
        <f>'00_PORTFOLIO ROLLUP'!S$12</f>
        <v>2039</v>
      </c>
      <c r="E4303" s="366" t="s">
        <v>1741</v>
      </c>
      <c r="F4303" s="366" t="s">
        <v>41</v>
      </c>
      <c r="G4303" s="348" t="str">
        <f>"'"&amp;$C4303&amp;"'!rows 56 + positive row 63"</f>
        <v>'BLD_AS'!rows 56 + positive row 63</v>
      </c>
      <c r="H4303" s="381">
        <f ca="1">IF(IFERROR(INDEX(DATA_PROPERTY_MASTER!$E$5:$E$21,MATCH($C4303,DATA_PROPERTY_MASTER!$A$5:$A$21,0))="Yes",FALSE),IFERROR(INDEX(INDIRECT("'"&amp;$C4303&amp;"'!$E$56:$Y$56"),1,MATCH($D4303,INDIRECT("'"&amp;$C4303&amp;"'!$E$12:$Y$12"),0)),0)+MAX(IFERROR(INDEX(INDIRECT("'"&amp;$C4303&amp;"'!$E$63:$Y$63"),1,MATCH($D4303,INDIRECT("'"&amp;$C4303&amp;"'!$E$12:$Y$12"),0)),0),0),0)</f>
        <v>219082.20877326833</v>
      </c>
      <c r="I4303" s="366" t="s">
        <v>1685</v>
      </c>
      <c r="J4303" s="348" t="str">
        <f t="shared" ca="1" si="134"/>
        <v>OK</v>
      </c>
      <c r="K4303" s="366" t="s">
        <v>1742</v>
      </c>
      <c r="L4303" s="366" t="s">
        <v>2262</v>
      </c>
      <c r="M4303" s="350" t="str">
        <f>IF($B4303="Portfolio","Portfolio",IFERROR(INDEX(DATA_ASSET_CLASSIFICATION!$B$8:$B$24,MATCH($C4303,DATA_ASSET_CLASSIFICATION!$A$8:$A$24,0)),"Review"))</f>
        <v>1656 Adanac Street</v>
      </c>
      <c r="N4303" s="350" t="str">
        <f>IF($B4303="Portfolio","Portfolio",IFERROR(INDEX(DATA_ASSET_CLASSIFICATION!$U$8:$U$24,MATCH($C4303,DATA_ASSET_CLASSIFICATION!$A$8:$A$24,0)),"Review"))</f>
        <v>New Build</v>
      </c>
      <c r="O4303" s="350" t="str">
        <f>IF($B4303="Portfolio","Portfolio",IFERROR(INDEX(DATA_ASSET_CLASSIFICATION!$AB$8:$AB$13,MATCH($N4303,DATA_ASSET_CLASSIFICATION!$AA$8:$AA$13,0)),"Review"))</f>
        <v>Bucket 1 · New Build</v>
      </c>
      <c r="P4303" s="350" t="str">
        <f>IF($B4303="Portfolio","Portfolio",IFERROR(INDEX(DATA_ASSET_CLASSIFICATION!$C$8:$C$24,MATCH($C4303,DATA_ASSET_CLASSIFICATION!$A$8:$A$24,0)),"Review"))</f>
        <v>Yes</v>
      </c>
      <c r="Q4303" s="350" t="str">
        <f t="shared" ca="1" si="135"/>
        <v>OK</v>
      </c>
    </row>
    <row r="4304" spans="1:17">
      <c r="A4304" s="366" t="s">
        <v>6260</v>
      </c>
      <c r="B4304" s="366" t="s">
        <v>231</v>
      </c>
      <c r="C4304" s="348" t="str">
        <f>DATA_PROPERTY_MASTER!$A$18</f>
        <v>BLD_AS</v>
      </c>
      <c r="D4304" s="380">
        <f>'00_PORTFOLIO ROLLUP'!S$12</f>
        <v>2039</v>
      </c>
      <c r="E4304" s="366" t="s">
        <v>1741</v>
      </c>
      <c r="F4304" s="366" t="s">
        <v>43</v>
      </c>
      <c r="G4304" s="348" t="str">
        <f>"'"&amp;$C4304&amp;"'!$E$68:$Y$68"</f>
        <v>'BLD_AS'!$E$68:$Y$68</v>
      </c>
      <c r="H4304" s="381">
        <f ca="1">IF(IFERROR(INDEX(DATA_PROPERTY_MASTER!$E$5:$E$21,MATCH($C4304,DATA_PROPERTY_MASTER!$A$5:$A$21,0))="Yes",FALSE),IFERROR(INDEX(INDIRECT("'"&amp;$C4304&amp;"'!$E$68:$Y$68"),1,MATCH($D4304,INDIRECT("'"&amp;$C4304&amp;"'!$E$12:$Y$12"),0)),0),0)</f>
        <v>219082.20877326833</v>
      </c>
      <c r="I4304" s="366" t="s">
        <v>1731</v>
      </c>
      <c r="J4304" s="348" t="str">
        <f t="shared" ca="1" si="134"/>
        <v>OK</v>
      </c>
      <c r="K4304" s="366" t="s">
        <v>1746</v>
      </c>
      <c r="L4304" s="366" t="s">
        <v>2264</v>
      </c>
      <c r="M4304" s="350" t="str">
        <f>IF($B4304="Portfolio","Portfolio",IFERROR(INDEX(DATA_ASSET_CLASSIFICATION!$B$8:$B$24,MATCH($C4304,DATA_ASSET_CLASSIFICATION!$A$8:$A$24,0)),"Review"))</f>
        <v>1656 Adanac Street</v>
      </c>
      <c r="N4304" s="350" t="str">
        <f>IF($B4304="Portfolio","Portfolio",IFERROR(INDEX(DATA_ASSET_CLASSIFICATION!$U$8:$U$24,MATCH($C4304,DATA_ASSET_CLASSIFICATION!$A$8:$A$24,0)),"Review"))</f>
        <v>New Build</v>
      </c>
      <c r="O4304" s="350" t="str">
        <f>IF($B4304="Portfolio","Portfolio",IFERROR(INDEX(DATA_ASSET_CLASSIFICATION!$AB$8:$AB$13,MATCH($N4304,DATA_ASSET_CLASSIFICATION!$AA$8:$AA$13,0)),"Review"))</f>
        <v>Bucket 1 · New Build</v>
      </c>
      <c r="P4304" s="350" t="str">
        <f>IF($B4304="Portfolio","Portfolio",IFERROR(INDEX(DATA_ASSET_CLASSIFICATION!$C$8:$C$24,MATCH($C4304,DATA_ASSET_CLASSIFICATION!$A$8:$A$24,0)),"Review"))</f>
        <v>Yes</v>
      </c>
      <c r="Q4304" s="350" t="str">
        <f t="shared" ca="1" si="135"/>
        <v>OK</v>
      </c>
    </row>
    <row r="4305" spans="1:17">
      <c r="A4305" s="366" t="s">
        <v>6261</v>
      </c>
      <c r="B4305" s="366" t="s">
        <v>231</v>
      </c>
      <c r="C4305" s="348" t="str">
        <f>DATA_PROPERTY_MASTER!$A$18</f>
        <v>BLD_AS</v>
      </c>
      <c r="D4305" s="380">
        <f>'00_PORTFOLIO ROLLUP'!S$12</f>
        <v>2039</v>
      </c>
      <c r="E4305" s="366" t="s">
        <v>1741</v>
      </c>
      <c r="F4305" s="366" t="s">
        <v>1749</v>
      </c>
      <c r="G4305" s="348" t="str">
        <f>"'"&amp;$C4305&amp;"'!rows 56, 63, 68"</f>
        <v>'BLD_AS'!rows 56, 63, 68</v>
      </c>
      <c r="H4305" s="381">
        <f ca="1">IF(IFERROR(INDEX(DATA_PROPERTY_MASTER!$E$5:$E$21,MATCH($C4305,DATA_PROPERTY_MASTER!$A$5:$A$21,0))="Yes",FALSE),(IFERROR(INDEX(INDIRECT("'"&amp;$C4305&amp;"'!$E$56:$Y$56"),1,MATCH($D4305,INDIRECT("'"&amp;$C4305&amp;"'!$E$12:$Y$12"),0)),0)+MAX(IFERROR(INDEX(INDIRECT("'"&amp;$C4305&amp;"'!$E$63:$Y$63"),1,MATCH($D4305,INDIRECT("'"&amp;$C4305&amp;"'!$E$12:$Y$12"),0)),0),0))-(IFERROR(INDEX(INDIRECT("'"&amp;$C4305&amp;"'!$E$68:$Y$68"),1,MATCH($D4305,INDIRECT("'"&amp;$C4305&amp;"'!$E$12:$Y$12"),0)),0)),0)</f>
        <v>0</v>
      </c>
      <c r="I4305" s="366" t="s">
        <v>1750</v>
      </c>
      <c r="J4305" s="348" t="str">
        <f t="shared" ca="1" si="134"/>
        <v>OK</v>
      </c>
      <c r="K4305" s="366" t="s">
        <v>1751</v>
      </c>
      <c r="L4305" s="366" t="s">
        <v>2266</v>
      </c>
      <c r="M4305" s="350" t="str">
        <f>IF($B4305="Portfolio","Portfolio",IFERROR(INDEX(DATA_ASSET_CLASSIFICATION!$B$8:$B$24,MATCH($C4305,DATA_ASSET_CLASSIFICATION!$A$8:$A$24,0)),"Review"))</f>
        <v>1656 Adanac Street</v>
      </c>
      <c r="N4305" s="350" t="str">
        <f>IF($B4305="Portfolio","Portfolio",IFERROR(INDEX(DATA_ASSET_CLASSIFICATION!$U$8:$U$24,MATCH($C4305,DATA_ASSET_CLASSIFICATION!$A$8:$A$24,0)),"Review"))</f>
        <v>New Build</v>
      </c>
      <c r="O4305" s="350" t="str">
        <f>IF($B4305="Portfolio","Portfolio",IFERROR(INDEX(DATA_ASSET_CLASSIFICATION!$AB$8:$AB$13,MATCH($N4305,DATA_ASSET_CLASSIFICATION!$AA$8:$AA$13,0)),"Review"))</f>
        <v>Bucket 1 · New Build</v>
      </c>
      <c r="P4305" s="350" t="str">
        <f>IF($B4305="Portfolio","Portfolio",IFERROR(INDEX(DATA_ASSET_CLASSIFICATION!$C$8:$C$24,MATCH($C4305,DATA_ASSET_CLASSIFICATION!$A$8:$A$24,0)),"Review"))</f>
        <v>Yes</v>
      </c>
      <c r="Q4305" s="350" t="str">
        <f t="shared" ca="1" si="135"/>
        <v>OK</v>
      </c>
    </row>
    <row r="4306" spans="1:17">
      <c r="A4306" s="366" t="s">
        <v>6262</v>
      </c>
      <c r="B4306" s="366" t="s">
        <v>231</v>
      </c>
      <c r="C4306" s="348" t="str">
        <f>DATA_PROPERTY_MASTER!$A$18</f>
        <v>BLD_AS</v>
      </c>
      <c r="D4306" s="380">
        <f>'00_PORTFOLIO ROLLUP'!T$12</f>
        <v>2040</v>
      </c>
      <c r="E4306" s="366" t="s">
        <v>1683</v>
      </c>
      <c r="F4306" s="366" t="s">
        <v>341</v>
      </c>
      <c r="G4306" s="348" t="str">
        <f>"'"&amp;$C4306&amp;"'!$E$24:$Y$24"</f>
        <v>'BLD_AS'!$E$24:$Y$24</v>
      </c>
      <c r="H4306" s="381">
        <f ca="1">IF(IFERROR(INDEX(DATA_PROPERTY_MASTER!$E$5:$E$21,MATCH($C4306,DATA_PROPERTY_MASTER!$A$5:$A$21,0))="Yes",FALSE),IFERROR(INDEX(INDIRECT("'"&amp;$C4306&amp;"'!$E$24:$Y$24"),1,MATCH($D4306,INDIRECT("'"&amp;$C4306&amp;"'!$E$12:$Y$12"),0)),0),0)</f>
        <v>2582137.3555133222</v>
      </c>
      <c r="I4306" s="366" t="s">
        <v>1685</v>
      </c>
      <c r="J4306" s="348" t="str">
        <f t="shared" ca="1" si="134"/>
        <v>OK</v>
      </c>
      <c r="K4306" s="366" t="s">
        <v>1686</v>
      </c>
      <c r="L4306" s="366" t="s">
        <v>2234</v>
      </c>
      <c r="M4306" s="350" t="str">
        <f>IF($B4306="Portfolio","Portfolio",IFERROR(INDEX(DATA_ASSET_CLASSIFICATION!$B$8:$B$24,MATCH($C4306,DATA_ASSET_CLASSIFICATION!$A$8:$A$24,0)),"Review"))</f>
        <v>1656 Adanac Street</v>
      </c>
      <c r="N4306" s="350" t="str">
        <f>IF($B4306="Portfolio","Portfolio",IFERROR(INDEX(DATA_ASSET_CLASSIFICATION!$U$8:$U$24,MATCH($C4306,DATA_ASSET_CLASSIFICATION!$A$8:$A$24,0)),"Review"))</f>
        <v>New Build</v>
      </c>
      <c r="O4306" s="350" t="str">
        <f>IF($B4306="Portfolio","Portfolio",IFERROR(INDEX(DATA_ASSET_CLASSIFICATION!$AB$8:$AB$13,MATCH($N4306,DATA_ASSET_CLASSIFICATION!$AA$8:$AA$13,0)),"Review"))</f>
        <v>Bucket 1 · New Build</v>
      </c>
      <c r="P4306" s="350" t="str">
        <f>IF($B4306="Portfolio","Portfolio",IFERROR(INDEX(DATA_ASSET_CLASSIFICATION!$C$8:$C$24,MATCH($C4306,DATA_ASSET_CLASSIFICATION!$A$8:$A$24,0)),"Review"))</f>
        <v>Yes</v>
      </c>
      <c r="Q4306" s="350" t="str">
        <f t="shared" ca="1" si="135"/>
        <v>OK</v>
      </c>
    </row>
    <row r="4307" spans="1:17">
      <c r="A4307" s="366" t="s">
        <v>6263</v>
      </c>
      <c r="B4307" s="366" t="s">
        <v>231</v>
      </c>
      <c r="C4307" s="348" t="str">
        <f>DATA_PROPERTY_MASTER!$A$18</f>
        <v>BLD_AS</v>
      </c>
      <c r="D4307" s="380">
        <f>'00_PORTFOLIO ROLLUP'!T$12</f>
        <v>2040</v>
      </c>
      <c r="E4307" s="366" t="s">
        <v>1683</v>
      </c>
      <c r="F4307" s="366" t="s">
        <v>355</v>
      </c>
      <c r="G4307" s="348" t="str">
        <f>"'"&amp;$C4307&amp;"'!$E$39:$Y$39"</f>
        <v>'BLD_AS'!$E$39:$Y$39</v>
      </c>
      <c r="H4307" s="381">
        <f ca="1">IF(IFERROR(INDEX(DATA_PROPERTY_MASTER!$E$5:$E$21,MATCH($C4307,DATA_PROPERTY_MASTER!$A$5:$A$21,0))="Yes",FALSE),IFERROR(INDEX(INDIRECT("'"&amp;$C4307&amp;"'!$E$39:$Y$39"),1,MATCH($D4307,INDIRECT("'"&amp;$C4307&amp;"'!$E$12:$Y$12"),0)),0),0)</f>
        <v>1207605.9758990561</v>
      </c>
      <c r="I4307" s="366" t="s">
        <v>1690</v>
      </c>
      <c r="J4307" s="348" t="str">
        <f t="shared" ca="1" si="134"/>
        <v>OK</v>
      </c>
      <c r="K4307" s="366" t="s">
        <v>1686</v>
      </c>
      <c r="L4307" s="366" t="s">
        <v>2236</v>
      </c>
      <c r="M4307" s="350" t="str">
        <f>IF($B4307="Portfolio","Portfolio",IFERROR(INDEX(DATA_ASSET_CLASSIFICATION!$B$8:$B$24,MATCH($C4307,DATA_ASSET_CLASSIFICATION!$A$8:$A$24,0)),"Review"))</f>
        <v>1656 Adanac Street</v>
      </c>
      <c r="N4307" s="350" t="str">
        <f>IF($B4307="Portfolio","Portfolio",IFERROR(INDEX(DATA_ASSET_CLASSIFICATION!$U$8:$U$24,MATCH($C4307,DATA_ASSET_CLASSIFICATION!$A$8:$A$24,0)),"Review"))</f>
        <v>New Build</v>
      </c>
      <c r="O4307" s="350" t="str">
        <f>IF($B4307="Portfolio","Portfolio",IFERROR(INDEX(DATA_ASSET_CLASSIFICATION!$AB$8:$AB$13,MATCH($N4307,DATA_ASSET_CLASSIFICATION!$AA$8:$AA$13,0)),"Review"))</f>
        <v>Bucket 1 · New Build</v>
      </c>
      <c r="P4307" s="350" t="str">
        <f>IF($B4307="Portfolio","Portfolio",IFERROR(INDEX(DATA_ASSET_CLASSIFICATION!$C$8:$C$24,MATCH($C4307,DATA_ASSET_CLASSIFICATION!$A$8:$A$24,0)),"Review"))</f>
        <v>Yes</v>
      </c>
      <c r="Q4307" s="350" t="str">
        <f t="shared" ca="1" si="135"/>
        <v>OK</v>
      </c>
    </row>
    <row r="4308" spans="1:17">
      <c r="A4308" s="366" t="s">
        <v>6264</v>
      </c>
      <c r="B4308" s="366" t="s">
        <v>231</v>
      </c>
      <c r="C4308" s="348" t="str">
        <f>DATA_PROPERTY_MASTER!$A$18</f>
        <v>BLD_AS</v>
      </c>
      <c r="D4308" s="380">
        <f>'00_PORTFOLIO ROLLUP'!T$12</f>
        <v>2040</v>
      </c>
      <c r="E4308" s="366" t="s">
        <v>1683</v>
      </c>
      <c r="F4308" s="366" t="s">
        <v>19</v>
      </c>
      <c r="G4308" s="348" t="str">
        <f>"'"&amp;$C4308&amp;"'!$E$41:$Y$41"</f>
        <v>'BLD_AS'!$E$41:$Y$41</v>
      </c>
      <c r="H4308" s="381">
        <f ca="1">IF(IFERROR(INDEX(DATA_PROPERTY_MASTER!$E$5:$E$21,MATCH($C4308,DATA_PROPERTY_MASTER!$A$5:$A$21,0))="Yes",FALSE),IFERROR(INDEX(INDIRECT("'"&amp;$C4308&amp;"'!$E$41:$Y$41"),1,MATCH($D4308,INDIRECT("'"&amp;$C4308&amp;"'!$E$12:$Y$12"),0)),0),0)</f>
        <v>1374531.3796142661</v>
      </c>
      <c r="I4308" s="366" t="s">
        <v>1685</v>
      </c>
      <c r="J4308" s="348" t="str">
        <f t="shared" ca="1" si="134"/>
        <v>OK</v>
      </c>
      <c r="K4308" s="366" t="s">
        <v>1694</v>
      </c>
      <c r="L4308" s="366" t="s">
        <v>2238</v>
      </c>
      <c r="M4308" s="350" t="str">
        <f>IF($B4308="Portfolio","Portfolio",IFERROR(INDEX(DATA_ASSET_CLASSIFICATION!$B$8:$B$24,MATCH($C4308,DATA_ASSET_CLASSIFICATION!$A$8:$A$24,0)),"Review"))</f>
        <v>1656 Adanac Street</v>
      </c>
      <c r="N4308" s="350" t="str">
        <f>IF($B4308="Portfolio","Portfolio",IFERROR(INDEX(DATA_ASSET_CLASSIFICATION!$U$8:$U$24,MATCH($C4308,DATA_ASSET_CLASSIFICATION!$A$8:$A$24,0)),"Review"))</f>
        <v>New Build</v>
      </c>
      <c r="O4308" s="350" t="str">
        <f>IF($B4308="Portfolio","Portfolio",IFERROR(INDEX(DATA_ASSET_CLASSIFICATION!$AB$8:$AB$13,MATCH($N4308,DATA_ASSET_CLASSIFICATION!$AA$8:$AA$13,0)),"Review"))</f>
        <v>Bucket 1 · New Build</v>
      </c>
      <c r="P4308" s="350" t="str">
        <f>IF($B4308="Portfolio","Portfolio",IFERROR(INDEX(DATA_ASSET_CLASSIFICATION!$C$8:$C$24,MATCH($C4308,DATA_ASSET_CLASSIFICATION!$A$8:$A$24,0)),"Review"))</f>
        <v>Yes</v>
      </c>
      <c r="Q4308" s="350" t="str">
        <f t="shared" ca="1" si="135"/>
        <v>OK</v>
      </c>
    </row>
    <row r="4309" spans="1:17">
      <c r="A4309" s="366" t="s">
        <v>6265</v>
      </c>
      <c r="B4309" s="366" t="s">
        <v>231</v>
      </c>
      <c r="C4309" s="348" t="str">
        <f>DATA_PROPERTY_MASTER!$A$18</f>
        <v>BLD_AS</v>
      </c>
      <c r="D4309" s="380">
        <f>'00_PORTFOLIO ROLLUP'!T$12</f>
        <v>2040</v>
      </c>
      <c r="E4309" s="366" t="s">
        <v>1683</v>
      </c>
      <c r="F4309" s="366" t="s">
        <v>1697</v>
      </c>
      <c r="G4309" s="348" t="str">
        <f>"'"&amp;$C4309&amp;"'!$E$44:$Y$44"</f>
        <v>'BLD_AS'!$E$44:$Y$44</v>
      </c>
      <c r="H4309" s="381">
        <f ca="1">IF(IFERROR(INDEX(DATA_PROPERTY_MASTER!$E$5:$E$21,MATCH($C4309,DATA_PROPERTY_MASTER!$A$5:$A$21,0))="Yes",FALSE),IFERROR(INDEX(INDIRECT("'"&amp;$C4309&amp;"'!$E$44:$Y$44"),1,MATCH($D4309,INDIRECT("'"&amp;$C4309&amp;"'!$E$12:$Y$12"),0)),0),0)</f>
        <v>19582.384322616079</v>
      </c>
      <c r="I4309" s="366" t="s">
        <v>1690</v>
      </c>
      <c r="J4309" s="348" t="str">
        <f t="shared" ca="1" si="134"/>
        <v>OK</v>
      </c>
      <c r="K4309" s="366" t="s">
        <v>1699</v>
      </c>
      <c r="L4309" s="366" t="s">
        <v>2240</v>
      </c>
      <c r="M4309" s="350" t="str">
        <f>IF($B4309="Portfolio","Portfolio",IFERROR(INDEX(DATA_ASSET_CLASSIFICATION!$B$8:$B$24,MATCH($C4309,DATA_ASSET_CLASSIFICATION!$A$8:$A$24,0)),"Review"))</f>
        <v>1656 Adanac Street</v>
      </c>
      <c r="N4309" s="350" t="str">
        <f>IF($B4309="Portfolio","Portfolio",IFERROR(INDEX(DATA_ASSET_CLASSIFICATION!$U$8:$U$24,MATCH($C4309,DATA_ASSET_CLASSIFICATION!$A$8:$A$24,0)),"Review"))</f>
        <v>New Build</v>
      </c>
      <c r="O4309" s="350" t="str">
        <f>IF($B4309="Portfolio","Portfolio",IFERROR(INDEX(DATA_ASSET_CLASSIFICATION!$AB$8:$AB$13,MATCH($N4309,DATA_ASSET_CLASSIFICATION!$AA$8:$AA$13,0)),"Review"))</f>
        <v>Bucket 1 · New Build</v>
      </c>
      <c r="P4309" s="350" t="str">
        <f>IF($B4309="Portfolio","Portfolio",IFERROR(INDEX(DATA_ASSET_CLASSIFICATION!$C$8:$C$24,MATCH($C4309,DATA_ASSET_CLASSIFICATION!$A$8:$A$24,0)),"Review"))</f>
        <v>Yes</v>
      </c>
      <c r="Q4309" s="350" t="str">
        <f t="shared" ca="1" si="135"/>
        <v>OK</v>
      </c>
    </row>
    <row r="4310" spans="1:17">
      <c r="A4310" s="366" t="s">
        <v>6266</v>
      </c>
      <c r="B4310" s="366" t="s">
        <v>231</v>
      </c>
      <c r="C4310" s="348" t="str">
        <f>DATA_PROPERTY_MASTER!$A$18</f>
        <v>BLD_AS</v>
      </c>
      <c r="D4310" s="380">
        <f>'00_PORTFOLIO ROLLUP'!T$12</f>
        <v>2040</v>
      </c>
      <c r="E4310" s="366" t="s">
        <v>1683</v>
      </c>
      <c r="F4310" s="366" t="s">
        <v>21</v>
      </c>
      <c r="G4310" s="348" t="str">
        <f>"'"&amp;$C4310&amp;"'!$E$45:$Y$45"</f>
        <v>'BLD_AS'!$E$45:$Y$45</v>
      </c>
      <c r="H4310" s="381">
        <f ca="1">IF(IFERROR(INDEX(DATA_PROPERTY_MASTER!$E$5:$E$21,MATCH($C4310,DATA_PROPERTY_MASTER!$A$5:$A$21,0))="Yes",FALSE),IFERROR(INDEX(INDIRECT("'"&amp;$C4310&amp;"'!$E$45:$Y$45"),1,MATCH($D4310,INDIRECT("'"&amp;$C4310&amp;"'!$E$12:$Y$12"),0)),0),0)</f>
        <v>1354948.9952916501</v>
      </c>
      <c r="I4310" s="366" t="s">
        <v>1685</v>
      </c>
      <c r="J4310" s="348" t="str">
        <f t="shared" ca="1" si="134"/>
        <v>OK</v>
      </c>
      <c r="K4310" s="366" t="s">
        <v>1694</v>
      </c>
      <c r="L4310" s="366" t="s">
        <v>2242</v>
      </c>
      <c r="M4310" s="350" t="str">
        <f>IF($B4310="Portfolio","Portfolio",IFERROR(INDEX(DATA_ASSET_CLASSIFICATION!$B$8:$B$24,MATCH($C4310,DATA_ASSET_CLASSIFICATION!$A$8:$A$24,0)),"Review"))</f>
        <v>1656 Adanac Street</v>
      </c>
      <c r="N4310" s="350" t="str">
        <f>IF($B4310="Portfolio","Portfolio",IFERROR(INDEX(DATA_ASSET_CLASSIFICATION!$U$8:$U$24,MATCH($C4310,DATA_ASSET_CLASSIFICATION!$A$8:$A$24,0)),"Review"))</f>
        <v>New Build</v>
      </c>
      <c r="O4310" s="350" t="str">
        <f>IF($B4310="Portfolio","Portfolio",IFERROR(INDEX(DATA_ASSET_CLASSIFICATION!$AB$8:$AB$13,MATCH($N4310,DATA_ASSET_CLASSIFICATION!$AA$8:$AA$13,0)),"Review"))</f>
        <v>Bucket 1 · New Build</v>
      </c>
      <c r="P4310" s="350" t="str">
        <f>IF($B4310="Portfolio","Portfolio",IFERROR(INDEX(DATA_ASSET_CLASSIFICATION!$C$8:$C$24,MATCH($C4310,DATA_ASSET_CLASSIFICATION!$A$8:$A$24,0)),"Review"))</f>
        <v>Yes</v>
      </c>
      <c r="Q4310" s="350" t="str">
        <f t="shared" ca="1" si="135"/>
        <v>OK</v>
      </c>
    </row>
    <row r="4311" spans="1:17">
      <c r="A4311" s="366" t="s">
        <v>6267</v>
      </c>
      <c r="B4311" s="366" t="s">
        <v>231</v>
      </c>
      <c r="C4311" s="348" t="str">
        <f>DATA_PROPERTY_MASTER!$A$18</f>
        <v>BLD_AS</v>
      </c>
      <c r="D4311" s="380">
        <f>'00_PORTFOLIO ROLLUP'!T$12</f>
        <v>2040</v>
      </c>
      <c r="E4311" s="366" t="s">
        <v>23</v>
      </c>
      <c r="F4311" s="366" t="s">
        <v>23</v>
      </c>
      <c r="G4311" s="348" t="str">
        <f>"'"&amp;$C4311&amp;"'!$E$48:$Y$48"</f>
        <v>'BLD_AS'!$E$48:$Y$48</v>
      </c>
      <c r="H4311" s="381">
        <f ca="1">IF(IFERROR(INDEX(DATA_PROPERTY_MASTER!$E$5:$E$21,MATCH($C4311,DATA_PROPERTY_MASTER!$A$5:$A$21,0))="Yes",FALSE),IFERROR(INDEX(INDIRECT("'"&amp;$C4311&amp;"'!$E$48:$Y$48"),1,MATCH($D4311,INDIRECT("'"&amp;$C4311&amp;"'!$E$12:$Y$12"),0)),0),0)</f>
        <v>805649.51774556539</v>
      </c>
      <c r="I4311" s="366" t="s">
        <v>1690</v>
      </c>
      <c r="J4311" s="348" t="str">
        <f t="shared" ca="1" si="134"/>
        <v>OK</v>
      </c>
      <c r="K4311" s="366" t="s">
        <v>1706</v>
      </c>
      <c r="L4311" s="366" t="s">
        <v>2244</v>
      </c>
      <c r="M4311" s="350" t="str">
        <f>IF($B4311="Portfolio","Portfolio",IFERROR(INDEX(DATA_ASSET_CLASSIFICATION!$B$8:$B$24,MATCH($C4311,DATA_ASSET_CLASSIFICATION!$A$8:$A$24,0)),"Review"))</f>
        <v>1656 Adanac Street</v>
      </c>
      <c r="N4311" s="350" t="str">
        <f>IF($B4311="Portfolio","Portfolio",IFERROR(INDEX(DATA_ASSET_CLASSIFICATION!$U$8:$U$24,MATCH($C4311,DATA_ASSET_CLASSIFICATION!$A$8:$A$24,0)),"Review"))</f>
        <v>New Build</v>
      </c>
      <c r="O4311" s="350" t="str">
        <f>IF($B4311="Portfolio","Portfolio",IFERROR(INDEX(DATA_ASSET_CLASSIFICATION!$AB$8:$AB$13,MATCH($N4311,DATA_ASSET_CLASSIFICATION!$AA$8:$AA$13,0)),"Review"))</f>
        <v>Bucket 1 · New Build</v>
      </c>
      <c r="P4311" s="350" t="str">
        <f>IF($B4311="Portfolio","Portfolio",IFERROR(INDEX(DATA_ASSET_CLASSIFICATION!$C$8:$C$24,MATCH($C4311,DATA_ASSET_CLASSIFICATION!$A$8:$A$24,0)),"Review"))</f>
        <v>Yes</v>
      </c>
      <c r="Q4311" s="350" t="str">
        <f t="shared" ca="1" si="135"/>
        <v>OK</v>
      </c>
    </row>
    <row r="4312" spans="1:17">
      <c r="A4312" s="366" t="s">
        <v>6268</v>
      </c>
      <c r="B4312" s="366" t="s">
        <v>231</v>
      </c>
      <c r="C4312" s="348" t="str">
        <f>DATA_PROPERTY_MASTER!$A$18</f>
        <v>BLD_AS</v>
      </c>
      <c r="D4312" s="380">
        <f>'00_PORTFOLIO ROLLUP'!T$12</f>
        <v>2040</v>
      </c>
      <c r="E4312" s="366" t="s">
        <v>1683</v>
      </c>
      <c r="F4312" s="366" t="s">
        <v>25</v>
      </c>
      <c r="G4312" s="348" t="str">
        <f>"'"&amp;$C4312&amp;"'!$E$52:$Y$52"</f>
        <v>'BLD_AS'!$E$52:$Y$52</v>
      </c>
      <c r="H4312" s="381">
        <f ca="1">IF(IFERROR(INDEX(DATA_PROPERTY_MASTER!$E$5:$E$21,MATCH($C4312,DATA_PROPERTY_MASTER!$A$5:$A$21,0))="Yes",FALSE),IFERROR(INDEX(INDIRECT("'"&amp;$C4312&amp;"'!$E$52:$Y$52"),1,MATCH($D4312,INDIRECT("'"&amp;$C4312&amp;"'!$E$12:$Y$12"),0)),0),0)</f>
        <v>568881.86186870071</v>
      </c>
      <c r="I4312" s="366" t="s">
        <v>1685</v>
      </c>
      <c r="J4312" s="348" t="str">
        <f t="shared" ca="1" si="134"/>
        <v>OK</v>
      </c>
      <c r="K4312" s="366" t="s">
        <v>1710</v>
      </c>
      <c r="L4312" s="366" t="s">
        <v>2246</v>
      </c>
      <c r="M4312" s="350" t="str">
        <f>IF($B4312="Portfolio","Portfolio",IFERROR(INDEX(DATA_ASSET_CLASSIFICATION!$B$8:$B$24,MATCH($C4312,DATA_ASSET_CLASSIFICATION!$A$8:$A$24,0)),"Review"))</f>
        <v>1656 Adanac Street</v>
      </c>
      <c r="N4312" s="350" t="str">
        <f>IF($B4312="Portfolio","Portfolio",IFERROR(INDEX(DATA_ASSET_CLASSIFICATION!$U$8:$U$24,MATCH($C4312,DATA_ASSET_CLASSIFICATION!$A$8:$A$24,0)),"Review"))</f>
        <v>New Build</v>
      </c>
      <c r="O4312" s="350" t="str">
        <f>IF($B4312="Portfolio","Portfolio",IFERROR(INDEX(DATA_ASSET_CLASSIFICATION!$AB$8:$AB$13,MATCH($N4312,DATA_ASSET_CLASSIFICATION!$AA$8:$AA$13,0)),"Review"))</f>
        <v>Bucket 1 · New Build</v>
      </c>
      <c r="P4312" s="350" t="str">
        <f>IF($B4312="Portfolio","Portfolio",IFERROR(INDEX(DATA_ASSET_CLASSIFICATION!$C$8:$C$24,MATCH($C4312,DATA_ASSET_CLASSIFICATION!$A$8:$A$24,0)),"Review"))</f>
        <v>Yes</v>
      </c>
      <c r="Q4312" s="350" t="str">
        <f t="shared" ca="1" si="135"/>
        <v>OK</v>
      </c>
    </row>
    <row r="4313" spans="1:17">
      <c r="A4313" s="366" t="s">
        <v>6269</v>
      </c>
      <c r="B4313" s="366" t="s">
        <v>231</v>
      </c>
      <c r="C4313" s="348" t="str">
        <f>DATA_PROPERTY_MASTER!$A$18</f>
        <v>BLD_AS</v>
      </c>
      <c r="D4313" s="380">
        <f>'00_PORTFOLIO ROLLUP'!T$12</f>
        <v>2040</v>
      </c>
      <c r="E4313" s="366" t="s">
        <v>1683</v>
      </c>
      <c r="F4313" s="366" t="s">
        <v>27</v>
      </c>
      <c r="G4313" s="348" t="str">
        <f>"'"&amp;$C4313&amp;"'!$E$54:$Y$54"</f>
        <v>'BLD_AS'!$E$54:$Y$54</v>
      </c>
      <c r="H4313" s="381">
        <f ca="1">IF(IFERROR(INDEX(DATA_PROPERTY_MASTER!$E$5:$E$21,MATCH($C4313,DATA_PROPERTY_MASTER!$A$5:$A$21,0))="Yes",FALSE),IFERROR(INDEX(INDIRECT("'"&amp;$C4313&amp;"'!$E$54:$Y$54"),1,MATCH($D4313,INDIRECT("'"&amp;$C4313&amp;"'!$E$12:$Y$12"),0)),0),0)</f>
        <v>341329.11712122039</v>
      </c>
      <c r="I4313" s="366" t="s">
        <v>1690</v>
      </c>
      <c r="J4313" s="348" t="str">
        <f t="shared" ca="1" si="134"/>
        <v>OK</v>
      </c>
      <c r="K4313" s="366" t="s">
        <v>1714</v>
      </c>
      <c r="L4313" s="366" t="s">
        <v>2248</v>
      </c>
      <c r="M4313" s="350" t="str">
        <f>IF($B4313="Portfolio","Portfolio",IFERROR(INDEX(DATA_ASSET_CLASSIFICATION!$B$8:$B$24,MATCH($C4313,DATA_ASSET_CLASSIFICATION!$A$8:$A$24,0)),"Review"))</f>
        <v>1656 Adanac Street</v>
      </c>
      <c r="N4313" s="350" t="str">
        <f>IF($B4313="Portfolio","Portfolio",IFERROR(INDEX(DATA_ASSET_CLASSIFICATION!$U$8:$U$24,MATCH($C4313,DATA_ASSET_CLASSIFICATION!$A$8:$A$24,0)),"Review"))</f>
        <v>New Build</v>
      </c>
      <c r="O4313" s="350" t="str">
        <f>IF($B4313="Portfolio","Portfolio",IFERROR(INDEX(DATA_ASSET_CLASSIFICATION!$AB$8:$AB$13,MATCH($N4313,DATA_ASSET_CLASSIFICATION!$AA$8:$AA$13,0)),"Review"))</f>
        <v>Bucket 1 · New Build</v>
      </c>
      <c r="P4313" s="350" t="str">
        <f>IF($B4313="Portfolio","Portfolio",IFERROR(INDEX(DATA_ASSET_CLASSIFICATION!$C$8:$C$24,MATCH($C4313,DATA_ASSET_CLASSIFICATION!$A$8:$A$24,0)),"Review"))</f>
        <v>Yes</v>
      </c>
      <c r="Q4313" s="350" t="str">
        <f t="shared" ca="1" si="135"/>
        <v>OK</v>
      </c>
    </row>
    <row r="4314" spans="1:17">
      <c r="A4314" s="366" t="s">
        <v>6270</v>
      </c>
      <c r="B4314" s="366" t="s">
        <v>231</v>
      </c>
      <c r="C4314" s="348" t="str">
        <f>DATA_PROPERTY_MASTER!$A$18</f>
        <v>BLD_AS</v>
      </c>
      <c r="D4314" s="380">
        <f>'00_PORTFOLIO ROLLUP'!T$12</f>
        <v>2040</v>
      </c>
      <c r="E4314" s="366" t="s">
        <v>1683</v>
      </c>
      <c r="F4314" s="366" t="s">
        <v>29</v>
      </c>
      <c r="G4314" s="348" t="str">
        <f>"'"&amp;$C4314&amp;"'!$E$56:$Y$56"</f>
        <v>'BLD_AS'!$E$56:$Y$56</v>
      </c>
      <c r="H4314" s="381">
        <f ca="1">IF(IFERROR(INDEX(DATA_PROPERTY_MASTER!$E$5:$E$21,MATCH($C4314,DATA_PROPERTY_MASTER!$A$5:$A$21,0))="Yes",FALSE),IFERROR(INDEX(INDIRECT("'"&amp;$C4314&amp;"'!$E$56:$Y$56"),1,MATCH($D4314,INDIRECT("'"&amp;$C4314&amp;"'!$E$12:$Y$12"),0)),0),0)</f>
        <v>227552.74474748032</v>
      </c>
      <c r="I4314" s="366" t="s">
        <v>1685</v>
      </c>
      <c r="J4314" s="348" t="str">
        <f t="shared" ca="1" si="134"/>
        <v>OK</v>
      </c>
      <c r="K4314" s="366" t="s">
        <v>1718</v>
      </c>
      <c r="L4314" s="366" t="s">
        <v>2250</v>
      </c>
      <c r="M4314" s="350" t="str">
        <f>IF($B4314="Portfolio","Portfolio",IFERROR(INDEX(DATA_ASSET_CLASSIFICATION!$B$8:$B$24,MATCH($C4314,DATA_ASSET_CLASSIFICATION!$A$8:$A$24,0)),"Review"))</f>
        <v>1656 Adanac Street</v>
      </c>
      <c r="N4314" s="350" t="str">
        <f>IF($B4314="Portfolio","Portfolio",IFERROR(INDEX(DATA_ASSET_CLASSIFICATION!$U$8:$U$24,MATCH($C4314,DATA_ASSET_CLASSIFICATION!$A$8:$A$24,0)),"Review"))</f>
        <v>New Build</v>
      </c>
      <c r="O4314" s="350" t="str">
        <f>IF($B4314="Portfolio","Portfolio",IFERROR(INDEX(DATA_ASSET_CLASSIFICATION!$AB$8:$AB$13,MATCH($N4314,DATA_ASSET_CLASSIFICATION!$AA$8:$AA$13,0)),"Review"))</f>
        <v>Bucket 1 · New Build</v>
      </c>
      <c r="P4314" s="350" t="str">
        <f>IF($B4314="Portfolio","Portfolio",IFERROR(INDEX(DATA_ASSET_CLASSIFICATION!$C$8:$C$24,MATCH($C4314,DATA_ASSET_CLASSIFICATION!$A$8:$A$24,0)),"Review"))</f>
        <v>Yes</v>
      </c>
      <c r="Q4314" s="350" t="str">
        <f t="shared" ca="1" si="135"/>
        <v>OK</v>
      </c>
    </row>
    <row r="4315" spans="1:17">
      <c r="A4315" s="366" t="s">
        <v>6271</v>
      </c>
      <c r="B4315" s="366" t="s">
        <v>231</v>
      </c>
      <c r="C4315" s="348" t="str">
        <f>DATA_PROPERTY_MASTER!$A$18</f>
        <v>BLD_AS</v>
      </c>
      <c r="D4315" s="380">
        <f>'00_PORTFOLIO ROLLUP'!T$12</f>
        <v>2040</v>
      </c>
      <c r="E4315" s="366" t="s">
        <v>1721</v>
      </c>
      <c r="F4315" s="366" t="s">
        <v>31</v>
      </c>
      <c r="G4315" s="348" t="str">
        <f>"'"&amp;$C4315&amp;"'!$E$61:$Y$61"</f>
        <v>'BLD_AS'!$E$61:$Y$61</v>
      </c>
      <c r="H4315" s="381">
        <f ca="1">IF(IFERROR(INDEX(DATA_PROPERTY_MASTER!$E$5:$E$21,MATCH($C4315,DATA_PROPERTY_MASTER!$A$5:$A$21,0))="Yes",FALSE),IFERROR(INDEX(INDIRECT("'"&amp;$C4315&amp;"'!$E$61:$Y$61"),1,MATCH($D4315,INDIRECT("'"&amp;$C4315&amp;"'!$E$12:$Y$12"),0)),0),0)</f>
        <v>0</v>
      </c>
      <c r="I4315" s="366" t="s">
        <v>1690</v>
      </c>
      <c r="J4315" s="348" t="str">
        <f t="shared" ca="1" si="134"/>
        <v>OK</v>
      </c>
      <c r="K4315" s="366" t="s">
        <v>1723</v>
      </c>
      <c r="L4315" s="366" t="s">
        <v>2252</v>
      </c>
      <c r="M4315" s="350" t="str">
        <f>IF($B4315="Portfolio","Portfolio",IFERROR(INDEX(DATA_ASSET_CLASSIFICATION!$B$8:$B$24,MATCH($C4315,DATA_ASSET_CLASSIFICATION!$A$8:$A$24,0)),"Review"))</f>
        <v>1656 Adanac Street</v>
      </c>
      <c r="N4315" s="350" t="str">
        <f>IF($B4315="Portfolio","Portfolio",IFERROR(INDEX(DATA_ASSET_CLASSIFICATION!$U$8:$U$24,MATCH($C4315,DATA_ASSET_CLASSIFICATION!$A$8:$A$24,0)),"Review"))</f>
        <v>New Build</v>
      </c>
      <c r="O4315" s="350" t="str">
        <f>IF($B4315="Portfolio","Portfolio",IFERROR(INDEX(DATA_ASSET_CLASSIFICATION!$AB$8:$AB$13,MATCH($N4315,DATA_ASSET_CLASSIFICATION!$AA$8:$AA$13,0)),"Review"))</f>
        <v>Bucket 1 · New Build</v>
      </c>
      <c r="P4315" s="350" t="str">
        <f>IF($B4315="Portfolio","Portfolio",IFERROR(INDEX(DATA_ASSET_CLASSIFICATION!$C$8:$C$24,MATCH($C4315,DATA_ASSET_CLASSIFICATION!$A$8:$A$24,0)),"Review"))</f>
        <v>Yes</v>
      </c>
      <c r="Q4315" s="350" t="str">
        <f t="shared" ca="1" si="135"/>
        <v>OK</v>
      </c>
    </row>
    <row r="4316" spans="1:17">
      <c r="A4316" s="366" t="s">
        <v>6272</v>
      </c>
      <c r="B4316" s="366" t="s">
        <v>231</v>
      </c>
      <c r="C4316" s="348" t="str">
        <f>DATA_PROPERTY_MASTER!$A$18</f>
        <v>BLD_AS</v>
      </c>
      <c r="D4316" s="380">
        <f>'00_PORTFOLIO ROLLUP'!T$12</f>
        <v>2040</v>
      </c>
      <c r="E4316" s="366" t="s">
        <v>1721</v>
      </c>
      <c r="F4316" s="366" t="s">
        <v>33</v>
      </c>
      <c r="G4316" s="348" t="str">
        <f>"'"&amp;$C4316&amp;"'!$E$62:$Y$62"</f>
        <v>'BLD_AS'!$E$62:$Y$62</v>
      </c>
      <c r="H4316" s="381">
        <f ca="1">IF(IFERROR(INDEX(DATA_PROPERTY_MASTER!$E$5:$E$21,MATCH($C4316,DATA_PROPERTY_MASTER!$A$5:$A$21,0))="Yes",FALSE),IFERROR(INDEX(INDIRECT("'"&amp;$C4316&amp;"'!$E$62:$Y$62"),1,MATCH($D4316,INDIRECT("'"&amp;$C4316&amp;"'!$E$12:$Y$12"),0)),0),0)</f>
        <v>0</v>
      </c>
      <c r="I4316" s="366" t="s">
        <v>1685</v>
      </c>
      <c r="J4316" s="348" t="str">
        <f t="shared" ca="1" si="134"/>
        <v>OK</v>
      </c>
      <c r="K4316" s="366" t="s">
        <v>1727</v>
      </c>
      <c r="L4316" s="366" t="s">
        <v>2254</v>
      </c>
      <c r="M4316" s="350" t="str">
        <f>IF($B4316="Portfolio","Portfolio",IFERROR(INDEX(DATA_ASSET_CLASSIFICATION!$B$8:$B$24,MATCH($C4316,DATA_ASSET_CLASSIFICATION!$A$8:$A$24,0)),"Review"))</f>
        <v>1656 Adanac Street</v>
      </c>
      <c r="N4316" s="350" t="str">
        <f>IF($B4316="Portfolio","Portfolio",IFERROR(INDEX(DATA_ASSET_CLASSIFICATION!$U$8:$U$24,MATCH($C4316,DATA_ASSET_CLASSIFICATION!$A$8:$A$24,0)),"Review"))</f>
        <v>New Build</v>
      </c>
      <c r="O4316" s="350" t="str">
        <f>IF($B4316="Portfolio","Portfolio",IFERROR(INDEX(DATA_ASSET_CLASSIFICATION!$AB$8:$AB$13,MATCH($N4316,DATA_ASSET_CLASSIFICATION!$AA$8:$AA$13,0)),"Review"))</f>
        <v>Bucket 1 · New Build</v>
      </c>
      <c r="P4316" s="350" t="str">
        <f>IF($B4316="Portfolio","Portfolio",IFERROR(INDEX(DATA_ASSET_CLASSIFICATION!$C$8:$C$24,MATCH($C4316,DATA_ASSET_CLASSIFICATION!$A$8:$A$24,0)),"Review"))</f>
        <v>Yes</v>
      </c>
      <c r="Q4316" s="350" t="str">
        <f t="shared" ca="1" si="135"/>
        <v>OK</v>
      </c>
    </row>
    <row r="4317" spans="1:17">
      <c r="A4317" s="366" t="s">
        <v>6273</v>
      </c>
      <c r="B4317" s="366" t="s">
        <v>231</v>
      </c>
      <c r="C4317" s="348" t="str">
        <f>DATA_PROPERTY_MASTER!$A$18</f>
        <v>BLD_AS</v>
      </c>
      <c r="D4317" s="380">
        <f>'00_PORTFOLIO ROLLUP'!T$12</f>
        <v>2040</v>
      </c>
      <c r="E4317" s="366" t="s">
        <v>1721</v>
      </c>
      <c r="F4317" s="366" t="s">
        <v>35</v>
      </c>
      <c r="G4317" s="348" t="str">
        <f>"'"&amp;$C4317&amp;"'!$E$63:$Y$63"</f>
        <v>'BLD_AS'!$E$63:$Y$63</v>
      </c>
      <c r="H4317" s="381">
        <f ca="1">IF(IFERROR(INDEX(DATA_PROPERTY_MASTER!$E$5:$E$21,MATCH($C4317,DATA_PROPERTY_MASTER!$A$5:$A$21,0))="Yes",FALSE),IFERROR(INDEX(INDIRECT("'"&amp;$C4317&amp;"'!$E$63:$Y$63"),1,MATCH($D4317,INDIRECT("'"&amp;$C4317&amp;"'!$E$12:$Y$12"),0)),0),0)</f>
        <v>0</v>
      </c>
      <c r="I4317" s="366" t="s">
        <v>1731</v>
      </c>
      <c r="J4317" s="348" t="str">
        <f t="shared" ca="1" si="134"/>
        <v>OK</v>
      </c>
      <c r="K4317" s="366" t="s">
        <v>1732</v>
      </c>
      <c r="L4317" s="366" t="s">
        <v>2256</v>
      </c>
      <c r="M4317" s="350" t="str">
        <f>IF($B4317="Portfolio","Portfolio",IFERROR(INDEX(DATA_ASSET_CLASSIFICATION!$B$8:$B$24,MATCH($C4317,DATA_ASSET_CLASSIFICATION!$A$8:$A$24,0)),"Review"))</f>
        <v>1656 Adanac Street</v>
      </c>
      <c r="N4317" s="350" t="str">
        <f>IF($B4317="Portfolio","Portfolio",IFERROR(INDEX(DATA_ASSET_CLASSIFICATION!$U$8:$U$24,MATCH($C4317,DATA_ASSET_CLASSIFICATION!$A$8:$A$24,0)),"Review"))</f>
        <v>New Build</v>
      </c>
      <c r="O4317" s="350" t="str">
        <f>IF($B4317="Portfolio","Portfolio",IFERROR(INDEX(DATA_ASSET_CLASSIFICATION!$AB$8:$AB$13,MATCH($N4317,DATA_ASSET_CLASSIFICATION!$AA$8:$AA$13,0)),"Review"))</f>
        <v>Bucket 1 · New Build</v>
      </c>
      <c r="P4317" s="350" t="str">
        <f>IF($B4317="Portfolio","Portfolio",IFERROR(INDEX(DATA_ASSET_CLASSIFICATION!$C$8:$C$24,MATCH($C4317,DATA_ASSET_CLASSIFICATION!$A$8:$A$24,0)),"Review"))</f>
        <v>Yes</v>
      </c>
      <c r="Q4317" s="350" t="str">
        <f t="shared" ca="1" si="135"/>
        <v>OK</v>
      </c>
    </row>
    <row r="4318" spans="1:17">
      <c r="A4318" s="366" t="s">
        <v>6274</v>
      </c>
      <c r="B4318" s="366" t="s">
        <v>231</v>
      </c>
      <c r="C4318" s="348" t="str">
        <f>DATA_PROPERTY_MASTER!$A$18</f>
        <v>BLD_AS</v>
      </c>
      <c r="D4318" s="380">
        <f>'00_PORTFOLIO ROLLUP'!T$12</f>
        <v>2040</v>
      </c>
      <c r="E4318" s="366" t="s">
        <v>1721</v>
      </c>
      <c r="F4318" s="366" t="s">
        <v>37</v>
      </c>
      <c r="G4318" s="348" t="str">
        <f>"'"&amp;$C4318&amp;"'!$E$63:$Y$63"</f>
        <v>'BLD_AS'!$E$63:$Y$63</v>
      </c>
      <c r="H4318" s="381">
        <f ca="1">IF(IFERROR(INDEX(DATA_PROPERTY_MASTER!$E$5:$E$21,MATCH($C4318,DATA_PROPERTY_MASTER!$A$5:$A$21,0))="Yes",FALSE),MAX(IFERROR(INDEX(INDIRECT("'"&amp;$C4318&amp;"'!$E$63:$Y$63"),1,MATCH($D4318,INDIRECT("'"&amp;$C4318&amp;"'!$E$12:$Y$12"),0)),0),0),0)</f>
        <v>0</v>
      </c>
      <c r="I4318" s="366" t="s">
        <v>1685</v>
      </c>
      <c r="J4318" s="348" t="str">
        <f t="shared" ca="1" si="134"/>
        <v>OK</v>
      </c>
      <c r="K4318" s="366" t="s">
        <v>1735</v>
      </c>
      <c r="L4318" s="366" t="s">
        <v>2258</v>
      </c>
      <c r="M4318" s="350" t="str">
        <f>IF($B4318="Portfolio","Portfolio",IFERROR(INDEX(DATA_ASSET_CLASSIFICATION!$B$8:$B$24,MATCH($C4318,DATA_ASSET_CLASSIFICATION!$A$8:$A$24,0)),"Review"))</f>
        <v>1656 Adanac Street</v>
      </c>
      <c r="N4318" s="350" t="str">
        <f>IF($B4318="Portfolio","Portfolio",IFERROR(INDEX(DATA_ASSET_CLASSIFICATION!$U$8:$U$24,MATCH($C4318,DATA_ASSET_CLASSIFICATION!$A$8:$A$24,0)),"Review"))</f>
        <v>New Build</v>
      </c>
      <c r="O4318" s="350" t="str">
        <f>IF($B4318="Portfolio","Portfolio",IFERROR(INDEX(DATA_ASSET_CLASSIFICATION!$AB$8:$AB$13,MATCH($N4318,DATA_ASSET_CLASSIFICATION!$AA$8:$AA$13,0)),"Review"))</f>
        <v>Bucket 1 · New Build</v>
      </c>
      <c r="P4318" s="350" t="str">
        <f>IF($B4318="Portfolio","Portfolio",IFERROR(INDEX(DATA_ASSET_CLASSIFICATION!$C$8:$C$24,MATCH($C4318,DATA_ASSET_CLASSIFICATION!$A$8:$A$24,0)),"Review"))</f>
        <v>Yes</v>
      </c>
      <c r="Q4318" s="350" t="str">
        <f t="shared" ca="1" si="135"/>
        <v>OK</v>
      </c>
    </row>
    <row r="4319" spans="1:17">
      <c r="A4319" s="366" t="s">
        <v>6275</v>
      </c>
      <c r="B4319" s="366" t="s">
        <v>231</v>
      </c>
      <c r="C4319" s="348" t="str">
        <f>DATA_PROPERTY_MASTER!$A$18</f>
        <v>BLD_AS</v>
      </c>
      <c r="D4319" s="380">
        <f>'00_PORTFOLIO ROLLUP'!T$12</f>
        <v>2040</v>
      </c>
      <c r="E4319" s="366" t="s">
        <v>1721</v>
      </c>
      <c r="F4319" s="366" t="s">
        <v>39</v>
      </c>
      <c r="G4319" s="348" t="str">
        <f>"'"&amp;$C4319&amp;"'!$E$63:$Y$63"</f>
        <v>'BLD_AS'!$E$63:$Y$63</v>
      </c>
      <c r="H4319" s="381">
        <f ca="1">IF(IFERROR(INDEX(DATA_PROPERTY_MASTER!$E$5:$E$21,MATCH($C4319,DATA_PROPERTY_MASTER!$A$5:$A$21,0))="Yes",FALSE),MAX(-IFERROR(INDEX(INDIRECT("'"&amp;$C4319&amp;"'!$E$63:$Y$63"),1,MATCH($D4319,INDIRECT("'"&amp;$C4319&amp;"'!$E$12:$Y$12"),0)),0),0),0)</f>
        <v>0</v>
      </c>
      <c r="I4319" s="366" t="s">
        <v>1690</v>
      </c>
      <c r="J4319" s="348" t="str">
        <f t="shared" ca="1" si="134"/>
        <v>OK</v>
      </c>
      <c r="K4319" s="366" t="s">
        <v>1738</v>
      </c>
      <c r="L4319" s="366" t="s">
        <v>2260</v>
      </c>
      <c r="M4319" s="350" t="str">
        <f>IF($B4319="Portfolio","Portfolio",IFERROR(INDEX(DATA_ASSET_CLASSIFICATION!$B$8:$B$24,MATCH($C4319,DATA_ASSET_CLASSIFICATION!$A$8:$A$24,0)),"Review"))</f>
        <v>1656 Adanac Street</v>
      </c>
      <c r="N4319" s="350" t="str">
        <f>IF($B4319="Portfolio","Portfolio",IFERROR(INDEX(DATA_ASSET_CLASSIFICATION!$U$8:$U$24,MATCH($C4319,DATA_ASSET_CLASSIFICATION!$A$8:$A$24,0)),"Review"))</f>
        <v>New Build</v>
      </c>
      <c r="O4319" s="350" t="str">
        <f>IF($B4319="Portfolio","Portfolio",IFERROR(INDEX(DATA_ASSET_CLASSIFICATION!$AB$8:$AB$13,MATCH($N4319,DATA_ASSET_CLASSIFICATION!$AA$8:$AA$13,0)),"Review"))</f>
        <v>Bucket 1 · New Build</v>
      </c>
      <c r="P4319" s="350" t="str">
        <f>IF($B4319="Portfolio","Portfolio",IFERROR(INDEX(DATA_ASSET_CLASSIFICATION!$C$8:$C$24,MATCH($C4319,DATA_ASSET_CLASSIFICATION!$A$8:$A$24,0)),"Review"))</f>
        <v>Yes</v>
      </c>
      <c r="Q4319" s="350" t="str">
        <f t="shared" ca="1" si="135"/>
        <v>OK</v>
      </c>
    </row>
    <row r="4320" spans="1:17">
      <c r="A4320" s="366" t="s">
        <v>6276</v>
      </c>
      <c r="B4320" s="366" t="s">
        <v>231</v>
      </c>
      <c r="C4320" s="348" t="str">
        <f>DATA_PROPERTY_MASTER!$A$18</f>
        <v>BLD_AS</v>
      </c>
      <c r="D4320" s="380">
        <f>'00_PORTFOLIO ROLLUP'!T$12</f>
        <v>2040</v>
      </c>
      <c r="E4320" s="366" t="s">
        <v>1741</v>
      </c>
      <c r="F4320" s="366" t="s">
        <v>41</v>
      </c>
      <c r="G4320" s="348" t="str">
        <f>"'"&amp;$C4320&amp;"'!rows 56 + positive row 63"</f>
        <v>'BLD_AS'!rows 56 + positive row 63</v>
      </c>
      <c r="H4320" s="381">
        <f ca="1">IF(IFERROR(INDEX(DATA_PROPERTY_MASTER!$E$5:$E$21,MATCH($C4320,DATA_PROPERTY_MASTER!$A$5:$A$21,0))="Yes",FALSE),IFERROR(INDEX(INDIRECT("'"&amp;$C4320&amp;"'!$E$56:$Y$56"),1,MATCH($D4320,INDIRECT("'"&amp;$C4320&amp;"'!$E$12:$Y$12"),0)),0)+MAX(IFERROR(INDEX(INDIRECT("'"&amp;$C4320&amp;"'!$E$63:$Y$63"),1,MATCH($D4320,INDIRECT("'"&amp;$C4320&amp;"'!$E$12:$Y$12"),0)),0),0),0)</f>
        <v>227552.74474748032</v>
      </c>
      <c r="I4320" s="366" t="s">
        <v>1685</v>
      </c>
      <c r="J4320" s="348" t="str">
        <f t="shared" ca="1" si="134"/>
        <v>OK</v>
      </c>
      <c r="K4320" s="366" t="s">
        <v>1742</v>
      </c>
      <c r="L4320" s="366" t="s">
        <v>2262</v>
      </c>
      <c r="M4320" s="350" t="str">
        <f>IF($B4320="Portfolio","Portfolio",IFERROR(INDEX(DATA_ASSET_CLASSIFICATION!$B$8:$B$24,MATCH($C4320,DATA_ASSET_CLASSIFICATION!$A$8:$A$24,0)),"Review"))</f>
        <v>1656 Adanac Street</v>
      </c>
      <c r="N4320" s="350" t="str">
        <f>IF($B4320="Portfolio","Portfolio",IFERROR(INDEX(DATA_ASSET_CLASSIFICATION!$U$8:$U$24,MATCH($C4320,DATA_ASSET_CLASSIFICATION!$A$8:$A$24,0)),"Review"))</f>
        <v>New Build</v>
      </c>
      <c r="O4320" s="350" t="str">
        <f>IF($B4320="Portfolio","Portfolio",IFERROR(INDEX(DATA_ASSET_CLASSIFICATION!$AB$8:$AB$13,MATCH($N4320,DATA_ASSET_CLASSIFICATION!$AA$8:$AA$13,0)),"Review"))</f>
        <v>Bucket 1 · New Build</v>
      </c>
      <c r="P4320" s="350" t="str">
        <f>IF($B4320="Portfolio","Portfolio",IFERROR(INDEX(DATA_ASSET_CLASSIFICATION!$C$8:$C$24,MATCH($C4320,DATA_ASSET_CLASSIFICATION!$A$8:$A$24,0)),"Review"))</f>
        <v>Yes</v>
      </c>
      <c r="Q4320" s="350" t="str">
        <f t="shared" ca="1" si="135"/>
        <v>OK</v>
      </c>
    </row>
    <row r="4321" spans="1:17">
      <c r="A4321" s="366" t="s">
        <v>6277</v>
      </c>
      <c r="B4321" s="366" t="s">
        <v>231</v>
      </c>
      <c r="C4321" s="348" t="str">
        <f>DATA_PROPERTY_MASTER!$A$18</f>
        <v>BLD_AS</v>
      </c>
      <c r="D4321" s="380">
        <f>'00_PORTFOLIO ROLLUP'!T$12</f>
        <v>2040</v>
      </c>
      <c r="E4321" s="366" t="s">
        <v>1741</v>
      </c>
      <c r="F4321" s="366" t="s">
        <v>43</v>
      </c>
      <c r="G4321" s="348" t="str">
        <f>"'"&amp;$C4321&amp;"'!$E$68:$Y$68"</f>
        <v>'BLD_AS'!$E$68:$Y$68</v>
      </c>
      <c r="H4321" s="381">
        <f ca="1">IF(IFERROR(INDEX(DATA_PROPERTY_MASTER!$E$5:$E$21,MATCH($C4321,DATA_PROPERTY_MASTER!$A$5:$A$21,0))="Yes",FALSE),IFERROR(INDEX(INDIRECT("'"&amp;$C4321&amp;"'!$E$68:$Y$68"),1,MATCH($D4321,INDIRECT("'"&amp;$C4321&amp;"'!$E$12:$Y$12"),0)),0),0)</f>
        <v>227552.74474748032</v>
      </c>
      <c r="I4321" s="366" t="s">
        <v>1731</v>
      </c>
      <c r="J4321" s="348" t="str">
        <f t="shared" ca="1" si="134"/>
        <v>OK</v>
      </c>
      <c r="K4321" s="366" t="s">
        <v>1746</v>
      </c>
      <c r="L4321" s="366" t="s">
        <v>2264</v>
      </c>
      <c r="M4321" s="350" t="str">
        <f>IF($B4321="Portfolio","Portfolio",IFERROR(INDEX(DATA_ASSET_CLASSIFICATION!$B$8:$B$24,MATCH($C4321,DATA_ASSET_CLASSIFICATION!$A$8:$A$24,0)),"Review"))</f>
        <v>1656 Adanac Street</v>
      </c>
      <c r="N4321" s="350" t="str">
        <f>IF($B4321="Portfolio","Portfolio",IFERROR(INDEX(DATA_ASSET_CLASSIFICATION!$U$8:$U$24,MATCH($C4321,DATA_ASSET_CLASSIFICATION!$A$8:$A$24,0)),"Review"))</f>
        <v>New Build</v>
      </c>
      <c r="O4321" s="350" t="str">
        <f>IF($B4321="Portfolio","Portfolio",IFERROR(INDEX(DATA_ASSET_CLASSIFICATION!$AB$8:$AB$13,MATCH($N4321,DATA_ASSET_CLASSIFICATION!$AA$8:$AA$13,0)),"Review"))</f>
        <v>Bucket 1 · New Build</v>
      </c>
      <c r="P4321" s="350" t="str">
        <f>IF($B4321="Portfolio","Portfolio",IFERROR(INDEX(DATA_ASSET_CLASSIFICATION!$C$8:$C$24,MATCH($C4321,DATA_ASSET_CLASSIFICATION!$A$8:$A$24,0)),"Review"))</f>
        <v>Yes</v>
      </c>
      <c r="Q4321" s="350" t="str">
        <f t="shared" ca="1" si="135"/>
        <v>OK</v>
      </c>
    </row>
    <row r="4322" spans="1:17">
      <c r="A4322" s="366" t="s">
        <v>6278</v>
      </c>
      <c r="B4322" s="366" t="s">
        <v>231</v>
      </c>
      <c r="C4322" s="348" t="str">
        <f>DATA_PROPERTY_MASTER!$A$18</f>
        <v>BLD_AS</v>
      </c>
      <c r="D4322" s="380">
        <f>'00_PORTFOLIO ROLLUP'!T$12</f>
        <v>2040</v>
      </c>
      <c r="E4322" s="366" t="s">
        <v>1741</v>
      </c>
      <c r="F4322" s="366" t="s">
        <v>1749</v>
      </c>
      <c r="G4322" s="348" t="str">
        <f>"'"&amp;$C4322&amp;"'!rows 56, 63, 68"</f>
        <v>'BLD_AS'!rows 56, 63, 68</v>
      </c>
      <c r="H4322" s="381">
        <f ca="1">IF(IFERROR(INDEX(DATA_PROPERTY_MASTER!$E$5:$E$21,MATCH($C4322,DATA_PROPERTY_MASTER!$A$5:$A$21,0))="Yes",FALSE),(IFERROR(INDEX(INDIRECT("'"&amp;$C4322&amp;"'!$E$56:$Y$56"),1,MATCH($D4322,INDIRECT("'"&amp;$C4322&amp;"'!$E$12:$Y$12"),0)),0)+MAX(IFERROR(INDEX(INDIRECT("'"&amp;$C4322&amp;"'!$E$63:$Y$63"),1,MATCH($D4322,INDIRECT("'"&amp;$C4322&amp;"'!$E$12:$Y$12"),0)),0),0))-(IFERROR(INDEX(INDIRECT("'"&amp;$C4322&amp;"'!$E$68:$Y$68"),1,MATCH($D4322,INDIRECT("'"&amp;$C4322&amp;"'!$E$12:$Y$12"),0)),0)),0)</f>
        <v>0</v>
      </c>
      <c r="I4322" s="366" t="s">
        <v>1750</v>
      </c>
      <c r="J4322" s="348" t="str">
        <f t="shared" ca="1" si="134"/>
        <v>OK</v>
      </c>
      <c r="K4322" s="366" t="s">
        <v>1751</v>
      </c>
      <c r="L4322" s="366" t="s">
        <v>2266</v>
      </c>
      <c r="M4322" s="350" t="str">
        <f>IF($B4322="Portfolio","Portfolio",IFERROR(INDEX(DATA_ASSET_CLASSIFICATION!$B$8:$B$24,MATCH($C4322,DATA_ASSET_CLASSIFICATION!$A$8:$A$24,0)),"Review"))</f>
        <v>1656 Adanac Street</v>
      </c>
      <c r="N4322" s="350" t="str">
        <f>IF($B4322="Portfolio","Portfolio",IFERROR(INDEX(DATA_ASSET_CLASSIFICATION!$U$8:$U$24,MATCH($C4322,DATA_ASSET_CLASSIFICATION!$A$8:$A$24,0)),"Review"))</f>
        <v>New Build</v>
      </c>
      <c r="O4322" s="350" t="str">
        <f>IF($B4322="Portfolio","Portfolio",IFERROR(INDEX(DATA_ASSET_CLASSIFICATION!$AB$8:$AB$13,MATCH($N4322,DATA_ASSET_CLASSIFICATION!$AA$8:$AA$13,0)),"Review"))</f>
        <v>Bucket 1 · New Build</v>
      </c>
      <c r="P4322" s="350" t="str">
        <f>IF($B4322="Portfolio","Portfolio",IFERROR(INDEX(DATA_ASSET_CLASSIFICATION!$C$8:$C$24,MATCH($C4322,DATA_ASSET_CLASSIFICATION!$A$8:$A$24,0)),"Review"))</f>
        <v>Yes</v>
      </c>
      <c r="Q4322" s="350" t="str">
        <f t="shared" ca="1" si="135"/>
        <v>OK</v>
      </c>
    </row>
    <row r="4323" spans="1:17">
      <c r="A4323" s="366" t="s">
        <v>6279</v>
      </c>
      <c r="B4323" s="366" t="s">
        <v>231</v>
      </c>
      <c r="C4323" s="348" t="str">
        <f>DATA_PROPERTY_MASTER!$A$18</f>
        <v>BLD_AS</v>
      </c>
      <c r="D4323" s="380">
        <f>'00_PORTFOLIO ROLLUP'!U$12</f>
        <v>2041</v>
      </c>
      <c r="E4323" s="366" t="s">
        <v>1683</v>
      </c>
      <c r="F4323" s="366" t="s">
        <v>341</v>
      </c>
      <c r="G4323" s="348" t="str">
        <f>"'"&amp;$C4323&amp;"'!$E$24:$Y$24"</f>
        <v>'BLD_AS'!$E$24:$Y$24</v>
      </c>
      <c r="H4323" s="381">
        <f ca="1">IF(IFERROR(INDEX(DATA_PROPERTY_MASTER!$E$5:$E$21,MATCH($C4323,DATA_PROPERTY_MASTER!$A$5:$A$21,0))="Yes",FALSE),IFERROR(INDEX(INDIRECT("'"&amp;$C4323&amp;"'!$E$24:$Y$24"),1,MATCH($D4323,INDIRECT("'"&amp;$C4323&amp;"'!$E$12:$Y$12"),0)),0),0)</f>
        <v>2633780.1026235889</v>
      </c>
      <c r="I4323" s="366" t="s">
        <v>1685</v>
      </c>
      <c r="J4323" s="348" t="str">
        <f t="shared" ca="1" si="134"/>
        <v>OK</v>
      </c>
      <c r="K4323" s="366" t="s">
        <v>1686</v>
      </c>
      <c r="L4323" s="366" t="s">
        <v>2234</v>
      </c>
      <c r="M4323" s="350" t="str">
        <f>IF($B4323="Portfolio","Portfolio",IFERROR(INDEX(DATA_ASSET_CLASSIFICATION!$B$8:$B$24,MATCH($C4323,DATA_ASSET_CLASSIFICATION!$A$8:$A$24,0)),"Review"))</f>
        <v>1656 Adanac Street</v>
      </c>
      <c r="N4323" s="350" t="str">
        <f>IF($B4323="Portfolio","Portfolio",IFERROR(INDEX(DATA_ASSET_CLASSIFICATION!$U$8:$U$24,MATCH($C4323,DATA_ASSET_CLASSIFICATION!$A$8:$A$24,0)),"Review"))</f>
        <v>New Build</v>
      </c>
      <c r="O4323" s="350" t="str">
        <f>IF($B4323="Portfolio","Portfolio",IFERROR(INDEX(DATA_ASSET_CLASSIFICATION!$AB$8:$AB$13,MATCH($N4323,DATA_ASSET_CLASSIFICATION!$AA$8:$AA$13,0)),"Review"))</f>
        <v>Bucket 1 · New Build</v>
      </c>
      <c r="P4323" s="350" t="str">
        <f>IF($B4323="Portfolio","Portfolio",IFERROR(INDEX(DATA_ASSET_CLASSIFICATION!$C$8:$C$24,MATCH($C4323,DATA_ASSET_CLASSIFICATION!$A$8:$A$24,0)),"Review"))</f>
        <v>Yes</v>
      </c>
      <c r="Q4323" s="350" t="str">
        <f t="shared" ca="1" si="135"/>
        <v>OK</v>
      </c>
    </row>
    <row r="4324" spans="1:17">
      <c r="A4324" s="366" t="s">
        <v>6280</v>
      </c>
      <c r="B4324" s="366" t="s">
        <v>231</v>
      </c>
      <c r="C4324" s="348" t="str">
        <f>DATA_PROPERTY_MASTER!$A$18</f>
        <v>BLD_AS</v>
      </c>
      <c r="D4324" s="380">
        <f>'00_PORTFOLIO ROLLUP'!U$12</f>
        <v>2041</v>
      </c>
      <c r="E4324" s="366" t="s">
        <v>1683</v>
      </c>
      <c r="F4324" s="366" t="s">
        <v>355</v>
      </c>
      <c r="G4324" s="348" t="str">
        <f>"'"&amp;$C4324&amp;"'!$E$39:$Y$39"</f>
        <v>'BLD_AS'!$E$39:$Y$39</v>
      </c>
      <c r="H4324" s="381">
        <f ca="1">IF(IFERROR(INDEX(DATA_PROPERTY_MASTER!$E$5:$E$21,MATCH($C4324,DATA_PROPERTY_MASTER!$A$5:$A$21,0))="Yes",FALSE),IFERROR(INDEX(INDIRECT("'"&amp;$C4324&amp;"'!$E$39:$Y$39"),1,MATCH($D4324,INDIRECT("'"&amp;$C4324&amp;"'!$E$12:$Y$12"),0)),0),0)</f>
        <v>1237796.1252965322</v>
      </c>
      <c r="I4324" s="366" t="s">
        <v>1690</v>
      </c>
      <c r="J4324" s="348" t="str">
        <f t="shared" ca="1" si="134"/>
        <v>OK</v>
      </c>
      <c r="K4324" s="366" t="s">
        <v>1686</v>
      </c>
      <c r="L4324" s="366" t="s">
        <v>2236</v>
      </c>
      <c r="M4324" s="350" t="str">
        <f>IF($B4324="Portfolio","Portfolio",IFERROR(INDEX(DATA_ASSET_CLASSIFICATION!$B$8:$B$24,MATCH($C4324,DATA_ASSET_CLASSIFICATION!$A$8:$A$24,0)),"Review"))</f>
        <v>1656 Adanac Street</v>
      </c>
      <c r="N4324" s="350" t="str">
        <f>IF($B4324="Portfolio","Portfolio",IFERROR(INDEX(DATA_ASSET_CLASSIFICATION!$U$8:$U$24,MATCH($C4324,DATA_ASSET_CLASSIFICATION!$A$8:$A$24,0)),"Review"))</f>
        <v>New Build</v>
      </c>
      <c r="O4324" s="350" t="str">
        <f>IF($B4324="Portfolio","Portfolio",IFERROR(INDEX(DATA_ASSET_CLASSIFICATION!$AB$8:$AB$13,MATCH($N4324,DATA_ASSET_CLASSIFICATION!$AA$8:$AA$13,0)),"Review"))</f>
        <v>Bucket 1 · New Build</v>
      </c>
      <c r="P4324" s="350" t="str">
        <f>IF($B4324="Portfolio","Portfolio",IFERROR(INDEX(DATA_ASSET_CLASSIFICATION!$C$8:$C$24,MATCH($C4324,DATA_ASSET_CLASSIFICATION!$A$8:$A$24,0)),"Review"))</f>
        <v>Yes</v>
      </c>
      <c r="Q4324" s="350" t="str">
        <f t="shared" ca="1" si="135"/>
        <v>OK</v>
      </c>
    </row>
    <row r="4325" spans="1:17">
      <c r="A4325" s="366" t="s">
        <v>6281</v>
      </c>
      <c r="B4325" s="366" t="s">
        <v>231</v>
      </c>
      <c r="C4325" s="348" t="str">
        <f>DATA_PROPERTY_MASTER!$A$18</f>
        <v>BLD_AS</v>
      </c>
      <c r="D4325" s="380">
        <f>'00_PORTFOLIO ROLLUP'!U$12</f>
        <v>2041</v>
      </c>
      <c r="E4325" s="366" t="s">
        <v>1683</v>
      </c>
      <c r="F4325" s="366" t="s">
        <v>19</v>
      </c>
      <c r="G4325" s="348" t="str">
        <f>"'"&amp;$C4325&amp;"'!$E$41:$Y$41"</f>
        <v>'BLD_AS'!$E$41:$Y$41</v>
      </c>
      <c r="H4325" s="381">
        <f ca="1">IF(IFERROR(INDEX(DATA_PROPERTY_MASTER!$E$5:$E$21,MATCH($C4325,DATA_PROPERTY_MASTER!$A$5:$A$21,0))="Yes",FALSE),IFERROR(INDEX(INDIRECT("'"&amp;$C4325&amp;"'!$E$41:$Y$41"),1,MATCH($D4325,INDIRECT("'"&amp;$C4325&amp;"'!$E$12:$Y$12"),0)),0),0)</f>
        <v>1395983.9773270567</v>
      </c>
      <c r="I4325" s="366" t="s">
        <v>1685</v>
      </c>
      <c r="J4325" s="348" t="str">
        <f t="shared" ca="1" si="134"/>
        <v>OK</v>
      </c>
      <c r="K4325" s="366" t="s">
        <v>1694</v>
      </c>
      <c r="L4325" s="366" t="s">
        <v>2238</v>
      </c>
      <c r="M4325" s="350" t="str">
        <f>IF($B4325="Portfolio","Portfolio",IFERROR(INDEX(DATA_ASSET_CLASSIFICATION!$B$8:$B$24,MATCH($C4325,DATA_ASSET_CLASSIFICATION!$A$8:$A$24,0)),"Review"))</f>
        <v>1656 Adanac Street</v>
      </c>
      <c r="N4325" s="350" t="str">
        <f>IF($B4325="Portfolio","Portfolio",IFERROR(INDEX(DATA_ASSET_CLASSIFICATION!$U$8:$U$24,MATCH($C4325,DATA_ASSET_CLASSIFICATION!$A$8:$A$24,0)),"Review"))</f>
        <v>New Build</v>
      </c>
      <c r="O4325" s="350" t="str">
        <f>IF($B4325="Portfolio","Portfolio",IFERROR(INDEX(DATA_ASSET_CLASSIFICATION!$AB$8:$AB$13,MATCH($N4325,DATA_ASSET_CLASSIFICATION!$AA$8:$AA$13,0)),"Review"))</f>
        <v>Bucket 1 · New Build</v>
      </c>
      <c r="P4325" s="350" t="str">
        <f>IF($B4325="Portfolio","Portfolio",IFERROR(INDEX(DATA_ASSET_CLASSIFICATION!$C$8:$C$24,MATCH($C4325,DATA_ASSET_CLASSIFICATION!$A$8:$A$24,0)),"Review"))</f>
        <v>Yes</v>
      </c>
      <c r="Q4325" s="350" t="str">
        <f t="shared" ca="1" si="135"/>
        <v>OK</v>
      </c>
    </row>
    <row r="4326" spans="1:17">
      <c r="A4326" s="366" t="s">
        <v>6282</v>
      </c>
      <c r="B4326" s="366" t="s">
        <v>231</v>
      </c>
      <c r="C4326" s="348" t="str">
        <f>DATA_PROPERTY_MASTER!$A$18</f>
        <v>BLD_AS</v>
      </c>
      <c r="D4326" s="380">
        <f>'00_PORTFOLIO ROLLUP'!U$12</f>
        <v>2041</v>
      </c>
      <c r="E4326" s="366" t="s">
        <v>1683</v>
      </c>
      <c r="F4326" s="366" t="s">
        <v>1697</v>
      </c>
      <c r="G4326" s="348" t="str">
        <f>"'"&amp;$C4326&amp;"'!$E$44:$Y$44"</f>
        <v>'BLD_AS'!$E$44:$Y$44</v>
      </c>
      <c r="H4326" s="381">
        <f ca="1">IF(IFERROR(INDEX(DATA_PROPERTY_MASTER!$E$5:$E$21,MATCH($C4326,DATA_PROPERTY_MASTER!$A$5:$A$21,0))="Yes",FALSE),IFERROR(INDEX(INDIRECT("'"&amp;$C4326&amp;"'!$E$44:$Y$44"),1,MATCH($D4326,INDIRECT("'"&amp;$C4326&amp;"'!$E$12:$Y$12"),0)),0),0)</f>
        <v>19974.032009068404</v>
      </c>
      <c r="I4326" s="366" t="s">
        <v>1690</v>
      </c>
      <c r="J4326" s="348" t="str">
        <f t="shared" ca="1" si="134"/>
        <v>OK</v>
      </c>
      <c r="K4326" s="366" t="s">
        <v>1699</v>
      </c>
      <c r="L4326" s="366" t="s">
        <v>2240</v>
      </c>
      <c r="M4326" s="350" t="str">
        <f>IF($B4326="Portfolio","Portfolio",IFERROR(INDEX(DATA_ASSET_CLASSIFICATION!$B$8:$B$24,MATCH($C4326,DATA_ASSET_CLASSIFICATION!$A$8:$A$24,0)),"Review"))</f>
        <v>1656 Adanac Street</v>
      </c>
      <c r="N4326" s="350" t="str">
        <f>IF($B4326="Portfolio","Portfolio",IFERROR(INDEX(DATA_ASSET_CLASSIFICATION!$U$8:$U$24,MATCH($C4326,DATA_ASSET_CLASSIFICATION!$A$8:$A$24,0)),"Review"))</f>
        <v>New Build</v>
      </c>
      <c r="O4326" s="350" t="str">
        <f>IF($B4326="Portfolio","Portfolio",IFERROR(INDEX(DATA_ASSET_CLASSIFICATION!$AB$8:$AB$13,MATCH($N4326,DATA_ASSET_CLASSIFICATION!$AA$8:$AA$13,0)),"Review"))</f>
        <v>Bucket 1 · New Build</v>
      </c>
      <c r="P4326" s="350" t="str">
        <f>IF($B4326="Portfolio","Portfolio",IFERROR(INDEX(DATA_ASSET_CLASSIFICATION!$C$8:$C$24,MATCH($C4326,DATA_ASSET_CLASSIFICATION!$A$8:$A$24,0)),"Review"))</f>
        <v>Yes</v>
      </c>
      <c r="Q4326" s="350" t="str">
        <f t="shared" ca="1" si="135"/>
        <v>OK</v>
      </c>
    </row>
    <row r="4327" spans="1:17">
      <c r="A4327" s="366" t="s">
        <v>6283</v>
      </c>
      <c r="B4327" s="366" t="s">
        <v>231</v>
      </c>
      <c r="C4327" s="348" t="str">
        <f>DATA_PROPERTY_MASTER!$A$18</f>
        <v>BLD_AS</v>
      </c>
      <c r="D4327" s="380">
        <f>'00_PORTFOLIO ROLLUP'!U$12</f>
        <v>2041</v>
      </c>
      <c r="E4327" s="366" t="s">
        <v>1683</v>
      </c>
      <c r="F4327" s="366" t="s">
        <v>21</v>
      </c>
      <c r="G4327" s="348" t="str">
        <f>"'"&amp;$C4327&amp;"'!$E$45:$Y$45"</f>
        <v>'BLD_AS'!$E$45:$Y$45</v>
      </c>
      <c r="H4327" s="381">
        <f ca="1">IF(IFERROR(INDEX(DATA_PROPERTY_MASTER!$E$5:$E$21,MATCH($C4327,DATA_PROPERTY_MASTER!$A$5:$A$21,0))="Yes",FALSE),IFERROR(INDEX(INDIRECT("'"&amp;$C4327&amp;"'!$E$45:$Y$45"),1,MATCH($D4327,INDIRECT("'"&amp;$C4327&amp;"'!$E$12:$Y$12"),0)),0),0)</f>
        <v>1376009.9453179883</v>
      </c>
      <c r="I4327" s="366" t="s">
        <v>1685</v>
      </c>
      <c r="J4327" s="348" t="str">
        <f t="shared" ca="1" si="134"/>
        <v>OK</v>
      </c>
      <c r="K4327" s="366" t="s">
        <v>1694</v>
      </c>
      <c r="L4327" s="366" t="s">
        <v>2242</v>
      </c>
      <c r="M4327" s="350" t="str">
        <f>IF($B4327="Portfolio","Portfolio",IFERROR(INDEX(DATA_ASSET_CLASSIFICATION!$B$8:$B$24,MATCH($C4327,DATA_ASSET_CLASSIFICATION!$A$8:$A$24,0)),"Review"))</f>
        <v>1656 Adanac Street</v>
      </c>
      <c r="N4327" s="350" t="str">
        <f>IF($B4327="Portfolio","Portfolio",IFERROR(INDEX(DATA_ASSET_CLASSIFICATION!$U$8:$U$24,MATCH($C4327,DATA_ASSET_CLASSIFICATION!$A$8:$A$24,0)),"Review"))</f>
        <v>New Build</v>
      </c>
      <c r="O4327" s="350" t="str">
        <f>IF($B4327="Portfolio","Portfolio",IFERROR(INDEX(DATA_ASSET_CLASSIFICATION!$AB$8:$AB$13,MATCH($N4327,DATA_ASSET_CLASSIFICATION!$AA$8:$AA$13,0)),"Review"))</f>
        <v>Bucket 1 · New Build</v>
      </c>
      <c r="P4327" s="350" t="str">
        <f>IF($B4327="Portfolio","Portfolio",IFERROR(INDEX(DATA_ASSET_CLASSIFICATION!$C$8:$C$24,MATCH($C4327,DATA_ASSET_CLASSIFICATION!$A$8:$A$24,0)),"Review"))</f>
        <v>Yes</v>
      </c>
      <c r="Q4327" s="350" t="str">
        <f t="shared" ca="1" si="135"/>
        <v>OK</v>
      </c>
    </row>
    <row r="4328" spans="1:17">
      <c r="A4328" s="366" t="s">
        <v>6284</v>
      </c>
      <c r="B4328" s="366" t="s">
        <v>231</v>
      </c>
      <c r="C4328" s="348" t="str">
        <f>DATA_PROPERTY_MASTER!$A$18</f>
        <v>BLD_AS</v>
      </c>
      <c r="D4328" s="380">
        <f>'00_PORTFOLIO ROLLUP'!U$12</f>
        <v>2041</v>
      </c>
      <c r="E4328" s="366" t="s">
        <v>23</v>
      </c>
      <c r="F4328" s="366" t="s">
        <v>23</v>
      </c>
      <c r="G4328" s="348" t="str">
        <f>"'"&amp;$C4328&amp;"'!$E$48:$Y$48"</f>
        <v>'BLD_AS'!$E$48:$Y$48</v>
      </c>
      <c r="H4328" s="381">
        <f ca="1">IF(IFERROR(INDEX(DATA_PROPERTY_MASTER!$E$5:$E$21,MATCH($C4328,DATA_PROPERTY_MASTER!$A$5:$A$21,0))="Yes",FALSE),IFERROR(INDEX(INDIRECT("'"&amp;$C4328&amp;"'!$E$48:$Y$48"),1,MATCH($D4328,INDIRECT("'"&amp;$C4328&amp;"'!$E$12:$Y$12"),0)),0),0)</f>
        <v>805649.51774556539</v>
      </c>
      <c r="I4328" s="366" t="s">
        <v>1690</v>
      </c>
      <c r="J4328" s="348" t="str">
        <f t="shared" ca="1" si="134"/>
        <v>OK</v>
      </c>
      <c r="K4328" s="366" t="s">
        <v>1706</v>
      </c>
      <c r="L4328" s="366" t="s">
        <v>2244</v>
      </c>
      <c r="M4328" s="350" t="str">
        <f>IF($B4328="Portfolio","Portfolio",IFERROR(INDEX(DATA_ASSET_CLASSIFICATION!$B$8:$B$24,MATCH($C4328,DATA_ASSET_CLASSIFICATION!$A$8:$A$24,0)),"Review"))</f>
        <v>1656 Adanac Street</v>
      </c>
      <c r="N4328" s="350" t="str">
        <f>IF($B4328="Portfolio","Portfolio",IFERROR(INDEX(DATA_ASSET_CLASSIFICATION!$U$8:$U$24,MATCH($C4328,DATA_ASSET_CLASSIFICATION!$A$8:$A$24,0)),"Review"))</f>
        <v>New Build</v>
      </c>
      <c r="O4328" s="350" t="str">
        <f>IF($B4328="Portfolio","Portfolio",IFERROR(INDEX(DATA_ASSET_CLASSIFICATION!$AB$8:$AB$13,MATCH($N4328,DATA_ASSET_CLASSIFICATION!$AA$8:$AA$13,0)),"Review"))</f>
        <v>Bucket 1 · New Build</v>
      </c>
      <c r="P4328" s="350" t="str">
        <f>IF($B4328="Portfolio","Portfolio",IFERROR(INDEX(DATA_ASSET_CLASSIFICATION!$C$8:$C$24,MATCH($C4328,DATA_ASSET_CLASSIFICATION!$A$8:$A$24,0)),"Review"))</f>
        <v>Yes</v>
      </c>
      <c r="Q4328" s="350" t="str">
        <f t="shared" ca="1" si="135"/>
        <v>OK</v>
      </c>
    </row>
    <row r="4329" spans="1:17">
      <c r="A4329" s="366" t="s">
        <v>6285</v>
      </c>
      <c r="B4329" s="366" t="s">
        <v>231</v>
      </c>
      <c r="C4329" s="348" t="str">
        <f>DATA_PROPERTY_MASTER!$A$18</f>
        <v>BLD_AS</v>
      </c>
      <c r="D4329" s="380">
        <f>'00_PORTFOLIO ROLLUP'!U$12</f>
        <v>2041</v>
      </c>
      <c r="E4329" s="366" t="s">
        <v>1683</v>
      </c>
      <c r="F4329" s="366" t="s">
        <v>25</v>
      </c>
      <c r="G4329" s="348" t="str">
        <f>"'"&amp;$C4329&amp;"'!$E$52:$Y$52"</f>
        <v>'BLD_AS'!$E$52:$Y$52</v>
      </c>
      <c r="H4329" s="381">
        <f ca="1">IF(IFERROR(INDEX(DATA_PROPERTY_MASTER!$E$5:$E$21,MATCH($C4329,DATA_PROPERTY_MASTER!$A$5:$A$21,0))="Yes",FALSE),IFERROR(INDEX(INDIRECT("'"&amp;$C4329&amp;"'!$E$52:$Y$52"),1,MATCH($D4329,INDIRECT("'"&amp;$C4329&amp;"'!$E$12:$Y$12"),0)),0),0)</f>
        <v>590334.4595814913</v>
      </c>
      <c r="I4329" s="366" t="s">
        <v>1685</v>
      </c>
      <c r="J4329" s="348" t="str">
        <f t="shared" ca="1" si="134"/>
        <v>OK</v>
      </c>
      <c r="K4329" s="366" t="s">
        <v>1710</v>
      </c>
      <c r="L4329" s="366" t="s">
        <v>2246</v>
      </c>
      <c r="M4329" s="350" t="str">
        <f>IF($B4329="Portfolio","Portfolio",IFERROR(INDEX(DATA_ASSET_CLASSIFICATION!$B$8:$B$24,MATCH($C4329,DATA_ASSET_CLASSIFICATION!$A$8:$A$24,0)),"Review"))</f>
        <v>1656 Adanac Street</v>
      </c>
      <c r="N4329" s="350" t="str">
        <f>IF($B4329="Portfolio","Portfolio",IFERROR(INDEX(DATA_ASSET_CLASSIFICATION!$U$8:$U$24,MATCH($C4329,DATA_ASSET_CLASSIFICATION!$A$8:$A$24,0)),"Review"))</f>
        <v>New Build</v>
      </c>
      <c r="O4329" s="350" t="str">
        <f>IF($B4329="Portfolio","Portfolio",IFERROR(INDEX(DATA_ASSET_CLASSIFICATION!$AB$8:$AB$13,MATCH($N4329,DATA_ASSET_CLASSIFICATION!$AA$8:$AA$13,0)),"Review"))</f>
        <v>Bucket 1 · New Build</v>
      </c>
      <c r="P4329" s="350" t="str">
        <f>IF($B4329="Portfolio","Portfolio",IFERROR(INDEX(DATA_ASSET_CLASSIFICATION!$C$8:$C$24,MATCH($C4329,DATA_ASSET_CLASSIFICATION!$A$8:$A$24,0)),"Review"))</f>
        <v>Yes</v>
      </c>
      <c r="Q4329" s="350" t="str">
        <f t="shared" ca="1" si="135"/>
        <v>OK</v>
      </c>
    </row>
    <row r="4330" spans="1:17">
      <c r="A4330" s="366" t="s">
        <v>6286</v>
      </c>
      <c r="B4330" s="366" t="s">
        <v>231</v>
      </c>
      <c r="C4330" s="348" t="str">
        <f>DATA_PROPERTY_MASTER!$A$18</f>
        <v>BLD_AS</v>
      </c>
      <c r="D4330" s="380">
        <f>'00_PORTFOLIO ROLLUP'!U$12</f>
        <v>2041</v>
      </c>
      <c r="E4330" s="366" t="s">
        <v>1683</v>
      </c>
      <c r="F4330" s="366" t="s">
        <v>27</v>
      </c>
      <c r="G4330" s="348" t="str">
        <f>"'"&amp;$C4330&amp;"'!$E$54:$Y$54"</f>
        <v>'BLD_AS'!$E$54:$Y$54</v>
      </c>
      <c r="H4330" s="381">
        <f ca="1">IF(IFERROR(INDEX(DATA_PROPERTY_MASTER!$E$5:$E$21,MATCH($C4330,DATA_PROPERTY_MASTER!$A$5:$A$21,0))="Yes",FALSE),IFERROR(INDEX(INDIRECT("'"&amp;$C4330&amp;"'!$E$54:$Y$54"),1,MATCH($D4330,INDIRECT("'"&amp;$C4330&amp;"'!$E$12:$Y$12"),0)),0),0)</f>
        <v>354200.67574889475</v>
      </c>
      <c r="I4330" s="366" t="s">
        <v>1690</v>
      </c>
      <c r="J4330" s="348" t="str">
        <f t="shared" ca="1" si="134"/>
        <v>OK</v>
      </c>
      <c r="K4330" s="366" t="s">
        <v>1714</v>
      </c>
      <c r="L4330" s="366" t="s">
        <v>2248</v>
      </c>
      <c r="M4330" s="350" t="str">
        <f>IF($B4330="Portfolio","Portfolio",IFERROR(INDEX(DATA_ASSET_CLASSIFICATION!$B$8:$B$24,MATCH($C4330,DATA_ASSET_CLASSIFICATION!$A$8:$A$24,0)),"Review"))</f>
        <v>1656 Adanac Street</v>
      </c>
      <c r="N4330" s="350" t="str">
        <f>IF($B4330="Portfolio","Portfolio",IFERROR(INDEX(DATA_ASSET_CLASSIFICATION!$U$8:$U$24,MATCH($C4330,DATA_ASSET_CLASSIFICATION!$A$8:$A$24,0)),"Review"))</f>
        <v>New Build</v>
      </c>
      <c r="O4330" s="350" t="str">
        <f>IF($B4330="Portfolio","Portfolio",IFERROR(INDEX(DATA_ASSET_CLASSIFICATION!$AB$8:$AB$13,MATCH($N4330,DATA_ASSET_CLASSIFICATION!$AA$8:$AA$13,0)),"Review"))</f>
        <v>Bucket 1 · New Build</v>
      </c>
      <c r="P4330" s="350" t="str">
        <f>IF($B4330="Portfolio","Portfolio",IFERROR(INDEX(DATA_ASSET_CLASSIFICATION!$C$8:$C$24,MATCH($C4330,DATA_ASSET_CLASSIFICATION!$A$8:$A$24,0)),"Review"))</f>
        <v>Yes</v>
      </c>
      <c r="Q4330" s="350" t="str">
        <f t="shared" ca="1" si="135"/>
        <v>OK</v>
      </c>
    </row>
    <row r="4331" spans="1:17">
      <c r="A4331" s="366" t="s">
        <v>6287</v>
      </c>
      <c r="B4331" s="366" t="s">
        <v>231</v>
      </c>
      <c r="C4331" s="348" t="str">
        <f>DATA_PROPERTY_MASTER!$A$18</f>
        <v>BLD_AS</v>
      </c>
      <c r="D4331" s="380">
        <f>'00_PORTFOLIO ROLLUP'!U$12</f>
        <v>2041</v>
      </c>
      <c r="E4331" s="366" t="s">
        <v>1683</v>
      </c>
      <c r="F4331" s="366" t="s">
        <v>29</v>
      </c>
      <c r="G4331" s="348" t="str">
        <f>"'"&amp;$C4331&amp;"'!$E$56:$Y$56"</f>
        <v>'BLD_AS'!$E$56:$Y$56</v>
      </c>
      <c r="H4331" s="381">
        <f ca="1">IF(IFERROR(INDEX(DATA_PROPERTY_MASTER!$E$5:$E$21,MATCH($C4331,DATA_PROPERTY_MASTER!$A$5:$A$21,0))="Yes",FALSE),IFERROR(INDEX(INDIRECT("'"&amp;$C4331&amp;"'!$E$56:$Y$56"),1,MATCH($D4331,INDIRECT("'"&amp;$C4331&amp;"'!$E$12:$Y$12"),0)),0),0)</f>
        <v>236133.78383259656</v>
      </c>
      <c r="I4331" s="366" t="s">
        <v>1685</v>
      </c>
      <c r="J4331" s="348" t="str">
        <f t="shared" ca="1" si="134"/>
        <v>OK</v>
      </c>
      <c r="K4331" s="366" t="s">
        <v>1718</v>
      </c>
      <c r="L4331" s="366" t="s">
        <v>2250</v>
      </c>
      <c r="M4331" s="350" t="str">
        <f>IF($B4331="Portfolio","Portfolio",IFERROR(INDEX(DATA_ASSET_CLASSIFICATION!$B$8:$B$24,MATCH($C4331,DATA_ASSET_CLASSIFICATION!$A$8:$A$24,0)),"Review"))</f>
        <v>1656 Adanac Street</v>
      </c>
      <c r="N4331" s="350" t="str">
        <f>IF($B4331="Portfolio","Portfolio",IFERROR(INDEX(DATA_ASSET_CLASSIFICATION!$U$8:$U$24,MATCH($C4331,DATA_ASSET_CLASSIFICATION!$A$8:$A$24,0)),"Review"))</f>
        <v>New Build</v>
      </c>
      <c r="O4331" s="350" t="str">
        <f>IF($B4331="Portfolio","Portfolio",IFERROR(INDEX(DATA_ASSET_CLASSIFICATION!$AB$8:$AB$13,MATCH($N4331,DATA_ASSET_CLASSIFICATION!$AA$8:$AA$13,0)),"Review"))</f>
        <v>Bucket 1 · New Build</v>
      </c>
      <c r="P4331" s="350" t="str">
        <f>IF($B4331="Portfolio","Portfolio",IFERROR(INDEX(DATA_ASSET_CLASSIFICATION!$C$8:$C$24,MATCH($C4331,DATA_ASSET_CLASSIFICATION!$A$8:$A$24,0)),"Review"))</f>
        <v>Yes</v>
      </c>
      <c r="Q4331" s="350" t="str">
        <f t="shared" ca="1" si="135"/>
        <v>OK</v>
      </c>
    </row>
    <row r="4332" spans="1:17">
      <c r="A4332" s="366" t="s">
        <v>6288</v>
      </c>
      <c r="B4332" s="366" t="s">
        <v>231</v>
      </c>
      <c r="C4332" s="348" t="str">
        <f>DATA_PROPERTY_MASTER!$A$18</f>
        <v>BLD_AS</v>
      </c>
      <c r="D4332" s="380">
        <f>'00_PORTFOLIO ROLLUP'!U$12</f>
        <v>2041</v>
      </c>
      <c r="E4332" s="366" t="s">
        <v>1721</v>
      </c>
      <c r="F4332" s="366" t="s">
        <v>31</v>
      </c>
      <c r="G4332" s="348" t="str">
        <f>"'"&amp;$C4332&amp;"'!$E$61:$Y$61"</f>
        <v>'BLD_AS'!$E$61:$Y$61</v>
      </c>
      <c r="H4332" s="381">
        <f ca="1">IF(IFERROR(INDEX(DATA_PROPERTY_MASTER!$E$5:$E$21,MATCH($C4332,DATA_PROPERTY_MASTER!$A$5:$A$21,0))="Yes",FALSE),IFERROR(INDEX(INDIRECT("'"&amp;$C4332&amp;"'!$E$61:$Y$61"),1,MATCH($D4332,INDIRECT("'"&amp;$C4332&amp;"'!$E$12:$Y$12"),0)),0),0)</f>
        <v>0</v>
      </c>
      <c r="I4332" s="366" t="s">
        <v>1690</v>
      </c>
      <c r="J4332" s="348" t="str">
        <f t="shared" ca="1" si="134"/>
        <v>OK</v>
      </c>
      <c r="K4332" s="366" t="s">
        <v>1723</v>
      </c>
      <c r="L4332" s="366" t="s">
        <v>2252</v>
      </c>
      <c r="M4332" s="350" t="str">
        <f>IF($B4332="Portfolio","Portfolio",IFERROR(INDEX(DATA_ASSET_CLASSIFICATION!$B$8:$B$24,MATCH($C4332,DATA_ASSET_CLASSIFICATION!$A$8:$A$24,0)),"Review"))</f>
        <v>1656 Adanac Street</v>
      </c>
      <c r="N4332" s="350" t="str">
        <f>IF($B4332="Portfolio","Portfolio",IFERROR(INDEX(DATA_ASSET_CLASSIFICATION!$U$8:$U$24,MATCH($C4332,DATA_ASSET_CLASSIFICATION!$A$8:$A$24,0)),"Review"))</f>
        <v>New Build</v>
      </c>
      <c r="O4332" s="350" t="str">
        <f>IF($B4332="Portfolio","Portfolio",IFERROR(INDEX(DATA_ASSET_CLASSIFICATION!$AB$8:$AB$13,MATCH($N4332,DATA_ASSET_CLASSIFICATION!$AA$8:$AA$13,0)),"Review"))</f>
        <v>Bucket 1 · New Build</v>
      </c>
      <c r="P4332" s="350" t="str">
        <f>IF($B4332="Portfolio","Portfolio",IFERROR(INDEX(DATA_ASSET_CLASSIFICATION!$C$8:$C$24,MATCH($C4332,DATA_ASSET_CLASSIFICATION!$A$8:$A$24,0)),"Review"))</f>
        <v>Yes</v>
      </c>
      <c r="Q4332" s="350" t="str">
        <f t="shared" ca="1" si="135"/>
        <v>OK</v>
      </c>
    </row>
    <row r="4333" spans="1:17">
      <c r="A4333" s="366" t="s">
        <v>6289</v>
      </c>
      <c r="B4333" s="366" t="s">
        <v>231</v>
      </c>
      <c r="C4333" s="348" t="str">
        <f>DATA_PROPERTY_MASTER!$A$18</f>
        <v>BLD_AS</v>
      </c>
      <c r="D4333" s="380">
        <f>'00_PORTFOLIO ROLLUP'!U$12</f>
        <v>2041</v>
      </c>
      <c r="E4333" s="366" t="s">
        <v>1721</v>
      </c>
      <c r="F4333" s="366" t="s">
        <v>33</v>
      </c>
      <c r="G4333" s="348" t="str">
        <f>"'"&amp;$C4333&amp;"'!$E$62:$Y$62"</f>
        <v>'BLD_AS'!$E$62:$Y$62</v>
      </c>
      <c r="H4333" s="381">
        <f ca="1">IF(IFERROR(INDEX(DATA_PROPERTY_MASTER!$E$5:$E$21,MATCH($C4333,DATA_PROPERTY_MASTER!$A$5:$A$21,0))="Yes",FALSE),IFERROR(INDEX(INDIRECT("'"&amp;$C4333&amp;"'!$E$62:$Y$62"),1,MATCH($D4333,INDIRECT("'"&amp;$C4333&amp;"'!$E$12:$Y$12"),0)),0),0)</f>
        <v>0</v>
      </c>
      <c r="I4333" s="366" t="s">
        <v>1685</v>
      </c>
      <c r="J4333" s="348" t="str">
        <f t="shared" ca="1" si="134"/>
        <v>OK</v>
      </c>
      <c r="K4333" s="366" t="s">
        <v>1727</v>
      </c>
      <c r="L4333" s="366" t="s">
        <v>2254</v>
      </c>
      <c r="M4333" s="350" t="str">
        <f>IF($B4333="Portfolio","Portfolio",IFERROR(INDEX(DATA_ASSET_CLASSIFICATION!$B$8:$B$24,MATCH($C4333,DATA_ASSET_CLASSIFICATION!$A$8:$A$24,0)),"Review"))</f>
        <v>1656 Adanac Street</v>
      </c>
      <c r="N4333" s="350" t="str">
        <f>IF($B4333="Portfolio","Portfolio",IFERROR(INDEX(DATA_ASSET_CLASSIFICATION!$U$8:$U$24,MATCH($C4333,DATA_ASSET_CLASSIFICATION!$A$8:$A$24,0)),"Review"))</f>
        <v>New Build</v>
      </c>
      <c r="O4333" s="350" t="str">
        <f>IF($B4333="Portfolio","Portfolio",IFERROR(INDEX(DATA_ASSET_CLASSIFICATION!$AB$8:$AB$13,MATCH($N4333,DATA_ASSET_CLASSIFICATION!$AA$8:$AA$13,0)),"Review"))</f>
        <v>Bucket 1 · New Build</v>
      </c>
      <c r="P4333" s="350" t="str">
        <f>IF($B4333="Portfolio","Portfolio",IFERROR(INDEX(DATA_ASSET_CLASSIFICATION!$C$8:$C$24,MATCH($C4333,DATA_ASSET_CLASSIFICATION!$A$8:$A$24,0)),"Review"))</f>
        <v>Yes</v>
      </c>
      <c r="Q4333" s="350" t="str">
        <f t="shared" ca="1" si="135"/>
        <v>OK</v>
      </c>
    </row>
    <row r="4334" spans="1:17">
      <c r="A4334" s="366" t="s">
        <v>6290</v>
      </c>
      <c r="B4334" s="366" t="s">
        <v>231</v>
      </c>
      <c r="C4334" s="348" t="str">
        <f>DATA_PROPERTY_MASTER!$A$18</f>
        <v>BLD_AS</v>
      </c>
      <c r="D4334" s="380">
        <f>'00_PORTFOLIO ROLLUP'!U$12</f>
        <v>2041</v>
      </c>
      <c r="E4334" s="366" t="s">
        <v>1721</v>
      </c>
      <c r="F4334" s="366" t="s">
        <v>35</v>
      </c>
      <c r="G4334" s="348" t="str">
        <f>"'"&amp;$C4334&amp;"'!$E$63:$Y$63"</f>
        <v>'BLD_AS'!$E$63:$Y$63</v>
      </c>
      <c r="H4334" s="381">
        <f ca="1">IF(IFERROR(INDEX(DATA_PROPERTY_MASTER!$E$5:$E$21,MATCH($C4334,DATA_PROPERTY_MASTER!$A$5:$A$21,0))="Yes",FALSE),IFERROR(INDEX(INDIRECT("'"&amp;$C4334&amp;"'!$E$63:$Y$63"),1,MATCH($D4334,INDIRECT("'"&amp;$C4334&amp;"'!$E$12:$Y$12"),0)),0),0)</f>
        <v>0</v>
      </c>
      <c r="I4334" s="366" t="s">
        <v>1731</v>
      </c>
      <c r="J4334" s="348" t="str">
        <f t="shared" ca="1" si="134"/>
        <v>OK</v>
      </c>
      <c r="K4334" s="366" t="s">
        <v>1732</v>
      </c>
      <c r="L4334" s="366" t="s">
        <v>2256</v>
      </c>
      <c r="M4334" s="350" t="str">
        <f>IF($B4334="Portfolio","Portfolio",IFERROR(INDEX(DATA_ASSET_CLASSIFICATION!$B$8:$B$24,MATCH($C4334,DATA_ASSET_CLASSIFICATION!$A$8:$A$24,0)),"Review"))</f>
        <v>1656 Adanac Street</v>
      </c>
      <c r="N4334" s="350" t="str">
        <f>IF($B4334="Portfolio","Portfolio",IFERROR(INDEX(DATA_ASSET_CLASSIFICATION!$U$8:$U$24,MATCH($C4334,DATA_ASSET_CLASSIFICATION!$A$8:$A$24,0)),"Review"))</f>
        <v>New Build</v>
      </c>
      <c r="O4334" s="350" t="str">
        <f>IF($B4334="Portfolio","Portfolio",IFERROR(INDEX(DATA_ASSET_CLASSIFICATION!$AB$8:$AB$13,MATCH($N4334,DATA_ASSET_CLASSIFICATION!$AA$8:$AA$13,0)),"Review"))</f>
        <v>Bucket 1 · New Build</v>
      </c>
      <c r="P4334" s="350" t="str">
        <f>IF($B4334="Portfolio","Portfolio",IFERROR(INDEX(DATA_ASSET_CLASSIFICATION!$C$8:$C$24,MATCH($C4334,DATA_ASSET_CLASSIFICATION!$A$8:$A$24,0)),"Review"))</f>
        <v>Yes</v>
      </c>
      <c r="Q4334" s="350" t="str">
        <f t="shared" ca="1" si="135"/>
        <v>OK</v>
      </c>
    </row>
    <row r="4335" spans="1:17">
      <c r="A4335" s="366" t="s">
        <v>6291</v>
      </c>
      <c r="B4335" s="366" t="s">
        <v>231</v>
      </c>
      <c r="C4335" s="348" t="str">
        <f>DATA_PROPERTY_MASTER!$A$18</f>
        <v>BLD_AS</v>
      </c>
      <c r="D4335" s="380">
        <f>'00_PORTFOLIO ROLLUP'!U$12</f>
        <v>2041</v>
      </c>
      <c r="E4335" s="366" t="s">
        <v>1721</v>
      </c>
      <c r="F4335" s="366" t="s">
        <v>37</v>
      </c>
      <c r="G4335" s="348" t="str">
        <f>"'"&amp;$C4335&amp;"'!$E$63:$Y$63"</f>
        <v>'BLD_AS'!$E$63:$Y$63</v>
      </c>
      <c r="H4335" s="381">
        <f ca="1">IF(IFERROR(INDEX(DATA_PROPERTY_MASTER!$E$5:$E$21,MATCH($C4335,DATA_PROPERTY_MASTER!$A$5:$A$21,0))="Yes",FALSE),MAX(IFERROR(INDEX(INDIRECT("'"&amp;$C4335&amp;"'!$E$63:$Y$63"),1,MATCH($D4335,INDIRECT("'"&amp;$C4335&amp;"'!$E$12:$Y$12"),0)),0),0),0)</f>
        <v>0</v>
      </c>
      <c r="I4335" s="366" t="s">
        <v>1685</v>
      </c>
      <c r="J4335" s="348" t="str">
        <f t="shared" ca="1" si="134"/>
        <v>OK</v>
      </c>
      <c r="K4335" s="366" t="s">
        <v>1735</v>
      </c>
      <c r="L4335" s="366" t="s">
        <v>2258</v>
      </c>
      <c r="M4335" s="350" t="str">
        <f>IF($B4335="Portfolio","Portfolio",IFERROR(INDEX(DATA_ASSET_CLASSIFICATION!$B$8:$B$24,MATCH($C4335,DATA_ASSET_CLASSIFICATION!$A$8:$A$24,0)),"Review"))</f>
        <v>1656 Adanac Street</v>
      </c>
      <c r="N4335" s="350" t="str">
        <f>IF($B4335="Portfolio","Portfolio",IFERROR(INDEX(DATA_ASSET_CLASSIFICATION!$U$8:$U$24,MATCH($C4335,DATA_ASSET_CLASSIFICATION!$A$8:$A$24,0)),"Review"))</f>
        <v>New Build</v>
      </c>
      <c r="O4335" s="350" t="str">
        <f>IF($B4335="Portfolio","Portfolio",IFERROR(INDEX(DATA_ASSET_CLASSIFICATION!$AB$8:$AB$13,MATCH($N4335,DATA_ASSET_CLASSIFICATION!$AA$8:$AA$13,0)),"Review"))</f>
        <v>Bucket 1 · New Build</v>
      </c>
      <c r="P4335" s="350" t="str">
        <f>IF($B4335="Portfolio","Portfolio",IFERROR(INDEX(DATA_ASSET_CLASSIFICATION!$C$8:$C$24,MATCH($C4335,DATA_ASSET_CLASSIFICATION!$A$8:$A$24,0)),"Review"))</f>
        <v>Yes</v>
      </c>
      <c r="Q4335" s="350" t="str">
        <f t="shared" ca="1" si="135"/>
        <v>OK</v>
      </c>
    </row>
    <row r="4336" spans="1:17">
      <c r="A4336" s="366" t="s">
        <v>6292</v>
      </c>
      <c r="B4336" s="366" t="s">
        <v>231</v>
      </c>
      <c r="C4336" s="348" t="str">
        <f>DATA_PROPERTY_MASTER!$A$18</f>
        <v>BLD_AS</v>
      </c>
      <c r="D4336" s="380">
        <f>'00_PORTFOLIO ROLLUP'!U$12</f>
        <v>2041</v>
      </c>
      <c r="E4336" s="366" t="s">
        <v>1721</v>
      </c>
      <c r="F4336" s="366" t="s">
        <v>39</v>
      </c>
      <c r="G4336" s="348" t="str">
        <f>"'"&amp;$C4336&amp;"'!$E$63:$Y$63"</f>
        <v>'BLD_AS'!$E$63:$Y$63</v>
      </c>
      <c r="H4336" s="381">
        <f ca="1">IF(IFERROR(INDEX(DATA_PROPERTY_MASTER!$E$5:$E$21,MATCH($C4336,DATA_PROPERTY_MASTER!$A$5:$A$21,0))="Yes",FALSE),MAX(-IFERROR(INDEX(INDIRECT("'"&amp;$C4336&amp;"'!$E$63:$Y$63"),1,MATCH($D4336,INDIRECT("'"&amp;$C4336&amp;"'!$E$12:$Y$12"),0)),0),0),0)</f>
        <v>0</v>
      </c>
      <c r="I4336" s="366" t="s">
        <v>1690</v>
      </c>
      <c r="J4336" s="348" t="str">
        <f t="shared" ca="1" si="134"/>
        <v>OK</v>
      </c>
      <c r="K4336" s="366" t="s">
        <v>1738</v>
      </c>
      <c r="L4336" s="366" t="s">
        <v>2260</v>
      </c>
      <c r="M4336" s="350" t="str">
        <f>IF($B4336="Portfolio","Portfolio",IFERROR(INDEX(DATA_ASSET_CLASSIFICATION!$B$8:$B$24,MATCH($C4336,DATA_ASSET_CLASSIFICATION!$A$8:$A$24,0)),"Review"))</f>
        <v>1656 Adanac Street</v>
      </c>
      <c r="N4336" s="350" t="str">
        <f>IF($B4336="Portfolio","Portfolio",IFERROR(INDEX(DATA_ASSET_CLASSIFICATION!$U$8:$U$24,MATCH($C4336,DATA_ASSET_CLASSIFICATION!$A$8:$A$24,0)),"Review"))</f>
        <v>New Build</v>
      </c>
      <c r="O4336" s="350" t="str">
        <f>IF($B4336="Portfolio","Portfolio",IFERROR(INDEX(DATA_ASSET_CLASSIFICATION!$AB$8:$AB$13,MATCH($N4336,DATA_ASSET_CLASSIFICATION!$AA$8:$AA$13,0)),"Review"))</f>
        <v>Bucket 1 · New Build</v>
      </c>
      <c r="P4336" s="350" t="str">
        <f>IF($B4336="Portfolio","Portfolio",IFERROR(INDEX(DATA_ASSET_CLASSIFICATION!$C$8:$C$24,MATCH($C4336,DATA_ASSET_CLASSIFICATION!$A$8:$A$24,0)),"Review"))</f>
        <v>Yes</v>
      </c>
      <c r="Q4336" s="350" t="str">
        <f t="shared" ca="1" si="135"/>
        <v>OK</v>
      </c>
    </row>
    <row r="4337" spans="1:17">
      <c r="A4337" s="366" t="s">
        <v>6293</v>
      </c>
      <c r="B4337" s="366" t="s">
        <v>231</v>
      </c>
      <c r="C4337" s="348" t="str">
        <f>DATA_PROPERTY_MASTER!$A$18</f>
        <v>BLD_AS</v>
      </c>
      <c r="D4337" s="380">
        <f>'00_PORTFOLIO ROLLUP'!U$12</f>
        <v>2041</v>
      </c>
      <c r="E4337" s="366" t="s">
        <v>1741</v>
      </c>
      <c r="F4337" s="366" t="s">
        <v>41</v>
      </c>
      <c r="G4337" s="348" t="str">
        <f>"'"&amp;$C4337&amp;"'!rows 56 + positive row 63"</f>
        <v>'BLD_AS'!rows 56 + positive row 63</v>
      </c>
      <c r="H4337" s="381">
        <f ca="1">IF(IFERROR(INDEX(DATA_PROPERTY_MASTER!$E$5:$E$21,MATCH($C4337,DATA_PROPERTY_MASTER!$A$5:$A$21,0))="Yes",FALSE),IFERROR(INDEX(INDIRECT("'"&amp;$C4337&amp;"'!$E$56:$Y$56"),1,MATCH($D4337,INDIRECT("'"&amp;$C4337&amp;"'!$E$12:$Y$12"),0)),0)+MAX(IFERROR(INDEX(INDIRECT("'"&amp;$C4337&amp;"'!$E$63:$Y$63"),1,MATCH($D4337,INDIRECT("'"&amp;$C4337&amp;"'!$E$12:$Y$12"),0)),0),0),0)</f>
        <v>236133.78383259656</v>
      </c>
      <c r="I4337" s="366" t="s">
        <v>1685</v>
      </c>
      <c r="J4337" s="348" t="str">
        <f t="shared" ca="1" si="134"/>
        <v>OK</v>
      </c>
      <c r="K4337" s="366" t="s">
        <v>1742</v>
      </c>
      <c r="L4337" s="366" t="s">
        <v>2262</v>
      </c>
      <c r="M4337" s="350" t="str">
        <f>IF($B4337="Portfolio","Portfolio",IFERROR(INDEX(DATA_ASSET_CLASSIFICATION!$B$8:$B$24,MATCH($C4337,DATA_ASSET_CLASSIFICATION!$A$8:$A$24,0)),"Review"))</f>
        <v>1656 Adanac Street</v>
      </c>
      <c r="N4337" s="350" t="str">
        <f>IF($B4337="Portfolio","Portfolio",IFERROR(INDEX(DATA_ASSET_CLASSIFICATION!$U$8:$U$24,MATCH($C4337,DATA_ASSET_CLASSIFICATION!$A$8:$A$24,0)),"Review"))</f>
        <v>New Build</v>
      </c>
      <c r="O4337" s="350" t="str">
        <f>IF($B4337="Portfolio","Portfolio",IFERROR(INDEX(DATA_ASSET_CLASSIFICATION!$AB$8:$AB$13,MATCH($N4337,DATA_ASSET_CLASSIFICATION!$AA$8:$AA$13,0)),"Review"))</f>
        <v>Bucket 1 · New Build</v>
      </c>
      <c r="P4337" s="350" t="str">
        <f>IF($B4337="Portfolio","Portfolio",IFERROR(INDEX(DATA_ASSET_CLASSIFICATION!$C$8:$C$24,MATCH($C4337,DATA_ASSET_CLASSIFICATION!$A$8:$A$24,0)),"Review"))</f>
        <v>Yes</v>
      </c>
      <c r="Q4337" s="350" t="str">
        <f t="shared" ca="1" si="135"/>
        <v>OK</v>
      </c>
    </row>
    <row r="4338" spans="1:17">
      <c r="A4338" s="366" t="s">
        <v>6294</v>
      </c>
      <c r="B4338" s="366" t="s">
        <v>231</v>
      </c>
      <c r="C4338" s="348" t="str">
        <f>DATA_PROPERTY_MASTER!$A$18</f>
        <v>BLD_AS</v>
      </c>
      <c r="D4338" s="380">
        <f>'00_PORTFOLIO ROLLUP'!U$12</f>
        <v>2041</v>
      </c>
      <c r="E4338" s="366" t="s">
        <v>1741</v>
      </c>
      <c r="F4338" s="366" t="s">
        <v>43</v>
      </c>
      <c r="G4338" s="348" t="str">
        <f>"'"&amp;$C4338&amp;"'!$E$68:$Y$68"</f>
        <v>'BLD_AS'!$E$68:$Y$68</v>
      </c>
      <c r="H4338" s="381">
        <f ca="1">IF(IFERROR(INDEX(DATA_PROPERTY_MASTER!$E$5:$E$21,MATCH($C4338,DATA_PROPERTY_MASTER!$A$5:$A$21,0))="Yes",FALSE),IFERROR(INDEX(INDIRECT("'"&amp;$C4338&amp;"'!$E$68:$Y$68"),1,MATCH($D4338,INDIRECT("'"&amp;$C4338&amp;"'!$E$12:$Y$12"),0)),0),0)</f>
        <v>236133.78383259656</v>
      </c>
      <c r="I4338" s="366" t="s">
        <v>1731</v>
      </c>
      <c r="J4338" s="348" t="str">
        <f t="shared" ca="1" si="134"/>
        <v>OK</v>
      </c>
      <c r="K4338" s="366" t="s">
        <v>1746</v>
      </c>
      <c r="L4338" s="366" t="s">
        <v>2264</v>
      </c>
      <c r="M4338" s="350" t="str">
        <f>IF($B4338="Portfolio","Portfolio",IFERROR(INDEX(DATA_ASSET_CLASSIFICATION!$B$8:$B$24,MATCH($C4338,DATA_ASSET_CLASSIFICATION!$A$8:$A$24,0)),"Review"))</f>
        <v>1656 Adanac Street</v>
      </c>
      <c r="N4338" s="350" t="str">
        <f>IF($B4338="Portfolio","Portfolio",IFERROR(INDEX(DATA_ASSET_CLASSIFICATION!$U$8:$U$24,MATCH($C4338,DATA_ASSET_CLASSIFICATION!$A$8:$A$24,0)),"Review"))</f>
        <v>New Build</v>
      </c>
      <c r="O4338" s="350" t="str">
        <f>IF($B4338="Portfolio","Portfolio",IFERROR(INDEX(DATA_ASSET_CLASSIFICATION!$AB$8:$AB$13,MATCH($N4338,DATA_ASSET_CLASSIFICATION!$AA$8:$AA$13,0)),"Review"))</f>
        <v>Bucket 1 · New Build</v>
      </c>
      <c r="P4338" s="350" t="str">
        <f>IF($B4338="Portfolio","Portfolio",IFERROR(INDEX(DATA_ASSET_CLASSIFICATION!$C$8:$C$24,MATCH($C4338,DATA_ASSET_CLASSIFICATION!$A$8:$A$24,0)),"Review"))</f>
        <v>Yes</v>
      </c>
      <c r="Q4338" s="350" t="str">
        <f t="shared" ca="1" si="135"/>
        <v>OK</v>
      </c>
    </row>
    <row r="4339" spans="1:17">
      <c r="A4339" s="366" t="s">
        <v>6295</v>
      </c>
      <c r="B4339" s="366" t="s">
        <v>231</v>
      </c>
      <c r="C4339" s="348" t="str">
        <f>DATA_PROPERTY_MASTER!$A$18</f>
        <v>BLD_AS</v>
      </c>
      <c r="D4339" s="380">
        <f>'00_PORTFOLIO ROLLUP'!U$12</f>
        <v>2041</v>
      </c>
      <c r="E4339" s="366" t="s">
        <v>1741</v>
      </c>
      <c r="F4339" s="366" t="s">
        <v>1749</v>
      </c>
      <c r="G4339" s="348" t="str">
        <f>"'"&amp;$C4339&amp;"'!rows 56, 63, 68"</f>
        <v>'BLD_AS'!rows 56, 63, 68</v>
      </c>
      <c r="H4339" s="381">
        <f ca="1">IF(IFERROR(INDEX(DATA_PROPERTY_MASTER!$E$5:$E$21,MATCH($C4339,DATA_PROPERTY_MASTER!$A$5:$A$21,0))="Yes",FALSE),(IFERROR(INDEX(INDIRECT("'"&amp;$C4339&amp;"'!$E$56:$Y$56"),1,MATCH($D4339,INDIRECT("'"&amp;$C4339&amp;"'!$E$12:$Y$12"),0)),0)+MAX(IFERROR(INDEX(INDIRECT("'"&amp;$C4339&amp;"'!$E$63:$Y$63"),1,MATCH($D4339,INDIRECT("'"&amp;$C4339&amp;"'!$E$12:$Y$12"),0)),0),0))-(IFERROR(INDEX(INDIRECT("'"&amp;$C4339&amp;"'!$E$68:$Y$68"),1,MATCH($D4339,INDIRECT("'"&amp;$C4339&amp;"'!$E$12:$Y$12"),0)),0)),0)</f>
        <v>0</v>
      </c>
      <c r="I4339" s="366" t="s">
        <v>1750</v>
      </c>
      <c r="J4339" s="348" t="str">
        <f t="shared" ca="1" si="134"/>
        <v>OK</v>
      </c>
      <c r="K4339" s="366" t="s">
        <v>1751</v>
      </c>
      <c r="L4339" s="366" t="s">
        <v>2266</v>
      </c>
      <c r="M4339" s="350" t="str">
        <f>IF($B4339="Portfolio","Portfolio",IFERROR(INDEX(DATA_ASSET_CLASSIFICATION!$B$8:$B$24,MATCH($C4339,DATA_ASSET_CLASSIFICATION!$A$8:$A$24,0)),"Review"))</f>
        <v>1656 Adanac Street</v>
      </c>
      <c r="N4339" s="350" t="str">
        <f>IF($B4339="Portfolio","Portfolio",IFERROR(INDEX(DATA_ASSET_CLASSIFICATION!$U$8:$U$24,MATCH($C4339,DATA_ASSET_CLASSIFICATION!$A$8:$A$24,0)),"Review"))</f>
        <v>New Build</v>
      </c>
      <c r="O4339" s="350" t="str">
        <f>IF($B4339="Portfolio","Portfolio",IFERROR(INDEX(DATA_ASSET_CLASSIFICATION!$AB$8:$AB$13,MATCH($N4339,DATA_ASSET_CLASSIFICATION!$AA$8:$AA$13,0)),"Review"))</f>
        <v>Bucket 1 · New Build</v>
      </c>
      <c r="P4339" s="350" t="str">
        <f>IF($B4339="Portfolio","Portfolio",IFERROR(INDEX(DATA_ASSET_CLASSIFICATION!$C$8:$C$24,MATCH($C4339,DATA_ASSET_CLASSIFICATION!$A$8:$A$24,0)),"Review"))</f>
        <v>Yes</v>
      </c>
      <c r="Q4339" s="350" t="str">
        <f t="shared" ca="1" si="135"/>
        <v>OK</v>
      </c>
    </row>
    <row r="4340" spans="1:17">
      <c r="A4340" s="366" t="s">
        <v>6296</v>
      </c>
      <c r="B4340" s="366" t="s">
        <v>231</v>
      </c>
      <c r="C4340" s="348" t="str">
        <f>DATA_PROPERTY_MASTER!$A$19</f>
        <v>BLD_PS</v>
      </c>
      <c r="D4340" s="380">
        <f>'00_PORTFOLIO ROLLUP'!E$12</f>
        <v>2025</v>
      </c>
      <c r="E4340" s="366" t="s">
        <v>1683</v>
      </c>
      <c r="F4340" s="366" t="s">
        <v>341</v>
      </c>
      <c r="G4340" s="348" t="str">
        <f>"'"&amp;$C4340&amp;"'!$E$24:$Y$24"</f>
        <v>'BLD_PS'!$E$24:$Y$24</v>
      </c>
      <c r="H4340" s="381">
        <f ca="1">IF(IFERROR(INDEX(DATA_PROPERTY_MASTER!$E$5:$E$21,MATCH($C4340,DATA_PROPERTY_MASTER!$A$5:$A$21,0))="Yes",FALSE),IFERROR(INDEX(INDIRECT("'"&amp;$C4340&amp;"'!$E$24:$Y$24"),1,MATCH($D4340,INDIRECT("'"&amp;$C4340&amp;"'!$E$12:$Y$12"),0)),0),0)</f>
        <v>0</v>
      </c>
      <c r="I4340" s="366" t="s">
        <v>1685</v>
      </c>
      <c r="J4340" s="348" t="str">
        <f t="shared" ca="1" si="134"/>
        <v>OK</v>
      </c>
      <c r="K4340" s="366" t="s">
        <v>1686</v>
      </c>
      <c r="L4340" s="366" t="s">
        <v>2234</v>
      </c>
      <c r="M4340" s="350" t="str">
        <f>IF($B4340="Portfolio","Portfolio",IFERROR(INDEX(DATA_ASSET_CLASSIFICATION!$B$8:$B$24,MATCH($C4340,DATA_ASSET_CLASSIFICATION!$A$8:$A$24,0)),"Review"))</f>
        <v>450 Pacific Street</v>
      </c>
      <c r="N4340" s="350" t="str">
        <f>IF($B4340="Portfolio","Portfolio",IFERROR(INDEX(DATA_ASSET_CLASSIFICATION!$U$8:$U$24,MATCH($C4340,DATA_ASSET_CLASSIFICATION!$A$8:$A$24,0)),"Review"))</f>
        <v>New Build</v>
      </c>
      <c r="O4340" s="350" t="str">
        <f>IF($B4340="Portfolio","Portfolio",IFERROR(INDEX(DATA_ASSET_CLASSIFICATION!$AB$8:$AB$13,MATCH($N4340,DATA_ASSET_CLASSIFICATION!$AA$8:$AA$13,0)),"Review"))</f>
        <v>Bucket 1 · New Build</v>
      </c>
      <c r="P4340" s="350" t="str">
        <f>IF($B4340="Portfolio","Portfolio",IFERROR(INDEX(DATA_ASSET_CLASSIFICATION!$C$8:$C$24,MATCH($C4340,DATA_ASSET_CLASSIFICATION!$A$8:$A$24,0)),"Review"))</f>
        <v>Yes</v>
      </c>
      <c r="Q4340" s="350" t="str">
        <f t="shared" ca="1" si="135"/>
        <v>OK</v>
      </c>
    </row>
    <row r="4341" spans="1:17">
      <c r="A4341" s="366" t="s">
        <v>6297</v>
      </c>
      <c r="B4341" s="366" t="s">
        <v>231</v>
      </c>
      <c r="C4341" s="348" t="str">
        <f>DATA_PROPERTY_MASTER!$A$19</f>
        <v>BLD_PS</v>
      </c>
      <c r="D4341" s="380">
        <f>'00_PORTFOLIO ROLLUP'!E$12</f>
        <v>2025</v>
      </c>
      <c r="E4341" s="366" t="s">
        <v>1683</v>
      </c>
      <c r="F4341" s="366" t="s">
        <v>355</v>
      </c>
      <c r="G4341" s="348" t="str">
        <f>"'"&amp;$C4341&amp;"'!$E$39:$Y$39"</f>
        <v>'BLD_PS'!$E$39:$Y$39</v>
      </c>
      <c r="H4341" s="381">
        <f ca="1">IF(IFERROR(INDEX(DATA_PROPERTY_MASTER!$E$5:$E$21,MATCH($C4341,DATA_PROPERTY_MASTER!$A$5:$A$21,0))="Yes",FALSE),IFERROR(INDEX(INDIRECT("'"&amp;$C4341&amp;"'!$E$39:$Y$39"),1,MATCH($D4341,INDIRECT("'"&amp;$C4341&amp;"'!$E$12:$Y$12"),0)),0),0)</f>
        <v>0</v>
      </c>
      <c r="I4341" s="366" t="s">
        <v>1690</v>
      </c>
      <c r="J4341" s="348" t="str">
        <f t="shared" ca="1" si="134"/>
        <v>OK</v>
      </c>
      <c r="K4341" s="366" t="s">
        <v>1686</v>
      </c>
      <c r="L4341" s="366" t="s">
        <v>2236</v>
      </c>
      <c r="M4341" s="350" t="str">
        <f>IF($B4341="Portfolio","Portfolio",IFERROR(INDEX(DATA_ASSET_CLASSIFICATION!$B$8:$B$24,MATCH($C4341,DATA_ASSET_CLASSIFICATION!$A$8:$A$24,0)),"Review"))</f>
        <v>450 Pacific Street</v>
      </c>
      <c r="N4341" s="350" t="str">
        <f>IF($B4341="Portfolio","Portfolio",IFERROR(INDEX(DATA_ASSET_CLASSIFICATION!$U$8:$U$24,MATCH($C4341,DATA_ASSET_CLASSIFICATION!$A$8:$A$24,0)),"Review"))</f>
        <v>New Build</v>
      </c>
      <c r="O4341" s="350" t="str">
        <f>IF($B4341="Portfolio","Portfolio",IFERROR(INDEX(DATA_ASSET_CLASSIFICATION!$AB$8:$AB$13,MATCH($N4341,DATA_ASSET_CLASSIFICATION!$AA$8:$AA$13,0)),"Review"))</f>
        <v>Bucket 1 · New Build</v>
      </c>
      <c r="P4341" s="350" t="str">
        <f>IF($B4341="Portfolio","Portfolio",IFERROR(INDEX(DATA_ASSET_CLASSIFICATION!$C$8:$C$24,MATCH($C4341,DATA_ASSET_CLASSIFICATION!$A$8:$A$24,0)),"Review"))</f>
        <v>Yes</v>
      </c>
      <c r="Q4341" s="350" t="str">
        <f t="shared" ca="1" si="135"/>
        <v>OK</v>
      </c>
    </row>
    <row r="4342" spans="1:17">
      <c r="A4342" s="366" t="s">
        <v>6298</v>
      </c>
      <c r="B4342" s="366" t="s">
        <v>231</v>
      </c>
      <c r="C4342" s="348" t="str">
        <f>DATA_PROPERTY_MASTER!$A$19</f>
        <v>BLD_PS</v>
      </c>
      <c r="D4342" s="380">
        <f>'00_PORTFOLIO ROLLUP'!E$12</f>
        <v>2025</v>
      </c>
      <c r="E4342" s="366" t="s">
        <v>1683</v>
      </c>
      <c r="F4342" s="366" t="s">
        <v>19</v>
      </c>
      <c r="G4342" s="348" t="str">
        <f>"'"&amp;$C4342&amp;"'!$E$41:$Y$41"</f>
        <v>'BLD_PS'!$E$41:$Y$41</v>
      </c>
      <c r="H4342" s="381">
        <f ca="1">IF(IFERROR(INDEX(DATA_PROPERTY_MASTER!$E$5:$E$21,MATCH($C4342,DATA_PROPERTY_MASTER!$A$5:$A$21,0))="Yes",FALSE),IFERROR(INDEX(INDIRECT("'"&amp;$C4342&amp;"'!$E$41:$Y$41"),1,MATCH($D4342,INDIRECT("'"&amp;$C4342&amp;"'!$E$12:$Y$12"),0)),0),0)</f>
        <v>0</v>
      </c>
      <c r="I4342" s="366" t="s">
        <v>1685</v>
      </c>
      <c r="J4342" s="348" t="str">
        <f t="shared" ca="1" si="134"/>
        <v>OK</v>
      </c>
      <c r="K4342" s="366" t="s">
        <v>1694</v>
      </c>
      <c r="L4342" s="366" t="s">
        <v>2238</v>
      </c>
      <c r="M4342" s="350" t="str">
        <f>IF($B4342="Portfolio","Portfolio",IFERROR(INDEX(DATA_ASSET_CLASSIFICATION!$B$8:$B$24,MATCH($C4342,DATA_ASSET_CLASSIFICATION!$A$8:$A$24,0)),"Review"))</f>
        <v>450 Pacific Street</v>
      </c>
      <c r="N4342" s="350" t="str">
        <f>IF($B4342="Portfolio","Portfolio",IFERROR(INDEX(DATA_ASSET_CLASSIFICATION!$U$8:$U$24,MATCH($C4342,DATA_ASSET_CLASSIFICATION!$A$8:$A$24,0)),"Review"))</f>
        <v>New Build</v>
      </c>
      <c r="O4342" s="350" t="str">
        <f>IF($B4342="Portfolio","Portfolio",IFERROR(INDEX(DATA_ASSET_CLASSIFICATION!$AB$8:$AB$13,MATCH($N4342,DATA_ASSET_CLASSIFICATION!$AA$8:$AA$13,0)),"Review"))</f>
        <v>Bucket 1 · New Build</v>
      </c>
      <c r="P4342" s="350" t="str">
        <f>IF($B4342="Portfolio","Portfolio",IFERROR(INDEX(DATA_ASSET_CLASSIFICATION!$C$8:$C$24,MATCH($C4342,DATA_ASSET_CLASSIFICATION!$A$8:$A$24,0)),"Review"))</f>
        <v>Yes</v>
      </c>
      <c r="Q4342" s="350" t="str">
        <f t="shared" ca="1" si="135"/>
        <v>OK</v>
      </c>
    </row>
    <row r="4343" spans="1:17">
      <c r="A4343" s="366" t="s">
        <v>6299</v>
      </c>
      <c r="B4343" s="366" t="s">
        <v>231</v>
      </c>
      <c r="C4343" s="348" t="str">
        <f>DATA_PROPERTY_MASTER!$A$19</f>
        <v>BLD_PS</v>
      </c>
      <c r="D4343" s="380">
        <f>'00_PORTFOLIO ROLLUP'!E$12</f>
        <v>2025</v>
      </c>
      <c r="E4343" s="366" t="s">
        <v>1683</v>
      </c>
      <c r="F4343" s="366" t="s">
        <v>1697</v>
      </c>
      <c r="G4343" s="348" t="str">
        <f>"'"&amp;$C4343&amp;"'!$E$44:$Y$44"</f>
        <v>'BLD_PS'!$E$44:$Y$44</v>
      </c>
      <c r="H4343" s="381">
        <f ca="1">IF(IFERROR(INDEX(DATA_PROPERTY_MASTER!$E$5:$E$21,MATCH($C4343,DATA_PROPERTY_MASTER!$A$5:$A$21,0))="Yes",FALSE),IFERROR(INDEX(INDIRECT("'"&amp;$C4343&amp;"'!$E$44:$Y$44"),1,MATCH($D4343,INDIRECT("'"&amp;$C4343&amp;"'!$E$12:$Y$12"),0)),0),0)</f>
        <v>0</v>
      </c>
      <c r="I4343" s="366" t="s">
        <v>1690</v>
      </c>
      <c r="J4343" s="348" t="str">
        <f t="shared" ca="1" si="134"/>
        <v>OK</v>
      </c>
      <c r="K4343" s="366" t="s">
        <v>1699</v>
      </c>
      <c r="L4343" s="366" t="s">
        <v>2240</v>
      </c>
      <c r="M4343" s="350" t="str">
        <f>IF($B4343="Portfolio","Portfolio",IFERROR(INDEX(DATA_ASSET_CLASSIFICATION!$B$8:$B$24,MATCH($C4343,DATA_ASSET_CLASSIFICATION!$A$8:$A$24,0)),"Review"))</f>
        <v>450 Pacific Street</v>
      </c>
      <c r="N4343" s="350" t="str">
        <f>IF($B4343="Portfolio","Portfolio",IFERROR(INDEX(DATA_ASSET_CLASSIFICATION!$U$8:$U$24,MATCH($C4343,DATA_ASSET_CLASSIFICATION!$A$8:$A$24,0)),"Review"))</f>
        <v>New Build</v>
      </c>
      <c r="O4343" s="350" t="str">
        <f>IF($B4343="Portfolio","Portfolio",IFERROR(INDEX(DATA_ASSET_CLASSIFICATION!$AB$8:$AB$13,MATCH($N4343,DATA_ASSET_CLASSIFICATION!$AA$8:$AA$13,0)),"Review"))</f>
        <v>Bucket 1 · New Build</v>
      </c>
      <c r="P4343" s="350" t="str">
        <f>IF($B4343="Portfolio","Portfolio",IFERROR(INDEX(DATA_ASSET_CLASSIFICATION!$C$8:$C$24,MATCH($C4343,DATA_ASSET_CLASSIFICATION!$A$8:$A$24,0)),"Review"))</f>
        <v>Yes</v>
      </c>
      <c r="Q4343" s="350" t="str">
        <f t="shared" ca="1" si="135"/>
        <v>OK</v>
      </c>
    </row>
    <row r="4344" spans="1:17">
      <c r="A4344" s="366" t="s">
        <v>6300</v>
      </c>
      <c r="B4344" s="366" t="s">
        <v>231</v>
      </c>
      <c r="C4344" s="348" t="str">
        <f>DATA_PROPERTY_MASTER!$A$19</f>
        <v>BLD_PS</v>
      </c>
      <c r="D4344" s="380">
        <f>'00_PORTFOLIO ROLLUP'!E$12</f>
        <v>2025</v>
      </c>
      <c r="E4344" s="366" t="s">
        <v>1683</v>
      </c>
      <c r="F4344" s="366" t="s">
        <v>21</v>
      </c>
      <c r="G4344" s="348" t="str">
        <f>"'"&amp;$C4344&amp;"'!$E$45:$Y$45"</f>
        <v>'BLD_PS'!$E$45:$Y$45</v>
      </c>
      <c r="H4344" s="381">
        <f ca="1">IF(IFERROR(INDEX(DATA_PROPERTY_MASTER!$E$5:$E$21,MATCH($C4344,DATA_PROPERTY_MASTER!$A$5:$A$21,0))="Yes",FALSE),IFERROR(INDEX(INDIRECT("'"&amp;$C4344&amp;"'!$E$45:$Y$45"),1,MATCH($D4344,INDIRECT("'"&amp;$C4344&amp;"'!$E$12:$Y$12"),0)),0),0)</f>
        <v>0</v>
      </c>
      <c r="I4344" s="366" t="s">
        <v>1685</v>
      </c>
      <c r="J4344" s="348" t="str">
        <f t="shared" ca="1" si="134"/>
        <v>OK</v>
      </c>
      <c r="K4344" s="366" t="s">
        <v>1694</v>
      </c>
      <c r="L4344" s="366" t="s">
        <v>2242</v>
      </c>
      <c r="M4344" s="350" t="str">
        <f>IF($B4344="Portfolio","Portfolio",IFERROR(INDEX(DATA_ASSET_CLASSIFICATION!$B$8:$B$24,MATCH($C4344,DATA_ASSET_CLASSIFICATION!$A$8:$A$24,0)),"Review"))</f>
        <v>450 Pacific Street</v>
      </c>
      <c r="N4344" s="350" t="str">
        <f>IF($B4344="Portfolio","Portfolio",IFERROR(INDEX(DATA_ASSET_CLASSIFICATION!$U$8:$U$24,MATCH($C4344,DATA_ASSET_CLASSIFICATION!$A$8:$A$24,0)),"Review"))</f>
        <v>New Build</v>
      </c>
      <c r="O4344" s="350" t="str">
        <f>IF($B4344="Portfolio","Portfolio",IFERROR(INDEX(DATA_ASSET_CLASSIFICATION!$AB$8:$AB$13,MATCH($N4344,DATA_ASSET_CLASSIFICATION!$AA$8:$AA$13,0)),"Review"))</f>
        <v>Bucket 1 · New Build</v>
      </c>
      <c r="P4344" s="350" t="str">
        <f>IF($B4344="Portfolio","Portfolio",IFERROR(INDEX(DATA_ASSET_CLASSIFICATION!$C$8:$C$24,MATCH($C4344,DATA_ASSET_CLASSIFICATION!$A$8:$A$24,0)),"Review"))</f>
        <v>Yes</v>
      </c>
      <c r="Q4344" s="350" t="str">
        <f t="shared" ca="1" si="135"/>
        <v>OK</v>
      </c>
    </row>
    <row r="4345" spans="1:17">
      <c r="A4345" s="366" t="s">
        <v>6301</v>
      </c>
      <c r="B4345" s="366" t="s">
        <v>231</v>
      </c>
      <c r="C4345" s="348" t="str">
        <f>DATA_PROPERTY_MASTER!$A$19</f>
        <v>BLD_PS</v>
      </c>
      <c r="D4345" s="380">
        <f>'00_PORTFOLIO ROLLUP'!E$12</f>
        <v>2025</v>
      </c>
      <c r="E4345" s="366" t="s">
        <v>23</v>
      </c>
      <c r="F4345" s="366" t="s">
        <v>23</v>
      </c>
      <c r="G4345" s="348" t="str">
        <f>"'"&amp;$C4345&amp;"'!$E$48:$Y$48"</f>
        <v>'BLD_PS'!$E$48:$Y$48</v>
      </c>
      <c r="H4345" s="381">
        <f ca="1">IF(IFERROR(INDEX(DATA_PROPERTY_MASTER!$E$5:$E$21,MATCH($C4345,DATA_PROPERTY_MASTER!$A$5:$A$21,0))="Yes",FALSE),IFERROR(INDEX(INDIRECT("'"&amp;$C4345&amp;"'!$E$48:$Y$48"),1,MATCH($D4345,INDIRECT("'"&amp;$C4345&amp;"'!$E$12:$Y$12"),0)),0),0)</f>
        <v>1988236.6044415063</v>
      </c>
      <c r="I4345" s="366" t="s">
        <v>1690</v>
      </c>
      <c r="J4345" s="348" t="str">
        <f t="shared" ca="1" si="134"/>
        <v>OK</v>
      </c>
      <c r="K4345" s="366" t="s">
        <v>1706</v>
      </c>
      <c r="L4345" s="366" t="s">
        <v>2244</v>
      </c>
      <c r="M4345" s="350" t="str">
        <f>IF($B4345="Portfolio","Portfolio",IFERROR(INDEX(DATA_ASSET_CLASSIFICATION!$B$8:$B$24,MATCH($C4345,DATA_ASSET_CLASSIFICATION!$A$8:$A$24,0)),"Review"))</f>
        <v>450 Pacific Street</v>
      </c>
      <c r="N4345" s="350" t="str">
        <f>IF($B4345="Portfolio","Portfolio",IFERROR(INDEX(DATA_ASSET_CLASSIFICATION!$U$8:$U$24,MATCH($C4345,DATA_ASSET_CLASSIFICATION!$A$8:$A$24,0)),"Review"))</f>
        <v>New Build</v>
      </c>
      <c r="O4345" s="350" t="str">
        <f>IF($B4345="Portfolio","Portfolio",IFERROR(INDEX(DATA_ASSET_CLASSIFICATION!$AB$8:$AB$13,MATCH($N4345,DATA_ASSET_CLASSIFICATION!$AA$8:$AA$13,0)),"Review"))</f>
        <v>Bucket 1 · New Build</v>
      </c>
      <c r="P4345" s="350" t="str">
        <f>IF($B4345="Portfolio","Portfolio",IFERROR(INDEX(DATA_ASSET_CLASSIFICATION!$C$8:$C$24,MATCH($C4345,DATA_ASSET_CLASSIFICATION!$A$8:$A$24,0)),"Review"))</f>
        <v>Yes</v>
      </c>
      <c r="Q4345" s="350" t="str">
        <f t="shared" ca="1" si="135"/>
        <v>OK</v>
      </c>
    </row>
    <row r="4346" spans="1:17">
      <c r="A4346" s="366" t="s">
        <v>6302</v>
      </c>
      <c r="B4346" s="366" t="s">
        <v>231</v>
      </c>
      <c r="C4346" s="348" t="str">
        <f>DATA_PROPERTY_MASTER!$A$19</f>
        <v>BLD_PS</v>
      </c>
      <c r="D4346" s="380">
        <f>'00_PORTFOLIO ROLLUP'!E$12</f>
        <v>2025</v>
      </c>
      <c r="E4346" s="366" t="s">
        <v>1683</v>
      </c>
      <c r="F4346" s="366" t="s">
        <v>25</v>
      </c>
      <c r="G4346" s="348" t="str">
        <f>"'"&amp;$C4346&amp;"'!$E$52:$Y$52"</f>
        <v>'BLD_PS'!$E$52:$Y$52</v>
      </c>
      <c r="H4346" s="381">
        <f ca="1">IF(IFERROR(INDEX(DATA_PROPERTY_MASTER!$E$5:$E$21,MATCH($C4346,DATA_PROPERTY_MASTER!$A$5:$A$21,0))="Yes",FALSE),IFERROR(INDEX(INDIRECT("'"&amp;$C4346&amp;"'!$E$52:$Y$52"),1,MATCH($D4346,INDIRECT("'"&amp;$C4346&amp;"'!$E$12:$Y$12"),0)),0),0)</f>
        <v>-1988236.6044415063</v>
      </c>
      <c r="I4346" s="366" t="s">
        <v>1685</v>
      </c>
      <c r="J4346" s="348" t="str">
        <f t="shared" ca="1" si="134"/>
        <v>OK</v>
      </c>
      <c r="K4346" s="366" t="s">
        <v>1710</v>
      </c>
      <c r="L4346" s="366" t="s">
        <v>2246</v>
      </c>
      <c r="M4346" s="350" t="str">
        <f>IF($B4346="Portfolio","Portfolio",IFERROR(INDEX(DATA_ASSET_CLASSIFICATION!$B$8:$B$24,MATCH($C4346,DATA_ASSET_CLASSIFICATION!$A$8:$A$24,0)),"Review"))</f>
        <v>450 Pacific Street</v>
      </c>
      <c r="N4346" s="350" t="str">
        <f>IF($B4346="Portfolio","Portfolio",IFERROR(INDEX(DATA_ASSET_CLASSIFICATION!$U$8:$U$24,MATCH($C4346,DATA_ASSET_CLASSIFICATION!$A$8:$A$24,0)),"Review"))</f>
        <v>New Build</v>
      </c>
      <c r="O4346" s="350" t="str">
        <f>IF($B4346="Portfolio","Portfolio",IFERROR(INDEX(DATA_ASSET_CLASSIFICATION!$AB$8:$AB$13,MATCH($N4346,DATA_ASSET_CLASSIFICATION!$AA$8:$AA$13,0)),"Review"))</f>
        <v>Bucket 1 · New Build</v>
      </c>
      <c r="P4346" s="350" t="str">
        <f>IF($B4346="Portfolio","Portfolio",IFERROR(INDEX(DATA_ASSET_CLASSIFICATION!$C$8:$C$24,MATCH($C4346,DATA_ASSET_CLASSIFICATION!$A$8:$A$24,0)),"Review"))</f>
        <v>Yes</v>
      </c>
      <c r="Q4346" s="350" t="str">
        <f t="shared" ca="1" si="135"/>
        <v>OK</v>
      </c>
    </row>
    <row r="4347" spans="1:17">
      <c r="A4347" s="366" t="s">
        <v>6303</v>
      </c>
      <c r="B4347" s="366" t="s">
        <v>231</v>
      </c>
      <c r="C4347" s="348" t="str">
        <f>DATA_PROPERTY_MASTER!$A$19</f>
        <v>BLD_PS</v>
      </c>
      <c r="D4347" s="380">
        <f>'00_PORTFOLIO ROLLUP'!E$12</f>
        <v>2025</v>
      </c>
      <c r="E4347" s="366" t="s">
        <v>1683</v>
      </c>
      <c r="F4347" s="366" t="s">
        <v>27</v>
      </c>
      <c r="G4347" s="348" t="str">
        <f>"'"&amp;$C4347&amp;"'!$E$54:$Y$54"</f>
        <v>'BLD_PS'!$E$54:$Y$54</v>
      </c>
      <c r="H4347" s="381">
        <f ca="1">IF(IFERROR(INDEX(DATA_PROPERTY_MASTER!$E$5:$E$21,MATCH($C4347,DATA_PROPERTY_MASTER!$A$5:$A$21,0))="Yes",FALSE),IFERROR(INDEX(INDIRECT("'"&amp;$C4347&amp;"'!$E$54:$Y$54"),1,MATCH($D4347,INDIRECT("'"&amp;$C4347&amp;"'!$E$12:$Y$12"),0)),0),0)</f>
        <v>0</v>
      </c>
      <c r="I4347" s="366" t="s">
        <v>1690</v>
      </c>
      <c r="J4347" s="348" t="str">
        <f t="shared" ca="1" si="134"/>
        <v>OK</v>
      </c>
      <c r="K4347" s="366" t="s">
        <v>1714</v>
      </c>
      <c r="L4347" s="366" t="s">
        <v>2248</v>
      </c>
      <c r="M4347" s="350" t="str">
        <f>IF($B4347="Portfolio","Portfolio",IFERROR(INDEX(DATA_ASSET_CLASSIFICATION!$B$8:$B$24,MATCH($C4347,DATA_ASSET_CLASSIFICATION!$A$8:$A$24,0)),"Review"))</f>
        <v>450 Pacific Street</v>
      </c>
      <c r="N4347" s="350" t="str">
        <f>IF($B4347="Portfolio","Portfolio",IFERROR(INDEX(DATA_ASSET_CLASSIFICATION!$U$8:$U$24,MATCH($C4347,DATA_ASSET_CLASSIFICATION!$A$8:$A$24,0)),"Review"))</f>
        <v>New Build</v>
      </c>
      <c r="O4347" s="350" t="str">
        <f>IF($B4347="Portfolio","Portfolio",IFERROR(INDEX(DATA_ASSET_CLASSIFICATION!$AB$8:$AB$13,MATCH($N4347,DATA_ASSET_CLASSIFICATION!$AA$8:$AA$13,0)),"Review"))</f>
        <v>Bucket 1 · New Build</v>
      </c>
      <c r="P4347" s="350" t="str">
        <f>IF($B4347="Portfolio","Portfolio",IFERROR(INDEX(DATA_ASSET_CLASSIFICATION!$C$8:$C$24,MATCH($C4347,DATA_ASSET_CLASSIFICATION!$A$8:$A$24,0)),"Review"))</f>
        <v>Yes</v>
      </c>
      <c r="Q4347" s="350" t="str">
        <f t="shared" ca="1" si="135"/>
        <v>OK</v>
      </c>
    </row>
    <row r="4348" spans="1:17">
      <c r="A4348" s="366" t="s">
        <v>6304</v>
      </c>
      <c r="B4348" s="366" t="s">
        <v>231</v>
      </c>
      <c r="C4348" s="348" t="str">
        <f>DATA_PROPERTY_MASTER!$A$19</f>
        <v>BLD_PS</v>
      </c>
      <c r="D4348" s="380">
        <f>'00_PORTFOLIO ROLLUP'!E$12</f>
        <v>2025</v>
      </c>
      <c r="E4348" s="366" t="s">
        <v>1683</v>
      </c>
      <c r="F4348" s="366" t="s">
        <v>29</v>
      </c>
      <c r="G4348" s="348" t="str">
        <f>"'"&amp;$C4348&amp;"'!$E$56:$Y$56"</f>
        <v>'BLD_PS'!$E$56:$Y$56</v>
      </c>
      <c r="H4348" s="381">
        <f ca="1">IF(IFERROR(INDEX(DATA_PROPERTY_MASTER!$E$5:$E$21,MATCH($C4348,DATA_PROPERTY_MASTER!$A$5:$A$21,0))="Yes",FALSE),IFERROR(INDEX(INDIRECT("'"&amp;$C4348&amp;"'!$E$56:$Y$56"),1,MATCH($D4348,INDIRECT("'"&amp;$C4348&amp;"'!$E$12:$Y$12"),0)),0),0)</f>
        <v>-1988236.6044415063</v>
      </c>
      <c r="I4348" s="366" t="s">
        <v>1685</v>
      </c>
      <c r="J4348" s="348" t="str">
        <f t="shared" ca="1" si="134"/>
        <v>OK</v>
      </c>
      <c r="K4348" s="366" t="s">
        <v>1718</v>
      </c>
      <c r="L4348" s="366" t="s">
        <v>2250</v>
      </c>
      <c r="M4348" s="350" t="str">
        <f>IF($B4348="Portfolio","Portfolio",IFERROR(INDEX(DATA_ASSET_CLASSIFICATION!$B$8:$B$24,MATCH($C4348,DATA_ASSET_CLASSIFICATION!$A$8:$A$24,0)),"Review"))</f>
        <v>450 Pacific Street</v>
      </c>
      <c r="N4348" s="350" t="str">
        <f>IF($B4348="Portfolio","Portfolio",IFERROR(INDEX(DATA_ASSET_CLASSIFICATION!$U$8:$U$24,MATCH($C4348,DATA_ASSET_CLASSIFICATION!$A$8:$A$24,0)),"Review"))</f>
        <v>New Build</v>
      </c>
      <c r="O4348" s="350" t="str">
        <f>IF($B4348="Portfolio","Portfolio",IFERROR(INDEX(DATA_ASSET_CLASSIFICATION!$AB$8:$AB$13,MATCH($N4348,DATA_ASSET_CLASSIFICATION!$AA$8:$AA$13,0)),"Review"))</f>
        <v>Bucket 1 · New Build</v>
      </c>
      <c r="P4348" s="350" t="str">
        <f>IF($B4348="Portfolio","Portfolio",IFERROR(INDEX(DATA_ASSET_CLASSIFICATION!$C$8:$C$24,MATCH($C4348,DATA_ASSET_CLASSIFICATION!$A$8:$A$24,0)),"Review"))</f>
        <v>Yes</v>
      </c>
      <c r="Q4348" s="350" t="str">
        <f t="shared" ca="1" si="135"/>
        <v>OK</v>
      </c>
    </row>
    <row r="4349" spans="1:17">
      <c r="A4349" s="366" t="s">
        <v>6305</v>
      </c>
      <c r="B4349" s="366" t="s">
        <v>231</v>
      </c>
      <c r="C4349" s="348" t="str">
        <f>DATA_PROPERTY_MASTER!$A$19</f>
        <v>BLD_PS</v>
      </c>
      <c r="D4349" s="380">
        <f>'00_PORTFOLIO ROLLUP'!E$12</f>
        <v>2025</v>
      </c>
      <c r="E4349" s="366" t="s">
        <v>1721</v>
      </c>
      <c r="F4349" s="366" t="s">
        <v>31</v>
      </c>
      <c r="G4349" s="348" t="str">
        <f>"'"&amp;$C4349&amp;"'!$E$61:$Y$61"</f>
        <v>'BLD_PS'!$E$61:$Y$61</v>
      </c>
      <c r="H4349" s="381">
        <f ca="1">IF(IFERROR(INDEX(DATA_PROPERTY_MASTER!$E$5:$E$21,MATCH($C4349,DATA_PROPERTY_MASTER!$A$5:$A$21,0))="Yes",FALSE),IFERROR(INDEX(INDIRECT("'"&amp;$C4349&amp;"'!$E$61:$Y$61"),1,MATCH($D4349,INDIRECT("'"&amp;$C4349&amp;"'!$E$12:$Y$12"),0)),0),0)</f>
        <v>0</v>
      </c>
      <c r="I4349" s="366" t="s">
        <v>1690</v>
      </c>
      <c r="J4349" s="348" t="str">
        <f t="shared" ca="1" si="134"/>
        <v>OK</v>
      </c>
      <c r="K4349" s="366" t="s">
        <v>1723</v>
      </c>
      <c r="L4349" s="366" t="s">
        <v>2252</v>
      </c>
      <c r="M4349" s="350" t="str">
        <f>IF($B4349="Portfolio","Portfolio",IFERROR(INDEX(DATA_ASSET_CLASSIFICATION!$B$8:$B$24,MATCH($C4349,DATA_ASSET_CLASSIFICATION!$A$8:$A$24,0)),"Review"))</f>
        <v>450 Pacific Street</v>
      </c>
      <c r="N4349" s="350" t="str">
        <f>IF($B4349="Portfolio","Portfolio",IFERROR(INDEX(DATA_ASSET_CLASSIFICATION!$U$8:$U$24,MATCH($C4349,DATA_ASSET_CLASSIFICATION!$A$8:$A$24,0)),"Review"))</f>
        <v>New Build</v>
      </c>
      <c r="O4349" s="350" t="str">
        <f>IF($B4349="Portfolio","Portfolio",IFERROR(INDEX(DATA_ASSET_CLASSIFICATION!$AB$8:$AB$13,MATCH($N4349,DATA_ASSET_CLASSIFICATION!$AA$8:$AA$13,0)),"Review"))</f>
        <v>Bucket 1 · New Build</v>
      </c>
      <c r="P4349" s="350" t="str">
        <f>IF($B4349="Portfolio","Portfolio",IFERROR(INDEX(DATA_ASSET_CLASSIFICATION!$C$8:$C$24,MATCH($C4349,DATA_ASSET_CLASSIFICATION!$A$8:$A$24,0)),"Review"))</f>
        <v>Yes</v>
      </c>
      <c r="Q4349" s="350" t="str">
        <f t="shared" ca="1" si="135"/>
        <v>OK</v>
      </c>
    </row>
    <row r="4350" spans="1:17">
      <c r="A4350" s="366" t="s">
        <v>6306</v>
      </c>
      <c r="B4350" s="366" t="s">
        <v>231</v>
      </c>
      <c r="C4350" s="348" t="str">
        <f>DATA_PROPERTY_MASTER!$A$19</f>
        <v>BLD_PS</v>
      </c>
      <c r="D4350" s="380">
        <f>'00_PORTFOLIO ROLLUP'!E$12</f>
        <v>2025</v>
      </c>
      <c r="E4350" s="366" t="s">
        <v>1721</v>
      </c>
      <c r="F4350" s="366" t="s">
        <v>33</v>
      </c>
      <c r="G4350" s="348" t="str">
        <f>"'"&amp;$C4350&amp;"'!$E$62:$Y$62"</f>
        <v>'BLD_PS'!$E$62:$Y$62</v>
      </c>
      <c r="H4350" s="381">
        <f ca="1">IF(IFERROR(INDEX(DATA_PROPERTY_MASTER!$E$5:$E$21,MATCH($C4350,DATA_PROPERTY_MASTER!$A$5:$A$21,0))="Yes",FALSE),IFERROR(INDEX(INDIRECT("'"&amp;$C4350&amp;"'!$E$62:$Y$62"),1,MATCH($D4350,INDIRECT("'"&amp;$C4350&amp;"'!$E$12:$Y$12"),0)),0),0)</f>
        <v>0</v>
      </c>
      <c r="I4350" s="366" t="s">
        <v>1685</v>
      </c>
      <c r="J4350" s="348" t="str">
        <f t="shared" ca="1" si="134"/>
        <v>OK</v>
      </c>
      <c r="K4350" s="366" t="s">
        <v>1727</v>
      </c>
      <c r="L4350" s="366" t="s">
        <v>2254</v>
      </c>
      <c r="M4350" s="350" t="str">
        <f>IF($B4350="Portfolio","Portfolio",IFERROR(INDEX(DATA_ASSET_CLASSIFICATION!$B$8:$B$24,MATCH($C4350,DATA_ASSET_CLASSIFICATION!$A$8:$A$24,0)),"Review"))</f>
        <v>450 Pacific Street</v>
      </c>
      <c r="N4350" s="350" t="str">
        <f>IF($B4350="Portfolio","Portfolio",IFERROR(INDEX(DATA_ASSET_CLASSIFICATION!$U$8:$U$24,MATCH($C4350,DATA_ASSET_CLASSIFICATION!$A$8:$A$24,0)),"Review"))</f>
        <v>New Build</v>
      </c>
      <c r="O4350" s="350" t="str">
        <f>IF($B4350="Portfolio","Portfolio",IFERROR(INDEX(DATA_ASSET_CLASSIFICATION!$AB$8:$AB$13,MATCH($N4350,DATA_ASSET_CLASSIFICATION!$AA$8:$AA$13,0)),"Review"))</f>
        <v>Bucket 1 · New Build</v>
      </c>
      <c r="P4350" s="350" t="str">
        <f>IF($B4350="Portfolio","Portfolio",IFERROR(INDEX(DATA_ASSET_CLASSIFICATION!$C$8:$C$24,MATCH($C4350,DATA_ASSET_CLASSIFICATION!$A$8:$A$24,0)),"Review"))</f>
        <v>Yes</v>
      </c>
      <c r="Q4350" s="350" t="str">
        <f t="shared" ca="1" si="135"/>
        <v>OK</v>
      </c>
    </row>
    <row r="4351" spans="1:17">
      <c r="A4351" s="366" t="s">
        <v>6307</v>
      </c>
      <c r="B4351" s="366" t="s">
        <v>231</v>
      </c>
      <c r="C4351" s="348" t="str">
        <f>DATA_PROPERTY_MASTER!$A$19</f>
        <v>BLD_PS</v>
      </c>
      <c r="D4351" s="380">
        <f>'00_PORTFOLIO ROLLUP'!E$12</f>
        <v>2025</v>
      </c>
      <c r="E4351" s="366" t="s">
        <v>1721</v>
      </c>
      <c r="F4351" s="366" t="s">
        <v>35</v>
      </c>
      <c r="G4351" s="348" t="str">
        <f>"'"&amp;$C4351&amp;"'!$E$63:$Y$63"</f>
        <v>'BLD_PS'!$E$63:$Y$63</v>
      </c>
      <c r="H4351" s="381">
        <f ca="1">IF(IFERROR(INDEX(DATA_PROPERTY_MASTER!$E$5:$E$21,MATCH($C4351,DATA_PROPERTY_MASTER!$A$5:$A$21,0))="Yes",FALSE),IFERROR(INDEX(INDIRECT("'"&amp;$C4351&amp;"'!$E$63:$Y$63"),1,MATCH($D4351,INDIRECT("'"&amp;$C4351&amp;"'!$E$12:$Y$12"),0)),0),0)</f>
        <v>0</v>
      </c>
      <c r="I4351" s="366" t="s">
        <v>1731</v>
      </c>
      <c r="J4351" s="348" t="str">
        <f t="shared" ca="1" si="134"/>
        <v>OK</v>
      </c>
      <c r="K4351" s="366" t="s">
        <v>1732</v>
      </c>
      <c r="L4351" s="366" t="s">
        <v>2256</v>
      </c>
      <c r="M4351" s="350" t="str">
        <f>IF($B4351="Portfolio","Portfolio",IFERROR(INDEX(DATA_ASSET_CLASSIFICATION!$B$8:$B$24,MATCH($C4351,DATA_ASSET_CLASSIFICATION!$A$8:$A$24,0)),"Review"))</f>
        <v>450 Pacific Street</v>
      </c>
      <c r="N4351" s="350" t="str">
        <f>IF($B4351="Portfolio","Portfolio",IFERROR(INDEX(DATA_ASSET_CLASSIFICATION!$U$8:$U$24,MATCH($C4351,DATA_ASSET_CLASSIFICATION!$A$8:$A$24,0)),"Review"))</f>
        <v>New Build</v>
      </c>
      <c r="O4351" s="350" t="str">
        <f>IF($B4351="Portfolio","Portfolio",IFERROR(INDEX(DATA_ASSET_CLASSIFICATION!$AB$8:$AB$13,MATCH($N4351,DATA_ASSET_CLASSIFICATION!$AA$8:$AA$13,0)),"Review"))</f>
        <v>Bucket 1 · New Build</v>
      </c>
      <c r="P4351" s="350" t="str">
        <f>IF($B4351="Portfolio","Portfolio",IFERROR(INDEX(DATA_ASSET_CLASSIFICATION!$C$8:$C$24,MATCH($C4351,DATA_ASSET_CLASSIFICATION!$A$8:$A$24,0)),"Review"))</f>
        <v>Yes</v>
      </c>
      <c r="Q4351" s="350" t="str">
        <f t="shared" ca="1" si="135"/>
        <v>OK</v>
      </c>
    </row>
    <row r="4352" spans="1:17">
      <c r="A4352" s="366" t="s">
        <v>6308</v>
      </c>
      <c r="B4352" s="366" t="s">
        <v>231</v>
      </c>
      <c r="C4352" s="348" t="str">
        <f>DATA_PROPERTY_MASTER!$A$19</f>
        <v>BLD_PS</v>
      </c>
      <c r="D4352" s="380">
        <f>'00_PORTFOLIO ROLLUP'!E$12</f>
        <v>2025</v>
      </c>
      <c r="E4352" s="366" t="s">
        <v>1721</v>
      </c>
      <c r="F4352" s="366" t="s">
        <v>37</v>
      </c>
      <c r="G4352" s="348" t="str">
        <f>"'"&amp;$C4352&amp;"'!$E$63:$Y$63"</f>
        <v>'BLD_PS'!$E$63:$Y$63</v>
      </c>
      <c r="H4352" s="381">
        <f ca="1">IF(IFERROR(INDEX(DATA_PROPERTY_MASTER!$E$5:$E$21,MATCH($C4352,DATA_PROPERTY_MASTER!$A$5:$A$21,0))="Yes",FALSE),MAX(IFERROR(INDEX(INDIRECT("'"&amp;$C4352&amp;"'!$E$63:$Y$63"),1,MATCH($D4352,INDIRECT("'"&amp;$C4352&amp;"'!$E$12:$Y$12"),0)),0),0),0)</f>
        <v>0</v>
      </c>
      <c r="I4352" s="366" t="s">
        <v>1685</v>
      </c>
      <c r="J4352" s="348" t="str">
        <f t="shared" ca="1" si="134"/>
        <v>OK</v>
      </c>
      <c r="K4352" s="366" t="s">
        <v>1735</v>
      </c>
      <c r="L4352" s="366" t="s">
        <v>2258</v>
      </c>
      <c r="M4352" s="350" t="str">
        <f>IF($B4352="Portfolio","Portfolio",IFERROR(INDEX(DATA_ASSET_CLASSIFICATION!$B$8:$B$24,MATCH($C4352,DATA_ASSET_CLASSIFICATION!$A$8:$A$24,0)),"Review"))</f>
        <v>450 Pacific Street</v>
      </c>
      <c r="N4352" s="350" t="str">
        <f>IF($B4352="Portfolio","Portfolio",IFERROR(INDEX(DATA_ASSET_CLASSIFICATION!$U$8:$U$24,MATCH($C4352,DATA_ASSET_CLASSIFICATION!$A$8:$A$24,0)),"Review"))</f>
        <v>New Build</v>
      </c>
      <c r="O4352" s="350" t="str">
        <f>IF($B4352="Portfolio","Portfolio",IFERROR(INDEX(DATA_ASSET_CLASSIFICATION!$AB$8:$AB$13,MATCH($N4352,DATA_ASSET_CLASSIFICATION!$AA$8:$AA$13,0)),"Review"))</f>
        <v>Bucket 1 · New Build</v>
      </c>
      <c r="P4352" s="350" t="str">
        <f>IF($B4352="Portfolio","Portfolio",IFERROR(INDEX(DATA_ASSET_CLASSIFICATION!$C$8:$C$24,MATCH($C4352,DATA_ASSET_CLASSIFICATION!$A$8:$A$24,0)),"Review"))</f>
        <v>Yes</v>
      </c>
      <c r="Q4352" s="350" t="str">
        <f t="shared" ca="1" si="135"/>
        <v>OK</v>
      </c>
    </row>
    <row r="4353" spans="1:17">
      <c r="A4353" s="366" t="s">
        <v>6309</v>
      </c>
      <c r="B4353" s="366" t="s">
        <v>231</v>
      </c>
      <c r="C4353" s="348" t="str">
        <f>DATA_PROPERTY_MASTER!$A$19</f>
        <v>BLD_PS</v>
      </c>
      <c r="D4353" s="380">
        <f>'00_PORTFOLIO ROLLUP'!E$12</f>
        <v>2025</v>
      </c>
      <c r="E4353" s="366" t="s">
        <v>1721</v>
      </c>
      <c r="F4353" s="366" t="s">
        <v>39</v>
      </c>
      <c r="G4353" s="348" t="str">
        <f>"'"&amp;$C4353&amp;"'!$E$63:$Y$63"</f>
        <v>'BLD_PS'!$E$63:$Y$63</v>
      </c>
      <c r="H4353" s="381">
        <f ca="1">IF(IFERROR(INDEX(DATA_PROPERTY_MASTER!$E$5:$E$21,MATCH($C4353,DATA_PROPERTY_MASTER!$A$5:$A$21,0))="Yes",FALSE),MAX(-IFERROR(INDEX(INDIRECT("'"&amp;$C4353&amp;"'!$E$63:$Y$63"),1,MATCH($D4353,INDIRECT("'"&amp;$C4353&amp;"'!$E$12:$Y$12"),0)),0),0),0)</f>
        <v>0</v>
      </c>
      <c r="I4353" s="366" t="s">
        <v>1690</v>
      </c>
      <c r="J4353" s="348" t="str">
        <f t="shared" ca="1" si="134"/>
        <v>OK</v>
      </c>
      <c r="K4353" s="366" t="s">
        <v>1738</v>
      </c>
      <c r="L4353" s="366" t="s">
        <v>2260</v>
      </c>
      <c r="M4353" s="350" t="str">
        <f>IF($B4353="Portfolio","Portfolio",IFERROR(INDEX(DATA_ASSET_CLASSIFICATION!$B$8:$B$24,MATCH($C4353,DATA_ASSET_CLASSIFICATION!$A$8:$A$24,0)),"Review"))</f>
        <v>450 Pacific Street</v>
      </c>
      <c r="N4353" s="350" t="str">
        <f>IF($B4353="Portfolio","Portfolio",IFERROR(INDEX(DATA_ASSET_CLASSIFICATION!$U$8:$U$24,MATCH($C4353,DATA_ASSET_CLASSIFICATION!$A$8:$A$24,0)),"Review"))</f>
        <v>New Build</v>
      </c>
      <c r="O4353" s="350" t="str">
        <f>IF($B4353="Portfolio","Portfolio",IFERROR(INDEX(DATA_ASSET_CLASSIFICATION!$AB$8:$AB$13,MATCH($N4353,DATA_ASSET_CLASSIFICATION!$AA$8:$AA$13,0)),"Review"))</f>
        <v>Bucket 1 · New Build</v>
      </c>
      <c r="P4353" s="350" t="str">
        <f>IF($B4353="Portfolio","Portfolio",IFERROR(INDEX(DATA_ASSET_CLASSIFICATION!$C$8:$C$24,MATCH($C4353,DATA_ASSET_CLASSIFICATION!$A$8:$A$24,0)),"Review"))</f>
        <v>Yes</v>
      </c>
      <c r="Q4353" s="350" t="str">
        <f t="shared" ca="1" si="135"/>
        <v>OK</v>
      </c>
    </row>
    <row r="4354" spans="1:17">
      <c r="A4354" s="366" t="s">
        <v>6310</v>
      </c>
      <c r="B4354" s="366" t="s">
        <v>231</v>
      </c>
      <c r="C4354" s="348" t="str">
        <f>DATA_PROPERTY_MASTER!$A$19</f>
        <v>BLD_PS</v>
      </c>
      <c r="D4354" s="380">
        <f>'00_PORTFOLIO ROLLUP'!E$12</f>
        <v>2025</v>
      </c>
      <c r="E4354" s="366" t="s">
        <v>1741</v>
      </c>
      <c r="F4354" s="366" t="s">
        <v>41</v>
      </c>
      <c r="G4354" s="348" t="str">
        <f>"'"&amp;$C4354&amp;"'!rows 56 + positive row 63"</f>
        <v>'BLD_PS'!rows 56 + positive row 63</v>
      </c>
      <c r="H4354" s="381">
        <f ca="1">IF(IFERROR(INDEX(DATA_PROPERTY_MASTER!$E$5:$E$21,MATCH($C4354,DATA_PROPERTY_MASTER!$A$5:$A$21,0))="Yes",FALSE),IFERROR(INDEX(INDIRECT("'"&amp;$C4354&amp;"'!$E$56:$Y$56"),1,MATCH($D4354,INDIRECT("'"&amp;$C4354&amp;"'!$E$12:$Y$12"),0)),0)+MAX(IFERROR(INDEX(INDIRECT("'"&amp;$C4354&amp;"'!$E$63:$Y$63"),1,MATCH($D4354,INDIRECT("'"&amp;$C4354&amp;"'!$E$12:$Y$12"),0)),0),0),0)</f>
        <v>-1988236.6044415063</v>
      </c>
      <c r="I4354" s="366" t="s">
        <v>1685</v>
      </c>
      <c r="J4354" s="348" t="str">
        <f t="shared" ca="1" si="134"/>
        <v>OK</v>
      </c>
      <c r="K4354" s="366" t="s">
        <v>1742</v>
      </c>
      <c r="L4354" s="366" t="s">
        <v>2262</v>
      </c>
      <c r="M4354" s="350" t="str">
        <f>IF($B4354="Portfolio","Portfolio",IFERROR(INDEX(DATA_ASSET_CLASSIFICATION!$B$8:$B$24,MATCH($C4354,DATA_ASSET_CLASSIFICATION!$A$8:$A$24,0)),"Review"))</f>
        <v>450 Pacific Street</v>
      </c>
      <c r="N4354" s="350" t="str">
        <f>IF($B4354="Portfolio","Portfolio",IFERROR(INDEX(DATA_ASSET_CLASSIFICATION!$U$8:$U$24,MATCH($C4354,DATA_ASSET_CLASSIFICATION!$A$8:$A$24,0)),"Review"))</f>
        <v>New Build</v>
      </c>
      <c r="O4354" s="350" t="str">
        <f>IF($B4354="Portfolio","Portfolio",IFERROR(INDEX(DATA_ASSET_CLASSIFICATION!$AB$8:$AB$13,MATCH($N4354,DATA_ASSET_CLASSIFICATION!$AA$8:$AA$13,0)),"Review"))</f>
        <v>Bucket 1 · New Build</v>
      </c>
      <c r="P4354" s="350" t="str">
        <f>IF($B4354="Portfolio","Portfolio",IFERROR(INDEX(DATA_ASSET_CLASSIFICATION!$C$8:$C$24,MATCH($C4354,DATA_ASSET_CLASSIFICATION!$A$8:$A$24,0)),"Review"))</f>
        <v>Yes</v>
      </c>
      <c r="Q4354" s="350" t="str">
        <f t="shared" ca="1" si="135"/>
        <v>OK</v>
      </c>
    </row>
    <row r="4355" spans="1:17">
      <c r="A4355" s="366" t="s">
        <v>6311</v>
      </c>
      <c r="B4355" s="366" t="s">
        <v>231</v>
      </c>
      <c r="C4355" s="348" t="str">
        <f>DATA_PROPERTY_MASTER!$A$19</f>
        <v>BLD_PS</v>
      </c>
      <c r="D4355" s="380">
        <f>'00_PORTFOLIO ROLLUP'!E$12</f>
        <v>2025</v>
      </c>
      <c r="E4355" s="366" t="s">
        <v>1741</v>
      </c>
      <c r="F4355" s="366" t="s">
        <v>43</v>
      </c>
      <c r="G4355" s="348" t="str">
        <f>"'"&amp;$C4355&amp;"'!$E$68:$Y$68"</f>
        <v>'BLD_PS'!$E$68:$Y$68</v>
      </c>
      <c r="H4355" s="381">
        <f ca="1">IF(IFERROR(INDEX(DATA_PROPERTY_MASTER!$E$5:$E$21,MATCH($C4355,DATA_PROPERTY_MASTER!$A$5:$A$21,0))="Yes",FALSE),IFERROR(INDEX(INDIRECT("'"&amp;$C4355&amp;"'!$E$68:$Y$68"),1,MATCH($D4355,INDIRECT("'"&amp;$C4355&amp;"'!$E$12:$Y$12"),0)),0),0)</f>
        <v>-1988236.6044415063</v>
      </c>
      <c r="I4355" s="366" t="s">
        <v>1731</v>
      </c>
      <c r="J4355" s="348" t="str">
        <f t="shared" ca="1" si="134"/>
        <v>OK</v>
      </c>
      <c r="K4355" s="366" t="s">
        <v>1746</v>
      </c>
      <c r="L4355" s="366" t="s">
        <v>2264</v>
      </c>
      <c r="M4355" s="350" t="str">
        <f>IF($B4355="Portfolio","Portfolio",IFERROR(INDEX(DATA_ASSET_CLASSIFICATION!$B$8:$B$24,MATCH($C4355,DATA_ASSET_CLASSIFICATION!$A$8:$A$24,0)),"Review"))</f>
        <v>450 Pacific Street</v>
      </c>
      <c r="N4355" s="350" t="str">
        <f>IF($B4355="Portfolio","Portfolio",IFERROR(INDEX(DATA_ASSET_CLASSIFICATION!$U$8:$U$24,MATCH($C4355,DATA_ASSET_CLASSIFICATION!$A$8:$A$24,0)),"Review"))</f>
        <v>New Build</v>
      </c>
      <c r="O4355" s="350" t="str">
        <f>IF($B4355="Portfolio","Portfolio",IFERROR(INDEX(DATA_ASSET_CLASSIFICATION!$AB$8:$AB$13,MATCH($N4355,DATA_ASSET_CLASSIFICATION!$AA$8:$AA$13,0)),"Review"))</f>
        <v>Bucket 1 · New Build</v>
      </c>
      <c r="P4355" s="350" t="str">
        <f>IF($B4355="Portfolio","Portfolio",IFERROR(INDEX(DATA_ASSET_CLASSIFICATION!$C$8:$C$24,MATCH($C4355,DATA_ASSET_CLASSIFICATION!$A$8:$A$24,0)),"Review"))</f>
        <v>Yes</v>
      </c>
      <c r="Q4355" s="350" t="str">
        <f t="shared" ca="1" si="135"/>
        <v>OK</v>
      </c>
    </row>
    <row r="4356" spans="1:17">
      <c r="A4356" s="366" t="s">
        <v>6312</v>
      </c>
      <c r="B4356" s="366" t="s">
        <v>231</v>
      </c>
      <c r="C4356" s="348" t="str">
        <f>DATA_PROPERTY_MASTER!$A$19</f>
        <v>BLD_PS</v>
      </c>
      <c r="D4356" s="380">
        <f>'00_PORTFOLIO ROLLUP'!E$12</f>
        <v>2025</v>
      </c>
      <c r="E4356" s="366" t="s">
        <v>1741</v>
      </c>
      <c r="F4356" s="366" t="s">
        <v>1749</v>
      </c>
      <c r="G4356" s="348" t="str">
        <f>"'"&amp;$C4356&amp;"'!rows 56, 63, 68"</f>
        <v>'BLD_PS'!rows 56, 63, 68</v>
      </c>
      <c r="H4356" s="381">
        <f ca="1">IF(IFERROR(INDEX(DATA_PROPERTY_MASTER!$E$5:$E$21,MATCH($C4356,DATA_PROPERTY_MASTER!$A$5:$A$21,0))="Yes",FALSE),(IFERROR(INDEX(INDIRECT("'"&amp;$C4356&amp;"'!$E$56:$Y$56"),1,MATCH($D4356,INDIRECT("'"&amp;$C4356&amp;"'!$E$12:$Y$12"),0)),0)+MAX(IFERROR(INDEX(INDIRECT("'"&amp;$C4356&amp;"'!$E$63:$Y$63"),1,MATCH($D4356,INDIRECT("'"&amp;$C4356&amp;"'!$E$12:$Y$12"),0)),0),0))-(IFERROR(INDEX(INDIRECT("'"&amp;$C4356&amp;"'!$E$68:$Y$68"),1,MATCH($D4356,INDIRECT("'"&amp;$C4356&amp;"'!$E$12:$Y$12"),0)),0)),0)</f>
        <v>0</v>
      </c>
      <c r="I4356" s="366" t="s">
        <v>1750</v>
      </c>
      <c r="J4356" s="348" t="str">
        <f t="shared" ca="1" si="134"/>
        <v>OK</v>
      </c>
      <c r="K4356" s="366" t="s">
        <v>1751</v>
      </c>
      <c r="L4356" s="366" t="s">
        <v>2266</v>
      </c>
      <c r="M4356" s="350" t="str">
        <f>IF($B4356="Portfolio","Portfolio",IFERROR(INDEX(DATA_ASSET_CLASSIFICATION!$B$8:$B$24,MATCH($C4356,DATA_ASSET_CLASSIFICATION!$A$8:$A$24,0)),"Review"))</f>
        <v>450 Pacific Street</v>
      </c>
      <c r="N4356" s="350" t="str">
        <f>IF($B4356="Portfolio","Portfolio",IFERROR(INDEX(DATA_ASSET_CLASSIFICATION!$U$8:$U$24,MATCH($C4356,DATA_ASSET_CLASSIFICATION!$A$8:$A$24,0)),"Review"))</f>
        <v>New Build</v>
      </c>
      <c r="O4356" s="350" t="str">
        <f>IF($B4356="Portfolio","Portfolio",IFERROR(INDEX(DATA_ASSET_CLASSIFICATION!$AB$8:$AB$13,MATCH($N4356,DATA_ASSET_CLASSIFICATION!$AA$8:$AA$13,0)),"Review"))</f>
        <v>Bucket 1 · New Build</v>
      </c>
      <c r="P4356" s="350" t="str">
        <f>IF($B4356="Portfolio","Portfolio",IFERROR(INDEX(DATA_ASSET_CLASSIFICATION!$C$8:$C$24,MATCH($C4356,DATA_ASSET_CLASSIFICATION!$A$8:$A$24,0)),"Review"))</f>
        <v>Yes</v>
      </c>
      <c r="Q4356" s="350" t="str">
        <f t="shared" ca="1" si="135"/>
        <v>OK</v>
      </c>
    </row>
    <row r="4357" spans="1:17">
      <c r="A4357" s="366" t="s">
        <v>6313</v>
      </c>
      <c r="B4357" s="366" t="s">
        <v>231</v>
      </c>
      <c r="C4357" s="348" t="str">
        <f>DATA_PROPERTY_MASTER!$A$19</f>
        <v>BLD_PS</v>
      </c>
      <c r="D4357" s="380">
        <f>'00_PORTFOLIO ROLLUP'!F$12</f>
        <v>2026</v>
      </c>
      <c r="E4357" s="366" t="s">
        <v>1683</v>
      </c>
      <c r="F4357" s="366" t="s">
        <v>341</v>
      </c>
      <c r="G4357" s="348" t="str">
        <f>"'"&amp;$C4357&amp;"'!$E$24:$Y$24"</f>
        <v>'BLD_PS'!$E$24:$Y$24</v>
      </c>
      <c r="H4357" s="381">
        <f ca="1">IF(IFERROR(INDEX(DATA_PROPERTY_MASTER!$E$5:$E$21,MATCH($C4357,DATA_PROPERTY_MASTER!$A$5:$A$21,0))="Yes",FALSE),IFERROR(INDEX(INDIRECT("'"&amp;$C4357&amp;"'!$E$24:$Y$24"),1,MATCH($D4357,INDIRECT("'"&amp;$C4357&amp;"'!$E$12:$Y$12"),0)),0),0)</f>
        <v>0</v>
      </c>
      <c r="I4357" s="366" t="s">
        <v>1685</v>
      </c>
      <c r="J4357" s="348" t="str">
        <f t="shared" ref="J4357:J4420" ca="1" si="136">IF($F4357="Residual Funding Gap",IF($H4357&gt;0,"Funding Gap","OK"),IF(AND($F4357="Net Refinance Position",$H4357&lt;0),"Negative net refi position","OK"))</f>
        <v>OK</v>
      </c>
      <c r="K4357" s="366" t="s">
        <v>1686</v>
      </c>
      <c r="L4357" s="366" t="s">
        <v>2234</v>
      </c>
      <c r="M4357" s="350" t="str">
        <f>IF($B4357="Portfolio","Portfolio",IFERROR(INDEX(DATA_ASSET_CLASSIFICATION!$B$8:$B$24,MATCH($C4357,DATA_ASSET_CLASSIFICATION!$A$8:$A$24,0)),"Review"))</f>
        <v>450 Pacific Street</v>
      </c>
      <c r="N4357" s="350" t="str">
        <f>IF($B4357="Portfolio","Portfolio",IFERROR(INDEX(DATA_ASSET_CLASSIFICATION!$U$8:$U$24,MATCH($C4357,DATA_ASSET_CLASSIFICATION!$A$8:$A$24,0)),"Review"))</f>
        <v>New Build</v>
      </c>
      <c r="O4357" s="350" t="str">
        <f>IF($B4357="Portfolio","Portfolio",IFERROR(INDEX(DATA_ASSET_CLASSIFICATION!$AB$8:$AB$13,MATCH($N4357,DATA_ASSET_CLASSIFICATION!$AA$8:$AA$13,0)),"Review"))</f>
        <v>Bucket 1 · New Build</v>
      </c>
      <c r="P4357" s="350" t="str">
        <f>IF($B4357="Portfolio","Portfolio",IFERROR(INDEX(DATA_ASSET_CLASSIFICATION!$C$8:$C$24,MATCH($C4357,DATA_ASSET_CLASSIFICATION!$A$8:$A$24,0)),"Review"))</f>
        <v>Yes</v>
      </c>
      <c r="Q4357" s="350" t="str">
        <f t="shared" ref="Q4357:Q4420" ca="1" si="137">IF(AND($B4357="Property",$F4357="Residual Funding Gap",$H4357&gt;0),"Property Funding Gap",IF($J4357&lt;&gt;"OK",$J4357,"OK"))</f>
        <v>OK</v>
      </c>
    </row>
    <row r="4358" spans="1:17">
      <c r="A4358" s="366" t="s">
        <v>6314</v>
      </c>
      <c r="B4358" s="366" t="s">
        <v>231</v>
      </c>
      <c r="C4358" s="348" t="str">
        <f>DATA_PROPERTY_MASTER!$A$19</f>
        <v>BLD_PS</v>
      </c>
      <c r="D4358" s="380">
        <f>'00_PORTFOLIO ROLLUP'!F$12</f>
        <v>2026</v>
      </c>
      <c r="E4358" s="366" t="s">
        <v>1683</v>
      </c>
      <c r="F4358" s="366" t="s">
        <v>355</v>
      </c>
      <c r="G4358" s="348" t="str">
        <f>"'"&amp;$C4358&amp;"'!$E$39:$Y$39"</f>
        <v>'BLD_PS'!$E$39:$Y$39</v>
      </c>
      <c r="H4358" s="381">
        <f ca="1">IF(IFERROR(INDEX(DATA_PROPERTY_MASTER!$E$5:$E$21,MATCH($C4358,DATA_PROPERTY_MASTER!$A$5:$A$21,0))="Yes",FALSE),IFERROR(INDEX(INDIRECT("'"&amp;$C4358&amp;"'!$E$39:$Y$39"),1,MATCH($D4358,INDIRECT("'"&amp;$C4358&amp;"'!$E$12:$Y$12"),0)),0),0)</f>
        <v>0</v>
      </c>
      <c r="I4358" s="366" t="s">
        <v>1690</v>
      </c>
      <c r="J4358" s="348" t="str">
        <f t="shared" ca="1" si="136"/>
        <v>OK</v>
      </c>
      <c r="K4358" s="366" t="s">
        <v>1686</v>
      </c>
      <c r="L4358" s="366" t="s">
        <v>2236</v>
      </c>
      <c r="M4358" s="350" t="str">
        <f>IF($B4358="Portfolio","Portfolio",IFERROR(INDEX(DATA_ASSET_CLASSIFICATION!$B$8:$B$24,MATCH($C4358,DATA_ASSET_CLASSIFICATION!$A$8:$A$24,0)),"Review"))</f>
        <v>450 Pacific Street</v>
      </c>
      <c r="N4358" s="350" t="str">
        <f>IF($B4358="Portfolio","Portfolio",IFERROR(INDEX(DATA_ASSET_CLASSIFICATION!$U$8:$U$24,MATCH($C4358,DATA_ASSET_CLASSIFICATION!$A$8:$A$24,0)),"Review"))</f>
        <v>New Build</v>
      </c>
      <c r="O4358" s="350" t="str">
        <f>IF($B4358="Portfolio","Portfolio",IFERROR(INDEX(DATA_ASSET_CLASSIFICATION!$AB$8:$AB$13,MATCH($N4358,DATA_ASSET_CLASSIFICATION!$AA$8:$AA$13,0)),"Review"))</f>
        <v>Bucket 1 · New Build</v>
      </c>
      <c r="P4358" s="350" t="str">
        <f>IF($B4358="Portfolio","Portfolio",IFERROR(INDEX(DATA_ASSET_CLASSIFICATION!$C$8:$C$24,MATCH($C4358,DATA_ASSET_CLASSIFICATION!$A$8:$A$24,0)),"Review"))</f>
        <v>Yes</v>
      </c>
      <c r="Q4358" s="350" t="str">
        <f t="shared" ca="1" si="137"/>
        <v>OK</v>
      </c>
    </row>
    <row r="4359" spans="1:17">
      <c r="A4359" s="366" t="s">
        <v>6315</v>
      </c>
      <c r="B4359" s="366" t="s">
        <v>231</v>
      </c>
      <c r="C4359" s="348" t="str">
        <f>DATA_PROPERTY_MASTER!$A$19</f>
        <v>BLD_PS</v>
      </c>
      <c r="D4359" s="380">
        <f>'00_PORTFOLIO ROLLUP'!F$12</f>
        <v>2026</v>
      </c>
      <c r="E4359" s="366" t="s">
        <v>1683</v>
      </c>
      <c r="F4359" s="366" t="s">
        <v>19</v>
      </c>
      <c r="G4359" s="348" t="str">
        <f>"'"&amp;$C4359&amp;"'!$E$41:$Y$41"</f>
        <v>'BLD_PS'!$E$41:$Y$41</v>
      </c>
      <c r="H4359" s="381">
        <f ca="1">IF(IFERROR(INDEX(DATA_PROPERTY_MASTER!$E$5:$E$21,MATCH($C4359,DATA_PROPERTY_MASTER!$A$5:$A$21,0))="Yes",FALSE),IFERROR(INDEX(INDIRECT("'"&amp;$C4359&amp;"'!$E$41:$Y$41"),1,MATCH($D4359,INDIRECT("'"&amp;$C4359&amp;"'!$E$12:$Y$12"),0)),0),0)</f>
        <v>0</v>
      </c>
      <c r="I4359" s="366" t="s">
        <v>1685</v>
      </c>
      <c r="J4359" s="348" t="str">
        <f t="shared" ca="1" si="136"/>
        <v>OK</v>
      </c>
      <c r="K4359" s="366" t="s">
        <v>1694</v>
      </c>
      <c r="L4359" s="366" t="s">
        <v>2238</v>
      </c>
      <c r="M4359" s="350" t="str">
        <f>IF($B4359="Portfolio","Portfolio",IFERROR(INDEX(DATA_ASSET_CLASSIFICATION!$B$8:$B$24,MATCH($C4359,DATA_ASSET_CLASSIFICATION!$A$8:$A$24,0)),"Review"))</f>
        <v>450 Pacific Street</v>
      </c>
      <c r="N4359" s="350" t="str">
        <f>IF($B4359="Portfolio","Portfolio",IFERROR(INDEX(DATA_ASSET_CLASSIFICATION!$U$8:$U$24,MATCH($C4359,DATA_ASSET_CLASSIFICATION!$A$8:$A$24,0)),"Review"))</f>
        <v>New Build</v>
      </c>
      <c r="O4359" s="350" t="str">
        <f>IF($B4359="Portfolio","Portfolio",IFERROR(INDEX(DATA_ASSET_CLASSIFICATION!$AB$8:$AB$13,MATCH($N4359,DATA_ASSET_CLASSIFICATION!$AA$8:$AA$13,0)),"Review"))</f>
        <v>Bucket 1 · New Build</v>
      </c>
      <c r="P4359" s="350" t="str">
        <f>IF($B4359="Portfolio","Portfolio",IFERROR(INDEX(DATA_ASSET_CLASSIFICATION!$C$8:$C$24,MATCH($C4359,DATA_ASSET_CLASSIFICATION!$A$8:$A$24,0)),"Review"))</f>
        <v>Yes</v>
      </c>
      <c r="Q4359" s="350" t="str">
        <f t="shared" ca="1" si="137"/>
        <v>OK</v>
      </c>
    </row>
    <row r="4360" spans="1:17">
      <c r="A4360" s="366" t="s">
        <v>6316</v>
      </c>
      <c r="B4360" s="366" t="s">
        <v>231</v>
      </c>
      <c r="C4360" s="348" t="str">
        <f>DATA_PROPERTY_MASTER!$A$19</f>
        <v>BLD_PS</v>
      </c>
      <c r="D4360" s="380">
        <f>'00_PORTFOLIO ROLLUP'!F$12</f>
        <v>2026</v>
      </c>
      <c r="E4360" s="366" t="s">
        <v>1683</v>
      </c>
      <c r="F4360" s="366" t="s">
        <v>1697</v>
      </c>
      <c r="G4360" s="348" t="str">
        <f>"'"&amp;$C4360&amp;"'!$E$44:$Y$44"</f>
        <v>'BLD_PS'!$E$44:$Y$44</v>
      </c>
      <c r="H4360" s="381">
        <f ca="1">IF(IFERROR(INDEX(DATA_PROPERTY_MASTER!$E$5:$E$21,MATCH($C4360,DATA_PROPERTY_MASTER!$A$5:$A$21,0))="Yes",FALSE),IFERROR(INDEX(INDIRECT("'"&amp;$C4360&amp;"'!$E$44:$Y$44"),1,MATCH($D4360,INDIRECT("'"&amp;$C4360&amp;"'!$E$12:$Y$12"),0)),0),0)</f>
        <v>0</v>
      </c>
      <c r="I4360" s="366" t="s">
        <v>1690</v>
      </c>
      <c r="J4360" s="348" t="str">
        <f t="shared" ca="1" si="136"/>
        <v>OK</v>
      </c>
      <c r="K4360" s="366" t="s">
        <v>1699</v>
      </c>
      <c r="L4360" s="366" t="s">
        <v>2240</v>
      </c>
      <c r="M4360" s="350" t="str">
        <f>IF($B4360="Portfolio","Portfolio",IFERROR(INDEX(DATA_ASSET_CLASSIFICATION!$B$8:$B$24,MATCH($C4360,DATA_ASSET_CLASSIFICATION!$A$8:$A$24,0)),"Review"))</f>
        <v>450 Pacific Street</v>
      </c>
      <c r="N4360" s="350" t="str">
        <f>IF($B4360="Portfolio","Portfolio",IFERROR(INDEX(DATA_ASSET_CLASSIFICATION!$U$8:$U$24,MATCH($C4360,DATA_ASSET_CLASSIFICATION!$A$8:$A$24,0)),"Review"))</f>
        <v>New Build</v>
      </c>
      <c r="O4360" s="350" t="str">
        <f>IF($B4360="Portfolio","Portfolio",IFERROR(INDEX(DATA_ASSET_CLASSIFICATION!$AB$8:$AB$13,MATCH($N4360,DATA_ASSET_CLASSIFICATION!$AA$8:$AA$13,0)),"Review"))</f>
        <v>Bucket 1 · New Build</v>
      </c>
      <c r="P4360" s="350" t="str">
        <f>IF($B4360="Portfolio","Portfolio",IFERROR(INDEX(DATA_ASSET_CLASSIFICATION!$C$8:$C$24,MATCH($C4360,DATA_ASSET_CLASSIFICATION!$A$8:$A$24,0)),"Review"))</f>
        <v>Yes</v>
      </c>
      <c r="Q4360" s="350" t="str">
        <f t="shared" ca="1" si="137"/>
        <v>OK</v>
      </c>
    </row>
    <row r="4361" spans="1:17">
      <c r="A4361" s="366" t="s">
        <v>6317</v>
      </c>
      <c r="B4361" s="366" t="s">
        <v>231</v>
      </c>
      <c r="C4361" s="348" t="str">
        <f>DATA_PROPERTY_MASTER!$A$19</f>
        <v>BLD_PS</v>
      </c>
      <c r="D4361" s="380">
        <f>'00_PORTFOLIO ROLLUP'!F$12</f>
        <v>2026</v>
      </c>
      <c r="E4361" s="366" t="s">
        <v>1683</v>
      </c>
      <c r="F4361" s="366" t="s">
        <v>21</v>
      </c>
      <c r="G4361" s="348" t="str">
        <f>"'"&amp;$C4361&amp;"'!$E$45:$Y$45"</f>
        <v>'BLD_PS'!$E$45:$Y$45</v>
      </c>
      <c r="H4361" s="381">
        <f ca="1">IF(IFERROR(INDEX(DATA_PROPERTY_MASTER!$E$5:$E$21,MATCH($C4361,DATA_PROPERTY_MASTER!$A$5:$A$21,0))="Yes",FALSE),IFERROR(INDEX(INDIRECT("'"&amp;$C4361&amp;"'!$E$45:$Y$45"),1,MATCH($D4361,INDIRECT("'"&amp;$C4361&amp;"'!$E$12:$Y$12"),0)),0),0)</f>
        <v>0</v>
      </c>
      <c r="I4361" s="366" t="s">
        <v>1685</v>
      </c>
      <c r="J4361" s="348" t="str">
        <f t="shared" ca="1" si="136"/>
        <v>OK</v>
      </c>
      <c r="K4361" s="366" t="s">
        <v>1694</v>
      </c>
      <c r="L4361" s="366" t="s">
        <v>2242</v>
      </c>
      <c r="M4361" s="350" t="str">
        <f>IF($B4361="Portfolio","Portfolio",IFERROR(INDEX(DATA_ASSET_CLASSIFICATION!$B$8:$B$24,MATCH($C4361,DATA_ASSET_CLASSIFICATION!$A$8:$A$24,0)),"Review"))</f>
        <v>450 Pacific Street</v>
      </c>
      <c r="N4361" s="350" t="str">
        <f>IF($B4361="Portfolio","Portfolio",IFERROR(INDEX(DATA_ASSET_CLASSIFICATION!$U$8:$U$24,MATCH($C4361,DATA_ASSET_CLASSIFICATION!$A$8:$A$24,0)),"Review"))</f>
        <v>New Build</v>
      </c>
      <c r="O4361" s="350" t="str">
        <f>IF($B4361="Portfolio","Portfolio",IFERROR(INDEX(DATA_ASSET_CLASSIFICATION!$AB$8:$AB$13,MATCH($N4361,DATA_ASSET_CLASSIFICATION!$AA$8:$AA$13,0)),"Review"))</f>
        <v>Bucket 1 · New Build</v>
      </c>
      <c r="P4361" s="350" t="str">
        <f>IF($B4361="Portfolio","Portfolio",IFERROR(INDEX(DATA_ASSET_CLASSIFICATION!$C$8:$C$24,MATCH($C4361,DATA_ASSET_CLASSIFICATION!$A$8:$A$24,0)),"Review"))</f>
        <v>Yes</v>
      </c>
      <c r="Q4361" s="350" t="str">
        <f t="shared" ca="1" si="137"/>
        <v>OK</v>
      </c>
    </row>
    <row r="4362" spans="1:17">
      <c r="A4362" s="366" t="s">
        <v>6318</v>
      </c>
      <c r="B4362" s="366" t="s">
        <v>231</v>
      </c>
      <c r="C4362" s="348" t="str">
        <f>DATA_PROPERTY_MASTER!$A$19</f>
        <v>BLD_PS</v>
      </c>
      <c r="D4362" s="380">
        <f>'00_PORTFOLIO ROLLUP'!F$12</f>
        <v>2026</v>
      </c>
      <c r="E4362" s="366" t="s">
        <v>23</v>
      </c>
      <c r="F4362" s="366" t="s">
        <v>23</v>
      </c>
      <c r="G4362" s="348" t="str">
        <f>"'"&amp;$C4362&amp;"'!$E$48:$Y$48"</f>
        <v>'BLD_PS'!$E$48:$Y$48</v>
      </c>
      <c r="H4362" s="381">
        <f ca="1">IF(IFERROR(INDEX(DATA_PROPERTY_MASTER!$E$5:$E$21,MATCH($C4362,DATA_PROPERTY_MASTER!$A$5:$A$21,0))="Yes",FALSE),IFERROR(INDEX(INDIRECT("'"&amp;$C4362&amp;"'!$E$48:$Y$48"),1,MATCH($D4362,INDIRECT("'"&amp;$C4362&amp;"'!$E$12:$Y$12"),0)),0),0)</f>
        <v>1988236.6044415063</v>
      </c>
      <c r="I4362" s="366" t="s">
        <v>1690</v>
      </c>
      <c r="J4362" s="348" t="str">
        <f t="shared" ca="1" si="136"/>
        <v>OK</v>
      </c>
      <c r="K4362" s="366" t="s">
        <v>1706</v>
      </c>
      <c r="L4362" s="366" t="s">
        <v>2244</v>
      </c>
      <c r="M4362" s="350" t="str">
        <f>IF($B4362="Portfolio","Portfolio",IFERROR(INDEX(DATA_ASSET_CLASSIFICATION!$B$8:$B$24,MATCH($C4362,DATA_ASSET_CLASSIFICATION!$A$8:$A$24,0)),"Review"))</f>
        <v>450 Pacific Street</v>
      </c>
      <c r="N4362" s="350" t="str">
        <f>IF($B4362="Portfolio","Portfolio",IFERROR(INDEX(DATA_ASSET_CLASSIFICATION!$U$8:$U$24,MATCH($C4362,DATA_ASSET_CLASSIFICATION!$A$8:$A$24,0)),"Review"))</f>
        <v>New Build</v>
      </c>
      <c r="O4362" s="350" t="str">
        <f>IF($B4362="Portfolio","Portfolio",IFERROR(INDEX(DATA_ASSET_CLASSIFICATION!$AB$8:$AB$13,MATCH($N4362,DATA_ASSET_CLASSIFICATION!$AA$8:$AA$13,0)),"Review"))</f>
        <v>Bucket 1 · New Build</v>
      </c>
      <c r="P4362" s="350" t="str">
        <f>IF($B4362="Portfolio","Portfolio",IFERROR(INDEX(DATA_ASSET_CLASSIFICATION!$C$8:$C$24,MATCH($C4362,DATA_ASSET_CLASSIFICATION!$A$8:$A$24,0)),"Review"))</f>
        <v>Yes</v>
      </c>
      <c r="Q4362" s="350" t="str">
        <f t="shared" ca="1" si="137"/>
        <v>OK</v>
      </c>
    </row>
    <row r="4363" spans="1:17">
      <c r="A4363" s="366" t="s">
        <v>6319</v>
      </c>
      <c r="B4363" s="366" t="s">
        <v>231</v>
      </c>
      <c r="C4363" s="348" t="str">
        <f>DATA_PROPERTY_MASTER!$A$19</f>
        <v>BLD_PS</v>
      </c>
      <c r="D4363" s="380">
        <f>'00_PORTFOLIO ROLLUP'!F$12</f>
        <v>2026</v>
      </c>
      <c r="E4363" s="366" t="s">
        <v>1683</v>
      </c>
      <c r="F4363" s="366" t="s">
        <v>25</v>
      </c>
      <c r="G4363" s="348" t="str">
        <f>"'"&amp;$C4363&amp;"'!$E$52:$Y$52"</f>
        <v>'BLD_PS'!$E$52:$Y$52</v>
      </c>
      <c r="H4363" s="381">
        <f ca="1">IF(IFERROR(INDEX(DATA_PROPERTY_MASTER!$E$5:$E$21,MATCH($C4363,DATA_PROPERTY_MASTER!$A$5:$A$21,0))="Yes",FALSE),IFERROR(INDEX(INDIRECT("'"&amp;$C4363&amp;"'!$E$52:$Y$52"),1,MATCH($D4363,INDIRECT("'"&amp;$C4363&amp;"'!$E$12:$Y$12"),0)),0),0)</f>
        <v>-1988236.6044415063</v>
      </c>
      <c r="I4363" s="366" t="s">
        <v>1685</v>
      </c>
      <c r="J4363" s="348" t="str">
        <f t="shared" ca="1" si="136"/>
        <v>OK</v>
      </c>
      <c r="K4363" s="366" t="s">
        <v>1710</v>
      </c>
      <c r="L4363" s="366" t="s">
        <v>2246</v>
      </c>
      <c r="M4363" s="350" t="str">
        <f>IF($B4363="Portfolio","Portfolio",IFERROR(INDEX(DATA_ASSET_CLASSIFICATION!$B$8:$B$24,MATCH($C4363,DATA_ASSET_CLASSIFICATION!$A$8:$A$24,0)),"Review"))</f>
        <v>450 Pacific Street</v>
      </c>
      <c r="N4363" s="350" t="str">
        <f>IF($B4363="Portfolio","Portfolio",IFERROR(INDEX(DATA_ASSET_CLASSIFICATION!$U$8:$U$24,MATCH($C4363,DATA_ASSET_CLASSIFICATION!$A$8:$A$24,0)),"Review"))</f>
        <v>New Build</v>
      </c>
      <c r="O4363" s="350" t="str">
        <f>IF($B4363="Portfolio","Portfolio",IFERROR(INDEX(DATA_ASSET_CLASSIFICATION!$AB$8:$AB$13,MATCH($N4363,DATA_ASSET_CLASSIFICATION!$AA$8:$AA$13,0)),"Review"))</f>
        <v>Bucket 1 · New Build</v>
      </c>
      <c r="P4363" s="350" t="str">
        <f>IF($B4363="Portfolio","Portfolio",IFERROR(INDEX(DATA_ASSET_CLASSIFICATION!$C$8:$C$24,MATCH($C4363,DATA_ASSET_CLASSIFICATION!$A$8:$A$24,0)),"Review"))</f>
        <v>Yes</v>
      </c>
      <c r="Q4363" s="350" t="str">
        <f t="shared" ca="1" si="137"/>
        <v>OK</v>
      </c>
    </row>
    <row r="4364" spans="1:17">
      <c r="A4364" s="366" t="s">
        <v>6320</v>
      </c>
      <c r="B4364" s="366" t="s">
        <v>231</v>
      </c>
      <c r="C4364" s="348" t="str">
        <f>DATA_PROPERTY_MASTER!$A$19</f>
        <v>BLD_PS</v>
      </c>
      <c r="D4364" s="380">
        <f>'00_PORTFOLIO ROLLUP'!F$12</f>
        <v>2026</v>
      </c>
      <c r="E4364" s="366" t="s">
        <v>1683</v>
      </c>
      <c r="F4364" s="366" t="s">
        <v>27</v>
      </c>
      <c r="G4364" s="348" t="str">
        <f>"'"&amp;$C4364&amp;"'!$E$54:$Y$54"</f>
        <v>'BLD_PS'!$E$54:$Y$54</v>
      </c>
      <c r="H4364" s="381">
        <f ca="1">IF(IFERROR(INDEX(DATA_PROPERTY_MASTER!$E$5:$E$21,MATCH($C4364,DATA_PROPERTY_MASTER!$A$5:$A$21,0))="Yes",FALSE),IFERROR(INDEX(INDIRECT("'"&amp;$C4364&amp;"'!$E$54:$Y$54"),1,MATCH($D4364,INDIRECT("'"&amp;$C4364&amp;"'!$E$12:$Y$12"),0)),0),0)</f>
        <v>0</v>
      </c>
      <c r="I4364" s="366" t="s">
        <v>1690</v>
      </c>
      <c r="J4364" s="348" t="str">
        <f t="shared" ca="1" si="136"/>
        <v>OK</v>
      </c>
      <c r="K4364" s="366" t="s">
        <v>1714</v>
      </c>
      <c r="L4364" s="366" t="s">
        <v>2248</v>
      </c>
      <c r="M4364" s="350" t="str">
        <f>IF($B4364="Portfolio","Portfolio",IFERROR(INDEX(DATA_ASSET_CLASSIFICATION!$B$8:$B$24,MATCH($C4364,DATA_ASSET_CLASSIFICATION!$A$8:$A$24,0)),"Review"))</f>
        <v>450 Pacific Street</v>
      </c>
      <c r="N4364" s="350" t="str">
        <f>IF($B4364="Portfolio","Portfolio",IFERROR(INDEX(DATA_ASSET_CLASSIFICATION!$U$8:$U$24,MATCH($C4364,DATA_ASSET_CLASSIFICATION!$A$8:$A$24,0)),"Review"))</f>
        <v>New Build</v>
      </c>
      <c r="O4364" s="350" t="str">
        <f>IF($B4364="Portfolio","Portfolio",IFERROR(INDEX(DATA_ASSET_CLASSIFICATION!$AB$8:$AB$13,MATCH($N4364,DATA_ASSET_CLASSIFICATION!$AA$8:$AA$13,0)),"Review"))</f>
        <v>Bucket 1 · New Build</v>
      </c>
      <c r="P4364" s="350" t="str">
        <f>IF($B4364="Portfolio","Portfolio",IFERROR(INDEX(DATA_ASSET_CLASSIFICATION!$C$8:$C$24,MATCH($C4364,DATA_ASSET_CLASSIFICATION!$A$8:$A$24,0)),"Review"))</f>
        <v>Yes</v>
      </c>
      <c r="Q4364" s="350" t="str">
        <f t="shared" ca="1" si="137"/>
        <v>OK</v>
      </c>
    </row>
    <row r="4365" spans="1:17">
      <c r="A4365" s="366" t="s">
        <v>6321</v>
      </c>
      <c r="B4365" s="366" t="s">
        <v>231</v>
      </c>
      <c r="C4365" s="348" t="str">
        <f>DATA_PROPERTY_MASTER!$A$19</f>
        <v>BLD_PS</v>
      </c>
      <c r="D4365" s="380">
        <f>'00_PORTFOLIO ROLLUP'!F$12</f>
        <v>2026</v>
      </c>
      <c r="E4365" s="366" t="s">
        <v>1683</v>
      </c>
      <c r="F4365" s="366" t="s">
        <v>29</v>
      </c>
      <c r="G4365" s="348" t="str">
        <f>"'"&amp;$C4365&amp;"'!$E$56:$Y$56"</f>
        <v>'BLD_PS'!$E$56:$Y$56</v>
      </c>
      <c r="H4365" s="381">
        <f ca="1">IF(IFERROR(INDEX(DATA_PROPERTY_MASTER!$E$5:$E$21,MATCH($C4365,DATA_PROPERTY_MASTER!$A$5:$A$21,0))="Yes",FALSE),IFERROR(INDEX(INDIRECT("'"&amp;$C4365&amp;"'!$E$56:$Y$56"),1,MATCH($D4365,INDIRECT("'"&amp;$C4365&amp;"'!$E$12:$Y$12"),0)),0),0)</f>
        <v>-1988236.6044415063</v>
      </c>
      <c r="I4365" s="366" t="s">
        <v>1685</v>
      </c>
      <c r="J4365" s="348" t="str">
        <f t="shared" ca="1" si="136"/>
        <v>OK</v>
      </c>
      <c r="K4365" s="366" t="s">
        <v>1718</v>
      </c>
      <c r="L4365" s="366" t="s">
        <v>2250</v>
      </c>
      <c r="M4365" s="350" t="str">
        <f>IF($B4365="Portfolio","Portfolio",IFERROR(INDEX(DATA_ASSET_CLASSIFICATION!$B$8:$B$24,MATCH($C4365,DATA_ASSET_CLASSIFICATION!$A$8:$A$24,0)),"Review"))</f>
        <v>450 Pacific Street</v>
      </c>
      <c r="N4365" s="350" t="str">
        <f>IF($B4365="Portfolio","Portfolio",IFERROR(INDEX(DATA_ASSET_CLASSIFICATION!$U$8:$U$24,MATCH($C4365,DATA_ASSET_CLASSIFICATION!$A$8:$A$24,0)),"Review"))</f>
        <v>New Build</v>
      </c>
      <c r="O4365" s="350" t="str">
        <f>IF($B4365="Portfolio","Portfolio",IFERROR(INDEX(DATA_ASSET_CLASSIFICATION!$AB$8:$AB$13,MATCH($N4365,DATA_ASSET_CLASSIFICATION!$AA$8:$AA$13,0)),"Review"))</f>
        <v>Bucket 1 · New Build</v>
      </c>
      <c r="P4365" s="350" t="str">
        <f>IF($B4365="Portfolio","Portfolio",IFERROR(INDEX(DATA_ASSET_CLASSIFICATION!$C$8:$C$24,MATCH($C4365,DATA_ASSET_CLASSIFICATION!$A$8:$A$24,0)),"Review"))</f>
        <v>Yes</v>
      </c>
      <c r="Q4365" s="350" t="str">
        <f t="shared" ca="1" si="137"/>
        <v>OK</v>
      </c>
    </row>
    <row r="4366" spans="1:17">
      <c r="A4366" s="366" t="s">
        <v>6322</v>
      </c>
      <c r="B4366" s="366" t="s">
        <v>231</v>
      </c>
      <c r="C4366" s="348" t="str">
        <f>DATA_PROPERTY_MASTER!$A$19</f>
        <v>BLD_PS</v>
      </c>
      <c r="D4366" s="380">
        <f>'00_PORTFOLIO ROLLUP'!F$12</f>
        <v>2026</v>
      </c>
      <c r="E4366" s="366" t="s">
        <v>1721</v>
      </c>
      <c r="F4366" s="366" t="s">
        <v>31</v>
      </c>
      <c r="G4366" s="348" t="str">
        <f>"'"&amp;$C4366&amp;"'!$E$61:$Y$61"</f>
        <v>'BLD_PS'!$E$61:$Y$61</v>
      </c>
      <c r="H4366" s="381">
        <f ca="1">IF(IFERROR(INDEX(DATA_PROPERTY_MASTER!$E$5:$E$21,MATCH($C4366,DATA_PROPERTY_MASTER!$A$5:$A$21,0))="Yes",FALSE),IFERROR(INDEX(INDIRECT("'"&amp;$C4366&amp;"'!$E$61:$Y$61"),1,MATCH($D4366,INDIRECT("'"&amp;$C4366&amp;"'!$E$12:$Y$12"),0)),0),0)</f>
        <v>0</v>
      </c>
      <c r="I4366" s="366" t="s">
        <v>1690</v>
      </c>
      <c r="J4366" s="348" t="str">
        <f t="shared" ca="1" si="136"/>
        <v>OK</v>
      </c>
      <c r="K4366" s="366" t="s">
        <v>1723</v>
      </c>
      <c r="L4366" s="366" t="s">
        <v>2252</v>
      </c>
      <c r="M4366" s="350" t="str">
        <f>IF($B4366="Portfolio","Portfolio",IFERROR(INDEX(DATA_ASSET_CLASSIFICATION!$B$8:$B$24,MATCH($C4366,DATA_ASSET_CLASSIFICATION!$A$8:$A$24,0)),"Review"))</f>
        <v>450 Pacific Street</v>
      </c>
      <c r="N4366" s="350" t="str">
        <f>IF($B4366="Portfolio","Portfolio",IFERROR(INDEX(DATA_ASSET_CLASSIFICATION!$U$8:$U$24,MATCH($C4366,DATA_ASSET_CLASSIFICATION!$A$8:$A$24,0)),"Review"))</f>
        <v>New Build</v>
      </c>
      <c r="O4366" s="350" t="str">
        <f>IF($B4366="Portfolio","Portfolio",IFERROR(INDEX(DATA_ASSET_CLASSIFICATION!$AB$8:$AB$13,MATCH($N4366,DATA_ASSET_CLASSIFICATION!$AA$8:$AA$13,0)),"Review"))</f>
        <v>Bucket 1 · New Build</v>
      </c>
      <c r="P4366" s="350" t="str">
        <f>IF($B4366="Portfolio","Portfolio",IFERROR(INDEX(DATA_ASSET_CLASSIFICATION!$C$8:$C$24,MATCH($C4366,DATA_ASSET_CLASSIFICATION!$A$8:$A$24,0)),"Review"))</f>
        <v>Yes</v>
      </c>
      <c r="Q4366" s="350" t="str">
        <f t="shared" ca="1" si="137"/>
        <v>OK</v>
      </c>
    </row>
    <row r="4367" spans="1:17">
      <c r="A4367" s="366" t="s">
        <v>6323</v>
      </c>
      <c r="B4367" s="366" t="s">
        <v>231</v>
      </c>
      <c r="C4367" s="348" t="str">
        <f>DATA_PROPERTY_MASTER!$A$19</f>
        <v>BLD_PS</v>
      </c>
      <c r="D4367" s="380">
        <f>'00_PORTFOLIO ROLLUP'!F$12</f>
        <v>2026</v>
      </c>
      <c r="E4367" s="366" t="s">
        <v>1721</v>
      </c>
      <c r="F4367" s="366" t="s">
        <v>33</v>
      </c>
      <c r="G4367" s="348" t="str">
        <f>"'"&amp;$C4367&amp;"'!$E$62:$Y$62"</f>
        <v>'BLD_PS'!$E$62:$Y$62</v>
      </c>
      <c r="H4367" s="381">
        <f ca="1">IF(IFERROR(INDEX(DATA_PROPERTY_MASTER!$E$5:$E$21,MATCH($C4367,DATA_PROPERTY_MASTER!$A$5:$A$21,0))="Yes",FALSE),IFERROR(INDEX(INDIRECT("'"&amp;$C4367&amp;"'!$E$62:$Y$62"),1,MATCH($D4367,INDIRECT("'"&amp;$C4367&amp;"'!$E$12:$Y$12"),0)),0),0)</f>
        <v>0</v>
      </c>
      <c r="I4367" s="366" t="s">
        <v>1685</v>
      </c>
      <c r="J4367" s="348" t="str">
        <f t="shared" ca="1" si="136"/>
        <v>OK</v>
      </c>
      <c r="K4367" s="366" t="s">
        <v>1727</v>
      </c>
      <c r="L4367" s="366" t="s">
        <v>2254</v>
      </c>
      <c r="M4367" s="350" t="str">
        <f>IF($B4367="Portfolio","Portfolio",IFERROR(INDEX(DATA_ASSET_CLASSIFICATION!$B$8:$B$24,MATCH($C4367,DATA_ASSET_CLASSIFICATION!$A$8:$A$24,0)),"Review"))</f>
        <v>450 Pacific Street</v>
      </c>
      <c r="N4367" s="350" t="str">
        <f>IF($B4367="Portfolio","Portfolio",IFERROR(INDEX(DATA_ASSET_CLASSIFICATION!$U$8:$U$24,MATCH($C4367,DATA_ASSET_CLASSIFICATION!$A$8:$A$24,0)),"Review"))</f>
        <v>New Build</v>
      </c>
      <c r="O4367" s="350" t="str">
        <f>IF($B4367="Portfolio","Portfolio",IFERROR(INDEX(DATA_ASSET_CLASSIFICATION!$AB$8:$AB$13,MATCH($N4367,DATA_ASSET_CLASSIFICATION!$AA$8:$AA$13,0)),"Review"))</f>
        <v>Bucket 1 · New Build</v>
      </c>
      <c r="P4367" s="350" t="str">
        <f>IF($B4367="Portfolio","Portfolio",IFERROR(INDEX(DATA_ASSET_CLASSIFICATION!$C$8:$C$24,MATCH($C4367,DATA_ASSET_CLASSIFICATION!$A$8:$A$24,0)),"Review"))</f>
        <v>Yes</v>
      </c>
      <c r="Q4367" s="350" t="str">
        <f t="shared" ca="1" si="137"/>
        <v>OK</v>
      </c>
    </row>
    <row r="4368" spans="1:17">
      <c r="A4368" s="366" t="s">
        <v>6324</v>
      </c>
      <c r="B4368" s="366" t="s">
        <v>231</v>
      </c>
      <c r="C4368" s="348" t="str">
        <f>DATA_PROPERTY_MASTER!$A$19</f>
        <v>BLD_PS</v>
      </c>
      <c r="D4368" s="380">
        <f>'00_PORTFOLIO ROLLUP'!F$12</f>
        <v>2026</v>
      </c>
      <c r="E4368" s="366" t="s">
        <v>1721</v>
      </c>
      <c r="F4368" s="366" t="s">
        <v>35</v>
      </c>
      <c r="G4368" s="348" t="str">
        <f>"'"&amp;$C4368&amp;"'!$E$63:$Y$63"</f>
        <v>'BLD_PS'!$E$63:$Y$63</v>
      </c>
      <c r="H4368" s="381">
        <f ca="1">IF(IFERROR(INDEX(DATA_PROPERTY_MASTER!$E$5:$E$21,MATCH($C4368,DATA_PROPERTY_MASTER!$A$5:$A$21,0))="Yes",FALSE),IFERROR(INDEX(INDIRECT("'"&amp;$C4368&amp;"'!$E$63:$Y$63"),1,MATCH($D4368,INDIRECT("'"&amp;$C4368&amp;"'!$E$12:$Y$12"),0)),0),0)</f>
        <v>0</v>
      </c>
      <c r="I4368" s="366" t="s">
        <v>1731</v>
      </c>
      <c r="J4368" s="348" t="str">
        <f t="shared" ca="1" si="136"/>
        <v>OK</v>
      </c>
      <c r="K4368" s="366" t="s">
        <v>1732</v>
      </c>
      <c r="L4368" s="366" t="s">
        <v>2256</v>
      </c>
      <c r="M4368" s="350" t="str">
        <f>IF($B4368="Portfolio","Portfolio",IFERROR(INDEX(DATA_ASSET_CLASSIFICATION!$B$8:$B$24,MATCH($C4368,DATA_ASSET_CLASSIFICATION!$A$8:$A$24,0)),"Review"))</f>
        <v>450 Pacific Street</v>
      </c>
      <c r="N4368" s="350" t="str">
        <f>IF($B4368="Portfolio","Portfolio",IFERROR(INDEX(DATA_ASSET_CLASSIFICATION!$U$8:$U$24,MATCH($C4368,DATA_ASSET_CLASSIFICATION!$A$8:$A$24,0)),"Review"))</f>
        <v>New Build</v>
      </c>
      <c r="O4368" s="350" t="str">
        <f>IF($B4368="Portfolio","Portfolio",IFERROR(INDEX(DATA_ASSET_CLASSIFICATION!$AB$8:$AB$13,MATCH($N4368,DATA_ASSET_CLASSIFICATION!$AA$8:$AA$13,0)),"Review"))</f>
        <v>Bucket 1 · New Build</v>
      </c>
      <c r="P4368" s="350" t="str">
        <f>IF($B4368="Portfolio","Portfolio",IFERROR(INDEX(DATA_ASSET_CLASSIFICATION!$C$8:$C$24,MATCH($C4368,DATA_ASSET_CLASSIFICATION!$A$8:$A$24,0)),"Review"))</f>
        <v>Yes</v>
      </c>
      <c r="Q4368" s="350" t="str">
        <f t="shared" ca="1" si="137"/>
        <v>OK</v>
      </c>
    </row>
    <row r="4369" spans="1:17">
      <c r="A4369" s="366" t="s">
        <v>6325</v>
      </c>
      <c r="B4369" s="366" t="s">
        <v>231</v>
      </c>
      <c r="C4369" s="348" t="str">
        <f>DATA_PROPERTY_MASTER!$A$19</f>
        <v>BLD_PS</v>
      </c>
      <c r="D4369" s="380">
        <f>'00_PORTFOLIO ROLLUP'!F$12</f>
        <v>2026</v>
      </c>
      <c r="E4369" s="366" t="s">
        <v>1721</v>
      </c>
      <c r="F4369" s="366" t="s">
        <v>37</v>
      </c>
      <c r="G4369" s="348" t="str">
        <f>"'"&amp;$C4369&amp;"'!$E$63:$Y$63"</f>
        <v>'BLD_PS'!$E$63:$Y$63</v>
      </c>
      <c r="H4369" s="381">
        <f ca="1">IF(IFERROR(INDEX(DATA_PROPERTY_MASTER!$E$5:$E$21,MATCH($C4369,DATA_PROPERTY_MASTER!$A$5:$A$21,0))="Yes",FALSE),MAX(IFERROR(INDEX(INDIRECT("'"&amp;$C4369&amp;"'!$E$63:$Y$63"),1,MATCH($D4369,INDIRECT("'"&amp;$C4369&amp;"'!$E$12:$Y$12"),0)),0),0),0)</f>
        <v>0</v>
      </c>
      <c r="I4369" s="366" t="s">
        <v>1685</v>
      </c>
      <c r="J4369" s="348" t="str">
        <f t="shared" ca="1" si="136"/>
        <v>OK</v>
      </c>
      <c r="K4369" s="366" t="s">
        <v>1735</v>
      </c>
      <c r="L4369" s="366" t="s">
        <v>2258</v>
      </c>
      <c r="M4369" s="350" t="str">
        <f>IF($B4369="Portfolio","Portfolio",IFERROR(INDEX(DATA_ASSET_CLASSIFICATION!$B$8:$B$24,MATCH($C4369,DATA_ASSET_CLASSIFICATION!$A$8:$A$24,0)),"Review"))</f>
        <v>450 Pacific Street</v>
      </c>
      <c r="N4369" s="350" t="str">
        <f>IF($B4369="Portfolio","Portfolio",IFERROR(INDEX(DATA_ASSET_CLASSIFICATION!$U$8:$U$24,MATCH($C4369,DATA_ASSET_CLASSIFICATION!$A$8:$A$24,0)),"Review"))</f>
        <v>New Build</v>
      </c>
      <c r="O4369" s="350" t="str">
        <f>IF($B4369="Portfolio","Portfolio",IFERROR(INDEX(DATA_ASSET_CLASSIFICATION!$AB$8:$AB$13,MATCH($N4369,DATA_ASSET_CLASSIFICATION!$AA$8:$AA$13,0)),"Review"))</f>
        <v>Bucket 1 · New Build</v>
      </c>
      <c r="P4369" s="350" t="str">
        <f>IF($B4369="Portfolio","Portfolio",IFERROR(INDEX(DATA_ASSET_CLASSIFICATION!$C$8:$C$24,MATCH($C4369,DATA_ASSET_CLASSIFICATION!$A$8:$A$24,0)),"Review"))</f>
        <v>Yes</v>
      </c>
      <c r="Q4369" s="350" t="str">
        <f t="shared" ca="1" si="137"/>
        <v>OK</v>
      </c>
    </row>
    <row r="4370" spans="1:17">
      <c r="A4370" s="366" t="s">
        <v>6326</v>
      </c>
      <c r="B4370" s="366" t="s">
        <v>231</v>
      </c>
      <c r="C4370" s="348" t="str">
        <f>DATA_PROPERTY_MASTER!$A$19</f>
        <v>BLD_PS</v>
      </c>
      <c r="D4370" s="380">
        <f>'00_PORTFOLIO ROLLUP'!F$12</f>
        <v>2026</v>
      </c>
      <c r="E4370" s="366" t="s">
        <v>1721</v>
      </c>
      <c r="F4370" s="366" t="s">
        <v>39</v>
      </c>
      <c r="G4370" s="348" t="str">
        <f>"'"&amp;$C4370&amp;"'!$E$63:$Y$63"</f>
        <v>'BLD_PS'!$E$63:$Y$63</v>
      </c>
      <c r="H4370" s="381">
        <f ca="1">IF(IFERROR(INDEX(DATA_PROPERTY_MASTER!$E$5:$E$21,MATCH($C4370,DATA_PROPERTY_MASTER!$A$5:$A$21,0))="Yes",FALSE),MAX(-IFERROR(INDEX(INDIRECT("'"&amp;$C4370&amp;"'!$E$63:$Y$63"),1,MATCH($D4370,INDIRECT("'"&amp;$C4370&amp;"'!$E$12:$Y$12"),0)),0),0),0)</f>
        <v>0</v>
      </c>
      <c r="I4370" s="366" t="s">
        <v>1690</v>
      </c>
      <c r="J4370" s="348" t="str">
        <f t="shared" ca="1" si="136"/>
        <v>OK</v>
      </c>
      <c r="K4370" s="366" t="s">
        <v>1738</v>
      </c>
      <c r="L4370" s="366" t="s">
        <v>2260</v>
      </c>
      <c r="M4370" s="350" t="str">
        <f>IF($B4370="Portfolio","Portfolio",IFERROR(INDEX(DATA_ASSET_CLASSIFICATION!$B$8:$B$24,MATCH($C4370,DATA_ASSET_CLASSIFICATION!$A$8:$A$24,0)),"Review"))</f>
        <v>450 Pacific Street</v>
      </c>
      <c r="N4370" s="350" t="str">
        <f>IF($B4370="Portfolio","Portfolio",IFERROR(INDEX(DATA_ASSET_CLASSIFICATION!$U$8:$U$24,MATCH($C4370,DATA_ASSET_CLASSIFICATION!$A$8:$A$24,0)),"Review"))</f>
        <v>New Build</v>
      </c>
      <c r="O4370" s="350" t="str">
        <f>IF($B4370="Portfolio","Portfolio",IFERROR(INDEX(DATA_ASSET_CLASSIFICATION!$AB$8:$AB$13,MATCH($N4370,DATA_ASSET_CLASSIFICATION!$AA$8:$AA$13,0)),"Review"))</f>
        <v>Bucket 1 · New Build</v>
      </c>
      <c r="P4370" s="350" t="str">
        <f>IF($B4370="Portfolio","Portfolio",IFERROR(INDEX(DATA_ASSET_CLASSIFICATION!$C$8:$C$24,MATCH($C4370,DATA_ASSET_CLASSIFICATION!$A$8:$A$24,0)),"Review"))</f>
        <v>Yes</v>
      </c>
      <c r="Q4370" s="350" t="str">
        <f t="shared" ca="1" si="137"/>
        <v>OK</v>
      </c>
    </row>
    <row r="4371" spans="1:17">
      <c r="A4371" s="366" t="s">
        <v>6327</v>
      </c>
      <c r="B4371" s="366" t="s">
        <v>231</v>
      </c>
      <c r="C4371" s="348" t="str">
        <f>DATA_PROPERTY_MASTER!$A$19</f>
        <v>BLD_PS</v>
      </c>
      <c r="D4371" s="380">
        <f>'00_PORTFOLIO ROLLUP'!F$12</f>
        <v>2026</v>
      </c>
      <c r="E4371" s="366" t="s">
        <v>1741</v>
      </c>
      <c r="F4371" s="366" t="s">
        <v>41</v>
      </c>
      <c r="G4371" s="348" t="str">
        <f>"'"&amp;$C4371&amp;"'!rows 56 + positive row 63"</f>
        <v>'BLD_PS'!rows 56 + positive row 63</v>
      </c>
      <c r="H4371" s="381">
        <f ca="1">IF(IFERROR(INDEX(DATA_PROPERTY_MASTER!$E$5:$E$21,MATCH($C4371,DATA_PROPERTY_MASTER!$A$5:$A$21,0))="Yes",FALSE),IFERROR(INDEX(INDIRECT("'"&amp;$C4371&amp;"'!$E$56:$Y$56"),1,MATCH($D4371,INDIRECT("'"&amp;$C4371&amp;"'!$E$12:$Y$12"),0)),0)+MAX(IFERROR(INDEX(INDIRECT("'"&amp;$C4371&amp;"'!$E$63:$Y$63"),1,MATCH($D4371,INDIRECT("'"&amp;$C4371&amp;"'!$E$12:$Y$12"),0)),0),0),0)</f>
        <v>-1988236.6044415063</v>
      </c>
      <c r="I4371" s="366" t="s">
        <v>1685</v>
      </c>
      <c r="J4371" s="348" t="str">
        <f t="shared" ca="1" si="136"/>
        <v>OK</v>
      </c>
      <c r="K4371" s="366" t="s">
        <v>1742</v>
      </c>
      <c r="L4371" s="366" t="s">
        <v>2262</v>
      </c>
      <c r="M4371" s="350" t="str">
        <f>IF($B4371="Portfolio","Portfolio",IFERROR(INDEX(DATA_ASSET_CLASSIFICATION!$B$8:$B$24,MATCH($C4371,DATA_ASSET_CLASSIFICATION!$A$8:$A$24,0)),"Review"))</f>
        <v>450 Pacific Street</v>
      </c>
      <c r="N4371" s="350" t="str">
        <f>IF($B4371="Portfolio","Portfolio",IFERROR(INDEX(DATA_ASSET_CLASSIFICATION!$U$8:$U$24,MATCH($C4371,DATA_ASSET_CLASSIFICATION!$A$8:$A$24,0)),"Review"))</f>
        <v>New Build</v>
      </c>
      <c r="O4371" s="350" t="str">
        <f>IF($B4371="Portfolio","Portfolio",IFERROR(INDEX(DATA_ASSET_CLASSIFICATION!$AB$8:$AB$13,MATCH($N4371,DATA_ASSET_CLASSIFICATION!$AA$8:$AA$13,0)),"Review"))</f>
        <v>Bucket 1 · New Build</v>
      </c>
      <c r="P4371" s="350" t="str">
        <f>IF($B4371="Portfolio","Portfolio",IFERROR(INDEX(DATA_ASSET_CLASSIFICATION!$C$8:$C$24,MATCH($C4371,DATA_ASSET_CLASSIFICATION!$A$8:$A$24,0)),"Review"))</f>
        <v>Yes</v>
      </c>
      <c r="Q4371" s="350" t="str">
        <f t="shared" ca="1" si="137"/>
        <v>OK</v>
      </c>
    </row>
    <row r="4372" spans="1:17">
      <c r="A4372" s="366" t="s">
        <v>6328</v>
      </c>
      <c r="B4372" s="366" t="s">
        <v>231</v>
      </c>
      <c r="C4372" s="348" t="str">
        <f>DATA_PROPERTY_MASTER!$A$19</f>
        <v>BLD_PS</v>
      </c>
      <c r="D4372" s="380">
        <f>'00_PORTFOLIO ROLLUP'!F$12</f>
        <v>2026</v>
      </c>
      <c r="E4372" s="366" t="s">
        <v>1741</v>
      </c>
      <c r="F4372" s="366" t="s">
        <v>43</v>
      </c>
      <c r="G4372" s="348" t="str">
        <f>"'"&amp;$C4372&amp;"'!$E$68:$Y$68"</f>
        <v>'BLD_PS'!$E$68:$Y$68</v>
      </c>
      <c r="H4372" s="381">
        <f ca="1">IF(IFERROR(INDEX(DATA_PROPERTY_MASTER!$E$5:$E$21,MATCH($C4372,DATA_PROPERTY_MASTER!$A$5:$A$21,0))="Yes",FALSE),IFERROR(INDEX(INDIRECT("'"&amp;$C4372&amp;"'!$E$68:$Y$68"),1,MATCH($D4372,INDIRECT("'"&amp;$C4372&amp;"'!$E$12:$Y$12"),0)),0),0)</f>
        <v>-1988236.6044415063</v>
      </c>
      <c r="I4372" s="366" t="s">
        <v>1731</v>
      </c>
      <c r="J4372" s="348" t="str">
        <f t="shared" ca="1" si="136"/>
        <v>OK</v>
      </c>
      <c r="K4372" s="366" t="s">
        <v>1746</v>
      </c>
      <c r="L4372" s="366" t="s">
        <v>2264</v>
      </c>
      <c r="M4372" s="350" t="str">
        <f>IF($B4372="Portfolio","Portfolio",IFERROR(INDEX(DATA_ASSET_CLASSIFICATION!$B$8:$B$24,MATCH($C4372,DATA_ASSET_CLASSIFICATION!$A$8:$A$24,0)),"Review"))</f>
        <v>450 Pacific Street</v>
      </c>
      <c r="N4372" s="350" t="str">
        <f>IF($B4372="Portfolio","Portfolio",IFERROR(INDEX(DATA_ASSET_CLASSIFICATION!$U$8:$U$24,MATCH($C4372,DATA_ASSET_CLASSIFICATION!$A$8:$A$24,0)),"Review"))</f>
        <v>New Build</v>
      </c>
      <c r="O4372" s="350" t="str">
        <f>IF($B4372="Portfolio","Portfolio",IFERROR(INDEX(DATA_ASSET_CLASSIFICATION!$AB$8:$AB$13,MATCH($N4372,DATA_ASSET_CLASSIFICATION!$AA$8:$AA$13,0)),"Review"))</f>
        <v>Bucket 1 · New Build</v>
      </c>
      <c r="P4372" s="350" t="str">
        <f>IF($B4372="Portfolio","Portfolio",IFERROR(INDEX(DATA_ASSET_CLASSIFICATION!$C$8:$C$24,MATCH($C4372,DATA_ASSET_CLASSIFICATION!$A$8:$A$24,0)),"Review"))</f>
        <v>Yes</v>
      </c>
      <c r="Q4372" s="350" t="str">
        <f t="shared" ca="1" si="137"/>
        <v>OK</v>
      </c>
    </row>
    <row r="4373" spans="1:17">
      <c r="A4373" s="366" t="s">
        <v>6329</v>
      </c>
      <c r="B4373" s="366" t="s">
        <v>231</v>
      </c>
      <c r="C4373" s="348" t="str">
        <f>DATA_PROPERTY_MASTER!$A$19</f>
        <v>BLD_PS</v>
      </c>
      <c r="D4373" s="380">
        <f>'00_PORTFOLIO ROLLUP'!F$12</f>
        <v>2026</v>
      </c>
      <c r="E4373" s="366" t="s">
        <v>1741</v>
      </c>
      <c r="F4373" s="366" t="s">
        <v>1749</v>
      </c>
      <c r="G4373" s="348" t="str">
        <f>"'"&amp;$C4373&amp;"'!rows 56, 63, 68"</f>
        <v>'BLD_PS'!rows 56, 63, 68</v>
      </c>
      <c r="H4373" s="381">
        <f ca="1">IF(IFERROR(INDEX(DATA_PROPERTY_MASTER!$E$5:$E$21,MATCH($C4373,DATA_PROPERTY_MASTER!$A$5:$A$21,0))="Yes",FALSE),(IFERROR(INDEX(INDIRECT("'"&amp;$C4373&amp;"'!$E$56:$Y$56"),1,MATCH($D4373,INDIRECT("'"&amp;$C4373&amp;"'!$E$12:$Y$12"),0)),0)+MAX(IFERROR(INDEX(INDIRECT("'"&amp;$C4373&amp;"'!$E$63:$Y$63"),1,MATCH($D4373,INDIRECT("'"&amp;$C4373&amp;"'!$E$12:$Y$12"),0)),0),0))-(IFERROR(INDEX(INDIRECT("'"&amp;$C4373&amp;"'!$E$68:$Y$68"),1,MATCH($D4373,INDIRECT("'"&amp;$C4373&amp;"'!$E$12:$Y$12"),0)),0)),0)</f>
        <v>0</v>
      </c>
      <c r="I4373" s="366" t="s">
        <v>1750</v>
      </c>
      <c r="J4373" s="348" t="str">
        <f t="shared" ca="1" si="136"/>
        <v>OK</v>
      </c>
      <c r="K4373" s="366" t="s">
        <v>1751</v>
      </c>
      <c r="L4373" s="366" t="s">
        <v>2266</v>
      </c>
      <c r="M4373" s="350" t="str">
        <f>IF($B4373="Portfolio","Portfolio",IFERROR(INDEX(DATA_ASSET_CLASSIFICATION!$B$8:$B$24,MATCH($C4373,DATA_ASSET_CLASSIFICATION!$A$8:$A$24,0)),"Review"))</f>
        <v>450 Pacific Street</v>
      </c>
      <c r="N4373" s="350" t="str">
        <f>IF($B4373="Portfolio","Portfolio",IFERROR(INDEX(DATA_ASSET_CLASSIFICATION!$U$8:$U$24,MATCH($C4373,DATA_ASSET_CLASSIFICATION!$A$8:$A$24,0)),"Review"))</f>
        <v>New Build</v>
      </c>
      <c r="O4373" s="350" t="str">
        <f>IF($B4373="Portfolio","Portfolio",IFERROR(INDEX(DATA_ASSET_CLASSIFICATION!$AB$8:$AB$13,MATCH($N4373,DATA_ASSET_CLASSIFICATION!$AA$8:$AA$13,0)),"Review"))</f>
        <v>Bucket 1 · New Build</v>
      </c>
      <c r="P4373" s="350" t="str">
        <f>IF($B4373="Portfolio","Portfolio",IFERROR(INDEX(DATA_ASSET_CLASSIFICATION!$C$8:$C$24,MATCH($C4373,DATA_ASSET_CLASSIFICATION!$A$8:$A$24,0)),"Review"))</f>
        <v>Yes</v>
      </c>
      <c r="Q4373" s="350" t="str">
        <f t="shared" ca="1" si="137"/>
        <v>OK</v>
      </c>
    </row>
    <row r="4374" spans="1:17">
      <c r="A4374" s="366" t="s">
        <v>6330</v>
      </c>
      <c r="B4374" s="366" t="s">
        <v>231</v>
      </c>
      <c r="C4374" s="348" t="str">
        <f>DATA_PROPERTY_MASTER!$A$19</f>
        <v>BLD_PS</v>
      </c>
      <c r="D4374" s="380">
        <f>'00_PORTFOLIO ROLLUP'!G$12</f>
        <v>2027</v>
      </c>
      <c r="E4374" s="366" t="s">
        <v>1683</v>
      </c>
      <c r="F4374" s="366" t="s">
        <v>341</v>
      </c>
      <c r="G4374" s="348" t="str">
        <f>"'"&amp;$C4374&amp;"'!$E$24:$Y$24"</f>
        <v>'BLD_PS'!$E$24:$Y$24</v>
      </c>
      <c r="H4374" s="381">
        <f ca="1">IF(IFERROR(INDEX(DATA_PROPERTY_MASTER!$E$5:$E$21,MATCH($C4374,DATA_PROPERTY_MASTER!$A$5:$A$21,0))="Yes",FALSE),IFERROR(INDEX(INDIRECT("'"&amp;$C4374&amp;"'!$E$24:$Y$24"),1,MATCH($D4374,INDIRECT("'"&amp;$C4374&amp;"'!$E$12:$Y$12"),0)),0),0)</f>
        <v>0</v>
      </c>
      <c r="I4374" s="366" t="s">
        <v>1685</v>
      </c>
      <c r="J4374" s="348" t="str">
        <f t="shared" ca="1" si="136"/>
        <v>OK</v>
      </c>
      <c r="K4374" s="366" t="s">
        <v>1686</v>
      </c>
      <c r="L4374" s="366" t="s">
        <v>2234</v>
      </c>
      <c r="M4374" s="350" t="str">
        <f>IF($B4374="Portfolio","Portfolio",IFERROR(INDEX(DATA_ASSET_CLASSIFICATION!$B$8:$B$24,MATCH($C4374,DATA_ASSET_CLASSIFICATION!$A$8:$A$24,0)),"Review"))</f>
        <v>450 Pacific Street</v>
      </c>
      <c r="N4374" s="350" t="str">
        <f>IF($B4374="Portfolio","Portfolio",IFERROR(INDEX(DATA_ASSET_CLASSIFICATION!$U$8:$U$24,MATCH($C4374,DATA_ASSET_CLASSIFICATION!$A$8:$A$24,0)),"Review"))</f>
        <v>New Build</v>
      </c>
      <c r="O4374" s="350" t="str">
        <f>IF($B4374="Portfolio","Portfolio",IFERROR(INDEX(DATA_ASSET_CLASSIFICATION!$AB$8:$AB$13,MATCH($N4374,DATA_ASSET_CLASSIFICATION!$AA$8:$AA$13,0)),"Review"))</f>
        <v>Bucket 1 · New Build</v>
      </c>
      <c r="P4374" s="350" t="str">
        <f>IF($B4374="Portfolio","Portfolio",IFERROR(INDEX(DATA_ASSET_CLASSIFICATION!$C$8:$C$24,MATCH($C4374,DATA_ASSET_CLASSIFICATION!$A$8:$A$24,0)),"Review"))</f>
        <v>Yes</v>
      </c>
      <c r="Q4374" s="350" t="str">
        <f t="shared" ca="1" si="137"/>
        <v>OK</v>
      </c>
    </row>
    <row r="4375" spans="1:17">
      <c r="A4375" s="366" t="s">
        <v>6331</v>
      </c>
      <c r="B4375" s="366" t="s">
        <v>231</v>
      </c>
      <c r="C4375" s="348" t="str">
        <f>DATA_PROPERTY_MASTER!$A$19</f>
        <v>BLD_PS</v>
      </c>
      <c r="D4375" s="380">
        <f>'00_PORTFOLIO ROLLUP'!G$12</f>
        <v>2027</v>
      </c>
      <c r="E4375" s="366" t="s">
        <v>1683</v>
      </c>
      <c r="F4375" s="366" t="s">
        <v>355</v>
      </c>
      <c r="G4375" s="348" t="str">
        <f>"'"&amp;$C4375&amp;"'!$E$39:$Y$39"</f>
        <v>'BLD_PS'!$E$39:$Y$39</v>
      </c>
      <c r="H4375" s="381">
        <f ca="1">IF(IFERROR(INDEX(DATA_PROPERTY_MASTER!$E$5:$E$21,MATCH($C4375,DATA_PROPERTY_MASTER!$A$5:$A$21,0))="Yes",FALSE),IFERROR(INDEX(INDIRECT("'"&amp;$C4375&amp;"'!$E$39:$Y$39"),1,MATCH($D4375,INDIRECT("'"&amp;$C4375&amp;"'!$E$12:$Y$12"),0)),0),0)</f>
        <v>0</v>
      </c>
      <c r="I4375" s="366" t="s">
        <v>1690</v>
      </c>
      <c r="J4375" s="348" t="str">
        <f t="shared" ca="1" si="136"/>
        <v>OK</v>
      </c>
      <c r="K4375" s="366" t="s">
        <v>1686</v>
      </c>
      <c r="L4375" s="366" t="s">
        <v>2236</v>
      </c>
      <c r="M4375" s="350" t="str">
        <f>IF($B4375="Portfolio","Portfolio",IFERROR(INDEX(DATA_ASSET_CLASSIFICATION!$B$8:$B$24,MATCH($C4375,DATA_ASSET_CLASSIFICATION!$A$8:$A$24,0)),"Review"))</f>
        <v>450 Pacific Street</v>
      </c>
      <c r="N4375" s="350" t="str">
        <f>IF($B4375="Portfolio","Portfolio",IFERROR(INDEX(DATA_ASSET_CLASSIFICATION!$U$8:$U$24,MATCH($C4375,DATA_ASSET_CLASSIFICATION!$A$8:$A$24,0)),"Review"))</f>
        <v>New Build</v>
      </c>
      <c r="O4375" s="350" t="str">
        <f>IF($B4375="Portfolio","Portfolio",IFERROR(INDEX(DATA_ASSET_CLASSIFICATION!$AB$8:$AB$13,MATCH($N4375,DATA_ASSET_CLASSIFICATION!$AA$8:$AA$13,0)),"Review"))</f>
        <v>Bucket 1 · New Build</v>
      </c>
      <c r="P4375" s="350" t="str">
        <f>IF($B4375="Portfolio","Portfolio",IFERROR(INDEX(DATA_ASSET_CLASSIFICATION!$C$8:$C$24,MATCH($C4375,DATA_ASSET_CLASSIFICATION!$A$8:$A$24,0)),"Review"))</f>
        <v>Yes</v>
      </c>
      <c r="Q4375" s="350" t="str">
        <f t="shared" ca="1" si="137"/>
        <v>OK</v>
      </c>
    </row>
    <row r="4376" spans="1:17">
      <c r="A4376" s="366" t="s">
        <v>6332</v>
      </c>
      <c r="B4376" s="366" t="s">
        <v>231</v>
      </c>
      <c r="C4376" s="348" t="str">
        <f>DATA_PROPERTY_MASTER!$A$19</f>
        <v>BLD_PS</v>
      </c>
      <c r="D4376" s="380">
        <f>'00_PORTFOLIO ROLLUP'!G$12</f>
        <v>2027</v>
      </c>
      <c r="E4376" s="366" t="s">
        <v>1683</v>
      </c>
      <c r="F4376" s="366" t="s">
        <v>19</v>
      </c>
      <c r="G4376" s="348" t="str">
        <f>"'"&amp;$C4376&amp;"'!$E$41:$Y$41"</f>
        <v>'BLD_PS'!$E$41:$Y$41</v>
      </c>
      <c r="H4376" s="381">
        <f ca="1">IF(IFERROR(INDEX(DATA_PROPERTY_MASTER!$E$5:$E$21,MATCH($C4376,DATA_PROPERTY_MASTER!$A$5:$A$21,0))="Yes",FALSE),IFERROR(INDEX(INDIRECT("'"&amp;$C4376&amp;"'!$E$41:$Y$41"),1,MATCH($D4376,INDIRECT("'"&amp;$C4376&amp;"'!$E$12:$Y$12"),0)),0),0)</f>
        <v>0</v>
      </c>
      <c r="I4376" s="366" t="s">
        <v>1685</v>
      </c>
      <c r="J4376" s="348" t="str">
        <f t="shared" ca="1" si="136"/>
        <v>OK</v>
      </c>
      <c r="K4376" s="366" t="s">
        <v>1694</v>
      </c>
      <c r="L4376" s="366" t="s">
        <v>2238</v>
      </c>
      <c r="M4376" s="350" t="str">
        <f>IF($B4376="Portfolio","Portfolio",IFERROR(INDEX(DATA_ASSET_CLASSIFICATION!$B$8:$B$24,MATCH($C4376,DATA_ASSET_CLASSIFICATION!$A$8:$A$24,0)),"Review"))</f>
        <v>450 Pacific Street</v>
      </c>
      <c r="N4376" s="350" t="str">
        <f>IF($B4376="Portfolio","Portfolio",IFERROR(INDEX(DATA_ASSET_CLASSIFICATION!$U$8:$U$24,MATCH($C4376,DATA_ASSET_CLASSIFICATION!$A$8:$A$24,0)),"Review"))</f>
        <v>New Build</v>
      </c>
      <c r="O4376" s="350" t="str">
        <f>IF($B4376="Portfolio","Portfolio",IFERROR(INDEX(DATA_ASSET_CLASSIFICATION!$AB$8:$AB$13,MATCH($N4376,DATA_ASSET_CLASSIFICATION!$AA$8:$AA$13,0)),"Review"))</f>
        <v>Bucket 1 · New Build</v>
      </c>
      <c r="P4376" s="350" t="str">
        <f>IF($B4376="Portfolio","Portfolio",IFERROR(INDEX(DATA_ASSET_CLASSIFICATION!$C$8:$C$24,MATCH($C4376,DATA_ASSET_CLASSIFICATION!$A$8:$A$24,0)),"Review"))</f>
        <v>Yes</v>
      </c>
      <c r="Q4376" s="350" t="str">
        <f t="shared" ca="1" si="137"/>
        <v>OK</v>
      </c>
    </row>
    <row r="4377" spans="1:17">
      <c r="A4377" s="366" t="s">
        <v>6333</v>
      </c>
      <c r="B4377" s="366" t="s">
        <v>231</v>
      </c>
      <c r="C4377" s="348" t="str">
        <f>DATA_PROPERTY_MASTER!$A$19</f>
        <v>BLD_PS</v>
      </c>
      <c r="D4377" s="380">
        <f>'00_PORTFOLIO ROLLUP'!G$12</f>
        <v>2027</v>
      </c>
      <c r="E4377" s="366" t="s">
        <v>1683</v>
      </c>
      <c r="F4377" s="366" t="s">
        <v>1697</v>
      </c>
      <c r="G4377" s="348" t="str">
        <f>"'"&amp;$C4377&amp;"'!$E$44:$Y$44"</f>
        <v>'BLD_PS'!$E$44:$Y$44</v>
      </c>
      <c r="H4377" s="381">
        <f ca="1">IF(IFERROR(INDEX(DATA_PROPERTY_MASTER!$E$5:$E$21,MATCH($C4377,DATA_PROPERTY_MASTER!$A$5:$A$21,0))="Yes",FALSE),IFERROR(INDEX(INDIRECT("'"&amp;$C4377&amp;"'!$E$44:$Y$44"),1,MATCH($D4377,INDIRECT("'"&amp;$C4377&amp;"'!$E$12:$Y$12"),0)),0),0)</f>
        <v>0</v>
      </c>
      <c r="I4377" s="366" t="s">
        <v>1690</v>
      </c>
      <c r="J4377" s="348" t="str">
        <f t="shared" ca="1" si="136"/>
        <v>OK</v>
      </c>
      <c r="K4377" s="366" t="s">
        <v>1699</v>
      </c>
      <c r="L4377" s="366" t="s">
        <v>2240</v>
      </c>
      <c r="M4377" s="350" t="str">
        <f>IF($B4377="Portfolio","Portfolio",IFERROR(INDEX(DATA_ASSET_CLASSIFICATION!$B$8:$B$24,MATCH($C4377,DATA_ASSET_CLASSIFICATION!$A$8:$A$24,0)),"Review"))</f>
        <v>450 Pacific Street</v>
      </c>
      <c r="N4377" s="350" t="str">
        <f>IF($B4377="Portfolio","Portfolio",IFERROR(INDEX(DATA_ASSET_CLASSIFICATION!$U$8:$U$24,MATCH($C4377,DATA_ASSET_CLASSIFICATION!$A$8:$A$24,0)),"Review"))</f>
        <v>New Build</v>
      </c>
      <c r="O4377" s="350" t="str">
        <f>IF($B4377="Portfolio","Portfolio",IFERROR(INDEX(DATA_ASSET_CLASSIFICATION!$AB$8:$AB$13,MATCH($N4377,DATA_ASSET_CLASSIFICATION!$AA$8:$AA$13,0)),"Review"))</f>
        <v>Bucket 1 · New Build</v>
      </c>
      <c r="P4377" s="350" t="str">
        <f>IF($B4377="Portfolio","Portfolio",IFERROR(INDEX(DATA_ASSET_CLASSIFICATION!$C$8:$C$24,MATCH($C4377,DATA_ASSET_CLASSIFICATION!$A$8:$A$24,0)),"Review"))</f>
        <v>Yes</v>
      </c>
      <c r="Q4377" s="350" t="str">
        <f t="shared" ca="1" si="137"/>
        <v>OK</v>
      </c>
    </row>
    <row r="4378" spans="1:17">
      <c r="A4378" s="366" t="s">
        <v>6334</v>
      </c>
      <c r="B4378" s="366" t="s">
        <v>231</v>
      </c>
      <c r="C4378" s="348" t="str">
        <f>DATA_PROPERTY_MASTER!$A$19</f>
        <v>BLD_PS</v>
      </c>
      <c r="D4378" s="380">
        <f>'00_PORTFOLIO ROLLUP'!G$12</f>
        <v>2027</v>
      </c>
      <c r="E4378" s="366" t="s">
        <v>1683</v>
      </c>
      <c r="F4378" s="366" t="s">
        <v>21</v>
      </c>
      <c r="G4378" s="348" t="str">
        <f>"'"&amp;$C4378&amp;"'!$E$45:$Y$45"</f>
        <v>'BLD_PS'!$E$45:$Y$45</v>
      </c>
      <c r="H4378" s="381">
        <f ca="1">IF(IFERROR(INDEX(DATA_PROPERTY_MASTER!$E$5:$E$21,MATCH($C4378,DATA_PROPERTY_MASTER!$A$5:$A$21,0))="Yes",FALSE),IFERROR(INDEX(INDIRECT("'"&amp;$C4378&amp;"'!$E$45:$Y$45"),1,MATCH($D4378,INDIRECT("'"&amp;$C4378&amp;"'!$E$12:$Y$12"),0)),0),0)</f>
        <v>0</v>
      </c>
      <c r="I4378" s="366" t="s">
        <v>1685</v>
      </c>
      <c r="J4378" s="348" t="str">
        <f t="shared" ca="1" si="136"/>
        <v>OK</v>
      </c>
      <c r="K4378" s="366" t="s">
        <v>1694</v>
      </c>
      <c r="L4378" s="366" t="s">
        <v>2242</v>
      </c>
      <c r="M4378" s="350" t="str">
        <f>IF($B4378="Portfolio","Portfolio",IFERROR(INDEX(DATA_ASSET_CLASSIFICATION!$B$8:$B$24,MATCH($C4378,DATA_ASSET_CLASSIFICATION!$A$8:$A$24,0)),"Review"))</f>
        <v>450 Pacific Street</v>
      </c>
      <c r="N4378" s="350" t="str">
        <f>IF($B4378="Portfolio","Portfolio",IFERROR(INDEX(DATA_ASSET_CLASSIFICATION!$U$8:$U$24,MATCH($C4378,DATA_ASSET_CLASSIFICATION!$A$8:$A$24,0)),"Review"))</f>
        <v>New Build</v>
      </c>
      <c r="O4378" s="350" t="str">
        <f>IF($B4378="Portfolio","Portfolio",IFERROR(INDEX(DATA_ASSET_CLASSIFICATION!$AB$8:$AB$13,MATCH($N4378,DATA_ASSET_CLASSIFICATION!$AA$8:$AA$13,0)),"Review"))</f>
        <v>Bucket 1 · New Build</v>
      </c>
      <c r="P4378" s="350" t="str">
        <f>IF($B4378="Portfolio","Portfolio",IFERROR(INDEX(DATA_ASSET_CLASSIFICATION!$C$8:$C$24,MATCH($C4378,DATA_ASSET_CLASSIFICATION!$A$8:$A$24,0)),"Review"))</f>
        <v>Yes</v>
      </c>
      <c r="Q4378" s="350" t="str">
        <f t="shared" ca="1" si="137"/>
        <v>OK</v>
      </c>
    </row>
    <row r="4379" spans="1:17">
      <c r="A4379" s="366" t="s">
        <v>6335</v>
      </c>
      <c r="B4379" s="366" t="s">
        <v>231</v>
      </c>
      <c r="C4379" s="348" t="str">
        <f>DATA_PROPERTY_MASTER!$A$19</f>
        <v>BLD_PS</v>
      </c>
      <c r="D4379" s="380">
        <f>'00_PORTFOLIO ROLLUP'!G$12</f>
        <v>2027</v>
      </c>
      <c r="E4379" s="366" t="s">
        <v>23</v>
      </c>
      <c r="F4379" s="366" t="s">
        <v>23</v>
      </c>
      <c r="G4379" s="348" t="str">
        <f>"'"&amp;$C4379&amp;"'!$E$48:$Y$48"</f>
        <v>'BLD_PS'!$E$48:$Y$48</v>
      </c>
      <c r="H4379" s="381">
        <f ca="1">IF(IFERROR(INDEX(DATA_PROPERTY_MASTER!$E$5:$E$21,MATCH($C4379,DATA_PROPERTY_MASTER!$A$5:$A$21,0))="Yes",FALSE),IFERROR(INDEX(INDIRECT("'"&amp;$C4379&amp;"'!$E$48:$Y$48"),1,MATCH($D4379,INDIRECT("'"&amp;$C4379&amp;"'!$E$12:$Y$12"),0)),0),0)</f>
        <v>1988236.6044415063</v>
      </c>
      <c r="I4379" s="366" t="s">
        <v>1690</v>
      </c>
      <c r="J4379" s="348" t="str">
        <f t="shared" ca="1" si="136"/>
        <v>OK</v>
      </c>
      <c r="K4379" s="366" t="s">
        <v>1706</v>
      </c>
      <c r="L4379" s="366" t="s">
        <v>2244</v>
      </c>
      <c r="M4379" s="350" t="str">
        <f>IF($B4379="Portfolio","Portfolio",IFERROR(INDEX(DATA_ASSET_CLASSIFICATION!$B$8:$B$24,MATCH($C4379,DATA_ASSET_CLASSIFICATION!$A$8:$A$24,0)),"Review"))</f>
        <v>450 Pacific Street</v>
      </c>
      <c r="N4379" s="350" t="str">
        <f>IF($B4379="Portfolio","Portfolio",IFERROR(INDEX(DATA_ASSET_CLASSIFICATION!$U$8:$U$24,MATCH($C4379,DATA_ASSET_CLASSIFICATION!$A$8:$A$24,0)),"Review"))</f>
        <v>New Build</v>
      </c>
      <c r="O4379" s="350" t="str">
        <f>IF($B4379="Portfolio","Portfolio",IFERROR(INDEX(DATA_ASSET_CLASSIFICATION!$AB$8:$AB$13,MATCH($N4379,DATA_ASSET_CLASSIFICATION!$AA$8:$AA$13,0)),"Review"))</f>
        <v>Bucket 1 · New Build</v>
      </c>
      <c r="P4379" s="350" t="str">
        <f>IF($B4379="Portfolio","Portfolio",IFERROR(INDEX(DATA_ASSET_CLASSIFICATION!$C$8:$C$24,MATCH($C4379,DATA_ASSET_CLASSIFICATION!$A$8:$A$24,0)),"Review"))</f>
        <v>Yes</v>
      </c>
      <c r="Q4379" s="350" t="str">
        <f t="shared" ca="1" si="137"/>
        <v>OK</v>
      </c>
    </row>
    <row r="4380" spans="1:17">
      <c r="A4380" s="366" t="s">
        <v>6336</v>
      </c>
      <c r="B4380" s="366" t="s">
        <v>231</v>
      </c>
      <c r="C4380" s="348" t="str">
        <f>DATA_PROPERTY_MASTER!$A$19</f>
        <v>BLD_PS</v>
      </c>
      <c r="D4380" s="380">
        <f>'00_PORTFOLIO ROLLUP'!G$12</f>
        <v>2027</v>
      </c>
      <c r="E4380" s="366" t="s">
        <v>1683</v>
      </c>
      <c r="F4380" s="366" t="s">
        <v>25</v>
      </c>
      <c r="G4380" s="348" t="str">
        <f>"'"&amp;$C4380&amp;"'!$E$52:$Y$52"</f>
        <v>'BLD_PS'!$E$52:$Y$52</v>
      </c>
      <c r="H4380" s="381">
        <f ca="1">IF(IFERROR(INDEX(DATA_PROPERTY_MASTER!$E$5:$E$21,MATCH($C4380,DATA_PROPERTY_MASTER!$A$5:$A$21,0))="Yes",FALSE),IFERROR(INDEX(INDIRECT("'"&amp;$C4380&amp;"'!$E$52:$Y$52"),1,MATCH($D4380,INDIRECT("'"&amp;$C4380&amp;"'!$E$12:$Y$12"),0)),0),0)</f>
        <v>-1988236.6044415063</v>
      </c>
      <c r="I4380" s="366" t="s">
        <v>1685</v>
      </c>
      <c r="J4380" s="348" t="str">
        <f t="shared" ca="1" si="136"/>
        <v>OK</v>
      </c>
      <c r="K4380" s="366" t="s">
        <v>1710</v>
      </c>
      <c r="L4380" s="366" t="s">
        <v>2246</v>
      </c>
      <c r="M4380" s="350" t="str">
        <f>IF($B4380="Portfolio","Portfolio",IFERROR(INDEX(DATA_ASSET_CLASSIFICATION!$B$8:$B$24,MATCH($C4380,DATA_ASSET_CLASSIFICATION!$A$8:$A$24,0)),"Review"))</f>
        <v>450 Pacific Street</v>
      </c>
      <c r="N4380" s="350" t="str">
        <f>IF($B4380="Portfolio","Portfolio",IFERROR(INDEX(DATA_ASSET_CLASSIFICATION!$U$8:$U$24,MATCH($C4380,DATA_ASSET_CLASSIFICATION!$A$8:$A$24,0)),"Review"))</f>
        <v>New Build</v>
      </c>
      <c r="O4380" s="350" t="str">
        <f>IF($B4380="Portfolio","Portfolio",IFERROR(INDEX(DATA_ASSET_CLASSIFICATION!$AB$8:$AB$13,MATCH($N4380,DATA_ASSET_CLASSIFICATION!$AA$8:$AA$13,0)),"Review"))</f>
        <v>Bucket 1 · New Build</v>
      </c>
      <c r="P4380" s="350" t="str">
        <f>IF($B4380="Portfolio","Portfolio",IFERROR(INDEX(DATA_ASSET_CLASSIFICATION!$C$8:$C$24,MATCH($C4380,DATA_ASSET_CLASSIFICATION!$A$8:$A$24,0)),"Review"))</f>
        <v>Yes</v>
      </c>
      <c r="Q4380" s="350" t="str">
        <f t="shared" ca="1" si="137"/>
        <v>OK</v>
      </c>
    </row>
    <row r="4381" spans="1:17">
      <c r="A4381" s="366" t="s">
        <v>6337</v>
      </c>
      <c r="B4381" s="366" t="s">
        <v>231</v>
      </c>
      <c r="C4381" s="348" t="str">
        <f>DATA_PROPERTY_MASTER!$A$19</f>
        <v>BLD_PS</v>
      </c>
      <c r="D4381" s="380">
        <f>'00_PORTFOLIO ROLLUP'!G$12</f>
        <v>2027</v>
      </c>
      <c r="E4381" s="366" t="s">
        <v>1683</v>
      </c>
      <c r="F4381" s="366" t="s">
        <v>27</v>
      </c>
      <c r="G4381" s="348" t="str">
        <f>"'"&amp;$C4381&amp;"'!$E$54:$Y$54"</f>
        <v>'BLD_PS'!$E$54:$Y$54</v>
      </c>
      <c r="H4381" s="381">
        <f ca="1">IF(IFERROR(INDEX(DATA_PROPERTY_MASTER!$E$5:$E$21,MATCH($C4381,DATA_PROPERTY_MASTER!$A$5:$A$21,0))="Yes",FALSE),IFERROR(INDEX(INDIRECT("'"&amp;$C4381&amp;"'!$E$54:$Y$54"),1,MATCH($D4381,INDIRECT("'"&amp;$C4381&amp;"'!$E$12:$Y$12"),0)),0),0)</f>
        <v>0</v>
      </c>
      <c r="I4381" s="366" t="s">
        <v>1690</v>
      </c>
      <c r="J4381" s="348" t="str">
        <f t="shared" ca="1" si="136"/>
        <v>OK</v>
      </c>
      <c r="K4381" s="366" t="s">
        <v>1714</v>
      </c>
      <c r="L4381" s="366" t="s">
        <v>2248</v>
      </c>
      <c r="M4381" s="350" t="str">
        <f>IF($B4381="Portfolio","Portfolio",IFERROR(INDEX(DATA_ASSET_CLASSIFICATION!$B$8:$B$24,MATCH($C4381,DATA_ASSET_CLASSIFICATION!$A$8:$A$24,0)),"Review"))</f>
        <v>450 Pacific Street</v>
      </c>
      <c r="N4381" s="350" t="str">
        <f>IF($B4381="Portfolio","Portfolio",IFERROR(INDEX(DATA_ASSET_CLASSIFICATION!$U$8:$U$24,MATCH($C4381,DATA_ASSET_CLASSIFICATION!$A$8:$A$24,0)),"Review"))</f>
        <v>New Build</v>
      </c>
      <c r="O4381" s="350" t="str">
        <f>IF($B4381="Portfolio","Portfolio",IFERROR(INDEX(DATA_ASSET_CLASSIFICATION!$AB$8:$AB$13,MATCH($N4381,DATA_ASSET_CLASSIFICATION!$AA$8:$AA$13,0)),"Review"))</f>
        <v>Bucket 1 · New Build</v>
      </c>
      <c r="P4381" s="350" t="str">
        <f>IF($B4381="Portfolio","Portfolio",IFERROR(INDEX(DATA_ASSET_CLASSIFICATION!$C$8:$C$24,MATCH($C4381,DATA_ASSET_CLASSIFICATION!$A$8:$A$24,0)),"Review"))</f>
        <v>Yes</v>
      </c>
      <c r="Q4381" s="350" t="str">
        <f t="shared" ca="1" si="137"/>
        <v>OK</v>
      </c>
    </row>
    <row r="4382" spans="1:17">
      <c r="A4382" s="366" t="s">
        <v>6338</v>
      </c>
      <c r="B4382" s="366" t="s">
        <v>231</v>
      </c>
      <c r="C4382" s="348" t="str">
        <f>DATA_PROPERTY_MASTER!$A$19</f>
        <v>BLD_PS</v>
      </c>
      <c r="D4382" s="380">
        <f>'00_PORTFOLIO ROLLUP'!G$12</f>
        <v>2027</v>
      </c>
      <c r="E4382" s="366" t="s">
        <v>1683</v>
      </c>
      <c r="F4382" s="366" t="s">
        <v>29</v>
      </c>
      <c r="G4382" s="348" t="str">
        <f>"'"&amp;$C4382&amp;"'!$E$56:$Y$56"</f>
        <v>'BLD_PS'!$E$56:$Y$56</v>
      </c>
      <c r="H4382" s="381">
        <f ca="1">IF(IFERROR(INDEX(DATA_PROPERTY_MASTER!$E$5:$E$21,MATCH($C4382,DATA_PROPERTY_MASTER!$A$5:$A$21,0))="Yes",FALSE),IFERROR(INDEX(INDIRECT("'"&amp;$C4382&amp;"'!$E$56:$Y$56"),1,MATCH($D4382,INDIRECT("'"&amp;$C4382&amp;"'!$E$12:$Y$12"),0)),0),0)</f>
        <v>-1988236.6044415063</v>
      </c>
      <c r="I4382" s="366" t="s">
        <v>1685</v>
      </c>
      <c r="J4382" s="348" t="str">
        <f t="shared" ca="1" si="136"/>
        <v>OK</v>
      </c>
      <c r="K4382" s="366" t="s">
        <v>1718</v>
      </c>
      <c r="L4382" s="366" t="s">
        <v>2250</v>
      </c>
      <c r="M4382" s="350" t="str">
        <f>IF($B4382="Portfolio","Portfolio",IFERROR(INDEX(DATA_ASSET_CLASSIFICATION!$B$8:$B$24,MATCH($C4382,DATA_ASSET_CLASSIFICATION!$A$8:$A$24,0)),"Review"))</f>
        <v>450 Pacific Street</v>
      </c>
      <c r="N4382" s="350" t="str">
        <f>IF($B4382="Portfolio","Portfolio",IFERROR(INDEX(DATA_ASSET_CLASSIFICATION!$U$8:$U$24,MATCH($C4382,DATA_ASSET_CLASSIFICATION!$A$8:$A$24,0)),"Review"))</f>
        <v>New Build</v>
      </c>
      <c r="O4382" s="350" t="str">
        <f>IF($B4382="Portfolio","Portfolio",IFERROR(INDEX(DATA_ASSET_CLASSIFICATION!$AB$8:$AB$13,MATCH($N4382,DATA_ASSET_CLASSIFICATION!$AA$8:$AA$13,0)),"Review"))</f>
        <v>Bucket 1 · New Build</v>
      </c>
      <c r="P4382" s="350" t="str">
        <f>IF($B4382="Portfolio","Portfolio",IFERROR(INDEX(DATA_ASSET_CLASSIFICATION!$C$8:$C$24,MATCH($C4382,DATA_ASSET_CLASSIFICATION!$A$8:$A$24,0)),"Review"))</f>
        <v>Yes</v>
      </c>
      <c r="Q4382" s="350" t="str">
        <f t="shared" ca="1" si="137"/>
        <v>OK</v>
      </c>
    </row>
    <row r="4383" spans="1:17">
      <c r="A4383" s="366" t="s">
        <v>6339</v>
      </c>
      <c r="B4383" s="366" t="s">
        <v>231</v>
      </c>
      <c r="C4383" s="348" t="str">
        <f>DATA_PROPERTY_MASTER!$A$19</f>
        <v>BLD_PS</v>
      </c>
      <c r="D4383" s="380">
        <f>'00_PORTFOLIO ROLLUP'!G$12</f>
        <v>2027</v>
      </c>
      <c r="E4383" s="366" t="s">
        <v>1721</v>
      </c>
      <c r="F4383" s="366" t="s">
        <v>31</v>
      </c>
      <c r="G4383" s="348" t="str">
        <f>"'"&amp;$C4383&amp;"'!$E$61:$Y$61"</f>
        <v>'BLD_PS'!$E$61:$Y$61</v>
      </c>
      <c r="H4383" s="381">
        <f ca="1">IF(IFERROR(INDEX(DATA_PROPERTY_MASTER!$E$5:$E$21,MATCH($C4383,DATA_PROPERTY_MASTER!$A$5:$A$21,0))="Yes",FALSE),IFERROR(INDEX(INDIRECT("'"&amp;$C4383&amp;"'!$E$61:$Y$61"),1,MATCH($D4383,INDIRECT("'"&amp;$C4383&amp;"'!$E$12:$Y$12"),0)),0),0)</f>
        <v>0</v>
      </c>
      <c r="I4383" s="366" t="s">
        <v>1690</v>
      </c>
      <c r="J4383" s="348" t="str">
        <f t="shared" ca="1" si="136"/>
        <v>OK</v>
      </c>
      <c r="K4383" s="366" t="s">
        <v>1723</v>
      </c>
      <c r="L4383" s="366" t="s">
        <v>2252</v>
      </c>
      <c r="M4383" s="350" t="str">
        <f>IF($B4383="Portfolio","Portfolio",IFERROR(INDEX(DATA_ASSET_CLASSIFICATION!$B$8:$B$24,MATCH($C4383,DATA_ASSET_CLASSIFICATION!$A$8:$A$24,0)),"Review"))</f>
        <v>450 Pacific Street</v>
      </c>
      <c r="N4383" s="350" t="str">
        <f>IF($B4383="Portfolio","Portfolio",IFERROR(INDEX(DATA_ASSET_CLASSIFICATION!$U$8:$U$24,MATCH($C4383,DATA_ASSET_CLASSIFICATION!$A$8:$A$24,0)),"Review"))</f>
        <v>New Build</v>
      </c>
      <c r="O4383" s="350" t="str">
        <f>IF($B4383="Portfolio","Portfolio",IFERROR(INDEX(DATA_ASSET_CLASSIFICATION!$AB$8:$AB$13,MATCH($N4383,DATA_ASSET_CLASSIFICATION!$AA$8:$AA$13,0)),"Review"))</f>
        <v>Bucket 1 · New Build</v>
      </c>
      <c r="P4383" s="350" t="str">
        <f>IF($B4383="Portfolio","Portfolio",IFERROR(INDEX(DATA_ASSET_CLASSIFICATION!$C$8:$C$24,MATCH($C4383,DATA_ASSET_CLASSIFICATION!$A$8:$A$24,0)),"Review"))</f>
        <v>Yes</v>
      </c>
      <c r="Q4383" s="350" t="str">
        <f t="shared" ca="1" si="137"/>
        <v>OK</v>
      </c>
    </row>
    <row r="4384" spans="1:17">
      <c r="A4384" s="366" t="s">
        <v>6340</v>
      </c>
      <c r="B4384" s="366" t="s">
        <v>231</v>
      </c>
      <c r="C4384" s="348" t="str">
        <f>DATA_PROPERTY_MASTER!$A$19</f>
        <v>BLD_PS</v>
      </c>
      <c r="D4384" s="380">
        <f>'00_PORTFOLIO ROLLUP'!G$12</f>
        <v>2027</v>
      </c>
      <c r="E4384" s="366" t="s">
        <v>1721</v>
      </c>
      <c r="F4384" s="366" t="s">
        <v>33</v>
      </c>
      <c r="G4384" s="348" t="str">
        <f>"'"&amp;$C4384&amp;"'!$E$62:$Y$62"</f>
        <v>'BLD_PS'!$E$62:$Y$62</v>
      </c>
      <c r="H4384" s="381">
        <f ca="1">IF(IFERROR(INDEX(DATA_PROPERTY_MASTER!$E$5:$E$21,MATCH($C4384,DATA_PROPERTY_MASTER!$A$5:$A$21,0))="Yes",FALSE),IFERROR(INDEX(INDIRECT("'"&amp;$C4384&amp;"'!$E$62:$Y$62"),1,MATCH($D4384,INDIRECT("'"&amp;$C4384&amp;"'!$E$12:$Y$12"),0)),0),0)</f>
        <v>0</v>
      </c>
      <c r="I4384" s="366" t="s">
        <v>1685</v>
      </c>
      <c r="J4384" s="348" t="str">
        <f t="shared" ca="1" si="136"/>
        <v>OK</v>
      </c>
      <c r="K4384" s="366" t="s">
        <v>1727</v>
      </c>
      <c r="L4384" s="366" t="s">
        <v>2254</v>
      </c>
      <c r="M4384" s="350" t="str">
        <f>IF($B4384="Portfolio","Portfolio",IFERROR(INDEX(DATA_ASSET_CLASSIFICATION!$B$8:$B$24,MATCH($C4384,DATA_ASSET_CLASSIFICATION!$A$8:$A$24,0)),"Review"))</f>
        <v>450 Pacific Street</v>
      </c>
      <c r="N4384" s="350" t="str">
        <f>IF($B4384="Portfolio","Portfolio",IFERROR(INDEX(DATA_ASSET_CLASSIFICATION!$U$8:$U$24,MATCH($C4384,DATA_ASSET_CLASSIFICATION!$A$8:$A$24,0)),"Review"))</f>
        <v>New Build</v>
      </c>
      <c r="O4384" s="350" t="str">
        <f>IF($B4384="Portfolio","Portfolio",IFERROR(INDEX(DATA_ASSET_CLASSIFICATION!$AB$8:$AB$13,MATCH($N4384,DATA_ASSET_CLASSIFICATION!$AA$8:$AA$13,0)),"Review"))</f>
        <v>Bucket 1 · New Build</v>
      </c>
      <c r="P4384" s="350" t="str">
        <f>IF($B4384="Portfolio","Portfolio",IFERROR(INDEX(DATA_ASSET_CLASSIFICATION!$C$8:$C$24,MATCH($C4384,DATA_ASSET_CLASSIFICATION!$A$8:$A$24,0)),"Review"))</f>
        <v>Yes</v>
      </c>
      <c r="Q4384" s="350" t="str">
        <f t="shared" ca="1" si="137"/>
        <v>OK</v>
      </c>
    </row>
    <row r="4385" spans="1:17">
      <c r="A4385" s="366" t="s">
        <v>6341</v>
      </c>
      <c r="B4385" s="366" t="s">
        <v>231</v>
      </c>
      <c r="C4385" s="348" t="str">
        <f>DATA_PROPERTY_MASTER!$A$19</f>
        <v>BLD_PS</v>
      </c>
      <c r="D4385" s="380">
        <f>'00_PORTFOLIO ROLLUP'!G$12</f>
        <v>2027</v>
      </c>
      <c r="E4385" s="366" t="s">
        <v>1721</v>
      </c>
      <c r="F4385" s="366" t="s">
        <v>35</v>
      </c>
      <c r="G4385" s="348" t="str">
        <f>"'"&amp;$C4385&amp;"'!$E$63:$Y$63"</f>
        <v>'BLD_PS'!$E$63:$Y$63</v>
      </c>
      <c r="H4385" s="381">
        <f ca="1">IF(IFERROR(INDEX(DATA_PROPERTY_MASTER!$E$5:$E$21,MATCH($C4385,DATA_PROPERTY_MASTER!$A$5:$A$21,0))="Yes",FALSE),IFERROR(INDEX(INDIRECT("'"&amp;$C4385&amp;"'!$E$63:$Y$63"),1,MATCH($D4385,INDIRECT("'"&amp;$C4385&amp;"'!$E$12:$Y$12"),0)),0),0)</f>
        <v>0</v>
      </c>
      <c r="I4385" s="366" t="s">
        <v>1731</v>
      </c>
      <c r="J4385" s="348" t="str">
        <f t="shared" ca="1" si="136"/>
        <v>OK</v>
      </c>
      <c r="K4385" s="366" t="s">
        <v>1732</v>
      </c>
      <c r="L4385" s="366" t="s">
        <v>2256</v>
      </c>
      <c r="M4385" s="350" t="str">
        <f>IF($B4385="Portfolio","Portfolio",IFERROR(INDEX(DATA_ASSET_CLASSIFICATION!$B$8:$B$24,MATCH($C4385,DATA_ASSET_CLASSIFICATION!$A$8:$A$24,0)),"Review"))</f>
        <v>450 Pacific Street</v>
      </c>
      <c r="N4385" s="350" t="str">
        <f>IF($B4385="Portfolio","Portfolio",IFERROR(INDEX(DATA_ASSET_CLASSIFICATION!$U$8:$U$24,MATCH($C4385,DATA_ASSET_CLASSIFICATION!$A$8:$A$24,0)),"Review"))</f>
        <v>New Build</v>
      </c>
      <c r="O4385" s="350" t="str">
        <f>IF($B4385="Portfolio","Portfolio",IFERROR(INDEX(DATA_ASSET_CLASSIFICATION!$AB$8:$AB$13,MATCH($N4385,DATA_ASSET_CLASSIFICATION!$AA$8:$AA$13,0)),"Review"))</f>
        <v>Bucket 1 · New Build</v>
      </c>
      <c r="P4385" s="350" t="str">
        <f>IF($B4385="Portfolio","Portfolio",IFERROR(INDEX(DATA_ASSET_CLASSIFICATION!$C$8:$C$24,MATCH($C4385,DATA_ASSET_CLASSIFICATION!$A$8:$A$24,0)),"Review"))</f>
        <v>Yes</v>
      </c>
      <c r="Q4385" s="350" t="str">
        <f t="shared" ca="1" si="137"/>
        <v>OK</v>
      </c>
    </row>
    <row r="4386" spans="1:17">
      <c r="A4386" s="366" t="s">
        <v>6342</v>
      </c>
      <c r="B4386" s="366" t="s">
        <v>231</v>
      </c>
      <c r="C4386" s="348" t="str">
        <f>DATA_PROPERTY_MASTER!$A$19</f>
        <v>BLD_PS</v>
      </c>
      <c r="D4386" s="380">
        <f>'00_PORTFOLIO ROLLUP'!G$12</f>
        <v>2027</v>
      </c>
      <c r="E4386" s="366" t="s">
        <v>1721</v>
      </c>
      <c r="F4386" s="366" t="s">
        <v>37</v>
      </c>
      <c r="G4386" s="348" t="str">
        <f>"'"&amp;$C4386&amp;"'!$E$63:$Y$63"</f>
        <v>'BLD_PS'!$E$63:$Y$63</v>
      </c>
      <c r="H4386" s="381">
        <f ca="1">IF(IFERROR(INDEX(DATA_PROPERTY_MASTER!$E$5:$E$21,MATCH($C4386,DATA_PROPERTY_MASTER!$A$5:$A$21,0))="Yes",FALSE),MAX(IFERROR(INDEX(INDIRECT("'"&amp;$C4386&amp;"'!$E$63:$Y$63"),1,MATCH($D4386,INDIRECT("'"&amp;$C4386&amp;"'!$E$12:$Y$12"),0)),0),0),0)</f>
        <v>0</v>
      </c>
      <c r="I4386" s="366" t="s">
        <v>1685</v>
      </c>
      <c r="J4386" s="348" t="str">
        <f t="shared" ca="1" si="136"/>
        <v>OK</v>
      </c>
      <c r="K4386" s="366" t="s">
        <v>1735</v>
      </c>
      <c r="L4386" s="366" t="s">
        <v>2258</v>
      </c>
      <c r="M4386" s="350" t="str">
        <f>IF($B4386="Portfolio","Portfolio",IFERROR(INDEX(DATA_ASSET_CLASSIFICATION!$B$8:$B$24,MATCH($C4386,DATA_ASSET_CLASSIFICATION!$A$8:$A$24,0)),"Review"))</f>
        <v>450 Pacific Street</v>
      </c>
      <c r="N4386" s="350" t="str">
        <f>IF($B4386="Portfolio","Portfolio",IFERROR(INDEX(DATA_ASSET_CLASSIFICATION!$U$8:$U$24,MATCH($C4386,DATA_ASSET_CLASSIFICATION!$A$8:$A$24,0)),"Review"))</f>
        <v>New Build</v>
      </c>
      <c r="O4386" s="350" t="str">
        <f>IF($B4386="Portfolio","Portfolio",IFERROR(INDEX(DATA_ASSET_CLASSIFICATION!$AB$8:$AB$13,MATCH($N4386,DATA_ASSET_CLASSIFICATION!$AA$8:$AA$13,0)),"Review"))</f>
        <v>Bucket 1 · New Build</v>
      </c>
      <c r="P4386" s="350" t="str">
        <f>IF($B4386="Portfolio","Portfolio",IFERROR(INDEX(DATA_ASSET_CLASSIFICATION!$C$8:$C$24,MATCH($C4386,DATA_ASSET_CLASSIFICATION!$A$8:$A$24,0)),"Review"))</f>
        <v>Yes</v>
      </c>
      <c r="Q4386" s="350" t="str">
        <f t="shared" ca="1" si="137"/>
        <v>OK</v>
      </c>
    </row>
    <row r="4387" spans="1:17">
      <c r="A4387" s="366" t="s">
        <v>6343</v>
      </c>
      <c r="B4387" s="366" t="s">
        <v>231</v>
      </c>
      <c r="C4387" s="348" t="str">
        <f>DATA_PROPERTY_MASTER!$A$19</f>
        <v>BLD_PS</v>
      </c>
      <c r="D4387" s="380">
        <f>'00_PORTFOLIO ROLLUP'!G$12</f>
        <v>2027</v>
      </c>
      <c r="E4387" s="366" t="s">
        <v>1721</v>
      </c>
      <c r="F4387" s="366" t="s">
        <v>39</v>
      </c>
      <c r="G4387" s="348" t="str">
        <f>"'"&amp;$C4387&amp;"'!$E$63:$Y$63"</f>
        <v>'BLD_PS'!$E$63:$Y$63</v>
      </c>
      <c r="H4387" s="381">
        <f ca="1">IF(IFERROR(INDEX(DATA_PROPERTY_MASTER!$E$5:$E$21,MATCH($C4387,DATA_PROPERTY_MASTER!$A$5:$A$21,0))="Yes",FALSE),MAX(-IFERROR(INDEX(INDIRECT("'"&amp;$C4387&amp;"'!$E$63:$Y$63"),1,MATCH($D4387,INDIRECT("'"&amp;$C4387&amp;"'!$E$12:$Y$12"),0)),0),0),0)</f>
        <v>0</v>
      </c>
      <c r="I4387" s="366" t="s">
        <v>1690</v>
      </c>
      <c r="J4387" s="348" t="str">
        <f t="shared" ca="1" si="136"/>
        <v>OK</v>
      </c>
      <c r="K4387" s="366" t="s">
        <v>1738</v>
      </c>
      <c r="L4387" s="366" t="s">
        <v>2260</v>
      </c>
      <c r="M4387" s="350" t="str">
        <f>IF($B4387="Portfolio","Portfolio",IFERROR(INDEX(DATA_ASSET_CLASSIFICATION!$B$8:$B$24,MATCH($C4387,DATA_ASSET_CLASSIFICATION!$A$8:$A$24,0)),"Review"))</f>
        <v>450 Pacific Street</v>
      </c>
      <c r="N4387" s="350" t="str">
        <f>IF($B4387="Portfolio","Portfolio",IFERROR(INDEX(DATA_ASSET_CLASSIFICATION!$U$8:$U$24,MATCH($C4387,DATA_ASSET_CLASSIFICATION!$A$8:$A$24,0)),"Review"))</f>
        <v>New Build</v>
      </c>
      <c r="O4387" s="350" t="str">
        <f>IF($B4387="Portfolio","Portfolio",IFERROR(INDEX(DATA_ASSET_CLASSIFICATION!$AB$8:$AB$13,MATCH($N4387,DATA_ASSET_CLASSIFICATION!$AA$8:$AA$13,0)),"Review"))</f>
        <v>Bucket 1 · New Build</v>
      </c>
      <c r="P4387" s="350" t="str">
        <f>IF($B4387="Portfolio","Portfolio",IFERROR(INDEX(DATA_ASSET_CLASSIFICATION!$C$8:$C$24,MATCH($C4387,DATA_ASSET_CLASSIFICATION!$A$8:$A$24,0)),"Review"))</f>
        <v>Yes</v>
      </c>
      <c r="Q4387" s="350" t="str">
        <f t="shared" ca="1" si="137"/>
        <v>OK</v>
      </c>
    </row>
    <row r="4388" spans="1:17">
      <c r="A4388" s="366" t="s">
        <v>6344</v>
      </c>
      <c r="B4388" s="366" t="s">
        <v>231</v>
      </c>
      <c r="C4388" s="348" t="str">
        <f>DATA_PROPERTY_MASTER!$A$19</f>
        <v>BLD_PS</v>
      </c>
      <c r="D4388" s="380">
        <f>'00_PORTFOLIO ROLLUP'!G$12</f>
        <v>2027</v>
      </c>
      <c r="E4388" s="366" t="s">
        <v>1741</v>
      </c>
      <c r="F4388" s="366" t="s">
        <v>41</v>
      </c>
      <c r="G4388" s="348" t="str">
        <f>"'"&amp;$C4388&amp;"'!rows 56 + positive row 63"</f>
        <v>'BLD_PS'!rows 56 + positive row 63</v>
      </c>
      <c r="H4388" s="381">
        <f ca="1">IF(IFERROR(INDEX(DATA_PROPERTY_MASTER!$E$5:$E$21,MATCH($C4388,DATA_PROPERTY_MASTER!$A$5:$A$21,0))="Yes",FALSE),IFERROR(INDEX(INDIRECT("'"&amp;$C4388&amp;"'!$E$56:$Y$56"),1,MATCH($D4388,INDIRECT("'"&amp;$C4388&amp;"'!$E$12:$Y$12"),0)),0)+MAX(IFERROR(INDEX(INDIRECT("'"&amp;$C4388&amp;"'!$E$63:$Y$63"),1,MATCH($D4388,INDIRECT("'"&amp;$C4388&amp;"'!$E$12:$Y$12"),0)),0),0),0)</f>
        <v>-1988236.6044415063</v>
      </c>
      <c r="I4388" s="366" t="s">
        <v>1685</v>
      </c>
      <c r="J4388" s="348" t="str">
        <f t="shared" ca="1" si="136"/>
        <v>OK</v>
      </c>
      <c r="K4388" s="366" t="s">
        <v>1742</v>
      </c>
      <c r="L4388" s="366" t="s">
        <v>2262</v>
      </c>
      <c r="M4388" s="350" t="str">
        <f>IF($B4388="Portfolio","Portfolio",IFERROR(INDEX(DATA_ASSET_CLASSIFICATION!$B$8:$B$24,MATCH($C4388,DATA_ASSET_CLASSIFICATION!$A$8:$A$24,0)),"Review"))</f>
        <v>450 Pacific Street</v>
      </c>
      <c r="N4388" s="350" t="str">
        <f>IF($B4388="Portfolio","Portfolio",IFERROR(INDEX(DATA_ASSET_CLASSIFICATION!$U$8:$U$24,MATCH($C4388,DATA_ASSET_CLASSIFICATION!$A$8:$A$24,0)),"Review"))</f>
        <v>New Build</v>
      </c>
      <c r="O4388" s="350" t="str">
        <f>IF($B4388="Portfolio","Portfolio",IFERROR(INDEX(DATA_ASSET_CLASSIFICATION!$AB$8:$AB$13,MATCH($N4388,DATA_ASSET_CLASSIFICATION!$AA$8:$AA$13,0)),"Review"))</f>
        <v>Bucket 1 · New Build</v>
      </c>
      <c r="P4388" s="350" t="str">
        <f>IF($B4388="Portfolio","Portfolio",IFERROR(INDEX(DATA_ASSET_CLASSIFICATION!$C$8:$C$24,MATCH($C4388,DATA_ASSET_CLASSIFICATION!$A$8:$A$24,0)),"Review"))</f>
        <v>Yes</v>
      </c>
      <c r="Q4388" s="350" t="str">
        <f t="shared" ca="1" si="137"/>
        <v>OK</v>
      </c>
    </row>
    <row r="4389" spans="1:17">
      <c r="A4389" s="366" t="s">
        <v>6345</v>
      </c>
      <c r="B4389" s="366" t="s">
        <v>231</v>
      </c>
      <c r="C4389" s="348" t="str">
        <f>DATA_PROPERTY_MASTER!$A$19</f>
        <v>BLD_PS</v>
      </c>
      <c r="D4389" s="380">
        <f>'00_PORTFOLIO ROLLUP'!G$12</f>
        <v>2027</v>
      </c>
      <c r="E4389" s="366" t="s">
        <v>1741</v>
      </c>
      <c r="F4389" s="366" t="s">
        <v>43</v>
      </c>
      <c r="G4389" s="348" t="str">
        <f>"'"&amp;$C4389&amp;"'!$E$68:$Y$68"</f>
        <v>'BLD_PS'!$E$68:$Y$68</v>
      </c>
      <c r="H4389" s="381">
        <f ca="1">IF(IFERROR(INDEX(DATA_PROPERTY_MASTER!$E$5:$E$21,MATCH($C4389,DATA_PROPERTY_MASTER!$A$5:$A$21,0))="Yes",FALSE),IFERROR(INDEX(INDIRECT("'"&amp;$C4389&amp;"'!$E$68:$Y$68"),1,MATCH($D4389,INDIRECT("'"&amp;$C4389&amp;"'!$E$12:$Y$12"),0)),0),0)</f>
        <v>-1988236.6044415063</v>
      </c>
      <c r="I4389" s="366" t="s">
        <v>1731</v>
      </c>
      <c r="J4389" s="348" t="str">
        <f t="shared" ca="1" si="136"/>
        <v>OK</v>
      </c>
      <c r="K4389" s="366" t="s">
        <v>1746</v>
      </c>
      <c r="L4389" s="366" t="s">
        <v>2264</v>
      </c>
      <c r="M4389" s="350" t="str">
        <f>IF($B4389="Portfolio","Portfolio",IFERROR(INDEX(DATA_ASSET_CLASSIFICATION!$B$8:$B$24,MATCH($C4389,DATA_ASSET_CLASSIFICATION!$A$8:$A$24,0)),"Review"))</f>
        <v>450 Pacific Street</v>
      </c>
      <c r="N4389" s="350" t="str">
        <f>IF($B4389="Portfolio","Portfolio",IFERROR(INDEX(DATA_ASSET_CLASSIFICATION!$U$8:$U$24,MATCH($C4389,DATA_ASSET_CLASSIFICATION!$A$8:$A$24,0)),"Review"))</f>
        <v>New Build</v>
      </c>
      <c r="O4389" s="350" t="str">
        <f>IF($B4389="Portfolio","Portfolio",IFERROR(INDEX(DATA_ASSET_CLASSIFICATION!$AB$8:$AB$13,MATCH($N4389,DATA_ASSET_CLASSIFICATION!$AA$8:$AA$13,0)),"Review"))</f>
        <v>Bucket 1 · New Build</v>
      </c>
      <c r="P4389" s="350" t="str">
        <f>IF($B4389="Portfolio","Portfolio",IFERROR(INDEX(DATA_ASSET_CLASSIFICATION!$C$8:$C$24,MATCH($C4389,DATA_ASSET_CLASSIFICATION!$A$8:$A$24,0)),"Review"))</f>
        <v>Yes</v>
      </c>
      <c r="Q4389" s="350" t="str">
        <f t="shared" ca="1" si="137"/>
        <v>OK</v>
      </c>
    </row>
    <row r="4390" spans="1:17">
      <c r="A4390" s="366" t="s">
        <v>6346</v>
      </c>
      <c r="B4390" s="366" t="s">
        <v>231</v>
      </c>
      <c r="C4390" s="348" t="str">
        <f>DATA_PROPERTY_MASTER!$A$19</f>
        <v>BLD_PS</v>
      </c>
      <c r="D4390" s="380">
        <f>'00_PORTFOLIO ROLLUP'!G$12</f>
        <v>2027</v>
      </c>
      <c r="E4390" s="366" t="s">
        <v>1741</v>
      </c>
      <c r="F4390" s="366" t="s">
        <v>1749</v>
      </c>
      <c r="G4390" s="348" t="str">
        <f>"'"&amp;$C4390&amp;"'!rows 56, 63, 68"</f>
        <v>'BLD_PS'!rows 56, 63, 68</v>
      </c>
      <c r="H4390" s="381">
        <f ca="1">IF(IFERROR(INDEX(DATA_PROPERTY_MASTER!$E$5:$E$21,MATCH($C4390,DATA_PROPERTY_MASTER!$A$5:$A$21,0))="Yes",FALSE),(IFERROR(INDEX(INDIRECT("'"&amp;$C4390&amp;"'!$E$56:$Y$56"),1,MATCH($D4390,INDIRECT("'"&amp;$C4390&amp;"'!$E$12:$Y$12"),0)),0)+MAX(IFERROR(INDEX(INDIRECT("'"&amp;$C4390&amp;"'!$E$63:$Y$63"),1,MATCH($D4390,INDIRECT("'"&amp;$C4390&amp;"'!$E$12:$Y$12"),0)),0),0))-(IFERROR(INDEX(INDIRECT("'"&amp;$C4390&amp;"'!$E$68:$Y$68"),1,MATCH($D4390,INDIRECT("'"&amp;$C4390&amp;"'!$E$12:$Y$12"),0)),0)),0)</f>
        <v>0</v>
      </c>
      <c r="I4390" s="366" t="s">
        <v>1750</v>
      </c>
      <c r="J4390" s="348" t="str">
        <f t="shared" ca="1" si="136"/>
        <v>OK</v>
      </c>
      <c r="K4390" s="366" t="s">
        <v>1751</v>
      </c>
      <c r="L4390" s="366" t="s">
        <v>2266</v>
      </c>
      <c r="M4390" s="350" t="str">
        <f>IF($B4390="Portfolio","Portfolio",IFERROR(INDEX(DATA_ASSET_CLASSIFICATION!$B$8:$B$24,MATCH($C4390,DATA_ASSET_CLASSIFICATION!$A$8:$A$24,0)),"Review"))</f>
        <v>450 Pacific Street</v>
      </c>
      <c r="N4390" s="350" t="str">
        <f>IF($B4390="Portfolio","Portfolio",IFERROR(INDEX(DATA_ASSET_CLASSIFICATION!$U$8:$U$24,MATCH($C4390,DATA_ASSET_CLASSIFICATION!$A$8:$A$24,0)),"Review"))</f>
        <v>New Build</v>
      </c>
      <c r="O4390" s="350" t="str">
        <f>IF($B4390="Portfolio","Portfolio",IFERROR(INDEX(DATA_ASSET_CLASSIFICATION!$AB$8:$AB$13,MATCH($N4390,DATA_ASSET_CLASSIFICATION!$AA$8:$AA$13,0)),"Review"))</f>
        <v>Bucket 1 · New Build</v>
      </c>
      <c r="P4390" s="350" t="str">
        <f>IF($B4390="Portfolio","Portfolio",IFERROR(INDEX(DATA_ASSET_CLASSIFICATION!$C$8:$C$24,MATCH($C4390,DATA_ASSET_CLASSIFICATION!$A$8:$A$24,0)),"Review"))</f>
        <v>Yes</v>
      </c>
      <c r="Q4390" s="350" t="str">
        <f t="shared" ca="1" si="137"/>
        <v>OK</v>
      </c>
    </row>
    <row r="4391" spans="1:17">
      <c r="A4391" s="366" t="s">
        <v>6347</v>
      </c>
      <c r="B4391" s="366" t="s">
        <v>231</v>
      </c>
      <c r="C4391" s="348" t="str">
        <f>DATA_PROPERTY_MASTER!$A$19</f>
        <v>BLD_PS</v>
      </c>
      <c r="D4391" s="380">
        <f>'00_PORTFOLIO ROLLUP'!H$12</f>
        <v>2028</v>
      </c>
      <c r="E4391" s="366" t="s">
        <v>1683</v>
      </c>
      <c r="F4391" s="366" t="s">
        <v>341</v>
      </c>
      <c r="G4391" s="348" t="str">
        <f>"'"&amp;$C4391&amp;"'!$E$24:$Y$24"</f>
        <v>'BLD_PS'!$E$24:$Y$24</v>
      </c>
      <c r="H4391" s="381">
        <f ca="1">IF(IFERROR(INDEX(DATA_PROPERTY_MASTER!$E$5:$E$21,MATCH($C4391,DATA_PROPERTY_MASTER!$A$5:$A$21,0))="Yes",FALSE),IFERROR(INDEX(INDIRECT("'"&amp;$C4391&amp;"'!$E$24:$Y$24"),1,MATCH($D4391,INDIRECT("'"&amp;$C4391&amp;"'!$E$12:$Y$12"),0)),0),0)</f>
        <v>1776456.4041715681</v>
      </c>
      <c r="I4391" s="366" t="s">
        <v>1685</v>
      </c>
      <c r="J4391" s="348" t="str">
        <f t="shared" ca="1" si="136"/>
        <v>OK</v>
      </c>
      <c r="K4391" s="366" t="s">
        <v>1686</v>
      </c>
      <c r="L4391" s="366" t="s">
        <v>2234</v>
      </c>
      <c r="M4391" s="350" t="str">
        <f>IF($B4391="Portfolio","Portfolio",IFERROR(INDEX(DATA_ASSET_CLASSIFICATION!$B$8:$B$24,MATCH($C4391,DATA_ASSET_CLASSIFICATION!$A$8:$A$24,0)),"Review"))</f>
        <v>450 Pacific Street</v>
      </c>
      <c r="N4391" s="350" t="str">
        <f>IF($B4391="Portfolio","Portfolio",IFERROR(INDEX(DATA_ASSET_CLASSIFICATION!$U$8:$U$24,MATCH($C4391,DATA_ASSET_CLASSIFICATION!$A$8:$A$24,0)),"Review"))</f>
        <v>New Build</v>
      </c>
      <c r="O4391" s="350" t="str">
        <f>IF($B4391="Portfolio","Portfolio",IFERROR(INDEX(DATA_ASSET_CLASSIFICATION!$AB$8:$AB$13,MATCH($N4391,DATA_ASSET_CLASSIFICATION!$AA$8:$AA$13,0)),"Review"))</f>
        <v>Bucket 1 · New Build</v>
      </c>
      <c r="P4391" s="350" t="str">
        <f>IF($B4391="Portfolio","Portfolio",IFERROR(INDEX(DATA_ASSET_CLASSIFICATION!$C$8:$C$24,MATCH($C4391,DATA_ASSET_CLASSIFICATION!$A$8:$A$24,0)),"Review"))</f>
        <v>Yes</v>
      </c>
      <c r="Q4391" s="350" t="str">
        <f t="shared" ca="1" si="137"/>
        <v>OK</v>
      </c>
    </row>
    <row r="4392" spans="1:17">
      <c r="A4392" s="366" t="s">
        <v>6348</v>
      </c>
      <c r="B4392" s="366" t="s">
        <v>231</v>
      </c>
      <c r="C4392" s="348" t="str">
        <f>DATA_PROPERTY_MASTER!$A$19</f>
        <v>BLD_PS</v>
      </c>
      <c r="D4392" s="380">
        <f>'00_PORTFOLIO ROLLUP'!H$12</f>
        <v>2028</v>
      </c>
      <c r="E4392" s="366" t="s">
        <v>1683</v>
      </c>
      <c r="F4392" s="366" t="s">
        <v>355</v>
      </c>
      <c r="G4392" s="348" t="str">
        <f>"'"&amp;$C4392&amp;"'!$E$39:$Y$39"</f>
        <v>'BLD_PS'!$E$39:$Y$39</v>
      </c>
      <c r="H4392" s="381">
        <f ca="1">IF(IFERROR(INDEX(DATA_PROPERTY_MASTER!$E$5:$E$21,MATCH($C4392,DATA_PROPERTY_MASTER!$A$5:$A$21,0))="Yes",FALSE),IFERROR(INDEX(INDIRECT("'"&amp;$C4392&amp;"'!$E$39:$Y$39"),1,MATCH($D4392,INDIRECT("'"&amp;$C4392&amp;"'!$E$12:$Y$12"),0)),0),0)</f>
        <v>771490.22412800021</v>
      </c>
      <c r="I4392" s="366" t="s">
        <v>1690</v>
      </c>
      <c r="J4392" s="348" t="str">
        <f t="shared" ca="1" si="136"/>
        <v>OK</v>
      </c>
      <c r="K4392" s="366" t="s">
        <v>1686</v>
      </c>
      <c r="L4392" s="366" t="s">
        <v>2236</v>
      </c>
      <c r="M4392" s="350" t="str">
        <f>IF($B4392="Portfolio","Portfolio",IFERROR(INDEX(DATA_ASSET_CLASSIFICATION!$B$8:$B$24,MATCH($C4392,DATA_ASSET_CLASSIFICATION!$A$8:$A$24,0)),"Review"))</f>
        <v>450 Pacific Street</v>
      </c>
      <c r="N4392" s="350" t="str">
        <f>IF($B4392="Portfolio","Portfolio",IFERROR(INDEX(DATA_ASSET_CLASSIFICATION!$U$8:$U$24,MATCH($C4392,DATA_ASSET_CLASSIFICATION!$A$8:$A$24,0)),"Review"))</f>
        <v>New Build</v>
      </c>
      <c r="O4392" s="350" t="str">
        <f>IF($B4392="Portfolio","Portfolio",IFERROR(INDEX(DATA_ASSET_CLASSIFICATION!$AB$8:$AB$13,MATCH($N4392,DATA_ASSET_CLASSIFICATION!$AA$8:$AA$13,0)),"Review"))</f>
        <v>Bucket 1 · New Build</v>
      </c>
      <c r="P4392" s="350" t="str">
        <f>IF($B4392="Portfolio","Portfolio",IFERROR(INDEX(DATA_ASSET_CLASSIFICATION!$C$8:$C$24,MATCH($C4392,DATA_ASSET_CLASSIFICATION!$A$8:$A$24,0)),"Review"))</f>
        <v>Yes</v>
      </c>
      <c r="Q4392" s="350" t="str">
        <f t="shared" ca="1" si="137"/>
        <v>OK</v>
      </c>
    </row>
    <row r="4393" spans="1:17">
      <c r="A4393" s="366" t="s">
        <v>6349</v>
      </c>
      <c r="B4393" s="366" t="s">
        <v>231</v>
      </c>
      <c r="C4393" s="348" t="str">
        <f>DATA_PROPERTY_MASTER!$A$19</f>
        <v>BLD_PS</v>
      </c>
      <c r="D4393" s="380">
        <f>'00_PORTFOLIO ROLLUP'!H$12</f>
        <v>2028</v>
      </c>
      <c r="E4393" s="366" t="s">
        <v>1683</v>
      </c>
      <c r="F4393" s="366" t="s">
        <v>19</v>
      </c>
      <c r="G4393" s="348" t="str">
        <f>"'"&amp;$C4393&amp;"'!$E$41:$Y$41"</f>
        <v>'BLD_PS'!$E$41:$Y$41</v>
      </c>
      <c r="H4393" s="381">
        <f ca="1">IF(IFERROR(INDEX(DATA_PROPERTY_MASTER!$E$5:$E$21,MATCH($C4393,DATA_PROPERTY_MASTER!$A$5:$A$21,0))="Yes",FALSE),IFERROR(INDEX(INDIRECT("'"&amp;$C4393&amp;"'!$E$41:$Y$41"),1,MATCH($D4393,INDIRECT("'"&amp;$C4393&amp;"'!$E$12:$Y$12"),0)),0),0)</f>
        <v>1004966.1800435679</v>
      </c>
      <c r="I4393" s="366" t="s">
        <v>1685</v>
      </c>
      <c r="J4393" s="348" t="str">
        <f t="shared" ca="1" si="136"/>
        <v>OK</v>
      </c>
      <c r="K4393" s="366" t="s">
        <v>1694</v>
      </c>
      <c r="L4393" s="366" t="s">
        <v>2238</v>
      </c>
      <c r="M4393" s="350" t="str">
        <f>IF($B4393="Portfolio","Portfolio",IFERROR(INDEX(DATA_ASSET_CLASSIFICATION!$B$8:$B$24,MATCH($C4393,DATA_ASSET_CLASSIFICATION!$A$8:$A$24,0)),"Review"))</f>
        <v>450 Pacific Street</v>
      </c>
      <c r="N4393" s="350" t="str">
        <f>IF($B4393="Portfolio","Portfolio",IFERROR(INDEX(DATA_ASSET_CLASSIFICATION!$U$8:$U$24,MATCH($C4393,DATA_ASSET_CLASSIFICATION!$A$8:$A$24,0)),"Review"))</f>
        <v>New Build</v>
      </c>
      <c r="O4393" s="350" t="str">
        <f>IF($B4393="Portfolio","Portfolio",IFERROR(INDEX(DATA_ASSET_CLASSIFICATION!$AB$8:$AB$13,MATCH($N4393,DATA_ASSET_CLASSIFICATION!$AA$8:$AA$13,0)),"Review"))</f>
        <v>Bucket 1 · New Build</v>
      </c>
      <c r="P4393" s="350" t="str">
        <f>IF($B4393="Portfolio","Portfolio",IFERROR(INDEX(DATA_ASSET_CLASSIFICATION!$C$8:$C$24,MATCH($C4393,DATA_ASSET_CLASSIFICATION!$A$8:$A$24,0)),"Review"))</f>
        <v>Yes</v>
      </c>
      <c r="Q4393" s="350" t="str">
        <f t="shared" ca="1" si="137"/>
        <v>OK</v>
      </c>
    </row>
    <row r="4394" spans="1:17">
      <c r="A4394" s="366" t="s">
        <v>6350</v>
      </c>
      <c r="B4394" s="366" t="s">
        <v>231</v>
      </c>
      <c r="C4394" s="348" t="str">
        <f>DATA_PROPERTY_MASTER!$A$19</f>
        <v>BLD_PS</v>
      </c>
      <c r="D4394" s="380">
        <f>'00_PORTFOLIO ROLLUP'!H$12</f>
        <v>2028</v>
      </c>
      <c r="E4394" s="366" t="s">
        <v>1683</v>
      </c>
      <c r="F4394" s="366" t="s">
        <v>1697</v>
      </c>
      <c r="G4394" s="348" t="str">
        <f>"'"&amp;$C4394&amp;"'!$E$44:$Y$44"</f>
        <v>'BLD_PS'!$E$44:$Y$44</v>
      </c>
      <c r="H4394" s="381">
        <f ca="1">IF(IFERROR(INDEX(DATA_PROPERTY_MASTER!$E$5:$E$21,MATCH($C4394,DATA_PROPERTY_MASTER!$A$5:$A$21,0))="Yes",FALSE),IFERROR(INDEX(INDIRECT("'"&amp;$C4394&amp;"'!$E$44:$Y$44"),1,MATCH($D4394,INDIRECT("'"&amp;$C4394&amp;"'!$E$12:$Y$12"),0)),0),0)</f>
        <v>14485.489199999998</v>
      </c>
      <c r="I4394" s="366" t="s">
        <v>1690</v>
      </c>
      <c r="J4394" s="348" t="str">
        <f t="shared" ca="1" si="136"/>
        <v>OK</v>
      </c>
      <c r="K4394" s="366" t="s">
        <v>1699</v>
      </c>
      <c r="L4394" s="366" t="s">
        <v>2240</v>
      </c>
      <c r="M4394" s="350" t="str">
        <f>IF($B4394="Portfolio","Portfolio",IFERROR(INDEX(DATA_ASSET_CLASSIFICATION!$B$8:$B$24,MATCH($C4394,DATA_ASSET_CLASSIFICATION!$A$8:$A$24,0)),"Review"))</f>
        <v>450 Pacific Street</v>
      </c>
      <c r="N4394" s="350" t="str">
        <f>IF($B4394="Portfolio","Portfolio",IFERROR(INDEX(DATA_ASSET_CLASSIFICATION!$U$8:$U$24,MATCH($C4394,DATA_ASSET_CLASSIFICATION!$A$8:$A$24,0)),"Review"))</f>
        <v>New Build</v>
      </c>
      <c r="O4394" s="350" t="str">
        <f>IF($B4394="Portfolio","Portfolio",IFERROR(INDEX(DATA_ASSET_CLASSIFICATION!$AB$8:$AB$13,MATCH($N4394,DATA_ASSET_CLASSIFICATION!$AA$8:$AA$13,0)),"Review"))</f>
        <v>Bucket 1 · New Build</v>
      </c>
      <c r="P4394" s="350" t="str">
        <f>IF($B4394="Portfolio","Portfolio",IFERROR(INDEX(DATA_ASSET_CLASSIFICATION!$C$8:$C$24,MATCH($C4394,DATA_ASSET_CLASSIFICATION!$A$8:$A$24,0)),"Review"))</f>
        <v>Yes</v>
      </c>
      <c r="Q4394" s="350" t="str">
        <f t="shared" ca="1" si="137"/>
        <v>OK</v>
      </c>
    </row>
    <row r="4395" spans="1:17">
      <c r="A4395" s="366" t="s">
        <v>6351</v>
      </c>
      <c r="B4395" s="366" t="s">
        <v>231</v>
      </c>
      <c r="C4395" s="348" t="str">
        <f>DATA_PROPERTY_MASTER!$A$19</f>
        <v>BLD_PS</v>
      </c>
      <c r="D4395" s="380">
        <f>'00_PORTFOLIO ROLLUP'!H$12</f>
        <v>2028</v>
      </c>
      <c r="E4395" s="366" t="s">
        <v>1683</v>
      </c>
      <c r="F4395" s="366" t="s">
        <v>21</v>
      </c>
      <c r="G4395" s="348" t="str">
        <f>"'"&amp;$C4395&amp;"'!$E$45:$Y$45"</f>
        <v>'BLD_PS'!$E$45:$Y$45</v>
      </c>
      <c r="H4395" s="381">
        <f ca="1">IF(IFERROR(INDEX(DATA_PROPERTY_MASTER!$E$5:$E$21,MATCH($C4395,DATA_PROPERTY_MASTER!$A$5:$A$21,0))="Yes",FALSE),IFERROR(INDEX(INDIRECT("'"&amp;$C4395&amp;"'!$E$45:$Y$45"),1,MATCH($D4395,INDIRECT("'"&amp;$C4395&amp;"'!$E$12:$Y$12"),0)),0),0)</f>
        <v>990480.69084356795</v>
      </c>
      <c r="I4395" s="366" t="s">
        <v>1685</v>
      </c>
      <c r="J4395" s="348" t="str">
        <f t="shared" ca="1" si="136"/>
        <v>OK</v>
      </c>
      <c r="K4395" s="366" t="s">
        <v>1694</v>
      </c>
      <c r="L4395" s="366" t="s">
        <v>2242</v>
      </c>
      <c r="M4395" s="350" t="str">
        <f>IF($B4395="Portfolio","Portfolio",IFERROR(INDEX(DATA_ASSET_CLASSIFICATION!$B$8:$B$24,MATCH($C4395,DATA_ASSET_CLASSIFICATION!$A$8:$A$24,0)),"Review"))</f>
        <v>450 Pacific Street</v>
      </c>
      <c r="N4395" s="350" t="str">
        <f>IF($B4395="Portfolio","Portfolio",IFERROR(INDEX(DATA_ASSET_CLASSIFICATION!$U$8:$U$24,MATCH($C4395,DATA_ASSET_CLASSIFICATION!$A$8:$A$24,0)),"Review"))</f>
        <v>New Build</v>
      </c>
      <c r="O4395" s="350" t="str">
        <f>IF($B4395="Portfolio","Portfolio",IFERROR(INDEX(DATA_ASSET_CLASSIFICATION!$AB$8:$AB$13,MATCH($N4395,DATA_ASSET_CLASSIFICATION!$AA$8:$AA$13,0)),"Review"))</f>
        <v>Bucket 1 · New Build</v>
      </c>
      <c r="P4395" s="350" t="str">
        <f>IF($B4395="Portfolio","Portfolio",IFERROR(INDEX(DATA_ASSET_CLASSIFICATION!$C$8:$C$24,MATCH($C4395,DATA_ASSET_CLASSIFICATION!$A$8:$A$24,0)),"Review"))</f>
        <v>Yes</v>
      </c>
      <c r="Q4395" s="350" t="str">
        <f t="shared" ca="1" si="137"/>
        <v>OK</v>
      </c>
    </row>
    <row r="4396" spans="1:17">
      <c r="A4396" s="366" t="s">
        <v>6352</v>
      </c>
      <c r="B4396" s="366" t="s">
        <v>231</v>
      </c>
      <c r="C4396" s="348" t="str">
        <f>DATA_PROPERTY_MASTER!$A$19</f>
        <v>BLD_PS</v>
      </c>
      <c r="D4396" s="380">
        <f>'00_PORTFOLIO ROLLUP'!H$12</f>
        <v>2028</v>
      </c>
      <c r="E4396" s="366" t="s">
        <v>23</v>
      </c>
      <c r="F4396" s="366" t="s">
        <v>23</v>
      </c>
      <c r="G4396" s="348" t="str">
        <f>"'"&amp;$C4396&amp;"'!$E$48:$Y$48"</f>
        <v>'BLD_PS'!$E$48:$Y$48</v>
      </c>
      <c r="H4396" s="381">
        <f ca="1">IF(IFERROR(INDEX(DATA_PROPERTY_MASTER!$E$5:$E$21,MATCH($C4396,DATA_PROPERTY_MASTER!$A$5:$A$21,0))="Yes",FALSE),IFERROR(INDEX(INDIRECT("'"&amp;$C4396&amp;"'!$E$48:$Y$48"),1,MATCH($D4396,INDIRECT("'"&amp;$C4396&amp;"'!$E$12:$Y$12"),0)),0),0)</f>
        <v>1988236.6044415063</v>
      </c>
      <c r="I4396" s="366" t="s">
        <v>1690</v>
      </c>
      <c r="J4396" s="348" t="str">
        <f t="shared" ca="1" si="136"/>
        <v>OK</v>
      </c>
      <c r="K4396" s="366" t="s">
        <v>1706</v>
      </c>
      <c r="L4396" s="366" t="s">
        <v>2244</v>
      </c>
      <c r="M4396" s="350" t="str">
        <f>IF($B4396="Portfolio","Portfolio",IFERROR(INDEX(DATA_ASSET_CLASSIFICATION!$B$8:$B$24,MATCH($C4396,DATA_ASSET_CLASSIFICATION!$A$8:$A$24,0)),"Review"))</f>
        <v>450 Pacific Street</v>
      </c>
      <c r="N4396" s="350" t="str">
        <f>IF($B4396="Portfolio","Portfolio",IFERROR(INDEX(DATA_ASSET_CLASSIFICATION!$U$8:$U$24,MATCH($C4396,DATA_ASSET_CLASSIFICATION!$A$8:$A$24,0)),"Review"))</f>
        <v>New Build</v>
      </c>
      <c r="O4396" s="350" t="str">
        <f>IF($B4396="Portfolio","Portfolio",IFERROR(INDEX(DATA_ASSET_CLASSIFICATION!$AB$8:$AB$13,MATCH($N4396,DATA_ASSET_CLASSIFICATION!$AA$8:$AA$13,0)),"Review"))</f>
        <v>Bucket 1 · New Build</v>
      </c>
      <c r="P4396" s="350" t="str">
        <f>IF($B4396="Portfolio","Portfolio",IFERROR(INDEX(DATA_ASSET_CLASSIFICATION!$C$8:$C$24,MATCH($C4396,DATA_ASSET_CLASSIFICATION!$A$8:$A$24,0)),"Review"))</f>
        <v>Yes</v>
      </c>
      <c r="Q4396" s="350" t="str">
        <f t="shared" ca="1" si="137"/>
        <v>OK</v>
      </c>
    </row>
    <row r="4397" spans="1:17">
      <c r="A4397" s="366" t="s">
        <v>6353</v>
      </c>
      <c r="B4397" s="366" t="s">
        <v>231</v>
      </c>
      <c r="C4397" s="348" t="str">
        <f>DATA_PROPERTY_MASTER!$A$19</f>
        <v>BLD_PS</v>
      </c>
      <c r="D4397" s="380">
        <f>'00_PORTFOLIO ROLLUP'!H$12</f>
        <v>2028</v>
      </c>
      <c r="E4397" s="366" t="s">
        <v>1683</v>
      </c>
      <c r="F4397" s="366" t="s">
        <v>25</v>
      </c>
      <c r="G4397" s="348" t="str">
        <f>"'"&amp;$C4397&amp;"'!$E$52:$Y$52"</f>
        <v>'BLD_PS'!$E$52:$Y$52</v>
      </c>
      <c r="H4397" s="381">
        <f ca="1">IF(IFERROR(INDEX(DATA_PROPERTY_MASTER!$E$5:$E$21,MATCH($C4397,DATA_PROPERTY_MASTER!$A$5:$A$21,0))="Yes",FALSE),IFERROR(INDEX(INDIRECT("'"&amp;$C4397&amp;"'!$E$52:$Y$52"),1,MATCH($D4397,INDIRECT("'"&amp;$C4397&amp;"'!$E$12:$Y$12"),0)),0),0)</f>
        <v>-983270.42439793842</v>
      </c>
      <c r="I4397" s="366" t="s">
        <v>1685</v>
      </c>
      <c r="J4397" s="348" t="str">
        <f t="shared" ca="1" si="136"/>
        <v>OK</v>
      </c>
      <c r="K4397" s="366" t="s">
        <v>1710</v>
      </c>
      <c r="L4397" s="366" t="s">
        <v>2246</v>
      </c>
      <c r="M4397" s="350" t="str">
        <f>IF($B4397="Portfolio","Portfolio",IFERROR(INDEX(DATA_ASSET_CLASSIFICATION!$B$8:$B$24,MATCH($C4397,DATA_ASSET_CLASSIFICATION!$A$8:$A$24,0)),"Review"))</f>
        <v>450 Pacific Street</v>
      </c>
      <c r="N4397" s="350" t="str">
        <f>IF($B4397="Portfolio","Portfolio",IFERROR(INDEX(DATA_ASSET_CLASSIFICATION!$U$8:$U$24,MATCH($C4397,DATA_ASSET_CLASSIFICATION!$A$8:$A$24,0)),"Review"))</f>
        <v>New Build</v>
      </c>
      <c r="O4397" s="350" t="str">
        <f>IF($B4397="Portfolio","Portfolio",IFERROR(INDEX(DATA_ASSET_CLASSIFICATION!$AB$8:$AB$13,MATCH($N4397,DATA_ASSET_CLASSIFICATION!$AA$8:$AA$13,0)),"Review"))</f>
        <v>Bucket 1 · New Build</v>
      </c>
      <c r="P4397" s="350" t="str">
        <f>IF($B4397="Portfolio","Portfolio",IFERROR(INDEX(DATA_ASSET_CLASSIFICATION!$C$8:$C$24,MATCH($C4397,DATA_ASSET_CLASSIFICATION!$A$8:$A$24,0)),"Review"))</f>
        <v>Yes</v>
      </c>
      <c r="Q4397" s="350" t="str">
        <f t="shared" ca="1" si="137"/>
        <v>OK</v>
      </c>
    </row>
    <row r="4398" spans="1:17">
      <c r="A4398" s="366" t="s">
        <v>6354</v>
      </c>
      <c r="B4398" s="366" t="s">
        <v>231</v>
      </c>
      <c r="C4398" s="348" t="str">
        <f>DATA_PROPERTY_MASTER!$A$19</f>
        <v>BLD_PS</v>
      </c>
      <c r="D4398" s="380">
        <f>'00_PORTFOLIO ROLLUP'!H$12</f>
        <v>2028</v>
      </c>
      <c r="E4398" s="366" t="s">
        <v>1683</v>
      </c>
      <c r="F4398" s="366" t="s">
        <v>27</v>
      </c>
      <c r="G4398" s="348" t="str">
        <f>"'"&amp;$C4398&amp;"'!$E$54:$Y$54"</f>
        <v>'BLD_PS'!$E$54:$Y$54</v>
      </c>
      <c r="H4398" s="381">
        <f ca="1">IF(IFERROR(INDEX(DATA_PROPERTY_MASTER!$E$5:$E$21,MATCH($C4398,DATA_PROPERTY_MASTER!$A$5:$A$21,0))="Yes",FALSE),IFERROR(INDEX(INDIRECT("'"&amp;$C4398&amp;"'!$E$54:$Y$54"),1,MATCH($D4398,INDIRECT("'"&amp;$C4398&amp;"'!$E$12:$Y$12"),0)),0),0)</f>
        <v>0</v>
      </c>
      <c r="I4398" s="366" t="s">
        <v>1690</v>
      </c>
      <c r="J4398" s="348" t="str">
        <f t="shared" ca="1" si="136"/>
        <v>OK</v>
      </c>
      <c r="K4398" s="366" t="s">
        <v>1714</v>
      </c>
      <c r="L4398" s="366" t="s">
        <v>2248</v>
      </c>
      <c r="M4398" s="350" t="str">
        <f>IF($B4398="Portfolio","Portfolio",IFERROR(INDEX(DATA_ASSET_CLASSIFICATION!$B$8:$B$24,MATCH($C4398,DATA_ASSET_CLASSIFICATION!$A$8:$A$24,0)),"Review"))</f>
        <v>450 Pacific Street</v>
      </c>
      <c r="N4398" s="350" t="str">
        <f>IF($B4398="Portfolio","Portfolio",IFERROR(INDEX(DATA_ASSET_CLASSIFICATION!$U$8:$U$24,MATCH($C4398,DATA_ASSET_CLASSIFICATION!$A$8:$A$24,0)),"Review"))</f>
        <v>New Build</v>
      </c>
      <c r="O4398" s="350" t="str">
        <f>IF($B4398="Portfolio","Portfolio",IFERROR(INDEX(DATA_ASSET_CLASSIFICATION!$AB$8:$AB$13,MATCH($N4398,DATA_ASSET_CLASSIFICATION!$AA$8:$AA$13,0)),"Review"))</f>
        <v>Bucket 1 · New Build</v>
      </c>
      <c r="P4398" s="350" t="str">
        <f>IF($B4398="Portfolio","Portfolio",IFERROR(INDEX(DATA_ASSET_CLASSIFICATION!$C$8:$C$24,MATCH($C4398,DATA_ASSET_CLASSIFICATION!$A$8:$A$24,0)),"Review"))</f>
        <v>Yes</v>
      </c>
      <c r="Q4398" s="350" t="str">
        <f t="shared" ca="1" si="137"/>
        <v>OK</v>
      </c>
    </row>
    <row r="4399" spans="1:17">
      <c r="A4399" s="366" t="s">
        <v>6355</v>
      </c>
      <c r="B4399" s="366" t="s">
        <v>231</v>
      </c>
      <c r="C4399" s="348" t="str">
        <f>DATA_PROPERTY_MASTER!$A$19</f>
        <v>BLD_PS</v>
      </c>
      <c r="D4399" s="380">
        <f>'00_PORTFOLIO ROLLUP'!H$12</f>
        <v>2028</v>
      </c>
      <c r="E4399" s="366" t="s">
        <v>1683</v>
      </c>
      <c r="F4399" s="366" t="s">
        <v>29</v>
      </c>
      <c r="G4399" s="348" t="str">
        <f>"'"&amp;$C4399&amp;"'!$E$56:$Y$56"</f>
        <v>'BLD_PS'!$E$56:$Y$56</v>
      </c>
      <c r="H4399" s="381">
        <f ca="1">IF(IFERROR(INDEX(DATA_PROPERTY_MASTER!$E$5:$E$21,MATCH($C4399,DATA_PROPERTY_MASTER!$A$5:$A$21,0))="Yes",FALSE),IFERROR(INDEX(INDIRECT("'"&amp;$C4399&amp;"'!$E$56:$Y$56"),1,MATCH($D4399,INDIRECT("'"&amp;$C4399&amp;"'!$E$12:$Y$12"),0)),0),0)</f>
        <v>-983270.42439793842</v>
      </c>
      <c r="I4399" s="366" t="s">
        <v>1685</v>
      </c>
      <c r="J4399" s="348" t="str">
        <f t="shared" ca="1" si="136"/>
        <v>OK</v>
      </c>
      <c r="K4399" s="366" t="s">
        <v>1718</v>
      </c>
      <c r="L4399" s="366" t="s">
        <v>2250</v>
      </c>
      <c r="M4399" s="350" t="str">
        <f>IF($B4399="Portfolio","Portfolio",IFERROR(INDEX(DATA_ASSET_CLASSIFICATION!$B$8:$B$24,MATCH($C4399,DATA_ASSET_CLASSIFICATION!$A$8:$A$24,0)),"Review"))</f>
        <v>450 Pacific Street</v>
      </c>
      <c r="N4399" s="350" t="str">
        <f>IF($B4399="Portfolio","Portfolio",IFERROR(INDEX(DATA_ASSET_CLASSIFICATION!$U$8:$U$24,MATCH($C4399,DATA_ASSET_CLASSIFICATION!$A$8:$A$24,0)),"Review"))</f>
        <v>New Build</v>
      </c>
      <c r="O4399" s="350" t="str">
        <f>IF($B4399="Portfolio","Portfolio",IFERROR(INDEX(DATA_ASSET_CLASSIFICATION!$AB$8:$AB$13,MATCH($N4399,DATA_ASSET_CLASSIFICATION!$AA$8:$AA$13,0)),"Review"))</f>
        <v>Bucket 1 · New Build</v>
      </c>
      <c r="P4399" s="350" t="str">
        <f>IF($B4399="Portfolio","Portfolio",IFERROR(INDEX(DATA_ASSET_CLASSIFICATION!$C$8:$C$24,MATCH($C4399,DATA_ASSET_CLASSIFICATION!$A$8:$A$24,0)),"Review"))</f>
        <v>Yes</v>
      </c>
      <c r="Q4399" s="350" t="str">
        <f t="shared" ca="1" si="137"/>
        <v>OK</v>
      </c>
    </row>
    <row r="4400" spans="1:17">
      <c r="A4400" s="366" t="s">
        <v>6356</v>
      </c>
      <c r="B4400" s="366" t="s">
        <v>231</v>
      </c>
      <c r="C4400" s="348" t="str">
        <f>DATA_PROPERTY_MASTER!$A$19</f>
        <v>BLD_PS</v>
      </c>
      <c r="D4400" s="380">
        <f>'00_PORTFOLIO ROLLUP'!H$12</f>
        <v>2028</v>
      </c>
      <c r="E4400" s="366" t="s">
        <v>1721</v>
      </c>
      <c r="F4400" s="366" t="s">
        <v>31</v>
      </c>
      <c r="G4400" s="348" t="str">
        <f>"'"&amp;$C4400&amp;"'!$E$61:$Y$61"</f>
        <v>'BLD_PS'!$E$61:$Y$61</v>
      </c>
      <c r="H4400" s="381">
        <f ca="1">IF(IFERROR(INDEX(DATA_PROPERTY_MASTER!$E$5:$E$21,MATCH($C4400,DATA_PROPERTY_MASTER!$A$5:$A$21,0))="Yes",FALSE),IFERROR(INDEX(INDIRECT("'"&amp;$C4400&amp;"'!$E$61:$Y$61"),1,MATCH($D4400,INDIRECT("'"&amp;$C4400&amp;"'!$E$12:$Y$12"),0)),0),0)</f>
        <v>-35444216.830512583</v>
      </c>
      <c r="I4400" s="366" t="s">
        <v>1690</v>
      </c>
      <c r="J4400" s="348" t="str">
        <f t="shared" ca="1" si="136"/>
        <v>OK</v>
      </c>
      <c r="K4400" s="366" t="s">
        <v>1723</v>
      </c>
      <c r="L4400" s="366" t="s">
        <v>2252</v>
      </c>
      <c r="M4400" s="350" t="str">
        <f>IF($B4400="Portfolio","Portfolio",IFERROR(INDEX(DATA_ASSET_CLASSIFICATION!$B$8:$B$24,MATCH($C4400,DATA_ASSET_CLASSIFICATION!$A$8:$A$24,0)),"Review"))</f>
        <v>450 Pacific Street</v>
      </c>
      <c r="N4400" s="350" t="str">
        <f>IF($B4400="Portfolio","Portfolio",IFERROR(INDEX(DATA_ASSET_CLASSIFICATION!$U$8:$U$24,MATCH($C4400,DATA_ASSET_CLASSIFICATION!$A$8:$A$24,0)),"Review"))</f>
        <v>New Build</v>
      </c>
      <c r="O4400" s="350" t="str">
        <f>IF($B4400="Portfolio","Portfolio",IFERROR(INDEX(DATA_ASSET_CLASSIFICATION!$AB$8:$AB$13,MATCH($N4400,DATA_ASSET_CLASSIFICATION!$AA$8:$AA$13,0)),"Review"))</f>
        <v>Bucket 1 · New Build</v>
      </c>
      <c r="P4400" s="350" t="str">
        <f>IF($B4400="Portfolio","Portfolio",IFERROR(INDEX(DATA_ASSET_CLASSIFICATION!$C$8:$C$24,MATCH($C4400,DATA_ASSET_CLASSIFICATION!$A$8:$A$24,0)),"Review"))</f>
        <v>Yes</v>
      </c>
      <c r="Q4400" s="350" t="str">
        <f t="shared" ca="1" si="137"/>
        <v>OK</v>
      </c>
    </row>
    <row r="4401" spans="1:17">
      <c r="A4401" s="366" t="s">
        <v>6357</v>
      </c>
      <c r="B4401" s="366" t="s">
        <v>231</v>
      </c>
      <c r="C4401" s="348" t="str">
        <f>DATA_PROPERTY_MASTER!$A$19</f>
        <v>BLD_PS</v>
      </c>
      <c r="D4401" s="380">
        <f>'00_PORTFOLIO ROLLUP'!H$12</f>
        <v>2028</v>
      </c>
      <c r="E4401" s="366" t="s">
        <v>1721</v>
      </c>
      <c r="F4401" s="366" t="s">
        <v>33</v>
      </c>
      <c r="G4401" s="348" t="str">
        <f>"'"&amp;$C4401&amp;"'!$E$62:$Y$62"</f>
        <v>'BLD_PS'!$E$62:$Y$62</v>
      </c>
      <c r="H4401" s="381">
        <f ca="1">IF(IFERROR(INDEX(DATA_PROPERTY_MASTER!$E$5:$E$21,MATCH($C4401,DATA_PROPERTY_MASTER!$A$5:$A$21,0))="Yes",FALSE),IFERROR(INDEX(INDIRECT("'"&amp;$C4401&amp;"'!$E$62:$Y$62"),1,MATCH($D4401,INDIRECT("'"&amp;$C4401&amp;"'!$E$12:$Y$12"),0)),0),0)</f>
        <v>12562077.2505446</v>
      </c>
      <c r="I4401" s="366" t="s">
        <v>1685</v>
      </c>
      <c r="J4401" s="348" t="str">
        <f t="shared" ca="1" si="136"/>
        <v>OK</v>
      </c>
      <c r="K4401" s="366" t="s">
        <v>1727</v>
      </c>
      <c r="L4401" s="366" t="s">
        <v>2254</v>
      </c>
      <c r="M4401" s="350" t="str">
        <f>IF($B4401="Portfolio","Portfolio",IFERROR(INDEX(DATA_ASSET_CLASSIFICATION!$B$8:$B$24,MATCH($C4401,DATA_ASSET_CLASSIFICATION!$A$8:$A$24,0)),"Review"))</f>
        <v>450 Pacific Street</v>
      </c>
      <c r="N4401" s="350" t="str">
        <f>IF($B4401="Portfolio","Portfolio",IFERROR(INDEX(DATA_ASSET_CLASSIFICATION!$U$8:$U$24,MATCH($C4401,DATA_ASSET_CLASSIFICATION!$A$8:$A$24,0)),"Review"))</f>
        <v>New Build</v>
      </c>
      <c r="O4401" s="350" t="str">
        <f>IF($B4401="Portfolio","Portfolio",IFERROR(INDEX(DATA_ASSET_CLASSIFICATION!$AB$8:$AB$13,MATCH($N4401,DATA_ASSET_CLASSIFICATION!$AA$8:$AA$13,0)),"Review"))</f>
        <v>Bucket 1 · New Build</v>
      </c>
      <c r="P4401" s="350" t="str">
        <f>IF($B4401="Portfolio","Portfolio",IFERROR(INDEX(DATA_ASSET_CLASSIFICATION!$C$8:$C$24,MATCH($C4401,DATA_ASSET_CLASSIFICATION!$A$8:$A$24,0)),"Review"))</f>
        <v>Yes</v>
      </c>
      <c r="Q4401" s="350" t="str">
        <f t="shared" ca="1" si="137"/>
        <v>OK</v>
      </c>
    </row>
    <row r="4402" spans="1:17" ht="30">
      <c r="A4402" s="366" t="s">
        <v>6358</v>
      </c>
      <c r="B4402" s="366" t="s">
        <v>231</v>
      </c>
      <c r="C4402" s="348" t="str">
        <f>DATA_PROPERTY_MASTER!$A$19</f>
        <v>BLD_PS</v>
      </c>
      <c r="D4402" s="380">
        <f>'00_PORTFOLIO ROLLUP'!H$12</f>
        <v>2028</v>
      </c>
      <c r="E4402" s="366" t="s">
        <v>1721</v>
      </c>
      <c r="F4402" s="366" t="s">
        <v>35</v>
      </c>
      <c r="G4402" s="348" t="str">
        <f>"'"&amp;$C4402&amp;"'!$E$63:$Y$63"</f>
        <v>'BLD_PS'!$E$63:$Y$63</v>
      </c>
      <c r="H4402" s="381">
        <f ca="1">IF(IFERROR(INDEX(DATA_PROPERTY_MASTER!$E$5:$E$21,MATCH($C4402,DATA_PROPERTY_MASTER!$A$5:$A$21,0))="Yes",FALSE),IFERROR(INDEX(INDIRECT("'"&amp;$C4402&amp;"'!$E$63:$Y$63"),1,MATCH($D4402,INDIRECT("'"&amp;$C4402&amp;"'!$E$12:$Y$12"),0)),0),0)</f>
        <v>-22882139.579967983</v>
      </c>
      <c r="I4402" s="366" t="s">
        <v>1731</v>
      </c>
      <c r="J4402" s="348" t="str">
        <f t="shared" ca="1" si="136"/>
        <v>Negative net refi position</v>
      </c>
      <c r="K4402" s="366" t="s">
        <v>1732</v>
      </c>
      <c r="L4402" s="366" t="s">
        <v>2256</v>
      </c>
      <c r="M4402" s="350" t="str">
        <f>IF($B4402="Portfolio","Portfolio",IFERROR(INDEX(DATA_ASSET_CLASSIFICATION!$B$8:$B$24,MATCH($C4402,DATA_ASSET_CLASSIFICATION!$A$8:$A$24,0)),"Review"))</f>
        <v>450 Pacific Street</v>
      </c>
      <c r="N4402" s="350" t="str">
        <f>IF($B4402="Portfolio","Portfolio",IFERROR(INDEX(DATA_ASSET_CLASSIFICATION!$U$8:$U$24,MATCH($C4402,DATA_ASSET_CLASSIFICATION!$A$8:$A$24,0)),"Review"))</f>
        <v>New Build</v>
      </c>
      <c r="O4402" s="350" t="str">
        <f>IF($B4402="Portfolio","Portfolio",IFERROR(INDEX(DATA_ASSET_CLASSIFICATION!$AB$8:$AB$13,MATCH($N4402,DATA_ASSET_CLASSIFICATION!$AA$8:$AA$13,0)),"Review"))</f>
        <v>Bucket 1 · New Build</v>
      </c>
      <c r="P4402" s="350" t="str">
        <f>IF($B4402="Portfolio","Portfolio",IFERROR(INDEX(DATA_ASSET_CLASSIFICATION!$C$8:$C$24,MATCH($C4402,DATA_ASSET_CLASSIFICATION!$A$8:$A$24,0)),"Review"))</f>
        <v>Yes</v>
      </c>
      <c r="Q4402" s="350" t="str">
        <f t="shared" ca="1" si="137"/>
        <v>Negative net refi position</v>
      </c>
    </row>
    <row r="4403" spans="1:17">
      <c r="A4403" s="366" t="s">
        <v>6359</v>
      </c>
      <c r="B4403" s="366" t="s">
        <v>231</v>
      </c>
      <c r="C4403" s="348" t="str">
        <f>DATA_PROPERTY_MASTER!$A$19</f>
        <v>BLD_PS</v>
      </c>
      <c r="D4403" s="380">
        <f>'00_PORTFOLIO ROLLUP'!H$12</f>
        <v>2028</v>
      </c>
      <c r="E4403" s="366" t="s">
        <v>1721</v>
      </c>
      <c r="F4403" s="366" t="s">
        <v>37</v>
      </c>
      <c r="G4403" s="348" t="str">
        <f>"'"&amp;$C4403&amp;"'!$E$63:$Y$63"</f>
        <v>'BLD_PS'!$E$63:$Y$63</v>
      </c>
      <c r="H4403" s="381">
        <f ca="1">IF(IFERROR(INDEX(DATA_PROPERTY_MASTER!$E$5:$E$21,MATCH($C4403,DATA_PROPERTY_MASTER!$A$5:$A$21,0))="Yes",FALSE),MAX(IFERROR(INDEX(INDIRECT("'"&amp;$C4403&amp;"'!$E$63:$Y$63"),1,MATCH($D4403,INDIRECT("'"&amp;$C4403&amp;"'!$E$12:$Y$12"),0)),0),0),0)</f>
        <v>0</v>
      </c>
      <c r="I4403" s="366" t="s">
        <v>1685</v>
      </c>
      <c r="J4403" s="348" t="str">
        <f t="shared" ca="1" si="136"/>
        <v>OK</v>
      </c>
      <c r="K4403" s="366" t="s">
        <v>1735</v>
      </c>
      <c r="L4403" s="366" t="s">
        <v>2258</v>
      </c>
      <c r="M4403" s="350" t="str">
        <f>IF($B4403="Portfolio","Portfolio",IFERROR(INDEX(DATA_ASSET_CLASSIFICATION!$B$8:$B$24,MATCH($C4403,DATA_ASSET_CLASSIFICATION!$A$8:$A$24,0)),"Review"))</f>
        <v>450 Pacific Street</v>
      </c>
      <c r="N4403" s="350" t="str">
        <f>IF($B4403="Portfolio","Portfolio",IFERROR(INDEX(DATA_ASSET_CLASSIFICATION!$U$8:$U$24,MATCH($C4403,DATA_ASSET_CLASSIFICATION!$A$8:$A$24,0)),"Review"))</f>
        <v>New Build</v>
      </c>
      <c r="O4403" s="350" t="str">
        <f>IF($B4403="Portfolio","Portfolio",IFERROR(INDEX(DATA_ASSET_CLASSIFICATION!$AB$8:$AB$13,MATCH($N4403,DATA_ASSET_CLASSIFICATION!$AA$8:$AA$13,0)),"Review"))</f>
        <v>Bucket 1 · New Build</v>
      </c>
      <c r="P4403" s="350" t="str">
        <f>IF($B4403="Portfolio","Portfolio",IFERROR(INDEX(DATA_ASSET_CLASSIFICATION!$C$8:$C$24,MATCH($C4403,DATA_ASSET_CLASSIFICATION!$A$8:$A$24,0)),"Review"))</f>
        <v>Yes</v>
      </c>
      <c r="Q4403" s="350" t="str">
        <f t="shared" ca="1" si="137"/>
        <v>OK</v>
      </c>
    </row>
    <row r="4404" spans="1:17" ht="30">
      <c r="A4404" s="366" t="s">
        <v>6360</v>
      </c>
      <c r="B4404" s="366" t="s">
        <v>231</v>
      </c>
      <c r="C4404" s="348" t="str">
        <f>DATA_PROPERTY_MASTER!$A$19</f>
        <v>BLD_PS</v>
      </c>
      <c r="D4404" s="380">
        <f>'00_PORTFOLIO ROLLUP'!H$12</f>
        <v>2028</v>
      </c>
      <c r="E4404" s="366" t="s">
        <v>1721</v>
      </c>
      <c r="F4404" s="366" t="s">
        <v>39</v>
      </c>
      <c r="G4404" s="348" t="str">
        <f>"'"&amp;$C4404&amp;"'!$E$63:$Y$63"</f>
        <v>'BLD_PS'!$E$63:$Y$63</v>
      </c>
      <c r="H4404" s="381">
        <f ca="1">IF(IFERROR(INDEX(DATA_PROPERTY_MASTER!$E$5:$E$21,MATCH($C4404,DATA_PROPERTY_MASTER!$A$5:$A$21,0))="Yes",FALSE),MAX(-IFERROR(INDEX(INDIRECT("'"&amp;$C4404&amp;"'!$E$63:$Y$63"),1,MATCH($D4404,INDIRECT("'"&amp;$C4404&amp;"'!$E$12:$Y$12"),0)),0),0),0)</f>
        <v>22882139.579967983</v>
      </c>
      <c r="I4404" s="366" t="s">
        <v>1690</v>
      </c>
      <c r="J4404" s="348" t="str">
        <f t="shared" ca="1" si="136"/>
        <v>Funding Gap</v>
      </c>
      <c r="K4404" s="366" t="s">
        <v>1738</v>
      </c>
      <c r="L4404" s="366" t="s">
        <v>2260</v>
      </c>
      <c r="M4404" s="350" t="str">
        <f>IF($B4404="Portfolio","Portfolio",IFERROR(INDEX(DATA_ASSET_CLASSIFICATION!$B$8:$B$24,MATCH($C4404,DATA_ASSET_CLASSIFICATION!$A$8:$A$24,0)),"Review"))</f>
        <v>450 Pacific Street</v>
      </c>
      <c r="N4404" s="350" t="str">
        <f>IF($B4404="Portfolio","Portfolio",IFERROR(INDEX(DATA_ASSET_CLASSIFICATION!$U$8:$U$24,MATCH($C4404,DATA_ASSET_CLASSIFICATION!$A$8:$A$24,0)),"Review"))</f>
        <v>New Build</v>
      </c>
      <c r="O4404" s="350" t="str">
        <f>IF($B4404="Portfolio","Portfolio",IFERROR(INDEX(DATA_ASSET_CLASSIFICATION!$AB$8:$AB$13,MATCH($N4404,DATA_ASSET_CLASSIFICATION!$AA$8:$AA$13,0)),"Review"))</f>
        <v>Bucket 1 · New Build</v>
      </c>
      <c r="P4404" s="350" t="str">
        <f>IF($B4404="Portfolio","Portfolio",IFERROR(INDEX(DATA_ASSET_CLASSIFICATION!$C$8:$C$24,MATCH($C4404,DATA_ASSET_CLASSIFICATION!$A$8:$A$24,0)),"Review"))</f>
        <v>Yes</v>
      </c>
      <c r="Q4404" s="350" t="str">
        <f t="shared" ca="1" si="137"/>
        <v>Property Funding Gap</v>
      </c>
    </row>
    <row r="4405" spans="1:17">
      <c r="A4405" s="366" t="s">
        <v>6361</v>
      </c>
      <c r="B4405" s="366" t="s">
        <v>231</v>
      </c>
      <c r="C4405" s="348" t="str">
        <f>DATA_PROPERTY_MASTER!$A$19</f>
        <v>BLD_PS</v>
      </c>
      <c r="D4405" s="380">
        <f>'00_PORTFOLIO ROLLUP'!H$12</f>
        <v>2028</v>
      </c>
      <c r="E4405" s="366" t="s">
        <v>1741</v>
      </c>
      <c r="F4405" s="366" t="s">
        <v>41</v>
      </c>
      <c r="G4405" s="348" t="str">
        <f>"'"&amp;$C4405&amp;"'!rows 56 + positive row 63"</f>
        <v>'BLD_PS'!rows 56 + positive row 63</v>
      </c>
      <c r="H4405" s="381">
        <f ca="1">IF(IFERROR(INDEX(DATA_PROPERTY_MASTER!$E$5:$E$21,MATCH($C4405,DATA_PROPERTY_MASTER!$A$5:$A$21,0))="Yes",FALSE),IFERROR(INDEX(INDIRECT("'"&amp;$C4405&amp;"'!$E$56:$Y$56"),1,MATCH($D4405,INDIRECT("'"&amp;$C4405&amp;"'!$E$12:$Y$12"),0)),0)+MAX(IFERROR(INDEX(INDIRECT("'"&amp;$C4405&amp;"'!$E$63:$Y$63"),1,MATCH($D4405,INDIRECT("'"&amp;$C4405&amp;"'!$E$12:$Y$12"),0)),0),0),0)</f>
        <v>-983270.42439793842</v>
      </c>
      <c r="I4405" s="366" t="s">
        <v>1685</v>
      </c>
      <c r="J4405" s="348" t="str">
        <f t="shared" ca="1" si="136"/>
        <v>OK</v>
      </c>
      <c r="K4405" s="366" t="s">
        <v>1742</v>
      </c>
      <c r="L4405" s="366" t="s">
        <v>2262</v>
      </c>
      <c r="M4405" s="350" t="str">
        <f>IF($B4405="Portfolio","Portfolio",IFERROR(INDEX(DATA_ASSET_CLASSIFICATION!$B$8:$B$24,MATCH($C4405,DATA_ASSET_CLASSIFICATION!$A$8:$A$24,0)),"Review"))</f>
        <v>450 Pacific Street</v>
      </c>
      <c r="N4405" s="350" t="str">
        <f>IF($B4405="Portfolio","Portfolio",IFERROR(INDEX(DATA_ASSET_CLASSIFICATION!$U$8:$U$24,MATCH($C4405,DATA_ASSET_CLASSIFICATION!$A$8:$A$24,0)),"Review"))</f>
        <v>New Build</v>
      </c>
      <c r="O4405" s="350" t="str">
        <f>IF($B4405="Portfolio","Portfolio",IFERROR(INDEX(DATA_ASSET_CLASSIFICATION!$AB$8:$AB$13,MATCH($N4405,DATA_ASSET_CLASSIFICATION!$AA$8:$AA$13,0)),"Review"))</f>
        <v>Bucket 1 · New Build</v>
      </c>
      <c r="P4405" s="350" t="str">
        <f>IF($B4405="Portfolio","Portfolio",IFERROR(INDEX(DATA_ASSET_CLASSIFICATION!$C$8:$C$24,MATCH($C4405,DATA_ASSET_CLASSIFICATION!$A$8:$A$24,0)),"Review"))</f>
        <v>Yes</v>
      </c>
      <c r="Q4405" s="350" t="str">
        <f t="shared" ca="1" si="137"/>
        <v>OK</v>
      </c>
    </row>
    <row r="4406" spans="1:17">
      <c r="A4406" s="366" t="s">
        <v>6362</v>
      </c>
      <c r="B4406" s="366" t="s">
        <v>231</v>
      </c>
      <c r="C4406" s="348" t="str">
        <f>DATA_PROPERTY_MASTER!$A$19</f>
        <v>BLD_PS</v>
      </c>
      <c r="D4406" s="380">
        <f>'00_PORTFOLIO ROLLUP'!H$12</f>
        <v>2028</v>
      </c>
      <c r="E4406" s="366" t="s">
        <v>1741</v>
      </c>
      <c r="F4406" s="366" t="s">
        <v>43</v>
      </c>
      <c r="G4406" s="348" t="str">
        <f>"'"&amp;$C4406&amp;"'!$E$68:$Y$68"</f>
        <v>'BLD_PS'!$E$68:$Y$68</v>
      </c>
      <c r="H4406" s="381">
        <f ca="1">IF(IFERROR(INDEX(DATA_PROPERTY_MASTER!$E$5:$E$21,MATCH($C4406,DATA_PROPERTY_MASTER!$A$5:$A$21,0))="Yes",FALSE),IFERROR(INDEX(INDIRECT("'"&amp;$C4406&amp;"'!$E$68:$Y$68"),1,MATCH($D4406,INDIRECT("'"&amp;$C4406&amp;"'!$E$12:$Y$12"),0)),0),0)</f>
        <v>-23865410.004365921</v>
      </c>
      <c r="I4406" s="366" t="s">
        <v>1731</v>
      </c>
      <c r="J4406" s="348" t="str">
        <f t="shared" ca="1" si="136"/>
        <v>OK</v>
      </c>
      <c r="K4406" s="366" t="s">
        <v>1746</v>
      </c>
      <c r="L4406" s="366" t="s">
        <v>2264</v>
      </c>
      <c r="M4406" s="350" t="str">
        <f>IF($B4406="Portfolio","Portfolio",IFERROR(INDEX(DATA_ASSET_CLASSIFICATION!$B$8:$B$24,MATCH($C4406,DATA_ASSET_CLASSIFICATION!$A$8:$A$24,0)),"Review"))</f>
        <v>450 Pacific Street</v>
      </c>
      <c r="N4406" s="350" t="str">
        <f>IF($B4406="Portfolio","Portfolio",IFERROR(INDEX(DATA_ASSET_CLASSIFICATION!$U$8:$U$24,MATCH($C4406,DATA_ASSET_CLASSIFICATION!$A$8:$A$24,0)),"Review"))</f>
        <v>New Build</v>
      </c>
      <c r="O4406" s="350" t="str">
        <f>IF($B4406="Portfolio","Portfolio",IFERROR(INDEX(DATA_ASSET_CLASSIFICATION!$AB$8:$AB$13,MATCH($N4406,DATA_ASSET_CLASSIFICATION!$AA$8:$AA$13,0)),"Review"))</f>
        <v>Bucket 1 · New Build</v>
      </c>
      <c r="P4406" s="350" t="str">
        <f>IF($B4406="Portfolio","Portfolio",IFERROR(INDEX(DATA_ASSET_CLASSIFICATION!$C$8:$C$24,MATCH($C4406,DATA_ASSET_CLASSIFICATION!$A$8:$A$24,0)),"Review"))</f>
        <v>Yes</v>
      </c>
      <c r="Q4406" s="350" t="str">
        <f t="shared" ca="1" si="137"/>
        <v>OK</v>
      </c>
    </row>
    <row r="4407" spans="1:17">
      <c r="A4407" s="366" t="s">
        <v>6363</v>
      </c>
      <c r="B4407" s="366" t="s">
        <v>231</v>
      </c>
      <c r="C4407" s="348" t="str">
        <f>DATA_PROPERTY_MASTER!$A$19</f>
        <v>BLD_PS</v>
      </c>
      <c r="D4407" s="380">
        <f>'00_PORTFOLIO ROLLUP'!H$12</f>
        <v>2028</v>
      </c>
      <c r="E4407" s="366" t="s">
        <v>1741</v>
      </c>
      <c r="F4407" s="366" t="s">
        <v>1749</v>
      </c>
      <c r="G4407" s="348" t="str">
        <f>"'"&amp;$C4407&amp;"'!rows 56, 63, 68"</f>
        <v>'BLD_PS'!rows 56, 63, 68</v>
      </c>
      <c r="H4407" s="381">
        <f ca="1">IF(IFERROR(INDEX(DATA_PROPERTY_MASTER!$E$5:$E$21,MATCH($C4407,DATA_PROPERTY_MASTER!$A$5:$A$21,0))="Yes",FALSE),(IFERROR(INDEX(INDIRECT("'"&amp;$C4407&amp;"'!$E$56:$Y$56"),1,MATCH($D4407,INDIRECT("'"&amp;$C4407&amp;"'!$E$12:$Y$12"),0)),0)+MAX(IFERROR(INDEX(INDIRECT("'"&amp;$C4407&amp;"'!$E$63:$Y$63"),1,MATCH($D4407,INDIRECT("'"&amp;$C4407&amp;"'!$E$12:$Y$12"),0)),0),0))-(IFERROR(INDEX(INDIRECT("'"&amp;$C4407&amp;"'!$E$68:$Y$68"),1,MATCH($D4407,INDIRECT("'"&amp;$C4407&amp;"'!$E$12:$Y$12"),0)),0)),0)</f>
        <v>22882139.579967983</v>
      </c>
      <c r="I4407" s="366" t="s">
        <v>1750</v>
      </c>
      <c r="J4407" s="348" t="str">
        <f t="shared" ca="1" si="136"/>
        <v>OK</v>
      </c>
      <c r="K4407" s="366" t="s">
        <v>1751</v>
      </c>
      <c r="L4407" s="366" t="s">
        <v>2266</v>
      </c>
      <c r="M4407" s="350" t="str">
        <f>IF($B4407="Portfolio","Portfolio",IFERROR(INDEX(DATA_ASSET_CLASSIFICATION!$B$8:$B$24,MATCH($C4407,DATA_ASSET_CLASSIFICATION!$A$8:$A$24,0)),"Review"))</f>
        <v>450 Pacific Street</v>
      </c>
      <c r="N4407" s="350" t="str">
        <f>IF($B4407="Portfolio","Portfolio",IFERROR(INDEX(DATA_ASSET_CLASSIFICATION!$U$8:$U$24,MATCH($C4407,DATA_ASSET_CLASSIFICATION!$A$8:$A$24,0)),"Review"))</f>
        <v>New Build</v>
      </c>
      <c r="O4407" s="350" t="str">
        <f>IF($B4407="Portfolio","Portfolio",IFERROR(INDEX(DATA_ASSET_CLASSIFICATION!$AB$8:$AB$13,MATCH($N4407,DATA_ASSET_CLASSIFICATION!$AA$8:$AA$13,0)),"Review"))</f>
        <v>Bucket 1 · New Build</v>
      </c>
      <c r="P4407" s="350" t="str">
        <f>IF($B4407="Portfolio","Portfolio",IFERROR(INDEX(DATA_ASSET_CLASSIFICATION!$C$8:$C$24,MATCH($C4407,DATA_ASSET_CLASSIFICATION!$A$8:$A$24,0)),"Review"))</f>
        <v>Yes</v>
      </c>
      <c r="Q4407" s="350" t="str">
        <f t="shared" ca="1" si="137"/>
        <v>OK</v>
      </c>
    </row>
    <row r="4408" spans="1:17">
      <c r="A4408" s="366" t="s">
        <v>6364</v>
      </c>
      <c r="B4408" s="366" t="s">
        <v>231</v>
      </c>
      <c r="C4408" s="348" t="str">
        <f>DATA_PROPERTY_MASTER!$A$19</f>
        <v>BLD_PS</v>
      </c>
      <c r="D4408" s="380">
        <f>'00_PORTFOLIO ROLLUP'!I$12</f>
        <v>2029</v>
      </c>
      <c r="E4408" s="366" t="s">
        <v>1683</v>
      </c>
      <c r="F4408" s="366" t="s">
        <v>341</v>
      </c>
      <c r="G4408" s="348" t="str">
        <f>"'"&amp;$C4408&amp;"'!$E$24:$Y$24"</f>
        <v>'BLD_PS'!$E$24:$Y$24</v>
      </c>
      <c r="H4408" s="381">
        <f ca="1">IF(IFERROR(INDEX(DATA_PROPERTY_MASTER!$E$5:$E$21,MATCH($C4408,DATA_PROPERTY_MASTER!$A$5:$A$21,0))="Yes",FALSE),IFERROR(INDEX(INDIRECT("'"&amp;$C4408&amp;"'!$E$24:$Y$24"),1,MATCH($D4408,INDIRECT("'"&amp;$C4408&amp;"'!$E$12:$Y$12"),0)),0),0)</f>
        <v>1811985.5322549995</v>
      </c>
      <c r="I4408" s="366" t="s">
        <v>1685</v>
      </c>
      <c r="J4408" s="348" t="str">
        <f t="shared" ca="1" si="136"/>
        <v>OK</v>
      </c>
      <c r="K4408" s="366" t="s">
        <v>1686</v>
      </c>
      <c r="L4408" s="366" t="s">
        <v>2234</v>
      </c>
      <c r="M4408" s="350" t="str">
        <f>IF($B4408="Portfolio","Portfolio",IFERROR(INDEX(DATA_ASSET_CLASSIFICATION!$B$8:$B$24,MATCH($C4408,DATA_ASSET_CLASSIFICATION!$A$8:$A$24,0)),"Review"))</f>
        <v>450 Pacific Street</v>
      </c>
      <c r="N4408" s="350" t="str">
        <f>IF($B4408="Portfolio","Portfolio",IFERROR(INDEX(DATA_ASSET_CLASSIFICATION!$U$8:$U$24,MATCH($C4408,DATA_ASSET_CLASSIFICATION!$A$8:$A$24,0)),"Review"))</f>
        <v>New Build</v>
      </c>
      <c r="O4408" s="350" t="str">
        <f>IF($B4408="Portfolio","Portfolio",IFERROR(INDEX(DATA_ASSET_CLASSIFICATION!$AB$8:$AB$13,MATCH($N4408,DATA_ASSET_CLASSIFICATION!$AA$8:$AA$13,0)),"Review"))</f>
        <v>Bucket 1 · New Build</v>
      </c>
      <c r="P4408" s="350" t="str">
        <f>IF($B4408="Portfolio","Portfolio",IFERROR(INDEX(DATA_ASSET_CLASSIFICATION!$C$8:$C$24,MATCH($C4408,DATA_ASSET_CLASSIFICATION!$A$8:$A$24,0)),"Review"))</f>
        <v>Yes</v>
      </c>
      <c r="Q4408" s="350" t="str">
        <f t="shared" ca="1" si="137"/>
        <v>OK</v>
      </c>
    </row>
    <row r="4409" spans="1:17">
      <c r="A4409" s="366" t="s">
        <v>6365</v>
      </c>
      <c r="B4409" s="366" t="s">
        <v>231</v>
      </c>
      <c r="C4409" s="348" t="str">
        <f>DATA_PROPERTY_MASTER!$A$19</f>
        <v>BLD_PS</v>
      </c>
      <c r="D4409" s="380">
        <f>'00_PORTFOLIO ROLLUP'!I$12</f>
        <v>2029</v>
      </c>
      <c r="E4409" s="366" t="s">
        <v>1683</v>
      </c>
      <c r="F4409" s="366" t="s">
        <v>355</v>
      </c>
      <c r="G4409" s="348" t="str">
        <f>"'"&amp;$C4409&amp;"'!$E$39:$Y$39"</f>
        <v>'BLD_PS'!$E$39:$Y$39</v>
      </c>
      <c r="H4409" s="381">
        <f ca="1">IF(IFERROR(INDEX(DATA_PROPERTY_MASTER!$E$5:$E$21,MATCH($C4409,DATA_PROPERTY_MASTER!$A$5:$A$21,0))="Yes",FALSE),IFERROR(INDEX(INDIRECT("'"&amp;$C4409&amp;"'!$E$39:$Y$39"),1,MATCH($D4409,INDIRECT("'"&amp;$C4409&amp;"'!$E$12:$Y$12"),0)),0),0)</f>
        <v>802349.83309312025</v>
      </c>
      <c r="I4409" s="366" t="s">
        <v>1690</v>
      </c>
      <c r="J4409" s="348" t="str">
        <f t="shared" ca="1" si="136"/>
        <v>OK</v>
      </c>
      <c r="K4409" s="366" t="s">
        <v>1686</v>
      </c>
      <c r="L4409" s="366" t="s">
        <v>2236</v>
      </c>
      <c r="M4409" s="350" t="str">
        <f>IF($B4409="Portfolio","Portfolio",IFERROR(INDEX(DATA_ASSET_CLASSIFICATION!$B$8:$B$24,MATCH($C4409,DATA_ASSET_CLASSIFICATION!$A$8:$A$24,0)),"Review"))</f>
        <v>450 Pacific Street</v>
      </c>
      <c r="N4409" s="350" t="str">
        <f>IF($B4409="Portfolio","Portfolio",IFERROR(INDEX(DATA_ASSET_CLASSIFICATION!$U$8:$U$24,MATCH($C4409,DATA_ASSET_CLASSIFICATION!$A$8:$A$24,0)),"Review"))</f>
        <v>New Build</v>
      </c>
      <c r="O4409" s="350" t="str">
        <f>IF($B4409="Portfolio","Portfolio",IFERROR(INDEX(DATA_ASSET_CLASSIFICATION!$AB$8:$AB$13,MATCH($N4409,DATA_ASSET_CLASSIFICATION!$AA$8:$AA$13,0)),"Review"))</f>
        <v>Bucket 1 · New Build</v>
      </c>
      <c r="P4409" s="350" t="str">
        <f>IF($B4409="Portfolio","Portfolio",IFERROR(INDEX(DATA_ASSET_CLASSIFICATION!$C$8:$C$24,MATCH($C4409,DATA_ASSET_CLASSIFICATION!$A$8:$A$24,0)),"Review"))</f>
        <v>Yes</v>
      </c>
      <c r="Q4409" s="350" t="str">
        <f t="shared" ca="1" si="137"/>
        <v>OK</v>
      </c>
    </row>
    <row r="4410" spans="1:17">
      <c r="A4410" s="366" t="s">
        <v>6366</v>
      </c>
      <c r="B4410" s="366" t="s">
        <v>231</v>
      </c>
      <c r="C4410" s="348" t="str">
        <f>DATA_PROPERTY_MASTER!$A$19</f>
        <v>BLD_PS</v>
      </c>
      <c r="D4410" s="380">
        <f>'00_PORTFOLIO ROLLUP'!I$12</f>
        <v>2029</v>
      </c>
      <c r="E4410" s="366" t="s">
        <v>1683</v>
      </c>
      <c r="F4410" s="366" t="s">
        <v>19</v>
      </c>
      <c r="G4410" s="348" t="str">
        <f>"'"&amp;$C4410&amp;"'!$E$41:$Y$41"</f>
        <v>'BLD_PS'!$E$41:$Y$41</v>
      </c>
      <c r="H4410" s="381">
        <f ca="1">IF(IFERROR(INDEX(DATA_PROPERTY_MASTER!$E$5:$E$21,MATCH($C4410,DATA_PROPERTY_MASTER!$A$5:$A$21,0))="Yes",FALSE),IFERROR(INDEX(INDIRECT("'"&amp;$C4410&amp;"'!$E$41:$Y$41"),1,MATCH($D4410,INDIRECT("'"&amp;$C4410&amp;"'!$E$12:$Y$12"),0)),0),0)</f>
        <v>1009635.6991618793</v>
      </c>
      <c r="I4410" s="366" t="s">
        <v>1685</v>
      </c>
      <c r="J4410" s="348" t="str">
        <f t="shared" ca="1" si="136"/>
        <v>OK</v>
      </c>
      <c r="K4410" s="366" t="s">
        <v>1694</v>
      </c>
      <c r="L4410" s="366" t="s">
        <v>2238</v>
      </c>
      <c r="M4410" s="350" t="str">
        <f>IF($B4410="Portfolio","Portfolio",IFERROR(INDEX(DATA_ASSET_CLASSIFICATION!$B$8:$B$24,MATCH($C4410,DATA_ASSET_CLASSIFICATION!$A$8:$A$24,0)),"Review"))</f>
        <v>450 Pacific Street</v>
      </c>
      <c r="N4410" s="350" t="str">
        <f>IF($B4410="Portfolio","Portfolio",IFERROR(INDEX(DATA_ASSET_CLASSIFICATION!$U$8:$U$24,MATCH($C4410,DATA_ASSET_CLASSIFICATION!$A$8:$A$24,0)),"Review"))</f>
        <v>New Build</v>
      </c>
      <c r="O4410" s="350" t="str">
        <f>IF($B4410="Portfolio","Portfolio",IFERROR(INDEX(DATA_ASSET_CLASSIFICATION!$AB$8:$AB$13,MATCH($N4410,DATA_ASSET_CLASSIFICATION!$AA$8:$AA$13,0)),"Review"))</f>
        <v>Bucket 1 · New Build</v>
      </c>
      <c r="P4410" s="350" t="str">
        <f>IF($B4410="Portfolio","Portfolio",IFERROR(INDEX(DATA_ASSET_CLASSIFICATION!$C$8:$C$24,MATCH($C4410,DATA_ASSET_CLASSIFICATION!$A$8:$A$24,0)),"Review"))</f>
        <v>Yes</v>
      </c>
      <c r="Q4410" s="350" t="str">
        <f t="shared" ca="1" si="137"/>
        <v>OK</v>
      </c>
    </row>
    <row r="4411" spans="1:17">
      <c r="A4411" s="366" t="s">
        <v>6367</v>
      </c>
      <c r="B4411" s="366" t="s">
        <v>231</v>
      </c>
      <c r="C4411" s="348" t="str">
        <f>DATA_PROPERTY_MASTER!$A$19</f>
        <v>BLD_PS</v>
      </c>
      <c r="D4411" s="380">
        <f>'00_PORTFOLIO ROLLUP'!I$12</f>
        <v>2029</v>
      </c>
      <c r="E4411" s="366" t="s">
        <v>1683</v>
      </c>
      <c r="F4411" s="366" t="s">
        <v>1697</v>
      </c>
      <c r="G4411" s="348" t="str">
        <f>"'"&amp;$C4411&amp;"'!$E$44:$Y$44"</f>
        <v>'BLD_PS'!$E$44:$Y$44</v>
      </c>
      <c r="H4411" s="381">
        <f ca="1">IF(IFERROR(INDEX(DATA_PROPERTY_MASTER!$E$5:$E$21,MATCH($C4411,DATA_PROPERTY_MASTER!$A$5:$A$21,0))="Yes",FALSE),IFERROR(INDEX(INDIRECT("'"&amp;$C4411&amp;"'!$E$44:$Y$44"),1,MATCH($D4411,INDIRECT("'"&amp;$C4411&amp;"'!$E$12:$Y$12"),0)),0),0)</f>
        <v>14775.198984000001</v>
      </c>
      <c r="I4411" s="366" t="s">
        <v>1690</v>
      </c>
      <c r="J4411" s="348" t="str">
        <f t="shared" ca="1" si="136"/>
        <v>OK</v>
      </c>
      <c r="K4411" s="366" t="s">
        <v>1699</v>
      </c>
      <c r="L4411" s="366" t="s">
        <v>2240</v>
      </c>
      <c r="M4411" s="350" t="str">
        <f>IF($B4411="Portfolio","Portfolio",IFERROR(INDEX(DATA_ASSET_CLASSIFICATION!$B$8:$B$24,MATCH($C4411,DATA_ASSET_CLASSIFICATION!$A$8:$A$24,0)),"Review"))</f>
        <v>450 Pacific Street</v>
      </c>
      <c r="N4411" s="350" t="str">
        <f>IF($B4411="Portfolio","Portfolio",IFERROR(INDEX(DATA_ASSET_CLASSIFICATION!$U$8:$U$24,MATCH($C4411,DATA_ASSET_CLASSIFICATION!$A$8:$A$24,0)),"Review"))</f>
        <v>New Build</v>
      </c>
      <c r="O4411" s="350" t="str">
        <f>IF($B4411="Portfolio","Portfolio",IFERROR(INDEX(DATA_ASSET_CLASSIFICATION!$AB$8:$AB$13,MATCH($N4411,DATA_ASSET_CLASSIFICATION!$AA$8:$AA$13,0)),"Review"))</f>
        <v>Bucket 1 · New Build</v>
      </c>
      <c r="P4411" s="350" t="str">
        <f>IF($B4411="Portfolio","Portfolio",IFERROR(INDEX(DATA_ASSET_CLASSIFICATION!$C$8:$C$24,MATCH($C4411,DATA_ASSET_CLASSIFICATION!$A$8:$A$24,0)),"Review"))</f>
        <v>Yes</v>
      </c>
      <c r="Q4411" s="350" t="str">
        <f t="shared" ca="1" si="137"/>
        <v>OK</v>
      </c>
    </row>
    <row r="4412" spans="1:17">
      <c r="A4412" s="366" t="s">
        <v>6368</v>
      </c>
      <c r="B4412" s="366" t="s">
        <v>231</v>
      </c>
      <c r="C4412" s="348" t="str">
        <f>DATA_PROPERTY_MASTER!$A$19</f>
        <v>BLD_PS</v>
      </c>
      <c r="D4412" s="380">
        <f>'00_PORTFOLIO ROLLUP'!I$12</f>
        <v>2029</v>
      </c>
      <c r="E4412" s="366" t="s">
        <v>1683</v>
      </c>
      <c r="F4412" s="366" t="s">
        <v>21</v>
      </c>
      <c r="G4412" s="348" t="str">
        <f>"'"&amp;$C4412&amp;"'!$E$45:$Y$45"</f>
        <v>'BLD_PS'!$E$45:$Y$45</v>
      </c>
      <c r="H4412" s="381">
        <f ca="1">IF(IFERROR(INDEX(DATA_PROPERTY_MASTER!$E$5:$E$21,MATCH($C4412,DATA_PROPERTY_MASTER!$A$5:$A$21,0))="Yes",FALSE),IFERROR(INDEX(INDIRECT("'"&amp;$C4412&amp;"'!$E$45:$Y$45"),1,MATCH($D4412,INDIRECT("'"&amp;$C4412&amp;"'!$E$12:$Y$12"),0)),0),0)</f>
        <v>994860.50017787924</v>
      </c>
      <c r="I4412" s="366" t="s">
        <v>1685</v>
      </c>
      <c r="J4412" s="348" t="str">
        <f t="shared" ca="1" si="136"/>
        <v>OK</v>
      </c>
      <c r="K4412" s="366" t="s">
        <v>1694</v>
      </c>
      <c r="L4412" s="366" t="s">
        <v>2242</v>
      </c>
      <c r="M4412" s="350" t="str">
        <f>IF($B4412="Portfolio","Portfolio",IFERROR(INDEX(DATA_ASSET_CLASSIFICATION!$B$8:$B$24,MATCH($C4412,DATA_ASSET_CLASSIFICATION!$A$8:$A$24,0)),"Review"))</f>
        <v>450 Pacific Street</v>
      </c>
      <c r="N4412" s="350" t="str">
        <f>IF($B4412="Portfolio","Portfolio",IFERROR(INDEX(DATA_ASSET_CLASSIFICATION!$U$8:$U$24,MATCH($C4412,DATA_ASSET_CLASSIFICATION!$A$8:$A$24,0)),"Review"))</f>
        <v>New Build</v>
      </c>
      <c r="O4412" s="350" t="str">
        <f>IF($B4412="Portfolio","Portfolio",IFERROR(INDEX(DATA_ASSET_CLASSIFICATION!$AB$8:$AB$13,MATCH($N4412,DATA_ASSET_CLASSIFICATION!$AA$8:$AA$13,0)),"Review"))</f>
        <v>Bucket 1 · New Build</v>
      </c>
      <c r="P4412" s="350" t="str">
        <f>IF($B4412="Portfolio","Portfolio",IFERROR(INDEX(DATA_ASSET_CLASSIFICATION!$C$8:$C$24,MATCH($C4412,DATA_ASSET_CLASSIFICATION!$A$8:$A$24,0)),"Review"))</f>
        <v>Yes</v>
      </c>
      <c r="Q4412" s="350" t="str">
        <f t="shared" ca="1" si="137"/>
        <v>OK</v>
      </c>
    </row>
    <row r="4413" spans="1:17">
      <c r="A4413" s="366" t="s">
        <v>6369</v>
      </c>
      <c r="B4413" s="366" t="s">
        <v>231</v>
      </c>
      <c r="C4413" s="348" t="str">
        <f>DATA_PROPERTY_MASTER!$A$19</f>
        <v>BLD_PS</v>
      </c>
      <c r="D4413" s="380">
        <f>'00_PORTFOLIO ROLLUP'!I$12</f>
        <v>2029</v>
      </c>
      <c r="E4413" s="366" t="s">
        <v>23</v>
      </c>
      <c r="F4413" s="366" t="s">
        <v>23</v>
      </c>
      <c r="G4413" s="348" t="str">
        <f>"'"&amp;$C4413&amp;"'!$E$48:$Y$48"</f>
        <v>'BLD_PS'!$E$48:$Y$48</v>
      </c>
      <c r="H4413" s="381">
        <f ca="1">IF(IFERROR(INDEX(DATA_PROPERTY_MASTER!$E$5:$E$21,MATCH($C4413,DATA_PROPERTY_MASTER!$A$5:$A$21,0))="Yes",FALSE),IFERROR(INDEX(INDIRECT("'"&amp;$C4413&amp;"'!$E$48:$Y$48"),1,MATCH($D4413,INDIRECT("'"&amp;$C4413&amp;"'!$E$12:$Y$12"),0)),0),0)</f>
        <v>667460.46017404622</v>
      </c>
      <c r="I4413" s="366" t="s">
        <v>1690</v>
      </c>
      <c r="J4413" s="348" t="str">
        <f t="shared" ca="1" si="136"/>
        <v>OK</v>
      </c>
      <c r="K4413" s="366" t="s">
        <v>1706</v>
      </c>
      <c r="L4413" s="366" t="s">
        <v>2244</v>
      </c>
      <c r="M4413" s="350" t="str">
        <f>IF($B4413="Portfolio","Portfolio",IFERROR(INDEX(DATA_ASSET_CLASSIFICATION!$B$8:$B$24,MATCH($C4413,DATA_ASSET_CLASSIFICATION!$A$8:$A$24,0)),"Review"))</f>
        <v>450 Pacific Street</v>
      </c>
      <c r="N4413" s="350" t="str">
        <f>IF($B4413="Portfolio","Portfolio",IFERROR(INDEX(DATA_ASSET_CLASSIFICATION!$U$8:$U$24,MATCH($C4413,DATA_ASSET_CLASSIFICATION!$A$8:$A$24,0)),"Review"))</f>
        <v>New Build</v>
      </c>
      <c r="O4413" s="350" t="str">
        <f>IF($B4413="Portfolio","Portfolio",IFERROR(INDEX(DATA_ASSET_CLASSIFICATION!$AB$8:$AB$13,MATCH($N4413,DATA_ASSET_CLASSIFICATION!$AA$8:$AA$13,0)),"Review"))</f>
        <v>Bucket 1 · New Build</v>
      </c>
      <c r="P4413" s="350" t="str">
        <f>IF($B4413="Portfolio","Portfolio",IFERROR(INDEX(DATA_ASSET_CLASSIFICATION!$C$8:$C$24,MATCH($C4413,DATA_ASSET_CLASSIFICATION!$A$8:$A$24,0)),"Review"))</f>
        <v>Yes</v>
      </c>
      <c r="Q4413" s="350" t="str">
        <f t="shared" ca="1" si="137"/>
        <v>OK</v>
      </c>
    </row>
    <row r="4414" spans="1:17">
      <c r="A4414" s="366" t="s">
        <v>6370</v>
      </c>
      <c r="B4414" s="366" t="s">
        <v>231</v>
      </c>
      <c r="C4414" s="348" t="str">
        <f>DATA_PROPERTY_MASTER!$A$19</f>
        <v>BLD_PS</v>
      </c>
      <c r="D4414" s="380">
        <f>'00_PORTFOLIO ROLLUP'!I$12</f>
        <v>2029</v>
      </c>
      <c r="E4414" s="366" t="s">
        <v>1683</v>
      </c>
      <c r="F4414" s="366" t="s">
        <v>25</v>
      </c>
      <c r="G4414" s="348" t="str">
        <f>"'"&amp;$C4414&amp;"'!$E$52:$Y$52"</f>
        <v>'BLD_PS'!$E$52:$Y$52</v>
      </c>
      <c r="H4414" s="381">
        <f ca="1">IF(IFERROR(INDEX(DATA_PROPERTY_MASTER!$E$5:$E$21,MATCH($C4414,DATA_PROPERTY_MASTER!$A$5:$A$21,0))="Yes",FALSE),IFERROR(INDEX(INDIRECT("'"&amp;$C4414&amp;"'!$E$52:$Y$52"),1,MATCH($D4414,INDIRECT("'"&amp;$C4414&amp;"'!$E$12:$Y$12"),0)),0),0)</f>
        <v>342175.23898783303</v>
      </c>
      <c r="I4414" s="366" t="s">
        <v>1685</v>
      </c>
      <c r="J4414" s="348" t="str">
        <f t="shared" ca="1" si="136"/>
        <v>OK</v>
      </c>
      <c r="K4414" s="366" t="s">
        <v>1710</v>
      </c>
      <c r="L4414" s="366" t="s">
        <v>2246</v>
      </c>
      <c r="M4414" s="350" t="str">
        <f>IF($B4414="Portfolio","Portfolio",IFERROR(INDEX(DATA_ASSET_CLASSIFICATION!$B$8:$B$24,MATCH($C4414,DATA_ASSET_CLASSIFICATION!$A$8:$A$24,0)),"Review"))</f>
        <v>450 Pacific Street</v>
      </c>
      <c r="N4414" s="350" t="str">
        <f>IF($B4414="Portfolio","Portfolio",IFERROR(INDEX(DATA_ASSET_CLASSIFICATION!$U$8:$U$24,MATCH($C4414,DATA_ASSET_CLASSIFICATION!$A$8:$A$24,0)),"Review"))</f>
        <v>New Build</v>
      </c>
      <c r="O4414" s="350" t="str">
        <f>IF($B4414="Portfolio","Portfolio",IFERROR(INDEX(DATA_ASSET_CLASSIFICATION!$AB$8:$AB$13,MATCH($N4414,DATA_ASSET_CLASSIFICATION!$AA$8:$AA$13,0)),"Review"))</f>
        <v>Bucket 1 · New Build</v>
      </c>
      <c r="P4414" s="350" t="str">
        <f>IF($B4414="Portfolio","Portfolio",IFERROR(INDEX(DATA_ASSET_CLASSIFICATION!$C$8:$C$24,MATCH($C4414,DATA_ASSET_CLASSIFICATION!$A$8:$A$24,0)),"Review"))</f>
        <v>Yes</v>
      </c>
      <c r="Q4414" s="350" t="str">
        <f t="shared" ca="1" si="137"/>
        <v>OK</v>
      </c>
    </row>
    <row r="4415" spans="1:17">
      <c r="A4415" s="366" t="s">
        <v>6371</v>
      </c>
      <c r="B4415" s="366" t="s">
        <v>231</v>
      </c>
      <c r="C4415" s="348" t="str">
        <f>DATA_PROPERTY_MASTER!$A$19</f>
        <v>BLD_PS</v>
      </c>
      <c r="D4415" s="380">
        <f>'00_PORTFOLIO ROLLUP'!I$12</f>
        <v>2029</v>
      </c>
      <c r="E4415" s="366" t="s">
        <v>1683</v>
      </c>
      <c r="F4415" s="366" t="s">
        <v>27</v>
      </c>
      <c r="G4415" s="348" t="str">
        <f>"'"&amp;$C4415&amp;"'!$E$54:$Y$54"</f>
        <v>'BLD_PS'!$E$54:$Y$54</v>
      </c>
      <c r="H4415" s="381">
        <f ca="1">IF(IFERROR(INDEX(DATA_PROPERTY_MASTER!$E$5:$E$21,MATCH($C4415,DATA_PROPERTY_MASTER!$A$5:$A$21,0))="Yes",FALSE),IFERROR(INDEX(INDIRECT("'"&amp;$C4415&amp;"'!$E$54:$Y$54"),1,MATCH($D4415,INDIRECT("'"&amp;$C4415&amp;"'!$E$12:$Y$12"),0)),0),0)</f>
        <v>205305.1433926998</v>
      </c>
      <c r="I4415" s="366" t="s">
        <v>1690</v>
      </c>
      <c r="J4415" s="348" t="str">
        <f t="shared" ca="1" si="136"/>
        <v>OK</v>
      </c>
      <c r="K4415" s="366" t="s">
        <v>1714</v>
      </c>
      <c r="L4415" s="366" t="s">
        <v>2248</v>
      </c>
      <c r="M4415" s="350" t="str">
        <f>IF($B4415="Portfolio","Portfolio",IFERROR(INDEX(DATA_ASSET_CLASSIFICATION!$B$8:$B$24,MATCH($C4415,DATA_ASSET_CLASSIFICATION!$A$8:$A$24,0)),"Review"))</f>
        <v>450 Pacific Street</v>
      </c>
      <c r="N4415" s="350" t="str">
        <f>IF($B4415="Portfolio","Portfolio",IFERROR(INDEX(DATA_ASSET_CLASSIFICATION!$U$8:$U$24,MATCH($C4415,DATA_ASSET_CLASSIFICATION!$A$8:$A$24,0)),"Review"))</f>
        <v>New Build</v>
      </c>
      <c r="O4415" s="350" t="str">
        <f>IF($B4415="Portfolio","Portfolio",IFERROR(INDEX(DATA_ASSET_CLASSIFICATION!$AB$8:$AB$13,MATCH($N4415,DATA_ASSET_CLASSIFICATION!$AA$8:$AA$13,0)),"Review"))</f>
        <v>Bucket 1 · New Build</v>
      </c>
      <c r="P4415" s="350" t="str">
        <f>IF($B4415="Portfolio","Portfolio",IFERROR(INDEX(DATA_ASSET_CLASSIFICATION!$C$8:$C$24,MATCH($C4415,DATA_ASSET_CLASSIFICATION!$A$8:$A$24,0)),"Review"))</f>
        <v>Yes</v>
      </c>
      <c r="Q4415" s="350" t="str">
        <f t="shared" ca="1" si="137"/>
        <v>OK</v>
      </c>
    </row>
    <row r="4416" spans="1:17">
      <c r="A4416" s="366" t="s">
        <v>6372</v>
      </c>
      <c r="B4416" s="366" t="s">
        <v>231</v>
      </c>
      <c r="C4416" s="348" t="str">
        <f>DATA_PROPERTY_MASTER!$A$19</f>
        <v>BLD_PS</v>
      </c>
      <c r="D4416" s="380">
        <f>'00_PORTFOLIO ROLLUP'!I$12</f>
        <v>2029</v>
      </c>
      <c r="E4416" s="366" t="s">
        <v>1683</v>
      </c>
      <c r="F4416" s="366" t="s">
        <v>29</v>
      </c>
      <c r="G4416" s="348" t="str">
        <f>"'"&amp;$C4416&amp;"'!$E$56:$Y$56"</f>
        <v>'BLD_PS'!$E$56:$Y$56</v>
      </c>
      <c r="H4416" s="381">
        <f ca="1">IF(IFERROR(INDEX(DATA_PROPERTY_MASTER!$E$5:$E$21,MATCH($C4416,DATA_PROPERTY_MASTER!$A$5:$A$21,0))="Yes",FALSE),IFERROR(INDEX(INDIRECT("'"&amp;$C4416&amp;"'!$E$56:$Y$56"),1,MATCH($D4416,INDIRECT("'"&amp;$C4416&amp;"'!$E$12:$Y$12"),0)),0),0)</f>
        <v>136870.09559513323</v>
      </c>
      <c r="I4416" s="366" t="s">
        <v>1685</v>
      </c>
      <c r="J4416" s="348" t="str">
        <f t="shared" ca="1" si="136"/>
        <v>OK</v>
      </c>
      <c r="K4416" s="366" t="s">
        <v>1718</v>
      </c>
      <c r="L4416" s="366" t="s">
        <v>2250</v>
      </c>
      <c r="M4416" s="350" t="str">
        <f>IF($B4416="Portfolio","Portfolio",IFERROR(INDEX(DATA_ASSET_CLASSIFICATION!$B$8:$B$24,MATCH($C4416,DATA_ASSET_CLASSIFICATION!$A$8:$A$24,0)),"Review"))</f>
        <v>450 Pacific Street</v>
      </c>
      <c r="N4416" s="350" t="str">
        <f>IF($B4416="Portfolio","Portfolio",IFERROR(INDEX(DATA_ASSET_CLASSIFICATION!$U$8:$U$24,MATCH($C4416,DATA_ASSET_CLASSIFICATION!$A$8:$A$24,0)),"Review"))</f>
        <v>New Build</v>
      </c>
      <c r="O4416" s="350" t="str">
        <f>IF($B4416="Portfolio","Portfolio",IFERROR(INDEX(DATA_ASSET_CLASSIFICATION!$AB$8:$AB$13,MATCH($N4416,DATA_ASSET_CLASSIFICATION!$AA$8:$AA$13,0)),"Review"))</f>
        <v>Bucket 1 · New Build</v>
      </c>
      <c r="P4416" s="350" t="str">
        <f>IF($B4416="Portfolio","Portfolio",IFERROR(INDEX(DATA_ASSET_CLASSIFICATION!$C$8:$C$24,MATCH($C4416,DATA_ASSET_CLASSIFICATION!$A$8:$A$24,0)),"Review"))</f>
        <v>Yes</v>
      </c>
      <c r="Q4416" s="350" t="str">
        <f t="shared" ca="1" si="137"/>
        <v>OK</v>
      </c>
    </row>
    <row r="4417" spans="1:17">
      <c r="A4417" s="366" t="s">
        <v>6373</v>
      </c>
      <c r="B4417" s="366" t="s">
        <v>231</v>
      </c>
      <c r="C4417" s="348" t="str">
        <f>DATA_PROPERTY_MASTER!$A$19</f>
        <v>BLD_PS</v>
      </c>
      <c r="D4417" s="380">
        <f>'00_PORTFOLIO ROLLUP'!I$12</f>
        <v>2029</v>
      </c>
      <c r="E4417" s="366" t="s">
        <v>1721</v>
      </c>
      <c r="F4417" s="366" t="s">
        <v>31</v>
      </c>
      <c r="G4417" s="348" t="str">
        <f>"'"&amp;$C4417&amp;"'!$E$61:$Y$61"</f>
        <v>'BLD_PS'!$E$61:$Y$61</v>
      </c>
      <c r="H4417" s="381">
        <f ca="1">IF(IFERROR(INDEX(DATA_PROPERTY_MASTER!$E$5:$E$21,MATCH($C4417,DATA_PROPERTY_MASTER!$A$5:$A$21,0))="Yes",FALSE),IFERROR(INDEX(INDIRECT("'"&amp;$C4417&amp;"'!$E$61:$Y$61"),1,MATCH($D4417,INDIRECT("'"&amp;$C4417&amp;"'!$E$12:$Y$12"),0)),0),0)</f>
        <v>0</v>
      </c>
      <c r="I4417" s="366" t="s">
        <v>1690</v>
      </c>
      <c r="J4417" s="348" t="str">
        <f t="shared" ca="1" si="136"/>
        <v>OK</v>
      </c>
      <c r="K4417" s="366" t="s">
        <v>1723</v>
      </c>
      <c r="L4417" s="366" t="s">
        <v>2252</v>
      </c>
      <c r="M4417" s="350" t="str">
        <f>IF($B4417="Portfolio","Portfolio",IFERROR(INDEX(DATA_ASSET_CLASSIFICATION!$B$8:$B$24,MATCH($C4417,DATA_ASSET_CLASSIFICATION!$A$8:$A$24,0)),"Review"))</f>
        <v>450 Pacific Street</v>
      </c>
      <c r="N4417" s="350" t="str">
        <f>IF($B4417="Portfolio","Portfolio",IFERROR(INDEX(DATA_ASSET_CLASSIFICATION!$U$8:$U$24,MATCH($C4417,DATA_ASSET_CLASSIFICATION!$A$8:$A$24,0)),"Review"))</f>
        <v>New Build</v>
      </c>
      <c r="O4417" s="350" t="str">
        <f>IF($B4417="Portfolio","Portfolio",IFERROR(INDEX(DATA_ASSET_CLASSIFICATION!$AB$8:$AB$13,MATCH($N4417,DATA_ASSET_CLASSIFICATION!$AA$8:$AA$13,0)),"Review"))</f>
        <v>Bucket 1 · New Build</v>
      </c>
      <c r="P4417" s="350" t="str">
        <f>IF($B4417="Portfolio","Portfolio",IFERROR(INDEX(DATA_ASSET_CLASSIFICATION!$C$8:$C$24,MATCH($C4417,DATA_ASSET_CLASSIFICATION!$A$8:$A$24,0)),"Review"))</f>
        <v>Yes</v>
      </c>
      <c r="Q4417" s="350" t="str">
        <f t="shared" ca="1" si="137"/>
        <v>OK</v>
      </c>
    </row>
    <row r="4418" spans="1:17">
      <c r="A4418" s="366" t="s">
        <v>6374</v>
      </c>
      <c r="B4418" s="366" t="s">
        <v>231</v>
      </c>
      <c r="C4418" s="348" t="str">
        <f>DATA_PROPERTY_MASTER!$A$19</f>
        <v>BLD_PS</v>
      </c>
      <c r="D4418" s="380">
        <f>'00_PORTFOLIO ROLLUP'!I$12</f>
        <v>2029</v>
      </c>
      <c r="E4418" s="366" t="s">
        <v>1721</v>
      </c>
      <c r="F4418" s="366" t="s">
        <v>33</v>
      </c>
      <c r="G4418" s="348" t="str">
        <f>"'"&amp;$C4418&amp;"'!$E$62:$Y$62"</f>
        <v>'BLD_PS'!$E$62:$Y$62</v>
      </c>
      <c r="H4418" s="381">
        <f ca="1">IF(IFERROR(INDEX(DATA_PROPERTY_MASTER!$E$5:$E$21,MATCH($C4418,DATA_PROPERTY_MASTER!$A$5:$A$21,0))="Yes",FALSE),IFERROR(INDEX(INDIRECT("'"&amp;$C4418&amp;"'!$E$62:$Y$62"),1,MATCH($D4418,INDIRECT("'"&amp;$C4418&amp;"'!$E$12:$Y$12"),0)),0),0)</f>
        <v>0</v>
      </c>
      <c r="I4418" s="366" t="s">
        <v>1685</v>
      </c>
      <c r="J4418" s="348" t="str">
        <f t="shared" ca="1" si="136"/>
        <v>OK</v>
      </c>
      <c r="K4418" s="366" t="s">
        <v>1727</v>
      </c>
      <c r="L4418" s="366" t="s">
        <v>2254</v>
      </c>
      <c r="M4418" s="350" t="str">
        <f>IF($B4418="Portfolio","Portfolio",IFERROR(INDEX(DATA_ASSET_CLASSIFICATION!$B$8:$B$24,MATCH($C4418,DATA_ASSET_CLASSIFICATION!$A$8:$A$24,0)),"Review"))</f>
        <v>450 Pacific Street</v>
      </c>
      <c r="N4418" s="350" t="str">
        <f>IF($B4418="Portfolio","Portfolio",IFERROR(INDEX(DATA_ASSET_CLASSIFICATION!$U$8:$U$24,MATCH($C4418,DATA_ASSET_CLASSIFICATION!$A$8:$A$24,0)),"Review"))</f>
        <v>New Build</v>
      </c>
      <c r="O4418" s="350" t="str">
        <f>IF($B4418="Portfolio","Portfolio",IFERROR(INDEX(DATA_ASSET_CLASSIFICATION!$AB$8:$AB$13,MATCH($N4418,DATA_ASSET_CLASSIFICATION!$AA$8:$AA$13,0)),"Review"))</f>
        <v>Bucket 1 · New Build</v>
      </c>
      <c r="P4418" s="350" t="str">
        <f>IF($B4418="Portfolio","Portfolio",IFERROR(INDEX(DATA_ASSET_CLASSIFICATION!$C$8:$C$24,MATCH($C4418,DATA_ASSET_CLASSIFICATION!$A$8:$A$24,0)),"Review"))</f>
        <v>Yes</v>
      </c>
      <c r="Q4418" s="350" t="str">
        <f t="shared" ca="1" si="137"/>
        <v>OK</v>
      </c>
    </row>
    <row r="4419" spans="1:17">
      <c r="A4419" s="366" t="s">
        <v>6375</v>
      </c>
      <c r="B4419" s="366" t="s">
        <v>231</v>
      </c>
      <c r="C4419" s="348" t="str">
        <f>DATA_PROPERTY_MASTER!$A$19</f>
        <v>BLD_PS</v>
      </c>
      <c r="D4419" s="380">
        <f>'00_PORTFOLIO ROLLUP'!I$12</f>
        <v>2029</v>
      </c>
      <c r="E4419" s="366" t="s">
        <v>1721</v>
      </c>
      <c r="F4419" s="366" t="s">
        <v>35</v>
      </c>
      <c r="G4419" s="348" t="str">
        <f>"'"&amp;$C4419&amp;"'!$E$63:$Y$63"</f>
        <v>'BLD_PS'!$E$63:$Y$63</v>
      </c>
      <c r="H4419" s="381">
        <f ca="1">IF(IFERROR(INDEX(DATA_PROPERTY_MASTER!$E$5:$E$21,MATCH($C4419,DATA_PROPERTY_MASTER!$A$5:$A$21,0))="Yes",FALSE),IFERROR(INDEX(INDIRECT("'"&amp;$C4419&amp;"'!$E$63:$Y$63"),1,MATCH($D4419,INDIRECT("'"&amp;$C4419&amp;"'!$E$12:$Y$12"),0)),0),0)</f>
        <v>0</v>
      </c>
      <c r="I4419" s="366" t="s">
        <v>1731</v>
      </c>
      <c r="J4419" s="348" t="str">
        <f t="shared" ca="1" si="136"/>
        <v>OK</v>
      </c>
      <c r="K4419" s="366" t="s">
        <v>1732</v>
      </c>
      <c r="L4419" s="366" t="s">
        <v>2256</v>
      </c>
      <c r="M4419" s="350" t="str">
        <f>IF($B4419="Portfolio","Portfolio",IFERROR(INDEX(DATA_ASSET_CLASSIFICATION!$B$8:$B$24,MATCH($C4419,DATA_ASSET_CLASSIFICATION!$A$8:$A$24,0)),"Review"))</f>
        <v>450 Pacific Street</v>
      </c>
      <c r="N4419" s="350" t="str">
        <f>IF($B4419="Portfolio","Portfolio",IFERROR(INDEX(DATA_ASSET_CLASSIFICATION!$U$8:$U$24,MATCH($C4419,DATA_ASSET_CLASSIFICATION!$A$8:$A$24,0)),"Review"))</f>
        <v>New Build</v>
      </c>
      <c r="O4419" s="350" t="str">
        <f>IF($B4419="Portfolio","Portfolio",IFERROR(INDEX(DATA_ASSET_CLASSIFICATION!$AB$8:$AB$13,MATCH($N4419,DATA_ASSET_CLASSIFICATION!$AA$8:$AA$13,0)),"Review"))</f>
        <v>Bucket 1 · New Build</v>
      </c>
      <c r="P4419" s="350" t="str">
        <f>IF($B4419="Portfolio","Portfolio",IFERROR(INDEX(DATA_ASSET_CLASSIFICATION!$C$8:$C$24,MATCH($C4419,DATA_ASSET_CLASSIFICATION!$A$8:$A$24,0)),"Review"))</f>
        <v>Yes</v>
      </c>
      <c r="Q4419" s="350" t="str">
        <f t="shared" ca="1" si="137"/>
        <v>OK</v>
      </c>
    </row>
    <row r="4420" spans="1:17">
      <c r="A4420" s="366" t="s">
        <v>6376</v>
      </c>
      <c r="B4420" s="366" t="s">
        <v>231</v>
      </c>
      <c r="C4420" s="348" t="str">
        <f>DATA_PROPERTY_MASTER!$A$19</f>
        <v>BLD_PS</v>
      </c>
      <c r="D4420" s="380">
        <f>'00_PORTFOLIO ROLLUP'!I$12</f>
        <v>2029</v>
      </c>
      <c r="E4420" s="366" t="s">
        <v>1721</v>
      </c>
      <c r="F4420" s="366" t="s">
        <v>37</v>
      </c>
      <c r="G4420" s="348" t="str">
        <f>"'"&amp;$C4420&amp;"'!$E$63:$Y$63"</f>
        <v>'BLD_PS'!$E$63:$Y$63</v>
      </c>
      <c r="H4420" s="381">
        <f ca="1">IF(IFERROR(INDEX(DATA_PROPERTY_MASTER!$E$5:$E$21,MATCH($C4420,DATA_PROPERTY_MASTER!$A$5:$A$21,0))="Yes",FALSE),MAX(IFERROR(INDEX(INDIRECT("'"&amp;$C4420&amp;"'!$E$63:$Y$63"),1,MATCH($D4420,INDIRECT("'"&amp;$C4420&amp;"'!$E$12:$Y$12"),0)),0),0),0)</f>
        <v>0</v>
      </c>
      <c r="I4420" s="366" t="s">
        <v>1685</v>
      </c>
      <c r="J4420" s="348" t="str">
        <f t="shared" ca="1" si="136"/>
        <v>OK</v>
      </c>
      <c r="K4420" s="366" t="s">
        <v>1735</v>
      </c>
      <c r="L4420" s="366" t="s">
        <v>2258</v>
      </c>
      <c r="M4420" s="350" t="str">
        <f>IF($B4420="Portfolio","Portfolio",IFERROR(INDEX(DATA_ASSET_CLASSIFICATION!$B$8:$B$24,MATCH($C4420,DATA_ASSET_CLASSIFICATION!$A$8:$A$24,0)),"Review"))</f>
        <v>450 Pacific Street</v>
      </c>
      <c r="N4420" s="350" t="str">
        <f>IF($B4420="Portfolio","Portfolio",IFERROR(INDEX(DATA_ASSET_CLASSIFICATION!$U$8:$U$24,MATCH($C4420,DATA_ASSET_CLASSIFICATION!$A$8:$A$24,0)),"Review"))</f>
        <v>New Build</v>
      </c>
      <c r="O4420" s="350" t="str">
        <f>IF($B4420="Portfolio","Portfolio",IFERROR(INDEX(DATA_ASSET_CLASSIFICATION!$AB$8:$AB$13,MATCH($N4420,DATA_ASSET_CLASSIFICATION!$AA$8:$AA$13,0)),"Review"))</f>
        <v>Bucket 1 · New Build</v>
      </c>
      <c r="P4420" s="350" t="str">
        <f>IF($B4420="Portfolio","Portfolio",IFERROR(INDEX(DATA_ASSET_CLASSIFICATION!$C$8:$C$24,MATCH($C4420,DATA_ASSET_CLASSIFICATION!$A$8:$A$24,0)),"Review"))</f>
        <v>Yes</v>
      </c>
      <c r="Q4420" s="350" t="str">
        <f t="shared" ca="1" si="137"/>
        <v>OK</v>
      </c>
    </row>
    <row r="4421" spans="1:17">
      <c r="A4421" s="366" t="s">
        <v>6377</v>
      </c>
      <c r="B4421" s="366" t="s">
        <v>231</v>
      </c>
      <c r="C4421" s="348" t="str">
        <f>DATA_PROPERTY_MASTER!$A$19</f>
        <v>BLD_PS</v>
      </c>
      <c r="D4421" s="380">
        <f>'00_PORTFOLIO ROLLUP'!I$12</f>
        <v>2029</v>
      </c>
      <c r="E4421" s="366" t="s">
        <v>1721</v>
      </c>
      <c r="F4421" s="366" t="s">
        <v>39</v>
      </c>
      <c r="G4421" s="348" t="str">
        <f>"'"&amp;$C4421&amp;"'!$E$63:$Y$63"</f>
        <v>'BLD_PS'!$E$63:$Y$63</v>
      </c>
      <c r="H4421" s="381">
        <f ca="1">IF(IFERROR(INDEX(DATA_PROPERTY_MASTER!$E$5:$E$21,MATCH($C4421,DATA_PROPERTY_MASTER!$A$5:$A$21,0))="Yes",FALSE),MAX(-IFERROR(INDEX(INDIRECT("'"&amp;$C4421&amp;"'!$E$63:$Y$63"),1,MATCH($D4421,INDIRECT("'"&amp;$C4421&amp;"'!$E$12:$Y$12"),0)),0),0),0)</f>
        <v>0</v>
      </c>
      <c r="I4421" s="366" t="s">
        <v>1690</v>
      </c>
      <c r="J4421" s="348" t="str">
        <f t="shared" ref="J4421:J4484" ca="1" si="138">IF($F4421="Residual Funding Gap",IF($H4421&gt;0,"Funding Gap","OK"),IF(AND($F4421="Net Refinance Position",$H4421&lt;0),"Negative net refi position","OK"))</f>
        <v>OK</v>
      </c>
      <c r="K4421" s="366" t="s">
        <v>1738</v>
      </c>
      <c r="L4421" s="366" t="s">
        <v>2260</v>
      </c>
      <c r="M4421" s="350" t="str">
        <f>IF($B4421="Portfolio","Portfolio",IFERROR(INDEX(DATA_ASSET_CLASSIFICATION!$B$8:$B$24,MATCH($C4421,DATA_ASSET_CLASSIFICATION!$A$8:$A$24,0)),"Review"))</f>
        <v>450 Pacific Street</v>
      </c>
      <c r="N4421" s="350" t="str">
        <f>IF($B4421="Portfolio","Portfolio",IFERROR(INDEX(DATA_ASSET_CLASSIFICATION!$U$8:$U$24,MATCH($C4421,DATA_ASSET_CLASSIFICATION!$A$8:$A$24,0)),"Review"))</f>
        <v>New Build</v>
      </c>
      <c r="O4421" s="350" t="str">
        <f>IF($B4421="Portfolio","Portfolio",IFERROR(INDEX(DATA_ASSET_CLASSIFICATION!$AB$8:$AB$13,MATCH($N4421,DATA_ASSET_CLASSIFICATION!$AA$8:$AA$13,0)),"Review"))</f>
        <v>Bucket 1 · New Build</v>
      </c>
      <c r="P4421" s="350" t="str">
        <f>IF($B4421="Portfolio","Portfolio",IFERROR(INDEX(DATA_ASSET_CLASSIFICATION!$C$8:$C$24,MATCH($C4421,DATA_ASSET_CLASSIFICATION!$A$8:$A$24,0)),"Review"))</f>
        <v>Yes</v>
      </c>
      <c r="Q4421" s="350" t="str">
        <f t="shared" ref="Q4421:Q4484" ca="1" si="139">IF(AND($B4421="Property",$F4421="Residual Funding Gap",$H4421&gt;0),"Property Funding Gap",IF($J4421&lt;&gt;"OK",$J4421,"OK"))</f>
        <v>OK</v>
      </c>
    </row>
    <row r="4422" spans="1:17">
      <c r="A4422" s="366" t="s">
        <v>6378</v>
      </c>
      <c r="B4422" s="366" t="s">
        <v>231</v>
      </c>
      <c r="C4422" s="348" t="str">
        <f>DATA_PROPERTY_MASTER!$A$19</f>
        <v>BLD_PS</v>
      </c>
      <c r="D4422" s="380">
        <f>'00_PORTFOLIO ROLLUP'!I$12</f>
        <v>2029</v>
      </c>
      <c r="E4422" s="366" t="s">
        <v>1741</v>
      </c>
      <c r="F4422" s="366" t="s">
        <v>41</v>
      </c>
      <c r="G4422" s="348" t="str">
        <f>"'"&amp;$C4422&amp;"'!rows 56 + positive row 63"</f>
        <v>'BLD_PS'!rows 56 + positive row 63</v>
      </c>
      <c r="H4422" s="381">
        <f ca="1">IF(IFERROR(INDEX(DATA_PROPERTY_MASTER!$E$5:$E$21,MATCH($C4422,DATA_PROPERTY_MASTER!$A$5:$A$21,0))="Yes",FALSE),IFERROR(INDEX(INDIRECT("'"&amp;$C4422&amp;"'!$E$56:$Y$56"),1,MATCH($D4422,INDIRECT("'"&amp;$C4422&amp;"'!$E$12:$Y$12"),0)),0)+MAX(IFERROR(INDEX(INDIRECT("'"&amp;$C4422&amp;"'!$E$63:$Y$63"),1,MATCH($D4422,INDIRECT("'"&amp;$C4422&amp;"'!$E$12:$Y$12"),0)),0),0),0)</f>
        <v>136870.09559513323</v>
      </c>
      <c r="I4422" s="366" t="s">
        <v>1685</v>
      </c>
      <c r="J4422" s="348" t="str">
        <f t="shared" ca="1" si="138"/>
        <v>OK</v>
      </c>
      <c r="K4422" s="366" t="s">
        <v>1742</v>
      </c>
      <c r="L4422" s="366" t="s">
        <v>2262</v>
      </c>
      <c r="M4422" s="350" t="str">
        <f>IF($B4422="Portfolio","Portfolio",IFERROR(INDEX(DATA_ASSET_CLASSIFICATION!$B$8:$B$24,MATCH($C4422,DATA_ASSET_CLASSIFICATION!$A$8:$A$24,0)),"Review"))</f>
        <v>450 Pacific Street</v>
      </c>
      <c r="N4422" s="350" t="str">
        <f>IF($B4422="Portfolio","Portfolio",IFERROR(INDEX(DATA_ASSET_CLASSIFICATION!$U$8:$U$24,MATCH($C4422,DATA_ASSET_CLASSIFICATION!$A$8:$A$24,0)),"Review"))</f>
        <v>New Build</v>
      </c>
      <c r="O4422" s="350" t="str">
        <f>IF($B4422="Portfolio","Portfolio",IFERROR(INDEX(DATA_ASSET_CLASSIFICATION!$AB$8:$AB$13,MATCH($N4422,DATA_ASSET_CLASSIFICATION!$AA$8:$AA$13,0)),"Review"))</f>
        <v>Bucket 1 · New Build</v>
      </c>
      <c r="P4422" s="350" t="str">
        <f>IF($B4422="Portfolio","Portfolio",IFERROR(INDEX(DATA_ASSET_CLASSIFICATION!$C$8:$C$24,MATCH($C4422,DATA_ASSET_CLASSIFICATION!$A$8:$A$24,0)),"Review"))</f>
        <v>Yes</v>
      </c>
      <c r="Q4422" s="350" t="str">
        <f t="shared" ca="1" si="139"/>
        <v>OK</v>
      </c>
    </row>
    <row r="4423" spans="1:17">
      <c r="A4423" s="366" t="s">
        <v>6379</v>
      </c>
      <c r="B4423" s="366" t="s">
        <v>231</v>
      </c>
      <c r="C4423" s="348" t="str">
        <f>DATA_PROPERTY_MASTER!$A$19</f>
        <v>BLD_PS</v>
      </c>
      <c r="D4423" s="380">
        <f>'00_PORTFOLIO ROLLUP'!I$12</f>
        <v>2029</v>
      </c>
      <c r="E4423" s="366" t="s">
        <v>1741</v>
      </c>
      <c r="F4423" s="366" t="s">
        <v>43</v>
      </c>
      <c r="G4423" s="348" t="str">
        <f>"'"&amp;$C4423&amp;"'!$E$68:$Y$68"</f>
        <v>'BLD_PS'!$E$68:$Y$68</v>
      </c>
      <c r="H4423" s="381">
        <f ca="1">IF(IFERROR(INDEX(DATA_PROPERTY_MASTER!$E$5:$E$21,MATCH($C4423,DATA_PROPERTY_MASTER!$A$5:$A$21,0))="Yes",FALSE),IFERROR(INDEX(INDIRECT("'"&amp;$C4423&amp;"'!$E$68:$Y$68"),1,MATCH($D4423,INDIRECT("'"&amp;$C4423&amp;"'!$E$12:$Y$12"),0)),0),0)</f>
        <v>136870.09559513323</v>
      </c>
      <c r="I4423" s="366" t="s">
        <v>1731</v>
      </c>
      <c r="J4423" s="348" t="str">
        <f t="shared" ca="1" si="138"/>
        <v>OK</v>
      </c>
      <c r="K4423" s="366" t="s">
        <v>1746</v>
      </c>
      <c r="L4423" s="366" t="s">
        <v>2264</v>
      </c>
      <c r="M4423" s="350" t="str">
        <f>IF($B4423="Portfolio","Portfolio",IFERROR(INDEX(DATA_ASSET_CLASSIFICATION!$B$8:$B$24,MATCH($C4423,DATA_ASSET_CLASSIFICATION!$A$8:$A$24,0)),"Review"))</f>
        <v>450 Pacific Street</v>
      </c>
      <c r="N4423" s="350" t="str">
        <f>IF($B4423="Portfolio","Portfolio",IFERROR(INDEX(DATA_ASSET_CLASSIFICATION!$U$8:$U$24,MATCH($C4423,DATA_ASSET_CLASSIFICATION!$A$8:$A$24,0)),"Review"))</f>
        <v>New Build</v>
      </c>
      <c r="O4423" s="350" t="str">
        <f>IF($B4423="Portfolio","Portfolio",IFERROR(INDEX(DATA_ASSET_CLASSIFICATION!$AB$8:$AB$13,MATCH($N4423,DATA_ASSET_CLASSIFICATION!$AA$8:$AA$13,0)),"Review"))</f>
        <v>Bucket 1 · New Build</v>
      </c>
      <c r="P4423" s="350" t="str">
        <f>IF($B4423="Portfolio","Portfolio",IFERROR(INDEX(DATA_ASSET_CLASSIFICATION!$C$8:$C$24,MATCH($C4423,DATA_ASSET_CLASSIFICATION!$A$8:$A$24,0)),"Review"))</f>
        <v>Yes</v>
      </c>
      <c r="Q4423" s="350" t="str">
        <f t="shared" ca="1" si="139"/>
        <v>OK</v>
      </c>
    </row>
    <row r="4424" spans="1:17">
      <c r="A4424" s="366" t="s">
        <v>6380</v>
      </c>
      <c r="B4424" s="366" t="s">
        <v>231</v>
      </c>
      <c r="C4424" s="348" t="str">
        <f>DATA_PROPERTY_MASTER!$A$19</f>
        <v>BLD_PS</v>
      </c>
      <c r="D4424" s="380">
        <f>'00_PORTFOLIO ROLLUP'!I$12</f>
        <v>2029</v>
      </c>
      <c r="E4424" s="366" t="s">
        <v>1741</v>
      </c>
      <c r="F4424" s="366" t="s">
        <v>1749</v>
      </c>
      <c r="G4424" s="348" t="str">
        <f>"'"&amp;$C4424&amp;"'!rows 56, 63, 68"</f>
        <v>'BLD_PS'!rows 56, 63, 68</v>
      </c>
      <c r="H4424" s="381">
        <f ca="1">IF(IFERROR(INDEX(DATA_PROPERTY_MASTER!$E$5:$E$21,MATCH($C4424,DATA_PROPERTY_MASTER!$A$5:$A$21,0))="Yes",FALSE),(IFERROR(INDEX(INDIRECT("'"&amp;$C4424&amp;"'!$E$56:$Y$56"),1,MATCH($D4424,INDIRECT("'"&amp;$C4424&amp;"'!$E$12:$Y$12"),0)),0)+MAX(IFERROR(INDEX(INDIRECT("'"&amp;$C4424&amp;"'!$E$63:$Y$63"),1,MATCH($D4424,INDIRECT("'"&amp;$C4424&amp;"'!$E$12:$Y$12"),0)),0),0))-(IFERROR(INDEX(INDIRECT("'"&amp;$C4424&amp;"'!$E$68:$Y$68"),1,MATCH($D4424,INDIRECT("'"&amp;$C4424&amp;"'!$E$12:$Y$12"),0)),0)),0)</f>
        <v>0</v>
      </c>
      <c r="I4424" s="366" t="s">
        <v>1750</v>
      </c>
      <c r="J4424" s="348" t="str">
        <f t="shared" ca="1" si="138"/>
        <v>OK</v>
      </c>
      <c r="K4424" s="366" t="s">
        <v>1751</v>
      </c>
      <c r="L4424" s="366" t="s">
        <v>2266</v>
      </c>
      <c r="M4424" s="350" t="str">
        <f>IF($B4424="Portfolio","Portfolio",IFERROR(INDEX(DATA_ASSET_CLASSIFICATION!$B$8:$B$24,MATCH($C4424,DATA_ASSET_CLASSIFICATION!$A$8:$A$24,0)),"Review"))</f>
        <v>450 Pacific Street</v>
      </c>
      <c r="N4424" s="350" t="str">
        <f>IF($B4424="Portfolio","Portfolio",IFERROR(INDEX(DATA_ASSET_CLASSIFICATION!$U$8:$U$24,MATCH($C4424,DATA_ASSET_CLASSIFICATION!$A$8:$A$24,0)),"Review"))</f>
        <v>New Build</v>
      </c>
      <c r="O4424" s="350" t="str">
        <f>IF($B4424="Portfolio","Portfolio",IFERROR(INDEX(DATA_ASSET_CLASSIFICATION!$AB$8:$AB$13,MATCH($N4424,DATA_ASSET_CLASSIFICATION!$AA$8:$AA$13,0)),"Review"))</f>
        <v>Bucket 1 · New Build</v>
      </c>
      <c r="P4424" s="350" t="str">
        <f>IF($B4424="Portfolio","Portfolio",IFERROR(INDEX(DATA_ASSET_CLASSIFICATION!$C$8:$C$24,MATCH($C4424,DATA_ASSET_CLASSIFICATION!$A$8:$A$24,0)),"Review"))</f>
        <v>Yes</v>
      </c>
      <c r="Q4424" s="350" t="str">
        <f t="shared" ca="1" si="139"/>
        <v>OK</v>
      </c>
    </row>
    <row r="4425" spans="1:17">
      <c r="A4425" s="366" t="s">
        <v>6381</v>
      </c>
      <c r="B4425" s="366" t="s">
        <v>231</v>
      </c>
      <c r="C4425" s="348" t="str">
        <f>DATA_PROPERTY_MASTER!$A$19</f>
        <v>BLD_PS</v>
      </c>
      <c r="D4425" s="380">
        <f>'00_PORTFOLIO ROLLUP'!J$12</f>
        <v>2030</v>
      </c>
      <c r="E4425" s="366" t="s">
        <v>1683</v>
      </c>
      <c r="F4425" s="366" t="s">
        <v>341</v>
      </c>
      <c r="G4425" s="348" t="str">
        <f>"'"&amp;$C4425&amp;"'!$E$24:$Y$24"</f>
        <v>'BLD_PS'!$E$24:$Y$24</v>
      </c>
      <c r="H4425" s="381">
        <f ca="1">IF(IFERROR(INDEX(DATA_PROPERTY_MASTER!$E$5:$E$21,MATCH($C4425,DATA_PROPERTY_MASTER!$A$5:$A$21,0))="Yes",FALSE),IFERROR(INDEX(INDIRECT("'"&amp;$C4425&amp;"'!$E$24:$Y$24"),1,MATCH($D4425,INDIRECT("'"&amp;$C4425&amp;"'!$E$12:$Y$12"),0)),0),0)</f>
        <v>1848225.2429000996</v>
      </c>
      <c r="I4425" s="366" t="s">
        <v>1685</v>
      </c>
      <c r="J4425" s="348" t="str">
        <f t="shared" ca="1" si="138"/>
        <v>OK</v>
      </c>
      <c r="K4425" s="366" t="s">
        <v>1686</v>
      </c>
      <c r="L4425" s="366" t="s">
        <v>2234</v>
      </c>
      <c r="M4425" s="350" t="str">
        <f>IF($B4425="Portfolio","Portfolio",IFERROR(INDEX(DATA_ASSET_CLASSIFICATION!$B$8:$B$24,MATCH($C4425,DATA_ASSET_CLASSIFICATION!$A$8:$A$24,0)),"Review"))</f>
        <v>450 Pacific Street</v>
      </c>
      <c r="N4425" s="350" t="str">
        <f>IF($B4425="Portfolio","Portfolio",IFERROR(INDEX(DATA_ASSET_CLASSIFICATION!$U$8:$U$24,MATCH($C4425,DATA_ASSET_CLASSIFICATION!$A$8:$A$24,0)),"Review"))</f>
        <v>New Build</v>
      </c>
      <c r="O4425" s="350" t="str">
        <f>IF($B4425="Portfolio","Portfolio",IFERROR(INDEX(DATA_ASSET_CLASSIFICATION!$AB$8:$AB$13,MATCH($N4425,DATA_ASSET_CLASSIFICATION!$AA$8:$AA$13,0)),"Review"))</f>
        <v>Bucket 1 · New Build</v>
      </c>
      <c r="P4425" s="350" t="str">
        <f>IF($B4425="Portfolio","Portfolio",IFERROR(INDEX(DATA_ASSET_CLASSIFICATION!$C$8:$C$24,MATCH($C4425,DATA_ASSET_CLASSIFICATION!$A$8:$A$24,0)),"Review"))</f>
        <v>Yes</v>
      </c>
      <c r="Q4425" s="350" t="str">
        <f t="shared" ca="1" si="139"/>
        <v>OK</v>
      </c>
    </row>
    <row r="4426" spans="1:17">
      <c r="A4426" s="366" t="s">
        <v>6382</v>
      </c>
      <c r="B4426" s="366" t="s">
        <v>231</v>
      </c>
      <c r="C4426" s="348" t="str">
        <f>DATA_PROPERTY_MASTER!$A$19</f>
        <v>BLD_PS</v>
      </c>
      <c r="D4426" s="380">
        <f>'00_PORTFOLIO ROLLUP'!J$12</f>
        <v>2030</v>
      </c>
      <c r="E4426" s="366" t="s">
        <v>1683</v>
      </c>
      <c r="F4426" s="366" t="s">
        <v>355</v>
      </c>
      <c r="G4426" s="348" t="str">
        <f>"'"&amp;$C4426&amp;"'!$E$39:$Y$39"</f>
        <v>'BLD_PS'!$E$39:$Y$39</v>
      </c>
      <c r="H4426" s="381">
        <f ca="1">IF(IFERROR(INDEX(DATA_PROPERTY_MASTER!$E$5:$E$21,MATCH($C4426,DATA_PROPERTY_MASTER!$A$5:$A$21,0))="Yes",FALSE),IFERROR(INDEX(INDIRECT("'"&amp;$C4426&amp;"'!$E$39:$Y$39"),1,MATCH($D4426,INDIRECT("'"&amp;$C4426&amp;"'!$E$12:$Y$12"),0)),0),0)</f>
        <v>834443.82641684497</v>
      </c>
      <c r="I4426" s="366" t="s">
        <v>1690</v>
      </c>
      <c r="J4426" s="348" t="str">
        <f t="shared" ca="1" si="138"/>
        <v>OK</v>
      </c>
      <c r="K4426" s="366" t="s">
        <v>1686</v>
      </c>
      <c r="L4426" s="366" t="s">
        <v>2236</v>
      </c>
      <c r="M4426" s="350" t="str">
        <f>IF($B4426="Portfolio","Portfolio",IFERROR(INDEX(DATA_ASSET_CLASSIFICATION!$B$8:$B$24,MATCH($C4426,DATA_ASSET_CLASSIFICATION!$A$8:$A$24,0)),"Review"))</f>
        <v>450 Pacific Street</v>
      </c>
      <c r="N4426" s="350" t="str">
        <f>IF($B4426="Portfolio","Portfolio",IFERROR(INDEX(DATA_ASSET_CLASSIFICATION!$U$8:$U$24,MATCH($C4426,DATA_ASSET_CLASSIFICATION!$A$8:$A$24,0)),"Review"))</f>
        <v>New Build</v>
      </c>
      <c r="O4426" s="350" t="str">
        <f>IF($B4426="Portfolio","Portfolio",IFERROR(INDEX(DATA_ASSET_CLASSIFICATION!$AB$8:$AB$13,MATCH($N4426,DATA_ASSET_CLASSIFICATION!$AA$8:$AA$13,0)),"Review"))</f>
        <v>Bucket 1 · New Build</v>
      </c>
      <c r="P4426" s="350" t="str">
        <f>IF($B4426="Portfolio","Portfolio",IFERROR(INDEX(DATA_ASSET_CLASSIFICATION!$C$8:$C$24,MATCH($C4426,DATA_ASSET_CLASSIFICATION!$A$8:$A$24,0)),"Review"))</f>
        <v>Yes</v>
      </c>
      <c r="Q4426" s="350" t="str">
        <f t="shared" ca="1" si="139"/>
        <v>OK</v>
      </c>
    </row>
    <row r="4427" spans="1:17">
      <c r="A4427" s="366" t="s">
        <v>6383</v>
      </c>
      <c r="B4427" s="366" t="s">
        <v>231</v>
      </c>
      <c r="C4427" s="348" t="str">
        <f>DATA_PROPERTY_MASTER!$A$19</f>
        <v>BLD_PS</v>
      </c>
      <c r="D4427" s="380">
        <f>'00_PORTFOLIO ROLLUP'!J$12</f>
        <v>2030</v>
      </c>
      <c r="E4427" s="366" t="s">
        <v>1683</v>
      </c>
      <c r="F4427" s="366" t="s">
        <v>19</v>
      </c>
      <c r="G4427" s="348" t="str">
        <f>"'"&amp;$C4427&amp;"'!$E$41:$Y$41"</f>
        <v>'BLD_PS'!$E$41:$Y$41</v>
      </c>
      <c r="H4427" s="381">
        <f ca="1">IF(IFERROR(INDEX(DATA_PROPERTY_MASTER!$E$5:$E$21,MATCH($C4427,DATA_PROPERTY_MASTER!$A$5:$A$21,0))="Yes",FALSE),IFERROR(INDEX(INDIRECT("'"&amp;$C4427&amp;"'!$E$41:$Y$41"),1,MATCH($D4427,INDIRECT("'"&amp;$C4427&amp;"'!$E$12:$Y$12"),0)),0),0)</f>
        <v>1013781.4164832546</v>
      </c>
      <c r="I4427" s="366" t="s">
        <v>1685</v>
      </c>
      <c r="J4427" s="348" t="str">
        <f t="shared" ca="1" si="138"/>
        <v>OK</v>
      </c>
      <c r="K4427" s="366" t="s">
        <v>1694</v>
      </c>
      <c r="L4427" s="366" t="s">
        <v>2238</v>
      </c>
      <c r="M4427" s="350" t="str">
        <f>IF($B4427="Portfolio","Portfolio",IFERROR(INDEX(DATA_ASSET_CLASSIFICATION!$B$8:$B$24,MATCH($C4427,DATA_ASSET_CLASSIFICATION!$A$8:$A$24,0)),"Review"))</f>
        <v>450 Pacific Street</v>
      </c>
      <c r="N4427" s="350" t="str">
        <f>IF($B4427="Portfolio","Portfolio",IFERROR(INDEX(DATA_ASSET_CLASSIFICATION!$U$8:$U$24,MATCH($C4427,DATA_ASSET_CLASSIFICATION!$A$8:$A$24,0)),"Review"))</f>
        <v>New Build</v>
      </c>
      <c r="O4427" s="350" t="str">
        <f>IF($B4427="Portfolio","Portfolio",IFERROR(INDEX(DATA_ASSET_CLASSIFICATION!$AB$8:$AB$13,MATCH($N4427,DATA_ASSET_CLASSIFICATION!$AA$8:$AA$13,0)),"Review"))</f>
        <v>Bucket 1 · New Build</v>
      </c>
      <c r="P4427" s="350" t="str">
        <f>IF($B4427="Portfolio","Portfolio",IFERROR(INDEX(DATA_ASSET_CLASSIFICATION!$C$8:$C$24,MATCH($C4427,DATA_ASSET_CLASSIFICATION!$A$8:$A$24,0)),"Review"))</f>
        <v>Yes</v>
      </c>
      <c r="Q4427" s="350" t="str">
        <f t="shared" ca="1" si="139"/>
        <v>OK</v>
      </c>
    </row>
    <row r="4428" spans="1:17">
      <c r="A4428" s="366" t="s">
        <v>6384</v>
      </c>
      <c r="B4428" s="366" t="s">
        <v>231</v>
      </c>
      <c r="C4428" s="348" t="str">
        <f>DATA_PROPERTY_MASTER!$A$19</f>
        <v>BLD_PS</v>
      </c>
      <c r="D4428" s="380">
        <f>'00_PORTFOLIO ROLLUP'!J$12</f>
        <v>2030</v>
      </c>
      <c r="E4428" s="366" t="s">
        <v>1683</v>
      </c>
      <c r="F4428" s="366" t="s">
        <v>1697</v>
      </c>
      <c r="G4428" s="348" t="str">
        <f>"'"&amp;$C4428&amp;"'!$E$44:$Y$44"</f>
        <v>'BLD_PS'!$E$44:$Y$44</v>
      </c>
      <c r="H4428" s="381">
        <f ca="1">IF(IFERROR(INDEX(DATA_PROPERTY_MASTER!$E$5:$E$21,MATCH($C4428,DATA_PROPERTY_MASTER!$A$5:$A$21,0))="Yes",FALSE),IFERROR(INDEX(INDIRECT("'"&amp;$C4428&amp;"'!$E$44:$Y$44"),1,MATCH($D4428,INDIRECT("'"&amp;$C4428&amp;"'!$E$12:$Y$12"),0)),0),0)</f>
        <v>15070.70296368</v>
      </c>
      <c r="I4428" s="366" t="s">
        <v>1690</v>
      </c>
      <c r="J4428" s="348" t="str">
        <f t="shared" ca="1" si="138"/>
        <v>OK</v>
      </c>
      <c r="K4428" s="366" t="s">
        <v>1699</v>
      </c>
      <c r="L4428" s="366" t="s">
        <v>2240</v>
      </c>
      <c r="M4428" s="350" t="str">
        <f>IF($B4428="Portfolio","Portfolio",IFERROR(INDEX(DATA_ASSET_CLASSIFICATION!$B$8:$B$24,MATCH($C4428,DATA_ASSET_CLASSIFICATION!$A$8:$A$24,0)),"Review"))</f>
        <v>450 Pacific Street</v>
      </c>
      <c r="N4428" s="350" t="str">
        <f>IF($B4428="Portfolio","Portfolio",IFERROR(INDEX(DATA_ASSET_CLASSIFICATION!$U$8:$U$24,MATCH($C4428,DATA_ASSET_CLASSIFICATION!$A$8:$A$24,0)),"Review"))</f>
        <v>New Build</v>
      </c>
      <c r="O4428" s="350" t="str">
        <f>IF($B4428="Portfolio","Portfolio",IFERROR(INDEX(DATA_ASSET_CLASSIFICATION!$AB$8:$AB$13,MATCH($N4428,DATA_ASSET_CLASSIFICATION!$AA$8:$AA$13,0)),"Review"))</f>
        <v>Bucket 1 · New Build</v>
      </c>
      <c r="P4428" s="350" t="str">
        <f>IF($B4428="Portfolio","Portfolio",IFERROR(INDEX(DATA_ASSET_CLASSIFICATION!$C$8:$C$24,MATCH($C4428,DATA_ASSET_CLASSIFICATION!$A$8:$A$24,0)),"Review"))</f>
        <v>Yes</v>
      </c>
      <c r="Q4428" s="350" t="str">
        <f t="shared" ca="1" si="139"/>
        <v>OK</v>
      </c>
    </row>
    <row r="4429" spans="1:17">
      <c r="A4429" s="366" t="s">
        <v>6385</v>
      </c>
      <c r="B4429" s="366" t="s">
        <v>231</v>
      </c>
      <c r="C4429" s="348" t="str">
        <f>DATA_PROPERTY_MASTER!$A$19</f>
        <v>BLD_PS</v>
      </c>
      <c r="D4429" s="380">
        <f>'00_PORTFOLIO ROLLUP'!J$12</f>
        <v>2030</v>
      </c>
      <c r="E4429" s="366" t="s">
        <v>1683</v>
      </c>
      <c r="F4429" s="366" t="s">
        <v>21</v>
      </c>
      <c r="G4429" s="348" t="str">
        <f>"'"&amp;$C4429&amp;"'!$E$45:$Y$45"</f>
        <v>'BLD_PS'!$E$45:$Y$45</v>
      </c>
      <c r="H4429" s="381">
        <f ca="1">IF(IFERROR(INDEX(DATA_PROPERTY_MASTER!$E$5:$E$21,MATCH($C4429,DATA_PROPERTY_MASTER!$A$5:$A$21,0))="Yes",FALSE),IFERROR(INDEX(INDIRECT("'"&amp;$C4429&amp;"'!$E$45:$Y$45"),1,MATCH($D4429,INDIRECT("'"&amp;$C4429&amp;"'!$E$12:$Y$12"),0)),0),0)</f>
        <v>998710.71351957461</v>
      </c>
      <c r="I4429" s="366" t="s">
        <v>1685</v>
      </c>
      <c r="J4429" s="348" t="str">
        <f t="shared" ca="1" si="138"/>
        <v>OK</v>
      </c>
      <c r="K4429" s="366" t="s">
        <v>1694</v>
      </c>
      <c r="L4429" s="366" t="s">
        <v>2242</v>
      </c>
      <c r="M4429" s="350" t="str">
        <f>IF($B4429="Portfolio","Portfolio",IFERROR(INDEX(DATA_ASSET_CLASSIFICATION!$B$8:$B$24,MATCH($C4429,DATA_ASSET_CLASSIFICATION!$A$8:$A$24,0)),"Review"))</f>
        <v>450 Pacific Street</v>
      </c>
      <c r="N4429" s="350" t="str">
        <f>IF($B4429="Portfolio","Portfolio",IFERROR(INDEX(DATA_ASSET_CLASSIFICATION!$U$8:$U$24,MATCH($C4429,DATA_ASSET_CLASSIFICATION!$A$8:$A$24,0)),"Review"))</f>
        <v>New Build</v>
      </c>
      <c r="O4429" s="350" t="str">
        <f>IF($B4429="Portfolio","Portfolio",IFERROR(INDEX(DATA_ASSET_CLASSIFICATION!$AB$8:$AB$13,MATCH($N4429,DATA_ASSET_CLASSIFICATION!$AA$8:$AA$13,0)),"Review"))</f>
        <v>Bucket 1 · New Build</v>
      </c>
      <c r="P4429" s="350" t="str">
        <f>IF($B4429="Portfolio","Portfolio",IFERROR(INDEX(DATA_ASSET_CLASSIFICATION!$C$8:$C$24,MATCH($C4429,DATA_ASSET_CLASSIFICATION!$A$8:$A$24,0)),"Review"))</f>
        <v>Yes</v>
      </c>
      <c r="Q4429" s="350" t="str">
        <f t="shared" ca="1" si="139"/>
        <v>OK</v>
      </c>
    </row>
    <row r="4430" spans="1:17">
      <c r="A4430" s="366" t="s">
        <v>6386</v>
      </c>
      <c r="B4430" s="366" t="s">
        <v>231</v>
      </c>
      <c r="C4430" s="348" t="str">
        <f>DATA_PROPERTY_MASTER!$A$19</f>
        <v>BLD_PS</v>
      </c>
      <c r="D4430" s="380">
        <f>'00_PORTFOLIO ROLLUP'!J$12</f>
        <v>2030</v>
      </c>
      <c r="E4430" s="366" t="s">
        <v>23</v>
      </c>
      <c r="F4430" s="366" t="s">
        <v>23</v>
      </c>
      <c r="G4430" s="348" t="str">
        <f>"'"&amp;$C4430&amp;"'!$E$48:$Y$48"</f>
        <v>'BLD_PS'!$E$48:$Y$48</v>
      </c>
      <c r="H4430" s="381">
        <f ca="1">IF(IFERROR(INDEX(DATA_PROPERTY_MASTER!$E$5:$E$21,MATCH($C4430,DATA_PROPERTY_MASTER!$A$5:$A$21,0))="Yes",FALSE),IFERROR(INDEX(INDIRECT("'"&amp;$C4430&amp;"'!$E$48:$Y$48"),1,MATCH($D4430,INDIRECT("'"&amp;$C4430&amp;"'!$E$12:$Y$12"),0)),0),0)</f>
        <v>667460.46017404622</v>
      </c>
      <c r="I4430" s="366" t="s">
        <v>1690</v>
      </c>
      <c r="J4430" s="348" t="str">
        <f t="shared" ca="1" si="138"/>
        <v>OK</v>
      </c>
      <c r="K4430" s="366" t="s">
        <v>1706</v>
      </c>
      <c r="L4430" s="366" t="s">
        <v>2244</v>
      </c>
      <c r="M4430" s="350" t="str">
        <f>IF($B4430="Portfolio","Portfolio",IFERROR(INDEX(DATA_ASSET_CLASSIFICATION!$B$8:$B$24,MATCH($C4430,DATA_ASSET_CLASSIFICATION!$A$8:$A$24,0)),"Review"))</f>
        <v>450 Pacific Street</v>
      </c>
      <c r="N4430" s="350" t="str">
        <f>IF($B4430="Portfolio","Portfolio",IFERROR(INDEX(DATA_ASSET_CLASSIFICATION!$U$8:$U$24,MATCH($C4430,DATA_ASSET_CLASSIFICATION!$A$8:$A$24,0)),"Review"))</f>
        <v>New Build</v>
      </c>
      <c r="O4430" s="350" t="str">
        <f>IF($B4430="Portfolio","Portfolio",IFERROR(INDEX(DATA_ASSET_CLASSIFICATION!$AB$8:$AB$13,MATCH($N4430,DATA_ASSET_CLASSIFICATION!$AA$8:$AA$13,0)),"Review"))</f>
        <v>Bucket 1 · New Build</v>
      </c>
      <c r="P4430" s="350" t="str">
        <f>IF($B4430="Portfolio","Portfolio",IFERROR(INDEX(DATA_ASSET_CLASSIFICATION!$C$8:$C$24,MATCH($C4430,DATA_ASSET_CLASSIFICATION!$A$8:$A$24,0)),"Review"))</f>
        <v>Yes</v>
      </c>
      <c r="Q4430" s="350" t="str">
        <f t="shared" ca="1" si="139"/>
        <v>OK</v>
      </c>
    </row>
    <row r="4431" spans="1:17">
      <c r="A4431" s="366" t="s">
        <v>6387</v>
      </c>
      <c r="B4431" s="366" t="s">
        <v>231</v>
      </c>
      <c r="C4431" s="348" t="str">
        <f>DATA_PROPERTY_MASTER!$A$19</f>
        <v>BLD_PS</v>
      </c>
      <c r="D4431" s="380">
        <f>'00_PORTFOLIO ROLLUP'!J$12</f>
        <v>2030</v>
      </c>
      <c r="E4431" s="366" t="s">
        <v>1683</v>
      </c>
      <c r="F4431" s="366" t="s">
        <v>25</v>
      </c>
      <c r="G4431" s="348" t="str">
        <f>"'"&amp;$C4431&amp;"'!$E$52:$Y$52"</f>
        <v>'BLD_PS'!$E$52:$Y$52</v>
      </c>
      <c r="H4431" s="381">
        <f ca="1">IF(IFERROR(INDEX(DATA_PROPERTY_MASTER!$E$5:$E$21,MATCH($C4431,DATA_PROPERTY_MASTER!$A$5:$A$21,0))="Yes",FALSE),IFERROR(INDEX(INDIRECT("'"&amp;$C4431&amp;"'!$E$52:$Y$52"),1,MATCH($D4431,INDIRECT("'"&amp;$C4431&amp;"'!$E$12:$Y$12"),0)),0),0)</f>
        <v>346320.95630920841</v>
      </c>
      <c r="I4431" s="366" t="s">
        <v>1685</v>
      </c>
      <c r="J4431" s="348" t="str">
        <f t="shared" ca="1" si="138"/>
        <v>OK</v>
      </c>
      <c r="K4431" s="366" t="s">
        <v>1710</v>
      </c>
      <c r="L4431" s="366" t="s">
        <v>2246</v>
      </c>
      <c r="M4431" s="350" t="str">
        <f>IF($B4431="Portfolio","Portfolio",IFERROR(INDEX(DATA_ASSET_CLASSIFICATION!$B$8:$B$24,MATCH($C4431,DATA_ASSET_CLASSIFICATION!$A$8:$A$24,0)),"Review"))</f>
        <v>450 Pacific Street</v>
      </c>
      <c r="N4431" s="350" t="str">
        <f>IF($B4431="Portfolio","Portfolio",IFERROR(INDEX(DATA_ASSET_CLASSIFICATION!$U$8:$U$24,MATCH($C4431,DATA_ASSET_CLASSIFICATION!$A$8:$A$24,0)),"Review"))</f>
        <v>New Build</v>
      </c>
      <c r="O4431" s="350" t="str">
        <f>IF($B4431="Portfolio","Portfolio",IFERROR(INDEX(DATA_ASSET_CLASSIFICATION!$AB$8:$AB$13,MATCH($N4431,DATA_ASSET_CLASSIFICATION!$AA$8:$AA$13,0)),"Review"))</f>
        <v>Bucket 1 · New Build</v>
      </c>
      <c r="P4431" s="350" t="str">
        <f>IF($B4431="Portfolio","Portfolio",IFERROR(INDEX(DATA_ASSET_CLASSIFICATION!$C$8:$C$24,MATCH($C4431,DATA_ASSET_CLASSIFICATION!$A$8:$A$24,0)),"Review"))</f>
        <v>Yes</v>
      </c>
      <c r="Q4431" s="350" t="str">
        <f t="shared" ca="1" si="139"/>
        <v>OK</v>
      </c>
    </row>
    <row r="4432" spans="1:17">
      <c r="A4432" s="366" t="s">
        <v>6388</v>
      </c>
      <c r="B4432" s="366" t="s">
        <v>231</v>
      </c>
      <c r="C4432" s="348" t="str">
        <f>DATA_PROPERTY_MASTER!$A$19</f>
        <v>BLD_PS</v>
      </c>
      <c r="D4432" s="380">
        <f>'00_PORTFOLIO ROLLUP'!J$12</f>
        <v>2030</v>
      </c>
      <c r="E4432" s="366" t="s">
        <v>1683</v>
      </c>
      <c r="F4432" s="366" t="s">
        <v>27</v>
      </c>
      <c r="G4432" s="348" t="str">
        <f>"'"&amp;$C4432&amp;"'!$E$54:$Y$54"</f>
        <v>'BLD_PS'!$E$54:$Y$54</v>
      </c>
      <c r="H4432" s="381">
        <f ca="1">IF(IFERROR(INDEX(DATA_PROPERTY_MASTER!$E$5:$E$21,MATCH($C4432,DATA_PROPERTY_MASTER!$A$5:$A$21,0))="Yes",FALSE),IFERROR(INDEX(INDIRECT("'"&amp;$C4432&amp;"'!$E$54:$Y$54"),1,MATCH($D4432,INDIRECT("'"&amp;$C4432&amp;"'!$E$12:$Y$12"),0)),0),0)</f>
        <v>207792.57378552505</v>
      </c>
      <c r="I4432" s="366" t="s">
        <v>1690</v>
      </c>
      <c r="J4432" s="348" t="str">
        <f t="shared" ca="1" si="138"/>
        <v>OK</v>
      </c>
      <c r="K4432" s="366" t="s">
        <v>1714</v>
      </c>
      <c r="L4432" s="366" t="s">
        <v>2248</v>
      </c>
      <c r="M4432" s="350" t="str">
        <f>IF($B4432="Portfolio","Portfolio",IFERROR(INDEX(DATA_ASSET_CLASSIFICATION!$B$8:$B$24,MATCH($C4432,DATA_ASSET_CLASSIFICATION!$A$8:$A$24,0)),"Review"))</f>
        <v>450 Pacific Street</v>
      </c>
      <c r="N4432" s="350" t="str">
        <f>IF($B4432="Portfolio","Portfolio",IFERROR(INDEX(DATA_ASSET_CLASSIFICATION!$U$8:$U$24,MATCH($C4432,DATA_ASSET_CLASSIFICATION!$A$8:$A$24,0)),"Review"))</f>
        <v>New Build</v>
      </c>
      <c r="O4432" s="350" t="str">
        <f>IF($B4432="Portfolio","Portfolio",IFERROR(INDEX(DATA_ASSET_CLASSIFICATION!$AB$8:$AB$13,MATCH($N4432,DATA_ASSET_CLASSIFICATION!$AA$8:$AA$13,0)),"Review"))</f>
        <v>Bucket 1 · New Build</v>
      </c>
      <c r="P4432" s="350" t="str">
        <f>IF($B4432="Portfolio","Portfolio",IFERROR(INDEX(DATA_ASSET_CLASSIFICATION!$C$8:$C$24,MATCH($C4432,DATA_ASSET_CLASSIFICATION!$A$8:$A$24,0)),"Review"))</f>
        <v>Yes</v>
      </c>
      <c r="Q4432" s="350" t="str">
        <f t="shared" ca="1" si="139"/>
        <v>OK</v>
      </c>
    </row>
    <row r="4433" spans="1:17">
      <c r="A4433" s="366" t="s">
        <v>6389</v>
      </c>
      <c r="B4433" s="366" t="s">
        <v>231</v>
      </c>
      <c r="C4433" s="348" t="str">
        <f>DATA_PROPERTY_MASTER!$A$19</f>
        <v>BLD_PS</v>
      </c>
      <c r="D4433" s="380">
        <f>'00_PORTFOLIO ROLLUP'!J$12</f>
        <v>2030</v>
      </c>
      <c r="E4433" s="366" t="s">
        <v>1683</v>
      </c>
      <c r="F4433" s="366" t="s">
        <v>29</v>
      </c>
      <c r="G4433" s="348" t="str">
        <f>"'"&amp;$C4433&amp;"'!$E$56:$Y$56"</f>
        <v>'BLD_PS'!$E$56:$Y$56</v>
      </c>
      <c r="H4433" s="381">
        <f ca="1">IF(IFERROR(INDEX(DATA_PROPERTY_MASTER!$E$5:$E$21,MATCH($C4433,DATA_PROPERTY_MASTER!$A$5:$A$21,0))="Yes",FALSE),IFERROR(INDEX(INDIRECT("'"&amp;$C4433&amp;"'!$E$56:$Y$56"),1,MATCH($D4433,INDIRECT("'"&amp;$C4433&amp;"'!$E$12:$Y$12"),0)),0),0)</f>
        <v>138528.38252368337</v>
      </c>
      <c r="I4433" s="366" t="s">
        <v>1685</v>
      </c>
      <c r="J4433" s="348" t="str">
        <f t="shared" ca="1" si="138"/>
        <v>OK</v>
      </c>
      <c r="K4433" s="366" t="s">
        <v>1718</v>
      </c>
      <c r="L4433" s="366" t="s">
        <v>2250</v>
      </c>
      <c r="M4433" s="350" t="str">
        <f>IF($B4433="Portfolio","Portfolio",IFERROR(INDEX(DATA_ASSET_CLASSIFICATION!$B$8:$B$24,MATCH($C4433,DATA_ASSET_CLASSIFICATION!$A$8:$A$24,0)),"Review"))</f>
        <v>450 Pacific Street</v>
      </c>
      <c r="N4433" s="350" t="str">
        <f>IF($B4433="Portfolio","Portfolio",IFERROR(INDEX(DATA_ASSET_CLASSIFICATION!$U$8:$U$24,MATCH($C4433,DATA_ASSET_CLASSIFICATION!$A$8:$A$24,0)),"Review"))</f>
        <v>New Build</v>
      </c>
      <c r="O4433" s="350" t="str">
        <f>IF($B4433="Portfolio","Portfolio",IFERROR(INDEX(DATA_ASSET_CLASSIFICATION!$AB$8:$AB$13,MATCH($N4433,DATA_ASSET_CLASSIFICATION!$AA$8:$AA$13,0)),"Review"))</f>
        <v>Bucket 1 · New Build</v>
      </c>
      <c r="P4433" s="350" t="str">
        <f>IF($B4433="Portfolio","Portfolio",IFERROR(INDEX(DATA_ASSET_CLASSIFICATION!$C$8:$C$24,MATCH($C4433,DATA_ASSET_CLASSIFICATION!$A$8:$A$24,0)),"Review"))</f>
        <v>Yes</v>
      </c>
      <c r="Q4433" s="350" t="str">
        <f t="shared" ca="1" si="139"/>
        <v>OK</v>
      </c>
    </row>
    <row r="4434" spans="1:17">
      <c r="A4434" s="366" t="s">
        <v>6390</v>
      </c>
      <c r="B4434" s="366" t="s">
        <v>231</v>
      </c>
      <c r="C4434" s="348" t="str">
        <f>DATA_PROPERTY_MASTER!$A$19</f>
        <v>BLD_PS</v>
      </c>
      <c r="D4434" s="380">
        <f>'00_PORTFOLIO ROLLUP'!J$12</f>
        <v>2030</v>
      </c>
      <c r="E4434" s="366" t="s">
        <v>1721</v>
      </c>
      <c r="F4434" s="366" t="s">
        <v>31</v>
      </c>
      <c r="G4434" s="348" t="str">
        <f>"'"&amp;$C4434&amp;"'!$E$61:$Y$61"</f>
        <v>'BLD_PS'!$E$61:$Y$61</v>
      </c>
      <c r="H4434" s="381">
        <f ca="1">IF(IFERROR(INDEX(DATA_PROPERTY_MASTER!$E$5:$E$21,MATCH($C4434,DATA_PROPERTY_MASTER!$A$5:$A$21,0))="Yes",FALSE),IFERROR(INDEX(INDIRECT("'"&amp;$C4434&amp;"'!$E$61:$Y$61"),1,MATCH($D4434,INDIRECT("'"&amp;$C4434&amp;"'!$E$12:$Y$12"),0)),0),0)</f>
        <v>0</v>
      </c>
      <c r="I4434" s="366" t="s">
        <v>1690</v>
      </c>
      <c r="J4434" s="348" t="str">
        <f t="shared" ca="1" si="138"/>
        <v>OK</v>
      </c>
      <c r="K4434" s="366" t="s">
        <v>1723</v>
      </c>
      <c r="L4434" s="366" t="s">
        <v>2252</v>
      </c>
      <c r="M4434" s="350" t="str">
        <f>IF($B4434="Portfolio","Portfolio",IFERROR(INDEX(DATA_ASSET_CLASSIFICATION!$B$8:$B$24,MATCH($C4434,DATA_ASSET_CLASSIFICATION!$A$8:$A$24,0)),"Review"))</f>
        <v>450 Pacific Street</v>
      </c>
      <c r="N4434" s="350" t="str">
        <f>IF($B4434="Portfolio","Portfolio",IFERROR(INDEX(DATA_ASSET_CLASSIFICATION!$U$8:$U$24,MATCH($C4434,DATA_ASSET_CLASSIFICATION!$A$8:$A$24,0)),"Review"))</f>
        <v>New Build</v>
      </c>
      <c r="O4434" s="350" t="str">
        <f>IF($B4434="Portfolio","Portfolio",IFERROR(INDEX(DATA_ASSET_CLASSIFICATION!$AB$8:$AB$13,MATCH($N4434,DATA_ASSET_CLASSIFICATION!$AA$8:$AA$13,0)),"Review"))</f>
        <v>Bucket 1 · New Build</v>
      </c>
      <c r="P4434" s="350" t="str">
        <f>IF($B4434="Portfolio","Portfolio",IFERROR(INDEX(DATA_ASSET_CLASSIFICATION!$C$8:$C$24,MATCH($C4434,DATA_ASSET_CLASSIFICATION!$A$8:$A$24,0)),"Review"))</f>
        <v>Yes</v>
      </c>
      <c r="Q4434" s="350" t="str">
        <f t="shared" ca="1" si="139"/>
        <v>OK</v>
      </c>
    </row>
    <row r="4435" spans="1:17">
      <c r="A4435" s="366" t="s">
        <v>6391</v>
      </c>
      <c r="B4435" s="366" t="s">
        <v>231</v>
      </c>
      <c r="C4435" s="348" t="str">
        <f>DATA_PROPERTY_MASTER!$A$19</f>
        <v>BLD_PS</v>
      </c>
      <c r="D4435" s="380">
        <f>'00_PORTFOLIO ROLLUP'!J$12</f>
        <v>2030</v>
      </c>
      <c r="E4435" s="366" t="s">
        <v>1721</v>
      </c>
      <c r="F4435" s="366" t="s">
        <v>33</v>
      </c>
      <c r="G4435" s="348" t="str">
        <f>"'"&amp;$C4435&amp;"'!$E$62:$Y$62"</f>
        <v>'BLD_PS'!$E$62:$Y$62</v>
      </c>
      <c r="H4435" s="381">
        <f ca="1">IF(IFERROR(INDEX(DATA_PROPERTY_MASTER!$E$5:$E$21,MATCH($C4435,DATA_PROPERTY_MASTER!$A$5:$A$21,0))="Yes",FALSE),IFERROR(INDEX(INDIRECT("'"&amp;$C4435&amp;"'!$E$62:$Y$62"),1,MATCH($D4435,INDIRECT("'"&amp;$C4435&amp;"'!$E$12:$Y$12"),0)),0),0)</f>
        <v>0</v>
      </c>
      <c r="I4435" s="366" t="s">
        <v>1685</v>
      </c>
      <c r="J4435" s="348" t="str">
        <f t="shared" ca="1" si="138"/>
        <v>OK</v>
      </c>
      <c r="K4435" s="366" t="s">
        <v>1727</v>
      </c>
      <c r="L4435" s="366" t="s">
        <v>2254</v>
      </c>
      <c r="M4435" s="350" t="str">
        <f>IF($B4435="Portfolio","Portfolio",IFERROR(INDEX(DATA_ASSET_CLASSIFICATION!$B$8:$B$24,MATCH($C4435,DATA_ASSET_CLASSIFICATION!$A$8:$A$24,0)),"Review"))</f>
        <v>450 Pacific Street</v>
      </c>
      <c r="N4435" s="350" t="str">
        <f>IF($B4435="Portfolio","Portfolio",IFERROR(INDEX(DATA_ASSET_CLASSIFICATION!$U$8:$U$24,MATCH($C4435,DATA_ASSET_CLASSIFICATION!$A$8:$A$24,0)),"Review"))</f>
        <v>New Build</v>
      </c>
      <c r="O4435" s="350" t="str">
        <f>IF($B4435="Portfolio","Portfolio",IFERROR(INDEX(DATA_ASSET_CLASSIFICATION!$AB$8:$AB$13,MATCH($N4435,DATA_ASSET_CLASSIFICATION!$AA$8:$AA$13,0)),"Review"))</f>
        <v>Bucket 1 · New Build</v>
      </c>
      <c r="P4435" s="350" t="str">
        <f>IF($B4435="Portfolio","Portfolio",IFERROR(INDEX(DATA_ASSET_CLASSIFICATION!$C$8:$C$24,MATCH($C4435,DATA_ASSET_CLASSIFICATION!$A$8:$A$24,0)),"Review"))</f>
        <v>Yes</v>
      </c>
      <c r="Q4435" s="350" t="str">
        <f t="shared" ca="1" si="139"/>
        <v>OK</v>
      </c>
    </row>
    <row r="4436" spans="1:17">
      <c r="A4436" s="366" t="s">
        <v>6392</v>
      </c>
      <c r="B4436" s="366" t="s">
        <v>231</v>
      </c>
      <c r="C4436" s="348" t="str">
        <f>DATA_PROPERTY_MASTER!$A$19</f>
        <v>BLD_PS</v>
      </c>
      <c r="D4436" s="380">
        <f>'00_PORTFOLIO ROLLUP'!J$12</f>
        <v>2030</v>
      </c>
      <c r="E4436" s="366" t="s">
        <v>1721</v>
      </c>
      <c r="F4436" s="366" t="s">
        <v>35</v>
      </c>
      <c r="G4436" s="348" t="str">
        <f>"'"&amp;$C4436&amp;"'!$E$63:$Y$63"</f>
        <v>'BLD_PS'!$E$63:$Y$63</v>
      </c>
      <c r="H4436" s="381">
        <f ca="1">IF(IFERROR(INDEX(DATA_PROPERTY_MASTER!$E$5:$E$21,MATCH($C4436,DATA_PROPERTY_MASTER!$A$5:$A$21,0))="Yes",FALSE),IFERROR(INDEX(INDIRECT("'"&amp;$C4436&amp;"'!$E$63:$Y$63"),1,MATCH($D4436,INDIRECT("'"&amp;$C4436&amp;"'!$E$12:$Y$12"),0)),0),0)</f>
        <v>0</v>
      </c>
      <c r="I4436" s="366" t="s">
        <v>1731</v>
      </c>
      <c r="J4436" s="348" t="str">
        <f t="shared" ca="1" si="138"/>
        <v>OK</v>
      </c>
      <c r="K4436" s="366" t="s">
        <v>1732</v>
      </c>
      <c r="L4436" s="366" t="s">
        <v>2256</v>
      </c>
      <c r="M4436" s="350" t="str">
        <f>IF($B4436="Portfolio","Portfolio",IFERROR(INDEX(DATA_ASSET_CLASSIFICATION!$B$8:$B$24,MATCH($C4436,DATA_ASSET_CLASSIFICATION!$A$8:$A$24,0)),"Review"))</f>
        <v>450 Pacific Street</v>
      </c>
      <c r="N4436" s="350" t="str">
        <f>IF($B4436="Portfolio","Portfolio",IFERROR(INDEX(DATA_ASSET_CLASSIFICATION!$U$8:$U$24,MATCH($C4436,DATA_ASSET_CLASSIFICATION!$A$8:$A$24,0)),"Review"))</f>
        <v>New Build</v>
      </c>
      <c r="O4436" s="350" t="str">
        <f>IF($B4436="Portfolio","Portfolio",IFERROR(INDEX(DATA_ASSET_CLASSIFICATION!$AB$8:$AB$13,MATCH($N4436,DATA_ASSET_CLASSIFICATION!$AA$8:$AA$13,0)),"Review"))</f>
        <v>Bucket 1 · New Build</v>
      </c>
      <c r="P4436" s="350" t="str">
        <f>IF($B4436="Portfolio","Portfolio",IFERROR(INDEX(DATA_ASSET_CLASSIFICATION!$C$8:$C$24,MATCH($C4436,DATA_ASSET_CLASSIFICATION!$A$8:$A$24,0)),"Review"))</f>
        <v>Yes</v>
      </c>
      <c r="Q4436" s="350" t="str">
        <f t="shared" ca="1" si="139"/>
        <v>OK</v>
      </c>
    </row>
    <row r="4437" spans="1:17">
      <c r="A4437" s="366" t="s">
        <v>6393</v>
      </c>
      <c r="B4437" s="366" t="s">
        <v>231</v>
      </c>
      <c r="C4437" s="348" t="str">
        <f>DATA_PROPERTY_MASTER!$A$19</f>
        <v>BLD_PS</v>
      </c>
      <c r="D4437" s="380">
        <f>'00_PORTFOLIO ROLLUP'!J$12</f>
        <v>2030</v>
      </c>
      <c r="E4437" s="366" t="s">
        <v>1721</v>
      </c>
      <c r="F4437" s="366" t="s">
        <v>37</v>
      </c>
      <c r="G4437" s="348" t="str">
        <f>"'"&amp;$C4437&amp;"'!$E$63:$Y$63"</f>
        <v>'BLD_PS'!$E$63:$Y$63</v>
      </c>
      <c r="H4437" s="381">
        <f ca="1">IF(IFERROR(INDEX(DATA_PROPERTY_MASTER!$E$5:$E$21,MATCH($C4437,DATA_PROPERTY_MASTER!$A$5:$A$21,0))="Yes",FALSE),MAX(IFERROR(INDEX(INDIRECT("'"&amp;$C4437&amp;"'!$E$63:$Y$63"),1,MATCH($D4437,INDIRECT("'"&amp;$C4437&amp;"'!$E$12:$Y$12"),0)),0),0),0)</f>
        <v>0</v>
      </c>
      <c r="I4437" s="366" t="s">
        <v>1685</v>
      </c>
      <c r="J4437" s="348" t="str">
        <f t="shared" ca="1" si="138"/>
        <v>OK</v>
      </c>
      <c r="K4437" s="366" t="s">
        <v>1735</v>
      </c>
      <c r="L4437" s="366" t="s">
        <v>2258</v>
      </c>
      <c r="M4437" s="350" t="str">
        <f>IF($B4437="Portfolio","Portfolio",IFERROR(INDEX(DATA_ASSET_CLASSIFICATION!$B$8:$B$24,MATCH($C4437,DATA_ASSET_CLASSIFICATION!$A$8:$A$24,0)),"Review"))</f>
        <v>450 Pacific Street</v>
      </c>
      <c r="N4437" s="350" t="str">
        <f>IF($B4437="Portfolio","Portfolio",IFERROR(INDEX(DATA_ASSET_CLASSIFICATION!$U$8:$U$24,MATCH($C4437,DATA_ASSET_CLASSIFICATION!$A$8:$A$24,0)),"Review"))</f>
        <v>New Build</v>
      </c>
      <c r="O4437" s="350" t="str">
        <f>IF($B4437="Portfolio","Portfolio",IFERROR(INDEX(DATA_ASSET_CLASSIFICATION!$AB$8:$AB$13,MATCH($N4437,DATA_ASSET_CLASSIFICATION!$AA$8:$AA$13,0)),"Review"))</f>
        <v>Bucket 1 · New Build</v>
      </c>
      <c r="P4437" s="350" t="str">
        <f>IF($B4437="Portfolio","Portfolio",IFERROR(INDEX(DATA_ASSET_CLASSIFICATION!$C$8:$C$24,MATCH($C4437,DATA_ASSET_CLASSIFICATION!$A$8:$A$24,0)),"Review"))</f>
        <v>Yes</v>
      </c>
      <c r="Q4437" s="350" t="str">
        <f t="shared" ca="1" si="139"/>
        <v>OK</v>
      </c>
    </row>
    <row r="4438" spans="1:17">
      <c r="A4438" s="366" t="s">
        <v>6394</v>
      </c>
      <c r="B4438" s="366" t="s">
        <v>231</v>
      </c>
      <c r="C4438" s="348" t="str">
        <f>DATA_PROPERTY_MASTER!$A$19</f>
        <v>BLD_PS</v>
      </c>
      <c r="D4438" s="380">
        <f>'00_PORTFOLIO ROLLUP'!J$12</f>
        <v>2030</v>
      </c>
      <c r="E4438" s="366" t="s">
        <v>1721</v>
      </c>
      <c r="F4438" s="366" t="s">
        <v>39</v>
      </c>
      <c r="G4438" s="348" t="str">
        <f>"'"&amp;$C4438&amp;"'!$E$63:$Y$63"</f>
        <v>'BLD_PS'!$E$63:$Y$63</v>
      </c>
      <c r="H4438" s="381">
        <f ca="1">IF(IFERROR(INDEX(DATA_PROPERTY_MASTER!$E$5:$E$21,MATCH($C4438,DATA_PROPERTY_MASTER!$A$5:$A$21,0))="Yes",FALSE),MAX(-IFERROR(INDEX(INDIRECT("'"&amp;$C4438&amp;"'!$E$63:$Y$63"),1,MATCH($D4438,INDIRECT("'"&amp;$C4438&amp;"'!$E$12:$Y$12"),0)),0),0),0)</f>
        <v>0</v>
      </c>
      <c r="I4438" s="366" t="s">
        <v>1690</v>
      </c>
      <c r="J4438" s="348" t="str">
        <f t="shared" ca="1" si="138"/>
        <v>OK</v>
      </c>
      <c r="K4438" s="366" t="s">
        <v>1738</v>
      </c>
      <c r="L4438" s="366" t="s">
        <v>2260</v>
      </c>
      <c r="M4438" s="350" t="str">
        <f>IF($B4438="Portfolio","Portfolio",IFERROR(INDEX(DATA_ASSET_CLASSIFICATION!$B$8:$B$24,MATCH($C4438,DATA_ASSET_CLASSIFICATION!$A$8:$A$24,0)),"Review"))</f>
        <v>450 Pacific Street</v>
      </c>
      <c r="N4438" s="350" t="str">
        <f>IF($B4438="Portfolio","Portfolio",IFERROR(INDEX(DATA_ASSET_CLASSIFICATION!$U$8:$U$24,MATCH($C4438,DATA_ASSET_CLASSIFICATION!$A$8:$A$24,0)),"Review"))</f>
        <v>New Build</v>
      </c>
      <c r="O4438" s="350" t="str">
        <f>IF($B4438="Portfolio","Portfolio",IFERROR(INDEX(DATA_ASSET_CLASSIFICATION!$AB$8:$AB$13,MATCH($N4438,DATA_ASSET_CLASSIFICATION!$AA$8:$AA$13,0)),"Review"))</f>
        <v>Bucket 1 · New Build</v>
      </c>
      <c r="P4438" s="350" t="str">
        <f>IF($B4438="Portfolio","Portfolio",IFERROR(INDEX(DATA_ASSET_CLASSIFICATION!$C$8:$C$24,MATCH($C4438,DATA_ASSET_CLASSIFICATION!$A$8:$A$24,0)),"Review"))</f>
        <v>Yes</v>
      </c>
      <c r="Q4438" s="350" t="str">
        <f t="shared" ca="1" si="139"/>
        <v>OK</v>
      </c>
    </row>
    <row r="4439" spans="1:17">
      <c r="A4439" s="366" t="s">
        <v>6395</v>
      </c>
      <c r="B4439" s="366" t="s">
        <v>231</v>
      </c>
      <c r="C4439" s="348" t="str">
        <f>DATA_PROPERTY_MASTER!$A$19</f>
        <v>BLD_PS</v>
      </c>
      <c r="D4439" s="380">
        <f>'00_PORTFOLIO ROLLUP'!J$12</f>
        <v>2030</v>
      </c>
      <c r="E4439" s="366" t="s">
        <v>1741</v>
      </c>
      <c r="F4439" s="366" t="s">
        <v>41</v>
      </c>
      <c r="G4439" s="348" t="str">
        <f>"'"&amp;$C4439&amp;"'!rows 56 + positive row 63"</f>
        <v>'BLD_PS'!rows 56 + positive row 63</v>
      </c>
      <c r="H4439" s="381">
        <f ca="1">IF(IFERROR(INDEX(DATA_PROPERTY_MASTER!$E$5:$E$21,MATCH($C4439,DATA_PROPERTY_MASTER!$A$5:$A$21,0))="Yes",FALSE),IFERROR(INDEX(INDIRECT("'"&amp;$C4439&amp;"'!$E$56:$Y$56"),1,MATCH($D4439,INDIRECT("'"&amp;$C4439&amp;"'!$E$12:$Y$12"),0)),0)+MAX(IFERROR(INDEX(INDIRECT("'"&amp;$C4439&amp;"'!$E$63:$Y$63"),1,MATCH($D4439,INDIRECT("'"&amp;$C4439&amp;"'!$E$12:$Y$12"),0)),0),0),0)</f>
        <v>138528.38252368337</v>
      </c>
      <c r="I4439" s="366" t="s">
        <v>1685</v>
      </c>
      <c r="J4439" s="348" t="str">
        <f t="shared" ca="1" si="138"/>
        <v>OK</v>
      </c>
      <c r="K4439" s="366" t="s">
        <v>1742</v>
      </c>
      <c r="L4439" s="366" t="s">
        <v>2262</v>
      </c>
      <c r="M4439" s="350" t="str">
        <f>IF($B4439="Portfolio","Portfolio",IFERROR(INDEX(DATA_ASSET_CLASSIFICATION!$B$8:$B$24,MATCH($C4439,DATA_ASSET_CLASSIFICATION!$A$8:$A$24,0)),"Review"))</f>
        <v>450 Pacific Street</v>
      </c>
      <c r="N4439" s="350" t="str">
        <f>IF($B4439="Portfolio","Portfolio",IFERROR(INDEX(DATA_ASSET_CLASSIFICATION!$U$8:$U$24,MATCH($C4439,DATA_ASSET_CLASSIFICATION!$A$8:$A$24,0)),"Review"))</f>
        <v>New Build</v>
      </c>
      <c r="O4439" s="350" t="str">
        <f>IF($B4439="Portfolio","Portfolio",IFERROR(INDEX(DATA_ASSET_CLASSIFICATION!$AB$8:$AB$13,MATCH($N4439,DATA_ASSET_CLASSIFICATION!$AA$8:$AA$13,0)),"Review"))</f>
        <v>Bucket 1 · New Build</v>
      </c>
      <c r="P4439" s="350" t="str">
        <f>IF($B4439="Portfolio","Portfolio",IFERROR(INDEX(DATA_ASSET_CLASSIFICATION!$C$8:$C$24,MATCH($C4439,DATA_ASSET_CLASSIFICATION!$A$8:$A$24,0)),"Review"))</f>
        <v>Yes</v>
      </c>
      <c r="Q4439" s="350" t="str">
        <f t="shared" ca="1" si="139"/>
        <v>OK</v>
      </c>
    </row>
    <row r="4440" spans="1:17">
      <c r="A4440" s="366" t="s">
        <v>6396</v>
      </c>
      <c r="B4440" s="366" t="s">
        <v>231</v>
      </c>
      <c r="C4440" s="348" t="str">
        <f>DATA_PROPERTY_MASTER!$A$19</f>
        <v>BLD_PS</v>
      </c>
      <c r="D4440" s="380">
        <f>'00_PORTFOLIO ROLLUP'!J$12</f>
        <v>2030</v>
      </c>
      <c r="E4440" s="366" t="s">
        <v>1741</v>
      </c>
      <c r="F4440" s="366" t="s">
        <v>43</v>
      </c>
      <c r="G4440" s="348" t="str">
        <f>"'"&amp;$C4440&amp;"'!$E$68:$Y$68"</f>
        <v>'BLD_PS'!$E$68:$Y$68</v>
      </c>
      <c r="H4440" s="381">
        <f ca="1">IF(IFERROR(INDEX(DATA_PROPERTY_MASTER!$E$5:$E$21,MATCH($C4440,DATA_PROPERTY_MASTER!$A$5:$A$21,0))="Yes",FALSE),IFERROR(INDEX(INDIRECT("'"&amp;$C4440&amp;"'!$E$68:$Y$68"),1,MATCH($D4440,INDIRECT("'"&amp;$C4440&amp;"'!$E$12:$Y$12"),0)),0),0)</f>
        <v>138528.38252368337</v>
      </c>
      <c r="I4440" s="366" t="s">
        <v>1731</v>
      </c>
      <c r="J4440" s="348" t="str">
        <f t="shared" ca="1" si="138"/>
        <v>OK</v>
      </c>
      <c r="K4440" s="366" t="s">
        <v>1746</v>
      </c>
      <c r="L4440" s="366" t="s">
        <v>2264</v>
      </c>
      <c r="M4440" s="350" t="str">
        <f>IF($B4440="Portfolio","Portfolio",IFERROR(INDEX(DATA_ASSET_CLASSIFICATION!$B$8:$B$24,MATCH($C4440,DATA_ASSET_CLASSIFICATION!$A$8:$A$24,0)),"Review"))</f>
        <v>450 Pacific Street</v>
      </c>
      <c r="N4440" s="350" t="str">
        <f>IF($B4440="Portfolio","Portfolio",IFERROR(INDEX(DATA_ASSET_CLASSIFICATION!$U$8:$U$24,MATCH($C4440,DATA_ASSET_CLASSIFICATION!$A$8:$A$24,0)),"Review"))</f>
        <v>New Build</v>
      </c>
      <c r="O4440" s="350" t="str">
        <f>IF($B4440="Portfolio","Portfolio",IFERROR(INDEX(DATA_ASSET_CLASSIFICATION!$AB$8:$AB$13,MATCH($N4440,DATA_ASSET_CLASSIFICATION!$AA$8:$AA$13,0)),"Review"))</f>
        <v>Bucket 1 · New Build</v>
      </c>
      <c r="P4440" s="350" t="str">
        <f>IF($B4440="Portfolio","Portfolio",IFERROR(INDEX(DATA_ASSET_CLASSIFICATION!$C$8:$C$24,MATCH($C4440,DATA_ASSET_CLASSIFICATION!$A$8:$A$24,0)),"Review"))</f>
        <v>Yes</v>
      </c>
      <c r="Q4440" s="350" t="str">
        <f t="shared" ca="1" si="139"/>
        <v>OK</v>
      </c>
    </row>
    <row r="4441" spans="1:17">
      <c r="A4441" s="366" t="s">
        <v>6397</v>
      </c>
      <c r="B4441" s="366" t="s">
        <v>231</v>
      </c>
      <c r="C4441" s="348" t="str">
        <f>DATA_PROPERTY_MASTER!$A$19</f>
        <v>BLD_PS</v>
      </c>
      <c r="D4441" s="380">
        <f>'00_PORTFOLIO ROLLUP'!J$12</f>
        <v>2030</v>
      </c>
      <c r="E4441" s="366" t="s">
        <v>1741</v>
      </c>
      <c r="F4441" s="366" t="s">
        <v>1749</v>
      </c>
      <c r="G4441" s="348" t="str">
        <f>"'"&amp;$C4441&amp;"'!rows 56, 63, 68"</f>
        <v>'BLD_PS'!rows 56, 63, 68</v>
      </c>
      <c r="H4441" s="381">
        <f ca="1">IF(IFERROR(INDEX(DATA_PROPERTY_MASTER!$E$5:$E$21,MATCH($C4441,DATA_PROPERTY_MASTER!$A$5:$A$21,0))="Yes",FALSE),(IFERROR(INDEX(INDIRECT("'"&amp;$C4441&amp;"'!$E$56:$Y$56"),1,MATCH($D4441,INDIRECT("'"&amp;$C4441&amp;"'!$E$12:$Y$12"),0)),0)+MAX(IFERROR(INDEX(INDIRECT("'"&amp;$C4441&amp;"'!$E$63:$Y$63"),1,MATCH($D4441,INDIRECT("'"&amp;$C4441&amp;"'!$E$12:$Y$12"),0)),0),0))-(IFERROR(INDEX(INDIRECT("'"&amp;$C4441&amp;"'!$E$68:$Y$68"),1,MATCH($D4441,INDIRECT("'"&amp;$C4441&amp;"'!$E$12:$Y$12"),0)),0)),0)</f>
        <v>0</v>
      </c>
      <c r="I4441" s="366" t="s">
        <v>1750</v>
      </c>
      <c r="J4441" s="348" t="str">
        <f t="shared" ca="1" si="138"/>
        <v>OK</v>
      </c>
      <c r="K4441" s="366" t="s">
        <v>1751</v>
      </c>
      <c r="L4441" s="366" t="s">
        <v>2266</v>
      </c>
      <c r="M4441" s="350" t="str">
        <f>IF($B4441="Portfolio","Portfolio",IFERROR(INDEX(DATA_ASSET_CLASSIFICATION!$B$8:$B$24,MATCH($C4441,DATA_ASSET_CLASSIFICATION!$A$8:$A$24,0)),"Review"))</f>
        <v>450 Pacific Street</v>
      </c>
      <c r="N4441" s="350" t="str">
        <f>IF($B4441="Portfolio","Portfolio",IFERROR(INDEX(DATA_ASSET_CLASSIFICATION!$U$8:$U$24,MATCH($C4441,DATA_ASSET_CLASSIFICATION!$A$8:$A$24,0)),"Review"))</f>
        <v>New Build</v>
      </c>
      <c r="O4441" s="350" t="str">
        <f>IF($B4441="Portfolio","Portfolio",IFERROR(INDEX(DATA_ASSET_CLASSIFICATION!$AB$8:$AB$13,MATCH($N4441,DATA_ASSET_CLASSIFICATION!$AA$8:$AA$13,0)),"Review"))</f>
        <v>Bucket 1 · New Build</v>
      </c>
      <c r="P4441" s="350" t="str">
        <f>IF($B4441="Portfolio","Portfolio",IFERROR(INDEX(DATA_ASSET_CLASSIFICATION!$C$8:$C$24,MATCH($C4441,DATA_ASSET_CLASSIFICATION!$A$8:$A$24,0)),"Review"))</f>
        <v>Yes</v>
      </c>
      <c r="Q4441" s="350" t="str">
        <f t="shared" ca="1" si="139"/>
        <v>OK</v>
      </c>
    </row>
    <row r="4442" spans="1:17">
      <c r="A4442" s="366" t="s">
        <v>6398</v>
      </c>
      <c r="B4442" s="366" t="s">
        <v>231</v>
      </c>
      <c r="C4442" s="348" t="str">
        <f>DATA_PROPERTY_MASTER!$A$19</f>
        <v>BLD_PS</v>
      </c>
      <c r="D4442" s="380">
        <f>'00_PORTFOLIO ROLLUP'!K$12</f>
        <v>2031</v>
      </c>
      <c r="E4442" s="366" t="s">
        <v>1683</v>
      </c>
      <c r="F4442" s="366" t="s">
        <v>341</v>
      </c>
      <c r="G4442" s="348" t="str">
        <f>"'"&amp;$C4442&amp;"'!$E$24:$Y$24"</f>
        <v>'BLD_PS'!$E$24:$Y$24</v>
      </c>
      <c r="H4442" s="381">
        <f ca="1">IF(IFERROR(INDEX(DATA_PROPERTY_MASTER!$E$5:$E$21,MATCH($C4442,DATA_PROPERTY_MASTER!$A$5:$A$21,0))="Yes",FALSE),IFERROR(INDEX(INDIRECT("'"&amp;$C4442&amp;"'!$E$24:$Y$24"),1,MATCH($D4442,INDIRECT("'"&amp;$C4442&amp;"'!$E$12:$Y$12"),0)),0),0)</f>
        <v>1885189.7477581014</v>
      </c>
      <c r="I4442" s="366" t="s">
        <v>1685</v>
      </c>
      <c r="J4442" s="348" t="str">
        <f t="shared" ca="1" si="138"/>
        <v>OK</v>
      </c>
      <c r="K4442" s="366" t="s">
        <v>1686</v>
      </c>
      <c r="L4442" s="366" t="s">
        <v>2234</v>
      </c>
      <c r="M4442" s="350" t="str">
        <f>IF($B4442="Portfolio","Portfolio",IFERROR(INDEX(DATA_ASSET_CLASSIFICATION!$B$8:$B$24,MATCH($C4442,DATA_ASSET_CLASSIFICATION!$A$8:$A$24,0)),"Review"))</f>
        <v>450 Pacific Street</v>
      </c>
      <c r="N4442" s="350" t="str">
        <f>IF($B4442="Portfolio","Portfolio",IFERROR(INDEX(DATA_ASSET_CLASSIFICATION!$U$8:$U$24,MATCH($C4442,DATA_ASSET_CLASSIFICATION!$A$8:$A$24,0)),"Review"))</f>
        <v>New Build</v>
      </c>
      <c r="O4442" s="350" t="str">
        <f>IF($B4442="Portfolio","Portfolio",IFERROR(INDEX(DATA_ASSET_CLASSIFICATION!$AB$8:$AB$13,MATCH($N4442,DATA_ASSET_CLASSIFICATION!$AA$8:$AA$13,0)),"Review"))</f>
        <v>Bucket 1 · New Build</v>
      </c>
      <c r="P4442" s="350" t="str">
        <f>IF($B4442="Portfolio","Portfolio",IFERROR(INDEX(DATA_ASSET_CLASSIFICATION!$C$8:$C$24,MATCH($C4442,DATA_ASSET_CLASSIFICATION!$A$8:$A$24,0)),"Review"))</f>
        <v>Yes</v>
      </c>
      <c r="Q4442" s="350" t="str">
        <f t="shared" ca="1" si="139"/>
        <v>OK</v>
      </c>
    </row>
    <row r="4443" spans="1:17">
      <c r="A4443" s="366" t="s">
        <v>6399</v>
      </c>
      <c r="B4443" s="366" t="s">
        <v>231</v>
      </c>
      <c r="C4443" s="348" t="str">
        <f>DATA_PROPERTY_MASTER!$A$19</f>
        <v>BLD_PS</v>
      </c>
      <c r="D4443" s="380">
        <f>'00_PORTFOLIO ROLLUP'!K$12</f>
        <v>2031</v>
      </c>
      <c r="E4443" s="366" t="s">
        <v>1683</v>
      </c>
      <c r="F4443" s="366" t="s">
        <v>355</v>
      </c>
      <c r="G4443" s="348" t="str">
        <f>"'"&amp;$C4443&amp;"'!$E$39:$Y$39"</f>
        <v>'BLD_PS'!$E$39:$Y$39</v>
      </c>
      <c r="H4443" s="381">
        <f ca="1">IF(IFERROR(INDEX(DATA_PROPERTY_MASTER!$E$5:$E$21,MATCH($C4443,DATA_PROPERTY_MASTER!$A$5:$A$21,0))="Yes",FALSE),IFERROR(INDEX(INDIRECT("'"&amp;$C4443&amp;"'!$E$39:$Y$39"),1,MATCH($D4443,INDIRECT("'"&amp;$C4443&amp;"'!$E$12:$Y$12"),0)),0),0)</f>
        <v>867821.57947351888</v>
      </c>
      <c r="I4443" s="366" t="s">
        <v>1690</v>
      </c>
      <c r="J4443" s="348" t="str">
        <f t="shared" ca="1" si="138"/>
        <v>OK</v>
      </c>
      <c r="K4443" s="366" t="s">
        <v>1686</v>
      </c>
      <c r="L4443" s="366" t="s">
        <v>2236</v>
      </c>
      <c r="M4443" s="350" t="str">
        <f>IF($B4443="Portfolio","Portfolio",IFERROR(INDEX(DATA_ASSET_CLASSIFICATION!$B$8:$B$24,MATCH($C4443,DATA_ASSET_CLASSIFICATION!$A$8:$A$24,0)),"Review"))</f>
        <v>450 Pacific Street</v>
      </c>
      <c r="N4443" s="350" t="str">
        <f>IF($B4443="Portfolio","Portfolio",IFERROR(INDEX(DATA_ASSET_CLASSIFICATION!$U$8:$U$24,MATCH($C4443,DATA_ASSET_CLASSIFICATION!$A$8:$A$24,0)),"Review"))</f>
        <v>New Build</v>
      </c>
      <c r="O4443" s="350" t="str">
        <f>IF($B4443="Portfolio","Portfolio",IFERROR(INDEX(DATA_ASSET_CLASSIFICATION!$AB$8:$AB$13,MATCH($N4443,DATA_ASSET_CLASSIFICATION!$AA$8:$AA$13,0)),"Review"))</f>
        <v>Bucket 1 · New Build</v>
      </c>
      <c r="P4443" s="350" t="str">
        <f>IF($B4443="Portfolio","Portfolio",IFERROR(INDEX(DATA_ASSET_CLASSIFICATION!$C$8:$C$24,MATCH($C4443,DATA_ASSET_CLASSIFICATION!$A$8:$A$24,0)),"Review"))</f>
        <v>Yes</v>
      </c>
      <c r="Q4443" s="350" t="str">
        <f t="shared" ca="1" si="139"/>
        <v>OK</v>
      </c>
    </row>
    <row r="4444" spans="1:17">
      <c r="A4444" s="366" t="s">
        <v>6400</v>
      </c>
      <c r="B4444" s="366" t="s">
        <v>231</v>
      </c>
      <c r="C4444" s="348" t="str">
        <f>DATA_PROPERTY_MASTER!$A$19</f>
        <v>BLD_PS</v>
      </c>
      <c r="D4444" s="380">
        <f>'00_PORTFOLIO ROLLUP'!K$12</f>
        <v>2031</v>
      </c>
      <c r="E4444" s="366" t="s">
        <v>1683</v>
      </c>
      <c r="F4444" s="366" t="s">
        <v>19</v>
      </c>
      <c r="G4444" s="348" t="str">
        <f>"'"&amp;$C4444&amp;"'!$E$41:$Y$41"</f>
        <v>'BLD_PS'!$E$41:$Y$41</v>
      </c>
      <c r="H4444" s="381">
        <f ca="1">IF(IFERROR(INDEX(DATA_PROPERTY_MASTER!$E$5:$E$21,MATCH($C4444,DATA_PROPERTY_MASTER!$A$5:$A$21,0))="Yes",FALSE),IFERROR(INDEX(INDIRECT("'"&amp;$C4444&amp;"'!$E$41:$Y$41"),1,MATCH($D4444,INDIRECT("'"&amp;$C4444&amp;"'!$E$12:$Y$12"),0)),0),0)</f>
        <v>1017368.1682845826</v>
      </c>
      <c r="I4444" s="366" t="s">
        <v>1685</v>
      </c>
      <c r="J4444" s="348" t="str">
        <f t="shared" ca="1" si="138"/>
        <v>OK</v>
      </c>
      <c r="K4444" s="366" t="s">
        <v>1694</v>
      </c>
      <c r="L4444" s="366" t="s">
        <v>2238</v>
      </c>
      <c r="M4444" s="350" t="str">
        <f>IF($B4444="Portfolio","Portfolio",IFERROR(INDEX(DATA_ASSET_CLASSIFICATION!$B$8:$B$24,MATCH($C4444,DATA_ASSET_CLASSIFICATION!$A$8:$A$24,0)),"Review"))</f>
        <v>450 Pacific Street</v>
      </c>
      <c r="N4444" s="350" t="str">
        <f>IF($B4444="Portfolio","Portfolio",IFERROR(INDEX(DATA_ASSET_CLASSIFICATION!$U$8:$U$24,MATCH($C4444,DATA_ASSET_CLASSIFICATION!$A$8:$A$24,0)),"Review"))</f>
        <v>New Build</v>
      </c>
      <c r="O4444" s="350" t="str">
        <f>IF($B4444="Portfolio","Portfolio",IFERROR(INDEX(DATA_ASSET_CLASSIFICATION!$AB$8:$AB$13,MATCH($N4444,DATA_ASSET_CLASSIFICATION!$AA$8:$AA$13,0)),"Review"))</f>
        <v>Bucket 1 · New Build</v>
      </c>
      <c r="P4444" s="350" t="str">
        <f>IF($B4444="Portfolio","Portfolio",IFERROR(INDEX(DATA_ASSET_CLASSIFICATION!$C$8:$C$24,MATCH($C4444,DATA_ASSET_CLASSIFICATION!$A$8:$A$24,0)),"Review"))</f>
        <v>Yes</v>
      </c>
      <c r="Q4444" s="350" t="str">
        <f t="shared" ca="1" si="139"/>
        <v>OK</v>
      </c>
    </row>
    <row r="4445" spans="1:17">
      <c r="A4445" s="366" t="s">
        <v>6401</v>
      </c>
      <c r="B4445" s="366" t="s">
        <v>231</v>
      </c>
      <c r="C4445" s="348" t="str">
        <f>DATA_PROPERTY_MASTER!$A$19</f>
        <v>BLD_PS</v>
      </c>
      <c r="D4445" s="380">
        <f>'00_PORTFOLIO ROLLUP'!K$12</f>
        <v>2031</v>
      </c>
      <c r="E4445" s="366" t="s">
        <v>1683</v>
      </c>
      <c r="F4445" s="366" t="s">
        <v>1697</v>
      </c>
      <c r="G4445" s="348" t="str">
        <f>"'"&amp;$C4445&amp;"'!$E$44:$Y$44"</f>
        <v>'BLD_PS'!$E$44:$Y$44</v>
      </c>
      <c r="H4445" s="381">
        <f ca="1">IF(IFERROR(INDEX(DATA_PROPERTY_MASTER!$E$5:$E$21,MATCH($C4445,DATA_PROPERTY_MASTER!$A$5:$A$21,0))="Yes",FALSE),IFERROR(INDEX(INDIRECT("'"&amp;$C4445&amp;"'!$E$44:$Y$44"),1,MATCH($D4445,INDIRECT("'"&amp;$C4445&amp;"'!$E$12:$Y$12"),0)),0),0)</f>
        <v>15372.1170229536</v>
      </c>
      <c r="I4445" s="366" t="s">
        <v>1690</v>
      </c>
      <c r="J4445" s="348" t="str">
        <f t="shared" ca="1" si="138"/>
        <v>OK</v>
      </c>
      <c r="K4445" s="366" t="s">
        <v>1699</v>
      </c>
      <c r="L4445" s="366" t="s">
        <v>2240</v>
      </c>
      <c r="M4445" s="350" t="str">
        <f>IF($B4445="Portfolio","Portfolio",IFERROR(INDEX(DATA_ASSET_CLASSIFICATION!$B$8:$B$24,MATCH($C4445,DATA_ASSET_CLASSIFICATION!$A$8:$A$24,0)),"Review"))</f>
        <v>450 Pacific Street</v>
      </c>
      <c r="N4445" s="350" t="str">
        <f>IF($B4445="Portfolio","Portfolio",IFERROR(INDEX(DATA_ASSET_CLASSIFICATION!$U$8:$U$24,MATCH($C4445,DATA_ASSET_CLASSIFICATION!$A$8:$A$24,0)),"Review"))</f>
        <v>New Build</v>
      </c>
      <c r="O4445" s="350" t="str">
        <f>IF($B4445="Portfolio","Portfolio",IFERROR(INDEX(DATA_ASSET_CLASSIFICATION!$AB$8:$AB$13,MATCH($N4445,DATA_ASSET_CLASSIFICATION!$AA$8:$AA$13,0)),"Review"))</f>
        <v>Bucket 1 · New Build</v>
      </c>
      <c r="P4445" s="350" t="str">
        <f>IF($B4445="Portfolio","Portfolio",IFERROR(INDEX(DATA_ASSET_CLASSIFICATION!$C$8:$C$24,MATCH($C4445,DATA_ASSET_CLASSIFICATION!$A$8:$A$24,0)),"Review"))</f>
        <v>Yes</v>
      </c>
      <c r="Q4445" s="350" t="str">
        <f t="shared" ca="1" si="139"/>
        <v>OK</v>
      </c>
    </row>
    <row r="4446" spans="1:17">
      <c r="A4446" s="366" t="s">
        <v>6402</v>
      </c>
      <c r="B4446" s="366" t="s">
        <v>231</v>
      </c>
      <c r="C4446" s="348" t="str">
        <f>DATA_PROPERTY_MASTER!$A$19</f>
        <v>BLD_PS</v>
      </c>
      <c r="D4446" s="380">
        <f>'00_PORTFOLIO ROLLUP'!K$12</f>
        <v>2031</v>
      </c>
      <c r="E4446" s="366" t="s">
        <v>1683</v>
      </c>
      <c r="F4446" s="366" t="s">
        <v>21</v>
      </c>
      <c r="G4446" s="348" t="str">
        <f>"'"&amp;$C4446&amp;"'!$E$45:$Y$45"</f>
        <v>'BLD_PS'!$E$45:$Y$45</v>
      </c>
      <c r="H4446" s="381">
        <f ca="1">IF(IFERROR(INDEX(DATA_PROPERTY_MASTER!$E$5:$E$21,MATCH($C4446,DATA_PROPERTY_MASTER!$A$5:$A$21,0))="Yes",FALSE),IFERROR(INDEX(INDIRECT("'"&amp;$C4446&amp;"'!$E$45:$Y$45"),1,MATCH($D4446,INDIRECT("'"&amp;$C4446&amp;"'!$E$12:$Y$12"),0)),0),0)</f>
        <v>1001996.051261629</v>
      </c>
      <c r="I4446" s="366" t="s">
        <v>1685</v>
      </c>
      <c r="J4446" s="348" t="str">
        <f t="shared" ca="1" si="138"/>
        <v>OK</v>
      </c>
      <c r="K4446" s="366" t="s">
        <v>1694</v>
      </c>
      <c r="L4446" s="366" t="s">
        <v>2242</v>
      </c>
      <c r="M4446" s="350" t="str">
        <f>IF($B4446="Portfolio","Portfolio",IFERROR(INDEX(DATA_ASSET_CLASSIFICATION!$B$8:$B$24,MATCH($C4446,DATA_ASSET_CLASSIFICATION!$A$8:$A$24,0)),"Review"))</f>
        <v>450 Pacific Street</v>
      </c>
      <c r="N4446" s="350" t="str">
        <f>IF($B4446="Portfolio","Portfolio",IFERROR(INDEX(DATA_ASSET_CLASSIFICATION!$U$8:$U$24,MATCH($C4446,DATA_ASSET_CLASSIFICATION!$A$8:$A$24,0)),"Review"))</f>
        <v>New Build</v>
      </c>
      <c r="O4446" s="350" t="str">
        <f>IF($B4446="Portfolio","Portfolio",IFERROR(INDEX(DATA_ASSET_CLASSIFICATION!$AB$8:$AB$13,MATCH($N4446,DATA_ASSET_CLASSIFICATION!$AA$8:$AA$13,0)),"Review"))</f>
        <v>Bucket 1 · New Build</v>
      </c>
      <c r="P4446" s="350" t="str">
        <f>IF($B4446="Portfolio","Portfolio",IFERROR(INDEX(DATA_ASSET_CLASSIFICATION!$C$8:$C$24,MATCH($C4446,DATA_ASSET_CLASSIFICATION!$A$8:$A$24,0)),"Review"))</f>
        <v>Yes</v>
      </c>
      <c r="Q4446" s="350" t="str">
        <f t="shared" ca="1" si="139"/>
        <v>OK</v>
      </c>
    </row>
    <row r="4447" spans="1:17">
      <c r="A4447" s="366" t="s">
        <v>6403</v>
      </c>
      <c r="B4447" s="366" t="s">
        <v>231</v>
      </c>
      <c r="C4447" s="348" t="str">
        <f>DATA_PROPERTY_MASTER!$A$19</f>
        <v>BLD_PS</v>
      </c>
      <c r="D4447" s="380">
        <f>'00_PORTFOLIO ROLLUP'!K$12</f>
        <v>2031</v>
      </c>
      <c r="E4447" s="366" t="s">
        <v>23</v>
      </c>
      <c r="F4447" s="366" t="s">
        <v>23</v>
      </c>
      <c r="G4447" s="348" t="str">
        <f>"'"&amp;$C4447&amp;"'!$E$48:$Y$48"</f>
        <v>'BLD_PS'!$E$48:$Y$48</v>
      </c>
      <c r="H4447" s="381">
        <f ca="1">IF(IFERROR(INDEX(DATA_PROPERTY_MASTER!$E$5:$E$21,MATCH($C4447,DATA_PROPERTY_MASTER!$A$5:$A$21,0))="Yes",FALSE),IFERROR(INDEX(INDIRECT("'"&amp;$C4447&amp;"'!$E$48:$Y$48"),1,MATCH($D4447,INDIRECT("'"&amp;$C4447&amp;"'!$E$12:$Y$12"),0)),0),0)</f>
        <v>667460.46017404622</v>
      </c>
      <c r="I4447" s="366" t="s">
        <v>1690</v>
      </c>
      <c r="J4447" s="348" t="str">
        <f t="shared" ca="1" si="138"/>
        <v>OK</v>
      </c>
      <c r="K4447" s="366" t="s">
        <v>1706</v>
      </c>
      <c r="L4447" s="366" t="s">
        <v>2244</v>
      </c>
      <c r="M4447" s="350" t="str">
        <f>IF($B4447="Portfolio","Portfolio",IFERROR(INDEX(DATA_ASSET_CLASSIFICATION!$B$8:$B$24,MATCH($C4447,DATA_ASSET_CLASSIFICATION!$A$8:$A$24,0)),"Review"))</f>
        <v>450 Pacific Street</v>
      </c>
      <c r="N4447" s="350" t="str">
        <f>IF($B4447="Portfolio","Portfolio",IFERROR(INDEX(DATA_ASSET_CLASSIFICATION!$U$8:$U$24,MATCH($C4447,DATA_ASSET_CLASSIFICATION!$A$8:$A$24,0)),"Review"))</f>
        <v>New Build</v>
      </c>
      <c r="O4447" s="350" t="str">
        <f>IF($B4447="Portfolio","Portfolio",IFERROR(INDEX(DATA_ASSET_CLASSIFICATION!$AB$8:$AB$13,MATCH($N4447,DATA_ASSET_CLASSIFICATION!$AA$8:$AA$13,0)),"Review"))</f>
        <v>Bucket 1 · New Build</v>
      </c>
      <c r="P4447" s="350" t="str">
        <f>IF($B4447="Portfolio","Portfolio",IFERROR(INDEX(DATA_ASSET_CLASSIFICATION!$C$8:$C$24,MATCH($C4447,DATA_ASSET_CLASSIFICATION!$A$8:$A$24,0)),"Review"))</f>
        <v>Yes</v>
      </c>
      <c r="Q4447" s="350" t="str">
        <f t="shared" ca="1" si="139"/>
        <v>OK</v>
      </c>
    </row>
    <row r="4448" spans="1:17">
      <c r="A4448" s="366" t="s">
        <v>6404</v>
      </c>
      <c r="B4448" s="366" t="s">
        <v>231</v>
      </c>
      <c r="C4448" s="348" t="str">
        <f>DATA_PROPERTY_MASTER!$A$19</f>
        <v>BLD_PS</v>
      </c>
      <c r="D4448" s="380">
        <f>'00_PORTFOLIO ROLLUP'!K$12</f>
        <v>2031</v>
      </c>
      <c r="E4448" s="366" t="s">
        <v>1683</v>
      </c>
      <c r="F4448" s="366" t="s">
        <v>25</v>
      </c>
      <c r="G4448" s="348" t="str">
        <f>"'"&amp;$C4448&amp;"'!$E$52:$Y$52"</f>
        <v>'BLD_PS'!$E$52:$Y$52</v>
      </c>
      <c r="H4448" s="381">
        <f ca="1">IF(IFERROR(INDEX(DATA_PROPERTY_MASTER!$E$5:$E$21,MATCH($C4448,DATA_PROPERTY_MASTER!$A$5:$A$21,0))="Yes",FALSE),IFERROR(INDEX(INDIRECT("'"&amp;$C4448&amp;"'!$E$52:$Y$52"),1,MATCH($D4448,INDIRECT("'"&amp;$C4448&amp;"'!$E$12:$Y$12"),0)),0),0)</f>
        <v>349907.70811053633</v>
      </c>
      <c r="I4448" s="366" t="s">
        <v>1685</v>
      </c>
      <c r="J4448" s="348" t="str">
        <f t="shared" ca="1" si="138"/>
        <v>OK</v>
      </c>
      <c r="K4448" s="366" t="s">
        <v>1710</v>
      </c>
      <c r="L4448" s="366" t="s">
        <v>2246</v>
      </c>
      <c r="M4448" s="350" t="str">
        <f>IF($B4448="Portfolio","Portfolio",IFERROR(INDEX(DATA_ASSET_CLASSIFICATION!$B$8:$B$24,MATCH($C4448,DATA_ASSET_CLASSIFICATION!$A$8:$A$24,0)),"Review"))</f>
        <v>450 Pacific Street</v>
      </c>
      <c r="N4448" s="350" t="str">
        <f>IF($B4448="Portfolio","Portfolio",IFERROR(INDEX(DATA_ASSET_CLASSIFICATION!$U$8:$U$24,MATCH($C4448,DATA_ASSET_CLASSIFICATION!$A$8:$A$24,0)),"Review"))</f>
        <v>New Build</v>
      </c>
      <c r="O4448" s="350" t="str">
        <f>IF($B4448="Portfolio","Portfolio",IFERROR(INDEX(DATA_ASSET_CLASSIFICATION!$AB$8:$AB$13,MATCH($N4448,DATA_ASSET_CLASSIFICATION!$AA$8:$AA$13,0)),"Review"))</f>
        <v>Bucket 1 · New Build</v>
      </c>
      <c r="P4448" s="350" t="str">
        <f>IF($B4448="Portfolio","Portfolio",IFERROR(INDEX(DATA_ASSET_CLASSIFICATION!$C$8:$C$24,MATCH($C4448,DATA_ASSET_CLASSIFICATION!$A$8:$A$24,0)),"Review"))</f>
        <v>Yes</v>
      </c>
      <c r="Q4448" s="350" t="str">
        <f t="shared" ca="1" si="139"/>
        <v>OK</v>
      </c>
    </row>
    <row r="4449" spans="1:17">
      <c r="A4449" s="366" t="s">
        <v>6405</v>
      </c>
      <c r="B4449" s="366" t="s">
        <v>231</v>
      </c>
      <c r="C4449" s="348" t="str">
        <f>DATA_PROPERTY_MASTER!$A$19</f>
        <v>BLD_PS</v>
      </c>
      <c r="D4449" s="380">
        <f>'00_PORTFOLIO ROLLUP'!K$12</f>
        <v>2031</v>
      </c>
      <c r="E4449" s="366" t="s">
        <v>1683</v>
      </c>
      <c r="F4449" s="366" t="s">
        <v>27</v>
      </c>
      <c r="G4449" s="348" t="str">
        <f>"'"&amp;$C4449&amp;"'!$E$54:$Y$54"</f>
        <v>'BLD_PS'!$E$54:$Y$54</v>
      </c>
      <c r="H4449" s="381">
        <f ca="1">IF(IFERROR(INDEX(DATA_PROPERTY_MASTER!$E$5:$E$21,MATCH($C4449,DATA_PROPERTY_MASTER!$A$5:$A$21,0))="Yes",FALSE),IFERROR(INDEX(INDIRECT("'"&amp;$C4449&amp;"'!$E$54:$Y$54"),1,MATCH($D4449,INDIRECT("'"&amp;$C4449&amp;"'!$E$12:$Y$12"),0)),0),0)</f>
        <v>209944.6248663218</v>
      </c>
      <c r="I4449" s="366" t="s">
        <v>1690</v>
      </c>
      <c r="J4449" s="348" t="str">
        <f t="shared" ca="1" si="138"/>
        <v>OK</v>
      </c>
      <c r="K4449" s="366" t="s">
        <v>1714</v>
      </c>
      <c r="L4449" s="366" t="s">
        <v>2248</v>
      </c>
      <c r="M4449" s="350" t="str">
        <f>IF($B4449="Portfolio","Portfolio",IFERROR(INDEX(DATA_ASSET_CLASSIFICATION!$B$8:$B$24,MATCH($C4449,DATA_ASSET_CLASSIFICATION!$A$8:$A$24,0)),"Review"))</f>
        <v>450 Pacific Street</v>
      </c>
      <c r="N4449" s="350" t="str">
        <f>IF($B4449="Portfolio","Portfolio",IFERROR(INDEX(DATA_ASSET_CLASSIFICATION!$U$8:$U$24,MATCH($C4449,DATA_ASSET_CLASSIFICATION!$A$8:$A$24,0)),"Review"))</f>
        <v>New Build</v>
      </c>
      <c r="O4449" s="350" t="str">
        <f>IF($B4449="Portfolio","Portfolio",IFERROR(INDEX(DATA_ASSET_CLASSIFICATION!$AB$8:$AB$13,MATCH($N4449,DATA_ASSET_CLASSIFICATION!$AA$8:$AA$13,0)),"Review"))</f>
        <v>Bucket 1 · New Build</v>
      </c>
      <c r="P4449" s="350" t="str">
        <f>IF($B4449="Portfolio","Portfolio",IFERROR(INDEX(DATA_ASSET_CLASSIFICATION!$C$8:$C$24,MATCH($C4449,DATA_ASSET_CLASSIFICATION!$A$8:$A$24,0)),"Review"))</f>
        <v>Yes</v>
      </c>
      <c r="Q4449" s="350" t="str">
        <f t="shared" ca="1" si="139"/>
        <v>OK</v>
      </c>
    </row>
    <row r="4450" spans="1:17">
      <c r="A4450" s="366" t="s">
        <v>6406</v>
      </c>
      <c r="B4450" s="366" t="s">
        <v>231</v>
      </c>
      <c r="C4450" s="348" t="str">
        <f>DATA_PROPERTY_MASTER!$A$19</f>
        <v>BLD_PS</v>
      </c>
      <c r="D4450" s="380">
        <f>'00_PORTFOLIO ROLLUP'!K$12</f>
        <v>2031</v>
      </c>
      <c r="E4450" s="366" t="s">
        <v>1683</v>
      </c>
      <c r="F4450" s="366" t="s">
        <v>29</v>
      </c>
      <c r="G4450" s="348" t="str">
        <f>"'"&amp;$C4450&amp;"'!$E$56:$Y$56"</f>
        <v>'BLD_PS'!$E$56:$Y$56</v>
      </c>
      <c r="H4450" s="381">
        <f ca="1">IF(IFERROR(INDEX(DATA_PROPERTY_MASTER!$E$5:$E$21,MATCH($C4450,DATA_PROPERTY_MASTER!$A$5:$A$21,0))="Yes",FALSE),IFERROR(INDEX(INDIRECT("'"&amp;$C4450&amp;"'!$E$56:$Y$56"),1,MATCH($D4450,INDIRECT("'"&amp;$C4450&amp;"'!$E$12:$Y$12"),0)),0),0)</f>
        <v>139963.08324421453</v>
      </c>
      <c r="I4450" s="366" t="s">
        <v>1685</v>
      </c>
      <c r="J4450" s="348" t="str">
        <f t="shared" ca="1" si="138"/>
        <v>OK</v>
      </c>
      <c r="K4450" s="366" t="s">
        <v>1718</v>
      </c>
      <c r="L4450" s="366" t="s">
        <v>2250</v>
      </c>
      <c r="M4450" s="350" t="str">
        <f>IF($B4450="Portfolio","Portfolio",IFERROR(INDEX(DATA_ASSET_CLASSIFICATION!$B$8:$B$24,MATCH($C4450,DATA_ASSET_CLASSIFICATION!$A$8:$A$24,0)),"Review"))</f>
        <v>450 Pacific Street</v>
      </c>
      <c r="N4450" s="350" t="str">
        <f>IF($B4450="Portfolio","Portfolio",IFERROR(INDEX(DATA_ASSET_CLASSIFICATION!$U$8:$U$24,MATCH($C4450,DATA_ASSET_CLASSIFICATION!$A$8:$A$24,0)),"Review"))</f>
        <v>New Build</v>
      </c>
      <c r="O4450" s="350" t="str">
        <f>IF($B4450="Portfolio","Portfolio",IFERROR(INDEX(DATA_ASSET_CLASSIFICATION!$AB$8:$AB$13,MATCH($N4450,DATA_ASSET_CLASSIFICATION!$AA$8:$AA$13,0)),"Review"))</f>
        <v>Bucket 1 · New Build</v>
      </c>
      <c r="P4450" s="350" t="str">
        <f>IF($B4450="Portfolio","Portfolio",IFERROR(INDEX(DATA_ASSET_CLASSIFICATION!$C$8:$C$24,MATCH($C4450,DATA_ASSET_CLASSIFICATION!$A$8:$A$24,0)),"Review"))</f>
        <v>Yes</v>
      </c>
      <c r="Q4450" s="350" t="str">
        <f t="shared" ca="1" si="139"/>
        <v>OK</v>
      </c>
    </row>
    <row r="4451" spans="1:17">
      <c r="A4451" s="366" t="s">
        <v>6407</v>
      </c>
      <c r="B4451" s="366" t="s">
        <v>231</v>
      </c>
      <c r="C4451" s="348" t="str">
        <f>DATA_PROPERTY_MASTER!$A$19</f>
        <v>BLD_PS</v>
      </c>
      <c r="D4451" s="380">
        <f>'00_PORTFOLIO ROLLUP'!K$12</f>
        <v>2031</v>
      </c>
      <c r="E4451" s="366" t="s">
        <v>1721</v>
      </c>
      <c r="F4451" s="366" t="s">
        <v>31</v>
      </c>
      <c r="G4451" s="348" t="str">
        <f>"'"&amp;$C4451&amp;"'!$E$61:$Y$61"</f>
        <v>'BLD_PS'!$E$61:$Y$61</v>
      </c>
      <c r="H4451" s="381">
        <f ca="1">IF(IFERROR(INDEX(DATA_PROPERTY_MASTER!$E$5:$E$21,MATCH($C4451,DATA_PROPERTY_MASTER!$A$5:$A$21,0))="Yes",FALSE),IFERROR(INDEX(INDIRECT("'"&amp;$C4451&amp;"'!$E$61:$Y$61"),1,MATCH($D4451,INDIRECT("'"&amp;$C4451&amp;"'!$E$12:$Y$12"),0)),0),0)</f>
        <v>0</v>
      </c>
      <c r="I4451" s="366" t="s">
        <v>1690</v>
      </c>
      <c r="J4451" s="348" t="str">
        <f t="shared" ca="1" si="138"/>
        <v>OK</v>
      </c>
      <c r="K4451" s="366" t="s">
        <v>1723</v>
      </c>
      <c r="L4451" s="366" t="s">
        <v>2252</v>
      </c>
      <c r="M4451" s="350" t="str">
        <f>IF($B4451="Portfolio","Portfolio",IFERROR(INDEX(DATA_ASSET_CLASSIFICATION!$B$8:$B$24,MATCH($C4451,DATA_ASSET_CLASSIFICATION!$A$8:$A$24,0)),"Review"))</f>
        <v>450 Pacific Street</v>
      </c>
      <c r="N4451" s="350" t="str">
        <f>IF($B4451="Portfolio","Portfolio",IFERROR(INDEX(DATA_ASSET_CLASSIFICATION!$U$8:$U$24,MATCH($C4451,DATA_ASSET_CLASSIFICATION!$A$8:$A$24,0)),"Review"))</f>
        <v>New Build</v>
      </c>
      <c r="O4451" s="350" t="str">
        <f>IF($B4451="Portfolio","Portfolio",IFERROR(INDEX(DATA_ASSET_CLASSIFICATION!$AB$8:$AB$13,MATCH($N4451,DATA_ASSET_CLASSIFICATION!$AA$8:$AA$13,0)),"Review"))</f>
        <v>Bucket 1 · New Build</v>
      </c>
      <c r="P4451" s="350" t="str">
        <f>IF($B4451="Portfolio","Portfolio",IFERROR(INDEX(DATA_ASSET_CLASSIFICATION!$C$8:$C$24,MATCH($C4451,DATA_ASSET_CLASSIFICATION!$A$8:$A$24,0)),"Review"))</f>
        <v>Yes</v>
      </c>
      <c r="Q4451" s="350" t="str">
        <f t="shared" ca="1" si="139"/>
        <v>OK</v>
      </c>
    </row>
    <row r="4452" spans="1:17">
      <c r="A4452" s="366" t="s">
        <v>6408</v>
      </c>
      <c r="B4452" s="366" t="s">
        <v>231</v>
      </c>
      <c r="C4452" s="348" t="str">
        <f>DATA_PROPERTY_MASTER!$A$19</f>
        <v>BLD_PS</v>
      </c>
      <c r="D4452" s="380">
        <f>'00_PORTFOLIO ROLLUP'!K$12</f>
        <v>2031</v>
      </c>
      <c r="E4452" s="366" t="s">
        <v>1721</v>
      </c>
      <c r="F4452" s="366" t="s">
        <v>33</v>
      </c>
      <c r="G4452" s="348" t="str">
        <f>"'"&amp;$C4452&amp;"'!$E$62:$Y$62"</f>
        <v>'BLD_PS'!$E$62:$Y$62</v>
      </c>
      <c r="H4452" s="381">
        <f ca="1">IF(IFERROR(INDEX(DATA_PROPERTY_MASTER!$E$5:$E$21,MATCH($C4452,DATA_PROPERTY_MASTER!$A$5:$A$21,0))="Yes",FALSE),IFERROR(INDEX(INDIRECT("'"&amp;$C4452&amp;"'!$E$62:$Y$62"),1,MATCH($D4452,INDIRECT("'"&amp;$C4452&amp;"'!$E$12:$Y$12"),0)),0),0)</f>
        <v>0</v>
      </c>
      <c r="I4452" s="366" t="s">
        <v>1685</v>
      </c>
      <c r="J4452" s="348" t="str">
        <f t="shared" ca="1" si="138"/>
        <v>OK</v>
      </c>
      <c r="K4452" s="366" t="s">
        <v>1727</v>
      </c>
      <c r="L4452" s="366" t="s">
        <v>2254</v>
      </c>
      <c r="M4452" s="350" t="str">
        <f>IF($B4452="Portfolio","Portfolio",IFERROR(INDEX(DATA_ASSET_CLASSIFICATION!$B$8:$B$24,MATCH($C4452,DATA_ASSET_CLASSIFICATION!$A$8:$A$24,0)),"Review"))</f>
        <v>450 Pacific Street</v>
      </c>
      <c r="N4452" s="350" t="str">
        <f>IF($B4452="Portfolio","Portfolio",IFERROR(INDEX(DATA_ASSET_CLASSIFICATION!$U$8:$U$24,MATCH($C4452,DATA_ASSET_CLASSIFICATION!$A$8:$A$24,0)),"Review"))</f>
        <v>New Build</v>
      </c>
      <c r="O4452" s="350" t="str">
        <f>IF($B4452="Portfolio","Portfolio",IFERROR(INDEX(DATA_ASSET_CLASSIFICATION!$AB$8:$AB$13,MATCH($N4452,DATA_ASSET_CLASSIFICATION!$AA$8:$AA$13,0)),"Review"))</f>
        <v>Bucket 1 · New Build</v>
      </c>
      <c r="P4452" s="350" t="str">
        <f>IF($B4452="Portfolio","Portfolio",IFERROR(INDEX(DATA_ASSET_CLASSIFICATION!$C$8:$C$24,MATCH($C4452,DATA_ASSET_CLASSIFICATION!$A$8:$A$24,0)),"Review"))</f>
        <v>Yes</v>
      </c>
      <c r="Q4452" s="350" t="str">
        <f t="shared" ca="1" si="139"/>
        <v>OK</v>
      </c>
    </row>
    <row r="4453" spans="1:17">
      <c r="A4453" s="366" t="s">
        <v>6409</v>
      </c>
      <c r="B4453" s="366" t="s">
        <v>231</v>
      </c>
      <c r="C4453" s="348" t="str">
        <f>DATA_PROPERTY_MASTER!$A$19</f>
        <v>BLD_PS</v>
      </c>
      <c r="D4453" s="380">
        <f>'00_PORTFOLIO ROLLUP'!K$12</f>
        <v>2031</v>
      </c>
      <c r="E4453" s="366" t="s">
        <v>1721</v>
      </c>
      <c r="F4453" s="366" t="s">
        <v>35</v>
      </c>
      <c r="G4453" s="348" t="str">
        <f>"'"&amp;$C4453&amp;"'!$E$63:$Y$63"</f>
        <v>'BLD_PS'!$E$63:$Y$63</v>
      </c>
      <c r="H4453" s="381">
        <f ca="1">IF(IFERROR(INDEX(DATA_PROPERTY_MASTER!$E$5:$E$21,MATCH($C4453,DATA_PROPERTY_MASTER!$A$5:$A$21,0))="Yes",FALSE),IFERROR(INDEX(INDIRECT("'"&amp;$C4453&amp;"'!$E$63:$Y$63"),1,MATCH($D4453,INDIRECT("'"&amp;$C4453&amp;"'!$E$12:$Y$12"),0)),0),0)</f>
        <v>0</v>
      </c>
      <c r="I4453" s="366" t="s">
        <v>1731</v>
      </c>
      <c r="J4453" s="348" t="str">
        <f t="shared" ca="1" si="138"/>
        <v>OK</v>
      </c>
      <c r="K4453" s="366" t="s">
        <v>1732</v>
      </c>
      <c r="L4453" s="366" t="s">
        <v>2256</v>
      </c>
      <c r="M4453" s="350" t="str">
        <f>IF($B4453="Portfolio","Portfolio",IFERROR(INDEX(DATA_ASSET_CLASSIFICATION!$B$8:$B$24,MATCH($C4453,DATA_ASSET_CLASSIFICATION!$A$8:$A$24,0)),"Review"))</f>
        <v>450 Pacific Street</v>
      </c>
      <c r="N4453" s="350" t="str">
        <f>IF($B4453="Portfolio","Portfolio",IFERROR(INDEX(DATA_ASSET_CLASSIFICATION!$U$8:$U$24,MATCH($C4453,DATA_ASSET_CLASSIFICATION!$A$8:$A$24,0)),"Review"))</f>
        <v>New Build</v>
      </c>
      <c r="O4453" s="350" t="str">
        <f>IF($B4453="Portfolio","Portfolio",IFERROR(INDEX(DATA_ASSET_CLASSIFICATION!$AB$8:$AB$13,MATCH($N4453,DATA_ASSET_CLASSIFICATION!$AA$8:$AA$13,0)),"Review"))</f>
        <v>Bucket 1 · New Build</v>
      </c>
      <c r="P4453" s="350" t="str">
        <f>IF($B4453="Portfolio","Portfolio",IFERROR(INDEX(DATA_ASSET_CLASSIFICATION!$C$8:$C$24,MATCH($C4453,DATA_ASSET_CLASSIFICATION!$A$8:$A$24,0)),"Review"))</f>
        <v>Yes</v>
      </c>
      <c r="Q4453" s="350" t="str">
        <f t="shared" ca="1" si="139"/>
        <v>OK</v>
      </c>
    </row>
    <row r="4454" spans="1:17">
      <c r="A4454" s="366" t="s">
        <v>6410</v>
      </c>
      <c r="B4454" s="366" t="s">
        <v>231</v>
      </c>
      <c r="C4454" s="348" t="str">
        <f>DATA_PROPERTY_MASTER!$A$19</f>
        <v>BLD_PS</v>
      </c>
      <c r="D4454" s="380">
        <f>'00_PORTFOLIO ROLLUP'!K$12</f>
        <v>2031</v>
      </c>
      <c r="E4454" s="366" t="s">
        <v>1721</v>
      </c>
      <c r="F4454" s="366" t="s">
        <v>37</v>
      </c>
      <c r="G4454" s="348" t="str">
        <f>"'"&amp;$C4454&amp;"'!$E$63:$Y$63"</f>
        <v>'BLD_PS'!$E$63:$Y$63</v>
      </c>
      <c r="H4454" s="381">
        <f ca="1">IF(IFERROR(INDEX(DATA_PROPERTY_MASTER!$E$5:$E$21,MATCH($C4454,DATA_PROPERTY_MASTER!$A$5:$A$21,0))="Yes",FALSE),MAX(IFERROR(INDEX(INDIRECT("'"&amp;$C4454&amp;"'!$E$63:$Y$63"),1,MATCH($D4454,INDIRECT("'"&amp;$C4454&amp;"'!$E$12:$Y$12"),0)),0),0),0)</f>
        <v>0</v>
      </c>
      <c r="I4454" s="366" t="s">
        <v>1685</v>
      </c>
      <c r="J4454" s="348" t="str">
        <f t="shared" ca="1" si="138"/>
        <v>OK</v>
      </c>
      <c r="K4454" s="366" t="s">
        <v>1735</v>
      </c>
      <c r="L4454" s="366" t="s">
        <v>2258</v>
      </c>
      <c r="M4454" s="350" t="str">
        <f>IF($B4454="Portfolio","Portfolio",IFERROR(INDEX(DATA_ASSET_CLASSIFICATION!$B$8:$B$24,MATCH($C4454,DATA_ASSET_CLASSIFICATION!$A$8:$A$24,0)),"Review"))</f>
        <v>450 Pacific Street</v>
      </c>
      <c r="N4454" s="350" t="str">
        <f>IF($B4454="Portfolio","Portfolio",IFERROR(INDEX(DATA_ASSET_CLASSIFICATION!$U$8:$U$24,MATCH($C4454,DATA_ASSET_CLASSIFICATION!$A$8:$A$24,0)),"Review"))</f>
        <v>New Build</v>
      </c>
      <c r="O4454" s="350" t="str">
        <f>IF($B4454="Portfolio","Portfolio",IFERROR(INDEX(DATA_ASSET_CLASSIFICATION!$AB$8:$AB$13,MATCH($N4454,DATA_ASSET_CLASSIFICATION!$AA$8:$AA$13,0)),"Review"))</f>
        <v>Bucket 1 · New Build</v>
      </c>
      <c r="P4454" s="350" t="str">
        <f>IF($B4454="Portfolio","Portfolio",IFERROR(INDEX(DATA_ASSET_CLASSIFICATION!$C$8:$C$24,MATCH($C4454,DATA_ASSET_CLASSIFICATION!$A$8:$A$24,0)),"Review"))</f>
        <v>Yes</v>
      </c>
      <c r="Q4454" s="350" t="str">
        <f t="shared" ca="1" si="139"/>
        <v>OK</v>
      </c>
    </row>
    <row r="4455" spans="1:17">
      <c r="A4455" s="366" t="s">
        <v>6411</v>
      </c>
      <c r="B4455" s="366" t="s">
        <v>231</v>
      </c>
      <c r="C4455" s="348" t="str">
        <f>DATA_PROPERTY_MASTER!$A$19</f>
        <v>BLD_PS</v>
      </c>
      <c r="D4455" s="380">
        <f>'00_PORTFOLIO ROLLUP'!K$12</f>
        <v>2031</v>
      </c>
      <c r="E4455" s="366" t="s">
        <v>1721</v>
      </c>
      <c r="F4455" s="366" t="s">
        <v>39</v>
      </c>
      <c r="G4455" s="348" t="str">
        <f>"'"&amp;$C4455&amp;"'!$E$63:$Y$63"</f>
        <v>'BLD_PS'!$E$63:$Y$63</v>
      </c>
      <c r="H4455" s="381">
        <f ca="1">IF(IFERROR(INDEX(DATA_PROPERTY_MASTER!$E$5:$E$21,MATCH($C4455,DATA_PROPERTY_MASTER!$A$5:$A$21,0))="Yes",FALSE),MAX(-IFERROR(INDEX(INDIRECT("'"&amp;$C4455&amp;"'!$E$63:$Y$63"),1,MATCH($D4455,INDIRECT("'"&amp;$C4455&amp;"'!$E$12:$Y$12"),0)),0),0),0)</f>
        <v>0</v>
      </c>
      <c r="I4455" s="366" t="s">
        <v>1690</v>
      </c>
      <c r="J4455" s="348" t="str">
        <f t="shared" ca="1" si="138"/>
        <v>OK</v>
      </c>
      <c r="K4455" s="366" t="s">
        <v>1738</v>
      </c>
      <c r="L4455" s="366" t="s">
        <v>2260</v>
      </c>
      <c r="M4455" s="350" t="str">
        <f>IF($B4455="Portfolio","Portfolio",IFERROR(INDEX(DATA_ASSET_CLASSIFICATION!$B$8:$B$24,MATCH($C4455,DATA_ASSET_CLASSIFICATION!$A$8:$A$24,0)),"Review"))</f>
        <v>450 Pacific Street</v>
      </c>
      <c r="N4455" s="350" t="str">
        <f>IF($B4455="Portfolio","Portfolio",IFERROR(INDEX(DATA_ASSET_CLASSIFICATION!$U$8:$U$24,MATCH($C4455,DATA_ASSET_CLASSIFICATION!$A$8:$A$24,0)),"Review"))</f>
        <v>New Build</v>
      </c>
      <c r="O4455" s="350" t="str">
        <f>IF($B4455="Portfolio","Portfolio",IFERROR(INDEX(DATA_ASSET_CLASSIFICATION!$AB$8:$AB$13,MATCH($N4455,DATA_ASSET_CLASSIFICATION!$AA$8:$AA$13,0)),"Review"))</f>
        <v>Bucket 1 · New Build</v>
      </c>
      <c r="P4455" s="350" t="str">
        <f>IF($B4455="Portfolio","Portfolio",IFERROR(INDEX(DATA_ASSET_CLASSIFICATION!$C$8:$C$24,MATCH($C4455,DATA_ASSET_CLASSIFICATION!$A$8:$A$24,0)),"Review"))</f>
        <v>Yes</v>
      </c>
      <c r="Q4455" s="350" t="str">
        <f t="shared" ca="1" si="139"/>
        <v>OK</v>
      </c>
    </row>
    <row r="4456" spans="1:17">
      <c r="A4456" s="366" t="s">
        <v>6412</v>
      </c>
      <c r="B4456" s="366" t="s">
        <v>231</v>
      </c>
      <c r="C4456" s="348" t="str">
        <f>DATA_PROPERTY_MASTER!$A$19</f>
        <v>BLD_PS</v>
      </c>
      <c r="D4456" s="380">
        <f>'00_PORTFOLIO ROLLUP'!K$12</f>
        <v>2031</v>
      </c>
      <c r="E4456" s="366" t="s">
        <v>1741</v>
      </c>
      <c r="F4456" s="366" t="s">
        <v>41</v>
      </c>
      <c r="G4456" s="348" t="str">
        <f>"'"&amp;$C4456&amp;"'!rows 56 + positive row 63"</f>
        <v>'BLD_PS'!rows 56 + positive row 63</v>
      </c>
      <c r="H4456" s="381">
        <f ca="1">IF(IFERROR(INDEX(DATA_PROPERTY_MASTER!$E$5:$E$21,MATCH($C4456,DATA_PROPERTY_MASTER!$A$5:$A$21,0))="Yes",FALSE),IFERROR(INDEX(INDIRECT("'"&amp;$C4456&amp;"'!$E$56:$Y$56"),1,MATCH($D4456,INDIRECT("'"&amp;$C4456&amp;"'!$E$12:$Y$12"),0)),0)+MAX(IFERROR(INDEX(INDIRECT("'"&amp;$C4456&amp;"'!$E$63:$Y$63"),1,MATCH($D4456,INDIRECT("'"&amp;$C4456&amp;"'!$E$12:$Y$12"),0)),0),0),0)</f>
        <v>139963.08324421453</v>
      </c>
      <c r="I4456" s="366" t="s">
        <v>1685</v>
      </c>
      <c r="J4456" s="348" t="str">
        <f t="shared" ca="1" si="138"/>
        <v>OK</v>
      </c>
      <c r="K4456" s="366" t="s">
        <v>1742</v>
      </c>
      <c r="L4456" s="366" t="s">
        <v>2262</v>
      </c>
      <c r="M4456" s="350" t="str">
        <f>IF($B4456="Portfolio","Portfolio",IFERROR(INDEX(DATA_ASSET_CLASSIFICATION!$B$8:$B$24,MATCH($C4456,DATA_ASSET_CLASSIFICATION!$A$8:$A$24,0)),"Review"))</f>
        <v>450 Pacific Street</v>
      </c>
      <c r="N4456" s="350" t="str">
        <f>IF($B4456="Portfolio","Portfolio",IFERROR(INDEX(DATA_ASSET_CLASSIFICATION!$U$8:$U$24,MATCH($C4456,DATA_ASSET_CLASSIFICATION!$A$8:$A$24,0)),"Review"))</f>
        <v>New Build</v>
      </c>
      <c r="O4456" s="350" t="str">
        <f>IF($B4456="Portfolio","Portfolio",IFERROR(INDEX(DATA_ASSET_CLASSIFICATION!$AB$8:$AB$13,MATCH($N4456,DATA_ASSET_CLASSIFICATION!$AA$8:$AA$13,0)),"Review"))</f>
        <v>Bucket 1 · New Build</v>
      </c>
      <c r="P4456" s="350" t="str">
        <f>IF($B4456="Portfolio","Portfolio",IFERROR(INDEX(DATA_ASSET_CLASSIFICATION!$C$8:$C$24,MATCH($C4456,DATA_ASSET_CLASSIFICATION!$A$8:$A$24,0)),"Review"))</f>
        <v>Yes</v>
      </c>
      <c r="Q4456" s="350" t="str">
        <f t="shared" ca="1" si="139"/>
        <v>OK</v>
      </c>
    </row>
    <row r="4457" spans="1:17">
      <c r="A4457" s="366" t="s">
        <v>6413</v>
      </c>
      <c r="B4457" s="366" t="s">
        <v>231</v>
      </c>
      <c r="C4457" s="348" t="str">
        <f>DATA_PROPERTY_MASTER!$A$19</f>
        <v>BLD_PS</v>
      </c>
      <c r="D4457" s="380">
        <f>'00_PORTFOLIO ROLLUP'!K$12</f>
        <v>2031</v>
      </c>
      <c r="E4457" s="366" t="s">
        <v>1741</v>
      </c>
      <c r="F4457" s="366" t="s">
        <v>43</v>
      </c>
      <c r="G4457" s="348" t="str">
        <f>"'"&amp;$C4457&amp;"'!$E$68:$Y$68"</f>
        <v>'BLD_PS'!$E$68:$Y$68</v>
      </c>
      <c r="H4457" s="381">
        <f ca="1">IF(IFERROR(INDEX(DATA_PROPERTY_MASTER!$E$5:$E$21,MATCH($C4457,DATA_PROPERTY_MASTER!$A$5:$A$21,0))="Yes",FALSE),IFERROR(INDEX(INDIRECT("'"&amp;$C4457&amp;"'!$E$68:$Y$68"),1,MATCH($D4457,INDIRECT("'"&amp;$C4457&amp;"'!$E$12:$Y$12"),0)),0),0)</f>
        <v>139963.08324421453</v>
      </c>
      <c r="I4457" s="366" t="s">
        <v>1731</v>
      </c>
      <c r="J4457" s="348" t="str">
        <f t="shared" ca="1" si="138"/>
        <v>OK</v>
      </c>
      <c r="K4457" s="366" t="s">
        <v>1746</v>
      </c>
      <c r="L4457" s="366" t="s">
        <v>2264</v>
      </c>
      <c r="M4457" s="350" t="str">
        <f>IF($B4457="Portfolio","Portfolio",IFERROR(INDEX(DATA_ASSET_CLASSIFICATION!$B$8:$B$24,MATCH($C4457,DATA_ASSET_CLASSIFICATION!$A$8:$A$24,0)),"Review"))</f>
        <v>450 Pacific Street</v>
      </c>
      <c r="N4457" s="350" t="str">
        <f>IF($B4457="Portfolio","Portfolio",IFERROR(INDEX(DATA_ASSET_CLASSIFICATION!$U$8:$U$24,MATCH($C4457,DATA_ASSET_CLASSIFICATION!$A$8:$A$24,0)),"Review"))</f>
        <v>New Build</v>
      </c>
      <c r="O4457" s="350" t="str">
        <f>IF($B4457="Portfolio","Portfolio",IFERROR(INDEX(DATA_ASSET_CLASSIFICATION!$AB$8:$AB$13,MATCH($N4457,DATA_ASSET_CLASSIFICATION!$AA$8:$AA$13,0)),"Review"))</f>
        <v>Bucket 1 · New Build</v>
      </c>
      <c r="P4457" s="350" t="str">
        <f>IF($B4457="Portfolio","Portfolio",IFERROR(INDEX(DATA_ASSET_CLASSIFICATION!$C$8:$C$24,MATCH($C4457,DATA_ASSET_CLASSIFICATION!$A$8:$A$24,0)),"Review"))</f>
        <v>Yes</v>
      </c>
      <c r="Q4457" s="350" t="str">
        <f t="shared" ca="1" si="139"/>
        <v>OK</v>
      </c>
    </row>
    <row r="4458" spans="1:17">
      <c r="A4458" s="366" t="s">
        <v>6414</v>
      </c>
      <c r="B4458" s="366" t="s">
        <v>231</v>
      </c>
      <c r="C4458" s="348" t="str">
        <f>DATA_PROPERTY_MASTER!$A$19</f>
        <v>BLD_PS</v>
      </c>
      <c r="D4458" s="380">
        <f>'00_PORTFOLIO ROLLUP'!K$12</f>
        <v>2031</v>
      </c>
      <c r="E4458" s="366" t="s">
        <v>1741</v>
      </c>
      <c r="F4458" s="366" t="s">
        <v>1749</v>
      </c>
      <c r="G4458" s="348" t="str">
        <f>"'"&amp;$C4458&amp;"'!rows 56, 63, 68"</f>
        <v>'BLD_PS'!rows 56, 63, 68</v>
      </c>
      <c r="H4458" s="381">
        <f ca="1">IF(IFERROR(INDEX(DATA_PROPERTY_MASTER!$E$5:$E$21,MATCH($C4458,DATA_PROPERTY_MASTER!$A$5:$A$21,0))="Yes",FALSE),(IFERROR(INDEX(INDIRECT("'"&amp;$C4458&amp;"'!$E$56:$Y$56"),1,MATCH($D4458,INDIRECT("'"&amp;$C4458&amp;"'!$E$12:$Y$12"),0)),0)+MAX(IFERROR(INDEX(INDIRECT("'"&amp;$C4458&amp;"'!$E$63:$Y$63"),1,MATCH($D4458,INDIRECT("'"&amp;$C4458&amp;"'!$E$12:$Y$12"),0)),0),0))-(IFERROR(INDEX(INDIRECT("'"&amp;$C4458&amp;"'!$E$68:$Y$68"),1,MATCH($D4458,INDIRECT("'"&amp;$C4458&amp;"'!$E$12:$Y$12"),0)),0)),0)</f>
        <v>0</v>
      </c>
      <c r="I4458" s="366" t="s">
        <v>1750</v>
      </c>
      <c r="J4458" s="348" t="str">
        <f t="shared" ca="1" si="138"/>
        <v>OK</v>
      </c>
      <c r="K4458" s="366" t="s">
        <v>1751</v>
      </c>
      <c r="L4458" s="366" t="s">
        <v>2266</v>
      </c>
      <c r="M4458" s="350" t="str">
        <f>IF($B4458="Portfolio","Portfolio",IFERROR(INDEX(DATA_ASSET_CLASSIFICATION!$B$8:$B$24,MATCH($C4458,DATA_ASSET_CLASSIFICATION!$A$8:$A$24,0)),"Review"))</f>
        <v>450 Pacific Street</v>
      </c>
      <c r="N4458" s="350" t="str">
        <f>IF($B4458="Portfolio","Portfolio",IFERROR(INDEX(DATA_ASSET_CLASSIFICATION!$U$8:$U$24,MATCH($C4458,DATA_ASSET_CLASSIFICATION!$A$8:$A$24,0)),"Review"))</f>
        <v>New Build</v>
      </c>
      <c r="O4458" s="350" t="str">
        <f>IF($B4458="Portfolio","Portfolio",IFERROR(INDEX(DATA_ASSET_CLASSIFICATION!$AB$8:$AB$13,MATCH($N4458,DATA_ASSET_CLASSIFICATION!$AA$8:$AA$13,0)),"Review"))</f>
        <v>Bucket 1 · New Build</v>
      </c>
      <c r="P4458" s="350" t="str">
        <f>IF($B4458="Portfolio","Portfolio",IFERROR(INDEX(DATA_ASSET_CLASSIFICATION!$C$8:$C$24,MATCH($C4458,DATA_ASSET_CLASSIFICATION!$A$8:$A$24,0)),"Review"))</f>
        <v>Yes</v>
      </c>
      <c r="Q4458" s="350" t="str">
        <f t="shared" ca="1" si="139"/>
        <v>OK</v>
      </c>
    </row>
    <row r="4459" spans="1:17">
      <c r="A4459" s="366" t="s">
        <v>6415</v>
      </c>
      <c r="B4459" s="366" t="s">
        <v>231</v>
      </c>
      <c r="C4459" s="348" t="str">
        <f>DATA_PROPERTY_MASTER!$A$19</f>
        <v>BLD_PS</v>
      </c>
      <c r="D4459" s="380">
        <f>'00_PORTFOLIO ROLLUP'!L$12</f>
        <v>2032</v>
      </c>
      <c r="E4459" s="366" t="s">
        <v>1683</v>
      </c>
      <c r="F4459" s="366" t="s">
        <v>341</v>
      </c>
      <c r="G4459" s="348" t="str">
        <f>"'"&amp;$C4459&amp;"'!$E$24:$Y$24"</f>
        <v>'BLD_PS'!$E$24:$Y$24</v>
      </c>
      <c r="H4459" s="381">
        <f ca="1">IF(IFERROR(INDEX(DATA_PROPERTY_MASTER!$E$5:$E$21,MATCH($C4459,DATA_PROPERTY_MASTER!$A$5:$A$21,0))="Yes",FALSE),IFERROR(INDEX(INDIRECT("'"&amp;$C4459&amp;"'!$E$24:$Y$24"),1,MATCH($D4459,INDIRECT("'"&amp;$C4459&amp;"'!$E$12:$Y$12"),0)),0),0)</f>
        <v>1922893.5427132631</v>
      </c>
      <c r="I4459" s="366" t="s">
        <v>1685</v>
      </c>
      <c r="J4459" s="348" t="str">
        <f t="shared" ca="1" si="138"/>
        <v>OK</v>
      </c>
      <c r="K4459" s="366" t="s">
        <v>1686</v>
      </c>
      <c r="L4459" s="366" t="s">
        <v>2234</v>
      </c>
      <c r="M4459" s="350" t="str">
        <f>IF($B4459="Portfolio","Portfolio",IFERROR(INDEX(DATA_ASSET_CLASSIFICATION!$B$8:$B$24,MATCH($C4459,DATA_ASSET_CLASSIFICATION!$A$8:$A$24,0)),"Review"))</f>
        <v>450 Pacific Street</v>
      </c>
      <c r="N4459" s="350" t="str">
        <f>IF($B4459="Portfolio","Portfolio",IFERROR(INDEX(DATA_ASSET_CLASSIFICATION!$U$8:$U$24,MATCH($C4459,DATA_ASSET_CLASSIFICATION!$A$8:$A$24,0)),"Review"))</f>
        <v>New Build</v>
      </c>
      <c r="O4459" s="350" t="str">
        <f>IF($B4459="Portfolio","Portfolio",IFERROR(INDEX(DATA_ASSET_CLASSIFICATION!$AB$8:$AB$13,MATCH($N4459,DATA_ASSET_CLASSIFICATION!$AA$8:$AA$13,0)),"Review"))</f>
        <v>Bucket 1 · New Build</v>
      </c>
      <c r="P4459" s="350" t="str">
        <f>IF($B4459="Portfolio","Portfolio",IFERROR(INDEX(DATA_ASSET_CLASSIFICATION!$C$8:$C$24,MATCH($C4459,DATA_ASSET_CLASSIFICATION!$A$8:$A$24,0)),"Review"))</f>
        <v>Yes</v>
      </c>
      <c r="Q4459" s="350" t="str">
        <f t="shared" ca="1" si="139"/>
        <v>OK</v>
      </c>
    </row>
    <row r="4460" spans="1:17">
      <c r="A4460" s="366" t="s">
        <v>6416</v>
      </c>
      <c r="B4460" s="366" t="s">
        <v>231</v>
      </c>
      <c r="C4460" s="348" t="str">
        <f>DATA_PROPERTY_MASTER!$A$19</f>
        <v>BLD_PS</v>
      </c>
      <c r="D4460" s="380">
        <f>'00_PORTFOLIO ROLLUP'!L$12</f>
        <v>2032</v>
      </c>
      <c r="E4460" s="366" t="s">
        <v>1683</v>
      </c>
      <c r="F4460" s="366" t="s">
        <v>355</v>
      </c>
      <c r="G4460" s="348" t="str">
        <f>"'"&amp;$C4460&amp;"'!$E$39:$Y$39"</f>
        <v>'BLD_PS'!$E$39:$Y$39</v>
      </c>
      <c r="H4460" s="381">
        <f ca="1">IF(IFERROR(INDEX(DATA_PROPERTY_MASTER!$E$5:$E$21,MATCH($C4460,DATA_PROPERTY_MASTER!$A$5:$A$21,0))="Yes",FALSE),IFERROR(INDEX(INDIRECT("'"&amp;$C4460&amp;"'!$E$39:$Y$39"),1,MATCH($D4460,INDIRECT("'"&amp;$C4460&amp;"'!$E$12:$Y$12"),0)),0),0)</f>
        <v>902534.44265245949</v>
      </c>
      <c r="I4460" s="366" t="s">
        <v>1690</v>
      </c>
      <c r="J4460" s="348" t="str">
        <f t="shared" ca="1" si="138"/>
        <v>OK</v>
      </c>
      <c r="K4460" s="366" t="s">
        <v>1686</v>
      </c>
      <c r="L4460" s="366" t="s">
        <v>2236</v>
      </c>
      <c r="M4460" s="350" t="str">
        <f>IF($B4460="Portfolio","Portfolio",IFERROR(INDEX(DATA_ASSET_CLASSIFICATION!$B$8:$B$24,MATCH($C4460,DATA_ASSET_CLASSIFICATION!$A$8:$A$24,0)),"Review"))</f>
        <v>450 Pacific Street</v>
      </c>
      <c r="N4460" s="350" t="str">
        <f>IF($B4460="Portfolio","Portfolio",IFERROR(INDEX(DATA_ASSET_CLASSIFICATION!$U$8:$U$24,MATCH($C4460,DATA_ASSET_CLASSIFICATION!$A$8:$A$24,0)),"Review"))</f>
        <v>New Build</v>
      </c>
      <c r="O4460" s="350" t="str">
        <f>IF($B4460="Portfolio","Portfolio",IFERROR(INDEX(DATA_ASSET_CLASSIFICATION!$AB$8:$AB$13,MATCH($N4460,DATA_ASSET_CLASSIFICATION!$AA$8:$AA$13,0)),"Review"))</f>
        <v>Bucket 1 · New Build</v>
      </c>
      <c r="P4460" s="350" t="str">
        <f>IF($B4460="Portfolio","Portfolio",IFERROR(INDEX(DATA_ASSET_CLASSIFICATION!$C$8:$C$24,MATCH($C4460,DATA_ASSET_CLASSIFICATION!$A$8:$A$24,0)),"Review"))</f>
        <v>Yes</v>
      </c>
      <c r="Q4460" s="350" t="str">
        <f t="shared" ca="1" si="139"/>
        <v>OK</v>
      </c>
    </row>
    <row r="4461" spans="1:17">
      <c r="A4461" s="366" t="s">
        <v>6417</v>
      </c>
      <c r="B4461" s="366" t="s">
        <v>231</v>
      </c>
      <c r="C4461" s="348" t="str">
        <f>DATA_PROPERTY_MASTER!$A$19</f>
        <v>BLD_PS</v>
      </c>
      <c r="D4461" s="380">
        <f>'00_PORTFOLIO ROLLUP'!L$12</f>
        <v>2032</v>
      </c>
      <c r="E4461" s="366" t="s">
        <v>1683</v>
      </c>
      <c r="F4461" s="366" t="s">
        <v>19</v>
      </c>
      <c r="G4461" s="348" t="str">
        <f>"'"&amp;$C4461&amp;"'!$E$41:$Y$41"</f>
        <v>'BLD_PS'!$E$41:$Y$41</v>
      </c>
      <c r="H4461" s="381">
        <f ca="1">IF(IFERROR(INDEX(DATA_PROPERTY_MASTER!$E$5:$E$21,MATCH($C4461,DATA_PROPERTY_MASTER!$A$5:$A$21,0))="Yes",FALSE),IFERROR(INDEX(INDIRECT("'"&amp;$C4461&amp;"'!$E$41:$Y$41"),1,MATCH($D4461,INDIRECT("'"&amp;$C4461&amp;"'!$E$12:$Y$12"),0)),0),0)</f>
        <v>1020359.1000608036</v>
      </c>
      <c r="I4461" s="366" t="s">
        <v>1685</v>
      </c>
      <c r="J4461" s="348" t="str">
        <f t="shared" ca="1" si="138"/>
        <v>OK</v>
      </c>
      <c r="K4461" s="366" t="s">
        <v>1694</v>
      </c>
      <c r="L4461" s="366" t="s">
        <v>2238</v>
      </c>
      <c r="M4461" s="350" t="str">
        <f>IF($B4461="Portfolio","Portfolio",IFERROR(INDEX(DATA_ASSET_CLASSIFICATION!$B$8:$B$24,MATCH($C4461,DATA_ASSET_CLASSIFICATION!$A$8:$A$24,0)),"Review"))</f>
        <v>450 Pacific Street</v>
      </c>
      <c r="N4461" s="350" t="str">
        <f>IF($B4461="Portfolio","Portfolio",IFERROR(INDEX(DATA_ASSET_CLASSIFICATION!$U$8:$U$24,MATCH($C4461,DATA_ASSET_CLASSIFICATION!$A$8:$A$24,0)),"Review"))</f>
        <v>New Build</v>
      </c>
      <c r="O4461" s="350" t="str">
        <f>IF($B4461="Portfolio","Portfolio",IFERROR(INDEX(DATA_ASSET_CLASSIFICATION!$AB$8:$AB$13,MATCH($N4461,DATA_ASSET_CLASSIFICATION!$AA$8:$AA$13,0)),"Review"))</f>
        <v>Bucket 1 · New Build</v>
      </c>
      <c r="P4461" s="350" t="str">
        <f>IF($B4461="Portfolio","Portfolio",IFERROR(INDEX(DATA_ASSET_CLASSIFICATION!$C$8:$C$24,MATCH($C4461,DATA_ASSET_CLASSIFICATION!$A$8:$A$24,0)),"Review"))</f>
        <v>Yes</v>
      </c>
      <c r="Q4461" s="350" t="str">
        <f t="shared" ca="1" si="139"/>
        <v>OK</v>
      </c>
    </row>
    <row r="4462" spans="1:17">
      <c r="A4462" s="366" t="s">
        <v>6418</v>
      </c>
      <c r="B4462" s="366" t="s">
        <v>231</v>
      </c>
      <c r="C4462" s="348" t="str">
        <f>DATA_PROPERTY_MASTER!$A$19</f>
        <v>BLD_PS</v>
      </c>
      <c r="D4462" s="380">
        <f>'00_PORTFOLIO ROLLUP'!L$12</f>
        <v>2032</v>
      </c>
      <c r="E4462" s="366" t="s">
        <v>1683</v>
      </c>
      <c r="F4462" s="366" t="s">
        <v>1697</v>
      </c>
      <c r="G4462" s="348" t="str">
        <f>"'"&amp;$C4462&amp;"'!$E$44:$Y$44"</f>
        <v>'BLD_PS'!$E$44:$Y$44</v>
      </c>
      <c r="H4462" s="381">
        <f ca="1">IF(IFERROR(INDEX(DATA_PROPERTY_MASTER!$E$5:$E$21,MATCH($C4462,DATA_PROPERTY_MASTER!$A$5:$A$21,0))="Yes",FALSE),IFERROR(INDEX(INDIRECT("'"&amp;$C4462&amp;"'!$E$44:$Y$44"),1,MATCH($D4462,INDIRECT("'"&amp;$C4462&amp;"'!$E$12:$Y$12"),0)),0),0)</f>
        <v>15679.559363412669</v>
      </c>
      <c r="I4462" s="366" t="s">
        <v>1690</v>
      </c>
      <c r="J4462" s="348" t="str">
        <f t="shared" ca="1" si="138"/>
        <v>OK</v>
      </c>
      <c r="K4462" s="366" t="s">
        <v>1699</v>
      </c>
      <c r="L4462" s="366" t="s">
        <v>2240</v>
      </c>
      <c r="M4462" s="350" t="str">
        <f>IF($B4462="Portfolio","Portfolio",IFERROR(INDEX(DATA_ASSET_CLASSIFICATION!$B$8:$B$24,MATCH($C4462,DATA_ASSET_CLASSIFICATION!$A$8:$A$24,0)),"Review"))</f>
        <v>450 Pacific Street</v>
      </c>
      <c r="N4462" s="350" t="str">
        <f>IF($B4462="Portfolio","Portfolio",IFERROR(INDEX(DATA_ASSET_CLASSIFICATION!$U$8:$U$24,MATCH($C4462,DATA_ASSET_CLASSIFICATION!$A$8:$A$24,0)),"Review"))</f>
        <v>New Build</v>
      </c>
      <c r="O4462" s="350" t="str">
        <f>IF($B4462="Portfolio","Portfolio",IFERROR(INDEX(DATA_ASSET_CLASSIFICATION!$AB$8:$AB$13,MATCH($N4462,DATA_ASSET_CLASSIFICATION!$AA$8:$AA$13,0)),"Review"))</f>
        <v>Bucket 1 · New Build</v>
      </c>
      <c r="P4462" s="350" t="str">
        <f>IF($B4462="Portfolio","Portfolio",IFERROR(INDEX(DATA_ASSET_CLASSIFICATION!$C$8:$C$24,MATCH($C4462,DATA_ASSET_CLASSIFICATION!$A$8:$A$24,0)),"Review"))</f>
        <v>Yes</v>
      </c>
      <c r="Q4462" s="350" t="str">
        <f t="shared" ca="1" si="139"/>
        <v>OK</v>
      </c>
    </row>
    <row r="4463" spans="1:17">
      <c r="A4463" s="366" t="s">
        <v>6419</v>
      </c>
      <c r="B4463" s="366" t="s">
        <v>231</v>
      </c>
      <c r="C4463" s="348" t="str">
        <f>DATA_PROPERTY_MASTER!$A$19</f>
        <v>BLD_PS</v>
      </c>
      <c r="D4463" s="380">
        <f>'00_PORTFOLIO ROLLUP'!L$12</f>
        <v>2032</v>
      </c>
      <c r="E4463" s="366" t="s">
        <v>1683</v>
      </c>
      <c r="F4463" s="366" t="s">
        <v>21</v>
      </c>
      <c r="G4463" s="348" t="str">
        <f>"'"&amp;$C4463&amp;"'!$E$45:$Y$45"</f>
        <v>'BLD_PS'!$E$45:$Y$45</v>
      </c>
      <c r="H4463" s="381">
        <f ca="1">IF(IFERROR(INDEX(DATA_PROPERTY_MASTER!$E$5:$E$21,MATCH($C4463,DATA_PROPERTY_MASTER!$A$5:$A$21,0))="Yes",FALSE),IFERROR(INDEX(INDIRECT("'"&amp;$C4463&amp;"'!$E$45:$Y$45"),1,MATCH($D4463,INDIRECT("'"&amp;$C4463&amp;"'!$E$12:$Y$12"),0)),0),0)</f>
        <v>1004679.5406973909</v>
      </c>
      <c r="I4463" s="366" t="s">
        <v>1685</v>
      </c>
      <c r="J4463" s="348" t="str">
        <f t="shared" ca="1" si="138"/>
        <v>OK</v>
      </c>
      <c r="K4463" s="366" t="s">
        <v>1694</v>
      </c>
      <c r="L4463" s="366" t="s">
        <v>2242</v>
      </c>
      <c r="M4463" s="350" t="str">
        <f>IF($B4463="Portfolio","Portfolio",IFERROR(INDEX(DATA_ASSET_CLASSIFICATION!$B$8:$B$24,MATCH($C4463,DATA_ASSET_CLASSIFICATION!$A$8:$A$24,0)),"Review"))</f>
        <v>450 Pacific Street</v>
      </c>
      <c r="N4463" s="350" t="str">
        <f>IF($B4463="Portfolio","Portfolio",IFERROR(INDEX(DATA_ASSET_CLASSIFICATION!$U$8:$U$24,MATCH($C4463,DATA_ASSET_CLASSIFICATION!$A$8:$A$24,0)),"Review"))</f>
        <v>New Build</v>
      </c>
      <c r="O4463" s="350" t="str">
        <f>IF($B4463="Portfolio","Portfolio",IFERROR(INDEX(DATA_ASSET_CLASSIFICATION!$AB$8:$AB$13,MATCH($N4463,DATA_ASSET_CLASSIFICATION!$AA$8:$AA$13,0)),"Review"))</f>
        <v>Bucket 1 · New Build</v>
      </c>
      <c r="P4463" s="350" t="str">
        <f>IF($B4463="Portfolio","Portfolio",IFERROR(INDEX(DATA_ASSET_CLASSIFICATION!$C$8:$C$24,MATCH($C4463,DATA_ASSET_CLASSIFICATION!$A$8:$A$24,0)),"Review"))</f>
        <v>Yes</v>
      </c>
      <c r="Q4463" s="350" t="str">
        <f t="shared" ca="1" si="139"/>
        <v>OK</v>
      </c>
    </row>
    <row r="4464" spans="1:17">
      <c r="A4464" s="366" t="s">
        <v>6420</v>
      </c>
      <c r="B4464" s="366" t="s">
        <v>231</v>
      </c>
      <c r="C4464" s="348" t="str">
        <f>DATA_PROPERTY_MASTER!$A$19</f>
        <v>BLD_PS</v>
      </c>
      <c r="D4464" s="380">
        <f>'00_PORTFOLIO ROLLUP'!L$12</f>
        <v>2032</v>
      </c>
      <c r="E4464" s="366" t="s">
        <v>23</v>
      </c>
      <c r="F4464" s="366" t="s">
        <v>23</v>
      </c>
      <c r="G4464" s="348" t="str">
        <f>"'"&amp;$C4464&amp;"'!$E$48:$Y$48"</f>
        <v>'BLD_PS'!$E$48:$Y$48</v>
      </c>
      <c r="H4464" s="381">
        <f ca="1">IF(IFERROR(INDEX(DATA_PROPERTY_MASTER!$E$5:$E$21,MATCH($C4464,DATA_PROPERTY_MASTER!$A$5:$A$21,0))="Yes",FALSE),IFERROR(INDEX(INDIRECT("'"&amp;$C4464&amp;"'!$E$48:$Y$48"),1,MATCH($D4464,INDIRECT("'"&amp;$C4464&amp;"'!$E$12:$Y$12"),0)),0),0)</f>
        <v>667460.46017404622</v>
      </c>
      <c r="I4464" s="366" t="s">
        <v>1690</v>
      </c>
      <c r="J4464" s="348" t="str">
        <f t="shared" ca="1" si="138"/>
        <v>OK</v>
      </c>
      <c r="K4464" s="366" t="s">
        <v>1706</v>
      </c>
      <c r="L4464" s="366" t="s">
        <v>2244</v>
      </c>
      <c r="M4464" s="350" t="str">
        <f>IF($B4464="Portfolio","Portfolio",IFERROR(INDEX(DATA_ASSET_CLASSIFICATION!$B$8:$B$24,MATCH($C4464,DATA_ASSET_CLASSIFICATION!$A$8:$A$24,0)),"Review"))</f>
        <v>450 Pacific Street</v>
      </c>
      <c r="N4464" s="350" t="str">
        <f>IF($B4464="Portfolio","Portfolio",IFERROR(INDEX(DATA_ASSET_CLASSIFICATION!$U$8:$U$24,MATCH($C4464,DATA_ASSET_CLASSIFICATION!$A$8:$A$24,0)),"Review"))</f>
        <v>New Build</v>
      </c>
      <c r="O4464" s="350" t="str">
        <f>IF($B4464="Portfolio","Portfolio",IFERROR(INDEX(DATA_ASSET_CLASSIFICATION!$AB$8:$AB$13,MATCH($N4464,DATA_ASSET_CLASSIFICATION!$AA$8:$AA$13,0)),"Review"))</f>
        <v>Bucket 1 · New Build</v>
      </c>
      <c r="P4464" s="350" t="str">
        <f>IF($B4464="Portfolio","Portfolio",IFERROR(INDEX(DATA_ASSET_CLASSIFICATION!$C$8:$C$24,MATCH($C4464,DATA_ASSET_CLASSIFICATION!$A$8:$A$24,0)),"Review"))</f>
        <v>Yes</v>
      </c>
      <c r="Q4464" s="350" t="str">
        <f t="shared" ca="1" si="139"/>
        <v>OK</v>
      </c>
    </row>
    <row r="4465" spans="1:17">
      <c r="A4465" s="366" t="s">
        <v>6421</v>
      </c>
      <c r="B4465" s="366" t="s">
        <v>231</v>
      </c>
      <c r="C4465" s="348" t="str">
        <f>DATA_PROPERTY_MASTER!$A$19</f>
        <v>BLD_PS</v>
      </c>
      <c r="D4465" s="380">
        <f>'00_PORTFOLIO ROLLUP'!L$12</f>
        <v>2032</v>
      </c>
      <c r="E4465" s="366" t="s">
        <v>1683</v>
      </c>
      <c r="F4465" s="366" t="s">
        <v>25</v>
      </c>
      <c r="G4465" s="348" t="str">
        <f>"'"&amp;$C4465&amp;"'!$E$52:$Y$52"</f>
        <v>'BLD_PS'!$E$52:$Y$52</v>
      </c>
      <c r="H4465" s="381">
        <f ca="1">IF(IFERROR(INDEX(DATA_PROPERTY_MASTER!$E$5:$E$21,MATCH($C4465,DATA_PROPERTY_MASTER!$A$5:$A$21,0))="Yes",FALSE),IFERROR(INDEX(INDIRECT("'"&amp;$C4465&amp;"'!$E$52:$Y$52"),1,MATCH($D4465,INDIRECT("'"&amp;$C4465&amp;"'!$E$12:$Y$12"),0)),0),0)</f>
        <v>352898.63988675736</v>
      </c>
      <c r="I4465" s="366" t="s">
        <v>1685</v>
      </c>
      <c r="J4465" s="348" t="str">
        <f t="shared" ca="1" si="138"/>
        <v>OK</v>
      </c>
      <c r="K4465" s="366" t="s">
        <v>1710</v>
      </c>
      <c r="L4465" s="366" t="s">
        <v>2246</v>
      </c>
      <c r="M4465" s="350" t="str">
        <f>IF($B4465="Portfolio","Portfolio",IFERROR(INDEX(DATA_ASSET_CLASSIFICATION!$B$8:$B$24,MATCH($C4465,DATA_ASSET_CLASSIFICATION!$A$8:$A$24,0)),"Review"))</f>
        <v>450 Pacific Street</v>
      </c>
      <c r="N4465" s="350" t="str">
        <f>IF($B4465="Portfolio","Portfolio",IFERROR(INDEX(DATA_ASSET_CLASSIFICATION!$U$8:$U$24,MATCH($C4465,DATA_ASSET_CLASSIFICATION!$A$8:$A$24,0)),"Review"))</f>
        <v>New Build</v>
      </c>
      <c r="O4465" s="350" t="str">
        <f>IF($B4465="Portfolio","Portfolio",IFERROR(INDEX(DATA_ASSET_CLASSIFICATION!$AB$8:$AB$13,MATCH($N4465,DATA_ASSET_CLASSIFICATION!$AA$8:$AA$13,0)),"Review"))</f>
        <v>Bucket 1 · New Build</v>
      </c>
      <c r="P4465" s="350" t="str">
        <f>IF($B4465="Portfolio","Portfolio",IFERROR(INDEX(DATA_ASSET_CLASSIFICATION!$C$8:$C$24,MATCH($C4465,DATA_ASSET_CLASSIFICATION!$A$8:$A$24,0)),"Review"))</f>
        <v>Yes</v>
      </c>
      <c r="Q4465" s="350" t="str">
        <f t="shared" ca="1" si="139"/>
        <v>OK</v>
      </c>
    </row>
    <row r="4466" spans="1:17">
      <c r="A4466" s="366" t="s">
        <v>6422</v>
      </c>
      <c r="B4466" s="366" t="s">
        <v>231</v>
      </c>
      <c r="C4466" s="348" t="str">
        <f>DATA_PROPERTY_MASTER!$A$19</f>
        <v>BLD_PS</v>
      </c>
      <c r="D4466" s="380">
        <f>'00_PORTFOLIO ROLLUP'!L$12</f>
        <v>2032</v>
      </c>
      <c r="E4466" s="366" t="s">
        <v>1683</v>
      </c>
      <c r="F4466" s="366" t="s">
        <v>27</v>
      </c>
      <c r="G4466" s="348" t="str">
        <f>"'"&amp;$C4466&amp;"'!$E$54:$Y$54"</f>
        <v>'BLD_PS'!$E$54:$Y$54</v>
      </c>
      <c r="H4466" s="381">
        <f ca="1">IF(IFERROR(INDEX(DATA_PROPERTY_MASTER!$E$5:$E$21,MATCH($C4466,DATA_PROPERTY_MASTER!$A$5:$A$21,0))="Yes",FALSE),IFERROR(INDEX(INDIRECT("'"&amp;$C4466&amp;"'!$E$54:$Y$54"),1,MATCH($D4466,INDIRECT("'"&amp;$C4466&amp;"'!$E$12:$Y$12"),0)),0),0)</f>
        <v>211739.18393205441</v>
      </c>
      <c r="I4466" s="366" t="s">
        <v>1690</v>
      </c>
      <c r="J4466" s="348" t="str">
        <f t="shared" ca="1" si="138"/>
        <v>OK</v>
      </c>
      <c r="K4466" s="366" t="s">
        <v>1714</v>
      </c>
      <c r="L4466" s="366" t="s">
        <v>2248</v>
      </c>
      <c r="M4466" s="350" t="str">
        <f>IF($B4466="Portfolio","Portfolio",IFERROR(INDEX(DATA_ASSET_CLASSIFICATION!$B$8:$B$24,MATCH($C4466,DATA_ASSET_CLASSIFICATION!$A$8:$A$24,0)),"Review"))</f>
        <v>450 Pacific Street</v>
      </c>
      <c r="N4466" s="350" t="str">
        <f>IF($B4466="Portfolio","Portfolio",IFERROR(INDEX(DATA_ASSET_CLASSIFICATION!$U$8:$U$24,MATCH($C4466,DATA_ASSET_CLASSIFICATION!$A$8:$A$24,0)),"Review"))</f>
        <v>New Build</v>
      </c>
      <c r="O4466" s="350" t="str">
        <f>IF($B4466="Portfolio","Portfolio",IFERROR(INDEX(DATA_ASSET_CLASSIFICATION!$AB$8:$AB$13,MATCH($N4466,DATA_ASSET_CLASSIFICATION!$AA$8:$AA$13,0)),"Review"))</f>
        <v>Bucket 1 · New Build</v>
      </c>
      <c r="P4466" s="350" t="str">
        <f>IF($B4466="Portfolio","Portfolio",IFERROR(INDEX(DATA_ASSET_CLASSIFICATION!$C$8:$C$24,MATCH($C4466,DATA_ASSET_CLASSIFICATION!$A$8:$A$24,0)),"Review"))</f>
        <v>Yes</v>
      </c>
      <c r="Q4466" s="350" t="str">
        <f t="shared" ca="1" si="139"/>
        <v>OK</v>
      </c>
    </row>
    <row r="4467" spans="1:17">
      <c r="A4467" s="366" t="s">
        <v>6423</v>
      </c>
      <c r="B4467" s="366" t="s">
        <v>231</v>
      </c>
      <c r="C4467" s="348" t="str">
        <f>DATA_PROPERTY_MASTER!$A$19</f>
        <v>BLD_PS</v>
      </c>
      <c r="D4467" s="380">
        <f>'00_PORTFOLIO ROLLUP'!L$12</f>
        <v>2032</v>
      </c>
      <c r="E4467" s="366" t="s">
        <v>1683</v>
      </c>
      <c r="F4467" s="366" t="s">
        <v>29</v>
      </c>
      <c r="G4467" s="348" t="str">
        <f>"'"&amp;$C4467&amp;"'!$E$56:$Y$56"</f>
        <v>'BLD_PS'!$E$56:$Y$56</v>
      </c>
      <c r="H4467" s="381">
        <f ca="1">IF(IFERROR(INDEX(DATA_PROPERTY_MASTER!$E$5:$E$21,MATCH($C4467,DATA_PROPERTY_MASTER!$A$5:$A$21,0))="Yes",FALSE),IFERROR(INDEX(INDIRECT("'"&amp;$C4467&amp;"'!$E$56:$Y$56"),1,MATCH($D4467,INDIRECT("'"&amp;$C4467&amp;"'!$E$12:$Y$12"),0)),0),0)</f>
        <v>141159.45595470295</v>
      </c>
      <c r="I4467" s="366" t="s">
        <v>1685</v>
      </c>
      <c r="J4467" s="348" t="str">
        <f t="shared" ca="1" si="138"/>
        <v>OK</v>
      </c>
      <c r="K4467" s="366" t="s">
        <v>1718</v>
      </c>
      <c r="L4467" s="366" t="s">
        <v>2250</v>
      </c>
      <c r="M4467" s="350" t="str">
        <f>IF($B4467="Portfolio","Portfolio",IFERROR(INDEX(DATA_ASSET_CLASSIFICATION!$B$8:$B$24,MATCH($C4467,DATA_ASSET_CLASSIFICATION!$A$8:$A$24,0)),"Review"))</f>
        <v>450 Pacific Street</v>
      </c>
      <c r="N4467" s="350" t="str">
        <f>IF($B4467="Portfolio","Portfolio",IFERROR(INDEX(DATA_ASSET_CLASSIFICATION!$U$8:$U$24,MATCH($C4467,DATA_ASSET_CLASSIFICATION!$A$8:$A$24,0)),"Review"))</f>
        <v>New Build</v>
      </c>
      <c r="O4467" s="350" t="str">
        <f>IF($B4467="Portfolio","Portfolio",IFERROR(INDEX(DATA_ASSET_CLASSIFICATION!$AB$8:$AB$13,MATCH($N4467,DATA_ASSET_CLASSIFICATION!$AA$8:$AA$13,0)),"Review"))</f>
        <v>Bucket 1 · New Build</v>
      </c>
      <c r="P4467" s="350" t="str">
        <f>IF($B4467="Portfolio","Portfolio",IFERROR(INDEX(DATA_ASSET_CLASSIFICATION!$C$8:$C$24,MATCH($C4467,DATA_ASSET_CLASSIFICATION!$A$8:$A$24,0)),"Review"))</f>
        <v>Yes</v>
      </c>
      <c r="Q4467" s="350" t="str">
        <f t="shared" ca="1" si="139"/>
        <v>OK</v>
      </c>
    </row>
    <row r="4468" spans="1:17">
      <c r="A4468" s="366" t="s">
        <v>6424</v>
      </c>
      <c r="B4468" s="366" t="s">
        <v>231</v>
      </c>
      <c r="C4468" s="348" t="str">
        <f>DATA_PROPERTY_MASTER!$A$19</f>
        <v>BLD_PS</v>
      </c>
      <c r="D4468" s="380">
        <f>'00_PORTFOLIO ROLLUP'!L$12</f>
        <v>2032</v>
      </c>
      <c r="E4468" s="366" t="s">
        <v>1721</v>
      </c>
      <c r="F4468" s="366" t="s">
        <v>31</v>
      </c>
      <c r="G4468" s="348" t="str">
        <f>"'"&amp;$C4468&amp;"'!$E$61:$Y$61"</f>
        <v>'BLD_PS'!$E$61:$Y$61</v>
      </c>
      <c r="H4468" s="381">
        <f ca="1">IF(IFERROR(INDEX(DATA_PROPERTY_MASTER!$E$5:$E$21,MATCH($C4468,DATA_PROPERTY_MASTER!$A$5:$A$21,0))="Yes",FALSE),IFERROR(INDEX(INDIRECT("'"&amp;$C4468&amp;"'!$E$61:$Y$61"),1,MATCH($D4468,INDIRECT("'"&amp;$C4468&amp;"'!$E$12:$Y$12"),0)),0),0)</f>
        <v>0</v>
      </c>
      <c r="I4468" s="366" t="s">
        <v>1690</v>
      </c>
      <c r="J4468" s="348" t="str">
        <f t="shared" ca="1" si="138"/>
        <v>OK</v>
      </c>
      <c r="K4468" s="366" t="s">
        <v>1723</v>
      </c>
      <c r="L4468" s="366" t="s">
        <v>2252</v>
      </c>
      <c r="M4468" s="350" t="str">
        <f>IF($B4468="Portfolio","Portfolio",IFERROR(INDEX(DATA_ASSET_CLASSIFICATION!$B$8:$B$24,MATCH($C4468,DATA_ASSET_CLASSIFICATION!$A$8:$A$24,0)),"Review"))</f>
        <v>450 Pacific Street</v>
      </c>
      <c r="N4468" s="350" t="str">
        <f>IF($B4468="Portfolio","Portfolio",IFERROR(INDEX(DATA_ASSET_CLASSIFICATION!$U$8:$U$24,MATCH($C4468,DATA_ASSET_CLASSIFICATION!$A$8:$A$24,0)),"Review"))</f>
        <v>New Build</v>
      </c>
      <c r="O4468" s="350" t="str">
        <f>IF($B4468="Portfolio","Portfolio",IFERROR(INDEX(DATA_ASSET_CLASSIFICATION!$AB$8:$AB$13,MATCH($N4468,DATA_ASSET_CLASSIFICATION!$AA$8:$AA$13,0)),"Review"))</f>
        <v>Bucket 1 · New Build</v>
      </c>
      <c r="P4468" s="350" t="str">
        <f>IF($B4468="Portfolio","Portfolio",IFERROR(INDEX(DATA_ASSET_CLASSIFICATION!$C$8:$C$24,MATCH($C4468,DATA_ASSET_CLASSIFICATION!$A$8:$A$24,0)),"Review"))</f>
        <v>Yes</v>
      </c>
      <c r="Q4468" s="350" t="str">
        <f t="shared" ca="1" si="139"/>
        <v>OK</v>
      </c>
    </row>
    <row r="4469" spans="1:17">
      <c r="A4469" s="366" t="s">
        <v>6425</v>
      </c>
      <c r="B4469" s="366" t="s">
        <v>231</v>
      </c>
      <c r="C4469" s="348" t="str">
        <f>DATA_PROPERTY_MASTER!$A$19</f>
        <v>BLD_PS</v>
      </c>
      <c r="D4469" s="380">
        <f>'00_PORTFOLIO ROLLUP'!L$12</f>
        <v>2032</v>
      </c>
      <c r="E4469" s="366" t="s">
        <v>1721</v>
      </c>
      <c r="F4469" s="366" t="s">
        <v>33</v>
      </c>
      <c r="G4469" s="348" t="str">
        <f>"'"&amp;$C4469&amp;"'!$E$62:$Y$62"</f>
        <v>'BLD_PS'!$E$62:$Y$62</v>
      </c>
      <c r="H4469" s="381">
        <f ca="1">IF(IFERROR(INDEX(DATA_PROPERTY_MASTER!$E$5:$E$21,MATCH($C4469,DATA_PROPERTY_MASTER!$A$5:$A$21,0))="Yes",FALSE),IFERROR(INDEX(INDIRECT("'"&amp;$C4469&amp;"'!$E$62:$Y$62"),1,MATCH($D4469,INDIRECT("'"&amp;$C4469&amp;"'!$E$12:$Y$12"),0)),0),0)</f>
        <v>0</v>
      </c>
      <c r="I4469" s="366" t="s">
        <v>1685</v>
      </c>
      <c r="J4469" s="348" t="str">
        <f t="shared" ca="1" si="138"/>
        <v>OK</v>
      </c>
      <c r="K4469" s="366" t="s">
        <v>1727</v>
      </c>
      <c r="L4469" s="366" t="s">
        <v>2254</v>
      </c>
      <c r="M4469" s="350" t="str">
        <f>IF($B4469="Portfolio","Portfolio",IFERROR(INDEX(DATA_ASSET_CLASSIFICATION!$B$8:$B$24,MATCH($C4469,DATA_ASSET_CLASSIFICATION!$A$8:$A$24,0)),"Review"))</f>
        <v>450 Pacific Street</v>
      </c>
      <c r="N4469" s="350" t="str">
        <f>IF($B4469="Portfolio","Portfolio",IFERROR(INDEX(DATA_ASSET_CLASSIFICATION!$U$8:$U$24,MATCH($C4469,DATA_ASSET_CLASSIFICATION!$A$8:$A$24,0)),"Review"))</f>
        <v>New Build</v>
      </c>
      <c r="O4469" s="350" t="str">
        <f>IF($B4469="Portfolio","Portfolio",IFERROR(INDEX(DATA_ASSET_CLASSIFICATION!$AB$8:$AB$13,MATCH($N4469,DATA_ASSET_CLASSIFICATION!$AA$8:$AA$13,0)),"Review"))</f>
        <v>Bucket 1 · New Build</v>
      </c>
      <c r="P4469" s="350" t="str">
        <f>IF($B4469="Portfolio","Portfolio",IFERROR(INDEX(DATA_ASSET_CLASSIFICATION!$C$8:$C$24,MATCH($C4469,DATA_ASSET_CLASSIFICATION!$A$8:$A$24,0)),"Review"))</f>
        <v>Yes</v>
      </c>
      <c r="Q4469" s="350" t="str">
        <f t="shared" ca="1" si="139"/>
        <v>OK</v>
      </c>
    </row>
    <row r="4470" spans="1:17">
      <c r="A4470" s="366" t="s">
        <v>6426</v>
      </c>
      <c r="B4470" s="366" t="s">
        <v>231</v>
      </c>
      <c r="C4470" s="348" t="str">
        <f>DATA_PROPERTY_MASTER!$A$19</f>
        <v>BLD_PS</v>
      </c>
      <c r="D4470" s="380">
        <f>'00_PORTFOLIO ROLLUP'!L$12</f>
        <v>2032</v>
      </c>
      <c r="E4470" s="366" t="s">
        <v>1721</v>
      </c>
      <c r="F4470" s="366" t="s">
        <v>35</v>
      </c>
      <c r="G4470" s="348" t="str">
        <f>"'"&amp;$C4470&amp;"'!$E$63:$Y$63"</f>
        <v>'BLD_PS'!$E$63:$Y$63</v>
      </c>
      <c r="H4470" s="381">
        <f ca="1">IF(IFERROR(INDEX(DATA_PROPERTY_MASTER!$E$5:$E$21,MATCH($C4470,DATA_PROPERTY_MASTER!$A$5:$A$21,0))="Yes",FALSE),IFERROR(INDEX(INDIRECT("'"&amp;$C4470&amp;"'!$E$63:$Y$63"),1,MATCH($D4470,INDIRECT("'"&amp;$C4470&amp;"'!$E$12:$Y$12"),0)),0),0)</f>
        <v>0</v>
      </c>
      <c r="I4470" s="366" t="s">
        <v>1731</v>
      </c>
      <c r="J4470" s="348" t="str">
        <f t="shared" ca="1" si="138"/>
        <v>OK</v>
      </c>
      <c r="K4470" s="366" t="s">
        <v>1732</v>
      </c>
      <c r="L4470" s="366" t="s">
        <v>2256</v>
      </c>
      <c r="M4470" s="350" t="str">
        <f>IF($B4470="Portfolio","Portfolio",IFERROR(INDEX(DATA_ASSET_CLASSIFICATION!$B$8:$B$24,MATCH($C4470,DATA_ASSET_CLASSIFICATION!$A$8:$A$24,0)),"Review"))</f>
        <v>450 Pacific Street</v>
      </c>
      <c r="N4470" s="350" t="str">
        <f>IF($B4470="Portfolio","Portfolio",IFERROR(INDEX(DATA_ASSET_CLASSIFICATION!$U$8:$U$24,MATCH($C4470,DATA_ASSET_CLASSIFICATION!$A$8:$A$24,0)),"Review"))</f>
        <v>New Build</v>
      </c>
      <c r="O4470" s="350" t="str">
        <f>IF($B4470="Portfolio","Portfolio",IFERROR(INDEX(DATA_ASSET_CLASSIFICATION!$AB$8:$AB$13,MATCH($N4470,DATA_ASSET_CLASSIFICATION!$AA$8:$AA$13,0)),"Review"))</f>
        <v>Bucket 1 · New Build</v>
      </c>
      <c r="P4470" s="350" t="str">
        <f>IF($B4470="Portfolio","Portfolio",IFERROR(INDEX(DATA_ASSET_CLASSIFICATION!$C$8:$C$24,MATCH($C4470,DATA_ASSET_CLASSIFICATION!$A$8:$A$24,0)),"Review"))</f>
        <v>Yes</v>
      </c>
      <c r="Q4470" s="350" t="str">
        <f t="shared" ca="1" si="139"/>
        <v>OK</v>
      </c>
    </row>
    <row r="4471" spans="1:17">
      <c r="A4471" s="366" t="s">
        <v>6427</v>
      </c>
      <c r="B4471" s="366" t="s">
        <v>231</v>
      </c>
      <c r="C4471" s="348" t="str">
        <f>DATA_PROPERTY_MASTER!$A$19</f>
        <v>BLD_PS</v>
      </c>
      <c r="D4471" s="380">
        <f>'00_PORTFOLIO ROLLUP'!L$12</f>
        <v>2032</v>
      </c>
      <c r="E4471" s="366" t="s">
        <v>1721</v>
      </c>
      <c r="F4471" s="366" t="s">
        <v>37</v>
      </c>
      <c r="G4471" s="348" t="str">
        <f>"'"&amp;$C4471&amp;"'!$E$63:$Y$63"</f>
        <v>'BLD_PS'!$E$63:$Y$63</v>
      </c>
      <c r="H4471" s="381">
        <f ca="1">IF(IFERROR(INDEX(DATA_PROPERTY_MASTER!$E$5:$E$21,MATCH($C4471,DATA_PROPERTY_MASTER!$A$5:$A$21,0))="Yes",FALSE),MAX(IFERROR(INDEX(INDIRECT("'"&amp;$C4471&amp;"'!$E$63:$Y$63"),1,MATCH($D4471,INDIRECT("'"&amp;$C4471&amp;"'!$E$12:$Y$12"),0)),0),0),0)</f>
        <v>0</v>
      </c>
      <c r="I4471" s="366" t="s">
        <v>1685</v>
      </c>
      <c r="J4471" s="348" t="str">
        <f t="shared" ca="1" si="138"/>
        <v>OK</v>
      </c>
      <c r="K4471" s="366" t="s">
        <v>1735</v>
      </c>
      <c r="L4471" s="366" t="s">
        <v>2258</v>
      </c>
      <c r="M4471" s="350" t="str">
        <f>IF($B4471="Portfolio","Portfolio",IFERROR(INDEX(DATA_ASSET_CLASSIFICATION!$B$8:$B$24,MATCH($C4471,DATA_ASSET_CLASSIFICATION!$A$8:$A$24,0)),"Review"))</f>
        <v>450 Pacific Street</v>
      </c>
      <c r="N4471" s="350" t="str">
        <f>IF($B4471="Portfolio","Portfolio",IFERROR(INDEX(DATA_ASSET_CLASSIFICATION!$U$8:$U$24,MATCH($C4471,DATA_ASSET_CLASSIFICATION!$A$8:$A$24,0)),"Review"))</f>
        <v>New Build</v>
      </c>
      <c r="O4471" s="350" t="str">
        <f>IF($B4471="Portfolio","Portfolio",IFERROR(INDEX(DATA_ASSET_CLASSIFICATION!$AB$8:$AB$13,MATCH($N4471,DATA_ASSET_CLASSIFICATION!$AA$8:$AA$13,0)),"Review"))</f>
        <v>Bucket 1 · New Build</v>
      </c>
      <c r="P4471" s="350" t="str">
        <f>IF($B4471="Portfolio","Portfolio",IFERROR(INDEX(DATA_ASSET_CLASSIFICATION!$C$8:$C$24,MATCH($C4471,DATA_ASSET_CLASSIFICATION!$A$8:$A$24,0)),"Review"))</f>
        <v>Yes</v>
      </c>
      <c r="Q4471" s="350" t="str">
        <f t="shared" ca="1" si="139"/>
        <v>OK</v>
      </c>
    </row>
    <row r="4472" spans="1:17">
      <c r="A4472" s="366" t="s">
        <v>6428</v>
      </c>
      <c r="B4472" s="366" t="s">
        <v>231</v>
      </c>
      <c r="C4472" s="348" t="str">
        <f>DATA_PROPERTY_MASTER!$A$19</f>
        <v>BLD_PS</v>
      </c>
      <c r="D4472" s="380">
        <f>'00_PORTFOLIO ROLLUP'!L$12</f>
        <v>2032</v>
      </c>
      <c r="E4472" s="366" t="s">
        <v>1721</v>
      </c>
      <c r="F4472" s="366" t="s">
        <v>39</v>
      </c>
      <c r="G4472" s="348" t="str">
        <f>"'"&amp;$C4472&amp;"'!$E$63:$Y$63"</f>
        <v>'BLD_PS'!$E$63:$Y$63</v>
      </c>
      <c r="H4472" s="381">
        <f ca="1">IF(IFERROR(INDEX(DATA_PROPERTY_MASTER!$E$5:$E$21,MATCH($C4472,DATA_PROPERTY_MASTER!$A$5:$A$21,0))="Yes",FALSE),MAX(-IFERROR(INDEX(INDIRECT("'"&amp;$C4472&amp;"'!$E$63:$Y$63"),1,MATCH($D4472,INDIRECT("'"&amp;$C4472&amp;"'!$E$12:$Y$12"),0)),0),0),0)</f>
        <v>0</v>
      </c>
      <c r="I4472" s="366" t="s">
        <v>1690</v>
      </c>
      <c r="J4472" s="348" t="str">
        <f t="shared" ca="1" si="138"/>
        <v>OK</v>
      </c>
      <c r="K4472" s="366" t="s">
        <v>1738</v>
      </c>
      <c r="L4472" s="366" t="s">
        <v>2260</v>
      </c>
      <c r="M4472" s="350" t="str">
        <f>IF($B4472="Portfolio","Portfolio",IFERROR(INDEX(DATA_ASSET_CLASSIFICATION!$B$8:$B$24,MATCH($C4472,DATA_ASSET_CLASSIFICATION!$A$8:$A$24,0)),"Review"))</f>
        <v>450 Pacific Street</v>
      </c>
      <c r="N4472" s="350" t="str">
        <f>IF($B4472="Portfolio","Portfolio",IFERROR(INDEX(DATA_ASSET_CLASSIFICATION!$U$8:$U$24,MATCH($C4472,DATA_ASSET_CLASSIFICATION!$A$8:$A$24,0)),"Review"))</f>
        <v>New Build</v>
      </c>
      <c r="O4472" s="350" t="str">
        <f>IF($B4472="Portfolio","Portfolio",IFERROR(INDEX(DATA_ASSET_CLASSIFICATION!$AB$8:$AB$13,MATCH($N4472,DATA_ASSET_CLASSIFICATION!$AA$8:$AA$13,0)),"Review"))</f>
        <v>Bucket 1 · New Build</v>
      </c>
      <c r="P4472" s="350" t="str">
        <f>IF($B4472="Portfolio","Portfolio",IFERROR(INDEX(DATA_ASSET_CLASSIFICATION!$C$8:$C$24,MATCH($C4472,DATA_ASSET_CLASSIFICATION!$A$8:$A$24,0)),"Review"))</f>
        <v>Yes</v>
      </c>
      <c r="Q4472" s="350" t="str">
        <f t="shared" ca="1" si="139"/>
        <v>OK</v>
      </c>
    </row>
    <row r="4473" spans="1:17">
      <c r="A4473" s="366" t="s">
        <v>6429</v>
      </c>
      <c r="B4473" s="366" t="s">
        <v>231</v>
      </c>
      <c r="C4473" s="348" t="str">
        <f>DATA_PROPERTY_MASTER!$A$19</f>
        <v>BLD_PS</v>
      </c>
      <c r="D4473" s="380">
        <f>'00_PORTFOLIO ROLLUP'!L$12</f>
        <v>2032</v>
      </c>
      <c r="E4473" s="366" t="s">
        <v>1741</v>
      </c>
      <c r="F4473" s="366" t="s">
        <v>41</v>
      </c>
      <c r="G4473" s="348" t="str">
        <f>"'"&amp;$C4473&amp;"'!rows 56 + positive row 63"</f>
        <v>'BLD_PS'!rows 56 + positive row 63</v>
      </c>
      <c r="H4473" s="381">
        <f ca="1">IF(IFERROR(INDEX(DATA_PROPERTY_MASTER!$E$5:$E$21,MATCH($C4473,DATA_PROPERTY_MASTER!$A$5:$A$21,0))="Yes",FALSE),IFERROR(INDEX(INDIRECT("'"&amp;$C4473&amp;"'!$E$56:$Y$56"),1,MATCH($D4473,INDIRECT("'"&amp;$C4473&amp;"'!$E$12:$Y$12"),0)),0)+MAX(IFERROR(INDEX(INDIRECT("'"&amp;$C4473&amp;"'!$E$63:$Y$63"),1,MATCH($D4473,INDIRECT("'"&amp;$C4473&amp;"'!$E$12:$Y$12"),0)),0),0),0)</f>
        <v>141159.45595470295</v>
      </c>
      <c r="I4473" s="366" t="s">
        <v>1685</v>
      </c>
      <c r="J4473" s="348" t="str">
        <f t="shared" ca="1" si="138"/>
        <v>OK</v>
      </c>
      <c r="K4473" s="366" t="s">
        <v>1742</v>
      </c>
      <c r="L4473" s="366" t="s">
        <v>2262</v>
      </c>
      <c r="M4473" s="350" t="str">
        <f>IF($B4473="Portfolio","Portfolio",IFERROR(INDEX(DATA_ASSET_CLASSIFICATION!$B$8:$B$24,MATCH($C4473,DATA_ASSET_CLASSIFICATION!$A$8:$A$24,0)),"Review"))</f>
        <v>450 Pacific Street</v>
      </c>
      <c r="N4473" s="350" t="str">
        <f>IF($B4473="Portfolio","Portfolio",IFERROR(INDEX(DATA_ASSET_CLASSIFICATION!$U$8:$U$24,MATCH($C4473,DATA_ASSET_CLASSIFICATION!$A$8:$A$24,0)),"Review"))</f>
        <v>New Build</v>
      </c>
      <c r="O4473" s="350" t="str">
        <f>IF($B4473="Portfolio","Portfolio",IFERROR(INDEX(DATA_ASSET_CLASSIFICATION!$AB$8:$AB$13,MATCH($N4473,DATA_ASSET_CLASSIFICATION!$AA$8:$AA$13,0)),"Review"))</f>
        <v>Bucket 1 · New Build</v>
      </c>
      <c r="P4473" s="350" t="str">
        <f>IF($B4473="Portfolio","Portfolio",IFERROR(INDEX(DATA_ASSET_CLASSIFICATION!$C$8:$C$24,MATCH($C4473,DATA_ASSET_CLASSIFICATION!$A$8:$A$24,0)),"Review"))</f>
        <v>Yes</v>
      </c>
      <c r="Q4473" s="350" t="str">
        <f t="shared" ca="1" si="139"/>
        <v>OK</v>
      </c>
    </row>
    <row r="4474" spans="1:17">
      <c r="A4474" s="366" t="s">
        <v>6430</v>
      </c>
      <c r="B4474" s="366" t="s">
        <v>231</v>
      </c>
      <c r="C4474" s="348" t="str">
        <f>DATA_PROPERTY_MASTER!$A$19</f>
        <v>BLD_PS</v>
      </c>
      <c r="D4474" s="380">
        <f>'00_PORTFOLIO ROLLUP'!L$12</f>
        <v>2032</v>
      </c>
      <c r="E4474" s="366" t="s">
        <v>1741</v>
      </c>
      <c r="F4474" s="366" t="s">
        <v>43</v>
      </c>
      <c r="G4474" s="348" t="str">
        <f>"'"&amp;$C4474&amp;"'!$E$68:$Y$68"</f>
        <v>'BLD_PS'!$E$68:$Y$68</v>
      </c>
      <c r="H4474" s="381">
        <f ca="1">IF(IFERROR(INDEX(DATA_PROPERTY_MASTER!$E$5:$E$21,MATCH($C4474,DATA_PROPERTY_MASTER!$A$5:$A$21,0))="Yes",FALSE),IFERROR(INDEX(INDIRECT("'"&amp;$C4474&amp;"'!$E$68:$Y$68"),1,MATCH($D4474,INDIRECT("'"&amp;$C4474&amp;"'!$E$12:$Y$12"),0)),0),0)</f>
        <v>141159.45595470295</v>
      </c>
      <c r="I4474" s="366" t="s">
        <v>1731</v>
      </c>
      <c r="J4474" s="348" t="str">
        <f t="shared" ca="1" si="138"/>
        <v>OK</v>
      </c>
      <c r="K4474" s="366" t="s">
        <v>1746</v>
      </c>
      <c r="L4474" s="366" t="s">
        <v>2264</v>
      </c>
      <c r="M4474" s="350" t="str">
        <f>IF($B4474="Portfolio","Portfolio",IFERROR(INDEX(DATA_ASSET_CLASSIFICATION!$B$8:$B$24,MATCH($C4474,DATA_ASSET_CLASSIFICATION!$A$8:$A$24,0)),"Review"))</f>
        <v>450 Pacific Street</v>
      </c>
      <c r="N4474" s="350" t="str">
        <f>IF($B4474="Portfolio","Portfolio",IFERROR(INDEX(DATA_ASSET_CLASSIFICATION!$U$8:$U$24,MATCH($C4474,DATA_ASSET_CLASSIFICATION!$A$8:$A$24,0)),"Review"))</f>
        <v>New Build</v>
      </c>
      <c r="O4474" s="350" t="str">
        <f>IF($B4474="Portfolio","Portfolio",IFERROR(INDEX(DATA_ASSET_CLASSIFICATION!$AB$8:$AB$13,MATCH($N4474,DATA_ASSET_CLASSIFICATION!$AA$8:$AA$13,0)),"Review"))</f>
        <v>Bucket 1 · New Build</v>
      </c>
      <c r="P4474" s="350" t="str">
        <f>IF($B4474="Portfolio","Portfolio",IFERROR(INDEX(DATA_ASSET_CLASSIFICATION!$C$8:$C$24,MATCH($C4474,DATA_ASSET_CLASSIFICATION!$A$8:$A$24,0)),"Review"))</f>
        <v>Yes</v>
      </c>
      <c r="Q4474" s="350" t="str">
        <f t="shared" ca="1" si="139"/>
        <v>OK</v>
      </c>
    </row>
    <row r="4475" spans="1:17">
      <c r="A4475" s="366" t="s">
        <v>6431</v>
      </c>
      <c r="B4475" s="366" t="s">
        <v>231</v>
      </c>
      <c r="C4475" s="348" t="str">
        <f>DATA_PROPERTY_MASTER!$A$19</f>
        <v>BLD_PS</v>
      </c>
      <c r="D4475" s="380">
        <f>'00_PORTFOLIO ROLLUP'!L$12</f>
        <v>2032</v>
      </c>
      <c r="E4475" s="366" t="s">
        <v>1741</v>
      </c>
      <c r="F4475" s="366" t="s">
        <v>1749</v>
      </c>
      <c r="G4475" s="348" t="str">
        <f>"'"&amp;$C4475&amp;"'!rows 56, 63, 68"</f>
        <v>'BLD_PS'!rows 56, 63, 68</v>
      </c>
      <c r="H4475" s="381">
        <f ca="1">IF(IFERROR(INDEX(DATA_PROPERTY_MASTER!$E$5:$E$21,MATCH($C4475,DATA_PROPERTY_MASTER!$A$5:$A$21,0))="Yes",FALSE),(IFERROR(INDEX(INDIRECT("'"&amp;$C4475&amp;"'!$E$56:$Y$56"),1,MATCH($D4475,INDIRECT("'"&amp;$C4475&amp;"'!$E$12:$Y$12"),0)),0)+MAX(IFERROR(INDEX(INDIRECT("'"&amp;$C4475&amp;"'!$E$63:$Y$63"),1,MATCH($D4475,INDIRECT("'"&amp;$C4475&amp;"'!$E$12:$Y$12"),0)),0),0))-(IFERROR(INDEX(INDIRECT("'"&amp;$C4475&amp;"'!$E$68:$Y$68"),1,MATCH($D4475,INDIRECT("'"&amp;$C4475&amp;"'!$E$12:$Y$12"),0)),0)),0)</f>
        <v>0</v>
      </c>
      <c r="I4475" s="366" t="s">
        <v>1750</v>
      </c>
      <c r="J4475" s="348" t="str">
        <f t="shared" ca="1" si="138"/>
        <v>OK</v>
      </c>
      <c r="K4475" s="366" t="s">
        <v>1751</v>
      </c>
      <c r="L4475" s="366" t="s">
        <v>2266</v>
      </c>
      <c r="M4475" s="350" t="str">
        <f>IF($B4475="Portfolio","Portfolio",IFERROR(INDEX(DATA_ASSET_CLASSIFICATION!$B$8:$B$24,MATCH($C4475,DATA_ASSET_CLASSIFICATION!$A$8:$A$24,0)),"Review"))</f>
        <v>450 Pacific Street</v>
      </c>
      <c r="N4475" s="350" t="str">
        <f>IF($B4475="Portfolio","Portfolio",IFERROR(INDEX(DATA_ASSET_CLASSIFICATION!$U$8:$U$24,MATCH($C4475,DATA_ASSET_CLASSIFICATION!$A$8:$A$24,0)),"Review"))</f>
        <v>New Build</v>
      </c>
      <c r="O4475" s="350" t="str">
        <f>IF($B4475="Portfolio","Portfolio",IFERROR(INDEX(DATA_ASSET_CLASSIFICATION!$AB$8:$AB$13,MATCH($N4475,DATA_ASSET_CLASSIFICATION!$AA$8:$AA$13,0)),"Review"))</f>
        <v>Bucket 1 · New Build</v>
      </c>
      <c r="P4475" s="350" t="str">
        <f>IF($B4475="Portfolio","Portfolio",IFERROR(INDEX(DATA_ASSET_CLASSIFICATION!$C$8:$C$24,MATCH($C4475,DATA_ASSET_CLASSIFICATION!$A$8:$A$24,0)),"Review"))</f>
        <v>Yes</v>
      </c>
      <c r="Q4475" s="350" t="str">
        <f t="shared" ca="1" si="139"/>
        <v>OK</v>
      </c>
    </row>
    <row r="4476" spans="1:17">
      <c r="A4476" s="366" t="s">
        <v>6432</v>
      </c>
      <c r="B4476" s="366" t="s">
        <v>231</v>
      </c>
      <c r="C4476" s="348" t="str">
        <f>DATA_PROPERTY_MASTER!$A$19</f>
        <v>BLD_PS</v>
      </c>
      <c r="D4476" s="380">
        <f>'00_PORTFOLIO ROLLUP'!M$12</f>
        <v>2033</v>
      </c>
      <c r="E4476" s="366" t="s">
        <v>1683</v>
      </c>
      <c r="F4476" s="366" t="s">
        <v>341</v>
      </c>
      <c r="G4476" s="348" t="str">
        <f>"'"&amp;$C4476&amp;"'!$E$24:$Y$24"</f>
        <v>'BLD_PS'!$E$24:$Y$24</v>
      </c>
      <c r="H4476" s="381">
        <f ca="1">IF(IFERROR(INDEX(DATA_PROPERTY_MASTER!$E$5:$E$21,MATCH($C4476,DATA_PROPERTY_MASTER!$A$5:$A$21,0))="Yes",FALSE),IFERROR(INDEX(INDIRECT("'"&amp;$C4476&amp;"'!$E$24:$Y$24"),1,MATCH($D4476,INDIRECT("'"&amp;$C4476&amp;"'!$E$12:$Y$12"),0)),0),0)</f>
        <v>1961351.4135675288</v>
      </c>
      <c r="I4476" s="366" t="s">
        <v>1685</v>
      </c>
      <c r="J4476" s="348" t="str">
        <f t="shared" ca="1" si="138"/>
        <v>OK</v>
      </c>
      <c r="K4476" s="366" t="s">
        <v>1686</v>
      </c>
      <c r="L4476" s="366" t="s">
        <v>2234</v>
      </c>
      <c r="M4476" s="350" t="str">
        <f>IF($B4476="Portfolio","Portfolio",IFERROR(INDEX(DATA_ASSET_CLASSIFICATION!$B$8:$B$24,MATCH($C4476,DATA_ASSET_CLASSIFICATION!$A$8:$A$24,0)),"Review"))</f>
        <v>450 Pacific Street</v>
      </c>
      <c r="N4476" s="350" t="str">
        <f>IF($B4476="Portfolio","Portfolio",IFERROR(INDEX(DATA_ASSET_CLASSIFICATION!$U$8:$U$24,MATCH($C4476,DATA_ASSET_CLASSIFICATION!$A$8:$A$24,0)),"Review"))</f>
        <v>New Build</v>
      </c>
      <c r="O4476" s="350" t="str">
        <f>IF($B4476="Portfolio","Portfolio",IFERROR(INDEX(DATA_ASSET_CLASSIFICATION!$AB$8:$AB$13,MATCH($N4476,DATA_ASSET_CLASSIFICATION!$AA$8:$AA$13,0)),"Review"))</f>
        <v>Bucket 1 · New Build</v>
      </c>
      <c r="P4476" s="350" t="str">
        <f>IF($B4476="Portfolio","Portfolio",IFERROR(INDEX(DATA_ASSET_CLASSIFICATION!$C$8:$C$24,MATCH($C4476,DATA_ASSET_CLASSIFICATION!$A$8:$A$24,0)),"Review"))</f>
        <v>Yes</v>
      </c>
      <c r="Q4476" s="350" t="str">
        <f t="shared" ca="1" si="139"/>
        <v>OK</v>
      </c>
    </row>
    <row r="4477" spans="1:17">
      <c r="A4477" s="366" t="s">
        <v>6433</v>
      </c>
      <c r="B4477" s="366" t="s">
        <v>231</v>
      </c>
      <c r="C4477" s="348" t="str">
        <f>DATA_PROPERTY_MASTER!$A$19</f>
        <v>BLD_PS</v>
      </c>
      <c r="D4477" s="380">
        <f>'00_PORTFOLIO ROLLUP'!M$12</f>
        <v>2033</v>
      </c>
      <c r="E4477" s="366" t="s">
        <v>1683</v>
      </c>
      <c r="F4477" s="366" t="s">
        <v>355</v>
      </c>
      <c r="G4477" s="348" t="str">
        <f>"'"&amp;$C4477&amp;"'!$E$39:$Y$39"</f>
        <v>'BLD_PS'!$E$39:$Y$39</v>
      </c>
      <c r="H4477" s="381">
        <f ca="1">IF(IFERROR(INDEX(DATA_PROPERTY_MASTER!$E$5:$E$21,MATCH($C4477,DATA_PROPERTY_MASTER!$A$5:$A$21,0))="Yes",FALSE),IFERROR(INDEX(INDIRECT("'"&amp;$C4477&amp;"'!$E$39:$Y$39"),1,MATCH($D4477,INDIRECT("'"&amp;$C4477&amp;"'!$E$12:$Y$12"),0)),0),0)</f>
        <v>938635.82035855809</v>
      </c>
      <c r="I4477" s="366" t="s">
        <v>1690</v>
      </c>
      <c r="J4477" s="348" t="str">
        <f t="shared" ca="1" si="138"/>
        <v>OK</v>
      </c>
      <c r="K4477" s="366" t="s">
        <v>1686</v>
      </c>
      <c r="L4477" s="366" t="s">
        <v>2236</v>
      </c>
      <c r="M4477" s="350" t="str">
        <f>IF($B4477="Portfolio","Portfolio",IFERROR(INDEX(DATA_ASSET_CLASSIFICATION!$B$8:$B$24,MATCH($C4477,DATA_ASSET_CLASSIFICATION!$A$8:$A$24,0)),"Review"))</f>
        <v>450 Pacific Street</v>
      </c>
      <c r="N4477" s="350" t="str">
        <f>IF($B4477="Portfolio","Portfolio",IFERROR(INDEX(DATA_ASSET_CLASSIFICATION!$U$8:$U$24,MATCH($C4477,DATA_ASSET_CLASSIFICATION!$A$8:$A$24,0)),"Review"))</f>
        <v>New Build</v>
      </c>
      <c r="O4477" s="350" t="str">
        <f>IF($B4477="Portfolio","Portfolio",IFERROR(INDEX(DATA_ASSET_CLASSIFICATION!$AB$8:$AB$13,MATCH($N4477,DATA_ASSET_CLASSIFICATION!$AA$8:$AA$13,0)),"Review"))</f>
        <v>Bucket 1 · New Build</v>
      </c>
      <c r="P4477" s="350" t="str">
        <f>IF($B4477="Portfolio","Portfolio",IFERROR(INDEX(DATA_ASSET_CLASSIFICATION!$C$8:$C$24,MATCH($C4477,DATA_ASSET_CLASSIFICATION!$A$8:$A$24,0)),"Review"))</f>
        <v>Yes</v>
      </c>
      <c r="Q4477" s="350" t="str">
        <f t="shared" ca="1" si="139"/>
        <v>OK</v>
      </c>
    </row>
    <row r="4478" spans="1:17">
      <c r="A4478" s="366" t="s">
        <v>6434</v>
      </c>
      <c r="B4478" s="366" t="s">
        <v>231</v>
      </c>
      <c r="C4478" s="348" t="str">
        <f>DATA_PROPERTY_MASTER!$A$19</f>
        <v>BLD_PS</v>
      </c>
      <c r="D4478" s="380">
        <f>'00_PORTFOLIO ROLLUP'!M$12</f>
        <v>2033</v>
      </c>
      <c r="E4478" s="366" t="s">
        <v>1683</v>
      </c>
      <c r="F4478" s="366" t="s">
        <v>19</v>
      </c>
      <c r="G4478" s="348" t="str">
        <f>"'"&amp;$C4478&amp;"'!$E$41:$Y$41"</f>
        <v>'BLD_PS'!$E$41:$Y$41</v>
      </c>
      <c r="H4478" s="381">
        <f ca="1">IF(IFERROR(INDEX(DATA_PROPERTY_MASTER!$E$5:$E$21,MATCH($C4478,DATA_PROPERTY_MASTER!$A$5:$A$21,0))="Yes",FALSE),IFERROR(INDEX(INDIRECT("'"&amp;$C4478&amp;"'!$E$41:$Y$41"),1,MATCH($D4478,INDIRECT("'"&amp;$C4478&amp;"'!$E$12:$Y$12"),0)),0),0)</f>
        <v>1022715.5932089707</v>
      </c>
      <c r="I4478" s="366" t="s">
        <v>1685</v>
      </c>
      <c r="J4478" s="348" t="str">
        <f t="shared" ca="1" si="138"/>
        <v>OK</v>
      </c>
      <c r="K4478" s="366" t="s">
        <v>1694</v>
      </c>
      <c r="L4478" s="366" t="s">
        <v>2238</v>
      </c>
      <c r="M4478" s="350" t="str">
        <f>IF($B4478="Portfolio","Portfolio",IFERROR(INDEX(DATA_ASSET_CLASSIFICATION!$B$8:$B$24,MATCH($C4478,DATA_ASSET_CLASSIFICATION!$A$8:$A$24,0)),"Review"))</f>
        <v>450 Pacific Street</v>
      </c>
      <c r="N4478" s="350" t="str">
        <f>IF($B4478="Portfolio","Portfolio",IFERROR(INDEX(DATA_ASSET_CLASSIFICATION!$U$8:$U$24,MATCH($C4478,DATA_ASSET_CLASSIFICATION!$A$8:$A$24,0)),"Review"))</f>
        <v>New Build</v>
      </c>
      <c r="O4478" s="350" t="str">
        <f>IF($B4478="Portfolio","Portfolio",IFERROR(INDEX(DATA_ASSET_CLASSIFICATION!$AB$8:$AB$13,MATCH($N4478,DATA_ASSET_CLASSIFICATION!$AA$8:$AA$13,0)),"Review"))</f>
        <v>Bucket 1 · New Build</v>
      </c>
      <c r="P4478" s="350" t="str">
        <f>IF($B4478="Portfolio","Portfolio",IFERROR(INDEX(DATA_ASSET_CLASSIFICATION!$C$8:$C$24,MATCH($C4478,DATA_ASSET_CLASSIFICATION!$A$8:$A$24,0)),"Review"))</f>
        <v>Yes</v>
      </c>
      <c r="Q4478" s="350" t="str">
        <f t="shared" ca="1" si="139"/>
        <v>OK</v>
      </c>
    </row>
    <row r="4479" spans="1:17">
      <c r="A4479" s="366" t="s">
        <v>6435</v>
      </c>
      <c r="B4479" s="366" t="s">
        <v>231</v>
      </c>
      <c r="C4479" s="348" t="str">
        <f>DATA_PROPERTY_MASTER!$A$19</f>
        <v>BLD_PS</v>
      </c>
      <c r="D4479" s="380">
        <f>'00_PORTFOLIO ROLLUP'!M$12</f>
        <v>2033</v>
      </c>
      <c r="E4479" s="366" t="s">
        <v>1683</v>
      </c>
      <c r="F4479" s="366" t="s">
        <v>1697</v>
      </c>
      <c r="G4479" s="348" t="str">
        <f>"'"&amp;$C4479&amp;"'!$E$44:$Y$44"</f>
        <v>'BLD_PS'!$E$44:$Y$44</v>
      </c>
      <c r="H4479" s="381">
        <f ca="1">IF(IFERROR(INDEX(DATA_PROPERTY_MASTER!$E$5:$E$21,MATCH($C4479,DATA_PROPERTY_MASTER!$A$5:$A$21,0))="Yes",FALSE),IFERROR(INDEX(INDIRECT("'"&amp;$C4479&amp;"'!$E$44:$Y$44"),1,MATCH($D4479,INDIRECT("'"&amp;$C4479&amp;"'!$E$12:$Y$12"),0)),0),0)</f>
        <v>15993.150550680924</v>
      </c>
      <c r="I4479" s="366" t="s">
        <v>1690</v>
      </c>
      <c r="J4479" s="348" t="str">
        <f t="shared" ca="1" si="138"/>
        <v>OK</v>
      </c>
      <c r="K4479" s="366" t="s">
        <v>1699</v>
      </c>
      <c r="L4479" s="366" t="s">
        <v>2240</v>
      </c>
      <c r="M4479" s="350" t="str">
        <f>IF($B4479="Portfolio","Portfolio",IFERROR(INDEX(DATA_ASSET_CLASSIFICATION!$B$8:$B$24,MATCH($C4479,DATA_ASSET_CLASSIFICATION!$A$8:$A$24,0)),"Review"))</f>
        <v>450 Pacific Street</v>
      </c>
      <c r="N4479" s="350" t="str">
        <f>IF($B4479="Portfolio","Portfolio",IFERROR(INDEX(DATA_ASSET_CLASSIFICATION!$U$8:$U$24,MATCH($C4479,DATA_ASSET_CLASSIFICATION!$A$8:$A$24,0)),"Review"))</f>
        <v>New Build</v>
      </c>
      <c r="O4479" s="350" t="str">
        <f>IF($B4479="Portfolio","Portfolio",IFERROR(INDEX(DATA_ASSET_CLASSIFICATION!$AB$8:$AB$13,MATCH($N4479,DATA_ASSET_CLASSIFICATION!$AA$8:$AA$13,0)),"Review"))</f>
        <v>Bucket 1 · New Build</v>
      </c>
      <c r="P4479" s="350" t="str">
        <f>IF($B4479="Portfolio","Portfolio",IFERROR(INDEX(DATA_ASSET_CLASSIFICATION!$C$8:$C$24,MATCH($C4479,DATA_ASSET_CLASSIFICATION!$A$8:$A$24,0)),"Review"))</f>
        <v>Yes</v>
      </c>
      <c r="Q4479" s="350" t="str">
        <f t="shared" ca="1" si="139"/>
        <v>OK</v>
      </c>
    </row>
    <row r="4480" spans="1:17">
      <c r="A4480" s="366" t="s">
        <v>6436</v>
      </c>
      <c r="B4480" s="366" t="s">
        <v>231</v>
      </c>
      <c r="C4480" s="348" t="str">
        <f>DATA_PROPERTY_MASTER!$A$19</f>
        <v>BLD_PS</v>
      </c>
      <c r="D4480" s="380">
        <f>'00_PORTFOLIO ROLLUP'!M$12</f>
        <v>2033</v>
      </c>
      <c r="E4480" s="366" t="s">
        <v>1683</v>
      </c>
      <c r="F4480" s="366" t="s">
        <v>21</v>
      </c>
      <c r="G4480" s="348" t="str">
        <f>"'"&amp;$C4480&amp;"'!$E$45:$Y$45"</f>
        <v>'BLD_PS'!$E$45:$Y$45</v>
      </c>
      <c r="H4480" s="381">
        <f ca="1">IF(IFERROR(INDEX(DATA_PROPERTY_MASTER!$E$5:$E$21,MATCH($C4480,DATA_PROPERTY_MASTER!$A$5:$A$21,0))="Yes",FALSE),IFERROR(INDEX(INDIRECT("'"&amp;$C4480&amp;"'!$E$45:$Y$45"),1,MATCH($D4480,INDIRECT("'"&amp;$C4480&amp;"'!$E$12:$Y$12"),0)),0),0)</f>
        <v>1006722.4426582898</v>
      </c>
      <c r="I4480" s="366" t="s">
        <v>1685</v>
      </c>
      <c r="J4480" s="348" t="str">
        <f t="shared" ca="1" si="138"/>
        <v>OK</v>
      </c>
      <c r="K4480" s="366" t="s">
        <v>1694</v>
      </c>
      <c r="L4480" s="366" t="s">
        <v>2242</v>
      </c>
      <c r="M4480" s="350" t="str">
        <f>IF($B4480="Portfolio","Portfolio",IFERROR(INDEX(DATA_ASSET_CLASSIFICATION!$B$8:$B$24,MATCH($C4480,DATA_ASSET_CLASSIFICATION!$A$8:$A$24,0)),"Review"))</f>
        <v>450 Pacific Street</v>
      </c>
      <c r="N4480" s="350" t="str">
        <f>IF($B4480="Portfolio","Portfolio",IFERROR(INDEX(DATA_ASSET_CLASSIFICATION!$U$8:$U$24,MATCH($C4480,DATA_ASSET_CLASSIFICATION!$A$8:$A$24,0)),"Review"))</f>
        <v>New Build</v>
      </c>
      <c r="O4480" s="350" t="str">
        <f>IF($B4480="Portfolio","Portfolio",IFERROR(INDEX(DATA_ASSET_CLASSIFICATION!$AB$8:$AB$13,MATCH($N4480,DATA_ASSET_CLASSIFICATION!$AA$8:$AA$13,0)),"Review"))</f>
        <v>Bucket 1 · New Build</v>
      </c>
      <c r="P4480" s="350" t="str">
        <f>IF($B4480="Portfolio","Portfolio",IFERROR(INDEX(DATA_ASSET_CLASSIFICATION!$C$8:$C$24,MATCH($C4480,DATA_ASSET_CLASSIFICATION!$A$8:$A$24,0)),"Review"))</f>
        <v>Yes</v>
      </c>
      <c r="Q4480" s="350" t="str">
        <f t="shared" ca="1" si="139"/>
        <v>OK</v>
      </c>
    </row>
    <row r="4481" spans="1:17">
      <c r="A4481" s="366" t="s">
        <v>6437</v>
      </c>
      <c r="B4481" s="366" t="s">
        <v>231</v>
      </c>
      <c r="C4481" s="348" t="str">
        <f>DATA_PROPERTY_MASTER!$A$19</f>
        <v>BLD_PS</v>
      </c>
      <c r="D4481" s="380">
        <f>'00_PORTFOLIO ROLLUP'!M$12</f>
        <v>2033</v>
      </c>
      <c r="E4481" s="366" t="s">
        <v>23</v>
      </c>
      <c r="F4481" s="366" t="s">
        <v>23</v>
      </c>
      <c r="G4481" s="348" t="str">
        <f>"'"&amp;$C4481&amp;"'!$E$48:$Y$48"</f>
        <v>'BLD_PS'!$E$48:$Y$48</v>
      </c>
      <c r="H4481" s="381">
        <f ca="1">IF(IFERROR(INDEX(DATA_PROPERTY_MASTER!$E$5:$E$21,MATCH($C4481,DATA_PROPERTY_MASTER!$A$5:$A$21,0))="Yes",FALSE),IFERROR(INDEX(INDIRECT("'"&amp;$C4481&amp;"'!$E$48:$Y$48"),1,MATCH($D4481,INDIRECT("'"&amp;$C4481&amp;"'!$E$12:$Y$12"),0)),0),0)</f>
        <v>667460.46017404622</v>
      </c>
      <c r="I4481" s="366" t="s">
        <v>1690</v>
      </c>
      <c r="J4481" s="348" t="str">
        <f t="shared" ca="1" si="138"/>
        <v>OK</v>
      </c>
      <c r="K4481" s="366" t="s">
        <v>1706</v>
      </c>
      <c r="L4481" s="366" t="s">
        <v>2244</v>
      </c>
      <c r="M4481" s="350" t="str">
        <f>IF($B4481="Portfolio","Portfolio",IFERROR(INDEX(DATA_ASSET_CLASSIFICATION!$B$8:$B$24,MATCH($C4481,DATA_ASSET_CLASSIFICATION!$A$8:$A$24,0)),"Review"))</f>
        <v>450 Pacific Street</v>
      </c>
      <c r="N4481" s="350" t="str">
        <f>IF($B4481="Portfolio","Portfolio",IFERROR(INDEX(DATA_ASSET_CLASSIFICATION!$U$8:$U$24,MATCH($C4481,DATA_ASSET_CLASSIFICATION!$A$8:$A$24,0)),"Review"))</f>
        <v>New Build</v>
      </c>
      <c r="O4481" s="350" t="str">
        <f>IF($B4481="Portfolio","Portfolio",IFERROR(INDEX(DATA_ASSET_CLASSIFICATION!$AB$8:$AB$13,MATCH($N4481,DATA_ASSET_CLASSIFICATION!$AA$8:$AA$13,0)),"Review"))</f>
        <v>Bucket 1 · New Build</v>
      </c>
      <c r="P4481" s="350" t="str">
        <f>IF($B4481="Portfolio","Portfolio",IFERROR(INDEX(DATA_ASSET_CLASSIFICATION!$C$8:$C$24,MATCH($C4481,DATA_ASSET_CLASSIFICATION!$A$8:$A$24,0)),"Review"))</f>
        <v>Yes</v>
      </c>
      <c r="Q4481" s="350" t="str">
        <f t="shared" ca="1" si="139"/>
        <v>OK</v>
      </c>
    </row>
    <row r="4482" spans="1:17">
      <c r="A4482" s="366" t="s">
        <v>6438</v>
      </c>
      <c r="B4482" s="366" t="s">
        <v>231</v>
      </c>
      <c r="C4482" s="348" t="str">
        <f>DATA_PROPERTY_MASTER!$A$19</f>
        <v>BLD_PS</v>
      </c>
      <c r="D4482" s="380">
        <f>'00_PORTFOLIO ROLLUP'!M$12</f>
        <v>2033</v>
      </c>
      <c r="E4482" s="366" t="s">
        <v>1683</v>
      </c>
      <c r="F4482" s="366" t="s">
        <v>25</v>
      </c>
      <c r="G4482" s="348" t="str">
        <f>"'"&amp;$C4482&amp;"'!$E$52:$Y$52"</f>
        <v>'BLD_PS'!$E$52:$Y$52</v>
      </c>
      <c r="H4482" s="381">
        <f ca="1">IF(IFERROR(INDEX(DATA_PROPERTY_MASTER!$E$5:$E$21,MATCH($C4482,DATA_PROPERTY_MASTER!$A$5:$A$21,0))="Yes",FALSE),IFERROR(INDEX(INDIRECT("'"&amp;$C4482&amp;"'!$E$52:$Y$52"),1,MATCH($D4482,INDIRECT("'"&amp;$C4482&amp;"'!$E$12:$Y$12"),0)),0),0)</f>
        <v>355255.13303492451</v>
      </c>
      <c r="I4482" s="366" t="s">
        <v>1685</v>
      </c>
      <c r="J4482" s="348" t="str">
        <f t="shared" ca="1" si="138"/>
        <v>OK</v>
      </c>
      <c r="K4482" s="366" t="s">
        <v>1710</v>
      </c>
      <c r="L4482" s="366" t="s">
        <v>2246</v>
      </c>
      <c r="M4482" s="350" t="str">
        <f>IF($B4482="Portfolio","Portfolio",IFERROR(INDEX(DATA_ASSET_CLASSIFICATION!$B$8:$B$24,MATCH($C4482,DATA_ASSET_CLASSIFICATION!$A$8:$A$24,0)),"Review"))</f>
        <v>450 Pacific Street</v>
      </c>
      <c r="N4482" s="350" t="str">
        <f>IF($B4482="Portfolio","Portfolio",IFERROR(INDEX(DATA_ASSET_CLASSIFICATION!$U$8:$U$24,MATCH($C4482,DATA_ASSET_CLASSIFICATION!$A$8:$A$24,0)),"Review"))</f>
        <v>New Build</v>
      </c>
      <c r="O4482" s="350" t="str">
        <f>IF($B4482="Portfolio","Portfolio",IFERROR(INDEX(DATA_ASSET_CLASSIFICATION!$AB$8:$AB$13,MATCH($N4482,DATA_ASSET_CLASSIFICATION!$AA$8:$AA$13,0)),"Review"))</f>
        <v>Bucket 1 · New Build</v>
      </c>
      <c r="P4482" s="350" t="str">
        <f>IF($B4482="Portfolio","Portfolio",IFERROR(INDEX(DATA_ASSET_CLASSIFICATION!$C$8:$C$24,MATCH($C4482,DATA_ASSET_CLASSIFICATION!$A$8:$A$24,0)),"Review"))</f>
        <v>Yes</v>
      </c>
      <c r="Q4482" s="350" t="str">
        <f t="shared" ca="1" si="139"/>
        <v>OK</v>
      </c>
    </row>
    <row r="4483" spans="1:17">
      <c r="A4483" s="366" t="s">
        <v>6439</v>
      </c>
      <c r="B4483" s="366" t="s">
        <v>231</v>
      </c>
      <c r="C4483" s="348" t="str">
        <f>DATA_PROPERTY_MASTER!$A$19</f>
        <v>BLD_PS</v>
      </c>
      <c r="D4483" s="380">
        <f>'00_PORTFOLIO ROLLUP'!M$12</f>
        <v>2033</v>
      </c>
      <c r="E4483" s="366" t="s">
        <v>1683</v>
      </c>
      <c r="F4483" s="366" t="s">
        <v>27</v>
      </c>
      <c r="G4483" s="348" t="str">
        <f>"'"&amp;$C4483&amp;"'!$E$54:$Y$54"</f>
        <v>'BLD_PS'!$E$54:$Y$54</v>
      </c>
      <c r="H4483" s="381">
        <f ca="1">IF(IFERROR(INDEX(DATA_PROPERTY_MASTER!$E$5:$E$21,MATCH($C4483,DATA_PROPERTY_MASTER!$A$5:$A$21,0))="Yes",FALSE),IFERROR(INDEX(INDIRECT("'"&amp;$C4483&amp;"'!$E$54:$Y$54"),1,MATCH($D4483,INDIRECT("'"&amp;$C4483&amp;"'!$E$12:$Y$12"),0)),0),0)</f>
        <v>213153.07982095471</v>
      </c>
      <c r="I4483" s="366" t="s">
        <v>1690</v>
      </c>
      <c r="J4483" s="348" t="str">
        <f t="shared" ca="1" si="138"/>
        <v>OK</v>
      </c>
      <c r="K4483" s="366" t="s">
        <v>1714</v>
      </c>
      <c r="L4483" s="366" t="s">
        <v>2248</v>
      </c>
      <c r="M4483" s="350" t="str">
        <f>IF($B4483="Portfolio","Portfolio",IFERROR(INDEX(DATA_ASSET_CLASSIFICATION!$B$8:$B$24,MATCH($C4483,DATA_ASSET_CLASSIFICATION!$A$8:$A$24,0)),"Review"))</f>
        <v>450 Pacific Street</v>
      </c>
      <c r="N4483" s="350" t="str">
        <f>IF($B4483="Portfolio","Portfolio",IFERROR(INDEX(DATA_ASSET_CLASSIFICATION!$U$8:$U$24,MATCH($C4483,DATA_ASSET_CLASSIFICATION!$A$8:$A$24,0)),"Review"))</f>
        <v>New Build</v>
      </c>
      <c r="O4483" s="350" t="str">
        <f>IF($B4483="Portfolio","Portfolio",IFERROR(INDEX(DATA_ASSET_CLASSIFICATION!$AB$8:$AB$13,MATCH($N4483,DATA_ASSET_CLASSIFICATION!$AA$8:$AA$13,0)),"Review"))</f>
        <v>Bucket 1 · New Build</v>
      </c>
      <c r="P4483" s="350" t="str">
        <f>IF($B4483="Portfolio","Portfolio",IFERROR(INDEX(DATA_ASSET_CLASSIFICATION!$C$8:$C$24,MATCH($C4483,DATA_ASSET_CLASSIFICATION!$A$8:$A$24,0)),"Review"))</f>
        <v>Yes</v>
      </c>
      <c r="Q4483" s="350" t="str">
        <f t="shared" ca="1" si="139"/>
        <v>OK</v>
      </c>
    </row>
    <row r="4484" spans="1:17">
      <c r="A4484" s="366" t="s">
        <v>6440</v>
      </c>
      <c r="B4484" s="366" t="s">
        <v>231</v>
      </c>
      <c r="C4484" s="348" t="str">
        <f>DATA_PROPERTY_MASTER!$A$19</f>
        <v>BLD_PS</v>
      </c>
      <c r="D4484" s="380">
        <f>'00_PORTFOLIO ROLLUP'!M$12</f>
        <v>2033</v>
      </c>
      <c r="E4484" s="366" t="s">
        <v>1683</v>
      </c>
      <c r="F4484" s="366" t="s">
        <v>29</v>
      </c>
      <c r="G4484" s="348" t="str">
        <f>"'"&amp;$C4484&amp;"'!$E$56:$Y$56"</f>
        <v>'BLD_PS'!$E$56:$Y$56</v>
      </c>
      <c r="H4484" s="381">
        <f ca="1">IF(IFERROR(INDEX(DATA_PROPERTY_MASTER!$E$5:$E$21,MATCH($C4484,DATA_PROPERTY_MASTER!$A$5:$A$21,0))="Yes",FALSE),IFERROR(INDEX(INDIRECT("'"&amp;$C4484&amp;"'!$E$56:$Y$56"),1,MATCH($D4484,INDIRECT("'"&amp;$C4484&amp;"'!$E$12:$Y$12"),0)),0),0)</f>
        <v>142102.0532139698</v>
      </c>
      <c r="I4484" s="366" t="s">
        <v>1685</v>
      </c>
      <c r="J4484" s="348" t="str">
        <f t="shared" ca="1" si="138"/>
        <v>OK</v>
      </c>
      <c r="K4484" s="366" t="s">
        <v>1718</v>
      </c>
      <c r="L4484" s="366" t="s">
        <v>2250</v>
      </c>
      <c r="M4484" s="350" t="str">
        <f>IF($B4484="Portfolio","Portfolio",IFERROR(INDEX(DATA_ASSET_CLASSIFICATION!$B$8:$B$24,MATCH($C4484,DATA_ASSET_CLASSIFICATION!$A$8:$A$24,0)),"Review"))</f>
        <v>450 Pacific Street</v>
      </c>
      <c r="N4484" s="350" t="str">
        <f>IF($B4484="Portfolio","Portfolio",IFERROR(INDEX(DATA_ASSET_CLASSIFICATION!$U$8:$U$24,MATCH($C4484,DATA_ASSET_CLASSIFICATION!$A$8:$A$24,0)),"Review"))</f>
        <v>New Build</v>
      </c>
      <c r="O4484" s="350" t="str">
        <f>IF($B4484="Portfolio","Portfolio",IFERROR(INDEX(DATA_ASSET_CLASSIFICATION!$AB$8:$AB$13,MATCH($N4484,DATA_ASSET_CLASSIFICATION!$AA$8:$AA$13,0)),"Review"))</f>
        <v>Bucket 1 · New Build</v>
      </c>
      <c r="P4484" s="350" t="str">
        <f>IF($B4484="Portfolio","Portfolio",IFERROR(INDEX(DATA_ASSET_CLASSIFICATION!$C$8:$C$24,MATCH($C4484,DATA_ASSET_CLASSIFICATION!$A$8:$A$24,0)),"Review"))</f>
        <v>Yes</v>
      </c>
      <c r="Q4484" s="350" t="str">
        <f t="shared" ca="1" si="139"/>
        <v>OK</v>
      </c>
    </row>
    <row r="4485" spans="1:17">
      <c r="A4485" s="366" t="s">
        <v>6441</v>
      </c>
      <c r="B4485" s="366" t="s">
        <v>231</v>
      </c>
      <c r="C4485" s="348" t="str">
        <f>DATA_PROPERTY_MASTER!$A$19</f>
        <v>BLD_PS</v>
      </c>
      <c r="D4485" s="380">
        <f>'00_PORTFOLIO ROLLUP'!M$12</f>
        <v>2033</v>
      </c>
      <c r="E4485" s="366" t="s">
        <v>1721</v>
      </c>
      <c r="F4485" s="366" t="s">
        <v>31</v>
      </c>
      <c r="G4485" s="348" t="str">
        <f>"'"&amp;$C4485&amp;"'!$E$61:$Y$61"</f>
        <v>'BLD_PS'!$E$61:$Y$61</v>
      </c>
      <c r="H4485" s="381">
        <f ca="1">IF(IFERROR(INDEX(DATA_PROPERTY_MASTER!$E$5:$E$21,MATCH($C4485,DATA_PROPERTY_MASTER!$A$5:$A$21,0))="Yes",FALSE),IFERROR(INDEX(INDIRECT("'"&amp;$C4485&amp;"'!$E$61:$Y$61"),1,MATCH($D4485,INDIRECT("'"&amp;$C4485&amp;"'!$E$12:$Y$12"),0)),0),0)</f>
        <v>0</v>
      </c>
      <c r="I4485" s="366" t="s">
        <v>1690</v>
      </c>
      <c r="J4485" s="348" t="str">
        <f t="shared" ref="J4485:J4548" ca="1" si="140">IF($F4485="Residual Funding Gap",IF($H4485&gt;0,"Funding Gap","OK"),IF(AND($F4485="Net Refinance Position",$H4485&lt;0),"Negative net refi position","OK"))</f>
        <v>OK</v>
      </c>
      <c r="K4485" s="366" t="s">
        <v>1723</v>
      </c>
      <c r="L4485" s="366" t="s">
        <v>2252</v>
      </c>
      <c r="M4485" s="350" t="str">
        <f>IF($B4485="Portfolio","Portfolio",IFERROR(INDEX(DATA_ASSET_CLASSIFICATION!$B$8:$B$24,MATCH($C4485,DATA_ASSET_CLASSIFICATION!$A$8:$A$24,0)),"Review"))</f>
        <v>450 Pacific Street</v>
      </c>
      <c r="N4485" s="350" t="str">
        <f>IF($B4485="Portfolio","Portfolio",IFERROR(INDEX(DATA_ASSET_CLASSIFICATION!$U$8:$U$24,MATCH($C4485,DATA_ASSET_CLASSIFICATION!$A$8:$A$24,0)),"Review"))</f>
        <v>New Build</v>
      </c>
      <c r="O4485" s="350" t="str">
        <f>IF($B4485="Portfolio","Portfolio",IFERROR(INDEX(DATA_ASSET_CLASSIFICATION!$AB$8:$AB$13,MATCH($N4485,DATA_ASSET_CLASSIFICATION!$AA$8:$AA$13,0)),"Review"))</f>
        <v>Bucket 1 · New Build</v>
      </c>
      <c r="P4485" s="350" t="str">
        <f>IF($B4485="Portfolio","Portfolio",IFERROR(INDEX(DATA_ASSET_CLASSIFICATION!$C$8:$C$24,MATCH($C4485,DATA_ASSET_CLASSIFICATION!$A$8:$A$24,0)),"Review"))</f>
        <v>Yes</v>
      </c>
      <c r="Q4485" s="350" t="str">
        <f t="shared" ref="Q4485:Q4548" ca="1" si="141">IF(AND($B4485="Property",$F4485="Residual Funding Gap",$H4485&gt;0),"Property Funding Gap",IF($J4485&lt;&gt;"OK",$J4485,"OK"))</f>
        <v>OK</v>
      </c>
    </row>
    <row r="4486" spans="1:17">
      <c r="A4486" s="366" t="s">
        <v>6442</v>
      </c>
      <c r="B4486" s="366" t="s">
        <v>231</v>
      </c>
      <c r="C4486" s="348" t="str">
        <f>DATA_PROPERTY_MASTER!$A$19</f>
        <v>BLD_PS</v>
      </c>
      <c r="D4486" s="380">
        <f>'00_PORTFOLIO ROLLUP'!M$12</f>
        <v>2033</v>
      </c>
      <c r="E4486" s="366" t="s">
        <v>1721</v>
      </c>
      <c r="F4486" s="366" t="s">
        <v>33</v>
      </c>
      <c r="G4486" s="348" t="str">
        <f>"'"&amp;$C4486&amp;"'!$E$62:$Y$62"</f>
        <v>'BLD_PS'!$E$62:$Y$62</v>
      </c>
      <c r="H4486" s="381">
        <f ca="1">IF(IFERROR(INDEX(DATA_PROPERTY_MASTER!$E$5:$E$21,MATCH($C4486,DATA_PROPERTY_MASTER!$A$5:$A$21,0))="Yes",FALSE),IFERROR(INDEX(INDIRECT("'"&amp;$C4486&amp;"'!$E$62:$Y$62"),1,MATCH($D4486,INDIRECT("'"&amp;$C4486&amp;"'!$E$12:$Y$12"),0)),0),0)</f>
        <v>0</v>
      </c>
      <c r="I4486" s="366" t="s">
        <v>1685</v>
      </c>
      <c r="J4486" s="348" t="str">
        <f t="shared" ca="1" si="140"/>
        <v>OK</v>
      </c>
      <c r="K4486" s="366" t="s">
        <v>1727</v>
      </c>
      <c r="L4486" s="366" t="s">
        <v>2254</v>
      </c>
      <c r="M4486" s="350" t="str">
        <f>IF($B4486="Portfolio","Portfolio",IFERROR(INDEX(DATA_ASSET_CLASSIFICATION!$B$8:$B$24,MATCH($C4486,DATA_ASSET_CLASSIFICATION!$A$8:$A$24,0)),"Review"))</f>
        <v>450 Pacific Street</v>
      </c>
      <c r="N4486" s="350" t="str">
        <f>IF($B4486="Portfolio","Portfolio",IFERROR(INDEX(DATA_ASSET_CLASSIFICATION!$U$8:$U$24,MATCH($C4486,DATA_ASSET_CLASSIFICATION!$A$8:$A$24,0)),"Review"))</f>
        <v>New Build</v>
      </c>
      <c r="O4486" s="350" t="str">
        <f>IF($B4486="Portfolio","Portfolio",IFERROR(INDEX(DATA_ASSET_CLASSIFICATION!$AB$8:$AB$13,MATCH($N4486,DATA_ASSET_CLASSIFICATION!$AA$8:$AA$13,0)),"Review"))</f>
        <v>Bucket 1 · New Build</v>
      </c>
      <c r="P4486" s="350" t="str">
        <f>IF($B4486="Portfolio","Portfolio",IFERROR(INDEX(DATA_ASSET_CLASSIFICATION!$C$8:$C$24,MATCH($C4486,DATA_ASSET_CLASSIFICATION!$A$8:$A$24,0)),"Review"))</f>
        <v>Yes</v>
      </c>
      <c r="Q4486" s="350" t="str">
        <f t="shared" ca="1" si="141"/>
        <v>OK</v>
      </c>
    </row>
    <row r="4487" spans="1:17">
      <c r="A4487" s="366" t="s">
        <v>6443</v>
      </c>
      <c r="B4487" s="366" t="s">
        <v>231</v>
      </c>
      <c r="C4487" s="348" t="str">
        <f>DATA_PROPERTY_MASTER!$A$19</f>
        <v>BLD_PS</v>
      </c>
      <c r="D4487" s="380">
        <f>'00_PORTFOLIO ROLLUP'!M$12</f>
        <v>2033</v>
      </c>
      <c r="E4487" s="366" t="s">
        <v>1721</v>
      </c>
      <c r="F4487" s="366" t="s">
        <v>35</v>
      </c>
      <c r="G4487" s="348" t="str">
        <f>"'"&amp;$C4487&amp;"'!$E$63:$Y$63"</f>
        <v>'BLD_PS'!$E$63:$Y$63</v>
      </c>
      <c r="H4487" s="381">
        <f ca="1">IF(IFERROR(INDEX(DATA_PROPERTY_MASTER!$E$5:$E$21,MATCH($C4487,DATA_PROPERTY_MASTER!$A$5:$A$21,0))="Yes",FALSE),IFERROR(INDEX(INDIRECT("'"&amp;$C4487&amp;"'!$E$63:$Y$63"),1,MATCH($D4487,INDIRECT("'"&amp;$C4487&amp;"'!$E$12:$Y$12"),0)),0),0)</f>
        <v>0</v>
      </c>
      <c r="I4487" s="366" t="s">
        <v>1731</v>
      </c>
      <c r="J4487" s="348" t="str">
        <f t="shared" ca="1" si="140"/>
        <v>OK</v>
      </c>
      <c r="K4487" s="366" t="s">
        <v>1732</v>
      </c>
      <c r="L4487" s="366" t="s">
        <v>2256</v>
      </c>
      <c r="M4487" s="350" t="str">
        <f>IF($B4487="Portfolio","Portfolio",IFERROR(INDEX(DATA_ASSET_CLASSIFICATION!$B$8:$B$24,MATCH($C4487,DATA_ASSET_CLASSIFICATION!$A$8:$A$24,0)),"Review"))</f>
        <v>450 Pacific Street</v>
      </c>
      <c r="N4487" s="350" t="str">
        <f>IF($B4487="Portfolio","Portfolio",IFERROR(INDEX(DATA_ASSET_CLASSIFICATION!$U$8:$U$24,MATCH($C4487,DATA_ASSET_CLASSIFICATION!$A$8:$A$24,0)),"Review"))</f>
        <v>New Build</v>
      </c>
      <c r="O4487" s="350" t="str">
        <f>IF($B4487="Portfolio","Portfolio",IFERROR(INDEX(DATA_ASSET_CLASSIFICATION!$AB$8:$AB$13,MATCH($N4487,DATA_ASSET_CLASSIFICATION!$AA$8:$AA$13,0)),"Review"))</f>
        <v>Bucket 1 · New Build</v>
      </c>
      <c r="P4487" s="350" t="str">
        <f>IF($B4487="Portfolio","Portfolio",IFERROR(INDEX(DATA_ASSET_CLASSIFICATION!$C$8:$C$24,MATCH($C4487,DATA_ASSET_CLASSIFICATION!$A$8:$A$24,0)),"Review"))</f>
        <v>Yes</v>
      </c>
      <c r="Q4487" s="350" t="str">
        <f t="shared" ca="1" si="141"/>
        <v>OK</v>
      </c>
    </row>
    <row r="4488" spans="1:17">
      <c r="A4488" s="366" t="s">
        <v>6444</v>
      </c>
      <c r="B4488" s="366" t="s">
        <v>231</v>
      </c>
      <c r="C4488" s="348" t="str">
        <f>DATA_PROPERTY_MASTER!$A$19</f>
        <v>BLD_PS</v>
      </c>
      <c r="D4488" s="380">
        <f>'00_PORTFOLIO ROLLUP'!M$12</f>
        <v>2033</v>
      </c>
      <c r="E4488" s="366" t="s">
        <v>1721</v>
      </c>
      <c r="F4488" s="366" t="s">
        <v>37</v>
      </c>
      <c r="G4488" s="348" t="str">
        <f>"'"&amp;$C4488&amp;"'!$E$63:$Y$63"</f>
        <v>'BLD_PS'!$E$63:$Y$63</v>
      </c>
      <c r="H4488" s="381">
        <f ca="1">IF(IFERROR(INDEX(DATA_PROPERTY_MASTER!$E$5:$E$21,MATCH($C4488,DATA_PROPERTY_MASTER!$A$5:$A$21,0))="Yes",FALSE),MAX(IFERROR(INDEX(INDIRECT("'"&amp;$C4488&amp;"'!$E$63:$Y$63"),1,MATCH($D4488,INDIRECT("'"&amp;$C4488&amp;"'!$E$12:$Y$12"),0)),0),0),0)</f>
        <v>0</v>
      </c>
      <c r="I4488" s="366" t="s">
        <v>1685</v>
      </c>
      <c r="J4488" s="348" t="str">
        <f t="shared" ca="1" si="140"/>
        <v>OK</v>
      </c>
      <c r="K4488" s="366" t="s">
        <v>1735</v>
      </c>
      <c r="L4488" s="366" t="s">
        <v>2258</v>
      </c>
      <c r="M4488" s="350" t="str">
        <f>IF($B4488="Portfolio","Portfolio",IFERROR(INDEX(DATA_ASSET_CLASSIFICATION!$B$8:$B$24,MATCH($C4488,DATA_ASSET_CLASSIFICATION!$A$8:$A$24,0)),"Review"))</f>
        <v>450 Pacific Street</v>
      </c>
      <c r="N4488" s="350" t="str">
        <f>IF($B4488="Portfolio","Portfolio",IFERROR(INDEX(DATA_ASSET_CLASSIFICATION!$U$8:$U$24,MATCH($C4488,DATA_ASSET_CLASSIFICATION!$A$8:$A$24,0)),"Review"))</f>
        <v>New Build</v>
      </c>
      <c r="O4488" s="350" t="str">
        <f>IF($B4488="Portfolio","Portfolio",IFERROR(INDEX(DATA_ASSET_CLASSIFICATION!$AB$8:$AB$13,MATCH($N4488,DATA_ASSET_CLASSIFICATION!$AA$8:$AA$13,0)),"Review"))</f>
        <v>Bucket 1 · New Build</v>
      </c>
      <c r="P4488" s="350" t="str">
        <f>IF($B4488="Portfolio","Portfolio",IFERROR(INDEX(DATA_ASSET_CLASSIFICATION!$C$8:$C$24,MATCH($C4488,DATA_ASSET_CLASSIFICATION!$A$8:$A$24,0)),"Review"))</f>
        <v>Yes</v>
      </c>
      <c r="Q4488" s="350" t="str">
        <f t="shared" ca="1" si="141"/>
        <v>OK</v>
      </c>
    </row>
    <row r="4489" spans="1:17">
      <c r="A4489" s="366" t="s">
        <v>6445</v>
      </c>
      <c r="B4489" s="366" t="s">
        <v>231</v>
      </c>
      <c r="C4489" s="348" t="str">
        <f>DATA_PROPERTY_MASTER!$A$19</f>
        <v>BLD_PS</v>
      </c>
      <c r="D4489" s="380">
        <f>'00_PORTFOLIO ROLLUP'!M$12</f>
        <v>2033</v>
      </c>
      <c r="E4489" s="366" t="s">
        <v>1721</v>
      </c>
      <c r="F4489" s="366" t="s">
        <v>39</v>
      </c>
      <c r="G4489" s="348" t="str">
        <f>"'"&amp;$C4489&amp;"'!$E$63:$Y$63"</f>
        <v>'BLD_PS'!$E$63:$Y$63</v>
      </c>
      <c r="H4489" s="381">
        <f ca="1">IF(IFERROR(INDEX(DATA_PROPERTY_MASTER!$E$5:$E$21,MATCH($C4489,DATA_PROPERTY_MASTER!$A$5:$A$21,0))="Yes",FALSE),MAX(-IFERROR(INDEX(INDIRECT("'"&amp;$C4489&amp;"'!$E$63:$Y$63"),1,MATCH($D4489,INDIRECT("'"&amp;$C4489&amp;"'!$E$12:$Y$12"),0)),0),0),0)</f>
        <v>0</v>
      </c>
      <c r="I4489" s="366" t="s">
        <v>1690</v>
      </c>
      <c r="J4489" s="348" t="str">
        <f t="shared" ca="1" si="140"/>
        <v>OK</v>
      </c>
      <c r="K4489" s="366" t="s">
        <v>1738</v>
      </c>
      <c r="L4489" s="366" t="s">
        <v>2260</v>
      </c>
      <c r="M4489" s="350" t="str">
        <f>IF($B4489="Portfolio","Portfolio",IFERROR(INDEX(DATA_ASSET_CLASSIFICATION!$B$8:$B$24,MATCH($C4489,DATA_ASSET_CLASSIFICATION!$A$8:$A$24,0)),"Review"))</f>
        <v>450 Pacific Street</v>
      </c>
      <c r="N4489" s="350" t="str">
        <f>IF($B4489="Portfolio","Portfolio",IFERROR(INDEX(DATA_ASSET_CLASSIFICATION!$U$8:$U$24,MATCH($C4489,DATA_ASSET_CLASSIFICATION!$A$8:$A$24,0)),"Review"))</f>
        <v>New Build</v>
      </c>
      <c r="O4489" s="350" t="str">
        <f>IF($B4489="Portfolio","Portfolio",IFERROR(INDEX(DATA_ASSET_CLASSIFICATION!$AB$8:$AB$13,MATCH($N4489,DATA_ASSET_CLASSIFICATION!$AA$8:$AA$13,0)),"Review"))</f>
        <v>Bucket 1 · New Build</v>
      </c>
      <c r="P4489" s="350" t="str">
        <f>IF($B4489="Portfolio","Portfolio",IFERROR(INDEX(DATA_ASSET_CLASSIFICATION!$C$8:$C$24,MATCH($C4489,DATA_ASSET_CLASSIFICATION!$A$8:$A$24,0)),"Review"))</f>
        <v>Yes</v>
      </c>
      <c r="Q4489" s="350" t="str">
        <f t="shared" ca="1" si="141"/>
        <v>OK</v>
      </c>
    </row>
    <row r="4490" spans="1:17">
      <c r="A4490" s="366" t="s">
        <v>6446</v>
      </c>
      <c r="B4490" s="366" t="s">
        <v>231</v>
      </c>
      <c r="C4490" s="348" t="str">
        <f>DATA_PROPERTY_MASTER!$A$19</f>
        <v>BLD_PS</v>
      </c>
      <c r="D4490" s="380">
        <f>'00_PORTFOLIO ROLLUP'!M$12</f>
        <v>2033</v>
      </c>
      <c r="E4490" s="366" t="s">
        <v>1741</v>
      </c>
      <c r="F4490" s="366" t="s">
        <v>41</v>
      </c>
      <c r="G4490" s="348" t="str">
        <f>"'"&amp;$C4490&amp;"'!rows 56 + positive row 63"</f>
        <v>'BLD_PS'!rows 56 + positive row 63</v>
      </c>
      <c r="H4490" s="381">
        <f ca="1">IF(IFERROR(INDEX(DATA_PROPERTY_MASTER!$E$5:$E$21,MATCH($C4490,DATA_PROPERTY_MASTER!$A$5:$A$21,0))="Yes",FALSE),IFERROR(INDEX(INDIRECT("'"&amp;$C4490&amp;"'!$E$56:$Y$56"),1,MATCH($D4490,INDIRECT("'"&amp;$C4490&amp;"'!$E$12:$Y$12"),0)),0)+MAX(IFERROR(INDEX(INDIRECT("'"&amp;$C4490&amp;"'!$E$63:$Y$63"),1,MATCH($D4490,INDIRECT("'"&amp;$C4490&amp;"'!$E$12:$Y$12"),0)),0),0),0)</f>
        <v>142102.0532139698</v>
      </c>
      <c r="I4490" s="366" t="s">
        <v>1685</v>
      </c>
      <c r="J4490" s="348" t="str">
        <f t="shared" ca="1" si="140"/>
        <v>OK</v>
      </c>
      <c r="K4490" s="366" t="s">
        <v>1742</v>
      </c>
      <c r="L4490" s="366" t="s">
        <v>2262</v>
      </c>
      <c r="M4490" s="350" t="str">
        <f>IF($B4490="Portfolio","Portfolio",IFERROR(INDEX(DATA_ASSET_CLASSIFICATION!$B$8:$B$24,MATCH($C4490,DATA_ASSET_CLASSIFICATION!$A$8:$A$24,0)),"Review"))</f>
        <v>450 Pacific Street</v>
      </c>
      <c r="N4490" s="350" t="str">
        <f>IF($B4490="Portfolio","Portfolio",IFERROR(INDEX(DATA_ASSET_CLASSIFICATION!$U$8:$U$24,MATCH($C4490,DATA_ASSET_CLASSIFICATION!$A$8:$A$24,0)),"Review"))</f>
        <v>New Build</v>
      </c>
      <c r="O4490" s="350" t="str">
        <f>IF($B4490="Portfolio","Portfolio",IFERROR(INDEX(DATA_ASSET_CLASSIFICATION!$AB$8:$AB$13,MATCH($N4490,DATA_ASSET_CLASSIFICATION!$AA$8:$AA$13,0)),"Review"))</f>
        <v>Bucket 1 · New Build</v>
      </c>
      <c r="P4490" s="350" t="str">
        <f>IF($B4490="Portfolio","Portfolio",IFERROR(INDEX(DATA_ASSET_CLASSIFICATION!$C$8:$C$24,MATCH($C4490,DATA_ASSET_CLASSIFICATION!$A$8:$A$24,0)),"Review"))</f>
        <v>Yes</v>
      </c>
      <c r="Q4490" s="350" t="str">
        <f t="shared" ca="1" si="141"/>
        <v>OK</v>
      </c>
    </row>
    <row r="4491" spans="1:17">
      <c r="A4491" s="366" t="s">
        <v>6447</v>
      </c>
      <c r="B4491" s="366" t="s">
        <v>231</v>
      </c>
      <c r="C4491" s="348" t="str">
        <f>DATA_PROPERTY_MASTER!$A$19</f>
        <v>BLD_PS</v>
      </c>
      <c r="D4491" s="380">
        <f>'00_PORTFOLIO ROLLUP'!M$12</f>
        <v>2033</v>
      </c>
      <c r="E4491" s="366" t="s">
        <v>1741</v>
      </c>
      <c r="F4491" s="366" t="s">
        <v>43</v>
      </c>
      <c r="G4491" s="348" t="str">
        <f>"'"&amp;$C4491&amp;"'!$E$68:$Y$68"</f>
        <v>'BLD_PS'!$E$68:$Y$68</v>
      </c>
      <c r="H4491" s="381">
        <f ca="1">IF(IFERROR(INDEX(DATA_PROPERTY_MASTER!$E$5:$E$21,MATCH($C4491,DATA_PROPERTY_MASTER!$A$5:$A$21,0))="Yes",FALSE),IFERROR(INDEX(INDIRECT("'"&amp;$C4491&amp;"'!$E$68:$Y$68"),1,MATCH($D4491,INDIRECT("'"&amp;$C4491&amp;"'!$E$12:$Y$12"),0)),0),0)</f>
        <v>142102.0532139698</v>
      </c>
      <c r="I4491" s="366" t="s">
        <v>1731</v>
      </c>
      <c r="J4491" s="348" t="str">
        <f t="shared" ca="1" si="140"/>
        <v>OK</v>
      </c>
      <c r="K4491" s="366" t="s">
        <v>1746</v>
      </c>
      <c r="L4491" s="366" t="s">
        <v>2264</v>
      </c>
      <c r="M4491" s="350" t="str">
        <f>IF($B4491="Portfolio","Portfolio",IFERROR(INDEX(DATA_ASSET_CLASSIFICATION!$B$8:$B$24,MATCH($C4491,DATA_ASSET_CLASSIFICATION!$A$8:$A$24,0)),"Review"))</f>
        <v>450 Pacific Street</v>
      </c>
      <c r="N4491" s="350" t="str">
        <f>IF($B4491="Portfolio","Portfolio",IFERROR(INDEX(DATA_ASSET_CLASSIFICATION!$U$8:$U$24,MATCH($C4491,DATA_ASSET_CLASSIFICATION!$A$8:$A$24,0)),"Review"))</f>
        <v>New Build</v>
      </c>
      <c r="O4491" s="350" t="str">
        <f>IF($B4491="Portfolio","Portfolio",IFERROR(INDEX(DATA_ASSET_CLASSIFICATION!$AB$8:$AB$13,MATCH($N4491,DATA_ASSET_CLASSIFICATION!$AA$8:$AA$13,0)),"Review"))</f>
        <v>Bucket 1 · New Build</v>
      </c>
      <c r="P4491" s="350" t="str">
        <f>IF($B4491="Portfolio","Portfolio",IFERROR(INDEX(DATA_ASSET_CLASSIFICATION!$C$8:$C$24,MATCH($C4491,DATA_ASSET_CLASSIFICATION!$A$8:$A$24,0)),"Review"))</f>
        <v>Yes</v>
      </c>
      <c r="Q4491" s="350" t="str">
        <f t="shared" ca="1" si="141"/>
        <v>OK</v>
      </c>
    </row>
    <row r="4492" spans="1:17">
      <c r="A4492" s="366" t="s">
        <v>6448</v>
      </c>
      <c r="B4492" s="366" t="s">
        <v>231</v>
      </c>
      <c r="C4492" s="348" t="str">
        <f>DATA_PROPERTY_MASTER!$A$19</f>
        <v>BLD_PS</v>
      </c>
      <c r="D4492" s="380">
        <f>'00_PORTFOLIO ROLLUP'!M$12</f>
        <v>2033</v>
      </c>
      <c r="E4492" s="366" t="s">
        <v>1741</v>
      </c>
      <c r="F4492" s="366" t="s">
        <v>1749</v>
      </c>
      <c r="G4492" s="348" t="str">
        <f>"'"&amp;$C4492&amp;"'!rows 56, 63, 68"</f>
        <v>'BLD_PS'!rows 56, 63, 68</v>
      </c>
      <c r="H4492" s="381">
        <f ca="1">IF(IFERROR(INDEX(DATA_PROPERTY_MASTER!$E$5:$E$21,MATCH($C4492,DATA_PROPERTY_MASTER!$A$5:$A$21,0))="Yes",FALSE),(IFERROR(INDEX(INDIRECT("'"&amp;$C4492&amp;"'!$E$56:$Y$56"),1,MATCH($D4492,INDIRECT("'"&amp;$C4492&amp;"'!$E$12:$Y$12"),0)),0)+MAX(IFERROR(INDEX(INDIRECT("'"&amp;$C4492&amp;"'!$E$63:$Y$63"),1,MATCH($D4492,INDIRECT("'"&amp;$C4492&amp;"'!$E$12:$Y$12"),0)),0),0))-(IFERROR(INDEX(INDIRECT("'"&amp;$C4492&amp;"'!$E$68:$Y$68"),1,MATCH($D4492,INDIRECT("'"&amp;$C4492&amp;"'!$E$12:$Y$12"),0)),0)),0)</f>
        <v>0</v>
      </c>
      <c r="I4492" s="366" t="s">
        <v>1750</v>
      </c>
      <c r="J4492" s="348" t="str">
        <f t="shared" ca="1" si="140"/>
        <v>OK</v>
      </c>
      <c r="K4492" s="366" t="s">
        <v>1751</v>
      </c>
      <c r="L4492" s="366" t="s">
        <v>2266</v>
      </c>
      <c r="M4492" s="350" t="str">
        <f>IF($B4492="Portfolio","Portfolio",IFERROR(INDEX(DATA_ASSET_CLASSIFICATION!$B$8:$B$24,MATCH($C4492,DATA_ASSET_CLASSIFICATION!$A$8:$A$24,0)),"Review"))</f>
        <v>450 Pacific Street</v>
      </c>
      <c r="N4492" s="350" t="str">
        <f>IF($B4492="Portfolio","Portfolio",IFERROR(INDEX(DATA_ASSET_CLASSIFICATION!$U$8:$U$24,MATCH($C4492,DATA_ASSET_CLASSIFICATION!$A$8:$A$24,0)),"Review"))</f>
        <v>New Build</v>
      </c>
      <c r="O4492" s="350" t="str">
        <f>IF($B4492="Portfolio","Portfolio",IFERROR(INDEX(DATA_ASSET_CLASSIFICATION!$AB$8:$AB$13,MATCH($N4492,DATA_ASSET_CLASSIFICATION!$AA$8:$AA$13,0)),"Review"))</f>
        <v>Bucket 1 · New Build</v>
      </c>
      <c r="P4492" s="350" t="str">
        <f>IF($B4492="Portfolio","Portfolio",IFERROR(INDEX(DATA_ASSET_CLASSIFICATION!$C$8:$C$24,MATCH($C4492,DATA_ASSET_CLASSIFICATION!$A$8:$A$24,0)),"Review"))</f>
        <v>Yes</v>
      </c>
      <c r="Q4492" s="350" t="str">
        <f t="shared" ca="1" si="141"/>
        <v>OK</v>
      </c>
    </row>
    <row r="4493" spans="1:17">
      <c r="A4493" s="366" t="s">
        <v>6449</v>
      </c>
      <c r="B4493" s="366" t="s">
        <v>231</v>
      </c>
      <c r="C4493" s="348" t="str">
        <f>DATA_PROPERTY_MASTER!$A$19</f>
        <v>BLD_PS</v>
      </c>
      <c r="D4493" s="380">
        <f>'00_PORTFOLIO ROLLUP'!N$12</f>
        <v>2034</v>
      </c>
      <c r="E4493" s="366" t="s">
        <v>1683</v>
      </c>
      <c r="F4493" s="366" t="s">
        <v>341</v>
      </c>
      <c r="G4493" s="348" t="str">
        <f>"'"&amp;$C4493&amp;"'!$E$24:$Y$24"</f>
        <v>'BLD_PS'!$E$24:$Y$24</v>
      </c>
      <c r="H4493" s="381">
        <f ca="1">IF(IFERROR(INDEX(DATA_PROPERTY_MASTER!$E$5:$E$21,MATCH($C4493,DATA_PROPERTY_MASTER!$A$5:$A$21,0))="Yes",FALSE),IFERROR(INDEX(INDIRECT("'"&amp;$C4493&amp;"'!$E$24:$Y$24"),1,MATCH($D4493,INDIRECT("'"&amp;$C4493&amp;"'!$E$12:$Y$12"),0)),0),0)</f>
        <v>2000578.4418388789</v>
      </c>
      <c r="I4493" s="366" t="s">
        <v>1685</v>
      </c>
      <c r="J4493" s="348" t="str">
        <f t="shared" ca="1" si="140"/>
        <v>OK</v>
      </c>
      <c r="K4493" s="366" t="s">
        <v>1686</v>
      </c>
      <c r="L4493" s="366" t="s">
        <v>2234</v>
      </c>
      <c r="M4493" s="350" t="str">
        <f>IF($B4493="Portfolio","Portfolio",IFERROR(INDEX(DATA_ASSET_CLASSIFICATION!$B$8:$B$24,MATCH($C4493,DATA_ASSET_CLASSIFICATION!$A$8:$A$24,0)),"Review"))</f>
        <v>450 Pacific Street</v>
      </c>
      <c r="N4493" s="350" t="str">
        <f>IF($B4493="Portfolio","Portfolio",IFERROR(INDEX(DATA_ASSET_CLASSIFICATION!$U$8:$U$24,MATCH($C4493,DATA_ASSET_CLASSIFICATION!$A$8:$A$24,0)),"Review"))</f>
        <v>New Build</v>
      </c>
      <c r="O4493" s="350" t="str">
        <f>IF($B4493="Portfolio","Portfolio",IFERROR(INDEX(DATA_ASSET_CLASSIFICATION!$AB$8:$AB$13,MATCH($N4493,DATA_ASSET_CLASSIFICATION!$AA$8:$AA$13,0)),"Review"))</f>
        <v>Bucket 1 · New Build</v>
      </c>
      <c r="P4493" s="350" t="str">
        <f>IF($B4493="Portfolio","Portfolio",IFERROR(INDEX(DATA_ASSET_CLASSIFICATION!$C$8:$C$24,MATCH($C4493,DATA_ASSET_CLASSIFICATION!$A$8:$A$24,0)),"Review"))</f>
        <v>Yes</v>
      </c>
      <c r="Q4493" s="350" t="str">
        <f t="shared" ca="1" si="141"/>
        <v>OK</v>
      </c>
    </row>
    <row r="4494" spans="1:17">
      <c r="A4494" s="366" t="s">
        <v>6450</v>
      </c>
      <c r="B4494" s="366" t="s">
        <v>231</v>
      </c>
      <c r="C4494" s="348" t="str">
        <f>DATA_PROPERTY_MASTER!$A$19</f>
        <v>BLD_PS</v>
      </c>
      <c r="D4494" s="380">
        <f>'00_PORTFOLIO ROLLUP'!N$12</f>
        <v>2034</v>
      </c>
      <c r="E4494" s="366" t="s">
        <v>1683</v>
      </c>
      <c r="F4494" s="366" t="s">
        <v>355</v>
      </c>
      <c r="G4494" s="348" t="str">
        <f>"'"&amp;$C4494&amp;"'!$E$39:$Y$39"</f>
        <v>'BLD_PS'!$E$39:$Y$39</v>
      </c>
      <c r="H4494" s="381">
        <f ca="1">IF(IFERROR(INDEX(DATA_PROPERTY_MASTER!$E$5:$E$21,MATCH($C4494,DATA_PROPERTY_MASTER!$A$5:$A$21,0))="Yes",FALSE),IFERROR(INDEX(INDIRECT("'"&amp;$C4494&amp;"'!$E$39:$Y$39"),1,MATCH($D4494,INDIRECT("'"&amp;$C4494&amp;"'!$E$12:$Y$12"),0)),0),0)</f>
        <v>976181.25317290053</v>
      </c>
      <c r="I4494" s="366" t="s">
        <v>1690</v>
      </c>
      <c r="J4494" s="348" t="str">
        <f t="shared" ca="1" si="140"/>
        <v>OK</v>
      </c>
      <c r="K4494" s="366" t="s">
        <v>1686</v>
      </c>
      <c r="L4494" s="366" t="s">
        <v>2236</v>
      </c>
      <c r="M4494" s="350" t="str">
        <f>IF($B4494="Portfolio","Portfolio",IFERROR(INDEX(DATA_ASSET_CLASSIFICATION!$B$8:$B$24,MATCH($C4494,DATA_ASSET_CLASSIFICATION!$A$8:$A$24,0)),"Review"))</f>
        <v>450 Pacific Street</v>
      </c>
      <c r="N4494" s="350" t="str">
        <f>IF($B4494="Portfolio","Portfolio",IFERROR(INDEX(DATA_ASSET_CLASSIFICATION!$U$8:$U$24,MATCH($C4494,DATA_ASSET_CLASSIFICATION!$A$8:$A$24,0)),"Review"))</f>
        <v>New Build</v>
      </c>
      <c r="O4494" s="350" t="str">
        <f>IF($B4494="Portfolio","Portfolio",IFERROR(INDEX(DATA_ASSET_CLASSIFICATION!$AB$8:$AB$13,MATCH($N4494,DATA_ASSET_CLASSIFICATION!$AA$8:$AA$13,0)),"Review"))</f>
        <v>Bucket 1 · New Build</v>
      </c>
      <c r="P4494" s="350" t="str">
        <f>IF($B4494="Portfolio","Portfolio",IFERROR(INDEX(DATA_ASSET_CLASSIFICATION!$C$8:$C$24,MATCH($C4494,DATA_ASSET_CLASSIFICATION!$A$8:$A$24,0)),"Review"))</f>
        <v>Yes</v>
      </c>
      <c r="Q4494" s="350" t="str">
        <f t="shared" ca="1" si="141"/>
        <v>OK</v>
      </c>
    </row>
    <row r="4495" spans="1:17">
      <c r="A4495" s="366" t="s">
        <v>6451</v>
      </c>
      <c r="B4495" s="366" t="s">
        <v>231</v>
      </c>
      <c r="C4495" s="348" t="str">
        <f>DATA_PROPERTY_MASTER!$A$19</f>
        <v>BLD_PS</v>
      </c>
      <c r="D4495" s="380">
        <f>'00_PORTFOLIO ROLLUP'!N$12</f>
        <v>2034</v>
      </c>
      <c r="E4495" s="366" t="s">
        <v>1683</v>
      </c>
      <c r="F4495" s="366" t="s">
        <v>19</v>
      </c>
      <c r="G4495" s="348" t="str">
        <f>"'"&amp;$C4495&amp;"'!$E$41:$Y$41"</f>
        <v>'BLD_PS'!$E$41:$Y$41</v>
      </c>
      <c r="H4495" s="381">
        <f ca="1">IF(IFERROR(INDEX(DATA_PROPERTY_MASTER!$E$5:$E$21,MATCH($C4495,DATA_PROPERTY_MASTER!$A$5:$A$21,0))="Yes",FALSE),IFERROR(INDEX(INDIRECT("'"&amp;$C4495&amp;"'!$E$41:$Y$41"),1,MATCH($D4495,INDIRECT("'"&amp;$C4495&amp;"'!$E$12:$Y$12"),0)),0),0)</f>
        <v>1024397.1886659784</v>
      </c>
      <c r="I4495" s="366" t="s">
        <v>1685</v>
      </c>
      <c r="J4495" s="348" t="str">
        <f t="shared" ca="1" si="140"/>
        <v>OK</v>
      </c>
      <c r="K4495" s="366" t="s">
        <v>1694</v>
      </c>
      <c r="L4495" s="366" t="s">
        <v>2238</v>
      </c>
      <c r="M4495" s="350" t="str">
        <f>IF($B4495="Portfolio","Portfolio",IFERROR(INDEX(DATA_ASSET_CLASSIFICATION!$B$8:$B$24,MATCH($C4495,DATA_ASSET_CLASSIFICATION!$A$8:$A$24,0)),"Review"))</f>
        <v>450 Pacific Street</v>
      </c>
      <c r="N4495" s="350" t="str">
        <f>IF($B4495="Portfolio","Portfolio",IFERROR(INDEX(DATA_ASSET_CLASSIFICATION!$U$8:$U$24,MATCH($C4495,DATA_ASSET_CLASSIFICATION!$A$8:$A$24,0)),"Review"))</f>
        <v>New Build</v>
      </c>
      <c r="O4495" s="350" t="str">
        <f>IF($B4495="Portfolio","Portfolio",IFERROR(INDEX(DATA_ASSET_CLASSIFICATION!$AB$8:$AB$13,MATCH($N4495,DATA_ASSET_CLASSIFICATION!$AA$8:$AA$13,0)),"Review"))</f>
        <v>Bucket 1 · New Build</v>
      </c>
      <c r="P4495" s="350" t="str">
        <f>IF($B4495="Portfolio","Portfolio",IFERROR(INDEX(DATA_ASSET_CLASSIFICATION!$C$8:$C$24,MATCH($C4495,DATA_ASSET_CLASSIFICATION!$A$8:$A$24,0)),"Review"))</f>
        <v>Yes</v>
      </c>
      <c r="Q4495" s="350" t="str">
        <f t="shared" ca="1" si="141"/>
        <v>OK</v>
      </c>
    </row>
    <row r="4496" spans="1:17">
      <c r="A4496" s="366" t="s">
        <v>6452</v>
      </c>
      <c r="B4496" s="366" t="s">
        <v>231</v>
      </c>
      <c r="C4496" s="348" t="str">
        <f>DATA_PROPERTY_MASTER!$A$19</f>
        <v>BLD_PS</v>
      </c>
      <c r="D4496" s="380">
        <f>'00_PORTFOLIO ROLLUP'!N$12</f>
        <v>2034</v>
      </c>
      <c r="E4496" s="366" t="s">
        <v>1683</v>
      </c>
      <c r="F4496" s="366" t="s">
        <v>1697</v>
      </c>
      <c r="G4496" s="348" t="str">
        <f>"'"&amp;$C4496&amp;"'!$E$44:$Y$44"</f>
        <v>'BLD_PS'!$E$44:$Y$44</v>
      </c>
      <c r="H4496" s="381">
        <f ca="1">IF(IFERROR(INDEX(DATA_PROPERTY_MASTER!$E$5:$E$21,MATCH($C4496,DATA_PROPERTY_MASTER!$A$5:$A$21,0))="Yes",FALSE),IFERROR(INDEX(INDIRECT("'"&amp;$C4496&amp;"'!$E$44:$Y$44"),1,MATCH($D4496,INDIRECT("'"&amp;$C4496&amp;"'!$E$12:$Y$12"),0)),0),0)</f>
        <v>16313.013561694543</v>
      </c>
      <c r="I4496" s="366" t="s">
        <v>1690</v>
      </c>
      <c r="J4496" s="348" t="str">
        <f t="shared" ca="1" si="140"/>
        <v>OK</v>
      </c>
      <c r="K4496" s="366" t="s">
        <v>1699</v>
      </c>
      <c r="L4496" s="366" t="s">
        <v>2240</v>
      </c>
      <c r="M4496" s="350" t="str">
        <f>IF($B4496="Portfolio","Portfolio",IFERROR(INDEX(DATA_ASSET_CLASSIFICATION!$B$8:$B$24,MATCH($C4496,DATA_ASSET_CLASSIFICATION!$A$8:$A$24,0)),"Review"))</f>
        <v>450 Pacific Street</v>
      </c>
      <c r="N4496" s="350" t="str">
        <f>IF($B4496="Portfolio","Portfolio",IFERROR(INDEX(DATA_ASSET_CLASSIFICATION!$U$8:$U$24,MATCH($C4496,DATA_ASSET_CLASSIFICATION!$A$8:$A$24,0)),"Review"))</f>
        <v>New Build</v>
      </c>
      <c r="O4496" s="350" t="str">
        <f>IF($B4496="Portfolio","Portfolio",IFERROR(INDEX(DATA_ASSET_CLASSIFICATION!$AB$8:$AB$13,MATCH($N4496,DATA_ASSET_CLASSIFICATION!$AA$8:$AA$13,0)),"Review"))</f>
        <v>Bucket 1 · New Build</v>
      </c>
      <c r="P4496" s="350" t="str">
        <f>IF($B4496="Portfolio","Portfolio",IFERROR(INDEX(DATA_ASSET_CLASSIFICATION!$C$8:$C$24,MATCH($C4496,DATA_ASSET_CLASSIFICATION!$A$8:$A$24,0)),"Review"))</f>
        <v>Yes</v>
      </c>
      <c r="Q4496" s="350" t="str">
        <f t="shared" ca="1" si="141"/>
        <v>OK</v>
      </c>
    </row>
    <row r="4497" spans="1:17">
      <c r="A4497" s="366" t="s">
        <v>6453</v>
      </c>
      <c r="B4497" s="366" t="s">
        <v>231</v>
      </c>
      <c r="C4497" s="348" t="str">
        <f>DATA_PROPERTY_MASTER!$A$19</f>
        <v>BLD_PS</v>
      </c>
      <c r="D4497" s="380">
        <f>'00_PORTFOLIO ROLLUP'!N$12</f>
        <v>2034</v>
      </c>
      <c r="E4497" s="366" t="s">
        <v>1683</v>
      </c>
      <c r="F4497" s="366" t="s">
        <v>21</v>
      </c>
      <c r="G4497" s="348" t="str">
        <f>"'"&amp;$C4497&amp;"'!$E$45:$Y$45"</f>
        <v>'BLD_PS'!$E$45:$Y$45</v>
      </c>
      <c r="H4497" s="381">
        <f ca="1">IF(IFERROR(INDEX(DATA_PROPERTY_MASTER!$E$5:$E$21,MATCH($C4497,DATA_PROPERTY_MASTER!$A$5:$A$21,0))="Yes",FALSE),IFERROR(INDEX(INDIRECT("'"&amp;$C4497&amp;"'!$E$45:$Y$45"),1,MATCH($D4497,INDIRECT("'"&amp;$C4497&amp;"'!$E$12:$Y$12"),0)),0),0)</f>
        <v>1008084.1751042838</v>
      </c>
      <c r="I4497" s="366" t="s">
        <v>1685</v>
      </c>
      <c r="J4497" s="348" t="str">
        <f t="shared" ca="1" si="140"/>
        <v>OK</v>
      </c>
      <c r="K4497" s="366" t="s">
        <v>1694</v>
      </c>
      <c r="L4497" s="366" t="s">
        <v>2242</v>
      </c>
      <c r="M4497" s="350" t="str">
        <f>IF($B4497="Portfolio","Portfolio",IFERROR(INDEX(DATA_ASSET_CLASSIFICATION!$B$8:$B$24,MATCH($C4497,DATA_ASSET_CLASSIFICATION!$A$8:$A$24,0)),"Review"))</f>
        <v>450 Pacific Street</v>
      </c>
      <c r="N4497" s="350" t="str">
        <f>IF($B4497="Portfolio","Portfolio",IFERROR(INDEX(DATA_ASSET_CLASSIFICATION!$U$8:$U$24,MATCH($C4497,DATA_ASSET_CLASSIFICATION!$A$8:$A$24,0)),"Review"))</f>
        <v>New Build</v>
      </c>
      <c r="O4497" s="350" t="str">
        <f>IF($B4497="Portfolio","Portfolio",IFERROR(INDEX(DATA_ASSET_CLASSIFICATION!$AB$8:$AB$13,MATCH($N4497,DATA_ASSET_CLASSIFICATION!$AA$8:$AA$13,0)),"Review"))</f>
        <v>Bucket 1 · New Build</v>
      </c>
      <c r="P4497" s="350" t="str">
        <f>IF($B4497="Portfolio","Portfolio",IFERROR(INDEX(DATA_ASSET_CLASSIFICATION!$C$8:$C$24,MATCH($C4497,DATA_ASSET_CLASSIFICATION!$A$8:$A$24,0)),"Review"))</f>
        <v>Yes</v>
      </c>
      <c r="Q4497" s="350" t="str">
        <f t="shared" ca="1" si="141"/>
        <v>OK</v>
      </c>
    </row>
    <row r="4498" spans="1:17">
      <c r="A4498" s="366" t="s">
        <v>6454</v>
      </c>
      <c r="B4498" s="366" t="s">
        <v>231</v>
      </c>
      <c r="C4498" s="348" t="str">
        <f>DATA_PROPERTY_MASTER!$A$19</f>
        <v>BLD_PS</v>
      </c>
      <c r="D4498" s="380">
        <f>'00_PORTFOLIO ROLLUP'!N$12</f>
        <v>2034</v>
      </c>
      <c r="E4498" s="366" t="s">
        <v>23</v>
      </c>
      <c r="F4498" s="366" t="s">
        <v>23</v>
      </c>
      <c r="G4498" s="348" t="str">
        <f>"'"&amp;$C4498&amp;"'!$E$48:$Y$48"</f>
        <v>'BLD_PS'!$E$48:$Y$48</v>
      </c>
      <c r="H4498" s="381">
        <f ca="1">IF(IFERROR(INDEX(DATA_PROPERTY_MASTER!$E$5:$E$21,MATCH($C4498,DATA_PROPERTY_MASTER!$A$5:$A$21,0))="Yes",FALSE),IFERROR(INDEX(INDIRECT("'"&amp;$C4498&amp;"'!$E$48:$Y$48"),1,MATCH($D4498,INDIRECT("'"&amp;$C4498&amp;"'!$E$12:$Y$12"),0)),0),0)</f>
        <v>667460.46017404622</v>
      </c>
      <c r="I4498" s="366" t="s">
        <v>1690</v>
      </c>
      <c r="J4498" s="348" t="str">
        <f t="shared" ca="1" si="140"/>
        <v>OK</v>
      </c>
      <c r="K4498" s="366" t="s">
        <v>1706</v>
      </c>
      <c r="L4498" s="366" t="s">
        <v>2244</v>
      </c>
      <c r="M4498" s="350" t="str">
        <f>IF($B4498="Portfolio","Portfolio",IFERROR(INDEX(DATA_ASSET_CLASSIFICATION!$B$8:$B$24,MATCH($C4498,DATA_ASSET_CLASSIFICATION!$A$8:$A$24,0)),"Review"))</f>
        <v>450 Pacific Street</v>
      </c>
      <c r="N4498" s="350" t="str">
        <f>IF($B4498="Portfolio","Portfolio",IFERROR(INDEX(DATA_ASSET_CLASSIFICATION!$U$8:$U$24,MATCH($C4498,DATA_ASSET_CLASSIFICATION!$A$8:$A$24,0)),"Review"))</f>
        <v>New Build</v>
      </c>
      <c r="O4498" s="350" t="str">
        <f>IF($B4498="Portfolio","Portfolio",IFERROR(INDEX(DATA_ASSET_CLASSIFICATION!$AB$8:$AB$13,MATCH($N4498,DATA_ASSET_CLASSIFICATION!$AA$8:$AA$13,0)),"Review"))</f>
        <v>Bucket 1 · New Build</v>
      </c>
      <c r="P4498" s="350" t="str">
        <f>IF($B4498="Portfolio","Portfolio",IFERROR(INDEX(DATA_ASSET_CLASSIFICATION!$C$8:$C$24,MATCH($C4498,DATA_ASSET_CLASSIFICATION!$A$8:$A$24,0)),"Review"))</f>
        <v>Yes</v>
      </c>
      <c r="Q4498" s="350" t="str">
        <f t="shared" ca="1" si="141"/>
        <v>OK</v>
      </c>
    </row>
    <row r="4499" spans="1:17">
      <c r="A4499" s="366" t="s">
        <v>6455</v>
      </c>
      <c r="B4499" s="366" t="s">
        <v>231</v>
      </c>
      <c r="C4499" s="348" t="str">
        <f>DATA_PROPERTY_MASTER!$A$19</f>
        <v>BLD_PS</v>
      </c>
      <c r="D4499" s="380">
        <f>'00_PORTFOLIO ROLLUP'!N$12</f>
        <v>2034</v>
      </c>
      <c r="E4499" s="366" t="s">
        <v>1683</v>
      </c>
      <c r="F4499" s="366" t="s">
        <v>25</v>
      </c>
      <c r="G4499" s="348" t="str">
        <f>"'"&amp;$C4499&amp;"'!$E$52:$Y$52"</f>
        <v>'BLD_PS'!$E$52:$Y$52</v>
      </c>
      <c r="H4499" s="381">
        <f ca="1">IF(IFERROR(INDEX(DATA_PROPERTY_MASTER!$E$5:$E$21,MATCH($C4499,DATA_PROPERTY_MASTER!$A$5:$A$21,0))="Yes",FALSE),IFERROR(INDEX(INDIRECT("'"&amp;$C4499&amp;"'!$E$52:$Y$52"),1,MATCH($D4499,INDIRECT("'"&amp;$C4499&amp;"'!$E$12:$Y$12"),0)),0),0)</f>
        <v>356936.72849193215</v>
      </c>
      <c r="I4499" s="366" t="s">
        <v>1685</v>
      </c>
      <c r="J4499" s="348" t="str">
        <f t="shared" ca="1" si="140"/>
        <v>OK</v>
      </c>
      <c r="K4499" s="366" t="s">
        <v>1710</v>
      </c>
      <c r="L4499" s="366" t="s">
        <v>2246</v>
      </c>
      <c r="M4499" s="350" t="str">
        <f>IF($B4499="Portfolio","Portfolio",IFERROR(INDEX(DATA_ASSET_CLASSIFICATION!$B$8:$B$24,MATCH($C4499,DATA_ASSET_CLASSIFICATION!$A$8:$A$24,0)),"Review"))</f>
        <v>450 Pacific Street</v>
      </c>
      <c r="N4499" s="350" t="str">
        <f>IF($B4499="Portfolio","Portfolio",IFERROR(INDEX(DATA_ASSET_CLASSIFICATION!$U$8:$U$24,MATCH($C4499,DATA_ASSET_CLASSIFICATION!$A$8:$A$24,0)),"Review"))</f>
        <v>New Build</v>
      </c>
      <c r="O4499" s="350" t="str">
        <f>IF($B4499="Portfolio","Portfolio",IFERROR(INDEX(DATA_ASSET_CLASSIFICATION!$AB$8:$AB$13,MATCH($N4499,DATA_ASSET_CLASSIFICATION!$AA$8:$AA$13,0)),"Review"))</f>
        <v>Bucket 1 · New Build</v>
      </c>
      <c r="P4499" s="350" t="str">
        <f>IF($B4499="Portfolio","Portfolio",IFERROR(INDEX(DATA_ASSET_CLASSIFICATION!$C$8:$C$24,MATCH($C4499,DATA_ASSET_CLASSIFICATION!$A$8:$A$24,0)),"Review"))</f>
        <v>Yes</v>
      </c>
      <c r="Q4499" s="350" t="str">
        <f t="shared" ca="1" si="141"/>
        <v>OK</v>
      </c>
    </row>
    <row r="4500" spans="1:17">
      <c r="A4500" s="366" t="s">
        <v>6456</v>
      </c>
      <c r="B4500" s="366" t="s">
        <v>231</v>
      </c>
      <c r="C4500" s="348" t="str">
        <f>DATA_PROPERTY_MASTER!$A$19</f>
        <v>BLD_PS</v>
      </c>
      <c r="D4500" s="380">
        <f>'00_PORTFOLIO ROLLUP'!N$12</f>
        <v>2034</v>
      </c>
      <c r="E4500" s="366" t="s">
        <v>1683</v>
      </c>
      <c r="F4500" s="366" t="s">
        <v>27</v>
      </c>
      <c r="G4500" s="348" t="str">
        <f>"'"&amp;$C4500&amp;"'!$E$54:$Y$54"</f>
        <v>'BLD_PS'!$E$54:$Y$54</v>
      </c>
      <c r="H4500" s="381">
        <f ca="1">IF(IFERROR(INDEX(DATA_PROPERTY_MASTER!$E$5:$E$21,MATCH($C4500,DATA_PROPERTY_MASTER!$A$5:$A$21,0))="Yes",FALSE),IFERROR(INDEX(INDIRECT("'"&amp;$C4500&amp;"'!$E$54:$Y$54"),1,MATCH($D4500,INDIRECT("'"&amp;$C4500&amp;"'!$E$12:$Y$12"),0)),0),0)</f>
        <v>214162.03709515929</v>
      </c>
      <c r="I4500" s="366" t="s">
        <v>1690</v>
      </c>
      <c r="J4500" s="348" t="str">
        <f t="shared" ca="1" si="140"/>
        <v>OK</v>
      </c>
      <c r="K4500" s="366" t="s">
        <v>1714</v>
      </c>
      <c r="L4500" s="366" t="s">
        <v>2248</v>
      </c>
      <c r="M4500" s="350" t="str">
        <f>IF($B4500="Portfolio","Portfolio",IFERROR(INDEX(DATA_ASSET_CLASSIFICATION!$B$8:$B$24,MATCH($C4500,DATA_ASSET_CLASSIFICATION!$A$8:$A$24,0)),"Review"))</f>
        <v>450 Pacific Street</v>
      </c>
      <c r="N4500" s="350" t="str">
        <f>IF($B4500="Portfolio","Portfolio",IFERROR(INDEX(DATA_ASSET_CLASSIFICATION!$U$8:$U$24,MATCH($C4500,DATA_ASSET_CLASSIFICATION!$A$8:$A$24,0)),"Review"))</f>
        <v>New Build</v>
      </c>
      <c r="O4500" s="350" t="str">
        <f>IF($B4500="Portfolio","Portfolio",IFERROR(INDEX(DATA_ASSET_CLASSIFICATION!$AB$8:$AB$13,MATCH($N4500,DATA_ASSET_CLASSIFICATION!$AA$8:$AA$13,0)),"Review"))</f>
        <v>Bucket 1 · New Build</v>
      </c>
      <c r="P4500" s="350" t="str">
        <f>IF($B4500="Portfolio","Portfolio",IFERROR(INDEX(DATA_ASSET_CLASSIFICATION!$C$8:$C$24,MATCH($C4500,DATA_ASSET_CLASSIFICATION!$A$8:$A$24,0)),"Review"))</f>
        <v>Yes</v>
      </c>
      <c r="Q4500" s="350" t="str">
        <f t="shared" ca="1" si="141"/>
        <v>OK</v>
      </c>
    </row>
    <row r="4501" spans="1:17">
      <c r="A4501" s="366" t="s">
        <v>6457</v>
      </c>
      <c r="B4501" s="366" t="s">
        <v>231</v>
      </c>
      <c r="C4501" s="348" t="str">
        <f>DATA_PROPERTY_MASTER!$A$19</f>
        <v>BLD_PS</v>
      </c>
      <c r="D4501" s="380">
        <f>'00_PORTFOLIO ROLLUP'!N$12</f>
        <v>2034</v>
      </c>
      <c r="E4501" s="366" t="s">
        <v>1683</v>
      </c>
      <c r="F4501" s="366" t="s">
        <v>29</v>
      </c>
      <c r="G4501" s="348" t="str">
        <f>"'"&amp;$C4501&amp;"'!$E$56:$Y$56"</f>
        <v>'BLD_PS'!$E$56:$Y$56</v>
      </c>
      <c r="H4501" s="381">
        <f ca="1">IF(IFERROR(INDEX(DATA_PROPERTY_MASTER!$E$5:$E$21,MATCH($C4501,DATA_PROPERTY_MASTER!$A$5:$A$21,0))="Yes",FALSE),IFERROR(INDEX(INDIRECT("'"&amp;$C4501&amp;"'!$E$56:$Y$56"),1,MATCH($D4501,INDIRECT("'"&amp;$C4501&amp;"'!$E$12:$Y$12"),0)),0),0)</f>
        <v>142774.69139677286</v>
      </c>
      <c r="I4501" s="366" t="s">
        <v>1685</v>
      </c>
      <c r="J4501" s="348" t="str">
        <f t="shared" ca="1" si="140"/>
        <v>OK</v>
      </c>
      <c r="K4501" s="366" t="s">
        <v>1718</v>
      </c>
      <c r="L4501" s="366" t="s">
        <v>2250</v>
      </c>
      <c r="M4501" s="350" t="str">
        <f>IF($B4501="Portfolio","Portfolio",IFERROR(INDEX(DATA_ASSET_CLASSIFICATION!$B$8:$B$24,MATCH($C4501,DATA_ASSET_CLASSIFICATION!$A$8:$A$24,0)),"Review"))</f>
        <v>450 Pacific Street</v>
      </c>
      <c r="N4501" s="350" t="str">
        <f>IF($B4501="Portfolio","Portfolio",IFERROR(INDEX(DATA_ASSET_CLASSIFICATION!$U$8:$U$24,MATCH($C4501,DATA_ASSET_CLASSIFICATION!$A$8:$A$24,0)),"Review"))</f>
        <v>New Build</v>
      </c>
      <c r="O4501" s="350" t="str">
        <f>IF($B4501="Portfolio","Portfolio",IFERROR(INDEX(DATA_ASSET_CLASSIFICATION!$AB$8:$AB$13,MATCH($N4501,DATA_ASSET_CLASSIFICATION!$AA$8:$AA$13,0)),"Review"))</f>
        <v>Bucket 1 · New Build</v>
      </c>
      <c r="P4501" s="350" t="str">
        <f>IF($B4501="Portfolio","Portfolio",IFERROR(INDEX(DATA_ASSET_CLASSIFICATION!$C$8:$C$24,MATCH($C4501,DATA_ASSET_CLASSIFICATION!$A$8:$A$24,0)),"Review"))</f>
        <v>Yes</v>
      </c>
      <c r="Q4501" s="350" t="str">
        <f t="shared" ca="1" si="141"/>
        <v>OK</v>
      </c>
    </row>
    <row r="4502" spans="1:17">
      <c r="A4502" s="366" t="s">
        <v>6458</v>
      </c>
      <c r="B4502" s="366" t="s">
        <v>231</v>
      </c>
      <c r="C4502" s="348" t="str">
        <f>DATA_PROPERTY_MASTER!$A$19</f>
        <v>BLD_PS</v>
      </c>
      <c r="D4502" s="380">
        <f>'00_PORTFOLIO ROLLUP'!N$12</f>
        <v>2034</v>
      </c>
      <c r="E4502" s="366" t="s">
        <v>1721</v>
      </c>
      <c r="F4502" s="366" t="s">
        <v>31</v>
      </c>
      <c r="G4502" s="348" t="str">
        <f>"'"&amp;$C4502&amp;"'!$E$61:$Y$61"</f>
        <v>'BLD_PS'!$E$61:$Y$61</v>
      </c>
      <c r="H4502" s="381">
        <f ca="1">IF(IFERROR(INDEX(DATA_PROPERTY_MASTER!$E$5:$E$21,MATCH($C4502,DATA_PROPERTY_MASTER!$A$5:$A$21,0))="Yes",FALSE),IFERROR(INDEX(INDIRECT("'"&amp;$C4502&amp;"'!$E$61:$Y$61"),1,MATCH($D4502,INDIRECT("'"&amp;$C4502&amp;"'!$E$12:$Y$12"),0)),0),0)</f>
        <v>0</v>
      </c>
      <c r="I4502" s="366" t="s">
        <v>1690</v>
      </c>
      <c r="J4502" s="348" t="str">
        <f t="shared" ca="1" si="140"/>
        <v>OK</v>
      </c>
      <c r="K4502" s="366" t="s">
        <v>1723</v>
      </c>
      <c r="L4502" s="366" t="s">
        <v>2252</v>
      </c>
      <c r="M4502" s="350" t="str">
        <f>IF($B4502="Portfolio","Portfolio",IFERROR(INDEX(DATA_ASSET_CLASSIFICATION!$B$8:$B$24,MATCH($C4502,DATA_ASSET_CLASSIFICATION!$A$8:$A$24,0)),"Review"))</f>
        <v>450 Pacific Street</v>
      </c>
      <c r="N4502" s="350" t="str">
        <f>IF($B4502="Portfolio","Portfolio",IFERROR(INDEX(DATA_ASSET_CLASSIFICATION!$U$8:$U$24,MATCH($C4502,DATA_ASSET_CLASSIFICATION!$A$8:$A$24,0)),"Review"))</f>
        <v>New Build</v>
      </c>
      <c r="O4502" s="350" t="str">
        <f>IF($B4502="Portfolio","Portfolio",IFERROR(INDEX(DATA_ASSET_CLASSIFICATION!$AB$8:$AB$13,MATCH($N4502,DATA_ASSET_CLASSIFICATION!$AA$8:$AA$13,0)),"Review"))</f>
        <v>Bucket 1 · New Build</v>
      </c>
      <c r="P4502" s="350" t="str">
        <f>IF($B4502="Portfolio","Portfolio",IFERROR(INDEX(DATA_ASSET_CLASSIFICATION!$C$8:$C$24,MATCH($C4502,DATA_ASSET_CLASSIFICATION!$A$8:$A$24,0)),"Review"))</f>
        <v>Yes</v>
      </c>
      <c r="Q4502" s="350" t="str">
        <f t="shared" ca="1" si="141"/>
        <v>OK</v>
      </c>
    </row>
    <row r="4503" spans="1:17">
      <c r="A4503" s="366" t="s">
        <v>6459</v>
      </c>
      <c r="B4503" s="366" t="s">
        <v>231</v>
      </c>
      <c r="C4503" s="348" t="str">
        <f>DATA_PROPERTY_MASTER!$A$19</f>
        <v>BLD_PS</v>
      </c>
      <c r="D4503" s="380">
        <f>'00_PORTFOLIO ROLLUP'!N$12</f>
        <v>2034</v>
      </c>
      <c r="E4503" s="366" t="s">
        <v>1721</v>
      </c>
      <c r="F4503" s="366" t="s">
        <v>33</v>
      </c>
      <c r="G4503" s="348" t="str">
        <f>"'"&amp;$C4503&amp;"'!$E$62:$Y$62"</f>
        <v>'BLD_PS'!$E$62:$Y$62</v>
      </c>
      <c r="H4503" s="381">
        <f ca="1">IF(IFERROR(INDEX(DATA_PROPERTY_MASTER!$E$5:$E$21,MATCH($C4503,DATA_PROPERTY_MASTER!$A$5:$A$21,0))="Yes",FALSE),IFERROR(INDEX(INDIRECT("'"&amp;$C4503&amp;"'!$E$62:$Y$62"),1,MATCH($D4503,INDIRECT("'"&amp;$C4503&amp;"'!$E$12:$Y$12"),0)),0),0)</f>
        <v>0</v>
      </c>
      <c r="I4503" s="366" t="s">
        <v>1685</v>
      </c>
      <c r="J4503" s="348" t="str">
        <f t="shared" ca="1" si="140"/>
        <v>OK</v>
      </c>
      <c r="K4503" s="366" t="s">
        <v>1727</v>
      </c>
      <c r="L4503" s="366" t="s">
        <v>2254</v>
      </c>
      <c r="M4503" s="350" t="str">
        <f>IF($B4503="Portfolio","Portfolio",IFERROR(INDEX(DATA_ASSET_CLASSIFICATION!$B$8:$B$24,MATCH($C4503,DATA_ASSET_CLASSIFICATION!$A$8:$A$24,0)),"Review"))</f>
        <v>450 Pacific Street</v>
      </c>
      <c r="N4503" s="350" t="str">
        <f>IF($B4503="Portfolio","Portfolio",IFERROR(INDEX(DATA_ASSET_CLASSIFICATION!$U$8:$U$24,MATCH($C4503,DATA_ASSET_CLASSIFICATION!$A$8:$A$24,0)),"Review"))</f>
        <v>New Build</v>
      </c>
      <c r="O4503" s="350" t="str">
        <f>IF($B4503="Portfolio","Portfolio",IFERROR(INDEX(DATA_ASSET_CLASSIFICATION!$AB$8:$AB$13,MATCH($N4503,DATA_ASSET_CLASSIFICATION!$AA$8:$AA$13,0)),"Review"))</f>
        <v>Bucket 1 · New Build</v>
      </c>
      <c r="P4503" s="350" t="str">
        <f>IF($B4503="Portfolio","Portfolio",IFERROR(INDEX(DATA_ASSET_CLASSIFICATION!$C$8:$C$24,MATCH($C4503,DATA_ASSET_CLASSIFICATION!$A$8:$A$24,0)),"Review"))</f>
        <v>Yes</v>
      </c>
      <c r="Q4503" s="350" t="str">
        <f t="shared" ca="1" si="141"/>
        <v>OK</v>
      </c>
    </row>
    <row r="4504" spans="1:17">
      <c r="A4504" s="366" t="s">
        <v>6460</v>
      </c>
      <c r="B4504" s="366" t="s">
        <v>231</v>
      </c>
      <c r="C4504" s="348" t="str">
        <f>DATA_PROPERTY_MASTER!$A$19</f>
        <v>BLD_PS</v>
      </c>
      <c r="D4504" s="380">
        <f>'00_PORTFOLIO ROLLUP'!N$12</f>
        <v>2034</v>
      </c>
      <c r="E4504" s="366" t="s">
        <v>1721</v>
      </c>
      <c r="F4504" s="366" t="s">
        <v>35</v>
      </c>
      <c r="G4504" s="348" t="str">
        <f>"'"&amp;$C4504&amp;"'!$E$63:$Y$63"</f>
        <v>'BLD_PS'!$E$63:$Y$63</v>
      </c>
      <c r="H4504" s="381">
        <f ca="1">IF(IFERROR(INDEX(DATA_PROPERTY_MASTER!$E$5:$E$21,MATCH($C4504,DATA_PROPERTY_MASTER!$A$5:$A$21,0))="Yes",FALSE),IFERROR(INDEX(INDIRECT("'"&amp;$C4504&amp;"'!$E$63:$Y$63"),1,MATCH($D4504,INDIRECT("'"&amp;$C4504&amp;"'!$E$12:$Y$12"),0)),0),0)</f>
        <v>0</v>
      </c>
      <c r="I4504" s="366" t="s">
        <v>1731</v>
      </c>
      <c r="J4504" s="348" t="str">
        <f t="shared" ca="1" si="140"/>
        <v>OK</v>
      </c>
      <c r="K4504" s="366" t="s">
        <v>1732</v>
      </c>
      <c r="L4504" s="366" t="s">
        <v>2256</v>
      </c>
      <c r="M4504" s="350" t="str">
        <f>IF($B4504="Portfolio","Portfolio",IFERROR(INDEX(DATA_ASSET_CLASSIFICATION!$B$8:$B$24,MATCH($C4504,DATA_ASSET_CLASSIFICATION!$A$8:$A$24,0)),"Review"))</f>
        <v>450 Pacific Street</v>
      </c>
      <c r="N4504" s="350" t="str">
        <f>IF($B4504="Portfolio","Portfolio",IFERROR(INDEX(DATA_ASSET_CLASSIFICATION!$U$8:$U$24,MATCH($C4504,DATA_ASSET_CLASSIFICATION!$A$8:$A$24,0)),"Review"))</f>
        <v>New Build</v>
      </c>
      <c r="O4504" s="350" t="str">
        <f>IF($B4504="Portfolio","Portfolio",IFERROR(INDEX(DATA_ASSET_CLASSIFICATION!$AB$8:$AB$13,MATCH($N4504,DATA_ASSET_CLASSIFICATION!$AA$8:$AA$13,0)),"Review"))</f>
        <v>Bucket 1 · New Build</v>
      </c>
      <c r="P4504" s="350" t="str">
        <f>IF($B4504="Portfolio","Portfolio",IFERROR(INDEX(DATA_ASSET_CLASSIFICATION!$C$8:$C$24,MATCH($C4504,DATA_ASSET_CLASSIFICATION!$A$8:$A$24,0)),"Review"))</f>
        <v>Yes</v>
      </c>
      <c r="Q4504" s="350" t="str">
        <f t="shared" ca="1" si="141"/>
        <v>OK</v>
      </c>
    </row>
    <row r="4505" spans="1:17">
      <c r="A4505" s="366" t="s">
        <v>6461</v>
      </c>
      <c r="B4505" s="366" t="s">
        <v>231</v>
      </c>
      <c r="C4505" s="348" t="str">
        <f>DATA_PROPERTY_MASTER!$A$19</f>
        <v>BLD_PS</v>
      </c>
      <c r="D4505" s="380">
        <f>'00_PORTFOLIO ROLLUP'!N$12</f>
        <v>2034</v>
      </c>
      <c r="E4505" s="366" t="s">
        <v>1721</v>
      </c>
      <c r="F4505" s="366" t="s">
        <v>37</v>
      </c>
      <c r="G4505" s="348" t="str">
        <f>"'"&amp;$C4505&amp;"'!$E$63:$Y$63"</f>
        <v>'BLD_PS'!$E$63:$Y$63</v>
      </c>
      <c r="H4505" s="381">
        <f ca="1">IF(IFERROR(INDEX(DATA_PROPERTY_MASTER!$E$5:$E$21,MATCH($C4505,DATA_PROPERTY_MASTER!$A$5:$A$21,0))="Yes",FALSE),MAX(IFERROR(INDEX(INDIRECT("'"&amp;$C4505&amp;"'!$E$63:$Y$63"),1,MATCH($D4505,INDIRECT("'"&amp;$C4505&amp;"'!$E$12:$Y$12"),0)),0),0),0)</f>
        <v>0</v>
      </c>
      <c r="I4505" s="366" t="s">
        <v>1685</v>
      </c>
      <c r="J4505" s="348" t="str">
        <f t="shared" ca="1" si="140"/>
        <v>OK</v>
      </c>
      <c r="K4505" s="366" t="s">
        <v>1735</v>
      </c>
      <c r="L4505" s="366" t="s">
        <v>2258</v>
      </c>
      <c r="M4505" s="350" t="str">
        <f>IF($B4505="Portfolio","Portfolio",IFERROR(INDEX(DATA_ASSET_CLASSIFICATION!$B$8:$B$24,MATCH($C4505,DATA_ASSET_CLASSIFICATION!$A$8:$A$24,0)),"Review"))</f>
        <v>450 Pacific Street</v>
      </c>
      <c r="N4505" s="350" t="str">
        <f>IF($B4505="Portfolio","Portfolio",IFERROR(INDEX(DATA_ASSET_CLASSIFICATION!$U$8:$U$24,MATCH($C4505,DATA_ASSET_CLASSIFICATION!$A$8:$A$24,0)),"Review"))</f>
        <v>New Build</v>
      </c>
      <c r="O4505" s="350" t="str">
        <f>IF($B4505="Portfolio","Portfolio",IFERROR(INDEX(DATA_ASSET_CLASSIFICATION!$AB$8:$AB$13,MATCH($N4505,DATA_ASSET_CLASSIFICATION!$AA$8:$AA$13,0)),"Review"))</f>
        <v>Bucket 1 · New Build</v>
      </c>
      <c r="P4505" s="350" t="str">
        <f>IF($B4505="Portfolio","Portfolio",IFERROR(INDEX(DATA_ASSET_CLASSIFICATION!$C$8:$C$24,MATCH($C4505,DATA_ASSET_CLASSIFICATION!$A$8:$A$24,0)),"Review"))</f>
        <v>Yes</v>
      </c>
      <c r="Q4505" s="350" t="str">
        <f t="shared" ca="1" si="141"/>
        <v>OK</v>
      </c>
    </row>
    <row r="4506" spans="1:17">
      <c r="A4506" s="366" t="s">
        <v>6462</v>
      </c>
      <c r="B4506" s="366" t="s">
        <v>231</v>
      </c>
      <c r="C4506" s="348" t="str">
        <f>DATA_PROPERTY_MASTER!$A$19</f>
        <v>BLD_PS</v>
      </c>
      <c r="D4506" s="380">
        <f>'00_PORTFOLIO ROLLUP'!N$12</f>
        <v>2034</v>
      </c>
      <c r="E4506" s="366" t="s">
        <v>1721</v>
      </c>
      <c r="F4506" s="366" t="s">
        <v>39</v>
      </c>
      <c r="G4506" s="348" t="str">
        <f>"'"&amp;$C4506&amp;"'!$E$63:$Y$63"</f>
        <v>'BLD_PS'!$E$63:$Y$63</v>
      </c>
      <c r="H4506" s="381">
        <f ca="1">IF(IFERROR(INDEX(DATA_PROPERTY_MASTER!$E$5:$E$21,MATCH($C4506,DATA_PROPERTY_MASTER!$A$5:$A$21,0))="Yes",FALSE),MAX(-IFERROR(INDEX(INDIRECT("'"&amp;$C4506&amp;"'!$E$63:$Y$63"),1,MATCH($D4506,INDIRECT("'"&amp;$C4506&amp;"'!$E$12:$Y$12"),0)),0),0),0)</f>
        <v>0</v>
      </c>
      <c r="I4506" s="366" t="s">
        <v>1690</v>
      </c>
      <c r="J4506" s="348" t="str">
        <f t="shared" ca="1" si="140"/>
        <v>OK</v>
      </c>
      <c r="K4506" s="366" t="s">
        <v>1738</v>
      </c>
      <c r="L4506" s="366" t="s">
        <v>2260</v>
      </c>
      <c r="M4506" s="350" t="str">
        <f>IF($B4506="Portfolio","Portfolio",IFERROR(INDEX(DATA_ASSET_CLASSIFICATION!$B$8:$B$24,MATCH($C4506,DATA_ASSET_CLASSIFICATION!$A$8:$A$24,0)),"Review"))</f>
        <v>450 Pacific Street</v>
      </c>
      <c r="N4506" s="350" t="str">
        <f>IF($B4506="Portfolio","Portfolio",IFERROR(INDEX(DATA_ASSET_CLASSIFICATION!$U$8:$U$24,MATCH($C4506,DATA_ASSET_CLASSIFICATION!$A$8:$A$24,0)),"Review"))</f>
        <v>New Build</v>
      </c>
      <c r="O4506" s="350" t="str">
        <f>IF($B4506="Portfolio","Portfolio",IFERROR(INDEX(DATA_ASSET_CLASSIFICATION!$AB$8:$AB$13,MATCH($N4506,DATA_ASSET_CLASSIFICATION!$AA$8:$AA$13,0)),"Review"))</f>
        <v>Bucket 1 · New Build</v>
      </c>
      <c r="P4506" s="350" t="str">
        <f>IF($B4506="Portfolio","Portfolio",IFERROR(INDEX(DATA_ASSET_CLASSIFICATION!$C$8:$C$24,MATCH($C4506,DATA_ASSET_CLASSIFICATION!$A$8:$A$24,0)),"Review"))</f>
        <v>Yes</v>
      </c>
      <c r="Q4506" s="350" t="str">
        <f t="shared" ca="1" si="141"/>
        <v>OK</v>
      </c>
    </row>
    <row r="4507" spans="1:17">
      <c r="A4507" s="366" t="s">
        <v>6463</v>
      </c>
      <c r="B4507" s="366" t="s">
        <v>231</v>
      </c>
      <c r="C4507" s="348" t="str">
        <f>DATA_PROPERTY_MASTER!$A$19</f>
        <v>BLD_PS</v>
      </c>
      <c r="D4507" s="380">
        <f>'00_PORTFOLIO ROLLUP'!N$12</f>
        <v>2034</v>
      </c>
      <c r="E4507" s="366" t="s">
        <v>1741</v>
      </c>
      <c r="F4507" s="366" t="s">
        <v>41</v>
      </c>
      <c r="G4507" s="348" t="str">
        <f>"'"&amp;$C4507&amp;"'!rows 56 + positive row 63"</f>
        <v>'BLD_PS'!rows 56 + positive row 63</v>
      </c>
      <c r="H4507" s="381">
        <f ca="1">IF(IFERROR(INDEX(DATA_PROPERTY_MASTER!$E$5:$E$21,MATCH($C4507,DATA_PROPERTY_MASTER!$A$5:$A$21,0))="Yes",FALSE),IFERROR(INDEX(INDIRECT("'"&amp;$C4507&amp;"'!$E$56:$Y$56"),1,MATCH($D4507,INDIRECT("'"&amp;$C4507&amp;"'!$E$12:$Y$12"),0)),0)+MAX(IFERROR(INDEX(INDIRECT("'"&amp;$C4507&amp;"'!$E$63:$Y$63"),1,MATCH($D4507,INDIRECT("'"&amp;$C4507&amp;"'!$E$12:$Y$12"),0)),0),0),0)</f>
        <v>142774.69139677286</v>
      </c>
      <c r="I4507" s="366" t="s">
        <v>1685</v>
      </c>
      <c r="J4507" s="348" t="str">
        <f t="shared" ca="1" si="140"/>
        <v>OK</v>
      </c>
      <c r="K4507" s="366" t="s">
        <v>1742</v>
      </c>
      <c r="L4507" s="366" t="s">
        <v>2262</v>
      </c>
      <c r="M4507" s="350" t="str">
        <f>IF($B4507="Portfolio","Portfolio",IFERROR(INDEX(DATA_ASSET_CLASSIFICATION!$B$8:$B$24,MATCH($C4507,DATA_ASSET_CLASSIFICATION!$A$8:$A$24,0)),"Review"))</f>
        <v>450 Pacific Street</v>
      </c>
      <c r="N4507" s="350" t="str">
        <f>IF($B4507="Portfolio","Portfolio",IFERROR(INDEX(DATA_ASSET_CLASSIFICATION!$U$8:$U$24,MATCH($C4507,DATA_ASSET_CLASSIFICATION!$A$8:$A$24,0)),"Review"))</f>
        <v>New Build</v>
      </c>
      <c r="O4507" s="350" t="str">
        <f>IF($B4507="Portfolio","Portfolio",IFERROR(INDEX(DATA_ASSET_CLASSIFICATION!$AB$8:$AB$13,MATCH($N4507,DATA_ASSET_CLASSIFICATION!$AA$8:$AA$13,0)),"Review"))</f>
        <v>Bucket 1 · New Build</v>
      </c>
      <c r="P4507" s="350" t="str">
        <f>IF($B4507="Portfolio","Portfolio",IFERROR(INDEX(DATA_ASSET_CLASSIFICATION!$C$8:$C$24,MATCH($C4507,DATA_ASSET_CLASSIFICATION!$A$8:$A$24,0)),"Review"))</f>
        <v>Yes</v>
      </c>
      <c r="Q4507" s="350" t="str">
        <f t="shared" ca="1" si="141"/>
        <v>OK</v>
      </c>
    </row>
    <row r="4508" spans="1:17">
      <c r="A4508" s="366" t="s">
        <v>6464</v>
      </c>
      <c r="B4508" s="366" t="s">
        <v>231</v>
      </c>
      <c r="C4508" s="348" t="str">
        <f>DATA_PROPERTY_MASTER!$A$19</f>
        <v>BLD_PS</v>
      </c>
      <c r="D4508" s="380">
        <f>'00_PORTFOLIO ROLLUP'!N$12</f>
        <v>2034</v>
      </c>
      <c r="E4508" s="366" t="s">
        <v>1741</v>
      </c>
      <c r="F4508" s="366" t="s">
        <v>43</v>
      </c>
      <c r="G4508" s="348" t="str">
        <f>"'"&amp;$C4508&amp;"'!$E$68:$Y$68"</f>
        <v>'BLD_PS'!$E$68:$Y$68</v>
      </c>
      <c r="H4508" s="381">
        <f ca="1">IF(IFERROR(INDEX(DATA_PROPERTY_MASTER!$E$5:$E$21,MATCH($C4508,DATA_PROPERTY_MASTER!$A$5:$A$21,0))="Yes",FALSE),IFERROR(INDEX(INDIRECT("'"&amp;$C4508&amp;"'!$E$68:$Y$68"),1,MATCH($D4508,INDIRECT("'"&amp;$C4508&amp;"'!$E$12:$Y$12"),0)),0),0)</f>
        <v>142774.69139677286</v>
      </c>
      <c r="I4508" s="366" t="s">
        <v>1731</v>
      </c>
      <c r="J4508" s="348" t="str">
        <f t="shared" ca="1" si="140"/>
        <v>OK</v>
      </c>
      <c r="K4508" s="366" t="s">
        <v>1746</v>
      </c>
      <c r="L4508" s="366" t="s">
        <v>2264</v>
      </c>
      <c r="M4508" s="350" t="str">
        <f>IF($B4508="Portfolio","Portfolio",IFERROR(INDEX(DATA_ASSET_CLASSIFICATION!$B$8:$B$24,MATCH($C4508,DATA_ASSET_CLASSIFICATION!$A$8:$A$24,0)),"Review"))</f>
        <v>450 Pacific Street</v>
      </c>
      <c r="N4508" s="350" t="str">
        <f>IF($B4508="Portfolio","Portfolio",IFERROR(INDEX(DATA_ASSET_CLASSIFICATION!$U$8:$U$24,MATCH($C4508,DATA_ASSET_CLASSIFICATION!$A$8:$A$24,0)),"Review"))</f>
        <v>New Build</v>
      </c>
      <c r="O4508" s="350" t="str">
        <f>IF($B4508="Portfolio","Portfolio",IFERROR(INDEX(DATA_ASSET_CLASSIFICATION!$AB$8:$AB$13,MATCH($N4508,DATA_ASSET_CLASSIFICATION!$AA$8:$AA$13,0)),"Review"))</f>
        <v>Bucket 1 · New Build</v>
      </c>
      <c r="P4508" s="350" t="str">
        <f>IF($B4508="Portfolio","Portfolio",IFERROR(INDEX(DATA_ASSET_CLASSIFICATION!$C$8:$C$24,MATCH($C4508,DATA_ASSET_CLASSIFICATION!$A$8:$A$24,0)),"Review"))</f>
        <v>Yes</v>
      </c>
      <c r="Q4508" s="350" t="str">
        <f t="shared" ca="1" si="141"/>
        <v>OK</v>
      </c>
    </row>
    <row r="4509" spans="1:17">
      <c r="A4509" s="366" t="s">
        <v>6465</v>
      </c>
      <c r="B4509" s="366" t="s">
        <v>231</v>
      </c>
      <c r="C4509" s="348" t="str">
        <f>DATA_PROPERTY_MASTER!$A$19</f>
        <v>BLD_PS</v>
      </c>
      <c r="D4509" s="380">
        <f>'00_PORTFOLIO ROLLUP'!N$12</f>
        <v>2034</v>
      </c>
      <c r="E4509" s="366" t="s">
        <v>1741</v>
      </c>
      <c r="F4509" s="366" t="s">
        <v>1749</v>
      </c>
      <c r="G4509" s="348" t="str">
        <f>"'"&amp;$C4509&amp;"'!rows 56, 63, 68"</f>
        <v>'BLD_PS'!rows 56, 63, 68</v>
      </c>
      <c r="H4509" s="381">
        <f ca="1">IF(IFERROR(INDEX(DATA_PROPERTY_MASTER!$E$5:$E$21,MATCH($C4509,DATA_PROPERTY_MASTER!$A$5:$A$21,0))="Yes",FALSE),(IFERROR(INDEX(INDIRECT("'"&amp;$C4509&amp;"'!$E$56:$Y$56"),1,MATCH($D4509,INDIRECT("'"&amp;$C4509&amp;"'!$E$12:$Y$12"),0)),0)+MAX(IFERROR(INDEX(INDIRECT("'"&amp;$C4509&amp;"'!$E$63:$Y$63"),1,MATCH($D4509,INDIRECT("'"&amp;$C4509&amp;"'!$E$12:$Y$12"),0)),0),0))-(IFERROR(INDEX(INDIRECT("'"&amp;$C4509&amp;"'!$E$68:$Y$68"),1,MATCH($D4509,INDIRECT("'"&amp;$C4509&amp;"'!$E$12:$Y$12"),0)),0)),0)</f>
        <v>0</v>
      </c>
      <c r="I4509" s="366" t="s">
        <v>1750</v>
      </c>
      <c r="J4509" s="348" t="str">
        <f t="shared" ca="1" si="140"/>
        <v>OK</v>
      </c>
      <c r="K4509" s="366" t="s">
        <v>1751</v>
      </c>
      <c r="L4509" s="366" t="s">
        <v>2266</v>
      </c>
      <c r="M4509" s="350" t="str">
        <f>IF($B4509="Portfolio","Portfolio",IFERROR(INDEX(DATA_ASSET_CLASSIFICATION!$B$8:$B$24,MATCH($C4509,DATA_ASSET_CLASSIFICATION!$A$8:$A$24,0)),"Review"))</f>
        <v>450 Pacific Street</v>
      </c>
      <c r="N4509" s="350" t="str">
        <f>IF($B4509="Portfolio","Portfolio",IFERROR(INDEX(DATA_ASSET_CLASSIFICATION!$U$8:$U$24,MATCH($C4509,DATA_ASSET_CLASSIFICATION!$A$8:$A$24,0)),"Review"))</f>
        <v>New Build</v>
      </c>
      <c r="O4509" s="350" t="str">
        <f>IF($B4509="Portfolio","Portfolio",IFERROR(INDEX(DATA_ASSET_CLASSIFICATION!$AB$8:$AB$13,MATCH($N4509,DATA_ASSET_CLASSIFICATION!$AA$8:$AA$13,0)),"Review"))</f>
        <v>Bucket 1 · New Build</v>
      </c>
      <c r="P4509" s="350" t="str">
        <f>IF($B4509="Portfolio","Portfolio",IFERROR(INDEX(DATA_ASSET_CLASSIFICATION!$C$8:$C$24,MATCH($C4509,DATA_ASSET_CLASSIFICATION!$A$8:$A$24,0)),"Review"))</f>
        <v>Yes</v>
      </c>
      <c r="Q4509" s="350" t="str">
        <f t="shared" ca="1" si="141"/>
        <v>OK</v>
      </c>
    </row>
    <row r="4510" spans="1:17">
      <c r="A4510" s="366" t="s">
        <v>6466</v>
      </c>
      <c r="B4510" s="366" t="s">
        <v>231</v>
      </c>
      <c r="C4510" s="348" t="str">
        <f>DATA_PROPERTY_MASTER!$A$19</f>
        <v>BLD_PS</v>
      </c>
      <c r="D4510" s="380">
        <f>'00_PORTFOLIO ROLLUP'!O$12</f>
        <v>2035</v>
      </c>
      <c r="E4510" s="366" t="s">
        <v>1683</v>
      </c>
      <c r="F4510" s="366" t="s">
        <v>341</v>
      </c>
      <c r="G4510" s="348" t="str">
        <f>"'"&amp;$C4510&amp;"'!$E$24:$Y$24"</f>
        <v>'BLD_PS'!$E$24:$Y$24</v>
      </c>
      <c r="H4510" s="381">
        <f ca="1">IF(IFERROR(INDEX(DATA_PROPERTY_MASTER!$E$5:$E$21,MATCH($C4510,DATA_PROPERTY_MASTER!$A$5:$A$21,0))="Yes",FALSE),IFERROR(INDEX(INDIRECT("'"&amp;$C4510&amp;"'!$E$24:$Y$24"),1,MATCH($D4510,INDIRECT("'"&amp;$C4510&amp;"'!$E$12:$Y$12"),0)),0),0)</f>
        <v>2040590.0106756566</v>
      </c>
      <c r="I4510" s="366" t="s">
        <v>1685</v>
      </c>
      <c r="J4510" s="348" t="str">
        <f t="shared" ca="1" si="140"/>
        <v>OK</v>
      </c>
      <c r="K4510" s="366" t="s">
        <v>1686</v>
      </c>
      <c r="L4510" s="366" t="s">
        <v>2234</v>
      </c>
      <c r="M4510" s="350" t="str">
        <f>IF($B4510="Portfolio","Portfolio",IFERROR(INDEX(DATA_ASSET_CLASSIFICATION!$B$8:$B$24,MATCH($C4510,DATA_ASSET_CLASSIFICATION!$A$8:$A$24,0)),"Review"))</f>
        <v>450 Pacific Street</v>
      </c>
      <c r="N4510" s="350" t="str">
        <f>IF($B4510="Portfolio","Portfolio",IFERROR(INDEX(DATA_ASSET_CLASSIFICATION!$U$8:$U$24,MATCH($C4510,DATA_ASSET_CLASSIFICATION!$A$8:$A$24,0)),"Review"))</f>
        <v>New Build</v>
      </c>
      <c r="O4510" s="350" t="str">
        <f>IF($B4510="Portfolio","Portfolio",IFERROR(INDEX(DATA_ASSET_CLASSIFICATION!$AB$8:$AB$13,MATCH($N4510,DATA_ASSET_CLASSIFICATION!$AA$8:$AA$13,0)),"Review"))</f>
        <v>Bucket 1 · New Build</v>
      </c>
      <c r="P4510" s="350" t="str">
        <f>IF($B4510="Portfolio","Portfolio",IFERROR(INDEX(DATA_ASSET_CLASSIFICATION!$C$8:$C$24,MATCH($C4510,DATA_ASSET_CLASSIFICATION!$A$8:$A$24,0)),"Review"))</f>
        <v>Yes</v>
      </c>
      <c r="Q4510" s="350" t="str">
        <f t="shared" ca="1" si="141"/>
        <v>OK</v>
      </c>
    </row>
    <row r="4511" spans="1:17">
      <c r="A4511" s="366" t="s">
        <v>6467</v>
      </c>
      <c r="B4511" s="366" t="s">
        <v>231</v>
      </c>
      <c r="C4511" s="348" t="str">
        <f>DATA_PROPERTY_MASTER!$A$19</f>
        <v>BLD_PS</v>
      </c>
      <c r="D4511" s="380">
        <f>'00_PORTFOLIO ROLLUP'!O$12</f>
        <v>2035</v>
      </c>
      <c r="E4511" s="366" t="s">
        <v>1683</v>
      </c>
      <c r="F4511" s="366" t="s">
        <v>355</v>
      </c>
      <c r="G4511" s="348" t="str">
        <f>"'"&amp;$C4511&amp;"'!$E$39:$Y$39"</f>
        <v>'BLD_PS'!$E$39:$Y$39</v>
      </c>
      <c r="H4511" s="381">
        <f ca="1">IF(IFERROR(INDEX(DATA_PROPERTY_MASTER!$E$5:$E$21,MATCH($C4511,DATA_PROPERTY_MASTER!$A$5:$A$21,0))="Yes",FALSE),IFERROR(INDEX(INDIRECT("'"&amp;$C4511&amp;"'!$E$39:$Y$39"),1,MATCH($D4511,INDIRECT("'"&amp;$C4511&amp;"'!$E$12:$Y$12"),0)),0),0)</f>
        <v>1000585.7845022228</v>
      </c>
      <c r="I4511" s="366" t="s">
        <v>1690</v>
      </c>
      <c r="J4511" s="348" t="str">
        <f t="shared" ca="1" si="140"/>
        <v>OK</v>
      </c>
      <c r="K4511" s="366" t="s">
        <v>1686</v>
      </c>
      <c r="L4511" s="366" t="s">
        <v>2236</v>
      </c>
      <c r="M4511" s="350" t="str">
        <f>IF($B4511="Portfolio","Portfolio",IFERROR(INDEX(DATA_ASSET_CLASSIFICATION!$B$8:$B$24,MATCH($C4511,DATA_ASSET_CLASSIFICATION!$A$8:$A$24,0)),"Review"))</f>
        <v>450 Pacific Street</v>
      </c>
      <c r="N4511" s="350" t="str">
        <f>IF($B4511="Portfolio","Portfolio",IFERROR(INDEX(DATA_ASSET_CLASSIFICATION!$U$8:$U$24,MATCH($C4511,DATA_ASSET_CLASSIFICATION!$A$8:$A$24,0)),"Review"))</f>
        <v>New Build</v>
      </c>
      <c r="O4511" s="350" t="str">
        <f>IF($B4511="Portfolio","Portfolio",IFERROR(INDEX(DATA_ASSET_CLASSIFICATION!$AB$8:$AB$13,MATCH($N4511,DATA_ASSET_CLASSIFICATION!$AA$8:$AA$13,0)),"Review"))</f>
        <v>Bucket 1 · New Build</v>
      </c>
      <c r="P4511" s="350" t="str">
        <f>IF($B4511="Portfolio","Portfolio",IFERROR(INDEX(DATA_ASSET_CLASSIFICATION!$C$8:$C$24,MATCH($C4511,DATA_ASSET_CLASSIFICATION!$A$8:$A$24,0)),"Review"))</f>
        <v>Yes</v>
      </c>
      <c r="Q4511" s="350" t="str">
        <f t="shared" ca="1" si="141"/>
        <v>OK</v>
      </c>
    </row>
    <row r="4512" spans="1:17">
      <c r="A4512" s="366" t="s">
        <v>6468</v>
      </c>
      <c r="B4512" s="366" t="s">
        <v>231</v>
      </c>
      <c r="C4512" s="348" t="str">
        <f>DATA_PROPERTY_MASTER!$A$19</f>
        <v>BLD_PS</v>
      </c>
      <c r="D4512" s="380">
        <f>'00_PORTFOLIO ROLLUP'!O$12</f>
        <v>2035</v>
      </c>
      <c r="E4512" s="366" t="s">
        <v>1683</v>
      </c>
      <c r="F4512" s="366" t="s">
        <v>19</v>
      </c>
      <c r="G4512" s="348" t="str">
        <f>"'"&amp;$C4512&amp;"'!$E$41:$Y$41"</f>
        <v>'BLD_PS'!$E$41:$Y$41</v>
      </c>
      <c r="H4512" s="381">
        <f ca="1">IF(IFERROR(INDEX(DATA_PROPERTY_MASTER!$E$5:$E$21,MATCH($C4512,DATA_PROPERTY_MASTER!$A$5:$A$21,0))="Yes",FALSE),IFERROR(INDEX(INDIRECT("'"&amp;$C4512&amp;"'!$E$41:$Y$41"),1,MATCH($D4512,INDIRECT("'"&amp;$C4512&amp;"'!$E$12:$Y$12"),0)),0),0)</f>
        <v>1040004.2261734338</v>
      </c>
      <c r="I4512" s="366" t="s">
        <v>1685</v>
      </c>
      <c r="J4512" s="348" t="str">
        <f t="shared" ca="1" si="140"/>
        <v>OK</v>
      </c>
      <c r="K4512" s="366" t="s">
        <v>1694</v>
      </c>
      <c r="L4512" s="366" t="s">
        <v>2238</v>
      </c>
      <c r="M4512" s="350" t="str">
        <f>IF($B4512="Portfolio","Portfolio",IFERROR(INDEX(DATA_ASSET_CLASSIFICATION!$B$8:$B$24,MATCH($C4512,DATA_ASSET_CLASSIFICATION!$A$8:$A$24,0)),"Review"))</f>
        <v>450 Pacific Street</v>
      </c>
      <c r="N4512" s="350" t="str">
        <f>IF($B4512="Portfolio","Portfolio",IFERROR(INDEX(DATA_ASSET_CLASSIFICATION!$U$8:$U$24,MATCH($C4512,DATA_ASSET_CLASSIFICATION!$A$8:$A$24,0)),"Review"))</f>
        <v>New Build</v>
      </c>
      <c r="O4512" s="350" t="str">
        <f>IF($B4512="Portfolio","Portfolio",IFERROR(INDEX(DATA_ASSET_CLASSIFICATION!$AB$8:$AB$13,MATCH($N4512,DATA_ASSET_CLASSIFICATION!$AA$8:$AA$13,0)),"Review"))</f>
        <v>Bucket 1 · New Build</v>
      </c>
      <c r="P4512" s="350" t="str">
        <f>IF($B4512="Portfolio","Portfolio",IFERROR(INDEX(DATA_ASSET_CLASSIFICATION!$C$8:$C$24,MATCH($C4512,DATA_ASSET_CLASSIFICATION!$A$8:$A$24,0)),"Review"))</f>
        <v>Yes</v>
      </c>
      <c r="Q4512" s="350" t="str">
        <f t="shared" ca="1" si="141"/>
        <v>OK</v>
      </c>
    </row>
    <row r="4513" spans="1:17">
      <c r="A4513" s="366" t="s">
        <v>6469</v>
      </c>
      <c r="B4513" s="366" t="s">
        <v>231</v>
      </c>
      <c r="C4513" s="348" t="str">
        <f>DATA_PROPERTY_MASTER!$A$19</f>
        <v>BLD_PS</v>
      </c>
      <c r="D4513" s="380">
        <f>'00_PORTFOLIO ROLLUP'!O$12</f>
        <v>2035</v>
      </c>
      <c r="E4513" s="366" t="s">
        <v>1683</v>
      </c>
      <c r="F4513" s="366" t="s">
        <v>1697</v>
      </c>
      <c r="G4513" s="348" t="str">
        <f>"'"&amp;$C4513&amp;"'!$E$44:$Y$44"</f>
        <v>'BLD_PS'!$E$44:$Y$44</v>
      </c>
      <c r="H4513" s="381">
        <f ca="1">IF(IFERROR(INDEX(DATA_PROPERTY_MASTER!$E$5:$E$21,MATCH($C4513,DATA_PROPERTY_MASTER!$A$5:$A$21,0))="Yes",FALSE),IFERROR(INDEX(INDIRECT("'"&amp;$C4513&amp;"'!$E$44:$Y$44"),1,MATCH($D4513,INDIRECT("'"&amp;$C4513&amp;"'!$E$12:$Y$12"),0)),0),0)</f>
        <v>16639.273832928433</v>
      </c>
      <c r="I4513" s="366" t="s">
        <v>1690</v>
      </c>
      <c r="J4513" s="348" t="str">
        <f t="shared" ca="1" si="140"/>
        <v>OK</v>
      </c>
      <c r="K4513" s="366" t="s">
        <v>1699</v>
      </c>
      <c r="L4513" s="366" t="s">
        <v>2240</v>
      </c>
      <c r="M4513" s="350" t="str">
        <f>IF($B4513="Portfolio","Portfolio",IFERROR(INDEX(DATA_ASSET_CLASSIFICATION!$B$8:$B$24,MATCH($C4513,DATA_ASSET_CLASSIFICATION!$A$8:$A$24,0)),"Review"))</f>
        <v>450 Pacific Street</v>
      </c>
      <c r="N4513" s="350" t="str">
        <f>IF($B4513="Portfolio","Portfolio",IFERROR(INDEX(DATA_ASSET_CLASSIFICATION!$U$8:$U$24,MATCH($C4513,DATA_ASSET_CLASSIFICATION!$A$8:$A$24,0)),"Review"))</f>
        <v>New Build</v>
      </c>
      <c r="O4513" s="350" t="str">
        <f>IF($B4513="Portfolio","Portfolio",IFERROR(INDEX(DATA_ASSET_CLASSIFICATION!$AB$8:$AB$13,MATCH($N4513,DATA_ASSET_CLASSIFICATION!$AA$8:$AA$13,0)),"Review"))</f>
        <v>Bucket 1 · New Build</v>
      </c>
      <c r="P4513" s="350" t="str">
        <f>IF($B4513="Portfolio","Portfolio",IFERROR(INDEX(DATA_ASSET_CLASSIFICATION!$C$8:$C$24,MATCH($C4513,DATA_ASSET_CLASSIFICATION!$A$8:$A$24,0)),"Review"))</f>
        <v>Yes</v>
      </c>
      <c r="Q4513" s="350" t="str">
        <f t="shared" ca="1" si="141"/>
        <v>OK</v>
      </c>
    </row>
    <row r="4514" spans="1:17">
      <c r="A4514" s="366" t="s">
        <v>6470</v>
      </c>
      <c r="B4514" s="366" t="s">
        <v>231</v>
      </c>
      <c r="C4514" s="348" t="str">
        <f>DATA_PROPERTY_MASTER!$A$19</f>
        <v>BLD_PS</v>
      </c>
      <c r="D4514" s="380">
        <f>'00_PORTFOLIO ROLLUP'!O$12</f>
        <v>2035</v>
      </c>
      <c r="E4514" s="366" t="s">
        <v>1683</v>
      </c>
      <c r="F4514" s="366" t="s">
        <v>21</v>
      </c>
      <c r="G4514" s="348" t="str">
        <f>"'"&amp;$C4514&amp;"'!$E$45:$Y$45"</f>
        <v>'BLD_PS'!$E$45:$Y$45</v>
      </c>
      <c r="H4514" s="381">
        <f ca="1">IF(IFERROR(INDEX(DATA_PROPERTY_MASTER!$E$5:$E$21,MATCH($C4514,DATA_PROPERTY_MASTER!$A$5:$A$21,0))="Yes",FALSE),IFERROR(INDEX(INDIRECT("'"&amp;$C4514&amp;"'!$E$45:$Y$45"),1,MATCH($D4514,INDIRECT("'"&amp;$C4514&amp;"'!$E$12:$Y$12"),0)),0),0)</f>
        <v>1023364.9523405054</v>
      </c>
      <c r="I4514" s="366" t="s">
        <v>1685</v>
      </c>
      <c r="J4514" s="348" t="str">
        <f t="shared" ca="1" si="140"/>
        <v>OK</v>
      </c>
      <c r="K4514" s="366" t="s">
        <v>1694</v>
      </c>
      <c r="L4514" s="366" t="s">
        <v>2242</v>
      </c>
      <c r="M4514" s="350" t="str">
        <f>IF($B4514="Portfolio","Portfolio",IFERROR(INDEX(DATA_ASSET_CLASSIFICATION!$B$8:$B$24,MATCH($C4514,DATA_ASSET_CLASSIFICATION!$A$8:$A$24,0)),"Review"))</f>
        <v>450 Pacific Street</v>
      </c>
      <c r="N4514" s="350" t="str">
        <f>IF($B4514="Portfolio","Portfolio",IFERROR(INDEX(DATA_ASSET_CLASSIFICATION!$U$8:$U$24,MATCH($C4514,DATA_ASSET_CLASSIFICATION!$A$8:$A$24,0)),"Review"))</f>
        <v>New Build</v>
      </c>
      <c r="O4514" s="350" t="str">
        <f>IF($B4514="Portfolio","Portfolio",IFERROR(INDEX(DATA_ASSET_CLASSIFICATION!$AB$8:$AB$13,MATCH($N4514,DATA_ASSET_CLASSIFICATION!$AA$8:$AA$13,0)),"Review"))</f>
        <v>Bucket 1 · New Build</v>
      </c>
      <c r="P4514" s="350" t="str">
        <f>IF($B4514="Portfolio","Portfolio",IFERROR(INDEX(DATA_ASSET_CLASSIFICATION!$C$8:$C$24,MATCH($C4514,DATA_ASSET_CLASSIFICATION!$A$8:$A$24,0)),"Review"))</f>
        <v>Yes</v>
      </c>
      <c r="Q4514" s="350" t="str">
        <f t="shared" ca="1" si="141"/>
        <v>OK</v>
      </c>
    </row>
    <row r="4515" spans="1:17">
      <c r="A4515" s="366" t="s">
        <v>6471</v>
      </c>
      <c r="B4515" s="366" t="s">
        <v>231</v>
      </c>
      <c r="C4515" s="348" t="str">
        <f>DATA_PROPERTY_MASTER!$A$19</f>
        <v>BLD_PS</v>
      </c>
      <c r="D4515" s="380">
        <f>'00_PORTFOLIO ROLLUP'!O$12</f>
        <v>2035</v>
      </c>
      <c r="E4515" s="366" t="s">
        <v>23</v>
      </c>
      <c r="F4515" s="366" t="s">
        <v>23</v>
      </c>
      <c r="G4515" s="348" t="str">
        <f>"'"&amp;$C4515&amp;"'!$E$48:$Y$48"</f>
        <v>'BLD_PS'!$E$48:$Y$48</v>
      </c>
      <c r="H4515" s="381">
        <f ca="1">IF(IFERROR(INDEX(DATA_PROPERTY_MASTER!$E$5:$E$21,MATCH($C4515,DATA_PROPERTY_MASTER!$A$5:$A$21,0))="Yes",FALSE),IFERROR(INDEX(INDIRECT("'"&amp;$C4515&amp;"'!$E$48:$Y$48"),1,MATCH($D4515,INDIRECT("'"&amp;$C4515&amp;"'!$E$12:$Y$12"),0)),0),0)</f>
        <v>667460.46017404622</v>
      </c>
      <c r="I4515" s="366" t="s">
        <v>1690</v>
      </c>
      <c r="J4515" s="348" t="str">
        <f t="shared" ca="1" si="140"/>
        <v>OK</v>
      </c>
      <c r="K4515" s="366" t="s">
        <v>1706</v>
      </c>
      <c r="L4515" s="366" t="s">
        <v>2244</v>
      </c>
      <c r="M4515" s="350" t="str">
        <f>IF($B4515="Portfolio","Portfolio",IFERROR(INDEX(DATA_ASSET_CLASSIFICATION!$B$8:$B$24,MATCH($C4515,DATA_ASSET_CLASSIFICATION!$A$8:$A$24,0)),"Review"))</f>
        <v>450 Pacific Street</v>
      </c>
      <c r="N4515" s="350" t="str">
        <f>IF($B4515="Portfolio","Portfolio",IFERROR(INDEX(DATA_ASSET_CLASSIFICATION!$U$8:$U$24,MATCH($C4515,DATA_ASSET_CLASSIFICATION!$A$8:$A$24,0)),"Review"))</f>
        <v>New Build</v>
      </c>
      <c r="O4515" s="350" t="str">
        <f>IF($B4515="Portfolio","Portfolio",IFERROR(INDEX(DATA_ASSET_CLASSIFICATION!$AB$8:$AB$13,MATCH($N4515,DATA_ASSET_CLASSIFICATION!$AA$8:$AA$13,0)),"Review"))</f>
        <v>Bucket 1 · New Build</v>
      </c>
      <c r="P4515" s="350" t="str">
        <f>IF($B4515="Portfolio","Portfolio",IFERROR(INDEX(DATA_ASSET_CLASSIFICATION!$C$8:$C$24,MATCH($C4515,DATA_ASSET_CLASSIFICATION!$A$8:$A$24,0)),"Review"))</f>
        <v>Yes</v>
      </c>
      <c r="Q4515" s="350" t="str">
        <f t="shared" ca="1" si="141"/>
        <v>OK</v>
      </c>
    </row>
    <row r="4516" spans="1:17">
      <c r="A4516" s="366" t="s">
        <v>6472</v>
      </c>
      <c r="B4516" s="366" t="s">
        <v>231</v>
      </c>
      <c r="C4516" s="348" t="str">
        <f>DATA_PROPERTY_MASTER!$A$19</f>
        <v>BLD_PS</v>
      </c>
      <c r="D4516" s="380">
        <f>'00_PORTFOLIO ROLLUP'!O$12</f>
        <v>2035</v>
      </c>
      <c r="E4516" s="366" t="s">
        <v>1683</v>
      </c>
      <c r="F4516" s="366" t="s">
        <v>25</v>
      </c>
      <c r="G4516" s="348" t="str">
        <f>"'"&amp;$C4516&amp;"'!$E$52:$Y$52"</f>
        <v>'BLD_PS'!$E$52:$Y$52</v>
      </c>
      <c r="H4516" s="381">
        <f ca="1">IF(IFERROR(INDEX(DATA_PROPERTY_MASTER!$E$5:$E$21,MATCH($C4516,DATA_PROPERTY_MASTER!$A$5:$A$21,0))="Yes",FALSE),IFERROR(INDEX(INDIRECT("'"&amp;$C4516&amp;"'!$E$52:$Y$52"),1,MATCH($D4516,INDIRECT("'"&amp;$C4516&amp;"'!$E$12:$Y$12"),0)),0),0)</f>
        <v>372543.7659993876</v>
      </c>
      <c r="I4516" s="366" t="s">
        <v>1685</v>
      </c>
      <c r="J4516" s="348" t="str">
        <f t="shared" ca="1" si="140"/>
        <v>OK</v>
      </c>
      <c r="K4516" s="366" t="s">
        <v>1710</v>
      </c>
      <c r="L4516" s="366" t="s">
        <v>2246</v>
      </c>
      <c r="M4516" s="350" t="str">
        <f>IF($B4516="Portfolio","Portfolio",IFERROR(INDEX(DATA_ASSET_CLASSIFICATION!$B$8:$B$24,MATCH($C4516,DATA_ASSET_CLASSIFICATION!$A$8:$A$24,0)),"Review"))</f>
        <v>450 Pacific Street</v>
      </c>
      <c r="N4516" s="350" t="str">
        <f>IF($B4516="Portfolio","Portfolio",IFERROR(INDEX(DATA_ASSET_CLASSIFICATION!$U$8:$U$24,MATCH($C4516,DATA_ASSET_CLASSIFICATION!$A$8:$A$24,0)),"Review"))</f>
        <v>New Build</v>
      </c>
      <c r="O4516" s="350" t="str">
        <f>IF($B4516="Portfolio","Portfolio",IFERROR(INDEX(DATA_ASSET_CLASSIFICATION!$AB$8:$AB$13,MATCH($N4516,DATA_ASSET_CLASSIFICATION!$AA$8:$AA$13,0)),"Review"))</f>
        <v>Bucket 1 · New Build</v>
      </c>
      <c r="P4516" s="350" t="str">
        <f>IF($B4516="Portfolio","Portfolio",IFERROR(INDEX(DATA_ASSET_CLASSIFICATION!$C$8:$C$24,MATCH($C4516,DATA_ASSET_CLASSIFICATION!$A$8:$A$24,0)),"Review"))</f>
        <v>Yes</v>
      </c>
      <c r="Q4516" s="350" t="str">
        <f t="shared" ca="1" si="141"/>
        <v>OK</v>
      </c>
    </row>
    <row r="4517" spans="1:17">
      <c r="A4517" s="366" t="s">
        <v>6473</v>
      </c>
      <c r="B4517" s="366" t="s">
        <v>231</v>
      </c>
      <c r="C4517" s="348" t="str">
        <f>DATA_PROPERTY_MASTER!$A$19</f>
        <v>BLD_PS</v>
      </c>
      <c r="D4517" s="380">
        <f>'00_PORTFOLIO ROLLUP'!O$12</f>
        <v>2035</v>
      </c>
      <c r="E4517" s="366" t="s">
        <v>1683</v>
      </c>
      <c r="F4517" s="366" t="s">
        <v>27</v>
      </c>
      <c r="G4517" s="348" t="str">
        <f>"'"&amp;$C4517&amp;"'!$E$54:$Y$54"</f>
        <v>'BLD_PS'!$E$54:$Y$54</v>
      </c>
      <c r="H4517" s="381">
        <f ca="1">IF(IFERROR(INDEX(DATA_PROPERTY_MASTER!$E$5:$E$21,MATCH($C4517,DATA_PROPERTY_MASTER!$A$5:$A$21,0))="Yes",FALSE),IFERROR(INDEX(INDIRECT("'"&amp;$C4517&amp;"'!$E$54:$Y$54"),1,MATCH($D4517,INDIRECT("'"&amp;$C4517&amp;"'!$E$12:$Y$12"),0)),0),0)</f>
        <v>223526.25959963255</v>
      </c>
      <c r="I4517" s="366" t="s">
        <v>1690</v>
      </c>
      <c r="J4517" s="348" t="str">
        <f t="shared" ca="1" si="140"/>
        <v>OK</v>
      </c>
      <c r="K4517" s="366" t="s">
        <v>1714</v>
      </c>
      <c r="L4517" s="366" t="s">
        <v>2248</v>
      </c>
      <c r="M4517" s="350" t="str">
        <f>IF($B4517="Portfolio","Portfolio",IFERROR(INDEX(DATA_ASSET_CLASSIFICATION!$B$8:$B$24,MATCH($C4517,DATA_ASSET_CLASSIFICATION!$A$8:$A$24,0)),"Review"))</f>
        <v>450 Pacific Street</v>
      </c>
      <c r="N4517" s="350" t="str">
        <f>IF($B4517="Portfolio","Portfolio",IFERROR(INDEX(DATA_ASSET_CLASSIFICATION!$U$8:$U$24,MATCH($C4517,DATA_ASSET_CLASSIFICATION!$A$8:$A$24,0)),"Review"))</f>
        <v>New Build</v>
      </c>
      <c r="O4517" s="350" t="str">
        <f>IF($B4517="Portfolio","Portfolio",IFERROR(INDEX(DATA_ASSET_CLASSIFICATION!$AB$8:$AB$13,MATCH($N4517,DATA_ASSET_CLASSIFICATION!$AA$8:$AA$13,0)),"Review"))</f>
        <v>Bucket 1 · New Build</v>
      </c>
      <c r="P4517" s="350" t="str">
        <f>IF($B4517="Portfolio","Portfolio",IFERROR(INDEX(DATA_ASSET_CLASSIFICATION!$C$8:$C$24,MATCH($C4517,DATA_ASSET_CLASSIFICATION!$A$8:$A$24,0)),"Review"))</f>
        <v>Yes</v>
      </c>
      <c r="Q4517" s="350" t="str">
        <f t="shared" ca="1" si="141"/>
        <v>OK</v>
      </c>
    </row>
    <row r="4518" spans="1:17">
      <c r="A4518" s="366" t="s">
        <v>6474</v>
      </c>
      <c r="B4518" s="366" t="s">
        <v>231</v>
      </c>
      <c r="C4518" s="348" t="str">
        <f>DATA_PROPERTY_MASTER!$A$19</f>
        <v>BLD_PS</v>
      </c>
      <c r="D4518" s="380">
        <f>'00_PORTFOLIO ROLLUP'!O$12</f>
        <v>2035</v>
      </c>
      <c r="E4518" s="366" t="s">
        <v>1683</v>
      </c>
      <c r="F4518" s="366" t="s">
        <v>29</v>
      </c>
      <c r="G4518" s="348" t="str">
        <f>"'"&amp;$C4518&amp;"'!$E$56:$Y$56"</f>
        <v>'BLD_PS'!$E$56:$Y$56</v>
      </c>
      <c r="H4518" s="381">
        <f ca="1">IF(IFERROR(INDEX(DATA_PROPERTY_MASTER!$E$5:$E$21,MATCH($C4518,DATA_PROPERTY_MASTER!$A$5:$A$21,0))="Yes",FALSE),IFERROR(INDEX(INDIRECT("'"&amp;$C4518&amp;"'!$E$56:$Y$56"),1,MATCH($D4518,INDIRECT("'"&amp;$C4518&amp;"'!$E$12:$Y$12"),0)),0),0)</f>
        <v>149017.50639975505</v>
      </c>
      <c r="I4518" s="366" t="s">
        <v>1685</v>
      </c>
      <c r="J4518" s="348" t="str">
        <f t="shared" ca="1" si="140"/>
        <v>OK</v>
      </c>
      <c r="K4518" s="366" t="s">
        <v>1718</v>
      </c>
      <c r="L4518" s="366" t="s">
        <v>2250</v>
      </c>
      <c r="M4518" s="350" t="str">
        <f>IF($B4518="Portfolio","Portfolio",IFERROR(INDEX(DATA_ASSET_CLASSIFICATION!$B$8:$B$24,MATCH($C4518,DATA_ASSET_CLASSIFICATION!$A$8:$A$24,0)),"Review"))</f>
        <v>450 Pacific Street</v>
      </c>
      <c r="N4518" s="350" t="str">
        <f>IF($B4518="Portfolio","Portfolio",IFERROR(INDEX(DATA_ASSET_CLASSIFICATION!$U$8:$U$24,MATCH($C4518,DATA_ASSET_CLASSIFICATION!$A$8:$A$24,0)),"Review"))</f>
        <v>New Build</v>
      </c>
      <c r="O4518" s="350" t="str">
        <f>IF($B4518="Portfolio","Portfolio",IFERROR(INDEX(DATA_ASSET_CLASSIFICATION!$AB$8:$AB$13,MATCH($N4518,DATA_ASSET_CLASSIFICATION!$AA$8:$AA$13,0)),"Review"))</f>
        <v>Bucket 1 · New Build</v>
      </c>
      <c r="P4518" s="350" t="str">
        <f>IF($B4518="Portfolio","Portfolio",IFERROR(INDEX(DATA_ASSET_CLASSIFICATION!$C$8:$C$24,MATCH($C4518,DATA_ASSET_CLASSIFICATION!$A$8:$A$24,0)),"Review"))</f>
        <v>Yes</v>
      </c>
      <c r="Q4518" s="350" t="str">
        <f t="shared" ca="1" si="141"/>
        <v>OK</v>
      </c>
    </row>
    <row r="4519" spans="1:17">
      <c r="A4519" s="366" t="s">
        <v>6475</v>
      </c>
      <c r="B4519" s="366" t="s">
        <v>231</v>
      </c>
      <c r="C4519" s="348" t="str">
        <f>DATA_PROPERTY_MASTER!$A$19</f>
        <v>BLD_PS</v>
      </c>
      <c r="D4519" s="380">
        <f>'00_PORTFOLIO ROLLUP'!O$12</f>
        <v>2035</v>
      </c>
      <c r="E4519" s="366" t="s">
        <v>1721</v>
      </c>
      <c r="F4519" s="366" t="s">
        <v>31</v>
      </c>
      <c r="G4519" s="348" t="str">
        <f>"'"&amp;$C4519&amp;"'!$E$61:$Y$61"</f>
        <v>'BLD_PS'!$E$61:$Y$61</v>
      </c>
      <c r="H4519" s="381">
        <f ca="1">IF(IFERROR(INDEX(DATA_PROPERTY_MASTER!$E$5:$E$21,MATCH($C4519,DATA_PROPERTY_MASTER!$A$5:$A$21,0))="Yes",FALSE),IFERROR(INDEX(INDIRECT("'"&amp;$C4519&amp;"'!$E$61:$Y$61"),1,MATCH($D4519,INDIRECT("'"&amp;$C4519&amp;"'!$E$12:$Y$12"),0)),0),0)</f>
        <v>0</v>
      </c>
      <c r="I4519" s="366" t="s">
        <v>1690</v>
      </c>
      <c r="J4519" s="348" t="str">
        <f t="shared" ca="1" si="140"/>
        <v>OK</v>
      </c>
      <c r="K4519" s="366" t="s">
        <v>1723</v>
      </c>
      <c r="L4519" s="366" t="s">
        <v>2252</v>
      </c>
      <c r="M4519" s="350" t="str">
        <f>IF($B4519="Portfolio","Portfolio",IFERROR(INDEX(DATA_ASSET_CLASSIFICATION!$B$8:$B$24,MATCH($C4519,DATA_ASSET_CLASSIFICATION!$A$8:$A$24,0)),"Review"))</f>
        <v>450 Pacific Street</v>
      </c>
      <c r="N4519" s="350" t="str">
        <f>IF($B4519="Portfolio","Portfolio",IFERROR(INDEX(DATA_ASSET_CLASSIFICATION!$U$8:$U$24,MATCH($C4519,DATA_ASSET_CLASSIFICATION!$A$8:$A$24,0)),"Review"))</f>
        <v>New Build</v>
      </c>
      <c r="O4519" s="350" t="str">
        <f>IF($B4519="Portfolio","Portfolio",IFERROR(INDEX(DATA_ASSET_CLASSIFICATION!$AB$8:$AB$13,MATCH($N4519,DATA_ASSET_CLASSIFICATION!$AA$8:$AA$13,0)),"Review"))</f>
        <v>Bucket 1 · New Build</v>
      </c>
      <c r="P4519" s="350" t="str">
        <f>IF($B4519="Portfolio","Portfolio",IFERROR(INDEX(DATA_ASSET_CLASSIFICATION!$C$8:$C$24,MATCH($C4519,DATA_ASSET_CLASSIFICATION!$A$8:$A$24,0)),"Review"))</f>
        <v>Yes</v>
      </c>
      <c r="Q4519" s="350" t="str">
        <f t="shared" ca="1" si="141"/>
        <v>OK</v>
      </c>
    </row>
    <row r="4520" spans="1:17">
      <c r="A4520" s="366" t="s">
        <v>6476</v>
      </c>
      <c r="B4520" s="366" t="s">
        <v>231</v>
      </c>
      <c r="C4520" s="348" t="str">
        <f>DATA_PROPERTY_MASTER!$A$19</f>
        <v>BLD_PS</v>
      </c>
      <c r="D4520" s="380">
        <f>'00_PORTFOLIO ROLLUP'!O$12</f>
        <v>2035</v>
      </c>
      <c r="E4520" s="366" t="s">
        <v>1721</v>
      </c>
      <c r="F4520" s="366" t="s">
        <v>33</v>
      </c>
      <c r="G4520" s="348" t="str">
        <f>"'"&amp;$C4520&amp;"'!$E$62:$Y$62"</f>
        <v>'BLD_PS'!$E$62:$Y$62</v>
      </c>
      <c r="H4520" s="381">
        <f ca="1">IF(IFERROR(INDEX(DATA_PROPERTY_MASTER!$E$5:$E$21,MATCH($C4520,DATA_PROPERTY_MASTER!$A$5:$A$21,0))="Yes",FALSE),IFERROR(INDEX(INDIRECT("'"&amp;$C4520&amp;"'!$E$62:$Y$62"),1,MATCH($D4520,INDIRECT("'"&amp;$C4520&amp;"'!$E$12:$Y$12"),0)),0),0)</f>
        <v>0</v>
      </c>
      <c r="I4520" s="366" t="s">
        <v>1685</v>
      </c>
      <c r="J4520" s="348" t="str">
        <f t="shared" ca="1" si="140"/>
        <v>OK</v>
      </c>
      <c r="K4520" s="366" t="s">
        <v>1727</v>
      </c>
      <c r="L4520" s="366" t="s">
        <v>2254</v>
      </c>
      <c r="M4520" s="350" t="str">
        <f>IF($B4520="Portfolio","Portfolio",IFERROR(INDEX(DATA_ASSET_CLASSIFICATION!$B$8:$B$24,MATCH($C4520,DATA_ASSET_CLASSIFICATION!$A$8:$A$24,0)),"Review"))</f>
        <v>450 Pacific Street</v>
      </c>
      <c r="N4520" s="350" t="str">
        <f>IF($B4520="Portfolio","Portfolio",IFERROR(INDEX(DATA_ASSET_CLASSIFICATION!$U$8:$U$24,MATCH($C4520,DATA_ASSET_CLASSIFICATION!$A$8:$A$24,0)),"Review"))</f>
        <v>New Build</v>
      </c>
      <c r="O4520" s="350" t="str">
        <f>IF($B4520="Portfolio","Portfolio",IFERROR(INDEX(DATA_ASSET_CLASSIFICATION!$AB$8:$AB$13,MATCH($N4520,DATA_ASSET_CLASSIFICATION!$AA$8:$AA$13,0)),"Review"))</f>
        <v>Bucket 1 · New Build</v>
      </c>
      <c r="P4520" s="350" t="str">
        <f>IF($B4520="Portfolio","Portfolio",IFERROR(INDEX(DATA_ASSET_CLASSIFICATION!$C$8:$C$24,MATCH($C4520,DATA_ASSET_CLASSIFICATION!$A$8:$A$24,0)),"Review"))</f>
        <v>Yes</v>
      </c>
      <c r="Q4520" s="350" t="str">
        <f t="shared" ca="1" si="141"/>
        <v>OK</v>
      </c>
    </row>
    <row r="4521" spans="1:17">
      <c r="A4521" s="366" t="s">
        <v>6477</v>
      </c>
      <c r="B4521" s="366" t="s">
        <v>231</v>
      </c>
      <c r="C4521" s="348" t="str">
        <f>DATA_PROPERTY_MASTER!$A$19</f>
        <v>BLD_PS</v>
      </c>
      <c r="D4521" s="380">
        <f>'00_PORTFOLIO ROLLUP'!O$12</f>
        <v>2035</v>
      </c>
      <c r="E4521" s="366" t="s">
        <v>1721</v>
      </c>
      <c r="F4521" s="366" t="s">
        <v>35</v>
      </c>
      <c r="G4521" s="348" t="str">
        <f>"'"&amp;$C4521&amp;"'!$E$63:$Y$63"</f>
        <v>'BLD_PS'!$E$63:$Y$63</v>
      </c>
      <c r="H4521" s="381">
        <f ca="1">IF(IFERROR(INDEX(DATA_PROPERTY_MASTER!$E$5:$E$21,MATCH($C4521,DATA_PROPERTY_MASTER!$A$5:$A$21,0))="Yes",FALSE),IFERROR(INDEX(INDIRECT("'"&amp;$C4521&amp;"'!$E$63:$Y$63"),1,MATCH($D4521,INDIRECT("'"&amp;$C4521&amp;"'!$E$12:$Y$12"),0)),0),0)</f>
        <v>0</v>
      </c>
      <c r="I4521" s="366" t="s">
        <v>1731</v>
      </c>
      <c r="J4521" s="348" t="str">
        <f t="shared" ca="1" si="140"/>
        <v>OK</v>
      </c>
      <c r="K4521" s="366" t="s">
        <v>1732</v>
      </c>
      <c r="L4521" s="366" t="s">
        <v>2256</v>
      </c>
      <c r="M4521" s="350" t="str">
        <f>IF($B4521="Portfolio","Portfolio",IFERROR(INDEX(DATA_ASSET_CLASSIFICATION!$B$8:$B$24,MATCH($C4521,DATA_ASSET_CLASSIFICATION!$A$8:$A$24,0)),"Review"))</f>
        <v>450 Pacific Street</v>
      </c>
      <c r="N4521" s="350" t="str">
        <f>IF($B4521="Portfolio","Portfolio",IFERROR(INDEX(DATA_ASSET_CLASSIFICATION!$U$8:$U$24,MATCH($C4521,DATA_ASSET_CLASSIFICATION!$A$8:$A$24,0)),"Review"))</f>
        <v>New Build</v>
      </c>
      <c r="O4521" s="350" t="str">
        <f>IF($B4521="Portfolio","Portfolio",IFERROR(INDEX(DATA_ASSET_CLASSIFICATION!$AB$8:$AB$13,MATCH($N4521,DATA_ASSET_CLASSIFICATION!$AA$8:$AA$13,0)),"Review"))</f>
        <v>Bucket 1 · New Build</v>
      </c>
      <c r="P4521" s="350" t="str">
        <f>IF($B4521="Portfolio","Portfolio",IFERROR(INDEX(DATA_ASSET_CLASSIFICATION!$C$8:$C$24,MATCH($C4521,DATA_ASSET_CLASSIFICATION!$A$8:$A$24,0)),"Review"))</f>
        <v>Yes</v>
      </c>
      <c r="Q4521" s="350" t="str">
        <f t="shared" ca="1" si="141"/>
        <v>OK</v>
      </c>
    </row>
    <row r="4522" spans="1:17">
      <c r="A4522" s="366" t="s">
        <v>6478</v>
      </c>
      <c r="B4522" s="366" t="s">
        <v>231</v>
      </c>
      <c r="C4522" s="348" t="str">
        <f>DATA_PROPERTY_MASTER!$A$19</f>
        <v>BLD_PS</v>
      </c>
      <c r="D4522" s="380">
        <f>'00_PORTFOLIO ROLLUP'!O$12</f>
        <v>2035</v>
      </c>
      <c r="E4522" s="366" t="s">
        <v>1721</v>
      </c>
      <c r="F4522" s="366" t="s">
        <v>37</v>
      </c>
      <c r="G4522" s="348" t="str">
        <f>"'"&amp;$C4522&amp;"'!$E$63:$Y$63"</f>
        <v>'BLD_PS'!$E$63:$Y$63</v>
      </c>
      <c r="H4522" s="381">
        <f ca="1">IF(IFERROR(INDEX(DATA_PROPERTY_MASTER!$E$5:$E$21,MATCH($C4522,DATA_PROPERTY_MASTER!$A$5:$A$21,0))="Yes",FALSE),MAX(IFERROR(INDEX(INDIRECT("'"&amp;$C4522&amp;"'!$E$63:$Y$63"),1,MATCH($D4522,INDIRECT("'"&amp;$C4522&amp;"'!$E$12:$Y$12"),0)),0),0),0)</f>
        <v>0</v>
      </c>
      <c r="I4522" s="366" t="s">
        <v>1685</v>
      </c>
      <c r="J4522" s="348" t="str">
        <f t="shared" ca="1" si="140"/>
        <v>OK</v>
      </c>
      <c r="K4522" s="366" t="s">
        <v>1735</v>
      </c>
      <c r="L4522" s="366" t="s">
        <v>2258</v>
      </c>
      <c r="M4522" s="350" t="str">
        <f>IF($B4522="Portfolio","Portfolio",IFERROR(INDEX(DATA_ASSET_CLASSIFICATION!$B$8:$B$24,MATCH($C4522,DATA_ASSET_CLASSIFICATION!$A$8:$A$24,0)),"Review"))</f>
        <v>450 Pacific Street</v>
      </c>
      <c r="N4522" s="350" t="str">
        <f>IF($B4522="Portfolio","Portfolio",IFERROR(INDEX(DATA_ASSET_CLASSIFICATION!$U$8:$U$24,MATCH($C4522,DATA_ASSET_CLASSIFICATION!$A$8:$A$24,0)),"Review"))</f>
        <v>New Build</v>
      </c>
      <c r="O4522" s="350" t="str">
        <f>IF($B4522="Portfolio","Portfolio",IFERROR(INDEX(DATA_ASSET_CLASSIFICATION!$AB$8:$AB$13,MATCH($N4522,DATA_ASSET_CLASSIFICATION!$AA$8:$AA$13,0)),"Review"))</f>
        <v>Bucket 1 · New Build</v>
      </c>
      <c r="P4522" s="350" t="str">
        <f>IF($B4522="Portfolio","Portfolio",IFERROR(INDEX(DATA_ASSET_CLASSIFICATION!$C$8:$C$24,MATCH($C4522,DATA_ASSET_CLASSIFICATION!$A$8:$A$24,0)),"Review"))</f>
        <v>Yes</v>
      </c>
      <c r="Q4522" s="350" t="str">
        <f t="shared" ca="1" si="141"/>
        <v>OK</v>
      </c>
    </row>
    <row r="4523" spans="1:17">
      <c r="A4523" s="366" t="s">
        <v>6479</v>
      </c>
      <c r="B4523" s="366" t="s">
        <v>231</v>
      </c>
      <c r="C4523" s="348" t="str">
        <f>DATA_PROPERTY_MASTER!$A$19</f>
        <v>BLD_PS</v>
      </c>
      <c r="D4523" s="380">
        <f>'00_PORTFOLIO ROLLUP'!O$12</f>
        <v>2035</v>
      </c>
      <c r="E4523" s="366" t="s">
        <v>1721</v>
      </c>
      <c r="F4523" s="366" t="s">
        <v>39</v>
      </c>
      <c r="G4523" s="348" t="str">
        <f>"'"&amp;$C4523&amp;"'!$E$63:$Y$63"</f>
        <v>'BLD_PS'!$E$63:$Y$63</v>
      </c>
      <c r="H4523" s="381">
        <f ca="1">IF(IFERROR(INDEX(DATA_PROPERTY_MASTER!$E$5:$E$21,MATCH($C4523,DATA_PROPERTY_MASTER!$A$5:$A$21,0))="Yes",FALSE),MAX(-IFERROR(INDEX(INDIRECT("'"&amp;$C4523&amp;"'!$E$63:$Y$63"),1,MATCH($D4523,INDIRECT("'"&amp;$C4523&amp;"'!$E$12:$Y$12"),0)),0),0),0)</f>
        <v>0</v>
      </c>
      <c r="I4523" s="366" t="s">
        <v>1690</v>
      </c>
      <c r="J4523" s="348" t="str">
        <f t="shared" ca="1" si="140"/>
        <v>OK</v>
      </c>
      <c r="K4523" s="366" t="s">
        <v>1738</v>
      </c>
      <c r="L4523" s="366" t="s">
        <v>2260</v>
      </c>
      <c r="M4523" s="350" t="str">
        <f>IF($B4523="Portfolio","Portfolio",IFERROR(INDEX(DATA_ASSET_CLASSIFICATION!$B$8:$B$24,MATCH($C4523,DATA_ASSET_CLASSIFICATION!$A$8:$A$24,0)),"Review"))</f>
        <v>450 Pacific Street</v>
      </c>
      <c r="N4523" s="350" t="str">
        <f>IF($B4523="Portfolio","Portfolio",IFERROR(INDEX(DATA_ASSET_CLASSIFICATION!$U$8:$U$24,MATCH($C4523,DATA_ASSET_CLASSIFICATION!$A$8:$A$24,0)),"Review"))</f>
        <v>New Build</v>
      </c>
      <c r="O4523" s="350" t="str">
        <f>IF($B4523="Portfolio","Portfolio",IFERROR(INDEX(DATA_ASSET_CLASSIFICATION!$AB$8:$AB$13,MATCH($N4523,DATA_ASSET_CLASSIFICATION!$AA$8:$AA$13,0)),"Review"))</f>
        <v>Bucket 1 · New Build</v>
      </c>
      <c r="P4523" s="350" t="str">
        <f>IF($B4523="Portfolio","Portfolio",IFERROR(INDEX(DATA_ASSET_CLASSIFICATION!$C$8:$C$24,MATCH($C4523,DATA_ASSET_CLASSIFICATION!$A$8:$A$24,0)),"Review"))</f>
        <v>Yes</v>
      </c>
      <c r="Q4523" s="350" t="str">
        <f t="shared" ca="1" si="141"/>
        <v>OK</v>
      </c>
    </row>
    <row r="4524" spans="1:17">
      <c r="A4524" s="366" t="s">
        <v>6480</v>
      </c>
      <c r="B4524" s="366" t="s">
        <v>231</v>
      </c>
      <c r="C4524" s="348" t="str">
        <f>DATA_PROPERTY_MASTER!$A$19</f>
        <v>BLD_PS</v>
      </c>
      <c r="D4524" s="380">
        <f>'00_PORTFOLIO ROLLUP'!O$12</f>
        <v>2035</v>
      </c>
      <c r="E4524" s="366" t="s">
        <v>1741</v>
      </c>
      <c r="F4524" s="366" t="s">
        <v>41</v>
      </c>
      <c r="G4524" s="348" t="str">
        <f>"'"&amp;$C4524&amp;"'!rows 56 + positive row 63"</f>
        <v>'BLD_PS'!rows 56 + positive row 63</v>
      </c>
      <c r="H4524" s="381">
        <f ca="1">IF(IFERROR(INDEX(DATA_PROPERTY_MASTER!$E$5:$E$21,MATCH($C4524,DATA_PROPERTY_MASTER!$A$5:$A$21,0))="Yes",FALSE),IFERROR(INDEX(INDIRECT("'"&amp;$C4524&amp;"'!$E$56:$Y$56"),1,MATCH($D4524,INDIRECT("'"&amp;$C4524&amp;"'!$E$12:$Y$12"),0)),0)+MAX(IFERROR(INDEX(INDIRECT("'"&amp;$C4524&amp;"'!$E$63:$Y$63"),1,MATCH($D4524,INDIRECT("'"&amp;$C4524&amp;"'!$E$12:$Y$12"),0)),0),0),0)</f>
        <v>149017.50639975505</v>
      </c>
      <c r="I4524" s="366" t="s">
        <v>1685</v>
      </c>
      <c r="J4524" s="348" t="str">
        <f t="shared" ca="1" si="140"/>
        <v>OK</v>
      </c>
      <c r="K4524" s="366" t="s">
        <v>1742</v>
      </c>
      <c r="L4524" s="366" t="s">
        <v>2262</v>
      </c>
      <c r="M4524" s="350" t="str">
        <f>IF($B4524="Portfolio","Portfolio",IFERROR(INDEX(DATA_ASSET_CLASSIFICATION!$B$8:$B$24,MATCH($C4524,DATA_ASSET_CLASSIFICATION!$A$8:$A$24,0)),"Review"))</f>
        <v>450 Pacific Street</v>
      </c>
      <c r="N4524" s="350" t="str">
        <f>IF($B4524="Portfolio","Portfolio",IFERROR(INDEX(DATA_ASSET_CLASSIFICATION!$U$8:$U$24,MATCH($C4524,DATA_ASSET_CLASSIFICATION!$A$8:$A$24,0)),"Review"))</f>
        <v>New Build</v>
      </c>
      <c r="O4524" s="350" t="str">
        <f>IF($B4524="Portfolio","Portfolio",IFERROR(INDEX(DATA_ASSET_CLASSIFICATION!$AB$8:$AB$13,MATCH($N4524,DATA_ASSET_CLASSIFICATION!$AA$8:$AA$13,0)),"Review"))</f>
        <v>Bucket 1 · New Build</v>
      </c>
      <c r="P4524" s="350" t="str">
        <f>IF($B4524="Portfolio","Portfolio",IFERROR(INDEX(DATA_ASSET_CLASSIFICATION!$C$8:$C$24,MATCH($C4524,DATA_ASSET_CLASSIFICATION!$A$8:$A$24,0)),"Review"))</f>
        <v>Yes</v>
      </c>
      <c r="Q4524" s="350" t="str">
        <f t="shared" ca="1" si="141"/>
        <v>OK</v>
      </c>
    </row>
    <row r="4525" spans="1:17">
      <c r="A4525" s="366" t="s">
        <v>6481</v>
      </c>
      <c r="B4525" s="366" t="s">
        <v>231</v>
      </c>
      <c r="C4525" s="348" t="str">
        <f>DATA_PROPERTY_MASTER!$A$19</f>
        <v>BLD_PS</v>
      </c>
      <c r="D4525" s="380">
        <f>'00_PORTFOLIO ROLLUP'!O$12</f>
        <v>2035</v>
      </c>
      <c r="E4525" s="366" t="s">
        <v>1741</v>
      </c>
      <c r="F4525" s="366" t="s">
        <v>43</v>
      </c>
      <c r="G4525" s="348" t="str">
        <f>"'"&amp;$C4525&amp;"'!$E$68:$Y$68"</f>
        <v>'BLD_PS'!$E$68:$Y$68</v>
      </c>
      <c r="H4525" s="381">
        <f ca="1">IF(IFERROR(INDEX(DATA_PROPERTY_MASTER!$E$5:$E$21,MATCH($C4525,DATA_PROPERTY_MASTER!$A$5:$A$21,0))="Yes",FALSE),IFERROR(INDEX(INDIRECT("'"&amp;$C4525&amp;"'!$E$68:$Y$68"),1,MATCH($D4525,INDIRECT("'"&amp;$C4525&amp;"'!$E$12:$Y$12"),0)),0),0)</f>
        <v>149017.50639975505</v>
      </c>
      <c r="I4525" s="366" t="s">
        <v>1731</v>
      </c>
      <c r="J4525" s="348" t="str">
        <f t="shared" ca="1" si="140"/>
        <v>OK</v>
      </c>
      <c r="K4525" s="366" t="s">
        <v>1746</v>
      </c>
      <c r="L4525" s="366" t="s">
        <v>2264</v>
      </c>
      <c r="M4525" s="350" t="str">
        <f>IF($B4525="Portfolio","Portfolio",IFERROR(INDEX(DATA_ASSET_CLASSIFICATION!$B$8:$B$24,MATCH($C4525,DATA_ASSET_CLASSIFICATION!$A$8:$A$24,0)),"Review"))</f>
        <v>450 Pacific Street</v>
      </c>
      <c r="N4525" s="350" t="str">
        <f>IF($B4525="Portfolio","Portfolio",IFERROR(INDEX(DATA_ASSET_CLASSIFICATION!$U$8:$U$24,MATCH($C4525,DATA_ASSET_CLASSIFICATION!$A$8:$A$24,0)),"Review"))</f>
        <v>New Build</v>
      </c>
      <c r="O4525" s="350" t="str">
        <f>IF($B4525="Portfolio","Portfolio",IFERROR(INDEX(DATA_ASSET_CLASSIFICATION!$AB$8:$AB$13,MATCH($N4525,DATA_ASSET_CLASSIFICATION!$AA$8:$AA$13,0)),"Review"))</f>
        <v>Bucket 1 · New Build</v>
      </c>
      <c r="P4525" s="350" t="str">
        <f>IF($B4525="Portfolio","Portfolio",IFERROR(INDEX(DATA_ASSET_CLASSIFICATION!$C$8:$C$24,MATCH($C4525,DATA_ASSET_CLASSIFICATION!$A$8:$A$24,0)),"Review"))</f>
        <v>Yes</v>
      </c>
      <c r="Q4525" s="350" t="str">
        <f t="shared" ca="1" si="141"/>
        <v>OK</v>
      </c>
    </row>
    <row r="4526" spans="1:17">
      <c r="A4526" s="366" t="s">
        <v>6482</v>
      </c>
      <c r="B4526" s="366" t="s">
        <v>231</v>
      </c>
      <c r="C4526" s="348" t="str">
        <f>DATA_PROPERTY_MASTER!$A$19</f>
        <v>BLD_PS</v>
      </c>
      <c r="D4526" s="380">
        <f>'00_PORTFOLIO ROLLUP'!O$12</f>
        <v>2035</v>
      </c>
      <c r="E4526" s="366" t="s">
        <v>1741</v>
      </c>
      <c r="F4526" s="366" t="s">
        <v>1749</v>
      </c>
      <c r="G4526" s="348" t="str">
        <f>"'"&amp;$C4526&amp;"'!rows 56, 63, 68"</f>
        <v>'BLD_PS'!rows 56, 63, 68</v>
      </c>
      <c r="H4526" s="381">
        <f ca="1">IF(IFERROR(INDEX(DATA_PROPERTY_MASTER!$E$5:$E$21,MATCH($C4526,DATA_PROPERTY_MASTER!$A$5:$A$21,0))="Yes",FALSE),(IFERROR(INDEX(INDIRECT("'"&amp;$C4526&amp;"'!$E$56:$Y$56"),1,MATCH($D4526,INDIRECT("'"&amp;$C4526&amp;"'!$E$12:$Y$12"),0)),0)+MAX(IFERROR(INDEX(INDIRECT("'"&amp;$C4526&amp;"'!$E$63:$Y$63"),1,MATCH($D4526,INDIRECT("'"&amp;$C4526&amp;"'!$E$12:$Y$12"),0)),0),0))-(IFERROR(INDEX(INDIRECT("'"&amp;$C4526&amp;"'!$E$68:$Y$68"),1,MATCH($D4526,INDIRECT("'"&amp;$C4526&amp;"'!$E$12:$Y$12"),0)),0)),0)</f>
        <v>0</v>
      </c>
      <c r="I4526" s="366" t="s">
        <v>1750</v>
      </c>
      <c r="J4526" s="348" t="str">
        <f t="shared" ca="1" si="140"/>
        <v>OK</v>
      </c>
      <c r="K4526" s="366" t="s">
        <v>1751</v>
      </c>
      <c r="L4526" s="366" t="s">
        <v>2266</v>
      </c>
      <c r="M4526" s="350" t="str">
        <f>IF($B4526="Portfolio","Portfolio",IFERROR(INDEX(DATA_ASSET_CLASSIFICATION!$B$8:$B$24,MATCH($C4526,DATA_ASSET_CLASSIFICATION!$A$8:$A$24,0)),"Review"))</f>
        <v>450 Pacific Street</v>
      </c>
      <c r="N4526" s="350" t="str">
        <f>IF($B4526="Portfolio","Portfolio",IFERROR(INDEX(DATA_ASSET_CLASSIFICATION!$U$8:$U$24,MATCH($C4526,DATA_ASSET_CLASSIFICATION!$A$8:$A$24,0)),"Review"))</f>
        <v>New Build</v>
      </c>
      <c r="O4526" s="350" t="str">
        <f>IF($B4526="Portfolio","Portfolio",IFERROR(INDEX(DATA_ASSET_CLASSIFICATION!$AB$8:$AB$13,MATCH($N4526,DATA_ASSET_CLASSIFICATION!$AA$8:$AA$13,0)),"Review"))</f>
        <v>Bucket 1 · New Build</v>
      </c>
      <c r="P4526" s="350" t="str">
        <f>IF($B4526="Portfolio","Portfolio",IFERROR(INDEX(DATA_ASSET_CLASSIFICATION!$C$8:$C$24,MATCH($C4526,DATA_ASSET_CLASSIFICATION!$A$8:$A$24,0)),"Review"))</f>
        <v>Yes</v>
      </c>
      <c r="Q4526" s="350" t="str">
        <f t="shared" ca="1" si="141"/>
        <v>OK</v>
      </c>
    </row>
    <row r="4527" spans="1:17">
      <c r="A4527" s="366" t="s">
        <v>6483</v>
      </c>
      <c r="B4527" s="366" t="s">
        <v>231</v>
      </c>
      <c r="C4527" s="348" t="str">
        <f>DATA_PROPERTY_MASTER!$A$19</f>
        <v>BLD_PS</v>
      </c>
      <c r="D4527" s="380">
        <f>'00_PORTFOLIO ROLLUP'!P$12</f>
        <v>2036</v>
      </c>
      <c r="E4527" s="366" t="s">
        <v>1683</v>
      </c>
      <c r="F4527" s="366" t="s">
        <v>341</v>
      </c>
      <c r="G4527" s="348" t="str">
        <f>"'"&amp;$C4527&amp;"'!$E$24:$Y$24"</f>
        <v>'BLD_PS'!$E$24:$Y$24</v>
      </c>
      <c r="H4527" s="381">
        <f ca="1">IF(IFERROR(INDEX(DATA_PROPERTY_MASTER!$E$5:$E$21,MATCH($C4527,DATA_PROPERTY_MASTER!$A$5:$A$21,0))="Yes",FALSE),IFERROR(INDEX(INDIRECT("'"&amp;$C4527&amp;"'!$E$24:$Y$24"),1,MATCH($D4527,INDIRECT("'"&amp;$C4527&amp;"'!$E$12:$Y$12"),0)),0),0)</f>
        <v>2081401.8108891698</v>
      </c>
      <c r="I4527" s="366" t="s">
        <v>1685</v>
      </c>
      <c r="J4527" s="348" t="str">
        <f t="shared" ca="1" si="140"/>
        <v>OK</v>
      </c>
      <c r="K4527" s="366" t="s">
        <v>1686</v>
      </c>
      <c r="L4527" s="366" t="s">
        <v>2234</v>
      </c>
      <c r="M4527" s="350" t="str">
        <f>IF($B4527="Portfolio","Portfolio",IFERROR(INDEX(DATA_ASSET_CLASSIFICATION!$B$8:$B$24,MATCH($C4527,DATA_ASSET_CLASSIFICATION!$A$8:$A$24,0)),"Review"))</f>
        <v>450 Pacific Street</v>
      </c>
      <c r="N4527" s="350" t="str">
        <f>IF($B4527="Portfolio","Portfolio",IFERROR(INDEX(DATA_ASSET_CLASSIFICATION!$U$8:$U$24,MATCH($C4527,DATA_ASSET_CLASSIFICATION!$A$8:$A$24,0)),"Review"))</f>
        <v>New Build</v>
      </c>
      <c r="O4527" s="350" t="str">
        <f>IF($B4527="Portfolio","Portfolio",IFERROR(INDEX(DATA_ASSET_CLASSIFICATION!$AB$8:$AB$13,MATCH($N4527,DATA_ASSET_CLASSIFICATION!$AA$8:$AA$13,0)),"Review"))</f>
        <v>Bucket 1 · New Build</v>
      </c>
      <c r="P4527" s="350" t="str">
        <f>IF($B4527="Portfolio","Portfolio",IFERROR(INDEX(DATA_ASSET_CLASSIFICATION!$C$8:$C$24,MATCH($C4527,DATA_ASSET_CLASSIFICATION!$A$8:$A$24,0)),"Review"))</f>
        <v>Yes</v>
      </c>
      <c r="Q4527" s="350" t="str">
        <f t="shared" ca="1" si="141"/>
        <v>OK</v>
      </c>
    </row>
    <row r="4528" spans="1:17">
      <c r="A4528" s="366" t="s">
        <v>6484</v>
      </c>
      <c r="B4528" s="366" t="s">
        <v>231</v>
      </c>
      <c r="C4528" s="348" t="str">
        <f>DATA_PROPERTY_MASTER!$A$19</f>
        <v>BLD_PS</v>
      </c>
      <c r="D4528" s="380">
        <f>'00_PORTFOLIO ROLLUP'!P$12</f>
        <v>2036</v>
      </c>
      <c r="E4528" s="366" t="s">
        <v>1683</v>
      </c>
      <c r="F4528" s="366" t="s">
        <v>355</v>
      </c>
      <c r="G4528" s="348" t="str">
        <f>"'"&amp;$C4528&amp;"'!$E$39:$Y$39"</f>
        <v>'BLD_PS'!$E$39:$Y$39</v>
      </c>
      <c r="H4528" s="381">
        <f ca="1">IF(IFERROR(INDEX(DATA_PROPERTY_MASTER!$E$5:$E$21,MATCH($C4528,DATA_PROPERTY_MASTER!$A$5:$A$21,0))="Yes",FALSE),IFERROR(INDEX(INDIRECT("'"&amp;$C4528&amp;"'!$E$39:$Y$39"),1,MATCH($D4528,INDIRECT("'"&amp;$C4528&amp;"'!$E$12:$Y$12"),0)),0),0)</f>
        <v>1025600.4291147785</v>
      </c>
      <c r="I4528" s="366" t="s">
        <v>1690</v>
      </c>
      <c r="J4528" s="348" t="str">
        <f t="shared" ca="1" si="140"/>
        <v>OK</v>
      </c>
      <c r="K4528" s="366" t="s">
        <v>1686</v>
      </c>
      <c r="L4528" s="366" t="s">
        <v>2236</v>
      </c>
      <c r="M4528" s="350" t="str">
        <f>IF($B4528="Portfolio","Portfolio",IFERROR(INDEX(DATA_ASSET_CLASSIFICATION!$B$8:$B$24,MATCH($C4528,DATA_ASSET_CLASSIFICATION!$A$8:$A$24,0)),"Review"))</f>
        <v>450 Pacific Street</v>
      </c>
      <c r="N4528" s="350" t="str">
        <f>IF($B4528="Portfolio","Portfolio",IFERROR(INDEX(DATA_ASSET_CLASSIFICATION!$U$8:$U$24,MATCH($C4528,DATA_ASSET_CLASSIFICATION!$A$8:$A$24,0)),"Review"))</f>
        <v>New Build</v>
      </c>
      <c r="O4528" s="350" t="str">
        <f>IF($B4528="Portfolio","Portfolio",IFERROR(INDEX(DATA_ASSET_CLASSIFICATION!$AB$8:$AB$13,MATCH($N4528,DATA_ASSET_CLASSIFICATION!$AA$8:$AA$13,0)),"Review"))</f>
        <v>Bucket 1 · New Build</v>
      </c>
      <c r="P4528" s="350" t="str">
        <f>IF($B4528="Portfolio","Portfolio",IFERROR(INDEX(DATA_ASSET_CLASSIFICATION!$C$8:$C$24,MATCH($C4528,DATA_ASSET_CLASSIFICATION!$A$8:$A$24,0)),"Review"))</f>
        <v>Yes</v>
      </c>
      <c r="Q4528" s="350" t="str">
        <f t="shared" ca="1" si="141"/>
        <v>OK</v>
      </c>
    </row>
    <row r="4529" spans="1:17">
      <c r="A4529" s="366" t="s">
        <v>6485</v>
      </c>
      <c r="B4529" s="366" t="s">
        <v>231</v>
      </c>
      <c r="C4529" s="348" t="str">
        <f>DATA_PROPERTY_MASTER!$A$19</f>
        <v>BLD_PS</v>
      </c>
      <c r="D4529" s="380">
        <f>'00_PORTFOLIO ROLLUP'!P$12</f>
        <v>2036</v>
      </c>
      <c r="E4529" s="366" t="s">
        <v>1683</v>
      </c>
      <c r="F4529" s="366" t="s">
        <v>19</v>
      </c>
      <c r="G4529" s="348" t="str">
        <f>"'"&amp;$C4529&amp;"'!$E$41:$Y$41"</f>
        <v>'BLD_PS'!$E$41:$Y$41</v>
      </c>
      <c r="H4529" s="381">
        <f ca="1">IF(IFERROR(INDEX(DATA_PROPERTY_MASTER!$E$5:$E$21,MATCH($C4529,DATA_PROPERTY_MASTER!$A$5:$A$21,0))="Yes",FALSE),IFERROR(INDEX(INDIRECT("'"&amp;$C4529&amp;"'!$E$41:$Y$41"),1,MATCH($D4529,INDIRECT("'"&amp;$C4529&amp;"'!$E$12:$Y$12"),0)),0),0)</f>
        <v>1055801.3817743913</v>
      </c>
      <c r="I4529" s="366" t="s">
        <v>1685</v>
      </c>
      <c r="J4529" s="348" t="str">
        <f t="shared" ca="1" si="140"/>
        <v>OK</v>
      </c>
      <c r="K4529" s="366" t="s">
        <v>1694</v>
      </c>
      <c r="L4529" s="366" t="s">
        <v>2238</v>
      </c>
      <c r="M4529" s="350" t="str">
        <f>IF($B4529="Portfolio","Portfolio",IFERROR(INDEX(DATA_ASSET_CLASSIFICATION!$B$8:$B$24,MATCH($C4529,DATA_ASSET_CLASSIFICATION!$A$8:$A$24,0)),"Review"))</f>
        <v>450 Pacific Street</v>
      </c>
      <c r="N4529" s="350" t="str">
        <f>IF($B4529="Portfolio","Portfolio",IFERROR(INDEX(DATA_ASSET_CLASSIFICATION!$U$8:$U$24,MATCH($C4529,DATA_ASSET_CLASSIFICATION!$A$8:$A$24,0)),"Review"))</f>
        <v>New Build</v>
      </c>
      <c r="O4529" s="350" t="str">
        <f>IF($B4529="Portfolio","Portfolio",IFERROR(INDEX(DATA_ASSET_CLASSIFICATION!$AB$8:$AB$13,MATCH($N4529,DATA_ASSET_CLASSIFICATION!$AA$8:$AA$13,0)),"Review"))</f>
        <v>Bucket 1 · New Build</v>
      </c>
      <c r="P4529" s="350" t="str">
        <f>IF($B4529="Portfolio","Portfolio",IFERROR(INDEX(DATA_ASSET_CLASSIFICATION!$C$8:$C$24,MATCH($C4529,DATA_ASSET_CLASSIFICATION!$A$8:$A$24,0)),"Review"))</f>
        <v>Yes</v>
      </c>
      <c r="Q4529" s="350" t="str">
        <f t="shared" ca="1" si="141"/>
        <v>OK</v>
      </c>
    </row>
    <row r="4530" spans="1:17">
      <c r="A4530" s="366" t="s">
        <v>6486</v>
      </c>
      <c r="B4530" s="366" t="s">
        <v>231</v>
      </c>
      <c r="C4530" s="348" t="str">
        <f>DATA_PROPERTY_MASTER!$A$19</f>
        <v>BLD_PS</v>
      </c>
      <c r="D4530" s="380">
        <f>'00_PORTFOLIO ROLLUP'!P$12</f>
        <v>2036</v>
      </c>
      <c r="E4530" s="366" t="s">
        <v>1683</v>
      </c>
      <c r="F4530" s="366" t="s">
        <v>1697</v>
      </c>
      <c r="G4530" s="348" t="str">
        <f>"'"&amp;$C4530&amp;"'!$E$44:$Y$44"</f>
        <v>'BLD_PS'!$E$44:$Y$44</v>
      </c>
      <c r="H4530" s="381">
        <f ca="1">IF(IFERROR(INDEX(DATA_PROPERTY_MASTER!$E$5:$E$21,MATCH($C4530,DATA_PROPERTY_MASTER!$A$5:$A$21,0))="Yes",FALSE),IFERROR(INDEX(INDIRECT("'"&amp;$C4530&amp;"'!$E$44:$Y$44"),1,MATCH($D4530,INDIRECT("'"&amp;$C4530&amp;"'!$E$12:$Y$12"),0)),0),0)</f>
        <v>16972.059309586999</v>
      </c>
      <c r="I4530" s="366" t="s">
        <v>1690</v>
      </c>
      <c r="J4530" s="348" t="str">
        <f t="shared" ca="1" si="140"/>
        <v>OK</v>
      </c>
      <c r="K4530" s="366" t="s">
        <v>1699</v>
      </c>
      <c r="L4530" s="366" t="s">
        <v>2240</v>
      </c>
      <c r="M4530" s="350" t="str">
        <f>IF($B4530="Portfolio","Portfolio",IFERROR(INDEX(DATA_ASSET_CLASSIFICATION!$B$8:$B$24,MATCH($C4530,DATA_ASSET_CLASSIFICATION!$A$8:$A$24,0)),"Review"))</f>
        <v>450 Pacific Street</v>
      </c>
      <c r="N4530" s="350" t="str">
        <f>IF($B4530="Portfolio","Portfolio",IFERROR(INDEX(DATA_ASSET_CLASSIFICATION!$U$8:$U$24,MATCH($C4530,DATA_ASSET_CLASSIFICATION!$A$8:$A$24,0)),"Review"))</f>
        <v>New Build</v>
      </c>
      <c r="O4530" s="350" t="str">
        <f>IF($B4530="Portfolio","Portfolio",IFERROR(INDEX(DATA_ASSET_CLASSIFICATION!$AB$8:$AB$13,MATCH($N4530,DATA_ASSET_CLASSIFICATION!$AA$8:$AA$13,0)),"Review"))</f>
        <v>Bucket 1 · New Build</v>
      </c>
      <c r="P4530" s="350" t="str">
        <f>IF($B4530="Portfolio","Portfolio",IFERROR(INDEX(DATA_ASSET_CLASSIFICATION!$C$8:$C$24,MATCH($C4530,DATA_ASSET_CLASSIFICATION!$A$8:$A$24,0)),"Review"))</f>
        <v>Yes</v>
      </c>
      <c r="Q4530" s="350" t="str">
        <f t="shared" ca="1" si="141"/>
        <v>OK</v>
      </c>
    </row>
    <row r="4531" spans="1:17">
      <c r="A4531" s="366" t="s">
        <v>6487</v>
      </c>
      <c r="B4531" s="366" t="s">
        <v>231</v>
      </c>
      <c r="C4531" s="348" t="str">
        <f>DATA_PROPERTY_MASTER!$A$19</f>
        <v>BLD_PS</v>
      </c>
      <c r="D4531" s="380">
        <f>'00_PORTFOLIO ROLLUP'!P$12</f>
        <v>2036</v>
      </c>
      <c r="E4531" s="366" t="s">
        <v>1683</v>
      </c>
      <c r="F4531" s="366" t="s">
        <v>21</v>
      </c>
      <c r="G4531" s="348" t="str">
        <f>"'"&amp;$C4531&amp;"'!$E$45:$Y$45"</f>
        <v>'BLD_PS'!$E$45:$Y$45</v>
      </c>
      <c r="H4531" s="381">
        <f ca="1">IF(IFERROR(INDEX(DATA_PROPERTY_MASTER!$E$5:$E$21,MATCH($C4531,DATA_PROPERTY_MASTER!$A$5:$A$21,0))="Yes",FALSE),IFERROR(INDEX(INDIRECT("'"&amp;$C4531&amp;"'!$E$45:$Y$45"),1,MATCH($D4531,INDIRECT("'"&amp;$C4531&amp;"'!$E$12:$Y$12"),0)),0),0)</f>
        <v>1038829.3224648043</v>
      </c>
      <c r="I4531" s="366" t="s">
        <v>1685</v>
      </c>
      <c r="J4531" s="348" t="str">
        <f t="shared" ca="1" si="140"/>
        <v>OK</v>
      </c>
      <c r="K4531" s="366" t="s">
        <v>1694</v>
      </c>
      <c r="L4531" s="366" t="s">
        <v>2242</v>
      </c>
      <c r="M4531" s="350" t="str">
        <f>IF($B4531="Portfolio","Portfolio",IFERROR(INDEX(DATA_ASSET_CLASSIFICATION!$B$8:$B$24,MATCH($C4531,DATA_ASSET_CLASSIFICATION!$A$8:$A$24,0)),"Review"))</f>
        <v>450 Pacific Street</v>
      </c>
      <c r="N4531" s="350" t="str">
        <f>IF($B4531="Portfolio","Portfolio",IFERROR(INDEX(DATA_ASSET_CLASSIFICATION!$U$8:$U$24,MATCH($C4531,DATA_ASSET_CLASSIFICATION!$A$8:$A$24,0)),"Review"))</f>
        <v>New Build</v>
      </c>
      <c r="O4531" s="350" t="str">
        <f>IF($B4531="Portfolio","Portfolio",IFERROR(INDEX(DATA_ASSET_CLASSIFICATION!$AB$8:$AB$13,MATCH($N4531,DATA_ASSET_CLASSIFICATION!$AA$8:$AA$13,0)),"Review"))</f>
        <v>Bucket 1 · New Build</v>
      </c>
      <c r="P4531" s="350" t="str">
        <f>IF($B4531="Portfolio","Portfolio",IFERROR(INDEX(DATA_ASSET_CLASSIFICATION!$C$8:$C$24,MATCH($C4531,DATA_ASSET_CLASSIFICATION!$A$8:$A$24,0)),"Review"))</f>
        <v>Yes</v>
      </c>
      <c r="Q4531" s="350" t="str">
        <f t="shared" ca="1" si="141"/>
        <v>OK</v>
      </c>
    </row>
    <row r="4532" spans="1:17">
      <c r="A4532" s="366" t="s">
        <v>6488</v>
      </c>
      <c r="B4532" s="366" t="s">
        <v>231</v>
      </c>
      <c r="C4532" s="348" t="str">
        <f>DATA_PROPERTY_MASTER!$A$19</f>
        <v>BLD_PS</v>
      </c>
      <c r="D4532" s="380">
        <f>'00_PORTFOLIO ROLLUP'!P$12</f>
        <v>2036</v>
      </c>
      <c r="E4532" s="366" t="s">
        <v>23</v>
      </c>
      <c r="F4532" s="366" t="s">
        <v>23</v>
      </c>
      <c r="G4532" s="348" t="str">
        <f>"'"&amp;$C4532&amp;"'!$E$48:$Y$48"</f>
        <v>'BLD_PS'!$E$48:$Y$48</v>
      </c>
      <c r="H4532" s="381">
        <f ca="1">IF(IFERROR(INDEX(DATA_PROPERTY_MASTER!$E$5:$E$21,MATCH($C4532,DATA_PROPERTY_MASTER!$A$5:$A$21,0))="Yes",FALSE),IFERROR(INDEX(INDIRECT("'"&amp;$C4532&amp;"'!$E$48:$Y$48"),1,MATCH($D4532,INDIRECT("'"&amp;$C4532&amp;"'!$E$12:$Y$12"),0)),0),0)</f>
        <v>667460.46017404622</v>
      </c>
      <c r="I4532" s="366" t="s">
        <v>1690</v>
      </c>
      <c r="J4532" s="348" t="str">
        <f t="shared" ca="1" si="140"/>
        <v>OK</v>
      </c>
      <c r="K4532" s="366" t="s">
        <v>1706</v>
      </c>
      <c r="L4532" s="366" t="s">
        <v>2244</v>
      </c>
      <c r="M4532" s="350" t="str">
        <f>IF($B4532="Portfolio","Portfolio",IFERROR(INDEX(DATA_ASSET_CLASSIFICATION!$B$8:$B$24,MATCH($C4532,DATA_ASSET_CLASSIFICATION!$A$8:$A$24,0)),"Review"))</f>
        <v>450 Pacific Street</v>
      </c>
      <c r="N4532" s="350" t="str">
        <f>IF($B4532="Portfolio","Portfolio",IFERROR(INDEX(DATA_ASSET_CLASSIFICATION!$U$8:$U$24,MATCH($C4532,DATA_ASSET_CLASSIFICATION!$A$8:$A$24,0)),"Review"))</f>
        <v>New Build</v>
      </c>
      <c r="O4532" s="350" t="str">
        <f>IF($B4532="Portfolio","Portfolio",IFERROR(INDEX(DATA_ASSET_CLASSIFICATION!$AB$8:$AB$13,MATCH($N4532,DATA_ASSET_CLASSIFICATION!$AA$8:$AA$13,0)),"Review"))</f>
        <v>Bucket 1 · New Build</v>
      </c>
      <c r="P4532" s="350" t="str">
        <f>IF($B4532="Portfolio","Portfolio",IFERROR(INDEX(DATA_ASSET_CLASSIFICATION!$C$8:$C$24,MATCH($C4532,DATA_ASSET_CLASSIFICATION!$A$8:$A$24,0)),"Review"))</f>
        <v>Yes</v>
      </c>
      <c r="Q4532" s="350" t="str">
        <f t="shared" ca="1" si="141"/>
        <v>OK</v>
      </c>
    </row>
    <row r="4533" spans="1:17">
      <c r="A4533" s="366" t="s">
        <v>6489</v>
      </c>
      <c r="B4533" s="366" t="s">
        <v>231</v>
      </c>
      <c r="C4533" s="348" t="str">
        <f>DATA_PROPERTY_MASTER!$A$19</f>
        <v>BLD_PS</v>
      </c>
      <c r="D4533" s="380">
        <f>'00_PORTFOLIO ROLLUP'!P$12</f>
        <v>2036</v>
      </c>
      <c r="E4533" s="366" t="s">
        <v>1683</v>
      </c>
      <c r="F4533" s="366" t="s">
        <v>25</v>
      </c>
      <c r="G4533" s="348" t="str">
        <f>"'"&amp;$C4533&amp;"'!$E$52:$Y$52"</f>
        <v>'BLD_PS'!$E$52:$Y$52</v>
      </c>
      <c r="H4533" s="381">
        <f ca="1">IF(IFERROR(INDEX(DATA_PROPERTY_MASTER!$E$5:$E$21,MATCH($C4533,DATA_PROPERTY_MASTER!$A$5:$A$21,0))="Yes",FALSE),IFERROR(INDEX(INDIRECT("'"&amp;$C4533&amp;"'!$E$52:$Y$52"),1,MATCH($D4533,INDIRECT("'"&amp;$C4533&amp;"'!$E$12:$Y$12"),0)),0),0)</f>
        <v>388340.92160034506</v>
      </c>
      <c r="I4533" s="366" t="s">
        <v>1685</v>
      </c>
      <c r="J4533" s="348" t="str">
        <f t="shared" ca="1" si="140"/>
        <v>OK</v>
      </c>
      <c r="K4533" s="366" t="s">
        <v>1710</v>
      </c>
      <c r="L4533" s="366" t="s">
        <v>2246</v>
      </c>
      <c r="M4533" s="350" t="str">
        <f>IF($B4533="Portfolio","Portfolio",IFERROR(INDEX(DATA_ASSET_CLASSIFICATION!$B$8:$B$24,MATCH($C4533,DATA_ASSET_CLASSIFICATION!$A$8:$A$24,0)),"Review"))</f>
        <v>450 Pacific Street</v>
      </c>
      <c r="N4533" s="350" t="str">
        <f>IF($B4533="Portfolio","Portfolio",IFERROR(INDEX(DATA_ASSET_CLASSIFICATION!$U$8:$U$24,MATCH($C4533,DATA_ASSET_CLASSIFICATION!$A$8:$A$24,0)),"Review"))</f>
        <v>New Build</v>
      </c>
      <c r="O4533" s="350" t="str">
        <f>IF($B4533="Portfolio","Portfolio",IFERROR(INDEX(DATA_ASSET_CLASSIFICATION!$AB$8:$AB$13,MATCH($N4533,DATA_ASSET_CLASSIFICATION!$AA$8:$AA$13,0)),"Review"))</f>
        <v>Bucket 1 · New Build</v>
      </c>
      <c r="P4533" s="350" t="str">
        <f>IF($B4533="Portfolio","Portfolio",IFERROR(INDEX(DATA_ASSET_CLASSIFICATION!$C$8:$C$24,MATCH($C4533,DATA_ASSET_CLASSIFICATION!$A$8:$A$24,0)),"Review"))</f>
        <v>Yes</v>
      </c>
      <c r="Q4533" s="350" t="str">
        <f t="shared" ca="1" si="141"/>
        <v>OK</v>
      </c>
    </row>
    <row r="4534" spans="1:17">
      <c r="A4534" s="366" t="s">
        <v>6490</v>
      </c>
      <c r="B4534" s="366" t="s">
        <v>231</v>
      </c>
      <c r="C4534" s="348" t="str">
        <f>DATA_PROPERTY_MASTER!$A$19</f>
        <v>BLD_PS</v>
      </c>
      <c r="D4534" s="380">
        <f>'00_PORTFOLIO ROLLUP'!P$12</f>
        <v>2036</v>
      </c>
      <c r="E4534" s="366" t="s">
        <v>1683</v>
      </c>
      <c r="F4534" s="366" t="s">
        <v>27</v>
      </c>
      <c r="G4534" s="348" t="str">
        <f>"'"&amp;$C4534&amp;"'!$E$54:$Y$54"</f>
        <v>'BLD_PS'!$E$54:$Y$54</v>
      </c>
      <c r="H4534" s="381">
        <f ca="1">IF(IFERROR(INDEX(DATA_PROPERTY_MASTER!$E$5:$E$21,MATCH($C4534,DATA_PROPERTY_MASTER!$A$5:$A$21,0))="Yes",FALSE),IFERROR(INDEX(INDIRECT("'"&amp;$C4534&amp;"'!$E$54:$Y$54"),1,MATCH($D4534,INDIRECT("'"&amp;$C4534&amp;"'!$E$12:$Y$12"),0)),0),0)</f>
        <v>233004.55296020702</v>
      </c>
      <c r="I4534" s="366" t="s">
        <v>1690</v>
      </c>
      <c r="J4534" s="348" t="str">
        <f t="shared" ca="1" si="140"/>
        <v>OK</v>
      </c>
      <c r="K4534" s="366" t="s">
        <v>1714</v>
      </c>
      <c r="L4534" s="366" t="s">
        <v>2248</v>
      </c>
      <c r="M4534" s="350" t="str">
        <f>IF($B4534="Portfolio","Portfolio",IFERROR(INDEX(DATA_ASSET_CLASSIFICATION!$B$8:$B$24,MATCH($C4534,DATA_ASSET_CLASSIFICATION!$A$8:$A$24,0)),"Review"))</f>
        <v>450 Pacific Street</v>
      </c>
      <c r="N4534" s="350" t="str">
        <f>IF($B4534="Portfolio","Portfolio",IFERROR(INDEX(DATA_ASSET_CLASSIFICATION!$U$8:$U$24,MATCH($C4534,DATA_ASSET_CLASSIFICATION!$A$8:$A$24,0)),"Review"))</f>
        <v>New Build</v>
      </c>
      <c r="O4534" s="350" t="str">
        <f>IF($B4534="Portfolio","Portfolio",IFERROR(INDEX(DATA_ASSET_CLASSIFICATION!$AB$8:$AB$13,MATCH($N4534,DATA_ASSET_CLASSIFICATION!$AA$8:$AA$13,0)),"Review"))</f>
        <v>Bucket 1 · New Build</v>
      </c>
      <c r="P4534" s="350" t="str">
        <f>IF($B4534="Portfolio","Portfolio",IFERROR(INDEX(DATA_ASSET_CLASSIFICATION!$C$8:$C$24,MATCH($C4534,DATA_ASSET_CLASSIFICATION!$A$8:$A$24,0)),"Review"))</f>
        <v>Yes</v>
      </c>
      <c r="Q4534" s="350" t="str">
        <f t="shared" ca="1" si="141"/>
        <v>OK</v>
      </c>
    </row>
    <row r="4535" spans="1:17">
      <c r="A4535" s="366" t="s">
        <v>6491</v>
      </c>
      <c r="B4535" s="366" t="s">
        <v>231</v>
      </c>
      <c r="C4535" s="348" t="str">
        <f>DATA_PROPERTY_MASTER!$A$19</f>
        <v>BLD_PS</v>
      </c>
      <c r="D4535" s="380">
        <f>'00_PORTFOLIO ROLLUP'!P$12</f>
        <v>2036</v>
      </c>
      <c r="E4535" s="366" t="s">
        <v>1683</v>
      </c>
      <c r="F4535" s="366" t="s">
        <v>29</v>
      </c>
      <c r="G4535" s="348" t="str">
        <f>"'"&amp;$C4535&amp;"'!$E$56:$Y$56"</f>
        <v>'BLD_PS'!$E$56:$Y$56</v>
      </c>
      <c r="H4535" s="381">
        <f ca="1">IF(IFERROR(INDEX(DATA_PROPERTY_MASTER!$E$5:$E$21,MATCH($C4535,DATA_PROPERTY_MASTER!$A$5:$A$21,0))="Yes",FALSE),IFERROR(INDEX(INDIRECT("'"&amp;$C4535&amp;"'!$E$56:$Y$56"),1,MATCH($D4535,INDIRECT("'"&amp;$C4535&amp;"'!$E$12:$Y$12"),0)),0),0)</f>
        <v>155336.36864013804</v>
      </c>
      <c r="I4535" s="366" t="s">
        <v>1685</v>
      </c>
      <c r="J4535" s="348" t="str">
        <f t="shared" ca="1" si="140"/>
        <v>OK</v>
      </c>
      <c r="K4535" s="366" t="s">
        <v>1718</v>
      </c>
      <c r="L4535" s="366" t="s">
        <v>2250</v>
      </c>
      <c r="M4535" s="350" t="str">
        <f>IF($B4535="Portfolio","Portfolio",IFERROR(INDEX(DATA_ASSET_CLASSIFICATION!$B$8:$B$24,MATCH($C4535,DATA_ASSET_CLASSIFICATION!$A$8:$A$24,0)),"Review"))</f>
        <v>450 Pacific Street</v>
      </c>
      <c r="N4535" s="350" t="str">
        <f>IF($B4535="Portfolio","Portfolio",IFERROR(INDEX(DATA_ASSET_CLASSIFICATION!$U$8:$U$24,MATCH($C4535,DATA_ASSET_CLASSIFICATION!$A$8:$A$24,0)),"Review"))</f>
        <v>New Build</v>
      </c>
      <c r="O4535" s="350" t="str">
        <f>IF($B4535="Portfolio","Portfolio",IFERROR(INDEX(DATA_ASSET_CLASSIFICATION!$AB$8:$AB$13,MATCH($N4535,DATA_ASSET_CLASSIFICATION!$AA$8:$AA$13,0)),"Review"))</f>
        <v>Bucket 1 · New Build</v>
      </c>
      <c r="P4535" s="350" t="str">
        <f>IF($B4535="Portfolio","Portfolio",IFERROR(INDEX(DATA_ASSET_CLASSIFICATION!$C$8:$C$24,MATCH($C4535,DATA_ASSET_CLASSIFICATION!$A$8:$A$24,0)),"Review"))</f>
        <v>Yes</v>
      </c>
      <c r="Q4535" s="350" t="str">
        <f t="shared" ca="1" si="141"/>
        <v>OK</v>
      </c>
    </row>
    <row r="4536" spans="1:17">
      <c r="A4536" s="366" t="s">
        <v>6492</v>
      </c>
      <c r="B4536" s="366" t="s">
        <v>231</v>
      </c>
      <c r="C4536" s="348" t="str">
        <f>DATA_PROPERTY_MASTER!$A$19</f>
        <v>BLD_PS</v>
      </c>
      <c r="D4536" s="380">
        <f>'00_PORTFOLIO ROLLUP'!P$12</f>
        <v>2036</v>
      </c>
      <c r="E4536" s="366" t="s">
        <v>1721</v>
      </c>
      <c r="F4536" s="366" t="s">
        <v>31</v>
      </c>
      <c r="G4536" s="348" t="str">
        <f>"'"&amp;$C4536&amp;"'!$E$61:$Y$61"</f>
        <v>'BLD_PS'!$E$61:$Y$61</v>
      </c>
      <c r="H4536" s="381">
        <f ca="1">IF(IFERROR(INDEX(DATA_PROPERTY_MASTER!$E$5:$E$21,MATCH($C4536,DATA_PROPERTY_MASTER!$A$5:$A$21,0))="Yes",FALSE),IFERROR(INDEX(INDIRECT("'"&amp;$C4536&amp;"'!$E$61:$Y$61"),1,MATCH($D4536,INDIRECT("'"&amp;$C4536&amp;"'!$E$12:$Y$12"),0)),0),0)</f>
        <v>0</v>
      </c>
      <c r="I4536" s="366" t="s">
        <v>1690</v>
      </c>
      <c r="J4536" s="348" t="str">
        <f t="shared" ca="1" si="140"/>
        <v>OK</v>
      </c>
      <c r="K4536" s="366" t="s">
        <v>1723</v>
      </c>
      <c r="L4536" s="366" t="s">
        <v>2252</v>
      </c>
      <c r="M4536" s="350" t="str">
        <f>IF($B4536="Portfolio","Portfolio",IFERROR(INDEX(DATA_ASSET_CLASSIFICATION!$B$8:$B$24,MATCH($C4536,DATA_ASSET_CLASSIFICATION!$A$8:$A$24,0)),"Review"))</f>
        <v>450 Pacific Street</v>
      </c>
      <c r="N4536" s="350" t="str">
        <f>IF($B4536="Portfolio","Portfolio",IFERROR(INDEX(DATA_ASSET_CLASSIFICATION!$U$8:$U$24,MATCH($C4536,DATA_ASSET_CLASSIFICATION!$A$8:$A$24,0)),"Review"))</f>
        <v>New Build</v>
      </c>
      <c r="O4536" s="350" t="str">
        <f>IF($B4536="Portfolio","Portfolio",IFERROR(INDEX(DATA_ASSET_CLASSIFICATION!$AB$8:$AB$13,MATCH($N4536,DATA_ASSET_CLASSIFICATION!$AA$8:$AA$13,0)),"Review"))</f>
        <v>Bucket 1 · New Build</v>
      </c>
      <c r="P4536" s="350" t="str">
        <f>IF($B4536="Portfolio","Portfolio",IFERROR(INDEX(DATA_ASSET_CLASSIFICATION!$C$8:$C$24,MATCH($C4536,DATA_ASSET_CLASSIFICATION!$A$8:$A$24,0)),"Review"))</f>
        <v>Yes</v>
      </c>
      <c r="Q4536" s="350" t="str">
        <f t="shared" ca="1" si="141"/>
        <v>OK</v>
      </c>
    </row>
    <row r="4537" spans="1:17">
      <c r="A4537" s="366" t="s">
        <v>6493</v>
      </c>
      <c r="B4537" s="366" t="s">
        <v>231</v>
      </c>
      <c r="C4537" s="348" t="str">
        <f>DATA_PROPERTY_MASTER!$A$19</f>
        <v>BLD_PS</v>
      </c>
      <c r="D4537" s="380">
        <f>'00_PORTFOLIO ROLLUP'!P$12</f>
        <v>2036</v>
      </c>
      <c r="E4537" s="366" t="s">
        <v>1721</v>
      </c>
      <c r="F4537" s="366" t="s">
        <v>33</v>
      </c>
      <c r="G4537" s="348" t="str">
        <f>"'"&amp;$C4537&amp;"'!$E$62:$Y$62"</f>
        <v>'BLD_PS'!$E$62:$Y$62</v>
      </c>
      <c r="H4537" s="381">
        <f ca="1">IF(IFERROR(INDEX(DATA_PROPERTY_MASTER!$E$5:$E$21,MATCH($C4537,DATA_PROPERTY_MASTER!$A$5:$A$21,0))="Yes",FALSE),IFERROR(INDEX(INDIRECT("'"&amp;$C4537&amp;"'!$E$62:$Y$62"),1,MATCH($D4537,INDIRECT("'"&amp;$C4537&amp;"'!$E$12:$Y$12"),0)),0),0)</f>
        <v>0</v>
      </c>
      <c r="I4537" s="366" t="s">
        <v>1685</v>
      </c>
      <c r="J4537" s="348" t="str">
        <f t="shared" ca="1" si="140"/>
        <v>OK</v>
      </c>
      <c r="K4537" s="366" t="s">
        <v>1727</v>
      </c>
      <c r="L4537" s="366" t="s">
        <v>2254</v>
      </c>
      <c r="M4537" s="350" t="str">
        <f>IF($B4537="Portfolio","Portfolio",IFERROR(INDEX(DATA_ASSET_CLASSIFICATION!$B$8:$B$24,MATCH($C4537,DATA_ASSET_CLASSIFICATION!$A$8:$A$24,0)),"Review"))</f>
        <v>450 Pacific Street</v>
      </c>
      <c r="N4537" s="350" t="str">
        <f>IF($B4537="Portfolio","Portfolio",IFERROR(INDEX(DATA_ASSET_CLASSIFICATION!$U$8:$U$24,MATCH($C4537,DATA_ASSET_CLASSIFICATION!$A$8:$A$24,0)),"Review"))</f>
        <v>New Build</v>
      </c>
      <c r="O4537" s="350" t="str">
        <f>IF($B4537="Portfolio","Portfolio",IFERROR(INDEX(DATA_ASSET_CLASSIFICATION!$AB$8:$AB$13,MATCH($N4537,DATA_ASSET_CLASSIFICATION!$AA$8:$AA$13,0)),"Review"))</f>
        <v>Bucket 1 · New Build</v>
      </c>
      <c r="P4537" s="350" t="str">
        <f>IF($B4537="Portfolio","Portfolio",IFERROR(INDEX(DATA_ASSET_CLASSIFICATION!$C$8:$C$24,MATCH($C4537,DATA_ASSET_CLASSIFICATION!$A$8:$A$24,0)),"Review"))</f>
        <v>Yes</v>
      </c>
      <c r="Q4537" s="350" t="str">
        <f t="shared" ca="1" si="141"/>
        <v>OK</v>
      </c>
    </row>
    <row r="4538" spans="1:17">
      <c r="A4538" s="366" t="s">
        <v>6494</v>
      </c>
      <c r="B4538" s="366" t="s">
        <v>231</v>
      </c>
      <c r="C4538" s="348" t="str">
        <f>DATA_PROPERTY_MASTER!$A$19</f>
        <v>BLD_PS</v>
      </c>
      <c r="D4538" s="380">
        <f>'00_PORTFOLIO ROLLUP'!P$12</f>
        <v>2036</v>
      </c>
      <c r="E4538" s="366" t="s">
        <v>1721</v>
      </c>
      <c r="F4538" s="366" t="s">
        <v>35</v>
      </c>
      <c r="G4538" s="348" t="str">
        <f>"'"&amp;$C4538&amp;"'!$E$63:$Y$63"</f>
        <v>'BLD_PS'!$E$63:$Y$63</v>
      </c>
      <c r="H4538" s="381">
        <f ca="1">IF(IFERROR(INDEX(DATA_PROPERTY_MASTER!$E$5:$E$21,MATCH($C4538,DATA_PROPERTY_MASTER!$A$5:$A$21,0))="Yes",FALSE),IFERROR(INDEX(INDIRECT("'"&amp;$C4538&amp;"'!$E$63:$Y$63"),1,MATCH($D4538,INDIRECT("'"&amp;$C4538&amp;"'!$E$12:$Y$12"),0)),0),0)</f>
        <v>0</v>
      </c>
      <c r="I4538" s="366" t="s">
        <v>1731</v>
      </c>
      <c r="J4538" s="348" t="str">
        <f t="shared" ca="1" si="140"/>
        <v>OK</v>
      </c>
      <c r="K4538" s="366" t="s">
        <v>1732</v>
      </c>
      <c r="L4538" s="366" t="s">
        <v>2256</v>
      </c>
      <c r="M4538" s="350" t="str">
        <f>IF($B4538="Portfolio","Portfolio",IFERROR(INDEX(DATA_ASSET_CLASSIFICATION!$B$8:$B$24,MATCH($C4538,DATA_ASSET_CLASSIFICATION!$A$8:$A$24,0)),"Review"))</f>
        <v>450 Pacific Street</v>
      </c>
      <c r="N4538" s="350" t="str">
        <f>IF($B4538="Portfolio","Portfolio",IFERROR(INDEX(DATA_ASSET_CLASSIFICATION!$U$8:$U$24,MATCH($C4538,DATA_ASSET_CLASSIFICATION!$A$8:$A$24,0)),"Review"))</f>
        <v>New Build</v>
      </c>
      <c r="O4538" s="350" t="str">
        <f>IF($B4538="Portfolio","Portfolio",IFERROR(INDEX(DATA_ASSET_CLASSIFICATION!$AB$8:$AB$13,MATCH($N4538,DATA_ASSET_CLASSIFICATION!$AA$8:$AA$13,0)),"Review"))</f>
        <v>Bucket 1 · New Build</v>
      </c>
      <c r="P4538" s="350" t="str">
        <f>IF($B4538="Portfolio","Portfolio",IFERROR(INDEX(DATA_ASSET_CLASSIFICATION!$C$8:$C$24,MATCH($C4538,DATA_ASSET_CLASSIFICATION!$A$8:$A$24,0)),"Review"))</f>
        <v>Yes</v>
      </c>
      <c r="Q4538" s="350" t="str">
        <f t="shared" ca="1" si="141"/>
        <v>OK</v>
      </c>
    </row>
    <row r="4539" spans="1:17">
      <c r="A4539" s="366" t="s">
        <v>6495</v>
      </c>
      <c r="B4539" s="366" t="s">
        <v>231</v>
      </c>
      <c r="C4539" s="348" t="str">
        <f>DATA_PROPERTY_MASTER!$A$19</f>
        <v>BLD_PS</v>
      </c>
      <c r="D4539" s="380">
        <f>'00_PORTFOLIO ROLLUP'!P$12</f>
        <v>2036</v>
      </c>
      <c r="E4539" s="366" t="s">
        <v>1721</v>
      </c>
      <c r="F4539" s="366" t="s">
        <v>37</v>
      </c>
      <c r="G4539" s="348" t="str">
        <f>"'"&amp;$C4539&amp;"'!$E$63:$Y$63"</f>
        <v>'BLD_PS'!$E$63:$Y$63</v>
      </c>
      <c r="H4539" s="381">
        <f ca="1">IF(IFERROR(INDEX(DATA_PROPERTY_MASTER!$E$5:$E$21,MATCH($C4539,DATA_PROPERTY_MASTER!$A$5:$A$21,0))="Yes",FALSE),MAX(IFERROR(INDEX(INDIRECT("'"&amp;$C4539&amp;"'!$E$63:$Y$63"),1,MATCH($D4539,INDIRECT("'"&amp;$C4539&amp;"'!$E$12:$Y$12"),0)),0),0),0)</f>
        <v>0</v>
      </c>
      <c r="I4539" s="366" t="s">
        <v>1685</v>
      </c>
      <c r="J4539" s="348" t="str">
        <f t="shared" ca="1" si="140"/>
        <v>OK</v>
      </c>
      <c r="K4539" s="366" t="s">
        <v>1735</v>
      </c>
      <c r="L4539" s="366" t="s">
        <v>2258</v>
      </c>
      <c r="M4539" s="350" t="str">
        <f>IF($B4539="Portfolio","Portfolio",IFERROR(INDEX(DATA_ASSET_CLASSIFICATION!$B$8:$B$24,MATCH($C4539,DATA_ASSET_CLASSIFICATION!$A$8:$A$24,0)),"Review"))</f>
        <v>450 Pacific Street</v>
      </c>
      <c r="N4539" s="350" t="str">
        <f>IF($B4539="Portfolio","Portfolio",IFERROR(INDEX(DATA_ASSET_CLASSIFICATION!$U$8:$U$24,MATCH($C4539,DATA_ASSET_CLASSIFICATION!$A$8:$A$24,0)),"Review"))</f>
        <v>New Build</v>
      </c>
      <c r="O4539" s="350" t="str">
        <f>IF($B4539="Portfolio","Portfolio",IFERROR(INDEX(DATA_ASSET_CLASSIFICATION!$AB$8:$AB$13,MATCH($N4539,DATA_ASSET_CLASSIFICATION!$AA$8:$AA$13,0)),"Review"))</f>
        <v>Bucket 1 · New Build</v>
      </c>
      <c r="P4539" s="350" t="str">
        <f>IF($B4539="Portfolio","Portfolio",IFERROR(INDEX(DATA_ASSET_CLASSIFICATION!$C$8:$C$24,MATCH($C4539,DATA_ASSET_CLASSIFICATION!$A$8:$A$24,0)),"Review"))</f>
        <v>Yes</v>
      </c>
      <c r="Q4539" s="350" t="str">
        <f t="shared" ca="1" si="141"/>
        <v>OK</v>
      </c>
    </row>
    <row r="4540" spans="1:17">
      <c r="A4540" s="366" t="s">
        <v>6496</v>
      </c>
      <c r="B4540" s="366" t="s">
        <v>231</v>
      </c>
      <c r="C4540" s="348" t="str">
        <f>DATA_PROPERTY_MASTER!$A$19</f>
        <v>BLD_PS</v>
      </c>
      <c r="D4540" s="380">
        <f>'00_PORTFOLIO ROLLUP'!P$12</f>
        <v>2036</v>
      </c>
      <c r="E4540" s="366" t="s">
        <v>1721</v>
      </c>
      <c r="F4540" s="366" t="s">
        <v>39</v>
      </c>
      <c r="G4540" s="348" t="str">
        <f>"'"&amp;$C4540&amp;"'!$E$63:$Y$63"</f>
        <v>'BLD_PS'!$E$63:$Y$63</v>
      </c>
      <c r="H4540" s="381">
        <f ca="1">IF(IFERROR(INDEX(DATA_PROPERTY_MASTER!$E$5:$E$21,MATCH($C4540,DATA_PROPERTY_MASTER!$A$5:$A$21,0))="Yes",FALSE),MAX(-IFERROR(INDEX(INDIRECT("'"&amp;$C4540&amp;"'!$E$63:$Y$63"),1,MATCH($D4540,INDIRECT("'"&amp;$C4540&amp;"'!$E$12:$Y$12"),0)),0),0),0)</f>
        <v>0</v>
      </c>
      <c r="I4540" s="366" t="s">
        <v>1690</v>
      </c>
      <c r="J4540" s="348" t="str">
        <f t="shared" ca="1" si="140"/>
        <v>OK</v>
      </c>
      <c r="K4540" s="366" t="s">
        <v>1738</v>
      </c>
      <c r="L4540" s="366" t="s">
        <v>2260</v>
      </c>
      <c r="M4540" s="350" t="str">
        <f>IF($B4540="Portfolio","Portfolio",IFERROR(INDEX(DATA_ASSET_CLASSIFICATION!$B$8:$B$24,MATCH($C4540,DATA_ASSET_CLASSIFICATION!$A$8:$A$24,0)),"Review"))</f>
        <v>450 Pacific Street</v>
      </c>
      <c r="N4540" s="350" t="str">
        <f>IF($B4540="Portfolio","Portfolio",IFERROR(INDEX(DATA_ASSET_CLASSIFICATION!$U$8:$U$24,MATCH($C4540,DATA_ASSET_CLASSIFICATION!$A$8:$A$24,0)),"Review"))</f>
        <v>New Build</v>
      </c>
      <c r="O4540" s="350" t="str">
        <f>IF($B4540="Portfolio","Portfolio",IFERROR(INDEX(DATA_ASSET_CLASSIFICATION!$AB$8:$AB$13,MATCH($N4540,DATA_ASSET_CLASSIFICATION!$AA$8:$AA$13,0)),"Review"))</f>
        <v>Bucket 1 · New Build</v>
      </c>
      <c r="P4540" s="350" t="str">
        <f>IF($B4540="Portfolio","Portfolio",IFERROR(INDEX(DATA_ASSET_CLASSIFICATION!$C$8:$C$24,MATCH($C4540,DATA_ASSET_CLASSIFICATION!$A$8:$A$24,0)),"Review"))</f>
        <v>Yes</v>
      </c>
      <c r="Q4540" s="350" t="str">
        <f t="shared" ca="1" si="141"/>
        <v>OK</v>
      </c>
    </row>
    <row r="4541" spans="1:17">
      <c r="A4541" s="366" t="s">
        <v>6497</v>
      </c>
      <c r="B4541" s="366" t="s">
        <v>231</v>
      </c>
      <c r="C4541" s="348" t="str">
        <f>DATA_PROPERTY_MASTER!$A$19</f>
        <v>BLD_PS</v>
      </c>
      <c r="D4541" s="380">
        <f>'00_PORTFOLIO ROLLUP'!P$12</f>
        <v>2036</v>
      </c>
      <c r="E4541" s="366" t="s">
        <v>1741</v>
      </c>
      <c r="F4541" s="366" t="s">
        <v>41</v>
      </c>
      <c r="G4541" s="348" t="str">
        <f>"'"&amp;$C4541&amp;"'!rows 56 + positive row 63"</f>
        <v>'BLD_PS'!rows 56 + positive row 63</v>
      </c>
      <c r="H4541" s="381">
        <f ca="1">IF(IFERROR(INDEX(DATA_PROPERTY_MASTER!$E$5:$E$21,MATCH($C4541,DATA_PROPERTY_MASTER!$A$5:$A$21,0))="Yes",FALSE),IFERROR(INDEX(INDIRECT("'"&amp;$C4541&amp;"'!$E$56:$Y$56"),1,MATCH($D4541,INDIRECT("'"&amp;$C4541&amp;"'!$E$12:$Y$12"),0)),0)+MAX(IFERROR(INDEX(INDIRECT("'"&amp;$C4541&amp;"'!$E$63:$Y$63"),1,MATCH($D4541,INDIRECT("'"&amp;$C4541&amp;"'!$E$12:$Y$12"),0)),0),0),0)</f>
        <v>155336.36864013804</v>
      </c>
      <c r="I4541" s="366" t="s">
        <v>1685</v>
      </c>
      <c r="J4541" s="348" t="str">
        <f t="shared" ca="1" si="140"/>
        <v>OK</v>
      </c>
      <c r="K4541" s="366" t="s">
        <v>1742</v>
      </c>
      <c r="L4541" s="366" t="s">
        <v>2262</v>
      </c>
      <c r="M4541" s="350" t="str">
        <f>IF($B4541="Portfolio","Portfolio",IFERROR(INDEX(DATA_ASSET_CLASSIFICATION!$B$8:$B$24,MATCH($C4541,DATA_ASSET_CLASSIFICATION!$A$8:$A$24,0)),"Review"))</f>
        <v>450 Pacific Street</v>
      </c>
      <c r="N4541" s="350" t="str">
        <f>IF($B4541="Portfolio","Portfolio",IFERROR(INDEX(DATA_ASSET_CLASSIFICATION!$U$8:$U$24,MATCH($C4541,DATA_ASSET_CLASSIFICATION!$A$8:$A$24,0)),"Review"))</f>
        <v>New Build</v>
      </c>
      <c r="O4541" s="350" t="str">
        <f>IF($B4541="Portfolio","Portfolio",IFERROR(INDEX(DATA_ASSET_CLASSIFICATION!$AB$8:$AB$13,MATCH($N4541,DATA_ASSET_CLASSIFICATION!$AA$8:$AA$13,0)),"Review"))</f>
        <v>Bucket 1 · New Build</v>
      </c>
      <c r="P4541" s="350" t="str">
        <f>IF($B4541="Portfolio","Portfolio",IFERROR(INDEX(DATA_ASSET_CLASSIFICATION!$C$8:$C$24,MATCH($C4541,DATA_ASSET_CLASSIFICATION!$A$8:$A$24,0)),"Review"))</f>
        <v>Yes</v>
      </c>
      <c r="Q4541" s="350" t="str">
        <f t="shared" ca="1" si="141"/>
        <v>OK</v>
      </c>
    </row>
    <row r="4542" spans="1:17">
      <c r="A4542" s="366" t="s">
        <v>6498</v>
      </c>
      <c r="B4542" s="366" t="s">
        <v>231</v>
      </c>
      <c r="C4542" s="348" t="str">
        <f>DATA_PROPERTY_MASTER!$A$19</f>
        <v>BLD_PS</v>
      </c>
      <c r="D4542" s="380">
        <f>'00_PORTFOLIO ROLLUP'!P$12</f>
        <v>2036</v>
      </c>
      <c r="E4542" s="366" t="s">
        <v>1741</v>
      </c>
      <c r="F4542" s="366" t="s">
        <v>43</v>
      </c>
      <c r="G4542" s="348" t="str">
        <f>"'"&amp;$C4542&amp;"'!$E$68:$Y$68"</f>
        <v>'BLD_PS'!$E$68:$Y$68</v>
      </c>
      <c r="H4542" s="381">
        <f ca="1">IF(IFERROR(INDEX(DATA_PROPERTY_MASTER!$E$5:$E$21,MATCH($C4542,DATA_PROPERTY_MASTER!$A$5:$A$21,0))="Yes",FALSE),IFERROR(INDEX(INDIRECT("'"&amp;$C4542&amp;"'!$E$68:$Y$68"),1,MATCH($D4542,INDIRECT("'"&amp;$C4542&amp;"'!$E$12:$Y$12"),0)),0),0)</f>
        <v>155336.36864013804</v>
      </c>
      <c r="I4542" s="366" t="s">
        <v>1731</v>
      </c>
      <c r="J4542" s="348" t="str">
        <f t="shared" ca="1" si="140"/>
        <v>OK</v>
      </c>
      <c r="K4542" s="366" t="s">
        <v>1746</v>
      </c>
      <c r="L4542" s="366" t="s">
        <v>2264</v>
      </c>
      <c r="M4542" s="350" t="str">
        <f>IF($B4542="Portfolio","Portfolio",IFERROR(INDEX(DATA_ASSET_CLASSIFICATION!$B$8:$B$24,MATCH($C4542,DATA_ASSET_CLASSIFICATION!$A$8:$A$24,0)),"Review"))</f>
        <v>450 Pacific Street</v>
      </c>
      <c r="N4542" s="350" t="str">
        <f>IF($B4542="Portfolio","Portfolio",IFERROR(INDEX(DATA_ASSET_CLASSIFICATION!$U$8:$U$24,MATCH($C4542,DATA_ASSET_CLASSIFICATION!$A$8:$A$24,0)),"Review"))</f>
        <v>New Build</v>
      </c>
      <c r="O4542" s="350" t="str">
        <f>IF($B4542="Portfolio","Portfolio",IFERROR(INDEX(DATA_ASSET_CLASSIFICATION!$AB$8:$AB$13,MATCH($N4542,DATA_ASSET_CLASSIFICATION!$AA$8:$AA$13,0)),"Review"))</f>
        <v>Bucket 1 · New Build</v>
      </c>
      <c r="P4542" s="350" t="str">
        <f>IF($B4542="Portfolio","Portfolio",IFERROR(INDEX(DATA_ASSET_CLASSIFICATION!$C$8:$C$24,MATCH($C4542,DATA_ASSET_CLASSIFICATION!$A$8:$A$24,0)),"Review"))</f>
        <v>Yes</v>
      </c>
      <c r="Q4542" s="350" t="str">
        <f t="shared" ca="1" si="141"/>
        <v>OK</v>
      </c>
    </row>
    <row r="4543" spans="1:17">
      <c r="A4543" s="366" t="s">
        <v>6499</v>
      </c>
      <c r="B4543" s="366" t="s">
        <v>231</v>
      </c>
      <c r="C4543" s="348" t="str">
        <f>DATA_PROPERTY_MASTER!$A$19</f>
        <v>BLD_PS</v>
      </c>
      <c r="D4543" s="380">
        <f>'00_PORTFOLIO ROLLUP'!P$12</f>
        <v>2036</v>
      </c>
      <c r="E4543" s="366" t="s">
        <v>1741</v>
      </c>
      <c r="F4543" s="366" t="s">
        <v>1749</v>
      </c>
      <c r="G4543" s="348" t="str">
        <f>"'"&amp;$C4543&amp;"'!rows 56, 63, 68"</f>
        <v>'BLD_PS'!rows 56, 63, 68</v>
      </c>
      <c r="H4543" s="381">
        <f ca="1">IF(IFERROR(INDEX(DATA_PROPERTY_MASTER!$E$5:$E$21,MATCH($C4543,DATA_PROPERTY_MASTER!$A$5:$A$21,0))="Yes",FALSE),(IFERROR(INDEX(INDIRECT("'"&amp;$C4543&amp;"'!$E$56:$Y$56"),1,MATCH($D4543,INDIRECT("'"&amp;$C4543&amp;"'!$E$12:$Y$12"),0)),0)+MAX(IFERROR(INDEX(INDIRECT("'"&amp;$C4543&amp;"'!$E$63:$Y$63"),1,MATCH($D4543,INDIRECT("'"&amp;$C4543&amp;"'!$E$12:$Y$12"),0)),0),0))-(IFERROR(INDEX(INDIRECT("'"&amp;$C4543&amp;"'!$E$68:$Y$68"),1,MATCH($D4543,INDIRECT("'"&amp;$C4543&amp;"'!$E$12:$Y$12"),0)),0)),0)</f>
        <v>0</v>
      </c>
      <c r="I4543" s="366" t="s">
        <v>1750</v>
      </c>
      <c r="J4543" s="348" t="str">
        <f t="shared" ca="1" si="140"/>
        <v>OK</v>
      </c>
      <c r="K4543" s="366" t="s">
        <v>1751</v>
      </c>
      <c r="L4543" s="366" t="s">
        <v>2266</v>
      </c>
      <c r="M4543" s="350" t="str">
        <f>IF($B4543="Portfolio","Portfolio",IFERROR(INDEX(DATA_ASSET_CLASSIFICATION!$B$8:$B$24,MATCH($C4543,DATA_ASSET_CLASSIFICATION!$A$8:$A$24,0)),"Review"))</f>
        <v>450 Pacific Street</v>
      </c>
      <c r="N4543" s="350" t="str">
        <f>IF($B4543="Portfolio","Portfolio",IFERROR(INDEX(DATA_ASSET_CLASSIFICATION!$U$8:$U$24,MATCH($C4543,DATA_ASSET_CLASSIFICATION!$A$8:$A$24,0)),"Review"))</f>
        <v>New Build</v>
      </c>
      <c r="O4543" s="350" t="str">
        <f>IF($B4543="Portfolio","Portfolio",IFERROR(INDEX(DATA_ASSET_CLASSIFICATION!$AB$8:$AB$13,MATCH($N4543,DATA_ASSET_CLASSIFICATION!$AA$8:$AA$13,0)),"Review"))</f>
        <v>Bucket 1 · New Build</v>
      </c>
      <c r="P4543" s="350" t="str">
        <f>IF($B4543="Portfolio","Portfolio",IFERROR(INDEX(DATA_ASSET_CLASSIFICATION!$C$8:$C$24,MATCH($C4543,DATA_ASSET_CLASSIFICATION!$A$8:$A$24,0)),"Review"))</f>
        <v>Yes</v>
      </c>
      <c r="Q4543" s="350" t="str">
        <f t="shared" ca="1" si="141"/>
        <v>OK</v>
      </c>
    </row>
    <row r="4544" spans="1:17">
      <c r="A4544" s="366" t="s">
        <v>6500</v>
      </c>
      <c r="B4544" s="366" t="s">
        <v>231</v>
      </c>
      <c r="C4544" s="348" t="str">
        <f>DATA_PROPERTY_MASTER!$A$19</f>
        <v>BLD_PS</v>
      </c>
      <c r="D4544" s="380">
        <f>'00_PORTFOLIO ROLLUP'!Q$12</f>
        <v>2037</v>
      </c>
      <c r="E4544" s="366" t="s">
        <v>1683</v>
      </c>
      <c r="F4544" s="366" t="s">
        <v>341</v>
      </c>
      <c r="G4544" s="348" t="str">
        <f>"'"&amp;$C4544&amp;"'!$E$24:$Y$24"</f>
        <v>'BLD_PS'!$E$24:$Y$24</v>
      </c>
      <c r="H4544" s="381">
        <f ca="1">IF(IFERROR(INDEX(DATA_PROPERTY_MASTER!$E$5:$E$21,MATCH($C4544,DATA_PROPERTY_MASTER!$A$5:$A$21,0))="Yes",FALSE),IFERROR(INDEX(INDIRECT("'"&amp;$C4544&amp;"'!$E$24:$Y$24"),1,MATCH($D4544,INDIRECT("'"&amp;$C4544&amp;"'!$E$12:$Y$12"),0)),0),0)</f>
        <v>2123029.8471069532</v>
      </c>
      <c r="I4544" s="366" t="s">
        <v>1685</v>
      </c>
      <c r="J4544" s="348" t="str">
        <f t="shared" ca="1" si="140"/>
        <v>OK</v>
      </c>
      <c r="K4544" s="366" t="s">
        <v>1686</v>
      </c>
      <c r="L4544" s="366" t="s">
        <v>2234</v>
      </c>
      <c r="M4544" s="350" t="str">
        <f>IF($B4544="Portfolio","Portfolio",IFERROR(INDEX(DATA_ASSET_CLASSIFICATION!$B$8:$B$24,MATCH($C4544,DATA_ASSET_CLASSIFICATION!$A$8:$A$24,0)),"Review"))</f>
        <v>450 Pacific Street</v>
      </c>
      <c r="N4544" s="350" t="str">
        <f>IF($B4544="Portfolio","Portfolio",IFERROR(INDEX(DATA_ASSET_CLASSIFICATION!$U$8:$U$24,MATCH($C4544,DATA_ASSET_CLASSIFICATION!$A$8:$A$24,0)),"Review"))</f>
        <v>New Build</v>
      </c>
      <c r="O4544" s="350" t="str">
        <f>IF($B4544="Portfolio","Portfolio",IFERROR(INDEX(DATA_ASSET_CLASSIFICATION!$AB$8:$AB$13,MATCH($N4544,DATA_ASSET_CLASSIFICATION!$AA$8:$AA$13,0)),"Review"))</f>
        <v>Bucket 1 · New Build</v>
      </c>
      <c r="P4544" s="350" t="str">
        <f>IF($B4544="Portfolio","Portfolio",IFERROR(INDEX(DATA_ASSET_CLASSIFICATION!$C$8:$C$24,MATCH($C4544,DATA_ASSET_CLASSIFICATION!$A$8:$A$24,0)),"Review"))</f>
        <v>Yes</v>
      </c>
      <c r="Q4544" s="350" t="str">
        <f t="shared" ca="1" si="141"/>
        <v>OK</v>
      </c>
    </row>
    <row r="4545" spans="1:17">
      <c r="A4545" s="366" t="s">
        <v>6501</v>
      </c>
      <c r="B4545" s="366" t="s">
        <v>231</v>
      </c>
      <c r="C4545" s="348" t="str">
        <f>DATA_PROPERTY_MASTER!$A$19</f>
        <v>BLD_PS</v>
      </c>
      <c r="D4545" s="380">
        <f>'00_PORTFOLIO ROLLUP'!Q$12</f>
        <v>2037</v>
      </c>
      <c r="E4545" s="366" t="s">
        <v>1683</v>
      </c>
      <c r="F4545" s="366" t="s">
        <v>355</v>
      </c>
      <c r="G4545" s="348" t="str">
        <f>"'"&amp;$C4545&amp;"'!$E$39:$Y$39"</f>
        <v>'BLD_PS'!$E$39:$Y$39</v>
      </c>
      <c r="H4545" s="381">
        <f ca="1">IF(IFERROR(INDEX(DATA_PROPERTY_MASTER!$E$5:$E$21,MATCH($C4545,DATA_PROPERTY_MASTER!$A$5:$A$21,0))="Yes",FALSE),IFERROR(INDEX(INDIRECT("'"&amp;$C4545&amp;"'!$E$39:$Y$39"),1,MATCH($D4545,INDIRECT("'"&amp;$C4545&amp;"'!$E$12:$Y$12"),0)),0),0)</f>
        <v>1051240.4398426479</v>
      </c>
      <c r="I4545" s="366" t="s">
        <v>1690</v>
      </c>
      <c r="J4545" s="348" t="str">
        <f t="shared" ca="1" si="140"/>
        <v>OK</v>
      </c>
      <c r="K4545" s="366" t="s">
        <v>1686</v>
      </c>
      <c r="L4545" s="366" t="s">
        <v>2236</v>
      </c>
      <c r="M4545" s="350" t="str">
        <f>IF($B4545="Portfolio","Portfolio",IFERROR(INDEX(DATA_ASSET_CLASSIFICATION!$B$8:$B$24,MATCH($C4545,DATA_ASSET_CLASSIFICATION!$A$8:$A$24,0)),"Review"))</f>
        <v>450 Pacific Street</v>
      </c>
      <c r="N4545" s="350" t="str">
        <f>IF($B4545="Portfolio","Portfolio",IFERROR(INDEX(DATA_ASSET_CLASSIFICATION!$U$8:$U$24,MATCH($C4545,DATA_ASSET_CLASSIFICATION!$A$8:$A$24,0)),"Review"))</f>
        <v>New Build</v>
      </c>
      <c r="O4545" s="350" t="str">
        <f>IF($B4545="Portfolio","Portfolio",IFERROR(INDEX(DATA_ASSET_CLASSIFICATION!$AB$8:$AB$13,MATCH($N4545,DATA_ASSET_CLASSIFICATION!$AA$8:$AA$13,0)),"Review"))</f>
        <v>Bucket 1 · New Build</v>
      </c>
      <c r="P4545" s="350" t="str">
        <f>IF($B4545="Portfolio","Portfolio",IFERROR(INDEX(DATA_ASSET_CLASSIFICATION!$C$8:$C$24,MATCH($C4545,DATA_ASSET_CLASSIFICATION!$A$8:$A$24,0)),"Review"))</f>
        <v>Yes</v>
      </c>
      <c r="Q4545" s="350" t="str">
        <f t="shared" ca="1" si="141"/>
        <v>OK</v>
      </c>
    </row>
    <row r="4546" spans="1:17">
      <c r="A4546" s="366" t="s">
        <v>6502</v>
      </c>
      <c r="B4546" s="366" t="s">
        <v>231</v>
      </c>
      <c r="C4546" s="348" t="str">
        <f>DATA_PROPERTY_MASTER!$A$19</f>
        <v>BLD_PS</v>
      </c>
      <c r="D4546" s="380">
        <f>'00_PORTFOLIO ROLLUP'!Q$12</f>
        <v>2037</v>
      </c>
      <c r="E4546" s="366" t="s">
        <v>1683</v>
      </c>
      <c r="F4546" s="366" t="s">
        <v>19</v>
      </c>
      <c r="G4546" s="348" t="str">
        <f>"'"&amp;$C4546&amp;"'!$E$41:$Y$41"</f>
        <v>'BLD_PS'!$E$41:$Y$41</v>
      </c>
      <c r="H4546" s="381">
        <f ca="1">IF(IFERROR(INDEX(DATA_PROPERTY_MASTER!$E$5:$E$21,MATCH($C4546,DATA_PROPERTY_MASTER!$A$5:$A$21,0))="Yes",FALSE),IFERROR(INDEX(INDIRECT("'"&amp;$C4546&amp;"'!$E$41:$Y$41"),1,MATCH($D4546,INDIRECT("'"&amp;$C4546&amp;"'!$E$12:$Y$12"),0)),0),0)</f>
        <v>1071789.4072643053</v>
      </c>
      <c r="I4546" s="366" t="s">
        <v>1685</v>
      </c>
      <c r="J4546" s="348" t="str">
        <f t="shared" ca="1" si="140"/>
        <v>OK</v>
      </c>
      <c r="K4546" s="366" t="s">
        <v>1694</v>
      </c>
      <c r="L4546" s="366" t="s">
        <v>2238</v>
      </c>
      <c r="M4546" s="350" t="str">
        <f>IF($B4546="Portfolio","Portfolio",IFERROR(INDEX(DATA_ASSET_CLASSIFICATION!$B$8:$B$24,MATCH($C4546,DATA_ASSET_CLASSIFICATION!$A$8:$A$24,0)),"Review"))</f>
        <v>450 Pacific Street</v>
      </c>
      <c r="N4546" s="350" t="str">
        <f>IF($B4546="Portfolio","Portfolio",IFERROR(INDEX(DATA_ASSET_CLASSIFICATION!$U$8:$U$24,MATCH($C4546,DATA_ASSET_CLASSIFICATION!$A$8:$A$24,0)),"Review"))</f>
        <v>New Build</v>
      </c>
      <c r="O4546" s="350" t="str">
        <f>IF($B4546="Portfolio","Portfolio",IFERROR(INDEX(DATA_ASSET_CLASSIFICATION!$AB$8:$AB$13,MATCH($N4546,DATA_ASSET_CLASSIFICATION!$AA$8:$AA$13,0)),"Review"))</f>
        <v>Bucket 1 · New Build</v>
      </c>
      <c r="P4546" s="350" t="str">
        <f>IF($B4546="Portfolio","Portfolio",IFERROR(INDEX(DATA_ASSET_CLASSIFICATION!$C$8:$C$24,MATCH($C4546,DATA_ASSET_CLASSIFICATION!$A$8:$A$24,0)),"Review"))</f>
        <v>Yes</v>
      </c>
      <c r="Q4546" s="350" t="str">
        <f t="shared" ca="1" si="141"/>
        <v>OK</v>
      </c>
    </row>
    <row r="4547" spans="1:17">
      <c r="A4547" s="366" t="s">
        <v>6503</v>
      </c>
      <c r="B4547" s="366" t="s">
        <v>231</v>
      </c>
      <c r="C4547" s="348" t="str">
        <f>DATA_PROPERTY_MASTER!$A$19</f>
        <v>BLD_PS</v>
      </c>
      <c r="D4547" s="380">
        <f>'00_PORTFOLIO ROLLUP'!Q$12</f>
        <v>2037</v>
      </c>
      <c r="E4547" s="366" t="s">
        <v>1683</v>
      </c>
      <c r="F4547" s="366" t="s">
        <v>1697</v>
      </c>
      <c r="G4547" s="348" t="str">
        <f>"'"&amp;$C4547&amp;"'!$E$44:$Y$44"</f>
        <v>'BLD_PS'!$E$44:$Y$44</v>
      </c>
      <c r="H4547" s="381">
        <f ca="1">IF(IFERROR(INDEX(DATA_PROPERTY_MASTER!$E$5:$E$21,MATCH($C4547,DATA_PROPERTY_MASTER!$A$5:$A$21,0))="Yes",FALSE),IFERROR(INDEX(INDIRECT("'"&amp;$C4547&amp;"'!$E$44:$Y$44"),1,MATCH($D4547,INDIRECT("'"&amp;$C4547&amp;"'!$E$12:$Y$12"),0)),0),0)</f>
        <v>17311.500495778742</v>
      </c>
      <c r="I4547" s="366" t="s">
        <v>1690</v>
      </c>
      <c r="J4547" s="348" t="str">
        <f t="shared" ca="1" si="140"/>
        <v>OK</v>
      </c>
      <c r="K4547" s="366" t="s">
        <v>1699</v>
      </c>
      <c r="L4547" s="366" t="s">
        <v>2240</v>
      </c>
      <c r="M4547" s="350" t="str">
        <f>IF($B4547="Portfolio","Portfolio",IFERROR(INDEX(DATA_ASSET_CLASSIFICATION!$B$8:$B$24,MATCH($C4547,DATA_ASSET_CLASSIFICATION!$A$8:$A$24,0)),"Review"))</f>
        <v>450 Pacific Street</v>
      </c>
      <c r="N4547" s="350" t="str">
        <f>IF($B4547="Portfolio","Portfolio",IFERROR(INDEX(DATA_ASSET_CLASSIFICATION!$U$8:$U$24,MATCH($C4547,DATA_ASSET_CLASSIFICATION!$A$8:$A$24,0)),"Review"))</f>
        <v>New Build</v>
      </c>
      <c r="O4547" s="350" t="str">
        <f>IF($B4547="Portfolio","Portfolio",IFERROR(INDEX(DATA_ASSET_CLASSIFICATION!$AB$8:$AB$13,MATCH($N4547,DATA_ASSET_CLASSIFICATION!$AA$8:$AA$13,0)),"Review"))</f>
        <v>Bucket 1 · New Build</v>
      </c>
      <c r="P4547" s="350" t="str">
        <f>IF($B4547="Portfolio","Portfolio",IFERROR(INDEX(DATA_ASSET_CLASSIFICATION!$C$8:$C$24,MATCH($C4547,DATA_ASSET_CLASSIFICATION!$A$8:$A$24,0)),"Review"))</f>
        <v>Yes</v>
      </c>
      <c r="Q4547" s="350" t="str">
        <f t="shared" ca="1" si="141"/>
        <v>OK</v>
      </c>
    </row>
    <row r="4548" spans="1:17">
      <c r="A4548" s="366" t="s">
        <v>6504</v>
      </c>
      <c r="B4548" s="366" t="s">
        <v>231</v>
      </c>
      <c r="C4548" s="348" t="str">
        <f>DATA_PROPERTY_MASTER!$A$19</f>
        <v>BLD_PS</v>
      </c>
      <c r="D4548" s="380">
        <f>'00_PORTFOLIO ROLLUP'!Q$12</f>
        <v>2037</v>
      </c>
      <c r="E4548" s="366" t="s">
        <v>1683</v>
      </c>
      <c r="F4548" s="366" t="s">
        <v>21</v>
      </c>
      <c r="G4548" s="348" t="str">
        <f>"'"&amp;$C4548&amp;"'!$E$45:$Y$45"</f>
        <v>'BLD_PS'!$E$45:$Y$45</v>
      </c>
      <c r="H4548" s="381">
        <f ca="1">IF(IFERROR(INDEX(DATA_PROPERTY_MASTER!$E$5:$E$21,MATCH($C4548,DATA_PROPERTY_MASTER!$A$5:$A$21,0))="Yes",FALSE),IFERROR(INDEX(INDIRECT("'"&amp;$C4548&amp;"'!$E$45:$Y$45"),1,MATCH($D4548,INDIRECT("'"&amp;$C4548&amp;"'!$E$12:$Y$12"),0)),0),0)</f>
        <v>1054477.9067685266</v>
      </c>
      <c r="I4548" s="366" t="s">
        <v>1685</v>
      </c>
      <c r="J4548" s="348" t="str">
        <f t="shared" ca="1" si="140"/>
        <v>OK</v>
      </c>
      <c r="K4548" s="366" t="s">
        <v>1694</v>
      </c>
      <c r="L4548" s="366" t="s">
        <v>2242</v>
      </c>
      <c r="M4548" s="350" t="str">
        <f>IF($B4548="Portfolio","Portfolio",IFERROR(INDEX(DATA_ASSET_CLASSIFICATION!$B$8:$B$24,MATCH($C4548,DATA_ASSET_CLASSIFICATION!$A$8:$A$24,0)),"Review"))</f>
        <v>450 Pacific Street</v>
      </c>
      <c r="N4548" s="350" t="str">
        <f>IF($B4548="Portfolio","Portfolio",IFERROR(INDEX(DATA_ASSET_CLASSIFICATION!$U$8:$U$24,MATCH($C4548,DATA_ASSET_CLASSIFICATION!$A$8:$A$24,0)),"Review"))</f>
        <v>New Build</v>
      </c>
      <c r="O4548" s="350" t="str">
        <f>IF($B4548="Portfolio","Portfolio",IFERROR(INDEX(DATA_ASSET_CLASSIFICATION!$AB$8:$AB$13,MATCH($N4548,DATA_ASSET_CLASSIFICATION!$AA$8:$AA$13,0)),"Review"))</f>
        <v>Bucket 1 · New Build</v>
      </c>
      <c r="P4548" s="350" t="str">
        <f>IF($B4548="Portfolio","Portfolio",IFERROR(INDEX(DATA_ASSET_CLASSIFICATION!$C$8:$C$24,MATCH($C4548,DATA_ASSET_CLASSIFICATION!$A$8:$A$24,0)),"Review"))</f>
        <v>Yes</v>
      </c>
      <c r="Q4548" s="350" t="str">
        <f t="shared" ca="1" si="141"/>
        <v>OK</v>
      </c>
    </row>
    <row r="4549" spans="1:17">
      <c r="A4549" s="366" t="s">
        <v>6505</v>
      </c>
      <c r="B4549" s="366" t="s">
        <v>231</v>
      </c>
      <c r="C4549" s="348" t="str">
        <f>DATA_PROPERTY_MASTER!$A$19</f>
        <v>BLD_PS</v>
      </c>
      <c r="D4549" s="380">
        <f>'00_PORTFOLIO ROLLUP'!Q$12</f>
        <v>2037</v>
      </c>
      <c r="E4549" s="366" t="s">
        <v>23</v>
      </c>
      <c r="F4549" s="366" t="s">
        <v>23</v>
      </c>
      <c r="G4549" s="348" t="str">
        <f>"'"&amp;$C4549&amp;"'!$E$48:$Y$48"</f>
        <v>'BLD_PS'!$E$48:$Y$48</v>
      </c>
      <c r="H4549" s="381">
        <f ca="1">IF(IFERROR(INDEX(DATA_PROPERTY_MASTER!$E$5:$E$21,MATCH($C4549,DATA_PROPERTY_MASTER!$A$5:$A$21,0))="Yes",FALSE),IFERROR(INDEX(INDIRECT("'"&amp;$C4549&amp;"'!$E$48:$Y$48"),1,MATCH($D4549,INDIRECT("'"&amp;$C4549&amp;"'!$E$12:$Y$12"),0)),0),0)</f>
        <v>667460.46017404622</v>
      </c>
      <c r="I4549" s="366" t="s">
        <v>1690</v>
      </c>
      <c r="J4549" s="348" t="str">
        <f t="shared" ref="J4549:J4612" ca="1" si="142">IF($F4549="Residual Funding Gap",IF($H4549&gt;0,"Funding Gap","OK"),IF(AND($F4549="Net Refinance Position",$H4549&lt;0),"Negative net refi position","OK"))</f>
        <v>OK</v>
      </c>
      <c r="K4549" s="366" t="s">
        <v>1706</v>
      </c>
      <c r="L4549" s="366" t="s">
        <v>2244</v>
      </c>
      <c r="M4549" s="350" t="str">
        <f>IF($B4549="Portfolio","Portfolio",IFERROR(INDEX(DATA_ASSET_CLASSIFICATION!$B$8:$B$24,MATCH($C4549,DATA_ASSET_CLASSIFICATION!$A$8:$A$24,0)),"Review"))</f>
        <v>450 Pacific Street</v>
      </c>
      <c r="N4549" s="350" t="str">
        <f>IF($B4549="Portfolio","Portfolio",IFERROR(INDEX(DATA_ASSET_CLASSIFICATION!$U$8:$U$24,MATCH($C4549,DATA_ASSET_CLASSIFICATION!$A$8:$A$24,0)),"Review"))</f>
        <v>New Build</v>
      </c>
      <c r="O4549" s="350" t="str">
        <f>IF($B4549="Portfolio","Portfolio",IFERROR(INDEX(DATA_ASSET_CLASSIFICATION!$AB$8:$AB$13,MATCH($N4549,DATA_ASSET_CLASSIFICATION!$AA$8:$AA$13,0)),"Review"))</f>
        <v>Bucket 1 · New Build</v>
      </c>
      <c r="P4549" s="350" t="str">
        <f>IF($B4549="Portfolio","Portfolio",IFERROR(INDEX(DATA_ASSET_CLASSIFICATION!$C$8:$C$24,MATCH($C4549,DATA_ASSET_CLASSIFICATION!$A$8:$A$24,0)),"Review"))</f>
        <v>Yes</v>
      </c>
      <c r="Q4549" s="350" t="str">
        <f t="shared" ref="Q4549:Q4612" ca="1" si="143">IF(AND($B4549="Property",$F4549="Residual Funding Gap",$H4549&gt;0),"Property Funding Gap",IF($J4549&lt;&gt;"OK",$J4549,"OK"))</f>
        <v>OK</v>
      </c>
    </row>
    <row r="4550" spans="1:17">
      <c r="A4550" s="366" t="s">
        <v>6506</v>
      </c>
      <c r="B4550" s="366" t="s">
        <v>231</v>
      </c>
      <c r="C4550" s="348" t="str">
        <f>DATA_PROPERTY_MASTER!$A$19</f>
        <v>BLD_PS</v>
      </c>
      <c r="D4550" s="380">
        <f>'00_PORTFOLIO ROLLUP'!Q$12</f>
        <v>2037</v>
      </c>
      <c r="E4550" s="366" t="s">
        <v>1683</v>
      </c>
      <c r="F4550" s="366" t="s">
        <v>25</v>
      </c>
      <c r="G4550" s="348" t="str">
        <f>"'"&amp;$C4550&amp;"'!$E$52:$Y$52"</f>
        <v>'BLD_PS'!$E$52:$Y$52</v>
      </c>
      <c r="H4550" s="381">
        <f ca="1">IF(IFERROR(INDEX(DATA_PROPERTY_MASTER!$E$5:$E$21,MATCH($C4550,DATA_PROPERTY_MASTER!$A$5:$A$21,0))="Yes",FALSE),IFERROR(INDEX(INDIRECT("'"&amp;$C4550&amp;"'!$E$52:$Y$52"),1,MATCH($D4550,INDIRECT("'"&amp;$C4550&amp;"'!$E$12:$Y$12"),0)),0),0)</f>
        <v>404328.94709025905</v>
      </c>
      <c r="I4550" s="366" t="s">
        <v>1685</v>
      </c>
      <c r="J4550" s="348" t="str">
        <f t="shared" ca="1" si="142"/>
        <v>OK</v>
      </c>
      <c r="K4550" s="366" t="s">
        <v>1710</v>
      </c>
      <c r="L4550" s="366" t="s">
        <v>2246</v>
      </c>
      <c r="M4550" s="350" t="str">
        <f>IF($B4550="Portfolio","Portfolio",IFERROR(INDEX(DATA_ASSET_CLASSIFICATION!$B$8:$B$24,MATCH($C4550,DATA_ASSET_CLASSIFICATION!$A$8:$A$24,0)),"Review"))</f>
        <v>450 Pacific Street</v>
      </c>
      <c r="N4550" s="350" t="str">
        <f>IF($B4550="Portfolio","Portfolio",IFERROR(INDEX(DATA_ASSET_CLASSIFICATION!$U$8:$U$24,MATCH($C4550,DATA_ASSET_CLASSIFICATION!$A$8:$A$24,0)),"Review"))</f>
        <v>New Build</v>
      </c>
      <c r="O4550" s="350" t="str">
        <f>IF($B4550="Portfolio","Portfolio",IFERROR(INDEX(DATA_ASSET_CLASSIFICATION!$AB$8:$AB$13,MATCH($N4550,DATA_ASSET_CLASSIFICATION!$AA$8:$AA$13,0)),"Review"))</f>
        <v>Bucket 1 · New Build</v>
      </c>
      <c r="P4550" s="350" t="str">
        <f>IF($B4550="Portfolio","Portfolio",IFERROR(INDEX(DATA_ASSET_CLASSIFICATION!$C$8:$C$24,MATCH($C4550,DATA_ASSET_CLASSIFICATION!$A$8:$A$24,0)),"Review"))</f>
        <v>Yes</v>
      </c>
      <c r="Q4550" s="350" t="str">
        <f t="shared" ca="1" si="143"/>
        <v>OK</v>
      </c>
    </row>
    <row r="4551" spans="1:17">
      <c r="A4551" s="366" t="s">
        <v>6507</v>
      </c>
      <c r="B4551" s="366" t="s">
        <v>231</v>
      </c>
      <c r="C4551" s="348" t="str">
        <f>DATA_PROPERTY_MASTER!$A$19</f>
        <v>BLD_PS</v>
      </c>
      <c r="D4551" s="380">
        <f>'00_PORTFOLIO ROLLUP'!Q$12</f>
        <v>2037</v>
      </c>
      <c r="E4551" s="366" t="s">
        <v>1683</v>
      </c>
      <c r="F4551" s="366" t="s">
        <v>27</v>
      </c>
      <c r="G4551" s="348" t="str">
        <f>"'"&amp;$C4551&amp;"'!$E$54:$Y$54"</f>
        <v>'BLD_PS'!$E$54:$Y$54</v>
      </c>
      <c r="H4551" s="381">
        <f ca="1">IF(IFERROR(INDEX(DATA_PROPERTY_MASTER!$E$5:$E$21,MATCH($C4551,DATA_PROPERTY_MASTER!$A$5:$A$21,0))="Yes",FALSE),IFERROR(INDEX(INDIRECT("'"&amp;$C4551&amp;"'!$E$54:$Y$54"),1,MATCH($D4551,INDIRECT("'"&amp;$C4551&amp;"'!$E$12:$Y$12"),0)),0),0)</f>
        <v>242597.36825415542</v>
      </c>
      <c r="I4551" s="366" t="s">
        <v>1690</v>
      </c>
      <c r="J4551" s="348" t="str">
        <f t="shared" ca="1" si="142"/>
        <v>OK</v>
      </c>
      <c r="K4551" s="366" t="s">
        <v>1714</v>
      </c>
      <c r="L4551" s="366" t="s">
        <v>2248</v>
      </c>
      <c r="M4551" s="350" t="str">
        <f>IF($B4551="Portfolio","Portfolio",IFERROR(INDEX(DATA_ASSET_CLASSIFICATION!$B$8:$B$24,MATCH($C4551,DATA_ASSET_CLASSIFICATION!$A$8:$A$24,0)),"Review"))</f>
        <v>450 Pacific Street</v>
      </c>
      <c r="N4551" s="350" t="str">
        <f>IF($B4551="Portfolio","Portfolio",IFERROR(INDEX(DATA_ASSET_CLASSIFICATION!$U$8:$U$24,MATCH($C4551,DATA_ASSET_CLASSIFICATION!$A$8:$A$24,0)),"Review"))</f>
        <v>New Build</v>
      </c>
      <c r="O4551" s="350" t="str">
        <f>IF($B4551="Portfolio","Portfolio",IFERROR(INDEX(DATA_ASSET_CLASSIFICATION!$AB$8:$AB$13,MATCH($N4551,DATA_ASSET_CLASSIFICATION!$AA$8:$AA$13,0)),"Review"))</f>
        <v>Bucket 1 · New Build</v>
      </c>
      <c r="P4551" s="350" t="str">
        <f>IF($B4551="Portfolio","Portfolio",IFERROR(INDEX(DATA_ASSET_CLASSIFICATION!$C$8:$C$24,MATCH($C4551,DATA_ASSET_CLASSIFICATION!$A$8:$A$24,0)),"Review"))</f>
        <v>Yes</v>
      </c>
      <c r="Q4551" s="350" t="str">
        <f t="shared" ca="1" si="143"/>
        <v>OK</v>
      </c>
    </row>
    <row r="4552" spans="1:17">
      <c r="A4552" s="366" t="s">
        <v>6508</v>
      </c>
      <c r="B4552" s="366" t="s">
        <v>231</v>
      </c>
      <c r="C4552" s="348" t="str">
        <f>DATA_PROPERTY_MASTER!$A$19</f>
        <v>BLD_PS</v>
      </c>
      <c r="D4552" s="380">
        <f>'00_PORTFOLIO ROLLUP'!Q$12</f>
        <v>2037</v>
      </c>
      <c r="E4552" s="366" t="s">
        <v>1683</v>
      </c>
      <c r="F4552" s="366" t="s">
        <v>29</v>
      </c>
      <c r="G4552" s="348" t="str">
        <f>"'"&amp;$C4552&amp;"'!$E$56:$Y$56"</f>
        <v>'BLD_PS'!$E$56:$Y$56</v>
      </c>
      <c r="H4552" s="381">
        <f ca="1">IF(IFERROR(INDEX(DATA_PROPERTY_MASTER!$E$5:$E$21,MATCH($C4552,DATA_PROPERTY_MASTER!$A$5:$A$21,0))="Yes",FALSE),IFERROR(INDEX(INDIRECT("'"&amp;$C4552&amp;"'!$E$56:$Y$56"),1,MATCH($D4552,INDIRECT("'"&amp;$C4552&amp;"'!$E$12:$Y$12"),0)),0),0)</f>
        <v>161731.57883610364</v>
      </c>
      <c r="I4552" s="366" t="s">
        <v>1685</v>
      </c>
      <c r="J4552" s="348" t="str">
        <f t="shared" ca="1" si="142"/>
        <v>OK</v>
      </c>
      <c r="K4552" s="366" t="s">
        <v>1718</v>
      </c>
      <c r="L4552" s="366" t="s">
        <v>2250</v>
      </c>
      <c r="M4552" s="350" t="str">
        <f>IF($B4552="Portfolio","Portfolio",IFERROR(INDEX(DATA_ASSET_CLASSIFICATION!$B$8:$B$24,MATCH($C4552,DATA_ASSET_CLASSIFICATION!$A$8:$A$24,0)),"Review"))</f>
        <v>450 Pacific Street</v>
      </c>
      <c r="N4552" s="350" t="str">
        <f>IF($B4552="Portfolio","Portfolio",IFERROR(INDEX(DATA_ASSET_CLASSIFICATION!$U$8:$U$24,MATCH($C4552,DATA_ASSET_CLASSIFICATION!$A$8:$A$24,0)),"Review"))</f>
        <v>New Build</v>
      </c>
      <c r="O4552" s="350" t="str">
        <f>IF($B4552="Portfolio","Portfolio",IFERROR(INDEX(DATA_ASSET_CLASSIFICATION!$AB$8:$AB$13,MATCH($N4552,DATA_ASSET_CLASSIFICATION!$AA$8:$AA$13,0)),"Review"))</f>
        <v>Bucket 1 · New Build</v>
      </c>
      <c r="P4552" s="350" t="str">
        <f>IF($B4552="Portfolio","Portfolio",IFERROR(INDEX(DATA_ASSET_CLASSIFICATION!$C$8:$C$24,MATCH($C4552,DATA_ASSET_CLASSIFICATION!$A$8:$A$24,0)),"Review"))</f>
        <v>Yes</v>
      </c>
      <c r="Q4552" s="350" t="str">
        <f t="shared" ca="1" si="143"/>
        <v>OK</v>
      </c>
    </row>
    <row r="4553" spans="1:17">
      <c r="A4553" s="366" t="s">
        <v>6509</v>
      </c>
      <c r="B4553" s="366" t="s">
        <v>231</v>
      </c>
      <c r="C4553" s="348" t="str">
        <f>DATA_PROPERTY_MASTER!$A$19</f>
        <v>BLD_PS</v>
      </c>
      <c r="D4553" s="380">
        <f>'00_PORTFOLIO ROLLUP'!Q$12</f>
        <v>2037</v>
      </c>
      <c r="E4553" s="366" t="s">
        <v>1721</v>
      </c>
      <c r="F4553" s="366" t="s">
        <v>31</v>
      </c>
      <c r="G4553" s="348" t="str">
        <f>"'"&amp;$C4553&amp;"'!$E$61:$Y$61"</f>
        <v>'BLD_PS'!$E$61:$Y$61</v>
      </c>
      <c r="H4553" s="381">
        <f ca="1">IF(IFERROR(INDEX(DATA_PROPERTY_MASTER!$E$5:$E$21,MATCH($C4553,DATA_PROPERTY_MASTER!$A$5:$A$21,0))="Yes",FALSE),IFERROR(INDEX(INDIRECT("'"&amp;$C4553&amp;"'!$E$61:$Y$61"),1,MATCH($D4553,INDIRECT("'"&amp;$C4553&amp;"'!$E$12:$Y$12"),0)),0),0)</f>
        <v>0</v>
      </c>
      <c r="I4553" s="366" t="s">
        <v>1690</v>
      </c>
      <c r="J4553" s="348" t="str">
        <f t="shared" ca="1" si="142"/>
        <v>OK</v>
      </c>
      <c r="K4553" s="366" t="s">
        <v>1723</v>
      </c>
      <c r="L4553" s="366" t="s">
        <v>2252</v>
      </c>
      <c r="M4553" s="350" t="str">
        <f>IF($B4553="Portfolio","Portfolio",IFERROR(INDEX(DATA_ASSET_CLASSIFICATION!$B$8:$B$24,MATCH($C4553,DATA_ASSET_CLASSIFICATION!$A$8:$A$24,0)),"Review"))</f>
        <v>450 Pacific Street</v>
      </c>
      <c r="N4553" s="350" t="str">
        <f>IF($B4553="Portfolio","Portfolio",IFERROR(INDEX(DATA_ASSET_CLASSIFICATION!$U$8:$U$24,MATCH($C4553,DATA_ASSET_CLASSIFICATION!$A$8:$A$24,0)),"Review"))</f>
        <v>New Build</v>
      </c>
      <c r="O4553" s="350" t="str">
        <f>IF($B4553="Portfolio","Portfolio",IFERROR(INDEX(DATA_ASSET_CLASSIFICATION!$AB$8:$AB$13,MATCH($N4553,DATA_ASSET_CLASSIFICATION!$AA$8:$AA$13,0)),"Review"))</f>
        <v>Bucket 1 · New Build</v>
      </c>
      <c r="P4553" s="350" t="str">
        <f>IF($B4553="Portfolio","Portfolio",IFERROR(INDEX(DATA_ASSET_CLASSIFICATION!$C$8:$C$24,MATCH($C4553,DATA_ASSET_CLASSIFICATION!$A$8:$A$24,0)),"Review"))</f>
        <v>Yes</v>
      </c>
      <c r="Q4553" s="350" t="str">
        <f t="shared" ca="1" si="143"/>
        <v>OK</v>
      </c>
    </row>
    <row r="4554" spans="1:17">
      <c r="A4554" s="366" t="s">
        <v>6510</v>
      </c>
      <c r="B4554" s="366" t="s">
        <v>231</v>
      </c>
      <c r="C4554" s="348" t="str">
        <f>DATA_PROPERTY_MASTER!$A$19</f>
        <v>BLD_PS</v>
      </c>
      <c r="D4554" s="380">
        <f>'00_PORTFOLIO ROLLUP'!Q$12</f>
        <v>2037</v>
      </c>
      <c r="E4554" s="366" t="s">
        <v>1721</v>
      </c>
      <c r="F4554" s="366" t="s">
        <v>33</v>
      </c>
      <c r="G4554" s="348" t="str">
        <f>"'"&amp;$C4554&amp;"'!$E$62:$Y$62"</f>
        <v>'BLD_PS'!$E$62:$Y$62</v>
      </c>
      <c r="H4554" s="381">
        <f ca="1">IF(IFERROR(INDEX(DATA_PROPERTY_MASTER!$E$5:$E$21,MATCH($C4554,DATA_PROPERTY_MASTER!$A$5:$A$21,0))="Yes",FALSE),IFERROR(INDEX(INDIRECT("'"&amp;$C4554&amp;"'!$E$62:$Y$62"),1,MATCH($D4554,INDIRECT("'"&amp;$C4554&amp;"'!$E$12:$Y$12"),0)),0),0)</f>
        <v>0</v>
      </c>
      <c r="I4554" s="366" t="s">
        <v>1685</v>
      </c>
      <c r="J4554" s="348" t="str">
        <f t="shared" ca="1" si="142"/>
        <v>OK</v>
      </c>
      <c r="K4554" s="366" t="s">
        <v>1727</v>
      </c>
      <c r="L4554" s="366" t="s">
        <v>2254</v>
      </c>
      <c r="M4554" s="350" t="str">
        <f>IF($B4554="Portfolio","Portfolio",IFERROR(INDEX(DATA_ASSET_CLASSIFICATION!$B$8:$B$24,MATCH($C4554,DATA_ASSET_CLASSIFICATION!$A$8:$A$24,0)),"Review"))</f>
        <v>450 Pacific Street</v>
      </c>
      <c r="N4554" s="350" t="str">
        <f>IF($B4554="Portfolio","Portfolio",IFERROR(INDEX(DATA_ASSET_CLASSIFICATION!$U$8:$U$24,MATCH($C4554,DATA_ASSET_CLASSIFICATION!$A$8:$A$24,0)),"Review"))</f>
        <v>New Build</v>
      </c>
      <c r="O4554" s="350" t="str">
        <f>IF($B4554="Portfolio","Portfolio",IFERROR(INDEX(DATA_ASSET_CLASSIFICATION!$AB$8:$AB$13,MATCH($N4554,DATA_ASSET_CLASSIFICATION!$AA$8:$AA$13,0)),"Review"))</f>
        <v>Bucket 1 · New Build</v>
      </c>
      <c r="P4554" s="350" t="str">
        <f>IF($B4554="Portfolio","Portfolio",IFERROR(INDEX(DATA_ASSET_CLASSIFICATION!$C$8:$C$24,MATCH($C4554,DATA_ASSET_CLASSIFICATION!$A$8:$A$24,0)),"Review"))</f>
        <v>Yes</v>
      </c>
      <c r="Q4554" s="350" t="str">
        <f t="shared" ca="1" si="143"/>
        <v>OK</v>
      </c>
    </row>
    <row r="4555" spans="1:17">
      <c r="A4555" s="366" t="s">
        <v>6511</v>
      </c>
      <c r="B4555" s="366" t="s">
        <v>231</v>
      </c>
      <c r="C4555" s="348" t="str">
        <f>DATA_PROPERTY_MASTER!$A$19</f>
        <v>BLD_PS</v>
      </c>
      <c r="D4555" s="380">
        <f>'00_PORTFOLIO ROLLUP'!Q$12</f>
        <v>2037</v>
      </c>
      <c r="E4555" s="366" t="s">
        <v>1721</v>
      </c>
      <c r="F4555" s="366" t="s">
        <v>35</v>
      </c>
      <c r="G4555" s="348" t="str">
        <f>"'"&amp;$C4555&amp;"'!$E$63:$Y$63"</f>
        <v>'BLD_PS'!$E$63:$Y$63</v>
      </c>
      <c r="H4555" s="381">
        <f ca="1">IF(IFERROR(INDEX(DATA_PROPERTY_MASTER!$E$5:$E$21,MATCH($C4555,DATA_PROPERTY_MASTER!$A$5:$A$21,0))="Yes",FALSE),IFERROR(INDEX(INDIRECT("'"&amp;$C4555&amp;"'!$E$63:$Y$63"),1,MATCH($D4555,INDIRECT("'"&amp;$C4555&amp;"'!$E$12:$Y$12"),0)),0),0)</f>
        <v>0</v>
      </c>
      <c r="I4555" s="366" t="s">
        <v>1731</v>
      </c>
      <c r="J4555" s="348" t="str">
        <f t="shared" ca="1" si="142"/>
        <v>OK</v>
      </c>
      <c r="K4555" s="366" t="s">
        <v>1732</v>
      </c>
      <c r="L4555" s="366" t="s">
        <v>2256</v>
      </c>
      <c r="M4555" s="350" t="str">
        <f>IF($B4555="Portfolio","Portfolio",IFERROR(INDEX(DATA_ASSET_CLASSIFICATION!$B$8:$B$24,MATCH($C4555,DATA_ASSET_CLASSIFICATION!$A$8:$A$24,0)),"Review"))</f>
        <v>450 Pacific Street</v>
      </c>
      <c r="N4555" s="350" t="str">
        <f>IF($B4555="Portfolio","Portfolio",IFERROR(INDEX(DATA_ASSET_CLASSIFICATION!$U$8:$U$24,MATCH($C4555,DATA_ASSET_CLASSIFICATION!$A$8:$A$24,0)),"Review"))</f>
        <v>New Build</v>
      </c>
      <c r="O4555" s="350" t="str">
        <f>IF($B4555="Portfolio","Portfolio",IFERROR(INDEX(DATA_ASSET_CLASSIFICATION!$AB$8:$AB$13,MATCH($N4555,DATA_ASSET_CLASSIFICATION!$AA$8:$AA$13,0)),"Review"))</f>
        <v>Bucket 1 · New Build</v>
      </c>
      <c r="P4555" s="350" t="str">
        <f>IF($B4555="Portfolio","Portfolio",IFERROR(INDEX(DATA_ASSET_CLASSIFICATION!$C$8:$C$24,MATCH($C4555,DATA_ASSET_CLASSIFICATION!$A$8:$A$24,0)),"Review"))</f>
        <v>Yes</v>
      </c>
      <c r="Q4555" s="350" t="str">
        <f t="shared" ca="1" si="143"/>
        <v>OK</v>
      </c>
    </row>
    <row r="4556" spans="1:17">
      <c r="A4556" s="366" t="s">
        <v>6512</v>
      </c>
      <c r="B4556" s="366" t="s">
        <v>231</v>
      </c>
      <c r="C4556" s="348" t="str">
        <f>DATA_PROPERTY_MASTER!$A$19</f>
        <v>BLD_PS</v>
      </c>
      <c r="D4556" s="380">
        <f>'00_PORTFOLIO ROLLUP'!Q$12</f>
        <v>2037</v>
      </c>
      <c r="E4556" s="366" t="s">
        <v>1721</v>
      </c>
      <c r="F4556" s="366" t="s">
        <v>37</v>
      </c>
      <c r="G4556" s="348" t="str">
        <f>"'"&amp;$C4556&amp;"'!$E$63:$Y$63"</f>
        <v>'BLD_PS'!$E$63:$Y$63</v>
      </c>
      <c r="H4556" s="381">
        <f ca="1">IF(IFERROR(INDEX(DATA_PROPERTY_MASTER!$E$5:$E$21,MATCH($C4556,DATA_PROPERTY_MASTER!$A$5:$A$21,0))="Yes",FALSE),MAX(IFERROR(INDEX(INDIRECT("'"&amp;$C4556&amp;"'!$E$63:$Y$63"),1,MATCH($D4556,INDIRECT("'"&amp;$C4556&amp;"'!$E$12:$Y$12"),0)),0),0),0)</f>
        <v>0</v>
      </c>
      <c r="I4556" s="366" t="s">
        <v>1685</v>
      </c>
      <c r="J4556" s="348" t="str">
        <f t="shared" ca="1" si="142"/>
        <v>OK</v>
      </c>
      <c r="K4556" s="366" t="s">
        <v>1735</v>
      </c>
      <c r="L4556" s="366" t="s">
        <v>2258</v>
      </c>
      <c r="M4556" s="350" t="str">
        <f>IF($B4556="Portfolio","Portfolio",IFERROR(INDEX(DATA_ASSET_CLASSIFICATION!$B$8:$B$24,MATCH($C4556,DATA_ASSET_CLASSIFICATION!$A$8:$A$24,0)),"Review"))</f>
        <v>450 Pacific Street</v>
      </c>
      <c r="N4556" s="350" t="str">
        <f>IF($B4556="Portfolio","Portfolio",IFERROR(INDEX(DATA_ASSET_CLASSIFICATION!$U$8:$U$24,MATCH($C4556,DATA_ASSET_CLASSIFICATION!$A$8:$A$24,0)),"Review"))</f>
        <v>New Build</v>
      </c>
      <c r="O4556" s="350" t="str">
        <f>IF($B4556="Portfolio","Portfolio",IFERROR(INDEX(DATA_ASSET_CLASSIFICATION!$AB$8:$AB$13,MATCH($N4556,DATA_ASSET_CLASSIFICATION!$AA$8:$AA$13,0)),"Review"))</f>
        <v>Bucket 1 · New Build</v>
      </c>
      <c r="P4556" s="350" t="str">
        <f>IF($B4556="Portfolio","Portfolio",IFERROR(INDEX(DATA_ASSET_CLASSIFICATION!$C$8:$C$24,MATCH($C4556,DATA_ASSET_CLASSIFICATION!$A$8:$A$24,0)),"Review"))</f>
        <v>Yes</v>
      </c>
      <c r="Q4556" s="350" t="str">
        <f t="shared" ca="1" si="143"/>
        <v>OK</v>
      </c>
    </row>
    <row r="4557" spans="1:17">
      <c r="A4557" s="366" t="s">
        <v>6513</v>
      </c>
      <c r="B4557" s="366" t="s">
        <v>231</v>
      </c>
      <c r="C4557" s="348" t="str">
        <f>DATA_PROPERTY_MASTER!$A$19</f>
        <v>BLD_PS</v>
      </c>
      <c r="D4557" s="380">
        <f>'00_PORTFOLIO ROLLUP'!Q$12</f>
        <v>2037</v>
      </c>
      <c r="E4557" s="366" t="s">
        <v>1721</v>
      </c>
      <c r="F4557" s="366" t="s">
        <v>39</v>
      </c>
      <c r="G4557" s="348" t="str">
        <f>"'"&amp;$C4557&amp;"'!$E$63:$Y$63"</f>
        <v>'BLD_PS'!$E$63:$Y$63</v>
      </c>
      <c r="H4557" s="381">
        <f ca="1">IF(IFERROR(INDEX(DATA_PROPERTY_MASTER!$E$5:$E$21,MATCH($C4557,DATA_PROPERTY_MASTER!$A$5:$A$21,0))="Yes",FALSE),MAX(-IFERROR(INDEX(INDIRECT("'"&amp;$C4557&amp;"'!$E$63:$Y$63"),1,MATCH($D4557,INDIRECT("'"&amp;$C4557&amp;"'!$E$12:$Y$12"),0)),0),0),0)</f>
        <v>0</v>
      </c>
      <c r="I4557" s="366" t="s">
        <v>1690</v>
      </c>
      <c r="J4557" s="348" t="str">
        <f t="shared" ca="1" si="142"/>
        <v>OK</v>
      </c>
      <c r="K4557" s="366" t="s">
        <v>1738</v>
      </c>
      <c r="L4557" s="366" t="s">
        <v>2260</v>
      </c>
      <c r="M4557" s="350" t="str">
        <f>IF($B4557="Portfolio","Portfolio",IFERROR(INDEX(DATA_ASSET_CLASSIFICATION!$B$8:$B$24,MATCH($C4557,DATA_ASSET_CLASSIFICATION!$A$8:$A$24,0)),"Review"))</f>
        <v>450 Pacific Street</v>
      </c>
      <c r="N4557" s="350" t="str">
        <f>IF($B4557="Portfolio","Portfolio",IFERROR(INDEX(DATA_ASSET_CLASSIFICATION!$U$8:$U$24,MATCH($C4557,DATA_ASSET_CLASSIFICATION!$A$8:$A$24,0)),"Review"))</f>
        <v>New Build</v>
      </c>
      <c r="O4557" s="350" t="str">
        <f>IF($B4557="Portfolio","Portfolio",IFERROR(INDEX(DATA_ASSET_CLASSIFICATION!$AB$8:$AB$13,MATCH($N4557,DATA_ASSET_CLASSIFICATION!$AA$8:$AA$13,0)),"Review"))</f>
        <v>Bucket 1 · New Build</v>
      </c>
      <c r="P4557" s="350" t="str">
        <f>IF($B4557="Portfolio","Portfolio",IFERROR(INDEX(DATA_ASSET_CLASSIFICATION!$C$8:$C$24,MATCH($C4557,DATA_ASSET_CLASSIFICATION!$A$8:$A$24,0)),"Review"))</f>
        <v>Yes</v>
      </c>
      <c r="Q4557" s="350" t="str">
        <f t="shared" ca="1" si="143"/>
        <v>OK</v>
      </c>
    </row>
    <row r="4558" spans="1:17">
      <c r="A4558" s="366" t="s">
        <v>6514</v>
      </c>
      <c r="B4558" s="366" t="s">
        <v>231</v>
      </c>
      <c r="C4558" s="348" t="str">
        <f>DATA_PROPERTY_MASTER!$A$19</f>
        <v>BLD_PS</v>
      </c>
      <c r="D4558" s="380">
        <f>'00_PORTFOLIO ROLLUP'!Q$12</f>
        <v>2037</v>
      </c>
      <c r="E4558" s="366" t="s">
        <v>1741</v>
      </c>
      <c r="F4558" s="366" t="s">
        <v>41</v>
      </c>
      <c r="G4558" s="348" t="str">
        <f>"'"&amp;$C4558&amp;"'!rows 56 + positive row 63"</f>
        <v>'BLD_PS'!rows 56 + positive row 63</v>
      </c>
      <c r="H4558" s="381">
        <f ca="1">IF(IFERROR(INDEX(DATA_PROPERTY_MASTER!$E$5:$E$21,MATCH($C4558,DATA_PROPERTY_MASTER!$A$5:$A$21,0))="Yes",FALSE),IFERROR(INDEX(INDIRECT("'"&amp;$C4558&amp;"'!$E$56:$Y$56"),1,MATCH($D4558,INDIRECT("'"&amp;$C4558&amp;"'!$E$12:$Y$12"),0)),0)+MAX(IFERROR(INDEX(INDIRECT("'"&amp;$C4558&amp;"'!$E$63:$Y$63"),1,MATCH($D4558,INDIRECT("'"&amp;$C4558&amp;"'!$E$12:$Y$12"),0)),0),0),0)</f>
        <v>161731.57883610364</v>
      </c>
      <c r="I4558" s="366" t="s">
        <v>1685</v>
      </c>
      <c r="J4558" s="348" t="str">
        <f t="shared" ca="1" si="142"/>
        <v>OK</v>
      </c>
      <c r="K4558" s="366" t="s">
        <v>1742</v>
      </c>
      <c r="L4558" s="366" t="s">
        <v>2262</v>
      </c>
      <c r="M4558" s="350" t="str">
        <f>IF($B4558="Portfolio","Portfolio",IFERROR(INDEX(DATA_ASSET_CLASSIFICATION!$B$8:$B$24,MATCH($C4558,DATA_ASSET_CLASSIFICATION!$A$8:$A$24,0)),"Review"))</f>
        <v>450 Pacific Street</v>
      </c>
      <c r="N4558" s="350" t="str">
        <f>IF($B4558="Portfolio","Portfolio",IFERROR(INDEX(DATA_ASSET_CLASSIFICATION!$U$8:$U$24,MATCH($C4558,DATA_ASSET_CLASSIFICATION!$A$8:$A$24,0)),"Review"))</f>
        <v>New Build</v>
      </c>
      <c r="O4558" s="350" t="str">
        <f>IF($B4558="Portfolio","Portfolio",IFERROR(INDEX(DATA_ASSET_CLASSIFICATION!$AB$8:$AB$13,MATCH($N4558,DATA_ASSET_CLASSIFICATION!$AA$8:$AA$13,0)),"Review"))</f>
        <v>Bucket 1 · New Build</v>
      </c>
      <c r="P4558" s="350" t="str">
        <f>IF($B4558="Portfolio","Portfolio",IFERROR(INDEX(DATA_ASSET_CLASSIFICATION!$C$8:$C$24,MATCH($C4558,DATA_ASSET_CLASSIFICATION!$A$8:$A$24,0)),"Review"))</f>
        <v>Yes</v>
      </c>
      <c r="Q4558" s="350" t="str">
        <f t="shared" ca="1" si="143"/>
        <v>OK</v>
      </c>
    </row>
    <row r="4559" spans="1:17">
      <c r="A4559" s="366" t="s">
        <v>6515</v>
      </c>
      <c r="B4559" s="366" t="s">
        <v>231</v>
      </c>
      <c r="C4559" s="348" t="str">
        <f>DATA_PROPERTY_MASTER!$A$19</f>
        <v>BLD_PS</v>
      </c>
      <c r="D4559" s="380">
        <f>'00_PORTFOLIO ROLLUP'!Q$12</f>
        <v>2037</v>
      </c>
      <c r="E4559" s="366" t="s">
        <v>1741</v>
      </c>
      <c r="F4559" s="366" t="s">
        <v>43</v>
      </c>
      <c r="G4559" s="348" t="str">
        <f>"'"&amp;$C4559&amp;"'!$E$68:$Y$68"</f>
        <v>'BLD_PS'!$E$68:$Y$68</v>
      </c>
      <c r="H4559" s="381">
        <f ca="1">IF(IFERROR(INDEX(DATA_PROPERTY_MASTER!$E$5:$E$21,MATCH($C4559,DATA_PROPERTY_MASTER!$A$5:$A$21,0))="Yes",FALSE),IFERROR(INDEX(INDIRECT("'"&amp;$C4559&amp;"'!$E$68:$Y$68"),1,MATCH($D4559,INDIRECT("'"&amp;$C4559&amp;"'!$E$12:$Y$12"),0)),0),0)</f>
        <v>161731.57883610364</v>
      </c>
      <c r="I4559" s="366" t="s">
        <v>1731</v>
      </c>
      <c r="J4559" s="348" t="str">
        <f t="shared" ca="1" si="142"/>
        <v>OK</v>
      </c>
      <c r="K4559" s="366" t="s">
        <v>1746</v>
      </c>
      <c r="L4559" s="366" t="s">
        <v>2264</v>
      </c>
      <c r="M4559" s="350" t="str">
        <f>IF($B4559="Portfolio","Portfolio",IFERROR(INDEX(DATA_ASSET_CLASSIFICATION!$B$8:$B$24,MATCH($C4559,DATA_ASSET_CLASSIFICATION!$A$8:$A$24,0)),"Review"))</f>
        <v>450 Pacific Street</v>
      </c>
      <c r="N4559" s="350" t="str">
        <f>IF($B4559="Portfolio","Portfolio",IFERROR(INDEX(DATA_ASSET_CLASSIFICATION!$U$8:$U$24,MATCH($C4559,DATA_ASSET_CLASSIFICATION!$A$8:$A$24,0)),"Review"))</f>
        <v>New Build</v>
      </c>
      <c r="O4559" s="350" t="str">
        <f>IF($B4559="Portfolio","Portfolio",IFERROR(INDEX(DATA_ASSET_CLASSIFICATION!$AB$8:$AB$13,MATCH($N4559,DATA_ASSET_CLASSIFICATION!$AA$8:$AA$13,0)),"Review"))</f>
        <v>Bucket 1 · New Build</v>
      </c>
      <c r="P4559" s="350" t="str">
        <f>IF($B4559="Portfolio","Portfolio",IFERROR(INDEX(DATA_ASSET_CLASSIFICATION!$C$8:$C$24,MATCH($C4559,DATA_ASSET_CLASSIFICATION!$A$8:$A$24,0)),"Review"))</f>
        <v>Yes</v>
      </c>
      <c r="Q4559" s="350" t="str">
        <f t="shared" ca="1" si="143"/>
        <v>OK</v>
      </c>
    </row>
    <row r="4560" spans="1:17">
      <c r="A4560" s="366" t="s">
        <v>6516</v>
      </c>
      <c r="B4560" s="366" t="s">
        <v>231</v>
      </c>
      <c r="C4560" s="348" t="str">
        <f>DATA_PROPERTY_MASTER!$A$19</f>
        <v>BLD_PS</v>
      </c>
      <c r="D4560" s="380">
        <f>'00_PORTFOLIO ROLLUP'!Q$12</f>
        <v>2037</v>
      </c>
      <c r="E4560" s="366" t="s">
        <v>1741</v>
      </c>
      <c r="F4560" s="366" t="s">
        <v>1749</v>
      </c>
      <c r="G4560" s="348" t="str">
        <f>"'"&amp;$C4560&amp;"'!rows 56, 63, 68"</f>
        <v>'BLD_PS'!rows 56, 63, 68</v>
      </c>
      <c r="H4560" s="381">
        <f ca="1">IF(IFERROR(INDEX(DATA_PROPERTY_MASTER!$E$5:$E$21,MATCH($C4560,DATA_PROPERTY_MASTER!$A$5:$A$21,0))="Yes",FALSE),(IFERROR(INDEX(INDIRECT("'"&amp;$C4560&amp;"'!$E$56:$Y$56"),1,MATCH($D4560,INDIRECT("'"&amp;$C4560&amp;"'!$E$12:$Y$12"),0)),0)+MAX(IFERROR(INDEX(INDIRECT("'"&amp;$C4560&amp;"'!$E$63:$Y$63"),1,MATCH($D4560,INDIRECT("'"&amp;$C4560&amp;"'!$E$12:$Y$12"),0)),0),0))-(IFERROR(INDEX(INDIRECT("'"&amp;$C4560&amp;"'!$E$68:$Y$68"),1,MATCH($D4560,INDIRECT("'"&amp;$C4560&amp;"'!$E$12:$Y$12"),0)),0)),0)</f>
        <v>0</v>
      </c>
      <c r="I4560" s="366" t="s">
        <v>1750</v>
      </c>
      <c r="J4560" s="348" t="str">
        <f t="shared" ca="1" si="142"/>
        <v>OK</v>
      </c>
      <c r="K4560" s="366" t="s">
        <v>1751</v>
      </c>
      <c r="L4560" s="366" t="s">
        <v>2266</v>
      </c>
      <c r="M4560" s="350" t="str">
        <f>IF($B4560="Portfolio","Portfolio",IFERROR(INDEX(DATA_ASSET_CLASSIFICATION!$B$8:$B$24,MATCH($C4560,DATA_ASSET_CLASSIFICATION!$A$8:$A$24,0)),"Review"))</f>
        <v>450 Pacific Street</v>
      </c>
      <c r="N4560" s="350" t="str">
        <f>IF($B4560="Portfolio","Portfolio",IFERROR(INDEX(DATA_ASSET_CLASSIFICATION!$U$8:$U$24,MATCH($C4560,DATA_ASSET_CLASSIFICATION!$A$8:$A$24,0)),"Review"))</f>
        <v>New Build</v>
      </c>
      <c r="O4560" s="350" t="str">
        <f>IF($B4560="Portfolio","Portfolio",IFERROR(INDEX(DATA_ASSET_CLASSIFICATION!$AB$8:$AB$13,MATCH($N4560,DATA_ASSET_CLASSIFICATION!$AA$8:$AA$13,0)),"Review"))</f>
        <v>Bucket 1 · New Build</v>
      </c>
      <c r="P4560" s="350" t="str">
        <f>IF($B4560="Portfolio","Portfolio",IFERROR(INDEX(DATA_ASSET_CLASSIFICATION!$C$8:$C$24,MATCH($C4560,DATA_ASSET_CLASSIFICATION!$A$8:$A$24,0)),"Review"))</f>
        <v>Yes</v>
      </c>
      <c r="Q4560" s="350" t="str">
        <f t="shared" ca="1" si="143"/>
        <v>OK</v>
      </c>
    </row>
    <row r="4561" spans="1:17">
      <c r="A4561" s="366" t="s">
        <v>6517</v>
      </c>
      <c r="B4561" s="366" t="s">
        <v>231</v>
      </c>
      <c r="C4561" s="348" t="str">
        <f>DATA_PROPERTY_MASTER!$A$19</f>
        <v>BLD_PS</v>
      </c>
      <c r="D4561" s="380">
        <f>'00_PORTFOLIO ROLLUP'!R$12</f>
        <v>2038</v>
      </c>
      <c r="E4561" s="366" t="s">
        <v>1683</v>
      </c>
      <c r="F4561" s="366" t="s">
        <v>341</v>
      </c>
      <c r="G4561" s="348" t="str">
        <f>"'"&amp;$C4561&amp;"'!$E$24:$Y$24"</f>
        <v>'BLD_PS'!$E$24:$Y$24</v>
      </c>
      <c r="H4561" s="381">
        <f ca="1">IF(IFERROR(INDEX(DATA_PROPERTY_MASTER!$E$5:$E$21,MATCH($C4561,DATA_PROPERTY_MASTER!$A$5:$A$21,0))="Yes",FALSE),IFERROR(INDEX(INDIRECT("'"&amp;$C4561&amp;"'!$E$24:$Y$24"),1,MATCH($D4561,INDIRECT("'"&amp;$C4561&amp;"'!$E$12:$Y$12"),0)),0),0)</f>
        <v>2165490.444049092</v>
      </c>
      <c r="I4561" s="366" t="s">
        <v>1685</v>
      </c>
      <c r="J4561" s="348" t="str">
        <f t="shared" ca="1" si="142"/>
        <v>OK</v>
      </c>
      <c r="K4561" s="366" t="s">
        <v>1686</v>
      </c>
      <c r="L4561" s="366" t="s">
        <v>2234</v>
      </c>
      <c r="M4561" s="350" t="str">
        <f>IF($B4561="Portfolio","Portfolio",IFERROR(INDEX(DATA_ASSET_CLASSIFICATION!$B$8:$B$24,MATCH($C4561,DATA_ASSET_CLASSIFICATION!$A$8:$A$24,0)),"Review"))</f>
        <v>450 Pacific Street</v>
      </c>
      <c r="N4561" s="350" t="str">
        <f>IF($B4561="Portfolio","Portfolio",IFERROR(INDEX(DATA_ASSET_CLASSIFICATION!$U$8:$U$24,MATCH($C4561,DATA_ASSET_CLASSIFICATION!$A$8:$A$24,0)),"Review"))</f>
        <v>New Build</v>
      </c>
      <c r="O4561" s="350" t="str">
        <f>IF($B4561="Portfolio","Portfolio",IFERROR(INDEX(DATA_ASSET_CLASSIFICATION!$AB$8:$AB$13,MATCH($N4561,DATA_ASSET_CLASSIFICATION!$AA$8:$AA$13,0)),"Review"))</f>
        <v>Bucket 1 · New Build</v>
      </c>
      <c r="P4561" s="350" t="str">
        <f>IF($B4561="Portfolio","Portfolio",IFERROR(INDEX(DATA_ASSET_CLASSIFICATION!$C$8:$C$24,MATCH($C4561,DATA_ASSET_CLASSIFICATION!$A$8:$A$24,0)),"Review"))</f>
        <v>Yes</v>
      </c>
      <c r="Q4561" s="350" t="str">
        <f t="shared" ca="1" si="143"/>
        <v>OK</v>
      </c>
    </row>
    <row r="4562" spans="1:17">
      <c r="A4562" s="366" t="s">
        <v>6518</v>
      </c>
      <c r="B4562" s="366" t="s">
        <v>231</v>
      </c>
      <c r="C4562" s="348" t="str">
        <f>DATA_PROPERTY_MASTER!$A$19</f>
        <v>BLD_PS</v>
      </c>
      <c r="D4562" s="380">
        <f>'00_PORTFOLIO ROLLUP'!R$12</f>
        <v>2038</v>
      </c>
      <c r="E4562" s="366" t="s">
        <v>1683</v>
      </c>
      <c r="F4562" s="366" t="s">
        <v>355</v>
      </c>
      <c r="G4562" s="348" t="str">
        <f>"'"&amp;$C4562&amp;"'!$E$39:$Y$39"</f>
        <v>'BLD_PS'!$E$39:$Y$39</v>
      </c>
      <c r="H4562" s="381">
        <f ca="1">IF(IFERROR(INDEX(DATA_PROPERTY_MASTER!$E$5:$E$21,MATCH($C4562,DATA_PROPERTY_MASTER!$A$5:$A$21,0))="Yes",FALSE),IFERROR(INDEX(INDIRECT("'"&amp;$C4562&amp;"'!$E$39:$Y$39"),1,MATCH($D4562,INDIRECT("'"&amp;$C4562&amp;"'!$E$12:$Y$12"),0)),0),0)</f>
        <v>1077521.4508387139</v>
      </c>
      <c r="I4562" s="366" t="s">
        <v>1690</v>
      </c>
      <c r="J4562" s="348" t="str">
        <f t="shared" ca="1" si="142"/>
        <v>OK</v>
      </c>
      <c r="K4562" s="366" t="s">
        <v>1686</v>
      </c>
      <c r="L4562" s="366" t="s">
        <v>2236</v>
      </c>
      <c r="M4562" s="350" t="str">
        <f>IF($B4562="Portfolio","Portfolio",IFERROR(INDEX(DATA_ASSET_CLASSIFICATION!$B$8:$B$24,MATCH($C4562,DATA_ASSET_CLASSIFICATION!$A$8:$A$24,0)),"Review"))</f>
        <v>450 Pacific Street</v>
      </c>
      <c r="N4562" s="350" t="str">
        <f>IF($B4562="Portfolio","Portfolio",IFERROR(INDEX(DATA_ASSET_CLASSIFICATION!$U$8:$U$24,MATCH($C4562,DATA_ASSET_CLASSIFICATION!$A$8:$A$24,0)),"Review"))</f>
        <v>New Build</v>
      </c>
      <c r="O4562" s="350" t="str">
        <f>IF($B4562="Portfolio","Portfolio",IFERROR(INDEX(DATA_ASSET_CLASSIFICATION!$AB$8:$AB$13,MATCH($N4562,DATA_ASSET_CLASSIFICATION!$AA$8:$AA$13,0)),"Review"))</f>
        <v>Bucket 1 · New Build</v>
      </c>
      <c r="P4562" s="350" t="str">
        <f>IF($B4562="Portfolio","Portfolio",IFERROR(INDEX(DATA_ASSET_CLASSIFICATION!$C$8:$C$24,MATCH($C4562,DATA_ASSET_CLASSIFICATION!$A$8:$A$24,0)),"Review"))</f>
        <v>Yes</v>
      </c>
      <c r="Q4562" s="350" t="str">
        <f t="shared" ca="1" si="143"/>
        <v>OK</v>
      </c>
    </row>
    <row r="4563" spans="1:17">
      <c r="A4563" s="366" t="s">
        <v>6519</v>
      </c>
      <c r="B4563" s="366" t="s">
        <v>231</v>
      </c>
      <c r="C4563" s="348" t="str">
        <f>DATA_PROPERTY_MASTER!$A$19</f>
        <v>BLD_PS</v>
      </c>
      <c r="D4563" s="380">
        <f>'00_PORTFOLIO ROLLUP'!R$12</f>
        <v>2038</v>
      </c>
      <c r="E4563" s="366" t="s">
        <v>1683</v>
      </c>
      <c r="F4563" s="366" t="s">
        <v>19</v>
      </c>
      <c r="G4563" s="348" t="str">
        <f>"'"&amp;$C4563&amp;"'!$E$41:$Y$41"</f>
        <v>'BLD_PS'!$E$41:$Y$41</v>
      </c>
      <c r="H4563" s="381">
        <f ca="1">IF(IFERROR(INDEX(DATA_PROPERTY_MASTER!$E$5:$E$21,MATCH($C4563,DATA_PROPERTY_MASTER!$A$5:$A$21,0))="Yes",FALSE),IFERROR(INDEX(INDIRECT("'"&amp;$C4563&amp;"'!$E$41:$Y$41"),1,MATCH($D4563,INDIRECT("'"&amp;$C4563&amp;"'!$E$12:$Y$12"),0)),0),0)</f>
        <v>1087968.9932103781</v>
      </c>
      <c r="I4563" s="366" t="s">
        <v>1685</v>
      </c>
      <c r="J4563" s="348" t="str">
        <f t="shared" ca="1" si="142"/>
        <v>OK</v>
      </c>
      <c r="K4563" s="366" t="s">
        <v>1694</v>
      </c>
      <c r="L4563" s="366" t="s">
        <v>2238</v>
      </c>
      <c r="M4563" s="350" t="str">
        <f>IF($B4563="Portfolio","Portfolio",IFERROR(INDEX(DATA_ASSET_CLASSIFICATION!$B$8:$B$24,MATCH($C4563,DATA_ASSET_CLASSIFICATION!$A$8:$A$24,0)),"Review"))</f>
        <v>450 Pacific Street</v>
      </c>
      <c r="N4563" s="350" t="str">
        <f>IF($B4563="Portfolio","Portfolio",IFERROR(INDEX(DATA_ASSET_CLASSIFICATION!$U$8:$U$24,MATCH($C4563,DATA_ASSET_CLASSIFICATION!$A$8:$A$24,0)),"Review"))</f>
        <v>New Build</v>
      </c>
      <c r="O4563" s="350" t="str">
        <f>IF($B4563="Portfolio","Portfolio",IFERROR(INDEX(DATA_ASSET_CLASSIFICATION!$AB$8:$AB$13,MATCH($N4563,DATA_ASSET_CLASSIFICATION!$AA$8:$AA$13,0)),"Review"))</f>
        <v>Bucket 1 · New Build</v>
      </c>
      <c r="P4563" s="350" t="str">
        <f>IF($B4563="Portfolio","Portfolio",IFERROR(INDEX(DATA_ASSET_CLASSIFICATION!$C$8:$C$24,MATCH($C4563,DATA_ASSET_CLASSIFICATION!$A$8:$A$24,0)),"Review"))</f>
        <v>Yes</v>
      </c>
      <c r="Q4563" s="350" t="str">
        <f t="shared" ca="1" si="143"/>
        <v>OK</v>
      </c>
    </row>
    <row r="4564" spans="1:17">
      <c r="A4564" s="366" t="s">
        <v>6520</v>
      </c>
      <c r="B4564" s="366" t="s">
        <v>231</v>
      </c>
      <c r="C4564" s="348" t="str">
        <f>DATA_PROPERTY_MASTER!$A$19</f>
        <v>BLD_PS</v>
      </c>
      <c r="D4564" s="380">
        <f>'00_PORTFOLIO ROLLUP'!R$12</f>
        <v>2038</v>
      </c>
      <c r="E4564" s="366" t="s">
        <v>1683</v>
      </c>
      <c r="F4564" s="366" t="s">
        <v>1697</v>
      </c>
      <c r="G4564" s="348" t="str">
        <f>"'"&amp;$C4564&amp;"'!$E$44:$Y$44"</f>
        <v>'BLD_PS'!$E$44:$Y$44</v>
      </c>
      <c r="H4564" s="381">
        <f ca="1">IF(IFERROR(INDEX(DATA_PROPERTY_MASTER!$E$5:$E$21,MATCH($C4564,DATA_PROPERTY_MASTER!$A$5:$A$21,0))="Yes",FALSE),IFERROR(INDEX(INDIRECT("'"&amp;$C4564&amp;"'!$E$44:$Y$44"),1,MATCH($D4564,INDIRECT("'"&amp;$C4564&amp;"'!$E$12:$Y$12"),0)),0),0)</f>
        <v>17657.730505694315</v>
      </c>
      <c r="I4564" s="366" t="s">
        <v>1690</v>
      </c>
      <c r="J4564" s="348" t="str">
        <f t="shared" ca="1" si="142"/>
        <v>OK</v>
      </c>
      <c r="K4564" s="366" t="s">
        <v>1699</v>
      </c>
      <c r="L4564" s="366" t="s">
        <v>2240</v>
      </c>
      <c r="M4564" s="350" t="str">
        <f>IF($B4564="Portfolio","Portfolio",IFERROR(INDEX(DATA_ASSET_CLASSIFICATION!$B$8:$B$24,MATCH($C4564,DATA_ASSET_CLASSIFICATION!$A$8:$A$24,0)),"Review"))</f>
        <v>450 Pacific Street</v>
      </c>
      <c r="N4564" s="350" t="str">
        <f>IF($B4564="Portfolio","Portfolio",IFERROR(INDEX(DATA_ASSET_CLASSIFICATION!$U$8:$U$24,MATCH($C4564,DATA_ASSET_CLASSIFICATION!$A$8:$A$24,0)),"Review"))</f>
        <v>New Build</v>
      </c>
      <c r="O4564" s="350" t="str">
        <f>IF($B4564="Portfolio","Portfolio",IFERROR(INDEX(DATA_ASSET_CLASSIFICATION!$AB$8:$AB$13,MATCH($N4564,DATA_ASSET_CLASSIFICATION!$AA$8:$AA$13,0)),"Review"))</f>
        <v>Bucket 1 · New Build</v>
      </c>
      <c r="P4564" s="350" t="str">
        <f>IF($B4564="Portfolio","Portfolio",IFERROR(INDEX(DATA_ASSET_CLASSIFICATION!$C$8:$C$24,MATCH($C4564,DATA_ASSET_CLASSIFICATION!$A$8:$A$24,0)),"Review"))</f>
        <v>Yes</v>
      </c>
      <c r="Q4564" s="350" t="str">
        <f t="shared" ca="1" si="143"/>
        <v>OK</v>
      </c>
    </row>
    <row r="4565" spans="1:17">
      <c r="A4565" s="366" t="s">
        <v>6521</v>
      </c>
      <c r="B4565" s="366" t="s">
        <v>231</v>
      </c>
      <c r="C4565" s="348" t="str">
        <f>DATA_PROPERTY_MASTER!$A$19</f>
        <v>BLD_PS</v>
      </c>
      <c r="D4565" s="380">
        <f>'00_PORTFOLIO ROLLUP'!R$12</f>
        <v>2038</v>
      </c>
      <c r="E4565" s="366" t="s">
        <v>1683</v>
      </c>
      <c r="F4565" s="366" t="s">
        <v>21</v>
      </c>
      <c r="G4565" s="348" t="str">
        <f>"'"&amp;$C4565&amp;"'!$E$45:$Y$45"</f>
        <v>'BLD_PS'!$E$45:$Y$45</v>
      </c>
      <c r="H4565" s="381">
        <f ca="1">IF(IFERROR(INDEX(DATA_PROPERTY_MASTER!$E$5:$E$21,MATCH($C4565,DATA_PROPERTY_MASTER!$A$5:$A$21,0))="Yes",FALSE),IFERROR(INDEX(INDIRECT("'"&amp;$C4565&amp;"'!$E$45:$Y$45"),1,MATCH($D4565,INDIRECT("'"&amp;$C4565&amp;"'!$E$12:$Y$12"),0)),0),0)</f>
        <v>1070311.2627046837</v>
      </c>
      <c r="I4565" s="366" t="s">
        <v>1685</v>
      </c>
      <c r="J4565" s="348" t="str">
        <f t="shared" ca="1" si="142"/>
        <v>OK</v>
      </c>
      <c r="K4565" s="366" t="s">
        <v>1694</v>
      </c>
      <c r="L4565" s="366" t="s">
        <v>2242</v>
      </c>
      <c r="M4565" s="350" t="str">
        <f>IF($B4565="Portfolio","Portfolio",IFERROR(INDEX(DATA_ASSET_CLASSIFICATION!$B$8:$B$24,MATCH($C4565,DATA_ASSET_CLASSIFICATION!$A$8:$A$24,0)),"Review"))</f>
        <v>450 Pacific Street</v>
      </c>
      <c r="N4565" s="350" t="str">
        <f>IF($B4565="Portfolio","Portfolio",IFERROR(INDEX(DATA_ASSET_CLASSIFICATION!$U$8:$U$24,MATCH($C4565,DATA_ASSET_CLASSIFICATION!$A$8:$A$24,0)),"Review"))</f>
        <v>New Build</v>
      </c>
      <c r="O4565" s="350" t="str">
        <f>IF($B4565="Portfolio","Portfolio",IFERROR(INDEX(DATA_ASSET_CLASSIFICATION!$AB$8:$AB$13,MATCH($N4565,DATA_ASSET_CLASSIFICATION!$AA$8:$AA$13,0)),"Review"))</f>
        <v>Bucket 1 · New Build</v>
      </c>
      <c r="P4565" s="350" t="str">
        <f>IF($B4565="Portfolio","Portfolio",IFERROR(INDEX(DATA_ASSET_CLASSIFICATION!$C$8:$C$24,MATCH($C4565,DATA_ASSET_CLASSIFICATION!$A$8:$A$24,0)),"Review"))</f>
        <v>Yes</v>
      </c>
      <c r="Q4565" s="350" t="str">
        <f t="shared" ca="1" si="143"/>
        <v>OK</v>
      </c>
    </row>
    <row r="4566" spans="1:17">
      <c r="A4566" s="366" t="s">
        <v>6522</v>
      </c>
      <c r="B4566" s="366" t="s">
        <v>231</v>
      </c>
      <c r="C4566" s="348" t="str">
        <f>DATA_PROPERTY_MASTER!$A$19</f>
        <v>BLD_PS</v>
      </c>
      <c r="D4566" s="380">
        <f>'00_PORTFOLIO ROLLUP'!R$12</f>
        <v>2038</v>
      </c>
      <c r="E4566" s="366" t="s">
        <v>23</v>
      </c>
      <c r="F4566" s="366" t="s">
        <v>23</v>
      </c>
      <c r="G4566" s="348" t="str">
        <f>"'"&amp;$C4566&amp;"'!$E$48:$Y$48"</f>
        <v>'BLD_PS'!$E$48:$Y$48</v>
      </c>
      <c r="H4566" s="381">
        <f ca="1">IF(IFERROR(INDEX(DATA_PROPERTY_MASTER!$E$5:$E$21,MATCH($C4566,DATA_PROPERTY_MASTER!$A$5:$A$21,0))="Yes",FALSE),IFERROR(INDEX(INDIRECT("'"&amp;$C4566&amp;"'!$E$48:$Y$48"),1,MATCH($D4566,INDIRECT("'"&amp;$C4566&amp;"'!$E$12:$Y$12"),0)),0),0)</f>
        <v>667460.46017404622</v>
      </c>
      <c r="I4566" s="366" t="s">
        <v>1690</v>
      </c>
      <c r="J4566" s="348" t="str">
        <f t="shared" ca="1" si="142"/>
        <v>OK</v>
      </c>
      <c r="K4566" s="366" t="s">
        <v>1706</v>
      </c>
      <c r="L4566" s="366" t="s">
        <v>2244</v>
      </c>
      <c r="M4566" s="350" t="str">
        <f>IF($B4566="Portfolio","Portfolio",IFERROR(INDEX(DATA_ASSET_CLASSIFICATION!$B$8:$B$24,MATCH($C4566,DATA_ASSET_CLASSIFICATION!$A$8:$A$24,0)),"Review"))</f>
        <v>450 Pacific Street</v>
      </c>
      <c r="N4566" s="350" t="str">
        <f>IF($B4566="Portfolio","Portfolio",IFERROR(INDEX(DATA_ASSET_CLASSIFICATION!$U$8:$U$24,MATCH($C4566,DATA_ASSET_CLASSIFICATION!$A$8:$A$24,0)),"Review"))</f>
        <v>New Build</v>
      </c>
      <c r="O4566" s="350" t="str">
        <f>IF($B4566="Portfolio","Portfolio",IFERROR(INDEX(DATA_ASSET_CLASSIFICATION!$AB$8:$AB$13,MATCH($N4566,DATA_ASSET_CLASSIFICATION!$AA$8:$AA$13,0)),"Review"))</f>
        <v>Bucket 1 · New Build</v>
      </c>
      <c r="P4566" s="350" t="str">
        <f>IF($B4566="Portfolio","Portfolio",IFERROR(INDEX(DATA_ASSET_CLASSIFICATION!$C$8:$C$24,MATCH($C4566,DATA_ASSET_CLASSIFICATION!$A$8:$A$24,0)),"Review"))</f>
        <v>Yes</v>
      </c>
      <c r="Q4566" s="350" t="str">
        <f t="shared" ca="1" si="143"/>
        <v>OK</v>
      </c>
    </row>
    <row r="4567" spans="1:17">
      <c r="A4567" s="366" t="s">
        <v>6523</v>
      </c>
      <c r="B4567" s="366" t="s">
        <v>231</v>
      </c>
      <c r="C4567" s="348" t="str">
        <f>DATA_PROPERTY_MASTER!$A$19</f>
        <v>BLD_PS</v>
      </c>
      <c r="D4567" s="380">
        <f>'00_PORTFOLIO ROLLUP'!R$12</f>
        <v>2038</v>
      </c>
      <c r="E4567" s="366" t="s">
        <v>1683</v>
      </c>
      <c r="F4567" s="366" t="s">
        <v>25</v>
      </c>
      <c r="G4567" s="348" t="str">
        <f>"'"&amp;$C4567&amp;"'!$E$52:$Y$52"</f>
        <v>'BLD_PS'!$E$52:$Y$52</v>
      </c>
      <c r="H4567" s="381">
        <f ca="1">IF(IFERROR(INDEX(DATA_PROPERTY_MASTER!$E$5:$E$21,MATCH($C4567,DATA_PROPERTY_MASTER!$A$5:$A$21,0))="Yes",FALSE),IFERROR(INDEX(INDIRECT("'"&amp;$C4567&amp;"'!$E$52:$Y$52"),1,MATCH($D4567,INDIRECT("'"&amp;$C4567&amp;"'!$E$12:$Y$12"),0)),0),0)</f>
        <v>420508.53303633188</v>
      </c>
      <c r="I4567" s="366" t="s">
        <v>1685</v>
      </c>
      <c r="J4567" s="348" t="str">
        <f t="shared" ca="1" si="142"/>
        <v>OK</v>
      </c>
      <c r="K4567" s="366" t="s">
        <v>1710</v>
      </c>
      <c r="L4567" s="366" t="s">
        <v>2246</v>
      </c>
      <c r="M4567" s="350" t="str">
        <f>IF($B4567="Portfolio","Portfolio",IFERROR(INDEX(DATA_ASSET_CLASSIFICATION!$B$8:$B$24,MATCH($C4567,DATA_ASSET_CLASSIFICATION!$A$8:$A$24,0)),"Review"))</f>
        <v>450 Pacific Street</v>
      </c>
      <c r="N4567" s="350" t="str">
        <f>IF($B4567="Portfolio","Portfolio",IFERROR(INDEX(DATA_ASSET_CLASSIFICATION!$U$8:$U$24,MATCH($C4567,DATA_ASSET_CLASSIFICATION!$A$8:$A$24,0)),"Review"))</f>
        <v>New Build</v>
      </c>
      <c r="O4567" s="350" t="str">
        <f>IF($B4567="Portfolio","Portfolio",IFERROR(INDEX(DATA_ASSET_CLASSIFICATION!$AB$8:$AB$13,MATCH($N4567,DATA_ASSET_CLASSIFICATION!$AA$8:$AA$13,0)),"Review"))</f>
        <v>Bucket 1 · New Build</v>
      </c>
      <c r="P4567" s="350" t="str">
        <f>IF($B4567="Portfolio","Portfolio",IFERROR(INDEX(DATA_ASSET_CLASSIFICATION!$C$8:$C$24,MATCH($C4567,DATA_ASSET_CLASSIFICATION!$A$8:$A$24,0)),"Review"))</f>
        <v>Yes</v>
      </c>
      <c r="Q4567" s="350" t="str">
        <f t="shared" ca="1" si="143"/>
        <v>OK</v>
      </c>
    </row>
    <row r="4568" spans="1:17">
      <c r="A4568" s="366" t="s">
        <v>6524</v>
      </c>
      <c r="B4568" s="366" t="s">
        <v>231</v>
      </c>
      <c r="C4568" s="348" t="str">
        <f>DATA_PROPERTY_MASTER!$A$19</f>
        <v>BLD_PS</v>
      </c>
      <c r="D4568" s="380">
        <f>'00_PORTFOLIO ROLLUP'!R$12</f>
        <v>2038</v>
      </c>
      <c r="E4568" s="366" t="s">
        <v>1683</v>
      </c>
      <c r="F4568" s="366" t="s">
        <v>27</v>
      </c>
      <c r="G4568" s="348" t="str">
        <f>"'"&amp;$C4568&amp;"'!$E$54:$Y$54"</f>
        <v>'BLD_PS'!$E$54:$Y$54</v>
      </c>
      <c r="H4568" s="381">
        <f ca="1">IF(IFERROR(INDEX(DATA_PROPERTY_MASTER!$E$5:$E$21,MATCH($C4568,DATA_PROPERTY_MASTER!$A$5:$A$21,0))="Yes",FALSE),IFERROR(INDEX(INDIRECT("'"&amp;$C4568&amp;"'!$E$54:$Y$54"),1,MATCH($D4568,INDIRECT("'"&amp;$C4568&amp;"'!$E$12:$Y$12"),0)),0),0)</f>
        <v>252305.1198217991</v>
      </c>
      <c r="I4568" s="366" t="s">
        <v>1690</v>
      </c>
      <c r="J4568" s="348" t="str">
        <f t="shared" ca="1" si="142"/>
        <v>OK</v>
      </c>
      <c r="K4568" s="366" t="s">
        <v>1714</v>
      </c>
      <c r="L4568" s="366" t="s">
        <v>2248</v>
      </c>
      <c r="M4568" s="350" t="str">
        <f>IF($B4568="Portfolio","Portfolio",IFERROR(INDEX(DATA_ASSET_CLASSIFICATION!$B$8:$B$24,MATCH($C4568,DATA_ASSET_CLASSIFICATION!$A$8:$A$24,0)),"Review"))</f>
        <v>450 Pacific Street</v>
      </c>
      <c r="N4568" s="350" t="str">
        <f>IF($B4568="Portfolio","Portfolio",IFERROR(INDEX(DATA_ASSET_CLASSIFICATION!$U$8:$U$24,MATCH($C4568,DATA_ASSET_CLASSIFICATION!$A$8:$A$24,0)),"Review"))</f>
        <v>New Build</v>
      </c>
      <c r="O4568" s="350" t="str">
        <f>IF($B4568="Portfolio","Portfolio",IFERROR(INDEX(DATA_ASSET_CLASSIFICATION!$AB$8:$AB$13,MATCH($N4568,DATA_ASSET_CLASSIFICATION!$AA$8:$AA$13,0)),"Review"))</f>
        <v>Bucket 1 · New Build</v>
      </c>
      <c r="P4568" s="350" t="str">
        <f>IF($B4568="Portfolio","Portfolio",IFERROR(INDEX(DATA_ASSET_CLASSIFICATION!$C$8:$C$24,MATCH($C4568,DATA_ASSET_CLASSIFICATION!$A$8:$A$24,0)),"Review"))</f>
        <v>Yes</v>
      </c>
      <c r="Q4568" s="350" t="str">
        <f t="shared" ca="1" si="143"/>
        <v>OK</v>
      </c>
    </row>
    <row r="4569" spans="1:17">
      <c r="A4569" s="366" t="s">
        <v>6525</v>
      </c>
      <c r="B4569" s="366" t="s">
        <v>231</v>
      </c>
      <c r="C4569" s="348" t="str">
        <f>DATA_PROPERTY_MASTER!$A$19</f>
        <v>BLD_PS</v>
      </c>
      <c r="D4569" s="380">
        <f>'00_PORTFOLIO ROLLUP'!R$12</f>
        <v>2038</v>
      </c>
      <c r="E4569" s="366" t="s">
        <v>1683</v>
      </c>
      <c r="F4569" s="366" t="s">
        <v>29</v>
      </c>
      <c r="G4569" s="348" t="str">
        <f>"'"&amp;$C4569&amp;"'!$E$56:$Y$56"</f>
        <v>'BLD_PS'!$E$56:$Y$56</v>
      </c>
      <c r="H4569" s="381">
        <f ca="1">IF(IFERROR(INDEX(DATA_PROPERTY_MASTER!$E$5:$E$21,MATCH($C4569,DATA_PROPERTY_MASTER!$A$5:$A$21,0))="Yes",FALSE),IFERROR(INDEX(INDIRECT("'"&amp;$C4569&amp;"'!$E$56:$Y$56"),1,MATCH($D4569,INDIRECT("'"&amp;$C4569&amp;"'!$E$12:$Y$12"),0)),0),0)</f>
        <v>168203.41321453277</v>
      </c>
      <c r="I4569" s="366" t="s">
        <v>1685</v>
      </c>
      <c r="J4569" s="348" t="str">
        <f t="shared" ca="1" si="142"/>
        <v>OK</v>
      </c>
      <c r="K4569" s="366" t="s">
        <v>1718</v>
      </c>
      <c r="L4569" s="366" t="s">
        <v>2250</v>
      </c>
      <c r="M4569" s="350" t="str">
        <f>IF($B4569="Portfolio","Portfolio",IFERROR(INDEX(DATA_ASSET_CLASSIFICATION!$B$8:$B$24,MATCH($C4569,DATA_ASSET_CLASSIFICATION!$A$8:$A$24,0)),"Review"))</f>
        <v>450 Pacific Street</v>
      </c>
      <c r="N4569" s="350" t="str">
        <f>IF($B4569="Portfolio","Portfolio",IFERROR(INDEX(DATA_ASSET_CLASSIFICATION!$U$8:$U$24,MATCH($C4569,DATA_ASSET_CLASSIFICATION!$A$8:$A$24,0)),"Review"))</f>
        <v>New Build</v>
      </c>
      <c r="O4569" s="350" t="str">
        <f>IF($B4569="Portfolio","Portfolio",IFERROR(INDEX(DATA_ASSET_CLASSIFICATION!$AB$8:$AB$13,MATCH($N4569,DATA_ASSET_CLASSIFICATION!$AA$8:$AA$13,0)),"Review"))</f>
        <v>Bucket 1 · New Build</v>
      </c>
      <c r="P4569" s="350" t="str">
        <f>IF($B4569="Portfolio","Portfolio",IFERROR(INDEX(DATA_ASSET_CLASSIFICATION!$C$8:$C$24,MATCH($C4569,DATA_ASSET_CLASSIFICATION!$A$8:$A$24,0)),"Review"))</f>
        <v>Yes</v>
      </c>
      <c r="Q4569" s="350" t="str">
        <f t="shared" ca="1" si="143"/>
        <v>OK</v>
      </c>
    </row>
    <row r="4570" spans="1:17">
      <c r="A4570" s="366" t="s">
        <v>6526</v>
      </c>
      <c r="B4570" s="366" t="s">
        <v>231</v>
      </c>
      <c r="C4570" s="348" t="str">
        <f>DATA_PROPERTY_MASTER!$A$19</f>
        <v>BLD_PS</v>
      </c>
      <c r="D4570" s="380">
        <f>'00_PORTFOLIO ROLLUP'!R$12</f>
        <v>2038</v>
      </c>
      <c r="E4570" s="366" t="s">
        <v>1721</v>
      </c>
      <c r="F4570" s="366" t="s">
        <v>31</v>
      </c>
      <c r="G4570" s="348" t="str">
        <f>"'"&amp;$C4570&amp;"'!$E$61:$Y$61"</f>
        <v>'BLD_PS'!$E$61:$Y$61</v>
      </c>
      <c r="H4570" s="381">
        <f ca="1">IF(IFERROR(INDEX(DATA_PROPERTY_MASTER!$E$5:$E$21,MATCH($C4570,DATA_PROPERTY_MASTER!$A$5:$A$21,0))="Yes",FALSE),IFERROR(INDEX(INDIRECT("'"&amp;$C4570&amp;"'!$E$61:$Y$61"),1,MATCH($D4570,INDIRECT("'"&amp;$C4570&amp;"'!$E$12:$Y$12"),0)),0),0)</f>
        <v>0</v>
      </c>
      <c r="I4570" s="366" t="s">
        <v>1690</v>
      </c>
      <c r="J4570" s="348" t="str">
        <f t="shared" ca="1" si="142"/>
        <v>OK</v>
      </c>
      <c r="K4570" s="366" t="s">
        <v>1723</v>
      </c>
      <c r="L4570" s="366" t="s">
        <v>2252</v>
      </c>
      <c r="M4570" s="350" t="str">
        <f>IF($B4570="Portfolio","Portfolio",IFERROR(INDEX(DATA_ASSET_CLASSIFICATION!$B$8:$B$24,MATCH($C4570,DATA_ASSET_CLASSIFICATION!$A$8:$A$24,0)),"Review"))</f>
        <v>450 Pacific Street</v>
      </c>
      <c r="N4570" s="350" t="str">
        <f>IF($B4570="Portfolio","Portfolio",IFERROR(INDEX(DATA_ASSET_CLASSIFICATION!$U$8:$U$24,MATCH($C4570,DATA_ASSET_CLASSIFICATION!$A$8:$A$24,0)),"Review"))</f>
        <v>New Build</v>
      </c>
      <c r="O4570" s="350" t="str">
        <f>IF($B4570="Portfolio","Portfolio",IFERROR(INDEX(DATA_ASSET_CLASSIFICATION!$AB$8:$AB$13,MATCH($N4570,DATA_ASSET_CLASSIFICATION!$AA$8:$AA$13,0)),"Review"))</f>
        <v>Bucket 1 · New Build</v>
      </c>
      <c r="P4570" s="350" t="str">
        <f>IF($B4570="Portfolio","Portfolio",IFERROR(INDEX(DATA_ASSET_CLASSIFICATION!$C$8:$C$24,MATCH($C4570,DATA_ASSET_CLASSIFICATION!$A$8:$A$24,0)),"Review"))</f>
        <v>Yes</v>
      </c>
      <c r="Q4570" s="350" t="str">
        <f t="shared" ca="1" si="143"/>
        <v>OK</v>
      </c>
    </row>
    <row r="4571" spans="1:17">
      <c r="A4571" s="366" t="s">
        <v>6527</v>
      </c>
      <c r="B4571" s="366" t="s">
        <v>231</v>
      </c>
      <c r="C4571" s="348" t="str">
        <f>DATA_PROPERTY_MASTER!$A$19</f>
        <v>BLD_PS</v>
      </c>
      <c r="D4571" s="380">
        <f>'00_PORTFOLIO ROLLUP'!R$12</f>
        <v>2038</v>
      </c>
      <c r="E4571" s="366" t="s">
        <v>1721</v>
      </c>
      <c r="F4571" s="366" t="s">
        <v>33</v>
      </c>
      <c r="G4571" s="348" t="str">
        <f>"'"&amp;$C4571&amp;"'!$E$62:$Y$62"</f>
        <v>'BLD_PS'!$E$62:$Y$62</v>
      </c>
      <c r="H4571" s="381">
        <f ca="1">IF(IFERROR(INDEX(DATA_PROPERTY_MASTER!$E$5:$E$21,MATCH($C4571,DATA_PROPERTY_MASTER!$A$5:$A$21,0))="Yes",FALSE),IFERROR(INDEX(INDIRECT("'"&amp;$C4571&amp;"'!$E$62:$Y$62"),1,MATCH($D4571,INDIRECT("'"&amp;$C4571&amp;"'!$E$12:$Y$12"),0)),0),0)</f>
        <v>0</v>
      </c>
      <c r="I4571" s="366" t="s">
        <v>1685</v>
      </c>
      <c r="J4571" s="348" t="str">
        <f t="shared" ca="1" si="142"/>
        <v>OK</v>
      </c>
      <c r="K4571" s="366" t="s">
        <v>1727</v>
      </c>
      <c r="L4571" s="366" t="s">
        <v>2254</v>
      </c>
      <c r="M4571" s="350" t="str">
        <f>IF($B4571="Portfolio","Portfolio",IFERROR(INDEX(DATA_ASSET_CLASSIFICATION!$B$8:$B$24,MATCH($C4571,DATA_ASSET_CLASSIFICATION!$A$8:$A$24,0)),"Review"))</f>
        <v>450 Pacific Street</v>
      </c>
      <c r="N4571" s="350" t="str">
        <f>IF($B4571="Portfolio","Portfolio",IFERROR(INDEX(DATA_ASSET_CLASSIFICATION!$U$8:$U$24,MATCH($C4571,DATA_ASSET_CLASSIFICATION!$A$8:$A$24,0)),"Review"))</f>
        <v>New Build</v>
      </c>
      <c r="O4571" s="350" t="str">
        <f>IF($B4571="Portfolio","Portfolio",IFERROR(INDEX(DATA_ASSET_CLASSIFICATION!$AB$8:$AB$13,MATCH($N4571,DATA_ASSET_CLASSIFICATION!$AA$8:$AA$13,0)),"Review"))</f>
        <v>Bucket 1 · New Build</v>
      </c>
      <c r="P4571" s="350" t="str">
        <f>IF($B4571="Portfolio","Portfolio",IFERROR(INDEX(DATA_ASSET_CLASSIFICATION!$C$8:$C$24,MATCH($C4571,DATA_ASSET_CLASSIFICATION!$A$8:$A$24,0)),"Review"))</f>
        <v>Yes</v>
      </c>
      <c r="Q4571" s="350" t="str">
        <f t="shared" ca="1" si="143"/>
        <v>OK</v>
      </c>
    </row>
    <row r="4572" spans="1:17">
      <c r="A4572" s="366" t="s">
        <v>6528</v>
      </c>
      <c r="B4572" s="366" t="s">
        <v>231</v>
      </c>
      <c r="C4572" s="348" t="str">
        <f>DATA_PROPERTY_MASTER!$A$19</f>
        <v>BLD_PS</v>
      </c>
      <c r="D4572" s="380">
        <f>'00_PORTFOLIO ROLLUP'!R$12</f>
        <v>2038</v>
      </c>
      <c r="E4572" s="366" t="s">
        <v>1721</v>
      </c>
      <c r="F4572" s="366" t="s">
        <v>35</v>
      </c>
      <c r="G4572" s="348" t="str">
        <f>"'"&amp;$C4572&amp;"'!$E$63:$Y$63"</f>
        <v>'BLD_PS'!$E$63:$Y$63</v>
      </c>
      <c r="H4572" s="381">
        <f ca="1">IF(IFERROR(INDEX(DATA_PROPERTY_MASTER!$E$5:$E$21,MATCH($C4572,DATA_PROPERTY_MASTER!$A$5:$A$21,0))="Yes",FALSE),IFERROR(INDEX(INDIRECT("'"&amp;$C4572&amp;"'!$E$63:$Y$63"),1,MATCH($D4572,INDIRECT("'"&amp;$C4572&amp;"'!$E$12:$Y$12"),0)),0),0)</f>
        <v>0</v>
      </c>
      <c r="I4572" s="366" t="s">
        <v>1731</v>
      </c>
      <c r="J4572" s="348" t="str">
        <f t="shared" ca="1" si="142"/>
        <v>OK</v>
      </c>
      <c r="K4572" s="366" t="s">
        <v>1732</v>
      </c>
      <c r="L4572" s="366" t="s">
        <v>2256</v>
      </c>
      <c r="M4572" s="350" t="str">
        <f>IF($B4572="Portfolio","Portfolio",IFERROR(INDEX(DATA_ASSET_CLASSIFICATION!$B$8:$B$24,MATCH($C4572,DATA_ASSET_CLASSIFICATION!$A$8:$A$24,0)),"Review"))</f>
        <v>450 Pacific Street</v>
      </c>
      <c r="N4572" s="350" t="str">
        <f>IF($B4572="Portfolio","Portfolio",IFERROR(INDEX(DATA_ASSET_CLASSIFICATION!$U$8:$U$24,MATCH($C4572,DATA_ASSET_CLASSIFICATION!$A$8:$A$24,0)),"Review"))</f>
        <v>New Build</v>
      </c>
      <c r="O4572" s="350" t="str">
        <f>IF($B4572="Portfolio","Portfolio",IFERROR(INDEX(DATA_ASSET_CLASSIFICATION!$AB$8:$AB$13,MATCH($N4572,DATA_ASSET_CLASSIFICATION!$AA$8:$AA$13,0)),"Review"))</f>
        <v>Bucket 1 · New Build</v>
      </c>
      <c r="P4572" s="350" t="str">
        <f>IF($B4572="Portfolio","Portfolio",IFERROR(INDEX(DATA_ASSET_CLASSIFICATION!$C$8:$C$24,MATCH($C4572,DATA_ASSET_CLASSIFICATION!$A$8:$A$24,0)),"Review"))</f>
        <v>Yes</v>
      </c>
      <c r="Q4572" s="350" t="str">
        <f t="shared" ca="1" si="143"/>
        <v>OK</v>
      </c>
    </row>
    <row r="4573" spans="1:17">
      <c r="A4573" s="366" t="s">
        <v>6529</v>
      </c>
      <c r="B4573" s="366" t="s">
        <v>231</v>
      </c>
      <c r="C4573" s="348" t="str">
        <f>DATA_PROPERTY_MASTER!$A$19</f>
        <v>BLD_PS</v>
      </c>
      <c r="D4573" s="380">
        <f>'00_PORTFOLIO ROLLUP'!R$12</f>
        <v>2038</v>
      </c>
      <c r="E4573" s="366" t="s">
        <v>1721</v>
      </c>
      <c r="F4573" s="366" t="s">
        <v>37</v>
      </c>
      <c r="G4573" s="348" t="str">
        <f>"'"&amp;$C4573&amp;"'!$E$63:$Y$63"</f>
        <v>'BLD_PS'!$E$63:$Y$63</v>
      </c>
      <c r="H4573" s="381">
        <f ca="1">IF(IFERROR(INDEX(DATA_PROPERTY_MASTER!$E$5:$E$21,MATCH($C4573,DATA_PROPERTY_MASTER!$A$5:$A$21,0))="Yes",FALSE),MAX(IFERROR(INDEX(INDIRECT("'"&amp;$C4573&amp;"'!$E$63:$Y$63"),1,MATCH($D4573,INDIRECT("'"&amp;$C4573&amp;"'!$E$12:$Y$12"),0)),0),0),0)</f>
        <v>0</v>
      </c>
      <c r="I4573" s="366" t="s">
        <v>1685</v>
      </c>
      <c r="J4573" s="348" t="str">
        <f t="shared" ca="1" si="142"/>
        <v>OK</v>
      </c>
      <c r="K4573" s="366" t="s">
        <v>1735</v>
      </c>
      <c r="L4573" s="366" t="s">
        <v>2258</v>
      </c>
      <c r="M4573" s="350" t="str">
        <f>IF($B4573="Portfolio","Portfolio",IFERROR(INDEX(DATA_ASSET_CLASSIFICATION!$B$8:$B$24,MATCH($C4573,DATA_ASSET_CLASSIFICATION!$A$8:$A$24,0)),"Review"))</f>
        <v>450 Pacific Street</v>
      </c>
      <c r="N4573" s="350" t="str">
        <f>IF($B4573="Portfolio","Portfolio",IFERROR(INDEX(DATA_ASSET_CLASSIFICATION!$U$8:$U$24,MATCH($C4573,DATA_ASSET_CLASSIFICATION!$A$8:$A$24,0)),"Review"))</f>
        <v>New Build</v>
      </c>
      <c r="O4573" s="350" t="str">
        <f>IF($B4573="Portfolio","Portfolio",IFERROR(INDEX(DATA_ASSET_CLASSIFICATION!$AB$8:$AB$13,MATCH($N4573,DATA_ASSET_CLASSIFICATION!$AA$8:$AA$13,0)),"Review"))</f>
        <v>Bucket 1 · New Build</v>
      </c>
      <c r="P4573" s="350" t="str">
        <f>IF($B4573="Portfolio","Portfolio",IFERROR(INDEX(DATA_ASSET_CLASSIFICATION!$C$8:$C$24,MATCH($C4573,DATA_ASSET_CLASSIFICATION!$A$8:$A$24,0)),"Review"))</f>
        <v>Yes</v>
      </c>
      <c r="Q4573" s="350" t="str">
        <f t="shared" ca="1" si="143"/>
        <v>OK</v>
      </c>
    </row>
    <row r="4574" spans="1:17">
      <c r="A4574" s="366" t="s">
        <v>6530</v>
      </c>
      <c r="B4574" s="366" t="s">
        <v>231</v>
      </c>
      <c r="C4574" s="348" t="str">
        <f>DATA_PROPERTY_MASTER!$A$19</f>
        <v>BLD_PS</v>
      </c>
      <c r="D4574" s="380">
        <f>'00_PORTFOLIO ROLLUP'!R$12</f>
        <v>2038</v>
      </c>
      <c r="E4574" s="366" t="s">
        <v>1721</v>
      </c>
      <c r="F4574" s="366" t="s">
        <v>39</v>
      </c>
      <c r="G4574" s="348" t="str">
        <f>"'"&amp;$C4574&amp;"'!$E$63:$Y$63"</f>
        <v>'BLD_PS'!$E$63:$Y$63</v>
      </c>
      <c r="H4574" s="381">
        <f ca="1">IF(IFERROR(INDEX(DATA_PROPERTY_MASTER!$E$5:$E$21,MATCH($C4574,DATA_PROPERTY_MASTER!$A$5:$A$21,0))="Yes",FALSE),MAX(-IFERROR(INDEX(INDIRECT("'"&amp;$C4574&amp;"'!$E$63:$Y$63"),1,MATCH($D4574,INDIRECT("'"&amp;$C4574&amp;"'!$E$12:$Y$12"),0)),0),0),0)</f>
        <v>0</v>
      </c>
      <c r="I4574" s="366" t="s">
        <v>1690</v>
      </c>
      <c r="J4574" s="348" t="str">
        <f t="shared" ca="1" si="142"/>
        <v>OK</v>
      </c>
      <c r="K4574" s="366" t="s">
        <v>1738</v>
      </c>
      <c r="L4574" s="366" t="s">
        <v>2260</v>
      </c>
      <c r="M4574" s="350" t="str">
        <f>IF($B4574="Portfolio","Portfolio",IFERROR(INDEX(DATA_ASSET_CLASSIFICATION!$B$8:$B$24,MATCH($C4574,DATA_ASSET_CLASSIFICATION!$A$8:$A$24,0)),"Review"))</f>
        <v>450 Pacific Street</v>
      </c>
      <c r="N4574" s="350" t="str">
        <f>IF($B4574="Portfolio","Portfolio",IFERROR(INDEX(DATA_ASSET_CLASSIFICATION!$U$8:$U$24,MATCH($C4574,DATA_ASSET_CLASSIFICATION!$A$8:$A$24,0)),"Review"))</f>
        <v>New Build</v>
      </c>
      <c r="O4574" s="350" t="str">
        <f>IF($B4574="Portfolio","Portfolio",IFERROR(INDEX(DATA_ASSET_CLASSIFICATION!$AB$8:$AB$13,MATCH($N4574,DATA_ASSET_CLASSIFICATION!$AA$8:$AA$13,0)),"Review"))</f>
        <v>Bucket 1 · New Build</v>
      </c>
      <c r="P4574" s="350" t="str">
        <f>IF($B4574="Portfolio","Portfolio",IFERROR(INDEX(DATA_ASSET_CLASSIFICATION!$C$8:$C$24,MATCH($C4574,DATA_ASSET_CLASSIFICATION!$A$8:$A$24,0)),"Review"))</f>
        <v>Yes</v>
      </c>
      <c r="Q4574" s="350" t="str">
        <f t="shared" ca="1" si="143"/>
        <v>OK</v>
      </c>
    </row>
    <row r="4575" spans="1:17">
      <c r="A4575" s="366" t="s">
        <v>6531</v>
      </c>
      <c r="B4575" s="366" t="s">
        <v>231</v>
      </c>
      <c r="C4575" s="348" t="str">
        <f>DATA_PROPERTY_MASTER!$A$19</f>
        <v>BLD_PS</v>
      </c>
      <c r="D4575" s="380">
        <f>'00_PORTFOLIO ROLLUP'!R$12</f>
        <v>2038</v>
      </c>
      <c r="E4575" s="366" t="s">
        <v>1741</v>
      </c>
      <c r="F4575" s="366" t="s">
        <v>41</v>
      </c>
      <c r="G4575" s="348" t="str">
        <f>"'"&amp;$C4575&amp;"'!rows 56 + positive row 63"</f>
        <v>'BLD_PS'!rows 56 + positive row 63</v>
      </c>
      <c r="H4575" s="381">
        <f ca="1">IF(IFERROR(INDEX(DATA_PROPERTY_MASTER!$E$5:$E$21,MATCH($C4575,DATA_PROPERTY_MASTER!$A$5:$A$21,0))="Yes",FALSE),IFERROR(INDEX(INDIRECT("'"&amp;$C4575&amp;"'!$E$56:$Y$56"),1,MATCH($D4575,INDIRECT("'"&amp;$C4575&amp;"'!$E$12:$Y$12"),0)),0)+MAX(IFERROR(INDEX(INDIRECT("'"&amp;$C4575&amp;"'!$E$63:$Y$63"),1,MATCH($D4575,INDIRECT("'"&amp;$C4575&amp;"'!$E$12:$Y$12"),0)),0),0),0)</f>
        <v>168203.41321453277</v>
      </c>
      <c r="I4575" s="366" t="s">
        <v>1685</v>
      </c>
      <c r="J4575" s="348" t="str">
        <f t="shared" ca="1" si="142"/>
        <v>OK</v>
      </c>
      <c r="K4575" s="366" t="s">
        <v>1742</v>
      </c>
      <c r="L4575" s="366" t="s">
        <v>2262</v>
      </c>
      <c r="M4575" s="350" t="str">
        <f>IF($B4575="Portfolio","Portfolio",IFERROR(INDEX(DATA_ASSET_CLASSIFICATION!$B$8:$B$24,MATCH($C4575,DATA_ASSET_CLASSIFICATION!$A$8:$A$24,0)),"Review"))</f>
        <v>450 Pacific Street</v>
      </c>
      <c r="N4575" s="350" t="str">
        <f>IF($B4575="Portfolio","Portfolio",IFERROR(INDEX(DATA_ASSET_CLASSIFICATION!$U$8:$U$24,MATCH($C4575,DATA_ASSET_CLASSIFICATION!$A$8:$A$24,0)),"Review"))</f>
        <v>New Build</v>
      </c>
      <c r="O4575" s="350" t="str">
        <f>IF($B4575="Portfolio","Portfolio",IFERROR(INDEX(DATA_ASSET_CLASSIFICATION!$AB$8:$AB$13,MATCH($N4575,DATA_ASSET_CLASSIFICATION!$AA$8:$AA$13,0)),"Review"))</f>
        <v>Bucket 1 · New Build</v>
      </c>
      <c r="P4575" s="350" t="str">
        <f>IF($B4575="Portfolio","Portfolio",IFERROR(INDEX(DATA_ASSET_CLASSIFICATION!$C$8:$C$24,MATCH($C4575,DATA_ASSET_CLASSIFICATION!$A$8:$A$24,0)),"Review"))</f>
        <v>Yes</v>
      </c>
      <c r="Q4575" s="350" t="str">
        <f t="shared" ca="1" si="143"/>
        <v>OK</v>
      </c>
    </row>
    <row r="4576" spans="1:17">
      <c r="A4576" s="366" t="s">
        <v>6532</v>
      </c>
      <c r="B4576" s="366" t="s">
        <v>231</v>
      </c>
      <c r="C4576" s="348" t="str">
        <f>DATA_PROPERTY_MASTER!$A$19</f>
        <v>BLD_PS</v>
      </c>
      <c r="D4576" s="380">
        <f>'00_PORTFOLIO ROLLUP'!R$12</f>
        <v>2038</v>
      </c>
      <c r="E4576" s="366" t="s">
        <v>1741</v>
      </c>
      <c r="F4576" s="366" t="s">
        <v>43</v>
      </c>
      <c r="G4576" s="348" t="str">
        <f>"'"&amp;$C4576&amp;"'!$E$68:$Y$68"</f>
        <v>'BLD_PS'!$E$68:$Y$68</v>
      </c>
      <c r="H4576" s="381">
        <f ca="1">IF(IFERROR(INDEX(DATA_PROPERTY_MASTER!$E$5:$E$21,MATCH($C4576,DATA_PROPERTY_MASTER!$A$5:$A$21,0))="Yes",FALSE),IFERROR(INDEX(INDIRECT("'"&amp;$C4576&amp;"'!$E$68:$Y$68"),1,MATCH($D4576,INDIRECT("'"&amp;$C4576&amp;"'!$E$12:$Y$12"),0)),0),0)</f>
        <v>168203.41321453277</v>
      </c>
      <c r="I4576" s="366" t="s">
        <v>1731</v>
      </c>
      <c r="J4576" s="348" t="str">
        <f t="shared" ca="1" si="142"/>
        <v>OK</v>
      </c>
      <c r="K4576" s="366" t="s">
        <v>1746</v>
      </c>
      <c r="L4576" s="366" t="s">
        <v>2264</v>
      </c>
      <c r="M4576" s="350" t="str">
        <f>IF($B4576="Portfolio","Portfolio",IFERROR(INDEX(DATA_ASSET_CLASSIFICATION!$B$8:$B$24,MATCH($C4576,DATA_ASSET_CLASSIFICATION!$A$8:$A$24,0)),"Review"))</f>
        <v>450 Pacific Street</v>
      </c>
      <c r="N4576" s="350" t="str">
        <f>IF($B4576="Portfolio","Portfolio",IFERROR(INDEX(DATA_ASSET_CLASSIFICATION!$U$8:$U$24,MATCH($C4576,DATA_ASSET_CLASSIFICATION!$A$8:$A$24,0)),"Review"))</f>
        <v>New Build</v>
      </c>
      <c r="O4576" s="350" t="str">
        <f>IF($B4576="Portfolio","Portfolio",IFERROR(INDEX(DATA_ASSET_CLASSIFICATION!$AB$8:$AB$13,MATCH($N4576,DATA_ASSET_CLASSIFICATION!$AA$8:$AA$13,0)),"Review"))</f>
        <v>Bucket 1 · New Build</v>
      </c>
      <c r="P4576" s="350" t="str">
        <f>IF($B4576="Portfolio","Portfolio",IFERROR(INDEX(DATA_ASSET_CLASSIFICATION!$C$8:$C$24,MATCH($C4576,DATA_ASSET_CLASSIFICATION!$A$8:$A$24,0)),"Review"))</f>
        <v>Yes</v>
      </c>
      <c r="Q4576" s="350" t="str">
        <f t="shared" ca="1" si="143"/>
        <v>OK</v>
      </c>
    </row>
    <row r="4577" spans="1:17">
      <c r="A4577" s="366" t="s">
        <v>6533</v>
      </c>
      <c r="B4577" s="366" t="s">
        <v>231</v>
      </c>
      <c r="C4577" s="348" t="str">
        <f>DATA_PROPERTY_MASTER!$A$19</f>
        <v>BLD_PS</v>
      </c>
      <c r="D4577" s="380">
        <f>'00_PORTFOLIO ROLLUP'!R$12</f>
        <v>2038</v>
      </c>
      <c r="E4577" s="366" t="s">
        <v>1741</v>
      </c>
      <c r="F4577" s="366" t="s">
        <v>1749</v>
      </c>
      <c r="G4577" s="348" t="str">
        <f>"'"&amp;$C4577&amp;"'!rows 56, 63, 68"</f>
        <v>'BLD_PS'!rows 56, 63, 68</v>
      </c>
      <c r="H4577" s="381">
        <f ca="1">IF(IFERROR(INDEX(DATA_PROPERTY_MASTER!$E$5:$E$21,MATCH($C4577,DATA_PROPERTY_MASTER!$A$5:$A$21,0))="Yes",FALSE),(IFERROR(INDEX(INDIRECT("'"&amp;$C4577&amp;"'!$E$56:$Y$56"),1,MATCH($D4577,INDIRECT("'"&amp;$C4577&amp;"'!$E$12:$Y$12"),0)),0)+MAX(IFERROR(INDEX(INDIRECT("'"&amp;$C4577&amp;"'!$E$63:$Y$63"),1,MATCH($D4577,INDIRECT("'"&amp;$C4577&amp;"'!$E$12:$Y$12"),0)),0),0))-(IFERROR(INDEX(INDIRECT("'"&amp;$C4577&amp;"'!$E$68:$Y$68"),1,MATCH($D4577,INDIRECT("'"&amp;$C4577&amp;"'!$E$12:$Y$12"),0)),0)),0)</f>
        <v>0</v>
      </c>
      <c r="I4577" s="366" t="s">
        <v>1750</v>
      </c>
      <c r="J4577" s="348" t="str">
        <f t="shared" ca="1" si="142"/>
        <v>OK</v>
      </c>
      <c r="K4577" s="366" t="s">
        <v>1751</v>
      </c>
      <c r="L4577" s="366" t="s">
        <v>2266</v>
      </c>
      <c r="M4577" s="350" t="str">
        <f>IF($B4577="Portfolio","Portfolio",IFERROR(INDEX(DATA_ASSET_CLASSIFICATION!$B$8:$B$24,MATCH($C4577,DATA_ASSET_CLASSIFICATION!$A$8:$A$24,0)),"Review"))</f>
        <v>450 Pacific Street</v>
      </c>
      <c r="N4577" s="350" t="str">
        <f>IF($B4577="Portfolio","Portfolio",IFERROR(INDEX(DATA_ASSET_CLASSIFICATION!$U$8:$U$24,MATCH($C4577,DATA_ASSET_CLASSIFICATION!$A$8:$A$24,0)),"Review"))</f>
        <v>New Build</v>
      </c>
      <c r="O4577" s="350" t="str">
        <f>IF($B4577="Portfolio","Portfolio",IFERROR(INDEX(DATA_ASSET_CLASSIFICATION!$AB$8:$AB$13,MATCH($N4577,DATA_ASSET_CLASSIFICATION!$AA$8:$AA$13,0)),"Review"))</f>
        <v>Bucket 1 · New Build</v>
      </c>
      <c r="P4577" s="350" t="str">
        <f>IF($B4577="Portfolio","Portfolio",IFERROR(INDEX(DATA_ASSET_CLASSIFICATION!$C$8:$C$24,MATCH($C4577,DATA_ASSET_CLASSIFICATION!$A$8:$A$24,0)),"Review"))</f>
        <v>Yes</v>
      </c>
      <c r="Q4577" s="350" t="str">
        <f t="shared" ca="1" si="143"/>
        <v>OK</v>
      </c>
    </row>
    <row r="4578" spans="1:17">
      <c r="A4578" s="366" t="s">
        <v>6534</v>
      </c>
      <c r="B4578" s="366" t="s">
        <v>231</v>
      </c>
      <c r="C4578" s="348" t="str">
        <f>DATA_PROPERTY_MASTER!$A$19</f>
        <v>BLD_PS</v>
      </c>
      <c r="D4578" s="380">
        <f>'00_PORTFOLIO ROLLUP'!S$12</f>
        <v>2039</v>
      </c>
      <c r="E4578" s="366" t="s">
        <v>1683</v>
      </c>
      <c r="F4578" s="366" t="s">
        <v>341</v>
      </c>
      <c r="G4578" s="348" t="str">
        <f>"'"&amp;$C4578&amp;"'!$E$24:$Y$24"</f>
        <v>'BLD_PS'!$E$24:$Y$24</v>
      </c>
      <c r="H4578" s="381">
        <f ca="1">IF(IFERROR(INDEX(DATA_PROPERTY_MASTER!$E$5:$E$21,MATCH($C4578,DATA_PROPERTY_MASTER!$A$5:$A$21,0))="Yes",FALSE),IFERROR(INDEX(INDIRECT("'"&amp;$C4578&amp;"'!$E$24:$Y$24"),1,MATCH($D4578,INDIRECT("'"&amp;$C4578&amp;"'!$E$12:$Y$12"),0)),0),0)</f>
        <v>2208800.2529300745</v>
      </c>
      <c r="I4578" s="366" t="s">
        <v>1685</v>
      </c>
      <c r="J4578" s="348" t="str">
        <f t="shared" ca="1" si="142"/>
        <v>OK</v>
      </c>
      <c r="K4578" s="366" t="s">
        <v>1686</v>
      </c>
      <c r="L4578" s="366" t="s">
        <v>2234</v>
      </c>
      <c r="M4578" s="350" t="str">
        <f>IF($B4578="Portfolio","Portfolio",IFERROR(INDEX(DATA_ASSET_CLASSIFICATION!$B$8:$B$24,MATCH($C4578,DATA_ASSET_CLASSIFICATION!$A$8:$A$24,0)),"Review"))</f>
        <v>450 Pacific Street</v>
      </c>
      <c r="N4578" s="350" t="str">
        <f>IF($B4578="Portfolio","Portfolio",IFERROR(INDEX(DATA_ASSET_CLASSIFICATION!$U$8:$U$24,MATCH($C4578,DATA_ASSET_CLASSIFICATION!$A$8:$A$24,0)),"Review"))</f>
        <v>New Build</v>
      </c>
      <c r="O4578" s="350" t="str">
        <f>IF($B4578="Portfolio","Portfolio",IFERROR(INDEX(DATA_ASSET_CLASSIFICATION!$AB$8:$AB$13,MATCH($N4578,DATA_ASSET_CLASSIFICATION!$AA$8:$AA$13,0)),"Review"))</f>
        <v>Bucket 1 · New Build</v>
      </c>
      <c r="P4578" s="350" t="str">
        <f>IF($B4578="Portfolio","Portfolio",IFERROR(INDEX(DATA_ASSET_CLASSIFICATION!$C$8:$C$24,MATCH($C4578,DATA_ASSET_CLASSIFICATION!$A$8:$A$24,0)),"Review"))</f>
        <v>Yes</v>
      </c>
      <c r="Q4578" s="350" t="str">
        <f t="shared" ca="1" si="143"/>
        <v>OK</v>
      </c>
    </row>
    <row r="4579" spans="1:17">
      <c r="A4579" s="366" t="s">
        <v>6535</v>
      </c>
      <c r="B4579" s="366" t="s">
        <v>231</v>
      </c>
      <c r="C4579" s="348" t="str">
        <f>DATA_PROPERTY_MASTER!$A$19</f>
        <v>BLD_PS</v>
      </c>
      <c r="D4579" s="380">
        <f>'00_PORTFOLIO ROLLUP'!S$12</f>
        <v>2039</v>
      </c>
      <c r="E4579" s="366" t="s">
        <v>1683</v>
      </c>
      <c r="F4579" s="366" t="s">
        <v>355</v>
      </c>
      <c r="G4579" s="348" t="str">
        <f>"'"&amp;$C4579&amp;"'!$E$39:$Y$39"</f>
        <v>'BLD_PS'!$E$39:$Y$39</v>
      </c>
      <c r="H4579" s="381">
        <f ca="1">IF(IFERROR(INDEX(DATA_PROPERTY_MASTER!$E$5:$E$21,MATCH($C4579,DATA_PROPERTY_MASTER!$A$5:$A$21,0))="Yes",FALSE),IFERROR(INDEX(INDIRECT("'"&amp;$C4579&amp;"'!$E$39:$Y$39"),1,MATCH($D4579,INDIRECT("'"&amp;$C4579&amp;"'!$E$12:$Y$12"),0)),0),0)</f>
        <v>1104459.4871096818</v>
      </c>
      <c r="I4579" s="366" t="s">
        <v>1690</v>
      </c>
      <c r="J4579" s="348" t="str">
        <f t="shared" ca="1" si="142"/>
        <v>OK</v>
      </c>
      <c r="K4579" s="366" t="s">
        <v>1686</v>
      </c>
      <c r="L4579" s="366" t="s">
        <v>2236</v>
      </c>
      <c r="M4579" s="350" t="str">
        <f>IF($B4579="Portfolio","Portfolio",IFERROR(INDEX(DATA_ASSET_CLASSIFICATION!$B$8:$B$24,MATCH($C4579,DATA_ASSET_CLASSIFICATION!$A$8:$A$24,0)),"Review"))</f>
        <v>450 Pacific Street</v>
      </c>
      <c r="N4579" s="350" t="str">
        <f>IF($B4579="Portfolio","Portfolio",IFERROR(INDEX(DATA_ASSET_CLASSIFICATION!$U$8:$U$24,MATCH($C4579,DATA_ASSET_CLASSIFICATION!$A$8:$A$24,0)),"Review"))</f>
        <v>New Build</v>
      </c>
      <c r="O4579" s="350" t="str">
        <f>IF($B4579="Portfolio","Portfolio",IFERROR(INDEX(DATA_ASSET_CLASSIFICATION!$AB$8:$AB$13,MATCH($N4579,DATA_ASSET_CLASSIFICATION!$AA$8:$AA$13,0)),"Review"))</f>
        <v>Bucket 1 · New Build</v>
      </c>
      <c r="P4579" s="350" t="str">
        <f>IF($B4579="Portfolio","Portfolio",IFERROR(INDEX(DATA_ASSET_CLASSIFICATION!$C$8:$C$24,MATCH($C4579,DATA_ASSET_CLASSIFICATION!$A$8:$A$24,0)),"Review"))</f>
        <v>Yes</v>
      </c>
      <c r="Q4579" s="350" t="str">
        <f t="shared" ca="1" si="143"/>
        <v>OK</v>
      </c>
    </row>
    <row r="4580" spans="1:17">
      <c r="A4580" s="366" t="s">
        <v>6536</v>
      </c>
      <c r="B4580" s="366" t="s">
        <v>231</v>
      </c>
      <c r="C4580" s="348" t="str">
        <f>DATA_PROPERTY_MASTER!$A$19</f>
        <v>BLD_PS</v>
      </c>
      <c r="D4580" s="380">
        <f>'00_PORTFOLIO ROLLUP'!S$12</f>
        <v>2039</v>
      </c>
      <c r="E4580" s="366" t="s">
        <v>1683</v>
      </c>
      <c r="F4580" s="366" t="s">
        <v>19</v>
      </c>
      <c r="G4580" s="348" t="str">
        <f>"'"&amp;$C4580&amp;"'!$E$41:$Y$41"</f>
        <v>'BLD_PS'!$E$41:$Y$41</v>
      </c>
      <c r="H4580" s="381">
        <f ca="1">IF(IFERROR(INDEX(DATA_PROPERTY_MASTER!$E$5:$E$21,MATCH($C4580,DATA_PROPERTY_MASTER!$A$5:$A$21,0))="Yes",FALSE),IFERROR(INDEX(INDIRECT("'"&amp;$C4580&amp;"'!$E$41:$Y$41"),1,MATCH($D4580,INDIRECT("'"&amp;$C4580&amp;"'!$E$12:$Y$12"),0)),0),0)</f>
        <v>1104340.7658203926</v>
      </c>
      <c r="I4580" s="366" t="s">
        <v>1685</v>
      </c>
      <c r="J4580" s="348" t="str">
        <f t="shared" ca="1" si="142"/>
        <v>OK</v>
      </c>
      <c r="K4580" s="366" t="s">
        <v>1694</v>
      </c>
      <c r="L4580" s="366" t="s">
        <v>2238</v>
      </c>
      <c r="M4580" s="350" t="str">
        <f>IF($B4580="Portfolio","Portfolio",IFERROR(INDEX(DATA_ASSET_CLASSIFICATION!$B$8:$B$24,MATCH($C4580,DATA_ASSET_CLASSIFICATION!$A$8:$A$24,0)),"Review"))</f>
        <v>450 Pacific Street</v>
      </c>
      <c r="N4580" s="350" t="str">
        <f>IF($B4580="Portfolio","Portfolio",IFERROR(INDEX(DATA_ASSET_CLASSIFICATION!$U$8:$U$24,MATCH($C4580,DATA_ASSET_CLASSIFICATION!$A$8:$A$24,0)),"Review"))</f>
        <v>New Build</v>
      </c>
      <c r="O4580" s="350" t="str">
        <f>IF($B4580="Portfolio","Portfolio",IFERROR(INDEX(DATA_ASSET_CLASSIFICATION!$AB$8:$AB$13,MATCH($N4580,DATA_ASSET_CLASSIFICATION!$AA$8:$AA$13,0)),"Review"))</f>
        <v>Bucket 1 · New Build</v>
      </c>
      <c r="P4580" s="350" t="str">
        <f>IF($B4580="Portfolio","Portfolio",IFERROR(INDEX(DATA_ASSET_CLASSIFICATION!$C$8:$C$24,MATCH($C4580,DATA_ASSET_CLASSIFICATION!$A$8:$A$24,0)),"Review"))</f>
        <v>Yes</v>
      </c>
      <c r="Q4580" s="350" t="str">
        <f t="shared" ca="1" si="143"/>
        <v>OK</v>
      </c>
    </row>
    <row r="4581" spans="1:17">
      <c r="A4581" s="366" t="s">
        <v>6537</v>
      </c>
      <c r="B4581" s="366" t="s">
        <v>231</v>
      </c>
      <c r="C4581" s="348" t="str">
        <f>DATA_PROPERTY_MASTER!$A$19</f>
        <v>BLD_PS</v>
      </c>
      <c r="D4581" s="380">
        <f>'00_PORTFOLIO ROLLUP'!S$12</f>
        <v>2039</v>
      </c>
      <c r="E4581" s="366" t="s">
        <v>1683</v>
      </c>
      <c r="F4581" s="366" t="s">
        <v>1697</v>
      </c>
      <c r="G4581" s="348" t="str">
        <f>"'"&amp;$C4581&amp;"'!$E$44:$Y$44"</f>
        <v>'BLD_PS'!$E$44:$Y$44</v>
      </c>
      <c r="H4581" s="381">
        <f ca="1">IF(IFERROR(INDEX(DATA_PROPERTY_MASTER!$E$5:$E$21,MATCH($C4581,DATA_PROPERTY_MASTER!$A$5:$A$21,0))="Yes",FALSE),IFERROR(INDEX(INDIRECT("'"&amp;$C4581&amp;"'!$E$44:$Y$44"),1,MATCH($D4581,INDIRECT("'"&amp;$C4581&amp;"'!$E$12:$Y$12"),0)),0),0)</f>
        <v>18010.885115808203</v>
      </c>
      <c r="I4581" s="366" t="s">
        <v>1690</v>
      </c>
      <c r="J4581" s="348" t="str">
        <f t="shared" ca="1" si="142"/>
        <v>OK</v>
      </c>
      <c r="K4581" s="366" t="s">
        <v>1699</v>
      </c>
      <c r="L4581" s="366" t="s">
        <v>2240</v>
      </c>
      <c r="M4581" s="350" t="str">
        <f>IF($B4581="Portfolio","Portfolio",IFERROR(INDEX(DATA_ASSET_CLASSIFICATION!$B$8:$B$24,MATCH($C4581,DATA_ASSET_CLASSIFICATION!$A$8:$A$24,0)),"Review"))</f>
        <v>450 Pacific Street</v>
      </c>
      <c r="N4581" s="350" t="str">
        <f>IF($B4581="Portfolio","Portfolio",IFERROR(INDEX(DATA_ASSET_CLASSIFICATION!$U$8:$U$24,MATCH($C4581,DATA_ASSET_CLASSIFICATION!$A$8:$A$24,0)),"Review"))</f>
        <v>New Build</v>
      </c>
      <c r="O4581" s="350" t="str">
        <f>IF($B4581="Portfolio","Portfolio",IFERROR(INDEX(DATA_ASSET_CLASSIFICATION!$AB$8:$AB$13,MATCH($N4581,DATA_ASSET_CLASSIFICATION!$AA$8:$AA$13,0)),"Review"))</f>
        <v>Bucket 1 · New Build</v>
      </c>
      <c r="P4581" s="350" t="str">
        <f>IF($B4581="Portfolio","Portfolio",IFERROR(INDEX(DATA_ASSET_CLASSIFICATION!$C$8:$C$24,MATCH($C4581,DATA_ASSET_CLASSIFICATION!$A$8:$A$24,0)),"Review"))</f>
        <v>Yes</v>
      </c>
      <c r="Q4581" s="350" t="str">
        <f t="shared" ca="1" si="143"/>
        <v>OK</v>
      </c>
    </row>
    <row r="4582" spans="1:17">
      <c r="A4582" s="366" t="s">
        <v>6538</v>
      </c>
      <c r="B4582" s="366" t="s">
        <v>231</v>
      </c>
      <c r="C4582" s="348" t="str">
        <f>DATA_PROPERTY_MASTER!$A$19</f>
        <v>BLD_PS</v>
      </c>
      <c r="D4582" s="380">
        <f>'00_PORTFOLIO ROLLUP'!S$12</f>
        <v>2039</v>
      </c>
      <c r="E4582" s="366" t="s">
        <v>1683</v>
      </c>
      <c r="F4582" s="366" t="s">
        <v>21</v>
      </c>
      <c r="G4582" s="348" t="str">
        <f>"'"&amp;$C4582&amp;"'!$E$45:$Y$45"</f>
        <v>'BLD_PS'!$E$45:$Y$45</v>
      </c>
      <c r="H4582" s="381">
        <f ca="1">IF(IFERROR(INDEX(DATA_PROPERTY_MASTER!$E$5:$E$21,MATCH($C4582,DATA_PROPERTY_MASTER!$A$5:$A$21,0))="Yes",FALSE),IFERROR(INDEX(INDIRECT("'"&amp;$C4582&amp;"'!$E$45:$Y$45"),1,MATCH($D4582,INDIRECT("'"&amp;$C4582&amp;"'!$E$12:$Y$12"),0)),0),0)</f>
        <v>1086329.8807045845</v>
      </c>
      <c r="I4582" s="366" t="s">
        <v>1685</v>
      </c>
      <c r="J4582" s="348" t="str">
        <f t="shared" ca="1" si="142"/>
        <v>OK</v>
      </c>
      <c r="K4582" s="366" t="s">
        <v>1694</v>
      </c>
      <c r="L4582" s="366" t="s">
        <v>2242</v>
      </c>
      <c r="M4582" s="350" t="str">
        <f>IF($B4582="Portfolio","Portfolio",IFERROR(INDEX(DATA_ASSET_CLASSIFICATION!$B$8:$B$24,MATCH($C4582,DATA_ASSET_CLASSIFICATION!$A$8:$A$24,0)),"Review"))</f>
        <v>450 Pacific Street</v>
      </c>
      <c r="N4582" s="350" t="str">
        <f>IF($B4582="Portfolio","Portfolio",IFERROR(INDEX(DATA_ASSET_CLASSIFICATION!$U$8:$U$24,MATCH($C4582,DATA_ASSET_CLASSIFICATION!$A$8:$A$24,0)),"Review"))</f>
        <v>New Build</v>
      </c>
      <c r="O4582" s="350" t="str">
        <f>IF($B4582="Portfolio","Portfolio",IFERROR(INDEX(DATA_ASSET_CLASSIFICATION!$AB$8:$AB$13,MATCH($N4582,DATA_ASSET_CLASSIFICATION!$AA$8:$AA$13,0)),"Review"))</f>
        <v>Bucket 1 · New Build</v>
      </c>
      <c r="P4582" s="350" t="str">
        <f>IF($B4582="Portfolio","Portfolio",IFERROR(INDEX(DATA_ASSET_CLASSIFICATION!$C$8:$C$24,MATCH($C4582,DATA_ASSET_CLASSIFICATION!$A$8:$A$24,0)),"Review"))</f>
        <v>Yes</v>
      </c>
      <c r="Q4582" s="350" t="str">
        <f t="shared" ca="1" si="143"/>
        <v>OK</v>
      </c>
    </row>
    <row r="4583" spans="1:17">
      <c r="A4583" s="366" t="s">
        <v>6539</v>
      </c>
      <c r="B4583" s="366" t="s">
        <v>231</v>
      </c>
      <c r="C4583" s="348" t="str">
        <f>DATA_PROPERTY_MASTER!$A$19</f>
        <v>BLD_PS</v>
      </c>
      <c r="D4583" s="380">
        <f>'00_PORTFOLIO ROLLUP'!S$12</f>
        <v>2039</v>
      </c>
      <c r="E4583" s="366" t="s">
        <v>23</v>
      </c>
      <c r="F4583" s="366" t="s">
        <v>23</v>
      </c>
      <c r="G4583" s="348" t="str">
        <f>"'"&amp;$C4583&amp;"'!$E$48:$Y$48"</f>
        <v>'BLD_PS'!$E$48:$Y$48</v>
      </c>
      <c r="H4583" s="381">
        <f ca="1">IF(IFERROR(INDEX(DATA_PROPERTY_MASTER!$E$5:$E$21,MATCH($C4583,DATA_PROPERTY_MASTER!$A$5:$A$21,0))="Yes",FALSE),IFERROR(INDEX(INDIRECT("'"&amp;$C4583&amp;"'!$E$48:$Y$48"),1,MATCH($D4583,INDIRECT("'"&amp;$C4583&amp;"'!$E$12:$Y$12"),0)),0),0)</f>
        <v>667460.46017404622</v>
      </c>
      <c r="I4583" s="366" t="s">
        <v>1690</v>
      </c>
      <c r="J4583" s="348" t="str">
        <f t="shared" ca="1" si="142"/>
        <v>OK</v>
      </c>
      <c r="K4583" s="366" t="s">
        <v>1706</v>
      </c>
      <c r="L4583" s="366" t="s">
        <v>2244</v>
      </c>
      <c r="M4583" s="350" t="str">
        <f>IF($B4583="Portfolio","Portfolio",IFERROR(INDEX(DATA_ASSET_CLASSIFICATION!$B$8:$B$24,MATCH($C4583,DATA_ASSET_CLASSIFICATION!$A$8:$A$24,0)),"Review"))</f>
        <v>450 Pacific Street</v>
      </c>
      <c r="N4583" s="350" t="str">
        <f>IF($B4583="Portfolio","Portfolio",IFERROR(INDEX(DATA_ASSET_CLASSIFICATION!$U$8:$U$24,MATCH($C4583,DATA_ASSET_CLASSIFICATION!$A$8:$A$24,0)),"Review"))</f>
        <v>New Build</v>
      </c>
      <c r="O4583" s="350" t="str">
        <f>IF($B4583="Portfolio","Portfolio",IFERROR(INDEX(DATA_ASSET_CLASSIFICATION!$AB$8:$AB$13,MATCH($N4583,DATA_ASSET_CLASSIFICATION!$AA$8:$AA$13,0)),"Review"))</f>
        <v>Bucket 1 · New Build</v>
      </c>
      <c r="P4583" s="350" t="str">
        <f>IF($B4583="Portfolio","Portfolio",IFERROR(INDEX(DATA_ASSET_CLASSIFICATION!$C$8:$C$24,MATCH($C4583,DATA_ASSET_CLASSIFICATION!$A$8:$A$24,0)),"Review"))</f>
        <v>Yes</v>
      </c>
      <c r="Q4583" s="350" t="str">
        <f t="shared" ca="1" si="143"/>
        <v>OK</v>
      </c>
    </row>
    <row r="4584" spans="1:17">
      <c r="A4584" s="366" t="s">
        <v>6540</v>
      </c>
      <c r="B4584" s="366" t="s">
        <v>231</v>
      </c>
      <c r="C4584" s="348" t="str">
        <f>DATA_PROPERTY_MASTER!$A$19</f>
        <v>BLD_PS</v>
      </c>
      <c r="D4584" s="380">
        <f>'00_PORTFOLIO ROLLUP'!S$12</f>
        <v>2039</v>
      </c>
      <c r="E4584" s="366" t="s">
        <v>1683</v>
      </c>
      <c r="F4584" s="366" t="s">
        <v>25</v>
      </c>
      <c r="G4584" s="348" t="str">
        <f>"'"&amp;$C4584&amp;"'!$E$52:$Y$52"</f>
        <v>'BLD_PS'!$E$52:$Y$52</v>
      </c>
      <c r="H4584" s="381">
        <f ca="1">IF(IFERROR(INDEX(DATA_PROPERTY_MASTER!$E$5:$E$21,MATCH($C4584,DATA_PROPERTY_MASTER!$A$5:$A$21,0))="Yes",FALSE),IFERROR(INDEX(INDIRECT("'"&amp;$C4584&amp;"'!$E$52:$Y$52"),1,MATCH($D4584,INDIRECT("'"&amp;$C4584&amp;"'!$E$12:$Y$12"),0)),0),0)</f>
        <v>436880.30564634642</v>
      </c>
      <c r="I4584" s="366" t="s">
        <v>1685</v>
      </c>
      <c r="J4584" s="348" t="str">
        <f t="shared" ca="1" si="142"/>
        <v>OK</v>
      </c>
      <c r="K4584" s="366" t="s">
        <v>1710</v>
      </c>
      <c r="L4584" s="366" t="s">
        <v>2246</v>
      </c>
      <c r="M4584" s="350" t="str">
        <f>IF($B4584="Portfolio","Portfolio",IFERROR(INDEX(DATA_ASSET_CLASSIFICATION!$B$8:$B$24,MATCH($C4584,DATA_ASSET_CLASSIFICATION!$A$8:$A$24,0)),"Review"))</f>
        <v>450 Pacific Street</v>
      </c>
      <c r="N4584" s="350" t="str">
        <f>IF($B4584="Portfolio","Portfolio",IFERROR(INDEX(DATA_ASSET_CLASSIFICATION!$U$8:$U$24,MATCH($C4584,DATA_ASSET_CLASSIFICATION!$A$8:$A$24,0)),"Review"))</f>
        <v>New Build</v>
      </c>
      <c r="O4584" s="350" t="str">
        <f>IF($B4584="Portfolio","Portfolio",IFERROR(INDEX(DATA_ASSET_CLASSIFICATION!$AB$8:$AB$13,MATCH($N4584,DATA_ASSET_CLASSIFICATION!$AA$8:$AA$13,0)),"Review"))</f>
        <v>Bucket 1 · New Build</v>
      </c>
      <c r="P4584" s="350" t="str">
        <f>IF($B4584="Portfolio","Portfolio",IFERROR(INDEX(DATA_ASSET_CLASSIFICATION!$C$8:$C$24,MATCH($C4584,DATA_ASSET_CLASSIFICATION!$A$8:$A$24,0)),"Review"))</f>
        <v>Yes</v>
      </c>
      <c r="Q4584" s="350" t="str">
        <f t="shared" ca="1" si="143"/>
        <v>OK</v>
      </c>
    </row>
    <row r="4585" spans="1:17">
      <c r="A4585" s="366" t="s">
        <v>6541</v>
      </c>
      <c r="B4585" s="366" t="s">
        <v>231</v>
      </c>
      <c r="C4585" s="348" t="str">
        <f>DATA_PROPERTY_MASTER!$A$19</f>
        <v>BLD_PS</v>
      </c>
      <c r="D4585" s="380">
        <f>'00_PORTFOLIO ROLLUP'!S$12</f>
        <v>2039</v>
      </c>
      <c r="E4585" s="366" t="s">
        <v>1683</v>
      </c>
      <c r="F4585" s="366" t="s">
        <v>27</v>
      </c>
      <c r="G4585" s="348" t="str">
        <f>"'"&amp;$C4585&amp;"'!$E$54:$Y$54"</f>
        <v>'BLD_PS'!$E$54:$Y$54</v>
      </c>
      <c r="H4585" s="381">
        <f ca="1">IF(IFERROR(INDEX(DATA_PROPERTY_MASTER!$E$5:$E$21,MATCH($C4585,DATA_PROPERTY_MASTER!$A$5:$A$21,0))="Yes",FALSE),IFERROR(INDEX(INDIRECT("'"&amp;$C4585&amp;"'!$E$54:$Y$54"),1,MATCH($D4585,INDIRECT("'"&amp;$C4585&amp;"'!$E$12:$Y$12"),0)),0),0)</f>
        <v>262128.18338780783</v>
      </c>
      <c r="I4585" s="366" t="s">
        <v>1690</v>
      </c>
      <c r="J4585" s="348" t="str">
        <f t="shared" ca="1" si="142"/>
        <v>OK</v>
      </c>
      <c r="K4585" s="366" t="s">
        <v>1714</v>
      </c>
      <c r="L4585" s="366" t="s">
        <v>2248</v>
      </c>
      <c r="M4585" s="350" t="str">
        <f>IF($B4585="Portfolio","Portfolio",IFERROR(INDEX(DATA_ASSET_CLASSIFICATION!$B$8:$B$24,MATCH($C4585,DATA_ASSET_CLASSIFICATION!$A$8:$A$24,0)),"Review"))</f>
        <v>450 Pacific Street</v>
      </c>
      <c r="N4585" s="350" t="str">
        <f>IF($B4585="Portfolio","Portfolio",IFERROR(INDEX(DATA_ASSET_CLASSIFICATION!$U$8:$U$24,MATCH($C4585,DATA_ASSET_CLASSIFICATION!$A$8:$A$24,0)),"Review"))</f>
        <v>New Build</v>
      </c>
      <c r="O4585" s="350" t="str">
        <f>IF($B4585="Portfolio","Portfolio",IFERROR(INDEX(DATA_ASSET_CLASSIFICATION!$AB$8:$AB$13,MATCH($N4585,DATA_ASSET_CLASSIFICATION!$AA$8:$AA$13,0)),"Review"))</f>
        <v>Bucket 1 · New Build</v>
      </c>
      <c r="P4585" s="350" t="str">
        <f>IF($B4585="Portfolio","Portfolio",IFERROR(INDEX(DATA_ASSET_CLASSIFICATION!$C$8:$C$24,MATCH($C4585,DATA_ASSET_CLASSIFICATION!$A$8:$A$24,0)),"Review"))</f>
        <v>Yes</v>
      </c>
      <c r="Q4585" s="350" t="str">
        <f t="shared" ca="1" si="143"/>
        <v>OK</v>
      </c>
    </row>
    <row r="4586" spans="1:17">
      <c r="A4586" s="366" t="s">
        <v>6542</v>
      </c>
      <c r="B4586" s="366" t="s">
        <v>231</v>
      </c>
      <c r="C4586" s="348" t="str">
        <f>DATA_PROPERTY_MASTER!$A$19</f>
        <v>BLD_PS</v>
      </c>
      <c r="D4586" s="380">
        <f>'00_PORTFOLIO ROLLUP'!S$12</f>
        <v>2039</v>
      </c>
      <c r="E4586" s="366" t="s">
        <v>1683</v>
      </c>
      <c r="F4586" s="366" t="s">
        <v>29</v>
      </c>
      <c r="G4586" s="348" t="str">
        <f>"'"&amp;$C4586&amp;"'!$E$56:$Y$56"</f>
        <v>'BLD_PS'!$E$56:$Y$56</v>
      </c>
      <c r="H4586" s="381">
        <f ca="1">IF(IFERROR(INDEX(DATA_PROPERTY_MASTER!$E$5:$E$21,MATCH($C4586,DATA_PROPERTY_MASTER!$A$5:$A$21,0))="Yes",FALSE),IFERROR(INDEX(INDIRECT("'"&amp;$C4586&amp;"'!$E$56:$Y$56"),1,MATCH($D4586,INDIRECT("'"&amp;$C4586&amp;"'!$E$12:$Y$12"),0)),0),0)</f>
        <v>174752.12225853858</v>
      </c>
      <c r="I4586" s="366" t="s">
        <v>1685</v>
      </c>
      <c r="J4586" s="348" t="str">
        <f t="shared" ca="1" si="142"/>
        <v>OK</v>
      </c>
      <c r="K4586" s="366" t="s">
        <v>1718</v>
      </c>
      <c r="L4586" s="366" t="s">
        <v>2250</v>
      </c>
      <c r="M4586" s="350" t="str">
        <f>IF($B4586="Portfolio","Portfolio",IFERROR(INDEX(DATA_ASSET_CLASSIFICATION!$B$8:$B$24,MATCH($C4586,DATA_ASSET_CLASSIFICATION!$A$8:$A$24,0)),"Review"))</f>
        <v>450 Pacific Street</v>
      </c>
      <c r="N4586" s="350" t="str">
        <f>IF($B4586="Portfolio","Portfolio",IFERROR(INDEX(DATA_ASSET_CLASSIFICATION!$U$8:$U$24,MATCH($C4586,DATA_ASSET_CLASSIFICATION!$A$8:$A$24,0)),"Review"))</f>
        <v>New Build</v>
      </c>
      <c r="O4586" s="350" t="str">
        <f>IF($B4586="Portfolio","Portfolio",IFERROR(INDEX(DATA_ASSET_CLASSIFICATION!$AB$8:$AB$13,MATCH($N4586,DATA_ASSET_CLASSIFICATION!$AA$8:$AA$13,0)),"Review"))</f>
        <v>Bucket 1 · New Build</v>
      </c>
      <c r="P4586" s="350" t="str">
        <f>IF($B4586="Portfolio","Portfolio",IFERROR(INDEX(DATA_ASSET_CLASSIFICATION!$C$8:$C$24,MATCH($C4586,DATA_ASSET_CLASSIFICATION!$A$8:$A$24,0)),"Review"))</f>
        <v>Yes</v>
      </c>
      <c r="Q4586" s="350" t="str">
        <f t="shared" ca="1" si="143"/>
        <v>OK</v>
      </c>
    </row>
    <row r="4587" spans="1:17">
      <c r="A4587" s="366" t="s">
        <v>6543</v>
      </c>
      <c r="B4587" s="366" t="s">
        <v>231</v>
      </c>
      <c r="C4587" s="348" t="str">
        <f>DATA_PROPERTY_MASTER!$A$19</f>
        <v>BLD_PS</v>
      </c>
      <c r="D4587" s="380">
        <f>'00_PORTFOLIO ROLLUP'!S$12</f>
        <v>2039</v>
      </c>
      <c r="E4587" s="366" t="s">
        <v>1721</v>
      </c>
      <c r="F4587" s="366" t="s">
        <v>31</v>
      </c>
      <c r="G4587" s="348" t="str">
        <f>"'"&amp;$C4587&amp;"'!$E$61:$Y$61"</f>
        <v>'BLD_PS'!$E$61:$Y$61</v>
      </c>
      <c r="H4587" s="381">
        <f ca="1">IF(IFERROR(INDEX(DATA_PROPERTY_MASTER!$E$5:$E$21,MATCH($C4587,DATA_PROPERTY_MASTER!$A$5:$A$21,0))="Yes",FALSE),IFERROR(INDEX(INDIRECT("'"&amp;$C4587&amp;"'!$E$61:$Y$61"),1,MATCH($D4587,INDIRECT("'"&amp;$C4587&amp;"'!$E$12:$Y$12"),0)),0),0)</f>
        <v>0</v>
      </c>
      <c r="I4587" s="366" t="s">
        <v>1690</v>
      </c>
      <c r="J4587" s="348" t="str">
        <f t="shared" ca="1" si="142"/>
        <v>OK</v>
      </c>
      <c r="K4587" s="366" t="s">
        <v>1723</v>
      </c>
      <c r="L4587" s="366" t="s">
        <v>2252</v>
      </c>
      <c r="M4587" s="350" t="str">
        <f>IF($B4587="Portfolio","Portfolio",IFERROR(INDEX(DATA_ASSET_CLASSIFICATION!$B$8:$B$24,MATCH($C4587,DATA_ASSET_CLASSIFICATION!$A$8:$A$24,0)),"Review"))</f>
        <v>450 Pacific Street</v>
      </c>
      <c r="N4587" s="350" t="str">
        <f>IF($B4587="Portfolio","Portfolio",IFERROR(INDEX(DATA_ASSET_CLASSIFICATION!$U$8:$U$24,MATCH($C4587,DATA_ASSET_CLASSIFICATION!$A$8:$A$24,0)),"Review"))</f>
        <v>New Build</v>
      </c>
      <c r="O4587" s="350" t="str">
        <f>IF($B4587="Portfolio","Portfolio",IFERROR(INDEX(DATA_ASSET_CLASSIFICATION!$AB$8:$AB$13,MATCH($N4587,DATA_ASSET_CLASSIFICATION!$AA$8:$AA$13,0)),"Review"))</f>
        <v>Bucket 1 · New Build</v>
      </c>
      <c r="P4587" s="350" t="str">
        <f>IF($B4587="Portfolio","Portfolio",IFERROR(INDEX(DATA_ASSET_CLASSIFICATION!$C$8:$C$24,MATCH($C4587,DATA_ASSET_CLASSIFICATION!$A$8:$A$24,0)),"Review"))</f>
        <v>Yes</v>
      </c>
      <c r="Q4587" s="350" t="str">
        <f t="shared" ca="1" si="143"/>
        <v>OK</v>
      </c>
    </row>
    <row r="4588" spans="1:17">
      <c r="A4588" s="366" t="s">
        <v>6544</v>
      </c>
      <c r="B4588" s="366" t="s">
        <v>231</v>
      </c>
      <c r="C4588" s="348" t="str">
        <f>DATA_PROPERTY_MASTER!$A$19</f>
        <v>BLD_PS</v>
      </c>
      <c r="D4588" s="380">
        <f>'00_PORTFOLIO ROLLUP'!S$12</f>
        <v>2039</v>
      </c>
      <c r="E4588" s="366" t="s">
        <v>1721</v>
      </c>
      <c r="F4588" s="366" t="s">
        <v>33</v>
      </c>
      <c r="G4588" s="348" t="str">
        <f>"'"&amp;$C4588&amp;"'!$E$62:$Y$62"</f>
        <v>'BLD_PS'!$E$62:$Y$62</v>
      </c>
      <c r="H4588" s="381">
        <f ca="1">IF(IFERROR(INDEX(DATA_PROPERTY_MASTER!$E$5:$E$21,MATCH($C4588,DATA_PROPERTY_MASTER!$A$5:$A$21,0))="Yes",FALSE),IFERROR(INDEX(INDIRECT("'"&amp;$C4588&amp;"'!$E$62:$Y$62"),1,MATCH($D4588,INDIRECT("'"&amp;$C4588&amp;"'!$E$12:$Y$12"),0)),0),0)</f>
        <v>0</v>
      </c>
      <c r="I4588" s="366" t="s">
        <v>1685</v>
      </c>
      <c r="J4588" s="348" t="str">
        <f t="shared" ca="1" si="142"/>
        <v>OK</v>
      </c>
      <c r="K4588" s="366" t="s">
        <v>1727</v>
      </c>
      <c r="L4588" s="366" t="s">
        <v>2254</v>
      </c>
      <c r="M4588" s="350" t="str">
        <f>IF($B4588="Portfolio","Portfolio",IFERROR(INDEX(DATA_ASSET_CLASSIFICATION!$B$8:$B$24,MATCH($C4588,DATA_ASSET_CLASSIFICATION!$A$8:$A$24,0)),"Review"))</f>
        <v>450 Pacific Street</v>
      </c>
      <c r="N4588" s="350" t="str">
        <f>IF($B4588="Portfolio","Portfolio",IFERROR(INDEX(DATA_ASSET_CLASSIFICATION!$U$8:$U$24,MATCH($C4588,DATA_ASSET_CLASSIFICATION!$A$8:$A$24,0)),"Review"))</f>
        <v>New Build</v>
      </c>
      <c r="O4588" s="350" t="str">
        <f>IF($B4588="Portfolio","Portfolio",IFERROR(INDEX(DATA_ASSET_CLASSIFICATION!$AB$8:$AB$13,MATCH($N4588,DATA_ASSET_CLASSIFICATION!$AA$8:$AA$13,0)),"Review"))</f>
        <v>Bucket 1 · New Build</v>
      </c>
      <c r="P4588" s="350" t="str">
        <f>IF($B4588="Portfolio","Portfolio",IFERROR(INDEX(DATA_ASSET_CLASSIFICATION!$C$8:$C$24,MATCH($C4588,DATA_ASSET_CLASSIFICATION!$A$8:$A$24,0)),"Review"))</f>
        <v>Yes</v>
      </c>
      <c r="Q4588" s="350" t="str">
        <f t="shared" ca="1" si="143"/>
        <v>OK</v>
      </c>
    </row>
    <row r="4589" spans="1:17">
      <c r="A4589" s="366" t="s">
        <v>6545</v>
      </c>
      <c r="B4589" s="366" t="s">
        <v>231</v>
      </c>
      <c r="C4589" s="348" t="str">
        <f>DATA_PROPERTY_MASTER!$A$19</f>
        <v>BLD_PS</v>
      </c>
      <c r="D4589" s="380">
        <f>'00_PORTFOLIO ROLLUP'!S$12</f>
        <v>2039</v>
      </c>
      <c r="E4589" s="366" t="s">
        <v>1721</v>
      </c>
      <c r="F4589" s="366" t="s">
        <v>35</v>
      </c>
      <c r="G4589" s="348" t="str">
        <f>"'"&amp;$C4589&amp;"'!$E$63:$Y$63"</f>
        <v>'BLD_PS'!$E$63:$Y$63</v>
      </c>
      <c r="H4589" s="381">
        <f ca="1">IF(IFERROR(INDEX(DATA_PROPERTY_MASTER!$E$5:$E$21,MATCH($C4589,DATA_PROPERTY_MASTER!$A$5:$A$21,0))="Yes",FALSE),IFERROR(INDEX(INDIRECT("'"&amp;$C4589&amp;"'!$E$63:$Y$63"),1,MATCH($D4589,INDIRECT("'"&amp;$C4589&amp;"'!$E$12:$Y$12"),0)),0),0)</f>
        <v>0</v>
      </c>
      <c r="I4589" s="366" t="s">
        <v>1731</v>
      </c>
      <c r="J4589" s="348" t="str">
        <f t="shared" ca="1" si="142"/>
        <v>OK</v>
      </c>
      <c r="K4589" s="366" t="s">
        <v>1732</v>
      </c>
      <c r="L4589" s="366" t="s">
        <v>2256</v>
      </c>
      <c r="M4589" s="350" t="str">
        <f>IF($B4589="Portfolio","Portfolio",IFERROR(INDEX(DATA_ASSET_CLASSIFICATION!$B$8:$B$24,MATCH($C4589,DATA_ASSET_CLASSIFICATION!$A$8:$A$24,0)),"Review"))</f>
        <v>450 Pacific Street</v>
      </c>
      <c r="N4589" s="350" t="str">
        <f>IF($B4589="Portfolio","Portfolio",IFERROR(INDEX(DATA_ASSET_CLASSIFICATION!$U$8:$U$24,MATCH($C4589,DATA_ASSET_CLASSIFICATION!$A$8:$A$24,0)),"Review"))</f>
        <v>New Build</v>
      </c>
      <c r="O4589" s="350" t="str">
        <f>IF($B4589="Portfolio","Portfolio",IFERROR(INDEX(DATA_ASSET_CLASSIFICATION!$AB$8:$AB$13,MATCH($N4589,DATA_ASSET_CLASSIFICATION!$AA$8:$AA$13,0)),"Review"))</f>
        <v>Bucket 1 · New Build</v>
      </c>
      <c r="P4589" s="350" t="str">
        <f>IF($B4589="Portfolio","Portfolio",IFERROR(INDEX(DATA_ASSET_CLASSIFICATION!$C$8:$C$24,MATCH($C4589,DATA_ASSET_CLASSIFICATION!$A$8:$A$24,0)),"Review"))</f>
        <v>Yes</v>
      </c>
      <c r="Q4589" s="350" t="str">
        <f t="shared" ca="1" si="143"/>
        <v>OK</v>
      </c>
    </row>
    <row r="4590" spans="1:17">
      <c r="A4590" s="366" t="s">
        <v>6546</v>
      </c>
      <c r="B4590" s="366" t="s">
        <v>231</v>
      </c>
      <c r="C4590" s="348" t="str">
        <f>DATA_PROPERTY_MASTER!$A$19</f>
        <v>BLD_PS</v>
      </c>
      <c r="D4590" s="380">
        <f>'00_PORTFOLIO ROLLUP'!S$12</f>
        <v>2039</v>
      </c>
      <c r="E4590" s="366" t="s">
        <v>1721</v>
      </c>
      <c r="F4590" s="366" t="s">
        <v>37</v>
      </c>
      <c r="G4590" s="348" t="str">
        <f>"'"&amp;$C4590&amp;"'!$E$63:$Y$63"</f>
        <v>'BLD_PS'!$E$63:$Y$63</v>
      </c>
      <c r="H4590" s="381">
        <f ca="1">IF(IFERROR(INDEX(DATA_PROPERTY_MASTER!$E$5:$E$21,MATCH($C4590,DATA_PROPERTY_MASTER!$A$5:$A$21,0))="Yes",FALSE),MAX(IFERROR(INDEX(INDIRECT("'"&amp;$C4590&amp;"'!$E$63:$Y$63"),1,MATCH($D4590,INDIRECT("'"&amp;$C4590&amp;"'!$E$12:$Y$12"),0)),0),0),0)</f>
        <v>0</v>
      </c>
      <c r="I4590" s="366" t="s">
        <v>1685</v>
      </c>
      <c r="J4590" s="348" t="str">
        <f t="shared" ca="1" si="142"/>
        <v>OK</v>
      </c>
      <c r="K4590" s="366" t="s">
        <v>1735</v>
      </c>
      <c r="L4590" s="366" t="s">
        <v>2258</v>
      </c>
      <c r="M4590" s="350" t="str">
        <f>IF($B4590="Portfolio","Portfolio",IFERROR(INDEX(DATA_ASSET_CLASSIFICATION!$B$8:$B$24,MATCH($C4590,DATA_ASSET_CLASSIFICATION!$A$8:$A$24,0)),"Review"))</f>
        <v>450 Pacific Street</v>
      </c>
      <c r="N4590" s="350" t="str">
        <f>IF($B4590="Portfolio","Portfolio",IFERROR(INDEX(DATA_ASSET_CLASSIFICATION!$U$8:$U$24,MATCH($C4590,DATA_ASSET_CLASSIFICATION!$A$8:$A$24,0)),"Review"))</f>
        <v>New Build</v>
      </c>
      <c r="O4590" s="350" t="str">
        <f>IF($B4590="Portfolio","Portfolio",IFERROR(INDEX(DATA_ASSET_CLASSIFICATION!$AB$8:$AB$13,MATCH($N4590,DATA_ASSET_CLASSIFICATION!$AA$8:$AA$13,0)),"Review"))</f>
        <v>Bucket 1 · New Build</v>
      </c>
      <c r="P4590" s="350" t="str">
        <f>IF($B4590="Portfolio","Portfolio",IFERROR(INDEX(DATA_ASSET_CLASSIFICATION!$C$8:$C$24,MATCH($C4590,DATA_ASSET_CLASSIFICATION!$A$8:$A$24,0)),"Review"))</f>
        <v>Yes</v>
      </c>
      <c r="Q4590" s="350" t="str">
        <f t="shared" ca="1" si="143"/>
        <v>OK</v>
      </c>
    </row>
    <row r="4591" spans="1:17">
      <c r="A4591" s="366" t="s">
        <v>6547</v>
      </c>
      <c r="B4591" s="366" t="s">
        <v>231</v>
      </c>
      <c r="C4591" s="348" t="str">
        <f>DATA_PROPERTY_MASTER!$A$19</f>
        <v>BLD_PS</v>
      </c>
      <c r="D4591" s="380">
        <f>'00_PORTFOLIO ROLLUP'!S$12</f>
        <v>2039</v>
      </c>
      <c r="E4591" s="366" t="s">
        <v>1721</v>
      </c>
      <c r="F4591" s="366" t="s">
        <v>39</v>
      </c>
      <c r="G4591" s="348" t="str">
        <f>"'"&amp;$C4591&amp;"'!$E$63:$Y$63"</f>
        <v>'BLD_PS'!$E$63:$Y$63</v>
      </c>
      <c r="H4591" s="381">
        <f ca="1">IF(IFERROR(INDEX(DATA_PROPERTY_MASTER!$E$5:$E$21,MATCH($C4591,DATA_PROPERTY_MASTER!$A$5:$A$21,0))="Yes",FALSE),MAX(-IFERROR(INDEX(INDIRECT("'"&amp;$C4591&amp;"'!$E$63:$Y$63"),1,MATCH($D4591,INDIRECT("'"&amp;$C4591&amp;"'!$E$12:$Y$12"),0)),0),0),0)</f>
        <v>0</v>
      </c>
      <c r="I4591" s="366" t="s">
        <v>1690</v>
      </c>
      <c r="J4591" s="348" t="str">
        <f t="shared" ca="1" si="142"/>
        <v>OK</v>
      </c>
      <c r="K4591" s="366" t="s">
        <v>1738</v>
      </c>
      <c r="L4591" s="366" t="s">
        <v>2260</v>
      </c>
      <c r="M4591" s="350" t="str">
        <f>IF($B4591="Portfolio","Portfolio",IFERROR(INDEX(DATA_ASSET_CLASSIFICATION!$B$8:$B$24,MATCH($C4591,DATA_ASSET_CLASSIFICATION!$A$8:$A$24,0)),"Review"))</f>
        <v>450 Pacific Street</v>
      </c>
      <c r="N4591" s="350" t="str">
        <f>IF($B4591="Portfolio","Portfolio",IFERROR(INDEX(DATA_ASSET_CLASSIFICATION!$U$8:$U$24,MATCH($C4591,DATA_ASSET_CLASSIFICATION!$A$8:$A$24,0)),"Review"))</f>
        <v>New Build</v>
      </c>
      <c r="O4591" s="350" t="str">
        <f>IF($B4591="Portfolio","Portfolio",IFERROR(INDEX(DATA_ASSET_CLASSIFICATION!$AB$8:$AB$13,MATCH($N4591,DATA_ASSET_CLASSIFICATION!$AA$8:$AA$13,0)),"Review"))</f>
        <v>Bucket 1 · New Build</v>
      </c>
      <c r="P4591" s="350" t="str">
        <f>IF($B4591="Portfolio","Portfolio",IFERROR(INDEX(DATA_ASSET_CLASSIFICATION!$C$8:$C$24,MATCH($C4591,DATA_ASSET_CLASSIFICATION!$A$8:$A$24,0)),"Review"))</f>
        <v>Yes</v>
      </c>
      <c r="Q4591" s="350" t="str">
        <f t="shared" ca="1" si="143"/>
        <v>OK</v>
      </c>
    </row>
    <row r="4592" spans="1:17">
      <c r="A4592" s="366" t="s">
        <v>6548</v>
      </c>
      <c r="B4592" s="366" t="s">
        <v>231</v>
      </c>
      <c r="C4592" s="348" t="str">
        <f>DATA_PROPERTY_MASTER!$A$19</f>
        <v>BLD_PS</v>
      </c>
      <c r="D4592" s="380">
        <f>'00_PORTFOLIO ROLLUP'!S$12</f>
        <v>2039</v>
      </c>
      <c r="E4592" s="366" t="s">
        <v>1741</v>
      </c>
      <c r="F4592" s="366" t="s">
        <v>41</v>
      </c>
      <c r="G4592" s="348" t="str">
        <f>"'"&amp;$C4592&amp;"'!rows 56 + positive row 63"</f>
        <v>'BLD_PS'!rows 56 + positive row 63</v>
      </c>
      <c r="H4592" s="381">
        <f ca="1">IF(IFERROR(INDEX(DATA_PROPERTY_MASTER!$E$5:$E$21,MATCH($C4592,DATA_PROPERTY_MASTER!$A$5:$A$21,0))="Yes",FALSE),IFERROR(INDEX(INDIRECT("'"&amp;$C4592&amp;"'!$E$56:$Y$56"),1,MATCH($D4592,INDIRECT("'"&amp;$C4592&amp;"'!$E$12:$Y$12"),0)),0)+MAX(IFERROR(INDEX(INDIRECT("'"&amp;$C4592&amp;"'!$E$63:$Y$63"),1,MATCH($D4592,INDIRECT("'"&amp;$C4592&amp;"'!$E$12:$Y$12"),0)),0),0),0)</f>
        <v>174752.12225853858</v>
      </c>
      <c r="I4592" s="366" t="s">
        <v>1685</v>
      </c>
      <c r="J4592" s="348" t="str">
        <f t="shared" ca="1" si="142"/>
        <v>OK</v>
      </c>
      <c r="K4592" s="366" t="s">
        <v>1742</v>
      </c>
      <c r="L4592" s="366" t="s">
        <v>2262</v>
      </c>
      <c r="M4592" s="350" t="str">
        <f>IF($B4592="Portfolio","Portfolio",IFERROR(INDEX(DATA_ASSET_CLASSIFICATION!$B$8:$B$24,MATCH($C4592,DATA_ASSET_CLASSIFICATION!$A$8:$A$24,0)),"Review"))</f>
        <v>450 Pacific Street</v>
      </c>
      <c r="N4592" s="350" t="str">
        <f>IF($B4592="Portfolio","Portfolio",IFERROR(INDEX(DATA_ASSET_CLASSIFICATION!$U$8:$U$24,MATCH($C4592,DATA_ASSET_CLASSIFICATION!$A$8:$A$24,0)),"Review"))</f>
        <v>New Build</v>
      </c>
      <c r="O4592" s="350" t="str">
        <f>IF($B4592="Portfolio","Portfolio",IFERROR(INDEX(DATA_ASSET_CLASSIFICATION!$AB$8:$AB$13,MATCH($N4592,DATA_ASSET_CLASSIFICATION!$AA$8:$AA$13,0)),"Review"))</f>
        <v>Bucket 1 · New Build</v>
      </c>
      <c r="P4592" s="350" t="str">
        <f>IF($B4592="Portfolio","Portfolio",IFERROR(INDEX(DATA_ASSET_CLASSIFICATION!$C$8:$C$24,MATCH($C4592,DATA_ASSET_CLASSIFICATION!$A$8:$A$24,0)),"Review"))</f>
        <v>Yes</v>
      </c>
      <c r="Q4592" s="350" t="str">
        <f t="shared" ca="1" si="143"/>
        <v>OK</v>
      </c>
    </row>
    <row r="4593" spans="1:17">
      <c r="A4593" s="366" t="s">
        <v>6549</v>
      </c>
      <c r="B4593" s="366" t="s">
        <v>231</v>
      </c>
      <c r="C4593" s="348" t="str">
        <f>DATA_PROPERTY_MASTER!$A$19</f>
        <v>BLD_PS</v>
      </c>
      <c r="D4593" s="380">
        <f>'00_PORTFOLIO ROLLUP'!S$12</f>
        <v>2039</v>
      </c>
      <c r="E4593" s="366" t="s">
        <v>1741</v>
      </c>
      <c r="F4593" s="366" t="s">
        <v>43</v>
      </c>
      <c r="G4593" s="348" t="str">
        <f>"'"&amp;$C4593&amp;"'!$E$68:$Y$68"</f>
        <v>'BLD_PS'!$E$68:$Y$68</v>
      </c>
      <c r="H4593" s="381">
        <f ca="1">IF(IFERROR(INDEX(DATA_PROPERTY_MASTER!$E$5:$E$21,MATCH($C4593,DATA_PROPERTY_MASTER!$A$5:$A$21,0))="Yes",FALSE),IFERROR(INDEX(INDIRECT("'"&amp;$C4593&amp;"'!$E$68:$Y$68"),1,MATCH($D4593,INDIRECT("'"&amp;$C4593&amp;"'!$E$12:$Y$12"),0)),0),0)</f>
        <v>174752.12225853858</v>
      </c>
      <c r="I4593" s="366" t="s">
        <v>1731</v>
      </c>
      <c r="J4593" s="348" t="str">
        <f t="shared" ca="1" si="142"/>
        <v>OK</v>
      </c>
      <c r="K4593" s="366" t="s">
        <v>1746</v>
      </c>
      <c r="L4593" s="366" t="s">
        <v>2264</v>
      </c>
      <c r="M4593" s="350" t="str">
        <f>IF($B4593="Portfolio","Portfolio",IFERROR(INDEX(DATA_ASSET_CLASSIFICATION!$B$8:$B$24,MATCH($C4593,DATA_ASSET_CLASSIFICATION!$A$8:$A$24,0)),"Review"))</f>
        <v>450 Pacific Street</v>
      </c>
      <c r="N4593" s="350" t="str">
        <f>IF($B4593="Portfolio","Portfolio",IFERROR(INDEX(DATA_ASSET_CLASSIFICATION!$U$8:$U$24,MATCH($C4593,DATA_ASSET_CLASSIFICATION!$A$8:$A$24,0)),"Review"))</f>
        <v>New Build</v>
      </c>
      <c r="O4593" s="350" t="str">
        <f>IF($B4593="Portfolio","Portfolio",IFERROR(INDEX(DATA_ASSET_CLASSIFICATION!$AB$8:$AB$13,MATCH($N4593,DATA_ASSET_CLASSIFICATION!$AA$8:$AA$13,0)),"Review"))</f>
        <v>Bucket 1 · New Build</v>
      </c>
      <c r="P4593" s="350" t="str">
        <f>IF($B4593="Portfolio","Portfolio",IFERROR(INDEX(DATA_ASSET_CLASSIFICATION!$C$8:$C$24,MATCH($C4593,DATA_ASSET_CLASSIFICATION!$A$8:$A$24,0)),"Review"))</f>
        <v>Yes</v>
      </c>
      <c r="Q4593" s="350" t="str">
        <f t="shared" ca="1" si="143"/>
        <v>OK</v>
      </c>
    </row>
    <row r="4594" spans="1:17">
      <c r="A4594" s="366" t="s">
        <v>6550</v>
      </c>
      <c r="B4594" s="366" t="s">
        <v>231</v>
      </c>
      <c r="C4594" s="348" t="str">
        <f>DATA_PROPERTY_MASTER!$A$19</f>
        <v>BLD_PS</v>
      </c>
      <c r="D4594" s="380">
        <f>'00_PORTFOLIO ROLLUP'!S$12</f>
        <v>2039</v>
      </c>
      <c r="E4594" s="366" t="s">
        <v>1741</v>
      </c>
      <c r="F4594" s="366" t="s">
        <v>1749</v>
      </c>
      <c r="G4594" s="348" t="str">
        <f>"'"&amp;$C4594&amp;"'!rows 56, 63, 68"</f>
        <v>'BLD_PS'!rows 56, 63, 68</v>
      </c>
      <c r="H4594" s="381">
        <f ca="1">IF(IFERROR(INDEX(DATA_PROPERTY_MASTER!$E$5:$E$21,MATCH($C4594,DATA_PROPERTY_MASTER!$A$5:$A$21,0))="Yes",FALSE),(IFERROR(INDEX(INDIRECT("'"&amp;$C4594&amp;"'!$E$56:$Y$56"),1,MATCH($D4594,INDIRECT("'"&amp;$C4594&amp;"'!$E$12:$Y$12"),0)),0)+MAX(IFERROR(INDEX(INDIRECT("'"&amp;$C4594&amp;"'!$E$63:$Y$63"),1,MATCH($D4594,INDIRECT("'"&amp;$C4594&amp;"'!$E$12:$Y$12"),0)),0),0))-(IFERROR(INDEX(INDIRECT("'"&amp;$C4594&amp;"'!$E$68:$Y$68"),1,MATCH($D4594,INDIRECT("'"&amp;$C4594&amp;"'!$E$12:$Y$12"),0)),0)),0)</f>
        <v>0</v>
      </c>
      <c r="I4594" s="366" t="s">
        <v>1750</v>
      </c>
      <c r="J4594" s="348" t="str">
        <f t="shared" ca="1" si="142"/>
        <v>OK</v>
      </c>
      <c r="K4594" s="366" t="s">
        <v>1751</v>
      </c>
      <c r="L4594" s="366" t="s">
        <v>2266</v>
      </c>
      <c r="M4594" s="350" t="str">
        <f>IF($B4594="Portfolio","Portfolio",IFERROR(INDEX(DATA_ASSET_CLASSIFICATION!$B$8:$B$24,MATCH($C4594,DATA_ASSET_CLASSIFICATION!$A$8:$A$24,0)),"Review"))</f>
        <v>450 Pacific Street</v>
      </c>
      <c r="N4594" s="350" t="str">
        <f>IF($B4594="Portfolio","Portfolio",IFERROR(INDEX(DATA_ASSET_CLASSIFICATION!$U$8:$U$24,MATCH($C4594,DATA_ASSET_CLASSIFICATION!$A$8:$A$24,0)),"Review"))</f>
        <v>New Build</v>
      </c>
      <c r="O4594" s="350" t="str">
        <f>IF($B4594="Portfolio","Portfolio",IFERROR(INDEX(DATA_ASSET_CLASSIFICATION!$AB$8:$AB$13,MATCH($N4594,DATA_ASSET_CLASSIFICATION!$AA$8:$AA$13,0)),"Review"))</f>
        <v>Bucket 1 · New Build</v>
      </c>
      <c r="P4594" s="350" t="str">
        <f>IF($B4594="Portfolio","Portfolio",IFERROR(INDEX(DATA_ASSET_CLASSIFICATION!$C$8:$C$24,MATCH($C4594,DATA_ASSET_CLASSIFICATION!$A$8:$A$24,0)),"Review"))</f>
        <v>Yes</v>
      </c>
      <c r="Q4594" s="350" t="str">
        <f t="shared" ca="1" si="143"/>
        <v>OK</v>
      </c>
    </row>
    <row r="4595" spans="1:17">
      <c r="A4595" s="366" t="s">
        <v>6551</v>
      </c>
      <c r="B4595" s="366" t="s">
        <v>231</v>
      </c>
      <c r="C4595" s="348" t="str">
        <f>DATA_PROPERTY_MASTER!$A$19</f>
        <v>BLD_PS</v>
      </c>
      <c r="D4595" s="380">
        <f>'00_PORTFOLIO ROLLUP'!T$12</f>
        <v>2040</v>
      </c>
      <c r="E4595" s="366" t="s">
        <v>1683</v>
      </c>
      <c r="F4595" s="366" t="s">
        <v>341</v>
      </c>
      <c r="G4595" s="348" t="str">
        <f>"'"&amp;$C4595&amp;"'!$E$24:$Y$24"</f>
        <v>'BLD_PS'!$E$24:$Y$24</v>
      </c>
      <c r="H4595" s="381">
        <f ca="1">IF(IFERROR(INDEX(DATA_PROPERTY_MASTER!$E$5:$E$21,MATCH($C4595,DATA_PROPERTY_MASTER!$A$5:$A$21,0))="Yes",FALSE),IFERROR(INDEX(INDIRECT("'"&amp;$C4595&amp;"'!$E$24:$Y$24"),1,MATCH($D4595,INDIRECT("'"&amp;$C4595&amp;"'!$E$12:$Y$12"),0)),0),0)</f>
        <v>2252976.2579886755</v>
      </c>
      <c r="I4595" s="366" t="s">
        <v>1685</v>
      </c>
      <c r="J4595" s="348" t="str">
        <f t="shared" ca="1" si="142"/>
        <v>OK</v>
      </c>
      <c r="K4595" s="366" t="s">
        <v>1686</v>
      </c>
      <c r="L4595" s="366" t="s">
        <v>2234</v>
      </c>
      <c r="M4595" s="350" t="str">
        <f>IF($B4595="Portfolio","Portfolio",IFERROR(INDEX(DATA_ASSET_CLASSIFICATION!$B$8:$B$24,MATCH($C4595,DATA_ASSET_CLASSIFICATION!$A$8:$A$24,0)),"Review"))</f>
        <v>450 Pacific Street</v>
      </c>
      <c r="N4595" s="350" t="str">
        <f>IF($B4595="Portfolio","Portfolio",IFERROR(INDEX(DATA_ASSET_CLASSIFICATION!$U$8:$U$24,MATCH($C4595,DATA_ASSET_CLASSIFICATION!$A$8:$A$24,0)),"Review"))</f>
        <v>New Build</v>
      </c>
      <c r="O4595" s="350" t="str">
        <f>IF($B4595="Portfolio","Portfolio",IFERROR(INDEX(DATA_ASSET_CLASSIFICATION!$AB$8:$AB$13,MATCH($N4595,DATA_ASSET_CLASSIFICATION!$AA$8:$AA$13,0)),"Review"))</f>
        <v>Bucket 1 · New Build</v>
      </c>
      <c r="P4595" s="350" t="str">
        <f>IF($B4595="Portfolio","Portfolio",IFERROR(INDEX(DATA_ASSET_CLASSIFICATION!$C$8:$C$24,MATCH($C4595,DATA_ASSET_CLASSIFICATION!$A$8:$A$24,0)),"Review"))</f>
        <v>Yes</v>
      </c>
      <c r="Q4595" s="350" t="str">
        <f t="shared" ca="1" si="143"/>
        <v>OK</v>
      </c>
    </row>
    <row r="4596" spans="1:17">
      <c r="A4596" s="366" t="s">
        <v>6552</v>
      </c>
      <c r="B4596" s="366" t="s">
        <v>231</v>
      </c>
      <c r="C4596" s="348" t="str">
        <f>DATA_PROPERTY_MASTER!$A$19</f>
        <v>BLD_PS</v>
      </c>
      <c r="D4596" s="380">
        <f>'00_PORTFOLIO ROLLUP'!T$12</f>
        <v>2040</v>
      </c>
      <c r="E4596" s="366" t="s">
        <v>1683</v>
      </c>
      <c r="F4596" s="366" t="s">
        <v>355</v>
      </c>
      <c r="G4596" s="348" t="str">
        <f>"'"&amp;$C4596&amp;"'!$E$39:$Y$39"</f>
        <v>'BLD_PS'!$E$39:$Y$39</v>
      </c>
      <c r="H4596" s="381">
        <f ca="1">IF(IFERROR(INDEX(DATA_PROPERTY_MASTER!$E$5:$E$21,MATCH($C4596,DATA_PROPERTY_MASTER!$A$5:$A$21,0))="Yes",FALSE),IFERROR(INDEX(INDIRECT("'"&amp;$C4596&amp;"'!$E$39:$Y$39"),1,MATCH($D4596,INDIRECT("'"&amp;$C4596&amp;"'!$E$12:$Y$12"),0)),0),0)</f>
        <v>1132070.9742874238</v>
      </c>
      <c r="I4596" s="366" t="s">
        <v>1690</v>
      </c>
      <c r="J4596" s="348" t="str">
        <f t="shared" ca="1" si="142"/>
        <v>OK</v>
      </c>
      <c r="K4596" s="366" t="s">
        <v>1686</v>
      </c>
      <c r="L4596" s="366" t="s">
        <v>2236</v>
      </c>
      <c r="M4596" s="350" t="str">
        <f>IF($B4596="Portfolio","Portfolio",IFERROR(INDEX(DATA_ASSET_CLASSIFICATION!$B$8:$B$24,MATCH($C4596,DATA_ASSET_CLASSIFICATION!$A$8:$A$24,0)),"Review"))</f>
        <v>450 Pacific Street</v>
      </c>
      <c r="N4596" s="350" t="str">
        <f>IF($B4596="Portfolio","Portfolio",IFERROR(INDEX(DATA_ASSET_CLASSIFICATION!$U$8:$U$24,MATCH($C4596,DATA_ASSET_CLASSIFICATION!$A$8:$A$24,0)),"Review"))</f>
        <v>New Build</v>
      </c>
      <c r="O4596" s="350" t="str">
        <f>IF($B4596="Portfolio","Portfolio",IFERROR(INDEX(DATA_ASSET_CLASSIFICATION!$AB$8:$AB$13,MATCH($N4596,DATA_ASSET_CLASSIFICATION!$AA$8:$AA$13,0)),"Review"))</f>
        <v>Bucket 1 · New Build</v>
      </c>
      <c r="P4596" s="350" t="str">
        <f>IF($B4596="Portfolio","Portfolio",IFERROR(INDEX(DATA_ASSET_CLASSIFICATION!$C$8:$C$24,MATCH($C4596,DATA_ASSET_CLASSIFICATION!$A$8:$A$24,0)),"Review"))</f>
        <v>Yes</v>
      </c>
      <c r="Q4596" s="350" t="str">
        <f t="shared" ca="1" si="143"/>
        <v>OK</v>
      </c>
    </row>
    <row r="4597" spans="1:17">
      <c r="A4597" s="366" t="s">
        <v>6553</v>
      </c>
      <c r="B4597" s="366" t="s">
        <v>231</v>
      </c>
      <c r="C4597" s="348" t="str">
        <f>DATA_PROPERTY_MASTER!$A$19</f>
        <v>BLD_PS</v>
      </c>
      <c r="D4597" s="380">
        <f>'00_PORTFOLIO ROLLUP'!T$12</f>
        <v>2040</v>
      </c>
      <c r="E4597" s="366" t="s">
        <v>1683</v>
      </c>
      <c r="F4597" s="366" t="s">
        <v>19</v>
      </c>
      <c r="G4597" s="348" t="str">
        <f>"'"&amp;$C4597&amp;"'!$E$41:$Y$41"</f>
        <v>'BLD_PS'!$E$41:$Y$41</v>
      </c>
      <c r="H4597" s="381">
        <f ca="1">IF(IFERROR(INDEX(DATA_PROPERTY_MASTER!$E$5:$E$21,MATCH($C4597,DATA_PROPERTY_MASTER!$A$5:$A$21,0))="Yes",FALSE),IFERROR(INDEX(INDIRECT("'"&amp;$C4597&amp;"'!$E$41:$Y$41"),1,MATCH($D4597,INDIRECT("'"&amp;$C4597&amp;"'!$E$12:$Y$12"),0)),0),0)</f>
        <v>1120905.2837012517</v>
      </c>
      <c r="I4597" s="366" t="s">
        <v>1685</v>
      </c>
      <c r="J4597" s="348" t="str">
        <f t="shared" ca="1" si="142"/>
        <v>OK</v>
      </c>
      <c r="K4597" s="366" t="s">
        <v>1694</v>
      </c>
      <c r="L4597" s="366" t="s">
        <v>2238</v>
      </c>
      <c r="M4597" s="350" t="str">
        <f>IF($B4597="Portfolio","Portfolio",IFERROR(INDEX(DATA_ASSET_CLASSIFICATION!$B$8:$B$24,MATCH($C4597,DATA_ASSET_CLASSIFICATION!$A$8:$A$24,0)),"Review"))</f>
        <v>450 Pacific Street</v>
      </c>
      <c r="N4597" s="350" t="str">
        <f>IF($B4597="Portfolio","Portfolio",IFERROR(INDEX(DATA_ASSET_CLASSIFICATION!$U$8:$U$24,MATCH($C4597,DATA_ASSET_CLASSIFICATION!$A$8:$A$24,0)),"Review"))</f>
        <v>New Build</v>
      </c>
      <c r="O4597" s="350" t="str">
        <f>IF($B4597="Portfolio","Portfolio",IFERROR(INDEX(DATA_ASSET_CLASSIFICATION!$AB$8:$AB$13,MATCH($N4597,DATA_ASSET_CLASSIFICATION!$AA$8:$AA$13,0)),"Review"))</f>
        <v>Bucket 1 · New Build</v>
      </c>
      <c r="P4597" s="350" t="str">
        <f>IF($B4597="Portfolio","Portfolio",IFERROR(INDEX(DATA_ASSET_CLASSIFICATION!$C$8:$C$24,MATCH($C4597,DATA_ASSET_CLASSIFICATION!$A$8:$A$24,0)),"Review"))</f>
        <v>Yes</v>
      </c>
      <c r="Q4597" s="350" t="str">
        <f t="shared" ca="1" si="143"/>
        <v>OK</v>
      </c>
    </row>
    <row r="4598" spans="1:17">
      <c r="A4598" s="366" t="s">
        <v>6554</v>
      </c>
      <c r="B4598" s="366" t="s">
        <v>231</v>
      </c>
      <c r="C4598" s="348" t="str">
        <f>DATA_PROPERTY_MASTER!$A$19</f>
        <v>BLD_PS</v>
      </c>
      <c r="D4598" s="380">
        <f>'00_PORTFOLIO ROLLUP'!T$12</f>
        <v>2040</v>
      </c>
      <c r="E4598" s="366" t="s">
        <v>1683</v>
      </c>
      <c r="F4598" s="366" t="s">
        <v>1697</v>
      </c>
      <c r="G4598" s="348" t="str">
        <f>"'"&amp;$C4598&amp;"'!$E$44:$Y$44"</f>
        <v>'BLD_PS'!$E$44:$Y$44</v>
      </c>
      <c r="H4598" s="381">
        <f ca="1">IF(IFERROR(INDEX(DATA_PROPERTY_MASTER!$E$5:$E$21,MATCH($C4598,DATA_PROPERTY_MASTER!$A$5:$A$21,0))="Yes",FALSE),IFERROR(INDEX(INDIRECT("'"&amp;$C4598&amp;"'!$E$44:$Y$44"),1,MATCH($D4598,INDIRECT("'"&amp;$C4598&amp;"'!$E$12:$Y$12"),0)),0),0)</f>
        <v>18371.102818124364</v>
      </c>
      <c r="I4598" s="366" t="s">
        <v>1690</v>
      </c>
      <c r="J4598" s="348" t="str">
        <f t="shared" ca="1" si="142"/>
        <v>OK</v>
      </c>
      <c r="K4598" s="366" t="s">
        <v>1699</v>
      </c>
      <c r="L4598" s="366" t="s">
        <v>2240</v>
      </c>
      <c r="M4598" s="350" t="str">
        <f>IF($B4598="Portfolio","Portfolio",IFERROR(INDEX(DATA_ASSET_CLASSIFICATION!$B$8:$B$24,MATCH($C4598,DATA_ASSET_CLASSIFICATION!$A$8:$A$24,0)),"Review"))</f>
        <v>450 Pacific Street</v>
      </c>
      <c r="N4598" s="350" t="str">
        <f>IF($B4598="Portfolio","Portfolio",IFERROR(INDEX(DATA_ASSET_CLASSIFICATION!$U$8:$U$24,MATCH($C4598,DATA_ASSET_CLASSIFICATION!$A$8:$A$24,0)),"Review"))</f>
        <v>New Build</v>
      </c>
      <c r="O4598" s="350" t="str">
        <f>IF($B4598="Portfolio","Portfolio",IFERROR(INDEX(DATA_ASSET_CLASSIFICATION!$AB$8:$AB$13,MATCH($N4598,DATA_ASSET_CLASSIFICATION!$AA$8:$AA$13,0)),"Review"))</f>
        <v>Bucket 1 · New Build</v>
      </c>
      <c r="P4598" s="350" t="str">
        <f>IF($B4598="Portfolio","Portfolio",IFERROR(INDEX(DATA_ASSET_CLASSIFICATION!$C$8:$C$24,MATCH($C4598,DATA_ASSET_CLASSIFICATION!$A$8:$A$24,0)),"Review"))</f>
        <v>Yes</v>
      </c>
      <c r="Q4598" s="350" t="str">
        <f t="shared" ca="1" si="143"/>
        <v>OK</v>
      </c>
    </row>
    <row r="4599" spans="1:17">
      <c r="A4599" s="366" t="s">
        <v>6555</v>
      </c>
      <c r="B4599" s="366" t="s">
        <v>231</v>
      </c>
      <c r="C4599" s="348" t="str">
        <f>DATA_PROPERTY_MASTER!$A$19</f>
        <v>BLD_PS</v>
      </c>
      <c r="D4599" s="380">
        <f>'00_PORTFOLIO ROLLUP'!T$12</f>
        <v>2040</v>
      </c>
      <c r="E4599" s="366" t="s">
        <v>1683</v>
      </c>
      <c r="F4599" s="366" t="s">
        <v>21</v>
      </c>
      <c r="G4599" s="348" t="str">
        <f>"'"&amp;$C4599&amp;"'!$E$45:$Y$45"</f>
        <v>'BLD_PS'!$E$45:$Y$45</v>
      </c>
      <c r="H4599" s="381">
        <f ca="1">IF(IFERROR(INDEX(DATA_PROPERTY_MASTER!$E$5:$E$21,MATCH($C4599,DATA_PROPERTY_MASTER!$A$5:$A$21,0))="Yes",FALSE),IFERROR(INDEX(INDIRECT("'"&amp;$C4599&amp;"'!$E$45:$Y$45"),1,MATCH($D4599,INDIRECT("'"&amp;$C4599&amp;"'!$E$12:$Y$12"),0)),0),0)</f>
        <v>1102534.1808831273</v>
      </c>
      <c r="I4599" s="366" t="s">
        <v>1685</v>
      </c>
      <c r="J4599" s="348" t="str">
        <f t="shared" ca="1" si="142"/>
        <v>OK</v>
      </c>
      <c r="K4599" s="366" t="s">
        <v>1694</v>
      </c>
      <c r="L4599" s="366" t="s">
        <v>2242</v>
      </c>
      <c r="M4599" s="350" t="str">
        <f>IF($B4599="Portfolio","Portfolio",IFERROR(INDEX(DATA_ASSET_CLASSIFICATION!$B$8:$B$24,MATCH($C4599,DATA_ASSET_CLASSIFICATION!$A$8:$A$24,0)),"Review"))</f>
        <v>450 Pacific Street</v>
      </c>
      <c r="N4599" s="350" t="str">
        <f>IF($B4599="Portfolio","Portfolio",IFERROR(INDEX(DATA_ASSET_CLASSIFICATION!$U$8:$U$24,MATCH($C4599,DATA_ASSET_CLASSIFICATION!$A$8:$A$24,0)),"Review"))</f>
        <v>New Build</v>
      </c>
      <c r="O4599" s="350" t="str">
        <f>IF($B4599="Portfolio","Portfolio",IFERROR(INDEX(DATA_ASSET_CLASSIFICATION!$AB$8:$AB$13,MATCH($N4599,DATA_ASSET_CLASSIFICATION!$AA$8:$AA$13,0)),"Review"))</f>
        <v>Bucket 1 · New Build</v>
      </c>
      <c r="P4599" s="350" t="str">
        <f>IF($B4599="Portfolio","Portfolio",IFERROR(INDEX(DATA_ASSET_CLASSIFICATION!$C$8:$C$24,MATCH($C4599,DATA_ASSET_CLASSIFICATION!$A$8:$A$24,0)),"Review"))</f>
        <v>Yes</v>
      </c>
      <c r="Q4599" s="350" t="str">
        <f t="shared" ca="1" si="143"/>
        <v>OK</v>
      </c>
    </row>
    <row r="4600" spans="1:17">
      <c r="A4600" s="366" t="s">
        <v>6556</v>
      </c>
      <c r="B4600" s="366" t="s">
        <v>231</v>
      </c>
      <c r="C4600" s="348" t="str">
        <f>DATA_PROPERTY_MASTER!$A$19</f>
        <v>BLD_PS</v>
      </c>
      <c r="D4600" s="380">
        <f>'00_PORTFOLIO ROLLUP'!T$12</f>
        <v>2040</v>
      </c>
      <c r="E4600" s="366" t="s">
        <v>23</v>
      </c>
      <c r="F4600" s="366" t="s">
        <v>23</v>
      </c>
      <c r="G4600" s="348" t="str">
        <f>"'"&amp;$C4600&amp;"'!$E$48:$Y$48"</f>
        <v>'BLD_PS'!$E$48:$Y$48</v>
      </c>
      <c r="H4600" s="381">
        <f ca="1">IF(IFERROR(INDEX(DATA_PROPERTY_MASTER!$E$5:$E$21,MATCH($C4600,DATA_PROPERTY_MASTER!$A$5:$A$21,0))="Yes",FALSE),IFERROR(INDEX(INDIRECT("'"&amp;$C4600&amp;"'!$E$48:$Y$48"),1,MATCH($D4600,INDIRECT("'"&amp;$C4600&amp;"'!$E$12:$Y$12"),0)),0),0)</f>
        <v>667460.46017404622</v>
      </c>
      <c r="I4600" s="366" t="s">
        <v>1690</v>
      </c>
      <c r="J4600" s="348" t="str">
        <f t="shared" ca="1" si="142"/>
        <v>OK</v>
      </c>
      <c r="K4600" s="366" t="s">
        <v>1706</v>
      </c>
      <c r="L4600" s="366" t="s">
        <v>2244</v>
      </c>
      <c r="M4600" s="350" t="str">
        <f>IF($B4600="Portfolio","Portfolio",IFERROR(INDEX(DATA_ASSET_CLASSIFICATION!$B$8:$B$24,MATCH($C4600,DATA_ASSET_CLASSIFICATION!$A$8:$A$24,0)),"Review"))</f>
        <v>450 Pacific Street</v>
      </c>
      <c r="N4600" s="350" t="str">
        <f>IF($B4600="Portfolio","Portfolio",IFERROR(INDEX(DATA_ASSET_CLASSIFICATION!$U$8:$U$24,MATCH($C4600,DATA_ASSET_CLASSIFICATION!$A$8:$A$24,0)),"Review"))</f>
        <v>New Build</v>
      </c>
      <c r="O4600" s="350" t="str">
        <f>IF($B4600="Portfolio","Portfolio",IFERROR(INDEX(DATA_ASSET_CLASSIFICATION!$AB$8:$AB$13,MATCH($N4600,DATA_ASSET_CLASSIFICATION!$AA$8:$AA$13,0)),"Review"))</f>
        <v>Bucket 1 · New Build</v>
      </c>
      <c r="P4600" s="350" t="str">
        <f>IF($B4600="Portfolio","Portfolio",IFERROR(INDEX(DATA_ASSET_CLASSIFICATION!$C$8:$C$24,MATCH($C4600,DATA_ASSET_CLASSIFICATION!$A$8:$A$24,0)),"Review"))</f>
        <v>Yes</v>
      </c>
      <c r="Q4600" s="350" t="str">
        <f t="shared" ca="1" si="143"/>
        <v>OK</v>
      </c>
    </row>
    <row r="4601" spans="1:17">
      <c r="A4601" s="366" t="s">
        <v>6557</v>
      </c>
      <c r="B4601" s="366" t="s">
        <v>231</v>
      </c>
      <c r="C4601" s="348" t="str">
        <f>DATA_PROPERTY_MASTER!$A$19</f>
        <v>BLD_PS</v>
      </c>
      <c r="D4601" s="380">
        <f>'00_PORTFOLIO ROLLUP'!T$12</f>
        <v>2040</v>
      </c>
      <c r="E4601" s="366" t="s">
        <v>1683</v>
      </c>
      <c r="F4601" s="366" t="s">
        <v>25</v>
      </c>
      <c r="G4601" s="348" t="str">
        <f>"'"&amp;$C4601&amp;"'!$E$52:$Y$52"</f>
        <v>'BLD_PS'!$E$52:$Y$52</v>
      </c>
      <c r="H4601" s="381">
        <f ca="1">IF(IFERROR(INDEX(DATA_PROPERTY_MASTER!$E$5:$E$21,MATCH($C4601,DATA_PROPERTY_MASTER!$A$5:$A$21,0))="Yes",FALSE),IFERROR(INDEX(INDIRECT("'"&amp;$C4601&amp;"'!$E$52:$Y$52"),1,MATCH($D4601,INDIRECT("'"&amp;$C4601&amp;"'!$E$12:$Y$12"),0)),0),0)</f>
        <v>453444.8235272055</v>
      </c>
      <c r="I4601" s="366" t="s">
        <v>1685</v>
      </c>
      <c r="J4601" s="348" t="str">
        <f t="shared" ca="1" si="142"/>
        <v>OK</v>
      </c>
      <c r="K4601" s="366" t="s">
        <v>1710</v>
      </c>
      <c r="L4601" s="366" t="s">
        <v>2246</v>
      </c>
      <c r="M4601" s="350" t="str">
        <f>IF($B4601="Portfolio","Portfolio",IFERROR(INDEX(DATA_ASSET_CLASSIFICATION!$B$8:$B$24,MATCH($C4601,DATA_ASSET_CLASSIFICATION!$A$8:$A$24,0)),"Review"))</f>
        <v>450 Pacific Street</v>
      </c>
      <c r="N4601" s="350" t="str">
        <f>IF($B4601="Portfolio","Portfolio",IFERROR(INDEX(DATA_ASSET_CLASSIFICATION!$U$8:$U$24,MATCH($C4601,DATA_ASSET_CLASSIFICATION!$A$8:$A$24,0)),"Review"))</f>
        <v>New Build</v>
      </c>
      <c r="O4601" s="350" t="str">
        <f>IF($B4601="Portfolio","Portfolio",IFERROR(INDEX(DATA_ASSET_CLASSIFICATION!$AB$8:$AB$13,MATCH($N4601,DATA_ASSET_CLASSIFICATION!$AA$8:$AA$13,0)),"Review"))</f>
        <v>Bucket 1 · New Build</v>
      </c>
      <c r="P4601" s="350" t="str">
        <f>IF($B4601="Portfolio","Portfolio",IFERROR(INDEX(DATA_ASSET_CLASSIFICATION!$C$8:$C$24,MATCH($C4601,DATA_ASSET_CLASSIFICATION!$A$8:$A$24,0)),"Review"))</f>
        <v>Yes</v>
      </c>
      <c r="Q4601" s="350" t="str">
        <f t="shared" ca="1" si="143"/>
        <v>OK</v>
      </c>
    </row>
    <row r="4602" spans="1:17">
      <c r="A4602" s="366" t="s">
        <v>6558</v>
      </c>
      <c r="B4602" s="366" t="s">
        <v>231</v>
      </c>
      <c r="C4602" s="348" t="str">
        <f>DATA_PROPERTY_MASTER!$A$19</f>
        <v>BLD_PS</v>
      </c>
      <c r="D4602" s="380">
        <f>'00_PORTFOLIO ROLLUP'!T$12</f>
        <v>2040</v>
      </c>
      <c r="E4602" s="366" t="s">
        <v>1683</v>
      </c>
      <c r="F4602" s="366" t="s">
        <v>27</v>
      </c>
      <c r="G4602" s="348" t="str">
        <f>"'"&amp;$C4602&amp;"'!$E$54:$Y$54"</f>
        <v>'BLD_PS'!$E$54:$Y$54</v>
      </c>
      <c r="H4602" s="381">
        <f ca="1">IF(IFERROR(INDEX(DATA_PROPERTY_MASTER!$E$5:$E$21,MATCH($C4602,DATA_PROPERTY_MASTER!$A$5:$A$21,0))="Yes",FALSE),IFERROR(INDEX(INDIRECT("'"&amp;$C4602&amp;"'!$E$54:$Y$54"),1,MATCH($D4602,INDIRECT("'"&amp;$C4602&amp;"'!$E$12:$Y$12"),0)),0),0)</f>
        <v>272066.89411632327</v>
      </c>
      <c r="I4602" s="366" t="s">
        <v>1690</v>
      </c>
      <c r="J4602" s="348" t="str">
        <f t="shared" ca="1" si="142"/>
        <v>OK</v>
      </c>
      <c r="K4602" s="366" t="s">
        <v>1714</v>
      </c>
      <c r="L4602" s="366" t="s">
        <v>2248</v>
      </c>
      <c r="M4602" s="350" t="str">
        <f>IF($B4602="Portfolio","Portfolio",IFERROR(INDEX(DATA_ASSET_CLASSIFICATION!$B$8:$B$24,MATCH($C4602,DATA_ASSET_CLASSIFICATION!$A$8:$A$24,0)),"Review"))</f>
        <v>450 Pacific Street</v>
      </c>
      <c r="N4602" s="350" t="str">
        <f>IF($B4602="Portfolio","Portfolio",IFERROR(INDEX(DATA_ASSET_CLASSIFICATION!$U$8:$U$24,MATCH($C4602,DATA_ASSET_CLASSIFICATION!$A$8:$A$24,0)),"Review"))</f>
        <v>New Build</v>
      </c>
      <c r="O4602" s="350" t="str">
        <f>IF($B4602="Portfolio","Portfolio",IFERROR(INDEX(DATA_ASSET_CLASSIFICATION!$AB$8:$AB$13,MATCH($N4602,DATA_ASSET_CLASSIFICATION!$AA$8:$AA$13,0)),"Review"))</f>
        <v>Bucket 1 · New Build</v>
      </c>
      <c r="P4602" s="350" t="str">
        <f>IF($B4602="Portfolio","Portfolio",IFERROR(INDEX(DATA_ASSET_CLASSIFICATION!$C$8:$C$24,MATCH($C4602,DATA_ASSET_CLASSIFICATION!$A$8:$A$24,0)),"Review"))</f>
        <v>Yes</v>
      </c>
      <c r="Q4602" s="350" t="str">
        <f t="shared" ca="1" si="143"/>
        <v>OK</v>
      </c>
    </row>
    <row r="4603" spans="1:17">
      <c r="A4603" s="366" t="s">
        <v>6559</v>
      </c>
      <c r="B4603" s="366" t="s">
        <v>231</v>
      </c>
      <c r="C4603" s="348" t="str">
        <f>DATA_PROPERTY_MASTER!$A$19</f>
        <v>BLD_PS</v>
      </c>
      <c r="D4603" s="380">
        <f>'00_PORTFOLIO ROLLUP'!T$12</f>
        <v>2040</v>
      </c>
      <c r="E4603" s="366" t="s">
        <v>1683</v>
      </c>
      <c r="F4603" s="366" t="s">
        <v>29</v>
      </c>
      <c r="G4603" s="348" t="str">
        <f>"'"&amp;$C4603&amp;"'!$E$56:$Y$56"</f>
        <v>'BLD_PS'!$E$56:$Y$56</v>
      </c>
      <c r="H4603" s="381">
        <f ca="1">IF(IFERROR(INDEX(DATA_PROPERTY_MASTER!$E$5:$E$21,MATCH($C4603,DATA_PROPERTY_MASTER!$A$5:$A$21,0))="Yes",FALSE),IFERROR(INDEX(INDIRECT("'"&amp;$C4603&amp;"'!$E$56:$Y$56"),1,MATCH($D4603,INDIRECT("'"&amp;$C4603&amp;"'!$E$12:$Y$12"),0)),0),0)</f>
        <v>181377.92941088224</v>
      </c>
      <c r="I4603" s="366" t="s">
        <v>1685</v>
      </c>
      <c r="J4603" s="348" t="str">
        <f t="shared" ca="1" si="142"/>
        <v>OK</v>
      </c>
      <c r="K4603" s="366" t="s">
        <v>1718</v>
      </c>
      <c r="L4603" s="366" t="s">
        <v>2250</v>
      </c>
      <c r="M4603" s="350" t="str">
        <f>IF($B4603="Portfolio","Portfolio",IFERROR(INDEX(DATA_ASSET_CLASSIFICATION!$B$8:$B$24,MATCH($C4603,DATA_ASSET_CLASSIFICATION!$A$8:$A$24,0)),"Review"))</f>
        <v>450 Pacific Street</v>
      </c>
      <c r="N4603" s="350" t="str">
        <f>IF($B4603="Portfolio","Portfolio",IFERROR(INDEX(DATA_ASSET_CLASSIFICATION!$U$8:$U$24,MATCH($C4603,DATA_ASSET_CLASSIFICATION!$A$8:$A$24,0)),"Review"))</f>
        <v>New Build</v>
      </c>
      <c r="O4603" s="350" t="str">
        <f>IF($B4603="Portfolio","Portfolio",IFERROR(INDEX(DATA_ASSET_CLASSIFICATION!$AB$8:$AB$13,MATCH($N4603,DATA_ASSET_CLASSIFICATION!$AA$8:$AA$13,0)),"Review"))</f>
        <v>Bucket 1 · New Build</v>
      </c>
      <c r="P4603" s="350" t="str">
        <f>IF($B4603="Portfolio","Portfolio",IFERROR(INDEX(DATA_ASSET_CLASSIFICATION!$C$8:$C$24,MATCH($C4603,DATA_ASSET_CLASSIFICATION!$A$8:$A$24,0)),"Review"))</f>
        <v>Yes</v>
      </c>
      <c r="Q4603" s="350" t="str">
        <f t="shared" ca="1" si="143"/>
        <v>OK</v>
      </c>
    </row>
    <row r="4604" spans="1:17">
      <c r="A4604" s="366" t="s">
        <v>6560</v>
      </c>
      <c r="B4604" s="366" t="s">
        <v>231</v>
      </c>
      <c r="C4604" s="348" t="str">
        <f>DATA_PROPERTY_MASTER!$A$19</f>
        <v>BLD_PS</v>
      </c>
      <c r="D4604" s="380">
        <f>'00_PORTFOLIO ROLLUP'!T$12</f>
        <v>2040</v>
      </c>
      <c r="E4604" s="366" t="s">
        <v>1721</v>
      </c>
      <c r="F4604" s="366" t="s">
        <v>31</v>
      </c>
      <c r="G4604" s="348" t="str">
        <f>"'"&amp;$C4604&amp;"'!$E$61:$Y$61"</f>
        <v>'BLD_PS'!$E$61:$Y$61</v>
      </c>
      <c r="H4604" s="381">
        <f ca="1">IF(IFERROR(INDEX(DATA_PROPERTY_MASTER!$E$5:$E$21,MATCH($C4604,DATA_PROPERTY_MASTER!$A$5:$A$21,0))="Yes",FALSE),IFERROR(INDEX(INDIRECT("'"&amp;$C4604&amp;"'!$E$61:$Y$61"),1,MATCH($D4604,INDIRECT("'"&amp;$C4604&amp;"'!$E$12:$Y$12"),0)),0),0)</f>
        <v>0</v>
      </c>
      <c r="I4604" s="366" t="s">
        <v>1690</v>
      </c>
      <c r="J4604" s="348" t="str">
        <f t="shared" ca="1" si="142"/>
        <v>OK</v>
      </c>
      <c r="K4604" s="366" t="s">
        <v>1723</v>
      </c>
      <c r="L4604" s="366" t="s">
        <v>2252</v>
      </c>
      <c r="M4604" s="350" t="str">
        <f>IF($B4604="Portfolio","Portfolio",IFERROR(INDEX(DATA_ASSET_CLASSIFICATION!$B$8:$B$24,MATCH($C4604,DATA_ASSET_CLASSIFICATION!$A$8:$A$24,0)),"Review"))</f>
        <v>450 Pacific Street</v>
      </c>
      <c r="N4604" s="350" t="str">
        <f>IF($B4604="Portfolio","Portfolio",IFERROR(INDEX(DATA_ASSET_CLASSIFICATION!$U$8:$U$24,MATCH($C4604,DATA_ASSET_CLASSIFICATION!$A$8:$A$24,0)),"Review"))</f>
        <v>New Build</v>
      </c>
      <c r="O4604" s="350" t="str">
        <f>IF($B4604="Portfolio","Portfolio",IFERROR(INDEX(DATA_ASSET_CLASSIFICATION!$AB$8:$AB$13,MATCH($N4604,DATA_ASSET_CLASSIFICATION!$AA$8:$AA$13,0)),"Review"))</f>
        <v>Bucket 1 · New Build</v>
      </c>
      <c r="P4604" s="350" t="str">
        <f>IF($B4604="Portfolio","Portfolio",IFERROR(INDEX(DATA_ASSET_CLASSIFICATION!$C$8:$C$24,MATCH($C4604,DATA_ASSET_CLASSIFICATION!$A$8:$A$24,0)),"Review"))</f>
        <v>Yes</v>
      </c>
      <c r="Q4604" s="350" t="str">
        <f t="shared" ca="1" si="143"/>
        <v>OK</v>
      </c>
    </row>
    <row r="4605" spans="1:17">
      <c r="A4605" s="366" t="s">
        <v>6561</v>
      </c>
      <c r="B4605" s="366" t="s">
        <v>231</v>
      </c>
      <c r="C4605" s="348" t="str">
        <f>DATA_PROPERTY_MASTER!$A$19</f>
        <v>BLD_PS</v>
      </c>
      <c r="D4605" s="380">
        <f>'00_PORTFOLIO ROLLUP'!T$12</f>
        <v>2040</v>
      </c>
      <c r="E4605" s="366" t="s">
        <v>1721</v>
      </c>
      <c r="F4605" s="366" t="s">
        <v>33</v>
      </c>
      <c r="G4605" s="348" t="str">
        <f>"'"&amp;$C4605&amp;"'!$E$62:$Y$62"</f>
        <v>'BLD_PS'!$E$62:$Y$62</v>
      </c>
      <c r="H4605" s="381">
        <f ca="1">IF(IFERROR(INDEX(DATA_PROPERTY_MASTER!$E$5:$E$21,MATCH($C4605,DATA_PROPERTY_MASTER!$A$5:$A$21,0))="Yes",FALSE),IFERROR(INDEX(INDIRECT("'"&amp;$C4605&amp;"'!$E$62:$Y$62"),1,MATCH($D4605,INDIRECT("'"&amp;$C4605&amp;"'!$E$12:$Y$12"),0)),0),0)</f>
        <v>0</v>
      </c>
      <c r="I4605" s="366" t="s">
        <v>1685</v>
      </c>
      <c r="J4605" s="348" t="str">
        <f t="shared" ca="1" si="142"/>
        <v>OK</v>
      </c>
      <c r="K4605" s="366" t="s">
        <v>1727</v>
      </c>
      <c r="L4605" s="366" t="s">
        <v>2254</v>
      </c>
      <c r="M4605" s="350" t="str">
        <f>IF($B4605="Portfolio","Portfolio",IFERROR(INDEX(DATA_ASSET_CLASSIFICATION!$B$8:$B$24,MATCH($C4605,DATA_ASSET_CLASSIFICATION!$A$8:$A$24,0)),"Review"))</f>
        <v>450 Pacific Street</v>
      </c>
      <c r="N4605" s="350" t="str">
        <f>IF($B4605="Portfolio","Portfolio",IFERROR(INDEX(DATA_ASSET_CLASSIFICATION!$U$8:$U$24,MATCH($C4605,DATA_ASSET_CLASSIFICATION!$A$8:$A$24,0)),"Review"))</f>
        <v>New Build</v>
      </c>
      <c r="O4605" s="350" t="str">
        <f>IF($B4605="Portfolio","Portfolio",IFERROR(INDEX(DATA_ASSET_CLASSIFICATION!$AB$8:$AB$13,MATCH($N4605,DATA_ASSET_CLASSIFICATION!$AA$8:$AA$13,0)),"Review"))</f>
        <v>Bucket 1 · New Build</v>
      </c>
      <c r="P4605" s="350" t="str">
        <f>IF($B4605="Portfolio","Portfolio",IFERROR(INDEX(DATA_ASSET_CLASSIFICATION!$C$8:$C$24,MATCH($C4605,DATA_ASSET_CLASSIFICATION!$A$8:$A$24,0)),"Review"))</f>
        <v>Yes</v>
      </c>
      <c r="Q4605" s="350" t="str">
        <f t="shared" ca="1" si="143"/>
        <v>OK</v>
      </c>
    </row>
    <row r="4606" spans="1:17">
      <c r="A4606" s="366" t="s">
        <v>6562</v>
      </c>
      <c r="B4606" s="366" t="s">
        <v>231</v>
      </c>
      <c r="C4606" s="348" t="str">
        <f>DATA_PROPERTY_MASTER!$A$19</f>
        <v>BLD_PS</v>
      </c>
      <c r="D4606" s="380">
        <f>'00_PORTFOLIO ROLLUP'!T$12</f>
        <v>2040</v>
      </c>
      <c r="E4606" s="366" t="s">
        <v>1721</v>
      </c>
      <c r="F4606" s="366" t="s">
        <v>35</v>
      </c>
      <c r="G4606" s="348" t="str">
        <f>"'"&amp;$C4606&amp;"'!$E$63:$Y$63"</f>
        <v>'BLD_PS'!$E$63:$Y$63</v>
      </c>
      <c r="H4606" s="381">
        <f ca="1">IF(IFERROR(INDEX(DATA_PROPERTY_MASTER!$E$5:$E$21,MATCH($C4606,DATA_PROPERTY_MASTER!$A$5:$A$21,0))="Yes",FALSE),IFERROR(INDEX(INDIRECT("'"&amp;$C4606&amp;"'!$E$63:$Y$63"),1,MATCH($D4606,INDIRECT("'"&amp;$C4606&amp;"'!$E$12:$Y$12"),0)),0),0)</f>
        <v>0</v>
      </c>
      <c r="I4606" s="366" t="s">
        <v>1731</v>
      </c>
      <c r="J4606" s="348" t="str">
        <f t="shared" ca="1" si="142"/>
        <v>OK</v>
      </c>
      <c r="K4606" s="366" t="s">
        <v>1732</v>
      </c>
      <c r="L4606" s="366" t="s">
        <v>2256</v>
      </c>
      <c r="M4606" s="350" t="str">
        <f>IF($B4606="Portfolio","Portfolio",IFERROR(INDEX(DATA_ASSET_CLASSIFICATION!$B$8:$B$24,MATCH($C4606,DATA_ASSET_CLASSIFICATION!$A$8:$A$24,0)),"Review"))</f>
        <v>450 Pacific Street</v>
      </c>
      <c r="N4606" s="350" t="str">
        <f>IF($B4606="Portfolio","Portfolio",IFERROR(INDEX(DATA_ASSET_CLASSIFICATION!$U$8:$U$24,MATCH($C4606,DATA_ASSET_CLASSIFICATION!$A$8:$A$24,0)),"Review"))</f>
        <v>New Build</v>
      </c>
      <c r="O4606" s="350" t="str">
        <f>IF($B4606="Portfolio","Portfolio",IFERROR(INDEX(DATA_ASSET_CLASSIFICATION!$AB$8:$AB$13,MATCH($N4606,DATA_ASSET_CLASSIFICATION!$AA$8:$AA$13,0)),"Review"))</f>
        <v>Bucket 1 · New Build</v>
      </c>
      <c r="P4606" s="350" t="str">
        <f>IF($B4606="Portfolio","Portfolio",IFERROR(INDEX(DATA_ASSET_CLASSIFICATION!$C$8:$C$24,MATCH($C4606,DATA_ASSET_CLASSIFICATION!$A$8:$A$24,0)),"Review"))</f>
        <v>Yes</v>
      </c>
      <c r="Q4606" s="350" t="str">
        <f t="shared" ca="1" si="143"/>
        <v>OK</v>
      </c>
    </row>
    <row r="4607" spans="1:17">
      <c r="A4607" s="366" t="s">
        <v>6563</v>
      </c>
      <c r="B4607" s="366" t="s">
        <v>231</v>
      </c>
      <c r="C4607" s="348" t="str">
        <f>DATA_PROPERTY_MASTER!$A$19</f>
        <v>BLD_PS</v>
      </c>
      <c r="D4607" s="380">
        <f>'00_PORTFOLIO ROLLUP'!T$12</f>
        <v>2040</v>
      </c>
      <c r="E4607" s="366" t="s">
        <v>1721</v>
      </c>
      <c r="F4607" s="366" t="s">
        <v>37</v>
      </c>
      <c r="G4607" s="348" t="str">
        <f>"'"&amp;$C4607&amp;"'!$E$63:$Y$63"</f>
        <v>'BLD_PS'!$E$63:$Y$63</v>
      </c>
      <c r="H4607" s="381">
        <f ca="1">IF(IFERROR(INDEX(DATA_PROPERTY_MASTER!$E$5:$E$21,MATCH($C4607,DATA_PROPERTY_MASTER!$A$5:$A$21,0))="Yes",FALSE),MAX(IFERROR(INDEX(INDIRECT("'"&amp;$C4607&amp;"'!$E$63:$Y$63"),1,MATCH($D4607,INDIRECT("'"&amp;$C4607&amp;"'!$E$12:$Y$12"),0)),0),0),0)</f>
        <v>0</v>
      </c>
      <c r="I4607" s="366" t="s">
        <v>1685</v>
      </c>
      <c r="J4607" s="348" t="str">
        <f t="shared" ca="1" si="142"/>
        <v>OK</v>
      </c>
      <c r="K4607" s="366" t="s">
        <v>1735</v>
      </c>
      <c r="L4607" s="366" t="s">
        <v>2258</v>
      </c>
      <c r="M4607" s="350" t="str">
        <f>IF($B4607="Portfolio","Portfolio",IFERROR(INDEX(DATA_ASSET_CLASSIFICATION!$B$8:$B$24,MATCH($C4607,DATA_ASSET_CLASSIFICATION!$A$8:$A$24,0)),"Review"))</f>
        <v>450 Pacific Street</v>
      </c>
      <c r="N4607" s="350" t="str">
        <f>IF($B4607="Portfolio","Portfolio",IFERROR(INDEX(DATA_ASSET_CLASSIFICATION!$U$8:$U$24,MATCH($C4607,DATA_ASSET_CLASSIFICATION!$A$8:$A$24,0)),"Review"))</f>
        <v>New Build</v>
      </c>
      <c r="O4607" s="350" t="str">
        <f>IF($B4607="Portfolio","Portfolio",IFERROR(INDEX(DATA_ASSET_CLASSIFICATION!$AB$8:$AB$13,MATCH($N4607,DATA_ASSET_CLASSIFICATION!$AA$8:$AA$13,0)),"Review"))</f>
        <v>Bucket 1 · New Build</v>
      </c>
      <c r="P4607" s="350" t="str">
        <f>IF($B4607="Portfolio","Portfolio",IFERROR(INDEX(DATA_ASSET_CLASSIFICATION!$C$8:$C$24,MATCH($C4607,DATA_ASSET_CLASSIFICATION!$A$8:$A$24,0)),"Review"))</f>
        <v>Yes</v>
      </c>
      <c r="Q4607" s="350" t="str">
        <f t="shared" ca="1" si="143"/>
        <v>OK</v>
      </c>
    </row>
    <row r="4608" spans="1:17">
      <c r="A4608" s="366" t="s">
        <v>6564</v>
      </c>
      <c r="B4608" s="366" t="s">
        <v>231</v>
      </c>
      <c r="C4608" s="348" t="str">
        <f>DATA_PROPERTY_MASTER!$A$19</f>
        <v>BLD_PS</v>
      </c>
      <c r="D4608" s="380">
        <f>'00_PORTFOLIO ROLLUP'!T$12</f>
        <v>2040</v>
      </c>
      <c r="E4608" s="366" t="s">
        <v>1721</v>
      </c>
      <c r="F4608" s="366" t="s">
        <v>39</v>
      </c>
      <c r="G4608" s="348" t="str">
        <f>"'"&amp;$C4608&amp;"'!$E$63:$Y$63"</f>
        <v>'BLD_PS'!$E$63:$Y$63</v>
      </c>
      <c r="H4608" s="381">
        <f ca="1">IF(IFERROR(INDEX(DATA_PROPERTY_MASTER!$E$5:$E$21,MATCH($C4608,DATA_PROPERTY_MASTER!$A$5:$A$21,0))="Yes",FALSE),MAX(-IFERROR(INDEX(INDIRECT("'"&amp;$C4608&amp;"'!$E$63:$Y$63"),1,MATCH($D4608,INDIRECT("'"&amp;$C4608&amp;"'!$E$12:$Y$12"),0)),0),0),0)</f>
        <v>0</v>
      </c>
      <c r="I4608" s="366" t="s">
        <v>1690</v>
      </c>
      <c r="J4608" s="348" t="str">
        <f t="shared" ca="1" si="142"/>
        <v>OK</v>
      </c>
      <c r="K4608" s="366" t="s">
        <v>1738</v>
      </c>
      <c r="L4608" s="366" t="s">
        <v>2260</v>
      </c>
      <c r="M4608" s="350" t="str">
        <f>IF($B4608="Portfolio","Portfolio",IFERROR(INDEX(DATA_ASSET_CLASSIFICATION!$B$8:$B$24,MATCH($C4608,DATA_ASSET_CLASSIFICATION!$A$8:$A$24,0)),"Review"))</f>
        <v>450 Pacific Street</v>
      </c>
      <c r="N4608" s="350" t="str">
        <f>IF($B4608="Portfolio","Portfolio",IFERROR(INDEX(DATA_ASSET_CLASSIFICATION!$U$8:$U$24,MATCH($C4608,DATA_ASSET_CLASSIFICATION!$A$8:$A$24,0)),"Review"))</f>
        <v>New Build</v>
      </c>
      <c r="O4608" s="350" t="str">
        <f>IF($B4608="Portfolio","Portfolio",IFERROR(INDEX(DATA_ASSET_CLASSIFICATION!$AB$8:$AB$13,MATCH($N4608,DATA_ASSET_CLASSIFICATION!$AA$8:$AA$13,0)),"Review"))</f>
        <v>Bucket 1 · New Build</v>
      </c>
      <c r="P4608" s="350" t="str">
        <f>IF($B4608="Portfolio","Portfolio",IFERROR(INDEX(DATA_ASSET_CLASSIFICATION!$C$8:$C$24,MATCH($C4608,DATA_ASSET_CLASSIFICATION!$A$8:$A$24,0)),"Review"))</f>
        <v>Yes</v>
      </c>
      <c r="Q4608" s="350" t="str">
        <f t="shared" ca="1" si="143"/>
        <v>OK</v>
      </c>
    </row>
    <row r="4609" spans="1:17">
      <c r="A4609" s="366" t="s">
        <v>6565</v>
      </c>
      <c r="B4609" s="366" t="s">
        <v>231</v>
      </c>
      <c r="C4609" s="348" t="str">
        <f>DATA_PROPERTY_MASTER!$A$19</f>
        <v>BLD_PS</v>
      </c>
      <c r="D4609" s="380">
        <f>'00_PORTFOLIO ROLLUP'!T$12</f>
        <v>2040</v>
      </c>
      <c r="E4609" s="366" t="s">
        <v>1741</v>
      </c>
      <c r="F4609" s="366" t="s">
        <v>41</v>
      </c>
      <c r="G4609" s="348" t="str">
        <f>"'"&amp;$C4609&amp;"'!rows 56 + positive row 63"</f>
        <v>'BLD_PS'!rows 56 + positive row 63</v>
      </c>
      <c r="H4609" s="381">
        <f ca="1">IF(IFERROR(INDEX(DATA_PROPERTY_MASTER!$E$5:$E$21,MATCH($C4609,DATA_PROPERTY_MASTER!$A$5:$A$21,0))="Yes",FALSE),IFERROR(INDEX(INDIRECT("'"&amp;$C4609&amp;"'!$E$56:$Y$56"),1,MATCH($D4609,INDIRECT("'"&amp;$C4609&amp;"'!$E$12:$Y$12"),0)),0)+MAX(IFERROR(INDEX(INDIRECT("'"&amp;$C4609&amp;"'!$E$63:$Y$63"),1,MATCH($D4609,INDIRECT("'"&amp;$C4609&amp;"'!$E$12:$Y$12"),0)),0),0),0)</f>
        <v>181377.92941088224</v>
      </c>
      <c r="I4609" s="366" t="s">
        <v>1685</v>
      </c>
      <c r="J4609" s="348" t="str">
        <f t="shared" ca="1" si="142"/>
        <v>OK</v>
      </c>
      <c r="K4609" s="366" t="s">
        <v>1742</v>
      </c>
      <c r="L4609" s="366" t="s">
        <v>2262</v>
      </c>
      <c r="M4609" s="350" t="str">
        <f>IF($B4609="Portfolio","Portfolio",IFERROR(INDEX(DATA_ASSET_CLASSIFICATION!$B$8:$B$24,MATCH($C4609,DATA_ASSET_CLASSIFICATION!$A$8:$A$24,0)),"Review"))</f>
        <v>450 Pacific Street</v>
      </c>
      <c r="N4609" s="350" t="str">
        <f>IF($B4609="Portfolio","Portfolio",IFERROR(INDEX(DATA_ASSET_CLASSIFICATION!$U$8:$U$24,MATCH($C4609,DATA_ASSET_CLASSIFICATION!$A$8:$A$24,0)),"Review"))</f>
        <v>New Build</v>
      </c>
      <c r="O4609" s="350" t="str">
        <f>IF($B4609="Portfolio","Portfolio",IFERROR(INDEX(DATA_ASSET_CLASSIFICATION!$AB$8:$AB$13,MATCH($N4609,DATA_ASSET_CLASSIFICATION!$AA$8:$AA$13,0)),"Review"))</f>
        <v>Bucket 1 · New Build</v>
      </c>
      <c r="P4609" s="350" t="str">
        <f>IF($B4609="Portfolio","Portfolio",IFERROR(INDEX(DATA_ASSET_CLASSIFICATION!$C$8:$C$24,MATCH($C4609,DATA_ASSET_CLASSIFICATION!$A$8:$A$24,0)),"Review"))</f>
        <v>Yes</v>
      </c>
      <c r="Q4609" s="350" t="str">
        <f t="shared" ca="1" si="143"/>
        <v>OK</v>
      </c>
    </row>
    <row r="4610" spans="1:17">
      <c r="A4610" s="366" t="s">
        <v>6566</v>
      </c>
      <c r="B4610" s="366" t="s">
        <v>231</v>
      </c>
      <c r="C4610" s="348" t="str">
        <f>DATA_PROPERTY_MASTER!$A$19</f>
        <v>BLD_PS</v>
      </c>
      <c r="D4610" s="380">
        <f>'00_PORTFOLIO ROLLUP'!T$12</f>
        <v>2040</v>
      </c>
      <c r="E4610" s="366" t="s">
        <v>1741</v>
      </c>
      <c r="F4610" s="366" t="s">
        <v>43</v>
      </c>
      <c r="G4610" s="348" t="str">
        <f>"'"&amp;$C4610&amp;"'!$E$68:$Y$68"</f>
        <v>'BLD_PS'!$E$68:$Y$68</v>
      </c>
      <c r="H4610" s="381">
        <f ca="1">IF(IFERROR(INDEX(DATA_PROPERTY_MASTER!$E$5:$E$21,MATCH($C4610,DATA_PROPERTY_MASTER!$A$5:$A$21,0))="Yes",FALSE),IFERROR(INDEX(INDIRECT("'"&amp;$C4610&amp;"'!$E$68:$Y$68"),1,MATCH($D4610,INDIRECT("'"&amp;$C4610&amp;"'!$E$12:$Y$12"),0)),0),0)</f>
        <v>181377.92941088224</v>
      </c>
      <c r="I4610" s="366" t="s">
        <v>1731</v>
      </c>
      <c r="J4610" s="348" t="str">
        <f t="shared" ca="1" si="142"/>
        <v>OK</v>
      </c>
      <c r="K4610" s="366" t="s">
        <v>1746</v>
      </c>
      <c r="L4610" s="366" t="s">
        <v>2264</v>
      </c>
      <c r="M4610" s="350" t="str">
        <f>IF($B4610="Portfolio","Portfolio",IFERROR(INDEX(DATA_ASSET_CLASSIFICATION!$B$8:$B$24,MATCH($C4610,DATA_ASSET_CLASSIFICATION!$A$8:$A$24,0)),"Review"))</f>
        <v>450 Pacific Street</v>
      </c>
      <c r="N4610" s="350" t="str">
        <f>IF($B4610="Portfolio","Portfolio",IFERROR(INDEX(DATA_ASSET_CLASSIFICATION!$U$8:$U$24,MATCH($C4610,DATA_ASSET_CLASSIFICATION!$A$8:$A$24,0)),"Review"))</f>
        <v>New Build</v>
      </c>
      <c r="O4610" s="350" t="str">
        <f>IF($B4610="Portfolio","Portfolio",IFERROR(INDEX(DATA_ASSET_CLASSIFICATION!$AB$8:$AB$13,MATCH($N4610,DATA_ASSET_CLASSIFICATION!$AA$8:$AA$13,0)),"Review"))</f>
        <v>Bucket 1 · New Build</v>
      </c>
      <c r="P4610" s="350" t="str">
        <f>IF($B4610="Portfolio","Portfolio",IFERROR(INDEX(DATA_ASSET_CLASSIFICATION!$C$8:$C$24,MATCH($C4610,DATA_ASSET_CLASSIFICATION!$A$8:$A$24,0)),"Review"))</f>
        <v>Yes</v>
      </c>
      <c r="Q4610" s="350" t="str">
        <f t="shared" ca="1" si="143"/>
        <v>OK</v>
      </c>
    </row>
    <row r="4611" spans="1:17">
      <c r="A4611" s="366" t="s">
        <v>6567</v>
      </c>
      <c r="B4611" s="366" t="s">
        <v>231</v>
      </c>
      <c r="C4611" s="348" t="str">
        <f>DATA_PROPERTY_MASTER!$A$19</f>
        <v>BLD_PS</v>
      </c>
      <c r="D4611" s="380">
        <f>'00_PORTFOLIO ROLLUP'!T$12</f>
        <v>2040</v>
      </c>
      <c r="E4611" s="366" t="s">
        <v>1741</v>
      </c>
      <c r="F4611" s="366" t="s">
        <v>1749</v>
      </c>
      <c r="G4611" s="348" t="str">
        <f>"'"&amp;$C4611&amp;"'!rows 56, 63, 68"</f>
        <v>'BLD_PS'!rows 56, 63, 68</v>
      </c>
      <c r="H4611" s="381">
        <f ca="1">IF(IFERROR(INDEX(DATA_PROPERTY_MASTER!$E$5:$E$21,MATCH($C4611,DATA_PROPERTY_MASTER!$A$5:$A$21,0))="Yes",FALSE),(IFERROR(INDEX(INDIRECT("'"&amp;$C4611&amp;"'!$E$56:$Y$56"),1,MATCH($D4611,INDIRECT("'"&amp;$C4611&amp;"'!$E$12:$Y$12"),0)),0)+MAX(IFERROR(INDEX(INDIRECT("'"&amp;$C4611&amp;"'!$E$63:$Y$63"),1,MATCH($D4611,INDIRECT("'"&amp;$C4611&amp;"'!$E$12:$Y$12"),0)),0),0))-(IFERROR(INDEX(INDIRECT("'"&amp;$C4611&amp;"'!$E$68:$Y$68"),1,MATCH($D4611,INDIRECT("'"&amp;$C4611&amp;"'!$E$12:$Y$12"),0)),0)),0)</f>
        <v>0</v>
      </c>
      <c r="I4611" s="366" t="s">
        <v>1750</v>
      </c>
      <c r="J4611" s="348" t="str">
        <f t="shared" ca="1" si="142"/>
        <v>OK</v>
      </c>
      <c r="K4611" s="366" t="s">
        <v>1751</v>
      </c>
      <c r="L4611" s="366" t="s">
        <v>2266</v>
      </c>
      <c r="M4611" s="350" t="str">
        <f>IF($B4611="Portfolio","Portfolio",IFERROR(INDEX(DATA_ASSET_CLASSIFICATION!$B$8:$B$24,MATCH($C4611,DATA_ASSET_CLASSIFICATION!$A$8:$A$24,0)),"Review"))</f>
        <v>450 Pacific Street</v>
      </c>
      <c r="N4611" s="350" t="str">
        <f>IF($B4611="Portfolio","Portfolio",IFERROR(INDEX(DATA_ASSET_CLASSIFICATION!$U$8:$U$24,MATCH($C4611,DATA_ASSET_CLASSIFICATION!$A$8:$A$24,0)),"Review"))</f>
        <v>New Build</v>
      </c>
      <c r="O4611" s="350" t="str">
        <f>IF($B4611="Portfolio","Portfolio",IFERROR(INDEX(DATA_ASSET_CLASSIFICATION!$AB$8:$AB$13,MATCH($N4611,DATA_ASSET_CLASSIFICATION!$AA$8:$AA$13,0)),"Review"))</f>
        <v>Bucket 1 · New Build</v>
      </c>
      <c r="P4611" s="350" t="str">
        <f>IF($B4611="Portfolio","Portfolio",IFERROR(INDEX(DATA_ASSET_CLASSIFICATION!$C$8:$C$24,MATCH($C4611,DATA_ASSET_CLASSIFICATION!$A$8:$A$24,0)),"Review"))</f>
        <v>Yes</v>
      </c>
      <c r="Q4611" s="350" t="str">
        <f t="shared" ca="1" si="143"/>
        <v>OK</v>
      </c>
    </row>
    <row r="4612" spans="1:17">
      <c r="A4612" s="366" t="s">
        <v>6568</v>
      </c>
      <c r="B4612" s="366" t="s">
        <v>231</v>
      </c>
      <c r="C4612" s="348" t="str">
        <f>DATA_PROPERTY_MASTER!$A$19</f>
        <v>BLD_PS</v>
      </c>
      <c r="D4612" s="380">
        <f>'00_PORTFOLIO ROLLUP'!U$12</f>
        <v>2041</v>
      </c>
      <c r="E4612" s="366" t="s">
        <v>1683</v>
      </c>
      <c r="F4612" s="366" t="s">
        <v>341</v>
      </c>
      <c r="G4612" s="348" t="str">
        <f>"'"&amp;$C4612&amp;"'!$E$24:$Y$24"</f>
        <v>'BLD_PS'!$E$24:$Y$24</v>
      </c>
      <c r="H4612" s="381">
        <f ca="1">IF(IFERROR(INDEX(DATA_PROPERTY_MASTER!$E$5:$E$21,MATCH($C4612,DATA_PROPERTY_MASTER!$A$5:$A$21,0))="Yes",FALSE),IFERROR(INDEX(INDIRECT("'"&amp;$C4612&amp;"'!$E$24:$Y$24"),1,MATCH($D4612,INDIRECT("'"&amp;$C4612&amp;"'!$E$12:$Y$12"),0)),0),0)</f>
        <v>2298035.7831484489</v>
      </c>
      <c r="I4612" s="366" t="s">
        <v>1685</v>
      </c>
      <c r="J4612" s="348" t="str">
        <f t="shared" ca="1" si="142"/>
        <v>OK</v>
      </c>
      <c r="K4612" s="366" t="s">
        <v>1686</v>
      </c>
      <c r="L4612" s="366" t="s">
        <v>2234</v>
      </c>
      <c r="M4612" s="350" t="str">
        <f>IF($B4612="Portfolio","Portfolio",IFERROR(INDEX(DATA_ASSET_CLASSIFICATION!$B$8:$B$24,MATCH($C4612,DATA_ASSET_CLASSIFICATION!$A$8:$A$24,0)),"Review"))</f>
        <v>450 Pacific Street</v>
      </c>
      <c r="N4612" s="350" t="str">
        <f>IF($B4612="Portfolio","Portfolio",IFERROR(INDEX(DATA_ASSET_CLASSIFICATION!$U$8:$U$24,MATCH($C4612,DATA_ASSET_CLASSIFICATION!$A$8:$A$24,0)),"Review"))</f>
        <v>New Build</v>
      </c>
      <c r="O4612" s="350" t="str">
        <f>IF($B4612="Portfolio","Portfolio",IFERROR(INDEX(DATA_ASSET_CLASSIFICATION!$AB$8:$AB$13,MATCH($N4612,DATA_ASSET_CLASSIFICATION!$AA$8:$AA$13,0)),"Review"))</f>
        <v>Bucket 1 · New Build</v>
      </c>
      <c r="P4612" s="350" t="str">
        <f>IF($B4612="Portfolio","Portfolio",IFERROR(INDEX(DATA_ASSET_CLASSIFICATION!$C$8:$C$24,MATCH($C4612,DATA_ASSET_CLASSIFICATION!$A$8:$A$24,0)),"Review"))</f>
        <v>Yes</v>
      </c>
      <c r="Q4612" s="350" t="str">
        <f t="shared" ca="1" si="143"/>
        <v>OK</v>
      </c>
    </row>
    <row r="4613" spans="1:17">
      <c r="A4613" s="366" t="s">
        <v>6569</v>
      </c>
      <c r="B4613" s="366" t="s">
        <v>231</v>
      </c>
      <c r="C4613" s="348" t="str">
        <f>DATA_PROPERTY_MASTER!$A$19</f>
        <v>BLD_PS</v>
      </c>
      <c r="D4613" s="380">
        <f>'00_PORTFOLIO ROLLUP'!U$12</f>
        <v>2041</v>
      </c>
      <c r="E4613" s="366" t="s">
        <v>1683</v>
      </c>
      <c r="F4613" s="366" t="s">
        <v>355</v>
      </c>
      <c r="G4613" s="348" t="str">
        <f>"'"&amp;$C4613&amp;"'!$E$39:$Y$39"</f>
        <v>'BLD_PS'!$E$39:$Y$39</v>
      </c>
      <c r="H4613" s="381">
        <f ca="1">IF(IFERROR(INDEX(DATA_PROPERTY_MASTER!$E$5:$E$21,MATCH($C4613,DATA_PROPERTY_MASTER!$A$5:$A$21,0))="Yes",FALSE),IFERROR(INDEX(INDIRECT("'"&amp;$C4613&amp;"'!$E$39:$Y$39"),1,MATCH($D4613,INDIRECT("'"&amp;$C4613&amp;"'!$E$12:$Y$12"),0)),0),0)</f>
        <v>1160372.7486446095</v>
      </c>
      <c r="I4613" s="366" t="s">
        <v>1690</v>
      </c>
      <c r="J4613" s="348" t="str">
        <f t="shared" ref="J4613:J4676" ca="1" si="144">IF($F4613="Residual Funding Gap",IF($H4613&gt;0,"Funding Gap","OK"),IF(AND($F4613="Net Refinance Position",$H4613&lt;0),"Negative net refi position","OK"))</f>
        <v>OK</v>
      </c>
      <c r="K4613" s="366" t="s">
        <v>1686</v>
      </c>
      <c r="L4613" s="366" t="s">
        <v>2236</v>
      </c>
      <c r="M4613" s="350" t="str">
        <f>IF($B4613="Portfolio","Portfolio",IFERROR(INDEX(DATA_ASSET_CLASSIFICATION!$B$8:$B$24,MATCH($C4613,DATA_ASSET_CLASSIFICATION!$A$8:$A$24,0)),"Review"))</f>
        <v>450 Pacific Street</v>
      </c>
      <c r="N4613" s="350" t="str">
        <f>IF($B4613="Portfolio","Portfolio",IFERROR(INDEX(DATA_ASSET_CLASSIFICATION!$U$8:$U$24,MATCH($C4613,DATA_ASSET_CLASSIFICATION!$A$8:$A$24,0)),"Review"))</f>
        <v>New Build</v>
      </c>
      <c r="O4613" s="350" t="str">
        <f>IF($B4613="Portfolio","Portfolio",IFERROR(INDEX(DATA_ASSET_CLASSIFICATION!$AB$8:$AB$13,MATCH($N4613,DATA_ASSET_CLASSIFICATION!$AA$8:$AA$13,0)),"Review"))</f>
        <v>Bucket 1 · New Build</v>
      </c>
      <c r="P4613" s="350" t="str">
        <f>IF($B4613="Portfolio","Portfolio",IFERROR(INDEX(DATA_ASSET_CLASSIFICATION!$C$8:$C$24,MATCH($C4613,DATA_ASSET_CLASSIFICATION!$A$8:$A$24,0)),"Review"))</f>
        <v>Yes</v>
      </c>
      <c r="Q4613" s="350" t="str">
        <f t="shared" ref="Q4613:Q4676" ca="1" si="145">IF(AND($B4613="Property",$F4613="Residual Funding Gap",$H4613&gt;0),"Property Funding Gap",IF($J4613&lt;&gt;"OK",$J4613,"OK"))</f>
        <v>OK</v>
      </c>
    </row>
    <row r="4614" spans="1:17">
      <c r="A4614" s="366" t="s">
        <v>6570</v>
      </c>
      <c r="B4614" s="366" t="s">
        <v>231</v>
      </c>
      <c r="C4614" s="348" t="str">
        <f>DATA_PROPERTY_MASTER!$A$19</f>
        <v>BLD_PS</v>
      </c>
      <c r="D4614" s="380">
        <f>'00_PORTFOLIO ROLLUP'!U$12</f>
        <v>2041</v>
      </c>
      <c r="E4614" s="366" t="s">
        <v>1683</v>
      </c>
      <c r="F4614" s="366" t="s">
        <v>19</v>
      </c>
      <c r="G4614" s="348" t="str">
        <f>"'"&amp;$C4614&amp;"'!$E$41:$Y$41"</f>
        <v>'BLD_PS'!$E$41:$Y$41</v>
      </c>
      <c r="H4614" s="381">
        <f ca="1">IF(IFERROR(INDEX(DATA_PROPERTY_MASTER!$E$5:$E$21,MATCH($C4614,DATA_PROPERTY_MASTER!$A$5:$A$21,0))="Yes",FALSE),IFERROR(INDEX(INDIRECT("'"&amp;$C4614&amp;"'!$E$41:$Y$41"),1,MATCH($D4614,INDIRECT("'"&amp;$C4614&amp;"'!$E$12:$Y$12"),0)),0),0)</f>
        <v>1137663.0345038394</v>
      </c>
      <c r="I4614" s="366" t="s">
        <v>1685</v>
      </c>
      <c r="J4614" s="348" t="str">
        <f t="shared" ca="1" si="144"/>
        <v>OK</v>
      </c>
      <c r="K4614" s="366" t="s">
        <v>1694</v>
      </c>
      <c r="L4614" s="366" t="s">
        <v>2238</v>
      </c>
      <c r="M4614" s="350" t="str">
        <f>IF($B4614="Portfolio","Portfolio",IFERROR(INDEX(DATA_ASSET_CLASSIFICATION!$B$8:$B$24,MATCH($C4614,DATA_ASSET_CLASSIFICATION!$A$8:$A$24,0)),"Review"))</f>
        <v>450 Pacific Street</v>
      </c>
      <c r="N4614" s="350" t="str">
        <f>IF($B4614="Portfolio","Portfolio",IFERROR(INDEX(DATA_ASSET_CLASSIFICATION!$U$8:$U$24,MATCH($C4614,DATA_ASSET_CLASSIFICATION!$A$8:$A$24,0)),"Review"))</f>
        <v>New Build</v>
      </c>
      <c r="O4614" s="350" t="str">
        <f>IF($B4614="Portfolio","Portfolio",IFERROR(INDEX(DATA_ASSET_CLASSIFICATION!$AB$8:$AB$13,MATCH($N4614,DATA_ASSET_CLASSIFICATION!$AA$8:$AA$13,0)),"Review"))</f>
        <v>Bucket 1 · New Build</v>
      </c>
      <c r="P4614" s="350" t="str">
        <f>IF($B4614="Portfolio","Portfolio",IFERROR(INDEX(DATA_ASSET_CLASSIFICATION!$C$8:$C$24,MATCH($C4614,DATA_ASSET_CLASSIFICATION!$A$8:$A$24,0)),"Review"))</f>
        <v>Yes</v>
      </c>
      <c r="Q4614" s="350" t="str">
        <f t="shared" ca="1" si="145"/>
        <v>OK</v>
      </c>
    </row>
    <row r="4615" spans="1:17">
      <c r="A4615" s="366" t="s">
        <v>6571</v>
      </c>
      <c r="B4615" s="366" t="s">
        <v>231</v>
      </c>
      <c r="C4615" s="348" t="str">
        <f>DATA_PROPERTY_MASTER!$A$19</f>
        <v>BLD_PS</v>
      </c>
      <c r="D4615" s="380">
        <f>'00_PORTFOLIO ROLLUP'!U$12</f>
        <v>2041</v>
      </c>
      <c r="E4615" s="366" t="s">
        <v>1683</v>
      </c>
      <c r="F4615" s="366" t="s">
        <v>1697</v>
      </c>
      <c r="G4615" s="348" t="str">
        <f>"'"&amp;$C4615&amp;"'!$E$44:$Y$44"</f>
        <v>'BLD_PS'!$E$44:$Y$44</v>
      </c>
      <c r="H4615" s="381">
        <f ca="1">IF(IFERROR(INDEX(DATA_PROPERTY_MASTER!$E$5:$E$21,MATCH($C4615,DATA_PROPERTY_MASTER!$A$5:$A$21,0))="Yes",FALSE),IFERROR(INDEX(INDIRECT("'"&amp;$C4615&amp;"'!$E$44:$Y$44"),1,MATCH($D4615,INDIRECT("'"&amp;$C4615&amp;"'!$E$12:$Y$12"),0)),0),0)</f>
        <v>18738.524874486855</v>
      </c>
      <c r="I4615" s="366" t="s">
        <v>1690</v>
      </c>
      <c r="J4615" s="348" t="str">
        <f t="shared" ca="1" si="144"/>
        <v>OK</v>
      </c>
      <c r="K4615" s="366" t="s">
        <v>1699</v>
      </c>
      <c r="L4615" s="366" t="s">
        <v>2240</v>
      </c>
      <c r="M4615" s="350" t="str">
        <f>IF($B4615="Portfolio","Portfolio",IFERROR(INDEX(DATA_ASSET_CLASSIFICATION!$B$8:$B$24,MATCH($C4615,DATA_ASSET_CLASSIFICATION!$A$8:$A$24,0)),"Review"))</f>
        <v>450 Pacific Street</v>
      </c>
      <c r="N4615" s="350" t="str">
        <f>IF($B4615="Portfolio","Portfolio",IFERROR(INDEX(DATA_ASSET_CLASSIFICATION!$U$8:$U$24,MATCH($C4615,DATA_ASSET_CLASSIFICATION!$A$8:$A$24,0)),"Review"))</f>
        <v>New Build</v>
      </c>
      <c r="O4615" s="350" t="str">
        <f>IF($B4615="Portfolio","Portfolio",IFERROR(INDEX(DATA_ASSET_CLASSIFICATION!$AB$8:$AB$13,MATCH($N4615,DATA_ASSET_CLASSIFICATION!$AA$8:$AA$13,0)),"Review"))</f>
        <v>Bucket 1 · New Build</v>
      </c>
      <c r="P4615" s="350" t="str">
        <f>IF($B4615="Portfolio","Portfolio",IFERROR(INDEX(DATA_ASSET_CLASSIFICATION!$C$8:$C$24,MATCH($C4615,DATA_ASSET_CLASSIFICATION!$A$8:$A$24,0)),"Review"))</f>
        <v>Yes</v>
      </c>
      <c r="Q4615" s="350" t="str">
        <f t="shared" ca="1" si="145"/>
        <v>OK</v>
      </c>
    </row>
    <row r="4616" spans="1:17">
      <c r="A4616" s="366" t="s">
        <v>6572</v>
      </c>
      <c r="B4616" s="366" t="s">
        <v>231</v>
      </c>
      <c r="C4616" s="348" t="str">
        <f>DATA_PROPERTY_MASTER!$A$19</f>
        <v>BLD_PS</v>
      </c>
      <c r="D4616" s="380">
        <f>'00_PORTFOLIO ROLLUP'!U$12</f>
        <v>2041</v>
      </c>
      <c r="E4616" s="366" t="s">
        <v>1683</v>
      </c>
      <c r="F4616" s="366" t="s">
        <v>21</v>
      </c>
      <c r="G4616" s="348" t="str">
        <f>"'"&amp;$C4616&amp;"'!$E$45:$Y$45"</f>
        <v>'BLD_PS'!$E$45:$Y$45</v>
      </c>
      <c r="H4616" s="381">
        <f ca="1">IF(IFERROR(INDEX(DATA_PROPERTY_MASTER!$E$5:$E$21,MATCH($C4616,DATA_PROPERTY_MASTER!$A$5:$A$21,0))="Yes",FALSE),IFERROR(INDEX(INDIRECT("'"&amp;$C4616&amp;"'!$E$45:$Y$45"),1,MATCH($D4616,INDIRECT("'"&amp;$C4616&amp;"'!$E$12:$Y$12"),0)),0),0)</f>
        <v>1118924.5096293525</v>
      </c>
      <c r="I4616" s="366" t="s">
        <v>1685</v>
      </c>
      <c r="J4616" s="348" t="str">
        <f t="shared" ca="1" si="144"/>
        <v>OK</v>
      </c>
      <c r="K4616" s="366" t="s">
        <v>1694</v>
      </c>
      <c r="L4616" s="366" t="s">
        <v>2242</v>
      </c>
      <c r="M4616" s="350" t="str">
        <f>IF($B4616="Portfolio","Portfolio",IFERROR(INDEX(DATA_ASSET_CLASSIFICATION!$B$8:$B$24,MATCH($C4616,DATA_ASSET_CLASSIFICATION!$A$8:$A$24,0)),"Review"))</f>
        <v>450 Pacific Street</v>
      </c>
      <c r="N4616" s="350" t="str">
        <f>IF($B4616="Portfolio","Portfolio",IFERROR(INDEX(DATA_ASSET_CLASSIFICATION!$U$8:$U$24,MATCH($C4616,DATA_ASSET_CLASSIFICATION!$A$8:$A$24,0)),"Review"))</f>
        <v>New Build</v>
      </c>
      <c r="O4616" s="350" t="str">
        <f>IF($B4616="Portfolio","Portfolio",IFERROR(INDEX(DATA_ASSET_CLASSIFICATION!$AB$8:$AB$13,MATCH($N4616,DATA_ASSET_CLASSIFICATION!$AA$8:$AA$13,0)),"Review"))</f>
        <v>Bucket 1 · New Build</v>
      </c>
      <c r="P4616" s="350" t="str">
        <f>IF($B4616="Portfolio","Portfolio",IFERROR(INDEX(DATA_ASSET_CLASSIFICATION!$C$8:$C$24,MATCH($C4616,DATA_ASSET_CLASSIFICATION!$A$8:$A$24,0)),"Review"))</f>
        <v>Yes</v>
      </c>
      <c r="Q4616" s="350" t="str">
        <f t="shared" ca="1" si="145"/>
        <v>OK</v>
      </c>
    </row>
    <row r="4617" spans="1:17">
      <c r="A4617" s="366" t="s">
        <v>6573</v>
      </c>
      <c r="B4617" s="366" t="s">
        <v>231</v>
      </c>
      <c r="C4617" s="348" t="str">
        <f>DATA_PROPERTY_MASTER!$A$19</f>
        <v>BLD_PS</v>
      </c>
      <c r="D4617" s="380">
        <f>'00_PORTFOLIO ROLLUP'!U$12</f>
        <v>2041</v>
      </c>
      <c r="E4617" s="366" t="s">
        <v>23</v>
      </c>
      <c r="F4617" s="366" t="s">
        <v>23</v>
      </c>
      <c r="G4617" s="348" t="str">
        <f>"'"&amp;$C4617&amp;"'!$E$48:$Y$48"</f>
        <v>'BLD_PS'!$E$48:$Y$48</v>
      </c>
      <c r="H4617" s="381">
        <f ca="1">IF(IFERROR(INDEX(DATA_PROPERTY_MASTER!$E$5:$E$21,MATCH($C4617,DATA_PROPERTY_MASTER!$A$5:$A$21,0))="Yes",FALSE),IFERROR(INDEX(INDIRECT("'"&amp;$C4617&amp;"'!$E$48:$Y$48"),1,MATCH($D4617,INDIRECT("'"&amp;$C4617&amp;"'!$E$12:$Y$12"),0)),0),0)</f>
        <v>667460.46017404622</v>
      </c>
      <c r="I4617" s="366" t="s">
        <v>1690</v>
      </c>
      <c r="J4617" s="348" t="str">
        <f t="shared" ca="1" si="144"/>
        <v>OK</v>
      </c>
      <c r="K4617" s="366" t="s">
        <v>1706</v>
      </c>
      <c r="L4617" s="366" t="s">
        <v>2244</v>
      </c>
      <c r="M4617" s="350" t="str">
        <f>IF($B4617="Portfolio","Portfolio",IFERROR(INDEX(DATA_ASSET_CLASSIFICATION!$B$8:$B$24,MATCH($C4617,DATA_ASSET_CLASSIFICATION!$A$8:$A$24,0)),"Review"))</f>
        <v>450 Pacific Street</v>
      </c>
      <c r="N4617" s="350" t="str">
        <f>IF($B4617="Portfolio","Portfolio",IFERROR(INDEX(DATA_ASSET_CLASSIFICATION!$U$8:$U$24,MATCH($C4617,DATA_ASSET_CLASSIFICATION!$A$8:$A$24,0)),"Review"))</f>
        <v>New Build</v>
      </c>
      <c r="O4617" s="350" t="str">
        <f>IF($B4617="Portfolio","Portfolio",IFERROR(INDEX(DATA_ASSET_CLASSIFICATION!$AB$8:$AB$13,MATCH($N4617,DATA_ASSET_CLASSIFICATION!$AA$8:$AA$13,0)),"Review"))</f>
        <v>Bucket 1 · New Build</v>
      </c>
      <c r="P4617" s="350" t="str">
        <f>IF($B4617="Portfolio","Portfolio",IFERROR(INDEX(DATA_ASSET_CLASSIFICATION!$C$8:$C$24,MATCH($C4617,DATA_ASSET_CLASSIFICATION!$A$8:$A$24,0)),"Review"))</f>
        <v>Yes</v>
      </c>
      <c r="Q4617" s="350" t="str">
        <f t="shared" ca="1" si="145"/>
        <v>OK</v>
      </c>
    </row>
    <row r="4618" spans="1:17">
      <c r="A4618" s="366" t="s">
        <v>6574</v>
      </c>
      <c r="B4618" s="366" t="s">
        <v>231</v>
      </c>
      <c r="C4618" s="348" t="str">
        <f>DATA_PROPERTY_MASTER!$A$19</f>
        <v>BLD_PS</v>
      </c>
      <c r="D4618" s="380">
        <f>'00_PORTFOLIO ROLLUP'!U$12</f>
        <v>2041</v>
      </c>
      <c r="E4618" s="366" t="s">
        <v>1683</v>
      </c>
      <c r="F4618" s="366" t="s">
        <v>25</v>
      </c>
      <c r="G4618" s="348" t="str">
        <f>"'"&amp;$C4618&amp;"'!$E$52:$Y$52"</f>
        <v>'BLD_PS'!$E$52:$Y$52</v>
      </c>
      <c r="H4618" s="381">
        <f ca="1">IF(IFERROR(INDEX(DATA_PROPERTY_MASTER!$E$5:$E$21,MATCH($C4618,DATA_PROPERTY_MASTER!$A$5:$A$21,0))="Yes",FALSE),IFERROR(INDEX(INDIRECT("'"&amp;$C4618&amp;"'!$E$52:$Y$52"),1,MATCH($D4618,INDIRECT("'"&amp;$C4618&amp;"'!$E$12:$Y$12"),0)),0),0)</f>
        <v>470202.57432979322</v>
      </c>
      <c r="I4618" s="366" t="s">
        <v>1685</v>
      </c>
      <c r="J4618" s="348" t="str">
        <f t="shared" ca="1" si="144"/>
        <v>OK</v>
      </c>
      <c r="K4618" s="366" t="s">
        <v>1710</v>
      </c>
      <c r="L4618" s="366" t="s">
        <v>2246</v>
      </c>
      <c r="M4618" s="350" t="str">
        <f>IF($B4618="Portfolio","Portfolio",IFERROR(INDEX(DATA_ASSET_CLASSIFICATION!$B$8:$B$24,MATCH($C4618,DATA_ASSET_CLASSIFICATION!$A$8:$A$24,0)),"Review"))</f>
        <v>450 Pacific Street</v>
      </c>
      <c r="N4618" s="350" t="str">
        <f>IF($B4618="Portfolio","Portfolio",IFERROR(INDEX(DATA_ASSET_CLASSIFICATION!$U$8:$U$24,MATCH($C4618,DATA_ASSET_CLASSIFICATION!$A$8:$A$24,0)),"Review"))</f>
        <v>New Build</v>
      </c>
      <c r="O4618" s="350" t="str">
        <f>IF($B4618="Portfolio","Portfolio",IFERROR(INDEX(DATA_ASSET_CLASSIFICATION!$AB$8:$AB$13,MATCH($N4618,DATA_ASSET_CLASSIFICATION!$AA$8:$AA$13,0)),"Review"))</f>
        <v>Bucket 1 · New Build</v>
      </c>
      <c r="P4618" s="350" t="str">
        <f>IF($B4618="Portfolio","Portfolio",IFERROR(INDEX(DATA_ASSET_CLASSIFICATION!$C$8:$C$24,MATCH($C4618,DATA_ASSET_CLASSIFICATION!$A$8:$A$24,0)),"Review"))</f>
        <v>Yes</v>
      </c>
      <c r="Q4618" s="350" t="str">
        <f t="shared" ca="1" si="145"/>
        <v>OK</v>
      </c>
    </row>
    <row r="4619" spans="1:17">
      <c r="A4619" s="366" t="s">
        <v>6575</v>
      </c>
      <c r="B4619" s="366" t="s">
        <v>231</v>
      </c>
      <c r="C4619" s="348" t="str">
        <f>DATA_PROPERTY_MASTER!$A$19</f>
        <v>BLD_PS</v>
      </c>
      <c r="D4619" s="380">
        <f>'00_PORTFOLIO ROLLUP'!U$12</f>
        <v>2041</v>
      </c>
      <c r="E4619" s="366" t="s">
        <v>1683</v>
      </c>
      <c r="F4619" s="366" t="s">
        <v>27</v>
      </c>
      <c r="G4619" s="348" t="str">
        <f>"'"&amp;$C4619&amp;"'!$E$54:$Y$54"</f>
        <v>'BLD_PS'!$E$54:$Y$54</v>
      </c>
      <c r="H4619" s="381">
        <f ca="1">IF(IFERROR(INDEX(DATA_PROPERTY_MASTER!$E$5:$E$21,MATCH($C4619,DATA_PROPERTY_MASTER!$A$5:$A$21,0))="Yes",FALSE),IFERROR(INDEX(INDIRECT("'"&amp;$C4619&amp;"'!$E$54:$Y$54"),1,MATCH($D4619,INDIRECT("'"&amp;$C4619&amp;"'!$E$12:$Y$12"),0)),0),0)</f>
        <v>282121.54459787591</v>
      </c>
      <c r="I4619" s="366" t="s">
        <v>1690</v>
      </c>
      <c r="J4619" s="348" t="str">
        <f t="shared" ca="1" si="144"/>
        <v>OK</v>
      </c>
      <c r="K4619" s="366" t="s">
        <v>1714</v>
      </c>
      <c r="L4619" s="366" t="s">
        <v>2248</v>
      </c>
      <c r="M4619" s="350" t="str">
        <f>IF($B4619="Portfolio","Portfolio",IFERROR(INDEX(DATA_ASSET_CLASSIFICATION!$B$8:$B$24,MATCH($C4619,DATA_ASSET_CLASSIFICATION!$A$8:$A$24,0)),"Review"))</f>
        <v>450 Pacific Street</v>
      </c>
      <c r="N4619" s="350" t="str">
        <f>IF($B4619="Portfolio","Portfolio",IFERROR(INDEX(DATA_ASSET_CLASSIFICATION!$U$8:$U$24,MATCH($C4619,DATA_ASSET_CLASSIFICATION!$A$8:$A$24,0)),"Review"))</f>
        <v>New Build</v>
      </c>
      <c r="O4619" s="350" t="str">
        <f>IF($B4619="Portfolio","Portfolio",IFERROR(INDEX(DATA_ASSET_CLASSIFICATION!$AB$8:$AB$13,MATCH($N4619,DATA_ASSET_CLASSIFICATION!$AA$8:$AA$13,0)),"Review"))</f>
        <v>Bucket 1 · New Build</v>
      </c>
      <c r="P4619" s="350" t="str">
        <f>IF($B4619="Portfolio","Portfolio",IFERROR(INDEX(DATA_ASSET_CLASSIFICATION!$C$8:$C$24,MATCH($C4619,DATA_ASSET_CLASSIFICATION!$A$8:$A$24,0)),"Review"))</f>
        <v>Yes</v>
      </c>
      <c r="Q4619" s="350" t="str">
        <f t="shared" ca="1" si="145"/>
        <v>OK</v>
      </c>
    </row>
    <row r="4620" spans="1:17">
      <c r="A4620" s="366" t="s">
        <v>6576</v>
      </c>
      <c r="B4620" s="366" t="s">
        <v>231</v>
      </c>
      <c r="C4620" s="348" t="str">
        <f>DATA_PROPERTY_MASTER!$A$19</f>
        <v>BLD_PS</v>
      </c>
      <c r="D4620" s="380">
        <f>'00_PORTFOLIO ROLLUP'!U$12</f>
        <v>2041</v>
      </c>
      <c r="E4620" s="366" t="s">
        <v>1683</v>
      </c>
      <c r="F4620" s="366" t="s">
        <v>29</v>
      </c>
      <c r="G4620" s="348" t="str">
        <f>"'"&amp;$C4620&amp;"'!$E$56:$Y$56"</f>
        <v>'BLD_PS'!$E$56:$Y$56</v>
      </c>
      <c r="H4620" s="381">
        <f ca="1">IF(IFERROR(INDEX(DATA_PROPERTY_MASTER!$E$5:$E$21,MATCH($C4620,DATA_PROPERTY_MASTER!$A$5:$A$21,0))="Yes",FALSE),IFERROR(INDEX(INDIRECT("'"&amp;$C4620&amp;"'!$E$56:$Y$56"),1,MATCH($D4620,INDIRECT("'"&amp;$C4620&amp;"'!$E$12:$Y$12"),0)),0),0)</f>
        <v>188081.02973191731</v>
      </c>
      <c r="I4620" s="366" t="s">
        <v>1685</v>
      </c>
      <c r="J4620" s="348" t="str">
        <f t="shared" ca="1" si="144"/>
        <v>OK</v>
      </c>
      <c r="K4620" s="366" t="s">
        <v>1718</v>
      </c>
      <c r="L4620" s="366" t="s">
        <v>2250</v>
      </c>
      <c r="M4620" s="350" t="str">
        <f>IF($B4620="Portfolio","Portfolio",IFERROR(INDEX(DATA_ASSET_CLASSIFICATION!$B$8:$B$24,MATCH($C4620,DATA_ASSET_CLASSIFICATION!$A$8:$A$24,0)),"Review"))</f>
        <v>450 Pacific Street</v>
      </c>
      <c r="N4620" s="350" t="str">
        <f>IF($B4620="Portfolio","Portfolio",IFERROR(INDEX(DATA_ASSET_CLASSIFICATION!$U$8:$U$24,MATCH($C4620,DATA_ASSET_CLASSIFICATION!$A$8:$A$24,0)),"Review"))</f>
        <v>New Build</v>
      </c>
      <c r="O4620" s="350" t="str">
        <f>IF($B4620="Portfolio","Portfolio",IFERROR(INDEX(DATA_ASSET_CLASSIFICATION!$AB$8:$AB$13,MATCH($N4620,DATA_ASSET_CLASSIFICATION!$AA$8:$AA$13,0)),"Review"))</f>
        <v>Bucket 1 · New Build</v>
      </c>
      <c r="P4620" s="350" t="str">
        <f>IF($B4620="Portfolio","Portfolio",IFERROR(INDEX(DATA_ASSET_CLASSIFICATION!$C$8:$C$24,MATCH($C4620,DATA_ASSET_CLASSIFICATION!$A$8:$A$24,0)),"Review"))</f>
        <v>Yes</v>
      </c>
      <c r="Q4620" s="350" t="str">
        <f t="shared" ca="1" si="145"/>
        <v>OK</v>
      </c>
    </row>
    <row r="4621" spans="1:17">
      <c r="A4621" s="366" t="s">
        <v>6577</v>
      </c>
      <c r="B4621" s="366" t="s">
        <v>231</v>
      </c>
      <c r="C4621" s="348" t="str">
        <f>DATA_PROPERTY_MASTER!$A$19</f>
        <v>BLD_PS</v>
      </c>
      <c r="D4621" s="380">
        <f>'00_PORTFOLIO ROLLUP'!U$12</f>
        <v>2041</v>
      </c>
      <c r="E4621" s="366" t="s">
        <v>1721</v>
      </c>
      <c r="F4621" s="366" t="s">
        <v>31</v>
      </c>
      <c r="G4621" s="348" t="str">
        <f>"'"&amp;$C4621&amp;"'!$E$61:$Y$61"</f>
        <v>'BLD_PS'!$E$61:$Y$61</v>
      </c>
      <c r="H4621" s="381">
        <f ca="1">IF(IFERROR(INDEX(DATA_PROPERTY_MASTER!$E$5:$E$21,MATCH($C4621,DATA_PROPERTY_MASTER!$A$5:$A$21,0))="Yes",FALSE),IFERROR(INDEX(INDIRECT("'"&amp;$C4621&amp;"'!$E$61:$Y$61"),1,MATCH($D4621,INDIRECT("'"&amp;$C4621&amp;"'!$E$12:$Y$12"),0)),0),0)</f>
        <v>0</v>
      </c>
      <c r="I4621" s="366" t="s">
        <v>1690</v>
      </c>
      <c r="J4621" s="348" t="str">
        <f t="shared" ca="1" si="144"/>
        <v>OK</v>
      </c>
      <c r="K4621" s="366" t="s">
        <v>1723</v>
      </c>
      <c r="L4621" s="366" t="s">
        <v>2252</v>
      </c>
      <c r="M4621" s="350" t="str">
        <f>IF($B4621="Portfolio","Portfolio",IFERROR(INDEX(DATA_ASSET_CLASSIFICATION!$B$8:$B$24,MATCH($C4621,DATA_ASSET_CLASSIFICATION!$A$8:$A$24,0)),"Review"))</f>
        <v>450 Pacific Street</v>
      </c>
      <c r="N4621" s="350" t="str">
        <f>IF($B4621="Portfolio","Portfolio",IFERROR(INDEX(DATA_ASSET_CLASSIFICATION!$U$8:$U$24,MATCH($C4621,DATA_ASSET_CLASSIFICATION!$A$8:$A$24,0)),"Review"))</f>
        <v>New Build</v>
      </c>
      <c r="O4621" s="350" t="str">
        <f>IF($B4621="Portfolio","Portfolio",IFERROR(INDEX(DATA_ASSET_CLASSIFICATION!$AB$8:$AB$13,MATCH($N4621,DATA_ASSET_CLASSIFICATION!$AA$8:$AA$13,0)),"Review"))</f>
        <v>Bucket 1 · New Build</v>
      </c>
      <c r="P4621" s="350" t="str">
        <f>IF($B4621="Portfolio","Portfolio",IFERROR(INDEX(DATA_ASSET_CLASSIFICATION!$C$8:$C$24,MATCH($C4621,DATA_ASSET_CLASSIFICATION!$A$8:$A$24,0)),"Review"))</f>
        <v>Yes</v>
      </c>
      <c r="Q4621" s="350" t="str">
        <f t="shared" ca="1" si="145"/>
        <v>OK</v>
      </c>
    </row>
    <row r="4622" spans="1:17">
      <c r="A4622" s="366" t="s">
        <v>6578</v>
      </c>
      <c r="B4622" s="366" t="s">
        <v>231</v>
      </c>
      <c r="C4622" s="348" t="str">
        <f>DATA_PROPERTY_MASTER!$A$19</f>
        <v>BLD_PS</v>
      </c>
      <c r="D4622" s="380">
        <f>'00_PORTFOLIO ROLLUP'!U$12</f>
        <v>2041</v>
      </c>
      <c r="E4622" s="366" t="s">
        <v>1721</v>
      </c>
      <c r="F4622" s="366" t="s">
        <v>33</v>
      </c>
      <c r="G4622" s="348" t="str">
        <f>"'"&amp;$C4622&amp;"'!$E$62:$Y$62"</f>
        <v>'BLD_PS'!$E$62:$Y$62</v>
      </c>
      <c r="H4622" s="381">
        <f ca="1">IF(IFERROR(INDEX(DATA_PROPERTY_MASTER!$E$5:$E$21,MATCH($C4622,DATA_PROPERTY_MASTER!$A$5:$A$21,0))="Yes",FALSE),IFERROR(INDEX(INDIRECT("'"&amp;$C4622&amp;"'!$E$62:$Y$62"),1,MATCH($D4622,INDIRECT("'"&amp;$C4622&amp;"'!$E$12:$Y$12"),0)),0),0)</f>
        <v>0</v>
      </c>
      <c r="I4622" s="366" t="s">
        <v>1685</v>
      </c>
      <c r="J4622" s="348" t="str">
        <f t="shared" ca="1" si="144"/>
        <v>OK</v>
      </c>
      <c r="K4622" s="366" t="s">
        <v>1727</v>
      </c>
      <c r="L4622" s="366" t="s">
        <v>2254</v>
      </c>
      <c r="M4622" s="350" t="str">
        <f>IF($B4622="Portfolio","Portfolio",IFERROR(INDEX(DATA_ASSET_CLASSIFICATION!$B$8:$B$24,MATCH($C4622,DATA_ASSET_CLASSIFICATION!$A$8:$A$24,0)),"Review"))</f>
        <v>450 Pacific Street</v>
      </c>
      <c r="N4622" s="350" t="str">
        <f>IF($B4622="Portfolio","Portfolio",IFERROR(INDEX(DATA_ASSET_CLASSIFICATION!$U$8:$U$24,MATCH($C4622,DATA_ASSET_CLASSIFICATION!$A$8:$A$24,0)),"Review"))</f>
        <v>New Build</v>
      </c>
      <c r="O4622" s="350" t="str">
        <f>IF($B4622="Portfolio","Portfolio",IFERROR(INDEX(DATA_ASSET_CLASSIFICATION!$AB$8:$AB$13,MATCH($N4622,DATA_ASSET_CLASSIFICATION!$AA$8:$AA$13,0)),"Review"))</f>
        <v>Bucket 1 · New Build</v>
      </c>
      <c r="P4622" s="350" t="str">
        <f>IF($B4622="Portfolio","Portfolio",IFERROR(INDEX(DATA_ASSET_CLASSIFICATION!$C$8:$C$24,MATCH($C4622,DATA_ASSET_CLASSIFICATION!$A$8:$A$24,0)),"Review"))</f>
        <v>Yes</v>
      </c>
      <c r="Q4622" s="350" t="str">
        <f t="shared" ca="1" si="145"/>
        <v>OK</v>
      </c>
    </row>
    <row r="4623" spans="1:17">
      <c r="A4623" s="366" t="s">
        <v>6579</v>
      </c>
      <c r="B4623" s="366" t="s">
        <v>231</v>
      </c>
      <c r="C4623" s="348" t="str">
        <f>DATA_PROPERTY_MASTER!$A$19</f>
        <v>BLD_PS</v>
      </c>
      <c r="D4623" s="380">
        <f>'00_PORTFOLIO ROLLUP'!U$12</f>
        <v>2041</v>
      </c>
      <c r="E4623" s="366" t="s">
        <v>1721</v>
      </c>
      <c r="F4623" s="366" t="s">
        <v>35</v>
      </c>
      <c r="G4623" s="348" t="str">
        <f>"'"&amp;$C4623&amp;"'!$E$63:$Y$63"</f>
        <v>'BLD_PS'!$E$63:$Y$63</v>
      </c>
      <c r="H4623" s="381">
        <f ca="1">IF(IFERROR(INDEX(DATA_PROPERTY_MASTER!$E$5:$E$21,MATCH($C4623,DATA_PROPERTY_MASTER!$A$5:$A$21,0))="Yes",FALSE),IFERROR(INDEX(INDIRECT("'"&amp;$C4623&amp;"'!$E$63:$Y$63"),1,MATCH($D4623,INDIRECT("'"&amp;$C4623&amp;"'!$E$12:$Y$12"),0)),0),0)</f>
        <v>0</v>
      </c>
      <c r="I4623" s="366" t="s">
        <v>1731</v>
      </c>
      <c r="J4623" s="348" t="str">
        <f t="shared" ca="1" si="144"/>
        <v>OK</v>
      </c>
      <c r="K4623" s="366" t="s">
        <v>1732</v>
      </c>
      <c r="L4623" s="366" t="s">
        <v>2256</v>
      </c>
      <c r="M4623" s="350" t="str">
        <f>IF($B4623="Portfolio","Portfolio",IFERROR(INDEX(DATA_ASSET_CLASSIFICATION!$B$8:$B$24,MATCH($C4623,DATA_ASSET_CLASSIFICATION!$A$8:$A$24,0)),"Review"))</f>
        <v>450 Pacific Street</v>
      </c>
      <c r="N4623" s="350" t="str">
        <f>IF($B4623="Portfolio","Portfolio",IFERROR(INDEX(DATA_ASSET_CLASSIFICATION!$U$8:$U$24,MATCH($C4623,DATA_ASSET_CLASSIFICATION!$A$8:$A$24,0)),"Review"))</f>
        <v>New Build</v>
      </c>
      <c r="O4623" s="350" t="str">
        <f>IF($B4623="Portfolio","Portfolio",IFERROR(INDEX(DATA_ASSET_CLASSIFICATION!$AB$8:$AB$13,MATCH($N4623,DATA_ASSET_CLASSIFICATION!$AA$8:$AA$13,0)),"Review"))</f>
        <v>Bucket 1 · New Build</v>
      </c>
      <c r="P4623" s="350" t="str">
        <f>IF($B4623="Portfolio","Portfolio",IFERROR(INDEX(DATA_ASSET_CLASSIFICATION!$C$8:$C$24,MATCH($C4623,DATA_ASSET_CLASSIFICATION!$A$8:$A$24,0)),"Review"))</f>
        <v>Yes</v>
      </c>
      <c r="Q4623" s="350" t="str">
        <f t="shared" ca="1" si="145"/>
        <v>OK</v>
      </c>
    </row>
    <row r="4624" spans="1:17">
      <c r="A4624" s="366" t="s">
        <v>6580</v>
      </c>
      <c r="B4624" s="366" t="s">
        <v>231</v>
      </c>
      <c r="C4624" s="348" t="str">
        <f>DATA_PROPERTY_MASTER!$A$19</f>
        <v>BLD_PS</v>
      </c>
      <c r="D4624" s="380">
        <f>'00_PORTFOLIO ROLLUP'!U$12</f>
        <v>2041</v>
      </c>
      <c r="E4624" s="366" t="s">
        <v>1721</v>
      </c>
      <c r="F4624" s="366" t="s">
        <v>37</v>
      </c>
      <c r="G4624" s="348" t="str">
        <f>"'"&amp;$C4624&amp;"'!$E$63:$Y$63"</f>
        <v>'BLD_PS'!$E$63:$Y$63</v>
      </c>
      <c r="H4624" s="381">
        <f ca="1">IF(IFERROR(INDEX(DATA_PROPERTY_MASTER!$E$5:$E$21,MATCH($C4624,DATA_PROPERTY_MASTER!$A$5:$A$21,0))="Yes",FALSE),MAX(IFERROR(INDEX(INDIRECT("'"&amp;$C4624&amp;"'!$E$63:$Y$63"),1,MATCH($D4624,INDIRECT("'"&amp;$C4624&amp;"'!$E$12:$Y$12"),0)),0),0),0)</f>
        <v>0</v>
      </c>
      <c r="I4624" s="366" t="s">
        <v>1685</v>
      </c>
      <c r="J4624" s="348" t="str">
        <f t="shared" ca="1" si="144"/>
        <v>OK</v>
      </c>
      <c r="K4624" s="366" t="s">
        <v>1735</v>
      </c>
      <c r="L4624" s="366" t="s">
        <v>2258</v>
      </c>
      <c r="M4624" s="350" t="str">
        <f>IF($B4624="Portfolio","Portfolio",IFERROR(INDEX(DATA_ASSET_CLASSIFICATION!$B$8:$B$24,MATCH($C4624,DATA_ASSET_CLASSIFICATION!$A$8:$A$24,0)),"Review"))</f>
        <v>450 Pacific Street</v>
      </c>
      <c r="N4624" s="350" t="str">
        <f>IF($B4624="Portfolio","Portfolio",IFERROR(INDEX(DATA_ASSET_CLASSIFICATION!$U$8:$U$24,MATCH($C4624,DATA_ASSET_CLASSIFICATION!$A$8:$A$24,0)),"Review"))</f>
        <v>New Build</v>
      </c>
      <c r="O4624" s="350" t="str">
        <f>IF($B4624="Portfolio","Portfolio",IFERROR(INDEX(DATA_ASSET_CLASSIFICATION!$AB$8:$AB$13,MATCH($N4624,DATA_ASSET_CLASSIFICATION!$AA$8:$AA$13,0)),"Review"))</f>
        <v>Bucket 1 · New Build</v>
      </c>
      <c r="P4624" s="350" t="str">
        <f>IF($B4624="Portfolio","Portfolio",IFERROR(INDEX(DATA_ASSET_CLASSIFICATION!$C$8:$C$24,MATCH($C4624,DATA_ASSET_CLASSIFICATION!$A$8:$A$24,0)),"Review"))</f>
        <v>Yes</v>
      </c>
      <c r="Q4624" s="350" t="str">
        <f t="shared" ca="1" si="145"/>
        <v>OK</v>
      </c>
    </row>
    <row r="4625" spans="1:17">
      <c r="A4625" s="366" t="s">
        <v>6581</v>
      </c>
      <c r="B4625" s="366" t="s">
        <v>231</v>
      </c>
      <c r="C4625" s="348" t="str">
        <f>DATA_PROPERTY_MASTER!$A$19</f>
        <v>BLD_PS</v>
      </c>
      <c r="D4625" s="380">
        <f>'00_PORTFOLIO ROLLUP'!U$12</f>
        <v>2041</v>
      </c>
      <c r="E4625" s="366" t="s">
        <v>1721</v>
      </c>
      <c r="F4625" s="366" t="s">
        <v>39</v>
      </c>
      <c r="G4625" s="348" t="str">
        <f>"'"&amp;$C4625&amp;"'!$E$63:$Y$63"</f>
        <v>'BLD_PS'!$E$63:$Y$63</v>
      </c>
      <c r="H4625" s="381">
        <f ca="1">IF(IFERROR(INDEX(DATA_PROPERTY_MASTER!$E$5:$E$21,MATCH($C4625,DATA_PROPERTY_MASTER!$A$5:$A$21,0))="Yes",FALSE),MAX(-IFERROR(INDEX(INDIRECT("'"&amp;$C4625&amp;"'!$E$63:$Y$63"),1,MATCH($D4625,INDIRECT("'"&amp;$C4625&amp;"'!$E$12:$Y$12"),0)),0),0),0)</f>
        <v>0</v>
      </c>
      <c r="I4625" s="366" t="s">
        <v>1690</v>
      </c>
      <c r="J4625" s="348" t="str">
        <f t="shared" ca="1" si="144"/>
        <v>OK</v>
      </c>
      <c r="K4625" s="366" t="s">
        <v>1738</v>
      </c>
      <c r="L4625" s="366" t="s">
        <v>2260</v>
      </c>
      <c r="M4625" s="350" t="str">
        <f>IF($B4625="Portfolio","Portfolio",IFERROR(INDEX(DATA_ASSET_CLASSIFICATION!$B$8:$B$24,MATCH($C4625,DATA_ASSET_CLASSIFICATION!$A$8:$A$24,0)),"Review"))</f>
        <v>450 Pacific Street</v>
      </c>
      <c r="N4625" s="350" t="str">
        <f>IF($B4625="Portfolio","Portfolio",IFERROR(INDEX(DATA_ASSET_CLASSIFICATION!$U$8:$U$24,MATCH($C4625,DATA_ASSET_CLASSIFICATION!$A$8:$A$24,0)),"Review"))</f>
        <v>New Build</v>
      </c>
      <c r="O4625" s="350" t="str">
        <f>IF($B4625="Portfolio","Portfolio",IFERROR(INDEX(DATA_ASSET_CLASSIFICATION!$AB$8:$AB$13,MATCH($N4625,DATA_ASSET_CLASSIFICATION!$AA$8:$AA$13,0)),"Review"))</f>
        <v>Bucket 1 · New Build</v>
      </c>
      <c r="P4625" s="350" t="str">
        <f>IF($B4625="Portfolio","Portfolio",IFERROR(INDEX(DATA_ASSET_CLASSIFICATION!$C$8:$C$24,MATCH($C4625,DATA_ASSET_CLASSIFICATION!$A$8:$A$24,0)),"Review"))</f>
        <v>Yes</v>
      </c>
      <c r="Q4625" s="350" t="str">
        <f t="shared" ca="1" si="145"/>
        <v>OK</v>
      </c>
    </row>
    <row r="4626" spans="1:17">
      <c r="A4626" s="366" t="s">
        <v>6582</v>
      </c>
      <c r="B4626" s="366" t="s">
        <v>231</v>
      </c>
      <c r="C4626" s="348" t="str">
        <f>DATA_PROPERTY_MASTER!$A$19</f>
        <v>BLD_PS</v>
      </c>
      <c r="D4626" s="380">
        <f>'00_PORTFOLIO ROLLUP'!U$12</f>
        <v>2041</v>
      </c>
      <c r="E4626" s="366" t="s">
        <v>1741</v>
      </c>
      <c r="F4626" s="366" t="s">
        <v>41</v>
      </c>
      <c r="G4626" s="348" t="str">
        <f>"'"&amp;$C4626&amp;"'!rows 56 + positive row 63"</f>
        <v>'BLD_PS'!rows 56 + positive row 63</v>
      </c>
      <c r="H4626" s="381">
        <f ca="1">IF(IFERROR(INDEX(DATA_PROPERTY_MASTER!$E$5:$E$21,MATCH($C4626,DATA_PROPERTY_MASTER!$A$5:$A$21,0))="Yes",FALSE),IFERROR(INDEX(INDIRECT("'"&amp;$C4626&amp;"'!$E$56:$Y$56"),1,MATCH($D4626,INDIRECT("'"&amp;$C4626&amp;"'!$E$12:$Y$12"),0)),0)+MAX(IFERROR(INDEX(INDIRECT("'"&amp;$C4626&amp;"'!$E$63:$Y$63"),1,MATCH($D4626,INDIRECT("'"&amp;$C4626&amp;"'!$E$12:$Y$12"),0)),0),0),0)</f>
        <v>188081.02973191731</v>
      </c>
      <c r="I4626" s="366" t="s">
        <v>1685</v>
      </c>
      <c r="J4626" s="348" t="str">
        <f t="shared" ca="1" si="144"/>
        <v>OK</v>
      </c>
      <c r="K4626" s="366" t="s">
        <v>1742</v>
      </c>
      <c r="L4626" s="366" t="s">
        <v>2262</v>
      </c>
      <c r="M4626" s="350" t="str">
        <f>IF($B4626="Portfolio","Portfolio",IFERROR(INDEX(DATA_ASSET_CLASSIFICATION!$B$8:$B$24,MATCH($C4626,DATA_ASSET_CLASSIFICATION!$A$8:$A$24,0)),"Review"))</f>
        <v>450 Pacific Street</v>
      </c>
      <c r="N4626" s="350" t="str">
        <f>IF($B4626="Portfolio","Portfolio",IFERROR(INDEX(DATA_ASSET_CLASSIFICATION!$U$8:$U$24,MATCH($C4626,DATA_ASSET_CLASSIFICATION!$A$8:$A$24,0)),"Review"))</f>
        <v>New Build</v>
      </c>
      <c r="O4626" s="350" t="str">
        <f>IF($B4626="Portfolio","Portfolio",IFERROR(INDEX(DATA_ASSET_CLASSIFICATION!$AB$8:$AB$13,MATCH($N4626,DATA_ASSET_CLASSIFICATION!$AA$8:$AA$13,0)),"Review"))</f>
        <v>Bucket 1 · New Build</v>
      </c>
      <c r="P4626" s="350" t="str">
        <f>IF($B4626="Portfolio","Portfolio",IFERROR(INDEX(DATA_ASSET_CLASSIFICATION!$C$8:$C$24,MATCH($C4626,DATA_ASSET_CLASSIFICATION!$A$8:$A$24,0)),"Review"))</f>
        <v>Yes</v>
      </c>
      <c r="Q4626" s="350" t="str">
        <f t="shared" ca="1" si="145"/>
        <v>OK</v>
      </c>
    </row>
    <row r="4627" spans="1:17">
      <c r="A4627" s="366" t="s">
        <v>6583</v>
      </c>
      <c r="B4627" s="366" t="s">
        <v>231</v>
      </c>
      <c r="C4627" s="348" t="str">
        <f>DATA_PROPERTY_MASTER!$A$19</f>
        <v>BLD_PS</v>
      </c>
      <c r="D4627" s="380">
        <f>'00_PORTFOLIO ROLLUP'!U$12</f>
        <v>2041</v>
      </c>
      <c r="E4627" s="366" t="s">
        <v>1741</v>
      </c>
      <c r="F4627" s="366" t="s">
        <v>43</v>
      </c>
      <c r="G4627" s="348" t="str">
        <f>"'"&amp;$C4627&amp;"'!$E$68:$Y$68"</f>
        <v>'BLD_PS'!$E$68:$Y$68</v>
      </c>
      <c r="H4627" s="381">
        <f ca="1">IF(IFERROR(INDEX(DATA_PROPERTY_MASTER!$E$5:$E$21,MATCH($C4627,DATA_PROPERTY_MASTER!$A$5:$A$21,0))="Yes",FALSE),IFERROR(INDEX(INDIRECT("'"&amp;$C4627&amp;"'!$E$68:$Y$68"),1,MATCH($D4627,INDIRECT("'"&amp;$C4627&amp;"'!$E$12:$Y$12"),0)),0),0)</f>
        <v>188081.02973191731</v>
      </c>
      <c r="I4627" s="366" t="s">
        <v>1731</v>
      </c>
      <c r="J4627" s="348" t="str">
        <f t="shared" ca="1" si="144"/>
        <v>OK</v>
      </c>
      <c r="K4627" s="366" t="s">
        <v>1746</v>
      </c>
      <c r="L4627" s="366" t="s">
        <v>2264</v>
      </c>
      <c r="M4627" s="350" t="str">
        <f>IF($B4627="Portfolio","Portfolio",IFERROR(INDEX(DATA_ASSET_CLASSIFICATION!$B$8:$B$24,MATCH($C4627,DATA_ASSET_CLASSIFICATION!$A$8:$A$24,0)),"Review"))</f>
        <v>450 Pacific Street</v>
      </c>
      <c r="N4627" s="350" t="str">
        <f>IF($B4627="Portfolio","Portfolio",IFERROR(INDEX(DATA_ASSET_CLASSIFICATION!$U$8:$U$24,MATCH($C4627,DATA_ASSET_CLASSIFICATION!$A$8:$A$24,0)),"Review"))</f>
        <v>New Build</v>
      </c>
      <c r="O4627" s="350" t="str">
        <f>IF($B4627="Portfolio","Portfolio",IFERROR(INDEX(DATA_ASSET_CLASSIFICATION!$AB$8:$AB$13,MATCH($N4627,DATA_ASSET_CLASSIFICATION!$AA$8:$AA$13,0)),"Review"))</f>
        <v>Bucket 1 · New Build</v>
      </c>
      <c r="P4627" s="350" t="str">
        <f>IF($B4627="Portfolio","Portfolio",IFERROR(INDEX(DATA_ASSET_CLASSIFICATION!$C$8:$C$24,MATCH($C4627,DATA_ASSET_CLASSIFICATION!$A$8:$A$24,0)),"Review"))</f>
        <v>Yes</v>
      </c>
      <c r="Q4627" s="350" t="str">
        <f t="shared" ca="1" si="145"/>
        <v>OK</v>
      </c>
    </row>
    <row r="4628" spans="1:17">
      <c r="A4628" s="366" t="s">
        <v>6584</v>
      </c>
      <c r="B4628" s="366" t="s">
        <v>231</v>
      </c>
      <c r="C4628" s="348" t="str">
        <f>DATA_PROPERTY_MASTER!$A$19</f>
        <v>BLD_PS</v>
      </c>
      <c r="D4628" s="380">
        <f>'00_PORTFOLIO ROLLUP'!U$12</f>
        <v>2041</v>
      </c>
      <c r="E4628" s="366" t="s">
        <v>1741</v>
      </c>
      <c r="F4628" s="366" t="s">
        <v>1749</v>
      </c>
      <c r="G4628" s="348" t="str">
        <f>"'"&amp;$C4628&amp;"'!rows 56, 63, 68"</f>
        <v>'BLD_PS'!rows 56, 63, 68</v>
      </c>
      <c r="H4628" s="381">
        <f ca="1">IF(IFERROR(INDEX(DATA_PROPERTY_MASTER!$E$5:$E$21,MATCH($C4628,DATA_PROPERTY_MASTER!$A$5:$A$21,0))="Yes",FALSE),(IFERROR(INDEX(INDIRECT("'"&amp;$C4628&amp;"'!$E$56:$Y$56"),1,MATCH($D4628,INDIRECT("'"&amp;$C4628&amp;"'!$E$12:$Y$12"),0)),0)+MAX(IFERROR(INDEX(INDIRECT("'"&amp;$C4628&amp;"'!$E$63:$Y$63"),1,MATCH($D4628,INDIRECT("'"&amp;$C4628&amp;"'!$E$12:$Y$12"),0)),0),0))-(IFERROR(INDEX(INDIRECT("'"&amp;$C4628&amp;"'!$E$68:$Y$68"),1,MATCH($D4628,INDIRECT("'"&amp;$C4628&amp;"'!$E$12:$Y$12"),0)),0)),0)</f>
        <v>0</v>
      </c>
      <c r="I4628" s="366" t="s">
        <v>1750</v>
      </c>
      <c r="J4628" s="348" t="str">
        <f t="shared" ca="1" si="144"/>
        <v>OK</v>
      </c>
      <c r="K4628" s="366" t="s">
        <v>1751</v>
      </c>
      <c r="L4628" s="366" t="s">
        <v>2266</v>
      </c>
      <c r="M4628" s="350" t="str">
        <f>IF($B4628="Portfolio","Portfolio",IFERROR(INDEX(DATA_ASSET_CLASSIFICATION!$B$8:$B$24,MATCH($C4628,DATA_ASSET_CLASSIFICATION!$A$8:$A$24,0)),"Review"))</f>
        <v>450 Pacific Street</v>
      </c>
      <c r="N4628" s="350" t="str">
        <f>IF($B4628="Portfolio","Portfolio",IFERROR(INDEX(DATA_ASSET_CLASSIFICATION!$U$8:$U$24,MATCH($C4628,DATA_ASSET_CLASSIFICATION!$A$8:$A$24,0)),"Review"))</f>
        <v>New Build</v>
      </c>
      <c r="O4628" s="350" t="str">
        <f>IF($B4628="Portfolio","Portfolio",IFERROR(INDEX(DATA_ASSET_CLASSIFICATION!$AB$8:$AB$13,MATCH($N4628,DATA_ASSET_CLASSIFICATION!$AA$8:$AA$13,0)),"Review"))</f>
        <v>Bucket 1 · New Build</v>
      </c>
      <c r="P4628" s="350" t="str">
        <f>IF($B4628="Portfolio","Portfolio",IFERROR(INDEX(DATA_ASSET_CLASSIFICATION!$C$8:$C$24,MATCH($C4628,DATA_ASSET_CLASSIFICATION!$A$8:$A$24,0)),"Review"))</f>
        <v>Yes</v>
      </c>
      <c r="Q4628" s="350" t="str">
        <f t="shared" ca="1" si="145"/>
        <v>OK</v>
      </c>
    </row>
    <row r="4629" spans="1:17" ht="30">
      <c r="A4629" s="366" t="s">
        <v>6585</v>
      </c>
      <c r="B4629" s="366" t="s">
        <v>231</v>
      </c>
      <c r="C4629" s="348" t="str">
        <f>DATA_PROPERTY_MASTER!$A$20</f>
        <v>BLD_PM</v>
      </c>
      <c r="D4629" s="380">
        <f>'00_PORTFOLIO ROLLUP'!E$12</f>
        <v>2025</v>
      </c>
      <c r="E4629" s="366" t="s">
        <v>1683</v>
      </c>
      <c r="F4629" s="366" t="s">
        <v>341</v>
      </c>
      <c r="G4629" s="348" t="str">
        <f>"'"&amp;$C4629&amp;"'!$E$24:$Y$24"</f>
        <v>'BLD_PM'!$E$24:$Y$24</v>
      </c>
      <c r="H4629" s="381">
        <f ca="1">IF(IFERROR(INDEX(DATA_PROPERTY_MASTER!$E$5:$E$21,MATCH($C4629,DATA_PROPERTY_MASTER!$A$5:$A$21,0))="Yes",FALSE),IFERROR(INDEX(INDIRECT("'"&amp;$C4629&amp;"'!$E$24:$Y$24"),1,MATCH($D4629,INDIRECT("'"&amp;$C4629&amp;"'!$E$12:$Y$12"),0)),0),0)</f>
        <v>0</v>
      </c>
      <c r="I4629" s="366" t="s">
        <v>1685</v>
      </c>
      <c r="J4629" s="348" t="str">
        <f t="shared" ca="1" si="144"/>
        <v>OK</v>
      </c>
      <c r="K4629" s="366" t="s">
        <v>1686</v>
      </c>
      <c r="L4629" s="366" t="s">
        <v>2234</v>
      </c>
      <c r="M4629" s="350" t="str">
        <f>IF($B4629="Portfolio","Portfolio",IFERROR(INDEX(DATA_ASSET_CLASSIFICATION!$B$8:$B$24,MATCH($C4629,DATA_ASSET_CLASSIFICATION!$A$8:$A$24,0)),"Review"))</f>
        <v>The Creek, Port Moody</v>
      </c>
      <c r="N4629" s="350" t="str">
        <f>IF($B4629="Portfolio","Portfolio",IFERROR(INDEX(DATA_ASSET_CLASSIFICATION!$U$8:$U$24,MATCH($C4629,DATA_ASSET_CLASSIFICATION!$A$8:$A$24,0)),"Review"))</f>
        <v>New Build</v>
      </c>
      <c r="O4629" s="350" t="str">
        <f>IF($B4629="Portfolio","Portfolio",IFERROR(INDEX(DATA_ASSET_CLASSIFICATION!$AB$8:$AB$13,MATCH($N4629,DATA_ASSET_CLASSIFICATION!$AA$8:$AA$13,0)),"Review"))</f>
        <v>Bucket 1 · New Build</v>
      </c>
      <c r="P4629" s="350" t="str">
        <f>IF($B4629="Portfolio","Portfolio",IFERROR(INDEX(DATA_ASSET_CLASSIFICATION!$C$8:$C$24,MATCH($C4629,DATA_ASSET_CLASSIFICATION!$A$8:$A$24,0)),"Review"))</f>
        <v>Yes</v>
      </c>
      <c r="Q4629" s="350" t="str">
        <f t="shared" ca="1" si="145"/>
        <v>OK</v>
      </c>
    </row>
    <row r="4630" spans="1:17" ht="30">
      <c r="A4630" s="366" t="s">
        <v>6586</v>
      </c>
      <c r="B4630" s="366" t="s">
        <v>231</v>
      </c>
      <c r="C4630" s="348" t="str">
        <f>DATA_PROPERTY_MASTER!$A$20</f>
        <v>BLD_PM</v>
      </c>
      <c r="D4630" s="380">
        <f>'00_PORTFOLIO ROLLUP'!E$12</f>
        <v>2025</v>
      </c>
      <c r="E4630" s="366" t="s">
        <v>1683</v>
      </c>
      <c r="F4630" s="366" t="s">
        <v>355</v>
      </c>
      <c r="G4630" s="348" t="str">
        <f>"'"&amp;$C4630&amp;"'!$E$39:$Y$39"</f>
        <v>'BLD_PM'!$E$39:$Y$39</v>
      </c>
      <c r="H4630" s="381">
        <f ca="1">IF(IFERROR(INDEX(DATA_PROPERTY_MASTER!$E$5:$E$21,MATCH($C4630,DATA_PROPERTY_MASTER!$A$5:$A$21,0))="Yes",FALSE),IFERROR(INDEX(INDIRECT("'"&amp;$C4630&amp;"'!$E$39:$Y$39"),1,MATCH($D4630,INDIRECT("'"&amp;$C4630&amp;"'!$E$12:$Y$12"),0)),0),0)</f>
        <v>0</v>
      </c>
      <c r="I4630" s="366" t="s">
        <v>1690</v>
      </c>
      <c r="J4630" s="348" t="str">
        <f t="shared" ca="1" si="144"/>
        <v>OK</v>
      </c>
      <c r="K4630" s="366" t="s">
        <v>1686</v>
      </c>
      <c r="L4630" s="366" t="s">
        <v>2236</v>
      </c>
      <c r="M4630" s="350" t="str">
        <f>IF($B4630="Portfolio","Portfolio",IFERROR(INDEX(DATA_ASSET_CLASSIFICATION!$B$8:$B$24,MATCH($C4630,DATA_ASSET_CLASSIFICATION!$A$8:$A$24,0)),"Review"))</f>
        <v>The Creek, Port Moody</v>
      </c>
      <c r="N4630" s="350" t="str">
        <f>IF($B4630="Portfolio","Portfolio",IFERROR(INDEX(DATA_ASSET_CLASSIFICATION!$U$8:$U$24,MATCH($C4630,DATA_ASSET_CLASSIFICATION!$A$8:$A$24,0)),"Review"))</f>
        <v>New Build</v>
      </c>
      <c r="O4630" s="350" t="str">
        <f>IF($B4630="Portfolio","Portfolio",IFERROR(INDEX(DATA_ASSET_CLASSIFICATION!$AB$8:$AB$13,MATCH($N4630,DATA_ASSET_CLASSIFICATION!$AA$8:$AA$13,0)),"Review"))</f>
        <v>Bucket 1 · New Build</v>
      </c>
      <c r="P4630" s="350" t="str">
        <f>IF($B4630="Portfolio","Portfolio",IFERROR(INDEX(DATA_ASSET_CLASSIFICATION!$C$8:$C$24,MATCH($C4630,DATA_ASSET_CLASSIFICATION!$A$8:$A$24,0)),"Review"))</f>
        <v>Yes</v>
      </c>
      <c r="Q4630" s="350" t="str">
        <f t="shared" ca="1" si="145"/>
        <v>OK</v>
      </c>
    </row>
    <row r="4631" spans="1:17" ht="30">
      <c r="A4631" s="366" t="s">
        <v>6587</v>
      </c>
      <c r="B4631" s="366" t="s">
        <v>231</v>
      </c>
      <c r="C4631" s="348" t="str">
        <f>DATA_PROPERTY_MASTER!$A$20</f>
        <v>BLD_PM</v>
      </c>
      <c r="D4631" s="380">
        <f>'00_PORTFOLIO ROLLUP'!E$12</f>
        <v>2025</v>
      </c>
      <c r="E4631" s="366" t="s">
        <v>1683</v>
      </c>
      <c r="F4631" s="366" t="s">
        <v>19</v>
      </c>
      <c r="G4631" s="348" t="str">
        <f>"'"&amp;$C4631&amp;"'!$E$41:$Y$41"</f>
        <v>'BLD_PM'!$E$41:$Y$41</v>
      </c>
      <c r="H4631" s="381">
        <f ca="1">IF(IFERROR(INDEX(DATA_PROPERTY_MASTER!$E$5:$E$21,MATCH($C4631,DATA_PROPERTY_MASTER!$A$5:$A$21,0))="Yes",FALSE),IFERROR(INDEX(INDIRECT("'"&amp;$C4631&amp;"'!$E$41:$Y$41"),1,MATCH($D4631,INDIRECT("'"&amp;$C4631&amp;"'!$E$12:$Y$12"),0)),0),0)</f>
        <v>0</v>
      </c>
      <c r="I4631" s="366" t="s">
        <v>1685</v>
      </c>
      <c r="J4631" s="348" t="str">
        <f t="shared" ca="1" si="144"/>
        <v>OK</v>
      </c>
      <c r="K4631" s="366" t="s">
        <v>1694</v>
      </c>
      <c r="L4631" s="366" t="s">
        <v>2238</v>
      </c>
      <c r="M4631" s="350" t="str">
        <f>IF($B4631="Portfolio","Portfolio",IFERROR(INDEX(DATA_ASSET_CLASSIFICATION!$B$8:$B$24,MATCH($C4631,DATA_ASSET_CLASSIFICATION!$A$8:$A$24,0)),"Review"))</f>
        <v>The Creek, Port Moody</v>
      </c>
      <c r="N4631" s="350" t="str">
        <f>IF($B4631="Portfolio","Portfolio",IFERROR(INDEX(DATA_ASSET_CLASSIFICATION!$U$8:$U$24,MATCH($C4631,DATA_ASSET_CLASSIFICATION!$A$8:$A$24,0)),"Review"))</f>
        <v>New Build</v>
      </c>
      <c r="O4631" s="350" t="str">
        <f>IF($B4631="Portfolio","Portfolio",IFERROR(INDEX(DATA_ASSET_CLASSIFICATION!$AB$8:$AB$13,MATCH($N4631,DATA_ASSET_CLASSIFICATION!$AA$8:$AA$13,0)),"Review"))</f>
        <v>Bucket 1 · New Build</v>
      </c>
      <c r="P4631" s="350" t="str">
        <f>IF($B4631="Portfolio","Portfolio",IFERROR(INDEX(DATA_ASSET_CLASSIFICATION!$C$8:$C$24,MATCH($C4631,DATA_ASSET_CLASSIFICATION!$A$8:$A$24,0)),"Review"))</f>
        <v>Yes</v>
      </c>
      <c r="Q4631" s="350" t="str">
        <f t="shared" ca="1" si="145"/>
        <v>OK</v>
      </c>
    </row>
    <row r="4632" spans="1:17" ht="30">
      <c r="A4632" s="366" t="s">
        <v>6588</v>
      </c>
      <c r="B4632" s="366" t="s">
        <v>231</v>
      </c>
      <c r="C4632" s="348" t="str">
        <f>DATA_PROPERTY_MASTER!$A$20</f>
        <v>BLD_PM</v>
      </c>
      <c r="D4632" s="380">
        <f>'00_PORTFOLIO ROLLUP'!E$12</f>
        <v>2025</v>
      </c>
      <c r="E4632" s="366" t="s">
        <v>1683</v>
      </c>
      <c r="F4632" s="366" t="s">
        <v>1697</v>
      </c>
      <c r="G4632" s="348" t="str">
        <f>"'"&amp;$C4632&amp;"'!$E$44:$Y$44"</f>
        <v>'BLD_PM'!$E$44:$Y$44</v>
      </c>
      <c r="H4632" s="381">
        <f ca="1">IF(IFERROR(INDEX(DATA_PROPERTY_MASTER!$E$5:$E$21,MATCH($C4632,DATA_PROPERTY_MASTER!$A$5:$A$21,0))="Yes",FALSE),IFERROR(INDEX(INDIRECT("'"&amp;$C4632&amp;"'!$E$44:$Y$44"),1,MATCH($D4632,INDIRECT("'"&amp;$C4632&amp;"'!$E$12:$Y$12"),0)),0),0)</f>
        <v>0</v>
      </c>
      <c r="I4632" s="366" t="s">
        <v>1690</v>
      </c>
      <c r="J4632" s="348" t="str">
        <f t="shared" ca="1" si="144"/>
        <v>OK</v>
      </c>
      <c r="K4632" s="366" t="s">
        <v>1699</v>
      </c>
      <c r="L4632" s="366" t="s">
        <v>2240</v>
      </c>
      <c r="M4632" s="350" t="str">
        <f>IF($B4632="Portfolio","Portfolio",IFERROR(INDEX(DATA_ASSET_CLASSIFICATION!$B$8:$B$24,MATCH($C4632,DATA_ASSET_CLASSIFICATION!$A$8:$A$24,0)),"Review"))</f>
        <v>The Creek, Port Moody</v>
      </c>
      <c r="N4632" s="350" t="str">
        <f>IF($B4632="Portfolio","Portfolio",IFERROR(INDEX(DATA_ASSET_CLASSIFICATION!$U$8:$U$24,MATCH($C4632,DATA_ASSET_CLASSIFICATION!$A$8:$A$24,0)),"Review"))</f>
        <v>New Build</v>
      </c>
      <c r="O4632" s="350" t="str">
        <f>IF($B4632="Portfolio","Portfolio",IFERROR(INDEX(DATA_ASSET_CLASSIFICATION!$AB$8:$AB$13,MATCH($N4632,DATA_ASSET_CLASSIFICATION!$AA$8:$AA$13,0)),"Review"))</f>
        <v>Bucket 1 · New Build</v>
      </c>
      <c r="P4632" s="350" t="str">
        <f>IF($B4632="Portfolio","Portfolio",IFERROR(INDEX(DATA_ASSET_CLASSIFICATION!$C$8:$C$24,MATCH($C4632,DATA_ASSET_CLASSIFICATION!$A$8:$A$24,0)),"Review"))</f>
        <v>Yes</v>
      </c>
      <c r="Q4632" s="350" t="str">
        <f t="shared" ca="1" si="145"/>
        <v>OK</v>
      </c>
    </row>
    <row r="4633" spans="1:17" ht="30">
      <c r="A4633" s="366" t="s">
        <v>6589</v>
      </c>
      <c r="B4633" s="366" t="s">
        <v>231</v>
      </c>
      <c r="C4633" s="348" t="str">
        <f>DATA_PROPERTY_MASTER!$A$20</f>
        <v>BLD_PM</v>
      </c>
      <c r="D4633" s="380">
        <f>'00_PORTFOLIO ROLLUP'!E$12</f>
        <v>2025</v>
      </c>
      <c r="E4633" s="366" t="s">
        <v>1683</v>
      </c>
      <c r="F4633" s="366" t="s">
        <v>21</v>
      </c>
      <c r="G4633" s="348" t="str">
        <f>"'"&amp;$C4633&amp;"'!$E$45:$Y$45"</f>
        <v>'BLD_PM'!$E$45:$Y$45</v>
      </c>
      <c r="H4633" s="381">
        <f ca="1">IF(IFERROR(INDEX(DATA_PROPERTY_MASTER!$E$5:$E$21,MATCH($C4633,DATA_PROPERTY_MASTER!$A$5:$A$21,0))="Yes",FALSE),IFERROR(INDEX(INDIRECT("'"&amp;$C4633&amp;"'!$E$45:$Y$45"),1,MATCH($D4633,INDIRECT("'"&amp;$C4633&amp;"'!$E$12:$Y$12"),0)),0),0)</f>
        <v>0</v>
      </c>
      <c r="I4633" s="366" t="s">
        <v>1685</v>
      </c>
      <c r="J4633" s="348" t="str">
        <f t="shared" ca="1" si="144"/>
        <v>OK</v>
      </c>
      <c r="K4633" s="366" t="s">
        <v>1694</v>
      </c>
      <c r="L4633" s="366" t="s">
        <v>2242</v>
      </c>
      <c r="M4633" s="350" t="str">
        <f>IF($B4633="Portfolio","Portfolio",IFERROR(INDEX(DATA_ASSET_CLASSIFICATION!$B$8:$B$24,MATCH($C4633,DATA_ASSET_CLASSIFICATION!$A$8:$A$24,0)),"Review"))</f>
        <v>The Creek, Port Moody</v>
      </c>
      <c r="N4633" s="350" t="str">
        <f>IF($B4633="Portfolio","Portfolio",IFERROR(INDEX(DATA_ASSET_CLASSIFICATION!$U$8:$U$24,MATCH($C4633,DATA_ASSET_CLASSIFICATION!$A$8:$A$24,0)),"Review"))</f>
        <v>New Build</v>
      </c>
      <c r="O4633" s="350" t="str">
        <f>IF($B4633="Portfolio","Portfolio",IFERROR(INDEX(DATA_ASSET_CLASSIFICATION!$AB$8:$AB$13,MATCH($N4633,DATA_ASSET_CLASSIFICATION!$AA$8:$AA$13,0)),"Review"))</f>
        <v>Bucket 1 · New Build</v>
      </c>
      <c r="P4633" s="350" t="str">
        <f>IF($B4633="Portfolio","Portfolio",IFERROR(INDEX(DATA_ASSET_CLASSIFICATION!$C$8:$C$24,MATCH($C4633,DATA_ASSET_CLASSIFICATION!$A$8:$A$24,0)),"Review"))</f>
        <v>Yes</v>
      </c>
      <c r="Q4633" s="350" t="str">
        <f t="shared" ca="1" si="145"/>
        <v>OK</v>
      </c>
    </row>
    <row r="4634" spans="1:17" ht="30">
      <c r="A4634" s="366" t="s">
        <v>6590</v>
      </c>
      <c r="B4634" s="366" t="s">
        <v>231</v>
      </c>
      <c r="C4634" s="348" t="str">
        <f>DATA_PROPERTY_MASTER!$A$20</f>
        <v>BLD_PM</v>
      </c>
      <c r="D4634" s="380">
        <f>'00_PORTFOLIO ROLLUP'!E$12</f>
        <v>2025</v>
      </c>
      <c r="E4634" s="366" t="s">
        <v>23</v>
      </c>
      <c r="F4634" s="366" t="s">
        <v>23</v>
      </c>
      <c r="G4634" s="348" t="str">
        <f>"'"&amp;$C4634&amp;"'!$E$48:$Y$48"</f>
        <v>'BLD_PM'!$E$48:$Y$48</v>
      </c>
      <c r="H4634" s="381">
        <f ca="1">IF(IFERROR(INDEX(DATA_PROPERTY_MASTER!$E$5:$E$21,MATCH($C4634,DATA_PROPERTY_MASTER!$A$5:$A$21,0))="Yes",FALSE),IFERROR(INDEX(INDIRECT("'"&amp;$C4634&amp;"'!$E$48:$Y$48"),1,MATCH($D4634,INDIRECT("'"&amp;$C4634&amp;"'!$E$12:$Y$12"),0)),0),0)</f>
        <v>7166391.2775474079</v>
      </c>
      <c r="I4634" s="366" t="s">
        <v>1690</v>
      </c>
      <c r="J4634" s="348" t="str">
        <f t="shared" ca="1" si="144"/>
        <v>OK</v>
      </c>
      <c r="K4634" s="366" t="s">
        <v>1706</v>
      </c>
      <c r="L4634" s="366" t="s">
        <v>2244</v>
      </c>
      <c r="M4634" s="350" t="str">
        <f>IF($B4634="Portfolio","Portfolio",IFERROR(INDEX(DATA_ASSET_CLASSIFICATION!$B$8:$B$24,MATCH($C4634,DATA_ASSET_CLASSIFICATION!$A$8:$A$24,0)),"Review"))</f>
        <v>The Creek, Port Moody</v>
      </c>
      <c r="N4634" s="350" t="str">
        <f>IF($B4634="Portfolio","Portfolio",IFERROR(INDEX(DATA_ASSET_CLASSIFICATION!$U$8:$U$24,MATCH($C4634,DATA_ASSET_CLASSIFICATION!$A$8:$A$24,0)),"Review"))</f>
        <v>New Build</v>
      </c>
      <c r="O4634" s="350" t="str">
        <f>IF($B4634="Portfolio","Portfolio",IFERROR(INDEX(DATA_ASSET_CLASSIFICATION!$AB$8:$AB$13,MATCH($N4634,DATA_ASSET_CLASSIFICATION!$AA$8:$AA$13,0)),"Review"))</f>
        <v>Bucket 1 · New Build</v>
      </c>
      <c r="P4634" s="350" t="str">
        <f>IF($B4634="Portfolio","Portfolio",IFERROR(INDEX(DATA_ASSET_CLASSIFICATION!$C$8:$C$24,MATCH($C4634,DATA_ASSET_CLASSIFICATION!$A$8:$A$24,0)),"Review"))</f>
        <v>Yes</v>
      </c>
      <c r="Q4634" s="350" t="str">
        <f t="shared" ca="1" si="145"/>
        <v>OK</v>
      </c>
    </row>
    <row r="4635" spans="1:17" ht="30">
      <c r="A4635" s="366" t="s">
        <v>6591</v>
      </c>
      <c r="B4635" s="366" t="s">
        <v>231</v>
      </c>
      <c r="C4635" s="348" t="str">
        <f>DATA_PROPERTY_MASTER!$A$20</f>
        <v>BLD_PM</v>
      </c>
      <c r="D4635" s="380">
        <f>'00_PORTFOLIO ROLLUP'!E$12</f>
        <v>2025</v>
      </c>
      <c r="E4635" s="366" t="s">
        <v>1683</v>
      </c>
      <c r="F4635" s="366" t="s">
        <v>25</v>
      </c>
      <c r="G4635" s="348" t="str">
        <f>"'"&amp;$C4635&amp;"'!$E$52:$Y$52"</f>
        <v>'BLD_PM'!$E$52:$Y$52</v>
      </c>
      <c r="H4635" s="381">
        <f ca="1">IF(IFERROR(INDEX(DATA_PROPERTY_MASTER!$E$5:$E$21,MATCH($C4635,DATA_PROPERTY_MASTER!$A$5:$A$21,0))="Yes",FALSE),IFERROR(INDEX(INDIRECT("'"&amp;$C4635&amp;"'!$E$52:$Y$52"),1,MATCH($D4635,INDIRECT("'"&amp;$C4635&amp;"'!$E$12:$Y$12"),0)),0),0)</f>
        <v>-7166391.2775474079</v>
      </c>
      <c r="I4635" s="366" t="s">
        <v>1685</v>
      </c>
      <c r="J4635" s="348" t="str">
        <f t="shared" ca="1" si="144"/>
        <v>OK</v>
      </c>
      <c r="K4635" s="366" t="s">
        <v>1710</v>
      </c>
      <c r="L4635" s="366" t="s">
        <v>2246</v>
      </c>
      <c r="M4635" s="350" t="str">
        <f>IF($B4635="Portfolio","Portfolio",IFERROR(INDEX(DATA_ASSET_CLASSIFICATION!$B$8:$B$24,MATCH($C4635,DATA_ASSET_CLASSIFICATION!$A$8:$A$24,0)),"Review"))</f>
        <v>The Creek, Port Moody</v>
      </c>
      <c r="N4635" s="350" t="str">
        <f>IF($B4635="Portfolio","Portfolio",IFERROR(INDEX(DATA_ASSET_CLASSIFICATION!$U$8:$U$24,MATCH($C4635,DATA_ASSET_CLASSIFICATION!$A$8:$A$24,0)),"Review"))</f>
        <v>New Build</v>
      </c>
      <c r="O4635" s="350" t="str">
        <f>IF($B4635="Portfolio","Portfolio",IFERROR(INDEX(DATA_ASSET_CLASSIFICATION!$AB$8:$AB$13,MATCH($N4635,DATA_ASSET_CLASSIFICATION!$AA$8:$AA$13,0)),"Review"))</f>
        <v>Bucket 1 · New Build</v>
      </c>
      <c r="P4635" s="350" t="str">
        <f>IF($B4635="Portfolio","Portfolio",IFERROR(INDEX(DATA_ASSET_CLASSIFICATION!$C$8:$C$24,MATCH($C4635,DATA_ASSET_CLASSIFICATION!$A$8:$A$24,0)),"Review"))</f>
        <v>Yes</v>
      </c>
      <c r="Q4635" s="350" t="str">
        <f t="shared" ca="1" si="145"/>
        <v>OK</v>
      </c>
    </row>
    <row r="4636" spans="1:17" ht="30">
      <c r="A4636" s="366" t="s">
        <v>6592</v>
      </c>
      <c r="B4636" s="366" t="s">
        <v>231</v>
      </c>
      <c r="C4636" s="348" t="str">
        <f>DATA_PROPERTY_MASTER!$A$20</f>
        <v>BLD_PM</v>
      </c>
      <c r="D4636" s="380">
        <f>'00_PORTFOLIO ROLLUP'!E$12</f>
        <v>2025</v>
      </c>
      <c r="E4636" s="366" t="s">
        <v>1683</v>
      </c>
      <c r="F4636" s="366" t="s">
        <v>27</v>
      </c>
      <c r="G4636" s="348" t="str">
        <f>"'"&amp;$C4636&amp;"'!$E$54:$Y$54"</f>
        <v>'BLD_PM'!$E$54:$Y$54</v>
      </c>
      <c r="H4636" s="381">
        <f ca="1">IF(IFERROR(INDEX(DATA_PROPERTY_MASTER!$E$5:$E$21,MATCH($C4636,DATA_PROPERTY_MASTER!$A$5:$A$21,0))="Yes",FALSE),IFERROR(INDEX(INDIRECT("'"&amp;$C4636&amp;"'!$E$54:$Y$54"),1,MATCH($D4636,INDIRECT("'"&amp;$C4636&amp;"'!$E$12:$Y$12"),0)),0),0)</f>
        <v>0</v>
      </c>
      <c r="I4636" s="366" t="s">
        <v>1690</v>
      </c>
      <c r="J4636" s="348" t="str">
        <f t="shared" ca="1" si="144"/>
        <v>OK</v>
      </c>
      <c r="K4636" s="366" t="s">
        <v>1714</v>
      </c>
      <c r="L4636" s="366" t="s">
        <v>2248</v>
      </c>
      <c r="M4636" s="350" t="str">
        <f>IF($B4636="Portfolio","Portfolio",IFERROR(INDEX(DATA_ASSET_CLASSIFICATION!$B$8:$B$24,MATCH($C4636,DATA_ASSET_CLASSIFICATION!$A$8:$A$24,0)),"Review"))</f>
        <v>The Creek, Port Moody</v>
      </c>
      <c r="N4636" s="350" t="str">
        <f>IF($B4636="Portfolio","Portfolio",IFERROR(INDEX(DATA_ASSET_CLASSIFICATION!$U$8:$U$24,MATCH($C4636,DATA_ASSET_CLASSIFICATION!$A$8:$A$24,0)),"Review"))</f>
        <v>New Build</v>
      </c>
      <c r="O4636" s="350" t="str">
        <f>IF($B4636="Portfolio","Portfolio",IFERROR(INDEX(DATA_ASSET_CLASSIFICATION!$AB$8:$AB$13,MATCH($N4636,DATA_ASSET_CLASSIFICATION!$AA$8:$AA$13,0)),"Review"))</f>
        <v>Bucket 1 · New Build</v>
      </c>
      <c r="P4636" s="350" t="str">
        <f>IF($B4636="Portfolio","Portfolio",IFERROR(INDEX(DATA_ASSET_CLASSIFICATION!$C$8:$C$24,MATCH($C4636,DATA_ASSET_CLASSIFICATION!$A$8:$A$24,0)),"Review"))</f>
        <v>Yes</v>
      </c>
      <c r="Q4636" s="350" t="str">
        <f t="shared" ca="1" si="145"/>
        <v>OK</v>
      </c>
    </row>
    <row r="4637" spans="1:17" ht="30">
      <c r="A4637" s="366" t="s">
        <v>6593</v>
      </c>
      <c r="B4637" s="366" t="s">
        <v>231</v>
      </c>
      <c r="C4637" s="348" t="str">
        <f>DATA_PROPERTY_MASTER!$A$20</f>
        <v>BLD_PM</v>
      </c>
      <c r="D4637" s="380">
        <f>'00_PORTFOLIO ROLLUP'!E$12</f>
        <v>2025</v>
      </c>
      <c r="E4637" s="366" t="s">
        <v>1683</v>
      </c>
      <c r="F4637" s="366" t="s">
        <v>29</v>
      </c>
      <c r="G4637" s="348" t="str">
        <f>"'"&amp;$C4637&amp;"'!$E$56:$Y$56"</f>
        <v>'BLD_PM'!$E$56:$Y$56</v>
      </c>
      <c r="H4637" s="381">
        <f ca="1">IF(IFERROR(INDEX(DATA_PROPERTY_MASTER!$E$5:$E$21,MATCH($C4637,DATA_PROPERTY_MASTER!$A$5:$A$21,0))="Yes",FALSE),IFERROR(INDEX(INDIRECT("'"&amp;$C4637&amp;"'!$E$56:$Y$56"),1,MATCH($D4637,INDIRECT("'"&amp;$C4637&amp;"'!$E$12:$Y$12"),0)),0),0)</f>
        <v>-7166391.2775474079</v>
      </c>
      <c r="I4637" s="366" t="s">
        <v>1685</v>
      </c>
      <c r="J4637" s="348" t="str">
        <f t="shared" ca="1" si="144"/>
        <v>OK</v>
      </c>
      <c r="K4637" s="366" t="s">
        <v>1718</v>
      </c>
      <c r="L4637" s="366" t="s">
        <v>2250</v>
      </c>
      <c r="M4637" s="350" t="str">
        <f>IF($B4637="Portfolio","Portfolio",IFERROR(INDEX(DATA_ASSET_CLASSIFICATION!$B$8:$B$24,MATCH($C4637,DATA_ASSET_CLASSIFICATION!$A$8:$A$24,0)),"Review"))</f>
        <v>The Creek, Port Moody</v>
      </c>
      <c r="N4637" s="350" t="str">
        <f>IF($B4637="Portfolio","Portfolio",IFERROR(INDEX(DATA_ASSET_CLASSIFICATION!$U$8:$U$24,MATCH($C4637,DATA_ASSET_CLASSIFICATION!$A$8:$A$24,0)),"Review"))</f>
        <v>New Build</v>
      </c>
      <c r="O4637" s="350" t="str">
        <f>IF($B4637="Portfolio","Portfolio",IFERROR(INDEX(DATA_ASSET_CLASSIFICATION!$AB$8:$AB$13,MATCH($N4637,DATA_ASSET_CLASSIFICATION!$AA$8:$AA$13,0)),"Review"))</f>
        <v>Bucket 1 · New Build</v>
      </c>
      <c r="P4637" s="350" t="str">
        <f>IF($B4637="Portfolio","Portfolio",IFERROR(INDEX(DATA_ASSET_CLASSIFICATION!$C$8:$C$24,MATCH($C4637,DATA_ASSET_CLASSIFICATION!$A$8:$A$24,0)),"Review"))</f>
        <v>Yes</v>
      </c>
      <c r="Q4637" s="350" t="str">
        <f t="shared" ca="1" si="145"/>
        <v>OK</v>
      </c>
    </row>
    <row r="4638" spans="1:17" ht="30">
      <c r="A4638" s="366" t="s">
        <v>6594</v>
      </c>
      <c r="B4638" s="366" t="s">
        <v>231</v>
      </c>
      <c r="C4638" s="348" t="str">
        <f>DATA_PROPERTY_MASTER!$A$20</f>
        <v>BLD_PM</v>
      </c>
      <c r="D4638" s="380">
        <f>'00_PORTFOLIO ROLLUP'!E$12</f>
        <v>2025</v>
      </c>
      <c r="E4638" s="366" t="s">
        <v>1721</v>
      </c>
      <c r="F4638" s="366" t="s">
        <v>31</v>
      </c>
      <c r="G4638" s="348" t="str">
        <f>"'"&amp;$C4638&amp;"'!$E$61:$Y$61"</f>
        <v>'BLD_PM'!$E$61:$Y$61</v>
      </c>
      <c r="H4638" s="381">
        <f ca="1">IF(IFERROR(INDEX(DATA_PROPERTY_MASTER!$E$5:$E$21,MATCH($C4638,DATA_PROPERTY_MASTER!$A$5:$A$21,0))="Yes",FALSE),IFERROR(INDEX(INDIRECT("'"&amp;$C4638&amp;"'!$E$61:$Y$61"),1,MATCH($D4638,INDIRECT("'"&amp;$C4638&amp;"'!$E$12:$Y$12"),0)),0),0)</f>
        <v>0</v>
      </c>
      <c r="I4638" s="366" t="s">
        <v>1690</v>
      </c>
      <c r="J4638" s="348" t="str">
        <f t="shared" ca="1" si="144"/>
        <v>OK</v>
      </c>
      <c r="K4638" s="366" t="s">
        <v>1723</v>
      </c>
      <c r="L4638" s="366" t="s">
        <v>2252</v>
      </c>
      <c r="M4638" s="350" t="str">
        <f>IF($B4638="Portfolio","Portfolio",IFERROR(INDEX(DATA_ASSET_CLASSIFICATION!$B$8:$B$24,MATCH($C4638,DATA_ASSET_CLASSIFICATION!$A$8:$A$24,0)),"Review"))</f>
        <v>The Creek, Port Moody</v>
      </c>
      <c r="N4638" s="350" t="str">
        <f>IF($B4638="Portfolio","Portfolio",IFERROR(INDEX(DATA_ASSET_CLASSIFICATION!$U$8:$U$24,MATCH($C4638,DATA_ASSET_CLASSIFICATION!$A$8:$A$24,0)),"Review"))</f>
        <v>New Build</v>
      </c>
      <c r="O4638" s="350" t="str">
        <f>IF($B4638="Portfolio","Portfolio",IFERROR(INDEX(DATA_ASSET_CLASSIFICATION!$AB$8:$AB$13,MATCH($N4638,DATA_ASSET_CLASSIFICATION!$AA$8:$AA$13,0)),"Review"))</f>
        <v>Bucket 1 · New Build</v>
      </c>
      <c r="P4638" s="350" t="str">
        <f>IF($B4638="Portfolio","Portfolio",IFERROR(INDEX(DATA_ASSET_CLASSIFICATION!$C$8:$C$24,MATCH($C4638,DATA_ASSET_CLASSIFICATION!$A$8:$A$24,0)),"Review"))</f>
        <v>Yes</v>
      </c>
      <c r="Q4638" s="350" t="str">
        <f t="shared" ca="1" si="145"/>
        <v>OK</v>
      </c>
    </row>
    <row r="4639" spans="1:17" ht="30">
      <c r="A4639" s="366" t="s">
        <v>6595</v>
      </c>
      <c r="B4639" s="366" t="s">
        <v>231</v>
      </c>
      <c r="C4639" s="348" t="str">
        <f>DATA_PROPERTY_MASTER!$A$20</f>
        <v>BLD_PM</v>
      </c>
      <c r="D4639" s="380">
        <f>'00_PORTFOLIO ROLLUP'!E$12</f>
        <v>2025</v>
      </c>
      <c r="E4639" s="366" t="s">
        <v>1721</v>
      </c>
      <c r="F4639" s="366" t="s">
        <v>33</v>
      </c>
      <c r="G4639" s="348" t="str">
        <f>"'"&amp;$C4639&amp;"'!$E$62:$Y$62"</f>
        <v>'BLD_PM'!$E$62:$Y$62</v>
      </c>
      <c r="H4639" s="381">
        <f ca="1">IF(IFERROR(INDEX(DATA_PROPERTY_MASTER!$E$5:$E$21,MATCH($C4639,DATA_PROPERTY_MASTER!$A$5:$A$21,0))="Yes",FALSE),IFERROR(INDEX(INDIRECT("'"&amp;$C4639&amp;"'!$E$62:$Y$62"),1,MATCH($D4639,INDIRECT("'"&amp;$C4639&amp;"'!$E$12:$Y$12"),0)),0),0)</f>
        <v>0</v>
      </c>
      <c r="I4639" s="366" t="s">
        <v>1685</v>
      </c>
      <c r="J4639" s="348" t="str">
        <f t="shared" ca="1" si="144"/>
        <v>OK</v>
      </c>
      <c r="K4639" s="366" t="s">
        <v>1727</v>
      </c>
      <c r="L4639" s="366" t="s">
        <v>2254</v>
      </c>
      <c r="M4639" s="350" t="str">
        <f>IF($B4639="Portfolio","Portfolio",IFERROR(INDEX(DATA_ASSET_CLASSIFICATION!$B$8:$B$24,MATCH($C4639,DATA_ASSET_CLASSIFICATION!$A$8:$A$24,0)),"Review"))</f>
        <v>The Creek, Port Moody</v>
      </c>
      <c r="N4639" s="350" t="str">
        <f>IF($B4639="Portfolio","Portfolio",IFERROR(INDEX(DATA_ASSET_CLASSIFICATION!$U$8:$U$24,MATCH($C4639,DATA_ASSET_CLASSIFICATION!$A$8:$A$24,0)),"Review"))</f>
        <v>New Build</v>
      </c>
      <c r="O4639" s="350" t="str">
        <f>IF($B4639="Portfolio","Portfolio",IFERROR(INDEX(DATA_ASSET_CLASSIFICATION!$AB$8:$AB$13,MATCH($N4639,DATA_ASSET_CLASSIFICATION!$AA$8:$AA$13,0)),"Review"))</f>
        <v>Bucket 1 · New Build</v>
      </c>
      <c r="P4639" s="350" t="str">
        <f>IF($B4639="Portfolio","Portfolio",IFERROR(INDEX(DATA_ASSET_CLASSIFICATION!$C$8:$C$24,MATCH($C4639,DATA_ASSET_CLASSIFICATION!$A$8:$A$24,0)),"Review"))</f>
        <v>Yes</v>
      </c>
      <c r="Q4639" s="350" t="str">
        <f t="shared" ca="1" si="145"/>
        <v>OK</v>
      </c>
    </row>
    <row r="4640" spans="1:17" ht="30">
      <c r="A4640" s="366" t="s">
        <v>6596</v>
      </c>
      <c r="B4640" s="366" t="s">
        <v>231</v>
      </c>
      <c r="C4640" s="348" t="str">
        <f>DATA_PROPERTY_MASTER!$A$20</f>
        <v>BLD_PM</v>
      </c>
      <c r="D4640" s="380">
        <f>'00_PORTFOLIO ROLLUP'!E$12</f>
        <v>2025</v>
      </c>
      <c r="E4640" s="366" t="s">
        <v>1721</v>
      </c>
      <c r="F4640" s="366" t="s">
        <v>35</v>
      </c>
      <c r="G4640" s="348" t="str">
        <f>"'"&amp;$C4640&amp;"'!$E$63:$Y$63"</f>
        <v>'BLD_PM'!$E$63:$Y$63</v>
      </c>
      <c r="H4640" s="381">
        <f ca="1">IF(IFERROR(INDEX(DATA_PROPERTY_MASTER!$E$5:$E$21,MATCH($C4640,DATA_PROPERTY_MASTER!$A$5:$A$21,0))="Yes",FALSE),IFERROR(INDEX(INDIRECT("'"&amp;$C4640&amp;"'!$E$63:$Y$63"),1,MATCH($D4640,INDIRECT("'"&amp;$C4640&amp;"'!$E$12:$Y$12"),0)),0),0)</f>
        <v>0</v>
      </c>
      <c r="I4640" s="366" t="s">
        <v>1731</v>
      </c>
      <c r="J4640" s="348" t="str">
        <f t="shared" ca="1" si="144"/>
        <v>OK</v>
      </c>
      <c r="K4640" s="366" t="s">
        <v>1732</v>
      </c>
      <c r="L4640" s="366" t="s">
        <v>2256</v>
      </c>
      <c r="M4640" s="350" t="str">
        <f>IF($B4640="Portfolio","Portfolio",IFERROR(INDEX(DATA_ASSET_CLASSIFICATION!$B$8:$B$24,MATCH($C4640,DATA_ASSET_CLASSIFICATION!$A$8:$A$24,0)),"Review"))</f>
        <v>The Creek, Port Moody</v>
      </c>
      <c r="N4640" s="350" t="str">
        <f>IF($B4640="Portfolio","Portfolio",IFERROR(INDEX(DATA_ASSET_CLASSIFICATION!$U$8:$U$24,MATCH($C4640,DATA_ASSET_CLASSIFICATION!$A$8:$A$24,0)),"Review"))</f>
        <v>New Build</v>
      </c>
      <c r="O4640" s="350" t="str">
        <f>IF($B4640="Portfolio","Portfolio",IFERROR(INDEX(DATA_ASSET_CLASSIFICATION!$AB$8:$AB$13,MATCH($N4640,DATA_ASSET_CLASSIFICATION!$AA$8:$AA$13,0)),"Review"))</f>
        <v>Bucket 1 · New Build</v>
      </c>
      <c r="P4640" s="350" t="str">
        <f>IF($B4640="Portfolio","Portfolio",IFERROR(INDEX(DATA_ASSET_CLASSIFICATION!$C$8:$C$24,MATCH($C4640,DATA_ASSET_CLASSIFICATION!$A$8:$A$24,0)),"Review"))</f>
        <v>Yes</v>
      </c>
      <c r="Q4640" s="350" t="str">
        <f t="shared" ca="1" si="145"/>
        <v>OK</v>
      </c>
    </row>
    <row r="4641" spans="1:17" ht="30">
      <c r="A4641" s="366" t="s">
        <v>6597</v>
      </c>
      <c r="B4641" s="366" t="s">
        <v>231</v>
      </c>
      <c r="C4641" s="348" t="str">
        <f>DATA_PROPERTY_MASTER!$A$20</f>
        <v>BLD_PM</v>
      </c>
      <c r="D4641" s="380">
        <f>'00_PORTFOLIO ROLLUP'!E$12</f>
        <v>2025</v>
      </c>
      <c r="E4641" s="366" t="s">
        <v>1721</v>
      </c>
      <c r="F4641" s="366" t="s">
        <v>37</v>
      </c>
      <c r="G4641" s="348" t="str">
        <f>"'"&amp;$C4641&amp;"'!$E$63:$Y$63"</f>
        <v>'BLD_PM'!$E$63:$Y$63</v>
      </c>
      <c r="H4641" s="381">
        <f ca="1">IF(IFERROR(INDEX(DATA_PROPERTY_MASTER!$E$5:$E$21,MATCH($C4641,DATA_PROPERTY_MASTER!$A$5:$A$21,0))="Yes",FALSE),MAX(IFERROR(INDEX(INDIRECT("'"&amp;$C4641&amp;"'!$E$63:$Y$63"),1,MATCH($D4641,INDIRECT("'"&amp;$C4641&amp;"'!$E$12:$Y$12"),0)),0),0),0)</f>
        <v>0</v>
      </c>
      <c r="I4641" s="366" t="s">
        <v>1685</v>
      </c>
      <c r="J4641" s="348" t="str">
        <f t="shared" ca="1" si="144"/>
        <v>OK</v>
      </c>
      <c r="K4641" s="366" t="s">
        <v>1735</v>
      </c>
      <c r="L4641" s="366" t="s">
        <v>2258</v>
      </c>
      <c r="M4641" s="350" t="str">
        <f>IF($B4641="Portfolio","Portfolio",IFERROR(INDEX(DATA_ASSET_CLASSIFICATION!$B$8:$B$24,MATCH($C4641,DATA_ASSET_CLASSIFICATION!$A$8:$A$24,0)),"Review"))</f>
        <v>The Creek, Port Moody</v>
      </c>
      <c r="N4641" s="350" t="str">
        <f>IF($B4641="Portfolio","Portfolio",IFERROR(INDEX(DATA_ASSET_CLASSIFICATION!$U$8:$U$24,MATCH($C4641,DATA_ASSET_CLASSIFICATION!$A$8:$A$24,0)),"Review"))</f>
        <v>New Build</v>
      </c>
      <c r="O4641" s="350" t="str">
        <f>IF($B4641="Portfolio","Portfolio",IFERROR(INDEX(DATA_ASSET_CLASSIFICATION!$AB$8:$AB$13,MATCH($N4641,DATA_ASSET_CLASSIFICATION!$AA$8:$AA$13,0)),"Review"))</f>
        <v>Bucket 1 · New Build</v>
      </c>
      <c r="P4641" s="350" t="str">
        <f>IF($B4641="Portfolio","Portfolio",IFERROR(INDEX(DATA_ASSET_CLASSIFICATION!$C$8:$C$24,MATCH($C4641,DATA_ASSET_CLASSIFICATION!$A$8:$A$24,0)),"Review"))</f>
        <v>Yes</v>
      </c>
      <c r="Q4641" s="350" t="str">
        <f t="shared" ca="1" si="145"/>
        <v>OK</v>
      </c>
    </row>
    <row r="4642" spans="1:17" ht="30">
      <c r="A4642" s="366" t="s">
        <v>6598</v>
      </c>
      <c r="B4642" s="366" t="s">
        <v>231</v>
      </c>
      <c r="C4642" s="348" t="str">
        <f>DATA_PROPERTY_MASTER!$A$20</f>
        <v>BLD_PM</v>
      </c>
      <c r="D4642" s="380">
        <f>'00_PORTFOLIO ROLLUP'!E$12</f>
        <v>2025</v>
      </c>
      <c r="E4642" s="366" t="s">
        <v>1721</v>
      </c>
      <c r="F4642" s="366" t="s">
        <v>39</v>
      </c>
      <c r="G4642" s="348" t="str">
        <f>"'"&amp;$C4642&amp;"'!$E$63:$Y$63"</f>
        <v>'BLD_PM'!$E$63:$Y$63</v>
      </c>
      <c r="H4642" s="381">
        <f ca="1">IF(IFERROR(INDEX(DATA_PROPERTY_MASTER!$E$5:$E$21,MATCH($C4642,DATA_PROPERTY_MASTER!$A$5:$A$21,0))="Yes",FALSE),MAX(-IFERROR(INDEX(INDIRECT("'"&amp;$C4642&amp;"'!$E$63:$Y$63"),1,MATCH($D4642,INDIRECT("'"&amp;$C4642&amp;"'!$E$12:$Y$12"),0)),0),0),0)</f>
        <v>0</v>
      </c>
      <c r="I4642" s="366" t="s">
        <v>1690</v>
      </c>
      <c r="J4642" s="348" t="str">
        <f t="shared" ca="1" si="144"/>
        <v>OK</v>
      </c>
      <c r="K4642" s="366" t="s">
        <v>1738</v>
      </c>
      <c r="L4642" s="366" t="s">
        <v>2260</v>
      </c>
      <c r="M4642" s="350" t="str">
        <f>IF($B4642="Portfolio","Portfolio",IFERROR(INDEX(DATA_ASSET_CLASSIFICATION!$B$8:$B$24,MATCH($C4642,DATA_ASSET_CLASSIFICATION!$A$8:$A$24,0)),"Review"))</f>
        <v>The Creek, Port Moody</v>
      </c>
      <c r="N4642" s="350" t="str">
        <f>IF($B4642="Portfolio","Portfolio",IFERROR(INDEX(DATA_ASSET_CLASSIFICATION!$U$8:$U$24,MATCH($C4642,DATA_ASSET_CLASSIFICATION!$A$8:$A$24,0)),"Review"))</f>
        <v>New Build</v>
      </c>
      <c r="O4642" s="350" t="str">
        <f>IF($B4642="Portfolio","Portfolio",IFERROR(INDEX(DATA_ASSET_CLASSIFICATION!$AB$8:$AB$13,MATCH($N4642,DATA_ASSET_CLASSIFICATION!$AA$8:$AA$13,0)),"Review"))</f>
        <v>Bucket 1 · New Build</v>
      </c>
      <c r="P4642" s="350" t="str">
        <f>IF($B4642="Portfolio","Portfolio",IFERROR(INDEX(DATA_ASSET_CLASSIFICATION!$C$8:$C$24,MATCH($C4642,DATA_ASSET_CLASSIFICATION!$A$8:$A$24,0)),"Review"))</f>
        <v>Yes</v>
      </c>
      <c r="Q4642" s="350" t="str">
        <f t="shared" ca="1" si="145"/>
        <v>OK</v>
      </c>
    </row>
    <row r="4643" spans="1:17" ht="30">
      <c r="A4643" s="366" t="s">
        <v>6599</v>
      </c>
      <c r="B4643" s="366" t="s">
        <v>231</v>
      </c>
      <c r="C4643" s="348" t="str">
        <f>DATA_PROPERTY_MASTER!$A$20</f>
        <v>BLD_PM</v>
      </c>
      <c r="D4643" s="380">
        <f>'00_PORTFOLIO ROLLUP'!E$12</f>
        <v>2025</v>
      </c>
      <c r="E4643" s="366" t="s">
        <v>1741</v>
      </c>
      <c r="F4643" s="366" t="s">
        <v>41</v>
      </c>
      <c r="G4643" s="348" t="str">
        <f>"'"&amp;$C4643&amp;"'!rows 56 + positive row 63"</f>
        <v>'BLD_PM'!rows 56 + positive row 63</v>
      </c>
      <c r="H4643" s="381">
        <f ca="1">IF(IFERROR(INDEX(DATA_PROPERTY_MASTER!$E$5:$E$21,MATCH($C4643,DATA_PROPERTY_MASTER!$A$5:$A$21,0))="Yes",FALSE),IFERROR(INDEX(INDIRECT("'"&amp;$C4643&amp;"'!$E$56:$Y$56"),1,MATCH($D4643,INDIRECT("'"&amp;$C4643&amp;"'!$E$12:$Y$12"),0)),0)+MAX(IFERROR(INDEX(INDIRECT("'"&amp;$C4643&amp;"'!$E$63:$Y$63"),1,MATCH($D4643,INDIRECT("'"&amp;$C4643&amp;"'!$E$12:$Y$12"),0)),0),0),0)</f>
        <v>-7166391.2775474079</v>
      </c>
      <c r="I4643" s="366" t="s">
        <v>1685</v>
      </c>
      <c r="J4643" s="348" t="str">
        <f t="shared" ca="1" si="144"/>
        <v>OK</v>
      </c>
      <c r="K4643" s="366" t="s">
        <v>1742</v>
      </c>
      <c r="L4643" s="366" t="s">
        <v>2262</v>
      </c>
      <c r="M4643" s="350" t="str">
        <f>IF($B4643="Portfolio","Portfolio",IFERROR(INDEX(DATA_ASSET_CLASSIFICATION!$B$8:$B$24,MATCH($C4643,DATA_ASSET_CLASSIFICATION!$A$8:$A$24,0)),"Review"))</f>
        <v>The Creek, Port Moody</v>
      </c>
      <c r="N4643" s="350" t="str">
        <f>IF($B4643="Portfolio","Portfolio",IFERROR(INDEX(DATA_ASSET_CLASSIFICATION!$U$8:$U$24,MATCH($C4643,DATA_ASSET_CLASSIFICATION!$A$8:$A$24,0)),"Review"))</f>
        <v>New Build</v>
      </c>
      <c r="O4643" s="350" t="str">
        <f>IF($B4643="Portfolio","Portfolio",IFERROR(INDEX(DATA_ASSET_CLASSIFICATION!$AB$8:$AB$13,MATCH($N4643,DATA_ASSET_CLASSIFICATION!$AA$8:$AA$13,0)),"Review"))</f>
        <v>Bucket 1 · New Build</v>
      </c>
      <c r="P4643" s="350" t="str">
        <f>IF($B4643="Portfolio","Portfolio",IFERROR(INDEX(DATA_ASSET_CLASSIFICATION!$C$8:$C$24,MATCH($C4643,DATA_ASSET_CLASSIFICATION!$A$8:$A$24,0)),"Review"))</f>
        <v>Yes</v>
      </c>
      <c r="Q4643" s="350" t="str">
        <f t="shared" ca="1" si="145"/>
        <v>OK</v>
      </c>
    </row>
    <row r="4644" spans="1:17" ht="30">
      <c r="A4644" s="366" t="s">
        <v>6600</v>
      </c>
      <c r="B4644" s="366" t="s">
        <v>231</v>
      </c>
      <c r="C4644" s="348" t="str">
        <f>DATA_PROPERTY_MASTER!$A$20</f>
        <v>BLD_PM</v>
      </c>
      <c r="D4644" s="380">
        <f>'00_PORTFOLIO ROLLUP'!E$12</f>
        <v>2025</v>
      </c>
      <c r="E4644" s="366" t="s">
        <v>1741</v>
      </c>
      <c r="F4644" s="366" t="s">
        <v>43</v>
      </c>
      <c r="G4644" s="348" t="str">
        <f>"'"&amp;$C4644&amp;"'!$E$68:$Y$68"</f>
        <v>'BLD_PM'!$E$68:$Y$68</v>
      </c>
      <c r="H4644" s="381">
        <f ca="1">IF(IFERROR(INDEX(DATA_PROPERTY_MASTER!$E$5:$E$21,MATCH($C4644,DATA_PROPERTY_MASTER!$A$5:$A$21,0))="Yes",FALSE),IFERROR(INDEX(INDIRECT("'"&amp;$C4644&amp;"'!$E$68:$Y$68"),1,MATCH($D4644,INDIRECT("'"&amp;$C4644&amp;"'!$E$12:$Y$12"),0)),0),0)</f>
        <v>-7166391.2775474079</v>
      </c>
      <c r="I4644" s="366" t="s">
        <v>1731</v>
      </c>
      <c r="J4644" s="348" t="str">
        <f t="shared" ca="1" si="144"/>
        <v>OK</v>
      </c>
      <c r="K4644" s="366" t="s">
        <v>1746</v>
      </c>
      <c r="L4644" s="366" t="s">
        <v>2264</v>
      </c>
      <c r="M4644" s="350" t="str">
        <f>IF($B4644="Portfolio","Portfolio",IFERROR(INDEX(DATA_ASSET_CLASSIFICATION!$B$8:$B$24,MATCH($C4644,DATA_ASSET_CLASSIFICATION!$A$8:$A$24,0)),"Review"))</f>
        <v>The Creek, Port Moody</v>
      </c>
      <c r="N4644" s="350" t="str">
        <f>IF($B4644="Portfolio","Portfolio",IFERROR(INDEX(DATA_ASSET_CLASSIFICATION!$U$8:$U$24,MATCH($C4644,DATA_ASSET_CLASSIFICATION!$A$8:$A$24,0)),"Review"))</f>
        <v>New Build</v>
      </c>
      <c r="O4644" s="350" t="str">
        <f>IF($B4644="Portfolio","Portfolio",IFERROR(INDEX(DATA_ASSET_CLASSIFICATION!$AB$8:$AB$13,MATCH($N4644,DATA_ASSET_CLASSIFICATION!$AA$8:$AA$13,0)),"Review"))</f>
        <v>Bucket 1 · New Build</v>
      </c>
      <c r="P4644" s="350" t="str">
        <f>IF($B4644="Portfolio","Portfolio",IFERROR(INDEX(DATA_ASSET_CLASSIFICATION!$C$8:$C$24,MATCH($C4644,DATA_ASSET_CLASSIFICATION!$A$8:$A$24,0)),"Review"))</f>
        <v>Yes</v>
      </c>
      <c r="Q4644" s="350" t="str">
        <f t="shared" ca="1" si="145"/>
        <v>OK</v>
      </c>
    </row>
    <row r="4645" spans="1:17" ht="30">
      <c r="A4645" s="366" t="s">
        <v>6601</v>
      </c>
      <c r="B4645" s="366" t="s">
        <v>231</v>
      </c>
      <c r="C4645" s="348" t="str">
        <f>DATA_PROPERTY_MASTER!$A$20</f>
        <v>BLD_PM</v>
      </c>
      <c r="D4645" s="380">
        <f>'00_PORTFOLIO ROLLUP'!E$12</f>
        <v>2025</v>
      </c>
      <c r="E4645" s="366" t="s">
        <v>1741</v>
      </c>
      <c r="F4645" s="366" t="s">
        <v>1749</v>
      </c>
      <c r="G4645" s="348" t="str">
        <f>"'"&amp;$C4645&amp;"'!rows 56, 63, 68"</f>
        <v>'BLD_PM'!rows 56, 63, 68</v>
      </c>
      <c r="H4645" s="381">
        <f ca="1">IF(IFERROR(INDEX(DATA_PROPERTY_MASTER!$E$5:$E$21,MATCH($C4645,DATA_PROPERTY_MASTER!$A$5:$A$21,0))="Yes",FALSE),(IFERROR(INDEX(INDIRECT("'"&amp;$C4645&amp;"'!$E$56:$Y$56"),1,MATCH($D4645,INDIRECT("'"&amp;$C4645&amp;"'!$E$12:$Y$12"),0)),0)+MAX(IFERROR(INDEX(INDIRECT("'"&amp;$C4645&amp;"'!$E$63:$Y$63"),1,MATCH($D4645,INDIRECT("'"&amp;$C4645&amp;"'!$E$12:$Y$12"),0)),0),0))-(IFERROR(INDEX(INDIRECT("'"&amp;$C4645&amp;"'!$E$68:$Y$68"),1,MATCH($D4645,INDIRECT("'"&amp;$C4645&amp;"'!$E$12:$Y$12"),0)),0)),0)</f>
        <v>0</v>
      </c>
      <c r="I4645" s="366" t="s">
        <v>1750</v>
      </c>
      <c r="J4645" s="348" t="str">
        <f t="shared" ca="1" si="144"/>
        <v>OK</v>
      </c>
      <c r="K4645" s="366" t="s">
        <v>1751</v>
      </c>
      <c r="L4645" s="366" t="s">
        <v>2266</v>
      </c>
      <c r="M4645" s="350" t="str">
        <f>IF($B4645="Portfolio","Portfolio",IFERROR(INDEX(DATA_ASSET_CLASSIFICATION!$B$8:$B$24,MATCH($C4645,DATA_ASSET_CLASSIFICATION!$A$8:$A$24,0)),"Review"))</f>
        <v>The Creek, Port Moody</v>
      </c>
      <c r="N4645" s="350" t="str">
        <f>IF($B4645="Portfolio","Portfolio",IFERROR(INDEX(DATA_ASSET_CLASSIFICATION!$U$8:$U$24,MATCH($C4645,DATA_ASSET_CLASSIFICATION!$A$8:$A$24,0)),"Review"))</f>
        <v>New Build</v>
      </c>
      <c r="O4645" s="350" t="str">
        <f>IF($B4645="Portfolio","Portfolio",IFERROR(INDEX(DATA_ASSET_CLASSIFICATION!$AB$8:$AB$13,MATCH($N4645,DATA_ASSET_CLASSIFICATION!$AA$8:$AA$13,0)),"Review"))</f>
        <v>Bucket 1 · New Build</v>
      </c>
      <c r="P4645" s="350" t="str">
        <f>IF($B4645="Portfolio","Portfolio",IFERROR(INDEX(DATA_ASSET_CLASSIFICATION!$C$8:$C$24,MATCH($C4645,DATA_ASSET_CLASSIFICATION!$A$8:$A$24,0)),"Review"))</f>
        <v>Yes</v>
      </c>
      <c r="Q4645" s="350" t="str">
        <f t="shared" ca="1" si="145"/>
        <v>OK</v>
      </c>
    </row>
    <row r="4646" spans="1:17" ht="30">
      <c r="A4646" s="366" t="s">
        <v>6602</v>
      </c>
      <c r="B4646" s="366" t="s">
        <v>231</v>
      </c>
      <c r="C4646" s="348" t="str">
        <f>DATA_PROPERTY_MASTER!$A$20</f>
        <v>BLD_PM</v>
      </c>
      <c r="D4646" s="380">
        <f>'00_PORTFOLIO ROLLUP'!F$12</f>
        <v>2026</v>
      </c>
      <c r="E4646" s="366" t="s">
        <v>1683</v>
      </c>
      <c r="F4646" s="366" t="s">
        <v>341</v>
      </c>
      <c r="G4646" s="348" t="str">
        <f>"'"&amp;$C4646&amp;"'!$E$24:$Y$24"</f>
        <v>'BLD_PM'!$E$24:$Y$24</v>
      </c>
      <c r="H4646" s="381">
        <f ca="1">IF(IFERROR(INDEX(DATA_PROPERTY_MASTER!$E$5:$E$21,MATCH($C4646,DATA_PROPERTY_MASTER!$A$5:$A$21,0))="Yes",FALSE),IFERROR(INDEX(INDIRECT("'"&amp;$C4646&amp;"'!$E$24:$Y$24"),1,MATCH($D4646,INDIRECT("'"&amp;$C4646&amp;"'!$E$12:$Y$12"),0)),0),0)</f>
        <v>0</v>
      </c>
      <c r="I4646" s="366" t="s">
        <v>1685</v>
      </c>
      <c r="J4646" s="348" t="str">
        <f t="shared" ca="1" si="144"/>
        <v>OK</v>
      </c>
      <c r="K4646" s="366" t="s">
        <v>1686</v>
      </c>
      <c r="L4646" s="366" t="s">
        <v>2234</v>
      </c>
      <c r="M4646" s="350" t="str">
        <f>IF($B4646="Portfolio","Portfolio",IFERROR(INDEX(DATA_ASSET_CLASSIFICATION!$B$8:$B$24,MATCH($C4646,DATA_ASSET_CLASSIFICATION!$A$8:$A$24,0)),"Review"))</f>
        <v>The Creek, Port Moody</v>
      </c>
      <c r="N4646" s="350" t="str">
        <f>IF($B4646="Portfolio","Portfolio",IFERROR(INDEX(DATA_ASSET_CLASSIFICATION!$U$8:$U$24,MATCH($C4646,DATA_ASSET_CLASSIFICATION!$A$8:$A$24,0)),"Review"))</f>
        <v>New Build</v>
      </c>
      <c r="O4646" s="350" t="str">
        <f>IF($B4646="Portfolio","Portfolio",IFERROR(INDEX(DATA_ASSET_CLASSIFICATION!$AB$8:$AB$13,MATCH($N4646,DATA_ASSET_CLASSIFICATION!$AA$8:$AA$13,0)),"Review"))</f>
        <v>Bucket 1 · New Build</v>
      </c>
      <c r="P4646" s="350" t="str">
        <f>IF($B4646="Portfolio","Portfolio",IFERROR(INDEX(DATA_ASSET_CLASSIFICATION!$C$8:$C$24,MATCH($C4646,DATA_ASSET_CLASSIFICATION!$A$8:$A$24,0)),"Review"))</f>
        <v>Yes</v>
      </c>
      <c r="Q4646" s="350" t="str">
        <f t="shared" ca="1" si="145"/>
        <v>OK</v>
      </c>
    </row>
    <row r="4647" spans="1:17" ht="30">
      <c r="A4647" s="366" t="s">
        <v>6603</v>
      </c>
      <c r="B4647" s="366" t="s">
        <v>231</v>
      </c>
      <c r="C4647" s="348" t="str">
        <f>DATA_PROPERTY_MASTER!$A$20</f>
        <v>BLD_PM</v>
      </c>
      <c r="D4647" s="380">
        <f>'00_PORTFOLIO ROLLUP'!F$12</f>
        <v>2026</v>
      </c>
      <c r="E4647" s="366" t="s">
        <v>1683</v>
      </c>
      <c r="F4647" s="366" t="s">
        <v>355</v>
      </c>
      <c r="G4647" s="348" t="str">
        <f>"'"&amp;$C4647&amp;"'!$E$39:$Y$39"</f>
        <v>'BLD_PM'!$E$39:$Y$39</v>
      </c>
      <c r="H4647" s="381">
        <f ca="1">IF(IFERROR(INDEX(DATA_PROPERTY_MASTER!$E$5:$E$21,MATCH($C4647,DATA_PROPERTY_MASTER!$A$5:$A$21,0))="Yes",FALSE),IFERROR(INDEX(INDIRECT("'"&amp;$C4647&amp;"'!$E$39:$Y$39"),1,MATCH($D4647,INDIRECT("'"&amp;$C4647&amp;"'!$E$12:$Y$12"),0)),0),0)</f>
        <v>0</v>
      </c>
      <c r="I4647" s="366" t="s">
        <v>1690</v>
      </c>
      <c r="J4647" s="348" t="str">
        <f t="shared" ca="1" si="144"/>
        <v>OK</v>
      </c>
      <c r="K4647" s="366" t="s">
        <v>1686</v>
      </c>
      <c r="L4647" s="366" t="s">
        <v>2236</v>
      </c>
      <c r="M4647" s="350" t="str">
        <f>IF($B4647="Portfolio","Portfolio",IFERROR(INDEX(DATA_ASSET_CLASSIFICATION!$B$8:$B$24,MATCH($C4647,DATA_ASSET_CLASSIFICATION!$A$8:$A$24,0)),"Review"))</f>
        <v>The Creek, Port Moody</v>
      </c>
      <c r="N4647" s="350" t="str">
        <f>IF($B4647="Portfolio","Portfolio",IFERROR(INDEX(DATA_ASSET_CLASSIFICATION!$U$8:$U$24,MATCH($C4647,DATA_ASSET_CLASSIFICATION!$A$8:$A$24,0)),"Review"))</f>
        <v>New Build</v>
      </c>
      <c r="O4647" s="350" t="str">
        <f>IF($B4647="Portfolio","Portfolio",IFERROR(INDEX(DATA_ASSET_CLASSIFICATION!$AB$8:$AB$13,MATCH($N4647,DATA_ASSET_CLASSIFICATION!$AA$8:$AA$13,0)),"Review"))</f>
        <v>Bucket 1 · New Build</v>
      </c>
      <c r="P4647" s="350" t="str">
        <f>IF($B4647="Portfolio","Portfolio",IFERROR(INDEX(DATA_ASSET_CLASSIFICATION!$C$8:$C$24,MATCH($C4647,DATA_ASSET_CLASSIFICATION!$A$8:$A$24,0)),"Review"))</f>
        <v>Yes</v>
      </c>
      <c r="Q4647" s="350" t="str">
        <f t="shared" ca="1" si="145"/>
        <v>OK</v>
      </c>
    </row>
    <row r="4648" spans="1:17" ht="30">
      <c r="A4648" s="366" t="s">
        <v>6604</v>
      </c>
      <c r="B4648" s="366" t="s">
        <v>231</v>
      </c>
      <c r="C4648" s="348" t="str">
        <f>DATA_PROPERTY_MASTER!$A$20</f>
        <v>BLD_PM</v>
      </c>
      <c r="D4648" s="380">
        <f>'00_PORTFOLIO ROLLUP'!F$12</f>
        <v>2026</v>
      </c>
      <c r="E4648" s="366" t="s">
        <v>1683</v>
      </c>
      <c r="F4648" s="366" t="s">
        <v>19</v>
      </c>
      <c r="G4648" s="348" t="str">
        <f>"'"&amp;$C4648&amp;"'!$E$41:$Y$41"</f>
        <v>'BLD_PM'!$E$41:$Y$41</v>
      </c>
      <c r="H4648" s="381">
        <f ca="1">IF(IFERROR(INDEX(DATA_PROPERTY_MASTER!$E$5:$E$21,MATCH($C4648,DATA_PROPERTY_MASTER!$A$5:$A$21,0))="Yes",FALSE),IFERROR(INDEX(INDIRECT("'"&amp;$C4648&amp;"'!$E$41:$Y$41"),1,MATCH($D4648,INDIRECT("'"&amp;$C4648&amp;"'!$E$12:$Y$12"),0)),0),0)</f>
        <v>0</v>
      </c>
      <c r="I4648" s="366" t="s">
        <v>1685</v>
      </c>
      <c r="J4648" s="348" t="str">
        <f t="shared" ca="1" si="144"/>
        <v>OK</v>
      </c>
      <c r="K4648" s="366" t="s">
        <v>1694</v>
      </c>
      <c r="L4648" s="366" t="s">
        <v>2238</v>
      </c>
      <c r="M4648" s="350" t="str">
        <f>IF($B4648="Portfolio","Portfolio",IFERROR(INDEX(DATA_ASSET_CLASSIFICATION!$B$8:$B$24,MATCH($C4648,DATA_ASSET_CLASSIFICATION!$A$8:$A$24,0)),"Review"))</f>
        <v>The Creek, Port Moody</v>
      </c>
      <c r="N4648" s="350" t="str">
        <f>IF($B4648="Portfolio","Portfolio",IFERROR(INDEX(DATA_ASSET_CLASSIFICATION!$U$8:$U$24,MATCH($C4648,DATA_ASSET_CLASSIFICATION!$A$8:$A$24,0)),"Review"))</f>
        <v>New Build</v>
      </c>
      <c r="O4648" s="350" t="str">
        <f>IF($B4648="Portfolio","Portfolio",IFERROR(INDEX(DATA_ASSET_CLASSIFICATION!$AB$8:$AB$13,MATCH($N4648,DATA_ASSET_CLASSIFICATION!$AA$8:$AA$13,0)),"Review"))</f>
        <v>Bucket 1 · New Build</v>
      </c>
      <c r="P4648" s="350" t="str">
        <f>IF($B4648="Portfolio","Portfolio",IFERROR(INDEX(DATA_ASSET_CLASSIFICATION!$C$8:$C$24,MATCH($C4648,DATA_ASSET_CLASSIFICATION!$A$8:$A$24,0)),"Review"))</f>
        <v>Yes</v>
      </c>
      <c r="Q4648" s="350" t="str">
        <f t="shared" ca="1" si="145"/>
        <v>OK</v>
      </c>
    </row>
    <row r="4649" spans="1:17" ht="30">
      <c r="A4649" s="366" t="s">
        <v>6605</v>
      </c>
      <c r="B4649" s="366" t="s">
        <v>231</v>
      </c>
      <c r="C4649" s="348" t="str">
        <f>DATA_PROPERTY_MASTER!$A$20</f>
        <v>BLD_PM</v>
      </c>
      <c r="D4649" s="380">
        <f>'00_PORTFOLIO ROLLUP'!F$12</f>
        <v>2026</v>
      </c>
      <c r="E4649" s="366" t="s">
        <v>1683</v>
      </c>
      <c r="F4649" s="366" t="s">
        <v>1697</v>
      </c>
      <c r="G4649" s="348" t="str">
        <f>"'"&amp;$C4649&amp;"'!$E$44:$Y$44"</f>
        <v>'BLD_PM'!$E$44:$Y$44</v>
      </c>
      <c r="H4649" s="381">
        <f ca="1">IF(IFERROR(INDEX(DATA_PROPERTY_MASTER!$E$5:$E$21,MATCH($C4649,DATA_PROPERTY_MASTER!$A$5:$A$21,0))="Yes",FALSE),IFERROR(INDEX(INDIRECT("'"&amp;$C4649&amp;"'!$E$44:$Y$44"),1,MATCH($D4649,INDIRECT("'"&amp;$C4649&amp;"'!$E$12:$Y$12"),0)),0),0)</f>
        <v>0</v>
      </c>
      <c r="I4649" s="366" t="s">
        <v>1690</v>
      </c>
      <c r="J4649" s="348" t="str">
        <f t="shared" ca="1" si="144"/>
        <v>OK</v>
      </c>
      <c r="K4649" s="366" t="s">
        <v>1699</v>
      </c>
      <c r="L4649" s="366" t="s">
        <v>2240</v>
      </c>
      <c r="M4649" s="350" t="str">
        <f>IF($B4649="Portfolio","Portfolio",IFERROR(INDEX(DATA_ASSET_CLASSIFICATION!$B$8:$B$24,MATCH($C4649,DATA_ASSET_CLASSIFICATION!$A$8:$A$24,0)),"Review"))</f>
        <v>The Creek, Port Moody</v>
      </c>
      <c r="N4649" s="350" t="str">
        <f>IF($B4649="Portfolio","Portfolio",IFERROR(INDEX(DATA_ASSET_CLASSIFICATION!$U$8:$U$24,MATCH($C4649,DATA_ASSET_CLASSIFICATION!$A$8:$A$24,0)),"Review"))</f>
        <v>New Build</v>
      </c>
      <c r="O4649" s="350" t="str">
        <f>IF($B4649="Portfolio","Portfolio",IFERROR(INDEX(DATA_ASSET_CLASSIFICATION!$AB$8:$AB$13,MATCH($N4649,DATA_ASSET_CLASSIFICATION!$AA$8:$AA$13,0)),"Review"))</f>
        <v>Bucket 1 · New Build</v>
      </c>
      <c r="P4649" s="350" t="str">
        <f>IF($B4649="Portfolio","Portfolio",IFERROR(INDEX(DATA_ASSET_CLASSIFICATION!$C$8:$C$24,MATCH($C4649,DATA_ASSET_CLASSIFICATION!$A$8:$A$24,0)),"Review"))</f>
        <v>Yes</v>
      </c>
      <c r="Q4649" s="350" t="str">
        <f t="shared" ca="1" si="145"/>
        <v>OK</v>
      </c>
    </row>
    <row r="4650" spans="1:17" ht="30">
      <c r="A4650" s="366" t="s">
        <v>6606</v>
      </c>
      <c r="B4650" s="366" t="s">
        <v>231</v>
      </c>
      <c r="C4650" s="348" t="str">
        <f>DATA_PROPERTY_MASTER!$A$20</f>
        <v>BLD_PM</v>
      </c>
      <c r="D4650" s="380">
        <f>'00_PORTFOLIO ROLLUP'!F$12</f>
        <v>2026</v>
      </c>
      <c r="E4650" s="366" t="s">
        <v>1683</v>
      </c>
      <c r="F4650" s="366" t="s">
        <v>21</v>
      </c>
      <c r="G4650" s="348" t="str">
        <f>"'"&amp;$C4650&amp;"'!$E$45:$Y$45"</f>
        <v>'BLD_PM'!$E$45:$Y$45</v>
      </c>
      <c r="H4650" s="381">
        <f ca="1">IF(IFERROR(INDEX(DATA_PROPERTY_MASTER!$E$5:$E$21,MATCH($C4650,DATA_PROPERTY_MASTER!$A$5:$A$21,0))="Yes",FALSE),IFERROR(INDEX(INDIRECT("'"&amp;$C4650&amp;"'!$E$45:$Y$45"),1,MATCH($D4650,INDIRECT("'"&amp;$C4650&amp;"'!$E$12:$Y$12"),0)),0),0)</f>
        <v>0</v>
      </c>
      <c r="I4650" s="366" t="s">
        <v>1685</v>
      </c>
      <c r="J4650" s="348" t="str">
        <f t="shared" ca="1" si="144"/>
        <v>OK</v>
      </c>
      <c r="K4650" s="366" t="s">
        <v>1694</v>
      </c>
      <c r="L4650" s="366" t="s">
        <v>2242</v>
      </c>
      <c r="M4650" s="350" t="str">
        <f>IF($B4650="Portfolio","Portfolio",IFERROR(INDEX(DATA_ASSET_CLASSIFICATION!$B$8:$B$24,MATCH($C4650,DATA_ASSET_CLASSIFICATION!$A$8:$A$24,0)),"Review"))</f>
        <v>The Creek, Port Moody</v>
      </c>
      <c r="N4650" s="350" t="str">
        <f>IF($B4650="Portfolio","Portfolio",IFERROR(INDEX(DATA_ASSET_CLASSIFICATION!$U$8:$U$24,MATCH($C4650,DATA_ASSET_CLASSIFICATION!$A$8:$A$24,0)),"Review"))</f>
        <v>New Build</v>
      </c>
      <c r="O4650" s="350" t="str">
        <f>IF($B4650="Portfolio","Portfolio",IFERROR(INDEX(DATA_ASSET_CLASSIFICATION!$AB$8:$AB$13,MATCH($N4650,DATA_ASSET_CLASSIFICATION!$AA$8:$AA$13,0)),"Review"))</f>
        <v>Bucket 1 · New Build</v>
      </c>
      <c r="P4650" s="350" t="str">
        <f>IF($B4650="Portfolio","Portfolio",IFERROR(INDEX(DATA_ASSET_CLASSIFICATION!$C$8:$C$24,MATCH($C4650,DATA_ASSET_CLASSIFICATION!$A$8:$A$24,0)),"Review"))</f>
        <v>Yes</v>
      </c>
      <c r="Q4650" s="350" t="str">
        <f t="shared" ca="1" si="145"/>
        <v>OK</v>
      </c>
    </row>
    <row r="4651" spans="1:17" ht="30">
      <c r="A4651" s="366" t="s">
        <v>6607</v>
      </c>
      <c r="B4651" s="366" t="s">
        <v>231</v>
      </c>
      <c r="C4651" s="348" t="str">
        <f>DATA_PROPERTY_MASTER!$A$20</f>
        <v>BLD_PM</v>
      </c>
      <c r="D4651" s="380">
        <f>'00_PORTFOLIO ROLLUP'!F$12</f>
        <v>2026</v>
      </c>
      <c r="E4651" s="366" t="s">
        <v>23</v>
      </c>
      <c r="F4651" s="366" t="s">
        <v>23</v>
      </c>
      <c r="G4651" s="348" t="str">
        <f>"'"&amp;$C4651&amp;"'!$E$48:$Y$48"</f>
        <v>'BLD_PM'!$E$48:$Y$48</v>
      </c>
      <c r="H4651" s="381">
        <f ca="1">IF(IFERROR(INDEX(DATA_PROPERTY_MASTER!$E$5:$E$21,MATCH($C4651,DATA_PROPERTY_MASTER!$A$5:$A$21,0))="Yes",FALSE),IFERROR(INDEX(INDIRECT("'"&amp;$C4651&amp;"'!$E$48:$Y$48"),1,MATCH($D4651,INDIRECT("'"&amp;$C4651&amp;"'!$E$12:$Y$12"),0)),0),0)</f>
        <v>7166391.2775474079</v>
      </c>
      <c r="I4651" s="366" t="s">
        <v>1690</v>
      </c>
      <c r="J4651" s="348" t="str">
        <f t="shared" ca="1" si="144"/>
        <v>OK</v>
      </c>
      <c r="K4651" s="366" t="s">
        <v>1706</v>
      </c>
      <c r="L4651" s="366" t="s">
        <v>2244</v>
      </c>
      <c r="M4651" s="350" t="str">
        <f>IF($B4651="Portfolio","Portfolio",IFERROR(INDEX(DATA_ASSET_CLASSIFICATION!$B$8:$B$24,MATCH($C4651,DATA_ASSET_CLASSIFICATION!$A$8:$A$24,0)),"Review"))</f>
        <v>The Creek, Port Moody</v>
      </c>
      <c r="N4651" s="350" t="str">
        <f>IF($B4651="Portfolio","Portfolio",IFERROR(INDEX(DATA_ASSET_CLASSIFICATION!$U$8:$U$24,MATCH($C4651,DATA_ASSET_CLASSIFICATION!$A$8:$A$24,0)),"Review"))</f>
        <v>New Build</v>
      </c>
      <c r="O4651" s="350" t="str">
        <f>IF($B4651="Portfolio","Portfolio",IFERROR(INDEX(DATA_ASSET_CLASSIFICATION!$AB$8:$AB$13,MATCH($N4651,DATA_ASSET_CLASSIFICATION!$AA$8:$AA$13,0)),"Review"))</f>
        <v>Bucket 1 · New Build</v>
      </c>
      <c r="P4651" s="350" t="str">
        <f>IF($B4651="Portfolio","Portfolio",IFERROR(INDEX(DATA_ASSET_CLASSIFICATION!$C$8:$C$24,MATCH($C4651,DATA_ASSET_CLASSIFICATION!$A$8:$A$24,0)),"Review"))</f>
        <v>Yes</v>
      </c>
      <c r="Q4651" s="350" t="str">
        <f t="shared" ca="1" si="145"/>
        <v>OK</v>
      </c>
    </row>
    <row r="4652" spans="1:17" ht="30">
      <c r="A4652" s="366" t="s">
        <v>6608</v>
      </c>
      <c r="B4652" s="366" t="s">
        <v>231</v>
      </c>
      <c r="C4652" s="348" t="str">
        <f>DATA_PROPERTY_MASTER!$A$20</f>
        <v>BLD_PM</v>
      </c>
      <c r="D4652" s="380">
        <f>'00_PORTFOLIO ROLLUP'!F$12</f>
        <v>2026</v>
      </c>
      <c r="E4652" s="366" t="s">
        <v>1683</v>
      </c>
      <c r="F4652" s="366" t="s">
        <v>25</v>
      </c>
      <c r="G4652" s="348" t="str">
        <f>"'"&amp;$C4652&amp;"'!$E$52:$Y$52"</f>
        <v>'BLD_PM'!$E$52:$Y$52</v>
      </c>
      <c r="H4652" s="381">
        <f ca="1">IF(IFERROR(INDEX(DATA_PROPERTY_MASTER!$E$5:$E$21,MATCH($C4652,DATA_PROPERTY_MASTER!$A$5:$A$21,0))="Yes",FALSE),IFERROR(INDEX(INDIRECT("'"&amp;$C4652&amp;"'!$E$52:$Y$52"),1,MATCH($D4652,INDIRECT("'"&amp;$C4652&amp;"'!$E$12:$Y$12"),0)),0),0)</f>
        <v>-7166391.2775474079</v>
      </c>
      <c r="I4652" s="366" t="s">
        <v>1685</v>
      </c>
      <c r="J4652" s="348" t="str">
        <f t="shared" ca="1" si="144"/>
        <v>OK</v>
      </c>
      <c r="K4652" s="366" t="s">
        <v>1710</v>
      </c>
      <c r="L4652" s="366" t="s">
        <v>2246</v>
      </c>
      <c r="M4652" s="350" t="str">
        <f>IF($B4652="Portfolio","Portfolio",IFERROR(INDEX(DATA_ASSET_CLASSIFICATION!$B$8:$B$24,MATCH($C4652,DATA_ASSET_CLASSIFICATION!$A$8:$A$24,0)),"Review"))</f>
        <v>The Creek, Port Moody</v>
      </c>
      <c r="N4652" s="350" t="str">
        <f>IF($B4652="Portfolio","Portfolio",IFERROR(INDEX(DATA_ASSET_CLASSIFICATION!$U$8:$U$24,MATCH($C4652,DATA_ASSET_CLASSIFICATION!$A$8:$A$24,0)),"Review"))</f>
        <v>New Build</v>
      </c>
      <c r="O4652" s="350" t="str">
        <f>IF($B4652="Portfolio","Portfolio",IFERROR(INDEX(DATA_ASSET_CLASSIFICATION!$AB$8:$AB$13,MATCH($N4652,DATA_ASSET_CLASSIFICATION!$AA$8:$AA$13,0)),"Review"))</f>
        <v>Bucket 1 · New Build</v>
      </c>
      <c r="P4652" s="350" t="str">
        <f>IF($B4652="Portfolio","Portfolio",IFERROR(INDEX(DATA_ASSET_CLASSIFICATION!$C$8:$C$24,MATCH($C4652,DATA_ASSET_CLASSIFICATION!$A$8:$A$24,0)),"Review"))</f>
        <v>Yes</v>
      </c>
      <c r="Q4652" s="350" t="str">
        <f t="shared" ca="1" si="145"/>
        <v>OK</v>
      </c>
    </row>
    <row r="4653" spans="1:17" ht="30">
      <c r="A4653" s="366" t="s">
        <v>6609</v>
      </c>
      <c r="B4653" s="366" t="s">
        <v>231</v>
      </c>
      <c r="C4653" s="348" t="str">
        <f>DATA_PROPERTY_MASTER!$A$20</f>
        <v>BLD_PM</v>
      </c>
      <c r="D4653" s="380">
        <f>'00_PORTFOLIO ROLLUP'!F$12</f>
        <v>2026</v>
      </c>
      <c r="E4653" s="366" t="s">
        <v>1683</v>
      </c>
      <c r="F4653" s="366" t="s">
        <v>27</v>
      </c>
      <c r="G4653" s="348" t="str">
        <f>"'"&amp;$C4653&amp;"'!$E$54:$Y$54"</f>
        <v>'BLD_PM'!$E$54:$Y$54</v>
      </c>
      <c r="H4653" s="381">
        <f ca="1">IF(IFERROR(INDEX(DATA_PROPERTY_MASTER!$E$5:$E$21,MATCH($C4653,DATA_PROPERTY_MASTER!$A$5:$A$21,0))="Yes",FALSE),IFERROR(INDEX(INDIRECT("'"&amp;$C4653&amp;"'!$E$54:$Y$54"),1,MATCH($D4653,INDIRECT("'"&amp;$C4653&amp;"'!$E$12:$Y$12"),0)),0),0)</f>
        <v>0</v>
      </c>
      <c r="I4653" s="366" t="s">
        <v>1690</v>
      </c>
      <c r="J4653" s="348" t="str">
        <f t="shared" ca="1" si="144"/>
        <v>OK</v>
      </c>
      <c r="K4653" s="366" t="s">
        <v>1714</v>
      </c>
      <c r="L4653" s="366" t="s">
        <v>2248</v>
      </c>
      <c r="M4653" s="350" t="str">
        <f>IF($B4653="Portfolio","Portfolio",IFERROR(INDEX(DATA_ASSET_CLASSIFICATION!$B$8:$B$24,MATCH($C4653,DATA_ASSET_CLASSIFICATION!$A$8:$A$24,0)),"Review"))</f>
        <v>The Creek, Port Moody</v>
      </c>
      <c r="N4653" s="350" t="str">
        <f>IF($B4653="Portfolio","Portfolio",IFERROR(INDEX(DATA_ASSET_CLASSIFICATION!$U$8:$U$24,MATCH($C4653,DATA_ASSET_CLASSIFICATION!$A$8:$A$24,0)),"Review"))</f>
        <v>New Build</v>
      </c>
      <c r="O4653" s="350" t="str">
        <f>IF($B4653="Portfolio","Portfolio",IFERROR(INDEX(DATA_ASSET_CLASSIFICATION!$AB$8:$AB$13,MATCH($N4653,DATA_ASSET_CLASSIFICATION!$AA$8:$AA$13,0)),"Review"))</f>
        <v>Bucket 1 · New Build</v>
      </c>
      <c r="P4653" s="350" t="str">
        <f>IF($B4653="Portfolio","Portfolio",IFERROR(INDEX(DATA_ASSET_CLASSIFICATION!$C$8:$C$24,MATCH($C4653,DATA_ASSET_CLASSIFICATION!$A$8:$A$24,0)),"Review"))</f>
        <v>Yes</v>
      </c>
      <c r="Q4653" s="350" t="str">
        <f t="shared" ca="1" si="145"/>
        <v>OK</v>
      </c>
    </row>
    <row r="4654" spans="1:17" ht="30">
      <c r="A4654" s="366" t="s">
        <v>6610</v>
      </c>
      <c r="B4654" s="366" t="s">
        <v>231</v>
      </c>
      <c r="C4654" s="348" t="str">
        <f>DATA_PROPERTY_MASTER!$A$20</f>
        <v>BLD_PM</v>
      </c>
      <c r="D4654" s="380">
        <f>'00_PORTFOLIO ROLLUP'!F$12</f>
        <v>2026</v>
      </c>
      <c r="E4654" s="366" t="s">
        <v>1683</v>
      </c>
      <c r="F4654" s="366" t="s">
        <v>29</v>
      </c>
      <c r="G4654" s="348" t="str">
        <f>"'"&amp;$C4654&amp;"'!$E$56:$Y$56"</f>
        <v>'BLD_PM'!$E$56:$Y$56</v>
      </c>
      <c r="H4654" s="381">
        <f ca="1">IF(IFERROR(INDEX(DATA_PROPERTY_MASTER!$E$5:$E$21,MATCH($C4654,DATA_PROPERTY_MASTER!$A$5:$A$21,0))="Yes",FALSE),IFERROR(INDEX(INDIRECT("'"&amp;$C4654&amp;"'!$E$56:$Y$56"),1,MATCH($D4654,INDIRECT("'"&amp;$C4654&amp;"'!$E$12:$Y$12"),0)),0),0)</f>
        <v>-7166391.2775474079</v>
      </c>
      <c r="I4654" s="366" t="s">
        <v>1685</v>
      </c>
      <c r="J4654" s="348" t="str">
        <f t="shared" ca="1" si="144"/>
        <v>OK</v>
      </c>
      <c r="K4654" s="366" t="s">
        <v>1718</v>
      </c>
      <c r="L4654" s="366" t="s">
        <v>2250</v>
      </c>
      <c r="M4654" s="350" t="str">
        <f>IF($B4654="Portfolio","Portfolio",IFERROR(INDEX(DATA_ASSET_CLASSIFICATION!$B$8:$B$24,MATCH($C4654,DATA_ASSET_CLASSIFICATION!$A$8:$A$24,0)),"Review"))</f>
        <v>The Creek, Port Moody</v>
      </c>
      <c r="N4654" s="350" t="str">
        <f>IF($B4654="Portfolio","Portfolio",IFERROR(INDEX(DATA_ASSET_CLASSIFICATION!$U$8:$U$24,MATCH($C4654,DATA_ASSET_CLASSIFICATION!$A$8:$A$24,0)),"Review"))</f>
        <v>New Build</v>
      </c>
      <c r="O4654" s="350" t="str">
        <f>IF($B4654="Portfolio","Portfolio",IFERROR(INDEX(DATA_ASSET_CLASSIFICATION!$AB$8:$AB$13,MATCH($N4654,DATA_ASSET_CLASSIFICATION!$AA$8:$AA$13,0)),"Review"))</f>
        <v>Bucket 1 · New Build</v>
      </c>
      <c r="P4654" s="350" t="str">
        <f>IF($B4654="Portfolio","Portfolio",IFERROR(INDEX(DATA_ASSET_CLASSIFICATION!$C$8:$C$24,MATCH($C4654,DATA_ASSET_CLASSIFICATION!$A$8:$A$24,0)),"Review"))</f>
        <v>Yes</v>
      </c>
      <c r="Q4654" s="350" t="str">
        <f t="shared" ca="1" si="145"/>
        <v>OK</v>
      </c>
    </row>
    <row r="4655" spans="1:17" ht="30">
      <c r="A4655" s="366" t="s">
        <v>6611</v>
      </c>
      <c r="B4655" s="366" t="s">
        <v>231</v>
      </c>
      <c r="C4655" s="348" t="str">
        <f>DATA_PROPERTY_MASTER!$A$20</f>
        <v>BLD_PM</v>
      </c>
      <c r="D4655" s="380">
        <f>'00_PORTFOLIO ROLLUP'!F$12</f>
        <v>2026</v>
      </c>
      <c r="E4655" s="366" t="s">
        <v>1721</v>
      </c>
      <c r="F4655" s="366" t="s">
        <v>31</v>
      </c>
      <c r="G4655" s="348" t="str">
        <f>"'"&amp;$C4655&amp;"'!$E$61:$Y$61"</f>
        <v>'BLD_PM'!$E$61:$Y$61</v>
      </c>
      <c r="H4655" s="381">
        <f ca="1">IF(IFERROR(INDEX(DATA_PROPERTY_MASTER!$E$5:$E$21,MATCH($C4655,DATA_PROPERTY_MASTER!$A$5:$A$21,0))="Yes",FALSE),IFERROR(INDEX(INDIRECT("'"&amp;$C4655&amp;"'!$E$61:$Y$61"),1,MATCH($D4655,INDIRECT("'"&amp;$C4655&amp;"'!$E$12:$Y$12"),0)),0),0)</f>
        <v>0</v>
      </c>
      <c r="I4655" s="366" t="s">
        <v>1690</v>
      </c>
      <c r="J4655" s="348" t="str">
        <f t="shared" ca="1" si="144"/>
        <v>OK</v>
      </c>
      <c r="K4655" s="366" t="s">
        <v>1723</v>
      </c>
      <c r="L4655" s="366" t="s">
        <v>2252</v>
      </c>
      <c r="M4655" s="350" t="str">
        <f>IF($B4655="Portfolio","Portfolio",IFERROR(INDEX(DATA_ASSET_CLASSIFICATION!$B$8:$B$24,MATCH($C4655,DATA_ASSET_CLASSIFICATION!$A$8:$A$24,0)),"Review"))</f>
        <v>The Creek, Port Moody</v>
      </c>
      <c r="N4655" s="350" t="str">
        <f>IF($B4655="Portfolio","Portfolio",IFERROR(INDEX(DATA_ASSET_CLASSIFICATION!$U$8:$U$24,MATCH($C4655,DATA_ASSET_CLASSIFICATION!$A$8:$A$24,0)),"Review"))</f>
        <v>New Build</v>
      </c>
      <c r="O4655" s="350" t="str">
        <f>IF($B4655="Portfolio","Portfolio",IFERROR(INDEX(DATA_ASSET_CLASSIFICATION!$AB$8:$AB$13,MATCH($N4655,DATA_ASSET_CLASSIFICATION!$AA$8:$AA$13,0)),"Review"))</f>
        <v>Bucket 1 · New Build</v>
      </c>
      <c r="P4655" s="350" t="str">
        <f>IF($B4655="Portfolio","Portfolio",IFERROR(INDEX(DATA_ASSET_CLASSIFICATION!$C$8:$C$24,MATCH($C4655,DATA_ASSET_CLASSIFICATION!$A$8:$A$24,0)),"Review"))</f>
        <v>Yes</v>
      </c>
      <c r="Q4655" s="350" t="str">
        <f t="shared" ca="1" si="145"/>
        <v>OK</v>
      </c>
    </row>
    <row r="4656" spans="1:17" ht="30">
      <c r="A4656" s="366" t="s">
        <v>6612</v>
      </c>
      <c r="B4656" s="366" t="s">
        <v>231</v>
      </c>
      <c r="C4656" s="348" t="str">
        <f>DATA_PROPERTY_MASTER!$A$20</f>
        <v>BLD_PM</v>
      </c>
      <c r="D4656" s="380">
        <f>'00_PORTFOLIO ROLLUP'!F$12</f>
        <v>2026</v>
      </c>
      <c r="E4656" s="366" t="s">
        <v>1721</v>
      </c>
      <c r="F4656" s="366" t="s">
        <v>33</v>
      </c>
      <c r="G4656" s="348" t="str">
        <f>"'"&amp;$C4656&amp;"'!$E$62:$Y$62"</f>
        <v>'BLD_PM'!$E$62:$Y$62</v>
      </c>
      <c r="H4656" s="381">
        <f ca="1">IF(IFERROR(INDEX(DATA_PROPERTY_MASTER!$E$5:$E$21,MATCH($C4656,DATA_PROPERTY_MASTER!$A$5:$A$21,0))="Yes",FALSE),IFERROR(INDEX(INDIRECT("'"&amp;$C4656&amp;"'!$E$62:$Y$62"),1,MATCH($D4656,INDIRECT("'"&amp;$C4656&amp;"'!$E$12:$Y$12"),0)),0),0)</f>
        <v>0</v>
      </c>
      <c r="I4656" s="366" t="s">
        <v>1685</v>
      </c>
      <c r="J4656" s="348" t="str">
        <f t="shared" ca="1" si="144"/>
        <v>OK</v>
      </c>
      <c r="K4656" s="366" t="s">
        <v>1727</v>
      </c>
      <c r="L4656" s="366" t="s">
        <v>2254</v>
      </c>
      <c r="M4656" s="350" t="str">
        <f>IF($B4656="Portfolio","Portfolio",IFERROR(INDEX(DATA_ASSET_CLASSIFICATION!$B$8:$B$24,MATCH($C4656,DATA_ASSET_CLASSIFICATION!$A$8:$A$24,0)),"Review"))</f>
        <v>The Creek, Port Moody</v>
      </c>
      <c r="N4656" s="350" t="str">
        <f>IF($B4656="Portfolio","Portfolio",IFERROR(INDEX(DATA_ASSET_CLASSIFICATION!$U$8:$U$24,MATCH($C4656,DATA_ASSET_CLASSIFICATION!$A$8:$A$24,0)),"Review"))</f>
        <v>New Build</v>
      </c>
      <c r="O4656" s="350" t="str">
        <f>IF($B4656="Portfolio","Portfolio",IFERROR(INDEX(DATA_ASSET_CLASSIFICATION!$AB$8:$AB$13,MATCH($N4656,DATA_ASSET_CLASSIFICATION!$AA$8:$AA$13,0)),"Review"))</f>
        <v>Bucket 1 · New Build</v>
      </c>
      <c r="P4656" s="350" t="str">
        <f>IF($B4656="Portfolio","Portfolio",IFERROR(INDEX(DATA_ASSET_CLASSIFICATION!$C$8:$C$24,MATCH($C4656,DATA_ASSET_CLASSIFICATION!$A$8:$A$24,0)),"Review"))</f>
        <v>Yes</v>
      </c>
      <c r="Q4656" s="350" t="str">
        <f t="shared" ca="1" si="145"/>
        <v>OK</v>
      </c>
    </row>
    <row r="4657" spans="1:17" ht="30">
      <c r="A4657" s="366" t="s">
        <v>6613</v>
      </c>
      <c r="B4657" s="366" t="s">
        <v>231</v>
      </c>
      <c r="C4657" s="348" t="str">
        <f>DATA_PROPERTY_MASTER!$A$20</f>
        <v>BLD_PM</v>
      </c>
      <c r="D4657" s="380">
        <f>'00_PORTFOLIO ROLLUP'!F$12</f>
        <v>2026</v>
      </c>
      <c r="E4657" s="366" t="s">
        <v>1721</v>
      </c>
      <c r="F4657" s="366" t="s">
        <v>35</v>
      </c>
      <c r="G4657" s="348" t="str">
        <f>"'"&amp;$C4657&amp;"'!$E$63:$Y$63"</f>
        <v>'BLD_PM'!$E$63:$Y$63</v>
      </c>
      <c r="H4657" s="381">
        <f ca="1">IF(IFERROR(INDEX(DATA_PROPERTY_MASTER!$E$5:$E$21,MATCH($C4657,DATA_PROPERTY_MASTER!$A$5:$A$21,0))="Yes",FALSE),IFERROR(INDEX(INDIRECT("'"&amp;$C4657&amp;"'!$E$63:$Y$63"),1,MATCH($D4657,INDIRECT("'"&amp;$C4657&amp;"'!$E$12:$Y$12"),0)),0),0)</f>
        <v>0</v>
      </c>
      <c r="I4657" s="366" t="s">
        <v>1731</v>
      </c>
      <c r="J4657" s="348" t="str">
        <f t="shared" ca="1" si="144"/>
        <v>OK</v>
      </c>
      <c r="K4657" s="366" t="s">
        <v>1732</v>
      </c>
      <c r="L4657" s="366" t="s">
        <v>2256</v>
      </c>
      <c r="M4657" s="350" t="str">
        <f>IF($B4657="Portfolio","Portfolio",IFERROR(INDEX(DATA_ASSET_CLASSIFICATION!$B$8:$B$24,MATCH($C4657,DATA_ASSET_CLASSIFICATION!$A$8:$A$24,0)),"Review"))</f>
        <v>The Creek, Port Moody</v>
      </c>
      <c r="N4657" s="350" t="str">
        <f>IF($B4657="Portfolio","Portfolio",IFERROR(INDEX(DATA_ASSET_CLASSIFICATION!$U$8:$U$24,MATCH($C4657,DATA_ASSET_CLASSIFICATION!$A$8:$A$24,0)),"Review"))</f>
        <v>New Build</v>
      </c>
      <c r="O4657" s="350" t="str">
        <f>IF($B4657="Portfolio","Portfolio",IFERROR(INDEX(DATA_ASSET_CLASSIFICATION!$AB$8:$AB$13,MATCH($N4657,DATA_ASSET_CLASSIFICATION!$AA$8:$AA$13,0)),"Review"))</f>
        <v>Bucket 1 · New Build</v>
      </c>
      <c r="P4657" s="350" t="str">
        <f>IF($B4657="Portfolio","Portfolio",IFERROR(INDEX(DATA_ASSET_CLASSIFICATION!$C$8:$C$24,MATCH($C4657,DATA_ASSET_CLASSIFICATION!$A$8:$A$24,0)),"Review"))</f>
        <v>Yes</v>
      </c>
      <c r="Q4657" s="350" t="str">
        <f t="shared" ca="1" si="145"/>
        <v>OK</v>
      </c>
    </row>
    <row r="4658" spans="1:17" ht="30">
      <c r="A4658" s="366" t="s">
        <v>6614</v>
      </c>
      <c r="B4658" s="366" t="s">
        <v>231</v>
      </c>
      <c r="C4658" s="348" t="str">
        <f>DATA_PROPERTY_MASTER!$A$20</f>
        <v>BLD_PM</v>
      </c>
      <c r="D4658" s="380">
        <f>'00_PORTFOLIO ROLLUP'!F$12</f>
        <v>2026</v>
      </c>
      <c r="E4658" s="366" t="s">
        <v>1721</v>
      </c>
      <c r="F4658" s="366" t="s">
        <v>37</v>
      </c>
      <c r="G4658" s="348" t="str">
        <f>"'"&amp;$C4658&amp;"'!$E$63:$Y$63"</f>
        <v>'BLD_PM'!$E$63:$Y$63</v>
      </c>
      <c r="H4658" s="381">
        <f ca="1">IF(IFERROR(INDEX(DATA_PROPERTY_MASTER!$E$5:$E$21,MATCH($C4658,DATA_PROPERTY_MASTER!$A$5:$A$21,0))="Yes",FALSE),MAX(IFERROR(INDEX(INDIRECT("'"&amp;$C4658&amp;"'!$E$63:$Y$63"),1,MATCH($D4658,INDIRECT("'"&amp;$C4658&amp;"'!$E$12:$Y$12"),0)),0),0),0)</f>
        <v>0</v>
      </c>
      <c r="I4658" s="366" t="s">
        <v>1685</v>
      </c>
      <c r="J4658" s="348" t="str">
        <f t="shared" ca="1" si="144"/>
        <v>OK</v>
      </c>
      <c r="K4658" s="366" t="s">
        <v>1735</v>
      </c>
      <c r="L4658" s="366" t="s">
        <v>2258</v>
      </c>
      <c r="M4658" s="350" t="str">
        <f>IF($B4658="Portfolio","Portfolio",IFERROR(INDEX(DATA_ASSET_CLASSIFICATION!$B$8:$B$24,MATCH($C4658,DATA_ASSET_CLASSIFICATION!$A$8:$A$24,0)),"Review"))</f>
        <v>The Creek, Port Moody</v>
      </c>
      <c r="N4658" s="350" t="str">
        <f>IF($B4658="Portfolio","Portfolio",IFERROR(INDEX(DATA_ASSET_CLASSIFICATION!$U$8:$U$24,MATCH($C4658,DATA_ASSET_CLASSIFICATION!$A$8:$A$24,0)),"Review"))</f>
        <v>New Build</v>
      </c>
      <c r="O4658" s="350" t="str">
        <f>IF($B4658="Portfolio","Portfolio",IFERROR(INDEX(DATA_ASSET_CLASSIFICATION!$AB$8:$AB$13,MATCH($N4658,DATA_ASSET_CLASSIFICATION!$AA$8:$AA$13,0)),"Review"))</f>
        <v>Bucket 1 · New Build</v>
      </c>
      <c r="P4658" s="350" t="str">
        <f>IF($B4658="Portfolio","Portfolio",IFERROR(INDEX(DATA_ASSET_CLASSIFICATION!$C$8:$C$24,MATCH($C4658,DATA_ASSET_CLASSIFICATION!$A$8:$A$24,0)),"Review"))</f>
        <v>Yes</v>
      </c>
      <c r="Q4658" s="350" t="str">
        <f t="shared" ca="1" si="145"/>
        <v>OK</v>
      </c>
    </row>
    <row r="4659" spans="1:17" ht="30">
      <c r="A4659" s="366" t="s">
        <v>6615</v>
      </c>
      <c r="B4659" s="366" t="s">
        <v>231</v>
      </c>
      <c r="C4659" s="348" t="str">
        <f>DATA_PROPERTY_MASTER!$A$20</f>
        <v>BLD_PM</v>
      </c>
      <c r="D4659" s="380">
        <f>'00_PORTFOLIO ROLLUP'!F$12</f>
        <v>2026</v>
      </c>
      <c r="E4659" s="366" t="s">
        <v>1721</v>
      </c>
      <c r="F4659" s="366" t="s">
        <v>39</v>
      </c>
      <c r="G4659" s="348" t="str">
        <f>"'"&amp;$C4659&amp;"'!$E$63:$Y$63"</f>
        <v>'BLD_PM'!$E$63:$Y$63</v>
      </c>
      <c r="H4659" s="381">
        <f ca="1">IF(IFERROR(INDEX(DATA_PROPERTY_MASTER!$E$5:$E$21,MATCH($C4659,DATA_PROPERTY_MASTER!$A$5:$A$21,0))="Yes",FALSE),MAX(-IFERROR(INDEX(INDIRECT("'"&amp;$C4659&amp;"'!$E$63:$Y$63"),1,MATCH($D4659,INDIRECT("'"&amp;$C4659&amp;"'!$E$12:$Y$12"),0)),0),0),0)</f>
        <v>0</v>
      </c>
      <c r="I4659" s="366" t="s">
        <v>1690</v>
      </c>
      <c r="J4659" s="348" t="str">
        <f t="shared" ca="1" si="144"/>
        <v>OK</v>
      </c>
      <c r="K4659" s="366" t="s">
        <v>1738</v>
      </c>
      <c r="L4659" s="366" t="s">
        <v>2260</v>
      </c>
      <c r="M4659" s="350" t="str">
        <f>IF($B4659="Portfolio","Portfolio",IFERROR(INDEX(DATA_ASSET_CLASSIFICATION!$B$8:$B$24,MATCH($C4659,DATA_ASSET_CLASSIFICATION!$A$8:$A$24,0)),"Review"))</f>
        <v>The Creek, Port Moody</v>
      </c>
      <c r="N4659" s="350" t="str">
        <f>IF($B4659="Portfolio","Portfolio",IFERROR(INDEX(DATA_ASSET_CLASSIFICATION!$U$8:$U$24,MATCH($C4659,DATA_ASSET_CLASSIFICATION!$A$8:$A$24,0)),"Review"))</f>
        <v>New Build</v>
      </c>
      <c r="O4659" s="350" t="str">
        <f>IF($B4659="Portfolio","Portfolio",IFERROR(INDEX(DATA_ASSET_CLASSIFICATION!$AB$8:$AB$13,MATCH($N4659,DATA_ASSET_CLASSIFICATION!$AA$8:$AA$13,0)),"Review"))</f>
        <v>Bucket 1 · New Build</v>
      </c>
      <c r="P4659" s="350" t="str">
        <f>IF($B4659="Portfolio","Portfolio",IFERROR(INDEX(DATA_ASSET_CLASSIFICATION!$C$8:$C$24,MATCH($C4659,DATA_ASSET_CLASSIFICATION!$A$8:$A$24,0)),"Review"))</f>
        <v>Yes</v>
      </c>
      <c r="Q4659" s="350" t="str">
        <f t="shared" ca="1" si="145"/>
        <v>OK</v>
      </c>
    </row>
    <row r="4660" spans="1:17" ht="30">
      <c r="A4660" s="366" t="s">
        <v>6616</v>
      </c>
      <c r="B4660" s="366" t="s">
        <v>231</v>
      </c>
      <c r="C4660" s="348" t="str">
        <f>DATA_PROPERTY_MASTER!$A$20</f>
        <v>BLD_PM</v>
      </c>
      <c r="D4660" s="380">
        <f>'00_PORTFOLIO ROLLUP'!F$12</f>
        <v>2026</v>
      </c>
      <c r="E4660" s="366" t="s">
        <v>1741</v>
      </c>
      <c r="F4660" s="366" t="s">
        <v>41</v>
      </c>
      <c r="G4660" s="348" t="str">
        <f>"'"&amp;$C4660&amp;"'!rows 56 + positive row 63"</f>
        <v>'BLD_PM'!rows 56 + positive row 63</v>
      </c>
      <c r="H4660" s="381">
        <f ca="1">IF(IFERROR(INDEX(DATA_PROPERTY_MASTER!$E$5:$E$21,MATCH($C4660,DATA_PROPERTY_MASTER!$A$5:$A$21,0))="Yes",FALSE),IFERROR(INDEX(INDIRECT("'"&amp;$C4660&amp;"'!$E$56:$Y$56"),1,MATCH($D4660,INDIRECT("'"&amp;$C4660&amp;"'!$E$12:$Y$12"),0)),0)+MAX(IFERROR(INDEX(INDIRECT("'"&amp;$C4660&amp;"'!$E$63:$Y$63"),1,MATCH($D4660,INDIRECT("'"&amp;$C4660&amp;"'!$E$12:$Y$12"),0)),0),0),0)</f>
        <v>-7166391.2775474079</v>
      </c>
      <c r="I4660" s="366" t="s">
        <v>1685</v>
      </c>
      <c r="J4660" s="348" t="str">
        <f t="shared" ca="1" si="144"/>
        <v>OK</v>
      </c>
      <c r="K4660" s="366" t="s">
        <v>1742</v>
      </c>
      <c r="L4660" s="366" t="s">
        <v>2262</v>
      </c>
      <c r="M4660" s="350" t="str">
        <f>IF($B4660="Portfolio","Portfolio",IFERROR(INDEX(DATA_ASSET_CLASSIFICATION!$B$8:$B$24,MATCH($C4660,DATA_ASSET_CLASSIFICATION!$A$8:$A$24,0)),"Review"))</f>
        <v>The Creek, Port Moody</v>
      </c>
      <c r="N4660" s="350" t="str">
        <f>IF($B4660="Portfolio","Portfolio",IFERROR(INDEX(DATA_ASSET_CLASSIFICATION!$U$8:$U$24,MATCH($C4660,DATA_ASSET_CLASSIFICATION!$A$8:$A$24,0)),"Review"))</f>
        <v>New Build</v>
      </c>
      <c r="O4660" s="350" t="str">
        <f>IF($B4660="Portfolio","Portfolio",IFERROR(INDEX(DATA_ASSET_CLASSIFICATION!$AB$8:$AB$13,MATCH($N4660,DATA_ASSET_CLASSIFICATION!$AA$8:$AA$13,0)),"Review"))</f>
        <v>Bucket 1 · New Build</v>
      </c>
      <c r="P4660" s="350" t="str">
        <f>IF($B4660="Portfolio","Portfolio",IFERROR(INDEX(DATA_ASSET_CLASSIFICATION!$C$8:$C$24,MATCH($C4660,DATA_ASSET_CLASSIFICATION!$A$8:$A$24,0)),"Review"))</f>
        <v>Yes</v>
      </c>
      <c r="Q4660" s="350" t="str">
        <f t="shared" ca="1" si="145"/>
        <v>OK</v>
      </c>
    </row>
    <row r="4661" spans="1:17" ht="30">
      <c r="A4661" s="366" t="s">
        <v>6617</v>
      </c>
      <c r="B4661" s="366" t="s">
        <v>231</v>
      </c>
      <c r="C4661" s="348" t="str">
        <f>DATA_PROPERTY_MASTER!$A$20</f>
        <v>BLD_PM</v>
      </c>
      <c r="D4661" s="380">
        <f>'00_PORTFOLIO ROLLUP'!F$12</f>
        <v>2026</v>
      </c>
      <c r="E4661" s="366" t="s">
        <v>1741</v>
      </c>
      <c r="F4661" s="366" t="s">
        <v>43</v>
      </c>
      <c r="G4661" s="348" t="str">
        <f>"'"&amp;$C4661&amp;"'!$E$68:$Y$68"</f>
        <v>'BLD_PM'!$E$68:$Y$68</v>
      </c>
      <c r="H4661" s="381">
        <f ca="1">IF(IFERROR(INDEX(DATA_PROPERTY_MASTER!$E$5:$E$21,MATCH($C4661,DATA_PROPERTY_MASTER!$A$5:$A$21,0))="Yes",FALSE),IFERROR(INDEX(INDIRECT("'"&amp;$C4661&amp;"'!$E$68:$Y$68"),1,MATCH($D4661,INDIRECT("'"&amp;$C4661&amp;"'!$E$12:$Y$12"),0)),0),0)</f>
        <v>-7166391.2775474079</v>
      </c>
      <c r="I4661" s="366" t="s">
        <v>1731</v>
      </c>
      <c r="J4661" s="348" t="str">
        <f t="shared" ca="1" si="144"/>
        <v>OK</v>
      </c>
      <c r="K4661" s="366" t="s">
        <v>1746</v>
      </c>
      <c r="L4661" s="366" t="s">
        <v>2264</v>
      </c>
      <c r="M4661" s="350" t="str">
        <f>IF($B4661="Portfolio","Portfolio",IFERROR(INDEX(DATA_ASSET_CLASSIFICATION!$B$8:$B$24,MATCH($C4661,DATA_ASSET_CLASSIFICATION!$A$8:$A$24,0)),"Review"))</f>
        <v>The Creek, Port Moody</v>
      </c>
      <c r="N4661" s="350" t="str">
        <f>IF($B4661="Portfolio","Portfolio",IFERROR(INDEX(DATA_ASSET_CLASSIFICATION!$U$8:$U$24,MATCH($C4661,DATA_ASSET_CLASSIFICATION!$A$8:$A$24,0)),"Review"))</f>
        <v>New Build</v>
      </c>
      <c r="O4661" s="350" t="str">
        <f>IF($B4661="Portfolio","Portfolio",IFERROR(INDEX(DATA_ASSET_CLASSIFICATION!$AB$8:$AB$13,MATCH($N4661,DATA_ASSET_CLASSIFICATION!$AA$8:$AA$13,0)),"Review"))</f>
        <v>Bucket 1 · New Build</v>
      </c>
      <c r="P4661" s="350" t="str">
        <f>IF($B4661="Portfolio","Portfolio",IFERROR(INDEX(DATA_ASSET_CLASSIFICATION!$C$8:$C$24,MATCH($C4661,DATA_ASSET_CLASSIFICATION!$A$8:$A$24,0)),"Review"))</f>
        <v>Yes</v>
      </c>
      <c r="Q4661" s="350" t="str">
        <f t="shared" ca="1" si="145"/>
        <v>OK</v>
      </c>
    </row>
    <row r="4662" spans="1:17" ht="30">
      <c r="A4662" s="366" t="s">
        <v>6618</v>
      </c>
      <c r="B4662" s="366" t="s">
        <v>231</v>
      </c>
      <c r="C4662" s="348" t="str">
        <f>DATA_PROPERTY_MASTER!$A$20</f>
        <v>BLD_PM</v>
      </c>
      <c r="D4662" s="380">
        <f>'00_PORTFOLIO ROLLUP'!F$12</f>
        <v>2026</v>
      </c>
      <c r="E4662" s="366" t="s">
        <v>1741</v>
      </c>
      <c r="F4662" s="366" t="s">
        <v>1749</v>
      </c>
      <c r="G4662" s="348" t="str">
        <f>"'"&amp;$C4662&amp;"'!rows 56, 63, 68"</f>
        <v>'BLD_PM'!rows 56, 63, 68</v>
      </c>
      <c r="H4662" s="381">
        <f ca="1">IF(IFERROR(INDEX(DATA_PROPERTY_MASTER!$E$5:$E$21,MATCH($C4662,DATA_PROPERTY_MASTER!$A$5:$A$21,0))="Yes",FALSE),(IFERROR(INDEX(INDIRECT("'"&amp;$C4662&amp;"'!$E$56:$Y$56"),1,MATCH($D4662,INDIRECT("'"&amp;$C4662&amp;"'!$E$12:$Y$12"),0)),0)+MAX(IFERROR(INDEX(INDIRECT("'"&amp;$C4662&amp;"'!$E$63:$Y$63"),1,MATCH($D4662,INDIRECT("'"&amp;$C4662&amp;"'!$E$12:$Y$12"),0)),0),0))-(IFERROR(INDEX(INDIRECT("'"&amp;$C4662&amp;"'!$E$68:$Y$68"),1,MATCH($D4662,INDIRECT("'"&amp;$C4662&amp;"'!$E$12:$Y$12"),0)),0)),0)</f>
        <v>0</v>
      </c>
      <c r="I4662" s="366" t="s">
        <v>1750</v>
      </c>
      <c r="J4662" s="348" t="str">
        <f t="shared" ca="1" si="144"/>
        <v>OK</v>
      </c>
      <c r="K4662" s="366" t="s">
        <v>1751</v>
      </c>
      <c r="L4662" s="366" t="s">
        <v>2266</v>
      </c>
      <c r="M4662" s="350" t="str">
        <f>IF($B4662="Portfolio","Portfolio",IFERROR(INDEX(DATA_ASSET_CLASSIFICATION!$B$8:$B$24,MATCH($C4662,DATA_ASSET_CLASSIFICATION!$A$8:$A$24,0)),"Review"))</f>
        <v>The Creek, Port Moody</v>
      </c>
      <c r="N4662" s="350" t="str">
        <f>IF($B4662="Portfolio","Portfolio",IFERROR(INDEX(DATA_ASSET_CLASSIFICATION!$U$8:$U$24,MATCH($C4662,DATA_ASSET_CLASSIFICATION!$A$8:$A$24,0)),"Review"))</f>
        <v>New Build</v>
      </c>
      <c r="O4662" s="350" t="str">
        <f>IF($B4662="Portfolio","Portfolio",IFERROR(INDEX(DATA_ASSET_CLASSIFICATION!$AB$8:$AB$13,MATCH($N4662,DATA_ASSET_CLASSIFICATION!$AA$8:$AA$13,0)),"Review"))</f>
        <v>Bucket 1 · New Build</v>
      </c>
      <c r="P4662" s="350" t="str">
        <f>IF($B4662="Portfolio","Portfolio",IFERROR(INDEX(DATA_ASSET_CLASSIFICATION!$C$8:$C$24,MATCH($C4662,DATA_ASSET_CLASSIFICATION!$A$8:$A$24,0)),"Review"))</f>
        <v>Yes</v>
      </c>
      <c r="Q4662" s="350" t="str">
        <f t="shared" ca="1" si="145"/>
        <v>OK</v>
      </c>
    </row>
    <row r="4663" spans="1:17" ht="30">
      <c r="A4663" s="366" t="s">
        <v>6619</v>
      </c>
      <c r="B4663" s="366" t="s">
        <v>231</v>
      </c>
      <c r="C4663" s="348" t="str">
        <f>DATA_PROPERTY_MASTER!$A$20</f>
        <v>BLD_PM</v>
      </c>
      <c r="D4663" s="380">
        <f>'00_PORTFOLIO ROLLUP'!G$12</f>
        <v>2027</v>
      </c>
      <c r="E4663" s="366" t="s">
        <v>1683</v>
      </c>
      <c r="F4663" s="366" t="s">
        <v>341</v>
      </c>
      <c r="G4663" s="348" t="str">
        <f>"'"&amp;$C4663&amp;"'!$E$24:$Y$24"</f>
        <v>'BLD_PM'!$E$24:$Y$24</v>
      </c>
      <c r="H4663" s="381">
        <f ca="1">IF(IFERROR(INDEX(DATA_PROPERTY_MASTER!$E$5:$E$21,MATCH($C4663,DATA_PROPERTY_MASTER!$A$5:$A$21,0))="Yes",FALSE),IFERROR(INDEX(INDIRECT("'"&amp;$C4663&amp;"'!$E$24:$Y$24"),1,MATCH($D4663,INDIRECT("'"&amp;$C4663&amp;"'!$E$12:$Y$12"),0)),0),0)</f>
        <v>4883885.4787541274</v>
      </c>
      <c r="I4663" s="366" t="s">
        <v>1685</v>
      </c>
      <c r="J4663" s="348" t="str">
        <f t="shared" ca="1" si="144"/>
        <v>OK</v>
      </c>
      <c r="K4663" s="366" t="s">
        <v>1686</v>
      </c>
      <c r="L4663" s="366" t="s">
        <v>2234</v>
      </c>
      <c r="M4663" s="350" t="str">
        <f>IF($B4663="Portfolio","Portfolio",IFERROR(INDEX(DATA_ASSET_CLASSIFICATION!$B$8:$B$24,MATCH($C4663,DATA_ASSET_CLASSIFICATION!$A$8:$A$24,0)),"Review"))</f>
        <v>The Creek, Port Moody</v>
      </c>
      <c r="N4663" s="350" t="str">
        <f>IF($B4663="Portfolio","Portfolio",IFERROR(INDEX(DATA_ASSET_CLASSIFICATION!$U$8:$U$24,MATCH($C4663,DATA_ASSET_CLASSIFICATION!$A$8:$A$24,0)),"Review"))</f>
        <v>New Build</v>
      </c>
      <c r="O4663" s="350" t="str">
        <f>IF($B4663="Portfolio","Portfolio",IFERROR(INDEX(DATA_ASSET_CLASSIFICATION!$AB$8:$AB$13,MATCH($N4663,DATA_ASSET_CLASSIFICATION!$AA$8:$AA$13,0)),"Review"))</f>
        <v>Bucket 1 · New Build</v>
      </c>
      <c r="P4663" s="350" t="str">
        <f>IF($B4663="Portfolio","Portfolio",IFERROR(INDEX(DATA_ASSET_CLASSIFICATION!$C$8:$C$24,MATCH($C4663,DATA_ASSET_CLASSIFICATION!$A$8:$A$24,0)),"Review"))</f>
        <v>Yes</v>
      </c>
      <c r="Q4663" s="350" t="str">
        <f t="shared" ca="1" si="145"/>
        <v>OK</v>
      </c>
    </row>
    <row r="4664" spans="1:17" ht="30">
      <c r="A4664" s="366" t="s">
        <v>6620</v>
      </c>
      <c r="B4664" s="366" t="s">
        <v>231</v>
      </c>
      <c r="C4664" s="348" t="str">
        <f>DATA_PROPERTY_MASTER!$A$20</f>
        <v>BLD_PM</v>
      </c>
      <c r="D4664" s="380">
        <f>'00_PORTFOLIO ROLLUP'!G$12</f>
        <v>2027</v>
      </c>
      <c r="E4664" s="366" t="s">
        <v>1683</v>
      </c>
      <c r="F4664" s="366" t="s">
        <v>355</v>
      </c>
      <c r="G4664" s="348" t="str">
        <f>"'"&amp;$C4664&amp;"'!$E$39:$Y$39"</f>
        <v>'BLD_PM'!$E$39:$Y$39</v>
      </c>
      <c r="H4664" s="381">
        <f ca="1">IF(IFERROR(INDEX(DATA_PROPERTY_MASTER!$E$5:$E$21,MATCH($C4664,DATA_PROPERTY_MASTER!$A$5:$A$21,0))="Yes",FALSE),IFERROR(INDEX(INDIRECT("'"&amp;$C4664&amp;"'!$E$39:$Y$39"),1,MATCH($D4664,INDIRECT("'"&amp;$C4664&amp;"'!$E$12:$Y$12"),0)),0),0)</f>
        <v>190794.24000000002</v>
      </c>
      <c r="I4664" s="366" t="s">
        <v>1690</v>
      </c>
      <c r="J4664" s="348" t="str">
        <f t="shared" ca="1" si="144"/>
        <v>OK</v>
      </c>
      <c r="K4664" s="366" t="s">
        <v>1686</v>
      </c>
      <c r="L4664" s="366" t="s">
        <v>2236</v>
      </c>
      <c r="M4664" s="350" t="str">
        <f>IF($B4664="Portfolio","Portfolio",IFERROR(INDEX(DATA_ASSET_CLASSIFICATION!$B$8:$B$24,MATCH($C4664,DATA_ASSET_CLASSIFICATION!$A$8:$A$24,0)),"Review"))</f>
        <v>The Creek, Port Moody</v>
      </c>
      <c r="N4664" s="350" t="str">
        <f>IF($B4664="Portfolio","Portfolio",IFERROR(INDEX(DATA_ASSET_CLASSIFICATION!$U$8:$U$24,MATCH($C4664,DATA_ASSET_CLASSIFICATION!$A$8:$A$24,0)),"Review"))</f>
        <v>New Build</v>
      </c>
      <c r="O4664" s="350" t="str">
        <f>IF($B4664="Portfolio","Portfolio",IFERROR(INDEX(DATA_ASSET_CLASSIFICATION!$AB$8:$AB$13,MATCH($N4664,DATA_ASSET_CLASSIFICATION!$AA$8:$AA$13,0)),"Review"))</f>
        <v>Bucket 1 · New Build</v>
      </c>
      <c r="P4664" s="350" t="str">
        <f>IF($B4664="Portfolio","Portfolio",IFERROR(INDEX(DATA_ASSET_CLASSIFICATION!$C$8:$C$24,MATCH($C4664,DATA_ASSET_CLASSIFICATION!$A$8:$A$24,0)),"Review"))</f>
        <v>Yes</v>
      </c>
      <c r="Q4664" s="350" t="str">
        <f t="shared" ca="1" si="145"/>
        <v>OK</v>
      </c>
    </row>
    <row r="4665" spans="1:17" ht="30">
      <c r="A4665" s="366" t="s">
        <v>6621</v>
      </c>
      <c r="B4665" s="366" t="s">
        <v>231</v>
      </c>
      <c r="C4665" s="348" t="str">
        <f>DATA_PROPERTY_MASTER!$A$20</f>
        <v>BLD_PM</v>
      </c>
      <c r="D4665" s="380">
        <f>'00_PORTFOLIO ROLLUP'!G$12</f>
        <v>2027</v>
      </c>
      <c r="E4665" s="366" t="s">
        <v>1683</v>
      </c>
      <c r="F4665" s="366" t="s">
        <v>19</v>
      </c>
      <c r="G4665" s="348" t="str">
        <f>"'"&amp;$C4665&amp;"'!$E$41:$Y$41"</f>
        <v>'BLD_PM'!$E$41:$Y$41</v>
      </c>
      <c r="H4665" s="381">
        <f ca="1">IF(IFERROR(INDEX(DATA_PROPERTY_MASTER!$E$5:$E$21,MATCH($C4665,DATA_PROPERTY_MASTER!$A$5:$A$21,0))="Yes",FALSE),IFERROR(INDEX(INDIRECT("'"&amp;$C4665&amp;"'!$E$41:$Y$41"),1,MATCH($D4665,INDIRECT("'"&amp;$C4665&amp;"'!$E$12:$Y$12"),0)),0),0)</f>
        <v>4693091.2387541272</v>
      </c>
      <c r="I4665" s="366" t="s">
        <v>1685</v>
      </c>
      <c r="J4665" s="348" t="str">
        <f t="shared" ca="1" si="144"/>
        <v>OK</v>
      </c>
      <c r="K4665" s="366" t="s">
        <v>1694</v>
      </c>
      <c r="L4665" s="366" t="s">
        <v>2238</v>
      </c>
      <c r="M4665" s="350" t="str">
        <f>IF($B4665="Portfolio","Portfolio",IFERROR(INDEX(DATA_ASSET_CLASSIFICATION!$B$8:$B$24,MATCH($C4665,DATA_ASSET_CLASSIFICATION!$A$8:$A$24,0)),"Review"))</f>
        <v>The Creek, Port Moody</v>
      </c>
      <c r="N4665" s="350" t="str">
        <f>IF($B4665="Portfolio","Portfolio",IFERROR(INDEX(DATA_ASSET_CLASSIFICATION!$U$8:$U$24,MATCH($C4665,DATA_ASSET_CLASSIFICATION!$A$8:$A$24,0)),"Review"))</f>
        <v>New Build</v>
      </c>
      <c r="O4665" s="350" t="str">
        <f>IF($B4665="Portfolio","Portfolio",IFERROR(INDEX(DATA_ASSET_CLASSIFICATION!$AB$8:$AB$13,MATCH($N4665,DATA_ASSET_CLASSIFICATION!$AA$8:$AA$13,0)),"Review"))</f>
        <v>Bucket 1 · New Build</v>
      </c>
      <c r="P4665" s="350" t="str">
        <f>IF($B4665="Portfolio","Portfolio",IFERROR(INDEX(DATA_ASSET_CLASSIFICATION!$C$8:$C$24,MATCH($C4665,DATA_ASSET_CLASSIFICATION!$A$8:$A$24,0)),"Review"))</f>
        <v>Yes</v>
      </c>
      <c r="Q4665" s="350" t="str">
        <f t="shared" ca="1" si="145"/>
        <v>OK</v>
      </c>
    </row>
    <row r="4666" spans="1:17" ht="30">
      <c r="A4666" s="366" t="s">
        <v>6622</v>
      </c>
      <c r="B4666" s="366" t="s">
        <v>231</v>
      </c>
      <c r="C4666" s="348" t="str">
        <f>DATA_PROPERTY_MASTER!$A$20</f>
        <v>BLD_PM</v>
      </c>
      <c r="D4666" s="380">
        <f>'00_PORTFOLIO ROLLUP'!G$12</f>
        <v>2027</v>
      </c>
      <c r="E4666" s="366" t="s">
        <v>1683</v>
      </c>
      <c r="F4666" s="366" t="s">
        <v>1697</v>
      </c>
      <c r="G4666" s="348" t="str">
        <f>"'"&amp;$C4666&amp;"'!$E$44:$Y$44"</f>
        <v>'BLD_PM'!$E$44:$Y$44</v>
      </c>
      <c r="H4666" s="381">
        <f ca="1">IF(IFERROR(INDEX(DATA_PROPERTY_MASTER!$E$5:$E$21,MATCH($C4666,DATA_PROPERTY_MASTER!$A$5:$A$21,0))="Yes",FALSE),IFERROR(INDEX(INDIRECT("'"&amp;$C4666&amp;"'!$E$44:$Y$44"),1,MATCH($D4666,INDIRECT("'"&amp;$C4666&amp;"'!$E$12:$Y$12"),0)),0),0)</f>
        <v>51187.68</v>
      </c>
      <c r="I4666" s="366" t="s">
        <v>1690</v>
      </c>
      <c r="J4666" s="348" t="str">
        <f t="shared" ca="1" si="144"/>
        <v>OK</v>
      </c>
      <c r="K4666" s="366" t="s">
        <v>1699</v>
      </c>
      <c r="L4666" s="366" t="s">
        <v>2240</v>
      </c>
      <c r="M4666" s="350" t="str">
        <f>IF($B4666="Portfolio","Portfolio",IFERROR(INDEX(DATA_ASSET_CLASSIFICATION!$B$8:$B$24,MATCH($C4666,DATA_ASSET_CLASSIFICATION!$A$8:$A$24,0)),"Review"))</f>
        <v>The Creek, Port Moody</v>
      </c>
      <c r="N4666" s="350" t="str">
        <f>IF($B4666="Portfolio","Portfolio",IFERROR(INDEX(DATA_ASSET_CLASSIFICATION!$U$8:$U$24,MATCH($C4666,DATA_ASSET_CLASSIFICATION!$A$8:$A$24,0)),"Review"))</f>
        <v>New Build</v>
      </c>
      <c r="O4666" s="350" t="str">
        <f>IF($B4666="Portfolio","Portfolio",IFERROR(INDEX(DATA_ASSET_CLASSIFICATION!$AB$8:$AB$13,MATCH($N4666,DATA_ASSET_CLASSIFICATION!$AA$8:$AA$13,0)),"Review"))</f>
        <v>Bucket 1 · New Build</v>
      </c>
      <c r="P4666" s="350" t="str">
        <f>IF($B4666="Portfolio","Portfolio",IFERROR(INDEX(DATA_ASSET_CLASSIFICATION!$C$8:$C$24,MATCH($C4666,DATA_ASSET_CLASSIFICATION!$A$8:$A$24,0)),"Review"))</f>
        <v>Yes</v>
      </c>
      <c r="Q4666" s="350" t="str">
        <f t="shared" ca="1" si="145"/>
        <v>OK</v>
      </c>
    </row>
    <row r="4667" spans="1:17" ht="30">
      <c r="A4667" s="366" t="s">
        <v>6623</v>
      </c>
      <c r="B4667" s="366" t="s">
        <v>231</v>
      </c>
      <c r="C4667" s="348" t="str">
        <f>DATA_PROPERTY_MASTER!$A$20</f>
        <v>BLD_PM</v>
      </c>
      <c r="D4667" s="380">
        <f>'00_PORTFOLIO ROLLUP'!G$12</f>
        <v>2027</v>
      </c>
      <c r="E4667" s="366" t="s">
        <v>1683</v>
      </c>
      <c r="F4667" s="366" t="s">
        <v>21</v>
      </c>
      <c r="G4667" s="348" t="str">
        <f>"'"&amp;$C4667&amp;"'!$E$45:$Y$45"</f>
        <v>'BLD_PM'!$E$45:$Y$45</v>
      </c>
      <c r="H4667" s="381">
        <f ca="1">IF(IFERROR(INDEX(DATA_PROPERTY_MASTER!$E$5:$E$21,MATCH($C4667,DATA_PROPERTY_MASTER!$A$5:$A$21,0))="Yes",FALSE),IFERROR(INDEX(INDIRECT("'"&amp;$C4667&amp;"'!$E$45:$Y$45"),1,MATCH($D4667,INDIRECT("'"&amp;$C4667&amp;"'!$E$12:$Y$12"),0)),0),0)</f>
        <v>4641903.5587541275</v>
      </c>
      <c r="I4667" s="366" t="s">
        <v>1685</v>
      </c>
      <c r="J4667" s="348" t="str">
        <f t="shared" ca="1" si="144"/>
        <v>OK</v>
      </c>
      <c r="K4667" s="366" t="s">
        <v>1694</v>
      </c>
      <c r="L4667" s="366" t="s">
        <v>2242</v>
      </c>
      <c r="M4667" s="350" t="str">
        <f>IF($B4667="Portfolio","Portfolio",IFERROR(INDEX(DATA_ASSET_CLASSIFICATION!$B$8:$B$24,MATCH($C4667,DATA_ASSET_CLASSIFICATION!$A$8:$A$24,0)),"Review"))</f>
        <v>The Creek, Port Moody</v>
      </c>
      <c r="N4667" s="350" t="str">
        <f>IF($B4667="Portfolio","Portfolio",IFERROR(INDEX(DATA_ASSET_CLASSIFICATION!$U$8:$U$24,MATCH($C4667,DATA_ASSET_CLASSIFICATION!$A$8:$A$24,0)),"Review"))</f>
        <v>New Build</v>
      </c>
      <c r="O4667" s="350" t="str">
        <f>IF($B4667="Portfolio","Portfolio",IFERROR(INDEX(DATA_ASSET_CLASSIFICATION!$AB$8:$AB$13,MATCH($N4667,DATA_ASSET_CLASSIFICATION!$AA$8:$AA$13,0)),"Review"))</f>
        <v>Bucket 1 · New Build</v>
      </c>
      <c r="P4667" s="350" t="str">
        <f>IF($B4667="Portfolio","Portfolio",IFERROR(INDEX(DATA_ASSET_CLASSIFICATION!$C$8:$C$24,MATCH($C4667,DATA_ASSET_CLASSIFICATION!$A$8:$A$24,0)),"Review"))</f>
        <v>Yes</v>
      </c>
      <c r="Q4667" s="350" t="str">
        <f t="shared" ca="1" si="145"/>
        <v>OK</v>
      </c>
    </row>
    <row r="4668" spans="1:17" ht="30">
      <c r="A4668" s="366" t="s">
        <v>6624</v>
      </c>
      <c r="B4668" s="366" t="s">
        <v>231</v>
      </c>
      <c r="C4668" s="348" t="str">
        <f>DATA_PROPERTY_MASTER!$A$20</f>
        <v>BLD_PM</v>
      </c>
      <c r="D4668" s="380">
        <f>'00_PORTFOLIO ROLLUP'!G$12</f>
        <v>2027</v>
      </c>
      <c r="E4668" s="366" t="s">
        <v>23</v>
      </c>
      <c r="F4668" s="366" t="s">
        <v>23</v>
      </c>
      <c r="G4668" s="348" t="str">
        <f>"'"&amp;$C4668&amp;"'!$E$48:$Y$48"</f>
        <v>'BLD_PM'!$E$48:$Y$48</v>
      </c>
      <c r="H4668" s="381">
        <f ca="1">IF(IFERROR(INDEX(DATA_PROPERTY_MASTER!$E$5:$E$21,MATCH($C4668,DATA_PROPERTY_MASTER!$A$5:$A$21,0))="Yes",FALSE),IFERROR(INDEX(INDIRECT("'"&amp;$C4668&amp;"'!$E$48:$Y$48"),1,MATCH($D4668,INDIRECT("'"&amp;$C4668&amp;"'!$E$12:$Y$12"),0)),0),0)</f>
        <v>7166391.2775474079</v>
      </c>
      <c r="I4668" s="366" t="s">
        <v>1690</v>
      </c>
      <c r="J4668" s="348" t="str">
        <f t="shared" ca="1" si="144"/>
        <v>OK</v>
      </c>
      <c r="K4668" s="366" t="s">
        <v>1706</v>
      </c>
      <c r="L4668" s="366" t="s">
        <v>2244</v>
      </c>
      <c r="M4668" s="350" t="str">
        <f>IF($B4668="Portfolio","Portfolio",IFERROR(INDEX(DATA_ASSET_CLASSIFICATION!$B$8:$B$24,MATCH($C4668,DATA_ASSET_CLASSIFICATION!$A$8:$A$24,0)),"Review"))</f>
        <v>The Creek, Port Moody</v>
      </c>
      <c r="N4668" s="350" t="str">
        <f>IF($B4668="Portfolio","Portfolio",IFERROR(INDEX(DATA_ASSET_CLASSIFICATION!$U$8:$U$24,MATCH($C4668,DATA_ASSET_CLASSIFICATION!$A$8:$A$24,0)),"Review"))</f>
        <v>New Build</v>
      </c>
      <c r="O4668" s="350" t="str">
        <f>IF($B4668="Portfolio","Portfolio",IFERROR(INDEX(DATA_ASSET_CLASSIFICATION!$AB$8:$AB$13,MATCH($N4668,DATA_ASSET_CLASSIFICATION!$AA$8:$AA$13,0)),"Review"))</f>
        <v>Bucket 1 · New Build</v>
      </c>
      <c r="P4668" s="350" t="str">
        <f>IF($B4668="Portfolio","Portfolio",IFERROR(INDEX(DATA_ASSET_CLASSIFICATION!$C$8:$C$24,MATCH($C4668,DATA_ASSET_CLASSIFICATION!$A$8:$A$24,0)),"Review"))</f>
        <v>Yes</v>
      </c>
      <c r="Q4668" s="350" t="str">
        <f t="shared" ca="1" si="145"/>
        <v>OK</v>
      </c>
    </row>
    <row r="4669" spans="1:17" ht="30">
      <c r="A4669" s="366" t="s">
        <v>6625</v>
      </c>
      <c r="B4669" s="366" t="s">
        <v>231</v>
      </c>
      <c r="C4669" s="348" t="str">
        <f>DATA_PROPERTY_MASTER!$A$20</f>
        <v>BLD_PM</v>
      </c>
      <c r="D4669" s="380">
        <f>'00_PORTFOLIO ROLLUP'!G$12</f>
        <v>2027</v>
      </c>
      <c r="E4669" s="366" t="s">
        <v>1683</v>
      </c>
      <c r="F4669" s="366" t="s">
        <v>25</v>
      </c>
      <c r="G4669" s="348" t="str">
        <f>"'"&amp;$C4669&amp;"'!$E$52:$Y$52"</f>
        <v>'BLD_PM'!$E$52:$Y$52</v>
      </c>
      <c r="H4669" s="381">
        <f ca="1">IF(IFERROR(INDEX(DATA_PROPERTY_MASTER!$E$5:$E$21,MATCH($C4669,DATA_PROPERTY_MASTER!$A$5:$A$21,0))="Yes",FALSE),IFERROR(INDEX(INDIRECT("'"&amp;$C4669&amp;"'!$E$52:$Y$52"),1,MATCH($D4669,INDIRECT("'"&amp;$C4669&amp;"'!$E$12:$Y$12"),0)),0),0)</f>
        <v>-2473300.0387932807</v>
      </c>
      <c r="I4669" s="366" t="s">
        <v>1685</v>
      </c>
      <c r="J4669" s="348" t="str">
        <f t="shared" ca="1" si="144"/>
        <v>OK</v>
      </c>
      <c r="K4669" s="366" t="s">
        <v>1710</v>
      </c>
      <c r="L4669" s="366" t="s">
        <v>2246</v>
      </c>
      <c r="M4669" s="350" t="str">
        <f>IF($B4669="Portfolio","Portfolio",IFERROR(INDEX(DATA_ASSET_CLASSIFICATION!$B$8:$B$24,MATCH($C4669,DATA_ASSET_CLASSIFICATION!$A$8:$A$24,0)),"Review"))</f>
        <v>The Creek, Port Moody</v>
      </c>
      <c r="N4669" s="350" t="str">
        <f>IF($B4669="Portfolio","Portfolio",IFERROR(INDEX(DATA_ASSET_CLASSIFICATION!$U$8:$U$24,MATCH($C4669,DATA_ASSET_CLASSIFICATION!$A$8:$A$24,0)),"Review"))</f>
        <v>New Build</v>
      </c>
      <c r="O4669" s="350" t="str">
        <f>IF($B4669="Portfolio","Portfolio",IFERROR(INDEX(DATA_ASSET_CLASSIFICATION!$AB$8:$AB$13,MATCH($N4669,DATA_ASSET_CLASSIFICATION!$AA$8:$AA$13,0)),"Review"))</f>
        <v>Bucket 1 · New Build</v>
      </c>
      <c r="P4669" s="350" t="str">
        <f>IF($B4669="Portfolio","Portfolio",IFERROR(INDEX(DATA_ASSET_CLASSIFICATION!$C$8:$C$24,MATCH($C4669,DATA_ASSET_CLASSIFICATION!$A$8:$A$24,0)),"Review"))</f>
        <v>Yes</v>
      </c>
      <c r="Q4669" s="350" t="str">
        <f t="shared" ca="1" si="145"/>
        <v>OK</v>
      </c>
    </row>
    <row r="4670" spans="1:17" ht="30">
      <c r="A4670" s="366" t="s">
        <v>6626</v>
      </c>
      <c r="B4670" s="366" t="s">
        <v>231</v>
      </c>
      <c r="C4670" s="348" t="str">
        <f>DATA_PROPERTY_MASTER!$A$20</f>
        <v>BLD_PM</v>
      </c>
      <c r="D4670" s="380">
        <f>'00_PORTFOLIO ROLLUP'!G$12</f>
        <v>2027</v>
      </c>
      <c r="E4670" s="366" t="s">
        <v>1683</v>
      </c>
      <c r="F4670" s="366" t="s">
        <v>27</v>
      </c>
      <c r="G4670" s="348" t="str">
        <f>"'"&amp;$C4670&amp;"'!$E$54:$Y$54"</f>
        <v>'BLD_PM'!$E$54:$Y$54</v>
      </c>
      <c r="H4670" s="381">
        <f ca="1">IF(IFERROR(INDEX(DATA_PROPERTY_MASTER!$E$5:$E$21,MATCH($C4670,DATA_PROPERTY_MASTER!$A$5:$A$21,0))="Yes",FALSE),IFERROR(INDEX(INDIRECT("'"&amp;$C4670&amp;"'!$E$54:$Y$54"),1,MATCH($D4670,INDIRECT("'"&amp;$C4670&amp;"'!$E$12:$Y$12"),0)),0),0)</f>
        <v>0</v>
      </c>
      <c r="I4670" s="366" t="s">
        <v>1690</v>
      </c>
      <c r="J4670" s="348" t="str">
        <f t="shared" ca="1" si="144"/>
        <v>OK</v>
      </c>
      <c r="K4670" s="366" t="s">
        <v>1714</v>
      </c>
      <c r="L4670" s="366" t="s">
        <v>2248</v>
      </c>
      <c r="M4670" s="350" t="str">
        <f>IF($B4670="Portfolio","Portfolio",IFERROR(INDEX(DATA_ASSET_CLASSIFICATION!$B$8:$B$24,MATCH($C4670,DATA_ASSET_CLASSIFICATION!$A$8:$A$24,0)),"Review"))</f>
        <v>The Creek, Port Moody</v>
      </c>
      <c r="N4670" s="350" t="str">
        <f>IF($B4670="Portfolio","Portfolio",IFERROR(INDEX(DATA_ASSET_CLASSIFICATION!$U$8:$U$24,MATCH($C4670,DATA_ASSET_CLASSIFICATION!$A$8:$A$24,0)),"Review"))</f>
        <v>New Build</v>
      </c>
      <c r="O4670" s="350" t="str">
        <f>IF($B4670="Portfolio","Portfolio",IFERROR(INDEX(DATA_ASSET_CLASSIFICATION!$AB$8:$AB$13,MATCH($N4670,DATA_ASSET_CLASSIFICATION!$AA$8:$AA$13,0)),"Review"))</f>
        <v>Bucket 1 · New Build</v>
      </c>
      <c r="P4670" s="350" t="str">
        <f>IF($B4670="Portfolio","Portfolio",IFERROR(INDEX(DATA_ASSET_CLASSIFICATION!$C$8:$C$24,MATCH($C4670,DATA_ASSET_CLASSIFICATION!$A$8:$A$24,0)),"Review"))</f>
        <v>Yes</v>
      </c>
      <c r="Q4670" s="350" t="str">
        <f t="shared" ca="1" si="145"/>
        <v>OK</v>
      </c>
    </row>
    <row r="4671" spans="1:17" ht="30">
      <c r="A4671" s="366" t="s">
        <v>6627</v>
      </c>
      <c r="B4671" s="366" t="s">
        <v>231</v>
      </c>
      <c r="C4671" s="348" t="str">
        <f>DATA_PROPERTY_MASTER!$A$20</f>
        <v>BLD_PM</v>
      </c>
      <c r="D4671" s="380">
        <f>'00_PORTFOLIO ROLLUP'!G$12</f>
        <v>2027</v>
      </c>
      <c r="E4671" s="366" t="s">
        <v>1683</v>
      </c>
      <c r="F4671" s="366" t="s">
        <v>29</v>
      </c>
      <c r="G4671" s="348" t="str">
        <f>"'"&amp;$C4671&amp;"'!$E$56:$Y$56"</f>
        <v>'BLD_PM'!$E$56:$Y$56</v>
      </c>
      <c r="H4671" s="381">
        <f ca="1">IF(IFERROR(INDEX(DATA_PROPERTY_MASTER!$E$5:$E$21,MATCH($C4671,DATA_PROPERTY_MASTER!$A$5:$A$21,0))="Yes",FALSE),IFERROR(INDEX(INDIRECT("'"&amp;$C4671&amp;"'!$E$56:$Y$56"),1,MATCH($D4671,INDIRECT("'"&amp;$C4671&amp;"'!$E$12:$Y$12"),0)),0),0)</f>
        <v>-2473300.0387932807</v>
      </c>
      <c r="I4671" s="366" t="s">
        <v>1685</v>
      </c>
      <c r="J4671" s="348" t="str">
        <f t="shared" ca="1" si="144"/>
        <v>OK</v>
      </c>
      <c r="K4671" s="366" t="s">
        <v>1718</v>
      </c>
      <c r="L4671" s="366" t="s">
        <v>2250</v>
      </c>
      <c r="M4671" s="350" t="str">
        <f>IF($B4671="Portfolio","Portfolio",IFERROR(INDEX(DATA_ASSET_CLASSIFICATION!$B$8:$B$24,MATCH($C4671,DATA_ASSET_CLASSIFICATION!$A$8:$A$24,0)),"Review"))</f>
        <v>The Creek, Port Moody</v>
      </c>
      <c r="N4671" s="350" t="str">
        <f>IF($B4671="Portfolio","Portfolio",IFERROR(INDEX(DATA_ASSET_CLASSIFICATION!$U$8:$U$24,MATCH($C4671,DATA_ASSET_CLASSIFICATION!$A$8:$A$24,0)),"Review"))</f>
        <v>New Build</v>
      </c>
      <c r="O4671" s="350" t="str">
        <f>IF($B4671="Portfolio","Portfolio",IFERROR(INDEX(DATA_ASSET_CLASSIFICATION!$AB$8:$AB$13,MATCH($N4671,DATA_ASSET_CLASSIFICATION!$AA$8:$AA$13,0)),"Review"))</f>
        <v>Bucket 1 · New Build</v>
      </c>
      <c r="P4671" s="350" t="str">
        <f>IF($B4671="Portfolio","Portfolio",IFERROR(INDEX(DATA_ASSET_CLASSIFICATION!$C$8:$C$24,MATCH($C4671,DATA_ASSET_CLASSIFICATION!$A$8:$A$24,0)),"Review"))</f>
        <v>Yes</v>
      </c>
      <c r="Q4671" s="350" t="str">
        <f t="shared" ca="1" si="145"/>
        <v>OK</v>
      </c>
    </row>
    <row r="4672" spans="1:17" ht="30">
      <c r="A4672" s="366" t="s">
        <v>6628</v>
      </c>
      <c r="B4672" s="366" t="s">
        <v>231</v>
      </c>
      <c r="C4672" s="348" t="str">
        <f>DATA_PROPERTY_MASTER!$A$20</f>
        <v>BLD_PM</v>
      </c>
      <c r="D4672" s="380">
        <f>'00_PORTFOLIO ROLLUP'!G$12</f>
        <v>2027</v>
      </c>
      <c r="E4672" s="366" t="s">
        <v>1721</v>
      </c>
      <c r="F4672" s="366" t="s">
        <v>31</v>
      </c>
      <c r="G4672" s="348" t="str">
        <f>"'"&amp;$C4672&amp;"'!$E$61:$Y$61"</f>
        <v>'BLD_PM'!$E$61:$Y$61</v>
      </c>
      <c r="H4672" s="381">
        <f ca="1">IF(IFERROR(INDEX(DATA_PROPERTY_MASTER!$E$5:$E$21,MATCH($C4672,DATA_PROPERTY_MASTER!$A$5:$A$21,0))="Yes",FALSE),IFERROR(INDEX(INDIRECT("'"&amp;$C4672&amp;"'!$E$61:$Y$61"),1,MATCH($D4672,INDIRECT("'"&amp;$C4672&amp;"'!$E$12:$Y$12"),0)),0),0)</f>
        <v>-129111359.44755185</v>
      </c>
      <c r="I4672" s="366" t="s">
        <v>1690</v>
      </c>
      <c r="J4672" s="348" t="str">
        <f t="shared" ca="1" si="144"/>
        <v>OK</v>
      </c>
      <c r="K4672" s="366" t="s">
        <v>1723</v>
      </c>
      <c r="L4672" s="366" t="s">
        <v>2252</v>
      </c>
      <c r="M4672" s="350" t="str">
        <f>IF($B4672="Portfolio","Portfolio",IFERROR(INDEX(DATA_ASSET_CLASSIFICATION!$B$8:$B$24,MATCH($C4672,DATA_ASSET_CLASSIFICATION!$A$8:$A$24,0)),"Review"))</f>
        <v>The Creek, Port Moody</v>
      </c>
      <c r="N4672" s="350" t="str">
        <f>IF($B4672="Portfolio","Portfolio",IFERROR(INDEX(DATA_ASSET_CLASSIFICATION!$U$8:$U$24,MATCH($C4672,DATA_ASSET_CLASSIFICATION!$A$8:$A$24,0)),"Review"))</f>
        <v>New Build</v>
      </c>
      <c r="O4672" s="350" t="str">
        <f>IF($B4672="Portfolio","Portfolio",IFERROR(INDEX(DATA_ASSET_CLASSIFICATION!$AB$8:$AB$13,MATCH($N4672,DATA_ASSET_CLASSIFICATION!$AA$8:$AA$13,0)),"Review"))</f>
        <v>Bucket 1 · New Build</v>
      </c>
      <c r="P4672" s="350" t="str">
        <f>IF($B4672="Portfolio","Portfolio",IFERROR(INDEX(DATA_ASSET_CLASSIFICATION!$C$8:$C$24,MATCH($C4672,DATA_ASSET_CLASSIFICATION!$A$8:$A$24,0)),"Review"))</f>
        <v>Yes</v>
      </c>
      <c r="Q4672" s="350" t="str">
        <f t="shared" ca="1" si="145"/>
        <v>OK</v>
      </c>
    </row>
    <row r="4673" spans="1:17" ht="30">
      <c r="A4673" s="366" t="s">
        <v>6629</v>
      </c>
      <c r="B4673" s="366" t="s">
        <v>231</v>
      </c>
      <c r="C4673" s="348" t="str">
        <f>DATA_PROPERTY_MASTER!$A$20</f>
        <v>BLD_PM</v>
      </c>
      <c r="D4673" s="380">
        <f>'00_PORTFOLIO ROLLUP'!G$12</f>
        <v>2027</v>
      </c>
      <c r="E4673" s="366" t="s">
        <v>1721</v>
      </c>
      <c r="F4673" s="366" t="s">
        <v>33</v>
      </c>
      <c r="G4673" s="348" t="str">
        <f>"'"&amp;$C4673&amp;"'!$E$62:$Y$62"</f>
        <v>'BLD_PM'!$E$62:$Y$62</v>
      </c>
      <c r="H4673" s="381">
        <f ca="1">IF(IFERROR(INDEX(DATA_PROPERTY_MASTER!$E$5:$E$21,MATCH($C4673,DATA_PROPERTY_MASTER!$A$5:$A$21,0))="Yes",FALSE),IFERROR(INDEX(INDIRECT("'"&amp;$C4673&amp;"'!$E$62:$Y$62"),1,MATCH($D4673,INDIRECT("'"&amp;$C4673&amp;"'!$E$12:$Y$12"),0)),0),0)</f>
        <v>58663640.484426588</v>
      </c>
      <c r="I4673" s="366" t="s">
        <v>1685</v>
      </c>
      <c r="J4673" s="348" t="str">
        <f t="shared" ca="1" si="144"/>
        <v>OK</v>
      </c>
      <c r="K4673" s="366" t="s">
        <v>1727</v>
      </c>
      <c r="L4673" s="366" t="s">
        <v>2254</v>
      </c>
      <c r="M4673" s="350" t="str">
        <f>IF($B4673="Portfolio","Portfolio",IFERROR(INDEX(DATA_ASSET_CLASSIFICATION!$B$8:$B$24,MATCH($C4673,DATA_ASSET_CLASSIFICATION!$A$8:$A$24,0)),"Review"))</f>
        <v>The Creek, Port Moody</v>
      </c>
      <c r="N4673" s="350" t="str">
        <f>IF($B4673="Portfolio","Portfolio",IFERROR(INDEX(DATA_ASSET_CLASSIFICATION!$U$8:$U$24,MATCH($C4673,DATA_ASSET_CLASSIFICATION!$A$8:$A$24,0)),"Review"))</f>
        <v>New Build</v>
      </c>
      <c r="O4673" s="350" t="str">
        <f>IF($B4673="Portfolio","Portfolio",IFERROR(INDEX(DATA_ASSET_CLASSIFICATION!$AB$8:$AB$13,MATCH($N4673,DATA_ASSET_CLASSIFICATION!$AA$8:$AA$13,0)),"Review"))</f>
        <v>Bucket 1 · New Build</v>
      </c>
      <c r="P4673" s="350" t="str">
        <f>IF($B4673="Portfolio","Portfolio",IFERROR(INDEX(DATA_ASSET_CLASSIFICATION!$C$8:$C$24,MATCH($C4673,DATA_ASSET_CLASSIFICATION!$A$8:$A$24,0)),"Review"))</f>
        <v>Yes</v>
      </c>
      <c r="Q4673" s="350" t="str">
        <f t="shared" ca="1" si="145"/>
        <v>OK</v>
      </c>
    </row>
    <row r="4674" spans="1:17" ht="30">
      <c r="A4674" s="366" t="s">
        <v>6630</v>
      </c>
      <c r="B4674" s="366" t="s">
        <v>231</v>
      </c>
      <c r="C4674" s="348" t="str">
        <f>DATA_PROPERTY_MASTER!$A$20</f>
        <v>BLD_PM</v>
      </c>
      <c r="D4674" s="380">
        <f>'00_PORTFOLIO ROLLUP'!G$12</f>
        <v>2027</v>
      </c>
      <c r="E4674" s="366" t="s">
        <v>1721</v>
      </c>
      <c r="F4674" s="366" t="s">
        <v>35</v>
      </c>
      <c r="G4674" s="348" t="str">
        <f>"'"&amp;$C4674&amp;"'!$E$63:$Y$63"</f>
        <v>'BLD_PM'!$E$63:$Y$63</v>
      </c>
      <c r="H4674" s="381">
        <f ca="1">IF(IFERROR(INDEX(DATA_PROPERTY_MASTER!$E$5:$E$21,MATCH($C4674,DATA_PROPERTY_MASTER!$A$5:$A$21,0))="Yes",FALSE),IFERROR(INDEX(INDIRECT("'"&amp;$C4674&amp;"'!$E$63:$Y$63"),1,MATCH($D4674,INDIRECT("'"&amp;$C4674&amp;"'!$E$12:$Y$12"),0)),0),0)</f>
        <v>-70447718.963125259</v>
      </c>
      <c r="I4674" s="366" t="s">
        <v>1731</v>
      </c>
      <c r="J4674" s="348" t="str">
        <f t="shared" ca="1" si="144"/>
        <v>Negative net refi position</v>
      </c>
      <c r="K4674" s="366" t="s">
        <v>1732</v>
      </c>
      <c r="L4674" s="366" t="s">
        <v>2256</v>
      </c>
      <c r="M4674" s="350" t="str">
        <f>IF($B4674="Portfolio","Portfolio",IFERROR(INDEX(DATA_ASSET_CLASSIFICATION!$B$8:$B$24,MATCH($C4674,DATA_ASSET_CLASSIFICATION!$A$8:$A$24,0)),"Review"))</f>
        <v>The Creek, Port Moody</v>
      </c>
      <c r="N4674" s="350" t="str">
        <f>IF($B4674="Portfolio","Portfolio",IFERROR(INDEX(DATA_ASSET_CLASSIFICATION!$U$8:$U$24,MATCH($C4674,DATA_ASSET_CLASSIFICATION!$A$8:$A$24,0)),"Review"))</f>
        <v>New Build</v>
      </c>
      <c r="O4674" s="350" t="str">
        <f>IF($B4674="Portfolio","Portfolio",IFERROR(INDEX(DATA_ASSET_CLASSIFICATION!$AB$8:$AB$13,MATCH($N4674,DATA_ASSET_CLASSIFICATION!$AA$8:$AA$13,0)),"Review"))</f>
        <v>Bucket 1 · New Build</v>
      </c>
      <c r="P4674" s="350" t="str">
        <f>IF($B4674="Portfolio","Portfolio",IFERROR(INDEX(DATA_ASSET_CLASSIFICATION!$C$8:$C$24,MATCH($C4674,DATA_ASSET_CLASSIFICATION!$A$8:$A$24,0)),"Review"))</f>
        <v>Yes</v>
      </c>
      <c r="Q4674" s="350" t="str">
        <f t="shared" ca="1" si="145"/>
        <v>Negative net refi position</v>
      </c>
    </row>
    <row r="4675" spans="1:17" ht="30">
      <c r="A4675" s="366" t="s">
        <v>6631</v>
      </c>
      <c r="B4675" s="366" t="s">
        <v>231</v>
      </c>
      <c r="C4675" s="348" t="str">
        <f>DATA_PROPERTY_MASTER!$A$20</f>
        <v>BLD_PM</v>
      </c>
      <c r="D4675" s="380">
        <f>'00_PORTFOLIO ROLLUP'!G$12</f>
        <v>2027</v>
      </c>
      <c r="E4675" s="366" t="s">
        <v>1721</v>
      </c>
      <c r="F4675" s="366" t="s">
        <v>37</v>
      </c>
      <c r="G4675" s="348" t="str">
        <f>"'"&amp;$C4675&amp;"'!$E$63:$Y$63"</f>
        <v>'BLD_PM'!$E$63:$Y$63</v>
      </c>
      <c r="H4675" s="381">
        <f ca="1">IF(IFERROR(INDEX(DATA_PROPERTY_MASTER!$E$5:$E$21,MATCH($C4675,DATA_PROPERTY_MASTER!$A$5:$A$21,0))="Yes",FALSE),MAX(IFERROR(INDEX(INDIRECT("'"&amp;$C4675&amp;"'!$E$63:$Y$63"),1,MATCH($D4675,INDIRECT("'"&amp;$C4675&amp;"'!$E$12:$Y$12"),0)),0),0),0)</f>
        <v>0</v>
      </c>
      <c r="I4675" s="366" t="s">
        <v>1685</v>
      </c>
      <c r="J4675" s="348" t="str">
        <f t="shared" ca="1" si="144"/>
        <v>OK</v>
      </c>
      <c r="K4675" s="366" t="s">
        <v>1735</v>
      </c>
      <c r="L4675" s="366" t="s">
        <v>2258</v>
      </c>
      <c r="M4675" s="350" t="str">
        <f>IF($B4675="Portfolio","Portfolio",IFERROR(INDEX(DATA_ASSET_CLASSIFICATION!$B$8:$B$24,MATCH($C4675,DATA_ASSET_CLASSIFICATION!$A$8:$A$24,0)),"Review"))</f>
        <v>The Creek, Port Moody</v>
      </c>
      <c r="N4675" s="350" t="str">
        <f>IF($B4675="Portfolio","Portfolio",IFERROR(INDEX(DATA_ASSET_CLASSIFICATION!$U$8:$U$24,MATCH($C4675,DATA_ASSET_CLASSIFICATION!$A$8:$A$24,0)),"Review"))</f>
        <v>New Build</v>
      </c>
      <c r="O4675" s="350" t="str">
        <f>IF($B4675="Portfolio","Portfolio",IFERROR(INDEX(DATA_ASSET_CLASSIFICATION!$AB$8:$AB$13,MATCH($N4675,DATA_ASSET_CLASSIFICATION!$AA$8:$AA$13,0)),"Review"))</f>
        <v>Bucket 1 · New Build</v>
      </c>
      <c r="P4675" s="350" t="str">
        <f>IF($B4675="Portfolio","Portfolio",IFERROR(INDEX(DATA_ASSET_CLASSIFICATION!$C$8:$C$24,MATCH($C4675,DATA_ASSET_CLASSIFICATION!$A$8:$A$24,0)),"Review"))</f>
        <v>Yes</v>
      </c>
      <c r="Q4675" s="350" t="str">
        <f t="shared" ca="1" si="145"/>
        <v>OK</v>
      </c>
    </row>
    <row r="4676" spans="1:17" ht="30">
      <c r="A4676" s="366" t="s">
        <v>6632</v>
      </c>
      <c r="B4676" s="366" t="s">
        <v>231</v>
      </c>
      <c r="C4676" s="348" t="str">
        <f>DATA_PROPERTY_MASTER!$A$20</f>
        <v>BLD_PM</v>
      </c>
      <c r="D4676" s="380">
        <f>'00_PORTFOLIO ROLLUP'!G$12</f>
        <v>2027</v>
      </c>
      <c r="E4676" s="366" t="s">
        <v>1721</v>
      </c>
      <c r="F4676" s="366" t="s">
        <v>39</v>
      </c>
      <c r="G4676" s="348" t="str">
        <f>"'"&amp;$C4676&amp;"'!$E$63:$Y$63"</f>
        <v>'BLD_PM'!$E$63:$Y$63</v>
      </c>
      <c r="H4676" s="381">
        <f ca="1">IF(IFERROR(INDEX(DATA_PROPERTY_MASTER!$E$5:$E$21,MATCH($C4676,DATA_PROPERTY_MASTER!$A$5:$A$21,0))="Yes",FALSE),MAX(-IFERROR(INDEX(INDIRECT("'"&amp;$C4676&amp;"'!$E$63:$Y$63"),1,MATCH($D4676,INDIRECT("'"&amp;$C4676&amp;"'!$E$12:$Y$12"),0)),0),0),0)</f>
        <v>70447718.963125259</v>
      </c>
      <c r="I4676" s="366" t="s">
        <v>1690</v>
      </c>
      <c r="J4676" s="348" t="str">
        <f t="shared" ca="1" si="144"/>
        <v>Funding Gap</v>
      </c>
      <c r="K4676" s="366" t="s">
        <v>1738</v>
      </c>
      <c r="L4676" s="366" t="s">
        <v>2260</v>
      </c>
      <c r="M4676" s="350" t="str">
        <f>IF($B4676="Portfolio","Portfolio",IFERROR(INDEX(DATA_ASSET_CLASSIFICATION!$B$8:$B$24,MATCH($C4676,DATA_ASSET_CLASSIFICATION!$A$8:$A$24,0)),"Review"))</f>
        <v>The Creek, Port Moody</v>
      </c>
      <c r="N4676" s="350" t="str">
        <f>IF($B4676="Portfolio","Portfolio",IFERROR(INDEX(DATA_ASSET_CLASSIFICATION!$U$8:$U$24,MATCH($C4676,DATA_ASSET_CLASSIFICATION!$A$8:$A$24,0)),"Review"))</f>
        <v>New Build</v>
      </c>
      <c r="O4676" s="350" t="str">
        <f>IF($B4676="Portfolio","Portfolio",IFERROR(INDEX(DATA_ASSET_CLASSIFICATION!$AB$8:$AB$13,MATCH($N4676,DATA_ASSET_CLASSIFICATION!$AA$8:$AA$13,0)),"Review"))</f>
        <v>Bucket 1 · New Build</v>
      </c>
      <c r="P4676" s="350" t="str">
        <f>IF($B4676="Portfolio","Portfolio",IFERROR(INDEX(DATA_ASSET_CLASSIFICATION!$C$8:$C$24,MATCH($C4676,DATA_ASSET_CLASSIFICATION!$A$8:$A$24,0)),"Review"))</f>
        <v>Yes</v>
      </c>
      <c r="Q4676" s="350" t="str">
        <f t="shared" ca="1" si="145"/>
        <v>Property Funding Gap</v>
      </c>
    </row>
    <row r="4677" spans="1:17" ht="30">
      <c r="A4677" s="366" t="s">
        <v>6633</v>
      </c>
      <c r="B4677" s="366" t="s">
        <v>231</v>
      </c>
      <c r="C4677" s="348" t="str">
        <f>DATA_PROPERTY_MASTER!$A$20</f>
        <v>BLD_PM</v>
      </c>
      <c r="D4677" s="380">
        <f>'00_PORTFOLIO ROLLUP'!G$12</f>
        <v>2027</v>
      </c>
      <c r="E4677" s="366" t="s">
        <v>1741</v>
      </c>
      <c r="F4677" s="366" t="s">
        <v>41</v>
      </c>
      <c r="G4677" s="348" t="str">
        <f>"'"&amp;$C4677&amp;"'!rows 56 + positive row 63"</f>
        <v>'BLD_PM'!rows 56 + positive row 63</v>
      </c>
      <c r="H4677" s="381">
        <f ca="1">IF(IFERROR(INDEX(DATA_PROPERTY_MASTER!$E$5:$E$21,MATCH($C4677,DATA_PROPERTY_MASTER!$A$5:$A$21,0))="Yes",FALSE),IFERROR(INDEX(INDIRECT("'"&amp;$C4677&amp;"'!$E$56:$Y$56"),1,MATCH($D4677,INDIRECT("'"&amp;$C4677&amp;"'!$E$12:$Y$12"),0)),0)+MAX(IFERROR(INDEX(INDIRECT("'"&amp;$C4677&amp;"'!$E$63:$Y$63"),1,MATCH($D4677,INDIRECT("'"&amp;$C4677&amp;"'!$E$12:$Y$12"),0)),0),0),0)</f>
        <v>-2473300.0387932807</v>
      </c>
      <c r="I4677" s="366" t="s">
        <v>1685</v>
      </c>
      <c r="J4677" s="348" t="str">
        <f t="shared" ref="J4677:J4740" ca="1" si="146">IF($F4677="Residual Funding Gap",IF($H4677&gt;0,"Funding Gap","OK"),IF(AND($F4677="Net Refinance Position",$H4677&lt;0),"Negative net refi position","OK"))</f>
        <v>OK</v>
      </c>
      <c r="K4677" s="366" t="s">
        <v>1742</v>
      </c>
      <c r="L4677" s="366" t="s">
        <v>2262</v>
      </c>
      <c r="M4677" s="350" t="str">
        <f>IF($B4677="Portfolio","Portfolio",IFERROR(INDEX(DATA_ASSET_CLASSIFICATION!$B$8:$B$24,MATCH($C4677,DATA_ASSET_CLASSIFICATION!$A$8:$A$24,0)),"Review"))</f>
        <v>The Creek, Port Moody</v>
      </c>
      <c r="N4677" s="350" t="str">
        <f>IF($B4677="Portfolio","Portfolio",IFERROR(INDEX(DATA_ASSET_CLASSIFICATION!$U$8:$U$24,MATCH($C4677,DATA_ASSET_CLASSIFICATION!$A$8:$A$24,0)),"Review"))</f>
        <v>New Build</v>
      </c>
      <c r="O4677" s="350" t="str">
        <f>IF($B4677="Portfolio","Portfolio",IFERROR(INDEX(DATA_ASSET_CLASSIFICATION!$AB$8:$AB$13,MATCH($N4677,DATA_ASSET_CLASSIFICATION!$AA$8:$AA$13,0)),"Review"))</f>
        <v>Bucket 1 · New Build</v>
      </c>
      <c r="P4677" s="350" t="str">
        <f>IF($B4677="Portfolio","Portfolio",IFERROR(INDEX(DATA_ASSET_CLASSIFICATION!$C$8:$C$24,MATCH($C4677,DATA_ASSET_CLASSIFICATION!$A$8:$A$24,0)),"Review"))</f>
        <v>Yes</v>
      </c>
      <c r="Q4677" s="350" t="str">
        <f t="shared" ref="Q4677:Q4740" ca="1" si="147">IF(AND($B4677="Property",$F4677="Residual Funding Gap",$H4677&gt;0),"Property Funding Gap",IF($J4677&lt;&gt;"OK",$J4677,"OK"))</f>
        <v>OK</v>
      </c>
    </row>
    <row r="4678" spans="1:17" ht="30">
      <c r="A4678" s="366" t="s">
        <v>6634</v>
      </c>
      <c r="B4678" s="366" t="s">
        <v>231</v>
      </c>
      <c r="C4678" s="348" t="str">
        <f>DATA_PROPERTY_MASTER!$A$20</f>
        <v>BLD_PM</v>
      </c>
      <c r="D4678" s="380">
        <f>'00_PORTFOLIO ROLLUP'!G$12</f>
        <v>2027</v>
      </c>
      <c r="E4678" s="366" t="s">
        <v>1741</v>
      </c>
      <c r="F4678" s="366" t="s">
        <v>43</v>
      </c>
      <c r="G4678" s="348" t="str">
        <f>"'"&amp;$C4678&amp;"'!$E$68:$Y$68"</f>
        <v>'BLD_PM'!$E$68:$Y$68</v>
      </c>
      <c r="H4678" s="381">
        <f ca="1">IF(IFERROR(INDEX(DATA_PROPERTY_MASTER!$E$5:$E$21,MATCH($C4678,DATA_PROPERTY_MASTER!$A$5:$A$21,0))="Yes",FALSE),IFERROR(INDEX(INDIRECT("'"&amp;$C4678&amp;"'!$E$68:$Y$68"),1,MATCH($D4678,INDIRECT("'"&amp;$C4678&amp;"'!$E$12:$Y$12"),0)),0),0)</f>
        <v>-72921019.001918539</v>
      </c>
      <c r="I4678" s="366" t="s">
        <v>1731</v>
      </c>
      <c r="J4678" s="348" t="str">
        <f t="shared" ca="1" si="146"/>
        <v>OK</v>
      </c>
      <c r="K4678" s="366" t="s">
        <v>1746</v>
      </c>
      <c r="L4678" s="366" t="s">
        <v>2264</v>
      </c>
      <c r="M4678" s="350" t="str">
        <f>IF($B4678="Portfolio","Portfolio",IFERROR(INDEX(DATA_ASSET_CLASSIFICATION!$B$8:$B$24,MATCH($C4678,DATA_ASSET_CLASSIFICATION!$A$8:$A$24,0)),"Review"))</f>
        <v>The Creek, Port Moody</v>
      </c>
      <c r="N4678" s="350" t="str">
        <f>IF($B4678="Portfolio","Portfolio",IFERROR(INDEX(DATA_ASSET_CLASSIFICATION!$U$8:$U$24,MATCH($C4678,DATA_ASSET_CLASSIFICATION!$A$8:$A$24,0)),"Review"))</f>
        <v>New Build</v>
      </c>
      <c r="O4678" s="350" t="str">
        <f>IF($B4678="Portfolio","Portfolio",IFERROR(INDEX(DATA_ASSET_CLASSIFICATION!$AB$8:$AB$13,MATCH($N4678,DATA_ASSET_CLASSIFICATION!$AA$8:$AA$13,0)),"Review"))</f>
        <v>Bucket 1 · New Build</v>
      </c>
      <c r="P4678" s="350" t="str">
        <f>IF($B4678="Portfolio","Portfolio",IFERROR(INDEX(DATA_ASSET_CLASSIFICATION!$C$8:$C$24,MATCH($C4678,DATA_ASSET_CLASSIFICATION!$A$8:$A$24,0)),"Review"))</f>
        <v>Yes</v>
      </c>
      <c r="Q4678" s="350" t="str">
        <f t="shared" ca="1" si="147"/>
        <v>OK</v>
      </c>
    </row>
    <row r="4679" spans="1:17" ht="30">
      <c r="A4679" s="366" t="s">
        <v>6635</v>
      </c>
      <c r="B4679" s="366" t="s">
        <v>231</v>
      </c>
      <c r="C4679" s="348" t="str">
        <f>DATA_PROPERTY_MASTER!$A$20</f>
        <v>BLD_PM</v>
      </c>
      <c r="D4679" s="380">
        <f>'00_PORTFOLIO ROLLUP'!G$12</f>
        <v>2027</v>
      </c>
      <c r="E4679" s="366" t="s">
        <v>1741</v>
      </c>
      <c r="F4679" s="366" t="s">
        <v>1749</v>
      </c>
      <c r="G4679" s="348" t="str">
        <f>"'"&amp;$C4679&amp;"'!rows 56, 63, 68"</f>
        <v>'BLD_PM'!rows 56, 63, 68</v>
      </c>
      <c r="H4679" s="381">
        <f ca="1">IF(IFERROR(INDEX(DATA_PROPERTY_MASTER!$E$5:$E$21,MATCH($C4679,DATA_PROPERTY_MASTER!$A$5:$A$21,0))="Yes",FALSE),(IFERROR(INDEX(INDIRECT("'"&amp;$C4679&amp;"'!$E$56:$Y$56"),1,MATCH($D4679,INDIRECT("'"&amp;$C4679&amp;"'!$E$12:$Y$12"),0)),0)+MAX(IFERROR(INDEX(INDIRECT("'"&amp;$C4679&amp;"'!$E$63:$Y$63"),1,MATCH($D4679,INDIRECT("'"&amp;$C4679&amp;"'!$E$12:$Y$12"),0)),0),0))-(IFERROR(INDEX(INDIRECT("'"&amp;$C4679&amp;"'!$E$68:$Y$68"),1,MATCH($D4679,INDIRECT("'"&amp;$C4679&amp;"'!$E$12:$Y$12"),0)),0)),0)</f>
        <v>70447718.963125259</v>
      </c>
      <c r="I4679" s="366" t="s">
        <v>1750</v>
      </c>
      <c r="J4679" s="348" t="str">
        <f t="shared" ca="1" si="146"/>
        <v>OK</v>
      </c>
      <c r="K4679" s="366" t="s">
        <v>1751</v>
      </c>
      <c r="L4679" s="366" t="s">
        <v>2266</v>
      </c>
      <c r="M4679" s="350" t="str">
        <f>IF($B4679="Portfolio","Portfolio",IFERROR(INDEX(DATA_ASSET_CLASSIFICATION!$B$8:$B$24,MATCH($C4679,DATA_ASSET_CLASSIFICATION!$A$8:$A$24,0)),"Review"))</f>
        <v>The Creek, Port Moody</v>
      </c>
      <c r="N4679" s="350" t="str">
        <f>IF($B4679="Portfolio","Portfolio",IFERROR(INDEX(DATA_ASSET_CLASSIFICATION!$U$8:$U$24,MATCH($C4679,DATA_ASSET_CLASSIFICATION!$A$8:$A$24,0)),"Review"))</f>
        <v>New Build</v>
      </c>
      <c r="O4679" s="350" t="str">
        <f>IF($B4679="Portfolio","Portfolio",IFERROR(INDEX(DATA_ASSET_CLASSIFICATION!$AB$8:$AB$13,MATCH($N4679,DATA_ASSET_CLASSIFICATION!$AA$8:$AA$13,0)),"Review"))</f>
        <v>Bucket 1 · New Build</v>
      </c>
      <c r="P4679" s="350" t="str">
        <f>IF($B4679="Portfolio","Portfolio",IFERROR(INDEX(DATA_ASSET_CLASSIFICATION!$C$8:$C$24,MATCH($C4679,DATA_ASSET_CLASSIFICATION!$A$8:$A$24,0)),"Review"))</f>
        <v>Yes</v>
      </c>
      <c r="Q4679" s="350" t="str">
        <f t="shared" ca="1" si="147"/>
        <v>OK</v>
      </c>
    </row>
    <row r="4680" spans="1:17" ht="30">
      <c r="A4680" s="366" t="s">
        <v>6636</v>
      </c>
      <c r="B4680" s="366" t="s">
        <v>231</v>
      </c>
      <c r="C4680" s="348" t="str">
        <f>DATA_PROPERTY_MASTER!$A$20</f>
        <v>BLD_PM</v>
      </c>
      <c r="D4680" s="380">
        <f>'00_PORTFOLIO ROLLUP'!H$12</f>
        <v>2028</v>
      </c>
      <c r="E4680" s="366" t="s">
        <v>1683</v>
      </c>
      <c r="F4680" s="366" t="s">
        <v>341</v>
      </c>
      <c r="G4680" s="348" t="str">
        <f>"'"&amp;$C4680&amp;"'!$E$24:$Y$24"</f>
        <v>'BLD_PM'!$E$24:$Y$24</v>
      </c>
      <c r="H4680" s="381">
        <f ca="1">IF(IFERROR(INDEX(DATA_PROPERTY_MASTER!$E$5:$E$21,MATCH($C4680,DATA_PROPERTY_MASTER!$A$5:$A$21,0))="Yes",FALSE),IFERROR(INDEX(INDIRECT("'"&amp;$C4680&amp;"'!$E$24:$Y$24"),1,MATCH($D4680,INDIRECT("'"&amp;$C4680&amp;"'!$E$12:$Y$12"),0)),0),0)</f>
        <v>4981563.1883292096</v>
      </c>
      <c r="I4680" s="366" t="s">
        <v>1685</v>
      </c>
      <c r="J4680" s="348" t="str">
        <f t="shared" ca="1" si="146"/>
        <v>OK</v>
      </c>
      <c r="K4680" s="366" t="s">
        <v>1686</v>
      </c>
      <c r="L4680" s="366" t="s">
        <v>2234</v>
      </c>
      <c r="M4680" s="350" t="str">
        <f>IF($B4680="Portfolio","Portfolio",IFERROR(INDEX(DATA_ASSET_CLASSIFICATION!$B$8:$B$24,MATCH($C4680,DATA_ASSET_CLASSIFICATION!$A$8:$A$24,0)),"Review"))</f>
        <v>The Creek, Port Moody</v>
      </c>
      <c r="N4680" s="350" t="str">
        <f>IF($B4680="Portfolio","Portfolio",IFERROR(INDEX(DATA_ASSET_CLASSIFICATION!$U$8:$U$24,MATCH($C4680,DATA_ASSET_CLASSIFICATION!$A$8:$A$24,0)),"Review"))</f>
        <v>New Build</v>
      </c>
      <c r="O4680" s="350" t="str">
        <f>IF($B4680="Portfolio","Portfolio",IFERROR(INDEX(DATA_ASSET_CLASSIFICATION!$AB$8:$AB$13,MATCH($N4680,DATA_ASSET_CLASSIFICATION!$AA$8:$AA$13,0)),"Review"))</f>
        <v>Bucket 1 · New Build</v>
      </c>
      <c r="P4680" s="350" t="str">
        <f>IF($B4680="Portfolio","Portfolio",IFERROR(INDEX(DATA_ASSET_CLASSIFICATION!$C$8:$C$24,MATCH($C4680,DATA_ASSET_CLASSIFICATION!$A$8:$A$24,0)),"Review"))</f>
        <v>Yes</v>
      </c>
      <c r="Q4680" s="350" t="str">
        <f t="shared" ca="1" si="147"/>
        <v>OK</v>
      </c>
    </row>
    <row r="4681" spans="1:17" ht="30">
      <c r="A4681" s="366" t="s">
        <v>6637</v>
      </c>
      <c r="B4681" s="366" t="s">
        <v>231</v>
      </c>
      <c r="C4681" s="348" t="str">
        <f>DATA_PROPERTY_MASTER!$A$20</f>
        <v>BLD_PM</v>
      </c>
      <c r="D4681" s="380">
        <f>'00_PORTFOLIO ROLLUP'!H$12</f>
        <v>2028</v>
      </c>
      <c r="E4681" s="366" t="s">
        <v>1683</v>
      </c>
      <c r="F4681" s="366" t="s">
        <v>355</v>
      </c>
      <c r="G4681" s="348" t="str">
        <f>"'"&amp;$C4681&amp;"'!$E$39:$Y$39"</f>
        <v>'BLD_PM'!$E$39:$Y$39</v>
      </c>
      <c r="H4681" s="381">
        <f ca="1">IF(IFERROR(INDEX(DATA_PROPERTY_MASTER!$E$5:$E$21,MATCH($C4681,DATA_PROPERTY_MASTER!$A$5:$A$21,0))="Yes",FALSE),IFERROR(INDEX(INDIRECT("'"&amp;$C4681&amp;"'!$E$39:$Y$39"),1,MATCH($D4681,INDIRECT("'"&amp;$C4681&amp;"'!$E$12:$Y$12"),0)),0),0)</f>
        <v>198426.00960000002</v>
      </c>
      <c r="I4681" s="366" t="s">
        <v>1690</v>
      </c>
      <c r="J4681" s="348" t="str">
        <f t="shared" ca="1" si="146"/>
        <v>OK</v>
      </c>
      <c r="K4681" s="366" t="s">
        <v>1686</v>
      </c>
      <c r="L4681" s="366" t="s">
        <v>2236</v>
      </c>
      <c r="M4681" s="350" t="str">
        <f>IF($B4681="Portfolio","Portfolio",IFERROR(INDEX(DATA_ASSET_CLASSIFICATION!$B$8:$B$24,MATCH($C4681,DATA_ASSET_CLASSIFICATION!$A$8:$A$24,0)),"Review"))</f>
        <v>The Creek, Port Moody</v>
      </c>
      <c r="N4681" s="350" t="str">
        <f>IF($B4681="Portfolio","Portfolio",IFERROR(INDEX(DATA_ASSET_CLASSIFICATION!$U$8:$U$24,MATCH($C4681,DATA_ASSET_CLASSIFICATION!$A$8:$A$24,0)),"Review"))</f>
        <v>New Build</v>
      </c>
      <c r="O4681" s="350" t="str">
        <f>IF($B4681="Portfolio","Portfolio",IFERROR(INDEX(DATA_ASSET_CLASSIFICATION!$AB$8:$AB$13,MATCH($N4681,DATA_ASSET_CLASSIFICATION!$AA$8:$AA$13,0)),"Review"))</f>
        <v>Bucket 1 · New Build</v>
      </c>
      <c r="P4681" s="350" t="str">
        <f>IF($B4681="Portfolio","Portfolio",IFERROR(INDEX(DATA_ASSET_CLASSIFICATION!$C$8:$C$24,MATCH($C4681,DATA_ASSET_CLASSIFICATION!$A$8:$A$24,0)),"Review"))</f>
        <v>Yes</v>
      </c>
      <c r="Q4681" s="350" t="str">
        <f t="shared" ca="1" si="147"/>
        <v>OK</v>
      </c>
    </row>
    <row r="4682" spans="1:17" ht="30">
      <c r="A4682" s="366" t="s">
        <v>6638</v>
      </c>
      <c r="B4682" s="366" t="s">
        <v>231</v>
      </c>
      <c r="C4682" s="348" t="str">
        <f>DATA_PROPERTY_MASTER!$A$20</f>
        <v>BLD_PM</v>
      </c>
      <c r="D4682" s="380">
        <f>'00_PORTFOLIO ROLLUP'!H$12</f>
        <v>2028</v>
      </c>
      <c r="E4682" s="366" t="s">
        <v>1683</v>
      </c>
      <c r="F4682" s="366" t="s">
        <v>19</v>
      </c>
      <c r="G4682" s="348" t="str">
        <f>"'"&amp;$C4682&amp;"'!$E$41:$Y$41"</f>
        <v>'BLD_PM'!$E$41:$Y$41</v>
      </c>
      <c r="H4682" s="381">
        <f ca="1">IF(IFERROR(INDEX(DATA_PROPERTY_MASTER!$E$5:$E$21,MATCH($C4682,DATA_PROPERTY_MASTER!$A$5:$A$21,0))="Yes",FALSE),IFERROR(INDEX(INDIRECT("'"&amp;$C4682&amp;"'!$E$41:$Y$41"),1,MATCH($D4682,INDIRECT("'"&amp;$C4682&amp;"'!$E$12:$Y$12"),0)),0),0)</f>
        <v>4783137.1787292091</v>
      </c>
      <c r="I4682" s="366" t="s">
        <v>1685</v>
      </c>
      <c r="J4682" s="348" t="str">
        <f t="shared" ca="1" si="146"/>
        <v>OK</v>
      </c>
      <c r="K4682" s="366" t="s">
        <v>1694</v>
      </c>
      <c r="L4682" s="366" t="s">
        <v>2238</v>
      </c>
      <c r="M4682" s="350" t="str">
        <f>IF($B4682="Portfolio","Portfolio",IFERROR(INDEX(DATA_ASSET_CLASSIFICATION!$B$8:$B$24,MATCH($C4682,DATA_ASSET_CLASSIFICATION!$A$8:$A$24,0)),"Review"))</f>
        <v>The Creek, Port Moody</v>
      </c>
      <c r="N4682" s="350" t="str">
        <f>IF($B4682="Portfolio","Portfolio",IFERROR(INDEX(DATA_ASSET_CLASSIFICATION!$U$8:$U$24,MATCH($C4682,DATA_ASSET_CLASSIFICATION!$A$8:$A$24,0)),"Review"))</f>
        <v>New Build</v>
      </c>
      <c r="O4682" s="350" t="str">
        <f>IF($B4682="Portfolio","Portfolio",IFERROR(INDEX(DATA_ASSET_CLASSIFICATION!$AB$8:$AB$13,MATCH($N4682,DATA_ASSET_CLASSIFICATION!$AA$8:$AA$13,0)),"Review"))</f>
        <v>Bucket 1 · New Build</v>
      </c>
      <c r="P4682" s="350" t="str">
        <f>IF($B4682="Portfolio","Portfolio",IFERROR(INDEX(DATA_ASSET_CLASSIFICATION!$C$8:$C$24,MATCH($C4682,DATA_ASSET_CLASSIFICATION!$A$8:$A$24,0)),"Review"))</f>
        <v>Yes</v>
      </c>
      <c r="Q4682" s="350" t="str">
        <f t="shared" ca="1" si="147"/>
        <v>OK</v>
      </c>
    </row>
    <row r="4683" spans="1:17" ht="30">
      <c r="A4683" s="366" t="s">
        <v>6639</v>
      </c>
      <c r="B4683" s="366" t="s">
        <v>231</v>
      </c>
      <c r="C4683" s="348" t="str">
        <f>DATA_PROPERTY_MASTER!$A$20</f>
        <v>BLD_PM</v>
      </c>
      <c r="D4683" s="380">
        <f>'00_PORTFOLIO ROLLUP'!H$12</f>
        <v>2028</v>
      </c>
      <c r="E4683" s="366" t="s">
        <v>1683</v>
      </c>
      <c r="F4683" s="366" t="s">
        <v>1697</v>
      </c>
      <c r="G4683" s="348" t="str">
        <f>"'"&amp;$C4683&amp;"'!$E$44:$Y$44"</f>
        <v>'BLD_PM'!$E$44:$Y$44</v>
      </c>
      <c r="H4683" s="381">
        <f ca="1">IF(IFERROR(INDEX(DATA_PROPERTY_MASTER!$E$5:$E$21,MATCH($C4683,DATA_PROPERTY_MASTER!$A$5:$A$21,0))="Yes",FALSE),IFERROR(INDEX(INDIRECT("'"&amp;$C4683&amp;"'!$E$44:$Y$44"),1,MATCH($D4683,INDIRECT("'"&amp;$C4683&amp;"'!$E$12:$Y$12"),0)),0),0)</f>
        <v>52211.433599999997</v>
      </c>
      <c r="I4683" s="366" t="s">
        <v>1690</v>
      </c>
      <c r="J4683" s="348" t="str">
        <f t="shared" ca="1" si="146"/>
        <v>OK</v>
      </c>
      <c r="K4683" s="366" t="s">
        <v>1699</v>
      </c>
      <c r="L4683" s="366" t="s">
        <v>2240</v>
      </c>
      <c r="M4683" s="350" t="str">
        <f>IF($B4683="Portfolio","Portfolio",IFERROR(INDEX(DATA_ASSET_CLASSIFICATION!$B$8:$B$24,MATCH($C4683,DATA_ASSET_CLASSIFICATION!$A$8:$A$24,0)),"Review"))</f>
        <v>The Creek, Port Moody</v>
      </c>
      <c r="N4683" s="350" t="str">
        <f>IF($B4683="Portfolio","Portfolio",IFERROR(INDEX(DATA_ASSET_CLASSIFICATION!$U$8:$U$24,MATCH($C4683,DATA_ASSET_CLASSIFICATION!$A$8:$A$24,0)),"Review"))</f>
        <v>New Build</v>
      </c>
      <c r="O4683" s="350" t="str">
        <f>IF($B4683="Portfolio","Portfolio",IFERROR(INDEX(DATA_ASSET_CLASSIFICATION!$AB$8:$AB$13,MATCH($N4683,DATA_ASSET_CLASSIFICATION!$AA$8:$AA$13,0)),"Review"))</f>
        <v>Bucket 1 · New Build</v>
      </c>
      <c r="P4683" s="350" t="str">
        <f>IF($B4683="Portfolio","Portfolio",IFERROR(INDEX(DATA_ASSET_CLASSIFICATION!$C$8:$C$24,MATCH($C4683,DATA_ASSET_CLASSIFICATION!$A$8:$A$24,0)),"Review"))</f>
        <v>Yes</v>
      </c>
      <c r="Q4683" s="350" t="str">
        <f t="shared" ca="1" si="147"/>
        <v>OK</v>
      </c>
    </row>
    <row r="4684" spans="1:17" ht="30">
      <c r="A4684" s="366" t="s">
        <v>6640</v>
      </c>
      <c r="B4684" s="366" t="s">
        <v>231</v>
      </c>
      <c r="C4684" s="348" t="str">
        <f>DATA_PROPERTY_MASTER!$A$20</f>
        <v>BLD_PM</v>
      </c>
      <c r="D4684" s="380">
        <f>'00_PORTFOLIO ROLLUP'!H$12</f>
        <v>2028</v>
      </c>
      <c r="E4684" s="366" t="s">
        <v>1683</v>
      </c>
      <c r="F4684" s="366" t="s">
        <v>21</v>
      </c>
      <c r="G4684" s="348" t="str">
        <f>"'"&amp;$C4684&amp;"'!$E$45:$Y$45"</f>
        <v>'BLD_PM'!$E$45:$Y$45</v>
      </c>
      <c r="H4684" s="381">
        <f ca="1">IF(IFERROR(INDEX(DATA_PROPERTY_MASTER!$E$5:$E$21,MATCH($C4684,DATA_PROPERTY_MASTER!$A$5:$A$21,0))="Yes",FALSE),IFERROR(INDEX(INDIRECT("'"&amp;$C4684&amp;"'!$E$45:$Y$45"),1,MATCH($D4684,INDIRECT("'"&amp;$C4684&amp;"'!$E$12:$Y$12"),0)),0),0)</f>
        <v>4730925.745129209</v>
      </c>
      <c r="I4684" s="366" t="s">
        <v>1685</v>
      </c>
      <c r="J4684" s="348" t="str">
        <f t="shared" ca="1" si="146"/>
        <v>OK</v>
      </c>
      <c r="K4684" s="366" t="s">
        <v>1694</v>
      </c>
      <c r="L4684" s="366" t="s">
        <v>2242</v>
      </c>
      <c r="M4684" s="350" t="str">
        <f>IF($B4684="Portfolio","Portfolio",IFERROR(INDEX(DATA_ASSET_CLASSIFICATION!$B$8:$B$24,MATCH($C4684,DATA_ASSET_CLASSIFICATION!$A$8:$A$24,0)),"Review"))</f>
        <v>The Creek, Port Moody</v>
      </c>
      <c r="N4684" s="350" t="str">
        <f>IF($B4684="Portfolio","Portfolio",IFERROR(INDEX(DATA_ASSET_CLASSIFICATION!$U$8:$U$24,MATCH($C4684,DATA_ASSET_CLASSIFICATION!$A$8:$A$24,0)),"Review"))</f>
        <v>New Build</v>
      </c>
      <c r="O4684" s="350" t="str">
        <f>IF($B4684="Portfolio","Portfolio",IFERROR(INDEX(DATA_ASSET_CLASSIFICATION!$AB$8:$AB$13,MATCH($N4684,DATA_ASSET_CLASSIFICATION!$AA$8:$AA$13,0)),"Review"))</f>
        <v>Bucket 1 · New Build</v>
      </c>
      <c r="P4684" s="350" t="str">
        <f>IF($B4684="Portfolio","Portfolio",IFERROR(INDEX(DATA_ASSET_CLASSIFICATION!$C$8:$C$24,MATCH($C4684,DATA_ASSET_CLASSIFICATION!$A$8:$A$24,0)),"Review"))</f>
        <v>Yes</v>
      </c>
      <c r="Q4684" s="350" t="str">
        <f t="shared" ca="1" si="147"/>
        <v>OK</v>
      </c>
    </row>
    <row r="4685" spans="1:17" ht="30">
      <c r="A4685" s="366" t="s">
        <v>6641</v>
      </c>
      <c r="B4685" s="366" t="s">
        <v>231</v>
      </c>
      <c r="C4685" s="348" t="str">
        <f>DATA_PROPERTY_MASTER!$A$20</f>
        <v>BLD_PM</v>
      </c>
      <c r="D4685" s="380">
        <f>'00_PORTFOLIO ROLLUP'!H$12</f>
        <v>2028</v>
      </c>
      <c r="E4685" s="366" t="s">
        <v>23</v>
      </c>
      <c r="F4685" s="366" t="s">
        <v>23</v>
      </c>
      <c r="G4685" s="348" t="str">
        <f>"'"&amp;$C4685&amp;"'!$E$48:$Y$48"</f>
        <v>'BLD_PM'!$E$48:$Y$48</v>
      </c>
      <c r="H4685" s="381">
        <f ca="1">IF(IFERROR(INDEX(DATA_PROPERTY_MASTER!$E$5:$E$21,MATCH($C4685,DATA_PROPERTY_MASTER!$A$5:$A$21,0))="Yes",FALSE),IFERROR(INDEX(INDIRECT("'"&amp;$C4685&amp;"'!$E$48:$Y$48"),1,MATCH($D4685,INDIRECT("'"&amp;$C4685&amp;"'!$E$12:$Y$12"),0)),0),0)</f>
        <v>3116973.3868276179</v>
      </c>
      <c r="I4685" s="366" t="s">
        <v>1690</v>
      </c>
      <c r="J4685" s="348" t="str">
        <f t="shared" ca="1" si="146"/>
        <v>OK</v>
      </c>
      <c r="K4685" s="366" t="s">
        <v>1706</v>
      </c>
      <c r="L4685" s="366" t="s">
        <v>2244</v>
      </c>
      <c r="M4685" s="350" t="str">
        <f>IF($B4685="Portfolio","Portfolio",IFERROR(INDEX(DATA_ASSET_CLASSIFICATION!$B$8:$B$24,MATCH($C4685,DATA_ASSET_CLASSIFICATION!$A$8:$A$24,0)),"Review"))</f>
        <v>The Creek, Port Moody</v>
      </c>
      <c r="N4685" s="350" t="str">
        <f>IF($B4685="Portfolio","Portfolio",IFERROR(INDEX(DATA_ASSET_CLASSIFICATION!$U$8:$U$24,MATCH($C4685,DATA_ASSET_CLASSIFICATION!$A$8:$A$24,0)),"Review"))</f>
        <v>New Build</v>
      </c>
      <c r="O4685" s="350" t="str">
        <f>IF($B4685="Portfolio","Portfolio",IFERROR(INDEX(DATA_ASSET_CLASSIFICATION!$AB$8:$AB$13,MATCH($N4685,DATA_ASSET_CLASSIFICATION!$AA$8:$AA$13,0)),"Review"))</f>
        <v>Bucket 1 · New Build</v>
      </c>
      <c r="P4685" s="350" t="str">
        <f>IF($B4685="Portfolio","Portfolio",IFERROR(INDEX(DATA_ASSET_CLASSIFICATION!$C$8:$C$24,MATCH($C4685,DATA_ASSET_CLASSIFICATION!$A$8:$A$24,0)),"Review"))</f>
        <v>Yes</v>
      </c>
      <c r="Q4685" s="350" t="str">
        <f t="shared" ca="1" si="147"/>
        <v>OK</v>
      </c>
    </row>
    <row r="4686" spans="1:17" ht="30">
      <c r="A4686" s="366" t="s">
        <v>6642</v>
      </c>
      <c r="B4686" s="366" t="s">
        <v>231</v>
      </c>
      <c r="C4686" s="348" t="str">
        <f>DATA_PROPERTY_MASTER!$A$20</f>
        <v>BLD_PM</v>
      </c>
      <c r="D4686" s="380">
        <f>'00_PORTFOLIO ROLLUP'!H$12</f>
        <v>2028</v>
      </c>
      <c r="E4686" s="366" t="s">
        <v>1683</v>
      </c>
      <c r="F4686" s="366" t="s">
        <v>25</v>
      </c>
      <c r="G4686" s="348" t="str">
        <f>"'"&amp;$C4686&amp;"'!$E$52:$Y$52"</f>
        <v>'BLD_PM'!$E$52:$Y$52</v>
      </c>
      <c r="H4686" s="381">
        <f ca="1">IF(IFERROR(INDEX(DATA_PROPERTY_MASTER!$E$5:$E$21,MATCH($C4686,DATA_PROPERTY_MASTER!$A$5:$A$21,0))="Yes",FALSE),IFERROR(INDEX(INDIRECT("'"&amp;$C4686&amp;"'!$E$52:$Y$52"),1,MATCH($D4686,INDIRECT("'"&amp;$C4686&amp;"'!$E$12:$Y$12"),0)),0),0)</f>
        <v>1666163.7919015912</v>
      </c>
      <c r="I4686" s="366" t="s">
        <v>1685</v>
      </c>
      <c r="J4686" s="348" t="str">
        <f t="shared" ca="1" si="146"/>
        <v>OK</v>
      </c>
      <c r="K4686" s="366" t="s">
        <v>1710</v>
      </c>
      <c r="L4686" s="366" t="s">
        <v>2246</v>
      </c>
      <c r="M4686" s="350" t="str">
        <f>IF($B4686="Portfolio","Portfolio",IFERROR(INDEX(DATA_ASSET_CLASSIFICATION!$B$8:$B$24,MATCH($C4686,DATA_ASSET_CLASSIFICATION!$A$8:$A$24,0)),"Review"))</f>
        <v>The Creek, Port Moody</v>
      </c>
      <c r="N4686" s="350" t="str">
        <f>IF($B4686="Portfolio","Portfolio",IFERROR(INDEX(DATA_ASSET_CLASSIFICATION!$U$8:$U$24,MATCH($C4686,DATA_ASSET_CLASSIFICATION!$A$8:$A$24,0)),"Review"))</f>
        <v>New Build</v>
      </c>
      <c r="O4686" s="350" t="str">
        <f>IF($B4686="Portfolio","Portfolio",IFERROR(INDEX(DATA_ASSET_CLASSIFICATION!$AB$8:$AB$13,MATCH($N4686,DATA_ASSET_CLASSIFICATION!$AA$8:$AA$13,0)),"Review"))</f>
        <v>Bucket 1 · New Build</v>
      </c>
      <c r="P4686" s="350" t="str">
        <f>IF($B4686="Portfolio","Portfolio",IFERROR(INDEX(DATA_ASSET_CLASSIFICATION!$C$8:$C$24,MATCH($C4686,DATA_ASSET_CLASSIFICATION!$A$8:$A$24,0)),"Review"))</f>
        <v>Yes</v>
      </c>
      <c r="Q4686" s="350" t="str">
        <f t="shared" ca="1" si="147"/>
        <v>OK</v>
      </c>
    </row>
    <row r="4687" spans="1:17" ht="30">
      <c r="A4687" s="366" t="s">
        <v>6643</v>
      </c>
      <c r="B4687" s="366" t="s">
        <v>231</v>
      </c>
      <c r="C4687" s="348" t="str">
        <f>DATA_PROPERTY_MASTER!$A$20</f>
        <v>BLD_PM</v>
      </c>
      <c r="D4687" s="380">
        <f>'00_PORTFOLIO ROLLUP'!H$12</f>
        <v>2028</v>
      </c>
      <c r="E4687" s="366" t="s">
        <v>1683</v>
      </c>
      <c r="F4687" s="366" t="s">
        <v>27</v>
      </c>
      <c r="G4687" s="348" t="str">
        <f>"'"&amp;$C4687&amp;"'!$E$54:$Y$54"</f>
        <v>'BLD_PM'!$E$54:$Y$54</v>
      </c>
      <c r="H4687" s="381">
        <f ca="1">IF(IFERROR(INDEX(DATA_PROPERTY_MASTER!$E$5:$E$21,MATCH($C4687,DATA_PROPERTY_MASTER!$A$5:$A$21,0))="Yes",FALSE),IFERROR(INDEX(INDIRECT("'"&amp;$C4687&amp;"'!$E$54:$Y$54"),1,MATCH($D4687,INDIRECT("'"&amp;$C4687&amp;"'!$E$12:$Y$12"),0)),0),0)</f>
        <v>999698.27514095465</v>
      </c>
      <c r="I4687" s="366" t="s">
        <v>1690</v>
      </c>
      <c r="J4687" s="348" t="str">
        <f t="shared" ca="1" si="146"/>
        <v>OK</v>
      </c>
      <c r="K4687" s="366" t="s">
        <v>1714</v>
      </c>
      <c r="L4687" s="366" t="s">
        <v>2248</v>
      </c>
      <c r="M4687" s="350" t="str">
        <f>IF($B4687="Portfolio","Portfolio",IFERROR(INDEX(DATA_ASSET_CLASSIFICATION!$B$8:$B$24,MATCH($C4687,DATA_ASSET_CLASSIFICATION!$A$8:$A$24,0)),"Review"))</f>
        <v>The Creek, Port Moody</v>
      </c>
      <c r="N4687" s="350" t="str">
        <f>IF($B4687="Portfolio","Portfolio",IFERROR(INDEX(DATA_ASSET_CLASSIFICATION!$U$8:$U$24,MATCH($C4687,DATA_ASSET_CLASSIFICATION!$A$8:$A$24,0)),"Review"))</f>
        <v>New Build</v>
      </c>
      <c r="O4687" s="350" t="str">
        <f>IF($B4687="Portfolio","Portfolio",IFERROR(INDEX(DATA_ASSET_CLASSIFICATION!$AB$8:$AB$13,MATCH($N4687,DATA_ASSET_CLASSIFICATION!$AA$8:$AA$13,0)),"Review"))</f>
        <v>Bucket 1 · New Build</v>
      </c>
      <c r="P4687" s="350" t="str">
        <f>IF($B4687="Portfolio","Portfolio",IFERROR(INDEX(DATA_ASSET_CLASSIFICATION!$C$8:$C$24,MATCH($C4687,DATA_ASSET_CLASSIFICATION!$A$8:$A$24,0)),"Review"))</f>
        <v>Yes</v>
      </c>
      <c r="Q4687" s="350" t="str">
        <f t="shared" ca="1" si="147"/>
        <v>OK</v>
      </c>
    </row>
    <row r="4688" spans="1:17" ht="30">
      <c r="A4688" s="366" t="s">
        <v>6644</v>
      </c>
      <c r="B4688" s="366" t="s">
        <v>231</v>
      </c>
      <c r="C4688" s="348" t="str">
        <f>DATA_PROPERTY_MASTER!$A$20</f>
        <v>BLD_PM</v>
      </c>
      <c r="D4688" s="380">
        <f>'00_PORTFOLIO ROLLUP'!H$12</f>
        <v>2028</v>
      </c>
      <c r="E4688" s="366" t="s">
        <v>1683</v>
      </c>
      <c r="F4688" s="366" t="s">
        <v>29</v>
      </c>
      <c r="G4688" s="348" t="str">
        <f>"'"&amp;$C4688&amp;"'!$E$56:$Y$56"</f>
        <v>'BLD_PM'!$E$56:$Y$56</v>
      </c>
      <c r="H4688" s="381">
        <f ca="1">IF(IFERROR(INDEX(DATA_PROPERTY_MASTER!$E$5:$E$21,MATCH($C4688,DATA_PROPERTY_MASTER!$A$5:$A$21,0))="Yes",FALSE),IFERROR(INDEX(INDIRECT("'"&amp;$C4688&amp;"'!$E$56:$Y$56"),1,MATCH($D4688,INDIRECT("'"&amp;$C4688&amp;"'!$E$12:$Y$12"),0)),0),0)</f>
        <v>666465.51676063659</v>
      </c>
      <c r="I4688" s="366" t="s">
        <v>1685</v>
      </c>
      <c r="J4688" s="348" t="str">
        <f t="shared" ca="1" si="146"/>
        <v>OK</v>
      </c>
      <c r="K4688" s="366" t="s">
        <v>1718</v>
      </c>
      <c r="L4688" s="366" t="s">
        <v>2250</v>
      </c>
      <c r="M4688" s="350" t="str">
        <f>IF($B4688="Portfolio","Portfolio",IFERROR(INDEX(DATA_ASSET_CLASSIFICATION!$B$8:$B$24,MATCH($C4688,DATA_ASSET_CLASSIFICATION!$A$8:$A$24,0)),"Review"))</f>
        <v>The Creek, Port Moody</v>
      </c>
      <c r="N4688" s="350" t="str">
        <f>IF($B4688="Portfolio","Portfolio",IFERROR(INDEX(DATA_ASSET_CLASSIFICATION!$U$8:$U$24,MATCH($C4688,DATA_ASSET_CLASSIFICATION!$A$8:$A$24,0)),"Review"))</f>
        <v>New Build</v>
      </c>
      <c r="O4688" s="350" t="str">
        <f>IF($B4688="Portfolio","Portfolio",IFERROR(INDEX(DATA_ASSET_CLASSIFICATION!$AB$8:$AB$13,MATCH($N4688,DATA_ASSET_CLASSIFICATION!$AA$8:$AA$13,0)),"Review"))</f>
        <v>Bucket 1 · New Build</v>
      </c>
      <c r="P4688" s="350" t="str">
        <f>IF($B4688="Portfolio","Portfolio",IFERROR(INDEX(DATA_ASSET_CLASSIFICATION!$C$8:$C$24,MATCH($C4688,DATA_ASSET_CLASSIFICATION!$A$8:$A$24,0)),"Review"))</f>
        <v>Yes</v>
      </c>
      <c r="Q4688" s="350" t="str">
        <f t="shared" ca="1" si="147"/>
        <v>OK</v>
      </c>
    </row>
    <row r="4689" spans="1:17" ht="30">
      <c r="A4689" s="366" t="s">
        <v>6645</v>
      </c>
      <c r="B4689" s="366" t="s">
        <v>231</v>
      </c>
      <c r="C4689" s="348" t="str">
        <f>DATA_PROPERTY_MASTER!$A$20</f>
        <v>BLD_PM</v>
      </c>
      <c r="D4689" s="380">
        <f>'00_PORTFOLIO ROLLUP'!H$12</f>
        <v>2028</v>
      </c>
      <c r="E4689" s="366" t="s">
        <v>1721</v>
      </c>
      <c r="F4689" s="366" t="s">
        <v>31</v>
      </c>
      <c r="G4689" s="348" t="str">
        <f>"'"&amp;$C4689&amp;"'!$E$61:$Y$61"</f>
        <v>'BLD_PM'!$E$61:$Y$61</v>
      </c>
      <c r="H4689" s="381">
        <f ca="1">IF(IFERROR(INDEX(DATA_PROPERTY_MASTER!$E$5:$E$21,MATCH($C4689,DATA_PROPERTY_MASTER!$A$5:$A$21,0))="Yes",FALSE),IFERROR(INDEX(INDIRECT("'"&amp;$C4689&amp;"'!$E$61:$Y$61"),1,MATCH($D4689,INDIRECT("'"&amp;$C4689&amp;"'!$E$12:$Y$12"),0)),0),0)</f>
        <v>0</v>
      </c>
      <c r="I4689" s="366" t="s">
        <v>1690</v>
      </c>
      <c r="J4689" s="348" t="str">
        <f t="shared" ca="1" si="146"/>
        <v>OK</v>
      </c>
      <c r="K4689" s="366" t="s">
        <v>1723</v>
      </c>
      <c r="L4689" s="366" t="s">
        <v>2252</v>
      </c>
      <c r="M4689" s="350" t="str">
        <f>IF($B4689="Portfolio","Portfolio",IFERROR(INDEX(DATA_ASSET_CLASSIFICATION!$B$8:$B$24,MATCH($C4689,DATA_ASSET_CLASSIFICATION!$A$8:$A$24,0)),"Review"))</f>
        <v>The Creek, Port Moody</v>
      </c>
      <c r="N4689" s="350" t="str">
        <f>IF($B4689="Portfolio","Portfolio",IFERROR(INDEX(DATA_ASSET_CLASSIFICATION!$U$8:$U$24,MATCH($C4689,DATA_ASSET_CLASSIFICATION!$A$8:$A$24,0)),"Review"))</f>
        <v>New Build</v>
      </c>
      <c r="O4689" s="350" t="str">
        <f>IF($B4689="Portfolio","Portfolio",IFERROR(INDEX(DATA_ASSET_CLASSIFICATION!$AB$8:$AB$13,MATCH($N4689,DATA_ASSET_CLASSIFICATION!$AA$8:$AA$13,0)),"Review"))</f>
        <v>Bucket 1 · New Build</v>
      </c>
      <c r="P4689" s="350" t="str">
        <f>IF($B4689="Portfolio","Portfolio",IFERROR(INDEX(DATA_ASSET_CLASSIFICATION!$C$8:$C$24,MATCH($C4689,DATA_ASSET_CLASSIFICATION!$A$8:$A$24,0)),"Review"))</f>
        <v>Yes</v>
      </c>
      <c r="Q4689" s="350" t="str">
        <f t="shared" ca="1" si="147"/>
        <v>OK</v>
      </c>
    </row>
    <row r="4690" spans="1:17" ht="30">
      <c r="A4690" s="366" t="s">
        <v>6646</v>
      </c>
      <c r="B4690" s="366" t="s">
        <v>231</v>
      </c>
      <c r="C4690" s="348" t="str">
        <f>DATA_PROPERTY_MASTER!$A$20</f>
        <v>BLD_PM</v>
      </c>
      <c r="D4690" s="380">
        <f>'00_PORTFOLIO ROLLUP'!H$12</f>
        <v>2028</v>
      </c>
      <c r="E4690" s="366" t="s">
        <v>1721</v>
      </c>
      <c r="F4690" s="366" t="s">
        <v>33</v>
      </c>
      <c r="G4690" s="348" t="str">
        <f>"'"&amp;$C4690&amp;"'!$E$62:$Y$62"</f>
        <v>'BLD_PM'!$E$62:$Y$62</v>
      </c>
      <c r="H4690" s="381">
        <f ca="1">IF(IFERROR(INDEX(DATA_PROPERTY_MASTER!$E$5:$E$21,MATCH($C4690,DATA_PROPERTY_MASTER!$A$5:$A$21,0))="Yes",FALSE),IFERROR(INDEX(INDIRECT("'"&amp;$C4690&amp;"'!$E$62:$Y$62"),1,MATCH($D4690,INDIRECT("'"&amp;$C4690&amp;"'!$E$12:$Y$12"),0)),0),0)</f>
        <v>0</v>
      </c>
      <c r="I4690" s="366" t="s">
        <v>1685</v>
      </c>
      <c r="J4690" s="348" t="str">
        <f t="shared" ca="1" si="146"/>
        <v>OK</v>
      </c>
      <c r="K4690" s="366" t="s">
        <v>1727</v>
      </c>
      <c r="L4690" s="366" t="s">
        <v>2254</v>
      </c>
      <c r="M4690" s="350" t="str">
        <f>IF($B4690="Portfolio","Portfolio",IFERROR(INDEX(DATA_ASSET_CLASSIFICATION!$B$8:$B$24,MATCH($C4690,DATA_ASSET_CLASSIFICATION!$A$8:$A$24,0)),"Review"))</f>
        <v>The Creek, Port Moody</v>
      </c>
      <c r="N4690" s="350" t="str">
        <f>IF($B4690="Portfolio","Portfolio",IFERROR(INDEX(DATA_ASSET_CLASSIFICATION!$U$8:$U$24,MATCH($C4690,DATA_ASSET_CLASSIFICATION!$A$8:$A$24,0)),"Review"))</f>
        <v>New Build</v>
      </c>
      <c r="O4690" s="350" t="str">
        <f>IF($B4690="Portfolio","Portfolio",IFERROR(INDEX(DATA_ASSET_CLASSIFICATION!$AB$8:$AB$13,MATCH($N4690,DATA_ASSET_CLASSIFICATION!$AA$8:$AA$13,0)),"Review"))</f>
        <v>Bucket 1 · New Build</v>
      </c>
      <c r="P4690" s="350" t="str">
        <f>IF($B4690="Portfolio","Portfolio",IFERROR(INDEX(DATA_ASSET_CLASSIFICATION!$C$8:$C$24,MATCH($C4690,DATA_ASSET_CLASSIFICATION!$A$8:$A$24,0)),"Review"))</f>
        <v>Yes</v>
      </c>
      <c r="Q4690" s="350" t="str">
        <f t="shared" ca="1" si="147"/>
        <v>OK</v>
      </c>
    </row>
    <row r="4691" spans="1:17" ht="30">
      <c r="A4691" s="366" t="s">
        <v>6647</v>
      </c>
      <c r="B4691" s="366" t="s">
        <v>231</v>
      </c>
      <c r="C4691" s="348" t="str">
        <f>DATA_PROPERTY_MASTER!$A$20</f>
        <v>BLD_PM</v>
      </c>
      <c r="D4691" s="380">
        <f>'00_PORTFOLIO ROLLUP'!H$12</f>
        <v>2028</v>
      </c>
      <c r="E4691" s="366" t="s">
        <v>1721</v>
      </c>
      <c r="F4691" s="366" t="s">
        <v>35</v>
      </c>
      <c r="G4691" s="348" t="str">
        <f>"'"&amp;$C4691&amp;"'!$E$63:$Y$63"</f>
        <v>'BLD_PM'!$E$63:$Y$63</v>
      </c>
      <c r="H4691" s="381">
        <f ca="1">IF(IFERROR(INDEX(DATA_PROPERTY_MASTER!$E$5:$E$21,MATCH($C4691,DATA_PROPERTY_MASTER!$A$5:$A$21,0))="Yes",FALSE),IFERROR(INDEX(INDIRECT("'"&amp;$C4691&amp;"'!$E$63:$Y$63"),1,MATCH($D4691,INDIRECT("'"&amp;$C4691&amp;"'!$E$12:$Y$12"),0)),0),0)</f>
        <v>0</v>
      </c>
      <c r="I4691" s="366" t="s">
        <v>1731</v>
      </c>
      <c r="J4691" s="348" t="str">
        <f t="shared" ca="1" si="146"/>
        <v>OK</v>
      </c>
      <c r="K4691" s="366" t="s">
        <v>1732</v>
      </c>
      <c r="L4691" s="366" t="s">
        <v>2256</v>
      </c>
      <c r="M4691" s="350" t="str">
        <f>IF($B4691="Portfolio","Portfolio",IFERROR(INDEX(DATA_ASSET_CLASSIFICATION!$B$8:$B$24,MATCH($C4691,DATA_ASSET_CLASSIFICATION!$A$8:$A$24,0)),"Review"))</f>
        <v>The Creek, Port Moody</v>
      </c>
      <c r="N4691" s="350" t="str">
        <f>IF($B4691="Portfolio","Portfolio",IFERROR(INDEX(DATA_ASSET_CLASSIFICATION!$U$8:$U$24,MATCH($C4691,DATA_ASSET_CLASSIFICATION!$A$8:$A$24,0)),"Review"))</f>
        <v>New Build</v>
      </c>
      <c r="O4691" s="350" t="str">
        <f>IF($B4691="Portfolio","Portfolio",IFERROR(INDEX(DATA_ASSET_CLASSIFICATION!$AB$8:$AB$13,MATCH($N4691,DATA_ASSET_CLASSIFICATION!$AA$8:$AA$13,0)),"Review"))</f>
        <v>Bucket 1 · New Build</v>
      </c>
      <c r="P4691" s="350" t="str">
        <f>IF($B4691="Portfolio","Portfolio",IFERROR(INDEX(DATA_ASSET_CLASSIFICATION!$C$8:$C$24,MATCH($C4691,DATA_ASSET_CLASSIFICATION!$A$8:$A$24,0)),"Review"))</f>
        <v>Yes</v>
      </c>
      <c r="Q4691" s="350" t="str">
        <f t="shared" ca="1" si="147"/>
        <v>OK</v>
      </c>
    </row>
    <row r="4692" spans="1:17" ht="30">
      <c r="A4692" s="366" t="s">
        <v>6648</v>
      </c>
      <c r="B4692" s="366" t="s">
        <v>231</v>
      </c>
      <c r="C4692" s="348" t="str">
        <f>DATA_PROPERTY_MASTER!$A$20</f>
        <v>BLD_PM</v>
      </c>
      <c r="D4692" s="380">
        <f>'00_PORTFOLIO ROLLUP'!H$12</f>
        <v>2028</v>
      </c>
      <c r="E4692" s="366" t="s">
        <v>1721</v>
      </c>
      <c r="F4692" s="366" t="s">
        <v>37</v>
      </c>
      <c r="G4692" s="348" t="str">
        <f>"'"&amp;$C4692&amp;"'!$E$63:$Y$63"</f>
        <v>'BLD_PM'!$E$63:$Y$63</v>
      </c>
      <c r="H4692" s="381">
        <f ca="1">IF(IFERROR(INDEX(DATA_PROPERTY_MASTER!$E$5:$E$21,MATCH($C4692,DATA_PROPERTY_MASTER!$A$5:$A$21,0))="Yes",FALSE),MAX(IFERROR(INDEX(INDIRECT("'"&amp;$C4692&amp;"'!$E$63:$Y$63"),1,MATCH($D4692,INDIRECT("'"&amp;$C4692&amp;"'!$E$12:$Y$12"),0)),0),0),0)</f>
        <v>0</v>
      </c>
      <c r="I4692" s="366" t="s">
        <v>1685</v>
      </c>
      <c r="J4692" s="348" t="str">
        <f t="shared" ca="1" si="146"/>
        <v>OK</v>
      </c>
      <c r="K4692" s="366" t="s">
        <v>1735</v>
      </c>
      <c r="L4692" s="366" t="s">
        <v>2258</v>
      </c>
      <c r="M4692" s="350" t="str">
        <f>IF($B4692="Portfolio","Portfolio",IFERROR(INDEX(DATA_ASSET_CLASSIFICATION!$B$8:$B$24,MATCH($C4692,DATA_ASSET_CLASSIFICATION!$A$8:$A$24,0)),"Review"))</f>
        <v>The Creek, Port Moody</v>
      </c>
      <c r="N4692" s="350" t="str">
        <f>IF($B4692="Portfolio","Portfolio",IFERROR(INDEX(DATA_ASSET_CLASSIFICATION!$U$8:$U$24,MATCH($C4692,DATA_ASSET_CLASSIFICATION!$A$8:$A$24,0)),"Review"))</f>
        <v>New Build</v>
      </c>
      <c r="O4692" s="350" t="str">
        <f>IF($B4692="Portfolio","Portfolio",IFERROR(INDEX(DATA_ASSET_CLASSIFICATION!$AB$8:$AB$13,MATCH($N4692,DATA_ASSET_CLASSIFICATION!$AA$8:$AA$13,0)),"Review"))</f>
        <v>Bucket 1 · New Build</v>
      </c>
      <c r="P4692" s="350" t="str">
        <f>IF($B4692="Portfolio","Portfolio",IFERROR(INDEX(DATA_ASSET_CLASSIFICATION!$C$8:$C$24,MATCH($C4692,DATA_ASSET_CLASSIFICATION!$A$8:$A$24,0)),"Review"))</f>
        <v>Yes</v>
      </c>
      <c r="Q4692" s="350" t="str">
        <f t="shared" ca="1" si="147"/>
        <v>OK</v>
      </c>
    </row>
    <row r="4693" spans="1:17" ht="30">
      <c r="A4693" s="366" t="s">
        <v>6649</v>
      </c>
      <c r="B4693" s="366" t="s">
        <v>231</v>
      </c>
      <c r="C4693" s="348" t="str">
        <f>DATA_PROPERTY_MASTER!$A$20</f>
        <v>BLD_PM</v>
      </c>
      <c r="D4693" s="380">
        <f>'00_PORTFOLIO ROLLUP'!H$12</f>
        <v>2028</v>
      </c>
      <c r="E4693" s="366" t="s">
        <v>1721</v>
      </c>
      <c r="F4693" s="366" t="s">
        <v>39</v>
      </c>
      <c r="G4693" s="348" t="str">
        <f>"'"&amp;$C4693&amp;"'!$E$63:$Y$63"</f>
        <v>'BLD_PM'!$E$63:$Y$63</v>
      </c>
      <c r="H4693" s="381">
        <f ca="1">IF(IFERROR(INDEX(DATA_PROPERTY_MASTER!$E$5:$E$21,MATCH($C4693,DATA_PROPERTY_MASTER!$A$5:$A$21,0))="Yes",FALSE),MAX(-IFERROR(INDEX(INDIRECT("'"&amp;$C4693&amp;"'!$E$63:$Y$63"),1,MATCH($D4693,INDIRECT("'"&amp;$C4693&amp;"'!$E$12:$Y$12"),0)),0),0),0)</f>
        <v>0</v>
      </c>
      <c r="I4693" s="366" t="s">
        <v>1690</v>
      </c>
      <c r="J4693" s="348" t="str">
        <f t="shared" ca="1" si="146"/>
        <v>OK</v>
      </c>
      <c r="K4693" s="366" t="s">
        <v>1738</v>
      </c>
      <c r="L4693" s="366" t="s">
        <v>2260</v>
      </c>
      <c r="M4693" s="350" t="str">
        <f>IF($B4693="Portfolio","Portfolio",IFERROR(INDEX(DATA_ASSET_CLASSIFICATION!$B$8:$B$24,MATCH($C4693,DATA_ASSET_CLASSIFICATION!$A$8:$A$24,0)),"Review"))</f>
        <v>The Creek, Port Moody</v>
      </c>
      <c r="N4693" s="350" t="str">
        <f>IF($B4693="Portfolio","Portfolio",IFERROR(INDEX(DATA_ASSET_CLASSIFICATION!$U$8:$U$24,MATCH($C4693,DATA_ASSET_CLASSIFICATION!$A$8:$A$24,0)),"Review"))</f>
        <v>New Build</v>
      </c>
      <c r="O4693" s="350" t="str">
        <f>IF($B4693="Portfolio","Portfolio",IFERROR(INDEX(DATA_ASSET_CLASSIFICATION!$AB$8:$AB$13,MATCH($N4693,DATA_ASSET_CLASSIFICATION!$AA$8:$AA$13,0)),"Review"))</f>
        <v>Bucket 1 · New Build</v>
      </c>
      <c r="P4693" s="350" t="str">
        <f>IF($B4693="Portfolio","Portfolio",IFERROR(INDEX(DATA_ASSET_CLASSIFICATION!$C$8:$C$24,MATCH($C4693,DATA_ASSET_CLASSIFICATION!$A$8:$A$24,0)),"Review"))</f>
        <v>Yes</v>
      </c>
      <c r="Q4693" s="350" t="str">
        <f t="shared" ca="1" si="147"/>
        <v>OK</v>
      </c>
    </row>
    <row r="4694" spans="1:17" ht="30">
      <c r="A4694" s="366" t="s">
        <v>6650</v>
      </c>
      <c r="B4694" s="366" t="s">
        <v>231</v>
      </c>
      <c r="C4694" s="348" t="str">
        <f>DATA_PROPERTY_MASTER!$A$20</f>
        <v>BLD_PM</v>
      </c>
      <c r="D4694" s="380">
        <f>'00_PORTFOLIO ROLLUP'!H$12</f>
        <v>2028</v>
      </c>
      <c r="E4694" s="366" t="s">
        <v>1741</v>
      </c>
      <c r="F4694" s="366" t="s">
        <v>41</v>
      </c>
      <c r="G4694" s="348" t="str">
        <f>"'"&amp;$C4694&amp;"'!rows 56 + positive row 63"</f>
        <v>'BLD_PM'!rows 56 + positive row 63</v>
      </c>
      <c r="H4694" s="381">
        <f ca="1">IF(IFERROR(INDEX(DATA_PROPERTY_MASTER!$E$5:$E$21,MATCH($C4694,DATA_PROPERTY_MASTER!$A$5:$A$21,0))="Yes",FALSE),IFERROR(INDEX(INDIRECT("'"&amp;$C4694&amp;"'!$E$56:$Y$56"),1,MATCH($D4694,INDIRECT("'"&amp;$C4694&amp;"'!$E$12:$Y$12"),0)),0)+MAX(IFERROR(INDEX(INDIRECT("'"&amp;$C4694&amp;"'!$E$63:$Y$63"),1,MATCH($D4694,INDIRECT("'"&amp;$C4694&amp;"'!$E$12:$Y$12"),0)),0),0),0)</f>
        <v>666465.51676063659</v>
      </c>
      <c r="I4694" s="366" t="s">
        <v>1685</v>
      </c>
      <c r="J4694" s="348" t="str">
        <f t="shared" ca="1" si="146"/>
        <v>OK</v>
      </c>
      <c r="K4694" s="366" t="s">
        <v>1742</v>
      </c>
      <c r="L4694" s="366" t="s">
        <v>2262</v>
      </c>
      <c r="M4694" s="350" t="str">
        <f>IF($B4694="Portfolio","Portfolio",IFERROR(INDEX(DATA_ASSET_CLASSIFICATION!$B$8:$B$24,MATCH($C4694,DATA_ASSET_CLASSIFICATION!$A$8:$A$24,0)),"Review"))</f>
        <v>The Creek, Port Moody</v>
      </c>
      <c r="N4694" s="350" t="str">
        <f>IF($B4694="Portfolio","Portfolio",IFERROR(INDEX(DATA_ASSET_CLASSIFICATION!$U$8:$U$24,MATCH($C4694,DATA_ASSET_CLASSIFICATION!$A$8:$A$24,0)),"Review"))</f>
        <v>New Build</v>
      </c>
      <c r="O4694" s="350" t="str">
        <f>IF($B4694="Portfolio","Portfolio",IFERROR(INDEX(DATA_ASSET_CLASSIFICATION!$AB$8:$AB$13,MATCH($N4694,DATA_ASSET_CLASSIFICATION!$AA$8:$AA$13,0)),"Review"))</f>
        <v>Bucket 1 · New Build</v>
      </c>
      <c r="P4694" s="350" t="str">
        <f>IF($B4694="Portfolio","Portfolio",IFERROR(INDEX(DATA_ASSET_CLASSIFICATION!$C$8:$C$24,MATCH($C4694,DATA_ASSET_CLASSIFICATION!$A$8:$A$24,0)),"Review"))</f>
        <v>Yes</v>
      </c>
      <c r="Q4694" s="350" t="str">
        <f t="shared" ca="1" si="147"/>
        <v>OK</v>
      </c>
    </row>
    <row r="4695" spans="1:17" ht="30">
      <c r="A4695" s="366" t="s">
        <v>6651</v>
      </c>
      <c r="B4695" s="366" t="s">
        <v>231</v>
      </c>
      <c r="C4695" s="348" t="str">
        <f>DATA_PROPERTY_MASTER!$A$20</f>
        <v>BLD_PM</v>
      </c>
      <c r="D4695" s="380">
        <f>'00_PORTFOLIO ROLLUP'!H$12</f>
        <v>2028</v>
      </c>
      <c r="E4695" s="366" t="s">
        <v>1741</v>
      </c>
      <c r="F4695" s="366" t="s">
        <v>43</v>
      </c>
      <c r="G4695" s="348" t="str">
        <f>"'"&amp;$C4695&amp;"'!$E$68:$Y$68"</f>
        <v>'BLD_PM'!$E$68:$Y$68</v>
      </c>
      <c r="H4695" s="381">
        <f ca="1">IF(IFERROR(INDEX(DATA_PROPERTY_MASTER!$E$5:$E$21,MATCH($C4695,DATA_PROPERTY_MASTER!$A$5:$A$21,0))="Yes",FALSE),IFERROR(INDEX(INDIRECT("'"&amp;$C4695&amp;"'!$E$68:$Y$68"),1,MATCH($D4695,INDIRECT("'"&amp;$C4695&amp;"'!$E$12:$Y$12"),0)),0),0)</f>
        <v>666465.51676063659</v>
      </c>
      <c r="I4695" s="366" t="s">
        <v>1731</v>
      </c>
      <c r="J4695" s="348" t="str">
        <f t="shared" ca="1" si="146"/>
        <v>OK</v>
      </c>
      <c r="K4695" s="366" t="s">
        <v>1746</v>
      </c>
      <c r="L4695" s="366" t="s">
        <v>2264</v>
      </c>
      <c r="M4695" s="350" t="str">
        <f>IF($B4695="Portfolio","Portfolio",IFERROR(INDEX(DATA_ASSET_CLASSIFICATION!$B$8:$B$24,MATCH($C4695,DATA_ASSET_CLASSIFICATION!$A$8:$A$24,0)),"Review"))</f>
        <v>The Creek, Port Moody</v>
      </c>
      <c r="N4695" s="350" t="str">
        <f>IF($B4695="Portfolio","Portfolio",IFERROR(INDEX(DATA_ASSET_CLASSIFICATION!$U$8:$U$24,MATCH($C4695,DATA_ASSET_CLASSIFICATION!$A$8:$A$24,0)),"Review"))</f>
        <v>New Build</v>
      </c>
      <c r="O4695" s="350" t="str">
        <f>IF($B4695="Portfolio","Portfolio",IFERROR(INDEX(DATA_ASSET_CLASSIFICATION!$AB$8:$AB$13,MATCH($N4695,DATA_ASSET_CLASSIFICATION!$AA$8:$AA$13,0)),"Review"))</f>
        <v>Bucket 1 · New Build</v>
      </c>
      <c r="P4695" s="350" t="str">
        <f>IF($B4695="Portfolio","Portfolio",IFERROR(INDEX(DATA_ASSET_CLASSIFICATION!$C$8:$C$24,MATCH($C4695,DATA_ASSET_CLASSIFICATION!$A$8:$A$24,0)),"Review"))</f>
        <v>Yes</v>
      </c>
      <c r="Q4695" s="350" t="str">
        <f t="shared" ca="1" si="147"/>
        <v>OK</v>
      </c>
    </row>
    <row r="4696" spans="1:17" ht="30">
      <c r="A4696" s="366" t="s">
        <v>6652</v>
      </c>
      <c r="B4696" s="366" t="s">
        <v>231</v>
      </c>
      <c r="C4696" s="348" t="str">
        <f>DATA_PROPERTY_MASTER!$A$20</f>
        <v>BLD_PM</v>
      </c>
      <c r="D4696" s="380">
        <f>'00_PORTFOLIO ROLLUP'!H$12</f>
        <v>2028</v>
      </c>
      <c r="E4696" s="366" t="s">
        <v>1741</v>
      </c>
      <c r="F4696" s="366" t="s">
        <v>1749</v>
      </c>
      <c r="G4696" s="348" t="str">
        <f>"'"&amp;$C4696&amp;"'!rows 56, 63, 68"</f>
        <v>'BLD_PM'!rows 56, 63, 68</v>
      </c>
      <c r="H4696" s="381">
        <f ca="1">IF(IFERROR(INDEX(DATA_PROPERTY_MASTER!$E$5:$E$21,MATCH($C4696,DATA_PROPERTY_MASTER!$A$5:$A$21,0))="Yes",FALSE),(IFERROR(INDEX(INDIRECT("'"&amp;$C4696&amp;"'!$E$56:$Y$56"),1,MATCH($D4696,INDIRECT("'"&amp;$C4696&amp;"'!$E$12:$Y$12"),0)),0)+MAX(IFERROR(INDEX(INDIRECT("'"&amp;$C4696&amp;"'!$E$63:$Y$63"),1,MATCH($D4696,INDIRECT("'"&amp;$C4696&amp;"'!$E$12:$Y$12"),0)),0),0))-(IFERROR(INDEX(INDIRECT("'"&amp;$C4696&amp;"'!$E$68:$Y$68"),1,MATCH($D4696,INDIRECT("'"&amp;$C4696&amp;"'!$E$12:$Y$12"),0)),0)),0)</f>
        <v>0</v>
      </c>
      <c r="I4696" s="366" t="s">
        <v>1750</v>
      </c>
      <c r="J4696" s="348" t="str">
        <f t="shared" ca="1" si="146"/>
        <v>OK</v>
      </c>
      <c r="K4696" s="366" t="s">
        <v>1751</v>
      </c>
      <c r="L4696" s="366" t="s">
        <v>2266</v>
      </c>
      <c r="M4696" s="350" t="str">
        <f>IF($B4696="Portfolio","Portfolio",IFERROR(INDEX(DATA_ASSET_CLASSIFICATION!$B$8:$B$24,MATCH($C4696,DATA_ASSET_CLASSIFICATION!$A$8:$A$24,0)),"Review"))</f>
        <v>The Creek, Port Moody</v>
      </c>
      <c r="N4696" s="350" t="str">
        <f>IF($B4696="Portfolio","Portfolio",IFERROR(INDEX(DATA_ASSET_CLASSIFICATION!$U$8:$U$24,MATCH($C4696,DATA_ASSET_CLASSIFICATION!$A$8:$A$24,0)),"Review"))</f>
        <v>New Build</v>
      </c>
      <c r="O4696" s="350" t="str">
        <f>IF($B4696="Portfolio","Portfolio",IFERROR(INDEX(DATA_ASSET_CLASSIFICATION!$AB$8:$AB$13,MATCH($N4696,DATA_ASSET_CLASSIFICATION!$AA$8:$AA$13,0)),"Review"))</f>
        <v>Bucket 1 · New Build</v>
      </c>
      <c r="P4696" s="350" t="str">
        <f>IF($B4696="Portfolio","Portfolio",IFERROR(INDEX(DATA_ASSET_CLASSIFICATION!$C$8:$C$24,MATCH($C4696,DATA_ASSET_CLASSIFICATION!$A$8:$A$24,0)),"Review"))</f>
        <v>Yes</v>
      </c>
      <c r="Q4696" s="350" t="str">
        <f t="shared" ca="1" si="147"/>
        <v>OK</v>
      </c>
    </row>
    <row r="4697" spans="1:17" ht="30">
      <c r="A4697" s="366" t="s">
        <v>6653</v>
      </c>
      <c r="B4697" s="366" t="s">
        <v>231</v>
      </c>
      <c r="C4697" s="348" t="str">
        <f>DATA_PROPERTY_MASTER!$A$20</f>
        <v>BLD_PM</v>
      </c>
      <c r="D4697" s="380">
        <f>'00_PORTFOLIO ROLLUP'!I$12</f>
        <v>2029</v>
      </c>
      <c r="E4697" s="366" t="s">
        <v>1683</v>
      </c>
      <c r="F4697" s="366" t="s">
        <v>341</v>
      </c>
      <c r="G4697" s="348" t="str">
        <f>"'"&amp;$C4697&amp;"'!$E$24:$Y$24"</f>
        <v>'BLD_PM'!$E$24:$Y$24</v>
      </c>
      <c r="H4697" s="381">
        <f ca="1">IF(IFERROR(INDEX(DATA_PROPERTY_MASTER!$E$5:$E$21,MATCH($C4697,DATA_PROPERTY_MASTER!$A$5:$A$21,0))="Yes",FALSE),IFERROR(INDEX(INDIRECT("'"&amp;$C4697&amp;"'!$E$24:$Y$24"),1,MATCH($D4697,INDIRECT("'"&amp;$C4697&amp;"'!$E$12:$Y$12"),0)),0),0)</f>
        <v>5081194.4520957954</v>
      </c>
      <c r="I4697" s="366" t="s">
        <v>1685</v>
      </c>
      <c r="J4697" s="348" t="str">
        <f t="shared" ca="1" si="146"/>
        <v>OK</v>
      </c>
      <c r="K4697" s="366" t="s">
        <v>1686</v>
      </c>
      <c r="L4697" s="366" t="s">
        <v>2234</v>
      </c>
      <c r="M4697" s="350" t="str">
        <f>IF($B4697="Portfolio","Portfolio",IFERROR(INDEX(DATA_ASSET_CLASSIFICATION!$B$8:$B$24,MATCH($C4697,DATA_ASSET_CLASSIFICATION!$A$8:$A$24,0)),"Review"))</f>
        <v>The Creek, Port Moody</v>
      </c>
      <c r="N4697" s="350" t="str">
        <f>IF($B4697="Portfolio","Portfolio",IFERROR(INDEX(DATA_ASSET_CLASSIFICATION!$U$8:$U$24,MATCH($C4697,DATA_ASSET_CLASSIFICATION!$A$8:$A$24,0)),"Review"))</f>
        <v>New Build</v>
      </c>
      <c r="O4697" s="350" t="str">
        <f>IF($B4697="Portfolio","Portfolio",IFERROR(INDEX(DATA_ASSET_CLASSIFICATION!$AB$8:$AB$13,MATCH($N4697,DATA_ASSET_CLASSIFICATION!$AA$8:$AA$13,0)),"Review"))</f>
        <v>Bucket 1 · New Build</v>
      </c>
      <c r="P4697" s="350" t="str">
        <f>IF($B4697="Portfolio","Portfolio",IFERROR(INDEX(DATA_ASSET_CLASSIFICATION!$C$8:$C$24,MATCH($C4697,DATA_ASSET_CLASSIFICATION!$A$8:$A$24,0)),"Review"))</f>
        <v>Yes</v>
      </c>
      <c r="Q4697" s="350" t="str">
        <f t="shared" ca="1" si="147"/>
        <v>OK</v>
      </c>
    </row>
    <row r="4698" spans="1:17" ht="30">
      <c r="A4698" s="366" t="s">
        <v>6654</v>
      </c>
      <c r="B4698" s="366" t="s">
        <v>231</v>
      </c>
      <c r="C4698" s="348" t="str">
        <f>DATA_PROPERTY_MASTER!$A$20</f>
        <v>BLD_PM</v>
      </c>
      <c r="D4698" s="380">
        <f>'00_PORTFOLIO ROLLUP'!I$12</f>
        <v>2029</v>
      </c>
      <c r="E4698" s="366" t="s">
        <v>1683</v>
      </c>
      <c r="F4698" s="366" t="s">
        <v>355</v>
      </c>
      <c r="G4698" s="348" t="str">
        <f>"'"&amp;$C4698&amp;"'!$E$39:$Y$39"</f>
        <v>'BLD_PM'!$E$39:$Y$39</v>
      </c>
      <c r="H4698" s="381">
        <f ca="1">IF(IFERROR(INDEX(DATA_PROPERTY_MASTER!$E$5:$E$21,MATCH($C4698,DATA_PROPERTY_MASTER!$A$5:$A$21,0))="Yes",FALSE),IFERROR(INDEX(INDIRECT("'"&amp;$C4698&amp;"'!$E$39:$Y$39"),1,MATCH($D4698,INDIRECT("'"&amp;$C4698&amp;"'!$E$12:$Y$12"),0)),0),0)</f>
        <v>206363.04998400004</v>
      </c>
      <c r="I4698" s="366" t="s">
        <v>1690</v>
      </c>
      <c r="J4698" s="348" t="str">
        <f t="shared" ca="1" si="146"/>
        <v>OK</v>
      </c>
      <c r="K4698" s="366" t="s">
        <v>1686</v>
      </c>
      <c r="L4698" s="366" t="s">
        <v>2236</v>
      </c>
      <c r="M4698" s="350" t="str">
        <f>IF($B4698="Portfolio","Portfolio",IFERROR(INDEX(DATA_ASSET_CLASSIFICATION!$B$8:$B$24,MATCH($C4698,DATA_ASSET_CLASSIFICATION!$A$8:$A$24,0)),"Review"))</f>
        <v>The Creek, Port Moody</v>
      </c>
      <c r="N4698" s="350" t="str">
        <f>IF($B4698="Portfolio","Portfolio",IFERROR(INDEX(DATA_ASSET_CLASSIFICATION!$U$8:$U$24,MATCH($C4698,DATA_ASSET_CLASSIFICATION!$A$8:$A$24,0)),"Review"))</f>
        <v>New Build</v>
      </c>
      <c r="O4698" s="350" t="str">
        <f>IF($B4698="Portfolio","Portfolio",IFERROR(INDEX(DATA_ASSET_CLASSIFICATION!$AB$8:$AB$13,MATCH($N4698,DATA_ASSET_CLASSIFICATION!$AA$8:$AA$13,0)),"Review"))</f>
        <v>Bucket 1 · New Build</v>
      </c>
      <c r="P4698" s="350" t="str">
        <f>IF($B4698="Portfolio","Portfolio",IFERROR(INDEX(DATA_ASSET_CLASSIFICATION!$C$8:$C$24,MATCH($C4698,DATA_ASSET_CLASSIFICATION!$A$8:$A$24,0)),"Review"))</f>
        <v>Yes</v>
      </c>
      <c r="Q4698" s="350" t="str">
        <f t="shared" ca="1" si="147"/>
        <v>OK</v>
      </c>
    </row>
    <row r="4699" spans="1:17" ht="30">
      <c r="A4699" s="366" t="s">
        <v>6655</v>
      </c>
      <c r="B4699" s="366" t="s">
        <v>231</v>
      </c>
      <c r="C4699" s="348" t="str">
        <f>DATA_PROPERTY_MASTER!$A$20</f>
        <v>BLD_PM</v>
      </c>
      <c r="D4699" s="380">
        <f>'00_PORTFOLIO ROLLUP'!I$12</f>
        <v>2029</v>
      </c>
      <c r="E4699" s="366" t="s">
        <v>1683</v>
      </c>
      <c r="F4699" s="366" t="s">
        <v>19</v>
      </c>
      <c r="G4699" s="348" t="str">
        <f>"'"&amp;$C4699&amp;"'!$E$41:$Y$41"</f>
        <v>'BLD_PM'!$E$41:$Y$41</v>
      </c>
      <c r="H4699" s="381">
        <f ca="1">IF(IFERROR(INDEX(DATA_PROPERTY_MASTER!$E$5:$E$21,MATCH($C4699,DATA_PROPERTY_MASTER!$A$5:$A$21,0))="Yes",FALSE),IFERROR(INDEX(INDIRECT("'"&amp;$C4699&amp;"'!$E$41:$Y$41"),1,MATCH($D4699,INDIRECT("'"&amp;$C4699&amp;"'!$E$12:$Y$12"),0)),0),0)</f>
        <v>4874831.4021117957</v>
      </c>
      <c r="I4699" s="366" t="s">
        <v>1685</v>
      </c>
      <c r="J4699" s="348" t="str">
        <f t="shared" ca="1" si="146"/>
        <v>OK</v>
      </c>
      <c r="K4699" s="366" t="s">
        <v>1694</v>
      </c>
      <c r="L4699" s="366" t="s">
        <v>2238</v>
      </c>
      <c r="M4699" s="350" t="str">
        <f>IF($B4699="Portfolio","Portfolio",IFERROR(INDEX(DATA_ASSET_CLASSIFICATION!$B$8:$B$24,MATCH($C4699,DATA_ASSET_CLASSIFICATION!$A$8:$A$24,0)),"Review"))</f>
        <v>The Creek, Port Moody</v>
      </c>
      <c r="N4699" s="350" t="str">
        <f>IF($B4699="Portfolio","Portfolio",IFERROR(INDEX(DATA_ASSET_CLASSIFICATION!$U$8:$U$24,MATCH($C4699,DATA_ASSET_CLASSIFICATION!$A$8:$A$24,0)),"Review"))</f>
        <v>New Build</v>
      </c>
      <c r="O4699" s="350" t="str">
        <f>IF($B4699="Portfolio","Portfolio",IFERROR(INDEX(DATA_ASSET_CLASSIFICATION!$AB$8:$AB$13,MATCH($N4699,DATA_ASSET_CLASSIFICATION!$AA$8:$AA$13,0)),"Review"))</f>
        <v>Bucket 1 · New Build</v>
      </c>
      <c r="P4699" s="350" t="str">
        <f>IF($B4699="Portfolio","Portfolio",IFERROR(INDEX(DATA_ASSET_CLASSIFICATION!$C$8:$C$24,MATCH($C4699,DATA_ASSET_CLASSIFICATION!$A$8:$A$24,0)),"Review"))</f>
        <v>Yes</v>
      </c>
      <c r="Q4699" s="350" t="str">
        <f t="shared" ca="1" si="147"/>
        <v>OK</v>
      </c>
    </row>
    <row r="4700" spans="1:17" ht="30">
      <c r="A4700" s="366" t="s">
        <v>6656</v>
      </c>
      <c r="B4700" s="366" t="s">
        <v>231</v>
      </c>
      <c r="C4700" s="348" t="str">
        <f>DATA_PROPERTY_MASTER!$A$20</f>
        <v>BLD_PM</v>
      </c>
      <c r="D4700" s="380">
        <f>'00_PORTFOLIO ROLLUP'!I$12</f>
        <v>2029</v>
      </c>
      <c r="E4700" s="366" t="s">
        <v>1683</v>
      </c>
      <c r="F4700" s="366" t="s">
        <v>1697</v>
      </c>
      <c r="G4700" s="348" t="str">
        <f>"'"&amp;$C4700&amp;"'!$E$44:$Y$44"</f>
        <v>'BLD_PM'!$E$44:$Y$44</v>
      </c>
      <c r="H4700" s="381">
        <f ca="1">IF(IFERROR(INDEX(DATA_PROPERTY_MASTER!$E$5:$E$21,MATCH($C4700,DATA_PROPERTY_MASTER!$A$5:$A$21,0))="Yes",FALSE),IFERROR(INDEX(INDIRECT("'"&amp;$C4700&amp;"'!$E$44:$Y$44"),1,MATCH($D4700,INDIRECT("'"&amp;$C4700&amp;"'!$E$12:$Y$12"),0)),0),0)</f>
        <v>53255.662272000001</v>
      </c>
      <c r="I4700" s="366" t="s">
        <v>1690</v>
      </c>
      <c r="J4700" s="348" t="str">
        <f t="shared" ca="1" si="146"/>
        <v>OK</v>
      </c>
      <c r="K4700" s="366" t="s">
        <v>1699</v>
      </c>
      <c r="L4700" s="366" t="s">
        <v>2240</v>
      </c>
      <c r="M4700" s="350" t="str">
        <f>IF($B4700="Portfolio","Portfolio",IFERROR(INDEX(DATA_ASSET_CLASSIFICATION!$B$8:$B$24,MATCH($C4700,DATA_ASSET_CLASSIFICATION!$A$8:$A$24,0)),"Review"))</f>
        <v>The Creek, Port Moody</v>
      </c>
      <c r="N4700" s="350" t="str">
        <f>IF($B4700="Portfolio","Portfolio",IFERROR(INDEX(DATA_ASSET_CLASSIFICATION!$U$8:$U$24,MATCH($C4700,DATA_ASSET_CLASSIFICATION!$A$8:$A$24,0)),"Review"))</f>
        <v>New Build</v>
      </c>
      <c r="O4700" s="350" t="str">
        <f>IF($B4700="Portfolio","Portfolio",IFERROR(INDEX(DATA_ASSET_CLASSIFICATION!$AB$8:$AB$13,MATCH($N4700,DATA_ASSET_CLASSIFICATION!$AA$8:$AA$13,0)),"Review"))</f>
        <v>Bucket 1 · New Build</v>
      </c>
      <c r="P4700" s="350" t="str">
        <f>IF($B4700="Portfolio","Portfolio",IFERROR(INDEX(DATA_ASSET_CLASSIFICATION!$C$8:$C$24,MATCH($C4700,DATA_ASSET_CLASSIFICATION!$A$8:$A$24,0)),"Review"))</f>
        <v>Yes</v>
      </c>
      <c r="Q4700" s="350" t="str">
        <f t="shared" ca="1" si="147"/>
        <v>OK</v>
      </c>
    </row>
    <row r="4701" spans="1:17" ht="30">
      <c r="A4701" s="366" t="s">
        <v>6657</v>
      </c>
      <c r="B4701" s="366" t="s">
        <v>231</v>
      </c>
      <c r="C4701" s="348" t="str">
        <f>DATA_PROPERTY_MASTER!$A$20</f>
        <v>BLD_PM</v>
      </c>
      <c r="D4701" s="380">
        <f>'00_PORTFOLIO ROLLUP'!I$12</f>
        <v>2029</v>
      </c>
      <c r="E4701" s="366" t="s">
        <v>1683</v>
      </c>
      <c r="F4701" s="366" t="s">
        <v>21</v>
      </c>
      <c r="G4701" s="348" t="str">
        <f>"'"&amp;$C4701&amp;"'!$E$45:$Y$45"</f>
        <v>'BLD_PM'!$E$45:$Y$45</v>
      </c>
      <c r="H4701" s="381">
        <f ca="1">IF(IFERROR(INDEX(DATA_PROPERTY_MASTER!$E$5:$E$21,MATCH($C4701,DATA_PROPERTY_MASTER!$A$5:$A$21,0))="Yes",FALSE),IFERROR(INDEX(INDIRECT("'"&amp;$C4701&amp;"'!$E$45:$Y$45"),1,MATCH($D4701,INDIRECT("'"&amp;$C4701&amp;"'!$E$12:$Y$12"),0)),0),0)</f>
        <v>4821575.739839796</v>
      </c>
      <c r="I4701" s="366" t="s">
        <v>1685</v>
      </c>
      <c r="J4701" s="348" t="str">
        <f t="shared" ca="1" si="146"/>
        <v>OK</v>
      </c>
      <c r="K4701" s="366" t="s">
        <v>1694</v>
      </c>
      <c r="L4701" s="366" t="s">
        <v>2242</v>
      </c>
      <c r="M4701" s="350" t="str">
        <f>IF($B4701="Portfolio","Portfolio",IFERROR(INDEX(DATA_ASSET_CLASSIFICATION!$B$8:$B$24,MATCH($C4701,DATA_ASSET_CLASSIFICATION!$A$8:$A$24,0)),"Review"))</f>
        <v>The Creek, Port Moody</v>
      </c>
      <c r="N4701" s="350" t="str">
        <f>IF($B4701="Portfolio","Portfolio",IFERROR(INDEX(DATA_ASSET_CLASSIFICATION!$U$8:$U$24,MATCH($C4701,DATA_ASSET_CLASSIFICATION!$A$8:$A$24,0)),"Review"))</f>
        <v>New Build</v>
      </c>
      <c r="O4701" s="350" t="str">
        <f>IF($B4701="Portfolio","Portfolio",IFERROR(INDEX(DATA_ASSET_CLASSIFICATION!$AB$8:$AB$13,MATCH($N4701,DATA_ASSET_CLASSIFICATION!$AA$8:$AA$13,0)),"Review"))</f>
        <v>Bucket 1 · New Build</v>
      </c>
      <c r="P4701" s="350" t="str">
        <f>IF($B4701="Portfolio","Portfolio",IFERROR(INDEX(DATA_ASSET_CLASSIFICATION!$C$8:$C$24,MATCH($C4701,DATA_ASSET_CLASSIFICATION!$A$8:$A$24,0)),"Review"))</f>
        <v>Yes</v>
      </c>
      <c r="Q4701" s="350" t="str">
        <f t="shared" ca="1" si="147"/>
        <v>OK</v>
      </c>
    </row>
    <row r="4702" spans="1:17" ht="30">
      <c r="A4702" s="366" t="s">
        <v>6658</v>
      </c>
      <c r="B4702" s="366" t="s">
        <v>231</v>
      </c>
      <c r="C4702" s="348" t="str">
        <f>DATA_PROPERTY_MASTER!$A$20</f>
        <v>BLD_PM</v>
      </c>
      <c r="D4702" s="380">
        <f>'00_PORTFOLIO ROLLUP'!I$12</f>
        <v>2029</v>
      </c>
      <c r="E4702" s="366" t="s">
        <v>23</v>
      </c>
      <c r="F4702" s="366" t="s">
        <v>23</v>
      </c>
      <c r="G4702" s="348" t="str">
        <f>"'"&amp;$C4702&amp;"'!$E$48:$Y$48"</f>
        <v>'BLD_PM'!$E$48:$Y$48</v>
      </c>
      <c r="H4702" s="381">
        <f ca="1">IF(IFERROR(INDEX(DATA_PROPERTY_MASTER!$E$5:$E$21,MATCH($C4702,DATA_PROPERTY_MASTER!$A$5:$A$21,0))="Yes",FALSE),IFERROR(INDEX(INDIRECT("'"&amp;$C4702&amp;"'!$E$48:$Y$48"),1,MATCH($D4702,INDIRECT("'"&amp;$C4702&amp;"'!$E$12:$Y$12"),0)),0),0)</f>
        <v>3116973.3868276179</v>
      </c>
      <c r="I4702" s="366" t="s">
        <v>1690</v>
      </c>
      <c r="J4702" s="348" t="str">
        <f t="shared" ca="1" si="146"/>
        <v>OK</v>
      </c>
      <c r="K4702" s="366" t="s">
        <v>1706</v>
      </c>
      <c r="L4702" s="366" t="s">
        <v>2244</v>
      </c>
      <c r="M4702" s="350" t="str">
        <f>IF($B4702="Portfolio","Portfolio",IFERROR(INDEX(DATA_ASSET_CLASSIFICATION!$B$8:$B$24,MATCH($C4702,DATA_ASSET_CLASSIFICATION!$A$8:$A$24,0)),"Review"))</f>
        <v>The Creek, Port Moody</v>
      </c>
      <c r="N4702" s="350" t="str">
        <f>IF($B4702="Portfolio","Portfolio",IFERROR(INDEX(DATA_ASSET_CLASSIFICATION!$U$8:$U$24,MATCH($C4702,DATA_ASSET_CLASSIFICATION!$A$8:$A$24,0)),"Review"))</f>
        <v>New Build</v>
      </c>
      <c r="O4702" s="350" t="str">
        <f>IF($B4702="Portfolio","Portfolio",IFERROR(INDEX(DATA_ASSET_CLASSIFICATION!$AB$8:$AB$13,MATCH($N4702,DATA_ASSET_CLASSIFICATION!$AA$8:$AA$13,0)),"Review"))</f>
        <v>Bucket 1 · New Build</v>
      </c>
      <c r="P4702" s="350" t="str">
        <f>IF($B4702="Portfolio","Portfolio",IFERROR(INDEX(DATA_ASSET_CLASSIFICATION!$C$8:$C$24,MATCH($C4702,DATA_ASSET_CLASSIFICATION!$A$8:$A$24,0)),"Review"))</f>
        <v>Yes</v>
      </c>
      <c r="Q4702" s="350" t="str">
        <f t="shared" ca="1" si="147"/>
        <v>OK</v>
      </c>
    </row>
    <row r="4703" spans="1:17" ht="30">
      <c r="A4703" s="366" t="s">
        <v>6659</v>
      </c>
      <c r="B4703" s="366" t="s">
        <v>231</v>
      </c>
      <c r="C4703" s="348" t="str">
        <f>DATA_PROPERTY_MASTER!$A$20</f>
        <v>BLD_PM</v>
      </c>
      <c r="D4703" s="380">
        <f>'00_PORTFOLIO ROLLUP'!I$12</f>
        <v>2029</v>
      </c>
      <c r="E4703" s="366" t="s">
        <v>1683</v>
      </c>
      <c r="F4703" s="366" t="s">
        <v>25</v>
      </c>
      <c r="G4703" s="348" t="str">
        <f>"'"&amp;$C4703&amp;"'!$E$52:$Y$52"</f>
        <v>'BLD_PM'!$E$52:$Y$52</v>
      </c>
      <c r="H4703" s="381">
        <f ca="1">IF(IFERROR(INDEX(DATA_PROPERTY_MASTER!$E$5:$E$21,MATCH($C4703,DATA_PROPERTY_MASTER!$A$5:$A$21,0))="Yes",FALSE),IFERROR(INDEX(INDIRECT("'"&amp;$C4703&amp;"'!$E$52:$Y$52"),1,MATCH($D4703,INDIRECT("'"&amp;$C4703&amp;"'!$E$12:$Y$12"),0)),0),0)</f>
        <v>1757858.0152841778</v>
      </c>
      <c r="I4703" s="366" t="s">
        <v>1685</v>
      </c>
      <c r="J4703" s="348" t="str">
        <f t="shared" ca="1" si="146"/>
        <v>OK</v>
      </c>
      <c r="K4703" s="366" t="s">
        <v>1710</v>
      </c>
      <c r="L4703" s="366" t="s">
        <v>2246</v>
      </c>
      <c r="M4703" s="350" t="str">
        <f>IF($B4703="Portfolio","Portfolio",IFERROR(INDEX(DATA_ASSET_CLASSIFICATION!$B$8:$B$24,MATCH($C4703,DATA_ASSET_CLASSIFICATION!$A$8:$A$24,0)),"Review"))</f>
        <v>The Creek, Port Moody</v>
      </c>
      <c r="N4703" s="350" t="str">
        <f>IF($B4703="Portfolio","Portfolio",IFERROR(INDEX(DATA_ASSET_CLASSIFICATION!$U$8:$U$24,MATCH($C4703,DATA_ASSET_CLASSIFICATION!$A$8:$A$24,0)),"Review"))</f>
        <v>New Build</v>
      </c>
      <c r="O4703" s="350" t="str">
        <f>IF($B4703="Portfolio","Portfolio",IFERROR(INDEX(DATA_ASSET_CLASSIFICATION!$AB$8:$AB$13,MATCH($N4703,DATA_ASSET_CLASSIFICATION!$AA$8:$AA$13,0)),"Review"))</f>
        <v>Bucket 1 · New Build</v>
      </c>
      <c r="P4703" s="350" t="str">
        <f>IF($B4703="Portfolio","Portfolio",IFERROR(INDEX(DATA_ASSET_CLASSIFICATION!$C$8:$C$24,MATCH($C4703,DATA_ASSET_CLASSIFICATION!$A$8:$A$24,0)),"Review"))</f>
        <v>Yes</v>
      </c>
      <c r="Q4703" s="350" t="str">
        <f t="shared" ca="1" si="147"/>
        <v>OK</v>
      </c>
    </row>
    <row r="4704" spans="1:17" ht="30">
      <c r="A4704" s="366" t="s">
        <v>6660</v>
      </c>
      <c r="B4704" s="366" t="s">
        <v>231</v>
      </c>
      <c r="C4704" s="348" t="str">
        <f>DATA_PROPERTY_MASTER!$A$20</f>
        <v>BLD_PM</v>
      </c>
      <c r="D4704" s="380">
        <f>'00_PORTFOLIO ROLLUP'!I$12</f>
        <v>2029</v>
      </c>
      <c r="E4704" s="366" t="s">
        <v>1683</v>
      </c>
      <c r="F4704" s="366" t="s">
        <v>27</v>
      </c>
      <c r="G4704" s="348" t="str">
        <f>"'"&amp;$C4704&amp;"'!$E$54:$Y$54"</f>
        <v>'BLD_PM'!$E$54:$Y$54</v>
      </c>
      <c r="H4704" s="381">
        <f ca="1">IF(IFERROR(INDEX(DATA_PROPERTY_MASTER!$E$5:$E$21,MATCH($C4704,DATA_PROPERTY_MASTER!$A$5:$A$21,0))="Yes",FALSE),IFERROR(INDEX(INDIRECT("'"&amp;$C4704&amp;"'!$E$54:$Y$54"),1,MATCH($D4704,INDIRECT("'"&amp;$C4704&amp;"'!$E$12:$Y$12"),0)),0),0)</f>
        <v>1054714.8091705067</v>
      </c>
      <c r="I4704" s="366" t="s">
        <v>1690</v>
      </c>
      <c r="J4704" s="348" t="str">
        <f t="shared" ca="1" si="146"/>
        <v>OK</v>
      </c>
      <c r="K4704" s="366" t="s">
        <v>1714</v>
      </c>
      <c r="L4704" s="366" t="s">
        <v>2248</v>
      </c>
      <c r="M4704" s="350" t="str">
        <f>IF($B4704="Portfolio","Portfolio",IFERROR(INDEX(DATA_ASSET_CLASSIFICATION!$B$8:$B$24,MATCH($C4704,DATA_ASSET_CLASSIFICATION!$A$8:$A$24,0)),"Review"))</f>
        <v>The Creek, Port Moody</v>
      </c>
      <c r="N4704" s="350" t="str">
        <f>IF($B4704="Portfolio","Portfolio",IFERROR(INDEX(DATA_ASSET_CLASSIFICATION!$U$8:$U$24,MATCH($C4704,DATA_ASSET_CLASSIFICATION!$A$8:$A$24,0)),"Review"))</f>
        <v>New Build</v>
      </c>
      <c r="O4704" s="350" t="str">
        <f>IF($B4704="Portfolio","Portfolio",IFERROR(INDEX(DATA_ASSET_CLASSIFICATION!$AB$8:$AB$13,MATCH($N4704,DATA_ASSET_CLASSIFICATION!$AA$8:$AA$13,0)),"Review"))</f>
        <v>Bucket 1 · New Build</v>
      </c>
      <c r="P4704" s="350" t="str">
        <f>IF($B4704="Portfolio","Portfolio",IFERROR(INDEX(DATA_ASSET_CLASSIFICATION!$C$8:$C$24,MATCH($C4704,DATA_ASSET_CLASSIFICATION!$A$8:$A$24,0)),"Review"))</f>
        <v>Yes</v>
      </c>
      <c r="Q4704" s="350" t="str">
        <f t="shared" ca="1" si="147"/>
        <v>OK</v>
      </c>
    </row>
    <row r="4705" spans="1:17" ht="30">
      <c r="A4705" s="366" t="s">
        <v>6661</v>
      </c>
      <c r="B4705" s="366" t="s">
        <v>231</v>
      </c>
      <c r="C4705" s="348" t="str">
        <f>DATA_PROPERTY_MASTER!$A$20</f>
        <v>BLD_PM</v>
      </c>
      <c r="D4705" s="380">
        <f>'00_PORTFOLIO ROLLUP'!I$12</f>
        <v>2029</v>
      </c>
      <c r="E4705" s="366" t="s">
        <v>1683</v>
      </c>
      <c r="F4705" s="366" t="s">
        <v>29</v>
      </c>
      <c r="G4705" s="348" t="str">
        <f>"'"&amp;$C4705&amp;"'!$E$56:$Y$56"</f>
        <v>'BLD_PM'!$E$56:$Y$56</v>
      </c>
      <c r="H4705" s="381">
        <f ca="1">IF(IFERROR(INDEX(DATA_PROPERTY_MASTER!$E$5:$E$21,MATCH($C4705,DATA_PROPERTY_MASTER!$A$5:$A$21,0))="Yes",FALSE),IFERROR(INDEX(INDIRECT("'"&amp;$C4705&amp;"'!$E$56:$Y$56"),1,MATCH($D4705,INDIRECT("'"&amp;$C4705&amp;"'!$E$12:$Y$12"),0)),0),0)</f>
        <v>703143.20611367119</v>
      </c>
      <c r="I4705" s="366" t="s">
        <v>1685</v>
      </c>
      <c r="J4705" s="348" t="str">
        <f t="shared" ca="1" si="146"/>
        <v>OK</v>
      </c>
      <c r="K4705" s="366" t="s">
        <v>1718</v>
      </c>
      <c r="L4705" s="366" t="s">
        <v>2250</v>
      </c>
      <c r="M4705" s="350" t="str">
        <f>IF($B4705="Portfolio","Portfolio",IFERROR(INDEX(DATA_ASSET_CLASSIFICATION!$B$8:$B$24,MATCH($C4705,DATA_ASSET_CLASSIFICATION!$A$8:$A$24,0)),"Review"))</f>
        <v>The Creek, Port Moody</v>
      </c>
      <c r="N4705" s="350" t="str">
        <f>IF($B4705="Portfolio","Portfolio",IFERROR(INDEX(DATA_ASSET_CLASSIFICATION!$U$8:$U$24,MATCH($C4705,DATA_ASSET_CLASSIFICATION!$A$8:$A$24,0)),"Review"))</f>
        <v>New Build</v>
      </c>
      <c r="O4705" s="350" t="str">
        <f>IF($B4705="Portfolio","Portfolio",IFERROR(INDEX(DATA_ASSET_CLASSIFICATION!$AB$8:$AB$13,MATCH($N4705,DATA_ASSET_CLASSIFICATION!$AA$8:$AA$13,0)),"Review"))</f>
        <v>Bucket 1 · New Build</v>
      </c>
      <c r="P4705" s="350" t="str">
        <f>IF($B4705="Portfolio","Portfolio",IFERROR(INDEX(DATA_ASSET_CLASSIFICATION!$C$8:$C$24,MATCH($C4705,DATA_ASSET_CLASSIFICATION!$A$8:$A$24,0)),"Review"))</f>
        <v>Yes</v>
      </c>
      <c r="Q4705" s="350" t="str">
        <f t="shared" ca="1" si="147"/>
        <v>OK</v>
      </c>
    </row>
    <row r="4706" spans="1:17" ht="30">
      <c r="A4706" s="366" t="s">
        <v>6662</v>
      </c>
      <c r="B4706" s="366" t="s">
        <v>231</v>
      </c>
      <c r="C4706" s="348" t="str">
        <f>DATA_PROPERTY_MASTER!$A$20</f>
        <v>BLD_PM</v>
      </c>
      <c r="D4706" s="380">
        <f>'00_PORTFOLIO ROLLUP'!I$12</f>
        <v>2029</v>
      </c>
      <c r="E4706" s="366" t="s">
        <v>1721</v>
      </c>
      <c r="F4706" s="366" t="s">
        <v>31</v>
      </c>
      <c r="G4706" s="348" t="str">
        <f>"'"&amp;$C4706&amp;"'!$E$61:$Y$61"</f>
        <v>'BLD_PM'!$E$61:$Y$61</v>
      </c>
      <c r="H4706" s="381">
        <f ca="1">IF(IFERROR(INDEX(DATA_PROPERTY_MASTER!$E$5:$E$21,MATCH($C4706,DATA_PROPERTY_MASTER!$A$5:$A$21,0))="Yes",FALSE),IFERROR(INDEX(INDIRECT("'"&amp;$C4706&amp;"'!$E$61:$Y$61"),1,MATCH($D4706,INDIRECT("'"&amp;$C4706&amp;"'!$E$12:$Y$12"),0)),0),0)</f>
        <v>0</v>
      </c>
      <c r="I4706" s="366" t="s">
        <v>1690</v>
      </c>
      <c r="J4706" s="348" t="str">
        <f t="shared" ca="1" si="146"/>
        <v>OK</v>
      </c>
      <c r="K4706" s="366" t="s">
        <v>1723</v>
      </c>
      <c r="L4706" s="366" t="s">
        <v>2252</v>
      </c>
      <c r="M4706" s="350" t="str">
        <f>IF($B4706="Portfolio","Portfolio",IFERROR(INDEX(DATA_ASSET_CLASSIFICATION!$B$8:$B$24,MATCH($C4706,DATA_ASSET_CLASSIFICATION!$A$8:$A$24,0)),"Review"))</f>
        <v>The Creek, Port Moody</v>
      </c>
      <c r="N4706" s="350" t="str">
        <f>IF($B4706="Portfolio","Portfolio",IFERROR(INDEX(DATA_ASSET_CLASSIFICATION!$U$8:$U$24,MATCH($C4706,DATA_ASSET_CLASSIFICATION!$A$8:$A$24,0)),"Review"))</f>
        <v>New Build</v>
      </c>
      <c r="O4706" s="350" t="str">
        <f>IF($B4706="Portfolio","Portfolio",IFERROR(INDEX(DATA_ASSET_CLASSIFICATION!$AB$8:$AB$13,MATCH($N4706,DATA_ASSET_CLASSIFICATION!$AA$8:$AA$13,0)),"Review"))</f>
        <v>Bucket 1 · New Build</v>
      </c>
      <c r="P4706" s="350" t="str">
        <f>IF($B4706="Portfolio","Portfolio",IFERROR(INDEX(DATA_ASSET_CLASSIFICATION!$C$8:$C$24,MATCH($C4706,DATA_ASSET_CLASSIFICATION!$A$8:$A$24,0)),"Review"))</f>
        <v>Yes</v>
      </c>
      <c r="Q4706" s="350" t="str">
        <f t="shared" ca="1" si="147"/>
        <v>OK</v>
      </c>
    </row>
    <row r="4707" spans="1:17" ht="30">
      <c r="A4707" s="366" t="s">
        <v>6663</v>
      </c>
      <c r="B4707" s="366" t="s">
        <v>231</v>
      </c>
      <c r="C4707" s="348" t="str">
        <f>DATA_PROPERTY_MASTER!$A$20</f>
        <v>BLD_PM</v>
      </c>
      <c r="D4707" s="380">
        <f>'00_PORTFOLIO ROLLUP'!I$12</f>
        <v>2029</v>
      </c>
      <c r="E4707" s="366" t="s">
        <v>1721</v>
      </c>
      <c r="F4707" s="366" t="s">
        <v>33</v>
      </c>
      <c r="G4707" s="348" t="str">
        <f>"'"&amp;$C4707&amp;"'!$E$62:$Y$62"</f>
        <v>'BLD_PM'!$E$62:$Y$62</v>
      </c>
      <c r="H4707" s="381">
        <f ca="1">IF(IFERROR(INDEX(DATA_PROPERTY_MASTER!$E$5:$E$21,MATCH($C4707,DATA_PROPERTY_MASTER!$A$5:$A$21,0))="Yes",FALSE),IFERROR(INDEX(INDIRECT("'"&amp;$C4707&amp;"'!$E$62:$Y$62"),1,MATCH($D4707,INDIRECT("'"&amp;$C4707&amp;"'!$E$12:$Y$12"),0)),0),0)</f>
        <v>0</v>
      </c>
      <c r="I4707" s="366" t="s">
        <v>1685</v>
      </c>
      <c r="J4707" s="348" t="str">
        <f t="shared" ca="1" si="146"/>
        <v>OK</v>
      </c>
      <c r="K4707" s="366" t="s">
        <v>1727</v>
      </c>
      <c r="L4707" s="366" t="s">
        <v>2254</v>
      </c>
      <c r="M4707" s="350" t="str">
        <f>IF($B4707="Portfolio","Portfolio",IFERROR(INDEX(DATA_ASSET_CLASSIFICATION!$B$8:$B$24,MATCH($C4707,DATA_ASSET_CLASSIFICATION!$A$8:$A$24,0)),"Review"))</f>
        <v>The Creek, Port Moody</v>
      </c>
      <c r="N4707" s="350" t="str">
        <f>IF($B4707="Portfolio","Portfolio",IFERROR(INDEX(DATA_ASSET_CLASSIFICATION!$U$8:$U$24,MATCH($C4707,DATA_ASSET_CLASSIFICATION!$A$8:$A$24,0)),"Review"))</f>
        <v>New Build</v>
      </c>
      <c r="O4707" s="350" t="str">
        <f>IF($B4707="Portfolio","Portfolio",IFERROR(INDEX(DATA_ASSET_CLASSIFICATION!$AB$8:$AB$13,MATCH($N4707,DATA_ASSET_CLASSIFICATION!$AA$8:$AA$13,0)),"Review"))</f>
        <v>Bucket 1 · New Build</v>
      </c>
      <c r="P4707" s="350" t="str">
        <f>IF($B4707="Portfolio","Portfolio",IFERROR(INDEX(DATA_ASSET_CLASSIFICATION!$C$8:$C$24,MATCH($C4707,DATA_ASSET_CLASSIFICATION!$A$8:$A$24,0)),"Review"))</f>
        <v>Yes</v>
      </c>
      <c r="Q4707" s="350" t="str">
        <f t="shared" ca="1" si="147"/>
        <v>OK</v>
      </c>
    </row>
    <row r="4708" spans="1:17" ht="30">
      <c r="A4708" s="366" t="s">
        <v>6664</v>
      </c>
      <c r="B4708" s="366" t="s">
        <v>231</v>
      </c>
      <c r="C4708" s="348" t="str">
        <f>DATA_PROPERTY_MASTER!$A$20</f>
        <v>BLD_PM</v>
      </c>
      <c r="D4708" s="380">
        <f>'00_PORTFOLIO ROLLUP'!I$12</f>
        <v>2029</v>
      </c>
      <c r="E4708" s="366" t="s">
        <v>1721</v>
      </c>
      <c r="F4708" s="366" t="s">
        <v>35</v>
      </c>
      <c r="G4708" s="348" t="str">
        <f>"'"&amp;$C4708&amp;"'!$E$63:$Y$63"</f>
        <v>'BLD_PM'!$E$63:$Y$63</v>
      </c>
      <c r="H4708" s="381">
        <f ca="1">IF(IFERROR(INDEX(DATA_PROPERTY_MASTER!$E$5:$E$21,MATCH($C4708,DATA_PROPERTY_MASTER!$A$5:$A$21,0))="Yes",FALSE),IFERROR(INDEX(INDIRECT("'"&amp;$C4708&amp;"'!$E$63:$Y$63"),1,MATCH($D4708,INDIRECT("'"&amp;$C4708&amp;"'!$E$12:$Y$12"),0)),0),0)</f>
        <v>0</v>
      </c>
      <c r="I4708" s="366" t="s">
        <v>1731</v>
      </c>
      <c r="J4708" s="348" t="str">
        <f t="shared" ca="1" si="146"/>
        <v>OK</v>
      </c>
      <c r="K4708" s="366" t="s">
        <v>1732</v>
      </c>
      <c r="L4708" s="366" t="s">
        <v>2256</v>
      </c>
      <c r="M4708" s="350" t="str">
        <f>IF($B4708="Portfolio","Portfolio",IFERROR(INDEX(DATA_ASSET_CLASSIFICATION!$B$8:$B$24,MATCH($C4708,DATA_ASSET_CLASSIFICATION!$A$8:$A$24,0)),"Review"))</f>
        <v>The Creek, Port Moody</v>
      </c>
      <c r="N4708" s="350" t="str">
        <f>IF($B4708="Portfolio","Portfolio",IFERROR(INDEX(DATA_ASSET_CLASSIFICATION!$U$8:$U$24,MATCH($C4708,DATA_ASSET_CLASSIFICATION!$A$8:$A$24,0)),"Review"))</f>
        <v>New Build</v>
      </c>
      <c r="O4708" s="350" t="str">
        <f>IF($B4708="Portfolio","Portfolio",IFERROR(INDEX(DATA_ASSET_CLASSIFICATION!$AB$8:$AB$13,MATCH($N4708,DATA_ASSET_CLASSIFICATION!$AA$8:$AA$13,0)),"Review"))</f>
        <v>Bucket 1 · New Build</v>
      </c>
      <c r="P4708" s="350" t="str">
        <f>IF($B4708="Portfolio","Portfolio",IFERROR(INDEX(DATA_ASSET_CLASSIFICATION!$C$8:$C$24,MATCH($C4708,DATA_ASSET_CLASSIFICATION!$A$8:$A$24,0)),"Review"))</f>
        <v>Yes</v>
      </c>
      <c r="Q4708" s="350" t="str">
        <f t="shared" ca="1" si="147"/>
        <v>OK</v>
      </c>
    </row>
    <row r="4709" spans="1:17" ht="30">
      <c r="A4709" s="366" t="s">
        <v>6665</v>
      </c>
      <c r="B4709" s="366" t="s">
        <v>231</v>
      </c>
      <c r="C4709" s="348" t="str">
        <f>DATA_PROPERTY_MASTER!$A$20</f>
        <v>BLD_PM</v>
      </c>
      <c r="D4709" s="380">
        <f>'00_PORTFOLIO ROLLUP'!I$12</f>
        <v>2029</v>
      </c>
      <c r="E4709" s="366" t="s">
        <v>1721</v>
      </c>
      <c r="F4709" s="366" t="s">
        <v>37</v>
      </c>
      <c r="G4709" s="348" t="str">
        <f>"'"&amp;$C4709&amp;"'!$E$63:$Y$63"</f>
        <v>'BLD_PM'!$E$63:$Y$63</v>
      </c>
      <c r="H4709" s="381">
        <f ca="1">IF(IFERROR(INDEX(DATA_PROPERTY_MASTER!$E$5:$E$21,MATCH($C4709,DATA_PROPERTY_MASTER!$A$5:$A$21,0))="Yes",FALSE),MAX(IFERROR(INDEX(INDIRECT("'"&amp;$C4709&amp;"'!$E$63:$Y$63"),1,MATCH($D4709,INDIRECT("'"&amp;$C4709&amp;"'!$E$12:$Y$12"),0)),0),0),0)</f>
        <v>0</v>
      </c>
      <c r="I4709" s="366" t="s">
        <v>1685</v>
      </c>
      <c r="J4709" s="348" t="str">
        <f t="shared" ca="1" si="146"/>
        <v>OK</v>
      </c>
      <c r="K4709" s="366" t="s">
        <v>1735</v>
      </c>
      <c r="L4709" s="366" t="s">
        <v>2258</v>
      </c>
      <c r="M4709" s="350" t="str">
        <f>IF($B4709="Portfolio","Portfolio",IFERROR(INDEX(DATA_ASSET_CLASSIFICATION!$B$8:$B$24,MATCH($C4709,DATA_ASSET_CLASSIFICATION!$A$8:$A$24,0)),"Review"))</f>
        <v>The Creek, Port Moody</v>
      </c>
      <c r="N4709" s="350" t="str">
        <f>IF($B4709="Portfolio","Portfolio",IFERROR(INDEX(DATA_ASSET_CLASSIFICATION!$U$8:$U$24,MATCH($C4709,DATA_ASSET_CLASSIFICATION!$A$8:$A$24,0)),"Review"))</f>
        <v>New Build</v>
      </c>
      <c r="O4709" s="350" t="str">
        <f>IF($B4709="Portfolio","Portfolio",IFERROR(INDEX(DATA_ASSET_CLASSIFICATION!$AB$8:$AB$13,MATCH($N4709,DATA_ASSET_CLASSIFICATION!$AA$8:$AA$13,0)),"Review"))</f>
        <v>Bucket 1 · New Build</v>
      </c>
      <c r="P4709" s="350" t="str">
        <f>IF($B4709="Portfolio","Portfolio",IFERROR(INDEX(DATA_ASSET_CLASSIFICATION!$C$8:$C$24,MATCH($C4709,DATA_ASSET_CLASSIFICATION!$A$8:$A$24,0)),"Review"))</f>
        <v>Yes</v>
      </c>
      <c r="Q4709" s="350" t="str">
        <f t="shared" ca="1" si="147"/>
        <v>OK</v>
      </c>
    </row>
    <row r="4710" spans="1:17" ht="30">
      <c r="A4710" s="366" t="s">
        <v>6666</v>
      </c>
      <c r="B4710" s="366" t="s">
        <v>231</v>
      </c>
      <c r="C4710" s="348" t="str">
        <f>DATA_PROPERTY_MASTER!$A$20</f>
        <v>BLD_PM</v>
      </c>
      <c r="D4710" s="380">
        <f>'00_PORTFOLIO ROLLUP'!I$12</f>
        <v>2029</v>
      </c>
      <c r="E4710" s="366" t="s">
        <v>1721</v>
      </c>
      <c r="F4710" s="366" t="s">
        <v>39</v>
      </c>
      <c r="G4710" s="348" t="str">
        <f>"'"&amp;$C4710&amp;"'!$E$63:$Y$63"</f>
        <v>'BLD_PM'!$E$63:$Y$63</v>
      </c>
      <c r="H4710" s="381">
        <f ca="1">IF(IFERROR(INDEX(DATA_PROPERTY_MASTER!$E$5:$E$21,MATCH($C4710,DATA_PROPERTY_MASTER!$A$5:$A$21,0))="Yes",FALSE),MAX(-IFERROR(INDEX(INDIRECT("'"&amp;$C4710&amp;"'!$E$63:$Y$63"),1,MATCH($D4710,INDIRECT("'"&amp;$C4710&amp;"'!$E$12:$Y$12"),0)),0),0),0)</f>
        <v>0</v>
      </c>
      <c r="I4710" s="366" t="s">
        <v>1690</v>
      </c>
      <c r="J4710" s="348" t="str">
        <f t="shared" ca="1" si="146"/>
        <v>OK</v>
      </c>
      <c r="K4710" s="366" t="s">
        <v>1738</v>
      </c>
      <c r="L4710" s="366" t="s">
        <v>2260</v>
      </c>
      <c r="M4710" s="350" t="str">
        <f>IF($B4710="Portfolio","Portfolio",IFERROR(INDEX(DATA_ASSET_CLASSIFICATION!$B$8:$B$24,MATCH($C4710,DATA_ASSET_CLASSIFICATION!$A$8:$A$24,0)),"Review"))</f>
        <v>The Creek, Port Moody</v>
      </c>
      <c r="N4710" s="350" t="str">
        <f>IF($B4710="Portfolio","Portfolio",IFERROR(INDEX(DATA_ASSET_CLASSIFICATION!$U$8:$U$24,MATCH($C4710,DATA_ASSET_CLASSIFICATION!$A$8:$A$24,0)),"Review"))</f>
        <v>New Build</v>
      </c>
      <c r="O4710" s="350" t="str">
        <f>IF($B4710="Portfolio","Portfolio",IFERROR(INDEX(DATA_ASSET_CLASSIFICATION!$AB$8:$AB$13,MATCH($N4710,DATA_ASSET_CLASSIFICATION!$AA$8:$AA$13,0)),"Review"))</f>
        <v>Bucket 1 · New Build</v>
      </c>
      <c r="P4710" s="350" t="str">
        <f>IF($B4710="Portfolio","Portfolio",IFERROR(INDEX(DATA_ASSET_CLASSIFICATION!$C$8:$C$24,MATCH($C4710,DATA_ASSET_CLASSIFICATION!$A$8:$A$24,0)),"Review"))</f>
        <v>Yes</v>
      </c>
      <c r="Q4710" s="350" t="str">
        <f t="shared" ca="1" si="147"/>
        <v>OK</v>
      </c>
    </row>
    <row r="4711" spans="1:17" ht="30">
      <c r="A4711" s="366" t="s">
        <v>6667</v>
      </c>
      <c r="B4711" s="366" t="s">
        <v>231</v>
      </c>
      <c r="C4711" s="348" t="str">
        <f>DATA_PROPERTY_MASTER!$A$20</f>
        <v>BLD_PM</v>
      </c>
      <c r="D4711" s="380">
        <f>'00_PORTFOLIO ROLLUP'!I$12</f>
        <v>2029</v>
      </c>
      <c r="E4711" s="366" t="s">
        <v>1741</v>
      </c>
      <c r="F4711" s="366" t="s">
        <v>41</v>
      </c>
      <c r="G4711" s="348" t="str">
        <f>"'"&amp;$C4711&amp;"'!rows 56 + positive row 63"</f>
        <v>'BLD_PM'!rows 56 + positive row 63</v>
      </c>
      <c r="H4711" s="381">
        <f ca="1">IF(IFERROR(INDEX(DATA_PROPERTY_MASTER!$E$5:$E$21,MATCH($C4711,DATA_PROPERTY_MASTER!$A$5:$A$21,0))="Yes",FALSE),IFERROR(INDEX(INDIRECT("'"&amp;$C4711&amp;"'!$E$56:$Y$56"),1,MATCH($D4711,INDIRECT("'"&amp;$C4711&amp;"'!$E$12:$Y$12"),0)),0)+MAX(IFERROR(INDEX(INDIRECT("'"&amp;$C4711&amp;"'!$E$63:$Y$63"),1,MATCH($D4711,INDIRECT("'"&amp;$C4711&amp;"'!$E$12:$Y$12"),0)),0),0),0)</f>
        <v>703143.20611367119</v>
      </c>
      <c r="I4711" s="366" t="s">
        <v>1685</v>
      </c>
      <c r="J4711" s="348" t="str">
        <f t="shared" ca="1" si="146"/>
        <v>OK</v>
      </c>
      <c r="K4711" s="366" t="s">
        <v>1742</v>
      </c>
      <c r="L4711" s="366" t="s">
        <v>2262</v>
      </c>
      <c r="M4711" s="350" t="str">
        <f>IF($B4711="Portfolio","Portfolio",IFERROR(INDEX(DATA_ASSET_CLASSIFICATION!$B$8:$B$24,MATCH($C4711,DATA_ASSET_CLASSIFICATION!$A$8:$A$24,0)),"Review"))</f>
        <v>The Creek, Port Moody</v>
      </c>
      <c r="N4711" s="350" t="str">
        <f>IF($B4711="Portfolio","Portfolio",IFERROR(INDEX(DATA_ASSET_CLASSIFICATION!$U$8:$U$24,MATCH($C4711,DATA_ASSET_CLASSIFICATION!$A$8:$A$24,0)),"Review"))</f>
        <v>New Build</v>
      </c>
      <c r="O4711" s="350" t="str">
        <f>IF($B4711="Portfolio","Portfolio",IFERROR(INDEX(DATA_ASSET_CLASSIFICATION!$AB$8:$AB$13,MATCH($N4711,DATA_ASSET_CLASSIFICATION!$AA$8:$AA$13,0)),"Review"))</f>
        <v>Bucket 1 · New Build</v>
      </c>
      <c r="P4711" s="350" t="str">
        <f>IF($B4711="Portfolio","Portfolio",IFERROR(INDEX(DATA_ASSET_CLASSIFICATION!$C$8:$C$24,MATCH($C4711,DATA_ASSET_CLASSIFICATION!$A$8:$A$24,0)),"Review"))</f>
        <v>Yes</v>
      </c>
      <c r="Q4711" s="350" t="str">
        <f t="shared" ca="1" si="147"/>
        <v>OK</v>
      </c>
    </row>
    <row r="4712" spans="1:17" ht="30">
      <c r="A4712" s="366" t="s">
        <v>6668</v>
      </c>
      <c r="B4712" s="366" t="s">
        <v>231</v>
      </c>
      <c r="C4712" s="348" t="str">
        <f>DATA_PROPERTY_MASTER!$A$20</f>
        <v>BLD_PM</v>
      </c>
      <c r="D4712" s="380">
        <f>'00_PORTFOLIO ROLLUP'!I$12</f>
        <v>2029</v>
      </c>
      <c r="E4712" s="366" t="s">
        <v>1741</v>
      </c>
      <c r="F4712" s="366" t="s">
        <v>43</v>
      </c>
      <c r="G4712" s="348" t="str">
        <f>"'"&amp;$C4712&amp;"'!$E$68:$Y$68"</f>
        <v>'BLD_PM'!$E$68:$Y$68</v>
      </c>
      <c r="H4712" s="381">
        <f ca="1">IF(IFERROR(INDEX(DATA_PROPERTY_MASTER!$E$5:$E$21,MATCH($C4712,DATA_PROPERTY_MASTER!$A$5:$A$21,0))="Yes",FALSE),IFERROR(INDEX(INDIRECT("'"&amp;$C4712&amp;"'!$E$68:$Y$68"),1,MATCH($D4712,INDIRECT("'"&amp;$C4712&amp;"'!$E$12:$Y$12"),0)),0),0)</f>
        <v>703143.20611367119</v>
      </c>
      <c r="I4712" s="366" t="s">
        <v>1731</v>
      </c>
      <c r="J4712" s="348" t="str">
        <f t="shared" ca="1" si="146"/>
        <v>OK</v>
      </c>
      <c r="K4712" s="366" t="s">
        <v>1746</v>
      </c>
      <c r="L4712" s="366" t="s">
        <v>2264</v>
      </c>
      <c r="M4712" s="350" t="str">
        <f>IF($B4712="Portfolio","Portfolio",IFERROR(INDEX(DATA_ASSET_CLASSIFICATION!$B$8:$B$24,MATCH($C4712,DATA_ASSET_CLASSIFICATION!$A$8:$A$24,0)),"Review"))</f>
        <v>The Creek, Port Moody</v>
      </c>
      <c r="N4712" s="350" t="str">
        <f>IF($B4712="Portfolio","Portfolio",IFERROR(INDEX(DATA_ASSET_CLASSIFICATION!$U$8:$U$24,MATCH($C4712,DATA_ASSET_CLASSIFICATION!$A$8:$A$24,0)),"Review"))</f>
        <v>New Build</v>
      </c>
      <c r="O4712" s="350" t="str">
        <f>IF($B4712="Portfolio","Portfolio",IFERROR(INDEX(DATA_ASSET_CLASSIFICATION!$AB$8:$AB$13,MATCH($N4712,DATA_ASSET_CLASSIFICATION!$AA$8:$AA$13,0)),"Review"))</f>
        <v>Bucket 1 · New Build</v>
      </c>
      <c r="P4712" s="350" t="str">
        <f>IF($B4712="Portfolio","Portfolio",IFERROR(INDEX(DATA_ASSET_CLASSIFICATION!$C$8:$C$24,MATCH($C4712,DATA_ASSET_CLASSIFICATION!$A$8:$A$24,0)),"Review"))</f>
        <v>Yes</v>
      </c>
      <c r="Q4712" s="350" t="str">
        <f t="shared" ca="1" si="147"/>
        <v>OK</v>
      </c>
    </row>
    <row r="4713" spans="1:17" ht="30">
      <c r="A4713" s="366" t="s">
        <v>6669</v>
      </c>
      <c r="B4713" s="366" t="s">
        <v>231</v>
      </c>
      <c r="C4713" s="348" t="str">
        <f>DATA_PROPERTY_MASTER!$A$20</f>
        <v>BLD_PM</v>
      </c>
      <c r="D4713" s="380">
        <f>'00_PORTFOLIO ROLLUP'!I$12</f>
        <v>2029</v>
      </c>
      <c r="E4713" s="366" t="s">
        <v>1741</v>
      </c>
      <c r="F4713" s="366" t="s">
        <v>1749</v>
      </c>
      <c r="G4713" s="348" t="str">
        <f>"'"&amp;$C4713&amp;"'!rows 56, 63, 68"</f>
        <v>'BLD_PM'!rows 56, 63, 68</v>
      </c>
      <c r="H4713" s="381">
        <f ca="1">IF(IFERROR(INDEX(DATA_PROPERTY_MASTER!$E$5:$E$21,MATCH($C4713,DATA_PROPERTY_MASTER!$A$5:$A$21,0))="Yes",FALSE),(IFERROR(INDEX(INDIRECT("'"&amp;$C4713&amp;"'!$E$56:$Y$56"),1,MATCH($D4713,INDIRECT("'"&amp;$C4713&amp;"'!$E$12:$Y$12"),0)),0)+MAX(IFERROR(INDEX(INDIRECT("'"&amp;$C4713&amp;"'!$E$63:$Y$63"),1,MATCH($D4713,INDIRECT("'"&amp;$C4713&amp;"'!$E$12:$Y$12"),0)),0),0))-(IFERROR(INDEX(INDIRECT("'"&amp;$C4713&amp;"'!$E$68:$Y$68"),1,MATCH($D4713,INDIRECT("'"&amp;$C4713&amp;"'!$E$12:$Y$12"),0)),0)),0)</f>
        <v>0</v>
      </c>
      <c r="I4713" s="366" t="s">
        <v>1750</v>
      </c>
      <c r="J4713" s="348" t="str">
        <f t="shared" ca="1" si="146"/>
        <v>OK</v>
      </c>
      <c r="K4713" s="366" t="s">
        <v>1751</v>
      </c>
      <c r="L4713" s="366" t="s">
        <v>2266</v>
      </c>
      <c r="M4713" s="350" t="str">
        <f>IF($B4713="Portfolio","Portfolio",IFERROR(INDEX(DATA_ASSET_CLASSIFICATION!$B$8:$B$24,MATCH($C4713,DATA_ASSET_CLASSIFICATION!$A$8:$A$24,0)),"Review"))</f>
        <v>The Creek, Port Moody</v>
      </c>
      <c r="N4713" s="350" t="str">
        <f>IF($B4713="Portfolio","Portfolio",IFERROR(INDEX(DATA_ASSET_CLASSIFICATION!$U$8:$U$24,MATCH($C4713,DATA_ASSET_CLASSIFICATION!$A$8:$A$24,0)),"Review"))</f>
        <v>New Build</v>
      </c>
      <c r="O4713" s="350" t="str">
        <f>IF($B4713="Portfolio","Portfolio",IFERROR(INDEX(DATA_ASSET_CLASSIFICATION!$AB$8:$AB$13,MATCH($N4713,DATA_ASSET_CLASSIFICATION!$AA$8:$AA$13,0)),"Review"))</f>
        <v>Bucket 1 · New Build</v>
      </c>
      <c r="P4713" s="350" t="str">
        <f>IF($B4713="Portfolio","Portfolio",IFERROR(INDEX(DATA_ASSET_CLASSIFICATION!$C$8:$C$24,MATCH($C4713,DATA_ASSET_CLASSIFICATION!$A$8:$A$24,0)),"Review"))</f>
        <v>Yes</v>
      </c>
      <c r="Q4713" s="350" t="str">
        <f t="shared" ca="1" si="147"/>
        <v>OK</v>
      </c>
    </row>
    <row r="4714" spans="1:17" ht="30">
      <c r="A4714" s="366" t="s">
        <v>6670</v>
      </c>
      <c r="B4714" s="366" t="s">
        <v>231</v>
      </c>
      <c r="C4714" s="348" t="str">
        <f>DATA_PROPERTY_MASTER!$A$20</f>
        <v>BLD_PM</v>
      </c>
      <c r="D4714" s="380">
        <f>'00_PORTFOLIO ROLLUP'!J$12</f>
        <v>2030</v>
      </c>
      <c r="E4714" s="366" t="s">
        <v>1683</v>
      </c>
      <c r="F4714" s="366" t="s">
        <v>341</v>
      </c>
      <c r="G4714" s="348" t="str">
        <f>"'"&amp;$C4714&amp;"'!$E$24:$Y$24"</f>
        <v>'BLD_PM'!$E$24:$Y$24</v>
      </c>
      <c r="H4714" s="381">
        <f ca="1">IF(IFERROR(INDEX(DATA_PROPERTY_MASTER!$E$5:$E$21,MATCH($C4714,DATA_PROPERTY_MASTER!$A$5:$A$21,0))="Yes",FALSE),IFERROR(INDEX(INDIRECT("'"&amp;$C4714&amp;"'!$E$24:$Y$24"),1,MATCH($D4714,INDIRECT("'"&amp;$C4714&amp;"'!$E$12:$Y$12"),0)),0),0)</f>
        <v>5182818.341137711</v>
      </c>
      <c r="I4714" s="366" t="s">
        <v>1685</v>
      </c>
      <c r="J4714" s="348" t="str">
        <f t="shared" ca="1" si="146"/>
        <v>OK</v>
      </c>
      <c r="K4714" s="366" t="s">
        <v>1686</v>
      </c>
      <c r="L4714" s="366" t="s">
        <v>2234</v>
      </c>
      <c r="M4714" s="350" t="str">
        <f>IF($B4714="Portfolio","Portfolio",IFERROR(INDEX(DATA_ASSET_CLASSIFICATION!$B$8:$B$24,MATCH($C4714,DATA_ASSET_CLASSIFICATION!$A$8:$A$24,0)),"Review"))</f>
        <v>The Creek, Port Moody</v>
      </c>
      <c r="N4714" s="350" t="str">
        <f>IF($B4714="Portfolio","Portfolio",IFERROR(INDEX(DATA_ASSET_CLASSIFICATION!$U$8:$U$24,MATCH($C4714,DATA_ASSET_CLASSIFICATION!$A$8:$A$24,0)),"Review"))</f>
        <v>New Build</v>
      </c>
      <c r="O4714" s="350" t="str">
        <f>IF($B4714="Portfolio","Portfolio",IFERROR(INDEX(DATA_ASSET_CLASSIFICATION!$AB$8:$AB$13,MATCH($N4714,DATA_ASSET_CLASSIFICATION!$AA$8:$AA$13,0)),"Review"))</f>
        <v>Bucket 1 · New Build</v>
      </c>
      <c r="P4714" s="350" t="str">
        <f>IF($B4714="Portfolio","Portfolio",IFERROR(INDEX(DATA_ASSET_CLASSIFICATION!$C$8:$C$24,MATCH($C4714,DATA_ASSET_CLASSIFICATION!$A$8:$A$24,0)),"Review"))</f>
        <v>Yes</v>
      </c>
      <c r="Q4714" s="350" t="str">
        <f t="shared" ca="1" si="147"/>
        <v>OK</v>
      </c>
    </row>
    <row r="4715" spans="1:17" ht="30">
      <c r="A4715" s="366" t="s">
        <v>6671</v>
      </c>
      <c r="B4715" s="366" t="s">
        <v>231</v>
      </c>
      <c r="C4715" s="348" t="str">
        <f>DATA_PROPERTY_MASTER!$A$20</f>
        <v>BLD_PM</v>
      </c>
      <c r="D4715" s="380">
        <f>'00_PORTFOLIO ROLLUP'!J$12</f>
        <v>2030</v>
      </c>
      <c r="E4715" s="366" t="s">
        <v>1683</v>
      </c>
      <c r="F4715" s="366" t="s">
        <v>355</v>
      </c>
      <c r="G4715" s="348" t="str">
        <f>"'"&amp;$C4715&amp;"'!$E$39:$Y$39"</f>
        <v>'BLD_PM'!$E$39:$Y$39</v>
      </c>
      <c r="H4715" s="381">
        <f ca="1">IF(IFERROR(INDEX(DATA_PROPERTY_MASTER!$E$5:$E$21,MATCH($C4715,DATA_PROPERTY_MASTER!$A$5:$A$21,0))="Yes",FALSE),IFERROR(INDEX(INDIRECT("'"&amp;$C4715&amp;"'!$E$39:$Y$39"),1,MATCH($D4715,INDIRECT("'"&amp;$C4715&amp;"'!$E$12:$Y$12"),0)),0),0)</f>
        <v>214617.57198336007</v>
      </c>
      <c r="I4715" s="366" t="s">
        <v>1690</v>
      </c>
      <c r="J4715" s="348" t="str">
        <f t="shared" ca="1" si="146"/>
        <v>OK</v>
      </c>
      <c r="K4715" s="366" t="s">
        <v>1686</v>
      </c>
      <c r="L4715" s="366" t="s">
        <v>2236</v>
      </c>
      <c r="M4715" s="350" t="str">
        <f>IF($B4715="Portfolio","Portfolio",IFERROR(INDEX(DATA_ASSET_CLASSIFICATION!$B$8:$B$24,MATCH($C4715,DATA_ASSET_CLASSIFICATION!$A$8:$A$24,0)),"Review"))</f>
        <v>The Creek, Port Moody</v>
      </c>
      <c r="N4715" s="350" t="str">
        <f>IF($B4715="Portfolio","Portfolio",IFERROR(INDEX(DATA_ASSET_CLASSIFICATION!$U$8:$U$24,MATCH($C4715,DATA_ASSET_CLASSIFICATION!$A$8:$A$24,0)),"Review"))</f>
        <v>New Build</v>
      </c>
      <c r="O4715" s="350" t="str">
        <f>IF($B4715="Portfolio","Portfolio",IFERROR(INDEX(DATA_ASSET_CLASSIFICATION!$AB$8:$AB$13,MATCH($N4715,DATA_ASSET_CLASSIFICATION!$AA$8:$AA$13,0)),"Review"))</f>
        <v>Bucket 1 · New Build</v>
      </c>
      <c r="P4715" s="350" t="str">
        <f>IF($B4715="Portfolio","Portfolio",IFERROR(INDEX(DATA_ASSET_CLASSIFICATION!$C$8:$C$24,MATCH($C4715,DATA_ASSET_CLASSIFICATION!$A$8:$A$24,0)),"Review"))</f>
        <v>Yes</v>
      </c>
      <c r="Q4715" s="350" t="str">
        <f t="shared" ca="1" si="147"/>
        <v>OK</v>
      </c>
    </row>
    <row r="4716" spans="1:17" ht="30">
      <c r="A4716" s="366" t="s">
        <v>6672</v>
      </c>
      <c r="B4716" s="366" t="s">
        <v>231</v>
      </c>
      <c r="C4716" s="348" t="str">
        <f>DATA_PROPERTY_MASTER!$A$20</f>
        <v>BLD_PM</v>
      </c>
      <c r="D4716" s="380">
        <f>'00_PORTFOLIO ROLLUP'!J$12</f>
        <v>2030</v>
      </c>
      <c r="E4716" s="366" t="s">
        <v>1683</v>
      </c>
      <c r="F4716" s="366" t="s">
        <v>19</v>
      </c>
      <c r="G4716" s="348" t="str">
        <f>"'"&amp;$C4716&amp;"'!$E$41:$Y$41"</f>
        <v>'BLD_PM'!$E$41:$Y$41</v>
      </c>
      <c r="H4716" s="381">
        <f ca="1">IF(IFERROR(INDEX(DATA_PROPERTY_MASTER!$E$5:$E$21,MATCH($C4716,DATA_PROPERTY_MASTER!$A$5:$A$21,0))="Yes",FALSE),IFERROR(INDEX(INDIRECT("'"&amp;$C4716&amp;"'!$E$41:$Y$41"),1,MATCH($D4716,INDIRECT("'"&amp;$C4716&amp;"'!$E$12:$Y$12"),0)),0),0)</f>
        <v>4968200.7691543512</v>
      </c>
      <c r="I4716" s="366" t="s">
        <v>1685</v>
      </c>
      <c r="J4716" s="348" t="str">
        <f t="shared" ca="1" si="146"/>
        <v>OK</v>
      </c>
      <c r="K4716" s="366" t="s">
        <v>1694</v>
      </c>
      <c r="L4716" s="366" t="s">
        <v>2238</v>
      </c>
      <c r="M4716" s="350" t="str">
        <f>IF($B4716="Portfolio","Portfolio",IFERROR(INDEX(DATA_ASSET_CLASSIFICATION!$B$8:$B$24,MATCH($C4716,DATA_ASSET_CLASSIFICATION!$A$8:$A$24,0)),"Review"))</f>
        <v>The Creek, Port Moody</v>
      </c>
      <c r="N4716" s="350" t="str">
        <f>IF($B4716="Portfolio","Portfolio",IFERROR(INDEX(DATA_ASSET_CLASSIFICATION!$U$8:$U$24,MATCH($C4716,DATA_ASSET_CLASSIFICATION!$A$8:$A$24,0)),"Review"))</f>
        <v>New Build</v>
      </c>
      <c r="O4716" s="350" t="str">
        <f>IF($B4716="Portfolio","Portfolio",IFERROR(INDEX(DATA_ASSET_CLASSIFICATION!$AB$8:$AB$13,MATCH($N4716,DATA_ASSET_CLASSIFICATION!$AA$8:$AA$13,0)),"Review"))</f>
        <v>Bucket 1 · New Build</v>
      </c>
      <c r="P4716" s="350" t="str">
        <f>IF($B4716="Portfolio","Portfolio",IFERROR(INDEX(DATA_ASSET_CLASSIFICATION!$C$8:$C$24,MATCH($C4716,DATA_ASSET_CLASSIFICATION!$A$8:$A$24,0)),"Review"))</f>
        <v>Yes</v>
      </c>
      <c r="Q4716" s="350" t="str">
        <f t="shared" ca="1" si="147"/>
        <v>OK</v>
      </c>
    </row>
    <row r="4717" spans="1:17" ht="30">
      <c r="A4717" s="366" t="s">
        <v>6673</v>
      </c>
      <c r="B4717" s="366" t="s">
        <v>231</v>
      </c>
      <c r="C4717" s="348" t="str">
        <f>DATA_PROPERTY_MASTER!$A$20</f>
        <v>BLD_PM</v>
      </c>
      <c r="D4717" s="380">
        <f>'00_PORTFOLIO ROLLUP'!J$12</f>
        <v>2030</v>
      </c>
      <c r="E4717" s="366" t="s">
        <v>1683</v>
      </c>
      <c r="F4717" s="366" t="s">
        <v>1697</v>
      </c>
      <c r="G4717" s="348" t="str">
        <f>"'"&amp;$C4717&amp;"'!$E$44:$Y$44"</f>
        <v>'BLD_PM'!$E$44:$Y$44</v>
      </c>
      <c r="H4717" s="381">
        <f ca="1">IF(IFERROR(INDEX(DATA_PROPERTY_MASTER!$E$5:$E$21,MATCH($C4717,DATA_PROPERTY_MASTER!$A$5:$A$21,0))="Yes",FALSE),IFERROR(INDEX(INDIRECT("'"&amp;$C4717&amp;"'!$E$44:$Y$44"),1,MATCH($D4717,INDIRECT("'"&amp;$C4717&amp;"'!$E$12:$Y$12"),0)),0),0)</f>
        <v>54320.775517440001</v>
      </c>
      <c r="I4717" s="366" t="s">
        <v>1690</v>
      </c>
      <c r="J4717" s="348" t="str">
        <f t="shared" ca="1" si="146"/>
        <v>OK</v>
      </c>
      <c r="K4717" s="366" t="s">
        <v>1699</v>
      </c>
      <c r="L4717" s="366" t="s">
        <v>2240</v>
      </c>
      <c r="M4717" s="350" t="str">
        <f>IF($B4717="Portfolio","Portfolio",IFERROR(INDEX(DATA_ASSET_CLASSIFICATION!$B$8:$B$24,MATCH($C4717,DATA_ASSET_CLASSIFICATION!$A$8:$A$24,0)),"Review"))</f>
        <v>The Creek, Port Moody</v>
      </c>
      <c r="N4717" s="350" t="str">
        <f>IF($B4717="Portfolio","Portfolio",IFERROR(INDEX(DATA_ASSET_CLASSIFICATION!$U$8:$U$24,MATCH($C4717,DATA_ASSET_CLASSIFICATION!$A$8:$A$24,0)),"Review"))</f>
        <v>New Build</v>
      </c>
      <c r="O4717" s="350" t="str">
        <f>IF($B4717="Portfolio","Portfolio",IFERROR(INDEX(DATA_ASSET_CLASSIFICATION!$AB$8:$AB$13,MATCH($N4717,DATA_ASSET_CLASSIFICATION!$AA$8:$AA$13,0)),"Review"))</f>
        <v>Bucket 1 · New Build</v>
      </c>
      <c r="P4717" s="350" t="str">
        <f>IF($B4717="Portfolio","Portfolio",IFERROR(INDEX(DATA_ASSET_CLASSIFICATION!$C$8:$C$24,MATCH($C4717,DATA_ASSET_CLASSIFICATION!$A$8:$A$24,0)),"Review"))</f>
        <v>Yes</v>
      </c>
      <c r="Q4717" s="350" t="str">
        <f t="shared" ca="1" si="147"/>
        <v>OK</v>
      </c>
    </row>
    <row r="4718" spans="1:17" ht="30">
      <c r="A4718" s="366" t="s">
        <v>6674</v>
      </c>
      <c r="B4718" s="366" t="s">
        <v>231</v>
      </c>
      <c r="C4718" s="348" t="str">
        <f>DATA_PROPERTY_MASTER!$A$20</f>
        <v>BLD_PM</v>
      </c>
      <c r="D4718" s="380">
        <f>'00_PORTFOLIO ROLLUP'!J$12</f>
        <v>2030</v>
      </c>
      <c r="E4718" s="366" t="s">
        <v>1683</v>
      </c>
      <c r="F4718" s="366" t="s">
        <v>21</v>
      </c>
      <c r="G4718" s="348" t="str">
        <f>"'"&amp;$C4718&amp;"'!$E$45:$Y$45"</f>
        <v>'BLD_PM'!$E$45:$Y$45</v>
      </c>
      <c r="H4718" s="381">
        <f ca="1">IF(IFERROR(INDEX(DATA_PROPERTY_MASTER!$E$5:$E$21,MATCH($C4718,DATA_PROPERTY_MASTER!$A$5:$A$21,0))="Yes",FALSE),IFERROR(INDEX(INDIRECT("'"&amp;$C4718&amp;"'!$E$45:$Y$45"),1,MATCH($D4718,INDIRECT("'"&amp;$C4718&amp;"'!$E$12:$Y$12"),0)),0),0)</f>
        <v>4913879.9936369108</v>
      </c>
      <c r="I4718" s="366" t="s">
        <v>1685</v>
      </c>
      <c r="J4718" s="348" t="str">
        <f t="shared" ca="1" si="146"/>
        <v>OK</v>
      </c>
      <c r="K4718" s="366" t="s">
        <v>1694</v>
      </c>
      <c r="L4718" s="366" t="s">
        <v>2242</v>
      </c>
      <c r="M4718" s="350" t="str">
        <f>IF($B4718="Portfolio","Portfolio",IFERROR(INDEX(DATA_ASSET_CLASSIFICATION!$B$8:$B$24,MATCH($C4718,DATA_ASSET_CLASSIFICATION!$A$8:$A$24,0)),"Review"))</f>
        <v>The Creek, Port Moody</v>
      </c>
      <c r="N4718" s="350" t="str">
        <f>IF($B4718="Portfolio","Portfolio",IFERROR(INDEX(DATA_ASSET_CLASSIFICATION!$U$8:$U$24,MATCH($C4718,DATA_ASSET_CLASSIFICATION!$A$8:$A$24,0)),"Review"))</f>
        <v>New Build</v>
      </c>
      <c r="O4718" s="350" t="str">
        <f>IF($B4718="Portfolio","Portfolio",IFERROR(INDEX(DATA_ASSET_CLASSIFICATION!$AB$8:$AB$13,MATCH($N4718,DATA_ASSET_CLASSIFICATION!$AA$8:$AA$13,0)),"Review"))</f>
        <v>Bucket 1 · New Build</v>
      </c>
      <c r="P4718" s="350" t="str">
        <f>IF($B4718="Portfolio","Portfolio",IFERROR(INDEX(DATA_ASSET_CLASSIFICATION!$C$8:$C$24,MATCH($C4718,DATA_ASSET_CLASSIFICATION!$A$8:$A$24,0)),"Review"))</f>
        <v>Yes</v>
      </c>
      <c r="Q4718" s="350" t="str">
        <f t="shared" ca="1" si="147"/>
        <v>OK</v>
      </c>
    </row>
    <row r="4719" spans="1:17" ht="30">
      <c r="A4719" s="366" t="s">
        <v>6675</v>
      </c>
      <c r="B4719" s="366" t="s">
        <v>231</v>
      </c>
      <c r="C4719" s="348" t="str">
        <f>DATA_PROPERTY_MASTER!$A$20</f>
        <v>BLD_PM</v>
      </c>
      <c r="D4719" s="380">
        <f>'00_PORTFOLIO ROLLUP'!J$12</f>
        <v>2030</v>
      </c>
      <c r="E4719" s="366" t="s">
        <v>23</v>
      </c>
      <c r="F4719" s="366" t="s">
        <v>23</v>
      </c>
      <c r="G4719" s="348" t="str">
        <f>"'"&amp;$C4719&amp;"'!$E$48:$Y$48"</f>
        <v>'BLD_PM'!$E$48:$Y$48</v>
      </c>
      <c r="H4719" s="381">
        <f ca="1">IF(IFERROR(INDEX(DATA_PROPERTY_MASTER!$E$5:$E$21,MATCH($C4719,DATA_PROPERTY_MASTER!$A$5:$A$21,0))="Yes",FALSE),IFERROR(INDEX(INDIRECT("'"&amp;$C4719&amp;"'!$E$48:$Y$48"),1,MATCH($D4719,INDIRECT("'"&amp;$C4719&amp;"'!$E$12:$Y$12"),0)),0),0)</f>
        <v>3116973.3868276179</v>
      </c>
      <c r="I4719" s="366" t="s">
        <v>1690</v>
      </c>
      <c r="J4719" s="348" t="str">
        <f t="shared" ca="1" si="146"/>
        <v>OK</v>
      </c>
      <c r="K4719" s="366" t="s">
        <v>1706</v>
      </c>
      <c r="L4719" s="366" t="s">
        <v>2244</v>
      </c>
      <c r="M4719" s="350" t="str">
        <f>IF($B4719="Portfolio","Portfolio",IFERROR(INDEX(DATA_ASSET_CLASSIFICATION!$B$8:$B$24,MATCH($C4719,DATA_ASSET_CLASSIFICATION!$A$8:$A$24,0)),"Review"))</f>
        <v>The Creek, Port Moody</v>
      </c>
      <c r="N4719" s="350" t="str">
        <f>IF($B4719="Portfolio","Portfolio",IFERROR(INDEX(DATA_ASSET_CLASSIFICATION!$U$8:$U$24,MATCH($C4719,DATA_ASSET_CLASSIFICATION!$A$8:$A$24,0)),"Review"))</f>
        <v>New Build</v>
      </c>
      <c r="O4719" s="350" t="str">
        <f>IF($B4719="Portfolio","Portfolio",IFERROR(INDEX(DATA_ASSET_CLASSIFICATION!$AB$8:$AB$13,MATCH($N4719,DATA_ASSET_CLASSIFICATION!$AA$8:$AA$13,0)),"Review"))</f>
        <v>Bucket 1 · New Build</v>
      </c>
      <c r="P4719" s="350" t="str">
        <f>IF($B4719="Portfolio","Portfolio",IFERROR(INDEX(DATA_ASSET_CLASSIFICATION!$C$8:$C$24,MATCH($C4719,DATA_ASSET_CLASSIFICATION!$A$8:$A$24,0)),"Review"))</f>
        <v>Yes</v>
      </c>
      <c r="Q4719" s="350" t="str">
        <f t="shared" ca="1" si="147"/>
        <v>OK</v>
      </c>
    </row>
    <row r="4720" spans="1:17" ht="30">
      <c r="A4720" s="366" t="s">
        <v>6676</v>
      </c>
      <c r="B4720" s="366" t="s">
        <v>231</v>
      </c>
      <c r="C4720" s="348" t="str">
        <f>DATA_PROPERTY_MASTER!$A$20</f>
        <v>BLD_PM</v>
      </c>
      <c r="D4720" s="380">
        <f>'00_PORTFOLIO ROLLUP'!J$12</f>
        <v>2030</v>
      </c>
      <c r="E4720" s="366" t="s">
        <v>1683</v>
      </c>
      <c r="F4720" s="366" t="s">
        <v>25</v>
      </c>
      <c r="G4720" s="348" t="str">
        <f>"'"&amp;$C4720&amp;"'!$E$52:$Y$52"</f>
        <v>'BLD_PM'!$E$52:$Y$52</v>
      </c>
      <c r="H4720" s="381">
        <f ca="1">IF(IFERROR(INDEX(DATA_PROPERTY_MASTER!$E$5:$E$21,MATCH($C4720,DATA_PROPERTY_MASTER!$A$5:$A$21,0))="Yes",FALSE),IFERROR(INDEX(INDIRECT("'"&amp;$C4720&amp;"'!$E$52:$Y$52"),1,MATCH($D4720,INDIRECT("'"&amp;$C4720&amp;"'!$E$12:$Y$12"),0)),0),0)</f>
        <v>1851227.3823267333</v>
      </c>
      <c r="I4720" s="366" t="s">
        <v>1685</v>
      </c>
      <c r="J4720" s="348" t="str">
        <f t="shared" ca="1" si="146"/>
        <v>OK</v>
      </c>
      <c r="K4720" s="366" t="s">
        <v>1710</v>
      </c>
      <c r="L4720" s="366" t="s">
        <v>2246</v>
      </c>
      <c r="M4720" s="350" t="str">
        <f>IF($B4720="Portfolio","Portfolio",IFERROR(INDEX(DATA_ASSET_CLASSIFICATION!$B$8:$B$24,MATCH($C4720,DATA_ASSET_CLASSIFICATION!$A$8:$A$24,0)),"Review"))</f>
        <v>The Creek, Port Moody</v>
      </c>
      <c r="N4720" s="350" t="str">
        <f>IF($B4720="Portfolio","Portfolio",IFERROR(INDEX(DATA_ASSET_CLASSIFICATION!$U$8:$U$24,MATCH($C4720,DATA_ASSET_CLASSIFICATION!$A$8:$A$24,0)),"Review"))</f>
        <v>New Build</v>
      </c>
      <c r="O4720" s="350" t="str">
        <f>IF($B4720="Portfolio","Portfolio",IFERROR(INDEX(DATA_ASSET_CLASSIFICATION!$AB$8:$AB$13,MATCH($N4720,DATA_ASSET_CLASSIFICATION!$AA$8:$AA$13,0)),"Review"))</f>
        <v>Bucket 1 · New Build</v>
      </c>
      <c r="P4720" s="350" t="str">
        <f>IF($B4720="Portfolio","Portfolio",IFERROR(INDEX(DATA_ASSET_CLASSIFICATION!$C$8:$C$24,MATCH($C4720,DATA_ASSET_CLASSIFICATION!$A$8:$A$24,0)),"Review"))</f>
        <v>Yes</v>
      </c>
      <c r="Q4720" s="350" t="str">
        <f t="shared" ca="1" si="147"/>
        <v>OK</v>
      </c>
    </row>
    <row r="4721" spans="1:17" ht="30">
      <c r="A4721" s="366" t="s">
        <v>6677</v>
      </c>
      <c r="B4721" s="366" t="s">
        <v>231</v>
      </c>
      <c r="C4721" s="348" t="str">
        <f>DATA_PROPERTY_MASTER!$A$20</f>
        <v>BLD_PM</v>
      </c>
      <c r="D4721" s="380">
        <f>'00_PORTFOLIO ROLLUP'!J$12</f>
        <v>2030</v>
      </c>
      <c r="E4721" s="366" t="s">
        <v>1683</v>
      </c>
      <c r="F4721" s="366" t="s">
        <v>27</v>
      </c>
      <c r="G4721" s="348" t="str">
        <f>"'"&amp;$C4721&amp;"'!$E$54:$Y$54"</f>
        <v>'BLD_PM'!$E$54:$Y$54</v>
      </c>
      <c r="H4721" s="381">
        <f ca="1">IF(IFERROR(INDEX(DATA_PROPERTY_MASTER!$E$5:$E$21,MATCH($C4721,DATA_PROPERTY_MASTER!$A$5:$A$21,0))="Yes",FALSE),IFERROR(INDEX(INDIRECT("'"&amp;$C4721&amp;"'!$E$54:$Y$54"),1,MATCH($D4721,INDIRECT("'"&amp;$C4721&amp;"'!$E$12:$Y$12"),0)),0),0)</f>
        <v>1110736.42939604</v>
      </c>
      <c r="I4721" s="366" t="s">
        <v>1690</v>
      </c>
      <c r="J4721" s="348" t="str">
        <f t="shared" ca="1" si="146"/>
        <v>OK</v>
      </c>
      <c r="K4721" s="366" t="s">
        <v>1714</v>
      </c>
      <c r="L4721" s="366" t="s">
        <v>2248</v>
      </c>
      <c r="M4721" s="350" t="str">
        <f>IF($B4721="Portfolio","Portfolio",IFERROR(INDEX(DATA_ASSET_CLASSIFICATION!$B$8:$B$24,MATCH($C4721,DATA_ASSET_CLASSIFICATION!$A$8:$A$24,0)),"Review"))</f>
        <v>The Creek, Port Moody</v>
      </c>
      <c r="N4721" s="350" t="str">
        <f>IF($B4721="Portfolio","Portfolio",IFERROR(INDEX(DATA_ASSET_CLASSIFICATION!$U$8:$U$24,MATCH($C4721,DATA_ASSET_CLASSIFICATION!$A$8:$A$24,0)),"Review"))</f>
        <v>New Build</v>
      </c>
      <c r="O4721" s="350" t="str">
        <f>IF($B4721="Portfolio","Portfolio",IFERROR(INDEX(DATA_ASSET_CLASSIFICATION!$AB$8:$AB$13,MATCH($N4721,DATA_ASSET_CLASSIFICATION!$AA$8:$AA$13,0)),"Review"))</f>
        <v>Bucket 1 · New Build</v>
      </c>
      <c r="P4721" s="350" t="str">
        <f>IF($B4721="Portfolio","Portfolio",IFERROR(INDEX(DATA_ASSET_CLASSIFICATION!$C$8:$C$24,MATCH($C4721,DATA_ASSET_CLASSIFICATION!$A$8:$A$24,0)),"Review"))</f>
        <v>Yes</v>
      </c>
      <c r="Q4721" s="350" t="str">
        <f t="shared" ca="1" si="147"/>
        <v>OK</v>
      </c>
    </row>
    <row r="4722" spans="1:17" ht="30">
      <c r="A4722" s="366" t="s">
        <v>6678</v>
      </c>
      <c r="B4722" s="366" t="s">
        <v>231</v>
      </c>
      <c r="C4722" s="348" t="str">
        <f>DATA_PROPERTY_MASTER!$A$20</f>
        <v>BLD_PM</v>
      </c>
      <c r="D4722" s="380">
        <f>'00_PORTFOLIO ROLLUP'!J$12</f>
        <v>2030</v>
      </c>
      <c r="E4722" s="366" t="s">
        <v>1683</v>
      </c>
      <c r="F4722" s="366" t="s">
        <v>29</v>
      </c>
      <c r="G4722" s="348" t="str">
        <f>"'"&amp;$C4722&amp;"'!$E$56:$Y$56"</f>
        <v>'BLD_PM'!$E$56:$Y$56</v>
      </c>
      <c r="H4722" s="381">
        <f ca="1">IF(IFERROR(INDEX(DATA_PROPERTY_MASTER!$E$5:$E$21,MATCH($C4722,DATA_PROPERTY_MASTER!$A$5:$A$21,0))="Yes",FALSE),IFERROR(INDEX(INDIRECT("'"&amp;$C4722&amp;"'!$E$56:$Y$56"),1,MATCH($D4722,INDIRECT("'"&amp;$C4722&amp;"'!$E$12:$Y$12"),0)),0),0)</f>
        <v>740490.95293069328</v>
      </c>
      <c r="I4722" s="366" t="s">
        <v>1685</v>
      </c>
      <c r="J4722" s="348" t="str">
        <f t="shared" ca="1" si="146"/>
        <v>OK</v>
      </c>
      <c r="K4722" s="366" t="s">
        <v>1718</v>
      </c>
      <c r="L4722" s="366" t="s">
        <v>2250</v>
      </c>
      <c r="M4722" s="350" t="str">
        <f>IF($B4722="Portfolio","Portfolio",IFERROR(INDEX(DATA_ASSET_CLASSIFICATION!$B$8:$B$24,MATCH($C4722,DATA_ASSET_CLASSIFICATION!$A$8:$A$24,0)),"Review"))</f>
        <v>The Creek, Port Moody</v>
      </c>
      <c r="N4722" s="350" t="str">
        <f>IF($B4722="Portfolio","Portfolio",IFERROR(INDEX(DATA_ASSET_CLASSIFICATION!$U$8:$U$24,MATCH($C4722,DATA_ASSET_CLASSIFICATION!$A$8:$A$24,0)),"Review"))</f>
        <v>New Build</v>
      </c>
      <c r="O4722" s="350" t="str">
        <f>IF($B4722="Portfolio","Portfolio",IFERROR(INDEX(DATA_ASSET_CLASSIFICATION!$AB$8:$AB$13,MATCH($N4722,DATA_ASSET_CLASSIFICATION!$AA$8:$AA$13,0)),"Review"))</f>
        <v>Bucket 1 · New Build</v>
      </c>
      <c r="P4722" s="350" t="str">
        <f>IF($B4722="Portfolio","Portfolio",IFERROR(INDEX(DATA_ASSET_CLASSIFICATION!$C$8:$C$24,MATCH($C4722,DATA_ASSET_CLASSIFICATION!$A$8:$A$24,0)),"Review"))</f>
        <v>Yes</v>
      </c>
      <c r="Q4722" s="350" t="str">
        <f t="shared" ca="1" si="147"/>
        <v>OK</v>
      </c>
    </row>
    <row r="4723" spans="1:17" ht="30">
      <c r="A4723" s="366" t="s">
        <v>6679</v>
      </c>
      <c r="B4723" s="366" t="s">
        <v>231</v>
      </c>
      <c r="C4723" s="348" t="str">
        <f>DATA_PROPERTY_MASTER!$A$20</f>
        <v>BLD_PM</v>
      </c>
      <c r="D4723" s="380">
        <f>'00_PORTFOLIO ROLLUP'!J$12</f>
        <v>2030</v>
      </c>
      <c r="E4723" s="366" t="s">
        <v>1721</v>
      </c>
      <c r="F4723" s="366" t="s">
        <v>31</v>
      </c>
      <c r="G4723" s="348" t="str">
        <f>"'"&amp;$C4723&amp;"'!$E$61:$Y$61"</f>
        <v>'BLD_PM'!$E$61:$Y$61</v>
      </c>
      <c r="H4723" s="381">
        <f ca="1">IF(IFERROR(INDEX(DATA_PROPERTY_MASTER!$E$5:$E$21,MATCH($C4723,DATA_PROPERTY_MASTER!$A$5:$A$21,0))="Yes",FALSE),IFERROR(INDEX(INDIRECT("'"&amp;$C4723&amp;"'!$E$61:$Y$61"),1,MATCH($D4723,INDIRECT("'"&amp;$C4723&amp;"'!$E$12:$Y$12"),0)),0),0)</f>
        <v>0</v>
      </c>
      <c r="I4723" s="366" t="s">
        <v>1690</v>
      </c>
      <c r="J4723" s="348" t="str">
        <f t="shared" ca="1" si="146"/>
        <v>OK</v>
      </c>
      <c r="K4723" s="366" t="s">
        <v>1723</v>
      </c>
      <c r="L4723" s="366" t="s">
        <v>2252</v>
      </c>
      <c r="M4723" s="350" t="str">
        <f>IF($B4723="Portfolio","Portfolio",IFERROR(INDEX(DATA_ASSET_CLASSIFICATION!$B$8:$B$24,MATCH($C4723,DATA_ASSET_CLASSIFICATION!$A$8:$A$24,0)),"Review"))</f>
        <v>The Creek, Port Moody</v>
      </c>
      <c r="N4723" s="350" t="str">
        <f>IF($B4723="Portfolio","Portfolio",IFERROR(INDEX(DATA_ASSET_CLASSIFICATION!$U$8:$U$24,MATCH($C4723,DATA_ASSET_CLASSIFICATION!$A$8:$A$24,0)),"Review"))</f>
        <v>New Build</v>
      </c>
      <c r="O4723" s="350" t="str">
        <f>IF($B4723="Portfolio","Portfolio",IFERROR(INDEX(DATA_ASSET_CLASSIFICATION!$AB$8:$AB$13,MATCH($N4723,DATA_ASSET_CLASSIFICATION!$AA$8:$AA$13,0)),"Review"))</f>
        <v>Bucket 1 · New Build</v>
      </c>
      <c r="P4723" s="350" t="str">
        <f>IF($B4723="Portfolio","Portfolio",IFERROR(INDEX(DATA_ASSET_CLASSIFICATION!$C$8:$C$24,MATCH($C4723,DATA_ASSET_CLASSIFICATION!$A$8:$A$24,0)),"Review"))</f>
        <v>Yes</v>
      </c>
      <c r="Q4723" s="350" t="str">
        <f t="shared" ca="1" si="147"/>
        <v>OK</v>
      </c>
    </row>
    <row r="4724" spans="1:17" ht="30">
      <c r="A4724" s="366" t="s">
        <v>6680</v>
      </c>
      <c r="B4724" s="366" t="s">
        <v>231</v>
      </c>
      <c r="C4724" s="348" t="str">
        <f>DATA_PROPERTY_MASTER!$A$20</f>
        <v>BLD_PM</v>
      </c>
      <c r="D4724" s="380">
        <f>'00_PORTFOLIO ROLLUP'!J$12</f>
        <v>2030</v>
      </c>
      <c r="E4724" s="366" t="s">
        <v>1721</v>
      </c>
      <c r="F4724" s="366" t="s">
        <v>33</v>
      </c>
      <c r="G4724" s="348" t="str">
        <f>"'"&amp;$C4724&amp;"'!$E$62:$Y$62"</f>
        <v>'BLD_PM'!$E$62:$Y$62</v>
      </c>
      <c r="H4724" s="381">
        <f ca="1">IF(IFERROR(INDEX(DATA_PROPERTY_MASTER!$E$5:$E$21,MATCH($C4724,DATA_PROPERTY_MASTER!$A$5:$A$21,0))="Yes",FALSE),IFERROR(INDEX(INDIRECT("'"&amp;$C4724&amp;"'!$E$62:$Y$62"),1,MATCH($D4724,INDIRECT("'"&amp;$C4724&amp;"'!$E$12:$Y$12"),0)),0),0)</f>
        <v>0</v>
      </c>
      <c r="I4724" s="366" t="s">
        <v>1685</v>
      </c>
      <c r="J4724" s="348" t="str">
        <f t="shared" ca="1" si="146"/>
        <v>OK</v>
      </c>
      <c r="K4724" s="366" t="s">
        <v>1727</v>
      </c>
      <c r="L4724" s="366" t="s">
        <v>2254</v>
      </c>
      <c r="M4724" s="350" t="str">
        <f>IF($B4724="Portfolio","Portfolio",IFERROR(INDEX(DATA_ASSET_CLASSIFICATION!$B$8:$B$24,MATCH($C4724,DATA_ASSET_CLASSIFICATION!$A$8:$A$24,0)),"Review"))</f>
        <v>The Creek, Port Moody</v>
      </c>
      <c r="N4724" s="350" t="str">
        <f>IF($B4724="Portfolio","Portfolio",IFERROR(INDEX(DATA_ASSET_CLASSIFICATION!$U$8:$U$24,MATCH($C4724,DATA_ASSET_CLASSIFICATION!$A$8:$A$24,0)),"Review"))</f>
        <v>New Build</v>
      </c>
      <c r="O4724" s="350" t="str">
        <f>IF($B4724="Portfolio","Portfolio",IFERROR(INDEX(DATA_ASSET_CLASSIFICATION!$AB$8:$AB$13,MATCH($N4724,DATA_ASSET_CLASSIFICATION!$AA$8:$AA$13,0)),"Review"))</f>
        <v>Bucket 1 · New Build</v>
      </c>
      <c r="P4724" s="350" t="str">
        <f>IF($B4724="Portfolio","Portfolio",IFERROR(INDEX(DATA_ASSET_CLASSIFICATION!$C$8:$C$24,MATCH($C4724,DATA_ASSET_CLASSIFICATION!$A$8:$A$24,0)),"Review"))</f>
        <v>Yes</v>
      </c>
      <c r="Q4724" s="350" t="str">
        <f t="shared" ca="1" si="147"/>
        <v>OK</v>
      </c>
    </row>
    <row r="4725" spans="1:17" ht="30">
      <c r="A4725" s="366" t="s">
        <v>6681</v>
      </c>
      <c r="B4725" s="366" t="s">
        <v>231</v>
      </c>
      <c r="C4725" s="348" t="str">
        <f>DATA_PROPERTY_MASTER!$A$20</f>
        <v>BLD_PM</v>
      </c>
      <c r="D4725" s="380">
        <f>'00_PORTFOLIO ROLLUP'!J$12</f>
        <v>2030</v>
      </c>
      <c r="E4725" s="366" t="s">
        <v>1721</v>
      </c>
      <c r="F4725" s="366" t="s">
        <v>35</v>
      </c>
      <c r="G4725" s="348" t="str">
        <f>"'"&amp;$C4725&amp;"'!$E$63:$Y$63"</f>
        <v>'BLD_PM'!$E$63:$Y$63</v>
      </c>
      <c r="H4725" s="381">
        <f ca="1">IF(IFERROR(INDEX(DATA_PROPERTY_MASTER!$E$5:$E$21,MATCH($C4725,DATA_PROPERTY_MASTER!$A$5:$A$21,0))="Yes",FALSE),IFERROR(INDEX(INDIRECT("'"&amp;$C4725&amp;"'!$E$63:$Y$63"),1,MATCH($D4725,INDIRECT("'"&amp;$C4725&amp;"'!$E$12:$Y$12"),0)),0),0)</f>
        <v>0</v>
      </c>
      <c r="I4725" s="366" t="s">
        <v>1731</v>
      </c>
      <c r="J4725" s="348" t="str">
        <f t="shared" ca="1" si="146"/>
        <v>OK</v>
      </c>
      <c r="K4725" s="366" t="s">
        <v>1732</v>
      </c>
      <c r="L4725" s="366" t="s">
        <v>2256</v>
      </c>
      <c r="M4725" s="350" t="str">
        <f>IF($B4725="Portfolio","Portfolio",IFERROR(INDEX(DATA_ASSET_CLASSIFICATION!$B$8:$B$24,MATCH($C4725,DATA_ASSET_CLASSIFICATION!$A$8:$A$24,0)),"Review"))</f>
        <v>The Creek, Port Moody</v>
      </c>
      <c r="N4725" s="350" t="str">
        <f>IF($B4725="Portfolio","Portfolio",IFERROR(INDEX(DATA_ASSET_CLASSIFICATION!$U$8:$U$24,MATCH($C4725,DATA_ASSET_CLASSIFICATION!$A$8:$A$24,0)),"Review"))</f>
        <v>New Build</v>
      </c>
      <c r="O4725" s="350" t="str">
        <f>IF($B4725="Portfolio","Portfolio",IFERROR(INDEX(DATA_ASSET_CLASSIFICATION!$AB$8:$AB$13,MATCH($N4725,DATA_ASSET_CLASSIFICATION!$AA$8:$AA$13,0)),"Review"))</f>
        <v>Bucket 1 · New Build</v>
      </c>
      <c r="P4725" s="350" t="str">
        <f>IF($B4725="Portfolio","Portfolio",IFERROR(INDEX(DATA_ASSET_CLASSIFICATION!$C$8:$C$24,MATCH($C4725,DATA_ASSET_CLASSIFICATION!$A$8:$A$24,0)),"Review"))</f>
        <v>Yes</v>
      </c>
      <c r="Q4725" s="350" t="str">
        <f t="shared" ca="1" si="147"/>
        <v>OK</v>
      </c>
    </row>
    <row r="4726" spans="1:17" ht="30">
      <c r="A4726" s="366" t="s">
        <v>6682</v>
      </c>
      <c r="B4726" s="366" t="s">
        <v>231</v>
      </c>
      <c r="C4726" s="348" t="str">
        <f>DATA_PROPERTY_MASTER!$A$20</f>
        <v>BLD_PM</v>
      </c>
      <c r="D4726" s="380">
        <f>'00_PORTFOLIO ROLLUP'!J$12</f>
        <v>2030</v>
      </c>
      <c r="E4726" s="366" t="s">
        <v>1721</v>
      </c>
      <c r="F4726" s="366" t="s">
        <v>37</v>
      </c>
      <c r="G4726" s="348" t="str">
        <f>"'"&amp;$C4726&amp;"'!$E$63:$Y$63"</f>
        <v>'BLD_PM'!$E$63:$Y$63</v>
      </c>
      <c r="H4726" s="381">
        <f ca="1">IF(IFERROR(INDEX(DATA_PROPERTY_MASTER!$E$5:$E$21,MATCH($C4726,DATA_PROPERTY_MASTER!$A$5:$A$21,0))="Yes",FALSE),MAX(IFERROR(INDEX(INDIRECT("'"&amp;$C4726&amp;"'!$E$63:$Y$63"),1,MATCH($D4726,INDIRECT("'"&amp;$C4726&amp;"'!$E$12:$Y$12"),0)),0),0),0)</f>
        <v>0</v>
      </c>
      <c r="I4726" s="366" t="s">
        <v>1685</v>
      </c>
      <c r="J4726" s="348" t="str">
        <f t="shared" ca="1" si="146"/>
        <v>OK</v>
      </c>
      <c r="K4726" s="366" t="s">
        <v>1735</v>
      </c>
      <c r="L4726" s="366" t="s">
        <v>2258</v>
      </c>
      <c r="M4726" s="350" t="str">
        <f>IF($B4726="Portfolio","Portfolio",IFERROR(INDEX(DATA_ASSET_CLASSIFICATION!$B$8:$B$24,MATCH($C4726,DATA_ASSET_CLASSIFICATION!$A$8:$A$24,0)),"Review"))</f>
        <v>The Creek, Port Moody</v>
      </c>
      <c r="N4726" s="350" t="str">
        <f>IF($B4726="Portfolio","Portfolio",IFERROR(INDEX(DATA_ASSET_CLASSIFICATION!$U$8:$U$24,MATCH($C4726,DATA_ASSET_CLASSIFICATION!$A$8:$A$24,0)),"Review"))</f>
        <v>New Build</v>
      </c>
      <c r="O4726" s="350" t="str">
        <f>IF($B4726="Portfolio","Portfolio",IFERROR(INDEX(DATA_ASSET_CLASSIFICATION!$AB$8:$AB$13,MATCH($N4726,DATA_ASSET_CLASSIFICATION!$AA$8:$AA$13,0)),"Review"))</f>
        <v>Bucket 1 · New Build</v>
      </c>
      <c r="P4726" s="350" t="str">
        <f>IF($B4726="Portfolio","Portfolio",IFERROR(INDEX(DATA_ASSET_CLASSIFICATION!$C$8:$C$24,MATCH($C4726,DATA_ASSET_CLASSIFICATION!$A$8:$A$24,0)),"Review"))</f>
        <v>Yes</v>
      </c>
      <c r="Q4726" s="350" t="str">
        <f t="shared" ca="1" si="147"/>
        <v>OK</v>
      </c>
    </row>
    <row r="4727" spans="1:17" ht="30">
      <c r="A4727" s="366" t="s">
        <v>6683</v>
      </c>
      <c r="B4727" s="366" t="s">
        <v>231</v>
      </c>
      <c r="C4727" s="348" t="str">
        <f>DATA_PROPERTY_MASTER!$A$20</f>
        <v>BLD_PM</v>
      </c>
      <c r="D4727" s="380">
        <f>'00_PORTFOLIO ROLLUP'!J$12</f>
        <v>2030</v>
      </c>
      <c r="E4727" s="366" t="s">
        <v>1721</v>
      </c>
      <c r="F4727" s="366" t="s">
        <v>39</v>
      </c>
      <c r="G4727" s="348" t="str">
        <f>"'"&amp;$C4727&amp;"'!$E$63:$Y$63"</f>
        <v>'BLD_PM'!$E$63:$Y$63</v>
      </c>
      <c r="H4727" s="381">
        <f ca="1">IF(IFERROR(INDEX(DATA_PROPERTY_MASTER!$E$5:$E$21,MATCH($C4727,DATA_PROPERTY_MASTER!$A$5:$A$21,0))="Yes",FALSE),MAX(-IFERROR(INDEX(INDIRECT("'"&amp;$C4727&amp;"'!$E$63:$Y$63"),1,MATCH($D4727,INDIRECT("'"&amp;$C4727&amp;"'!$E$12:$Y$12"),0)),0),0),0)</f>
        <v>0</v>
      </c>
      <c r="I4727" s="366" t="s">
        <v>1690</v>
      </c>
      <c r="J4727" s="348" t="str">
        <f t="shared" ca="1" si="146"/>
        <v>OK</v>
      </c>
      <c r="K4727" s="366" t="s">
        <v>1738</v>
      </c>
      <c r="L4727" s="366" t="s">
        <v>2260</v>
      </c>
      <c r="M4727" s="350" t="str">
        <f>IF($B4727="Portfolio","Portfolio",IFERROR(INDEX(DATA_ASSET_CLASSIFICATION!$B$8:$B$24,MATCH($C4727,DATA_ASSET_CLASSIFICATION!$A$8:$A$24,0)),"Review"))</f>
        <v>The Creek, Port Moody</v>
      </c>
      <c r="N4727" s="350" t="str">
        <f>IF($B4727="Portfolio","Portfolio",IFERROR(INDEX(DATA_ASSET_CLASSIFICATION!$U$8:$U$24,MATCH($C4727,DATA_ASSET_CLASSIFICATION!$A$8:$A$24,0)),"Review"))</f>
        <v>New Build</v>
      </c>
      <c r="O4727" s="350" t="str">
        <f>IF($B4727="Portfolio","Portfolio",IFERROR(INDEX(DATA_ASSET_CLASSIFICATION!$AB$8:$AB$13,MATCH($N4727,DATA_ASSET_CLASSIFICATION!$AA$8:$AA$13,0)),"Review"))</f>
        <v>Bucket 1 · New Build</v>
      </c>
      <c r="P4727" s="350" t="str">
        <f>IF($B4727="Portfolio","Portfolio",IFERROR(INDEX(DATA_ASSET_CLASSIFICATION!$C$8:$C$24,MATCH($C4727,DATA_ASSET_CLASSIFICATION!$A$8:$A$24,0)),"Review"))</f>
        <v>Yes</v>
      </c>
      <c r="Q4727" s="350" t="str">
        <f t="shared" ca="1" si="147"/>
        <v>OK</v>
      </c>
    </row>
    <row r="4728" spans="1:17" ht="30">
      <c r="A4728" s="366" t="s">
        <v>6684</v>
      </c>
      <c r="B4728" s="366" t="s">
        <v>231</v>
      </c>
      <c r="C4728" s="348" t="str">
        <f>DATA_PROPERTY_MASTER!$A$20</f>
        <v>BLD_PM</v>
      </c>
      <c r="D4728" s="380">
        <f>'00_PORTFOLIO ROLLUP'!J$12</f>
        <v>2030</v>
      </c>
      <c r="E4728" s="366" t="s">
        <v>1741</v>
      </c>
      <c r="F4728" s="366" t="s">
        <v>41</v>
      </c>
      <c r="G4728" s="348" t="str">
        <f>"'"&amp;$C4728&amp;"'!rows 56 + positive row 63"</f>
        <v>'BLD_PM'!rows 56 + positive row 63</v>
      </c>
      <c r="H4728" s="381">
        <f ca="1">IF(IFERROR(INDEX(DATA_PROPERTY_MASTER!$E$5:$E$21,MATCH($C4728,DATA_PROPERTY_MASTER!$A$5:$A$21,0))="Yes",FALSE),IFERROR(INDEX(INDIRECT("'"&amp;$C4728&amp;"'!$E$56:$Y$56"),1,MATCH($D4728,INDIRECT("'"&amp;$C4728&amp;"'!$E$12:$Y$12"),0)),0)+MAX(IFERROR(INDEX(INDIRECT("'"&amp;$C4728&amp;"'!$E$63:$Y$63"),1,MATCH($D4728,INDIRECT("'"&amp;$C4728&amp;"'!$E$12:$Y$12"),0)),0),0),0)</f>
        <v>740490.95293069328</v>
      </c>
      <c r="I4728" s="366" t="s">
        <v>1685</v>
      </c>
      <c r="J4728" s="348" t="str">
        <f t="shared" ca="1" si="146"/>
        <v>OK</v>
      </c>
      <c r="K4728" s="366" t="s">
        <v>1742</v>
      </c>
      <c r="L4728" s="366" t="s">
        <v>2262</v>
      </c>
      <c r="M4728" s="350" t="str">
        <f>IF($B4728="Portfolio","Portfolio",IFERROR(INDEX(DATA_ASSET_CLASSIFICATION!$B$8:$B$24,MATCH($C4728,DATA_ASSET_CLASSIFICATION!$A$8:$A$24,0)),"Review"))</f>
        <v>The Creek, Port Moody</v>
      </c>
      <c r="N4728" s="350" t="str">
        <f>IF($B4728="Portfolio","Portfolio",IFERROR(INDEX(DATA_ASSET_CLASSIFICATION!$U$8:$U$24,MATCH($C4728,DATA_ASSET_CLASSIFICATION!$A$8:$A$24,0)),"Review"))</f>
        <v>New Build</v>
      </c>
      <c r="O4728" s="350" t="str">
        <f>IF($B4728="Portfolio","Portfolio",IFERROR(INDEX(DATA_ASSET_CLASSIFICATION!$AB$8:$AB$13,MATCH($N4728,DATA_ASSET_CLASSIFICATION!$AA$8:$AA$13,0)),"Review"))</f>
        <v>Bucket 1 · New Build</v>
      </c>
      <c r="P4728" s="350" t="str">
        <f>IF($B4728="Portfolio","Portfolio",IFERROR(INDEX(DATA_ASSET_CLASSIFICATION!$C$8:$C$24,MATCH($C4728,DATA_ASSET_CLASSIFICATION!$A$8:$A$24,0)),"Review"))</f>
        <v>Yes</v>
      </c>
      <c r="Q4728" s="350" t="str">
        <f t="shared" ca="1" si="147"/>
        <v>OK</v>
      </c>
    </row>
    <row r="4729" spans="1:17" ht="30">
      <c r="A4729" s="366" t="s">
        <v>6685</v>
      </c>
      <c r="B4729" s="366" t="s">
        <v>231</v>
      </c>
      <c r="C4729" s="348" t="str">
        <f>DATA_PROPERTY_MASTER!$A$20</f>
        <v>BLD_PM</v>
      </c>
      <c r="D4729" s="380">
        <f>'00_PORTFOLIO ROLLUP'!J$12</f>
        <v>2030</v>
      </c>
      <c r="E4729" s="366" t="s">
        <v>1741</v>
      </c>
      <c r="F4729" s="366" t="s">
        <v>43</v>
      </c>
      <c r="G4729" s="348" t="str">
        <f>"'"&amp;$C4729&amp;"'!$E$68:$Y$68"</f>
        <v>'BLD_PM'!$E$68:$Y$68</v>
      </c>
      <c r="H4729" s="381">
        <f ca="1">IF(IFERROR(INDEX(DATA_PROPERTY_MASTER!$E$5:$E$21,MATCH($C4729,DATA_PROPERTY_MASTER!$A$5:$A$21,0))="Yes",FALSE),IFERROR(INDEX(INDIRECT("'"&amp;$C4729&amp;"'!$E$68:$Y$68"),1,MATCH($D4729,INDIRECT("'"&amp;$C4729&amp;"'!$E$12:$Y$12"),0)),0),0)</f>
        <v>740490.95293069328</v>
      </c>
      <c r="I4729" s="366" t="s">
        <v>1731</v>
      </c>
      <c r="J4729" s="348" t="str">
        <f t="shared" ca="1" si="146"/>
        <v>OK</v>
      </c>
      <c r="K4729" s="366" t="s">
        <v>1746</v>
      </c>
      <c r="L4729" s="366" t="s">
        <v>2264</v>
      </c>
      <c r="M4729" s="350" t="str">
        <f>IF($B4729="Portfolio","Portfolio",IFERROR(INDEX(DATA_ASSET_CLASSIFICATION!$B$8:$B$24,MATCH($C4729,DATA_ASSET_CLASSIFICATION!$A$8:$A$24,0)),"Review"))</f>
        <v>The Creek, Port Moody</v>
      </c>
      <c r="N4729" s="350" t="str">
        <f>IF($B4729="Portfolio","Portfolio",IFERROR(INDEX(DATA_ASSET_CLASSIFICATION!$U$8:$U$24,MATCH($C4729,DATA_ASSET_CLASSIFICATION!$A$8:$A$24,0)),"Review"))</f>
        <v>New Build</v>
      </c>
      <c r="O4729" s="350" t="str">
        <f>IF($B4729="Portfolio","Portfolio",IFERROR(INDEX(DATA_ASSET_CLASSIFICATION!$AB$8:$AB$13,MATCH($N4729,DATA_ASSET_CLASSIFICATION!$AA$8:$AA$13,0)),"Review"))</f>
        <v>Bucket 1 · New Build</v>
      </c>
      <c r="P4729" s="350" t="str">
        <f>IF($B4729="Portfolio","Portfolio",IFERROR(INDEX(DATA_ASSET_CLASSIFICATION!$C$8:$C$24,MATCH($C4729,DATA_ASSET_CLASSIFICATION!$A$8:$A$24,0)),"Review"))</f>
        <v>Yes</v>
      </c>
      <c r="Q4729" s="350" t="str">
        <f t="shared" ca="1" si="147"/>
        <v>OK</v>
      </c>
    </row>
    <row r="4730" spans="1:17" ht="30">
      <c r="A4730" s="366" t="s">
        <v>6686</v>
      </c>
      <c r="B4730" s="366" t="s">
        <v>231</v>
      </c>
      <c r="C4730" s="348" t="str">
        <f>DATA_PROPERTY_MASTER!$A$20</f>
        <v>BLD_PM</v>
      </c>
      <c r="D4730" s="380">
        <f>'00_PORTFOLIO ROLLUP'!J$12</f>
        <v>2030</v>
      </c>
      <c r="E4730" s="366" t="s">
        <v>1741</v>
      </c>
      <c r="F4730" s="366" t="s">
        <v>1749</v>
      </c>
      <c r="G4730" s="348" t="str">
        <f>"'"&amp;$C4730&amp;"'!rows 56, 63, 68"</f>
        <v>'BLD_PM'!rows 56, 63, 68</v>
      </c>
      <c r="H4730" s="381">
        <f ca="1">IF(IFERROR(INDEX(DATA_PROPERTY_MASTER!$E$5:$E$21,MATCH($C4730,DATA_PROPERTY_MASTER!$A$5:$A$21,0))="Yes",FALSE),(IFERROR(INDEX(INDIRECT("'"&amp;$C4730&amp;"'!$E$56:$Y$56"),1,MATCH($D4730,INDIRECT("'"&amp;$C4730&amp;"'!$E$12:$Y$12"),0)),0)+MAX(IFERROR(INDEX(INDIRECT("'"&amp;$C4730&amp;"'!$E$63:$Y$63"),1,MATCH($D4730,INDIRECT("'"&amp;$C4730&amp;"'!$E$12:$Y$12"),0)),0),0))-(IFERROR(INDEX(INDIRECT("'"&amp;$C4730&amp;"'!$E$68:$Y$68"),1,MATCH($D4730,INDIRECT("'"&amp;$C4730&amp;"'!$E$12:$Y$12"),0)),0)),0)</f>
        <v>0</v>
      </c>
      <c r="I4730" s="366" t="s">
        <v>1750</v>
      </c>
      <c r="J4730" s="348" t="str">
        <f t="shared" ca="1" si="146"/>
        <v>OK</v>
      </c>
      <c r="K4730" s="366" t="s">
        <v>1751</v>
      </c>
      <c r="L4730" s="366" t="s">
        <v>2266</v>
      </c>
      <c r="M4730" s="350" t="str">
        <f>IF($B4730="Portfolio","Portfolio",IFERROR(INDEX(DATA_ASSET_CLASSIFICATION!$B$8:$B$24,MATCH($C4730,DATA_ASSET_CLASSIFICATION!$A$8:$A$24,0)),"Review"))</f>
        <v>The Creek, Port Moody</v>
      </c>
      <c r="N4730" s="350" t="str">
        <f>IF($B4730="Portfolio","Portfolio",IFERROR(INDEX(DATA_ASSET_CLASSIFICATION!$U$8:$U$24,MATCH($C4730,DATA_ASSET_CLASSIFICATION!$A$8:$A$24,0)),"Review"))</f>
        <v>New Build</v>
      </c>
      <c r="O4730" s="350" t="str">
        <f>IF($B4730="Portfolio","Portfolio",IFERROR(INDEX(DATA_ASSET_CLASSIFICATION!$AB$8:$AB$13,MATCH($N4730,DATA_ASSET_CLASSIFICATION!$AA$8:$AA$13,0)),"Review"))</f>
        <v>Bucket 1 · New Build</v>
      </c>
      <c r="P4730" s="350" t="str">
        <f>IF($B4730="Portfolio","Portfolio",IFERROR(INDEX(DATA_ASSET_CLASSIFICATION!$C$8:$C$24,MATCH($C4730,DATA_ASSET_CLASSIFICATION!$A$8:$A$24,0)),"Review"))</f>
        <v>Yes</v>
      </c>
      <c r="Q4730" s="350" t="str">
        <f t="shared" ca="1" si="147"/>
        <v>OK</v>
      </c>
    </row>
    <row r="4731" spans="1:17" ht="30">
      <c r="A4731" s="366" t="s">
        <v>6687</v>
      </c>
      <c r="B4731" s="366" t="s">
        <v>231</v>
      </c>
      <c r="C4731" s="348" t="str">
        <f>DATA_PROPERTY_MASTER!$A$20</f>
        <v>BLD_PM</v>
      </c>
      <c r="D4731" s="380">
        <f>'00_PORTFOLIO ROLLUP'!K$12</f>
        <v>2031</v>
      </c>
      <c r="E4731" s="366" t="s">
        <v>1683</v>
      </c>
      <c r="F4731" s="366" t="s">
        <v>341</v>
      </c>
      <c r="G4731" s="348" t="str">
        <f>"'"&amp;$C4731&amp;"'!$E$24:$Y$24"</f>
        <v>'BLD_PM'!$E$24:$Y$24</v>
      </c>
      <c r="H4731" s="381">
        <f ca="1">IF(IFERROR(INDEX(DATA_PROPERTY_MASTER!$E$5:$E$21,MATCH($C4731,DATA_PROPERTY_MASTER!$A$5:$A$21,0))="Yes",FALSE),IFERROR(INDEX(INDIRECT("'"&amp;$C4731&amp;"'!$E$24:$Y$24"),1,MATCH($D4731,INDIRECT("'"&amp;$C4731&amp;"'!$E$12:$Y$12"),0)),0),0)</f>
        <v>5286474.7079604659</v>
      </c>
      <c r="I4731" s="366" t="s">
        <v>1685</v>
      </c>
      <c r="J4731" s="348" t="str">
        <f t="shared" ca="1" si="146"/>
        <v>OK</v>
      </c>
      <c r="K4731" s="366" t="s">
        <v>1686</v>
      </c>
      <c r="L4731" s="366" t="s">
        <v>2234</v>
      </c>
      <c r="M4731" s="350" t="str">
        <f>IF($B4731="Portfolio","Portfolio",IFERROR(INDEX(DATA_ASSET_CLASSIFICATION!$B$8:$B$24,MATCH($C4731,DATA_ASSET_CLASSIFICATION!$A$8:$A$24,0)),"Review"))</f>
        <v>The Creek, Port Moody</v>
      </c>
      <c r="N4731" s="350" t="str">
        <f>IF($B4731="Portfolio","Portfolio",IFERROR(INDEX(DATA_ASSET_CLASSIFICATION!$U$8:$U$24,MATCH($C4731,DATA_ASSET_CLASSIFICATION!$A$8:$A$24,0)),"Review"))</f>
        <v>New Build</v>
      </c>
      <c r="O4731" s="350" t="str">
        <f>IF($B4731="Portfolio","Portfolio",IFERROR(INDEX(DATA_ASSET_CLASSIFICATION!$AB$8:$AB$13,MATCH($N4731,DATA_ASSET_CLASSIFICATION!$AA$8:$AA$13,0)),"Review"))</f>
        <v>Bucket 1 · New Build</v>
      </c>
      <c r="P4731" s="350" t="str">
        <f>IF($B4731="Portfolio","Portfolio",IFERROR(INDEX(DATA_ASSET_CLASSIFICATION!$C$8:$C$24,MATCH($C4731,DATA_ASSET_CLASSIFICATION!$A$8:$A$24,0)),"Review"))</f>
        <v>Yes</v>
      </c>
      <c r="Q4731" s="350" t="str">
        <f t="shared" ca="1" si="147"/>
        <v>OK</v>
      </c>
    </row>
    <row r="4732" spans="1:17" ht="30">
      <c r="A4732" s="366" t="s">
        <v>6688</v>
      </c>
      <c r="B4732" s="366" t="s">
        <v>231</v>
      </c>
      <c r="C4732" s="348" t="str">
        <f>DATA_PROPERTY_MASTER!$A$20</f>
        <v>BLD_PM</v>
      </c>
      <c r="D4732" s="380">
        <f>'00_PORTFOLIO ROLLUP'!K$12</f>
        <v>2031</v>
      </c>
      <c r="E4732" s="366" t="s">
        <v>1683</v>
      </c>
      <c r="F4732" s="366" t="s">
        <v>355</v>
      </c>
      <c r="G4732" s="348" t="str">
        <f>"'"&amp;$C4732&amp;"'!$E$39:$Y$39"</f>
        <v>'BLD_PM'!$E$39:$Y$39</v>
      </c>
      <c r="H4732" s="381">
        <f ca="1">IF(IFERROR(INDEX(DATA_PROPERTY_MASTER!$E$5:$E$21,MATCH($C4732,DATA_PROPERTY_MASTER!$A$5:$A$21,0))="Yes",FALSE),IFERROR(INDEX(INDIRECT("'"&amp;$C4732&amp;"'!$E$39:$Y$39"),1,MATCH($D4732,INDIRECT("'"&amp;$C4732&amp;"'!$E$12:$Y$12"),0)),0),0)</f>
        <v>223202.27486269447</v>
      </c>
      <c r="I4732" s="366" t="s">
        <v>1690</v>
      </c>
      <c r="J4732" s="348" t="str">
        <f t="shared" ca="1" si="146"/>
        <v>OK</v>
      </c>
      <c r="K4732" s="366" t="s">
        <v>1686</v>
      </c>
      <c r="L4732" s="366" t="s">
        <v>2236</v>
      </c>
      <c r="M4732" s="350" t="str">
        <f>IF($B4732="Portfolio","Portfolio",IFERROR(INDEX(DATA_ASSET_CLASSIFICATION!$B$8:$B$24,MATCH($C4732,DATA_ASSET_CLASSIFICATION!$A$8:$A$24,0)),"Review"))</f>
        <v>The Creek, Port Moody</v>
      </c>
      <c r="N4732" s="350" t="str">
        <f>IF($B4732="Portfolio","Portfolio",IFERROR(INDEX(DATA_ASSET_CLASSIFICATION!$U$8:$U$24,MATCH($C4732,DATA_ASSET_CLASSIFICATION!$A$8:$A$24,0)),"Review"))</f>
        <v>New Build</v>
      </c>
      <c r="O4732" s="350" t="str">
        <f>IF($B4732="Portfolio","Portfolio",IFERROR(INDEX(DATA_ASSET_CLASSIFICATION!$AB$8:$AB$13,MATCH($N4732,DATA_ASSET_CLASSIFICATION!$AA$8:$AA$13,0)),"Review"))</f>
        <v>Bucket 1 · New Build</v>
      </c>
      <c r="P4732" s="350" t="str">
        <f>IF($B4732="Portfolio","Portfolio",IFERROR(INDEX(DATA_ASSET_CLASSIFICATION!$C$8:$C$24,MATCH($C4732,DATA_ASSET_CLASSIFICATION!$A$8:$A$24,0)),"Review"))</f>
        <v>Yes</v>
      </c>
      <c r="Q4732" s="350" t="str">
        <f t="shared" ca="1" si="147"/>
        <v>OK</v>
      </c>
    </row>
    <row r="4733" spans="1:17" ht="30">
      <c r="A4733" s="366" t="s">
        <v>6689</v>
      </c>
      <c r="B4733" s="366" t="s">
        <v>231</v>
      </c>
      <c r="C4733" s="348" t="str">
        <f>DATA_PROPERTY_MASTER!$A$20</f>
        <v>BLD_PM</v>
      </c>
      <c r="D4733" s="380">
        <f>'00_PORTFOLIO ROLLUP'!K$12</f>
        <v>2031</v>
      </c>
      <c r="E4733" s="366" t="s">
        <v>1683</v>
      </c>
      <c r="F4733" s="366" t="s">
        <v>19</v>
      </c>
      <c r="G4733" s="348" t="str">
        <f>"'"&amp;$C4733&amp;"'!$E$41:$Y$41"</f>
        <v>'BLD_PM'!$E$41:$Y$41</v>
      </c>
      <c r="H4733" s="381">
        <f ca="1">IF(IFERROR(INDEX(DATA_PROPERTY_MASTER!$E$5:$E$21,MATCH($C4733,DATA_PROPERTY_MASTER!$A$5:$A$21,0))="Yes",FALSE),IFERROR(INDEX(INDIRECT("'"&amp;$C4733&amp;"'!$E$41:$Y$41"),1,MATCH($D4733,INDIRECT("'"&amp;$C4733&amp;"'!$E$12:$Y$12"),0)),0),0)</f>
        <v>5063272.4330977714</v>
      </c>
      <c r="I4733" s="366" t="s">
        <v>1685</v>
      </c>
      <c r="J4733" s="348" t="str">
        <f t="shared" ca="1" si="146"/>
        <v>OK</v>
      </c>
      <c r="K4733" s="366" t="s">
        <v>1694</v>
      </c>
      <c r="L4733" s="366" t="s">
        <v>2238</v>
      </c>
      <c r="M4733" s="350" t="str">
        <f>IF($B4733="Portfolio","Portfolio",IFERROR(INDEX(DATA_ASSET_CLASSIFICATION!$B$8:$B$24,MATCH($C4733,DATA_ASSET_CLASSIFICATION!$A$8:$A$24,0)),"Review"))</f>
        <v>The Creek, Port Moody</v>
      </c>
      <c r="N4733" s="350" t="str">
        <f>IF($B4733="Portfolio","Portfolio",IFERROR(INDEX(DATA_ASSET_CLASSIFICATION!$U$8:$U$24,MATCH($C4733,DATA_ASSET_CLASSIFICATION!$A$8:$A$24,0)),"Review"))</f>
        <v>New Build</v>
      </c>
      <c r="O4733" s="350" t="str">
        <f>IF($B4733="Portfolio","Portfolio",IFERROR(INDEX(DATA_ASSET_CLASSIFICATION!$AB$8:$AB$13,MATCH($N4733,DATA_ASSET_CLASSIFICATION!$AA$8:$AA$13,0)),"Review"))</f>
        <v>Bucket 1 · New Build</v>
      </c>
      <c r="P4733" s="350" t="str">
        <f>IF($B4733="Portfolio","Portfolio",IFERROR(INDEX(DATA_ASSET_CLASSIFICATION!$C$8:$C$24,MATCH($C4733,DATA_ASSET_CLASSIFICATION!$A$8:$A$24,0)),"Review"))</f>
        <v>Yes</v>
      </c>
      <c r="Q4733" s="350" t="str">
        <f t="shared" ca="1" si="147"/>
        <v>OK</v>
      </c>
    </row>
    <row r="4734" spans="1:17" ht="30">
      <c r="A4734" s="366" t="s">
        <v>6690</v>
      </c>
      <c r="B4734" s="366" t="s">
        <v>231</v>
      </c>
      <c r="C4734" s="348" t="str">
        <f>DATA_PROPERTY_MASTER!$A$20</f>
        <v>BLD_PM</v>
      </c>
      <c r="D4734" s="380">
        <f>'00_PORTFOLIO ROLLUP'!K$12</f>
        <v>2031</v>
      </c>
      <c r="E4734" s="366" t="s">
        <v>1683</v>
      </c>
      <c r="F4734" s="366" t="s">
        <v>1697</v>
      </c>
      <c r="G4734" s="348" t="str">
        <f>"'"&amp;$C4734&amp;"'!$E$44:$Y$44"</f>
        <v>'BLD_PM'!$E$44:$Y$44</v>
      </c>
      <c r="H4734" s="381">
        <f ca="1">IF(IFERROR(INDEX(DATA_PROPERTY_MASTER!$E$5:$E$21,MATCH($C4734,DATA_PROPERTY_MASTER!$A$5:$A$21,0))="Yes",FALSE),IFERROR(INDEX(INDIRECT("'"&amp;$C4734&amp;"'!$E$44:$Y$44"),1,MATCH($D4734,INDIRECT("'"&amp;$C4734&amp;"'!$E$12:$Y$12"),0)),0),0)</f>
        <v>55407.191027788802</v>
      </c>
      <c r="I4734" s="366" t="s">
        <v>1690</v>
      </c>
      <c r="J4734" s="348" t="str">
        <f t="shared" ca="1" si="146"/>
        <v>OK</v>
      </c>
      <c r="K4734" s="366" t="s">
        <v>1699</v>
      </c>
      <c r="L4734" s="366" t="s">
        <v>2240</v>
      </c>
      <c r="M4734" s="350" t="str">
        <f>IF($B4734="Portfolio","Portfolio",IFERROR(INDEX(DATA_ASSET_CLASSIFICATION!$B$8:$B$24,MATCH($C4734,DATA_ASSET_CLASSIFICATION!$A$8:$A$24,0)),"Review"))</f>
        <v>The Creek, Port Moody</v>
      </c>
      <c r="N4734" s="350" t="str">
        <f>IF($B4734="Portfolio","Portfolio",IFERROR(INDEX(DATA_ASSET_CLASSIFICATION!$U$8:$U$24,MATCH($C4734,DATA_ASSET_CLASSIFICATION!$A$8:$A$24,0)),"Review"))</f>
        <v>New Build</v>
      </c>
      <c r="O4734" s="350" t="str">
        <f>IF($B4734="Portfolio","Portfolio",IFERROR(INDEX(DATA_ASSET_CLASSIFICATION!$AB$8:$AB$13,MATCH($N4734,DATA_ASSET_CLASSIFICATION!$AA$8:$AA$13,0)),"Review"))</f>
        <v>Bucket 1 · New Build</v>
      </c>
      <c r="P4734" s="350" t="str">
        <f>IF($B4734="Portfolio","Portfolio",IFERROR(INDEX(DATA_ASSET_CLASSIFICATION!$C$8:$C$24,MATCH($C4734,DATA_ASSET_CLASSIFICATION!$A$8:$A$24,0)),"Review"))</f>
        <v>Yes</v>
      </c>
      <c r="Q4734" s="350" t="str">
        <f t="shared" ca="1" si="147"/>
        <v>OK</v>
      </c>
    </row>
    <row r="4735" spans="1:17" ht="30">
      <c r="A4735" s="366" t="s">
        <v>6691</v>
      </c>
      <c r="B4735" s="366" t="s">
        <v>231</v>
      </c>
      <c r="C4735" s="348" t="str">
        <f>DATA_PROPERTY_MASTER!$A$20</f>
        <v>BLD_PM</v>
      </c>
      <c r="D4735" s="380">
        <f>'00_PORTFOLIO ROLLUP'!K$12</f>
        <v>2031</v>
      </c>
      <c r="E4735" s="366" t="s">
        <v>1683</v>
      </c>
      <c r="F4735" s="366" t="s">
        <v>21</v>
      </c>
      <c r="G4735" s="348" t="str">
        <f>"'"&amp;$C4735&amp;"'!$E$45:$Y$45"</f>
        <v>'BLD_PM'!$E$45:$Y$45</v>
      </c>
      <c r="H4735" s="381">
        <f ca="1">IF(IFERROR(INDEX(DATA_PROPERTY_MASTER!$E$5:$E$21,MATCH($C4735,DATA_PROPERTY_MASTER!$A$5:$A$21,0))="Yes",FALSE),IFERROR(INDEX(INDIRECT("'"&amp;$C4735&amp;"'!$E$45:$Y$45"),1,MATCH($D4735,INDIRECT("'"&amp;$C4735&amp;"'!$E$12:$Y$12"),0)),0),0)</f>
        <v>5007865.2420699829</v>
      </c>
      <c r="I4735" s="366" t="s">
        <v>1685</v>
      </c>
      <c r="J4735" s="348" t="str">
        <f t="shared" ca="1" si="146"/>
        <v>OK</v>
      </c>
      <c r="K4735" s="366" t="s">
        <v>1694</v>
      </c>
      <c r="L4735" s="366" t="s">
        <v>2242</v>
      </c>
      <c r="M4735" s="350" t="str">
        <f>IF($B4735="Portfolio","Portfolio",IFERROR(INDEX(DATA_ASSET_CLASSIFICATION!$B$8:$B$24,MATCH($C4735,DATA_ASSET_CLASSIFICATION!$A$8:$A$24,0)),"Review"))</f>
        <v>The Creek, Port Moody</v>
      </c>
      <c r="N4735" s="350" t="str">
        <f>IF($B4735="Portfolio","Portfolio",IFERROR(INDEX(DATA_ASSET_CLASSIFICATION!$U$8:$U$24,MATCH($C4735,DATA_ASSET_CLASSIFICATION!$A$8:$A$24,0)),"Review"))</f>
        <v>New Build</v>
      </c>
      <c r="O4735" s="350" t="str">
        <f>IF($B4735="Portfolio","Portfolio",IFERROR(INDEX(DATA_ASSET_CLASSIFICATION!$AB$8:$AB$13,MATCH($N4735,DATA_ASSET_CLASSIFICATION!$AA$8:$AA$13,0)),"Review"))</f>
        <v>Bucket 1 · New Build</v>
      </c>
      <c r="P4735" s="350" t="str">
        <f>IF($B4735="Portfolio","Portfolio",IFERROR(INDEX(DATA_ASSET_CLASSIFICATION!$C$8:$C$24,MATCH($C4735,DATA_ASSET_CLASSIFICATION!$A$8:$A$24,0)),"Review"))</f>
        <v>Yes</v>
      </c>
      <c r="Q4735" s="350" t="str">
        <f t="shared" ca="1" si="147"/>
        <v>OK</v>
      </c>
    </row>
    <row r="4736" spans="1:17" ht="30">
      <c r="A4736" s="366" t="s">
        <v>6692</v>
      </c>
      <c r="B4736" s="366" t="s">
        <v>231</v>
      </c>
      <c r="C4736" s="348" t="str">
        <f>DATA_PROPERTY_MASTER!$A$20</f>
        <v>BLD_PM</v>
      </c>
      <c r="D4736" s="380">
        <f>'00_PORTFOLIO ROLLUP'!K$12</f>
        <v>2031</v>
      </c>
      <c r="E4736" s="366" t="s">
        <v>23</v>
      </c>
      <c r="F4736" s="366" t="s">
        <v>23</v>
      </c>
      <c r="G4736" s="348" t="str">
        <f>"'"&amp;$C4736&amp;"'!$E$48:$Y$48"</f>
        <v>'BLD_PM'!$E$48:$Y$48</v>
      </c>
      <c r="H4736" s="381">
        <f ca="1">IF(IFERROR(INDEX(DATA_PROPERTY_MASTER!$E$5:$E$21,MATCH($C4736,DATA_PROPERTY_MASTER!$A$5:$A$21,0))="Yes",FALSE),IFERROR(INDEX(INDIRECT("'"&amp;$C4736&amp;"'!$E$48:$Y$48"),1,MATCH($D4736,INDIRECT("'"&amp;$C4736&amp;"'!$E$12:$Y$12"),0)),0),0)</f>
        <v>3116973.3868276179</v>
      </c>
      <c r="I4736" s="366" t="s">
        <v>1690</v>
      </c>
      <c r="J4736" s="348" t="str">
        <f t="shared" ca="1" si="146"/>
        <v>OK</v>
      </c>
      <c r="K4736" s="366" t="s">
        <v>1706</v>
      </c>
      <c r="L4736" s="366" t="s">
        <v>2244</v>
      </c>
      <c r="M4736" s="350" t="str">
        <f>IF($B4736="Portfolio","Portfolio",IFERROR(INDEX(DATA_ASSET_CLASSIFICATION!$B$8:$B$24,MATCH($C4736,DATA_ASSET_CLASSIFICATION!$A$8:$A$24,0)),"Review"))</f>
        <v>The Creek, Port Moody</v>
      </c>
      <c r="N4736" s="350" t="str">
        <f>IF($B4736="Portfolio","Portfolio",IFERROR(INDEX(DATA_ASSET_CLASSIFICATION!$U$8:$U$24,MATCH($C4736,DATA_ASSET_CLASSIFICATION!$A$8:$A$24,0)),"Review"))</f>
        <v>New Build</v>
      </c>
      <c r="O4736" s="350" t="str">
        <f>IF($B4736="Portfolio","Portfolio",IFERROR(INDEX(DATA_ASSET_CLASSIFICATION!$AB$8:$AB$13,MATCH($N4736,DATA_ASSET_CLASSIFICATION!$AA$8:$AA$13,0)),"Review"))</f>
        <v>Bucket 1 · New Build</v>
      </c>
      <c r="P4736" s="350" t="str">
        <f>IF($B4736="Portfolio","Portfolio",IFERROR(INDEX(DATA_ASSET_CLASSIFICATION!$C$8:$C$24,MATCH($C4736,DATA_ASSET_CLASSIFICATION!$A$8:$A$24,0)),"Review"))</f>
        <v>Yes</v>
      </c>
      <c r="Q4736" s="350" t="str">
        <f t="shared" ca="1" si="147"/>
        <v>OK</v>
      </c>
    </row>
    <row r="4737" spans="1:17" ht="30">
      <c r="A4737" s="366" t="s">
        <v>6693</v>
      </c>
      <c r="B4737" s="366" t="s">
        <v>231</v>
      </c>
      <c r="C4737" s="348" t="str">
        <f>DATA_PROPERTY_MASTER!$A$20</f>
        <v>BLD_PM</v>
      </c>
      <c r="D4737" s="380">
        <f>'00_PORTFOLIO ROLLUP'!K$12</f>
        <v>2031</v>
      </c>
      <c r="E4737" s="366" t="s">
        <v>1683</v>
      </c>
      <c r="F4737" s="366" t="s">
        <v>25</v>
      </c>
      <c r="G4737" s="348" t="str">
        <f>"'"&amp;$C4737&amp;"'!$E$52:$Y$52"</f>
        <v>'BLD_PM'!$E$52:$Y$52</v>
      </c>
      <c r="H4737" s="381">
        <f ca="1">IF(IFERROR(INDEX(DATA_PROPERTY_MASTER!$E$5:$E$21,MATCH($C4737,DATA_PROPERTY_MASTER!$A$5:$A$21,0))="Yes",FALSE),IFERROR(INDEX(INDIRECT("'"&amp;$C4737&amp;"'!$E$52:$Y$52"),1,MATCH($D4737,INDIRECT("'"&amp;$C4737&amp;"'!$E$12:$Y$12"),0)),0),0)</f>
        <v>1946299.0462701535</v>
      </c>
      <c r="I4737" s="366" t="s">
        <v>1685</v>
      </c>
      <c r="J4737" s="348" t="str">
        <f t="shared" ca="1" si="146"/>
        <v>OK</v>
      </c>
      <c r="K4737" s="366" t="s">
        <v>1710</v>
      </c>
      <c r="L4737" s="366" t="s">
        <v>2246</v>
      </c>
      <c r="M4737" s="350" t="str">
        <f>IF($B4737="Portfolio","Portfolio",IFERROR(INDEX(DATA_ASSET_CLASSIFICATION!$B$8:$B$24,MATCH($C4737,DATA_ASSET_CLASSIFICATION!$A$8:$A$24,0)),"Review"))</f>
        <v>The Creek, Port Moody</v>
      </c>
      <c r="N4737" s="350" t="str">
        <f>IF($B4737="Portfolio","Portfolio",IFERROR(INDEX(DATA_ASSET_CLASSIFICATION!$U$8:$U$24,MATCH($C4737,DATA_ASSET_CLASSIFICATION!$A$8:$A$24,0)),"Review"))</f>
        <v>New Build</v>
      </c>
      <c r="O4737" s="350" t="str">
        <f>IF($B4737="Portfolio","Portfolio",IFERROR(INDEX(DATA_ASSET_CLASSIFICATION!$AB$8:$AB$13,MATCH($N4737,DATA_ASSET_CLASSIFICATION!$AA$8:$AA$13,0)),"Review"))</f>
        <v>Bucket 1 · New Build</v>
      </c>
      <c r="P4737" s="350" t="str">
        <f>IF($B4737="Portfolio","Portfolio",IFERROR(INDEX(DATA_ASSET_CLASSIFICATION!$C$8:$C$24,MATCH($C4737,DATA_ASSET_CLASSIFICATION!$A$8:$A$24,0)),"Review"))</f>
        <v>Yes</v>
      </c>
      <c r="Q4737" s="350" t="str">
        <f t="shared" ca="1" si="147"/>
        <v>OK</v>
      </c>
    </row>
    <row r="4738" spans="1:17" ht="30">
      <c r="A4738" s="366" t="s">
        <v>6694</v>
      </c>
      <c r="B4738" s="366" t="s">
        <v>231</v>
      </c>
      <c r="C4738" s="348" t="str">
        <f>DATA_PROPERTY_MASTER!$A$20</f>
        <v>BLD_PM</v>
      </c>
      <c r="D4738" s="380">
        <f>'00_PORTFOLIO ROLLUP'!K$12</f>
        <v>2031</v>
      </c>
      <c r="E4738" s="366" t="s">
        <v>1683</v>
      </c>
      <c r="F4738" s="366" t="s">
        <v>27</v>
      </c>
      <c r="G4738" s="348" t="str">
        <f>"'"&amp;$C4738&amp;"'!$E$54:$Y$54"</f>
        <v>'BLD_PM'!$E$54:$Y$54</v>
      </c>
      <c r="H4738" s="381">
        <f ca="1">IF(IFERROR(INDEX(DATA_PROPERTY_MASTER!$E$5:$E$21,MATCH($C4738,DATA_PROPERTY_MASTER!$A$5:$A$21,0))="Yes",FALSE),IFERROR(INDEX(INDIRECT("'"&amp;$C4738&amp;"'!$E$54:$Y$54"),1,MATCH($D4738,INDIRECT("'"&amp;$C4738&amp;"'!$E$12:$Y$12"),0)),0),0)</f>
        <v>1167779.4277620921</v>
      </c>
      <c r="I4738" s="366" t="s">
        <v>1690</v>
      </c>
      <c r="J4738" s="348" t="str">
        <f t="shared" ca="1" si="146"/>
        <v>OK</v>
      </c>
      <c r="K4738" s="366" t="s">
        <v>1714</v>
      </c>
      <c r="L4738" s="366" t="s">
        <v>2248</v>
      </c>
      <c r="M4738" s="350" t="str">
        <f>IF($B4738="Portfolio","Portfolio",IFERROR(INDEX(DATA_ASSET_CLASSIFICATION!$B$8:$B$24,MATCH($C4738,DATA_ASSET_CLASSIFICATION!$A$8:$A$24,0)),"Review"))</f>
        <v>The Creek, Port Moody</v>
      </c>
      <c r="N4738" s="350" t="str">
        <f>IF($B4738="Portfolio","Portfolio",IFERROR(INDEX(DATA_ASSET_CLASSIFICATION!$U$8:$U$24,MATCH($C4738,DATA_ASSET_CLASSIFICATION!$A$8:$A$24,0)),"Review"))</f>
        <v>New Build</v>
      </c>
      <c r="O4738" s="350" t="str">
        <f>IF($B4738="Portfolio","Portfolio",IFERROR(INDEX(DATA_ASSET_CLASSIFICATION!$AB$8:$AB$13,MATCH($N4738,DATA_ASSET_CLASSIFICATION!$AA$8:$AA$13,0)),"Review"))</f>
        <v>Bucket 1 · New Build</v>
      </c>
      <c r="P4738" s="350" t="str">
        <f>IF($B4738="Portfolio","Portfolio",IFERROR(INDEX(DATA_ASSET_CLASSIFICATION!$C$8:$C$24,MATCH($C4738,DATA_ASSET_CLASSIFICATION!$A$8:$A$24,0)),"Review"))</f>
        <v>Yes</v>
      </c>
      <c r="Q4738" s="350" t="str">
        <f t="shared" ca="1" si="147"/>
        <v>OK</v>
      </c>
    </row>
    <row r="4739" spans="1:17" ht="30">
      <c r="A4739" s="366" t="s">
        <v>6695</v>
      </c>
      <c r="B4739" s="366" t="s">
        <v>231</v>
      </c>
      <c r="C4739" s="348" t="str">
        <f>DATA_PROPERTY_MASTER!$A$20</f>
        <v>BLD_PM</v>
      </c>
      <c r="D4739" s="380">
        <f>'00_PORTFOLIO ROLLUP'!K$12</f>
        <v>2031</v>
      </c>
      <c r="E4739" s="366" t="s">
        <v>1683</v>
      </c>
      <c r="F4739" s="366" t="s">
        <v>29</v>
      </c>
      <c r="G4739" s="348" t="str">
        <f>"'"&amp;$C4739&amp;"'!$E$56:$Y$56"</f>
        <v>'BLD_PM'!$E$56:$Y$56</v>
      </c>
      <c r="H4739" s="381">
        <f ca="1">IF(IFERROR(INDEX(DATA_PROPERTY_MASTER!$E$5:$E$21,MATCH($C4739,DATA_PROPERTY_MASTER!$A$5:$A$21,0))="Yes",FALSE),IFERROR(INDEX(INDIRECT("'"&amp;$C4739&amp;"'!$E$56:$Y$56"),1,MATCH($D4739,INDIRECT("'"&amp;$C4739&amp;"'!$E$12:$Y$12"),0)),0),0)</f>
        <v>778519.61850806139</v>
      </c>
      <c r="I4739" s="366" t="s">
        <v>1685</v>
      </c>
      <c r="J4739" s="348" t="str">
        <f t="shared" ca="1" si="146"/>
        <v>OK</v>
      </c>
      <c r="K4739" s="366" t="s">
        <v>1718</v>
      </c>
      <c r="L4739" s="366" t="s">
        <v>2250</v>
      </c>
      <c r="M4739" s="350" t="str">
        <f>IF($B4739="Portfolio","Portfolio",IFERROR(INDEX(DATA_ASSET_CLASSIFICATION!$B$8:$B$24,MATCH($C4739,DATA_ASSET_CLASSIFICATION!$A$8:$A$24,0)),"Review"))</f>
        <v>The Creek, Port Moody</v>
      </c>
      <c r="N4739" s="350" t="str">
        <f>IF($B4739="Portfolio","Portfolio",IFERROR(INDEX(DATA_ASSET_CLASSIFICATION!$U$8:$U$24,MATCH($C4739,DATA_ASSET_CLASSIFICATION!$A$8:$A$24,0)),"Review"))</f>
        <v>New Build</v>
      </c>
      <c r="O4739" s="350" t="str">
        <f>IF($B4739="Portfolio","Portfolio",IFERROR(INDEX(DATA_ASSET_CLASSIFICATION!$AB$8:$AB$13,MATCH($N4739,DATA_ASSET_CLASSIFICATION!$AA$8:$AA$13,0)),"Review"))</f>
        <v>Bucket 1 · New Build</v>
      </c>
      <c r="P4739" s="350" t="str">
        <f>IF($B4739="Portfolio","Portfolio",IFERROR(INDEX(DATA_ASSET_CLASSIFICATION!$C$8:$C$24,MATCH($C4739,DATA_ASSET_CLASSIFICATION!$A$8:$A$24,0)),"Review"))</f>
        <v>Yes</v>
      </c>
      <c r="Q4739" s="350" t="str">
        <f t="shared" ca="1" si="147"/>
        <v>OK</v>
      </c>
    </row>
    <row r="4740" spans="1:17" ht="30">
      <c r="A4740" s="366" t="s">
        <v>6696</v>
      </c>
      <c r="B4740" s="366" t="s">
        <v>231</v>
      </c>
      <c r="C4740" s="348" t="str">
        <f>DATA_PROPERTY_MASTER!$A$20</f>
        <v>BLD_PM</v>
      </c>
      <c r="D4740" s="380">
        <f>'00_PORTFOLIO ROLLUP'!K$12</f>
        <v>2031</v>
      </c>
      <c r="E4740" s="366" t="s">
        <v>1721</v>
      </c>
      <c r="F4740" s="366" t="s">
        <v>31</v>
      </c>
      <c r="G4740" s="348" t="str">
        <f>"'"&amp;$C4740&amp;"'!$E$61:$Y$61"</f>
        <v>'BLD_PM'!$E$61:$Y$61</v>
      </c>
      <c r="H4740" s="381">
        <f ca="1">IF(IFERROR(INDEX(DATA_PROPERTY_MASTER!$E$5:$E$21,MATCH($C4740,DATA_PROPERTY_MASTER!$A$5:$A$21,0))="Yes",FALSE),IFERROR(INDEX(INDIRECT("'"&amp;$C4740&amp;"'!$E$61:$Y$61"),1,MATCH($D4740,INDIRECT("'"&amp;$C4740&amp;"'!$E$12:$Y$12"),0)),0),0)</f>
        <v>0</v>
      </c>
      <c r="I4740" s="366" t="s">
        <v>1690</v>
      </c>
      <c r="J4740" s="348" t="str">
        <f t="shared" ca="1" si="146"/>
        <v>OK</v>
      </c>
      <c r="K4740" s="366" t="s">
        <v>1723</v>
      </c>
      <c r="L4740" s="366" t="s">
        <v>2252</v>
      </c>
      <c r="M4740" s="350" t="str">
        <f>IF($B4740="Portfolio","Portfolio",IFERROR(INDEX(DATA_ASSET_CLASSIFICATION!$B$8:$B$24,MATCH($C4740,DATA_ASSET_CLASSIFICATION!$A$8:$A$24,0)),"Review"))</f>
        <v>The Creek, Port Moody</v>
      </c>
      <c r="N4740" s="350" t="str">
        <f>IF($B4740="Portfolio","Portfolio",IFERROR(INDEX(DATA_ASSET_CLASSIFICATION!$U$8:$U$24,MATCH($C4740,DATA_ASSET_CLASSIFICATION!$A$8:$A$24,0)),"Review"))</f>
        <v>New Build</v>
      </c>
      <c r="O4740" s="350" t="str">
        <f>IF($B4740="Portfolio","Portfolio",IFERROR(INDEX(DATA_ASSET_CLASSIFICATION!$AB$8:$AB$13,MATCH($N4740,DATA_ASSET_CLASSIFICATION!$AA$8:$AA$13,0)),"Review"))</f>
        <v>Bucket 1 · New Build</v>
      </c>
      <c r="P4740" s="350" t="str">
        <f>IF($B4740="Portfolio","Portfolio",IFERROR(INDEX(DATA_ASSET_CLASSIFICATION!$C$8:$C$24,MATCH($C4740,DATA_ASSET_CLASSIFICATION!$A$8:$A$24,0)),"Review"))</f>
        <v>Yes</v>
      </c>
      <c r="Q4740" s="350" t="str">
        <f t="shared" ca="1" si="147"/>
        <v>OK</v>
      </c>
    </row>
    <row r="4741" spans="1:17" ht="30">
      <c r="A4741" s="366" t="s">
        <v>6697</v>
      </c>
      <c r="B4741" s="366" t="s">
        <v>231</v>
      </c>
      <c r="C4741" s="348" t="str">
        <f>DATA_PROPERTY_MASTER!$A$20</f>
        <v>BLD_PM</v>
      </c>
      <c r="D4741" s="380">
        <f>'00_PORTFOLIO ROLLUP'!K$12</f>
        <v>2031</v>
      </c>
      <c r="E4741" s="366" t="s">
        <v>1721</v>
      </c>
      <c r="F4741" s="366" t="s">
        <v>33</v>
      </c>
      <c r="G4741" s="348" t="str">
        <f>"'"&amp;$C4741&amp;"'!$E$62:$Y$62"</f>
        <v>'BLD_PM'!$E$62:$Y$62</v>
      </c>
      <c r="H4741" s="381">
        <f ca="1">IF(IFERROR(INDEX(DATA_PROPERTY_MASTER!$E$5:$E$21,MATCH($C4741,DATA_PROPERTY_MASTER!$A$5:$A$21,0))="Yes",FALSE),IFERROR(INDEX(INDIRECT("'"&amp;$C4741&amp;"'!$E$62:$Y$62"),1,MATCH($D4741,INDIRECT("'"&amp;$C4741&amp;"'!$E$12:$Y$12"),0)),0),0)</f>
        <v>0</v>
      </c>
      <c r="I4741" s="366" t="s">
        <v>1685</v>
      </c>
      <c r="J4741" s="348" t="str">
        <f t="shared" ref="J4741:J4804" ca="1" si="148">IF($F4741="Residual Funding Gap",IF($H4741&gt;0,"Funding Gap","OK"),IF(AND($F4741="Net Refinance Position",$H4741&lt;0),"Negative net refi position","OK"))</f>
        <v>OK</v>
      </c>
      <c r="K4741" s="366" t="s">
        <v>1727</v>
      </c>
      <c r="L4741" s="366" t="s">
        <v>2254</v>
      </c>
      <c r="M4741" s="350" t="str">
        <f>IF($B4741="Portfolio","Portfolio",IFERROR(INDEX(DATA_ASSET_CLASSIFICATION!$B$8:$B$24,MATCH($C4741,DATA_ASSET_CLASSIFICATION!$A$8:$A$24,0)),"Review"))</f>
        <v>The Creek, Port Moody</v>
      </c>
      <c r="N4741" s="350" t="str">
        <f>IF($B4741="Portfolio","Portfolio",IFERROR(INDEX(DATA_ASSET_CLASSIFICATION!$U$8:$U$24,MATCH($C4741,DATA_ASSET_CLASSIFICATION!$A$8:$A$24,0)),"Review"))</f>
        <v>New Build</v>
      </c>
      <c r="O4741" s="350" t="str">
        <f>IF($B4741="Portfolio","Portfolio",IFERROR(INDEX(DATA_ASSET_CLASSIFICATION!$AB$8:$AB$13,MATCH($N4741,DATA_ASSET_CLASSIFICATION!$AA$8:$AA$13,0)),"Review"))</f>
        <v>Bucket 1 · New Build</v>
      </c>
      <c r="P4741" s="350" t="str">
        <f>IF($B4741="Portfolio","Portfolio",IFERROR(INDEX(DATA_ASSET_CLASSIFICATION!$C$8:$C$24,MATCH($C4741,DATA_ASSET_CLASSIFICATION!$A$8:$A$24,0)),"Review"))</f>
        <v>Yes</v>
      </c>
      <c r="Q4741" s="350" t="str">
        <f t="shared" ref="Q4741:Q4804" ca="1" si="149">IF(AND($B4741="Property",$F4741="Residual Funding Gap",$H4741&gt;0),"Property Funding Gap",IF($J4741&lt;&gt;"OK",$J4741,"OK"))</f>
        <v>OK</v>
      </c>
    </row>
    <row r="4742" spans="1:17" ht="30">
      <c r="A4742" s="366" t="s">
        <v>6698</v>
      </c>
      <c r="B4742" s="366" t="s">
        <v>231</v>
      </c>
      <c r="C4742" s="348" t="str">
        <f>DATA_PROPERTY_MASTER!$A$20</f>
        <v>BLD_PM</v>
      </c>
      <c r="D4742" s="380">
        <f>'00_PORTFOLIO ROLLUP'!K$12</f>
        <v>2031</v>
      </c>
      <c r="E4742" s="366" t="s">
        <v>1721</v>
      </c>
      <c r="F4742" s="366" t="s">
        <v>35</v>
      </c>
      <c r="G4742" s="348" t="str">
        <f>"'"&amp;$C4742&amp;"'!$E$63:$Y$63"</f>
        <v>'BLD_PM'!$E$63:$Y$63</v>
      </c>
      <c r="H4742" s="381">
        <f ca="1">IF(IFERROR(INDEX(DATA_PROPERTY_MASTER!$E$5:$E$21,MATCH($C4742,DATA_PROPERTY_MASTER!$A$5:$A$21,0))="Yes",FALSE),IFERROR(INDEX(INDIRECT("'"&amp;$C4742&amp;"'!$E$63:$Y$63"),1,MATCH($D4742,INDIRECT("'"&amp;$C4742&amp;"'!$E$12:$Y$12"),0)),0),0)</f>
        <v>0</v>
      </c>
      <c r="I4742" s="366" t="s">
        <v>1731</v>
      </c>
      <c r="J4742" s="348" t="str">
        <f t="shared" ca="1" si="148"/>
        <v>OK</v>
      </c>
      <c r="K4742" s="366" t="s">
        <v>1732</v>
      </c>
      <c r="L4742" s="366" t="s">
        <v>2256</v>
      </c>
      <c r="M4742" s="350" t="str">
        <f>IF($B4742="Portfolio","Portfolio",IFERROR(INDEX(DATA_ASSET_CLASSIFICATION!$B$8:$B$24,MATCH($C4742,DATA_ASSET_CLASSIFICATION!$A$8:$A$24,0)),"Review"))</f>
        <v>The Creek, Port Moody</v>
      </c>
      <c r="N4742" s="350" t="str">
        <f>IF($B4742="Portfolio","Portfolio",IFERROR(INDEX(DATA_ASSET_CLASSIFICATION!$U$8:$U$24,MATCH($C4742,DATA_ASSET_CLASSIFICATION!$A$8:$A$24,0)),"Review"))</f>
        <v>New Build</v>
      </c>
      <c r="O4742" s="350" t="str">
        <f>IF($B4742="Portfolio","Portfolio",IFERROR(INDEX(DATA_ASSET_CLASSIFICATION!$AB$8:$AB$13,MATCH($N4742,DATA_ASSET_CLASSIFICATION!$AA$8:$AA$13,0)),"Review"))</f>
        <v>Bucket 1 · New Build</v>
      </c>
      <c r="P4742" s="350" t="str">
        <f>IF($B4742="Portfolio","Portfolio",IFERROR(INDEX(DATA_ASSET_CLASSIFICATION!$C$8:$C$24,MATCH($C4742,DATA_ASSET_CLASSIFICATION!$A$8:$A$24,0)),"Review"))</f>
        <v>Yes</v>
      </c>
      <c r="Q4742" s="350" t="str">
        <f t="shared" ca="1" si="149"/>
        <v>OK</v>
      </c>
    </row>
    <row r="4743" spans="1:17" ht="30">
      <c r="A4743" s="366" t="s">
        <v>6699</v>
      </c>
      <c r="B4743" s="366" t="s">
        <v>231</v>
      </c>
      <c r="C4743" s="348" t="str">
        <f>DATA_PROPERTY_MASTER!$A$20</f>
        <v>BLD_PM</v>
      </c>
      <c r="D4743" s="380">
        <f>'00_PORTFOLIO ROLLUP'!K$12</f>
        <v>2031</v>
      </c>
      <c r="E4743" s="366" t="s">
        <v>1721</v>
      </c>
      <c r="F4743" s="366" t="s">
        <v>37</v>
      </c>
      <c r="G4743" s="348" t="str">
        <f>"'"&amp;$C4743&amp;"'!$E$63:$Y$63"</f>
        <v>'BLD_PM'!$E$63:$Y$63</v>
      </c>
      <c r="H4743" s="381">
        <f ca="1">IF(IFERROR(INDEX(DATA_PROPERTY_MASTER!$E$5:$E$21,MATCH($C4743,DATA_PROPERTY_MASTER!$A$5:$A$21,0))="Yes",FALSE),MAX(IFERROR(INDEX(INDIRECT("'"&amp;$C4743&amp;"'!$E$63:$Y$63"),1,MATCH($D4743,INDIRECT("'"&amp;$C4743&amp;"'!$E$12:$Y$12"),0)),0),0),0)</f>
        <v>0</v>
      </c>
      <c r="I4743" s="366" t="s">
        <v>1685</v>
      </c>
      <c r="J4743" s="348" t="str">
        <f t="shared" ca="1" si="148"/>
        <v>OK</v>
      </c>
      <c r="K4743" s="366" t="s">
        <v>1735</v>
      </c>
      <c r="L4743" s="366" t="s">
        <v>2258</v>
      </c>
      <c r="M4743" s="350" t="str">
        <f>IF($B4743="Portfolio","Portfolio",IFERROR(INDEX(DATA_ASSET_CLASSIFICATION!$B$8:$B$24,MATCH($C4743,DATA_ASSET_CLASSIFICATION!$A$8:$A$24,0)),"Review"))</f>
        <v>The Creek, Port Moody</v>
      </c>
      <c r="N4743" s="350" t="str">
        <f>IF($B4743="Portfolio","Portfolio",IFERROR(INDEX(DATA_ASSET_CLASSIFICATION!$U$8:$U$24,MATCH($C4743,DATA_ASSET_CLASSIFICATION!$A$8:$A$24,0)),"Review"))</f>
        <v>New Build</v>
      </c>
      <c r="O4743" s="350" t="str">
        <f>IF($B4743="Portfolio","Portfolio",IFERROR(INDEX(DATA_ASSET_CLASSIFICATION!$AB$8:$AB$13,MATCH($N4743,DATA_ASSET_CLASSIFICATION!$AA$8:$AA$13,0)),"Review"))</f>
        <v>Bucket 1 · New Build</v>
      </c>
      <c r="P4743" s="350" t="str">
        <f>IF($B4743="Portfolio","Portfolio",IFERROR(INDEX(DATA_ASSET_CLASSIFICATION!$C$8:$C$24,MATCH($C4743,DATA_ASSET_CLASSIFICATION!$A$8:$A$24,0)),"Review"))</f>
        <v>Yes</v>
      </c>
      <c r="Q4743" s="350" t="str">
        <f t="shared" ca="1" si="149"/>
        <v>OK</v>
      </c>
    </row>
    <row r="4744" spans="1:17" ht="30">
      <c r="A4744" s="366" t="s">
        <v>6700</v>
      </c>
      <c r="B4744" s="366" t="s">
        <v>231</v>
      </c>
      <c r="C4744" s="348" t="str">
        <f>DATA_PROPERTY_MASTER!$A$20</f>
        <v>BLD_PM</v>
      </c>
      <c r="D4744" s="380">
        <f>'00_PORTFOLIO ROLLUP'!K$12</f>
        <v>2031</v>
      </c>
      <c r="E4744" s="366" t="s">
        <v>1721</v>
      </c>
      <c r="F4744" s="366" t="s">
        <v>39</v>
      </c>
      <c r="G4744" s="348" t="str">
        <f>"'"&amp;$C4744&amp;"'!$E$63:$Y$63"</f>
        <v>'BLD_PM'!$E$63:$Y$63</v>
      </c>
      <c r="H4744" s="381">
        <f ca="1">IF(IFERROR(INDEX(DATA_PROPERTY_MASTER!$E$5:$E$21,MATCH($C4744,DATA_PROPERTY_MASTER!$A$5:$A$21,0))="Yes",FALSE),MAX(-IFERROR(INDEX(INDIRECT("'"&amp;$C4744&amp;"'!$E$63:$Y$63"),1,MATCH($D4744,INDIRECT("'"&amp;$C4744&amp;"'!$E$12:$Y$12"),0)),0),0),0)</f>
        <v>0</v>
      </c>
      <c r="I4744" s="366" t="s">
        <v>1690</v>
      </c>
      <c r="J4744" s="348" t="str">
        <f t="shared" ca="1" si="148"/>
        <v>OK</v>
      </c>
      <c r="K4744" s="366" t="s">
        <v>1738</v>
      </c>
      <c r="L4744" s="366" t="s">
        <v>2260</v>
      </c>
      <c r="M4744" s="350" t="str">
        <f>IF($B4744="Portfolio","Portfolio",IFERROR(INDEX(DATA_ASSET_CLASSIFICATION!$B$8:$B$24,MATCH($C4744,DATA_ASSET_CLASSIFICATION!$A$8:$A$24,0)),"Review"))</f>
        <v>The Creek, Port Moody</v>
      </c>
      <c r="N4744" s="350" t="str">
        <f>IF($B4744="Portfolio","Portfolio",IFERROR(INDEX(DATA_ASSET_CLASSIFICATION!$U$8:$U$24,MATCH($C4744,DATA_ASSET_CLASSIFICATION!$A$8:$A$24,0)),"Review"))</f>
        <v>New Build</v>
      </c>
      <c r="O4744" s="350" t="str">
        <f>IF($B4744="Portfolio","Portfolio",IFERROR(INDEX(DATA_ASSET_CLASSIFICATION!$AB$8:$AB$13,MATCH($N4744,DATA_ASSET_CLASSIFICATION!$AA$8:$AA$13,0)),"Review"))</f>
        <v>Bucket 1 · New Build</v>
      </c>
      <c r="P4744" s="350" t="str">
        <f>IF($B4744="Portfolio","Portfolio",IFERROR(INDEX(DATA_ASSET_CLASSIFICATION!$C$8:$C$24,MATCH($C4744,DATA_ASSET_CLASSIFICATION!$A$8:$A$24,0)),"Review"))</f>
        <v>Yes</v>
      </c>
      <c r="Q4744" s="350" t="str">
        <f t="shared" ca="1" si="149"/>
        <v>OK</v>
      </c>
    </row>
    <row r="4745" spans="1:17" ht="30">
      <c r="A4745" s="366" t="s">
        <v>6701</v>
      </c>
      <c r="B4745" s="366" t="s">
        <v>231</v>
      </c>
      <c r="C4745" s="348" t="str">
        <f>DATA_PROPERTY_MASTER!$A$20</f>
        <v>BLD_PM</v>
      </c>
      <c r="D4745" s="380">
        <f>'00_PORTFOLIO ROLLUP'!K$12</f>
        <v>2031</v>
      </c>
      <c r="E4745" s="366" t="s">
        <v>1741</v>
      </c>
      <c r="F4745" s="366" t="s">
        <v>41</v>
      </c>
      <c r="G4745" s="348" t="str">
        <f>"'"&amp;$C4745&amp;"'!rows 56 + positive row 63"</f>
        <v>'BLD_PM'!rows 56 + positive row 63</v>
      </c>
      <c r="H4745" s="381">
        <f ca="1">IF(IFERROR(INDEX(DATA_PROPERTY_MASTER!$E$5:$E$21,MATCH($C4745,DATA_PROPERTY_MASTER!$A$5:$A$21,0))="Yes",FALSE),IFERROR(INDEX(INDIRECT("'"&amp;$C4745&amp;"'!$E$56:$Y$56"),1,MATCH($D4745,INDIRECT("'"&amp;$C4745&amp;"'!$E$12:$Y$12"),0)),0)+MAX(IFERROR(INDEX(INDIRECT("'"&amp;$C4745&amp;"'!$E$63:$Y$63"),1,MATCH($D4745,INDIRECT("'"&amp;$C4745&amp;"'!$E$12:$Y$12"),0)),0),0),0)</f>
        <v>778519.61850806139</v>
      </c>
      <c r="I4745" s="366" t="s">
        <v>1685</v>
      </c>
      <c r="J4745" s="348" t="str">
        <f t="shared" ca="1" si="148"/>
        <v>OK</v>
      </c>
      <c r="K4745" s="366" t="s">
        <v>1742</v>
      </c>
      <c r="L4745" s="366" t="s">
        <v>2262</v>
      </c>
      <c r="M4745" s="350" t="str">
        <f>IF($B4745="Portfolio","Portfolio",IFERROR(INDEX(DATA_ASSET_CLASSIFICATION!$B$8:$B$24,MATCH($C4745,DATA_ASSET_CLASSIFICATION!$A$8:$A$24,0)),"Review"))</f>
        <v>The Creek, Port Moody</v>
      </c>
      <c r="N4745" s="350" t="str">
        <f>IF($B4745="Portfolio","Portfolio",IFERROR(INDEX(DATA_ASSET_CLASSIFICATION!$U$8:$U$24,MATCH($C4745,DATA_ASSET_CLASSIFICATION!$A$8:$A$24,0)),"Review"))</f>
        <v>New Build</v>
      </c>
      <c r="O4745" s="350" t="str">
        <f>IF($B4745="Portfolio","Portfolio",IFERROR(INDEX(DATA_ASSET_CLASSIFICATION!$AB$8:$AB$13,MATCH($N4745,DATA_ASSET_CLASSIFICATION!$AA$8:$AA$13,0)),"Review"))</f>
        <v>Bucket 1 · New Build</v>
      </c>
      <c r="P4745" s="350" t="str">
        <f>IF($B4745="Portfolio","Portfolio",IFERROR(INDEX(DATA_ASSET_CLASSIFICATION!$C$8:$C$24,MATCH($C4745,DATA_ASSET_CLASSIFICATION!$A$8:$A$24,0)),"Review"))</f>
        <v>Yes</v>
      </c>
      <c r="Q4745" s="350" t="str">
        <f t="shared" ca="1" si="149"/>
        <v>OK</v>
      </c>
    </row>
    <row r="4746" spans="1:17" ht="30">
      <c r="A4746" s="366" t="s">
        <v>6702</v>
      </c>
      <c r="B4746" s="366" t="s">
        <v>231</v>
      </c>
      <c r="C4746" s="348" t="str">
        <f>DATA_PROPERTY_MASTER!$A$20</f>
        <v>BLD_PM</v>
      </c>
      <c r="D4746" s="380">
        <f>'00_PORTFOLIO ROLLUP'!K$12</f>
        <v>2031</v>
      </c>
      <c r="E4746" s="366" t="s">
        <v>1741</v>
      </c>
      <c r="F4746" s="366" t="s">
        <v>43</v>
      </c>
      <c r="G4746" s="348" t="str">
        <f>"'"&amp;$C4746&amp;"'!$E$68:$Y$68"</f>
        <v>'BLD_PM'!$E$68:$Y$68</v>
      </c>
      <c r="H4746" s="381">
        <f ca="1">IF(IFERROR(INDEX(DATA_PROPERTY_MASTER!$E$5:$E$21,MATCH($C4746,DATA_PROPERTY_MASTER!$A$5:$A$21,0))="Yes",FALSE),IFERROR(INDEX(INDIRECT("'"&amp;$C4746&amp;"'!$E$68:$Y$68"),1,MATCH($D4746,INDIRECT("'"&amp;$C4746&amp;"'!$E$12:$Y$12"),0)),0),0)</f>
        <v>778519.61850806139</v>
      </c>
      <c r="I4746" s="366" t="s">
        <v>1731</v>
      </c>
      <c r="J4746" s="348" t="str">
        <f t="shared" ca="1" si="148"/>
        <v>OK</v>
      </c>
      <c r="K4746" s="366" t="s">
        <v>1746</v>
      </c>
      <c r="L4746" s="366" t="s">
        <v>2264</v>
      </c>
      <c r="M4746" s="350" t="str">
        <f>IF($B4746="Portfolio","Portfolio",IFERROR(INDEX(DATA_ASSET_CLASSIFICATION!$B$8:$B$24,MATCH($C4746,DATA_ASSET_CLASSIFICATION!$A$8:$A$24,0)),"Review"))</f>
        <v>The Creek, Port Moody</v>
      </c>
      <c r="N4746" s="350" t="str">
        <f>IF($B4746="Portfolio","Portfolio",IFERROR(INDEX(DATA_ASSET_CLASSIFICATION!$U$8:$U$24,MATCH($C4746,DATA_ASSET_CLASSIFICATION!$A$8:$A$24,0)),"Review"))</f>
        <v>New Build</v>
      </c>
      <c r="O4746" s="350" t="str">
        <f>IF($B4746="Portfolio","Portfolio",IFERROR(INDEX(DATA_ASSET_CLASSIFICATION!$AB$8:$AB$13,MATCH($N4746,DATA_ASSET_CLASSIFICATION!$AA$8:$AA$13,0)),"Review"))</f>
        <v>Bucket 1 · New Build</v>
      </c>
      <c r="P4746" s="350" t="str">
        <f>IF($B4746="Portfolio","Portfolio",IFERROR(INDEX(DATA_ASSET_CLASSIFICATION!$C$8:$C$24,MATCH($C4746,DATA_ASSET_CLASSIFICATION!$A$8:$A$24,0)),"Review"))</f>
        <v>Yes</v>
      </c>
      <c r="Q4746" s="350" t="str">
        <f t="shared" ca="1" si="149"/>
        <v>OK</v>
      </c>
    </row>
    <row r="4747" spans="1:17" ht="30">
      <c r="A4747" s="366" t="s">
        <v>6703</v>
      </c>
      <c r="B4747" s="366" t="s">
        <v>231</v>
      </c>
      <c r="C4747" s="348" t="str">
        <f>DATA_PROPERTY_MASTER!$A$20</f>
        <v>BLD_PM</v>
      </c>
      <c r="D4747" s="380">
        <f>'00_PORTFOLIO ROLLUP'!K$12</f>
        <v>2031</v>
      </c>
      <c r="E4747" s="366" t="s">
        <v>1741</v>
      </c>
      <c r="F4747" s="366" t="s">
        <v>1749</v>
      </c>
      <c r="G4747" s="348" t="str">
        <f>"'"&amp;$C4747&amp;"'!rows 56, 63, 68"</f>
        <v>'BLD_PM'!rows 56, 63, 68</v>
      </c>
      <c r="H4747" s="381">
        <f ca="1">IF(IFERROR(INDEX(DATA_PROPERTY_MASTER!$E$5:$E$21,MATCH($C4747,DATA_PROPERTY_MASTER!$A$5:$A$21,0))="Yes",FALSE),(IFERROR(INDEX(INDIRECT("'"&amp;$C4747&amp;"'!$E$56:$Y$56"),1,MATCH($D4747,INDIRECT("'"&amp;$C4747&amp;"'!$E$12:$Y$12"),0)),0)+MAX(IFERROR(INDEX(INDIRECT("'"&amp;$C4747&amp;"'!$E$63:$Y$63"),1,MATCH($D4747,INDIRECT("'"&amp;$C4747&amp;"'!$E$12:$Y$12"),0)),0),0))-(IFERROR(INDEX(INDIRECT("'"&amp;$C4747&amp;"'!$E$68:$Y$68"),1,MATCH($D4747,INDIRECT("'"&amp;$C4747&amp;"'!$E$12:$Y$12"),0)),0)),0)</f>
        <v>0</v>
      </c>
      <c r="I4747" s="366" t="s">
        <v>1750</v>
      </c>
      <c r="J4747" s="348" t="str">
        <f t="shared" ca="1" si="148"/>
        <v>OK</v>
      </c>
      <c r="K4747" s="366" t="s">
        <v>1751</v>
      </c>
      <c r="L4747" s="366" t="s">
        <v>2266</v>
      </c>
      <c r="M4747" s="350" t="str">
        <f>IF($B4747="Portfolio","Portfolio",IFERROR(INDEX(DATA_ASSET_CLASSIFICATION!$B$8:$B$24,MATCH($C4747,DATA_ASSET_CLASSIFICATION!$A$8:$A$24,0)),"Review"))</f>
        <v>The Creek, Port Moody</v>
      </c>
      <c r="N4747" s="350" t="str">
        <f>IF($B4747="Portfolio","Portfolio",IFERROR(INDEX(DATA_ASSET_CLASSIFICATION!$U$8:$U$24,MATCH($C4747,DATA_ASSET_CLASSIFICATION!$A$8:$A$24,0)),"Review"))</f>
        <v>New Build</v>
      </c>
      <c r="O4747" s="350" t="str">
        <f>IF($B4747="Portfolio","Portfolio",IFERROR(INDEX(DATA_ASSET_CLASSIFICATION!$AB$8:$AB$13,MATCH($N4747,DATA_ASSET_CLASSIFICATION!$AA$8:$AA$13,0)),"Review"))</f>
        <v>Bucket 1 · New Build</v>
      </c>
      <c r="P4747" s="350" t="str">
        <f>IF($B4747="Portfolio","Portfolio",IFERROR(INDEX(DATA_ASSET_CLASSIFICATION!$C$8:$C$24,MATCH($C4747,DATA_ASSET_CLASSIFICATION!$A$8:$A$24,0)),"Review"))</f>
        <v>Yes</v>
      </c>
      <c r="Q4747" s="350" t="str">
        <f t="shared" ca="1" si="149"/>
        <v>OK</v>
      </c>
    </row>
    <row r="4748" spans="1:17" ht="30">
      <c r="A4748" s="366" t="s">
        <v>6704</v>
      </c>
      <c r="B4748" s="366" t="s">
        <v>231</v>
      </c>
      <c r="C4748" s="348" t="str">
        <f>DATA_PROPERTY_MASTER!$A$20</f>
        <v>BLD_PM</v>
      </c>
      <c r="D4748" s="380">
        <f>'00_PORTFOLIO ROLLUP'!L$12</f>
        <v>2032</v>
      </c>
      <c r="E4748" s="366" t="s">
        <v>1683</v>
      </c>
      <c r="F4748" s="366" t="s">
        <v>341</v>
      </c>
      <c r="G4748" s="348" t="str">
        <f>"'"&amp;$C4748&amp;"'!$E$24:$Y$24"</f>
        <v>'BLD_PM'!$E$24:$Y$24</v>
      </c>
      <c r="H4748" s="381">
        <f ca="1">IF(IFERROR(INDEX(DATA_PROPERTY_MASTER!$E$5:$E$21,MATCH($C4748,DATA_PROPERTY_MASTER!$A$5:$A$21,0))="Yes",FALSE),IFERROR(INDEX(INDIRECT("'"&amp;$C4748&amp;"'!$E$24:$Y$24"),1,MATCH($D4748,INDIRECT("'"&amp;$C4748&amp;"'!$E$12:$Y$12"),0)),0),0)</f>
        <v>5392204.2021196736</v>
      </c>
      <c r="I4748" s="366" t="s">
        <v>1685</v>
      </c>
      <c r="J4748" s="348" t="str">
        <f t="shared" ca="1" si="148"/>
        <v>OK</v>
      </c>
      <c r="K4748" s="366" t="s">
        <v>1686</v>
      </c>
      <c r="L4748" s="366" t="s">
        <v>2234</v>
      </c>
      <c r="M4748" s="350" t="str">
        <f>IF($B4748="Portfolio","Portfolio",IFERROR(INDEX(DATA_ASSET_CLASSIFICATION!$B$8:$B$24,MATCH($C4748,DATA_ASSET_CLASSIFICATION!$A$8:$A$24,0)),"Review"))</f>
        <v>The Creek, Port Moody</v>
      </c>
      <c r="N4748" s="350" t="str">
        <f>IF($B4748="Portfolio","Portfolio",IFERROR(INDEX(DATA_ASSET_CLASSIFICATION!$U$8:$U$24,MATCH($C4748,DATA_ASSET_CLASSIFICATION!$A$8:$A$24,0)),"Review"))</f>
        <v>New Build</v>
      </c>
      <c r="O4748" s="350" t="str">
        <f>IF($B4748="Portfolio","Portfolio",IFERROR(INDEX(DATA_ASSET_CLASSIFICATION!$AB$8:$AB$13,MATCH($N4748,DATA_ASSET_CLASSIFICATION!$AA$8:$AA$13,0)),"Review"))</f>
        <v>Bucket 1 · New Build</v>
      </c>
      <c r="P4748" s="350" t="str">
        <f>IF($B4748="Portfolio","Portfolio",IFERROR(INDEX(DATA_ASSET_CLASSIFICATION!$C$8:$C$24,MATCH($C4748,DATA_ASSET_CLASSIFICATION!$A$8:$A$24,0)),"Review"))</f>
        <v>Yes</v>
      </c>
      <c r="Q4748" s="350" t="str">
        <f t="shared" ca="1" si="149"/>
        <v>OK</v>
      </c>
    </row>
    <row r="4749" spans="1:17" ht="30">
      <c r="A4749" s="366" t="s">
        <v>6705</v>
      </c>
      <c r="B4749" s="366" t="s">
        <v>231</v>
      </c>
      <c r="C4749" s="348" t="str">
        <f>DATA_PROPERTY_MASTER!$A$20</f>
        <v>BLD_PM</v>
      </c>
      <c r="D4749" s="380">
        <f>'00_PORTFOLIO ROLLUP'!L$12</f>
        <v>2032</v>
      </c>
      <c r="E4749" s="366" t="s">
        <v>1683</v>
      </c>
      <c r="F4749" s="366" t="s">
        <v>355</v>
      </c>
      <c r="G4749" s="348" t="str">
        <f>"'"&amp;$C4749&amp;"'!$E$39:$Y$39"</f>
        <v>'BLD_PM'!$E$39:$Y$39</v>
      </c>
      <c r="H4749" s="381">
        <f ca="1">IF(IFERROR(INDEX(DATA_PROPERTY_MASTER!$E$5:$E$21,MATCH($C4749,DATA_PROPERTY_MASTER!$A$5:$A$21,0))="Yes",FALSE),IFERROR(INDEX(INDIRECT("'"&amp;$C4749&amp;"'!$E$39:$Y$39"),1,MATCH($D4749,INDIRECT("'"&amp;$C4749&amp;"'!$E$12:$Y$12"),0)),0),0)</f>
        <v>232130.36585720221</v>
      </c>
      <c r="I4749" s="366" t="s">
        <v>1690</v>
      </c>
      <c r="J4749" s="348" t="str">
        <f t="shared" ca="1" si="148"/>
        <v>OK</v>
      </c>
      <c r="K4749" s="366" t="s">
        <v>1686</v>
      </c>
      <c r="L4749" s="366" t="s">
        <v>2236</v>
      </c>
      <c r="M4749" s="350" t="str">
        <f>IF($B4749="Portfolio","Portfolio",IFERROR(INDEX(DATA_ASSET_CLASSIFICATION!$B$8:$B$24,MATCH($C4749,DATA_ASSET_CLASSIFICATION!$A$8:$A$24,0)),"Review"))</f>
        <v>The Creek, Port Moody</v>
      </c>
      <c r="N4749" s="350" t="str">
        <f>IF($B4749="Portfolio","Portfolio",IFERROR(INDEX(DATA_ASSET_CLASSIFICATION!$U$8:$U$24,MATCH($C4749,DATA_ASSET_CLASSIFICATION!$A$8:$A$24,0)),"Review"))</f>
        <v>New Build</v>
      </c>
      <c r="O4749" s="350" t="str">
        <f>IF($B4749="Portfolio","Portfolio",IFERROR(INDEX(DATA_ASSET_CLASSIFICATION!$AB$8:$AB$13,MATCH($N4749,DATA_ASSET_CLASSIFICATION!$AA$8:$AA$13,0)),"Review"))</f>
        <v>Bucket 1 · New Build</v>
      </c>
      <c r="P4749" s="350" t="str">
        <f>IF($B4749="Portfolio","Portfolio",IFERROR(INDEX(DATA_ASSET_CLASSIFICATION!$C$8:$C$24,MATCH($C4749,DATA_ASSET_CLASSIFICATION!$A$8:$A$24,0)),"Review"))</f>
        <v>Yes</v>
      </c>
      <c r="Q4749" s="350" t="str">
        <f t="shared" ca="1" si="149"/>
        <v>OK</v>
      </c>
    </row>
    <row r="4750" spans="1:17" ht="30">
      <c r="A4750" s="366" t="s">
        <v>6706</v>
      </c>
      <c r="B4750" s="366" t="s">
        <v>231</v>
      </c>
      <c r="C4750" s="348" t="str">
        <f>DATA_PROPERTY_MASTER!$A$20</f>
        <v>BLD_PM</v>
      </c>
      <c r="D4750" s="380">
        <f>'00_PORTFOLIO ROLLUP'!L$12</f>
        <v>2032</v>
      </c>
      <c r="E4750" s="366" t="s">
        <v>1683</v>
      </c>
      <c r="F4750" s="366" t="s">
        <v>19</v>
      </c>
      <c r="G4750" s="348" t="str">
        <f>"'"&amp;$C4750&amp;"'!$E$41:$Y$41"</f>
        <v>'BLD_PM'!$E$41:$Y$41</v>
      </c>
      <c r="H4750" s="381">
        <f ca="1">IF(IFERROR(INDEX(DATA_PROPERTY_MASTER!$E$5:$E$21,MATCH($C4750,DATA_PROPERTY_MASTER!$A$5:$A$21,0))="Yes",FALSE),IFERROR(INDEX(INDIRECT("'"&amp;$C4750&amp;"'!$E$41:$Y$41"),1,MATCH($D4750,INDIRECT("'"&amp;$C4750&amp;"'!$E$12:$Y$12"),0)),0),0)</f>
        <v>5160073.836262471</v>
      </c>
      <c r="I4750" s="366" t="s">
        <v>1685</v>
      </c>
      <c r="J4750" s="348" t="str">
        <f t="shared" ca="1" si="148"/>
        <v>OK</v>
      </c>
      <c r="K4750" s="366" t="s">
        <v>1694</v>
      </c>
      <c r="L4750" s="366" t="s">
        <v>2238</v>
      </c>
      <c r="M4750" s="350" t="str">
        <f>IF($B4750="Portfolio","Portfolio",IFERROR(INDEX(DATA_ASSET_CLASSIFICATION!$B$8:$B$24,MATCH($C4750,DATA_ASSET_CLASSIFICATION!$A$8:$A$24,0)),"Review"))</f>
        <v>The Creek, Port Moody</v>
      </c>
      <c r="N4750" s="350" t="str">
        <f>IF($B4750="Portfolio","Portfolio",IFERROR(INDEX(DATA_ASSET_CLASSIFICATION!$U$8:$U$24,MATCH($C4750,DATA_ASSET_CLASSIFICATION!$A$8:$A$24,0)),"Review"))</f>
        <v>New Build</v>
      </c>
      <c r="O4750" s="350" t="str">
        <f>IF($B4750="Portfolio","Portfolio",IFERROR(INDEX(DATA_ASSET_CLASSIFICATION!$AB$8:$AB$13,MATCH($N4750,DATA_ASSET_CLASSIFICATION!$AA$8:$AA$13,0)),"Review"))</f>
        <v>Bucket 1 · New Build</v>
      </c>
      <c r="P4750" s="350" t="str">
        <f>IF($B4750="Portfolio","Portfolio",IFERROR(INDEX(DATA_ASSET_CLASSIFICATION!$C$8:$C$24,MATCH($C4750,DATA_ASSET_CLASSIFICATION!$A$8:$A$24,0)),"Review"))</f>
        <v>Yes</v>
      </c>
      <c r="Q4750" s="350" t="str">
        <f t="shared" ca="1" si="149"/>
        <v>OK</v>
      </c>
    </row>
    <row r="4751" spans="1:17" ht="30">
      <c r="A4751" s="366" t="s">
        <v>6707</v>
      </c>
      <c r="B4751" s="366" t="s">
        <v>231</v>
      </c>
      <c r="C4751" s="348" t="str">
        <f>DATA_PROPERTY_MASTER!$A$20</f>
        <v>BLD_PM</v>
      </c>
      <c r="D4751" s="380">
        <f>'00_PORTFOLIO ROLLUP'!L$12</f>
        <v>2032</v>
      </c>
      <c r="E4751" s="366" t="s">
        <v>1683</v>
      </c>
      <c r="F4751" s="366" t="s">
        <v>1697</v>
      </c>
      <c r="G4751" s="348" t="str">
        <f>"'"&amp;$C4751&amp;"'!$E$44:$Y$44"</f>
        <v>'BLD_PM'!$E$44:$Y$44</v>
      </c>
      <c r="H4751" s="381">
        <f ca="1">IF(IFERROR(INDEX(DATA_PROPERTY_MASTER!$E$5:$E$21,MATCH($C4751,DATA_PROPERTY_MASTER!$A$5:$A$21,0))="Yes",FALSE),IFERROR(INDEX(INDIRECT("'"&amp;$C4751&amp;"'!$E$44:$Y$44"),1,MATCH($D4751,INDIRECT("'"&amp;$C4751&amp;"'!$E$12:$Y$12"),0)),0),0)</f>
        <v>56515.334848344566</v>
      </c>
      <c r="I4751" s="366" t="s">
        <v>1690</v>
      </c>
      <c r="J4751" s="348" t="str">
        <f t="shared" ca="1" si="148"/>
        <v>OK</v>
      </c>
      <c r="K4751" s="366" t="s">
        <v>1699</v>
      </c>
      <c r="L4751" s="366" t="s">
        <v>2240</v>
      </c>
      <c r="M4751" s="350" t="str">
        <f>IF($B4751="Portfolio","Portfolio",IFERROR(INDEX(DATA_ASSET_CLASSIFICATION!$B$8:$B$24,MATCH($C4751,DATA_ASSET_CLASSIFICATION!$A$8:$A$24,0)),"Review"))</f>
        <v>The Creek, Port Moody</v>
      </c>
      <c r="N4751" s="350" t="str">
        <f>IF($B4751="Portfolio","Portfolio",IFERROR(INDEX(DATA_ASSET_CLASSIFICATION!$U$8:$U$24,MATCH($C4751,DATA_ASSET_CLASSIFICATION!$A$8:$A$24,0)),"Review"))</f>
        <v>New Build</v>
      </c>
      <c r="O4751" s="350" t="str">
        <f>IF($B4751="Portfolio","Portfolio",IFERROR(INDEX(DATA_ASSET_CLASSIFICATION!$AB$8:$AB$13,MATCH($N4751,DATA_ASSET_CLASSIFICATION!$AA$8:$AA$13,0)),"Review"))</f>
        <v>Bucket 1 · New Build</v>
      </c>
      <c r="P4751" s="350" t="str">
        <f>IF($B4751="Portfolio","Portfolio",IFERROR(INDEX(DATA_ASSET_CLASSIFICATION!$C$8:$C$24,MATCH($C4751,DATA_ASSET_CLASSIFICATION!$A$8:$A$24,0)),"Review"))</f>
        <v>Yes</v>
      </c>
      <c r="Q4751" s="350" t="str">
        <f t="shared" ca="1" si="149"/>
        <v>OK</v>
      </c>
    </row>
    <row r="4752" spans="1:17" ht="30">
      <c r="A4752" s="366" t="s">
        <v>6708</v>
      </c>
      <c r="B4752" s="366" t="s">
        <v>231</v>
      </c>
      <c r="C4752" s="348" t="str">
        <f>DATA_PROPERTY_MASTER!$A$20</f>
        <v>BLD_PM</v>
      </c>
      <c r="D4752" s="380">
        <f>'00_PORTFOLIO ROLLUP'!L$12</f>
        <v>2032</v>
      </c>
      <c r="E4752" s="366" t="s">
        <v>1683</v>
      </c>
      <c r="F4752" s="366" t="s">
        <v>21</v>
      </c>
      <c r="G4752" s="348" t="str">
        <f>"'"&amp;$C4752&amp;"'!$E$45:$Y$45"</f>
        <v>'BLD_PM'!$E$45:$Y$45</v>
      </c>
      <c r="H4752" s="381">
        <f ca="1">IF(IFERROR(INDEX(DATA_PROPERTY_MASTER!$E$5:$E$21,MATCH($C4752,DATA_PROPERTY_MASTER!$A$5:$A$21,0))="Yes",FALSE),IFERROR(INDEX(INDIRECT("'"&amp;$C4752&amp;"'!$E$45:$Y$45"),1,MATCH($D4752,INDIRECT("'"&amp;$C4752&amp;"'!$E$12:$Y$12"),0)),0),0)</f>
        <v>5103558.5014141267</v>
      </c>
      <c r="I4752" s="366" t="s">
        <v>1685</v>
      </c>
      <c r="J4752" s="348" t="str">
        <f t="shared" ca="1" si="148"/>
        <v>OK</v>
      </c>
      <c r="K4752" s="366" t="s">
        <v>1694</v>
      </c>
      <c r="L4752" s="366" t="s">
        <v>2242</v>
      </c>
      <c r="M4752" s="350" t="str">
        <f>IF($B4752="Portfolio","Portfolio",IFERROR(INDEX(DATA_ASSET_CLASSIFICATION!$B$8:$B$24,MATCH($C4752,DATA_ASSET_CLASSIFICATION!$A$8:$A$24,0)),"Review"))</f>
        <v>The Creek, Port Moody</v>
      </c>
      <c r="N4752" s="350" t="str">
        <f>IF($B4752="Portfolio","Portfolio",IFERROR(INDEX(DATA_ASSET_CLASSIFICATION!$U$8:$U$24,MATCH($C4752,DATA_ASSET_CLASSIFICATION!$A$8:$A$24,0)),"Review"))</f>
        <v>New Build</v>
      </c>
      <c r="O4752" s="350" t="str">
        <f>IF($B4752="Portfolio","Portfolio",IFERROR(INDEX(DATA_ASSET_CLASSIFICATION!$AB$8:$AB$13,MATCH($N4752,DATA_ASSET_CLASSIFICATION!$AA$8:$AA$13,0)),"Review"))</f>
        <v>Bucket 1 · New Build</v>
      </c>
      <c r="P4752" s="350" t="str">
        <f>IF($B4752="Portfolio","Portfolio",IFERROR(INDEX(DATA_ASSET_CLASSIFICATION!$C$8:$C$24,MATCH($C4752,DATA_ASSET_CLASSIFICATION!$A$8:$A$24,0)),"Review"))</f>
        <v>Yes</v>
      </c>
      <c r="Q4752" s="350" t="str">
        <f t="shared" ca="1" si="149"/>
        <v>OK</v>
      </c>
    </row>
    <row r="4753" spans="1:17" ht="30">
      <c r="A4753" s="366" t="s">
        <v>6709</v>
      </c>
      <c r="B4753" s="366" t="s">
        <v>231</v>
      </c>
      <c r="C4753" s="348" t="str">
        <f>DATA_PROPERTY_MASTER!$A$20</f>
        <v>BLD_PM</v>
      </c>
      <c r="D4753" s="380">
        <f>'00_PORTFOLIO ROLLUP'!L$12</f>
        <v>2032</v>
      </c>
      <c r="E4753" s="366" t="s">
        <v>23</v>
      </c>
      <c r="F4753" s="366" t="s">
        <v>23</v>
      </c>
      <c r="G4753" s="348" t="str">
        <f>"'"&amp;$C4753&amp;"'!$E$48:$Y$48"</f>
        <v>'BLD_PM'!$E$48:$Y$48</v>
      </c>
      <c r="H4753" s="381">
        <f ca="1">IF(IFERROR(INDEX(DATA_PROPERTY_MASTER!$E$5:$E$21,MATCH($C4753,DATA_PROPERTY_MASTER!$A$5:$A$21,0))="Yes",FALSE),IFERROR(INDEX(INDIRECT("'"&amp;$C4753&amp;"'!$E$48:$Y$48"),1,MATCH($D4753,INDIRECT("'"&amp;$C4753&amp;"'!$E$12:$Y$12"),0)),0),0)</f>
        <v>3116973.3868276179</v>
      </c>
      <c r="I4753" s="366" t="s">
        <v>1690</v>
      </c>
      <c r="J4753" s="348" t="str">
        <f t="shared" ca="1" si="148"/>
        <v>OK</v>
      </c>
      <c r="K4753" s="366" t="s">
        <v>1706</v>
      </c>
      <c r="L4753" s="366" t="s">
        <v>2244</v>
      </c>
      <c r="M4753" s="350" t="str">
        <f>IF($B4753="Portfolio","Portfolio",IFERROR(INDEX(DATA_ASSET_CLASSIFICATION!$B$8:$B$24,MATCH($C4753,DATA_ASSET_CLASSIFICATION!$A$8:$A$24,0)),"Review"))</f>
        <v>The Creek, Port Moody</v>
      </c>
      <c r="N4753" s="350" t="str">
        <f>IF($B4753="Portfolio","Portfolio",IFERROR(INDEX(DATA_ASSET_CLASSIFICATION!$U$8:$U$24,MATCH($C4753,DATA_ASSET_CLASSIFICATION!$A$8:$A$24,0)),"Review"))</f>
        <v>New Build</v>
      </c>
      <c r="O4753" s="350" t="str">
        <f>IF($B4753="Portfolio","Portfolio",IFERROR(INDEX(DATA_ASSET_CLASSIFICATION!$AB$8:$AB$13,MATCH($N4753,DATA_ASSET_CLASSIFICATION!$AA$8:$AA$13,0)),"Review"))</f>
        <v>Bucket 1 · New Build</v>
      </c>
      <c r="P4753" s="350" t="str">
        <f>IF($B4753="Portfolio","Portfolio",IFERROR(INDEX(DATA_ASSET_CLASSIFICATION!$C$8:$C$24,MATCH($C4753,DATA_ASSET_CLASSIFICATION!$A$8:$A$24,0)),"Review"))</f>
        <v>Yes</v>
      </c>
      <c r="Q4753" s="350" t="str">
        <f t="shared" ca="1" si="149"/>
        <v>OK</v>
      </c>
    </row>
    <row r="4754" spans="1:17" ht="30">
      <c r="A4754" s="366" t="s">
        <v>6710</v>
      </c>
      <c r="B4754" s="366" t="s">
        <v>231</v>
      </c>
      <c r="C4754" s="348" t="str">
        <f>DATA_PROPERTY_MASTER!$A$20</f>
        <v>BLD_PM</v>
      </c>
      <c r="D4754" s="380">
        <f>'00_PORTFOLIO ROLLUP'!L$12</f>
        <v>2032</v>
      </c>
      <c r="E4754" s="366" t="s">
        <v>1683</v>
      </c>
      <c r="F4754" s="366" t="s">
        <v>25</v>
      </c>
      <c r="G4754" s="348" t="str">
        <f>"'"&amp;$C4754&amp;"'!$E$52:$Y$52"</f>
        <v>'BLD_PM'!$E$52:$Y$52</v>
      </c>
      <c r="H4754" s="381">
        <f ca="1">IF(IFERROR(INDEX(DATA_PROPERTY_MASTER!$E$5:$E$21,MATCH($C4754,DATA_PROPERTY_MASTER!$A$5:$A$21,0))="Yes",FALSE),IFERROR(INDEX(INDIRECT("'"&amp;$C4754&amp;"'!$E$52:$Y$52"),1,MATCH($D4754,INDIRECT("'"&amp;$C4754&amp;"'!$E$12:$Y$12"),0)),0),0)</f>
        <v>2043100.4494348532</v>
      </c>
      <c r="I4754" s="366" t="s">
        <v>1685</v>
      </c>
      <c r="J4754" s="348" t="str">
        <f t="shared" ca="1" si="148"/>
        <v>OK</v>
      </c>
      <c r="K4754" s="366" t="s">
        <v>1710</v>
      </c>
      <c r="L4754" s="366" t="s">
        <v>2246</v>
      </c>
      <c r="M4754" s="350" t="str">
        <f>IF($B4754="Portfolio","Portfolio",IFERROR(INDEX(DATA_ASSET_CLASSIFICATION!$B$8:$B$24,MATCH($C4754,DATA_ASSET_CLASSIFICATION!$A$8:$A$24,0)),"Review"))</f>
        <v>The Creek, Port Moody</v>
      </c>
      <c r="N4754" s="350" t="str">
        <f>IF($B4754="Portfolio","Portfolio",IFERROR(INDEX(DATA_ASSET_CLASSIFICATION!$U$8:$U$24,MATCH($C4754,DATA_ASSET_CLASSIFICATION!$A$8:$A$24,0)),"Review"))</f>
        <v>New Build</v>
      </c>
      <c r="O4754" s="350" t="str">
        <f>IF($B4754="Portfolio","Portfolio",IFERROR(INDEX(DATA_ASSET_CLASSIFICATION!$AB$8:$AB$13,MATCH($N4754,DATA_ASSET_CLASSIFICATION!$AA$8:$AA$13,0)),"Review"))</f>
        <v>Bucket 1 · New Build</v>
      </c>
      <c r="P4754" s="350" t="str">
        <f>IF($B4754="Portfolio","Portfolio",IFERROR(INDEX(DATA_ASSET_CLASSIFICATION!$C$8:$C$24,MATCH($C4754,DATA_ASSET_CLASSIFICATION!$A$8:$A$24,0)),"Review"))</f>
        <v>Yes</v>
      </c>
      <c r="Q4754" s="350" t="str">
        <f t="shared" ca="1" si="149"/>
        <v>OK</v>
      </c>
    </row>
    <row r="4755" spans="1:17" ht="30">
      <c r="A4755" s="366" t="s">
        <v>6711</v>
      </c>
      <c r="B4755" s="366" t="s">
        <v>231</v>
      </c>
      <c r="C4755" s="348" t="str">
        <f>DATA_PROPERTY_MASTER!$A$20</f>
        <v>BLD_PM</v>
      </c>
      <c r="D4755" s="380">
        <f>'00_PORTFOLIO ROLLUP'!L$12</f>
        <v>2032</v>
      </c>
      <c r="E4755" s="366" t="s">
        <v>1683</v>
      </c>
      <c r="F4755" s="366" t="s">
        <v>27</v>
      </c>
      <c r="G4755" s="348" t="str">
        <f>"'"&amp;$C4755&amp;"'!$E$54:$Y$54"</f>
        <v>'BLD_PM'!$E$54:$Y$54</v>
      </c>
      <c r="H4755" s="381">
        <f ca="1">IF(IFERROR(INDEX(DATA_PROPERTY_MASTER!$E$5:$E$21,MATCH($C4755,DATA_PROPERTY_MASTER!$A$5:$A$21,0))="Yes",FALSE),IFERROR(INDEX(INDIRECT("'"&amp;$C4755&amp;"'!$E$54:$Y$54"),1,MATCH($D4755,INDIRECT("'"&amp;$C4755&amp;"'!$E$12:$Y$12"),0)),0),0)</f>
        <v>1225860.2696609118</v>
      </c>
      <c r="I4755" s="366" t="s">
        <v>1690</v>
      </c>
      <c r="J4755" s="348" t="str">
        <f t="shared" ca="1" si="148"/>
        <v>OK</v>
      </c>
      <c r="K4755" s="366" t="s">
        <v>1714</v>
      </c>
      <c r="L4755" s="366" t="s">
        <v>2248</v>
      </c>
      <c r="M4755" s="350" t="str">
        <f>IF($B4755="Portfolio","Portfolio",IFERROR(INDEX(DATA_ASSET_CLASSIFICATION!$B$8:$B$24,MATCH($C4755,DATA_ASSET_CLASSIFICATION!$A$8:$A$24,0)),"Review"))</f>
        <v>The Creek, Port Moody</v>
      </c>
      <c r="N4755" s="350" t="str">
        <f>IF($B4755="Portfolio","Portfolio",IFERROR(INDEX(DATA_ASSET_CLASSIFICATION!$U$8:$U$24,MATCH($C4755,DATA_ASSET_CLASSIFICATION!$A$8:$A$24,0)),"Review"))</f>
        <v>New Build</v>
      </c>
      <c r="O4755" s="350" t="str">
        <f>IF($B4755="Portfolio","Portfolio",IFERROR(INDEX(DATA_ASSET_CLASSIFICATION!$AB$8:$AB$13,MATCH($N4755,DATA_ASSET_CLASSIFICATION!$AA$8:$AA$13,0)),"Review"))</f>
        <v>Bucket 1 · New Build</v>
      </c>
      <c r="P4755" s="350" t="str">
        <f>IF($B4755="Portfolio","Portfolio",IFERROR(INDEX(DATA_ASSET_CLASSIFICATION!$C$8:$C$24,MATCH($C4755,DATA_ASSET_CLASSIFICATION!$A$8:$A$24,0)),"Review"))</f>
        <v>Yes</v>
      </c>
      <c r="Q4755" s="350" t="str">
        <f t="shared" ca="1" si="149"/>
        <v>OK</v>
      </c>
    </row>
    <row r="4756" spans="1:17" ht="30">
      <c r="A4756" s="366" t="s">
        <v>6712</v>
      </c>
      <c r="B4756" s="366" t="s">
        <v>231</v>
      </c>
      <c r="C4756" s="348" t="str">
        <f>DATA_PROPERTY_MASTER!$A$20</f>
        <v>BLD_PM</v>
      </c>
      <c r="D4756" s="380">
        <f>'00_PORTFOLIO ROLLUP'!L$12</f>
        <v>2032</v>
      </c>
      <c r="E4756" s="366" t="s">
        <v>1683</v>
      </c>
      <c r="F4756" s="366" t="s">
        <v>29</v>
      </c>
      <c r="G4756" s="348" t="str">
        <f>"'"&amp;$C4756&amp;"'!$E$56:$Y$56"</f>
        <v>'BLD_PM'!$E$56:$Y$56</v>
      </c>
      <c r="H4756" s="381">
        <f ca="1">IF(IFERROR(INDEX(DATA_PROPERTY_MASTER!$E$5:$E$21,MATCH($C4756,DATA_PROPERTY_MASTER!$A$5:$A$21,0))="Yes",FALSE),IFERROR(INDEX(INDIRECT("'"&amp;$C4756&amp;"'!$E$56:$Y$56"),1,MATCH($D4756,INDIRECT("'"&amp;$C4756&amp;"'!$E$12:$Y$12"),0)),0),0)</f>
        <v>817240.1797739414</v>
      </c>
      <c r="I4756" s="366" t="s">
        <v>1685</v>
      </c>
      <c r="J4756" s="348" t="str">
        <f t="shared" ca="1" si="148"/>
        <v>OK</v>
      </c>
      <c r="K4756" s="366" t="s">
        <v>1718</v>
      </c>
      <c r="L4756" s="366" t="s">
        <v>2250</v>
      </c>
      <c r="M4756" s="350" t="str">
        <f>IF($B4756="Portfolio","Portfolio",IFERROR(INDEX(DATA_ASSET_CLASSIFICATION!$B$8:$B$24,MATCH($C4756,DATA_ASSET_CLASSIFICATION!$A$8:$A$24,0)),"Review"))</f>
        <v>The Creek, Port Moody</v>
      </c>
      <c r="N4756" s="350" t="str">
        <f>IF($B4756="Portfolio","Portfolio",IFERROR(INDEX(DATA_ASSET_CLASSIFICATION!$U$8:$U$24,MATCH($C4756,DATA_ASSET_CLASSIFICATION!$A$8:$A$24,0)),"Review"))</f>
        <v>New Build</v>
      </c>
      <c r="O4756" s="350" t="str">
        <f>IF($B4756="Portfolio","Portfolio",IFERROR(INDEX(DATA_ASSET_CLASSIFICATION!$AB$8:$AB$13,MATCH($N4756,DATA_ASSET_CLASSIFICATION!$AA$8:$AA$13,0)),"Review"))</f>
        <v>Bucket 1 · New Build</v>
      </c>
      <c r="P4756" s="350" t="str">
        <f>IF($B4756="Portfolio","Portfolio",IFERROR(INDEX(DATA_ASSET_CLASSIFICATION!$C$8:$C$24,MATCH($C4756,DATA_ASSET_CLASSIFICATION!$A$8:$A$24,0)),"Review"))</f>
        <v>Yes</v>
      </c>
      <c r="Q4756" s="350" t="str">
        <f t="shared" ca="1" si="149"/>
        <v>OK</v>
      </c>
    </row>
    <row r="4757" spans="1:17" ht="30">
      <c r="A4757" s="366" t="s">
        <v>6713</v>
      </c>
      <c r="B4757" s="366" t="s">
        <v>231</v>
      </c>
      <c r="C4757" s="348" t="str">
        <f>DATA_PROPERTY_MASTER!$A$20</f>
        <v>BLD_PM</v>
      </c>
      <c r="D4757" s="380">
        <f>'00_PORTFOLIO ROLLUP'!L$12</f>
        <v>2032</v>
      </c>
      <c r="E4757" s="366" t="s">
        <v>1721</v>
      </c>
      <c r="F4757" s="366" t="s">
        <v>31</v>
      </c>
      <c r="G4757" s="348" t="str">
        <f>"'"&amp;$C4757&amp;"'!$E$61:$Y$61"</f>
        <v>'BLD_PM'!$E$61:$Y$61</v>
      </c>
      <c r="H4757" s="381">
        <f ca="1">IF(IFERROR(INDEX(DATA_PROPERTY_MASTER!$E$5:$E$21,MATCH($C4757,DATA_PROPERTY_MASTER!$A$5:$A$21,0))="Yes",FALSE),IFERROR(INDEX(INDIRECT("'"&amp;$C4757&amp;"'!$E$61:$Y$61"),1,MATCH($D4757,INDIRECT("'"&amp;$C4757&amp;"'!$E$12:$Y$12"),0)),0),0)</f>
        <v>0</v>
      </c>
      <c r="I4757" s="366" t="s">
        <v>1690</v>
      </c>
      <c r="J4757" s="348" t="str">
        <f t="shared" ca="1" si="148"/>
        <v>OK</v>
      </c>
      <c r="K4757" s="366" t="s">
        <v>1723</v>
      </c>
      <c r="L4757" s="366" t="s">
        <v>2252</v>
      </c>
      <c r="M4757" s="350" t="str">
        <f>IF($B4757="Portfolio","Portfolio",IFERROR(INDEX(DATA_ASSET_CLASSIFICATION!$B$8:$B$24,MATCH($C4757,DATA_ASSET_CLASSIFICATION!$A$8:$A$24,0)),"Review"))</f>
        <v>The Creek, Port Moody</v>
      </c>
      <c r="N4757" s="350" t="str">
        <f>IF($B4757="Portfolio","Portfolio",IFERROR(INDEX(DATA_ASSET_CLASSIFICATION!$U$8:$U$24,MATCH($C4757,DATA_ASSET_CLASSIFICATION!$A$8:$A$24,0)),"Review"))</f>
        <v>New Build</v>
      </c>
      <c r="O4757" s="350" t="str">
        <f>IF($B4757="Portfolio","Portfolio",IFERROR(INDEX(DATA_ASSET_CLASSIFICATION!$AB$8:$AB$13,MATCH($N4757,DATA_ASSET_CLASSIFICATION!$AA$8:$AA$13,0)),"Review"))</f>
        <v>Bucket 1 · New Build</v>
      </c>
      <c r="P4757" s="350" t="str">
        <f>IF($B4757="Portfolio","Portfolio",IFERROR(INDEX(DATA_ASSET_CLASSIFICATION!$C$8:$C$24,MATCH($C4757,DATA_ASSET_CLASSIFICATION!$A$8:$A$24,0)),"Review"))</f>
        <v>Yes</v>
      </c>
      <c r="Q4757" s="350" t="str">
        <f t="shared" ca="1" si="149"/>
        <v>OK</v>
      </c>
    </row>
    <row r="4758" spans="1:17" ht="30">
      <c r="A4758" s="366" t="s">
        <v>6714</v>
      </c>
      <c r="B4758" s="366" t="s">
        <v>231</v>
      </c>
      <c r="C4758" s="348" t="str">
        <f>DATA_PROPERTY_MASTER!$A$20</f>
        <v>BLD_PM</v>
      </c>
      <c r="D4758" s="380">
        <f>'00_PORTFOLIO ROLLUP'!L$12</f>
        <v>2032</v>
      </c>
      <c r="E4758" s="366" t="s">
        <v>1721</v>
      </c>
      <c r="F4758" s="366" t="s">
        <v>33</v>
      </c>
      <c r="G4758" s="348" t="str">
        <f>"'"&amp;$C4758&amp;"'!$E$62:$Y$62"</f>
        <v>'BLD_PM'!$E$62:$Y$62</v>
      </c>
      <c r="H4758" s="381">
        <f ca="1">IF(IFERROR(INDEX(DATA_PROPERTY_MASTER!$E$5:$E$21,MATCH($C4758,DATA_PROPERTY_MASTER!$A$5:$A$21,0))="Yes",FALSE),IFERROR(INDEX(INDIRECT("'"&amp;$C4758&amp;"'!$E$62:$Y$62"),1,MATCH($D4758,INDIRECT("'"&amp;$C4758&amp;"'!$E$12:$Y$12"),0)),0),0)</f>
        <v>0</v>
      </c>
      <c r="I4758" s="366" t="s">
        <v>1685</v>
      </c>
      <c r="J4758" s="348" t="str">
        <f t="shared" ca="1" si="148"/>
        <v>OK</v>
      </c>
      <c r="K4758" s="366" t="s">
        <v>1727</v>
      </c>
      <c r="L4758" s="366" t="s">
        <v>2254</v>
      </c>
      <c r="M4758" s="350" t="str">
        <f>IF($B4758="Portfolio","Portfolio",IFERROR(INDEX(DATA_ASSET_CLASSIFICATION!$B$8:$B$24,MATCH($C4758,DATA_ASSET_CLASSIFICATION!$A$8:$A$24,0)),"Review"))</f>
        <v>The Creek, Port Moody</v>
      </c>
      <c r="N4758" s="350" t="str">
        <f>IF($B4758="Portfolio","Portfolio",IFERROR(INDEX(DATA_ASSET_CLASSIFICATION!$U$8:$U$24,MATCH($C4758,DATA_ASSET_CLASSIFICATION!$A$8:$A$24,0)),"Review"))</f>
        <v>New Build</v>
      </c>
      <c r="O4758" s="350" t="str">
        <f>IF($B4758="Portfolio","Portfolio",IFERROR(INDEX(DATA_ASSET_CLASSIFICATION!$AB$8:$AB$13,MATCH($N4758,DATA_ASSET_CLASSIFICATION!$AA$8:$AA$13,0)),"Review"))</f>
        <v>Bucket 1 · New Build</v>
      </c>
      <c r="P4758" s="350" t="str">
        <f>IF($B4758="Portfolio","Portfolio",IFERROR(INDEX(DATA_ASSET_CLASSIFICATION!$C$8:$C$24,MATCH($C4758,DATA_ASSET_CLASSIFICATION!$A$8:$A$24,0)),"Review"))</f>
        <v>Yes</v>
      </c>
      <c r="Q4758" s="350" t="str">
        <f t="shared" ca="1" si="149"/>
        <v>OK</v>
      </c>
    </row>
    <row r="4759" spans="1:17" ht="30">
      <c r="A4759" s="366" t="s">
        <v>6715</v>
      </c>
      <c r="B4759" s="366" t="s">
        <v>231</v>
      </c>
      <c r="C4759" s="348" t="str">
        <f>DATA_PROPERTY_MASTER!$A$20</f>
        <v>BLD_PM</v>
      </c>
      <c r="D4759" s="380">
        <f>'00_PORTFOLIO ROLLUP'!L$12</f>
        <v>2032</v>
      </c>
      <c r="E4759" s="366" t="s">
        <v>1721</v>
      </c>
      <c r="F4759" s="366" t="s">
        <v>35</v>
      </c>
      <c r="G4759" s="348" t="str">
        <f>"'"&amp;$C4759&amp;"'!$E$63:$Y$63"</f>
        <v>'BLD_PM'!$E$63:$Y$63</v>
      </c>
      <c r="H4759" s="381">
        <f ca="1">IF(IFERROR(INDEX(DATA_PROPERTY_MASTER!$E$5:$E$21,MATCH($C4759,DATA_PROPERTY_MASTER!$A$5:$A$21,0))="Yes",FALSE),IFERROR(INDEX(INDIRECT("'"&amp;$C4759&amp;"'!$E$63:$Y$63"),1,MATCH($D4759,INDIRECT("'"&amp;$C4759&amp;"'!$E$12:$Y$12"),0)),0),0)</f>
        <v>0</v>
      </c>
      <c r="I4759" s="366" t="s">
        <v>1731</v>
      </c>
      <c r="J4759" s="348" t="str">
        <f t="shared" ca="1" si="148"/>
        <v>OK</v>
      </c>
      <c r="K4759" s="366" t="s">
        <v>1732</v>
      </c>
      <c r="L4759" s="366" t="s">
        <v>2256</v>
      </c>
      <c r="M4759" s="350" t="str">
        <f>IF($B4759="Portfolio","Portfolio",IFERROR(INDEX(DATA_ASSET_CLASSIFICATION!$B$8:$B$24,MATCH($C4759,DATA_ASSET_CLASSIFICATION!$A$8:$A$24,0)),"Review"))</f>
        <v>The Creek, Port Moody</v>
      </c>
      <c r="N4759" s="350" t="str">
        <f>IF($B4759="Portfolio","Portfolio",IFERROR(INDEX(DATA_ASSET_CLASSIFICATION!$U$8:$U$24,MATCH($C4759,DATA_ASSET_CLASSIFICATION!$A$8:$A$24,0)),"Review"))</f>
        <v>New Build</v>
      </c>
      <c r="O4759" s="350" t="str">
        <f>IF($B4759="Portfolio","Portfolio",IFERROR(INDEX(DATA_ASSET_CLASSIFICATION!$AB$8:$AB$13,MATCH($N4759,DATA_ASSET_CLASSIFICATION!$AA$8:$AA$13,0)),"Review"))</f>
        <v>Bucket 1 · New Build</v>
      </c>
      <c r="P4759" s="350" t="str">
        <f>IF($B4759="Portfolio","Portfolio",IFERROR(INDEX(DATA_ASSET_CLASSIFICATION!$C$8:$C$24,MATCH($C4759,DATA_ASSET_CLASSIFICATION!$A$8:$A$24,0)),"Review"))</f>
        <v>Yes</v>
      </c>
      <c r="Q4759" s="350" t="str">
        <f t="shared" ca="1" si="149"/>
        <v>OK</v>
      </c>
    </row>
    <row r="4760" spans="1:17" ht="30">
      <c r="A4760" s="366" t="s">
        <v>6716</v>
      </c>
      <c r="B4760" s="366" t="s">
        <v>231</v>
      </c>
      <c r="C4760" s="348" t="str">
        <f>DATA_PROPERTY_MASTER!$A$20</f>
        <v>BLD_PM</v>
      </c>
      <c r="D4760" s="380">
        <f>'00_PORTFOLIO ROLLUP'!L$12</f>
        <v>2032</v>
      </c>
      <c r="E4760" s="366" t="s">
        <v>1721</v>
      </c>
      <c r="F4760" s="366" t="s">
        <v>37</v>
      </c>
      <c r="G4760" s="348" t="str">
        <f>"'"&amp;$C4760&amp;"'!$E$63:$Y$63"</f>
        <v>'BLD_PM'!$E$63:$Y$63</v>
      </c>
      <c r="H4760" s="381">
        <f ca="1">IF(IFERROR(INDEX(DATA_PROPERTY_MASTER!$E$5:$E$21,MATCH($C4760,DATA_PROPERTY_MASTER!$A$5:$A$21,0))="Yes",FALSE),MAX(IFERROR(INDEX(INDIRECT("'"&amp;$C4760&amp;"'!$E$63:$Y$63"),1,MATCH($D4760,INDIRECT("'"&amp;$C4760&amp;"'!$E$12:$Y$12"),0)),0),0),0)</f>
        <v>0</v>
      </c>
      <c r="I4760" s="366" t="s">
        <v>1685</v>
      </c>
      <c r="J4760" s="348" t="str">
        <f t="shared" ca="1" si="148"/>
        <v>OK</v>
      </c>
      <c r="K4760" s="366" t="s">
        <v>1735</v>
      </c>
      <c r="L4760" s="366" t="s">
        <v>2258</v>
      </c>
      <c r="M4760" s="350" t="str">
        <f>IF($B4760="Portfolio","Portfolio",IFERROR(INDEX(DATA_ASSET_CLASSIFICATION!$B$8:$B$24,MATCH($C4760,DATA_ASSET_CLASSIFICATION!$A$8:$A$24,0)),"Review"))</f>
        <v>The Creek, Port Moody</v>
      </c>
      <c r="N4760" s="350" t="str">
        <f>IF($B4760="Portfolio","Portfolio",IFERROR(INDEX(DATA_ASSET_CLASSIFICATION!$U$8:$U$24,MATCH($C4760,DATA_ASSET_CLASSIFICATION!$A$8:$A$24,0)),"Review"))</f>
        <v>New Build</v>
      </c>
      <c r="O4760" s="350" t="str">
        <f>IF($B4760="Portfolio","Portfolio",IFERROR(INDEX(DATA_ASSET_CLASSIFICATION!$AB$8:$AB$13,MATCH($N4760,DATA_ASSET_CLASSIFICATION!$AA$8:$AA$13,0)),"Review"))</f>
        <v>Bucket 1 · New Build</v>
      </c>
      <c r="P4760" s="350" t="str">
        <f>IF($B4760="Portfolio","Portfolio",IFERROR(INDEX(DATA_ASSET_CLASSIFICATION!$C$8:$C$24,MATCH($C4760,DATA_ASSET_CLASSIFICATION!$A$8:$A$24,0)),"Review"))</f>
        <v>Yes</v>
      </c>
      <c r="Q4760" s="350" t="str">
        <f t="shared" ca="1" si="149"/>
        <v>OK</v>
      </c>
    </row>
    <row r="4761" spans="1:17" ht="30">
      <c r="A4761" s="366" t="s">
        <v>6717</v>
      </c>
      <c r="B4761" s="366" t="s">
        <v>231</v>
      </c>
      <c r="C4761" s="348" t="str">
        <f>DATA_PROPERTY_MASTER!$A$20</f>
        <v>BLD_PM</v>
      </c>
      <c r="D4761" s="380">
        <f>'00_PORTFOLIO ROLLUP'!L$12</f>
        <v>2032</v>
      </c>
      <c r="E4761" s="366" t="s">
        <v>1721</v>
      </c>
      <c r="F4761" s="366" t="s">
        <v>39</v>
      </c>
      <c r="G4761" s="348" t="str">
        <f>"'"&amp;$C4761&amp;"'!$E$63:$Y$63"</f>
        <v>'BLD_PM'!$E$63:$Y$63</v>
      </c>
      <c r="H4761" s="381">
        <f ca="1">IF(IFERROR(INDEX(DATA_PROPERTY_MASTER!$E$5:$E$21,MATCH($C4761,DATA_PROPERTY_MASTER!$A$5:$A$21,0))="Yes",FALSE),MAX(-IFERROR(INDEX(INDIRECT("'"&amp;$C4761&amp;"'!$E$63:$Y$63"),1,MATCH($D4761,INDIRECT("'"&amp;$C4761&amp;"'!$E$12:$Y$12"),0)),0),0),0)</f>
        <v>0</v>
      </c>
      <c r="I4761" s="366" t="s">
        <v>1690</v>
      </c>
      <c r="J4761" s="348" t="str">
        <f t="shared" ca="1" si="148"/>
        <v>OK</v>
      </c>
      <c r="K4761" s="366" t="s">
        <v>1738</v>
      </c>
      <c r="L4761" s="366" t="s">
        <v>2260</v>
      </c>
      <c r="M4761" s="350" t="str">
        <f>IF($B4761="Portfolio","Portfolio",IFERROR(INDEX(DATA_ASSET_CLASSIFICATION!$B$8:$B$24,MATCH($C4761,DATA_ASSET_CLASSIFICATION!$A$8:$A$24,0)),"Review"))</f>
        <v>The Creek, Port Moody</v>
      </c>
      <c r="N4761" s="350" t="str">
        <f>IF($B4761="Portfolio","Portfolio",IFERROR(INDEX(DATA_ASSET_CLASSIFICATION!$U$8:$U$24,MATCH($C4761,DATA_ASSET_CLASSIFICATION!$A$8:$A$24,0)),"Review"))</f>
        <v>New Build</v>
      </c>
      <c r="O4761" s="350" t="str">
        <f>IF($B4761="Portfolio","Portfolio",IFERROR(INDEX(DATA_ASSET_CLASSIFICATION!$AB$8:$AB$13,MATCH($N4761,DATA_ASSET_CLASSIFICATION!$AA$8:$AA$13,0)),"Review"))</f>
        <v>Bucket 1 · New Build</v>
      </c>
      <c r="P4761" s="350" t="str">
        <f>IF($B4761="Portfolio","Portfolio",IFERROR(INDEX(DATA_ASSET_CLASSIFICATION!$C$8:$C$24,MATCH($C4761,DATA_ASSET_CLASSIFICATION!$A$8:$A$24,0)),"Review"))</f>
        <v>Yes</v>
      </c>
      <c r="Q4761" s="350" t="str">
        <f t="shared" ca="1" si="149"/>
        <v>OK</v>
      </c>
    </row>
    <row r="4762" spans="1:17" ht="30">
      <c r="A4762" s="366" t="s">
        <v>6718</v>
      </c>
      <c r="B4762" s="366" t="s">
        <v>231</v>
      </c>
      <c r="C4762" s="348" t="str">
        <f>DATA_PROPERTY_MASTER!$A$20</f>
        <v>BLD_PM</v>
      </c>
      <c r="D4762" s="380">
        <f>'00_PORTFOLIO ROLLUP'!L$12</f>
        <v>2032</v>
      </c>
      <c r="E4762" s="366" t="s">
        <v>1741</v>
      </c>
      <c r="F4762" s="366" t="s">
        <v>41</v>
      </c>
      <c r="G4762" s="348" t="str">
        <f>"'"&amp;$C4762&amp;"'!rows 56 + positive row 63"</f>
        <v>'BLD_PM'!rows 56 + positive row 63</v>
      </c>
      <c r="H4762" s="381">
        <f ca="1">IF(IFERROR(INDEX(DATA_PROPERTY_MASTER!$E$5:$E$21,MATCH($C4762,DATA_PROPERTY_MASTER!$A$5:$A$21,0))="Yes",FALSE),IFERROR(INDEX(INDIRECT("'"&amp;$C4762&amp;"'!$E$56:$Y$56"),1,MATCH($D4762,INDIRECT("'"&amp;$C4762&amp;"'!$E$12:$Y$12"),0)),0)+MAX(IFERROR(INDEX(INDIRECT("'"&amp;$C4762&amp;"'!$E$63:$Y$63"),1,MATCH($D4762,INDIRECT("'"&amp;$C4762&amp;"'!$E$12:$Y$12"),0)),0),0),0)</f>
        <v>817240.1797739414</v>
      </c>
      <c r="I4762" s="366" t="s">
        <v>1685</v>
      </c>
      <c r="J4762" s="348" t="str">
        <f t="shared" ca="1" si="148"/>
        <v>OK</v>
      </c>
      <c r="K4762" s="366" t="s">
        <v>1742</v>
      </c>
      <c r="L4762" s="366" t="s">
        <v>2262</v>
      </c>
      <c r="M4762" s="350" t="str">
        <f>IF($B4762="Portfolio","Portfolio",IFERROR(INDEX(DATA_ASSET_CLASSIFICATION!$B$8:$B$24,MATCH($C4762,DATA_ASSET_CLASSIFICATION!$A$8:$A$24,0)),"Review"))</f>
        <v>The Creek, Port Moody</v>
      </c>
      <c r="N4762" s="350" t="str">
        <f>IF($B4762="Portfolio","Portfolio",IFERROR(INDEX(DATA_ASSET_CLASSIFICATION!$U$8:$U$24,MATCH($C4762,DATA_ASSET_CLASSIFICATION!$A$8:$A$24,0)),"Review"))</f>
        <v>New Build</v>
      </c>
      <c r="O4762" s="350" t="str">
        <f>IF($B4762="Portfolio","Portfolio",IFERROR(INDEX(DATA_ASSET_CLASSIFICATION!$AB$8:$AB$13,MATCH($N4762,DATA_ASSET_CLASSIFICATION!$AA$8:$AA$13,0)),"Review"))</f>
        <v>Bucket 1 · New Build</v>
      </c>
      <c r="P4762" s="350" t="str">
        <f>IF($B4762="Portfolio","Portfolio",IFERROR(INDEX(DATA_ASSET_CLASSIFICATION!$C$8:$C$24,MATCH($C4762,DATA_ASSET_CLASSIFICATION!$A$8:$A$24,0)),"Review"))</f>
        <v>Yes</v>
      </c>
      <c r="Q4762" s="350" t="str">
        <f t="shared" ca="1" si="149"/>
        <v>OK</v>
      </c>
    </row>
    <row r="4763" spans="1:17" ht="30">
      <c r="A4763" s="366" t="s">
        <v>6719</v>
      </c>
      <c r="B4763" s="366" t="s">
        <v>231</v>
      </c>
      <c r="C4763" s="348" t="str">
        <f>DATA_PROPERTY_MASTER!$A$20</f>
        <v>BLD_PM</v>
      </c>
      <c r="D4763" s="380">
        <f>'00_PORTFOLIO ROLLUP'!L$12</f>
        <v>2032</v>
      </c>
      <c r="E4763" s="366" t="s">
        <v>1741</v>
      </c>
      <c r="F4763" s="366" t="s">
        <v>43</v>
      </c>
      <c r="G4763" s="348" t="str">
        <f>"'"&amp;$C4763&amp;"'!$E$68:$Y$68"</f>
        <v>'BLD_PM'!$E$68:$Y$68</v>
      </c>
      <c r="H4763" s="381">
        <f ca="1">IF(IFERROR(INDEX(DATA_PROPERTY_MASTER!$E$5:$E$21,MATCH($C4763,DATA_PROPERTY_MASTER!$A$5:$A$21,0))="Yes",FALSE),IFERROR(INDEX(INDIRECT("'"&amp;$C4763&amp;"'!$E$68:$Y$68"),1,MATCH($D4763,INDIRECT("'"&amp;$C4763&amp;"'!$E$12:$Y$12"),0)),0),0)</f>
        <v>817240.1797739414</v>
      </c>
      <c r="I4763" s="366" t="s">
        <v>1731</v>
      </c>
      <c r="J4763" s="348" t="str">
        <f t="shared" ca="1" si="148"/>
        <v>OK</v>
      </c>
      <c r="K4763" s="366" t="s">
        <v>1746</v>
      </c>
      <c r="L4763" s="366" t="s">
        <v>2264</v>
      </c>
      <c r="M4763" s="350" t="str">
        <f>IF($B4763="Portfolio","Portfolio",IFERROR(INDEX(DATA_ASSET_CLASSIFICATION!$B$8:$B$24,MATCH($C4763,DATA_ASSET_CLASSIFICATION!$A$8:$A$24,0)),"Review"))</f>
        <v>The Creek, Port Moody</v>
      </c>
      <c r="N4763" s="350" t="str">
        <f>IF($B4763="Portfolio","Portfolio",IFERROR(INDEX(DATA_ASSET_CLASSIFICATION!$U$8:$U$24,MATCH($C4763,DATA_ASSET_CLASSIFICATION!$A$8:$A$24,0)),"Review"))</f>
        <v>New Build</v>
      </c>
      <c r="O4763" s="350" t="str">
        <f>IF($B4763="Portfolio","Portfolio",IFERROR(INDEX(DATA_ASSET_CLASSIFICATION!$AB$8:$AB$13,MATCH($N4763,DATA_ASSET_CLASSIFICATION!$AA$8:$AA$13,0)),"Review"))</f>
        <v>Bucket 1 · New Build</v>
      </c>
      <c r="P4763" s="350" t="str">
        <f>IF($B4763="Portfolio","Portfolio",IFERROR(INDEX(DATA_ASSET_CLASSIFICATION!$C$8:$C$24,MATCH($C4763,DATA_ASSET_CLASSIFICATION!$A$8:$A$24,0)),"Review"))</f>
        <v>Yes</v>
      </c>
      <c r="Q4763" s="350" t="str">
        <f t="shared" ca="1" si="149"/>
        <v>OK</v>
      </c>
    </row>
    <row r="4764" spans="1:17" ht="30">
      <c r="A4764" s="366" t="s">
        <v>6720</v>
      </c>
      <c r="B4764" s="366" t="s">
        <v>231</v>
      </c>
      <c r="C4764" s="348" t="str">
        <f>DATA_PROPERTY_MASTER!$A$20</f>
        <v>BLD_PM</v>
      </c>
      <c r="D4764" s="380">
        <f>'00_PORTFOLIO ROLLUP'!L$12</f>
        <v>2032</v>
      </c>
      <c r="E4764" s="366" t="s">
        <v>1741</v>
      </c>
      <c r="F4764" s="366" t="s">
        <v>1749</v>
      </c>
      <c r="G4764" s="348" t="str">
        <f>"'"&amp;$C4764&amp;"'!rows 56, 63, 68"</f>
        <v>'BLD_PM'!rows 56, 63, 68</v>
      </c>
      <c r="H4764" s="381">
        <f ca="1">IF(IFERROR(INDEX(DATA_PROPERTY_MASTER!$E$5:$E$21,MATCH($C4764,DATA_PROPERTY_MASTER!$A$5:$A$21,0))="Yes",FALSE),(IFERROR(INDEX(INDIRECT("'"&amp;$C4764&amp;"'!$E$56:$Y$56"),1,MATCH($D4764,INDIRECT("'"&amp;$C4764&amp;"'!$E$12:$Y$12"),0)),0)+MAX(IFERROR(INDEX(INDIRECT("'"&amp;$C4764&amp;"'!$E$63:$Y$63"),1,MATCH($D4764,INDIRECT("'"&amp;$C4764&amp;"'!$E$12:$Y$12"),0)),0),0))-(IFERROR(INDEX(INDIRECT("'"&amp;$C4764&amp;"'!$E$68:$Y$68"),1,MATCH($D4764,INDIRECT("'"&amp;$C4764&amp;"'!$E$12:$Y$12"),0)),0)),0)</f>
        <v>0</v>
      </c>
      <c r="I4764" s="366" t="s">
        <v>1750</v>
      </c>
      <c r="J4764" s="348" t="str">
        <f t="shared" ca="1" si="148"/>
        <v>OK</v>
      </c>
      <c r="K4764" s="366" t="s">
        <v>1751</v>
      </c>
      <c r="L4764" s="366" t="s">
        <v>2266</v>
      </c>
      <c r="M4764" s="350" t="str">
        <f>IF($B4764="Portfolio","Portfolio",IFERROR(INDEX(DATA_ASSET_CLASSIFICATION!$B$8:$B$24,MATCH($C4764,DATA_ASSET_CLASSIFICATION!$A$8:$A$24,0)),"Review"))</f>
        <v>The Creek, Port Moody</v>
      </c>
      <c r="N4764" s="350" t="str">
        <f>IF($B4764="Portfolio","Portfolio",IFERROR(INDEX(DATA_ASSET_CLASSIFICATION!$U$8:$U$24,MATCH($C4764,DATA_ASSET_CLASSIFICATION!$A$8:$A$24,0)),"Review"))</f>
        <v>New Build</v>
      </c>
      <c r="O4764" s="350" t="str">
        <f>IF($B4764="Portfolio","Portfolio",IFERROR(INDEX(DATA_ASSET_CLASSIFICATION!$AB$8:$AB$13,MATCH($N4764,DATA_ASSET_CLASSIFICATION!$AA$8:$AA$13,0)),"Review"))</f>
        <v>Bucket 1 · New Build</v>
      </c>
      <c r="P4764" s="350" t="str">
        <f>IF($B4764="Portfolio","Portfolio",IFERROR(INDEX(DATA_ASSET_CLASSIFICATION!$C$8:$C$24,MATCH($C4764,DATA_ASSET_CLASSIFICATION!$A$8:$A$24,0)),"Review"))</f>
        <v>Yes</v>
      </c>
      <c r="Q4764" s="350" t="str">
        <f t="shared" ca="1" si="149"/>
        <v>OK</v>
      </c>
    </row>
    <row r="4765" spans="1:17" ht="30">
      <c r="A4765" s="366" t="s">
        <v>6721</v>
      </c>
      <c r="B4765" s="366" t="s">
        <v>231</v>
      </c>
      <c r="C4765" s="348" t="str">
        <f>DATA_PROPERTY_MASTER!$A$20</f>
        <v>BLD_PM</v>
      </c>
      <c r="D4765" s="380">
        <f>'00_PORTFOLIO ROLLUP'!M$12</f>
        <v>2033</v>
      </c>
      <c r="E4765" s="366" t="s">
        <v>1683</v>
      </c>
      <c r="F4765" s="366" t="s">
        <v>341</v>
      </c>
      <c r="G4765" s="348" t="str">
        <f>"'"&amp;$C4765&amp;"'!$E$24:$Y$24"</f>
        <v>'BLD_PM'!$E$24:$Y$24</v>
      </c>
      <c r="H4765" s="381">
        <f ca="1">IF(IFERROR(INDEX(DATA_PROPERTY_MASTER!$E$5:$E$21,MATCH($C4765,DATA_PROPERTY_MASTER!$A$5:$A$21,0))="Yes",FALSE),IFERROR(INDEX(INDIRECT("'"&amp;$C4765&amp;"'!$E$24:$Y$24"),1,MATCH($D4765,INDIRECT("'"&amp;$C4765&amp;"'!$E$12:$Y$12"),0)),0),0)</f>
        <v>5500048.2861620681</v>
      </c>
      <c r="I4765" s="366" t="s">
        <v>1685</v>
      </c>
      <c r="J4765" s="348" t="str">
        <f t="shared" ca="1" si="148"/>
        <v>OK</v>
      </c>
      <c r="K4765" s="366" t="s">
        <v>1686</v>
      </c>
      <c r="L4765" s="366" t="s">
        <v>2234</v>
      </c>
      <c r="M4765" s="350" t="str">
        <f>IF($B4765="Portfolio","Portfolio",IFERROR(INDEX(DATA_ASSET_CLASSIFICATION!$B$8:$B$24,MATCH($C4765,DATA_ASSET_CLASSIFICATION!$A$8:$A$24,0)),"Review"))</f>
        <v>The Creek, Port Moody</v>
      </c>
      <c r="N4765" s="350" t="str">
        <f>IF($B4765="Portfolio","Portfolio",IFERROR(INDEX(DATA_ASSET_CLASSIFICATION!$U$8:$U$24,MATCH($C4765,DATA_ASSET_CLASSIFICATION!$A$8:$A$24,0)),"Review"))</f>
        <v>New Build</v>
      </c>
      <c r="O4765" s="350" t="str">
        <f>IF($B4765="Portfolio","Portfolio",IFERROR(INDEX(DATA_ASSET_CLASSIFICATION!$AB$8:$AB$13,MATCH($N4765,DATA_ASSET_CLASSIFICATION!$AA$8:$AA$13,0)),"Review"))</f>
        <v>Bucket 1 · New Build</v>
      </c>
      <c r="P4765" s="350" t="str">
        <f>IF($B4765="Portfolio","Portfolio",IFERROR(INDEX(DATA_ASSET_CLASSIFICATION!$C$8:$C$24,MATCH($C4765,DATA_ASSET_CLASSIFICATION!$A$8:$A$24,0)),"Review"))</f>
        <v>Yes</v>
      </c>
      <c r="Q4765" s="350" t="str">
        <f t="shared" ca="1" si="149"/>
        <v>OK</v>
      </c>
    </row>
    <row r="4766" spans="1:17" ht="30">
      <c r="A4766" s="366" t="s">
        <v>6722</v>
      </c>
      <c r="B4766" s="366" t="s">
        <v>231</v>
      </c>
      <c r="C4766" s="348" t="str">
        <f>DATA_PROPERTY_MASTER!$A$20</f>
        <v>BLD_PM</v>
      </c>
      <c r="D4766" s="380">
        <f>'00_PORTFOLIO ROLLUP'!M$12</f>
        <v>2033</v>
      </c>
      <c r="E4766" s="366" t="s">
        <v>1683</v>
      </c>
      <c r="F4766" s="366" t="s">
        <v>355</v>
      </c>
      <c r="G4766" s="348" t="str">
        <f>"'"&amp;$C4766&amp;"'!$E$39:$Y$39"</f>
        <v>'BLD_PM'!$E$39:$Y$39</v>
      </c>
      <c r="H4766" s="381">
        <f ca="1">IF(IFERROR(INDEX(DATA_PROPERTY_MASTER!$E$5:$E$21,MATCH($C4766,DATA_PROPERTY_MASTER!$A$5:$A$21,0))="Yes",FALSE),IFERROR(INDEX(INDIRECT("'"&amp;$C4766&amp;"'!$E$39:$Y$39"),1,MATCH($D4766,INDIRECT("'"&amp;$C4766&amp;"'!$E$12:$Y$12"),0)),0),0)</f>
        <v>241415.58049149034</v>
      </c>
      <c r="I4766" s="366" t="s">
        <v>1690</v>
      </c>
      <c r="J4766" s="348" t="str">
        <f t="shared" ca="1" si="148"/>
        <v>OK</v>
      </c>
      <c r="K4766" s="366" t="s">
        <v>1686</v>
      </c>
      <c r="L4766" s="366" t="s">
        <v>2236</v>
      </c>
      <c r="M4766" s="350" t="str">
        <f>IF($B4766="Portfolio","Portfolio",IFERROR(INDEX(DATA_ASSET_CLASSIFICATION!$B$8:$B$24,MATCH($C4766,DATA_ASSET_CLASSIFICATION!$A$8:$A$24,0)),"Review"))</f>
        <v>The Creek, Port Moody</v>
      </c>
      <c r="N4766" s="350" t="str">
        <f>IF($B4766="Portfolio","Portfolio",IFERROR(INDEX(DATA_ASSET_CLASSIFICATION!$U$8:$U$24,MATCH($C4766,DATA_ASSET_CLASSIFICATION!$A$8:$A$24,0)),"Review"))</f>
        <v>New Build</v>
      </c>
      <c r="O4766" s="350" t="str">
        <f>IF($B4766="Portfolio","Portfolio",IFERROR(INDEX(DATA_ASSET_CLASSIFICATION!$AB$8:$AB$13,MATCH($N4766,DATA_ASSET_CLASSIFICATION!$AA$8:$AA$13,0)),"Review"))</f>
        <v>Bucket 1 · New Build</v>
      </c>
      <c r="P4766" s="350" t="str">
        <f>IF($B4766="Portfolio","Portfolio",IFERROR(INDEX(DATA_ASSET_CLASSIFICATION!$C$8:$C$24,MATCH($C4766,DATA_ASSET_CLASSIFICATION!$A$8:$A$24,0)),"Review"))</f>
        <v>Yes</v>
      </c>
      <c r="Q4766" s="350" t="str">
        <f t="shared" ca="1" si="149"/>
        <v>OK</v>
      </c>
    </row>
    <row r="4767" spans="1:17" ht="30">
      <c r="A4767" s="366" t="s">
        <v>6723</v>
      </c>
      <c r="B4767" s="366" t="s">
        <v>231</v>
      </c>
      <c r="C4767" s="348" t="str">
        <f>DATA_PROPERTY_MASTER!$A$20</f>
        <v>BLD_PM</v>
      </c>
      <c r="D4767" s="380">
        <f>'00_PORTFOLIO ROLLUP'!M$12</f>
        <v>2033</v>
      </c>
      <c r="E4767" s="366" t="s">
        <v>1683</v>
      </c>
      <c r="F4767" s="366" t="s">
        <v>19</v>
      </c>
      <c r="G4767" s="348" t="str">
        <f>"'"&amp;$C4767&amp;"'!$E$41:$Y$41"</f>
        <v>'BLD_PM'!$E$41:$Y$41</v>
      </c>
      <c r="H4767" s="381">
        <f ca="1">IF(IFERROR(INDEX(DATA_PROPERTY_MASTER!$E$5:$E$21,MATCH($C4767,DATA_PROPERTY_MASTER!$A$5:$A$21,0))="Yes",FALSE),IFERROR(INDEX(INDIRECT("'"&amp;$C4767&amp;"'!$E$41:$Y$41"),1,MATCH($D4767,INDIRECT("'"&amp;$C4767&amp;"'!$E$12:$Y$12"),0)),0),0)</f>
        <v>5258632.7056705775</v>
      </c>
      <c r="I4767" s="366" t="s">
        <v>1685</v>
      </c>
      <c r="J4767" s="348" t="str">
        <f t="shared" ca="1" si="148"/>
        <v>OK</v>
      </c>
      <c r="K4767" s="366" t="s">
        <v>1694</v>
      </c>
      <c r="L4767" s="366" t="s">
        <v>2238</v>
      </c>
      <c r="M4767" s="350" t="str">
        <f>IF($B4767="Portfolio","Portfolio",IFERROR(INDEX(DATA_ASSET_CLASSIFICATION!$B$8:$B$24,MATCH($C4767,DATA_ASSET_CLASSIFICATION!$A$8:$A$24,0)),"Review"))</f>
        <v>The Creek, Port Moody</v>
      </c>
      <c r="N4767" s="350" t="str">
        <f>IF($B4767="Portfolio","Portfolio",IFERROR(INDEX(DATA_ASSET_CLASSIFICATION!$U$8:$U$24,MATCH($C4767,DATA_ASSET_CLASSIFICATION!$A$8:$A$24,0)),"Review"))</f>
        <v>New Build</v>
      </c>
      <c r="O4767" s="350" t="str">
        <f>IF($B4767="Portfolio","Portfolio",IFERROR(INDEX(DATA_ASSET_CLASSIFICATION!$AB$8:$AB$13,MATCH($N4767,DATA_ASSET_CLASSIFICATION!$AA$8:$AA$13,0)),"Review"))</f>
        <v>Bucket 1 · New Build</v>
      </c>
      <c r="P4767" s="350" t="str">
        <f>IF($B4767="Portfolio","Portfolio",IFERROR(INDEX(DATA_ASSET_CLASSIFICATION!$C$8:$C$24,MATCH($C4767,DATA_ASSET_CLASSIFICATION!$A$8:$A$24,0)),"Review"))</f>
        <v>Yes</v>
      </c>
      <c r="Q4767" s="350" t="str">
        <f t="shared" ca="1" si="149"/>
        <v>OK</v>
      </c>
    </row>
    <row r="4768" spans="1:17" ht="30">
      <c r="A4768" s="366" t="s">
        <v>6724</v>
      </c>
      <c r="B4768" s="366" t="s">
        <v>231</v>
      </c>
      <c r="C4768" s="348" t="str">
        <f>DATA_PROPERTY_MASTER!$A$20</f>
        <v>BLD_PM</v>
      </c>
      <c r="D4768" s="380">
        <f>'00_PORTFOLIO ROLLUP'!M$12</f>
        <v>2033</v>
      </c>
      <c r="E4768" s="366" t="s">
        <v>1683</v>
      </c>
      <c r="F4768" s="366" t="s">
        <v>1697</v>
      </c>
      <c r="G4768" s="348" t="str">
        <f>"'"&amp;$C4768&amp;"'!$E$44:$Y$44"</f>
        <v>'BLD_PM'!$E$44:$Y$44</v>
      </c>
      <c r="H4768" s="381">
        <f ca="1">IF(IFERROR(INDEX(DATA_PROPERTY_MASTER!$E$5:$E$21,MATCH($C4768,DATA_PROPERTY_MASTER!$A$5:$A$21,0))="Yes",FALSE),IFERROR(INDEX(INDIRECT("'"&amp;$C4768&amp;"'!$E$44:$Y$44"),1,MATCH($D4768,INDIRECT("'"&amp;$C4768&amp;"'!$E$12:$Y$12"),0)),0),0)</f>
        <v>57645.641545311461</v>
      </c>
      <c r="I4768" s="366" t="s">
        <v>1690</v>
      </c>
      <c r="J4768" s="348" t="str">
        <f t="shared" ca="1" si="148"/>
        <v>OK</v>
      </c>
      <c r="K4768" s="366" t="s">
        <v>1699</v>
      </c>
      <c r="L4768" s="366" t="s">
        <v>2240</v>
      </c>
      <c r="M4768" s="350" t="str">
        <f>IF($B4768="Portfolio","Portfolio",IFERROR(INDEX(DATA_ASSET_CLASSIFICATION!$B$8:$B$24,MATCH($C4768,DATA_ASSET_CLASSIFICATION!$A$8:$A$24,0)),"Review"))</f>
        <v>The Creek, Port Moody</v>
      </c>
      <c r="N4768" s="350" t="str">
        <f>IF($B4768="Portfolio","Portfolio",IFERROR(INDEX(DATA_ASSET_CLASSIFICATION!$U$8:$U$24,MATCH($C4768,DATA_ASSET_CLASSIFICATION!$A$8:$A$24,0)),"Review"))</f>
        <v>New Build</v>
      </c>
      <c r="O4768" s="350" t="str">
        <f>IF($B4768="Portfolio","Portfolio",IFERROR(INDEX(DATA_ASSET_CLASSIFICATION!$AB$8:$AB$13,MATCH($N4768,DATA_ASSET_CLASSIFICATION!$AA$8:$AA$13,0)),"Review"))</f>
        <v>Bucket 1 · New Build</v>
      </c>
      <c r="P4768" s="350" t="str">
        <f>IF($B4768="Portfolio","Portfolio",IFERROR(INDEX(DATA_ASSET_CLASSIFICATION!$C$8:$C$24,MATCH($C4768,DATA_ASSET_CLASSIFICATION!$A$8:$A$24,0)),"Review"))</f>
        <v>Yes</v>
      </c>
      <c r="Q4768" s="350" t="str">
        <f t="shared" ca="1" si="149"/>
        <v>OK</v>
      </c>
    </row>
    <row r="4769" spans="1:17" ht="30">
      <c r="A4769" s="366" t="s">
        <v>6725</v>
      </c>
      <c r="B4769" s="366" t="s">
        <v>231</v>
      </c>
      <c r="C4769" s="348" t="str">
        <f>DATA_PROPERTY_MASTER!$A$20</f>
        <v>BLD_PM</v>
      </c>
      <c r="D4769" s="380">
        <f>'00_PORTFOLIO ROLLUP'!M$12</f>
        <v>2033</v>
      </c>
      <c r="E4769" s="366" t="s">
        <v>1683</v>
      </c>
      <c r="F4769" s="366" t="s">
        <v>21</v>
      </c>
      <c r="G4769" s="348" t="str">
        <f>"'"&amp;$C4769&amp;"'!$E$45:$Y$45"</f>
        <v>'BLD_PM'!$E$45:$Y$45</v>
      </c>
      <c r="H4769" s="381">
        <f ca="1">IF(IFERROR(INDEX(DATA_PROPERTY_MASTER!$E$5:$E$21,MATCH($C4769,DATA_PROPERTY_MASTER!$A$5:$A$21,0))="Yes",FALSE),IFERROR(INDEX(INDIRECT("'"&amp;$C4769&amp;"'!$E$45:$Y$45"),1,MATCH($D4769,INDIRECT("'"&amp;$C4769&amp;"'!$E$12:$Y$12"),0)),0),0)</f>
        <v>5200987.0641252659</v>
      </c>
      <c r="I4769" s="366" t="s">
        <v>1685</v>
      </c>
      <c r="J4769" s="348" t="str">
        <f t="shared" ca="1" si="148"/>
        <v>OK</v>
      </c>
      <c r="K4769" s="366" t="s">
        <v>1694</v>
      </c>
      <c r="L4769" s="366" t="s">
        <v>2242</v>
      </c>
      <c r="M4769" s="350" t="str">
        <f>IF($B4769="Portfolio","Portfolio",IFERROR(INDEX(DATA_ASSET_CLASSIFICATION!$B$8:$B$24,MATCH($C4769,DATA_ASSET_CLASSIFICATION!$A$8:$A$24,0)),"Review"))</f>
        <v>The Creek, Port Moody</v>
      </c>
      <c r="N4769" s="350" t="str">
        <f>IF($B4769="Portfolio","Portfolio",IFERROR(INDEX(DATA_ASSET_CLASSIFICATION!$U$8:$U$24,MATCH($C4769,DATA_ASSET_CLASSIFICATION!$A$8:$A$24,0)),"Review"))</f>
        <v>New Build</v>
      </c>
      <c r="O4769" s="350" t="str">
        <f>IF($B4769="Portfolio","Portfolio",IFERROR(INDEX(DATA_ASSET_CLASSIFICATION!$AB$8:$AB$13,MATCH($N4769,DATA_ASSET_CLASSIFICATION!$AA$8:$AA$13,0)),"Review"))</f>
        <v>Bucket 1 · New Build</v>
      </c>
      <c r="P4769" s="350" t="str">
        <f>IF($B4769="Portfolio","Portfolio",IFERROR(INDEX(DATA_ASSET_CLASSIFICATION!$C$8:$C$24,MATCH($C4769,DATA_ASSET_CLASSIFICATION!$A$8:$A$24,0)),"Review"))</f>
        <v>Yes</v>
      </c>
      <c r="Q4769" s="350" t="str">
        <f t="shared" ca="1" si="149"/>
        <v>OK</v>
      </c>
    </row>
    <row r="4770" spans="1:17" ht="30">
      <c r="A4770" s="366" t="s">
        <v>6726</v>
      </c>
      <c r="B4770" s="366" t="s">
        <v>231</v>
      </c>
      <c r="C4770" s="348" t="str">
        <f>DATA_PROPERTY_MASTER!$A$20</f>
        <v>BLD_PM</v>
      </c>
      <c r="D4770" s="380">
        <f>'00_PORTFOLIO ROLLUP'!M$12</f>
        <v>2033</v>
      </c>
      <c r="E4770" s="366" t="s">
        <v>23</v>
      </c>
      <c r="F4770" s="366" t="s">
        <v>23</v>
      </c>
      <c r="G4770" s="348" t="str">
        <f>"'"&amp;$C4770&amp;"'!$E$48:$Y$48"</f>
        <v>'BLD_PM'!$E$48:$Y$48</v>
      </c>
      <c r="H4770" s="381">
        <f ca="1">IF(IFERROR(INDEX(DATA_PROPERTY_MASTER!$E$5:$E$21,MATCH($C4770,DATA_PROPERTY_MASTER!$A$5:$A$21,0))="Yes",FALSE),IFERROR(INDEX(INDIRECT("'"&amp;$C4770&amp;"'!$E$48:$Y$48"),1,MATCH($D4770,INDIRECT("'"&amp;$C4770&amp;"'!$E$12:$Y$12"),0)),0),0)</f>
        <v>3116973.3868276179</v>
      </c>
      <c r="I4770" s="366" t="s">
        <v>1690</v>
      </c>
      <c r="J4770" s="348" t="str">
        <f t="shared" ca="1" si="148"/>
        <v>OK</v>
      </c>
      <c r="K4770" s="366" t="s">
        <v>1706</v>
      </c>
      <c r="L4770" s="366" t="s">
        <v>2244</v>
      </c>
      <c r="M4770" s="350" t="str">
        <f>IF($B4770="Portfolio","Portfolio",IFERROR(INDEX(DATA_ASSET_CLASSIFICATION!$B$8:$B$24,MATCH($C4770,DATA_ASSET_CLASSIFICATION!$A$8:$A$24,0)),"Review"))</f>
        <v>The Creek, Port Moody</v>
      </c>
      <c r="N4770" s="350" t="str">
        <f>IF($B4770="Portfolio","Portfolio",IFERROR(INDEX(DATA_ASSET_CLASSIFICATION!$U$8:$U$24,MATCH($C4770,DATA_ASSET_CLASSIFICATION!$A$8:$A$24,0)),"Review"))</f>
        <v>New Build</v>
      </c>
      <c r="O4770" s="350" t="str">
        <f>IF($B4770="Portfolio","Portfolio",IFERROR(INDEX(DATA_ASSET_CLASSIFICATION!$AB$8:$AB$13,MATCH($N4770,DATA_ASSET_CLASSIFICATION!$AA$8:$AA$13,0)),"Review"))</f>
        <v>Bucket 1 · New Build</v>
      </c>
      <c r="P4770" s="350" t="str">
        <f>IF($B4770="Portfolio","Portfolio",IFERROR(INDEX(DATA_ASSET_CLASSIFICATION!$C$8:$C$24,MATCH($C4770,DATA_ASSET_CLASSIFICATION!$A$8:$A$24,0)),"Review"))</f>
        <v>Yes</v>
      </c>
      <c r="Q4770" s="350" t="str">
        <f t="shared" ca="1" si="149"/>
        <v>OK</v>
      </c>
    </row>
    <row r="4771" spans="1:17" ht="30">
      <c r="A4771" s="366" t="s">
        <v>6727</v>
      </c>
      <c r="B4771" s="366" t="s">
        <v>231</v>
      </c>
      <c r="C4771" s="348" t="str">
        <f>DATA_PROPERTY_MASTER!$A$20</f>
        <v>BLD_PM</v>
      </c>
      <c r="D4771" s="380">
        <f>'00_PORTFOLIO ROLLUP'!M$12</f>
        <v>2033</v>
      </c>
      <c r="E4771" s="366" t="s">
        <v>1683</v>
      </c>
      <c r="F4771" s="366" t="s">
        <v>25</v>
      </c>
      <c r="G4771" s="348" t="str">
        <f>"'"&amp;$C4771&amp;"'!$E$52:$Y$52"</f>
        <v>'BLD_PM'!$E$52:$Y$52</v>
      </c>
      <c r="H4771" s="381">
        <f ca="1">IF(IFERROR(INDEX(DATA_PROPERTY_MASTER!$E$5:$E$21,MATCH($C4771,DATA_PROPERTY_MASTER!$A$5:$A$21,0))="Yes",FALSE),IFERROR(INDEX(INDIRECT("'"&amp;$C4771&amp;"'!$E$52:$Y$52"),1,MATCH($D4771,INDIRECT("'"&amp;$C4771&amp;"'!$E$12:$Y$12"),0)),0),0)</f>
        <v>2141659.3188429596</v>
      </c>
      <c r="I4771" s="366" t="s">
        <v>1685</v>
      </c>
      <c r="J4771" s="348" t="str">
        <f t="shared" ca="1" si="148"/>
        <v>OK</v>
      </c>
      <c r="K4771" s="366" t="s">
        <v>1710</v>
      </c>
      <c r="L4771" s="366" t="s">
        <v>2246</v>
      </c>
      <c r="M4771" s="350" t="str">
        <f>IF($B4771="Portfolio","Portfolio",IFERROR(INDEX(DATA_ASSET_CLASSIFICATION!$B$8:$B$24,MATCH($C4771,DATA_ASSET_CLASSIFICATION!$A$8:$A$24,0)),"Review"))</f>
        <v>The Creek, Port Moody</v>
      </c>
      <c r="N4771" s="350" t="str">
        <f>IF($B4771="Portfolio","Portfolio",IFERROR(INDEX(DATA_ASSET_CLASSIFICATION!$U$8:$U$24,MATCH($C4771,DATA_ASSET_CLASSIFICATION!$A$8:$A$24,0)),"Review"))</f>
        <v>New Build</v>
      </c>
      <c r="O4771" s="350" t="str">
        <f>IF($B4771="Portfolio","Portfolio",IFERROR(INDEX(DATA_ASSET_CLASSIFICATION!$AB$8:$AB$13,MATCH($N4771,DATA_ASSET_CLASSIFICATION!$AA$8:$AA$13,0)),"Review"))</f>
        <v>Bucket 1 · New Build</v>
      </c>
      <c r="P4771" s="350" t="str">
        <f>IF($B4771="Portfolio","Portfolio",IFERROR(INDEX(DATA_ASSET_CLASSIFICATION!$C$8:$C$24,MATCH($C4771,DATA_ASSET_CLASSIFICATION!$A$8:$A$24,0)),"Review"))</f>
        <v>Yes</v>
      </c>
      <c r="Q4771" s="350" t="str">
        <f t="shared" ca="1" si="149"/>
        <v>OK</v>
      </c>
    </row>
    <row r="4772" spans="1:17" ht="30">
      <c r="A4772" s="366" t="s">
        <v>6728</v>
      </c>
      <c r="B4772" s="366" t="s">
        <v>231</v>
      </c>
      <c r="C4772" s="348" t="str">
        <f>DATA_PROPERTY_MASTER!$A$20</f>
        <v>BLD_PM</v>
      </c>
      <c r="D4772" s="380">
        <f>'00_PORTFOLIO ROLLUP'!M$12</f>
        <v>2033</v>
      </c>
      <c r="E4772" s="366" t="s">
        <v>1683</v>
      </c>
      <c r="F4772" s="366" t="s">
        <v>27</v>
      </c>
      <c r="G4772" s="348" t="str">
        <f>"'"&amp;$C4772&amp;"'!$E$54:$Y$54"</f>
        <v>'BLD_PM'!$E$54:$Y$54</v>
      </c>
      <c r="H4772" s="381">
        <f ca="1">IF(IFERROR(INDEX(DATA_PROPERTY_MASTER!$E$5:$E$21,MATCH($C4772,DATA_PROPERTY_MASTER!$A$5:$A$21,0))="Yes",FALSE),IFERROR(INDEX(INDIRECT("'"&amp;$C4772&amp;"'!$E$54:$Y$54"),1,MATCH($D4772,INDIRECT("'"&amp;$C4772&amp;"'!$E$12:$Y$12"),0)),0),0)</f>
        <v>1284995.5913057758</v>
      </c>
      <c r="I4772" s="366" t="s">
        <v>1690</v>
      </c>
      <c r="J4772" s="348" t="str">
        <f t="shared" ca="1" si="148"/>
        <v>OK</v>
      </c>
      <c r="K4772" s="366" t="s">
        <v>1714</v>
      </c>
      <c r="L4772" s="366" t="s">
        <v>2248</v>
      </c>
      <c r="M4772" s="350" t="str">
        <f>IF($B4772="Portfolio","Portfolio",IFERROR(INDEX(DATA_ASSET_CLASSIFICATION!$B$8:$B$24,MATCH($C4772,DATA_ASSET_CLASSIFICATION!$A$8:$A$24,0)),"Review"))</f>
        <v>The Creek, Port Moody</v>
      </c>
      <c r="N4772" s="350" t="str">
        <f>IF($B4772="Portfolio","Portfolio",IFERROR(INDEX(DATA_ASSET_CLASSIFICATION!$U$8:$U$24,MATCH($C4772,DATA_ASSET_CLASSIFICATION!$A$8:$A$24,0)),"Review"))</f>
        <v>New Build</v>
      </c>
      <c r="O4772" s="350" t="str">
        <f>IF($B4772="Portfolio","Portfolio",IFERROR(INDEX(DATA_ASSET_CLASSIFICATION!$AB$8:$AB$13,MATCH($N4772,DATA_ASSET_CLASSIFICATION!$AA$8:$AA$13,0)),"Review"))</f>
        <v>Bucket 1 · New Build</v>
      </c>
      <c r="P4772" s="350" t="str">
        <f>IF($B4772="Portfolio","Portfolio",IFERROR(INDEX(DATA_ASSET_CLASSIFICATION!$C$8:$C$24,MATCH($C4772,DATA_ASSET_CLASSIFICATION!$A$8:$A$24,0)),"Review"))</f>
        <v>Yes</v>
      </c>
      <c r="Q4772" s="350" t="str">
        <f t="shared" ca="1" si="149"/>
        <v>OK</v>
      </c>
    </row>
    <row r="4773" spans="1:17" ht="30">
      <c r="A4773" s="366" t="s">
        <v>6729</v>
      </c>
      <c r="B4773" s="366" t="s">
        <v>231</v>
      </c>
      <c r="C4773" s="348" t="str">
        <f>DATA_PROPERTY_MASTER!$A$20</f>
        <v>BLD_PM</v>
      </c>
      <c r="D4773" s="380">
        <f>'00_PORTFOLIO ROLLUP'!M$12</f>
        <v>2033</v>
      </c>
      <c r="E4773" s="366" t="s">
        <v>1683</v>
      </c>
      <c r="F4773" s="366" t="s">
        <v>29</v>
      </c>
      <c r="G4773" s="348" t="str">
        <f>"'"&amp;$C4773&amp;"'!$E$56:$Y$56"</f>
        <v>'BLD_PM'!$E$56:$Y$56</v>
      </c>
      <c r="H4773" s="381">
        <f ca="1">IF(IFERROR(INDEX(DATA_PROPERTY_MASTER!$E$5:$E$21,MATCH($C4773,DATA_PROPERTY_MASTER!$A$5:$A$21,0))="Yes",FALSE),IFERROR(INDEX(INDIRECT("'"&amp;$C4773&amp;"'!$E$56:$Y$56"),1,MATCH($D4773,INDIRECT("'"&amp;$C4773&amp;"'!$E$12:$Y$12"),0)),0),0)</f>
        <v>856663.72753718379</v>
      </c>
      <c r="I4773" s="366" t="s">
        <v>1685</v>
      </c>
      <c r="J4773" s="348" t="str">
        <f t="shared" ca="1" si="148"/>
        <v>OK</v>
      </c>
      <c r="K4773" s="366" t="s">
        <v>1718</v>
      </c>
      <c r="L4773" s="366" t="s">
        <v>2250</v>
      </c>
      <c r="M4773" s="350" t="str">
        <f>IF($B4773="Portfolio","Portfolio",IFERROR(INDEX(DATA_ASSET_CLASSIFICATION!$B$8:$B$24,MATCH($C4773,DATA_ASSET_CLASSIFICATION!$A$8:$A$24,0)),"Review"))</f>
        <v>The Creek, Port Moody</v>
      </c>
      <c r="N4773" s="350" t="str">
        <f>IF($B4773="Portfolio","Portfolio",IFERROR(INDEX(DATA_ASSET_CLASSIFICATION!$U$8:$U$24,MATCH($C4773,DATA_ASSET_CLASSIFICATION!$A$8:$A$24,0)),"Review"))</f>
        <v>New Build</v>
      </c>
      <c r="O4773" s="350" t="str">
        <f>IF($B4773="Portfolio","Portfolio",IFERROR(INDEX(DATA_ASSET_CLASSIFICATION!$AB$8:$AB$13,MATCH($N4773,DATA_ASSET_CLASSIFICATION!$AA$8:$AA$13,0)),"Review"))</f>
        <v>Bucket 1 · New Build</v>
      </c>
      <c r="P4773" s="350" t="str">
        <f>IF($B4773="Portfolio","Portfolio",IFERROR(INDEX(DATA_ASSET_CLASSIFICATION!$C$8:$C$24,MATCH($C4773,DATA_ASSET_CLASSIFICATION!$A$8:$A$24,0)),"Review"))</f>
        <v>Yes</v>
      </c>
      <c r="Q4773" s="350" t="str">
        <f t="shared" ca="1" si="149"/>
        <v>OK</v>
      </c>
    </row>
    <row r="4774" spans="1:17" ht="30">
      <c r="A4774" s="366" t="s">
        <v>6730</v>
      </c>
      <c r="B4774" s="366" t="s">
        <v>231</v>
      </c>
      <c r="C4774" s="348" t="str">
        <f>DATA_PROPERTY_MASTER!$A$20</f>
        <v>BLD_PM</v>
      </c>
      <c r="D4774" s="380">
        <f>'00_PORTFOLIO ROLLUP'!M$12</f>
        <v>2033</v>
      </c>
      <c r="E4774" s="366" t="s">
        <v>1721</v>
      </c>
      <c r="F4774" s="366" t="s">
        <v>31</v>
      </c>
      <c r="G4774" s="348" t="str">
        <f>"'"&amp;$C4774&amp;"'!$E$61:$Y$61"</f>
        <v>'BLD_PM'!$E$61:$Y$61</v>
      </c>
      <c r="H4774" s="381">
        <f ca="1">IF(IFERROR(INDEX(DATA_PROPERTY_MASTER!$E$5:$E$21,MATCH($C4774,DATA_PROPERTY_MASTER!$A$5:$A$21,0))="Yes",FALSE),IFERROR(INDEX(INDIRECT("'"&amp;$C4774&amp;"'!$E$61:$Y$61"),1,MATCH($D4774,INDIRECT("'"&amp;$C4774&amp;"'!$E$12:$Y$12"),0)),0),0)</f>
        <v>0</v>
      </c>
      <c r="I4774" s="366" t="s">
        <v>1690</v>
      </c>
      <c r="J4774" s="348" t="str">
        <f t="shared" ca="1" si="148"/>
        <v>OK</v>
      </c>
      <c r="K4774" s="366" t="s">
        <v>1723</v>
      </c>
      <c r="L4774" s="366" t="s">
        <v>2252</v>
      </c>
      <c r="M4774" s="350" t="str">
        <f>IF($B4774="Portfolio","Portfolio",IFERROR(INDEX(DATA_ASSET_CLASSIFICATION!$B$8:$B$24,MATCH($C4774,DATA_ASSET_CLASSIFICATION!$A$8:$A$24,0)),"Review"))</f>
        <v>The Creek, Port Moody</v>
      </c>
      <c r="N4774" s="350" t="str">
        <f>IF($B4774="Portfolio","Portfolio",IFERROR(INDEX(DATA_ASSET_CLASSIFICATION!$U$8:$U$24,MATCH($C4774,DATA_ASSET_CLASSIFICATION!$A$8:$A$24,0)),"Review"))</f>
        <v>New Build</v>
      </c>
      <c r="O4774" s="350" t="str">
        <f>IF($B4774="Portfolio","Portfolio",IFERROR(INDEX(DATA_ASSET_CLASSIFICATION!$AB$8:$AB$13,MATCH($N4774,DATA_ASSET_CLASSIFICATION!$AA$8:$AA$13,0)),"Review"))</f>
        <v>Bucket 1 · New Build</v>
      </c>
      <c r="P4774" s="350" t="str">
        <f>IF($B4774="Portfolio","Portfolio",IFERROR(INDEX(DATA_ASSET_CLASSIFICATION!$C$8:$C$24,MATCH($C4774,DATA_ASSET_CLASSIFICATION!$A$8:$A$24,0)),"Review"))</f>
        <v>Yes</v>
      </c>
      <c r="Q4774" s="350" t="str">
        <f t="shared" ca="1" si="149"/>
        <v>OK</v>
      </c>
    </row>
    <row r="4775" spans="1:17" ht="30">
      <c r="A4775" s="366" t="s">
        <v>6731</v>
      </c>
      <c r="B4775" s="366" t="s">
        <v>231</v>
      </c>
      <c r="C4775" s="348" t="str">
        <f>DATA_PROPERTY_MASTER!$A$20</f>
        <v>BLD_PM</v>
      </c>
      <c r="D4775" s="380">
        <f>'00_PORTFOLIO ROLLUP'!M$12</f>
        <v>2033</v>
      </c>
      <c r="E4775" s="366" t="s">
        <v>1721</v>
      </c>
      <c r="F4775" s="366" t="s">
        <v>33</v>
      </c>
      <c r="G4775" s="348" t="str">
        <f>"'"&amp;$C4775&amp;"'!$E$62:$Y$62"</f>
        <v>'BLD_PM'!$E$62:$Y$62</v>
      </c>
      <c r="H4775" s="381">
        <f ca="1">IF(IFERROR(INDEX(DATA_PROPERTY_MASTER!$E$5:$E$21,MATCH($C4775,DATA_PROPERTY_MASTER!$A$5:$A$21,0))="Yes",FALSE),IFERROR(INDEX(INDIRECT("'"&amp;$C4775&amp;"'!$E$62:$Y$62"),1,MATCH($D4775,INDIRECT("'"&amp;$C4775&amp;"'!$E$12:$Y$12"),0)),0),0)</f>
        <v>0</v>
      </c>
      <c r="I4775" s="366" t="s">
        <v>1685</v>
      </c>
      <c r="J4775" s="348" t="str">
        <f t="shared" ca="1" si="148"/>
        <v>OK</v>
      </c>
      <c r="K4775" s="366" t="s">
        <v>1727</v>
      </c>
      <c r="L4775" s="366" t="s">
        <v>2254</v>
      </c>
      <c r="M4775" s="350" t="str">
        <f>IF($B4775="Portfolio","Portfolio",IFERROR(INDEX(DATA_ASSET_CLASSIFICATION!$B$8:$B$24,MATCH($C4775,DATA_ASSET_CLASSIFICATION!$A$8:$A$24,0)),"Review"))</f>
        <v>The Creek, Port Moody</v>
      </c>
      <c r="N4775" s="350" t="str">
        <f>IF($B4775="Portfolio","Portfolio",IFERROR(INDEX(DATA_ASSET_CLASSIFICATION!$U$8:$U$24,MATCH($C4775,DATA_ASSET_CLASSIFICATION!$A$8:$A$24,0)),"Review"))</f>
        <v>New Build</v>
      </c>
      <c r="O4775" s="350" t="str">
        <f>IF($B4775="Portfolio","Portfolio",IFERROR(INDEX(DATA_ASSET_CLASSIFICATION!$AB$8:$AB$13,MATCH($N4775,DATA_ASSET_CLASSIFICATION!$AA$8:$AA$13,0)),"Review"))</f>
        <v>Bucket 1 · New Build</v>
      </c>
      <c r="P4775" s="350" t="str">
        <f>IF($B4775="Portfolio","Portfolio",IFERROR(INDEX(DATA_ASSET_CLASSIFICATION!$C$8:$C$24,MATCH($C4775,DATA_ASSET_CLASSIFICATION!$A$8:$A$24,0)),"Review"))</f>
        <v>Yes</v>
      </c>
      <c r="Q4775" s="350" t="str">
        <f t="shared" ca="1" si="149"/>
        <v>OK</v>
      </c>
    </row>
    <row r="4776" spans="1:17" ht="30">
      <c r="A4776" s="366" t="s">
        <v>6732</v>
      </c>
      <c r="B4776" s="366" t="s">
        <v>231</v>
      </c>
      <c r="C4776" s="348" t="str">
        <f>DATA_PROPERTY_MASTER!$A$20</f>
        <v>BLD_PM</v>
      </c>
      <c r="D4776" s="380">
        <f>'00_PORTFOLIO ROLLUP'!M$12</f>
        <v>2033</v>
      </c>
      <c r="E4776" s="366" t="s">
        <v>1721</v>
      </c>
      <c r="F4776" s="366" t="s">
        <v>35</v>
      </c>
      <c r="G4776" s="348" t="str">
        <f>"'"&amp;$C4776&amp;"'!$E$63:$Y$63"</f>
        <v>'BLD_PM'!$E$63:$Y$63</v>
      </c>
      <c r="H4776" s="381">
        <f ca="1">IF(IFERROR(INDEX(DATA_PROPERTY_MASTER!$E$5:$E$21,MATCH($C4776,DATA_PROPERTY_MASTER!$A$5:$A$21,0))="Yes",FALSE),IFERROR(INDEX(INDIRECT("'"&amp;$C4776&amp;"'!$E$63:$Y$63"),1,MATCH($D4776,INDIRECT("'"&amp;$C4776&amp;"'!$E$12:$Y$12"),0)),0),0)</f>
        <v>0</v>
      </c>
      <c r="I4776" s="366" t="s">
        <v>1731</v>
      </c>
      <c r="J4776" s="348" t="str">
        <f t="shared" ca="1" si="148"/>
        <v>OK</v>
      </c>
      <c r="K4776" s="366" t="s">
        <v>1732</v>
      </c>
      <c r="L4776" s="366" t="s">
        <v>2256</v>
      </c>
      <c r="M4776" s="350" t="str">
        <f>IF($B4776="Portfolio","Portfolio",IFERROR(INDEX(DATA_ASSET_CLASSIFICATION!$B$8:$B$24,MATCH($C4776,DATA_ASSET_CLASSIFICATION!$A$8:$A$24,0)),"Review"))</f>
        <v>The Creek, Port Moody</v>
      </c>
      <c r="N4776" s="350" t="str">
        <f>IF($B4776="Portfolio","Portfolio",IFERROR(INDEX(DATA_ASSET_CLASSIFICATION!$U$8:$U$24,MATCH($C4776,DATA_ASSET_CLASSIFICATION!$A$8:$A$24,0)),"Review"))</f>
        <v>New Build</v>
      </c>
      <c r="O4776" s="350" t="str">
        <f>IF($B4776="Portfolio","Portfolio",IFERROR(INDEX(DATA_ASSET_CLASSIFICATION!$AB$8:$AB$13,MATCH($N4776,DATA_ASSET_CLASSIFICATION!$AA$8:$AA$13,0)),"Review"))</f>
        <v>Bucket 1 · New Build</v>
      </c>
      <c r="P4776" s="350" t="str">
        <f>IF($B4776="Portfolio","Portfolio",IFERROR(INDEX(DATA_ASSET_CLASSIFICATION!$C$8:$C$24,MATCH($C4776,DATA_ASSET_CLASSIFICATION!$A$8:$A$24,0)),"Review"))</f>
        <v>Yes</v>
      </c>
      <c r="Q4776" s="350" t="str">
        <f t="shared" ca="1" si="149"/>
        <v>OK</v>
      </c>
    </row>
    <row r="4777" spans="1:17" ht="30">
      <c r="A4777" s="366" t="s">
        <v>6733</v>
      </c>
      <c r="B4777" s="366" t="s">
        <v>231</v>
      </c>
      <c r="C4777" s="348" t="str">
        <f>DATA_PROPERTY_MASTER!$A$20</f>
        <v>BLD_PM</v>
      </c>
      <c r="D4777" s="380">
        <f>'00_PORTFOLIO ROLLUP'!M$12</f>
        <v>2033</v>
      </c>
      <c r="E4777" s="366" t="s">
        <v>1721</v>
      </c>
      <c r="F4777" s="366" t="s">
        <v>37</v>
      </c>
      <c r="G4777" s="348" t="str">
        <f>"'"&amp;$C4777&amp;"'!$E$63:$Y$63"</f>
        <v>'BLD_PM'!$E$63:$Y$63</v>
      </c>
      <c r="H4777" s="381">
        <f ca="1">IF(IFERROR(INDEX(DATA_PROPERTY_MASTER!$E$5:$E$21,MATCH($C4777,DATA_PROPERTY_MASTER!$A$5:$A$21,0))="Yes",FALSE),MAX(IFERROR(INDEX(INDIRECT("'"&amp;$C4777&amp;"'!$E$63:$Y$63"),1,MATCH($D4777,INDIRECT("'"&amp;$C4777&amp;"'!$E$12:$Y$12"),0)),0),0),0)</f>
        <v>0</v>
      </c>
      <c r="I4777" s="366" t="s">
        <v>1685</v>
      </c>
      <c r="J4777" s="348" t="str">
        <f t="shared" ca="1" si="148"/>
        <v>OK</v>
      </c>
      <c r="K4777" s="366" t="s">
        <v>1735</v>
      </c>
      <c r="L4777" s="366" t="s">
        <v>2258</v>
      </c>
      <c r="M4777" s="350" t="str">
        <f>IF($B4777="Portfolio","Portfolio",IFERROR(INDEX(DATA_ASSET_CLASSIFICATION!$B$8:$B$24,MATCH($C4777,DATA_ASSET_CLASSIFICATION!$A$8:$A$24,0)),"Review"))</f>
        <v>The Creek, Port Moody</v>
      </c>
      <c r="N4777" s="350" t="str">
        <f>IF($B4777="Portfolio","Portfolio",IFERROR(INDEX(DATA_ASSET_CLASSIFICATION!$U$8:$U$24,MATCH($C4777,DATA_ASSET_CLASSIFICATION!$A$8:$A$24,0)),"Review"))</f>
        <v>New Build</v>
      </c>
      <c r="O4777" s="350" t="str">
        <f>IF($B4777="Portfolio","Portfolio",IFERROR(INDEX(DATA_ASSET_CLASSIFICATION!$AB$8:$AB$13,MATCH($N4777,DATA_ASSET_CLASSIFICATION!$AA$8:$AA$13,0)),"Review"))</f>
        <v>Bucket 1 · New Build</v>
      </c>
      <c r="P4777" s="350" t="str">
        <f>IF($B4777="Portfolio","Portfolio",IFERROR(INDEX(DATA_ASSET_CLASSIFICATION!$C$8:$C$24,MATCH($C4777,DATA_ASSET_CLASSIFICATION!$A$8:$A$24,0)),"Review"))</f>
        <v>Yes</v>
      </c>
      <c r="Q4777" s="350" t="str">
        <f t="shared" ca="1" si="149"/>
        <v>OK</v>
      </c>
    </row>
    <row r="4778" spans="1:17" ht="30">
      <c r="A4778" s="366" t="s">
        <v>6734</v>
      </c>
      <c r="B4778" s="366" t="s">
        <v>231</v>
      </c>
      <c r="C4778" s="348" t="str">
        <f>DATA_PROPERTY_MASTER!$A$20</f>
        <v>BLD_PM</v>
      </c>
      <c r="D4778" s="380">
        <f>'00_PORTFOLIO ROLLUP'!M$12</f>
        <v>2033</v>
      </c>
      <c r="E4778" s="366" t="s">
        <v>1721</v>
      </c>
      <c r="F4778" s="366" t="s">
        <v>39</v>
      </c>
      <c r="G4778" s="348" t="str">
        <f>"'"&amp;$C4778&amp;"'!$E$63:$Y$63"</f>
        <v>'BLD_PM'!$E$63:$Y$63</v>
      </c>
      <c r="H4778" s="381">
        <f ca="1">IF(IFERROR(INDEX(DATA_PROPERTY_MASTER!$E$5:$E$21,MATCH($C4778,DATA_PROPERTY_MASTER!$A$5:$A$21,0))="Yes",FALSE),MAX(-IFERROR(INDEX(INDIRECT("'"&amp;$C4778&amp;"'!$E$63:$Y$63"),1,MATCH($D4778,INDIRECT("'"&amp;$C4778&amp;"'!$E$12:$Y$12"),0)),0),0),0)</f>
        <v>0</v>
      </c>
      <c r="I4778" s="366" t="s">
        <v>1690</v>
      </c>
      <c r="J4778" s="348" t="str">
        <f t="shared" ca="1" si="148"/>
        <v>OK</v>
      </c>
      <c r="K4778" s="366" t="s">
        <v>1738</v>
      </c>
      <c r="L4778" s="366" t="s">
        <v>2260</v>
      </c>
      <c r="M4778" s="350" t="str">
        <f>IF($B4778="Portfolio","Portfolio",IFERROR(INDEX(DATA_ASSET_CLASSIFICATION!$B$8:$B$24,MATCH($C4778,DATA_ASSET_CLASSIFICATION!$A$8:$A$24,0)),"Review"))</f>
        <v>The Creek, Port Moody</v>
      </c>
      <c r="N4778" s="350" t="str">
        <f>IF($B4778="Portfolio","Portfolio",IFERROR(INDEX(DATA_ASSET_CLASSIFICATION!$U$8:$U$24,MATCH($C4778,DATA_ASSET_CLASSIFICATION!$A$8:$A$24,0)),"Review"))</f>
        <v>New Build</v>
      </c>
      <c r="O4778" s="350" t="str">
        <f>IF($B4778="Portfolio","Portfolio",IFERROR(INDEX(DATA_ASSET_CLASSIFICATION!$AB$8:$AB$13,MATCH($N4778,DATA_ASSET_CLASSIFICATION!$AA$8:$AA$13,0)),"Review"))</f>
        <v>Bucket 1 · New Build</v>
      </c>
      <c r="P4778" s="350" t="str">
        <f>IF($B4778="Portfolio","Portfolio",IFERROR(INDEX(DATA_ASSET_CLASSIFICATION!$C$8:$C$24,MATCH($C4778,DATA_ASSET_CLASSIFICATION!$A$8:$A$24,0)),"Review"))</f>
        <v>Yes</v>
      </c>
      <c r="Q4778" s="350" t="str">
        <f t="shared" ca="1" si="149"/>
        <v>OK</v>
      </c>
    </row>
    <row r="4779" spans="1:17" ht="30">
      <c r="A4779" s="366" t="s">
        <v>6735</v>
      </c>
      <c r="B4779" s="366" t="s">
        <v>231</v>
      </c>
      <c r="C4779" s="348" t="str">
        <f>DATA_PROPERTY_MASTER!$A$20</f>
        <v>BLD_PM</v>
      </c>
      <c r="D4779" s="380">
        <f>'00_PORTFOLIO ROLLUP'!M$12</f>
        <v>2033</v>
      </c>
      <c r="E4779" s="366" t="s">
        <v>1741</v>
      </c>
      <c r="F4779" s="366" t="s">
        <v>41</v>
      </c>
      <c r="G4779" s="348" t="str">
        <f>"'"&amp;$C4779&amp;"'!rows 56 + positive row 63"</f>
        <v>'BLD_PM'!rows 56 + positive row 63</v>
      </c>
      <c r="H4779" s="381">
        <f ca="1">IF(IFERROR(INDEX(DATA_PROPERTY_MASTER!$E$5:$E$21,MATCH($C4779,DATA_PROPERTY_MASTER!$A$5:$A$21,0))="Yes",FALSE),IFERROR(INDEX(INDIRECT("'"&amp;$C4779&amp;"'!$E$56:$Y$56"),1,MATCH($D4779,INDIRECT("'"&amp;$C4779&amp;"'!$E$12:$Y$12"),0)),0)+MAX(IFERROR(INDEX(INDIRECT("'"&amp;$C4779&amp;"'!$E$63:$Y$63"),1,MATCH($D4779,INDIRECT("'"&amp;$C4779&amp;"'!$E$12:$Y$12"),0)),0),0),0)</f>
        <v>856663.72753718379</v>
      </c>
      <c r="I4779" s="366" t="s">
        <v>1685</v>
      </c>
      <c r="J4779" s="348" t="str">
        <f t="shared" ca="1" si="148"/>
        <v>OK</v>
      </c>
      <c r="K4779" s="366" t="s">
        <v>1742</v>
      </c>
      <c r="L4779" s="366" t="s">
        <v>2262</v>
      </c>
      <c r="M4779" s="350" t="str">
        <f>IF($B4779="Portfolio","Portfolio",IFERROR(INDEX(DATA_ASSET_CLASSIFICATION!$B$8:$B$24,MATCH($C4779,DATA_ASSET_CLASSIFICATION!$A$8:$A$24,0)),"Review"))</f>
        <v>The Creek, Port Moody</v>
      </c>
      <c r="N4779" s="350" t="str">
        <f>IF($B4779="Portfolio","Portfolio",IFERROR(INDEX(DATA_ASSET_CLASSIFICATION!$U$8:$U$24,MATCH($C4779,DATA_ASSET_CLASSIFICATION!$A$8:$A$24,0)),"Review"))</f>
        <v>New Build</v>
      </c>
      <c r="O4779" s="350" t="str">
        <f>IF($B4779="Portfolio","Portfolio",IFERROR(INDEX(DATA_ASSET_CLASSIFICATION!$AB$8:$AB$13,MATCH($N4779,DATA_ASSET_CLASSIFICATION!$AA$8:$AA$13,0)),"Review"))</f>
        <v>Bucket 1 · New Build</v>
      </c>
      <c r="P4779" s="350" t="str">
        <f>IF($B4779="Portfolio","Portfolio",IFERROR(INDEX(DATA_ASSET_CLASSIFICATION!$C$8:$C$24,MATCH($C4779,DATA_ASSET_CLASSIFICATION!$A$8:$A$24,0)),"Review"))</f>
        <v>Yes</v>
      </c>
      <c r="Q4779" s="350" t="str">
        <f t="shared" ca="1" si="149"/>
        <v>OK</v>
      </c>
    </row>
    <row r="4780" spans="1:17" ht="30">
      <c r="A4780" s="366" t="s">
        <v>6736</v>
      </c>
      <c r="B4780" s="366" t="s">
        <v>231</v>
      </c>
      <c r="C4780" s="348" t="str">
        <f>DATA_PROPERTY_MASTER!$A$20</f>
        <v>BLD_PM</v>
      </c>
      <c r="D4780" s="380">
        <f>'00_PORTFOLIO ROLLUP'!M$12</f>
        <v>2033</v>
      </c>
      <c r="E4780" s="366" t="s">
        <v>1741</v>
      </c>
      <c r="F4780" s="366" t="s">
        <v>43</v>
      </c>
      <c r="G4780" s="348" t="str">
        <f>"'"&amp;$C4780&amp;"'!$E$68:$Y$68"</f>
        <v>'BLD_PM'!$E$68:$Y$68</v>
      </c>
      <c r="H4780" s="381">
        <f ca="1">IF(IFERROR(INDEX(DATA_PROPERTY_MASTER!$E$5:$E$21,MATCH($C4780,DATA_PROPERTY_MASTER!$A$5:$A$21,0))="Yes",FALSE),IFERROR(INDEX(INDIRECT("'"&amp;$C4780&amp;"'!$E$68:$Y$68"),1,MATCH($D4780,INDIRECT("'"&amp;$C4780&amp;"'!$E$12:$Y$12"),0)),0),0)</f>
        <v>856663.72753718379</v>
      </c>
      <c r="I4780" s="366" t="s">
        <v>1731</v>
      </c>
      <c r="J4780" s="348" t="str">
        <f t="shared" ca="1" si="148"/>
        <v>OK</v>
      </c>
      <c r="K4780" s="366" t="s">
        <v>1746</v>
      </c>
      <c r="L4780" s="366" t="s">
        <v>2264</v>
      </c>
      <c r="M4780" s="350" t="str">
        <f>IF($B4780="Portfolio","Portfolio",IFERROR(INDEX(DATA_ASSET_CLASSIFICATION!$B$8:$B$24,MATCH($C4780,DATA_ASSET_CLASSIFICATION!$A$8:$A$24,0)),"Review"))</f>
        <v>The Creek, Port Moody</v>
      </c>
      <c r="N4780" s="350" t="str">
        <f>IF($B4780="Portfolio","Portfolio",IFERROR(INDEX(DATA_ASSET_CLASSIFICATION!$U$8:$U$24,MATCH($C4780,DATA_ASSET_CLASSIFICATION!$A$8:$A$24,0)),"Review"))</f>
        <v>New Build</v>
      </c>
      <c r="O4780" s="350" t="str">
        <f>IF($B4780="Portfolio","Portfolio",IFERROR(INDEX(DATA_ASSET_CLASSIFICATION!$AB$8:$AB$13,MATCH($N4780,DATA_ASSET_CLASSIFICATION!$AA$8:$AA$13,0)),"Review"))</f>
        <v>Bucket 1 · New Build</v>
      </c>
      <c r="P4780" s="350" t="str">
        <f>IF($B4780="Portfolio","Portfolio",IFERROR(INDEX(DATA_ASSET_CLASSIFICATION!$C$8:$C$24,MATCH($C4780,DATA_ASSET_CLASSIFICATION!$A$8:$A$24,0)),"Review"))</f>
        <v>Yes</v>
      </c>
      <c r="Q4780" s="350" t="str">
        <f t="shared" ca="1" si="149"/>
        <v>OK</v>
      </c>
    </row>
    <row r="4781" spans="1:17" ht="30">
      <c r="A4781" s="366" t="s">
        <v>6737</v>
      </c>
      <c r="B4781" s="366" t="s">
        <v>231</v>
      </c>
      <c r="C4781" s="348" t="str">
        <f>DATA_PROPERTY_MASTER!$A$20</f>
        <v>BLD_PM</v>
      </c>
      <c r="D4781" s="380">
        <f>'00_PORTFOLIO ROLLUP'!M$12</f>
        <v>2033</v>
      </c>
      <c r="E4781" s="366" t="s">
        <v>1741</v>
      </c>
      <c r="F4781" s="366" t="s">
        <v>1749</v>
      </c>
      <c r="G4781" s="348" t="str">
        <f>"'"&amp;$C4781&amp;"'!rows 56, 63, 68"</f>
        <v>'BLD_PM'!rows 56, 63, 68</v>
      </c>
      <c r="H4781" s="381">
        <f ca="1">IF(IFERROR(INDEX(DATA_PROPERTY_MASTER!$E$5:$E$21,MATCH($C4781,DATA_PROPERTY_MASTER!$A$5:$A$21,0))="Yes",FALSE),(IFERROR(INDEX(INDIRECT("'"&amp;$C4781&amp;"'!$E$56:$Y$56"),1,MATCH($D4781,INDIRECT("'"&amp;$C4781&amp;"'!$E$12:$Y$12"),0)),0)+MAX(IFERROR(INDEX(INDIRECT("'"&amp;$C4781&amp;"'!$E$63:$Y$63"),1,MATCH($D4781,INDIRECT("'"&amp;$C4781&amp;"'!$E$12:$Y$12"),0)),0),0))-(IFERROR(INDEX(INDIRECT("'"&amp;$C4781&amp;"'!$E$68:$Y$68"),1,MATCH($D4781,INDIRECT("'"&amp;$C4781&amp;"'!$E$12:$Y$12"),0)),0)),0)</f>
        <v>0</v>
      </c>
      <c r="I4781" s="366" t="s">
        <v>1750</v>
      </c>
      <c r="J4781" s="348" t="str">
        <f t="shared" ca="1" si="148"/>
        <v>OK</v>
      </c>
      <c r="K4781" s="366" t="s">
        <v>1751</v>
      </c>
      <c r="L4781" s="366" t="s">
        <v>2266</v>
      </c>
      <c r="M4781" s="350" t="str">
        <f>IF($B4781="Portfolio","Portfolio",IFERROR(INDEX(DATA_ASSET_CLASSIFICATION!$B$8:$B$24,MATCH($C4781,DATA_ASSET_CLASSIFICATION!$A$8:$A$24,0)),"Review"))</f>
        <v>The Creek, Port Moody</v>
      </c>
      <c r="N4781" s="350" t="str">
        <f>IF($B4781="Portfolio","Portfolio",IFERROR(INDEX(DATA_ASSET_CLASSIFICATION!$U$8:$U$24,MATCH($C4781,DATA_ASSET_CLASSIFICATION!$A$8:$A$24,0)),"Review"))</f>
        <v>New Build</v>
      </c>
      <c r="O4781" s="350" t="str">
        <f>IF($B4781="Portfolio","Portfolio",IFERROR(INDEX(DATA_ASSET_CLASSIFICATION!$AB$8:$AB$13,MATCH($N4781,DATA_ASSET_CLASSIFICATION!$AA$8:$AA$13,0)),"Review"))</f>
        <v>Bucket 1 · New Build</v>
      </c>
      <c r="P4781" s="350" t="str">
        <f>IF($B4781="Portfolio","Portfolio",IFERROR(INDEX(DATA_ASSET_CLASSIFICATION!$C$8:$C$24,MATCH($C4781,DATA_ASSET_CLASSIFICATION!$A$8:$A$24,0)),"Review"))</f>
        <v>Yes</v>
      </c>
      <c r="Q4781" s="350" t="str">
        <f t="shared" ca="1" si="149"/>
        <v>OK</v>
      </c>
    </row>
    <row r="4782" spans="1:17" ht="30">
      <c r="A4782" s="366" t="s">
        <v>6738</v>
      </c>
      <c r="B4782" s="366" t="s">
        <v>231</v>
      </c>
      <c r="C4782" s="348" t="str">
        <f>DATA_PROPERTY_MASTER!$A$20</f>
        <v>BLD_PM</v>
      </c>
      <c r="D4782" s="380">
        <f>'00_PORTFOLIO ROLLUP'!N$12</f>
        <v>2034</v>
      </c>
      <c r="E4782" s="366" t="s">
        <v>1683</v>
      </c>
      <c r="F4782" s="366" t="s">
        <v>341</v>
      </c>
      <c r="G4782" s="348" t="str">
        <f>"'"&amp;$C4782&amp;"'!$E$24:$Y$24"</f>
        <v>'BLD_PM'!$E$24:$Y$24</v>
      </c>
      <c r="H4782" s="381">
        <f ca="1">IF(IFERROR(INDEX(DATA_PROPERTY_MASTER!$E$5:$E$21,MATCH($C4782,DATA_PROPERTY_MASTER!$A$5:$A$21,0))="Yes",FALSE),IFERROR(INDEX(INDIRECT("'"&amp;$C4782&amp;"'!$E$24:$Y$24"),1,MATCH($D4782,INDIRECT("'"&amp;$C4782&amp;"'!$E$12:$Y$12"),0)),0),0)</f>
        <v>5610049.2518853089</v>
      </c>
      <c r="I4782" s="366" t="s">
        <v>1685</v>
      </c>
      <c r="J4782" s="348" t="str">
        <f t="shared" ca="1" si="148"/>
        <v>OK</v>
      </c>
      <c r="K4782" s="366" t="s">
        <v>1686</v>
      </c>
      <c r="L4782" s="366" t="s">
        <v>2234</v>
      </c>
      <c r="M4782" s="350" t="str">
        <f>IF($B4782="Portfolio","Portfolio",IFERROR(INDEX(DATA_ASSET_CLASSIFICATION!$B$8:$B$24,MATCH($C4782,DATA_ASSET_CLASSIFICATION!$A$8:$A$24,0)),"Review"))</f>
        <v>The Creek, Port Moody</v>
      </c>
      <c r="N4782" s="350" t="str">
        <f>IF($B4782="Portfolio","Portfolio",IFERROR(INDEX(DATA_ASSET_CLASSIFICATION!$U$8:$U$24,MATCH($C4782,DATA_ASSET_CLASSIFICATION!$A$8:$A$24,0)),"Review"))</f>
        <v>New Build</v>
      </c>
      <c r="O4782" s="350" t="str">
        <f>IF($B4782="Portfolio","Portfolio",IFERROR(INDEX(DATA_ASSET_CLASSIFICATION!$AB$8:$AB$13,MATCH($N4782,DATA_ASSET_CLASSIFICATION!$AA$8:$AA$13,0)),"Review"))</f>
        <v>Bucket 1 · New Build</v>
      </c>
      <c r="P4782" s="350" t="str">
        <f>IF($B4782="Portfolio","Portfolio",IFERROR(INDEX(DATA_ASSET_CLASSIFICATION!$C$8:$C$24,MATCH($C4782,DATA_ASSET_CLASSIFICATION!$A$8:$A$24,0)),"Review"))</f>
        <v>Yes</v>
      </c>
      <c r="Q4782" s="350" t="str">
        <f t="shared" ca="1" si="149"/>
        <v>OK</v>
      </c>
    </row>
    <row r="4783" spans="1:17" ht="30">
      <c r="A4783" s="366" t="s">
        <v>6739</v>
      </c>
      <c r="B4783" s="366" t="s">
        <v>231</v>
      </c>
      <c r="C4783" s="348" t="str">
        <f>DATA_PROPERTY_MASTER!$A$20</f>
        <v>BLD_PM</v>
      </c>
      <c r="D4783" s="380">
        <f>'00_PORTFOLIO ROLLUP'!N$12</f>
        <v>2034</v>
      </c>
      <c r="E4783" s="366" t="s">
        <v>1683</v>
      </c>
      <c r="F4783" s="366" t="s">
        <v>355</v>
      </c>
      <c r="G4783" s="348" t="str">
        <f>"'"&amp;$C4783&amp;"'!$E$39:$Y$39"</f>
        <v>'BLD_PM'!$E$39:$Y$39</v>
      </c>
      <c r="H4783" s="381">
        <f ca="1">IF(IFERROR(INDEX(DATA_PROPERTY_MASTER!$E$5:$E$21,MATCH($C4783,DATA_PROPERTY_MASTER!$A$5:$A$21,0))="Yes",FALSE),IFERROR(INDEX(INDIRECT("'"&amp;$C4783&amp;"'!$E$39:$Y$39"),1,MATCH($D4783,INDIRECT("'"&amp;$C4783&amp;"'!$E$12:$Y$12"),0)),0),0)</f>
        <v>251072.20371114998</v>
      </c>
      <c r="I4783" s="366" t="s">
        <v>1690</v>
      </c>
      <c r="J4783" s="348" t="str">
        <f t="shared" ca="1" si="148"/>
        <v>OK</v>
      </c>
      <c r="K4783" s="366" t="s">
        <v>1686</v>
      </c>
      <c r="L4783" s="366" t="s">
        <v>2236</v>
      </c>
      <c r="M4783" s="350" t="str">
        <f>IF($B4783="Portfolio","Portfolio",IFERROR(INDEX(DATA_ASSET_CLASSIFICATION!$B$8:$B$24,MATCH($C4783,DATA_ASSET_CLASSIFICATION!$A$8:$A$24,0)),"Review"))</f>
        <v>The Creek, Port Moody</v>
      </c>
      <c r="N4783" s="350" t="str">
        <f>IF($B4783="Portfolio","Portfolio",IFERROR(INDEX(DATA_ASSET_CLASSIFICATION!$U$8:$U$24,MATCH($C4783,DATA_ASSET_CLASSIFICATION!$A$8:$A$24,0)),"Review"))</f>
        <v>New Build</v>
      </c>
      <c r="O4783" s="350" t="str">
        <f>IF($B4783="Portfolio","Portfolio",IFERROR(INDEX(DATA_ASSET_CLASSIFICATION!$AB$8:$AB$13,MATCH($N4783,DATA_ASSET_CLASSIFICATION!$AA$8:$AA$13,0)),"Review"))</f>
        <v>Bucket 1 · New Build</v>
      </c>
      <c r="P4783" s="350" t="str">
        <f>IF($B4783="Portfolio","Portfolio",IFERROR(INDEX(DATA_ASSET_CLASSIFICATION!$C$8:$C$24,MATCH($C4783,DATA_ASSET_CLASSIFICATION!$A$8:$A$24,0)),"Review"))</f>
        <v>Yes</v>
      </c>
      <c r="Q4783" s="350" t="str">
        <f t="shared" ca="1" si="149"/>
        <v>OK</v>
      </c>
    </row>
    <row r="4784" spans="1:17" ht="30">
      <c r="A4784" s="366" t="s">
        <v>6740</v>
      </c>
      <c r="B4784" s="366" t="s">
        <v>231</v>
      </c>
      <c r="C4784" s="348" t="str">
        <f>DATA_PROPERTY_MASTER!$A$20</f>
        <v>BLD_PM</v>
      </c>
      <c r="D4784" s="380">
        <f>'00_PORTFOLIO ROLLUP'!N$12</f>
        <v>2034</v>
      </c>
      <c r="E4784" s="366" t="s">
        <v>1683</v>
      </c>
      <c r="F4784" s="366" t="s">
        <v>19</v>
      </c>
      <c r="G4784" s="348" t="str">
        <f>"'"&amp;$C4784&amp;"'!$E$41:$Y$41"</f>
        <v>'BLD_PM'!$E$41:$Y$41</v>
      </c>
      <c r="H4784" s="381">
        <f ca="1">IF(IFERROR(INDEX(DATA_PROPERTY_MASTER!$E$5:$E$21,MATCH($C4784,DATA_PROPERTY_MASTER!$A$5:$A$21,0))="Yes",FALSE),IFERROR(INDEX(INDIRECT("'"&amp;$C4784&amp;"'!$E$41:$Y$41"),1,MATCH($D4784,INDIRECT("'"&amp;$C4784&amp;"'!$E$12:$Y$12"),0)),0),0)</f>
        <v>5358977.0481741587</v>
      </c>
      <c r="I4784" s="366" t="s">
        <v>1685</v>
      </c>
      <c r="J4784" s="348" t="str">
        <f t="shared" ca="1" si="148"/>
        <v>OK</v>
      </c>
      <c r="K4784" s="366" t="s">
        <v>1694</v>
      </c>
      <c r="L4784" s="366" t="s">
        <v>2238</v>
      </c>
      <c r="M4784" s="350" t="str">
        <f>IF($B4784="Portfolio","Portfolio",IFERROR(INDEX(DATA_ASSET_CLASSIFICATION!$B$8:$B$24,MATCH($C4784,DATA_ASSET_CLASSIFICATION!$A$8:$A$24,0)),"Review"))</f>
        <v>The Creek, Port Moody</v>
      </c>
      <c r="N4784" s="350" t="str">
        <f>IF($B4784="Portfolio","Portfolio",IFERROR(INDEX(DATA_ASSET_CLASSIFICATION!$U$8:$U$24,MATCH($C4784,DATA_ASSET_CLASSIFICATION!$A$8:$A$24,0)),"Review"))</f>
        <v>New Build</v>
      </c>
      <c r="O4784" s="350" t="str">
        <f>IF($B4784="Portfolio","Portfolio",IFERROR(INDEX(DATA_ASSET_CLASSIFICATION!$AB$8:$AB$13,MATCH($N4784,DATA_ASSET_CLASSIFICATION!$AA$8:$AA$13,0)),"Review"))</f>
        <v>Bucket 1 · New Build</v>
      </c>
      <c r="P4784" s="350" t="str">
        <f>IF($B4784="Portfolio","Portfolio",IFERROR(INDEX(DATA_ASSET_CLASSIFICATION!$C$8:$C$24,MATCH($C4784,DATA_ASSET_CLASSIFICATION!$A$8:$A$24,0)),"Review"))</f>
        <v>Yes</v>
      </c>
      <c r="Q4784" s="350" t="str">
        <f t="shared" ca="1" si="149"/>
        <v>OK</v>
      </c>
    </row>
    <row r="4785" spans="1:17" ht="30">
      <c r="A4785" s="366" t="s">
        <v>6741</v>
      </c>
      <c r="B4785" s="366" t="s">
        <v>231</v>
      </c>
      <c r="C4785" s="348" t="str">
        <f>DATA_PROPERTY_MASTER!$A$20</f>
        <v>BLD_PM</v>
      </c>
      <c r="D4785" s="380">
        <f>'00_PORTFOLIO ROLLUP'!N$12</f>
        <v>2034</v>
      </c>
      <c r="E4785" s="366" t="s">
        <v>1683</v>
      </c>
      <c r="F4785" s="366" t="s">
        <v>1697</v>
      </c>
      <c r="G4785" s="348" t="str">
        <f>"'"&amp;$C4785&amp;"'!$E$44:$Y$44"</f>
        <v>'BLD_PM'!$E$44:$Y$44</v>
      </c>
      <c r="H4785" s="381">
        <f ca="1">IF(IFERROR(INDEX(DATA_PROPERTY_MASTER!$E$5:$E$21,MATCH($C4785,DATA_PROPERTY_MASTER!$A$5:$A$21,0))="Yes",FALSE),IFERROR(INDEX(INDIRECT("'"&amp;$C4785&amp;"'!$E$44:$Y$44"),1,MATCH($D4785,INDIRECT("'"&amp;$C4785&amp;"'!$E$12:$Y$12"),0)),0),0)</f>
        <v>58798.554376217697</v>
      </c>
      <c r="I4785" s="366" t="s">
        <v>1690</v>
      </c>
      <c r="J4785" s="348" t="str">
        <f t="shared" ca="1" si="148"/>
        <v>OK</v>
      </c>
      <c r="K4785" s="366" t="s">
        <v>1699</v>
      </c>
      <c r="L4785" s="366" t="s">
        <v>2240</v>
      </c>
      <c r="M4785" s="350" t="str">
        <f>IF($B4785="Portfolio","Portfolio",IFERROR(INDEX(DATA_ASSET_CLASSIFICATION!$B$8:$B$24,MATCH($C4785,DATA_ASSET_CLASSIFICATION!$A$8:$A$24,0)),"Review"))</f>
        <v>The Creek, Port Moody</v>
      </c>
      <c r="N4785" s="350" t="str">
        <f>IF($B4785="Portfolio","Portfolio",IFERROR(INDEX(DATA_ASSET_CLASSIFICATION!$U$8:$U$24,MATCH($C4785,DATA_ASSET_CLASSIFICATION!$A$8:$A$24,0)),"Review"))</f>
        <v>New Build</v>
      </c>
      <c r="O4785" s="350" t="str">
        <f>IF($B4785="Portfolio","Portfolio",IFERROR(INDEX(DATA_ASSET_CLASSIFICATION!$AB$8:$AB$13,MATCH($N4785,DATA_ASSET_CLASSIFICATION!$AA$8:$AA$13,0)),"Review"))</f>
        <v>Bucket 1 · New Build</v>
      </c>
      <c r="P4785" s="350" t="str">
        <f>IF($B4785="Portfolio","Portfolio",IFERROR(INDEX(DATA_ASSET_CLASSIFICATION!$C$8:$C$24,MATCH($C4785,DATA_ASSET_CLASSIFICATION!$A$8:$A$24,0)),"Review"))</f>
        <v>Yes</v>
      </c>
      <c r="Q4785" s="350" t="str">
        <f t="shared" ca="1" si="149"/>
        <v>OK</v>
      </c>
    </row>
    <row r="4786" spans="1:17" ht="30">
      <c r="A4786" s="366" t="s">
        <v>6742</v>
      </c>
      <c r="B4786" s="366" t="s">
        <v>231</v>
      </c>
      <c r="C4786" s="348" t="str">
        <f>DATA_PROPERTY_MASTER!$A$20</f>
        <v>BLD_PM</v>
      </c>
      <c r="D4786" s="380">
        <f>'00_PORTFOLIO ROLLUP'!N$12</f>
        <v>2034</v>
      </c>
      <c r="E4786" s="366" t="s">
        <v>1683</v>
      </c>
      <c r="F4786" s="366" t="s">
        <v>21</v>
      </c>
      <c r="G4786" s="348" t="str">
        <f>"'"&amp;$C4786&amp;"'!$E$45:$Y$45"</f>
        <v>'BLD_PM'!$E$45:$Y$45</v>
      </c>
      <c r="H4786" s="381">
        <f ca="1">IF(IFERROR(INDEX(DATA_PROPERTY_MASTER!$E$5:$E$21,MATCH($C4786,DATA_PROPERTY_MASTER!$A$5:$A$21,0))="Yes",FALSE),IFERROR(INDEX(INDIRECT("'"&amp;$C4786&amp;"'!$E$45:$Y$45"),1,MATCH($D4786,INDIRECT("'"&amp;$C4786&amp;"'!$E$12:$Y$12"),0)),0),0)</f>
        <v>5300178.4937979411</v>
      </c>
      <c r="I4786" s="366" t="s">
        <v>1685</v>
      </c>
      <c r="J4786" s="348" t="str">
        <f t="shared" ca="1" si="148"/>
        <v>OK</v>
      </c>
      <c r="K4786" s="366" t="s">
        <v>1694</v>
      </c>
      <c r="L4786" s="366" t="s">
        <v>2242</v>
      </c>
      <c r="M4786" s="350" t="str">
        <f>IF($B4786="Portfolio","Portfolio",IFERROR(INDEX(DATA_ASSET_CLASSIFICATION!$B$8:$B$24,MATCH($C4786,DATA_ASSET_CLASSIFICATION!$A$8:$A$24,0)),"Review"))</f>
        <v>The Creek, Port Moody</v>
      </c>
      <c r="N4786" s="350" t="str">
        <f>IF($B4786="Portfolio","Portfolio",IFERROR(INDEX(DATA_ASSET_CLASSIFICATION!$U$8:$U$24,MATCH($C4786,DATA_ASSET_CLASSIFICATION!$A$8:$A$24,0)),"Review"))</f>
        <v>New Build</v>
      </c>
      <c r="O4786" s="350" t="str">
        <f>IF($B4786="Portfolio","Portfolio",IFERROR(INDEX(DATA_ASSET_CLASSIFICATION!$AB$8:$AB$13,MATCH($N4786,DATA_ASSET_CLASSIFICATION!$AA$8:$AA$13,0)),"Review"))</f>
        <v>Bucket 1 · New Build</v>
      </c>
      <c r="P4786" s="350" t="str">
        <f>IF($B4786="Portfolio","Portfolio",IFERROR(INDEX(DATA_ASSET_CLASSIFICATION!$C$8:$C$24,MATCH($C4786,DATA_ASSET_CLASSIFICATION!$A$8:$A$24,0)),"Review"))</f>
        <v>Yes</v>
      </c>
      <c r="Q4786" s="350" t="str">
        <f t="shared" ca="1" si="149"/>
        <v>OK</v>
      </c>
    </row>
    <row r="4787" spans="1:17" ht="30">
      <c r="A4787" s="366" t="s">
        <v>6743</v>
      </c>
      <c r="B4787" s="366" t="s">
        <v>231</v>
      </c>
      <c r="C4787" s="348" t="str">
        <f>DATA_PROPERTY_MASTER!$A$20</f>
        <v>BLD_PM</v>
      </c>
      <c r="D4787" s="380">
        <f>'00_PORTFOLIO ROLLUP'!N$12</f>
        <v>2034</v>
      </c>
      <c r="E4787" s="366" t="s">
        <v>23</v>
      </c>
      <c r="F4787" s="366" t="s">
        <v>23</v>
      </c>
      <c r="G4787" s="348" t="str">
        <f>"'"&amp;$C4787&amp;"'!$E$48:$Y$48"</f>
        <v>'BLD_PM'!$E$48:$Y$48</v>
      </c>
      <c r="H4787" s="381">
        <f ca="1">IF(IFERROR(INDEX(DATA_PROPERTY_MASTER!$E$5:$E$21,MATCH($C4787,DATA_PROPERTY_MASTER!$A$5:$A$21,0))="Yes",FALSE),IFERROR(INDEX(INDIRECT("'"&amp;$C4787&amp;"'!$E$48:$Y$48"),1,MATCH($D4787,INDIRECT("'"&amp;$C4787&amp;"'!$E$12:$Y$12"),0)),0),0)</f>
        <v>3116973.3868276179</v>
      </c>
      <c r="I4787" s="366" t="s">
        <v>1690</v>
      </c>
      <c r="J4787" s="348" t="str">
        <f t="shared" ca="1" si="148"/>
        <v>OK</v>
      </c>
      <c r="K4787" s="366" t="s">
        <v>1706</v>
      </c>
      <c r="L4787" s="366" t="s">
        <v>2244</v>
      </c>
      <c r="M4787" s="350" t="str">
        <f>IF($B4787="Portfolio","Portfolio",IFERROR(INDEX(DATA_ASSET_CLASSIFICATION!$B$8:$B$24,MATCH($C4787,DATA_ASSET_CLASSIFICATION!$A$8:$A$24,0)),"Review"))</f>
        <v>The Creek, Port Moody</v>
      </c>
      <c r="N4787" s="350" t="str">
        <f>IF($B4787="Portfolio","Portfolio",IFERROR(INDEX(DATA_ASSET_CLASSIFICATION!$U$8:$U$24,MATCH($C4787,DATA_ASSET_CLASSIFICATION!$A$8:$A$24,0)),"Review"))</f>
        <v>New Build</v>
      </c>
      <c r="O4787" s="350" t="str">
        <f>IF($B4787="Portfolio","Portfolio",IFERROR(INDEX(DATA_ASSET_CLASSIFICATION!$AB$8:$AB$13,MATCH($N4787,DATA_ASSET_CLASSIFICATION!$AA$8:$AA$13,0)),"Review"))</f>
        <v>Bucket 1 · New Build</v>
      </c>
      <c r="P4787" s="350" t="str">
        <f>IF($B4787="Portfolio","Portfolio",IFERROR(INDEX(DATA_ASSET_CLASSIFICATION!$C$8:$C$24,MATCH($C4787,DATA_ASSET_CLASSIFICATION!$A$8:$A$24,0)),"Review"))</f>
        <v>Yes</v>
      </c>
      <c r="Q4787" s="350" t="str">
        <f t="shared" ca="1" si="149"/>
        <v>OK</v>
      </c>
    </row>
    <row r="4788" spans="1:17" ht="30">
      <c r="A4788" s="366" t="s">
        <v>6744</v>
      </c>
      <c r="B4788" s="366" t="s">
        <v>231</v>
      </c>
      <c r="C4788" s="348" t="str">
        <f>DATA_PROPERTY_MASTER!$A$20</f>
        <v>BLD_PM</v>
      </c>
      <c r="D4788" s="380">
        <f>'00_PORTFOLIO ROLLUP'!N$12</f>
        <v>2034</v>
      </c>
      <c r="E4788" s="366" t="s">
        <v>1683</v>
      </c>
      <c r="F4788" s="366" t="s">
        <v>25</v>
      </c>
      <c r="G4788" s="348" t="str">
        <f>"'"&amp;$C4788&amp;"'!$E$52:$Y$52"</f>
        <v>'BLD_PM'!$E$52:$Y$52</v>
      </c>
      <c r="H4788" s="381">
        <f ca="1">IF(IFERROR(INDEX(DATA_PROPERTY_MASTER!$E$5:$E$21,MATCH($C4788,DATA_PROPERTY_MASTER!$A$5:$A$21,0))="Yes",FALSE),IFERROR(INDEX(INDIRECT("'"&amp;$C4788&amp;"'!$E$52:$Y$52"),1,MATCH($D4788,INDIRECT("'"&amp;$C4788&amp;"'!$E$12:$Y$12"),0)),0),0)</f>
        <v>2242003.6613465408</v>
      </c>
      <c r="I4788" s="366" t="s">
        <v>1685</v>
      </c>
      <c r="J4788" s="348" t="str">
        <f t="shared" ca="1" si="148"/>
        <v>OK</v>
      </c>
      <c r="K4788" s="366" t="s">
        <v>1710</v>
      </c>
      <c r="L4788" s="366" t="s">
        <v>2246</v>
      </c>
      <c r="M4788" s="350" t="str">
        <f>IF($B4788="Portfolio","Portfolio",IFERROR(INDEX(DATA_ASSET_CLASSIFICATION!$B$8:$B$24,MATCH($C4788,DATA_ASSET_CLASSIFICATION!$A$8:$A$24,0)),"Review"))</f>
        <v>The Creek, Port Moody</v>
      </c>
      <c r="N4788" s="350" t="str">
        <f>IF($B4788="Portfolio","Portfolio",IFERROR(INDEX(DATA_ASSET_CLASSIFICATION!$U$8:$U$24,MATCH($C4788,DATA_ASSET_CLASSIFICATION!$A$8:$A$24,0)),"Review"))</f>
        <v>New Build</v>
      </c>
      <c r="O4788" s="350" t="str">
        <f>IF($B4788="Portfolio","Portfolio",IFERROR(INDEX(DATA_ASSET_CLASSIFICATION!$AB$8:$AB$13,MATCH($N4788,DATA_ASSET_CLASSIFICATION!$AA$8:$AA$13,0)),"Review"))</f>
        <v>Bucket 1 · New Build</v>
      </c>
      <c r="P4788" s="350" t="str">
        <f>IF($B4788="Portfolio","Portfolio",IFERROR(INDEX(DATA_ASSET_CLASSIFICATION!$C$8:$C$24,MATCH($C4788,DATA_ASSET_CLASSIFICATION!$A$8:$A$24,0)),"Review"))</f>
        <v>Yes</v>
      </c>
      <c r="Q4788" s="350" t="str">
        <f t="shared" ca="1" si="149"/>
        <v>OK</v>
      </c>
    </row>
    <row r="4789" spans="1:17" ht="30">
      <c r="A4789" s="366" t="s">
        <v>6745</v>
      </c>
      <c r="B4789" s="366" t="s">
        <v>231</v>
      </c>
      <c r="C4789" s="348" t="str">
        <f>DATA_PROPERTY_MASTER!$A$20</f>
        <v>BLD_PM</v>
      </c>
      <c r="D4789" s="380">
        <f>'00_PORTFOLIO ROLLUP'!N$12</f>
        <v>2034</v>
      </c>
      <c r="E4789" s="366" t="s">
        <v>1683</v>
      </c>
      <c r="F4789" s="366" t="s">
        <v>27</v>
      </c>
      <c r="G4789" s="348" t="str">
        <f>"'"&amp;$C4789&amp;"'!$E$54:$Y$54"</f>
        <v>'BLD_PM'!$E$54:$Y$54</v>
      </c>
      <c r="H4789" s="381">
        <f ca="1">IF(IFERROR(INDEX(DATA_PROPERTY_MASTER!$E$5:$E$21,MATCH($C4789,DATA_PROPERTY_MASTER!$A$5:$A$21,0))="Yes",FALSE),IFERROR(INDEX(INDIRECT("'"&amp;$C4789&amp;"'!$E$54:$Y$54"),1,MATCH($D4789,INDIRECT("'"&amp;$C4789&amp;"'!$E$12:$Y$12"),0)),0),0)</f>
        <v>1345202.1968079244</v>
      </c>
      <c r="I4789" s="366" t="s">
        <v>1690</v>
      </c>
      <c r="J4789" s="348" t="str">
        <f t="shared" ca="1" si="148"/>
        <v>OK</v>
      </c>
      <c r="K4789" s="366" t="s">
        <v>1714</v>
      </c>
      <c r="L4789" s="366" t="s">
        <v>2248</v>
      </c>
      <c r="M4789" s="350" t="str">
        <f>IF($B4789="Portfolio","Portfolio",IFERROR(INDEX(DATA_ASSET_CLASSIFICATION!$B$8:$B$24,MATCH($C4789,DATA_ASSET_CLASSIFICATION!$A$8:$A$24,0)),"Review"))</f>
        <v>The Creek, Port Moody</v>
      </c>
      <c r="N4789" s="350" t="str">
        <f>IF($B4789="Portfolio","Portfolio",IFERROR(INDEX(DATA_ASSET_CLASSIFICATION!$U$8:$U$24,MATCH($C4789,DATA_ASSET_CLASSIFICATION!$A$8:$A$24,0)),"Review"))</f>
        <v>New Build</v>
      </c>
      <c r="O4789" s="350" t="str">
        <f>IF($B4789="Portfolio","Portfolio",IFERROR(INDEX(DATA_ASSET_CLASSIFICATION!$AB$8:$AB$13,MATCH($N4789,DATA_ASSET_CLASSIFICATION!$AA$8:$AA$13,0)),"Review"))</f>
        <v>Bucket 1 · New Build</v>
      </c>
      <c r="P4789" s="350" t="str">
        <f>IF($B4789="Portfolio","Portfolio",IFERROR(INDEX(DATA_ASSET_CLASSIFICATION!$C$8:$C$24,MATCH($C4789,DATA_ASSET_CLASSIFICATION!$A$8:$A$24,0)),"Review"))</f>
        <v>Yes</v>
      </c>
      <c r="Q4789" s="350" t="str">
        <f t="shared" ca="1" si="149"/>
        <v>OK</v>
      </c>
    </row>
    <row r="4790" spans="1:17" ht="30">
      <c r="A4790" s="366" t="s">
        <v>6746</v>
      </c>
      <c r="B4790" s="366" t="s">
        <v>231</v>
      </c>
      <c r="C4790" s="348" t="str">
        <f>DATA_PROPERTY_MASTER!$A$20</f>
        <v>BLD_PM</v>
      </c>
      <c r="D4790" s="380">
        <f>'00_PORTFOLIO ROLLUP'!N$12</f>
        <v>2034</v>
      </c>
      <c r="E4790" s="366" t="s">
        <v>1683</v>
      </c>
      <c r="F4790" s="366" t="s">
        <v>29</v>
      </c>
      <c r="G4790" s="348" t="str">
        <f>"'"&amp;$C4790&amp;"'!$E$56:$Y$56"</f>
        <v>'BLD_PM'!$E$56:$Y$56</v>
      </c>
      <c r="H4790" s="381">
        <f ca="1">IF(IFERROR(INDEX(DATA_PROPERTY_MASTER!$E$5:$E$21,MATCH($C4790,DATA_PROPERTY_MASTER!$A$5:$A$21,0))="Yes",FALSE),IFERROR(INDEX(INDIRECT("'"&amp;$C4790&amp;"'!$E$56:$Y$56"),1,MATCH($D4790,INDIRECT("'"&amp;$C4790&amp;"'!$E$12:$Y$12"),0)),0),0)</f>
        <v>896801.46453861636</v>
      </c>
      <c r="I4790" s="366" t="s">
        <v>1685</v>
      </c>
      <c r="J4790" s="348" t="str">
        <f t="shared" ca="1" si="148"/>
        <v>OK</v>
      </c>
      <c r="K4790" s="366" t="s">
        <v>1718</v>
      </c>
      <c r="L4790" s="366" t="s">
        <v>2250</v>
      </c>
      <c r="M4790" s="350" t="str">
        <f>IF($B4790="Portfolio","Portfolio",IFERROR(INDEX(DATA_ASSET_CLASSIFICATION!$B$8:$B$24,MATCH($C4790,DATA_ASSET_CLASSIFICATION!$A$8:$A$24,0)),"Review"))</f>
        <v>The Creek, Port Moody</v>
      </c>
      <c r="N4790" s="350" t="str">
        <f>IF($B4790="Portfolio","Portfolio",IFERROR(INDEX(DATA_ASSET_CLASSIFICATION!$U$8:$U$24,MATCH($C4790,DATA_ASSET_CLASSIFICATION!$A$8:$A$24,0)),"Review"))</f>
        <v>New Build</v>
      </c>
      <c r="O4790" s="350" t="str">
        <f>IF($B4790="Portfolio","Portfolio",IFERROR(INDEX(DATA_ASSET_CLASSIFICATION!$AB$8:$AB$13,MATCH($N4790,DATA_ASSET_CLASSIFICATION!$AA$8:$AA$13,0)),"Review"))</f>
        <v>Bucket 1 · New Build</v>
      </c>
      <c r="P4790" s="350" t="str">
        <f>IF($B4790="Portfolio","Portfolio",IFERROR(INDEX(DATA_ASSET_CLASSIFICATION!$C$8:$C$24,MATCH($C4790,DATA_ASSET_CLASSIFICATION!$A$8:$A$24,0)),"Review"))</f>
        <v>Yes</v>
      </c>
      <c r="Q4790" s="350" t="str">
        <f t="shared" ca="1" si="149"/>
        <v>OK</v>
      </c>
    </row>
    <row r="4791" spans="1:17" ht="30">
      <c r="A4791" s="366" t="s">
        <v>6747</v>
      </c>
      <c r="B4791" s="366" t="s">
        <v>231</v>
      </c>
      <c r="C4791" s="348" t="str">
        <f>DATA_PROPERTY_MASTER!$A$20</f>
        <v>BLD_PM</v>
      </c>
      <c r="D4791" s="380">
        <f>'00_PORTFOLIO ROLLUP'!N$12</f>
        <v>2034</v>
      </c>
      <c r="E4791" s="366" t="s">
        <v>1721</v>
      </c>
      <c r="F4791" s="366" t="s">
        <v>31</v>
      </c>
      <c r="G4791" s="348" t="str">
        <f>"'"&amp;$C4791&amp;"'!$E$61:$Y$61"</f>
        <v>'BLD_PM'!$E$61:$Y$61</v>
      </c>
      <c r="H4791" s="381">
        <f ca="1">IF(IFERROR(INDEX(DATA_PROPERTY_MASTER!$E$5:$E$21,MATCH($C4791,DATA_PROPERTY_MASTER!$A$5:$A$21,0))="Yes",FALSE),IFERROR(INDEX(INDIRECT("'"&amp;$C4791&amp;"'!$E$61:$Y$61"),1,MATCH($D4791,INDIRECT("'"&amp;$C4791&amp;"'!$E$12:$Y$12"),0)),0),0)</f>
        <v>0</v>
      </c>
      <c r="I4791" s="366" t="s">
        <v>1690</v>
      </c>
      <c r="J4791" s="348" t="str">
        <f t="shared" ca="1" si="148"/>
        <v>OK</v>
      </c>
      <c r="K4791" s="366" t="s">
        <v>1723</v>
      </c>
      <c r="L4791" s="366" t="s">
        <v>2252</v>
      </c>
      <c r="M4791" s="350" t="str">
        <f>IF($B4791="Portfolio","Portfolio",IFERROR(INDEX(DATA_ASSET_CLASSIFICATION!$B$8:$B$24,MATCH($C4791,DATA_ASSET_CLASSIFICATION!$A$8:$A$24,0)),"Review"))</f>
        <v>The Creek, Port Moody</v>
      </c>
      <c r="N4791" s="350" t="str">
        <f>IF($B4791="Portfolio","Portfolio",IFERROR(INDEX(DATA_ASSET_CLASSIFICATION!$U$8:$U$24,MATCH($C4791,DATA_ASSET_CLASSIFICATION!$A$8:$A$24,0)),"Review"))</f>
        <v>New Build</v>
      </c>
      <c r="O4791" s="350" t="str">
        <f>IF($B4791="Portfolio","Portfolio",IFERROR(INDEX(DATA_ASSET_CLASSIFICATION!$AB$8:$AB$13,MATCH($N4791,DATA_ASSET_CLASSIFICATION!$AA$8:$AA$13,0)),"Review"))</f>
        <v>Bucket 1 · New Build</v>
      </c>
      <c r="P4791" s="350" t="str">
        <f>IF($B4791="Portfolio","Portfolio",IFERROR(INDEX(DATA_ASSET_CLASSIFICATION!$C$8:$C$24,MATCH($C4791,DATA_ASSET_CLASSIFICATION!$A$8:$A$24,0)),"Review"))</f>
        <v>Yes</v>
      </c>
      <c r="Q4791" s="350" t="str">
        <f t="shared" ca="1" si="149"/>
        <v>OK</v>
      </c>
    </row>
    <row r="4792" spans="1:17" ht="30">
      <c r="A4792" s="366" t="s">
        <v>6748</v>
      </c>
      <c r="B4792" s="366" t="s">
        <v>231</v>
      </c>
      <c r="C4792" s="348" t="str">
        <f>DATA_PROPERTY_MASTER!$A$20</f>
        <v>BLD_PM</v>
      </c>
      <c r="D4792" s="380">
        <f>'00_PORTFOLIO ROLLUP'!N$12</f>
        <v>2034</v>
      </c>
      <c r="E4792" s="366" t="s">
        <v>1721</v>
      </c>
      <c r="F4792" s="366" t="s">
        <v>33</v>
      </c>
      <c r="G4792" s="348" t="str">
        <f>"'"&amp;$C4792&amp;"'!$E$62:$Y$62"</f>
        <v>'BLD_PM'!$E$62:$Y$62</v>
      </c>
      <c r="H4792" s="381">
        <f ca="1">IF(IFERROR(INDEX(DATA_PROPERTY_MASTER!$E$5:$E$21,MATCH($C4792,DATA_PROPERTY_MASTER!$A$5:$A$21,0))="Yes",FALSE),IFERROR(INDEX(INDIRECT("'"&amp;$C4792&amp;"'!$E$62:$Y$62"),1,MATCH($D4792,INDIRECT("'"&amp;$C4792&amp;"'!$E$12:$Y$12"),0)),0),0)</f>
        <v>0</v>
      </c>
      <c r="I4792" s="366" t="s">
        <v>1685</v>
      </c>
      <c r="J4792" s="348" t="str">
        <f t="shared" ca="1" si="148"/>
        <v>OK</v>
      </c>
      <c r="K4792" s="366" t="s">
        <v>1727</v>
      </c>
      <c r="L4792" s="366" t="s">
        <v>2254</v>
      </c>
      <c r="M4792" s="350" t="str">
        <f>IF($B4792="Portfolio","Portfolio",IFERROR(INDEX(DATA_ASSET_CLASSIFICATION!$B$8:$B$24,MATCH($C4792,DATA_ASSET_CLASSIFICATION!$A$8:$A$24,0)),"Review"))</f>
        <v>The Creek, Port Moody</v>
      </c>
      <c r="N4792" s="350" t="str">
        <f>IF($B4792="Portfolio","Portfolio",IFERROR(INDEX(DATA_ASSET_CLASSIFICATION!$U$8:$U$24,MATCH($C4792,DATA_ASSET_CLASSIFICATION!$A$8:$A$24,0)),"Review"))</f>
        <v>New Build</v>
      </c>
      <c r="O4792" s="350" t="str">
        <f>IF($B4792="Portfolio","Portfolio",IFERROR(INDEX(DATA_ASSET_CLASSIFICATION!$AB$8:$AB$13,MATCH($N4792,DATA_ASSET_CLASSIFICATION!$AA$8:$AA$13,0)),"Review"))</f>
        <v>Bucket 1 · New Build</v>
      </c>
      <c r="P4792" s="350" t="str">
        <f>IF($B4792="Portfolio","Portfolio",IFERROR(INDEX(DATA_ASSET_CLASSIFICATION!$C$8:$C$24,MATCH($C4792,DATA_ASSET_CLASSIFICATION!$A$8:$A$24,0)),"Review"))</f>
        <v>Yes</v>
      </c>
      <c r="Q4792" s="350" t="str">
        <f t="shared" ca="1" si="149"/>
        <v>OK</v>
      </c>
    </row>
    <row r="4793" spans="1:17" ht="30">
      <c r="A4793" s="366" t="s">
        <v>6749</v>
      </c>
      <c r="B4793" s="366" t="s">
        <v>231</v>
      </c>
      <c r="C4793" s="348" t="str">
        <f>DATA_PROPERTY_MASTER!$A$20</f>
        <v>BLD_PM</v>
      </c>
      <c r="D4793" s="380">
        <f>'00_PORTFOLIO ROLLUP'!N$12</f>
        <v>2034</v>
      </c>
      <c r="E4793" s="366" t="s">
        <v>1721</v>
      </c>
      <c r="F4793" s="366" t="s">
        <v>35</v>
      </c>
      <c r="G4793" s="348" t="str">
        <f>"'"&amp;$C4793&amp;"'!$E$63:$Y$63"</f>
        <v>'BLD_PM'!$E$63:$Y$63</v>
      </c>
      <c r="H4793" s="381">
        <f ca="1">IF(IFERROR(INDEX(DATA_PROPERTY_MASTER!$E$5:$E$21,MATCH($C4793,DATA_PROPERTY_MASTER!$A$5:$A$21,0))="Yes",FALSE),IFERROR(INDEX(INDIRECT("'"&amp;$C4793&amp;"'!$E$63:$Y$63"),1,MATCH($D4793,INDIRECT("'"&amp;$C4793&amp;"'!$E$12:$Y$12"),0)),0),0)</f>
        <v>0</v>
      </c>
      <c r="I4793" s="366" t="s">
        <v>1731</v>
      </c>
      <c r="J4793" s="348" t="str">
        <f t="shared" ca="1" si="148"/>
        <v>OK</v>
      </c>
      <c r="K4793" s="366" t="s">
        <v>1732</v>
      </c>
      <c r="L4793" s="366" t="s">
        <v>2256</v>
      </c>
      <c r="M4793" s="350" t="str">
        <f>IF($B4793="Portfolio","Portfolio",IFERROR(INDEX(DATA_ASSET_CLASSIFICATION!$B$8:$B$24,MATCH($C4793,DATA_ASSET_CLASSIFICATION!$A$8:$A$24,0)),"Review"))</f>
        <v>The Creek, Port Moody</v>
      </c>
      <c r="N4793" s="350" t="str">
        <f>IF($B4793="Portfolio","Portfolio",IFERROR(INDEX(DATA_ASSET_CLASSIFICATION!$U$8:$U$24,MATCH($C4793,DATA_ASSET_CLASSIFICATION!$A$8:$A$24,0)),"Review"))</f>
        <v>New Build</v>
      </c>
      <c r="O4793" s="350" t="str">
        <f>IF($B4793="Portfolio","Portfolio",IFERROR(INDEX(DATA_ASSET_CLASSIFICATION!$AB$8:$AB$13,MATCH($N4793,DATA_ASSET_CLASSIFICATION!$AA$8:$AA$13,0)),"Review"))</f>
        <v>Bucket 1 · New Build</v>
      </c>
      <c r="P4793" s="350" t="str">
        <f>IF($B4793="Portfolio","Portfolio",IFERROR(INDEX(DATA_ASSET_CLASSIFICATION!$C$8:$C$24,MATCH($C4793,DATA_ASSET_CLASSIFICATION!$A$8:$A$24,0)),"Review"))</f>
        <v>Yes</v>
      </c>
      <c r="Q4793" s="350" t="str">
        <f t="shared" ca="1" si="149"/>
        <v>OK</v>
      </c>
    </row>
    <row r="4794" spans="1:17" ht="30">
      <c r="A4794" s="366" t="s">
        <v>6750</v>
      </c>
      <c r="B4794" s="366" t="s">
        <v>231</v>
      </c>
      <c r="C4794" s="348" t="str">
        <f>DATA_PROPERTY_MASTER!$A$20</f>
        <v>BLD_PM</v>
      </c>
      <c r="D4794" s="380">
        <f>'00_PORTFOLIO ROLLUP'!N$12</f>
        <v>2034</v>
      </c>
      <c r="E4794" s="366" t="s">
        <v>1721</v>
      </c>
      <c r="F4794" s="366" t="s">
        <v>37</v>
      </c>
      <c r="G4794" s="348" t="str">
        <f>"'"&amp;$C4794&amp;"'!$E$63:$Y$63"</f>
        <v>'BLD_PM'!$E$63:$Y$63</v>
      </c>
      <c r="H4794" s="381">
        <f ca="1">IF(IFERROR(INDEX(DATA_PROPERTY_MASTER!$E$5:$E$21,MATCH($C4794,DATA_PROPERTY_MASTER!$A$5:$A$21,0))="Yes",FALSE),MAX(IFERROR(INDEX(INDIRECT("'"&amp;$C4794&amp;"'!$E$63:$Y$63"),1,MATCH($D4794,INDIRECT("'"&amp;$C4794&amp;"'!$E$12:$Y$12"),0)),0),0),0)</f>
        <v>0</v>
      </c>
      <c r="I4794" s="366" t="s">
        <v>1685</v>
      </c>
      <c r="J4794" s="348" t="str">
        <f t="shared" ca="1" si="148"/>
        <v>OK</v>
      </c>
      <c r="K4794" s="366" t="s">
        <v>1735</v>
      </c>
      <c r="L4794" s="366" t="s">
        <v>2258</v>
      </c>
      <c r="M4794" s="350" t="str">
        <f>IF($B4794="Portfolio","Portfolio",IFERROR(INDEX(DATA_ASSET_CLASSIFICATION!$B$8:$B$24,MATCH($C4794,DATA_ASSET_CLASSIFICATION!$A$8:$A$24,0)),"Review"))</f>
        <v>The Creek, Port Moody</v>
      </c>
      <c r="N4794" s="350" t="str">
        <f>IF($B4794="Portfolio","Portfolio",IFERROR(INDEX(DATA_ASSET_CLASSIFICATION!$U$8:$U$24,MATCH($C4794,DATA_ASSET_CLASSIFICATION!$A$8:$A$24,0)),"Review"))</f>
        <v>New Build</v>
      </c>
      <c r="O4794" s="350" t="str">
        <f>IF($B4794="Portfolio","Portfolio",IFERROR(INDEX(DATA_ASSET_CLASSIFICATION!$AB$8:$AB$13,MATCH($N4794,DATA_ASSET_CLASSIFICATION!$AA$8:$AA$13,0)),"Review"))</f>
        <v>Bucket 1 · New Build</v>
      </c>
      <c r="P4794" s="350" t="str">
        <f>IF($B4794="Portfolio","Portfolio",IFERROR(INDEX(DATA_ASSET_CLASSIFICATION!$C$8:$C$24,MATCH($C4794,DATA_ASSET_CLASSIFICATION!$A$8:$A$24,0)),"Review"))</f>
        <v>Yes</v>
      </c>
      <c r="Q4794" s="350" t="str">
        <f t="shared" ca="1" si="149"/>
        <v>OK</v>
      </c>
    </row>
    <row r="4795" spans="1:17" ht="30">
      <c r="A4795" s="366" t="s">
        <v>6751</v>
      </c>
      <c r="B4795" s="366" t="s">
        <v>231</v>
      </c>
      <c r="C4795" s="348" t="str">
        <f>DATA_PROPERTY_MASTER!$A$20</f>
        <v>BLD_PM</v>
      </c>
      <c r="D4795" s="380">
        <f>'00_PORTFOLIO ROLLUP'!N$12</f>
        <v>2034</v>
      </c>
      <c r="E4795" s="366" t="s">
        <v>1721</v>
      </c>
      <c r="F4795" s="366" t="s">
        <v>39</v>
      </c>
      <c r="G4795" s="348" t="str">
        <f>"'"&amp;$C4795&amp;"'!$E$63:$Y$63"</f>
        <v>'BLD_PM'!$E$63:$Y$63</v>
      </c>
      <c r="H4795" s="381">
        <f ca="1">IF(IFERROR(INDEX(DATA_PROPERTY_MASTER!$E$5:$E$21,MATCH($C4795,DATA_PROPERTY_MASTER!$A$5:$A$21,0))="Yes",FALSE),MAX(-IFERROR(INDEX(INDIRECT("'"&amp;$C4795&amp;"'!$E$63:$Y$63"),1,MATCH($D4795,INDIRECT("'"&amp;$C4795&amp;"'!$E$12:$Y$12"),0)),0),0),0)</f>
        <v>0</v>
      </c>
      <c r="I4795" s="366" t="s">
        <v>1690</v>
      </c>
      <c r="J4795" s="348" t="str">
        <f t="shared" ca="1" si="148"/>
        <v>OK</v>
      </c>
      <c r="K4795" s="366" t="s">
        <v>1738</v>
      </c>
      <c r="L4795" s="366" t="s">
        <v>2260</v>
      </c>
      <c r="M4795" s="350" t="str">
        <f>IF($B4795="Portfolio","Portfolio",IFERROR(INDEX(DATA_ASSET_CLASSIFICATION!$B$8:$B$24,MATCH($C4795,DATA_ASSET_CLASSIFICATION!$A$8:$A$24,0)),"Review"))</f>
        <v>The Creek, Port Moody</v>
      </c>
      <c r="N4795" s="350" t="str">
        <f>IF($B4795="Portfolio","Portfolio",IFERROR(INDEX(DATA_ASSET_CLASSIFICATION!$U$8:$U$24,MATCH($C4795,DATA_ASSET_CLASSIFICATION!$A$8:$A$24,0)),"Review"))</f>
        <v>New Build</v>
      </c>
      <c r="O4795" s="350" t="str">
        <f>IF($B4795="Portfolio","Portfolio",IFERROR(INDEX(DATA_ASSET_CLASSIFICATION!$AB$8:$AB$13,MATCH($N4795,DATA_ASSET_CLASSIFICATION!$AA$8:$AA$13,0)),"Review"))</f>
        <v>Bucket 1 · New Build</v>
      </c>
      <c r="P4795" s="350" t="str">
        <f>IF($B4795="Portfolio","Portfolio",IFERROR(INDEX(DATA_ASSET_CLASSIFICATION!$C$8:$C$24,MATCH($C4795,DATA_ASSET_CLASSIFICATION!$A$8:$A$24,0)),"Review"))</f>
        <v>Yes</v>
      </c>
      <c r="Q4795" s="350" t="str">
        <f t="shared" ca="1" si="149"/>
        <v>OK</v>
      </c>
    </row>
    <row r="4796" spans="1:17" ht="30">
      <c r="A4796" s="366" t="s">
        <v>6752</v>
      </c>
      <c r="B4796" s="366" t="s">
        <v>231</v>
      </c>
      <c r="C4796" s="348" t="str">
        <f>DATA_PROPERTY_MASTER!$A$20</f>
        <v>BLD_PM</v>
      </c>
      <c r="D4796" s="380">
        <f>'00_PORTFOLIO ROLLUP'!N$12</f>
        <v>2034</v>
      </c>
      <c r="E4796" s="366" t="s">
        <v>1741</v>
      </c>
      <c r="F4796" s="366" t="s">
        <v>41</v>
      </c>
      <c r="G4796" s="348" t="str">
        <f>"'"&amp;$C4796&amp;"'!rows 56 + positive row 63"</f>
        <v>'BLD_PM'!rows 56 + positive row 63</v>
      </c>
      <c r="H4796" s="381">
        <f ca="1">IF(IFERROR(INDEX(DATA_PROPERTY_MASTER!$E$5:$E$21,MATCH($C4796,DATA_PROPERTY_MASTER!$A$5:$A$21,0))="Yes",FALSE),IFERROR(INDEX(INDIRECT("'"&amp;$C4796&amp;"'!$E$56:$Y$56"),1,MATCH($D4796,INDIRECT("'"&amp;$C4796&amp;"'!$E$12:$Y$12"),0)),0)+MAX(IFERROR(INDEX(INDIRECT("'"&amp;$C4796&amp;"'!$E$63:$Y$63"),1,MATCH($D4796,INDIRECT("'"&amp;$C4796&amp;"'!$E$12:$Y$12"),0)),0),0),0)</f>
        <v>896801.46453861636</v>
      </c>
      <c r="I4796" s="366" t="s">
        <v>1685</v>
      </c>
      <c r="J4796" s="348" t="str">
        <f t="shared" ca="1" si="148"/>
        <v>OK</v>
      </c>
      <c r="K4796" s="366" t="s">
        <v>1742</v>
      </c>
      <c r="L4796" s="366" t="s">
        <v>2262</v>
      </c>
      <c r="M4796" s="350" t="str">
        <f>IF($B4796="Portfolio","Portfolio",IFERROR(INDEX(DATA_ASSET_CLASSIFICATION!$B$8:$B$24,MATCH($C4796,DATA_ASSET_CLASSIFICATION!$A$8:$A$24,0)),"Review"))</f>
        <v>The Creek, Port Moody</v>
      </c>
      <c r="N4796" s="350" t="str">
        <f>IF($B4796="Portfolio","Portfolio",IFERROR(INDEX(DATA_ASSET_CLASSIFICATION!$U$8:$U$24,MATCH($C4796,DATA_ASSET_CLASSIFICATION!$A$8:$A$24,0)),"Review"))</f>
        <v>New Build</v>
      </c>
      <c r="O4796" s="350" t="str">
        <f>IF($B4796="Portfolio","Portfolio",IFERROR(INDEX(DATA_ASSET_CLASSIFICATION!$AB$8:$AB$13,MATCH($N4796,DATA_ASSET_CLASSIFICATION!$AA$8:$AA$13,0)),"Review"))</f>
        <v>Bucket 1 · New Build</v>
      </c>
      <c r="P4796" s="350" t="str">
        <f>IF($B4796="Portfolio","Portfolio",IFERROR(INDEX(DATA_ASSET_CLASSIFICATION!$C$8:$C$24,MATCH($C4796,DATA_ASSET_CLASSIFICATION!$A$8:$A$24,0)),"Review"))</f>
        <v>Yes</v>
      </c>
      <c r="Q4796" s="350" t="str">
        <f t="shared" ca="1" si="149"/>
        <v>OK</v>
      </c>
    </row>
    <row r="4797" spans="1:17" ht="30">
      <c r="A4797" s="366" t="s">
        <v>6753</v>
      </c>
      <c r="B4797" s="366" t="s">
        <v>231</v>
      </c>
      <c r="C4797" s="348" t="str">
        <f>DATA_PROPERTY_MASTER!$A$20</f>
        <v>BLD_PM</v>
      </c>
      <c r="D4797" s="380">
        <f>'00_PORTFOLIO ROLLUP'!N$12</f>
        <v>2034</v>
      </c>
      <c r="E4797" s="366" t="s">
        <v>1741</v>
      </c>
      <c r="F4797" s="366" t="s">
        <v>43</v>
      </c>
      <c r="G4797" s="348" t="str">
        <f>"'"&amp;$C4797&amp;"'!$E$68:$Y$68"</f>
        <v>'BLD_PM'!$E$68:$Y$68</v>
      </c>
      <c r="H4797" s="381">
        <f ca="1">IF(IFERROR(INDEX(DATA_PROPERTY_MASTER!$E$5:$E$21,MATCH($C4797,DATA_PROPERTY_MASTER!$A$5:$A$21,0))="Yes",FALSE),IFERROR(INDEX(INDIRECT("'"&amp;$C4797&amp;"'!$E$68:$Y$68"),1,MATCH($D4797,INDIRECT("'"&amp;$C4797&amp;"'!$E$12:$Y$12"),0)),0),0)</f>
        <v>896801.46453861636</v>
      </c>
      <c r="I4797" s="366" t="s">
        <v>1731</v>
      </c>
      <c r="J4797" s="348" t="str">
        <f t="shared" ca="1" si="148"/>
        <v>OK</v>
      </c>
      <c r="K4797" s="366" t="s">
        <v>1746</v>
      </c>
      <c r="L4797" s="366" t="s">
        <v>2264</v>
      </c>
      <c r="M4797" s="350" t="str">
        <f>IF($B4797="Portfolio","Portfolio",IFERROR(INDEX(DATA_ASSET_CLASSIFICATION!$B$8:$B$24,MATCH($C4797,DATA_ASSET_CLASSIFICATION!$A$8:$A$24,0)),"Review"))</f>
        <v>The Creek, Port Moody</v>
      </c>
      <c r="N4797" s="350" t="str">
        <f>IF($B4797="Portfolio","Portfolio",IFERROR(INDEX(DATA_ASSET_CLASSIFICATION!$U$8:$U$24,MATCH($C4797,DATA_ASSET_CLASSIFICATION!$A$8:$A$24,0)),"Review"))</f>
        <v>New Build</v>
      </c>
      <c r="O4797" s="350" t="str">
        <f>IF($B4797="Portfolio","Portfolio",IFERROR(INDEX(DATA_ASSET_CLASSIFICATION!$AB$8:$AB$13,MATCH($N4797,DATA_ASSET_CLASSIFICATION!$AA$8:$AA$13,0)),"Review"))</f>
        <v>Bucket 1 · New Build</v>
      </c>
      <c r="P4797" s="350" t="str">
        <f>IF($B4797="Portfolio","Portfolio",IFERROR(INDEX(DATA_ASSET_CLASSIFICATION!$C$8:$C$24,MATCH($C4797,DATA_ASSET_CLASSIFICATION!$A$8:$A$24,0)),"Review"))</f>
        <v>Yes</v>
      </c>
      <c r="Q4797" s="350" t="str">
        <f t="shared" ca="1" si="149"/>
        <v>OK</v>
      </c>
    </row>
    <row r="4798" spans="1:17" ht="30">
      <c r="A4798" s="366" t="s">
        <v>6754</v>
      </c>
      <c r="B4798" s="366" t="s">
        <v>231</v>
      </c>
      <c r="C4798" s="348" t="str">
        <f>DATA_PROPERTY_MASTER!$A$20</f>
        <v>BLD_PM</v>
      </c>
      <c r="D4798" s="380">
        <f>'00_PORTFOLIO ROLLUP'!N$12</f>
        <v>2034</v>
      </c>
      <c r="E4798" s="366" t="s">
        <v>1741</v>
      </c>
      <c r="F4798" s="366" t="s">
        <v>1749</v>
      </c>
      <c r="G4798" s="348" t="str">
        <f>"'"&amp;$C4798&amp;"'!rows 56, 63, 68"</f>
        <v>'BLD_PM'!rows 56, 63, 68</v>
      </c>
      <c r="H4798" s="381">
        <f ca="1">IF(IFERROR(INDEX(DATA_PROPERTY_MASTER!$E$5:$E$21,MATCH($C4798,DATA_PROPERTY_MASTER!$A$5:$A$21,0))="Yes",FALSE),(IFERROR(INDEX(INDIRECT("'"&amp;$C4798&amp;"'!$E$56:$Y$56"),1,MATCH($D4798,INDIRECT("'"&amp;$C4798&amp;"'!$E$12:$Y$12"),0)),0)+MAX(IFERROR(INDEX(INDIRECT("'"&amp;$C4798&amp;"'!$E$63:$Y$63"),1,MATCH($D4798,INDIRECT("'"&amp;$C4798&amp;"'!$E$12:$Y$12"),0)),0),0))-(IFERROR(INDEX(INDIRECT("'"&amp;$C4798&amp;"'!$E$68:$Y$68"),1,MATCH($D4798,INDIRECT("'"&amp;$C4798&amp;"'!$E$12:$Y$12"),0)),0)),0)</f>
        <v>0</v>
      </c>
      <c r="I4798" s="366" t="s">
        <v>1750</v>
      </c>
      <c r="J4798" s="348" t="str">
        <f t="shared" ca="1" si="148"/>
        <v>OK</v>
      </c>
      <c r="K4798" s="366" t="s">
        <v>1751</v>
      </c>
      <c r="L4798" s="366" t="s">
        <v>2266</v>
      </c>
      <c r="M4798" s="350" t="str">
        <f>IF($B4798="Portfolio","Portfolio",IFERROR(INDEX(DATA_ASSET_CLASSIFICATION!$B$8:$B$24,MATCH($C4798,DATA_ASSET_CLASSIFICATION!$A$8:$A$24,0)),"Review"))</f>
        <v>The Creek, Port Moody</v>
      </c>
      <c r="N4798" s="350" t="str">
        <f>IF($B4798="Portfolio","Portfolio",IFERROR(INDEX(DATA_ASSET_CLASSIFICATION!$U$8:$U$24,MATCH($C4798,DATA_ASSET_CLASSIFICATION!$A$8:$A$24,0)),"Review"))</f>
        <v>New Build</v>
      </c>
      <c r="O4798" s="350" t="str">
        <f>IF($B4798="Portfolio","Portfolio",IFERROR(INDEX(DATA_ASSET_CLASSIFICATION!$AB$8:$AB$13,MATCH($N4798,DATA_ASSET_CLASSIFICATION!$AA$8:$AA$13,0)),"Review"))</f>
        <v>Bucket 1 · New Build</v>
      </c>
      <c r="P4798" s="350" t="str">
        <f>IF($B4798="Portfolio","Portfolio",IFERROR(INDEX(DATA_ASSET_CLASSIFICATION!$C$8:$C$24,MATCH($C4798,DATA_ASSET_CLASSIFICATION!$A$8:$A$24,0)),"Review"))</f>
        <v>Yes</v>
      </c>
      <c r="Q4798" s="350" t="str">
        <f t="shared" ca="1" si="149"/>
        <v>OK</v>
      </c>
    </row>
    <row r="4799" spans="1:17" ht="30">
      <c r="A4799" s="366" t="s">
        <v>6755</v>
      </c>
      <c r="B4799" s="366" t="s">
        <v>231</v>
      </c>
      <c r="C4799" s="348" t="str">
        <f>DATA_PROPERTY_MASTER!$A$20</f>
        <v>BLD_PM</v>
      </c>
      <c r="D4799" s="380">
        <f>'00_PORTFOLIO ROLLUP'!O$12</f>
        <v>2035</v>
      </c>
      <c r="E4799" s="366" t="s">
        <v>1683</v>
      </c>
      <c r="F4799" s="366" t="s">
        <v>341</v>
      </c>
      <c r="G4799" s="348" t="str">
        <f>"'"&amp;$C4799&amp;"'!$E$24:$Y$24"</f>
        <v>'BLD_PM'!$E$24:$Y$24</v>
      </c>
      <c r="H4799" s="381">
        <f ca="1">IF(IFERROR(INDEX(DATA_PROPERTY_MASTER!$E$5:$E$21,MATCH($C4799,DATA_PROPERTY_MASTER!$A$5:$A$21,0))="Yes",FALSE),IFERROR(INDEX(INDIRECT("'"&amp;$C4799&amp;"'!$E$24:$Y$24"),1,MATCH($D4799,INDIRECT("'"&amp;$C4799&amp;"'!$E$12:$Y$12"),0)),0),0)</f>
        <v>5722250.2369230157</v>
      </c>
      <c r="I4799" s="366" t="s">
        <v>1685</v>
      </c>
      <c r="J4799" s="348" t="str">
        <f t="shared" ca="1" si="148"/>
        <v>OK</v>
      </c>
      <c r="K4799" s="366" t="s">
        <v>1686</v>
      </c>
      <c r="L4799" s="366" t="s">
        <v>2234</v>
      </c>
      <c r="M4799" s="350" t="str">
        <f>IF($B4799="Portfolio","Portfolio",IFERROR(INDEX(DATA_ASSET_CLASSIFICATION!$B$8:$B$24,MATCH($C4799,DATA_ASSET_CLASSIFICATION!$A$8:$A$24,0)),"Review"))</f>
        <v>The Creek, Port Moody</v>
      </c>
      <c r="N4799" s="350" t="str">
        <f>IF($B4799="Portfolio","Portfolio",IFERROR(INDEX(DATA_ASSET_CLASSIFICATION!$U$8:$U$24,MATCH($C4799,DATA_ASSET_CLASSIFICATION!$A$8:$A$24,0)),"Review"))</f>
        <v>New Build</v>
      </c>
      <c r="O4799" s="350" t="str">
        <f>IF($B4799="Portfolio","Portfolio",IFERROR(INDEX(DATA_ASSET_CLASSIFICATION!$AB$8:$AB$13,MATCH($N4799,DATA_ASSET_CLASSIFICATION!$AA$8:$AA$13,0)),"Review"))</f>
        <v>Bucket 1 · New Build</v>
      </c>
      <c r="P4799" s="350" t="str">
        <f>IF($B4799="Portfolio","Portfolio",IFERROR(INDEX(DATA_ASSET_CLASSIFICATION!$C$8:$C$24,MATCH($C4799,DATA_ASSET_CLASSIFICATION!$A$8:$A$24,0)),"Review"))</f>
        <v>Yes</v>
      </c>
      <c r="Q4799" s="350" t="str">
        <f t="shared" ca="1" si="149"/>
        <v>OK</v>
      </c>
    </row>
    <row r="4800" spans="1:17" ht="30">
      <c r="A4800" s="366" t="s">
        <v>6756</v>
      </c>
      <c r="B4800" s="366" t="s">
        <v>231</v>
      </c>
      <c r="C4800" s="348" t="str">
        <f>DATA_PROPERTY_MASTER!$A$20</f>
        <v>BLD_PM</v>
      </c>
      <c r="D4800" s="380">
        <f>'00_PORTFOLIO ROLLUP'!O$12</f>
        <v>2035</v>
      </c>
      <c r="E4800" s="366" t="s">
        <v>1683</v>
      </c>
      <c r="F4800" s="366" t="s">
        <v>355</v>
      </c>
      <c r="G4800" s="348" t="str">
        <f>"'"&amp;$C4800&amp;"'!$E$39:$Y$39"</f>
        <v>'BLD_PM'!$E$39:$Y$39</v>
      </c>
      <c r="H4800" s="381">
        <f ca="1">IF(IFERROR(INDEX(DATA_PROPERTY_MASTER!$E$5:$E$21,MATCH($C4800,DATA_PROPERTY_MASTER!$A$5:$A$21,0))="Yes",FALSE),IFERROR(INDEX(INDIRECT("'"&amp;$C4800&amp;"'!$E$39:$Y$39"),1,MATCH($D4800,INDIRECT("'"&amp;$C4800&amp;"'!$E$12:$Y$12"),0)),0),0)</f>
        <v>257349.00880392871</v>
      </c>
      <c r="I4800" s="366" t="s">
        <v>1690</v>
      </c>
      <c r="J4800" s="348" t="str">
        <f t="shared" ca="1" si="148"/>
        <v>OK</v>
      </c>
      <c r="K4800" s="366" t="s">
        <v>1686</v>
      </c>
      <c r="L4800" s="366" t="s">
        <v>2236</v>
      </c>
      <c r="M4800" s="350" t="str">
        <f>IF($B4800="Portfolio","Portfolio",IFERROR(INDEX(DATA_ASSET_CLASSIFICATION!$B$8:$B$24,MATCH($C4800,DATA_ASSET_CLASSIFICATION!$A$8:$A$24,0)),"Review"))</f>
        <v>The Creek, Port Moody</v>
      </c>
      <c r="N4800" s="350" t="str">
        <f>IF($B4800="Portfolio","Portfolio",IFERROR(INDEX(DATA_ASSET_CLASSIFICATION!$U$8:$U$24,MATCH($C4800,DATA_ASSET_CLASSIFICATION!$A$8:$A$24,0)),"Review"))</f>
        <v>New Build</v>
      </c>
      <c r="O4800" s="350" t="str">
        <f>IF($B4800="Portfolio","Portfolio",IFERROR(INDEX(DATA_ASSET_CLASSIFICATION!$AB$8:$AB$13,MATCH($N4800,DATA_ASSET_CLASSIFICATION!$AA$8:$AA$13,0)),"Review"))</f>
        <v>Bucket 1 · New Build</v>
      </c>
      <c r="P4800" s="350" t="str">
        <f>IF($B4800="Portfolio","Portfolio",IFERROR(INDEX(DATA_ASSET_CLASSIFICATION!$C$8:$C$24,MATCH($C4800,DATA_ASSET_CLASSIFICATION!$A$8:$A$24,0)),"Review"))</f>
        <v>Yes</v>
      </c>
      <c r="Q4800" s="350" t="str">
        <f t="shared" ca="1" si="149"/>
        <v>OK</v>
      </c>
    </row>
    <row r="4801" spans="1:17" ht="30">
      <c r="A4801" s="366" t="s">
        <v>6757</v>
      </c>
      <c r="B4801" s="366" t="s">
        <v>231</v>
      </c>
      <c r="C4801" s="348" t="str">
        <f>DATA_PROPERTY_MASTER!$A$20</f>
        <v>BLD_PM</v>
      </c>
      <c r="D4801" s="380">
        <f>'00_PORTFOLIO ROLLUP'!O$12</f>
        <v>2035</v>
      </c>
      <c r="E4801" s="366" t="s">
        <v>1683</v>
      </c>
      <c r="F4801" s="366" t="s">
        <v>19</v>
      </c>
      <c r="G4801" s="348" t="str">
        <f>"'"&amp;$C4801&amp;"'!$E$41:$Y$41"</f>
        <v>'BLD_PM'!$E$41:$Y$41</v>
      </c>
      <c r="H4801" s="381">
        <f ca="1">IF(IFERROR(INDEX(DATA_PROPERTY_MASTER!$E$5:$E$21,MATCH($C4801,DATA_PROPERTY_MASTER!$A$5:$A$21,0))="Yes",FALSE),IFERROR(INDEX(INDIRECT("'"&amp;$C4801&amp;"'!$E$41:$Y$41"),1,MATCH($D4801,INDIRECT("'"&amp;$C4801&amp;"'!$E$12:$Y$12"),0)),0),0)</f>
        <v>5464901.2281190874</v>
      </c>
      <c r="I4801" s="366" t="s">
        <v>1685</v>
      </c>
      <c r="J4801" s="348" t="str">
        <f t="shared" ca="1" si="148"/>
        <v>OK</v>
      </c>
      <c r="K4801" s="366" t="s">
        <v>1694</v>
      </c>
      <c r="L4801" s="366" t="s">
        <v>2238</v>
      </c>
      <c r="M4801" s="350" t="str">
        <f>IF($B4801="Portfolio","Portfolio",IFERROR(INDEX(DATA_ASSET_CLASSIFICATION!$B$8:$B$24,MATCH($C4801,DATA_ASSET_CLASSIFICATION!$A$8:$A$24,0)),"Review"))</f>
        <v>The Creek, Port Moody</v>
      </c>
      <c r="N4801" s="350" t="str">
        <f>IF($B4801="Portfolio","Portfolio",IFERROR(INDEX(DATA_ASSET_CLASSIFICATION!$U$8:$U$24,MATCH($C4801,DATA_ASSET_CLASSIFICATION!$A$8:$A$24,0)),"Review"))</f>
        <v>New Build</v>
      </c>
      <c r="O4801" s="350" t="str">
        <f>IF($B4801="Portfolio","Portfolio",IFERROR(INDEX(DATA_ASSET_CLASSIFICATION!$AB$8:$AB$13,MATCH($N4801,DATA_ASSET_CLASSIFICATION!$AA$8:$AA$13,0)),"Review"))</f>
        <v>Bucket 1 · New Build</v>
      </c>
      <c r="P4801" s="350" t="str">
        <f>IF($B4801="Portfolio","Portfolio",IFERROR(INDEX(DATA_ASSET_CLASSIFICATION!$C$8:$C$24,MATCH($C4801,DATA_ASSET_CLASSIFICATION!$A$8:$A$24,0)),"Review"))</f>
        <v>Yes</v>
      </c>
      <c r="Q4801" s="350" t="str">
        <f t="shared" ca="1" si="149"/>
        <v>OK</v>
      </c>
    </row>
    <row r="4802" spans="1:17" ht="30">
      <c r="A4802" s="366" t="s">
        <v>6758</v>
      </c>
      <c r="B4802" s="366" t="s">
        <v>231</v>
      </c>
      <c r="C4802" s="348" t="str">
        <f>DATA_PROPERTY_MASTER!$A$20</f>
        <v>BLD_PM</v>
      </c>
      <c r="D4802" s="380">
        <f>'00_PORTFOLIO ROLLUP'!O$12</f>
        <v>2035</v>
      </c>
      <c r="E4802" s="366" t="s">
        <v>1683</v>
      </c>
      <c r="F4802" s="366" t="s">
        <v>1697</v>
      </c>
      <c r="G4802" s="348" t="str">
        <f>"'"&amp;$C4802&amp;"'!$E$44:$Y$44"</f>
        <v>'BLD_PM'!$E$44:$Y$44</v>
      </c>
      <c r="H4802" s="381">
        <f ca="1">IF(IFERROR(INDEX(DATA_PROPERTY_MASTER!$E$5:$E$21,MATCH($C4802,DATA_PROPERTY_MASTER!$A$5:$A$21,0))="Yes",FALSE),IFERROR(INDEX(INDIRECT("'"&amp;$C4802&amp;"'!$E$44:$Y$44"),1,MATCH($D4802,INDIRECT("'"&amp;$C4802&amp;"'!$E$12:$Y$12"),0)),0),0)</f>
        <v>59974.525463742051</v>
      </c>
      <c r="I4802" s="366" t="s">
        <v>1690</v>
      </c>
      <c r="J4802" s="348" t="str">
        <f t="shared" ca="1" si="148"/>
        <v>OK</v>
      </c>
      <c r="K4802" s="366" t="s">
        <v>1699</v>
      </c>
      <c r="L4802" s="366" t="s">
        <v>2240</v>
      </c>
      <c r="M4802" s="350" t="str">
        <f>IF($B4802="Portfolio","Portfolio",IFERROR(INDEX(DATA_ASSET_CLASSIFICATION!$B$8:$B$24,MATCH($C4802,DATA_ASSET_CLASSIFICATION!$A$8:$A$24,0)),"Review"))</f>
        <v>The Creek, Port Moody</v>
      </c>
      <c r="N4802" s="350" t="str">
        <f>IF($B4802="Portfolio","Portfolio",IFERROR(INDEX(DATA_ASSET_CLASSIFICATION!$U$8:$U$24,MATCH($C4802,DATA_ASSET_CLASSIFICATION!$A$8:$A$24,0)),"Review"))</f>
        <v>New Build</v>
      </c>
      <c r="O4802" s="350" t="str">
        <f>IF($B4802="Portfolio","Portfolio",IFERROR(INDEX(DATA_ASSET_CLASSIFICATION!$AB$8:$AB$13,MATCH($N4802,DATA_ASSET_CLASSIFICATION!$AA$8:$AA$13,0)),"Review"))</f>
        <v>Bucket 1 · New Build</v>
      </c>
      <c r="P4802" s="350" t="str">
        <f>IF($B4802="Portfolio","Portfolio",IFERROR(INDEX(DATA_ASSET_CLASSIFICATION!$C$8:$C$24,MATCH($C4802,DATA_ASSET_CLASSIFICATION!$A$8:$A$24,0)),"Review"))</f>
        <v>Yes</v>
      </c>
      <c r="Q4802" s="350" t="str">
        <f t="shared" ca="1" si="149"/>
        <v>OK</v>
      </c>
    </row>
    <row r="4803" spans="1:17" ht="30">
      <c r="A4803" s="366" t="s">
        <v>6759</v>
      </c>
      <c r="B4803" s="366" t="s">
        <v>231</v>
      </c>
      <c r="C4803" s="348" t="str">
        <f>DATA_PROPERTY_MASTER!$A$20</f>
        <v>BLD_PM</v>
      </c>
      <c r="D4803" s="380">
        <f>'00_PORTFOLIO ROLLUP'!O$12</f>
        <v>2035</v>
      </c>
      <c r="E4803" s="366" t="s">
        <v>1683</v>
      </c>
      <c r="F4803" s="366" t="s">
        <v>21</v>
      </c>
      <c r="G4803" s="348" t="str">
        <f>"'"&amp;$C4803&amp;"'!$E$45:$Y$45"</f>
        <v>'BLD_PM'!$E$45:$Y$45</v>
      </c>
      <c r="H4803" s="381">
        <f ca="1">IF(IFERROR(INDEX(DATA_PROPERTY_MASTER!$E$5:$E$21,MATCH($C4803,DATA_PROPERTY_MASTER!$A$5:$A$21,0))="Yes",FALSE),IFERROR(INDEX(INDIRECT("'"&amp;$C4803&amp;"'!$E$45:$Y$45"),1,MATCH($D4803,INDIRECT("'"&amp;$C4803&amp;"'!$E$12:$Y$12"),0)),0),0)</f>
        <v>5404926.7026553452</v>
      </c>
      <c r="I4803" s="366" t="s">
        <v>1685</v>
      </c>
      <c r="J4803" s="348" t="str">
        <f t="shared" ca="1" si="148"/>
        <v>OK</v>
      </c>
      <c r="K4803" s="366" t="s">
        <v>1694</v>
      </c>
      <c r="L4803" s="366" t="s">
        <v>2242</v>
      </c>
      <c r="M4803" s="350" t="str">
        <f>IF($B4803="Portfolio","Portfolio",IFERROR(INDEX(DATA_ASSET_CLASSIFICATION!$B$8:$B$24,MATCH($C4803,DATA_ASSET_CLASSIFICATION!$A$8:$A$24,0)),"Review"))</f>
        <v>The Creek, Port Moody</v>
      </c>
      <c r="N4803" s="350" t="str">
        <f>IF($B4803="Portfolio","Portfolio",IFERROR(INDEX(DATA_ASSET_CLASSIFICATION!$U$8:$U$24,MATCH($C4803,DATA_ASSET_CLASSIFICATION!$A$8:$A$24,0)),"Review"))</f>
        <v>New Build</v>
      </c>
      <c r="O4803" s="350" t="str">
        <f>IF($B4803="Portfolio","Portfolio",IFERROR(INDEX(DATA_ASSET_CLASSIFICATION!$AB$8:$AB$13,MATCH($N4803,DATA_ASSET_CLASSIFICATION!$AA$8:$AA$13,0)),"Review"))</f>
        <v>Bucket 1 · New Build</v>
      </c>
      <c r="P4803" s="350" t="str">
        <f>IF($B4803="Portfolio","Portfolio",IFERROR(INDEX(DATA_ASSET_CLASSIFICATION!$C$8:$C$24,MATCH($C4803,DATA_ASSET_CLASSIFICATION!$A$8:$A$24,0)),"Review"))</f>
        <v>Yes</v>
      </c>
      <c r="Q4803" s="350" t="str">
        <f t="shared" ca="1" si="149"/>
        <v>OK</v>
      </c>
    </row>
    <row r="4804" spans="1:17" ht="30">
      <c r="A4804" s="366" t="s">
        <v>6760</v>
      </c>
      <c r="B4804" s="366" t="s">
        <v>231</v>
      </c>
      <c r="C4804" s="348" t="str">
        <f>DATA_PROPERTY_MASTER!$A$20</f>
        <v>BLD_PM</v>
      </c>
      <c r="D4804" s="380">
        <f>'00_PORTFOLIO ROLLUP'!O$12</f>
        <v>2035</v>
      </c>
      <c r="E4804" s="366" t="s">
        <v>23</v>
      </c>
      <c r="F4804" s="366" t="s">
        <v>23</v>
      </c>
      <c r="G4804" s="348" t="str">
        <f>"'"&amp;$C4804&amp;"'!$E$48:$Y$48"</f>
        <v>'BLD_PM'!$E$48:$Y$48</v>
      </c>
      <c r="H4804" s="381">
        <f ca="1">IF(IFERROR(INDEX(DATA_PROPERTY_MASTER!$E$5:$E$21,MATCH($C4804,DATA_PROPERTY_MASTER!$A$5:$A$21,0))="Yes",FALSE),IFERROR(INDEX(INDIRECT("'"&amp;$C4804&amp;"'!$E$48:$Y$48"),1,MATCH($D4804,INDIRECT("'"&amp;$C4804&amp;"'!$E$12:$Y$12"),0)),0),0)</f>
        <v>3116973.3868276179</v>
      </c>
      <c r="I4804" s="366" t="s">
        <v>1690</v>
      </c>
      <c r="J4804" s="348" t="str">
        <f t="shared" ca="1" si="148"/>
        <v>OK</v>
      </c>
      <c r="K4804" s="366" t="s">
        <v>1706</v>
      </c>
      <c r="L4804" s="366" t="s">
        <v>2244</v>
      </c>
      <c r="M4804" s="350" t="str">
        <f>IF($B4804="Portfolio","Portfolio",IFERROR(INDEX(DATA_ASSET_CLASSIFICATION!$B$8:$B$24,MATCH($C4804,DATA_ASSET_CLASSIFICATION!$A$8:$A$24,0)),"Review"))</f>
        <v>The Creek, Port Moody</v>
      </c>
      <c r="N4804" s="350" t="str">
        <f>IF($B4804="Portfolio","Portfolio",IFERROR(INDEX(DATA_ASSET_CLASSIFICATION!$U$8:$U$24,MATCH($C4804,DATA_ASSET_CLASSIFICATION!$A$8:$A$24,0)),"Review"))</f>
        <v>New Build</v>
      </c>
      <c r="O4804" s="350" t="str">
        <f>IF($B4804="Portfolio","Portfolio",IFERROR(INDEX(DATA_ASSET_CLASSIFICATION!$AB$8:$AB$13,MATCH($N4804,DATA_ASSET_CLASSIFICATION!$AA$8:$AA$13,0)),"Review"))</f>
        <v>Bucket 1 · New Build</v>
      </c>
      <c r="P4804" s="350" t="str">
        <f>IF($B4804="Portfolio","Portfolio",IFERROR(INDEX(DATA_ASSET_CLASSIFICATION!$C$8:$C$24,MATCH($C4804,DATA_ASSET_CLASSIFICATION!$A$8:$A$24,0)),"Review"))</f>
        <v>Yes</v>
      </c>
      <c r="Q4804" s="350" t="str">
        <f t="shared" ca="1" si="149"/>
        <v>OK</v>
      </c>
    </row>
    <row r="4805" spans="1:17" ht="30">
      <c r="A4805" s="366" t="s">
        <v>6761</v>
      </c>
      <c r="B4805" s="366" t="s">
        <v>231</v>
      </c>
      <c r="C4805" s="348" t="str">
        <f>DATA_PROPERTY_MASTER!$A$20</f>
        <v>BLD_PM</v>
      </c>
      <c r="D4805" s="380">
        <f>'00_PORTFOLIO ROLLUP'!O$12</f>
        <v>2035</v>
      </c>
      <c r="E4805" s="366" t="s">
        <v>1683</v>
      </c>
      <c r="F4805" s="366" t="s">
        <v>25</v>
      </c>
      <c r="G4805" s="348" t="str">
        <f>"'"&amp;$C4805&amp;"'!$E$52:$Y$52"</f>
        <v>'BLD_PM'!$E$52:$Y$52</v>
      </c>
      <c r="H4805" s="381">
        <f ca="1">IF(IFERROR(INDEX(DATA_PROPERTY_MASTER!$E$5:$E$21,MATCH($C4805,DATA_PROPERTY_MASTER!$A$5:$A$21,0))="Yes",FALSE),IFERROR(INDEX(INDIRECT("'"&amp;$C4805&amp;"'!$E$52:$Y$52"),1,MATCH($D4805,INDIRECT("'"&amp;$C4805&amp;"'!$E$12:$Y$12"),0)),0),0)</f>
        <v>2347927.8412914695</v>
      </c>
      <c r="I4805" s="366" t="s">
        <v>1685</v>
      </c>
      <c r="J4805" s="348" t="str">
        <f t="shared" ref="J4805:J4868" ca="1" si="150">IF($F4805="Residual Funding Gap",IF($H4805&gt;0,"Funding Gap","OK"),IF(AND($F4805="Net Refinance Position",$H4805&lt;0),"Negative net refi position","OK"))</f>
        <v>OK</v>
      </c>
      <c r="K4805" s="366" t="s">
        <v>1710</v>
      </c>
      <c r="L4805" s="366" t="s">
        <v>2246</v>
      </c>
      <c r="M4805" s="350" t="str">
        <f>IF($B4805="Portfolio","Portfolio",IFERROR(INDEX(DATA_ASSET_CLASSIFICATION!$B$8:$B$24,MATCH($C4805,DATA_ASSET_CLASSIFICATION!$A$8:$A$24,0)),"Review"))</f>
        <v>The Creek, Port Moody</v>
      </c>
      <c r="N4805" s="350" t="str">
        <f>IF($B4805="Portfolio","Portfolio",IFERROR(INDEX(DATA_ASSET_CLASSIFICATION!$U$8:$U$24,MATCH($C4805,DATA_ASSET_CLASSIFICATION!$A$8:$A$24,0)),"Review"))</f>
        <v>New Build</v>
      </c>
      <c r="O4805" s="350" t="str">
        <f>IF($B4805="Portfolio","Portfolio",IFERROR(INDEX(DATA_ASSET_CLASSIFICATION!$AB$8:$AB$13,MATCH($N4805,DATA_ASSET_CLASSIFICATION!$AA$8:$AA$13,0)),"Review"))</f>
        <v>Bucket 1 · New Build</v>
      </c>
      <c r="P4805" s="350" t="str">
        <f>IF($B4805="Portfolio","Portfolio",IFERROR(INDEX(DATA_ASSET_CLASSIFICATION!$C$8:$C$24,MATCH($C4805,DATA_ASSET_CLASSIFICATION!$A$8:$A$24,0)),"Review"))</f>
        <v>Yes</v>
      </c>
      <c r="Q4805" s="350" t="str">
        <f t="shared" ref="Q4805:Q4868" ca="1" si="151">IF(AND($B4805="Property",$F4805="Residual Funding Gap",$H4805&gt;0),"Property Funding Gap",IF($J4805&lt;&gt;"OK",$J4805,"OK"))</f>
        <v>OK</v>
      </c>
    </row>
    <row r="4806" spans="1:17" ht="30">
      <c r="A4806" s="366" t="s">
        <v>6762</v>
      </c>
      <c r="B4806" s="366" t="s">
        <v>231</v>
      </c>
      <c r="C4806" s="348" t="str">
        <f>DATA_PROPERTY_MASTER!$A$20</f>
        <v>BLD_PM</v>
      </c>
      <c r="D4806" s="380">
        <f>'00_PORTFOLIO ROLLUP'!O$12</f>
        <v>2035</v>
      </c>
      <c r="E4806" s="366" t="s">
        <v>1683</v>
      </c>
      <c r="F4806" s="366" t="s">
        <v>27</v>
      </c>
      <c r="G4806" s="348" t="str">
        <f>"'"&amp;$C4806&amp;"'!$E$54:$Y$54"</f>
        <v>'BLD_PM'!$E$54:$Y$54</v>
      </c>
      <c r="H4806" s="381">
        <f ca="1">IF(IFERROR(INDEX(DATA_PROPERTY_MASTER!$E$5:$E$21,MATCH($C4806,DATA_PROPERTY_MASTER!$A$5:$A$21,0))="Yes",FALSE),IFERROR(INDEX(INDIRECT("'"&amp;$C4806&amp;"'!$E$54:$Y$54"),1,MATCH($D4806,INDIRECT("'"&amp;$C4806&amp;"'!$E$12:$Y$12"),0)),0),0)</f>
        <v>1408756.7047748817</v>
      </c>
      <c r="I4806" s="366" t="s">
        <v>1690</v>
      </c>
      <c r="J4806" s="348" t="str">
        <f t="shared" ca="1" si="150"/>
        <v>OK</v>
      </c>
      <c r="K4806" s="366" t="s">
        <v>1714</v>
      </c>
      <c r="L4806" s="366" t="s">
        <v>2248</v>
      </c>
      <c r="M4806" s="350" t="str">
        <f>IF($B4806="Portfolio","Portfolio",IFERROR(INDEX(DATA_ASSET_CLASSIFICATION!$B$8:$B$24,MATCH($C4806,DATA_ASSET_CLASSIFICATION!$A$8:$A$24,0)),"Review"))</f>
        <v>The Creek, Port Moody</v>
      </c>
      <c r="N4806" s="350" t="str">
        <f>IF($B4806="Portfolio","Portfolio",IFERROR(INDEX(DATA_ASSET_CLASSIFICATION!$U$8:$U$24,MATCH($C4806,DATA_ASSET_CLASSIFICATION!$A$8:$A$24,0)),"Review"))</f>
        <v>New Build</v>
      </c>
      <c r="O4806" s="350" t="str">
        <f>IF($B4806="Portfolio","Portfolio",IFERROR(INDEX(DATA_ASSET_CLASSIFICATION!$AB$8:$AB$13,MATCH($N4806,DATA_ASSET_CLASSIFICATION!$AA$8:$AA$13,0)),"Review"))</f>
        <v>Bucket 1 · New Build</v>
      </c>
      <c r="P4806" s="350" t="str">
        <f>IF($B4806="Portfolio","Portfolio",IFERROR(INDEX(DATA_ASSET_CLASSIFICATION!$C$8:$C$24,MATCH($C4806,DATA_ASSET_CLASSIFICATION!$A$8:$A$24,0)),"Review"))</f>
        <v>Yes</v>
      </c>
      <c r="Q4806" s="350" t="str">
        <f t="shared" ca="1" si="151"/>
        <v>OK</v>
      </c>
    </row>
    <row r="4807" spans="1:17" ht="30">
      <c r="A4807" s="366" t="s">
        <v>6763</v>
      </c>
      <c r="B4807" s="366" t="s">
        <v>231</v>
      </c>
      <c r="C4807" s="348" t="str">
        <f>DATA_PROPERTY_MASTER!$A$20</f>
        <v>BLD_PM</v>
      </c>
      <c r="D4807" s="380">
        <f>'00_PORTFOLIO ROLLUP'!O$12</f>
        <v>2035</v>
      </c>
      <c r="E4807" s="366" t="s">
        <v>1683</v>
      </c>
      <c r="F4807" s="366" t="s">
        <v>29</v>
      </c>
      <c r="G4807" s="348" t="str">
        <f>"'"&amp;$C4807&amp;"'!$E$56:$Y$56"</f>
        <v>'BLD_PM'!$E$56:$Y$56</v>
      </c>
      <c r="H4807" s="381">
        <f ca="1">IF(IFERROR(INDEX(DATA_PROPERTY_MASTER!$E$5:$E$21,MATCH($C4807,DATA_PROPERTY_MASTER!$A$5:$A$21,0))="Yes",FALSE),IFERROR(INDEX(INDIRECT("'"&amp;$C4807&amp;"'!$E$56:$Y$56"),1,MATCH($D4807,INDIRECT("'"&amp;$C4807&amp;"'!$E$12:$Y$12"),0)),0),0)</f>
        <v>939171.13651658781</v>
      </c>
      <c r="I4807" s="366" t="s">
        <v>1685</v>
      </c>
      <c r="J4807" s="348" t="str">
        <f t="shared" ca="1" si="150"/>
        <v>OK</v>
      </c>
      <c r="K4807" s="366" t="s">
        <v>1718</v>
      </c>
      <c r="L4807" s="366" t="s">
        <v>2250</v>
      </c>
      <c r="M4807" s="350" t="str">
        <f>IF($B4807="Portfolio","Portfolio",IFERROR(INDEX(DATA_ASSET_CLASSIFICATION!$B$8:$B$24,MATCH($C4807,DATA_ASSET_CLASSIFICATION!$A$8:$A$24,0)),"Review"))</f>
        <v>The Creek, Port Moody</v>
      </c>
      <c r="N4807" s="350" t="str">
        <f>IF($B4807="Portfolio","Portfolio",IFERROR(INDEX(DATA_ASSET_CLASSIFICATION!$U$8:$U$24,MATCH($C4807,DATA_ASSET_CLASSIFICATION!$A$8:$A$24,0)),"Review"))</f>
        <v>New Build</v>
      </c>
      <c r="O4807" s="350" t="str">
        <f>IF($B4807="Portfolio","Portfolio",IFERROR(INDEX(DATA_ASSET_CLASSIFICATION!$AB$8:$AB$13,MATCH($N4807,DATA_ASSET_CLASSIFICATION!$AA$8:$AA$13,0)),"Review"))</f>
        <v>Bucket 1 · New Build</v>
      </c>
      <c r="P4807" s="350" t="str">
        <f>IF($B4807="Portfolio","Portfolio",IFERROR(INDEX(DATA_ASSET_CLASSIFICATION!$C$8:$C$24,MATCH($C4807,DATA_ASSET_CLASSIFICATION!$A$8:$A$24,0)),"Review"))</f>
        <v>Yes</v>
      </c>
      <c r="Q4807" s="350" t="str">
        <f t="shared" ca="1" si="151"/>
        <v>OK</v>
      </c>
    </row>
    <row r="4808" spans="1:17" ht="30">
      <c r="A4808" s="366" t="s">
        <v>6764</v>
      </c>
      <c r="B4808" s="366" t="s">
        <v>231</v>
      </c>
      <c r="C4808" s="348" t="str">
        <f>DATA_PROPERTY_MASTER!$A$20</f>
        <v>BLD_PM</v>
      </c>
      <c r="D4808" s="380">
        <f>'00_PORTFOLIO ROLLUP'!O$12</f>
        <v>2035</v>
      </c>
      <c r="E4808" s="366" t="s">
        <v>1721</v>
      </c>
      <c r="F4808" s="366" t="s">
        <v>31</v>
      </c>
      <c r="G4808" s="348" t="str">
        <f>"'"&amp;$C4808&amp;"'!$E$61:$Y$61"</f>
        <v>'BLD_PM'!$E$61:$Y$61</v>
      </c>
      <c r="H4808" s="381">
        <f ca="1">IF(IFERROR(INDEX(DATA_PROPERTY_MASTER!$E$5:$E$21,MATCH($C4808,DATA_PROPERTY_MASTER!$A$5:$A$21,0))="Yes",FALSE),IFERROR(INDEX(INDIRECT("'"&amp;$C4808&amp;"'!$E$61:$Y$61"),1,MATCH($D4808,INDIRECT("'"&amp;$C4808&amp;"'!$E$12:$Y$12"),0)),0),0)</f>
        <v>0</v>
      </c>
      <c r="I4808" s="366" t="s">
        <v>1690</v>
      </c>
      <c r="J4808" s="348" t="str">
        <f t="shared" ca="1" si="150"/>
        <v>OK</v>
      </c>
      <c r="K4808" s="366" t="s">
        <v>1723</v>
      </c>
      <c r="L4808" s="366" t="s">
        <v>2252</v>
      </c>
      <c r="M4808" s="350" t="str">
        <f>IF($B4808="Portfolio","Portfolio",IFERROR(INDEX(DATA_ASSET_CLASSIFICATION!$B$8:$B$24,MATCH($C4808,DATA_ASSET_CLASSIFICATION!$A$8:$A$24,0)),"Review"))</f>
        <v>The Creek, Port Moody</v>
      </c>
      <c r="N4808" s="350" t="str">
        <f>IF($B4808="Portfolio","Portfolio",IFERROR(INDEX(DATA_ASSET_CLASSIFICATION!$U$8:$U$24,MATCH($C4808,DATA_ASSET_CLASSIFICATION!$A$8:$A$24,0)),"Review"))</f>
        <v>New Build</v>
      </c>
      <c r="O4808" s="350" t="str">
        <f>IF($B4808="Portfolio","Portfolio",IFERROR(INDEX(DATA_ASSET_CLASSIFICATION!$AB$8:$AB$13,MATCH($N4808,DATA_ASSET_CLASSIFICATION!$AA$8:$AA$13,0)),"Review"))</f>
        <v>Bucket 1 · New Build</v>
      </c>
      <c r="P4808" s="350" t="str">
        <f>IF($B4808="Portfolio","Portfolio",IFERROR(INDEX(DATA_ASSET_CLASSIFICATION!$C$8:$C$24,MATCH($C4808,DATA_ASSET_CLASSIFICATION!$A$8:$A$24,0)),"Review"))</f>
        <v>Yes</v>
      </c>
      <c r="Q4808" s="350" t="str">
        <f t="shared" ca="1" si="151"/>
        <v>OK</v>
      </c>
    </row>
    <row r="4809" spans="1:17" ht="30">
      <c r="A4809" s="366" t="s">
        <v>6765</v>
      </c>
      <c r="B4809" s="366" t="s">
        <v>231</v>
      </c>
      <c r="C4809" s="348" t="str">
        <f>DATA_PROPERTY_MASTER!$A$20</f>
        <v>BLD_PM</v>
      </c>
      <c r="D4809" s="380">
        <f>'00_PORTFOLIO ROLLUP'!O$12</f>
        <v>2035</v>
      </c>
      <c r="E4809" s="366" t="s">
        <v>1721</v>
      </c>
      <c r="F4809" s="366" t="s">
        <v>33</v>
      </c>
      <c r="G4809" s="348" t="str">
        <f>"'"&amp;$C4809&amp;"'!$E$62:$Y$62"</f>
        <v>'BLD_PM'!$E$62:$Y$62</v>
      </c>
      <c r="H4809" s="381">
        <f ca="1">IF(IFERROR(INDEX(DATA_PROPERTY_MASTER!$E$5:$E$21,MATCH($C4809,DATA_PROPERTY_MASTER!$A$5:$A$21,0))="Yes",FALSE),IFERROR(INDEX(INDIRECT("'"&amp;$C4809&amp;"'!$E$62:$Y$62"),1,MATCH($D4809,INDIRECT("'"&amp;$C4809&amp;"'!$E$12:$Y$12"),0)),0),0)</f>
        <v>0</v>
      </c>
      <c r="I4809" s="366" t="s">
        <v>1685</v>
      </c>
      <c r="J4809" s="348" t="str">
        <f t="shared" ca="1" si="150"/>
        <v>OK</v>
      </c>
      <c r="K4809" s="366" t="s">
        <v>1727</v>
      </c>
      <c r="L4809" s="366" t="s">
        <v>2254</v>
      </c>
      <c r="M4809" s="350" t="str">
        <f>IF($B4809="Portfolio","Portfolio",IFERROR(INDEX(DATA_ASSET_CLASSIFICATION!$B$8:$B$24,MATCH($C4809,DATA_ASSET_CLASSIFICATION!$A$8:$A$24,0)),"Review"))</f>
        <v>The Creek, Port Moody</v>
      </c>
      <c r="N4809" s="350" t="str">
        <f>IF($B4809="Portfolio","Portfolio",IFERROR(INDEX(DATA_ASSET_CLASSIFICATION!$U$8:$U$24,MATCH($C4809,DATA_ASSET_CLASSIFICATION!$A$8:$A$24,0)),"Review"))</f>
        <v>New Build</v>
      </c>
      <c r="O4809" s="350" t="str">
        <f>IF($B4809="Portfolio","Portfolio",IFERROR(INDEX(DATA_ASSET_CLASSIFICATION!$AB$8:$AB$13,MATCH($N4809,DATA_ASSET_CLASSIFICATION!$AA$8:$AA$13,0)),"Review"))</f>
        <v>Bucket 1 · New Build</v>
      </c>
      <c r="P4809" s="350" t="str">
        <f>IF($B4809="Portfolio","Portfolio",IFERROR(INDEX(DATA_ASSET_CLASSIFICATION!$C$8:$C$24,MATCH($C4809,DATA_ASSET_CLASSIFICATION!$A$8:$A$24,0)),"Review"))</f>
        <v>Yes</v>
      </c>
      <c r="Q4809" s="350" t="str">
        <f t="shared" ca="1" si="151"/>
        <v>OK</v>
      </c>
    </row>
    <row r="4810" spans="1:17" ht="30">
      <c r="A4810" s="366" t="s">
        <v>6766</v>
      </c>
      <c r="B4810" s="366" t="s">
        <v>231</v>
      </c>
      <c r="C4810" s="348" t="str">
        <f>DATA_PROPERTY_MASTER!$A$20</f>
        <v>BLD_PM</v>
      </c>
      <c r="D4810" s="380">
        <f>'00_PORTFOLIO ROLLUP'!O$12</f>
        <v>2035</v>
      </c>
      <c r="E4810" s="366" t="s">
        <v>1721</v>
      </c>
      <c r="F4810" s="366" t="s">
        <v>35</v>
      </c>
      <c r="G4810" s="348" t="str">
        <f>"'"&amp;$C4810&amp;"'!$E$63:$Y$63"</f>
        <v>'BLD_PM'!$E$63:$Y$63</v>
      </c>
      <c r="H4810" s="381">
        <f ca="1">IF(IFERROR(INDEX(DATA_PROPERTY_MASTER!$E$5:$E$21,MATCH($C4810,DATA_PROPERTY_MASTER!$A$5:$A$21,0))="Yes",FALSE),IFERROR(INDEX(INDIRECT("'"&amp;$C4810&amp;"'!$E$63:$Y$63"),1,MATCH($D4810,INDIRECT("'"&amp;$C4810&amp;"'!$E$12:$Y$12"),0)),0),0)</f>
        <v>0</v>
      </c>
      <c r="I4810" s="366" t="s">
        <v>1731</v>
      </c>
      <c r="J4810" s="348" t="str">
        <f t="shared" ca="1" si="150"/>
        <v>OK</v>
      </c>
      <c r="K4810" s="366" t="s">
        <v>1732</v>
      </c>
      <c r="L4810" s="366" t="s">
        <v>2256</v>
      </c>
      <c r="M4810" s="350" t="str">
        <f>IF($B4810="Portfolio","Portfolio",IFERROR(INDEX(DATA_ASSET_CLASSIFICATION!$B$8:$B$24,MATCH($C4810,DATA_ASSET_CLASSIFICATION!$A$8:$A$24,0)),"Review"))</f>
        <v>The Creek, Port Moody</v>
      </c>
      <c r="N4810" s="350" t="str">
        <f>IF($B4810="Portfolio","Portfolio",IFERROR(INDEX(DATA_ASSET_CLASSIFICATION!$U$8:$U$24,MATCH($C4810,DATA_ASSET_CLASSIFICATION!$A$8:$A$24,0)),"Review"))</f>
        <v>New Build</v>
      </c>
      <c r="O4810" s="350" t="str">
        <f>IF($B4810="Portfolio","Portfolio",IFERROR(INDEX(DATA_ASSET_CLASSIFICATION!$AB$8:$AB$13,MATCH($N4810,DATA_ASSET_CLASSIFICATION!$AA$8:$AA$13,0)),"Review"))</f>
        <v>Bucket 1 · New Build</v>
      </c>
      <c r="P4810" s="350" t="str">
        <f>IF($B4810="Portfolio","Portfolio",IFERROR(INDEX(DATA_ASSET_CLASSIFICATION!$C$8:$C$24,MATCH($C4810,DATA_ASSET_CLASSIFICATION!$A$8:$A$24,0)),"Review"))</f>
        <v>Yes</v>
      </c>
      <c r="Q4810" s="350" t="str">
        <f t="shared" ca="1" si="151"/>
        <v>OK</v>
      </c>
    </row>
    <row r="4811" spans="1:17" ht="30">
      <c r="A4811" s="366" t="s">
        <v>6767</v>
      </c>
      <c r="B4811" s="366" t="s">
        <v>231</v>
      </c>
      <c r="C4811" s="348" t="str">
        <f>DATA_PROPERTY_MASTER!$A$20</f>
        <v>BLD_PM</v>
      </c>
      <c r="D4811" s="380">
        <f>'00_PORTFOLIO ROLLUP'!O$12</f>
        <v>2035</v>
      </c>
      <c r="E4811" s="366" t="s">
        <v>1721</v>
      </c>
      <c r="F4811" s="366" t="s">
        <v>37</v>
      </c>
      <c r="G4811" s="348" t="str">
        <f>"'"&amp;$C4811&amp;"'!$E$63:$Y$63"</f>
        <v>'BLD_PM'!$E$63:$Y$63</v>
      </c>
      <c r="H4811" s="381">
        <f ca="1">IF(IFERROR(INDEX(DATA_PROPERTY_MASTER!$E$5:$E$21,MATCH($C4811,DATA_PROPERTY_MASTER!$A$5:$A$21,0))="Yes",FALSE),MAX(IFERROR(INDEX(INDIRECT("'"&amp;$C4811&amp;"'!$E$63:$Y$63"),1,MATCH($D4811,INDIRECT("'"&amp;$C4811&amp;"'!$E$12:$Y$12"),0)),0),0),0)</f>
        <v>0</v>
      </c>
      <c r="I4811" s="366" t="s">
        <v>1685</v>
      </c>
      <c r="J4811" s="348" t="str">
        <f t="shared" ca="1" si="150"/>
        <v>OK</v>
      </c>
      <c r="K4811" s="366" t="s">
        <v>1735</v>
      </c>
      <c r="L4811" s="366" t="s">
        <v>2258</v>
      </c>
      <c r="M4811" s="350" t="str">
        <f>IF($B4811="Portfolio","Portfolio",IFERROR(INDEX(DATA_ASSET_CLASSIFICATION!$B$8:$B$24,MATCH($C4811,DATA_ASSET_CLASSIFICATION!$A$8:$A$24,0)),"Review"))</f>
        <v>The Creek, Port Moody</v>
      </c>
      <c r="N4811" s="350" t="str">
        <f>IF($B4811="Portfolio","Portfolio",IFERROR(INDEX(DATA_ASSET_CLASSIFICATION!$U$8:$U$24,MATCH($C4811,DATA_ASSET_CLASSIFICATION!$A$8:$A$24,0)),"Review"))</f>
        <v>New Build</v>
      </c>
      <c r="O4811" s="350" t="str">
        <f>IF($B4811="Portfolio","Portfolio",IFERROR(INDEX(DATA_ASSET_CLASSIFICATION!$AB$8:$AB$13,MATCH($N4811,DATA_ASSET_CLASSIFICATION!$AA$8:$AA$13,0)),"Review"))</f>
        <v>Bucket 1 · New Build</v>
      </c>
      <c r="P4811" s="350" t="str">
        <f>IF($B4811="Portfolio","Portfolio",IFERROR(INDEX(DATA_ASSET_CLASSIFICATION!$C$8:$C$24,MATCH($C4811,DATA_ASSET_CLASSIFICATION!$A$8:$A$24,0)),"Review"))</f>
        <v>Yes</v>
      </c>
      <c r="Q4811" s="350" t="str">
        <f t="shared" ca="1" si="151"/>
        <v>OK</v>
      </c>
    </row>
    <row r="4812" spans="1:17" ht="30">
      <c r="A4812" s="366" t="s">
        <v>6768</v>
      </c>
      <c r="B4812" s="366" t="s">
        <v>231</v>
      </c>
      <c r="C4812" s="348" t="str">
        <f>DATA_PROPERTY_MASTER!$A$20</f>
        <v>BLD_PM</v>
      </c>
      <c r="D4812" s="380">
        <f>'00_PORTFOLIO ROLLUP'!O$12</f>
        <v>2035</v>
      </c>
      <c r="E4812" s="366" t="s">
        <v>1721</v>
      </c>
      <c r="F4812" s="366" t="s">
        <v>39</v>
      </c>
      <c r="G4812" s="348" t="str">
        <f>"'"&amp;$C4812&amp;"'!$E$63:$Y$63"</f>
        <v>'BLD_PM'!$E$63:$Y$63</v>
      </c>
      <c r="H4812" s="381">
        <f ca="1">IF(IFERROR(INDEX(DATA_PROPERTY_MASTER!$E$5:$E$21,MATCH($C4812,DATA_PROPERTY_MASTER!$A$5:$A$21,0))="Yes",FALSE),MAX(-IFERROR(INDEX(INDIRECT("'"&amp;$C4812&amp;"'!$E$63:$Y$63"),1,MATCH($D4812,INDIRECT("'"&amp;$C4812&amp;"'!$E$12:$Y$12"),0)),0),0),0)</f>
        <v>0</v>
      </c>
      <c r="I4812" s="366" t="s">
        <v>1690</v>
      </c>
      <c r="J4812" s="348" t="str">
        <f t="shared" ca="1" si="150"/>
        <v>OK</v>
      </c>
      <c r="K4812" s="366" t="s">
        <v>1738</v>
      </c>
      <c r="L4812" s="366" t="s">
        <v>2260</v>
      </c>
      <c r="M4812" s="350" t="str">
        <f>IF($B4812="Portfolio","Portfolio",IFERROR(INDEX(DATA_ASSET_CLASSIFICATION!$B$8:$B$24,MATCH($C4812,DATA_ASSET_CLASSIFICATION!$A$8:$A$24,0)),"Review"))</f>
        <v>The Creek, Port Moody</v>
      </c>
      <c r="N4812" s="350" t="str">
        <f>IF($B4812="Portfolio","Portfolio",IFERROR(INDEX(DATA_ASSET_CLASSIFICATION!$U$8:$U$24,MATCH($C4812,DATA_ASSET_CLASSIFICATION!$A$8:$A$24,0)),"Review"))</f>
        <v>New Build</v>
      </c>
      <c r="O4812" s="350" t="str">
        <f>IF($B4812="Portfolio","Portfolio",IFERROR(INDEX(DATA_ASSET_CLASSIFICATION!$AB$8:$AB$13,MATCH($N4812,DATA_ASSET_CLASSIFICATION!$AA$8:$AA$13,0)),"Review"))</f>
        <v>Bucket 1 · New Build</v>
      </c>
      <c r="P4812" s="350" t="str">
        <f>IF($B4812="Portfolio","Portfolio",IFERROR(INDEX(DATA_ASSET_CLASSIFICATION!$C$8:$C$24,MATCH($C4812,DATA_ASSET_CLASSIFICATION!$A$8:$A$24,0)),"Review"))</f>
        <v>Yes</v>
      </c>
      <c r="Q4812" s="350" t="str">
        <f t="shared" ca="1" si="151"/>
        <v>OK</v>
      </c>
    </row>
    <row r="4813" spans="1:17" ht="30">
      <c r="A4813" s="366" t="s">
        <v>6769</v>
      </c>
      <c r="B4813" s="366" t="s">
        <v>231</v>
      </c>
      <c r="C4813" s="348" t="str">
        <f>DATA_PROPERTY_MASTER!$A$20</f>
        <v>BLD_PM</v>
      </c>
      <c r="D4813" s="380">
        <f>'00_PORTFOLIO ROLLUP'!O$12</f>
        <v>2035</v>
      </c>
      <c r="E4813" s="366" t="s">
        <v>1741</v>
      </c>
      <c r="F4813" s="366" t="s">
        <v>41</v>
      </c>
      <c r="G4813" s="348" t="str">
        <f>"'"&amp;$C4813&amp;"'!rows 56 + positive row 63"</f>
        <v>'BLD_PM'!rows 56 + positive row 63</v>
      </c>
      <c r="H4813" s="381">
        <f ca="1">IF(IFERROR(INDEX(DATA_PROPERTY_MASTER!$E$5:$E$21,MATCH($C4813,DATA_PROPERTY_MASTER!$A$5:$A$21,0))="Yes",FALSE),IFERROR(INDEX(INDIRECT("'"&amp;$C4813&amp;"'!$E$56:$Y$56"),1,MATCH($D4813,INDIRECT("'"&amp;$C4813&amp;"'!$E$12:$Y$12"),0)),0)+MAX(IFERROR(INDEX(INDIRECT("'"&amp;$C4813&amp;"'!$E$63:$Y$63"),1,MATCH($D4813,INDIRECT("'"&amp;$C4813&amp;"'!$E$12:$Y$12"),0)),0),0),0)</f>
        <v>939171.13651658781</v>
      </c>
      <c r="I4813" s="366" t="s">
        <v>1685</v>
      </c>
      <c r="J4813" s="348" t="str">
        <f t="shared" ca="1" si="150"/>
        <v>OK</v>
      </c>
      <c r="K4813" s="366" t="s">
        <v>1742</v>
      </c>
      <c r="L4813" s="366" t="s">
        <v>2262</v>
      </c>
      <c r="M4813" s="350" t="str">
        <f>IF($B4813="Portfolio","Portfolio",IFERROR(INDEX(DATA_ASSET_CLASSIFICATION!$B$8:$B$24,MATCH($C4813,DATA_ASSET_CLASSIFICATION!$A$8:$A$24,0)),"Review"))</f>
        <v>The Creek, Port Moody</v>
      </c>
      <c r="N4813" s="350" t="str">
        <f>IF($B4813="Portfolio","Portfolio",IFERROR(INDEX(DATA_ASSET_CLASSIFICATION!$U$8:$U$24,MATCH($C4813,DATA_ASSET_CLASSIFICATION!$A$8:$A$24,0)),"Review"))</f>
        <v>New Build</v>
      </c>
      <c r="O4813" s="350" t="str">
        <f>IF($B4813="Portfolio","Portfolio",IFERROR(INDEX(DATA_ASSET_CLASSIFICATION!$AB$8:$AB$13,MATCH($N4813,DATA_ASSET_CLASSIFICATION!$AA$8:$AA$13,0)),"Review"))</f>
        <v>Bucket 1 · New Build</v>
      </c>
      <c r="P4813" s="350" t="str">
        <f>IF($B4813="Portfolio","Portfolio",IFERROR(INDEX(DATA_ASSET_CLASSIFICATION!$C$8:$C$24,MATCH($C4813,DATA_ASSET_CLASSIFICATION!$A$8:$A$24,0)),"Review"))</f>
        <v>Yes</v>
      </c>
      <c r="Q4813" s="350" t="str">
        <f t="shared" ca="1" si="151"/>
        <v>OK</v>
      </c>
    </row>
    <row r="4814" spans="1:17" ht="30">
      <c r="A4814" s="366" t="s">
        <v>6770</v>
      </c>
      <c r="B4814" s="366" t="s">
        <v>231</v>
      </c>
      <c r="C4814" s="348" t="str">
        <f>DATA_PROPERTY_MASTER!$A$20</f>
        <v>BLD_PM</v>
      </c>
      <c r="D4814" s="380">
        <f>'00_PORTFOLIO ROLLUP'!O$12</f>
        <v>2035</v>
      </c>
      <c r="E4814" s="366" t="s">
        <v>1741</v>
      </c>
      <c r="F4814" s="366" t="s">
        <v>43</v>
      </c>
      <c r="G4814" s="348" t="str">
        <f>"'"&amp;$C4814&amp;"'!$E$68:$Y$68"</f>
        <v>'BLD_PM'!$E$68:$Y$68</v>
      </c>
      <c r="H4814" s="381">
        <f ca="1">IF(IFERROR(INDEX(DATA_PROPERTY_MASTER!$E$5:$E$21,MATCH($C4814,DATA_PROPERTY_MASTER!$A$5:$A$21,0))="Yes",FALSE),IFERROR(INDEX(INDIRECT("'"&amp;$C4814&amp;"'!$E$68:$Y$68"),1,MATCH($D4814,INDIRECT("'"&amp;$C4814&amp;"'!$E$12:$Y$12"),0)),0),0)</f>
        <v>939171.13651658781</v>
      </c>
      <c r="I4814" s="366" t="s">
        <v>1731</v>
      </c>
      <c r="J4814" s="348" t="str">
        <f t="shared" ca="1" si="150"/>
        <v>OK</v>
      </c>
      <c r="K4814" s="366" t="s">
        <v>1746</v>
      </c>
      <c r="L4814" s="366" t="s">
        <v>2264</v>
      </c>
      <c r="M4814" s="350" t="str">
        <f>IF($B4814="Portfolio","Portfolio",IFERROR(INDEX(DATA_ASSET_CLASSIFICATION!$B$8:$B$24,MATCH($C4814,DATA_ASSET_CLASSIFICATION!$A$8:$A$24,0)),"Review"))</f>
        <v>The Creek, Port Moody</v>
      </c>
      <c r="N4814" s="350" t="str">
        <f>IF($B4814="Portfolio","Portfolio",IFERROR(INDEX(DATA_ASSET_CLASSIFICATION!$U$8:$U$24,MATCH($C4814,DATA_ASSET_CLASSIFICATION!$A$8:$A$24,0)),"Review"))</f>
        <v>New Build</v>
      </c>
      <c r="O4814" s="350" t="str">
        <f>IF($B4814="Portfolio","Portfolio",IFERROR(INDEX(DATA_ASSET_CLASSIFICATION!$AB$8:$AB$13,MATCH($N4814,DATA_ASSET_CLASSIFICATION!$AA$8:$AA$13,0)),"Review"))</f>
        <v>Bucket 1 · New Build</v>
      </c>
      <c r="P4814" s="350" t="str">
        <f>IF($B4814="Portfolio","Portfolio",IFERROR(INDEX(DATA_ASSET_CLASSIFICATION!$C$8:$C$24,MATCH($C4814,DATA_ASSET_CLASSIFICATION!$A$8:$A$24,0)),"Review"))</f>
        <v>Yes</v>
      </c>
      <c r="Q4814" s="350" t="str">
        <f t="shared" ca="1" si="151"/>
        <v>OK</v>
      </c>
    </row>
    <row r="4815" spans="1:17" ht="30">
      <c r="A4815" s="366" t="s">
        <v>6771</v>
      </c>
      <c r="B4815" s="366" t="s">
        <v>231</v>
      </c>
      <c r="C4815" s="348" t="str">
        <f>DATA_PROPERTY_MASTER!$A$20</f>
        <v>BLD_PM</v>
      </c>
      <c r="D4815" s="380">
        <f>'00_PORTFOLIO ROLLUP'!O$12</f>
        <v>2035</v>
      </c>
      <c r="E4815" s="366" t="s">
        <v>1741</v>
      </c>
      <c r="F4815" s="366" t="s">
        <v>1749</v>
      </c>
      <c r="G4815" s="348" t="str">
        <f>"'"&amp;$C4815&amp;"'!rows 56, 63, 68"</f>
        <v>'BLD_PM'!rows 56, 63, 68</v>
      </c>
      <c r="H4815" s="381">
        <f ca="1">IF(IFERROR(INDEX(DATA_PROPERTY_MASTER!$E$5:$E$21,MATCH($C4815,DATA_PROPERTY_MASTER!$A$5:$A$21,0))="Yes",FALSE),(IFERROR(INDEX(INDIRECT("'"&amp;$C4815&amp;"'!$E$56:$Y$56"),1,MATCH($D4815,INDIRECT("'"&amp;$C4815&amp;"'!$E$12:$Y$12"),0)),0)+MAX(IFERROR(INDEX(INDIRECT("'"&amp;$C4815&amp;"'!$E$63:$Y$63"),1,MATCH($D4815,INDIRECT("'"&amp;$C4815&amp;"'!$E$12:$Y$12"),0)),0),0))-(IFERROR(INDEX(INDIRECT("'"&amp;$C4815&amp;"'!$E$68:$Y$68"),1,MATCH($D4815,INDIRECT("'"&amp;$C4815&amp;"'!$E$12:$Y$12"),0)),0)),0)</f>
        <v>0</v>
      </c>
      <c r="I4815" s="366" t="s">
        <v>1750</v>
      </c>
      <c r="J4815" s="348" t="str">
        <f t="shared" ca="1" si="150"/>
        <v>OK</v>
      </c>
      <c r="K4815" s="366" t="s">
        <v>1751</v>
      </c>
      <c r="L4815" s="366" t="s">
        <v>2266</v>
      </c>
      <c r="M4815" s="350" t="str">
        <f>IF($B4815="Portfolio","Portfolio",IFERROR(INDEX(DATA_ASSET_CLASSIFICATION!$B$8:$B$24,MATCH($C4815,DATA_ASSET_CLASSIFICATION!$A$8:$A$24,0)),"Review"))</f>
        <v>The Creek, Port Moody</v>
      </c>
      <c r="N4815" s="350" t="str">
        <f>IF($B4815="Portfolio","Portfolio",IFERROR(INDEX(DATA_ASSET_CLASSIFICATION!$U$8:$U$24,MATCH($C4815,DATA_ASSET_CLASSIFICATION!$A$8:$A$24,0)),"Review"))</f>
        <v>New Build</v>
      </c>
      <c r="O4815" s="350" t="str">
        <f>IF($B4815="Portfolio","Portfolio",IFERROR(INDEX(DATA_ASSET_CLASSIFICATION!$AB$8:$AB$13,MATCH($N4815,DATA_ASSET_CLASSIFICATION!$AA$8:$AA$13,0)),"Review"))</f>
        <v>Bucket 1 · New Build</v>
      </c>
      <c r="P4815" s="350" t="str">
        <f>IF($B4815="Portfolio","Portfolio",IFERROR(INDEX(DATA_ASSET_CLASSIFICATION!$C$8:$C$24,MATCH($C4815,DATA_ASSET_CLASSIFICATION!$A$8:$A$24,0)),"Review"))</f>
        <v>Yes</v>
      </c>
      <c r="Q4815" s="350" t="str">
        <f t="shared" ca="1" si="151"/>
        <v>OK</v>
      </c>
    </row>
    <row r="4816" spans="1:17" ht="30">
      <c r="A4816" s="366" t="s">
        <v>6772</v>
      </c>
      <c r="B4816" s="366" t="s">
        <v>231</v>
      </c>
      <c r="C4816" s="348" t="str">
        <f>DATA_PROPERTY_MASTER!$A$20</f>
        <v>BLD_PM</v>
      </c>
      <c r="D4816" s="380">
        <f>'00_PORTFOLIO ROLLUP'!P$12</f>
        <v>2036</v>
      </c>
      <c r="E4816" s="366" t="s">
        <v>1683</v>
      </c>
      <c r="F4816" s="366" t="s">
        <v>341</v>
      </c>
      <c r="G4816" s="348" t="str">
        <f>"'"&amp;$C4816&amp;"'!$E$24:$Y$24"</f>
        <v>'BLD_PM'!$E$24:$Y$24</v>
      </c>
      <c r="H4816" s="381">
        <f ca="1">IF(IFERROR(INDEX(DATA_PROPERTY_MASTER!$E$5:$E$21,MATCH($C4816,DATA_PROPERTY_MASTER!$A$5:$A$21,0))="Yes",FALSE),IFERROR(INDEX(INDIRECT("'"&amp;$C4816&amp;"'!$E$24:$Y$24"),1,MATCH($D4816,INDIRECT("'"&amp;$C4816&amp;"'!$E$12:$Y$12"),0)),0),0)</f>
        <v>5836695.241661475</v>
      </c>
      <c r="I4816" s="366" t="s">
        <v>1685</v>
      </c>
      <c r="J4816" s="348" t="str">
        <f t="shared" ca="1" si="150"/>
        <v>OK</v>
      </c>
      <c r="K4816" s="366" t="s">
        <v>1686</v>
      </c>
      <c r="L4816" s="366" t="s">
        <v>2234</v>
      </c>
      <c r="M4816" s="350" t="str">
        <f>IF($B4816="Portfolio","Portfolio",IFERROR(INDEX(DATA_ASSET_CLASSIFICATION!$B$8:$B$24,MATCH($C4816,DATA_ASSET_CLASSIFICATION!$A$8:$A$24,0)),"Review"))</f>
        <v>The Creek, Port Moody</v>
      </c>
      <c r="N4816" s="350" t="str">
        <f>IF($B4816="Portfolio","Portfolio",IFERROR(INDEX(DATA_ASSET_CLASSIFICATION!$U$8:$U$24,MATCH($C4816,DATA_ASSET_CLASSIFICATION!$A$8:$A$24,0)),"Review"))</f>
        <v>New Build</v>
      </c>
      <c r="O4816" s="350" t="str">
        <f>IF($B4816="Portfolio","Portfolio",IFERROR(INDEX(DATA_ASSET_CLASSIFICATION!$AB$8:$AB$13,MATCH($N4816,DATA_ASSET_CLASSIFICATION!$AA$8:$AA$13,0)),"Review"))</f>
        <v>Bucket 1 · New Build</v>
      </c>
      <c r="P4816" s="350" t="str">
        <f>IF($B4816="Portfolio","Portfolio",IFERROR(INDEX(DATA_ASSET_CLASSIFICATION!$C$8:$C$24,MATCH($C4816,DATA_ASSET_CLASSIFICATION!$A$8:$A$24,0)),"Review"))</f>
        <v>Yes</v>
      </c>
      <c r="Q4816" s="350" t="str">
        <f t="shared" ca="1" si="151"/>
        <v>OK</v>
      </c>
    </row>
    <row r="4817" spans="1:17" ht="30">
      <c r="A4817" s="366" t="s">
        <v>6773</v>
      </c>
      <c r="B4817" s="366" t="s">
        <v>231</v>
      </c>
      <c r="C4817" s="348" t="str">
        <f>DATA_PROPERTY_MASTER!$A$20</f>
        <v>BLD_PM</v>
      </c>
      <c r="D4817" s="380">
        <f>'00_PORTFOLIO ROLLUP'!P$12</f>
        <v>2036</v>
      </c>
      <c r="E4817" s="366" t="s">
        <v>1683</v>
      </c>
      <c r="F4817" s="366" t="s">
        <v>355</v>
      </c>
      <c r="G4817" s="348" t="str">
        <f>"'"&amp;$C4817&amp;"'!$E$39:$Y$39"</f>
        <v>'BLD_PM'!$E$39:$Y$39</v>
      </c>
      <c r="H4817" s="381">
        <f ca="1">IF(IFERROR(INDEX(DATA_PROPERTY_MASTER!$E$5:$E$21,MATCH($C4817,DATA_PROPERTY_MASTER!$A$5:$A$21,0))="Yes",FALSE),IFERROR(INDEX(INDIRECT("'"&amp;$C4817&amp;"'!$E$39:$Y$39"),1,MATCH($D4817,INDIRECT("'"&amp;$C4817&amp;"'!$E$12:$Y$12"),0)),0),0)</f>
        <v>263782.73402402696</v>
      </c>
      <c r="I4817" s="366" t="s">
        <v>1690</v>
      </c>
      <c r="J4817" s="348" t="str">
        <f t="shared" ca="1" si="150"/>
        <v>OK</v>
      </c>
      <c r="K4817" s="366" t="s">
        <v>1686</v>
      </c>
      <c r="L4817" s="366" t="s">
        <v>2236</v>
      </c>
      <c r="M4817" s="350" t="str">
        <f>IF($B4817="Portfolio","Portfolio",IFERROR(INDEX(DATA_ASSET_CLASSIFICATION!$B$8:$B$24,MATCH($C4817,DATA_ASSET_CLASSIFICATION!$A$8:$A$24,0)),"Review"))</f>
        <v>The Creek, Port Moody</v>
      </c>
      <c r="N4817" s="350" t="str">
        <f>IF($B4817="Portfolio","Portfolio",IFERROR(INDEX(DATA_ASSET_CLASSIFICATION!$U$8:$U$24,MATCH($C4817,DATA_ASSET_CLASSIFICATION!$A$8:$A$24,0)),"Review"))</f>
        <v>New Build</v>
      </c>
      <c r="O4817" s="350" t="str">
        <f>IF($B4817="Portfolio","Portfolio",IFERROR(INDEX(DATA_ASSET_CLASSIFICATION!$AB$8:$AB$13,MATCH($N4817,DATA_ASSET_CLASSIFICATION!$AA$8:$AA$13,0)),"Review"))</f>
        <v>Bucket 1 · New Build</v>
      </c>
      <c r="P4817" s="350" t="str">
        <f>IF($B4817="Portfolio","Portfolio",IFERROR(INDEX(DATA_ASSET_CLASSIFICATION!$C$8:$C$24,MATCH($C4817,DATA_ASSET_CLASSIFICATION!$A$8:$A$24,0)),"Review"))</f>
        <v>Yes</v>
      </c>
      <c r="Q4817" s="350" t="str">
        <f t="shared" ca="1" si="151"/>
        <v>OK</v>
      </c>
    </row>
    <row r="4818" spans="1:17" ht="30">
      <c r="A4818" s="366" t="s">
        <v>6774</v>
      </c>
      <c r="B4818" s="366" t="s">
        <v>231</v>
      </c>
      <c r="C4818" s="348" t="str">
        <f>DATA_PROPERTY_MASTER!$A$20</f>
        <v>BLD_PM</v>
      </c>
      <c r="D4818" s="380">
        <f>'00_PORTFOLIO ROLLUP'!P$12</f>
        <v>2036</v>
      </c>
      <c r="E4818" s="366" t="s">
        <v>1683</v>
      </c>
      <c r="F4818" s="366" t="s">
        <v>19</v>
      </c>
      <c r="G4818" s="348" t="str">
        <f>"'"&amp;$C4818&amp;"'!$E$41:$Y$41"</f>
        <v>'BLD_PM'!$E$41:$Y$41</v>
      </c>
      <c r="H4818" s="381">
        <f ca="1">IF(IFERROR(INDEX(DATA_PROPERTY_MASTER!$E$5:$E$21,MATCH($C4818,DATA_PROPERTY_MASTER!$A$5:$A$21,0))="Yes",FALSE),IFERROR(INDEX(INDIRECT("'"&amp;$C4818&amp;"'!$E$41:$Y$41"),1,MATCH($D4818,INDIRECT("'"&amp;$C4818&amp;"'!$E$12:$Y$12"),0)),0),0)</f>
        <v>5572912.5076374477</v>
      </c>
      <c r="I4818" s="366" t="s">
        <v>1685</v>
      </c>
      <c r="J4818" s="348" t="str">
        <f t="shared" ca="1" si="150"/>
        <v>OK</v>
      </c>
      <c r="K4818" s="366" t="s">
        <v>1694</v>
      </c>
      <c r="L4818" s="366" t="s">
        <v>2238</v>
      </c>
      <c r="M4818" s="350" t="str">
        <f>IF($B4818="Portfolio","Portfolio",IFERROR(INDEX(DATA_ASSET_CLASSIFICATION!$B$8:$B$24,MATCH($C4818,DATA_ASSET_CLASSIFICATION!$A$8:$A$24,0)),"Review"))</f>
        <v>The Creek, Port Moody</v>
      </c>
      <c r="N4818" s="350" t="str">
        <f>IF($B4818="Portfolio","Portfolio",IFERROR(INDEX(DATA_ASSET_CLASSIFICATION!$U$8:$U$24,MATCH($C4818,DATA_ASSET_CLASSIFICATION!$A$8:$A$24,0)),"Review"))</f>
        <v>New Build</v>
      </c>
      <c r="O4818" s="350" t="str">
        <f>IF($B4818="Portfolio","Portfolio",IFERROR(INDEX(DATA_ASSET_CLASSIFICATION!$AB$8:$AB$13,MATCH($N4818,DATA_ASSET_CLASSIFICATION!$AA$8:$AA$13,0)),"Review"))</f>
        <v>Bucket 1 · New Build</v>
      </c>
      <c r="P4818" s="350" t="str">
        <f>IF($B4818="Portfolio","Portfolio",IFERROR(INDEX(DATA_ASSET_CLASSIFICATION!$C$8:$C$24,MATCH($C4818,DATA_ASSET_CLASSIFICATION!$A$8:$A$24,0)),"Review"))</f>
        <v>Yes</v>
      </c>
      <c r="Q4818" s="350" t="str">
        <f t="shared" ca="1" si="151"/>
        <v>OK</v>
      </c>
    </row>
    <row r="4819" spans="1:17" ht="30">
      <c r="A4819" s="366" t="s">
        <v>6775</v>
      </c>
      <c r="B4819" s="366" t="s">
        <v>231</v>
      </c>
      <c r="C4819" s="348" t="str">
        <f>DATA_PROPERTY_MASTER!$A$20</f>
        <v>BLD_PM</v>
      </c>
      <c r="D4819" s="380">
        <f>'00_PORTFOLIO ROLLUP'!P$12</f>
        <v>2036</v>
      </c>
      <c r="E4819" s="366" t="s">
        <v>1683</v>
      </c>
      <c r="F4819" s="366" t="s">
        <v>1697</v>
      </c>
      <c r="G4819" s="348" t="str">
        <f>"'"&amp;$C4819&amp;"'!$E$44:$Y$44"</f>
        <v>'BLD_PM'!$E$44:$Y$44</v>
      </c>
      <c r="H4819" s="381">
        <f ca="1">IF(IFERROR(INDEX(DATA_PROPERTY_MASTER!$E$5:$E$21,MATCH($C4819,DATA_PROPERTY_MASTER!$A$5:$A$21,0))="Yes",FALSE),IFERROR(INDEX(INDIRECT("'"&amp;$C4819&amp;"'!$E$44:$Y$44"),1,MATCH($D4819,INDIRECT("'"&amp;$C4819&amp;"'!$E$12:$Y$12"),0)),0),0)</f>
        <v>61174.015973016882</v>
      </c>
      <c r="I4819" s="366" t="s">
        <v>1690</v>
      </c>
      <c r="J4819" s="348" t="str">
        <f t="shared" ca="1" si="150"/>
        <v>OK</v>
      </c>
      <c r="K4819" s="366" t="s">
        <v>1699</v>
      </c>
      <c r="L4819" s="366" t="s">
        <v>2240</v>
      </c>
      <c r="M4819" s="350" t="str">
        <f>IF($B4819="Portfolio","Portfolio",IFERROR(INDEX(DATA_ASSET_CLASSIFICATION!$B$8:$B$24,MATCH($C4819,DATA_ASSET_CLASSIFICATION!$A$8:$A$24,0)),"Review"))</f>
        <v>The Creek, Port Moody</v>
      </c>
      <c r="N4819" s="350" t="str">
        <f>IF($B4819="Portfolio","Portfolio",IFERROR(INDEX(DATA_ASSET_CLASSIFICATION!$U$8:$U$24,MATCH($C4819,DATA_ASSET_CLASSIFICATION!$A$8:$A$24,0)),"Review"))</f>
        <v>New Build</v>
      </c>
      <c r="O4819" s="350" t="str">
        <f>IF($B4819="Portfolio","Portfolio",IFERROR(INDEX(DATA_ASSET_CLASSIFICATION!$AB$8:$AB$13,MATCH($N4819,DATA_ASSET_CLASSIFICATION!$AA$8:$AA$13,0)),"Review"))</f>
        <v>Bucket 1 · New Build</v>
      </c>
      <c r="P4819" s="350" t="str">
        <f>IF($B4819="Portfolio","Portfolio",IFERROR(INDEX(DATA_ASSET_CLASSIFICATION!$C$8:$C$24,MATCH($C4819,DATA_ASSET_CLASSIFICATION!$A$8:$A$24,0)),"Review"))</f>
        <v>Yes</v>
      </c>
      <c r="Q4819" s="350" t="str">
        <f t="shared" ca="1" si="151"/>
        <v>OK</v>
      </c>
    </row>
    <row r="4820" spans="1:17" ht="30">
      <c r="A4820" s="366" t="s">
        <v>6776</v>
      </c>
      <c r="B4820" s="366" t="s">
        <v>231</v>
      </c>
      <c r="C4820" s="348" t="str">
        <f>DATA_PROPERTY_MASTER!$A$20</f>
        <v>BLD_PM</v>
      </c>
      <c r="D4820" s="380">
        <f>'00_PORTFOLIO ROLLUP'!P$12</f>
        <v>2036</v>
      </c>
      <c r="E4820" s="366" t="s">
        <v>1683</v>
      </c>
      <c r="F4820" s="366" t="s">
        <v>21</v>
      </c>
      <c r="G4820" s="348" t="str">
        <f>"'"&amp;$C4820&amp;"'!$E$45:$Y$45"</f>
        <v>'BLD_PM'!$E$45:$Y$45</v>
      </c>
      <c r="H4820" s="381">
        <f ca="1">IF(IFERROR(INDEX(DATA_PROPERTY_MASTER!$E$5:$E$21,MATCH($C4820,DATA_PROPERTY_MASTER!$A$5:$A$21,0))="Yes",FALSE),IFERROR(INDEX(INDIRECT("'"&amp;$C4820&amp;"'!$E$45:$Y$45"),1,MATCH($D4820,INDIRECT("'"&amp;$C4820&amp;"'!$E$12:$Y$12"),0)),0),0)</f>
        <v>5511738.4916644311</v>
      </c>
      <c r="I4820" s="366" t="s">
        <v>1685</v>
      </c>
      <c r="J4820" s="348" t="str">
        <f t="shared" ca="1" si="150"/>
        <v>OK</v>
      </c>
      <c r="K4820" s="366" t="s">
        <v>1694</v>
      </c>
      <c r="L4820" s="366" t="s">
        <v>2242</v>
      </c>
      <c r="M4820" s="350" t="str">
        <f>IF($B4820="Portfolio","Portfolio",IFERROR(INDEX(DATA_ASSET_CLASSIFICATION!$B$8:$B$24,MATCH($C4820,DATA_ASSET_CLASSIFICATION!$A$8:$A$24,0)),"Review"))</f>
        <v>The Creek, Port Moody</v>
      </c>
      <c r="N4820" s="350" t="str">
        <f>IF($B4820="Portfolio","Portfolio",IFERROR(INDEX(DATA_ASSET_CLASSIFICATION!$U$8:$U$24,MATCH($C4820,DATA_ASSET_CLASSIFICATION!$A$8:$A$24,0)),"Review"))</f>
        <v>New Build</v>
      </c>
      <c r="O4820" s="350" t="str">
        <f>IF($B4820="Portfolio","Portfolio",IFERROR(INDEX(DATA_ASSET_CLASSIFICATION!$AB$8:$AB$13,MATCH($N4820,DATA_ASSET_CLASSIFICATION!$AA$8:$AA$13,0)),"Review"))</f>
        <v>Bucket 1 · New Build</v>
      </c>
      <c r="P4820" s="350" t="str">
        <f>IF($B4820="Portfolio","Portfolio",IFERROR(INDEX(DATA_ASSET_CLASSIFICATION!$C$8:$C$24,MATCH($C4820,DATA_ASSET_CLASSIFICATION!$A$8:$A$24,0)),"Review"))</f>
        <v>Yes</v>
      </c>
      <c r="Q4820" s="350" t="str">
        <f t="shared" ca="1" si="151"/>
        <v>OK</v>
      </c>
    </row>
    <row r="4821" spans="1:17" ht="30">
      <c r="A4821" s="366" t="s">
        <v>6777</v>
      </c>
      <c r="B4821" s="366" t="s">
        <v>231</v>
      </c>
      <c r="C4821" s="348" t="str">
        <f>DATA_PROPERTY_MASTER!$A$20</f>
        <v>BLD_PM</v>
      </c>
      <c r="D4821" s="380">
        <f>'00_PORTFOLIO ROLLUP'!P$12</f>
        <v>2036</v>
      </c>
      <c r="E4821" s="366" t="s">
        <v>23</v>
      </c>
      <c r="F4821" s="366" t="s">
        <v>23</v>
      </c>
      <c r="G4821" s="348" t="str">
        <f>"'"&amp;$C4821&amp;"'!$E$48:$Y$48"</f>
        <v>'BLD_PM'!$E$48:$Y$48</v>
      </c>
      <c r="H4821" s="381">
        <f ca="1">IF(IFERROR(INDEX(DATA_PROPERTY_MASTER!$E$5:$E$21,MATCH($C4821,DATA_PROPERTY_MASTER!$A$5:$A$21,0))="Yes",FALSE),IFERROR(INDEX(INDIRECT("'"&amp;$C4821&amp;"'!$E$48:$Y$48"),1,MATCH($D4821,INDIRECT("'"&amp;$C4821&amp;"'!$E$12:$Y$12"),0)),0),0)</f>
        <v>3116973.3868276179</v>
      </c>
      <c r="I4821" s="366" t="s">
        <v>1690</v>
      </c>
      <c r="J4821" s="348" t="str">
        <f t="shared" ca="1" si="150"/>
        <v>OK</v>
      </c>
      <c r="K4821" s="366" t="s">
        <v>1706</v>
      </c>
      <c r="L4821" s="366" t="s">
        <v>2244</v>
      </c>
      <c r="M4821" s="350" t="str">
        <f>IF($B4821="Portfolio","Portfolio",IFERROR(INDEX(DATA_ASSET_CLASSIFICATION!$B$8:$B$24,MATCH($C4821,DATA_ASSET_CLASSIFICATION!$A$8:$A$24,0)),"Review"))</f>
        <v>The Creek, Port Moody</v>
      </c>
      <c r="N4821" s="350" t="str">
        <f>IF($B4821="Portfolio","Portfolio",IFERROR(INDEX(DATA_ASSET_CLASSIFICATION!$U$8:$U$24,MATCH($C4821,DATA_ASSET_CLASSIFICATION!$A$8:$A$24,0)),"Review"))</f>
        <v>New Build</v>
      </c>
      <c r="O4821" s="350" t="str">
        <f>IF($B4821="Portfolio","Portfolio",IFERROR(INDEX(DATA_ASSET_CLASSIFICATION!$AB$8:$AB$13,MATCH($N4821,DATA_ASSET_CLASSIFICATION!$AA$8:$AA$13,0)),"Review"))</f>
        <v>Bucket 1 · New Build</v>
      </c>
      <c r="P4821" s="350" t="str">
        <f>IF($B4821="Portfolio","Portfolio",IFERROR(INDEX(DATA_ASSET_CLASSIFICATION!$C$8:$C$24,MATCH($C4821,DATA_ASSET_CLASSIFICATION!$A$8:$A$24,0)),"Review"))</f>
        <v>Yes</v>
      </c>
      <c r="Q4821" s="350" t="str">
        <f t="shared" ca="1" si="151"/>
        <v>OK</v>
      </c>
    </row>
    <row r="4822" spans="1:17" ht="30">
      <c r="A4822" s="366" t="s">
        <v>6778</v>
      </c>
      <c r="B4822" s="366" t="s">
        <v>231</v>
      </c>
      <c r="C4822" s="348" t="str">
        <f>DATA_PROPERTY_MASTER!$A$20</f>
        <v>BLD_PM</v>
      </c>
      <c r="D4822" s="380">
        <f>'00_PORTFOLIO ROLLUP'!P$12</f>
        <v>2036</v>
      </c>
      <c r="E4822" s="366" t="s">
        <v>1683</v>
      </c>
      <c r="F4822" s="366" t="s">
        <v>25</v>
      </c>
      <c r="G4822" s="348" t="str">
        <f>"'"&amp;$C4822&amp;"'!$E$52:$Y$52"</f>
        <v>'BLD_PM'!$E$52:$Y$52</v>
      </c>
      <c r="H4822" s="381">
        <f ca="1">IF(IFERROR(INDEX(DATA_PROPERTY_MASTER!$E$5:$E$21,MATCH($C4822,DATA_PROPERTY_MASTER!$A$5:$A$21,0))="Yes",FALSE),IFERROR(INDEX(INDIRECT("'"&amp;$C4822&amp;"'!$E$52:$Y$52"),1,MATCH($D4822,INDIRECT("'"&amp;$C4822&amp;"'!$E$12:$Y$12"),0)),0),0)</f>
        <v>2455939.1208098298</v>
      </c>
      <c r="I4822" s="366" t="s">
        <v>1685</v>
      </c>
      <c r="J4822" s="348" t="str">
        <f t="shared" ca="1" si="150"/>
        <v>OK</v>
      </c>
      <c r="K4822" s="366" t="s">
        <v>1710</v>
      </c>
      <c r="L4822" s="366" t="s">
        <v>2246</v>
      </c>
      <c r="M4822" s="350" t="str">
        <f>IF($B4822="Portfolio","Portfolio",IFERROR(INDEX(DATA_ASSET_CLASSIFICATION!$B$8:$B$24,MATCH($C4822,DATA_ASSET_CLASSIFICATION!$A$8:$A$24,0)),"Review"))</f>
        <v>The Creek, Port Moody</v>
      </c>
      <c r="N4822" s="350" t="str">
        <f>IF($B4822="Portfolio","Portfolio",IFERROR(INDEX(DATA_ASSET_CLASSIFICATION!$U$8:$U$24,MATCH($C4822,DATA_ASSET_CLASSIFICATION!$A$8:$A$24,0)),"Review"))</f>
        <v>New Build</v>
      </c>
      <c r="O4822" s="350" t="str">
        <f>IF($B4822="Portfolio","Portfolio",IFERROR(INDEX(DATA_ASSET_CLASSIFICATION!$AB$8:$AB$13,MATCH($N4822,DATA_ASSET_CLASSIFICATION!$AA$8:$AA$13,0)),"Review"))</f>
        <v>Bucket 1 · New Build</v>
      </c>
      <c r="P4822" s="350" t="str">
        <f>IF($B4822="Portfolio","Portfolio",IFERROR(INDEX(DATA_ASSET_CLASSIFICATION!$C$8:$C$24,MATCH($C4822,DATA_ASSET_CLASSIFICATION!$A$8:$A$24,0)),"Review"))</f>
        <v>Yes</v>
      </c>
      <c r="Q4822" s="350" t="str">
        <f t="shared" ca="1" si="151"/>
        <v>OK</v>
      </c>
    </row>
    <row r="4823" spans="1:17" ht="30">
      <c r="A4823" s="366" t="s">
        <v>6779</v>
      </c>
      <c r="B4823" s="366" t="s">
        <v>231</v>
      </c>
      <c r="C4823" s="348" t="str">
        <f>DATA_PROPERTY_MASTER!$A$20</f>
        <v>BLD_PM</v>
      </c>
      <c r="D4823" s="380">
        <f>'00_PORTFOLIO ROLLUP'!P$12</f>
        <v>2036</v>
      </c>
      <c r="E4823" s="366" t="s">
        <v>1683</v>
      </c>
      <c r="F4823" s="366" t="s">
        <v>27</v>
      </c>
      <c r="G4823" s="348" t="str">
        <f>"'"&amp;$C4823&amp;"'!$E$54:$Y$54"</f>
        <v>'BLD_PM'!$E$54:$Y$54</v>
      </c>
      <c r="H4823" s="381">
        <f ca="1">IF(IFERROR(INDEX(DATA_PROPERTY_MASTER!$E$5:$E$21,MATCH($C4823,DATA_PROPERTY_MASTER!$A$5:$A$21,0))="Yes",FALSE),IFERROR(INDEX(INDIRECT("'"&amp;$C4823&amp;"'!$E$54:$Y$54"),1,MATCH($D4823,INDIRECT("'"&amp;$C4823&amp;"'!$E$12:$Y$12"),0)),0),0)</f>
        <v>1473563.4724858978</v>
      </c>
      <c r="I4823" s="366" t="s">
        <v>1690</v>
      </c>
      <c r="J4823" s="348" t="str">
        <f t="shared" ca="1" si="150"/>
        <v>OK</v>
      </c>
      <c r="K4823" s="366" t="s">
        <v>1714</v>
      </c>
      <c r="L4823" s="366" t="s">
        <v>2248</v>
      </c>
      <c r="M4823" s="350" t="str">
        <f>IF($B4823="Portfolio","Portfolio",IFERROR(INDEX(DATA_ASSET_CLASSIFICATION!$B$8:$B$24,MATCH($C4823,DATA_ASSET_CLASSIFICATION!$A$8:$A$24,0)),"Review"))</f>
        <v>The Creek, Port Moody</v>
      </c>
      <c r="N4823" s="350" t="str">
        <f>IF($B4823="Portfolio","Portfolio",IFERROR(INDEX(DATA_ASSET_CLASSIFICATION!$U$8:$U$24,MATCH($C4823,DATA_ASSET_CLASSIFICATION!$A$8:$A$24,0)),"Review"))</f>
        <v>New Build</v>
      </c>
      <c r="O4823" s="350" t="str">
        <f>IF($B4823="Portfolio","Portfolio",IFERROR(INDEX(DATA_ASSET_CLASSIFICATION!$AB$8:$AB$13,MATCH($N4823,DATA_ASSET_CLASSIFICATION!$AA$8:$AA$13,0)),"Review"))</f>
        <v>Bucket 1 · New Build</v>
      </c>
      <c r="P4823" s="350" t="str">
        <f>IF($B4823="Portfolio","Portfolio",IFERROR(INDEX(DATA_ASSET_CLASSIFICATION!$C$8:$C$24,MATCH($C4823,DATA_ASSET_CLASSIFICATION!$A$8:$A$24,0)),"Review"))</f>
        <v>Yes</v>
      </c>
      <c r="Q4823" s="350" t="str">
        <f t="shared" ca="1" si="151"/>
        <v>OK</v>
      </c>
    </row>
    <row r="4824" spans="1:17" ht="30">
      <c r="A4824" s="366" t="s">
        <v>6780</v>
      </c>
      <c r="B4824" s="366" t="s">
        <v>231</v>
      </c>
      <c r="C4824" s="348" t="str">
        <f>DATA_PROPERTY_MASTER!$A$20</f>
        <v>BLD_PM</v>
      </c>
      <c r="D4824" s="380">
        <f>'00_PORTFOLIO ROLLUP'!P$12</f>
        <v>2036</v>
      </c>
      <c r="E4824" s="366" t="s">
        <v>1683</v>
      </c>
      <c r="F4824" s="366" t="s">
        <v>29</v>
      </c>
      <c r="G4824" s="348" t="str">
        <f>"'"&amp;$C4824&amp;"'!$E$56:$Y$56"</f>
        <v>'BLD_PM'!$E$56:$Y$56</v>
      </c>
      <c r="H4824" s="381">
        <f ca="1">IF(IFERROR(INDEX(DATA_PROPERTY_MASTER!$E$5:$E$21,MATCH($C4824,DATA_PROPERTY_MASTER!$A$5:$A$21,0))="Yes",FALSE),IFERROR(INDEX(INDIRECT("'"&amp;$C4824&amp;"'!$E$56:$Y$56"),1,MATCH($D4824,INDIRECT("'"&amp;$C4824&amp;"'!$E$12:$Y$12"),0)),0),0)</f>
        <v>982375.64832393196</v>
      </c>
      <c r="I4824" s="366" t="s">
        <v>1685</v>
      </c>
      <c r="J4824" s="348" t="str">
        <f t="shared" ca="1" si="150"/>
        <v>OK</v>
      </c>
      <c r="K4824" s="366" t="s">
        <v>1718</v>
      </c>
      <c r="L4824" s="366" t="s">
        <v>2250</v>
      </c>
      <c r="M4824" s="350" t="str">
        <f>IF($B4824="Portfolio","Portfolio",IFERROR(INDEX(DATA_ASSET_CLASSIFICATION!$B$8:$B$24,MATCH($C4824,DATA_ASSET_CLASSIFICATION!$A$8:$A$24,0)),"Review"))</f>
        <v>The Creek, Port Moody</v>
      </c>
      <c r="N4824" s="350" t="str">
        <f>IF($B4824="Portfolio","Portfolio",IFERROR(INDEX(DATA_ASSET_CLASSIFICATION!$U$8:$U$24,MATCH($C4824,DATA_ASSET_CLASSIFICATION!$A$8:$A$24,0)),"Review"))</f>
        <v>New Build</v>
      </c>
      <c r="O4824" s="350" t="str">
        <f>IF($B4824="Portfolio","Portfolio",IFERROR(INDEX(DATA_ASSET_CLASSIFICATION!$AB$8:$AB$13,MATCH($N4824,DATA_ASSET_CLASSIFICATION!$AA$8:$AA$13,0)),"Review"))</f>
        <v>Bucket 1 · New Build</v>
      </c>
      <c r="P4824" s="350" t="str">
        <f>IF($B4824="Portfolio","Portfolio",IFERROR(INDEX(DATA_ASSET_CLASSIFICATION!$C$8:$C$24,MATCH($C4824,DATA_ASSET_CLASSIFICATION!$A$8:$A$24,0)),"Review"))</f>
        <v>Yes</v>
      </c>
      <c r="Q4824" s="350" t="str">
        <f t="shared" ca="1" si="151"/>
        <v>OK</v>
      </c>
    </row>
    <row r="4825" spans="1:17" ht="30">
      <c r="A4825" s="366" t="s">
        <v>6781</v>
      </c>
      <c r="B4825" s="366" t="s">
        <v>231</v>
      </c>
      <c r="C4825" s="348" t="str">
        <f>DATA_PROPERTY_MASTER!$A$20</f>
        <v>BLD_PM</v>
      </c>
      <c r="D4825" s="380">
        <f>'00_PORTFOLIO ROLLUP'!P$12</f>
        <v>2036</v>
      </c>
      <c r="E4825" s="366" t="s">
        <v>1721</v>
      </c>
      <c r="F4825" s="366" t="s">
        <v>31</v>
      </c>
      <c r="G4825" s="348" t="str">
        <f>"'"&amp;$C4825&amp;"'!$E$61:$Y$61"</f>
        <v>'BLD_PM'!$E$61:$Y$61</v>
      </c>
      <c r="H4825" s="381">
        <f ca="1">IF(IFERROR(INDEX(DATA_PROPERTY_MASTER!$E$5:$E$21,MATCH($C4825,DATA_PROPERTY_MASTER!$A$5:$A$21,0))="Yes",FALSE),IFERROR(INDEX(INDIRECT("'"&amp;$C4825&amp;"'!$E$61:$Y$61"),1,MATCH($D4825,INDIRECT("'"&amp;$C4825&amp;"'!$E$12:$Y$12"),0)),0),0)</f>
        <v>0</v>
      </c>
      <c r="I4825" s="366" t="s">
        <v>1690</v>
      </c>
      <c r="J4825" s="348" t="str">
        <f t="shared" ca="1" si="150"/>
        <v>OK</v>
      </c>
      <c r="K4825" s="366" t="s">
        <v>1723</v>
      </c>
      <c r="L4825" s="366" t="s">
        <v>2252</v>
      </c>
      <c r="M4825" s="350" t="str">
        <f>IF($B4825="Portfolio","Portfolio",IFERROR(INDEX(DATA_ASSET_CLASSIFICATION!$B$8:$B$24,MATCH($C4825,DATA_ASSET_CLASSIFICATION!$A$8:$A$24,0)),"Review"))</f>
        <v>The Creek, Port Moody</v>
      </c>
      <c r="N4825" s="350" t="str">
        <f>IF($B4825="Portfolio","Portfolio",IFERROR(INDEX(DATA_ASSET_CLASSIFICATION!$U$8:$U$24,MATCH($C4825,DATA_ASSET_CLASSIFICATION!$A$8:$A$24,0)),"Review"))</f>
        <v>New Build</v>
      </c>
      <c r="O4825" s="350" t="str">
        <f>IF($B4825="Portfolio","Portfolio",IFERROR(INDEX(DATA_ASSET_CLASSIFICATION!$AB$8:$AB$13,MATCH($N4825,DATA_ASSET_CLASSIFICATION!$AA$8:$AA$13,0)),"Review"))</f>
        <v>Bucket 1 · New Build</v>
      </c>
      <c r="P4825" s="350" t="str">
        <f>IF($B4825="Portfolio","Portfolio",IFERROR(INDEX(DATA_ASSET_CLASSIFICATION!$C$8:$C$24,MATCH($C4825,DATA_ASSET_CLASSIFICATION!$A$8:$A$24,0)),"Review"))</f>
        <v>Yes</v>
      </c>
      <c r="Q4825" s="350" t="str">
        <f t="shared" ca="1" si="151"/>
        <v>OK</v>
      </c>
    </row>
    <row r="4826" spans="1:17" ht="30">
      <c r="A4826" s="366" t="s">
        <v>6782</v>
      </c>
      <c r="B4826" s="366" t="s">
        <v>231</v>
      </c>
      <c r="C4826" s="348" t="str">
        <f>DATA_PROPERTY_MASTER!$A$20</f>
        <v>BLD_PM</v>
      </c>
      <c r="D4826" s="380">
        <f>'00_PORTFOLIO ROLLUP'!P$12</f>
        <v>2036</v>
      </c>
      <c r="E4826" s="366" t="s">
        <v>1721</v>
      </c>
      <c r="F4826" s="366" t="s">
        <v>33</v>
      </c>
      <c r="G4826" s="348" t="str">
        <f>"'"&amp;$C4826&amp;"'!$E$62:$Y$62"</f>
        <v>'BLD_PM'!$E$62:$Y$62</v>
      </c>
      <c r="H4826" s="381">
        <f ca="1">IF(IFERROR(INDEX(DATA_PROPERTY_MASTER!$E$5:$E$21,MATCH($C4826,DATA_PROPERTY_MASTER!$A$5:$A$21,0))="Yes",FALSE),IFERROR(INDEX(INDIRECT("'"&amp;$C4826&amp;"'!$E$62:$Y$62"),1,MATCH($D4826,INDIRECT("'"&amp;$C4826&amp;"'!$E$12:$Y$12"),0)),0),0)</f>
        <v>0</v>
      </c>
      <c r="I4826" s="366" t="s">
        <v>1685</v>
      </c>
      <c r="J4826" s="348" t="str">
        <f t="shared" ca="1" si="150"/>
        <v>OK</v>
      </c>
      <c r="K4826" s="366" t="s">
        <v>1727</v>
      </c>
      <c r="L4826" s="366" t="s">
        <v>2254</v>
      </c>
      <c r="M4826" s="350" t="str">
        <f>IF($B4826="Portfolio","Portfolio",IFERROR(INDEX(DATA_ASSET_CLASSIFICATION!$B$8:$B$24,MATCH($C4826,DATA_ASSET_CLASSIFICATION!$A$8:$A$24,0)),"Review"))</f>
        <v>The Creek, Port Moody</v>
      </c>
      <c r="N4826" s="350" t="str">
        <f>IF($B4826="Portfolio","Portfolio",IFERROR(INDEX(DATA_ASSET_CLASSIFICATION!$U$8:$U$24,MATCH($C4826,DATA_ASSET_CLASSIFICATION!$A$8:$A$24,0)),"Review"))</f>
        <v>New Build</v>
      </c>
      <c r="O4826" s="350" t="str">
        <f>IF($B4826="Portfolio","Portfolio",IFERROR(INDEX(DATA_ASSET_CLASSIFICATION!$AB$8:$AB$13,MATCH($N4826,DATA_ASSET_CLASSIFICATION!$AA$8:$AA$13,0)),"Review"))</f>
        <v>Bucket 1 · New Build</v>
      </c>
      <c r="P4826" s="350" t="str">
        <f>IF($B4826="Portfolio","Portfolio",IFERROR(INDEX(DATA_ASSET_CLASSIFICATION!$C$8:$C$24,MATCH($C4826,DATA_ASSET_CLASSIFICATION!$A$8:$A$24,0)),"Review"))</f>
        <v>Yes</v>
      </c>
      <c r="Q4826" s="350" t="str">
        <f t="shared" ca="1" si="151"/>
        <v>OK</v>
      </c>
    </row>
    <row r="4827" spans="1:17" ht="30">
      <c r="A4827" s="366" t="s">
        <v>6783</v>
      </c>
      <c r="B4827" s="366" t="s">
        <v>231</v>
      </c>
      <c r="C4827" s="348" t="str">
        <f>DATA_PROPERTY_MASTER!$A$20</f>
        <v>BLD_PM</v>
      </c>
      <c r="D4827" s="380">
        <f>'00_PORTFOLIO ROLLUP'!P$12</f>
        <v>2036</v>
      </c>
      <c r="E4827" s="366" t="s">
        <v>1721</v>
      </c>
      <c r="F4827" s="366" t="s">
        <v>35</v>
      </c>
      <c r="G4827" s="348" t="str">
        <f>"'"&amp;$C4827&amp;"'!$E$63:$Y$63"</f>
        <v>'BLD_PM'!$E$63:$Y$63</v>
      </c>
      <c r="H4827" s="381">
        <f ca="1">IF(IFERROR(INDEX(DATA_PROPERTY_MASTER!$E$5:$E$21,MATCH($C4827,DATA_PROPERTY_MASTER!$A$5:$A$21,0))="Yes",FALSE),IFERROR(INDEX(INDIRECT("'"&amp;$C4827&amp;"'!$E$63:$Y$63"),1,MATCH($D4827,INDIRECT("'"&amp;$C4827&amp;"'!$E$12:$Y$12"),0)),0),0)</f>
        <v>0</v>
      </c>
      <c r="I4827" s="366" t="s">
        <v>1731</v>
      </c>
      <c r="J4827" s="348" t="str">
        <f t="shared" ca="1" si="150"/>
        <v>OK</v>
      </c>
      <c r="K4827" s="366" t="s">
        <v>1732</v>
      </c>
      <c r="L4827" s="366" t="s">
        <v>2256</v>
      </c>
      <c r="M4827" s="350" t="str">
        <f>IF($B4827="Portfolio","Portfolio",IFERROR(INDEX(DATA_ASSET_CLASSIFICATION!$B$8:$B$24,MATCH($C4827,DATA_ASSET_CLASSIFICATION!$A$8:$A$24,0)),"Review"))</f>
        <v>The Creek, Port Moody</v>
      </c>
      <c r="N4827" s="350" t="str">
        <f>IF($B4827="Portfolio","Portfolio",IFERROR(INDEX(DATA_ASSET_CLASSIFICATION!$U$8:$U$24,MATCH($C4827,DATA_ASSET_CLASSIFICATION!$A$8:$A$24,0)),"Review"))</f>
        <v>New Build</v>
      </c>
      <c r="O4827" s="350" t="str">
        <f>IF($B4827="Portfolio","Portfolio",IFERROR(INDEX(DATA_ASSET_CLASSIFICATION!$AB$8:$AB$13,MATCH($N4827,DATA_ASSET_CLASSIFICATION!$AA$8:$AA$13,0)),"Review"))</f>
        <v>Bucket 1 · New Build</v>
      </c>
      <c r="P4827" s="350" t="str">
        <f>IF($B4827="Portfolio","Portfolio",IFERROR(INDEX(DATA_ASSET_CLASSIFICATION!$C$8:$C$24,MATCH($C4827,DATA_ASSET_CLASSIFICATION!$A$8:$A$24,0)),"Review"))</f>
        <v>Yes</v>
      </c>
      <c r="Q4827" s="350" t="str">
        <f t="shared" ca="1" si="151"/>
        <v>OK</v>
      </c>
    </row>
    <row r="4828" spans="1:17" ht="30">
      <c r="A4828" s="366" t="s">
        <v>6784</v>
      </c>
      <c r="B4828" s="366" t="s">
        <v>231</v>
      </c>
      <c r="C4828" s="348" t="str">
        <f>DATA_PROPERTY_MASTER!$A$20</f>
        <v>BLD_PM</v>
      </c>
      <c r="D4828" s="380">
        <f>'00_PORTFOLIO ROLLUP'!P$12</f>
        <v>2036</v>
      </c>
      <c r="E4828" s="366" t="s">
        <v>1721</v>
      </c>
      <c r="F4828" s="366" t="s">
        <v>37</v>
      </c>
      <c r="G4828" s="348" t="str">
        <f>"'"&amp;$C4828&amp;"'!$E$63:$Y$63"</f>
        <v>'BLD_PM'!$E$63:$Y$63</v>
      </c>
      <c r="H4828" s="381">
        <f ca="1">IF(IFERROR(INDEX(DATA_PROPERTY_MASTER!$E$5:$E$21,MATCH($C4828,DATA_PROPERTY_MASTER!$A$5:$A$21,0))="Yes",FALSE),MAX(IFERROR(INDEX(INDIRECT("'"&amp;$C4828&amp;"'!$E$63:$Y$63"),1,MATCH($D4828,INDIRECT("'"&amp;$C4828&amp;"'!$E$12:$Y$12"),0)),0),0),0)</f>
        <v>0</v>
      </c>
      <c r="I4828" s="366" t="s">
        <v>1685</v>
      </c>
      <c r="J4828" s="348" t="str">
        <f t="shared" ca="1" si="150"/>
        <v>OK</v>
      </c>
      <c r="K4828" s="366" t="s">
        <v>1735</v>
      </c>
      <c r="L4828" s="366" t="s">
        <v>2258</v>
      </c>
      <c r="M4828" s="350" t="str">
        <f>IF($B4828="Portfolio","Portfolio",IFERROR(INDEX(DATA_ASSET_CLASSIFICATION!$B$8:$B$24,MATCH($C4828,DATA_ASSET_CLASSIFICATION!$A$8:$A$24,0)),"Review"))</f>
        <v>The Creek, Port Moody</v>
      </c>
      <c r="N4828" s="350" t="str">
        <f>IF($B4828="Portfolio","Portfolio",IFERROR(INDEX(DATA_ASSET_CLASSIFICATION!$U$8:$U$24,MATCH($C4828,DATA_ASSET_CLASSIFICATION!$A$8:$A$24,0)),"Review"))</f>
        <v>New Build</v>
      </c>
      <c r="O4828" s="350" t="str">
        <f>IF($B4828="Portfolio","Portfolio",IFERROR(INDEX(DATA_ASSET_CLASSIFICATION!$AB$8:$AB$13,MATCH($N4828,DATA_ASSET_CLASSIFICATION!$AA$8:$AA$13,0)),"Review"))</f>
        <v>Bucket 1 · New Build</v>
      </c>
      <c r="P4828" s="350" t="str">
        <f>IF($B4828="Portfolio","Portfolio",IFERROR(INDEX(DATA_ASSET_CLASSIFICATION!$C$8:$C$24,MATCH($C4828,DATA_ASSET_CLASSIFICATION!$A$8:$A$24,0)),"Review"))</f>
        <v>Yes</v>
      </c>
      <c r="Q4828" s="350" t="str">
        <f t="shared" ca="1" si="151"/>
        <v>OK</v>
      </c>
    </row>
    <row r="4829" spans="1:17" ht="30">
      <c r="A4829" s="366" t="s">
        <v>6785</v>
      </c>
      <c r="B4829" s="366" t="s">
        <v>231</v>
      </c>
      <c r="C4829" s="348" t="str">
        <f>DATA_PROPERTY_MASTER!$A$20</f>
        <v>BLD_PM</v>
      </c>
      <c r="D4829" s="380">
        <f>'00_PORTFOLIO ROLLUP'!P$12</f>
        <v>2036</v>
      </c>
      <c r="E4829" s="366" t="s">
        <v>1721</v>
      </c>
      <c r="F4829" s="366" t="s">
        <v>39</v>
      </c>
      <c r="G4829" s="348" t="str">
        <f>"'"&amp;$C4829&amp;"'!$E$63:$Y$63"</f>
        <v>'BLD_PM'!$E$63:$Y$63</v>
      </c>
      <c r="H4829" s="381">
        <f ca="1">IF(IFERROR(INDEX(DATA_PROPERTY_MASTER!$E$5:$E$21,MATCH($C4829,DATA_PROPERTY_MASTER!$A$5:$A$21,0))="Yes",FALSE),MAX(-IFERROR(INDEX(INDIRECT("'"&amp;$C4829&amp;"'!$E$63:$Y$63"),1,MATCH($D4829,INDIRECT("'"&amp;$C4829&amp;"'!$E$12:$Y$12"),0)),0),0),0)</f>
        <v>0</v>
      </c>
      <c r="I4829" s="366" t="s">
        <v>1690</v>
      </c>
      <c r="J4829" s="348" t="str">
        <f t="shared" ca="1" si="150"/>
        <v>OK</v>
      </c>
      <c r="K4829" s="366" t="s">
        <v>1738</v>
      </c>
      <c r="L4829" s="366" t="s">
        <v>2260</v>
      </c>
      <c r="M4829" s="350" t="str">
        <f>IF($B4829="Portfolio","Portfolio",IFERROR(INDEX(DATA_ASSET_CLASSIFICATION!$B$8:$B$24,MATCH($C4829,DATA_ASSET_CLASSIFICATION!$A$8:$A$24,0)),"Review"))</f>
        <v>The Creek, Port Moody</v>
      </c>
      <c r="N4829" s="350" t="str">
        <f>IF($B4829="Portfolio","Portfolio",IFERROR(INDEX(DATA_ASSET_CLASSIFICATION!$U$8:$U$24,MATCH($C4829,DATA_ASSET_CLASSIFICATION!$A$8:$A$24,0)),"Review"))</f>
        <v>New Build</v>
      </c>
      <c r="O4829" s="350" t="str">
        <f>IF($B4829="Portfolio","Portfolio",IFERROR(INDEX(DATA_ASSET_CLASSIFICATION!$AB$8:$AB$13,MATCH($N4829,DATA_ASSET_CLASSIFICATION!$AA$8:$AA$13,0)),"Review"))</f>
        <v>Bucket 1 · New Build</v>
      </c>
      <c r="P4829" s="350" t="str">
        <f>IF($B4829="Portfolio","Portfolio",IFERROR(INDEX(DATA_ASSET_CLASSIFICATION!$C$8:$C$24,MATCH($C4829,DATA_ASSET_CLASSIFICATION!$A$8:$A$24,0)),"Review"))</f>
        <v>Yes</v>
      </c>
      <c r="Q4829" s="350" t="str">
        <f t="shared" ca="1" si="151"/>
        <v>OK</v>
      </c>
    </row>
    <row r="4830" spans="1:17" ht="30">
      <c r="A4830" s="366" t="s">
        <v>6786</v>
      </c>
      <c r="B4830" s="366" t="s">
        <v>231</v>
      </c>
      <c r="C4830" s="348" t="str">
        <f>DATA_PROPERTY_MASTER!$A$20</f>
        <v>BLD_PM</v>
      </c>
      <c r="D4830" s="380">
        <f>'00_PORTFOLIO ROLLUP'!P$12</f>
        <v>2036</v>
      </c>
      <c r="E4830" s="366" t="s">
        <v>1741</v>
      </c>
      <c r="F4830" s="366" t="s">
        <v>41</v>
      </c>
      <c r="G4830" s="348" t="str">
        <f>"'"&amp;$C4830&amp;"'!rows 56 + positive row 63"</f>
        <v>'BLD_PM'!rows 56 + positive row 63</v>
      </c>
      <c r="H4830" s="381">
        <f ca="1">IF(IFERROR(INDEX(DATA_PROPERTY_MASTER!$E$5:$E$21,MATCH($C4830,DATA_PROPERTY_MASTER!$A$5:$A$21,0))="Yes",FALSE),IFERROR(INDEX(INDIRECT("'"&amp;$C4830&amp;"'!$E$56:$Y$56"),1,MATCH($D4830,INDIRECT("'"&amp;$C4830&amp;"'!$E$12:$Y$12"),0)),0)+MAX(IFERROR(INDEX(INDIRECT("'"&amp;$C4830&amp;"'!$E$63:$Y$63"),1,MATCH($D4830,INDIRECT("'"&amp;$C4830&amp;"'!$E$12:$Y$12"),0)),0),0),0)</f>
        <v>982375.64832393196</v>
      </c>
      <c r="I4830" s="366" t="s">
        <v>1685</v>
      </c>
      <c r="J4830" s="348" t="str">
        <f t="shared" ca="1" si="150"/>
        <v>OK</v>
      </c>
      <c r="K4830" s="366" t="s">
        <v>1742</v>
      </c>
      <c r="L4830" s="366" t="s">
        <v>2262</v>
      </c>
      <c r="M4830" s="350" t="str">
        <f>IF($B4830="Portfolio","Portfolio",IFERROR(INDEX(DATA_ASSET_CLASSIFICATION!$B$8:$B$24,MATCH($C4830,DATA_ASSET_CLASSIFICATION!$A$8:$A$24,0)),"Review"))</f>
        <v>The Creek, Port Moody</v>
      </c>
      <c r="N4830" s="350" t="str">
        <f>IF($B4830="Portfolio","Portfolio",IFERROR(INDEX(DATA_ASSET_CLASSIFICATION!$U$8:$U$24,MATCH($C4830,DATA_ASSET_CLASSIFICATION!$A$8:$A$24,0)),"Review"))</f>
        <v>New Build</v>
      </c>
      <c r="O4830" s="350" t="str">
        <f>IF($B4830="Portfolio","Portfolio",IFERROR(INDEX(DATA_ASSET_CLASSIFICATION!$AB$8:$AB$13,MATCH($N4830,DATA_ASSET_CLASSIFICATION!$AA$8:$AA$13,0)),"Review"))</f>
        <v>Bucket 1 · New Build</v>
      </c>
      <c r="P4830" s="350" t="str">
        <f>IF($B4830="Portfolio","Portfolio",IFERROR(INDEX(DATA_ASSET_CLASSIFICATION!$C$8:$C$24,MATCH($C4830,DATA_ASSET_CLASSIFICATION!$A$8:$A$24,0)),"Review"))</f>
        <v>Yes</v>
      </c>
      <c r="Q4830" s="350" t="str">
        <f t="shared" ca="1" si="151"/>
        <v>OK</v>
      </c>
    </row>
    <row r="4831" spans="1:17" ht="30">
      <c r="A4831" s="366" t="s">
        <v>6787</v>
      </c>
      <c r="B4831" s="366" t="s">
        <v>231</v>
      </c>
      <c r="C4831" s="348" t="str">
        <f>DATA_PROPERTY_MASTER!$A$20</f>
        <v>BLD_PM</v>
      </c>
      <c r="D4831" s="380">
        <f>'00_PORTFOLIO ROLLUP'!P$12</f>
        <v>2036</v>
      </c>
      <c r="E4831" s="366" t="s">
        <v>1741</v>
      </c>
      <c r="F4831" s="366" t="s">
        <v>43</v>
      </c>
      <c r="G4831" s="348" t="str">
        <f>"'"&amp;$C4831&amp;"'!$E$68:$Y$68"</f>
        <v>'BLD_PM'!$E$68:$Y$68</v>
      </c>
      <c r="H4831" s="381">
        <f ca="1">IF(IFERROR(INDEX(DATA_PROPERTY_MASTER!$E$5:$E$21,MATCH($C4831,DATA_PROPERTY_MASTER!$A$5:$A$21,0))="Yes",FALSE),IFERROR(INDEX(INDIRECT("'"&amp;$C4831&amp;"'!$E$68:$Y$68"),1,MATCH($D4831,INDIRECT("'"&amp;$C4831&amp;"'!$E$12:$Y$12"),0)),0),0)</f>
        <v>982375.64832393196</v>
      </c>
      <c r="I4831" s="366" t="s">
        <v>1731</v>
      </c>
      <c r="J4831" s="348" t="str">
        <f t="shared" ca="1" si="150"/>
        <v>OK</v>
      </c>
      <c r="K4831" s="366" t="s">
        <v>1746</v>
      </c>
      <c r="L4831" s="366" t="s">
        <v>2264</v>
      </c>
      <c r="M4831" s="350" t="str">
        <f>IF($B4831="Portfolio","Portfolio",IFERROR(INDEX(DATA_ASSET_CLASSIFICATION!$B$8:$B$24,MATCH($C4831,DATA_ASSET_CLASSIFICATION!$A$8:$A$24,0)),"Review"))</f>
        <v>The Creek, Port Moody</v>
      </c>
      <c r="N4831" s="350" t="str">
        <f>IF($B4831="Portfolio","Portfolio",IFERROR(INDEX(DATA_ASSET_CLASSIFICATION!$U$8:$U$24,MATCH($C4831,DATA_ASSET_CLASSIFICATION!$A$8:$A$24,0)),"Review"))</f>
        <v>New Build</v>
      </c>
      <c r="O4831" s="350" t="str">
        <f>IF($B4831="Portfolio","Portfolio",IFERROR(INDEX(DATA_ASSET_CLASSIFICATION!$AB$8:$AB$13,MATCH($N4831,DATA_ASSET_CLASSIFICATION!$AA$8:$AA$13,0)),"Review"))</f>
        <v>Bucket 1 · New Build</v>
      </c>
      <c r="P4831" s="350" t="str">
        <f>IF($B4831="Portfolio","Portfolio",IFERROR(INDEX(DATA_ASSET_CLASSIFICATION!$C$8:$C$24,MATCH($C4831,DATA_ASSET_CLASSIFICATION!$A$8:$A$24,0)),"Review"))</f>
        <v>Yes</v>
      </c>
      <c r="Q4831" s="350" t="str">
        <f t="shared" ca="1" si="151"/>
        <v>OK</v>
      </c>
    </row>
    <row r="4832" spans="1:17" ht="30">
      <c r="A4832" s="366" t="s">
        <v>6788</v>
      </c>
      <c r="B4832" s="366" t="s">
        <v>231</v>
      </c>
      <c r="C4832" s="348" t="str">
        <f>DATA_PROPERTY_MASTER!$A$20</f>
        <v>BLD_PM</v>
      </c>
      <c r="D4832" s="380">
        <f>'00_PORTFOLIO ROLLUP'!P$12</f>
        <v>2036</v>
      </c>
      <c r="E4832" s="366" t="s">
        <v>1741</v>
      </c>
      <c r="F4832" s="366" t="s">
        <v>1749</v>
      </c>
      <c r="G4832" s="348" t="str">
        <f>"'"&amp;$C4832&amp;"'!rows 56, 63, 68"</f>
        <v>'BLD_PM'!rows 56, 63, 68</v>
      </c>
      <c r="H4832" s="381">
        <f ca="1">IF(IFERROR(INDEX(DATA_PROPERTY_MASTER!$E$5:$E$21,MATCH($C4832,DATA_PROPERTY_MASTER!$A$5:$A$21,0))="Yes",FALSE),(IFERROR(INDEX(INDIRECT("'"&amp;$C4832&amp;"'!$E$56:$Y$56"),1,MATCH($D4832,INDIRECT("'"&amp;$C4832&amp;"'!$E$12:$Y$12"),0)),0)+MAX(IFERROR(INDEX(INDIRECT("'"&amp;$C4832&amp;"'!$E$63:$Y$63"),1,MATCH($D4832,INDIRECT("'"&amp;$C4832&amp;"'!$E$12:$Y$12"),0)),0),0))-(IFERROR(INDEX(INDIRECT("'"&amp;$C4832&amp;"'!$E$68:$Y$68"),1,MATCH($D4832,INDIRECT("'"&amp;$C4832&amp;"'!$E$12:$Y$12"),0)),0)),0)</f>
        <v>0</v>
      </c>
      <c r="I4832" s="366" t="s">
        <v>1750</v>
      </c>
      <c r="J4832" s="348" t="str">
        <f t="shared" ca="1" si="150"/>
        <v>OK</v>
      </c>
      <c r="K4832" s="366" t="s">
        <v>1751</v>
      </c>
      <c r="L4832" s="366" t="s">
        <v>2266</v>
      </c>
      <c r="M4832" s="350" t="str">
        <f>IF($B4832="Portfolio","Portfolio",IFERROR(INDEX(DATA_ASSET_CLASSIFICATION!$B$8:$B$24,MATCH($C4832,DATA_ASSET_CLASSIFICATION!$A$8:$A$24,0)),"Review"))</f>
        <v>The Creek, Port Moody</v>
      </c>
      <c r="N4832" s="350" t="str">
        <f>IF($B4832="Portfolio","Portfolio",IFERROR(INDEX(DATA_ASSET_CLASSIFICATION!$U$8:$U$24,MATCH($C4832,DATA_ASSET_CLASSIFICATION!$A$8:$A$24,0)),"Review"))</f>
        <v>New Build</v>
      </c>
      <c r="O4832" s="350" t="str">
        <f>IF($B4832="Portfolio","Portfolio",IFERROR(INDEX(DATA_ASSET_CLASSIFICATION!$AB$8:$AB$13,MATCH($N4832,DATA_ASSET_CLASSIFICATION!$AA$8:$AA$13,0)),"Review"))</f>
        <v>Bucket 1 · New Build</v>
      </c>
      <c r="P4832" s="350" t="str">
        <f>IF($B4832="Portfolio","Portfolio",IFERROR(INDEX(DATA_ASSET_CLASSIFICATION!$C$8:$C$24,MATCH($C4832,DATA_ASSET_CLASSIFICATION!$A$8:$A$24,0)),"Review"))</f>
        <v>Yes</v>
      </c>
      <c r="Q4832" s="350" t="str">
        <f t="shared" ca="1" si="151"/>
        <v>OK</v>
      </c>
    </row>
    <row r="4833" spans="1:17" ht="30">
      <c r="A4833" s="366" t="s">
        <v>6789</v>
      </c>
      <c r="B4833" s="366" t="s">
        <v>231</v>
      </c>
      <c r="C4833" s="348" t="str">
        <f>DATA_PROPERTY_MASTER!$A$20</f>
        <v>BLD_PM</v>
      </c>
      <c r="D4833" s="380">
        <f>'00_PORTFOLIO ROLLUP'!Q$12</f>
        <v>2037</v>
      </c>
      <c r="E4833" s="366" t="s">
        <v>1683</v>
      </c>
      <c r="F4833" s="366" t="s">
        <v>341</v>
      </c>
      <c r="G4833" s="348" t="str">
        <f>"'"&amp;$C4833&amp;"'!$E$24:$Y$24"</f>
        <v>'BLD_PM'!$E$24:$Y$24</v>
      </c>
      <c r="H4833" s="381">
        <f ca="1">IF(IFERROR(INDEX(DATA_PROPERTY_MASTER!$E$5:$E$21,MATCH($C4833,DATA_PROPERTY_MASTER!$A$5:$A$21,0))="Yes",FALSE),IFERROR(INDEX(INDIRECT("'"&amp;$C4833&amp;"'!$E$24:$Y$24"),1,MATCH($D4833,INDIRECT("'"&amp;$C4833&amp;"'!$E$12:$Y$12"),0)),0),0)</f>
        <v>5953429.1464947052</v>
      </c>
      <c r="I4833" s="366" t="s">
        <v>1685</v>
      </c>
      <c r="J4833" s="348" t="str">
        <f t="shared" ca="1" si="150"/>
        <v>OK</v>
      </c>
      <c r="K4833" s="366" t="s">
        <v>1686</v>
      </c>
      <c r="L4833" s="366" t="s">
        <v>2234</v>
      </c>
      <c r="M4833" s="350" t="str">
        <f>IF($B4833="Portfolio","Portfolio",IFERROR(INDEX(DATA_ASSET_CLASSIFICATION!$B$8:$B$24,MATCH($C4833,DATA_ASSET_CLASSIFICATION!$A$8:$A$24,0)),"Review"))</f>
        <v>The Creek, Port Moody</v>
      </c>
      <c r="N4833" s="350" t="str">
        <f>IF($B4833="Portfolio","Portfolio",IFERROR(INDEX(DATA_ASSET_CLASSIFICATION!$U$8:$U$24,MATCH($C4833,DATA_ASSET_CLASSIFICATION!$A$8:$A$24,0)),"Review"))</f>
        <v>New Build</v>
      </c>
      <c r="O4833" s="350" t="str">
        <f>IF($B4833="Portfolio","Portfolio",IFERROR(INDEX(DATA_ASSET_CLASSIFICATION!$AB$8:$AB$13,MATCH($N4833,DATA_ASSET_CLASSIFICATION!$AA$8:$AA$13,0)),"Review"))</f>
        <v>Bucket 1 · New Build</v>
      </c>
      <c r="P4833" s="350" t="str">
        <f>IF($B4833="Portfolio","Portfolio",IFERROR(INDEX(DATA_ASSET_CLASSIFICATION!$C$8:$C$24,MATCH($C4833,DATA_ASSET_CLASSIFICATION!$A$8:$A$24,0)),"Review"))</f>
        <v>Yes</v>
      </c>
      <c r="Q4833" s="350" t="str">
        <f t="shared" ca="1" si="151"/>
        <v>OK</v>
      </c>
    </row>
    <row r="4834" spans="1:17" ht="30">
      <c r="A4834" s="366" t="s">
        <v>6790</v>
      </c>
      <c r="B4834" s="366" t="s">
        <v>231</v>
      </c>
      <c r="C4834" s="348" t="str">
        <f>DATA_PROPERTY_MASTER!$A$20</f>
        <v>BLD_PM</v>
      </c>
      <c r="D4834" s="380">
        <f>'00_PORTFOLIO ROLLUP'!Q$12</f>
        <v>2037</v>
      </c>
      <c r="E4834" s="366" t="s">
        <v>1683</v>
      </c>
      <c r="F4834" s="366" t="s">
        <v>355</v>
      </c>
      <c r="G4834" s="348" t="str">
        <f>"'"&amp;$C4834&amp;"'!$E$39:$Y$39"</f>
        <v>'BLD_PM'!$E$39:$Y$39</v>
      </c>
      <c r="H4834" s="381">
        <f ca="1">IF(IFERROR(INDEX(DATA_PROPERTY_MASTER!$E$5:$E$21,MATCH($C4834,DATA_PROPERTY_MASTER!$A$5:$A$21,0))="Yes",FALSE),IFERROR(INDEX(INDIRECT("'"&amp;$C4834&amp;"'!$E$39:$Y$39"),1,MATCH($D4834,INDIRECT("'"&amp;$C4834&amp;"'!$E$12:$Y$12"),0)),0),0)</f>
        <v>270377.30237462762</v>
      </c>
      <c r="I4834" s="366" t="s">
        <v>1690</v>
      </c>
      <c r="J4834" s="348" t="str">
        <f t="shared" ca="1" si="150"/>
        <v>OK</v>
      </c>
      <c r="K4834" s="366" t="s">
        <v>1686</v>
      </c>
      <c r="L4834" s="366" t="s">
        <v>2236</v>
      </c>
      <c r="M4834" s="350" t="str">
        <f>IF($B4834="Portfolio","Portfolio",IFERROR(INDEX(DATA_ASSET_CLASSIFICATION!$B$8:$B$24,MATCH($C4834,DATA_ASSET_CLASSIFICATION!$A$8:$A$24,0)),"Review"))</f>
        <v>The Creek, Port Moody</v>
      </c>
      <c r="N4834" s="350" t="str">
        <f>IF($B4834="Portfolio","Portfolio",IFERROR(INDEX(DATA_ASSET_CLASSIFICATION!$U$8:$U$24,MATCH($C4834,DATA_ASSET_CLASSIFICATION!$A$8:$A$24,0)),"Review"))</f>
        <v>New Build</v>
      </c>
      <c r="O4834" s="350" t="str">
        <f>IF($B4834="Portfolio","Portfolio",IFERROR(INDEX(DATA_ASSET_CLASSIFICATION!$AB$8:$AB$13,MATCH($N4834,DATA_ASSET_CLASSIFICATION!$AA$8:$AA$13,0)),"Review"))</f>
        <v>Bucket 1 · New Build</v>
      </c>
      <c r="P4834" s="350" t="str">
        <f>IF($B4834="Portfolio","Portfolio",IFERROR(INDEX(DATA_ASSET_CLASSIFICATION!$C$8:$C$24,MATCH($C4834,DATA_ASSET_CLASSIFICATION!$A$8:$A$24,0)),"Review"))</f>
        <v>Yes</v>
      </c>
      <c r="Q4834" s="350" t="str">
        <f t="shared" ca="1" si="151"/>
        <v>OK</v>
      </c>
    </row>
    <row r="4835" spans="1:17" ht="30">
      <c r="A4835" s="366" t="s">
        <v>6791</v>
      </c>
      <c r="B4835" s="366" t="s">
        <v>231</v>
      </c>
      <c r="C4835" s="348" t="str">
        <f>DATA_PROPERTY_MASTER!$A$20</f>
        <v>BLD_PM</v>
      </c>
      <c r="D4835" s="380">
        <f>'00_PORTFOLIO ROLLUP'!Q$12</f>
        <v>2037</v>
      </c>
      <c r="E4835" s="366" t="s">
        <v>1683</v>
      </c>
      <c r="F4835" s="366" t="s">
        <v>19</v>
      </c>
      <c r="G4835" s="348" t="str">
        <f>"'"&amp;$C4835&amp;"'!$E$41:$Y$41"</f>
        <v>'BLD_PM'!$E$41:$Y$41</v>
      </c>
      <c r="H4835" s="381">
        <f ca="1">IF(IFERROR(INDEX(DATA_PROPERTY_MASTER!$E$5:$E$21,MATCH($C4835,DATA_PROPERTY_MASTER!$A$5:$A$21,0))="Yes",FALSE),IFERROR(INDEX(INDIRECT("'"&amp;$C4835&amp;"'!$E$41:$Y$41"),1,MATCH($D4835,INDIRECT("'"&amp;$C4835&amp;"'!$E$12:$Y$12"),0)),0),0)</f>
        <v>5683051.8441200778</v>
      </c>
      <c r="I4835" s="366" t="s">
        <v>1685</v>
      </c>
      <c r="J4835" s="348" t="str">
        <f t="shared" ca="1" si="150"/>
        <v>OK</v>
      </c>
      <c r="K4835" s="366" t="s">
        <v>1694</v>
      </c>
      <c r="L4835" s="366" t="s">
        <v>2238</v>
      </c>
      <c r="M4835" s="350" t="str">
        <f>IF($B4835="Portfolio","Portfolio",IFERROR(INDEX(DATA_ASSET_CLASSIFICATION!$B$8:$B$24,MATCH($C4835,DATA_ASSET_CLASSIFICATION!$A$8:$A$24,0)),"Review"))</f>
        <v>The Creek, Port Moody</v>
      </c>
      <c r="N4835" s="350" t="str">
        <f>IF($B4835="Portfolio","Portfolio",IFERROR(INDEX(DATA_ASSET_CLASSIFICATION!$U$8:$U$24,MATCH($C4835,DATA_ASSET_CLASSIFICATION!$A$8:$A$24,0)),"Review"))</f>
        <v>New Build</v>
      </c>
      <c r="O4835" s="350" t="str">
        <f>IF($B4835="Portfolio","Portfolio",IFERROR(INDEX(DATA_ASSET_CLASSIFICATION!$AB$8:$AB$13,MATCH($N4835,DATA_ASSET_CLASSIFICATION!$AA$8:$AA$13,0)),"Review"))</f>
        <v>Bucket 1 · New Build</v>
      </c>
      <c r="P4835" s="350" t="str">
        <f>IF($B4835="Portfolio","Portfolio",IFERROR(INDEX(DATA_ASSET_CLASSIFICATION!$C$8:$C$24,MATCH($C4835,DATA_ASSET_CLASSIFICATION!$A$8:$A$24,0)),"Review"))</f>
        <v>Yes</v>
      </c>
      <c r="Q4835" s="350" t="str">
        <f t="shared" ca="1" si="151"/>
        <v>OK</v>
      </c>
    </row>
    <row r="4836" spans="1:17" ht="30">
      <c r="A4836" s="366" t="s">
        <v>6792</v>
      </c>
      <c r="B4836" s="366" t="s">
        <v>231</v>
      </c>
      <c r="C4836" s="348" t="str">
        <f>DATA_PROPERTY_MASTER!$A$20</f>
        <v>BLD_PM</v>
      </c>
      <c r="D4836" s="380">
        <f>'00_PORTFOLIO ROLLUP'!Q$12</f>
        <v>2037</v>
      </c>
      <c r="E4836" s="366" t="s">
        <v>1683</v>
      </c>
      <c r="F4836" s="366" t="s">
        <v>1697</v>
      </c>
      <c r="G4836" s="348" t="str">
        <f>"'"&amp;$C4836&amp;"'!$E$44:$Y$44"</f>
        <v>'BLD_PM'!$E$44:$Y$44</v>
      </c>
      <c r="H4836" s="381">
        <f ca="1">IF(IFERROR(INDEX(DATA_PROPERTY_MASTER!$E$5:$E$21,MATCH($C4836,DATA_PROPERTY_MASTER!$A$5:$A$21,0))="Yes",FALSE),IFERROR(INDEX(INDIRECT("'"&amp;$C4836&amp;"'!$E$44:$Y$44"),1,MATCH($D4836,INDIRECT("'"&amp;$C4836&amp;"'!$E$12:$Y$12"),0)),0),0)</f>
        <v>62397.496292477226</v>
      </c>
      <c r="I4836" s="366" t="s">
        <v>1690</v>
      </c>
      <c r="J4836" s="348" t="str">
        <f t="shared" ca="1" si="150"/>
        <v>OK</v>
      </c>
      <c r="K4836" s="366" t="s">
        <v>1699</v>
      </c>
      <c r="L4836" s="366" t="s">
        <v>2240</v>
      </c>
      <c r="M4836" s="350" t="str">
        <f>IF($B4836="Portfolio","Portfolio",IFERROR(INDEX(DATA_ASSET_CLASSIFICATION!$B$8:$B$24,MATCH($C4836,DATA_ASSET_CLASSIFICATION!$A$8:$A$24,0)),"Review"))</f>
        <v>The Creek, Port Moody</v>
      </c>
      <c r="N4836" s="350" t="str">
        <f>IF($B4836="Portfolio","Portfolio",IFERROR(INDEX(DATA_ASSET_CLASSIFICATION!$U$8:$U$24,MATCH($C4836,DATA_ASSET_CLASSIFICATION!$A$8:$A$24,0)),"Review"))</f>
        <v>New Build</v>
      </c>
      <c r="O4836" s="350" t="str">
        <f>IF($B4836="Portfolio","Portfolio",IFERROR(INDEX(DATA_ASSET_CLASSIFICATION!$AB$8:$AB$13,MATCH($N4836,DATA_ASSET_CLASSIFICATION!$AA$8:$AA$13,0)),"Review"))</f>
        <v>Bucket 1 · New Build</v>
      </c>
      <c r="P4836" s="350" t="str">
        <f>IF($B4836="Portfolio","Portfolio",IFERROR(INDEX(DATA_ASSET_CLASSIFICATION!$C$8:$C$24,MATCH($C4836,DATA_ASSET_CLASSIFICATION!$A$8:$A$24,0)),"Review"))</f>
        <v>Yes</v>
      </c>
      <c r="Q4836" s="350" t="str">
        <f t="shared" ca="1" si="151"/>
        <v>OK</v>
      </c>
    </row>
    <row r="4837" spans="1:17" ht="30">
      <c r="A4837" s="366" t="s">
        <v>6793</v>
      </c>
      <c r="B4837" s="366" t="s">
        <v>231</v>
      </c>
      <c r="C4837" s="348" t="str">
        <f>DATA_PROPERTY_MASTER!$A$20</f>
        <v>BLD_PM</v>
      </c>
      <c r="D4837" s="380">
        <f>'00_PORTFOLIO ROLLUP'!Q$12</f>
        <v>2037</v>
      </c>
      <c r="E4837" s="366" t="s">
        <v>1683</v>
      </c>
      <c r="F4837" s="366" t="s">
        <v>21</v>
      </c>
      <c r="G4837" s="348" t="str">
        <f>"'"&amp;$C4837&amp;"'!$E$45:$Y$45"</f>
        <v>'BLD_PM'!$E$45:$Y$45</v>
      </c>
      <c r="H4837" s="381">
        <f ca="1">IF(IFERROR(INDEX(DATA_PROPERTY_MASTER!$E$5:$E$21,MATCH($C4837,DATA_PROPERTY_MASTER!$A$5:$A$21,0))="Yes",FALSE),IFERROR(INDEX(INDIRECT("'"&amp;$C4837&amp;"'!$E$45:$Y$45"),1,MATCH($D4837,INDIRECT("'"&amp;$C4837&amp;"'!$E$12:$Y$12"),0)),0),0)</f>
        <v>5620654.3478276003</v>
      </c>
      <c r="I4837" s="366" t="s">
        <v>1685</v>
      </c>
      <c r="J4837" s="348" t="str">
        <f t="shared" ca="1" si="150"/>
        <v>OK</v>
      </c>
      <c r="K4837" s="366" t="s">
        <v>1694</v>
      </c>
      <c r="L4837" s="366" t="s">
        <v>2242</v>
      </c>
      <c r="M4837" s="350" t="str">
        <f>IF($B4837="Portfolio","Portfolio",IFERROR(INDEX(DATA_ASSET_CLASSIFICATION!$B$8:$B$24,MATCH($C4837,DATA_ASSET_CLASSIFICATION!$A$8:$A$24,0)),"Review"))</f>
        <v>The Creek, Port Moody</v>
      </c>
      <c r="N4837" s="350" t="str">
        <f>IF($B4837="Portfolio","Portfolio",IFERROR(INDEX(DATA_ASSET_CLASSIFICATION!$U$8:$U$24,MATCH($C4837,DATA_ASSET_CLASSIFICATION!$A$8:$A$24,0)),"Review"))</f>
        <v>New Build</v>
      </c>
      <c r="O4837" s="350" t="str">
        <f>IF($B4837="Portfolio","Portfolio",IFERROR(INDEX(DATA_ASSET_CLASSIFICATION!$AB$8:$AB$13,MATCH($N4837,DATA_ASSET_CLASSIFICATION!$AA$8:$AA$13,0)),"Review"))</f>
        <v>Bucket 1 · New Build</v>
      </c>
      <c r="P4837" s="350" t="str">
        <f>IF($B4837="Portfolio","Portfolio",IFERROR(INDEX(DATA_ASSET_CLASSIFICATION!$C$8:$C$24,MATCH($C4837,DATA_ASSET_CLASSIFICATION!$A$8:$A$24,0)),"Review"))</f>
        <v>Yes</v>
      </c>
      <c r="Q4837" s="350" t="str">
        <f t="shared" ca="1" si="151"/>
        <v>OK</v>
      </c>
    </row>
    <row r="4838" spans="1:17" ht="30">
      <c r="A4838" s="366" t="s">
        <v>6794</v>
      </c>
      <c r="B4838" s="366" t="s">
        <v>231</v>
      </c>
      <c r="C4838" s="348" t="str">
        <f>DATA_PROPERTY_MASTER!$A$20</f>
        <v>BLD_PM</v>
      </c>
      <c r="D4838" s="380">
        <f>'00_PORTFOLIO ROLLUP'!Q$12</f>
        <v>2037</v>
      </c>
      <c r="E4838" s="366" t="s">
        <v>23</v>
      </c>
      <c r="F4838" s="366" t="s">
        <v>23</v>
      </c>
      <c r="G4838" s="348" t="str">
        <f>"'"&amp;$C4838&amp;"'!$E$48:$Y$48"</f>
        <v>'BLD_PM'!$E$48:$Y$48</v>
      </c>
      <c r="H4838" s="381">
        <f ca="1">IF(IFERROR(INDEX(DATA_PROPERTY_MASTER!$E$5:$E$21,MATCH($C4838,DATA_PROPERTY_MASTER!$A$5:$A$21,0))="Yes",FALSE),IFERROR(INDEX(INDIRECT("'"&amp;$C4838&amp;"'!$E$48:$Y$48"),1,MATCH($D4838,INDIRECT("'"&amp;$C4838&amp;"'!$E$12:$Y$12"),0)),0),0)</f>
        <v>3116973.3868276179</v>
      </c>
      <c r="I4838" s="366" t="s">
        <v>1690</v>
      </c>
      <c r="J4838" s="348" t="str">
        <f t="shared" ca="1" si="150"/>
        <v>OK</v>
      </c>
      <c r="K4838" s="366" t="s">
        <v>1706</v>
      </c>
      <c r="L4838" s="366" t="s">
        <v>2244</v>
      </c>
      <c r="M4838" s="350" t="str">
        <f>IF($B4838="Portfolio","Portfolio",IFERROR(INDEX(DATA_ASSET_CLASSIFICATION!$B$8:$B$24,MATCH($C4838,DATA_ASSET_CLASSIFICATION!$A$8:$A$24,0)),"Review"))</f>
        <v>The Creek, Port Moody</v>
      </c>
      <c r="N4838" s="350" t="str">
        <f>IF($B4838="Portfolio","Portfolio",IFERROR(INDEX(DATA_ASSET_CLASSIFICATION!$U$8:$U$24,MATCH($C4838,DATA_ASSET_CLASSIFICATION!$A$8:$A$24,0)),"Review"))</f>
        <v>New Build</v>
      </c>
      <c r="O4838" s="350" t="str">
        <f>IF($B4838="Portfolio","Portfolio",IFERROR(INDEX(DATA_ASSET_CLASSIFICATION!$AB$8:$AB$13,MATCH($N4838,DATA_ASSET_CLASSIFICATION!$AA$8:$AA$13,0)),"Review"))</f>
        <v>Bucket 1 · New Build</v>
      </c>
      <c r="P4838" s="350" t="str">
        <f>IF($B4838="Portfolio","Portfolio",IFERROR(INDEX(DATA_ASSET_CLASSIFICATION!$C$8:$C$24,MATCH($C4838,DATA_ASSET_CLASSIFICATION!$A$8:$A$24,0)),"Review"))</f>
        <v>Yes</v>
      </c>
      <c r="Q4838" s="350" t="str">
        <f t="shared" ca="1" si="151"/>
        <v>OK</v>
      </c>
    </row>
    <row r="4839" spans="1:17" ht="30">
      <c r="A4839" s="366" t="s">
        <v>6795</v>
      </c>
      <c r="B4839" s="366" t="s">
        <v>231</v>
      </c>
      <c r="C4839" s="348" t="str">
        <f>DATA_PROPERTY_MASTER!$A$20</f>
        <v>BLD_PM</v>
      </c>
      <c r="D4839" s="380">
        <f>'00_PORTFOLIO ROLLUP'!Q$12</f>
        <v>2037</v>
      </c>
      <c r="E4839" s="366" t="s">
        <v>1683</v>
      </c>
      <c r="F4839" s="366" t="s">
        <v>25</v>
      </c>
      <c r="G4839" s="348" t="str">
        <f>"'"&amp;$C4839&amp;"'!$E$52:$Y$52"</f>
        <v>'BLD_PM'!$E$52:$Y$52</v>
      </c>
      <c r="H4839" s="381">
        <f ca="1">IF(IFERROR(INDEX(DATA_PROPERTY_MASTER!$E$5:$E$21,MATCH($C4839,DATA_PROPERTY_MASTER!$A$5:$A$21,0))="Yes",FALSE),IFERROR(INDEX(INDIRECT("'"&amp;$C4839&amp;"'!$E$52:$Y$52"),1,MATCH($D4839,INDIRECT("'"&amp;$C4839&amp;"'!$E$12:$Y$12"),0)),0),0)</f>
        <v>2566078.4572924599</v>
      </c>
      <c r="I4839" s="366" t="s">
        <v>1685</v>
      </c>
      <c r="J4839" s="348" t="str">
        <f t="shared" ca="1" si="150"/>
        <v>OK</v>
      </c>
      <c r="K4839" s="366" t="s">
        <v>1710</v>
      </c>
      <c r="L4839" s="366" t="s">
        <v>2246</v>
      </c>
      <c r="M4839" s="350" t="str">
        <f>IF($B4839="Portfolio","Portfolio",IFERROR(INDEX(DATA_ASSET_CLASSIFICATION!$B$8:$B$24,MATCH($C4839,DATA_ASSET_CLASSIFICATION!$A$8:$A$24,0)),"Review"))</f>
        <v>The Creek, Port Moody</v>
      </c>
      <c r="N4839" s="350" t="str">
        <f>IF($B4839="Portfolio","Portfolio",IFERROR(INDEX(DATA_ASSET_CLASSIFICATION!$U$8:$U$24,MATCH($C4839,DATA_ASSET_CLASSIFICATION!$A$8:$A$24,0)),"Review"))</f>
        <v>New Build</v>
      </c>
      <c r="O4839" s="350" t="str">
        <f>IF($B4839="Portfolio","Portfolio",IFERROR(INDEX(DATA_ASSET_CLASSIFICATION!$AB$8:$AB$13,MATCH($N4839,DATA_ASSET_CLASSIFICATION!$AA$8:$AA$13,0)),"Review"))</f>
        <v>Bucket 1 · New Build</v>
      </c>
      <c r="P4839" s="350" t="str">
        <f>IF($B4839="Portfolio","Portfolio",IFERROR(INDEX(DATA_ASSET_CLASSIFICATION!$C$8:$C$24,MATCH($C4839,DATA_ASSET_CLASSIFICATION!$A$8:$A$24,0)),"Review"))</f>
        <v>Yes</v>
      </c>
      <c r="Q4839" s="350" t="str">
        <f t="shared" ca="1" si="151"/>
        <v>OK</v>
      </c>
    </row>
    <row r="4840" spans="1:17" ht="30">
      <c r="A4840" s="366" t="s">
        <v>6796</v>
      </c>
      <c r="B4840" s="366" t="s">
        <v>231</v>
      </c>
      <c r="C4840" s="348" t="str">
        <f>DATA_PROPERTY_MASTER!$A$20</f>
        <v>BLD_PM</v>
      </c>
      <c r="D4840" s="380">
        <f>'00_PORTFOLIO ROLLUP'!Q$12</f>
        <v>2037</v>
      </c>
      <c r="E4840" s="366" t="s">
        <v>1683</v>
      </c>
      <c r="F4840" s="366" t="s">
        <v>27</v>
      </c>
      <c r="G4840" s="348" t="str">
        <f>"'"&amp;$C4840&amp;"'!$E$54:$Y$54"</f>
        <v>'BLD_PM'!$E$54:$Y$54</v>
      </c>
      <c r="H4840" s="381">
        <f ca="1">IF(IFERROR(INDEX(DATA_PROPERTY_MASTER!$E$5:$E$21,MATCH($C4840,DATA_PROPERTY_MASTER!$A$5:$A$21,0))="Yes",FALSE),IFERROR(INDEX(INDIRECT("'"&amp;$C4840&amp;"'!$E$54:$Y$54"),1,MATCH($D4840,INDIRECT("'"&amp;$C4840&amp;"'!$E$12:$Y$12"),0)),0),0)</f>
        <v>1539647.074375476</v>
      </c>
      <c r="I4840" s="366" t="s">
        <v>1690</v>
      </c>
      <c r="J4840" s="348" t="str">
        <f t="shared" ca="1" si="150"/>
        <v>OK</v>
      </c>
      <c r="K4840" s="366" t="s">
        <v>1714</v>
      </c>
      <c r="L4840" s="366" t="s">
        <v>2248</v>
      </c>
      <c r="M4840" s="350" t="str">
        <f>IF($B4840="Portfolio","Portfolio",IFERROR(INDEX(DATA_ASSET_CLASSIFICATION!$B$8:$B$24,MATCH($C4840,DATA_ASSET_CLASSIFICATION!$A$8:$A$24,0)),"Review"))</f>
        <v>The Creek, Port Moody</v>
      </c>
      <c r="N4840" s="350" t="str">
        <f>IF($B4840="Portfolio","Portfolio",IFERROR(INDEX(DATA_ASSET_CLASSIFICATION!$U$8:$U$24,MATCH($C4840,DATA_ASSET_CLASSIFICATION!$A$8:$A$24,0)),"Review"))</f>
        <v>New Build</v>
      </c>
      <c r="O4840" s="350" t="str">
        <f>IF($B4840="Portfolio","Portfolio",IFERROR(INDEX(DATA_ASSET_CLASSIFICATION!$AB$8:$AB$13,MATCH($N4840,DATA_ASSET_CLASSIFICATION!$AA$8:$AA$13,0)),"Review"))</f>
        <v>Bucket 1 · New Build</v>
      </c>
      <c r="P4840" s="350" t="str">
        <f>IF($B4840="Portfolio","Portfolio",IFERROR(INDEX(DATA_ASSET_CLASSIFICATION!$C$8:$C$24,MATCH($C4840,DATA_ASSET_CLASSIFICATION!$A$8:$A$24,0)),"Review"))</f>
        <v>Yes</v>
      </c>
      <c r="Q4840" s="350" t="str">
        <f t="shared" ca="1" si="151"/>
        <v>OK</v>
      </c>
    </row>
    <row r="4841" spans="1:17" ht="30">
      <c r="A4841" s="366" t="s">
        <v>6797</v>
      </c>
      <c r="B4841" s="366" t="s">
        <v>231</v>
      </c>
      <c r="C4841" s="348" t="str">
        <f>DATA_PROPERTY_MASTER!$A$20</f>
        <v>BLD_PM</v>
      </c>
      <c r="D4841" s="380">
        <f>'00_PORTFOLIO ROLLUP'!Q$12</f>
        <v>2037</v>
      </c>
      <c r="E4841" s="366" t="s">
        <v>1683</v>
      </c>
      <c r="F4841" s="366" t="s">
        <v>29</v>
      </c>
      <c r="G4841" s="348" t="str">
        <f>"'"&amp;$C4841&amp;"'!$E$56:$Y$56"</f>
        <v>'BLD_PM'!$E$56:$Y$56</v>
      </c>
      <c r="H4841" s="381">
        <f ca="1">IF(IFERROR(INDEX(DATA_PROPERTY_MASTER!$E$5:$E$21,MATCH($C4841,DATA_PROPERTY_MASTER!$A$5:$A$21,0))="Yes",FALSE),IFERROR(INDEX(INDIRECT("'"&amp;$C4841&amp;"'!$E$56:$Y$56"),1,MATCH($D4841,INDIRECT("'"&amp;$C4841&amp;"'!$E$12:$Y$12"),0)),0),0)</f>
        <v>1026431.3829169839</v>
      </c>
      <c r="I4841" s="366" t="s">
        <v>1685</v>
      </c>
      <c r="J4841" s="348" t="str">
        <f t="shared" ca="1" si="150"/>
        <v>OK</v>
      </c>
      <c r="K4841" s="366" t="s">
        <v>1718</v>
      </c>
      <c r="L4841" s="366" t="s">
        <v>2250</v>
      </c>
      <c r="M4841" s="350" t="str">
        <f>IF($B4841="Portfolio","Portfolio",IFERROR(INDEX(DATA_ASSET_CLASSIFICATION!$B$8:$B$24,MATCH($C4841,DATA_ASSET_CLASSIFICATION!$A$8:$A$24,0)),"Review"))</f>
        <v>The Creek, Port Moody</v>
      </c>
      <c r="N4841" s="350" t="str">
        <f>IF($B4841="Portfolio","Portfolio",IFERROR(INDEX(DATA_ASSET_CLASSIFICATION!$U$8:$U$24,MATCH($C4841,DATA_ASSET_CLASSIFICATION!$A$8:$A$24,0)),"Review"))</f>
        <v>New Build</v>
      </c>
      <c r="O4841" s="350" t="str">
        <f>IF($B4841="Portfolio","Portfolio",IFERROR(INDEX(DATA_ASSET_CLASSIFICATION!$AB$8:$AB$13,MATCH($N4841,DATA_ASSET_CLASSIFICATION!$AA$8:$AA$13,0)),"Review"))</f>
        <v>Bucket 1 · New Build</v>
      </c>
      <c r="P4841" s="350" t="str">
        <f>IF($B4841="Portfolio","Portfolio",IFERROR(INDEX(DATA_ASSET_CLASSIFICATION!$C$8:$C$24,MATCH($C4841,DATA_ASSET_CLASSIFICATION!$A$8:$A$24,0)),"Review"))</f>
        <v>Yes</v>
      </c>
      <c r="Q4841" s="350" t="str">
        <f t="shared" ca="1" si="151"/>
        <v>OK</v>
      </c>
    </row>
    <row r="4842" spans="1:17" ht="30">
      <c r="A4842" s="366" t="s">
        <v>6798</v>
      </c>
      <c r="B4842" s="366" t="s">
        <v>231</v>
      </c>
      <c r="C4842" s="348" t="str">
        <f>DATA_PROPERTY_MASTER!$A$20</f>
        <v>BLD_PM</v>
      </c>
      <c r="D4842" s="380">
        <f>'00_PORTFOLIO ROLLUP'!Q$12</f>
        <v>2037</v>
      </c>
      <c r="E4842" s="366" t="s">
        <v>1721</v>
      </c>
      <c r="F4842" s="366" t="s">
        <v>31</v>
      </c>
      <c r="G4842" s="348" t="str">
        <f>"'"&amp;$C4842&amp;"'!$E$61:$Y$61"</f>
        <v>'BLD_PM'!$E$61:$Y$61</v>
      </c>
      <c r="H4842" s="381">
        <f ca="1">IF(IFERROR(INDEX(DATA_PROPERTY_MASTER!$E$5:$E$21,MATCH($C4842,DATA_PROPERTY_MASTER!$A$5:$A$21,0))="Yes",FALSE),IFERROR(INDEX(INDIRECT("'"&amp;$C4842&amp;"'!$E$61:$Y$61"),1,MATCH($D4842,INDIRECT("'"&amp;$C4842&amp;"'!$E$12:$Y$12"),0)),0),0)</f>
        <v>0</v>
      </c>
      <c r="I4842" s="366" t="s">
        <v>1690</v>
      </c>
      <c r="J4842" s="348" t="str">
        <f t="shared" ca="1" si="150"/>
        <v>OK</v>
      </c>
      <c r="K4842" s="366" t="s">
        <v>1723</v>
      </c>
      <c r="L4842" s="366" t="s">
        <v>2252</v>
      </c>
      <c r="M4842" s="350" t="str">
        <f>IF($B4842="Portfolio","Portfolio",IFERROR(INDEX(DATA_ASSET_CLASSIFICATION!$B$8:$B$24,MATCH($C4842,DATA_ASSET_CLASSIFICATION!$A$8:$A$24,0)),"Review"))</f>
        <v>The Creek, Port Moody</v>
      </c>
      <c r="N4842" s="350" t="str">
        <f>IF($B4842="Portfolio","Portfolio",IFERROR(INDEX(DATA_ASSET_CLASSIFICATION!$U$8:$U$24,MATCH($C4842,DATA_ASSET_CLASSIFICATION!$A$8:$A$24,0)),"Review"))</f>
        <v>New Build</v>
      </c>
      <c r="O4842" s="350" t="str">
        <f>IF($B4842="Portfolio","Portfolio",IFERROR(INDEX(DATA_ASSET_CLASSIFICATION!$AB$8:$AB$13,MATCH($N4842,DATA_ASSET_CLASSIFICATION!$AA$8:$AA$13,0)),"Review"))</f>
        <v>Bucket 1 · New Build</v>
      </c>
      <c r="P4842" s="350" t="str">
        <f>IF($B4842="Portfolio","Portfolio",IFERROR(INDEX(DATA_ASSET_CLASSIFICATION!$C$8:$C$24,MATCH($C4842,DATA_ASSET_CLASSIFICATION!$A$8:$A$24,0)),"Review"))</f>
        <v>Yes</v>
      </c>
      <c r="Q4842" s="350" t="str">
        <f t="shared" ca="1" si="151"/>
        <v>OK</v>
      </c>
    </row>
    <row r="4843" spans="1:17" ht="30">
      <c r="A4843" s="366" t="s">
        <v>6799</v>
      </c>
      <c r="B4843" s="366" t="s">
        <v>231</v>
      </c>
      <c r="C4843" s="348" t="str">
        <f>DATA_PROPERTY_MASTER!$A$20</f>
        <v>BLD_PM</v>
      </c>
      <c r="D4843" s="380">
        <f>'00_PORTFOLIO ROLLUP'!Q$12</f>
        <v>2037</v>
      </c>
      <c r="E4843" s="366" t="s">
        <v>1721</v>
      </c>
      <c r="F4843" s="366" t="s">
        <v>33</v>
      </c>
      <c r="G4843" s="348" t="str">
        <f>"'"&amp;$C4843&amp;"'!$E$62:$Y$62"</f>
        <v>'BLD_PM'!$E$62:$Y$62</v>
      </c>
      <c r="H4843" s="381">
        <f ca="1">IF(IFERROR(INDEX(DATA_PROPERTY_MASTER!$E$5:$E$21,MATCH($C4843,DATA_PROPERTY_MASTER!$A$5:$A$21,0))="Yes",FALSE),IFERROR(INDEX(INDIRECT("'"&amp;$C4843&amp;"'!$E$62:$Y$62"),1,MATCH($D4843,INDIRECT("'"&amp;$C4843&amp;"'!$E$12:$Y$12"),0)),0),0)</f>
        <v>0</v>
      </c>
      <c r="I4843" s="366" t="s">
        <v>1685</v>
      </c>
      <c r="J4843" s="348" t="str">
        <f t="shared" ca="1" si="150"/>
        <v>OK</v>
      </c>
      <c r="K4843" s="366" t="s">
        <v>1727</v>
      </c>
      <c r="L4843" s="366" t="s">
        <v>2254</v>
      </c>
      <c r="M4843" s="350" t="str">
        <f>IF($B4843="Portfolio","Portfolio",IFERROR(INDEX(DATA_ASSET_CLASSIFICATION!$B$8:$B$24,MATCH($C4843,DATA_ASSET_CLASSIFICATION!$A$8:$A$24,0)),"Review"))</f>
        <v>The Creek, Port Moody</v>
      </c>
      <c r="N4843" s="350" t="str">
        <f>IF($B4843="Portfolio","Portfolio",IFERROR(INDEX(DATA_ASSET_CLASSIFICATION!$U$8:$U$24,MATCH($C4843,DATA_ASSET_CLASSIFICATION!$A$8:$A$24,0)),"Review"))</f>
        <v>New Build</v>
      </c>
      <c r="O4843" s="350" t="str">
        <f>IF($B4843="Portfolio","Portfolio",IFERROR(INDEX(DATA_ASSET_CLASSIFICATION!$AB$8:$AB$13,MATCH($N4843,DATA_ASSET_CLASSIFICATION!$AA$8:$AA$13,0)),"Review"))</f>
        <v>Bucket 1 · New Build</v>
      </c>
      <c r="P4843" s="350" t="str">
        <f>IF($B4843="Portfolio","Portfolio",IFERROR(INDEX(DATA_ASSET_CLASSIFICATION!$C$8:$C$24,MATCH($C4843,DATA_ASSET_CLASSIFICATION!$A$8:$A$24,0)),"Review"))</f>
        <v>Yes</v>
      </c>
      <c r="Q4843" s="350" t="str">
        <f t="shared" ca="1" si="151"/>
        <v>OK</v>
      </c>
    </row>
    <row r="4844" spans="1:17" ht="30">
      <c r="A4844" s="366" t="s">
        <v>6800</v>
      </c>
      <c r="B4844" s="366" t="s">
        <v>231</v>
      </c>
      <c r="C4844" s="348" t="str">
        <f>DATA_PROPERTY_MASTER!$A$20</f>
        <v>BLD_PM</v>
      </c>
      <c r="D4844" s="380">
        <f>'00_PORTFOLIO ROLLUP'!Q$12</f>
        <v>2037</v>
      </c>
      <c r="E4844" s="366" t="s">
        <v>1721</v>
      </c>
      <c r="F4844" s="366" t="s">
        <v>35</v>
      </c>
      <c r="G4844" s="348" t="str">
        <f>"'"&amp;$C4844&amp;"'!$E$63:$Y$63"</f>
        <v>'BLD_PM'!$E$63:$Y$63</v>
      </c>
      <c r="H4844" s="381">
        <f ca="1">IF(IFERROR(INDEX(DATA_PROPERTY_MASTER!$E$5:$E$21,MATCH($C4844,DATA_PROPERTY_MASTER!$A$5:$A$21,0))="Yes",FALSE),IFERROR(INDEX(INDIRECT("'"&amp;$C4844&amp;"'!$E$63:$Y$63"),1,MATCH($D4844,INDIRECT("'"&amp;$C4844&amp;"'!$E$12:$Y$12"),0)),0),0)</f>
        <v>0</v>
      </c>
      <c r="I4844" s="366" t="s">
        <v>1731</v>
      </c>
      <c r="J4844" s="348" t="str">
        <f t="shared" ca="1" si="150"/>
        <v>OK</v>
      </c>
      <c r="K4844" s="366" t="s">
        <v>1732</v>
      </c>
      <c r="L4844" s="366" t="s">
        <v>2256</v>
      </c>
      <c r="M4844" s="350" t="str">
        <f>IF($B4844="Portfolio","Portfolio",IFERROR(INDEX(DATA_ASSET_CLASSIFICATION!$B$8:$B$24,MATCH($C4844,DATA_ASSET_CLASSIFICATION!$A$8:$A$24,0)),"Review"))</f>
        <v>The Creek, Port Moody</v>
      </c>
      <c r="N4844" s="350" t="str">
        <f>IF($B4844="Portfolio","Portfolio",IFERROR(INDEX(DATA_ASSET_CLASSIFICATION!$U$8:$U$24,MATCH($C4844,DATA_ASSET_CLASSIFICATION!$A$8:$A$24,0)),"Review"))</f>
        <v>New Build</v>
      </c>
      <c r="O4844" s="350" t="str">
        <f>IF($B4844="Portfolio","Portfolio",IFERROR(INDEX(DATA_ASSET_CLASSIFICATION!$AB$8:$AB$13,MATCH($N4844,DATA_ASSET_CLASSIFICATION!$AA$8:$AA$13,0)),"Review"))</f>
        <v>Bucket 1 · New Build</v>
      </c>
      <c r="P4844" s="350" t="str">
        <f>IF($B4844="Portfolio","Portfolio",IFERROR(INDEX(DATA_ASSET_CLASSIFICATION!$C$8:$C$24,MATCH($C4844,DATA_ASSET_CLASSIFICATION!$A$8:$A$24,0)),"Review"))</f>
        <v>Yes</v>
      </c>
      <c r="Q4844" s="350" t="str">
        <f t="shared" ca="1" si="151"/>
        <v>OK</v>
      </c>
    </row>
    <row r="4845" spans="1:17" ht="30">
      <c r="A4845" s="366" t="s">
        <v>6801</v>
      </c>
      <c r="B4845" s="366" t="s">
        <v>231</v>
      </c>
      <c r="C4845" s="348" t="str">
        <f>DATA_PROPERTY_MASTER!$A$20</f>
        <v>BLD_PM</v>
      </c>
      <c r="D4845" s="380">
        <f>'00_PORTFOLIO ROLLUP'!Q$12</f>
        <v>2037</v>
      </c>
      <c r="E4845" s="366" t="s">
        <v>1721</v>
      </c>
      <c r="F4845" s="366" t="s">
        <v>37</v>
      </c>
      <c r="G4845" s="348" t="str">
        <f>"'"&amp;$C4845&amp;"'!$E$63:$Y$63"</f>
        <v>'BLD_PM'!$E$63:$Y$63</v>
      </c>
      <c r="H4845" s="381">
        <f ca="1">IF(IFERROR(INDEX(DATA_PROPERTY_MASTER!$E$5:$E$21,MATCH($C4845,DATA_PROPERTY_MASTER!$A$5:$A$21,0))="Yes",FALSE),MAX(IFERROR(INDEX(INDIRECT("'"&amp;$C4845&amp;"'!$E$63:$Y$63"),1,MATCH($D4845,INDIRECT("'"&amp;$C4845&amp;"'!$E$12:$Y$12"),0)),0),0),0)</f>
        <v>0</v>
      </c>
      <c r="I4845" s="366" t="s">
        <v>1685</v>
      </c>
      <c r="J4845" s="348" t="str">
        <f t="shared" ca="1" si="150"/>
        <v>OK</v>
      </c>
      <c r="K4845" s="366" t="s">
        <v>1735</v>
      </c>
      <c r="L4845" s="366" t="s">
        <v>2258</v>
      </c>
      <c r="M4845" s="350" t="str">
        <f>IF($B4845="Portfolio","Portfolio",IFERROR(INDEX(DATA_ASSET_CLASSIFICATION!$B$8:$B$24,MATCH($C4845,DATA_ASSET_CLASSIFICATION!$A$8:$A$24,0)),"Review"))</f>
        <v>The Creek, Port Moody</v>
      </c>
      <c r="N4845" s="350" t="str">
        <f>IF($B4845="Portfolio","Portfolio",IFERROR(INDEX(DATA_ASSET_CLASSIFICATION!$U$8:$U$24,MATCH($C4845,DATA_ASSET_CLASSIFICATION!$A$8:$A$24,0)),"Review"))</f>
        <v>New Build</v>
      </c>
      <c r="O4845" s="350" t="str">
        <f>IF($B4845="Portfolio","Portfolio",IFERROR(INDEX(DATA_ASSET_CLASSIFICATION!$AB$8:$AB$13,MATCH($N4845,DATA_ASSET_CLASSIFICATION!$AA$8:$AA$13,0)),"Review"))</f>
        <v>Bucket 1 · New Build</v>
      </c>
      <c r="P4845" s="350" t="str">
        <f>IF($B4845="Portfolio","Portfolio",IFERROR(INDEX(DATA_ASSET_CLASSIFICATION!$C$8:$C$24,MATCH($C4845,DATA_ASSET_CLASSIFICATION!$A$8:$A$24,0)),"Review"))</f>
        <v>Yes</v>
      </c>
      <c r="Q4845" s="350" t="str">
        <f t="shared" ca="1" si="151"/>
        <v>OK</v>
      </c>
    </row>
    <row r="4846" spans="1:17" ht="30">
      <c r="A4846" s="366" t="s">
        <v>6802</v>
      </c>
      <c r="B4846" s="366" t="s">
        <v>231</v>
      </c>
      <c r="C4846" s="348" t="str">
        <f>DATA_PROPERTY_MASTER!$A$20</f>
        <v>BLD_PM</v>
      </c>
      <c r="D4846" s="380">
        <f>'00_PORTFOLIO ROLLUP'!Q$12</f>
        <v>2037</v>
      </c>
      <c r="E4846" s="366" t="s">
        <v>1721</v>
      </c>
      <c r="F4846" s="366" t="s">
        <v>39</v>
      </c>
      <c r="G4846" s="348" t="str">
        <f>"'"&amp;$C4846&amp;"'!$E$63:$Y$63"</f>
        <v>'BLD_PM'!$E$63:$Y$63</v>
      </c>
      <c r="H4846" s="381">
        <f ca="1">IF(IFERROR(INDEX(DATA_PROPERTY_MASTER!$E$5:$E$21,MATCH($C4846,DATA_PROPERTY_MASTER!$A$5:$A$21,0))="Yes",FALSE),MAX(-IFERROR(INDEX(INDIRECT("'"&amp;$C4846&amp;"'!$E$63:$Y$63"),1,MATCH($D4846,INDIRECT("'"&amp;$C4846&amp;"'!$E$12:$Y$12"),0)),0),0),0)</f>
        <v>0</v>
      </c>
      <c r="I4846" s="366" t="s">
        <v>1690</v>
      </c>
      <c r="J4846" s="348" t="str">
        <f t="shared" ca="1" si="150"/>
        <v>OK</v>
      </c>
      <c r="K4846" s="366" t="s">
        <v>1738</v>
      </c>
      <c r="L4846" s="366" t="s">
        <v>2260</v>
      </c>
      <c r="M4846" s="350" t="str">
        <f>IF($B4846="Portfolio","Portfolio",IFERROR(INDEX(DATA_ASSET_CLASSIFICATION!$B$8:$B$24,MATCH($C4846,DATA_ASSET_CLASSIFICATION!$A$8:$A$24,0)),"Review"))</f>
        <v>The Creek, Port Moody</v>
      </c>
      <c r="N4846" s="350" t="str">
        <f>IF($B4846="Portfolio","Portfolio",IFERROR(INDEX(DATA_ASSET_CLASSIFICATION!$U$8:$U$24,MATCH($C4846,DATA_ASSET_CLASSIFICATION!$A$8:$A$24,0)),"Review"))</f>
        <v>New Build</v>
      </c>
      <c r="O4846" s="350" t="str">
        <f>IF($B4846="Portfolio","Portfolio",IFERROR(INDEX(DATA_ASSET_CLASSIFICATION!$AB$8:$AB$13,MATCH($N4846,DATA_ASSET_CLASSIFICATION!$AA$8:$AA$13,0)),"Review"))</f>
        <v>Bucket 1 · New Build</v>
      </c>
      <c r="P4846" s="350" t="str">
        <f>IF($B4846="Portfolio","Portfolio",IFERROR(INDEX(DATA_ASSET_CLASSIFICATION!$C$8:$C$24,MATCH($C4846,DATA_ASSET_CLASSIFICATION!$A$8:$A$24,0)),"Review"))</f>
        <v>Yes</v>
      </c>
      <c r="Q4846" s="350" t="str">
        <f t="shared" ca="1" si="151"/>
        <v>OK</v>
      </c>
    </row>
    <row r="4847" spans="1:17" ht="30">
      <c r="A4847" s="366" t="s">
        <v>6803</v>
      </c>
      <c r="B4847" s="366" t="s">
        <v>231</v>
      </c>
      <c r="C4847" s="348" t="str">
        <f>DATA_PROPERTY_MASTER!$A$20</f>
        <v>BLD_PM</v>
      </c>
      <c r="D4847" s="380">
        <f>'00_PORTFOLIO ROLLUP'!Q$12</f>
        <v>2037</v>
      </c>
      <c r="E4847" s="366" t="s">
        <v>1741</v>
      </c>
      <c r="F4847" s="366" t="s">
        <v>41</v>
      </c>
      <c r="G4847" s="348" t="str">
        <f>"'"&amp;$C4847&amp;"'!rows 56 + positive row 63"</f>
        <v>'BLD_PM'!rows 56 + positive row 63</v>
      </c>
      <c r="H4847" s="381">
        <f ca="1">IF(IFERROR(INDEX(DATA_PROPERTY_MASTER!$E$5:$E$21,MATCH($C4847,DATA_PROPERTY_MASTER!$A$5:$A$21,0))="Yes",FALSE),IFERROR(INDEX(INDIRECT("'"&amp;$C4847&amp;"'!$E$56:$Y$56"),1,MATCH($D4847,INDIRECT("'"&amp;$C4847&amp;"'!$E$12:$Y$12"),0)),0)+MAX(IFERROR(INDEX(INDIRECT("'"&amp;$C4847&amp;"'!$E$63:$Y$63"),1,MATCH($D4847,INDIRECT("'"&amp;$C4847&amp;"'!$E$12:$Y$12"),0)),0),0),0)</f>
        <v>1026431.3829169839</v>
      </c>
      <c r="I4847" s="366" t="s">
        <v>1685</v>
      </c>
      <c r="J4847" s="348" t="str">
        <f t="shared" ca="1" si="150"/>
        <v>OK</v>
      </c>
      <c r="K4847" s="366" t="s">
        <v>1742</v>
      </c>
      <c r="L4847" s="366" t="s">
        <v>2262</v>
      </c>
      <c r="M4847" s="350" t="str">
        <f>IF($B4847="Portfolio","Portfolio",IFERROR(INDEX(DATA_ASSET_CLASSIFICATION!$B$8:$B$24,MATCH($C4847,DATA_ASSET_CLASSIFICATION!$A$8:$A$24,0)),"Review"))</f>
        <v>The Creek, Port Moody</v>
      </c>
      <c r="N4847" s="350" t="str">
        <f>IF($B4847="Portfolio","Portfolio",IFERROR(INDEX(DATA_ASSET_CLASSIFICATION!$U$8:$U$24,MATCH($C4847,DATA_ASSET_CLASSIFICATION!$A$8:$A$24,0)),"Review"))</f>
        <v>New Build</v>
      </c>
      <c r="O4847" s="350" t="str">
        <f>IF($B4847="Portfolio","Portfolio",IFERROR(INDEX(DATA_ASSET_CLASSIFICATION!$AB$8:$AB$13,MATCH($N4847,DATA_ASSET_CLASSIFICATION!$AA$8:$AA$13,0)),"Review"))</f>
        <v>Bucket 1 · New Build</v>
      </c>
      <c r="P4847" s="350" t="str">
        <f>IF($B4847="Portfolio","Portfolio",IFERROR(INDEX(DATA_ASSET_CLASSIFICATION!$C$8:$C$24,MATCH($C4847,DATA_ASSET_CLASSIFICATION!$A$8:$A$24,0)),"Review"))</f>
        <v>Yes</v>
      </c>
      <c r="Q4847" s="350" t="str">
        <f t="shared" ca="1" si="151"/>
        <v>OK</v>
      </c>
    </row>
    <row r="4848" spans="1:17" ht="30">
      <c r="A4848" s="366" t="s">
        <v>6804</v>
      </c>
      <c r="B4848" s="366" t="s">
        <v>231</v>
      </c>
      <c r="C4848" s="348" t="str">
        <f>DATA_PROPERTY_MASTER!$A$20</f>
        <v>BLD_PM</v>
      </c>
      <c r="D4848" s="380">
        <f>'00_PORTFOLIO ROLLUP'!Q$12</f>
        <v>2037</v>
      </c>
      <c r="E4848" s="366" t="s">
        <v>1741</v>
      </c>
      <c r="F4848" s="366" t="s">
        <v>43</v>
      </c>
      <c r="G4848" s="348" t="str">
        <f>"'"&amp;$C4848&amp;"'!$E$68:$Y$68"</f>
        <v>'BLD_PM'!$E$68:$Y$68</v>
      </c>
      <c r="H4848" s="381">
        <f ca="1">IF(IFERROR(INDEX(DATA_PROPERTY_MASTER!$E$5:$E$21,MATCH($C4848,DATA_PROPERTY_MASTER!$A$5:$A$21,0))="Yes",FALSE),IFERROR(INDEX(INDIRECT("'"&amp;$C4848&amp;"'!$E$68:$Y$68"),1,MATCH($D4848,INDIRECT("'"&amp;$C4848&amp;"'!$E$12:$Y$12"),0)),0),0)</f>
        <v>1026431.3829169839</v>
      </c>
      <c r="I4848" s="366" t="s">
        <v>1731</v>
      </c>
      <c r="J4848" s="348" t="str">
        <f t="shared" ca="1" si="150"/>
        <v>OK</v>
      </c>
      <c r="K4848" s="366" t="s">
        <v>1746</v>
      </c>
      <c r="L4848" s="366" t="s">
        <v>2264</v>
      </c>
      <c r="M4848" s="350" t="str">
        <f>IF($B4848="Portfolio","Portfolio",IFERROR(INDEX(DATA_ASSET_CLASSIFICATION!$B$8:$B$24,MATCH($C4848,DATA_ASSET_CLASSIFICATION!$A$8:$A$24,0)),"Review"))</f>
        <v>The Creek, Port Moody</v>
      </c>
      <c r="N4848" s="350" t="str">
        <f>IF($B4848="Portfolio","Portfolio",IFERROR(INDEX(DATA_ASSET_CLASSIFICATION!$U$8:$U$24,MATCH($C4848,DATA_ASSET_CLASSIFICATION!$A$8:$A$24,0)),"Review"))</f>
        <v>New Build</v>
      </c>
      <c r="O4848" s="350" t="str">
        <f>IF($B4848="Portfolio","Portfolio",IFERROR(INDEX(DATA_ASSET_CLASSIFICATION!$AB$8:$AB$13,MATCH($N4848,DATA_ASSET_CLASSIFICATION!$AA$8:$AA$13,0)),"Review"))</f>
        <v>Bucket 1 · New Build</v>
      </c>
      <c r="P4848" s="350" t="str">
        <f>IF($B4848="Portfolio","Portfolio",IFERROR(INDEX(DATA_ASSET_CLASSIFICATION!$C$8:$C$24,MATCH($C4848,DATA_ASSET_CLASSIFICATION!$A$8:$A$24,0)),"Review"))</f>
        <v>Yes</v>
      </c>
      <c r="Q4848" s="350" t="str">
        <f t="shared" ca="1" si="151"/>
        <v>OK</v>
      </c>
    </row>
    <row r="4849" spans="1:17" ht="30">
      <c r="A4849" s="366" t="s">
        <v>6805</v>
      </c>
      <c r="B4849" s="366" t="s">
        <v>231</v>
      </c>
      <c r="C4849" s="348" t="str">
        <f>DATA_PROPERTY_MASTER!$A$20</f>
        <v>BLD_PM</v>
      </c>
      <c r="D4849" s="380">
        <f>'00_PORTFOLIO ROLLUP'!Q$12</f>
        <v>2037</v>
      </c>
      <c r="E4849" s="366" t="s">
        <v>1741</v>
      </c>
      <c r="F4849" s="366" t="s">
        <v>1749</v>
      </c>
      <c r="G4849" s="348" t="str">
        <f>"'"&amp;$C4849&amp;"'!rows 56, 63, 68"</f>
        <v>'BLD_PM'!rows 56, 63, 68</v>
      </c>
      <c r="H4849" s="381">
        <f ca="1">IF(IFERROR(INDEX(DATA_PROPERTY_MASTER!$E$5:$E$21,MATCH($C4849,DATA_PROPERTY_MASTER!$A$5:$A$21,0))="Yes",FALSE),(IFERROR(INDEX(INDIRECT("'"&amp;$C4849&amp;"'!$E$56:$Y$56"),1,MATCH($D4849,INDIRECT("'"&amp;$C4849&amp;"'!$E$12:$Y$12"),0)),0)+MAX(IFERROR(INDEX(INDIRECT("'"&amp;$C4849&amp;"'!$E$63:$Y$63"),1,MATCH($D4849,INDIRECT("'"&amp;$C4849&amp;"'!$E$12:$Y$12"),0)),0),0))-(IFERROR(INDEX(INDIRECT("'"&amp;$C4849&amp;"'!$E$68:$Y$68"),1,MATCH($D4849,INDIRECT("'"&amp;$C4849&amp;"'!$E$12:$Y$12"),0)),0)),0)</f>
        <v>0</v>
      </c>
      <c r="I4849" s="366" t="s">
        <v>1750</v>
      </c>
      <c r="J4849" s="348" t="str">
        <f t="shared" ca="1" si="150"/>
        <v>OK</v>
      </c>
      <c r="K4849" s="366" t="s">
        <v>1751</v>
      </c>
      <c r="L4849" s="366" t="s">
        <v>2266</v>
      </c>
      <c r="M4849" s="350" t="str">
        <f>IF($B4849="Portfolio","Portfolio",IFERROR(INDEX(DATA_ASSET_CLASSIFICATION!$B$8:$B$24,MATCH($C4849,DATA_ASSET_CLASSIFICATION!$A$8:$A$24,0)),"Review"))</f>
        <v>The Creek, Port Moody</v>
      </c>
      <c r="N4849" s="350" t="str">
        <f>IF($B4849="Portfolio","Portfolio",IFERROR(INDEX(DATA_ASSET_CLASSIFICATION!$U$8:$U$24,MATCH($C4849,DATA_ASSET_CLASSIFICATION!$A$8:$A$24,0)),"Review"))</f>
        <v>New Build</v>
      </c>
      <c r="O4849" s="350" t="str">
        <f>IF($B4849="Portfolio","Portfolio",IFERROR(INDEX(DATA_ASSET_CLASSIFICATION!$AB$8:$AB$13,MATCH($N4849,DATA_ASSET_CLASSIFICATION!$AA$8:$AA$13,0)),"Review"))</f>
        <v>Bucket 1 · New Build</v>
      </c>
      <c r="P4849" s="350" t="str">
        <f>IF($B4849="Portfolio","Portfolio",IFERROR(INDEX(DATA_ASSET_CLASSIFICATION!$C$8:$C$24,MATCH($C4849,DATA_ASSET_CLASSIFICATION!$A$8:$A$24,0)),"Review"))</f>
        <v>Yes</v>
      </c>
      <c r="Q4849" s="350" t="str">
        <f t="shared" ca="1" si="151"/>
        <v>OK</v>
      </c>
    </row>
    <row r="4850" spans="1:17" ht="30">
      <c r="A4850" s="366" t="s">
        <v>6806</v>
      </c>
      <c r="B4850" s="366" t="s">
        <v>231</v>
      </c>
      <c r="C4850" s="348" t="str">
        <f>DATA_PROPERTY_MASTER!$A$20</f>
        <v>BLD_PM</v>
      </c>
      <c r="D4850" s="380">
        <f>'00_PORTFOLIO ROLLUP'!R$12</f>
        <v>2038</v>
      </c>
      <c r="E4850" s="366" t="s">
        <v>1683</v>
      </c>
      <c r="F4850" s="366" t="s">
        <v>341</v>
      </c>
      <c r="G4850" s="348" t="str">
        <f>"'"&amp;$C4850&amp;"'!$E$24:$Y$24"</f>
        <v>'BLD_PM'!$E$24:$Y$24</v>
      </c>
      <c r="H4850" s="381">
        <f ca="1">IF(IFERROR(INDEX(DATA_PROPERTY_MASTER!$E$5:$E$21,MATCH($C4850,DATA_PROPERTY_MASTER!$A$5:$A$21,0))="Yes",FALSE),IFERROR(INDEX(INDIRECT("'"&amp;$C4850&amp;"'!$E$24:$Y$24"),1,MATCH($D4850,INDIRECT("'"&amp;$C4850&amp;"'!$E$12:$Y$12"),0)),0),0)</f>
        <v>6072497.7294245986</v>
      </c>
      <c r="I4850" s="366" t="s">
        <v>1685</v>
      </c>
      <c r="J4850" s="348" t="str">
        <f t="shared" ca="1" si="150"/>
        <v>OK</v>
      </c>
      <c r="K4850" s="366" t="s">
        <v>1686</v>
      </c>
      <c r="L4850" s="366" t="s">
        <v>2234</v>
      </c>
      <c r="M4850" s="350" t="str">
        <f>IF($B4850="Portfolio","Portfolio",IFERROR(INDEX(DATA_ASSET_CLASSIFICATION!$B$8:$B$24,MATCH($C4850,DATA_ASSET_CLASSIFICATION!$A$8:$A$24,0)),"Review"))</f>
        <v>The Creek, Port Moody</v>
      </c>
      <c r="N4850" s="350" t="str">
        <f>IF($B4850="Portfolio","Portfolio",IFERROR(INDEX(DATA_ASSET_CLASSIFICATION!$U$8:$U$24,MATCH($C4850,DATA_ASSET_CLASSIFICATION!$A$8:$A$24,0)),"Review"))</f>
        <v>New Build</v>
      </c>
      <c r="O4850" s="350" t="str">
        <f>IF($B4850="Portfolio","Portfolio",IFERROR(INDEX(DATA_ASSET_CLASSIFICATION!$AB$8:$AB$13,MATCH($N4850,DATA_ASSET_CLASSIFICATION!$AA$8:$AA$13,0)),"Review"))</f>
        <v>Bucket 1 · New Build</v>
      </c>
      <c r="P4850" s="350" t="str">
        <f>IF($B4850="Portfolio","Portfolio",IFERROR(INDEX(DATA_ASSET_CLASSIFICATION!$C$8:$C$24,MATCH($C4850,DATA_ASSET_CLASSIFICATION!$A$8:$A$24,0)),"Review"))</f>
        <v>Yes</v>
      </c>
      <c r="Q4850" s="350" t="str">
        <f t="shared" ca="1" si="151"/>
        <v>OK</v>
      </c>
    </row>
    <row r="4851" spans="1:17" ht="30">
      <c r="A4851" s="366" t="s">
        <v>6807</v>
      </c>
      <c r="B4851" s="366" t="s">
        <v>231</v>
      </c>
      <c r="C4851" s="348" t="str">
        <f>DATA_PROPERTY_MASTER!$A$20</f>
        <v>BLD_PM</v>
      </c>
      <c r="D4851" s="380">
        <f>'00_PORTFOLIO ROLLUP'!R$12</f>
        <v>2038</v>
      </c>
      <c r="E4851" s="366" t="s">
        <v>1683</v>
      </c>
      <c r="F4851" s="366" t="s">
        <v>355</v>
      </c>
      <c r="G4851" s="348" t="str">
        <f>"'"&amp;$C4851&amp;"'!$E$39:$Y$39"</f>
        <v>'BLD_PM'!$E$39:$Y$39</v>
      </c>
      <c r="H4851" s="381">
        <f ca="1">IF(IFERROR(INDEX(DATA_PROPERTY_MASTER!$E$5:$E$21,MATCH($C4851,DATA_PROPERTY_MASTER!$A$5:$A$21,0))="Yes",FALSE),IFERROR(INDEX(INDIRECT("'"&amp;$C4851&amp;"'!$E$39:$Y$39"),1,MATCH($D4851,INDIRECT("'"&amp;$C4851&amp;"'!$E$12:$Y$12"),0)),0),0)</f>
        <v>277136.73493399326</v>
      </c>
      <c r="I4851" s="366" t="s">
        <v>1690</v>
      </c>
      <c r="J4851" s="348" t="str">
        <f t="shared" ca="1" si="150"/>
        <v>OK</v>
      </c>
      <c r="K4851" s="366" t="s">
        <v>1686</v>
      </c>
      <c r="L4851" s="366" t="s">
        <v>2236</v>
      </c>
      <c r="M4851" s="350" t="str">
        <f>IF($B4851="Portfolio","Portfolio",IFERROR(INDEX(DATA_ASSET_CLASSIFICATION!$B$8:$B$24,MATCH($C4851,DATA_ASSET_CLASSIFICATION!$A$8:$A$24,0)),"Review"))</f>
        <v>The Creek, Port Moody</v>
      </c>
      <c r="N4851" s="350" t="str">
        <f>IF($B4851="Portfolio","Portfolio",IFERROR(INDEX(DATA_ASSET_CLASSIFICATION!$U$8:$U$24,MATCH($C4851,DATA_ASSET_CLASSIFICATION!$A$8:$A$24,0)),"Review"))</f>
        <v>New Build</v>
      </c>
      <c r="O4851" s="350" t="str">
        <f>IF($B4851="Portfolio","Portfolio",IFERROR(INDEX(DATA_ASSET_CLASSIFICATION!$AB$8:$AB$13,MATCH($N4851,DATA_ASSET_CLASSIFICATION!$AA$8:$AA$13,0)),"Review"))</f>
        <v>Bucket 1 · New Build</v>
      </c>
      <c r="P4851" s="350" t="str">
        <f>IF($B4851="Portfolio","Portfolio",IFERROR(INDEX(DATA_ASSET_CLASSIFICATION!$C$8:$C$24,MATCH($C4851,DATA_ASSET_CLASSIFICATION!$A$8:$A$24,0)),"Review"))</f>
        <v>Yes</v>
      </c>
      <c r="Q4851" s="350" t="str">
        <f t="shared" ca="1" si="151"/>
        <v>OK</v>
      </c>
    </row>
    <row r="4852" spans="1:17" ht="30">
      <c r="A4852" s="366" t="s">
        <v>6808</v>
      </c>
      <c r="B4852" s="366" t="s">
        <v>231</v>
      </c>
      <c r="C4852" s="348" t="str">
        <f>DATA_PROPERTY_MASTER!$A$20</f>
        <v>BLD_PM</v>
      </c>
      <c r="D4852" s="380">
        <f>'00_PORTFOLIO ROLLUP'!R$12</f>
        <v>2038</v>
      </c>
      <c r="E4852" s="366" t="s">
        <v>1683</v>
      </c>
      <c r="F4852" s="366" t="s">
        <v>19</v>
      </c>
      <c r="G4852" s="348" t="str">
        <f>"'"&amp;$C4852&amp;"'!$E$41:$Y$41"</f>
        <v>'BLD_PM'!$E$41:$Y$41</v>
      </c>
      <c r="H4852" s="381">
        <f ca="1">IF(IFERROR(INDEX(DATA_PROPERTY_MASTER!$E$5:$E$21,MATCH($C4852,DATA_PROPERTY_MASTER!$A$5:$A$21,0))="Yes",FALSE),IFERROR(INDEX(INDIRECT("'"&amp;$C4852&amp;"'!$E$41:$Y$41"),1,MATCH($D4852,INDIRECT("'"&amp;$C4852&amp;"'!$E$12:$Y$12"),0)),0),0)</f>
        <v>5795360.9944906058</v>
      </c>
      <c r="I4852" s="366" t="s">
        <v>1685</v>
      </c>
      <c r="J4852" s="348" t="str">
        <f t="shared" ca="1" si="150"/>
        <v>OK</v>
      </c>
      <c r="K4852" s="366" t="s">
        <v>1694</v>
      </c>
      <c r="L4852" s="366" t="s">
        <v>2238</v>
      </c>
      <c r="M4852" s="350" t="str">
        <f>IF($B4852="Portfolio","Portfolio",IFERROR(INDEX(DATA_ASSET_CLASSIFICATION!$B$8:$B$24,MATCH($C4852,DATA_ASSET_CLASSIFICATION!$A$8:$A$24,0)),"Review"))</f>
        <v>The Creek, Port Moody</v>
      </c>
      <c r="N4852" s="350" t="str">
        <f>IF($B4852="Portfolio","Portfolio",IFERROR(INDEX(DATA_ASSET_CLASSIFICATION!$U$8:$U$24,MATCH($C4852,DATA_ASSET_CLASSIFICATION!$A$8:$A$24,0)),"Review"))</f>
        <v>New Build</v>
      </c>
      <c r="O4852" s="350" t="str">
        <f>IF($B4852="Portfolio","Portfolio",IFERROR(INDEX(DATA_ASSET_CLASSIFICATION!$AB$8:$AB$13,MATCH($N4852,DATA_ASSET_CLASSIFICATION!$AA$8:$AA$13,0)),"Review"))</f>
        <v>Bucket 1 · New Build</v>
      </c>
      <c r="P4852" s="350" t="str">
        <f>IF($B4852="Portfolio","Portfolio",IFERROR(INDEX(DATA_ASSET_CLASSIFICATION!$C$8:$C$24,MATCH($C4852,DATA_ASSET_CLASSIFICATION!$A$8:$A$24,0)),"Review"))</f>
        <v>Yes</v>
      </c>
      <c r="Q4852" s="350" t="str">
        <f t="shared" ca="1" si="151"/>
        <v>OK</v>
      </c>
    </row>
    <row r="4853" spans="1:17" ht="30">
      <c r="A4853" s="366" t="s">
        <v>6809</v>
      </c>
      <c r="B4853" s="366" t="s">
        <v>231</v>
      </c>
      <c r="C4853" s="348" t="str">
        <f>DATA_PROPERTY_MASTER!$A$20</f>
        <v>BLD_PM</v>
      </c>
      <c r="D4853" s="380">
        <f>'00_PORTFOLIO ROLLUP'!R$12</f>
        <v>2038</v>
      </c>
      <c r="E4853" s="366" t="s">
        <v>1683</v>
      </c>
      <c r="F4853" s="366" t="s">
        <v>1697</v>
      </c>
      <c r="G4853" s="348" t="str">
        <f>"'"&amp;$C4853&amp;"'!$E$44:$Y$44"</f>
        <v>'BLD_PM'!$E$44:$Y$44</v>
      </c>
      <c r="H4853" s="381">
        <f ca="1">IF(IFERROR(INDEX(DATA_PROPERTY_MASTER!$E$5:$E$21,MATCH($C4853,DATA_PROPERTY_MASTER!$A$5:$A$21,0))="Yes",FALSE),IFERROR(INDEX(INDIRECT("'"&amp;$C4853&amp;"'!$E$44:$Y$44"),1,MATCH($D4853,INDIRECT("'"&amp;$C4853&amp;"'!$E$12:$Y$12"),0)),0),0)</f>
        <v>63645.446218326768</v>
      </c>
      <c r="I4853" s="366" t="s">
        <v>1690</v>
      </c>
      <c r="J4853" s="348" t="str">
        <f t="shared" ca="1" si="150"/>
        <v>OK</v>
      </c>
      <c r="K4853" s="366" t="s">
        <v>1699</v>
      </c>
      <c r="L4853" s="366" t="s">
        <v>2240</v>
      </c>
      <c r="M4853" s="350" t="str">
        <f>IF($B4853="Portfolio","Portfolio",IFERROR(INDEX(DATA_ASSET_CLASSIFICATION!$B$8:$B$24,MATCH($C4853,DATA_ASSET_CLASSIFICATION!$A$8:$A$24,0)),"Review"))</f>
        <v>The Creek, Port Moody</v>
      </c>
      <c r="N4853" s="350" t="str">
        <f>IF($B4853="Portfolio","Portfolio",IFERROR(INDEX(DATA_ASSET_CLASSIFICATION!$U$8:$U$24,MATCH($C4853,DATA_ASSET_CLASSIFICATION!$A$8:$A$24,0)),"Review"))</f>
        <v>New Build</v>
      </c>
      <c r="O4853" s="350" t="str">
        <f>IF($B4853="Portfolio","Portfolio",IFERROR(INDEX(DATA_ASSET_CLASSIFICATION!$AB$8:$AB$13,MATCH($N4853,DATA_ASSET_CLASSIFICATION!$AA$8:$AA$13,0)),"Review"))</f>
        <v>Bucket 1 · New Build</v>
      </c>
      <c r="P4853" s="350" t="str">
        <f>IF($B4853="Portfolio","Portfolio",IFERROR(INDEX(DATA_ASSET_CLASSIFICATION!$C$8:$C$24,MATCH($C4853,DATA_ASSET_CLASSIFICATION!$A$8:$A$24,0)),"Review"))</f>
        <v>Yes</v>
      </c>
      <c r="Q4853" s="350" t="str">
        <f t="shared" ca="1" si="151"/>
        <v>OK</v>
      </c>
    </row>
    <row r="4854" spans="1:17" ht="30">
      <c r="A4854" s="366" t="s">
        <v>6810</v>
      </c>
      <c r="B4854" s="366" t="s">
        <v>231</v>
      </c>
      <c r="C4854" s="348" t="str">
        <f>DATA_PROPERTY_MASTER!$A$20</f>
        <v>BLD_PM</v>
      </c>
      <c r="D4854" s="380">
        <f>'00_PORTFOLIO ROLLUP'!R$12</f>
        <v>2038</v>
      </c>
      <c r="E4854" s="366" t="s">
        <v>1683</v>
      </c>
      <c r="F4854" s="366" t="s">
        <v>21</v>
      </c>
      <c r="G4854" s="348" t="str">
        <f>"'"&amp;$C4854&amp;"'!$E$45:$Y$45"</f>
        <v>'BLD_PM'!$E$45:$Y$45</v>
      </c>
      <c r="H4854" s="381">
        <f ca="1">IF(IFERROR(INDEX(DATA_PROPERTY_MASTER!$E$5:$E$21,MATCH($C4854,DATA_PROPERTY_MASTER!$A$5:$A$21,0))="Yes",FALSE),IFERROR(INDEX(INDIRECT("'"&amp;$C4854&amp;"'!$E$45:$Y$45"),1,MATCH($D4854,INDIRECT("'"&amp;$C4854&amp;"'!$E$12:$Y$12"),0)),0),0)</f>
        <v>5731715.5482722791</v>
      </c>
      <c r="I4854" s="366" t="s">
        <v>1685</v>
      </c>
      <c r="J4854" s="348" t="str">
        <f t="shared" ca="1" si="150"/>
        <v>OK</v>
      </c>
      <c r="K4854" s="366" t="s">
        <v>1694</v>
      </c>
      <c r="L4854" s="366" t="s">
        <v>2242</v>
      </c>
      <c r="M4854" s="350" t="str">
        <f>IF($B4854="Portfolio","Portfolio",IFERROR(INDEX(DATA_ASSET_CLASSIFICATION!$B$8:$B$24,MATCH($C4854,DATA_ASSET_CLASSIFICATION!$A$8:$A$24,0)),"Review"))</f>
        <v>The Creek, Port Moody</v>
      </c>
      <c r="N4854" s="350" t="str">
        <f>IF($B4854="Portfolio","Portfolio",IFERROR(INDEX(DATA_ASSET_CLASSIFICATION!$U$8:$U$24,MATCH($C4854,DATA_ASSET_CLASSIFICATION!$A$8:$A$24,0)),"Review"))</f>
        <v>New Build</v>
      </c>
      <c r="O4854" s="350" t="str">
        <f>IF($B4854="Portfolio","Portfolio",IFERROR(INDEX(DATA_ASSET_CLASSIFICATION!$AB$8:$AB$13,MATCH($N4854,DATA_ASSET_CLASSIFICATION!$AA$8:$AA$13,0)),"Review"))</f>
        <v>Bucket 1 · New Build</v>
      </c>
      <c r="P4854" s="350" t="str">
        <f>IF($B4854="Portfolio","Portfolio",IFERROR(INDEX(DATA_ASSET_CLASSIFICATION!$C$8:$C$24,MATCH($C4854,DATA_ASSET_CLASSIFICATION!$A$8:$A$24,0)),"Review"))</f>
        <v>Yes</v>
      </c>
      <c r="Q4854" s="350" t="str">
        <f t="shared" ca="1" si="151"/>
        <v>OK</v>
      </c>
    </row>
    <row r="4855" spans="1:17" ht="30">
      <c r="A4855" s="366" t="s">
        <v>6811</v>
      </c>
      <c r="B4855" s="366" t="s">
        <v>231</v>
      </c>
      <c r="C4855" s="348" t="str">
        <f>DATA_PROPERTY_MASTER!$A$20</f>
        <v>BLD_PM</v>
      </c>
      <c r="D4855" s="380">
        <f>'00_PORTFOLIO ROLLUP'!R$12</f>
        <v>2038</v>
      </c>
      <c r="E4855" s="366" t="s">
        <v>23</v>
      </c>
      <c r="F4855" s="366" t="s">
        <v>23</v>
      </c>
      <c r="G4855" s="348" t="str">
        <f>"'"&amp;$C4855&amp;"'!$E$48:$Y$48"</f>
        <v>'BLD_PM'!$E$48:$Y$48</v>
      </c>
      <c r="H4855" s="381">
        <f ca="1">IF(IFERROR(INDEX(DATA_PROPERTY_MASTER!$E$5:$E$21,MATCH($C4855,DATA_PROPERTY_MASTER!$A$5:$A$21,0))="Yes",FALSE),IFERROR(INDEX(INDIRECT("'"&amp;$C4855&amp;"'!$E$48:$Y$48"),1,MATCH($D4855,INDIRECT("'"&amp;$C4855&amp;"'!$E$12:$Y$12"),0)),0),0)</f>
        <v>3116973.3868276179</v>
      </c>
      <c r="I4855" s="366" t="s">
        <v>1690</v>
      </c>
      <c r="J4855" s="348" t="str">
        <f t="shared" ca="1" si="150"/>
        <v>OK</v>
      </c>
      <c r="K4855" s="366" t="s">
        <v>1706</v>
      </c>
      <c r="L4855" s="366" t="s">
        <v>2244</v>
      </c>
      <c r="M4855" s="350" t="str">
        <f>IF($B4855="Portfolio","Portfolio",IFERROR(INDEX(DATA_ASSET_CLASSIFICATION!$B$8:$B$24,MATCH($C4855,DATA_ASSET_CLASSIFICATION!$A$8:$A$24,0)),"Review"))</f>
        <v>The Creek, Port Moody</v>
      </c>
      <c r="N4855" s="350" t="str">
        <f>IF($B4855="Portfolio","Portfolio",IFERROR(INDEX(DATA_ASSET_CLASSIFICATION!$U$8:$U$24,MATCH($C4855,DATA_ASSET_CLASSIFICATION!$A$8:$A$24,0)),"Review"))</f>
        <v>New Build</v>
      </c>
      <c r="O4855" s="350" t="str">
        <f>IF($B4855="Portfolio","Portfolio",IFERROR(INDEX(DATA_ASSET_CLASSIFICATION!$AB$8:$AB$13,MATCH($N4855,DATA_ASSET_CLASSIFICATION!$AA$8:$AA$13,0)),"Review"))</f>
        <v>Bucket 1 · New Build</v>
      </c>
      <c r="P4855" s="350" t="str">
        <f>IF($B4855="Portfolio","Portfolio",IFERROR(INDEX(DATA_ASSET_CLASSIFICATION!$C$8:$C$24,MATCH($C4855,DATA_ASSET_CLASSIFICATION!$A$8:$A$24,0)),"Review"))</f>
        <v>Yes</v>
      </c>
      <c r="Q4855" s="350" t="str">
        <f t="shared" ca="1" si="151"/>
        <v>OK</v>
      </c>
    </row>
    <row r="4856" spans="1:17" ht="30">
      <c r="A4856" s="366" t="s">
        <v>6812</v>
      </c>
      <c r="B4856" s="366" t="s">
        <v>231</v>
      </c>
      <c r="C4856" s="348" t="str">
        <f>DATA_PROPERTY_MASTER!$A$20</f>
        <v>BLD_PM</v>
      </c>
      <c r="D4856" s="380">
        <f>'00_PORTFOLIO ROLLUP'!R$12</f>
        <v>2038</v>
      </c>
      <c r="E4856" s="366" t="s">
        <v>1683</v>
      </c>
      <c r="F4856" s="366" t="s">
        <v>25</v>
      </c>
      <c r="G4856" s="348" t="str">
        <f>"'"&amp;$C4856&amp;"'!$E$52:$Y$52"</f>
        <v>'BLD_PM'!$E$52:$Y$52</v>
      </c>
      <c r="H4856" s="381">
        <f ca="1">IF(IFERROR(INDEX(DATA_PROPERTY_MASTER!$E$5:$E$21,MATCH($C4856,DATA_PROPERTY_MASTER!$A$5:$A$21,0))="Yes",FALSE),IFERROR(INDEX(INDIRECT("'"&amp;$C4856&amp;"'!$E$52:$Y$52"),1,MATCH($D4856,INDIRECT("'"&amp;$C4856&amp;"'!$E$12:$Y$12"),0)),0),0)</f>
        <v>2678387.6076629879</v>
      </c>
      <c r="I4856" s="366" t="s">
        <v>1685</v>
      </c>
      <c r="J4856" s="348" t="str">
        <f t="shared" ca="1" si="150"/>
        <v>OK</v>
      </c>
      <c r="K4856" s="366" t="s">
        <v>1710</v>
      </c>
      <c r="L4856" s="366" t="s">
        <v>2246</v>
      </c>
      <c r="M4856" s="350" t="str">
        <f>IF($B4856="Portfolio","Portfolio",IFERROR(INDEX(DATA_ASSET_CLASSIFICATION!$B$8:$B$24,MATCH($C4856,DATA_ASSET_CLASSIFICATION!$A$8:$A$24,0)),"Review"))</f>
        <v>The Creek, Port Moody</v>
      </c>
      <c r="N4856" s="350" t="str">
        <f>IF($B4856="Portfolio","Portfolio",IFERROR(INDEX(DATA_ASSET_CLASSIFICATION!$U$8:$U$24,MATCH($C4856,DATA_ASSET_CLASSIFICATION!$A$8:$A$24,0)),"Review"))</f>
        <v>New Build</v>
      </c>
      <c r="O4856" s="350" t="str">
        <f>IF($B4856="Portfolio","Portfolio",IFERROR(INDEX(DATA_ASSET_CLASSIFICATION!$AB$8:$AB$13,MATCH($N4856,DATA_ASSET_CLASSIFICATION!$AA$8:$AA$13,0)),"Review"))</f>
        <v>Bucket 1 · New Build</v>
      </c>
      <c r="P4856" s="350" t="str">
        <f>IF($B4856="Portfolio","Portfolio",IFERROR(INDEX(DATA_ASSET_CLASSIFICATION!$C$8:$C$24,MATCH($C4856,DATA_ASSET_CLASSIFICATION!$A$8:$A$24,0)),"Review"))</f>
        <v>Yes</v>
      </c>
      <c r="Q4856" s="350" t="str">
        <f t="shared" ca="1" si="151"/>
        <v>OK</v>
      </c>
    </row>
    <row r="4857" spans="1:17" ht="30">
      <c r="A4857" s="366" t="s">
        <v>6813</v>
      </c>
      <c r="B4857" s="366" t="s">
        <v>231</v>
      </c>
      <c r="C4857" s="348" t="str">
        <f>DATA_PROPERTY_MASTER!$A$20</f>
        <v>BLD_PM</v>
      </c>
      <c r="D4857" s="380">
        <f>'00_PORTFOLIO ROLLUP'!R$12</f>
        <v>2038</v>
      </c>
      <c r="E4857" s="366" t="s">
        <v>1683</v>
      </c>
      <c r="F4857" s="366" t="s">
        <v>27</v>
      </c>
      <c r="G4857" s="348" t="str">
        <f>"'"&amp;$C4857&amp;"'!$E$54:$Y$54"</f>
        <v>'BLD_PM'!$E$54:$Y$54</v>
      </c>
      <c r="H4857" s="381">
        <f ca="1">IF(IFERROR(INDEX(DATA_PROPERTY_MASTER!$E$5:$E$21,MATCH($C4857,DATA_PROPERTY_MASTER!$A$5:$A$21,0))="Yes",FALSE),IFERROR(INDEX(INDIRECT("'"&amp;$C4857&amp;"'!$E$54:$Y$54"),1,MATCH($D4857,INDIRECT("'"&amp;$C4857&amp;"'!$E$12:$Y$12"),0)),0),0)</f>
        <v>1607032.5645977927</v>
      </c>
      <c r="I4857" s="366" t="s">
        <v>1690</v>
      </c>
      <c r="J4857" s="348" t="str">
        <f t="shared" ca="1" si="150"/>
        <v>OK</v>
      </c>
      <c r="K4857" s="366" t="s">
        <v>1714</v>
      </c>
      <c r="L4857" s="366" t="s">
        <v>2248</v>
      </c>
      <c r="M4857" s="350" t="str">
        <f>IF($B4857="Portfolio","Portfolio",IFERROR(INDEX(DATA_ASSET_CLASSIFICATION!$B$8:$B$24,MATCH($C4857,DATA_ASSET_CLASSIFICATION!$A$8:$A$24,0)),"Review"))</f>
        <v>The Creek, Port Moody</v>
      </c>
      <c r="N4857" s="350" t="str">
        <f>IF($B4857="Portfolio","Portfolio",IFERROR(INDEX(DATA_ASSET_CLASSIFICATION!$U$8:$U$24,MATCH($C4857,DATA_ASSET_CLASSIFICATION!$A$8:$A$24,0)),"Review"))</f>
        <v>New Build</v>
      </c>
      <c r="O4857" s="350" t="str">
        <f>IF($B4857="Portfolio","Portfolio",IFERROR(INDEX(DATA_ASSET_CLASSIFICATION!$AB$8:$AB$13,MATCH($N4857,DATA_ASSET_CLASSIFICATION!$AA$8:$AA$13,0)),"Review"))</f>
        <v>Bucket 1 · New Build</v>
      </c>
      <c r="P4857" s="350" t="str">
        <f>IF($B4857="Portfolio","Portfolio",IFERROR(INDEX(DATA_ASSET_CLASSIFICATION!$C$8:$C$24,MATCH($C4857,DATA_ASSET_CLASSIFICATION!$A$8:$A$24,0)),"Review"))</f>
        <v>Yes</v>
      </c>
      <c r="Q4857" s="350" t="str">
        <f t="shared" ca="1" si="151"/>
        <v>OK</v>
      </c>
    </row>
    <row r="4858" spans="1:17" ht="30">
      <c r="A4858" s="366" t="s">
        <v>6814</v>
      </c>
      <c r="B4858" s="366" t="s">
        <v>231</v>
      </c>
      <c r="C4858" s="348" t="str">
        <f>DATA_PROPERTY_MASTER!$A$20</f>
        <v>BLD_PM</v>
      </c>
      <c r="D4858" s="380">
        <f>'00_PORTFOLIO ROLLUP'!R$12</f>
        <v>2038</v>
      </c>
      <c r="E4858" s="366" t="s">
        <v>1683</v>
      </c>
      <c r="F4858" s="366" t="s">
        <v>29</v>
      </c>
      <c r="G4858" s="348" t="str">
        <f>"'"&amp;$C4858&amp;"'!$E$56:$Y$56"</f>
        <v>'BLD_PM'!$E$56:$Y$56</v>
      </c>
      <c r="H4858" s="381">
        <f ca="1">IF(IFERROR(INDEX(DATA_PROPERTY_MASTER!$E$5:$E$21,MATCH($C4858,DATA_PROPERTY_MASTER!$A$5:$A$21,0))="Yes",FALSE),IFERROR(INDEX(INDIRECT("'"&amp;$C4858&amp;"'!$E$56:$Y$56"),1,MATCH($D4858,INDIRECT("'"&amp;$C4858&amp;"'!$E$12:$Y$12"),0)),0),0)</f>
        <v>1071355.0430651952</v>
      </c>
      <c r="I4858" s="366" t="s">
        <v>1685</v>
      </c>
      <c r="J4858" s="348" t="str">
        <f t="shared" ca="1" si="150"/>
        <v>OK</v>
      </c>
      <c r="K4858" s="366" t="s">
        <v>1718</v>
      </c>
      <c r="L4858" s="366" t="s">
        <v>2250</v>
      </c>
      <c r="M4858" s="350" t="str">
        <f>IF($B4858="Portfolio","Portfolio",IFERROR(INDEX(DATA_ASSET_CLASSIFICATION!$B$8:$B$24,MATCH($C4858,DATA_ASSET_CLASSIFICATION!$A$8:$A$24,0)),"Review"))</f>
        <v>The Creek, Port Moody</v>
      </c>
      <c r="N4858" s="350" t="str">
        <f>IF($B4858="Portfolio","Portfolio",IFERROR(INDEX(DATA_ASSET_CLASSIFICATION!$U$8:$U$24,MATCH($C4858,DATA_ASSET_CLASSIFICATION!$A$8:$A$24,0)),"Review"))</f>
        <v>New Build</v>
      </c>
      <c r="O4858" s="350" t="str">
        <f>IF($B4858="Portfolio","Portfolio",IFERROR(INDEX(DATA_ASSET_CLASSIFICATION!$AB$8:$AB$13,MATCH($N4858,DATA_ASSET_CLASSIFICATION!$AA$8:$AA$13,0)),"Review"))</f>
        <v>Bucket 1 · New Build</v>
      </c>
      <c r="P4858" s="350" t="str">
        <f>IF($B4858="Portfolio","Portfolio",IFERROR(INDEX(DATA_ASSET_CLASSIFICATION!$C$8:$C$24,MATCH($C4858,DATA_ASSET_CLASSIFICATION!$A$8:$A$24,0)),"Review"))</f>
        <v>Yes</v>
      </c>
      <c r="Q4858" s="350" t="str">
        <f t="shared" ca="1" si="151"/>
        <v>OK</v>
      </c>
    </row>
    <row r="4859" spans="1:17" ht="30">
      <c r="A4859" s="366" t="s">
        <v>6815</v>
      </c>
      <c r="B4859" s="366" t="s">
        <v>231</v>
      </c>
      <c r="C4859" s="348" t="str">
        <f>DATA_PROPERTY_MASTER!$A$20</f>
        <v>BLD_PM</v>
      </c>
      <c r="D4859" s="380">
        <f>'00_PORTFOLIO ROLLUP'!R$12</f>
        <v>2038</v>
      </c>
      <c r="E4859" s="366" t="s">
        <v>1721</v>
      </c>
      <c r="F4859" s="366" t="s">
        <v>31</v>
      </c>
      <c r="G4859" s="348" t="str">
        <f>"'"&amp;$C4859&amp;"'!$E$61:$Y$61"</f>
        <v>'BLD_PM'!$E$61:$Y$61</v>
      </c>
      <c r="H4859" s="381">
        <f ca="1">IF(IFERROR(INDEX(DATA_PROPERTY_MASTER!$E$5:$E$21,MATCH($C4859,DATA_PROPERTY_MASTER!$A$5:$A$21,0))="Yes",FALSE),IFERROR(INDEX(INDIRECT("'"&amp;$C4859&amp;"'!$E$61:$Y$61"),1,MATCH($D4859,INDIRECT("'"&amp;$C4859&amp;"'!$E$12:$Y$12"),0)),0),0)</f>
        <v>0</v>
      </c>
      <c r="I4859" s="366" t="s">
        <v>1690</v>
      </c>
      <c r="J4859" s="348" t="str">
        <f t="shared" ca="1" si="150"/>
        <v>OK</v>
      </c>
      <c r="K4859" s="366" t="s">
        <v>1723</v>
      </c>
      <c r="L4859" s="366" t="s">
        <v>2252</v>
      </c>
      <c r="M4859" s="350" t="str">
        <f>IF($B4859="Portfolio","Portfolio",IFERROR(INDEX(DATA_ASSET_CLASSIFICATION!$B$8:$B$24,MATCH($C4859,DATA_ASSET_CLASSIFICATION!$A$8:$A$24,0)),"Review"))</f>
        <v>The Creek, Port Moody</v>
      </c>
      <c r="N4859" s="350" t="str">
        <f>IF($B4859="Portfolio","Portfolio",IFERROR(INDEX(DATA_ASSET_CLASSIFICATION!$U$8:$U$24,MATCH($C4859,DATA_ASSET_CLASSIFICATION!$A$8:$A$24,0)),"Review"))</f>
        <v>New Build</v>
      </c>
      <c r="O4859" s="350" t="str">
        <f>IF($B4859="Portfolio","Portfolio",IFERROR(INDEX(DATA_ASSET_CLASSIFICATION!$AB$8:$AB$13,MATCH($N4859,DATA_ASSET_CLASSIFICATION!$AA$8:$AA$13,0)),"Review"))</f>
        <v>Bucket 1 · New Build</v>
      </c>
      <c r="P4859" s="350" t="str">
        <f>IF($B4859="Portfolio","Portfolio",IFERROR(INDEX(DATA_ASSET_CLASSIFICATION!$C$8:$C$24,MATCH($C4859,DATA_ASSET_CLASSIFICATION!$A$8:$A$24,0)),"Review"))</f>
        <v>Yes</v>
      </c>
      <c r="Q4859" s="350" t="str">
        <f t="shared" ca="1" si="151"/>
        <v>OK</v>
      </c>
    </row>
    <row r="4860" spans="1:17" ht="30">
      <c r="A4860" s="366" t="s">
        <v>6816</v>
      </c>
      <c r="B4860" s="366" t="s">
        <v>231</v>
      </c>
      <c r="C4860" s="348" t="str">
        <f>DATA_PROPERTY_MASTER!$A$20</f>
        <v>BLD_PM</v>
      </c>
      <c r="D4860" s="380">
        <f>'00_PORTFOLIO ROLLUP'!R$12</f>
        <v>2038</v>
      </c>
      <c r="E4860" s="366" t="s">
        <v>1721</v>
      </c>
      <c r="F4860" s="366" t="s">
        <v>33</v>
      </c>
      <c r="G4860" s="348" t="str">
        <f>"'"&amp;$C4860&amp;"'!$E$62:$Y$62"</f>
        <v>'BLD_PM'!$E$62:$Y$62</v>
      </c>
      <c r="H4860" s="381">
        <f ca="1">IF(IFERROR(INDEX(DATA_PROPERTY_MASTER!$E$5:$E$21,MATCH($C4860,DATA_PROPERTY_MASTER!$A$5:$A$21,0))="Yes",FALSE),IFERROR(INDEX(INDIRECT("'"&amp;$C4860&amp;"'!$E$62:$Y$62"),1,MATCH($D4860,INDIRECT("'"&amp;$C4860&amp;"'!$E$12:$Y$12"),0)),0),0)</f>
        <v>0</v>
      </c>
      <c r="I4860" s="366" t="s">
        <v>1685</v>
      </c>
      <c r="J4860" s="348" t="str">
        <f t="shared" ca="1" si="150"/>
        <v>OK</v>
      </c>
      <c r="K4860" s="366" t="s">
        <v>1727</v>
      </c>
      <c r="L4860" s="366" t="s">
        <v>2254</v>
      </c>
      <c r="M4860" s="350" t="str">
        <f>IF($B4860="Portfolio","Portfolio",IFERROR(INDEX(DATA_ASSET_CLASSIFICATION!$B$8:$B$24,MATCH($C4860,DATA_ASSET_CLASSIFICATION!$A$8:$A$24,0)),"Review"))</f>
        <v>The Creek, Port Moody</v>
      </c>
      <c r="N4860" s="350" t="str">
        <f>IF($B4860="Portfolio","Portfolio",IFERROR(INDEX(DATA_ASSET_CLASSIFICATION!$U$8:$U$24,MATCH($C4860,DATA_ASSET_CLASSIFICATION!$A$8:$A$24,0)),"Review"))</f>
        <v>New Build</v>
      </c>
      <c r="O4860" s="350" t="str">
        <f>IF($B4860="Portfolio","Portfolio",IFERROR(INDEX(DATA_ASSET_CLASSIFICATION!$AB$8:$AB$13,MATCH($N4860,DATA_ASSET_CLASSIFICATION!$AA$8:$AA$13,0)),"Review"))</f>
        <v>Bucket 1 · New Build</v>
      </c>
      <c r="P4860" s="350" t="str">
        <f>IF($B4860="Portfolio","Portfolio",IFERROR(INDEX(DATA_ASSET_CLASSIFICATION!$C$8:$C$24,MATCH($C4860,DATA_ASSET_CLASSIFICATION!$A$8:$A$24,0)),"Review"))</f>
        <v>Yes</v>
      </c>
      <c r="Q4860" s="350" t="str">
        <f t="shared" ca="1" si="151"/>
        <v>OK</v>
      </c>
    </row>
    <row r="4861" spans="1:17" ht="30">
      <c r="A4861" s="366" t="s">
        <v>6817</v>
      </c>
      <c r="B4861" s="366" t="s">
        <v>231</v>
      </c>
      <c r="C4861" s="348" t="str">
        <f>DATA_PROPERTY_MASTER!$A$20</f>
        <v>BLD_PM</v>
      </c>
      <c r="D4861" s="380">
        <f>'00_PORTFOLIO ROLLUP'!R$12</f>
        <v>2038</v>
      </c>
      <c r="E4861" s="366" t="s">
        <v>1721</v>
      </c>
      <c r="F4861" s="366" t="s">
        <v>35</v>
      </c>
      <c r="G4861" s="348" t="str">
        <f>"'"&amp;$C4861&amp;"'!$E$63:$Y$63"</f>
        <v>'BLD_PM'!$E$63:$Y$63</v>
      </c>
      <c r="H4861" s="381">
        <f ca="1">IF(IFERROR(INDEX(DATA_PROPERTY_MASTER!$E$5:$E$21,MATCH($C4861,DATA_PROPERTY_MASTER!$A$5:$A$21,0))="Yes",FALSE),IFERROR(INDEX(INDIRECT("'"&amp;$C4861&amp;"'!$E$63:$Y$63"),1,MATCH($D4861,INDIRECT("'"&amp;$C4861&amp;"'!$E$12:$Y$12"),0)),0),0)</f>
        <v>0</v>
      </c>
      <c r="I4861" s="366" t="s">
        <v>1731</v>
      </c>
      <c r="J4861" s="348" t="str">
        <f t="shared" ca="1" si="150"/>
        <v>OK</v>
      </c>
      <c r="K4861" s="366" t="s">
        <v>1732</v>
      </c>
      <c r="L4861" s="366" t="s">
        <v>2256</v>
      </c>
      <c r="M4861" s="350" t="str">
        <f>IF($B4861="Portfolio","Portfolio",IFERROR(INDEX(DATA_ASSET_CLASSIFICATION!$B$8:$B$24,MATCH($C4861,DATA_ASSET_CLASSIFICATION!$A$8:$A$24,0)),"Review"))</f>
        <v>The Creek, Port Moody</v>
      </c>
      <c r="N4861" s="350" t="str">
        <f>IF($B4861="Portfolio","Portfolio",IFERROR(INDEX(DATA_ASSET_CLASSIFICATION!$U$8:$U$24,MATCH($C4861,DATA_ASSET_CLASSIFICATION!$A$8:$A$24,0)),"Review"))</f>
        <v>New Build</v>
      </c>
      <c r="O4861" s="350" t="str">
        <f>IF($B4861="Portfolio","Portfolio",IFERROR(INDEX(DATA_ASSET_CLASSIFICATION!$AB$8:$AB$13,MATCH($N4861,DATA_ASSET_CLASSIFICATION!$AA$8:$AA$13,0)),"Review"))</f>
        <v>Bucket 1 · New Build</v>
      </c>
      <c r="P4861" s="350" t="str">
        <f>IF($B4861="Portfolio","Portfolio",IFERROR(INDEX(DATA_ASSET_CLASSIFICATION!$C$8:$C$24,MATCH($C4861,DATA_ASSET_CLASSIFICATION!$A$8:$A$24,0)),"Review"))</f>
        <v>Yes</v>
      </c>
      <c r="Q4861" s="350" t="str">
        <f t="shared" ca="1" si="151"/>
        <v>OK</v>
      </c>
    </row>
    <row r="4862" spans="1:17" ht="30">
      <c r="A4862" s="366" t="s">
        <v>6818</v>
      </c>
      <c r="B4862" s="366" t="s">
        <v>231</v>
      </c>
      <c r="C4862" s="348" t="str">
        <f>DATA_PROPERTY_MASTER!$A$20</f>
        <v>BLD_PM</v>
      </c>
      <c r="D4862" s="380">
        <f>'00_PORTFOLIO ROLLUP'!R$12</f>
        <v>2038</v>
      </c>
      <c r="E4862" s="366" t="s">
        <v>1721</v>
      </c>
      <c r="F4862" s="366" t="s">
        <v>37</v>
      </c>
      <c r="G4862" s="348" t="str">
        <f>"'"&amp;$C4862&amp;"'!$E$63:$Y$63"</f>
        <v>'BLD_PM'!$E$63:$Y$63</v>
      </c>
      <c r="H4862" s="381">
        <f ca="1">IF(IFERROR(INDEX(DATA_PROPERTY_MASTER!$E$5:$E$21,MATCH($C4862,DATA_PROPERTY_MASTER!$A$5:$A$21,0))="Yes",FALSE),MAX(IFERROR(INDEX(INDIRECT("'"&amp;$C4862&amp;"'!$E$63:$Y$63"),1,MATCH($D4862,INDIRECT("'"&amp;$C4862&amp;"'!$E$12:$Y$12"),0)),0),0),0)</f>
        <v>0</v>
      </c>
      <c r="I4862" s="366" t="s">
        <v>1685</v>
      </c>
      <c r="J4862" s="348" t="str">
        <f t="shared" ca="1" si="150"/>
        <v>OK</v>
      </c>
      <c r="K4862" s="366" t="s">
        <v>1735</v>
      </c>
      <c r="L4862" s="366" t="s">
        <v>2258</v>
      </c>
      <c r="M4862" s="350" t="str">
        <f>IF($B4862="Portfolio","Portfolio",IFERROR(INDEX(DATA_ASSET_CLASSIFICATION!$B$8:$B$24,MATCH($C4862,DATA_ASSET_CLASSIFICATION!$A$8:$A$24,0)),"Review"))</f>
        <v>The Creek, Port Moody</v>
      </c>
      <c r="N4862" s="350" t="str">
        <f>IF($B4862="Portfolio","Portfolio",IFERROR(INDEX(DATA_ASSET_CLASSIFICATION!$U$8:$U$24,MATCH($C4862,DATA_ASSET_CLASSIFICATION!$A$8:$A$24,0)),"Review"))</f>
        <v>New Build</v>
      </c>
      <c r="O4862" s="350" t="str">
        <f>IF($B4862="Portfolio","Portfolio",IFERROR(INDEX(DATA_ASSET_CLASSIFICATION!$AB$8:$AB$13,MATCH($N4862,DATA_ASSET_CLASSIFICATION!$AA$8:$AA$13,0)),"Review"))</f>
        <v>Bucket 1 · New Build</v>
      </c>
      <c r="P4862" s="350" t="str">
        <f>IF($B4862="Portfolio","Portfolio",IFERROR(INDEX(DATA_ASSET_CLASSIFICATION!$C$8:$C$24,MATCH($C4862,DATA_ASSET_CLASSIFICATION!$A$8:$A$24,0)),"Review"))</f>
        <v>Yes</v>
      </c>
      <c r="Q4862" s="350" t="str">
        <f t="shared" ca="1" si="151"/>
        <v>OK</v>
      </c>
    </row>
    <row r="4863" spans="1:17" ht="30">
      <c r="A4863" s="366" t="s">
        <v>6819</v>
      </c>
      <c r="B4863" s="366" t="s">
        <v>231</v>
      </c>
      <c r="C4863" s="348" t="str">
        <f>DATA_PROPERTY_MASTER!$A$20</f>
        <v>BLD_PM</v>
      </c>
      <c r="D4863" s="380">
        <f>'00_PORTFOLIO ROLLUP'!R$12</f>
        <v>2038</v>
      </c>
      <c r="E4863" s="366" t="s">
        <v>1721</v>
      </c>
      <c r="F4863" s="366" t="s">
        <v>39</v>
      </c>
      <c r="G4863" s="348" t="str">
        <f>"'"&amp;$C4863&amp;"'!$E$63:$Y$63"</f>
        <v>'BLD_PM'!$E$63:$Y$63</v>
      </c>
      <c r="H4863" s="381">
        <f ca="1">IF(IFERROR(INDEX(DATA_PROPERTY_MASTER!$E$5:$E$21,MATCH($C4863,DATA_PROPERTY_MASTER!$A$5:$A$21,0))="Yes",FALSE),MAX(-IFERROR(INDEX(INDIRECT("'"&amp;$C4863&amp;"'!$E$63:$Y$63"),1,MATCH($D4863,INDIRECT("'"&amp;$C4863&amp;"'!$E$12:$Y$12"),0)),0),0),0)</f>
        <v>0</v>
      </c>
      <c r="I4863" s="366" t="s">
        <v>1690</v>
      </c>
      <c r="J4863" s="348" t="str">
        <f t="shared" ca="1" si="150"/>
        <v>OK</v>
      </c>
      <c r="K4863" s="366" t="s">
        <v>1738</v>
      </c>
      <c r="L4863" s="366" t="s">
        <v>2260</v>
      </c>
      <c r="M4863" s="350" t="str">
        <f>IF($B4863="Portfolio","Portfolio",IFERROR(INDEX(DATA_ASSET_CLASSIFICATION!$B$8:$B$24,MATCH($C4863,DATA_ASSET_CLASSIFICATION!$A$8:$A$24,0)),"Review"))</f>
        <v>The Creek, Port Moody</v>
      </c>
      <c r="N4863" s="350" t="str">
        <f>IF($B4863="Portfolio","Portfolio",IFERROR(INDEX(DATA_ASSET_CLASSIFICATION!$U$8:$U$24,MATCH($C4863,DATA_ASSET_CLASSIFICATION!$A$8:$A$24,0)),"Review"))</f>
        <v>New Build</v>
      </c>
      <c r="O4863" s="350" t="str">
        <f>IF($B4863="Portfolio","Portfolio",IFERROR(INDEX(DATA_ASSET_CLASSIFICATION!$AB$8:$AB$13,MATCH($N4863,DATA_ASSET_CLASSIFICATION!$AA$8:$AA$13,0)),"Review"))</f>
        <v>Bucket 1 · New Build</v>
      </c>
      <c r="P4863" s="350" t="str">
        <f>IF($B4863="Portfolio","Portfolio",IFERROR(INDEX(DATA_ASSET_CLASSIFICATION!$C$8:$C$24,MATCH($C4863,DATA_ASSET_CLASSIFICATION!$A$8:$A$24,0)),"Review"))</f>
        <v>Yes</v>
      </c>
      <c r="Q4863" s="350" t="str">
        <f t="shared" ca="1" si="151"/>
        <v>OK</v>
      </c>
    </row>
    <row r="4864" spans="1:17" ht="30">
      <c r="A4864" s="366" t="s">
        <v>6820</v>
      </c>
      <c r="B4864" s="366" t="s">
        <v>231</v>
      </c>
      <c r="C4864" s="348" t="str">
        <f>DATA_PROPERTY_MASTER!$A$20</f>
        <v>BLD_PM</v>
      </c>
      <c r="D4864" s="380">
        <f>'00_PORTFOLIO ROLLUP'!R$12</f>
        <v>2038</v>
      </c>
      <c r="E4864" s="366" t="s">
        <v>1741</v>
      </c>
      <c r="F4864" s="366" t="s">
        <v>41</v>
      </c>
      <c r="G4864" s="348" t="str">
        <f>"'"&amp;$C4864&amp;"'!rows 56 + positive row 63"</f>
        <v>'BLD_PM'!rows 56 + positive row 63</v>
      </c>
      <c r="H4864" s="381">
        <f ca="1">IF(IFERROR(INDEX(DATA_PROPERTY_MASTER!$E$5:$E$21,MATCH($C4864,DATA_PROPERTY_MASTER!$A$5:$A$21,0))="Yes",FALSE),IFERROR(INDEX(INDIRECT("'"&amp;$C4864&amp;"'!$E$56:$Y$56"),1,MATCH($D4864,INDIRECT("'"&amp;$C4864&amp;"'!$E$12:$Y$12"),0)),0)+MAX(IFERROR(INDEX(INDIRECT("'"&amp;$C4864&amp;"'!$E$63:$Y$63"),1,MATCH($D4864,INDIRECT("'"&amp;$C4864&amp;"'!$E$12:$Y$12"),0)),0),0),0)</f>
        <v>1071355.0430651952</v>
      </c>
      <c r="I4864" s="366" t="s">
        <v>1685</v>
      </c>
      <c r="J4864" s="348" t="str">
        <f t="shared" ca="1" si="150"/>
        <v>OK</v>
      </c>
      <c r="K4864" s="366" t="s">
        <v>1742</v>
      </c>
      <c r="L4864" s="366" t="s">
        <v>2262</v>
      </c>
      <c r="M4864" s="350" t="str">
        <f>IF($B4864="Portfolio","Portfolio",IFERROR(INDEX(DATA_ASSET_CLASSIFICATION!$B$8:$B$24,MATCH($C4864,DATA_ASSET_CLASSIFICATION!$A$8:$A$24,0)),"Review"))</f>
        <v>The Creek, Port Moody</v>
      </c>
      <c r="N4864" s="350" t="str">
        <f>IF($B4864="Portfolio","Portfolio",IFERROR(INDEX(DATA_ASSET_CLASSIFICATION!$U$8:$U$24,MATCH($C4864,DATA_ASSET_CLASSIFICATION!$A$8:$A$24,0)),"Review"))</f>
        <v>New Build</v>
      </c>
      <c r="O4864" s="350" t="str">
        <f>IF($B4864="Portfolio","Portfolio",IFERROR(INDEX(DATA_ASSET_CLASSIFICATION!$AB$8:$AB$13,MATCH($N4864,DATA_ASSET_CLASSIFICATION!$AA$8:$AA$13,0)),"Review"))</f>
        <v>Bucket 1 · New Build</v>
      </c>
      <c r="P4864" s="350" t="str">
        <f>IF($B4864="Portfolio","Portfolio",IFERROR(INDEX(DATA_ASSET_CLASSIFICATION!$C$8:$C$24,MATCH($C4864,DATA_ASSET_CLASSIFICATION!$A$8:$A$24,0)),"Review"))</f>
        <v>Yes</v>
      </c>
      <c r="Q4864" s="350" t="str">
        <f t="shared" ca="1" si="151"/>
        <v>OK</v>
      </c>
    </row>
    <row r="4865" spans="1:17" ht="30">
      <c r="A4865" s="366" t="s">
        <v>6821</v>
      </c>
      <c r="B4865" s="366" t="s">
        <v>231</v>
      </c>
      <c r="C4865" s="348" t="str">
        <f>DATA_PROPERTY_MASTER!$A$20</f>
        <v>BLD_PM</v>
      </c>
      <c r="D4865" s="380">
        <f>'00_PORTFOLIO ROLLUP'!R$12</f>
        <v>2038</v>
      </c>
      <c r="E4865" s="366" t="s">
        <v>1741</v>
      </c>
      <c r="F4865" s="366" t="s">
        <v>43</v>
      </c>
      <c r="G4865" s="348" t="str">
        <f>"'"&amp;$C4865&amp;"'!$E$68:$Y$68"</f>
        <v>'BLD_PM'!$E$68:$Y$68</v>
      </c>
      <c r="H4865" s="381">
        <f ca="1">IF(IFERROR(INDEX(DATA_PROPERTY_MASTER!$E$5:$E$21,MATCH($C4865,DATA_PROPERTY_MASTER!$A$5:$A$21,0))="Yes",FALSE),IFERROR(INDEX(INDIRECT("'"&amp;$C4865&amp;"'!$E$68:$Y$68"),1,MATCH($D4865,INDIRECT("'"&amp;$C4865&amp;"'!$E$12:$Y$12"),0)),0),0)</f>
        <v>1071355.0430651952</v>
      </c>
      <c r="I4865" s="366" t="s">
        <v>1731</v>
      </c>
      <c r="J4865" s="348" t="str">
        <f t="shared" ca="1" si="150"/>
        <v>OK</v>
      </c>
      <c r="K4865" s="366" t="s">
        <v>1746</v>
      </c>
      <c r="L4865" s="366" t="s">
        <v>2264</v>
      </c>
      <c r="M4865" s="350" t="str">
        <f>IF($B4865="Portfolio","Portfolio",IFERROR(INDEX(DATA_ASSET_CLASSIFICATION!$B$8:$B$24,MATCH($C4865,DATA_ASSET_CLASSIFICATION!$A$8:$A$24,0)),"Review"))</f>
        <v>The Creek, Port Moody</v>
      </c>
      <c r="N4865" s="350" t="str">
        <f>IF($B4865="Portfolio","Portfolio",IFERROR(INDEX(DATA_ASSET_CLASSIFICATION!$U$8:$U$24,MATCH($C4865,DATA_ASSET_CLASSIFICATION!$A$8:$A$24,0)),"Review"))</f>
        <v>New Build</v>
      </c>
      <c r="O4865" s="350" t="str">
        <f>IF($B4865="Portfolio","Portfolio",IFERROR(INDEX(DATA_ASSET_CLASSIFICATION!$AB$8:$AB$13,MATCH($N4865,DATA_ASSET_CLASSIFICATION!$AA$8:$AA$13,0)),"Review"))</f>
        <v>Bucket 1 · New Build</v>
      </c>
      <c r="P4865" s="350" t="str">
        <f>IF($B4865="Portfolio","Portfolio",IFERROR(INDEX(DATA_ASSET_CLASSIFICATION!$C$8:$C$24,MATCH($C4865,DATA_ASSET_CLASSIFICATION!$A$8:$A$24,0)),"Review"))</f>
        <v>Yes</v>
      </c>
      <c r="Q4865" s="350" t="str">
        <f t="shared" ca="1" si="151"/>
        <v>OK</v>
      </c>
    </row>
    <row r="4866" spans="1:17" ht="30">
      <c r="A4866" s="366" t="s">
        <v>6822</v>
      </c>
      <c r="B4866" s="366" t="s">
        <v>231</v>
      </c>
      <c r="C4866" s="348" t="str">
        <f>DATA_PROPERTY_MASTER!$A$20</f>
        <v>BLD_PM</v>
      </c>
      <c r="D4866" s="380">
        <f>'00_PORTFOLIO ROLLUP'!R$12</f>
        <v>2038</v>
      </c>
      <c r="E4866" s="366" t="s">
        <v>1741</v>
      </c>
      <c r="F4866" s="366" t="s">
        <v>1749</v>
      </c>
      <c r="G4866" s="348" t="str">
        <f>"'"&amp;$C4866&amp;"'!rows 56, 63, 68"</f>
        <v>'BLD_PM'!rows 56, 63, 68</v>
      </c>
      <c r="H4866" s="381">
        <f ca="1">IF(IFERROR(INDEX(DATA_PROPERTY_MASTER!$E$5:$E$21,MATCH($C4866,DATA_PROPERTY_MASTER!$A$5:$A$21,0))="Yes",FALSE),(IFERROR(INDEX(INDIRECT("'"&amp;$C4866&amp;"'!$E$56:$Y$56"),1,MATCH($D4866,INDIRECT("'"&amp;$C4866&amp;"'!$E$12:$Y$12"),0)),0)+MAX(IFERROR(INDEX(INDIRECT("'"&amp;$C4866&amp;"'!$E$63:$Y$63"),1,MATCH($D4866,INDIRECT("'"&amp;$C4866&amp;"'!$E$12:$Y$12"),0)),0),0))-(IFERROR(INDEX(INDIRECT("'"&amp;$C4866&amp;"'!$E$68:$Y$68"),1,MATCH($D4866,INDIRECT("'"&amp;$C4866&amp;"'!$E$12:$Y$12"),0)),0)),0)</f>
        <v>0</v>
      </c>
      <c r="I4866" s="366" t="s">
        <v>1750</v>
      </c>
      <c r="J4866" s="348" t="str">
        <f t="shared" ca="1" si="150"/>
        <v>OK</v>
      </c>
      <c r="K4866" s="366" t="s">
        <v>1751</v>
      </c>
      <c r="L4866" s="366" t="s">
        <v>2266</v>
      </c>
      <c r="M4866" s="350" t="str">
        <f>IF($B4866="Portfolio","Portfolio",IFERROR(INDEX(DATA_ASSET_CLASSIFICATION!$B$8:$B$24,MATCH($C4866,DATA_ASSET_CLASSIFICATION!$A$8:$A$24,0)),"Review"))</f>
        <v>The Creek, Port Moody</v>
      </c>
      <c r="N4866" s="350" t="str">
        <f>IF($B4866="Portfolio","Portfolio",IFERROR(INDEX(DATA_ASSET_CLASSIFICATION!$U$8:$U$24,MATCH($C4866,DATA_ASSET_CLASSIFICATION!$A$8:$A$24,0)),"Review"))</f>
        <v>New Build</v>
      </c>
      <c r="O4866" s="350" t="str">
        <f>IF($B4866="Portfolio","Portfolio",IFERROR(INDEX(DATA_ASSET_CLASSIFICATION!$AB$8:$AB$13,MATCH($N4866,DATA_ASSET_CLASSIFICATION!$AA$8:$AA$13,0)),"Review"))</f>
        <v>Bucket 1 · New Build</v>
      </c>
      <c r="P4866" s="350" t="str">
        <f>IF($B4866="Portfolio","Portfolio",IFERROR(INDEX(DATA_ASSET_CLASSIFICATION!$C$8:$C$24,MATCH($C4866,DATA_ASSET_CLASSIFICATION!$A$8:$A$24,0)),"Review"))</f>
        <v>Yes</v>
      </c>
      <c r="Q4866" s="350" t="str">
        <f t="shared" ca="1" si="151"/>
        <v>OK</v>
      </c>
    </row>
    <row r="4867" spans="1:17" ht="30">
      <c r="A4867" s="366" t="s">
        <v>6823</v>
      </c>
      <c r="B4867" s="366" t="s">
        <v>231</v>
      </c>
      <c r="C4867" s="348" t="str">
        <f>DATA_PROPERTY_MASTER!$A$20</f>
        <v>BLD_PM</v>
      </c>
      <c r="D4867" s="380">
        <f>'00_PORTFOLIO ROLLUP'!S$12</f>
        <v>2039</v>
      </c>
      <c r="E4867" s="366" t="s">
        <v>1683</v>
      </c>
      <c r="F4867" s="366" t="s">
        <v>341</v>
      </c>
      <c r="G4867" s="348" t="str">
        <f>"'"&amp;$C4867&amp;"'!$E$24:$Y$24"</f>
        <v>'BLD_PM'!$E$24:$Y$24</v>
      </c>
      <c r="H4867" s="381">
        <f ca="1">IF(IFERROR(INDEX(DATA_PROPERTY_MASTER!$E$5:$E$21,MATCH($C4867,DATA_PROPERTY_MASTER!$A$5:$A$21,0))="Yes",FALSE),IFERROR(INDEX(INDIRECT("'"&amp;$C4867&amp;"'!$E$24:$Y$24"),1,MATCH($D4867,INDIRECT("'"&amp;$C4867&amp;"'!$E$12:$Y$12"),0)),0),0)</f>
        <v>6193947.684013091</v>
      </c>
      <c r="I4867" s="366" t="s">
        <v>1685</v>
      </c>
      <c r="J4867" s="348" t="str">
        <f t="shared" ca="1" si="150"/>
        <v>OK</v>
      </c>
      <c r="K4867" s="366" t="s">
        <v>1686</v>
      </c>
      <c r="L4867" s="366" t="s">
        <v>2234</v>
      </c>
      <c r="M4867" s="350" t="str">
        <f>IF($B4867="Portfolio","Portfolio",IFERROR(INDEX(DATA_ASSET_CLASSIFICATION!$B$8:$B$24,MATCH($C4867,DATA_ASSET_CLASSIFICATION!$A$8:$A$24,0)),"Review"))</f>
        <v>The Creek, Port Moody</v>
      </c>
      <c r="N4867" s="350" t="str">
        <f>IF($B4867="Portfolio","Portfolio",IFERROR(INDEX(DATA_ASSET_CLASSIFICATION!$U$8:$U$24,MATCH($C4867,DATA_ASSET_CLASSIFICATION!$A$8:$A$24,0)),"Review"))</f>
        <v>New Build</v>
      </c>
      <c r="O4867" s="350" t="str">
        <f>IF($B4867="Portfolio","Portfolio",IFERROR(INDEX(DATA_ASSET_CLASSIFICATION!$AB$8:$AB$13,MATCH($N4867,DATA_ASSET_CLASSIFICATION!$AA$8:$AA$13,0)),"Review"))</f>
        <v>Bucket 1 · New Build</v>
      </c>
      <c r="P4867" s="350" t="str">
        <f>IF($B4867="Portfolio","Portfolio",IFERROR(INDEX(DATA_ASSET_CLASSIFICATION!$C$8:$C$24,MATCH($C4867,DATA_ASSET_CLASSIFICATION!$A$8:$A$24,0)),"Review"))</f>
        <v>Yes</v>
      </c>
      <c r="Q4867" s="350" t="str">
        <f t="shared" ca="1" si="151"/>
        <v>OK</v>
      </c>
    </row>
    <row r="4868" spans="1:17" ht="30">
      <c r="A4868" s="366" t="s">
        <v>6824</v>
      </c>
      <c r="B4868" s="366" t="s">
        <v>231</v>
      </c>
      <c r="C4868" s="348" t="str">
        <f>DATA_PROPERTY_MASTER!$A$20</f>
        <v>BLD_PM</v>
      </c>
      <c r="D4868" s="380">
        <f>'00_PORTFOLIO ROLLUP'!S$12</f>
        <v>2039</v>
      </c>
      <c r="E4868" s="366" t="s">
        <v>1683</v>
      </c>
      <c r="F4868" s="366" t="s">
        <v>355</v>
      </c>
      <c r="G4868" s="348" t="str">
        <f>"'"&amp;$C4868&amp;"'!$E$39:$Y$39"</f>
        <v>'BLD_PM'!$E$39:$Y$39</v>
      </c>
      <c r="H4868" s="381">
        <f ca="1">IF(IFERROR(INDEX(DATA_PROPERTY_MASTER!$E$5:$E$21,MATCH($C4868,DATA_PROPERTY_MASTER!$A$5:$A$21,0))="Yes",FALSE),IFERROR(INDEX(INDIRECT("'"&amp;$C4868&amp;"'!$E$39:$Y$39"),1,MATCH($D4868,INDIRECT("'"&amp;$C4868&amp;"'!$E$12:$Y$12"),0)),0),0)</f>
        <v>284065.15330734308</v>
      </c>
      <c r="I4868" s="366" t="s">
        <v>1690</v>
      </c>
      <c r="J4868" s="348" t="str">
        <f t="shared" ca="1" si="150"/>
        <v>OK</v>
      </c>
      <c r="K4868" s="366" t="s">
        <v>1686</v>
      </c>
      <c r="L4868" s="366" t="s">
        <v>2236</v>
      </c>
      <c r="M4868" s="350" t="str">
        <f>IF($B4868="Portfolio","Portfolio",IFERROR(INDEX(DATA_ASSET_CLASSIFICATION!$B$8:$B$24,MATCH($C4868,DATA_ASSET_CLASSIFICATION!$A$8:$A$24,0)),"Review"))</f>
        <v>The Creek, Port Moody</v>
      </c>
      <c r="N4868" s="350" t="str">
        <f>IF($B4868="Portfolio","Portfolio",IFERROR(INDEX(DATA_ASSET_CLASSIFICATION!$U$8:$U$24,MATCH($C4868,DATA_ASSET_CLASSIFICATION!$A$8:$A$24,0)),"Review"))</f>
        <v>New Build</v>
      </c>
      <c r="O4868" s="350" t="str">
        <f>IF($B4868="Portfolio","Portfolio",IFERROR(INDEX(DATA_ASSET_CLASSIFICATION!$AB$8:$AB$13,MATCH($N4868,DATA_ASSET_CLASSIFICATION!$AA$8:$AA$13,0)),"Review"))</f>
        <v>Bucket 1 · New Build</v>
      </c>
      <c r="P4868" s="350" t="str">
        <f>IF($B4868="Portfolio","Portfolio",IFERROR(INDEX(DATA_ASSET_CLASSIFICATION!$C$8:$C$24,MATCH($C4868,DATA_ASSET_CLASSIFICATION!$A$8:$A$24,0)),"Review"))</f>
        <v>Yes</v>
      </c>
      <c r="Q4868" s="350" t="str">
        <f t="shared" ca="1" si="151"/>
        <v>OK</v>
      </c>
    </row>
    <row r="4869" spans="1:17" ht="30">
      <c r="A4869" s="366" t="s">
        <v>6825</v>
      </c>
      <c r="B4869" s="366" t="s">
        <v>231</v>
      </c>
      <c r="C4869" s="348" t="str">
        <f>DATA_PROPERTY_MASTER!$A$20</f>
        <v>BLD_PM</v>
      </c>
      <c r="D4869" s="380">
        <f>'00_PORTFOLIO ROLLUP'!S$12</f>
        <v>2039</v>
      </c>
      <c r="E4869" s="366" t="s">
        <v>1683</v>
      </c>
      <c r="F4869" s="366" t="s">
        <v>19</v>
      </c>
      <c r="G4869" s="348" t="str">
        <f>"'"&amp;$C4869&amp;"'!$E$41:$Y$41"</f>
        <v>'BLD_PM'!$E$41:$Y$41</v>
      </c>
      <c r="H4869" s="381">
        <f ca="1">IF(IFERROR(INDEX(DATA_PROPERTY_MASTER!$E$5:$E$21,MATCH($C4869,DATA_PROPERTY_MASTER!$A$5:$A$21,0))="Yes",FALSE),IFERROR(INDEX(INDIRECT("'"&amp;$C4869&amp;"'!$E$41:$Y$41"),1,MATCH($D4869,INDIRECT("'"&amp;$C4869&amp;"'!$E$12:$Y$12"),0)),0),0)</f>
        <v>5909882.5307057481</v>
      </c>
      <c r="I4869" s="366" t="s">
        <v>1685</v>
      </c>
      <c r="J4869" s="348" t="str">
        <f t="shared" ref="J4869:J4932" ca="1" si="152">IF($F4869="Residual Funding Gap",IF($H4869&gt;0,"Funding Gap","OK"),IF(AND($F4869="Net Refinance Position",$H4869&lt;0),"Negative net refi position","OK"))</f>
        <v>OK</v>
      </c>
      <c r="K4869" s="366" t="s">
        <v>1694</v>
      </c>
      <c r="L4869" s="366" t="s">
        <v>2238</v>
      </c>
      <c r="M4869" s="350" t="str">
        <f>IF($B4869="Portfolio","Portfolio",IFERROR(INDEX(DATA_ASSET_CLASSIFICATION!$B$8:$B$24,MATCH($C4869,DATA_ASSET_CLASSIFICATION!$A$8:$A$24,0)),"Review"))</f>
        <v>The Creek, Port Moody</v>
      </c>
      <c r="N4869" s="350" t="str">
        <f>IF($B4869="Portfolio","Portfolio",IFERROR(INDEX(DATA_ASSET_CLASSIFICATION!$U$8:$U$24,MATCH($C4869,DATA_ASSET_CLASSIFICATION!$A$8:$A$24,0)),"Review"))</f>
        <v>New Build</v>
      </c>
      <c r="O4869" s="350" t="str">
        <f>IF($B4869="Portfolio","Portfolio",IFERROR(INDEX(DATA_ASSET_CLASSIFICATION!$AB$8:$AB$13,MATCH($N4869,DATA_ASSET_CLASSIFICATION!$AA$8:$AA$13,0)),"Review"))</f>
        <v>Bucket 1 · New Build</v>
      </c>
      <c r="P4869" s="350" t="str">
        <f>IF($B4869="Portfolio","Portfolio",IFERROR(INDEX(DATA_ASSET_CLASSIFICATION!$C$8:$C$24,MATCH($C4869,DATA_ASSET_CLASSIFICATION!$A$8:$A$24,0)),"Review"))</f>
        <v>Yes</v>
      </c>
      <c r="Q4869" s="350" t="str">
        <f t="shared" ref="Q4869:Q4932" ca="1" si="153">IF(AND($B4869="Property",$F4869="Residual Funding Gap",$H4869&gt;0),"Property Funding Gap",IF($J4869&lt;&gt;"OK",$J4869,"OK"))</f>
        <v>OK</v>
      </c>
    </row>
    <row r="4870" spans="1:17" ht="30">
      <c r="A4870" s="366" t="s">
        <v>6826</v>
      </c>
      <c r="B4870" s="366" t="s">
        <v>231</v>
      </c>
      <c r="C4870" s="348" t="str">
        <f>DATA_PROPERTY_MASTER!$A$20</f>
        <v>BLD_PM</v>
      </c>
      <c r="D4870" s="380">
        <f>'00_PORTFOLIO ROLLUP'!S$12</f>
        <v>2039</v>
      </c>
      <c r="E4870" s="366" t="s">
        <v>1683</v>
      </c>
      <c r="F4870" s="366" t="s">
        <v>1697</v>
      </c>
      <c r="G4870" s="348" t="str">
        <f>"'"&amp;$C4870&amp;"'!$E$44:$Y$44"</f>
        <v>'BLD_PM'!$E$44:$Y$44</v>
      </c>
      <c r="H4870" s="381">
        <f ca="1">IF(IFERROR(INDEX(DATA_PROPERTY_MASTER!$E$5:$E$21,MATCH($C4870,DATA_PROPERTY_MASTER!$A$5:$A$21,0))="Yes",FALSE),IFERROR(INDEX(INDIRECT("'"&amp;$C4870&amp;"'!$E$44:$Y$44"),1,MATCH($D4870,INDIRECT("'"&amp;$C4870&amp;"'!$E$12:$Y$12"),0)),0),0)</f>
        <v>64918.355142693312</v>
      </c>
      <c r="I4870" s="366" t="s">
        <v>1690</v>
      </c>
      <c r="J4870" s="348" t="str">
        <f t="shared" ca="1" si="152"/>
        <v>OK</v>
      </c>
      <c r="K4870" s="366" t="s">
        <v>1699</v>
      </c>
      <c r="L4870" s="366" t="s">
        <v>2240</v>
      </c>
      <c r="M4870" s="350" t="str">
        <f>IF($B4870="Portfolio","Portfolio",IFERROR(INDEX(DATA_ASSET_CLASSIFICATION!$B$8:$B$24,MATCH($C4870,DATA_ASSET_CLASSIFICATION!$A$8:$A$24,0)),"Review"))</f>
        <v>The Creek, Port Moody</v>
      </c>
      <c r="N4870" s="350" t="str">
        <f>IF($B4870="Portfolio","Portfolio",IFERROR(INDEX(DATA_ASSET_CLASSIFICATION!$U$8:$U$24,MATCH($C4870,DATA_ASSET_CLASSIFICATION!$A$8:$A$24,0)),"Review"))</f>
        <v>New Build</v>
      </c>
      <c r="O4870" s="350" t="str">
        <f>IF($B4870="Portfolio","Portfolio",IFERROR(INDEX(DATA_ASSET_CLASSIFICATION!$AB$8:$AB$13,MATCH($N4870,DATA_ASSET_CLASSIFICATION!$AA$8:$AA$13,0)),"Review"))</f>
        <v>Bucket 1 · New Build</v>
      </c>
      <c r="P4870" s="350" t="str">
        <f>IF($B4870="Portfolio","Portfolio",IFERROR(INDEX(DATA_ASSET_CLASSIFICATION!$C$8:$C$24,MATCH($C4870,DATA_ASSET_CLASSIFICATION!$A$8:$A$24,0)),"Review"))</f>
        <v>Yes</v>
      </c>
      <c r="Q4870" s="350" t="str">
        <f t="shared" ca="1" si="153"/>
        <v>OK</v>
      </c>
    </row>
    <row r="4871" spans="1:17" ht="30">
      <c r="A4871" s="366" t="s">
        <v>6827</v>
      </c>
      <c r="B4871" s="366" t="s">
        <v>231</v>
      </c>
      <c r="C4871" s="348" t="str">
        <f>DATA_PROPERTY_MASTER!$A$20</f>
        <v>BLD_PM</v>
      </c>
      <c r="D4871" s="380">
        <f>'00_PORTFOLIO ROLLUP'!S$12</f>
        <v>2039</v>
      </c>
      <c r="E4871" s="366" t="s">
        <v>1683</v>
      </c>
      <c r="F4871" s="366" t="s">
        <v>21</v>
      </c>
      <c r="G4871" s="348" t="str">
        <f>"'"&amp;$C4871&amp;"'!$E$45:$Y$45"</f>
        <v>'BLD_PM'!$E$45:$Y$45</v>
      </c>
      <c r="H4871" s="381">
        <f ca="1">IF(IFERROR(INDEX(DATA_PROPERTY_MASTER!$E$5:$E$21,MATCH($C4871,DATA_PROPERTY_MASTER!$A$5:$A$21,0))="Yes",FALSE),IFERROR(INDEX(INDIRECT("'"&amp;$C4871&amp;"'!$E$45:$Y$45"),1,MATCH($D4871,INDIRECT("'"&amp;$C4871&amp;"'!$E$12:$Y$12"),0)),0),0)</f>
        <v>5844964.1755630551</v>
      </c>
      <c r="I4871" s="366" t="s">
        <v>1685</v>
      </c>
      <c r="J4871" s="348" t="str">
        <f t="shared" ca="1" si="152"/>
        <v>OK</v>
      </c>
      <c r="K4871" s="366" t="s">
        <v>1694</v>
      </c>
      <c r="L4871" s="366" t="s">
        <v>2242</v>
      </c>
      <c r="M4871" s="350" t="str">
        <f>IF($B4871="Portfolio","Portfolio",IFERROR(INDEX(DATA_ASSET_CLASSIFICATION!$B$8:$B$24,MATCH($C4871,DATA_ASSET_CLASSIFICATION!$A$8:$A$24,0)),"Review"))</f>
        <v>The Creek, Port Moody</v>
      </c>
      <c r="N4871" s="350" t="str">
        <f>IF($B4871="Portfolio","Portfolio",IFERROR(INDEX(DATA_ASSET_CLASSIFICATION!$U$8:$U$24,MATCH($C4871,DATA_ASSET_CLASSIFICATION!$A$8:$A$24,0)),"Review"))</f>
        <v>New Build</v>
      </c>
      <c r="O4871" s="350" t="str">
        <f>IF($B4871="Portfolio","Portfolio",IFERROR(INDEX(DATA_ASSET_CLASSIFICATION!$AB$8:$AB$13,MATCH($N4871,DATA_ASSET_CLASSIFICATION!$AA$8:$AA$13,0)),"Review"))</f>
        <v>Bucket 1 · New Build</v>
      </c>
      <c r="P4871" s="350" t="str">
        <f>IF($B4871="Portfolio","Portfolio",IFERROR(INDEX(DATA_ASSET_CLASSIFICATION!$C$8:$C$24,MATCH($C4871,DATA_ASSET_CLASSIFICATION!$A$8:$A$24,0)),"Review"))</f>
        <v>Yes</v>
      </c>
      <c r="Q4871" s="350" t="str">
        <f t="shared" ca="1" si="153"/>
        <v>OK</v>
      </c>
    </row>
    <row r="4872" spans="1:17" ht="30">
      <c r="A4872" s="366" t="s">
        <v>6828</v>
      </c>
      <c r="B4872" s="366" t="s">
        <v>231</v>
      </c>
      <c r="C4872" s="348" t="str">
        <f>DATA_PROPERTY_MASTER!$A$20</f>
        <v>BLD_PM</v>
      </c>
      <c r="D4872" s="380">
        <f>'00_PORTFOLIO ROLLUP'!S$12</f>
        <v>2039</v>
      </c>
      <c r="E4872" s="366" t="s">
        <v>23</v>
      </c>
      <c r="F4872" s="366" t="s">
        <v>23</v>
      </c>
      <c r="G4872" s="348" t="str">
        <f>"'"&amp;$C4872&amp;"'!$E$48:$Y$48"</f>
        <v>'BLD_PM'!$E$48:$Y$48</v>
      </c>
      <c r="H4872" s="381">
        <f ca="1">IF(IFERROR(INDEX(DATA_PROPERTY_MASTER!$E$5:$E$21,MATCH($C4872,DATA_PROPERTY_MASTER!$A$5:$A$21,0))="Yes",FALSE),IFERROR(INDEX(INDIRECT("'"&amp;$C4872&amp;"'!$E$48:$Y$48"),1,MATCH($D4872,INDIRECT("'"&amp;$C4872&amp;"'!$E$12:$Y$12"),0)),0),0)</f>
        <v>3116973.3868276179</v>
      </c>
      <c r="I4872" s="366" t="s">
        <v>1690</v>
      </c>
      <c r="J4872" s="348" t="str">
        <f t="shared" ca="1" si="152"/>
        <v>OK</v>
      </c>
      <c r="K4872" s="366" t="s">
        <v>1706</v>
      </c>
      <c r="L4872" s="366" t="s">
        <v>2244</v>
      </c>
      <c r="M4872" s="350" t="str">
        <f>IF($B4872="Portfolio","Portfolio",IFERROR(INDEX(DATA_ASSET_CLASSIFICATION!$B$8:$B$24,MATCH($C4872,DATA_ASSET_CLASSIFICATION!$A$8:$A$24,0)),"Review"))</f>
        <v>The Creek, Port Moody</v>
      </c>
      <c r="N4872" s="350" t="str">
        <f>IF($B4872="Portfolio","Portfolio",IFERROR(INDEX(DATA_ASSET_CLASSIFICATION!$U$8:$U$24,MATCH($C4872,DATA_ASSET_CLASSIFICATION!$A$8:$A$24,0)),"Review"))</f>
        <v>New Build</v>
      </c>
      <c r="O4872" s="350" t="str">
        <f>IF($B4872="Portfolio","Portfolio",IFERROR(INDEX(DATA_ASSET_CLASSIFICATION!$AB$8:$AB$13,MATCH($N4872,DATA_ASSET_CLASSIFICATION!$AA$8:$AA$13,0)),"Review"))</f>
        <v>Bucket 1 · New Build</v>
      </c>
      <c r="P4872" s="350" t="str">
        <f>IF($B4872="Portfolio","Portfolio",IFERROR(INDEX(DATA_ASSET_CLASSIFICATION!$C$8:$C$24,MATCH($C4872,DATA_ASSET_CLASSIFICATION!$A$8:$A$24,0)),"Review"))</f>
        <v>Yes</v>
      </c>
      <c r="Q4872" s="350" t="str">
        <f t="shared" ca="1" si="153"/>
        <v>OK</v>
      </c>
    </row>
    <row r="4873" spans="1:17" ht="30">
      <c r="A4873" s="366" t="s">
        <v>6829</v>
      </c>
      <c r="B4873" s="366" t="s">
        <v>231</v>
      </c>
      <c r="C4873" s="348" t="str">
        <f>DATA_PROPERTY_MASTER!$A$20</f>
        <v>BLD_PM</v>
      </c>
      <c r="D4873" s="380">
        <f>'00_PORTFOLIO ROLLUP'!S$12</f>
        <v>2039</v>
      </c>
      <c r="E4873" s="366" t="s">
        <v>1683</v>
      </c>
      <c r="F4873" s="366" t="s">
        <v>25</v>
      </c>
      <c r="G4873" s="348" t="str">
        <f>"'"&amp;$C4873&amp;"'!$E$52:$Y$52"</f>
        <v>'BLD_PM'!$E$52:$Y$52</v>
      </c>
      <c r="H4873" s="381">
        <f ca="1">IF(IFERROR(INDEX(DATA_PROPERTY_MASTER!$E$5:$E$21,MATCH($C4873,DATA_PROPERTY_MASTER!$A$5:$A$21,0))="Yes",FALSE),IFERROR(INDEX(INDIRECT("'"&amp;$C4873&amp;"'!$E$52:$Y$52"),1,MATCH($D4873,INDIRECT("'"&amp;$C4873&amp;"'!$E$12:$Y$12"),0)),0),0)</f>
        <v>2792909.1438781302</v>
      </c>
      <c r="I4873" s="366" t="s">
        <v>1685</v>
      </c>
      <c r="J4873" s="348" t="str">
        <f t="shared" ca="1" si="152"/>
        <v>OK</v>
      </c>
      <c r="K4873" s="366" t="s">
        <v>1710</v>
      </c>
      <c r="L4873" s="366" t="s">
        <v>2246</v>
      </c>
      <c r="M4873" s="350" t="str">
        <f>IF($B4873="Portfolio","Portfolio",IFERROR(INDEX(DATA_ASSET_CLASSIFICATION!$B$8:$B$24,MATCH($C4873,DATA_ASSET_CLASSIFICATION!$A$8:$A$24,0)),"Review"))</f>
        <v>The Creek, Port Moody</v>
      </c>
      <c r="N4873" s="350" t="str">
        <f>IF($B4873="Portfolio","Portfolio",IFERROR(INDEX(DATA_ASSET_CLASSIFICATION!$U$8:$U$24,MATCH($C4873,DATA_ASSET_CLASSIFICATION!$A$8:$A$24,0)),"Review"))</f>
        <v>New Build</v>
      </c>
      <c r="O4873" s="350" t="str">
        <f>IF($B4873="Portfolio","Portfolio",IFERROR(INDEX(DATA_ASSET_CLASSIFICATION!$AB$8:$AB$13,MATCH($N4873,DATA_ASSET_CLASSIFICATION!$AA$8:$AA$13,0)),"Review"))</f>
        <v>Bucket 1 · New Build</v>
      </c>
      <c r="P4873" s="350" t="str">
        <f>IF($B4873="Portfolio","Portfolio",IFERROR(INDEX(DATA_ASSET_CLASSIFICATION!$C$8:$C$24,MATCH($C4873,DATA_ASSET_CLASSIFICATION!$A$8:$A$24,0)),"Review"))</f>
        <v>Yes</v>
      </c>
      <c r="Q4873" s="350" t="str">
        <f t="shared" ca="1" si="153"/>
        <v>OK</v>
      </c>
    </row>
    <row r="4874" spans="1:17" ht="30">
      <c r="A4874" s="366" t="s">
        <v>6830</v>
      </c>
      <c r="B4874" s="366" t="s">
        <v>231</v>
      </c>
      <c r="C4874" s="348" t="str">
        <f>DATA_PROPERTY_MASTER!$A$20</f>
        <v>BLD_PM</v>
      </c>
      <c r="D4874" s="380">
        <f>'00_PORTFOLIO ROLLUP'!S$12</f>
        <v>2039</v>
      </c>
      <c r="E4874" s="366" t="s">
        <v>1683</v>
      </c>
      <c r="F4874" s="366" t="s">
        <v>27</v>
      </c>
      <c r="G4874" s="348" t="str">
        <f>"'"&amp;$C4874&amp;"'!$E$54:$Y$54"</f>
        <v>'BLD_PM'!$E$54:$Y$54</v>
      </c>
      <c r="H4874" s="381">
        <f ca="1">IF(IFERROR(INDEX(DATA_PROPERTY_MASTER!$E$5:$E$21,MATCH($C4874,DATA_PROPERTY_MASTER!$A$5:$A$21,0))="Yes",FALSE),IFERROR(INDEX(INDIRECT("'"&amp;$C4874&amp;"'!$E$54:$Y$54"),1,MATCH($D4874,INDIRECT("'"&amp;$C4874&amp;"'!$E$12:$Y$12"),0)),0),0)</f>
        <v>1675745.4863268782</v>
      </c>
      <c r="I4874" s="366" t="s">
        <v>1690</v>
      </c>
      <c r="J4874" s="348" t="str">
        <f t="shared" ca="1" si="152"/>
        <v>OK</v>
      </c>
      <c r="K4874" s="366" t="s">
        <v>1714</v>
      </c>
      <c r="L4874" s="366" t="s">
        <v>2248</v>
      </c>
      <c r="M4874" s="350" t="str">
        <f>IF($B4874="Portfolio","Portfolio",IFERROR(INDEX(DATA_ASSET_CLASSIFICATION!$B$8:$B$24,MATCH($C4874,DATA_ASSET_CLASSIFICATION!$A$8:$A$24,0)),"Review"))</f>
        <v>The Creek, Port Moody</v>
      </c>
      <c r="N4874" s="350" t="str">
        <f>IF($B4874="Portfolio","Portfolio",IFERROR(INDEX(DATA_ASSET_CLASSIFICATION!$U$8:$U$24,MATCH($C4874,DATA_ASSET_CLASSIFICATION!$A$8:$A$24,0)),"Review"))</f>
        <v>New Build</v>
      </c>
      <c r="O4874" s="350" t="str">
        <f>IF($B4874="Portfolio","Portfolio",IFERROR(INDEX(DATA_ASSET_CLASSIFICATION!$AB$8:$AB$13,MATCH($N4874,DATA_ASSET_CLASSIFICATION!$AA$8:$AA$13,0)),"Review"))</f>
        <v>Bucket 1 · New Build</v>
      </c>
      <c r="P4874" s="350" t="str">
        <f>IF($B4874="Portfolio","Portfolio",IFERROR(INDEX(DATA_ASSET_CLASSIFICATION!$C$8:$C$24,MATCH($C4874,DATA_ASSET_CLASSIFICATION!$A$8:$A$24,0)),"Review"))</f>
        <v>Yes</v>
      </c>
      <c r="Q4874" s="350" t="str">
        <f t="shared" ca="1" si="153"/>
        <v>OK</v>
      </c>
    </row>
    <row r="4875" spans="1:17" ht="30">
      <c r="A4875" s="366" t="s">
        <v>6831</v>
      </c>
      <c r="B4875" s="366" t="s">
        <v>231</v>
      </c>
      <c r="C4875" s="348" t="str">
        <f>DATA_PROPERTY_MASTER!$A$20</f>
        <v>BLD_PM</v>
      </c>
      <c r="D4875" s="380">
        <f>'00_PORTFOLIO ROLLUP'!S$12</f>
        <v>2039</v>
      </c>
      <c r="E4875" s="366" t="s">
        <v>1683</v>
      </c>
      <c r="F4875" s="366" t="s">
        <v>29</v>
      </c>
      <c r="G4875" s="348" t="str">
        <f>"'"&amp;$C4875&amp;"'!$E$56:$Y$56"</f>
        <v>'BLD_PM'!$E$56:$Y$56</v>
      </c>
      <c r="H4875" s="381">
        <f ca="1">IF(IFERROR(INDEX(DATA_PROPERTY_MASTER!$E$5:$E$21,MATCH($C4875,DATA_PROPERTY_MASTER!$A$5:$A$21,0))="Yes",FALSE),IFERROR(INDEX(INDIRECT("'"&amp;$C4875&amp;"'!$E$56:$Y$56"),1,MATCH($D4875,INDIRECT("'"&amp;$C4875&amp;"'!$E$12:$Y$12"),0)),0),0)</f>
        <v>1117163.6575512521</v>
      </c>
      <c r="I4875" s="366" t="s">
        <v>1685</v>
      </c>
      <c r="J4875" s="348" t="str">
        <f t="shared" ca="1" si="152"/>
        <v>OK</v>
      </c>
      <c r="K4875" s="366" t="s">
        <v>1718</v>
      </c>
      <c r="L4875" s="366" t="s">
        <v>2250</v>
      </c>
      <c r="M4875" s="350" t="str">
        <f>IF($B4875="Portfolio","Portfolio",IFERROR(INDEX(DATA_ASSET_CLASSIFICATION!$B$8:$B$24,MATCH($C4875,DATA_ASSET_CLASSIFICATION!$A$8:$A$24,0)),"Review"))</f>
        <v>The Creek, Port Moody</v>
      </c>
      <c r="N4875" s="350" t="str">
        <f>IF($B4875="Portfolio","Portfolio",IFERROR(INDEX(DATA_ASSET_CLASSIFICATION!$U$8:$U$24,MATCH($C4875,DATA_ASSET_CLASSIFICATION!$A$8:$A$24,0)),"Review"))</f>
        <v>New Build</v>
      </c>
      <c r="O4875" s="350" t="str">
        <f>IF($B4875="Portfolio","Portfolio",IFERROR(INDEX(DATA_ASSET_CLASSIFICATION!$AB$8:$AB$13,MATCH($N4875,DATA_ASSET_CLASSIFICATION!$AA$8:$AA$13,0)),"Review"))</f>
        <v>Bucket 1 · New Build</v>
      </c>
      <c r="P4875" s="350" t="str">
        <f>IF($B4875="Portfolio","Portfolio",IFERROR(INDEX(DATA_ASSET_CLASSIFICATION!$C$8:$C$24,MATCH($C4875,DATA_ASSET_CLASSIFICATION!$A$8:$A$24,0)),"Review"))</f>
        <v>Yes</v>
      </c>
      <c r="Q4875" s="350" t="str">
        <f t="shared" ca="1" si="153"/>
        <v>OK</v>
      </c>
    </row>
    <row r="4876" spans="1:17" ht="30">
      <c r="A4876" s="366" t="s">
        <v>6832</v>
      </c>
      <c r="B4876" s="366" t="s">
        <v>231</v>
      </c>
      <c r="C4876" s="348" t="str">
        <f>DATA_PROPERTY_MASTER!$A$20</f>
        <v>BLD_PM</v>
      </c>
      <c r="D4876" s="380">
        <f>'00_PORTFOLIO ROLLUP'!S$12</f>
        <v>2039</v>
      </c>
      <c r="E4876" s="366" t="s">
        <v>1721</v>
      </c>
      <c r="F4876" s="366" t="s">
        <v>31</v>
      </c>
      <c r="G4876" s="348" t="str">
        <f>"'"&amp;$C4876&amp;"'!$E$61:$Y$61"</f>
        <v>'BLD_PM'!$E$61:$Y$61</v>
      </c>
      <c r="H4876" s="381">
        <f ca="1">IF(IFERROR(INDEX(DATA_PROPERTY_MASTER!$E$5:$E$21,MATCH($C4876,DATA_PROPERTY_MASTER!$A$5:$A$21,0))="Yes",FALSE),IFERROR(INDEX(INDIRECT("'"&amp;$C4876&amp;"'!$E$61:$Y$61"),1,MATCH($D4876,INDIRECT("'"&amp;$C4876&amp;"'!$E$12:$Y$12"),0)),0),0)</f>
        <v>0</v>
      </c>
      <c r="I4876" s="366" t="s">
        <v>1690</v>
      </c>
      <c r="J4876" s="348" t="str">
        <f t="shared" ca="1" si="152"/>
        <v>OK</v>
      </c>
      <c r="K4876" s="366" t="s">
        <v>1723</v>
      </c>
      <c r="L4876" s="366" t="s">
        <v>2252</v>
      </c>
      <c r="M4876" s="350" t="str">
        <f>IF($B4876="Portfolio","Portfolio",IFERROR(INDEX(DATA_ASSET_CLASSIFICATION!$B$8:$B$24,MATCH($C4876,DATA_ASSET_CLASSIFICATION!$A$8:$A$24,0)),"Review"))</f>
        <v>The Creek, Port Moody</v>
      </c>
      <c r="N4876" s="350" t="str">
        <f>IF($B4876="Portfolio","Portfolio",IFERROR(INDEX(DATA_ASSET_CLASSIFICATION!$U$8:$U$24,MATCH($C4876,DATA_ASSET_CLASSIFICATION!$A$8:$A$24,0)),"Review"))</f>
        <v>New Build</v>
      </c>
      <c r="O4876" s="350" t="str">
        <f>IF($B4876="Portfolio","Portfolio",IFERROR(INDEX(DATA_ASSET_CLASSIFICATION!$AB$8:$AB$13,MATCH($N4876,DATA_ASSET_CLASSIFICATION!$AA$8:$AA$13,0)),"Review"))</f>
        <v>Bucket 1 · New Build</v>
      </c>
      <c r="P4876" s="350" t="str">
        <f>IF($B4876="Portfolio","Portfolio",IFERROR(INDEX(DATA_ASSET_CLASSIFICATION!$C$8:$C$24,MATCH($C4876,DATA_ASSET_CLASSIFICATION!$A$8:$A$24,0)),"Review"))</f>
        <v>Yes</v>
      </c>
      <c r="Q4876" s="350" t="str">
        <f t="shared" ca="1" si="153"/>
        <v>OK</v>
      </c>
    </row>
    <row r="4877" spans="1:17" ht="30">
      <c r="A4877" s="366" t="s">
        <v>6833</v>
      </c>
      <c r="B4877" s="366" t="s">
        <v>231</v>
      </c>
      <c r="C4877" s="348" t="str">
        <f>DATA_PROPERTY_MASTER!$A$20</f>
        <v>BLD_PM</v>
      </c>
      <c r="D4877" s="380">
        <f>'00_PORTFOLIO ROLLUP'!S$12</f>
        <v>2039</v>
      </c>
      <c r="E4877" s="366" t="s">
        <v>1721</v>
      </c>
      <c r="F4877" s="366" t="s">
        <v>33</v>
      </c>
      <c r="G4877" s="348" t="str">
        <f>"'"&amp;$C4877&amp;"'!$E$62:$Y$62"</f>
        <v>'BLD_PM'!$E$62:$Y$62</v>
      </c>
      <c r="H4877" s="381">
        <f ca="1">IF(IFERROR(INDEX(DATA_PROPERTY_MASTER!$E$5:$E$21,MATCH($C4877,DATA_PROPERTY_MASTER!$A$5:$A$21,0))="Yes",FALSE),IFERROR(INDEX(INDIRECT("'"&amp;$C4877&amp;"'!$E$62:$Y$62"),1,MATCH($D4877,INDIRECT("'"&amp;$C4877&amp;"'!$E$12:$Y$12"),0)),0),0)</f>
        <v>0</v>
      </c>
      <c r="I4877" s="366" t="s">
        <v>1685</v>
      </c>
      <c r="J4877" s="348" t="str">
        <f t="shared" ca="1" si="152"/>
        <v>OK</v>
      </c>
      <c r="K4877" s="366" t="s">
        <v>1727</v>
      </c>
      <c r="L4877" s="366" t="s">
        <v>2254</v>
      </c>
      <c r="M4877" s="350" t="str">
        <f>IF($B4877="Portfolio","Portfolio",IFERROR(INDEX(DATA_ASSET_CLASSIFICATION!$B$8:$B$24,MATCH($C4877,DATA_ASSET_CLASSIFICATION!$A$8:$A$24,0)),"Review"))</f>
        <v>The Creek, Port Moody</v>
      </c>
      <c r="N4877" s="350" t="str">
        <f>IF($B4877="Portfolio","Portfolio",IFERROR(INDEX(DATA_ASSET_CLASSIFICATION!$U$8:$U$24,MATCH($C4877,DATA_ASSET_CLASSIFICATION!$A$8:$A$24,0)),"Review"))</f>
        <v>New Build</v>
      </c>
      <c r="O4877" s="350" t="str">
        <f>IF($B4877="Portfolio","Portfolio",IFERROR(INDEX(DATA_ASSET_CLASSIFICATION!$AB$8:$AB$13,MATCH($N4877,DATA_ASSET_CLASSIFICATION!$AA$8:$AA$13,0)),"Review"))</f>
        <v>Bucket 1 · New Build</v>
      </c>
      <c r="P4877" s="350" t="str">
        <f>IF($B4877="Portfolio","Portfolio",IFERROR(INDEX(DATA_ASSET_CLASSIFICATION!$C$8:$C$24,MATCH($C4877,DATA_ASSET_CLASSIFICATION!$A$8:$A$24,0)),"Review"))</f>
        <v>Yes</v>
      </c>
      <c r="Q4877" s="350" t="str">
        <f t="shared" ca="1" si="153"/>
        <v>OK</v>
      </c>
    </row>
    <row r="4878" spans="1:17" ht="30">
      <c r="A4878" s="366" t="s">
        <v>6834</v>
      </c>
      <c r="B4878" s="366" t="s">
        <v>231</v>
      </c>
      <c r="C4878" s="348" t="str">
        <f>DATA_PROPERTY_MASTER!$A$20</f>
        <v>BLD_PM</v>
      </c>
      <c r="D4878" s="380">
        <f>'00_PORTFOLIO ROLLUP'!S$12</f>
        <v>2039</v>
      </c>
      <c r="E4878" s="366" t="s">
        <v>1721</v>
      </c>
      <c r="F4878" s="366" t="s">
        <v>35</v>
      </c>
      <c r="G4878" s="348" t="str">
        <f>"'"&amp;$C4878&amp;"'!$E$63:$Y$63"</f>
        <v>'BLD_PM'!$E$63:$Y$63</v>
      </c>
      <c r="H4878" s="381">
        <f ca="1">IF(IFERROR(INDEX(DATA_PROPERTY_MASTER!$E$5:$E$21,MATCH($C4878,DATA_PROPERTY_MASTER!$A$5:$A$21,0))="Yes",FALSE),IFERROR(INDEX(INDIRECT("'"&amp;$C4878&amp;"'!$E$63:$Y$63"),1,MATCH($D4878,INDIRECT("'"&amp;$C4878&amp;"'!$E$12:$Y$12"),0)),0),0)</f>
        <v>0</v>
      </c>
      <c r="I4878" s="366" t="s">
        <v>1731</v>
      </c>
      <c r="J4878" s="348" t="str">
        <f t="shared" ca="1" si="152"/>
        <v>OK</v>
      </c>
      <c r="K4878" s="366" t="s">
        <v>1732</v>
      </c>
      <c r="L4878" s="366" t="s">
        <v>2256</v>
      </c>
      <c r="M4878" s="350" t="str">
        <f>IF($B4878="Portfolio","Portfolio",IFERROR(INDEX(DATA_ASSET_CLASSIFICATION!$B$8:$B$24,MATCH($C4878,DATA_ASSET_CLASSIFICATION!$A$8:$A$24,0)),"Review"))</f>
        <v>The Creek, Port Moody</v>
      </c>
      <c r="N4878" s="350" t="str">
        <f>IF($B4878="Portfolio","Portfolio",IFERROR(INDEX(DATA_ASSET_CLASSIFICATION!$U$8:$U$24,MATCH($C4878,DATA_ASSET_CLASSIFICATION!$A$8:$A$24,0)),"Review"))</f>
        <v>New Build</v>
      </c>
      <c r="O4878" s="350" t="str">
        <f>IF($B4878="Portfolio","Portfolio",IFERROR(INDEX(DATA_ASSET_CLASSIFICATION!$AB$8:$AB$13,MATCH($N4878,DATA_ASSET_CLASSIFICATION!$AA$8:$AA$13,0)),"Review"))</f>
        <v>Bucket 1 · New Build</v>
      </c>
      <c r="P4878" s="350" t="str">
        <f>IF($B4878="Portfolio","Portfolio",IFERROR(INDEX(DATA_ASSET_CLASSIFICATION!$C$8:$C$24,MATCH($C4878,DATA_ASSET_CLASSIFICATION!$A$8:$A$24,0)),"Review"))</f>
        <v>Yes</v>
      </c>
      <c r="Q4878" s="350" t="str">
        <f t="shared" ca="1" si="153"/>
        <v>OK</v>
      </c>
    </row>
    <row r="4879" spans="1:17" ht="30">
      <c r="A4879" s="366" t="s">
        <v>6835</v>
      </c>
      <c r="B4879" s="366" t="s">
        <v>231</v>
      </c>
      <c r="C4879" s="348" t="str">
        <f>DATA_PROPERTY_MASTER!$A$20</f>
        <v>BLD_PM</v>
      </c>
      <c r="D4879" s="380">
        <f>'00_PORTFOLIO ROLLUP'!S$12</f>
        <v>2039</v>
      </c>
      <c r="E4879" s="366" t="s">
        <v>1721</v>
      </c>
      <c r="F4879" s="366" t="s">
        <v>37</v>
      </c>
      <c r="G4879" s="348" t="str">
        <f>"'"&amp;$C4879&amp;"'!$E$63:$Y$63"</f>
        <v>'BLD_PM'!$E$63:$Y$63</v>
      </c>
      <c r="H4879" s="381">
        <f ca="1">IF(IFERROR(INDEX(DATA_PROPERTY_MASTER!$E$5:$E$21,MATCH($C4879,DATA_PROPERTY_MASTER!$A$5:$A$21,0))="Yes",FALSE),MAX(IFERROR(INDEX(INDIRECT("'"&amp;$C4879&amp;"'!$E$63:$Y$63"),1,MATCH($D4879,INDIRECT("'"&amp;$C4879&amp;"'!$E$12:$Y$12"),0)),0),0),0)</f>
        <v>0</v>
      </c>
      <c r="I4879" s="366" t="s">
        <v>1685</v>
      </c>
      <c r="J4879" s="348" t="str">
        <f t="shared" ca="1" si="152"/>
        <v>OK</v>
      </c>
      <c r="K4879" s="366" t="s">
        <v>1735</v>
      </c>
      <c r="L4879" s="366" t="s">
        <v>2258</v>
      </c>
      <c r="M4879" s="350" t="str">
        <f>IF($B4879="Portfolio","Portfolio",IFERROR(INDEX(DATA_ASSET_CLASSIFICATION!$B$8:$B$24,MATCH($C4879,DATA_ASSET_CLASSIFICATION!$A$8:$A$24,0)),"Review"))</f>
        <v>The Creek, Port Moody</v>
      </c>
      <c r="N4879" s="350" t="str">
        <f>IF($B4879="Portfolio","Portfolio",IFERROR(INDEX(DATA_ASSET_CLASSIFICATION!$U$8:$U$24,MATCH($C4879,DATA_ASSET_CLASSIFICATION!$A$8:$A$24,0)),"Review"))</f>
        <v>New Build</v>
      </c>
      <c r="O4879" s="350" t="str">
        <f>IF($B4879="Portfolio","Portfolio",IFERROR(INDEX(DATA_ASSET_CLASSIFICATION!$AB$8:$AB$13,MATCH($N4879,DATA_ASSET_CLASSIFICATION!$AA$8:$AA$13,0)),"Review"))</f>
        <v>Bucket 1 · New Build</v>
      </c>
      <c r="P4879" s="350" t="str">
        <f>IF($B4879="Portfolio","Portfolio",IFERROR(INDEX(DATA_ASSET_CLASSIFICATION!$C$8:$C$24,MATCH($C4879,DATA_ASSET_CLASSIFICATION!$A$8:$A$24,0)),"Review"))</f>
        <v>Yes</v>
      </c>
      <c r="Q4879" s="350" t="str">
        <f t="shared" ca="1" si="153"/>
        <v>OK</v>
      </c>
    </row>
    <row r="4880" spans="1:17" ht="30">
      <c r="A4880" s="366" t="s">
        <v>6836</v>
      </c>
      <c r="B4880" s="366" t="s">
        <v>231</v>
      </c>
      <c r="C4880" s="348" t="str">
        <f>DATA_PROPERTY_MASTER!$A$20</f>
        <v>BLD_PM</v>
      </c>
      <c r="D4880" s="380">
        <f>'00_PORTFOLIO ROLLUP'!S$12</f>
        <v>2039</v>
      </c>
      <c r="E4880" s="366" t="s">
        <v>1721</v>
      </c>
      <c r="F4880" s="366" t="s">
        <v>39</v>
      </c>
      <c r="G4880" s="348" t="str">
        <f>"'"&amp;$C4880&amp;"'!$E$63:$Y$63"</f>
        <v>'BLD_PM'!$E$63:$Y$63</v>
      </c>
      <c r="H4880" s="381">
        <f ca="1">IF(IFERROR(INDEX(DATA_PROPERTY_MASTER!$E$5:$E$21,MATCH($C4880,DATA_PROPERTY_MASTER!$A$5:$A$21,0))="Yes",FALSE),MAX(-IFERROR(INDEX(INDIRECT("'"&amp;$C4880&amp;"'!$E$63:$Y$63"),1,MATCH($D4880,INDIRECT("'"&amp;$C4880&amp;"'!$E$12:$Y$12"),0)),0),0),0)</f>
        <v>0</v>
      </c>
      <c r="I4880" s="366" t="s">
        <v>1690</v>
      </c>
      <c r="J4880" s="348" t="str">
        <f t="shared" ca="1" si="152"/>
        <v>OK</v>
      </c>
      <c r="K4880" s="366" t="s">
        <v>1738</v>
      </c>
      <c r="L4880" s="366" t="s">
        <v>2260</v>
      </c>
      <c r="M4880" s="350" t="str">
        <f>IF($B4880="Portfolio","Portfolio",IFERROR(INDEX(DATA_ASSET_CLASSIFICATION!$B$8:$B$24,MATCH($C4880,DATA_ASSET_CLASSIFICATION!$A$8:$A$24,0)),"Review"))</f>
        <v>The Creek, Port Moody</v>
      </c>
      <c r="N4880" s="350" t="str">
        <f>IF($B4880="Portfolio","Portfolio",IFERROR(INDEX(DATA_ASSET_CLASSIFICATION!$U$8:$U$24,MATCH($C4880,DATA_ASSET_CLASSIFICATION!$A$8:$A$24,0)),"Review"))</f>
        <v>New Build</v>
      </c>
      <c r="O4880" s="350" t="str">
        <f>IF($B4880="Portfolio","Portfolio",IFERROR(INDEX(DATA_ASSET_CLASSIFICATION!$AB$8:$AB$13,MATCH($N4880,DATA_ASSET_CLASSIFICATION!$AA$8:$AA$13,0)),"Review"))</f>
        <v>Bucket 1 · New Build</v>
      </c>
      <c r="P4880" s="350" t="str">
        <f>IF($B4880="Portfolio","Portfolio",IFERROR(INDEX(DATA_ASSET_CLASSIFICATION!$C$8:$C$24,MATCH($C4880,DATA_ASSET_CLASSIFICATION!$A$8:$A$24,0)),"Review"))</f>
        <v>Yes</v>
      </c>
      <c r="Q4880" s="350" t="str">
        <f t="shared" ca="1" si="153"/>
        <v>OK</v>
      </c>
    </row>
    <row r="4881" spans="1:17" ht="30">
      <c r="A4881" s="366" t="s">
        <v>6837</v>
      </c>
      <c r="B4881" s="366" t="s">
        <v>231</v>
      </c>
      <c r="C4881" s="348" t="str">
        <f>DATA_PROPERTY_MASTER!$A$20</f>
        <v>BLD_PM</v>
      </c>
      <c r="D4881" s="380">
        <f>'00_PORTFOLIO ROLLUP'!S$12</f>
        <v>2039</v>
      </c>
      <c r="E4881" s="366" t="s">
        <v>1741</v>
      </c>
      <c r="F4881" s="366" t="s">
        <v>41</v>
      </c>
      <c r="G4881" s="348" t="str">
        <f>"'"&amp;$C4881&amp;"'!rows 56 + positive row 63"</f>
        <v>'BLD_PM'!rows 56 + positive row 63</v>
      </c>
      <c r="H4881" s="381">
        <f ca="1">IF(IFERROR(INDEX(DATA_PROPERTY_MASTER!$E$5:$E$21,MATCH($C4881,DATA_PROPERTY_MASTER!$A$5:$A$21,0))="Yes",FALSE),IFERROR(INDEX(INDIRECT("'"&amp;$C4881&amp;"'!$E$56:$Y$56"),1,MATCH($D4881,INDIRECT("'"&amp;$C4881&amp;"'!$E$12:$Y$12"),0)),0)+MAX(IFERROR(INDEX(INDIRECT("'"&amp;$C4881&amp;"'!$E$63:$Y$63"),1,MATCH($D4881,INDIRECT("'"&amp;$C4881&amp;"'!$E$12:$Y$12"),0)),0),0),0)</f>
        <v>1117163.6575512521</v>
      </c>
      <c r="I4881" s="366" t="s">
        <v>1685</v>
      </c>
      <c r="J4881" s="348" t="str">
        <f t="shared" ca="1" si="152"/>
        <v>OK</v>
      </c>
      <c r="K4881" s="366" t="s">
        <v>1742</v>
      </c>
      <c r="L4881" s="366" t="s">
        <v>2262</v>
      </c>
      <c r="M4881" s="350" t="str">
        <f>IF($B4881="Portfolio","Portfolio",IFERROR(INDEX(DATA_ASSET_CLASSIFICATION!$B$8:$B$24,MATCH($C4881,DATA_ASSET_CLASSIFICATION!$A$8:$A$24,0)),"Review"))</f>
        <v>The Creek, Port Moody</v>
      </c>
      <c r="N4881" s="350" t="str">
        <f>IF($B4881="Portfolio","Portfolio",IFERROR(INDEX(DATA_ASSET_CLASSIFICATION!$U$8:$U$24,MATCH($C4881,DATA_ASSET_CLASSIFICATION!$A$8:$A$24,0)),"Review"))</f>
        <v>New Build</v>
      </c>
      <c r="O4881" s="350" t="str">
        <f>IF($B4881="Portfolio","Portfolio",IFERROR(INDEX(DATA_ASSET_CLASSIFICATION!$AB$8:$AB$13,MATCH($N4881,DATA_ASSET_CLASSIFICATION!$AA$8:$AA$13,0)),"Review"))</f>
        <v>Bucket 1 · New Build</v>
      </c>
      <c r="P4881" s="350" t="str">
        <f>IF($B4881="Portfolio","Portfolio",IFERROR(INDEX(DATA_ASSET_CLASSIFICATION!$C$8:$C$24,MATCH($C4881,DATA_ASSET_CLASSIFICATION!$A$8:$A$24,0)),"Review"))</f>
        <v>Yes</v>
      </c>
      <c r="Q4881" s="350" t="str">
        <f t="shared" ca="1" si="153"/>
        <v>OK</v>
      </c>
    </row>
    <row r="4882" spans="1:17" ht="30">
      <c r="A4882" s="366" t="s">
        <v>6838</v>
      </c>
      <c r="B4882" s="366" t="s">
        <v>231</v>
      </c>
      <c r="C4882" s="348" t="str">
        <f>DATA_PROPERTY_MASTER!$A$20</f>
        <v>BLD_PM</v>
      </c>
      <c r="D4882" s="380">
        <f>'00_PORTFOLIO ROLLUP'!S$12</f>
        <v>2039</v>
      </c>
      <c r="E4882" s="366" t="s">
        <v>1741</v>
      </c>
      <c r="F4882" s="366" t="s">
        <v>43</v>
      </c>
      <c r="G4882" s="348" t="str">
        <f>"'"&amp;$C4882&amp;"'!$E$68:$Y$68"</f>
        <v>'BLD_PM'!$E$68:$Y$68</v>
      </c>
      <c r="H4882" s="381">
        <f ca="1">IF(IFERROR(INDEX(DATA_PROPERTY_MASTER!$E$5:$E$21,MATCH($C4882,DATA_PROPERTY_MASTER!$A$5:$A$21,0))="Yes",FALSE),IFERROR(INDEX(INDIRECT("'"&amp;$C4882&amp;"'!$E$68:$Y$68"),1,MATCH($D4882,INDIRECT("'"&amp;$C4882&amp;"'!$E$12:$Y$12"),0)),0),0)</f>
        <v>1117163.6575512521</v>
      </c>
      <c r="I4882" s="366" t="s">
        <v>1731</v>
      </c>
      <c r="J4882" s="348" t="str">
        <f t="shared" ca="1" si="152"/>
        <v>OK</v>
      </c>
      <c r="K4882" s="366" t="s">
        <v>1746</v>
      </c>
      <c r="L4882" s="366" t="s">
        <v>2264</v>
      </c>
      <c r="M4882" s="350" t="str">
        <f>IF($B4882="Portfolio","Portfolio",IFERROR(INDEX(DATA_ASSET_CLASSIFICATION!$B$8:$B$24,MATCH($C4882,DATA_ASSET_CLASSIFICATION!$A$8:$A$24,0)),"Review"))</f>
        <v>The Creek, Port Moody</v>
      </c>
      <c r="N4882" s="350" t="str">
        <f>IF($B4882="Portfolio","Portfolio",IFERROR(INDEX(DATA_ASSET_CLASSIFICATION!$U$8:$U$24,MATCH($C4882,DATA_ASSET_CLASSIFICATION!$A$8:$A$24,0)),"Review"))</f>
        <v>New Build</v>
      </c>
      <c r="O4882" s="350" t="str">
        <f>IF($B4882="Portfolio","Portfolio",IFERROR(INDEX(DATA_ASSET_CLASSIFICATION!$AB$8:$AB$13,MATCH($N4882,DATA_ASSET_CLASSIFICATION!$AA$8:$AA$13,0)),"Review"))</f>
        <v>Bucket 1 · New Build</v>
      </c>
      <c r="P4882" s="350" t="str">
        <f>IF($B4882="Portfolio","Portfolio",IFERROR(INDEX(DATA_ASSET_CLASSIFICATION!$C$8:$C$24,MATCH($C4882,DATA_ASSET_CLASSIFICATION!$A$8:$A$24,0)),"Review"))</f>
        <v>Yes</v>
      </c>
      <c r="Q4882" s="350" t="str">
        <f t="shared" ca="1" si="153"/>
        <v>OK</v>
      </c>
    </row>
    <row r="4883" spans="1:17" ht="30">
      <c r="A4883" s="366" t="s">
        <v>6839</v>
      </c>
      <c r="B4883" s="366" t="s">
        <v>231</v>
      </c>
      <c r="C4883" s="348" t="str">
        <f>DATA_PROPERTY_MASTER!$A$20</f>
        <v>BLD_PM</v>
      </c>
      <c r="D4883" s="380">
        <f>'00_PORTFOLIO ROLLUP'!S$12</f>
        <v>2039</v>
      </c>
      <c r="E4883" s="366" t="s">
        <v>1741</v>
      </c>
      <c r="F4883" s="366" t="s">
        <v>1749</v>
      </c>
      <c r="G4883" s="348" t="str">
        <f>"'"&amp;$C4883&amp;"'!rows 56, 63, 68"</f>
        <v>'BLD_PM'!rows 56, 63, 68</v>
      </c>
      <c r="H4883" s="381">
        <f ca="1">IF(IFERROR(INDEX(DATA_PROPERTY_MASTER!$E$5:$E$21,MATCH($C4883,DATA_PROPERTY_MASTER!$A$5:$A$21,0))="Yes",FALSE),(IFERROR(INDEX(INDIRECT("'"&amp;$C4883&amp;"'!$E$56:$Y$56"),1,MATCH($D4883,INDIRECT("'"&amp;$C4883&amp;"'!$E$12:$Y$12"),0)),0)+MAX(IFERROR(INDEX(INDIRECT("'"&amp;$C4883&amp;"'!$E$63:$Y$63"),1,MATCH($D4883,INDIRECT("'"&amp;$C4883&amp;"'!$E$12:$Y$12"),0)),0),0))-(IFERROR(INDEX(INDIRECT("'"&amp;$C4883&amp;"'!$E$68:$Y$68"),1,MATCH($D4883,INDIRECT("'"&amp;$C4883&amp;"'!$E$12:$Y$12"),0)),0)),0)</f>
        <v>0</v>
      </c>
      <c r="I4883" s="366" t="s">
        <v>1750</v>
      </c>
      <c r="J4883" s="348" t="str">
        <f t="shared" ca="1" si="152"/>
        <v>OK</v>
      </c>
      <c r="K4883" s="366" t="s">
        <v>1751</v>
      </c>
      <c r="L4883" s="366" t="s">
        <v>2266</v>
      </c>
      <c r="M4883" s="350" t="str">
        <f>IF($B4883="Portfolio","Portfolio",IFERROR(INDEX(DATA_ASSET_CLASSIFICATION!$B$8:$B$24,MATCH($C4883,DATA_ASSET_CLASSIFICATION!$A$8:$A$24,0)),"Review"))</f>
        <v>The Creek, Port Moody</v>
      </c>
      <c r="N4883" s="350" t="str">
        <f>IF($B4883="Portfolio","Portfolio",IFERROR(INDEX(DATA_ASSET_CLASSIFICATION!$U$8:$U$24,MATCH($C4883,DATA_ASSET_CLASSIFICATION!$A$8:$A$24,0)),"Review"))</f>
        <v>New Build</v>
      </c>
      <c r="O4883" s="350" t="str">
        <f>IF($B4883="Portfolio","Portfolio",IFERROR(INDEX(DATA_ASSET_CLASSIFICATION!$AB$8:$AB$13,MATCH($N4883,DATA_ASSET_CLASSIFICATION!$AA$8:$AA$13,0)),"Review"))</f>
        <v>Bucket 1 · New Build</v>
      </c>
      <c r="P4883" s="350" t="str">
        <f>IF($B4883="Portfolio","Portfolio",IFERROR(INDEX(DATA_ASSET_CLASSIFICATION!$C$8:$C$24,MATCH($C4883,DATA_ASSET_CLASSIFICATION!$A$8:$A$24,0)),"Review"))</f>
        <v>Yes</v>
      </c>
      <c r="Q4883" s="350" t="str">
        <f t="shared" ca="1" si="153"/>
        <v>OK</v>
      </c>
    </row>
    <row r="4884" spans="1:17" ht="30">
      <c r="A4884" s="366" t="s">
        <v>6840</v>
      </c>
      <c r="B4884" s="366" t="s">
        <v>231</v>
      </c>
      <c r="C4884" s="348" t="str">
        <f>DATA_PROPERTY_MASTER!$A$20</f>
        <v>BLD_PM</v>
      </c>
      <c r="D4884" s="380">
        <f>'00_PORTFOLIO ROLLUP'!T$12</f>
        <v>2040</v>
      </c>
      <c r="E4884" s="366" t="s">
        <v>1683</v>
      </c>
      <c r="F4884" s="366" t="s">
        <v>341</v>
      </c>
      <c r="G4884" s="348" t="str">
        <f>"'"&amp;$C4884&amp;"'!$E$24:$Y$24"</f>
        <v>'BLD_PM'!$E$24:$Y$24</v>
      </c>
      <c r="H4884" s="381">
        <f ca="1">IF(IFERROR(INDEX(DATA_PROPERTY_MASTER!$E$5:$E$21,MATCH($C4884,DATA_PROPERTY_MASTER!$A$5:$A$21,0))="Yes",FALSE),IFERROR(INDEX(INDIRECT("'"&amp;$C4884&amp;"'!$E$24:$Y$24"),1,MATCH($D4884,INDIRECT("'"&amp;$C4884&amp;"'!$E$12:$Y$12"),0)),0),0)</f>
        <v>6317826.6376933521</v>
      </c>
      <c r="I4884" s="366" t="s">
        <v>1685</v>
      </c>
      <c r="J4884" s="348" t="str">
        <f t="shared" ca="1" si="152"/>
        <v>OK</v>
      </c>
      <c r="K4884" s="366" t="s">
        <v>1686</v>
      </c>
      <c r="L4884" s="366" t="s">
        <v>2234</v>
      </c>
      <c r="M4884" s="350" t="str">
        <f>IF($B4884="Portfolio","Portfolio",IFERROR(INDEX(DATA_ASSET_CLASSIFICATION!$B$8:$B$24,MATCH($C4884,DATA_ASSET_CLASSIFICATION!$A$8:$A$24,0)),"Review"))</f>
        <v>The Creek, Port Moody</v>
      </c>
      <c r="N4884" s="350" t="str">
        <f>IF($B4884="Portfolio","Portfolio",IFERROR(INDEX(DATA_ASSET_CLASSIFICATION!$U$8:$U$24,MATCH($C4884,DATA_ASSET_CLASSIFICATION!$A$8:$A$24,0)),"Review"))</f>
        <v>New Build</v>
      </c>
      <c r="O4884" s="350" t="str">
        <f>IF($B4884="Portfolio","Portfolio",IFERROR(INDEX(DATA_ASSET_CLASSIFICATION!$AB$8:$AB$13,MATCH($N4884,DATA_ASSET_CLASSIFICATION!$AA$8:$AA$13,0)),"Review"))</f>
        <v>Bucket 1 · New Build</v>
      </c>
      <c r="P4884" s="350" t="str">
        <f>IF($B4884="Portfolio","Portfolio",IFERROR(INDEX(DATA_ASSET_CLASSIFICATION!$C$8:$C$24,MATCH($C4884,DATA_ASSET_CLASSIFICATION!$A$8:$A$24,0)),"Review"))</f>
        <v>Yes</v>
      </c>
      <c r="Q4884" s="350" t="str">
        <f t="shared" ca="1" si="153"/>
        <v>OK</v>
      </c>
    </row>
    <row r="4885" spans="1:17" ht="30">
      <c r="A4885" s="366" t="s">
        <v>6841</v>
      </c>
      <c r="B4885" s="366" t="s">
        <v>231</v>
      </c>
      <c r="C4885" s="348" t="str">
        <f>DATA_PROPERTY_MASTER!$A$20</f>
        <v>BLD_PM</v>
      </c>
      <c r="D4885" s="380">
        <f>'00_PORTFOLIO ROLLUP'!T$12</f>
        <v>2040</v>
      </c>
      <c r="E4885" s="366" t="s">
        <v>1683</v>
      </c>
      <c r="F4885" s="366" t="s">
        <v>355</v>
      </c>
      <c r="G4885" s="348" t="str">
        <f>"'"&amp;$C4885&amp;"'!$E$39:$Y$39"</f>
        <v>'BLD_PM'!$E$39:$Y$39</v>
      </c>
      <c r="H4885" s="381">
        <f ca="1">IF(IFERROR(INDEX(DATA_PROPERTY_MASTER!$E$5:$E$21,MATCH($C4885,DATA_PROPERTY_MASTER!$A$5:$A$21,0))="Yes",FALSE),IFERROR(INDEX(INDIRECT("'"&amp;$C4885&amp;"'!$E$39:$Y$39"),1,MATCH($D4885,INDIRECT("'"&amp;$C4885&amp;"'!$E$12:$Y$12"),0)),0),0)</f>
        <v>291166.78214002663</v>
      </c>
      <c r="I4885" s="366" t="s">
        <v>1690</v>
      </c>
      <c r="J4885" s="348" t="str">
        <f t="shared" ca="1" si="152"/>
        <v>OK</v>
      </c>
      <c r="K4885" s="366" t="s">
        <v>1686</v>
      </c>
      <c r="L4885" s="366" t="s">
        <v>2236</v>
      </c>
      <c r="M4885" s="350" t="str">
        <f>IF($B4885="Portfolio","Portfolio",IFERROR(INDEX(DATA_ASSET_CLASSIFICATION!$B$8:$B$24,MATCH($C4885,DATA_ASSET_CLASSIFICATION!$A$8:$A$24,0)),"Review"))</f>
        <v>The Creek, Port Moody</v>
      </c>
      <c r="N4885" s="350" t="str">
        <f>IF($B4885="Portfolio","Portfolio",IFERROR(INDEX(DATA_ASSET_CLASSIFICATION!$U$8:$U$24,MATCH($C4885,DATA_ASSET_CLASSIFICATION!$A$8:$A$24,0)),"Review"))</f>
        <v>New Build</v>
      </c>
      <c r="O4885" s="350" t="str">
        <f>IF($B4885="Portfolio","Portfolio",IFERROR(INDEX(DATA_ASSET_CLASSIFICATION!$AB$8:$AB$13,MATCH($N4885,DATA_ASSET_CLASSIFICATION!$AA$8:$AA$13,0)),"Review"))</f>
        <v>Bucket 1 · New Build</v>
      </c>
      <c r="P4885" s="350" t="str">
        <f>IF($B4885="Portfolio","Portfolio",IFERROR(INDEX(DATA_ASSET_CLASSIFICATION!$C$8:$C$24,MATCH($C4885,DATA_ASSET_CLASSIFICATION!$A$8:$A$24,0)),"Review"))</f>
        <v>Yes</v>
      </c>
      <c r="Q4885" s="350" t="str">
        <f t="shared" ca="1" si="153"/>
        <v>OK</v>
      </c>
    </row>
    <row r="4886" spans="1:17" ht="30">
      <c r="A4886" s="366" t="s">
        <v>6842</v>
      </c>
      <c r="B4886" s="366" t="s">
        <v>231</v>
      </c>
      <c r="C4886" s="348" t="str">
        <f>DATA_PROPERTY_MASTER!$A$20</f>
        <v>BLD_PM</v>
      </c>
      <c r="D4886" s="380">
        <f>'00_PORTFOLIO ROLLUP'!T$12</f>
        <v>2040</v>
      </c>
      <c r="E4886" s="366" t="s">
        <v>1683</v>
      </c>
      <c r="F4886" s="366" t="s">
        <v>19</v>
      </c>
      <c r="G4886" s="348" t="str">
        <f>"'"&amp;$C4886&amp;"'!$E$41:$Y$41"</f>
        <v>'BLD_PM'!$E$41:$Y$41</v>
      </c>
      <c r="H4886" s="381">
        <f ca="1">IF(IFERROR(INDEX(DATA_PROPERTY_MASTER!$E$5:$E$21,MATCH($C4886,DATA_PROPERTY_MASTER!$A$5:$A$21,0))="Yes",FALSE),IFERROR(INDEX(INDIRECT("'"&amp;$C4886&amp;"'!$E$41:$Y$41"),1,MATCH($D4886,INDIRECT("'"&amp;$C4886&amp;"'!$E$12:$Y$12"),0)),0),0)</f>
        <v>6026659.8555533253</v>
      </c>
      <c r="I4886" s="366" t="s">
        <v>1685</v>
      </c>
      <c r="J4886" s="348" t="str">
        <f t="shared" ca="1" si="152"/>
        <v>OK</v>
      </c>
      <c r="K4886" s="366" t="s">
        <v>1694</v>
      </c>
      <c r="L4886" s="366" t="s">
        <v>2238</v>
      </c>
      <c r="M4886" s="350" t="str">
        <f>IF($B4886="Portfolio","Portfolio",IFERROR(INDEX(DATA_ASSET_CLASSIFICATION!$B$8:$B$24,MATCH($C4886,DATA_ASSET_CLASSIFICATION!$A$8:$A$24,0)),"Review"))</f>
        <v>The Creek, Port Moody</v>
      </c>
      <c r="N4886" s="350" t="str">
        <f>IF($B4886="Portfolio","Portfolio",IFERROR(INDEX(DATA_ASSET_CLASSIFICATION!$U$8:$U$24,MATCH($C4886,DATA_ASSET_CLASSIFICATION!$A$8:$A$24,0)),"Review"))</f>
        <v>New Build</v>
      </c>
      <c r="O4886" s="350" t="str">
        <f>IF($B4886="Portfolio","Portfolio",IFERROR(INDEX(DATA_ASSET_CLASSIFICATION!$AB$8:$AB$13,MATCH($N4886,DATA_ASSET_CLASSIFICATION!$AA$8:$AA$13,0)),"Review"))</f>
        <v>Bucket 1 · New Build</v>
      </c>
      <c r="P4886" s="350" t="str">
        <f>IF($B4886="Portfolio","Portfolio",IFERROR(INDEX(DATA_ASSET_CLASSIFICATION!$C$8:$C$24,MATCH($C4886,DATA_ASSET_CLASSIFICATION!$A$8:$A$24,0)),"Review"))</f>
        <v>Yes</v>
      </c>
      <c r="Q4886" s="350" t="str">
        <f t="shared" ca="1" si="153"/>
        <v>OK</v>
      </c>
    </row>
    <row r="4887" spans="1:17" ht="30">
      <c r="A4887" s="366" t="s">
        <v>6843</v>
      </c>
      <c r="B4887" s="366" t="s">
        <v>231</v>
      </c>
      <c r="C4887" s="348" t="str">
        <f>DATA_PROPERTY_MASTER!$A$20</f>
        <v>BLD_PM</v>
      </c>
      <c r="D4887" s="380">
        <f>'00_PORTFOLIO ROLLUP'!T$12</f>
        <v>2040</v>
      </c>
      <c r="E4887" s="366" t="s">
        <v>1683</v>
      </c>
      <c r="F4887" s="366" t="s">
        <v>1697</v>
      </c>
      <c r="G4887" s="348" t="str">
        <f>"'"&amp;$C4887&amp;"'!$E$44:$Y$44"</f>
        <v>'BLD_PM'!$E$44:$Y$44</v>
      </c>
      <c r="H4887" s="381">
        <f ca="1">IF(IFERROR(INDEX(DATA_PROPERTY_MASTER!$E$5:$E$21,MATCH($C4887,DATA_PROPERTY_MASTER!$A$5:$A$21,0))="Yes",FALSE),IFERROR(INDEX(INDIRECT("'"&amp;$C4887&amp;"'!$E$44:$Y$44"),1,MATCH($D4887,INDIRECT("'"&amp;$C4887&amp;"'!$E$12:$Y$12"),0)),0),0)</f>
        <v>66216.722245547164</v>
      </c>
      <c r="I4887" s="366" t="s">
        <v>1690</v>
      </c>
      <c r="J4887" s="348" t="str">
        <f t="shared" ca="1" si="152"/>
        <v>OK</v>
      </c>
      <c r="K4887" s="366" t="s">
        <v>1699</v>
      </c>
      <c r="L4887" s="366" t="s">
        <v>2240</v>
      </c>
      <c r="M4887" s="350" t="str">
        <f>IF($B4887="Portfolio","Portfolio",IFERROR(INDEX(DATA_ASSET_CLASSIFICATION!$B$8:$B$24,MATCH($C4887,DATA_ASSET_CLASSIFICATION!$A$8:$A$24,0)),"Review"))</f>
        <v>The Creek, Port Moody</v>
      </c>
      <c r="N4887" s="350" t="str">
        <f>IF($B4887="Portfolio","Portfolio",IFERROR(INDEX(DATA_ASSET_CLASSIFICATION!$U$8:$U$24,MATCH($C4887,DATA_ASSET_CLASSIFICATION!$A$8:$A$24,0)),"Review"))</f>
        <v>New Build</v>
      </c>
      <c r="O4887" s="350" t="str">
        <f>IF($B4887="Portfolio","Portfolio",IFERROR(INDEX(DATA_ASSET_CLASSIFICATION!$AB$8:$AB$13,MATCH($N4887,DATA_ASSET_CLASSIFICATION!$AA$8:$AA$13,0)),"Review"))</f>
        <v>Bucket 1 · New Build</v>
      </c>
      <c r="P4887" s="350" t="str">
        <f>IF($B4887="Portfolio","Portfolio",IFERROR(INDEX(DATA_ASSET_CLASSIFICATION!$C$8:$C$24,MATCH($C4887,DATA_ASSET_CLASSIFICATION!$A$8:$A$24,0)),"Review"))</f>
        <v>Yes</v>
      </c>
      <c r="Q4887" s="350" t="str">
        <f t="shared" ca="1" si="153"/>
        <v>OK</v>
      </c>
    </row>
    <row r="4888" spans="1:17" ht="30">
      <c r="A4888" s="366" t="s">
        <v>6844</v>
      </c>
      <c r="B4888" s="366" t="s">
        <v>231</v>
      </c>
      <c r="C4888" s="348" t="str">
        <f>DATA_PROPERTY_MASTER!$A$20</f>
        <v>BLD_PM</v>
      </c>
      <c r="D4888" s="380">
        <f>'00_PORTFOLIO ROLLUP'!T$12</f>
        <v>2040</v>
      </c>
      <c r="E4888" s="366" t="s">
        <v>1683</v>
      </c>
      <c r="F4888" s="366" t="s">
        <v>21</v>
      </c>
      <c r="G4888" s="348" t="str">
        <f>"'"&amp;$C4888&amp;"'!$E$45:$Y$45"</f>
        <v>'BLD_PM'!$E$45:$Y$45</v>
      </c>
      <c r="H4888" s="381">
        <f ca="1">IF(IFERROR(INDEX(DATA_PROPERTY_MASTER!$E$5:$E$21,MATCH($C4888,DATA_PROPERTY_MASTER!$A$5:$A$21,0))="Yes",FALSE),IFERROR(INDEX(INDIRECT("'"&amp;$C4888&amp;"'!$E$45:$Y$45"),1,MATCH($D4888,INDIRECT("'"&amp;$C4888&amp;"'!$E$12:$Y$12"),0)),0),0)</f>
        <v>5960443.1333077783</v>
      </c>
      <c r="I4888" s="366" t="s">
        <v>1685</v>
      </c>
      <c r="J4888" s="348" t="str">
        <f t="shared" ca="1" si="152"/>
        <v>OK</v>
      </c>
      <c r="K4888" s="366" t="s">
        <v>1694</v>
      </c>
      <c r="L4888" s="366" t="s">
        <v>2242</v>
      </c>
      <c r="M4888" s="350" t="str">
        <f>IF($B4888="Portfolio","Portfolio",IFERROR(INDEX(DATA_ASSET_CLASSIFICATION!$B$8:$B$24,MATCH($C4888,DATA_ASSET_CLASSIFICATION!$A$8:$A$24,0)),"Review"))</f>
        <v>The Creek, Port Moody</v>
      </c>
      <c r="N4888" s="350" t="str">
        <f>IF($B4888="Portfolio","Portfolio",IFERROR(INDEX(DATA_ASSET_CLASSIFICATION!$U$8:$U$24,MATCH($C4888,DATA_ASSET_CLASSIFICATION!$A$8:$A$24,0)),"Review"))</f>
        <v>New Build</v>
      </c>
      <c r="O4888" s="350" t="str">
        <f>IF($B4888="Portfolio","Portfolio",IFERROR(INDEX(DATA_ASSET_CLASSIFICATION!$AB$8:$AB$13,MATCH($N4888,DATA_ASSET_CLASSIFICATION!$AA$8:$AA$13,0)),"Review"))</f>
        <v>Bucket 1 · New Build</v>
      </c>
      <c r="P4888" s="350" t="str">
        <f>IF($B4888="Portfolio","Portfolio",IFERROR(INDEX(DATA_ASSET_CLASSIFICATION!$C$8:$C$24,MATCH($C4888,DATA_ASSET_CLASSIFICATION!$A$8:$A$24,0)),"Review"))</f>
        <v>Yes</v>
      </c>
      <c r="Q4888" s="350" t="str">
        <f t="shared" ca="1" si="153"/>
        <v>OK</v>
      </c>
    </row>
    <row r="4889" spans="1:17" ht="30">
      <c r="A4889" s="366" t="s">
        <v>6845</v>
      </c>
      <c r="B4889" s="366" t="s">
        <v>231</v>
      </c>
      <c r="C4889" s="348" t="str">
        <f>DATA_PROPERTY_MASTER!$A$20</f>
        <v>BLD_PM</v>
      </c>
      <c r="D4889" s="380">
        <f>'00_PORTFOLIO ROLLUP'!T$12</f>
        <v>2040</v>
      </c>
      <c r="E4889" s="366" t="s">
        <v>23</v>
      </c>
      <c r="F4889" s="366" t="s">
        <v>23</v>
      </c>
      <c r="G4889" s="348" t="str">
        <f>"'"&amp;$C4889&amp;"'!$E$48:$Y$48"</f>
        <v>'BLD_PM'!$E$48:$Y$48</v>
      </c>
      <c r="H4889" s="381">
        <f ca="1">IF(IFERROR(INDEX(DATA_PROPERTY_MASTER!$E$5:$E$21,MATCH($C4889,DATA_PROPERTY_MASTER!$A$5:$A$21,0))="Yes",FALSE),IFERROR(INDEX(INDIRECT("'"&amp;$C4889&amp;"'!$E$48:$Y$48"),1,MATCH($D4889,INDIRECT("'"&amp;$C4889&amp;"'!$E$12:$Y$12"),0)),0),0)</f>
        <v>3116973.3868276179</v>
      </c>
      <c r="I4889" s="366" t="s">
        <v>1690</v>
      </c>
      <c r="J4889" s="348" t="str">
        <f t="shared" ca="1" si="152"/>
        <v>OK</v>
      </c>
      <c r="K4889" s="366" t="s">
        <v>1706</v>
      </c>
      <c r="L4889" s="366" t="s">
        <v>2244</v>
      </c>
      <c r="M4889" s="350" t="str">
        <f>IF($B4889="Portfolio","Portfolio",IFERROR(INDEX(DATA_ASSET_CLASSIFICATION!$B$8:$B$24,MATCH($C4889,DATA_ASSET_CLASSIFICATION!$A$8:$A$24,0)),"Review"))</f>
        <v>The Creek, Port Moody</v>
      </c>
      <c r="N4889" s="350" t="str">
        <f>IF($B4889="Portfolio","Portfolio",IFERROR(INDEX(DATA_ASSET_CLASSIFICATION!$U$8:$U$24,MATCH($C4889,DATA_ASSET_CLASSIFICATION!$A$8:$A$24,0)),"Review"))</f>
        <v>New Build</v>
      </c>
      <c r="O4889" s="350" t="str">
        <f>IF($B4889="Portfolio","Portfolio",IFERROR(INDEX(DATA_ASSET_CLASSIFICATION!$AB$8:$AB$13,MATCH($N4889,DATA_ASSET_CLASSIFICATION!$AA$8:$AA$13,0)),"Review"))</f>
        <v>Bucket 1 · New Build</v>
      </c>
      <c r="P4889" s="350" t="str">
        <f>IF($B4889="Portfolio","Portfolio",IFERROR(INDEX(DATA_ASSET_CLASSIFICATION!$C$8:$C$24,MATCH($C4889,DATA_ASSET_CLASSIFICATION!$A$8:$A$24,0)),"Review"))</f>
        <v>Yes</v>
      </c>
      <c r="Q4889" s="350" t="str">
        <f t="shared" ca="1" si="153"/>
        <v>OK</v>
      </c>
    </row>
    <row r="4890" spans="1:17" ht="30">
      <c r="A4890" s="366" t="s">
        <v>6846</v>
      </c>
      <c r="B4890" s="366" t="s">
        <v>231</v>
      </c>
      <c r="C4890" s="348" t="str">
        <f>DATA_PROPERTY_MASTER!$A$20</f>
        <v>BLD_PM</v>
      </c>
      <c r="D4890" s="380">
        <f>'00_PORTFOLIO ROLLUP'!T$12</f>
        <v>2040</v>
      </c>
      <c r="E4890" s="366" t="s">
        <v>1683</v>
      </c>
      <c r="F4890" s="366" t="s">
        <v>25</v>
      </c>
      <c r="G4890" s="348" t="str">
        <f>"'"&amp;$C4890&amp;"'!$E$52:$Y$52"</f>
        <v>'BLD_PM'!$E$52:$Y$52</v>
      </c>
      <c r="H4890" s="381">
        <f ca="1">IF(IFERROR(INDEX(DATA_PROPERTY_MASTER!$E$5:$E$21,MATCH($C4890,DATA_PROPERTY_MASTER!$A$5:$A$21,0))="Yes",FALSE),IFERROR(INDEX(INDIRECT("'"&amp;$C4890&amp;"'!$E$52:$Y$52"),1,MATCH($D4890,INDIRECT("'"&amp;$C4890&amp;"'!$E$12:$Y$12"),0)),0),0)</f>
        <v>2909686.4687257074</v>
      </c>
      <c r="I4890" s="366" t="s">
        <v>1685</v>
      </c>
      <c r="J4890" s="348" t="str">
        <f t="shared" ca="1" si="152"/>
        <v>OK</v>
      </c>
      <c r="K4890" s="366" t="s">
        <v>1710</v>
      </c>
      <c r="L4890" s="366" t="s">
        <v>2246</v>
      </c>
      <c r="M4890" s="350" t="str">
        <f>IF($B4890="Portfolio","Portfolio",IFERROR(INDEX(DATA_ASSET_CLASSIFICATION!$B$8:$B$24,MATCH($C4890,DATA_ASSET_CLASSIFICATION!$A$8:$A$24,0)),"Review"))</f>
        <v>The Creek, Port Moody</v>
      </c>
      <c r="N4890" s="350" t="str">
        <f>IF($B4890="Portfolio","Portfolio",IFERROR(INDEX(DATA_ASSET_CLASSIFICATION!$U$8:$U$24,MATCH($C4890,DATA_ASSET_CLASSIFICATION!$A$8:$A$24,0)),"Review"))</f>
        <v>New Build</v>
      </c>
      <c r="O4890" s="350" t="str">
        <f>IF($B4890="Portfolio","Portfolio",IFERROR(INDEX(DATA_ASSET_CLASSIFICATION!$AB$8:$AB$13,MATCH($N4890,DATA_ASSET_CLASSIFICATION!$AA$8:$AA$13,0)),"Review"))</f>
        <v>Bucket 1 · New Build</v>
      </c>
      <c r="P4890" s="350" t="str">
        <f>IF($B4890="Portfolio","Portfolio",IFERROR(INDEX(DATA_ASSET_CLASSIFICATION!$C$8:$C$24,MATCH($C4890,DATA_ASSET_CLASSIFICATION!$A$8:$A$24,0)),"Review"))</f>
        <v>Yes</v>
      </c>
      <c r="Q4890" s="350" t="str">
        <f t="shared" ca="1" si="153"/>
        <v>OK</v>
      </c>
    </row>
    <row r="4891" spans="1:17" ht="30">
      <c r="A4891" s="366" t="s">
        <v>6847</v>
      </c>
      <c r="B4891" s="366" t="s">
        <v>231</v>
      </c>
      <c r="C4891" s="348" t="str">
        <f>DATA_PROPERTY_MASTER!$A$20</f>
        <v>BLD_PM</v>
      </c>
      <c r="D4891" s="380">
        <f>'00_PORTFOLIO ROLLUP'!T$12</f>
        <v>2040</v>
      </c>
      <c r="E4891" s="366" t="s">
        <v>1683</v>
      </c>
      <c r="F4891" s="366" t="s">
        <v>27</v>
      </c>
      <c r="G4891" s="348" t="str">
        <f>"'"&amp;$C4891&amp;"'!$E$54:$Y$54"</f>
        <v>'BLD_PM'!$E$54:$Y$54</v>
      </c>
      <c r="H4891" s="381">
        <f ca="1">IF(IFERROR(INDEX(DATA_PROPERTY_MASTER!$E$5:$E$21,MATCH($C4891,DATA_PROPERTY_MASTER!$A$5:$A$21,0))="Yes",FALSE),IFERROR(INDEX(INDIRECT("'"&amp;$C4891&amp;"'!$E$54:$Y$54"),1,MATCH($D4891,INDIRECT("'"&amp;$C4891&amp;"'!$E$12:$Y$12"),0)),0),0)</f>
        <v>1745811.8812354244</v>
      </c>
      <c r="I4891" s="366" t="s">
        <v>1690</v>
      </c>
      <c r="J4891" s="348" t="str">
        <f t="shared" ca="1" si="152"/>
        <v>OK</v>
      </c>
      <c r="K4891" s="366" t="s">
        <v>1714</v>
      </c>
      <c r="L4891" s="366" t="s">
        <v>2248</v>
      </c>
      <c r="M4891" s="350" t="str">
        <f>IF($B4891="Portfolio","Portfolio",IFERROR(INDEX(DATA_ASSET_CLASSIFICATION!$B$8:$B$24,MATCH($C4891,DATA_ASSET_CLASSIFICATION!$A$8:$A$24,0)),"Review"))</f>
        <v>The Creek, Port Moody</v>
      </c>
      <c r="N4891" s="350" t="str">
        <f>IF($B4891="Portfolio","Portfolio",IFERROR(INDEX(DATA_ASSET_CLASSIFICATION!$U$8:$U$24,MATCH($C4891,DATA_ASSET_CLASSIFICATION!$A$8:$A$24,0)),"Review"))</f>
        <v>New Build</v>
      </c>
      <c r="O4891" s="350" t="str">
        <f>IF($B4891="Portfolio","Portfolio",IFERROR(INDEX(DATA_ASSET_CLASSIFICATION!$AB$8:$AB$13,MATCH($N4891,DATA_ASSET_CLASSIFICATION!$AA$8:$AA$13,0)),"Review"))</f>
        <v>Bucket 1 · New Build</v>
      </c>
      <c r="P4891" s="350" t="str">
        <f>IF($B4891="Portfolio","Portfolio",IFERROR(INDEX(DATA_ASSET_CLASSIFICATION!$C$8:$C$24,MATCH($C4891,DATA_ASSET_CLASSIFICATION!$A$8:$A$24,0)),"Review"))</f>
        <v>Yes</v>
      </c>
      <c r="Q4891" s="350" t="str">
        <f t="shared" ca="1" si="153"/>
        <v>OK</v>
      </c>
    </row>
    <row r="4892" spans="1:17" ht="30">
      <c r="A4892" s="366" t="s">
        <v>6848</v>
      </c>
      <c r="B4892" s="366" t="s">
        <v>231</v>
      </c>
      <c r="C4892" s="348" t="str">
        <f>DATA_PROPERTY_MASTER!$A$20</f>
        <v>BLD_PM</v>
      </c>
      <c r="D4892" s="380">
        <f>'00_PORTFOLIO ROLLUP'!T$12</f>
        <v>2040</v>
      </c>
      <c r="E4892" s="366" t="s">
        <v>1683</v>
      </c>
      <c r="F4892" s="366" t="s">
        <v>29</v>
      </c>
      <c r="G4892" s="348" t="str">
        <f>"'"&amp;$C4892&amp;"'!$E$56:$Y$56"</f>
        <v>'BLD_PM'!$E$56:$Y$56</v>
      </c>
      <c r="H4892" s="381">
        <f ca="1">IF(IFERROR(INDEX(DATA_PROPERTY_MASTER!$E$5:$E$21,MATCH($C4892,DATA_PROPERTY_MASTER!$A$5:$A$21,0))="Yes",FALSE),IFERROR(INDEX(INDIRECT("'"&amp;$C4892&amp;"'!$E$56:$Y$56"),1,MATCH($D4892,INDIRECT("'"&amp;$C4892&amp;"'!$E$12:$Y$12"),0)),0),0)</f>
        <v>1163874.587490283</v>
      </c>
      <c r="I4892" s="366" t="s">
        <v>1685</v>
      </c>
      <c r="J4892" s="348" t="str">
        <f t="shared" ca="1" si="152"/>
        <v>OK</v>
      </c>
      <c r="K4892" s="366" t="s">
        <v>1718</v>
      </c>
      <c r="L4892" s="366" t="s">
        <v>2250</v>
      </c>
      <c r="M4892" s="350" t="str">
        <f>IF($B4892="Portfolio","Portfolio",IFERROR(INDEX(DATA_ASSET_CLASSIFICATION!$B$8:$B$24,MATCH($C4892,DATA_ASSET_CLASSIFICATION!$A$8:$A$24,0)),"Review"))</f>
        <v>The Creek, Port Moody</v>
      </c>
      <c r="N4892" s="350" t="str">
        <f>IF($B4892="Portfolio","Portfolio",IFERROR(INDEX(DATA_ASSET_CLASSIFICATION!$U$8:$U$24,MATCH($C4892,DATA_ASSET_CLASSIFICATION!$A$8:$A$24,0)),"Review"))</f>
        <v>New Build</v>
      </c>
      <c r="O4892" s="350" t="str">
        <f>IF($B4892="Portfolio","Portfolio",IFERROR(INDEX(DATA_ASSET_CLASSIFICATION!$AB$8:$AB$13,MATCH($N4892,DATA_ASSET_CLASSIFICATION!$AA$8:$AA$13,0)),"Review"))</f>
        <v>Bucket 1 · New Build</v>
      </c>
      <c r="P4892" s="350" t="str">
        <f>IF($B4892="Portfolio","Portfolio",IFERROR(INDEX(DATA_ASSET_CLASSIFICATION!$C$8:$C$24,MATCH($C4892,DATA_ASSET_CLASSIFICATION!$A$8:$A$24,0)),"Review"))</f>
        <v>Yes</v>
      </c>
      <c r="Q4892" s="350" t="str">
        <f t="shared" ca="1" si="153"/>
        <v>OK</v>
      </c>
    </row>
    <row r="4893" spans="1:17" ht="30">
      <c r="A4893" s="366" t="s">
        <v>6849</v>
      </c>
      <c r="B4893" s="366" t="s">
        <v>231</v>
      </c>
      <c r="C4893" s="348" t="str">
        <f>DATA_PROPERTY_MASTER!$A$20</f>
        <v>BLD_PM</v>
      </c>
      <c r="D4893" s="380">
        <f>'00_PORTFOLIO ROLLUP'!T$12</f>
        <v>2040</v>
      </c>
      <c r="E4893" s="366" t="s">
        <v>1721</v>
      </c>
      <c r="F4893" s="366" t="s">
        <v>31</v>
      </c>
      <c r="G4893" s="348" t="str">
        <f>"'"&amp;$C4893&amp;"'!$E$61:$Y$61"</f>
        <v>'BLD_PM'!$E$61:$Y$61</v>
      </c>
      <c r="H4893" s="381">
        <f ca="1">IF(IFERROR(INDEX(DATA_PROPERTY_MASTER!$E$5:$E$21,MATCH($C4893,DATA_PROPERTY_MASTER!$A$5:$A$21,0))="Yes",FALSE),IFERROR(INDEX(INDIRECT("'"&amp;$C4893&amp;"'!$E$61:$Y$61"),1,MATCH($D4893,INDIRECT("'"&amp;$C4893&amp;"'!$E$12:$Y$12"),0)),0),0)</f>
        <v>0</v>
      </c>
      <c r="I4893" s="366" t="s">
        <v>1690</v>
      </c>
      <c r="J4893" s="348" t="str">
        <f t="shared" ca="1" si="152"/>
        <v>OK</v>
      </c>
      <c r="K4893" s="366" t="s">
        <v>1723</v>
      </c>
      <c r="L4893" s="366" t="s">
        <v>2252</v>
      </c>
      <c r="M4893" s="350" t="str">
        <f>IF($B4893="Portfolio","Portfolio",IFERROR(INDEX(DATA_ASSET_CLASSIFICATION!$B$8:$B$24,MATCH($C4893,DATA_ASSET_CLASSIFICATION!$A$8:$A$24,0)),"Review"))</f>
        <v>The Creek, Port Moody</v>
      </c>
      <c r="N4893" s="350" t="str">
        <f>IF($B4893="Portfolio","Portfolio",IFERROR(INDEX(DATA_ASSET_CLASSIFICATION!$U$8:$U$24,MATCH($C4893,DATA_ASSET_CLASSIFICATION!$A$8:$A$24,0)),"Review"))</f>
        <v>New Build</v>
      </c>
      <c r="O4893" s="350" t="str">
        <f>IF($B4893="Portfolio","Portfolio",IFERROR(INDEX(DATA_ASSET_CLASSIFICATION!$AB$8:$AB$13,MATCH($N4893,DATA_ASSET_CLASSIFICATION!$AA$8:$AA$13,0)),"Review"))</f>
        <v>Bucket 1 · New Build</v>
      </c>
      <c r="P4893" s="350" t="str">
        <f>IF($B4893="Portfolio","Portfolio",IFERROR(INDEX(DATA_ASSET_CLASSIFICATION!$C$8:$C$24,MATCH($C4893,DATA_ASSET_CLASSIFICATION!$A$8:$A$24,0)),"Review"))</f>
        <v>Yes</v>
      </c>
      <c r="Q4893" s="350" t="str">
        <f t="shared" ca="1" si="153"/>
        <v>OK</v>
      </c>
    </row>
    <row r="4894" spans="1:17" ht="30">
      <c r="A4894" s="366" t="s">
        <v>6850</v>
      </c>
      <c r="B4894" s="366" t="s">
        <v>231</v>
      </c>
      <c r="C4894" s="348" t="str">
        <f>DATA_PROPERTY_MASTER!$A$20</f>
        <v>BLD_PM</v>
      </c>
      <c r="D4894" s="380">
        <f>'00_PORTFOLIO ROLLUP'!T$12</f>
        <v>2040</v>
      </c>
      <c r="E4894" s="366" t="s">
        <v>1721</v>
      </c>
      <c r="F4894" s="366" t="s">
        <v>33</v>
      </c>
      <c r="G4894" s="348" t="str">
        <f>"'"&amp;$C4894&amp;"'!$E$62:$Y$62"</f>
        <v>'BLD_PM'!$E$62:$Y$62</v>
      </c>
      <c r="H4894" s="381">
        <f ca="1">IF(IFERROR(INDEX(DATA_PROPERTY_MASTER!$E$5:$E$21,MATCH($C4894,DATA_PROPERTY_MASTER!$A$5:$A$21,0))="Yes",FALSE),IFERROR(INDEX(INDIRECT("'"&amp;$C4894&amp;"'!$E$62:$Y$62"),1,MATCH($D4894,INDIRECT("'"&amp;$C4894&amp;"'!$E$12:$Y$12"),0)),0),0)</f>
        <v>0</v>
      </c>
      <c r="I4894" s="366" t="s">
        <v>1685</v>
      </c>
      <c r="J4894" s="348" t="str">
        <f t="shared" ca="1" si="152"/>
        <v>OK</v>
      </c>
      <c r="K4894" s="366" t="s">
        <v>1727</v>
      </c>
      <c r="L4894" s="366" t="s">
        <v>2254</v>
      </c>
      <c r="M4894" s="350" t="str">
        <f>IF($B4894="Portfolio","Portfolio",IFERROR(INDEX(DATA_ASSET_CLASSIFICATION!$B$8:$B$24,MATCH($C4894,DATA_ASSET_CLASSIFICATION!$A$8:$A$24,0)),"Review"))</f>
        <v>The Creek, Port Moody</v>
      </c>
      <c r="N4894" s="350" t="str">
        <f>IF($B4894="Portfolio","Portfolio",IFERROR(INDEX(DATA_ASSET_CLASSIFICATION!$U$8:$U$24,MATCH($C4894,DATA_ASSET_CLASSIFICATION!$A$8:$A$24,0)),"Review"))</f>
        <v>New Build</v>
      </c>
      <c r="O4894" s="350" t="str">
        <f>IF($B4894="Portfolio","Portfolio",IFERROR(INDEX(DATA_ASSET_CLASSIFICATION!$AB$8:$AB$13,MATCH($N4894,DATA_ASSET_CLASSIFICATION!$AA$8:$AA$13,0)),"Review"))</f>
        <v>Bucket 1 · New Build</v>
      </c>
      <c r="P4894" s="350" t="str">
        <f>IF($B4894="Portfolio","Portfolio",IFERROR(INDEX(DATA_ASSET_CLASSIFICATION!$C$8:$C$24,MATCH($C4894,DATA_ASSET_CLASSIFICATION!$A$8:$A$24,0)),"Review"))</f>
        <v>Yes</v>
      </c>
      <c r="Q4894" s="350" t="str">
        <f t="shared" ca="1" si="153"/>
        <v>OK</v>
      </c>
    </row>
    <row r="4895" spans="1:17" ht="30">
      <c r="A4895" s="366" t="s">
        <v>6851</v>
      </c>
      <c r="B4895" s="366" t="s">
        <v>231</v>
      </c>
      <c r="C4895" s="348" t="str">
        <f>DATA_PROPERTY_MASTER!$A$20</f>
        <v>BLD_PM</v>
      </c>
      <c r="D4895" s="380">
        <f>'00_PORTFOLIO ROLLUP'!T$12</f>
        <v>2040</v>
      </c>
      <c r="E4895" s="366" t="s">
        <v>1721</v>
      </c>
      <c r="F4895" s="366" t="s">
        <v>35</v>
      </c>
      <c r="G4895" s="348" t="str">
        <f>"'"&amp;$C4895&amp;"'!$E$63:$Y$63"</f>
        <v>'BLD_PM'!$E$63:$Y$63</v>
      </c>
      <c r="H4895" s="381">
        <f ca="1">IF(IFERROR(INDEX(DATA_PROPERTY_MASTER!$E$5:$E$21,MATCH($C4895,DATA_PROPERTY_MASTER!$A$5:$A$21,0))="Yes",FALSE),IFERROR(INDEX(INDIRECT("'"&amp;$C4895&amp;"'!$E$63:$Y$63"),1,MATCH($D4895,INDIRECT("'"&amp;$C4895&amp;"'!$E$12:$Y$12"),0)),0),0)</f>
        <v>0</v>
      </c>
      <c r="I4895" s="366" t="s">
        <v>1731</v>
      </c>
      <c r="J4895" s="348" t="str">
        <f t="shared" ca="1" si="152"/>
        <v>OK</v>
      </c>
      <c r="K4895" s="366" t="s">
        <v>1732</v>
      </c>
      <c r="L4895" s="366" t="s">
        <v>2256</v>
      </c>
      <c r="M4895" s="350" t="str">
        <f>IF($B4895="Portfolio","Portfolio",IFERROR(INDEX(DATA_ASSET_CLASSIFICATION!$B$8:$B$24,MATCH($C4895,DATA_ASSET_CLASSIFICATION!$A$8:$A$24,0)),"Review"))</f>
        <v>The Creek, Port Moody</v>
      </c>
      <c r="N4895" s="350" t="str">
        <f>IF($B4895="Portfolio","Portfolio",IFERROR(INDEX(DATA_ASSET_CLASSIFICATION!$U$8:$U$24,MATCH($C4895,DATA_ASSET_CLASSIFICATION!$A$8:$A$24,0)),"Review"))</f>
        <v>New Build</v>
      </c>
      <c r="O4895" s="350" t="str">
        <f>IF($B4895="Portfolio","Portfolio",IFERROR(INDEX(DATA_ASSET_CLASSIFICATION!$AB$8:$AB$13,MATCH($N4895,DATA_ASSET_CLASSIFICATION!$AA$8:$AA$13,0)),"Review"))</f>
        <v>Bucket 1 · New Build</v>
      </c>
      <c r="P4895" s="350" t="str">
        <f>IF($B4895="Portfolio","Portfolio",IFERROR(INDEX(DATA_ASSET_CLASSIFICATION!$C$8:$C$24,MATCH($C4895,DATA_ASSET_CLASSIFICATION!$A$8:$A$24,0)),"Review"))</f>
        <v>Yes</v>
      </c>
      <c r="Q4895" s="350" t="str">
        <f t="shared" ca="1" si="153"/>
        <v>OK</v>
      </c>
    </row>
    <row r="4896" spans="1:17" ht="30">
      <c r="A4896" s="366" t="s">
        <v>6852</v>
      </c>
      <c r="B4896" s="366" t="s">
        <v>231</v>
      </c>
      <c r="C4896" s="348" t="str">
        <f>DATA_PROPERTY_MASTER!$A$20</f>
        <v>BLD_PM</v>
      </c>
      <c r="D4896" s="380">
        <f>'00_PORTFOLIO ROLLUP'!T$12</f>
        <v>2040</v>
      </c>
      <c r="E4896" s="366" t="s">
        <v>1721</v>
      </c>
      <c r="F4896" s="366" t="s">
        <v>37</v>
      </c>
      <c r="G4896" s="348" t="str">
        <f>"'"&amp;$C4896&amp;"'!$E$63:$Y$63"</f>
        <v>'BLD_PM'!$E$63:$Y$63</v>
      </c>
      <c r="H4896" s="381">
        <f ca="1">IF(IFERROR(INDEX(DATA_PROPERTY_MASTER!$E$5:$E$21,MATCH($C4896,DATA_PROPERTY_MASTER!$A$5:$A$21,0))="Yes",FALSE),MAX(IFERROR(INDEX(INDIRECT("'"&amp;$C4896&amp;"'!$E$63:$Y$63"),1,MATCH($D4896,INDIRECT("'"&amp;$C4896&amp;"'!$E$12:$Y$12"),0)),0),0),0)</f>
        <v>0</v>
      </c>
      <c r="I4896" s="366" t="s">
        <v>1685</v>
      </c>
      <c r="J4896" s="348" t="str">
        <f t="shared" ca="1" si="152"/>
        <v>OK</v>
      </c>
      <c r="K4896" s="366" t="s">
        <v>1735</v>
      </c>
      <c r="L4896" s="366" t="s">
        <v>2258</v>
      </c>
      <c r="M4896" s="350" t="str">
        <f>IF($B4896="Portfolio","Portfolio",IFERROR(INDEX(DATA_ASSET_CLASSIFICATION!$B$8:$B$24,MATCH($C4896,DATA_ASSET_CLASSIFICATION!$A$8:$A$24,0)),"Review"))</f>
        <v>The Creek, Port Moody</v>
      </c>
      <c r="N4896" s="350" t="str">
        <f>IF($B4896="Portfolio","Portfolio",IFERROR(INDEX(DATA_ASSET_CLASSIFICATION!$U$8:$U$24,MATCH($C4896,DATA_ASSET_CLASSIFICATION!$A$8:$A$24,0)),"Review"))</f>
        <v>New Build</v>
      </c>
      <c r="O4896" s="350" t="str">
        <f>IF($B4896="Portfolio","Portfolio",IFERROR(INDEX(DATA_ASSET_CLASSIFICATION!$AB$8:$AB$13,MATCH($N4896,DATA_ASSET_CLASSIFICATION!$AA$8:$AA$13,0)),"Review"))</f>
        <v>Bucket 1 · New Build</v>
      </c>
      <c r="P4896" s="350" t="str">
        <f>IF($B4896="Portfolio","Portfolio",IFERROR(INDEX(DATA_ASSET_CLASSIFICATION!$C$8:$C$24,MATCH($C4896,DATA_ASSET_CLASSIFICATION!$A$8:$A$24,0)),"Review"))</f>
        <v>Yes</v>
      </c>
      <c r="Q4896" s="350" t="str">
        <f t="shared" ca="1" si="153"/>
        <v>OK</v>
      </c>
    </row>
    <row r="4897" spans="1:17" ht="30">
      <c r="A4897" s="366" t="s">
        <v>6853</v>
      </c>
      <c r="B4897" s="366" t="s">
        <v>231</v>
      </c>
      <c r="C4897" s="348" t="str">
        <f>DATA_PROPERTY_MASTER!$A$20</f>
        <v>BLD_PM</v>
      </c>
      <c r="D4897" s="380">
        <f>'00_PORTFOLIO ROLLUP'!T$12</f>
        <v>2040</v>
      </c>
      <c r="E4897" s="366" t="s">
        <v>1721</v>
      </c>
      <c r="F4897" s="366" t="s">
        <v>39</v>
      </c>
      <c r="G4897" s="348" t="str">
        <f>"'"&amp;$C4897&amp;"'!$E$63:$Y$63"</f>
        <v>'BLD_PM'!$E$63:$Y$63</v>
      </c>
      <c r="H4897" s="381">
        <f ca="1">IF(IFERROR(INDEX(DATA_PROPERTY_MASTER!$E$5:$E$21,MATCH($C4897,DATA_PROPERTY_MASTER!$A$5:$A$21,0))="Yes",FALSE),MAX(-IFERROR(INDEX(INDIRECT("'"&amp;$C4897&amp;"'!$E$63:$Y$63"),1,MATCH($D4897,INDIRECT("'"&amp;$C4897&amp;"'!$E$12:$Y$12"),0)),0),0),0)</f>
        <v>0</v>
      </c>
      <c r="I4897" s="366" t="s">
        <v>1690</v>
      </c>
      <c r="J4897" s="348" t="str">
        <f t="shared" ca="1" si="152"/>
        <v>OK</v>
      </c>
      <c r="K4897" s="366" t="s">
        <v>1738</v>
      </c>
      <c r="L4897" s="366" t="s">
        <v>2260</v>
      </c>
      <c r="M4897" s="350" t="str">
        <f>IF($B4897="Portfolio","Portfolio",IFERROR(INDEX(DATA_ASSET_CLASSIFICATION!$B$8:$B$24,MATCH($C4897,DATA_ASSET_CLASSIFICATION!$A$8:$A$24,0)),"Review"))</f>
        <v>The Creek, Port Moody</v>
      </c>
      <c r="N4897" s="350" t="str">
        <f>IF($B4897="Portfolio","Portfolio",IFERROR(INDEX(DATA_ASSET_CLASSIFICATION!$U$8:$U$24,MATCH($C4897,DATA_ASSET_CLASSIFICATION!$A$8:$A$24,0)),"Review"))</f>
        <v>New Build</v>
      </c>
      <c r="O4897" s="350" t="str">
        <f>IF($B4897="Portfolio","Portfolio",IFERROR(INDEX(DATA_ASSET_CLASSIFICATION!$AB$8:$AB$13,MATCH($N4897,DATA_ASSET_CLASSIFICATION!$AA$8:$AA$13,0)),"Review"))</f>
        <v>Bucket 1 · New Build</v>
      </c>
      <c r="P4897" s="350" t="str">
        <f>IF($B4897="Portfolio","Portfolio",IFERROR(INDEX(DATA_ASSET_CLASSIFICATION!$C$8:$C$24,MATCH($C4897,DATA_ASSET_CLASSIFICATION!$A$8:$A$24,0)),"Review"))</f>
        <v>Yes</v>
      </c>
      <c r="Q4897" s="350" t="str">
        <f t="shared" ca="1" si="153"/>
        <v>OK</v>
      </c>
    </row>
    <row r="4898" spans="1:17" ht="30">
      <c r="A4898" s="366" t="s">
        <v>6854</v>
      </c>
      <c r="B4898" s="366" t="s">
        <v>231</v>
      </c>
      <c r="C4898" s="348" t="str">
        <f>DATA_PROPERTY_MASTER!$A$20</f>
        <v>BLD_PM</v>
      </c>
      <c r="D4898" s="380">
        <f>'00_PORTFOLIO ROLLUP'!T$12</f>
        <v>2040</v>
      </c>
      <c r="E4898" s="366" t="s">
        <v>1741</v>
      </c>
      <c r="F4898" s="366" t="s">
        <v>41</v>
      </c>
      <c r="G4898" s="348" t="str">
        <f>"'"&amp;$C4898&amp;"'!rows 56 + positive row 63"</f>
        <v>'BLD_PM'!rows 56 + positive row 63</v>
      </c>
      <c r="H4898" s="381">
        <f ca="1">IF(IFERROR(INDEX(DATA_PROPERTY_MASTER!$E$5:$E$21,MATCH($C4898,DATA_PROPERTY_MASTER!$A$5:$A$21,0))="Yes",FALSE),IFERROR(INDEX(INDIRECT("'"&amp;$C4898&amp;"'!$E$56:$Y$56"),1,MATCH($D4898,INDIRECT("'"&amp;$C4898&amp;"'!$E$12:$Y$12"),0)),0)+MAX(IFERROR(INDEX(INDIRECT("'"&amp;$C4898&amp;"'!$E$63:$Y$63"),1,MATCH($D4898,INDIRECT("'"&amp;$C4898&amp;"'!$E$12:$Y$12"),0)),0),0),0)</f>
        <v>1163874.587490283</v>
      </c>
      <c r="I4898" s="366" t="s">
        <v>1685</v>
      </c>
      <c r="J4898" s="348" t="str">
        <f t="shared" ca="1" si="152"/>
        <v>OK</v>
      </c>
      <c r="K4898" s="366" t="s">
        <v>1742</v>
      </c>
      <c r="L4898" s="366" t="s">
        <v>2262</v>
      </c>
      <c r="M4898" s="350" t="str">
        <f>IF($B4898="Portfolio","Portfolio",IFERROR(INDEX(DATA_ASSET_CLASSIFICATION!$B$8:$B$24,MATCH($C4898,DATA_ASSET_CLASSIFICATION!$A$8:$A$24,0)),"Review"))</f>
        <v>The Creek, Port Moody</v>
      </c>
      <c r="N4898" s="350" t="str">
        <f>IF($B4898="Portfolio","Portfolio",IFERROR(INDEX(DATA_ASSET_CLASSIFICATION!$U$8:$U$24,MATCH($C4898,DATA_ASSET_CLASSIFICATION!$A$8:$A$24,0)),"Review"))</f>
        <v>New Build</v>
      </c>
      <c r="O4898" s="350" t="str">
        <f>IF($B4898="Portfolio","Portfolio",IFERROR(INDEX(DATA_ASSET_CLASSIFICATION!$AB$8:$AB$13,MATCH($N4898,DATA_ASSET_CLASSIFICATION!$AA$8:$AA$13,0)),"Review"))</f>
        <v>Bucket 1 · New Build</v>
      </c>
      <c r="P4898" s="350" t="str">
        <f>IF($B4898="Portfolio","Portfolio",IFERROR(INDEX(DATA_ASSET_CLASSIFICATION!$C$8:$C$24,MATCH($C4898,DATA_ASSET_CLASSIFICATION!$A$8:$A$24,0)),"Review"))</f>
        <v>Yes</v>
      </c>
      <c r="Q4898" s="350" t="str">
        <f t="shared" ca="1" si="153"/>
        <v>OK</v>
      </c>
    </row>
    <row r="4899" spans="1:17" ht="30">
      <c r="A4899" s="366" t="s">
        <v>6855</v>
      </c>
      <c r="B4899" s="366" t="s">
        <v>231</v>
      </c>
      <c r="C4899" s="348" t="str">
        <f>DATA_PROPERTY_MASTER!$A$20</f>
        <v>BLD_PM</v>
      </c>
      <c r="D4899" s="380">
        <f>'00_PORTFOLIO ROLLUP'!T$12</f>
        <v>2040</v>
      </c>
      <c r="E4899" s="366" t="s">
        <v>1741</v>
      </c>
      <c r="F4899" s="366" t="s">
        <v>43</v>
      </c>
      <c r="G4899" s="348" t="str">
        <f>"'"&amp;$C4899&amp;"'!$E$68:$Y$68"</f>
        <v>'BLD_PM'!$E$68:$Y$68</v>
      </c>
      <c r="H4899" s="381">
        <f ca="1">IF(IFERROR(INDEX(DATA_PROPERTY_MASTER!$E$5:$E$21,MATCH($C4899,DATA_PROPERTY_MASTER!$A$5:$A$21,0))="Yes",FALSE),IFERROR(INDEX(INDIRECT("'"&amp;$C4899&amp;"'!$E$68:$Y$68"),1,MATCH($D4899,INDIRECT("'"&amp;$C4899&amp;"'!$E$12:$Y$12"),0)),0),0)</f>
        <v>1163874.587490283</v>
      </c>
      <c r="I4899" s="366" t="s">
        <v>1731</v>
      </c>
      <c r="J4899" s="348" t="str">
        <f t="shared" ca="1" si="152"/>
        <v>OK</v>
      </c>
      <c r="K4899" s="366" t="s">
        <v>1746</v>
      </c>
      <c r="L4899" s="366" t="s">
        <v>2264</v>
      </c>
      <c r="M4899" s="350" t="str">
        <f>IF($B4899="Portfolio","Portfolio",IFERROR(INDEX(DATA_ASSET_CLASSIFICATION!$B$8:$B$24,MATCH($C4899,DATA_ASSET_CLASSIFICATION!$A$8:$A$24,0)),"Review"))</f>
        <v>The Creek, Port Moody</v>
      </c>
      <c r="N4899" s="350" t="str">
        <f>IF($B4899="Portfolio","Portfolio",IFERROR(INDEX(DATA_ASSET_CLASSIFICATION!$U$8:$U$24,MATCH($C4899,DATA_ASSET_CLASSIFICATION!$A$8:$A$24,0)),"Review"))</f>
        <v>New Build</v>
      </c>
      <c r="O4899" s="350" t="str">
        <f>IF($B4899="Portfolio","Portfolio",IFERROR(INDEX(DATA_ASSET_CLASSIFICATION!$AB$8:$AB$13,MATCH($N4899,DATA_ASSET_CLASSIFICATION!$AA$8:$AA$13,0)),"Review"))</f>
        <v>Bucket 1 · New Build</v>
      </c>
      <c r="P4899" s="350" t="str">
        <f>IF($B4899="Portfolio","Portfolio",IFERROR(INDEX(DATA_ASSET_CLASSIFICATION!$C$8:$C$24,MATCH($C4899,DATA_ASSET_CLASSIFICATION!$A$8:$A$24,0)),"Review"))</f>
        <v>Yes</v>
      </c>
      <c r="Q4899" s="350" t="str">
        <f t="shared" ca="1" si="153"/>
        <v>OK</v>
      </c>
    </row>
    <row r="4900" spans="1:17" ht="30">
      <c r="A4900" s="366" t="s">
        <v>6856</v>
      </c>
      <c r="B4900" s="366" t="s">
        <v>231</v>
      </c>
      <c r="C4900" s="348" t="str">
        <f>DATA_PROPERTY_MASTER!$A$20</f>
        <v>BLD_PM</v>
      </c>
      <c r="D4900" s="380">
        <f>'00_PORTFOLIO ROLLUP'!T$12</f>
        <v>2040</v>
      </c>
      <c r="E4900" s="366" t="s">
        <v>1741</v>
      </c>
      <c r="F4900" s="366" t="s">
        <v>1749</v>
      </c>
      <c r="G4900" s="348" t="str">
        <f>"'"&amp;$C4900&amp;"'!rows 56, 63, 68"</f>
        <v>'BLD_PM'!rows 56, 63, 68</v>
      </c>
      <c r="H4900" s="381">
        <f ca="1">IF(IFERROR(INDEX(DATA_PROPERTY_MASTER!$E$5:$E$21,MATCH($C4900,DATA_PROPERTY_MASTER!$A$5:$A$21,0))="Yes",FALSE),(IFERROR(INDEX(INDIRECT("'"&amp;$C4900&amp;"'!$E$56:$Y$56"),1,MATCH($D4900,INDIRECT("'"&amp;$C4900&amp;"'!$E$12:$Y$12"),0)),0)+MAX(IFERROR(INDEX(INDIRECT("'"&amp;$C4900&amp;"'!$E$63:$Y$63"),1,MATCH($D4900,INDIRECT("'"&amp;$C4900&amp;"'!$E$12:$Y$12"),0)),0),0))-(IFERROR(INDEX(INDIRECT("'"&amp;$C4900&amp;"'!$E$68:$Y$68"),1,MATCH($D4900,INDIRECT("'"&amp;$C4900&amp;"'!$E$12:$Y$12"),0)),0)),0)</f>
        <v>0</v>
      </c>
      <c r="I4900" s="366" t="s">
        <v>1750</v>
      </c>
      <c r="J4900" s="348" t="str">
        <f t="shared" ca="1" si="152"/>
        <v>OK</v>
      </c>
      <c r="K4900" s="366" t="s">
        <v>1751</v>
      </c>
      <c r="L4900" s="366" t="s">
        <v>2266</v>
      </c>
      <c r="M4900" s="350" t="str">
        <f>IF($B4900="Portfolio","Portfolio",IFERROR(INDEX(DATA_ASSET_CLASSIFICATION!$B$8:$B$24,MATCH($C4900,DATA_ASSET_CLASSIFICATION!$A$8:$A$24,0)),"Review"))</f>
        <v>The Creek, Port Moody</v>
      </c>
      <c r="N4900" s="350" t="str">
        <f>IF($B4900="Portfolio","Portfolio",IFERROR(INDEX(DATA_ASSET_CLASSIFICATION!$U$8:$U$24,MATCH($C4900,DATA_ASSET_CLASSIFICATION!$A$8:$A$24,0)),"Review"))</f>
        <v>New Build</v>
      </c>
      <c r="O4900" s="350" t="str">
        <f>IF($B4900="Portfolio","Portfolio",IFERROR(INDEX(DATA_ASSET_CLASSIFICATION!$AB$8:$AB$13,MATCH($N4900,DATA_ASSET_CLASSIFICATION!$AA$8:$AA$13,0)),"Review"))</f>
        <v>Bucket 1 · New Build</v>
      </c>
      <c r="P4900" s="350" t="str">
        <f>IF($B4900="Portfolio","Portfolio",IFERROR(INDEX(DATA_ASSET_CLASSIFICATION!$C$8:$C$24,MATCH($C4900,DATA_ASSET_CLASSIFICATION!$A$8:$A$24,0)),"Review"))</f>
        <v>Yes</v>
      </c>
      <c r="Q4900" s="350" t="str">
        <f t="shared" ca="1" si="153"/>
        <v>OK</v>
      </c>
    </row>
    <row r="4901" spans="1:17" ht="30">
      <c r="A4901" s="366" t="s">
        <v>6857</v>
      </c>
      <c r="B4901" s="366" t="s">
        <v>231</v>
      </c>
      <c r="C4901" s="348" t="str">
        <f>DATA_PROPERTY_MASTER!$A$20</f>
        <v>BLD_PM</v>
      </c>
      <c r="D4901" s="380">
        <f>'00_PORTFOLIO ROLLUP'!U$12</f>
        <v>2041</v>
      </c>
      <c r="E4901" s="366" t="s">
        <v>1683</v>
      </c>
      <c r="F4901" s="366" t="s">
        <v>341</v>
      </c>
      <c r="G4901" s="348" t="str">
        <f>"'"&amp;$C4901&amp;"'!$E$24:$Y$24"</f>
        <v>'BLD_PM'!$E$24:$Y$24</v>
      </c>
      <c r="H4901" s="381">
        <f ca="1">IF(IFERROR(INDEX(DATA_PROPERTY_MASTER!$E$5:$E$21,MATCH($C4901,DATA_PROPERTY_MASTER!$A$5:$A$21,0))="Yes",FALSE),IFERROR(INDEX(INDIRECT("'"&amp;$C4901&amp;"'!$E$24:$Y$24"),1,MATCH($D4901,INDIRECT("'"&amp;$C4901&amp;"'!$E$12:$Y$12"),0)),0),0)</f>
        <v>6444183.1704472201</v>
      </c>
      <c r="I4901" s="366" t="s">
        <v>1685</v>
      </c>
      <c r="J4901" s="348" t="str">
        <f t="shared" ca="1" si="152"/>
        <v>OK</v>
      </c>
      <c r="K4901" s="366" t="s">
        <v>1686</v>
      </c>
      <c r="L4901" s="366" t="s">
        <v>2234</v>
      </c>
      <c r="M4901" s="350" t="str">
        <f>IF($B4901="Portfolio","Portfolio",IFERROR(INDEX(DATA_ASSET_CLASSIFICATION!$B$8:$B$24,MATCH($C4901,DATA_ASSET_CLASSIFICATION!$A$8:$A$24,0)),"Review"))</f>
        <v>The Creek, Port Moody</v>
      </c>
      <c r="N4901" s="350" t="str">
        <f>IF($B4901="Portfolio","Portfolio",IFERROR(INDEX(DATA_ASSET_CLASSIFICATION!$U$8:$U$24,MATCH($C4901,DATA_ASSET_CLASSIFICATION!$A$8:$A$24,0)),"Review"))</f>
        <v>New Build</v>
      </c>
      <c r="O4901" s="350" t="str">
        <f>IF($B4901="Portfolio","Portfolio",IFERROR(INDEX(DATA_ASSET_CLASSIFICATION!$AB$8:$AB$13,MATCH($N4901,DATA_ASSET_CLASSIFICATION!$AA$8:$AA$13,0)),"Review"))</f>
        <v>Bucket 1 · New Build</v>
      </c>
      <c r="P4901" s="350" t="str">
        <f>IF($B4901="Portfolio","Portfolio",IFERROR(INDEX(DATA_ASSET_CLASSIFICATION!$C$8:$C$24,MATCH($C4901,DATA_ASSET_CLASSIFICATION!$A$8:$A$24,0)),"Review"))</f>
        <v>Yes</v>
      </c>
      <c r="Q4901" s="350" t="str">
        <f t="shared" ca="1" si="153"/>
        <v>OK</v>
      </c>
    </row>
    <row r="4902" spans="1:17" ht="30">
      <c r="A4902" s="366" t="s">
        <v>6858</v>
      </c>
      <c r="B4902" s="366" t="s">
        <v>231</v>
      </c>
      <c r="C4902" s="348" t="str">
        <f>DATA_PROPERTY_MASTER!$A$20</f>
        <v>BLD_PM</v>
      </c>
      <c r="D4902" s="380">
        <f>'00_PORTFOLIO ROLLUP'!U$12</f>
        <v>2041</v>
      </c>
      <c r="E4902" s="366" t="s">
        <v>1683</v>
      </c>
      <c r="F4902" s="366" t="s">
        <v>355</v>
      </c>
      <c r="G4902" s="348" t="str">
        <f>"'"&amp;$C4902&amp;"'!$E$39:$Y$39"</f>
        <v>'BLD_PM'!$E$39:$Y$39</v>
      </c>
      <c r="H4902" s="381">
        <f ca="1">IF(IFERROR(INDEX(DATA_PROPERTY_MASTER!$E$5:$E$21,MATCH($C4902,DATA_PROPERTY_MASTER!$A$5:$A$21,0))="Yes",FALSE),IFERROR(INDEX(INDIRECT("'"&amp;$C4902&amp;"'!$E$39:$Y$39"),1,MATCH($D4902,INDIRECT("'"&amp;$C4902&amp;"'!$E$12:$Y$12"),0)),0),0)</f>
        <v>298445.95169352728</v>
      </c>
      <c r="I4902" s="366" t="s">
        <v>1690</v>
      </c>
      <c r="J4902" s="348" t="str">
        <f t="shared" ca="1" si="152"/>
        <v>OK</v>
      </c>
      <c r="K4902" s="366" t="s">
        <v>1686</v>
      </c>
      <c r="L4902" s="366" t="s">
        <v>2236</v>
      </c>
      <c r="M4902" s="350" t="str">
        <f>IF($B4902="Portfolio","Portfolio",IFERROR(INDEX(DATA_ASSET_CLASSIFICATION!$B$8:$B$24,MATCH($C4902,DATA_ASSET_CLASSIFICATION!$A$8:$A$24,0)),"Review"))</f>
        <v>The Creek, Port Moody</v>
      </c>
      <c r="N4902" s="350" t="str">
        <f>IF($B4902="Portfolio","Portfolio",IFERROR(INDEX(DATA_ASSET_CLASSIFICATION!$U$8:$U$24,MATCH($C4902,DATA_ASSET_CLASSIFICATION!$A$8:$A$24,0)),"Review"))</f>
        <v>New Build</v>
      </c>
      <c r="O4902" s="350" t="str">
        <f>IF($B4902="Portfolio","Portfolio",IFERROR(INDEX(DATA_ASSET_CLASSIFICATION!$AB$8:$AB$13,MATCH($N4902,DATA_ASSET_CLASSIFICATION!$AA$8:$AA$13,0)),"Review"))</f>
        <v>Bucket 1 · New Build</v>
      </c>
      <c r="P4902" s="350" t="str">
        <f>IF($B4902="Portfolio","Portfolio",IFERROR(INDEX(DATA_ASSET_CLASSIFICATION!$C$8:$C$24,MATCH($C4902,DATA_ASSET_CLASSIFICATION!$A$8:$A$24,0)),"Review"))</f>
        <v>Yes</v>
      </c>
      <c r="Q4902" s="350" t="str">
        <f t="shared" ca="1" si="153"/>
        <v>OK</v>
      </c>
    </row>
    <row r="4903" spans="1:17" ht="30">
      <c r="A4903" s="366" t="s">
        <v>6859</v>
      </c>
      <c r="B4903" s="366" t="s">
        <v>231</v>
      </c>
      <c r="C4903" s="348" t="str">
        <f>DATA_PROPERTY_MASTER!$A$20</f>
        <v>BLD_PM</v>
      </c>
      <c r="D4903" s="380">
        <f>'00_PORTFOLIO ROLLUP'!U$12</f>
        <v>2041</v>
      </c>
      <c r="E4903" s="366" t="s">
        <v>1683</v>
      </c>
      <c r="F4903" s="366" t="s">
        <v>19</v>
      </c>
      <c r="G4903" s="348" t="str">
        <f>"'"&amp;$C4903&amp;"'!$E$41:$Y$41"</f>
        <v>'BLD_PM'!$E$41:$Y$41</v>
      </c>
      <c r="H4903" s="381">
        <f ca="1">IF(IFERROR(INDEX(DATA_PROPERTY_MASTER!$E$5:$E$21,MATCH($C4903,DATA_PROPERTY_MASTER!$A$5:$A$21,0))="Yes",FALSE),IFERROR(INDEX(INDIRECT("'"&amp;$C4903&amp;"'!$E$41:$Y$41"),1,MATCH($D4903,INDIRECT("'"&amp;$C4903&amp;"'!$E$12:$Y$12"),0)),0),0)</f>
        <v>6145737.2187536927</v>
      </c>
      <c r="I4903" s="366" t="s">
        <v>1685</v>
      </c>
      <c r="J4903" s="348" t="str">
        <f t="shared" ca="1" si="152"/>
        <v>OK</v>
      </c>
      <c r="K4903" s="366" t="s">
        <v>1694</v>
      </c>
      <c r="L4903" s="366" t="s">
        <v>2238</v>
      </c>
      <c r="M4903" s="350" t="str">
        <f>IF($B4903="Portfolio","Portfolio",IFERROR(INDEX(DATA_ASSET_CLASSIFICATION!$B$8:$B$24,MATCH($C4903,DATA_ASSET_CLASSIFICATION!$A$8:$A$24,0)),"Review"))</f>
        <v>The Creek, Port Moody</v>
      </c>
      <c r="N4903" s="350" t="str">
        <f>IF($B4903="Portfolio","Portfolio",IFERROR(INDEX(DATA_ASSET_CLASSIFICATION!$U$8:$U$24,MATCH($C4903,DATA_ASSET_CLASSIFICATION!$A$8:$A$24,0)),"Review"))</f>
        <v>New Build</v>
      </c>
      <c r="O4903" s="350" t="str">
        <f>IF($B4903="Portfolio","Portfolio",IFERROR(INDEX(DATA_ASSET_CLASSIFICATION!$AB$8:$AB$13,MATCH($N4903,DATA_ASSET_CLASSIFICATION!$AA$8:$AA$13,0)),"Review"))</f>
        <v>Bucket 1 · New Build</v>
      </c>
      <c r="P4903" s="350" t="str">
        <f>IF($B4903="Portfolio","Portfolio",IFERROR(INDEX(DATA_ASSET_CLASSIFICATION!$C$8:$C$24,MATCH($C4903,DATA_ASSET_CLASSIFICATION!$A$8:$A$24,0)),"Review"))</f>
        <v>Yes</v>
      </c>
      <c r="Q4903" s="350" t="str">
        <f t="shared" ca="1" si="153"/>
        <v>OK</v>
      </c>
    </row>
    <row r="4904" spans="1:17" ht="30">
      <c r="A4904" s="366" t="s">
        <v>6860</v>
      </c>
      <c r="B4904" s="366" t="s">
        <v>231</v>
      </c>
      <c r="C4904" s="348" t="str">
        <f>DATA_PROPERTY_MASTER!$A$20</f>
        <v>BLD_PM</v>
      </c>
      <c r="D4904" s="380">
        <f>'00_PORTFOLIO ROLLUP'!U$12</f>
        <v>2041</v>
      </c>
      <c r="E4904" s="366" t="s">
        <v>1683</v>
      </c>
      <c r="F4904" s="366" t="s">
        <v>1697</v>
      </c>
      <c r="G4904" s="348" t="str">
        <f>"'"&amp;$C4904&amp;"'!$E$44:$Y$44"</f>
        <v>'BLD_PM'!$E$44:$Y$44</v>
      </c>
      <c r="H4904" s="381">
        <f ca="1">IF(IFERROR(INDEX(DATA_PROPERTY_MASTER!$E$5:$E$21,MATCH($C4904,DATA_PROPERTY_MASTER!$A$5:$A$21,0))="Yes",FALSE),IFERROR(INDEX(INDIRECT("'"&amp;$C4904&amp;"'!$E$44:$Y$44"),1,MATCH($D4904,INDIRECT("'"&amp;$C4904&amp;"'!$E$12:$Y$12"),0)),0),0)</f>
        <v>67541.056690458106</v>
      </c>
      <c r="I4904" s="366" t="s">
        <v>1690</v>
      </c>
      <c r="J4904" s="348" t="str">
        <f t="shared" ca="1" si="152"/>
        <v>OK</v>
      </c>
      <c r="K4904" s="366" t="s">
        <v>1699</v>
      </c>
      <c r="L4904" s="366" t="s">
        <v>2240</v>
      </c>
      <c r="M4904" s="350" t="str">
        <f>IF($B4904="Portfolio","Portfolio",IFERROR(INDEX(DATA_ASSET_CLASSIFICATION!$B$8:$B$24,MATCH($C4904,DATA_ASSET_CLASSIFICATION!$A$8:$A$24,0)),"Review"))</f>
        <v>The Creek, Port Moody</v>
      </c>
      <c r="N4904" s="350" t="str">
        <f>IF($B4904="Portfolio","Portfolio",IFERROR(INDEX(DATA_ASSET_CLASSIFICATION!$U$8:$U$24,MATCH($C4904,DATA_ASSET_CLASSIFICATION!$A$8:$A$24,0)),"Review"))</f>
        <v>New Build</v>
      </c>
      <c r="O4904" s="350" t="str">
        <f>IF($B4904="Portfolio","Portfolio",IFERROR(INDEX(DATA_ASSET_CLASSIFICATION!$AB$8:$AB$13,MATCH($N4904,DATA_ASSET_CLASSIFICATION!$AA$8:$AA$13,0)),"Review"))</f>
        <v>Bucket 1 · New Build</v>
      </c>
      <c r="P4904" s="350" t="str">
        <f>IF($B4904="Portfolio","Portfolio",IFERROR(INDEX(DATA_ASSET_CLASSIFICATION!$C$8:$C$24,MATCH($C4904,DATA_ASSET_CLASSIFICATION!$A$8:$A$24,0)),"Review"))</f>
        <v>Yes</v>
      </c>
      <c r="Q4904" s="350" t="str">
        <f t="shared" ca="1" si="153"/>
        <v>OK</v>
      </c>
    </row>
    <row r="4905" spans="1:17" ht="30">
      <c r="A4905" s="366" t="s">
        <v>6861</v>
      </c>
      <c r="B4905" s="366" t="s">
        <v>231</v>
      </c>
      <c r="C4905" s="348" t="str">
        <f>DATA_PROPERTY_MASTER!$A$20</f>
        <v>BLD_PM</v>
      </c>
      <c r="D4905" s="380">
        <f>'00_PORTFOLIO ROLLUP'!U$12</f>
        <v>2041</v>
      </c>
      <c r="E4905" s="366" t="s">
        <v>1683</v>
      </c>
      <c r="F4905" s="366" t="s">
        <v>21</v>
      </c>
      <c r="G4905" s="348" t="str">
        <f>"'"&amp;$C4905&amp;"'!$E$45:$Y$45"</f>
        <v>'BLD_PM'!$E$45:$Y$45</v>
      </c>
      <c r="H4905" s="381">
        <f ca="1">IF(IFERROR(INDEX(DATA_PROPERTY_MASTER!$E$5:$E$21,MATCH($C4905,DATA_PROPERTY_MASTER!$A$5:$A$21,0))="Yes",FALSE),IFERROR(INDEX(INDIRECT("'"&amp;$C4905&amp;"'!$E$45:$Y$45"),1,MATCH($D4905,INDIRECT("'"&amp;$C4905&amp;"'!$E$12:$Y$12"),0)),0),0)</f>
        <v>6078196.1620632345</v>
      </c>
      <c r="I4905" s="366" t="s">
        <v>1685</v>
      </c>
      <c r="J4905" s="348" t="str">
        <f t="shared" ca="1" si="152"/>
        <v>OK</v>
      </c>
      <c r="K4905" s="366" t="s">
        <v>1694</v>
      </c>
      <c r="L4905" s="366" t="s">
        <v>2242</v>
      </c>
      <c r="M4905" s="350" t="str">
        <f>IF($B4905="Portfolio","Portfolio",IFERROR(INDEX(DATA_ASSET_CLASSIFICATION!$B$8:$B$24,MATCH($C4905,DATA_ASSET_CLASSIFICATION!$A$8:$A$24,0)),"Review"))</f>
        <v>The Creek, Port Moody</v>
      </c>
      <c r="N4905" s="350" t="str">
        <f>IF($B4905="Portfolio","Portfolio",IFERROR(INDEX(DATA_ASSET_CLASSIFICATION!$U$8:$U$24,MATCH($C4905,DATA_ASSET_CLASSIFICATION!$A$8:$A$24,0)),"Review"))</f>
        <v>New Build</v>
      </c>
      <c r="O4905" s="350" t="str">
        <f>IF($B4905="Portfolio","Portfolio",IFERROR(INDEX(DATA_ASSET_CLASSIFICATION!$AB$8:$AB$13,MATCH($N4905,DATA_ASSET_CLASSIFICATION!$AA$8:$AA$13,0)),"Review"))</f>
        <v>Bucket 1 · New Build</v>
      </c>
      <c r="P4905" s="350" t="str">
        <f>IF($B4905="Portfolio","Portfolio",IFERROR(INDEX(DATA_ASSET_CLASSIFICATION!$C$8:$C$24,MATCH($C4905,DATA_ASSET_CLASSIFICATION!$A$8:$A$24,0)),"Review"))</f>
        <v>Yes</v>
      </c>
      <c r="Q4905" s="350" t="str">
        <f t="shared" ca="1" si="153"/>
        <v>OK</v>
      </c>
    </row>
    <row r="4906" spans="1:17" ht="30">
      <c r="A4906" s="366" t="s">
        <v>6862</v>
      </c>
      <c r="B4906" s="366" t="s">
        <v>231</v>
      </c>
      <c r="C4906" s="348" t="str">
        <f>DATA_PROPERTY_MASTER!$A$20</f>
        <v>BLD_PM</v>
      </c>
      <c r="D4906" s="380">
        <f>'00_PORTFOLIO ROLLUP'!U$12</f>
        <v>2041</v>
      </c>
      <c r="E4906" s="366" t="s">
        <v>23</v>
      </c>
      <c r="F4906" s="366" t="s">
        <v>23</v>
      </c>
      <c r="G4906" s="348" t="str">
        <f>"'"&amp;$C4906&amp;"'!$E$48:$Y$48"</f>
        <v>'BLD_PM'!$E$48:$Y$48</v>
      </c>
      <c r="H4906" s="381">
        <f ca="1">IF(IFERROR(INDEX(DATA_PROPERTY_MASTER!$E$5:$E$21,MATCH($C4906,DATA_PROPERTY_MASTER!$A$5:$A$21,0))="Yes",FALSE),IFERROR(INDEX(INDIRECT("'"&amp;$C4906&amp;"'!$E$48:$Y$48"),1,MATCH($D4906,INDIRECT("'"&amp;$C4906&amp;"'!$E$12:$Y$12"),0)),0),0)</f>
        <v>3116973.3868276179</v>
      </c>
      <c r="I4906" s="366" t="s">
        <v>1690</v>
      </c>
      <c r="J4906" s="348" t="str">
        <f t="shared" ca="1" si="152"/>
        <v>OK</v>
      </c>
      <c r="K4906" s="366" t="s">
        <v>1706</v>
      </c>
      <c r="L4906" s="366" t="s">
        <v>2244</v>
      </c>
      <c r="M4906" s="350" t="str">
        <f>IF($B4906="Portfolio","Portfolio",IFERROR(INDEX(DATA_ASSET_CLASSIFICATION!$B$8:$B$24,MATCH($C4906,DATA_ASSET_CLASSIFICATION!$A$8:$A$24,0)),"Review"))</f>
        <v>The Creek, Port Moody</v>
      </c>
      <c r="N4906" s="350" t="str">
        <f>IF($B4906="Portfolio","Portfolio",IFERROR(INDEX(DATA_ASSET_CLASSIFICATION!$U$8:$U$24,MATCH($C4906,DATA_ASSET_CLASSIFICATION!$A$8:$A$24,0)),"Review"))</f>
        <v>New Build</v>
      </c>
      <c r="O4906" s="350" t="str">
        <f>IF($B4906="Portfolio","Portfolio",IFERROR(INDEX(DATA_ASSET_CLASSIFICATION!$AB$8:$AB$13,MATCH($N4906,DATA_ASSET_CLASSIFICATION!$AA$8:$AA$13,0)),"Review"))</f>
        <v>Bucket 1 · New Build</v>
      </c>
      <c r="P4906" s="350" t="str">
        <f>IF($B4906="Portfolio","Portfolio",IFERROR(INDEX(DATA_ASSET_CLASSIFICATION!$C$8:$C$24,MATCH($C4906,DATA_ASSET_CLASSIFICATION!$A$8:$A$24,0)),"Review"))</f>
        <v>Yes</v>
      </c>
      <c r="Q4906" s="350" t="str">
        <f t="shared" ca="1" si="153"/>
        <v>OK</v>
      </c>
    </row>
    <row r="4907" spans="1:17" ht="30">
      <c r="A4907" s="366" t="s">
        <v>6863</v>
      </c>
      <c r="B4907" s="366" t="s">
        <v>231</v>
      </c>
      <c r="C4907" s="348" t="str">
        <f>DATA_PROPERTY_MASTER!$A$20</f>
        <v>BLD_PM</v>
      </c>
      <c r="D4907" s="380">
        <f>'00_PORTFOLIO ROLLUP'!U$12</f>
        <v>2041</v>
      </c>
      <c r="E4907" s="366" t="s">
        <v>1683</v>
      </c>
      <c r="F4907" s="366" t="s">
        <v>25</v>
      </c>
      <c r="G4907" s="348" t="str">
        <f>"'"&amp;$C4907&amp;"'!$E$52:$Y$52"</f>
        <v>'BLD_PM'!$E$52:$Y$52</v>
      </c>
      <c r="H4907" s="381">
        <f ca="1">IF(IFERROR(INDEX(DATA_PROPERTY_MASTER!$E$5:$E$21,MATCH($C4907,DATA_PROPERTY_MASTER!$A$5:$A$21,0))="Yes",FALSE),IFERROR(INDEX(INDIRECT("'"&amp;$C4907&amp;"'!$E$52:$Y$52"),1,MATCH($D4907,INDIRECT("'"&amp;$C4907&amp;"'!$E$12:$Y$12"),0)),0),0)</f>
        <v>3028763.8319260748</v>
      </c>
      <c r="I4907" s="366" t="s">
        <v>1685</v>
      </c>
      <c r="J4907" s="348" t="str">
        <f t="shared" ca="1" si="152"/>
        <v>OK</v>
      </c>
      <c r="K4907" s="366" t="s">
        <v>1710</v>
      </c>
      <c r="L4907" s="366" t="s">
        <v>2246</v>
      </c>
      <c r="M4907" s="350" t="str">
        <f>IF($B4907="Portfolio","Portfolio",IFERROR(INDEX(DATA_ASSET_CLASSIFICATION!$B$8:$B$24,MATCH($C4907,DATA_ASSET_CLASSIFICATION!$A$8:$A$24,0)),"Review"))</f>
        <v>The Creek, Port Moody</v>
      </c>
      <c r="N4907" s="350" t="str">
        <f>IF($B4907="Portfolio","Portfolio",IFERROR(INDEX(DATA_ASSET_CLASSIFICATION!$U$8:$U$24,MATCH($C4907,DATA_ASSET_CLASSIFICATION!$A$8:$A$24,0)),"Review"))</f>
        <v>New Build</v>
      </c>
      <c r="O4907" s="350" t="str">
        <f>IF($B4907="Portfolio","Portfolio",IFERROR(INDEX(DATA_ASSET_CLASSIFICATION!$AB$8:$AB$13,MATCH($N4907,DATA_ASSET_CLASSIFICATION!$AA$8:$AA$13,0)),"Review"))</f>
        <v>Bucket 1 · New Build</v>
      </c>
      <c r="P4907" s="350" t="str">
        <f>IF($B4907="Portfolio","Portfolio",IFERROR(INDEX(DATA_ASSET_CLASSIFICATION!$C$8:$C$24,MATCH($C4907,DATA_ASSET_CLASSIFICATION!$A$8:$A$24,0)),"Review"))</f>
        <v>Yes</v>
      </c>
      <c r="Q4907" s="350" t="str">
        <f t="shared" ca="1" si="153"/>
        <v>OK</v>
      </c>
    </row>
    <row r="4908" spans="1:17" ht="30">
      <c r="A4908" s="366" t="s">
        <v>6864</v>
      </c>
      <c r="B4908" s="366" t="s">
        <v>231</v>
      </c>
      <c r="C4908" s="348" t="str">
        <f>DATA_PROPERTY_MASTER!$A$20</f>
        <v>BLD_PM</v>
      </c>
      <c r="D4908" s="380">
        <f>'00_PORTFOLIO ROLLUP'!U$12</f>
        <v>2041</v>
      </c>
      <c r="E4908" s="366" t="s">
        <v>1683</v>
      </c>
      <c r="F4908" s="366" t="s">
        <v>27</v>
      </c>
      <c r="G4908" s="348" t="str">
        <f>"'"&amp;$C4908&amp;"'!$E$54:$Y$54"</f>
        <v>'BLD_PM'!$E$54:$Y$54</v>
      </c>
      <c r="H4908" s="381">
        <f ca="1">IF(IFERROR(INDEX(DATA_PROPERTY_MASTER!$E$5:$E$21,MATCH($C4908,DATA_PROPERTY_MASTER!$A$5:$A$21,0))="Yes",FALSE),IFERROR(INDEX(INDIRECT("'"&amp;$C4908&amp;"'!$E$54:$Y$54"),1,MATCH($D4908,INDIRECT("'"&amp;$C4908&amp;"'!$E$12:$Y$12"),0)),0),0)</f>
        <v>1817258.2991556448</v>
      </c>
      <c r="I4908" s="366" t="s">
        <v>1690</v>
      </c>
      <c r="J4908" s="348" t="str">
        <f t="shared" ca="1" si="152"/>
        <v>OK</v>
      </c>
      <c r="K4908" s="366" t="s">
        <v>1714</v>
      </c>
      <c r="L4908" s="366" t="s">
        <v>2248</v>
      </c>
      <c r="M4908" s="350" t="str">
        <f>IF($B4908="Portfolio","Portfolio",IFERROR(INDEX(DATA_ASSET_CLASSIFICATION!$B$8:$B$24,MATCH($C4908,DATA_ASSET_CLASSIFICATION!$A$8:$A$24,0)),"Review"))</f>
        <v>The Creek, Port Moody</v>
      </c>
      <c r="N4908" s="350" t="str">
        <f>IF($B4908="Portfolio","Portfolio",IFERROR(INDEX(DATA_ASSET_CLASSIFICATION!$U$8:$U$24,MATCH($C4908,DATA_ASSET_CLASSIFICATION!$A$8:$A$24,0)),"Review"))</f>
        <v>New Build</v>
      </c>
      <c r="O4908" s="350" t="str">
        <f>IF($B4908="Portfolio","Portfolio",IFERROR(INDEX(DATA_ASSET_CLASSIFICATION!$AB$8:$AB$13,MATCH($N4908,DATA_ASSET_CLASSIFICATION!$AA$8:$AA$13,0)),"Review"))</f>
        <v>Bucket 1 · New Build</v>
      </c>
      <c r="P4908" s="350" t="str">
        <f>IF($B4908="Portfolio","Portfolio",IFERROR(INDEX(DATA_ASSET_CLASSIFICATION!$C$8:$C$24,MATCH($C4908,DATA_ASSET_CLASSIFICATION!$A$8:$A$24,0)),"Review"))</f>
        <v>Yes</v>
      </c>
      <c r="Q4908" s="350" t="str">
        <f t="shared" ca="1" si="153"/>
        <v>OK</v>
      </c>
    </row>
    <row r="4909" spans="1:17" ht="30">
      <c r="A4909" s="366" t="s">
        <v>6865</v>
      </c>
      <c r="B4909" s="366" t="s">
        <v>231</v>
      </c>
      <c r="C4909" s="348" t="str">
        <f>DATA_PROPERTY_MASTER!$A$20</f>
        <v>BLD_PM</v>
      </c>
      <c r="D4909" s="380">
        <f>'00_PORTFOLIO ROLLUP'!U$12</f>
        <v>2041</v>
      </c>
      <c r="E4909" s="366" t="s">
        <v>1683</v>
      </c>
      <c r="F4909" s="366" t="s">
        <v>29</v>
      </c>
      <c r="G4909" s="348" t="str">
        <f>"'"&amp;$C4909&amp;"'!$E$56:$Y$56"</f>
        <v>'BLD_PM'!$E$56:$Y$56</v>
      </c>
      <c r="H4909" s="381">
        <f ca="1">IF(IFERROR(INDEX(DATA_PROPERTY_MASTER!$E$5:$E$21,MATCH($C4909,DATA_PROPERTY_MASTER!$A$5:$A$21,0))="Yes",FALSE),IFERROR(INDEX(INDIRECT("'"&amp;$C4909&amp;"'!$E$56:$Y$56"),1,MATCH($D4909,INDIRECT("'"&amp;$C4909&amp;"'!$E$12:$Y$12"),0)),0),0)</f>
        <v>1211505.53277043</v>
      </c>
      <c r="I4909" s="366" t="s">
        <v>1685</v>
      </c>
      <c r="J4909" s="348" t="str">
        <f t="shared" ca="1" si="152"/>
        <v>OK</v>
      </c>
      <c r="K4909" s="366" t="s">
        <v>1718</v>
      </c>
      <c r="L4909" s="366" t="s">
        <v>2250</v>
      </c>
      <c r="M4909" s="350" t="str">
        <f>IF($B4909="Portfolio","Portfolio",IFERROR(INDEX(DATA_ASSET_CLASSIFICATION!$B$8:$B$24,MATCH($C4909,DATA_ASSET_CLASSIFICATION!$A$8:$A$24,0)),"Review"))</f>
        <v>The Creek, Port Moody</v>
      </c>
      <c r="N4909" s="350" t="str">
        <f>IF($B4909="Portfolio","Portfolio",IFERROR(INDEX(DATA_ASSET_CLASSIFICATION!$U$8:$U$24,MATCH($C4909,DATA_ASSET_CLASSIFICATION!$A$8:$A$24,0)),"Review"))</f>
        <v>New Build</v>
      </c>
      <c r="O4909" s="350" t="str">
        <f>IF($B4909="Portfolio","Portfolio",IFERROR(INDEX(DATA_ASSET_CLASSIFICATION!$AB$8:$AB$13,MATCH($N4909,DATA_ASSET_CLASSIFICATION!$AA$8:$AA$13,0)),"Review"))</f>
        <v>Bucket 1 · New Build</v>
      </c>
      <c r="P4909" s="350" t="str">
        <f>IF($B4909="Portfolio","Portfolio",IFERROR(INDEX(DATA_ASSET_CLASSIFICATION!$C$8:$C$24,MATCH($C4909,DATA_ASSET_CLASSIFICATION!$A$8:$A$24,0)),"Review"))</f>
        <v>Yes</v>
      </c>
      <c r="Q4909" s="350" t="str">
        <f t="shared" ca="1" si="153"/>
        <v>OK</v>
      </c>
    </row>
    <row r="4910" spans="1:17" ht="30">
      <c r="A4910" s="366" t="s">
        <v>6866</v>
      </c>
      <c r="B4910" s="366" t="s">
        <v>231</v>
      </c>
      <c r="C4910" s="348" t="str">
        <f>DATA_PROPERTY_MASTER!$A$20</f>
        <v>BLD_PM</v>
      </c>
      <c r="D4910" s="380">
        <f>'00_PORTFOLIO ROLLUP'!U$12</f>
        <v>2041</v>
      </c>
      <c r="E4910" s="366" t="s">
        <v>1721</v>
      </c>
      <c r="F4910" s="366" t="s">
        <v>31</v>
      </c>
      <c r="G4910" s="348" t="str">
        <f>"'"&amp;$C4910&amp;"'!$E$61:$Y$61"</f>
        <v>'BLD_PM'!$E$61:$Y$61</v>
      </c>
      <c r="H4910" s="381">
        <f ca="1">IF(IFERROR(INDEX(DATA_PROPERTY_MASTER!$E$5:$E$21,MATCH($C4910,DATA_PROPERTY_MASTER!$A$5:$A$21,0))="Yes",FALSE),IFERROR(INDEX(INDIRECT("'"&amp;$C4910&amp;"'!$E$61:$Y$61"),1,MATCH($D4910,INDIRECT("'"&amp;$C4910&amp;"'!$E$12:$Y$12"),0)),0),0)</f>
        <v>0</v>
      </c>
      <c r="I4910" s="366" t="s">
        <v>1690</v>
      </c>
      <c r="J4910" s="348" t="str">
        <f t="shared" ca="1" si="152"/>
        <v>OK</v>
      </c>
      <c r="K4910" s="366" t="s">
        <v>1723</v>
      </c>
      <c r="L4910" s="366" t="s">
        <v>2252</v>
      </c>
      <c r="M4910" s="350" t="str">
        <f>IF($B4910="Portfolio","Portfolio",IFERROR(INDEX(DATA_ASSET_CLASSIFICATION!$B$8:$B$24,MATCH($C4910,DATA_ASSET_CLASSIFICATION!$A$8:$A$24,0)),"Review"))</f>
        <v>The Creek, Port Moody</v>
      </c>
      <c r="N4910" s="350" t="str">
        <f>IF($B4910="Portfolio","Portfolio",IFERROR(INDEX(DATA_ASSET_CLASSIFICATION!$U$8:$U$24,MATCH($C4910,DATA_ASSET_CLASSIFICATION!$A$8:$A$24,0)),"Review"))</f>
        <v>New Build</v>
      </c>
      <c r="O4910" s="350" t="str">
        <f>IF($B4910="Portfolio","Portfolio",IFERROR(INDEX(DATA_ASSET_CLASSIFICATION!$AB$8:$AB$13,MATCH($N4910,DATA_ASSET_CLASSIFICATION!$AA$8:$AA$13,0)),"Review"))</f>
        <v>Bucket 1 · New Build</v>
      </c>
      <c r="P4910" s="350" t="str">
        <f>IF($B4910="Portfolio","Portfolio",IFERROR(INDEX(DATA_ASSET_CLASSIFICATION!$C$8:$C$24,MATCH($C4910,DATA_ASSET_CLASSIFICATION!$A$8:$A$24,0)),"Review"))</f>
        <v>Yes</v>
      </c>
      <c r="Q4910" s="350" t="str">
        <f t="shared" ca="1" si="153"/>
        <v>OK</v>
      </c>
    </row>
    <row r="4911" spans="1:17" ht="30">
      <c r="A4911" s="366" t="s">
        <v>6867</v>
      </c>
      <c r="B4911" s="366" t="s">
        <v>231</v>
      </c>
      <c r="C4911" s="348" t="str">
        <f>DATA_PROPERTY_MASTER!$A$20</f>
        <v>BLD_PM</v>
      </c>
      <c r="D4911" s="380">
        <f>'00_PORTFOLIO ROLLUP'!U$12</f>
        <v>2041</v>
      </c>
      <c r="E4911" s="366" t="s">
        <v>1721</v>
      </c>
      <c r="F4911" s="366" t="s">
        <v>33</v>
      </c>
      <c r="G4911" s="348" t="str">
        <f>"'"&amp;$C4911&amp;"'!$E$62:$Y$62"</f>
        <v>'BLD_PM'!$E$62:$Y$62</v>
      </c>
      <c r="H4911" s="381">
        <f ca="1">IF(IFERROR(INDEX(DATA_PROPERTY_MASTER!$E$5:$E$21,MATCH($C4911,DATA_PROPERTY_MASTER!$A$5:$A$21,0))="Yes",FALSE),IFERROR(INDEX(INDIRECT("'"&amp;$C4911&amp;"'!$E$62:$Y$62"),1,MATCH($D4911,INDIRECT("'"&amp;$C4911&amp;"'!$E$12:$Y$12"),0)),0),0)</f>
        <v>0</v>
      </c>
      <c r="I4911" s="366" t="s">
        <v>1685</v>
      </c>
      <c r="J4911" s="348" t="str">
        <f t="shared" ca="1" si="152"/>
        <v>OK</v>
      </c>
      <c r="K4911" s="366" t="s">
        <v>1727</v>
      </c>
      <c r="L4911" s="366" t="s">
        <v>2254</v>
      </c>
      <c r="M4911" s="350" t="str">
        <f>IF($B4911="Portfolio","Portfolio",IFERROR(INDEX(DATA_ASSET_CLASSIFICATION!$B$8:$B$24,MATCH($C4911,DATA_ASSET_CLASSIFICATION!$A$8:$A$24,0)),"Review"))</f>
        <v>The Creek, Port Moody</v>
      </c>
      <c r="N4911" s="350" t="str">
        <f>IF($B4911="Portfolio","Portfolio",IFERROR(INDEX(DATA_ASSET_CLASSIFICATION!$U$8:$U$24,MATCH($C4911,DATA_ASSET_CLASSIFICATION!$A$8:$A$24,0)),"Review"))</f>
        <v>New Build</v>
      </c>
      <c r="O4911" s="350" t="str">
        <f>IF($B4911="Portfolio","Portfolio",IFERROR(INDEX(DATA_ASSET_CLASSIFICATION!$AB$8:$AB$13,MATCH($N4911,DATA_ASSET_CLASSIFICATION!$AA$8:$AA$13,0)),"Review"))</f>
        <v>Bucket 1 · New Build</v>
      </c>
      <c r="P4911" s="350" t="str">
        <f>IF($B4911="Portfolio","Portfolio",IFERROR(INDEX(DATA_ASSET_CLASSIFICATION!$C$8:$C$24,MATCH($C4911,DATA_ASSET_CLASSIFICATION!$A$8:$A$24,0)),"Review"))</f>
        <v>Yes</v>
      </c>
      <c r="Q4911" s="350" t="str">
        <f t="shared" ca="1" si="153"/>
        <v>OK</v>
      </c>
    </row>
    <row r="4912" spans="1:17" ht="30">
      <c r="A4912" s="366" t="s">
        <v>6868</v>
      </c>
      <c r="B4912" s="366" t="s">
        <v>231</v>
      </c>
      <c r="C4912" s="348" t="str">
        <f>DATA_PROPERTY_MASTER!$A$20</f>
        <v>BLD_PM</v>
      </c>
      <c r="D4912" s="380">
        <f>'00_PORTFOLIO ROLLUP'!U$12</f>
        <v>2041</v>
      </c>
      <c r="E4912" s="366" t="s">
        <v>1721</v>
      </c>
      <c r="F4912" s="366" t="s">
        <v>35</v>
      </c>
      <c r="G4912" s="348" t="str">
        <f>"'"&amp;$C4912&amp;"'!$E$63:$Y$63"</f>
        <v>'BLD_PM'!$E$63:$Y$63</v>
      </c>
      <c r="H4912" s="381">
        <f ca="1">IF(IFERROR(INDEX(DATA_PROPERTY_MASTER!$E$5:$E$21,MATCH($C4912,DATA_PROPERTY_MASTER!$A$5:$A$21,0))="Yes",FALSE),IFERROR(INDEX(INDIRECT("'"&amp;$C4912&amp;"'!$E$63:$Y$63"),1,MATCH($D4912,INDIRECT("'"&amp;$C4912&amp;"'!$E$12:$Y$12"),0)),0),0)</f>
        <v>0</v>
      </c>
      <c r="I4912" s="366" t="s">
        <v>1731</v>
      </c>
      <c r="J4912" s="348" t="str">
        <f t="shared" ca="1" si="152"/>
        <v>OK</v>
      </c>
      <c r="K4912" s="366" t="s">
        <v>1732</v>
      </c>
      <c r="L4912" s="366" t="s">
        <v>2256</v>
      </c>
      <c r="M4912" s="350" t="str">
        <f>IF($B4912="Portfolio","Portfolio",IFERROR(INDEX(DATA_ASSET_CLASSIFICATION!$B$8:$B$24,MATCH($C4912,DATA_ASSET_CLASSIFICATION!$A$8:$A$24,0)),"Review"))</f>
        <v>The Creek, Port Moody</v>
      </c>
      <c r="N4912" s="350" t="str">
        <f>IF($B4912="Portfolio","Portfolio",IFERROR(INDEX(DATA_ASSET_CLASSIFICATION!$U$8:$U$24,MATCH($C4912,DATA_ASSET_CLASSIFICATION!$A$8:$A$24,0)),"Review"))</f>
        <v>New Build</v>
      </c>
      <c r="O4912" s="350" t="str">
        <f>IF($B4912="Portfolio","Portfolio",IFERROR(INDEX(DATA_ASSET_CLASSIFICATION!$AB$8:$AB$13,MATCH($N4912,DATA_ASSET_CLASSIFICATION!$AA$8:$AA$13,0)),"Review"))</f>
        <v>Bucket 1 · New Build</v>
      </c>
      <c r="P4912" s="350" t="str">
        <f>IF($B4912="Portfolio","Portfolio",IFERROR(INDEX(DATA_ASSET_CLASSIFICATION!$C$8:$C$24,MATCH($C4912,DATA_ASSET_CLASSIFICATION!$A$8:$A$24,0)),"Review"))</f>
        <v>Yes</v>
      </c>
      <c r="Q4912" s="350" t="str">
        <f t="shared" ca="1" si="153"/>
        <v>OK</v>
      </c>
    </row>
    <row r="4913" spans="1:17" ht="30">
      <c r="A4913" s="366" t="s">
        <v>6869</v>
      </c>
      <c r="B4913" s="366" t="s">
        <v>231</v>
      </c>
      <c r="C4913" s="348" t="str">
        <f>DATA_PROPERTY_MASTER!$A$20</f>
        <v>BLD_PM</v>
      </c>
      <c r="D4913" s="380">
        <f>'00_PORTFOLIO ROLLUP'!U$12</f>
        <v>2041</v>
      </c>
      <c r="E4913" s="366" t="s">
        <v>1721</v>
      </c>
      <c r="F4913" s="366" t="s">
        <v>37</v>
      </c>
      <c r="G4913" s="348" t="str">
        <f>"'"&amp;$C4913&amp;"'!$E$63:$Y$63"</f>
        <v>'BLD_PM'!$E$63:$Y$63</v>
      </c>
      <c r="H4913" s="381">
        <f ca="1">IF(IFERROR(INDEX(DATA_PROPERTY_MASTER!$E$5:$E$21,MATCH($C4913,DATA_PROPERTY_MASTER!$A$5:$A$21,0))="Yes",FALSE),MAX(IFERROR(INDEX(INDIRECT("'"&amp;$C4913&amp;"'!$E$63:$Y$63"),1,MATCH($D4913,INDIRECT("'"&amp;$C4913&amp;"'!$E$12:$Y$12"),0)),0),0),0)</f>
        <v>0</v>
      </c>
      <c r="I4913" s="366" t="s">
        <v>1685</v>
      </c>
      <c r="J4913" s="348" t="str">
        <f t="shared" ca="1" si="152"/>
        <v>OK</v>
      </c>
      <c r="K4913" s="366" t="s">
        <v>1735</v>
      </c>
      <c r="L4913" s="366" t="s">
        <v>2258</v>
      </c>
      <c r="M4913" s="350" t="str">
        <f>IF($B4913="Portfolio","Portfolio",IFERROR(INDEX(DATA_ASSET_CLASSIFICATION!$B$8:$B$24,MATCH($C4913,DATA_ASSET_CLASSIFICATION!$A$8:$A$24,0)),"Review"))</f>
        <v>The Creek, Port Moody</v>
      </c>
      <c r="N4913" s="350" t="str">
        <f>IF($B4913="Portfolio","Portfolio",IFERROR(INDEX(DATA_ASSET_CLASSIFICATION!$U$8:$U$24,MATCH($C4913,DATA_ASSET_CLASSIFICATION!$A$8:$A$24,0)),"Review"))</f>
        <v>New Build</v>
      </c>
      <c r="O4913" s="350" t="str">
        <f>IF($B4913="Portfolio","Portfolio",IFERROR(INDEX(DATA_ASSET_CLASSIFICATION!$AB$8:$AB$13,MATCH($N4913,DATA_ASSET_CLASSIFICATION!$AA$8:$AA$13,0)),"Review"))</f>
        <v>Bucket 1 · New Build</v>
      </c>
      <c r="P4913" s="350" t="str">
        <f>IF($B4913="Portfolio","Portfolio",IFERROR(INDEX(DATA_ASSET_CLASSIFICATION!$C$8:$C$24,MATCH($C4913,DATA_ASSET_CLASSIFICATION!$A$8:$A$24,0)),"Review"))</f>
        <v>Yes</v>
      </c>
      <c r="Q4913" s="350" t="str">
        <f t="shared" ca="1" si="153"/>
        <v>OK</v>
      </c>
    </row>
    <row r="4914" spans="1:17" ht="30">
      <c r="A4914" s="366" t="s">
        <v>6870</v>
      </c>
      <c r="B4914" s="366" t="s">
        <v>231</v>
      </c>
      <c r="C4914" s="348" t="str">
        <f>DATA_PROPERTY_MASTER!$A$20</f>
        <v>BLD_PM</v>
      </c>
      <c r="D4914" s="380">
        <f>'00_PORTFOLIO ROLLUP'!U$12</f>
        <v>2041</v>
      </c>
      <c r="E4914" s="366" t="s">
        <v>1721</v>
      </c>
      <c r="F4914" s="366" t="s">
        <v>39</v>
      </c>
      <c r="G4914" s="348" t="str">
        <f>"'"&amp;$C4914&amp;"'!$E$63:$Y$63"</f>
        <v>'BLD_PM'!$E$63:$Y$63</v>
      </c>
      <c r="H4914" s="381">
        <f ca="1">IF(IFERROR(INDEX(DATA_PROPERTY_MASTER!$E$5:$E$21,MATCH($C4914,DATA_PROPERTY_MASTER!$A$5:$A$21,0))="Yes",FALSE),MAX(-IFERROR(INDEX(INDIRECT("'"&amp;$C4914&amp;"'!$E$63:$Y$63"),1,MATCH($D4914,INDIRECT("'"&amp;$C4914&amp;"'!$E$12:$Y$12"),0)),0),0),0)</f>
        <v>0</v>
      </c>
      <c r="I4914" s="366" t="s">
        <v>1690</v>
      </c>
      <c r="J4914" s="348" t="str">
        <f t="shared" ca="1" si="152"/>
        <v>OK</v>
      </c>
      <c r="K4914" s="366" t="s">
        <v>1738</v>
      </c>
      <c r="L4914" s="366" t="s">
        <v>2260</v>
      </c>
      <c r="M4914" s="350" t="str">
        <f>IF($B4914="Portfolio","Portfolio",IFERROR(INDEX(DATA_ASSET_CLASSIFICATION!$B$8:$B$24,MATCH($C4914,DATA_ASSET_CLASSIFICATION!$A$8:$A$24,0)),"Review"))</f>
        <v>The Creek, Port Moody</v>
      </c>
      <c r="N4914" s="350" t="str">
        <f>IF($B4914="Portfolio","Portfolio",IFERROR(INDEX(DATA_ASSET_CLASSIFICATION!$U$8:$U$24,MATCH($C4914,DATA_ASSET_CLASSIFICATION!$A$8:$A$24,0)),"Review"))</f>
        <v>New Build</v>
      </c>
      <c r="O4914" s="350" t="str">
        <f>IF($B4914="Portfolio","Portfolio",IFERROR(INDEX(DATA_ASSET_CLASSIFICATION!$AB$8:$AB$13,MATCH($N4914,DATA_ASSET_CLASSIFICATION!$AA$8:$AA$13,0)),"Review"))</f>
        <v>Bucket 1 · New Build</v>
      </c>
      <c r="P4914" s="350" t="str">
        <f>IF($B4914="Portfolio","Portfolio",IFERROR(INDEX(DATA_ASSET_CLASSIFICATION!$C$8:$C$24,MATCH($C4914,DATA_ASSET_CLASSIFICATION!$A$8:$A$24,0)),"Review"))</f>
        <v>Yes</v>
      </c>
      <c r="Q4914" s="350" t="str">
        <f t="shared" ca="1" si="153"/>
        <v>OK</v>
      </c>
    </row>
    <row r="4915" spans="1:17" ht="30">
      <c r="A4915" s="366" t="s">
        <v>6871</v>
      </c>
      <c r="B4915" s="366" t="s">
        <v>231</v>
      </c>
      <c r="C4915" s="348" t="str">
        <f>DATA_PROPERTY_MASTER!$A$20</f>
        <v>BLD_PM</v>
      </c>
      <c r="D4915" s="380">
        <f>'00_PORTFOLIO ROLLUP'!U$12</f>
        <v>2041</v>
      </c>
      <c r="E4915" s="366" t="s">
        <v>1741</v>
      </c>
      <c r="F4915" s="366" t="s">
        <v>41</v>
      </c>
      <c r="G4915" s="348" t="str">
        <f>"'"&amp;$C4915&amp;"'!rows 56 + positive row 63"</f>
        <v>'BLD_PM'!rows 56 + positive row 63</v>
      </c>
      <c r="H4915" s="381">
        <f ca="1">IF(IFERROR(INDEX(DATA_PROPERTY_MASTER!$E$5:$E$21,MATCH($C4915,DATA_PROPERTY_MASTER!$A$5:$A$21,0))="Yes",FALSE),IFERROR(INDEX(INDIRECT("'"&amp;$C4915&amp;"'!$E$56:$Y$56"),1,MATCH($D4915,INDIRECT("'"&amp;$C4915&amp;"'!$E$12:$Y$12"),0)),0)+MAX(IFERROR(INDEX(INDIRECT("'"&amp;$C4915&amp;"'!$E$63:$Y$63"),1,MATCH($D4915,INDIRECT("'"&amp;$C4915&amp;"'!$E$12:$Y$12"),0)),0),0),0)</f>
        <v>1211505.53277043</v>
      </c>
      <c r="I4915" s="366" t="s">
        <v>1685</v>
      </c>
      <c r="J4915" s="348" t="str">
        <f t="shared" ca="1" si="152"/>
        <v>OK</v>
      </c>
      <c r="K4915" s="366" t="s">
        <v>1742</v>
      </c>
      <c r="L4915" s="366" t="s">
        <v>2262</v>
      </c>
      <c r="M4915" s="350" t="str">
        <f>IF($B4915="Portfolio","Portfolio",IFERROR(INDEX(DATA_ASSET_CLASSIFICATION!$B$8:$B$24,MATCH($C4915,DATA_ASSET_CLASSIFICATION!$A$8:$A$24,0)),"Review"))</f>
        <v>The Creek, Port Moody</v>
      </c>
      <c r="N4915" s="350" t="str">
        <f>IF($B4915="Portfolio","Portfolio",IFERROR(INDEX(DATA_ASSET_CLASSIFICATION!$U$8:$U$24,MATCH($C4915,DATA_ASSET_CLASSIFICATION!$A$8:$A$24,0)),"Review"))</f>
        <v>New Build</v>
      </c>
      <c r="O4915" s="350" t="str">
        <f>IF($B4915="Portfolio","Portfolio",IFERROR(INDEX(DATA_ASSET_CLASSIFICATION!$AB$8:$AB$13,MATCH($N4915,DATA_ASSET_CLASSIFICATION!$AA$8:$AA$13,0)),"Review"))</f>
        <v>Bucket 1 · New Build</v>
      </c>
      <c r="P4915" s="350" t="str">
        <f>IF($B4915="Portfolio","Portfolio",IFERROR(INDEX(DATA_ASSET_CLASSIFICATION!$C$8:$C$24,MATCH($C4915,DATA_ASSET_CLASSIFICATION!$A$8:$A$24,0)),"Review"))</f>
        <v>Yes</v>
      </c>
      <c r="Q4915" s="350" t="str">
        <f t="shared" ca="1" si="153"/>
        <v>OK</v>
      </c>
    </row>
    <row r="4916" spans="1:17" ht="30">
      <c r="A4916" s="366" t="s">
        <v>6872</v>
      </c>
      <c r="B4916" s="366" t="s">
        <v>231</v>
      </c>
      <c r="C4916" s="348" t="str">
        <f>DATA_PROPERTY_MASTER!$A$20</f>
        <v>BLD_PM</v>
      </c>
      <c r="D4916" s="380">
        <f>'00_PORTFOLIO ROLLUP'!U$12</f>
        <v>2041</v>
      </c>
      <c r="E4916" s="366" t="s">
        <v>1741</v>
      </c>
      <c r="F4916" s="366" t="s">
        <v>43</v>
      </c>
      <c r="G4916" s="348" t="str">
        <f>"'"&amp;$C4916&amp;"'!$E$68:$Y$68"</f>
        <v>'BLD_PM'!$E$68:$Y$68</v>
      </c>
      <c r="H4916" s="381">
        <f ca="1">IF(IFERROR(INDEX(DATA_PROPERTY_MASTER!$E$5:$E$21,MATCH($C4916,DATA_PROPERTY_MASTER!$A$5:$A$21,0))="Yes",FALSE),IFERROR(INDEX(INDIRECT("'"&amp;$C4916&amp;"'!$E$68:$Y$68"),1,MATCH($D4916,INDIRECT("'"&amp;$C4916&amp;"'!$E$12:$Y$12"),0)),0),0)</f>
        <v>1211505.53277043</v>
      </c>
      <c r="I4916" s="366" t="s">
        <v>1731</v>
      </c>
      <c r="J4916" s="348" t="str">
        <f t="shared" ca="1" si="152"/>
        <v>OK</v>
      </c>
      <c r="K4916" s="366" t="s">
        <v>1746</v>
      </c>
      <c r="L4916" s="366" t="s">
        <v>2264</v>
      </c>
      <c r="M4916" s="350" t="str">
        <f>IF($B4916="Portfolio","Portfolio",IFERROR(INDEX(DATA_ASSET_CLASSIFICATION!$B$8:$B$24,MATCH($C4916,DATA_ASSET_CLASSIFICATION!$A$8:$A$24,0)),"Review"))</f>
        <v>The Creek, Port Moody</v>
      </c>
      <c r="N4916" s="350" t="str">
        <f>IF($B4916="Portfolio","Portfolio",IFERROR(INDEX(DATA_ASSET_CLASSIFICATION!$U$8:$U$24,MATCH($C4916,DATA_ASSET_CLASSIFICATION!$A$8:$A$24,0)),"Review"))</f>
        <v>New Build</v>
      </c>
      <c r="O4916" s="350" t="str">
        <f>IF($B4916="Portfolio","Portfolio",IFERROR(INDEX(DATA_ASSET_CLASSIFICATION!$AB$8:$AB$13,MATCH($N4916,DATA_ASSET_CLASSIFICATION!$AA$8:$AA$13,0)),"Review"))</f>
        <v>Bucket 1 · New Build</v>
      </c>
      <c r="P4916" s="350" t="str">
        <f>IF($B4916="Portfolio","Portfolio",IFERROR(INDEX(DATA_ASSET_CLASSIFICATION!$C$8:$C$24,MATCH($C4916,DATA_ASSET_CLASSIFICATION!$A$8:$A$24,0)),"Review"))</f>
        <v>Yes</v>
      </c>
      <c r="Q4916" s="350" t="str">
        <f t="shared" ca="1" si="153"/>
        <v>OK</v>
      </c>
    </row>
    <row r="4917" spans="1:17" ht="30">
      <c r="A4917" s="366" t="s">
        <v>6873</v>
      </c>
      <c r="B4917" s="366" t="s">
        <v>231</v>
      </c>
      <c r="C4917" s="348" t="str">
        <f>DATA_PROPERTY_MASTER!$A$20</f>
        <v>BLD_PM</v>
      </c>
      <c r="D4917" s="380">
        <f>'00_PORTFOLIO ROLLUP'!U$12</f>
        <v>2041</v>
      </c>
      <c r="E4917" s="366" t="s">
        <v>1741</v>
      </c>
      <c r="F4917" s="366" t="s">
        <v>1749</v>
      </c>
      <c r="G4917" s="348" t="str">
        <f>"'"&amp;$C4917&amp;"'!rows 56, 63, 68"</f>
        <v>'BLD_PM'!rows 56, 63, 68</v>
      </c>
      <c r="H4917" s="381">
        <f ca="1">IF(IFERROR(INDEX(DATA_PROPERTY_MASTER!$E$5:$E$21,MATCH($C4917,DATA_PROPERTY_MASTER!$A$5:$A$21,0))="Yes",FALSE),(IFERROR(INDEX(INDIRECT("'"&amp;$C4917&amp;"'!$E$56:$Y$56"),1,MATCH($D4917,INDIRECT("'"&amp;$C4917&amp;"'!$E$12:$Y$12"),0)),0)+MAX(IFERROR(INDEX(INDIRECT("'"&amp;$C4917&amp;"'!$E$63:$Y$63"),1,MATCH($D4917,INDIRECT("'"&amp;$C4917&amp;"'!$E$12:$Y$12"),0)),0),0))-(IFERROR(INDEX(INDIRECT("'"&amp;$C4917&amp;"'!$E$68:$Y$68"),1,MATCH($D4917,INDIRECT("'"&amp;$C4917&amp;"'!$E$12:$Y$12"),0)),0)),0)</f>
        <v>0</v>
      </c>
      <c r="I4917" s="366" t="s">
        <v>1750</v>
      </c>
      <c r="J4917" s="348" t="str">
        <f t="shared" ca="1" si="152"/>
        <v>OK</v>
      </c>
      <c r="K4917" s="366" t="s">
        <v>1751</v>
      </c>
      <c r="L4917" s="366" t="s">
        <v>2266</v>
      </c>
      <c r="M4917" s="350" t="str">
        <f>IF($B4917="Portfolio","Portfolio",IFERROR(INDEX(DATA_ASSET_CLASSIFICATION!$B$8:$B$24,MATCH($C4917,DATA_ASSET_CLASSIFICATION!$A$8:$A$24,0)),"Review"))</f>
        <v>The Creek, Port Moody</v>
      </c>
      <c r="N4917" s="350" t="str">
        <f>IF($B4917="Portfolio","Portfolio",IFERROR(INDEX(DATA_ASSET_CLASSIFICATION!$U$8:$U$24,MATCH($C4917,DATA_ASSET_CLASSIFICATION!$A$8:$A$24,0)),"Review"))</f>
        <v>New Build</v>
      </c>
      <c r="O4917" s="350" t="str">
        <f>IF($B4917="Portfolio","Portfolio",IFERROR(INDEX(DATA_ASSET_CLASSIFICATION!$AB$8:$AB$13,MATCH($N4917,DATA_ASSET_CLASSIFICATION!$AA$8:$AA$13,0)),"Review"))</f>
        <v>Bucket 1 · New Build</v>
      </c>
      <c r="P4917" s="350" t="str">
        <f>IF($B4917="Portfolio","Portfolio",IFERROR(INDEX(DATA_ASSET_CLASSIFICATION!$C$8:$C$24,MATCH($C4917,DATA_ASSET_CLASSIFICATION!$A$8:$A$24,0)),"Review"))</f>
        <v>Yes</v>
      </c>
      <c r="Q4917" s="350" t="str">
        <f t="shared" ca="1" si="153"/>
        <v>OK</v>
      </c>
    </row>
    <row r="4918" spans="1:17" ht="30">
      <c r="A4918" s="366" t="s">
        <v>6874</v>
      </c>
      <c r="B4918" s="366" t="s">
        <v>231</v>
      </c>
      <c r="C4918" s="348" t="str">
        <f>DATA_PROPERTY_MASTER!$A$21</f>
        <v>BLD_CD</v>
      </c>
      <c r="D4918" s="380">
        <f>'00_PORTFOLIO ROLLUP'!E$12</f>
        <v>2025</v>
      </c>
      <c r="E4918" s="366" t="s">
        <v>1683</v>
      </c>
      <c r="F4918" s="366" t="s">
        <v>341</v>
      </c>
      <c r="G4918" s="348" t="str">
        <f>"'"&amp;$C4918&amp;"'!$E$24:$Y$24"</f>
        <v>'BLD_CD'!$E$24:$Y$24</v>
      </c>
      <c r="H4918" s="381">
        <f ca="1">IF(IFERROR(INDEX(DATA_PROPERTY_MASTER!$E$5:$E$21,MATCH($C4918,DATA_PROPERTY_MASTER!$A$5:$A$21,0))="Yes",FALSE),IFERROR(INDEX(INDIRECT("'"&amp;$C4918&amp;"'!$E$24:$Y$24"),1,MATCH($D4918,INDIRECT("'"&amp;$C4918&amp;"'!$E$12:$Y$12"),0)),0),0)</f>
        <v>0</v>
      </c>
      <c r="I4918" s="366" t="s">
        <v>1685</v>
      </c>
      <c r="J4918" s="348" t="str">
        <f t="shared" ca="1" si="152"/>
        <v>OK</v>
      </c>
      <c r="K4918" s="366" t="s">
        <v>1686</v>
      </c>
      <c r="L4918" s="366" t="s">
        <v>2234</v>
      </c>
      <c r="M4918" s="350" t="str">
        <f>IF($B4918="Portfolio","Portfolio",IFERROR(INDEX(DATA_ASSET_CLASSIFICATION!$B$8:$B$24,MATCH($C4918,DATA_ASSET_CLASSIFICATION!$A$8:$A$24,0)),"Review"))</f>
        <v>800 Commercial Drive</v>
      </c>
      <c r="N4918" s="350" t="str">
        <f>IF($B4918="Portfolio","Portfolio",IFERROR(INDEX(DATA_ASSET_CLASSIFICATION!$U$8:$U$24,MATCH($C4918,DATA_ASSET_CLASSIFICATION!$A$8:$A$24,0)),"Review"))</f>
        <v>New Build</v>
      </c>
      <c r="O4918" s="350" t="str">
        <f>IF($B4918="Portfolio","Portfolio",IFERROR(INDEX(DATA_ASSET_CLASSIFICATION!$AB$8:$AB$13,MATCH($N4918,DATA_ASSET_CLASSIFICATION!$AA$8:$AA$13,0)),"Review"))</f>
        <v>Bucket 1 · New Build</v>
      </c>
      <c r="P4918" s="350" t="str">
        <f>IF($B4918="Portfolio","Portfolio",IFERROR(INDEX(DATA_ASSET_CLASSIFICATION!$C$8:$C$24,MATCH($C4918,DATA_ASSET_CLASSIFICATION!$A$8:$A$24,0)),"Review"))</f>
        <v>Yes</v>
      </c>
      <c r="Q4918" s="350" t="str">
        <f t="shared" ca="1" si="153"/>
        <v>OK</v>
      </c>
    </row>
    <row r="4919" spans="1:17" ht="30">
      <c r="A4919" s="366" t="s">
        <v>6875</v>
      </c>
      <c r="B4919" s="366" t="s">
        <v>231</v>
      </c>
      <c r="C4919" s="348" t="str">
        <f>DATA_PROPERTY_MASTER!$A$21</f>
        <v>BLD_CD</v>
      </c>
      <c r="D4919" s="380">
        <f>'00_PORTFOLIO ROLLUP'!E$12</f>
        <v>2025</v>
      </c>
      <c r="E4919" s="366" t="s">
        <v>1683</v>
      </c>
      <c r="F4919" s="366" t="s">
        <v>355</v>
      </c>
      <c r="G4919" s="348" t="str">
        <f>"'"&amp;$C4919&amp;"'!$E$39:$Y$39"</f>
        <v>'BLD_CD'!$E$39:$Y$39</v>
      </c>
      <c r="H4919" s="381">
        <f ca="1">IF(IFERROR(INDEX(DATA_PROPERTY_MASTER!$E$5:$E$21,MATCH($C4919,DATA_PROPERTY_MASTER!$A$5:$A$21,0))="Yes",FALSE),IFERROR(INDEX(INDIRECT("'"&amp;$C4919&amp;"'!$E$39:$Y$39"),1,MATCH($D4919,INDIRECT("'"&amp;$C4919&amp;"'!$E$12:$Y$12"),0)),0),0)</f>
        <v>0</v>
      </c>
      <c r="I4919" s="366" t="s">
        <v>1690</v>
      </c>
      <c r="J4919" s="348" t="str">
        <f t="shared" ca="1" si="152"/>
        <v>OK</v>
      </c>
      <c r="K4919" s="366" t="s">
        <v>1686</v>
      </c>
      <c r="L4919" s="366" t="s">
        <v>2236</v>
      </c>
      <c r="M4919" s="350" t="str">
        <f>IF($B4919="Portfolio","Portfolio",IFERROR(INDEX(DATA_ASSET_CLASSIFICATION!$B$8:$B$24,MATCH($C4919,DATA_ASSET_CLASSIFICATION!$A$8:$A$24,0)),"Review"))</f>
        <v>800 Commercial Drive</v>
      </c>
      <c r="N4919" s="350" t="str">
        <f>IF($B4919="Portfolio","Portfolio",IFERROR(INDEX(DATA_ASSET_CLASSIFICATION!$U$8:$U$24,MATCH($C4919,DATA_ASSET_CLASSIFICATION!$A$8:$A$24,0)),"Review"))</f>
        <v>New Build</v>
      </c>
      <c r="O4919" s="350" t="str">
        <f>IF($B4919="Portfolio","Portfolio",IFERROR(INDEX(DATA_ASSET_CLASSIFICATION!$AB$8:$AB$13,MATCH($N4919,DATA_ASSET_CLASSIFICATION!$AA$8:$AA$13,0)),"Review"))</f>
        <v>Bucket 1 · New Build</v>
      </c>
      <c r="P4919" s="350" t="str">
        <f>IF($B4919="Portfolio","Portfolio",IFERROR(INDEX(DATA_ASSET_CLASSIFICATION!$C$8:$C$24,MATCH($C4919,DATA_ASSET_CLASSIFICATION!$A$8:$A$24,0)),"Review"))</f>
        <v>Yes</v>
      </c>
      <c r="Q4919" s="350" t="str">
        <f t="shared" ca="1" si="153"/>
        <v>OK</v>
      </c>
    </row>
    <row r="4920" spans="1:17" ht="30">
      <c r="A4920" s="366" t="s">
        <v>6876</v>
      </c>
      <c r="B4920" s="366" t="s">
        <v>231</v>
      </c>
      <c r="C4920" s="348" t="str">
        <f>DATA_PROPERTY_MASTER!$A$21</f>
        <v>BLD_CD</v>
      </c>
      <c r="D4920" s="380">
        <f>'00_PORTFOLIO ROLLUP'!E$12</f>
        <v>2025</v>
      </c>
      <c r="E4920" s="366" t="s">
        <v>1683</v>
      </c>
      <c r="F4920" s="366" t="s">
        <v>19</v>
      </c>
      <c r="G4920" s="348" t="str">
        <f>"'"&amp;$C4920&amp;"'!$E$41:$Y$41"</f>
        <v>'BLD_CD'!$E$41:$Y$41</v>
      </c>
      <c r="H4920" s="381">
        <f ca="1">IF(IFERROR(INDEX(DATA_PROPERTY_MASTER!$E$5:$E$21,MATCH($C4920,DATA_PROPERTY_MASTER!$A$5:$A$21,0))="Yes",FALSE),IFERROR(INDEX(INDIRECT("'"&amp;$C4920&amp;"'!$E$41:$Y$41"),1,MATCH($D4920,INDIRECT("'"&amp;$C4920&amp;"'!$E$12:$Y$12"),0)),0),0)</f>
        <v>0</v>
      </c>
      <c r="I4920" s="366" t="s">
        <v>1685</v>
      </c>
      <c r="J4920" s="348" t="str">
        <f t="shared" ca="1" si="152"/>
        <v>OK</v>
      </c>
      <c r="K4920" s="366" t="s">
        <v>1694</v>
      </c>
      <c r="L4920" s="366" t="s">
        <v>2238</v>
      </c>
      <c r="M4920" s="350" t="str">
        <f>IF($B4920="Portfolio","Portfolio",IFERROR(INDEX(DATA_ASSET_CLASSIFICATION!$B$8:$B$24,MATCH($C4920,DATA_ASSET_CLASSIFICATION!$A$8:$A$24,0)),"Review"))</f>
        <v>800 Commercial Drive</v>
      </c>
      <c r="N4920" s="350" t="str">
        <f>IF($B4920="Portfolio","Portfolio",IFERROR(INDEX(DATA_ASSET_CLASSIFICATION!$U$8:$U$24,MATCH($C4920,DATA_ASSET_CLASSIFICATION!$A$8:$A$24,0)),"Review"))</f>
        <v>New Build</v>
      </c>
      <c r="O4920" s="350" t="str">
        <f>IF($B4920="Portfolio","Portfolio",IFERROR(INDEX(DATA_ASSET_CLASSIFICATION!$AB$8:$AB$13,MATCH($N4920,DATA_ASSET_CLASSIFICATION!$AA$8:$AA$13,0)),"Review"))</f>
        <v>Bucket 1 · New Build</v>
      </c>
      <c r="P4920" s="350" t="str">
        <f>IF($B4920="Portfolio","Portfolio",IFERROR(INDEX(DATA_ASSET_CLASSIFICATION!$C$8:$C$24,MATCH($C4920,DATA_ASSET_CLASSIFICATION!$A$8:$A$24,0)),"Review"))</f>
        <v>Yes</v>
      </c>
      <c r="Q4920" s="350" t="str">
        <f t="shared" ca="1" si="153"/>
        <v>OK</v>
      </c>
    </row>
    <row r="4921" spans="1:17" ht="30">
      <c r="A4921" s="366" t="s">
        <v>6877</v>
      </c>
      <c r="B4921" s="366" t="s">
        <v>231</v>
      </c>
      <c r="C4921" s="348" t="str">
        <f>DATA_PROPERTY_MASTER!$A$21</f>
        <v>BLD_CD</v>
      </c>
      <c r="D4921" s="380">
        <f>'00_PORTFOLIO ROLLUP'!E$12</f>
        <v>2025</v>
      </c>
      <c r="E4921" s="366" t="s">
        <v>1683</v>
      </c>
      <c r="F4921" s="366" t="s">
        <v>1697</v>
      </c>
      <c r="G4921" s="348" t="str">
        <f>"'"&amp;$C4921&amp;"'!$E$44:$Y$44"</f>
        <v>'BLD_CD'!$E$44:$Y$44</v>
      </c>
      <c r="H4921" s="381">
        <f ca="1">IF(IFERROR(INDEX(DATA_PROPERTY_MASTER!$E$5:$E$21,MATCH($C4921,DATA_PROPERTY_MASTER!$A$5:$A$21,0))="Yes",FALSE),IFERROR(INDEX(INDIRECT("'"&amp;$C4921&amp;"'!$E$44:$Y$44"),1,MATCH($D4921,INDIRECT("'"&amp;$C4921&amp;"'!$E$12:$Y$12"),0)),0),0)</f>
        <v>0</v>
      </c>
      <c r="I4921" s="366" t="s">
        <v>1690</v>
      </c>
      <c r="J4921" s="348" t="str">
        <f t="shared" ca="1" si="152"/>
        <v>OK</v>
      </c>
      <c r="K4921" s="366" t="s">
        <v>1699</v>
      </c>
      <c r="L4921" s="366" t="s">
        <v>2240</v>
      </c>
      <c r="M4921" s="350" t="str">
        <f>IF($B4921="Portfolio","Portfolio",IFERROR(INDEX(DATA_ASSET_CLASSIFICATION!$B$8:$B$24,MATCH($C4921,DATA_ASSET_CLASSIFICATION!$A$8:$A$24,0)),"Review"))</f>
        <v>800 Commercial Drive</v>
      </c>
      <c r="N4921" s="350" t="str">
        <f>IF($B4921="Portfolio","Portfolio",IFERROR(INDEX(DATA_ASSET_CLASSIFICATION!$U$8:$U$24,MATCH($C4921,DATA_ASSET_CLASSIFICATION!$A$8:$A$24,0)),"Review"))</f>
        <v>New Build</v>
      </c>
      <c r="O4921" s="350" t="str">
        <f>IF($B4921="Portfolio","Portfolio",IFERROR(INDEX(DATA_ASSET_CLASSIFICATION!$AB$8:$AB$13,MATCH($N4921,DATA_ASSET_CLASSIFICATION!$AA$8:$AA$13,0)),"Review"))</f>
        <v>Bucket 1 · New Build</v>
      </c>
      <c r="P4921" s="350" t="str">
        <f>IF($B4921="Portfolio","Portfolio",IFERROR(INDEX(DATA_ASSET_CLASSIFICATION!$C$8:$C$24,MATCH($C4921,DATA_ASSET_CLASSIFICATION!$A$8:$A$24,0)),"Review"))</f>
        <v>Yes</v>
      </c>
      <c r="Q4921" s="350" t="str">
        <f t="shared" ca="1" si="153"/>
        <v>OK</v>
      </c>
    </row>
    <row r="4922" spans="1:17" ht="30">
      <c r="A4922" s="366" t="s">
        <v>6878</v>
      </c>
      <c r="B4922" s="366" t="s">
        <v>231</v>
      </c>
      <c r="C4922" s="348" t="str">
        <f>DATA_PROPERTY_MASTER!$A$21</f>
        <v>BLD_CD</v>
      </c>
      <c r="D4922" s="380">
        <f>'00_PORTFOLIO ROLLUP'!E$12</f>
        <v>2025</v>
      </c>
      <c r="E4922" s="366" t="s">
        <v>1683</v>
      </c>
      <c r="F4922" s="366" t="s">
        <v>21</v>
      </c>
      <c r="G4922" s="348" t="str">
        <f>"'"&amp;$C4922&amp;"'!$E$45:$Y$45"</f>
        <v>'BLD_CD'!$E$45:$Y$45</v>
      </c>
      <c r="H4922" s="381">
        <f ca="1">IF(IFERROR(INDEX(DATA_PROPERTY_MASTER!$E$5:$E$21,MATCH($C4922,DATA_PROPERTY_MASTER!$A$5:$A$21,0))="Yes",FALSE),IFERROR(INDEX(INDIRECT("'"&amp;$C4922&amp;"'!$E$45:$Y$45"),1,MATCH($D4922,INDIRECT("'"&amp;$C4922&amp;"'!$E$12:$Y$12"),0)),0),0)</f>
        <v>0</v>
      </c>
      <c r="I4922" s="366" t="s">
        <v>1685</v>
      </c>
      <c r="J4922" s="348" t="str">
        <f t="shared" ca="1" si="152"/>
        <v>OK</v>
      </c>
      <c r="K4922" s="366" t="s">
        <v>1694</v>
      </c>
      <c r="L4922" s="366" t="s">
        <v>2242</v>
      </c>
      <c r="M4922" s="350" t="str">
        <f>IF($B4922="Portfolio","Portfolio",IFERROR(INDEX(DATA_ASSET_CLASSIFICATION!$B$8:$B$24,MATCH($C4922,DATA_ASSET_CLASSIFICATION!$A$8:$A$24,0)),"Review"))</f>
        <v>800 Commercial Drive</v>
      </c>
      <c r="N4922" s="350" t="str">
        <f>IF($B4922="Portfolio","Portfolio",IFERROR(INDEX(DATA_ASSET_CLASSIFICATION!$U$8:$U$24,MATCH($C4922,DATA_ASSET_CLASSIFICATION!$A$8:$A$24,0)),"Review"))</f>
        <v>New Build</v>
      </c>
      <c r="O4922" s="350" t="str">
        <f>IF($B4922="Portfolio","Portfolio",IFERROR(INDEX(DATA_ASSET_CLASSIFICATION!$AB$8:$AB$13,MATCH($N4922,DATA_ASSET_CLASSIFICATION!$AA$8:$AA$13,0)),"Review"))</f>
        <v>Bucket 1 · New Build</v>
      </c>
      <c r="P4922" s="350" t="str">
        <f>IF($B4922="Portfolio","Portfolio",IFERROR(INDEX(DATA_ASSET_CLASSIFICATION!$C$8:$C$24,MATCH($C4922,DATA_ASSET_CLASSIFICATION!$A$8:$A$24,0)),"Review"))</f>
        <v>Yes</v>
      </c>
      <c r="Q4922" s="350" t="str">
        <f t="shared" ca="1" si="153"/>
        <v>OK</v>
      </c>
    </row>
    <row r="4923" spans="1:17" ht="30">
      <c r="A4923" s="366" t="s">
        <v>6879</v>
      </c>
      <c r="B4923" s="366" t="s">
        <v>231</v>
      </c>
      <c r="C4923" s="348" t="str">
        <f>DATA_PROPERTY_MASTER!$A$21</f>
        <v>BLD_CD</v>
      </c>
      <c r="D4923" s="380">
        <f>'00_PORTFOLIO ROLLUP'!E$12</f>
        <v>2025</v>
      </c>
      <c r="E4923" s="366" t="s">
        <v>23</v>
      </c>
      <c r="F4923" s="366" t="s">
        <v>23</v>
      </c>
      <c r="G4923" s="348" t="str">
        <f>"'"&amp;$C4923&amp;"'!$E$48:$Y$48"</f>
        <v>'BLD_CD'!$E$48:$Y$48</v>
      </c>
      <c r="H4923" s="381">
        <f ca="1">IF(IFERROR(INDEX(DATA_PROPERTY_MASTER!$E$5:$E$21,MATCH($C4923,DATA_PROPERTY_MASTER!$A$5:$A$21,0))="Yes",FALSE),IFERROR(INDEX(INDIRECT("'"&amp;$C4923&amp;"'!$E$48:$Y$48"),1,MATCH($D4923,INDIRECT("'"&amp;$C4923&amp;"'!$E$12:$Y$12"),0)),0),0)</f>
        <v>2031934.1122314297</v>
      </c>
      <c r="I4923" s="366" t="s">
        <v>1690</v>
      </c>
      <c r="J4923" s="348" t="str">
        <f t="shared" ca="1" si="152"/>
        <v>OK</v>
      </c>
      <c r="K4923" s="366" t="s">
        <v>1706</v>
      </c>
      <c r="L4923" s="366" t="s">
        <v>2244</v>
      </c>
      <c r="M4923" s="350" t="str">
        <f>IF($B4923="Portfolio","Portfolio",IFERROR(INDEX(DATA_ASSET_CLASSIFICATION!$B$8:$B$24,MATCH($C4923,DATA_ASSET_CLASSIFICATION!$A$8:$A$24,0)),"Review"))</f>
        <v>800 Commercial Drive</v>
      </c>
      <c r="N4923" s="350" t="str">
        <f>IF($B4923="Portfolio","Portfolio",IFERROR(INDEX(DATA_ASSET_CLASSIFICATION!$U$8:$U$24,MATCH($C4923,DATA_ASSET_CLASSIFICATION!$A$8:$A$24,0)),"Review"))</f>
        <v>New Build</v>
      </c>
      <c r="O4923" s="350" t="str">
        <f>IF($B4923="Portfolio","Portfolio",IFERROR(INDEX(DATA_ASSET_CLASSIFICATION!$AB$8:$AB$13,MATCH($N4923,DATA_ASSET_CLASSIFICATION!$AA$8:$AA$13,0)),"Review"))</f>
        <v>Bucket 1 · New Build</v>
      </c>
      <c r="P4923" s="350" t="str">
        <f>IF($B4923="Portfolio","Portfolio",IFERROR(INDEX(DATA_ASSET_CLASSIFICATION!$C$8:$C$24,MATCH($C4923,DATA_ASSET_CLASSIFICATION!$A$8:$A$24,0)),"Review"))</f>
        <v>Yes</v>
      </c>
      <c r="Q4923" s="350" t="str">
        <f t="shared" ca="1" si="153"/>
        <v>OK</v>
      </c>
    </row>
    <row r="4924" spans="1:17" ht="30">
      <c r="A4924" s="366" t="s">
        <v>6880</v>
      </c>
      <c r="B4924" s="366" t="s">
        <v>231</v>
      </c>
      <c r="C4924" s="348" t="str">
        <f>DATA_PROPERTY_MASTER!$A$21</f>
        <v>BLD_CD</v>
      </c>
      <c r="D4924" s="380">
        <f>'00_PORTFOLIO ROLLUP'!E$12</f>
        <v>2025</v>
      </c>
      <c r="E4924" s="366" t="s">
        <v>1683</v>
      </c>
      <c r="F4924" s="366" t="s">
        <v>25</v>
      </c>
      <c r="G4924" s="348" t="str">
        <f>"'"&amp;$C4924&amp;"'!$E$52:$Y$52"</f>
        <v>'BLD_CD'!$E$52:$Y$52</v>
      </c>
      <c r="H4924" s="381">
        <f ca="1">IF(IFERROR(INDEX(DATA_PROPERTY_MASTER!$E$5:$E$21,MATCH($C4924,DATA_PROPERTY_MASTER!$A$5:$A$21,0))="Yes",FALSE),IFERROR(INDEX(INDIRECT("'"&amp;$C4924&amp;"'!$E$52:$Y$52"),1,MATCH($D4924,INDIRECT("'"&amp;$C4924&amp;"'!$E$12:$Y$12"),0)),0),0)</f>
        <v>-2031934.1122314297</v>
      </c>
      <c r="I4924" s="366" t="s">
        <v>1685</v>
      </c>
      <c r="J4924" s="348" t="str">
        <f t="shared" ca="1" si="152"/>
        <v>OK</v>
      </c>
      <c r="K4924" s="366" t="s">
        <v>1710</v>
      </c>
      <c r="L4924" s="366" t="s">
        <v>2246</v>
      </c>
      <c r="M4924" s="350" t="str">
        <f>IF($B4924="Portfolio","Portfolio",IFERROR(INDEX(DATA_ASSET_CLASSIFICATION!$B$8:$B$24,MATCH($C4924,DATA_ASSET_CLASSIFICATION!$A$8:$A$24,0)),"Review"))</f>
        <v>800 Commercial Drive</v>
      </c>
      <c r="N4924" s="350" t="str">
        <f>IF($B4924="Portfolio","Portfolio",IFERROR(INDEX(DATA_ASSET_CLASSIFICATION!$U$8:$U$24,MATCH($C4924,DATA_ASSET_CLASSIFICATION!$A$8:$A$24,0)),"Review"))</f>
        <v>New Build</v>
      </c>
      <c r="O4924" s="350" t="str">
        <f>IF($B4924="Portfolio","Portfolio",IFERROR(INDEX(DATA_ASSET_CLASSIFICATION!$AB$8:$AB$13,MATCH($N4924,DATA_ASSET_CLASSIFICATION!$AA$8:$AA$13,0)),"Review"))</f>
        <v>Bucket 1 · New Build</v>
      </c>
      <c r="P4924" s="350" t="str">
        <f>IF($B4924="Portfolio","Portfolio",IFERROR(INDEX(DATA_ASSET_CLASSIFICATION!$C$8:$C$24,MATCH($C4924,DATA_ASSET_CLASSIFICATION!$A$8:$A$24,0)),"Review"))</f>
        <v>Yes</v>
      </c>
      <c r="Q4924" s="350" t="str">
        <f t="shared" ca="1" si="153"/>
        <v>OK</v>
      </c>
    </row>
    <row r="4925" spans="1:17" ht="30">
      <c r="A4925" s="366" t="s">
        <v>6881</v>
      </c>
      <c r="B4925" s="366" t="s">
        <v>231</v>
      </c>
      <c r="C4925" s="348" t="str">
        <f>DATA_PROPERTY_MASTER!$A$21</f>
        <v>BLD_CD</v>
      </c>
      <c r="D4925" s="380">
        <f>'00_PORTFOLIO ROLLUP'!E$12</f>
        <v>2025</v>
      </c>
      <c r="E4925" s="366" t="s">
        <v>1683</v>
      </c>
      <c r="F4925" s="366" t="s">
        <v>27</v>
      </c>
      <c r="G4925" s="348" t="str">
        <f>"'"&amp;$C4925&amp;"'!$E$54:$Y$54"</f>
        <v>'BLD_CD'!$E$54:$Y$54</v>
      </c>
      <c r="H4925" s="381">
        <f ca="1">IF(IFERROR(INDEX(DATA_PROPERTY_MASTER!$E$5:$E$21,MATCH($C4925,DATA_PROPERTY_MASTER!$A$5:$A$21,0))="Yes",FALSE),IFERROR(INDEX(INDIRECT("'"&amp;$C4925&amp;"'!$E$54:$Y$54"),1,MATCH($D4925,INDIRECT("'"&amp;$C4925&amp;"'!$E$12:$Y$12"),0)),0),0)</f>
        <v>0</v>
      </c>
      <c r="I4925" s="366" t="s">
        <v>1690</v>
      </c>
      <c r="J4925" s="348" t="str">
        <f t="shared" ca="1" si="152"/>
        <v>OK</v>
      </c>
      <c r="K4925" s="366" t="s">
        <v>1714</v>
      </c>
      <c r="L4925" s="366" t="s">
        <v>2248</v>
      </c>
      <c r="M4925" s="350" t="str">
        <f>IF($B4925="Portfolio","Portfolio",IFERROR(INDEX(DATA_ASSET_CLASSIFICATION!$B$8:$B$24,MATCH($C4925,DATA_ASSET_CLASSIFICATION!$A$8:$A$24,0)),"Review"))</f>
        <v>800 Commercial Drive</v>
      </c>
      <c r="N4925" s="350" t="str">
        <f>IF($B4925="Portfolio","Portfolio",IFERROR(INDEX(DATA_ASSET_CLASSIFICATION!$U$8:$U$24,MATCH($C4925,DATA_ASSET_CLASSIFICATION!$A$8:$A$24,0)),"Review"))</f>
        <v>New Build</v>
      </c>
      <c r="O4925" s="350" t="str">
        <f>IF($B4925="Portfolio","Portfolio",IFERROR(INDEX(DATA_ASSET_CLASSIFICATION!$AB$8:$AB$13,MATCH($N4925,DATA_ASSET_CLASSIFICATION!$AA$8:$AA$13,0)),"Review"))</f>
        <v>Bucket 1 · New Build</v>
      </c>
      <c r="P4925" s="350" t="str">
        <f>IF($B4925="Portfolio","Portfolio",IFERROR(INDEX(DATA_ASSET_CLASSIFICATION!$C$8:$C$24,MATCH($C4925,DATA_ASSET_CLASSIFICATION!$A$8:$A$24,0)),"Review"))</f>
        <v>Yes</v>
      </c>
      <c r="Q4925" s="350" t="str">
        <f t="shared" ca="1" si="153"/>
        <v>OK</v>
      </c>
    </row>
    <row r="4926" spans="1:17" ht="30">
      <c r="A4926" s="366" t="s">
        <v>6882</v>
      </c>
      <c r="B4926" s="366" t="s">
        <v>231</v>
      </c>
      <c r="C4926" s="348" t="str">
        <f>DATA_PROPERTY_MASTER!$A$21</f>
        <v>BLD_CD</v>
      </c>
      <c r="D4926" s="380">
        <f>'00_PORTFOLIO ROLLUP'!E$12</f>
        <v>2025</v>
      </c>
      <c r="E4926" s="366" t="s">
        <v>1683</v>
      </c>
      <c r="F4926" s="366" t="s">
        <v>29</v>
      </c>
      <c r="G4926" s="348" t="str">
        <f>"'"&amp;$C4926&amp;"'!$E$56:$Y$56"</f>
        <v>'BLD_CD'!$E$56:$Y$56</v>
      </c>
      <c r="H4926" s="381">
        <f ca="1">IF(IFERROR(INDEX(DATA_PROPERTY_MASTER!$E$5:$E$21,MATCH($C4926,DATA_PROPERTY_MASTER!$A$5:$A$21,0))="Yes",FALSE),IFERROR(INDEX(INDIRECT("'"&amp;$C4926&amp;"'!$E$56:$Y$56"),1,MATCH($D4926,INDIRECT("'"&amp;$C4926&amp;"'!$E$12:$Y$12"),0)),0),0)</f>
        <v>-2031934.1122314297</v>
      </c>
      <c r="I4926" s="366" t="s">
        <v>1685</v>
      </c>
      <c r="J4926" s="348" t="str">
        <f t="shared" ca="1" si="152"/>
        <v>OK</v>
      </c>
      <c r="K4926" s="366" t="s">
        <v>1718</v>
      </c>
      <c r="L4926" s="366" t="s">
        <v>2250</v>
      </c>
      <c r="M4926" s="350" t="str">
        <f>IF($B4926="Portfolio","Portfolio",IFERROR(INDEX(DATA_ASSET_CLASSIFICATION!$B$8:$B$24,MATCH($C4926,DATA_ASSET_CLASSIFICATION!$A$8:$A$24,0)),"Review"))</f>
        <v>800 Commercial Drive</v>
      </c>
      <c r="N4926" s="350" t="str">
        <f>IF($B4926="Portfolio","Portfolio",IFERROR(INDEX(DATA_ASSET_CLASSIFICATION!$U$8:$U$24,MATCH($C4926,DATA_ASSET_CLASSIFICATION!$A$8:$A$24,0)),"Review"))</f>
        <v>New Build</v>
      </c>
      <c r="O4926" s="350" t="str">
        <f>IF($B4926="Portfolio","Portfolio",IFERROR(INDEX(DATA_ASSET_CLASSIFICATION!$AB$8:$AB$13,MATCH($N4926,DATA_ASSET_CLASSIFICATION!$AA$8:$AA$13,0)),"Review"))</f>
        <v>Bucket 1 · New Build</v>
      </c>
      <c r="P4926" s="350" t="str">
        <f>IF($B4926="Portfolio","Portfolio",IFERROR(INDEX(DATA_ASSET_CLASSIFICATION!$C$8:$C$24,MATCH($C4926,DATA_ASSET_CLASSIFICATION!$A$8:$A$24,0)),"Review"))</f>
        <v>Yes</v>
      </c>
      <c r="Q4926" s="350" t="str">
        <f t="shared" ca="1" si="153"/>
        <v>OK</v>
      </c>
    </row>
    <row r="4927" spans="1:17" ht="30">
      <c r="A4927" s="366" t="s">
        <v>6883</v>
      </c>
      <c r="B4927" s="366" t="s">
        <v>231</v>
      </c>
      <c r="C4927" s="348" t="str">
        <f>DATA_PROPERTY_MASTER!$A$21</f>
        <v>BLD_CD</v>
      </c>
      <c r="D4927" s="380">
        <f>'00_PORTFOLIO ROLLUP'!E$12</f>
        <v>2025</v>
      </c>
      <c r="E4927" s="366" t="s">
        <v>1721</v>
      </c>
      <c r="F4927" s="366" t="s">
        <v>31</v>
      </c>
      <c r="G4927" s="348" t="str">
        <f>"'"&amp;$C4927&amp;"'!$E$61:$Y$61"</f>
        <v>'BLD_CD'!$E$61:$Y$61</v>
      </c>
      <c r="H4927" s="381">
        <f ca="1">IF(IFERROR(INDEX(DATA_PROPERTY_MASTER!$E$5:$E$21,MATCH($C4927,DATA_PROPERTY_MASTER!$A$5:$A$21,0))="Yes",FALSE),IFERROR(INDEX(INDIRECT("'"&amp;$C4927&amp;"'!$E$61:$Y$61"),1,MATCH($D4927,INDIRECT("'"&amp;$C4927&amp;"'!$E$12:$Y$12"),0)),0),0)</f>
        <v>0</v>
      </c>
      <c r="I4927" s="366" t="s">
        <v>1690</v>
      </c>
      <c r="J4927" s="348" t="str">
        <f t="shared" ca="1" si="152"/>
        <v>OK</v>
      </c>
      <c r="K4927" s="366" t="s">
        <v>1723</v>
      </c>
      <c r="L4927" s="366" t="s">
        <v>2252</v>
      </c>
      <c r="M4927" s="350" t="str">
        <f>IF($B4927="Portfolio","Portfolio",IFERROR(INDEX(DATA_ASSET_CLASSIFICATION!$B$8:$B$24,MATCH($C4927,DATA_ASSET_CLASSIFICATION!$A$8:$A$24,0)),"Review"))</f>
        <v>800 Commercial Drive</v>
      </c>
      <c r="N4927" s="350" t="str">
        <f>IF($B4927="Portfolio","Portfolio",IFERROR(INDEX(DATA_ASSET_CLASSIFICATION!$U$8:$U$24,MATCH($C4927,DATA_ASSET_CLASSIFICATION!$A$8:$A$24,0)),"Review"))</f>
        <v>New Build</v>
      </c>
      <c r="O4927" s="350" t="str">
        <f>IF($B4927="Portfolio","Portfolio",IFERROR(INDEX(DATA_ASSET_CLASSIFICATION!$AB$8:$AB$13,MATCH($N4927,DATA_ASSET_CLASSIFICATION!$AA$8:$AA$13,0)),"Review"))</f>
        <v>Bucket 1 · New Build</v>
      </c>
      <c r="P4927" s="350" t="str">
        <f>IF($B4927="Portfolio","Portfolio",IFERROR(INDEX(DATA_ASSET_CLASSIFICATION!$C$8:$C$24,MATCH($C4927,DATA_ASSET_CLASSIFICATION!$A$8:$A$24,0)),"Review"))</f>
        <v>Yes</v>
      </c>
      <c r="Q4927" s="350" t="str">
        <f t="shared" ca="1" si="153"/>
        <v>OK</v>
      </c>
    </row>
    <row r="4928" spans="1:17" ht="30">
      <c r="A4928" s="366" t="s">
        <v>6884</v>
      </c>
      <c r="B4928" s="366" t="s">
        <v>231</v>
      </c>
      <c r="C4928" s="348" t="str">
        <f>DATA_PROPERTY_MASTER!$A$21</f>
        <v>BLD_CD</v>
      </c>
      <c r="D4928" s="380">
        <f>'00_PORTFOLIO ROLLUP'!E$12</f>
        <v>2025</v>
      </c>
      <c r="E4928" s="366" t="s">
        <v>1721</v>
      </c>
      <c r="F4928" s="366" t="s">
        <v>33</v>
      </c>
      <c r="G4928" s="348" t="str">
        <f>"'"&amp;$C4928&amp;"'!$E$62:$Y$62"</f>
        <v>'BLD_CD'!$E$62:$Y$62</v>
      </c>
      <c r="H4928" s="381">
        <f ca="1">IF(IFERROR(INDEX(DATA_PROPERTY_MASTER!$E$5:$E$21,MATCH($C4928,DATA_PROPERTY_MASTER!$A$5:$A$21,0))="Yes",FALSE),IFERROR(INDEX(INDIRECT("'"&amp;$C4928&amp;"'!$E$62:$Y$62"),1,MATCH($D4928,INDIRECT("'"&amp;$C4928&amp;"'!$E$12:$Y$12"),0)),0),0)</f>
        <v>0</v>
      </c>
      <c r="I4928" s="366" t="s">
        <v>1685</v>
      </c>
      <c r="J4928" s="348" t="str">
        <f t="shared" ca="1" si="152"/>
        <v>OK</v>
      </c>
      <c r="K4928" s="366" t="s">
        <v>1727</v>
      </c>
      <c r="L4928" s="366" t="s">
        <v>2254</v>
      </c>
      <c r="M4928" s="350" t="str">
        <f>IF($B4928="Portfolio","Portfolio",IFERROR(INDEX(DATA_ASSET_CLASSIFICATION!$B$8:$B$24,MATCH($C4928,DATA_ASSET_CLASSIFICATION!$A$8:$A$24,0)),"Review"))</f>
        <v>800 Commercial Drive</v>
      </c>
      <c r="N4928" s="350" t="str">
        <f>IF($B4928="Portfolio","Portfolio",IFERROR(INDEX(DATA_ASSET_CLASSIFICATION!$U$8:$U$24,MATCH($C4928,DATA_ASSET_CLASSIFICATION!$A$8:$A$24,0)),"Review"))</f>
        <v>New Build</v>
      </c>
      <c r="O4928" s="350" t="str">
        <f>IF($B4928="Portfolio","Portfolio",IFERROR(INDEX(DATA_ASSET_CLASSIFICATION!$AB$8:$AB$13,MATCH($N4928,DATA_ASSET_CLASSIFICATION!$AA$8:$AA$13,0)),"Review"))</f>
        <v>Bucket 1 · New Build</v>
      </c>
      <c r="P4928" s="350" t="str">
        <f>IF($B4928="Portfolio","Portfolio",IFERROR(INDEX(DATA_ASSET_CLASSIFICATION!$C$8:$C$24,MATCH($C4928,DATA_ASSET_CLASSIFICATION!$A$8:$A$24,0)),"Review"))</f>
        <v>Yes</v>
      </c>
      <c r="Q4928" s="350" t="str">
        <f t="shared" ca="1" si="153"/>
        <v>OK</v>
      </c>
    </row>
    <row r="4929" spans="1:17" ht="30">
      <c r="A4929" s="366" t="s">
        <v>6885</v>
      </c>
      <c r="B4929" s="366" t="s">
        <v>231</v>
      </c>
      <c r="C4929" s="348" t="str">
        <f>DATA_PROPERTY_MASTER!$A$21</f>
        <v>BLD_CD</v>
      </c>
      <c r="D4929" s="380">
        <f>'00_PORTFOLIO ROLLUP'!E$12</f>
        <v>2025</v>
      </c>
      <c r="E4929" s="366" t="s">
        <v>1721</v>
      </c>
      <c r="F4929" s="366" t="s">
        <v>35</v>
      </c>
      <c r="G4929" s="348" t="str">
        <f>"'"&amp;$C4929&amp;"'!$E$63:$Y$63"</f>
        <v>'BLD_CD'!$E$63:$Y$63</v>
      </c>
      <c r="H4929" s="381">
        <f ca="1">IF(IFERROR(INDEX(DATA_PROPERTY_MASTER!$E$5:$E$21,MATCH($C4929,DATA_PROPERTY_MASTER!$A$5:$A$21,0))="Yes",FALSE),IFERROR(INDEX(INDIRECT("'"&amp;$C4929&amp;"'!$E$63:$Y$63"),1,MATCH($D4929,INDIRECT("'"&amp;$C4929&amp;"'!$E$12:$Y$12"),0)),0),0)</f>
        <v>0</v>
      </c>
      <c r="I4929" s="366" t="s">
        <v>1731</v>
      </c>
      <c r="J4929" s="348" t="str">
        <f t="shared" ca="1" si="152"/>
        <v>OK</v>
      </c>
      <c r="K4929" s="366" t="s">
        <v>1732</v>
      </c>
      <c r="L4929" s="366" t="s">
        <v>2256</v>
      </c>
      <c r="M4929" s="350" t="str">
        <f>IF($B4929="Portfolio","Portfolio",IFERROR(INDEX(DATA_ASSET_CLASSIFICATION!$B$8:$B$24,MATCH($C4929,DATA_ASSET_CLASSIFICATION!$A$8:$A$24,0)),"Review"))</f>
        <v>800 Commercial Drive</v>
      </c>
      <c r="N4929" s="350" t="str">
        <f>IF($B4929="Portfolio","Portfolio",IFERROR(INDEX(DATA_ASSET_CLASSIFICATION!$U$8:$U$24,MATCH($C4929,DATA_ASSET_CLASSIFICATION!$A$8:$A$24,0)),"Review"))</f>
        <v>New Build</v>
      </c>
      <c r="O4929" s="350" t="str">
        <f>IF($B4929="Portfolio","Portfolio",IFERROR(INDEX(DATA_ASSET_CLASSIFICATION!$AB$8:$AB$13,MATCH($N4929,DATA_ASSET_CLASSIFICATION!$AA$8:$AA$13,0)),"Review"))</f>
        <v>Bucket 1 · New Build</v>
      </c>
      <c r="P4929" s="350" t="str">
        <f>IF($B4929="Portfolio","Portfolio",IFERROR(INDEX(DATA_ASSET_CLASSIFICATION!$C$8:$C$24,MATCH($C4929,DATA_ASSET_CLASSIFICATION!$A$8:$A$24,0)),"Review"))</f>
        <v>Yes</v>
      </c>
      <c r="Q4929" s="350" t="str">
        <f t="shared" ca="1" si="153"/>
        <v>OK</v>
      </c>
    </row>
    <row r="4930" spans="1:17" ht="30">
      <c r="A4930" s="366" t="s">
        <v>6886</v>
      </c>
      <c r="B4930" s="366" t="s">
        <v>231</v>
      </c>
      <c r="C4930" s="348" t="str">
        <f>DATA_PROPERTY_MASTER!$A$21</f>
        <v>BLD_CD</v>
      </c>
      <c r="D4930" s="380">
        <f>'00_PORTFOLIO ROLLUP'!E$12</f>
        <v>2025</v>
      </c>
      <c r="E4930" s="366" t="s">
        <v>1721</v>
      </c>
      <c r="F4930" s="366" t="s">
        <v>37</v>
      </c>
      <c r="G4930" s="348" t="str">
        <f>"'"&amp;$C4930&amp;"'!$E$63:$Y$63"</f>
        <v>'BLD_CD'!$E$63:$Y$63</v>
      </c>
      <c r="H4930" s="381">
        <f ca="1">IF(IFERROR(INDEX(DATA_PROPERTY_MASTER!$E$5:$E$21,MATCH($C4930,DATA_PROPERTY_MASTER!$A$5:$A$21,0))="Yes",FALSE),MAX(IFERROR(INDEX(INDIRECT("'"&amp;$C4930&amp;"'!$E$63:$Y$63"),1,MATCH($D4930,INDIRECT("'"&amp;$C4930&amp;"'!$E$12:$Y$12"),0)),0),0),0)</f>
        <v>0</v>
      </c>
      <c r="I4930" s="366" t="s">
        <v>1685</v>
      </c>
      <c r="J4930" s="348" t="str">
        <f t="shared" ca="1" si="152"/>
        <v>OK</v>
      </c>
      <c r="K4930" s="366" t="s">
        <v>1735</v>
      </c>
      <c r="L4930" s="366" t="s">
        <v>2258</v>
      </c>
      <c r="M4930" s="350" t="str">
        <f>IF($B4930="Portfolio","Portfolio",IFERROR(INDEX(DATA_ASSET_CLASSIFICATION!$B$8:$B$24,MATCH($C4930,DATA_ASSET_CLASSIFICATION!$A$8:$A$24,0)),"Review"))</f>
        <v>800 Commercial Drive</v>
      </c>
      <c r="N4930" s="350" t="str">
        <f>IF($B4930="Portfolio","Portfolio",IFERROR(INDEX(DATA_ASSET_CLASSIFICATION!$U$8:$U$24,MATCH($C4930,DATA_ASSET_CLASSIFICATION!$A$8:$A$24,0)),"Review"))</f>
        <v>New Build</v>
      </c>
      <c r="O4930" s="350" t="str">
        <f>IF($B4930="Portfolio","Portfolio",IFERROR(INDEX(DATA_ASSET_CLASSIFICATION!$AB$8:$AB$13,MATCH($N4930,DATA_ASSET_CLASSIFICATION!$AA$8:$AA$13,0)),"Review"))</f>
        <v>Bucket 1 · New Build</v>
      </c>
      <c r="P4930" s="350" t="str">
        <f>IF($B4930="Portfolio","Portfolio",IFERROR(INDEX(DATA_ASSET_CLASSIFICATION!$C$8:$C$24,MATCH($C4930,DATA_ASSET_CLASSIFICATION!$A$8:$A$24,0)),"Review"))</f>
        <v>Yes</v>
      </c>
      <c r="Q4930" s="350" t="str">
        <f t="shared" ca="1" si="153"/>
        <v>OK</v>
      </c>
    </row>
    <row r="4931" spans="1:17" ht="30">
      <c r="A4931" s="366" t="s">
        <v>6887</v>
      </c>
      <c r="B4931" s="366" t="s">
        <v>231</v>
      </c>
      <c r="C4931" s="348" t="str">
        <f>DATA_PROPERTY_MASTER!$A$21</f>
        <v>BLD_CD</v>
      </c>
      <c r="D4931" s="380">
        <f>'00_PORTFOLIO ROLLUP'!E$12</f>
        <v>2025</v>
      </c>
      <c r="E4931" s="366" t="s">
        <v>1721</v>
      </c>
      <c r="F4931" s="366" t="s">
        <v>39</v>
      </c>
      <c r="G4931" s="348" t="str">
        <f>"'"&amp;$C4931&amp;"'!$E$63:$Y$63"</f>
        <v>'BLD_CD'!$E$63:$Y$63</v>
      </c>
      <c r="H4931" s="381">
        <f ca="1">IF(IFERROR(INDEX(DATA_PROPERTY_MASTER!$E$5:$E$21,MATCH($C4931,DATA_PROPERTY_MASTER!$A$5:$A$21,0))="Yes",FALSE),MAX(-IFERROR(INDEX(INDIRECT("'"&amp;$C4931&amp;"'!$E$63:$Y$63"),1,MATCH($D4931,INDIRECT("'"&amp;$C4931&amp;"'!$E$12:$Y$12"),0)),0),0),0)</f>
        <v>0</v>
      </c>
      <c r="I4931" s="366" t="s">
        <v>1690</v>
      </c>
      <c r="J4931" s="348" t="str">
        <f t="shared" ca="1" si="152"/>
        <v>OK</v>
      </c>
      <c r="K4931" s="366" t="s">
        <v>1738</v>
      </c>
      <c r="L4931" s="366" t="s">
        <v>2260</v>
      </c>
      <c r="M4931" s="350" t="str">
        <f>IF($B4931="Portfolio","Portfolio",IFERROR(INDEX(DATA_ASSET_CLASSIFICATION!$B$8:$B$24,MATCH($C4931,DATA_ASSET_CLASSIFICATION!$A$8:$A$24,0)),"Review"))</f>
        <v>800 Commercial Drive</v>
      </c>
      <c r="N4931" s="350" t="str">
        <f>IF($B4931="Portfolio","Portfolio",IFERROR(INDEX(DATA_ASSET_CLASSIFICATION!$U$8:$U$24,MATCH($C4931,DATA_ASSET_CLASSIFICATION!$A$8:$A$24,0)),"Review"))</f>
        <v>New Build</v>
      </c>
      <c r="O4931" s="350" t="str">
        <f>IF($B4931="Portfolio","Portfolio",IFERROR(INDEX(DATA_ASSET_CLASSIFICATION!$AB$8:$AB$13,MATCH($N4931,DATA_ASSET_CLASSIFICATION!$AA$8:$AA$13,0)),"Review"))</f>
        <v>Bucket 1 · New Build</v>
      </c>
      <c r="P4931" s="350" t="str">
        <f>IF($B4931="Portfolio","Portfolio",IFERROR(INDEX(DATA_ASSET_CLASSIFICATION!$C$8:$C$24,MATCH($C4931,DATA_ASSET_CLASSIFICATION!$A$8:$A$24,0)),"Review"))</f>
        <v>Yes</v>
      </c>
      <c r="Q4931" s="350" t="str">
        <f t="shared" ca="1" si="153"/>
        <v>OK</v>
      </c>
    </row>
    <row r="4932" spans="1:17" ht="30">
      <c r="A4932" s="366" t="s">
        <v>6888</v>
      </c>
      <c r="B4932" s="366" t="s">
        <v>231</v>
      </c>
      <c r="C4932" s="348" t="str">
        <f>DATA_PROPERTY_MASTER!$A$21</f>
        <v>BLD_CD</v>
      </c>
      <c r="D4932" s="380">
        <f>'00_PORTFOLIO ROLLUP'!E$12</f>
        <v>2025</v>
      </c>
      <c r="E4932" s="366" t="s">
        <v>1741</v>
      </c>
      <c r="F4932" s="366" t="s">
        <v>41</v>
      </c>
      <c r="G4932" s="348" t="str">
        <f>"'"&amp;$C4932&amp;"'!rows 56 + positive row 63"</f>
        <v>'BLD_CD'!rows 56 + positive row 63</v>
      </c>
      <c r="H4932" s="381">
        <f ca="1">IF(IFERROR(INDEX(DATA_PROPERTY_MASTER!$E$5:$E$21,MATCH($C4932,DATA_PROPERTY_MASTER!$A$5:$A$21,0))="Yes",FALSE),IFERROR(INDEX(INDIRECT("'"&amp;$C4932&amp;"'!$E$56:$Y$56"),1,MATCH($D4932,INDIRECT("'"&amp;$C4932&amp;"'!$E$12:$Y$12"),0)),0)+MAX(IFERROR(INDEX(INDIRECT("'"&amp;$C4932&amp;"'!$E$63:$Y$63"),1,MATCH($D4932,INDIRECT("'"&amp;$C4932&amp;"'!$E$12:$Y$12"),0)),0),0),0)</f>
        <v>-2031934.1122314297</v>
      </c>
      <c r="I4932" s="366" t="s">
        <v>1685</v>
      </c>
      <c r="J4932" s="348" t="str">
        <f t="shared" ca="1" si="152"/>
        <v>OK</v>
      </c>
      <c r="K4932" s="366" t="s">
        <v>1742</v>
      </c>
      <c r="L4932" s="366" t="s">
        <v>2262</v>
      </c>
      <c r="M4932" s="350" t="str">
        <f>IF($B4932="Portfolio","Portfolio",IFERROR(INDEX(DATA_ASSET_CLASSIFICATION!$B$8:$B$24,MATCH($C4932,DATA_ASSET_CLASSIFICATION!$A$8:$A$24,0)),"Review"))</f>
        <v>800 Commercial Drive</v>
      </c>
      <c r="N4932" s="350" t="str">
        <f>IF($B4932="Portfolio","Portfolio",IFERROR(INDEX(DATA_ASSET_CLASSIFICATION!$U$8:$U$24,MATCH($C4932,DATA_ASSET_CLASSIFICATION!$A$8:$A$24,0)),"Review"))</f>
        <v>New Build</v>
      </c>
      <c r="O4932" s="350" t="str">
        <f>IF($B4932="Portfolio","Portfolio",IFERROR(INDEX(DATA_ASSET_CLASSIFICATION!$AB$8:$AB$13,MATCH($N4932,DATA_ASSET_CLASSIFICATION!$AA$8:$AA$13,0)),"Review"))</f>
        <v>Bucket 1 · New Build</v>
      </c>
      <c r="P4932" s="350" t="str">
        <f>IF($B4932="Portfolio","Portfolio",IFERROR(INDEX(DATA_ASSET_CLASSIFICATION!$C$8:$C$24,MATCH($C4932,DATA_ASSET_CLASSIFICATION!$A$8:$A$24,0)),"Review"))</f>
        <v>Yes</v>
      </c>
      <c r="Q4932" s="350" t="str">
        <f t="shared" ca="1" si="153"/>
        <v>OK</v>
      </c>
    </row>
    <row r="4933" spans="1:17" ht="30">
      <c r="A4933" s="366" t="s">
        <v>6889</v>
      </c>
      <c r="B4933" s="366" t="s">
        <v>231</v>
      </c>
      <c r="C4933" s="348" t="str">
        <f>DATA_PROPERTY_MASTER!$A$21</f>
        <v>BLD_CD</v>
      </c>
      <c r="D4933" s="380">
        <f>'00_PORTFOLIO ROLLUP'!E$12</f>
        <v>2025</v>
      </c>
      <c r="E4933" s="366" t="s">
        <v>1741</v>
      </c>
      <c r="F4933" s="366" t="s">
        <v>43</v>
      </c>
      <c r="G4933" s="348" t="str">
        <f>"'"&amp;$C4933&amp;"'!$E$68:$Y$68"</f>
        <v>'BLD_CD'!$E$68:$Y$68</v>
      </c>
      <c r="H4933" s="381">
        <f ca="1">IF(IFERROR(INDEX(DATA_PROPERTY_MASTER!$E$5:$E$21,MATCH($C4933,DATA_PROPERTY_MASTER!$A$5:$A$21,0))="Yes",FALSE),IFERROR(INDEX(INDIRECT("'"&amp;$C4933&amp;"'!$E$68:$Y$68"),1,MATCH($D4933,INDIRECT("'"&amp;$C4933&amp;"'!$E$12:$Y$12"),0)),0),0)</f>
        <v>-2031934.1122314297</v>
      </c>
      <c r="I4933" s="366" t="s">
        <v>1731</v>
      </c>
      <c r="J4933" s="348" t="str">
        <f t="shared" ref="J4933:J4996" ca="1" si="154">IF($F4933="Residual Funding Gap",IF($H4933&gt;0,"Funding Gap","OK"),IF(AND($F4933="Net Refinance Position",$H4933&lt;0),"Negative net refi position","OK"))</f>
        <v>OK</v>
      </c>
      <c r="K4933" s="366" t="s">
        <v>1746</v>
      </c>
      <c r="L4933" s="366" t="s">
        <v>2264</v>
      </c>
      <c r="M4933" s="350" t="str">
        <f>IF($B4933="Portfolio","Portfolio",IFERROR(INDEX(DATA_ASSET_CLASSIFICATION!$B$8:$B$24,MATCH($C4933,DATA_ASSET_CLASSIFICATION!$A$8:$A$24,0)),"Review"))</f>
        <v>800 Commercial Drive</v>
      </c>
      <c r="N4933" s="350" t="str">
        <f>IF($B4933="Portfolio","Portfolio",IFERROR(INDEX(DATA_ASSET_CLASSIFICATION!$U$8:$U$24,MATCH($C4933,DATA_ASSET_CLASSIFICATION!$A$8:$A$24,0)),"Review"))</f>
        <v>New Build</v>
      </c>
      <c r="O4933" s="350" t="str">
        <f>IF($B4933="Portfolio","Portfolio",IFERROR(INDEX(DATA_ASSET_CLASSIFICATION!$AB$8:$AB$13,MATCH($N4933,DATA_ASSET_CLASSIFICATION!$AA$8:$AA$13,0)),"Review"))</f>
        <v>Bucket 1 · New Build</v>
      </c>
      <c r="P4933" s="350" t="str">
        <f>IF($B4933="Portfolio","Portfolio",IFERROR(INDEX(DATA_ASSET_CLASSIFICATION!$C$8:$C$24,MATCH($C4933,DATA_ASSET_CLASSIFICATION!$A$8:$A$24,0)),"Review"))</f>
        <v>Yes</v>
      </c>
      <c r="Q4933" s="350" t="str">
        <f t="shared" ref="Q4933:Q4996" ca="1" si="155">IF(AND($B4933="Property",$F4933="Residual Funding Gap",$H4933&gt;0),"Property Funding Gap",IF($J4933&lt;&gt;"OK",$J4933,"OK"))</f>
        <v>OK</v>
      </c>
    </row>
    <row r="4934" spans="1:17" ht="30">
      <c r="A4934" s="366" t="s">
        <v>6890</v>
      </c>
      <c r="B4934" s="366" t="s">
        <v>231</v>
      </c>
      <c r="C4934" s="348" t="str">
        <f>DATA_PROPERTY_MASTER!$A$21</f>
        <v>BLD_CD</v>
      </c>
      <c r="D4934" s="380">
        <f>'00_PORTFOLIO ROLLUP'!E$12</f>
        <v>2025</v>
      </c>
      <c r="E4934" s="366" t="s">
        <v>1741</v>
      </c>
      <c r="F4934" s="366" t="s">
        <v>1749</v>
      </c>
      <c r="G4934" s="348" t="str">
        <f>"'"&amp;$C4934&amp;"'!rows 56, 63, 68"</f>
        <v>'BLD_CD'!rows 56, 63, 68</v>
      </c>
      <c r="H4934" s="381">
        <f ca="1">IF(IFERROR(INDEX(DATA_PROPERTY_MASTER!$E$5:$E$21,MATCH($C4934,DATA_PROPERTY_MASTER!$A$5:$A$21,0))="Yes",FALSE),(IFERROR(INDEX(INDIRECT("'"&amp;$C4934&amp;"'!$E$56:$Y$56"),1,MATCH($D4934,INDIRECT("'"&amp;$C4934&amp;"'!$E$12:$Y$12"),0)),0)+MAX(IFERROR(INDEX(INDIRECT("'"&amp;$C4934&amp;"'!$E$63:$Y$63"),1,MATCH($D4934,INDIRECT("'"&amp;$C4934&amp;"'!$E$12:$Y$12"),0)),0),0))-(IFERROR(INDEX(INDIRECT("'"&amp;$C4934&amp;"'!$E$68:$Y$68"),1,MATCH($D4934,INDIRECT("'"&amp;$C4934&amp;"'!$E$12:$Y$12"),0)),0)),0)</f>
        <v>0</v>
      </c>
      <c r="I4934" s="366" t="s">
        <v>1750</v>
      </c>
      <c r="J4934" s="348" t="str">
        <f t="shared" ca="1" si="154"/>
        <v>OK</v>
      </c>
      <c r="K4934" s="366" t="s">
        <v>1751</v>
      </c>
      <c r="L4934" s="366" t="s">
        <v>2266</v>
      </c>
      <c r="M4934" s="350" t="str">
        <f>IF($B4934="Portfolio","Portfolio",IFERROR(INDEX(DATA_ASSET_CLASSIFICATION!$B$8:$B$24,MATCH($C4934,DATA_ASSET_CLASSIFICATION!$A$8:$A$24,0)),"Review"))</f>
        <v>800 Commercial Drive</v>
      </c>
      <c r="N4934" s="350" t="str">
        <f>IF($B4934="Portfolio","Portfolio",IFERROR(INDEX(DATA_ASSET_CLASSIFICATION!$U$8:$U$24,MATCH($C4934,DATA_ASSET_CLASSIFICATION!$A$8:$A$24,0)),"Review"))</f>
        <v>New Build</v>
      </c>
      <c r="O4934" s="350" t="str">
        <f>IF($B4934="Portfolio","Portfolio",IFERROR(INDEX(DATA_ASSET_CLASSIFICATION!$AB$8:$AB$13,MATCH($N4934,DATA_ASSET_CLASSIFICATION!$AA$8:$AA$13,0)),"Review"))</f>
        <v>Bucket 1 · New Build</v>
      </c>
      <c r="P4934" s="350" t="str">
        <f>IF($B4934="Portfolio","Portfolio",IFERROR(INDEX(DATA_ASSET_CLASSIFICATION!$C$8:$C$24,MATCH($C4934,DATA_ASSET_CLASSIFICATION!$A$8:$A$24,0)),"Review"))</f>
        <v>Yes</v>
      </c>
      <c r="Q4934" s="350" t="str">
        <f t="shared" ca="1" si="155"/>
        <v>OK</v>
      </c>
    </row>
    <row r="4935" spans="1:17" ht="30">
      <c r="A4935" s="366" t="s">
        <v>6891</v>
      </c>
      <c r="B4935" s="366" t="s">
        <v>231</v>
      </c>
      <c r="C4935" s="348" t="str">
        <f>DATA_PROPERTY_MASTER!$A$21</f>
        <v>BLD_CD</v>
      </c>
      <c r="D4935" s="380">
        <f>'00_PORTFOLIO ROLLUP'!F$12</f>
        <v>2026</v>
      </c>
      <c r="E4935" s="366" t="s">
        <v>1683</v>
      </c>
      <c r="F4935" s="366" t="s">
        <v>341</v>
      </c>
      <c r="G4935" s="348" t="str">
        <f>"'"&amp;$C4935&amp;"'!$E$24:$Y$24"</f>
        <v>'BLD_CD'!$E$24:$Y$24</v>
      </c>
      <c r="H4935" s="381">
        <f ca="1">IF(IFERROR(INDEX(DATA_PROPERTY_MASTER!$E$5:$E$21,MATCH($C4935,DATA_PROPERTY_MASTER!$A$5:$A$21,0))="Yes",FALSE),IFERROR(INDEX(INDIRECT("'"&amp;$C4935&amp;"'!$E$24:$Y$24"),1,MATCH($D4935,INDIRECT("'"&amp;$C4935&amp;"'!$E$12:$Y$12"),0)),0),0)</f>
        <v>0</v>
      </c>
      <c r="I4935" s="366" t="s">
        <v>1685</v>
      </c>
      <c r="J4935" s="348" t="str">
        <f t="shared" ca="1" si="154"/>
        <v>OK</v>
      </c>
      <c r="K4935" s="366" t="s">
        <v>1686</v>
      </c>
      <c r="L4935" s="366" t="s">
        <v>2234</v>
      </c>
      <c r="M4935" s="350" t="str">
        <f>IF($B4935="Portfolio","Portfolio",IFERROR(INDEX(DATA_ASSET_CLASSIFICATION!$B$8:$B$24,MATCH($C4935,DATA_ASSET_CLASSIFICATION!$A$8:$A$24,0)),"Review"))</f>
        <v>800 Commercial Drive</v>
      </c>
      <c r="N4935" s="350" t="str">
        <f>IF($B4935="Portfolio","Portfolio",IFERROR(INDEX(DATA_ASSET_CLASSIFICATION!$U$8:$U$24,MATCH($C4935,DATA_ASSET_CLASSIFICATION!$A$8:$A$24,0)),"Review"))</f>
        <v>New Build</v>
      </c>
      <c r="O4935" s="350" t="str">
        <f>IF($B4935="Portfolio","Portfolio",IFERROR(INDEX(DATA_ASSET_CLASSIFICATION!$AB$8:$AB$13,MATCH($N4935,DATA_ASSET_CLASSIFICATION!$AA$8:$AA$13,0)),"Review"))</f>
        <v>Bucket 1 · New Build</v>
      </c>
      <c r="P4935" s="350" t="str">
        <f>IF($B4935="Portfolio","Portfolio",IFERROR(INDEX(DATA_ASSET_CLASSIFICATION!$C$8:$C$24,MATCH($C4935,DATA_ASSET_CLASSIFICATION!$A$8:$A$24,0)),"Review"))</f>
        <v>Yes</v>
      </c>
      <c r="Q4935" s="350" t="str">
        <f t="shared" ca="1" si="155"/>
        <v>OK</v>
      </c>
    </row>
    <row r="4936" spans="1:17" ht="30">
      <c r="A4936" s="366" t="s">
        <v>6892</v>
      </c>
      <c r="B4936" s="366" t="s">
        <v>231</v>
      </c>
      <c r="C4936" s="348" t="str">
        <f>DATA_PROPERTY_MASTER!$A$21</f>
        <v>BLD_CD</v>
      </c>
      <c r="D4936" s="380">
        <f>'00_PORTFOLIO ROLLUP'!F$12</f>
        <v>2026</v>
      </c>
      <c r="E4936" s="366" t="s">
        <v>1683</v>
      </c>
      <c r="F4936" s="366" t="s">
        <v>355</v>
      </c>
      <c r="G4936" s="348" t="str">
        <f>"'"&amp;$C4936&amp;"'!$E$39:$Y$39"</f>
        <v>'BLD_CD'!$E$39:$Y$39</v>
      </c>
      <c r="H4936" s="381">
        <f ca="1">IF(IFERROR(INDEX(DATA_PROPERTY_MASTER!$E$5:$E$21,MATCH($C4936,DATA_PROPERTY_MASTER!$A$5:$A$21,0))="Yes",FALSE),IFERROR(INDEX(INDIRECT("'"&amp;$C4936&amp;"'!$E$39:$Y$39"),1,MATCH($D4936,INDIRECT("'"&amp;$C4936&amp;"'!$E$12:$Y$12"),0)),0),0)</f>
        <v>0</v>
      </c>
      <c r="I4936" s="366" t="s">
        <v>1690</v>
      </c>
      <c r="J4936" s="348" t="str">
        <f t="shared" ca="1" si="154"/>
        <v>OK</v>
      </c>
      <c r="K4936" s="366" t="s">
        <v>1686</v>
      </c>
      <c r="L4936" s="366" t="s">
        <v>2236</v>
      </c>
      <c r="M4936" s="350" t="str">
        <f>IF($B4936="Portfolio","Portfolio",IFERROR(INDEX(DATA_ASSET_CLASSIFICATION!$B$8:$B$24,MATCH($C4936,DATA_ASSET_CLASSIFICATION!$A$8:$A$24,0)),"Review"))</f>
        <v>800 Commercial Drive</v>
      </c>
      <c r="N4936" s="350" t="str">
        <f>IF($B4936="Portfolio","Portfolio",IFERROR(INDEX(DATA_ASSET_CLASSIFICATION!$U$8:$U$24,MATCH($C4936,DATA_ASSET_CLASSIFICATION!$A$8:$A$24,0)),"Review"))</f>
        <v>New Build</v>
      </c>
      <c r="O4936" s="350" t="str">
        <f>IF($B4936="Portfolio","Portfolio",IFERROR(INDEX(DATA_ASSET_CLASSIFICATION!$AB$8:$AB$13,MATCH($N4936,DATA_ASSET_CLASSIFICATION!$AA$8:$AA$13,0)),"Review"))</f>
        <v>Bucket 1 · New Build</v>
      </c>
      <c r="P4936" s="350" t="str">
        <f>IF($B4936="Portfolio","Portfolio",IFERROR(INDEX(DATA_ASSET_CLASSIFICATION!$C$8:$C$24,MATCH($C4936,DATA_ASSET_CLASSIFICATION!$A$8:$A$24,0)),"Review"))</f>
        <v>Yes</v>
      </c>
      <c r="Q4936" s="350" t="str">
        <f t="shared" ca="1" si="155"/>
        <v>OK</v>
      </c>
    </row>
    <row r="4937" spans="1:17" ht="30">
      <c r="A4937" s="366" t="s">
        <v>6893</v>
      </c>
      <c r="B4937" s="366" t="s">
        <v>231</v>
      </c>
      <c r="C4937" s="348" t="str">
        <f>DATA_PROPERTY_MASTER!$A$21</f>
        <v>BLD_CD</v>
      </c>
      <c r="D4937" s="380">
        <f>'00_PORTFOLIO ROLLUP'!F$12</f>
        <v>2026</v>
      </c>
      <c r="E4937" s="366" t="s">
        <v>1683</v>
      </c>
      <c r="F4937" s="366" t="s">
        <v>19</v>
      </c>
      <c r="G4937" s="348" t="str">
        <f>"'"&amp;$C4937&amp;"'!$E$41:$Y$41"</f>
        <v>'BLD_CD'!$E$41:$Y$41</v>
      </c>
      <c r="H4937" s="381">
        <f ca="1">IF(IFERROR(INDEX(DATA_PROPERTY_MASTER!$E$5:$E$21,MATCH($C4937,DATA_PROPERTY_MASTER!$A$5:$A$21,0))="Yes",FALSE),IFERROR(INDEX(INDIRECT("'"&amp;$C4937&amp;"'!$E$41:$Y$41"),1,MATCH($D4937,INDIRECT("'"&amp;$C4937&amp;"'!$E$12:$Y$12"),0)),0),0)</f>
        <v>0</v>
      </c>
      <c r="I4937" s="366" t="s">
        <v>1685</v>
      </c>
      <c r="J4937" s="348" t="str">
        <f t="shared" ca="1" si="154"/>
        <v>OK</v>
      </c>
      <c r="K4937" s="366" t="s">
        <v>1694</v>
      </c>
      <c r="L4937" s="366" t="s">
        <v>2238</v>
      </c>
      <c r="M4937" s="350" t="str">
        <f>IF($B4937="Portfolio","Portfolio",IFERROR(INDEX(DATA_ASSET_CLASSIFICATION!$B$8:$B$24,MATCH($C4937,DATA_ASSET_CLASSIFICATION!$A$8:$A$24,0)),"Review"))</f>
        <v>800 Commercial Drive</v>
      </c>
      <c r="N4937" s="350" t="str">
        <f>IF($B4937="Portfolio","Portfolio",IFERROR(INDEX(DATA_ASSET_CLASSIFICATION!$U$8:$U$24,MATCH($C4937,DATA_ASSET_CLASSIFICATION!$A$8:$A$24,0)),"Review"))</f>
        <v>New Build</v>
      </c>
      <c r="O4937" s="350" t="str">
        <f>IF($B4937="Portfolio","Portfolio",IFERROR(INDEX(DATA_ASSET_CLASSIFICATION!$AB$8:$AB$13,MATCH($N4937,DATA_ASSET_CLASSIFICATION!$AA$8:$AA$13,0)),"Review"))</f>
        <v>Bucket 1 · New Build</v>
      </c>
      <c r="P4937" s="350" t="str">
        <f>IF($B4937="Portfolio","Portfolio",IFERROR(INDEX(DATA_ASSET_CLASSIFICATION!$C$8:$C$24,MATCH($C4937,DATA_ASSET_CLASSIFICATION!$A$8:$A$24,0)),"Review"))</f>
        <v>Yes</v>
      </c>
      <c r="Q4937" s="350" t="str">
        <f t="shared" ca="1" si="155"/>
        <v>OK</v>
      </c>
    </row>
    <row r="4938" spans="1:17" ht="30">
      <c r="A4938" s="366" t="s">
        <v>6894</v>
      </c>
      <c r="B4938" s="366" t="s">
        <v>231</v>
      </c>
      <c r="C4938" s="348" t="str">
        <f>DATA_PROPERTY_MASTER!$A$21</f>
        <v>BLD_CD</v>
      </c>
      <c r="D4938" s="380">
        <f>'00_PORTFOLIO ROLLUP'!F$12</f>
        <v>2026</v>
      </c>
      <c r="E4938" s="366" t="s">
        <v>1683</v>
      </c>
      <c r="F4938" s="366" t="s">
        <v>1697</v>
      </c>
      <c r="G4938" s="348" t="str">
        <f>"'"&amp;$C4938&amp;"'!$E$44:$Y$44"</f>
        <v>'BLD_CD'!$E$44:$Y$44</v>
      </c>
      <c r="H4938" s="381">
        <f ca="1">IF(IFERROR(INDEX(DATA_PROPERTY_MASTER!$E$5:$E$21,MATCH($C4938,DATA_PROPERTY_MASTER!$A$5:$A$21,0))="Yes",FALSE),IFERROR(INDEX(INDIRECT("'"&amp;$C4938&amp;"'!$E$44:$Y$44"),1,MATCH($D4938,INDIRECT("'"&amp;$C4938&amp;"'!$E$12:$Y$12"),0)),0),0)</f>
        <v>0</v>
      </c>
      <c r="I4938" s="366" t="s">
        <v>1690</v>
      </c>
      <c r="J4938" s="348" t="str">
        <f t="shared" ca="1" si="154"/>
        <v>OK</v>
      </c>
      <c r="K4938" s="366" t="s">
        <v>1699</v>
      </c>
      <c r="L4938" s="366" t="s">
        <v>2240</v>
      </c>
      <c r="M4938" s="350" t="str">
        <f>IF($B4938="Portfolio","Portfolio",IFERROR(INDEX(DATA_ASSET_CLASSIFICATION!$B$8:$B$24,MATCH($C4938,DATA_ASSET_CLASSIFICATION!$A$8:$A$24,0)),"Review"))</f>
        <v>800 Commercial Drive</v>
      </c>
      <c r="N4938" s="350" t="str">
        <f>IF($B4938="Portfolio","Portfolio",IFERROR(INDEX(DATA_ASSET_CLASSIFICATION!$U$8:$U$24,MATCH($C4938,DATA_ASSET_CLASSIFICATION!$A$8:$A$24,0)),"Review"))</f>
        <v>New Build</v>
      </c>
      <c r="O4938" s="350" t="str">
        <f>IF($B4938="Portfolio","Portfolio",IFERROR(INDEX(DATA_ASSET_CLASSIFICATION!$AB$8:$AB$13,MATCH($N4938,DATA_ASSET_CLASSIFICATION!$AA$8:$AA$13,0)),"Review"))</f>
        <v>Bucket 1 · New Build</v>
      </c>
      <c r="P4938" s="350" t="str">
        <f>IF($B4938="Portfolio","Portfolio",IFERROR(INDEX(DATA_ASSET_CLASSIFICATION!$C$8:$C$24,MATCH($C4938,DATA_ASSET_CLASSIFICATION!$A$8:$A$24,0)),"Review"))</f>
        <v>Yes</v>
      </c>
      <c r="Q4938" s="350" t="str">
        <f t="shared" ca="1" si="155"/>
        <v>OK</v>
      </c>
    </row>
    <row r="4939" spans="1:17" ht="30">
      <c r="A4939" s="366" t="s">
        <v>6895</v>
      </c>
      <c r="B4939" s="366" t="s">
        <v>231</v>
      </c>
      <c r="C4939" s="348" t="str">
        <f>DATA_PROPERTY_MASTER!$A$21</f>
        <v>BLD_CD</v>
      </c>
      <c r="D4939" s="380">
        <f>'00_PORTFOLIO ROLLUP'!F$12</f>
        <v>2026</v>
      </c>
      <c r="E4939" s="366" t="s">
        <v>1683</v>
      </c>
      <c r="F4939" s="366" t="s">
        <v>21</v>
      </c>
      <c r="G4939" s="348" t="str">
        <f>"'"&amp;$C4939&amp;"'!$E$45:$Y$45"</f>
        <v>'BLD_CD'!$E$45:$Y$45</v>
      </c>
      <c r="H4939" s="381">
        <f ca="1">IF(IFERROR(INDEX(DATA_PROPERTY_MASTER!$E$5:$E$21,MATCH($C4939,DATA_PROPERTY_MASTER!$A$5:$A$21,0))="Yes",FALSE),IFERROR(INDEX(INDIRECT("'"&amp;$C4939&amp;"'!$E$45:$Y$45"),1,MATCH($D4939,INDIRECT("'"&amp;$C4939&amp;"'!$E$12:$Y$12"),0)),0),0)</f>
        <v>0</v>
      </c>
      <c r="I4939" s="366" t="s">
        <v>1685</v>
      </c>
      <c r="J4939" s="348" t="str">
        <f t="shared" ca="1" si="154"/>
        <v>OK</v>
      </c>
      <c r="K4939" s="366" t="s">
        <v>1694</v>
      </c>
      <c r="L4939" s="366" t="s">
        <v>2242</v>
      </c>
      <c r="M4939" s="350" t="str">
        <f>IF($B4939="Portfolio","Portfolio",IFERROR(INDEX(DATA_ASSET_CLASSIFICATION!$B$8:$B$24,MATCH($C4939,DATA_ASSET_CLASSIFICATION!$A$8:$A$24,0)),"Review"))</f>
        <v>800 Commercial Drive</v>
      </c>
      <c r="N4939" s="350" t="str">
        <f>IF($B4939="Portfolio","Portfolio",IFERROR(INDEX(DATA_ASSET_CLASSIFICATION!$U$8:$U$24,MATCH($C4939,DATA_ASSET_CLASSIFICATION!$A$8:$A$24,0)),"Review"))</f>
        <v>New Build</v>
      </c>
      <c r="O4939" s="350" t="str">
        <f>IF($B4939="Portfolio","Portfolio",IFERROR(INDEX(DATA_ASSET_CLASSIFICATION!$AB$8:$AB$13,MATCH($N4939,DATA_ASSET_CLASSIFICATION!$AA$8:$AA$13,0)),"Review"))</f>
        <v>Bucket 1 · New Build</v>
      </c>
      <c r="P4939" s="350" t="str">
        <f>IF($B4939="Portfolio","Portfolio",IFERROR(INDEX(DATA_ASSET_CLASSIFICATION!$C$8:$C$24,MATCH($C4939,DATA_ASSET_CLASSIFICATION!$A$8:$A$24,0)),"Review"))</f>
        <v>Yes</v>
      </c>
      <c r="Q4939" s="350" t="str">
        <f t="shared" ca="1" si="155"/>
        <v>OK</v>
      </c>
    </row>
    <row r="4940" spans="1:17" ht="30">
      <c r="A4940" s="366" t="s">
        <v>6896</v>
      </c>
      <c r="B4940" s="366" t="s">
        <v>231</v>
      </c>
      <c r="C4940" s="348" t="str">
        <f>DATA_PROPERTY_MASTER!$A$21</f>
        <v>BLD_CD</v>
      </c>
      <c r="D4940" s="380">
        <f>'00_PORTFOLIO ROLLUP'!F$12</f>
        <v>2026</v>
      </c>
      <c r="E4940" s="366" t="s">
        <v>23</v>
      </c>
      <c r="F4940" s="366" t="s">
        <v>23</v>
      </c>
      <c r="G4940" s="348" t="str">
        <f>"'"&amp;$C4940&amp;"'!$E$48:$Y$48"</f>
        <v>'BLD_CD'!$E$48:$Y$48</v>
      </c>
      <c r="H4940" s="381">
        <f ca="1">IF(IFERROR(INDEX(DATA_PROPERTY_MASTER!$E$5:$E$21,MATCH($C4940,DATA_PROPERTY_MASTER!$A$5:$A$21,0))="Yes",FALSE),IFERROR(INDEX(INDIRECT("'"&amp;$C4940&amp;"'!$E$48:$Y$48"),1,MATCH($D4940,INDIRECT("'"&amp;$C4940&amp;"'!$E$12:$Y$12"),0)),0),0)</f>
        <v>2031934.1122314297</v>
      </c>
      <c r="I4940" s="366" t="s">
        <v>1690</v>
      </c>
      <c r="J4940" s="348" t="str">
        <f t="shared" ca="1" si="154"/>
        <v>OK</v>
      </c>
      <c r="K4940" s="366" t="s">
        <v>1706</v>
      </c>
      <c r="L4940" s="366" t="s">
        <v>2244</v>
      </c>
      <c r="M4940" s="350" t="str">
        <f>IF($B4940="Portfolio","Portfolio",IFERROR(INDEX(DATA_ASSET_CLASSIFICATION!$B$8:$B$24,MATCH($C4940,DATA_ASSET_CLASSIFICATION!$A$8:$A$24,0)),"Review"))</f>
        <v>800 Commercial Drive</v>
      </c>
      <c r="N4940" s="350" t="str">
        <f>IF($B4940="Portfolio","Portfolio",IFERROR(INDEX(DATA_ASSET_CLASSIFICATION!$U$8:$U$24,MATCH($C4940,DATA_ASSET_CLASSIFICATION!$A$8:$A$24,0)),"Review"))</f>
        <v>New Build</v>
      </c>
      <c r="O4940" s="350" t="str">
        <f>IF($B4940="Portfolio","Portfolio",IFERROR(INDEX(DATA_ASSET_CLASSIFICATION!$AB$8:$AB$13,MATCH($N4940,DATA_ASSET_CLASSIFICATION!$AA$8:$AA$13,0)),"Review"))</f>
        <v>Bucket 1 · New Build</v>
      </c>
      <c r="P4940" s="350" t="str">
        <f>IF($B4940="Portfolio","Portfolio",IFERROR(INDEX(DATA_ASSET_CLASSIFICATION!$C$8:$C$24,MATCH($C4940,DATA_ASSET_CLASSIFICATION!$A$8:$A$24,0)),"Review"))</f>
        <v>Yes</v>
      </c>
      <c r="Q4940" s="350" t="str">
        <f t="shared" ca="1" si="155"/>
        <v>OK</v>
      </c>
    </row>
    <row r="4941" spans="1:17" ht="30">
      <c r="A4941" s="366" t="s">
        <v>6897</v>
      </c>
      <c r="B4941" s="366" t="s">
        <v>231</v>
      </c>
      <c r="C4941" s="348" t="str">
        <f>DATA_PROPERTY_MASTER!$A$21</f>
        <v>BLD_CD</v>
      </c>
      <c r="D4941" s="380">
        <f>'00_PORTFOLIO ROLLUP'!F$12</f>
        <v>2026</v>
      </c>
      <c r="E4941" s="366" t="s">
        <v>1683</v>
      </c>
      <c r="F4941" s="366" t="s">
        <v>25</v>
      </c>
      <c r="G4941" s="348" t="str">
        <f>"'"&amp;$C4941&amp;"'!$E$52:$Y$52"</f>
        <v>'BLD_CD'!$E$52:$Y$52</v>
      </c>
      <c r="H4941" s="381">
        <f ca="1">IF(IFERROR(INDEX(DATA_PROPERTY_MASTER!$E$5:$E$21,MATCH($C4941,DATA_PROPERTY_MASTER!$A$5:$A$21,0))="Yes",FALSE),IFERROR(INDEX(INDIRECT("'"&amp;$C4941&amp;"'!$E$52:$Y$52"),1,MATCH($D4941,INDIRECT("'"&amp;$C4941&amp;"'!$E$12:$Y$12"),0)),0),0)</f>
        <v>-2031934.1122314297</v>
      </c>
      <c r="I4941" s="366" t="s">
        <v>1685</v>
      </c>
      <c r="J4941" s="348" t="str">
        <f t="shared" ca="1" si="154"/>
        <v>OK</v>
      </c>
      <c r="K4941" s="366" t="s">
        <v>1710</v>
      </c>
      <c r="L4941" s="366" t="s">
        <v>2246</v>
      </c>
      <c r="M4941" s="350" t="str">
        <f>IF($B4941="Portfolio","Portfolio",IFERROR(INDEX(DATA_ASSET_CLASSIFICATION!$B$8:$B$24,MATCH($C4941,DATA_ASSET_CLASSIFICATION!$A$8:$A$24,0)),"Review"))</f>
        <v>800 Commercial Drive</v>
      </c>
      <c r="N4941" s="350" t="str">
        <f>IF($B4941="Portfolio","Portfolio",IFERROR(INDEX(DATA_ASSET_CLASSIFICATION!$U$8:$U$24,MATCH($C4941,DATA_ASSET_CLASSIFICATION!$A$8:$A$24,0)),"Review"))</f>
        <v>New Build</v>
      </c>
      <c r="O4941" s="350" t="str">
        <f>IF($B4941="Portfolio","Portfolio",IFERROR(INDEX(DATA_ASSET_CLASSIFICATION!$AB$8:$AB$13,MATCH($N4941,DATA_ASSET_CLASSIFICATION!$AA$8:$AA$13,0)),"Review"))</f>
        <v>Bucket 1 · New Build</v>
      </c>
      <c r="P4941" s="350" t="str">
        <f>IF($B4941="Portfolio","Portfolio",IFERROR(INDEX(DATA_ASSET_CLASSIFICATION!$C$8:$C$24,MATCH($C4941,DATA_ASSET_CLASSIFICATION!$A$8:$A$24,0)),"Review"))</f>
        <v>Yes</v>
      </c>
      <c r="Q4941" s="350" t="str">
        <f t="shared" ca="1" si="155"/>
        <v>OK</v>
      </c>
    </row>
    <row r="4942" spans="1:17" ht="30">
      <c r="A4942" s="366" t="s">
        <v>6898</v>
      </c>
      <c r="B4942" s="366" t="s">
        <v>231</v>
      </c>
      <c r="C4942" s="348" t="str">
        <f>DATA_PROPERTY_MASTER!$A$21</f>
        <v>BLD_CD</v>
      </c>
      <c r="D4942" s="380">
        <f>'00_PORTFOLIO ROLLUP'!F$12</f>
        <v>2026</v>
      </c>
      <c r="E4942" s="366" t="s">
        <v>1683</v>
      </c>
      <c r="F4942" s="366" t="s">
        <v>27</v>
      </c>
      <c r="G4942" s="348" t="str">
        <f>"'"&amp;$C4942&amp;"'!$E$54:$Y$54"</f>
        <v>'BLD_CD'!$E$54:$Y$54</v>
      </c>
      <c r="H4942" s="381">
        <f ca="1">IF(IFERROR(INDEX(DATA_PROPERTY_MASTER!$E$5:$E$21,MATCH($C4942,DATA_PROPERTY_MASTER!$A$5:$A$21,0))="Yes",FALSE),IFERROR(INDEX(INDIRECT("'"&amp;$C4942&amp;"'!$E$54:$Y$54"),1,MATCH($D4942,INDIRECT("'"&amp;$C4942&amp;"'!$E$12:$Y$12"),0)),0),0)</f>
        <v>0</v>
      </c>
      <c r="I4942" s="366" t="s">
        <v>1690</v>
      </c>
      <c r="J4942" s="348" t="str">
        <f t="shared" ca="1" si="154"/>
        <v>OK</v>
      </c>
      <c r="K4942" s="366" t="s">
        <v>1714</v>
      </c>
      <c r="L4942" s="366" t="s">
        <v>2248</v>
      </c>
      <c r="M4942" s="350" t="str">
        <f>IF($B4942="Portfolio","Portfolio",IFERROR(INDEX(DATA_ASSET_CLASSIFICATION!$B$8:$B$24,MATCH($C4942,DATA_ASSET_CLASSIFICATION!$A$8:$A$24,0)),"Review"))</f>
        <v>800 Commercial Drive</v>
      </c>
      <c r="N4942" s="350" t="str">
        <f>IF($B4942="Portfolio","Portfolio",IFERROR(INDEX(DATA_ASSET_CLASSIFICATION!$U$8:$U$24,MATCH($C4942,DATA_ASSET_CLASSIFICATION!$A$8:$A$24,0)),"Review"))</f>
        <v>New Build</v>
      </c>
      <c r="O4942" s="350" t="str">
        <f>IF($B4942="Portfolio","Portfolio",IFERROR(INDEX(DATA_ASSET_CLASSIFICATION!$AB$8:$AB$13,MATCH($N4942,DATA_ASSET_CLASSIFICATION!$AA$8:$AA$13,0)),"Review"))</f>
        <v>Bucket 1 · New Build</v>
      </c>
      <c r="P4942" s="350" t="str">
        <f>IF($B4942="Portfolio","Portfolio",IFERROR(INDEX(DATA_ASSET_CLASSIFICATION!$C$8:$C$24,MATCH($C4942,DATA_ASSET_CLASSIFICATION!$A$8:$A$24,0)),"Review"))</f>
        <v>Yes</v>
      </c>
      <c r="Q4942" s="350" t="str">
        <f t="shared" ca="1" si="155"/>
        <v>OK</v>
      </c>
    </row>
    <row r="4943" spans="1:17" ht="30">
      <c r="A4943" s="366" t="s">
        <v>6899</v>
      </c>
      <c r="B4943" s="366" t="s">
        <v>231</v>
      </c>
      <c r="C4943" s="348" t="str">
        <f>DATA_PROPERTY_MASTER!$A$21</f>
        <v>BLD_CD</v>
      </c>
      <c r="D4943" s="380">
        <f>'00_PORTFOLIO ROLLUP'!F$12</f>
        <v>2026</v>
      </c>
      <c r="E4943" s="366" t="s">
        <v>1683</v>
      </c>
      <c r="F4943" s="366" t="s">
        <v>29</v>
      </c>
      <c r="G4943" s="348" t="str">
        <f>"'"&amp;$C4943&amp;"'!$E$56:$Y$56"</f>
        <v>'BLD_CD'!$E$56:$Y$56</v>
      </c>
      <c r="H4943" s="381">
        <f ca="1">IF(IFERROR(INDEX(DATA_PROPERTY_MASTER!$E$5:$E$21,MATCH($C4943,DATA_PROPERTY_MASTER!$A$5:$A$21,0))="Yes",FALSE),IFERROR(INDEX(INDIRECT("'"&amp;$C4943&amp;"'!$E$56:$Y$56"),1,MATCH($D4943,INDIRECT("'"&amp;$C4943&amp;"'!$E$12:$Y$12"),0)),0),0)</f>
        <v>-2031934.1122314297</v>
      </c>
      <c r="I4943" s="366" t="s">
        <v>1685</v>
      </c>
      <c r="J4943" s="348" t="str">
        <f t="shared" ca="1" si="154"/>
        <v>OK</v>
      </c>
      <c r="K4943" s="366" t="s">
        <v>1718</v>
      </c>
      <c r="L4943" s="366" t="s">
        <v>2250</v>
      </c>
      <c r="M4943" s="350" t="str">
        <f>IF($B4943="Portfolio","Portfolio",IFERROR(INDEX(DATA_ASSET_CLASSIFICATION!$B$8:$B$24,MATCH($C4943,DATA_ASSET_CLASSIFICATION!$A$8:$A$24,0)),"Review"))</f>
        <v>800 Commercial Drive</v>
      </c>
      <c r="N4943" s="350" t="str">
        <f>IF($B4943="Portfolio","Portfolio",IFERROR(INDEX(DATA_ASSET_CLASSIFICATION!$U$8:$U$24,MATCH($C4943,DATA_ASSET_CLASSIFICATION!$A$8:$A$24,0)),"Review"))</f>
        <v>New Build</v>
      </c>
      <c r="O4943" s="350" t="str">
        <f>IF($B4943="Portfolio","Portfolio",IFERROR(INDEX(DATA_ASSET_CLASSIFICATION!$AB$8:$AB$13,MATCH($N4943,DATA_ASSET_CLASSIFICATION!$AA$8:$AA$13,0)),"Review"))</f>
        <v>Bucket 1 · New Build</v>
      </c>
      <c r="P4943" s="350" t="str">
        <f>IF($B4943="Portfolio","Portfolio",IFERROR(INDEX(DATA_ASSET_CLASSIFICATION!$C$8:$C$24,MATCH($C4943,DATA_ASSET_CLASSIFICATION!$A$8:$A$24,0)),"Review"))</f>
        <v>Yes</v>
      </c>
      <c r="Q4943" s="350" t="str">
        <f t="shared" ca="1" si="155"/>
        <v>OK</v>
      </c>
    </row>
    <row r="4944" spans="1:17" ht="30">
      <c r="A4944" s="366" t="s">
        <v>6900</v>
      </c>
      <c r="B4944" s="366" t="s">
        <v>231</v>
      </c>
      <c r="C4944" s="348" t="str">
        <f>DATA_PROPERTY_MASTER!$A$21</f>
        <v>BLD_CD</v>
      </c>
      <c r="D4944" s="380">
        <f>'00_PORTFOLIO ROLLUP'!F$12</f>
        <v>2026</v>
      </c>
      <c r="E4944" s="366" t="s">
        <v>1721</v>
      </c>
      <c r="F4944" s="366" t="s">
        <v>31</v>
      </c>
      <c r="G4944" s="348" t="str">
        <f>"'"&amp;$C4944&amp;"'!$E$61:$Y$61"</f>
        <v>'BLD_CD'!$E$61:$Y$61</v>
      </c>
      <c r="H4944" s="381">
        <f ca="1">IF(IFERROR(INDEX(DATA_PROPERTY_MASTER!$E$5:$E$21,MATCH($C4944,DATA_PROPERTY_MASTER!$A$5:$A$21,0))="Yes",FALSE),IFERROR(INDEX(INDIRECT("'"&amp;$C4944&amp;"'!$E$61:$Y$61"),1,MATCH($D4944,INDIRECT("'"&amp;$C4944&amp;"'!$E$12:$Y$12"),0)),0),0)</f>
        <v>0</v>
      </c>
      <c r="I4944" s="366" t="s">
        <v>1690</v>
      </c>
      <c r="J4944" s="348" t="str">
        <f t="shared" ca="1" si="154"/>
        <v>OK</v>
      </c>
      <c r="K4944" s="366" t="s">
        <v>1723</v>
      </c>
      <c r="L4944" s="366" t="s">
        <v>2252</v>
      </c>
      <c r="M4944" s="350" t="str">
        <f>IF($B4944="Portfolio","Portfolio",IFERROR(INDEX(DATA_ASSET_CLASSIFICATION!$B$8:$B$24,MATCH($C4944,DATA_ASSET_CLASSIFICATION!$A$8:$A$24,0)),"Review"))</f>
        <v>800 Commercial Drive</v>
      </c>
      <c r="N4944" s="350" t="str">
        <f>IF($B4944="Portfolio","Portfolio",IFERROR(INDEX(DATA_ASSET_CLASSIFICATION!$U$8:$U$24,MATCH($C4944,DATA_ASSET_CLASSIFICATION!$A$8:$A$24,0)),"Review"))</f>
        <v>New Build</v>
      </c>
      <c r="O4944" s="350" t="str">
        <f>IF($B4944="Portfolio","Portfolio",IFERROR(INDEX(DATA_ASSET_CLASSIFICATION!$AB$8:$AB$13,MATCH($N4944,DATA_ASSET_CLASSIFICATION!$AA$8:$AA$13,0)),"Review"))</f>
        <v>Bucket 1 · New Build</v>
      </c>
      <c r="P4944" s="350" t="str">
        <f>IF($B4944="Portfolio","Portfolio",IFERROR(INDEX(DATA_ASSET_CLASSIFICATION!$C$8:$C$24,MATCH($C4944,DATA_ASSET_CLASSIFICATION!$A$8:$A$24,0)),"Review"))</f>
        <v>Yes</v>
      </c>
      <c r="Q4944" s="350" t="str">
        <f t="shared" ca="1" si="155"/>
        <v>OK</v>
      </c>
    </row>
    <row r="4945" spans="1:17" ht="30">
      <c r="A4945" s="366" t="s">
        <v>6901</v>
      </c>
      <c r="B4945" s="366" t="s">
        <v>231</v>
      </c>
      <c r="C4945" s="348" t="str">
        <f>DATA_PROPERTY_MASTER!$A$21</f>
        <v>BLD_CD</v>
      </c>
      <c r="D4945" s="380">
        <f>'00_PORTFOLIO ROLLUP'!F$12</f>
        <v>2026</v>
      </c>
      <c r="E4945" s="366" t="s">
        <v>1721</v>
      </c>
      <c r="F4945" s="366" t="s">
        <v>33</v>
      </c>
      <c r="G4945" s="348" t="str">
        <f>"'"&amp;$C4945&amp;"'!$E$62:$Y$62"</f>
        <v>'BLD_CD'!$E$62:$Y$62</v>
      </c>
      <c r="H4945" s="381">
        <f ca="1">IF(IFERROR(INDEX(DATA_PROPERTY_MASTER!$E$5:$E$21,MATCH($C4945,DATA_PROPERTY_MASTER!$A$5:$A$21,0))="Yes",FALSE),IFERROR(INDEX(INDIRECT("'"&amp;$C4945&amp;"'!$E$62:$Y$62"),1,MATCH($D4945,INDIRECT("'"&amp;$C4945&amp;"'!$E$12:$Y$12"),0)),0),0)</f>
        <v>0</v>
      </c>
      <c r="I4945" s="366" t="s">
        <v>1685</v>
      </c>
      <c r="J4945" s="348" t="str">
        <f t="shared" ca="1" si="154"/>
        <v>OK</v>
      </c>
      <c r="K4945" s="366" t="s">
        <v>1727</v>
      </c>
      <c r="L4945" s="366" t="s">
        <v>2254</v>
      </c>
      <c r="M4945" s="350" t="str">
        <f>IF($B4945="Portfolio","Portfolio",IFERROR(INDEX(DATA_ASSET_CLASSIFICATION!$B$8:$B$24,MATCH($C4945,DATA_ASSET_CLASSIFICATION!$A$8:$A$24,0)),"Review"))</f>
        <v>800 Commercial Drive</v>
      </c>
      <c r="N4945" s="350" t="str">
        <f>IF($B4945="Portfolio","Portfolio",IFERROR(INDEX(DATA_ASSET_CLASSIFICATION!$U$8:$U$24,MATCH($C4945,DATA_ASSET_CLASSIFICATION!$A$8:$A$24,0)),"Review"))</f>
        <v>New Build</v>
      </c>
      <c r="O4945" s="350" t="str">
        <f>IF($B4945="Portfolio","Portfolio",IFERROR(INDEX(DATA_ASSET_CLASSIFICATION!$AB$8:$AB$13,MATCH($N4945,DATA_ASSET_CLASSIFICATION!$AA$8:$AA$13,0)),"Review"))</f>
        <v>Bucket 1 · New Build</v>
      </c>
      <c r="P4945" s="350" t="str">
        <f>IF($B4945="Portfolio","Portfolio",IFERROR(INDEX(DATA_ASSET_CLASSIFICATION!$C$8:$C$24,MATCH($C4945,DATA_ASSET_CLASSIFICATION!$A$8:$A$24,0)),"Review"))</f>
        <v>Yes</v>
      </c>
      <c r="Q4945" s="350" t="str">
        <f t="shared" ca="1" si="155"/>
        <v>OK</v>
      </c>
    </row>
    <row r="4946" spans="1:17" ht="30">
      <c r="A4946" s="366" t="s">
        <v>6902</v>
      </c>
      <c r="B4946" s="366" t="s">
        <v>231</v>
      </c>
      <c r="C4946" s="348" t="str">
        <f>DATA_PROPERTY_MASTER!$A$21</f>
        <v>BLD_CD</v>
      </c>
      <c r="D4946" s="380">
        <f>'00_PORTFOLIO ROLLUP'!F$12</f>
        <v>2026</v>
      </c>
      <c r="E4946" s="366" t="s">
        <v>1721</v>
      </c>
      <c r="F4946" s="366" t="s">
        <v>35</v>
      </c>
      <c r="G4946" s="348" t="str">
        <f>"'"&amp;$C4946&amp;"'!$E$63:$Y$63"</f>
        <v>'BLD_CD'!$E$63:$Y$63</v>
      </c>
      <c r="H4946" s="381">
        <f ca="1">IF(IFERROR(INDEX(DATA_PROPERTY_MASTER!$E$5:$E$21,MATCH($C4946,DATA_PROPERTY_MASTER!$A$5:$A$21,0))="Yes",FALSE),IFERROR(INDEX(INDIRECT("'"&amp;$C4946&amp;"'!$E$63:$Y$63"),1,MATCH($D4946,INDIRECT("'"&amp;$C4946&amp;"'!$E$12:$Y$12"),0)),0),0)</f>
        <v>0</v>
      </c>
      <c r="I4946" s="366" t="s">
        <v>1731</v>
      </c>
      <c r="J4946" s="348" t="str">
        <f t="shared" ca="1" si="154"/>
        <v>OK</v>
      </c>
      <c r="K4946" s="366" t="s">
        <v>1732</v>
      </c>
      <c r="L4946" s="366" t="s">
        <v>2256</v>
      </c>
      <c r="M4946" s="350" t="str">
        <f>IF($B4946="Portfolio","Portfolio",IFERROR(INDEX(DATA_ASSET_CLASSIFICATION!$B$8:$B$24,MATCH($C4946,DATA_ASSET_CLASSIFICATION!$A$8:$A$24,0)),"Review"))</f>
        <v>800 Commercial Drive</v>
      </c>
      <c r="N4946" s="350" t="str">
        <f>IF($B4946="Portfolio","Portfolio",IFERROR(INDEX(DATA_ASSET_CLASSIFICATION!$U$8:$U$24,MATCH($C4946,DATA_ASSET_CLASSIFICATION!$A$8:$A$24,0)),"Review"))</f>
        <v>New Build</v>
      </c>
      <c r="O4946" s="350" t="str">
        <f>IF($B4946="Portfolio","Portfolio",IFERROR(INDEX(DATA_ASSET_CLASSIFICATION!$AB$8:$AB$13,MATCH($N4946,DATA_ASSET_CLASSIFICATION!$AA$8:$AA$13,0)),"Review"))</f>
        <v>Bucket 1 · New Build</v>
      </c>
      <c r="P4946" s="350" t="str">
        <f>IF($B4946="Portfolio","Portfolio",IFERROR(INDEX(DATA_ASSET_CLASSIFICATION!$C$8:$C$24,MATCH($C4946,DATA_ASSET_CLASSIFICATION!$A$8:$A$24,0)),"Review"))</f>
        <v>Yes</v>
      </c>
      <c r="Q4946" s="350" t="str">
        <f t="shared" ca="1" si="155"/>
        <v>OK</v>
      </c>
    </row>
    <row r="4947" spans="1:17" ht="30">
      <c r="A4947" s="366" t="s">
        <v>6903</v>
      </c>
      <c r="B4947" s="366" t="s">
        <v>231</v>
      </c>
      <c r="C4947" s="348" t="str">
        <f>DATA_PROPERTY_MASTER!$A$21</f>
        <v>BLD_CD</v>
      </c>
      <c r="D4947" s="380">
        <f>'00_PORTFOLIO ROLLUP'!F$12</f>
        <v>2026</v>
      </c>
      <c r="E4947" s="366" t="s">
        <v>1721</v>
      </c>
      <c r="F4947" s="366" t="s">
        <v>37</v>
      </c>
      <c r="G4947" s="348" t="str">
        <f>"'"&amp;$C4947&amp;"'!$E$63:$Y$63"</f>
        <v>'BLD_CD'!$E$63:$Y$63</v>
      </c>
      <c r="H4947" s="381">
        <f ca="1">IF(IFERROR(INDEX(DATA_PROPERTY_MASTER!$E$5:$E$21,MATCH($C4947,DATA_PROPERTY_MASTER!$A$5:$A$21,0))="Yes",FALSE),MAX(IFERROR(INDEX(INDIRECT("'"&amp;$C4947&amp;"'!$E$63:$Y$63"),1,MATCH($D4947,INDIRECT("'"&amp;$C4947&amp;"'!$E$12:$Y$12"),0)),0),0),0)</f>
        <v>0</v>
      </c>
      <c r="I4947" s="366" t="s">
        <v>1685</v>
      </c>
      <c r="J4947" s="348" t="str">
        <f t="shared" ca="1" si="154"/>
        <v>OK</v>
      </c>
      <c r="K4947" s="366" t="s">
        <v>1735</v>
      </c>
      <c r="L4947" s="366" t="s">
        <v>2258</v>
      </c>
      <c r="M4947" s="350" t="str">
        <f>IF($B4947="Portfolio","Portfolio",IFERROR(INDEX(DATA_ASSET_CLASSIFICATION!$B$8:$B$24,MATCH($C4947,DATA_ASSET_CLASSIFICATION!$A$8:$A$24,0)),"Review"))</f>
        <v>800 Commercial Drive</v>
      </c>
      <c r="N4947" s="350" t="str">
        <f>IF($B4947="Portfolio","Portfolio",IFERROR(INDEX(DATA_ASSET_CLASSIFICATION!$U$8:$U$24,MATCH($C4947,DATA_ASSET_CLASSIFICATION!$A$8:$A$24,0)),"Review"))</f>
        <v>New Build</v>
      </c>
      <c r="O4947" s="350" t="str">
        <f>IF($B4947="Portfolio","Portfolio",IFERROR(INDEX(DATA_ASSET_CLASSIFICATION!$AB$8:$AB$13,MATCH($N4947,DATA_ASSET_CLASSIFICATION!$AA$8:$AA$13,0)),"Review"))</f>
        <v>Bucket 1 · New Build</v>
      </c>
      <c r="P4947" s="350" t="str">
        <f>IF($B4947="Portfolio","Portfolio",IFERROR(INDEX(DATA_ASSET_CLASSIFICATION!$C$8:$C$24,MATCH($C4947,DATA_ASSET_CLASSIFICATION!$A$8:$A$24,0)),"Review"))</f>
        <v>Yes</v>
      </c>
      <c r="Q4947" s="350" t="str">
        <f t="shared" ca="1" si="155"/>
        <v>OK</v>
      </c>
    </row>
    <row r="4948" spans="1:17" ht="30">
      <c r="A4948" s="366" t="s">
        <v>6904</v>
      </c>
      <c r="B4948" s="366" t="s">
        <v>231</v>
      </c>
      <c r="C4948" s="348" t="str">
        <f>DATA_PROPERTY_MASTER!$A$21</f>
        <v>BLD_CD</v>
      </c>
      <c r="D4948" s="380">
        <f>'00_PORTFOLIO ROLLUP'!F$12</f>
        <v>2026</v>
      </c>
      <c r="E4948" s="366" t="s">
        <v>1721</v>
      </c>
      <c r="F4948" s="366" t="s">
        <v>39</v>
      </c>
      <c r="G4948" s="348" t="str">
        <f>"'"&amp;$C4948&amp;"'!$E$63:$Y$63"</f>
        <v>'BLD_CD'!$E$63:$Y$63</v>
      </c>
      <c r="H4948" s="381">
        <f ca="1">IF(IFERROR(INDEX(DATA_PROPERTY_MASTER!$E$5:$E$21,MATCH($C4948,DATA_PROPERTY_MASTER!$A$5:$A$21,0))="Yes",FALSE),MAX(-IFERROR(INDEX(INDIRECT("'"&amp;$C4948&amp;"'!$E$63:$Y$63"),1,MATCH($D4948,INDIRECT("'"&amp;$C4948&amp;"'!$E$12:$Y$12"),0)),0),0),0)</f>
        <v>0</v>
      </c>
      <c r="I4948" s="366" t="s">
        <v>1690</v>
      </c>
      <c r="J4948" s="348" t="str">
        <f t="shared" ca="1" si="154"/>
        <v>OK</v>
      </c>
      <c r="K4948" s="366" t="s">
        <v>1738</v>
      </c>
      <c r="L4948" s="366" t="s">
        <v>2260</v>
      </c>
      <c r="M4948" s="350" t="str">
        <f>IF($B4948="Portfolio","Portfolio",IFERROR(INDEX(DATA_ASSET_CLASSIFICATION!$B$8:$B$24,MATCH($C4948,DATA_ASSET_CLASSIFICATION!$A$8:$A$24,0)),"Review"))</f>
        <v>800 Commercial Drive</v>
      </c>
      <c r="N4948" s="350" t="str">
        <f>IF($B4948="Portfolio","Portfolio",IFERROR(INDEX(DATA_ASSET_CLASSIFICATION!$U$8:$U$24,MATCH($C4948,DATA_ASSET_CLASSIFICATION!$A$8:$A$24,0)),"Review"))</f>
        <v>New Build</v>
      </c>
      <c r="O4948" s="350" t="str">
        <f>IF($B4948="Portfolio","Portfolio",IFERROR(INDEX(DATA_ASSET_CLASSIFICATION!$AB$8:$AB$13,MATCH($N4948,DATA_ASSET_CLASSIFICATION!$AA$8:$AA$13,0)),"Review"))</f>
        <v>Bucket 1 · New Build</v>
      </c>
      <c r="P4948" s="350" t="str">
        <f>IF($B4948="Portfolio","Portfolio",IFERROR(INDEX(DATA_ASSET_CLASSIFICATION!$C$8:$C$24,MATCH($C4948,DATA_ASSET_CLASSIFICATION!$A$8:$A$24,0)),"Review"))</f>
        <v>Yes</v>
      </c>
      <c r="Q4948" s="350" t="str">
        <f t="shared" ca="1" si="155"/>
        <v>OK</v>
      </c>
    </row>
    <row r="4949" spans="1:17" ht="30">
      <c r="A4949" s="366" t="s">
        <v>6905</v>
      </c>
      <c r="B4949" s="366" t="s">
        <v>231</v>
      </c>
      <c r="C4949" s="348" t="str">
        <f>DATA_PROPERTY_MASTER!$A$21</f>
        <v>BLD_CD</v>
      </c>
      <c r="D4949" s="380">
        <f>'00_PORTFOLIO ROLLUP'!F$12</f>
        <v>2026</v>
      </c>
      <c r="E4949" s="366" t="s">
        <v>1741</v>
      </c>
      <c r="F4949" s="366" t="s">
        <v>41</v>
      </c>
      <c r="G4949" s="348" t="str">
        <f>"'"&amp;$C4949&amp;"'!rows 56 + positive row 63"</f>
        <v>'BLD_CD'!rows 56 + positive row 63</v>
      </c>
      <c r="H4949" s="381">
        <f ca="1">IF(IFERROR(INDEX(DATA_PROPERTY_MASTER!$E$5:$E$21,MATCH($C4949,DATA_PROPERTY_MASTER!$A$5:$A$21,0))="Yes",FALSE),IFERROR(INDEX(INDIRECT("'"&amp;$C4949&amp;"'!$E$56:$Y$56"),1,MATCH($D4949,INDIRECT("'"&amp;$C4949&amp;"'!$E$12:$Y$12"),0)),0)+MAX(IFERROR(INDEX(INDIRECT("'"&amp;$C4949&amp;"'!$E$63:$Y$63"),1,MATCH($D4949,INDIRECT("'"&amp;$C4949&amp;"'!$E$12:$Y$12"),0)),0),0),0)</f>
        <v>-2031934.1122314297</v>
      </c>
      <c r="I4949" s="366" t="s">
        <v>1685</v>
      </c>
      <c r="J4949" s="348" t="str">
        <f t="shared" ca="1" si="154"/>
        <v>OK</v>
      </c>
      <c r="K4949" s="366" t="s">
        <v>1742</v>
      </c>
      <c r="L4949" s="366" t="s">
        <v>2262</v>
      </c>
      <c r="M4949" s="350" t="str">
        <f>IF($B4949="Portfolio","Portfolio",IFERROR(INDEX(DATA_ASSET_CLASSIFICATION!$B$8:$B$24,MATCH($C4949,DATA_ASSET_CLASSIFICATION!$A$8:$A$24,0)),"Review"))</f>
        <v>800 Commercial Drive</v>
      </c>
      <c r="N4949" s="350" t="str">
        <f>IF($B4949="Portfolio","Portfolio",IFERROR(INDEX(DATA_ASSET_CLASSIFICATION!$U$8:$U$24,MATCH($C4949,DATA_ASSET_CLASSIFICATION!$A$8:$A$24,0)),"Review"))</f>
        <v>New Build</v>
      </c>
      <c r="O4949" s="350" t="str">
        <f>IF($B4949="Portfolio","Portfolio",IFERROR(INDEX(DATA_ASSET_CLASSIFICATION!$AB$8:$AB$13,MATCH($N4949,DATA_ASSET_CLASSIFICATION!$AA$8:$AA$13,0)),"Review"))</f>
        <v>Bucket 1 · New Build</v>
      </c>
      <c r="P4949" s="350" t="str">
        <f>IF($B4949="Portfolio","Portfolio",IFERROR(INDEX(DATA_ASSET_CLASSIFICATION!$C$8:$C$24,MATCH($C4949,DATA_ASSET_CLASSIFICATION!$A$8:$A$24,0)),"Review"))</f>
        <v>Yes</v>
      </c>
      <c r="Q4949" s="350" t="str">
        <f t="shared" ca="1" si="155"/>
        <v>OK</v>
      </c>
    </row>
    <row r="4950" spans="1:17" ht="30">
      <c r="A4950" s="366" t="s">
        <v>6906</v>
      </c>
      <c r="B4950" s="366" t="s">
        <v>231</v>
      </c>
      <c r="C4950" s="348" t="str">
        <f>DATA_PROPERTY_MASTER!$A$21</f>
        <v>BLD_CD</v>
      </c>
      <c r="D4950" s="380">
        <f>'00_PORTFOLIO ROLLUP'!F$12</f>
        <v>2026</v>
      </c>
      <c r="E4950" s="366" t="s">
        <v>1741</v>
      </c>
      <c r="F4950" s="366" t="s">
        <v>43</v>
      </c>
      <c r="G4950" s="348" t="str">
        <f>"'"&amp;$C4950&amp;"'!$E$68:$Y$68"</f>
        <v>'BLD_CD'!$E$68:$Y$68</v>
      </c>
      <c r="H4950" s="381">
        <f ca="1">IF(IFERROR(INDEX(DATA_PROPERTY_MASTER!$E$5:$E$21,MATCH($C4950,DATA_PROPERTY_MASTER!$A$5:$A$21,0))="Yes",FALSE),IFERROR(INDEX(INDIRECT("'"&amp;$C4950&amp;"'!$E$68:$Y$68"),1,MATCH($D4950,INDIRECT("'"&amp;$C4950&amp;"'!$E$12:$Y$12"),0)),0),0)</f>
        <v>-2031934.1122314297</v>
      </c>
      <c r="I4950" s="366" t="s">
        <v>1731</v>
      </c>
      <c r="J4950" s="348" t="str">
        <f t="shared" ca="1" si="154"/>
        <v>OK</v>
      </c>
      <c r="K4950" s="366" t="s">
        <v>1746</v>
      </c>
      <c r="L4950" s="366" t="s">
        <v>2264</v>
      </c>
      <c r="M4950" s="350" t="str">
        <f>IF($B4950="Portfolio","Portfolio",IFERROR(INDEX(DATA_ASSET_CLASSIFICATION!$B$8:$B$24,MATCH($C4950,DATA_ASSET_CLASSIFICATION!$A$8:$A$24,0)),"Review"))</f>
        <v>800 Commercial Drive</v>
      </c>
      <c r="N4950" s="350" t="str">
        <f>IF($B4950="Portfolio","Portfolio",IFERROR(INDEX(DATA_ASSET_CLASSIFICATION!$U$8:$U$24,MATCH($C4950,DATA_ASSET_CLASSIFICATION!$A$8:$A$24,0)),"Review"))</f>
        <v>New Build</v>
      </c>
      <c r="O4950" s="350" t="str">
        <f>IF($B4950="Portfolio","Portfolio",IFERROR(INDEX(DATA_ASSET_CLASSIFICATION!$AB$8:$AB$13,MATCH($N4950,DATA_ASSET_CLASSIFICATION!$AA$8:$AA$13,0)),"Review"))</f>
        <v>Bucket 1 · New Build</v>
      </c>
      <c r="P4950" s="350" t="str">
        <f>IF($B4950="Portfolio","Portfolio",IFERROR(INDEX(DATA_ASSET_CLASSIFICATION!$C$8:$C$24,MATCH($C4950,DATA_ASSET_CLASSIFICATION!$A$8:$A$24,0)),"Review"))</f>
        <v>Yes</v>
      </c>
      <c r="Q4950" s="350" t="str">
        <f t="shared" ca="1" si="155"/>
        <v>OK</v>
      </c>
    </row>
    <row r="4951" spans="1:17" ht="30">
      <c r="A4951" s="366" t="s">
        <v>6907</v>
      </c>
      <c r="B4951" s="366" t="s">
        <v>231</v>
      </c>
      <c r="C4951" s="348" t="str">
        <f>DATA_PROPERTY_MASTER!$A$21</f>
        <v>BLD_CD</v>
      </c>
      <c r="D4951" s="380">
        <f>'00_PORTFOLIO ROLLUP'!F$12</f>
        <v>2026</v>
      </c>
      <c r="E4951" s="366" t="s">
        <v>1741</v>
      </c>
      <c r="F4951" s="366" t="s">
        <v>1749</v>
      </c>
      <c r="G4951" s="348" t="str">
        <f>"'"&amp;$C4951&amp;"'!rows 56, 63, 68"</f>
        <v>'BLD_CD'!rows 56, 63, 68</v>
      </c>
      <c r="H4951" s="381">
        <f ca="1">IF(IFERROR(INDEX(DATA_PROPERTY_MASTER!$E$5:$E$21,MATCH($C4951,DATA_PROPERTY_MASTER!$A$5:$A$21,0))="Yes",FALSE),(IFERROR(INDEX(INDIRECT("'"&amp;$C4951&amp;"'!$E$56:$Y$56"),1,MATCH($D4951,INDIRECT("'"&amp;$C4951&amp;"'!$E$12:$Y$12"),0)),0)+MAX(IFERROR(INDEX(INDIRECT("'"&amp;$C4951&amp;"'!$E$63:$Y$63"),1,MATCH($D4951,INDIRECT("'"&amp;$C4951&amp;"'!$E$12:$Y$12"),0)),0),0))-(IFERROR(INDEX(INDIRECT("'"&amp;$C4951&amp;"'!$E$68:$Y$68"),1,MATCH($D4951,INDIRECT("'"&amp;$C4951&amp;"'!$E$12:$Y$12"),0)),0)),0)</f>
        <v>0</v>
      </c>
      <c r="I4951" s="366" t="s">
        <v>1750</v>
      </c>
      <c r="J4951" s="348" t="str">
        <f t="shared" ca="1" si="154"/>
        <v>OK</v>
      </c>
      <c r="K4951" s="366" t="s">
        <v>1751</v>
      </c>
      <c r="L4951" s="366" t="s">
        <v>2266</v>
      </c>
      <c r="M4951" s="350" t="str">
        <f>IF($B4951="Portfolio","Portfolio",IFERROR(INDEX(DATA_ASSET_CLASSIFICATION!$B$8:$B$24,MATCH($C4951,DATA_ASSET_CLASSIFICATION!$A$8:$A$24,0)),"Review"))</f>
        <v>800 Commercial Drive</v>
      </c>
      <c r="N4951" s="350" t="str">
        <f>IF($B4951="Portfolio","Portfolio",IFERROR(INDEX(DATA_ASSET_CLASSIFICATION!$U$8:$U$24,MATCH($C4951,DATA_ASSET_CLASSIFICATION!$A$8:$A$24,0)),"Review"))</f>
        <v>New Build</v>
      </c>
      <c r="O4951" s="350" t="str">
        <f>IF($B4951="Portfolio","Portfolio",IFERROR(INDEX(DATA_ASSET_CLASSIFICATION!$AB$8:$AB$13,MATCH($N4951,DATA_ASSET_CLASSIFICATION!$AA$8:$AA$13,0)),"Review"))</f>
        <v>Bucket 1 · New Build</v>
      </c>
      <c r="P4951" s="350" t="str">
        <f>IF($B4951="Portfolio","Portfolio",IFERROR(INDEX(DATA_ASSET_CLASSIFICATION!$C$8:$C$24,MATCH($C4951,DATA_ASSET_CLASSIFICATION!$A$8:$A$24,0)),"Review"))</f>
        <v>Yes</v>
      </c>
      <c r="Q4951" s="350" t="str">
        <f t="shared" ca="1" si="155"/>
        <v>OK</v>
      </c>
    </row>
    <row r="4952" spans="1:17" ht="30">
      <c r="A4952" s="366" t="s">
        <v>6908</v>
      </c>
      <c r="B4952" s="366" t="s">
        <v>231</v>
      </c>
      <c r="C4952" s="348" t="str">
        <f>DATA_PROPERTY_MASTER!$A$21</f>
        <v>BLD_CD</v>
      </c>
      <c r="D4952" s="380">
        <f>'00_PORTFOLIO ROLLUP'!G$12</f>
        <v>2027</v>
      </c>
      <c r="E4952" s="366" t="s">
        <v>1683</v>
      </c>
      <c r="F4952" s="366" t="s">
        <v>341</v>
      </c>
      <c r="G4952" s="348" t="str">
        <f>"'"&amp;$C4952&amp;"'!$E$24:$Y$24"</f>
        <v>'BLD_CD'!$E$24:$Y$24</v>
      </c>
      <c r="H4952" s="381">
        <f ca="1">IF(IFERROR(INDEX(DATA_PROPERTY_MASTER!$E$5:$E$21,MATCH($C4952,DATA_PROPERTY_MASTER!$A$5:$A$21,0))="Yes",FALSE),IFERROR(INDEX(INDIRECT("'"&amp;$C4952&amp;"'!$E$24:$Y$24"),1,MATCH($D4952,INDIRECT("'"&amp;$C4952&amp;"'!$E$12:$Y$12"),0)),0),0)</f>
        <v>0</v>
      </c>
      <c r="I4952" s="366" t="s">
        <v>1685</v>
      </c>
      <c r="J4952" s="348" t="str">
        <f t="shared" ca="1" si="154"/>
        <v>OK</v>
      </c>
      <c r="K4952" s="366" t="s">
        <v>1686</v>
      </c>
      <c r="L4952" s="366" t="s">
        <v>2234</v>
      </c>
      <c r="M4952" s="350" t="str">
        <f>IF($B4952="Portfolio","Portfolio",IFERROR(INDEX(DATA_ASSET_CLASSIFICATION!$B$8:$B$24,MATCH($C4952,DATA_ASSET_CLASSIFICATION!$A$8:$A$24,0)),"Review"))</f>
        <v>800 Commercial Drive</v>
      </c>
      <c r="N4952" s="350" t="str">
        <f>IF($B4952="Portfolio","Portfolio",IFERROR(INDEX(DATA_ASSET_CLASSIFICATION!$U$8:$U$24,MATCH($C4952,DATA_ASSET_CLASSIFICATION!$A$8:$A$24,0)),"Review"))</f>
        <v>New Build</v>
      </c>
      <c r="O4952" s="350" t="str">
        <f>IF($B4952="Portfolio","Portfolio",IFERROR(INDEX(DATA_ASSET_CLASSIFICATION!$AB$8:$AB$13,MATCH($N4952,DATA_ASSET_CLASSIFICATION!$AA$8:$AA$13,0)),"Review"))</f>
        <v>Bucket 1 · New Build</v>
      </c>
      <c r="P4952" s="350" t="str">
        <f>IF($B4952="Portfolio","Portfolio",IFERROR(INDEX(DATA_ASSET_CLASSIFICATION!$C$8:$C$24,MATCH($C4952,DATA_ASSET_CLASSIFICATION!$A$8:$A$24,0)),"Review"))</f>
        <v>Yes</v>
      </c>
      <c r="Q4952" s="350" t="str">
        <f t="shared" ca="1" si="155"/>
        <v>OK</v>
      </c>
    </row>
    <row r="4953" spans="1:17" ht="30">
      <c r="A4953" s="366" t="s">
        <v>6909</v>
      </c>
      <c r="B4953" s="366" t="s">
        <v>231</v>
      </c>
      <c r="C4953" s="348" t="str">
        <f>DATA_PROPERTY_MASTER!$A$21</f>
        <v>BLD_CD</v>
      </c>
      <c r="D4953" s="380">
        <f>'00_PORTFOLIO ROLLUP'!G$12</f>
        <v>2027</v>
      </c>
      <c r="E4953" s="366" t="s">
        <v>1683</v>
      </c>
      <c r="F4953" s="366" t="s">
        <v>355</v>
      </c>
      <c r="G4953" s="348" t="str">
        <f>"'"&amp;$C4953&amp;"'!$E$39:$Y$39"</f>
        <v>'BLD_CD'!$E$39:$Y$39</v>
      </c>
      <c r="H4953" s="381">
        <f ca="1">IF(IFERROR(INDEX(DATA_PROPERTY_MASTER!$E$5:$E$21,MATCH($C4953,DATA_PROPERTY_MASTER!$A$5:$A$21,0))="Yes",FALSE),IFERROR(INDEX(INDIRECT("'"&amp;$C4953&amp;"'!$E$39:$Y$39"),1,MATCH($D4953,INDIRECT("'"&amp;$C4953&amp;"'!$E$12:$Y$12"),0)),0),0)</f>
        <v>0</v>
      </c>
      <c r="I4953" s="366" t="s">
        <v>1690</v>
      </c>
      <c r="J4953" s="348" t="str">
        <f t="shared" ca="1" si="154"/>
        <v>OK</v>
      </c>
      <c r="K4953" s="366" t="s">
        <v>1686</v>
      </c>
      <c r="L4953" s="366" t="s">
        <v>2236</v>
      </c>
      <c r="M4953" s="350" t="str">
        <f>IF($B4953="Portfolio","Portfolio",IFERROR(INDEX(DATA_ASSET_CLASSIFICATION!$B$8:$B$24,MATCH($C4953,DATA_ASSET_CLASSIFICATION!$A$8:$A$24,0)),"Review"))</f>
        <v>800 Commercial Drive</v>
      </c>
      <c r="N4953" s="350" t="str">
        <f>IF($B4953="Portfolio","Portfolio",IFERROR(INDEX(DATA_ASSET_CLASSIFICATION!$U$8:$U$24,MATCH($C4953,DATA_ASSET_CLASSIFICATION!$A$8:$A$24,0)),"Review"))</f>
        <v>New Build</v>
      </c>
      <c r="O4953" s="350" t="str">
        <f>IF($B4953="Portfolio","Portfolio",IFERROR(INDEX(DATA_ASSET_CLASSIFICATION!$AB$8:$AB$13,MATCH($N4953,DATA_ASSET_CLASSIFICATION!$AA$8:$AA$13,0)),"Review"))</f>
        <v>Bucket 1 · New Build</v>
      </c>
      <c r="P4953" s="350" t="str">
        <f>IF($B4953="Portfolio","Portfolio",IFERROR(INDEX(DATA_ASSET_CLASSIFICATION!$C$8:$C$24,MATCH($C4953,DATA_ASSET_CLASSIFICATION!$A$8:$A$24,0)),"Review"))</f>
        <v>Yes</v>
      </c>
      <c r="Q4953" s="350" t="str">
        <f t="shared" ca="1" si="155"/>
        <v>OK</v>
      </c>
    </row>
    <row r="4954" spans="1:17" ht="30">
      <c r="A4954" s="366" t="s">
        <v>6910</v>
      </c>
      <c r="B4954" s="366" t="s">
        <v>231</v>
      </c>
      <c r="C4954" s="348" t="str">
        <f>DATA_PROPERTY_MASTER!$A$21</f>
        <v>BLD_CD</v>
      </c>
      <c r="D4954" s="380">
        <f>'00_PORTFOLIO ROLLUP'!G$12</f>
        <v>2027</v>
      </c>
      <c r="E4954" s="366" t="s">
        <v>1683</v>
      </c>
      <c r="F4954" s="366" t="s">
        <v>19</v>
      </c>
      <c r="G4954" s="348" t="str">
        <f>"'"&amp;$C4954&amp;"'!$E$41:$Y$41"</f>
        <v>'BLD_CD'!$E$41:$Y$41</v>
      </c>
      <c r="H4954" s="381">
        <f ca="1">IF(IFERROR(INDEX(DATA_PROPERTY_MASTER!$E$5:$E$21,MATCH($C4954,DATA_PROPERTY_MASTER!$A$5:$A$21,0))="Yes",FALSE),IFERROR(INDEX(INDIRECT("'"&amp;$C4954&amp;"'!$E$41:$Y$41"),1,MATCH($D4954,INDIRECT("'"&amp;$C4954&amp;"'!$E$12:$Y$12"),0)),0),0)</f>
        <v>0</v>
      </c>
      <c r="I4954" s="366" t="s">
        <v>1685</v>
      </c>
      <c r="J4954" s="348" t="str">
        <f t="shared" ca="1" si="154"/>
        <v>OK</v>
      </c>
      <c r="K4954" s="366" t="s">
        <v>1694</v>
      </c>
      <c r="L4954" s="366" t="s">
        <v>2238</v>
      </c>
      <c r="M4954" s="350" t="str">
        <f>IF($B4954="Portfolio","Portfolio",IFERROR(INDEX(DATA_ASSET_CLASSIFICATION!$B$8:$B$24,MATCH($C4954,DATA_ASSET_CLASSIFICATION!$A$8:$A$24,0)),"Review"))</f>
        <v>800 Commercial Drive</v>
      </c>
      <c r="N4954" s="350" t="str">
        <f>IF($B4954="Portfolio","Portfolio",IFERROR(INDEX(DATA_ASSET_CLASSIFICATION!$U$8:$U$24,MATCH($C4954,DATA_ASSET_CLASSIFICATION!$A$8:$A$24,0)),"Review"))</f>
        <v>New Build</v>
      </c>
      <c r="O4954" s="350" t="str">
        <f>IF($B4954="Portfolio","Portfolio",IFERROR(INDEX(DATA_ASSET_CLASSIFICATION!$AB$8:$AB$13,MATCH($N4954,DATA_ASSET_CLASSIFICATION!$AA$8:$AA$13,0)),"Review"))</f>
        <v>Bucket 1 · New Build</v>
      </c>
      <c r="P4954" s="350" t="str">
        <f>IF($B4954="Portfolio","Portfolio",IFERROR(INDEX(DATA_ASSET_CLASSIFICATION!$C$8:$C$24,MATCH($C4954,DATA_ASSET_CLASSIFICATION!$A$8:$A$24,0)),"Review"))</f>
        <v>Yes</v>
      </c>
      <c r="Q4954" s="350" t="str">
        <f t="shared" ca="1" si="155"/>
        <v>OK</v>
      </c>
    </row>
    <row r="4955" spans="1:17" ht="30">
      <c r="A4955" s="366" t="s">
        <v>6911</v>
      </c>
      <c r="B4955" s="366" t="s">
        <v>231</v>
      </c>
      <c r="C4955" s="348" t="str">
        <f>DATA_PROPERTY_MASTER!$A$21</f>
        <v>BLD_CD</v>
      </c>
      <c r="D4955" s="380">
        <f>'00_PORTFOLIO ROLLUP'!G$12</f>
        <v>2027</v>
      </c>
      <c r="E4955" s="366" t="s">
        <v>1683</v>
      </c>
      <c r="F4955" s="366" t="s">
        <v>1697</v>
      </c>
      <c r="G4955" s="348" t="str">
        <f>"'"&amp;$C4955&amp;"'!$E$44:$Y$44"</f>
        <v>'BLD_CD'!$E$44:$Y$44</v>
      </c>
      <c r="H4955" s="381">
        <f ca="1">IF(IFERROR(INDEX(DATA_PROPERTY_MASTER!$E$5:$E$21,MATCH($C4955,DATA_PROPERTY_MASTER!$A$5:$A$21,0))="Yes",FALSE),IFERROR(INDEX(INDIRECT("'"&amp;$C4955&amp;"'!$E$44:$Y$44"),1,MATCH($D4955,INDIRECT("'"&amp;$C4955&amp;"'!$E$12:$Y$12"),0)),0),0)</f>
        <v>0</v>
      </c>
      <c r="I4955" s="366" t="s">
        <v>1690</v>
      </c>
      <c r="J4955" s="348" t="str">
        <f t="shared" ca="1" si="154"/>
        <v>OK</v>
      </c>
      <c r="K4955" s="366" t="s">
        <v>1699</v>
      </c>
      <c r="L4955" s="366" t="s">
        <v>2240</v>
      </c>
      <c r="M4955" s="350" t="str">
        <f>IF($B4955="Portfolio","Portfolio",IFERROR(INDEX(DATA_ASSET_CLASSIFICATION!$B$8:$B$24,MATCH($C4955,DATA_ASSET_CLASSIFICATION!$A$8:$A$24,0)),"Review"))</f>
        <v>800 Commercial Drive</v>
      </c>
      <c r="N4955" s="350" t="str">
        <f>IF($B4955="Portfolio","Portfolio",IFERROR(INDEX(DATA_ASSET_CLASSIFICATION!$U$8:$U$24,MATCH($C4955,DATA_ASSET_CLASSIFICATION!$A$8:$A$24,0)),"Review"))</f>
        <v>New Build</v>
      </c>
      <c r="O4955" s="350" t="str">
        <f>IF($B4955="Portfolio","Portfolio",IFERROR(INDEX(DATA_ASSET_CLASSIFICATION!$AB$8:$AB$13,MATCH($N4955,DATA_ASSET_CLASSIFICATION!$AA$8:$AA$13,0)),"Review"))</f>
        <v>Bucket 1 · New Build</v>
      </c>
      <c r="P4955" s="350" t="str">
        <f>IF($B4955="Portfolio","Portfolio",IFERROR(INDEX(DATA_ASSET_CLASSIFICATION!$C$8:$C$24,MATCH($C4955,DATA_ASSET_CLASSIFICATION!$A$8:$A$24,0)),"Review"))</f>
        <v>Yes</v>
      </c>
      <c r="Q4955" s="350" t="str">
        <f t="shared" ca="1" si="155"/>
        <v>OK</v>
      </c>
    </row>
    <row r="4956" spans="1:17" ht="30">
      <c r="A4956" s="366" t="s">
        <v>6912</v>
      </c>
      <c r="B4956" s="366" t="s">
        <v>231</v>
      </c>
      <c r="C4956" s="348" t="str">
        <f>DATA_PROPERTY_MASTER!$A$21</f>
        <v>BLD_CD</v>
      </c>
      <c r="D4956" s="380">
        <f>'00_PORTFOLIO ROLLUP'!G$12</f>
        <v>2027</v>
      </c>
      <c r="E4956" s="366" t="s">
        <v>1683</v>
      </c>
      <c r="F4956" s="366" t="s">
        <v>21</v>
      </c>
      <c r="G4956" s="348" t="str">
        <f>"'"&amp;$C4956&amp;"'!$E$45:$Y$45"</f>
        <v>'BLD_CD'!$E$45:$Y$45</v>
      </c>
      <c r="H4956" s="381">
        <f ca="1">IF(IFERROR(INDEX(DATA_PROPERTY_MASTER!$E$5:$E$21,MATCH($C4956,DATA_PROPERTY_MASTER!$A$5:$A$21,0))="Yes",FALSE),IFERROR(INDEX(INDIRECT("'"&amp;$C4956&amp;"'!$E$45:$Y$45"),1,MATCH($D4956,INDIRECT("'"&amp;$C4956&amp;"'!$E$12:$Y$12"),0)),0),0)</f>
        <v>0</v>
      </c>
      <c r="I4956" s="366" t="s">
        <v>1685</v>
      </c>
      <c r="J4956" s="348" t="str">
        <f t="shared" ca="1" si="154"/>
        <v>OK</v>
      </c>
      <c r="K4956" s="366" t="s">
        <v>1694</v>
      </c>
      <c r="L4956" s="366" t="s">
        <v>2242</v>
      </c>
      <c r="M4956" s="350" t="str">
        <f>IF($B4956="Portfolio","Portfolio",IFERROR(INDEX(DATA_ASSET_CLASSIFICATION!$B$8:$B$24,MATCH($C4956,DATA_ASSET_CLASSIFICATION!$A$8:$A$24,0)),"Review"))</f>
        <v>800 Commercial Drive</v>
      </c>
      <c r="N4956" s="350" t="str">
        <f>IF($B4956="Portfolio","Portfolio",IFERROR(INDEX(DATA_ASSET_CLASSIFICATION!$U$8:$U$24,MATCH($C4956,DATA_ASSET_CLASSIFICATION!$A$8:$A$24,0)),"Review"))</f>
        <v>New Build</v>
      </c>
      <c r="O4956" s="350" t="str">
        <f>IF($B4956="Portfolio","Portfolio",IFERROR(INDEX(DATA_ASSET_CLASSIFICATION!$AB$8:$AB$13,MATCH($N4956,DATA_ASSET_CLASSIFICATION!$AA$8:$AA$13,0)),"Review"))</f>
        <v>Bucket 1 · New Build</v>
      </c>
      <c r="P4956" s="350" t="str">
        <f>IF($B4956="Portfolio","Portfolio",IFERROR(INDEX(DATA_ASSET_CLASSIFICATION!$C$8:$C$24,MATCH($C4956,DATA_ASSET_CLASSIFICATION!$A$8:$A$24,0)),"Review"))</f>
        <v>Yes</v>
      </c>
      <c r="Q4956" s="350" t="str">
        <f t="shared" ca="1" si="155"/>
        <v>OK</v>
      </c>
    </row>
    <row r="4957" spans="1:17" ht="30">
      <c r="A4957" s="366" t="s">
        <v>6913</v>
      </c>
      <c r="B4957" s="366" t="s">
        <v>231</v>
      </c>
      <c r="C4957" s="348" t="str">
        <f>DATA_PROPERTY_MASTER!$A$21</f>
        <v>BLD_CD</v>
      </c>
      <c r="D4957" s="380">
        <f>'00_PORTFOLIO ROLLUP'!G$12</f>
        <v>2027</v>
      </c>
      <c r="E4957" s="366" t="s">
        <v>23</v>
      </c>
      <c r="F4957" s="366" t="s">
        <v>23</v>
      </c>
      <c r="G4957" s="348" t="str">
        <f>"'"&amp;$C4957&amp;"'!$E$48:$Y$48"</f>
        <v>'BLD_CD'!$E$48:$Y$48</v>
      </c>
      <c r="H4957" s="381">
        <f ca="1">IF(IFERROR(INDEX(DATA_PROPERTY_MASTER!$E$5:$E$21,MATCH($C4957,DATA_PROPERTY_MASTER!$A$5:$A$21,0))="Yes",FALSE),IFERROR(INDEX(INDIRECT("'"&amp;$C4957&amp;"'!$E$48:$Y$48"),1,MATCH($D4957,INDIRECT("'"&amp;$C4957&amp;"'!$E$12:$Y$12"),0)),0),0)</f>
        <v>2031934.1122314297</v>
      </c>
      <c r="I4957" s="366" t="s">
        <v>1690</v>
      </c>
      <c r="J4957" s="348" t="str">
        <f t="shared" ca="1" si="154"/>
        <v>OK</v>
      </c>
      <c r="K4957" s="366" t="s">
        <v>1706</v>
      </c>
      <c r="L4957" s="366" t="s">
        <v>2244</v>
      </c>
      <c r="M4957" s="350" t="str">
        <f>IF($B4957="Portfolio","Portfolio",IFERROR(INDEX(DATA_ASSET_CLASSIFICATION!$B$8:$B$24,MATCH($C4957,DATA_ASSET_CLASSIFICATION!$A$8:$A$24,0)),"Review"))</f>
        <v>800 Commercial Drive</v>
      </c>
      <c r="N4957" s="350" t="str">
        <f>IF($B4957="Portfolio","Portfolio",IFERROR(INDEX(DATA_ASSET_CLASSIFICATION!$U$8:$U$24,MATCH($C4957,DATA_ASSET_CLASSIFICATION!$A$8:$A$24,0)),"Review"))</f>
        <v>New Build</v>
      </c>
      <c r="O4957" s="350" t="str">
        <f>IF($B4957="Portfolio","Portfolio",IFERROR(INDEX(DATA_ASSET_CLASSIFICATION!$AB$8:$AB$13,MATCH($N4957,DATA_ASSET_CLASSIFICATION!$AA$8:$AA$13,0)),"Review"))</f>
        <v>Bucket 1 · New Build</v>
      </c>
      <c r="P4957" s="350" t="str">
        <f>IF($B4957="Portfolio","Portfolio",IFERROR(INDEX(DATA_ASSET_CLASSIFICATION!$C$8:$C$24,MATCH($C4957,DATA_ASSET_CLASSIFICATION!$A$8:$A$24,0)),"Review"))</f>
        <v>Yes</v>
      </c>
      <c r="Q4957" s="350" t="str">
        <f t="shared" ca="1" si="155"/>
        <v>OK</v>
      </c>
    </row>
    <row r="4958" spans="1:17" ht="30">
      <c r="A4958" s="366" t="s">
        <v>6914</v>
      </c>
      <c r="B4958" s="366" t="s">
        <v>231</v>
      </c>
      <c r="C4958" s="348" t="str">
        <f>DATA_PROPERTY_MASTER!$A$21</f>
        <v>BLD_CD</v>
      </c>
      <c r="D4958" s="380">
        <f>'00_PORTFOLIO ROLLUP'!G$12</f>
        <v>2027</v>
      </c>
      <c r="E4958" s="366" t="s">
        <v>1683</v>
      </c>
      <c r="F4958" s="366" t="s">
        <v>25</v>
      </c>
      <c r="G4958" s="348" t="str">
        <f>"'"&amp;$C4958&amp;"'!$E$52:$Y$52"</f>
        <v>'BLD_CD'!$E$52:$Y$52</v>
      </c>
      <c r="H4958" s="381">
        <f ca="1">IF(IFERROR(INDEX(DATA_PROPERTY_MASTER!$E$5:$E$21,MATCH($C4958,DATA_PROPERTY_MASTER!$A$5:$A$21,0))="Yes",FALSE),IFERROR(INDEX(INDIRECT("'"&amp;$C4958&amp;"'!$E$52:$Y$52"),1,MATCH($D4958,INDIRECT("'"&amp;$C4958&amp;"'!$E$12:$Y$12"),0)),0),0)</f>
        <v>-2031934.1122314297</v>
      </c>
      <c r="I4958" s="366" t="s">
        <v>1685</v>
      </c>
      <c r="J4958" s="348" t="str">
        <f t="shared" ca="1" si="154"/>
        <v>OK</v>
      </c>
      <c r="K4958" s="366" t="s">
        <v>1710</v>
      </c>
      <c r="L4958" s="366" t="s">
        <v>2246</v>
      </c>
      <c r="M4958" s="350" t="str">
        <f>IF($B4958="Portfolio","Portfolio",IFERROR(INDEX(DATA_ASSET_CLASSIFICATION!$B$8:$B$24,MATCH($C4958,DATA_ASSET_CLASSIFICATION!$A$8:$A$24,0)),"Review"))</f>
        <v>800 Commercial Drive</v>
      </c>
      <c r="N4958" s="350" t="str">
        <f>IF($B4958="Portfolio","Portfolio",IFERROR(INDEX(DATA_ASSET_CLASSIFICATION!$U$8:$U$24,MATCH($C4958,DATA_ASSET_CLASSIFICATION!$A$8:$A$24,0)),"Review"))</f>
        <v>New Build</v>
      </c>
      <c r="O4958" s="350" t="str">
        <f>IF($B4958="Portfolio","Portfolio",IFERROR(INDEX(DATA_ASSET_CLASSIFICATION!$AB$8:$AB$13,MATCH($N4958,DATA_ASSET_CLASSIFICATION!$AA$8:$AA$13,0)),"Review"))</f>
        <v>Bucket 1 · New Build</v>
      </c>
      <c r="P4958" s="350" t="str">
        <f>IF($B4958="Portfolio","Portfolio",IFERROR(INDEX(DATA_ASSET_CLASSIFICATION!$C$8:$C$24,MATCH($C4958,DATA_ASSET_CLASSIFICATION!$A$8:$A$24,0)),"Review"))</f>
        <v>Yes</v>
      </c>
      <c r="Q4958" s="350" t="str">
        <f t="shared" ca="1" si="155"/>
        <v>OK</v>
      </c>
    </row>
    <row r="4959" spans="1:17" ht="30">
      <c r="A4959" s="366" t="s">
        <v>6915</v>
      </c>
      <c r="B4959" s="366" t="s">
        <v>231</v>
      </c>
      <c r="C4959" s="348" t="str">
        <f>DATA_PROPERTY_MASTER!$A$21</f>
        <v>BLD_CD</v>
      </c>
      <c r="D4959" s="380">
        <f>'00_PORTFOLIO ROLLUP'!G$12</f>
        <v>2027</v>
      </c>
      <c r="E4959" s="366" t="s">
        <v>1683</v>
      </c>
      <c r="F4959" s="366" t="s">
        <v>27</v>
      </c>
      <c r="G4959" s="348" t="str">
        <f>"'"&amp;$C4959&amp;"'!$E$54:$Y$54"</f>
        <v>'BLD_CD'!$E$54:$Y$54</v>
      </c>
      <c r="H4959" s="381">
        <f ca="1">IF(IFERROR(INDEX(DATA_PROPERTY_MASTER!$E$5:$E$21,MATCH($C4959,DATA_PROPERTY_MASTER!$A$5:$A$21,0))="Yes",FALSE),IFERROR(INDEX(INDIRECT("'"&amp;$C4959&amp;"'!$E$54:$Y$54"),1,MATCH($D4959,INDIRECT("'"&amp;$C4959&amp;"'!$E$12:$Y$12"),0)),0),0)</f>
        <v>0</v>
      </c>
      <c r="I4959" s="366" t="s">
        <v>1690</v>
      </c>
      <c r="J4959" s="348" t="str">
        <f t="shared" ca="1" si="154"/>
        <v>OK</v>
      </c>
      <c r="K4959" s="366" t="s">
        <v>1714</v>
      </c>
      <c r="L4959" s="366" t="s">
        <v>2248</v>
      </c>
      <c r="M4959" s="350" t="str">
        <f>IF($B4959="Portfolio","Portfolio",IFERROR(INDEX(DATA_ASSET_CLASSIFICATION!$B$8:$B$24,MATCH($C4959,DATA_ASSET_CLASSIFICATION!$A$8:$A$24,0)),"Review"))</f>
        <v>800 Commercial Drive</v>
      </c>
      <c r="N4959" s="350" t="str">
        <f>IF($B4959="Portfolio","Portfolio",IFERROR(INDEX(DATA_ASSET_CLASSIFICATION!$U$8:$U$24,MATCH($C4959,DATA_ASSET_CLASSIFICATION!$A$8:$A$24,0)),"Review"))</f>
        <v>New Build</v>
      </c>
      <c r="O4959" s="350" t="str">
        <f>IF($B4959="Portfolio","Portfolio",IFERROR(INDEX(DATA_ASSET_CLASSIFICATION!$AB$8:$AB$13,MATCH($N4959,DATA_ASSET_CLASSIFICATION!$AA$8:$AA$13,0)),"Review"))</f>
        <v>Bucket 1 · New Build</v>
      </c>
      <c r="P4959" s="350" t="str">
        <f>IF($B4959="Portfolio","Portfolio",IFERROR(INDEX(DATA_ASSET_CLASSIFICATION!$C$8:$C$24,MATCH($C4959,DATA_ASSET_CLASSIFICATION!$A$8:$A$24,0)),"Review"))</f>
        <v>Yes</v>
      </c>
      <c r="Q4959" s="350" t="str">
        <f t="shared" ca="1" si="155"/>
        <v>OK</v>
      </c>
    </row>
    <row r="4960" spans="1:17" ht="30">
      <c r="A4960" s="366" t="s">
        <v>6916</v>
      </c>
      <c r="B4960" s="366" t="s">
        <v>231</v>
      </c>
      <c r="C4960" s="348" t="str">
        <f>DATA_PROPERTY_MASTER!$A$21</f>
        <v>BLD_CD</v>
      </c>
      <c r="D4960" s="380">
        <f>'00_PORTFOLIO ROLLUP'!G$12</f>
        <v>2027</v>
      </c>
      <c r="E4960" s="366" t="s">
        <v>1683</v>
      </c>
      <c r="F4960" s="366" t="s">
        <v>29</v>
      </c>
      <c r="G4960" s="348" t="str">
        <f>"'"&amp;$C4960&amp;"'!$E$56:$Y$56"</f>
        <v>'BLD_CD'!$E$56:$Y$56</v>
      </c>
      <c r="H4960" s="381">
        <f ca="1">IF(IFERROR(INDEX(DATA_PROPERTY_MASTER!$E$5:$E$21,MATCH($C4960,DATA_PROPERTY_MASTER!$A$5:$A$21,0))="Yes",FALSE),IFERROR(INDEX(INDIRECT("'"&amp;$C4960&amp;"'!$E$56:$Y$56"),1,MATCH($D4960,INDIRECT("'"&amp;$C4960&amp;"'!$E$12:$Y$12"),0)),0),0)</f>
        <v>-2031934.1122314297</v>
      </c>
      <c r="I4960" s="366" t="s">
        <v>1685</v>
      </c>
      <c r="J4960" s="348" t="str">
        <f t="shared" ca="1" si="154"/>
        <v>OK</v>
      </c>
      <c r="K4960" s="366" t="s">
        <v>1718</v>
      </c>
      <c r="L4960" s="366" t="s">
        <v>2250</v>
      </c>
      <c r="M4960" s="350" t="str">
        <f>IF($B4960="Portfolio","Portfolio",IFERROR(INDEX(DATA_ASSET_CLASSIFICATION!$B$8:$B$24,MATCH($C4960,DATA_ASSET_CLASSIFICATION!$A$8:$A$24,0)),"Review"))</f>
        <v>800 Commercial Drive</v>
      </c>
      <c r="N4960" s="350" t="str">
        <f>IF($B4960="Portfolio","Portfolio",IFERROR(INDEX(DATA_ASSET_CLASSIFICATION!$U$8:$U$24,MATCH($C4960,DATA_ASSET_CLASSIFICATION!$A$8:$A$24,0)),"Review"))</f>
        <v>New Build</v>
      </c>
      <c r="O4960" s="350" t="str">
        <f>IF($B4960="Portfolio","Portfolio",IFERROR(INDEX(DATA_ASSET_CLASSIFICATION!$AB$8:$AB$13,MATCH($N4960,DATA_ASSET_CLASSIFICATION!$AA$8:$AA$13,0)),"Review"))</f>
        <v>Bucket 1 · New Build</v>
      </c>
      <c r="P4960" s="350" t="str">
        <f>IF($B4960="Portfolio","Portfolio",IFERROR(INDEX(DATA_ASSET_CLASSIFICATION!$C$8:$C$24,MATCH($C4960,DATA_ASSET_CLASSIFICATION!$A$8:$A$24,0)),"Review"))</f>
        <v>Yes</v>
      </c>
      <c r="Q4960" s="350" t="str">
        <f t="shared" ca="1" si="155"/>
        <v>OK</v>
      </c>
    </row>
    <row r="4961" spans="1:17" ht="30">
      <c r="A4961" s="366" t="s">
        <v>6917</v>
      </c>
      <c r="B4961" s="366" t="s">
        <v>231</v>
      </c>
      <c r="C4961" s="348" t="str">
        <f>DATA_PROPERTY_MASTER!$A$21</f>
        <v>BLD_CD</v>
      </c>
      <c r="D4961" s="380">
        <f>'00_PORTFOLIO ROLLUP'!G$12</f>
        <v>2027</v>
      </c>
      <c r="E4961" s="366" t="s">
        <v>1721</v>
      </c>
      <c r="F4961" s="366" t="s">
        <v>31</v>
      </c>
      <c r="G4961" s="348" t="str">
        <f>"'"&amp;$C4961&amp;"'!$E$61:$Y$61"</f>
        <v>'BLD_CD'!$E$61:$Y$61</v>
      </c>
      <c r="H4961" s="381">
        <f ca="1">IF(IFERROR(INDEX(DATA_PROPERTY_MASTER!$E$5:$E$21,MATCH($C4961,DATA_PROPERTY_MASTER!$A$5:$A$21,0))="Yes",FALSE),IFERROR(INDEX(INDIRECT("'"&amp;$C4961&amp;"'!$E$61:$Y$61"),1,MATCH($D4961,INDIRECT("'"&amp;$C4961&amp;"'!$E$12:$Y$12"),0)),0),0)</f>
        <v>0</v>
      </c>
      <c r="I4961" s="366" t="s">
        <v>1690</v>
      </c>
      <c r="J4961" s="348" t="str">
        <f t="shared" ca="1" si="154"/>
        <v>OK</v>
      </c>
      <c r="K4961" s="366" t="s">
        <v>1723</v>
      </c>
      <c r="L4961" s="366" t="s">
        <v>2252</v>
      </c>
      <c r="M4961" s="350" t="str">
        <f>IF($B4961="Portfolio","Portfolio",IFERROR(INDEX(DATA_ASSET_CLASSIFICATION!$B$8:$B$24,MATCH($C4961,DATA_ASSET_CLASSIFICATION!$A$8:$A$24,0)),"Review"))</f>
        <v>800 Commercial Drive</v>
      </c>
      <c r="N4961" s="350" t="str">
        <f>IF($B4961="Portfolio","Portfolio",IFERROR(INDEX(DATA_ASSET_CLASSIFICATION!$U$8:$U$24,MATCH($C4961,DATA_ASSET_CLASSIFICATION!$A$8:$A$24,0)),"Review"))</f>
        <v>New Build</v>
      </c>
      <c r="O4961" s="350" t="str">
        <f>IF($B4961="Portfolio","Portfolio",IFERROR(INDEX(DATA_ASSET_CLASSIFICATION!$AB$8:$AB$13,MATCH($N4961,DATA_ASSET_CLASSIFICATION!$AA$8:$AA$13,0)),"Review"))</f>
        <v>Bucket 1 · New Build</v>
      </c>
      <c r="P4961" s="350" t="str">
        <f>IF($B4961="Portfolio","Portfolio",IFERROR(INDEX(DATA_ASSET_CLASSIFICATION!$C$8:$C$24,MATCH($C4961,DATA_ASSET_CLASSIFICATION!$A$8:$A$24,0)),"Review"))</f>
        <v>Yes</v>
      </c>
      <c r="Q4961" s="350" t="str">
        <f t="shared" ca="1" si="155"/>
        <v>OK</v>
      </c>
    </row>
    <row r="4962" spans="1:17" ht="30">
      <c r="A4962" s="366" t="s">
        <v>6918</v>
      </c>
      <c r="B4962" s="366" t="s">
        <v>231</v>
      </c>
      <c r="C4962" s="348" t="str">
        <f>DATA_PROPERTY_MASTER!$A$21</f>
        <v>BLD_CD</v>
      </c>
      <c r="D4962" s="380">
        <f>'00_PORTFOLIO ROLLUP'!G$12</f>
        <v>2027</v>
      </c>
      <c r="E4962" s="366" t="s">
        <v>1721</v>
      </c>
      <c r="F4962" s="366" t="s">
        <v>33</v>
      </c>
      <c r="G4962" s="348" t="str">
        <f>"'"&amp;$C4962&amp;"'!$E$62:$Y$62"</f>
        <v>'BLD_CD'!$E$62:$Y$62</v>
      </c>
      <c r="H4962" s="381">
        <f ca="1">IF(IFERROR(INDEX(DATA_PROPERTY_MASTER!$E$5:$E$21,MATCH($C4962,DATA_PROPERTY_MASTER!$A$5:$A$21,0))="Yes",FALSE),IFERROR(INDEX(INDIRECT("'"&amp;$C4962&amp;"'!$E$62:$Y$62"),1,MATCH($D4962,INDIRECT("'"&amp;$C4962&amp;"'!$E$12:$Y$12"),0)),0),0)</f>
        <v>0</v>
      </c>
      <c r="I4962" s="366" t="s">
        <v>1685</v>
      </c>
      <c r="J4962" s="348" t="str">
        <f t="shared" ca="1" si="154"/>
        <v>OK</v>
      </c>
      <c r="K4962" s="366" t="s">
        <v>1727</v>
      </c>
      <c r="L4962" s="366" t="s">
        <v>2254</v>
      </c>
      <c r="M4962" s="350" t="str">
        <f>IF($B4962="Portfolio","Portfolio",IFERROR(INDEX(DATA_ASSET_CLASSIFICATION!$B$8:$B$24,MATCH($C4962,DATA_ASSET_CLASSIFICATION!$A$8:$A$24,0)),"Review"))</f>
        <v>800 Commercial Drive</v>
      </c>
      <c r="N4962" s="350" t="str">
        <f>IF($B4962="Portfolio","Portfolio",IFERROR(INDEX(DATA_ASSET_CLASSIFICATION!$U$8:$U$24,MATCH($C4962,DATA_ASSET_CLASSIFICATION!$A$8:$A$24,0)),"Review"))</f>
        <v>New Build</v>
      </c>
      <c r="O4962" s="350" t="str">
        <f>IF($B4962="Portfolio","Portfolio",IFERROR(INDEX(DATA_ASSET_CLASSIFICATION!$AB$8:$AB$13,MATCH($N4962,DATA_ASSET_CLASSIFICATION!$AA$8:$AA$13,0)),"Review"))</f>
        <v>Bucket 1 · New Build</v>
      </c>
      <c r="P4962" s="350" t="str">
        <f>IF($B4962="Portfolio","Portfolio",IFERROR(INDEX(DATA_ASSET_CLASSIFICATION!$C$8:$C$24,MATCH($C4962,DATA_ASSET_CLASSIFICATION!$A$8:$A$24,0)),"Review"))</f>
        <v>Yes</v>
      </c>
      <c r="Q4962" s="350" t="str">
        <f t="shared" ca="1" si="155"/>
        <v>OK</v>
      </c>
    </row>
    <row r="4963" spans="1:17" ht="30">
      <c r="A4963" s="366" t="s">
        <v>6919</v>
      </c>
      <c r="B4963" s="366" t="s">
        <v>231</v>
      </c>
      <c r="C4963" s="348" t="str">
        <f>DATA_PROPERTY_MASTER!$A$21</f>
        <v>BLD_CD</v>
      </c>
      <c r="D4963" s="380">
        <f>'00_PORTFOLIO ROLLUP'!G$12</f>
        <v>2027</v>
      </c>
      <c r="E4963" s="366" t="s">
        <v>1721</v>
      </c>
      <c r="F4963" s="366" t="s">
        <v>35</v>
      </c>
      <c r="G4963" s="348" t="str">
        <f>"'"&amp;$C4963&amp;"'!$E$63:$Y$63"</f>
        <v>'BLD_CD'!$E$63:$Y$63</v>
      </c>
      <c r="H4963" s="381">
        <f ca="1">IF(IFERROR(INDEX(DATA_PROPERTY_MASTER!$E$5:$E$21,MATCH($C4963,DATA_PROPERTY_MASTER!$A$5:$A$21,0))="Yes",FALSE),IFERROR(INDEX(INDIRECT("'"&amp;$C4963&amp;"'!$E$63:$Y$63"),1,MATCH($D4963,INDIRECT("'"&amp;$C4963&amp;"'!$E$12:$Y$12"),0)),0),0)</f>
        <v>0</v>
      </c>
      <c r="I4963" s="366" t="s">
        <v>1731</v>
      </c>
      <c r="J4963" s="348" t="str">
        <f t="shared" ca="1" si="154"/>
        <v>OK</v>
      </c>
      <c r="K4963" s="366" t="s">
        <v>1732</v>
      </c>
      <c r="L4963" s="366" t="s">
        <v>2256</v>
      </c>
      <c r="M4963" s="350" t="str">
        <f>IF($B4963="Portfolio","Portfolio",IFERROR(INDEX(DATA_ASSET_CLASSIFICATION!$B$8:$B$24,MATCH($C4963,DATA_ASSET_CLASSIFICATION!$A$8:$A$24,0)),"Review"))</f>
        <v>800 Commercial Drive</v>
      </c>
      <c r="N4963" s="350" t="str">
        <f>IF($B4963="Portfolio","Portfolio",IFERROR(INDEX(DATA_ASSET_CLASSIFICATION!$U$8:$U$24,MATCH($C4963,DATA_ASSET_CLASSIFICATION!$A$8:$A$24,0)),"Review"))</f>
        <v>New Build</v>
      </c>
      <c r="O4963" s="350" t="str">
        <f>IF($B4963="Portfolio","Portfolio",IFERROR(INDEX(DATA_ASSET_CLASSIFICATION!$AB$8:$AB$13,MATCH($N4963,DATA_ASSET_CLASSIFICATION!$AA$8:$AA$13,0)),"Review"))</f>
        <v>Bucket 1 · New Build</v>
      </c>
      <c r="P4963" s="350" t="str">
        <f>IF($B4963="Portfolio","Portfolio",IFERROR(INDEX(DATA_ASSET_CLASSIFICATION!$C$8:$C$24,MATCH($C4963,DATA_ASSET_CLASSIFICATION!$A$8:$A$24,0)),"Review"))</f>
        <v>Yes</v>
      </c>
      <c r="Q4963" s="350" t="str">
        <f t="shared" ca="1" si="155"/>
        <v>OK</v>
      </c>
    </row>
    <row r="4964" spans="1:17" ht="30">
      <c r="A4964" s="366" t="s">
        <v>6920</v>
      </c>
      <c r="B4964" s="366" t="s">
        <v>231</v>
      </c>
      <c r="C4964" s="348" t="str">
        <f>DATA_PROPERTY_MASTER!$A$21</f>
        <v>BLD_CD</v>
      </c>
      <c r="D4964" s="380">
        <f>'00_PORTFOLIO ROLLUP'!G$12</f>
        <v>2027</v>
      </c>
      <c r="E4964" s="366" t="s">
        <v>1721</v>
      </c>
      <c r="F4964" s="366" t="s">
        <v>37</v>
      </c>
      <c r="G4964" s="348" t="str">
        <f>"'"&amp;$C4964&amp;"'!$E$63:$Y$63"</f>
        <v>'BLD_CD'!$E$63:$Y$63</v>
      </c>
      <c r="H4964" s="381">
        <f ca="1">IF(IFERROR(INDEX(DATA_PROPERTY_MASTER!$E$5:$E$21,MATCH($C4964,DATA_PROPERTY_MASTER!$A$5:$A$21,0))="Yes",FALSE),MAX(IFERROR(INDEX(INDIRECT("'"&amp;$C4964&amp;"'!$E$63:$Y$63"),1,MATCH($D4964,INDIRECT("'"&amp;$C4964&amp;"'!$E$12:$Y$12"),0)),0),0),0)</f>
        <v>0</v>
      </c>
      <c r="I4964" s="366" t="s">
        <v>1685</v>
      </c>
      <c r="J4964" s="348" t="str">
        <f t="shared" ca="1" si="154"/>
        <v>OK</v>
      </c>
      <c r="K4964" s="366" t="s">
        <v>1735</v>
      </c>
      <c r="L4964" s="366" t="s">
        <v>2258</v>
      </c>
      <c r="M4964" s="350" t="str">
        <f>IF($B4964="Portfolio","Portfolio",IFERROR(INDEX(DATA_ASSET_CLASSIFICATION!$B$8:$B$24,MATCH($C4964,DATA_ASSET_CLASSIFICATION!$A$8:$A$24,0)),"Review"))</f>
        <v>800 Commercial Drive</v>
      </c>
      <c r="N4964" s="350" t="str">
        <f>IF($B4964="Portfolio","Portfolio",IFERROR(INDEX(DATA_ASSET_CLASSIFICATION!$U$8:$U$24,MATCH($C4964,DATA_ASSET_CLASSIFICATION!$A$8:$A$24,0)),"Review"))</f>
        <v>New Build</v>
      </c>
      <c r="O4964" s="350" t="str">
        <f>IF($B4964="Portfolio","Portfolio",IFERROR(INDEX(DATA_ASSET_CLASSIFICATION!$AB$8:$AB$13,MATCH($N4964,DATA_ASSET_CLASSIFICATION!$AA$8:$AA$13,0)),"Review"))</f>
        <v>Bucket 1 · New Build</v>
      </c>
      <c r="P4964" s="350" t="str">
        <f>IF($B4964="Portfolio","Portfolio",IFERROR(INDEX(DATA_ASSET_CLASSIFICATION!$C$8:$C$24,MATCH($C4964,DATA_ASSET_CLASSIFICATION!$A$8:$A$24,0)),"Review"))</f>
        <v>Yes</v>
      </c>
      <c r="Q4964" s="350" t="str">
        <f t="shared" ca="1" si="155"/>
        <v>OK</v>
      </c>
    </row>
    <row r="4965" spans="1:17" ht="30">
      <c r="A4965" s="366" t="s">
        <v>6921</v>
      </c>
      <c r="B4965" s="366" t="s">
        <v>231</v>
      </c>
      <c r="C4965" s="348" t="str">
        <f>DATA_PROPERTY_MASTER!$A$21</f>
        <v>BLD_CD</v>
      </c>
      <c r="D4965" s="380">
        <f>'00_PORTFOLIO ROLLUP'!G$12</f>
        <v>2027</v>
      </c>
      <c r="E4965" s="366" t="s">
        <v>1721</v>
      </c>
      <c r="F4965" s="366" t="s">
        <v>39</v>
      </c>
      <c r="G4965" s="348" t="str">
        <f>"'"&amp;$C4965&amp;"'!$E$63:$Y$63"</f>
        <v>'BLD_CD'!$E$63:$Y$63</v>
      </c>
      <c r="H4965" s="381">
        <f ca="1">IF(IFERROR(INDEX(DATA_PROPERTY_MASTER!$E$5:$E$21,MATCH($C4965,DATA_PROPERTY_MASTER!$A$5:$A$21,0))="Yes",FALSE),MAX(-IFERROR(INDEX(INDIRECT("'"&amp;$C4965&amp;"'!$E$63:$Y$63"),1,MATCH($D4965,INDIRECT("'"&amp;$C4965&amp;"'!$E$12:$Y$12"),0)),0),0),0)</f>
        <v>0</v>
      </c>
      <c r="I4965" s="366" t="s">
        <v>1690</v>
      </c>
      <c r="J4965" s="348" t="str">
        <f t="shared" ca="1" si="154"/>
        <v>OK</v>
      </c>
      <c r="K4965" s="366" t="s">
        <v>1738</v>
      </c>
      <c r="L4965" s="366" t="s">
        <v>2260</v>
      </c>
      <c r="M4965" s="350" t="str">
        <f>IF($B4965="Portfolio","Portfolio",IFERROR(INDEX(DATA_ASSET_CLASSIFICATION!$B$8:$B$24,MATCH($C4965,DATA_ASSET_CLASSIFICATION!$A$8:$A$24,0)),"Review"))</f>
        <v>800 Commercial Drive</v>
      </c>
      <c r="N4965" s="350" t="str">
        <f>IF($B4965="Portfolio","Portfolio",IFERROR(INDEX(DATA_ASSET_CLASSIFICATION!$U$8:$U$24,MATCH($C4965,DATA_ASSET_CLASSIFICATION!$A$8:$A$24,0)),"Review"))</f>
        <v>New Build</v>
      </c>
      <c r="O4965" s="350" t="str">
        <f>IF($B4965="Portfolio","Portfolio",IFERROR(INDEX(DATA_ASSET_CLASSIFICATION!$AB$8:$AB$13,MATCH($N4965,DATA_ASSET_CLASSIFICATION!$AA$8:$AA$13,0)),"Review"))</f>
        <v>Bucket 1 · New Build</v>
      </c>
      <c r="P4965" s="350" t="str">
        <f>IF($B4965="Portfolio","Portfolio",IFERROR(INDEX(DATA_ASSET_CLASSIFICATION!$C$8:$C$24,MATCH($C4965,DATA_ASSET_CLASSIFICATION!$A$8:$A$24,0)),"Review"))</f>
        <v>Yes</v>
      </c>
      <c r="Q4965" s="350" t="str">
        <f t="shared" ca="1" si="155"/>
        <v>OK</v>
      </c>
    </row>
    <row r="4966" spans="1:17" ht="30">
      <c r="A4966" s="366" t="s">
        <v>6922</v>
      </c>
      <c r="B4966" s="366" t="s">
        <v>231</v>
      </c>
      <c r="C4966" s="348" t="str">
        <f>DATA_PROPERTY_MASTER!$A$21</f>
        <v>BLD_CD</v>
      </c>
      <c r="D4966" s="380">
        <f>'00_PORTFOLIO ROLLUP'!G$12</f>
        <v>2027</v>
      </c>
      <c r="E4966" s="366" t="s">
        <v>1741</v>
      </c>
      <c r="F4966" s="366" t="s">
        <v>41</v>
      </c>
      <c r="G4966" s="348" t="str">
        <f>"'"&amp;$C4966&amp;"'!rows 56 + positive row 63"</f>
        <v>'BLD_CD'!rows 56 + positive row 63</v>
      </c>
      <c r="H4966" s="381">
        <f ca="1">IF(IFERROR(INDEX(DATA_PROPERTY_MASTER!$E$5:$E$21,MATCH($C4966,DATA_PROPERTY_MASTER!$A$5:$A$21,0))="Yes",FALSE),IFERROR(INDEX(INDIRECT("'"&amp;$C4966&amp;"'!$E$56:$Y$56"),1,MATCH($D4966,INDIRECT("'"&amp;$C4966&amp;"'!$E$12:$Y$12"),0)),0)+MAX(IFERROR(INDEX(INDIRECT("'"&amp;$C4966&amp;"'!$E$63:$Y$63"),1,MATCH($D4966,INDIRECT("'"&amp;$C4966&amp;"'!$E$12:$Y$12"),0)),0),0),0)</f>
        <v>-2031934.1122314297</v>
      </c>
      <c r="I4966" s="366" t="s">
        <v>1685</v>
      </c>
      <c r="J4966" s="348" t="str">
        <f t="shared" ca="1" si="154"/>
        <v>OK</v>
      </c>
      <c r="K4966" s="366" t="s">
        <v>1742</v>
      </c>
      <c r="L4966" s="366" t="s">
        <v>2262</v>
      </c>
      <c r="M4966" s="350" t="str">
        <f>IF($B4966="Portfolio","Portfolio",IFERROR(INDEX(DATA_ASSET_CLASSIFICATION!$B$8:$B$24,MATCH($C4966,DATA_ASSET_CLASSIFICATION!$A$8:$A$24,0)),"Review"))</f>
        <v>800 Commercial Drive</v>
      </c>
      <c r="N4966" s="350" t="str">
        <f>IF($B4966="Portfolio","Portfolio",IFERROR(INDEX(DATA_ASSET_CLASSIFICATION!$U$8:$U$24,MATCH($C4966,DATA_ASSET_CLASSIFICATION!$A$8:$A$24,0)),"Review"))</f>
        <v>New Build</v>
      </c>
      <c r="O4966" s="350" t="str">
        <f>IF($B4966="Portfolio","Portfolio",IFERROR(INDEX(DATA_ASSET_CLASSIFICATION!$AB$8:$AB$13,MATCH($N4966,DATA_ASSET_CLASSIFICATION!$AA$8:$AA$13,0)),"Review"))</f>
        <v>Bucket 1 · New Build</v>
      </c>
      <c r="P4966" s="350" t="str">
        <f>IF($B4966="Portfolio","Portfolio",IFERROR(INDEX(DATA_ASSET_CLASSIFICATION!$C$8:$C$24,MATCH($C4966,DATA_ASSET_CLASSIFICATION!$A$8:$A$24,0)),"Review"))</f>
        <v>Yes</v>
      </c>
      <c r="Q4966" s="350" t="str">
        <f t="shared" ca="1" si="155"/>
        <v>OK</v>
      </c>
    </row>
    <row r="4967" spans="1:17" ht="30">
      <c r="A4967" s="366" t="s">
        <v>6923</v>
      </c>
      <c r="B4967" s="366" t="s">
        <v>231</v>
      </c>
      <c r="C4967" s="348" t="str">
        <f>DATA_PROPERTY_MASTER!$A$21</f>
        <v>BLD_CD</v>
      </c>
      <c r="D4967" s="380">
        <f>'00_PORTFOLIO ROLLUP'!G$12</f>
        <v>2027</v>
      </c>
      <c r="E4967" s="366" t="s">
        <v>1741</v>
      </c>
      <c r="F4967" s="366" t="s">
        <v>43</v>
      </c>
      <c r="G4967" s="348" t="str">
        <f>"'"&amp;$C4967&amp;"'!$E$68:$Y$68"</f>
        <v>'BLD_CD'!$E$68:$Y$68</v>
      </c>
      <c r="H4967" s="381">
        <f ca="1">IF(IFERROR(INDEX(DATA_PROPERTY_MASTER!$E$5:$E$21,MATCH($C4967,DATA_PROPERTY_MASTER!$A$5:$A$21,0))="Yes",FALSE),IFERROR(INDEX(INDIRECT("'"&amp;$C4967&amp;"'!$E$68:$Y$68"),1,MATCH($D4967,INDIRECT("'"&amp;$C4967&amp;"'!$E$12:$Y$12"),0)),0),0)</f>
        <v>-2031934.1122314297</v>
      </c>
      <c r="I4967" s="366" t="s">
        <v>1731</v>
      </c>
      <c r="J4967" s="348" t="str">
        <f t="shared" ca="1" si="154"/>
        <v>OK</v>
      </c>
      <c r="K4967" s="366" t="s">
        <v>1746</v>
      </c>
      <c r="L4967" s="366" t="s">
        <v>2264</v>
      </c>
      <c r="M4967" s="350" t="str">
        <f>IF($B4967="Portfolio","Portfolio",IFERROR(INDEX(DATA_ASSET_CLASSIFICATION!$B$8:$B$24,MATCH($C4967,DATA_ASSET_CLASSIFICATION!$A$8:$A$24,0)),"Review"))</f>
        <v>800 Commercial Drive</v>
      </c>
      <c r="N4967" s="350" t="str">
        <f>IF($B4967="Portfolio","Portfolio",IFERROR(INDEX(DATA_ASSET_CLASSIFICATION!$U$8:$U$24,MATCH($C4967,DATA_ASSET_CLASSIFICATION!$A$8:$A$24,0)),"Review"))</f>
        <v>New Build</v>
      </c>
      <c r="O4967" s="350" t="str">
        <f>IF($B4967="Portfolio","Portfolio",IFERROR(INDEX(DATA_ASSET_CLASSIFICATION!$AB$8:$AB$13,MATCH($N4967,DATA_ASSET_CLASSIFICATION!$AA$8:$AA$13,0)),"Review"))</f>
        <v>Bucket 1 · New Build</v>
      </c>
      <c r="P4967" s="350" t="str">
        <f>IF($B4967="Portfolio","Portfolio",IFERROR(INDEX(DATA_ASSET_CLASSIFICATION!$C$8:$C$24,MATCH($C4967,DATA_ASSET_CLASSIFICATION!$A$8:$A$24,0)),"Review"))</f>
        <v>Yes</v>
      </c>
      <c r="Q4967" s="350" t="str">
        <f t="shared" ca="1" si="155"/>
        <v>OK</v>
      </c>
    </row>
    <row r="4968" spans="1:17" ht="30">
      <c r="A4968" s="366" t="s">
        <v>6924</v>
      </c>
      <c r="B4968" s="366" t="s">
        <v>231</v>
      </c>
      <c r="C4968" s="348" t="str">
        <f>DATA_PROPERTY_MASTER!$A$21</f>
        <v>BLD_CD</v>
      </c>
      <c r="D4968" s="380">
        <f>'00_PORTFOLIO ROLLUP'!G$12</f>
        <v>2027</v>
      </c>
      <c r="E4968" s="366" t="s">
        <v>1741</v>
      </c>
      <c r="F4968" s="366" t="s">
        <v>1749</v>
      </c>
      <c r="G4968" s="348" t="str">
        <f>"'"&amp;$C4968&amp;"'!rows 56, 63, 68"</f>
        <v>'BLD_CD'!rows 56, 63, 68</v>
      </c>
      <c r="H4968" s="381">
        <f ca="1">IF(IFERROR(INDEX(DATA_PROPERTY_MASTER!$E$5:$E$21,MATCH($C4968,DATA_PROPERTY_MASTER!$A$5:$A$21,0))="Yes",FALSE),(IFERROR(INDEX(INDIRECT("'"&amp;$C4968&amp;"'!$E$56:$Y$56"),1,MATCH($D4968,INDIRECT("'"&amp;$C4968&amp;"'!$E$12:$Y$12"),0)),0)+MAX(IFERROR(INDEX(INDIRECT("'"&amp;$C4968&amp;"'!$E$63:$Y$63"),1,MATCH($D4968,INDIRECT("'"&amp;$C4968&amp;"'!$E$12:$Y$12"),0)),0),0))-(IFERROR(INDEX(INDIRECT("'"&amp;$C4968&amp;"'!$E$68:$Y$68"),1,MATCH($D4968,INDIRECT("'"&amp;$C4968&amp;"'!$E$12:$Y$12"),0)),0)),0)</f>
        <v>0</v>
      </c>
      <c r="I4968" s="366" t="s">
        <v>1750</v>
      </c>
      <c r="J4968" s="348" t="str">
        <f t="shared" ca="1" si="154"/>
        <v>OK</v>
      </c>
      <c r="K4968" s="366" t="s">
        <v>1751</v>
      </c>
      <c r="L4968" s="366" t="s">
        <v>2266</v>
      </c>
      <c r="M4968" s="350" t="str">
        <f>IF($B4968="Portfolio","Portfolio",IFERROR(INDEX(DATA_ASSET_CLASSIFICATION!$B$8:$B$24,MATCH($C4968,DATA_ASSET_CLASSIFICATION!$A$8:$A$24,0)),"Review"))</f>
        <v>800 Commercial Drive</v>
      </c>
      <c r="N4968" s="350" t="str">
        <f>IF($B4968="Portfolio","Portfolio",IFERROR(INDEX(DATA_ASSET_CLASSIFICATION!$U$8:$U$24,MATCH($C4968,DATA_ASSET_CLASSIFICATION!$A$8:$A$24,0)),"Review"))</f>
        <v>New Build</v>
      </c>
      <c r="O4968" s="350" t="str">
        <f>IF($B4968="Portfolio","Portfolio",IFERROR(INDEX(DATA_ASSET_CLASSIFICATION!$AB$8:$AB$13,MATCH($N4968,DATA_ASSET_CLASSIFICATION!$AA$8:$AA$13,0)),"Review"))</f>
        <v>Bucket 1 · New Build</v>
      </c>
      <c r="P4968" s="350" t="str">
        <f>IF($B4968="Portfolio","Portfolio",IFERROR(INDEX(DATA_ASSET_CLASSIFICATION!$C$8:$C$24,MATCH($C4968,DATA_ASSET_CLASSIFICATION!$A$8:$A$24,0)),"Review"))</f>
        <v>Yes</v>
      </c>
      <c r="Q4968" s="350" t="str">
        <f t="shared" ca="1" si="155"/>
        <v>OK</v>
      </c>
    </row>
    <row r="4969" spans="1:17" ht="30">
      <c r="A4969" s="366" t="s">
        <v>6925</v>
      </c>
      <c r="B4969" s="366" t="s">
        <v>231</v>
      </c>
      <c r="C4969" s="348" t="str">
        <f>DATA_PROPERTY_MASTER!$A$21</f>
        <v>BLD_CD</v>
      </c>
      <c r="D4969" s="380">
        <f>'00_PORTFOLIO ROLLUP'!H$12</f>
        <v>2028</v>
      </c>
      <c r="E4969" s="366" t="s">
        <v>1683</v>
      </c>
      <c r="F4969" s="366" t="s">
        <v>341</v>
      </c>
      <c r="G4969" s="348" t="str">
        <f>"'"&amp;$C4969&amp;"'!$E$24:$Y$24"</f>
        <v>'BLD_CD'!$E$24:$Y$24</v>
      </c>
      <c r="H4969" s="381">
        <f ca="1">IF(IFERROR(INDEX(DATA_PROPERTY_MASTER!$E$5:$E$21,MATCH($C4969,DATA_PROPERTY_MASTER!$A$5:$A$21,0))="Yes",FALSE),IFERROR(INDEX(INDIRECT("'"&amp;$C4969&amp;"'!$E$24:$Y$24"),1,MATCH($D4969,INDIRECT("'"&amp;$C4969&amp;"'!$E$12:$Y$12"),0)),0),0)</f>
        <v>0</v>
      </c>
      <c r="I4969" s="366" t="s">
        <v>1685</v>
      </c>
      <c r="J4969" s="348" t="str">
        <f t="shared" ca="1" si="154"/>
        <v>OK</v>
      </c>
      <c r="K4969" s="366" t="s">
        <v>1686</v>
      </c>
      <c r="L4969" s="366" t="s">
        <v>2234</v>
      </c>
      <c r="M4969" s="350" t="str">
        <f>IF($B4969="Portfolio","Portfolio",IFERROR(INDEX(DATA_ASSET_CLASSIFICATION!$B$8:$B$24,MATCH($C4969,DATA_ASSET_CLASSIFICATION!$A$8:$A$24,0)),"Review"))</f>
        <v>800 Commercial Drive</v>
      </c>
      <c r="N4969" s="350" t="str">
        <f>IF($B4969="Portfolio","Portfolio",IFERROR(INDEX(DATA_ASSET_CLASSIFICATION!$U$8:$U$24,MATCH($C4969,DATA_ASSET_CLASSIFICATION!$A$8:$A$24,0)),"Review"))</f>
        <v>New Build</v>
      </c>
      <c r="O4969" s="350" t="str">
        <f>IF($B4969="Portfolio","Portfolio",IFERROR(INDEX(DATA_ASSET_CLASSIFICATION!$AB$8:$AB$13,MATCH($N4969,DATA_ASSET_CLASSIFICATION!$AA$8:$AA$13,0)),"Review"))</f>
        <v>Bucket 1 · New Build</v>
      </c>
      <c r="P4969" s="350" t="str">
        <f>IF($B4969="Portfolio","Portfolio",IFERROR(INDEX(DATA_ASSET_CLASSIFICATION!$C$8:$C$24,MATCH($C4969,DATA_ASSET_CLASSIFICATION!$A$8:$A$24,0)),"Review"))</f>
        <v>Yes</v>
      </c>
      <c r="Q4969" s="350" t="str">
        <f t="shared" ca="1" si="155"/>
        <v>OK</v>
      </c>
    </row>
    <row r="4970" spans="1:17" ht="30">
      <c r="A4970" s="366" t="s">
        <v>6926</v>
      </c>
      <c r="B4970" s="366" t="s">
        <v>231</v>
      </c>
      <c r="C4970" s="348" t="str">
        <f>DATA_PROPERTY_MASTER!$A$21</f>
        <v>BLD_CD</v>
      </c>
      <c r="D4970" s="380">
        <f>'00_PORTFOLIO ROLLUP'!H$12</f>
        <v>2028</v>
      </c>
      <c r="E4970" s="366" t="s">
        <v>1683</v>
      </c>
      <c r="F4970" s="366" t="s">
        <v>355</v>
      </c>
      <c r="G4970" s="348" t="str">
        <f>"'"&amp;$C4970&amp;"'!$E$39:$Y$39"</f>
        <v>'BLD_CD'!$E$39:$Y$39</v>
      </c>
      <c r="H4970" s="381">
        <f ca="1">IF(IFERROR(INDEX(DATA_PROPERTY_MASTER!$E$5:$E$21,MATCH($C4970,DATA_PROPERTY_MASTER!$A$5:$A$21,0))="Yes",FALSE),IFERROR(INDEX(INDIRECT("'"&amp;$C4970&amp;"'!$E$39:$Y$39"),1,MATCH($D4970,INDIRECT("'"&amp;$C4970&amp;"'!$E$12:$Y$12"),0)),0),0)</f>
        <v>0</v>
      </c>
      <c r="I4970" s="366" t="s">
        <v>1690</v>
      </c>
      <c r="J4970" s="348" t="str">
        <f t="shared" ca="1" si="154"/>
        <v>OK</v>
      </c>
      <c r="K4970" s="366" t="s">
        <v>1686</v>
      </c>
      <c r="L4970" s="366" t="s">
        <v>2236</v>
      </c>
      <c r="M4970" s="350" t="str">
        <f>IF($B4970="Portfolio","Portfolio",IFERROR(INDEX(DATA_ASSET_CLASSIFICATION!$B$8:$B$24,MATCH($C4970,DATA_ASSET_CLASSIFICATION!$A$8:$A$24,0)),"Review"))</f>
        <v>800 Commercial Drive</v>
      </c>
      <c r="N4970" s="350" t="str">
        <f>IF($B4970="Portfolio","Portfolio",IFERROR(INDEX(DATA_ASSET_CLASSIFICATION!$U$8:$U$24,MATCH($C4970,DATA_ASSET_CLASSIFICATION!$A$8:$A$24,0)),"Review"))</f>
        <v>New Build</v>
      </c>
      <c r="O4970" s="350" t="str">
        <f>IF($B4970="Portfolio","Portfolio",IFERROR(INDEX(DATA_ASSET_CLASSIFICATION!$AB$8:$AB$13,MATCH($N4970,DATA_ASSET_CLASSIFICATION!$AA$8:$AA$13,0)),"Review"))</f>
        <v>Bucket 1 · New Build</v>
      </c>
      <c r="P4970" s="350" t="str">
        <f>IF($B4970="Portfolio","Portfolio",IFERROR(INDEX(DATA_ASSET_CLASSIFICATION!$C$8:$C$24,MATCH($C4970,DATA_ASSET_CLASSIFICATION!$A$8:$A$24,0)),"Review"))</f>
        <v>Yes</v>
      </c>
      <c r="Q4970" s="350" t="str">
        <f t="shared" ca="1" si="155"/>
        <v>OK</v>
      </c>
    </row>
    <row r="4971" spans="1:17" ht="30">
      <c r="A4971" s="366" t="s">
        <v>6927</v>
      </c>
      <c r="B4971" s="366" t="s">
        <v>231</v>
      </c>
      <c r="C4971" s="348" t="str">
        <f>DATA_PROPERTY_MASTER!$A$21</f>
        <v>BLD_CD</v>
      </c>
      <c r="D4971" s="380">
        <f>'00_PORTFOLIO ROLLUP'!H$12</f>
        <v>2028</v>
      </c>
      <c r="E4971" s="366" t="s">
        <v>1683</v>
      </c>
      <c r="F4971" s="366" t="s">
        <v>19</v>
      </c>
      <c r="G4971" s="348" t="str">
        <f>"'"&amp;$C4971&amp;"'!$E$41:$Y$41"</f>
        <v>'BLD_CD'!$E$41:$Y$41</v>
      </c>
      <c r="H4971" s="381">
        <f ca="1">IF(IFERROR(INDEX(DATA_PROPERTY_MASTER!$E$5:$E$21,MATCH($C4971,DATA_PROPERTY_MASTER!$A$5:$A$21,0))="Yes",FALSE),IFERROR(INDEX(INDIRECT("'"&amp;$C4971&amp;"'!$E$41:$Y$41"),1,MATCH($D4971,INDIRECT("'"&amp;$C4971&amp;"'!$E$12:$Y$12"),0)),0),0)</f>
        <v>0</v>
      </c>
      <c r="I4971" s="366" t="s">
        <v>1685</v>
      </c>
      <c r="J4971" s="348" t="str">
        <f t="shared" ca="1" si="154"/>
        <v>OK</v>
      </c>
      <c r="K4971" s="366" t="s">
        <v>1694</v>
      </c>
      <c r="L4971" s="366" t="s">
        <v>2238</v>
      </c>
      <c r="M4971" s="350" t="str">
        <f>IF($B4971="Portfolio","Portfolio",IFERROR(INDEX(DATA_ASSET_CLASSIFICATION!$B$8:$B$24,MATCH($C4971,DATA_ASSET_CLASSIFICATION!$A$8:$A$24,0)),"Review"))</f>
        <v>800 Commercial Drive</v>
      </c>
      <c r="N4971" s="350" t="str">
        <f>IF($B4971="Portfolio","Portfolio",IFERROR(INDEX(DATA_ASSET_CLASSIFICATION!$U$8:$U$24,MATCH($C4971,DATA_ASSET_CLASSIFICATION!$A$8:$A$24,0)),"Review"))</f>
        <v>New Build</v>
      </c>
      <c r="O4971" s="350" t="str">
        <f>IF($B4971="Portfolio","Portfolio",IFERROR(INDEX(DATA_ASSET_CLASSIFICATION!$AB$8:$AB$13,MATCH($N4971,DATA_ASSET_CLASSIFICATION!$AA$8:$AA$13,0)),"Review"))</f>
        <v>Bucket 1 · New Build</v>
      </c>
      <c r="P4971" s="350" t="str">
        <f>IF($B4971="Portfolio","Portfolio",IFERROR(INDEX(DATA_ASSET_CLASSIFICATION!$C$8:$C$24,MATCH($C4971,DATA_ASSET_CLASSIFICATION!$A$8:$A$24,0)),"Review"))</f>
        <v>Yes</v>
      </c>
      <c r="Q4971" s="350" t="str">
        <f t="shared" ca="1" si="155"/>
        <v>OK</v>
      </c>
    </row>
    <row r="4972" spans="1:17" ht="30">
      <c r="A4972" s="366" t="s">
        <v>6928</v>
      </c>
      <c r="B4972" s="366" t="s">
        <v>231</v>
      </c>
      <c r="C4972" s="348" t="str">
        <f>DATA_PROPERTY_MASTER!$A$21</f>
        <v>BLD_CD</v>
      </c>
      <c r="D4972" s="380">
        <f>'00_PORTFOLIO ROLLUP'!H$12</f>
        <v>2028</v>
      </c>
      <c r="E4972" s="366" t="s">
        <v>1683</v>
      </c>
      <c r="F4972" s="366" t="s">
        <v>1697</v>
      </c>
      <c r="G4972" s="348" t="str">
        <f>"'"&amp;$C4972&amp;"'!$E$44:$Y$44"</f>
        <v>'BLD_CD'!$E$44:$Y$44</v>
      </c>
      <c r="H4972" s="381">
        <f ca="1">IF(IFERROR(INDEX(DATA_PROPERTY_MASTER!$E$5:$E$21,MATCH($C4972,DATA_PROPERTY_MASTER!$A$5:$A$21,0))="Yes",FALSE),IFERROR(INDEX(INDIRECT("'"&amp;$C4972&amp;"'!$E$44:$Y$44"),1,MATCH($D4972,INDIRECT("'"&amp;$C4972&amp;"'!$E$12:$Y$12"),0)),0),0)</f>
        <v>0</v>
      </c>
      <c r="I4972" s="366" t="s">
        <v>1690</v>
      </c>
      <c r="J4972" s="348" t="str">
        <f t="shared" ca="1" si="154"/>
        <v>OK</v>
      </c>
      <c r="K4972" s="366" t="s">
        <v>1699</v>
      </c>
      <c r="L4972" s="366" t="s">
        <v>2240</v>
      </c>
      <c r="M4972" s="350" t="str">
        <f>IF($B4972="Portfolio","Portfolio",IFERROR(INDEX(DATA_ASSET_CLASSIFICATION!$B$8:$B$24,MATCH($C4972,DATA_ASSET_CLASSIFICATION!$A$8:$A$24,0)),"Review"))</f>
        <v>800 Commercial Drive</v>
      </c>
      <c r="N4972" s="350" t="str">
        <f>IF($B4972="Portfolio","Portfolio",IFERROR(INDEX(DATA_ASSET_CLASSIFICATION!$U$8:$U$24,MATCH($C4972,DATA_ASSET_CLASSIFICATION!$A$8:$A$24,0)),"Review"))</f>
        <v>New Build</v>
      </c>
      <c r="O4972" s="350" t="str">
        <f>IF($B4972="Portfolio","Portfolio",IFERROR(INDEX(DATA_ASSET_CLASSIFICATION!$AB$8:$AB$13,MATCH($N4972,DATA_ASSET_CLASSIFICATION!$AA$8:$AA$13,0)),"Review"))</f>
        <v>Bucket 1 · New Build</v>
      </c>
      <c r="P4972" s="350" t="str">
        <f>IF($B4972="Portfolio","Portfolio",IFERROR(INDEX(DATA_ASSET_CLASSIFICATION!$C$8:$C$24,MATCH($C4972,DATA_ASSET_CLASSIFICATION!$A$8:$A$24,0)),"Review"))</f>
        <v>Yes</v>
      </c>
      <c r="Q4972" s="350" t="str">
        <f t="shared" ca="1" si="155"/>
        <v>OK</v>
      </c>
    </row>
    <row r="4973" spans="1:17" ht="30">
      <c r="A4973" s="366" t="s">
        <v>6929</v>
      </c>
      <c r="B4973" s="366" t="s">
        <v>231</v>
      </c>
      <c r="C4973" s="348" t="str">
        <f>DATA_PROPERTY_MASTER!$A$21</f>
        <v>BLD_CD</v>
      </c>
      <c r="D4973" s="380">
        <f>'00_PORTFOLIO ROLLUP'!H$12</f>
        <v>2028</v>
      </c>
      <c r="E4973" s="366" t="s">
        <v>1683</v>
      </c>
      <c r="F4973" s="366" t="s">
        <v>21</v>
      </c>
      <c r="G4973" s="348" t="str">
        <f>"'"&amp;$C4973&amp;"'!$E$45:$Y$45"</f>
        <v>'BLD_CD'!$E$45:$Y$45</v>
      </c>
      <c r="H4973" s="381">
        <f ca="1">IF(IFERROR(INDEX(DATA_PROPERTY_MASTER!$E$5:$E$21,MATCH($C4973,DATA_PROPERTY_MASTER!$A$5:$A$21,0))="Yes",FALSE),IFERROR(INDEX(INDIRECT("'"&amp;$C4973&amp;"'!$E$45:$Y$45"),1,MATCH($D4973,INDIRECT("'"&amp;$C4973&amp;"'!$E$12:$Y$12"),0)),0),0)</f>
        <v>0</v>
      </c>
      <c r="I4973" s="366" t="s">
        <v>1685</v>
      </c>
      <c r="J4973" s="348" t="str">
        <f t="shared" ca="1" si="154"/>
        <v>OK</v>
      </c>
      <c r="K4973" s="366" t="s">
        <v>1694</v>
      </c>
      <c r="L4973" s="366" t="s">
        <v>2242</v>
      </c>
      <c r="M4973" s="350" t="str">
        <f>IF($B4973="Portfolio","Portfolio",IFERROR(INDEX(DATA_ASSET_CLASSIFICATION!$B$8:$B$24,MATCH($C4973,DATA_ASSET_CLASSIFICATION!$A$8:$A$24,0)),"Review"))</f>
        <v>800 Commercial Drive</v>
      </c>
      <c r="N4973" s="350" t="str">
        <f>IF($B4973="Portfolio","Portfolio",IFERROR(INDEX(DATA_ASSET_CLASSIFICATION!$U$8:$U$24,MATCH($C4973,DATA_ASSET_CLASSIFICATION!$A$8:$A$24,0)),"Review"))</f>
        <v>New Build</v>
      </c>
      <c r="O4973" s="350" t="str">
        <f>IF($B4973="Portfolio","Portfolio",IFERROR(INDEX(DATA_ASSET_CLASSIFICATION!$AB$8:$AB$13,MATCH($N4973,DATA_ASSET_CLASSIFICATION!$AA$8:$AA$13,0)),"Review"))</f>
        <v>Bucket 1 · New Build</v>
      </c>
      <c r="P4973" s="350" t="str">
        <f>IF($B4973="Portfolio","Portfolio",IFERROR(INDEX(DATA_ASSET_CLASSIFICATION!$C$8:$C$24,MATCH($C4973,DATA_ASSET_CLASSIFICATION!$A$8:$A$24,0)),"Review"))</f>
        <v>Yes</v>
      </c>
      <c r="Q4973" s="350" t="str">
        <f t="shared" ca="1" si="155"/>
        <v>OK</v>
      </c>
    </row>
    <row r="4974" spans="1:17" ht="30">
      <c r="A4974" s="366" t="s">
        <v>6930</v>
      </c>
      <c r="B4974" s="366" t="s">
        <v>231</v>
      </c>
      <c r="C4974" s="348" t="str">
        <f>DATA_PROPERTY_MASTER!$A$21</f>
        <v>BLD_CD</v>
      </c>
      <c r="D4974" s="380">
        <f>'00_PORTFOLIO ROLLUP'!H$12</f>
        <v>2028</v>
      </c>
      <c r="E4974" s="366" t="s">
        <v>23</v>
      </c>
      <c r="F4974" s="366" t="s">
        <v>23</v>
      </c>
      <c r="G4974" s="348" t="str">
        <f>"'"&amp;$C4974&amp;"'!$E$48:$Y$48"</f>
        <v>'BLD_CD'!$E$48:$Y$48</v>
      </c>
      <c r="H4974" s="381">
        <f ca="1">IF(IFERROR(INDEX(DATA_PROPERTY_MASTER!$E$5:$E$21,MATCH($C4974,DATA_PROPERTY_MASTER!$A$5:$A$21,0))="Yes",FALSE),IFERROR(INDEX(INDIRECT("'"&amp;$C4974&amp;"'!$E$48:$Y$48"),1,MATCH($D4974,INDIRECT("'"&amp;$C4974&amp;"'!$E$12:$Y$12"),0)),0),0)</f>
        <v>2031934.1122314297</v>
      </c>
      <c r="I4974" s="366" t="s">
        <v>1690</v>
      </c>
      <c r="J4974" s="348" t="str">
        <f t="shared" ca="1" si="154"/>
        <v>OK</v>
      </c>
      <c r="K4974" s="366" t="s">
        <v>1706</v>
      </c>
      <c r="L4974" s="366" t="s">
        <v>2244</v>
      </c>
      <c r="M4974" s="350" t="str">
        <f>IF($B4974="Portfolio","Portfolio",IFERROR(INDEX(DATA_ASSET_CLASSIFICATION!$B$8:$B$24,MATCH($C4974,DATA_ASSET_CLASSIFICATION!$A$8:$A$24,0)),"Review"))</f>
        <v>800 Commercial Drive</v>
      </c>
      <c r="N4974" s="350" t="str">
        <f>IF($B4974="Portfolio","Portfolio",IFERROR(INDEX(DATA_ASSET_CLASSIFICATION!$U$8:$U$24,MATCH($C4974,DATA_ASSET_CLASSIFICATION!$A$8:$A$24,0)),"Review"))</f>
        <v>New Build</v>
      </c>
      <c r="O4974" s="350" t="str">
        <f>IF($B4974="Portfolio","Portfolio",IFERROR(INDEX(DATA_ASSET_CLASSIFICATION!$AB$8:$AB$13,MATCH($N4974,DATA_ASSET_CLASSIFICATION!$AA$8:$AA$13,0)),"Review"))</f>
        <v>Bucket 1 · New Build</v>
      </c>
      <c r="P4974" s="350" t="str">
        <f>IF($B4974="Portfolio","Portfolio",IFERROR(INDEX(DATA_ASSET_CLASSIFICATION!$C$8:$C$24,MATCH($C4974,DATA_ASSET_CLASSIFICATION!$A$8:$A$24,0)),"Review"))</f>
        <v>Yes</v>
      </c>
      <c r="Q4974" s="350" t="str">
        <f t="shared" ca="1" si="155"/>
        <v>OK</v>
      </c>
    </row>
    <row r="4975" spans="1:17" ht="30">
      <c r="A4975" s="366" t="s">
        <v>6931</v>
      </c>
      <c r="B4975" s="366" t="s">
        <v>231</v>
      </c>
      <c r="C4975" s="348" t="str">
        <f>DATA_PROPERTY_MASTER!$A$21</f>
        <v>BLD_CD</v>
      </c>
      <c r="D4975" s="380">
        <f>'00_PORTFOLIO ROLLUP'!H$12</f>
        <v>2028</v>
      </c>
      <c r="E4975" s="366" t="s">
        <v>1683</v>
      </c>
      <c r="F4975" s="366" t="s">
        <v>25</v>
      </c>
      <c r="G4975" s="348" t="str">
        <f>"'"&amp;$C4975&amp;"'!$E$52:$Y$52"</f>
        <v>'BLD_CD'!$E$52:$Y$52</v>
      </c>
      <c r="H4975" s="381">
        <f ca="1">IF(IFERROR(INDEX(DATA_PROPERTY_MASTER!$E$5:$E$21,MATCH($C4975,DATA_PROPERTY_MASTER!$A$5:$A$21,0))="Yes",FALSE),IFERROR(INDEX(INDIRECT("'"&amp;$C4975&amp;"'!$E$52:$Y$52"),1,MATCH($D4975,INDIRECT("'"&amp;$C4975&amp;"'!$E$12:$Y$12"),0)),0),0)</f>
        <v>-2031934.1122314297</v>
      </c>
      <c r="I4975" s="366" t="s">
        <v>1685</v>
      </c>
      <c r="J4975" s="348" t="str">
        <f t="shared" ca="1" si="154"/>
        <v>OK</v>
      </c>
      <c r="K4975" s="366" t="s">
        <v>1710</v>
      </c>
      <c r="L4975" s="366" t="s">
        <v>2246</v>
      </c>
      <c r="M4975" s="350" t="str">
        <f>IF($B4975="Portfolio","Portfolio",IFERROR(INDEX(DATA_ASSET_CLASSIFICATION!$B$8:$B$24,MATCH($C4975,DATA_ASSET_CLASSIFICATION!$A$8:$A$24,0)),"Review"))</f>
        <v>800 Commercial Drive</v>
      </c>
      <c r="N4975" s="350" t="str">
        <f>IF($B4975="Portfolio","Portfolio",IFERROR(INDEX(DATA_ASSET_CLASSIFICATION!$U$8:$U$24,MATCH($C4975,DATA_ASSET_CLASSIFICATION!$A$8:$A$24,0)),"Review"))</f>
        <v>New Build</v>
      </c>
      <c r="O4975" s="350" t="str">
        <f>IF($B4975="Portfolio","Portfolio",IFERROR(INDEX(DATA_ASSET_CLASSIFICATION!$AB$8:$AB$13,MATCH($N4975,DATA_ASSET_CLASSIFICATION!$AA$8:$AA$13,0)),"Review"))</f>
        <v>Bucket 1 · New Build</v>
      </c>
      <c r="P4975" s="350" t="str">
        <f>IF($B4975="Portfolio","Portfolio",IFERROR(INDEX(DATA_ASSET_CLASSIFICATION!$C$8:$C$24,MATCH($C4975,DATA_ASSET_CLASSIFICATION!$A$8:$A$24,0)),"Review"))</f>
        <v>Yes</v>
      </c>
      <c r="Q4975" s="350" t="str">
        <f t="shared" ca="1" si="155"/>
        <v>OK</v>
      </c>
    </row>
    <row r="4976" spans="1:17" ht="30">
      <c r="A4976" s="366" t="s">
        <v>6932</v>
      </c>
      <c r="B4976" s="366" t="s">
        <v>231</v>
      </c>
      <c r="C4976" s="348" t="str">
        <f>DATA_PROPERTY_MASTER!$A$21</f>
        <v>BLD_CD</v>
      </c>
      <c r="D4976" s="380">
        <f>'00_PORTFOLIO ROLLUP'!H$12</f>
        <v>2028</v>
      </c>
      <c r="E4976" s="366" t="s">
        <v>1683</v>
      </c>
      <c r="F4976" s="366" t="s">
        <v>27</v>
      </c>
      <c r="G4976" s="348" t="str">
        <f>"'"&amp;$C4976&amp;"'!$E$54:$Y$54"</f>
        <v>'BLD_CD'!$E$54:$Y$54</v>
      </c>
      <c r="H4976" s="381">
        <f ca="1">IF(IFERROR(INDEX(DATA_PROPERTY_MASTER!$E$5:$E$21,MATCH($C4976,DATA_PROPERTY_MASTER!$A$5:$A$21,0))="Yes",FALSE),IFERROR(INDEX(INDIRECT("'"&amp;$C4976&amp;"'!$E$54:$Y$54"),1,MATCH($D4976,INDIRECT("'"&amp;$C4976&amp;"'!$E$12:$Y$12"),0)),0),0)</f>
        <v>0</v>
      </c>
      <c r="I4976" s="366" t="s">
        <v>1690</v>
      </c>
      <c r="J4976" s="348" t="str">
        <f t="shared" ca="1" si="154"/>
        <v>OK</v>
      </c>
      <c r="K4976" s="366" t="s">
        <v>1714</v>
      </c>
      <c r="L4976" s="366" t="s">
        <v>2248</v>
      </c>
      <c r="M4976" s="350" t="str">
        <f>IF($B4976="Portfolio","Portfolio",IFERROR(INDEX(DATA_ASSET_CLASSIFICATION!$B$8:$B$24,MATCH($C4976,DATA_ASSET_CLASSIFICATION!$A$8:$A$24,0)),"Review"))</f>
        <v>800 Commercial Drive</v>
      </c>
      <c r="N4976" s="350" t="str">
        <f>IF($B4976="Portfolio","Portfolio",IFERROR(INDEX(DATA_ASSET_CLASSIFICATION!$U$8:$U$24,MATCH($C4976,DATA_ASSET_CLASSIFICATION!$A$8:$A$24,0)),"Review"))</f>
        <v>New Build</v>
      </c>
      <c r="O4976" s="350" t="str">
        <f>IF($B4976="Portfolio","Portfolio",IFERROR(INDEX(DATA_ASSET_CLASSIFICATION!$AB$8:$AB$13,MATCH($N4976,DATA_ASSET_CLASSIFICATION!$AA$8:$AA$13,0)),"Review"))</f>
        <v>Bucket 1 · New Build</v>
      </c>
      <c r="P4976" s="350" t="str">
        <f>IF($B4976="Portfolio","Portfolio",IFERROR(INDEX(DATA_ASSET_CLASSIFICATION!$C$8:$C$24,MATCH($C4976,DATA_ASSET_CLASSIFICATION!$A$8:$A$24,0)),"Review"))</f>
        <v>Yes</v>
      </c>
      <c r="Q4976" s="350" t="str">
        <f t="shared" ca="1" si="155"/>
        <v>OK</v>
      </c>
    </row>
    <row r="4977" spans="1:17" ht="30">
      <c r="A4977" s="366" t="s">
        <v>6933</v>
      </c>
      <c r="B4977" s="366" t="s">
        <v>231</v>
      </c>
      <c r="C4977" s="348" t="str">
        <f>DATA_PROPERTY_MASTER!$A$21</f>
        <v>BLD_CD</v>
      </c>
      <c r="D4977" s="380">
        <f>'00_PORTFOLIO ROLLUP'!H$12</f>
        <v>2028</v>
      </c>
      <c r="E4977" s="366" t="s">
        <v>1683</v>
      </c>
      <c r="F4977" s="366" t="s">
        <v>29</v>
      </c>
      <c r="G4977" s="348" t="str">
        <f>"'"&amp;$C4977&amp;"'!$E$56:$Y$56"</f>
        <v>'BLD_CD'!$E$56:$Y$56</v>
      </c>
      <c r="H4977" s="381">
        <f ca="1">IF(IFERROR(INDEX(DATA_PROPERTY_MASTER!$E$5:$E$21,MATCH($C4977,DATA_PROPERTY_MASTER!$A$5:$A$21,0))="Yes",FALSE),IFERROR(INDEX(INDIRECT("'"&amp;$C4977&amp;"'!$E$56:$Y$56"),1,MATCH($D4977,INDIRECT("'"&amp;$C4977&amp;"'!$E$12:$Y$12"),0)),0),0)</f>
        <v>-2031934.1122314297</v>
      </c>
      <c r="I4977" s="366" t="s">
        <v>1685</v>
      </c>
      <c r="J4977" s="348" t="str">
        <f t="shared" ca="1" si="154"/>
        <v>OK</v>
      </c>
      <c r="K4977" s="366" t="s">
        <v>1718</v>
      </c>
      <c r="L4977" s="366" t="s">
        <v>2250</v>
      </c>
      <c r="M4977" s="350" t="str">
        <f>IF($B4977="Portfolio","Portfolio",IFERROR(INDEX(DATA_ASSET_CLASSIFICATION!$B$8:$B$24,MATCH($C4977,DATA_ASSET_CLASSIFICATION!$A$8:$A$24,0)),"Review"))</f>
        <v>800 Commercial Drive</v>
      </c>
      <c r="N4977" s="350" t="str">
        <f>IF($B4977="Portfolio","Portfolio",IFERROR(INDEX(DATA_ASSET_CLASSIFICATION!$U$8:$U$24,MATCH($C4977,DATA_ASSET_CLASSIFICATION!$A$8:$A$24,0)),"Review"))</f>
        <v>New Build</v>
      </c>
      <c r="O4977" s="350" t="str">
        <f>IF($B4977="Portfolio","Portfolio",IFERROR(INDEX(DATA_ASSET_CLASSIFICATION!$AB$8:$AB$13,MATCH($N4977,DATA_ASSET_CLASSIFICATION!$AA$8:$AA$13,0)),"Review"))</f>
        <v>Bucket 1 · New Build</v>
      </c>
      <c r="P4977" s="350" t="str">
        <f>IF($B4977="Portfolio","Portfolio",IFERROR(INDEX(DATA_ASSET_CLASSIFICATION!$C$8:$C$24,MATCH($C4977,DATA_ASSET_CLASSIFICATION!$A$8:$A$24,0)),"Review"))</f>
        <v>Yes</v>
      </c>
      <c r="Q4977" s="350" t="str">
        <f t="shared" ca="1" si="155"/>
        <v>OK</v>
      </c>
    </row>
    <row r="4978" spans="1:17" ht="30">
      <c r="A4978" s="366" t="s">
        <v>6934</v>
      </c>
      <c r="B4978" s="366" t="s">
        <v>231</v>
      </c>
      <c r="C4978" s="348" t="str">
        <f>DATA_PROPERTY_MASTER!$A$21</f>
        <v>BLD_CD</v>
      </c>
      <c r="D4978" s="380">
        <f>'00_PORTFOLIO ROLLUP'!H$12</f>
        <v>2028</v>
      </c>
      <c r="E4978" s="366" t="s">
        <v>1721</v>
      </c>
      <c r="F4978" s="366" t="s">
        <v>31</v>
      </c>
      <c r="G4978" s="348" t="str">
        <f>"'"&amp;$C4978&amp;"'!$E$61:$Y$61"</f>
        <v>'BLD_CD'!$E$61:$Y$61</v>
      </c>
      <c r="H4978" s="381">
        <f ca="1">IF(IFERROR(INDEX(DATA_PROPERTY_MASTER!$E$5:$E$21,MATCH($C4978,DATA_PROPERTY_MASTER!$A$5:$A$21,0))="Yes",FALSE),IFERROR(INDEX(INDIRECT("'"&amp;$C4978&amp;"'!$E$61:$Y$61"),1,MATCH($D4978,INDIRECT("'"&amp;$C4978&amp;"'!$E$12:$Y$12"),0)),0),0)</f>
        <v>0</v>
      </c>
      <c r="I4978" s="366" t="s">
        <v>1690</v>
      </c>
      <c r="J4978" s="348" t="str">
        <f t="shared" ca="1" si="154"/>
        <v>OK</v>
      </c>
      <c r="K4978" s="366" t="s">
        <v>1723</v>
      </c>
      <c r="L4978" s="366" t="s">
        <v>2252</v>
      </c>
      <c r="M4978" s="350" t="str">
        <f>IF($B4978="Portfolio","Portfolio",IFERROR(INDEX(DATA_ASSET_CLASSIFICATION!$B$8:$B$24,MATCH($C4978,DATA_ASSET_CLASSIFICATION!$A$8:$A$24,0)),"Review"))</f>
        <v>800 Commercial Drive</v>
      </c>
      <c r="N4978" s="350" t="str">
        <f>IF($B4978="Portfolio","Portfolio",IFERROR(INDEX(DATA_ASSET_CLASSIFICATION!$U$8:$U$24,MATCH($C4978,DATA_ASSET_CLASSIFICATION!$A$8:$A$24,0)),"Review"))</f>
        <v>New Build</v>
      </c>
      <c r="O4978" s="350" t="str">
        <f>IF($B4978="Portfolio","Portfolio",IFERROR(INDEX(DATA_ASSET_CLASSIFICATION!$AB$8:$AB$13,MATCH($N4978,DATA_ASSET_CLASSIFICATION!$AA$8:$AA$13,0)),"Review"))</f>
        <v>Bucket 1 · New Build</v>
      </c>
      <c r="P4978" s="350" t="str">
        <f>IF($B4978="Portfolio","Portfolio",IFERROR(INDEX(DATA_ASSET_CLASSIFICATION!$C$8:$C$24,MATCH($C4978,DATA_ASSET_CLASSIFICATION!$A$8:$A$24,0)),"Review"))</f>
        <v>Yes</v>
      </c>
      <c r="Q4978" s="350" t="str">
        <f t="shared" ca="1" si="155"/>
        <v>OK</v>
      </c>
    </row>
    <row r="4979" spans="1:17" ht="30">
      <c r="A4979" s="366" t="s">
        <v>6935</v>
      </c>
      <c r="B4979" s="366" t="s">
        <v>231</v>
      </c>
      <c r="C4979" s="348" t="str">
        <f>DATA_PROPERTY_MASTER!$A$21</f>
        <v>BLD_CD</v>
      </c>
      <c r="D4979" s="380">
        <f>'00_PORTFOLIO ROLLUP'!H$12</f>
        <v>2028</v>
      </c>
      <c r="E4979" s="366" t="s">
        <v>1721</v>
      </c>
      <c r="F4979" s="366" t="s">
        <v>33</v>
      </c>
      <c r="G4979" s="348" t="str">
        <f>"'"&amp;$C4979&amp;"'!$E$62:$Y$62"</f>
        <v>'BLD_CD'!$E$62:$Y$62</v>
      </c>
      <c r="H4979" s="381">
        <f ca="1">IF(IFERROR(INDEX(DATA_PROPERTY_MASTER!$E$5:$E$21,MATCH($C4979,DATA_PROPERTY_MASTER!$A$5:$A$21,0))="Yes",FALSE),IFERROR(INDEX(INDIRECT("'"&amp;$C4979&amp;"'!$E$62:$Y$62"),1,MATCH($D4979,INDIRECT("'"&amp;$C4979&amp;"'!$E$12:$Y$12"),0)),0),0)</f>
        <v>0</v>
      </c>
      <c r="I4979" s="366" t="s">
        <v>1685</v>
      </c>
      <c r="J4979" s="348" t="str">
        <f t="shared" ca="1" si="154"/>
        <v>OK</v>
      </c>
      <c r="K4979" s="366" t="s">
        <v>1727</v>
      </c>
      <c r="L4979" s="366" t="s">
        <v>2254</v>
      </c>
      <c r="M4979" s="350" t="str">
        <f>IF($B4979="Portfolio","Portfolio",IFERROR(INDEX(DATA_ASSET_CLASSIFICATION!$B$8:$B$24,MATCH($C4979,DATA_ASSET_CLASSIFICATION!$A$8:$A$24,0)),"Review"))</f>
        <v>800 Commercial Drive</v>
      </c>
      <c r="N4979" s="350" t="str">
        <f>IF($B4979="Portfolio","Portfolio",IFERROR(INDEX(DATA_ASSET_CLASSIFICATION!$U$8:$U$24,MATCH($C4979,DATA_ASSET_CLASSIFICATION!$A$8:$A$24,0)),"Review"))</f>
        <v>New Build</v>
      </c>
      <c r="O4979" s="350" t="str">
        <f>IF($B4979="Portfolio","Portfolio",IFERROR(INDEX(DATA_ASSET_CLASSIFICATION!$AB$8:$AB$13,MATCH($N4979,DATA_ASSET_CLASSIFICATION!$AA$8:$AA$13,0)),"Review"))</f>
        <v>Bucket 1 · New Build</v>
      </c>
      <c r="P4979" s="350" t="str">
        <f>IF($B4979="Portfolio","Portfolio",IFERROR(INDEX(DATA_ASSET_CLASSIFICATION!$C$8:$C$24,MATCH($C4979,DATA_ASSET_CLASSIFICATION!$A$8:$A$24,0)),"Review"))</f>
        <v>Yes</v>
      </c>
      <c r="Q4979" s="350" t="str">
        <f t="shared" ca="1" si="155"/>
        <v>OK</v>
      </c>
    </row>
    <row r="4980" spans="1:17" ht="30">
      <c r="A4980" s="366" t="s">
        <v>6936</v>
      </c>
      <c r="B4980" s="366" t="s">
        <v>231</v>
      </c>
      <c r="C4980" s="348" t="str">
        <f>DATA_PROPERTY_MASTER!$A$21</f>
        <v>BLD_CD</v>
      </c>
      <c r="D4980" s="380">
        <f>'00_PORTFOLIO ROLLUP'!H$12</f>
        <v>2028</v>
      </c>
      <c r="E4980" s="366" t="s">
        <v>1721</v>
      </c>
      <c r="F4980" s="366" t="s">
        <v>35</v>
      </c>
      <c r="G4980" s="348" t="str">
        <f>"'"&amp;$C4980&amp;"'!$E$63:$Y$63"</f>
        <v>'BLD_CD'!$E$63:$Y$63</v>
      </c>
      <c r="H4980" s="381">
        <f ca="1">IF(IFERROR(INDEX(DATA_PROPERTY_MASTER!$E$5:$E$21,MATCH($C4980,DATA_PROPERTY_MASTER!$A$5:$A$21,0))="Yes",FALSE),IFERROR(INDEX(INDIRECT("'"&amp;$C4980&amp;"'!$E$63:$Y$63"),1,MATCH($D4980,INDIRECT("'"&amp;$C4980&amp;"'!$E$12:$Y$12"),0)),0),0)</f>
        <v>0</v>
      </c>
      <c r="I4980" s="366" t="s">
        <v>1731</v>
      </c>
      <c r="J4980" s="348" t="str">
        <f t="shared" ca="1" si="154"/>
        <v>OK</v>
      </c>
      <c r="K4980" s="366" t="s">
        <v>1732</v>
      </c>
      <c r="L4980" s="366" t="s">
        <v>2256</v>
      </c>
      <c r="M4980" s="350" t="str">
        <f>IF($B4980="Portfolio","Portfolio",IFERROR(INDEX(DATA_ASSET_CLASSIFICATION!$B$8:$B$24,MATCH($C4980,DATA_ASSET_CLASSIFICATION!$A$8:$A$24,0)),"Review"))</f>
        <v>800 Commercial Drive</v>
      </c>
      <c r="N4980" s="350" t="str">
        <f>IF($B4980="Portfolio","Portfolio",IFERROR(INDEX(DATA_ASSET_CLASSIFICATION!$U$8:$U$24,MATCH($C4980,DATA_ASSET_CLASSIFICATION!$A$8:$A$24,0)),"Review"))</f>
        <v>New Build</v>
      </c>
      <c r="O4980" s="350" t="str">
        <f>IF($B4980="Portfolio","Portfolio",IFERROR(INDEX(DATA_ASSET_CLASSIFICATION!$AB$8:$AB$13,MATCH($N4980,DATA_ASSET_CLASSIFICATION!$AA$8:$AA$13,0)),"Review"))</f>
        <v>Bucket 1 · New Build</v>
      </c>
      <c r="P4980" s="350" t="str">
        <f>IF($B4980="Portfolio","Portfolio",IFERROR(INDEX(DATA_ASSET_CLASSIFICATION!$C$8:$C$24,MATCH($C4980,DATA_ASSET_CLASSIFICATION!$A$8:$A$24,0)),"Review"))</f>
        <v>Yes</v>
      </c>
      <c r="Q4980" s="350" t="str">
        <f t="shared" ca="1" si="155"/>
        <v>OK</v>
      </c>
    </row>
    <row r="4981" spans="1:17" ht="30">
      <c r="A4981" s="366" t="s">
        <v>6937</v>
      </c>
      <c r="B4981" s="366" t="s">
        <v>231</v>
      </c>
      <c r="C4981" s="348" t="str">
        <f>DATA_PROPERTY_MASTER!$A$21</f>
        <v>BLD_CD</v>
      </c>
      <c r="D4981" s="380">
        <f>'00_PORTFOLIO ROLLUP'!H$12</f>
        <v>2028</v>
      </c>
      <c r="E4981" s="366" t="s">
        <v>1721</v>
      </c>
      <c r="F4981" s="366" t="s">
        <v>37</v>
      </c>
      <c r="G4981" s="348" t="str">
        <f>"'"&amp;$C4981&amp;"'!$E$63:$Y$63"</f>
        <v>'BLD_CD'!$E$63:$Y$63</v>
      </c>
      <c r="H4981" s="381">
        <f ca="1">IF(IFERROR(INDEX(DATA_PROPERTY_MASTER!$E$5:$E$21,MATCH($C4981,DATA_PROPERTY_MASTER!$A$5:$A$21,0))="Yes",FALSE),MAX(IFERROR(INDEX(INDIRECT("'"&amp;$C4981&amp;"'!$E$63:$Y$63"),1,MATCH($D4981,INDIRECT("'"&amp;$C4981&amp;"'!$E$12:$Y$12"),0)),0),0),0)</f>
        <v>0</v>
      </c>
      <c r="I4981" s="366" t="s">
        <v>1685</v>
      </c>
      <c r="J4981" s="348" t="str">
        <f t="shared" ca="1" si="154"/>
        <v>OK</v>
      </c>
      <c r="K4981" s="366" t="s">
        <v>1735</v>
      </c>
      <c r="L4981" s="366" t="s">
        <v>2258</v>
      </c>
      <c r="M4981" s="350" t="str">
        <f>IF($B4981="Portfolio","Portfolio",IFERROR(INDEX(DATA_ASSET_CLASSIFICATION!$B$8:$B$24,MATCH($C4981,DATA_ASSET_CLASSIFICATION!$A$8:$A$24,0)),"Review"))</f>
        <v>800 Commercial Drive</v>
      </c>
      <c r="N4981" s="350" t="str">
        <f>IF($B4981="Portfolio","Portfolio",IFERROR(INDEX(DATA_ASSET_CLASSIFICATION!$U$8:$U$24,MATCH($C4981,DATA_ASSET_CLASSIFICATION!$A$8:$A$24,0)),"Review"))</f>
        <v>New Build</v>
      </c>
      <c r="O4981" s="350" t="str">
        <f>IF($B4981="Portfolio","Portfolio",IFERROR(INDEX(DATA_ASSET_CLASSIFICATION!$AB$8:$AB$13,MATCH($N4981,DATA_ASSET_CLASSIFICATION!$AA$8:$AA$13,0)),"Review"))</f>
        <v>Bucket 1 · New Build</v>
      </c>
      <c r="P4981" s="350" t="str">
        <f>IF($B4981="Portfolio","Portfolio",IFERROR(INDEX(DATA_ASSET_CLASSIFICATION!$C$8:$C$24,MATCH($C4981,DATA_ASSET_CLASSIFICATION!$A$8:$A$24,0)),"Review"))</f>
        <v>Yes</v>
      </c>
      <c r="Q4981" s="350" t="str">
        <f t="shared" ca="1" si="155"/>
        <v>OK</v>
      </c>
    </row>
    <row r="4982" spans="1:17" ht="30">
      <c r="A4982" s="366" t="s">
        <v>6938</v>
      </c>
      <c r="B4982" s="366" t="s">
        <v>231</v>
      </c>
      <c r="C4982" s="348" t="str">
        <f>DATA_PROPERTY_MASTER!$A$21</f>
        <v>BLD_CD</v>
      </c>
      <c r="D4982" s="380">
        <f>'00_PORTFOLIO ROLLUP'!H$12</f>
        <v>2028</v>
      </c>
      <c r="E4982" s="366" t="s">
        <v>1721</v>
      </c>
      <c r="F4982" s="366" t="s">
        <v>39</v>
      </c>
      <c r="G4982" s="348" t="str">
        <f>"'"&amp;$C4982&amp;"'!$E$63:$Y$63"</f>
        <v>'BLD_CD'!$E$63:$Y$63</v>
      </c>
      <c r="H4982" s="381">
        <f ca="1">IF(IFERROR(INDEX(DATA_PROPERTY_MASTER!$E$5:$E$21,MATCH($C4982,DATA_PROPERTY_MASTER!$A$5:$A$21,0))="Yes",FALSE),MAX(-IFERROR(INDEX(INDIRECT("'"&amp;$C4982&amp;"'!$E$63:$Y$63"),1,MATCH($D4982,INDIRECT("'"&amp;$C4982&amp;"'!$E$12:$Y$12"),0)),0),0),0)</f>
        <v>0</v>
      </c>
      <c r="I4982" s="366" t="s">
        <v>1690</v>
      </c>
      <c r="J4982" s="348" t="str">
        <f t="shared" ca="1" si="154"/>
        <v>OK</v>
      </c>
      <c r="K4982" s="366" t="s">
        <v>1738</v>
      </c>
      <c r="L4982" s="366" t="s">
        <v>2260</v>
      </c>
      <c r="M4982" s="350" t="str">
        <f>IF($B4982="Portfolio","Portfolio",IFERROR(INDEX(DATA_ASSET_CLASSIFICATION!$B$8:$B$24,MATCH($C4982,DATA_ASSET_CLASSIFICATION!$A$8:$A$24,0)),"Review"))</f>
        <v>800 Commercial Drive</v>
      </c>
      <c r="N4982" s="350" t="str">
        <f>IF($B4982="Portfolio","Portfolio",IFERROR(INDEX(DATA_ASSET_CLASSIFICATION!$U$8:$U$24,MATCH($C4982,DATA_ASSET_CLASSIFICATION!$A$8:$A$24,0)),"Review"))</f>
        <v>New Build</v>
      </c>
      <c r="O4982" s="350" t="str">
        <f>IF($B4982="Portfolio","Portfolio",IFERROR(INDEX(DATA_ASSET_CLASSIFICATION!$AB$8:$AB$13,MATCH($N4982,DATA_ASSET_CLASSIFICATION!$AA$8:$AA$13,0)),"Review"))</f>
        <v>Bucket 1 · New Build</v>
      </c>
      <c r="P4982" s="350" t="str">
        <f>IF($B4982="Portfolio","Portfolio",IFERROR(INDEX(DATA_ASSET_CLASSIFICATION!$C$8:$C$24,MATCH($C4982,DATA_ASSET_CLASSIFICATION!$A$8:$A$24,0)),"Review"))</f>
        <v>Yes</v>
      </c>
      <c r="Q4982" s="350" t="str">
        <f t="shared" ca="1" si="155"/>
        <v>OK</v>
      </c>
    </row>
    <row r="4983" spans="1:17" ht="30">
      <c r="A4983" s="366" t="s">
        <v>6939</v>
      </c>
      <c r="B4983" s="366" t="s">
        <v>231</v>
      </c>
      <c r="C4983" s="348" t="str">
        <f>DATA_PROPERTY_MASTER!$A$21</f>
        <v>BLD_CD</v>
      </c>
      <c r="D4983" s="380">
        <f>'00_PORTFOLIO ROLLUP'!H$12</f>
        <v>2028</v>
      </c>
      <c r="E4983" s="366" t="s">
        <v>1741</v>
      </c>
      <c r="F4983" s="366" t="s">
        <v>41</v>
      </c>
      <c r="G4983" s="348" t="str">
        <f>"'"&amp;$C4983&amp;"'!rows 56 + positive row 63"</f>
        <v>'BLD_CD'!rows 56 + positive row 63</v>
      </c>
      <c r="H4983" s="381">
        <f ca="1">IF(IFERROR(INDEX(DATA_PROPERTY_MASTER!$E$5:$E$21,MATCH($C4983,DATA_PROPERTY_MASTER!$A$5:$A$21,0))="Yes",FALSE),IFERROR(INDEX(INDIRECT("'"&amp;$C4983&amp;"'!$E$56:$Y$56"),1,MATCH($D4983,INDIRECT("'"&amp;$C4983&amp;"'!$E$12:$Y$12"),0)),0)+MAX(IFERROR(INDEX(INDIRECT("'"&amp;$C4983&amp;"'!$E$63:$Y$63"),1,MATCH($D4983,INDIRECT("'"&amp;$C4983&amp;"'!$E$12:$Y$12"),0)),0),0),0)</f>
        <v>-2031934.1122314297</v>
      </c>
      <c r="I4983" s="366" t="s">
        <v>1685</v>
      </c>
      <c r="J4983" s="348" t="str">
        <f t="shared" ca="1" si="154"/>
        <v>OK</v>
      </c>
      <c r="K4983" s="366" t="s">
        <v>1742</v>
      </c>
      <c r="L4983" s="366" t="s">
        <v>2262</v>
      </c>
      <c r="M4983" s="350" t="str">
        <f>IF($B4983="Portfolio","Portfolio",IFERROR(INDEX(DATA_ASSET_CLASSIFICATION!$B$8:$B$24,MATCH($C4983,DATA_ASSET_CLASSIFICATION!$A$8:$A$24,0)),"Review"))</f>
        <v>800 Commercial Drive</v>
      </c>
      <c r="N4983" s="350" t="str">
        <f>IF($B4983="Portfolio","Portfolio",IFERROR(INDEX(DATA_ASSET_CLASSIFICATION!$U$8:$U$24,MATCH($C4983,DATA_ASSET_CLASSIFICATION!$A$8:$A$24,0)),"Review"))</f>
        <v>New Build</v>
      </c>
      <c r="O4983" s="350" t="str">
        <f>IF($B4983="Portfolio","Portfolio",IFERROR(INDEX(DATA_ASSET_CLASSIFICATION!$AB$8:$AB$13,MATCH($N4983,DATA_ASSET_CLASSIFICATION!$AA$8:$AA$13,0)),"Review"))</f>
        <v>Bucket 1 · New Build</v>
      </c>
      <c r="P4983" s="350" t="str">
        <f>IF($B4983="Portfolio","Portfolio",IFERROR(INDEX(DATA_ASSET_CLASSIFICATION!$C$8:$C$24,MATCH($C4983,DATA_ASSET_CLASSIFICATION!$A$8:$A$24,0)),"Review"))</f>
        <v>Yes</v>
      </c>
      <c r="Q4983" s="350" t="str">
        <f t="shared" ca="1" si="155"/>
        <v>OK</v>
      </c>
    </row>
    <row r="4984" spans="1:17" ht="30">
      <c r="A4984" s="366" t="s">
        <v>6940</v>
      </c>
      <c r="B4984" s="366" t="s">
        <v>231</v>
      </c>
      <c r="C4984" s="348" t="str">
        <f>DATA_PROPERTY_MASTER!$A$21</f>
        <v>BLD_CD</v>
      </c>
      <c r="D4984" s="380">
        <f>'00_PORTFOLIO ROLLUP'!H$12</f>
        <v>2028</v>
      </c>
      <c r="E4984" s="366" t="s">
        <v>1741</v>
      </c>
      <c r="F4984" s="366" t="s">
        <v>43</v>
      </c>
      <c r="G4984" s="348" t="str">
        <f>"'"&amp;$C4984&amp;"'!$E$68:$Y$68"</f>
        <v>'BLD_CD'!$E$68:$Y$68</v>
      </c>
      <c r="H4984" s="381">
        <f ca="1">IF(IFERROR(INDEX(DATA_PROPERTY_MASTER!$E$5:$E$21,MATCH($C4984,DATA_PROPERTY_MASTER!$A$5:$A$21,0))="Yes",FALSE),IFERROR(INDEX(INDIRECT("'"&amp;$C4984&amp;"'!$E$68:$Y$68"),1,MATCH($D4984,INDIRECT("'"&amp;$C4984&amp;"'!$E$12:$Y$12"),0)),0),0)</f>
        <v>-2031934.1122314297</v>
      </c>
      <c r="I4984" s="366" t="s">
        <v>1731</v>
      </c>
      <c r="J4984" s="348" t="str">
        <f t="shared" ca="1" si="154"/>
        <v>OK</v>
      </c>
      <c r="K4984" s="366" t="s">
        <v>1746</v>
      </c>
      <c r="L4984" s="366" t="s">
        <v>2264</v>
      </c>
      <c r="M4984" s="350" t="str">
        <f>IF($B4984="Portfolio","Portfolio",IFERROR(INDEX(DATA_ASSET_CLASSIFICATION!$B$8:$B$24,MATCH($C4984,DATA_ASSET_CLASSIFICATION!$A$8:$A$24,0)),"Review"))</f>
        <v>800 Commercial Drive</v>
      </c>
      <c r="N4984" s="350" t="str">
        <f>IF($B4984="Portfolio","Portfolio",IFERROR(INDEX(DATA_ASSET_CLASSIFICATION!$U$8:$U$24,MATCH($C4984,DATA_ASSET_CLASSIFICATION!$A$8:$A$24,0)),"Review"))</f>
        <v>New Build</v>
      </c>
      <c r="O4984" s="350" t="str">
        <f>IF($B4984="Portfolio","Portfolio",IFERROR(INDEX(DATA_ASSET_CLASSIFICATION!$AB$8:$AB$13,MATCH($N4984,DATA_ASSET_CLASSIFICATION!$AA$8:$AA$13,0)),"Review"))</f>
        <v>Bucket 1 · New Build</v>
      </c>
      <c r="P4984" s="350" t="str">
        <f>IF($B4984="Portfolio","Portfolio",IFERROR(INDEX(DATA_ASSET_CLASSIFICATION!$C$8:$C$24,MATCH($C4984,DATA_ASSET_CLASSIFICATION!$A$8:$A$24,0)),"Review"))</f>
        <v>Yes</v>
      </c>
      <c r="Q4984" s="350" t="str">
        <f t="shared" ca="1" si="155"/>
        <v>OK</v>
      </c>
    </row>
    <row r="4985" spans="1:17" ht="30">
      <c r="A4985" s="366" t="s">
        <v>6941</v>
      </c>
      <c r="B4985" s="366" t="s">
        <v>231</v>
      </c>
      <c r="C4985" s="348" t="str">
        <f>DATA_PROPERTY_MASTER!$A$21</f>
        <v>BLD_CD</v>
      </c>
      <c r="D4985" s="380">
        <f>'00_PORTFOLIO ROLLUP'!H$12</f>
        <v>2028</v>
      </c>
      <c r="E4985" s="366" t="s">
        <v>1741</v>
      </c>
      <c r="F4985" s="366" t="s">
        <v>1749</v>
      </c>
      <c r="G4985" s="348" t="str">
        <f>"'"&amp;$C4985&amp;"'!rows 56, 63, 68"</f>
        <v>'BLD_CD'!rows 56, 63, 68</v>
      </c>
      <c r="H4985" s="381">
        <f ca="1">IF(IFERROR(INDEX(DATA_PROPERTY_MASTER!$E$5:$E$21,MATCH($C4985,DATA_PROPERTY_MASTER!$A$5:$A$21,0))="Yes",FALSE),(IFERROR(INDEX(INDIRECT("'"&amp;$C4985&amp;"'!$E$56:$Y$56"),1,MATCH($D4985,INDIRECT("'"&amp;$C4985&amp;"'!$E$12:$Y$12"),0)),0)+MAX(IFERROR(INDEX(INDIRECT("'"&amp;$C4985&amp;"'!$E$63:$Y$63"),1,MATCH($D4985,INDIRECT("'"&amp;$C4985&amp;"'!$E$12:$Y$12"),0)),0),0))-(IFERROR(INDEX(INDIRECT("'"&amp;$C4985&amp;"'!$E$68:$Y$68"),1,MATCH($D4985,INDIRECT("'"&amp;$C4985&amp;"'!$E$12:$Y$12"),0)),0)),0)</f>
        <v>0</v>
      </c>
      <c r="I4985" s="366" t="s">
        <v>1750</v>
      </c>
      <c r="J4985" s="348" t="str">
        <f t="shared" ca="1" si="154"/>
        <v>OK</v>
      </c>
      <c r="K4985" s="366" t="s">
        <v>1751</v>
      </c>
      <c r="L4985" s="366" t="s">
        <v>2266</v>
      </c>
      <c r="M4985" s="350" t="str">
        <f>IF($B4985="Portfolio","Portfolio",IFERROR(INDEX(DATA_ASSET_CLASSIFICATION!$B$8:$B$24,MATCH($C4985,DATA_ASSET_CLASSIFICATION!$A$8:$A$24,0)),"Review"))</f>
        <v>800 Commercial Drive</v>
      </c>
      <c r="N4985" s="350" t="str">
        <f>IF($B4985="Portfolio","Portfolio",IFERROR(INDEX(DATA_ASSET_CLASSIFICATION!$U$8:$U$24,MATCH($C4985,DATA_ASSET_CLASSIFICATION!$A$8:$A$24,0)),"Review"))</f>
        <v>New Build</v>
      </c>
      <c r="O4985" s="350" t="str">
        <f>IF($B4985="Portfolio","Portfolio",IFERROR(INDEX(DATA_ASSET_CLASSIFICATION!$AB$8:$AB$13,MATCH($N4985,DATA_ASSET_CLASSIFICATION!$AA$8:$AA$13,0)),"Review"))</f>
        <v>Bucket 1 · New Build</v>
      </c>
      <c r="P4985" s="350" t="str">
        <f>IF($B4985="Portfolio","Portfolio",IFERROR(INDEX(DATA_ASSET_CLASSIFICATION!$C$8:$C$24,MATCH($C4985,DATA_ASSET_CLASSIFICATION!$A$8:$A$24,0)),"Review"))</f>
        <v>Yes</v>
      </c>
      <c r="Q4985" s="350" t="str">
        <f t="shared" ca="1" si="155"/>
        <v>OK</v>
      </c>
    </row>
    <row r="4986" spans="1:17" ht="30">
      <c r="A4986" s="366" t="s">
        <v>6942</v>
      </c>
      <c r="B4986" s="366" t="s">
        <v>231</v>
      </c>
      <c r="C4986" s="348" t="str">
        <f>DATA_PROPERTY_MASTER!$A$21</f>
        <v>BLD_CD</v>
      </c>
      <c r="D4986" s="380">
        <f>'00_PORTFOLIO ROLLUP'!I$12</f>
        <v>2029</v>
      </c>
      <c r="E4986" s="366" t="s">
        <v>1683</v>
      </c>
      <c r="F4986" s="366" t="s">
        <v>341</v>
      </c>
      <c r="G4986" s="348" t="str">
        <f>"'"&amp;$C4986&amp;"'!$E$24:$Y$24"</f>
        <v>'BLD_CD'!$E$24:$Y$24</v>
      </c>
      <c r="H4986" s="381">
        <f ca="1">IF(IFERROR(INDEX(DATA_PROPERTY_MASTER!$E$5:$E$21,MATCH($C4986,DATA_PROPERTY_MASTER!$A$5:$A$21,0))="Yes",FALSE),IFERROR(INDEX(INDIRECT("'"&amp;$C4986&amp;"'!$E$24:$Y$24"),1,MATCH($D4986,INDIRECT("'"&amp;$C4986&amp;"'!$E$12:$Y$12"),0)),0),0)</f>
        <v>2210070.2178953062</v>
      </c>
      <c r="I4986" s="366" t="s">
        <v>1685</v>
      </c>
      <c r="J4986" s="348" t="str">
        <f t="shared" ca="1" si="154"/>
        <v>OK</v>
      </c>
      <c r="K4986" s="366" t="s">
        <v>1686</v>
      </c>
      <c r="L4986" s="366" t="s">
        <v>2234</v>
      </c>
      <c r="M4986" s="350" t="str">
        <f>IF($B4986="Portfolio","Portfolio",IFERROR(INDEX(DATA_ASSET_CLASSIFICATION!$B$8:$B$24,MATCH($C4986,DATA_ASSET_CLASSIFICATION!$A$8:$A$24,0)),"Review"))</f>
        <v>800 Commercial Drive</v>
      </c>
      <c r="N4986" s="350" t="str">
        <f>IF($B4986="Portfolio","Portfolio",IFERROR(INDEX(DATA_ASSET_CLASSIFICATION!$U$8:$U$24,MATCH($C4986,DATA_ASSET_CLASSIFICATION!$A$8:$A$24,0)),"Review"))</f>
        <v>New Build</v>
      </c>
      <c r="O4986" s="350" t="str">
        <f>IF($B4986="Portfolio","Portfolio",IFERROR(INDEX(DATA_ASSET_CLASSIFICATION!$AB$8:$AB$13,MATCH($N4986,DATA_ASSET_CLASSIFICATION!$AA$8:$AA$13,0)),"Review"))</f>
        <v>Bucket 1 · New Build</v>
      </c>
      <c r="P4986" s="350" t="str">
        <f>IF($B4986="Portfolio","Portfolio",IFERROR(INDEX(DATA_ASSET_CLASSIFICATION!$C$8:$C$24,MATCH($C4986,DATA_ASSET_CLASSIFICATION!$A$8:$A$24,0)),"Review"))</f>
        <v>Yes</v>
      </c>
      <c r="Q4986" s="350" t="str">
        <f t="shared" ca="1" si="155"/>
        <v>OK</v>
      </c>
    </row>
    <row r="4987" spans="1:17" ht="30">
      <c r="A4987" s="366" t="s">
        <v>6943</v>
      </c>
      <c r="B4987" s="366" t="s">
        <v>231</v>
      </c>
      <c r="C4987" s="348" t="str">
        <f>DATA_PROPERTY_MASTER!$A$21</f>
        <v>BLD_CD</v>
      </c>
      <c r="D4987" s="380">
        <f>'00_PORTFOLIO ROLLUP'!I$12</f>
        <v>2029</v>
      </c>
      <c r="E4987" s="366" t="s">
        <v>1683</v>
      </c>
      <c r="F4987" s="366" t="s">
        <v>355</v>
      </c>
      <c r="G4987" s="348" t="str">
        <f>"'"&amp;$C4987&amp;"'!$E$39:$Y$39"</f>
        <v>'BLD_CD'!$E$39:$Y$39</v>
      </c>
      <c r="H4987" s="381">
        <f ca="1">IF(IFERROR(INDEX(DATA_PROPERTY_MASTER!$E$5:$E$21,MATCH($C4987,DATA_PROPERTY_MASTER!$A$5:$A$21,0))="Yes",FALSE),IFERROR(INDEX(INDIRECT("'"&amp;$C4987&amp;"'!$E$39:$Y$39"),1,MATCH($D4987,INDIRECT("'"&amp;$C4987&amp;"'!$E$12:$Y$12"),0)),0),0)</f>
        <v>735196.44217344013</v>
      </c>
      <c r="I4987" s="366" t="s">
        <v>1690</v>
      </c>
      <c r="J4987" s="348" t="str">
        <f t="shared" ca="1" si="154"/>
        <v>OK</v>
      </c>
      <c r="K4987" s="366" t="s">
        <v>1686</v>
      </c>
      <c r="L4987" s="366" t="s">
        <v>2236</v>
      </c>
      <c r="M4987" s="350" t="str">
        <f>IF($B4987="Portfolio","Portfolio",IFERROR(INDEX(DATA_ASSET_CLASSIFICATION!$B$8:$B$24,MATCH($C4987,DATA_ASSET_CLASSIFICATION!$A$8:$A$24,0)),"Review"))</f>
        <v>800 Commercial Drive</v>
      </c>
      <c r="N4987" s="350" t="str">
        <f>IF($B4987="Portfolio","Portfolio",IFERROR(INDEX(DATA_ASSET_CLASSIFICATION!$U$8:$U$24,MATCH($C4987,DATA_ASSET_CLASSIFICATION!$A$8:$A$24,0)),"Review"))</f>
        <v>New Build</v>
      </c>
      <c r="O4987" s="350" t="str">
        <f>IF($B4987="Portfolio","Portfolio",IFERROR(INDEX(DATA_ASSET_CLASSIFICATION!$AB$8:$AB$13,MATCH($N4987,DATA_ASSET_CLASSIFICATION!$AA$8:$AA$13,0)),"Review"))</f>
        <v>Bucket 1 · New Build</v>
      </c>
      <c r="P4987" s="350" t="str">
        <f>IF($B4987="Portfolio","Portfolio",IFERROR(INDEX(DATA_ASSET_CLASSIFICATION!$C$8:$C$24,MATCH($C4987,DATA_ASSET_CLASSIFICATION!$A$8:$A$24,0)),"Review"))</f>
        <v>Yes</v>
      </c>
      <c r="Q4987" s="350" t="str">
        <f t="shared" ca="1" si="155"/>
        <v>OK</v>
      </c>
    </row>
    <row r="4988" spans="1:17" ht="30">
      <c r="A4988" s="366" t="s">
        <v>6944</v>
      </c>
      <c r="B4988" s="366" t="s">
        <v>231</v>
      </c>
      <c r="C4988" s="348" t="str">
        <f>DATA_PROPERTY_MASTER!$A$21</f>
        <v>BLD_CD</v>
      </c>
      <c r="D4988" s="380">
        <f>'00_PORTFOLIO ROLLUP'!I$12</f>
        <v>2029</v>
      </c>
      <c r="E4988" s="366" t="s">
        <v>1683</v>
      </c>
      <c r="F4988" s="366" t="s">
        <v>19</v>
      </c>
      <c r="G4988" s="348" t="str">
        <f>"'"&amp;$C4988&amp;"'!$E$41:$Y$41"</f>
        <v>'BLD_CD'!$E$41:$Y$41</v>
      </c>
      <c r="H4988" s="381">
        <f ca="1">IF(IFERROR(INDEX(DATA_PROPERTY_MASTER!$E$5:$E$21,MATCH($C4988,DATA_PROPERTY_MASTER!$A$5:$A$21,0))="Yes",FALSE),IFERROR(INDEX(INDIRECT("'"&amp;$C4988&amp;"'!$E$41:$Y$41"),1,MATCH($D4988,INDIRECT("'"&amp;$C4988&amp;"'!$E$12:$Y$12"),0)),0),0)</f>
        <v>1474873.7757218662</v>
      </c>
      <c r="I4988" s="366" t="s">
        <v>1685</v>
      </c>
      <c r="J4988" s="348" t="str">
        <f t="shared" ca="1" si="154"/>
        <v>OK</v>
      </c>
      <c r="K4988" s="366" t="s">
        <v>1694</v>
      </c>
      <c r="L4988" s="366" t="s">
        <v>2238</v>
      </c>
      <c r="M4988" s="350" t="str">
        <f>IF($B4988="Portfolio","Portfolio",IFERROR(INDEX(DATA_ASSET_CLASSIFICATION!$B$8:$B$24,MATCH($C4988,DATA_ASSET_CLASSIFICATION!$A$8:$A$24,0)),"Review"))</f>
        <v>800 Commercial Drive</v>
      </c>
      <c r="N4988" s="350" t="str">
        <f>IF($B4988="Portfolio","Portfolio",IFERROR(INDEX(DATA_ASSET_CLASSIFICATION!$U$8:$U$24,MATCH($C4988,DATA_ASSET_CLASSIFICATION!$A$8:$A$24,0)),"Review"))</f>
        <v>New Build</v>
      </c>
      <c r="O4988" s="350" t="str">
        <f>IF($B4988="Portfolio","Portfolio",IFERROR(INDEX(DATA_ASSET_CLASSIFICATION!$AB$8:$AB$13,MATCH($N4988,DATA_ASSET_CLASSIFICATION!$AA$8:$AA$13,0)),"Review"))</f>
        <v>Bucket 1 · New Build</v>
      </c>
      <c r="P4988" s="350" t="str">
        <f>IF($B4988="Portfolio","Portfolio",IFERROR(INDEX(DATA_ASSET_CLASSIFICATION!$C$8:$C$24,MATCH($C4988,DATA_ASSET_CLASSIFICATION!$A$8:$A$24,0)),"Review"))</f>
        <v>Yes</v>
      </c>
      <c r="Q4988" s="350" t="str">
        <f t="shared" ca="1" si="155"/>
        <v>OK</v>
      </c>
    </row>
    <row r="4989" spans="1:17" ht="30">
      <c r="A4989" s="366" t="s">
        <v>6945</v>
      </c>
      <c r="B4989" s="366" t="s">
        <v>231</v>
      </c>
      <c r="C4989" s="348" t="str">
        <f>DATA_PROPERTY_MASTER!$A$21</f>
        <v>BLD_CD</v>
      </c>
      <c r="D4989" s="380">
        <f>'00_PORTFOLIO ROLLUP'!I$12</f>
        <v>2029</v>
      </c>
      <c r="E4989" s="366" t="s">
        <v>1683</v>
      </c>
      <c r="F4989" s="366" t="s">
        <v>1697</v>
      </c>
      <c r="G4989" s="348" t="str">
        <f>"'"&amp;$C4989&amp;"'!$E$44:$Y$44"</f>
        <v>'BLD_CD'!$E$44:$Y$44</v>
      </c>
      <c r="H4989" s="381">
        <f ca="1">IF(IFERROR(INDEX(DATA_PROPERTY_MASTER!$E$5:$E$21,MATCH($C4989,DATA_PROPERTY_MASTER!$A$5:$A$21,0))="Yes",FALSE),IFERROR(INDEX(INDIRECT("'"&amp;$C4989&amp;"'!$E$44:$Y$44"),1,MATCH($D4989,INDIRECT("'"&amp;$C4989&amp;"'!$E$12:$Y$12"),0)),0),0)</f>
        <v>15099.928631999999</v>
      </c>
      <c r="I4989" s="366" t="s">
        <v>1690</v>
      </c>
      <c r="J4989" s="348" t="str">
        <f t="shared" ca="1" si="154"/>
        <v>OK</v>
      </c>
      <c r="K4989" s="366" t="s">
        <v>1699</v>
      </c>
      <c r="L4989" s="366" t="s">
        <v>2240</v>
      </c>
      <c r="M4989" s="350" t="str">
        <f>IF($B4989="Portfolio","Portfolio",IFERROR(INDEX(DATA_ASSET_CLASSIFICATION!$B$8:$B$24,MATCH($C4989,DATA_ASSET_CLASSIFICATION!$A$8:$A$24,0)),"Review"))</f>
        <v>800 Commercial Drive</v>
      </c>
      <c r="N4989" s="350" t="str">
        <f>IF($B4989="Portfolio","Portfolio",IFERROR(INDEX(DATA_ASSET_CLASSIFICATION!$U$8:$U$24,MATCH($C4989,DATA_ASSET_CLASSIFICATION!$A$8:$A$24,0)),"Review"))</f>
        <v>New Build</v>
      </c>
      <c r="O4989" s="350" t="str">
        <f>IF($B4989="Portfolio","Portfolio",IFERROR(INDEX(DATA_ASSET_CLASSIFICATION!$AB$8:$AB$13,MATCH($N4989,DATA_ASSET_CLASSIFICATION!$AA$8:$AA$13,0)),"Review"))</f>
        <v>Bucket 1 · New Build</v>
      </c>
      <c r="P4989" s="350" t="str">
        <f>IF($B4989="Portfolio","Portfolio",IFERROR(INDEX(DATA_ASSET_CLASSIFICATION!$C$8:$C$24,MATCH($C4989,DATA_ASSET_CLASSIFICATION!$A$8:$A$24,0)),"Review"))</f>
        <v>Yes</v>
      </c>
      <c r="Q4989" s="350" t="str">
        <f t="shared" ca="1" si="155"/>
        <v>OK</v>
      </c>
    </row>
    <row r="4990" spans="1:17" ht="30">
      <c r="A4990" s="366" t="s">
        <v>6946</v>
      </c>
      <c r="B4990" s="366" t="s">
        <v>231</v>
      </c>
      <c r="C4990" s="348" t="str">
        <f>DATA_PROPERTY_MASTER!$A$21</f>
        <v>BLD_CD</v>
      </c>
      <c r="D4990" s="380">
        <f>'00_PORTFOLIO ROLLUP'!I$12</f>
        <v>2029</v>
      </c>
      <c r="E4990" s="366" t="s">
        <v>1683</v>
      </c>
      <c r="F4990" s="366" t="s">
        <v>21</v>
      </c>
      <c r="G4990" s="348" t="str">
        <f>"'"&amp;$C4990&amp;"'!$E$45:$Y$45"</f>
        <v>'BLD_CD'!$E$45:$Y$45</v>
      </c>
      <c r="H4990" s="381">
        <f ca="1">IF(IFERROR(INDEX(DATA_PROPERTY_MASTER!$E$5:$E$21,MATCH($C4990,DATA_PROPERTY_MASTER!$A$5:$A$21,0))="Yes",FALSE),IFERROR(INDEX(INDIRECT("'"&amp;$C4990&amp;"'!$E$45:$Y$45"),1,MATCH($D4990,INDIRECT("'"&amp;$C4990&amp;"'!$E$12:$Y$12"),0)),0),0)</f>
        <v>1459773.8470898662</v>
      </c>
      <c r="I4990" s="366" t="s">
        <v>1685</v>
      </c>
      <c r="J4990" s="348" t="str">
        <f t="shared" ca="1" si="154"/>
        <v>OK</v>
      </c>
      <c r="K4990" s="366" t="s">
        <v>1694</v>
      </c>
      <c r="L4990" s="366" t="s">
        <v>2242</v>
      </c>
      <c r="M4990" s="350" t="str">
        <f>IF($B4990="Portfolio","Portfolio",IFERROR(INDEX(DATA_ASSET_CLASSIFICATION!$B$8:$B$24,MATCH($C4990,DATA_ASSET_CLASSIFICATION!$A$8:$A$24,0)),"Review"))</f>
        <v>800 Commercial Drive</v>
      </c>
      <c r="N4990" s="350" t="str">
        <f>IF($B4990="Portfolio","Portfolio",IFERROR(INDEX(DATA_ASSET_CLASSIFICATION!$U$8:$U$24,MATCH($C4990,DATA_ASSET_CLASSIFICATION!$A$8:$A$24,0)),"Review"))</f>
        <v>New Build</v>
      </c>
      <c r="O4990" s="350" t="str">
        <f>IF($B4990="Portfolio","Portfolio",IFERROR(INDEX(DATA_ASSET_CLASSIFICATION!$AB$8:$AB$13,MATCH($N4990,DATA_ASSET_CLASSIFICATION!$AA$8:$AA$13,0)),"Review"))</f>
        <v>Bucket 1 · New Build</v>
      </c>
      <c r="P4990" s="350" t="str">
        <f>IF($B4990="Portfolio","Portfolio",IFERROR(INDEX(DATA_ASSET_CLASSIFICATION!$C$8:$C$24,MATCH($C4990,DATA_ASSET_CLASSIFICATION!$A$8:$A$24,0)),"Review"))</f>
        <v>Yes</v>
      </c>
      <c r="Q4990" s="350" t="str">
        <f t="shared" ca="1" si="155"/>
        <v>OK</v>
      </c>
    </row>
    <row r="4991" spans="1:17" ht="30">
      <c r="A4991" s="366" t="s">
        <v>6947</v>
      </c>
      <c r="B4991" s="366" t="s">
        <v>231</v>
      </c>
      <c r="C4991" s="348" t="str">
        <f>DATA_PROPERTY_MASTER!$A$21</f>
        <v>BLD_CD</v>
      </c>
      <c r="D4991" s="380">
        <f>'00_PORTFOLIO ROLLUP'!I$12</f>
        <v>2029</v>
      </c>
      <c r="E4991" s="366" t="s">
        <v>23</v>
      </c>
      <c r="F4991" s="366" t="s">
        <v>23</v>
      </c>
      <c r="G4991" s="348" t="str">
        <f>"'"&amp;$C4991&amp;"'!$E$48:$Y$48"</f>
        <v>'BLD_CD'!$E$48:$Y$48</v>
      </c>
      <c r="H4991" s="381">
        <f ca="1">IF(IFERROR(INDEX(DATA_PROPERTY_MASTER!$E$5:$E$21,MATCH($C4991,DATA_PROPERTY_MASTER!$A$5:$A$21,0))="Yes",FALSE),IFERROR(INDEX(INDIRECT("'"&amp;$C4991&amp;"'!$E$48:$Y$48"),1,MATCH($D4991,INDIRECT("'"&amp;$C4991&amp;"'!$E$12:$Y$12"),0)),0),0)</f>
        <v>2031934.1122314297</v>
      </c>
      <c r="I4991" s="366" t="s">
        <v>1690</v>
      </c>
      <c r="J4991" s="348" t="str">
        <f t="shared" ca="1" si="154"/>
        <v>OK</v>
      </c>
      <c r="K4991" s="366" t="s">
        <v>1706</v>
      </c>
      <c r="L4991" s="366" t="s">
        <v>2244</v>
      </c>
      <c r="M4991" s="350" t="str">
        <f>IF($B4991="Portfolio","Portfolio",IFERROR(INDEX(DATA_ASSET_CLASSIFICATION!$B$8:$B$24,MATCH($C4991,DATA_ASSET_CLASSIFICATION!$A$8:$A$24,0)),"Review"))</f>
        <v>800 Commercial Drive</v>
      </c>
      <c r="N4991" s="350" t="str">
        <f>IF($B4991="Portfolio","Portfolio",IFERROR(INDEX(DATA_ASSET_CLASSIFICATION!$U$8:$U$24,MATCH($C4991,DATA_ASSET_CLASSIFICATION!$A$8:$A$24,0)),"Review"))</f>
        <v>New Build</v>
      </c>
      <c r="O4991" s="350" t="str">
        <f>IF($B4991="Portfolio","Portfolio",IFERROR(INDEX(DATA_ASSET_CLASSIFICATION!$AB$8:$AB$13,MATCH($N4991,DATA_ASSET_CLASSIFICATION!$AA$8:$AA$13,0)),"Review"))</f>
        <v>Bucket 1 · New Build</v>
      </c>
      <c r="P4991" s="350" t="str">
        <f>IF($B4991="Portfolio","Portfolio",IFERROR(INDEX(DATA_ASSET_CLASSIFICATION!$C$8:$C$24,MATCH($C4991,DATA_ASSET_CLASSIFICATION!$A$8:$A$24,0)),"Review"))</f>
        <v>Yes</v>
      </c>
      <c r="Q4991" s="350" t="str">
        <f t="shared" ca="1" si="155"/>
        <v>OK</v>
      </c>
    </row>
    <row r="4992" spans="1:17" ht="30">
      <c r="A4992" s="366" t="s">
        <v>6948</v>
      </c>
      <c r="B4992" s="366" t="s">
        <v>231</v>
      </c>
      <c r="C4992" s="348" t="str">
        <f>DATA_PROPERTY_MASTER!$A$21</f>
        <v>BLD_CD</v>
      </c>
      <c r="D4992" s="380">
        <f>'00_PORTFOLIO ROLLUP'!I$12</f>
        <v>2029</v>
      </c>
      <c r="E4992" s="366" t="s">
        <v>1683</v>
      </c>
      <c r="F4992" s="366" t="s">
        <v>25</v>
      </c>
      <c r="G4992" s="348" t="str">
        <f>"'"&amp;$C4992&amp;"'!$E$52:$Y$52"</f>
        <v>'BLD_CD'!$E$52:$Y$52</v>
      </c>
      <c r="H4992" s="381">
        <f ca="1">IF(IFERROR(INDEX(DATA_PROPERTY_MASTER!$E$5:$E$21,MATCH($C4992,DATA_PROPERTY_MASTER!$A$5:$A$21,0))="Yes",FALSE),IFERROR(INDEX(INDIRECT("'"&amp;$C4992&amp;"'!$E$52:$Y$52"),1,MATCH($D4992,INDIRECT("'"&amp;$C4992&amp;"'!$E$12:$Y$12"),0)),0),0)</f>
        <v>-557060.33650956349</v>
      </c>
      <c r="I4992" s="366" t="s">
        <v>1685</v>
      </c>
      <c r="J4992" s="348" t="str">
        <f t="shared" ca="1" si="154"/>
        <v>OK</v>
      </c>
      <c r="K4992" s="366" t="s">
        <v>1710</v>
      </c>
      <c r="L4992" s="366" t="s">
        <v>2246</v>
      </c>
      <c r="M4992" s="350" t="str">
        <f>IF($B4992="Portfolio","Portfolio",IFERROR(INDEX(DATA_ASSET_CLASSIFICATION!$B$8:$B$24,MATCH($C4992,DATA_ASSET_CLASSIFICATION!$A$8:$A$24,0)),"Review"))</f>
        <v>800 Commercial Drive</v>
      </c>
      <c r="N4992" s="350" t="str">
        <f>IF($B4992="Portfolio","Portfolio",IFERROR(INDEX(DATA_ASSET_CLASSIFICATION!$U$8:$U$24,MATCH($C4992,DATA_ASSET_CLASSIFICATION!$A$8:$A$24,0)),"Review"))</f>
        <v>New Build</v>
      </c>
      <c r="O4992" s="350" t="str">
        <f>IF($B4992="Portfolio","Portfolio",IFERROR(INDEX(DATA_ASSET_CLASSIFICATION!$AB$8:$AB$13,MATCH($N4992,DATA_ASSET_CLASSIFICATION!$AA$8:$AA$13,0)),"Review"))</f>
        <v>Bucket 1 · New Build</v>
      </c>
      <c r="P4992" s="350" t="str">
        <f>IF($B4992="Portfolio","Portfolio",IFERROR(INDEX(DATA_ASSET_CLASSIFICATION!$C$8:$C$24,MATCH($C4992,DATA_ASSET_CLASSIFICATION!$A$8:$A$24,0)),"Review"))</f>
        <v>Yes</v>
      </c>
      <c r="Q4992" s="350" t="str">
        <f t="shared" ca="1" si="155"/>
        <v>OK</v>
      </c>
    </row>
    <row r="4993" spans="1:17" ht="30">
      <c r="A4993" s="366" t="s">
        <v>6949</v>
      </c>
      <c r="B4993" s="366" t="s">
        <v>231</v>
      </c>
      <c r="C4993" s="348" t="str">
        <f>DATA_PROPERTY_MASTER!$A$21</f>
        <v>BLD_CD</v>
      </c>
      <c r="D4993" s="380">
        <f>'00_PORTFOLIO ROLLUP'!I$12</f>
        <v>2029</v>
      </c>
      <c r="E4993" s="366" t="s">
        <v>1683</v>
      </c>
      <c r="F4993" s="366" t="s">
        <v>27</v>
      </c>
      <c r="G4993" s="348" t="str">
        <f>"'"&amp;$C4993&amp;"'!$E$54:$Y$54"</f>
        <v>'BLD_CD'!$E$54:$Y$54</v>
      </c>
      <c r="H4993" s="381">
        <f ca="1">IF(IFERROR(INDEX(DATA_PROPERTY_MASTER!$E$5:$E$21,MATCH($C4993,DATA_PROPERTY_MASTER!$A$5:$A$21,0))="Yes",FALSE),IFERROR(INDEX(INDIRECT("'"&amp;$C4993&amp;"'!$E$54:$Y$54"),1,MATCH($D4993,INDIRECT("'"&amp;$C4993&amp;"'!$E$12:$Y$12"),0)),0),0)</f>
        <v>0</v>
      </c>
      <c r="I4993" s="366" t="s">
        <v>1690</v>
      </c>
      <c r="J4993" s="348" t="str">
        <f t="shared" ca="1" si="154"/>
        <v>OK</v>
      </c>
      <c r="K4993" s="366" t="s">
        <v>1714</v>
      </c>
      <c r="L4993" s="366" t="s">
        <v>2248</v>
      </c>
      <c r="M4993" s="350" t="str">
        <f>IF($B4993="Portfolio","Portfolio",IFERROR(INDEX(DATA_ASSET_CLASSIFICATION!$B$8:$B$24,MATCH($C4993,DATA_ASSET_CLASSIFICATION!$A$8:$A$24,0)),"Review"))</f>
        <v>800 Commercial Drive</v>
      </c>
      <c r="N4993" s="350" t="str">
        <f>IF($B4993="Portfolio","Portfolio",IFERROR(INDEX(DATA_ASSET_CLASSIFICATION!$U$8:$U$24,MATCH($C4993,DATA_ASSET_CLASSIFICATION!$A$8:$A$24,0)),"Review"))</f>
        <v>New Build</v>
      </c>
      <c r="O4993" s="350" t="str">
        <f>IF($B4993="Portfolio","Portfolio",IFERROR(INDEX(DATA_ASSET_CLASSIFICATION!$AB$8:$AB$13,MATCH($N4993,DATA_ASSET_CLASSIFICATION!$AA$8:$AA$13,0)),"Review"))</f>
        <v>Bucket 1 · New Build</v>
      </c>
      <c r="P4993" s="350" t="str">
        <f>IF($B4993="Portfolio","Portfolio",IFERROR(INDEX(DATA_ASSET_CLASSIFICATION!$C$8:$C$24,MATCH($C4993,DATA_ASSET_CLASSIFICATION!$A$8:$A$24,0)),"Review"))</f>
        <v>Yes</v>
      </c>
      <c r="Q4993" s="350" t="str">
        <f t="shared" ca="1" si="155"/>
        <v>OK</v>
      </c>
    </row>
    <row r="4994" spans="1:17" ht="30">
      <c r="A4994" s="366" t="s">
        <v>6950</v>
      </c>
      <c r="B4994" s="366" t="s">
        <v>231</v>
      </c>
      <c r="C4994" s="348" t="str">
        <f>DATA_PROPERTY_MASTER!$A$21</f>
        <v>BLD_CD</v>
      </c>
      <c r="D4994" s="380">
        <f>'00_PORTFOLIO ROLLUP'!I$12</f>
        <v>2029</v>
      </c>
      <c r="E4994" s="366" t="s">
        <v>1683</v>
      </c>
      <c r="F4994" s="366" t="s">
        <v>29</v>
      </c>
      <c r="G4994" s="348" t="str">
        <f>"'"&amp;$C4994&amp;"'!$E$56:$Y$56"</f>
        <v>'BLD_CD'!$E$56:$Y$56</v>
      </c>
      <c r="H4994" s="381">
        <f ca="1">IF(IFERROR(INDEX(DATA_PROPERTY_MASTER!$E$5:$E$21,MATCH($C4994,DATA_PROPERTY_MASTER!$A$5:$A$21,0))="Yes",FALSE),IFERROR(INDEX(INDIRECT("'"&amp;$C4994&amp;"'!$E$56:$Y$56"),1,MATCH($D4994,INDIRECT("'"&amp;$C4994&amp;"'!$E$12:$Y$12"),0)),0),0)</f>
        <v>-557060.33650956349</v>
      </c>
      <c r="I4994" s="366" t="s">
        <v>1685</v>
      </c>
      <c r="J4994" s="348" t="str">
        <f t="shared" ca="1" si="154"/>
        <v>OK</v>
      </c>
      <c r="K4994" s="366" t="s">
        <v>1718</v>
      </c>
      <c r="L4994" s="366" t="s">
        <v>2250</v>
      </c>
      <c r="M4994" s="350" t="str">
        <f>IF($B4994="Portfolio","Portfolio",IFERROR(INDEX(DATA_ASSET_CLASSIFICATION!$B$8:$B$24,MATCH($C4994,DATA_ASSET_CLASSIFICATION!$A$8:$A$24,0)),"Review"))</f>
        <v>800 Commercial Drive</v>
      </c>
      <c r="N4994" s="350" t="str">
        <f>IF($B4994="Portfolio","Portfolio",IFERROR(INDEX(DATA_ASSET_CLASSIFICATION!$U$8:$U$24,MATCH($C4994,DATA_ASSET_CLASSIFICATION!$A$8:$A$24,0)),"Review"))</f>
        <v>New Build</v>
      </c>
      <c r="O4994" s="350" t="str">
        <f>IF($B4994="Portfolio","Portfolio",IFERROR(INDEX(DATA_ASSET_CLASSIFICATION!$AB$8:$AB$13,MATCH($N4994,DATA_ASSET_CLASSIFICATION!$AA$8:$AA$13,0)),"Review"))</f>
        <v>Bucket 1 · New Build</v>
      </c>
      <c r="P4994" s="350" t="str">
        <f>IF($B4994="Portfolio","Portfolio",IFERROR(INDEX(DATA_ASSET_CLASSIFICATION!$C$8:$C$24,MATCH($C4994,DATA_ASSET_CLASSIFICATION!$A$8:$A$24,0)),"Review"))</f>
        <v>Yes</v>
      </c>
      <c r="Q4994" s="350" t="str">
        <f t="shared" ca="1" si="155"/>
        <v>OK</v>
      </c>
    </row>
    <row r="4995" spans="1:17" ht="30">
      <c r="A4995" s="366" t="s">
        <v>6951</v>
      </c>
      <c r="B4995" s="366" t="s">
        <v>231</v>
      </c>
      <c r="C4995" s="348" t="str">
        <f>DATA_PROPERTY_MASTER!$A$21</f>
        <v>BLD_CD</v>
      </c>
      <c r="D4995" s="380">
        <f>'00_PORTFOLIO ROLLUP'!I$12</f>
        <v>2029</v>
      </c>
      <c r="E4995" s="366" t="s">
        <v>1721</v>
      </c>
      <c r="F4995" s="366" t="s">
        <v>31</v>
      </c>
      <c r="G4995" s="348" t="str">
        <f>"'"&amp;$C4995&amp;"'!$E$61:$Y$61"</f>
        <v>'BLD_CD'!$E$61:$Y$61</v>
      </c>
      <c r="H4995" s="381">
        <f ca="1">IF(IFERROR(INDEX(DATA_PROPERTY_MASTER!$E$5:$E$21,MATCH($C4995,DATA_PROPERTY_MASTER!$A$5:$A$21,0))="Yes",FALSE),IFERROR(INDEX(INDIRECT("'"&amp;$C4995&amp;"'!$E$61:$Y$61"),1,MATCH($D4995,INDIRECT("'"&amp;$C4995&amp;"'!$E$12:$Y$12"),0)),0),0)</f>
        <v>-35821320.972091272</v>
      </c>
      <c r="I4995" s="366" t="s">
        <v>1690</v>
      </c>
      <c r="J4995" s="348" t="str">
        <f t="shared" ca="1" si="154"/>
        <v>OK</v>
      </c>
      <c r="K4995" s="366" t="s">
        <v>1723</v>
      </c>
      <c r="L4995" s="366" t="s">
        <v>2252</v>
      </c>
      <c r="M4995" s="350" t="str">
        <f>IF($B4995="Portfolio","Portfolio",IFERROR(INDEX(DATA_ASSET_CLASSIFICATION!$B$8:$B$24,MATCH($C4995,DATA_ASSET_CLASSIFICATION!$A$8:$A$24,0)),"Review"))</f>
        <v>800 Commercial Drive</v>
      </c>
      <c r="N4995" s="350" t="str">
        <f>IF($B4995="Portfolio","Portfolio",IFERROR(INDEX(DATA_ASSET_CLASSIFICATION!$U$8:$U$24,MATCH($C4995,DATA_ASSET_CLASSIFICATION!$A$8:$A$24,0)),"Review"))</f>
        <v>New Build</v>
      </c>
      <c r="O4995" s="350" t="str">
        <f>IF($B4995="Portfolio","Portfolio",IFERROR(INDEX(DATA_ASSET_CLASSIFICATION!$AB$8:$AB$13,MATCH($N4995,DATA_ASSET_CLASSIFICATION!$AA$8:$AA$13,0)),"Review"))</f>
        <v>Bucket 1 · New Build</v>
      </c>
      <c r="P4995" s="350" t="str">
        <f>IF($B4995="Portfolio","Portfolio",IFERROR(INDEX(DATA_ASSET_CLASSIFICATION!$C$8:$C$24,MATCH($C4995,DATA_ASSET_CLASSIFICATION!$A$8:$A$24,0)),"Review"))</f>
        <v>Yes</v>
      </c>
      <c r="Q4995" s="350" t="str">
        <f t="shared" ca="1" si="155"/>
        <v>OK</v>
      </c>
    </row>
    <row r="4996" spans="1:17" ht="30">
      <c r="A4996" s="366" t="s">
        <v>6952</v>
      </c>
      <c r="B4996" s="366" t="s">
        <v>231</v>
      </c>
      <c r="C4996" s="348" t="str">
        <f>DATA_PROPERTY_MASTER!$A$21</f>
        <v>BLD_CD</v>
      </c>
      <c r="D4996" s="380">
        <f>'00_PORTFOLIO ROLLUP'!I$12</f>
        <v>2029</v>
      </c>
      <c r="E4996" s="366" t="s">
        <v>1721</v>
      </c>
      <c r="F4996" s="366" t="s">
        <v>33</v>
      </c>
      <c r="G4996" s="348" t="str">
        <f>"'"&amp;$C4996&amp;"'!$E$62:$Y$62"</f>
        <v>'BLD_CD'!$E$62:$Y$62</v>
      </c>
      <c r="H4996" s="381">
        <f ca="1">IF(IFERROR(INDEX(DATA_PROPERTY_MASTER!$E$5:$E$21,MATCH($C4996,DATA_PROPERTY_MASTER!$A$5:$A$21,0))="Yes",FALSE),IFERROR(INDEX(INDIRECT("'"&amp;$C4996&amp;"'!$E$62:$Y$62"),1,MATCH($D4996,INDIRECT("'"&amp;$C4996&amp;"'!$E$12:$Y$12"),0)),0),0)</f>
        <v>18435922.196523327</v>
      </c>
      <c r="I4996" s="366" t="s">
        <v>1685</v>
      </c>
      <c r="J4996" s="348" t="str">
        <f t="shared" ca="1" si="154"/>
        <v>OK</v>
      </c>
      <c r="K4996" s="366" t="s">
        <v>1727</v>
      </c>
      <c r="L4996" s="366" t="s">
        <v>2254</v>
      </c>
      <c r="M4996" s="350" t="str">
        <f>IF($B4996="Portfolio","Portfolio",IFERROR(INDEX(DATA_ASSET_CLASSIFICATION!$B$8:$B$24,MATCH($C4996,DATA_ASSET_CLASSIFICATION!$A$8:$A$24,0)),"Review"))</f>
        <v>800 Commercial Drive</v>
      </c>
      <c r="N4996" s="350" t="str">
        <f>IF($B4996="Portfolio","Portfolio",IFERROR(INDEX(DATA_ASSET_CLASSIFICATION!$U$8:$U$24,MATCH($C4996,DATA_ASSET_CLASSIFICATION!$A$8:$A$24,0)),"Review"))</f>
        <v>New Build</v>
      </c>
      <c r="O4996" s="350" t="str">
        <f>IF($B4996="Portfolio","Portfolio",IFERROR(INDEX(DATA_ASSET_CLASSIFICATION!$AB$8:$AB$13,MATCH($N4996,DATA_ASSET_CLASSIFICATION!$AA$8:$AA$13,0)),"Review"))</f>
        <v>Bucket 1 · New Build</v>
      </c>
      <c r="P4996" s="350" t="str">
        <f>IF($B4996="Portfolio","Portfolio",IFERROR(INDEX(DATA_ASSET_CLASSIFICATION!$C$8:$C$24,MATCH($C4996,DATA_ASSET_CLASSIFICATION!$A$8:$A$24,0)),"Review"))</f>
        <v>Yes</v>
      </c>
      <c r="Q4996" s="350" t="str">
        <f t="shared" ca="1" si="155"/>
        <v>OK</v>
      </c>
    </row>
    <row r="4997" spans="1:17" ht="30">
      <c r="A4997" s="366" t="s">
        <v>6953</v>
      </c>
      <c r="B4997" s="366" t="s">
        <v>231</v>
      </c>
      <c r="C4997" s="348" t="str">
        <f>DATA_PROPERTY_MASTER!$A$21</f>
        <v>BLD_CD</v>
      </c>
      <c r="D4997" s="380">
        <f>'00_PORTFOLIO ROLLUP'!I$12</f>
        <v>2029</v>
      </c>
      <c r="E4997" s="366" t="s">
        <v>1721</v>
      </c>
      <c r="F4997" s="366" t="s">
        <v>35</v>
      </c>
      <c r="G4997" s="348" t="str">
        <f>"'"&amp;$C4997&amp;"'!$E$63:$Y$63"</f>
        <v>'BLD_CD'!$E$63:$Y$63</v>
      </c>
      <c r="H4997" s="381">
        <f ca="1">IF(IFERROR(INDEX(DATA_PROPERTY_MASTER!$E$5:$E$21,MATCH($C4997,DATA_PROPERTY_MASTER!$A$5:$A$21,0))="Yes",FALSE),IFERROR(INDEX(INDIRECT("'"&amp;$C4997&amp;"'!$E$63:$Y$63"),1,MATCH($D4997,INDIRECT("'"&amp;$C4997&amp;"'!$E$12:$Y$12"),0)),0),0)</f>
        <v>-17385398.775567945</v>
      </c>
      <c r="I4997" s="366" t="s">
        <v>1731</v>
      </c>
      <c r="J4997" s="348" t="str">
        <f t="shared" ref="J4997:J5060" ca="1" si="156">IF($F4997="Residual Funding Gap",IF($H4997&gt;0,"Funding Gap","OK"),IF(AND($F4997="Net Refinance Position",$H4997&lt;0),"Negative net refi position","OK"))</f>
        <v>Negative net refi position</v>
      </c>
      <c r="K4997" s="366" t="s">
        <v>1732</v>
      </c>
      <c r="L4997" s="366" t="s">
        <v>2256</v>
      </c>
      <c r="M4997" s="350" t="str">
        <f>IF($B4997="Portfolio","Portfolio",IFERROR(INDEX(DATA_ASSET_CLASSIFICATION!$B$8:$B$24,MATCH($C4997,DATA_ASSET_CLASSIFICATION!$A$8:$A$24,0)),"Review"))</f>
        <v>800 Commercial Drive</v>
      </c>
      <c r="N4997" s="350" t="str">
        <f>IF($B4997="Portfolio","Portfolio",IFERROR(INDEX(DATA_ASSET_CLASSIFICATION!$U$8:$U$24,MATCH($C4997,DATA_ASSET_CLASSIFICATION!$A$8:$A$24,0)),"Review"))</f>
        <v>New Build</v>
      </c>
      <c r="O4997" s="350" t="str">
        <f>IF($B4997="Portfolio","Portfolio",IFERROR(INDEX(DATA_ASSET_CLASSIFICATION!$AB$8:$AB$13,MATCH($N4997,DATA_ASSET_CLASSIFICATION!$AA$8:$AA$13,0)),"Review"))</f>
        <v>Bucket 1 · New Build</v>
      </c>
      <c r="P4997" s="350" t="str">
        <f>IF($B4997="Portfolio","Portfolio",IFERROR(INDEX(DATA_ASSET_CLASSIFICATION!$C$8:$C$24,MATCH($C4997,DATA_ASSET_CLASSIFICATION!$A$8:$A$24,0)),"Review"))</f>
        <v>Yes</v>
      </c>
      <c r="Q4997" s="350" t="str">
        <f t="shared" ref="Q4997:Q5060" ca="1" si="157">IF(AND($B4997="Property",$F4997="Residual Funding Gap",$H4997&gt;0),"Property Funding Gap",IF($J4997&lt;&gt;"OK",$J4997,"OK"))</f>
        <v>Negative net refi position</v>
      </c>
    </row>
    <row r="4998" spans="1:17" ht="30">
      <c r="A4998" s="366" t="s">
        <v>6954</v>
      </c>
      <c r="B4998" s="366" t="s">
        <v>231</v>
      </c>
      <c r="C4998" s="348" t="str">
        <f>DATA_PROPERTY_MASTER!$A$21</f>
        <v>BLD_CD</v>
      </c>
      <c r="D4998" s="380">
        <f>'00_PORTFOLIO ROLLUP'!I$12</f>
        <v>2029</v>
      </c>
      <c r="E4998" s="366" t="s">
        <v>1721</v>
      </c>
      <c r="F4998" s="366" t="s">
        <v>37</v>
      </c>
      <c r="G4998" s="348" t="str">
        <f>"'"&amp;$C4998&amp;"'!$E$63:$Y$63"</f>
        <v>'BLD_CD'!$E$63:$Y$63</v>
      </c>
      <c r="H4998" s="381">
        <f ca="1">IF(IFERROR(INDEX(DATA_PROPERTY_MASTER!$E$5:$E$21,MATCH($C4998,DATA_PROPERTY_MASTER!$A$5:$A$21,0))="Yes",FALSE),MAX(IFERROR(INDEX(INDIRECT("'"&amp;$C4998&amp;"'!$E$63:$Y$63"),1,MATCH($D4998,INDIRECT("'"&amp;$C4998&amp;"'!$E$12:$Y$12"),0)),0),0),0)</f>
        <v>0</v>
      </c>
      <c r="I4998" s="366" t="s">
        <v>1685</v>
      </c>
      <c r="J4998" s="348" t="str">
        <f t="shared" ca="1" si="156"/>
        <v>OK</v>
      </c>
      <c r="K4998" s="366" t="s">
        <v>1735</v>
      </c>
      <c r="L4998" s="366" t="s">
        <v>2258</v>
      </c>
      <c r="M4998" s="350" t="str">
        <f>IF($B4998="Portfolio","Portfolio",IFERROR(INDEX(DATA_ASSET_CLASSIFICATION!$B$8:$B$24,MATCH($C4998,DATA_ASSET_CLASSIFICATION!$A$8:$A$24,0)),"Review"))</f>
        <v>800 Commercial Drive</v>
      </c>
      <c r="N4998" s="350" t="str">
        <f>IF($B4998="Portfolio","Portfolio",IFERROR(INDEX(DATA_ASSET_CLASSIFICATION!$U$8:$U$24,MATCH($C4998,DATA_ASSET_CLASSIFICATION!$A$8:$A$24,0)),"Review"))</f>
        <v>New Build</v>
      </c>
      <c r="O4998" s="350" t="str">
        <f>IF($B4998="Portfolio","Portfolio",IFERROR(INDEX(DATA_ASSET_CLASSIFICATION!$AB$8:$AB$13,MATCH($N4998,DATA_ASSET_CLASSIFICATION!$AA$8:$AA$13,0)),"Review"))</f>
        <v>Bucket 1 · New Build</v>
      </c>
      <c r="P4998" s="350" t="str">
        <f>IF($B4998="Portfolio","Portfolio",IFERROR(INDEX(DATA_ASSET_CLASSIFICATION!$C$8:$C$24,MATCH($C4998,DATA_ASSET_CLASSIFICATION!$A$8:$A$24,0)),"Review"))</f>
        <v>Yes</v>
      </c>
      <c r="Q4998" s="350" t="str">
        <f t="shared" ca="1" si="157"/>
        <v>OK</v>
      </c>
    </row>
    <row r="4999" spans="1:17" ht="30">
      <c r="A4999" s="366" t="s">
        <v>6955</v>
      </c>
      <c r="B4999" s="366" t="s">
        <v>231</v>
      </c>
      <c r="C4999" s="348" t="str">
        <f>DATA_PROPERTY_MASTER!$A$21</f>
        <v>BLD_CD</v>
      </c>
      <c r="D4999" s="380">
        <f>'00_PORTFOLIO ROLLUP'!I$12</f>
        <v>2029</v>
      </c>
      <c r="E4999" s="366" t="s">
        <v>1721</v>
      </c>
      <c r="F4999" s="366" t="s">
        <v>39</v>
      </c>
      <c r="G4999" s="348" t="str">
        <f>"'"&amp;$C4999&amp;"'!$E$63:$Y$63"</f>
        <v>'BLD_CD'!$E$63:$Y$63</v>
      </c>
      <c r="H4999" s="381">
        <f ca="1">IF(IFERROR(INDEX(DATA_PROPERTY_MASTER!$E$5:$E$21,MATCH($C4999,DATA_PROPERTY_MASTER!$A$5:$A$21,0))="Yes",FALSE),MAX(-IFERROR(INDEX(INDIRECT("'"&amp;$C4999&amp;"'!$E$63:$Y$63"),1,MATCH($D4999,INDIRECT("'"&amp;$C4999&amp;"'!$E$12:$Y$12"),0)),0),0),0)</f>
        <v>17385398.775567945</v>
      </c>
      <c r="I4999" s="366" t="s">
        <v>1690</v>
      </c>
      <c r="J4999" s="348" t="str">
        <f t="shared" ca="1" si="156"/>
        <v>Funding Gap</v>
      </c>
      <c r="K4999" s="366" t="s">
        <v>1738</v>
      </c>
      <c r="L4999" s="366" t="s">
        <v>2260</v>
      </c>
      <c r="M4999" s="350" t="str">
        <f>IF($B4999="Portfolio","Portfolio",IFERROR(INDEX(DATA_ASSET_CLASSIFICATION!$B$8:$B$24,MATCH($C4999,DATA_ASSET_CLASSIFICATION!$A$8:$A$24,0)),"Review"))</f>
        <v>800 Commercial Drive</v>
      </c>
      <c r="N4999" s="350" t="str">
        <f>IF($B4999="Portfolio","Portfolio",IFERROR(INDEX(DATA_ASSET_CLASSIFICATION!$U$8:$U$24,MATCH($C4999,DATA_ASSET_CLASSIFICATION!$A$8:$A$24,0)),"Review"))</f>
        <v>New Build</v>
      </c>
      <c r="O4999" s="350" t="str">
        <f>IF($B4999="Portfolio","Portfolio",IFERROR(INDEX(DATA_ASSET_CLASSIFICATION!$AB$8:$AB$13,MATCH($N4999,DATA_ASSET_CLASSIFICATION!$AA$8:$AA$13,0)),"Review"))</f>
        <v>Bucket 1 · New Build</v>
      </c>
      <c r="P4999" s="350" t="str">
        <f>IF($B4999="Portfolio","Portfolio",IFERROR(INDEX(DATA_ASSET_CLASSIFICATION!$C$8:$C$24,MATCH($C4999,DATA_ASSET_CLASSIFICATION!$A$8:$A$24,0)),"Review"))</f>
        <v>Yes</v>
      </c>
      <c r="Q4999" s="350" t="str">
        <f t="shared" ca="1" si="157"/>
        <v>Property Funding Gap</v>
      </c>
    </row>
    <row r="5000" spans="1:17" ht="30">
      <c r="A5000" s="366" t="s">
        <v>6956</v>
      </c>
      <c r="B5000" s="366" t="s">
        <v>231</v>
      </c>
      <c r="C5000" s="348" t="str">
        <f>DATA_PROPERTY_MASTER!$A$21</f>
        <v>BLD_CD</v>
      </c>
      <c r="D5000" s="380">
        <f>'00_PORTFOLIO ROLLUP'!I$12</f>
        <v>2029</v>
      </c>
      <c r="E5000" s="366" t="s">
        <v>1741</v>
      </c>
      <c r="F5000" s="366" t="s">
        <v>41</v>
      </c>
      <c r="G5000" s="348" t="str">
        <f>"'"&amp;$C5000&amp;"'!rows 56 + positive row 63"</f>
        <v>'BLD_CD'!rows 56 + positive row 63</v>
      </c>
      <c r="H5000" s="381">
        <f ca="1">IF(IFERROR(INDEX(DATA_PROPERTY_MASTER!$E$5:$E$21,MATCH($C5000,DATA_PROPERTY_MASTER!$A$5:$A$21,0))="Yes",FALSE),IFERROR(INDEX(INDIRECT("'"&amp;$C5000&amp;"'!$E$56:$Y$56"),1,MATCH($D5000,INDIRECT("'"&amp;$C5000&amp;"'!$E$12:$Y$12"),0)),0)+MAX(IFERROR(INDEX(INDIRECT("'"&amp;$C5000&amp;"'!$E$63:$Y$63"),1,MATCH($D5000,INDIRECT("'"&amp;$C5000&amp;"'!$E$12:$Y$12"),0)),0),0),0)</f>
        <v>-557060.33650956349</v>
      </c>
      <c r="I5000" s="366" t="s">
        <v>1685</v>
      </c>
      <c r="J5000" s="348" t="str">
        <f t="shared" ca="1" si="156"/>
        <v>OK</v>
      </c>
      <c r="K5000" s="366" t="s">
        <v>1742</v>
      </c>
      <c r="L5000" s="366" t="s">
        <v>2262</v>
      </c>
      <c r="M5000" s="350" t="str">
        <f>IF($B5000="Portfolio","Portfolio",IFERROR(INDEX(DATA_ASSET_CLASSIFICATION!$B$8:$B$24,MATCH($C5000,DATA_ASSET_CLASSIFICATION!$A$8:$A$24,0)),"Review"))</f>
        <v>800 Commercial Drive</v>
      </c>
      <c r="N5000" s="350" t="str">
        <f>IF($B5000="Portfolio","Portfolio",IFERROR(INDEX(DATA_ASSET_CLASSIFICATION!$U$8:$U$24,MATCH($C5000,DATA_ASSET_CLASSIFICATION!$A$8:$A$24,0)),"Review"))</f>
        <v>New Build</v>
      </c>
      <c r="O5000" s="350" t="str">
        <f>IF($B5000="Portfolio","Portfolio",IFERROR(INDEX(DATA_ASSET_CLASSIFICATION!$AB$8:$AB$13,MATCH($N5000,DATA_ASSET_CLASSIFICATION!$AA$8:$AA$13,0)),"Review"))</f>
        <v>Bucket 1 · New Build</v>
      </c>
      <c r="P5000" s="350" t="str">
        <f>IF($B5000="Portfolio","Portfolio",IFERROR(INDEX(DATA_ASSET_CLASSIFICATION!$C$8:$C$24,MATCH($C5000,DATA_ASSET_CLASSIFICATION!$A$8:$A$24,0)),"Review"))</f>
        <v>Yes</v>
      </c>
      <c r="Q5000" s="350" t="str">
        <f t="shared" ca="1" si="157"/>
        <v>OK</v>
      </c>
    </row>
    <row r="5001" spans="1:17" ht="30">
      <c r="A5001" s="366" t="s">
        <v>6957</v>
      </c>
      <c r="B5001" s="366" t="s">
        <v>231</v>
      </c>
      <c r="C5001" s="348" t="str">
        <f>DATA_PROPERTY_MASTER!$A$21</f>
        <v>BLD_CD</v>
      </c>
      <c r="D5001" s="380">
        <f>'00_PORTFOLIO ROLLUP'!I$12</f>
        <v>2029</v>
      </c>
      <c r="E5001" s="366" t="s">
        <v>1741</v>
      </c>
      <c r="F5001" s="366" t="s">
        <v>43</v>
      </c>
      <c r="G5001" s="348" t="str">
        <f>"'"&amp;$C5001&amp;"'!$E$68:$Y$68"</f>
        <v>'BLD_CD'!$E$68:$Y$68</v>
      </c>
      <c r="H5001" s="381">
        <f ca="1">IF(IFERROR(INDEX(DATA_PROPERTY_MASTER!$E$5:$E$21,MATCH($C5001,DATA_PROPERTY_MASTER!$A$5:$A$21,0))="Yes",FALSE),IFERROR(INDEX(INDIRECT("'"&amp;$C5001&amp;"'!$E$68:$Y$68"),1,MATCH($D5001,INDIRECT("'"&amp;$C5001&amp;"'!$E$12:$Y$12"),0)),0),0)</f>
        <v>-17942459.112077508</v>
      </c>
      <c r="I5001" s="366" t="s">
        <v>1731</v>
      </c>
      <c r="J5001" s="348" t="str">
        <f t="shared" ca="1" si="156"/>
        <v>OK</v>
      </c>
      <c r="K5001" s="366" t="s">
        <v>1746</v>
      </c>
      <c r="L5001" s="366" t="s">
        <v>2264</v>
      </c>
      <c r="M5001" s="350" t="str">
        <f>IF($B5001="Portfolio","Portfolio",IFERROR(INDEX(DATA_ASSET_CLASSIFICATION!$B$8:$B$24,MATCH($C5001,DATA_ASSET_CLASSIFICATION!$A$8:$A$24,0)),"Review"))</f>
        <v>800 Commercial Drive</v>
      </c>
      <c r="N5001" s="350" t="str">
        <f>IF($B5001="Portfolio","Portfolio",IFERROR(INDEX(DATA_ASSET_CLASSIFICATION!$U$8:$U$24,MATCH($C5001,DATA_ASSET_CLASSIFICATION!$A$8:$A$24,0)),"Review"))</f>
        <v>New Build</v>
      </c>
      <c r="O5001" s="350" t="str">
        <f>IF($B5001="Portfolio","Portfolio",IFERROR(INDEX(DATA_ASSET_CLASSIFICATION!$AB$8:$AB$13,MATCH($N5001,DATA_ASSET_CLASSIFICATION!$AA$8:$AA$13,0)),"Review"))</f>
        <v>Bucket 1 · New Build</v>
      </c>
      <c r="P5001" s="350" t="str">
        <f>IF($B5001="Portfolio","Portfolio",IFERROR(INDEX(DATA_ASSET_CLASSIFICATION!$C$8:$C$24,MATCH($C5001,DATA_ASSET_CLASSIFICATION!$A$8:$A$24,0)),"Review"))</f>
        <v>Yes</v>
      </c>
      <c r="Q5001" s="350" t="str">
        <f t="shared" ca="1" si="157"/>
        <v>OK</v>
      </c>
    </row>
    <row r="5002" spans="1:17" ht="30">
      <c r="A5002" s="366" t="s">
        <v>6958</v>
      </c>
      <c r="B5002" s="366" t="s">
        <v>231</v>
      </c>
      <c r="C5002" s="348" t="str">
        <f>DATA_PROPERTY_MASTER!$A$21</f>
        <v>BLD_CD</v>
      </c>
      <c r="D5002" s="380">
        <f>'00_PORTFOLIO ROLLUP'!I$12</f>
        <v>2029</v>
      </c>
      <c r="E5002" s="366" t="s">
        <v>1741</v>
      </c>
      <c r="F5002" s="366" t="s">
        <v>1749</v>
      </c>
      <c r="G5002" s="348" t="str">
        <f>"'"&amp;$C5002&amp;"'!rows 56, 63, 68"</f>
        <v>'BLD_CD'!rows 56, 63, 68</v>
      </c>
      <c r="H5002" s="381">
        <f ca="1">IF(IFERROR(INDEX(DATA_PROPERTY_MASTER!$E$5:$E$21,MATCH($C5002,DATA_PROPERTY_MASTER!$A$5:$A$21,0))="Yes",FALSE),(IFERROR(INDEX(INDIRECT("'"&amp;$C5002&amp;"'!$E$56:$Y$56"),1,MATCH($D5002,INDIRECT("'"&amp;$C5002&amp;"'!$E$12:$Y$12"),0)),0)+MAX(IFERROR(INDEX(INDIRECT("'"&amp;$C5002&amp;"'!$E$63:$Y$63"),1,MATCH($D5002,INDIRECT("'"&amp;$C5002&amp;"'!$E$12:$Y$12"),0)),0),0))-(IFERROR(INDEX(INDIRECT("'"&amp;$C5002&amp;"'!$E$68:$Y$68"),1,MATCH($D5002,INDIRECT("'"&amp;$C5002&amp;"'!$E$12:$Y$12"),0)),0)),0)</f>
        <v>17385398.775567945</v>
      </c>
      <c r="I5002" s="366" t="s">
        <v>1750</v>
      </c>
      <c r="J5002" s="348" t="str">
        <f t="shared" ca="1" si="156"/>
        <v>OK</v>
      </c>
      <c r="K5002" s="366" t="s">
        <v>1751</v>
      </c>
      <c r="L5002" s="366" t="s">
        <v>2266</v>
      </c>
      <c r="M5002" s="350" t="str">
        <f>IF($B5002="Portfolio","Portfolio",IFERROR(INDEX(DATA_ASSET_CLASSIFICATION!$B$8:$B$24,MATCH($C5002,DATA_ASSET_CLASSIFICATION!$A$8:$A$24,0)),"Review"))</f>
        <v>800 Commercial Drive</v>
      </c>
      <c r="N5002" s="350" t="str">
        <f>IF($B5002="Portfolio","Portfolio",IFERROR(INDEX(DATA_ASSET_CLASSIFICATION!$U$8:$U$24,MATCH($C5002,DATA_ASSET_CLASSIFICATION!$A$8:$A$24,0)),"Review"))</f>
        <v>New Build</v>
      </c>
      <c r="O5002" s="350" t="str">
        <f>IF($B5002="Portfolio","Portfolio",IFERROR(INDEX(DATA_ASSET_CLASSIFICATION!$AB$8:$AB$13,MATCH($N5002,DATA_ASSET_CLASSIFICATION!$AA$8:$AA$13,0)),"Review"))</f>
        <v>Bucket 1 · New Build</v>
      </c>
      <c r="P5002" s="350" t="str">
        <f>IF($B5002="Portfolio","Portfolio",IFERROR(INDEX(DATA_ASSET_CLASSIFICATION!$C$8:$C$24,MATCH($C5002,DATA_ASSET_CLASSIFICATION!$A$8:$A$24,0)),"Review"))</f>
        <v>Yes</v>
      </c>
      <c r="Q5002" s="350" t="str">
        <f t="shared" ca="1" si="157"/>
        <v>OK</v>
      </c>
    </row>
    <row r="5003" spans="1:17" ht="30">
      <c r="A5003" s="366" t="s">
        <v>6959</v>
      </c>
      <c r="B5003" s="366" t="s">
        <v>231</v>
      </c>
      <c r="C5003" s="348" t="str">
        <f>DATA_PROPERTY_MASTER!$A$21</f>
        <v>BLD_CD</v>
      </c>
      <c r="D5003" s="380">
        <f>'00_PORTFOLIO ROLLUP'!J$12</f>
        <v>2030</v>
      </c>
      <c r="E5003" s="366" t="s">
        <v>1683</v>
      </c>
      <c r="F5003" s="366" t="s">
        <v>341</v>
      </c>
      <c r="G5003" s="348" t="str">
        <f>"'"&amp;$C5003&amp;"'!$E$24:$Y$24"</f>
        <v>'BLD_CD'!$E$24:$Y$24</v>
      </c>
      <c r="H5003" s="381">
        <f ca="1">IF(IFERROR(INDEX(DATA_PROPERTY_MASTER!$E$5:$E$21,MATCH($C5003,DATA_PROPERTY_MASTER!$A$5:$A$21,0))="Yes",FALSE),IFERROR(INDEX(INDIRECT("'"&amp;$C5003&amp;"'!$E$24:$Y$24"),1,MATCH($D5003,INDIRECT("'"&amp;$C5003&amp;"'!$E$12:$Y$12"),0)),0),0)</f>
        <v>2254271.6222532121</v>
      </c>
      <c r="I5003" s="366" t="s">
        <v>1685</v>
      </c>
      <c r="J5003" s="348" t="str">
        <f t="shared" ca="1" si="156"/>
        <v>OK</v>
      </c>
      <c r="K5003" s="366" t="s">
        <v>1686</v>
      </c>
      <c r="L5003" s="366" t="s">
        <v>2234</v>
      </c>
      <c r="M5003" s="350" t="str">
        <f>IF($B5003="Portfolio","Portfolio",IFERROR(INDEX(DATA_ASSET_CLASSIFICATION!$B$8:$B$24,MATCH($C5003,DATA_ASSET_CLASSIFICATION!$A$8:$A$24,0)),"Review"))</f>
        <v>800 Commercial Drive</v>
      </c>
      <c r="N5003" s="350" t="str">
        <f>IF($B5003="Portfolio","Portfolio",IFERROR(INDEX(DATA_ASSET_CLASSIFICATION!$U$8:$U$24,MATCH($C5003,DATA_ASSET_CLASSIFICATION!$A$8:$A$24,0)),"Review"))</f>
        <v>New Build</v>
      </c>
      <c r="O5003" s="350" t="str">
        <f>IF($B5003="Portfolio","Portfolio",IFERROR(INDEX(DATA_ASSET_CLASSIFICATION!$AB$8:$AB$13,MATCH($N5003,DATA_ASSET_CLASSIFICATION!$AA$8:$AA$13,0)),"Review"))</f>
        <v>Bucket 1 · New Build</v>
      </c>
      <c r="P5003" s="350" t="str">
        <f>IF($B5003="Portfolio","Portfolio",IFERROR(INDEX(DATA_ASSET_CLASSIFICATION!$C$8:$C$24,MATCH($C5003,DATA_ASSET_CLASSIFICATION!$A$8:$A$24,0)),"Review"))</f>
        <v>Yes</v>
      </c>
      <c r="Q5003" s="350" t="str">
        <f t="shared" ca="1" si="157"/>
        <v>OK</v>
      </c>
    </row>
    <row r="5004" spans="1:17" ht="30">
      <c r="A5004" s="366" t="s">
        <v>6960</v>
      </c>
      <c r="B5004" s="366" t="s">
        <v>231</v>
      </c>
      <c r="C5004" s="348" t="str">
        <f>DATA_PROPERTY_MASTER!$A$21</f>
        <v>BLD_CD</v>
      </c>
      <c r="D5004" s="380">
        <f>'00_PORTFOLIO ROLLUP'!J$12</f>
        <v>2030</v>
      </c>
      <c r="E5004" s="366" t="s">
        <v>1683</v>
      </c>
      <c r="F5004" s="366" t="s">
        <v>355</v>
      </c>
      <c r="G5004" s="348" t="str">
        <f>"'"&amp;$C5004&amp;"'!$E$39:$Y$39"</f>
        <v>'BLD_CD'!$E$39:$Y$39</v>
      </c>
      <c r="H5004" s="381">
        <f ca="1">IF(IFERROR(INDEX(DATA_PROPERTY_MASTER!$E$5:$E$21,MATCH($C5004,DATA_PROPERTY_MASTER!$A$5:$A$21,0))="Yes",FALSE),IFERROR(INDEX(INDIRECT("'"&amp;$C5004&amp;"'!$E$39:$Y$39"),1,MATCH($D5004,INDIRECT("'"&amp;$C5004&amp;"'!$E$12:$Y$12"),0)),0),0)</f>
        <v>764604.2998603778</v>
      </c>
      <c r="I5004" s="366" t="s">
        <v>1690</v>
      </c>
      <c r="J5004" s="348" t="str">
        <f t="shared" ca="1" si="156"/>
        <v>OK</v>
      </c>
      <c r="K5004" s="366" t="s">
        <v>1686</v>
      </c>
      <c r="L5004" s="366" t="s">
        <v>2236</v>
      </c>
      <c r="M5004" s="350" t="str">
        <f>IF($B5004="Portfolio","Portfolio",IFERROR(INDEX(DATA_ASSET_CLASSIFICATION!$B$8:$B$24,MATCH($C5004,DATA_ASSET_CLASSIFICATION!$A$8:$A$24,0)),"Review"))</f>
        <v>800 Commercial Drive</v>
      </c>
      <c r="N5004" s="350" t="str">
        <f>IF($B5004="Portfolio","Portfolio",IFERROR(INDEX(DATA_ASSET_CLASSIFICATION!$U$8:$U$24,MATCH($C5004,DATA_ASSET_CLASSIFICATION!$A$8:$A$24,0)),"Review"))</f>
        <v>New Build</v>
      </c>
      <c r="O5004" s="350" t="str">
        <f>IF($B5004="Portfolio","Portfolio",IFERROR(INDEX(DATA_ASSET_CLASSIFICATION!$AB$8:$AB$13,MATCH($N5004,DATA_ASSET_CLASSIFICATION!$AA$8:$AA$13,0)),"Review"))</f>
        <v>Bucket 1 · New Build</v>
      </c>
      <c r="P5004" s="350" t="str">
        <f>IF($B5004="Portfolio","Portfolio",IFERROR(INDEX(DATA_ASSET_CLASSIFICATION!$C$8:$C$24,MATCH($C5004,DATA_ASSET_CLASSIFICATION!$A$8:$A$24,0)),"Review"))</f>
        <v>Yes</v>
      </c>
      <c r="Q5004" s="350" t="str">
        <f t="shared" ca="1" si="157"/>
        <v>OK</v>
      </c>
    </row>
    <row r="5005" spans="1:17" ht="30">
      <c r="A5005" s="366" t="s">
        <v>6961</v>
      </c>
      <c r="B5005" s="366" t="s">
        <v>231</v>
      </c>
      <c r="C5005" s="348" t="str">
        <f>DATA_PROPERTY_MASTER!$A$21</f>
        <v>BLD_CD</v>
      </c>
      <c r="D5005" s="380">
        <f>'00_PORTFOLIO ROLLUP'!J$12</f>
        <v>2030</v>
      </c>
      <c r="E5005" s="366" t="s">
        <v>1683</v>
      </c>
      <c r="F5005" s="366" t="s">
        <v>19</v>
      </c>
      <c r="G5005" s="348" t="str">
        <f>"'"&amp;$C5005&amp;"'!$E$41:$Y$41"</f>
        <v>'BLD_CD'!$E$41:$Y$41</v>
      </c>
      <c r="H5005" s="381">
        <f ca="1">IF(IFERROR(INDEX(DATA_PROPERTY_MASTER!$E$5:$E$21,MATCH($C5005,DATA_PROPERTY_MASTER!$A$5:$A$21,0))="Yes",FALSE),IFERROR(INDEX(INDIRECT("'"&amp;$C5005&amp;"'!$E$41:$Y$41"),1,MATCH($D5005,INDIRECT("'"&amp;$C5005&amp;"'!$E$12:$Y$12"),0)),0),0)</f>
        <v>1489667.3223928344</v>
      </c>
      <c r="I5005" s="366" t="s">
        <v>1685</v>
      </c>
      <c r="J5005" s="348" t="str">
        <f t="shared" ca="1" si="156"/>
        <v>OK</v>
      </c>
      <c r="K5005" s="366" t="s">
        <v>1694</v>
      </c>
      <c r="L5005" s="366" t="s">
        <v>2238</v>
      </c>
      <c r="M5005" s="350" t="str">
        <f>IF($B5005="Portfolio","Portfolio",IFERROR(INDEX(DATA_ASSET_CLASSIFICATION!$B$8:$B$24,MATCH($C5005,DATA_ASSET_CLASSIFICATION!$A$8:$A$24,0)),"Review"))</f>
        <v>800 Commercial Drive</v>
      </c>
      <c r="N5005" s="350" t="str">
        <f>IF($B5005="Portfolio","Portfolio",IFERROR(INDEX(DATA_ASSET_CLASSIFICATION!$U$8:$U$24,MATCH($C5005,DATA_ASSET_CLASSIFICATION!$A$8:$A$24,0)),"Review"))</f>
        <v>New Build</v>
      </c>
      <c r="O5005" s="350" t="str">
        <f>IF($B5005="Portfolio","Portfolio",IFERROR(INDEX(DATA_ASSET_CLASSIFICATION!$AB$8:$AB$13,MATCH($N5005,DATA_ASSET_CLASSIFICATION!$AA$8:$AA$13,0)),"Review"))</f>
        <v>Bucket 1 · New Build</v>
      </c>
      <c r="P5005" s="350" t="str">
        <f>IF($B5005="Portfolio","Portfolio",IFERROR(INDEX(DATA_ASSET_CLASSIFICATION!$C$8:$C$24,MATCH($C5005,DATA_ASSET_CLASSIFICATION!$A$8:$A$24,0)),"Review"))</f>
        <v>Yes</v>
      </c>
      <c r="Q5005" s="350" t="str">
        <f t="shared" ca="1" si="157"/>
        <v>OK</v>
      </c>
    </row>
    <row r="5006" spans="1:17" ht="30">
      <c r="A5006" s="366" t="s">
        <v>6962</v>
      </c>
      <c r="B5006" s="366" t="s">
        <v>231</v>
      </c>
      <c r="C5006" s="348" t="str">
        <f>DATA_PROPERTY_MASTER!$A$21</f>
        <v>BLD_CD</v>
      </c>
      <c r="D5006" s="380">
        <f>'00_PORTFOLIO ROLLUP'!J$12</f>
        <v>2030</v>
      </c>
      <c r="E5006" s="366" t="s">
        <v>1683</v>
      </c>
      <c r="F5006" s="366" t="s">
        <v>1697</v>
      </c>
      <c r="G5006" s="348" t="str">
        <f>"'"&amp;$C5006&amp;"'!$E$44:$Y$44"</f>
        <v>'BLD_CD'!$E$44:$Y$44</v>
      </c>
      <c r="H5006" s="381">
        <f ca="1">IF(IFERROR(INDEX(DATA_PROPERTY_MASTER!$E$5:$E$21,MATCH($C5006,DATA_PROPERTY_MASTER!$A$5:$A$21,0))="Yes",FALSE),IFERROR(INDEX(INDIRECT("'"&amp;$C5006&amp;"'!$E$44:$Y$44"),1,MATCH($D5006,INDIRECT("'"&amp;$C5006&amp;"'!$E$12:$Y$12"),0)),0),0)</f>
        <v>15401.92720464</v>
      </c>
      <c r="I5006" s="366" t="s">
        <v>1690</v>
      </c>
      <c r="J5006" s="348" t="str">
        <f t="shared" ca="1" si="156"/>
        <v>OK</v>
      </c>
      <c r="K5006" s="366" t="s">
        <v>1699</v>
      </c>
      <c r="L5006" s="366" t="s">
        <v>2240</v>
      </c>
      <c r="M5006" s="350" t="str">
        <f>IF($B5006="Portfolio","Portfolio",IFERROR(INDEX(DATA_ASSET_CLASSIFICATION!$B$8:$B$24,MATCH($C5006,DATA_ASSET_CLASSIFICATION!$A$8:$A$24,0)),"Review"))</f>
        <v>800 Commercial Drive</v>
      </c>
      <c r="N5006" s="350" t="str">
        <f>IF($B5006="Portfolio","Portfolio",IFERROR(INDEX(DATA_ASSET_CLASSIFICATION!$U$8:$U$24,MATCH($C5006,DATA_ASSET_CLASSIFICATION!$A$8:$A$24,0)),"Review"))</f>
        <v>New Build</v>
      </c>
      <c r="O5006" s="350" t="str">
        <f>IF($B5006="Portfolio","Portfolio",IFERROR(INDEX(DATA_ASSET_CLASSIFICATION!$AB$8:$AB$13,MATCH($N5006,DATA_ASSET_CLASSIFICATION!$AA$8:$AA$13,0)),"Review"))</f>
        <v>Bucket 1 · New Build</v>
      </c>
      <c r="P5006" s="350" t="str">
        <f>IF($B5006="Portfolio","Portfolio",IFERROR(INDEX(DATA_ASSET_CLASSIFICATION!$C$8:$C$24,MATCH($C5006,DATA_ASSET_CLASSIFICATION!$A$8:$A$24,0)),"Review"))</f>
        <v>Yes</v>
      </c>
      <c r="Q5006" s="350" t="str">
        <f t="shared" ca="1" si="157"/>
        <v>OK</v>
      </c>
    </row>
    <row r="5007" spans="1:17" ht="30">
      <c r="A5007" s="366" t="s">
        <v>6963</v>
      </c>
      <c r="B5007" s="366" t="s">
        <v>231</v>
      </c>
      <c r="C5007" s="348" t="str">
        <f>DATA_PROPERTY_MASTER!$A$21</f>
        <v>BLD_CD</v>
      </c>
      <c r="D5007" s="380">
        <f>'00_PORTFOLIO ROLLUP'!J$12</f>
        <v>2030</v>
      </c>
      <c r="E5007" s="366" t="s">
        <v>1683</v>
      </c>
      <c r="F5007" s="366" t="s">
        <v>21</v>
      </c>
      <c r="G5007" s="348" t="str">
        <f>"'"&amp;$C5007&amp;"'!$E$45:$Y$45"</f>
        <v>'BLD_CD'!$E$45:$Y$45</v>
      </c>
      <c r="H5007" s="381">
        <f ca="1">IF(IFERROR(INDEX(DATA_PROPERTY_MASTER!$E$5:$E$21,MATCH($C5007,DATA_PROPERTY_MASTER!$A$5:$A$21,0))="Yes",FALSE),IFERROR(INDEX(INDIRECT("'"&amp;$C5007&amp;"'!$E$45:$Y$45"),1,MATCH($D5007,INDIRECT("'"&amp;$C5007&amp;"'!$E$12:$Y$12"),0)),0),0)</f>
        <v>1474265.3951881942</v>
      </c>
      <c r="I5007" s="366" t="s">
        <v>1685</v>
      </c>
      <c r="J5007" s="348" t="str">
        <f t="shared" ca="1" si="156"/>
        <v>OK</v>
      </c>
      <c r="K5007" s="366" t="s">
        <v>1694</v>
      </c>
      <c r="L5007" s="366" t="s">
        <v>2242</v>
      </c>
      <c r="M5007" s="350" t="str">
        <f>IF($B5007="Portfolio","Portfolio",IFERROR(INDEX(DATA_ASSET_CLASSIFICATION!$B$8:$B$24,MATCH($C5007,DATA_ASSET_CLASSIFICATION!$A$8:$A$24,0)),"Review"))</f>
        <v>800 Commercial Drive</v>
      </c>
      <c r="N5007" s="350" t="str">
        <f>IF($B5007="Portfolio","Portfolio",IFERROR(INDEX(DATA_ASSET_CLASSIFICATION!$U$8:$U$24,MATCH($C5007,DATA_ASSET_CLASSIFICATION!$A$8:$A$24,0)),"Review"))</f>
        <v>New Build</v>
      </c>
      <c r="O5007" s="350" t="str">
        <f>IF($B5007="Portfolio","Portfolio",IFERROR(INDEX(DATA_ASSET_CLASSIFICATION!$AB$8:$AB$13,MATCH($N5007,DATA_ASSET_CLASSIFICATION!$AA$8:$AA$13,0)),"Review"))</f>
        <v>Bucket 1 · New Build</v>
      </c>
      <c r="P5007" s="350" t="str">
        <f>IF($B5007="Portfolio","Portfolio",IFERROR(INDEX(DATA_ASSET_CLASSIFICATION!$C$8:$C$24,MATCH($C5007,DATA_ASSET_CLASSIFICATION!$A$8:$A$24,0)),"Review"))</f>
        <v>Yes</v>
      </c>
      <c r="Q5007" s="350" t="str">
        <f t="shared" ca="1" si="157"/>
        <v>OK</v>
      </c>
    </row>
    <row r="5008" spans="1:17" ht="30">
      <c r="A5008" s="366" t="s">
        <v>6964</v>
      </c>
      <c r="B5008" s="366" t="s">
        <v>231</v>
      </c>
      <c r="C5008" s="348" t="str">
        <f>DATA_PROPERTY_MASTER!$A$21</f>
        <v>BLD_CD</v>
      </c>
      <c r="D5008" s="380">
        <f>'00_PORTFOLIO ROLLUP'!J$12</f>
        <v>2030</v>
      </c>
      <c r="E5008" s="366" t="s">
        <v>23</v>
      </c>
      <c r="F5008" s="366" t="s">
        <v>23</v>
      </c>
      <c r="G5008" s="348" t="str">
        <f>"'"&amp;$C5008&amp;"'!$E$48:$Y$48"</f>
        <v>'BLD_CD'!$E$48:$Y$48</v>
      </c>
      <c r="H5008" s="381">
        <f ca="1">IF(IFERROR(INDEX(DATA_PROPERTY_MASTER!$E$5:$E$21,MATCH($C5008,DATA_PROPERTY_MASTER!$A$5:$A$21,0))="Yes",FALSE),IFERROR(INDEX(INDIRECT("'"&amp;$C5008&amp;"'!$E$48:$Y$48"),1,MATCH($D5008,INDIRECT("'"&amp;$C5008&amp;"'!$E$12:$Y$12"),0)),0),0)</f>
        <v>979555.28115311568</v>
      </c>
      <c r="I5008" s="366" t="s">
        <v>1690</v>
      </c>
      <c r="J5008" s="348" t="str">
        <f t="shared" ca="1" si="156"/>
        <v>OK</v>
      </c>
      <c r="K5008" s="366" t="s">
        <v>1706</v>
      </c>
      <c r="L5008" s="366" t="s">
        <v>2244</v>
      </c>
      <c r="M5008" s="350" t="str">
        <f>IF($B5008="Portfolio","Portfolio",IFERROR(INDEX(DATA_ASSET_CLASSIFICATION!$B$8:$B$24,MATCH($C5008,DATA_ASSET_CLASSIFICATION!$A$8:$A$24,0)),"Review"))</f>
        <v>800 Commercial Drive</v>
      </c>
      <c r="N5008" s="350" t="str">
        <f>IF($B5008="Portfolio","Portfolio",IFERROR(INDEX(DATA_ASSET_CLASSIFICATION!$U$8:$U$24,MATCH($C5008,DATA_ASSET_CLASSIFICATION!$A$8:$A$24,0)),"Review"))</f>
        <v>New Build</v>
      </c>
      <c r="O5008" s="350" t="str">
        <f>IF($B5008="Portfolio","Portfolio",IFERROR(INDEX(DATA_ASSET_CLASSIFICATION!$AB$8:$AB$13,MATCH($N5008,DATA_ASSET_CLASSIFICATION!$AA$8:$AA$13,0)),"Review"))</f>
        <v>Bucket 1 · New Build</v>
      </c>
      <c r="P5008" s="350" t="str">
        <f>IF($B5008="Portfolio","Portfolio",IFERROR(INDEX(DATA_ASSET_CLASSIFICATION!$C$8:$C$24,MATCH($C5008,DATA_ASSET_CLASSIFICATION!$A$8:$A$24,0)),"Review"))</f>
        <v>Yes</v>
      </c>
      <c r="Q5008" s="350" t="str">
        <f t="shared" ca="1" si="157"/>
        <v>OK</v>
      </c>
    </row>
    <row r="5009" spans="1:17" ht="30">
      <c r="A5009" s="366" t="s">
        <v>6965</v>
      </c>
      <c r="B5009" s="366" t="s">
        <v>231</v>
      </c>
      <c r="C5009" s="348" t="str">
        <f>DATA_PROPERTY_MASTER!$A$21</f>
        <v>BLD_CD</v>
      </c>
      <c r="D5009" s="380">
        <f>'00_PORTFOLIO ROLLUP'!J$12</f>
        <v>2030</v>
      </c>
      <c r="E5009" s="366" t="s">
        <v>1683</v>
      </c>
      <c r="F5009" s="366" t="s">
        <v>25</v>
      </c>
      <c r="G5009" s="348" t="str">
        <f>"'"&amp;$C5009&amp;"'!$E$52:$Y$52"</f>
        <v>'BLD_CD'!$E$52:$Y$52</v>
      </c>
      <c r="H5009" s="381">
        <f ca="1">IF(IFERROR(INDEX(DATA_PROPERTY_MASTER!$E$5:$E$21,MATCH($C5009,DATA_PROPERTY_MASTER!$A$5:$A$21,0))="Yes",FALSE),IFERROR(INDEX(INDIRECT("'"&amp;$C5009&amp;"'!$E$52:$Y$52"),1,MATCH($D5009,INDIRECT("'"&amp;$C5009&amp;"'!$E$12:$Y$12"),0)),0),0)</f>
        <v>510112.04123971867</v>
      </c>
      <c r="I5009" s="366" t="s">
        <v>1685</v>
      </c>
      <c r="J5009" s="348" t="str">
        <f t="shared" ca="1" si="156"/>
        <v>OK</v>
      </c>
      <c r="K5009" s="366" t="s">
        <v>1710</v>
      </c>
      <c r="L5009" s="366" t="s">
        <v>2246</v>
      </c>
      <c r="M5009" s="350" t="str">
        <f>IF($B5009="Portfolio","Portfolio",IFERROR(INDEX(DATA_ASSET_CLASSIFICATION!$B$8:$B$24,MATCH($C5009,DATA_ASSET_CLASSIFICATION!$A$8:$A$24,0)),"Review"))</f>
        <v>800 Commercial Drive</v>
      </c>
      <c r="N5009" s="350" t="str">
        <f>IF($B5009="Portfolio","Portfolio",IFERROR(INDEX(DATA_ASSET_CLASSIFICATION!$U$8:$U$24,MATCH($C5009,DATA_ASSET_CLASSIFICATION!$A$8:$A$24,0)),"Review"))</f>
        <v>New Build</v>
      </c>
      <c r="O5009" s="350" t="str">
        <f>IF($B5009="Portfolio","Portfolio",IFERROR(INDEX(DATA_ASSET_CLASSIFICATION!$AB$8:$AB$13,MATCH($N5009,DATA_ASSET_CLASSIFICATION!$AA$8:$AA$13,0)),"Review"))</f>
        <v>Bucket 1 · New Build</v>
      </c>
      <c r="P5009" s="350" t="str">
        <f>IF($B5009="Portfolio","Portfolio",IFERROR(INDEX(DATA_ASSET_CLASSIFICATION!$C$8:$C$24,MATCH($C5009,DATA_ASSET_CLASSIFICATION!$A$8:$A$24,0)),"Review"))</f>
        <v>Yes</v>
      </c>
      <c r="Q5009" s="350" t="str">
        <f t="shared" ca="1" si="157"/>
        <v>OK</v>
      </c>
    </row>
    <row r="5010" spans="1:17" ht="30">
      <c r="A5010" s="366" t="s">
        <v>6966</v>
      </c>
      <c r="B5010" s="366" t="s">
        <v>231</v>
      </c>
      <c r="C5010" s="348" t="str">
        <f>DATA_PROPERTY_MASTER!$A$21</f>
        <v>BLD_CD</v>
      </c>
      <c r="D5010" s="380">
        <f>'00_PORTFOLIO ROLLUP'!J$12</f>
        <v>2030</v>
      </c>
      <c r="E5010" s="366" t="s">
        <v>1683</v>
      </c>
      <c r="F5010" s="366" t="s">
        <v>27</v>
      </c>
      <c r="G5010" s="348" t="str">
        <f>"'"&amp;$C5010&amp;"'!$E$54:$Y$54"</f>
        <v>'BLD_CD'!$E$54:$Y$54</v>
      </c>
      <c r="H5010" s="381">
        <f ca="1">IF(IFERROR(INDEX(DATA_PROPERTY_MASTER!$E$5:$E$21,MATCH($C5010,DATA_PROPERTY_MASTER!$A$5:$A$21,0))="Yes",FALSE),IFERROR(INDEX(INDIRECT("'"&amp;$C5010&amp;"'!$E$54:$Y$54"),1,MATCH($D5010,INDIRECT("'"&amp;$C5010&amp;"'!$E$12:$Y$12"),0)),0),0)</f>
        <v>306067.2247438312</v>
      </c>
      <c r="I5010" s="366" t="s">
        <v>1690</v>
      </c>
      <c r="J5010" s="348" t="str">
        <f t="shared" ca="1" si="156"/>
        <v>OK</v>
      </c>
      <c r="K5010" s="366" t="s">
        <v>1714</v>
      </c>
      <c r="L5010" s="366" t="s">
        <v>2248</v>
      </c>
      <c r="M5010" s="350" t="str">
        <f>IF($B5010="Portfolio","Portfolio",IFERROR(INDEX(DATA_ASSET_CLASSIFICATION!$B$8:$B$24,MATCH($C5010,DATA_ASSET_CLASSIFICATION!$A$8:$A$24,0)),"Review"))</f>
        <v>800 Commercial Drive</v>
      </c>
      <c r="N5010" s="350" t="str">
        <f>IF($B5010="Portfolio","Portfolio",IFERROR(INDEX(DATA_ASSET_CLASSIFICATION!$U$8:$U$24,MATCH($C5010,DATA_ASSET_CLASSIFICATION!$A$8:$A$24,0)),"Review"))</f>
        <v>New Build</v>
      </c>
      <c r="O5010" s="350" t="str">
        <f>IF($B5010="Portfolio","Portfolio",IFERROR(INDEX(DATA_ASSET_CLASSIFICATION!$AB$8:$AB$13,MATCH($N5010,DATA_ASSET_CLASSIFICATION!$AA$8:$AA$13,0)),"Review"))</f>
        <v>Bucket 1 · New Build</v>
      </c>
      <c r="P5010" s="350" t="str">
        <f>IF($B5010="Portfolio","Portfolio",IFERROR(INDEX(DATA_ASSET_CLASSIFICATION!$C$8:$C$24,MATCH($C5010,DATA_ASSET_CLASSIFICATION!$A$8:$A$24,0)),"Review"))</f>
        <v>Yes</v>
      </c>
      <c r="Q5010" s="350" t="str">
        <f t="shared" ca="1" si="157"/>
        <v>OK</v>
      </c>
    </row>
    <row r="5011" spans="1:17" ht="30">
      <c r="A5011" s="366" t="s">
        <v>6967</v>
      </c>
      <c r="B5011" s="366" t="s">
        <v>231</v>
      </c>
      <c r="C5011" s="348" t="str">
        <f>DATA_PROPERTY_MASTER!$A$21</f>
        <v>BLD_CD</v>
      </c>
      <c r="D5011" s="380">
        <f>'00_PORTFOLIO ROLLUP'!J$12</f>
        <v>2030</v>
      </c>
      <c r="E5011" s="366" t="s">
        <v>1683</v>
      </c>
      <c r="F5011" s="366" t="s">
        <v>29</v>
      </c>
      <c r="G5011" s="348" t="str">
        <f>"'"&amp;$C5011&amp;"'!$E$56:$Y$56"</f>
        <v>'BLD_CD'!$E$56:$Y$56</v>
      </c>
      <c r="H5011" s="381">
        <f ca="1">IF(IFERROR(INDEX(DATA_PROPERTY_MASTER!$E$5:$E$21,MATCH($C5011,DATA_PROPERTY_MASTER!$A$5:$A$21,0))="Yes",FALSE),IFERROR(INDEX(INDIRECT("'"&amp;$C5011&amp;"'!$E$56:$Y$56"),1,MATCH($D5011,INDIRECT("'"&amp;$C5011&amp;"'!$E$12:$Y$12"),0)),0),0)</f>
        <v>204044.81649588747</v>
      </c>
      <c r="I5011" s="366" t="s">
        <v>1685</v>
      </c>
      <c r="J5011" s="348" t="str">
        <f t="shared" ca="1" si="156"/>
        <v>OK</v>
      </c>
      <c r="K5011" s="366" t="s">
        <v>1718</v>
      </c>
      <c r="L5011" s="366" t="s">
        <v>2250</v>
      </c>
      <c r="M5011" s="350" t="str">
        <f>IF($B5011="Portfolio","Portfolio",IFERROR(INDEX(DATA_ASSET_CLASSIFICATION!$B$8:$B$24,MATCH($C5011,DATA_ASSET_CLASSIFICATION!$A$8:$A$24,0)),"Review"))</f>
        <v>800 Commercial Drive</v>
      </c>
      <c r="N5011" s="350" t="str">
        <f>IF($B5011="Portfolio","Portfolio",IFERROR(INDEX(DATA_ASSET_CLASSIFICATION!$U$8:$U$24,MATCH($C5011,DATA_ASSET_CLASSIFICATION!$A$8:$A$24,0)),"Review"))</f>
        <v>New Build</v>
      </c>
      <c r="O5011" s="350" t="str">
        <f>IF($B5011="Portfolio","Portfolio",IFERROR(INDEX(DATA_ASSET_CLASSIFICATION!$AB$8:$AB$13,MATCH($N5011,DATA_ASSET_CLASSIFICATION!$AA$8:$AA$13,0)),"Review"))</f>
        <v>Bucket 1 · New Build</v>
      </c>
      <c r="P5011" s="350" t="str">
        <f>IF($B5011="Portfolio","Portfolio",IFERROR(INDEX(DATA_ASSET_CLASSIFICATION!$C$8:$C$24,MATCH($C5011,DATA_ASSET_CLASSIFICATION!$A$8:$A$24,0)),"Review"))</f>
        <v>Yes</v>
      </c>
      <c r="Q5011" s="350" t="str">
        <f t="shared" ca="1" si="157"/>
        <v>OK</v>
      </c>
    </row>
    <row r="5012" spans="1:17" ht="30">
      <c r="A5012" s="366" t="s">
        <v>6968</v>
      </c>
      <c r="B5012" s="366" t="s">
        <v>231</v>
      </c>
      <c r="C5012" s="348" t="str">
        <f>DATA_PROPERTY_MASTER!$A$21</f>
        <v>BLD_CD</v>
      </c>
      <c r="D5012" s="380">
        <f>'00_PORTFOLIO ROLLUP'!J$12</f>
        <v>2030</v>
      </c>
      <c r="E5012" s="366" t="s">
        <v>1721</v>
      </c>
      <c r="F5012" s="366" t="s">
        <v>31</v>
      </c>
      <c r="G5012" s="348" t="str">
        <f>"'"&amp;$C5012&amp;"'!$E$61:$Y$61"</f>
        <v>'BLD_CD'!$E$61:$Y$61</v>
      </c>
      <c r="H5012" s="381">
        <f ca="1">IF(IFERROR(INDEX(DATA_PROPERTY_MASTER!$E$5:$E$21,MATCH($C5012,DATA_PROPERTY_MASTER!$A$5:$A$21,0))="Yes",FALSE),IFERROR(INDEX(INDIRECT("'"&amp;$C5012&amp;"'!$E$61:$Y$61"),1,MATCH($D5012,INDIRECT("'"&amp;$C5012&amp;"'!$E$12:$Y$12"),0)),0),0)</f>
        <v>0</v>
      </c>
      <c r="I5012" s="366" t="s">
        <v>1690</v>
      </c>
      <c r="J5012" s="348" t="str">
        <f t="shared" ca="1" si="156"/>
        <v>OK</v>
      </c>
      <c r="K5012" s="366" t="s">
        <v>1723</v>
      </c>
      <c r="L5012" s="366" t="s">
        <v>2252</v>
      </c>
      <c r="M5012" s="350" t="str">
        <f>IF($B5012="Portfolio","Portfolio",IFERROR(INDEX(DATA_ASSET_CLASSIFICATION!$B$8:$B$24,MATCH($C5012,DATA_ASSET_CLASSIFICATION!$A$8:$A$24,0)),"Review"))</f>
        <v>800 Commercial Drive</v>
      </c>
      <c r="N5012" s="350" t="str">
        <f>IF($B5012="Portfolio","Portfolio",IFERROR(INDEX(DATA_ASSET_CLASSIFICATION!$U$8:$U$24,MATCH($C5012,DATA_ASSET_CLASSIFICATION!$A$8:$A$24,0)),"Review"))</f>
        <v>New Build</v>
      </c>
      <c r="O5012" s="350" t="str">
        <f>IF($B5012="Portfolio","Portfolio",IFERROR(INDEX(DATA_ASSET_CLASSIFICATION!$AB$8:$AB$13,MATCH($N5012,DATA_ASSET_CLASSIFICATION!$AA$8:$AA$13,0)),"Review"))</f>
        <v>Bucket 1 · New Build</v>
      </c>
      <c r="P5012" s="350" t="str">
        <f>IF($B5012="Portfolio","Portfolio",IFERROR(INDEX(DATA_ASSET_CLASSIFICATION!$C$8:$C$24,MATCH($C5012,DATA_ASSET_CLASSIFICATION!$A$8:$A$24,0)),"Review"))</f>
        <v>Yes</v>
      </c>
      <c r="Q5012" s="350" t="str">
        <f t="shared" ca="1" si="157"/>
        <v>OK</v>
      </c>
    </row>
    <row r="5013" spans="1:17" ht="30">
      <c r="A5013" s="366" t="s">
        <v>6969</v>
      </c>
      <c r="B5013" s="366" t="s">
        <v>231</v>
      </c>
      <c r="C5013" s="348" t="str">
        <f>DATA_PROPERTY_MASTER!$A$21</f>
        <v>BLD_CD</v>
      </c>
      <c r="D5013" s="380">
        <f>'00_PORTFOLIO ROLLUP'!J$12</f>
        <v>2030</v>
      </c>
      <c r="E5013" s="366" t="s">
        <v>1721</v>
      </c>
      <c r="F5013" s="366" t="s">
        <v>33</v>
      </c>
      <c r="G5013" s="348" t="str">
        <f>"'"&amp;$C5013&amp;"'!$E$62:$Y$62"</f>
        <v>'BLD_CD'!$E$62:$Y$62</v>
      </c>
      <c r="H5013" s="381">
        <f ca="1">IF(IFERROR(INDEX(DATA_PROPERTY_MASTER!$E$5:$E$21,MATCH($C5013,DATA_PROPERTY_MASTER!$A$5:$A$21,0))="Yes",FALSE),IFERROR(INDEX(INDIRECT("'"&amp;$C5013&amp;"'!$E$62:$Y$62"),1,MATCH($D5013,INDIRECT("'"&amp;$C5013&amp;"'!$E$12:$Y$12"),0)),0),0)</f>
        <v>0</v>
      </c>
      <c r="I5013" s="366" t="s">
        <v>1685</v>
      </c>
      <c r="J5013" s="348" t="str">
        <f t="shared" ca="1" si="156"/>
        <v>OK</v>
      </c>
      <c r="K5013" s="366" t="s">
        <v>1727</v>
      </c>
      <c r="L5013" s="366" t="s">
        <v>2254</v>
      </c>
      <c r="M5013" s="350" t="str">
        <f>IF($B5013="Portfolio","Portfolio",IFERROR(INDEX(DATA_ASSET_CLASSIFICATION!$B$8:$B$24,MATCH($C5013,DATA_ASSET_CLASSIFICATION!$A$8:$A$24,0)),"Review"))</f>
        <v>800 Commercial Drive</v>
      </c>
      <c r="N5013" s="350" t="str">
        <f>IF($B5013="Portfolio","Portfolio",IFERROR(INDEX(DATA_ASSET_CLASSIFICATION!$U$8:$U$24,MATCH($C5013,DATA_ASSET_CLASSIFICATION!$A$8:$A$24,0)),"Review"))</f>
        <v>New Build</v>
      </c>
      <c r="O5013" s="350" t="str">
        <f>IF($B5013="Portfolio","Portfolio",IFERROR(INDEX(DATA_ASSET_CLASSIFICATION!$AB$8:$AB$13,MATCH($N5013,DATA_ASSET_CLASSIFICATION!$AA$8:$AA$13,0)),"Review"))</f>
        <v>Bucket 1 · New Build</v>
      </c>
      <c r="P5013" s="350" t="str">
        <f>IF($B5013="Portfolio","Portfolio",IFERROR(INDEX(DATA_ASSET_CLASSIFICATION!$C$8:$C$24,MATCH($C5013,DATA_ASSET_CLASSIFICATION!$A$8:$A$24,0)),"Review"))</f>
        <v>Yes</v>
      </c>
      <c r="Q5013" s="350" t="str">
        <f t="shared" ca="1" si="157"/>
        <v>OK</v>
      </c>
    </row>
    <row r="5014" spans="1:17" ht="30">
      <c r="A5014" s="366" t="s">
        <v>6970</v>
      </c>
      <c r="B5014" s="366" t="s">
        <v>231</v>
      </c>
      <c r="C5014" s="348" t="str">
        <f>DATA_PROPERTY_MASTER!$A$21</f>
        <v>BLD_CD</v>
      </c>
      <c r="D5014" s="380">
        <f>'00_PORTFOLIO ROLLUP'!J$12</f>
        <v>2030</v>
      </c>
      <c r="E5014" s="366" t="s">
        <v>1721</v>
      </c>
      <c r="F5014" s="366" t="s">
        <v>35</v>
      </c>
      <c r="G5014" s="348" t="str">
        <f>"'"&amp;$C5014&amp;"'!$E$63:$Y$63"</f>
        <v>'BLD_CD'!$E$63:$Y$63</v>
      </c>
      <c r="H5014" s="381">
        <f ca="1">IF(IFERROR(INDEX(DATA_PROPERTY_MASTER!$E$5:$E$21,MATCH($C5014,DATA_PROPERTY_MASTER!$A$5:$A$21,0))="Yes",FALSE),IFERROR(INDEX(INDIRECT("'"&amp;$C5014&amp;"'!$E$63:$Y$63"),1,MATCH($D5014,INDIRECT("'"&amp;$C5014&amp;"'!$E$12:$Y$12"),0)),0),0)</f>
        <v>0</v>
      </c>
      <c r="I5014" s="366" t="s">
        <v>1731</v>
      </c>
      <c r="J5014" s="348" t="str">
        <f t="shared" ca="1" si="156"/>
        <v>OK</v>
      </c>
      <c r="K5014" s="366" t="s">
        <v>1732</v>
      </c>
      <c r="L5014" s="366" t="s">
        <v>2256</v>
      </c>
      <c r="M5014" s="350" t="str">
        <f>IF($B5014="Portfolio","Portfolio",IFERROR(INDEX(DATA_ASSET_CLASSIFICATION!$B$8:$B$24,MATCH($C5014,DATA_ASSET_CLASSIFICATION!$A$8:$A$24,0)),"Review"))</f>
        <v>800 Commercial Drive</v>
      </c>
      <c r="N5014" s="350" t="str">
        <f>IF($B5014="Portfolio","Portfolio",IFERROR(INDEX(DATA_ASSET_CLASSIFICATION!$U$8:$U$24,MATCH($C5014,DATA_ASSET_CLASSIFICATION!$A$8:$A$24,0)),"Review"))</f>
        <v>New Build</v>
      </c>
      <c r="O5014" s="350" t="str">
        <f>IF($B5014="Portfolio","Portfolio",IFERROR(INDEX(DATA_ASSET_CLASSIFICATION!$AB$8:$AB$13,MATCH($N5014,DATA_ASSET_CLASSIFICATION!$AA$8:$AA$13,0)),"Review"))</f>
        <v>Bucket 1 · New Build</v>
      </c>
      <c r="P5014" s="350" t="str">
        <f>IF($B5014="Portfolio","Portfolio",IFERROR(INDEX(DATA_ASSET_CLASSIFICATION!$C$8:$C$24,MATCH($C5014,DATA_ASSET_CLASSIFICATION!$A$8:$A$24,0)),"Review"))</f>
        <v>Yes</v>
      </c>
      <c r="Q5014" s="350" t="str">
        <f t="shared" ca="1" si="157"/>
        <v>OK</v>
      </c>
    </row>
    <row r="5015" spans="1:17" ht="30">
      <c r="A5015" s="366" t="s">
        <v>6971</v>
      </c>
      <c r="B5015" s="366" t="s">
        <v>231</v>
      </c>
      <c r="C5015" s="348" t="str">
        <f>DATA_PROPERTY_MASTER!$A$21</f>
        <v>BLD_CD</v>
      </c>
      <c r="D5015" s="380">
        <f>'00_PORTFOLIO ROLLUP'!J$12</f>
        <v>2030</v>
      </c>
      <c r="E5015" s="366" t="s">
        <v>1721</v>
      </c>
      <c r="F5015" s="366" t="s">
        <v>37</v>
      </c>
      <c r="G5015" s="348" t="str">
        <f>"'"&amp;$C5015&amp;"'!$E$63:$Y$63"</f>
        <v>'BLD_CD'!$E$63:$Y$63</v>
      </c>
      <c r="H5015" s="381">
        <f ca="1">IF(IFERROR(INDEX(DATA_PROPERTY_MASTER!$E$5:$E$21,MATCH($C5015,DATA_PROPERTY_MASTER!$A$5:$A$21,0))="Yes",FALSE),MAX(IFERROR(INDEX(INDIRECT("'"&amp;$C5015&amp;"'!$E$63:$Y$63"),1,MATCH($D5015,INDIRECT("'"&amp;$C5015&amp;"'!$E$12:$Y$12"),0)),0),0),0)</f>
        <v>0</v>
      </c>
      <c r="I5015" s="366" t="s">
        <v>1685</v>
      </c>
      <c r="J5015" s="348" t="str">
        <f t="shared" ca="1" si="156"/>
        <v>OK</v>
      </c>
      <c r="K5015" s="366" t="s">
        <v>1735</v>
      </c>
      <c r="L5015" s="366" t="s">
        <v>2258</v>
      </c>
      <c r="M5015" s="350" t="str">
        <f>IF($B5015="Portfolio","Portfolio",IFERROR(INDEX(DATA_ASSET_CLASSIFICATION!$B$8:$B$24,MATCH($C5015,DATA_ASSET_CLASSIFICATION!$A$8:$A$24,0)),"Review"))</f>
        <v>800 Commercial Drive</v>
      </c>
      <c r="N5015" s="350" t="str">
        <f>IF($B5015="Portfolio","Portfolio",IFERROR(INDEX(DATA_ASSET_CLASSIFICATION!$U$8:$U$24,MATCH($C5015,DATA_ASSET_CLASSIFICATION!$A$8:$A$24,0)),"Review"))</f>
        <v>New Build</v>
      </c>
      <c r="O5015" s="350" t="str">
        <f>IF($B5015="Portfolio","Portfolio",IFERROR(INDEX(DATA_ASSET_CLASSIFICATION!$AB$8:$AB$13,MATCH($N5015,DATA_ASSET_CLASSIFICATION!$AA$8:$AA$13,0)),"Review"))</f>
        <v>Bucket 1 · New Build</v>
      </c>
      <c r="P5015" s="350" t="str">
        <f>IF($B5015="Portfolio","Portfolio",IFERROR(INDEX(DATA_ASSET_CLASSIFICATION!$C$8:$C$24,MATCH($C5015,DATA_ASSET_CLASSIFICATION!$A$8:$A$24,0)),"Review"))</f>
        <v>Yes</v>
      </c>
      <c r="Q5015" s="350" t="str">
        <f t="shared" ca="1" si="157"/>
        <v>OK</v>
      </c>
    </row>
    <row r="5016" spans="1:17" ht="30">
      <c r="A5016" s="366" t="s">
        <v>6972</v>
      </c>
      <c r="B5016" s="366" t="s">
        <v>231</v>
      </c>
      <c r="C5016" s="348" t="str">
        <f>DATA_PROPERTY_MASTER!$A$21</f>
        <v>BLD_CD</v>
      </c>
      <c r="D5016" s="380">
        <f>'00_PORTFOLIO ROLLUP'!J$12</f>
        <v>2030</v>
      </c>
      <c r="E5016" s="366" t="s">
        <v>1721</v>
      </c>
      <c r="F5016" s="366" t="s">
        <v>39</v>
      </c>
      <c r="G5016" s="348" t="str">
        <f>"'"&amp;$C5016&amp;"'!$E$63:$Y$63"</f>
        <v>'BLD_CD'!$E$63:$Y$63</v>
      </c>
      <c r="H5016" s="381">
        <f ca="1">IF(IFERROR(INDEX(DATA_PROPERTY_MASTER!$E$5:$E$21,MATCH($C5016,DATA_PROPERTY_MASTER!$A$5:$A$21,0))="Yes",FALSE),MAX(-IFERROR(INDEX(INDIRECT("'"&amp;$C5016&amp;"'!$E$63:$Y$63"),1,MATCH($D5016,INDIRECT("'"&amp;$C5016&amp;"'!$E$12:$Y$12"),0)),0),0),0)</f>
        <v>0</v>
      </c>
      <c r="I5016" s="366" t="s">
        <v>1690</v>
      </c>
      <c r="J5016" s="348" t="str">
        <f t="shared" ca="1" si="156"/>
        <v>OK</v>
      </c>
      <c r="K5016" s="366" t="s">
        <v>1738</v>
      </c>
      <c r="L5016" s="366" t="s">
        <v>2260</v>
      </c>
      <c r="M5016" s="350" t="str">
        <f>IF($B5016="Portfolio","Portfolio",IFERROR(INDEX(DATA_ASSET_CLASSIFICATION!$B$8:$B$24,MATCH($C5016,DATA_ASSET_CLASSIFICATION!$A$8:$A$24,0)),"Review"))</f>
        <v>800 Commercial Drive</v>
      </c>
      <c r="N5016" s="350" t="str">
        <f>IF($B5016="Portfolio","Portfolio",IFERROR(INDEX(DATA_ASSET_CLASSIFICATION!$U$8:$U$24,MATCH($C5016,DATA_ASSET_CLASSIFICATION!$A$8:$A$24,0)),"Review"))</f>
        <v>New Build</v>
      </c>
      <c r="O5016" s="350" t="str">
        <f>IF($B5016="Portfolio","Portfolio",IFERROR(INDEX(DATA_ASSET_CLASSIFICATION!$AB$8:$AB$13,MATCH($N5016,DATA_ASSET_CLASSIFICATION!$AA$8:$AA$13,0)),"Review"))</f>
        <v>Bucket 1 · New Build</v>
      </c>
      <c r="P5016" s="350" t="str">
        <f>IF($B5016="Portfolio","Portfolio",IFERROR(INDEX(DATA_ASSET_CLASSIFICATION!$C$8:$C$24,MATCH($C5016,DATA_ASSET_CLASSIFICATION!$A$8:$A$24,0)),"Review"))</f>
        <v>Yes</v>
      </c>
      <c r="Q5016" s="350" t="str">
        <f t="shared" ca="1" si="157"/>
        <v>OK</v>
      </c>
    </row>
    <row r="5017" spans="1:17" ht="30">
      <c r="A5017" s="366" t="s">
        <v>6973</v>
      </c>
      <c r="B5017" s="366" t="s">
        <v>231</v>
      </c>
      <c r="C5017" s="348" t="str">
        <f>DATA_PROPERTY_MASTER!$A$21</f>
        <v>BLD_CD</v>
      </c>
      <c r="D5017" s="380">
        <f>'00_PORTFOLIO ROLLUP'!J$12</f>
        <v>2030</v>
      </c>
      <c r="E5017" s="366" t="s">
        <v>1741</v>
      </c>
      <c r="F5017" s="366" t="s">
        <v>41</v>
      </c>
      <c r="G5017" s="348" t="str">
        <f>"'"&amp;$C5017&amp;"'!rows 56 + positive row 63"</f>
        <v>'BLD_CD'!rows 56 + positive row 63</v>
      </c>
      <c r="H5017" s="381">
        <f ca="1">IF(IFERROR(INDEX(DATA_PROPERTY_MASTER!$E$5:$E$21,MATCH($C5017,DATA_PROPERTY_MASTER!$A$5:$A$21,0))="Yes",FALSE),IFERROR(INDEX(INDIRECT("'"&amp;$C5017&amp;"'!$E$56:$Y$56"),1,MATCH($D5017,INDIRECT("'"&amp;$C5017&amp;"'!$E$12:$Y$12"),0)),0)+MAX(IFERROR(INDEX(INDIRECT("'"&amp;$C5017&amp;"'!$E$63:$Y$63"),1,MATCH($D5017,INDIRECT("'"&amp;$C5017&amp;"'!$E$12:$Y$12"),0)),0),0),0)</f>
        <v>204044.81649588747</v>
      </c>
      <c r="I5017" s="366" t="s">
        <v>1685</v>
      </c>
      <c r="J5017" s="348" t="str">
        <f t="shared" ca="1" si="156"/>
        <v>OK</v>
      </c>
      <c r="K5017" s="366" t="s">
        <v>1742</v>
      </c>
      <c r="L5017" s="366" t="s">
        <v>2262</v>
      </c>
      <c r="M5017" s="350" t="str">
        <f>IF($B5017="Portfolio","Portfolio",IFERROR(INDEX(DATA_ASSET_CLASSIFICATION!$B$8:$B$24,MATCH($C5017,DATA_ASSET_CLASSIFICATION!$A$8:$A$24,0)),"Review"))</f>
        <v>800 Commercial Drive</v>
      </c>
      <c r="N5017" s="350" t="str">
        <f>IF($B5017="Portfolio","Portfolio",IFERROR(INDEX(DATA_ASSET_CLASSIFICATION!$U$8:$U$24,MATCH($C5017,DATA_ASSET_CLASSIFICATION!$A$8:$A$24,0)),"Review"))</f>
        <v>New Build</v>
      </c>
      <c r="O5017" s="350" t="str">
        <f>IF($B5017="Portfolio","Portfolio",IFERROR(INDEX(DATA_ASSET_CLASSIFICATION!$AB$8:$AB$13,MATCH($N5017,DATA_ASSET_CLASSIFICATION!$AA$8:$AA$13,0)),"Review"))</f>
        <v>Bucket 1 · New Build</v>
      </c>
      <c r="P5017" s="350" t="str">
        <f>IF($B5017="Portfolio","Portfolio",IFERROR(INDEX(DATA_ASSET_CLASSIFICATION!$C$8:$C$24,MATCH($C5017,DATA_ASSET_CLASSIFICATION!$A$8:$A$24,0)),"Review"))</f>
        <v>Yes</v>
      </c>
      <c r="Q5017" s="350" t="str">
        <f t="shared" ca="1" si="157"/>
        <v>OK</v>
      </c>
    </row>
    <row r="5018" spans="1:17" ht="30">
      <c r="A5018" s="366" t="s">
        <v>6974</v>
      </c>
      <c r="B5018" s="366" t="s">
        <v>231</v>
      </c>
      <c r="C5018" s="348" t="str">
        <f>DATA_PROPERTY_MASTER!$A$21</f>
        <v>BLD_CD</v>
      </c>
      <c r="D5018" s="380">
        <f>'00_PORTFOLIO ROLLUP'!J$12</f>
        <v>2030</v>
      </c>
      <c r="E5018" s="366" t="s">
        <v>1741</v>
      </c>
      <c r="F5018" s="366" t="s">
        <v>43</v>
      </c>
      <c r="G5018" s="348" t="str">
        <f>"'"&amp;$C5018&amp;"'!$E$68:$Y$68"</f>
        <v>'BLD_CD'!$E$68:$Y$68</v>
      </c>
      <c r="H5018" s="381">
        <f ca="1">IF(IFERROR(INDEX(DATA_PROPERTY_MASTER!$E$5:$E$21,MATCH($C5018,DATA_PROPERTY_MASTER!$A$5:$A$21,0))="Yes",FALSE),IFERROR(INDEX(INDIRECT("'"&amp;$C5018&amp;"'!$E$68:$Y$68"),1,MATCH($D5018,INDIRECT("'"&amp;$C5018&amp;"'!$E$12:$Y$12"),0)),0),0)</f>
        <v>204044.81649588747</v>
      </c>
      <c r="I5018" s="366" t="s">
        <v>1731</v>
      </c>
      <c r="J5018" s="348" t="str">
        <f t="shared" ca="1" si="156"/>
        <v>OK</v>
      </c>
      <c r="K5018" s="366" t="s">
        <v>1746</v>
      </c>
      <c r="L5018" s="366" t="s">
        <v>2264</v>
      </c>
      <c r="M5018" s="350" t="str">
        <f>IF($B5018="Portfolio","Portfolio",IFERROR(INDEX(DATA_ASSET_CLASSIFICATION!$B$8:$B$24,MATCH($C5018,DATA_ASSET_CLASSIFICATION!$A$8:$A$24,0)),"Review"))</f>
        <v>800 Commercial Drive</v>
      </c>
      <c r="N5018" s="350" t="str">
        <f>IF($B5018="Portfolio","Portfolio",IFERROR(INDEX(DATA_ASSET_CLASSIFICATION!$U$8:$U$24,MATCH($C5018,DATA_ASSET_CLASSIFICATION!$A$8:$A$24,0)),"Review"))</f>
        <v>New Build</v>
      </c>
      <c r="O5018" s="350" t="str">
        <f>IF($B5018="Portfolio","Portfolio",IFERROR(INDEX(DATA_ASSET_CLASSIFICATION!$AB$8:$AB$13,MATCH($N5018,DATA_ASSET_CLASSIFICATION!$AA$8:$AA$13,0)),"Review"))</f>
        <v>Bucket 1 · New Build</v>
      </c>
      <c r="P5018" s="350" t="str">
        <f>IF($B5018="Portfolio","Portfolio",IFERROR(INDEX(DATA_ASSET_CLASSIFICATION!$C$8:$C$24,MATCH($C5018,DATA_ASSET_CLASSIFICATION!$A$8:$A$24,0)),"Review"))</f>
        <v>Yes</v>
      </c>
      <c r="Q5018" s="350" t="str">
        <f t="shared" ca="1" si="157"/>
        <v>OK</v>
      </c>
    </row>
    <row r="5019" spans="1:17" ht="30">
      <c r="A5019" s="366" t="s">
        <v>6975</v>
      </c>
      <c r="B5019" s="366" t="s">
        <v>231</v>
      </c>
      <c r="C5019" s="348" t="str">
        <f>DATA_PROPERTY_MASTER!$A$21</f>
        <v>BLD_CD</v>
      </c>
      <c r="D5019" s="380">
        <f>'00_PORTFOLIO ROLLUP'!J$12</f>
        <v>2030</v>
      </c>
      <c r="E5019" s="366" t="s">
        <v>1741</v>
      </c>
      <c r="F5019" s="366" t="s">
        <v>1749</v>
      </c>
      <c r="G5019" s="348" t="str">
        <f>"'"&amp;$C5019&amp;"'!rows 56, 63, 68"</f>
        <v>'BLD_CD'!rows 56, 63, 68</v>
      </c>
      <c r="H5019" s="381">
        <f ca="1">IF(IFERROR(INDEX(DATA_PROPERTY_MASTER!$E$5:$E$21,MATCH($C5019,DATA_PROPERTY_MASTER!$A$5:$A$21,0))="Yes",FALSE),(IFERROR(INDEX(INDIRECT("'"&amp;$C5019&amp;"'!$E$56:$Y$56"),1,MATCH($D5019,INDIRECT("'"&amp;$C5019&amp;"'!$E$12:$Y$12"),0)),0)+MAX(IFERROR(INDEX(INDIRECT("'"&amp;$C5019&amp;"'!$E$63:$Y$63"),1,MATCH($D5019,INDIRECT("'"&amp;$C5019&amp;"'!$E$12:$Y$12"),0)),0),0))-(IFERROR(INDEX(INDIRECT("'"&amp;$C5019&amp;"'!$E$68:$Y$68"),1,MATCH($D5019,INDIRECT("'"&amp;$C5019&amp;"'!$E$12:$Y$12"),0)),0)),0)</f>
        <v>0</v>
      </c>
      <c r="I5019" s="366" t="s">
        <v>1750</v>
      </c>
      <c r="J5019" s="348" t="str">
        <f t="shared" ca="1" si="156"/>
        <v>OK</v>
      </c>
      <c r="K5019" s="366" t="s">
        <v>1751</v>
      </c>
      <c r="L5019" s="366" t="s">
        <v>2266</v>
      </c>
      <c r="M5019" s="350" t="str">
        <f>IF($B5019="Portfolio","Portfolio",IFERROR(INDEX(DATA_ASSET_CLASSIFICATION!$B$8:$B$24,MATCH($C5019,DATA_ASSET_CLASSIFICATION!$A$8:$A$24,0)),"Review"))</f>
        <v>800 Commercial Drive</v>
      </c>
      <c r="N5019" s="350" t="str">
        <f>IF($B5019="Portfolio","Portfolio",IFERROR(INDEX(DATA_ASSET_CLASSIFICATION!$U$8:$U$24,MATCH($C5019,DATA_ASSET_CLASSIFICATION!$A$8:$A$24,0)),"Review"))</f>
        <v>New Build</v>
      </c>
      <c r="O5019" s="350" t="str">
        <f>IF($B5019="Portfolio","Portfolio",IFERROR(INDEX(DATA_ASSET_CLASSIFICATION!$AB$8:$AB$13,MATCH($N5019,DATA_ASSET_CLASSIFICATION!$AA$8:$AA$13,0)),"Review"))</f>
        <v>Bucket 1 · New Build</v>
      </c>
      <c r="P5019" s="350" t="str">
        <f>IF($B5019="Portfolio","Portfolio",IFERROR(INDEX(DATA_ASSET_CLASSIFICATION!$C$8:$C$24,MATCH($C5019,DATA_ASSET_CLASSIFICATION!$A$8:$A$24,0)),"Review"))</f>
        <v>Yes</v>
      </c>
      <c r="Q5019" s="350" t="str">
        <f t="shared" ca="1" si="157"/>
        <v>OK</v>
      </c>
    </row>
    <row r="5020" spans="1:17" ht="30">
      <c r="A5020" s="366" t="s">
        <v>6976</v>
      </c>
      <c r="B5020" s="366" t="s">
        <v>231</v>
      </c>
      <c r="C5020" s="348" t="str">
        <f>DATA_PROPERTY_MASTER!$A$21</f>
        <v>BLD_CD</v>
      </c>
      <c r="D5020" s="380">
        <f>'00_PORTFOLIO ROLLUP'!K$12</f>
        <v>2031</v>
      </c>
      <c r="E5020" s="366" t="s">
        <v>1683</v>
      </c>
      <c r="F5020" s="366" t="s">
        <v>341</v>
      </c>
      <c r="G5020" s="348" t="str">
        <f>"'"&amp;$C5020&amp;"'!$E$24:$Y$24"</f>
        <v>'BLD_CD'!$E$24:$Y$24</v>
      </c>
      <c r="H5020" s="381">
        <f ca="1">IF(IFERROR(INDEX(DATA_PROPERTY_MASTER!$E$5:$E$21,MATCH($C5020,DATA_PROPERTY_MASTER!$A$5:$A$21,0))="Yes",FALSE),IFERROR(INDEX(INDIRECT("'"&amp;$C5020&amp;"'!$E$24:$Y$24"),1,MATCH($D5020,INDIRECT("'"&amp;$C5020&amp;"'!$E$12:$Y$12"),0)),0),0)</f>
        <v>2299357.0546982763</v>
      </c>
      <c r="I5020" s="366" t="s">
        <v>1685</v>
      </c>
      <c r="J5020" s="348" t="str">
        <f t="shared" ca="1" si="156"/>
        <v>OK</v>
      </c>
      <c r="K5020" s="366" t="s">
        <v>1686</v>
      </c>
      <c r="L5020" s="366" t="s">
        <v>2234</v>
      </c>
      <c r="M5020" s="350" t="str">
        <f>IF($B5020="Portfolio","Portfolio",IFERROR(INDEX(DATA_ASSET_CLASSIFICATION!$B$8:$B$24,MATCH($C5020,DATA_ASSET_CLASSIFICATION!$A$8:$A$24,0)),"Review"))</f>
        <v>800 Commercial Drive</v>
      </c>
      <c r="N5020" s="350" t="str">
        <f>IF($B5020="Portfolio","Portfolio",IFERROR(INDEX(DATA_ASSET_CLASSIFICATION!$U$8:$U$24,MATCH($C5020,DATA_ASSET_CLASSIFICATION!$A$8:$A$24,0)),"Review"))</f>
        <v>New Build</v>
      </c>
      <c r="O5020" s="350" t="str">
        <f>IF($B5020="Portfolio","Portfolio",IFERROR(INDEX(DATA_ASSET_CLASSIFICATION!$AB$8:$AB$13,MATCH($N5020,DATA_ASSET_CLASSIFICATION!$AA$8:$AA$13,0)),"Review"))</f>
        <v>Bucket 1 · New Build</v>
      </c>
      <c r="P5020" s="350" t="str">
        <f>IF($B5020="Portfolio","Portfolio",IFERROR(INDEX(DATA_ASSET_CLASSIFICATION!$C$8:$C$24,MATCH($C5020,DATA_ASSET_CLASSIFICATION!$A$8:$A$24,0)),"Review"))</f>
        <v>Yes</v>
      </c>
      <c r="Q5020" s="350" t="str">
        <f t="shared" ca="1" si="157"/>
        <v>OK</v>
      </c>
    </row>
    <row r="5021" spans="1:17" ht="30">
      <c r="A5021" s="366" t="s">
        <v>6977</v>
      </c>
      <c r="B5021" s="366" t="s">
        <v>231</v>
      </c>
      <c r="C5021" s="348" t="str">
        <f>DATA_PROPERTY_MASTER!$A$21</f>
        <v>BLD_CD</v>
      </c>
      <c r="D5021" s="380">
        <f>'00_PORTFOLIO ROLLUP'!K$12</f>
        <v>2031</v>
      </c>
      <c r="E5021" s="366" t="s">
        <v>1683</v>
      </c>
      <c r="F5021" s="366" t="s">
        <v>355</v>
      </c>
      <c r="G5021" s="348" t="str">
        <f>"'"&amp;$C5021&amp;"'!$E$39:$Y$39"</f>
        <v>'BLD_CD'!$E$39:$Y$39</v>
      </c>
      <c r="H5021" s="381">
        <f ca="1">IF(IFERROR(INDEX(DATA_PROPERTY_MASTER!$E$5:$E$21,MATCH($C5021,DATA_PROPERTY_MASTER!$A$5:$A$21,0))="Yes",FALSE),IFERROR(INDEX(INDIRECT("'"&amp;$C5021&amp;"'!$E$39:$Y$39"),1,MATCH($D5021,INDIRECT("'"&amp;$C5021&amp;"'!$E$12:$Y$12"),0)),0),0)</f>
        <v>795188.47185479291</v>
      </c>
      <c r="I5021" s="366" t="s">
        <v>1690</v>
      </c>
      <c r="J5021" s="348" t="str">
        <f t="shared" ca="1" si="156"/>
        <v>OK</v>
      </c>
      <c r="K5021" s="366" t="s">
        <v>1686</v>
      </c>
      <c r="L5021" s="366" t="s">
        <v>2236</v>
      </c>
      <c r="M5021" s="350" t="str">
        <f>IF($B5021="Portfolio","Portfolio",IFERROR(INDEX(DATA_ASSET_CLASSIFICATION!$B$8:$B$24,MATCH($C5021,DATA_ASSET_CLASSIFICATION!$A$8:$A$24,0)),"Review"))</f>
        <v>800 Commercial Drive</v>
      </c>
      <c r="N5021" s="350" t="str">
        <f>IF($B5021="Portfolio","Portfolio",IFERROR(INDEX(DATA_ASSET_CLASSIFICATION!$U$8:$U$24,MATCH($C5021,DATA_ASSET_CLASSIFICATION!$A$8:$A$24,0)),"Review"))</f>
        <v>New Build</v>
      </c>
      <c r="O5021" s="350" t="str">
        <f>IF($B5021="Portfolio","Portfolio",IFERROR(INDEX(DATA_ASSET_CLASSIFICATION!$AB$8:$AB$13,MATCH($N5021,DATA_ASSET_CLASSIFICATION!$AA$8:$AA$13,0)),"Review"))</f>
        <v>Bucket 1 · New Build</v>
      </c>
      <c r="P5021" s="350" t="str">
        <f>IF($B5021="Portfolio","Portfolio",IFERROR(INDEX(DATA_ASSET_CLASSIFICATION!$C$8:$C$24,MATCH($C5021,DATA_ASSET_CLASSIFICATION!$A$8:$A$24,0)),"Review"))</f>
        <v>Yes</v>
      </c>
      <c r="Q5021" s="350" t="str">
        <f t="shared" ca="1" si="157"/>
        <v>OK</v>
      </c>
    </row>
    <row r="5022" spans="1:17" ht="30">
      <c r="A5022" s="366" t="s">
        <v>6978</v>
      </c>
      <c r="B5022" s="366" t="s">
        <v>231</v>
      </c>
      <c r="C5022" s="348" t="str">
        <f>DATA_PROPERTY_MASTER!$A$21</f>
        <v>BLD_CD</v>
      </c>
      <c r="D5022" s="380">
        <f>'00_PORTFOLIO ROLLUP'!K$12</f>
        <v>2031</v>
      </c>
      <c r="E5022" s="366" t="s">
        <v>1683</v>
      </c>
      <c r="F5022" s="366" t="s">
        <v>19</v>
      </c>
      <c r="G5022" s="348" t="str">
        <f>"'"&amp;$C5022&amp;"'!$E$41:$Y$41"</f>
        <v>'BLD_CD'!$E$41:$Y$41</v>
      </c>
      <c r="H5022" s="381">
        <f ca="1">IF(IFERROR(INDEX(DATA_PROPERTY_MASTER!$E$5:$E$21,MATCH($C5022,DATA_PROPERTY_MASTER!$A$5:$A$21,0))="Yes",FALSE),IFERROR(INDEX(INDIRECT("'"&amp;$C5022&amp;"'!$E$41:$Y$41"),1,MATCH($D5022,INDIRECT("'"&amp;$C5022&amp;"'!$E$12:$Y$12"),0)),0),0)</f>
        <v>1504168.5828434834</v>
      </c>
      <c r="I5022" s="366" t="s">
        <v>1685</v>
      </c>
      <c r="J5022" s="348" t="str">
        <f t="shared" ca="1" si="156"/>
        <v>OK</v>
      </c>
      <c r="K5022" s="366" t="s">
        <v>1694</v>
      </c>
      <c r="L5022" s="366" t="s">
        <v>2238</v>
      </c>
      <c r="M5022" s="350" t="str">
        <f>IF($B5022="Portfolio","Portfolio",IFERROR(INDEX(DATA_ASSET_CLASSIFICATION!$B$8:$B$24,MATCH($C5022,DATA_ASSET_CLASSIFICATION!$A$8:$A$24,0)),"Review"))</f>
        <v>800 Commercial Drive</v>
      </c>
      <c r="N5022" s="350" t="str">
        <f>IF($B5022="Portfolio","Portfolio",IFERROR(INDEX(DATA_ASSET_CLASSIFICATION!$U$8:$U$24,MATCH($C5022,DATA_ASSET_CLASSIFICATION!$A$8:$A$24,0)),"Review"))</f>
        <v>New Build</v>
      </c>
      <c r="O5022" s="350" t="str">
        <f>IF($B5022="Portfolio","Portfolio",IFERROR(INDEX(DATA_ASSET_CLASSIFICATION!$AB$8:$AB$13,MATCH($N5022,DATA_ASSET_CLASSIFICATION!$AA$8:$AA$13,0)),"Review"))</f>
        <v>Bucket 1 · New Build</v>
      </c>
      <c r="P5022" s="350" t="str">
        <f>IF($B5022="Portfolio","Portfolio",IFERROR(INDEX(DATA_ASSET_CLASSIFICATION!$C$8:$C$24,MATCH($C5022,DATA_ASSET_CLASSIFICATION!$A$8:$A$24,0)),"Review"))</f>
        <v>Yes</v>
      </c>
      <c r="Q5022" s="350" t="str">
        <f t="shared" ca="1" si="157"/>
        <v>OK</v>
      </c>
    </row>
    <row r="5023" spans="1:17" ht="30">
      <c r="A5023" s="366" t="s">
        <v>6979</v>
      </c>
      <c r="B5023" s="366" t="s">
        <v>231</v>
      </c>
      <c r="C5023" s="348" t="str">
        <f>DATA_PROPERTY_MASTER!$A$21</f>
        <v>BLD_CD</v>
      </c>
      <c r="D5023" s="380">
        <f>'00_PORTFOLIO ROLLUP'!K$12</f>
        <v>2031</v>
      </c>
      <c r="E5023" s="366" t="s">
        <v>1683</v>
      </c>
      <c r="F5023" s="366" t="s">
        <v>1697</v>
      </c>
      <c r="G5023" s="348" t="str">
        <f>"'"&amp;$C5023&amp;"'!$E$44:$Y$44"</f>
        <v>'BLD_CD'!$E$44:$Y$44</v>
      </c>
      <c r="H5023" s="381">
        <f ca="1">IF(IFERROR(INDEX(DATA_PROPERTY_MASTER!$E$5:$E$21,MATCH($C5023,DATA_PROPERTY_MASTER!$A$5:$A$21,0))="Yes",FALSE),IFERROR(INDEX(INDIRECT("'"&amp;$C5023&amp;"'!$E$44:$Y$44"),1,MATCH($D5023,INDIRECT("'"&amp;$C5023&amp;"'!$E$12:$Y$12"),0)),0),0)</f>
        <v>15709.9657487328</v>
      </c>
      <c r="I5023" s="366" t="s">
        <v>1690</v>
      </c>
      <c r="J5023" s="348" t="str">
        <f t="shared" ca="1" si="156"/>
        <v>OK</v>
      </c>
      <c r="K5023" s="366" t="s">
        <v>1699</v>
      </c>
      <c r="L5023" s="366" t="s">
        <v>2240</v>
      </c>
      <c r="M5023" s="350" t="str">
        <f>IF($B5023="Portfolio","Portfolio",IFERROR(INDEX(DATA_ASSET_CLASSIFICATION!$B$8:$B$24,MATCH($C5023,DATA_ASSET_CLASSIFICATION!$A$8:$A$24,0)),"Review"))</f>
        <v>800 Commercial Drive</v>
      </c>
      <c r="N5023" s="350" t="str">
        <f>IF($B5023="Portfolio","Portfolio",IFERROR(INDEX(DATA_ASSET_CLASSIFICATION!$U$8:$U$24,MATCH($C5023,DATA_ASSET_CLASSIFICATION!$A$8:$A$24,0)),"Review"))</f>
        <v>New Build</v>
      </c>
      <c r="O5023" s="350" t="str">
        <f>IF($B5023="Portfolio","Portfolio",IFERROR(INDEX(DATA_ASSET_CLASSIFICATION!$AB$8:$AB$13,MATCH($N5023,DATA_ASSET_CLASSIFICATION!$AA$8:$AA$13,0)),"Review"))</f>
        <v>Bucket 1 · New Build</v>
      </c>
      <c r="P5023" s="350" t="str">
        <f>IF($B5023="Portfolio","Portfolio",IFERROR(INDEX(DATA_ASSET_CLASSIFICATION!$C$8:$C$24,MATCH($C5023,DATA_ASSET_CLASSIFICATION!$A$8:$A$24,0)),"Review"))</f>
        <v>Yes</v>
      </c>
      <c r="Q5023" s="350" t="str">
        <f t="shared" ca="1" si="157"/>
        <v>OK</v>
      </c>
    </row>
    <row r="5024" spans="1:17" ht="30">
      <c r="A5024" s="366" t="s">
        <v>6980</v>
      </c>
      <c r="B5024" s="366" t="s">
        <v>231</v>
      </c>
      <c r="C5024" s="348" t="str">
        <f>DATA_PROPERTY_MASTER!$A$21</f>
        <v>BLD_CD</v>
      </c>
      <c r="D5024" s="380">
        <f>'00_PORTFOLIO ROLLUP'!K$12</f>
        <v>2031</v>
      </c>
      <c r="E5024" s="366" t="s">
        <v>1683</v>
      </c>
      <c r="F5024" s="366" t="s">
        <v>21</v>
      </c>
      <c r="G5024" s="348" t="str">
        <f>"'"&amp;$C5024&amp;"'!$E$45:$Y$45"</f>
        <v>'BLD_CD'!$E$45:$Y$45</v>
      </c>
      <c r="H5024" s="381">
        <f ca="1">IF(IFERROR(INDEX(DATA_PROPERTY_MASTER!$E$5:$E$21,MATCH($C5024,DATA_PROPERTY_MASTER!$A$5:$A$21,0))="Yes",FALSE),IFERROR(INDEX(INDIRECT("'"&amp;$C5024&amp;"'!$E$45:$Y$45"),1,MATCH($D5024,INDIRECT("'"&amp;$C5024&amp;"'!$E$12:$Y$12"),0)),0),0)</f>
        <v>1488458.6170947505</v>
      </c>
      <c r="I5024" s="366" t="s">
        <v>1685</v>
      </c>
      <c r="J5024" s="348" t="str">
        <f t="shared" ca="1" si="156"/>
        <v>OK</v>
      </c>
      <c r="K5024" s="366" t="s">
        <v>1694</v>
      </c>
      <c r="L5024" s="366" t="s">
        <v>2242</v>
      </c>
      <c r="M5024" s="350" t="str">
        <f>IF($B5024="Portfolio","Portfolio",IFERROR(INDEX(DATA_ASSET_CLASSIFICATION!$B$8:$B$24,MATCH($C5024,DATA_ASSET_CLASSIFICATION!$A$8:$A$24,0)),"Review"))</f>
        <v>800 Commercial Drive</v>
      </c>
      <c r="N5024" s="350" t="str">
        <f>IF($B5024="Portfolio","Portfolio",IFERROR(INDEX(DATA_ASSET_CLASSIFICATION!$U$8:$U$24,MATCH($C5024,DATA_ASSET_CLASSIFICATION!$A$8:$A$24,0)),"Review"))</f>
        <v>New Build</v>
      </c>
      <c r="O5024" s="350" t="str">
        <f>IF($B5024="Portfolio","Portfolio",IFERROR(INDEX(DATA_ASSET_CLASSIFICATION!$AB$8:$AB$13,MATCH($N5024,DATA_ASSET_CLASSIFICATION!$AA$8:$AA$13,0)),"Review"))</f>
        <v>Bucket 1 · New Build</v>
      </c>
      <c r="P5024" s="350" t="str">
        <f>IF($B5024="Portfolio","Portfolio",IFERROR(INDEX(DATA_ASSET_CLASSIFICATION!$C$8:$C$24,MATCH($C5024,DATA_ASSET_CLASSIFICATION!$A$8:$A$24,0)),"Review"))</f>
        <v>Yes</v>
      </c>
      <c r="Q5024" s="350" t="str">
        <f t="shared" ca="1" si="157"/>
        <v>OK</v>
      </c>
    </row>
    <row r="5025" spans="1:17" ht="30">
      <c r="A5025" s="366" t="s">
        <v>6981</v>
      </c>
      <c r="B5025" s="366" t="s">
        <v>231</v>
      </c>
      <c r="C5025" s="348" t="str">
        <f>DATA_PROPERTY_MASTER!$A$21</f>
        <v>BLD_CD</v>
      </c>
      <c r="D5025" s="380">
        <f>'00_PORTFOLIO ROLLUP'!K$12</f>
        <v>2031</v>
      </c>
      <c r="E5025" s="366" t="s">
        <v>23</v>
      </c>
      <c r="F5025" s="366" t="s">
        <v>23</v>
      </c>
      <c r="G5025" s="348" t="str">
        <f>"'"&amp;$C5025&amp;"'!$E$48:$Y$48"</f>
        <v>'BLD_CD'!$E$48:$Y$48</v>
      </c>
      <c r="H5025" s="381">
        <f ca="1">IF(IFERROR(INDEX(DATA_PROPERTY_MASTER!$E$5:$E$21,MATCH($C5025,DATA_PROPERTY_MASTER!$A$5:$A$21,0))="Yes",FALSE),IFERROR(INDEX(INDIRECT("'"&amp;$C5025&amp;"'!$E$48:$Y$48"),1,MATCH($D5025,INDIRECT("'"&amp;$C5025&amp;"'!$E$12:$Y$12"),0)),0),0)</f>
        <v>979555.28115311568</v>
      </c>
      <c r="I5025" s="366" t="s">
        <v>1690</v>
      </c>
      <c r="J5025" s="348" t="str">
        <f t="shared" ca="1" si="156"/>
        <v>OK</v>
      </c>
      <c r="K5025" s="366" t="s">
        <v>1706</v>
      </c>
      <c r="L5025" s="366" t="s">
        <v>2244</v>
      </c>
      <c r="M5025" s="350" t="str">
        <f>IF($B5025="Portfolio","Portfolio",IFERROR(INDEX(DATA_ASSET_CLASSIFICATION!$B$8:$B$24,MATCH($C5025,DATA_ASSET_CLASSIFICATION!$A$8:$A$24,0)),"Review"))</f>
        <v>800 Commercial Drive</v>
      </c>
      <c r="N5025" s="350" t="str">
        <f>IF($B5025="Portfolio","Portfolio",IFERROR(INDEX(DATA_ASSET_CLASSIFICATION!$U$8:$U$24,MATCH($C5025,DATA_ASSET_CLASSIFICATION!$A$8:$A$24,0)),"Review"))</f>
        <v>New Build</v>
      </c>
      <c r="O5025" s="350" t="str">
        <f>IF($B5025="Portfolio","Portfolio",IFERROR(INDEX(DATA_ASSET_CLASSIFICATION!$AB$8:$AB$13,MATCH($N5025,DATA_ASSET_CLASSIFICATION!$AA$8:$AA$13,0)),"Review"))</f>
        <v>Bucket 1 · New Build</v>
      </c>
      <c r="P5025" s="350" t="str">
        <f>IF($B5025="Portfolio","Portfolio",IFERROR(INDEX(DATA_ASSET_CLASSIFICATION!$C$8:$C$24,MATCH($C5025,DATA_ASSET_CLASSIFICATION!$A$8:$A$24,0)),"Review"))</f>
        <v>Yes</v>
      </c>
      <c r="Q5025" s="350" t="str">
        <f t="shared" ca="1" si="157"/>
        <v>OK</v>
      </c>
    </row>
    <row r="5026" spans="1:17" ht="30">
      <c r="A5026" s="366" t="s">
        <v>6982</v>
      </c>
      <c r="B5026" s="366" t="s">
        <v>231</v>
      </c>
      <c r="C5026" s="348" t="str">
        <f>DATA_PROPERTY_MASTER!$A$21</f>
        <v>BLD_CD</v>
      </c>
      <c r="D5026" s="380">
        <f>'00_PORTFOLIO ROLLUP'!K$12</f>
        <v>2031</v>
      </c>
      <c r="E5026" s="366" t="s">
        <v>1683</v>
      </c>
      <c r="F5026" s="366" t="s">
        <v>25</v>
      </c>
      <c r="G5026" s="348" t="str">
        <f>"'"&amp;$C5026&amp;"'!$E$52:$Y$52"</f>
        <v>'BLD_CD'!$E$52:$Y$52</v>
      </c>
      <c r="H5026" s="381">
        <f ca="1">IF(IFERROR(INDEX(DATA_PROPERTY_MASTER!$E$5:$E$21,MATCH($C5026,DATA_PROPERTY_MASTER!$A$5:$A$21,0))="Yes",FALSE),IFERROR(INDEX(INDIRECT("'"&amp;$C5026&amp;"'!$E$52:$Y$52"),1,MATCH($D5026,INDIRECT("'"&amp;$C5026&amp;"'!$E$12:$Y$12"),0)),0),0)</f>
        <v>524613.30169036775</v>
      </c>
      <c r="I5026" s="366" t="s">
        <v>1685</v>
      </c>
      <c r="J5026" s="348" t="str">
        <f t="shared" ca="1" si="156"/>
        <v>OK</v>
      </c>
      <c r="K5026" s="366" t="s">
        <v>1710</v>
      </c>
      <c r="L5026" s="366" t="s">
        <v>2246</v>
      </c>
      <c r="M5026" s="350" t="str">
        <f>IF($B5026="Portfolio","Portfolio",IFERROR(INDEX(DATA_ASSET_CLASSIFICATION!$B$8:$B$24,MATCH($C5026,DATA_ASSET_CLASSIFICATION!$A$8:$A$24,0)),"Review"))</f>
        <v>800 Commercial Drive</v>
      </c>
      <c r="N5026" s="350" t="str">
        <f>IF($B5026="Portfolio","Portfolio",IFERROR(INDEX(DATA_ASSET_CLASSIFICATION!$U$8:$U$24,MATCH($C5026,DATA_ASSET_CLASSIFICATION!$A$8:$A$24,0)),"Review"))</f>
        <v>New Build</v>
      </c>
      <c r="O5026" s="350" t="str">
        <f>IF($B5026="Portfolio","Portfolio",IFERROR(INDEX(DATA_ASSET_CLASSIFICATION!$AB$8:$AB$13,MATCH($N5026,DATA_ASSET_CLASSIFICATION!$AA$8:$AA$13,0)),"Review"))</f>
        <v>Bucket 1 · New Build</v>
      </c>
      <c r="P5026" s="350" t="str">
        <f>IF($B5026="Portfolio","Portfolio",IFERROR(INDEX(DATA_ASSET_CLASSIFICATION!$C$8:$C$24,MATCH($C5026,DATA_ASSET_CLASSIFICATION!$A$8:$A$24,0)),"Review"))</f>
        <v>Yes</v>
      </c>
      <c r="Q5026" s="350" t="str">
        <f t="shared" ca="1" si="157"/>
        <v>OK</v>
      </c>
    </row>
    <row r="5027" spans="1:17" ht="30">
      <c r="A5027" s="366" t="s">
        <v>6983</v>
      </c>
      <c r="B5027" s="366" t="s">
        <v>231</v>
      </c>
      <c r="C5027" s="348" t="str">
        <f>DATA_PROPERTY_MASTER!$A$21</f>
        <v>BLD_CD</v>
      </c>
      <c r="D5027" s="380">
        <f>'00_PORTFOLIO ROLLUP'!K$12</f>
        <v>2031</v>
      </c>
      <c r="E5027" s="366" t="s">
        <v>1683</v>
      </c>
      <c r="F5027" s="366" t="s">
        <v>27</v>
      </c>
      <c r="G5027" s="348" t="str">
        <f>"'"&amp;$C5027&amp;"'!$E$54:$Y$54"</f>
        <v>'BLD_CD'!$E$54:$Y$54</v>
      </c>
      <c r="H5027" s="381">
        <f ca="1">IF(IFERROR(INDEX(DATA_PROPERTY_MASTER!$E$5:$E$21,MATCH($C5027,DATA_PROPERTY_MASTER!$A$5:$A$21,0))="Yes",FALSE),IFERROR(INDEX(INDIRECT("'"&amp;$C5027&amp;"'!$E$54:$Y$54"),1,MATCH($D5027,INDIRECT("'"&amp;$C5027&amp;"'!$E$12:$Y$12"),0)),0),0)</f>
        <v>314767.98101422063</v>
      </c>
      <c r="I5027" s="366" t="s">
        <v>1690</v>
      </c>
      <c r="J5027" s="348" t="str">
        <f t="shared" ca="1" si="156"/>
        <v>OK</v>
      </c>
      <c r="K5027" s="366" t="s">
        <v>1714</v>
      </c>
      <c r="L5027" s="366" t="s">
        <v>2248</v>
      </c>
      <c r="M5027" s="350" t="str">
        <f>IF($B5027="Portfolio","Portfolio",IFERROR(INDEX(DATA_ASSET_CLASSIFICATION!$B$8:$B$24,MATCH($C5027,DATA_ASSET_CLASSIFICATION!$A$8:$A$24,0)),"Review"))</f>
        <v>800 Commercial Drive</v>
      </c>
      <c r="N5027" s="350" t="str">
        <f>IF($B5027="Portfolio","Portfolio",IFERROR(INDEX(DATA_ASSET_CLASSIFICATION!$U$8:$U$24,MATCH($C5027,DATA_ASSET_CLASSIFICATION!$A$8:$A$24,0)),"Review"))</f>
        <v>New Build</v>
      </c>
      <c r="O5027" s="350" t="str">
        <f>IF($B5027="Portfolio","Portfolio",IFERROR(INDEX(DATA_ASSET_CLASSIFICATION!$AB$8:$AB$13,MATCH($N5027,DATA_ASSET_CLASSIFICATION!$AA$8:$AA$13,0)),"Review"))</f>
        <v>Bucket 1 · New Build</v>
      </c>
      <c r="P5027" s="350" t="str">
        <f>IF($B5027="Portfolio","Portfolio",IFERROR(INDEX(DATA_ASSET_CLASSIFICATION!$C$8:$C$24,MATCH($C5027,DATA_ASSET_CLASSIFICATION!$A$8:$A$24,0)),"Review"))</f>
        <v>Yes</v>
      </c>
      <c r="Q5027" s="350" t="str">
        <f t="shared" ca="1" si="157"/>
        <v>OK</v>
      </c>
    </row>
    <row r="5028" spans="1:17" ht="30">
      <c r="A5028" s="366" t="s">
        <v>6984</v>
      </c>
      <c r="B5028" s="366" t="s">
        <v>231</v>
      </c>
      <c r="C5028" s="348" t="str">
        <f>DATA_PROPERTY_MASTER!$A$21</f>
        <v>BLD_CD</v>
      </c>
      <c r="D5028" s="380">
        <f>'00_PORTFOLIO ROLLUP'!K$12</f>
        <v>2031</v>
      </c>
      <c r="E5028" s="366" t="s">
        <v>1683</v>
      </c>
      <c r="F5028" s="366" t="s">
        <v>29</v>
      </c>
      <c r="G5028" s="348" t="str">
        <f>"'"&amp;$C5028&amp;"'!$E$56:$Y$56"</f>
        <v>'BLD_CD'!$E$56:$Y$56</v>
      </c>
      <c r="H5028" s="381">
        <f ca="1">IF(IFERROR(INDEX(DATA_PROPERTY_MASTER!$E$5:$E$21,MATCH($C5028,DATA_PROPERTY_MASTER!$A$5:$A$21,0))="Yes",FALSE),IFERROR(INDEX(INDIRECT("'"&amp;$C5028&amp;"'!$E$56:$Y$56"),1,MATCH($D5028,INDIRECT("'"&amp;$C5028&amp;"'!$E$12:$Y$12"),0)),0),0)</f>
        <v>209845.32067614712</v>
      </c>
      <c r="I5028" s="366" t="s">
        <v>1685</v>
      </c>
      <c r="J5028" s="348" t="str">
        <f t="shared" ca="1" si="156"/>
        <v>OK</v>
      </c>
      <c r="K5028" s="366" t="s">
        <v>1718</v>
      </c>
      <c r="L5028" s="366" t="s">
        <v>2250</v>
      </c>
      <c r="M5028" s="350" t="str">
        <f>IF($B5028="Portfolio","Portfolio",IFERROR(INDEX(DATA_ASSET_CLASSIFICATION!$B$8:$B$24,MATCH($C5028,DATA_ASSET_CLASSIFICATION!$A$8:$A$24,0)),"Review"))</f>
        <v>800 Commercial Drive</v>
      </c>
      <c r="N5028" s="350" t="str">
        <f>IF($B5028="Portfolio","Portfolio",IFERROR(INDEX(DATA_ASSET_CLASSIFICATION!$U$8:$U$24,MATCH($C5028,DATA_ASSET_CLASSIFICATION!$A$8:$A$24,0)),"Review"))</f>
        <v>New Build</v>
      </c>
      <c r="O5028" s="350" t="str">
        <f>IF($B5028="Portfolio","Portfolio",IFERROR(INDEX(DATA_ASSET_CLASSIFICATION!$AB$8:$AB$13,MATCH($N5028,DATA_ASSET_CLASSIFICATION!$AA$8:$AA$13,0)),"Review"))</f>
        <v>Bucket 1 · New Build</v>
      </c>
      <c r="P5028" s="350" t="str">
        <f>IF($B5028="Portfolio","Portfolio",IFERROR(INDEX(DATA_ASSET_CLASSIFICATION!$C$8:$C$24,MATCH($C5028,DATA_ASSET_CLASSIFICATION!$A$8:$A$24,0)),"Review"))</f>
        <v>Yes</v>
      </c>
      <c r="Q5028" s="350" t="str">
        <f t="shared" ca="1" si="157"/>
        <v>OK</v>
      </c>
    </row>
    <row r="5029" spans="1:17" ht="30">
      <c r="A5029" s="366" t="s">
        <v>6985</v>
      </c>
      <c r="B5029" s="366" t="s">
        <v>231</v>
      </c>
      <c r="C5029" s="348" t="str">
        <f>DATA_PROPERTY_MASTER!$A$21</f>
        <v>BLD_CD</v>
      </c>
      <c r="D5029" s="380">
        <f>'00_PORTFOLIO ROLLUP'!K$12</f>
        <v>2031</v>
      </c>
      <c r="E5029" s="366" t="s">
        <v>1721</v>
      </c>
      <c r="F5029" s="366" t="s">
        <v>31</v>
      </c>
      <c r="G5029" s="348" t="str">
        <f>"'"&amp;$C5029&amp;"'!$E$61:$Y$61"</f>
        <v>'BLD_CD'!$E$61:$Y$61</v>
      </c>
      <c r="H5029" s="381">
        <f ca="1">IF(IFERROR(INDEX(DATA_PROPERTY_MASTER!$E$5:$E$21,MATCH($C5029,DATA_PROPERTY_MASTER!$A$5:$A$21,0))="Yes",FALSE),IFERROR(INDEX(INDIRECT("'"&amp;$C5029&amp;"'!$E$61:$Y$61"),1,MATCH($D5029,INDIRECT("'"&amp;$C5029&amp;"'!$E$12:$Y$12"),0)),0),0)</f>
        <v>0</v>
      </c>
      <c r="I5029" s="366" t="s">
        <v>1690</v>
      </c>
      <c r="J5029" s="348" t="str">
        <f t="shared" ca="1" si="156"/>
        <v>OK</v>
      </c>
      <c r="K5029" s="366" t="s">
        <v>1723</v>
      </c>
      <c r="L5029" s="366" t="s">
        <v>2252</v>
      </c>
      <c r="M5029" s="350" t="str">
        <f>IF($B5029="Portfolio","Portfolio",IFERROR(INDEX(DATA_ASSET_CLASSIFICATION!$B$8:$B$24,MATCH($C5029,DATA_ASSET_CLASSIFICATION!$A$8:$A$24,0)),"Review"))</f>
        <v>800 Commercial Drive</v>
      </c>
      <c r="N5029" s="350" t="str">
        <f>IF($B5029="Portfolio","Portfolio",IFERROR(INDEX(DATA_ASSET_CLASSIFICATION!$U$8:$U$24,MATCH($C5029,DATA_ASSET_CLASSIFICATION!$A$8:$A$24,0)),"Review"))</f>
        <v>New Build</v>
      </c>
      <c r="O5029" s="350" t="str">
        <f>IF($B5029="Portfolio","Portfolio",IFERROR(INDEX(DATA_ASSET_CLASSIFICATION!$AB$8:$AB$13,MATCH($N5029,DATA_ASSET_CLASSIFICATION!$AA$8:$AA$13,0)),"Review"))</f>
        <v>Bucket 1 · New Build</v>
      </c>
      <c r="P5029" s="350" t="str">
        <f>IF($B5029="Portfolio","Portfolio",IFERROR(INDEX(DATA_ASSET_CLASSIFICATION!$C$8:$C$24,MATCH($C5029,DATA_ASSET_CLASSIFICATION!$A$8:$A$24,0)),"Review"))</f>
        <v>Yes</v>
      </c>
      <c r="Q5029" s="350" t="str">
        <f t="shared" ca="1" si="157"/>
        <v>OK</v>
      </c>
    </row>
    <row r="5030" spans="1:17" ht="30">
      <c r="A5030" s="366" t="s">
        <v>6986</v>
      </c>
      <c r="B5030" s="366" t="s">
        <v>231</v>
      </c>
      <c r="C5030" s="348" t="str">
        <f>DATA_PROPERTY_MASTER!$A$21</f>
        <v>BLD_CD</v>
      </c>
      <c r="D5030" s="380">
        <f>'00_PORTFOLIO ROLLUP'!K$12</f>
        <v>2031</v>
      </c>
      <c r="E5030" s="366" t="s">
        <v>1721</v>
      </c>
      <c r="F5030" s="366" t="s">
        <v>33</v>
      </c>
      <c r="G5030" s="348" t="str">
        <f>"'"&amp;$C5030&amp;"'!$E$62:$Y$62"</f>
        <v>'BLD_CD'!$E$62:$Y$62</v>
      </c>
      <c r="H5030" s="381">
        <f ca="1">IF(IFERROR(INDEX(DATA_PROPERTY_MASTER!$E$5:$E$21,MATCH($C5030,DATA_PROPERTY_MASTER!$A$5:$A$21,0))="Yes",FALSE),IFERROR(INDEX(INDIRECT("'"&amp;$C5030&amp;"'!$E$62:$Y$62"),1,MATCH($D5030,INDIRECT("'"&amp;$C5030&amp;"'!$E$12:$Y$12"),0)),0),0)</f>
        <v>0</v>
      </c>
      <c r="I5030" s="366" t="s">
        <v>1685</v>
      </c>
      <c r="J5030" s="348" t="str">
        <f t="shared" ca="1" si="156"/>
        <v>OK</v>
      </c>
      <c r="K5030" s="366" t="s">
        <v>1727</v>
      </c>
      <c r="L5030" s="366" t="s">
        <v>2254</v>
      </c>
      <c r="M5030" s="350" t="str">
        <f>IF($B5030="Portfolio","Portfolio",IFERROR(INDEX(DATA_ASSET_CLASSIFICATION!$B$8:$B$24,MATCH($C5030,DATA_ASSET_CLASSIFICATION!$A$8:$A$24,0)),"Review"))</f>
        <v>800 Commercial Drive</v>
      </c>
      <c r="N5030" s="350" t="str">
        <f>IF($B5030="Portfolio","Portfolio",IFERROR(INDEX(DATA_ASSET_CLASSIFICATION!$U$8:$U$24,MATCH($C5030,DATA_ASSET_CLASSIFICATION!$A$8:$A$24,0)),"Review"))</f>
        <v>New Build</v>
      </c>
      <c r="O5030" s="350" t="str">
        <f>IF($B5030="Portfolio","Portfolio",IFERROR(INDEX(DATA_ASSET_CLASSIFICATION!$AB$8:$AB$13,MATCH($N5030,DATA_ASSET_CLASSIFICATION!$AA$8:$AA$13,0)),"Review"))</f>
        <v>Bucket 1 · New Build</v>
      </c>
      <c r="P5030" s="350" t="str">
        <f>IF($B5030="Portfolio","Portfolio",IFERROR(INDEX(DATA_ASSET_CLASSIFICATION!$C$8:$C$24,MATCH($C5030,DATA_ASSET_CLASSIFICATION!$A$8:$A$24,0)),"Review"))</f>
        <v>Yes</v>
      </c>
      <c r="Q5030" s="350" t="str">
        <f t="shared" ca="1" si="157"/>
        <v>OK</v>
      </c>
    </row>
    <row r="5031" spans="1:17" ht="30">
      <c r="A5031" s="366" t="s">
        <v>6987</v>
      </c>
      <c r="B5031" s="366" t="s">
        <v>231</v>
      </c>
      <c r="C5031" s="348" t="str">
        <f>DATA_PROPERTY_MASTER!$A$21</f>
        <v>BLD_CD</v>
      </c>
      <c r="D5031" s="380">
        <f>'00_PORTFOLIO ROLLUP'!K$12</f>
        <v>2031</v>
      </c>
      <c r="E5031" s="366" t="s">
        <v>1721</v>
      </c>
      <c r="F5031" s="366" t="s">
        <v>35</v>
      </c>
      <c r="G5031" s="348" t="str">
        <f>"'"&amp;$C5031&amp;"'!$E$63:$Y$63"</f>
        <v>'BLD_CD'!$E$63:$Y$63</v>
      </c>
      <c r="H5031" s="381">
        <f ca="1">IF(IFERROR(INDEX(DATA_PROPERTY_MASTER!$E$5:$E$21,MATCH($C5031,DATA_PROPERTY_MASTER!$A$5:$A$21,0))="Yes",FALSE),IFERROR(INDEX(INDIRECT("'"&amp;$C5031&amp;"'!$E$63:$Y$63"),1,MATCH($D5031,INDIRECT("'"&amp;$C5031&amp;"'!$E$12:$Y$12"),0)),0),0)</f>
        <v>0</v>
      </c>
      <c r="I5031" s="366" t="s">
        <v>1731</v>
      </c>
      <c r="J5031" s="348" t="str">
        <f t="shared" ca="1" si="156"/>
        <v>OK</v>
      </c>
      <c r="K5031" s="366" t="s">
        <v>1732</v>
      </c>
      <c r="L5031" s="366" t="s">
        <v>2256</v>
      </c>
      <c r="M5031" s="350" t="str">
        <f>IF($B5031="Portfolio","Portfolio",IFERROR(INDEX(DATA_ASSET_CLASSIFICATION!$B$8:$B$24,MATCH($C5031,DATA_ASSET_CLASSIFICATION!$A$8:$A$24,0)),"Review"))</f>
        <v>800 Commercial Drive</v>
      </c>
      <c r="N5031" s="350" t="str">
        <f>IF($B5031="Portfolio","Portfolio",IFERROR(INDEX(DATA_ASSET_CLASSIFICATION!$U$8:$U$24,MATCH($C5031,DATA_ASSET_CLASSIFICATION!$A$8:$A$24,0)),"Review"))</f>
        <v>New Build</v>
      </c>
      <c r="O5031" s="350" t="str">
        <f>IF($B5031="Portfolio","Portfolio",IFERROR(INDEX(DATA_ASSET_CLASSIFICATION!$AB$8:$AB$13,MATCH($N5031,DATA_ASSET_CLASSIFICATION!$AA$8:$AA$13,0)),"Review"))</f>
        <v>Bucket 1 · New Build</v>
      </c>
      <c r="P5031" s="350" t="str">
        <f>IF($B5031="Portfolio","Portfolio",IFERROR(INDEX(DATA_ASSET_CLASSIFICATION!$C$8:$C$24,MATCH($C5031,DATA_ASSET_CLASSIFICATION!$A$8:$A$24,0)),"Review"))</f>
        <v>Yes</v>
      </c>
      <c r="Q5031" s="350" t="str">
        <f t="shared" ca="1" si="157"/>
        <v>OK</v>
      </c>
    </row>
    <row r="5032" spans="1:17" ht="30">
      <c r="A5032" s="366" t="s">
        <v>6988</v>
      </c>
      <c r="B5032" s="366" t="s">
        <v>231</v>
      </c>
      <c r="C5032" s="348" t="str">
        <f>DATA_PROPERTY_MASTER!$A$21</f>
        <v>BLD_CD</v>
      </c>
      <c r="D5032" s="380">
        <f>'00_PORTFOLIO ROLLUP'!K$12</f>
        <v>2031</v>
      </c>
      <c r="E5032" s="366" t="s">
        <v>1721</v>
      </c>
      <c r="F5032" s="366" t="s">
        <v>37</v>
      </c>
      <c r="G5032" s="348" t="str">
        <f>"'"&amp;$C5032&amp;"'!$E$63:$Y$63"</f>
        <v>'BLD_CD'!$E$63:$Y$63</v>
      </c>
      <c r="H5032" s="381">
        <f ca="1">IF(IFERROR(INDEX(DATA_PROPERTY_MASTER!$E$5:$E$21,MATCH($C5032,DATA_PROPERTY_MASTER!$A$5:$A$21,0))="Yes",FALSE),MAX(IFERROR(INDEX(INDIRECT("'"&amp;$C5032&amp;"'!$E$63:$Y$63"),1,MATCH($D5032,INDIRECT("'"&amp;$C5032&amp;"'!$E$12:$Y$12"),0)),0),0),0)</f>
        <v>0</v>
      </c>
      <c r="I5032" s="366" t="s">
        <v>1685</v>
      </c>
      <c r="J5032" s="348" t="str">
        <f t="shared" ca="1" si="156"/>
        <v>OK</v>
      </c>
      <c r="K5032" s="366" t="s">
        <v>1735</v>
      </c>
      <c r="L5032" s="366" t="s">
        <v>2258</v>
      </c>
      <c r="M5032" s="350" t="str">
        <f>IF($B5032="Portfolio","Portfolio",IFERROR(INDEX(DATA_ASSET_CLASSIFICATION!$B$8:$B$24,MATCH($C5032,DATA_ASSET_CLASSIFICATION!$A$8:$A$24,0)),"Review"))</f>
        <v>800 Commercial Drive</v>
      </c>
      <c r="N5032" s="350" t="str">
        <f>IF($B5032="Portfolio","Portfolio",IFERROR(INDEX(DATA_ASSET_CLASSIFICATION!$U$8:$U$24,MATCH($C5032,DATA_ASSET_CLASSIFICATION!$A$8:$A$24,0)),"Review"))</f>
        <v>New Build</v>
      </c>
      <c r="O5032" s="350" t="str">
        <f>IF($B5032="Portfolio","Portfolio",IFERROR(INDEX(DATA_ASSET_CLASSIFICATION!$AB$8:$AB$13,MATCH($N5032,DATA_ASSET_CLASSIFICATION!$AA$8:$AA$13,0)),"Review"))</f>
        <v>Bucket 1 · New Build</v>
      </c>
      <c r="P5032" s="350" t="str">
        <f>IF($B5032="Portfolio","Portfolio",IFERROR(INDEX(DATA_ASSET_CLASSIFICATION!$C$8:$C$24,MATCH($C5032,DATA_ASSET_CLASSIFICATION!$A$8:$A$24,0)),"Review"))</f>
        <v>Yes</v>
      </c>
      <c r="Q5032" s="350" t="str">
        <f t="shared" ca="1" si="157"/>
        <v>OK</v>
      </c>
    </row>
    <row r="5033" spans="1:17" ht="30">
      <c r="A5033" s="366" t="s">
        <v>6989</v>
      </c>
      <c r="B5033" s="366" t="s">
        <v>231</v>
      </c>
      <c r="C5033" s="348" t="str">
        <f>DATA_PROPERTY_MASTER!$A$21</f>
        <v>BLD_CD</v>
      </c>
      <c r="D5033" s="380">
        <f>'00_PORTFOLIO ROLLUP'!K$12</f>
        <v>2031</v>
      </c>
      <c r="E5033" s="366" t="s">
        <v>1721</v>
      </c>
      <c r="F5033" s="366" t="s">
        <v>39</v>
      </c>
      <c r="G5033" s="348" t="str">
        <f>"'"&amp;$C5033&amp;"'!$E$63:$Y$63"</f>
        <v>'BLD_CD'!$E$63:$Y$63</v>
      </c>
      <c r="H5033" s="381">
        <f ca="1">IF(IFERROR(INDEX(DATA_PROPERTY_MASTER!$E$5:$E$21,MATCH($C5033,DATA_PROPERTY_MASTER!$A$5:$A$21,0))="Yes",FALSE),MAX(-IFERROR(INDEX(INDIRECT("'"&amp;$C5033&amp;"'!$E$63:$Y$63"),1,MATCH($D5033,INDIRECT("'"&amp;$C5033&amp;"'!$E$12:$Y$12"),0)),0),0),0)</f>
        <v>0</v>
      </c>
      <c r="I5033" s="366" t="s">
        <v>1690</v>
      </c>
      <c r="J5033" s="348" t="str">
        <f t="shared" ca="1" si="156"/>
        <v>OK</v>
      </c>
      <c r="K5033" s="366" t="s">
        <v>1738</v>
      </c>
      <c r="L5033" s="366" t="s">
        <v>2260</v>
      </c>
      <c r="M5033" s="350" t="str">
        <f>IF($B5033="Portfolio","Portfolio",IFERROR(INDEX(DATA_ASSET_CLASSIFICATION!$B$8:$B$24,MATCH($C5033,DATA_ASSET_CLASSIFICATION!$A$8:$A$24,0)),"Review"))</f>
        <v>800 Commercial Drive</v>
      </c>
      <c r="N5033" s="350" t="str">
        <f>IF($B5033="Portfolio","Portfolio",IFERROR(INDEX(DATA_ASSET_CLASSIFICATION!$U$8:$U$24,MATCH($C5033,DATA_ASSET_CLASSIFICATION!$A$8:$A$24,0)),"Review"))</f>
        <v>New Build</v>
      </c>
      <c r="O5033" s="350" t="str">
        <f>IF($B5033="Portfolio","Portfolio",IFERROR(INDEX(DATA_ASSET_CLASSIFICATION!$AB$8:$AB$13,MATCH($N5033,DATA_ASSET_CLASSIFICATION!$AA$8:$AA$13,0)),"Review"))</f>
        <v>Bucket 1 · New Build</v>
      </c>
      <c r="P5033" s="350" t="str">
        <f>IF($B5033="Portfolio","Portfolio",IFERROR(INDEX(DATA_ASSET_CLASSIFICATION!$C$8:$C$24,MATCH($C5033,DATA_ASSET_CLASSIFICATION!$A$8:$A$24,0)),"Review"))</f>
        <v>Yes</v>
      </c>
      <c r="Q5033" s="350" t="str">
        <f t="shared" ca="1" si="157"/>
        <v>OK</v>
      </c>
    </row>
    <row r="5034" spans="1:17" ht="30">
      <c r="A5034" s="366" t="s">
        <v>6990</v>
      </c>
      <c r="B5034" s="366" t="s">
        <v>231</v>
      </c>
      <c r="C5034" s="348" t="str">
        <f>DATA_PROPERTY_MASTER!$A$21</f>
        <v>BLD_CD</v>
      </c>
      <c r="D5034" s="380">
        <f>'00_PORTFOLIO ROLLUP'!K$12</f>
        <v>2031</v>
      </c>
      <c r="E5034" s="366" t="s">
        <v>1741</v>
      </c>
      <c r="F5034" s="366" t="s">
        <v>41</v>
      </c>
      <c r="G5034" s="348" t="str">
        <f>"'"&amp;$C5034&amp;"'!rows 56 + positive row 63"</f>
        <v>'BLD_CD'!rows 56 + positive row 63</v>
      </c>
      <c r="H5034" s="381">
        <f ca="1">IF(IFERROR(INDEX(DATA_PROPERTY_MASTER!$E$5:$E$21,MATCH($C5034,DATA_PROPERTY_MASTER!$A$5:$A$21,0))="Yes",FALSE),IFERROR(INDEX(INDIRECT("'"&amp;$C5034&amp;"'!$E$56:$Y$56"),1,MATCH($D5034,INDIRECT("'"&amp;$C5034&amp;"'!$E$12:$Y$12"),0)),0)+MAX(IFERROR(INDEX(INDIRECT("'"&amp;$C5034&amp;"'!$E$63:$Y$63"),1,MATCH($D5034,INDIRECT("'"&amp;$C5034&amp;"'!$E$12:$Y$12"),0)),0),0),0)</f>
        <v>209845.32067614712</v>
      </c>
      <c r="I5034" s="366" t="s">
        <v>1685</v>
      </c>
      <c r="J5034" s="348" t="str">
        <f t="shared" ca="1" si="156"/>
        <v>OK</v>
      </c>
      <c r="K5034" s="366" t="s">
        <v>1742</v>
      </c>
      <c r="L5034" s="366" t="s">
        <v>2262</v>
      </c>
      <c r="M5034" s="350" t="str">
        <f>IF($B5034="Portfolio","Portfolio",IFERROR(INDEX(DATA_ASSET_CLASSIFICATION!$B$8:$B$24,MATCH($C5034,DATA_ASSET_CLASSIFICATION!$A$8:$A$24,0)),"Review"))</f>
        <v>800 Commercial Drive</v>
      </c>
      <c r="N5034" s="350" t="str">
        <f>IF($B5034="Portfolio","Portfolio",IFERROR(INDEX(DATA_ASSET_CLASSIFICATION!$U$8:$U$24,MATCH($C5034,DATA_ASSET_CLASSIFICATION!$A$8:$A$24,0)),"Review"))</f>
        <v>New Build</v>
      </c>
      <c r="O5034" s="350" t="str">
        <f>IF($B5034="Portfolio","Portfolio",IFERROR(INDEX(DATA_ASSET_CLASSIFICATION!$AB$8:$AB$13,MATCH($N5034,DATA_ASSET_CLASSIFICATION!$AA$8:$AA$13,0)),"Review"))</f>
        <v>Bucket 1 · New Build</v>
      </c>
      <c r="P5034" s="350" t="str">
        <f>IF($B5034="Portfolio","Portfolio",IFERROR(INDEX(DATA_ASSET_CLASSIFICATION!$C$8:$C$24,MATCH($C5034,DATA_ASSET_CLASSIFICATION!$A$8:$A$24,0)),"Review"))</f>
        <v>Yes</v>
      </c>
      <c r="Q5034" s="350" t="str">
        <f t="shared" ca="1" si="157"/>
        <v>OK</v>
      </c>
    </row>
    <row r="5035" spans="1:17" ht="30">
      <c r="A5035" s="366" t="s">
        <v>6991</v>
      </c>
      <c r="B5035" s="366" t="s">
        <v>231</v>
      </c>
      <c r="C5035" s="348" t="str">
        <f>DATA_PROPERTY_MASTER!$A$21</f>
        <v>BLD_CD</v>
      </c>
      <c r="D5035" s="380">
        <f>'00_PORTFOLIO ROLLUP'!K$12</f>
        <v>2031</v>
      </c>
      <c r="E5035" s="366" t="s">
        <v>1741</v>
      </c>
      <c r="F5035" s="366" t="s">
        <v>43</v>
      </c>
      <c r="G5035" s="348" t="str">
        <f>"'"&amp;$C5035&amp;"'!$E$68:$Y$68"</f>
        <v>'BLD_CD'!$E$68:$Y$68</v>
      </c>
      <c r="H5035" s="381">
        <f ca="1">IF(IFERROR(INDEX(DATA_PROPERTY_MASTER!$E$5:$E$21,MATCH($C5035,DATA_PROPERTY_MASTER!$A$5:$A$21,0))="Yes",FALSE),IFERROR(INDEX(INDIRECT("'"&amp;$C5035&amp;"'!$E$68:$Y$68"),1,MATCH($D5035,INDIRECT("'"&amp;$C5035&amp;"'!$E$12:$Y$12"),0)),0),0)</f>
        <v>209845.32067614712</v>
      </c>
      <c r="I5035" s="366" t="s">
        <v>1731</v>
      </c>
      <c r="J5035" s="348" t="str">
        <f t="shared" ca="1" si="156"/>
        <v>OK</v>
      </c>
      <c r="K5035" s="366" t="s">
        <v>1746</v>
      </c>
      <c r="L5035" s="366" t="s">
        <v>2264</v>
      </c>
      <c r="M5035" s="350" t="str">
        <f>IF($B5035="Portfolio","Portfolio",IFERROR(INDEX(DATA_ASSET_CLASSIFICATION!$B$8:$B$24,MATCH($C5035,DATA_ASSET_CLASSIFICATION!$A$8:$A$24,0)),"Review"))</f>
        <v>800 Commercial Drive</v>
      </c>
      <c r="N5035" s="350" t="str">
        <f>IF($B5035="Portfolio","Portfolio",IFERROR(INDEX(DATA_ASSET_CLASSIFICATION!$U$8:$U$24,MATCH($C5035,DATA_ASSET_CLASSIFICATION!$A$8:$A$24,0)),"Review"))</f>
        <v>New Build</v>
      </c>
      <c r="O5035" s="350" t="str">
        <f>IF($B5035="Portfolio","Portfolio",IFERROR(INDEX(DATA_ASSET_CLASSIFICATION!$AB$8:$AB$13,MATCH($N5035,DATA_ASSET_CLASSIFICATION!$AA$8:$AA$13,0)),"Review"))</f>
        <v>Bucket 1 · New Build</v>
      </c>
      <c r="P5035" s="350" t="str">
        <f>IF($B5035="Portfolio","Portfolio",IFERROR(INDEX(DATA_ASSET_CLASSIFICATION!$C$8:$C$24,MATCH($C5035,DATA_ASSET_CLASSIFICATION!$A$8:$A$24,0)),"Review"))</f>
        <v>Yes</v>
      </c>
      <c r="Q5035" s="350" t="str">
        <f t="shared" ca="1" si="157"/>
        <v>OK</v>
      </c>
    </row>
    <row r="5036" spans="1:17" ht="30">
      <c r="A5036" s="366" t="s">
        <v>6992</v>
      </c>
      <c r="B5036" s="366" t="s">
        <v>231</v>
      </c>
      <c r="C5036" s="348" t="str">
        <f>DATA_PROPERTY_MASTER!$A$21</f>
        <v>BLD_CD</v>
      </c>
      <c r="D5036" s="380">
        <f>'00_PORTFOLIO ROLLUP'!K$12</f>
        <v>2031</v>
      </c>
      <c r="E5036" s="366" t="s">
        <v>1741</v>
      </c>
      <c r="F5036" s="366" t="s">
        <v>1749</v>
      </c>
      <c r="G5036" s="348" t="str">
        <f>"'"&amp;$C5036&amp;"'!rows 56, 63, 68"</f>
        <v>'BLD_CD'!rows 56, 63, 68</v>
      </c>
      <c r="H5036" s="381">
        <f ca="1">IF(IFERROR(INDEX(DATA_PROPERTY_MASTER!$E$5:$E$21,MATCH($C5036,DATA_PROPERTY_MASTER!$A$5:$A$21,0))="Yes",FALSE),(IFERROR(INDEX(INDIRECT("'"&amp;$C5036&amp;"'!$E$56:$Y$56"),1,MATCH($D5036,INDIRECT("'"&amp;$C5036&amp;"'!$E$12:$Y$12"),0)),0)+MAX(IFERROR(INDEX(INDIRECT("'"&amp;$C5036&amp;"'!$E$63:$Y$63"),1,MATCH($D5036,INDIRECT("'"&amp;$C5036&amp;"'!$E$12:$Y$12"),0)),0),0))-(IFERROR(INDEX(INDIRECT("'"&amp;$C5036&amp;"'!$E$68:$Y$68"),1,MATCH($D5036,INDIRECT("'"&amp;$C5036&amp;"'!$E$12:$Y$12"),0)),0)),0)</f>
        <v>0</v>
      </c>
      <c r="I5036" s="366" t="s">
        <v>1750</v>
      </c>
      <c r="J5036" s="348" t="str">
        <f t="shared" ca="1" si="156"/>
        <v>OK</v>
      </c>
      <c r="K5036" s="366" t="s">
        <v>1751</v>
      </c>
      <c r="L5036" s="366" t="s">
        <v>2266</v>
      </c>
      <c r="M5036" s="350" t="str">
        <f>IF($B5036="Portfolio","Portfolio",IFERROR(INDEX(DATA_ASSET_CLASSIFICATION!$B$8:$B$24,MATCH($C5036,DATA_ASSET_CLASSIFICATION!$A$8:$A$24,0)),"Review"))</f>
        <v>800 Commercial Drive</v>
      </c>
      <c r="N5036" s="350" t="str">
        <f>IF($B5036="Portfolio","Portfolio",IFERROR(INDEX(DATA_ASSET_CLASSIFICATION!$U$8:$U$24,MATCH($C5036,DATA_ASSET_CLASSIFICATION!$A$8:$A$24,0)),"Review"))</f>
        <v>New Build</v>
      </c>
      <c r="O5036" s="350" t="str">
        <f>IF($B5036="Portfolio","Portfolio",IFERROR(INDEX(DATA_ASSET_CLASSIFICATION!$AB$8:$AB$13,MATCH($N5036,DATA_ASSET_CLASSIFICATION!$AA$8:$AA$13,0)),"Review"))</f>
        <v>Bucket 1 · New Build</v>
      </c>
      <c r="P5036" s="350" t="str">
        <f>IF($B5036="Portfolio","Portfolio",IFERROR(INDEX(DATA_ASSET_CLASSIFICATION!$C$8:$C$24,MATCH($C5036,DATA_ASSET_CLASSIFICATION!$A$8:$A$24,0)),"Review"))</f>
        <v>Yes</v>
      </c>
      <c r="Q5036" s="350" t="str">
        <f t="shared" ca="1" si="157"/>
        <v>OK</v>
      </c>
    </row>
    <row r="5037" spans="1:17" ht="30">
      <c r="A5037" s="366" t="s">
        <v>6993</v>
      </c>
      <c r="B5037" s="366" t="s">
        <v>231</v>
      </c>
      <c r="C5037" s="348" t="str">
        <f>DATA_PROPERTY_MASTER!$A$21</f>
        <v>BLD_CD</v>
      </c>
      <c r="D5037" s="380">
        <f>'00_PORTFOLIO ROLLUP'!L$12</f>
        <v>2032</v>
      </c>
      <c r="E5037" s="366" t="s">
        <v>1683</v>
      </c>
      <c r="F5037" s="366" t="s">
        <v>341</v>
      </c>
      <c r="G5037" s="348" t="str">
        <f>"'"&amp;$C5037&amp;"'!$E$24:$Y$24"</f>
        <v>'BLD_CD'!$E$24:$Y$24</v>
      </c>
      <c r="H5037" s="381">
        <f ca="1">IF(IFERROR(INDEX(DATA_PROPERTY_MASTER!$E$5:$E$21,MATCH($C5037,DATA_PROPERTY_MASTER!$A$5:$A$21,0))="Yes",FALSE),IFERROR(INDEX(INDIRECT("'"&amp;$C5037&amp;"'!$E$24:$Y$24"),1,MATCH($D5037,INDIRECT("'"&amp;$C5037&amp;"'!$E$12:$Y$12"),0)),0),0)</f>
        <v>2345344.1957922415</v>
      </c>
      <c r="I5037" s="366" t="s">
        <v>1685</v>
      </c>
      <c r="J5037" s="348" t="str">
        <f t="shared" ca="1" si="156"/>
        <v>OK</v>
      </c>
      <c r="K5037" s="366" t="s">
        <v>1686</v>
      </c>
      <c r="L5037" s="366" t="s">
        <v>2234</v>
      </c>
      <c r="M5037" s="350" t="str">
        <f>IF($B5037="Portfolio","Portfolio",IFERROR(INDEX(DATA_ASSET_CLASSIFICATION!$B$8:$B$24,MATCH($C5037,DATA_ASSET_CLASSIFICATION!$A$8:$A$24,0)),"Review"))</f>
        <v>800 Commercial Drive</v>
      </c>
      <c r="N5037" s="350" t="str">
        <f>IF($B5037="Portfolio","Portfolio",IFERROR(INDEX(DATA_ASSET_CLASSIFICATION!$U$8:$U$24,MATCH($C5037,DATA_ASSET_CLASSIFICATION!$A$8:$A$24,0)),"Review"))</f>
        <v>New Build</v>
      </c>
      <c r="O5037" s="350" t="str">
        <f>IF($B5037="Portfolio","Portfolio",IFERROR(INDEX(DATA_ASSET_CLASSIFICATION!$AB$8:$AB$13,MATCH($N5037,DATA_ASSET_CLASSIFICATION!$AA$8:$AA$13,0)),"Review"))</f>
        <v>Bucket 1 · New Build</v>
      </c>
      <c r="P5037" s="350" t="str">
        <f>IF($B5037="Portfolio","Portfolio",IFERROR(INDEX(DATA_ASSET_CLASSIFICATION!$C$8:$C$24,MATCH($C5037,DATA_ASSET_CLASSIFICATION!$A$8:$A$24,0)),"Review"))</f>
        <v>Yes</v>
      </c>
      <c r="Q5037" s="350" t="str">
        <f t="shared" ca="1" si="157"/>
        <v>OK</v>
      </c>
    </row>
    <row r="5038" spans="1:17" ht="30">
      <c r="A5038" s="366" t="s">
        <v>6994</v>
      </c>
      <c r="B5038" s="366" t="s">
        <v>231</v>
      </c>
      <c r="C5038" s="348" t="str">
        <f>DATA_PROPERTY_MASTER!$A$21</f>
        <v>BLD_CD</v>
      </c>
      <c r="D5038" s="380">
        <f>'00_PORTFOLIO ROLLUP'!L$12</f>
        <v>2032</v>
      </c>
      <c r="E5038" s="366" t="s">
        <v>1683</v>
      </c>
      <c r="F5038" s="366" t="s">
        <v>355</v>
      </c>
      <c r="G5038" s="348" t="str">
        <f>"'"&amp;$C5038&amp;"'!$E$39:$Y$39"</f>
        <v>'BLD_CD'!$E$39:$Y$39</v>
      </c>
      <c r="H5038" s="381">
        <f ca="1">IF(IFERROR(INDEX(DATA_PROPERTY_MASTER!$E$5:$E$21,MATCH($C5038,DATA_PROPERTY_MASTER!$A$5:$A$21,0))="Yes",FALSE),IFERROR(INDEX(INDIRECT("'"&amp;$C5038&amp;"'!$E$39:$Y$39"),1,MATCH($D5038,INDIRECT("'"&amp;$C5038&amp;"'!$E$12:$Y$12"),0)),0),0)</f>
        <v>826996.01072898461</v>
      </c>
      <c r="I5038" s="366" t="s">
        <v>1690</v>
      </c>
      <c r="J5038" s="348" t="str">
        <f t="shared" ca="1" si="156"/>
        <v>OK</v>
      </c>
      <c r="K5038" s="366" t="s">
        <v>1686</v>
      </c>
      <c r="L5038" s="366" t="s">
        <v>2236</v>
      </c>
      <c r="M5038" s="350" t="str">
        <f>IF($B5038="Portfolio","Portfolio",IFERROR(INDEX(DATA_ASSET_CLASSIFICATION!$B$8:$B$24,MATCH($C5038,DATA_ASSET_CLASSIFICATION!$A$8:$A$24,0)),"Review"))</f>
        <v>800 Commercial Drive</v>
      </c>
      <c r="N5038" s="350" t="str">
        <f>IF($B5038="Portfolio","Portfolio",IFERROR(INDEX(DATA_ASSET_CLASSIFICATION!$U$8:$U$24,MATCH($C5038,DATA_ASSET_CLASSIFICATION!$A$8:$A$24,0)),"Review"))</f>
        <v>New Build</v>
      </c>
      <c r="O5038" s="350" t="str">
        <f>IF($B5038="Portfolio","Portfolio",IFERROR(INDEX(DATA_ASSET_CLASSIFICATION!$AB$8:$AB$13,MATCH($N5038,DATA_ASSET_CLASSIFICATION!$AA$8:$AA$13,0)),"Review"))</f>
        <v>Bucket 1 · New Build</v>
      </c>
      <c r="P5038" s="350" t="str">
        <f>IF($B5038="Portfolio","Portfolio",IFERROR(INDEX(DATA_ASSET_CLASSIFICATION!$C$8:$C$24,MATCH($C5038,DATA_ASSET_CLASSIFICATION!$A$8:$A$24,0)),"Review"))</f>
        <v>Yes</v>
      </c>
      <c r="Q5038" s="350" t="str">
        <f t="shared" ca="1" si="157"/>
        <v>OK</v>
      </c>
    </row>
    <row r="5039" spans="1:17" ht="30">
      <c r="A5039" s="366" t="s">
        <v>6995</v>
      </c>
      <c r="B5039" s="366" t="s">
        <v>231</v>
      </c>
      <c r="C5039" s="348" t="str">
        <f>DATA_PROPERTY_MASTER!$A$21</f>
        <v>BLD_CD</v>
      </c>
      <c r="D5039" s="380">
        <f>'00_PORTFOLIO ROLLUP'!L$12</f>
        <v>2032</v>
      </c>
      <c r="E5039" s="366" t="s">
        <v>1683</v>
      </c>
      <c r="F5039" s="366" t="s">
        <v>19</v>
      </c>
      <c r="G5039" s="348" t="str">
        <f>"'"&amp;$C5039&amp;"'!$E$41:$Y$41"</f>
        <v>'BLD_CD'!$E$41:$Y$41</v>
      </c>
      <c r="H5039" s="381">
        <f ca="1">IF(IFERROR(INDEX(DATA_PROPERTY_MASTER!$E$5:$E$21,MATCH($C5039,DATA_PROPERTY_MASTER!$A$5:$A$21,0))="Yes",FALSE),IFERROR(INDEX(INDIRECT("'"&amp;$C5039&amp;"'!$E$41:$Y$41"),1,MATCH($D5039,INDIRECT("'"&amp;$C5039&amp;"'!$E$12:$Y$12"),0)),0),0)</f>
        <v>1518348.1850632569</v>
      </c>
      <c r="I5039" s="366" t="s">
        <v>1685</v>
      </c>
      <c r="J5039" s="348" t="str">
        <f t="shared" ca="1" si="156"/>
        <v>OK</v>
      </c>
      <c r="K5039" s="366" t="s">
        <v>1694</v>
      </c>
      <c r="L5039" s="366" t="s">
        <v>2238</v>
      </c>
      <c r="M5039" s="350" t="str">
        <f>IF($B5039="Portfolio","Portfolio",IFERROR(INDEX(DATA_ASSET_CLASSIFICATION!$B$8:$B$24,MATCH($C5039,DATA_ASSET_CLASSIFICATION!$A$8:$A$24,0)),"Review"))</f>
        <v>800 Commercial Drive</v>
      </c>
      <c r="N5039" s="350" t="str">
        <f>IF($B5039="Portfolio","Portfolio",IFERROR(INDEX(DATA_ASSET_CLASSIFICATION!$U$8:$U$24,MATCH($C5039,DATA_ASSET_CLASSIFICATION!$A$8:$A$24,0)),"Review"))</f>
        <v>New Build</v>
      </c>
      <c r="O5039" s="350" t="str">
        <f>IF($B5039="Portfolio","Portfolio",IFERROR(INDEX(DATA_ASSET_CLASSIFICATION!$AB$8:$AB$13,MATCH($N5039,DATA_ASSET_CLASSIFICATION!$AA$8:$AA$13,0)),"Review"))</f>
        <v>Bucket 1 · New Build</v>
      </c>
      <c r="P5039" s="350" t="str">
        <f>IF($B5039="Portfolio","Portfolio",IFERROR(INDEX(DATA_ASSET_CLASSIFICATION!$C$8:$C$24,MATCH($C5039,DATA_ASSET_CLASSIFICATION!$A$8:$A$24,0)),"Review"))</f>
        <v>Yes</v>
      </c>
      <c r="Q5039" s="350" t="str">
        <f t="shared" ca="1" si="157"/>
        <v>OK</v>
      </c>
    </row>
    <row r="5040" spans="1:17" ht="30">
      <c r="A5040" s="366" t="s">
        <v>6996</v>
      </c>
      <c r="B5040" s="366" t="s">
        <v>231</v>
      </c>
      <c r="C5040" s="348" t="str">
        <f>DATA_PROPERTY_MASTER!$A$21</f>
        <v>BLD_CD</v>
      </c>
      <c r="D5040" s="380">
        <f>'00_PORTFOLIO ROLLUP'!L$12</f>
        <v>2032</v>
      </c>
      <c r="E5040" s="366" t="s">
        <v>1683</v>
      </c>
      <c r="F5040" s="366" t="s">
        <v>1697</v>
      </c>
      <c r="G5040" s="348" t="str">
        <f>"'"&amp;$C5040&amp;"'!$E$44:$Y$44"</f>
        <v>'BLD_CD'!$E$44:$Y$44</v>
      </c>
      <c r="H5040" s="381">
        <f ca="1">IF(IFERROR(INDEX(DATA_PROPERTY_MASTER!$E$5:$E$21,MATCH($C5040,DATA_PROPERTY_MASTER!$A$5:$A$21,0))="Yes",FALSE),IFERROR(INDEX(INDIRECT("'"&amp;$C5040&amp;"'!$E$44:$Y$44"),1,MATCH($D5040,INDIRECT("'"&amp;$C5040&amp;"'!$E$12:$Y$12"),0)),0),0)</f>
        <v>16024.165063707453</v>
      </c>
      <c r="I5040" s="366" t="s">
        <v>1690</v>
      </c>
      <c r="J5040" s="348" t="str">
        <f t="shared" ca="1" si="156"/>
        <v>OK</v>
      </c>
      <c r="K5040" s="366" t="s">
        <v>1699</v>
      </c>
      <c r="L5040" s="366" t="s">
        <v>2240</v>
      </c>
      <c r="M5040" s="350" t="str">
        <f>IF($B5040="Portfolio","Portfolio",IFERROR(INDEX(DATA_ASSET_CLASSIFICATION!$B$8:$B$24,MATCH($C5040,DATA_ASSET_CLASSIFICATION!$A$8:$A$24,0)),"Review"))</f>
        <v>800 Commercial Drive</v>
      </c>
      <c r="N5040" s="350" t="str">
        <f>IF($B5040="Portfolio","Portfolio",IFERROR(INDEX(DATA_ASSET_CLASSIFICATION!$U$8:$U$24,MATCH($C5040,DATA_ASSET_CLASSIFICATION!$A$8:$A$24,0)),"Review"))</f>
        <v>New Build</v>
      </c>
      <c r="O5040" s="350" t="str">
        <f>IF($B5040="Portfolio","Portfolio",IFERROR(INDEX(DATA_ASSET_CLASSIFICATION!$AB$8:$AB$13,MATCH($N5040,DATA_ASSET_CLASSIFICATION!$AA$8:$AA$13,0)),"Review"))</f>
        <v>Bucket 1 · New Build</v>
      </c>
      <c r="P5040" s="350" t="str">
        <f>IF($B5040="Portfolio","Portfolio",IFERROR(INDEX(DATA_ASSET_CLASSIFICATION!$C$8:$C$24,MATCH($C5040,DATA_ASSET_CLASSIFICATION!$A$8:$A$24,0)),"Review"))</f>
        <v>Yes</v>
      </c>
      <c r="Q5040" s="350" t="str">
        <f t="shared" ca="1" si="157"/>
        <v>OK</v>
      </c>
    </row>
    <row r="5041" spans="1:17" ht="30">
      <c r="A5041" s="366" t="s">
        <v>6997</v>
      </c>
      <c r="B5041" s="366" t="s">
        <v>231</v>
      </c>
      <c r="C5041" s="348" t="str">
        <f>DATA_PROPERTY_MASTER!$A$21</f>
        <v>BLD_CD</v>
      </c>
      <c r="D5041" s="380">
        <f>'00_PORTFOLIO ROLLUP'!L$12</f>
        <v>2032</v>
      </c>
      <c r="E5041" s="366" t="s">
        <v>1683</v>
      </c>
      <c r="F5041" s="366" t="s">
        <v>21</v>
      </c>
      <c r="G5041" s="348" t="str">
        <f>"'"&amp;$C5041&amp;"'!$E$45:$Y$45"</f>
        <v>'BLD_CD'!$E$45:$Y$45</v>
      </c>
      <c r="H5041" s="381">
        <f ca="1">IF(IFERROR(INDEX(DATA_PROPERTY_MASTER!$E$5:$E$21,MATCH($C5041,DATA_PROPERTY_MASTER!$A$5:$A$21,0))="Yes",FALSE),IFERROR(INDEX(INDIRECT("'"&amp;$C5041&amp;"'!$E$45:$Y$45"),1,MATCH($D5041,INDIRECT("'"&amp;$C5041&amp;"'!$E$12:$Y$12"),0)),0),0)</f>
        <v>1502324.0199995495</v>
      </c>
      <c r="I5041" s="366" t="s">
        <v>1685</v>
      </c>
      <c r="J5041" s="348" t="str">
        <f t="shared" ca="1" si="156"/>
        <v>OK</v>
      </c>
      <c r="K5041" s="366" t="s">
        <v>1694</v>
      </c>
      <c r="L5041" s="366" t="s">
        <v>2242</v>
      </c>
      <c r="M5041" s="350" t="str">
        <f>IF($B5041="Portfolio","Portfolio",IFERROR(INDEX(DATA_ASSET_CLASSIFICATION!$B$8:$B$24,MATCH($C5041,DATA_ASSET_CLASSIFICATION!$A$8:$A$24,0)),"Review"))</f>
        <v>800 Commercial Drive</v>
      </c>
      <c r="N5041" s="350" t="str">
        <f>IF($B5041="Portfolio","Portfolio",IFERROR(INDEX(DATA_ASSET_CLASSIFICATION!$U$8:$U$24,MATCH($C5041,DATA_ASSET_CLASSIFICATION!$A$8:$A$24,0)),"Review"))</f>
        <v>New Build</v>
      </c>
      <c r="O5041" s="350" t="str">
        <f>IF($B5041="Portfolio","Portfolio",IFERROR(INDEX(DATA_ASSET_CLASSIFICATION!$AB$8:$AB$13,MATCH($N5041,DATA_ASSET_CLASSIFICATION!$AA$8:$AA$13,0)),"Review"))</f>
        <v>Bucket 1 · New Build</v>
      </c>
      <c r="P5041" s="350" t="str">
        <f>IF($B5041="Portfolio","Portfolio",IFERROR(INDEX(DATA_ASSET_CLASSIFICATION!$C$8:$C$24,MATCH($C5041,DATA_ASSET_CLASSIFICATION!$A$8:$A$24,0)),"Review"))</f>
        <v>Yes</v>
      </c>
      <c r="Q5041" s="350" t="str">
        <f t="shared" ca="1" si="157"/>
        <v>OK</v>
      </c>
    </row>
    <row r="5042" spans="1:17" ht="30">
      <c r="A5042" s="366" t="s">
        <v>6998</v>
      </c>
      <c r="B5042" s="366" t="s">
        <v>231</v>
      </c>
      <c r="C5042" s="348" t="str">
        <f>DATA_PROPERTY_MASTER!$A$21</f>
        <v>BLD_CD</v>
      </c>
      <c r="D5042" s="380">
        <f>'00_PORTFOLIO ROLLUP'!L$12</f>
        <v>2032</v>
      </c>
      <c r="E5042" s="366" t="s">
        <v>23</v>
      </c>
      <c r="F5042" s="366" t="s">
        <v>23</v>
      </c>
      <c r="G5042" s="348" t="str">
        <f>"'"&amp;$C5042&amp;"'!$E$48:$Y$48"</f>
        <v>'BLD_CD'!$E$48:$Y$48</v>
      </c>
      <c r="H5042" s="381">
        <f ca="1">IF(IFERROR(INDEX(DATA_PROPERTY_MASTER!$E$5:$E$21,MATCH($C5042,DATA_PROPERTY_MASTER!$A$5:$A$21,0))="Yes",FALSE),IFERROR(INDEX(INDIRECT("'"&amp;$C5042&amp;"'!$E$48:$Y$48"),1,MATCH($D5042,INDIRECT("'"&amp;$C5042&amp;"'!$E$12:$Y$12"),0)),0),0)</f>
        <v>979555.28115311568</v>
      </c>
      <c r="I5042" s="366" t="s">
        <v>1690</v>
      </c>
      <c r="J5042" s="348" t="str">
        <f t="shared" ca="1" si="156"/>
        <v>OK</v>
      </c>
      <c r="K5042" s="366" t="s">
        <v>1706</v>
      </c>
      <c r="L5042" s="366" t="s">
        <v>2244</v>
      </c>
      <c r="M5042" s="350" t="str">
        <f>IF($B5042="Portfolio","Portfolio",IFERROR(INDEX(DATA_ASSET_CLASSIFICATION!$B$8:$B$24,MATCH($C5042,DATA_ASSET_CLASSIFICATION!$A$8:$A$24,0)),"Review"))</f>
        <v>800 Commercial Drive</v>
      </c>
      <c r="N5042" s="350" t="str">
        <f>IF($B5042="Portfolio","Portfolio",IFERROR(INDEX(DATA_ASSET_CLASSIFICATION!$U$8:$U$24,MATCH($C5042,DATA_ASSET_CLASSIFICATION!$A$8:$A$24,0)),"Review"))</f>
        <v>New Build</v>
      </c>
      <c r="O5042" s="350" t="str">
        <f>IF($B5042="Portfolio","Portfolio",IFERROR(INDEX(DATA_ASSET_CLASSIFICATION!$AB$8:$AB$13,MATCH($N5042,DATA_ASSET_CLASSIFICATION!$AA$8:$AA$13,0)),"Review"))</f>
        <v>Bucket 1 · New Build</v>
      </c>
      <c r="P5042" s="350" t="str">
        <f>IF($B5042="Portfolio","Portfolio",IFERROR(INDEX(DATA_ASSET_CLASSIFICATION!$C$8:$C$24,MATCH($C5042,DATA_ASSET_CLASSIFICATION!$A$8:$A$24,0)),"Review"))</f>
        <v>Yes</v>
      </c>
      <c r="Q5042" s="350" t="str">
        <f t="shared" ca="1" si="157"/>
        <v>OK</v>
      </c>
    </row>
    <row r="5043" spans="1:17" ht="30">
      <c r="A5043" s="366" t="s">
        <v>6999</v>
      </c>
      <c r="B5043" s="366" t="s">
        <v>231</v>
      </c>
      <c r="C5043" s="348" t="str">
        <f>DATA_PROPERTY_MASTER!$A$21</f>
        <v>BLD_CD</v>
      </c>
      <c r="D5043" s="380">
        <f>'00_PORTFOLIO ROLLUP'!L$12</f>
        <v>2032</v>
      </c>
      <c r="E5043" s="366" t="s">
        <v>1683</v>
      </c>
      <c r="F5043" s="366" t="s">
        <v>25</v>
      </c>
      <c r="G5043" s="348" t="str">
        <f>"'"&amp;$C5043&amp;"'!$E$52:$Y$52"</f>
        <v>'BLD_CD'!$E$52:$Y$52</v>
      </c>
      <c r="H5043" s="381">
        <f ca="1">IF(IFERROR(INDEX(DATA_PROPERTY_MASTER!$E$5:$E$21,MATCH($C5043,DATA_PROPERTY_MASTER!$A$5:$A$21,0))="Yes",FALSE),IFERROR(INDEX(INDIRECT("'"&amp;$C5043&amp;"'!$E$52:$Y$52"),1,MATCH($D5043,INDIRECT("'"&amp;$C5043&amp;"'!$E$12:$Y$12"),0)),0),0)</f>
        <v>538792.90391014121</v>
      </c>
      <c r="I5043" s="366" t="s">
        <v>1685</v>
      </c>
      <c r="J5043" s="348" t="str">
        <f t="shared" ca="1" si="156"/>
        <v>OK</v>
      </c>
      <c r="K5043" s="366" t="s">
        <v>1710</v>
      </c>
      <c r="L5043" s="366" t="s">
        <v>2246</v>
      </c>
      <c r="M5043" s="350" t="str">
        <f>IF($B5043="Portfolio","Portfolio",IFERROR(INDEX(DATA_ASSET_CLASSIFICATION!$B$8:$B$24,MATCH($C5043,DATA_ASSET_CLASSIFICATION!$A$8:$A$24,0)),"Review"))</f>
        <v>800 Commercial Drive</v>
      </c>
      <c r="N5043" s="350" t="str">
        <f>IF($B5043="Portfolio","Portfolio",IFERROR(INDEX(DATA_ASSET_CLASSIFICATION!$U$8:$U$24,MATCH($C5043,DATA_ASSET_CLASSIFICATION!$A$8:$A$24,0)),"Review"))</f>
        <v>New Build</v>
      </c>
      <c r="O5043" s="350" t="str">
        <f>IF($B5043="Portfolio","Portfolio",IFERROR(INDEX(DATA_ASSET_CLASSIFICATION!$AB$8:$AB$13,MATCH($N5043,DATA_ASSET_CLASSIFICATION!$AA$8:$AA$13,0)),"Review"))</f>
        <v>Bucket 1 · New Build</v>
      </c>
      <c r="P5043" s="350" t="str">
        <f>IF($B5043="Portfolio","Portfolio",IFERROR(INDEX(DATA_ASSET_CLASSIFICATION!$C$8:$C$24,MATCH($C5043,DATA_ASSET_CLASSIFICATION!$A$8:$A$24,0)),"Review"))</f>
        <v>Yes</v>
      </c>
      <c r="Q5043" s="350" t="str">
        <f t="shared" ca="1" si="157"/>
        <v>OK</v>
      </c>
    </row>
    <row r="5044" spans="1:17" ht="30">
      <c r="A5044" s="366" t="s">
        <v>7000</v>
      </c>
      <c r="B5044" s="366" t="s">
        <v>231</v>
      </c>
      <c r="C5044" s="348" t="str">
        <f>DATA_PROPERTY_MASTER!$A$21</f>
        <v>BLD_CD</v>
      </c>
      <c r="D5044" s="380">
        <f>'00_PORTFOLIO ROLLUP'!L$12</f>
        <v>2032</v>
      </c>
      <c r="E5044" s="366" t="s">
        <v>1683</v>
      </c>
      <c r="F5044" s="366" t="s">
        <v>27</v>
      </c>
      <c r="G5044" s="348" t="str">
        <f>"'"&amp;$C5044&amp;"'!$E$54:$Y$54"</f>
        <v>'BLD_CD'!$E$54:$Y$54</v>
      </c>
      <c r="H5044" s="381">
        <f ca="1">IF(IFERROR(INDEX(DATA_PROPERTY_MASTER!$E$5:$E$21,MATCH($C5044,DATA_PROPERTY_MASTER!$A$5:$A$21,0))="Yes",FALSE),IFERROR(INDEX(INDIRECT("'"&amp;$C5044&amp;"'!$E$54:$Y$54"),1,MATCH($D5044,INDIRECT("'"&amp;$C5044&amp;"'!$E$12:$Y$12"),0)),0),0)</f>
        <v>323275.74234608473</v>
      </c>
      <c r="I5044" s="366" t="s">
        <v>1690</v>
      </c>
      <c r="J5044" s="348" t="str">
        <f t="shared" ca="1" si="156"/>
        <v>OK</v>
      </c>
      <c r="K5044" s="366" t="s">
        <v>1714</v>
      </c>
      <c r="L5044" s="366" t="s">
        <v>2248</v>
      </c>
      <c r="M5044" s="350" t="str">
        <f>IF($B5044="Portfolio","Portfolio",IFERROR(INDEX(DATA_ASSET_CLASSIFICATION!$B$8:$B$24,MATCH($C5044,DATA_ASSET_CLASSIFICATION!$A$8:$A$24,0)),"Review"))</f>
        <v>800 Commercial Drive</v>
      </c>
      <c r="N5044" s="350" t="str">
        <f>IF($B5044="Portfolio","Portfolio",IFERROR(INDEX(DATA_ASSET_CLASSIFICATION!$U$8:$U$24,MATCH($C5044,DATA_ASSET_CLASSIFICATION!$A$8:$A$24,0)),"Review"))</f>
        <v>New Build</v>
      </c>
      <c r="O5044" s="350" t="str">
        <f>IF($B5044="Portfolio","Portfolio",IFERROR(INDEX(DATA_ASSET_CLASSIFICATION!$AB$8:$AB$13,MATCH($N5044,DATA_ASSET_CLASSIFICATION!$AA$8:$AA$13,0)),"Review"))</f>
        <v>Bucket 1 · New Build</v>
      </c>
      <c r="P5044" s="350" t="str">
        <f>IF($B5044="Portfolio","Portfolio",IFERROR(INDEX(DATA_ASSET_CLASSIFICATION!$C$8:$C$24,MATCH($C5044,DATA_ASSET_CLASSIFICATION!$A$8:$A$24,0)),"Review"))</f>
        <v>Yes</v>
      </c>
      <c r="Q5044" s="350" t="str">
        <f t="shared" ca="1" si="157"/>
        <v>OK</v>
      </c>
    </row>
    <row r="5045" spans="1:17" ht="30">
      <c r="A5045" s="366" t="s">
        <v>7001</v>
      </c>
      <c r="B5045" s="366" t="s">
        <v>231</v>
      </c>
      <c r="C5045" s="348" t="str">
        <f>DATA_PROPERTY_MASTER!$A$21</f>
        <v>BLD_CD</v>
      </c>
      <c r="D5045" s="380">
        <f>'00_PORTFOLIO ROLLUP'!L$12</f>
        <v>2032</v>
      </c>
      <c r="E5045" s="366" t="s">
        <v>1683</v>
      </c>
      <c r="F5045" s="366" t="s">
        <v>29</v>
      </c>
      <c r="G5045" s="348" t="str">
        <f>"'"&amp;$C5045&amp;"'!$E$56:$Y$56"</f>
        <v>'BLD_CD'!$E$56:$Y$56</v>
      </c>
      <c r="H5045" s="381">
        <f ca="1">IF(IFERROR(INDEX(DATA_PROPERTY_MASTER!$E$5:$E$21,MATCH($C5045,DATA_PROPERTY_MASTER!$A$5:$A$21,0))="Yes",FALSE),IFERROR(INDEX(INDIRECT("'"&amp;$C5045&amp;"'!$E$56:$Y$56"),1,MATCH($D5045,INDIRECT("'"&amp;$C5045&amp;"'!$E$12:$Y$12"),0)),0),0)</f>
        <v>215517.16156405647</v>
      </c>
      <c r="I5045" s="366" t="s">
        <v>1685</v>
      </c>
      <c r="J5045" s="348" t="str">
        <f t="shared" ca="1" si="156"/>
        <v>OK</v>
      </c>
      <c r="K5045" s="366" t="s">
        <v>1718</v>
      </c>
      <c r="L5045" s="366" t="s">
        <v>2250</v>
      </c>
      <c r="M5045" s="350" t="str">
        <f>IF($B5045="Portfolio","Portfolio",IFERROR(INDEX(DATA_ASSET_CLASSIFICATION!$B$8:$B$24,MATCH($C5045,DATA_ASSET_CLASSIFICATION!$A$8:$A$24,0)),"Review"))</f>
        <v>800 Commercial Drive</v>
      </c>
      <c r="N5045" s="350" t="str">
        <f>IF($B5045="Portfolio","Portfolio",IFERROR(INDEX(DATA_ASSET_CLASSIFICATION!$U$8:$U$24,MATCH($C5045,DATA_ASSET_CLASSIFICATION!$A$8:$A$24,0)),"Review"))</f>
        <v>New Build</v>
      </c>
      <c r="O5045" s="350" t="str">
        <f>IF($B5045="Portfolio","Portfolio",IFERROR(INDEX(DATA_ASSET_CLASSIFICATION!$AB$8:$AB$13,MATCH($N5045,DATA_ASSET_CLASSIFICATION!$AA$8:$AA$13,0)),"Review"))</f>
        <v>Bucket 1 · New Build</v>
      </c>
      <c r="P5045" s="350" t="str">
        <f>IF($B5045="Portfolio","Portfolio",IFERROR(INDEX(DATA_ASSET_CLASSIFICATION!$C$8:$C$24,MATCH($C5045,DATA_ASSET_CLASSIFICATION!$A$8:$A$24,0)),"Review"))</f>
        <v>Yes</v>
      </c>
      <c r="Q5045" s="350" t="str">
        <f t="shared" ca="1" si="157"/>
        <v>OK</v>
      </c>
    </row>
    <row r="5046" spans="1:17" ht="30">
      <c r="A5046" s="366" t="s">
        <v>7002</v>
      </c>
      <c r="B5046" s="366" t="s">
        <v>231</v>
      </c>
      <c r="C5046" s="348" t="str">
        <f>DATA_PROPERTY_MASTER!$A$21</f>
        <v>BLD_CD</v>
      </c>
      <c r="D5046" s="380">
        <f>'00_PORTFOLIO ROLLUP'!L$12</f>
        <v>2032</v>
      </c>
      <c r="E5046" s="366" t="s">
        <v>1721</v>
      </c>
      <c r="F5046" s="366" t="s">
        <v>31</v>
      </c>
      <c r="G5046" s="348" t="str">
        <f>"'"&amp;$C5046&amp;"'!$E$61:$Y$61"</f>
        <v>'BLD_CD'!$E$61:$Y$61</v>
      </c>
      <c r="H5046" s="381">
        <f ca="1">IF(IFERROR(INDEX(DATA_PROPERTY_MASTER!$E$5:$E$21,MATCH($C5046,DATA_PROPERTY_MASTER!$A$5:$A$21,0))="Yes",FALSE),IFERROR(INDEX(INDIRECT("'"&amp;$C5046&amp;"'!$E$61:$Y$61"),1,MATCH($D5046,INDIRECT("'"&amp;$C5046&amp;"'!$E$12:$Y$12"),0)),0),0)</f>
        <v>0</v>
      </c>
      <c r="I5046" s="366" t="s">
        <v>1690</v>
      </c>
      <c r="J5046" s="348" t="str">
        <f t="shared" ca="1" si="156"/>
        <v>OK</v>
      </c>
      <c r="K5046" s="366" t="s">
        <v>1723</v>
      </c>
      <c r="L5046" s="366" t="s">
        <v>2252</v>
      </c>
      <c r="M5046" s="350" t="str">
        <f>IF($B5046="Portfolio","Portfolio",IFERROR(INDEX(DATA_ASSET_CLASSIFICATION!$B$8:$B$24,MATCH($C5046,DATA_ASSET_CLASSIFICATION!$A$8:$A$24,0)),"Review"))</f>
        <v>800 Commercial Drive</v>
      </c>
      <c r="N5046" s="350" t="str">
        <f>IF($B5046="Portfolio","Portfolio",IFERROR(INDEX(DATA_ASSET_CLASSIFICATION!$U$8:$U$24,MATCH($C5046,DATA_ASSET_CLASSIFICATION!$A$8:$A$24,0)),"Review"))</f>
        <v>New Build</v>
      </c>
      <c r="O5046" s="350" t="str">
        <f>IF($B5046="Portfolio","Portfolio",IFERROR(INDEX(DATA_ASSET_CLASSIFICATION!$AB$8:$AB$13,MATCH($N5046,DATA_ASSET_CLASSIFICATION!$AA$8:$AA$13,0)),"Review"))</f>
        <v>Bucket 1 · New Build</v>
      </c>
      <c r="P5046" s="350" t="str">
        <f>IF($B5046="Portfolio","Portfolio",IFERROR(INDEX(DATA_ASSET_CLASSIFICATION!$C$8:$C$24,MATCH($C5046,DATA_ASSET_CLASSIFICATION!$A$8:$A$24,0)),"Review"))</f>
        <v>Yes</v>
      </c>
      <c r="Q5046" s="350" t="str">
        <f t="shared" ca="1" si="157"/>
        <v>OK</v>
      </c>
    </row>
    <row r="5047" spans="1:17" ht="30">
      <c r="A5047" s="366" t="s">
        <v>7003</v>
      </c>
      <c r="B5047" s="366" t="s">
        <v>231</v>
      </c>
      <c r="C5047" s="348" t="str">
        <f>DATA_PROPERTY_MASTER!$A$21</f>
        <v>BLD_CD</v>
      </c>
      <c r="D5047" s="380">
        <f>'00_PORTFOLIO ROLLUP'!L$12</f>
        <v>2032</v>
      </c>
      <c r="E5047" s="366" t="s">
        <v>1721</v>
      </c>
      <c r="F5047" s="366" t="s">
        <v>33</v>
      </c>
      <c r="G5047" s="348" t="str">
        <f>"'"&amp;$C5047&amp;"'!$E$62:$Y$62"</f>
        <v>'BLD_CD'!$E$62:$Y$62</v>
      </c>
      <c r="H5047" s="381">
        <f ca="1">IF(IFERROR(INDEX(DATA_PROPERTY_MASTER!$E$5:$E$21,MATCH($C5047,DATA_PROPERTY_MASTER!$A$5:$A$21,0))="Yes",FALSE),IFERROR(INDEX(INDIRECT("'"&amp;$C5047&amp;"'!$E$62:$Y$62"),1,MATCH($D5047,INDIRECT("'"&amp;$C5047&amp;"'!$E$12:$Y$12"),0)),0),0)</f>
        <v>0</v>
      </c>
      <c r="I5047" s="366" t="s">
        <v>1685</v>
      </c>
      <c r="J5047" s="348" t="str">
        <f t="shared" ca="1" si="156"/>
        <v>OK</v>
      </c>
      <c r="K5047" s="366" t="s">
        <v>1727</v>
      </c>
      <c r="L5047" s="366" t="s">
        <v>2254</v>
      </c>
      <c r="M5047" s="350" t="str">
        <f>IF($B5047="Portfolio","Portfolio",IFERROR(INDEX(DATA_ASSET_CLASSIFICATION!$B$8:$B$24,MATCH($C5047,DATA_ASSET_CLASSIFICATION!$A$8:$A$24,0)),"Review"))</f>
        <v>800 Commercial Drive</v>
      </c>
      <c r="N5047" s="350" t="str">
        <f>IF($B5047="Portfolio","Portfolio",IFERROR(INDEX(DATA_ASSET_CLASSIFICATION!$U$8:$U$24,MATCH($C5047,DATA_ASSET_CLASSIFICATION!$A$8:$A$24,0)),"Review"))</f>
        <v>New Build</v>
      </c>
      <c r="O5047" s="350" t="str">
        <f>IF($B5047="Portfolio","Portfolio",IFERROR(INDEX(DATA_ASSET_CLASSIFICATION!$AB$8:$AB$13,MATCH($N5047,DATA_ASSET_CLASSIFICATION!$AA$8:$AA$13,0)),"Review"))</f>
        <v>Bucket 1 · New Build</v>
      </c>
      <c r="P5047" s="350" t="str">
        <f>IF($B5047="Portfolio","Portfolio",IFERROR(INDEX(DATA_ASSET_CLASSIFICATION!$C$8:$C$24,MATCH($C5047,DATA_ASSET_CLASSIFICATION!$A$8:$A$24,0)),"Review"))</f>
        <v>Yes</v>
      </c>
      <c r="Q5047" s="350" t="str">
        <f t="shared" ca="1" si="157"/>
        <v>OK</v>
      </c>
    </row>
    <row r="5048" spans="1:17" ht="30">
      <c r="A5048" s="366" t="s">
        <v>7004</v>
      </c>
      <c r="B5048" s="366" t="s">
        <v>231</v>
      </c>
      <c r="C5048" s="348" t="str">
        <f>DATA_PROPERTY_MASTER!$A$21</f>
        <v>BLD_CD</v>
      </c>
      <c r="D5048" s="380">
        <f>'00_PORTFOLIO ROLLUP'!L$12</f>
        <v>2032</v>
      </c>
      <c r="E5048" s="366" t="s">
        <v>1721</v>
      </c>
      <c r="F5048" s="366" t="s">
        <v>35</v>
      </c>
      <c r="G5048" s="348" t="str">
        <f>"'"&amp;$C5048&amp;"'!$E$63:$Y$63"</f>
        <v>'BLD_CD'!$E$63:$Y$63</v>
      </c>
      <c r="H5048" s="381">
        <f ca="1">IF(IFERROR(INDEX(DATA_PROPERTY_MASTER!$E$5:$E$21,MATCH($C5048,DATA_PROPERTY_MASTER!$A$5:$A$21,0))="Yes",FALSE),IFERROR(INDEX(INDIRECT("'"&amp;$C5048&amp;"'!$E$63:$Y$63"),1,MATCH($D5048,INDIRECT("'"&amp;$C5048&amp;"'!$E$12:$Y$12"),0)),0),0)</f>
        <v>0</v>
      </c>
      <c r="I5048" s="366" t="s">
        <v>1731</v>
      </c>
      <c r="J5048" s="348" t="str">
        <f t="shared" ca="1" si="156"/>
        <v>OK</v>
      </c>
      <c r="K5048" s="366" t="s">
        <v>1732</v>
      </c>
      <c r="L5048" s="366" t="s">
        <v>2256</v>
      </c>
      <c r="M5048" s="350" t="str">
        <f>IF($B5048="Portfolio","Portfolio",IFERROR(INDEX(DATA_ASSET_CLASSIFICATION!$B$8:$B$24,MATCH($C5048,DATA_ASSET_CLASSIFICATION!$A$8:$A$24,0)),"Review"))</f>
        <v>800 Commercial Drive</v>
      </c>
      <c r="N5048" s="350" t="str">
        <f>IF($B5048="Portfolio","Portfolio",IFERROR(INDEX(DATA_ASSET_CLASSIFICATION!$U$8:$U$24,MATCH($C5048,DATA_ASSET_CLASSIFICATION!$A$8:$A$24,0)),"Review"))</f>
        <v>New Build</v>
      </c>
      <c r="O5048" s="350" t="str">
        <f>IF($B5048="Portfolio","Portfolio",IFERROR(INDEX(DATA_ASSET_CLASSIFICATION!$AB$8:$AB$13,MATCH($N5048,DATA_ASSET_CLASSIFICATION!$AA$8:$AA$13,0)),"Review"))</f>
        <v>Bucket 1 · New Build</v>
      </c>
      <c r="P5048" s="350" t="str">
        <f>IF($B5048="Portfolio","Portfolio",IFERROR(INDEX(DATA_ASSET_CLASSIFICATION!$C$8:$C$24,MATCH($C5048,DATA_ASSET_CLASSIFICATION!$A$8:$A$24,0)),"Review"))</f>
        <v>Yes</v>
      </c>
      <c r="Q5048" s="350" t="str">
        <f t="shared" ca="1" si="157"/>
        <v>OK</v>
      </c>
    </row>
    <row r="5049" spans="1:17" ht="30">
      <c r="A5049" s="366" t="s">
        <v>7005</v>
      </c>
      <c r="B5049" s="366" t="s">
        <v>231</v>
      </c>
      <c r="C5049" s="348" t="str">
        <f>DATA_PROPERTY_MASTER!$A$21</f>
        <v>BLD_CD</v>
      </c>
      <c r="D5049" s="380">
        <f>'00_PORTFOLIO ROLLUP'!L$12</f>
        <v>2032</v>
      </c>
      <c r="E5049" s="366" t="s">
        <v>1721</v>
      </c>
      <c r="F5049" s="366" t="s">
        <v>37</v>
      </c>
      <c r="G5049" s="348" t="str">
        <f>"'"&amp;$C5049&amp;"'!$E$63:$Y$63"</f>
        <v>'BLD_CD'!$E$63:$Y$63</v>
      </c>
      <c r="H5049" s="381">
        <f ca="1">IF(IFERROR(INDEX(DATA_PROPERTY_MASTER!$E$5:$E$21,MATCH($C5049,DATA_PROPERTY_MASTER!$A$5:$A$21,0))="Yes",FALSE),MAX(IFERROR(INDEX(INDIRECT("'"&amp;$C5049&amp;"'!$E$63:$Y$63"),1,MATCH($D5049,INDIRECT("'"&amp;$C5049&amp;"'!$E$12:$Y$12"),0)),0),0),0)</f>
        <v>0</v>
      </c>
      <c r="I5049" s="366" t="s">
        <v>1685</v>
      </c>
      <c r="J5049" s="348" t="str">
        <f t="shared" ca="1" si="156"/>
        <v>OK</v>
      </c>
      <c r="K5049" s="366" t="s">
        <v>1735</v>
      </c>
      <c r="L5049" s="366" t="s">
        <v>2258</v>
      </c>
      <c r="M5049" s="350" t="str">
        <f>IF($B5049="Portfolio","Portfolio",IFERROR(INDEX(DATA_ASSET_CLASSIFICATION!$B$8:$B$24,MATCH($C5049,DATA_ASSET_CLASSIFICATION!$A$8:$A$24,0)),"Review"))</f>
        <v>800 Commercial Drive</v>
      </c>
      <c r="N5049" s="350" t="str">
        <f>IF($B5049="Portfolio","Portfolio",IFERROR(INDEX(DATA_ASSET_CLASSIFICATION!$U$8:$U$24,MATCH($C5049,DATA_ASSET_CLASSIFICATION!$A$8:$A$24,0)),"Review"))</f>
        <v>New Build</v>
      </c>
      <c r="O5049" s="350" t="str">
        <f>IF($B5049="Portfolio","Portfolio",IFERROR(INDEX(DATA_ASSET_CLASSIFICATION!$AB$8:$AB$13,MATCH($N5049,DATA_ASSET_CLASSIFICATION!$AA$8:$AA$13,0)),"Review"))</f>
        <v>Bucket 1 · New Build</v>
      </c>
      <c r="P5049" s="350" t="str">
        <f>IF($B5049="Portfolio","Portfolio",IFERROR(INDEX(DATA_ASSET_CLASSIFICATION!$C$8:$C$24,MATCH($C5049,DATA_ASSET_CLASSIFICATION!$A$8:$A$24,0)),"Review"))</f>
        <v>Yes</v>
      </c>
      <c r="Q5049" s="350" t="str">
        <f t="shared" ca="1" si="157"/>
        <v>OK</v>
      </c>
    </row>
    <row r="5050" spans="1:17" ht="30">
      <c r="A5050" s="366" t="s">
        <v>7006</v>
      </c>
      <c r="B5050" s="366" t="s">
        <v>231</v>
      </c>
      <c r="C5050" s="348" t="str">
        <f>DATA_PROPERTY_MASTER!$A$21</f>
        <v>BLD_CD</v>
      </c>
      <c r="D5050" s="380">
        <f>'00_PORTFOLIO ROLLUP'!L$12</f>
        <v>2032</v>
      </c>
      <c r="E5050" s="366" t="s">
        <v>1721</v>
      </c>
      <c r="F5050" s="366" t="s">
        <v>39</v>
      </c>
      <c r="G5050" s="348" t="str">
        <f>"'"&amp;$C5050&amp;"'!$E$63:$Y$63"</f>
        <v>'BLD_CD'!$E$63:$Y$63</v>
      </c>
      <c r="H5050" s="381">
        <f ca="1">IF(IFERROR(INDEX(DATA_PROPERTY_MASTER!$E$5:$E$21,MATCH($C5050,DATA_PROPERTY_MASTER!$A$5:$A$21,0))="Yes",FALSE),MAX(-IFERROR(INDEX(INDIRECT("'"&amp;$C5050&amp;"'!$E$63:$Y$63"),1,MATCH($D5050,INDIRECT("'"&amp;$C5050&amp;"'!$E$12:$Y$12"),0)),0),0),0)</f>
        <v>0</v>
      </c>
      <c r="I5050" s="366" t="s">
        <v>1690</v>
      </c>
      <c r="J5050" s="348" t="str">
        <f t="shared" ca="1" si="156"/>
        <v>OK</v>
      </c>
      <c r="K5050" s="366" t="s">
        <v>1738</v>
      </c>
      <c r="L5050" s="366" t="s">
        <v>2260</v>
      </c>
      <c r="M5050" s="350" t="str">
        <f>IF($B5050="Portfolio","Portfolio",IFERROR(INDEX(DATA_ASSET_CLASSIFICATION!$B$8:$B$24,MATCH($C5050,DATA_ASSET_CLASSIFICATION!$A$8:$A$24,0)),"Review"))</f>
        <v>800 Commercial Drive</v>
      </c>
      <c r="N5050" s="350" t="str">
        <f>IF($B5050="Portfolio","Portfolio",IFERROR(INDEX(DATA_ASSET_CLASSIFICATION!$U$8:$U$24,MATCH($C5050,DATA_ASSET_CLASSIFICATION!$A$8:$A$24,0)),"Review"))</f>
        <v>New Build</v>
      </c>
      <c r="O5050" s="350" t="str">
        <f>IF($B5050="Portfolio","Portfolio",IFERROR(INDEX(DATA_ASSET_CLASSIFICATION!$AB$8:$AB$13,MATCH($N5050,DATA_ASSET_CLASSIFICATION!$AA$8:$AA$13,0)),"Review"))</f>
        <v>Bucket 1 · New Build</v>
      </c>
      <c r="P5050" s="350" t="str">
        <f>IF($B5050="Portfolio","Portfolio",IFERROR(INDEX(DATA_ASSET_CLASSIFICATION!$C$8:$C$24,MATCH($C5050,DATA_ASSET_CLASSIFICATION!$A$8:$A$24,0)),"Review"))</f>
        <v>Yes</v>
      </c>
      <c r="Q5050" s="350" t="str">
        <f t="shared" ca="1" si="157"/>
        <v>OK</v>
      </c>
    </row>
    <row r="5051" spans="1:17" ht="30">
      <c r="A5051" s="366" t="s">
        <v>7007</v>
      </c>
      <c r="B5051" s="366" t="s">
        <v>231</v>
      </c>
      <c r="C5051" s="348" t="str">
        <f>DATA_PROPERTY_MASTER!$A$21</f>
        <v>BLD_CD</v>
      </c>
      <c r="D5051" s="380">
        <f>'00_PORTFOLIO ROLLUP'!L$12</f>
        <v>2032</v>
      </c>
      <c r="E5051" s="366" t="s">
        <v>1741</v>
      </c>
      <c r="F5051" s="366" t="s">
        <v>41</v>
      </c>
      <c r="G5051" s="348" t="str">
        <f>"'"&amp;$C5051&amp;"'!rows 56 + positive row 63"</f>
        <v>'BLD_CD'!rows 56 + positive row 63</v>
      </c>
      <c r="H5051" s="381">
        <f ca="1">IF(IFERROR(INDEX(DATA_PROPERTY_MASTER!$E$5:$E$21,MATCH($C5051,DATA_PROPERTY_MASTER!$A$5:$A$21,0))="Yes",FALSE),IFERROR(INDEX(INDIRECT("'"&amp;$C5051&amp;"'!$E$56:$Y$56"),1,MATCH($D5051,INDIRECT("'"&amp;$C5051&amp;"'!$E$12:$Y$12"),0)),0)+MAX(IFERROR(INDEX(INDIRECT("'"&amp;$C5051&amp;"'!$E$63:$Y$63"),1,MATCH($D5051,INDIRECT("'"&amp;$C5051&amp;"'!$E$12:$Y$12"),0)),0),0),0)</f>
        <v>215517.16156405647</v>
      </c>
      <c r="I5051" s="366" t="s">
        <v>1685</v>
      </c>
      <c r="J5051" s="348" t="str">
        <f t="shared" ca="1" si="156"/>
        <v>OK</v>
      </c>
      <c r="K5051" s="366" t="s">
        <v>1742</v>
      </c>
      <c r="L5051" s="366" t="s">
        <v>2262</v>
      </c>
      <c r="M5051" s="350" t="str">
        <f>IF($B5051="Portfolio","Portfolio",IFERROR(INDEX(DATA_ASSET_CLASSIFICATION!$B$8:$B$24,MATCH($C5051,DATA_ASSET_CLASSIFICATION!$A$8:$A$24,0)),"Review"))</f>
        <v>800 Commercial Drive</v>
      </c>
      <c r="N5051" s="350" t="str">
        <f>IF($B5051="Portfolio","Portfolio",IFERROR(INDEX(DATA_ASSET_CLASSIFICATION!$U$8:$U$24,MATCH($C5051,DATA_ASSET_CLASSIFICATION!$A$8:$A$24,0)),"Review"))</f>
        <v>New Build</v>
      </c>
      <c r="O5051" s="350" t="str">
        <f>IF($B5051="Portfolio","Portfolio",IFERROR(INDEX(DATA_ASSET_CLASSIFICATION!$AB$8:$AB$13,MATCH($N5051,DATA_ASSET_CLASSIFICATION!$AA$8:$AA$13,0)),"Review"))</f>
        <v>Bucket 1 · New Build</v>
      </c>
      <c r="P5051" s="350" t="str">
        <f>IF($B5051="Portfolio","Portfolio",IFERROR(INDEX(DATA_ASSET_CLASSIFICATION!$C$8:$C$24,MATCH($C5051,DATA_ASSET_CLASSIFICATION!$A$8:$A$24,0)),"Review"))</f>
        <v>Yes</v>
      </c>
      <c r="Q5051" s="350" t="str">
        <f t="shared" ca="1" si="157"/>
        <v>OK</v>
      </c>
    </row>
    <row r="5052" spans="1:17" ht="30">
      <c r="A5052" s="366" t="s">
        <v>7008</v>
      </c>
      <c r="B5052" s="366" t="s">
        <v>231</v>
      </c>
      <c r="C5052" s="348" t="str">
        <f>DATA_PROPERTY_MASTER!$A$21</f>
        <v>BLD_CD</v>
      </c>
      <c r="D5052" s="380">
        <f>'00_PORTFOLIO ROLLUP'!L$12</f>
        <v>2032</v>
      </c>
      <c r="E5052" s="366" t="s">
        <v>1741</v>
      </c>
      <c r="F5052" s="366" t="s">
        <v>43</v>
      </c>
      <c r="G5052" s="348" t="str">
        <f>"'"&amp;$C5052&amp;"'!$E$68:$Y$68"</f>
        <v>'BLD_CD'!$E$68:$Y$68</v>
      </c>
      <c r="H5052" s="381">
        <f ca="1">IF(IFERROR(INDEX(DATA_PROPERTY_MASTER!$E$5:$E$21,MATCH($C5052,DATA_PROPERTY_MASTER!$A$5:$A$21,0))="Yes",FALSE),IFERROR(INDEX(INDIRECT("'"&amp;$C5052&amp;"'!$E$68:$Y$68"),1,MATCH($D5052,INDIRECT("'"&amp;$C5052&amp;"'!$E$12:$Y$12"),0)),0),0)</f>
        <v>215517.16156405647</v>
      </c>
      <c r="I5052" s="366" t="s">
        <v>1731</v>
      </c>
      <c r="J5052" s="348" t="str">
        <f t="shared" ca="1" si="156"/>
        <v>OK</v>
      </c>
      <c r="K5052" s="366" t="s">
        <v>1746</v>
      </c>
      <c r="L5052" s="366" t="s">
        <v>2264</v>
      </c>
      <c r="M5052" s="350" t="str">
        <f>IF($B5052="Portfolio","Portfolio",IFERROR(INDEX(DATA_ASSET_CLASSIFICATION!$B$8:$B$24,MATCH($C5052,DATA_ASSET_CLASSIFICATION!$A$8:$A$24,0)),"Review"))</f>
        <v>800 Commercial Drive</v>
      </c>
      <c r="N5052" s="350" t="str">
        <f>IF($B5052="Portfolio","Portfolio",IFERROR(INDEX(DATA_ASSET_CLASSIFICATION!$U$8:$U$24,MATCH($C5052,DATA_ASSET_CLASSIFICATION!$A$8:$A$24,0)),"Review"))</f>
        <v>New Build</v>
      </c>
      <c r="O5052" s="350" t="str">
        <f>IF($B5052="Portfolio","Portfolio",IFERROR(INDEX(DATA_ASSET_CLASSIFICATION!$AB$8:$AB$13,MATCH($N5052,DATA_ASSET_CLASSIFICATION!$AA$8:$AA$13,0)),"Review"))</f>
        <v>Bucket 1 · New Build</v>
      </c>
      <c r="P5052" s="350" t="str">
        <f>IF($B5052="Portfolio","Portfolio",IFERROR(INDEX(DATA_ASSET_CLASSIFICATION!$C$8:$C$24,MATCH($C5052,DATA_ASSET_CLASSIFICATION!$A$8:$A$24,0)),"Review"))</f>
        <v>Yes</v>
      </c>
      <c r="Q5052" s="350" t="str">
        <f t="shared" ca="1" si="157"/>
        <v>OK</v>
      </c>
    </row>
    <row r="5053" spans="1:17" ht="30">
      <c r="A5053" s="366" t="s">
        <v>7009</v>
      </c>
      <c r="B5053" s="366" t="s">
        <v>231</v>
      </c>
      <c r="C5053" s="348" t="str">
        <f>DATA_PROPERTY_MASTER!$A$21</f>
        <v>BLD_CD</v>
      </c>
      <c r="D5053" s="380">
        <f>'00_PORTFOLIO ROLLUP'!L$12</f>
        <v>2032</v>
      </c>
      <c r="E5053" s="366" t="s">
        <v>1741</v>
      </c>
      <c r="F5053" s="366" t="s">
        <v>1749</v>
      </c>
      <c r="G5053" s="348" t="str">
        <f>"'"&amp;$C5053&amp;"'!rows 56, 63, 68"</f>
        <v>'BLD_CD'!rows 56, 63, 68</v>
      </c>
      <c r="H5053" s="381">
        <f ca="1">IF(IFERROR(INDEX(DATA_PROPERTY_MASTER!$E$5:$E$21,MATCH($C5053,DATA_PROPERTY_MASTER!$A$5:$A$21,0))="Yes",FALSE),(IFERROR(INDEX(INDIRECT("'"&amp;$C5053&amp;"'!$E$56:$Y$56"),1,MATCH($D5053,INDIRECT("'"&amp;$C5053&amp;"'!$E$12:$Y$12"),0)),0)+MAX(IFERROR(INDEX(INDIRECT("'"&amp;$C5053&amp;"'!$E$63:$Y$63"),1,MATCH($D5053,INDIRECT("'"&amp;$C5053&amp;"'!$E$12:$Y$12"),0)),0),0))-(IFERROR(INDEX(INDIRECT("'"&amp;$C5053&amp;"'!$E$68:$Y$68"),1,MATCH($D5053,INDIRECT("'"&amp;$C5053&amp;"'!$E$12:$Y$12"),0)),0)),0)</f>
        <v>0</v>
      </c>
      <c r="I5053" s="366" t="s">
        <v>1750</v>
      </c>
      <c r="J5053" s="348" t="str">
        <f t="shared" ca="1" si="156"/>
        <v>OK</v>
      </c>
      <c r="K5053" s="366" t="s">
        <v>1751</v>
      </c>
      <c r="L5053" s="366" t="s">
        <v>2266</v>
      </c>
      <c r="M5053" s="350" t="str">
        <f>IF($B5053="Portfolio","Portfolio",IFERROR(INDEX(DATA_ASSET_CLASSIFICATION!$B$8:$B$24,MATCH($C5053,DATA_ASSET_CLASSIFICATION!$A$8:$A$24,0)),"Review"))</f>
        <v>800 Commercial Drive</v>
      </c>
      <c r="N5053" s="350" t="str">
        <f>IF($B5053="Portfolio","Portfolio",IFERROR(INDEX(DATA_ASSET_CLASSIFICATION!$U$8:$U$24,MATCH($C5053,DATA_ASSET_CLASSIFICATION!$A$8:$A$24,0)),"Review"))</f>
        <v>New Build</v>
      </c>
      <c r="O5053" s="350" t="str">
        <f>IF($B5053="Portfolio","Portfolio",IFERROR(INDEX(DATA_ASSET_CLASSIFICATION!$AB$8:$AB$13,MATCH($N5053,DATA_ASSET_CLASSIFICATION!$AA$8:$AA$13,0)),"Review"))</f>
        <v>Bucket 1 · New Build</v>
      </c>
      <c r="P5053" s="350" t="str">
        <f>IF($B5053="Portfolio","Portfolio",IFERROR(INDEX(DATA_ASSET_CLASSIFICATION!$C$8:$C$24,MATCH($C5053,DATA_ASSET_CLASSIFICATION!$A$8:$A$24,0)),"Review"))</f>
        <v>Yes</v>
      </c>
      <c r="Q5053" s="350" t="str">
        <f t="shared" ca="1" si="157"/>
        <v>OK</v>
      </c>
    </row>
    <row r="5054" spans="1:17" ht="30">
      <c r="A5054" s="366" t="s">
        <v>7010</v>
      </c>
      <c r="B5054" s="366" t="s">
        <v>231</v>
      </c>
      <c r="C5054" s="348" t="str">
        <f>DATA_PROPERTY_MASTER!$A$21</f>
        <v>BLD_CD</v>
      </c>
      <c r="D5054" s="380">
        <f>'00_PORTFOLIO ROLLUP'!M$12</f>
        <v>2033</v>
      </c>
      <c r="E5054" s="366" t="s">
        <v>1683</v>
      </c>
      <c r="F5054" s="366" t="s">
        <v>341</v>
      </c>
      <c r="G5054" s="348" t="str">
        <f>"'"&amp;$C5054&amp;"'!$E$24:$Y$24"</f>
        <v>'BLD_CD'!$E$24:$Y$24</v>
      </c>
      <c r="H5054" s="381">
        <f ca="1">IF(IFERROR(INDEX(DATA_PROPERTY_MASTER!$E$5:$E$21,MATCH($C5054,DATA_PROPERTY_MASTER!$A$5:$A$21,0))="Yes",FALSE),IFERROR(INDEX(INDIRECT("'"&amp;$C5054&amp;"'!$E$24:$Y$24"),1,MATCH($D5054,INDIRECT("'"&amp;$C5054&amp;"'!$E$12:$Y$12"),0)),0),0)</f>
        <v>2392251.0797080868</v>
      </c>
      <c r="I5054" s="366" t="s">
        <v>1685</v>
      </c>
      <c r="J5054" s="348" t="str">
        <f t="shared" ca="1" si="156"/>
        <v>OK</v>
      </c>
      <c r="K5054" s="366" t="s">
        <v>1686</v>
      </c>
      <c r="L5054" s="366" t="s">
        <v>2234</v>
      </c>
      <c r="M5054" s="350" t="str">
        <f>IF($B5054="Portfolio","Portfolio",IFERROR(INDEX(DATA_ASSET_CLASSIFICATION!$B$8:$B$24,MATCH($C5054,DATA_ASSET_CLASSIFICATION!$A$8:$A$24,0)),"Review"))</f>
        <v>800 Commercial Drive</v>
      </c>
      <c r="N5054" s="350" t="str">
        <f>IF($B5054="Portfolio","Portfolio",IFERROR(INDEX(DATA_ASSET_CLASSIFICATION!$U$8:$U$24,MATCH($C5054,DATA_ASSET_CLASSIFICATION!$A$8:$A$24,0)),"Review"))</f>
        <v>New Build</v>
      </c>
      <c r="O5054" s="350" t="str">
        <f>IF($B5054="Portfolio","Portfolio",IFERROR(INDEX(DATA_ASSET_CLASSIFICATION!$AB$8:$AB$13,MATCH($N5054,DATA_ASSET_CLASSIFICATION!$AA$8:$AA$13,0)),"Review"))</f>
        <v>Bucket 1 · New Build</v>
      </c>
      <c r="P5054" s="350" t="str">
        <f>IF($B5054="Portfolio","Portfolio",IFERROR(INDEX(DATA_ASSET_CLASSIFICATION!$C$8:$C$24,MATCH($C5054,DATA_ASSET_CLASSIFICATION!$A$8:$A$24,0)),"Review"))</f>
        <v>Yes</v>
      </c>
      <c r="Q5054" s="350" t="str">
        <f t="shared" ca="1" si="157"/>
        <v>OK</v>
      </c>
    </row>
    <row r="5055" spans="1:17" ht="30">
      <c r="A5055" s="366" t="s">
        <v>7011</v>
      </c>
      <c r="B5055" s="366" t="s">
        <v>231</v>
      </c>
      <c r="C5055" s="348" t="str">
        <f>DATA_PROPERTY_MASTER!$A$21</f>
        <v>BLD_CD</v>
      </c>
      <c r="D5055" s="380">
        <f>'00_PORTFOLIO ROLLUP'!M$12</f>
        <v>2033</v>
      </c>
      <c r="E5055" s="366" t="s">
        <v>1683</v>
      </c>
      <c r="F5055" s="366" t="s">
        <v>355</v>
      </c>
      <c r="G5055" s="348" t="str">
        <f>"'"&amp;$C5055&amp;"'!$E$39:$Y$39"</f>
        <v>'BLD_CD'!$E$39:$Y$39</v>
      </c>
      <c r="H5055" s="381">
        <f ca="1">IF(IFERROR(INDEX(DATA_PROPERTY_MASTER!$E$5:$E$21,MATCH($C5055,DATA_PROPERTY_MASTER!$A$5:$A$21,0))="Yes",FALSE),IFERROR(INDEX(INDIRECT("'"&amp;$C5055&amp;"'!$E$39:$Y$39"),1,MATCH($D5055,INDIRECT("'"&amp;$C5055&amp;"'!$E$12:$Y$12"),0)),0),0)</f>
        <v>860075.85115814395</v>
      </c>
      <c r="I5055" s="366" t="s">
        <v>1690</v>
      </c>
      <c r="J5055" s="348" t="str">
        <f t="shared" ca="1" si="156"/>
        <v>OK</v>
      </c>
      <c r="K5055" s="366" t="s">
        <v>1686</v>
      </c>
      <c r="L5055" s="366" t="s">
        <v>2236</v>
      </c>
      <c r="M5055" s="350" t="str">
        <f>IF($B5055="Portfolio","Portfolio",IFERROR(INDEX(DATA_ASSET_CLASSIFICATION!$B$8:$B$24,MATCH($C5055,DATA_ASSET_CLASSIFICATION!$A$8:$A$24,0)),"Review"))</f>
        <v>800 Commercial Drive</v>
      </c>
      <c r="N5055" s="350" t="str">
        <f>IF($B5055="Portfolio","Portfolio",IFERROR(INDEX(DATA_ASSET_CLASSIFICATION!$U$8:$U$24,MATCH($C5055,DATA_ASSET_CLASSIFICATION!$A$8:$A$24,0)),"Review"))</f>
        <v>New Build</v>
      </c>
      <c r="O5055" s="350" t="str">
        <f>IF($B5055="Portfolio","Portfolio",IFERROR(INDEX(DATA_ASSET_CLASSIFICATION!$AB$8:$AB$13,MATCH($N5055,DATA_ASSET_CLASSIFICATION!$AA$8:$AA$13,0)),"Review"))</f>
        <v>Bucket 1 · New Build</v>
      </c>
      <c r="P5055" s="350" t="str">
        <f>IF($B5055="Portfolio","Portfolio",IFERROR(INDEX(DATA_ASSET_CLASSIFICATION!$C$8:$C$24,MATCH($C5055,DATA_ASSET_CLASSIFICATION!$A$8:$A$24,0)),"Review"))</f>
        <v>Yes</v>
      </c>
      <c r="Q5055" s="350" t="str">
        <f t="shared" ca="1" si="157"/>
        <v>OK</v>
      </c>
    </row>
    <row r="5056" spans="1:17" ht="30">
      <c r="A5056" s="366" t="s">
        <v>7012</v>
      </c>
      <c r="B5056" s="366" t="s">
        <v>231</v>
      </c>
      <c r="C5056" s="348" t="str">
        <f>DATA_PROPERTY_MASTER!$A$21</f>
        <v>BLD_CD</v>
      </c>
      <c r="D5056" s="380">
        <f>'00_PORTFOLIO ROLLUP'!M$12</f>
        <v>2033</v>
      </c>
      <c r="E5056" s="366" t="s">
        <v>1683</v>
      </c>
      <c r="F5056" s="366" t="s">
        <v>19</v>
      </c>
      <c r="G5056" s="348" t="str">
        <f>"'"&amp;$C5056&amp;"'!$E$41:$Y$41"</f>
        <v>'BLD_CD'!$E$41:$Y$41</v>
      </c>
      <c r="H5056" s="381">
        <f ca="1">IF(IFERROR(INDEX(DATA_PROPERTY_MASTER!$E$5:$E$21,MATCH($C5056,DATA_PROPERTY_MASTER!$A$5:$A$21,0))="Yes",FALSE),IFERROR(INDEX(INDIRECT("'"&amp;$C5056&amp;"'!$E$41:$Y$41"),1,MATCH($D5056,INDIRECT("'"&amp;$C5056&amp;"'!$E$12:$Y$12"),0)),0),0)</f>
        <v>1532175.2285499428</v>
      </c>
      <c r="I5056" s="366" t="s">
        <v>1685</v>
      </c>
      <c r="J5056" s="348" t="str">
        <f t="shared" ca="1" si="156"/>
        <v>OK</v>
      </c>
      <c r="K5056" s="366" t="s">
        <v>1694</v>
      </c>
      <c r="L5056" s="366" t="s">
        <v>2238</v>
      </c>
      <c r="M5056" s="350" t="str">
        <f>IF($B5056="Portfolio","Portfolio",IFERROR(INDEX(DATA_ASSET_CLASSIFICATION!$B$8:$B$24,MATCH($C5056,DATA_ASSET_CLASSIFICATION!$A$8:$A$24,0)),"Review"))</f>
        <v>800 Commercial Drive</v>
      </c>
      <c r="N5056" s="350" t="str">
        <f>IF($B5056="Portfolio","Portfolio",IFERROR(INDEX(DATA_ASSET_CLASSIFICATION!$U$8:$U$24,MATCH($C5056,DATA_ASSET_CLASSIFICATION!$A$8:$A$24,0)),"Review"))</f>
        <v>New Build</v>
      </c>
      <c r="O5056" s="350" t="str">
        <f>IF($B5056="Portfolio","Portfolio",IFERROR(INDEX(DATA_ASSET_CLASSIFICATION!$AB$8:$AB$13,MATCH($N5056,DATA_ASSET_CLASSIFICATION!$AA$8:$AA$13,0)),"Review"))</f>
        <v>Bucket 1 · New Build</v>
      </c>
      <c r="P5056" s="350" t="str">
        <f>IF($B5056="Portfolio","Portfolio",IFERROR(INDEX(DATA_ASSET_CLASSIFICATION!$C$8:$C$24,MATCH($C5056,DATA_ASSET_CLASSIFICATION!$A$8:$A$24,0)),"Review"))</f>
        <v>Yes</v>
      </c>
      <c r="Q5056" s="350" t="str">
        <f t="shared" ca="1" si="157"/>
        <v>OK</v>
      </c>
    </row>
    <row r="5057" spans="1:17" ht="30">
      <c r="A5057" s="366" t="s">
        <v>7013</v>
      </c>
      <c r="B5057" s="366" t="s">
        <v>231</v>
      </c>
      <c r="C5057" s="348" t="str">
        <f>DATA_PROPERTY_MASTER!$A$21</f>
        <v>BLD_CD</v>
      </c>
      <c r="D5057" s="380">
        <f>'00_PORTFOLIO ROLLUP'!M$12</f>
        <v>2033</v>
      </c>
      <c r="E5057" s="366" t="s">
        <v>1683</v>
      </c>
      <c r="F5057" s="366" t="s">
        <v>1697</v>
      </c>
      <c r="G5057" s="348" t="str">
        <f>"'"&amp;$C5057&amp;"'!$E$44:$Y$44"</f>
        <v>'BLD_CD'!$E$44:$Y$44</v>
      </c>
      <c r="H5057" s="381">
        <f ca="1">IF(IFERROR(INDEX(DATA_PROPERTY_MASTER!$E$5:$E$21,MATCH($C5057,DATA_PROPERTY_MASTER!$A$5:$A$21,0))="Yes",FALSE),IFERROR(INDEX(INDIRECT("'"&amp;$C5057&amp;"'!$E$44:$Y$44"),1,MATCH($D5057,INDIRECT("'"&amp;$C5057&amp;"'!$E$12:$Y$12"),0)),0),0)</f>
        <v>16344.648364981604</v>
      </c>
      <c r="I5057" s="366" t="s">
        <v>1690</v>
      </c>
      <c r="J5057" s="348" t="str">
        <f t="shared" ca="1" si="156"/>
        <v>OK</v>
      </c>
      <c r="K5057" s="366" t="s">
        <v>1699</v>
      </c>
      <c r="L5057" s="366" t="s">
        <v>2240</v>
      </c>
      <c r="M5057" s="350" t="str">
        <f>IF($B5057="Portfolio","Portfolio",IFERROR(INDEX(DATA_ASSET_CLASSIFICATION!$B$8:$B$24,MATCH($C5057,DATA_ASSET_CLASSIFICATION!$A$8:$A$24,0)),"Review"))</f>
        <v>800 Commercial Drive</v>
      </c>
      <c r="N5057" s="350" t="str">
        <f>IF($B5057="Portfolio","Portfolio",IFERROR(INDEX(DATA_ASSET_CLASSIFICATION!$U$8:$U$24,MATCH($C5057,DATA_ASSET_CLASSIFICATION!$A$8:$A$24,0)),"Review"))</f>
        <v>New Build</v>
      </c>
      <c r="O5057" s="350" t="str">
        <f>IF($B5057="Portfolio","Portfolio",IFERROR(INDEX(DATA_ASSET_CLASSIFICATION!$AB$8:$AB$13,MATCH($N5057,DATA_ASSET_CLASSIFICATION!$AA$8:$AA$13,0)),"Review"))</f>
        <v>Bucket 1 · New Build</v>
      </c>
      <c r="P5057" s="350" t="str">
        <f>IF($B5057="Portfolio","Portfolio",IFERROR(INDEX(DATA_ASSET_CLASSIFICATION!$C$8:$C$24,MATCH($C5057,DATA_ASSET_CLASSIFICATION!$A$8:$A$24,0)),"Review"))</f>
        <v>Yes</v>
      </c>
      <c r="Q5057" s="350" t="str">
        <f t="shared" ca="1" si="157"/>
        <v>OK</v>
      </c>
    </row>
    <row r="5058" spans="1:17" ht="30">
      <c r="A5058" s="366" t="s">
        <v>7014</v>
      </c>
      <c r="B5058" s="366" t="s">
        <v>231</v>
      </c>
      <c r="C5058" s="348" t="str">
        <f>DATA_PROPERTY_MASTER!$A$21</f>
        <v>BLD_CD</v>
      </c>
      <c r="D5058" s="380">
        <f>'00_PORTFOLIO ROLLUP'!M$12</f>
        <v>2033</v>
      </c>
      <c r="E5058" s="366" t="s">
        <v>1683</v>
      </c>
      <c r="F5058" s="366" t="s">
        <v>21</v>
      </c>
      <c r="G5058" s="348" t="str">
        <f>"'"&amp;$C5058&amp;"'!$E$45:$Y$45"</f>
        <v>'BLD_CD'!$E$45:$Y$45</v>
      </c>
      <c r="H5058" s="381">
        <f ca="1">IF(IFERROR(INDEX(DATA_PROPERTY_MASTER!$E$5:$E$21,MATCH($C5058,DATA_PROPERTY_MASTER!$A$5:$A$21,0))="Yes",FALSE),IFERROR(INDEX(INDIRECT("'"&amp;$C5058&amp;"'!$E$45:$Y$45"),1,MATCH($D5058,INDIRECT("'"&amp;$C5058&amp;"'!$E$12:$Y$12"),0)),0),0)</f>
        <v>1515830.5801849612</v>
      </c>
      <c r="I5058" s="366" t="s">
        <v>1685</v>
      </c>
      <c r="J5058" s="348" t="str">
        <f t="shared" ca="1" si="156"/>
        <v>OK</v>
      </c>
      <c r="K5058" s="366" t="s">
        <v>1694</v>
      </c>
      <c r="L5058" s="366" t="s">
        <v>2242</v>
      </c>
      <c r="M5058" s="350" t="str">
        <f>IF($B5058="Portfolio","Portfolio",IFERROR(INDEX(DATA_ASSET_CLASSIFICATION!$B$8:$B$24,MATCH($C5058,DATA_ASSET_CLASSIFICATION!$A$8:$A$24,0)),"Review"))</f>
        <v>800 Commercial Drive</v>
      </c>
      <c r="N5058" s="350" t="str">
        <f>IF($B5058="Portfolio","Portfolio",IFERROR(INDEX(DATA_ASSET_CLASSIFICATION!$U$8:$U$24,MATCH($C5058,DATA_ASSET_CLASSIFICATION!$A$8:$A$24,0)),"Review"))</f>
        <v>New Build</v>
      </c>
      <c r="O5058" s="350" t="str">
        <f>IF($B5058="Portfolio","Portfolio",IFERROR(INDEX(DATA_ASSET_CLASSIFICATION!$AB$8:$AB$13,MATCH($N5058,DATA_ASSET_CLASSIFICATION!$AA$8:$AA$13,0)),"Review"))</f>
        <v>Bucket 1 · New Build</v>
      </c>
      <c r="P5058" s="350" t="str">
        <f>IF($B5058="Portfolio","Portfolio",IFERROR(INDEX(DATA_ASSET_CLASSIFICATION!$C$8:$C$24,MATCH($C5058,DATA_ASSET_CLASSIFICATION!$A$8:$A$24,0)),"Review"))</f>
        <v>Yes</v>
      </c>
      <c r="Q5058" s="350" t="str">
        <f t="shared" ca="1" si="157"/>
        <v>OK</v>
      </c>
    </row>
    <row r="5059" spans="1:17" ht="30">
      <c r="A5059" s="366" t="s">
        <v>7015</v>
      </c>
      <c r="B5059" s="366" t="s">
        <v>231</v>
      </c>
      <c r="C5059" s="348" t="str">
        <f>DATA_PROPERTY_MASTER!$A$21</f>
        <v>BLD_CD</v>
      </c>
      <c r="D5059" s="380">
        <f>'00_PORTFOLIO ROLLUP'!M$12</f>
        <v>2033</v>
      </c>
      <c r="E5059" s="366" t="s">
        <v>23</v>
      </c>
      <c r="F5059" s="366" t="s">
        <v>23</v>
      </c>
      <c r="G5059" s="348" t="str">
        <f>"'"&amp;$C5059&amp;"'!$E$48:$Y$48"</f>
        <v>'BLD_CD'!$E$48:$Y$48</v>
      </c>
      <c r="H5059" s="381">
        <f ca="1">IF(IFERROR(INDEX(DATA_PROPERTY_MASTER!$E$5:$E$21,MATCH($C5059,DATA_PROPERTY_MASTER!$A$5:$A$21,0))="Yes",FALSE),IFERROR(INDEX(INDIRECT("'"&amp;$C5059&amp;"'!$E$48:$Y$48"),1,MATCH($D5059,INDIRECT("'"&amp;$C5059&amp;"'!$E$12:$Y$12"),0)),0),0)</f>
        <v>979555.28115311568</v>
      </c>
      <c r="I5059" s="366" t="s">
        <v>1690</v>
      </c>
      <c r="J5059" s="348" t="str">
        <f t="shared" ca="1" si="156"/>
        <v>OK</v>
      </c>
      <c r="K5059" s="366" t="s">
        <v>1706</v>
      </c>
      <c r="L5059" s="366" t="s">
        <v>2244</v>
      </c>
      <c r="M5059" s="350" t="str">
        <f>IF($B5059="Portfolio","Portfolio",IFERROR(INDEX(DATA_ASSET_CLASSIFICATION!$B$8:$B$24,MATCH($C5059,DATA_ASSET_CLASSIFICATION!$A$8:$A$24,0)),"Review"))</f>
        <v>800 Commercial Drive</v>
      </c>
      <c r="N5059" s="350" t="str">
        <f>IF($B5059="Portfolio","Portfolio",IFERROR(INDEX(DATA_ASSET_CLASSIFICATION!$U$8:$U$24,MATCH($C5059,DATA_ASSET_CLASSIFICATION!$A$8:$A$24,0)),"Review"))</f>
        <v>New Build</v>
      </c>
      <c r="O5059" s="350" t="str">
        <f>IF($B5059="Portfolio","Portfolio",IFERROR(INDEX(DATA_ASSET_CLASSIFICATION!$AB$8:$AB$13,MATCH($N5059,DATA_ASSET_CLASSIFICATION!$AA$8:$AA$13,0)),"Review"))</f>
        <v>Bucket 1 · New Build</v>
      </c>
      <c r="P5059" s="350" t="str">
        <f>IF($B5059="Portfolio","Portfolio",IFERROR(INDEX(DATA_ASSET_CLASSIFICATION!$C$8:$C$24,MATCH($C5059,DATA_ASSET_CLASSIFICATION!$A$8:$A$24,0)),"Review"))</f>
        <v>Yes</v>
      </c>
      <c r="Q5059" s="350" t="str">
        <f t="shared" ca="1" si="157"/>
        <v>OK</v>
      </c>
    </row>
    <row r="5060" spans="1:17" ht="30">
      <c r="A5060" s="366" t="s">
        <v>7016</v>
      </c>
      <c r="B5060" s="366" t="s">
        <v>231</v>
      </c>
      <c r="C5060" s="348" t="str">
        <f>DATA_PROPERTY_MASTER!$A$21</f>
        <v>BLD_CD</v>
      </c>
      <c r="D5060" s="380">
        <f>'00_PORTFOLIO ROLLUP'!M$12</f>
        <v>2033</v>
      </c>
      <c r="E5060" s="366" t="s">
        <v>1683</v>
      </c>
      <c r="F5060" s="366" t="s">
        <v>25</v>
      </c>
      <c r="G5060" s="348" t="str">
        <f>"'"&amp;$C5060&amp;"'!$E$52:$Y$52"</f>
        <v>'BLD_CD'!$E$52:$Y$52</v>
      </c>
      <c r="H5060" s="381">
        <f ca="1">IF(IFERROR(INDEX(DATA_PROPERTY_MASTER!$E$5:$E$21,MATCH($C5060,DATA_PROPERTY_MASTER!$A$5:$A$21,0))="Yes",FALSE),IFERROR(INDEX(INDIRECT("'"&amp;$C5060&amp;"'!$E$52:$Y$52"),1,MATCH($D5060,INDIRECT("'"&amp;$C5060&amp;"'!$E$12:$Y$12"),0)),0),0)</f>
        <v>552619.94739682716</v>
      </c>
      <c r="I5060" s="366" t="s">
        <v>1685</v>
      </c>
      <c r="J5060" s="348" t="str">
        <f t="shared" ca="1" si="156"/>
        <v>OK</v>
      </c>
      <c r="K5060" s="366" t="s">
        <v>1710</v>
      </c>
      <c r="L5060" s="366" t="s">
        <v>2246</v>
      </c>
      <c r="M5060" s="350" t="str">
        <f>IF($B5060="Portfolio","Portfolio",IFERROR(INDEX(DATA_ASSET_CLASSIFICATION!$B$8:$B$24,MATCH($C5060,DATA_ASSET_CLASSIFICATION!$A$8:$A$24,0)),"Review"))</f>
        <v>800 Commercial Drive</v>
      </c>
      <c r="N5060" s="350" t="str">
        <f>IF($B5060="Portfolio","Portfolio",IFERROR(INDEX(DATA_ASSET_CLASSIFICATION!$U$8:$U$24,MATCH($C5060,DATA_ASSET_CLASSIFICATION!$A$8:$A$24,0)),"Review"))</f>
        <v>New Build</v>
      </c>
      <c r="O5060" s="350" t="str">
        <f>IF($B5060="Portfolio","Portfolio",IFERROR(INDEX(DATA_ASSET_CLASSIFICATION!$AB$8:$AB$13,MATCH($N5060,DATA_ASSET_CLASSIFICATION!$AA$8:$AA$13,0)),"Review"))</f>
        <v>Bucket 1 · New Build</v>
      </c>
      <c r="P5060" s="350" t="str">
        <f>IF($B5060="Portfolio","Portfolio",IFERROR(INDEX(DATA_ASSET_CLASSIFICATION!$C$8:$C$24,MATCH($C5060,DATA_ASSET_CLASSIFICATION!$A$8:$A$24,0)),"Review"))</f>
        <v>Yes</v>
      </c>
      <c r="Q5060" s="350" t="str">
        <f t="shared" ca="1" si="157"/>
        <v>OK</v>
      </c>
    </row>
    <row r="5061" spans="1:17" ht="30">
      <c r="A5061" s="366" t="s">
        <v>7017</v>
      </c>
      <c r="B5061" s="366" t="s">
        <v>231</v>
      </c>
      <c r="C5061" s="348" t="str">
        <f>DATA_PROPERTY_MASTER!$A$21</f>
        <v>BLD_CD</v>
      </c>
      <c r="D5061" s="380">
        <f>'00_PORTFOLIO ROLLUP'!M$12</f>
        <v>2033</v>
      </c>
      <c r="E5061" s="366" t="s">
        <v>1683</v>
      </c>
      <c r="F5061" s="366" t="s">
        <v>27</v>
      </c>
      <c r="G5061" s="348" t="str">
        <f>"'"&amp;$C5061&amp;"'!$E$54:$Y$54"</f>
        <v>'BLD_CD'!$E$54:$Y$54</v>
      </c>
      <c r="H5061" s="381">
        <f ca="1">IF(IFERROR(INDEX(DATA_PROPERTY_MASTER!$E$5:$E$21,MATCH($C5061,DATA_PROPERTY_MASTER!$A$5:$A$21,0))="Yes",FALSE),IFERROR(INDEX(INDIRECT("'"&amp;$C5061&amp;"'!$E$54:$Y$54"),1,MATCH($D5061,INDIRECT("'"&amp;$C5061&amp;"'!$E$12:$Y$12"),0)),0),0)</f>
        <v>331571.96843809629</v>
      </c>
      <c r="I5061" s="366" t="s">
        <v>1690</v>
      </c>
      <c r="J5061" s="348" t="str">
        <f t="shared" ref="J5061:J5124" ca="1" si="158">IF($F5061="Residual Funding Gap",IF($H5061&gt;0,"Funding Gap","OK"),IF(AND($F5061="Net Refinance Position",$H5061&lt;0),"Negative net refi position","OK"))</f>
        <v>OK</v>
      </c>
      <c r="K5061" s="366" t="s">
        <v>1714</v>
      </c>
      <c r="L5061" s="366" t="s">
        <v>2248</v>
      </c>
      <c r="M5061" s="350" t="str">
        <f>IF($B5061="Portfolio","Portfolio",IFERROR(INDEX(DATA_ASSET_CLASSIFICATION!$B$8:$B$24,MATCH($C5061,DATA_ASSET_CLASSIFICATION!$A$8:$A$24,0)),"Review"))</f>
        <v>800 Commercial Drive</v>
      </c>
      <c r="N5061" s="350" t="str">
        <f>IF($B5061="Portfolio","Portfolio",IFERROR(INDEX(DATA_ASSET_CLASSIFICATION!$U$8:$U$24,MATCH($C5061,DATA_ASSET_CLASSIFICATION!$A$8:$A$24,0)),"Review"))</f>
        <v>New Build</v>
      </c>
      <c r="O5061" s="350" t="str">
        <f>IF($B5061="Portfolio","Portfolio",IFERROR(INDEX(DATA_ASSET_CLASSIFICATION!$AB$8:$AB$13,MATCH($N5061,DATA_ASSET_CLASSIFICATION!$AA$8:$AA$13,0)),"Review"))</f>
        <v>Bucket 1 · New Build</v>
      </c>
      <c r="P5061" s="350" t="str">
        <f>IF($B5061="Portfolio","Portfolio",IFERROR(INDEX(DATA_ASSET_CLASSIFICATION!$C$8:$C$24,MATCH($C5061,DATA_ASSET_CLASSIFICATION!$A$8:$A$24,0)),"Review"))</f>
        <v>Yes</v>
      </c>
      <c r="Q5061" s="350" t="str">
        <f t="shared" ref="Q5061:Q5124" ca="1" si="159">IF(AND($B5061="Property",$F5061="Residual Funding Gap",$H5061&gt;0),"Property Funding Gap",IF($J5061&lt;&gt;"OK",$J5061,"OK"))</f>
        <v>OK</v>
      </c>
    </row>
    <row r="5062" spans="1:17" ht="30">
      <c r="A5062" s="366" t="s">
        <v>7018</v>
      </c>
      <c r="B5062" s="366" t="s">
        <v>231</v>
      </c>
      <c r="C5062" s="348" t="str">
        <f>DATA_PROPERTY_MASTER!$A$21</f>
        <v>BLD_CD</v>
      </c>
      <c r="D5062" s="380">
        <f>'00_PORTFOLIO ROLLUP'!M$12</f>
        <v>2033</v>
      </c>
      <c r="E5062" s="366" t="s">
        <v>1683</v>
      </c>
      <c r="F5062" s="366" t="s">
        <v>29</v>
      </c>
      <c r="G5062" s="348" t="str">
        <f>"'"&amp;$C5062&amp;"'!$E$56:$Y$56"</f>
        <v>'BLD_CD'!$E$56:$Y$56</v>
      </c>
      <c r="H5062" s="381">
        <f ca="1">IF(IFERROR(INDEX(DATA_PROPERTY_MASTER!$E$5:$E$21,MATCH($C5062,DATA_PROPERTY_MASTER!$A$5:$A$21,0))="Yes",FALSE),IFERROR(INDEX(INDIRECT("'"&amp;$C5062&amp;"'!$E$56:$Y$56"),1,MATCH($D5062,INDIRECT("'"&amp;$C5062&amp;"'!$E$12:$Y$12"),0)),0),0)</f>
        <v>221047.97895873088</v>
      </c>
      <c r="I5062" s="366" t="s">
        <v>1685</v>
      </c>
      <c r="J5062" s="348" t="str">
        <f t="shared" ca="1" si="158"/>
        <v>OK</v>
      </c>
      <c r="K5062" s="366" t="s">
        <v>1718</v>
      </c>
      <c r="L5062" s="366" t="s">
        <v>2250</v>
      </c>
      <c r="M5062" s="350" t="str">
        <f>IF($B5062="Portfolio","Portfolio",IFERROR(INDEX(DATA_ASSET_CLASSIFICATION!$B$8:$B$24,MATCH($C5062,DATA_ASSET_CLASSIFICATION!$A$8:$A$24,0)),"Review"))</f>
        <v>800 Commercial Drive</v>
      </c>
      <c r="N5062" s="350" t="str">
        <f>IF($B5062="Portfolio","Portfolio",IFERROR(INDEX(DATA_ASSET_CLASSIFICATION!$U$8:$U$24,MATCH($C5062,DATA_ASSET_CLASSIFICATION!$A$8:$A$24,0)),"Review"))</f>
        <v>New Build</v>
      </c>
      <c r="O5062" s="350" t="str">
        <f>IF($B5062="Portfolio","Portfolio",IFERROR(INDEX(DATA_ASSET_CLASSIFICATION!$AB$8:$AB$13,MATCH($N5062,DATA_ASSET_CLASSIFICATION!$AA$8:$AA$13,0)),"Review"))</f>
        <v>Bucket 1 · New Build</v>
      </c>
      <c r="P5062" s="350" t="str">
        <f>IF($B5062="Portfolio","Portfolio",IFERROR(INDEX(DATA_ASSET_CLASSIFICATION!$C$8:$C$24,MATCH($C5062,DATA_ASSET_CLASSIFICATION!$A$8:$A$24,0)),"Review"))</f>
        <v>Yes</v>
      </c>
      <c r="Q5062" s="350" t="str">
        <f t="shared" ca="1" si="159"/>
        <v>OK</v>
      </c>
    </row>
    <row r="5063" spans="1:17" ht="30">
      <c r="A5063" s="366" t="s">
        <v>7019</v>
      </c>
      <c r="B5063" s="366" t="s">
        <v>231</v>
      </c>
      <c r="C5063" s="348" t="str">
        <f>DATA_PROPERTY_MASTER!$A$21</f>
        <v>BLD_CD</v>
      </c>
      <c r="D5063" s="380">
        <f>'00_PORTFOLIO ROLLUP'!M$12</f>
        <v>2033</v>
      </c>
      <c r="E5063" s="366" t="s">
        <v>1721</v>
      </c>
      <c r="F5063" s="366" t="s">
        <v>31</v>
      </c>
      <c r="G5063" s="348" t="str">
        <f>"'"&amp;$C5063&amp;"'!$E$61:$Y$61"</f>
        <v>'BLD_CD'!$E$61:$Y$61</v>
      </c>
      <c r="H5063" s="381">
        <f ca="1">IF(IFERROR(INDEX(DATA_PROPERTY_MASTER!$E$5:$E$21,MATCH($C5063,DATA_PROPERTY_MASTER!$A$5:$A$21,0))="Yes",FALSE),IFERROR(INDEX(INDIRECT("'"&amp;$C5063&amp;"'!$E$61:$Y$61"),1,MATCH($D5063,INDIRECT("'"&amp;$C5063&amp;"'!$E$12:$Y$12"),0)),0),0)</f>
        <v>0</v>
      </c>
      <c r="I5063" s="366" t="s">
        <v>1690</v>
      </c>
      <c r="J5063" s="348" t="str">
        <f t="shared" ca="1" si="158"/>
        <v>OK</v>
      </c>
      <c r="K5063" s="366" t="s">
        <v>1723</v>
      </c>
      <c r="L5063" s="366" t="s">
        <v>2252</v>
      </c>
      <c r="M5063" s="350" t="str">
        <f>IF($B5063="Portfolio","Portfolio",IFERROR(INDEX(DATA_ASSET_CLASSIFICATION!$B$8:$B$24,MATCH($C5063,DATA_ASSET_CLASSIFICATION!$A$8:$A$24,0)),"Review"))</f>
        <v>800 Commercial Drive</v>
      </c>
      <c r="N5063" s="350" t="str">
        <f>IF($B5063="Portfolio","Portfolio",IFERROR(INDEX(DATA_ASSET_CLASSIFICATION!$U$8:$U$24,MATCH($C5063,DATA_ASSET_CLASSIFICATION!$A$8:$A$24,0)),"Review"))</f>
        <v>New Build</v>
      </c>
      <c r="O5063" s="350" t="str">
        <f>IF($B5063="Portfolio","Portfolio",IFERROR(INDEX(DATA_ASSET_CLASSIFICATION!$AB$8:$AB$13,MATCH($N5063,DATA_ASSET_CLASSIFICATION!$AA$8:$AA$13,0)),"Review"))</f>
        <v>Bucket 1 · New Build</v>
      </c>
      <c r="P5063" s="350" t="str">
        <f>IF($B5063="Portfolio","Portfolio",IFERROR(INDEX(DATA_ASSET_CLASSIFICATION!$C$8:$C$24,MATCH($C5063,DATA_ASSET_CLASSIFICATION!$A$8:$A$24,0)),"Review"))</f>
        <v>Yes</v>
      </c>
      <c r="Q5063" s="350" t="str">
        <f t="shared" ca="1" si="159"/>
        <v>OK</v>
      </c>
    </row>
    <row r="5064" spans="1:17" ht="30">
      <c r="A5064" s="366" t="s">
        <v>7020</v>
      </c>
      <c r="B5064" s="366" t="s">
        <v>231</v>
      </c>
      <c r="C5064" s="348" t="str">
        <f>DATA_PROPERTY_MASTER!$A$21</f>
        <v>BLD_CD</v>
      </c>
      <c r="D5064" s="380">
        <f>'00_PORTFOLIO ROLLUP'!M$12</f>
        <v>2033</v>
      </c>
      <c r="E5064" s="366" t="s">
        <v>1721</v>
      </c>
      <c r="F5064" s="366" t="s">
        <v>33</v>
      </c>
      <c r="G5064" s="348" t="str">
        <f>"'"&amp;$C5064&amp;"'!$E$62:$Y$62"</f>
        <v>'BLD_CD'!$E$62:$Y$62</v>
      </c>
      <c r="H5064" s="381">
        <f ca="1">IF(IFERROR(INDEX(DATA_PROPERTY_MASTER!$E$5:$E$21,MATCH($C5064,DATA_PROPERTY_MASTER!$A$5:$A$21,0))="Yes",FALSE),IFERROR(INDEX(INDIRECT("'"&amp;$C5064&amp;"'!$E$62:$Y$62"),1,MATCH($D5064,INDIRECT("'"&amp;$C5064&amp;"'!$E$12:$Y$12"),0)),0),0)</f>
        <v>0</v>
      </c>
      <c r="I5064" s="366" t="s">
        <v>1685</v>
      </c>
      <c r="J5064" s="348" t="str">
        <f t="shared" ca="1" si="158"/>
        <v>OK</v>
      </c>
      <c r="K5064" s="366" t="s">
        <v>1727</v>
      </c>
      <c r="L5064" s="366" t="s">
        <v>2254</v>
      </c>
      <c r="M5064" s="350" t="str">
        <f>IF($B5064="Portfolio","Portfolio",IFERROR(INDEX(DATA_ASSET_CLASSIFICATION!$B$8:$B$24,MATCH($C5064,DATA_ASSET_CLASSIFICATION!$A$8:$A$24,0)),"Review"))</f>
        <v>800 Commercial Drive</v>
      </c>
      <c r="N5064" s="350" t="str">
        <f>IF($B5064="Portfolio","Portfolio",IFERROR(INDEX(DATA_ASSET_CLASSIFICATION!$U$8:$U$24,MATCH($C5064,DATA_ASSET_CLASSIFICATION!$A$8:$A$24,0)),"Review"))</f>
        <v>New Build</v>
      </c>
      <c r="O5064" s="350" t="str">
        <f>IF($B5064="Portfolio","Portfolio",IFERROR(INDEX(DATA_ASSET_CLASSIFICATION!$AB$8:$AB$13,MATCH($N5064,DATA_ASSET_CLASSIFICATION!$AA$8:$AA$13,0)),"Review"))</f>
        <v>Bucket 1 · New Build</v>
      </c>
      <c r="P5064" s="350" t="str">
        <f>IF($B5064="Portfolio","Portfolio",IFERROR(INDEX(DATA_ASSET_CLASSIFICATION!$C$8:$C$24,MATCH($C5064,DATA_ASSET_CLASSIFICATION!$A$8:$A$24,0)),"Review"))</f>
        <v>Yes</v>
      </c>
      <c r="Q5064" s="350" t="str">
        <f t="shared" ca="1" si="159"/>
        <v>OK</v>
      </c>
    </row>
    <row r="5065" spans="1:17" ht="30">
      <c r="A5065" s="366" t="s">
        <v>7021</v>
      </c>
      <c r="B5065" s="366" t="s">
        <v>231</v>
      </c>
      <c r="C5065" s="348" t="str">
        <f>DATA_PROPERTY_MASTER!$A$21</f>
        <v>BLD_CD</v>
      </c>
      <c r="D5065" s="380">
        <f>'00_PORTFOLIO ROLLUP'!M$12</f>
        <v>2033</v>
      </c>
      <c r="E5065" s="366" t="s">
        <v>1721</v>
      </c>
      <c r="F5065" s="366" t="s">
        <v>35</v>
      </c>
      <c r="G5065" s="348" t="str">
        <f>"'"&amp;$C5065&amp;"'!$E$63:$Y$63"</f>
        <v>'BLD_CD'!$E$63:$Y$63</v>
      </c>
      <c r="H5065" s="381">
        <f ca="1">IF(IFERROR(INDEX(DATA_PROPERTY_MASTER!$E$5:$E$21,MATCH($C5065,DATA_PROPERTY_MASTER!$A$5:$A$21,0))="Yes",FALSE),IFERROR(INDEX(INDIRECT("'"&amp;$C5065&amp;"'!$E$63:$Y$63"),1,MATCH($D5065,INDIRECT("'"&amp;$C5065&amp;"'!$E$12:$Y$12"),0)),0),0)</f>
        <v>0</v>
      </c>
      <c r="I5065" s="366" t="s">
        <v>1731</v>
      </c>
      <c r="J5065" s="348" t="str">
        <f t="shared" ca="1" si="158"/>
        <v>OK</v>
      </c>
      <c r="K5065" s="366" t="s">
        <v>1732</v>
      </c>
      <c r="L5065" s="366" t="s">
        <v>2256</v>
      </c>
      <c r="M5065" s="350" t="str">
        <f>IF($B5065="Portfolio","Portfolio",IFERROR(INDEX(DATA_ASSET_CLASSIFICATION!$B$8:$B$24,MATCH($C5065,DATA_ASSET_CLASSIFICATION!$A$8:$A$24,0)),"Review"))</f>
        <v>800 Commercial Drive</v>
      </c>
      <c r="N5065" s="350" t="str">
        <f>IF($B5065="Portfolio","Portfolio",IFERROR(INDEX(DATA_ASSET_CLASSIFICATION!$U$8:$U$24,MATCH($C5065,DATA_ASSET_CLASSIFICATION!$A$8:$A$24,0)),"Review"))</f>
        <v>New Build</v>
      </c>
      <c r="O5065" s="350" t="str">
        <f>IF($B5065="Portfolio","Portfolio",IFERROR(INDEX(DATA_ASSET_CLASSIFICATION!$AB$8:$AB$13,MATCH($N5065,DATA_ASSET_CLASSIFICATION!$AA$8:$AA$13,0)),"Review"))</f>
        <v>Bucket 1 · New Build</v>
      </c>
      <c r="P5065" s="350" t="str">
        <f>IF($B5065="Portfolio","Portfolio",IFERROR(INDEX(DATA_ASSET_CLASSIFICATION!$C$8:$C$24,MATCH($C5065,DATA_ASSET_CLASSIFICATION!$A$8:$A$24,0)),"Review"))</f>
        <v>Yes</v>
      </c>
      <c r="Q5065" s="350" t="str">
        <f t="shared" ca="1" si="159"/>
        <v>OK</v>
      </c>
    </row>
    <row r="5066" spans="1:17" ht="30">
      <c r="A5066" s="366" t="s">
        <v>7022</v>
      </c>
      <c r="B5066" s="366" t="s">
        <v>231</v>
      </c>
      <c r="C5066" s="348" t="str">
        <f>DATA_PROPERTY_MASTER!$A$21</f>
        <v>BLD_CD</v>
      </c>
      <c r="D5066" s="380">
        <f>'00_PORTFOLIO ROLLUP'!M$12</f>
        <v>2033</v>
      </c>
      <c r="E5066" s="366" t="s">
        <v>1721</v>
      </c>
      <c r="F5066" s="366" t="s">
        <v>37</v>
      </c>
      <c r="G5066" s="348" t="str">
        <f>"'"&amp;$C5066&amp;"'!$E$63:$Y$63"</f>
        <v>'BLD_CD'!$E$63:$Y$63</v>
      </c>
      <c r="H5066" s="381">
        <f ca="1">IF(IFERROR(INDEX(DATA_PROPERTY_MASTER!$E$5:$E$21,MATCH($C5066,DATA_PROPERTY_MASTER!$A$5:$A$21,0))="Yes",FALSE),MAX(IFERROR(INDEX(INDIRECT("'"&amp;$C5066&amp;"'!$E$63:$Y$63"),1,MATCH($D5066,INDIRECT("'"&amp;$C5066&amp;"'!$E$12:$Y$12"),0)),0),0),0)</f>
        <v>0</v>
      </c>
      <c r="I5066" s="366" t="s">
        <v>1685</v>
      </c>
      <c r="J5066" s="348" t="str">
        <f t="shared" ca="1" si="158"/>
        <v>OK</v>
      </c>
      <c r="K5066" s="366" t="s">
        <v>1735</v>
      </c>
      <c r="L5066" s="366" t="s">
        <v>2258</v>
      </c>
      <c r="M5066" s="350" t="str">
        <f>IF($B5066="Portfolio","Portfolio",IFERROR(INDEX(DATA_ASSET_CLASSIFICATION!$B$8:$B$24,MATCH($C5066,DATA_ASSET_CLASSIFICATION!$A$8:$A$24,0)),"Review"))</f>
        <v>800 Commercial Drive</v>
      </c>
      <c r="N5066" s="350" t="str">
        <f>IF($B5066="Portfolio","Portfolio",IFERROR(INDEX(DATA_ASSET_CLASSIFICATION!$U$8:$U$24,MATCH($C5066,DATA_ASSET_CLASSIFICATION!$A$8:$A$24,0)),"Review"))</f>
        <v>New Build</v>
      </c>
      <c r="O5066" s="350" t="str">
        <f>IF($B5066="Portfolio","Portfolio",IFERROR(INDEX(DATA_ASSET_CLASSIFICATION!$AB$8:$AB$13,MATCH($N5066,DATA_ASSET_CLASSIFICATION!$AA$8:$AA$13,0)),"Review"))</f>
        <v>Bucket 1 · New Build</v>
      </c>
      <c r="P5066" s="350" t="str">
        <f>IF($B5066="Portfolio","Portfolio",IFERROR(INDEX(DATA_ASSET_CLASSIFICATION!$C$8:$C$24,MATCH($C5066,DATA_ASSET_CLASSIFICATION!$A$8:$A$24,0)),"Review"))</f>
        <v>Yes</v>
      </c>
      <c r="Q5066" s="350" t="str">
        <f t="shared" ca="1" si="159"/>
        <v>OK</v>
      </c>
    </row>
    <row r="5067" spans="1:17" ht="30">
      <c r="A5067" s="366" t="s">
        <v>7023</v>
      </c>
      <c r="B5067" s="366" t="s">
        <v>231</v>
      </c>
      <c r="C5067" s="348" t="str">
        <f>DATA_PROPERTY_MASTER!$A$21</f>
        <v>BLD_CD</v>
      </c>
      <c r="D5067" s="380">
        <f>'00_PORTFOLIO ROLLUP'!M$12</f>
        <v>2033</v>
      </c>
      <c r="E5067" s="366" t="s">
        <v>1721</v>
      </c>
      <c r="F5067" s="366" t="s">
        <v>39</v>
      </c>
      <c r="G5067" s="348" t="str">
        <f>"'"&amp;$C5067&amp;"'!$E$63:$Y$63"</f>
        <v>'BLD_CD'!$E$63:$Y$63</v>
      </c>
      <c r="H5067" s="381">
        <f ca="1">IF(IFERROR(INDEX(DATA_PROPERTY_MASTER!$E$5:$E$21,MATCH($C5067,DATA_PROPERTY_MASTER!$A$5:$A$21,0))="Yes",FALSE),MAX(-IFERROR(INDEX(INDIRECT("'"&amp;$C5067&amp;"'!$E$63:$Y$63"),1,MATCH($D5067,INDIRECT("'"&amp;$C5067&amp;"'!$E$12:$Y$12"),0)),0),0),0)</f>
        <v>0</v>
      </c>
      <c r="I5067" s="366" t="s">
        <v>1690</v>
      </c>
      <c r="J5067" s="348" t="str">
        <f t="shared" ca="1" si="158"/>
        <v>OK</v>
      </c>
      <c r="K5067" s="366" t="s">
        <v>1738</v>
      </c>
      <c r="L5067" s="366" t="s">
        <v>2260</v>
      </c>
      <c r="M5067" s="350" t="str">
        <f>IF($B5067="Portfolio","Portfolio",IFERROR(INDEX(DATA_ASSET_CLASSIFICATION!$B$8:$B$24,MATCH($C5067,DATA_ASSET_CLASSIFICATION!$A$8:$A$24,0)),"Review"))</f>
        <v>800 Commercial Drive</v>
      </c>
      <c r="N5067" s="350" t="str">
        <f>IF($B5067="Portfolio","Portfolio",IFERROR(INDEX(DATA_ASSET_CLASSIFICATION!$U$8:$U$24,MATCH($C5067,DATA_ASSET_CLASSIFICATION!$A$8:$A$24,0)),"Review"))</f>
        <v>New Build</v>
      </c>
      <c r="O5067" s="350" t="str">
        <f>IF($B5067="Portfolio","Portfolio",IFERROR(INDEX(DATA_ASSET_CLASSIFICATION!$AB$8:$AB$13,MATCH($N5067,DATA_ASSET_CLASSIFICATION!$AA$8:$AA$13,0)),"Review"))</f>
        <v>Bucket 1 · New Build</v>
      </c>
      <c r="P5067" s="350" t="str">
        <f>IF($B5067="Portfolio","Portfolio",IFERROR(INDEX(DATA_ASSET_CLASSIFICATION!$C$8:$C$24,MATCH($C5067,DATA_ASSET_CLASSIFICATION!$A$8:$A$24,0)),"Review"))</f>
        <v>Yes</v>
      </c>
      <c r="Q5067" s="350" t="str">
        <f t="shared" ca="1" si="159"/>
        <v>OK</v>
      </c>
    </row>
    <row r="5068" spans="1:17" ht="30">
      <c r="A5068" s="366" t="s">
        <v>7024</v>
      </c>
      <c r="B5068" s="366" t="s">
        <v>231</v>
      </c>
      <c r="C5068" s="348" t="str">
        <f>DATA_PROPERTY_MASTER!$A$21</f>
        <v>BLD_CD</v>
      </c>
      <c r="D5068" s="380">
        <f>'00_PORTFOLIO ROLLUP'!M$12</f>
        <v>2033</v>
      </c>
      <c r="E5068" s="366" t="s">
        <v>1741</v>
      </c>
      <c r="F5068" s="366" t="s">
        <v>41</v>
      </c>
      <c r="G5068" s="348" t="str">
        <f>"'"&amp;$C5068&amp;"'!rows 56 + positive row 63"</f>
        <v>'BLD_CD'!rows 56 + positive row 63</v>
      </c>
      <c r="H5068" s="381">
        <f ca="1">IF(IFERROR(INDEX(DATA_PROPERTY_MASTER!$E$5:$E$21,MATCH($C5068,DATA_PROPERTY_MASTER!$A$5:$A$21,0))="Yes",FALSE),IFERROR(INDEX(INDIRECT("'"&amp;$C5068&amp;"'!$E$56:$Y$56"),1,MATCH($D5068,INDIRECT("'"&amp;$C5068&amp;"'!$E$12:$Y$12"),0)),0)+MAX(IFERROR(INDEX(INDIRECT("'"&amp;$C5068&amp;"'!$E$63:$Y$63"),1,MATCH($D5068,INDIRECT("'"&amp;$C5068&amp;"'!$E$12:$Y$12"),0)),0),0),0)</f>
        <v>221047.97895873088</v>
      </c>
      <c r="I5068" s="366" t="s">
        <v>1685</v>
      </c>
      <c r="J5068" s="348" t="str">
        <f t="shared" ca="1" si="158"/>
        <v>OK</v>
      </c>
      <c r="K5068" s="366" t="s">
        <v>1742</v>
      </c>
      <c r="L5068" s="366" t="s">
        <v>2262</v>
      </c>
      <c r="M5068" s="350" t="str">
        <f>IF($B5068="Portfolio","Portfolio",IFERROR(INDEX(DATA_ASSET_CLASSIFICATION!$B$8:$B$24,MATCH($C5068,DATA_ASSET_CLASSIFICATION!$A$8:$A$24,0)),"Review"))</f>
        <v>800 Commercial Drive</v>
      </c>
      <c r="N5068" s="350" t="str">
        <f>IF($B5068="Portfolio","Portfolio",IFERROR(INDEX(DATA_ASSET_CLASSIFICATION!$U$8:$U$24,MATCH($C5068,DATA_ASSET_CLASSIFICATION!$A$8:$A$24,0)),"Review"))</f>
        <v>New Build</v>
      </c>
      <c r="O5068" s="350" t="str">
        <f>IF($B5068="Portfolio","Portfolio",IFERROR(INDEX(DATA_ASSET_CLASSIFICATION!$AB$8:$AB$13,MATCH($N5068,DATA_ASSET_CLASSIFICATION!$AA$8:$AA$13,0)),"Review"))</f>
        <v>Bucket 1 · New Build</v>
      </c>
      <c r="P5068" s="350" t="str">
        <f>IF($B5068="Portfolio","Portfolio",IFERROR(INDEX(DATA_ASSET_CLASSIFICATION!$C$8:$C$24,MATCH($C5068,DATA_ASSET_CLASSIFICATION!$A$8:$A$24,0)),"Review"))</f>
        <v>Yes</v>
      </c>
      <c r="Q5068" s="350" t="str">
        <f t="shared" ca="1" si="159"/>
        <v>OK</v>
      </c>
    </row>
    <row r="5069" spans="1:17" ht="30">
      <c r="A5069" s="366" t="s">
        <v>7025</v>
      </c>
      <c r="B5069" s="366" t="s">
        <v>231</v>
      </c>
      <c r="C5069" s="348" t="str">
        <f>DATA_PROPERTY_MASTER!$A$21</f>
        <v>BLD_CD</v>
      </c>
      <c r="D5069" s="380">
        <f>'00_PORTFOLIO ROLLUP'!M$12</f>
        <v>2033</v>
      </c>
      <c r="E5069" s="366" t="s">
        <v>1741</v>
      </c>
      <c r="F5069" s="366" t="s">
        <v>43</v>
      </c>
      <c r="G5069" s="348" t="str">
        <f>"'"&amp;$C5069&amp;"'!$E$68:$Y$68"</f>
        <v>'BLD_CD'!$E$68:$Y$68</v>
      </c>
      <c r="H5069" s="381">
        <f ca="1">IF(IFERROR(INDEX(DATA_PROPERTY_MASTER!$E$5:$E$21,MATCH($C5069,DATA_PROPERTY_MASTER!$A$5:$A$21,0))="Yes",FALSE),IFERROR(INDEX(INDIRECT("'"&amp;$C5069&amp;"'!$E$68:$Y$68"),1,MATCH($D5069,INDIRECT("'"&amp;$C5069&amp;"'!$E$12:$Y$12"),0)),0),0)</f>
        <v>221047.97895873088</v>
      </c>
      <c r="I5069" s="366" t="s">
        <v>1731</v>
      </c>
      <c r="J5069" s="348" t="str">
        <f t="shared" ca="1" si="158"/>
        <v>OK</v>
      </c>
      <c r="K5069" s="366" t="s">
        <v>1746</v>
      </c>
      <c r="L5069" s="366" t="s">
        <v>2264</v>
      </c>
      <c r="M5069" s="350" t="str">
        <f>IF($B5069="Portfolio","Portfolio",IFERROR(INDEX(DATA_ASSET_CLASSIFICATION!$B$8:$B$24,MATCH($C5069,DATA_ASSET_CLASSIFICATION!$A$8:$A$24,0)),"Review"))</f>
        <v>800 Commercial Drive</v>
      </c>
      <c r="N5069" s="350" t="str">
        <f>IF($B5069="Portfolio","Portfolio",IFERROR(INDEX(DATA_ASSET_CLASSIFICATION!$U$8:$U$24,MATCH($C5069,DATA_ASSET_CLASSIFICATION!$A$8:$A$24,0)),"Review"))</f>
        <v>New Build</v>
      </c>
      <c r="O5069" s="350" t="str">
        <f>IF($B5069="Portfolio","Portfolio",IFERROR(INDEX(DATA_ASSET_CLASSIFICATION!$AB$8:$AB$13,MATCH($N5069,DATA_ASSET_CLASSIFICATION!$AA$8:$AA$13,0)),"Review"))</f>
        <v>Bucket 1 · New Build</v>
      </c>
      <c r="P5069" s="350" t="str">
        <f>IF($B5069="Portfolio","Portfolio",IFERROR(INDEX(DATA_ASSET_CLASSIFICATION!$C$8:$C$24,MATCH($C5069,DATA_ASSET_CLASSIFICATION!$A$8:$A$24,0)),"Review"))</f>
        <v>Yes</v>
      </c>
      <c r="Q5069" s="350" t="str">
        <f t="shared" ca="1" si="159"/>
        <v>OK</v>
      </c>
    </row>
    <row r="5070" spans="1:17" ht="30">
      <c r="A5070" s="366" t="s">
        <v>7026</v>
      </c>
      <c r="B5070" s="366" t="s">
        <v>231</v>
      </c>
      <c r="C5070" s="348" t="str">
        <f>DATA_PROPERTY_MASTER!$A$21</f>
        <v>BLD_CD</v>
      </c>
      <c r="D5070" s="380">
        <f>'00_PORTFOLIO ROLLUP'!M$12</f>
        <v>2033</v>
      </c>
      <c r="E5070" s="366" t="s">
        <v>1741</v>
      </c>
      <c r="F5070" s="366" t="s">
        <v>1749</v>
      </c>
      <c r="G5070" s="348" t="str">
        <f>"'"&amp;$C5070&amp;"'!rows 56, 63, 68"</f>
        <v>'BLD_CD'!rows 56, 63, 68</v>
      </c>
      <c r="H5070" s="381">
        <f ca="1">IF(IFERROR(INDEX(DATA_PROPERTY_MASTER!$E$5:$E$21,MATCH($C5070,DATA_PROPERTY_MASTER!$A$5:$A$21,0))="Yes",FALSE),(IFERROR(INDEX(INDIRECT("'"&amp;$C5070&amp;"'!$E$56:$Y$56"),1,MATCH($D5070,INDIRECT("'"&amp;$C5070&amp;"'!$E$12:$Y$12"),0)),0)+MAX(IFERROR(INDEX(INDIRECT("'"&amp;$C5070&amp;"'!$E$63:$Y$63"),1,MATCH($D5070,INDIRECT("'"&amp;$C5070&amp;"'!$E$12:$Y$12"),0)),0),0))-(IFERROR(INDEX(INDIRECT("'"&amp;$C5070&amp;"'!$E$68:$Y$68"),1,MATCH($D5070,INDIRECT("'"&amp;$C5070&amp;"'!$E$12:$Y$12"),0)),0)),0)</f>
        <v>0</v>
      </c>
      <c r="I5070" s="366" t="s">
        <v>1750</v>
      </c>
      <c r="J5070" s="348" t="str">
        <f t="shared" ca="1" si="158"/>
        <v>OK</v>
      </c>
      <c r="K5070" s="366" t="s">
        <v>1751</v>
      </c>
      <c r="L5070" s="366" t="s">
        <v>2266</v>
      </c>
      <c r="M5070" s="350" t="str">
        <f>IF($B5070="Portfolio","Portfolio",IFERROR(INDEX(DATA_ASSET_CLASSIFICATION!$B$8:$B$24,MATCH($C5070,DATA_ASSET_CLASSIFICATION!$A$8:$A$24,0)),"Review"))</f>
        <v>800 Commercial Drive</v>
      </c>
      <c r="N5070" s="350" t="str">
        <f>IF($B5070="Portfolio","Portfolio",IFERROR(INDEX(DATA_ASSET_CLASSIFICATION!$U$8:$U$24,MATCH($C5070,DATA_ASSET_CLASSIFICATION!$A$8:$A$24,0)),"Review"))</f>
        <v>New Build</v>
      </c>
      <c r="O5070" s="350" t="str">
        <f>IF($B5070="Portfolio","Portfolio",IFERROR(INDEX(DATA_ASSET_CLASSIFICATION!$AB$8:$AB$13,MATCH($N5070,DATA_ASSET_CLASSIFICATION!$AA$8:$AA$13,0)),"Review"))</f>
        <v>Bucket 1 · New Build</v>
      </c>
      <c r="P5070" s="350" t="str">
        <f>IF($B5070="Portfolio","Portfolio",IFERROR(INDEX(DATA_ASSET_CLASSIFICATION!$C$8:$C$24,MATCH($C5070,DATA_ASSET_CLASSIFICATION!$A$8:$A$24,0)),"Review"))</f>
        <v>Yes</v>
      </c>
      <c r="Q5070" s="350" t="str">
        <f t="shared" ca="1" si="159"/>
        <v>OK</v>
      </c>
    </row>
    <row r="5071" spans="1:17" ht="30">
      <c r="A5071" s="366" t="s">
        <v>7027</v>
      </c>
      <c r="B5071" s="366" t="s">
        <v>231</v>
      </c>
      <c r="C5071" s="348" t="str">
        <f>DATA_PROPERTY_MASTER!$A$21</f>
        <v>BLD_CD</v>
      </c>
      <c r="D5071" s="380">
        <f>'00_PORTFOLIO ROLLUP'!N$12</f>
        <v>2034</v>
      </c>
      <c r="E5071" s="366" t="s">
        <v>1683</v>
      </c>
      <c r="F5071" s="366" t="s">
        <v>341</v>
      </c>
      <c r="G5071" s="348" t="str">
        <f>"'"&amp;$C5071&amp;"'!$E$24:$Y$24"</f>
        <v>'BLD_CD'!$E$24:$Y$24</v>
      </c>
      <c r="H5071" s="381">
        <f ca="1">IF(IFERROR(INDEX(DATA_PROPERTY_MASTER!$E$5:$E$21,MATCH($C5071,DATA_PROPERTY_MASTER!$A$5:$A$21,0))="Yes",FALSE),IFERROR(INDEX(INDIRECT("'"&amp;$C5071&amp;"'!$E$24:$Y$24"),1,MATCH($D5071,INDIRECT("'"&amp;$C5071&amp;"'!$E$12:$Y$12"),0)),0),0)</f>
        <v>2440096.1013022484</v>
      </c>
      <c r="I5071" s="366" t="s">
        <v>1685</v>
      </c>
      <c r="J5071" s="348" t="str">
        <f t="shared" ca="1" si="158"/>
        <v>OK</v>
      </c>
      <c r="K5071" s="366" t="s">
        <v>1686</v>
      </c>
      <c r="L5071" s="366" t="s">
        <v>2234</v>
      </c>
      <c r="M5071" s="350" t="str">
        <f>IF($B5071="Portfolio","Portfolio",IFERROR(INDEX(DATA_ASSET_CLASSIFICATION!$B$8:$B$24,MATCH($C5071,DATA_ASSET_CLASSIFICATION!$A$8:$A$24,0)),"Review"))</f>
        <v>800 Commercial Drive</v>
      </c>
      <c r="N5071" s="350" t="str">
        <f>IF($B5071="Portfolio","Portfolio",IFERROR(INDEX(DATA_ASSET_CLASSIFICATION!$U$8:$U$24,MATCH($C5071,DATA_ASSET_CLASSIFICATION!$A$8:$A$24,0)),"Review"))</f>
        <v>New Build</v>
      </c>
      <c r="O5071" s="350" t="str">
        <f>IF($B5071="Portfolio","Portfolio",IFERROR(INDEX(DATA_ASSET_CLASSIFICATION!$AB$8:$AB$13,MATCH($N5071,DATA_ASSET_CLASSIFICATION!$AA$8:$AA$13,0)),"Review"))</f>
        <v>Bucket 1 · New Build</v>
      </c>
      <c r="P5071" s="350" t="str">
        <f>IF($B5071="Portfolio","Portfolio",IFERROR(INDEX(DATA_ASSET_CLASSIFICATION!$C$8:$C$24,MATCH($C5071,DATA_ASSET_CLASSIFICATION!$A$8:$A$24,0)),"Review"))</f>
        <v>Yes</v>
      </c>
      <c r="Q5071" s="350" t="str">
        <f t="shared" ca="1" si="159"/>
        <v>OK</v>
      </c>
    </row>
    <row r="5072" spans="1:17" ht="30">
      <c r="A5072" s="366" t="s">
        <v>7028</v>
      </c>
      <c r="B5072" s="366" t="s">
        <v>231</v>
      </c>
      <c r="C5072" s="348" t="str">
        <f>DATA_PROPERTY_MASTER!$A$21</f>
        <v>BLD_CD</v>
      </c>
      <c r="D5072" s="380">
        <f>'00_PORTFOLIO ROLLUP'!N$12</f>
        <v>2034</v>
      </c>
      <c r="E5072" s="366" t="s">
        <v>1683</v>
      </c>
      <c r="F5072" s="366" t="s">
        <v>355</v>
      </c>
      <c r="G5072" s="348" t="str">
        <f>"'"&amp;$C5072&amp;"'!$E$39:$Y$39"</f>
        <v>'BLD_CD'!$E$39:$Y$39</v>
      </c>
      <c r="H5072" s="381">
        <f ca="1">IF(IFERROR(INDEX(DATA_PROPERTY_MASTER!$E$5:$E$21,MATCH($C5072,DATA_PROPERTY_MASTER!$A$5:$A$21,0))="Yes",FALSE),IFERROR(INDEX(INDIRECT("'"&amp;$C5072&amp;"'!$E$39:$Y$39"),1,MATCH($D5072,INDIRECT("'"&amp;$C5072&amp;"'!$E$12:$Y$12"),0)),0),0)</f>
        <v>894478.88520447002</v>
      </c>
      <c r="I5072" s="366" t="s">
        <v>1690</v>
      </c>
      <c r="J5072" s="348" t="str">
        <f t="shared" ca="1" si="158"/>
        <v>OK</v>
      </c>
      <c r="K5072" s="366" t="s">
        <v>1686</v>
      </c>
      <c r="L5072" s="366" t="s">
        <v>2236</v>
      </c>
      <c r="M5072" s="350" t="str">
        <f>IF($B5072="Portfolio","Portfolio",IFERROR(INDEX(DATA_ASSET_CLASSIFICATION!$B$8:$B$24,MATCH($C5072,DATA_ASSET_CLASSIFICATION!$A$8:$A$24,0)),"Review"))</f>
        <v>800 Commercial Drive</v>
      </c>
      <c r="N5072" s="350" t="str">
        <f>IF($B5072="Portfolio","Portfolio",IFERROR(INDEX(DATA_ASSET_CLASSIFICATION!$U$8:$U$24,MATCH($C5072,DATA_ASSET_CLASSIFICATION!$A$8:$A$24,0)),"Review"))</f>
        <v>New Build</v>
      </c>
      <c r="O5072" s="350" t="str">
        <f>IF($B5072="Portfolio","Portfolio",IFERROR(INDEX(DATA_ASSET_CLASSIFICATION!$AB$8:$AB$13,MATCH($N5072,DATA_ASSET_CLASSIFICATION!$AA$8:$AA$13,0)),"Review"))</f>
        <v>Bucket 1 · New Build</v>
      </c>
      <c r="P5072" s="350" t="str">
        <f>IF($B5072="Portfolio","Portfolio",IFERROR(INDEX(DATA_ASSET_CLASSIFICATION!$C$8:$C$24,MATCH($C5072,DATA_ASSET_CLASSIFICATION!$A$8:$A$24,0)),"Review"))</f>
        <v>Yes</v>
      </c>
      <c r="Q5072" s="350" t="str">
        <f t="shared" ca="1" si="159"/>
        <v>OK</v>
      </c>
    </row>
    <row r="5073" spans="1:17" ht="30">
      <c r="A5073" s="366" t="s">
        <v>7029</v>
      </c>
      <c r="B5073" s="366" t="s">
        <v>231</v>
      </c>
      <c r="C5073" s="348" t="str">
        <f>DATA_PROPERTY_MASTER!$A$21</f>
        <v>BLD_CD</v>
      </c>
      <c r="D5073" s="380">
        <f>'00_PORTFOLIO ROLLUP'!N$12</f>
        <v>2034</v>
      </c>
      <c r="E5073" s="366" t="s">
        <v>1683</v>
      </c>
      <c r="F5073" s="366" t="s">
        <v>19</v>
      </c>
      <c r="G5073" s="348" t="str">
        <f>"'"&amp;$C5073&amp;"'!$E$41:$Y$41"</f>
        <v>'BLD_CD'!$E$41:$Y$41</v>
      </c>
      <c r="H5073" s="381">
        <f ca="1">IF(IFERROR(INDEX(DATA_PROPERTY_MASTER!$E$5:$E$21,MATCH($C5073,DATA_PROPERTY_MASTER!$A$5:$A$21,0))="Yes",FALSE),IFERROR(INDEX(INDIRECT("'"&amp;$C5073&amp;"'!$E$41:$Y$41"),1,MATCH($D5073,INDIRECT("'"&amp;$C5073&amp;"'!$E$12:$Y$12"),0)),0),0)</f>
        <v>1545617.2160977784</v>
      </c>
      <c r="I5073" s="366" t="s">
        <v>1685</v>
      </c>
      <c r="J5073" s="348" t="str">
        <f t="shared" ca="1" si="158"/>
        <v>OK</v>
      </c>
      <c r="K5073" s="366" t="s">
        <v>1694</v>
      </c>
      <c r="L5073" s="366" t="s">
        <v>2238</v>
      </c>
      <c r="M5073" s="350" t="str">
        <f>IF($B5073="Portfolio","Portfolio",IFERROR(INDEX(DATA_ASSET_CLASSIFICATION!$B$8:$B$24,MATCH($C5073,DATA_ASSET_CLASSIFICATION!$A$8:$A$24,0)),"Review"))</f>
        <v>800 Commercial Drive</v>
      </c>
      <c r="N5073" s="350" t="str">
        <f>IF($B5073="Portfolio","Portfolio",IFERROR(INDEX(DATA_ASSET_CLASSIFICATION!$U$8:$U$24,MATCH($C5073,DATA_ASSET_CLASSIFICATION!$A$8:$A$24,0)),"Review"))</f>
        <v>New Build</v>
      </c>
      <c r="O5073" s="350" t="str">
        <f>IF($B5073="Portfolio","Portfolio",IFERROR(INDEX(DATA_ASSET_CLASSIFICATION!$AB$8:$AB$13,MATCH($N5073,DATA_ASSET_CLASSIFICATION!$AA$8:$AA$13,0)),"Review"))</f>
        <v>Bucket 1 · New Build</v>
      </c>
      <c r="P5073" s="350" t="str">
        <f>IF($B5073="Portfolio","Portfolio",IFERROR(INDEX(DATA_ASSET_CLASSIFICATION!$C$8:$C$24,MATCH($C5073,DATA_ASSET_CLASSIFICATION!$A$8:$A$24,0)),"Review"))</f>
        <v>Yes</v>
      </c>
      <c r="Q5073" s="350" t="str">
        <f t="shared" ca="1" si="159"/>
        <v>OK</v>
      </c>
    </row>
    <row r="5074" spans="1:17" ht="30">
      <c r="A5074" s="366" t="s">
        <v>7030</v>
      </c>
      <c r="B5074" s="366" t="s">
        <v>231</v>
      </c>
      <c r="C5074" s="348" t="str">
        <f>DATA_PROPERTY_MASTER!$A$21</f>
        <v>BLD_CD</v>
      </c>
      <c r="D5074" s="380">
        <f>'00_PORTFOLIO ROLLUP'!N$12</f>
        <v>2034</v>
      </c>
      <c r="E5074" s="366" t="s">
        <v>1683</v>
      </c>
      <c r="F5074" s="366" t="s">
        <v>1697</v>
      </c>
      <c r="G5074" s="348" t="str">
        <f>"'"&amp;$C5074&amp;"'!$E$44:$Y$44"</f>
        <v>'BLD_CD'!$E$44:$Y$44</v>
      </c>
      <c r="H5074" s="381">
        <f ca="1">IF(IFERROR(INDEX(DATA_PROPERTY_MASTER!$E$5:$E$21,MATCH($C5074,DATA_PROPERTY_MASTER!$A$5:$A$21,0))="Yes",FALSE),IFERROR(INDEX(INDIRECT("'"&amp;$C5074&amp;"'!$E$44:$Y$44"),1,MATCH($D5074,INDIRECT("'"&amp;$C5074&amp;"'!$E$12:$Y$12"),0)),0),0)</f>
        <v>16671.541332281235</v>
      </c>
      <c r="I5074" s="366" t="s">
        <v>1690</v>
      </c>
      <c r="J5074" s="348" t="str">
        <f t="shared" ca="1" si="158"/>
        <v>OK</v>
      </c>
      <c r="K5074" s="366" t="s">
        <v>1699</v>
      </c>
      <c r="L5074" s="366" t="s">
        <v>2240</v>
      </c>
      <c r="M5074" s="350" t="str">
        <f>IF($B5074="Portfolio","Portfolio",IFERROR(INDEX(DATA_ASSET_CLASSIFICATION!$B$8:$B$24,MATCH($C5074,DATA_ASSET_CLASSIFICATION!$A$8:$A$24,0)),"Review"))</f>
        <v>800 Commercial Drive</v>
      </c>
      <c r="N5074" s="350" t="str">
        <f>IF($B5074="Portfolio","Portfolio",IFERROR(INDEX(DATA_ASSET_CLASSIFICATION!$U$8:$U$24,MATCH($C5074,DATA_ASSET_CLASSIFICATION!$A$8:$A$24,0)),"Review"))</f>
        <v>New Build</v>
      </c>
      <c r="O5074" s="350" t="str">
        <f>IF($B5074="Portfolio","Portfolio",IFERROR(INDEX(DATA_ASSET_CLASSIFICATION!$AB$8:$AB$13,MATCH($N5074,DATA_ASSET_CLASSIFICATION!$AA$8:$AA$13,0)),"Review"))</f>
        <v>Bucket 1 · New Build</v>
      </c>
      <c r="P5074" s="350" t="str">
        <f>IF($B5074="Portfolio","Portfolio",IFERROR(INDEX(DATA_ASSET_CLASSIFICATION!$C$8:$C$24,MATCH($C5074,DATA_ASSET_CLASSIFICATION!$A$8:$A$24,0)),"Review"))</f>
        <v>Yes</v>
      </c>
      <c r="Q5074" s="350" t="str">
        <f t="shared" ca="1" si="159"/>
        <v>OK</v>
      </c>
    </row>
    <row r="5075" spans="1:17" ht="30">
      <c r="A5075" s="366" t="s">
        <v>7031</v>
      </c>
      <c r="B5075" s="366" t="s">
        <v>231</v>
      </c>
      <c r="C5075" s="348" t="str">
        <f>DATA_PROPERTY_MASTER!$A$21</f>
        <v>BLD_CD</v>
      </c>
      <c r="D5075" s="380">
        <f>'00_PORTFOLIO ROLLUP'!N$12</f>
        <v>2034</v>
      </c>
      <c r="E5075" s="366" t="s">
        <v>1683</v>
      </c>
      <c r="F5075" s="366" t="s">
        <v>21</v>
      </c>
      <c r="G5075" s="348" t="str">
        <f>"'"&amp;$C5075&amp;"'!$E$45:$Y$45"</f>
        <v>'BLD_CD'!$E$45:$Y$45</v>
      </c>
      <c r="H5075" s="381">
        <f ca="1">IF(IFERROR(INDEX(DATA_PROPERTY_MASTER!$E$5:$E$21,MATCH($C5075,DATA_PROPERTY_MASTER!$A$5:$A$21,0))="Yes",FALSE),IFERROR(INDEX(INDIRECT("'"&amp;$C5075&amp;"'!$E$45:$Y$45"),1,MATCH($D5075,INDIRECT("'"&amp;$C5075&amp;"'!$E$12:$Y$12"),0)),0),0)</f>
        <v>1528945.6747654972</v>
      </c>
      <c r="I5075" s="366" t="s">
        <v>1685</v>
      </c>
      <c r="J5075" s="348" t="str">
        <f t="shared" ca="1" si="158"/>
        <v>OK</v>
      </c>
      <c r="K5075" s="366" t="s">
        <v>1694</v>
      </c>
      <c r="L5075" s="366" t="s">
        <v>2242</v>
      </c>
      <c r="M5075" s="350" t="str">
        <f>IF($B5075="Portfolio","Portfolio",IFERROR(INDEX(DATA_ASSET_CLASSIFICATION!$B$8:$B$24,MATCH($C5075,DATA_ASSET_CLASSIFICATION!$A$8:$A$24,0)),"Review"))</f>
        <v>800 Commercial Drive</v>
      </c>
      <c r="N5075" s="350" t="str">
        <f>IF($B5075="Portfolio","Portfolio",IFERROR(INDEX(DATA_ASSET_CLASSIFICATION!$U$8:$U$24,MATCH($C5075,DATA_ASSET_CLASSIFICATION!$A$8:$A$24,0)),"Review"))</f>
        <v>New Build</v>
      </c>
      <c r="O5075" s="350" t="str">
        <f>IF($B5075="Portfolio","Portfolio",IFERROR(INDEX(DATA_ASSET_CLASSIFICATION!$AB$8:$AB$13,MATCH($N5075,DATA_ASSET_CLASSIFICATION!$AA$8:$AA$13,0)),"Review"))</f>
        <v>Bucket 1 · New Build</v>
      </c>
      <c r="P5075" s="350" t="str">
        <f>IF($B5075="Portfolio","Portfolio",IFERROR(INDEX(DATA_ASSET_CLASSIFICATION!$C$8:$C$24,MATCH($C5075,DATA_ASSET_CLASSIFICATION!$A$8:$A$24,0)),"Review"))</f>
        <v>Yes</v>
      </c>
      <c r="Q5075" s="350" t="str">
        <f t="shared" ca="1" si="159"/>
        <v>OK</v>
      </c>
    </row>
    <row r="5076" spans="1:17" ht="30">
      <c r="A5076" s="366" t="s">
        <v>7032</v>
      </c>
      <c r="B5076" s="366" t="s">
        <v>231</v>
      </c>
      <c r="C5076" s="348" t="str">
        <f>DATA_PROPERTY_MASTER!$A$21</f>
        <v>BLD_CD</v>
      </c>
      <c r="D5076" s="380">
        <f>'00_PORTFOLIO ROLLUP'!N$12</f>
        <v>2034</v>
      </c>
      <c r="E5076" s="366" t="s">
        <v>23</v>
      </c>
      <c r="F5076" s="366" t="s">
        <v>23</v>
      </c>
      <c r="G5076" s="348" t="str">
        <f>"'"&amp;$C5076&amp;"'!$E$48:$Y$48"</f>
        <v>'BLD_CD'!$E$48:$Y$48</v>
      </c>
      <c r="H5076" s="381">
        <f ca="1">IF(IFERROR(INDEX(DATA_PROPERTY_MASTER!$E$5:$E$21,MATCH($C5076,DATA_PROPERTY_MASTER!$A$5:$A$21,0))="Yes",FALSE),IFERROR(INDEX(INDIRECT("'"&amp;$C5076&amp;"'!$E$48:$Y$48"),1,MATCH($D5076,INDIRECT("'"&amp;$C5076&amp;"'!$E$12:$Y$12"),0)),0),0)</f>
        <v>979555.28115311568</v>
      </c>
      <c r="I5076" s="366" t="s">
        <v>1690</v>
      </c>
      <c r="J5076" s="348" t="str">
        <f t="shared" ca="1" si="158"/>
        <v>OK</v>
      </c>
      <c r="K5076" s="366" t="s">
        <v>1706</v>
      </c>
      <c r="L5076" s="366" t="s">
        <v>2244</v>
      </c>
      <c r="M5076" s="350" t="str">
        <f>IF($B5076="Portfolio","Portfolio",IFERROR(INDEX(DATA_ASSET_CLASSIFICATION!$B$8:$B$24,MATCH($C5076,DATA_ASSET_CLASSIFICATION!$A$8:$A$24,0)),"Review"))</f>
        <v>800 Commercial Drive</v>
      </c>
      <c r="N5076" s="350" t="str">
        <f>IF($B5076="Portfolio","Portfolio",IFERROR(INDEX(DATA_ASSET_CLASSIFICATION!$U$8:$U$24,MATCH($C5076,DATA_ASSET_CLASSIFICATION!$A$8:$A$24,0)),"Review"))</f>
        <v>New Build</v>
      </c>
      <c r="O5076" s="350" t="str">
        <f>IF($B5076="Portfolio","Portfolio",IFERROR(INDEX(DATA_ASSET_CLASSIFICATION!$AB$8:$AB$13,MATCH($N5076,DATA_ASSET_CLASSIFICATION!$AA$8:$AA$13,0)),"Review"))</f>
        <v>Bucket 1 · New Build</v>
      </c>
      <c r="P5076" s="350" t="str">
        <f>IF($B5076="Portfolio","Portfolio",IFERROR(INDEX(DATA_ASSET_CLASSIFICATION!$C$8:$C$24,MATCH($C5076,DATA_ASSET_CLASSIFICATION!$A$8:$A$24,0)),"Review"))</f>
        <v>Yes</v>
      </c>
      <c r="Q5076" s="350" t="str">
        <f t="shared" ca="1" si="159"/>
        <v>OK</v>
      </c>
    </row>
    <row r="5077" spans="1:17" ht="30">
      <c r="A5077" s="366" t="s">
        <v>7033</v>
      </c>
      <c r="B5077" s="366" t="s">
        <v>231</v>
      </c>
      <c r="C5077" s="348" t="str">
        <f>DATA_PROPERTY_MASTER!$A$21</f>
        <v>BLD_CD</v>
      </c>
      <c r="D5077" s="380">
        <f>'00_PORTFOLIO ROLLUP'!N$12</f>
        <v>2034</v>
      </c>
      <c r="E5077" s="366" t="s">
        <v>1683</v>
      </c>
      <c r="F5077" s="366" t="s">
        <v>25</v>
      </c>
      <c r="G5077" s="348" t="str">
        <f>"'"&amp;$C5077&amp;"'!$E$52:$Y$52"</f>
        <v>'BLD_CD'!$E$52:$Y$52</v>
      </c>
      <c r="H5077" s="381">
        <f ca="1">IF(IFERROR(INDEX(DATA_PROPERTY_MASTER!$E$5:$E$21,MATCH($C5077,DATA_PROPERTY_MASTER!$A$5:$A$21,0))="Yes",FALSE),IFERROR(INDEX(INDIRECT("'"&amp;$C5077&amp;"'!$E$52:$Y$52"),1,MATCH($D5077,INDIRECT("'"&amp;$C5077&amp;"'!$E$12:$Y$12"),0)),0),0)</f>
        <v>566061.93494466273</v>
      </c>
      <c r="I5077" s="366" t="s">
        <v>1685</v>
      </c>
      <c r="J5077" s="348" t="str">
        <f t="shared" ca="1" si="158"/>
        <v>OK</v>
      </c>
      <c r="K5077" s="366" t="s">
        <v>1710</v>
      </c>
      <c r="L5077" s="366" t="s">
        <v>2246</v>
      </c>
      <c r="M5077" s="350" t="str">
        <f>IF($B5077="Portfolio","Portfolio",IFERROR(INDEX(DATA_ASSET_CLASSIFICATION!$B$8:$B$24,MATCH($C5077,DATA_ASSET_CLASSIFICATION!$A$8:$A$24,0)),"Review"))</f>
        <v>800 Commercial Drive</v>
      </c>
      <c r="N5077" s="350" t="str">
        <f>IF($B5077="Portfolio","Portfolio",IFERROR(INDEX(DATA_ASSET_CLASSIFICATION!$U$8:$U$24,MATCH($C5077,DATA_ASSET_CLASSIFICATION!$A$8:$A$24,0)),"Review"))</f>
        <v>New Build</v>
      </c>
      <c r="O5077" s="350" t="str">
        <f>IF($B5077="Portfolio","Portfolio",IFERROR(INDEX(DATA_ASSET_CLASSIFICATION!$AB$8:$AB$13,MATCH($N5077,DATA_ASSET_CLASSIFICATION!$AA$8:$AA$13,0)),"Review"))</f>
        <v>Bucket 1 · New Build</v>
      </c>
      <c r="P5077" s="350" t="str">
        <f>IF($B5077="Portfolio","Portfolio",IFERROR(INDEX(DATA_ASSET_CLASSIFICATION!$C$8:$C$24,MATCH($C5077,DATA_ASSET_CLASSIFICATION!$A$8:$A$24,0)),"Review"))</f>
        <v>Yes</v>
      </c>
      <c r="Q5077" s="350" t="str">
        <f t="shared" ca="1" si="159"/>
        <v>OK</v>
      </c>
    </row>
    <row r="5078" spans="1:17" ht="30">
      <c r="A5078" s="366" t="s">
        <v>7034</v>
      </c>
      <c r="B5078" s="366" t="s">
        <v>231</v>
      </c>
      <c r="C5078" s="348" t="str">
        <f>DATA_PROPERTY_MASTER!$A$21</f>
        <v>BLD_CD</v>
      </c>
      <c r="D5078" s="380">
        <f>'00_PORTFOLIO ROLLUP'!N$12</f>
        <v>2034</v>
      </c>
      <c r="E5078" s="366" t="s">
        <v>1683</v>
      </c>
      <c r="F5078" s="366" t="s">
        <v>27</v>
      </c>
      <c r="G5078" s="348" t="str">
        <f>"'"&amp;$C5078&amp;"'!$E$54:$Y$54"</f>
        <v>'BLD_CD'!$E$54:$Y$54</v>
      </c>
      <c r="H5078" s="381">
        <f ca="1">IF(IFERROR(INDEX(DATA_PROPERTY_MASTER!$E$5:$E$21,MATCH($C5078,DATA_PROPERTY_MASTER!$A$5:$A$21,0))="Yes",FALSE),IFERROR(INDEX(INDIRECT("'"&amp;$C5078&amp;"'!$E$54:$Y$54"),1,MATCH($D5078,INDIRECT("'"&amp;$C5078&amp;"'!$E$12:$Y$12"),0)),0),0)</f>
        <v>339637.16096679762</v>
      </c>
      <c r="I5078" s="366" t="s">
        <v>1690</v>
      </c>
      <c r="J5078" s="348" t="str">
        <f t="shared" ca="1" si="158"/>
        <v>OK</v>
      </c>
      <c r="K5078" s="366" t="s">
        <v>1714</v>
      </c>
      <c r="L5078" s="366" t="s">
        <v>2248</v>
      </c>
      <c r="M5078" s="350" t="str">
        <f>IF($B5078="Portfolio","Portfolio",IFERROR(INDEX(DATA_ASSET_CLASSIFICATION!$B$8:$B$24,MATCH($C5078,DATA_ASSET_CLASSIFICATION!$A$8:$A$24,0)),"Review"))</f>
        <v>800 Commercial Drive</v>
      </c>
      <c r="N5078" s="350" t="str">
        <f>IF($B5078="Portfolio","Portfolio",IFERROR(INDEX(DATA_ASSET_CLASSIFICATION!$U$8:$U$24,MATCH($C5078,DATA_ASSET_CLASSIFICATION!$A$8:$A$24,0)),"Review"))</f>
        <v>New Build</v>
      </c>
      <c r="O5078" s="350" t="str">
        <f>IF($B5078="Portfolio","Portfolio",IFERROR(INDEX(DATA_ASSET_CLASSIFICATION!$AB$8:$AB$13,MATCH($N5078,DATA_ASSET_CLASSIFICATION!$AA$8:$AA$13,0)),"Review"))</f>
        <v>Bucket 1 · New Build</v>
      </c>
      <c r="P5078" s="350" t="str">
        <f>IF($B5078="Portfolio","Portfolio",IFERROR(INDEX(DATA_ASSET_CLASSIFICATION!$C$8:$C$24,MATCH($C5078,DATA_ASSET_CLASSIFICATION!$A$8:$A$24,0)),"Review"))</f>
        <v>Yes</v>
      </c>
      <c r="Q5078" s="350" t="str">
        <f t="shared" ca="1" si="159"/>
        <v>OK</v>
      </c>
    </row>
    <row r="5079" spans="1:17" ht="30">
      <c r="A5079" s="366" t="s">
        <v>7035</v>
      </c>
      <c r="B5079" s="366" t="s">
        <v>231</v>
      </c>
      <c r="C5079" s="348" t="str">
        <f>DATA_PROPERTY_MASTER!$A$21</f>
        <v>BLD_CD</v>
      </c>
      <c r="D5079" s="380">
        <f>'00_PORTFOLIO ROLLUP'!N$12</f>
        <v>2034</v>
      </c>
      <c r="E5079" s="366" t="s">
        <v>1683</v>
      </c>
      <c r="F5079" s="366" t="s">
        <v>29</v>
      </c>
      <c r="G5079" s="348" t="str">
        <f>"'"&amp;$C5079&amp;"'!$E$56:$Y$56"</f>
        <v>'BLD_CD'!$E$56:$Y$56</v>
      </c>
      <c r="H5079" s="381">
        <f ca="1">IF(IFERROR(INDEX(DATA_PROPERTY_MASTER!$E$5:$E$21,MATCH($C5079,DATA_PROPERTY_MASTER!$A$5:$A$21,0))="Yes",FALSE),IFERROR(INDEX(INDIRECT("'"&amp;$C5079&amp;"'!$E$56:$Y$56"),1,MATCH($D5079,INDIRECT("'"&amp;$C5079&amp;"'!$E$12:$Y$12"),0)),0),0)</f>
        <v>226424.77397786512</v>
      </c>
      <c r="I5079" s="366" t="s">
        <v>1685</v>
      </c>
      <c r="J5079" s="348" t="str">
        <f t="shared" ca="1" si="158"/>
        <v>OK</v>
      </c>
      <c r="K5079" s="366" t="s">
        <v>1718</v>
      </c>
      <c r="L5079" s="366" t="s">
        <v>2250</v>
      </c>
      <c r="M5079" s="350" t="str">
        <f>IF($B5079="Portfolio","Portfolio",IFERROR(INDEX(DATA_ASSET_CLASSIFICATION!$B$8:$B$24,MATCH($C5079,DATA_ASSET_CLASSIFICATION!$A$8:$A$24,0)),"Review"))</f>
        <v>800 Commercial Drive</v>
      </c>
      <c r="N5079" s="350" t="str">
        <f>IF($B5079="Portfolio","Portfolio",IFERROR(INDEX(DATA_ASSET_CLASSIFICATION!$U$8:$U$24,MATCH($C5079,DATA_ASSET_CLASSIFICATION!$A$8:$A$24,0)),"Review"))</f>
        <v>New Build</v>
      </c>
      <c r="O5079" s="350" t="str">
        <f>IF($B5079="Portfolio","Portfolio",IFERROR(INDEX(DATA_ASSET_CLASSIFICATION!$AB$8:$AB$13,MATCH($N5079,DATA_ASSET_CLASSIFICATION!$AA$8:$AA$13,0)),"Review"))</f>
        <v>Bucket 1 · New Build</v>
      </c>
      <c r="P5079" s="350" t="str">
        <f>IF($B5079="Portfolio","Portfolio",IFERROR(INDEX(DATA_ASSET_CLASSIFICATION!$C$8:$C$24,MATCH($C5079,DATA_ASSET_CLASSIFICATION!$A$8:$A$24,0)),"Review"))</f>
        <v>Yes</v>
      </c>
      <c r="Q5079" s="350" t="str">
        <f t="shared" ca="1" si="159"/>
        <v>OK</v>
      </c>
    </row>
    <row r="5080" spans="1:17" ht="30">
      <c r="A5080" s="366" t="s">
        <v>7036</v>
      </c>
      <c r="B5080" s="366" t="s">
        <v>231</v>
      </c>
      <c r="C5080" s="348" t="str">
        <f>DATA_PROPERTY_MASTER!$A$21</f>
        <v>BLD_CD</v>
      </c>
      <c r="D5080" s="380">
        <f>'00_PORTFOLIO ROLLUP'!N$12</f>
        <v>2034</v>
      </c>
      <c r="E5080" s="366" t="s">
        <v>1721</v>
      </c>
      <c r="F5080" s="366" t="s">
        <v>31</v>
      </c>
      <c r="G5080" s="348" t="str">
        <f>"'"&amp;$C5080&amp;"'!$E$61:$Y$61"</f>
        <v>'BLD_CD'!$E$61:$Y$61</v>
      </c>
      <c r="H5080" s="381">
        <f ca="1">IF(IFERROR(INDEX(DATA_PROPERTY_MASTER!$E$5:$E$21,MATCH($C5080,DATA_PROPERTY_MASTER!$A$5:$A$21,0))="Yes",FALSE),IFERROR(INDEX(INDIRECT("'"&amp;$C5080&amp;"'!$E$61:$Y$61"),1,MATCH($D5080,INDIRECT("'"&amp;$C5080&amp;"'!$E$12:$Y$12"),0)),0),0)</f>
        <v>0</v>
      </c>
      <c r="I5080" s="366" t="s">
        <v>1690</v>
      </c>
      <c r="J5080" s="348" t="str">
        <f t="shared" ca="1" si="158"/>
        <v>OK</v>
      </c>
      <c r="K5080" s="366" t="s">
        <v>1723</v>
      </c>
      <c r="L5080" s="366" t="s">
        <v>2252</v>
      </c>
      <c r="M5080" s="350" t="str">
        <f>IF($B5080="Portfolio","Portfolio",IFERROR(INDEX(DATA_ASSET_CLASSIFICATION!$B$8:$B$24,MATCH($C5080,DATA_ASSET_CLASSIFICATION!$A$8:$A$24,0)),"Review"))</f>
        <v>800 Commercial Drive</v>
      </c>
      <c r="N5080" s="350" t="str">
        <f>IF($B5080="Portfolio","Portfolio",IFERROR(INDEX(DATA_ASSET_CLASSIFICATION!$U$8:$U$24,MATCH($C5080,DATA_ASSET_CLASSIFICATION!$A$8:$A$24,0)),"Review"))</f>
        <v>New Build</v>
      </c>
      <c r="O5080" s="350" t="str">
        <f>IF($B5080="Portfolio","Portfolio",IFERROR(INDEX(DATA_ASSET_CLASSIFICATION!$AB$8:$AB$13,MATCH($N5080,DATA_ASSET_CLASSIFICATION!$AA$8:$AA$13,0)),"Review"))</f>
        <v>Bucket 1 · New Build</v>
      </c>
      <c r="P5080" s="350" t="str">
        <f>IF($B5080="Portfolio","Portfolio",IFERROR(INDEX(DATA_ASSET_CLASSIFICATION!$C$8:$C$24,MATCH($C5080,DATA_ASSET_CLASSIFICATION!$A$8:$A$24,0)),"Review"))</f>
        <v>Yes</v>
      </c>
      <c r="Q5080" s="350" t="str">
        <f t="shared" ca="1" si="159"/>
        <v>OK</v>
      </c>
    </row>
    <row r="5081" spans="1:17" ht="30">
      <c r="A5081" s="366" t="s">
        <v>7037</v>
      </c>
      <c r="B5081" s="366" t="s">
        <v>231</v>
      </c>
      <c r="C5081" s="348" t="str">
        <f>DATA_PROPERTY_MASTER!$A$21</f>
        <v>BLD_CD</v>
      </c>
      <c r="D5081" s="380">
        <f>'00_PORTFOLIO ROLLUP'!N$12</f>
        <v>2034</v>
      </c>
      <c r="E5081" s="366" t="s">
        <v>1721</v>
      </c>
      <c r="F5081" s="366" t="s">
        <v>33</v>
      </c>
      <c r="G5081" s="348" t="str">
        <f>"'"&amp;$C5081&amp;"'!$E$62:$Y$62"</f>
        <v>'BLD_CD'!$E$62:$Y$62</v>
      </c>
      <c r="H5081" s="381">
        <f ca="1">IF(IFERROR(INDEX(DATA_PROPERTY_MASTER!$E$5:$E$21,MATCH($C5081,DATA_PROPERTY_MASTER!$A$5:$A$21,0))="Yes",FALSE),IFERROR(INDEX(INDIRECT("'"&amp;$C5081&amp;"'!$E$62:$Y$62"),1,MATCH($D5081,INDIRECT("'"&amp;$C5081&amp;"'!$E$12:$Y$12"),0)),0),0)</f>
        <v>0</v>
      </c>
      <c r="I5081" s="366" t="s">
        <v>1685</v>
      </c>
      <c r="J5081" s="348" t="str">
        <f t="shared" ca="1" si="158"/>
        <v>OK</v>
      </c>
      <c r="K5081" s="366" t="s">
        <v>1727</v>
      </c>
      <c r="L5081" s="366" t="s">
        <v>2254</v>
      </c>
      <c r="M5081" s="350" t="str">
        <f>IF($B5081="Portfolio","Portfolio",IFERROR(INDEX(DATA_ASSET_CLASSIFICATION!$B$8:$B$24,MATCH($C5081,DATA_ASSET_CLASSIFICATION!$A$8:$A$24,0)),"Review"))</f>
        <v>800 Commercial Drive</v>
      </c>
      <c r="N5081" s="350" t="str">
        <f>IF($B5081="Portfolio","Portfolio",IFERROR(INDEX(DATA_ASSET_CLASSIFICATION!$U$8:$U$24,MATCH($C5081,DATA_ASSET_CLASSIFICATION!$A$8:$A$24,0)),"Review"))</f>
        <v>New Build</v>
      </c>
      <c r="O5081" s="350" t="str">
        <f>IF($B5081="Portfolio","Portfolio",IFERROR(INDEX(DATA_ASSET_CLASSIFICATION!$AB$8:$AB$13,MATCH($N5081,DATA_ASSET_CLASSIFICATION!$AA$8:$AA$13,0)),"Review"))</f>
        <v>Bucket 1 · New Build</v>
      </c>
      <c r="P5081" s="350" t="str">
        <f>IF($B5081="Portfolio","Portfolio",IFERROR(INDEX(DATA_ASSET_CLASSIFICATION!$C$8:$C$24,MATCH($C5081,DATA_ASSET_CLASSIFICATION!$A$8:$A$24,0)),"Review"))</f>
        <v>Yes</v>
      </c>
      <c r="Q5081" s="350" t="str">
        <f t="shared" ca="1" si="159"/>
        <v>OK</v>
      </c>
    </row>
    <row r="5082" spans="1:17" ht="30">
      <c r="A5082" s="366" t="s">
        <v>7038</v>
      </c>
      <c r="B5082" s="366" t="s">
        <v>231</v>
      </c>
      <c r="C5082" s="348" t="str">
        <f>DATA_PROPERTY_MASTER!$A$21</f>
        <v>BLD_CD</v>
      </c>
      <c r="D5082" s="380">
        <f>'00_PORTFOLIO ROLLUP'!N$12</f>
        <v>2034</v>
      </c>
      <c r="E5082" s="366" t="s">
        <v>1721</v>
      </c>
      <c r="F5082" s="366" t="s">
        <v>35</v>
      </c>
      <c r="G5082" s="348" t="str">
        <f>"'"&amp;$C5082&amp;"'!$E$63:$Y$63"</f>
        <v>'BLD_CD'!$E$63:$Y$63</v>
      </c>
      <c r="H5082" s="381">
        <f ca="1">IF(IFERROR(INDEX(DATA_PROPERTY_MASTER!$E$5:$E$21,MATCH($C5082,DATA_PROPERTY_MASTER!$A$5:$A$21,0))="Yes",FALSE),IFERROR(INDEX(INDIRECT("'"&amp;$C5082&amp;"'!$E$63:$Y$63"),1,MATCH($D5082,INDIRECT("'"&amp;$C5082&amp;"'!$E$12:$Y$12"),0)),0),0)</f>
        <v>0</v>
      </c>
      <c r="I5082" s="366" t="s">
        <v>1731</v>
      </c>
      <c r="J5082" s="348" t="str">
        <f t="shared" ca="1" si="158"/>
        <v>OK</v>
      </c>
      <c r="K5082" s="366" t="s">
        <v>1732</v>
      </c>
      <c r="L5082" s="366" t="s">
        <v>2256</v>
      </c>
      <c r="M5082" s="350" t="str">
        <f>IF($B5082="Portfolio","Portfolio",IFERROR(INDEX(DATA_ASSET_CLASSIFICATION!$B$8:$B$24,MATCH($C5082,DATA_ASSET_CLASSIFICATION!$A$8:$A$24,0)),"Review"))</f>
        <v>800 Commercial Drive</v>
      </c>
      <c r="N5082" s="350" t="str">
        <f>IF($B5082="Portfolio","Portfolio",IFERROR(INDEX(DATA_ASSET_CLASSIFICATION!$U$8:$U$24,MATCH($C5082,DATA_ASSET_CLASSIFICATION!$A$8:$A$24,0)),"Review"))</f>
        <v>New Build</v>
      </c>
      <c r="O5082" s="350" t="str">
        <f>IF($B5082="Portfolio","Portfolio",IFERROR(INDEX(DATA_ASSET_CLASSIFICATION!$AB$8:$AB$13,MATCH($N5082,DATA_ASSET_CLASSIFICATION!$AA$8:$AA$13,0)),"Review"))</f>
        <v>Bucket 1 · New Build</v>
      </c>
      <c r="P5082" s="350" t="str">
        <f>IF($B5082="Portfolio","Portfolio",IFERROR(INDEX(DATA_ASSET_CLASSIFICATION!$C$8:$C$24,MATCH($C5082,DATA_ASSET_CLASSIFICATION!$A$8:$A$24,0)),"Review"))</f>
        <v>Yes</v>
      </c>
      <c r="Q5082" s="350" t="str">
        <f t="shared" ca="1" si="159"/>
        <v>OK</v>
      </c>
    </row>
    <row r="5083" spans="1:17" ht="30">
      <c r="A5083" s="366" t="s">
        <v>7039</v>
      </c>
      <c r="B5083" s="366" t="s">
        <v>231</v>
      </c>
      <c r="C5083" s="348" t="str">
        <f>DATA_PROPERTY_MASTER!$A$21</f>
        <v>BLD_CD</v>
      </c>
      <c r="D5083" s="380">
        <f>'00_PORTFOLIO ROLLUP'!N$12</f>
        <v>2034</v>
      </c>
      <c r="E5083" s="366" t="s">
        <v>1721</v>
      </c>
      <c r="F5083" s="366" t="s">
        <v>37</v>
      </c>
      <c r="G5083" s="348" t="str">
        <f>"'"&amp;$C5083&amp;"'!$E$63:$Y$63"</f>
        <v>'BLD_CD'!$E$63:$Y$63</v>
      </c>
      <c r="H5083" s="381">
        <f ca="1">IF(IFERROR(INDEX(DATA_PROPERTY_MASTER!$E$5:$E$21,MATCH($C5083,DATA_PROPERTY_MASTER!$A$5:$A$21,0))="Yes",FALSE),MAX(IFERROR(INDEX(INDIRECT("'"&amp;$C5083&amp;"'!$E$63:$Y$63"),1,MATCH($D5083,INDIRECT("'"&amp;$C5083&amp;"'!$E$12:$Y$12"),0)),0),0),0)</f>
        <v>0</v>
      </c>
      <c r="I5083" s="366" t="s">
        <v>1685</v>
      </c>
      <c r="J5083" s="348" t="str">
        <f t="shared" ca="1" si="158"/>
        <v>OK</v>
      </c>
      <c r="K5083" s="366" t="s">
        <v>1735</v>
      </c>
      <c r="L5083" s="366" t="s">
        <v>2258</v>
      </c>
      <c r="M5083" s="350" t="str">
        <f>IF($B5083="Portfolio","Portfolio",IFERROR(INDEX(DATA_ASSET_CLASSIFICATION!$B$8:$B$24,MATCH($C5083,DATA_ASSET_CLASSIFICATION!$A$8:$A$24,0)),"Review"))</f>
        <v>800 Commercial Drive</v>
      </c>
      <c r="N5083" s="350" t="str">
        <f>IF($B5083="Portfolio","Portfolio",IFERROR(INDEX(DATA_ASSET_CLASSIFICATION!$U$8:$U$24,MATCH($C5083,DATA_ASSET_CLASSIFICATION!$A$8:$A$24,0)),"Review"))</f>
        <v>New Build</v>
      </c>
      <c r="O5083" s="350" t="str">
        <f>IF($B5083="Portfolio","Portfolio",IFERROR(INDEX(DATA_ASSET_CLASSIFICATION!$AB$8:$AB$13,MATCH($N5083,DATA_ASSET_CLASSIFICATION!$AA$8:$AA$13,0)),"Review"))</f>
        <v>Bucket 1 · New Build</v>
      </c>
      <c r="P5083" s="350" t="str">
        <f>IF($B5083="Portfolio","Portfolio",IFERROR(INDEX(DATA_ASSET_CLASSIFICATION!$C$8:$C$24,MATCH($C5083,DATA_ASSET_CLASSIFICATION!$A$8:$A$24,0)),"Review"))</f>
        <v>Yes</v>
      </c>
      <c r="Q5083" s="350" t="str">
        <f t="shared" ca="1" si="159"/>
        <v>OK</v>
      </c>
    </row>
    <row r="5084" spans="1:17" ht="30">
      <c r="A5084" s="366" t="s">
        <v>7040</v>
      </c>
      <c r="B5084" s="366" t="s">
        <v>231</v>
      </c>
      <c r="C5084" s="348" t="str">
        <f>DATA_PROPERTY_MASTER!$A$21</f>
        <v>BLD_CD</v>
      </c>
      <c r="D5084" s="380">
        <f>'00_PORTFOLIO ROLLUP'!N$12</f>
        <v>2034</v>
      </c>
      <c r="E5084" s="366" t="s">
        <v>1721</v>
      </c>
      <c r="F5084" s="366" t="s">
        <v>39</v>
      </c>
      <c r="G5084" s="348" t="str">
        <f>"'"&amp;$C5084&amp;"'!$E$63:$Y$63"</f>
        <v>'BLD_CD'!$E$63:$Y$63</v>
      </c>
      <c r="H5084" s="381">
        <f ca="1">IF(IFERROR(INDEX(DATA_PROPERTY_MASTER!$E$5:$E$21,MATCH($C5084,DATA_PROPERTY_MASTER!$A$5:$A$21,0))="Yes",FALSE),MAX(-IFERROR(INDEX(INDIRECT("'"&amp;$C5084&amp;"'!$E$63:$Y$63"),1,MATCH($D5084,INDIRECT("'"&amp;$C5084&amp;"'!$E$12:$Y$12"),0)),0),0),0)</f>
        <v>0</v>
      </c>
      <c r="I5084" s="366" t="s">
        <v>1690</v>
      </c>
      <c r="J5084" s="348" t="str">
        <f t="shared" ca="1" si="158"/>
        <v>OK</v>
      </c>
      <c r="K5084" s="366" t="s">
        <v>1738</v>
      </c>
      <c r="L5084" s="366" t="s">
        <v>2260</v>
      </c>
      <c r="M5084" s="350" t="str">
        <f>IF($B5084="Portfolio","Portfolio",IFERROR(INDEX(DATA_ASSET_CLASSIFICATION!$B$8:$B$24,MATCH($C5084,DATA_ASSET_CLASSIFICATION!$A$8:$A$24,0)),"Review"))</f>
        <v>800 Commercial Drive</v>
      </c>
      <c r="N5084" s="350" t="str">
        <f>IF($B5084="Portfolio","Portfolio",IFERROR(INDEX(DATA_ASSET_CLASSIFICATION!$U$8:$U$24,MATCH($C5084,DATA_ASSET_CLASSIFICATION!$A$8:$A$24,0)),"Review"))</f>
        <v>New Build</v>
      </c>
      <c r="O5084" s="350" t="str">
        <f>IF($B5084="Portfolio","Portfolio",IFERROR(INDEX(DATA_ASSET_CLASSIFICATION!$AB$8:$AB$13,MATCH($N5084,DATA_ASSET_CLASSIFICATION!$AA$8:$AA$13,0)),"Review"))</f>
        <v>Bucket 1 · New Build</v>
      </c>
      <c r="P5084" s="350" t="str">
        <f>IF($B5084="Portfolio","Portfolio",IFERROR(INDEX(DATA_ASSET_CLASSIFICATION!$C$8:$C$24,MATCH($C5084,DATA_ASSET_CLASSIFICATION!$A$8:$A$24,0)),"Review"))</f>
        <v>Yes</v>
      </c>
      <c r="Q5084" s="350" t="str">
        <f t="shared" ca="1" si="159"/>
        <v>OK</v>
      </c>
    </row>
    <row r="5085" spans="1:17" ht="30">
      <c r="A5085" s="366" t="s">
        <v>7041</v>
      </c>
      <c r="B5085" s="366" t="s">
        <v>231</v>
      </c>
      <c r="C5085" s="348" t="str">
        <f>DATA_PROPERTY_MASTER!$A$21</f>
        <v>BLD_CD</v>
      </c>
      <c r="D5085" s="380">
        <f>'00_PORTFOLIO ROLLUP'!N$12</f>
        <v>2034</v>
      </c>
      <c r="E5085" s="366" t="s">
        <v>1741</v>
      </c>
      <c r="F5085" s="366" t="s">
        <v>41</v>
      </c>
      <c r="G5085" s="348" t="str">
        <f>"'"&amp;$C5085&amp;"'!rows 56 + positive row 63"</f>
        <v>'BLD_CD'!rows 56 + positive row 63</v>
      </c>
      <c r="H5085" s="381">
        <f ca="1">IF(IFERROR(INDEX(DATA_PROPERTY_MASTER!$E$5:$E$21,MATCH($C5085,DATA_PROPERTY_MASTER!$A$5:$A$21,0))="Yes",FALSE),IFERROR(INDEX(INDIRECT("'"&amp;$C5085&amp;"'!$E$56:$Y$56"),1,MATCH($D5085,INDIRECT("'"&amp;$C5085&amp;"'!$E$12:$Y$12"),0)),0)+MAX(IFERROR(INDEX(INDIRECT("'"&amp;$C5085&amp;"'!$E$63:$Y$63"),1,MATCH($D5085,INDIRECT("'"&amp;$C5085&amp;"'!$E$12:$Y$12"),0)),0),0),0)</f>
        <v>226424.77397786512</v>
      </c>
      <c r="I5085" s="366" t="s">
        <v>1685</v>
      </c>
      <c r="J5085" s="348" t="str">
        <f t="shared" ca="1" si="158"/>
        <v>OK</v>
      </c>
      <c r="K5085" s="366" t="s">
        <v>1742</v>
      </c>
      <c r="L5085" s="366" t="s">
        <v>2262</v>
      </c>
      <c r="M5085" s="350" t="str">
        <f>IF($B5085="Portfolio","Portfolio",IFERROR(INDEX(DATA_ASSET_CLASSIFICATION!$B$8:$B$24,MATCH($C5085,DATA_ASSET_CLASSIFICATION!$A$8:$A$24,0)),"Review"))</f>
        <v>800 Commercial Drive</v>
      </c>
      <c r="N5085" s="350" t="str">
        <f>IF($B5085="Portfolio","Portfolio",IFERROR(INDEX(DATA_ASSET_CLASSIFICATION!$U$8:$U$24,MATCH($C5085,DATA_ASSET_CLASSIFICATION!$A$8:$A$24,0)),"Review"))</f>
        <v>New Build</v>
      </c>
      <c r="O5085" s="350" t="str">
        <f>IF($B5085="Portfolio","Portfolio",IFERROR(INDEX(DATA_ASSET_CLASSIFICATION!$AB$8:$AB$13,MATCH($N5085,DATA_ASSET_CLASSIFICATION!$AA$8:$AA$13,0)),"Review"))</f>
        <v>Bucket 1 · New Build</v>
      </c>
      <c r="P5085" s="350" t="str">
        <f>IF($B5085="Portfolio","Portfolio",IFERROR(INDEX(DATA_ASSET_CLASSIFICATION!$C$8:$C$24,MATCH($C5085,DATA_ASSET_CLASSIFICATION!$A$8:$A$24,0)),"Review"))</f>
        <v>Yes</v>
      </c>
      <c r="Q5085" s="350" t="str">
        <f t="shared" ca="1" si="159"/>
        <v>OK</v>
      </c>
    </row>
    <row r="5086" spans="1:17" ht="30">
      <c r="A5086" s="366" t="s">
        <v>7042</v>
      </c>
      <c r="B5086" s="366" t="s">
        <v>231</v>
      </c>
      <c r="C5086" s="348" t="str">
        <f>DATA_PROPERTY_MASTER!$A$21</f>
        <v>BLD_CD</v>
      </c>
      <c r="D5086" s="380">
        <f>'00_PORTFOLIO ROLLUP'!N$12</f>
        <v>2034</v>
      </c>
      <c r="E5086" s="366" t="s">
        <v>1741</v>
      </c>
      <c r="F5086" s="366" t="s">
        <v>43</v>
      </c>
      <c r="G5086" s="348" t="str">
        <f>"'"&amp;$C5086&amp;"'!$E$68:$Y$68"</f>
        <v>'BLD_CD'!$E$68:$Y$68</v>
      </c>
      <c r="H5086" s="381">
        <f ca="1">IF(IFERROR(INDEX(DATA_PROPERTY_MASTER!$E$5:$E$21,MATCH($C5086,DATA_PROPERTY_MASTER!$A$5:$A$21,0))="Yes",FALSE),IFERROR(INDEX(INDIRECT("'"&amp;$C5086&amp;"'!$E$68:$Y$68"),1,MATCH($D5086,INDIRECT("'"&amp;$C5086&amp;"'!$E$12:$Y$12"),0)),0),0)</f>
        <v>226424.77397786512</v>
      </c>
      <c r="I5086" s="366" t="s">
        <v>1731</v>
      </c>
      <c r="J5086" s="348" t="str">
        <f t="shared" ca="1" si="158"/>
        <v>OK</v>
      </c>
      <c r="K5086" s="366" t="s">
        <v>1746</v>
      </c>
      <c r="L5086" s="366" t="s">
        <v>2264</v>
      </c>
      <c r="M5086" s="350" t="str">
        <f>IF($B5086="Portfolio","Portfolio",IFERROR(INDEX(DATA_ASSET_CLASSIFICATION!$B$8:$B$24,MATCH($C5086,DATA_ASSET_CLASSIFICATION!$A$8:$A$24,0)),"Review"))</f>
        <v>800 Commercial Drive</v>
      </c>
      <c r="N5086" s="350" t="str">
        <f>IF($B5086="Portfolio","Portfolio",IFERROR(INDEX(DATA_ASSET_CLASSIFICATION!$U$8:$U$24,MATCH($C5086,DATA_ASSET_CLASSIFICATION!$A$8:$A$24,0)),"Review"))</f>
        <v>New Build</v>
      </c>
      <c r="O5086" s="350" t="str">
        <f>IF($B5086="Portfolio","Portfolio",IFERROR(INDEX(DATA_ASSET_CLASSIFICATION!$AB$8:$AB$13,MATCH($N5086,DATA_ASSET_CLASSIFICATION!$AA$8:$AA$13,0)),"Review"))</f>
        <v>Bucket 1 · New Build</v>
      </c>
      <c r="P5086" s="350" t="str">
        <f>IF($B5086="Portfolio","Portfolio",IFERROR(INDEX(DATA_ASSET_CLASSIFICATION!$C$8:$C$24,MATCH($C5086,DATA_ASSET_CLASSIFICATION!$A$8:$A$24,0)),"Review"))</f>
        <v>Yes</v>
      </c>
      <c r="Q5086" s="350" t="str">
        <f t="shared" ca="1" si="159"/>
        <v>OK</v>
      </c>
    </row>
    <row r="5087" spans="1:17" ht="30">
      <c r="A5087" s="366" t="s">
        <v>7043</v>
      </c>
      <c r="B5087" s="366" t="s">
        <v>231</v>
      </c>
      <c r="C5087" s="348" t="str">
        <f>DATA_PROPERTY_MASTER!$A$21</f>
        <v>BLD_CD</v>
      </c>
      <c r="D5087" s="380">
        <f>'00_PORTFOLIO ROLLUP'!N$12</f>
        <v>2034</v>
      </c>
      <c r="E5087" s="366" t="s">
        <v>1741</v>
      </c>
      <c r="F5087" s="366" t="s">
        <v>1749</v>
      </c>
      <c r="G5087" s="348" t="str">
        <f>"'"&amp;$C5087&amp;"'!rows 56, 63, 68"</f>
        <v>'BLD_CD'!rows 56, 63, 68</v>
      </c>
      <c r="H5087" s="381">
        <f ca="1">IF(IFERROR(INDEX(DATA_PROPERTY_MASTER!$E$5:$E$21,MATCH($C5087,DATA_PROPERTY_MASTER!$A$5:$A$21,0))="Yes",FALSE),(IFERROR(INDEX(INDIRECT("'"&amp;$C5087&amp;"'!$E$56:$Y$56"),1,MATCH($D5087,INDIRECT("'"&amp;$C5087&amp;"'!$E$12:$Y$12"),0)),0)+MAX(IFERROR(INDEX(INDIRECT("'"&amp;$C5087&amp;"'!$E$63:$Y$63"),1,MATCH($D5087,INDIRECT("'"&amp;$C5087&amp;"'!$E$12:$Y$12"),0)),0),0))-(IFERROR(INDEX(INDIRECT("'"&amp;$C5087&amp;"'!$E$68:$Y$68"),1,MATCH($D5087,INDIRECT("'"&amp;$C5087&amp;"'!$E$12:$Y$12"),0)),0)),0)</f>
        <v>0</v>
      </c>
      <c r="I5087" s="366" t="s">
        <v>1750</v>
      </c>
      <c r="J5087" s="348" t="str">
        <f t="shared" ca="1" si="158"/>
        <v>OK</v>
      </c>
      <c r="K5087" s="366" t="s">
        <v>1751</v>
      </c>
      <c r="L5087" s="366" t="s">
        <v>2266</v>
      </c>
      <c r="M5087" s="350" t="str">
        <f>IF($B5087="Portfolio","Portfolio",IFERROR(INDEX(DATA_ASSET_CLASSIFICATION!$B$8:$B$24,MATCH($C5087,DATA_ASSET_CLASSIFICATION!$A$8:$A$24,0)),"Review"))</f>
        <v>800 Commercial Drive</v>
      </c>
      <c r="N5087" s="350" t="str">
        <f>IF($B5087="Portfolio","Portfolio",IFERROR(INDEX(DATA_ASSET_CLASSIFICATION!$U$8:$U$24,MATCH($C5087,DATA_ASSET_CLASSIFICATION!$A$8:$A$24,0)),"Review"))</f>
        <v>New Build</v>
      </c>
      <c r="O5087" s="350" t="str">
        <f>IF($B5087="Portfolio","Portfolio",IFERROR(INDEX(DATA_ASSET_CLASSIFICATION!$AB$8:$AB$13,MATCH($N5087,DATA_ASSET_CLASSIFICATION!$AA$8:$AA$13,0)),"Review"))</f>
        <v>Bucket 1 · New Build</v>
      </c>
      <c r="P5087" s="350" t="str">
        <f>IF($B5087="Portfolio","Portfolio",IFERROR(INDEX(DATA_ASSET_CLASSIFICATION!$C$8:$C$24,MATCH($C5087,DATA_ASSET_CLASSIFICATION!$A$8:$A$24,0)),"Review"))</f>
        <v>Yes</v>
      </c>
      <c r="Q5087" s="350" t="str">
        <f t="shared" ca="1" si="159"/>
        <v>OK</v>
      </c>
    </row>
    <row r="5088" spans="1:17" ht="30">
      <c r="A5088" s="366" t="s">
        <v>7044</v>
      </c>
      <c r="B5088" s="366" t="s">
        <v>231</v>
      </c>
      <c r="C5088" s="348" t="str">
        <f>DATA_PROPERTY_MASTER!$A$21</f>
        <v>BLD_CD</v>
      </c>
      <c r="D5088" s="380">
        <f>'00_PORTFOLIO ROLLUP'!O$12</f>
        <v>2035</v>
      </c>
      <c r="E5088" s="366" t="s">
        <v>1683</v>
      </c>
      <c r="F5088" s="366" t="s">
        <v>341</v>
      </c>
      <c r="G5088" s="348" t="str">
        <f>"'"&amp;$C5088&amp;"'!$E$24:$Y$24"</f>
        <v>'BLD_CD'!$E$24:$Y$24</v>
      </c>
      <c r="H5088" s="381">
        <f ca="1">IF(IFERROR(INDEX(DATA_PROPERTY_MASTER!$E$5:$E$21,MATCH($C5088,DATA_PROPERTY_MASTER!$A$5:$A$21,0))="Yes",FALSE),IFERROR(INDEX(INDIRECT("'"&amp;$C5088&amp;"'!$E$24:$Y$24"),1,MATCH($D5088,INDIRECT("'"&amp;$C5088&amp;"'!$E$12:$Y$12"),0)),0),0)</f>
        <v>2488898.0233282936</v>
      </c>
      <c r="I5088" s="366" t="s">
        <v>1685</v>
      </c>
      <c r="J5088" s="348" t="str">
        <f t="shared" ca="1" si="158"/>
        <v>OK</v>
      </c>
      <c r="K5088" s="366" t="s">
        <v>1686</v>
      </c>
      <c r="L5088" s="366" t="s">
        <v>2234</v>
      </c>
      <c r="M5088" s="350" t="str">
        <f>IF($B5088="Portfolio","Portfolio",IFERROR(INDEX(DATA_ASSET_CLASSIFICATION!$B$8:$B$24,MATCH($C5088,DATA_ASSET_CLASSIFICATION!$A$8:$A$24,0)),"Review"))</f>
        <v>800 Commercial Drive</v>
      </c>
      <c r="N5088" s="350" t="str">
        <f>IF($B5088="Portfolio","Portfolio",IFERROR(INDEX(DATA_ASSET_CLASSIFICATION!$U$8:$U$24,MATCH($C5088,DATA_ASSET_CLASSIFICATION!$A$8:$A$24,0)),"Review"))</f>
        <v>New Build</v>
      </c>
      <c r="O5088" s="350" t="str">
        <f>IF($B5088="Portfolio","Portfolio",IFERROR(INDEX(DATA_ASSET_CLASSIFICATION!$AB$8:$AB$13,MATCH($N5088,DATA_ASSET_CLASSIFICATION!$AA$8:$AA$13,0)),"Review"))</f>
        <v>Bucket 1 · New Build</v>
      </c>
      <c r="P5088" s="350" t="str">
        <f>IF($B5088="Portfolio","Portfolio",IFERROR(INDEX(DATA_ASSET_CLASSIFICATION!$C$8:$C$24,MATCH($C5088,DATA_ASSET_CLASSIFICATION!$A$8:$A$24,0)),"Review"))</f>
        <v>Yes</v>
      </c>
      <c r="Q5088" s="350" t="str">
        <f t="shared" ca="1" si="159"/>
        <v>OK</v>
      </c>
    </row>
    <row r="5089" spans="1:17" ht="30">
      <c r="A5089" s="366" t="s">
        <v>7045</v>
      </c>
      <c r="B5089" s="366" t="s">
        <v>231</v>
      </c>
      <c r="C5089" s="348" t="str">
        <f>DATA_PROPERTY_MASTER!$A$21</f>
        <v>BLD_CD</v>
      </c>
      <c r="D5089" s="380">
        <f>'00_PORTFOLIO ROLLUP'!O$12</f>
        <v>2035</v>
      </c>
      <c r="E5089" s="366" t="s">
        <v>1683</v>
      </c>
      <c r="F5089" s="366" t="s">
        <v>355</v>
      </c>
      <c r="G5089" s="348" t="str">
        <f>"'"&amp;$C5089&amp;"'!$E$39:$Y$39"</f>
        <v>'BLD_CD'!$E$39:$Y$39</v>
      </c>
      <c r="H5089" s="381">
        <f ca="1">IF(IFERROR(INDEX(DATA_PROPERTY_MASTER!$E$5:$E$21,MATCH($C5089,DATA_PROPERTY_MASTER!$A$5:$A$21,0))="Yes",FALSE),IFERROR(INDEX(INDIRECT("'"&amp;$C5089&amp;"'!$E$39:$Y$39"),1,MATCH($D5089,INDIRECT("'"&amp;$C5089&amp;"'!$E$12:$Y$12"),0)),0),0)</f>
        <v>916840.85733458167</v>
      </c>
      <c r="I5089" s="366" t="s">
        <v>1690</v>
      </c>
      <c r="J5089" s="348" t="str">
        <f t="shared" ca="1" si="158"/>
        <v>OK</v>
      </c>
      <c r="K5089" s="366" t="s">
        <v>1686</v>
      </c>
      <c r="L5089" s="366" t="s">
        <v>2236</v>
      </c>
      <c r="M5089" s="350" t="str">
        <f>IF($B5089="Portfolio","Portfolio",IFERROR(INDEX(DATA_ASSET_CLASSIFICATION!$B$8:$B$24,MATCH($C5089,DATA_ASSET_CLASSIFICATION!$A$8:$A$24,0)),"Review"))</f>
        <v>800 Commercial Drive</v>
      </c>
      <c r="N5089" s="350" t="str">
        <f>IF($B5089="Portfolio","Portfolio",IFERROR(INDEX(DATA_ASSET_CLASSIFICATION!$U$8:$U$24,MATCH($C5089,DATA_ASSET_CLASSIFICATION!$A$8:$A$24,0)),"Review"))</f>
        <v>New Build</v>
      </c>
      <c r="O5089" s="350" t="str">
        <f>IF($B5089="Portfolio","Portfolio",IFERROR(INDEX(DATA_ASSET_CLASSIFICATION!$AB$8:$AB$13,MATCH($N5089,DATA_ASSET_CLASSIFICATION!$AA$8:$AA$13,0)),"Review"))</f>
        <v>Bucket 1 · New Build</v>
      </c>
      <c r="P5089" s="350" t="str">
        <f>IF($B5089="Portfolio","Portfolio",IFERROR(INDEX(DATA_ASSET_CLASSIFICATION!$C$8:$C$24,MATCH($C5089,DATA_ASSET_CLASSIFICATION!$A$8:$A$24,0)),"Review"))</f>
        <v>Yes</v>
      </c>
      <c r="Q5089" s="350" t="str">
        <f t="shared" ca="1" si="159"/>
        <v>OK</v>
      </c>
    </row>
    <row r="5090" spans="1:17" ht="30">
      <c r="A5090" s="366" t="s">
        <v>7046</v>
      </c>
      <c r="B5090" s="366" t="s">
        <v>231</v>
      </c>
      <c r="C5090" s="348" t="str">
        <f>DATA_PROPERTY_MASTER!$A$21</f>
        <v>BLD_CD</v>
      </c>
      <c r="D5090" s="380">
        <f>'00_PORTFOLIO ROLLUP'!O$12</f>
        <v>2035</v>
      </c>
      <c r="E5090" s="366" t="s">
        <v>1683</v>
      </c>
      <c r="F5090" s="366" t="s">
        <v>19</v>
      </c>
      <c r="G5090" s="348" t="str">
        <f>"'"&amp;$C5090&amp;"'!$E$41:$Y$41"</f>
        <v>'BLD_CD'!$E$41:$Y$41</v>
      </c>
      <c r="H5090" s="381">
        <f ca="1">IF(IFERROR(INDEX(DATA_PROPERTY_MASTER!$E$5:$E$21,MATCH($C5090,DATA_PROPERTY_MASTER!$A$5:$A$21,0))="Yes",FALSE),IFERROR(INDEX(INDIRECT("'"&amp;$C5090&amp;"'!$E$41:$Y$41"),1,MATCH($D5090,INDIRECT("'"&amp;$C5090&amp;"'!$E$12:$Y$12"),0)),0),0)</f>
        <v>1572057.1659937119</v>
      </c>
      <c r="I5090" s="366" t="s">
        <v>1685</v>
      </c>
      <c r="J5090" s="348" t="str">
        <f t="shared" ca="1" si="158"/>
        <v>OK</v>
      </c>
      <c r="K5090" s="366" t="s">
        <v>1694</v>
      </c>
      <c r="L5090" s="366" t="s">
        <v>2238</v>
      </c>
      <c r="M5090" s="350" t="str">
        <f>IF($B5090="Portfolio","Portfolio",IFERROR(INDEX(DATA_ASSET_CLASSIFICATION!$B$8:$B$24,MATCH($C5090,DATA_ASSET_CLASSIFICATION!$A$8:$A$24,0)),"Review"))</f>
        <v>800 Commercial Drive</v>
      </c>
      <c r="N5090" s="350" t="str">
        <f>IF($B5090="Portfolio","Portfolio",IFERROR(INDEX(DATA_ASSET_CLASSIFICATION!$U$8:$U$24,MATCH($C5090,DATA_ASSET_CLASSIFICATION!$A$8:$A$24,0)),"Review"))</f>
        <v>New Build</v>
      </c>
      <c r="O5090" s="350" t="str">
        <f>IF($B5090="Portfolio","Portfolio",IFERROR(INDEX(DATA_ASSET_CLASSIFICATION!$AB$8:$AB$13,MATCH($N5090,DATA_ASSET_CLASSIFICATION!$AA$8:$AA$13,0)),"Review"))</f>
        <v>Bucket 1 · New Build</v>
      </c>
      <c r="P5090" s="350" t="str">
        <f>IF($B5090="Portfolio","Portfolio",IFERROR(INDEX(DATA_ASSET_CLASSIFICATION!$C$8:$C$24,MATCH($C5090,DATA_ASSET_CLASSIFICATION!$A$8:$A$24,0)),"Review"))</f>
        <v>Yes</v>
      </c>
      <c r="Q5090" s="350" t="str">
        <f t="shared" ca="1" si="159"/>
        <v>OK</v>
      </c>
    </row>
    <row r="5091" spans="1:17" ht="30">
      <c r="A5091" s="366" t="s">
        <v>7047</v>
      </c>
      <c r="B5091" s="366" t="s">
        <v>231</v>
      </c>
      <c r="C5091" s="348" t="str">
        <f>DATA_PROPERTY_MASTER!$A$21</f>
        <v>BLD_CD</v>
      </c>
      <c r="D5091" s="380">
        <f>'00_PORTFOLIO ROLLUP'!O$12</f>
        <v>2035</v>
      </c>
      <c r="E5091" s="366" t="s">
        <v>1683</v>
      </c>
      <c r="F5091" s="366" t="s">
        <v>1697</v>
      </c>
      <c r="G5091" s="348" t="str">
        <f>"'"&amp;$C5091&amp;"'!$E$44:$Y$44"</f>
        <v>'BLD_CD'!$E$44:$Y$44</v>
      </c>
      <c r="H5091" s="381">
        <f ca="1">IF(IFERROR(INDEX(DATA_PROPERTY_MASTER!$E$5:$E$21,MATCH($C5091,DATA_PROPERTY_MASTER!$A$5:$A$21,0))="Yes",FALSE),IFERROR(INDEX(INDIRECT("'"&amp;$C5091&amp;"'!$E$44:$Y$44"),1,MATCH($D5091,INDIRECT("'"&amp;$C5091&amp;"'!$E$12:$Y$12"),0)),0),0)</f>
        <v>17004.972158926863</v>
      </c>
      <c r="I5091" s="366" t="s">
        <v>1690</v>
      </c>
      <c r="J5091" s="348" t="str">
        <f t="shared" ca="1" si="158"/>
        <v>OK</v>
      </c>
      <c r="K5091" s="366" t="s">
        <v>1699</v>
      </c>
      <c r="L5091" s="366" t="s">
        <v>2240</v>
      </c>
      <c r="M5091" s="350" t="str">
        <f>IF($B5091="Portfolio","Portfolio",IFERROR(INDEX(DATA_ASSET_CLASSIFICATION!$B$8:$B$24,MATCH($C5091,DATA_ASSET_CLASSIFICATION!$A$8:$A$24,0)),"Review"))</f>
        <v>800 Commercial Drive</v>
      </c>
      <c r="N5091" s="350" t="str">
        <f>IF($B5091="Portfolio","Portfolio",IFERROR(INDEX(DATA_ASSET_CLASSIFICATION!$U$8:$U$24,MATCH($C5091,DATA_ASSET_CLASSIFICATION!$A$8:$A$24,0)),"Review"))</f>
        <v>New Build</v>
      </c>
      <c r="O5091" s="350" t="str">
        <f>IF($B5091="Portfolio","Portfolio",IFERROR(INDEX(DATA_ASSET_CLASSIFICATION!$AB$8:$AB$13,MATCH($N5091,DATA_ASSET_CLASSIFICATION!$AA$8:$AA$13,0)),"Review"))</f>
        <v>Bucket 1 · New Build</v>
      </c>
      <c r="P5091" s="350" t="str">
        <f>IF($B5091="Portfolio","Portfolio",IFERROR(INDEX(DATA_ASSET_CLASSIFICATION!$C$8:$C$24,MATCH($C5091,DATA_ASSET_CLASSIFICATION!$A$8:$A$24,0)),"Review"))</f>
        <v>Yes</v>
      </c>
      <c r="Q5091" s="350" t="str">
        <f t="shared" ca="1" si="159"/>
        <v>OK</v>
      </c>
    </row>
    <row r="5092" spans="1:17" ht="30">
      <c r="A5092" s="366" t="s">
        <v>7048</v>
      </c>
      <c r="B5092" s="366" t="s">
        <v>231</v>
      </c>
      <c r="C5092" s="348" t="str">
        <f>DATA_PROPERTY_MASTER!$A$21</f>
        <v>BLD_CD</v>
      </c>
      <c r="D5092" s="380">
        <f>'00_PORTFOLIO ROLLUP'!O$12</f>
        <v>2035</v>
      </c>
      <c r="E5092" s="366" t="s">
        <v>1683</v>
      </c>
      <c r="F5092" s="366" t="s">
        <v>21</v>
      </c>
      <c r="G5092" s="348" t="str">
        <f>"'"&amp;$C5092&amp;"'!$E$45:$Y$45"</f>
        <v>'BLD_CD'!$E$45:$Y$45</v>
      </c>
      <c r="H5092" s="381">
        <f ca="1">IF(IFERROR(INDEX(DATA_PROPERTY_MASTER!$E$5:$E$21,MATCH($C5092,DATA_PROPERTY_MASTER!$A$5:$A$21,0))="Yes",FALSE),IFERROR(INDEX(INDIRECT("'"&amp;$C5092&amp;"'!$E$45:$Y$45"),1,MATCH($D5092,INDIRECT("'"&amp;$C5092&amp;"'!$E$12:$Y$12"),0)),0),0)</f>
        <v>1555052.1938347851</v>
      </c>
      <c r="I5092" s="366" t="s">
        <v>1685</v>
      </c>
      <c r="J5092" s="348" t="str">
        <f t="shared" ca="1" si="158"/>
        <v>OK</v>
      </c>
      <c r="K5092" s="366" t="s">
        <v>1694</v>
      </c>
      <c r="L5092" s="366" t="s">
        <v>2242</v>
      </c>
      <c r="M5092" s="350" t="str">
        <f>IF($B5092="Portfolio","Portfolio",IFERROR(INDEX(DATA_ASSET_CLASSIFICATION!$B$8:$B$24,MATCH($C5092,DATA_ASSET_CLASSIFICATION!$A$8:$A$24,0)),"Review"))</f>
        <v>800 Commercial Drive</v>
      </c>
      <c r="N5092" s="350" t="str">
        <f>IF($B5092="Portfolio","Portfolio",IFERROR(INDEX(DATA_ASSET_CLASSIFICATION!$U$8:$U$24,MATCH($C5092,DATA_ASSET_CLASSIFICATION!$A$8:$A$24,0)),"Review"))</f>
        <v>New Build</v>
      </c>
      <c r="O5092" s="350" t="str">
        <f>IF($B5092="Portfolio","Portfolio",IFERROR(INDEX(DATA_ASSET_CLASSIFICATION!$AB$8:$AB$13,MATCH($N5092,DATA_ASSET_CLASSIFICATION!$AA$8:$AA$13,0)),"Review"))</f>
        <v>Bucket 1 · New Build</v>
      </c>
      <c r="P5092" s="350" t="str">
        <f>IF($B5092="Portfolio","Portfolio",IFERROR(INDEX(DATA_ASSET_CLASSIFICATION!$C$8:$C$24,MATCH($C5092,DATA_ASSET_CLASSIFICATION!$A$8:$A$24,0)),"Review"))</f>
        <v>Yes</v>
      </c>
      <c r="Q5092" s="350" t="str">
        <f t="shared" ca="1" si="159"/>
        <v>OK</v>
      </c>
    </row>
    <row r="5093" spans="1:17" ht="30">
      <c r="A5093" s="366" t="s">
        <v>7049</v>
      </c>
      <c r="B5093" s="366" t="s">
        <v>231</v>
      </c>
      <c r="C5093" s="348" t="str">
        <f>DATA_PROPERTY_MASTER!$A$21</f>
        <v>BLD_CD</v>
      </c>
      <c r="D5093" s="380">
        <f>'00_PORTFOLIO ROLLUP'!O$12</f>
        <v>2035</v>
      </c>
      <c r="E5093" s="366" t="s">
        <v>23</v>
      </c>
      <c r="F5093" s="366" t="s">
        <v>23</v>
      </c>
      <c r="G5093" s="348" t="str">
        <f>"'"&amp;$C5093&amp;"'!$E$48:$Y$48"</f>
        <v>'BLD_CD'!$E$48:$Y$48</v>
      </c>
      <c r="H5093" s="381">
        <f ca="1">IF(IFERROR(INDEX(DATA_PROPERTY_MASTER!$E$5:$E$21,MATCH($C5093,DATA_PROPERTY_MASTER!$A$5:$A$21,0))="Yes",FALSE),IFERROR(INDEX(INDIRECT("'"&amp;$C5093&amp;"'!$E$48:$Y$48"),1,MATCH($D5093,INDIRECT("'"&amp;$C5093&amp;"'!$E$12:$Y$12"),0)),0),0)</f>
        <v>979555.28115311568</v>
      </c>
      <c r="I5093" s="366" t="s">
        <v>1690</v>
      </c>
      <c r="J5093" s="348" t="str">
        <f t="shared" ca="1" si="158"/>
        <v>OK</v>
      </c>
      <c r="K5093" s="366" t="s">
        <v>1706</v>
      </c>
      <c r="L5093" s="366" t="s">
        <v>2244</v>
      </c>
      <c r="M5093" s="350" t="str">
        <f>IF($B5093="Portfolio","Portfolio",IFERROR(INDEX(DATA_ASSET_CLASSIFICATION!$B$8:$B$24,MATCH($C5093,DATA_ASSET_CLASSIFICATION!$A$8:$A$24,0)),"Review"))</f>
        <v>800 Commercial Drive</v>
      </c>
      <c r="N5093" s="350" t="str">
        <f>IF($B5093="Portfolio","Portfolio",IFERROR(INDEX(DATA_ASSET_CLASSIFICATION!$U$8:$U$24,MATCH($C5093,DATA_ASSET_CLASSIFICATION!$A$8:$A$24,0)),"Review"))</f>
        <v>New Build</v>
      </c>
      <c r="O5093" s="350" t="str">
        <f>IF($B5093="Portfolio","Portfolio",IFERROR(INDEX(DATA_ASSET_CLASSIFICATION!$AB$8:$AB$13,MATCH($N5093,DATA_ASSET_CLASSIFICATION!$AA$8:$AA$13,0)),"Review"))</f>
        <v>Bucket 1 · New Build</v>
      </c>
      <c r="P5093" s="350" t="str">
        <f>IF($B5093="Portfolio","Portfolio",IFERROR(INDEX(DATA_ASSET_CLASSIFICATION!$C$8:$C$24,MATCH($C5093,DATA_ASSET_CLASSIFICATION!$A$8:$A$24,0)),"Review"))</f>
        <v>Yes</v>
      </c>
      <c r="Q5093" s="350" t="str">
        <f t="shared" ca="1" si="159"/>
        <v>OK</v>
      </c>
    </row>
    <row r="5094" spans="1:17" ht="30">
      <c r="A5094" s="366" t="s">
        <v>7050</v>
      </c>
      <c r="B5094" s="366" t="s">
        <v>231</v>
      </c>
      <c r="C5094" s="348" t="str">
        <f>DATA_PROPERTY_MASTER!$A$21</f>
        <v>BLD_CD</v>
      </c>
      <c r="D5094" s="380">
        <f>'00_PORTFOLIO ROLLUP'!O$12</f>
        <v>2035</v>
      </c>
      <c r="E5094" s="366" t="s">
        <v>1683</v>
      </c>
      <c r="F5094" s="366" t="s">
        <v>25</v>
      </c>
      <c r="G5094" s="348" t="str">
        <f>"'"&amp;$C5094&amp;"'!$E$52:$Y$52"</f>
        <v>'BLD_CD'!$E$52:$Y$52</v>
      </c>
      <c r="H5094" s="381">
        <f ca="1">IF(IFERROR(INDEX(DATA_PROPERTY_MASTER!$E$5:$E$21,MATCH($C5094,DATA_PROPERTY_MASTER!$A$5:$A$21,0))="Yes",FALSE),IFERROR(INDEX(INDIRECT("'"&amp;$C5094&amp;"'!$E$52:$Y$52"),1,MATCH($D5094,INDIRECT("'"&amp;$C5094&amp;"'!$E$12:$Y$12"),0)),0),0)</f>
        <v>592501.88484059623</v>
      </c>
      <c r="I5094" s="366" t="s">
        <v>1685</v>
      </c>
      <c r="J5094" s="348" t="str">
        <f t="shared" ca="1" si="158"/>
        <v>OK</v>
      </c>
      <c r="K5094" s="366" t="s">
        <v>1710</v>
      </c>
      <c r="L5094" s="366" t="s">
        <v>2246</v>
      </c>
      <c r="M5094" s="350" t="str">
        <f>IF($B5094="Portfolio","Portfolio",IFERROR(INDEX(DATA_ASSET_CLASSIFICATION!$B$8:$B$24,MATCH($C5094,DATA_ASSET_CLASSIFICATION!$A$8:$A$24,0)),"Review"))</f>
        <v>800 Commercial Drive</v>
      </c>
      <c r="N5094" s="350" t="str">
        <f>IF($B5094="Portfolio","Portfolio",IFERROR(INDEX(DATA_ASSET_CLASSIFICATION!$U$8:$U$24,MATCH($C5094,DATA_ASSET_CLASSIFICATION!$A$8:$A$24,0)),"Review"))</f>
        <v>New Build</v>
      </c>
      <c r="O5094" s="350" t="str">
        <f>IF($B5094="Portfolio","Portfolio",IFERROR(INDEX(DATA_ASSET_CLASSIFICATION!$AB$8:$AB$13,MATCH($N5094,DATA_ASSET_CLASSIFICATION!$AA$8:$AA$13,0)),"Review"))</f>
        <v>Bucket 1 · New Build</v>
      </c>
      <c r="P5094" s="350" t="str">
        <f>IF($B5094="Portfolio","Portfolio",IFERROR(INDEX(DATA_ASSET_CLASSIFICATION!$C$8:$C$24,MATCH($C5094,DATA_ASSET_CLASSIFICATION!$A$8:$A$24,0)),"Review"))</f>
        <v>Yes</v>
      </c>
      <c r="Q5094" s="350" t="str">
        <f t="shared" ca="1" si="159"/>
        <v>OK</v>
      </c>
    </row>
    <row r="5095" spans="1:17" ht="30">
      <c r="A5095" s="366" t="s">
        <v>7051</v>
      </c>
      <c r="B5095" s="366" t="s">
        <v>231</v>
      </c>
      <c r="C5095" s="348" t="str">
        <f>DATA_PROPERTY_MASTER!$A$21</f>
        <v>BLD_CD</v>
      </c>
      <c r="D5095" s="380">
        <f>'00_PORTFOLIO ROLLUP'!O$12</f>
        <v>2035</v>
      </c>
      <c r="E5095" s="366" t="s">
        <v>1683</v>
      </c>
      <c r="F5095" s="366" t="s">
        <v>27</v>
      </c>
      <c r="G5095" s="348" t="str">
        <f>"'"&amp;$C5095&amp;"'!$E$54:$Y$54"</f>
        <v>'BLD_CD'!$E$54:$Y$54</v>
      </c>
      <c r="H5095" s="381">
        <f ca="1">IF(IFERROR(INDEX(DATA_PROPERTY_MASTER!$E$5:$E$21,MATCH($C5095,DATA_PROPERTY_MASTER!$A$5:$A$21,0))="Yes",FALSE),IFERROR(INDEX(INDIRECT("'"&amp;$C5095&amp;"'!$E$54:$Y$54"),1,MATCH($D5095,INDIRECT("'"&amp;$C5095&amp;"'!$E$12:$Y$12"),0)),0),0)</f>
        <v>355501.13090435771</v>
      </c>
      <c r="I5095" s="366" t="s">
        <v>1690</v>
      </c>
      <c r="J5095" s="348" t="str">
        <f t="shared" ca="1" si="158"/>
        <v>OK</v>
      </c>
      <c r="K5095" s="366" t="s">
        <v>1714</v>
      </c>
      <c r="L5095" s="366" t="s">
        <v>2248</v>
      </c>
      <c r="M5095" s="350" t="str">
        <f>IF($B5095="Portfolio","Portfolio",IFERROR(INDEX(DATA_ASSET_CLASSIFICATION!$B$8:$B$24,MATCH($C5095,DATA_ASSET_CLASSIFICATION!$A$8:$A$24,0)),"Review"))</f>
        <v>800 Commercial Drive</v>
      </c>
      <c r="N5095" s="350" t="str">
        <f>IF($B5095="Portfolio","Portfolio",IFERROR(INDEX(DATA_ASSET_CLASSIFICATION!$U$8:$U$24,MATCH($C5095,DATA_ASSET_CLASSIFICATION!$A$8:$A$24,0)),"Review"))</f>
        <v>New Build</v>
      </c>
      <c r="O5095" s="350" t="str">
        <f>IF($B5095="Portfolio","Portfolio",IFERROR(INDEX(DATA_ASSET_CLASSIFICATION!$AB$8:$AB$13,MATCH($N5095,DATA_ASSET_CLASSIFICATION!$AA$8:$AA$13,0)),"Review"))</f>
        <v>Bucket 1 · New Build</v>
      </c>
      <c r="P5095" s="350" t="str">
        <f>IF($B5095="Portfolio","Portfolio",IFERROR(INDEX(DATA_ASSET_CLASSIFICATION!$C$8:$C$24,MATCH($C5095,DATA_ASSET_CLASSIFICATION!$A$8:$A$24,0)),"Review"))</f>
        <v>Yes</v>
      </c>
      <c r="Q5095" s="350" t="str">
        <f t="shared" ca="1" si="159"/>
        <v>OK</v>
      </c>
    </row>
    <row r="5096" spans="1:17" ht="30">
      <c r="A5096" s="366" t="s">
        <v>7052</v>
      </c>
      <c r="B5096" s="366" t="s">
        <v>231</v>
      </c>
      <c r="C5096" s="348" t="str">
        <f>DATA_PROPERTY_MASTER!$A$21</f>
        <v>BLD_CD</v>
      </c>
      <c r="D5096" s="380">
        <f>'00_PORTFOLIO ROLLUP'!O$12</f>
        <v>2035</v>
      </c>
      <c r="E5096" s="366" t="s">
        <v>1683</v>
      </c>
      <c r="F5096" s="366" t="s">
        <v>29</v>
      </c>
      <c r="G5096" s="348" t="str">
        <f>"'"&amp;$C5096&amp;"'!$E$56:$Y$56"</f>
        <v>'BLD_CD'!$E$56:$Y$56</v>
      </c>
      <c r="H5096" s="381">
        <f ca="1">IF(IFERROR(INDEX(DATA_PROPERTY_MASTER!$E$5:$E$21,MATCH($C5096,DATA_PROPERTY_MASTER!$A$5:$A$21,0))="Yes",FALSE),IFERROR(INDEX(INDIRECT("'"&amp;$C5096&amp;"'!$E$56:$Y$56"),1,MATCH($D5096,INDIRECT("'"&amp;$C5096&amp;"'!$E$12:$Y$12"),0)),0),0)</f>
        <v>237000.75393623853</v>
      </c>
      <c r="I5096" s="366" t="s">
        <v>1685</v>
      </c>
      <c r="J5096" s="348" t="str">
        <f t="shared" ca="1" si="158"/>
        <v>OK</v>
      </c>
      <c r="K5096" s="366" t="s">
        <v>1718</v>
      </c>
      <c r="L5096" s="366" t="s">
        <v>2250</v>
      </c>
      <c r="M5096" s="350" t="str">
        <f>IF($B5096="Portfolio","Portfolio",IFERROR(INDEX(DATA_ASSET_CLASSIFICATION!$B$8:$B$24,MATCH($C5096,DATA_ASSET_CLASSIFICATION!$A$8:$A$24,0)),"Review"))</f>
        <v>800 Commercial Drive</v>
      </c>
      <c r="N5096" s="350" t="str">
        <f>IF($B5096="Portfolio","Portfolio",IFERROR(INDEX(DATA_ASSET_CLASSIFICATION!$U$8:$U$24,MATCH($C5096,DATA_ASSET_CLASSIFICATION!$A$8:$A$24,0)),"Review"))</f>
        <v>New Build</v>
      </c>
      <c r="O5096" s="350" t="str">
        <f>IF($B5096="Portfolio","Portfolio",IFERROR(INDEX(DATA_ASSET_CLASSIFICATION!$AB$8:$AB$13,MATCH($N5096,DATA_ASSET_CLASSIFICATION!$AA$8:$AA$13,0)),"Review"))</f>
        <v>Bucket 1 · New Build</v>
      </c>
      <c r="P5096" s="350" t="str">
        <f>IF($B5096="Portfolio","Portfolio",IFERROR(INDEX(DATA_ASSET_CLASSIFICATION!$C$8:$C$24,MATCH($C5096,DATA_ASSET_CLASSIFICATION!$A$8:$A$24,0)),"Review"))</f>
        <v>Yes</v>
      </c>
      <c r="Q5096" s="350" t="str">
        <f t="shared" ca="1" si="159"/>
        <v>OK</v>
      </c>
    </row>
    <row r="5097" spans="1:17" ht="30">
      <c r="A5097" s="366" t="s">
        <v>7053</v>
      </c>
      <c r="B5097" s="366" t="s">
        <v>231</v>
      </c>
      <c r="C5097" s="348" t="str">
        <f>DATA_PROPERTY_MASTER!$A$21</f>
        <v>BLD_CD</v>
      </c>
      <c r="D5097" s="380">
        <f>'00_PORTFOLIO ROLLUP'!O$12</f>
        <v>2035</v>
      </c>
      <c r="E5097" s="366" t="s">
        <v>1721</v>
      </c>
      <c r="F5097" s="366" t="s">
        <v>31</v>
      </c>
      <c r="G5097" s="348" t="str">
        <f>"'"&amp;$C5097&amp;"'!$E$61:$Y$61"</f>
        <v>'BLD_CD'!$E$61:$Y$61</v>
      </c>
      <c r="H5097" s="381">
        <f ca="1">IF(IFERROR(INDEX(DATA_PROPERTY_MASTER!$E$5:$E$21,MATCH($C5097,DATA_PROPERTY_MASTER!$A$5:$A$21,0))="Yes",FALSE),IFERROR(INDEX(INDIRECT("'"&amp;$C5097&amp;"'!$E$61:$Y$61"),1,MATCH($D5097,INDIRECT("'"&amp;$C5097&amp;"'!$E$12:$Y$12"),0)),0),0)</f>
        <v>0</v>
      </c>
      <c r="I5097" s="366" t="s">
        <v>1690</v>
      </c>
      <c r="J5097" s="348" t="str">
        <f t="shared" ca="1" si="158"/>
        <v>OK</v>
      </c>
      <c r="K5097" s="366" t="s">
        <v>1723</v>
      </c>
      <c r="L5097" s="366" t="s">
        <v>2252</v>
      </c>
      <c r="M5097" s="350" t="str">
        <f>IF($B5097="Portfolio","Portfolio",IFERROR(INDEX(DATA_ASSET_CLASSIFICATION!$B$8:$B$24,MATCH($C5097,DATA_ASSET_CLASSIFICATION!$A$8:$A$24,0)),"Review"))</f>
        <v>800 Commercial Drive</v>
      </c>
      <c r="N5097" s="350" t="str">
        <f>IF($B5097="Portfolio","Portfolio",IFERROR(INDEX(DATA_ASSET_CLASSIFICATION!$U$8:$U$24,MATCH($C5097,DATA_ASSET_CLASSIFICATION!$A$8:$A$24,0)),"Review"))</f>
        <v>New Build</v>
      </c>
      <c r="O5097" s="350" t="str">
        <f>IF($B5097="Portfolio","Portfolio",IFERROR(INDEX(DATA_ASSET_CLASSIFICATION!$AB$8:$AB$13,MATCH($N5097,DATA_ASSET_CLASSIFICATION!$AA$8:$AA$13,0)),"Review"))</f>
        <v>Bucket 1 · New Build</v>
      </c>
      <c r="P5097" s="350" t="str">
        <f>IF($B5097="Portfolio","Portfolio",IFERROR(INDEX(DATA_ASSET_CLASSIFICATION!$C$8:$C$24,MATCH($C5097,DATA_ASSET_CLASSIFICATION!$A$8:$A$24,0)),"Review"))</f>
        <v>Yes</v>
      </c>
      <c r="Q5097" s="350" t="str">
        <f t="shared" ca="1" si="159"/>
        <v>OK</v>
      </c>
    </row>
    <row r="5098" spans="1:17" ht="30">
      <c r="A5098" s="366" t="s">
        <v>7054</v>
      </c>
      <c r="B5098" s="366" t="s">
        <v>231</v>
      </c>
      <c r="C5098" s="348" t="str">
        <f>DATA_PROPERTY_MASTER!$A$21</f>
        <v>BLD_CD</v>
      </c>
      <c r="D5098" s="380">
        <f>'00_PORTFOLIO ROLLUP'!O$12</f>
        <v>2035</v>
      </c>
      <c r="E5098" s="366" t="s">
        <v>1721</v>
      </c>
      <c r="F5098" s="366" t="s">
        <v>33</v>
      </c>
      <c r="G5098" s="348" t="str">
        <f>"'"&amp;$C5098&amp;"'!$E$62:$Y$62"</f>
        <v>'BLD_CD'!$E$62:$Y$62</v>
      </c>
      <c r="H5098" s="381">
        <f ca="1">IF(IFERROR(INDEX(DATA_PROPERTY_MASTER!$E$5:$E$21,MATCH($C5098,DATA_PROPERTY_MASTER!$A$5:$A$21,0))="Yes",FALSE),IFERROR(INDEX(INDIRECT("'"&amp;$C5098&amp;"'!$E$62:$Y$62"),1,MATCH($D5098,INDIRECT("'"&amp;$C5098&amp;"'!$E$12:$Y$12"),0)),0),0)</f>
        <v>0</v>
      </c>
      <c r="I5098" s="366" t="s">
        <v>1685</v>
      </c>
      <c r="J5098" s="348" t="str">
        <f t="shared" ca="1" si="158"/>
        <v>OK</v>
      </c>
      <c r="K5098" s="366" t="s">
        <v>1727</v>
      </c>
      <c r="L5098" s="366" t="s">
        <v>2254</v>
      </c>
      <c r="M5098" s="350" t="str">
        <f>IF($B5098="Portfolio","Portfolio",IFERROR(INDEX(DATA_ASSET_CLASSIFICATION!$B$8:$B$24,MATCH($C5098,DATA_ASSET_CLASSIFICATION!$A$8:$A$24,0)),"Review"))</f>
        <v>800 Commercial Drive</v>
      </c>
      <c r="N5098" s="350" t="str">
        <f>IF($B5098="Portfolio","Portfolio",IFERROR(INDEX(DATA_ASSET_CLASSIFICATION!$U$8:$U$24,MATCH($C5098,DATA_ASSET_CLASSIFICATION!$A$8:$A$24,0)),"Review"))</f>
        <v>New Build</v>
      </c>
      <c r="O5098" s="350" t="str">
        <f>IF($B5098="Portfolio","Portfolio",IFERROR(INDEX(DATA_ASSET_CLASSIFICATION!$AB$8:$AB$13,MATCH($N5098,DATA_ASSET_CLASSIFICATION!$AA$8:$AA$13,0)),"Review"))</f>
        <v>Bucket 1 · New Build</v>
      </c>
      <c r="P5098" s="350" t="str">
        <f>IF($B5098="Portfolio","Portfolio",IFERROR(INDEX(DATA_ASSET_CLASSIFICATION!$C$8:$C$24,MATCH($C5098,DATA_ASSET_CLASSIFICATION!$A$8:$A$24,0)),"Review"))</f>
        <v>Yes</v>
      </c>
      <c r="Q5098" s="350" t="str">
        <f t="shared" ca="1" si="159"/>
        <v>OK</v>
      </c>
    </row>
    <row r="5099" spans="1:17" ht="30">
      <c r="A5099" s="366" t="s">
        <v>7055</v>
      </c>
      <c r="B5099" s="366" t="s">
        <v>231</v>
      </c>
      <c r="C5099" s="348" t="str">
        <f>DATA_PROPERTY_MASTER!$A$21</f>
        <v>BLD_CD</v>
      </c>
      <c r="D5099" s="380">
        <f>'00_PORTFOLIO ROLLUP'!O$12</f>
        <v>2035</v>
      </c>
      <c r="E5099" s="366" t="s">
        <v>1721</v>
      </c>
      <c r="F5099" s="366" t="s">
        <v>35</v>
      </c>
      <c r="G5099" s="348" t="str">
        <f>"'"&amp;$C5099&amp;"'!$E$63:$Y$63"</f>
        <v>'BLD_CD'!$E$63:$Y$63</v>
      </c>
      <c r="H5099" s="381">
        <f ca="1">IF(IFERROR(INDEX(DATA_PROPERTY_MASTER!$E$5:$E$21,MATCH($C5099,DATA_PROPERTY_MASTER!$A$5:$A$21,0))="Yes",FALSE),IFERROR(INDEX(INDIRECT("'"&amp;$C5099&amp;"'!$E$63:$Y$63"),1,MATCH($D5099,INDIRECT("'"&amp;$C5099&amp;"'!$E$12:$Y$12"),0)),0),0)</f>
        <v>0</v>
      </c>
      <c r="I5099" s="366" t="s">
        <v>1731</v>
      </c>
      <c r="J5099" s="348" t="str">
        <f t="shared" ca="1" si="158"/>
        <v>OK</v>
      </c>
      <c r="K5099" s="366" t="s">
        <v>1732</v>
      </c>
      <c r="L5099" s="366" t="s">
        <v>2256</v>
      </c>
      <c r="M5099" s="350" t="str">
        <f>IF($B5099="Portfolio","Portfolio",IFERROR(INDEX(DATA_ASSET_CLASSIFICATION!$B$8:$B$24,MATCH($C5099,DATA_ASSET_CLASSIFICATION!$A$8:$A$24,0)),"Review"))</f>
        <v>800 Commercial Drive</v>
      </c>
      <c r="N5099" s="350" t="str">
        <f>IF($B5099="Portfolio","Portfolio",IFERROR(INDEX(DATA_ASSET_CLASSIFICATION!$U$8:$U$24,MATCH($C5099,DATA_ASSET_CLASSIFICATION!$A$8:$A$24,0)),"Review"))</f>
        <v>New Build</v>
      </c>
      <c r="O5099" s="350" t="str">
        <f>IF($B5099="Portfolio","Portfolio",IFERROR(INDEX(DATA_ASSET_CLASSIFICATION!$AB$8:$AB$13,MATCH($N5099,DATA_ASSET_CLASSIFICATION!$AA$8:$AA$13,0)),"Review"))</f>
        <v>Bucket 1 · New Build</v>
      </c>
      <c r="P5099" s="350" t="str">
        <f>IF($B5099="Portfolio","Portfolio",IFERROR(INDEX(DATA_ASSET_CLASSIFICATION!$C$8:$C$24,MATCH($C5099,DATA_ASSET_CLASSIFICATION!$A$8:$A$24,0)),"Review"))</f>
        <v>Yes</v>
      </c>
      <c r="Q5099" s="350" t="str">
        <f t="shared" ca="1" si="159"/>
        <v>OK</v>
      </c>
    </row>
    <row r="5100" spans="1:17" ht="30">
      <c r="A5100" s="366" t="s">
        <v>7056</v>
      </c>
      <c r="B5100" s="366" t="s">
        <v>231</v>
      </c>
      <c r="C5100" s="348" t="str">
        <f>DATA_PROPERTY_MASTER!$A$21</f>
        <v>BLD_CD</v>
      </c>
      <c r="D5100" s="380">
        <f>'00_PORTFOLIO ROLLUP'!O$12</f>
        <v>2035</v>
      </c>
      <c r="E5100" s="366" t="s">
        <v>1721</v>
      </c>
      <c r="F5100" s="366" t="s">
        <v>37</v>
      </c>
      <c r="G5100" s="348" t="str">
        <f>"'"&amp;$C5100&amp;"'!$E$63:$Y$63"</f>
        <v>'BLD_CD'!$E$63:$Y$63</v>
      </c>
      <c r="H5100" s="381">
        <f ca="1">IF(IFERROR(INDEX(DATA_PROPERTY_MASTER!$E$5:$E$21,MATCH($C5100,DATA_PROPERTY_MASTER!$A$5:$A$21,0))="Yes",FALSE),MAX(IFERROR(INDEX(INDIRECT("'"&amp;$C5100&amp;"'!$E$63:$Y$63"),1,MATCH($D5100,INDIRECT("'"&amp;$C5100&amp;"'!$E$12:$Y$12"),0)),0),0),0)</f>
        <v>0</v>
      </c>
      <c r="I5100" s="366" t="s">
        <v>1685</v>
      </c>
      <c r="J5100" s="348" t="str">
        <f t="shared" ca="1" si="158"/>
        <v>OK</v>
      </c>
      <c r="K5100" s="366" t="s">
        <v>1735</v>
      </c>
      <c r="L5100" s="366" t="s">
        <v>2258</v>
      </c>
      <c r="M5100" s="350" t="str">
        <f>IF($B5100="Portfolio","Portfolio",IFERROR(INDEX(DATA_ASSET_CLASSIFICATION!$B$8:$B$24,MATCH($C5100,DATA_ASSET_CLASSIFICATION!$A$8:$A$24,0)),"Review"))</f>
        <v>800 Commercial Drive</v>
      </c>
      <c r="N5100" s="350" t="str">
        <f>IF($B5100="Portfolio","Portfolio",IFERROR(INDEX(DATA_ASSET_CLASSIFICATION!$U$8:$U$24,MATCH($C5100,DATA_ASSET_CLASSIFICATION!$A$8:$A$24,0)),"Review"))</f>
        <v>New Build</v>
      </c>
      <c r="O5100" s="350" t="str">
        <f>IF($B5100="Portfolio","Portfolio",IFERROR(INDEX(DATA_ASSET_CLASSIFICATION!$AB$8:$AB$13,MATCH($N5100,DATA_ASSET_CLASSIFICATION!$AA$8:$AA$13,0)),"Review"))</f>
        <v>Bucket 1 · New Build</v>
      </c>
      <c r="P5100" s="350" t="str">
        <f>IF($B5100="Portfolio","Portfolio",IFERROR(INDEX(DATA_ASSET_CLASSIFICATION!$C$8:$C$24,MATCH($C5100,DATA_ASSET_CLASSIFICATION!$A$8:$A$24,0)),"Review"))</f>
        <v>Yes</v>
      </c>
      <c r="Q5100" s="350" t="str">
        <f t="shared" ca="1" si="159"/>
        <v>OK</v>
      </c>
    </row>
    <row r="5101" spans="1:17" ht="30">
      <c r="A5101" s="366" t="s">
        <v>7057</v>
      </c>
      <c r="B5101" s="366" t="s">
        <v>231</v>
      </c>
      <c r="C5101" s="348" t="str">
        <f>DATA_PROPERTY_MASTER!$A$21</f>
        <v>BLD_CD</v>
      </c>
      <c r="D5101" s="380">
        <f>'00_PORTFOLIO ROLLUP'!O$12</f>
        <v>2035</v>
      </c>
      <c r="E5101" s="366" t="s">
        <v>1721</v>
      </c>
      <c r="F5101" s="366" t="s">
        <v>39</v>
      </c>
      <c r="G5101" s="348" t="str">
        <f>"'"&amp;$C5101&amp;"'!$E$63:$Y$63"</f>
        <v>'BLD_CD'!$E$63:$Y$63</v>
      </c>
      <c r="H5101" s="381">
        <f ca="1">IF(IFERROR(INDEX(DATA_PROPERTY_MASTER!$E$5:$E$21,MATCH($C5101,DATA_PROPERTY_MASTER!$A$5:$A$21,0))="Yes",FALSE),MAX(-IFERROR(INDEX(INDIRECT("'"&amp;$C5101&amp;"'!$E$63:$Y$63"),1,MATCH($D5101,INDIRECT("'"&amp;$C5101&amp;"'!$E$12:$Y$12"),0)),0),0),0)</f>
        <v>0</v>
      </c>
      <c r="I5101" s="366" t="s">
        <v>1690</v>
      </c>
      <c r="J5101" s="348" t="str">
        <f t="shared" ca="1" si="158"/>
        <v>OK</v>
      </c>
      <c r="K5101" s="366" t="s">
        <v>1738</v>
      </c>
      <c r="L5101" s="366" t="s">
        <v>2260</v>
      </c>
      <c r="M5101" s="350" t="str">
        <f>IF($B5101="Portfolio","Portfolio",IFERROR(INDEX(DATA_ASSET_CLASSIFICATION!$B$8:$B$24,MATCH($C5101,DATA_ASSET_CLASSIFICATION!$A$8:$A$24,0)),"Review"))</f>
        <v>800 Commercial Drive</v>
      </c>
      <c r="N5101" s="350" t="str">
        <f>IF($B5101="Portfolio","Portfolio",IFERROR(INDEX(DATA_ASSET_CLASSIFICATION!$U$8:$U$24,MATCH($C5101,DATA_ASSET_CLASSIFICATION!$A$8:$A$24,0)),"Review"))</f>
        <v>New Build</v>
      </c>
      <c r="O5101" s="350" t="str">
        <f>IF($B5101="Portfolio","Portfolio",IFERROR(INDEX(DATA_ASSET_CLASSIFICATION!$AB$8:$AB$13,MATCH($N5101,DATA_ASSET_CLASSIFICATION!$AA$8:$AA$13,0)),"Review"))</f>
        <v>Bucket 1 · New Build</v>
      </c>
      <c r="P5101" s="350" t="str">
        <f>IF($B5101="Portfolio","Portfolio",IFERROR(INDEX(DATA_ASSET_CLASSIFICATION!$C$8:$C$24,MATCH($C5101,DATA_ASSET_CLASSIFICATION!$A$8:$A$24,0)),"Review"))</f>
        <v>Yes</v>
      </c>
      <c r="Q5101" s="350" t="str">
        <f t="shared" ca="1" si="159"/>
        <v>OK</v>
      </c>
    </row>
    <row r="5102" spans="1:17" ht="30">
      <c r="A5102" s="366" t="s">
        <v>7058</v>
      </c>
      <c r="B5102" s="366" t="s">
        <v>231</v>
      </c>
      <c r="C5102" s="348" t="str">
        <f>DATA_PROPERTY_MASTER!$A$21</f>
        <v>BLD_CD</v>
      </c>
      <c r="D5102" s="380">
        <f>'00_PORTFOLIO ROLLUP'!O$12</f>
        <v>2035</v>
      </c>
      <c r="E5102" s="366" t="s">
        <v>1741</v>
      </c>
      <c r="F5102" s="366" t="s">
        <v>41</v>
      </c>
      <c r="G5102" s="348" t="str">
        <f>"'"&amp;$C5102&amp;"'!rows 56 + positive row 63"</f>
        <v>'BLD_CD'!rows 56 + positive row 63</v>
      </c>
      <c r="H5102" s="381">
        <f ca="1">IF(IFERROR(INDEX(DATA_PROPERTY_MASTER!$E$5:$E$21,MATCH($C5102,DATA_PROPERTY_MASTER!$A$5:$A$21,0))="Yes",FALSE),IFERROR(INDEX(INDIRECT("'"&amp;$C5102&amp;"'!$E$56:$Y$56"),1,MATCH($D5102,INDIRECT("'"&amp;$C5102&amp;"'!$E$12:$Y$12"),0)),0)+MAX(IFERROR(INDEX(INDIRECT("'"&amp;$C5102&amp;"'!$E$63:$Y$63"),1,MATCH($D5102,INDIRECT("'"&amp;$C5102&amp;"'!$E$12:$Y$12"),0)),0),0),0)</f>
        <v>237000.75393623853</v>
      </c>
      <c r="I5102" s="366" t="s">
        <v>1685</v>
      </c>
      <c r="J5102" s="348" t="str">
        <f t="shared" ca="1" si="158"/>
        <v>OK</v>
      </c>
      <c r="K5102" s="366" t="s">
        <v>1742</v>
      </c>
      <c r="L5102" s="366" t="s">
        <v>2262</v>
      </c>
      <c r="M5102" s="350" t="str">
        <f>IF($B5102="Portfolio","Portfolio",IFERROR(INDEX(DATA_ASSET_CLASSIFICATION!$B$8:$B$24,MATCH($C5102,DATA_ASSET_CLASSIFICATION!$A$8:$A$24,0)),"Review"))</f>
        <v>800 Commercial Drive</v>
      </c>
      <c r="N5102" s="350" t="str">
        <f>IF($B5102="Portfolio","Portfolio",IFERROR(INDEX(DATA_ASSET_CLASSIFICATION!$U$8:$U$24,MATCH($C5102,DATA_ASSET_CLASSIFICATION!$A$8:$A$24,0)),"Review"))</f>
        <v>New Build</v>
      </c>
      <c r="O5102" s="350" t="str">
        <f>IF($B5102="Portfolio","Portfolio",IFERROR(INDEX(DATA_ASSET_CLASSIFICATION!$AB$8:$AB$13,MATCH($N5102,DATA_ASSET_CLASSIFICATION!$AA$8:$AA$13,0)),"Review"))</f>
        <v>Bucket 1 · New Build</v>
      </c>
      <c r="P5102" s="350" t="str">
        <f>IF($B5102="Portfolio","Portfolio",IFERROR(INDEX(DATA_ASSET_CLASSIFICATION!$C$8:$C$24,MATCH($C5102,DATA_ASSET_CLASSIFICATION!$A$8:$A$24,0)),"Review"))</f>
        <v>Yes</v>
      </c>
      <c r="Q5102" s="350" t="str">
        <f t="shared" ca="1" si="159"/>
        <v>OK</v>
      </c>
    </row>
    <row r="5103" spans="1:17" ht="30">
      <c r="A5103" s="366" t="s">
        <v>7059</v>
      </c>
      <c r="B5103" s="366" t="s">
        <v>231</v>
      </c>
      <c r="C5103" s="348" t="str">
        <f>DATA_PROPERTY_MASTER!$A$21</f>
        <v>BLD_CD</v>
      </c>
      <c r="D5103" s="380">
        <f>'00_PORTFOLIO ROLLUP'!O$12</f>
        <v>2035</v>
      </c>
      <c r="E5103" s="366" t="s">
        <v>1741</v>
      </c>
      <c r="F5103" s="366" t="s">
        <v>43</v>
      </c>
      <c r="G5103" s="348" t="str">
        <f>"'"&amp;$C5103&amp;"'!$E$68:$Y$68"</f>
        <v>'BLD_CD'!$E$68:$Y$68</v>
      </c>
      <c r="H5103" s="381">
        <f ca="1">IF(IFERROR(INDEX(DATA_PROPERTY_MASTER!$E$5:$E$21,MATCH($C5103,DATA_PROPERTY_MASTER!$A$5:$A$21,0))="Yes",FALSE),IFERROR(INDEX(INDIRECT("'"&amp;$C5103&amp;"'!$E$68:$Y$68"),1,MATCH($D5103,INDIRECT("'"&amp;$C5103&amp;"'!$E$12:$Y$12"),0)),0),0)</f>
        <v>237000.75393623853</v>
      </c>
      <c r="I5103" s="366" t="s">
        <v>1731</v>
      </c>
      <c r="J5103" s="348" t="str">
        <f t="shared" ca="1" si="158"/>
        <v>OK</v>
      </c>
      <c r="K5103" s="366" t="s">
        <v>1746</v>
      </c>
      <c r="L5103" s="366" t="s">
        <v>2264</v>
      </c>
      <c r="M5103" s="350" t="str">
        <f>IF($B5103="Portfolio","Portfolio",IFERROR(INDEX(DATA_ASSET_CLASSIFICATION!$B$8:$B$24,MATCH($C5103,DATA_ASSET_CLASSIFICATION!$A$8:$A$24,0)),"Review"))</f>
        <v>800 Commercial Drive</v>
      </c>
      <c r="N5103" s="350" t="str">
        <f>IF($B5103="Portfolio","Portfolio",IFERROR(INDEX(DATA_ASSET_CLASSIFICATION!$U$8:$U$24,MATCH($C5103,DATA_ASSET_CLASSIFICATION!$A$8:$A$24,0)),"Review"))</f>
        <v>New Build</v>
      </c>
      <c r="O5103" s="350" t="str">
        <f>IF($B5103="Portfolio","Portfolio",IFERROR(INDEX(DATA_ASSET_CLASSIFICATION!$AB$8:$AB$13,MATCH($N5103,DATA_ASSET_CLASSIFICATION!$AA$8:$AA$13,0)),"Review"))</f>
        <v>Bucket 1 · New Build</v>
      </c>
      <c r="P5103" s="350" t="str">
        <f>IF($B5103="Portfolio","Portfolio",IFERROR(INDEX(DATA_ASSET_CLASSIFICATION!$C$8:$C$24,MATCH($C5103,DATA_ASSET_CLASSIFICATION!$A$8:$A$24,0)),"Review"))</f>
        <v>Yes</v>
      </c>
      <c r="Q5103" s="350" t="str">
        <f t="shared" ca="1" si="159"/>
        <v>OK</v>
      </c>
    </row>
    <row r="5104" spans="1:17" ht="30">
      <c r="A5104" s="366" t="s">
        <v>7060</v>
      </c>
      <c r="B5104" s="366" t="s">
        <v>231</v>
      </c>
      <c r="C5104" s="348" t="str">
        <f>DATA_PROPERTY_MASTER!$A$21</f>
        <v>BLD_CD</v>
      </c>
      <c r="D5104" s="380">
        <f>'00_PORTFOLIO ROLLUP'!O$12</f>
        <v>2035</v>
      </c>
      <c r="E5104" s="366" t="s">
        <v>1741</v>
      </c>
      <c r="F5104" s="366" t="s">
        <v>1749</v>
      </c>
      <c r="G5104" s="348" t="str">
        <f>"'"&amp;$C5104&amp;"'!rows 56, 63, 68"</f>
        <v>'BLD_CD'!rows 56, 63, 68</v>
      </c>
      <c r="H5104" s="381">
        <f ca="1">IF(IFERROR(INDEX(DATA_PROPERTY_MASTER!$E$5:$E$21,MATCH($C5104,DATA_PROPERTY_MASTER!$A$5:$A$21,0))="Yes",FALSE),(IFERROR(INDEX(INDIRECT("'"&amp;$C5104&amp;"'!$E$56:$Y$56"),1,MATCH($D5104,INDIRECT("'"&amp;$C5104&amp;"'!$E$12:$Y$12"),0)),0)+MAX(IFERROR(INDEX(INDIRECT("'"&amp;$C5104&amp;"'!$E$63:$Y$63"),1,MATCH($D5104,INDIRECT("'"&amp;$C5104&amp;"'!$E$12:$Y$12"),0)),0),0))-(IFERROR(INDEX(INDIRECT("'"&amp;$C5104&amp;"'!$E$68:$Y$68"),1,MATCH($D5104,INDIRECT("'"&amp;$C5104&amp;"'!$E$12:$Y$12"),0)),0)),0)</f>
        <v>0</v>
      </c>
      <c r="I5104" s="366" t="s">
        <v>1750</v>
      </c>
      <c r="J5104" s="348" t="str">
        <f t="shared" ca="1" si="158"/>
        <v>OK</v>
      </c>
      <c r="K5104" s="366" t="s">
        <v>1751</v>
      </c>
      <c r="L5104" s="366" t="s">
        <v>2266</v>
      </c>
      <c r="M5104" s="350" t="str">
        <f>IF($B5104="Portfolio","Portfolio",IFERROR(INDEX(DATA_ASSET_CLASSIFICATION!$B$8:$B$24,MATCH($C5104,DATA_ASSET_CLASSIFICATION!$A$8:$A$24,0)),"Review"))</f>
        <v>800 Commercial Drive</v>
      </c>
      <c r="N5104" s="350" t="str">
        <f>IF($B5104="Portfolio","Portfolio",IFERROR(INDEX(DATA_ASSET_CLASSIFICATION!$U$8:$U$24,MATCH($C5104,DATA_ASSET_CLASSIFICATION!$A$8:$A$24,0)),"Review"))</f>
        <v>New Build</v>
      </c>
      <c r="O5104" s="350" t="str">
        <f>IF($B5104="Portfolio","Portfolio",IFERROR(INDEX(DATA_ASSET_CLASSIFICATION!$AB$8:$AB$13,MATCH($N5104,DATA_ASSET_CLASSIFICATION!$AA$8:$AA$13,0)),"Review"))</f>
        <v>Bucket 1 · New Build</v>
      </c>
      <c r="P5104" s="350" t="str">
        <f>IF($B5104="Portfolio","Portfolio",IFERROR(INDEX(DATA_ASSET_CLASSIFICATION!$C$8:$C$24,MATCH($C5104,DATA_ASSET_CLASSIFICATION!$A$8:$A$24,0)),"Review"))</f>
        <v>Yes</v>
      </c>
      <c r="Q5104" s="350" t="str">
        <f t="shared" ca="1" si="159"/>
        <v>OK</v>
      </c>
    </row>
    <row r="5105" spans="1:17" ht="30">
      <c r="A5105" s="366" t="s">
        <v>7061</v>
      </c>
      <c r="B5105" s="366" t="s">
        <v>231</v>
      </c>
      <c r="C5105" s="348" t="str">
        <f>DATA_PROPERTY_MASTER!$A$21</f>
        <v>BLD_CD</v>
      </c>
      <c r="D5105" s="380">
        <f>'00_PORTFOLIO ROLLUP'!P$12</f>
        <v>2036</v>
      </c>
      <c r="E5105" s="366" t="s">
        <v>1683</v>
      </c>
      <c r="F5105" s="366" t="s">
        <v>341</v>
      </c>
      <c r="G5105" s="348" t="str">
        <f>"'"&amp;$C5105&amp;"'!$E$24:$Y$24"</f>
        <v>'BLD_CD'!$E$24:$Y$24</v>
      </c>
      <c r="H5105" s="381">
        <f ca="1">IF(IFERROR(INDEX(DATA_PROPERTY_MASTER!$E$5:$E$21,MATCH($C5105,DATA_PROPERTY_MASTER!$A$5:$A$21,0))="Yes",FALSE),IFERROR(INDEX(INDIRECT("'"&amp;$C5105&amp;"'!$E$24:$Y$24"),1,MATCH($D5105,INDIRECT("'"&amp;$C5105&amp;"'!$E$12:$Y$12"),0)),0),0)</f>
        <v>2538675.9837948582</v>
      </c>
      <c r="I5105" s="366" t="s">
        <v>1685</v>
      </c>
      <c r="J5105" s="348" t="str">
        <f t="shared" ca="1" si="158"/>
        <v>OK</v>
      </c>
      <c r="K5105" s="366" t="s">
        <v>1686</v>
      </c>
      <c r="L5105" s="366" t="s">
        <v>2234</v>
      </c>
      <c r="M5105" s="350" t="str">
        <f>IF($B5105="Portfolio","Portfolio",IFERROR(INDEX(DATA_ASSET_CLASSIFICATION!$B$8:$B$24,MATCH($C5105,DATA_ASSET_CLASSIFICATION!$A$8:$A$24,0)),"Review"))</f>
        <v>800 Commercial Drive</v>
      </c>
      <c r="N5105" s="350" t="str">
        <f>IF($B5105="Portfolio","Portfolio",IFERROR(INDEX(DATA_ASSET_CLASSIFICATION!$U$8:$U$24,MATCH($C5105,DATA_ASSET_CLASSIFICATION!$A$8:$A$24,0)),"Review"))</f>
        <v>New Build</v>
      </c>
      <c r="O5105" s="350" t="str">
        <f>IF($B5105="Portfolio","Portfolio",IFERROR(INDEX(DATA_ASSET_CLASSIFICATION!$AB$8:$AB$13,MATCH($N5105,DATA_ASSET_CLASSIFICATION!$AA$8:$AA$13,0)),"Review"))</f>
        <v>Bucket 1 · New Build</v>
      </c>
      <c r="P5105" s="350" t="str">
        <f>IF($B5105="Portfolio","Portfolio",IFERROR(INDEX(DATA_ASSET_CLASSIFICATION!$C$8:$C$24,MATCH($C5105,DATA_ASSET_CLASSIFICATION!$A$8:$A$24,0)),"Review"))</f>
        <v>Yes</v>
      </c>
      <c r="Q5105" s="350" t="str">
        <f t="shared" ca="1" si="159"/>
        <v>OK</v>
      </c>
    </row>
    <row r="5106" spans="1:17" ht="30">
      <c r="A5106" s="366" t="s">
        <v>7062</v>
      </c>
      <c r="B5106" s="366" t="s">
        <v>231</v>
      </c>
      <c r="C5106" s="348" t="str">
        <f>DATA_PROPERTY_MASTER!$A$21</f>
        <v>BLD_CD</v>
      </c>
      <c r="D5106" s="380">
        <f>'00_PORTFOLIO ROLLUP'!P$12</f>
        <v>2036</v>
      </c>
      <c r="E5106" s="366" t="s">
        <v>1683</v>
      </c>
      <c r="F5106" s="366" t="s">
        <v>355</v>
      </c>
      <c r="G5106" s="348" t="str">
        <f>"'"&amp;$C5106&amp;"'!$E$39:$Y$39"</f>
        <v>'BLD_CD'!$E$39:$Y$39</v>
      </c>
      <c r="H5106" s="381">
        <f ca="1">IF(IFERROR(INDEX(DATA_PROPERTY_MASTER!$E$5:$E$21,MATCH($C5106,DATA_PROPERTY_MASTER!$A$5:$A$21,0))="Yes",FALSE),IFERROR(INDEX(INDIRECT("'"&amp;$C5106&amp;"'!$E$39:$Y$39"),1,MATCH($D5106,INDIRECT("'"&amp;$C5106&amp;"'!$E$12:$Y$12"),0)),0),0)</f>
        <v>939761.87876794615</v>
      </c>
      <c r="I5106" s="366" t="s">
        <v>1690</v>
      </c>
      <c r="J5106" s="348" t="str">
        <f t="shared" ca="1" si="158"/>
        <v>OK</v>
      </c>
      <c r="K5106" s="366" t="s">
        <v>1686</v>
      </c>
      <c r="L5106" s="366" t="s">
        <v>2236</v>
      </c>
      <c r="M5106" s="350" t="str">
        <f>IF($B5106="Portfolio","Portfolio",IFERROR(INDEX(DATA_ASSET_CLASSIFICATION!$B$8:$B$24,MATCH($C5106,DATA_ASSET_CLASSIFICATION!$A$8:$A$24,0)),"Review"))</f>
        <v>800 Commercial Drive</v>
      </c>
      <c r="N5106" s="350" t="str">
        <f>IF($B5106="Portfolio","Portfolio",IFERROR(INDEX(DATA_ASSET_CLASSIFICATION!$U$8:$U$24,MATCH($C5106,DATA_ASSET_CLASSIFICATION!$A$8:$A$24,0)),"Review"))</f>
        <v>New Build</v>
      </c>
      <c r="O5106" s="350" t="str">
        <f>IF($B5106="Portfolio","Portfolio",IFERROR(INDEX(DATA_ASSET_CLASSIFICATION!$AB$8:$AB$13,MATCH($N5106,DATA_ASSET_CLASSIFICATION!$AA$8:$AA$13,0)),"Review"))</f>
        <v>Bucket 1 · New Build</v>
      </c>
      <c r="P5106" s="350" t="str">
        <f>IF($B5106="Portfolio","Portfolio",IFERROR(INDEX(DATA_ASSET_CLASSIFICATION!$C$8:$C$24,MATCH($C5106,DATA_ASSET_CLASSIFICATION!$A$8:$A$24,0)),"Review"))</f>
        <v>Yes</v>
      </c>
      <c r="Q5106" s="350" t="str">
        <f t="shared" ca="1" si="159"/>
        <v>OK</v>
      </c>
    </row>
    <row r="5107" spans="1:17" ht="30">
      <c r="A5107" s="366" t="s">
        <v>7063</v>
      </c>
      <c r="B5107" s="366" t="s">
        <v>231</v>
      </c>
      <c r="C5107" s="348" t="str">
        <f>DATA_PROPERTY_MASTER!$A$21</f>
        <v>BLD_CD</v>
      </c>
      <c r="D5107" s="380">
        <f>'00_PORTFOLIO ROLLUP'!P$12</f>
        <v>2036</v>
      </c>
      <c r="E5107" s="366" t="s">
        <v>1683</v>
      </c>
      <c r="F5107" s="366" t="s">
        <v>19</v>
      </c>
      <c r="G5107" s="348" t="str">
        <f>"'"&amp;$C5107&amp;"'!$E$41:$Y$41"</f>
        <v>'BLD_CD'!$E$41:$Y$41</v>
      </c>
      <c r="H5107" s="381">
        <f ca="1">IF(IFERROR(INDEX(DATA_PROPERTY_MASTER!$E$5:$E$21,MATCH($C5107,DATA_PROPERTY_MASTER!$A$5:$A$21,0))="Yes",FALSE),IFERROR(INDEX(INDIRECT("'"&amp;$C5107&amp;"'!$E$41:$Y$41"),1,MATCH($D5107,INDIRECT("'"&amp;$C5107&amp;"'!$E$12:$Y$12"),0)),0),0)</f>
        <v>1598914.1050269119</v>
      </c>
      <c r="I5107" s="366" t="s">
        <v>1685</v>
      </c>
      <c r="J5107" s="348" t="str">
        <f t="shared" ca="1" si="158"/>
        <v>OK</v>
      </c>
      <c r="K5107" s="366" t="s">
        <v>1694</v>
      </c>
      <c r="L5107" s="366" t="s">
        <v>2238</v>
      </c>
      <c r="M5107" s="350" t="str">
        <f>IF($B5107="Portfolio","Portfolio",IFERROR(INDEX(DATA_ASSET_CLASSIFICATION!$B$8:$B$24,MATCH($C5107,DATA_ASSET_CLASSIFICATION!$A$8:$A$24,0)),"Review"))</f>
        <v>800 Commercial Drive</v>
      </c>
      <c r="N5107" s="350" t="str">
        <f>IF($B5107="Portfolio","Portfolio",IFERROR(INDEX(DATA_ASSET_CLASSIFICATION!$U$8:$U$24,MATCH($C5107,DATA_ASSET_CLASSIFICATION!$A$8:$A$24,0)),"Review"))</f>
        <v>New Build</v>
      </c>
      <c r="O5107" s="350" t="str">
        <f>IF($B5107="Portfolio","Portfolio",IFERROR(INDEX(DATA_ASSET_CLASSIFICATION!$AB$8:$AB$13,MATCH($N5107,DATA_ASSET_CLASSIFICATION!$AA$8:$AA$13,0)),"Review"))</f>
        <v>Bucket 1 · New Build</v>
      </c>
      <c r="P5107" s="350" t="str">
        <f>IF($B5107="Portfolio","Portfolio",IFERROR(INDEX(DATA_ASSET_CLASSIFICATION!$C$8:$C$24,MATCH($C5107,DATA_ASSET_CLASSIFICATION!$A$8:$A$24,0)),"Review"))</f>
        <v>Yes</v>
      </c>
      <c r="Q5107" s="350" t="str">
        <f t="shared" ca="1" si="159"/>
        <v>OK</v>
      </c>
    </row>
    <row r="5108" spans="1:17" ht="30">
      <c r="A5108" s="366" t="s">
        <v>7064</v>
      </c>
      <c r="B5108" s="366" t="s">
        <v>231</v>
      </c>
      <c r="C5108" s="348" t="str">
        <f>DATA_PROPERTY_MASTER!$A$21</f>
        <v>BLD_CD</v>
      </c>
      <c r="D5108" s="380">
        <f>'00_PORTFOLIO ROLLUP'!P$12</f>
        <v>2036</v>
      </c>
      <c r="E5108" s="366" t="s">
        <v>1683</v>
      </c>
      <c r="F5108" s="366" t="s">
        <v>1697</v>
      </c>
      <c r="G5108" s="348" t="str">
        <f>"'"&amp;$C5108&amp;"'!$E$44:$Y$44"</f>
        <v>'BLD_CD'!$E$44:$Y$44</v>
      </c>
      <c r="H5108" s="381">
        <f ca="1">IF(IFERROR(INDEX(DATA_PROPERTY_MASTER!$E$5:$E$21,MATCH($C5108,DATA_PROPERTY_MASTER!$A$5:$A$21,0))="Yes",FALSE),IFERROR(INDEX(INDIRECT("'"&amp;$C5108&amp;"'!$E$44:$Y$44"),1,MATCH($D5108,INDIRECT("'"&amp;$C5108&amp;"'!$E$12:$Y$12"),0)),0),0)</f>
        <v>17345.071602105396</v>
      </c>
      <c r="I5108" s="366" t="s">
        <v>1690</v>
      </c>
      <c r="J5108" s="348" t="str">
        <f t="shared" ca="1" si="158"/>
        <v>OK</v>
      </c>
      <c r="K5108" s="366" t="s">
        <v>1699</v>
      </c>
      <c r="L5108" s="366" t="s">
        <v>2240</v>
      </c>
      <c r="M5108" s="350" t="str">
        <f>IF($B5108="Portfolio","Portfolio",IFERROR(INDEX(DATA_ASSET_CLASSIFICATION!$B$8:$B$24,MATCH($C5108,DATA_ASSET_CLASSIFICATION!$A$8:$A$24,0)),"Review"))</f>
        <v>800 Commercial Drive</v>
      </c>
      <c r="N5108" s="350" t="str">
        <f>IF($B5108="Portfolio","Portfolio",IFERROR(INDEX(DATA_ASSET_CLASSIFICATION!$U$8:$U$24,MATCH($C5108,DATA_ASSET_CLASSIFICATION!$A$8:$A$24,0)),"Review"))</f>
        <v>New Build</v>
      </c>
      <c r="O5108" s="350" t="str">
        <f>IF($B5108="Portfolio","Portfolio",IFERROR(INDEX(DATA_ASSET_CLASSIFICATION!$AB$8:$AB$13,MATCH($N5108,DATA_ASSET_CLASSIFICATION!$AA$8:$AA$13,0)),"Review"))</f>
        <v>Bucket 1 · New Build</v>
      </c>
      <c r="P5108" s="350" t="str">
        <f>IF($B5108="Portfolio","Portfolio",IFERROR(INDEX(DATA_ASSET_CLASSIFICATION!$C$8:$C$24,MATCH($C5108,DATA_ASSET_CLASSIFICATION!$A$8:$A$24,0)),"Review"))</f>
        <v>Yes</v>
      </c>
      <c r="Q5108" s="350" t="str">
        <f t="shared" ca="1" si="159"/>
        <v>OK</v>
      </c>
    </row>
    <row r="5109" spans="1:17" ht="30">
      <c r="A5109" s="366" t="s">
        <v>7065</v>
      </c>
      <c r="B5109" s="366" t="s">
        <v>231</v>
      </c>
      <c r="C5109" s="348" t="str">
        <f>DATA_PROPERTY_MASTER!$A$21</f>
        <v>BLD_CD</v>
      </c>
      <c r="D5109" s="380">
        <f>'00_PORTFOLIO ROLLUP'!P$12</f>
        <v>2036</v>
      </c>
      <c r="E5109" s="366" t="s">
        <v>1683</v>
      </c>
      <c r="F5109" s="366" t="s">
        <v>21</v>
      </c>
      <c r="G5109" s="348" t="str">
        <f>"'"&amp;$C5109&amp;"'!$E$45:$Y$45"</f>
        <v>'BLD_CD'!$E$45:$Y$45</v>
      </c>
      <c r="H5109" s="381">
        <f ca="1">IF(IFERROR(INDEX(DATA_PROPERTY_MASTER!$E$5:$E$21,MATCH($C5109,DATA_PROPERTY_MASTER!$A$5:$A$21,0))="Yes",FALSE),IFERROR(INDEX(INDIRECT("'"&amp;$C5109&amp;"'!$E$45:$Y$45"),1,MATCH($D5109,INDIRECT("'"&amp;$C5109&amp;"'!$E$12:$Y$12"),0)),0),0)</f>
        <v>1581569.0334248065</v>
      </c>
      <c r="I5109" s="366" t="s">
        <v>1685</v>
      </c>
      <c r="J5109" s="348" t="str">
        <f t="shared" ca="1" si="158"/>
        <v>OK</v>
      </c>
      <c r="K5109" s="366" t="s">
        <v>1694</v>
      </c>
      <c r="L5109" s="366" t="s">
        <v>2242</v>
      </c>
      <c r="M5109" s="350" t="str">
        <f>IF($B5109="Portfolio","Portfolio",IFERROR(INDEX(DATA_ASSET_CLASSIFICATION!$B$8:$B$24,MATCH($C5109,DATA_ASSET_CLASSIFICATION!$A$8:$A$24,0)),"Review"))</f>
        <v>800 Commercial Drive</v>
      </c>
      <c r="N5109" s="350" t="str">
        <f>IF($B5109="Portfolio","Portfolio",IFERROR(INDEX(DATA_ASSET_CLASSIFICATION!$U$8:$U$24,MATCH($C5109,DATA_ASSET_CLASSIFICATION!$A$8:$A$24,0)),"Review"))</f>
        <v>New Build</v>
      </c>
      <c r="O5109" s="350" t="str">
        <f>IF($B5109="Portfolio","Portfolio",IFERROR(INDEX(DATA_ASSET_CLASSIFICATION!$AB$8:$AB$13,MATCH($N5109,DATA_ASSET_CLASSIFICATION!$AA$8:$AA$13,0)),"Review"))</f>
        <v>Bucket 1 · New Build</v>
      </c>
      <c r="P5109" s="350" t="str">
        <f>IF($B5109="Portfolio","Portfolio",IFERROR(INDEX(DATA_ASSET_CLASSIFICATION!$C$8:$C$24,MATCH($C5109,DATA_ASSET_CLASSIFICATION!$A$8:$A$24,0)),"Review"))</f>
        <v>Yes</v>
      </c>
      <c r="Q5109" s="350" t="str">
        <f t="shared" ca="1" si="159"/>
        <v>OK</v>
      </c>
    </row>
    <row r="5110" spans="1:17" ht="30">
      <c r="A5110" s="366" t="s">
        <v>7066</v>
      </c>
      <c r="B5110" s="366" t="s">
        <v>231</v>
      </c>
      <c r="C5110" s="348" t="str">
        <f>DATA_PROPERTY_MASTER!$A$21</f>
        <v>BLD_CD</v>
      </c>
      <c r="D5110" s="380">
        <f>'00_PORTFOLIO ROLLUP'!P$12</f>
        <v>2036</v>
      </c>
      <c r="E5110" s="366" t="s">
        <v>23</v>
      </c>
      <c r="F5110" s="366" t="s">
        <v>23</v>
      </c>
      <c r="G5110" s="348" t="str">
        <f>"'"&amp;$C5110&amp;"'!$E$48:$Y$48"</f>
        <v>'BLD_CD'!$E$48:$Y$48</v>
      </c>
      <c r="H5110" s="381">
        <f ca="1">IF(IFERROR(INDEX(DATA_PROPERTY_MASTER!$E$5:$E$21,MATCH($C5110,DATA_PROPERTY_MASTER!$A$5:$A$21,0))="Yes",FALSE),IFERROR(INDEX(INDIRECT("'"&amp;$C5110&amp;"'!$E$48:$Y$48"),1,MATCH($D5110,INDIRECT("'"&amp;$C5110&amp;"'!$E$12:$Y$12"),0)),0),0)</f>
        <v>979555.28115311568</v>
      </c>
      <c r="I5110" s="366" t="s">
        <v>1690</v>
      </c>
      <c r="J5110" s="348" t="str">
        <f t="shared" ca="1" si="158"/>
        <v>OK</v>
      </c>
      <c r="K5110" s="366" t="s">
        <v>1706</v>
      </c>
      <c r="L5110" s="366" t="s">
        <v>2244</v>
      </c>
      <c r="M5110" s="350" t="str">
        <f>IF($B5110="Portfolio","Portfolio",IFERROR(INDEX(DATA_ASSET_CLASSIFICATION!$B$8:$B$24,MATCH($C5110,DATA_ASSET_CLASSIFICATION!$A$8:$A$24,0)),"Review"))</f>
        <v>800 Commercial Drive</v>
      </c>
      <c r="N5110" s="350" t="str">
        <f>IF($B5110="Portfolio","Portfolio",IFERROR(INDEX(DATA_ASSET_CLASSIFICATION!$U$8:$U$24,MATCH($C5110,DATA_ASSET_CLASSIFICATION!$A$8:$A$24,0)),"Review"))</f>
        <v>New Build</v>
      </c>
      <c r="O5110" s="350" t="str">
        <f>IF($B5110="Portfolio","Portfolio",IFERROR(INDEX(DATA_ASSET_CLASSIFICATION!$AB$8:$AB$13,MATCH($N5110,DATA_ASSET_CLASSIFICATION!$AA$8:$AA$13,0)),"Review"))</f>
        <v>Bucket 1 · New Build</v>
      </c>
      <c r="P5110" s="350" t="str">
        <f>IF($B5110="Portfolio","Portfolio",IFERROR(INDEX(DATA_ASSET_CLASSIFICATION!$C$8:$C$24,MATCH($C5110,DATA_ASSET_CLASSIFICATION!$A$8:$A$24,0)),"Review"))</f>
        <v>Yes</v>
      </c>
      <c r="Q5110" s="350" t="str">
        <f t="shared" ca="1" si="159"/>
        <v>OK</v>
      </c>
    </row>
    <row r="5111" spans="1:17" ht="30">
      <c r="A5111" s="366" t="s">
        <v>7067</v>
      </c>
      <c r="B5111" s="366" t="s">
        <v>231</v>
      </c>
      <c r="C5111" s="348" t="str">
        <f>DATA_PROPERTY_MASTER!$A$21</f>
        <v>BLD_CD</v>
      </c>
      <c r="D5111" s="380">
        <f>'00_PORTFOLIO ROLLUP'!P$12</f>
        <v>2036</v>
      </c>
      <c r="E5111" s="366" t="s">
        <v>1683</v>
      </c>
      <c r="F5111" s="366" t="s">
        <v>25</v>
      </c>
      <c r="G5111" s="348" t="str">
        <f>"'"&amp;$C5111&amp;"'!$E$52:$Y$52"</f>
        <v>'BLD_CD'!$E$52:$Y$52</v>
      </c>
      <c r="H5111" s="381">
        <f ca="1">IF(IFERROR(INDEX(DATA_PROPERTY_MASTER!$E$5:$E$21,MATCH($C5111,DATA_PROPERTY_MASTER!$A$5:$A$21,0))="Yes",FALSE),IFERROR(INDEX(INDIRECT("'"&amp;$C5111&amp;"'!$E$52:$Y$52"),1,MATCH($D5111,INDIRECT("'"&amp;$C5111&amp;"'!$E$12:$Y$12"),0)),0),0)</f>
        <v>619358.82387379627</v>
      </c>
      <c r="I5111" s="366" t="s">
        <v>1685</v>
      </c>
      <c r="J5111" s="348" t="str">
        <f t="shared" ca="1" si="158"/>
        <v>OK</v>
      </c>
      <c r="K5111" s="366" t="s">
        <v>1710</v>
      </c>
      <c r="L5111" s="366" t="s">
        <v>2246</v>
      </c>
      <c r="M5111" s="350" t="str">
        <f>IF($B5111="Portfolio","Portfolio",IFERROR(INDEX(DATA_ASSET_CLASSIFICATION!$B$8:$B$24,MATCH($C5111,DATA_ASSET_CLASSIFICATION!$A$8:$A$24,0)),"Review"))</f>
        <v>800 Commercial Drive</v>
      </c>
      <c r="N5111" s="350" t="str">
        <f>IF($B5111="Portfolio","Portfolio",IFERROR(INDEX(DATA_ASSET_CLASSIFICATION!$U$8:$U$24,MATCH($C5111,DATA_ASSET_CLASSIFICATION!$A$8:$A$24,0)),"Review"))</f>
        <v>New Build</v>
      </c>
      <c r="O5111" s="350" t="str">
        <f>IF($B5111="Portfolio","Portfolio",IFERROR(INDEX(DATA_ASSET_CLASSIFICATION!$AB$8:$AB$13,MATCH($N5111,DATA_ASSET_CLASSIFICATION!$AA$8:$AA$13,0)),"Review"))</f>
        <v>Bucket 1 · New Build</v>
      </c>
      <c r="P5111" s="350" t="str">
        <f>IF($B5111="Portfolio","Portfolio",IFERROR(INDEX(DATA_ASSET_CLASSIFICATION!$C$8:$C$24,MATCH($C5111,DATA_ASSET_CLASSIFICATION!$A$8:$A$24,0)),"Review"))</f>
        <v>Yes</v>
      </c>
      <c r="Q5111" s="350" t="str">
        <f t="shared" ca="1" si="159"/>
        <v>OK</v>
      </c>
    </row>
    <row r="5112" spans="1:17" ht="30">
      <c r="A5112" s="366" t="s">
        <v>7068</v>
      </c>
      <c r="B5112" s="366" t="s">
        <v>231</v>
      </c>
      <c r="C5112" s="348" t="str">
        <f>DATA_PROPERTY_MASTER!$A$21</f>
        <v>BLD_CD</v>
      </c>
      <c r="D5112" s="380">
        <f>'00_PORTFOLIO ROLLUP'!P$12</f>
        <v>2036</v>
      </c>
      <c r="E5112" s="366" t="s">
        <v>1683</v>
      </c>
      <c r="F5112" s="366" t="s">
        <v>27</v>
      </c>
      <c r="G5112" s="348" t="str">
        <f>"'"&amp;$C5112&amp;"'!$E$54:$Y$54"</f>
        <v>'BLD_CD'!$E$54:$Y$54</v>
      </c>
      <c r="H5112" s="381">
        <f ca="1">IF(IFERROR(INDEX(DATA_PROPERTY_MASTER!$E$5:$E$21,MATCH($C5112,DATA_PROPERTY_MASTER!$A$5:$A$21,0))="Yes",FALSE),IFERROR(INDEX(INDIRECT("'"&amp;$C5112&amp;"'!$E$54:$Y$54"),1,MATCH($D5112,INDIRECT("'"&amp;$C5112&amp;"'!$E$12:$Y$12"),0)),0),0)</f>
        <v>371615.29432427773</v>
      </c>
      <c r="I5112" s="366" t="s">
        <v>1690</v>
      </c>
      <c r="J5112" s="348" t="str">
        <f t="shared" ca="1" si="158"/>
        <v>OK</v>
      </c>
      <c r="K5112" s="366" t="s">
        <v>1714</v>
      </c>
      <c r="L5112" s="366" t="s">
        <v>2248</v>
      </c>
      <c r="M5112" s="350" t="str">
        <f>IF($B5112="Portfolio","Portfolio",IFERROR(INDEX(DATA_ASSET_CLASSIFICATION!$B$8:$B$24,MATCH($C5112,DATA_ASSET_CLASSIFICATION!$A$8:$A$24,0)),"Review"))</f>
        <v>800 Commercial Drive</v>
      </c>
      <c r="N5112" s="350" t="str">
        <f>IF($B5112="Portfolio","Portfolio",IFERROR(INDEX(DATA_ASSET_CLASSIFICATION!$U$8:$U$24,MATCH($C5112,DATA_ASSET_CLASSIFICATION!$A$8:$A$24,0)),"Review"))</f>
        <v>New Build</v>
      </c>
      <c r="O5112" s="350" t="str">
        <f>IF($B5112="Portfolio","Portfolio",IFERROR(INDEX(DATA_ASSET_CLASSIFICATION!$AB$8:$AB$13,MATCH($N5112,DATA_ASSET_CLASSIFICATION!$AA$8:$AA$13,0)),"Review"))</f>
        <v>Bucket 1 · New Build</v>
      </c>
      <c r="P5112" s="350" t="str">
        <f>IF($B5112="Portfolio","Portfolio",IFERROR(INDEX(DATA_ASSET_CLASSIFICATION!$C$8:$C$24,MATCH($C5112,DATA_ASSET_CLASSIFICATION!$A$8:$A$24,0)),"Review"))</f>
        <v>Yes</v>
      </c>
      <c r="Q5112" s="350" t="str">
        <f t="shared" ca="1" si="159"/>
        <v>OK</v>
      </c>
    </row>
    <row r="5113" spans="1:17" ht="30">
      <c r="A5113" s="366" t="s">
        <v>7069</v>
      </c>
      <c r="B5113" s="366" t="s">
        <v>231</v>
      </c>
      <c r="C5113" s="348" t="str">
        <f>DATA_PROPERTY_MASTER!$A$21</f>
        <v>BLD_CD</v>
      </c>
      <c r="D5113" s="380">
        <f>'00_PORTFOLIO ROLLUP'!P$12</f>
        <v>2036</v>
      </c>
      <c r="E5113" s="366" t="s">
        <v>1683</v>
      </c>
      <c r="F5113" s="366" t="s">
        <v>29</v>
      </c>
      <c r="G5113" s="348" t="str">
        <f>"'"&amp;$C5113&amp;"'!$E$56:$Y$56"</f>
        <v>'BLD_CD'!$E$56:$Y$56</v>
      </c>
      <c r="H5113" s="381">
        <f ca="1">IF(IFERROR(INDEX(DATA_PROPERTY_MASTER!$E$5:$E$21,MATCH($C5113,DATA_PROPERTY_MASTER!$A$5:$A$21,0))="Yes",FALSE),IFERROR(INDEX(INDIRECT("'"&amp;$C5113&amp;"'!$E$56:$Y$56"),1,MATCH($D5113,INDIRECT("'"&amp;$C5113&amp;"'!$E$12:$Y$12"),0)),0),0)</f>
        <v>247743.52954951854</v>
      </c>
      <c r="I5113" s="366" t="s">
        <v>1685</v>
      </c>
      <c r="J5113" s="348" t="str">
        <f t="shared" ca="1" si="158"/>
        <v>OK</v>
      </c>
      <c r="K5113" s="366" t="s">
        <v>1718</v>
      </c>
      <c r="L5113" s="366" t="s">
        <v>2250</v>
      </c>
      <c r="M5113" s="350" t="str">
        <f>IF($B5113="Portfolio","Portfolio",IFERROR(INDEX(DATA_ASSET_CLASSIFICATION!$B$8:$B$24,MATCH($C5113,DATA_ASSET_CLASSIFICATION!$A$8:$A$24,0)),"Review"))</f>
        <v>800 Commercial Drive</v>
      </c>
      <c r="N5113" s="350" t="str">
        <f>IF($B5113="Portfolio","Portfolio",IFERROR(INDEX(DATA_ASSET_CLASSIFICATION!$U$8:$U$24,MATCH($C5113,DATA_ASSET_CLASSIFICATION!$A$8:$A$24,0)),"Review"))</f>
        <v>New Build</v>
      </c>
      <c r="O5113" s="350" t="str">
        <f>IF($B5113="Portfolio","Portfolio",IFERROR(INDEX(DATA_ASSET_CLASSIFICATION!$AB$8:$AB$13,MATCH($N5113,DATA_ASSET_CLASSIFICATION!$AA$8:$AA$13,0)),"Review"))</f>
        <v>Bucket 1 · New Build</v>
      </c>
      <c r="P5113" s="350" t="str">
        <f>IF($B5113="Portfolio","Portfolio",IFERROR(INDEX(DATA_ASSET_CLASSIFICATION!$C$8:$C$24,MATCH($C5113,DATA_ASSET_CLASSIFICATION!$A$8:$A$24,0)),"Review"))</f>
        <v>Yes</v>
      </c>
      <c r="Q5113" s="350" t="str">
        <f t="shared" ca="1" si="159"/>
        <v>OK</v>
      </c>
    </row>
    <row r="5114" spans="1:17" ht="30">
      <c r="A5114" s="366" t="s">
        <v>7070</v>
      </c>
      <c r="B5114" s="366" t="s">
        <v>231</v>
      </c>
      <c r="C5114" s="348" t="str">
        <f>DATA_PROPERTY_MASTER!$A$21</f>
        <v>BLD_CD</v>
      </c>
      <c r="D5114" s="380">
        <f>'00_PORTFOLIO ROLLUP'!P$12</f>
        <v>2036</v>
      </c>
      <c r="E5114" s="366" t="s">
        <v>1721</v>
      </c>
      <c r="F5114" s="366" t="s">
        <v>31</v>
      </c>
      <c r="G5114" s="348" t="str">
        <f>"'"&amp;$C5114&amp;"'!$E$61:$Y$61"</f>
        <v>'BLD_CD'!$E$61:$Y$61</v>
      </c>
      <c r="H5114" s="381">
        <f ca="1">IF(IFERROR(INDEX(DATA_PROPERTY_MASTER!$E$5:$E$21,MATCH($C5114,DATA_PROPERTY_MASTER!$A$5:$A$21,0))="Yes",FALSE),IFERROR(INDEX(INDIRECT("'"&amp;$C5114&amp;"'!$E$61:$Y$61"),1,MATCH($D5114,INDIRECT("'"&amp;$C5114&amp;"'!$E$12:$Y$12"),0)),0),0)</f>
        <v>0</v>
      </c>
      <c r="I5114" s="366" t="s">
        <v>1690</v>
      </c>
      <c r="J5114" s="348" t="str">
        <f t="shared" ca="1" si="158"/>
        <v>OK</v>
      </c>
      <c r="K5114" s="366" t="s">
        <v>1723</v>
      </c>
      <c r="L5114" s="366" t="s">
        <v>2252</v>
      </c>
      <c r="M5114" s="350" t="str">
        <f>IF($B5114="Portfolio","Portfolio",IFERROR(INDEX(DATA_ASSET_CLASSIFICATION!$B$8:$B$24,MATCH($C5114,DATA_ASSET_CLASSIFICATION!$A$8:$A$24,0)),"Review"))</f>
        <v>800 Commercial Drive</v>
      </c>
      <c r="N5114" s="350" t="str">
        <f>IF($B5114="Portfolio","Portfolio",IFERROR(INDEX(DATA_ASSET_CLASSIFICATION!$U$8:$U$24,MATCH($C5114,DATA_ASSET_CLASSIFICATION!$A$8:$A$24,0)),"Review"))</f>
        <v>New Build</v>
      </c>
      <c r="O5114" s="350" t="str">
        <f>IF($B5114="Portfolio","Portfolio",IFERROR(INDEX(DATA_ASSET_CLASSIFICATION!$AB$8:$AB$13,MATCH($N5114,DATA_ASSET_CLASSIFICATION!$AA$8:$AA$13,0)),"Review"))</f>
        <v>Bucket 1 · New Build</v>
      </c>
      <c r="P5114" s="350" t="str">
        <f>IF($B5114="Portfolio","Portfolio",IFERROR(INDEX(DATA_ASSET_CLASSIFICATION!$C$8:$C$24,MATCH($C5114,DATA_ASSET_CLASSIFICATION!$A$8:$A$24,0)),"Review"))</f>
        <v>Yes</v>
      </c>
      <c r="Q5114" s="350" t="str">
        <f t="shared" ca="1" si="159"/>
        <v>OK</v>
      </c>
    </row>
    <row r="5115" spans="1:17" ht="30">
      <c r="A5115" s="366" t="s">
        <v>7071</v>
      </c>
      <c r="B5115" s="366" t="s">
        <v>231</v>
      </c>
      <c r="C5115" s="348" t="str">
        <f>DATA_PROPERTY_MASTER!$A$21</f>
        <v>BLD_CD</v>
      </c>
      <c r="D5115" s="380">
        <f>'00_PORTFOLIO ROLLUP'!P$12</f>
        <v>2036</v>
      </c>
      <c r="E5115" s="366" t="s">
        <v>1721</v>
      </c>
      <c r="F5115" s="366" t="s">
        <v>33</v>
      </c>
      <c r="G5115" s="348" t="str">
        <f>"'"&amp;$C5115&amp;"'!$E$62:$Y$62"</f>
        <v>'BLD_CD'!$E$62:$Y$62</v>
      </c>
      <c r="H5115" s="381">
        <f ca="1">IF(IFERROR(INDEX(DATA_PROPERTY_MASTER!$E$5:$E$21,MATCH($C5115,DATA_PROPERTY_MASTER!$A$5:$A$21,0))="Yes",FALSE),IFERROR(INDEX(INDIRECT("'"&amp;$C5115&amp;"'!$E$62:$Y$62"),1,MATCH($D5115,INDIRECT("'"&amp;$C5115&amp;"'!$E$12:$Y$12"),0)),0),0)</f>
        <v>0</v>
      </c>
      <c r="I5115" s="366" t="s">
        <v>1685</v>
      </c>
      <c r="J5115" s="348" t="str">
        <f t="shared" ca="1" si="158"/>
        <v>OK</v>
      </c>
      <c r="K5115" s="366" t="s">
        <v>1727</v>
      </c>
      <c r="L5115" s="366" t="s">
        <v>2254</v>
      </c>
      <c r="M5115" s="350" t="str">
        <f>IF($B5115="Portfolio","Portfolio",IFERROR(INDEX(DATA_ASSET_CLASSIFICATION!$B$8:$B$24,MATCH($C5115,DATA_ASSET_CLASSIFICATION!$A$8:$A$24,0)),"Review"))</f>
        <v>800 Commercial Drive</v>
      </c>
      <c r="N5115" s="350" t="str">
        <f>IF($B5115="Portfolio","Portfolio",IFERROR(INDEX(DATA_ASSET_CLASSIFICATION!$U$8:$U$24,MATCH($C5115,DATA_ASSET_CLASSIFICATION!$A$8:$A$24,0)),"Review"))</f>
        <v>New Build</v>
      </c>
      <c r="O5115" s="350" t="str">
        <f>IF($B5115="Portfolio","Portfolio",IFERROR(INDEX(DATA_ASSET_CLASSIFICATION!$AB$8:$AB$13,MATCH($N5115,DATA_ASSET_CLASSIFICATION!$AA$8:$AA$13,0)),"Review"))</f>
        <v>Bucket 1 · New Build</v>
      </c>
      <c r="P5115" s="350" t="str">
        <f>IF($B5115="Portfolio","Portfolio",IFERROR(INDEX(DATA_ASSET_CLASSIFICATION!$C$8:$C$24,MATCH($C5115,DATA_ASSET_CLASSIFICATION!$A$8:$A$24,0)),"Review"))</f>
        <v>Yes</v>
      </c>
      <c r="Q5115" s="350" t="str">
        <f t="shared" ca="1" si="159"/>
        <v>OK</v>
      </c>
    </row>
    <row r="5116" spans="1:17" ht="30">
      <c r="A5116" s="366" t="s">
        <v>7072</v>
      </c>
      <c r="B5116" s="366" t="s">
        <v>231</v>
      </c>
      <c r="C5116" s="348" t="str">
        <f>DATA_PROPERTY_MASTER!$A$21</f>
        <v>BLD_CD</v>
      </c>
      <c r="D5116" s="380">
        <f>'00_PORTFOLIO ROLLUP'!P$12</f>
        <v>2036</v>
      </c>
      <c r="E5116" s="366" t="s">
        <v>1721</v>
      </c>
      <c r="F5116" s="366" t="s">
        <v>35</v>
      </c>
      <c r="G5116" s="348" t="str">
        <f>"'"&amp;$C5116&amp;"'!$E$63:$Y$63"</f>
        <v>'BLD_CD'!$E$63:$Y$63</v>
      </c>
      <c r="H5116" s="381">
        <f ca="1">IF(IFERROR(INDEX(DATA_PROPERTY_MASTER!$E$5:$E$21,MATCH($C5116,DATA_PROPERTY_MASTER!$A$5:$A$21,0))="Yes",FALSE),IFERROR(INDEX(INDIRECT("'"&amp;$C5116&amp;"'!$E$63:$Y$63"),1,MATCH($D5116,INDIRECT("'"&amp;$C5116&amp;"'!$E$12:$Y$12"),0)),0),0)</f>
        <v>0</v>
      </c>
      <c r="I5116" s="366" t="s">
        <v>1731</v>
      </c>
      <c r="J5116" s="348" t="str">
        <f t="shared" ca="1" si="158"/>
        <v>OK</v>
      </c>
      <c r="K5116" s="366" t="s">
        <v>1732</v>
      </c>
      <c r="L5116" s="366" t="s">
        <v>2256</v>
      </c>
      <c r="M5116" s="350" t="str">
        <f>IF($B5116="Portfolio","Portfolio",IFERROR(INDEX(DATA_ASSET_CLASSIFICATION!$B$8:$B$24,MATCH($C5116,DATA_ASSET_CLASSIFICATION!$A$8:$A$24,0)),"Review"))</f>
        <v>800 Commercial Drive</v>
      </c>
      <c r="N5116" s="350" t="str">
        <f>IF($B5116="Portfolio","Portfolio",IFERROR(INDEX(DATA_ASSET_CLASSIFICATION!$U$8:$U$24,MATCH($C5116,DATA_ASSET_CLASSIFICATION!$A$8:$A$24,0)),"Review"))</f>
        <v>New Build</v>
      </c>
      <c r="O5116" s="350" t="str">
        <f>IF($B5116="Portfolio","Portfolio",IFERROR(INDEX(DATA_ASSET_CLASSIFICATION!$AB$8:$AB$13,MATCH($N5116,DATA_ASSET_CLASSIFICATION!$AA$8:$AA$13,0)),"Review"))</f>
        <v>Bucket 1 · New Build</v>
      </c>
      <c r="P5116" s="350" t="str">
        <f>IF($B5116="Portfolio","Portfolio",IFERROR(INDEX(DATA_ASSET_CLASSIFICATION!$C$8:$C$24,MATCH($C5116,DATA_ASSET_CLASSIFICATION!$A$8:$A$24,0)),"Review"))</f>
        <v>Yes</v>
      </c>
      <c r="Q5116" s="350" t="str">
        <f t="shared" ca="1" si="159"/>
        <v>OK</v>
      </c>
    </row>
    <row r="5117" spans="1:17" ht="30">
      <c r="A5117" s="366" t="s">
        <v>7073</v>
      </c>
      <c r="B5117" s="366" t="s">
        <v>231</v>
      </c>
      <c r="C5117" s="348" t="str">
        <f>DATA_PROPERTY_MASTER!$A$21</f>
        <v>BLD_CD</v>
      </c>
      <c r="D5117" s="380">
        <f>'00_PORTFOLIO ROLLUP'!P$12</f>
        <v>2036</v>
      </c>
      <c r="E5117" s="366" t="s">
        <v>1721</v>
      </c>
      <c r="F5117" s="366" t="s">
        <v>37</v>
      </c>
      <c r="G5117" s="348" t="str">
        <f>"'"&amp;$C5117&amp;"'!$E$63:$Y$63"</f>
        <v>'BLD_CD'!$E$63:$Y$63</v>
      </c>
      <c r="H5117" s="381">
        <f ca="1">IF(IFERROR(INDEX(DATA_PROPERTY_MASTER!$E$5:$E$21,MATCH($C5117,DATA_PROPERTY_MASTER!$A$5:$A$21,0))="Yes",FALSE),MAX(IFERROR(INDEX(INDIRECT("'"&amp;$C5117&amp;"'!$E$63:$Y$63"),1,MATCH($D5117,INDIRECT("'"&amp;$C5117&amp;"'!$E$12:$Y$12"),0)),0),0),0)</f>
        <v>0</v>
      </c>
      <c r="I5117" s="366" t="s">
        <v>1685</v>
      </c>
      <c r="J5117" s="348" t="str">
        <f t="shared" ca="1" si="158"/>
        <v>OK</v>
      </c>
      <c r="K5117" s="366" t="s">
        <v>1735</v>
      </c>
      <c r="L5117" s="366" t="s">
        <v>2258</v>
      </c>
      <c r="M5117" s="350" t="str">
        <f>IF($B5117="Portfolio","Portfolio",IFERROR(INDEX(DATA_ASSET_CLASSIFICATION!$B$8:$B$24,MATCH($C5117,DATA_ASSET_CLASSIFICATION!$A$8:$A$24,0)),"Review"))</f>
        <v>800 Commercial Drive</v>
      </c>
      <c r="N5117" s="350" t="str">
        <f>IF($B5117="Portfolio","Portfolio",IFERROR(INDEX(DATA_ASSET_CLASSIFICATION!$U$8:$U$24,MATCH($C5117,DATA_ASSET_CLASSIFICATION!$A$8:$A$24,0)),"Review"))</f>
        <v>New Build</v>
      </c>
      <c r="O5117" s="350" t="str">
        <f>IF($B5117="Portfolio","Portfolio",IFERROR(INDEX(DATA_ASSET_CLASSIFICATION!$AB$8:$AB$13,MATCH($N5117,DATA_ASSET_CLASSIFICATION!$AA$8:$AA$13,0)),"Review"))</f>
        <v>Bucket 1 · New Build</v>
      </c>
      <c r="P5117" s="350" t="str">
        <f>IF($B5117="Portfolio","Portfolio",IFERROR(INDEX(DATA_ASSET_CLASSIFICATION!$C$8:$C$24,MATCH($C5117,DATA_ASSET_CLASSIFICATION!$A$8:$A$24,0)),"Review"))</f>
        <v>Yes</v>
      </c>
      <c r="Q5117" s="350" t="str">
        <f t="shared" ca="1" si="159"/>
        <v>OK</v>
      </c>
    </row>
    <row r="5118" spans="1:17" ht="30">
      <c r="A5118" s="366" t="s">
        <v>7074</v>
      </c>
      <c r="B5118" s="366" t="s">
        <v>231</v>
      </c>
      <c r="C5118" s="348" t="str">
        <f>DATA_PROPERTY_MASTER!$A$21</f>
        <v>BLD_CD</v>
      </c>
      <c r="D5118" s="380">
        <f>'00_PORTFOLIO ROLLUP'!P$12</f>
        <v>2036</v>
      </c>
      <c r="E5118" s="366" t="s">
        <v>1721</v>
      </c>
      <c r="F5118" s="366" t="s">
        <v>39</v>
      </c>
      <c r="G5118" s="348" t="str">
        <f>"'"&amp;$C5118&amp;"'!$E$63:$Y$63"</f>
        <v>'BLD_CD'!$E$63:$Y$63</v>
      </c>
      <c r="H5118" s="381">
        <f ca="1">IF(IFERROR(INDEX(DATA_PROPERTY_MASTER!$E$5:$E$21,MATCH($C5118,DATA_PROPERTY_MASTER!$A$5:$A$21,0))="Yes",FALSE),MAX(-IFERROR(INDEX(INDIRECT("'"&amp;$C5118&amp;"'!$E$63:$Y$63"),1,MATCH($D5118,INDIRECT("'"&amp;$C5118&amp;"'!$E$12:$Y$12"),0)),0),0),0)</f>
        <v>0</v>
      </c>
      <c r="I5118" s="366" t="s">
        <v>1690</v>
      </c>
      <c r="J5118" s="348" t="str">
        <f t="shared" ca="1" si="158"/>
        <v>OK</v>
      </c>
      <c r="K5118" s="366" t="s">
        <v>1738</v>
      </c>
      <c r="L5118" s="366" t="s">
        <v>2260</v>
      </c>
      <c r="M5118" s="350" t="str">
        <f>IF($B5118="Portfolio","Portfolio",IFERROR(INDEX(DATA_ASSET_CLASSIFICATION!$B$8:$B$24,MATCH($C5118,DATA_ASSET_CLASSIFICATION!$A$8:$A$24,0)),"Review"))</f>
        <v>800 Commercial Drive</v>
      </c>
      <c r="N5118" s="350" t="str">
        <f>IF($B5118="Portfolio","Portfolio",IFERROR(INDEX(DATA_ASSET_CLASSIFICATION!$U$8:$U$24,MATCH($C5118,DATA_ASSET_CLASSIFICATION!$A$8:$A$24,0)),"Review"))</f>
        <v>New Build</v>
      </c>
      <c r="O5118" s="350" t="str">
        <f>IF($B5118="Portfolio","Portfolio",IFERROR(INDEX(DATA_ASSET_CLASSIFICATION!$AB$8:$AB$13,MATCH($N5118,DATA_ASSET_CLASSIFICATION!$AA$8:$AA$13,0)),"Review"))</f>
        <v>Bucket 1 · New Build</v>
      </c>
      <c r="P5118" s="350" t="str">
        <f>IF($B5118="Portfolio","Portfolio",IFERROR(INDEX(DATA_ASSET_CLASSIFICATION!$C$8:$C$24,MATCH($C5118,DATA_ASSET_CLASSIFICATION!$A$8:$A$24,0)),"Review"))</f>
        <v>Yes</v>
      </c>
      <c r="Q5118" s="350" t="str">
        <f t="shared" ca="1" si="159"/>
        <v>OK</v>
      </c>
    </row>
    <row r="5119" spans="1:17" ht="30">
      <c r="A5119" s="366" t="s">
        <v>7075</v>
      </c>
      <c r="B5119" s="366" t="s">
        <v>231</v>
      </c>
      <c r="C5119" s="348" t="str">
        <f>DATA_PROPERTY_MASTER!$A$21</f>
        <v>BLD_CD</v>
      </c>
      <c r="D5119" s="380">
        <f>'00_PORTFOLIO ROLLUP'!P$12</f>
        <v>2036</v>
      </c>
      <c r="E5119" s="366" t="s">
        <v>1741</v>
      </c>
      <c r="F5119" s="366" t="s">
        <v>41</v>
      </c>
      <c r="G5119" s="348" t="str">
        <f>"'"&amp;$C5119&amp;"'!rows 56 + positive row 63"</f>
        <v>'BLD_CD'!rows 56 + positive row 63</v>
      </c>
      <c r="H5119" s="381">
        <f ca="1">IF(IFERROR(INDEX(DATA_PROPERTY_MASTER!$E$5:$E$21,MATCH($C5119,DATA_PROPERTY_MASTER!$A$5:$A$21,0))="Yes",FALSE),IFERROR(INDEX(INDIRECT("'"&amp;$C5119&amp;"'!$E$56:$Y$56"),1,MATCH($D5119,INDIRECT("'"&amp;$C5119&amp;"'!$E$12:$Y$12"),0)),0)+MAX(IFERROR(INDEX(INDIRECT("'"&amp;$C5119&amp;"'!$E$63:$Y$63"),1,MATCH($D5119,INDIRECT("'"&amp;$C5119&amp;"'!$E$12:$Y$12"),0)),0),0),0)</f>
        <v>247743.52954951854</v>
      </c>
      <c r="I5119" s="366" t="s">
        <v>1685</v>
      </c>
      <c r="J5119" s="348" t="str">
        <f t="shared" ca="1" si="158"/>
        <v>OK</v>
      </c>
      <c r="K5119" s="366" t="s">
        <v>1742</v>
      </c>
      <c r="L5119" s="366" t="s">
        <v>2262</v>
      </c>
      <c r="M5119" s="350" t="str">
        <f>IF($B5119="Portfolio","Portfolio",IFERROR(INDEX(DATA_ASSET_CLASSIFICATION!$B$8:$B$24,MATCH($C5119,DATA_ASSET_CLASSIFICATION!$A$8:$A$24,0)),"Review"))</f>
        <v>800 Commercial Drive</v>
      </c>
      <c r="N5119" s="350" t="str">
        <f>IF($B5119="Portfolio","Portfolio",IFERROR(INDEX(DATA_ASSET_CLASSIFICATION!$U$8:$U$24,MATCH($C5119,DATA_ASSET_CLASSIFICATION!$A$8:$A$24,0)),"Review"))</f>
        <v>New Build</v>
      </c>
      <c r="O5119" s="350" t="str">
        <f>IF($B5119="Portfolio","Portfolio",IFERROR(INDEX(DATA_ASSET_CLASSIFICATION!$AB$8:$AB$13,MATCH($N5119,DATA_ASSET_CLASSIFICATION!$AA$8:$AA$13,0)),"Review"))</f>
        <v>Bucket 1 · New Build</v>
      </c>
      <c r="P5119" s="350" t="str">
        <f>IF($B5119="Portfolio","Portfolio",IFERROR(INDEX(DATA_ASSET_CLASSIFICATION!$C$8:$C$24,MATCH($C5119,DATA_ASSET_CLASSIFICATION!$A$8:$A$24,0)),"Review"))</f>
        <v>Yes</v>
      </c>
      <c r="Q5119" s="350" t="str">
        <f t="shared" ca="1" si="159"/>
        <v>OK</v>
      </c>
    </row>
    <row r="5120" spans="1:17" ht="30">
      <c r="A5120" s="366" t="s">
        <v>7076</v>
      </c>
      <c r="B5120" s="366" t="s">
        <v>231</v>
      </c>
      <c r="C5120" s="348" t="str">
        <f>DATA_PROPERTY_MASTER!$A$21</f>
        <v>BLD_CD</v>
      </c>
      <c r="D5120" s="380">
        <f>'00_PORTFOLIO ROLLUP'!P$12</f>
        <v>2036</v>
      </c>
      <c r="E5120" s="366" t="s">
        <v>1741</v>
      </c>
      <c r="F5120" s="366" t="s">
        <v>43</v>
      </c>
      <c r="G5120" s="348" t="str">
        <f>"'"&amp;$C5120&amp;"'!$E$68:$Y$68"</f>
        <v>'BLD_CD'!$E$68:$Y$68</v>
      </c>
      <c r="H5120" s="381">
        <f ca="1">IF(IFERROR(INDEX(DATA_PROPERTY_MASTER!$E$5:$E$21,MATCH($C5120,DATA_PROPERTY_MASTER!$A$5:$A$21,0))="Yes",FALSE),IFERROR(INDEX(INDIRECT("'"&amp;$C5120&amp;"'!$E$68:$Y$68"),1,MATCH($D5120,INDIRECT("'"&amp;$C5120&amp;"'!$E$12:$Y$12"),0)),0),0)</f>
        <v>247743.52954951854</v>
      </c>
      <c r="I5120" s="366" t="s">
        <v>1731</v>
      </c>
      <c r="J5120" s="348" t="str">
        <f t="shared" ca="1" si="158"/>
        <v>OK</v>
      </c>
      <c r="K5120" s="366" t="s">
        <v>1746</v>
      </c>
      <c r="L5120" s="366" t="s">
        <v>2264</v>
      </c>
      <c r="M5120" s="350" t="str">
        <f>IF($B5120="Portfolio","Portfolio",IFERROR(INDEX(DATA_ASSET_CLASSIFICATION!$B$8:$B$24,MATCH($C5120,DATA_ASSET_CLASSIFICATION!$A$8:$A$24,0)),"Review"))</f>
        <v>800 Commercial Drive</v>
      </c>
      <c r="N5120" s="350" t="str">
        <f>IF($B5120="Portfolio","Portfolio",IFERROR(INDEX(DATA_ASSET_CLASSIFICATION!$U$8:$U$24,MATCH($C5120,DATA_ASSET_CLASSIFICATION!$A$8:$A$24,0)),"Review"))</f>
        <v>New Build</v>
      </c>
      <c r="O5120" s="350" t="str">
        <f>IF($B5120="Portfolio","Portfolio",IFERROR(INDEX(DATA_ASSET_CLASSIFICATION!$AB$8:$AB$13,MATCH($N5120,DATA_ASSET_CLASSIFICATION!$AA$8:$AA$13,0)),"Review"))</f>
        <v>Bucket 1 · New Build</v>
      </c>
      <c r="P5120" s="350" t="str">
        <f>IF($B5120="Portfolio","Portfolio",IFERROR(INDEX(DATA_ASSET_CLASSIFICATION!$C$8:$C$24,MATCH($C5120,DATA_ASSET_CLASSIFICATION!$A$8:$A$24,0)),"Review"))</f>
        <v>Yes</v>
      </c>
      <c r="Q5120" s="350" t="str">
        <f t="shared" ca="1" si="159"/>
        <v>OK</v>
      </c>
    </row>
    <row r="5121" spans="1:17" ht="30">
      <c r="A5121" s="366" t="s">
        <v>7077</v>
      </c>
      <c r="B5121" s="366" t="s">
        <v>231</v>
      </c>
      <c r="C5121" s="348" t="str">
        <f>DATA_PROPERTY_MASTER!$A$21</f>
        <v>BLD_CD</v>
      </c>
      <c r="D5121" s="380">
        <f>'00_PORTFOLIO ROLLUP'!P$12</f>
        <v>2036</v>
      </c>
      <c r="E5121" s="366" t="s">
        <v>1741</v>
      </c>
      <c r="F5121" s="366" t="s">
        <v>1749</v>
      </c>
      <c r="G5121" s="348" t="str">
        <f>"'"&amp;$C5121&amp;"'!rows 56, 63, 68"</f>
        <v>'BLD_CD'!rows 56, 63, 68</v>
      </c>
      <c r="H5121" s="381">
        <f ca="1">IF(IFERROR(INDEX(DATA_PROPERTY_MASTER!$E$5:$E$21,MATCH($C5121,DATA_PROPERTY_MASTER!$A$5:$A$21,0))="Yes",FALSE),(IFERROR(INDEX(INDIRECT("'"&amp;$C5121&amp;"'!$E$56:$Y$56"),1,MATCH($D5121,INDIRECT("'"&amp;$C5121&amp;"'!$E$12:$Y$12"),0)),0)+MAX(IFERROR(INDEX(INDIRECT("'"&amp;$C5121&amp;"'!$E$63:$Y$63"),1,MATCH($D5121,INDIRECT("'"&amp;$C5121&amp;"'!$E$12:$Y$12"),0)),0),0))-(IFERROR(INDEX(INDIRECT("'"&amp;$C5121&amp;"'!$E$68:$Y$68"),1,MATCH($D5121,INDIRECT("'"&amp;$C5121&amp;"'!$E$12:$Y$12"),0)),0)),0)</f>
        <v>0</v>
      </c>
      <c r="I5121" s="366" t="s">
        <v>1750</v>
      </c>
      <c r="J5121" s="348" t="str">
        <f t="shared" ca="1" si="158"/>
        <v>OK</v>
      </c>
      <c r="K5121" s="366" t="s">
        <v>1751</v>
      </c>
      <c r="L5121" s="366" t="s">
        <v>2266</v>
      </c>
      <c r="M5121" s="350" t="str">
        <f>IF($B5121="Portfolio","Portfolio",IFERROR(INDEX(DATA_ASSET_CLASSIFICATION!$B$8:$B$24,MATCH($C5121,DATA_ASSET_CLASSIFICATION!$A$8:$A$24,0)),"Review"))</f>
        <v>800 Commercial Drive</v>
      </c>
      <c r="N5121" s="350" t="str">
        <f>IF($B5121="Portfolio","Portfolio",IFERROR(INDEX(DATA_ASSET_CLASSIFICATION!$U$8:$U$24,MATCH($C5121,DATA_ASSET_CLASSIFICATION!$A$8:$A$24,0)),"Review"))</f>
        <v>New Build</v>
      </c>
      <c r="O5121" s="350" t="str">
        <f>IF($B5121="Portfolio","Portfolio",IFERROR(INDEX(DATA_ASSET_CLASSIFICATION!$AB$8:$AB$13,MATCH($N5121,DATA_ASSET_CLASSIFICATION!$AA$8:$AA$13,0)),"Review"))</f>
        <v>Bucket 1 · New Build</v>
      </c>
      <c r="P5121" s="350" t="str">
        <f>IF($B5121="Portfolio","Portfolio",IFERROR(INDEX(DATA_ASSET_CLASSIFICATION!$C$8:$C$24,MATCH($C5121,DATA_ASSET_CLASSIFICATION!$A$8:$A$24,0)),"Review"))</f>
        <v>Yes</v>
      </c>
      <c r="Q5121" s="350" t="str">
        <f t="shared" ca="1" si="159"/>
        <v>OK</v>
      </c>
    </row>
    <row r="5122" spans="1:17" ht="30">
      <c r="A5122" s="366" t="s">
        <v>7078</v>
      </c>
      <c r="B5122" s="366" t="s">
        <v>231</v>
      </c>
      <c r="C5122" s="348" t="str">
        <f>DATA_PROPERTY_MASTER!$A$21</f>
        <v>BLD_CD</v>
      </c>
      <c r="D5122" s="380">
        <f>'00_PORTFOLIO ROLLUP'!Q$12</f>
        <v>2037</v>
      </c>
      <c r="E5122" s="366" t="s">
        <v>1683</v>
      </c>
      <c r="F5122" s="366" t="s">
        <v>341</v>
      </c>
      <c r="G5122" s="348" t="str">
        <f>"'"&amp;$C5122&amp;"'!$E$24:$Y$24"</f>
        <v>'BLD_CD'!$E$24:$Y$24</v>
      </c>
      <c r="H5122" s="381">
        <f ca="1">IF(IFERROR(INDEX(DATA_PROPERTY_MASTER!$E$5:$E$21,MATCH($C5122,DATA_PROPERTY_MASTER!$A$5:$A$21,0))="Yes",FALSE),IFERROR(INDEX(INDIRECT("'"&amp;$C5122&amp;"'!$E$24:$Y$24"),1,MATCH($D5122,INDIRECT("'"&amp;$C5122&amp;"'!$E$12:$Y$12"),0)),0),0)</f>
        <v>2589449.5034707561</v>
      </c>
      <c r="I5122" s="366" t="s">
        <v>1685</v>
      </c>
      <c r="J5122" s="348" t="str">
        <f t="shared" ca="1" si="158"/>
        <v>OK</v>
      </c>
      <c r="K5122" s="366" t="s">
        <v>1686</v>
      </c>
      <c r="L5122" s="366" t="s">
        <v>2234</v>
      </c>
      <c r="M5122" s="350" t="str">
        <f>IF($B5122="Portfolio","Portfolio",IFERROR(INDEX(DATA_ASSET_CLASSIFICATION!$B$8:$B$24,MATCH($C5122,DATA_ASSET_CLASSIFICATION!$A$8:$A$24,0)),"Review"))</f>
        <v>800 Commercial Drive</v>
      </c>
      <c r="N5122" s="350" t="str">
        <f>IF($B5122="Portfolio","Portfolio",IFERROR(INDEX(DATA_ASSET_CLASSIFICATION!$U$8:$U$24,MATCH($C5122,DATA_ASSET_CLASSIFICATION!$A$8:$A$24,0)),"Review"))</f>
        <v>New Build</v>
      </c>
      <c r="O5122" s="350" t="str">
        <f>IF($B5122="Portfolio","Portfolio",IFERROR(INDEX(DATA_ASSET_CLASSIFICATION!$AB$8:$AB$13,MATCH($N5122,DATA_ASSET_CLASSIFICATION!$AA$8:$AA$13,0)),"Review"))</f>
        <v>Bucket 1 · New Build</v>
      </c>
      <c r="P5122" s="350" t="str">
        <f>IF($B5122="Portfolio","Portfolio",IFERROR(INDEX(DATA_ASSET_CLASSIFICATION!$C$8:$C$24,MATCH($C5122,DATA_ASSET_CLASSIFICATION!$A$8:$A$24,0)),"Review"))</f>
        <v>Yes</v>
      </c>
      <c r="Q5122" s="350" t="str">
        <f t="shared" ca="1" si="159"/>
        <v>OK</v>
      </c>
    </row>
    <row r="5123" spans="1:17" ht="30">
      <c r="A5123" s="366" t="s">
        <v>7079</v>
      </c>
      <c r="B5123" s="366" t="s">
        <v>231</v>
      </c>
      <c r="C5123" s="348" t="str">
        <f>DATA_PROPERTY_MASTER!$A$21</f>
        <v>BLD_CD</v>
      </c>
      <c r="D5123" s="380">
        <f>'00_PORTFOLIO ROLLUP'!Q$12</f>
        <v>2037</v>
      </c>
      <c r="E5123" s="366" t="s">
        <v>1683</v>
      </c>
      <c r="F5123" s="366" t="s">
        <v>355</v>
      </c>
      <c r="G5123" s="348" t="str">
        <f>"'"&amp;$C5123&amp;"'!$E$39:$Y$39"</f>
        <v>'BLD_CD'!$E$39:$Y$39</v>
      </c>
      <c r="H5123" s="381">
        <f ca="1">IF(IFERROR(INDEX(DATA_PROPERTY_MASTER!$E$5:$E$21,MATCH($C5123,DATA_PROPERTY_MASTER!$A$5:$A$21,0))="Yes",FALSE),IFERROR(INDEX(INDIRECT("'"&amp;$C5123&amp;"'!$E$39:$Y$39"),1,MATCH($D5123,INDIRECT("'"&amp;$C5123&amp;"'!$E$12:$Y$12"),0)),0),0)</f>
        <v>963255.92573714477</v>
      </c>
      <c r="I5123" s="366" t="s">
        <v>1690</v>
      </c>
      <c r="J5123" s="348" t="str">
        <f t="shared" ca="1" si="158"/>
        <v>OK</v>
      </c>
      <c r="K5123" s="366" t="s">
        <v>1686</v>
      </c>
      <c r="L5123" s="366" t="s">
        <v>2236</v>
      </c>
      <c r="M5123" s="350" t="str">
        <f>IF($B5123="Portfolio","Portfolio",IFERROR(INDEX(DATA_ASSET_CLASSIFICATION!$B$8:$B$24,MATCH($C5123,DATA_ASSET_CLASSIFICATION!$A$8:$A$24,0)),"Review"))</f>
        <v>800 Commercial Drive</v>
      </c>
      <c r="N5123" s="350" t="str">
        <f>IF($B5123="Portfolio","Portfolio",IFERROR(INDEX(DATA_ASSET_CLASSIFICATION!$U$8:$U$24,MATCH($C5123,DATA_ASSET_CLASSIFICATION!$A$8:$A$24,0)),"Review"))</f>
        <v>New Build</v>
      </c>
      <c r="O5123" s="350" t="str">
        <f>IF($B5123="Portfolio","Portfolio",IFERROR(INDEX(DATA_ASSET_CLASSIFICATION!$AB$8:$AB$13,MATCH($N5123,DATA_ASSET_CLASSIFICATION!$AA$8:$AA$13,0)),"Review"))</f>
        <v>Bucket 1 · New Build</v>
      </c>
      <c r="P5123" s="350" t="str">
        <f>IF($B5123="Portfolio","Portfolio",IFERROR(INDEX(DATA_ASSET_CLASSIFICATION!$C$8:$C$24,MATCH($C5123,DATA_ASSET_CLASSIFICATION!$A$8:$A$24,0)),"Review"))</f>
        <v>Yes</v>
      </c>
      <c r="Q5123" s="350" t="str">
        <f t="shared" ca="1" si="159"/>
        <v>OK</v>
      </c>
    </row>
    <row r="5124" spans="1:17" ht="30">
      <c r="A5124" s="366" t="s">
        <v>7080</v>
      </c>
      <c r="B5124" s="366" t="s">
        <v>231</v>
      </c>
      <c r="C5124" s="348" t="str">
        <f>DATA_PROPERTY_MASTER!$A$21</f>
        <v>BLD_CD</v>
      </c>
      <c r="D5124" s="380">
        <f>'00_PORTFOLIO ROLLUP'!Q$12</f>
        <v>2037</v>
      </c>
      <c r="E5124" s="366" t="s">
        <v>1683</v>
      </c>
      <c r="F5124" s="366" t="s">
        <v>19</v>
      </c>
      <c r="G5124" s="348" t="str">
        <f>"'"&amp;$C5124&amp;"'!$E$41:$Y$41"</f>
        <v>'BLD_CD'!$E$41:$Y$41</v>
      </c>
      <c r="H5124" s="381">
        <f ca="1">IF(IFERROR(INDEX(DATA_PROPERTY_MASTER!$E$5:$E$21,MATCH($C5124,DATA_PROPERTY_MASTER!$A$5:$A$21,0))="Yes",FALSE),IFERROR(INDEX(INDIRECT("'"&amp;$C5124&amp;"'!$E$41:$Y$41"),1,MATCH($D5124,INDIRECT("'"&amp;$C5124&amp;"'!$E$12:$Y$12"),0)),0),0)</f>
        <v>1626193.5777336112</v>
      </c>
      <c r="I5124" s="366" t="s">
        <v>1685</v>
      </c>
      <c r="J5124" s="348" t="str">
        <f t="shared" ca="1" si="158"/>
        <v>OK</v>
      </c>
      <c r="K5124" s="366" t="s">
        <v>1694</v>
      </c>
      <c r="L5124" s="366" t="s">
        <v>2238</v>
      </c>
      <c r="M5124" s="350" t="str">
        <f>IF($B5124="Portfolio","Portfolio",IFERROR(INDEX(DATA_ASSET_CLASSIFICATION!$B$8:$B$24,MATCH($C5124,DATA_ASSET_CLASSIFICATION!$A$8:$A$24,0)),"Review"))</f>
        <v>800 Commercial Drive</v>
      </c>
      <c r="N5124" s="350" t="str">
        <f>IF($B5124="Portfolio","Portfolio",IFERROR(INDEX(DATA_ASSET_CLASSIFICATION!$U$8:$U$24,MATCH($C5124,DATA_ASSET_CLASSIFICATION!$A$8:$A$24,0)),"Review"))</f>
        <v>New Build</v>
      </c>
      <c r="O5124" s="350" t="str">
        <f>IF($B5124="Portfolio","Portfolio",IFERROR(INDEX(DATA_ASSET_CLASSIFICATION!$AB$8:$AB$13,MATCH($N5124,DATA_ASSET_CLASSIFICATION!$AA$8:$AA$13,0)),"Review"))</f>
        <v>Bucket 1 · New Build</v>
      </c>
      <c r="P5124" s="350" t="str">
        <f>IF($B5124="Portfolio","Portfolio",IFERROR(INDEX(DATA_ASSET_CLASSIFICATION!$C$8:$C$24,MATCH($C5124,DATA_ASSET_CLASSIFICATION!$A$8:$A$24,0)),"Review"))</f>
        <v>Yes</v>
      </c>
      <c r="Q5124" s="350" t="str">
        <f t="shared" ca="1" si="159"/>
        <v>OK</v>
      </c>
    </row>
    <row r="5125" spans="1:17" ht="30">
      <c r="A5125" s="366" t="s">
        <v>7081</v>
      </c>
      <c r="B5125" s="366" t="s">
        <v>231</v>
      </c>
      <c r="C5125" s="348" t="str">
        <f>DATA_PROPERTY_MASTER!$A$21</f>
        <v>BLD_CD</v>
      </c>
      <c r="D5125" s="380">
        <f>'00_PORTFOLIO ROLLUP'!Q$12</f>
        <v>2037</v>
      </c>
      <c r="E5125" s="366" t="s">
        <v>1683</v>
      </c>
      <c r="F5125" s="366" t="s">
        <v>1697</v>
      </c>
      <c r="G5125" s="348" t="str">
        <f>"'"&amp;$C5125&amp;"'!$E$44:$Y$44"</f>
        <v>'BLD_CD'!$E$44:$Y$44</v>
      </c>
      <c r="H5125" s="381">
        <f ca="1">IF(IFERROR(INDEX(DATA_PROPERTY_MASTER!$E$5:$E$21,MATCH($C5125,DATA_PROPERTY_MASTER!$A$5:$A$21,0))="Yes",FALSE),IFERROR(INDEX(INDIRECT("'"&amp;$C5125&amp;"'!$E$44:$Y$44"),1,MATCH($D5125,INDIRECT("'"&amp;$C5125&amp;"'!$E$12:$Y$12"),0)),0),0)</f>
        <v>17691.973034147508</v>
      </c>
      <c r="I5125" s="366" t="s">
        <v>1690</v>
      </c>
      <c r="J5125" s="348" t="str">
        <f t="shared" ref="J5125:J5188" ca="1" si="160">IF($F5125="Residual Funding Gap",IF($H5125&gt;0,"Funding Gap","OK"),IF(AND($F5125="Net Refinance Position",$H5125&lt;0),"Negative net refi position","OK"))</f>
        <v>OK</v>
      </c>
      <c r="K5125" s="366" t="s">
        <v>1699</v>
      </c>
      <c r="L5125" s="366" t="s">
        <v>2240</v>
      </c>
      <c r="M5125" s="350" t="str">
        <f>IF($B5125="Portfolio","Portfolio",IFERROR(INDEX(DATA_ASSET_CLASSIFICATION!$B$8:$B$24,MATCH($C5125,DATA_ASSET_CLASSIFICATION!$A$8:$A$24,0)),"Review"))</f>
        <v>800 Commercial Drive</v>
      </c>
      <c r="N5125" s="350" t="str">
        <f>IF($B5125="Portfolio","Portfolio",IFERROR(INDEX(DATA_ASSET_CLASSIFICATION!$U$8:$U$24,MATCH($C5125,DATA_ASSET_CLASSIFICATION!$A$8:$A$24,0)),"Review"))</f>
        <v>New Build</v>
      </c>
      <c r="O5125" s="350" t="str">
        <f>IF($B5125="Portfolio","Portfolio",IFERROR(INDEX(DATA_ASSET_CLASSIFICATION!$AB$8:$AB$13,MATCH($N5125,DATA_ASSET_CLASSIFICATION!$AA$8:$AA$13,0)),"Review"))</f>
        <v>Bucket 1 · New Build</v>
      </c>
      <c r="P5125" s="350" t="str">
        <f>IF($B5125="Portfolio","Portfolio",IFERROR(INDEX(DATA_ASSET_CLASSIFICATION!$C$8:$C$24,MATCH($C5125,DATA_ASSET_CLASSIFICATION!$A$8:$A$24,0)),"Review"))</f>
        <v>Yes</v>
      </c>
      <c r="Q5125" s="350" t="str">
        <f t="shared" ref="Q5125:Q5188" ca="1" si="161">IF(AND($B5125="Property",$F5125="Residual Funding Gap",$H5125&gt;0),"Property Funding Gap",IF($J5125&lt;&gt;"OK",$J5125,"OK"))</f>
        <v>OK</v>
      </c>
    </row>
    <row r="5126" spans="1:17" ht="30">
      <c r="A5126" s="366" t="s">
        <v>7082</v>
      </c>
      <c r="B5126" s="366" t="s">
        <v>231</v>
      </c>
      <c r="C5126" s="348" t="str">
        <f>DATA_PROPERTY_MASTER!$A$21</f>
        <v>BLD_CD</v>
      </c>
      <c r="D5126" s="380">
        <f>'00_PORTFOLIO ROLLUP'!Q$12</f>
        <v>2037</v>
      </c>
      <c r="E5126" s="366" t="s">
        <v>1683</v>
      </c>
      <c r="F5126" s="366" t="s">
        <v>21</v>
      </c>
      <c r="G5126" s="348" t="str">
        <f>"'"&amp;$C5126&amp;"'!$E$45:$Y$45"</f>
        <v>'BLD_CD'!$E$45:$Y$45</v>
      </c>
      <c r="H5126" s="381">
        <f ca="1">IF(IFERROR(INDEX(DATA_PROPERTY_MASTER!$E$5:$E$21,MATCH($C5126,DATA_PROPERTY_MASTER!$A$5:$A$21,0))="Yes",FALSE),IFERROR(INDEX(INDIRECT("'"&amp;$C5126&amp;"'!$E$45:$Y$45"),1,MATCH($D5126,INDIRECT("'"&amp;$C5126&amp;"'!$E$12:$Y$12"),0)),0),0)</f>
        <v>1608501.6046994638</v>
      </c>
      <c r="I5126" s="366" t="s">
        <v>1685</v>
      </c>
      <c r="J5126" s="348" t="str">
        <f t="shared" ca="1" si="160"/>
        <v>OK</v>
      </c>
      <c r="K5126" s="366" t="s">
        <v>1694</v>
      </c>
      <c r="L5126" s="366" t="s">
        <v>2242</v>
      </c>
      <c r="M5126" s="350" t="str">
        <f>IF($B5126="Portfolio","Portfolio",IFERROR(INDEX(DATA_ASSET_CLASSIFICATION!$B$8:$B$24,MATCH($C5126,DATA_ASSET_CLASSIFICATION!$A$8:$A$24,0)),"Review"))</f>
        <v>800 Commercial Drive</v>
      </c>
      <c r="N5126" s="350" t="str">
        <f>IF($B5126="Portfolio","Portfolio",IFERROR(INDEX(DATA_ASSET_CLASSIFICATION!$U$8:$U$24,MATCH($C5126,DATA_ASSET_CLASSIFICATION!$A$8:$A$24,0)),"Review"))</f>
        <v>New Build</v>
      </c>
      <c r="O5126" s="350" t="str">
        <f>IF($B5126="Portfolio","Portfolio",IFERROR(INDEX(DATA_ASSET_CLASSIFICATION!$AB$8:$AB$13,MATCH($N5126,DATA_ASSET_CLASSIFICATION!$AA$8:$AA$13,0)),"Review"))</f>
        <v>Bucket 1 · New Build</v>
      </c>
      <c r="P5126" s="350" t="str">
        <f>IF($B5126="Portfolio","Portfolio",IFERROR(INDEX(DATA_ASSET_CLASSIFICATION!$C$8:$C$24,MATCH($C5126,DATA_ASSET_CLASSIFICATION!$A$8:$A$24,0)),"Review"))</f>
        <v>Yes</v>
      </c>
      <c r="Q5126" s="350" t="str">
        <f t="shared" ca="1" si="161"/>
        <v>OK</v>
      </c>
    </row>
    <row r="5127" spans="1:17" ht="30">
      <c r="A5127" s="366" t="s">
        <v>7083</v>
      </c>
      <c r="B5127" s="366" t="s">
        <v>231</v>
      </c>
      <c r="C5127" s="348" t="str">
        <f>DATA_PROPERTY_MASTER!$A$21</f>
        <v>BLD_CD</v>
      </c>
      <c r="D5127" s="380">
        <f>'00_PORTFOLIO ROLLUP'!Q$12</f>
        <v>2037</v>
      </c>
      <c r="E5127" s="366" t="s">
        <v>23</v>
      </c>
      <c r="F5127" s="366" t="s">
        <v>23</v>
      </c>
      <c r="G5127" s="348" t="str">
        <f>"'"&amp;$C5127&amp;"'!$E$48:$Y$48"</f>
        <v>'BLD_CD'!$E$48:$Y$48</v>
      </c>
      <c r="H5127" s="381">
        <f ca="1">IF(IFERROR(INDEX(DATA_PROPERTY_MASTER!$E$5:$E$21,MATCH($C5127,DATA_PROPERTY_MASTER!$A$5:$A$21,0))="Yes",FALSE),IFERROR(INDEX(INDIRECT("'"&amp;$C5127&amp;"'!$E$48:$Y$48"),1,MATCH($D5127,INDIRECT("'"&amp;$C5127&amp;"'!$E$12:$Y$12"),0)),0),0)</f>
        <v>979555.28115311568</v>
      </c>
      <c r="I5127" s="366" t="s">
        <v>1690</v>
      </c>
      <c r="J5127" s="348" t="str">
        <f t="shared" ca="1" si="160"/>
        <v>OK</v>
      </c>
      <c r="K5127" s="366" t="s">
        <v>1706</v>
      </c>
      <c r="L5127" s="366" t="s">
        <v>2244</v>
      </c>
      <c r="M5127" s="350" t="str">
        <f>IF($B5127="Portfolio","Portfolio",IFERROR(INDEX(DATA_ASSET_CLASSIFICATION!$B$8:$B$24,MATCH($C5127,DATA_ASSET_CLASSIFICATION!$A$8:$A$24,0)),"Review"))</f>
        <v>800 Commercial Drive</v>
      </c>
      <c r="N5127" s="350" t="str">
        <f>IF($B5127="Portfolio","Portfolio",IFERROR(INDEX(DATA_ASSET_CLASSIFICATION!$U$8:$U$24,MATCH($C5127,DATA_ASSET_CLASSIFICATION!$A$8:$A$24,0)),"Review"))</f>
        <v>New Build</v>
      </c>
      <c r="O5127" s="350" t="str">
        <f>IF($B5127="Portfolio","Portfolio",IFERROR(INDEX(DATA_ASSET_CLASSIFICATION!$AB$8:$AB$13,MATCH($N5127,DATA_ASSET_CLASSIFICATION!$AA$8:$AA$13,0)),"Review"))</f>
        <v>Bucket 1 · New Build</v>
      </c>
      <c r="P5127" s="350" t="str">
        <f>IF($B5127="Portfolio","Portfolio",IFERROR(INDEX(DATA_ASSET_CLASSIFICATION!$C$8:$C$24,MATCH($C5127,DATA_ASSET_CLASSIFICATION!$A$8:$A$24,0)),"Review"))</f>
        <v>Yes</v>
      </c>
      <c r="Q5127" s="350" t="str">
        <f t="shared" ca="1" si="161"/>
        <v>OK</v>
      </c>
    </row>
    <row r="5128" spans="1:17" ht="30">
      <c r="A5128" s="366" t="s">
        <v>7084</v>
      </c>
      <c r="B5128" s="366" t="s">
        <v>231</v>
      </c>
      <c r="C5128" s="348" t="str">
        <f>DATA_PROPERTY_MASTER!$A$21</f>
        <v>BLD_CD</v>
      </c>
      <c r="D5128" s="380">
        <f>'00_PORTFOLIO ROLLUP'!Q$12</f>
        <v>2037</v>
      </c>
      <c r="E5128" s="366" t="s">
        <v>1683</v>
      </c>
      <c r="F5128" s="366" t="s">
        <v>25</v>
      </c>
      <c r="G5128" s="348" t="str">
        <f>"'"&amp;$C5128&amp;"'!$E$52:$Y$52"</f>
        <v>'BLD_CD'!$E$52:$Y$52</v>
      </c>
      <c r="H5128" s="381">
        <f ca="1">IF(IFERROR(INDEX(DATA_PROPERTY_MASTER!$E$5:$E$21,MATCH($C5128,DATA_PROPERTY_MASTER!$A$5:$A$21,0))="Yes",FALSE),IFERROR(INDEX(INDIRECT("'"&amp;$C5128&amp;"'!$E$52:$Y$52"),1,MATCH($D5128,INDIRECT("'"&amp;$C5128&amp;"'!$E$12:$Y$12"),0)),0),0)</f>
        <v>646638.29658049555</v>
      </c>
      <c r="I5128" s="366" t="s">
        <v>1685</v>
      </c>
      <c r="J5128" s="348" t="str">
        <f t="shared" ca="1" si="160"/>
        <v>OK</v>
      </c>
      <c r="K5128" s="366" t="s">
        <v>1710</v>
      </c>
      <c r="L5128" s="366" t="s">
        <v>2246</v>
      </c>
      <c r="M5128" s="350" t="str">
        <f>IF($B5128="Portfolio","Portfolio",IFERROR(INDEX(DATA_ASSET_CLASSIFICATION!$B$8:$B$24,MATCH($C5128,DATA_ASSET_CLASSIFICATION!$A$8:$A$24,0)),"Review"))</f>
        <v>800 Commercial Drive</v>
      </c>
      <c r="N5128" s="350" t="str">
        <f>IF($B5128="Portfolio","Portfolio",IFERROR(INDEX(DATA_ASSET_CLASSIFICATION!$U$8:$U$24,MATCH($C5128,DATA_ASSET_CLASSIFICATION!$A$8:$A$24,0)),"Review"))</f>
        <v>New Build</v>
      </c>
      <c r="O5128" s="350" t="str">
        <f>IF($B5128="Portfolio","Portfolio",IFERROR(INDEX(DATA_ASSET_CLASSIFICATION!$AB$8:$AB$13,MATCH($N5128,DATA_ASSET_CLASSIFICATION!$AA$8:$AA$13,0)),"Review"))</f>
        <v>Bucket 1 · New Build</v>
      </c>
      <c r="P5128" s="350" t="str">
        <f>IF($B5128="Portfolio","Portfolio",IFERROR(INDEX(DATA_ASSET_CLASSIFICATION!$C$8:$C$24,MATCH($C5128,DATA_ASSET_CLASSIFICATION!$A$8:$A$24,0)),"Review"))</f>
        <v>Yes</v>
      </c>
      <c r="Q5128" s="350" t="str">
        <f t="shared" ca="1" si="161"/>
        <v>OK</v>
      </c>
    </row>
    <row r="5129" spans="1:17" ht="30">
      <c r="A5129" s="366" t="s">
        <v>7085</v>
      </c>
      <c r="B5129" s="366" t="s">
        <v>231</v>
      </c>
      <c r="C5129" s="348" t="str">
        <f>DATA_PROPERTY_MASTER!$A$21</f>
        <v>BLD_CD</v>
      </c>
      <c r="D5129" s="380">
        <f>'00_PORTFOLIO ROLLUP'!Q$12</f>
        <v>2037</v>
      </c>
      <c r="E5129" s="366" t="s">
        <v>1683</v>
      </c>
      <c r="F5129" s="366" t="s">
        <v>27</v>
      </c>
      <c r="G5129" s="348" t="str">
        <f>"'"&amp;$C5129&amp;"'!$E$54:$Y$54"</f>
        <v>'BLD_CD'!$E$54:$Y$54</v>
      </c>
      <c r="H5129" s="381">
        <f ca="1">IF(IFERROR(INDEX(DATA_PROPERTY_MASTER!$E$5:$E$21,MATCH($C5129,DATA_PROPERTY_MASTER!$A$5:$A$21,0))="Yes",FALSE),IFERROR(INDEX(INDIRECT("'"&amp;$C5129&amp;"'!$E$54:$Y$54"),1,MATCH($D5129,INDIRECT("'"&amp;$C5129&amp;"'!$E$12:$Y$12"),0)),0),0)</f>
        <v>387982.97794829734</v>
      </c>
      <c r="I5129" s="366" t="s">
        <v>1690</v>
      </c>
      <c r="J5129" s="348" t="str">
        <f t="shared" ca="1" si="160"/>
        <v>OK</v>
      </c>
      <c r="K5129" s="366" t="s">
        <v>1714</v>
      </c>
      <c r="L5129" s="366" t="s">
        <v>2248</v>
      </c>
      <c r="M5129" s="350" t="str">
        <f>IF($B5129="Portfolio","Portfolio",IFERROR(INDEX(DATA_ASSET_CLASSIFICATION!$B$8:$B$24,MATCH($C5129,DATA_ASSET_CLASSIFICATION!$A$8:$A$24,0)),"Review"))</f>
        <v>800 Commercial Drive</v>
      </c>
      <c r="N5129" s="350" t="str">
        <f>IF($B5129="Portfolio","Portfolio",IFERROR(INDEX(DATA_ASSET_CLASSIFICATION!$U$8:$U$24,MATCH($C5129,DATA_ASSET_CLASSIFICATION!$A$8:$A$24,0)),"Review"))</f>
        <v>New Build</v>
      </c>
      <c r="O5129" s="350" t="str">
        <f>IF($B5129="Portfolio","Portfolio",IFERROR(INDEX(DATA_ASSET_CLASSIFICATION!$AB$8:$AB$13,MATCH($N5129,DATA_ASSET_CLASSIFICATION!$AA$8:$AA$13,0)),"Review"))</f>
        <v>Bucket 1 · New Build</v>
      </c>
      <c r="P5129" s="350" t="str">
        <f>IF($B5129="Portfolio","Portfolio",IFERROR(INDEX(DATA_ASSET_CLASSIFICATION!$C$8:$C$24,MATCH($C5129,DATA_ASSET_CLASSIFICATION!$A$8:$A$24,0)),"Review"))</f>
        <v>Yes</v>
      </c>
      <c r="Q5129" s="350" t="str">
        <f t="shared" ca="1" si="161"/>
        <v>OK</v>
      </c>
    </row>
    <row r="5130" spans="1:17" ht="30">
      <c r="A5130" s="366" t="s">
        <v>7086</v>
      </c>
      <c r="B5130" s="366" t="s">
        <v>231</v>
      </c>
      <c r="C5130" s="348" t="str">
        <f>DATA_PROPERTY_MASTER!$A$21</f>
        <v>BLD_CD</v>
      </c>
      <c r="D5130" s="380">
        <f>'00_PORTFOLIO ROLLUP'!Q$12</f>
        <v>2037</v>
      </c>
      <c r="E5130" s="366" t="s">
        <v>1683</v>
      </c>
      <c r="F5130" s="366" t="s">
        <v>29</v>
      </c>
      <c r="G5130" s="348" t="str">
        <f>"'"&amp;$C5130&amp;"'!$E$56:$Y$56"</f>
        <v>'BLD_CD'!$E$56:$Y$56</v>
      </c>
      <c r="H5130" s="381">
        <f ca="1">IF(IFERROR(INDEX(DATA_PROPERTY_MASTER!$E$5:$E$21,MATCH($C5130,DATA_PROPERTY_MASTER!$A$5:$A$21,0))="Yes",FALSE),IFERROR(INDEX(INDIRECT("'"&amp;$C5130&amp;"'!$E$56:$Y$56"),1,MATCH($D5130,INDIRECT("'"&amp;$C5130&amp;"'!$E$12:$Y$12"),0)),0),0)</f>
        <v>258655.31863219821</v>
      </c>
      <c r="I5130" s="366" t="s">
        <v>1685</v>
      </c>
      <c r="J5130" s="348" t="str">
        <f t="shared" ca="1" si="160"/>
        <v>OK</v>
      </c>
      <c r="K5130" s="366" t="s">
        <v>1718</v>
      </c>
      <c r="L5130" s="366" t="s">
        <v>2250</v>
      </c>
      <c r="M5130" s="350" t="str">
        <f>IF($B5130="Portfolio","Portfolio",IFERROR(INDEX(DATA_ASSET_CLASSIFICATION!$B$8:$B$24,MATCH($C5130,DATA_ASSET_CLASSIFICATION!$A$8:$A$24,0)),"Review"))</f>
        <v>800 Commercial Drive</v>
      </c>
      <c r="N5130" s="350" t="str">
        <f>IF($B5130="Portfolio","Portfolio",IFERROR(INDEX(DATA_ASSET_CLASSIFICATION!$U$8:$U$24,MATCH($C5130,DATA_ASSET_CLASSIFICATION!$A$8:$A$24,0)),"Review"))</f>
        <v>New Build</v>
      </c>
      <c r="O5130" s="350" t="str">
        <f>IF($B5130="Portfolio","Portfolio",IFERROR(INDEX(DATA_ASSET_CLASSIFICATION!$AB$8:$AB$13,MATCH($N5130,DATA_ASSET_CLASSIFICATION!$AA$8:$AA$13,0)),"Review"))</f>
        <v>Bucket 1 · New Build</v>
      </c>
      <c r="P5130" s="350" t="str">
        <f>IF($B5130="Portfolio","Portfolio",IFERROR(INDEX(DATA_ASSET_CLASSIFICATION!$C$8:$C$24,MATCH($C5130,DATA_ASSET_CLASSIFICATION!$A$8:$A$24,0)),"Review"))</f>
        <v>Yes</v>
      </c>
      <c r="Q5130" s="350" t="str">
        <f t="shared" ca="1" si="161"/>
        <v>OK</v>
      </c>
    </row>
    <row r="5131" spans="1:17" ht="30">
      <c r="A5131" s="366" t="s">
        <v>7087</v>
      </c>
      <c r="B5131" s="366" t="s">
        <v>231</v>
      </c>
      <c r="C5131" s="348" t="str">
        <f>DATA_PROPERTY_MASTER!$A$21</f>
        <v>BLD_CD</v>
      </c>
      <c r="D5131" s="380">
        <f>'00_PORTFOLIO ROLLUP'!Q$12</f>
        <v>2037</v>
      </c>
      <c r="E5131" s="366" t="s">
        <v>1721</v>
      </c>
      <c r="F5131" s="366" t="s">
        <v>31</v>
      </c>
      <c r="G5131" s="348" t="str">
        <f>"'"&amp;$C5131&amp;"'!$E$61:$Y$61"</f>
        <v>'BLD_CD'!$E$61:$Y$61</v>
      </c>
      <c r="H5131" s="381">
        <f ca="1">IF(IFERROR(INDEX(DATA_PROPERTY_MASTER!$E$5:$E$21,MATCH($C5131,DATA_PROPERTY_MASTER!$A$5:$A$21,0))="Yes",FALSE),IFERROR(INDEX(INDIRECT("'"&amp;$C5131&amp;"'!$E$61:$Y$61"),1,MATCH($D5131,INDIRECT("'"&amp;$C5131&amp;"'!$E$12:$Y$12"),0)),0),0)</f>
        <v>0</v>
      </c>
      <c r="I5131" s="366" t="s">
        <v>1690</v>
      </c>
      <c r="J5131" s="348" t="str">
        <f t="shared" ca="1" si="160"/>
        <v>OK</v>
      </c>
      <c r="K5131" s="366" t="s">
        <v>1723</v>
      </c>
      <c r="L5131" s="366" t="s">
        <v>2252</v>
      </c>
      <c r="M5131" s="350" t="str">
        <f>IF($B5131="Portfolio","Portfolio",IFERROR(INDEX(DATA_ASSET_CLASSIFICATION!$B$8:$B$24,MATCH($C5131,DATA_ASSET_CLASSIFICATION!$A$8:$A$24,0)),"Review"))</f>
        <v>800 Commercial Drive</v>
      </c>
      <c r="N5131" s="350" t="str">
        <f>IF($B5131="Portfolio","Portfolio",IFERROR(INDEX(DATA_ASSET_CLASSIFICATION!$U$8:$U$24,MATCH($C5131,DATA_ASSET_CLASSIFICATION!$A$8:$A$24,0)),"Review"))</f>
        <v>New Build</v>
      </c>
      <c r="O5131" s="350" t="str">
        <f>IF($B5131="Portfolio","Portfolio",IFERROR(INDEX(DATA_ASSET_CLASSIFICATION!$AB$8:$AB$13,MATCH($N5131,DATA_ASSET_CLASSIFICATION!$AA$8:$AA$13,0)),"Review"))</f>
        <v>Bucket 1 · New Build</v>
      </c>
      <c r="P5131" s="350" t="str">
        <f>IF($B5131="Portfolio","Portfolio",IFERROR(INDEX(DATA_ASSET_CLASSIFICATION!$C$8:$C$24,MATCH($C5131,DATA_ASSET_CLASSIFICATION!$A$8:$A$24,0)),"Review"))</f>
        <v>Yes</v>
      </c>
      <c r="Q5131" s="350" t="str">
        <f t="shared" ca="1" si="161"/>
        <v>OK</v>
      </c>
    </row>
    <row r="5132" spans="1:17" ht="30">
      <c r="A5132" s="366" t="s">
        <v>7088</v>
      </c>
      <c r="B5132" s="366" t="s">
        <v>231</v>
      </c>
      <c r="C5132" s="348" t="str">
        <f>DATA_PROPERTY_MASTER!$A$21</f>
        <v>BLD_CD</v>
      </c>
      <c r="D5132" s="380">
        <f>'00_PORTFOLIO ROLLUP'!Q$12</f>
        <v>2037</v>
      </c>
      <c r="E5132" s="366" t="s">
        <v>1721</v>
      </c>
      <c r="F5132" s="366" t="s">
        <v>33</v>
      </c>
      <c r="G5132" s="348" t="str">
        <f>"'"&amp;$C5132&amp;"'!$E$62:$Y$62"</f>
        <v>'BLD_CD'!$E$62:$Y$62</v>
      </c>
      <c r="H5132" s="381">
        <f ca="1">IF(IFERROR(INDEX(DATA_PROPERTY_MASTER!$E$5:$E$21,MATCH($C5132,DATA_PROPERTY_MASTER!$A$5:$A$21,0))="Yes",FALSE),IFERROR(INDEX(INDIRECT("'"&amp;$C5132&amp;"'!$E$62:$Y$62"),1,MATCH($D5132,INDIRECT("'"&amp;$C5132&amp;"'!$E$12:$Y$12"),0)),0),0)</f>
        <v>0</v>
      </c>
      <c r="I5132" s="366" t="s">
        <v>1685</v>
      </c>
      <c r="J5132" s="348" t="str">
        <f t="shared" ca="1" si="160"/>
        <v>OK</v>
      </c>
      <c r="K5132" s="366" t="s">
        <v>1727</v>
      </c>
      <c r="L5132" s="366" t="s">
        <v>2254</v>
      </c>
      <c r="M5132" s="350" t="str">
        <f>IF($B5132="Portfolio","Portfolio",IFERROR(INDEX(DATA_ASSET_CLASSIFICATION!$B$8:$B$24,MATCH($C5132,DATA_ASSET_CLASSIFICATION!$A$8:$A$24,0)),"Review"))</f>
        <v>800 Commercial Drive</v>
      </c>
      <c r="N5132" s="350" t="str">
        <f>IF($B5132="Portfolio","Portfolio",IFERROR(INDEX(DATA_ASSET_CLASSIFICATION!$U$8:$U$24,MATCH($C5132,DATA_ASSET_CLASSIFICATION!$A$8:$A$24,0)),"Review"))</f>
        <v>New Build</v>
      </c>
      <c r="O5132" s="350" t="str">
        <f>IF($B5132="Portfolio","Portfolio",IFERROR(INDEX(DATA_ASSET_CLASSIFICATION!$AB$8:$AB$13,MATCH($N5132,DATA_ASSET_CLASSIFICATION!$AA$8:$AA$13,0)),"Review"))</f>
        <v>Bucket 1 · New Build</v>
      </c>
      <c r="P5132" s="350" t="str">
        <f>IF($B5132="Portfolio","Portfolio",IFERROR(INDEX(DATA_ASSET_CLASSIFICATION!$C$8:$C$24,MATCH($C5132,DATA_ASSET_CLASSIFICATION!$A$8:$A$24,0)),"Review"))</f>
        <v>Yes</v>
      </c>
      <c r="Q5132" s="350" t="str">
        <f t="shared" ca="1" si="161"/>
        <v>OK</v>
      </c>
    </row>
    <row r="5133" spans="1:17" ht="30">
      <c r="A5133" s="366" t="s">
        <v>7089</v>
      </c>
      <c r="B5133" s="366" t="s">
        <v>231</v>
      </c>
      <c r="C5133" s="348" t="str">
        <f>DATA_PROPERTY_MASTER!$A$21</f>
        <v>BLD_CD</v>
      </c>
      <c r="D5133" s="380">
        <f>'00_PORTFOLIO ROLLUP'!Q$12</f>
        <v>2037</v>
      </c>
      <c r="E5133" s="366" t="s">
        <v>1721</v>
      </c>
      <c r="F5133" s="366" t="s">
        <v>35</v>
      </c>
      <c r="G5133" s="348" t="str">
        <f>"'"&amp;$C5133&amp;"'!$E$63:$Y$63"</f>
        <v>'BLD_CD'!$E$63:$Y$63</v>
      </c>
      <c r="H5133" s="381">
        <f ca="1">IF(IFERROR(INDEX(DATA_PROPERTY_MASTER!$E$5:$E$21,MATCH($C5133,DATA_PROPERTY_MASTER!$A$5:$A$21,0))="Yes",FALSE),IFERROR(INDEX(INDIRECT("'"&amp;$C5133&amp;"'!$E$63:$Y$63"),1,MATCH($D5133,INDIRECT("'"&amp;$C5133&amp;"'!$E$12:$Y$12"),0)),0),0)</f>
        <v>0</v>
      </c>
      <c r="I5133" s="366" t="s">
        <v>1731</v>
      </c>
      <c r="J5133" s="348" t="str">
        <f t="shared" ca="1" si="160"/>
        <v>OK</v>
      </c>
      <c r="K5133" s="366" t="s">
        <v>1732</v>
      </c>
      <c r="L5133" s="366" t="s">
        <v>2256</v>
      </c>
      <c r="M5133" s="350" t="str">
        <f>IF($B5133="Portfolio","Portfolio",IFERROR(INDEX(DATA_ASSET_CLASSIFICATION!$B$8:$B$24,MATCH($C5133,DATA_ASSET_CLASSIFICATION!$A$8:$A$24,0)),"Review"))</f>
        <v>800 Commercial Drive</v>
      </c>
      <c r="N5133" s="350" t="str">
        <f>IF($B5133="Portfolio","Portfolio",IFERROR(INDEX(DATA_ASSET_CLASSIFICATION!$U$8:$U$24,MATCH($C5133,DATA_ASSET_CLASSIFICATION!$A$8:$A$24,0)),"Review"))</f>
        <v>New Build</v>
      </c>
      <c r="O5133" s="350" t="str">
        <f>IF($B5133="Portfolio","Portfolio",IFERROR(INDEX(DATA_ASSET_CLASSIFICATION!$AB$8:$AB$13,MATCH($N5133,DATA_ASSET_CLASSIFICATION!$AA$8:$AA$13,0)),"Review"))</f>
        <v>Bucket 1 · New Build</v>
      </c>
      <c r="P5133" s="350" t="str">
        <f>IF($B5133="Portfolio","Portfolio",IFERROR(INDEX(DATA_ASSET_CLASSIFICATION!$C$8:$C$24,MATCH($C5133,DATA_ASSET_CLASSIFICATION!$A$8:$A$24,0)),"Review"))</f>
        <v>Yes</v>
      </c>
      <c r="Q5133" s="350" t="str">
        <f t="shared" ca="1" si="161"/>
        <v>OK</v>
      </c>
    </row>
    <row r="5134" spans="1:17" ht="30">
      <c r="A5134" s="366" t="s">
        <v>7090</v>
      </c>
      <c r="B5134" s="366" t="s">
        <v>231</v>
      </c>
      <c r="C5134" s="348" t="str">
        <f>DATA_PROPERTY_MASTER!$A$21</f>
        <v>BLD_CD</v>
      </c>
      <c r="D5134" s="380">
        <f>'00_PORTFOLIO ROLLUP'!Q$12</f>
        <v>2037</v>
      </c>
      <c r="E5134" s="366" t="s">
        <v>1721</v>
      </c>
      <c r="F5134" s="366" t="s">
        <v>37</v>
      </c>
      <c r="G5134" s="348" t="str">
        <f>"'"&amp;$C5134&amp;"'!$E$63:$Y$63"</f>
        <v>'BLD_CD'!$E$63:$Y$63</v>
      </c>
      <c r="H5134" s="381">
        <f ca="1">IF(IFERROR(INDEX(DATA_PROPERTY_MASTER!$E$5:$E$21,MATCH($C5134,DATA_PROPERTY_MASTER!$A$5:$A$21,0))="Yes",FALSE),MAX(IFERROR(INDEX(INDIRECT("'"&amp;$C5134&amp;"'!$E$63:$Y$63"),1,MATCH($D5134,INDIRECT("'"&amp;$C5134&amp;"'!$E$12:$Y$12"),0)),0),0),0)</f>
        <v>0</v>
      </c>
      <c r="I5134" s="366" t="s">
        <v>1685</v>
      </c>
      <c r="J5134" s="348" t="str">
        <f t="shared" ca="1" si="160"/>
        <v>OK</v>
      </c>
      <c r="K5134" s="366" t="s">
        <v>1735</v>
      </c>
      <c r="L5134" s="366" t="s">
        <v>2258</v>
      </c>
      <c r="M5134" s="350" t="str">
        <f>IF($B5134="Portfolio","Portfolio",IFERROR(INDEX(DATA_ASSET_CLASSIFICATION!$B$8:$B$24,MATCH($C5134,DATA_ASSET_CLASSIFICATION!$A$8:$A$24,0)),"Review"))</f>
        <v>800 Commercial Drive</v>
      </c>
      <c r="N5134" s="350" t="str">
        <f>IF($B5134="Portfolio","Portfolio",IFERROR(INDEX(DATA_ASSET_CLASSIFICATION!$U$8:$U$24,MATCH($C5134,DATA_ASSET_CLASSIFICATION!$A$8:$A$24,0)),"Review"))</f>
        <v>New Build</v>
      </c>
      <c r="O5134" s="350" t="str">
        <f>IF($B5134="Portfolio","Portfolio",IFERROR(INDEX(DATA_ASSET_CLASSIFICATION!$AB$8:$AB$13,MATCH($N5134,DATA_ASSET_CLASSIFICATION!$AA$8:$AA$13,0)),"Review"))</f>
        <v>Bucket 1 · New Build</v>
      </c>
      <c r="P5134" s="350" t="str">
        <f>IF($B5134="Portfolio","Portfolio",IFERROR(INDEX(DATA_ASSET_CLASSIFICATION!$C$8:$C$24,MATCH($C5134,DATA_ASSET_CLASSIFICATION!$A$8:$A$24,0)),"Review"))</f>
        <v>Yes</v>
      </c>
      <c r="Q5134" s="350" t="str">
        <f t="shared" ca="1" si="161"/>
        <v>OK</v>
      </c>
    </row>
    <row r="5135" spans="1:17" ht="30">
      <c r="A5135" s="366" t="s">
        <v>7091</v>
      </c>
      <c r="B5135" s="366" t="s">
        <v>231</v>
      </c>
      <c r="C5135" s="348" t="str">
        <f>DATA_PROPERTY_MASTER!$A$21</f>
        <v>BLD_CD</v>
      </c>
      <c r="D5135" s="380">
        <f>'00_PORTFOLIO ROLLUP'!Q$12</f>
        <v>2037</v>
      </c>
      <c r="E5135" s="366" t="s">
        <v>1721</v>
      </c>
      <c r="F5135" s="366" t="s">
        <v>39</v>
      </c>
      <c r="G5135" s="348" t="str">
        <f>"'"&amp;$C5135&amp;"'!$E$63:$Y$63"</f>
        <v>'BLD_CD'!$E$63:$Y$63</v>
      </c>
      <c r="H5135" s="381">
        <f ca="1">IF(IFERROR(INDEX(DATA_PROPERTY_MASTER!$E$5:$E$21,MATCH($C5135,DATA_PROPERTY_MASTER!$A$5:$A$21,0))="Yes",FALSE),MAX(-IFERROR(INDEX(INDIRECT("'"&amp;$C5135&amp;"'!$E$63:$Y$63"),1,MATCH($D5135,INDIRECT("'"&amp;$C5135&amp;"'!$E$12:$Y$12"),0)),0),0),0)</f>
        <v>0</v>
      </c>
      <c r="I5135" s="366" t="s">
        <v>1690</v>
      </c>
      <c r="J5135" s="348" t="str">
        <f t="shared" ca="1" si="160"/>
        <v>OK</v>
      </c>
      <c r="K5135" s="366" t="s">
        <v>1738</v>
      </c>
      <c r="L5135" s="366" t="s">
        <v>2260</v>
      </c>
      <c r="M5135" s="350" t="str">
        <f>IF($B5135="Portfolio","Portfolio",IFERROR(INDEX(DATA_ASSET_CLASSIFICATION!$B$8:$B$24,MATCH($C5135,DATA_ASSET_CLASSIFICATION!$A$8:$A$24,0)),"Review"))</f>
        <v>800 Commercial Drive</v>
      </c>
      <c r="N5135" s="350" t="str">
        <f>IF($B5135="Portfolio","Portfolio",IFERROR(INDEX(DATA_ASSET_CLASSIFICATION!$U$8:$U$24,MATCH($C5135,DATA_ASSET_CLASSIFICATION!$A$8:$A$24,0)),"Review"))</f>
        <v>New Build</v>
      </c>
      <c r="O5135" s="350" t="str">
        <f>IF($B5135="Portfolio","Portfolio",IFERROR(INDEX(DATA_ASSET_CLASSIFICATION!$AB$8:$AB$13,MATCH($N5135,DATA_ASSET_CLASSIFICATION!$AA$8:$AA$13,0)),"Review"))</f>
        <v>Bucket 1 · New Build</v>
      </c>
      <c r="P5135" s="350" t="str">
        <f>IF($B5135="Portfolio","Portfolio",IFERROR(INDEX(DATA_ASSET_CLASSIFICATION!$C$8:$C$24,MATCH($C5135,DATA_ASSET_CLASSIFICATION!$A$8:$A$24,0)),"Review"))</f>
        <v>Yes</v>
      </c>
      <c r="Q5135" s="350" t="str">
        <f t="shared" ca="1" si="161"/>
        <v>OK</v>
      </c>
    </row>
    <row r="5136" spans="1:17" ht="30">
      <c r="A5136" s="366" t="s">
        <v>7092</v>
      </c>
      <c r="B5136" s="366" t="s">
        <v>231</v>
      </c>
      <c r="C5136" s="348" t="str">
        <f>DATA_PROPERTY_MASTER!$A$21</f>
        <v>BLD_CD</v>
      </c>
      <c r="D5136" s="380">
        <f>'00_PORTFOLIO ROLLUP'!Q$12</f>
        <v>2037</v>
      </c>
      <c r="E5136" s="366" t="s">
        <v>1741</v>
      </c>
      <c r="F5136" s="366" t="s">
        <v>41</v>
      </c>
      <c r="G5136" s="348" t="str">
        <f>"'"&amp;$C5136&amp;"'!rows 56 + positive row 63"</f>
        <v>'BLD_CD'!rows 56 + positive row 63</v>
      </c>
      <c r="H5136" s="381">
        <f ca="1">IF(IFERROR(INDEX(DATA_PROPERTY_MASTER!$E$5:$E$21,MATCH($C5136,DATA_PROPERTY_MASTER!$A$5:$A$21,0))="Yes",FALSE),IFERROR(INDEX(INDIRECT("'"&amp;$C5136&amp;"'!$E$56:$Y$56"),1,MATCH($D5136,INDIRECT("'"&amp;$C5136&amp;"'!$E$12:$Y$12"),0)),0)+MAX(IFERROR(INDEX(INDIRECT("'"&amp;$C5136&amp;"'!$E$63:$Y$63"),1,MATCH($D5136,INDIRECT("'"&amp;$C5136&amp;"'!$E$12:$Y$12"),0)),0),0),0)</f>
        <v>258655.31863219821</v>
      </c>
      <c r="I5136" s="366" t="s">
        <v>1685</v>
      </c>
      <c r="J5136" s="348" t="str">
        <f t="shared" ca="1" si="160"/>
        <v>OK</v>
      </c>
      <c r="K5136" s="366" t="s">
        <v>1742</v>
      </c>
      <c r="L5136" s="366" t="s">
        <v>2262</v>
      </c>
      <c r="M5136" s="350" t="str">
        <f>IF($B5136="Portfolio","Portfolio",IFERROR(INDEX(DATA_ASSET_CLASSIFICATION!$B$8:$B$24,MATCH($C5136,DATA_ASSET_CLASSIFICATION!$A$8:$A$24,0)),"Review"))</f>
        <v>800 Commercial Drive</v>
      </c>
      <c r="N5136" s="350" t="str">
        <f>IF($B5136="Portfolio","Portfolio",IFERROR(INDEX(DATA_ASSET_CLASSIFICATION!$U$8:$U$24,MATCH($C5136,DATA_ASSET_CLASSIFICATION!$A$8:$A$24,0)),"Review"))</f>
        <v>New Build</v>
      </c>
      <c r="O5136" s="350" t="str">
        <f>IF($B5136="Portfolio","Portfolio",IFERROR(INDEX(DATA_ASSET_CLASSIFICATION!$AB$8:$AB$13,MATCH($N5136,DATA_ASSET_CLASSIFICATION!$AA$8:$AA$13,0)),"Review"))</f>
        <v>Bucket 1 · New Build</v>
      </c>
      <c r="P5136" s="350" t="str">
        <f>IF($B5136="Portfolio","Portfolio",IFERROR(INDEX(DATA_ASSET_CLASSIFICATION!$C$8:$C$24,MATCH($C5136,DATA_ASSET_CLASSIFICATION!$A$8:$A$24,0)),"Review"))</f>
        <v>Yes</v>
      </c>
      <c r="Q5136" s="350" t="str">
        <f t="shared" ca="1" si="161"/>
        <v>OK</v>
      </c>
    </row>
    <row r="5137" spans="1:17" ht="30">
      <c r="A5137" s="366" t="s">
        <v>7093</v>
      </c>
      <c r="B5137" s="366" t="s">
        <v>231</v>
      </c>
      <c r="C5137" s="348" t="str">
        <f>DATA_PROPERTY_MASTER!$A$21</f>
        <v>BLD_CD</v>
      </c>
      <c r="D5137" s="380">
        <f>'00_PORTFOLIO ROLLUP'!Q$12</f>
        <v>2037</v>
      </c>
      <c r="E5137" s="366" t="s">
        <v>1741</v>
      </c>
      <c r="F5137" s="366" t="s">
        <v>43</v>
      </c>
      <c r="G5137" s="348" t="str">
        <f>"'"&amp;$C5137&amp;"'!$E$68:$Y$68"</f>
        <v>'BLD_CD'!$E$68:$Y$68</v>
      </c>
      <c r="H5137" s="381">
        <f ca="1">IF(IFERROR(INDEX(DATA_PROPERTY_MASTER!$E$5:$E$21,MATCH($C5137,DATA_PROPERTY_MASTER!$A$5:$A$21,0))="Yes",FALSE),IFERROR(INDEX(INDIRECT("'"&amp;$C5137&amp;"'!$E$68:$Y$68"),1,MATCH($D5137,INDIRECT("'"&amp;$C5137&amp;"'!$E$12:$Y$12"),0)),0),0)</f>
        <v>258655.31863219821</v>
      </c>
      <c r="I5137" s="366" t="s">
        <v>1731</v>
      </c>
      <c r="J5137" s="348" t="str">
        <f t="shared" ca="1" si="160"/>
        <v>OK</v>
      </c>
      <c r="K5137" s="366" t="s">
        <v>1746</v>
      </c>
      <c r="L5137" s="366" t="s">
        <v>2264</v>
      </c>
      <c r="M5137" s="350" t="str">
        <f>IF($B5137="Portfolio","Portfolio",IFERROR(INDEX(DATA_ASSET_CLASSIFICATION!$B$8:$B$24,MATCH($C5137,DATA_ASSET_CLASSIFICATION!$A$8:$A$24,0)),"Review"))</f>
        <v>800 Commercial Drive</v>
      </c>
      <c r="N5137" s="350" t="str">
        <f>IF($B5137="Portfolio","Portfolio",IFERROR(INDEX(DATA_ASSET_CLASSIFICATION!$U$8:$U$24,MATCH($C5137,DATA_ASSET_CLASSIFICATION!$A$8:$A$24,0)),"Review"))</f>
        <v>New Build</v>
      </c>
      <c r="O5137" s="350" t="str">
        <f>IF($B5137="Portfolio","Portfolio",IFERROR(INDEX(DATA_ASSET_CLASSIFICATION!$AB$8:$AB$13,MATCH($N5137,DATA_ASSET_CLASSIFICATION!$AA$8:$AA$13,0)),"Review"))</f>
        <v>Bucket 1 · New Build</v>
      </c>
      <c r="P5137" s="350" t="str">
        <f>IF($B5137="Portfolio","Portfolio",IFERROR(INDEX(DATA_ASSET_CLASSIFICATION!$C$8:$C$24,MATCH($C5137,DATA_ASSET_CLASSIFICATION!$A$8:$A$24,0)),"Review"))</f>
        <v>Yes</v>
      </c>
      <c r="Q5137" s="350" t="str">
        <f t="shared" ca="1" si="161"/>
        <v>OK</v>
      </c>
    </row>
    <row r="5138" spans="1:17" ht="30">
      <c r="A5138" s="366" t="s">
        <v>7094</v>
      </c>
      <c r="B5138" s="366" t="s">
        <v>231</v>
      </c>
      <c r="C5138" s="348" t="str">
        <f>DATA_PROPERTY_MASTER!$A$21</f>
        <v>BLD_CD</v>
      </c>
      <c r="D5138" s="380">
        <f>'00_PORTFOLIO ROLLUP'!Q$12</f>
        <v>2037</v>
      </c>
      <c r="E5138" s="366" t="s">
        <v>1741</v>
      </c>
      <c r="F5138" s="366" t="s">
        <v>1749</v>
      </c>
      <c r="G5138" s="348" t="str">
        <f>"'"&amp;$C5138&amp;"'!rows 56, 63, 68"</f>
        <v>'BLD_CD'!rows 56, 63, 68</v>
      </c>
      <c r="H5138" s="381">
        <f ca="1">IF(IFERROR(INDEX(DATA_PROPERTY_MASTER!$E$5:$E$21,MATCH($C5138,DATA_PROPERTY_MASTER!$A$5:$A$21,0))="Yes",FALSE),(IFERROR(INDEX(INDIRECT("'"&amp;$C5138&amp;"'!$E$56:$Y$56"),1,MATCH($D5138,INDIRECT("'"&amp;$C5138&amp;"'!$E$12:$Y$12"),0)),0)+MAX(IFERROR(INDEX(INDIRECT("'"&amp;$C5138&amp;"'!$E$63:$Y$63"),1,MATCH($D5138,INDIRECT("'"&amp;$C5138&amp;"'!$E$12:$Y$12"),0)),0),0))-(IFERROR(INDEX(INDIRECT("'"&amp;$C5138&amp;"'!$E$68:$Y$68"),1,MATCH($D5138,INDIRECT("'"&amp;$C5138&amp;"'!$E$12:$Y$12"),0)),0)),0)</f>
        <v>0</v>
      </c>
      <c r="I5138" s="366" t="s">
        <v>1750</v>
      </c>
      <c r="J5138" s="348" t="str">
        <f t="shared" ca="1" si="160"/>
        <v>OK</v>
      </c>
      <c r="K5138" s="366" t="s">
        <v>1751</v>
      </c>
      <c r="L5138" s="366" t="s">
        <v>2266</v>
      </c>
      <c r="M5138" s="350" t="str">
        <f>IF($B5138="Portfolio","Portfolio",IFERROR(INDEX(DATA_ASSET_CLASSIFICATION!$B$8:$B$24,MATCH($C5138,DATA_ASSET_CLASSIFICATION!$A$8:$A$24,0)),"Review"))</f>
        <v>800 Commercial Drive</v>
      </c>
      <c r="N5138" s="350" t="str">
        <f>IF($B5138="Portfolio","Portfolio",IFERROR(INDEX(DATA_ASSET_CLASSIFICATION!$U$8:$U$24,MATCH($C5138,DATA_ASSET_CLASSIFICATION!$A$8:$A$24,0)),"Review"))</f>
        <v>New Build</v>
      </c>
      <c r="O5138" s="350" t="str">
        <f>IF($B5138="Portfolio","Portfolio",IFERROR(INDEX(DATA_ASSET_CLASSIFICATION!$AB$8:$AB$13,MATCH($N5138,DATA_ASSET_CLASSIFICATION!$AA$8:$AA$13,0)),"Review"))</f>
        <v>Bucket 1 · New Build</v>
      </c>
      <c r="P5138" s="350" t="str">
        <f>IF($B5138="Portfolio","Portfolio",IFERROR(INDEX(DATA_ASSET_CLASSIFICATION!$C$8:$C$24,MATCH($C5138,DATA_ASSET_CLASSIFICATION!$A$8:$A$24,0)),"Review"))</f>
        <v>Yes</v>
      </c>
      <c r="Q5138" s="350" t="str">
        <f t="shared" ca="1" si="161"/>
        <v>OK</v>
      </c>
    </row>
    <row r="5139" spans="1:17" ht="30">
      <c r="A5139" s="366" t="s">
        <v>7095</v>
      </c>
      <c r="B5139" s="366" t="s">
        <v>231</v>
      </c>
      <c r="C5139" s="348" t="str">
        <f>DATA_PROPERTY_MASTER!$A$21</f>
        <v>BLD_CD</v>
      </c>
      <c r="D5139" s="380">
        <f>'00_PORTFOLIO ROLLUP'!R$12</f>
        <v>2038</v>
      </c>
      <c r="E5139" s="366" t="s">
        <v>1683</v>
      </c>
      <c r="F5139" s="366" t="s">
        <v>341</v>
      </c>
      <c r="G5139" s="348" t="str">
        <f>"'"&amp;$C5139&amp;"'!$E$24:$Y$24"</f>
        <v>'BLD_CD'!$E$24:$Y$24</v>
      </c>
      <c r="H5139" s="381">
        <f ca="1">IF(IFERROR(INDEX(DATA_PROPERTY_MASTER!$E$5:$E$21,MATCH($C5139,DATA_PROPERTY_MASTER!$A$5:$A$21,0))="Yes",FALSE),IFERROR(INDEX(INDIRECT("'"&amp;$C5139&amp;"'!$E$24:$Y$24"),1,MATCH($D5139,INDIRECT("'"&amp;$C5139&amp;"'!$E$12:$Y$12"),0)),0),0)</f>
        <v>2641238.4935401715</v>
      </c>
      <c r="I5139" s="366" t="s">
        <v>1685</v>
      </c>
      <c r="J5139" s="348" t="str">
        <f t="shared" ca="1" si="160"/>
        <v>OK</v>
      </c>
      <c r="K5139" s="366" t="s">
        <v>1686</v>
      </c>
      <c r="L5139" s="366" t="s">
        <v>2234</v>
      </c>
      <c r="M5139" s="350" t="str">
        <f>IF($B5139="Portfolio","Portfolio",IFERROR(INDEX(DATA_ASSET_CLASSIFICATION!$B$8:$B$24,MATCH($C5139,DATA_ASSET_CLASSIFICATION!$A$8:$A$24,0)),"Review"))</f>
        <v>800 Commercial Drive</v>
      </c>
      <c r="N5139" s="350" t="str">
        <f>IF($B5139="Portfolio","Portfolio",IFERROR(INDEX(DATA_ASSET_CLASSIFICATION!$U$8:$U$24,MATCH($C5139,DATA_ASSET_CLASSIFICATION!$A$8:$A$24,0)),"Review"))</f>
        <v>New Build</v>
      </c>
      <c r="O5139" s="350" t="str">
        <f>IF($B5139="Portfolio","Portfolio",IFERROR(INDEX(DATA_ASSET_CLASSIFICATION!$AB$8:$AB$13,MATCH($N5139,DATA_ASSET_CLASSIFICATION!$AA$8:$AA$13,0)),"Review"))</f>
        <v>Bucket 1 · New Build</v>
      </c>
      <c r="P5139" s="350" t="str">
        <f>IF($B5139="Portfolio","Portfolio",IFERROR(INDEX(DATA_ASSET_CLASSIFICATION!$C$8:$C$24,MATCH($C5139,DATA_ASSET_CLASSIFICATION!$A$8:$A$24,0)),"Review"))</f>
        <v>Yes</v>
      </c>
      <c r="Q5139" s="350" t="str">
        <f t="shared" ca="1" si="161"/>
        <v>OK</v>
      </c>
    </row>
    <row r="5140" spans="1:17" ht="30">
      <c r="A5140" s="366" t="s">
        <v>7096</v>
      </c>
      <c r="B5140" s="366" t="s">
        <v>231</v>
      </c>
      <c r="C5140" s="348" t="str">
        <f>DATA_PROPERTY_MASTER!$A$21</f>
        <v>BLD_CD</v>
      </c>
      <c r="D5140" s="380">
        <f>'00_PORTFOLIO ROLLUP'!R$12</f>
        <v>2038</v>
      </c>
      <c r="E5140" s="366" t="s">
        <v>1683</v>
      </c>
      <c r="F5140" s="366" t="s">
        <v>355</v>
      </c>
      <c r="G5140" s="348" t="str">
        <f>"'"&amp;$C5140&amp;"'!$E$39:$Y$39"</f>
        <v>'BLD_CD'!$E$39:$Y$39</v>
      </c>
      <c r="H5140" s="381">
        <f ca="1">IF(IFERROR(INDEX(DATA_PROPERTY_MASTER!$E$5:$E$21,MATCH($C5140,DATA_PROPERTY_MASTER!$A$5:$A$21,0))="Yes",FALSE),IFERROR(INDEX(INDIRECT("'"&amp;$C5140&amp;"'!$E$39:$Y$39"),1,MATCH($D5140,INDIRECT("'"&amp;$C5140&amp;"'!$E$12:$Y$12"),0)),0),0)</f>
        <v>987337.32388057339</v>
      </c>
      <c r="I5140" s="366" t="s">
        <v>1690</v>
      </c>
      <c r="J5140" s="348" t="str">
        <f t="shared" ca="1" si="160"/>
        <v>OK</v>
      </c>
      <c r="K5140" s="366" t="s">
        <v>1686</v>
      </c>
      <c r="L5140" s="366" t="s">
        <v>2236</v>
      </c>
      <c r="M5140" s="350" t="str">
        <f>IF($B5140="Portfolio","Portfolio",IFERROR(INDEX(DATA_ASSET_CLASSIFICATION!$B$8:$B$24,MATCH($C5140,DATA_ASSET_CLASSIFICATION!$A$8:$A$24,0)),"Review"))</f>
        <v>800 Commercial Drive</v>
      </c>
      <c r="N5140" s="350" t="str">
        <f>IF($B5140="Portfolio","Portfolio",IFERROR(INDEX(DATA_ASSET_CLASSIFICATION!$U$8:$U$24,MATCH($C5140,DATA_ASSET_CLASSIFICATION!$A$8:$A$24,0)),"Review"))</f>
        <v>New Build</v>
      </c>
      <c r="O5140" s="350" t="str">
        <f>IF($B5140="Portfolio","Portfolio",IFERROR(INDEX(DATA_ASSET_CLASSIFICATION!$AB$8:$AB$13,MATCH($N5140,DATA_ASSET_CLASSIFICATION!$AA$8:$AA$13,0)),"Review"))</f>
        <v>Bucket 1 · New Build</v>
      </c>
      <c r="P5140" s="350" t="str">
        <f>IF($B5140="Portfolio","Portfolio",IFERROR(INDEX(DATA_ASSET_CLASSIFICATION!$C$8:$C$24,MATCH($C5140,DATA_ASSET_CLASSIFICATION!$A$8:$A$24,0)),"Review"))</f>
        <v>Yes</v>
      </c>
      <c r="Q5140" s="350" t="str">
        <f t="shared" ca="1" si="161"/>
        <v>OK</v>
      </c>
    </row>
    <row r="5141" spans="1:17" ht="30">
      <c r="A5141" s="366" t="s">
        <v>7097</v>
      </c>
      <c r="B5141" s="366" t="s">
        <v>231</v>
      </c>
      <c r="C5141" s="348" t="str">
        <f>DATA_PROPERTY_MASTER!$A$21</f>
        <v>BLD_CD</v>
      </c>
      <c r="D5141" s="380">
        <f>'00_PORTFOLIO ROLLUP'!R$12</f>
        <v>2038</v>
      </c>
      <c r="E5141" s="366" t="s">
        <v>1683</v>
      </c>
      <c r="F5141" s="366" t="s">
        <v>19</v>
      </c>
      <c r="G5141" s="348" t="str">
        <f>"'"&amp;$C5141&amp;"'!$E$41:$Y$41"</f>
        <v>'BLD_CD'!$E$41:$Y$41</v>
      </c>
      <c r="H5141" s="381">
        <f ca="1">IF(IFERROR(INDEX(DATA_PROPERTY_MASTER!$E$5:$E$21,MATCH($C5141,DATA_PROPERTY_MASTER!$A$5:$A$21,0))="Yes",FALSE),IFERROR(INDEX(INDIRECT("'"&amp;$C5141&amp;"'!$E$41:$Y$41"),1,MATCH($D5141,INDIRECT("'"&amp;$C5141&amp;"'!$E$12:$Y$12"),0)),0),0)</f>
        <v>1653901.1696595983</v>
      </c>
      <c r="I5141" s="366" t="s">
        <v>1685</v>
      </c>
      <c r="J5141" s="348" t="str">
        <f t="shared" ca="1" si="160"/>
        <v>OK</v>
      </c>
      <c r="K5141" s="366" t="s">
        <v>1694</v>
      </c>
      <c r="L5141" s="366" t="s">
        <v>2238</v>
      </c>
      <c r="M5141" s="350" t="str">
        <f>IF($B5141="Portfolio","Portfolio",IFERROR(INDEX(DATA_ASSET_CLASSIFICATION!$B$8:$B$24,MATCH($C5141,DATA_ASSET_CLASSIFICATION!$A$8:$A$24,0)),"Review"))</f>
        <v>800 Commercial Drive</v>
      </c>
      <c r="N5141" s="350" t="str">
        <f>IF($B5141="Portfolio","Portfolio",IFERROR(INDEX(DATA_ASSET_CLASSIFICATION!$U$8:$U$24,MATCH($C5141,DATA_ASSET_CLASSIFICATION!$A$8:$A$24,0)),"Review"))</f>
        <v>New Build</v>
      </c>
      <c r="O5141" s="350" t="str">
        <f>IF($B5141="Portfolio","Portfolio",IFERROR(INDEX(DATA_ASSET_CLASSIFICATION!$AB$8:$AB$13,MATCH($N5141,DATA_ASSET_CLASSIFICATION!$AA$8:$AA$13,0)),"Review"))</f>
        <v>Bucket 1 · New Build</v>
      </c>
      <c r="P5141" s="350" t="str">
        <f>IF($B5141="Portfolio","Portfolio",IFERROR(INDEX(DATA_ASSET_CLASSIFICATION!$C$8:$C$24,MATCH($C5141,DATA_ASSET_CLASSIFICATION!$A$8:$A$24,0)),"Review"))</f>
        <v>Yes</v>
      </c>
      <c r="Q5141" s="350" t="str">
        <f t="shared" ca="1" si="161"/>
        <v>OK</v>
      </c>
    </row>
    <row r="5142" spans="1:17" ht="30">
      <c r="A5142" s="366" t="s">
        <v>7098</v>
      </c>
      <c r="B5142" s="366" t="s">
        <v>231</v>
      </c>
      <c r="C5142" s="348" t="str">
        <f>DATA_PROPERTY_MASTER!$A$21</f>
        <v>BLD_CD</v>
      </c>
      <c r="D5142" s="380">
        <f>'00_PORTFOLIO ROLLUP'!R$12</f>
        <v>2038</v>
      </c>
      <c r="E5142" s="366" t="s">
        <v>1683</v>
      </c>
      <c r="F5142" s="366" t="s">
        <v>1697</v>
      </c>
      <c r="G5142" s="348" t="str">
        <f>"'"&amp;$C5142&amp;"'!$E$44:$Y$44"</f>
        <v>'BLD_CD'!$E$44:$Y$44</v>
      </c>
      <c r="H5142" s="381">
        <f ca="1">IF(IFERROR(INDEX(DATA_PROPERTY_MASTER!$E$5:$E$21,MATCH($C5142,DATA_PROPERTY_MASTER!$A$5:$A$21,0))="Yes",FALSE),IFERROR(INDEX(INDIRECT("'"&amp;$C5142&amp;"'!$E$44:$Y$44"),1,MATCH($D5142,INDIRECT("'"&amp;$C5142&amp;"'!$E$12:$Y$12"),0)),0),0)</f>
        <v>18045.812494830454</v>
      </c>
      <c r="I5142" s="366" t="s">
        <v>1690</v>
      </c>
      <c r="J5142" s="348" t="str">
        <f t="shared" ca="1" si="160"/>
        <v>OK</v>
      </c>
      <c r="K5142" s="366" t="s">
        <v>1699</v>
      </c>
      <c r="L5142" s="366" t="s">
        <v>2240</v>
      </c>
      <c r="M5142" s="350" t="str">
        <f>IF($B5142="Portfolio","Portfolio",IFERROR(INDEX(DATA_ASSET_CLASSIFICATION!$B$8:$B$24,MATCH($C5142,DATA_ASSET_CLASSIFICATION!$A$8:$A$24,0)),"Review"))</f>
        <v>800 Commercial Drive</v>
      </c>
      <c r="N5142" s="350" t="str">
        <f>IF($B5142="Portfolio","Portfolio",IFERROR(INDEX(DATA_ASSET_CLASSIFICATION!$U$8:$U$24,MATCH($C5142,DATA_ASSET_CLASSIFICATION!$A$8:$A$24,0)),"Review"))</f>
        <v>New Build</v>
      </c>
      <c r="O5142" s="350" t="str">
        <f>IF($B5142="Portfolio","Portfolio",IFERROR(INDEX(DATA_ASSET_CLASSIFICATION!$AB$8:$AB$13,MATCH($N5142,DATA_ASSET_CLASSIFICATION!$AA$8:$AA$13,0)),"Review"))</f>
        <v>Bucket 1 · New Build</v>
      </c>
      <c r="P5142" s="350" t="str">
        <f>IF($B5142="Portfolio","Portfolio",IFERROR(INDEX(DATA_ASSET_CLASSIFICATION!$C$8:$C$24,MATCH($C5142,DATA_ASSET_CLASSIFICATION!$A$8:$A$24,0)),"Review"))</f>
        <v>Yes</v>
      </c>
      <c r="Q5142" s="350" t="str">
        <f t="shared" ca="1" si="161"/>
        <v>OK</v>
      </c>
    </row>
    <row r="5143" spans="1:17" ht="30">
      <c r="A5143" s="366" t="s">
        <v>7099</v>
      </c>
      <c r="B5143" s="366" t="s">
        <v>231</v>
      </c>
      <c r="C5143" s="348" t="str">
        <f>DATA_PROPERTY_MASTER!$A$21</f>
        <v>BLD_CD</v>
      </c>
      <c r="D5143" s="380">
        <f>'00_PORTFOLIO ROLLUP'!R$12</f>
        <v>2038</v>
      </c>
      <c r="E5143" s="366" t="s">
        <v>1683</v>
      </c>
      <c r="F5143" s="366" t="s">
        <v>21</v>
      </c>
      <c r="G5143" s="348" t="str">
        <f>"'"&amp;$C5143&amp;"'!$E$45:$Y$45"</f>
        <v>'BLD_CD'!$E$45:$Y$45</v>
      </c>
      <c r="H5143" s="381">
        <f ca="1">IF(IFERROR(INDEX(DATA_PROPERTY_MASTER!$E$5:$E$21,MATCH($C5143,DATA_PROPERTY_MASTER!$A$5:$A$21,0))="Yes",FALSE),IFERROR(INDEX(INDIRECT("'"&amp;$C5143&amp;"'!$E$45:$Y$45"),1,MATCH($D5143,INDIRECT("'"&amp;$C5143&amp;"'!$E$12:$Y$12"),0)),0),0)</f>
        <v>1635855.3571647678</v>
      </c>
      <c r="I5143" s="366" t="s">
        <v>1685</v>
      </c>
      <c r="J5143" s="348" t="str">
        <f t="shared" ca="1" si="160"/>
        <v>OK</v>
      </c>
      <c r="K5143" s="366" t="s">
        <v>1694</v>
      </c>
      <c r="L5143" s="366" t="s">
        <v>2242</v>
      </c>
      <c r="M5143" s="350" t="str">
        <f>IF($B5143="Portfolio","Portfolio",IFERROR(INDEX(DATA_ASSET_CLASSIFICATION!$B$8:$B$24,MATCH($C5143,DATA_ASSET_CLASSIFICATION!$A$8:$A$24,0)),"Review"))</f>
        <v>800 Commercial Drive</v>
      </c>
      <c r="N5143" s="350" t="str">
        <f>IF($B5143="Portfolio","Portfolio",IFERROR(INDEX(DATA_ASSET_CLASSIFICATION!$U$8:$U$24,MATCH($C5143,DATA_ASSET_CLASSIFICATION!$A$8:$A$24,0)),"Review"))</f>
        <v>New Build</v>
      </c>
      <c r="O5143" s="350" t="str">
        <f>IF($B5143="Portfolio","Portfolio",IFERROR(INDEX(DATA_ASSET_CLASSIFICATION!$AB$8:$AB$13,MATCH($N5143,DATA_ASSET_CLASSIFICATION!$AA$8:$AA$13,0)),"Review"))</f>
        <v>Bucket 1 · New Build</v>
      </c>
      <c r="P5143" s="350" t="str">
        <f>IF($B5143="Portfolio","Portfolio",IFERROR(INDEX(DATA_ASSET_CLASSIFICATION!$C$8:$C$24,MATCH($C5143,DATA_ASSET_CLASSIFICATION!$A$8:$A$24,0)),"Review"))</f>
        <v>Yes</v>
      </c>
      <c r="Q5143" s="350" t="str">
        <f t="shared" ca="1" si="161"/>
        <v>OK</v>
      </c>
    </row>
    <row r="5144" spans="1:17" ht="30">
      <c r="A5144" s="366" t="s">
        <v>7100</v>
      </c>
      <c r="B5144" s="366" t="s">
        <v>231</v>
      </c>
      <c r="C5144" s="348" t="str">
        <f>DATA_PROPERTY_MASTER!$A$21</f>
        <v>BLD_CD</v>
      </c>
      <c r="D5144" s="380">
        <f>'00_PORTFOLIO ROLLUP'!R$12</f>
        <v>2038</v>
      </c>
      <c r="E5144" s="366" t="s">
        <v>23</v>
      </c>
      <c r="F5144" s="366" t="s">
        <v>23</v>
      </c>
      <c r="G5144" s="348" t="str">
        <f>"'"&amp;$C5144&amp;"'!$E$48:$Y$48"</f>
        <v>'BLD_CD'!$E$48:$Y$48</v>
      </c>
      <c r="H5144" s="381">
        <f ca="1">IF(IFERROR(INDEX(DATA_PROPERTY_MASTER!$E$5:$E$21,MATCH($C5144,DATA_PROPERTY_MASTER!$A$5:$A$21,0))="Yes",FALSE),IFERROR(INDEX(INDIRECT("'"&amp;$C5144&amp;"'!$E$48:$Y$48"),1,MATCH($D5144,INDIRECT("'"&amp;$C5144&amp;"'!$E$12:$Y$12"),0)),0),0)</f>
        <v>979555.28115311568</v>
      </c>
      <c r="I5144" s="366" t="s">
        <v>1690</v>
      </c>
      <c r="J5144" s="348" t="str">
        <f t="shared" ca="1" si="160"/>
        <v>OK</v>
      </c>
      <c r="K5144" s="366" t="s">
        <v>1706</v>
      </c>
      <c r="L5144" s="366" t="s">
        <v>2244</v>
      </c>
      <c r="M5144" s="350" t="str">
        <f>IF($B5144="Portfolio","Portfolio",IFERROR(INDEX(DATA_ASSET_CLASSIFICATION!$B$8:$B$24,MATCH($C5144,DATA_ASSET_CLASSIFICATION!$A$8:$A$24,0)),"Review"))</f>
        <v>800 Commercial Drive</v>
      </c>
      <c r="N5144" s="350" t="str">
        <f>IF($B5144="Portfolio","Portfolio",IFERROR(INDEX(DATA_ASSET_CLASSIFICATION!$U$8:$U$24,MATCH($C5144,DATA_ASSET_CLASSIFICATION!$A$8:$A$24,0)),"Review"))</f>
        <v>New Build</v>
      </c>
      <c r="O5144" s="350" t="str">
        <f>IF($B5144="Portfolio","Portfolio",IFERROR(INDEX(DATA_ASSET_CLASSIFICATION!$AB$8:$AB$13,MATCH($N5144,DATA_ASSET_CLASSIFICATION!$AA$8:$AA$13,0)),"Review"))</f>
        <v>Bucket 1 · New Build</v>
      </c>
      <c r="P5144" s="350" t="str">
        <f>IF($B5144="Portfolio","Portfolio",IFERROR(INDEX(DATA_ASSET_CLASSIFICATION!$C$8:$C$24,MATCH($C5144,DATA_ASSET_CLASSIFICATION!$A$8:$A$24,0)),"Review"))</f>
        <v>Yes</v>
      </c>
      <c r="Q5144" s="350" t="str">
        <f t="shared" ca="1" si="161"/>
        <v>OK</v>
      </c>
    </row>
    <row r="5145" spans="1:17" ht="30">
      <c r="A5145" s="366" t="s">
        <v>7101</v>
      </c>
      <c r="B5145" s="366" t="s">
        <v>231</v>
      </c>
      <c r="C5145" s="348" t="str">
        <f>DATA_PROPERTY_MASTER!$A$21</f>
        <v>BLD_CD</v>
      </c>
      <c r="D5145" s="380">
        <f>'00_PORTFOLIO ROLLUP'!R$12</f>
        <v>2038</v>
      </c>
      <c r="E5145" s="366" t="s">
        <v>1683</v>
      </c>
      <c r="F5145" s="366" t="s">
        <v>25</v>
      </c>
      <c r="G5145" s="348" t="str">
        <f>"'"&amp;$C5145&amp;"'!$E$52:$Y$52"</f>
        <v>'BLD_CD'!$E$52:$Y$52</v>
      </c>
      <c r="H5145" s="381">
        <f ca="1">IF(IFERROR(INDEX(DATA_PROPERTY_MASTER!$E$5:$E$21,MATCH($C5145,DATA_PROPERTY_MASTER!$A$5:$A$21,0))="Yes",FALSE),IFERROR(INDEX(INDIRECT("'"&amp;$C5145&amp;"'!$E$52:$Y$52"),1,MATCH($D5145,INDIRECT("'"&amp;$C5145&amp;"'!$E$12:$Y$12"),0)),0),0)</f>
        <v>674345.88850648259</v>
      </c>
      <c r="I5145" s="366" t="s">
        <v>1685</v>
      </c>
      <c r="J5145" s="348" t="str">
        <f t="shared" ca="1" si="160"/>
        <v>OK</v>
      </c>
      <c r="K5145" s="366" t="s">
        <v>1710</v>
      </c>
      <c r="L5145" s="366" t="s">
        <v>2246</v>
      </c>
      <c r="M5145" s="350" t="str">
        <f>IF($B5145="Portfolio","Portfolio",IFERROR(INDEX(DATA_ASSET_CLASSIFICATION!$B$8:$B$24,MATCH($C5145,DATA_ASSET_CLASSIFICATION!$A$8:$A$24,0)),"Review"))</f>
        <v>800 Commercial Drive</v>
      </c>
      <c r="N5145" s="350" t="str">
        <f>IF($B5145="Portfolio","Portfolio",IFERROR(INDEX(DATA_ASSET_CLASSIFICATION!$U$8:$U$24,MATCH($C5145,DATA_ASSET_CLASSIFICATION!$A$8:$A$24,0)),"Review"))</f>
        <v>New Build</v>
      </c>
      <c r="O5145" s="350" t="str">
        <f>IF($B5145="Portfolio","Portfolio",IFERROR(INDEX(DATA_ASSET_CLASSIFICATION!$AB$8:$AB$13,MATCH($N5145,DATA_ASSET_CLASSIFICATION!$AA$8:$AA$13,0)),"Review"))</f>
        <v>Bucket 1 · New Build</v>
      </c>
      <c r="P5145" s="350" t="str">
        <f>IF($B5145="Portfolio","Portfolio",IFERROR(INDEX(DATA_ASSET_CLASSIFICATION!$C$8:$C$24,MATCH($C5145,DATA_ASSET_CLASSIFICATION!$A$8:$A$24,0)),"Review"))</f>
        <v>Yes</v>
      </c>
      <c r="Q5145" s="350" t="str">
        <f t="shared" ca="1" si="161"/>
        <v>OK</v>
      </c>
    </row>
    <row r="5146" spans="1:17" ht="30">
      <c r="A5146" s="366" t="s">
        <v>7102</v>
      </c>
      <c r="B5146" s="366" t="s">
        <v>231</v>
      </c>
      <c r="C5146" s="348" t="str">
        <f>DATA_PROPERTY_MASTER!$A$21</f>
        <v>BLD_CD</v>
      </c>
      <c r="D5146" s="380">
        <f>'00_PORTFOLIO ROLLUP'!R$12</f>
        <v>2038</v>
      </c>
      <c r="E5146" s="366" t="s">
        <v>1683</v>
      </c>
      <c r="F5146" s="366" t="s">
        <v>27</v>
      </c>
      <c r="G5146" s="348" t="str">
        <f>"'"&amp;$C5146&amp;"'!$E$54:$Y$54"</f>
        <v>'BLD_CD'!$E$54:$Y$54</v>
      </c>
      <c r="H5146" s="381">
        <f ca="1">IF(IFERROR(INDEX(DATA_PROPERTY_MASTER!$E$5:$E$21,MATCH($C5146,DATA_PROPERTY_MASTER!$A$5:$A$21,0))="Yes",FALSE),IFERROR(INDEX(INDIRECT("'"&amp;$C5146&amp;"'!$E$54:$Y$54"),1,MATCH($D5146,INDIRECT("'"&amp;$C5146&amp;"'!$E$12:$Y$12"),0)),0),0)</f>
        <v>404607.53310388955</v>
      </c>
      <c r="I5146" s="366" t="s">
        <v>1690</v>
      </c>
      <c r="J5146" s="348" t="str">
        <f t="shared" ca="1" si="160"/>
        <v>OK</v>
      </c>
      <c r="K5146" s="366" t="s">
        <v>1714</v>
      </c>
      <c r="L5146" s="366" t="s">
        <v>2248</v>
      </c>
      <c r="M5146" s="350" t="str">
        <f>IF($B5146="Portfolio","Portfolio",IFERROR(INDEX(DATA_ASSET_CLASSIFICATION!$B$8:$B$24,MATCH($C5146,DATA_ASSET_CLASSIFICATION!$A$8:$A$24,0)),"Review"))</f>
        <v>800 Commercial Drive</v>
      </c>
      <c r="N5146" s="350" t="str">
        <f>IF($B5146="Portfolio","Portfolio",IFERROR(INDEX(DATA_ASSET_CLASSIFICATION!$U$8:$U$24,MATCH($C5146,DATA_ASSET_CLASSIFICATION!$A$8:$A$24,0)),"Review"))</f>
        <v>New Build</v>
      </c>
      <c r="O5146" s="350" t="str">
        <f>IF($B5146="Portfolio","Portfolio",IFERROR(INDEX(DATA_ASSET_CLASSIFICATION!$AB$8:$AB$13,MATCH($N5146,DATA_ASSET_CLASSIFICATION!$AA$8:$AA$13,0)),"Review"))</f>
        <v>Bucket 1 · New Build</v>
      </c>
      <c r="P5146" s="350" t="str">
        <f>IF($B5146="Portfolio","Portfolio",IFERROR(INDEX(DATA_ASSET_CLASSIFICATION!$C$8:$C$24,MATCH($C5146,DATA_ASSET_CLASSIFICATION!$A$8:$A$24,0)),"Review"))</f>
        <v>Yes</v>
      </c>
      <c r="Q5146" s="350" t="str">
        <f t="shared" ca="1" si="161"/>
        <v>OK</v>
      </c>
    </row>
    <row r="5147" spans="1:17" ht="30">
      <c r="A5147" s="366" t="s">
        <v>7103</v>
      </c>
      <c r="B5147" s="366" t="s">
        <v>231</v>
      </c>
      <c r="C5147" s="348" t="str">
        <f>DATA_PROPERTY_MASTER!$A$21</f>
        <v>BLD_CD</v>
      </c>
      <c r="D5147" s="380">
        <f>'00_PORTFOLIO ROLLUP'!R$12</f>
        <v>2038</v>
      </c>
      <c r="E5147" s="366" t="s">
        <v>1683</v>
      </c>
      <c r="F5147" s="366" t="s">
        <v>29</v>
      </c>
      <c r="G5147" s="348" t="str">
        <f>"'"&amp;$C5147&amp;"'!$E$56:$Y$56"</f>
        <v>'BLD_CD'!$E$56:$Y$56</v>
      </c>
      <c r="H5147" s="381">
        <f ca="1">IF(IFERROR(INDEX(DATA_PROPERTY_MASTER!$E$5:$E$21,MATCH($C5147,DATA_PROPERTY_MASTER!$A$5:$A$21,0))="Yes",FALSE),IFERROR(INDEX(INDIRECT("'"&amp;$C5147&amp;"'!$E$56:$Y$56"),1,MATCH($D5147,INDIRECT("'"&amp;$C5147&amp;"'!$E$12:$Y$12"),0)),0),0)</f>
        <v>269738.35540259304</v>
      </c>
      <c r="I5147" s="366" t="s">
        <v>1685</v>
      </c>
      <c r="J5147" s="348" t="str">
        <f t="shared" ca="1" si="160"/>
        <v>OK</v>
      </c>
      <c r="K5147" s="366" t="s">
        <v>1718</v>
      </c>
      <c r="L5147" s="366" t="s">
        <v>2250</v>
      </c>
      <c r="M5147" s="350" t="str">
        <f>IF($B5147="Portfolio","Portfolio",IFERROR(INDEX(DATA_ASSET_CLASSIFICATION!$B$8:$B$24,MATCH($C5147,DATA_ASSET_CLASSIFICATION!$A$8:$A$24,0)),"Review"))</f>
        <v>800 Commercial Drive</v>
      </c>
      <c r="N5147" s="350" t="str">
        <f>IF($B5147="Portfolio","Portfolio",IFERROR(INDEX(DATA_ASSET_CLASSIFICATION!$U$8:$U$24,MATCH($C5147,DATA_ASSET_CLASSIFICATION!$A$8:$A$24,0)),"Review"))</f>
        <v>New Build</v>
      </c>
      <c r="O5147" s="350" t="str">
        <f>IF($B5147="Portfolio","Portfolio",IFERROR(INDEX(DATA_ASSET_CLASSIFICATION!$AB$8:$AB$13,MATCH($N5147,DATA_ASSET_CLASSIFICATION!$AA$8:$AA$13,0)),"Review"))</f>
        <v>Bucket 1 · New Build</v>
      </c>
      <c r="P5147" s="350" t="str">
        <f>IF($B5147="Portfolio","Portfolio",IFERROR(INDEX(DATA_ASSET_CLASSIFICATION!$C$8:$C$24,MATCH($C5147,DATA_ASSET_CLASSIFICATION!$A$8:$A$24,0)),"Review"))</f>
        <v>Yes</v>
      </c>
      <c r="Q5147" s="350" t="str">
        <f t="shared" ca="1" si="161"/>
        <v>OK</v>
      </c>
    </row>
    <row r="5148" spans="1:17" ht="30">
      <c r="A5148" s="366" t="s">
        <v>7104</v>
      </c>
      <c r="B5148" s="366" t="s">
        <v>231</v>
      </c>
      <c r="C5148" s="348" t="str">
        <f>DATA_PROPERTY_MASTER!$A$21</f>
        <v>BLD_CD</v>
      </c>
      <c r="D5148" s="380">
        <f>'00_PORTFOLIO ROLLUP'!R$12</f>
        <v>2038</v>
      </c>
      <c r="E5148" s="366" t="s">
        <v>1721</v>
      </c>
      <c r="F5148" s="366" t="s">
        <v>31</v>
      </c>
      <c r="G5148" s="348" t="str">
        <f>"'"&amp;$C5148&amp;"'!$E$61:$Y$61"</f>
        <v>'BLD_CD'!$E$61:$Y$61</v>
      </c>
      <c r="H5148" s="381">
        <f ca="1">IF(IFERROR(INDEX(DATA_PROPERTY_MASTER!$E$5:$E$21,MATCH($C5148,DATA_PROPERTY_MASTER!$A$5:$A$21,0))="Yes",FALSE),IFERROR(INDEX(INDIRECT("'"&amp;$C5148&amp;"'!$E$61:$Y$61"),1,MATCH($D5148,INDIRECT("'"&amp;$C5148&amp;"'!$E$12:$Y$12"),0)),0),0)</f>
        <v>0</v>
      </c>
      <c r="I5148" s="366" t="s">
        <v>1690</v>
      </c>
      <c r="J5148" s="348" t="str">
        <f t="shared" ca="1" si="160"/>
        <v>OK</v>
      </c>
      <c r="K5148" s="366" t="s">
        <v>1723</v>
      </c>
      <c r="L5148" s="366" t="s">
        <v>2252</v>
      </c>
      <c r="M5148" s="350" t="str">
        <f>IF($B5148="Portfolio","Portfolio",IFERROR(INDEX(DATA_ASSET_CLASSIFICATION!$B$8:$B$24,MATCH($C5148,DATA_ASSET_CLASSIFICATION!$A$8:$A$24,0)),"Review"))</f>
        <v>800 Commercial Drive</v>
      </c>
      <c r="N5148" s="350" t="str">
        <f>IF($B5148="Portfolio","Portfolio",IFERROR(INDEX(DATA_ASSET_CLASSIFICATION!$U$8:$U$24,MATCH($C5148,DATA_ASSET_CLASSIFICATION!$A$8:$A$24,0)),"Review"))</f>
        <v>New Build</v>
      </c>
      <c r="O5148" s="350" t="str">
        <f>IF($B5148="Portfolio","Portfolio",IFERROR(INDEX(DATA_ASSET_CLASSIFICATION!$AB$8:$AB$13,MATCH($N5148,DATA_ASSET_CLASSIFICATION!$AA$8:$AA$13,0)),"Review"))</f>
        <v>Bucket 1 · New Build</v>
      </c>
      <c r="P5148" s="350" t="str">
        <f>IF($B5148="Portfolio","Portfolio",IFERROR(INDEX(DATA_ASSET_CLASSIFICATION!$C$8:$C$24,MATCH($C5148,DATA_ASSET_CLASSIFICATION!$A$8:$A$24,0)),"Review"))</f>
        <v>Yes</v>
      </c>
      <c r="Q5148" s="350" t="str">
        <f t="shared" ca="1" si="161"/>
        <v>OK</v>
      </c>
    </row>
    <row r="5149" spans="1:17" ht="30">
      <c r="A5149" s="366" t="s">
        <v>7105</v>
      </c>
      <c r="B5149" s="366" t="s">
        <v>231</v>
      </c>
      <c r="C5149" s="348" t="str">
        <f>DATA_PROPERTY_MASTER!$A$21</f>
        <v>BLD_CD</v>
      </c>
      <c r="D5149" s="380">
        <f>'00_PORTFOLIO ROLLUP'!R$12</f>
        <v>2038</v>
      </c>
      <c r="E5149" s="366" t="s">
        <v>1721</v>
      </c>
      <c r="F5149" s="366" t="s">
        <v>33</v>
      </c>
      <c r="G5149" s="348" t="str">
        <f>"'"&amp;$C5149&amp;"'!$E$62:$Y$62"</f>
        <v>'BLD_CD'!$E$62:$Y$62</v>
      </c>
      <c r="H5149" s="381">
        <f ca="1">IF(IFERROR(INDEX(DATA_PROPERTY_MASTER!$E$5:$E$21,MATCH($C5149,DATA_PROPERTY_MASTER!$A$5:$A$21,0))="Yes",FALSE),IFERROR(INDEX(INDIRECT("'"&amp;$C5149&amp;"'!$E$62:$Y$62"),1,MATCH($D5149,INDIRECT("'"&amp;$C5149&amp;"'!$E$12:$Y$12"),0)),0),0)</f>
        <v>0</v>
      </c>
      <c r="I5149" s="366" t="s">
        <v>1685</v>
      </c>
      <c r="J5149" s="348" t="str">
        <f t="shared" ca="1" si="160"/>
        <v>OK</v>
      </c>
      <c r="K5149" s="366" t="s">
        <v>1727</v>
      </c>
      <c r="L5149" s="366" t="s">
        <v>2254</v>
      </c>
      <c r="M5149" s="350" t="str">
        <f>IF($B5149="Portfolio","Portfolio",IFERROR(INDEX(DATA_ASSET_CLASSIFICATION!$B$8:$B$24,MATCH($C5149,DATA_ASSET_CLASSIFICATION!$A$8:$A$24,0)),"Review"))</f>
        <v>800 Commercial Drive</v>
      </c>
      <c r="N5149" s="350" t="str">
        <f>IF($B5149="Portfolio","Portfolio",IFERROR(INDEX(DATA_ASSET_CLASSIFICATION!$U$8:$U$24,MATCH($C5149,DATA_ASSET_CLASSIFICATION!$A$8:$A$24,0)),"Review"))</f>
        <v>New Build</v>
      </c>
      <c r="O5149" s="350" t="str">
        <f>IF($B5149="Portfolio","Portfolio",IFERROR(INDEX(DATA_ASSET_CLASSIFICATION!$AB$8:$AB$13,MATCH($N5149,DATA_ASSET_CLASSIFICATION!$AA$8:$AA$13,0)),"Review"))</f>
        <v>Bucket 1 · New Build</v>
      </c>
      <c r="P5149" s="350" t="str">
        <f>IF($B5149="Portfolio","Portfolio",IFERROR(INDEX(DATA_ASSET_CLASSIFICATION!$C$8:$C$24,MATCH($C5149,DATA_ASSET_CLASSIFICATION!$A$8:$A$24,0)),"Review"))</f>
        <v>Yes</v>
      </c>
      <c r="Q5149" s="350" t="str">
        <f t="shared" ca="1" si="161"/>
        <v>OK</v>
      </c>
    </row>
    <row r="5150" spans="1:17" ht="30">
      <c r="A5150" s="366" t="s">
        <v>7106</v>
      </c>
      <c r="B5150" s="366" t="s">
        <v>231</v>
      </c>
      <c r="C5150" s="348" t="str">
        <f>DATA_PROPERTY_MASTER!$A$21</f>
        <v>BLD_CD</v>
      </c>
      <c r="D5150" s="380">
        <f>'00_PORTFOLIO ROLLUP'!R$12</f>
        <v>2038</v>
      </c>
      <c r="E5150" s="366" t="s">
        <v>1721</v>
      </c>
      <c r="F5150" s="366" t="s">
        <v>35</v>
      </c>
      <c r="G5150" s="348" t="str">
        <f>"'"&amp;$C5150&amp;"'!$E$63:$Y$63"</f>
        <v>'BLD_CD'!$E$63:$Y$63</v>
      </c>
      <c r="H5150" s="381">
        <f ca="1">IF(IFERROR(INDEX(DATA_PROPERTY_MASTER!$E$5:$E$21,MATCH($C5150,DATA_PROPERTY_MASTER!$A$5:$A$21,0))="Yes",FALSE),IFERROR(INDEX(INDIRECT("'"&amp;$C5150&amp;"'!$E$63:$Y$63"),1,MATCH($D5150,INDIRECT("'"&amp;$C5150&amp;"'!$E$12:$Y$12"),0)),0),0)</f>
        <v>0</v>
      </c>
      <c r="I5150" s="366" t="s">
        <v>1731</v>
      </c>
      <c r="J5150" s="348" t="str">
        <f t="shared" ca="1" si="160"/>
        <v>OK</v>
      </c>
      <c r="K5150" s="366" t="s">
        <v>1732</v>
      </c>
      <c r="L5150" s="366" t="s">
        <v>2256</v>
      </c>
      <c r="M5150" s="350" t="str">
        <f>IF($B5150="Portfolio","Portfolio",IFERROR(INDEX(DATA_ASSET_CLASSIFICATION!$B$8:$B$24,MATCH($C5150,DATA_ASSET_CLASSIFICATION!$A$8:$A$24,0)),"Review"))</f>
        <v>800 Commercial Drive</v>
      </c>
      <c r="N5150" s="350" t="str">
        <f>IF($B5150="Portfolio","Portfolio",IFERROR(INDEX(DATA_ASSET_CLASSIFICATION!$U$8:$U$24,MATCH($C5150,DATA_ASSET_CLASSIFICATION!$A$8:$A$24,0)),"Review"))</f>
        <v>New Build</v>
      </c>
      <c r="O5150" s="350" t="str">
        <f>IF($B5150="Portfolio","Portfolio",IFERROR(INDEX(DATA_ASSET_CLASSIFICATION!$AB$8:$AB$13,MATCH($N5150,DATA_ASSET_CLASSIFICATION!$AA$8:$AA$13,0)),"Review"))</f>
        <v>Bucket 1 · New Build</v>
      </c>
      <c r="P5150" s="350" t="str">
        <f>IF($B5150="Portfolio","Portfolio",IFERROR(INDEX(DATA_ASSET_CLASSIFICATION!$C$8:$C$24,MATCH($C5150,DATA_ASSET_CLASSIFICATION!$A$8:$A$24,0)),"Review"))</f>
        <v>Yes</v>
      </c>
      <c r="Q5150" s="350" t="str">
        <f t="shared" ca="1" si="161"/>
        <v>OK</v>
      </c>
    </row>
    <row r="5151" spans="1:17" ht="30">
      <c r="A5151" s="366" t="s">
        <v>7107</v>
      </c>
      <c r="B5151" s="366" t="s">
        <v>231</v>
      </c>
      <c r="C5151" s="348" t="str">
        <f>DATA_PROPERTY_MASTER!$A$21</f>
        <v>BLD_CD</v>
      </c>
      <c r="D5151" s="380">
        <f>'00_PORTFOLIO ROLLUP'!R$12</f>
        <v>2038</v>
      </c>
      <c r="E5151" s="366" t="s">
        <v>1721</v>
      </c>
      <c r="F5151" s="366" t="s">
        <v>37</v>
      </c>
      <c r="G5151" s="348" t="str">
        <f>"'"&amp;$C5151&amp;"'!$E$63:$Y$63"</f>
        <v>'BLD_CD'!$E$63:$Y$63</v>
      </c>
      <c r="H5151" s="381">
        <f ca="1">IF(IFERROR(INDEX(DATA_PROPERTY_MASTER!$E$5:$E$21,MATCH($C5151,DATA_PROPERTY_MASTER!$A$5:$A$21,0))="Yes",FALSE),MAX(IFERROR(INDEX(INDIRECT("'"&amp;$C5151&amp;"'!$E$63:$Y$63"),1,MATCH($D5151,INDIRECT("'"&amp;$C5151&amp;"'!$E$12:$Y$12"),0)),0),0),0)</f>
        <v>0</v>
      </c>
      <c r="I5151" s="366" t="s">
        <v>1685</v>
      </c>
      <c r="J5151" s="348" t="str">
        <f t="shared" ca="1" si="160"/>
        <v>OK</v>
      </c>
      <c r="K5151" s="366" t="s">
        <v>1735</v>
      </c>
      <c r="L5151" s="366" t="s">
        <v>2258</v>
      </c>
      <c r="M5151" s="350" t="str">
        <f>IF($B5151="Portfolio","Portfolio",IFERROR(INDEX(DATA_ASSET_CLASSIFICATION!$B$8:$B$24,MATCH($C5151,DATA_ASSET_CLASSIFICATION!$A$8:$A$24,0)),"Review"))</f>
        <v>800 Commercial Drive</v>
      </c>
      <c r="N5151" s="350" t="str">
        <f>IF($B5151="Portfolio","Portfolio",IFERROR(INDEX(DATA_ASSET_CLASSIFICATION!$U$8:$U$24,MATCH($C5151,DATA_ASSET_CLASSIFICATION!$A$8:$A$24,0)),"Review"))</f>
        <v>New Build</v>
      </c>
      <c r="O5151" s="350" t="str">
        <f>IF($B5151="Portfolio","Portfolio",IFERROR(INDEX(DATA_ASSET_CLASSIFICATION!$AB$8:$AB$13,MATCH($N5151,DATA_ASSET_CLASSIFICATION!$AA$8:$AA$13,0)),"Review"))</f>
        <v>Bucket 1 · New Build</v>
      </c>
      <c r="P5151" s="350" t="str">
        <f>IF($B5151="Portfolio","Portfolio",IFERROR(INDEX(DATA_ASSET_CLASSIFICATION!$C$8:$C$24,MATCH($C5151,DATA_ASSET_CLASSIFICATION!$A$8:$A$24,0)),"Review"))</f>
        <v>Yes</v>
      </c>
      <c r="Q5151" s="350" t="str">
        <f t="shared" ca="1" si="161"/>
        <v>OK</v>
      </c>
    </row>
    <row r="5152" spans="1:17" ht="30">
      <c r="A5152" s="366" t="s">
        <v>7108</v>
      </c>
      <c r="B5152" s="366" t="s">
        <v>231</v>
      </c>
      <c r="C5152" s="348" t="str">
        <f>DATA_PROPERTY_MASTER!$A$21</f>
        <v>BLD_CD</v>
      </c>
      <c r="D5152" s="380">
        <f>'00_PORTFOLIO ROLLUP'!R$12</f>
        <v>2038</v>
      </c>
      <c r="E5152" s="366" t="s">
        <v>1721</v>
      </c>
      <c r="F5152" s="366" t="s">
        <v>39</v>
      </c>
      <c r="G5152" s="348" t="str">
        <f>"'"&amp;$C5152&amp;"'!$E$63:$Y$63"</f>
        <v>'BLD_CD'!$E$63:$Y$63</v>
      </c>
      <c r="H5152" s="381">
        <f ca="1">IF(IFERROR(INDEX(DATA_PROPERTY_MASTER!$E$5:$E$21,MATCH($C5152,DATA_PROPERTY_MASTER!$A$5:$A$21,0))="Yes",FALSE),MAX(-IFERROR(INDEX(INDIRECT("'"&amp;$C5152&amp;"'!$E$63:$Y$63"),1,MATCH($D5152,INDIRECT("'"&amp;$C5152&amp;"'!$E$12:$Y$12"),0)),0),0),0)</f>
        <v>0</v>
      </c>
      <c r="I5152" s="366" t="s">
        <v>1690</v>
      </c>
      <c r="J5152" s="348" t="str">
        <f t="shared" ca="1" si="160"/>
        <v>OK</v>
      </c>
      <c r="K5152" s="366" t="s">
        <v>1738</v>
      </c>
      <c r="L5152" s="366" t="s">
        <v>2260</v>
      </c>
      <c r="M5152" s="350" t="str">
        <f>IF($B5152="Portfolio","Portfolio",IFERROR(INDEX(DATA_ASSET_CLASSIFICATION!$B$8:$B$24,MATCH($C5152,DATA_ASSET_CLASSIFICATION!$A$8:$A$24,0)),"Review"))</f>
        <v>800 Commercial Drive</v>
      </c>
      <c r="N5152" s="350" t="str">
        <f>IF($B5152="Portfolio","Portfolio",IFERROR(INDEX(DATA_ASSET_CLASSIFICATION!$U$8:$U$24,MATCH($C5152,DATA_ASSET_CLASSIFICATION!$A$8:$A$24,0)),"Review"))</f>
        <v>New Build</v>
      </c>
      <c r="O5152" s="350" t="str">
        <f>IF($B5152="Portfolio","Portfolio",IFERROR(INDEX(DATA_ASSET_CLASSIFICATION!$AB$8:$AB$13,MATCH($N5152,DATA_ASSET_CLASSIFICATION!$AA$8:$AA$13,0)),"Review"))</f>
        <v>Bucket 1 · New Build</v>
      </c>
      <c r="P5152" s="350" t="str">
        <f>IF($B5152="Portfolio","Portfolio",IFERROR(INDEX(DATA_ASSET_CLASSIFICATION!$C$8:$C$24,MATCH($C5152,DATA_ASSET_CLASSIFICATION!$A$8:$A$24,0)),"Review"))</f>
        <v>Yes</v>
      </c>
      <c r="Q5152" s="350" t="str">
        <f t="shared" ca="1" si="161"/>
        <v>OK</v>
      </c>
    </row>
    <row r="5153" spans="1:17" ht="30">
      <c r="A5153" s="366" t="s">
        <v>7109</v>
      </c>
      <c r="B5153" s="366" t="s">
        <v>231</v>
      </c>
      <c r="C5153" s="348" t="str">
        <f>DATA_PROPERTY_MASTER!$A$21</f>
        <v>BLD_CD</v>
      </c>
      <c r="D5153" s="380">
        <f>'00_PORTFOLIO ROLLUP'!R$12</f>
        <v>2038</v>
      </c>
      <c r="E5153" s="366" t="s">
        <v>1741</v>
      </c>
      <c r="F5153" s="366" t="s">
        <v>41</v>
      </c>
      <c r="G5153" s="348" t="str">
        <f>"'"&amp;$C5153&amp;"'!rows 56 + positive row 63"</f>
        <v>'BLD_CD'!rows 56 + positive row 63</v>
      </c>
      <c r="H5153" s="381">
        <f ca="1">IF(IFERROR(INDEX(DATA_PROPERTY_MASTER!$E$5:$E$21,MATCH($C5153,DATA_PROPERTY_MASTER!$A$5:$A$21,0))="Yes",FALSE),IFERROR(INDEX(INDIRECT("'"&amp;$C5153&amp;"'!$E$56:$Y$56"),1,MATCH($D5153,INDIRECT("'"&amp;$C5153&amp;"'!$E$12:$Y$12"),0)),0)+MAX(IFERROR(INDEX(INDIRECT("'"&amp;$C5153&amp;"'!$E$63:$Y$63"),1,MATCH($D5153,INDIRECT("'"&amp;$C5153&amp;"'!$E$12:$Y$12"),0)),0),0),0)</f>
        <v>269738.35540259304</v>
      </c>
      <c r="I5153" s="366" t="s">
        <v>1685</v>
      </c>
      <c r="J5153" s="348" t="str">
        <f t="shared" ca="1" si="160"/>
        <v>OK</v>
      </c>
      <c r="K5153" s="366" t="s">
        <v>1742</v>
      </c>
      <c r="L5153" s="366" t="s">
        <v>2262</v>
      </c>
      <c r="M5153" s="350" t="str">
        <f>IF($B5153="Portfolio","Portfolio",IFERROR(INDEX(DATA_ASSET_CLASSIFICATION!$B$8:$B$24,MATCH($C5153,DATA_ASSET_CLASSIFICATION!$A$8:$A$24,0)),"Review"))</f>
        <v>800 Commercial Drive</v>
      </c>
      <c r="N5153" s="350" t="str">
        <f>IF($B5153="Portfolio","Portfolio",IFERROR(INDEX(DATA_ASSET_CLASSIFICATION!$U$8:$U$24,MATCH($C5153,DATA_ASSET_CLASSIFICATION!$A$8:$A$24,0)),"Review"))</f>
        <v>New Build</v>
      </c>
      <c r="O5153" s="350" t="str">
        <f>IF($B5153="Portfolio","Portfolio",IFERROR(INDEX(DATA_ASSET_CLASSIFICATION!$AB$8:$AB$13,MATCH($N5153,DATA_ASSET_CLASSIFICATION!$AA$8:$AA$13,0)),"Review"))</f>
        <v>Bucket 1 · New Build</v>
      </c>
      <c r="P5153" s="350" t="str">
        <f>IF($B5153="Portfolio","Portfolio",IFERROR(INDEX(DATA_ASSET_CLASSIFICATION!$C$8:$C$24,MATCH($C5153,DATA_ASSET_CLASSIFICATION!$A$8:$A$24,0)),"Review"))</f>
        <v>Yes</v>
      </c>
      <c r="Q5153" s="350" t="str">
        <f t="shared" ca="1" si="161"/>
        <v>OK</v>
      </c>
    </row>
    <row r="5154" spans="1:17" ht="30">
      <c r="A5154" s="366" t="s">
        <v>7110</v>
      </c>
      <c r="B5154" s="366" t="s">
        <v>231</v>
      </c>
      <c r="C5154" s="348" t="str">
        <f>DATA_PROPERTY_MASTER!$A$21</f>
        <v>BLD_CD</v>
      </c>
      <c r="D5154" s="380">
        <f>'00_PORTFOLIO ROLLUP'!R$12</f>
        <v>2038</v>
      </c>
      <c r="E5154" s="366" t="s">
        <v>1741</v>
      </c>
      <c r="F5154" s="366" t="s">
        <v>43</v>
      </c>
      <c r="G5154" s="348" t="str">
        <f>"'"&amp;$C5154&amp;"'!$E$68:$Y$68"</f>
        <v>'BLD_CD'!$E$68:$Y$68</v>
      </c>
      <c r="H5154" s="381">
        <f ca="1">IF(IFERROR(INDEX(DATA_PROPERTY_MASTER!$E$5:$E$21,MATCH($C5154,DATA_PROPERTY_MASTER!$A$5:$A$21,0))="Yes",FALSE),IFERROR(INDEX(INDIRECT("'"&amp;$C5154&amp;"'!$E$68:$Y$68"),1,MATCH($D5154,INDIRECT("'"&amp;$C5154&amp;"'!$E$12:$Y$12"),0)),0),0)</f>
        <v>269738.35540259304</v>
      </c>
      <c r="I5154" s="366" t="s">
        <v>1731</v>
      </c>
      <c r="J5154" s="348" t="str">
        <f t="shared" ca="1" si="160"/>
        <v>OK</v>
      </c>
      <c r="K5154" s="366" t="s">
        <v>1746</v>
      </c>
      <c r="L5154" s="366" t="s">
        <v>2264</v>
      </c>
      <c r="M5154" s="350" t="str">
        <f>IF($B5154="Portfolio","Portfolio",IFERROR(INDEX(DATA_ASSET_CLASSIFICATION!$B$8:$B$24,MATCH($C5154,DATA_ASSET_CLASSIFICATION!$A$8:$A$24,0)),"Review"))</f>
        <v>800 Commercial Drive</v>
      </c>
      <c r="N5154" s="350" t="str">
        <f>IF($B5154="Portfolio","Portfolio",IFERROR(INDEX(DATA_ASSET_CLASSIFICATION!$U$8:$U$24,MATCH($C5154,DATA_ASSET_CLASSIFICATION!$A$8:$A$24,0)),"Review"))</f>
        <v>New Build</v>
      </c>
      <c r="O5154" s="350" t="str">
        <f>IF($B5154="Portfolio","Portfolio",IFERROR(INDEX(DATA_ASSET_CLASSIFICATION!$AB$8:$AB$13,MATCH($N5154,DATA_ASSET_CLASSIFICATION!$AA$8:$AA$13,0)),"Review"))</f>
        <v>Bucket 1 · New Build</v>
      </c>
      <c r="P5154" s="350" t="str">
        <f>IF($B5154="Portfolio","Portfolio",IFERROR(INDEX(DATA_ASSET_CLASSIFICATION!$C$8:$C$24,MATCH($C5154,DATA_ASSET_CLASSIFICATION!$A$8:$A$24,0)),"Review"))</f>
        <v>Yes</v>
      </c>
      <c r="Q5154" s="350" t="str">
        <f t="shared" ca="1" si="161"/>
        <v>OK</v>
      </c>
    </row>
    <row r="5155" spans="1:17" ht="30">
      <c r="A5155" s="366" t="s">
        <v>7111</v>
      </c>
      <c r="B5155" s="366" t="s">
        <v>231</v>
      </c>
      <c r="C5155" s="348" t="str">
        <f>DATA_PROPERTY_MASTER!$A$21</f>
        <v>BLD_CD</v>
      </c>
      <c r="D5155" s="380">
        <f>'00_PORTFOLIO ROLLUP'!R$12</f>
        <v>2038</v>
      </c>
      <c r="E5155" s="366" t="s">
        <v>1741</v>
      </c>
      <c r="F5155" s="366" t="s">
        <v>1749</v>
      </c>
      <c r="G5155" s="348" t="str">
        <f>"'"&amp;$C5155&amp;"'!rows 56, 63, 68"</f>
        <v>'BLD_CD'!rows 56, 63, 68</v>
      </c>
      <c r="H5155" s="381">
        <f ca="1">IF(IFERROR(INDEX(DATA_PROPERTY_MASTER!$E$5:$E$21,MATCH($C5155,DATA_PROPERTY_MASTER!$A$5:$A$21,0))="Yes",FALSE),(IFERROR(INDEX(INDIRECT("'"&amp;$C5155&amp;"'!$E$56:$Y$56"),1,MATCH($D5155,INDIRECT("'"&amp;$C5155&amp;"'!$E$12:$Y$12"),0)),0)+MAX(IFERROR(INDEX(INDIRECT("'"&amp;$C5155&amp;"'!$E$63:$Y$63"),1,MATCH($D5155,INDIRECT("'"&amp;$C5155&amp;"'!$E$12:$Y$12"),0)),0),0))-(IFERROR(INDEX(INDIRECT("'"&amp;$C5155&amp;"'!$E$68:$Y$68"),1,MATCH($D5155,INDIRECT("'"&amp;$C5155&amp;"'!$E$12:$Y$12"),0)),0)),0)</f>
        <v>0</v>
      </c>
      <c r="I5155" s="366" t="s">
        <v>1750</v>
      </c>
      <c r="J5155" s="348" t="str">
        <f t="shared" ca="1" si="160"/>
        <v>OK</v>
      </c>
      <c r="K5155" s="366" t="s">
        <v>1751</v>
      </c>
      <c r="L5155" s="366" t="s">
        <v>2266</v>
      </c>
      <c r="M5155" s="350" t="str">
        <f>IF($B5155="Portfolio","Portfolio",IFERROR(INDEX(DATA_ASSET_CLASSIFICATION!$B$8:$B$24,MATCH($C5155,DATA_ASSET_CLASSIFICATION!$A$8:$A$24,0)),"Review"))</f>
        <v>800 Commercial Drive</v>
      </c>
      <c r="N5155" s="350" t="str">
        <f>IF($B5155="Portfolio","Portfolio",IFERROR(INDEX(DATA_ASSET_CLASSIFICATION!$U$8:$U$24,MATCH($C5155,DATA_ASSET_CLASSIFICATION!$A$8:$A$24,0)),"Review"))</f>
        <v>New Build</v>
      </c>
      <c r="O5155" s="350" t="str">
        <f>IF($B5155="Portfolio","Portfolio",IFERROR(INDEX(DATA_ASSET_CLASSIFICATION!$AB$8:$AB$13,MATCH($N5155,DATA_ASSET_CLASSIFICATION!$AA$8:$AA$13,0)),"Review"))</f>
        <v>Bucket 1 · New Build</v>
      </c>
      <c r="P5155" s="350" t="str">
        <f>IF($B5155="Portfolio","Portfolio",IFERROR(INDEX(DATA_ASSET_CLASSIFICATION!$C$8:$C$24,MATCH($C5155,DATA_ASSET_CLASSIFICATION!$A$8:$A$24,0)),"Review"))</f>
        <v>Yes</v>
      </c>
      <c r="Q5155" s="350" t="str">
        <f t="shared" ca="1" si="161"/>
        <v>OK</v>
      </c>
    </row>
    <row r="5156" spans="1:17" ht="30">
      <c r="A5156" s="366" t="s">
        <v>7112</v>
      </c>
      <c r="B5156" s="366" t="s">
        <v>231</v>
      </c>
      <c r="C5156" s="348" t="str">
        <f>DATA_PROPERTY_MASTER!$A$21</f>
        <v>BLD_CD</v>
      </c>
      <c r="D5156" s="380">
        <f>'00_PORTFOLIO ROLLUP'!S$12</f>
        <v>2039</v>
      </c>
      <c r="E5156" s="366" t="s">
        <v>1683</v>
      </c>
      <c r="F5156" s="366" t="s">
        <v>341</v>
      </c>
      <c r="G5156" s="348" t="str">
        <f>"'"&amp;$C5156&amp;"'!$E$24:$Y$24"</f>
        <v>'BLD_CD'!$E$24:$Y$24</v>
      </c>
      <c r="H5156" s="381">
        <f ca="1">IF(IFERROR(INDEX(DATA_PROPERTY_MASTER!$E$5:$E$21,MATCH($C5156,DATA_PROPERTY_MASTER!$A$5:$A$21,0))="Yes",FALSE),IFERROR(INDEX(INDIRECT("'"&amp;$C5156&amp;"'!$E$24:$Y$24"),1,MATCH($D5156,INDIRECT("'"&amp;$C5156&amp;"'!$E$12:$Y$12"),0)),0),0)</f>
        <v>2694063.2634109748</v>
      </c>
      <c r="I5156" s="366" t="s">
        <v>1685</v>
      </c>
      <c r="J5156" s="348" t="str">
        <f t="shared" ca="1" si="160"/>
        <v>OK</v>
      </c>
      <c r="K5156" s="366" t="s">
        <v>1686</v>
      </c>
      <c r="L5156" s="366" t="s">
        <v>2234</v>
      </c>
      <c r="M5156" s="350" t="str">
        <f>IF($B5156="Portfolio","Portfolio",IFERROR(INDEX(DATA_ASSET_CLASSIFICATION!$B$8:$B$24,MATCH($C5156,DATA_ASSET_CLASSIFICATION!$A$8:$A$24,0)),"Review"))</f>
        <v>800 Commercial Drive</v>
      </c>
      <c r="N5156" s="350" t="str">
        <f>IF($B5156="Portfolio","Portfolio",IFERROR(INDEX(DATA_ASSET_CLASSIFICATION!$U$8:$U$24,MATCH($C5156,DATA_ASSET_CLASSIFICATION!$A$8:$A$24,0)),"Review"))</f>
        <v>New Build</v>
      </c>
      <c r="O5156" s="350" t="str">
        <f>IF($B5156="Portfolio","Portfolio",IFERROR(INDEX(DATA_ASSET_CLASSIFICATION!$AB$8:$AB$13,MATCH($N5156,DATA_ASSET_CLASSIFICATION!$AA$8:$AA$13,0)),"Review"))</f>
        <v>Bucket 1 · New Build</v>
      </c>
      <c r="P5156" s="350" t="str">
        <f>IF($B5156="Portfolio","Portfolio",IFERROR(INDEX(DATA_ASSET_CLASSIFICATION!$C$8:$C$24,MATCH($C5156,DATA_ASSET_CLASSIFICATION!$A$8:$A$24,0)),"Review"))</f>
        <v>Yes</v>
      </c>
      <c r="Q5156" s="350" t="str">
        <f t="shared" ca="1" si="161"/>
        <v>OK</v>
      </c>
    </row>
    <row r="5157" spans="1:17" ht="30">
      <c r="A5157" s="366" t="s">
        <v>7113</v>
      </c>
      <c r="B5157" s="366" t="s">
        <v>231</v>
      </c>
      <c r="C5157" s="348" t="str">
        <f>DATA_PROPERTY_MASTER!$A$21</f>
        <v>BLD_CD</v>
      </c>
      <c r="D5157" s="380">
        <f>'00_PORTFOLIO ROLLUP'!S$12</f>
        <v>2039</v>
      </c>
      <c r="E5157" s="366" t="s">
        <v>1683</v>
      </c>
      <c r="F5157" s="366" t="s">
        <v>355</v>
      </c>
      <c r="G5157" s="348" t="str">
        <f>"'"&amp;$C5157&amp;"'!$E$39:$Y$39"</f>
        <v>'BLD_CD'!$E$39:$Y$39</v>
      </c>
      <c r="H5157" s="381">
        <f ca="1">IF(IFERROR(INDEX(DATA_PROPERTY_MASTER!$E$5:$E$21,MATCH($C5157,DATA_PROPERTY_MASTER!$A$5:$A$21,0))="Yes",FALSE),IFERROR(INDEX(INDIRECT("'"&amp;$C5157&amp;"'!$E$39:$Y$39"),1,MATCH($D5157,INDIRECT("'"&amp;$C5157&amp;"'!$E$12:$Y$12"),0)),0),0)</f>
        <v>1012020.7569775875</v>
      </c>
      <c r="I5157" s="366" t="s">
        <v>1690</v>
      </c>
      <c r="J5157" s="348" t="str">
        <f t="shared" ca="1" si="160"/>
        <v>OK</v>
      </c>
      <c r="K5157" s="366" t="s">
        <v>1686</v>
      </c>
      <c r="L5157" s="366" t="s">
        <v>2236</v>
      </c>
      <c r="M5157" s="350" t="str">
        <f>IF($B5157="Portfolio","Portfolio",IFERROR(INDEX(DATA_ASSET_CLASSIFICATION!$B$8:$B$24,MATCH($C5157,DATA_ASSET_CLASSIFICATION!$A$8:$A$24,0)),"Review"))</f>
        <v>800 Commercial Drive</v>
      </c>
      <c r="N5157" s="350" t="str">
        <f>IF($B5157="Portfolio","Portfolio",IFERROR(INDEX(DATA_ASSET_CLASSIFICATION!$U$8:$U$24,MATCH($C5157,DATA_ASSET_CLASSIFICATION!$A$8:$A$24,0)),"Review"))</f>
        <v>New Build</v>
      </c>
      <c r="O5157" s="350" t="str">
        <f>IF($B5157="Portfolio","Portfolio",IFERROR(INDEX(DATA_ASSET_CLASSIFICATION!$AB$8:$AB$13,MATCH($N5157,DATA_ASSET_CLASSIFICATION!$AA$8:$AA$13,0)),"Review"))</f>
        <v>Bucket 1 · New Build</v>
      </c>
      <c r="P5157" s="350" t="str">
        <f>IF($B5157="Portfolio","Portfolio",IFERROR(INDEX(DATA_ASSET_CLASSIFICATION!$C$8:$C$24,MATCH($C5157,DATA_ASSET_CLASSIFICATION!$A$8:$A$24,0)),"Review"))</f>
        <v>Yes</v>
      </c>
      <c r="Q5157" s="350" t="str">
        <f t="shared" ca="1" si="161"/>
        <v>OK</v>
      </c>
    </row>
    <row r="5158" spans="1:17" ht="30">
      <c r="A5158" s="366" t="s">
        <v>7114</v>
      </c>
      <c r="B5158" s="366" t="s">
        <v>231</v>
      </c>
      <c r="C5158" s="348" t="str">
        <f>DATA_PROPERTY_MASTER!$A$21</f>
        <v>BLD_CD</v>
      </c>
      <c r="D5158" s="380">
        <f>'00_PORTFOLIO ROLLUP'!S$12</f>
        <v>2039</v>
      </c>
      <c r="E5158" s="366" t="s">
        <v>1683</v>
      </c>
      <c r="F5158" s="366" t="s">
        <v>19</v>
      </c>
      <c r="G5158" s="348" t="str">
        <f>"'"&amp;$C5158&amp;"'!$E$41:$Y$41"</f>
        <v>'BLD_CD'!$E$41:$Y$41</v>
      </c>
      <c r="H5158" s="381">
        <f ca="1">IF(IFERROR(INDEX(DATA_PROPERTY_MASTER!$E$5:$E$21,MATCH($C5158,DATA_PROPERTY_MASTER!$A$5:$A$21,0))="Yes",FALSE),IFERROR(INDEX(INDIRECT("'"&amp;$C5158&amp;"'!$E$41:$Y$41"),1,MATCH($D5158,INDIRECT("'"&amp;$C5158&amp;"'!$E$12:$Y$12"),0)),0),0)</f>
        <v>1682042.5064333873</v>
      </c>
      <c r="I5158" s="366" t="s">
        <v>1685</v>
      </c>
      <c r="J5158" s="348" t="str">
        <f t="shared" ca="1" si="160"/>
        <v>OK</v>
      </c>
      <c r="K5158" s="366" t="s">
        <v>1694</v>
      </c>
      <c r="L5158" s="366" t="s">
        <v>2238</v>
      </c>
      <c r="M5158" s="350" t="str">
        <f>IF($B5158="Portfolio","Portfolio",IFERROR(INDEX(DATA_ASSET_CLASSIFICATION!$B$8:$B$24,MATCH($C5158,DATA_ASSET_CLASSIFICATION!$A$8:$A$24,0)),"Review"))</f>
        <v>800 Commercial Drive</v>
      </c>
      <c r="N5158" s="350" t="str">
        <f>IF($B5158="Portfolio","Portfolio",IFERROR(INDEX(DATA_ASSET_CLASSIFICATION!$U$8:$U$24,MATCH($C5158,DATA_ASSET_CLASSIFICATION!$A$8:$A$24,0)),"Review"))</f>
        <v>New Build</v>
      </c>
      <c r="O5158" s="350" t="str">
        <f>IF($B5158="Portfolio","Portfolio",IFERROR(INDEX(DATA_ASSET_CLASSIFICATION!$AB$8:$AB$13,MATCH($N5158,DATA_ASSET_CLASSIFICATION!$AA$8:$AA$13,0)),"Review"))</f>
        <v>Bucket 1 · New Build</v>
      </c>
      <c r="P5158" s="350" t="str">
        <f>IF($B5158="Portfolio","Portfolio",IFERROR(INDEX(DATA_ASSET_CLASSIFICATION!$C$8:$C$24,MATCH($C5158,DATA_ASSET_CLASSIFICATION!$A$8:$A$24,0)),"Review"))</f>
        <v>Yes</v>
      </c>
      <c r="Q5158" s="350" t="str">
        <f t="shared" ca="1" si="161"/>
        <v>OK</v>
      </c>
    </row>
    <row r="5159" spans="1:17" ht="30">
      <c r="A5159" s="366" t="s">
        <v>7115</v>
      </c>
      <c r="B5159" s="366" t="s">
        <v>231</v>
      </c>
      <c r="C5159" s="348" t="str">
        <f>DATA_PROPERTY_MASTER!$A$21</f>
        <v>BLD_CD</v>
      </c>
      <c r="D5159" s="380">
        <f>'00_PORTFOLIO ROLLUP'!S$12</f>
        <v>2039</v>
      </c>
      <c r="E5159" s="366" t="s">
        <v>1683</v>
      </c>
      <c r="F5159" s="366" t="s">
        <v>1697</v>
      </c>
      <c r="G5159" s="348" t="str">
        <f>"'"&amp;$C5159&amp;"'!$E$44:$Y$44"</f>
        <v>'BLD_CD'!$E$44:$Y$44</v>
      </c>
      <c r="H5159" s="381">
        <f ca="1">IF(IFERROR(INDEX(DATA_PROPERTY_MASTER!$E$5:$E$21,MATCH($C5159,DATA_PROPERTY_MASTER!$A$5:$A$21,0))="Yes",FALSE),IFERROR(INDEX(INDIRECT("'"&amp;$C5159&amp;"'!$E$44:$Y$44"),1,MATCH($D5159,INDIRECT("'"&amp;$C5159&amp;"'!$E$12:$Y$12"),0)),0),0)</f>
        <v>18406.728744727068</v>
      </c>
      <c r="I5159" s="366" t="s">
        <v>1690</v>
      </c>
      <c r="J5159" s="348" t="str">
        <f t="shared" ca="1" si="160"/>
        <v>OK</v>
      </c>
      <c r="K5159" s="366" t="s">
        <v>1699</v>
      </c>
      <c r="L5159" s="366" t="s">
        <v>2240</v>
      </c>
      <c r="M5159" s="350" t="str">
        <f>IF($B5159="Portfolio","Portfolio",IFERROR(INDEX(DATA_ASSET_CLASSIFICATION!$B$8:$B$24,MATCH($C5159,DATA_ASSET_CLASSIFICATION!$A$8:$A$24,0)),"Review"))</f>
        <v>800 Commercial Drive</v>
      </c>
      <c r="N5159" s="350" t="str">
        <f>IF($B5159="Portfolio","Portfolio",IFERROR(INDEX(DATA_ASSET_CLASSIFICATION!$U$8:$U$24,MATCH($C5159,DATA_ASSET_CLASSIFICATION!$A$8:$A$24,0)),"Review"))</f>
        <v>New Build</v>
      </c>
      <c r="O5159" s="350" t="str">
        <f>IF($B5159="Portfolio","Portfolio",IFERROR(INDEX(DATA_ASSET_CLASSIFICATION!$AB$8:$AB$13,MATCH($N5159,DATA_ASSET_CLASSIFICATION!$AA$8:$AA$13,0)),"Review"))</f>
        <v>Bucket 1 · New Build</v>
      </c>
      <c r="P5159" s="350" t="str">
        <f>IF($B5159="Portfolio","Portfolio",IFERROR(INDEX(DATA_ASSET_CLASSIFICATION!$C$8:$C$24,MATCH($C5159,DATA_ASSET_CLASSIFICATION!$A$8:$A$24,0)),"Review"))</f>
        <v>Yes</v>
      </c>
      <c r="Q5159" s="350" t="str">
        <f t="shared" ca="1" si="161"/>
        <v>OK</v>
      </c>
    </row>
    <row r="5160" spans="1:17" ht="30">
      <c r="A5160" s="366" t="s">
        <v>7116</v>
      </c>
      <c r="B5160" s="366" t="s">
        <v>231</v>
      </c>
      <c r="C5160" s="348" t="str">
        <f>DATA_PROPERTY_MASTER!$A$21</f>
        <v>BLD_CD</v>
      </c>
      <c r="D5160" s="380">
        <f>'00_PORTFOLIO ROLLUP'!S$12</f>
        <v>2039</v>
      </c>
      <c r="E5160" s="366" t="s">
        <v>1683</v>
      </c>
      <c r="F5160" s="366" t="s">
        <v>21</v>
      </c>
      <c r="G5160" s="348" t="str">
        <f>"'"&amp;$C5160&amp;"'!$E$45:$Y$45"</f>
        <v>'BLD_CD'!$E$45:$Y$45</v>
      </c>
      <c r="H5160" s="381">
        <f ca="1">IF(IFERROR(INDEX(DATA_PROPERTY_MASTER!$E$5:$E$21,MATCH($C5160,DATA_PROPERTY_MASTER!$A$5:$A$21,0))="Yes",FALSE),IFERROR(INDEX(INDIRECT("'"&amp;$C5160&amp;"'!$E$45:$Y$45"),1,MATCH($D5160,INDIRECT("'"&amp;$C5160&amp;"'!$E$12:$Y$12"),0)),0),0)</f>
        <v>1663635.7776886602</v>
      </c>
      <c r="I5160" s="366" t="s">
        <v>1685</v>
      </c>
      <c r="J5160" s="348" t="str">
        <f t="shared" ca="1" si="160"/>
        <v>OK</v>
      </c>
      <c r="K5160" s="366" t="s">
        <v>1694</v>
      </c>
      <c r="L5160" s="366" t="s">
        <v>2242</v>
      </c>
      <c r="M5160" s="350" t="str">
        <f>IF($B5160="Portfolio","Portfolio",IFERROR(INDEX(DATA_ASSET_CLASSIFICATION!$B$8:$B$24,MATCH($C5160,DATA_ASSET_CLASSIFICATION!$A$8:$A$24,0)),"Review"))</f>
        <v>800 Commercial Drive</v>
      </c>
      <c r="N5160" s="350" t="str">
        <f>IF($B5160="Portfolio","Portfolio",IFERROR(INDEX(DATA_ASSET_CLASSIFICATION!$U$8:$U$24,MATCH($C5160,DATA_ASSET_CLASSIFICATION!$A$8:$A$24,0)),"Review"))</f>
        <v>New Build</v>
      </c>
      <c r="O5160" s="350" t="str">
        <f>IF($B5160="Portfolio","Portfolio",IFERROR(INDEX(DATA_ASSET_CLASSIFICATION!$AB$8:$AB$13,MATCH($N5160,DATA_ASSET_CLASSIFICATION!$AA$8:$AA$13,0)),"Review"))</f>
        <v>Bucket 1 · New Build</v>
      </c>
      <c r="P5160" s="350" t="str">
        <f>IF($B5160="Portfolio","Portfolio",IFERROR(INDEX(DATA_ASSET_CLASSIFICATION!$C$8:$C$24,MATCH($C5160,DATA_ASSET_CLASSIFICATION!$A$8:$A$24,0)),"Review"))</f>
        <v>Yes</v>
      </c>
      <c r="Q5160" s="350" t="str">
        <f t="shared" ca="1" si="161"/>
        <v>OK</v>
      </c>
    </row>
    <row r="5161" spans="1:17" ht="30">
      <c r="A5161" s="366" t="s">
        <v>7117</v>
      </c>
      <c r="B5161" s="366" t="s">
        <v>231</v>
      </c>
      <c r="C5161" s="348" t="str">
        <f>DATA_PROPERTY_MASTER!$A$21</f>
        <v>BLD_CD</v>
      </c>
      <c r="D5161" s="380">
        <f>'00_PORTFOLIO ROLLUP'!S$12</f>
        <v>2039</v>
      </c>
      <c r="E5161" s="366" t="s">
        <v>23</v>
      </c>
      <c r="F5161" s="366" t="s">
        <v>23</v>
      </c>
      <c r="G5161" s="348" t="str">
        <f>"'"&amp;$C5161&amp;"'!$E$48:$Y$48"</f>
        <v>'BLD_CD'!$E$48:$Y$48</v>
      </c>
      <c r="H5161" s="381">
        <f ca="1">IF(IFERROR(INDEX(DATA_PROPERTY_MASTER!$E$5:$E$21,MATCH($C5161,DATA_PROPERTY_MASTER!$A$5:$A$21,0))="Yes",FALSE),IFERROR(INDEX(INDIRECT("'"&amp;$C5161&amp;"'!$E$48:$Y$48"),1,MATCH($D5161,INDIRECT("'"&amp;$C5161&amp;"'!$E$12:$Y$12"),0)),0),0)</f>
        <v>979555.28115311568</v>
      </c>
      <c r="I5161" s="366" t="s">
        <v>1690</v>
      </c>
      <c r="J5161" s="348" t="str">
        <f t="shared" ca="1" si="160"/>
        <v>OK</v>
      </c>
      <c r="K5161" s="366" t="s">
        <v>1706</v>
      </c>
      <c r="L5161" s="366" t="s">
        <v>2244</v>
      </c>
      <c r="M5161" s="350" t="str">
        <f>IF($B5161="Portfolio","Portfolio",IFERROR(INDEX(DATA_ASSET_CLASSIFICATION!$B$8:$B$24,MATCH($C5161,DATA_ASSET_CLASSIFICATION!$A$8:$A$24,0)),"Review"))</f>
        <v>800 Commercial Drive</v>
      </c>
      <c r="N5161" s="350" t="str">
        <f>IF($B5161="Portfolio","Portfolio",IFERROR(INDEX(DATA_ASSET_CLASSIFICATION!$U$8:$U$24,MATCH($C5161,DATA_ASSET_CLASSIFICATION!$A$8:$A$24,0)),"Review"))</f>
        <v>New Build</v>
      </c>
      <c r="O5161" s="350" t="str">
        <f>IF($B5161="Portfolio","Portfolio",IFERROR(INDEX(DATA_ASSET_CLASSIFICATION!$AB$8:$AB$13,MATCH($N5161,DATA_ASSET_CLASSIFICATION!$AA$8:$AA$13,0)),"Review"))</f>
        <v>Bucket 1 · New Build</v>
      </c>
      <c r="P5161" s="350" t="str">
        <f>IF($B5161="Portfolio","Portfolio",IFERROR(INDEX(DATA_ASSET_CLASSIFICATION!$C$8:$C$24,MATCH($C5161,DATA_ASSET_CLASSIFICATION!$A$8:$A$24,0)),"Review"))</f>
        <v>Yes</v>
      </c>
      <c r="Q5161" s="350" t="str">
        <f t="shared" ca="1" si="161"/>
        <v>OK</v>
      </c>
    </row>
    <row r="5162" spans="1:17" ht="30">
      <c r="A5162" s="366" t="s">
        <v>7118</v>
      </c>
      <c r="B5162" s="366" t="s">
        <v>231</v>
      </c>
      <c r="C5162" s="348" t="str">
        <f>DATA_PROPERTY_MASTER!$A$21</f>
        <v>BLD_CD</v>
      </c>
      <c r="D5162" s="380">
        <f>'00_PORTFOLIO ROLLUP'!S$12</f>
        <v>2039</v>
      </c>
      <c r="E5162" s="366" t="s">
        <v>1683</v>
      </c>
      <c r="F5162" s="366" t="s">
        <v>25</v>
      </c>
      <c r="G5162" s="348" t="str">
        <f>"'"&amp;$C5162&amp;"'!$E$52:$Y$52"</f>
        <v>'BLD_CD'!$E$52:$Y$52</v>
      </c>
      <c r="H5162" s="381">
        <f ca="1">IF(IFERROR(INDEX(DATA_PROPERTY_MASTER!$E$5:$E$21,MATCH($C5162,DATA_PROPERTY_MASTER!$A$5:$A$21,0))="Yes",FALSE),IFERROR(INDEX(INDIRECT("'"&amp;$C5162&amp;"'!$E$52:$Y$52"),1,MATCH($D5162,INDIRECT("'"&amp;$C5162&amp;"'!$E$12:$Y$12"),0)),0),0)</f>
        <v>702487.22528027161</v>
      </c>
      <c r="I5162" s="366" t="s">
        <v>1685</v>
      </c>
      <c r="J5162" s="348" t="str">
        <f t="shared" ca="1" si="160"/>
        <v>OK</v>
      </c>
      <c r="K5162" s="366" t="s">
        <v>1710</v>
      </c>
      <c r="L5162" s="366" t="s">
        <v>2246</v>
      </c>
      <c r="M5162" s="350" t="str">
        <f>IF($B5162="Portfolio","Portfolio",IFERROR(INDEX(DATA_ASSET_CLASSIFICATION!$B$8:$B$24,MATCH($C5162,DATA_ASSET_CLASSIFICATION!$A$8:$A$24,0)),"Review"))</f>
        <v>800 Commercial Drive</v>
      </c>
      <c r="N5162" s="350" t="str">
        <f>IF($B5162="Portfolio","Portfolio",IFERROR(INDEX(DATA_ASSET_CLASSIFICATION!$U$8:$U$24,MATCH($C5162,DATA_ASSET_CLASSIFICATION!$A$8:$A$24,0)),"Review"))</f>
        <v>New Build</v>
      </c>
      <c r="O5162" s="350" t="str">
        <f>IF($B5162="Portfolio","Portfolio",IFERROR(INDEX(DATA_ASSET_CLASSIFICATION!$AB$8:$AB$13,MATCH($N5162,DATA_ASSET_CLASSIFICATION!$AA$8:$AA$13,0)),"Review"))</f>
        <v>Bucket 1 · New Build</v>
      </c>
      <c r="P5162" s="350" t="str">
        <f>IF($B5162="Portfolio","Portfolio",IFERROR(INDEX(DATA_ASSET_CLASSIFICATION!$C$8:$C$24,MATCH($C5162,DATA_ASSET_CLASSIFICATION!$A$8:$A$24,0)),"Review"))</f>
        <v>Yes</v>
      </c>
      <c r="Q5162" s="350" t="str">
        <f t="shared" ca="1" si="161"/>
        <v>OK</v>
      </c>
    </row>
    <row r="5163" spans="1:17" ht="30">
      <c r="A5163" s="366" t="s">
        <v>7119</v>
      </c>
      <c r="B5163" s="366" t="s">
        <v>231</v>
      </c>
      <c r="C5163" s="348" t="str">
        <f>DATA_PROPERTY_MASTER!$A$21</f>
        <v>BLD_CD</v>
      </c>
      <c r="D5163" s="380">
        <f>'00_PORTFOLIO ROLLUP'!S$12</f>
        <v>2039</v>
      </c>
      <c r="E5163" s="366" t="s">
        <v>1683</v>
      </c>
      <c r="F5163" s="366" t="s">
        <v>27</v>
      </c>
      <c r="G5163" s="348" t="str">
        <f>"'"&amp;$C5163&amp;"'!$E$54:$Y$54"</f>
        <v>'BLD_CD'!$E$54:$Y$54</v>
      </c>
      <c r="H5163" s="381">
        <f ca="1">IF(IFERROR(INDEX(DATA_PROPERTY_MASTER!$E$5:$E$21,MATCH($C5163,DATA_PROPERTY_MASTER!$A$5:$A$21,0))="Yes",FALSE),IFERROR(INDEX(INDIRECT("'"&amp;$C5163&amp;"'!$E$54:$Y$54"),1,MATCH($D5163,INDIRECT("'"&amp;$C5163&amp;"'!$E$12:$Y$12"),0)),0),0)</f>
        <v>421492.33516816294</v>
      </c>
      <c r="I5163" s="366" t="s">
        <v>1690</v>
      </c>
      <c r="J5163" s="348" t="str">
        <f t="shared" ca="1" si="160"/>
        <v>OK</v>
      </c>
      <c r="K5163" s="366" t="s">
        <v>1714</v>
      </c>
      <c r="L5163" s="366" t="s">
        <v>2248</v>
      </c>
      <c r="M5163" s="350" t="str">
        <f>IF($B5163="Portfolio","Portfolio",IFERROR(INDEX(DATA_ASSET_CLASSIFICATION!$B$8:$B$24,MATCH($C5163,DATA_ASSET_CLASSIFICATION!$A$8:$A$24,0)),"Review"))</f>
        <v>800 Commercial Drive</v>
      </c>
      <c r="N5163" s="350" t="str">
        <f>IF($B5163="Portfolio","Portfolio",IFERROR(INDEX(DATA_ASSET_CLASSIFICATION!$U$8:$U$24,MATCH($C5163,DATA_ASSET_CLASSIFICATION!$A$8:$A$24,0)),"Review"))</f>
        <v>New Build</v>
      </c>
      <c r="O5163" s="350" t="str">
        <f>IF($B5163="Portfolio","Portfolio",IFERROR(INDEX(DATA_ASSET_CLASSIFICATION!$AB$8:$AB$13,MATCH($N5163,DATA_ASSET_CLASSIFICATION!$AA$8:$AA$13,0)),"Review"))</f>
        <v>Bucket 1 · New Build</v>
      </c>
      <c r="P5163" s="350" t="str">
        <f>IF($B5163="Portfolio","Portfolio",IFERROR(INDEX(DATA_ASSET_CLASSIFICATION!$C$8:$C$24,MATCH($C5163,DATA_ASSET_CLASSIFICATION!$A$8:$A$24,0)),"Review"))</f>
        <v>Yes</v>
      </c>
      <c r="Q5163" s="350" t="str">
        <f t="shared" ca="1" si="161"/>
        <v>OK</v>
      </c>
    </row>
    <row r="5164" spans="1:17" ht="30">
      <c r="A5164" s="366" t="s">
        <v>7120</v>
      </c>
      <c r="B5164" s="366" t="s">
        <v>231</v>
      </c>
      <c r="C5164" s="348" t="str">
        <f>DATA_PROPERTY_MASTER!$A$21</f>
        <v>BLD_CD</v>
      </c>
      <c r="D5164" s="380">
        <f>'00_PORTFOLIO ROLLUP'!S$12</f>
        <v>2039</v>
      </c>
      <c r="E5164" s="366" t="s">
        <v>1683</v>
      </c>
      <c r="F5164" s="366" t="s">
        <v>29</v>
      </c>
      <c r="G5164" s="348" t="str">
        <f>"'"&amp;$C5164&amp;"'!$E$56:$Y$56"</f>
        <v>'BLD_CD'!$E$56:$Y$56</v>
      </c>
      <c r="H5164" s="381">
        <f ca="1">IF(IFERROR(INDEX(DATA_PROPERTY_MASTER!$E$5:$E$21,MATCH($C5164,DATA_PROPERTY_MASTER!$A$5:$A$21,0))="Yes",FALSE),IFERROR(INDEX(INDIRECT("'"&amp;$C5164&amp;"'!$E$56:$Y$56"),1,MATCH($D5164,INDIRECT("'"&amp;$C5164&amp;"'!$E$12:$Y$12"),0)),0),0)</f>
        <v>280994.89011210867</v>
      </c>
      <c r="I5164" s="366" t="s">
        <v>1685</v>
      </c>
      <c r="J5164" s="348" t="str">
        <f t="shared" ca="1" si="160"/>
        <v>OK</v>
      </c>
      <c r="K5164" s="366" t="s">
        <v>1718</v>
      </c>
      <c r="L5164" s="366" t="s">
        <v>2250</v>
      </c>
      <c r="M5164" s="350" t="str">
        <f>IF($B5164="Portfolio","Portfolio",IFERROR(INDEX(DATA_ASSET_CLASSIFICATION!$B$8:$B$24,MATCH($C5164,DATA_ASSET_CLASSIFICATION!$A$8:$A$24,0)),"Review"))</f>
        <v>800 Commercial Drive</v>
      </c>
      <c r="N5164" s="350" t="str">
        <f>IF($B5164="Portfolio","Portfolio",IFERROR(INDEX(DATA_ASSET_CLASSIFICATION!$U$8:$U$24,MATCH($C5164,DATA_ASSET_CLASSIFICATION!$A$8:$A$24,0)),"Review"))</f>
        <v>New Build</v>
      </c>
      <c r="O5164" s="350" t="str">
        <f>IF($B5164="Portfolio","Portfolio",IFERROR(INDEX(DATA_ASSET_CLASSIFICATION!$AB$8:$AB$13,MATCH($N5164,DATA_ASSET_CLASSIFICATION!$AA$8:$AA$13,0)),"Review"))</f>
        <v>Bucket 1 · New Build</v>
      </c>
      <c r="P5164" s="350" t="str">
        <f>IF($B5164="Portfolio","Portfolio",IFERROR(INDEX(DATA_ASSET_CLASSIFICATION!$C$8:$C$24,MATCH($C5164,DATA_ASSET_CLASSIFICATION!$A$8:$A$24,0)),"Review"))</f>
        <v>Yes</v>
      </c>
      <c r="Q5164" s="350" t="str">
        <f t="shared" ca="1" si="161"/>
        <v>OK</v>
      </c>
    </row>
    <row r="5165" spans="1:17" ht="30">
      <c r="A5165" s="366" t="s">
        <v>7121</v>
      </c>
      <c r="B5165" s="366" t="s">
        <v>231</v>
      </c>
      <c r="C5165" s="348" t="str">
        <f>DATA_PROPERTY_MASTER!$A$21</f>
        <v>BLD_CD</v>
      </c>
      <c r="D5165" s="380">
        <f>'00_PORTFOLIO ROLLUP'!S$12</f>
        <v>2039</v>
      </c>
      <c r="E5165" s="366" t="s">
        <v>1721</v>
      </c>
      <c r="F5165" s="366" t="s">
        <v>31</v>
      </c>
      <c r="G5165" s="348" t="str">
        <f>"'"&amp;$C5165&amp;"'!$E$61:$Y$61"</f>
        <v>'BLD_CD'!$E$61:$Y$61</v>
      </c>
      <c r="H5165" s="381">
        <f ca="1">IF(IFERROR(INDEX(DATA_PROPERTY_MASTER!$E$5:$E$21,MATCH($C5165,DATA_PROPERTY_MASTER!$A$5:$A$21,0))="Yes",FALSE),IFERROR(INDEX(INDIRECT("'"&amp;$C5165&amp;"'!$E$61:$Y$61"),1,MATCH($D5165,INDIRECT("'"&amp;$C5165&amp;"'!$E$12:$Y$12"),0)),0),0)</f>
        <v>0</v>
      </c>
      <c r="I5165" s="366" t="s">
        <v>1690</v>
      </c>
      <c r="J5165" s="348" t="str">
        <f t="shared" ca="1" si="160"/>
        <v>OK</v>
      </c>
      <c r="K5165" s="366" t="s">
        <v>1723</v>
      </c>
      <c r="L5165" s="366" t="s">
        <v>2252</v>
      </c>
      <c r="M5165" s="350" t="str">
        <f>IF($B5165="Portfolio","Portfolio",IFERROR(INDEX(DATA_ASSET_CLASSIFICATION!$B$8:$B$24,MATCH($C5165,DATA_ASSET_CLASSIFICATION!$A$8:$A$24,0)),"Review"))</f>
        <v>800 Commercial Drive</v>
      </c>
      <c r="N5165" s="350" t="str">
        <f>IF($B5165="Portfolio","Portfolio",IFERROR(INDEX(DATA_ASSET_CLASSIFICATION!$U$8:$U$24,MATCH($C5165,DATA_ASSET_CLASSIFICATION!$A$8:$A$24,0)),"Review"))</f>
        <v>New Build</v>
      </c>
      <c r="O5165" s="350" t="str">
        <f>IF($B5165="Portfolio","Portfolio",IFERROR(INDEX(DATA_ASSET_CLASSIFICATION!$AB$8:$AB$13,MATCH($N5165,DATA_ASSET_CLASSIFICATION!$AA$8:$AA$13,0)),"Review"))</f>
        <v>Bucket 1 · New Build</v>
      </c>
      <c r="P5165" s="350" t="str">
        <f>IF($B5165="Portfolio","Portfolio",IFERROR(INDEX(DATA_ASSET_CLASSIFICATION!$C$8:$C$24,MATCH($C5165,DATA_ASSET_CLASSIFICATION!$A$8:$A$24,0)),"Review"))</f>
        <v>Yes</v>
      </c>
      <c r="Q5165" s="350" t="str">
        <f t="shared" ca="1" si="161"/>
        <v>OK</v>
      </c>
    </row>
    <row r="5166" spans="1:17" ht="30">
      <c r="A5166" s="366" t="s">
        <v>7122</v>
      </c>
      <c r="B5166" s="366" t="s">
        <v>231</v>
      </c>
      <c r="C5166" s="348" t="str">
        <f>DATA_PROPERTY_MASTER!$A$21</f>
        <v>BLD_CD</v>
      </c>
      <c r="D5166" s="380">
        <f>'00_PORTFOLIO ROLLUP'!S$12</f>
        <v>2039</v>
      </c>
      <c r="E5166" s="366" t="s">
        <v>1721</v>
      </c>
      <c r="F5166" s="366" t="s">
        <v>33</v>
      </c>
      <c r="G5166" s="348" t="str">
        <f>"'"&amp;$C5166&amp;"'!$E$62:$Y$62"</f>
        <v>'BLD_CD'!$E$62:$Y$62</v>
      </c>
      <c r="H5166" s="381">
        <f ca="1">IF(IFERROR(INDEX(DATA_PROPERTY_MASTER!$E$5:$E$21,MATCH($C5166,DATA_PROPERTY_MASTER!$A$5:$A$21,0))="Yes",FALSE),IFERROR(INDEX(INDIRECT("'"&amp;$C5166&amp;"'!$E$62:$Y$62"),1,MATCH($D5166,INDIRECT("'"&amp;$C5166&amp;"'!$E$12:$Y$12"),0)),0),0)</f>
        <v>0</v>
      </c>
      <c r="I5166" s="366" t="s">
        <v>1685</v>
      </c>
      <c r="J5166" s="348" t="str">
        <f t="shared" ca="1" si="160"/>
        <v>OK</v>
      </c>
      <c r="K5166" s="366" t="s">
        <v>1727</v>
      </c>
      <c r="L5166" s="366" t="s">
        <v>2254</v>
      </c>
      <c r="M5166" s="350" t="str">
        <f>IF($B5166="Portfolio","Portfolio",IFERROR(INDEX(DATA_ASSET_CLASSIFICATION!$B$8:$B$24,MATCH($C5166,DATA_ASSET_CLASSIFICATION!$A$8:$A$24,0)),"Review"))</f>
        <v>800 Commercial Drive</v>
      </c>
      <c r="N5166" s="350" t="str">
        <f>IF($B5166="Portfolio","Portfolio",IFERROR(INDEX(DATA_ASSET_CLASSIFICATION!$U$8:$U$24,MATCH($C5166,DATA_ASSET_CLASSIFICATION!$A$8:$A$24,0)),"Review"))</f>
        <v>New Build</v>
      </c>
      <c r="O5166" s="350" t="str">
        <f>IF($B5166="Portfolio","Portfolio",IFERROR(INDEX(DATA_ASSET_CLASSIFICATION!$AB$8:$AB$13,MATCH($N5166,DATA_ASSET_CLASSIFICATION!$AA$8:$AA$13,0)),"Review"))</f>
        <v>Bucket 1 · New Build</v>
      </c>
      <c r="P5166" s="350" t="str">
        <f>IF($B5166="Portfolio","Portfolio",IFERROR(INDEX(DATA_ASSET_CLASSIFICATION!$C$8:$C$24,MATCH($C5166,DATA_ASSET_CLASSIFICATION!$A$8:$A$24,0)),"Review"))</f>
        <v>Yes</v>
      </c>
      <c r="Q5166" s="350" t="str">
        <f t="shared" ca="1" si="161"/>
        <v>OK</v>
      </c>
    </row>
    <row r="5167" spans="1:17" ht="30">
      <c r="A5167" s="366" t="s">
        <v>7123</v>
      </c>
      <c r="B5167" s="366" t="s">
        <v>231</v>
      </c>
      <c r="C5167" s="348" t="str">
        <f>DATA_PROPERTY_MASTER!$A$21</f>
        <v>BLD_CD</v>
      </c>
      <c r="D5167" s="380">
        <f>'00_PORTFOLIO ROLLUP'!S$12</f>
        <v>2039</v>
      </c>
      <c r="E5167" s="366" t="s">
        <v>1721</v>
      </c>
      <c r="F5167" s="366" t="s">
        <v>35</v>
      </c>
      <c r="G5167" s="348" t="str">
        <f>"'"&amp;$C5167&amp;"'!$E$63:$Y$63"</f>
        <v>'BLD_CD'!$E$63:$Y$63</v>
      </c>
      <c r="H5167" s="381">
        <f ca="1">IF(IFERROR(INDEX(DATA_PROPERTY_MASTER!$E$5:$E$21,MATCH($C5167,DATA_PROPERTY_MASTER!$A$5:$A$21,0))="Yes",FALSE),IFERROR(INDEX(INDIRECT("'"&amp;$C5167&amp;"'!$E$63:$Y$63"),1,MATCH($D5167,INDIRECT("'"&amp;$C5167&amp;"'!$E$12:$Y$12"),0)),0),0)</f>
        <v>0</v>
      </c>
      <c r="I5167" s="366" t="s">
        <v>1731</v>
      </c>
      <c r="J5167" s="348" t="str">
        <f t="shared" ca="1" si="160"/>
        <v>OK</v>
      </c>
      <c r="K5167" s="366" t="s">
        <v>1732</v>
      </c>
      <c r="L5167" s="366" t="s">
        <v>2256</v>
      </c>
      <c r="M5167" s="350" t="str">
        <f>IF($B5167="Portfolio","Portfolio",IFERROR(INDEX(DATA_ASSET_CLASSIFICATION!$B$8:$B$24,MATCH($C5167,DATA_ASSET_CLASSIFICATION!$A$8:$A$24,0)),"Review"))</f>
        <v>800 Commercial Drive</v>
      </c>
      <c r="N5167" s="350" t="str">
        <f>IF($B5167="Portfolio","Portfolio",IFERROR(INDEX(DATA_ASSET_CLASSIFICATION!$U$8:$U$24,MATCH($C5167,DATA_ASSET_CLASSIFICATION!$A$8:$A$24,0)),"Review"))</f>
        <v>New Build</v>
      </c>
      <c r="O5167" s="350" t="str">
        <f>IF($B5167="Portfolio","Portfolio",IFERROR(INDEX(DATA_ASSET_CLASSIFICATION!$AB$8:$AB$13,MATCH($N5167,DATA_ASSET_CLASSIFICATION!$AA$8:$AA$13,0)),"Review"))</f>
        <v>Bucket 1 · New Build</v>
      </c>
      <c r="P5167" s="350" t="str">
        <f>IF($B5167="Portfolio","Portfolio",IFERROR(INDEX(DATA_ASSET_CLASSIFICATION!$C$8:$C$24,MATCH($C5167,DATA_ASSET_CLASSIFICATION!$A$8:$A$24,0)),"Review"))</f>
        <v>Yes</v>
      </c>
      <c r="Q5167" s="350" t="str">
        <f t="shared" ca="1" si="161"/>
        <v>OK</v>
      </c>
    </row>
    <row r="5168" spans="1:17" ht="30">
      <c r="A5168" s="366" t="s">
        <v>7124</v>
      </c>
      <c r="B5168" s="366" t="s">
        <v>231</v>
      </c>
      <c r="C5168" s="348" t="str">
        <f>DATA_PROPERTY_MASTER!$A$21</f>
        <v>BLD_CD</v>
      </c>
      <c r="D5168" s="380">
        <f>'00_PORTFOLIO ROLLUP'!S$12</f>
        <v>2039</v>
      </c>
      <c r="E5168" s="366" t="s">
        <v>1721</v>
      </c>
      <c r="F5168" s="366" t="s">
        <v>37</v>
      </c>
      <c r="G5168" s="348" t="str">
        <f>"'"&amp;$C5168&amp;"'!$E$63:$Y$63"</f>
        <v>'BLD_CD'!$E$63:$Y$63</v>
      </c>
      <c r="H5168" s="381">
        <f ca="1">IF(IFERROR(INDEX(DATA_PROPERTY_MASTER!$E$5:$E$21,MATCH($C5168,DATA_PROPERTY_MASTER!$A$5:$A$21,0))="Yes",FALSE),MAX(IFERROR(INDEX(INDIRECT("'"&amp;$C5168&amp;"'!$E$63:$Y$63"),1,MATCH($D5168,INDIRECT("'"&amp;$C5168&amp;"'!$E$12:$Y$12"),0)),0),0),0)</f>
        <v>0</v>
      </c>
      <c r="I5168" s="366" t="s">
        <v>1685</v>
      </c>
      <c r="J5168" s="348" t="str">
        <f t="shared" ca="1" si="160"/>
        <v>OK</v>
      </c>
      <c r="K5168" s="366" t="s">
        <v>1735</v>
      </c>
      <c r="L5168" s="366" t="s">
        <v>2258</v>
      </c>
      <c r="M5168" s="350" t="str">
        <f>IF($B5168="Portfolio","Portfolio",IFERROR(INDEX(DATA_ASSET_CLASSIFICATION!$B$8:$B$24,MATCH($C5168,DATA_ASSET_CLASSIFICATION!$A$8:$A$24,0)),"Review"))</f>
        <v>800 Commercial Drive</v>
      </c>
      <c r="N5168" s="350" t="str">
        <f>IF($B5168="Portfolio","Portfolio",IFERROR(INDEX(DATA_ASSET_CLASSIFICATION!$U$8:$U$24,MATCH($C5168,DATA_ASSET_CLASSIFICATION!$A$8:$A$24,0)),"Review"))</f>
        <v>New Build</v>
      </c>
      <c r="O5168" s="350" t="str">
        <f>IF($B5168="Portfolio","Portfolio",IFERROR(INDEX(DATA_ASSET_CLASSIFICATION!$AB$8:$AB$13,MATCH($N5168,DATA_ASSET_CLASSIFICATION!$AA$8:$AA$13,0)),"Review"))</f>
        <v>Bucket 1 · New Build</v>
      </c>
      <c r="P5168" s="350" t="str">
        <f>IF($B5168="Portfolio","Portfolio",IFERROR(INDEX(DATA_ASSET_CLASSIFICATION!$C$8:$C$24,MATCH($C5168,DATA_ASSET_CLASSIFICATION!$A$8:$A$24,0)),"Review"))</f>
        <v>Yes</v>
      </c>
      <c r="Q5168" s="350" t="str">
        <f t="shared" ca="1" si="161"/>
        <v>OK</v>
      </c>
    </row>
    <row r="5169" spans="1:17" ht="30">
      <c r="A5169" s="366" t="s">
        <v>7125</v>
      </c>
      <c r="B5169" s="366" t="s">
        <v>231</v>
      </c>
      <c r="C5169" s="348" t="str">
        <f>DATA_PROPERTY_MASTER!$A$21</f>
        <v>BLD_CD</v>
      </c>
      <c r="D5169" s="380">
        <f>'00_PORTFOLIO ROLLUP'!S$12</f>
        <v>2039</v>
      </c>
      <c r="E5169" s="366" t="s">
        <v>1721</v>
      </c>
      <c r="F5169" s="366" t="s">
        <v>39</v>
      </c>
      <c r="G5169" s="348" t="str">
        <f>"'"&amp;$C5169&amp;"'!$E$63:$Y$63"</f>
        <v>'BLD_CD'!$E$63:$Y$63</v>
      </c>
      <c r="H5169" s="381">
        <f ca="1">IF(IFERROR(INDEX(DATA_PROPERTY_MASTER!$E$5:$E$21,MATCH($C5169,DATA_PROPERTY_MASTER!$A$5:$A$21,0))="Yes",FALSE),MAX(-IFERROR(INDEX(INDIRECT("'"&amp;$C5169&amp;"'!$E$63:$Y$63"),1,MATCH($D5169,INDIRECT("'"&amp;$C5169&amp;"'!$E$12:$Y$12"),0)),0),0),0)</f>
        <v>0</v>
      </c>
      <c r="I5169" s="366" t="s">
        <v>1690</v>
      </c>
      <c r="J5169" s="348" t="str">
        <f t="shared" ca="1" si="160"/>
        <v>OK</v>
      </c>
      <c r="K5169" s="366" t="s">
        <v>1738</v>
      </c>
      <c r="L5169" s="366" t="s">
        <v>2260</v>
      </c>
      <c r="M5169" s="350" t="str">
        <f>IF($B5169="Portfolio","Portfolio",IFERROR(INDEX(DATA_ASSET_CLASSIFICATION!$B$8:$B$24,MATCH($C5169,DATA_ASSET_CLASSIFICATION!$A$8:$A$24,0)),"Review"))</f>
        <v>800 Commercial Drive</v>
      </c>
      <c r="N5169" s="350" t="str">
        <f>IF($B5169="Portfolio","Portfolio",IFERROR(INDEX(DATA_ASSET_CLASSIFICATION!$U$8:$U$24,MATCH($C5169,DATA_ASSET_CLASSIFICATION!$A$8:$A$24,0)),"Review"))</f>
        <v>New Build</v>
      </c>
      <c r="O5169" s="350" t="str">
        <f>IF($B5169="Portfolio","Portfolio",IFERROR(INDEX(DATA_ASSET_CLASSIFICATION!$AB$8:$AB$13,MATCH($N5169,DATA_ASSET_CLASSIFICATION!$AA$8:$AA$13,0)),"Review"))</f>
        <v>Bucket 1 · New Build</v>
      </c>
      <c r="P5169" s="350" t="str">
        <f>IF($B5169="Portfolio","Portfolio",IFERROR(INDEX(DATA_ASSET_CLASSIFICATION!$C$8:$C$24,MATCH($C5169,DATA_ASSET_CLASSIFICATION!$A$8:$A$24,0)),"Review"))</f>
        <v>Yes</v>
      </c>
      <c r="Q5169" s="350" t="str">
        <f t="shared" ca="1" si="161"/>
        <v>OK</v>
      </c>
    </row>
    <row r="5170" spans="1:17" ht="30">
      <c r="A5170" s="366" t="s">
        <v>7126</v>
      </c>
      <c r="B5170" s="366" t="s">
        <v>231</v>
      </c>
      <c r="C5170" s="348" t="str">
        <f>DATA_PROPERTY_MASTER!$A$21</f>
        <v>BLD_CD</v>
      </c>
      <c r="D5170" s="380">
        <f>'00_PORTFOLIO ROLLUP'!S$12</f>
        <v>2039</v>
      </c>
      <c r="E5170" s="366" t="s">
        <v>1741</v>
      </c>
      <c r="F5170" s="366" t="s">
        <v>41</v>
      </c>
      <c r="G5170" s="348" t="str">
        <f>"'"&amp;$C5170&amp;"'!rows 56 + positive row 63"</f>
        <v>'BLD_CD'!rows 56 + positive row 63</v>
      </c>
      <c r="H5170" s="381">
        <f ca="1">IF(IFERROR(INDEX(DATA_PROPERTY_MASTER!$E$5:$E$21,MATCH($C5170,DATA_PROPERTY_MASTER!$A$5:$A$21,0))="Yes",FALSE),IFERROR(INDEX(INDIRECT("'"&amp;$C5170&amp;"'!$E$56:$Y$56"),1,MATCH($D5170,INDIRECT("'"&amp;$C5170&amp;"'!$E$12:$Y$12"),0)),0)+MAX(IFERROR(INDEX(INDIRECT("'"&amp;$C5170&amp;"'!$E$63:$Y$63"),1,MATCH($D5170,INDIRECT("'"&amp;$C5170&amp;"'!$E$12:$Y$12"),0)),0),0),0)</f>
        <v>280994.89011210867</v>
      </c>
      <c r="I5170" s="366" t="s">
        <v>1685</v>
      </c>
      <c r="J5170" s="348" t="str">
        <f t="shared" ca="1" si="160"/>
        <v>OK</v>
      </c>
      <c r="K5170" s="366" t="s">
        <v>1742</v>
      </c>
      <c r="L5170" s="366" t="s">
        <v>2262</v>
      </c>
      <c r="M5170" s="350" t="str">
        <f>IF($B5170="Portfolio","Portfolio",IFERROR(INDEX(DATA_ASSET_CLASSIFICATION!$B$8:$B$24,MATCH($C5170,DATA_ASSET_CLASSIFICATION!$A$8:$A$24,0)),"Review"))</f>
        <v>800 Commercial Drive</v>
      </c>
      <c r="N5170" s="350" t="str">
        <f>IF($B5170="Portfolio","Portfolio",IFERROR(INDEX(DATA_ASSET_CLASSIFICATION!$U$8:$U$24,MATCH($C5170,DATA_ASSET_CLASSIFICATION!$A$8:$A$24,0)),"Review"))</f>
        <v>New Build</v>
      </c>
      <c r="O5170" s="350" t="str">
        <f>IF($B5170="Portfolio","Portfolio",IFERROR(INDEX(DATA_ASSET_CLASSIFICATION!$AB$8:$AB$13,MATCH($N5170,DATA_ASSET_CLASSIFICATION!$AA$8:$AA$13,0)),"Review"))</f>
        <v>Bucket 1 · New Build</v>
      </c>
      <c r="P5170" s="350" t="str">
        <f>IF($B5170="Portfolio","Portfolio",IFERROR(INDEX(DATA_ASSET_CLASSIFICATION!$C$8:$C$24,MATCH($C5170,DATA_ASSET_CLASSIFICATION!$A$8:$A$24,0)),"Review"))</f>
        <v>Yes</v>
      </c>
      <c r="Q5170" s="350" t="str">
        <f t="shared" ca="1" si="161"/>
        <v>OK</v>
      </c>
    </row>
    <row r="5171" spans="1:17" ht="30">
      <c r="A5171" s="366" t="s">
        <v>7127</v>
      </c>
      <c r="B5171" s="366" t="s">
        <v>231</v>
      </c>
      <c r="C5171" s="348" t="str">
        <f>DATA_PROPERTY_MASTER!$A$21</f>
        <v>BLD_CD</v>
      </c>
      <c r="D5171" s="380">
        <f>'00_PORTFOLIO ROLLUP'!S$12</f>
        <v>2039</v>
      </c>
      <c r="E5171" s="366" t="s">
        <v>1741</v>
      </c>
      <c r="F5171" s="366" t="s">
        <v>43</v>
      </c>
      <c r="G5171" s="348" t="str">
        <f>"'"&amp;$C5171&amp;"'!$E$68:$Y$68"</f>
        <v>'BLD_CD'!$E$68:$Y$68</v>
      </c>
      <c r="H5171" s="381">
        <f ca="1">IF(IFERROR(INDEX(DATA_PROPERTY_MASTER!$E$5:$E$21,MATCH($C5171,DATA_PROPERTY_MASTER!$A$5:$A$21,0))="Yes",FALSE),IFERROR(INDEX(INDIRECT("'"&amp;$C5171&amp;"'!$E$68:$Y$68"),1,MATCH($D5171,INDIRECT("'"&amp;$C5171&amp;"'!$E$12:$Y$12"),0)),0),0)</f>
        <v>280994.89011210867</v>
      </c>
      <c r="I5171" s="366" t="s">
        <v>1731</v>
      </c>
      <c r="J5171" s="348" t="str">
        <f t="shared" ca="1" si="160"/>
        <v>OK</v>
      </c>
      <c r="K5171" s="366" t="s">
        <v>1746</v>
      </c>
      <c r="L5171" s="366" t="s">
        <v>2264</v>
      </c>
      <c r="M5171" s="350" t="str">
        <f>IF($B5171="Portfolio","Portfolio",IFERROR(INDEX(DATA_ASSET_CLASSIFICATION!$B$8:$B$24,MATCH($C5171,DATA_ASSET_CLASSIFICATION!$A$8:$A$24,0)),"Review"))</f>
        <v>800 Commercial Drive</v>
      </c>
      <c r="N5171" s="350" t="str">
        <f>IF($B5171="Portfolio","Portfolio",IFERROR(INDEX(DATA_ASSET_CLASSIFICATION!$U$8:$U$24,MATCH($C5171,DATA_ASSET_CLASSIFICATION!$A$8:$A$24,0)),"Review"))</f>
        <v>New Build</v>
      </c>
      <c r="O5171" s="350" t="str">
        <f>IF($B5171="Portfolio","Portfolio",IFERROR(INDEX(DATA_ASSET_CLASSIFICATION!$AB$8:$AB$13,MATCH($N5171,DATA_ASSET_CLASSIFICATION!$AA$8:$AA$13,0)),"Review"))</f>
        <v>Bucket 1 · New Build</v>
      </c>
      <c r="P5171" s="350" t="str">
        <f>IF($B5171="Portfolio","Portfolio",IFERROR(INDEX(DATA_ASSET_CLASSIFICATION!$C$8:$C$24,MATCH($C5171,DATA_ASSET_CLASSIFICATION!$A$8:$A$24,0)),"Review"))</f>
        <v>Yes</v>
      </c>
      <c r="Q5171" s="350" t="str">
        <f t="shared" ca="1" si="161"/>
        <v>OK</v>
      </c>
    </row>
    <row r="5172" spans="1:17" ht="30">
      <c r="A5172" s="366" t="s">
        <v>7128</v>
      </c>
      <c r="B5172" s="366" t="s">
        <v>231</v>
      </c>
      <c r="C5172" s="348" t="str">
        <f>DATA_PROPERTY_MASTER!$A$21</f>
        <v>BLD_CD</v>
      </c>
      <c r="D5172" s="380">
        <f>'00_PORTFOLIO ROLLUP'!S$12</f>
        <v>2039</v>
      </c>
      <c r="E5172" s="366" t="s">
        <v>1741</v>
      </c>
      <c r="F5172" s="366" t="s">
        <v>1749</v>
      </c>
      <c r="G5172" s="348" t="str">
        <f>"'"&amp;$C5172&amp;"'!rows 56, 63, 68"</f>
        <v>'BLD_CD'!rows 56, 63, 68</v>
      </c>
      <c r="H5172" s="381">
        <f ca="1">IF(IFERROR(INDEX(DATA_PROPERTY_MASTER!$E$5:$E$21,MATCH($C5172,DATA_PROPERTY_MASTER!$A$5:$A$21,0))="Yes",FALSE),(IFERROR(INDEX(INDIRECT("'"&amp;$C5172&amp;"'!$E$56:$Y$56"),1,MATCH($D5172,INDIRECT("'"&amp;$C5172&amp;"'!$E$12:$Y$12"),0)),0)+MAX(IFERROR(INDEX(INDIRECT("'"&amp;$C5172&amp;"'!$E$63:$Y$63"),1,MATCH($D5172,INDIRECT("'"&amp;$C5172&amp;"'!$E$12:$Y$12"),0)),0),0))-(IFERROR(INDEX(INDIRECT("'"&amp;$C5172&amp;"'!$E$68:$Y$68"),1,MATCH($D5172,INDIRECT("'"&amp;$C5172&amp;"'!$E$12:$Y$12"),0)),0)),0)</f>
        <v>0</v>
      </c>
      <c r="I5172" s="366" t="s">
        <v>1750</v>
      </c>
      <c r="J5172" s="348" t="str">
        <f t="shared" ca="1" si="160"/>
        <v>OK</v>
      </c>
      <c r="K5172" s="366" t="s">
        <v>1751</v>
      </c>
      <c r="L5172" s="366" t="s">
        <v>2266</v>
      </c>
      <c r="M5172" s="350" t="str">
        <f>IF($B5172="Portfolio","Portfolio",IFERROR(INDEX(DATA_ASSET_CLASSIFICATION!$B$8:$B$24,MATCH($C5172,DATA_ASSET_CLASSIFICATION!$A$8:$A$24,0)),"Review"))</f>
        <v>800 Commercial Drive</v>
      </c>
      <c r="N5172" s="350" t="str">
        <f>IF($B5172="Portfolio","Portfolio",IFERROR(INDEX(DATA_ASSET_CLASSIFICATION!$U$8:$U$24,MATCH($C5172,DATA_ASSET_CLASSIFICATION!$A$8:$A$24,0)),"Review"))</f>
        <v>New Build</v>
      </c>
      <c r="O5172" s="350" t="str">
        <f>IF($B5172="Portfolio","Portfolio",IFERROR(INDEX(DATA_ASSET_CLASSIFICATION!$AB$8:$AB$13,MATCH($N5172,DATA_ASSET_CLASSIFICATION!$AA$8:$AA$13,0)),"Review"))</f>
        <v>Bucket 1 · New Build</v>
      </c>
      <c r="P5172" s="350" t="str">
        <f>IF($B5172="Portfolio","Portfolio",IFERROR(INDEX(DATA_ASSET_CLASSIFICATION!$C$8:$C$24,MATCH($C5172,DATA_ASSET_CLASSIFICATION!$A$8:$A$24,0)),"Review"))</f>
        <v>Yes</v>
      </c>
      <c r="Q5172" s="350" t="str">
        <f t="shared" ca="1" si="161"/>
        <v>OK</v>
      </c>
    </row>
    <row r="5173" spans="1:17" ht="30">
      <c r="A5173" s="366" t="s">
        <v>7129</v>
      </c>
      <c r="B5173" s="366" t="s">
        <v>231</v>
      </c>
      <c r="C5173" s="348" t="str">
        <f>DATA_PROPERTY_MASTER!$A$21</f>
        <v>BLD_CD</v>
      </c>
      <c r="D5173" s="380">
        <f>'00_PORTFOLIO ROLLUP'!T$12</f>
        <v>2040</v>
      </c>
      <c r="E5173" s="366" t="s">
        <v>1683</v>
      </c>
      <c r="F5173" s="366" t="s">
        <v>341</v>
      </c>
      <c r="G5173" s="348" t="str">
        <f>"'"&amp;$C5173&amp;"'!$E$24:$Y$24"</f>
        <v>'BLD_CD'!$E$24:$Y$24</v>
      </c>
      <c r="H5173" s="381">
        <f ca="1">IF(IFERROR(INDEX(DATA_PROPERTY_MASTER!$E$5:$E$21,MATCH($C5173,DATA_PROPERTY_MASTER!$A$5:$A$21,0))="Yes",FALSE),IFERROR(INDEX(INDIRECT("'"&amp;$C5173&amp;"'!$E$24:$Y$24"),1,MATCH($D5173,INDIRECT("'"&amp;$C5173&amp;"'!$E$12:$Y$12"),0)),0),0)</f>
        <v>2747944.5286791935</v>
      </c>
      <c r="I5173" s="366" t="s">
        <v>1685</v>
      </c>
      <c r="J5173" s="348" t="str">
        <f t="shared" ca="1" si="160"/>
        <v>OK</v>
      </c>
      <c r="K5173" s="366" t="s">
        <v>1686</v>
      </c>
      <c r="L5173" s="366" t="s">
        <v>2234</v>
      </c>
      <c r="M5173" s="350" t="str">
        <f>IF($B5173="Portfolio","Portfolio",IFERROR(INDEX(DATA_ASSET_CLASSIFICATION!$B$8:$B$24,MATCH($C5173,DATA_ASSET_CLASSIFICATION!$A$8:$A$24,0)),"Review"))</f>
        <v>800 Commercial Drive</v>
      </c>
      <c r="N5173" s="350" t="str">
        <f>IF($B5173="Portfolio","Portfolio",IFERROR(INDEX(DATA_ASSET_CLASSIFICATION!$U$8:$U$24,MATCH($C5173,DATA_ASSET_CLASSIFICATION!$A$8:$A$24,0)),"Review"))</f>
        <v>New Build</v>
      </c>
      <c r="O5173" s="350" t="str">
        <f>IF($B5173="Portfolio","Portfolio",IFERROR(INDEX(DATA_ASSET_CLASSIFICATION!$AB$8:$AB$13,MATCH($N5173,DATA_ASSET_CLASSIFICATION!$AA$8:$AA$13,0)),"Review"))</f>
        <v>Bucket 1 · New Build</v>
      </c>
      <c r="P5173" s="350" t="str">
        <f>IF($B5173="Portfolio","Portfolio",IFERROR(INDEX(DATA_ASSET_CLASSIFICATION!$C$8:$C$24,MATCH($C5173,DATA_ASSET_CLASSIFICATION!$A$8:$A$24,0)),"Review"))</f>
        <v>Yes</v>
      </c>
      <c r="Q5173" s="350" t="str">
        <f t="shared" ca="1" si="161"/>
        <v>OK</v>
      </c>
    </row>
    <row r="5174" spans="1:17" ht="30">
      <c r="A5174" s="366" t="s">
        <v>7130</v>
      </c>
      <c r="B5174" s="366" t="s">
        <v>231</v>
      </c>
      <c r="C5174" s="348" t="str">
        <f>DATA_PROPERTY_MASTER!$A$21</f>
        <v>BLD_CD</v>
      </c>
      <c r="D5174" s="380">
        <f>'00_PORTFOLIO ROLLUP'!T$12</f>
        <v>2040</v>
      </c>
      <c r="E5174" s="366" t="s">
        <v>1683</v>
      </c>
      <c r="F5174" s="366" t="s">
        <v>355</v>
      </c>
      <c r="G5174" s="348" t="str">
        <f>"'"&amp;$C5174&amp;"'!$E$39:$Y$39"</f>
        <v>'BLD_CD'!$E$39:$Y$39</v>
      </c>
      <c r="H5174" s="381">
        <f ca="1">IF(IFERROR(INDEX(DATA_PROPERTY_MASTER!$E$5:$E$21,MATCH($C5174,DATA_PROPERTY_MASTER!$A$5:$A$21,0))="Yes",FALSE),IFERROR(INDEX(INDIRECT("'"&amp;$C5174&amp;"'!$E$39:$Y$39"),1,MATCH($D5174,INDIRECT("'"&amp;$C5174&amp;"'!$E$12:$Y$12"),0)),0),0)</f>
        <v>1037321.2759020274</v>
      </c>
      <c r="I5174" s="366" t="s">
        <v>1690</v>
      </c>
      <c r="J5174" s="348" t="str">
        <f t="shared" ca="1" si="160"/>
        <v>OK</v>
      </c>
      <c r="K5174" s="366" t="s">
        <v>1686</v>
      </c>
      <c r="L5174" s="366" t="s">
        <v>2236</v>
      </c>
      <c r="M5174" s="350" t="str">
        <f>IF($B5174="Portfolio","Portfolio",IFERROR(INDEX(DATA_ASSET_CLASSIFICATION!$B$8:$B$24,MATCH($C5174,DATA_ASSET_CLASSIFICATION!$A$8:$A$24,0)),"Review"))</f>
        <v>800 Commercial Drive</v>
      </c>
      <c r="N5174" s="350" t="str">
        <f>IF($B5174="Portfolio","Portfolio",IFERROR(INDEX(DATA_ASSET_CLASSIFICATION!$U$8:$U$24,MATCH($C5174,DATA_ASSET_CLASSIFICATION!$A$8:$A$24,0)),"Review"))</f>
        <v>New Build</v>
      </c>
      <c r="O5174" s="350" t="str">
        <f>IF($B5174="Portfolio","Portfolio",IFERROR(INDEX(DATA_ASSET_CLASSIFICATION!$AB$8:$AB$13,MATCH($N5174,DATA_ASSET_CLASSIFICATION!$AA$8:$AA$13,0)),"Review"))</f>
        <v>Bucket 1 · New Build</v>
      </c>
      <c r="P5174" s="350" t="str">
        <f>IF($B5174="Portfolio","Portfolio",IFERROR(INDEX(DATA_ASSET_CLASSIFICATION!$C$8:$C$24,MATCH($C5174,DATA_ASSET_CLASSIFICATION!$A$8:$A$24,0)),"Review"))</f>
        <v>Yes</v>
      </c>
      <c r="Q5174" s="350" t="str">
        <f t="shared" ca="1" si="161"/>
        <v>OK</v>
      </c>
    </row>
    <row r="5175" spans="1:17" ht="30">
      <c r="A5175" s="366" t="s">
        <v>7131</v>
      </c>
      <c r="B5175" s="366" t="s">
        <v>231</v>
      </c>
      <c r="C5175" s="348" t="str">
        <f>DATA_PROPERTY_MASTER!$A$21</f>
        <v>BLD_CD</v>
      </c>
      <c r="D5175" s="380">
        <f>'00_PORTFOLIO ROLLUP'!T$12</f>
        <v>2040</v>
      </c>
      <c r="E5175" s="366" t="s">
        <v>1683</v>
      </c>
      <c r="F5175" s="366" t="s">
        <v>19</v>
      </c>
      <c r="G5175" s="348" t="str">
        <f>"'"&amp;$C5175&amp;"'!$E$41:$Y$41"</f>
        <v>'BLD_CD'!$E$41:$Y$41</v>
      </c>
      <c r="H5175" s="381">
        <f ca="1">IF(IFERROR(INDEX(DATA_PROPERTY_MASTER!$E$5:$E$21,MATCH($C5175,DATA_PROPERTY_MASTER!$A$5:$A$21,0))="Yes",FALSE),IFERROR(INDEX(INDIRECT("'"&amp;$C5175&amp;"'!$E$41:$Y$41"),1,MATCH($D5175,INDIRECT("'"&amp;$C5175&amp;"'!$E$12:$Y$12"),0)),0),0)</f>
        <v>1710623.2527771662</v>
      </c>
      <c r="I5175" s="366" t="s">
        <v>1685</v>
      </c>
      <c r="J5175" s="348" t="str">
        <f t="shared" ca="1" si="160"/>
        <v>OK</v>
      </c>
      <c r="K5175" s="366" t="s">
        <v>1694</v>
      </c>
      <c r="L5175" s="366" t="s">
        <v>2238</v>
      </c>
      <c r="M5175" s="350" t="str">
        <f>IF($B5175="Portfolio","Portfolio",IFERROR(INDEX(DATA_ASSET_CLASSIFICATION!$B$8:$B$24,MATCH($C5175,DATA_ASSET_CLASSIFICATION!$A$8:$A$24,0)),"Review"))</f>
        <v>800 Commercial Drive</v>
      </c>
      <c r="N5175" s="350" t="str">
        <f>IF($B5175="Portfolio","Portfolio",IFERROR(INDEX(DATA_ASSET_CLASSIFICATION!$U$8:$U$24,MATCH($C5175,DATA_ASSET_CLASSIFICATION!$A$8:$A$24,0)),"Review"))</f>
        <v>New Build</v>
      </c>
      <c r="O5175" s="350" t="str">
        <f>IF($B5175="Portfolio","Portfolio",IFERROR(INDEX(DATA_ASSET_CLASSIFICATION!$AB$8:$AB$13,MATCH($N5175,DATA_ASSET_CLASSIFICATION!$AA$8:$AA$13,0)),"Review"))</f>
        <v>Bucket 1 · New Build</v>
      </c>
      <c r="P5175" s="350" t="str">
        <f>IF($B5175="Portfolio","Portfolio",IFERROR(INDEX(DATA_ASSET_CLASSIFICATION!$C$8:$C$24,MATCH($C5175,DATA_ASSET_CLASSIFICATION!$A$8:$A$24,0)),"Review"))</f>
        <v>Yes</v>
      </c>
      <c r="Q5175" s="350" t="str">
        <f t="shared" ca="1" si="161"/>
        <v>OK</v>
      </c>
    </row>
    <row r="5176" spans="1:17" ht="30">
      <c r="A5176" s="366" t="s">
        <v>7132</v>
      </c>
      <c r="B5176" s="366" t="s">
        <v>231</v>
      </c>
      <c r="C5176" s="348" t="str">
        <f>DATA_PROPERTY_MASTER!$A$21</f>
        <v>BLD_CD</v>
      </c>
      <c r="D5176" s="380">
        <f>'00_PORTFOLIO ROLLUP'!T$12</f>
        <v>2040</v>
      </c>
      <c r="E5176" s="366" t="s">
        <v>1683</v>
      </c>
      <c r="F5176" s="366" t="s">
        <v>1697</v>
      </c>
      <c r="G5176" s="348" t="str">
        <f>"'"&amp;$C5176&amp;"'!$E$44:$Y$44"</f>
        <v>'BLD_CD'!$E$44:$Y$44</v>
      </c>
      <c r="H5176" s="381">
        <f ca="1">IF(IFERROR(INDEX(DATA_PROPERTY_MASTER!$E$5:$E$21,MATCH($C5176,DATA_PROPERTY_MASTER!$A$5:$A$21,0))="Yes",FALSE),IFERROR(INDEX(INDIRECT("'"&amp;$C5176&amp;"'!$E$44:$Y$44"),1,MATCH($D5176,INDIRECT("'"&amp;$C5176&amp;"'!$E$12:$Y$12"),0)),0),0)</f>
        <v>18774.863319621603</v>
      </c>
      <c r="I5176" s="366" t="s">
        <v>1690</v>
      </c>
      <c r="J5176" s="348" t="str">
        <f t="shared" ca="1" si="160"/>
        <v>OK</v>
      </c>
      <c r="K5176" s="366" t="s">
        <v>1699</v>
      </c>
      <c r="L5176" s="366" t="s">
        <v>2240</v>
      </c>
      <c r="M5176" s="350" t="str">
        <f>IF($B5176="Portfolio","Portfolio",IFERROR(INDEX(DATA_ASSET_CLASSIFICATION!$B$8:$B$24,MATCH($C5176,DATA_ASSET_CLASSIFICATION!$A$8:$A$24,0)),"Review"))</f>
        <v>800 Commercial Drive</v>
      </c>
      <c r="N5176" s="350" t="str">
        <f>IF($B5176="Portfolio","Portfolio",IFERROR(INDEX(DATA_ASSET_CLASSIFICATION!$U$8:$U$24,MATCH($C5176,DATA_ASSET_CLASSIFICATION!$A$8:$A$24,0)),"Review"))</f>
        <v>New Build</v>
      </c>
      <c r="O5176" s="350" t="str">
        <f>IF($B5176="Portfolio","Portfolio",IFERROR(INDEX(DATA_ASSET_CLASSIFICATION!$AB$8:$AB$13,MATCH($N5176,DATA_ASSET_CLASSIFICATION!$AA$8:$AA$13,0)),"Review"))</f>
        <v>Bucket 1 · New Build</v>
      </c>
      <c r="P5176" s="350" t="str">
        <f>IF($B5176="Portfolio","Portfolio",IFERROR(INDEX(DATA_ASSET_CLASSIFICATION!$C$8:$C$24,MATCH($C5176,DATA_ASSET_CLASSIFICATION!$A$8:$A$24,0)),"Review"))</f>
        <v>Yes</v>
      </c>
      <c r="Q5176" s="350" t="str">
        <f t="shared" ca="1" si="161"/>
        <v>OK</v>
      </c>
    </row>
    <row r="5177" spans="1:17" ht="30">
      <c r="A5177" s="366" t="s">
        <v>7133</v>
      </c>
      <c r="B5177" s="366" t="s">
        <v>231</v>
      </c>
      <c r="C5177" s="348" t="str">
        <f>DATA_PROPERTY_MASTER!$A$21</f>
        <v>BLD_CD</v>
      </c>
      <c r="D5177" s="380">
        <f>'00_PORTFOLIO ROLLUP'!T$12</f>
        <v>2040</v>
      </c>
      <c r="E5177" s="366" t="s">
        <v>1683</v>
      </c>
      <c r="F5177" s="366" t="s">
        <v>21</v>
      </c>
      <c r="G5177" s="348" t="str">
        <f>"'"&amp;$C5177&amp;"'!$E$45:$Y$45"</f>
        <v>'BLD_CD'!$E$45:$Y$45</v>
      </c>
      <c r="H5177" s="381">
        <f ca="1">IF(IFERROR(INDEX(DATA_PROPERTY_MASTER!$E$5:$E$21,MATCH($C5177,DATA_PROPERTY_MASTER!$A$5:$A$21,0))="Yes",FALSE),IFERROR(INDEX(INDIRECT("'"&amp;$C5177&amp;"'!$E$45:$Y$45"),1,MATCH($D5177,INDIRECT("'"&amp;$C5177&amp;"'!$E$12:$Y$12"),0)),0),0)</f>
        <v>1691848.3894575445</v>
      </c>
      <c r="I5177" s="366" t="s">
        <v>1685</v>
      </c>
      <c r="J5177" s="348" t="str">
        <f t="shared" ca="1" si="160"/>
        <v>OK</v>
      </c>
      <c r="K5177" s="366" t="s">
        <v>1694</v>
      </c>
      <c r="L5177" s="366" t="s">
        <v>2242</v>
      </c>
      <c r="M5177" s="350" t="str">
        <f>IF($B5177="Portfolio","Portfolio",IFERROR(INDEX(DATA_ASSET_CLASSIFICATION!$B$8:$B$24,MATCH($C5177,DATA_ASSET_CLASSIFICATION!$A$8:$A$24,0)),"Review"))</f>
        <v>800 Commercial Drive</v>
      </c>
      <c r="N5177" s="350" t="str">
        <f>IF($B5177="Portfolio","Portfolio",IFERROR(INDEX(DATA_ASSET_CLASSIFICATION!$U$8:$U$24,MATCH($C5177,DATA_ASSET_CLASSIFICATION!$A$8:$A$24,0)),"Review"))</f>
        <v>New Build</v>
      </c>
      <c r="O5177" s="350" t="str">
        <f>IF($B5177="Portfolio","Portfolio",IFERROR(INDEX(DATA_ASSET_CLASSIFICATION!$AB$8:$AB$13,MATCH($N5177,DATA_ASSET_CLASSIFICATION!$AA$8:$AA$13,0)),"Review"))</f>
        <v>Bucket 1 · New Build</v>
      </c>
      <c r="P5177" s="350" t="str">
        <f>IF($B5177="Portfolio","Portfolio",IFERROR(INDEX(DATA_ASSET_CLASSIFICATION!$C$8:$C$24,MATCH($C5177,DATA_ASSET_CLASSIFICATION!$A$8:$A$24,0)),"Review"))</f>
        <v>Yes</v>
      </c>
      <c r="Q5177" s="350" t="str">
        <f t="shared" ca="1" si="161"/>
        <v>OK</v>
      </c>
    </row>
    <row r="5178" spans="1:17" ht="30">
      <c r="A5178" s="366" t="s">
        <v>7134</v>
      </c>
      <c r="B5178" s="366" t="s">
        <v>231</v>
      </c>
      <c r="C5178" s="348" t="str">
        <f>DATA_PROPERTY_MASTER!$A$21</f>
        <v>BLD_CD</v>
      </c>
      <c r="D5178" s="380">
        <f>'00_PORTFOLIO ROLLUP'!T$12</f>
        <v>2040</v>
      </c>
      <c r="E5178" s="366" t="s">
        <v>23</v>
      </c>
      <c r="F5178" s="366" t="s">
        <v>23</v>
      </c>
      <c r="G5178" s="348" t="str">
        <f>"'"&amp;$C5178&amp;"'!$E$48:$Y$48"</f>
        <v>'BLD_CD'!$E$48:$Y$48</v>
      </c>
      <c r="H5178" s="381">
        <f ca="1">IF(IFERROR(INDEX(DATA_PROPERTY_MASTER!$E$5:$E$21,MATCH($C5178,DATA_PROPERTY_MASTER!$A$5:$A$21,0))="Yes",FALSE),IFERROR(INDEX(INDIRECT("'"&amp;$C5178&amp;"'!$E$48:$Y$48"),1,MATCH($D5178,INDIRECT("'"&amp;$C5178&amp;"'!$E$12:$Y$12"),0)),0),0)</f>
        <v>979555.28115311568</v>
      </c>
      <c r="I5178" s="366" t="s">
        <v>1690</v>
      </c>
      <c r="J5178" s="348" t="str">
        <f t="shared" ca="1" si="160"/>
        <v>OK</v>
      </c>
      <c r="K5178" s="366" t="s">
        <v>1706</v>
      </c>
      <c r="L5178" s="366" t="s">
        <v>2244</v>
      </c>
      <c r="M5178" s="350" t="str">
        <f>IF($B5178="Portfolio","Portfolio",IFERROR(INDEX(DATA_ASSET_CLASSIFICATION!$B$8:$B$24,MATCH($C5178,DATA_ASSET_CLASSIFICATION!$A$8:$A$24,0)),"Review"))</f>
        <v>800 Commercial Drive</v>
      </c>
      <c r="N5178" s="350" t="str">
        <f>IF($B5178="Portfolio","Portfolio",IFERROR(INDEX(DATA_ASSET_CLASSIFICATION!$U$8:$U$24,MATCH($C5178,DATA_ASSET_CLASSIFICATION!$A$8:$A$24,0)),"Review"))</f>
        <v>New Build</v>
      </c>
      <c r="O5178" s="350" t="str">
        <f>IF($B5178="Portfolio","Portfolio",IFERROR(INDEX(DATA_ASSET_CLASSIFICATION!$AB$8:$AB$13,MATCH($N5178,DATA_ASSET_CLASSIFICATION!$AA$8:$AA$13,0)),"Review"))</f>
        <v>Bucket 1 · New Build</v>
      </c>
      <c r="P5178" s="350" t="str">
        <f>IF($B5178="Portfolio","Portfolio",IFERROR(INDEX(DATA_ASSET_CLASSIFICATION!$C$8:$C$24,MATCH($C5178,DATA_ASSET_CLASSIFICATION!$A$8:$A$24,0)),"Review"))</f>
        <v>Yes</v>
      </c>
      <c r="Q5178" s="350" t="str">
        <f t="shared" ca="1" si="161"/>
        <v>OK</v>
      </c>
    </row>
    <row r="5179" spans="1:17" ht="30">
      <c r="A5179" s="366" t="s">
        <v>7135</v>
      </c>
      <c r="B5179" s="366" t="s">
        <v>231</v>
      </c>
      <c r="C5179" s="348" t="str">
        <f>DATA_PROPERTY_MASTER!$A$21</f>
        <v>BLD_CD</v>
      </c>
      <c r="D5179" s="380">
        <f>'00_PORTFOLIO ROLLUP'!T$12</f>
        <v>2040</v>
      </c>
      <c r="E5179" s="366" t="s">
        <v>1683</v>
      </c>
      <c r="F5179" s="366" t="s">
        <v>25</v>
      </c>
      <c r="G5179" s="348" t="str">
        <f>"'"&amp;$C5179&amp;"'!$E$52:$Y$52"</f>
        <v>'BLD_CD'!$E$52:$Y$52</v>
      </c>
      <c r="H5179" s="381">
        <f ca="1">IF(IFERROR(INDEX(DATA_PROPERTY_MASTER!$E$5:$E$21,MATCH($C5179,DATA_PROPERTY_MASTER!$A$5:$A$21,0))="Yes",FALSE),IFERROR(INDEX(INDIRECT("'"&amp;$C5179&amp;"'!$E$52:$Y$52"),1,MATCH($D5179,INDIRECT("'"&amp;$C5179&amp;"'!$E$12:$Y$12"),0)),0),0)</f>
        <v>731067.97162405052</v>
      </c>
      <c r="I5179" s="366" t="s">
        <v>1685</v>
      </c>
      <c r="J5179" s="348" t="str">
        <f t="shared" ca="1" si="160"/>
        <v>OK</v>
      </c>
      <c r="K5179" s="366" t="s">
        <v>1710</v>
      </c>
      <c r="L5179" s="366" t="s">
        <v>2246</v>
      </c>
      <c r="M5179" s="350" t="str">
        <f>IF($B5179="Portfolio","Portfolio",IFERROR(INDEX(DATA_ASSET_CLASSIFICATION!$B$8:$B$24,MATCH($C5179,DATA_ASSET_CLASSIFICATION!$A$8:$A$24,0)),"Review"))</f>
        <v>800 Commercial Drive</v>
      </c>
      <c r="N5179" s="350" t="str">
        <f>IF($B5179="Portfolio","Portfolio",IFERROR(INDEX(DATA_ASSET_CLASSIFICATION!$U$8:$U$24,MATCH($C5179,DATA_ASSET_CLASSIFICATION!$A$8:$A$24,0)),"Review"))</f>
        <v>New Build</v>
      </c>
      <c r="O5179" s="350" t="str">
        <f>IF($B5179="Portfolio","Portfolio",IFERROR(INDEX(DATA_ASSET_CLASSIFICATION!$AB$8:$AB$13,MATCH($N5179,DATA_ASSET_CLASSIFICATION!$AA$8:$AA$13,0)),"Review"))</f>
        <v>Bucket 1 · New Build</v>
      </c>
      <c r="P5179" s="350" t="str">
        <f>IF($B5179="Portfolio","Portfolio",IFERROR(INDEX(DATA_ASSET_CLASSIFICATION!$C$8:$C$24,MATCH($C5179,DATA_ASSET_CLASSIFICATION!$A$8:$A$24,0)),"Review"))</f>
        <v>Yes</v>
      </c>
      <c r="Q5179" s="350" t="str">
        <f t="shared" ca="1" si="161"/>
        <v>OK</v>
      </c>
    </row>
    <row r="5180" spans="1:17" ht="30">
      <c r="A5180" s="366" t="s">
        <v>7136</v>
      </c>
      <c r="B5180" s="366" t="s">
        <v>231</v>
      </c>
      <c r="C5180" s="348" t="str">
        <f>DATA_PROPERTY_MASTER!$A$21</f>
        <v>BLD_CD</v>
      </c>
      <c r="D5180" s="380">
        <f>'00_PORTFOLIO ROLLUP'!T$12</f>
        <v>2040</v>
      </c>
      <c r="E5180" s="366" t="s">
        <v>1683</v>
      </c>
      <c r="F5180" s="366" t="s">
        <v>27</v>
      </c>
      <c r="G5180" s="348" t="str">
        <f>"'"&amp;$C5180&amp;"'!$E$54:$Y$54"</f>
        <v>'BLD_CD'!$E$54:$Y$54</v>
      </c>
      <c r="H5180" s="381">
        <f ca="1">IF(IFERROR(INDEX(DATA_PROPERTY_MASTER!$E$5:$E$21,MATCH($C5180,DATA_PROPERTY_MASTER!$A$5:$A$21,0))="Yes",FALSE),IFERROR(INDEX(INDIRECT("'"&amp;$C5180&amp;"'!$E$54:$Y$54"),1,MATCH($D5180,INDIRECT("'"&amp;$C5180&amp;"'!$E$12:$Y$12"),0)),0),0)</f>
        <v>438640.7829744303</v>
      </c>
      <c r="I5180" s="366" t="s">
        <v>1690</v>
      </c>
      <c r="J5180" s="348" t="str">
        <f t="shared" ca="1" si="160"/>
        <v>OK</v>
      </c>
      <c r="K5180" s="366" t="s">
        <v>1714</v>
      </c>
      <c r="L5180" s="366" t="s">
        <v>2248</v>
      </c>
      <c r="M5180" s="350" t="str">
        <f>IF($B5180="Portfolio","Portfolio",IFERROR(INDEX(DATA_ASSET_CLASSIFICATION!$B$8:$B$24,MATCH($C5180,DATA_ASSET_CLASSIFICATION!$A$8:$A$24,0)),"Review"))</f>
        <v>800 Commercial Drive</v>
      </c>
      <c r="N5180" s="350" t="str">
        <f>IF($B5180="Portfolio","Portfolio",IFERROR(INDEX(DATA_ASSET_CLASSIFICATION!$U$8:$U$24,MATCH($C5180,DATA_ASSET_CLASSIFICATION!$A$8:$A$24,0)),"Review"))</f>
        <v>New Build</v>
      </c>
      <c r="O5180" s="350" t="str">
        <f>IF($B5180="Portfolio","Portfolio",IFERROR(INDEX(DATA_ASSET_CLASSIFICATION!$AB$8:$AB$13,MATCH($N5180,DATA_ASSET_CLASSIFICATION!$AA$8:$AA$13,0)),"Review"))</f>
        <v>Bucket 1 · New Build</v>
      </c>
      <c r="P5180" s="350" t="str">
        <f>IF($B5180="Portfolio","Portfolio",IFERROR(INDEX(DATA_ASSET_CLASSIFICATION!$C$8:$C$24,MATCH($C5180,DATA_ASSET_CLASSIFICATION!$A$8:$A$24,0)),"Review"))</f>
        <v>Yes</v>
      </c>
      <c r="Q5180" s="350" t="str">
        <f t="shared" ca="1" si="161"/>
        <v>OK</v>
      </c>
    </row>
    <row r="5181" spans="1:17" ht="30">
      <c r="A5181" s="366" t="s">
        <v>7137</v>
      </c>
      <c r="B5181" s="366" t="s">
        <v>231</v>
      </c>
      <c r="C5181" s="348" t="str">
        <f>DATA_PROPERTY_MASTER!$A$21</f>
        <v>BLD_CD</v>
      </c>
      <c r="D5181" s="380">
        <f>'00_PORTFOLIO ROLLUP'!T$12</f>
        <v>2040</v>
      </c>
      <c r="E5181" s="366" t="s">
        <v>1683</v>
      </c>
      <c r="F5181" s="366" t="s">
        <v>29</v>
      </c>
      <c r="G5181" s="348" t="str">
        <f>"'"&amp;$C5181&amp;"'!$E$56:$Y$56"</f>
        <v>'BLD_CD'!$E$56:$Y$56</v>
      </c>
      <c r="H5181" s="381">
        <f ca="1">IF(IFERROR(INDEX(DATA_PROPERTY_MASTER!$E$5:$E$21,MATCH($C5181,DATA_PROPERTY_MASTER!$A$5:$A$21,0))="Yes",FALSE),IFERROR(INDEX(INDIRECT("'"&amp;$C5181&amp;"'!$E$56:$Y$56"),1,MATCH($D5181,INDIRECT("'"&amp;$C5181&amp;"'!$E$12:$Y$12"),0)),0),0)</f>
        <v>292427.18864962022</v>
      </c>
      <c r="I5181" s="366" t="s">
        <v>1685</v>
      </c>
      <c r="J5181" s="348" t="str">
        <f t="shared" ca="1" si="160"/>
        <v>OK</v>
      </c>
      <c r="K5181" s="366" t="s">
        <v>1718</v>
      </c>
      <c r="L5181" s="366" t="s">
        <v>2250</v>
      </c>
      <c r="M5181" s="350" t="str">
        <f>IF($B5181="Portfolio","Portfolio",IFERROR(INDEX(DATA_ASSET_CLASSIFICATION!$B$8:$B$24,MATCH($C5181,DATA_ASSET_CLASSIFICATION!$A$8:$A$24,0)),"Review"))</f>
        <v>800 Commercial Drive</v>
      </c>
      <c r="N5181" s="350" t="str">
        <f>IF($B5181="Portfolio","Portfolio",IFERROR(INDEX(DATA_ASSET_CLASSIFICATION!$U$8:$U$24,MATCH($C5181,DATA_ASSET_CLASSIFICATION!$A$8:$A$24,0)),"Review"))</f>
        <v>New Build</v>
      </c>
      <c r="O5181" s="350" t="str">
        <f>IF($B5181="Portfolio","Portfolio",IFERROR(INDEX(DATA_ASSET_CLASSIFICATION!$AB$8:$AB$13,MATCH($N5181,DATA_ASSET_CLASSIFICATION!$AA$8:$AA$13,0)),"Review"))</f>
        <v>Bucket 1 · New Build</v>
      </c>
      <c r="P5181" s="350" t="str">
        <f>IF($B5181="Portfolio","Portfolio",IFERROR(INDEX(DATA_ASSET_CLASSIFICATION!$C$8:$C$24,MATCH($C5181,DATA_ASSET_CLASSIFICATION!$A$8:$A$24,0)),"Review"))</f>
        <v>Yes</v>
      </c>
      <c r="Q5181" s="350" t="str">
        <f t="shared" ca="1" si="161"/>
        <v>OK</v>
      </c>
    </row>
    <row r="5182" spans="1:17" ht="30">
      <c r="A5182" s="366" t="s">
        <v>7138</v>
      </c>
      <c r="B5182" s="366" t="s">
        <v>231</v>
      </c>
      <c r="C5182" s="348" t="str">
        <f>DATA_PROPERTY_MASTER!$A$21</f>
        <v>BLD_CD</v>
      </c>
      <c r="D5182" s="380">
        <f>'00_PORTFOLIO ROLLUP'!T$12</f>
        <v>2040</v>
      </c>
      <c r="E5182" s="366" t="s">
        <v>1721</v>
      </c>
      <c r="F5182" s="366" t="s">
        <v>31</v>
      </c>
      <c r="G5182" s="348" t="str">
        <f>"'"&amp;$C5182&amp;"'!$E$61:$Y$61"</f>
        <v>'BLD_CD'!$E$61:$Y$61</v>
      </c>
      <c r="H5182" s="381">
        <f ca="1">IF(IFERROR(INDEX(DATA_PROPERTY_MASTER!$E$5:$E$21,MATCH($C5182,DATA_PROPERTY_MASTER!$A$5:$A$21,0))="Yes",FALSE),IFERROR(INDEX(INDIRECT("'"&amp;$C5182&amp;"'!$E$61:$Y$61"),1,MATCH($D5182,INDIRECT("'"&amp;$C5182&amp;"'!$E$12:$Y$12"),0)),0),0)</f>
        <v>0</v>
      </c>
      <c r="I5182" s="366" t="s">
        <v>1690</v>
      </c>
      <c r="J5182" s="348" t="str">
        <f t="shared" ca="1" si="160"/>
        <v>OK</v>
      </c>
      <c r="K5182" s="366" t="s">
        <v>1723</v>
      </c>
      <c r="L5182" s="366" t="s">
        <v>2252</v>
      </c>
      <c r="M5182" s="350" t="str">
        <f>IF($B5182="Portfolio","Portfolio",IFERROR(INDEX(DATA_ASSET_CLASSIFICATION!$B$8:$B$24,MATCH($C5182,DATA_ASSET_CLASSIFICATION!$A$8:$A$24,0)),"Review"))</f>
        <v>800 Commercial Drive</v>
      </c>
      <c r="N5182" s="350" t="str">
        <f>IF($B5182="Portfolio","Portfolio",IFERROR(INDEX(DATA_ASSET_CLASSIFICATION!$U$8:$U$24,MATCH($C5182,DATA_ASSET_CLASSIFICATION!$A$8:$A$24,0)),"Review"))</f>
        <v>New Build</v>
      </c>
      <c r="O5182" s="350" t="str">
        <f>IF($B5182="Portfolio","Portfolio",IFERROR(INDEX(DATA_ASSET_CLASSIFICATION!$AB$8:$AB$13,MATCH($N5182,DATA_ASSET_CLASSIFICATION!$AA$8:$AA$13,0)),"Review"))</f>
        <v>Bucket 1 · New Build</v>
      </c>
      <c r="P5182" s="350" t="str">
        <f>IF($B5182="Portfolio","Portfolio",IFERROR(INDEX(DATA_ASSET_CLASSIFICATION!$C$8:$C$24,MATCH($C5182,DATA_ASSET_CLASSIFICATION!$A$8:$A$24,0)),"Review"))</f>
        <v>Yes</v>
      </c>
      <c r="Q5182" s="350" t="str">
        <f t="shared" ca="1" si="161"/>
        <v>OK</v>
      </c>
    </row>
    <row r="5183" spans="1:17" ht="30">
      <c r="A5183" s="366" t="s">
        <v>7139</v>
      </c>
      <c r="B5183" s="366" t="s">
        <v>231</v>
      </c>
      <c r="C5183" s="348" t="str">
        <f>DATA_PROPERTY_MASTER!$A$21</f>
        <v>BLD_CD</v>
      </c>
      <c r="D5183" s="380">
        <f>'00_PORTFOLIO ROLLUP'!T$12</f>
        <v>2040</v>
      </c>
      <c r="E5183" s="366" t="s">
        <v>1721</v>
      </c>
      <c r="F5183" s="366" t="s">
        <v>33</v>
      </c>
      <c r="G5183" s="348" t="str">
        <f>"'"&amp;$C5183&amp;"'!$E$62:$Y$62"</f>
        <v>'BLD_CD'!$E$62:$Y$62</v>
      </c>
      <c r="H5183" s="381">
        <f ca="1">IF(IFERROR(INDEX(DATA_PROPERTY_MASTER!$E$5:$E$21,MATCH($C5183,DATA_PROPERTY_MASTER!$A$5:$A$21,0))="Yes",FALSE),IFERROR(INDEX(INDIRECT("'"&amp;$C5183&amp;"'!$E$62:$Y$62"),1,MATCH($D5183,INDIRECT("'"&amp;$C5183&amp;"'!$E$12:$Y$12"),0)),0),0)</f>
        <v>0</v>
      </c>
      <c r="I5183" s="366" t="s">
        <v>1685</v>
      </c>
      <c r="J5183" s="348" t="str">
        <f t="shared" ca="1" si="160"/>
        <v>OK</v>
      </c>
      <c r="K5183" s="366" t="s">
        <v>1727</v>
      </c>
      <c r="L5183" s="366" t="s">
        <v>2254</v>
      </c>
      <c r="M5183" s="350" t="str">
        <f>IF($B5183="Portfolio","Portfolio",IFERROR(INDEX(DATA_ASSET_CLASSIFICATION!$B$8:$B$24,MATCH($C5183,DATA_ASSET_CLASSIFICATION!$A$8:$A$24,0)),"Review"))</f>
        <v>800 Commercial Drive</v>
      </c>
      <c r="N5183" s="350" t="str">
        <f>IF($B5183="Portfolio","Portfolio",IFERROR(INDEX(DATA_ASSET_CLASSIFICATION!$U$8:$U$24,MATCH($C5183,DATA_ASSET_CLASSIFICATION!$A$8:$A$24,0)),"Review"))</f>
        <v>New Build</v>
      </c>
      <c r="O5183" s="350" t="str">
        <f>IF($B5183="Portfolio","Portfolio",IFERROR(INDEX(DATA_ASSET_CLASSIFICATION!$AB$8:$AB$13,MATCH($N5183,DATA_ASSET_CLASSIFICATION!$AA$8:$AA$13,0)),"Review"))</f>
        <v>Bucket 1 · New Build</v>
      </c>
      <c r="P5183" s="350" t="str">
        <f>IF($B5183="Portfolio","Portfolio",IFERROR(INDEX(DATA_ASSET_CLASSIFICATION!$C$8:$C$24,MATCH($C5183,DATA_ASSET_CLASSIFICATION!$A$8:$A$24,0)),"Review"))</f>
        <v>Yes</v>
      </c>
      <c r="Q5183" s="350" t="str">
        <f t="shared" ca="1" si="161"/>
        <v>OK</v>
      </c>
    </row>
    <row r="5184" spans="1:17" ht="30">
      <c r="A5184" s="366" t="s">
        <v>7140</v>
      </c>
      <c r="B5184" s="366" t="s">
        <v>231</v>
      </c>
      <c r="C5184" s="348" t="str">
        <f>DATA_PROPERTY_MASTER!$A$21</f>
        <v>BLD_CD</v>
      </c>
      <c r="D5184" s="380">
        <f>'00_PORTFOLIO ROLLUP'!T$12</f>
        <v>2040</v>
      </c>
      <c r="E5184" s="366" t="s">
        <v>1721</v>
      </c>
      <c r="F5184" s="366" t="s">
        <v>35</v>
      </c>
      <c r="G5184" s="348" t="str">
        <f>"'"&amp;$C5184&amp;"'!$E$63:$Y$63"</f>
        <v>'BLD_CD'!$E$63:$Y$63</v>
      </c>
      <c r="H5184" s="381">
        <f ca="1">IF(IFERROR(INDEX(DATA_PROPERTY_MASTER!$E$5:$E$21,MATCH($C5184,DATA_PROPERTY_MASTER!$A$5:$A$21,0))="Yes",FALSE),IFERROR(INDEX(INDIRECT("'"&amp;$C5184&amp;"'!$E$63:$Y$63"),1,MATCH($D5184,INDIRECT("'"&amp;$C5184&amp;"'!$E$12:$Y$12"),0)),0),0)</f>
        <v>0</v>
      </c>
      <c r="I5184" s="366" t="s">
        <v>1731</v>
      </c>
      <c r="J5184" s="348" t="str">
        <f t="shared" ca="1" si="160"/>
        <v>OK</v>
      </c>
      <c r="K5184" s="366" t="s">
        <v>1732</v>
      </c>
      <c r="L5184" s="366" t="s">
        <v>2256</v>
      </c>
      <c r="M5184" s="350" t="str">
        <f>IF($B5184="Portfolio","Portfolio",IFERROR(INDEX(DATA_ASSET_CLASSIFICATION!$B$8:$B$24,MATCH($C5184,DATA_ASSET_CLASSIFICATION!$A$8:$A$24,0)),"Review"))</f>
        <v>800 Commercial Drive</v>
      </c>
      <c r="N5184" s="350" t="str">
        <f>IF($B5184="Portfolio","Portfolio",IFERROR(INDEX(DATA_ASSET_CLASSIFICATION!$U$8:$U$24,MATCH($C5184,DATA_ASSET_CLASSIFICATION!$A$8:$A$24,0)),"Review"))</f>
        <v>New Build</v>
      </c>
      <c r="O5184" s="350" t="str">
        <f>IF($B5184="Portfolio","Portfolio",IFERROR(INDEX(DATA_ASSET_CLASSIFICATION!$AB$8:$AB$13,MATCH($N5184,DATA_ASSET_CLASSIFICATION!$AA$8:$AA$13,0)),"Review"))</f>
        <v>Bucket 1 · New Build</v>
      </c>
      <c r="P5184" s="350" t="str">
        <f>IF($B5184="Portfolio","Portfolio",IFERROR(INDEX(DATA_ASSET_CLASSIFICATION!$C$8:$C$24,MATCH($C5184,DATA_ASSET_CLASSIFICATION!$A$8:$A$24,0)),"Review"))</f>
        <v>Yes</v>
      </c>
      <c r="Q5184" s="350" t="str">
        <f t="shared" ca="1" si="161"/>
        <v>OK</v>
      </c>
    </row>
    <row r="5185" spans="1:17" ht="30">
      <c r="A5185" s="366" t="s">
        <v>7141</v>
      </c>
      <c r="B5185" s="366" t="s">
        <v>231</v>
      </c>
      <c r="C5185" s="348" t="str">
        <f>DATA_PROPERTY_MASTER!$A$21</f>
        <v>BLD_CD</v>
      </c>
      <c r="D5185" s="380">
        <f>'00_PORTFOLIO ROLLUP'!T$12</f>
        <v>2040</v>
      </c>
      <c r="E5185" s="366" t="s">
        <v>1721</v>
      </c>
      <c r="F5185" s="366" t="s">
        <v>37</v>
      </c>
      <c r="G5185" s="348" t="str">
        <f>"'"&amp;$C5185&amp;"'!$E$63:$Y$63"</f>
        <v>'BLD_CD'!$E$63:$Y$63</v>
      </c>
      <c r="H5185" s="381">
        <f ca="1">IF(IFERROR(INDEX(DATA_PROPERTY_MASTER!$E$5:$E$21,MATCH($C5185,DATA_PROPERTY_MASTER!$A$5:$A$21,0))="Yes",FALSE),MAX(IFERROR(INDEX(INDIRECT("'"&amp;$C5185&amp;"'!$E$63:$Y$63"),1,MATCH($D5185,INDIRECT("'"&amp;$C5185&amp;"'!$E$12:$Y$12"),0)),0),0),0)</f>
        <v>0</v>
      </c>
      <c r="I5185" s="366" t="s">
        <v>1685</v>
      </c>
      <c r="J5185" s="348" t="str">
        <f t="shared" ca="1" si="160"/>
        <v>OK</v>
      </c>
      <c r="K5185" s="366" t="s">
        <v>1735</v>
      </c>
      <c r="L5185" s="366" t="s">
        <v>2258</v>
      </c>
      <c r="M5185" s="350" t="str">
        <f>IF($B5185="Portfolio","Portfolio",IFERROR(INDEX(DATA_ASSET_CLASSIFICATION!$B$8:$B$24,MATCH($C5185,DATA_ASSET_CLASSIFICATION!$A$8:$A$24,0)),"Review"))</f>
        <v>800 Commercial Drive</v>
      </c>
      <c r="N5185" s="350" t="str">
        <f>IF($B5185="Portfolio","Portfolio",IFERROR(INDEX(DATA_ASSET_CLASSIFICATION!$U$8:$U$24,MATCH($C5185,DATA_ASSET_CLASSIFICATION!$A$8:$A$24,0)),"Review"))</f>
        <v>New Build</v>
      </c>
      <c r="O5185" s="350" t="str">
        <f>IF($B5185="Portfolio","Portfolio",IFERROR(INDEX(DATA_ASSET_CLASSIFICATION!$AB$8:$AB$13,MATCH($N5185,DATA_ASSET_CLASSIFICATION!$AA$8:$AA$13,0)),"Review"))</f>
        <v>Bucket 1 · New Build</v>
      </c>
      <c r="P5185" s="350" t="str">
        <f>IF($B5185="Portfolio","Portfolio",IFERROR(INDEX(DATA_ASSET_CLASSIFICATION!$C$8:$C$24,MATCH($C5185,DATA_ASSET_CLASSIFICATION!$A$8:$A$24,0)),"Review"))</f>
        <v>Yes</v>
      </c>
      <c r="Q5185" s="350" t="str">
        <f t="shared" ca="1" si="161"/>
        <v>OK</v>
      </c>
    </row>
    <row r="5186" spans="1:17" ht="30">
      <c r="A5186" s="366" t="s">
        <v>7142</v>
      </c>
      <c r="B5186" s="366" t="s">
        <v>231</v>
      </c>
      <c r="C5186" s="348" t="str">
        <f>DATA_PROPERTY_MASTER!$A$21</f>
        <v>BLD_CD</v>
      </c>
      <c r="D5186" s="380">
        <f>'00_PORTFOLIO ROLLUP'!T$12</f>
        <v>2040</v>
      </c>
      <c r="E5186" s="366" t="s">
        <v>1721</v>
      </c>
      <c r="F5186" s="366" t="s">
        <v>39</v>
      </c>
      <c r="G5186" s="348" t="str">
        <f>"'"&amp;$C5186&amp;"'!$E$63:$Y$63"</f>
        <v>'BLD_CD'!$E$63:$Y$63</v>
      </c>
      <c r="H5186" s="381">
        <f ca="1">IF(IFERROR(INDEX(DATA_PROPERTY_MASTER!$E$5:$E$21,MATCH($C5186,DATA_PROPERTY_MASTER!$A$5:$A$21,0))="Yes",FALSE),MAX(-IFERROR(INDEX(INDIRECT("'"&amp;$C5186&amp;"'!$E$63:$Y$63"),1,MATCH($D5186,INDIRECT("'"&amp;$C5186&amp;"'!$E$12:$Y$12"),0)),0),0),0)</f>
        <v>0</v>
      </c>
      <c r="I5186" s="366" t="s">
        <v>1690</v>
      </c>
      <c r="J5186" s="348" t="str">
        <f t="shared" ca="1" si="160"/>
        <v>OK</v>
      </c>
      <c r="K5186" s="366" t="s">
        <v>1738</v>
      </c>
      <c r="L5186" s="366" t="s">
        <v>2260</v>
      </c>
      <c r="M5186" s="350" t="str">
        <f>IF($B5186="Portfolio","Portfolio",IFERROR(INDEX(DATA_ASSET_CLASSIFICATION!$B$8:$B$24,MATCH($C5186,DATA_ASSET_CLASSIFICATION!$A$8:$A$24,0)),"Review"))</f>
        <v>800 Commercial Drive</v>
      </c>
      <c r="N5186" s="350" t="str">
        <f>IF($B5186="Portfolio","Portfolio",IFERROR(INDEX(DATA_ASSET_CLASSIFICATION!$U$8:$U$24,MATCH($C5186,DATA_ASSET_CLASSIFICATION!$A$8:$A$24,0)),"Review"))</f>
        <v>New Build</v>
      </c>
      <c r="O5186" s="350" t="str">
        <f>IF($B5186="Portfolio","Portfolio",IFERROR(INDEX(DATA_ASSET_CLASSIFICATION!$AB$8:$AB$13,MATCH($N5186,DATA_ASSET_CLASSIFICATION!$AA$8:$AA$13,0)),"Review"))</f>
        <v>Bucket 1 · New Build</v>
      </c>
      <c r="P5186" s="350" t="str">
        <f>IF($B5186="Portfolio","Portfolio",IFERROR(INDEX(DATA_ASSET_CLASSIFICATION!$C$8:$C$24,MATCH($C5186,DATA_ASSET_CLASSIFICATION!$A$8:$A$24,0)),"Review"))</f>
        <v>Yes</v>
      </c>
      <c r="Q5186" s="350" t="str">
        <f t="shared" ca="1" si="161"/>
        <v>OK</v>
      </c>
    </row>
    <row r="5187" spans="1:17" ht="30">
      <c r="A5187" s="366" t="s">
        <v>7143</v>
      </c>
      <c r="B5187" s="366" t="s">
        <v>231</v>
      </c>
      <c r="C5187" s="348" t="str">
        <f>DATA_PROPERTY_MASTER!$A$21</f>
        <v>BLD_CD</v>
      </c>
      <c r="D5187" s="380">
        <f>'00_PORTFOLIO ROLLUP'!T$12</f>
        <v>2040</v>
      </c>
      <c r="E5187" s="366" t="s">
        <v>1741</v>
      </c>
      <c r="F5187" s="366" t="s">
        <v>41</v>
      </c>
      <c r="G5187" s="348" t="str">
        <f>"'"&amp;$C5187&amp;"'!rows 56 + positive row 63"</f>
        <v>'BLD_CD'!rows 56 + positive row 63</v>
      </c>
      <c r="H5187" s="381">
        <f ca="1">IF(IFERROR(INDEX(DATA_PROPERTY_MASTER!$E$5:$E$21,MATCH($C5187,DATA_PROPERTY_MASTER!$A$5:$A$21,0))="Yes",FALSE),IFERROR(INDEX(INDIRECT("'"&amp;$C5187&amp;"'!$E$56:$Y$56"),1,MATCH($D5187,INDIRECT("'"&amp;$C5187&amp;"'!$E$12:$Y$12"),0)),0)+MAX(IFERROR(INDEX(INDIRECT("'"&amp;$C5187&amp;"'!$E$63:$Y$63"),1,MATCH($D5187,INDIRECT("'"&amp;$C5187&amp;"'!$E$12:$Y$12"),0)),0),0),0)</f>
        <v>292427.18864962022</v>
      </c>
      <c r="I5187" s="366" t="s">
        <v>1685</v>
      </c>
      <c r="J5187" s="348" t="str">
        <f t="shared" ca="1" si="160"/>
        <v>OK</v>
      </c>
      <c r="K5187" s="366" t="s">
        <v>1742</v>
      </c>
      <c r="L5187" s="366" t="s">
        <v>2262</v>
      </c>
      <c r="M5187" s="350" t="str">
        <f>IF($B5187="Portfolio","Portfolio",IFERROR(INDEX(DATA_ASSET_CLASSIFICATION!$B$8:$B$24,MATCH($C5187,DATA_ASSET_CLASSIFICATION!$A$8:$A$24,0)),"Review"))</f>
        <v>800 Commercial Drive</v>
      </c>
      <c r="N5187" s="350" t="str">
        <f>IF($B5187="Portfolio","Portfolio",IFERROR(INDEX(DATA_ASSET_CLASSIFICATION!$U$8:$U$24,MATCH($C5187,DATA_ASSET_CLASSIFICATION!$A$8:$A$24,0)),"Review"))</f>
        <v>New Build</v>
      </c>
      <c r="O5187" s="350" t="str">
        <f>IF($B5187="Portfolio","Portfolio",IFERROR(INDEX(DATA_ASSET_CLASSIFICATION!$AB$8:$AB$13,MATCH($N5187,DATA_ASSET_CLASSIFICATION!$AA$8:$AA$13,0)),"Review"))</f>
        <v>Bucket 1 · New Build</v>
      </c>
      <c r="P5187" s="350" t="str">
        <f>IF($B5187="Portfolio","Portfolio",IFERROR(INDEX(DATA_ASSET_CLASSIFICATION!$C$8:$C$24,MATCH($C5187,DATA_ASSET_CLASSIFICATION!$A$8:$A$24,0)),"Review"))</f>
        <v>Yes</v>
      </c>
      <c r="Q5187" s="350" t="str">
        <f t="shared" ca="1" si="161"/>
        <v>OK</v>
      </c>
    </row>
    <row r="5188" spans="1:17" ht="30">
      <c r="A5188" s="366" t="s">
        <v>7144</v>
      </c>
      <c r="B5188" s="366" t="s">
        <v>231</v>
      </c>
      <c r="C5188" s="348" t="str">
        <f>DATA_PROPERTY_MASTER!$A$21</f>
        <v>BLD_CD</v>
      </c>
      <c r="D5188" s="380">
        <f>'00_PORTFOLIO ROLLUP'!T$12</f>
        <v>2040</v>
      </c>
      <c r="E5188" s="366" t="s">
        <v>1741</v>
      </c>
      <c r="F5188" s="366" t="s">
        <v>43</v>
      </c>
      <c r="G5188" s="348" t="str">
        <f>"'"&amp;$C5188&amp;"'!$E$68:$Y$68"</f>
        <v>'BLD_CD'!$E$68:$Y$68</v>
      </c>
      <c r="H5188" s="381">
        <f ca="1">IF(IFERROR(INDEX(DATA_PROPERTY_MASTER!$E$5:$E$21,MATCH($C5188,DATA_PROPERTY_MASTER!$A$5:$A$21,0))="Yes",FALSE),IFERROR(INDEX(INDIRECT("'"&amp;$C5188&amp;"'!$E$68:$Y$68"),1,MATCH($D5188,INDIRECT("'"&amp;$C5188&amp;"'!$E$12:$Y$12"),0)),0),0)</f>
        <v>292427.18864962022</v>
      </c>
      <c r="I5188" s="366" t="s">
        <v>1731</v>
      </c>
      <c r="J5188" s="348" t="str">
        <f t="shared" ca="1" si="160"/>
        <v>OK</v>
      </c>
      <c r="K5188" s="366" t="s">
        <v>1746</v>
      </c>
      <c r="L5188" s="366" t="s">
        <v>2264</v>
      </c>
      <c r="M5188" s="350" t="str">
        <f>IF($B5188="Portfolio","Portfolio",IFERROR(INDEX(DATA_ASSET_CLASSIFICATION!$B$8:$B$24,MATCH($C5188,DATA_ASSET_CLASSIFICATION!$A$8:$A$24,0)),"Review"))</f>
        <v>800 Commercial Drive</v>
      </c>
      <c r="N5188" s="350" t="str">
        <f>IF($B5188="Portfolio","Portfolio",IFERROR(INDEX(DATA_ASSET_CLASSIFICATION!$U$8:$U$24,MATCH($C5188,DATA_ASSET_CLASSIFICATION!$A$8:$A$24,0)),"Review"))</f>
        <v>New Build</v>
      </c>
      <c r="O5188" s="350" t="str">
        <f>IF($B5188="Portfolio","Portfolio",IFERROR(INDEX(DATA_ASSET_CLASSIFICATION!$AB$8:$AB$13,MATCH($N5188,DATA_ASSET_CLASSIFICATION!$AA$8:$AA$13,0)),"Review"))</f>
        <v>Bucket 1 · New Build</v>
      </c>
      <c r="P5188" s="350" t="str">
        <f>IF($B5188="Portfolio","Portfolio",IFERROR(INDEX(DATA_ASSET_CLASSIFICATION!$C$8:$C$24,MATCH($C5188,DATA_ASSET_CLASSIFICATION!$A$8:$A$24,0)),"Review"))</f>
        <v>Yes</v>
      </c>
      <c r="Q5188" s="350" t="str">
        <f t="shared" ca="1" si="161"/>
        <v>OK</v>
      </c>
    </row>
    <row r="5189" spans="1:17" ht="30">
      <c r="A5189" s="366" t="s">
        <v>7145</v>
      </c>
      <c r="B5189" s="366" t="s">
        <v>231</v>
      </c>
      <c r="C5189" s="348" t="str">
        <f>DATA_PROPERTY_MASTER!$A$21</f>
        <v>BLD_CD</v>
      </c>
      <c r="D5189" s="380">
        <f>'00_PORTFOLIO ROLLUP'!T$12</f>
        <v>2040</v>
      </c>
      <c r="E5189" s="366" t="s">
        <v>1741</v>
      </c>
      <c r="F5189" s="366" t="s">
        <v>1749</v>
      </c>
      <c r="G5189" s="348" t="str">
        <f>"'"&amp;$C5189&amp;"'!rows 56, 63, 68"</f>
        <v>'BLD_CD'!rows 56, 63, 68</v>
      </c>
      <c r="H5189" s="381">
        <f ca="1">IF(IFERROR(INDEX(DATA_PROPERTY_MASTER!$E$5:$E$21,MATCH($C5189,DATA_PROPERTY_MASTER!$A$5:$A$21,0))="Yes",FALSE),(IFERROR(INDEX(INDIRECT("'"&amp;$C5189&amp;"'!$E$56:$Y$56"),1,MATCH($D5189,INDIRECT("'"&amp;$C5189&amp;"'!$E$12:$Y$12"),0)),0)+MAX(IFERROR(INDEX(INDIRECT("'"&amp;$C5189&amp;"'!$E$63:$Y$63"),1,MATCH($D5189,INDIRECT("'"&amp;$C5189&amp;"'!$E$12:$Y$12"),0)),0),0))-(IFERROR(INDEX(INDIRECT("'"&amp;$C5189&amp;"'!$E$68:$Y$68"),1,MATCH($D5189,INDIRECT("'"&amp;$C5189&amp;"'!$E$12:$Y$12"),0)),0)),0)</f>
        <v>0</v>
      </c>
      <c r="I5189" s="366" t="s">
        <v>1750</v>
      </c>
      <c r="J5189" s="348" t="str">
        <f t="shared" ref="J5189:J5206" ca="1" si="162">IF($F5189="Residual Funding Gap",IF($H5189&gt;0,"Funding Gap","OK"),IF(AND($F5189="Net Refinance Position",$H5189&lt;0),"Negative net refi position","OK"))</f>
        <v>OK</v>
      </c>
      <c r="K5189" s="366" t="s">
        <v>1751</v>
      </c>
      <c r="L5189" s="366" t="s">
        <v>2266</v>
      </c>
      <c r="M5189" s="350" t="str">
        <f>IF($B5189="Portfolio","Portfolio",IFERROR(INDEX(DATA_ASSET_CLASSIFICATION!$B$8:$B$24,MATCH($C5189,DATA_ASSET_CLASSIFICATION!$A$8:$A$24,0)),"Review"))</f>
        <v>800 Commercial Drive</v>
      </c>
      <c r="N5189" s="350" t="str">
        <f>IF($B5189="Portfolio","Portfolio",IFERROR(INDEX(DATA_ASSET_CLASSIFICATION!$U$8:$U$24,MATCH($C5189,DATA_ASSET_CLASSIFICATION!$A$8:$A$24,0)),"Review"))</f>
        <v>New Build</v>
      </c>
      <c r="O5189" s="350" t="str">
        <f>IF($B5189="Portfolio","Portfolio",IFERROR(INDEX(DATA_ASSET_CLASSIFICATION!$AB$8:$AB$13,MATCH($N5189,DATA_ASSET_CLASSIFICATION!$AA$8:$AA$13,0)),"Review"))</f>
        <v>Bucket 1 · New Build</v>
      </c>
      <c r="P5189" s="350" t="str">
        <f>IF($B5189="Portfolio","Portfolio",IFERROR(INDEX(DATA_ASSET_CLASSIFICATION!$C$8:$C$24,MATCH($C5189,DATA_ASSET_CLASSIFICATION!$A$8:$A$24,0)),"Review"))</f>
        <v>Yes</v>
      </c>
      <c r="Q5189" s="350" t="str">
        <f t="shared" ref="Q5189:Q5206" ca="1" si="163">IF(AND($B5189="Property",$F5189="Residual Funding Gap",$H5189&gt;0),"Property Funding Gap",IF($J5189&lt;&gt;"OK",$J5189,"OK"))</f>
        <v>OK</v>
      </c>
    </row>
    <row r="5190" spans="1:17" ht="30">
      <c r="A5190" s="366" t="s">
        <v>7146</v>
      </c>
      <c r="B5190" s="366" t="s">
        <v>231</v>
      </c>
      <c r="C5190" s="348" t="str">
        <f>DATA_PROPERTY_MASTER!$A$21</f>
        <v>BLD_CD</v>
      </c>
      <c r="D5190" s="380">
        <f>'00_PORTFOLIO ROLLUP'!U$12</f>
        <v>2041</v>
      </c>
      <c r="E5190" s="366" t="s">
        <v>1683</v>
      </c>
      <c r="F5190" s="366" t="s">
        <v>341</v>
      </c>
      <c r="G5190" s="348" t="str">
        <f>"'"&amp;$C5190&amp;"'!$E$24:$Y$24"</f>
        <v>'BLD_CD'!$E$24:$Y$24</v>
      </c>
      <c r="H5190" s="381">
        <f ca="1">IF(IFERROR(INDEX(DATA_PROPERTY_MASTER!$E$5:$E$21,MATCH($C5190,DATA_PROPERTY_MASTER!$A$5:$A$21,0))="Yes",FALSE),IFERROR(INDEX(INDIRECT("'"&amp;$C5190&amp;"'!$E$24:$Y$24"),1,MATCH($D5190,INDIRECT("'"&amp;$C5190&amp;"'!$E$12:$Y$12"),0)),0),0)</f>
        <v>2802903.4192527784</v>
      </c>
      <c r="I5190" s="366" t="s">
        <v>1685</v>
      </c>
      <c r="J5190" s="348" t="str">
        <f t="shared" ca="1" si="162"/>
        <v>OK</v>
      </c>
      <c r="K5190" s="366" t="s">
        <v>1686</v>
      </c>
      <c r="L5190" s="366" t="s">
        <v>2234</v>
      </c>
      <c r="M5190" s="350" t="str">
        <f>IF($B5190="Portfolio","Portfolio",IFERROR(INDEX(DATA_ASSET_CLASSIFICATION!$B$8:$B$24,MATCH($C5190,DATA_ASSET_CLASSIFICATION!$A$8:$A$24,0)),"Review"))</f>
        <v>800 Commercial Drive</v>
      </c>
      <c r="N5190" s="350" t="str">
        <f>IF($B5190="Portfolio","Portfolio",IFERROR(INDEX(DATA_ASSET_CLASSIFICATION!$U$8:$U$24,MATCH($C5190,DATA_ASSET_CLASSIFICATION!$A$8:$A$24,0)),"Review"))</f>
        <v>New Build</v>
      </c>
      <c r="O5190" s="350" t="str">
        <f>IF($B5190="Portfolio","Portfolio",IFERROR(INDEX(DATA_ASSET_CLASSIFICATION!$AB$8:$AB$13,MATCH($N5190,DATA_ASSET_CLASSIFICATION!$AA$8:$AA$13,0)),"Review"))</f>
        <v>Bucket 1 · New Build</v>
      </c>
      <c r="P5190" s="350" t="str">
        <f>IF($B5190="Portfolio","Portfolio",IFERROR(INDEX(DATA_ASSET_CLASSIFICATION!$C$8:$C$24,MATCH($C5190,DATA_ASSET_CLASSIFICATION!$A$8:$A$24,0)),"Review"))</f>
        <v>Yes</v>
      </c>
      <c r="Q5190" s="350" t="str">
        <f t="shared" ca="1" si="163"/>
        <v>OK</v>
      </c>
    </row>
    <row r="5191" spans="1:17" ht="30">
      <c r="A5191" s="366" t="s">
        <v>7147</v>
      </c>
      <c r="B5191" s="366" t="s">
        <v>231</v>
      </c>
      <c r="C5191" s="348" t="str">
        <f>DATA_PROPERTY_MASTER!$A$21</f>
        <v>BLD_CD</v>
      </c>
      <c r="D5191" s="380">
        <f>'00_PORTFOLIO ROLLUP'!U$12</f>
        <v>2041</v>
      </c>
      <c r="E5191" s="366" t="s">
        <v>1683</v>
      </c>
      <c r="F5191" s="366" t="s">
        <v>355</v>
      </c>
      <c r="G5191" s="348" t="str">
        <f>"'"&amp;$C5191&amp;"'!$E$39:$Y$39"</f>
        <v>'BLD_CD'!$E$39:$Y$39</v>
      </c>
      <c r="H5191" s="381">
        <f ca="1">IF(IFERROR(INDEX(DATA_PROPERTY_MASTER!$E$5:$E$21,MATCH($C5191,DATA_PROPERTY_MASTER!$A$5:$A$21,0))="Yes",FALSE),IFERROR(INDEX(INDIRECT("'"&amp;$C5191&amp;"'!$E$39:$Y$39"),1,MATCH($D5191,INDIRECT("'"&amp;$C5191&amp;"'!$E$12:$Y$12"),0)),0),0)</f>
        <v>1063254.3077995779</v>
      </c>
      <c r="I5191" s="366" t="s">
        <v>1690</v>
      </c>
      <c r="J5191" s="348" t="str">
        <f t="shared" ca="1" si="162"/>
        <v>OK</v>
      </c>
      <c r="K5191" s="366" t="s">
        <v>1686</v>
      </c>
      <c r="L5191" s="366" t="s">
        <v>2236</v>
      </c>
      <c r="M5191" s="350" t="str">
        <f>IF($B5191="Portfolio","Portfolio",IFERROR(INDEX(DATA_ASSET_CLASSIFICATION!$B$8:$B$24,MATCH($C5191,DATA_ASSET_CLASSIFICATION!$A$8:$A$24,0)),"Review"))</f>
        <v>800 Commercial Drive</v>
      </c>
      <c r="N5191" s="350" t="str">
        <f>IF($B5191="Portfolio","Portfolio",IFERROR(INDEX(DATA_ASSET_CLASSIFICATION!$U$8:$U$24,MATCH($C5191,DATA_ASSET_CLASSIFICATION!$A$8:$A$24,0)),"Review"))</f>
        <v>New Build</v>
      </c>
      <c r="O5191" s="350" t="str">
        <f>IF($B5191="Portfolio","Portfolio",IFERROR(INDEX(DATA_ASSET_CLASSIFICATION!$AB$8:$AB$13,MATCH($N5191,DATA_ASSET_CLASSIFICATION!$AA$8:$AA$13,0)),"Review"))</f>
        <v>Bucket 1 · New Build</v>
      </c>
      <c r="P5191" s="350" t="str">
        <f>IF($B5191="Portfolio","Portfolio",IFERROR(INDEX(DATA_ASSET_CLASSIFICATION!$C$8:$C$24,MATCH($C5191,DATA_ASSET_CLASSIFICATION!$A$8:$A$24,0)),"Review"))</f>
        <v>Yes</v>
      </c>
      <c r="Q5191" s="350" t="str">
        <f t="shared" ca="1" si="163"/>
        <v>OK</v>
      </c>
    </row>
    <row r="5192" spans="1:17" ht="30">
      <c r="A5192" s="366" t="s">
        <v>7148</v>
      </c>
      <c r="B5192" s="366" t="s">
        <v>231</v>
      </c>
      <c r="C5192" s="348" t="str">
        <f>DATA_PROPERTY_MASTER!$A$21</f>
        <v>BLD_CD</v>
      </c>
      <c r="D5192" s="380">
        <f>'00_PORTFOLIO ROLLUP'!U$12</f>
        <v>2041</v>
      </c>
      <c r="E5192" s="366" t="s">
        <v>1683</v>
      </c>
      <c r="F5192" s="366" t="s">
        <v>19</v>
      </c>
      <c r="G5192" s="348" t="str">
        <f>"'"&amp;$C5192&amp;"'!$E$41:$Y$41"</f>
        <v>'BLD_CD'!$E$41:$Y$41</v>
      </c>
      <c r="H5192" s="381">
        <f ca="1">IF(IFERROR(INDEX(DATA_PROPERTY_MASTER!$E$5:$E$21,MATCH($C5192,DATA_PROPERTY_MASTER!$A$5:$A$21,0))="Yes",FALSE),IFERROR(INDEX(INDIRECT("'"&amp;$C5192&amp;"'!$E$41:$Y$41"),1,MATCH($D5192,INDIRECT("'"&amp;$C5192&amp;"'!$E$12:$Y$12"),0)),0),0)</f>
        <v>1739649.1114532005</v>
      </c>
      <c r="I5192" s="366" t="s">
        <v>1685</v>
      </c>
      <c r="J5192" s="348" t="str">
        <f t="shared" ca="1" si="162"/>
        <v>OK</v>
      </c>
      <c r="K5192" s="366" t="s">
        <v>1694</v>
      </c>
      <c r="L5192" s="366" t="s">
        <v>2238</v>
      </c>
      <c r="M5192" s="350" t="str">
        <f>IF($B5192="Portfolio","Portfolio",IFERROR(INDEX(DATA_ASSET_CLASSIFICATION!$B$8:$B$24,MATCH($C5192,DATA_ASSET_CLASSIFICATION!$A$8:$A$24,0)),"Review"))</f>
        <v>800 Commercial Drive</v>
      </c>
      <c r="N5192" s="350" t="str">
        <f>IF($B5192="Portfolio","Portfolio",IFERROR(INDEX(DATA_ASSET_CLASSIFICATION!$U$8:$U$24,MATCH($C5192,DATA_ASSET_CLASSIFICATION!$A$8:$A$24,0)),"Review"))</f>
        <v>New Build</v>
      </c>
      <c r="O5192" s="350" t="str">
        <f>IF($B5192="Portfolio","Portfolio",IFERROR(INDEX(DATA_ASSET_CLASSIFICATION!$AB$8:$AB$13,MATCH($N5192,DATA_ASSET_CLASSIFICATION!$AA$8:$AA$13,0)),"Review"))</f>
        <v>Bucket 1 · New Build</v>
      </c>
      <c r="P5192" s="350" t="str">
        <f>IF($B5192="Portfolio","Portfolio",IFERROR(INDEX(DATA_ASSET_CLASSIFICATION!$C$8:$C$24,MATCH($C5192,DATA_ASSET_CLASSIFICATION!$A$8:$A$24,0)),"Review"))</f>
        <v>Yes</v>
      </c>
      <c r="Q5192" s="350" t="str">
        <f t="shared" ca="1" si="163"/>
        <v>OK</v>
      </c>
    </row>
    <row r="5193" spans="1:17" ht="30">
      <c r="A5193" s="366" t="s">
        <v>7149</v>
      </c>
      <c r="B5193" s="366" t="s">
        <v>231</v>
      </c>
      <c r="C5193" s="348" t="str">
        <f>DATA_PROPERTY_MASTER!$A$21</f>
        <v>BLD_CD</v>
      </c>
      <c r="D5193" s="380">
        <f>'00_PORTFOLIO ROLLUP'!U$12</f>
        <v>2041</v>
      </c>
      <c r="E5193" s="366" t="s">
        <v>1683</v>
      </c>
      <c r="F5193" s="366" t="s">
        <v>1697</v>
      </c>
      <c r="G5193" s="348" t="str">
        <f>"'"&amp;$C5193&amp;"'!$E$44:$Y$44"</f>
        <v>'BLD_CD'!$E$44:$Y$44</v>
      </c>
      <c r="H5193" s="381">
        <f ca="1">IF(IFERROR(INDEX(DATA_PROPERTY_MASTER!$E$5:$E$21,MATCH($C5193,DATA_PROPERTY_MASTER!$A$5:$A$21,0))="Yes",FALSE),IFERROR(INDEX(INDIRECT("'"&amp;$C5193&amp;"'!$E$44:$Y$44"),1,MATCH($D5193,INDIRECT("'"&amp;$C5193&amp;"'!$E$12:$Y$12"),0)),0),0)</f>
        <v>19150.360586014038</v>
      </c>
      <c r="I5193" s="366" t="s">
        <v>1690</v>
      </c>
      <c r="J5193" s="348" t="str">
        <f t="shared" ca="1" si="162"/>
        <v>OK</v>
      </c>
      <c r="K5193" s="366" t="s">
        <v>1699</v>
      </c>
      <c r="L5193" s="366" t="s">
        <v>2240</v>
      </c>
      <c r="M5193" s="350" t="str">
        <f>IF($B5193="Portfolio","Portfolio",IFERROR(INDEX(DATA_ASSET_CLASSIFICATION!$B$8:$B$24,MATCH($C5193,DATA_ASSET_CLASSIFICATION!$A$8:$A$24,0)),"Review"))</f>
        <v>800 Commercial Drive</v>
      </c>
      <c r="N5193" s="350" t="str">
        <f>IF($B5193="Portfolio","Portfolio",IFERROR(INDEX(DATA_ASSET_CLASSIFICATION!$U$8:$U$24,MATCH($C5193,DATA_ASSET_CLASSIFICATION!$A$8:$A$24,0)),"Review"))</f>
        <v>New Build</v>
      </c>
      <c r="O5193" s="350" t="str">
        <f>IF($B5193="Portfolio","Portfolio",IFERROR(INDEX(DATA_ASSET_CLASSIFICATION!$AB$8:$AB$13,MATCH($N5193,DATA_ASSET_CLASSIFICATION!$AA$8:$AA$13,0)),"Review"))</f>
        <v>Bucket 1 · New Build</v>
      </c>
      <c r="P5193" s="350" t="str">
        <f>IF($B5193="Portfolio","Portfolio",IFERROR(INDEX(DATA_ASSET_CLASSIFICATION!$C$8:$C$24,MATCH($C5193,DATA_ASSET_CLASSIFICATION!$A$8:$A$24,0)),"Review"))</f>
        <v>Yes</v>
      </c>
      <c r="Q5193" s="350" t="str">
        <f t="shared" ca="1" si="163"/>
        <v>OK</v>
      </c>
    </row>
    <row r="5194" spans="1:17" ht="30">
      <c r="A5194" s="366" t="s">
        <v>7150</v>
      </c>
      <c r="B5194" s="366" t="s">
        <v>231</v>
      </c>
      <c r="C5194" s="348" t="str">
        <f>DATA_PROPERTY_MASTER!$A$21</f>
        <v>BLD_CD</v>
      </c>
      <c r="D5194" s="380">
        <f>'00_PORTFOLIO ROLLUP'!U$12</f>
        <v>2041</v>
      </c>
      <c r="E5194" s="366" t="s">
        <v>1683</v>
      </c>
      <c r="F5194" s="366" t="s">
        <v>21</v>
      </c>
      <c r="G5194" s="348" t="str">
        <f>"'"&amp;$C5194&amp;"'!$E$45:$Y$45"</f>
        <v>'BLD_CD'!$E$45:$Y$45</v>
      </c>
      <c r="H5194" s="381">
        <f ca="1">IF(IFERROR(INDEX(DATA_PROPERTY_MASTER!$E$5:$E$21,MATCH($C5194,DATA_PROPERTY_MASTER!$A$5:$A$21,0))="Yes",FALSE),IFERROR(INDEX(INDIRECT("'"&amp;$C5194&amp;"'!$E$45:$Y$45"),1,MATCH($D5194,INDIRECT("'"&amp;$C5194&amp;"'!$E$12:$Y$12"),0)),0),0)</f>
        <v>1720498.7508671863</v>
      </c>
      <c r="I5194" s="366" t="s">
        <v>1685</v>
      </c>
      <c r="J5194" s="348" t="str">
        <f t="shared" ca="1" si="162"/>
        <v>OK</v>
      </c>
      <c r="K5194" s="366" t="s">
        <v>1694</v>
      </c>
      <c r="L5194" s="366" t="s">
        <v>2242</v>
      </c>
      <c r="M5194" s="350" t="str">
        <f>IF($B5194="Portfolio","Portfolio",IFERROR(INDEX(DATA_ASSET_CLASSIFICATION!$B$8:$B$24,MATCH($C5194,DATA_ASSET_CLASSIFICATION!$A$8:$A$24,0)),"Review"))</f>
        <v>800 Commercial Drive</v>
      </c>
      <c r="N5194" s="350" t="str">
        <f>IF($B5194="Portfolio","Portfolio",IFERROR(INDEX(DATA_ASSET_CLASSIFICATION!$U$8:$U$24,MATCH($C5194,DATA_ASSET_CLASSIFICATION!$A$8:$A$24,0)),"Review"))</f>
        <v>New Build</v>
      </c>
      <c r="O5194" s="350" t="str">
        <f>IF($B5194="Portfolio","Portfolio",IFERROR(INDEX(DATA_ASSET_CLASSIFICATION!$AB$8:$AB$13,MATCH($N5194,DATA_ASSET_CLASSIFICATION!$AA$8:$AA$13,0)),"Review"))</f>
        <v>Bucket 1 · New Build</v>
      </c>
      <c r="P5194" s="350" t="str">
        <f>IF($B5194="Portfolio","Portfolio",IFERROR(INDEX(DATA_ASSET_CLASSIFICATION!$C$8:$C$24,MATCH($C5194,DATA_ASSET_CLASSIFICATION!$A$8:$A$24,0)),"Review"))</f>
        <v>Yes</v>
      </c>
      <c r="Q5194" s="350" t="str">
        <f t="shared" ca="1" si="163"/>
        <v>OK</v>
      </c>
    </row>
    <row r="5195" spans="1:17" ht="30">
      <c r="A5195" s="366" t="s">
        <v>7151</v>
      </c>
      <c r="B5195" s="366" t="s">
        <v>231</v>
      </c>
      <c r="C5195" s="348" t="str">
        <f>DATA_PROPERTY_MASTER!$A$21</f>
        <v>BLD_CD</v>
      </c>
      <c r="D5195" s="380">
        <f>'00_PORTFOLIO ROLLUP'!U$12</f>
        <v>2041</v>
      </c>
      <c r="E5195" s="366" t="s">
        <v>23</v>
      </c>
      <c r="F5195" s="366" t="s">
        <v>23</v>
      </c>
      <c r="G5195" s="348" t="str">
        <f>"'"&amp;$C5195&amp;"'!$E$48:$Y$48"</f>
        <v>'BLD_CD'!$E$48:$Y$48</v>
      </c>
      <c r="H5195" s="381">
        <f ca="1">IF(IFERROR(INDEX(DATA_PROPERTY_MASTER!$E$5:$E$21,MATCH($C5195,DATA_PROPERTY_MASTER!$A$5:$A$21,0))="Yes",FALSE),IFERROR(INDEX(INDIRECT("'"&amp;$C5195&amp;"'!$E$48:$Y$48"),1,MATCH($D5195,INDIRECT("'"&amp;$C5195&amp;"'!$E$12:$Y$12"),0)),0),0)</f>
        <v>979555.28115311568</v>
      </c>
      <c r="I5195" s="366" t="s">
        <v>1690</v>
      </c>
      <c r="J5195" s="348" t="str">
        <f t="shared" ca="1" si="162"/>
        <v>OK</v>
      </c>
      <c r="K5195" s="366" t="s">
        <v>1706</v>
      </c>
      <c r="L5195" s="366" t="s">
        <v>2244</v>
      </c>
      <c r="M5195" s="350" t="str">
        <f>IF($B5195="Portfolio","Portfolio",IFERROR(INDEX(DATA_ASSET_CLASSIFICATION!$B$8:$B$24,MATCH($C5195,DATA_ASSET_CLASSIFICATION!$A$8:$A$24,0)),"Review"))</f>
        <v>800 Commercial Drive</v>
      </c>
      <c r="N5195" s="350" t="str">
        <f>IF($B5195="Portfolio","Portfolio",IFERROR(INDEX(DATA_ASSET_CLASSIFICATION!$U$8:$U$24,MATCH($C5195,DATA_ASSET_CLASSIFICATION!$A$8:$A$24,0)),"Review"))</f>
        <v>New Build</v>
      </c>
      <c r="O5195" s="350" t="str">
        <f>IF($B5195="Portfolio","Portfolio",IFERROR(INDEX(DATA_ASSET_CLASSIFICATION!$AB$8:$AB$13,MATCH($N5195,DATA_ASSET_CLASSIFICATION!$AA$8:$AA$13,0)),"Review"))</f>
        <v>Bucket 1 · New Build</v>
      </c>
      <c r="P5195" s="350" t="str">
        <f>IF($B5195="Portfolio","Portfolio",IFERROR(INDEX(DATA_ASSET_CLASSIFICATION!$C$8:$C$24,MATCH($C5195,DATA_ASSET_CLASSIFICATION!$A$8:$A$24,0)),"Review"))</f>
        <v>Yes</v>
      </c>
      <c r="Q5195" s="350" t="str">
        <f t="shared" ca="1" si="163"/>
        <v>OK</v>
      </c>
    </row>
    <row r="5196" spans="1:17" ht="30">
      <c r="A5196" s="366" t="s">
        <v>7152</v>
      </c>
      <c r="B5196" s="366" t="s">
        <v>231</v>
      </c>
      <c r="C5196" s="348" t="str">
        <f>DATA_PROPERTY_MASTER!$A$21</f>
        <v>BLD_CD</v>
      </c>
      <c r="D5196" s="380">
        <f>'00_PORTFOLIO ROLLUP'!U$12</f>
        <v>2041</v>
      </c>
      <c r="E5196" s="366" t="s">
        <v>1683</v>
      </c>
      <c r="F5196" s="366" t="s">
        <v>25</v>
      </c>
      <c r="G5196" s="348" t="str">
        <f>"'"&amp;$C5196&amp;"'!$E$52:$Y$52"</f>
        <v>'BLD_CD'!$E$52:$Y$52</v>
      </c>
      <c r="H5196" s="381">
        <f ca="1">IF(IFERROR(INDEX(DATA_PROPERTY_MASTER!$E$5:$E$21,MATCH($C5196,DATA_PROPERTY_MASTER!$A$5:$A$21,0))="Yes",FALSE),IFERROR(INDEX(INDIRECT("'"&amp;$C5196&amp;"'!$E$52:$Y$52"),1,MATCH($D5196,INDIRECT("'"&amp;$C5196&amp;"'!$E$12:$Y$12"),0)),0),0)</f>
        <v>760093.83030008478</v>
      </c>
      <c r="I5196" s="366" t="s">
        <v>1685</v>
      </c>
      <c r="J5196" s="348" t="str">
        <f t="shared" ca="1" si="162"/>
        <v>OK</v>
      </c>
      <c r="K5196" s="366" t="s">
        <v>1710</v>
      </c>
      <c r="L5196" s="366" t="s">
        <v>2246</v>
      </c>
      <c r="M5196" s="350" t="str">
        <f>IF($B5196="Portfolio","Portfolio",IFERROR(INDEX(DATA_ASSET_CLASSIFICATION!$B$8:$B$24,MATCH($C5196,DATA_ASSET_CLASSIFICATION!$A$8:$A$24,0)),"Review"))</f>
        <v>800 Commercial Drive</v>
      </c>
      <c r="N5196" s="350" t="str">
        <f>IF($B5196="Portfolio","Portfolio",IFERROR(INDEX(DATA_ASSET_CLASSIFICATION!$U$8:$U$24,MATCH($C5196,DATA_ASSET_CLASSIFICATION!$A$8:$A$24,0)),"Review"))</f>
        <v>New Build</v>
      </c>
      <c r="O5196" s="350" t="str">
        <f>IF($B5196="Portfolio","Portfolio",IFERROR(INDEX(DATA_ASSET_CLASSIFICATION!$AB$8:$AB$13,MATCH($N5196,DATA_ASSET_CLASSIFICATION!$AA$8:$AA$13,0)),"Review"))</f>
        <v>Bucket 1 · New Build</v>
      </c>
      <c r="P5196" s="350" t="str">
        <f>IF($B5196="Portfolio","Portfolio",IFERROR(INDEX(DATA_ASSET_CLASSIFICATION!$C$8:$C$24,MATCH($C5196,DATA_ASSET_CLASSIFICATION!$A$8:$A$24,0)),"Review"))</f>
        <v>Yes</v>
      </c>
      <c r="Q5196" s="350" t="str">
        <f t="shared" ca="1" si="163"/>
        <v>OK</v>
      </c>
    </row>
    <row r="5197" spans="1:17" ht="30">
      <c r="A5197" s="366" t="s">
        <v>7153</v>
      </c>
      <c r="B5197" s="366" t="s">
        <v>231</v>
      </c>
      <c r="C5197" s="348" t="str">
        <f>DATA_PROPERTY_MASTER!$A$21</f>
        <v>BLD_CD</v>
      </c>
      <c r="D5197" s="380">
        <f>'00_PORTFOLIO ROLLUP'!U$12</f>
        <v>2041</v>
      </c>
      <c r="E5197" s="366" t="s">
        <v>1683</v>
      </c>
      <c r="F5197" s="366" t="s">
        <v>27</v>
      </c>
      <c r="G5197" s="348" t="str">
        <f>"'"&amp;$C5197&amp;"'!$E$54:$Y$54"</f>
        <v>'BLD_CD'!$E$54:$Y$54</v>
      </c>
      <c r="H5197" s="381">
        <f ca="1">IF(IFERROR(INDEX(DATA_PROPERTY_MASTER!$E$5:$E$21,MATCH($C5197,DATA_PROPERTY_MASTER!$A$5:$A$21,0))="Yes",FALSE),IFERROR(INDEX(INDIRECT("'"&amp;$C5197&amp;"'!$E$54:$Y$54"),1,MATCH($D5197,INDIRECT("'"&amp;$C5197&amp;"'!$E$12:$Y$12"),0)),0),0)</f>
        <v>456056.29818005086</v>
      </c>
      <c r="I5197" s="366" t="s">
        <v>1690</v>
      </c>
      <c r="J5197" s="348" t="str">
        <f t="shared" ca="1" si="162"/>
        <v>OK</v>
      </c>
      <c r="K5197" s="366" t="s">
        <v>1714</v>
      </c>
      <c r="L5197" s="366" t="s">
        <v>2248</v>
      </c>
      <c r="M5197" s="350" t="str">
        <f>IF($B5197="Portfolio","Portfolio",IFERROR(INDEX(DATA_ASSET_CLASSIFICATION!$B$8:$B$24,MATCH($C5197,DATA_ASSET_CLASSIFICATION!$A$8:$A$24,0)),"Review"))</f>
        <v>800 Commercial Drive</v>
      </c>
      <c r="N5197" s="350" t="str">
        <f>IF($B5197="Portfolio","Portfolio",IFERROR(INDEX(DATA_ASSET_CLASSIFICATION!$U$8:$U$24,MATCH($C5197,DATA_ASSET_CLASSIFICATION!$A$8:$A$24,0)),"Review"))</f>
        <v>New Build</v>
      </c>
      <c r="O5197" s="350" t="str">
        <f>IF($B5197="Portfolio","Portfolio",IFERROR(INDEX(DATA_ASSET_CLASSIFICATION!$AB$8:$AB$13,MATCH($N5197,DATA_ASSET_CLASSIFICATION!$AA$8:$AA$13,0)),"Review"))</f>
        <v>Bucket 1 · New Build</v>
      </c>
      <c r="P5197" s="350" t="str">
        <f>IF($B5197="Portfolio","Portfolio",IFERROR(INDEX(DATA_ASSET_CLASSIFICATION!$C$8:$C$24,MATCH($C5197,DATA_ASSET_CLASSIFICATION!$A$8:$A$24,0)),"Review"))</f>
        <v>Yes</v>
      </c>
      <c r="Q5197" s="350" t="str">
        <f t="shared" ca="1" si="163"/>
        <v>OK</v>
      </c>
    </row>
    <row r="5198" spans="1:17" ht="30">
      <c r="A5198" s="366" t="s">
        <v>7154</v>
      </c>
      <c r="B5198" s="366" t="s">
        <v>231</v>
      </c>
      <c r="C5198" s="348" t="str">
        <f>DATA_PROPERTY_MASTER!$A$21</f>
        <v>BLD_CD</v>
      </c>
      <c r="D5198" s="380">
        <f>'00_PORTFOLIO ROLLUP'!U$12</f>
        <v>2041</v>
      </c>
      <c r="E5198" s="366" t="s">
        <v>1683</v>
      </c>
      <c r="F5198" s="366" t="s">
        <v>29</v>
      </c>
      <c r="G5198" s="348" t="str">
        <f>"'"&amp;$C5198&amp;"'!$E$56:$Y$56"</f>
        <v>'BLD_CD'!$E$56:$Y$56</v>
      </c>
      <c r="H5198" s="381">
        <f ca="1">IF(IFERROR(INDEX(DATA_PROPERTY_MASTER!$E$5:$E$21,MATCH($C5198,DATA_PROPERTY_MASTER!$A$5:$A$21,0))="Yes",FALSE),IFERROR(INDEX(INDIRECT("'"&amp;$C5198&amp;"'!$E$56:$Y$56"),1,MATCH($D5198,INDIRECT("'"&amp;$C5198&amp;"'!$E$12:$Y$12"),0)),0),0)</f>
        <v>304037.53212003392</v>
      </c>
      <c r="I5198" s="366" t="s">
        <v>1685</v>
      </c>
      <c r="J5198" s="348" t="str">
        <f t="shared" ca="1" si="162"/>
        <v>OK</v>
      </c>
      <c r="K5198" s="366" t="s">
        <v>1718</v>
      </c>
      <c r="L5198" s="366" t="s">
        <v>2250</v>
      </c>
      <c r="M5198" s="350" t="str">
        <f>IF($B5198="Portfolio","Portfolio",IFERROR(INDEX(DATA_ASSET_CLASSIFICATION!$B$8:$B$24,MATCH($C5198,DATA_ASSET_CLASSIFICATION!$A$8:$A$24,0)),"Review"))</f>
        <v>800 Commercial Drive</v>
      </c>
      <c r="N5198" s="350" t="str">
        <f>IF($B5198="Portfolio","Portfolio",IFERROR(INDEX(DATA_ASSET_CLASSIFICATION!$U$8:$U$24,MATCH($C5198,DATA_ASSET_CLASSIFICATION!$A$8:$A$24,0)),"Review"))</f>
        <v>New Build</v>
      </c>
      <c r="O5198" s="350" t="str">
        <f>IF($B5198="Portfolio","Portfolio",IFERROR(INDEX(DATA_ASSET_CLASSIFICATION!$AB$8:$AB$13,MATCH($N5198,DATA_ASSET_CLASSIFICATION!$AA$8:$AA$13,0)),"Review"))</f>
        <v>Bucket 1 · New Build</v>
      </c>
      <c r="P5198" s="350" t="str">
        <f>IF($B5198="Portfolio","Portfolio",IFERROR(INDEX(DATA_ASSET_CLASSIFICATION!$C$8:$C$24,MATCH($C5198,DATA_ASSET_CLASSIFICATION!$A$8:$A$24,0)),"Review"))</f>
        <v>Yes</v>
      </c>
      <c r="Q5198" s="350" t="str">
        <f t="shared" ca="1" si="163"/>
        <v>OK</v>
      </c>
    </row>
    <row r="5199" spans="1:17" ht="30">
      <c r="A5199" s="366" t="s">
        <v>7155</v>
      </c>
      <c r="B5199" s="366" t="s">
        <v>231</v>
      </c>
      <c r="C5199" s="348" t="str">
        <f>DATA_PROPERTY_MASTER!$A$21</f>
        <v>BLD_CD</v>
      </c>
      <c r="D5199" s="380">
        <f>'00_PORTFOLIO ROLLUP'!U$12</f>
        <v>2041</v>
      </c>
      <c r="E5199" s="366" t="s">
        <v>1721</v>
      </c>
      <c r="F5199" s="366" t="s">
        <v>31</v>
      </c>
      <c r="G5199" s="348" t="str">
        <f>"'"&amp;$C5199&amp;"'!$E$61:$Y$61"</f>
        <v>'BLD_CD'!$E$61:$Y$61</v>
      </c>
      <c r="H5199" s="381">
        <f ca="1">IF(IFERROR(INDEX(DATA_PROPERTY_MASTER!$E$5:$E$21,MATCH($C5199,DATA_PROPERTY_MASTER!$A$5:$A$21,0))="Yes",FALSE),IFERROR(INDEX(INDIRECT("'"&amp;$C5199&amp;"'!$E$61:$Y$61"),1,MATCH($D5199,INDIRECT("'"&amp;$C5199&amp;"'!$E$12:$Y$12"),0)),0),0)</f>
        <v>0</v>
      </c>
      <c r="I5199" s="366" t="s">
        <v>1690</v>
      </c>
      <c r="J5199" s="348" t="str">
        <f t="shared" ca="1" si="162"/>
        <v>OK</v>
      </c>
      <c r="K5199" s="366" t="s">
        <v>1723</v>
      </c>
      <c r="L5199" s="366" t="s">
        <v>2252</v>
      </c>
      <c r="M5199" s="350" t="str">
        <f>IF($B5199="Portfolio","Portfolio",IFERROR(INDEX(DATA_ASSET_CLASSIFICATION!$B$8:$B$24,MATCH($C5199,DATA_ASSET_CLASSIFICATION!$A$8:$A$24,0)),"Review"))</f>
        <v>800 Commercial Drive</v>
      </c>
      <c r="N5199" s="350" t="str">
        <f>IF($B5199="Portfolio","Portfolio",IFERROR(INDEX(DATA_ASSET_CLASSIFICATION!$U$8:$U$24,MATCH($C5199,DATA_ASSET_CLASSIFICATION!$A$8:$A$24,0)),"Review"))</f>
        <v>New Build</v>
      </c>
      <c r="O5199" s="350" t="str">
        <f>IF($B5199="Portfolio","Portfolio",IFERROR(INDEX(DATA_ASSET_CLASSIFICATION!$AB$8:$AB$13,MATCH($N5199,DATA_ASSET_CLASSIFICATION!$AA$8:$AA$13,0)),"Review"))</f>
        <v>Bucket 1 · New Build</v>
      </c>
      <c r="P5199" s="350" t="str">
        <f>IF($B5199="Portfolio","Portfolio",IFERROR(INDEX(DATA_ASSET_CLASSIFICATION!$C$8:$C$24,MATCH($C5199,DATA_ASSET_CLASSIFICATION!$A$8:$A$24,0)),"Review"))</f>
        <v>Yes</v>
      </c>
      <c r="Q5199" s="350" t="str">
        <f t="shared" ca="1" si="163"/>
        <v>OK</v>
      </c>
    </row>
    <row r="5200" spans="1:17" ht="30">
      <c r="A5200" s="366" t="s">
        <v>7156</v>
      </c>
      <c r="B5200" s="366" t="s">
        <v>231</v>
      </c>
      <c r="C5200" s="348" t="str">
        <f>DATA_PROPERTY_MASTER!$A$21</f>
        <v>BLD_CD</v>
      </c>
      <c r="D5200" s="380">
        <f>'00_PORTFOLIO ROLLUP'!U$12</f>
        <v>2041</v>
      </c>
      <c r="E5200" s="366" t="s">
        <v>1721</v>
      </c>
      <c r="F5200" s="366" t="s">
        <v>33</v>
      </c>
      <c r="G5200" s="348" t="str">
        <f>"'"&amp;$C5200&amp;"'!$E$62:$Y$62"</f>
        <v>'BLD_CD'!$E$62:$Y$62</v>
      </c>
      <c r="H5200" s="381">
        <f ca="1">IF(IFERROR(INDEX(DATA_PROPERTY_MASTER!$E$5:$E$21,MATCH($C5200,DATA_PROPERTY_MASTER!$A$5:$A$21,0))="Yes",FALSE),IFERROR(INDEX(INDIRECT("'"&amp;$C5200&amp;"'!$E$62:$Y$62"),1,MATCH($D5200,INDIRECT("'"&amp;$C5200&amp;"'!$E$12:$Y$12"),0)),0),0)</f>
        <v>0</v>
      </c>
      <c r="I5200" s="366" t="s">
        <v>1685</v>
      </c>
      <c r="J5200" s="348" t="str">
        <f t="shared" ca="1" si="162"/>
        <v>OK</v>
      </c>
      <c r="K5200" s="366" t="s">
        <v>1727</v>
      </c>
      <c r="L5200" s="366" t="s">
        <v>2254</v>
      </c>
      <c r="M5200" s="350" t="str">
        <f>IF($B5200="Portfolio","Portfolio",IFERROR(INDEX(DATA_ASSET_CLASSIFICATION!$B$8:$B$24,MATCH($C5200,DATA_ASSET_CLASSIFICATION!$A$8:$A$24,0)),"Review"))</f>
        <v>800 Commercial Drive</v>
      </c>
      <c r="N5200" s="350" t="str">
        <f>IF($B5200="Portfolio","Portfolio",IFERROR(INDEX(DATA_ASSET_CLASSIFICATION!$U$8:$U$24,MATCH($C5200,DATA_ASSET_CLASSIFICATION!$A$8:$A$24,0)),"Review"))</f>
        <v>New Build</v>
      </c>
      <c r="O5200" s="350" t="str">
        <f>IF($B5200="Portfolio","Portfolio",IFERROR(INDEX(DATA_ASSET_CLASSIFICATION!$AB$8:$AB$13,MATCH($N5200,DATA_ASSET_CLASSIFICATION!$AA$8:$AA$13,0)),"Review"))</f>
        <v>Bucket 1 · New Build</v>
      </c>
      <c r="P5200" s="350" t="str">
        <f>IF($B5200="Portfolio","Portfolio",IFERROR(INDEX(DATA_ASSET_CLASSIFICATION!$C$8:$C$24,MATCH($C5200,DATA_ASSET_CLASSIFICATION!$A$8:$A$24,0)),"Review"))</f>
        <v>Yes</v>
      </c>
      <c r="Q5200" s="350" t="str">
        <f t="shared" ca="1" si="163"/>
        <v>OK</v>
      </c>
    </row>
    <row r="5201" spans="1:17" ht="30">
      <c r="A5201" s="366" t="s">
        <v>7157</v>
      </c>
      <c r="B5201" s="366" t="s">
        <v>231</v>
      </c>
      <c r="C5201" s="348" t="str">
        <f>DATA_PROPERTY_MASTER!$A$21</f>
        <v>BLD_CD</v>
      </c>
      <c r="D5201" s="380">
        <f>'00_PORTFOLIO ROLLUP'!U$12</f>
        <v>2041</v>
      </c>
      <c r="E5201" s="366" t="s">
        <v>1721</v>
      </c>
      <c r="F5201" s="366" t="s">
        <v>35</v>
      </c>
      <c r="G5201" s="348" t="str">
        <f>"'"&amp;$C5201&amp;"'!$E$63:$Y$63"</f>
        <v>'BLD_CD'!$E$63:$Y$63</v>
      </c>
      <c r="H5201" s="381">
        <f ca="1">IF(IFERROR(INDEX(DATA_PROPERTY_MASTER!$E$5:$E$21,MATCH($C5201,DATA_PROPERTY_MASTER!$A$5:$A$21,0))="Yes",FALSE),IFERROR(INDEX(INDIRECT("'"&amp;$C5201&amp;"'!$E$63:$Y$63"),1,MATCH($D5201,INDIRECT("'"&amp;$C5201&amp;"'!$E$12:$Y$12"),0)),0),0)</f>
        <v>0</v>
      </c>
      <c r="I5201" s="366" t="s">
        <v>1731</v>
      </c>
      <c r="J5201" s="348" t="str">
        <f t="shared" ca="1" si="162"/>
        <v>OK</v>
      </c>
      <c r="K5201" s="366" t="s">
        <v>1732</v>
      </c>
      <c r="L5201" s="366" t="s">
        <v>2256</v>
      </c>
      <c r="M5201" s="350" t="str">
        <f>IF($B5201="Portfolio","Portfolio",IFERROR(INDEX(DATA_ASSET_CLASSIFICATION!$B$8:$B$24,MATCH($C5201,DATA_ASSET_CLASSIFICATION!$A$8:$A$24,0)),"Review"))</f>
        <v>800 Commercial Drive</v>
      </c>
      <c r="N5201" s="350" t="str">
        <f>IF($B5201="Portfolio","Portfolio",IFERROR(INDEX(DATA_ASSET_CLASSIFICATION!$U$8:$U$24,MATCH($C5201,DATA_ASSET_CLASSIFICATION!$A$8:$A$24,0)),"Review"))</f>
        <v>New Build</v>
      </c>
      <c r="O5201" s="350" t="str">
        <f>IF($B5201="Portfolio","Portfolio",IFERROR(INDEX(DATA_ASSET_CLASSIFICATION!$AB$8:$AB$13,MATCH($N5201,DATA_ASSET_CLASSIFICATION!$AA$8:$AA$13,0)),"Review"))</f>
        <v>Bucket 1 · New Build</v>
      </c>
      <c r="P5201" s="350" t="str">
        <f>IF($B5201="Portfolio","Portfolio",IFERROR(INDEX(DATA_ASSET_CLASSIFICATION!$C$8:$C$24,MATCH($C5201,DATA_ASSET_CLASSIFICATION!$A$8:$A$24,0)),"Review"))</f>
        <v>Yes</v>
      </c>
      <c r="Q5201" s="350" t="str">
        <f t="shared" ca="1" si="163"/>
        <v>OK</v>
      </c>
    </row>
    <row r="5202" spans="1:17" ht="30">
      <c r="A5202" s="366" t="s">
        <v>7158</v>
      </c>
      <c r="B5202" s="366" t="s">
        <v>231</v>
      </c>
      <c r="C5202" s="348" t="str">
        <f>DATA_PROPERTY_MASTER!$A$21</f>
        <v>BLD_CD</v>
      </c>
      <c r="D5202" s="380">
        <f>'00_PORTFOLIO ROLLUP'!U$12</f>
        <v>2041</v>
      </c>
      <c r="E5202" s="366" t="s">
        <v>1721</v>
      </c>
      <c r="F5202" s="366" t="s">
        <v>37</v>
      </c>
      <c r="G5202" s="348" t="str">
        <f>"'"&amp;$C5202&amp;"'!$E$63:$Y$63"</f>
        <v>'BLD_CD'!$E$63:$Y$63</v>
      </c>
      <c r="H5202" s="381">
        <f ca="1">IF(IFERROR(INDEX(DATA_PROPERTY_MASTER!$E$5:$E$21,MATCH($C5202,DATA_PROPERTY_MASTER!$A$5:$A$21,0))="Yes",FALSE),MAX(IFERROR(INDEX(INDIRECT("'"&amp;$C5202&amp;"'!$E$63:$Y$63"),1,MATCH($D5202,INDIRECT("'"&amp;$C5202&amp;"'!$E$12:$Y$12"),0)),0),0),0)</f>
        <v>0</v>
      </c>
      <c r="I5202" s="366" t="s">
        <v>1685</v>
      </c>
      <c r="J5202" s="348" t="str">
        <f t="shared" ca="1" si="162"/>
        <v>OK</v>
      </c>
      <c r="K5202" s="366" t="s">
        <v>1735</v>
      </c>
      <c r="L5202" s="366" t="s">
        <v>2258</v>
      </c>
      <c r="M5202" s="350" t="str">
        <f>IF($B5202="Portfolio","Portfolio",IFERROR(INDEX(DATA_ASSET_CLASSIFICATION!$B$8:$B$24,MATCH($C5202,DATA_ASSET_CLASSIFICATION!$A$8:$A$24,0)),"Review"))</f>
        <v>800 Commercial Drive</v>
      </c>
      <c r="N5202" s="350" t="str">
        <f>IF($B5202="Portfolio","Portfolio",IFERROR(INDEX(DATA_ASSET_CLASSIFICATION!$U$8:$U$24,MATCH($C5202,DATA_ASSET_CLASSIFICATION!$A$8:$A$24,0)),"Review"))</f>
        <v>New Build</v>
      </c>
      <c r="O5202" s="350" t="str">
        <f>IF($B5202="Portfolio","Portfolio",IFERROR(INDEX(DATA_ASSET_CLASSIFICATION!$AB$8:$AB$13,MATCH($N5202,DATA_ASSET_CLASSIFICATION!$AA$8:$AA$13,0)),"Review"))</f>
        <v>Bucket 1 · New Build</v>
      </c>
      <c r="P5202" s="350" t="str">
        <f>IF($B5202="Portfolio","Portfolio",IFERROR(INDEX(DATA_ASSET_CLASSIFICATION!$C$8:$C$24,MATCH($C5202,DATA_ASSET_CLASSIFICATION!$A$8:$A$24,0)),"Review"))</f>
        <v>Yes</v>
      </c>
      <c r="Q5202" s="350" t="str">
        <f t="shared" ca="1" si="163"/>
        <v>OK</v>
      </c>
    </row>
    <row r="5203" spans="1:17" ht="30">
      <c r="A5203" s="366" t="s">
        <v>7159</v>
      </c>
      <c r="B5203" s="366" t="s">
        <v>231</v>
      </c>
      <c r="C5203" s="348" t="str">
        <f>DATA_PROPERTY_MASTER!$A$21</f>
        <v>BLD_CD</v>
      </c>
      <c r="D5203" s="380">
        <f>'00_PORTFOLIO ROLLUP'!U$12</f>
        <v>2041</v>
      </c>
      <c r="E5203" s="366" t="s">
        <v>1721</v>
      </c>
      <c r="F5203" s="366" t="s">
        <v>39</v>
      </c>
      <c r="G5203" s="348" t="str">
        <f>"'"&amp;$C5203&amp;"'!$E$63:$Y$63"</f>
        <v>'BLD_CD'!$E$63:$Y$63</v>
      </c>
      <c r="H5203" s="381">
        <f ca="1">IF(IFERROR(INDEX(DATA_PROPERTY_MASTER!$E$5:$E$21,MATCH($C5203,DATA_PROPERTY_MASTER!$A$5:$A$21,0))="Yes",FALSE),MAX(-IFERROR(INDEX(INDIRECT("'"&amp;$C5203&amp;"'!$E$63:$Y$63"),1,MATCH($D5203,INDIRECT("'"&amp;$C5203&amp;"'!$E$12:$Y$12"),0)),0),0),0)</f>
        <v>0</v>
      </c>
      <c r="I5203" s="366" t="s">
        <v>1690</v>
      </c>
      <c r="J5203" s="348" t="str">
        <f t="shared" ca="1" si="162"/>
        <v>OK</v>
      </c>
      <c r="K5203" s="366" t="s">
        <v>1738</v>
      </c>
      <c r="L5203" s="366" t="s">
        <v>2260</v>
      </c>
      <c r="M5203" s="350" t="str">
        <f>IF($B5203="Portfolio","Portfolio",IFERROR(INDEX(DATA_ASSET_CLASSIFICATION!$B$8:$B$24,MATCH($C5203,DATA_ASSET_CLASSIFICATION!$A$8:$A$24,0)),"Review"))</f>
        <v>800 Commercial Drive</v>
      </c>
      <c r="N5203" s="350" t="str">
        <f>IF($B5203="Portfolio","Portfolio",IFERROR(INDEX(DATA_ASSET_CLASSIFICATION!$U$8:$U$24,MATCH($C5203,DATA_ASSET_CLASSIFICATION!$A$8:$A$24,0)),"Review"))</f>
        <v>New Build</v>
      </c>
      <c r="O5203" s="350" t="str">
        <f>IF($B5203="Portfolio","Portfolio",IFERROR(INDEX(DATA_ASSET_CLASSIFICATION!$AB$8:$AB$13,MATCH($N5203,DATA_ASSET_CLASSIFICATION!$AA$8:$AA$13,0)),"Review"))</f>
        <v>Bucket 1 · New Build</v>
      </c>
      <c r="P5203" s="350" t="str">
        <f>IF($B5203="Portfolio","Portfolio",IFERROR(INDEX(DATA_ASSET_CLASSIFICATION!$C$8:$C$24,MATCH($C5203,DATA_ASSET_CLASSIFICATION!$A$8:$A$24,0)),"Review"))</f>
        <v>Yes</v>
      </c>
      <c r="Q5203" s="350" t="str">
        <f t="shared" ca="1" si="163"/>
        <v>OK</v>
      </c>
    </row>
    <row r="5204" spans="1:17" ht="30">
      <c r="A5204" s="366" t="s">
        <v>7160</v>
      </c>
      <c r="B5204" s="366" t="s">
        <v>231</v>
      </c>
      <c r="C5204" s="348" t="str">
        <f>DATA_PROPERTY_MASTER!$A$21</f>
        <v>BLD_CD</v>
      </c>
      <c r="D5204" s="380">
        <f>'00_PORTFOLIO ROLLUP'!U$12</f>
        <v>2041</v>
      </c>
      <c r="E5204" s="366" t="s">
        <v>1741</v>
      </c>
      <c r="F5204" s="366" t="s">
        <v>41</v>
      </c>
      <c r="G5204" s="348" t="str">
        <f>"'"&amp;$C5204&amp;"'!rows 56 + positive row 63"</f>
        <v>'BLD_CD'!rows 56 + positive row 63</v>
      </c>
      <c r="H5204" s="381">
        <f ca="1">IF(IFERROR(INDEX(DATA_PROPERTY_MASTER!$E$5:$E$21,MATCH($C5204,DATA_PROPERTY_MASTER!$A$5:$A$21,0))="Yes",FALSE),IFERROR(INDEX(INDIRECT("'"&amp;$C5204&amp;"'!$E$56:$Y$56"),1,MATCH($D5204,INDIRECT("'"&amp;$C5204&amp;"'!$E$12:$Y$12"),0)),0)+MAX(IFERROR(INDEX(INDIRECT("'"&amp;$C5204&amp;"'!$E$63:$Y$63"),1,MATCH($D5204,INDIRECT("'"&amp;$C5204&amp;"'!$E$12:$Y$12"),0)),0),0),0)</f>
        <v>304037.53212003392</v>
      </c>
      <c r="I5204" s="366" t="s">
        <v>1685</v>
      </c>
      <c r="J5204" s="348" t="str">
        <f t="shared" ca="1" si="162"/>
        <v>OK</v>
      </c>
      <c r="K5204" s="366" t="s">
        <v>1742</v>
      </c>
      <c r="L5204" s="366" t="s">
        <v>2262</v>
      </c>
      <c r="M5204" s="350" t="str">
        <f>IF($B5204="Portfolio","Portfolio",IFERROR(INDEX(DATA_ASSET_CLASSIFICATION!$B$8:$B$24,MATCH($C5204,DATA_ASSET_CLASSIFICATION!$A$8:$A$24,0)),"Review"))</f>
        <v>800 Commercial Drive</v>
      </c>
      <c r="N5204" s="350" t="str">
        <f>IF($B5204="Portfolio","Portfolio",IFERROR(INDEX(DATA_ASSET_CLASSIFICATION!$U$8:$U$24,MATCH($C5204,DATA_ASSET_CLASSIFICATION!$A$8:$A$24,0)),"Review"))</f>
        <v>New Build</v>
      </c>
      <c r="O5204" s="350" t="str">
        <f>IF($B5204="Portfolio","Portfolio",IFERROR(INDEX(DATA_ASSET_CLASSIFICATION!$AB$8:$AB$13,MATCH($N5204,DATA_ASSET_CLASSIFICATION!$AA$8:$AA$13,0)),"Review"))</f>
        <v>Bucket 1 · New Build</v>
      </c>
      <c r="P5204" s="350" t="str">
        <f>IF($B5204="Portfolio","Portfolio",IFERROR(INDEX(DATA_ASSET_CLASSIFICATION!$C$8:$C$24,MATCH($C5204,DATA_ASSET_CLASSIFICATION!$A$8:$A$24,0)),"Review"))</f>
        <v>Yes</v>
      </c>
      <c r="Q5204" s="350" t="str">
        <f t="shared" ca="1" si="163"/>
        <v>OK</v>
      </c>
    </row>
    <row r="5205" spans="1:17" ht="30">
      <c r="A5205" s="366" t="s">
        <v>7161</v>
      </c>
      <c r="B5205" s="366" t="s">
        <v>231</v>
      </c>
      <c r="C5205" s="348" t="str">
        <f>DATA_PROPERTY_MASTER!$A$21</f>
        <v>BLD_CD</v>
      </c>
      <c r="D5205" s="380">
        <f>'00_PORTFOLIO ROLLUP'!U$12</f>
        <v>2041</v>
      </c>
      <c r="E5205" s="366" t="s">
        <v>1741</v>
      </c>
      <c r="F5205" s="366" t="s">
        <v>43</v>
      </c>
      <c r="G5205" s="348" t="str">
        <f>"'"&amp;$C5205&amp;"'!$E$68:$Y$68"</f>
        <v>'BLD_CD'!$E$68:$Y$68</v>
      </c>
      <c r="H5205" s="381">
        <f ca="1">IF(IFERROR(INDEX(DATA_PROPERTY_MASTER!$E$5:$E$21,MATCH($C5205,DATA_PROPERTY_MASTER!$A$5:$A$21,0))="Yes",FALSE),IFERROR(INDEX(INDIRECT("'"&amp;$C5205&amp;"'!$E$68:$Y$68"),1,MATCH($D5205,INDIRECT("'"&amp;$C5205&amp;"'!$E$12:$Y$12"),0)),0),0)</f>
        <v>304037.53212003392</v>
      </c>
      <c r="I5205" s="366" t="s">
        <v>1731</v>
      </c>
      <c r="J5205" s="348" t="str">
        <f t="shared" ca="1" si="162"/>
        <v>OK</v>
      </c>
      <c r="K5205" s="366" t="s">
        <v>1746</v>
      </c>
      <c r="L5205" s="366" t="s">
        <v>2264</v>
      </c>
      <c r="M5205" s="350" t="str">
        <f>IF($B5205="Portfolio","Portfolio",IFERROR(INDEX(DATA_ASSET_CLASSIFICATION!$B$8:$B$24,MATCH($C5205,DATA_ASSET_CLASSIFICATION!$A$8:$A$24,0)),"Review"))</f>
        <v>800 Commercial Drive</v>
      </c>
      <c r="N5205" s="350" t="str">
        <f>IF($B5205="Portfolio","Portfolio",IFERROR(INDEX(DATA_ASSET_CLASSIFICATION!$U$8:$U$24,MATCH($C5205,DATA_ASSET_CLASSIFICATION!$A$8:$A$24,0)),"Review"))</f>
        <v>New Build</v>
      </c>
      <c r="O5205" s="350" t="str">
        <f>IF($B5205="Portfolio","Portfolio",IFERROR(INDEX(DATA_ASSET_CLASSIFICATION!$AB$8:$AB$13,MATCH($N5205,DATA_ASSET_CLASSIFICATION!$AA$8:$AA$13,0)),"Review"))</f>
        <v>Bucket 1 · New Build</v>
      </c>
      <c r="P5205" s="350" t="str">
        <f>IF($B5205="Portfolio","Portfolio",IFERROR(INDEX(DATA_ASSET_CLASSIFICATION!$C$8:$C$24,MATCH($C5205,DATA_ASSET_CLASSIFICATION!$A$8:$A$24,0)),"Review"))</f>
        <v>Yes</v>
      </c>
      <c r="Q5205" s="350" t="str">
        <f t="shared" ca="1" si="163"/>
        <v>OK</v>
      </c>
    </row>
    <row r="5206" spans="1:17" ht="30">
      <c r="A5206" s="366" t="s">
        <v>7162</v>
      </c>
      <c r="B5206" s="366" t="s">
        <v>231</v>
      </c>
      <c r="C5206" s="348" t="str">
        <f>DATA_PROPERTY_MASTER!$A$21</f>
        <v>BLD_CD</v>
      </c>
      <c r="D5206" s="380">
        <f>'00_PORTFOLIO ROLLUP'!U$12</f>
        <v>2041</v>
      </c>
      <c r="E5206" s="366" t="s">
        <v>1741</v>
      </c>
      <c r="F5206" s="366" t="s">
        <v>1749</v>
      </c>
      <c r="G5206" s="348" t="str">
        <f>"'"&amp;$C5206&amp;"'!rows 56, 63, 68"</f>
        <v>'BLD_CD'!rows 56, 63, 68</v>
      </c>
      <c r="H5206" s="381">
        <f ca="1">IF(IFERROR(INDEX(DATA_PROPERTY_MASTER!$E$5:$E$21,MATCH($C5206,DATA_PROPERTY_MASTER!$A$5:$A$21,0))="Yes",FALSE),(IFERROR(INDEX(INDIRECT("'"&amp;$C5206&amp;"'!$E$56:$Y$56"),1,MATCH($D5206,INDIRECT("'"&amp;$C5206&amp;"'!$E$12:$Y$12"),0)),0)+MAX(IFERROR(INDEX(INDIRECT("'"&amp;$C5206&amp;"'!$E$63:$Y$63"),1,MATCH($D5206,INDIRECT("'"&amp;$C5206&amp;"'!$E$12:$Y$12"),0)),0),0))-(IFERROR(INDEX(INDIRECT("'"&amp;$C5206&amp;"'!$E$68:$Y$68"),1,MATCH($D5206,INDIRECT("'"&amp;$C5206&amp;"'!$E$12:$Y$12"),0)),0)),0)</f>
        <v>0</v>
      </c>
      <c r="I5206" s="366" t="s">
        <v>1750</v>
      </c>
      <c r="J5206" s="348" t="str">
        <f t="shared" ca="1" si="162"/>
        <v>OK</v>
      </c>
      <c r="K5206" s="366" t="s">
        <v>1751</v>
      </c>
      <c r="L5206" s="366" t="s">
        <v>2266</v>
      </c>
      <c r="M5206" s="350" t="str">
        <f>IF($B5206="Portfolio","Portfolio",IFERROR(INDEX(DATA_ASSET_CLASSIFICATION!$B$8:$B$24,MATCH($C5206,DATA_ASSET_CLASSIFICATION!$A$8:$A$24,0)),"Review"))</f>
        <v>800 Commercial Drive</v>
      </c>
      <c r="N5206" s="350" t="str">
        <f>IF($B5206="Portfolio","Portfolio",IFERROR(INDEX(DATA_ASSET_CLASSIFICATION!$U$8:$U$24,MATCH($C5206,DATA_ASSET_CLASSIFICATION!$A$8:$A$24,0)),"Review"))</f>
        <v>New Build</v>
      </c>
      <c r="O5206" s="350" t="str">
        <f>IF($B5206="Portfolio","Portfolio",IFERROR(INDEX(DATA_ASSET_CLASSIFICATION!$AB$8:$AB$13,MATCH($N5206,DATA_ASSET_CLASSIFICATION!$AA$8:$AA$13,0)),"Review"))</f>
        <v>Bucket 1 · New Build</v>
      </c>
      <c r="P5206" s="350" t="str">
        <f>IF($B5206="Portfolio","Portfolio",IFERROR(INDEX(DATA_ASSET_CLASSIFICATION!$C$8:$C$24,MATCH($C5206,DATA_ASSET_CLASSIFICATION!$A$8:$A$24,0)),"Review"))</f>
        <v>Yes</v>
      </c>
      <c r="Q5206" s="350" t="str">
        <f t="shared" ca="1" si="163"/>
        <v>OK</v>
      </c>
    </row>
  </sheetData>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3FC9-94FD-4B80-AEF1-CF3184869EAB}">
  <sheetPr>
    <tabColor rgb="FF7C3AED"/>
  </sheetPr>
  <dimension ref="A1:I293"/>
  <sheetViews>
    <sheetView workbookViewId="0">
      <pane ySplit="4" topLeftCell="A5" activePane="bottomLeft" state="frozen"/>
      <selection pane="bottomLeft"/>
    </sheetView>
  </sheetViews>
  <sheetFormatPr defaultRowHeight="15"/>
  <cols>
    <col min="1" max="1" width="16" customWidth="1"/>
    <col min="2" max="2" width="10" customWidth="1"/>
    <col min="3" max="3" width="32" customWidth="1"/>
    <col min="4" max="4" width="22" customWidth="1"/>
    <col min="5" max="7" width="18" customWidth="1"/>
    <col min="8" max="8" width="12" customWidth="1"/>
    <col min="9" max="9" width="55" customWidth="1"/>
  </cols>
  <sheetData>
    <row r="1" spans="1:9" ht="75">
      <c r="A1" s="365" t="s">
        <v>7163</v>
      </c>
      <c r="B1" s="206"/>
      <c r="C1" s="206"/>
      <c r="D1" s="206"/>
      <c r="E1" s="206"/>
      <c r="F1" s="206"/>
      <c r="G1" s="206"/>
      <c r="H1" s="206"/>
      <c r="I1" s="206"/>
    </row>
    <row r="2" spans="1:9">
      <c r="A2" t="s">
        <v>7164</v>
      </c>
    </row>
    <row r="3" spans="1:9">
      <c r="A3" t="s">
        <v>7165</v>
      </c>
    </row>
    <row r="4" spans="1:9">
      <c r="A4" s="365" t="s">
        <v>7166</v>
      </c>
      <c r="B4" s="365" t="s">
        <v>1490</v>
      </c>
      <c r="C4" s="365" t="s">
        <v>17</v>
      </c>
      <c r="D4" s="365" t="s">
        <v>1673</v>
      </c>
      <c r="E4" s="365" t="s">
        <v>7167</v>
      </c>
      <c r="F4" s="365" t="s">
        <v>7168</v>
      </c>
      <c r="G4" s="365" t="s">
        <v>7169</v>
      </c>
      <c r="H4" s="365" t="s">
        <v>56</v>
      </c>
      <c r="I4" s="365" t="s">
        <v>1678</v>
      </c>
    </row>
    <row r="5" spans="1:9" ht="30">
      <c r="A5" s="365" t="s">
        <v>7170</v>
      </c>
      <c r="B5" s="365">
        <f>DATA_CAPITAL_FLOW!D5</f>
        <v>2025</v>
      </c>
      <c r="C5" s="365" t="s">
        <v>341</v>
      </c>
      <c r="D5" s="365" t="s">
        <v>1683</v>
      </c>
      <c r="E5" s="367">
        <f>SUMIFS(DATA_CAPITAL_FLOW!$H$5:$H$293,DATA_CAPITAL_FLOW!$B$5:$B$293,"Portfolio",DATA_CAPITAL_FLOW!$D$5:$D$293,$B5,DATA_CAPITAL_FLOW!$F$5:$F$293,$C5)</f>
        <v>6623633.5999999996</v>
      </c>
      <c r="F5" s="367">
        <f ca="1">SUMIFS(DATA_CAPITAL_FLOW!$H$294:$H$5206,DATA_CAPITAL_FLOW!$B$294:$B$5206,"Property",DATA_CAPITAL_FLOW!$D$294:$D$5206,$B5,DATA_CAPITAL_FLOW!$F$294:$F$5206,$C5)</f>
        <v>6623633.6000000006</v>
      </c>
      <c r="G5" s="367">
        <f t="shared" ref="G5:G68" ca="1" si="0">$E5-$F5</f>
        <v>0</v>
      </c>
      <c r="H5" s="365" t="str">
        <f t="shared" ref="H5:H68" ca="1" si="1">IF(ABS($G5)&lt;1,"OK","CHECK")</f>
        <v>OK</v>
      </c>
      <c r="I5" s="365" t="s">
        <v>7171</v>
      </c>
    </row>
    <row r="6" spans="1:9">
      <c r="A6" s="366" t="s">
        <v>7172</v>
      </c>
      <c r="B6" s="348">
        <f>DATA_CAPITAL_FLOW!D6</f>
        <v>2025</v>
      </c>
      <c r="C6" s="366" t="s">
        <v>355</v>
      </c>
      <c r="D6" s="366" t="s">
        <v>1683</v>
      </c>
      <c r="E6" s="381">
        <f>SUMIFS(DATA_CAPITAL_FLOW!$H$5:$H$293,DATA_CAPITAL_FLOW!$B$5:$B$293,"Portfolio",DATA_CAPITAL_FLOW!$D$5:$D$293,$B6,DATA_CAPITAL_FLOW!$F$5:$F$293,$C6)</f>
        <v>3129586</v>
      </c>
      <c r="F6" s="381">
        <f ca="1">SUMIFS(DATA_CAPITAL_FLOW!$H$294:$H$5206,DATA_CAPITAL_FLOW!$B$294:$B$5206,"Property",DATA_CAPITAL_FLOW!$D$294:$D$5206,$B6,DATA_CAPITAL_FLOW!$F$294:$F$5206,$C6)</f>
        <v>3129586</v>
      </c>
      <c r="G6" s="381">
        <f t="shared" ca="1" si="0"/>
        <v>0</v>
      </c>
      <c r="H6" s="348" t="str">
        <f t="shared" ca="1" si="1"/>
        <v>OK</v>
      </c>
      <c r="I6" s="366" t="s">
        <v>7171</v>
      </c>
    </row>
    <row r="7" spans="1:9" ht="30">
      <c r="A7" s="365" t="s">
        <v>7173</v>
      </c>
      <c r="B7" s="365">
        <f>DATA_CAPITAL_FLOW!D7</f>
        <v>2025</v>
      </c>
      <c r="C7" s="365" t="s">
        <v>19</v>
      </c>
      <c r="D7" s="365" t="s">
        <v>1683</v>
      </c>
      <c r="E7" s="367">
        <f>SUMIFS(DATA_CAPITAL_FLOW!$H$5:$H$293,DATA_CAPITAL_FLOW!$B$5:$B$293,"Portfolio",DATA_CAPITAL_FLOW!$D$5:$D$293,$B7,DATA_CAPITAL_FLOW!$F$5:$F$293,$C7)</f>
        <v>3494047.5999999996</v>
      </c>
      <c r="F7" s="367">
        <f ca="1">SUMIFS(DATA_CAPITAL_FLOW!$H$294:$H$5206,DATA_CAPITAL_FLOW!$B$294:$B$5206,"Property",DATA_CAPITAL_FLOW!$D$294:$D$5206,$B7,DATA_CAPITAL_FLOW!$F$294:$F$5206,$C7)</f>
        <v>3494047.6</v>
      </c>
      <c r="G7" s="367">
        <f t="shared" ca="1" si="0"/>
        <v>0</v>
      </c>
      <c r="H7" s="365" t="str">
        <f t="shared" ca="1" si="1"/>
        <v>OK</v>
      </c>
      <c r="I7" s="365" t="s">
        <v>7171</v>
      </c>
    </row>
    <row r="8" spans="1:9">
      <c r="A8" s="366" t="s">
        <v>7174</v>
      </c>
      <c r="B8" s="348">
        <f>DATA_CAPITAL_FLOW!D8</f>
        <v>2025</v>
      </c>
      <c r="C8" s="366" t="s">
        <v>1697</v>
      </c>
      <c r="D8" s="366" t="s">
        <v>1683</v>
      </c>
      <c r="E8" s="381">
        <f>SUMIFS(DATA_CAPITAL_FLOW!$H$5:$H$293,DATA_CAPITAL_FLOW!$B$5:$B$293,"Portfolio",DATA_CAPITAL_FLOW!$D$5:$D$293,$B8,DATA_CAPITAL_FLOW!$F$5:$F$293,$C8)</f>
        <v>70050</v>
      </c>
      <c r="F8" s="381">
        <f ca="1">SUMIFS(DATA_CAPITAL_FLOW!$H$294:$H$5206,DATA_CAPITAL_FLOW!$B$294:$B$5206,"Property",DATA_CAPITAL_FLOW!$D$294:$D$5206,$B8,DATA_CAPITAL_FLOW!$F$294:$F$5206,$C8)</f>
        <v>70050</v>
      </c>
      <c r="G8" s="381">
        <f t="shared" ca="1" si="0"/>
        <v>0</v>
      </c>
      <c r="H8" s="348" t="str">
        <f t="shared" ca="1" si="1"/>
        <v>OK</v>
      </c>
      <c r="I8" s="366" t="s">
        <v>7171</v>
      </c>
    </row>
    <row r="9" spans="1:9">
      <c r="A9" s="366" t="s">
        <v>7175</v>
      </c>
      <c r="B9" s="348">
        <f>DATA_CAPITAL_FLOW!D9</f>
        <v>2025</v>
      </c>
      <c r="C9" s="366" t="s">
        <v>21</v>
      </c>
      <c r="D9" s="366" t="s">
        <v>1683</v>
      </c>
      <c r="E9" s="381">
        <f>SUMIFS(DATA_CAPITAL_FLOW!$H$5:$H$293,DATA_CAPITAL_FLOW!$B$5:$B$293,"Portfolio",DATA_CAPITAL_FLOW!$D$5:$D$293,$B9,DATA_CAPITAL_FLOW!$F$5:$F$293,$C9)</f>
        <v>3423997.5999999996</v>
      </c>
      <c r="F9" s="381">
        <f ca="1">SUMIFS(DATA_CAPITAL_FLOW!$H$294:$H$5206,DATA_CAPITAL_FLOW!$B$294:$B$5206,"Property",DATA_CAPITAL_FLOW!$D$294:$D$5206,$B9,DATA_CAPITAL_FLOW!$F$294:$F$5206,$C9)</f>
        <v>3423997.6</v>
      </c>
      <c r="G9" s="381">
        <f t="shared" ca="1" si="0"/>
        <v>0</v>
      </c>
      <c r="H9" s="348" t="str">
        <f t="shared" ca="1" si="1"/>
        <v>OK</v>
      </c>
      <c r="I9" s="366" t="s">
        <v>7171</v>
      </c>
    </row>
    <row r="10" spans="1:9">
      <c r="A10" s="366" t="s">
        <v>7176</v>
      </c>
      <c r="B10" s="348">
        <f>DATA_CAPITAL_FLOW!D10</f>
        <v>2025</v>
      </c>
      <c r="C10" s="366" t="s">
        <v>23</v>
      </c>
      <c r="D10" s="366" t="s">
        <v>23</v>
      </c>
      <c r="E10" s="381">
        <f>SUMIFS(DATA_CAPITAL_FLOW!$H$5:$H$293,DATA_CAPITAL_FLOW!$B$5:$B$293,"Portfolio",DATA_CAPITAL_FLOW!$D$5:$D$293,$B10,DATA_CAPITAL_FLOW!$F$5:$F$293,$C10)</f>
        <v>15773997.03203162</v>
      </c>
      <c r="F10" s="381">
        <f ca="1">SUMIFS(DATA_CAPITAL_FLOW!$H$294:$H$5206,DATA_CAPITAL_FLOW!$B$294:$B$5206,"Property",DATA_CAPITAL_FLOW!$D$294:$D$5206,$B10,DATA_CAPITAL_FLOW!$F$294:$F$5206,$C10)</f>
        <v>15773997.03203162</v>
      </c>
      <c r="G10" s="381">
        <f t="shared" ca="1" si="0"/>
        <v>0</v>
      </c>
      <c r="H10" s="348" t="str">
        <f t="shared" ca="1" si="1"/>
        <v>OK</v>
      </c>
      <c r="I10" s="366" t="s">
        <v>7171</v>
      </c>
    </row>
    <row r="11" spans="1:9">
      <c r="A11" s="366" t="s">
        <v>7177</v>
      </c>
      <c r="B11" s="348">
        <f>DATA_CAPITAL_FLOW!D11</f>
        <v>2025</v>
      </c>
      <c r="C11" s="366" t="s">
        <v>25</v>
      </c>
      <c r="D11" s="366" t="s">
        <v>1683</v>
      </c>
      <c r="E11" s="381">
        <f>SUMIFS(DATA_CAPITAL_FLOW!$H$5:$H$293,DATA_CAPITAL_FLOW!$B$5:$B$293,"Portfolio",DATA_CAPITAL_FLOW!$D$5:$D$293,$B11,DATA_CAPITAL_FLOW!$F$5:$F$293,$C11)</f>
        <v>-12279949.43203162</v>
      </c>
      <c r="F11" s="381">
        <f ca="1">SUMIFS(DATA_CAPITAL_FLOW!$H$294:$H$5206,DATA_CAPITAL_FLOW!$B$294:$B$5206,"Property",DATA_CAPITAL_FLOW!$D$294:$D$5206,$B11,DATA_CAPITAL_FLOW!$F$294:$F$5206,$C11)</f>
        <v>-12279949.43203162</v>
      </c>
      <c r="G11" s="381">
        <f t="shared" ca="1" si="0"/>
        <v>0</v>
      </c>
      <c r="H11" s="348" t="str">
        <f t="shared" ca="1" si="1"/>
        <v>OK</v>
      </c>
      <c r="I11" s="366" t="s">
        <v>7171</v>
      </c>
    </row>
    <row r="12" spans="1:9">
      <c r="A12" s="366" t="s">
        <v>7178</v>
      </c>
      <c r="B12" s="348">
        <f>DATA_CAPITAL_FLOW!D12</f>
        <v>2025</v>
      </c>
      <c r="C12" s="366" t="s">
        <v>27</v>
      </c>
      <c r="D12" s="366" t="s">
        <v>1683</v>
      </c>
      <c r="E12" s="381">
        <f>SUMIFS(DATA_CAPITAL_FLOW!$H$5:$H$293,DATA_CAPITAL_FLOW!$B$5:$B$293,"Portfolio",DATA_CAPITAL_FLOW!$D$5:$D$293,$B12,DATA_CAPITAL_FLOW!$F$5:$F$293,$C12)</f>
        <v>0</v>
      </c>
      <c r="F12" s="381">
        <f ca="1">SUMIFS(DATA_CAPITAL_FLOW!$H$294:$H$5206,DATA_CAPITAL_FLOW!$B$294:$B$5206,"Property",DATA_CAPITAL_FLOW!$D$294:$D$5206,$B12,DATA_CAPITAL_FLOW!$F$294:$F$5206,$C12)</f>
        <v>736400.71559999988</v>
      </c>
      <c r="G12" s="381">
        <f t="shared" ca="1" si="0"/>
        <v>-736400.71559999988</v>
      </c>
      <c r="H12" s="348" t="str">
        <f t="shared" ca="1" si="1"/>
        <v>CHECK</v>
      </c>
      <c r="I12" s="366" t="s">
        <v>7171</v>
      </c>
    </row>
    <row r="13" spans="1:9">
      <c r="A13" s="366" t="s">
        <v>7179</v>
      </c>
      <c r="B13" s="348">
        <f>DATA_CAPITAL_FLOW!D13</f>
        <v>2025</v>
      </c>
      <c r="C13" s="366" t="s">
        <v>29</v>
      </c>
      <c r="D13" s="366" t="s">
        <v>1683</v>
      </c>
      <c r="E13" s="381">
        <f>SUMIFS(DATA_CAPITAL_FLOW!$H$5:$H$293,DATA_CAPITAL_FLOW!$B$5:$B$293,"Portfolio",DATA_CAPITAL_FLOW!$D$5:$D$293,$B13,DATA_CAPITAL_FLOW!$F$5:$F$293,$C13)</f>
        <v>-12279949.43203162</v>
      </c>
      <c r="F13" s="381">
        <f ca="1">SUMIFS(DATA_CAPITAL_FLOW!$H$294:$H$5206,DATA_CAPITAL_FLOW!$B$294:$B$5206,"Property",DATA_CAPITAL_FLOW!$D$294:$D$5206,$B13,DATA_CAPITAL_FLOW!$F$294:$F$5206,$C13)</f>
        <v>-13016350.147631619</v>
      </c>
      <c r="G13" s="381">
        <f t="shared" ca="1" si="0"/>
        <v>736400.71559999883</v>
      </c>
      <c r="H13" s="348" t="str">
        <f t="shared" ca="1" si="1"/>
        <v>CHECK</v>
      </c>
      <c r="I13" s="366" t="s">
        <v>7171</v>
      </c>
    </row>
    <row r="14" spans="1:9">
      <c r="A14" s="366" t="s">
        <v>7180</v>
      </c>
      <c r="B14" s="348">
        <f>DATA_CAPITAL_FLOW!D14</f>
        <v>2025</v>
      </c>
      <c r="C14" s="366" t="s">
        <v>31</v>
      </c>
      <c r="D14" s="366" t="s">
        <v>1721</v>
      </c>
      <c r="E14" s="381">
        <f>SUMIFS(DATA_CAPITAL_FLOW!$H$5:$H$293,DATA_CAPITAL_FLOW!$B$5:$B$293,"Portfolio",DATA_CAPITAL_FLOW!$D$5:$D$293,$B14,DATA_CAPITAL_FLOW!$F$5:$F$293,$C14)</f>
        <v>0</v>
      </c>
      <c r="F14" s="381">
        <f ca="1">SUMIFS(DATA_CAPITAL_FLOW!$H$294:$H$5206,DATA_CAPITAL_FLOW!$B$294:$B$5206,"Property",DATA_CAPITAL_FLOW!$D$294:$D$5206,$B14,DATA_CAPITAL_FLOW!$F$294:$F$5206,$C14)</f>
        <v>0</v>
      </c>
      <c r="G14" s="381">
        <f t="shared" ca="1" si="0"/>
        <v>0</v>
      </c>
      <c r="H14" s="348" t="str">
        <f t="shared" ca="1" si="1"/>
        <v>OK</v>
      </c>
      <c r="I14" s="366" t="s">
        <v>7171</v>
      </c>
    </row>
    <row r="15" spans="1:9">
      <c r="A15" s="366" t="s">
        <v>7181</v>
      </c>
      <c r="B15" s="348">
        <f>DATA_CAPITAL_FLOW!D15</f>
        <v>2025</v>
      </c>
      <c r="C15" s="366" t="s">
        <v>33</v>
      </c>
      <c r="D15" s="366" t="s">
        <v>1721</v>
      </c>
      <c r="E15" s="381">
        <f>SUMIFS(DATA_CAPITAL_FLOW!$H$5:$H$293,DATA_CAPITAL_FLOW!$B$5:$B$293,"Portfolio",DATA_CAPITAL_FLOW!$D$5:$D$293,$B15,DATA_CAPITAL_FLOW!$F$5:$F$293,$C15)</f>
        <v>0</v>
      </c>
      <c r="F15" s="381">
        <f ca="1">SUMIFS(DATA_CAPITAL_FLOW!$H$294:$H$5206,DATA_CAPITAL_FLOW!$B$294:$B$5206,"Property",DATA_CAPITAL_FLOW!$D$294:$D$5206,$B15,DATA_CAPITAL_FLOW!$F$294:$F$5206,$C15)</f>
        <v>0</v>
      </c>
      <c r="G15" s="381">
        <f t="shared" ca="1" si="0"/>
        <v>0</v>
      </c>
      <c r="H15" s="348" t="str">
        <f t="shared" ca="1" si="1"/>
        <v>OK</v>
      </c>
      <c r="I15" s="366" t="s">
        <v>7171</v>
      </c>
    </row>
    <row r="16" spans="1:9">
      <c r="A16" s="366" t="s">
        <v>7182</v>
      </c>
      <c r="B16" s="348">
        <f>DATA_CAPITAL_FLOW!D16</f>
        <v>2025</v>
      </c>
      <c r="C16" s="366" t="s">
        <v>35</v>
      </c>
      <c r="D16" s="366" t="s">
        <v>1721</v>
      </c>
      <c r="E16" s="381">
        <f>SUMIFS(DATA_CAPITAL_FLOW!$H$5:$H$293,DATA_CAPITAL_FLOW!$B$5:$B$293,"Portfolio",DATA_CAPITAL_FLOW!$D$5:$D$293,$B16,DATA_CAPITAL_FLOW!$F$5:$F$293,$C16)</f>
        <v>0</v>
      </c>
      <c r="F16" s="381">
        <f ca="1">SUMIFS(DATA_CAPITAL_FLOW!$H$294:$H$5206,DATA_CAPITAL_FLOW!$B$294:$B$5206,"Property",DATA_CAPITAL_FLOW!$D$294:$D$5206,$B16,DATA_CAPITAL_FLOW!$F$294:$F$5206,$C16)</f>
        <v>0</v>
      </c>
      <c r="G16" s="381">
        <f t="shared" ca="1" si="0"/>
        <v>0</v>
      </c>
      <c r="H16" s="348" t="str">
        <f t="shared" ca="1" si="1"/>
        <v>OK</v>
      </c>
      <c r="I16" s="366" t="s">
        <v>7171</v>
      </c>
    </row>
    <row r="17" spans="1:9">
      <c r="A17" s="366" t="s">
        <v>7183</v>
      </c>
      <c r="B17" s="348">
        <f>DATA_CAPITAL_FLOW!D17</f>
        <v>2025</v>
      </c>
      <c r="C17" s="366" t="s">
        <v>37</v>
      </c>
      <c r="D17" s="366" t="s">
        <v>1721</v>
      </c>
      <c r="E17" s="381">
        <f>SUMIFS(DATA_CAPITAL_FLOW!$H$5:$H$293,DATA_CAPITAL_FLOW!$B$5:$B$293,"Portfolio",DATA_CAPITAL_FLOW!$D$5:$D$293,$B17,DATA_CAPITAL_FLOW!$F$5:$F$293,$C17)</f>
        <v>0</v>
      </c>
      <c r="F17" s="381">
        <f ca="1">SUMIFS(DATA_CAPITAL_FLOW!$H$294:$H$5206,DATA_CAPITAL_FLOW!$B$294:$B$5206,"Property",DATA_CAPITAL_FLOW!$D$294:$D$5206,$B17,DATA_CAPITAL_FLOW!$F$294:$F$5206,$C17)</f>
        <v>0</v>
      </c>
      <c r="G17" s="381">
        <f t="shared" ca="1" si="0"/>
        <v>0</v>
      </c>
      <c r="H17" s="348" t="str">
        <f t="shared" ca="1" si="1"/>
        <v>OK</v>
      </c>
      <c r="I17" s="366" t="s">
        <v>7171</v>
      </c>
    </row>
    <row r="18" spans="1:9">
      <c r="A18" s="366" t="s">
        <v>7184</v>
      </c>
      <c r="B18" s="348">
        <f>DATA_CAPITAL_FLOW!D18</f>
        <v>2025</v>
      </c>
      <c r="C18" s="366" t="s">
        <v>39</v>
      </c>
      <c r="D18" s="366" t="s">
        <v>1721</v>
      </c>
      <c r="E18" s="381">
        <f>SUMIFS(DATA_CAPITAL_FLOW!$H$5:$H$293,DATA_CAPITAL_FLOW!$B$5:$B$293,"Portfolio",DATA_CAPITAL_FLOW!$D$5:$D$293,$B18,DATA_CAPITAL_FLOW!$F$5:$F$293,$C18)</f>
        <v>0</v>
      </c>
      <c r="F18" s="381">
        <f ca="1">SUMIFS(DATA_CAPITAL_FLOW!$H$294:$H$5206,DATA_CAPITAL_FLOW!$B$294:$B$5206,"Property",DATA_CAPITAL_FLOW!$D$294:$D$5206,$B18,DATA_CAPITAL_FLOW!$F$294:$F$5206,$C18)</f>
        <v>0</v>
      </c>
      <c r="G18" s="381">
        <f t="shared" ca="1" si="0"/>
        <v>0</v>
      </c>
      <c r="H18" s="348" t="str">
        <f t="shared" ca="1" si="1"/>
        <v>OK</v>
      </c>
      <c r="I18" s="366" t="s">
        <v>7171</v>
      </c>
    </row>
    <row r="19" spans="1:9">
      <c r="A19" s="366" t="s">
        <v>7185</v>
      </c>
      <c r="B19" s="348">
        <f>DATA_CAPITAL_FLOW!D19</f>
        <v>2025</v>
      </c>
      <c r="C19" s="366" t="s">
        <v>41</v>
      </c>
      <c r="D19" s="366" t="s">
        <v>1741</v>
      </c>
      <c r="E19" s="381">
        <f>SUMIFS(DATA_CAPITAL_FLOW!$H$5:$H$293,DATA_CAPITAL_FLOW!$B$5:$B$293,"Portfolio",DATA_CAPITAL_FLOW!$D$5:$D$293,$B19,DATA_CAPITAL_FLOW!$F$5:$F$293,$C19)</f>
        <v>-12279949.43203162</v>
      </c>
      <c r="F19" s="381">
        <f ca="1">SUMIFS(DATA_CAPITAL_FLOW!$H$294:$H$5206,DATA_CAPITAL_FLOW!$B$294:$B$5206,"Property",DATA_CAPITAL_FLOW!$D$294:$D$5206,$B19,DATA_CAPITAL_FLOW!$F$294:$F$5206,$C19)</f>
        <v>-13016350.147631619</v>
      </c>
      <c r="G19" s="381">
        <f t="shared" ca="1" si="0"/>
        <v>736400.71559999883</v>
      </c>
      <c r="H19" s="348" t="str">
        <f t="shared" ca="1" si="1"/>
        <v>CHECK</v>
      </c>
      <c r="I19" s="366" t="s">
        <v>7171</v>
      </c>
    </row>
    <row r="20" spans="1:9">
      <c r="A20" s="366" t="s">
        <v>7186</v>
      </c>
      <c r="B20" s="348">
        <f>DATA_CAPITAL_FLOW!D20</f>
        <v>2025</v>
      </c>
      <c r="C20" s="366" t="s">
        <v>43</v>
      </c>
      <c r="D20" s="366" t="s">
        <v>1741</v>
      </c>
      <c r="E20" s="381">
        <f>SUMIFS(DATA_CAPITAL_FLOW!$H$5:$H$293,DATA_CAPITAL_FLOW!$B$5:$B$293,"Portfolio",DATA_CAPITAL_FLOW!$D$5:$D$293,$B20,DATA_CAPITAL_FLOW!$F$5:$F$293,$C20)</f>
        <v>-12279949.43203162</v>
      </c>
      <c r="F20" s="381">
        <f ca="1">SUMIFS(DATA_CAPITAL_FLOW!$H$294:$H$5206,DATA_CAPITAL_FLOW!$B$294:$B$5206,"Property",DATA_CAPITAL_FLOW!$D$294:$D$5206,$B20,DATA_CAPITAL_FLOW!$F$294:$F$5206,$C20)</f>
        <v>-13016350.147631619</v>
      </c>
      <c r="G20" s="381">
        <f t="shared" ca="1" si="0"/>
        <v>736400.71559999883</v>
      </c>
      <c r="H20" s="348" t="str">
        <f t="shared" ca="1" si="1"/>
        <v>CHECK</v>
      </c>
      <c r="I20" s="366" t="s">
        <v>7171</v>
      </c>
    </row>
    <row r="21" spans="1:9">
      <c r="A21" s="366" t="s">
        <v>7187</v>
      </c>
      <c r="B21" s="348">
        <f>DATA_CAPITAL_FLOW!D21</f>
        <v>2025</v>
      </c>
      <c r="C21" s="366" t="s">
        <v>1749</v>
      </c>
      <c r="D21" s="366" t="s">
        <v>1741</v>
      </c>
      <c r="E21" s="381">
        <f>SUMIFS(DATA_CAPITAL_FLOW!$H$5:$H$293,DATA_CAPITAL_FLOW!$B$5:$B$293,"Portfolio",DATA_CAPITAL_FLOW!$D$5:$D$293,$B21,DATA_CAPITAL_FLOW!$F$5:$F$293,$C21)</f>
        <v>0</v>
      </c>
      <c r="F21" s="381">
        <f ca="1">SUMIFS(DATA_CAPITAL_FLOW!$H$294:$H$5206,DATA_CAPITAL_FLOW!$B$294:$B$5206,"Property",DATA_CAPITAL_FLOW!$D$294:$D$5206,$B21,DATA_CAPITAL_FLOW!$F$294:$F$5206,$C21)</f>
        <v>0</v>
      </c>
      <c r="G21" s="381">
        <f t="shared" ca="1" si="0"/>
        <v>0</v>
      </c>
      <c r="H21" s="348" t="str">
        <f t="shared" ca="1" si="1"/>
        <v>OK</v>
      </c>
      <c r="I21" s="366" t="s">
        <v>7171</v>
      </c>
    </row>
    <row r="22" spans="1:9">
      <c r="A22" s="366" t="s">
        <v>7188</v>
      </c>
      <c r="B22" s="348">
        <f>DATA_CAPITAL_FLOW!D22</f>
        <v>2026</v>
      </c>
      <c r="C22" s="366" t="s">
        <v>341</v>
      </c>
      <c r="D22" s="366" t="s">
        <v>1683</v>
      </c>
      <c r="E22" s="381">
        <f>SUMIFS(DATA_CAPITAL_FLOW!$H$5:$H$293,DATA_CAPITAL_FLOW!$B$5:$B$293,"Portfolio",DATA_CAPITAL_FLOW!$D$5:$D$293,$B22,DATA_CAPITAL_FLOW!$F$5:$F$293,$C22)</f>
        <v>7008586.7590800002</v>
      </c>
      <c r="F22" s="381">
        <f ca="1">SUMIFS(DATA_CAPITAL_FLOW!$H$294:$H$5206,DATA_CAPITAL_FLOW!$B$294:$B$5206,"Property",DATA_CAPITAL_FLOW!$D$294:$D$5206,$B22,DATA_CAPITAL_FLOW!$F$294:$F$5206,$C22)</f>
        <v>7008586.7590800002</v>
      </c>
      <c r="G22" s="381">
        <f t="shared" ca="1" si="0"/>
        <v>0</v>
      </c>
      <c r="H22" s="348" t="str">
        <f t="shared" ca="1" si="1"/>
        <v>OK</v>
      </c>
      <c r="I22" s="366" t="s">
        <v>7171</v>
      </c>
    </row>
    <row r="23" spans="1:9">
      <c r="A23" s="366" t="s">
        <v>7189</v>
      </c>
      <c r="B23" s="348">
        <f>DATA_CAPITAL_FLOW!D23</f>
        <v>2026</v>
      </c>
      <c r="C23" s="366" t="s">
        <v>355</v>
      </c>
      <c r="D23" s="366" t="s">
        <v>1683</v>
      </c>
      <c r="E23" s="381">
        <f>SUMIFS(DATA_CAPITAL_FLOW!$H$5:$H$293,DATA_CAPITAL_FLOW!$B$5:$B$293,"Portfolio",DATA_CAPITAL_FLOW!$D$5:$D$293,$B23,DATA_CAPITAL_FLOW!$F$5:$F$293,$C23)</f>
        <v>3254769.44</v>
      </c>
      <c r="F23" s="381">
        <f ca="1">SUMIFS(DATA_CAPITAL_FLOW!$H$294:$H$5206,DATA_CAPITAL_FLOW!$B$294:$B$5206,"Property",DATA_CAPITAL_FLOW!$D$294:$D$5206,$B23,DATA_CAPITAL_FLOW!$F$294:$F$5206,$C23)</f>
        <v>3254769.44</v>
      </c>
      <c r="G23" s="381">
        <f t="shared" ca="1" si="0"/>
        <v>0</v>
      </c>
      <c r="H23" s="348" t="str">
        <f t="shared" ca="1" si="1"/>
        <v>OK</v>
      </c>
      <c r="I23" s="366" t="s">
        <v>7171</v>
      </c>
    </row>
    <row r="24" spans="1:9">
      <c r="A24" s="366" t="s">
        <v>7190</v>
      </c>
      <c r="B24" s="348">
        <f>DATA_CAPITAL_FLOW!D24</f>
        <v>2026</v>
      </c>
      <c r="C24" s="366" t="s">
        <v>19</v>
      </c>
      <c r="D24" s="366" t="s">
        <v>1683</v>
      </c>
      <c r="E24" s="381">
        <f>SUMIFS(DATA_CAPITAL_FLOW!$H$5:$H$293,DATA_CAPITAL_FLOW!$B$5:$B$293,"Portfolio",DATA_CAPITAL_FLOW!$D$5:$D$293,$B24,DATA_CAPITAL_FLOW!$F$5:$F$293,$C24)</f>
        <v>3753817.3190800003</v>
      </c>
      <c r="F24" s="381">
        <f ca="1">SUMIFS(DATA_CAPITAL_FLOW!$H$294:$H$5206,DATA_CAPITAL_FLOW!$B$294:$B$5206,"Property",DATA_CAPITAL_FLOW!$D$294:$D$5206,$B24,DATA_CAPITAL_FLOW!$F$294:$F$5206,$C24)</f>
        <v>3753817.3190800003</v>
      </c>
      <c r="G24" s="381">
        <f t="shared" ca="1" si="0"/>
        <v>0</v>
      </c>
      <c r="H24" s="348" t="str">
        <f t="shared" ca="1" si="1"/>
        <v>OK</v>
      </c>
      <c r="I24" s="366" t="s">
        <v>7171</v>
      </c>
    </row>
    <row r="25" spans="1:9">
      <c r="A25" s="366" t="s">
        <v>7191</v>
      </c>
      <c r="B25" s="348">
        <f>DATA_CAPITAL_FLOW!D25</f>
        <v>2026</v>
      </c>
      <c r="C25" s="366" t="s">
        <v>1697</v>
      </c>
      <c r="D25" s="366" t="s">
        <v>1683</v>
      </c>
      <c r="E25" s="381">
        <f>SUMIFS(DATA_CAPITAL_FLOW!$H$5:$H$293,DATA_CAPITAL_FLOW!$B$5:$B$293,"Portfolio",DATA_CAPITAL_FLOW!$D$5:$D$293,$B25,DATA_CAPITAL_FLOW!$F$5:$F$293,$C25)</f>
        <v>71451</v>
      </c>
      <c r="F25" s="381">
        <f ca="1">SUMIFS(DATA_CAPITAL_FLOW!$H$294:$H$5206,DATA_CAPITAL_FLOW!$B$294:$B$5206,"Property",DATA_CAPITAL_FLOW!$D$294:$D$5206,$B25,DATA_CAPITAL_FLOW!$F$294:$F$5206,$C25)</f>
        <v>71451</v>
      </c>
      <c r="G25" s="381">
        <f t="shared" ca="1" si="0"/>
        <v>0</v>
      </c>
      <c r="H25" s="348" t="str">
        <f t="shared" ca="1" si="1"/>
        <v>OK</v>
      </c>
      <c r="I25" s="366" t="s">
        <v>7171</v>
      </c>
    </row>
    <row r="26" spans="1:9">
      <c r="A26" s="366" t="s">
        <v>7192</v>
      </c>
      <c r="B26" s="348">
        <f>DATA_CAPITAL_FLOW!D26</f>
        <v>2026</v>
      </c>
      <c r="C26" s="366" t="s">
        <v>21</v>
      </c>
      <c r="D26" s="366" t="s">
        <v>1683</v>
      </c>
      <c r="E26" s="381">
        <f>SUMIFS(DATA_CAPITAL_FLOW!$H$5:$H$293,DATA_CAPITAL_FLOW!$B$5:$B$293,"Portfolio",DATA_CAPITAL_FLOW!$D$5:$D$293,$B26,DATA_CAPITAL_FLOW!$F$5:$F$293,$C26)</f>
        <v>3682366.3190800003</v>
      </c>
      <c r="F26" s="381">
        <f ca="1">SUMIFS(DATA_CAPITAL_FLOW!$H$294:$H$5206,DATA_CAPITAL_FLOW!$B$294:$B$5206,"Property",DATA_CAPITAL_FLOW!$D$294:$D$5206,$B26,DATA_CAPITAL_FLOW!$F$294:$F$5206,$C26)</f>
        <v>3682366.3190800003</v>
      </c>
      <c r="G26" s="381">
        <f t="shared" ca="1" si="0"/>
        <v>0</v>
      </c>
      <c r="H26" s="348" t="str">
        <f t="shared" ca="1" si="1"/>
        <v>OK</v>
      </c>
      <c r="I26" s="366" t="s">
        <v>7171</v>
      </c>
    </row>
    <row r="27" spans="1:9">
      <c r="A27" s="366" t="s">
        <v>7193</v>
      </c>
      <c r="B27" s="348">
        <f>DATA_CAPITAL_FLOW!D27</f>
        <v>2026</v>
      </c>
      <c r="C27" s="366" t="s">
        <v>23</v>
      </c>
      <c r="D27" s="366" t="s">
        <v>23</v>
      </c>
      <c r="E27" s="381">
        <f>SUMIFS(DATA_CAPITAL_FLOW!$H$5:$H$293,DATA_CAPITAL_FLOW!$B$5:$B$293,"Portfolio",DATA_CAPITAL_FLOW!$D$5:$D$293,$B27,DATA_CAPITAL_FLOW!$F$5:$F$293,$C27)</f>
        <v>15395195.24808039</v>
      </c>
      <c r="F27" s="381">
        <f ca="1">SUMIFS(DATA_CAPITAL_FLOW!$H$294:$H$5206,DATA_CAPITAL_FLOW!$B$294:$B$5206,"Property",DATA_CAPITAL_FLOW!$D$294:$D$5206,$B27,DATA_CAPITAL_FLOW!$F$294:$F$5206,$C27)</f>
        <v>15395195.24808039</v>
      </c>
      <c r="G27" s="381">
        <f t="shared" ca="1" si="0"/>
        <v>0</v>
      </c>
      <c r="H27" s="348" t="str">
        <f t="shared" ca="1" si="1"/>
        <v>OK</v>
      </c>
      <c r="I27" s="366" t="s">
        <v>7171</v>
      </c>
    </row>
    <row r="28" spans="1:9">
      <c r="A28" s="366" t="s">
        <v>7194</v>
      </c>
      <c r="B28" s="348">
        <f>DATA_CAPITAL_FLOW!D28</f>
        <v>2026</v>
      </c>
      <c r="C28" s="366" t="s">
        <v>25</v>
      </c>
      <c r="D28" s="366" t="s">
        <v>1683</v>
      </c>
      <c r="E28" s="381">
        <f>SUMIFS(DATA_CAPITAL_FLOW!$H$5:$H$293,DATA_CAPITAL_FLOW!$B$5:$B$293,"Portfolio",DATA_CAPITAL_FLOW!$D$5:$D$293,$B28,DATA_CAPITAL_FLOW!$F$5:$F$293,$C28)</f>
        <v>-11641377.929000389</v>
      </c>
      <c r="F28" s="381">
        <f ca="1">SUMIFS(DATA_CAPITAL_FLOW!$H$294:$H$5206,DATA_CAPITAL_FLOW!$B$294:$B$5206,"Property",DATA_CAPITAL_FLOW!$D$294:$D$5206,$B28,DATA_CAPITAL_FLOW!$F$294:$F$5206,$C28)</f>
        <v>-11641377.929000389</v>
      </c>
      <c r="G28" s="381">
        <f t="shared" ca="1" si="0"/>
        <v>0</v>
      </c>
      <c r="H28" s="348" t="str">
        <f t="shared" ca="1" si="1"/>
        <v>OK</v>
      </c>
      <c r="I28" s="366" t="s">
        <v>7171</v>
      </c>
    </row>
    <row r="29" spans="1:9">
      <c r="A29" s="366" t="s">
        <v>7195</v>
      </c>
      <c r="B29" s="348">
        <f>DATA_CAPITAL_FLOW!D29</f>
        <v>2026</v>
      </c>
      <c r="C29" s="366" t="s">
        <v>27</v>
      </c>
      <c r="D29" s="366" t="s">
        <v>1683</v>
      </c>
      <c r="E29" s="381">
        <f>SUMIFS(DATA_CAPITAL_FLOW!$H$5:$H$293,DATA_CAPITAL_FLOW!$B$5:$B$293,"Portfolio",DATA_CAPITAL_FLOW!$D$5:$D$293,$B29,DATA_CAPITAL_FLOW!$F$5:$F$293,$C29)</f>
        <v>0</v>
      </c>
      <c r="F29" s="381">
        <f ca="1">SUMIFS(DATA_CAPITAL_FLOW!$H$294:$H$5206,DATA_CAPITAL_FLOW!$B$294:$B$5206,"Property",DATA_CAPITAL_FLOW!$D$294:$D$5206,$B29,DATA_CAPITAL_FLOW!$F$294:$F$5206,$C29)</f>
        <v>1055292.2217547384</v>
      </c>
      <c r="G29" s="381">
        <f t="shared" ca="1" si="0"/>
        <v>-1055292.2217547384</v>
      </c>
      <c r="H29" s="348" t="str">
        <f t="shared" ca="1" si="1"/>
        <v>CHECK</v>
      </c>
      <c r="I29" s="366" t="s">
        <v>7171</v>
      </c>
    </row>
    <row r="30" spans="1:9">
      <c r="A30" s="366" t="s">
        <v>7196</v>
      </c>
      <c r="B30" s="348">
        <f>DATA_CAPITAL_FLOW!D30</f>
        <v>2026</v>
      </c>
      <c r="C30" s="366" t="s">
        <v>29</v>
      </c>
      <c r="D30" s="366" t="s">
        <v>1683</v>
      </c>
      <c r="E30" s="381">
        <f>SUMIFS(DATA_CAPITAL_FLOW!$H$5:$H$293,DATA_CAPITAL_FLOW!$B$5:$B$293,"Portfolio",DATA_CAPITAL_FLOW!$D$5:$D$293,$B30,DATA_CAPITAL_FLOW!$F$5:$F$293,$C30)</f>
        <v>-11641377.929000389</v>
      </c>
      <c r="F30" s="381">
        <f ca="1">SUMIFS(DATA_CAPITAL_FLOW!$H$294:$H$5206,DATA_CAPITAL_FLOW!$B$294:$B$5206,"Property",DATA_CAPITAL_FLOW!$D$294:$D$5206,$B30,DATA_CAPITAL_FLOW!$F$294:$F$5206,$C30)</f>
        <v>-12696670.150755128</v>
      </c>
      <c r="G30" s="381">
        <f t="shared" ca="1" si="0"/>
        <v>1055292.2217547391</v>
      </c>
      <c r="H30" s="348" t="str">
        <f t="shared" ca="1" si="1"/>
        <v>CHECK</v>
      </c>
      <c r="I30" s="366" t="s">
        <v>7171</v>
      </c>
    </row>
    <row r="31" spans="1:9">
      <c r="A31" s="366" t="s">
        <v>7197</v>
      </c>
      <c r="B31" s="348">
        <f>DATA_CAPITAL_FLOW!D31</f>
        <v>2026</v>
      </c>
      <c r="C31" s="366" t="s">
        <v>31</v>
      </c>
      <c r="D31" s="366" t="s">
        <v>1721</v>
      </c>
      <c r="E31" s="381">
        <f>SUMIFS(DATA_CAPITAL_FLOW!$H$5:$H$293,DATA_CAPITAL_FLOW!$B$5:$B$293,"Portfolio",DATA_CAPITAL_FLOW!$D$5:$D$293,$B31,DATA_CAPITAL_FLOW!$F$5:$F$293,$C31)</f>
        <v>0</v>
      </c>
      <c r="F31" s="381">
        <f ca="1">SUMIFS(DATA_CAPITAL_FLOW!$H$294:$H$5206,DATA_CAPITAL_FLOW!$B$294:$B$5206,"Property",DATA_CAPITAL_FLOW!$D$294:$D$5206,$B31,DATA_CAPITAL_FLOW!$F$294:$F$5206,$C31)</f>
        <v>0</v>
      </c>
      <c r="G31" s="381">
        <f t="shared" ca="1" si="0"/>
        <v>0</v>
      </c>
      <c r="H31" s="348" t="str">
        <f t="shared" ca="1" si="1"/>
        <v>OK</v>
      </c>
      <c r="I31" s="366" t="s">
        <v>7171</v>
      </c>
    </row>
    <row r="32" spans="1:9">
      <c r="A32" s="366" t="s">
        <v>7198</v>
      </c>
      <c r="B32" s="348">
        <f>DATA_CAPITAL_FLOW!D32</f>
        <v>2026</v>
      </c>
      <c r="C32" s="366" t="s">
        <v>33</v>
      </c>
      <c r="D32" s="366" t="s">
        <v>1721</v>
      </c>
      <c r="E32" s="381">
        <f>SUMIFS(DATA_CAPITAL_FLOW!$H$5:$H$293,DATA_CAPITAL_FLOW!$B$5:$B$293,"Portfolio",DATA_CAPITAL_FLOW!$D$5:$D$293,$B32,DATA_CAPITAL_FLOW!$F$5:$F$293,$C32)</f>
        <v>0</v>
      </c>
      <c r="F32" s="381">
        <f ca="1">SUMIFS(DATA_CAPITAL_FLOW!$H$294:$H$5206,DATA_CAPITAL_FLOW!$B$294:$B$5206,"Property",DATA_CAPITAL_FLOW!$D$294:$D$5206,$B32,DATA_CAPITAL_FLOW!$F$294:$F$5206,$C32)</f>
        <v>0</v>
      </c>
      <c r="G32" s="381">
        <f t="shared" ca="1" si="0"/>
        <v>0</v>
      </c>
      <c r="H32" s="348" t="str">
        <f t="shared" ca="1" si="1"/>
        <v>OK</v>
      </c>
      <c r="I32" s="366" t="s">
        <v>7171</v>
      </c>
    </row>
    <row r="33" spans="1:9">
      <c r="A33" s="366" t="s">
        <v>7199</v>
      </c>
      <c r="B33" s="348">
        <f>DATA_CAPITAL_FLOW!D33</f>
        <v>2026</v>
      </c>
      <c r="C33" s="366" t="s">
        <v>35</v>
      </c>
      <c r="D33" s="366" t="s">
        <v>1721</v>
      </c>
      <c r="E33" s="381">
        <f>SUMIFS(DATA_CAPITAL_FLOW!$H$5:$H$293,DATA_CAPITAL_FLOW!$B$5:$B$293,"Portfolio",DATA_CAPITAL_FLOW!$D$5:$D$293,$B33,DATA_CAPITAL_FLOW!$F$5:$F$293,$C33)</f>
        <v>0</v>
      </c>
      <c r="F33" s="381">
        <f ca="1">SUMIFS(DATA_CAPITAL_FLOW!$H$294:$H$5206,DATA_CAPITAL_FLOW!$B$294:$B$5206,"Property",DATA_CAPITAL_FLOW!$D$294:$D$5206,$B33,DATA_CAPITAL_FLOW!$F$294:$F$5206,$C33)</f>
        <v>0</v>
      </c>
      <c r="G33" s="381">
        <f t="shared" ca="1" si="0"/>
        <v>0</v>
      </c>
      <c r="H33" s="348" t="str">
        <f t="shared" ca="1" si="1"/>
        <v>OK</v>
      </c>
      <c r="I33" s="366" t="s">
        <v>7171</v>
      </c>
    </row>
    <row r="34" spans="1:9">
      <c r="A34" s="366" t="s">
        <v>7200</v>
      </c>
      <c r="B34" s="348">
        <f>DATA_CAPITAL_FLOW!D34</f>
        <v>2026</v>
      </c>
      <c r="C34" s="366" t="s">
        <v>37</v>
      </c>
      <c r="D34" s="366" t="s">
        <v>1721</v>
      </c>
      <c r="E34" s="381">
        <f>SUMIFS(DATA_CAPITAL_FLOW!$H$5:$H$293,DATA_CAPITAL_FLOW!$B$5:$B$293,"Portfolio",DATA_CAPITAL_FLOW!$D$5:$D$293,$B34,DATA_CAPITAL_FLOW!$F$5:$F$293,$C34)</f>
        <v>0</v>
      </c>
      <c r="F34" s="381">
        <f ca="1">SUMIFS(DATA_CAPITAL_FLOW!$H$294:$H$5206,DATA_CAPITAL_FLOW!$B$294:$B$5206,"Property",DATA_CAPITAL_FLOW!$D$294:$D$5206,$B34,DATA_CAPITAL_FLOW!$F$294:$F$5206,$C34)</f>
        <v>0</v>
      </c>
      <c r="G34" s="381">
        <f t="shared" ca="1" si="0"/>
        <v>0</v>
      </c>
      <c r="H34" s="348" t="str">
        <f t="shared" ca="1" si="1"/>
        <v>OK</v>
      </c>
      <c r="I34" s="366" t="s">
        <v>7171</v>
      </c>
    </row>
    <row r="35" spans="1:9">
      <c r="A35" s="366" t="s">
        <v>7201</v>
      </c>
      <c r="B35" s="348">
        <f>DATA_CAPITAL_FLOW!D35</f>
        <v>2026</v>
      </c>
      <c r="C35" s="366" t="s">
        <v>39</v>
      </c>
      <c r="D35" s="366" t="s">
        <v>1721</v>
      </c>
      <c r="E35" s="381">
        <f>SUMIFS(DATA_CAPITAL_FLOW!$H$5:$H$293,DATA_CAPITAL_FLOW!$B$5:$B$293,"Portfolio",DATA_CAPITAL_FLOW!$D$5:$D$293,$B35,DATA_CAPITAL_FLOW!$F$5:$F$293,$C35)</f>
        <v>0</v>
      </c>
      <c r="F35" s="381">
        <f ca="1">SUMIFS(DATA_CAPITAL_FLOW!$H$294:$H$5206,DATA_CAPITAL_FLOW!$B$294:$B$5206,"Property",DATA_CAPITAL_FLOW!$D$294:$D$5206,$B35,DATA_CAPITAL_FLOW!$F$294:$F$5206,$C35)</f>
        <v>0</v>
      </c>
      <c r="G35" s="381">
        <f t="shared" ca="1" si="0"/>
        <v>0</v>
      </c>
      <c r="H35" s="348" t="str">
        <f t="shared" ca="1" si="1"/>
        <v>OK</v>
      </c>
      <c r="I35" s="366" t="s">
        <v>7171</v>
      </c>
    </row>
    <row r="36" spans="1:9">
      <c r="A36" s="366" t="s">
        <v>7202</v>
      </c>
      <c r="B36" s="348">
        <f>DATA_CAPITAL_FLOW!D36</f>
        <v>2026</v>
      </c>
      <c r="C36" s="366" t="s">
        <v>41</v>
      </c>
      <c r="D36" s="366" t="s">
        <v>1741</v>
      </c>
      <c r="E36" s="381">
        <f>SUMIFS(DATA_CAPITAL_FLOW!$H$5:$H$293,DATA_CAPITAL_FLOW!$B$5:$B$293,"Portfolio",DATA_CAPITAL_FLOW!$D$5:$D$293,$B36,DATA_CAPITAL_FLOW!$F$5:$F$293,$C36)</f>
        <v>-11641377.929000389</v>
      </c>
      <c r="F36" s="381">
        <f ca="1">SUMIFS(DATA_CAPITAL_FLOW!$H$294:$H$5206,DATA_CAPITAL_FLOW!$B$294:$B$5206,"Property",DATA_CAPITAL_FLOW!$D$294:$D$5206,$B36,DATA_CAPITAL_FLOW!$F$294:$F$5206,$C36)</f>
        <v>-12696670.150755128</v>
      </c>
      <c r="G36" s="381">
        <f t="shared" ca="1" si="0"/>
        <v>1055292.2217547391</v>
      </c>
      <c r="H36" s="348" t="str">
        <f t="shared" ca="1" si="1"/>
        <v>CHECK</v>
      </c>
      <c r="I36" s="366" t="s">
        <v>7171</v>
      </c>
    </row>
    <row r="37" spans="1:9">
      <c r="A37" s="366" t="s">
        <v>7203</v>
      </c>
      <c r="B37" s="348">
        <f>DATA_CAPITAL_FLOW!D37</f>
        <v>2026</v>
      </c>
      <c r="C37" s="366" t="s">
        <v>43</v>
      </c>
      <c r="D37" s="366" t="s">
        <v>1741</v>
      </c>
      <c r="E37" s="381">
        <f>SUMIFS(DATA_CAPITAL_FLOW!$H$5:$H$293,DATA_CAPITAL_FLOW!$B$5:$B$293,"Portfolio",DATA_CAPITAL_FLOW!$D$5:$D$293,$B37,DATA_CAPITAL_FLOW!$F$5:$F$293,$C37)</f>
        <v>-11641377.929000389</v>
      </c>
      <c r="F37" s="381">
        <f ca="1">SUMIFS(DATA_CAPITAL_FLOW!$H$294:$H$5206,DATA_CAPITAL_FLOW!$B$294:$B$5206,"Property",DATA_CAPITAL_FLOW!$D$294:$D$5206,$B37,DATA_CAPITAL_FLOW!$F$294:$F$5206,$C37)</f>
        <v>-12696670.150755128</v>
      </c>
      <c r="G37" s="381">
        <f t="shared" ca="1" si="0"/>
        <v>1055292.2217547391</v>
      </c>
      <c r="H37" s="348" t="str">
        <f t="shared" ca="1" si="1"/>
        <v>CHECK</v>
      </c>
      <c r="I37" s="366" t="s">
        <v>7171</v>
      </c>
    </row>
    <row r="38" spans="1:9">
      <c r="A38" s="366" t="s">
        <v>7204</v>
      </c>
      <c r="B38" s="348">
        <f>DATA_CAPITAL_FLOW!D38</f>
        <v>2026</v>
      </c>
      <c r="C38" s="366" t="s">
        <v>1749</v>
      </c>
      <c r="D38" s="366" t="s">
        <v>1741</v>
      </c>
      <c r="E38" s="381">
        <f>SUMIFS(DATA_CAPITAL_FLOW!$H$5:$H$293,DATA_CAPITAL_FLOW!$B$5:$B$293,"Portfolio",DATA_CAPITAL_FLOW!$D$5:$D$293,$B38,DATA_CAPITAL_FLOW!$F$5:$F$293,$C38)</f>
        <v>0</v>
      </c>
      <c r="F38" s="381">
        <f ca="1">SUMIFS(DATA_CAPITAL_FLOW!$H$294:$H$5206,DATA_CAPITAL_FLOW!$B$294:$B$5206,"Property",DATA_CAPITAL_FLOW!$D$294:$D$5206,$B38,DATA_CAPITAL_FLOW!$F$294:$F$5206,$C38)</f>
        <v>0</v>
      </c>
      <c r="G38" s="381">
        <f t="shared" ca="1" si="0"/>
        <v>0</v>
      </c>
      <c r="H38" s="348" t="str">
        <f t="shared" ca="1" si="1"/>
        <v>OK</v>
      </c>
      <c r="I38" s="366" t="s">
        <v>7171</v>
      </c>
    </row>
    <row r="39" spans="1:9">
      <c r="A39" s="366" t="s">
        <v>7205</v>
      </c>
      <c r="B39" s="348">
        <f>DATA_CAPITAL_FLOW!D39</f>
        <v>2027</v>
      </c>
      <c r="C39" s="366" t="s">
        <v>341</v>
      </c>
      <c r="D39" s="366" t="s">
        <v>1683</v>
      </c>
      <c r="E39" s="381">
        <f>SUMIFS(DATA_CAPITAL_FLOW!$H$5:$H$293,DATA_CAPITAL_FLOW!$B$5:$B$293,"Portfolio",DATA_CAPITAL_FLOW!$D$5:$D$293,$B39,DATA_CAPITAL_FLOW!$F$5:$F$293,$C39)</f>
        <v>12543508.241225326</v>
      </c>
      <c r="F39" s="381">
        <f ca="1">SUMIFS(DATA_CAPITAL_FLOW!$H$294:$H$5206,DATA_CAPITAL_FLOW!$B$294:$B$5206,"Property",DATA_CAPITAL_FLOW!$D$294:$D$5206,$B39,DATA_CAPITAL_FLOW!$F$294:$F$5206,$C39)</f>
        <v>12543508.241225328</v>
      </c>
      <c r="G39" s="381">
        <f t="shared" ca="1" si="0"/>
        <v>0</v>
      </c>
      <c r="H39" s="348" t="str">
        <f t="shared" ca="1" si="1"/>
        <v>OK</v>
      </c>
      <c r="I39" s="366" t="s">
        <v>7171</v>
      </c>
    </row>
    <row r="40" spans="1:9">
      <c r="A40" s="366" t="s">
        <v>7206</v>
      </c>
      <c r="B40" s="348">
        <f>DATA_CAPITAL_FLOW!D40</f>
        <v>2027</v>
      </c>
      <c r="C40" s="366" t="s">
        <v>355</v>
      </c>
      <c r="D40" s="366" t="s">
        <v>1683</v>
      </c>
      <c r="E40" s="381">
        <f>SUMIFS(DATA_CAPITAL_FLOW!$H$5:$H$293,DATA_CAPITAL_FLOW!$B$5:$B$293,"Portfolio",DATA_CAPITAL_FLOW!$D$5:$D$293,$B40,DATA_CAPITAL_FLOW!$F$5:$F$293,$C40)</f>
        <v>3575754.4576000003</v>
      </c>
      <c r="F40" s="381">
        <f ca="1">SUMIFS(DATA_CAPITAL_FLOW!$H$294:$H$5206,DATA_CAPITAL_FLOW!$B$294:$B$5206,"Property",DATA_CAPITAL_FLOW!$D$294:$D$5206,$B40,DATA_CAPITAL_FLOW!$F$294:$F$5206,$C40)</f>
        <v>3575754.4576000003</v>
      </c>
      <c r="G40" s="381">
        <f t="shared" ca="1" si="0"/>
        <v>0</v>
      </c>
      <c r="H40" s="348" t="str">
        <f t="shared" ca="1" si="1"/>
        <v>OK</v>
      </c>
      <c r="I40" s="366" t="s">
        <v>7171</v>
      </c>
    </row>
    <row r="41" spans="1:9">
      <c r="A41" s="366" t="s">
        <v>7207</v>
      </c>
      <c r="B41" s="348">
        <f>DATA_CAPITAL_FLOW!D41</f>
        <v>2027</v>
      </c>
      <c r="C41" s="366" t="s">
        <v>19</v>
      </c>
      <c r="D41" s="366" t="s">
        <v>1683</v>
      </c>
      <c r="E41" s="381">
        <f>SUMIFS(DATA_CAPITAL_FLOW!$H$5:$H$293,DATA_CAPITAL_FLOW!$B$5:$B$293,"Portfolio",DATA_CAPITAL_FLOW!$D$5:$D$293,$B41,DATA_CAPITAL_FLOW!$F$5:$F$293,$C41)</f>
        <v>8967753.7836253271</v>
      </c>
      <c r="F41" s="381">
        <f ca="1">SUMIFS(DATA_CAPITAL_FLOW!$H$294:$H$5206,DATA_CAPITAL_FLOW!$B$294:$B$5206,"Property",DATA_CAPITAL_FLOW!$D$294:$D$5206,$B41,DATA_CAPITAL_FLOW!$F$294:$F$5206,$C41)</f>
        <v>8967753.7836253271</v>
      </c>
      <c r="G41" s="381">
        <f t="shared" ca="1" si="0"/>
        <v>0</v>
      </c>
      <c r="H41" s="348" t="str">
        <f t="shared" ca="1" si="1"/>
        <v>OK</v>
      </c>
      <c r="I41" s="366" t="s">
        <v>7171</v>
      </c>
    </row>
    <row r="42" spans="1:9">
      <c r="A42" s="366" t="s">
        <v>7208</v>
      </c>
      <c r="B42" s="348">
        <f>DATA_CAPITAL_FLOW!D42</f>
        <v>2027</v>
      </c>
      <c r="C42" s="366" t="s">
        <v>1697</v>
      </c>
      <c r="D42" s="366" t="s">
        <v>1683</v>
      </c>
      <c r="E42" s="381">
        <f>SUMIFS(DATA_CAPITAL_FLOW!$H$5:$H$293,DATA_CAPITAL_FLOW!$B$5:$B$293,"Portfolio",DATA_CAPITAL_FLOW!$D$5:$D$293,$B42,DATA_CAPITAL_FLOW!$F$5:$F$293,$C42)</f>
        <v>124067.70000000001</v>
      </c>
      <c r="F42" s="381">
        <f ca="1">SUMIFS(DATA_CAPITAL_FLOW!$H$294:$H$5206,DATA_CAPITAL_FLOW!$B$294:$B$5206,"Property",DATA_CAPITAL_FLOW!$D$294:$D$5206,$B42,DATA_CAPITAL_FLOW!$F$294:$F$5206,$C42)</f>
        <v>124067.70000000001</v>
      </c>
      <c r="G42" s="381">
        <f t="shared" ca="1" si="0"/>
        <v>0</v>
      </c>
      <c r="H42" s="348" t="str">
        <f t="shared" ca="1" si="1"/>
        <v>OK</v>
      </c>
      <c r="I42" s="366" t="s">
        <v>7171</v>
      </c>
    </row>
    <row r="43" spans="1:9">
      <c r="A43" s="366" t="s">
        <v>7209</v>
      </c>
      <c r="B43" s="348">
        <f>DATA_CAPITAL_FLOW!D43</f>
        <v>2027</v>
      </c>
      <c r="C43" s="366" t="s">
        <v>21</v>
      </c>
      <c r="D43" s="366" t="s">
        <v>1683</v>
      </c>
      <c r="E43" s="381">
        <f>SUMIFS(DATA_CAPITAL_FLOW!$H$5:$H$293,DATA_CAPITAL_FLOW!$B$5:$B$293,"Portfolio",DATA_CAPITAL_FLOW!$D$5:$D$293,$B43,DATA_CAPITAL_FLOW!$F$5:$F$293,$C43)</f>
        <v>8843686.0836253278</v>
      </c>
      <c r="F43" s="381">
        <f ca="1">SUMIFS(DATA_CAPITAL_FLOW!$H$294:$H$5206,DATA_CAPITAL_FLOW!$B$294:$B$5206,"Property",DATA_CAPITAL_FLOW!$D$294:$D$5206,$B43,DATA_CAPITAL_FLOW!$F$294:$F$5206,$C43)</f>
        <v>8843686.0836253278</v>
      </c>
      <c r="G43" s="381">
        <f t="shared" ca="1" si="0"/>
        <v>0</v>
      </c>
      <c r="H43" s="348" t="str">
        <f t="shared" ca="1" si="1"/>
        <v>OK</v>
      </c>
      <c r="I43" s="366" t="s">
        <v>7171</v>
      </c>
    </row>
    <row r="44" spans="1:9">
      <c r="A44" s="366" t="s">
        <v>7210</v>
      </c>
      <c r="B44" s="348">
        <f>DATA_CAPITAL_FLOW!D44</f>
        <v>2027</v>
      </c>
      <c r="C44" s="366" t="s">
        <v>23</v>
      </c>
      <c r="D44" s="366" t="s">
        <v>23</v>
      </c>
      <c r="E44" s="381">
        <f>SUMIFS(DATA_CAPITAL_FLOW!$H$5:$H$293,DATA_CAPITAL_FLOW!$B$5:$B$293,"Portfolio",DATA_CAPITAL_FLOW!$D$5:$D$293,$B44,DATA_CAPITAL_FLOW!$F$5:$F$293,$C44)</f>
        <v>14972480.078304525</v>
      </c>
      <c r="F44" s="381">
        <f ca="1">SUMIFS(DATA_CAPITAL_FLOW!$H$294:$H$5206,DATA_CAPITAL_FLOW!$B$294:$B$5206,"Property",DATA_CAPITAL_FLOW!$D$294:$D$5206,$B44,DATA_CAPITAL_FLOW!$F$294:$F$5206,$C44)</f>
        <v>14972480.078304525</v>
      </c>
      <c r="G44" s="381">
        <f t="shared" ca="1" si="0"/>
        <v>0</v>
      </c>
      <c r="H44" s="348" t="str">
        <f t="shared" ca="1" si="1"/>
        <v>OK</v>
      </c>
      <c r="I44" s="366" t="s">
        <v>7171</v>
      </c>
    </row>
    <row r="45" spans="1:9">
      <c r="A45" s="366" t="s">
        <v>7211</v>
      </c>
      <c r="B45" s="348">
        <f>DATA_CAPITAL_FLOW!D45</f>
        <v>2027</v>
      </c>
      <c r="C45" s="366" t="s">
        <v>25</v>
      </c>
      <c r="D45" s="366" t="s">
        <v>1683</v>
      </c>
      <c r="E45" s="381">
        <f>SUMIFS(DATA_CAPITAL_FLOW!$H$5:$H$293,DATA_CAPITAL_FLOW!$B$5:$B$293,"Portfolio",DATA_CAPITAL_FLOW!$D$5:$D$293,$B45,DATA_CAPITAL_FLOW!$F$5:$F$293,$C45)</f>
        <v>-6004726.2946791984</v>
      </c>
      <c r="F45" s="381">
        <f ca="1">SUMIFS(DATA_CAPITAL_FLOW!$H$294:$H$5206,DATA_CAPITAL_FLOW!$B$294:$B$5206,"Property",DATA_CAPITAL_FLOW!$D$294:$D$5206,$B45,DATA_CAPITAL_FLOW!$F$294:$F$5206,$C45)</f>
        <v>-6004726.2946791966</v>
      </c>
      <c r="G45" s="381">
        <f t="shared" ca="1" si="0"/>
        <v>0</v>
      </c>
      <c r="H45" s="348" t="str">
        <f t="shared" ca="1" si="1"/>
        <v>OK</v>
      </c>
      <c r="I45" s="366" t="s">
        <v>7171</v>
      </c>
    </row>
    <row r="46" spans="1:9">
      <c r="A46" s="366" t="s">
        <v>7212</v>
      </c>
      <c r="B46" s="348">
        <f>DATA_CAPITAL_FLOW!D46</f>
        <v>2027</v>
      </c>
      <c r="C46" s="366" t="s">
        <v>27</v>
      </c>
      <c r="D46" s="366" t="s">
        <v>1683</v>
      </c>
      <c r="E46" s="381">
        <f>SUMIFS(DATA_CAPITAL_FLOW!$H$5:$H$293,DATA_CAPITAL_FLOW!$B$5:$B$293,"Portfolio",DATA_CAPITAL_FLOW!$D$5:$D$293,$B46,DATA_CAPITAL_FLOW!$F$5:$F$293,$C46)</f>
        <v>0</v>
      </c>
      <c r="F46" s="381">
        <f ca="1">SUMIFS(DATA_CAPITAL_FLOW!$H$294:$H$5206,DATA_CAPITAL_FLOW!$B$294:$B$5206,"Property",DATA_CAPITAL_FLOW!$D$294:$D$5206,$B46,DATA_CAPITAL_FLOW!$F$294:$F$5206,$C46)</f>
        <v>1599095.8705276174</v>
      </c>
      <c r="G46" s="381">
        <f t="shared" ca="1" si="0"/>
        <v>-1599095.8705276174</v>
      </c>
      <c r="H46" s="348" t="str">
        <f t="shared" ca="1" si="1"/>
        <v>CHECK</v>
      </c>
      <c r="I46" s="366" t="s">
        <v>7171</v>
      </c>
    </row>
    <row r="47" spans="1:9">
      <c r="A47" s="366" t="s">
        <v>7213</v>
      </c>
      <c r="B47" s="348">
        <f>DATA_CAPITAL_FLOW!D47</f>
        <v>2027</v>
      </c>
      <c r="C47" s="366" t="s">
        <v>29</v>
      </c>
      <c r="D47" s="366" t="s">
        <v>1683</v>
      </c>
      <c r="E47" s="381">
        <f>SUMIFS(DATA_CAPITAL_FLOW!$H$5:$H$293,DATA_CAPITAL_FLOW!$B$5:$B$293,"Portfolio",DATA_CAPITAL_FLOW!$D$5:$D$293,$B47,DATA_CAPITAL_FLOW!$F$5:$F$293,$C47)</f>
        <v>-6004726.2946791984</v>
      </c>
      <c r="F47" s="381">
        <f ca="1">SUMIFS(DATA_CAPITAL_FLOW!$H$294:$H$5206,DATA_CAPITAL_FLOW!$B$294:$B$5206,"Property",DATA_CAPITAL_FLOW!$D$294:$D$5206,$B47,DATA_CAPITAL_FLOW!$F$294:$F$5206,$C47)</f>
        <v>-7603822.1652068151</v>
      </c>
      <c r="G47" s="381">
        <f t="shared" ca="1" si="0"/>
        <v>1599095.8705276167</v>
      </c>
      <c r="H47" s="348" t="str">
        <f t="shared" ca="1" si="1"/>
        <v>CHECK</v>
      </c>
      <c r="I47" s="366" t="s">
        <v>7171</v>
      </c>
    </row>
    <row r="48" spans="1:9">
      <c r="A48" s="366" t="s">
        <v>7214</v>
      </c>
      <c r="B48" s="348">
        <f>DATA_CAPITAL_FLOW!D48</f>
        <v>2027</v>
      </c>
      <c r="C48" s="366" t="s">
        <v>31</v>
      </c>
      <c r="D48" s="366" t="s">
        <v>1721</v>
      </c>
      <c r="E48" s="381">
        <f>SUMIFS(DATA_CAPITAL_FLOW!$H$5:$H$293,DATA_CAPITAL_FLOW!$B$5:$B$293,"Portfolio",DATA_CAPITAL_FLOW!$D$5:$D$293,$B48,DATA_CAPITAL_FLOW!$F$5:$F$293,$C48)</f>
        <v>-129111359.44755185</v>
      </c>
      <c r="F48" s="381">
        <f ca="1">SUMIFS(DATA_CAPITAL_FLOW!$H$294:$H$5206,DATA_CAPITAL_FLOW!$B$294:$B$5206,"Property",DATA_CAPITAL_FLOW!$D$294:$D$5206,$B48,DATA_CAPITAL_FLOW!$F$294:$F$5206,$C48)</f>
        <v>-129111359.44755185</v>
      </c>
      <c r="G48" s="381">
        <f t="shared" ca="1" si="0"/>
        <v>0</v>
      </c>
      <c r="H48" s="348" t="str">
        <f t="shared" ca="1" si="1"/>
        <v>OK</v>
      </c>
      <c r="I48" s="366" t="s">
        <v>7171</v>
      </c>
    </row>
    <row r="49" spans="1:9">
      <c r="A49" s="366" t="s">
        <v>7215</v>
      </c>
      <c r="B49" s="348">
        <f>DATA_CAPITAL_FLOW!D49</f>
        <v>2027</v>
      </c>
      <c r="C49" s="366" t="s">
        <v>33</v>
      </c>
      <c r="D49" s="366" t="s">
        <v>1721</v>
      </c>
      <c r="E49" s="381">
        <f>SUMIFS(DATA_CAPITAL_FLOW!$H$5:$H$293,DATA_CAPITAL_FLOW!$B$5:$B$293,"Portfolio",DATA_CAPITAL_FLOW!$D$5:$D$293,$B49,DATA_CAPITAL_FLOW!$F$5:$F$293,$C49)</f>
        <v>58663640.484426588</v>
      </c>
      <c r="F49" s="381">
        <f ca="1">SUMIFS(DATA_CAPITAL_FLOW!$H$294:$H$5206,DATA_CAPITAL_FLOW!$B$294:$B$5206,"Property",DATA_CAPITAL_FLOW!$D$294:$D$5206,$B49,DATA_CAPITAL_FLOW!$F$294:$F$5206,$C49)</f>
        <v>58663640.484426588</v>
      </c>
      <c r="G49" s="381">
        <f t="shared" ca="1" si="0"/>
        <v>0</v>
      </c>
      <c r="H49" s="348" t="str">
        <f t="shared" ca="1" si="1"/>
        <v>OK</v>
      </c>
      <c r="I49" s="366" t="s">
        <v>7171</v>
      </c>
    </row>
    <row r="50" spans="1:9">
      <c r="A50" s="366" t="s">
        <v>7216</v>
      </c>
      <c r="B50" s="348">
        <f>DATA_CAPITAL_FLOW!D50</f>
        <v>2027</v>
      </c>
      <c r="C50" s="366" t="s">
        <v>35</v>
      </c>
      <c r="D50" s="366" t="s">
        <v>1721</v>
      </c>
      <c r="E50" s="381">
        <f>SUMIFS(DATA_CAPITAL_FLOW!$H$5:$H$293,DATA_CAPITAL_FLOW!$B$5:$B$293,"Portfolio",DATA_CAPITAL_FLOW!$D$5:$D$293,$B50,DATA_CAPITAL_FLOW!$F$5:$F$293,$C50)</f>
        <v>-70447718.963125259</v>
      </c>
      <c r="F50" s="381">
        <f ca="1">SUMIFS(DATA_CAPITAL_FLOW!$H$294:$H$5206,DATA_CAPITAL_FLOW!$B$294:$B$5206,"Property",DATA_CAPITAL_FLOW!$D$294:$D$5206,$B50,DATA_CAPITAL_FLOW!$F$294:$F$5206,$C50)</f>
        <v>-70447718.963125259</v>
      </c>
      <c r="G50" s="381">
        <f t="shared" ca="1" si="0"/>
        <v>0</v>
      </c>
      <c r="H50" s="348" t="str">
        <f t="shared" ca="1" si="1"/>
        <v>OK</v>
      </c>
      <c r="I50" s="366" t="s">
        <v>7171</v>
      </c>
    </row>
    <row r="51" spans="1:9">
      <c r="A51" s="366" t="s">
        <v>7217</v>
      </c>
      <c r="B51" s="348">
        <f>DATA_CAPITAL_FLOW!D51</f>
        <v>2027</v>
      </c>
      <c r="C51" s="366" t="s">
        <v>37</v>
      </c>
      <c r="D51" s="366" t="s">
        <v>1721</v>
      </c>
      <c r="E51" s="381">
        <f>SUMIFS(DATA_CAPITAL_FLOW!$H$5:$H$293,DATA_CAPITAL_FLOW!$B$5:$B$293,"Portfolio",DATA_CAPITAL_FLOW!$D$5:$D$293,$B51,DATA_CAPITAL_FLOW!$F$5:$F$293,$C51)</f>
        <v>0</v>
      </c>
      <c r="F51" s="381">
        <f ca="1">SUMIFS(DATA_CAPITAL_FLOW!$H$294:$H$5206,DATA_CAPITAL_FLOW!$B$294:$B$5206,"Property",DATA_CAPITAL_FLOW!$D$294:$D$5206,$B51,DATA_CAPITAL_FLOW!$F$294:$F$5206,$C51)</f>
        <v>0</v>
      </c>
      <c r="G51" s="381">
        <f t="shared" ca="1" si="0"/>
        <v>0</v>
      </c>
      <c r="H51" s="348" t="str">
        <f t="shared" ca="1" si="1"/>
        <v>OK</v>
      </c>
      <c r="I51" s="366" t="s">
        <v>7171</v>
      </c>
    </row>
    <row r="52" spans="1:9">
      <c r="A52" s="366" t="s">
        <v>7218</v>
      </c>
      <c r="B52" s="348">
        <f>DATA_CAPITAL_FLOW!D52</f>
        <v>2027</v>
      </c>
      <c r="C52" s="366" t="s">
        <v>39</v>
      </c>
      <c r="D52" s="366" t="s">
        <v>1721</v>
      </c>
      <c r="E52" s="381">
        <f>SUMIFS(DATA_CAPITAL_FLOW!$H$5:$H$293,DATA_CAPITAL_FLOW!$B$5:$B$293,"Portfolio",DATA_CAPITAL_FLOW!$D$5:$D$293,$B52,DATA_CAPITAL_FLOW!$F$5:$F$293,$C52)</f>
        <v>70447718.963125259</v>
      </c>
      <c r="F52" s="381">
        <f ca="1">SUMIFS(DATA_CAPITAL_FLOW!$H$294:$H$5206,DATA_CAPITAL_FLOW!$B$294:$B$5206,"Property",DATA_CAPITAL_FLOW!$D$294:$D$5206,$B52,DATA_CAPITAL_FLOW!$F$294:$F$5206,$C52)</f>
        <v>70447718.963125259</v>
      </c>
      <c r="G52" s="381">
        <f t="shared" ca="1" si="0"/>
        <v>0</v>
      </c>
      <c r="H52" s="348" t="str">
        <f t="shared" ca="1" si="1"/>
        <v>OK</v>
      </c>
      <c r="I52" s="366" t="s">
        <v>7171</v>
      </c>
    </row>
    <row r="53" spans="1:9">
      <c r="A53" s="366" t="s">
        <v>7219</v>
      </c>
      <c r="B53" s="348">
        <f>DATA_CAPITAL_FLOW!D53</f>
        <v>2027</v>
      </c>
      <c r="C53" s="366" t="s">
        <v>41</v>
      </c>
      <c r="D53" s="366" t="s">
        <v>1741</v>
      </c>
      <c r="E53" s="381">
        <f>SUMIFS(DATA_CAPITAL_FLOW!$H$5:$H$293,DATA_CAPITAL_FLOW!$B$5:$B$293,"Portfolio",DATA_CAPITAL_FLOW!$D$5:$D$293,$B53,DATA_CAPITAL_FLOW!$F$5:$F$293,$C53)</f>
        <v>-6004726.2946791984</v>
      </c>
      <c r="F53" s="381">
        <f ca="1">SUMIFS(DATA_CAPITAL_FLOW!$H$294:$H$5206,DATA_CAPITAL_FLOW!$B$294:$B$5206,"Property",DATA_CAPITAL_FLOW!$D$294:$D$5206,$B53,DATA_CAPITAL_FLOW!$F$294:$F$5206,$C53)</f>
        <v>-7603822.1652068151</v>
      </c>
      <c r="G53" s="381">
        <f t="shared" ca="1" si="0"/>
        <v>1599095.8705276167</v>
      </c>
      <c r="H53" s="348" t="str">
        <f t="shared" ca="1" si="1"/>
        <v>CHECK</v>
      </c>
      <c r="I53" s="366" t="s">
        <v>7171</v>
      </c>
    </row>
    <row r="54" spans="1:9">
      <c r="A54" s="366" t="s">
        <v>7220</v>
      </c>
      <c r="B54" s="348">
        <f>DATA_CAPITAL_FLOW!D54</f>
        <v>2027</v>
      </c>
      <c r="C54" s="366" t="s">
        <v>43</v>
      </c>
      <c r="D54" s="366" t="s">
        <v>1741</v>
      </c>
      <c r="E54" s="381">
        <f>SUMIFS(DATA_CAPITAL_FLOW!$H$5:$H$293,DATA_CAPITAL_FLOW!$B$5:$B$293,"Portfolio",DATA_CAPITAL_FLOW!$D$5:$D$293,$B54,DATA_CAPITAL_FLOW!$F$5:$F$293,$C54)</f>
        <v>-76452445.257804453</v>
      </c>
      <c r="F54" s="381">
        <f ca="1">SUMIFS(DATA_CAPITAL_FLOW!$H$294:$H$5206,DATA_CAPITAL_FLOW!$B$294:$B$5206,"Property",DATA_CAPITAL_FLOW!$D$294:$D$5206,$B54,DATA_CAPITAL_FLOW!$F$294:$F$5206,$C54)</f>
        <v>-78051541.128332078</v>
      </c>
      <c r="G54" s="381">
        <f t="shared" ca="1" si="0"/>
        <v>1599095.8705276251</v>
      </c>
      <c r="H54" s="348" t="str">
        <f t="shared" ca="1" si="1"/>
        <v>CHECK</v>
      </c>
      <c r="I54" s="366" t="s">
        <v>7171</v>
      </c>
    </row>
    <row r="55" spans="1:9">
      <c r="A55" s="366" t="s">
        <v>7221</v>
      </c>
      <c r="B55" s="348">
        <f>DATA_CAPITAL_FLOW!D55</f>
        <v>2027</v>
      </c>
      <c r="C55" s="366" t="s">
        <v>1749</v>
      </c>
      <c r="D55" s="366" t="s">
        <v>1741</v>
      </c>
      <c r="E55" s="381">
        <f>SUMIFS(DATA_CAPITAL_FLOW!$H$5:$H$293,DATA_CAPITAL_FLOW!$B$5:$B$293,"Portfolio",DATA_CAPITAL_FLOW!$D$5:$D$293,$B55,DATA_CAPITAL_FLOW!$F$5:$F$293,$C55)</f>
        <v>70447718.963125259</v>
      </c>
      <c r="F55" s="381">
        <f ca="1">SUMIFS(DATA_CAPITAL_FLOW!$H$294:$H$5206,DATA_CAPITAL_FLOW!$B$294:$B$5206,"Property",DATA_CAPITAL_FLOW!$D$294:$D$5206,$B55,DATA_CAPITAL_FLOW!$F$294:$F$5206,$C55)</f>
        <v>70447718.963125259</v>
      </c>
      <c r="G55" s="381">
        <f t="shared" ca="1" si="0"/>
        <v>0</v>
      </c>
      <c r="H55" s="348" t="str">
        <f t="shared" ca="1" si="1"/>
        <v>OK</v>
      </c>
      <c r="I55" s="366" t="s">
        <v>7171</v>
      </c>
    </row>
    <row r="56" spans="1:9">
      <c r="A56" s="366" t="s">
        <v>7222</v>
      </c>
      <c r="B56" s="348">
        <f>DATA_CAPITAL_FLOW!D56</f>
        <v>2028</v>
      </c>
      <c r="C56" s="366" t="s">
        <v>341</v>
      </c>
      <c r="D56" s="366" t="s">
        <v>1683</v>
      </c>
      <c r="E56" s="381">
        <f>SUMIFS(DATA_CAPITAL_FLOW!$H$5:$H$293,DATA_CAPITAL_FLOW!$B$5:$B$293,"Portfolio",DATA_CAPITAL_FLOW!$D$5:$D$293,$B56,DATA_CAPITAL_FLOW!$F$5:$F$293,$C56)</f>
        <v>16639747.709498363</v>
      </c>
      <c r="F56" s="381">
        <f ca="1">SUMIFS(DATA_CAPITAL_FLOW!$H$294:$H$5206,DATA_CAPITAL_FLOW!$B$294:$B$5206,"Property",DATA_CAPITAL_FLOW!$D$294:$D$5206,$B56,DATA_CAPITAL_FLOW!$F$294:$F$5206,$C56)</f>
        <v>16639747.709498361</v>
      </c>
      <c r="G56" s="381">
        <f t="shared" ca="1" si="0"/>
        <v>0</v>
      </c>
      <c r="H56" s="348" t="str">
        <f t="shared" ca="1" si="1"/>
        <v>OK</v>
      </c>
      <c r="I56" s="366" t="s">
        <v>7171</v>
      </c>
    </row>
    <row r="57" spans="1:9">
      <c r="A57" s="366" t="s">
        <v>7223</v>
      </c>
      <c r="B57" s="348">
        <f>DATA_CAPITAL_FLOW!D57</f>
        <v>2028</v>
      </c>
      <c r="C57" s="366" t="s">
        <v>355</v>
      </c>
      <c r="D57" s="366" t="s">
        <v>1683</v>
      </c>
      <c r="E57" s="381">
        <f>SUMIFS(DATA_CAPITAL_FLOW!$H$5:$H$293,DATA_CAPITAL_FLOW!$B$5:$B$293,"Portfolio",DATA_CAPITAL_FLOW!$D$5:$D$293,$B57,DATA_CAPITAL_FLOW!$F$5:$F$293,$C57)</f>
        <v>5313241.1105280006</v>
      </c>
      <c r="F57" s="381">
        <f ca="1">SUMIFS(DATA_CAPITAL_FLOW!$H$294:$H$5206,DATA_CAPITAL_FLOW!$B$294:$B$5206,"Property",DATA_CAPITAL_FLOW!$D$294:$D$5206,$B57,DATA_CAPITAL_FLOW!$F$294:$F$5206,$C57)</f>
        <v>5313241.1105280016</v>
      </c>
      <c r="G57" s="381">
        <f t="shared" ca="1" si="0"/>
        <v>0</v>
      </c>
      <c r="H57" s="348" t="str">
        <f t="shared" ca="1" si="1"/>
        <v>OK</v>
      </c>
      <c r="I57" s="366" t="s">
        <v>7171</v>
      </c>
    </row>
    <row r="58" spans="1:9">
      <c r="A58" s="366" t="s">
        <v>7224</v>
      </c>
      <c r="B58" s="348">
        <f>DATA_CAPITAL_FLOW!D58</f>
        <v>2028</v>
      </c>
      <c r="C58" s="366" t="s">
        <v>19</v>
      </c>
      <c r="D58" s="366" t="s">
        <v>1683</v>
      </c>
      <c r="E58" s="381">
        <f>SUMIFS(DATA_CAPITAL_FLOW!$H$5:$H$293,DATA_CAPITAL_FLOW!$B$5:$B$293,"Portfolio",DATA_CAPITAL_FLOW!$D$5:$D$293,$B58,DATA_CAPITAL_FLOW!$F$5:$F$293,$C58)</f>
        <v>11326506.598970361</v>
      </c>
      <c r="F58" s="381">
        <f ca="1">SUMIFS(DATA_CAPITAL_FLOW!$H$294:$H$5206,DATA_CAPITAL_FLOW!$B$294:$B$5206,"Property",DATA_CAPITAL_FLOW!$D$294:$D$5206,$B58,DATA_CAPITAL_FLOW!$F$294:$F$5206,$C58)</f>
        <v>11326506.598970361</v>
      </c>
      <c r="G58" s="381">
        <f t="shared" ca="1" si="0"/>
        <v>0</v>
      </c>
      <c r="H58" s="348" t="str">
        <f t="shared" ca="1" si="1"/>
        <v>OK</v>
      </c>
      <c r="I58" s="366" t="s">
        <v>7171</v>
      </c>
    </row>
    <row r="59" spans="1:9">
      <c r="A59" s="366" t="s">
        <v>7225</v>
      </c>
      <c r="B59" s="348">
        <f>DATA_CAPITAL_FLOW!D59</f>
        <v>2028</v>
      </c>
      <c r="C59" s="366" t="s">
        <v>1697</v>
      </c>
      <c r="D59" s="366" t="s">
        <v>1683</v>
      </c>
      <c r="E59" s="381">
        <f>SUMIFS(DATA_CAPITAL_FLOW!$H$5:$H$293,DATA_CAPITAL_FLOW!$B$5:$B$293,"Portfolio",DATA_CAPITAL_FLOW!$D$5:$D$293,$B59,DATA_CAPITAL_FLOW!$F$5:$F$293,$C59)</f>
        <v>156475.11959999998</v>
      </c>
      <c r="F59" s="381">
        <f ca="1">SUMIFS(DATA_CAPITAL_FLOW!$H$294:$H$5206,DATA_CAPITAL_FLOW!$B$294:$B$5206,"Property",DATA_CAPITAL_FLOW!$D$294:$D$5206,$B59,DATA_CAPITAL_FLOW!$F$294:$F$5206,$C59)</f>
        <v>156475.11959999998</v>
      </c>
      <c r="G59" s="381">
        <f t="shared" ca="1" si="0"/>
        <v>0</v>
      </c>
      <c r="H59" s="348" t="str">
        <f t="shared" ca="1" si="1"/>
        <v>OK</v>
      </c>
      <c r="I59" s="366" t="s">
        <v>7171</v>
      </c>
    </row>
    <row r="60" spans="1:9">
      <c r="A60" s="366" t="s">
        <v>7226</v>
      </c>
      <c r="B60" s="348">
        <f>DATA_CAPITAL_FLOW!D60</f>
        <v>2028</v>
      </c>
      <c r="C60" s="366" t="s">
        <v>21</v>
      </c>
      <c r="D60" s="366" t="s">
        <v>1683</v>
      </c>
      <c r="E60" s="381">
        <f>SUMIFS(DATA_CAPITAL_FLOW!$H$5:$H$293,DATA_CAPITAL_FLOW!$B$5:$B$293,"Portfolio",DATA_CAPITAL_FLOW!$D$5:$D$293,$B60,DATA_CAPITAL_FLOW!$F$5:$F$293,$C60)</f>
        <v>11170031.479370361</v>
      </c>
      <c r="F60" s="381">
        <f ca="1">SUMIFS(DATA_CAPITAL_FLOW!$H$294:$H$5206,DATA_CAPITAL_FLOW!$B$294:$B$5206,"Property",DATA_CAPITAL_FLOW!$D$294:$D$5206,$B60,DATA_CAPITAL_FLOW!$F$294:$F$5206,$C60)</f>
        <v>11170031.479370359</v>
      </c>
      <c r="G60" s="381">
        <f t="shared" ca="1" si="0"/>
        <v>0</v>
      </c>
      <c r="H60" s="348" t="str">
        <f t="shared" ca="1" si="1"/>
        <v>OK</v>
      </c>
      <c r="I60" s="366" t="s">
        <v>7171</v>
      </c>
    </row>
    <row r="61" spans="1:9">
      <c r="A61" s="366" t="s">
        <v>7227</v>
      </c>
      <c r="B61" s="348">
        <f>DATA_CAPITAL_FLOW!D61</f>
        <v>2028</v>
      </c>
      <c r="C61" s="366" t="s">
        <v>23</v>
      </c>
      <c r="D61" s="366" t="s">
        <v>23</v>
      </c>
      <c r="E61" s="381">
        <f>SUMIFS(DATA_CAPITAL_FLOW!$H$5:$H$293,DATA_CAPITAL_FLOW!$B$5:$B$293,"Portfolio",DATA_CAPITAL_FLOW!$D$5:$D$293,$B61,DATA_CAPITAL_FLOW!$F$5:$F$293,$C61)</f>
        <v>10725104.15131183</v>
      </c>
      <c r="F61" s="381">
        <f ca="1">SUMIFS(DATA_CAPITAL_FLOW!$H$294:$H$5206,DATA_CAPITAL_FLOW!$B$294:$B$5206,"Property",DATA_CAPITAL_FLOW!$D$294:$D$5206,$B61,DATA_CAPITAL_FLOW!$F$294:$F$5206,$C61)</f>
        <v>10725104.15131183</v>
      </c>
      <c r="G61" s="381">
        <f t="shared" ca="1" si="0"/>
        <v>0</v>
      </c>
      <c r="H61" s="348" t="str">
        <f t="shared" ca="1" si="1"/>
        <v>OK</v>
      </c>
      <c r="I61" s="366" t="s">
        <v>7171</v>
      </c>
    </row>
    <row r="62" spans="1:9">
      <c r="A62" s="366" t="s">
        <v>7228</v>
      </c>
      <c r="B62" s="348">
        <f>DATA_CAPITAL_FLOW!D62</f>
        <v>2028</v>
      </c>
      <c r="C62" s="366" t="s">
        <v>25</v>
      </c>
      <c r="D62" s="366" t="s">
        <v>1683</v>
      </c>
      <c r="E62" s="381">
        <f>SUMIFS(DATA_CAPITAL_FLOW!$H$5:$H$293,DATA_CAPITAL_FLOW!$B$5:$B$293,"Portfolio",DATA_CAPITAL_FLOW!$D$5:$D$293,$B62,DATA_CAPITAL_FLOW!$F$5:$F$293,$C62)</f>
        <v>601402.44765853137</v>
      </c>
      <c r="F62" s="381">
        <f ca="1">SUMIFS(DATA_CAPITAL_FLOW!$H$294:$H$5206,DATA_CAPITAL_FLOW!$B$294:$B$5206,"Property",DATA_CAPITAL_FLOW!$D$294:$D$5206,$B62,DATA_CAPITAL_FLOW!$F$294:$F$5206,$C62)</f>
        <v>601402.44765853044</v>
      </c>
      <c r="G62" s="381">
        <f t="shared" ca="1" si="0"/>
        <v>9.3132257461547852E-10</v>
      </c>
      <c r="H62" s="348" t="str">
        <f t="shared" ca="1" si="1"/>
        <v>OK</v>
      </c>
      <c r="I62" s="366" t="s">
        <v>7171</v>
      </c>
    </row>
    <row r="63" spans="1:9">
      <c r="A63" s="366" t="s">
        <v>7229</v>
      </c>
      <c r="B63" s="348">
        <f>DATA_CAPITAL_FLOW!D63</f>
        <v>2028</v>
      </c>
      <c r="C63" s="366" t="s">
        <v>27</v>
      </c>
      <c r="D63" s="366" t="s">
        <v>1683</v>
      </c>
      <c r="E63" s="381">
        <f>SUMIFS(DATA_CAPITAL_FLOW!$H$5:$H$293,DATA_CAPITAL_FLOW!$B$5:$B$293,"Portfolio",DATA_CAPITAL_FLOW!$D$5:$D$293,$B63,DATA_CAPITAL_FLOW!$F$5:$F$293,$C63)</f>
        <v>360841.46859511879</v>
      </c>
      <c r="F63" s="381">
        <f ca="1">SUMIFS(DATA_CAPITAL_FLOW!$H$294:$H$5206,DATA_CAPITAL_FLOW!$B$294:$B$5206,"Property",DATA_CAPITAL_FLOW!$D$294:$D$5206,$B63,DATA_CAPITAL_FLOW!$F$294:$F$5206,$C63)</f>
        <v>2747983.963740685</v>
      </c>
      <c r="G63" s="381">
        <f t="shared" ca="1" si="0"/>
        <v>-2387142.4951455663</v>
      </c>
      <c r="H63" s="348" t="str">
        <f t="shared" ca="1" si="1"/>
        <v>CHECK</v>
      </c>
      <c r="I63" s="366" t="s">
        <v>7171</v>
      </c>
    </row>
    <row r="64" spans="1:9">
      <c r="A64" s="366" t="s">
        <v>7230</v>
      </c>
      <c r="B64" s="348">
        <f>DATA_CAPITAL_FLOW!D64</f>
        <v>2028</v>
      </c>
      <c r="C64" s="366" t="s">
        <v>29</v>
      </c>
      <c r="D64" s="366" t="s">
        <v>1683</v>
      </c>
      <c r="E64" s="381">
        <f>SUMIFS(DATA_CAPITAL_FLOW!$H$5:$H$293,DATA_CAPITAL_FLOW!$B$5:$B$293,"Portfolio",DATA_CAPITAL_FLOW!$D$5:$D$293,$B64,DATA_CAPITAL_FLOW!$F$5:$F$293,$C64)</f>
        <v>240560.97906341258</v>
      </c>
      <c r="F64" s="381">
        <f ca="1">SUMIFS(DATA_CAPITAL_FLOW!$H$294:$H$5206,DATA_CAPITAL_FLOW!$B$294:$B$5206,"Property",DATA_CAPITAL_FLOW!$D$294:$D$5206,$B64,DATA_CAPITAL_FLOW!$F$294:$F$5206,$C64)</f>
        <v>-2146581.5160821551</v>
      </c>
      <c r="G64" s="381">
        <f t="shared" ca="1" si="0"/>
        <v>2387142.4951455677</v>
      </c>
      <c r="H64" s="348" t="str">
        <f t="shared" ca="1" si="1"/>
        <v>CHECK</v>
      </c>
      <c r="I64" s="366" t="s">
        <v>7171</v>
      </c>
    </row>
    <row r="65" spans="1:9">
      <c r="A65" s="366" t="s">
        <v>7231</v>
      </c>
      <c r="B65" s="348">
        <f>DATA_CAPITAL_FLOW!D65</f>
        <v>2028</v>
      </c>
      <c r="C65" s="366" t="s">
        <v>31</v>
      </c>
      <c r="D65" s="366" t="s">
        <v>1721</v>
      </c>
      <c r="E65" s="381">
        <f>SUMIFS(DATA_CAPITAL_FLOW!$H$5:$H$293,DATA_CAPITAL_FLOW!$B$5:$B$293,"Portfolio",DATA_CAPITAL_FLOW!$D$5:$D$293,$B65,DATA_CAPITAL_FLOW!$F$5:$F$293,$C65)</f>
        <v>-73225414.99050951</v>
      </c>
      <c r="F65" s="381">
        <f ca="1">SUMIFS(DATA_CAPITAL_FLOW!$H$294:$H$5206,DATA_CAPITAL_FLOW!$B$294:$B$5206,"Property",DATA_CAPITAL_FLOW!$D$294:$D$5206,$B65,DATA_CAPITAL_FLOW!$F$294:$F$5206,$C65)</f>
        <v>-73225414.99050951</v>
      </c>
      <c r="G65" s="381">
        <f t="shared" ca="1" si="0"/>
        <v>0</v>
      </c>
      <c r="H65" s="348" t="str">
        <f t="shared" ca="1" si="1"/>
        <v>OK</v>
      </c>
      <c r="I65" s="366" t="s">
        <v>7171</v>
      </c>
    </row>
    <row r="66" spans="1:9">
      <c r="A66" s="366" t="s">
        <v>7232</v>
      </c>
      <c r="B66" s="348">
        <f>DATA_CAPITAL_FLOW!D66</f>
        <v>2028</v>
      </c>
      <c r="C66" s="366" t="s">
        <v>33</v>
      </c>
      <c r="D66" s="366" t="s">
        <v>1721</v>
      </c>
      <c r="E66" s="381">
        <f>SUMIFS(DATA_CAPITAL_FLOW!$H$5:$H$293,DATA_CAPITAL_FLOW!$B$5:$B$293,"Portfolio",DATA_CAPITAL_FLOW!$D$5:$D$293,$B66,DATA_CAPITAL_FLOW!$F$5:$F$293,$C66)</f>
        <v>27724970.159803599</v>
      </c>
      <c r="F66" s="381">
        <f ca="1">SUMIFS(DATA_CAPITAL_FLOW!$H$294:$H$5206,DATA_CAPITAL_FLOW!$B$294:$B$5206,"Property",DATA_CAPITAL_FLOW!$D$294:$D$5206,$B66,DATA_CAPITAL_FLOW!$F$294:$F$5206,$C66)</f>
        <v>27724970.159803599</v>
      </c>
      <c r="G66" s="381">
        <f t="shared" ca="1" si="0"/>
        <v>0</v>
      </c>
      <c r="H66" s="348" t="str">
        <f t="shared" ca="1" si="1"/>
        <v>OK</v>
      </c>
      <c r="I66" s="366" t="s">
        <v>7171</v>
      </c>
    </row>
    <row r="67" spans="1:9">
      <c r="A67" s="366" t="s">
        <v>7233</v>
      </c>
      <c r="B67" s="348">
        <f>DATA_CAPITAL_FLOW!D67</f>
        <v>2028</v>
      </c>
      <c r="C67" s="366" t="s">
        <v>35</v>
      </c>
      <c r="D67" s="366" t="s">
        <v>1721</v>
      </c>
      <c r="E67" s="381">
        <f>SUMIFS(DATA_CAPITAL_FLOW!$H$5:$H$293,DATA_CAPITAL_FLOW!$B$5:$B$293,"Portfolio",DATA_CAPITAL_FLOW!$D$5:$D$293,$B67,DATA_CAPITAL_FLOW!$F$5:$F$293,$C67)</f>
        <v>-45500444.830705911</v>
      </c>
      <c r="F67" s="381">
        <f ca="1">SUMIFS(DATA_CAPITAL_FLOW!$H$294:$H$5206,DATA_CAPITAL_FLOW!$B$294:$B$5206,"Property",DATA_CAPITAL_FLOW!$D$294:$D$5206,$B67,DATA_CAPITAL_FLOW!$F$294:$F$5206,$C67)</f>
        <v>-45500444.830705918</v>
      </c>
      <c r="G67" s="381">
        <f t="shared" ca="1" si="0"/>
        <v>0</v>
      </c>
      <c r="H67" s="348" t="str">
        <f t="shared" ca="1" si="1"/>
        <v>OK</v>
      </c>
      <c r="I67" s="366" t="s">
        <v>7171</v>
      </c>
    </row>
    <row r="68" spans="1:9">
      <c r="A68" s="366" t="s">
        <v>7234</v>
      </c>
      <c r="B68" s="348">
        <f>DATA_CAPITAL_FLOW!D68</f>
        <v>2028</v>
      </c>
      <c r="C68" s="366" t="s">
        <v>37</v>
      </c>
      <c r="D68" s="366" t="s">
        <v>1721</v>
      </c>
      <c r="E68" s="381">
        <f>SUMIFS(DATA_CAPITAL_FLOW!$H$5:$H$293,DATA_CAPITAL_FLOW!$B$5:$B$293,"Portfolio",DATA_CAPITAL_FLOW!$D$5:$D$293,$B68,DATA_CAPITAL_FLOW!$F$5:$F$293,$C68)</f>
        <v>0</v>
      </c>
      <c r="F68" s="381">
        <f ca="1">SUMIFS(DATA_CAPITAL_FLOW!$H$294:$H$5206,DATA_CAPITAL_FLOW!$B$294:$B$5206,"Property",DATA_CAPITAL_FLOW!$D$294:$D$5206,$B68,DATA_CAPITAL_FLOW!$F$294:$F$5206,$C68)</f>
        <v>0</v>
      </c>
      <c r="G68" s="381">
        <f t="shared" ca="1" si="0"/>
        <v>0</v>
      </c>
      <c r="H68" s="348" t="str">
        <f t="shared" ca="1" si="1"/>
        <v>OK</v>
      </c>
      <c r="I68" s="366" t="s">
        <v>7171</v>
      </c>
    </row>
    <row r="69" spans="1:9">
      <c r="A69" s="366" t="s">
        <v>7235</v>
      </c>
      <c r="B69" s="348">
        <f>DATA_CAPITAL_FLOW!D69</f>
        <v>2028</v>
      </c>
      <c r="C69" s="366" t="s">
        <v>39</v>
      </c>
      <c r="D69" s="366" t="s">
        <v>1721</v>
      </c>
      <c r="E69" s="381">
        <f>SUMIFS(DATA_CAPITAL_FLOW!$H$5:$H$293,DATA_CAPITAL_FLOW!$B$5:$B$293,"Portfolio",DATA_CAPITAL_FLOW!$D$5:$D$293,$B69,DATA_CAPITAL_FLOW!$F$5:$F$293,$C69)</f>
        <v>45500444.830705911</v>
      </c>
      <c r="F69" s="381">
        <f ca="1">SUMIFS(DATA_CAPITAL_FLOW!$H$294:$H$5206,DATA_CAPITAL_FLOW!$B$294:$B$5206,"Property",DATA_CAPITAL_FLOW!$D$294:$D$5206,$B69,DATA_CAPITAL_FLOW!$F$294:$F$5206,$C69)</f>
        <v>45500444.830705918</v>
      </c>
      <c r="G69" s="381">
        <f t="shared" ref="G69:G132" ca="1" si="2">$E69-$F69</f>
        <v>0</v>
      </c>
      <c r="H69" s="348" t="str">
        <f t="shared" ref="H69:H132" ca="1" si="3">IF(ABS($G69)&lt;1,"OK","CHECK")</f>
        <v>OK</v>
      </c>
      <c r="I69" s="366" t="s">
        <v>7171</v>
      </c>
    </row>
    <row r="70" spans="1:9">
      <c r="A70" s="366" t="s">
        <v>7236</v>
      </c>
      <c r="B70" s="348">
        <f>DATA_CAPITAL_FLOW!D70</f>
        <v>2028</v>
      </c>
      <c r="C70" s="366" t="s">
        <v>41</v>
      </c>
      <c r="D70" s="366" t="s">
        <v>1741</v>
      </c>
      <c r="E70" s="381">
        <f>SUMIFS(DATA_CAPITAL_FLOW!$H$5:$H$293,DATA_CAPITAL_FLOW!$B$5:$B$293,"Portfolio",DATA_CAPITAL_FLOW!$D$5:$D$293,$B70,DATA_CAPITAL_FLOW!$F$5:$F$293,$C70)</f>
        <v>240560.97906341258</v>
      </c>
      <c r="F70" s="381">
        <f ca="1">SUMIFS(DATA_CAPITAL_FLOW!$H$294:$H$5206,DATA_CAPITAL_FLOW!$B$294:$B$5206,"Property",DATA_CAPITAL_FLOW!$D$294:$D$5206,$B70,DATA_CAPITAL_FLOW!$F$294:$F$5206,$C70)</f>
        <v>-2146581.5160821551</v>
      </c>
      <c r="G70" s="381">
        <f t="shared" ca="1" si="2"/>
        <v>2387142.4951455677</v>
      </c>
      <c r="H70" s="348" t="str">
        <f t="shared" ca="1" si="3"/>
        <v>CHECK</v>
      </c>
      <c r="I70" s="366" t="s">
        <v>7171</v>
      </c>
    </row>
    <row r="71" spans="1:9">
      <c r="A71" s="366" t="s">
        <v>7237</v>
      </c>
      <c r="B71" s="348">
        <f>DATA_CAPITAL_FLOW!D71</f>
        <v>2028</v>
      </c>
      <c r="C71" s="366" t="s">
        <v>43</v>
      </c>
      <c r="D71" s="366" t="s">
        <v>1741</v>
      </c>
      <c r="E71" s="381">
        <f>SUMIFS(DATA_CAPITAL_FLOW!$H$5:$H$293,DATA_CAPITAL_FLOW!$B$5:$B$293,"Portfolio",DATA_CAPITAL_FLOW!$D$5:$D$293,$B71,DATA_CAPITAL_FLOW!$F$5:$F$293,$C71)</f>
        <v>-45259883.851642497</v>
      </c>
      <c r="F71" s="381">
        <f ca="1">SUMIFS(DATA_CAPITAL_FLOW!$H$294:$H$5206,DATA_CAPITAL_FLOW!$B$294:$B$5206,"Property",DATA_CAPITAL_FLOW!$D$294:$D$5206,$B71,DATA_CAPITAL_FLOW!$F$294:$F$5206,$C71)</f>
        <v>-47647026.346788064</v>
      </c>
      <c r="G71" s="381">
        <f t="shared" ca="1" si="2"/>
        <v>2387142.4951455668</v>
      </c>
      <c r="H71" s="348" t="str">
        <f t="shared" ca="1" si="3"/>
        <v>CHECK</v>
      </c>
      <c r="I71" s="366" t="s">
        <v>7171</v>
      </c>
    </row>
    <row r="72" spans="1:9">
      <c r="A72" s="366" t="s">
        <v>7238</v>
      </c>
      <c r="B72" s="348">
        <f>DATA_CAPITAL_FLOW!D72</f>
        <v>2028</v>
      </c>
      <c r="C72" s="366" t="s">
        <v>1749</v>
      </c>
      <c r="D72" s="366" t="s">
        <v>1741</v>
      </c>
      <c r="E72" s="381">
        <f>SUMIFS(DATA_CAPITAL_FLOW!$H$5:$H$293,DATA_CAPITAL_FLOW!$B$5:$B$293,"Portfolio",DATA_CAPITAL_FLOW!$D$5:$D$293,$B72,DATA_CAPITAL_FLOW!$F$5:$F$293,$C72)</f>
        <v>45500444.830705911</v>
      </c>
      <c r="F72" s="381">
        <f ca="1">SUMIFS(DATA_CAPITAL_FLOW!$H$294:$H$5206,DATA_CAPITAL_FLOW!$B$294:$B$5206,"Property",DATA_CAPITAL_FLOW!$D$294:$D$5206,$B72,DATA_CAPITAL_FLOW!$F$294:$F$5206,$C72)</f>
        <v>45500444.830705918</v>
      </c>
      <c r="G72" s="381">
        <f t="shared" ca="1" si="2"/>
        <v>0</v>
      </c>
      <c r="H72" s="348" t="str">
        <f t="shared" ca="1" si="3"/>
        <v>OK</v>
      </c>
      <c r="I72" s="366" t="s">
        <v>7171</v>
      </c>
    </row>
    <row r="73" spans="1:9">
      <c r="A73" s="366" t="s">
        <v>7239</v>
      </c>
      <c r="B73" s="348">
        <f>DATA_CAPITAL_FLOW!D73</f>
        <v>2029</v>
      </c>
      <c r="C73" s="366" t="s">
        <v>341</v>
      </c>
      <c r="D73" s="366" t="s">
        <v>1683</v>
      </c>
      <c r="E73" s="381">
        <f>SUMIFS(DATA_CAPITAL_FLOW!$H$5:$H$293,DATA_CAPITAL_FLOW!$B$5:$B$293,"Portfolio",DATA_CAPITAL_FLOW!$D$5:$D$293,$B73,DATA_CAPITAL_FLOW!$F$5:$F$293,$C73)</f>
        <v>19179315.005583636</v>
      </c>
      <c r="F73" s="381">
        <f ca="1">SUMIFS(DATA_CAPITAL_FLOW!$H$294:$H$5206,DATA_CAPITAL_FLOW!$B$294:$B$5206,"Property",DATA_CAPITAL_FLOW!$D$294:$D$5206,$B73,DATA_CAPITAL_FLOW!$F$294:$F$5206,$C73)</f>
        <v>19179315.005583636</v>
      </c>
      <c r="G73" s="381">
        <f t="shared" ca="1" si="2"/>
        <v>0</v>
      </c>
      <c r="H73" s="348" t="str">
        <f t="shared" ca="1" si="3"/>
        <v>OK</v>
      </c>
      <c r="I73" s="366" t="s">
        <v>7171</v>
      </c>
    </row>
    <row r="74" spans="1:9">
      <c r="A74" s="366" t="s">
        <v>7240</v>
      </c>
      <c r="B74" s="348">
        <f>DATA_CAPITAL_FLOW!D74</f>
        <v>2029</v>
      </c>
      <c r="C74" s="366" t="s">
        <v>355</v>
      </c>
      <c r="D74" s="366" t="s">
        <v>1683</v>
      </c>
      <c r="E74" s="381">
        <f>SUMIFS(DATA_CAPITAL_FLOW!$H$5:$H$293,DATA_CAPITAL_FLOW!$B$5:$B$293,"Portfolio",DATA_CAPITAL_FLOW!$D$5:$D$293,$B74,DATA_CAPITAL_FLOW!$F$5:$F$293,$C74)</f>
        <v>6260967.1971225599</v>
      </c>
      <c r="F74" s="381">
        <f ca="1">SUMIFS(DATA_CAPITAL_FLOW!$H$294:$H$5206,DATA_CAPITAL_FLOW!$B$294:$B$5206,"Property",DATA_CAPITAL_FLOW!$D$294:$D$5206,$B74,DATA_CAPITAL_FLOW!$F$294:$F$5206,$C74)</f>
        <v>6260967.1971225599</v>
      </c>
      <c r="G74" s="381">
        <f t="shared" ca="1" si="2"/>
        <v>0</v>
      </c>
      <c r="H74" s="348" t="str">
        <f t="shared" ca="1" si="3"/>
        <v>OK</v>
      </c>
      <c r="I74" s="366" t="s">
        <v>7171</v>
      </c>
    </row>
    <row r="75" spans="1:9">
      <c r="A75" s="366" t="s">
        <v>7241</v>
      </c>
      <c r="B75" s="348">
        <f>DATA_CAPITAL_FLOW!D75</f>
        <v>2029</v>
      </c>
      <c r="C75" s="366" t="s">
        <v>19</v>
      </c>
      <c r="D75" s="366" t="s">
        <v>1683</v>
      </c>
      <c r="E75" s="381">
        <f>SUMIFS(DATA_CAPITAL_FLOW!$H$5:$H$293,DATA_CAPITAL_FLOW!$B$5:$B$293,"Portfolio",DATA_CAPITAL_FLOW!$D$5:$D$293,$B75,DATA_CAPITAL_FLOW!$F$5:$F$293,$C75)</f>
        <v>12918347.808461078</v>
      </c>
      <c r="F75" s="381">
        <f ca="1">SUMIFS(DATA_CAPITAL_FLOW!$H$294:$H$5206,DATA_CAPITAL_FLOW!$B$294:$B$5206,"Property",DATA_CAPITAL_FLOW!$D$294:$D$5206,$B75,DATA_CAPITAL_FLOW!$F$294:$F$5206,$C75)</f>
        <v>12918347.808461078</v>
      </c>
      <c r="G75" s="381">
        <f t="shared" ca="1" si="2"/>
        <v>0</v>
      </c>
      <c r="H75" s="348" t="str">
        <f t="shared" ca="1" si="3"/>
        <v>OK</v>
      </c>
      <c r="I75" s="366" t="s">
        <v>7171</v>
      </c>
    </row>
    <row r="76" spans="1:9">
      <c r="A76" s="366" t="s">
        <v>7242</v>
      </c>
      <c r="B76" s="348">
        <f>DATA_CAPITAL_FLOW!D76</f>
        <v>2029</v>
      </c>
      <c r="C76" s="366" t="s">
        <v>1697</v>
      </c>
      <c r="D76" s="366" t="s">
        <v>1683</v>
      </c>
      <c r="E76" s="381">
        <f>SUMIFS(DATA_CAPITAL_FLOW!$H$5:$H$293,DATA_CAPITAL_FLOW!$B$5:$B$293,"Portfolio",DATA_CAPITAL_FLOW!$D$5:$D$293,$B76,DATA_CAPITAL_FLOW!$F$5:$F$293,$C76)</f>
        <v>174704.550624</v>
      </c>
      <c r="F76" s="381">
        <f ca="1">SUMIFS(DATA_CAPITAL_FLOW!$H$294:$H$5206,DATA_CAPITAL_FLOW!$B$294:$B$5206,"Property",DATA_CAPITAL_FLOW!$D$294:$D$5206,$B76,DATA_CAPITAL_FLOW!$F$294:$F$5206,$C76)</f>
        <v>174704.550624</v>
      </c>
      <c r="G76" s="381">
        <f t="shared" ca="1" si="2"/>
        <v>0</v>
      </c>
      <c r="H76" s="348" t="str">
        <f t="shared" ca="1" si="3"/>
        <v>OK</v>
      </c>
      <c r="I76" s="366" t="s">
        <v>7171</v>
      </c>
    </row>
    <row r="77" spans="1:9">
      <c r="A77" s="366" t="s">
        <v>7243</v>
      </c>
      <c r="B77" s="348">
        <f>DATA_CAPITAL_FLOW!D77</f>
        <v>2029</v>
      </c>
      <c r="C77" s="366" t="s">
        <v>21</v>
      </c>
      <c r="D77" s="366" t="s">
        <v>1683</v>
      </c>
      <c r="E77" s="381">
        <f>SUMIFS(DATA_CAPITAL_FLOW!$H$5:$H$293,DATA_CAPITAL_FLOW!$B$5:$B$293,"Portfolio",DATA_CAPITAL_FLOW!$D$5:$D$293,$B77,DATA_CAPITAL_FLOW!$F$5:$F$293,$C77)</f>
        <v>12743643.257837078</v>
      </c>
      <c r="F77" s="381">
        <f ca="1">SUMIFS(DATA_CAPITAL_FLOW!$H$294:$H$5206,DATA_CAPITAL_FLOW!$B$294:$B$5206,"Property",DATA_CAPITAL_FLOW!$D$294:$D$5206,$B77,DATA_CAPITAL_FLOW!$F$294:$F$5206,$C77)</f>
        <v>12743643.257837076</v>
      </c>
      <c r="G77" s="381">
        <f t="shared" ca="1" si="2"/>
        <v>0</v>
      </c>
      <c r="H77" s="348" t="str">
        <f t="shared" ca="1" si="3"/>
        <v>OK</v>
      </c>
      <c r="I77" s="366" t="s">
        <v>7171</v>
      </c>
    </row>
    <row r="78" spans="1:9">
      <c r="A78" s="366" t="s">
        <v>7244</v>
      </c>
      <c r="B78" s="348">
        <f>DATA_CAPITAL_FLOW!D78</f>
        <v>2029</v>
      </c>
      <c r="C78" s="366" t="s">
        <v>23</v>
      </c>
      <c r="D78" s="366" t="s">
        <v>23</v>
      </c>
      <c r="E78" s="381">
        <f>SUMIFS(DATA_CAPITAL_FLOW!$H$5:$H$293,DATA_CAPITAL_FLOW!$B$5:$B$293,"Portfolio",DATA_CAPITAL_FLOW!$D$5:$D$293,$B78,DATA_CAPITAL_FLOW!$F$5:$F$293,$C78)</f>
        <v>8090648.3969786596</v>
      </c>
      <c r="F78" s="381">
        <f ca="1">SUMIFS(DATA_CAPITAL_FLOW!$H$294:$H$5206,DATA_CAPITAL_FLOW!$B$294:$B$5206,"Property",DATA_CAPITAL_FLOW!$D$294:$D$5206,$B78,DATA_CAPITAL_FLOW!$F$294:$F$5206,$C78)</f>
        <v>8090648.3969786596</v>
      </c>
      <c r="G78" s="381">
        <f t="shared" ca="1" si="2"/>
        <v>0</v>
      </c>
      <c r="H78" s="348" t="str">
        <f t="shared" ca="1" si="3"/>
        <v>OK</v>
      </c>
      <c r="I78" s="366" t="s">
        <v>7171</v>
      </c>
    </row>
    <row r="79" spans="1:9">
      <c r="A79" s="366" t="s">
        <v>7245</v>
      </c>
      <c r="B79" s="348">
        <f>DATA_CAPITAL_FLOW!D79</f>
        <v>2029</v>
      </c>
      <c r="C79" s="366" t="s">
        <v>25</v>
      </c>
      <c r="D79" s="366" t="s">
        <v>1683</v>
      </c>
      <c r="E79" s="381">
        <f>SUMIFS(DATA_CAPITAL_FLOW!$H$5:$H$293,DATA_CAPITAL_FLOW!$B$5:$B$293,"Portfolio",DATA_CAPITAL_FLOW!$D$5:$D$293,$B79,DATA_CAPITAL_FLOW!$F$5:$F$293,$C79)</f>
        <v>4827699.411482418</v>
      </c>
      <c r="F79" s="381">
        <f ca="1">SUMIFS(DATA_CAPITAL_FLOW!$H$294:$H$5206,DATA_CAPITAL_FLOW!$B$294:$B$5206,"Property",DATA_CAPITAL_FLOW!$D$294:$D$5206,$B79,DATA_CAPITAL_FLOW!$F$294:$F$5206,$C79)</f>
        <v>4827699.411482418</v>
      </c>
      <c r="G79" s="381">
        <f t="shared" ca="1" si="2"/>
        <v>0</v>
      </c>
      <c r="H79" s="348" t="str">
        <f t="shared" ca="1" si="3"/>
        <v>OK</v>
      </c>
      <c r="I79" s="366" t="s">
        <v>7171</v>
      </c>
    </row>
    <row r="80" spans="1:9">
      <c r="A80" s="366" t="s">
        <v>7246</v>
      </c>
      <c r="B80" s="348">
        <f>DATA_CAPITAL_FLOW!D80</f>
        <v>2029</v>
      </c>
      <c r="C80" s="366" t="s">
        <v>27</v>
      </c>
      <c r="D80" s="366" t="s">
        <v>1683</v>
      </c>
      <c r="E80" s="381">
        <f>SUMIFS(DATA_CAPITAL_FLOW!$H$5:$H$293,DATA_CAPITAL_FLOW!$B$5:$B$293,"Portfolio",DATA_CAPITAL_FLOW!$D$5:$D$293,$B80,DATA_CAPITAL_FLOW!$F$5:$F$293,$C80)</f>
        <v>2896619.6468894505</v>
      </c>
      <c r="F80" s="381">
        <f ca="1">SUMIFS(DATA_CAPITAL_FLOW!$H$294:$H$5206,DATA_CAPITAL_FLOW!$B$294:$B$5206,"Property",DATA_CAPITAL_FLOW!$D$294:$D$5206,$B80,DATA_CAPITAL_FLOW!$F$294:$F$5206,$C80)</f>
        <v>3265198.158843697</v>
      </c>
      <c r="G80" s="381">
        <f t="shared" ca="1" si="2"/>
        <v>-368578.51195424655</v>
      </c>
      <c r="H80" s="348" t="str">
        <f t="shared" ca="1" si="3"/>
        <v>CHECK</v>
      </c>
      <c r="I80" s="366" t="s">
        <v>7171</v>
      </c>
    </row>
    <row r="81" spans="1:9">
      <c r="A81" s="366" t="s">
        <v>7247</v>
      </c>
      <c r="B81" s="348">
        <f>DATA_CAPITAL_FLOW!D81</f>
        <v>2029</v>
      </c>
      <c r="C81" s="366" t="s">
        <v>29</v>
      </c>
      <c r="D81" s="366" t="s">
        <v>1683</v>
      </c>
      <c r="E81" s="381">
        <f>SUMIFS(DATA_CAPITAL_FLOW!$H$5:$H$293,DATA_CAPITAL_FLOW!$B$5:$B$293,"Portfolio",DATA_CAPITAL_FLOW!$D$5:$D$293,$B81,DATA_CAPITAL_FLOW!$F$5:$F$293,$C81)</f>
        <v>1931079.7645929675</v>
      </c>
      <c r="F81" s="381">
        <f ca="1">SUMIFS(DATA_CAPITAL_FLOW!$H$294:$H$5206,DATA_CAPITAL_FLOW!$B$294:$B$5206,"Property",DATA_CAPITAL_FLOW!$D$294:$D$5206,$B81,DATA_CAPITAL_FLOW!$F$294:$F$5206,$C81)</f>
        <v>1562501.25263872</v>
      </c>
      <c r="G81" s="381">
        <f t="shared" ca="1" si="2"/>
        <v>368578.51195424749</v>
      </c>
      <c r="H81" s="348" t="str">
        <f t="shared" ca="1" si="3"/>
        <v>CHECK</v>
      </c>
      <c r="I81" s="366" t="s">
        <v>7171</v>
      </c>
    </row>
    <row r="82" spans="1:9">
      <c r="A82" s="366" t="s">
        <v>7248</v>
      </c>
      <c r="B82" s="348">
        <f>DATA_CAPITAL_FLOW!D82</f>
        <v>2029</v>
      </c>
      <c r="C82" s="366" t="s">
        <v>31</v>
      </c>
      <c r="D82" s="366" t="s">
        <v>1721</v>
      </c>
      <c r="E82" s="381">
        <f>SUMIFS(DATA_CAPITAL_FLOW!$H$5:$H$293,DATA_CAPITAL_FLOW!$B$5:$B$293,"Portfolio",DATA_CAPITAL_FLOW!$D$5:$D$293,$B82,DATA_CAPITAL_FLOW!$F$5:$F$293,$C82)</f>
        <v>-35821320.972091272</v>
      </c>
      <c r="F82" s="381">
        <f ca="1">SUMIFS(DATA_CAPITAL_FLOW!$H$294:$H$5206,DATA_CAPITAL_FLOW!$B$294:$B$5206,"Property",DATA_CAPITAL_FLOW!$D$294:$D$5206,$B82,DATA_CAPITAL_FLOW!$F$294:$F$5206,$C82)</f>
        <v>-35821320.972091272</v>
      </c>
      <c r="G82" s="381">
        <f t="shared" ca="1" si="2"/>
        <v>0</v>
      </c>
      <c r="H82" s="348" t="str">
        <f t="shared" ca="1" si="3"/>
        <v>OK</v>
      </c>
      <c r="I82" s="366" t="s">
        <v>7171</v>
      </c>
    </row>
    <row r="83" spans="1:9">
      <c r="A83" s="366" t="s">
        <v>7249</v>
      </c>
      <c r="B83" s="348">
        <f>DATA_CAPITAL_FLOW!D83</f>
        <v>2029</v>
      </c>
      <c r="C83" s="366" t="s">
        <v>33</v>
      </c>
      <c r="D83" s="366" t="s">
        <v>1721</v>
      </c>
      <c r="E83" s="381">
        <f>SUMIFS(DATA_CAPITAL_FLOW!$H$5:$H$293,DATA_CAPITAL_FLOW!$B$5:$B$293,"Portfolio",DATA_CAPITAL_FLOW!$D$5:$D$293,$B83,DATA_CAPITAL_FLOW!$F$5:$F$293,$C83)</f>
        <v>18435922.196523327</v>
      </c>
      <c r="F83" s="381">
        <f ca="1">SUMIFS(DATA_CAPITAL_FLOW!$H$294:$H$5206,DATA_CAPITAL_FLOW!$B$294:$B$5206,"Property",DATA_CAPITAL_FLOW!$D$294:$D$5206,$B83,DATA_CAPITAL_FLOW!$F$294:$F$5206,$C83)</f>
        <v>18435922.196523327</v>
      </c>
      <c r="G83" s="381">
        <f t="shared" ca="1" si="2"/>
        <v>0</v>
      </c>
      <c r="H83" s="348" t="str">
        <f t="shared" ca="1" si="3"/>
        <v>OK</v>
      </c>
      <c r="I83" s="366" t="s">
        <v>7171</v>
      </c>
    </row>
    <row r="84" spans="1:9">
      <c r="A84" s="366" t="s">
        <v>7250</v>
      </c>
      <c r="B84" s="348">
        <f>DATA_CAPITAL_FLOW!D84</f>
        <v>2029</v>
      </c>
      <c r="C84" s="366" t="s">
        <v>35</v>
      </c>
      <c r="D84" s="366" t="s">
        <v>1721</v>
      </c>
      <c r="E84" s="381">
        <f>SUMIFS(DATA_CAPITAL_FLOW!$H$5:$H$293,DATA_CAPITAL_FLOW!$B$5:$B$293,"Portfolio",DATA_CAPITAL_FLOW!$D$5:$D$293,$B84,DATA_CAPITAL_FLOW!$F$5:$F$293,$C84)</f>
        <v>-17385398.775567945</v>
      </c>
      <c r="F84" s="381">
        <f ca="1">SUMIFS(DATA_CAPITAL_FLOW!$H$294:$H$5206,DATA_CAPITAL_FLOW!$B$294:$B$5206,"Property",DATA_CAPITAL_FLOW!$D$294:$D$5206,$B84,DATA_CAPITAL_FLOW!$F$294:$F$5206,$C84)</f>
        <v>-17385398.775567945</v>
      </c>
      <c r="G84" s="381">
        <f t="shared" ca="1" si="2"/>
        <v>0</v>
      </c>
      <c r="H84" s="348" t="str">
        <f t="shared" ca="1" si="3"/>
        <v>OK</v>
      </c>
      <c r="I84" s="366" t="s">
        <v>7171</v>
      </c>
    </row>
    <row r="85" spans="1:9">
      <c r="A85" s="366" t="s">
        <v>7251</v>
      </c>
      <c r="B85" s="348">
        <f>DATA_CAPITAL_FLOW!D85</f>
        <v>2029</v>
      </c>
      <c r="C85" s="366" t="s">
        <v>37</v>
      </c>
      <c r="D85" s="366" t="s">
        <v>1721</v>
      </c>
      <c r="E85" s="381">
        <f>SUMIFS(DATA_CAPITAL_FLOW!$H$5:$H$293,DATA_CAPITAL_FLOW!$B$5:$B$293,"Portfolio",DATA_CAPITAL_FLOW!$D$5:$D$293,$B85,DATA_CAPITAL_FLOW!$F$5:$F$293,$C85)</f>
        <v>0</v>
      </c>
      <c r="F85" s="381">
        <f ca="1">SUMIFS(DATA_CAPITAL_FLOW!$H$294:$H$5206,DATA_CAPITAL_FLOW!$B$294:$B$5206,"Property",DATA_CAPITAL_FLOW!$D$294:$D$5206,$B85,DATA_CAPITAL_FLOW!$F$294:$F$5206,$C85)</f>
        <v>0</v>
      </c>
      <c r="G85" s="381">
        <f t="shared" ca="1" si="2"/>
        <v>0</v>
      </c>
      <c r="H85" s="348" t="str">
        <f t="shared" ca="1" si="3"/>
        <v>OK</v>
      </c>
      <c r="I85" s="366" t="s">
        <v>7171</v>
      </c>
    </row>
    <row r="86" spans="1:9">
      <c r="A86" s="366" t="s">
        <v>7252</v>
      </c>
      <c r="B86" s="348">
        <f>DATA_CAPITAL_FLOW!D86</f>
        <v>2029</v>
      </c>
      <c r="C86" s="366" t="s">
        <v>39</v>
      </c>
      <c r="D86" s="366" t="s">
        <v>1721</v>
      </c>
      <c r="E86" s="381">
        <f>SUMIFS(DATA_CAPITAL_FLOW!$H$5:$H$293,DATA_CAPITAL_FLOW!$B$5:$B$293,"Portfolio",DATA_CAPITAL_FLOW!$D$5:$D$293,$B86,DATA_CAPITAL_FLOW!$F$5:$F$293,$C86)</f>
        <v>17385398.775567945</v>
      </c>
      <c r="F86" s="381">
        <f ca="1">SUMIFS(DATA_CAPITAL_FLOW!$H$294:$H$5206,DATA_CAPITAL_FLOW!$B$294:$B$5206,"Property",DATA_CAPITAL_FLOW!$D$294:$D$5206,$B86,DATA_CAPITAL_FLOW!$F$294:$F$5206,$C86)</f>
        <v>17385398.775567945</v>
      </c>
      <c r="G86" s="381">
        <f t="shared" ca="1" si="2"/>
        <v>0</v>
      </c>
      <c r="H86" s="348" t="str">
        <f t="shared" ca="1" si="3"/>
        <v>OK</v>
      </c>
      <c r="I86" s="366" t="s">
        <v>7171</v>
      </c>
    </row>
    <row r="87" spans="1:9">
      <c r="A87" s="366" t="s">
        <v>7253</v>
      </c>
      <c r="B87" s="348">
        <f>DATA_CAPITAL_FLOW!D87</f>
        <v>2029</v>
      </c>
      <c r="C87" s="366" t="s">
        <v>41</v>
      </c>
      <c r="D87" s="366" t="s">
        <v>1741</v>
      </c>
      <c r="E87" s="381">
        <f>SUMIFS(DATA_CAPITAL_FLOW!$H$5:$H$293,DATA_CAPITAL_FLOW!$B$5:$B$293,"Portfolio",DATA_CAPITAL_FLOW!$D$5:$D$293,$B87,DATA_CAPITAL_FLOW!$F$5:$F$293,$C87)</f>
        <v>1931079.7645929675</v>
      </c>
      <c r="F87" s="381">
        <f ca="1">SUMIFS(DATA_CAPITAL_FLOW!$H$294:$H$5206,DATA_CAPITAL_FLOW!$B$294:$B$5206,"Property",DATA_CAPITAL_FLOW!$D$294:$D$5206,$B87,DATA_CAPITAL_FLOW!$F$294:$F$5206,$C87)</f>
        <v>1562501.25263872</v>
      </c>
      <c r="G87" s="381">
        <f t="shared" ca="1" si="2"/>
        <v>368578.51195424749</v>
      </c>
      <c r="H87" s="348" t="str">
        <f t="shared" ca="1" si="3"/>
        <v>CHECK</v>
      </c>
      <c r="I87" s="366" t="s">
        <v>7171</v>
      </c>
    </row>
    <row r="88" spans="1:9">
      <c r="A88" s="366" t="s">
        <v>7254</v>
      </c>
      <c r="B88" s="348">
        <f>DATA_CAPITAL_FLOW!D88</f>
        <v>2029</v>
      </c>
      <c r="C88" s="366" t="s">
        <v>43</v>
      </c>
      <c r="D88" s="366" t="s">
        <v>1741</v>
      </c>
      <c r="E88" s="381">
        <f>SUMIFS(DATA_CAPITAL_FLOW!$H$5:$H$293,DATA_CAPITAL_FLOW!$B$5:$B$293,"Portfolio",DATA_CAPITAL_FLOW!$D$5:$D$293,$B88,DATA_CAPITAL_FLOW!$F$5:$F$293,$C88)</f>
        <v>-15454319.010974977</v>
      </c>
      <c r="F88" s="381">
        <f ca="1">SUMIFS(DATA_CAPITAL_FLOW!$H$294:$H$5206,DATA_CAPITAL_FLOW!$B$294:$B$5206,"Property",DATA_CAPITAL_FLOW!$D$294:$D$5206,$B88,DATA_CAPITAL_FLOW!$F$294:$F$5206,$C88)</f>
        <v>-15822897.522929225</v>
      </c>
      <c r="G88" s="381">
        <f t="shared" ca="1" si="2"/>
        <v>368578.51195424795</v>
      </c>
      <c r="H88" s="348" t="str">
        <f t="shared" ca="1" si="3"/>
        <v>CHECK</v>
      </c>
      <c r="I88" s="366" t="s">
        <v>7171</v>
      </c>
    </row>
    <row r="89" spans="1:9">
      <c r="A89" s="366" t="s">
        <v>7255</v>
      </c>
      <c r="B89" s="348">
        <f>DATA_CAPITAL_FLOW!D89</f>
        <v>2029</v>
      </c>
      <c r="C89" s="366" t="s">
        <v>1749</v>
      </c>
      <c r="D89" s="366" t="s">
        <v>1741</v>
      </c>
      <c r="E89" s="381">
        <f>SUMIFS(DATA_CAPITAL_FLOW!$H$5:$H$293,DATA_CAPITAL_FLOW!$B$5:$B$293,"Portfolio",DATA_CAPITAL_FLOW!$D$5:$D$293,$B89,DATA_CAPITAL_FLOW!$F$5:$F$293,$C89)</f>
        <v>17385398.775567945</v>
      </c>
      <c r="F89" s="381">
        <f ca="1">SUMIFS(DATA_CAPITAL_FLOW!$H$294:$H$5206,DATA_CAPITAL_FLOW!$B$294:$B$5206,"Property",DATA_CAPITAL_FLOW!$D$294:$D$5206,$B89,DATA_CAPITAL_FLOW!$F$294:$F$5206,$C89)</f>
        <v>17385398.775567945</v>
      </c>
      <c r="G89" s="381">
        <f t="shared" ca="1" si="2"/>
        <v>0</v>
      </c>
      <c r="H89" s="348" t="str">
        <f t="shared" ca="1" si="3"/>
        <v>OK</v>
      </c>
      <c r="I89" s="366" t="s">
        <v>7171</v>
      </c>
    </row>
    <row r="90" spans="1:9">
      <c r="A90" s="366" t="s">
        <v>7256</v>
      </c>
      <c r="B90" s="348">
        <f>DATA_CAPITAL_FLOW!D90</f>
        <v>2030</v>
      </c>
      <c r="C90" s="366" t="s">
        <v>341</v>
      </c>
      <c r="D90" s="366" t="s">
        <v>1683</v>
      </c>
      <c r="E90" s="381">
        <f>SUMIFS(DATA_CAPITAL_FLOW!$H$5:$H$293,DATA_CAPITAL_FLOW!$B$5:$B$293,"Portfolio",DATA_CAPITAL_FLOW!$D$5:$D$293,$B90,DATA_CAPITAL_FLOW!$F$5:$F$293,$C90)</f>
        <v>19559603.429695312</v>
      </c>
      <c r="F90" s="381">
        <f ca="1">SUMIFS(DATA_CAPITAL_FLOW!$H$294:$H$5206,DATA_CAPITAL_FLOW!$B$294:$B$5206,"Property",DATA_CAPITAL_FLOW!$D$294:$D$5206,$B90,DATA_CAPITAL_FLOW!$F$294:$F$5206,$C90)</f>
        <v>19559603.429695312</v>
      </c>
      <c r="G90" s="381">
        <f t="shared" ca="1" si="2"/>
        <v>0</v>
      </c>
      <c r="H90" s="348" t="str">
        <f t="shared" ca="1" si="3"/>
        <v>OK</v>
      </c>
      <c r="I90" s="366" t="s">
        <v>7171</v>
      </c>
    </row>
    <row r="91" spans="1:9">
      <c r="A91" s="366" t="s">
        <v>7257</v>
      </c>
      <c r="B91" s="348">
        <f>DATA_CAPITAL_FLOW!D91</f>
        <v>2030</v>
      </c>
      <c r="C91" s="366" t="s">
        <v>355</v>
      </c>
      <c r="D91" s="366" t="s">
        <v>1683</v>
      </c>
      <c r="E91" s="381">
        <f>SUMIFS(DATA_CAPITAL_FLOW!$H$5:$H$293,DATA_CAPITAL_FLOW!$B$5:$B$293,"Portfolio",DATA_CAPITAL_FLOW!$D$5:$D$293,$B91,DATA_CAPITAL_FLOW!$F$5:$F$293,$C91)</f>
        <v>6511405.8850074643</v>
      </c>
      <c r="F91" s="381">
        <f ca="1">SUMIFS(DATA_CAPITAL_FLOW!$H$294:$H$5206,DATA_CAPITAL_FLOW!$B$294:$B$5206,"Property",DATA_CAPITAL_FLOW!$D$294:$D$5206,$B91,DATA_CAPITAL_FLOW!$F$294:$F$5206,$C91)</f>
        <v>6511405.8850074625</v>
      </c>
      <c r="G91" s="381">
        <f t="shared" ca="1" si="2"/>
        <v>0</v>
      </c>
      <c r="H91" s="348" t="str">
        <f t="shared" ca="1" si="3"/>
        <v>OK</v>
      </c>
      <c r="I91" s="366" t="s">
        <v>7171</v>
      </c>
    </row>
    <row r="92" spans="1:9">
      <c r="A92" s="366" t="s">
        <v>7258</v>
      </c>
      <c r="B92" s="348">
        <f>DATA_CAPITAL_FLOW!D92</f>
        <v>2030</v>
      </c>
      <c r="C92" s="366" t="s">
        <v>19</v>
      </c>
      <c r="D92" s="366" t="s">
        <v>1683</v>
      </c>
      <c r="E92" s="381">
        <f>SUMIFS(DATA_CAPITAL_FLOW!$H$5:$H$293,DATA_CAPITAL_FLOW!$B$5:$B$293,"Portfolio",DATA_CAPITAL_FLOW!$D$5:$D$293,$B92,DATA_CAPITAL_FLOW!$F$5:$F$293,$C92)</f>
        <v>13048197.544687849</v>
      </c>
      <c r="F92" s="381">
        <f ca="1">SUMIFS(DATA_CAPITAL_FLOW!$H$294:$H$5206,DATA_CAPITAL_FLOW!$B$294:$B$5206,"Property",DATA_CAPITAL_FLOW!$D$294:$D$5206,$B92,DATA_CAPITAL_FLOW!$F$294:$F$5206,$C92)</f>
        <v>13048197.544687847</v>
      </c>
      <c r="G92" s="381">
        <f t="shared" ca="1" si="2"/>
        <v>0</v>
      </c>
      <c r="H92" s="348" t="str">
        <f t="shared" ca="1" si="3"/>
        <v>OK</v>
      </c>
      <c r="I92" s="366" t="s">
        <v>7171</v>
      </c>
    </row>
    <row r="93" spans="1:9">
      <c r="A93" s="366" t="s">
        <v>7259</v>
      </c>
      <c r="B93" s="348">
        <f>DATA_CAPITAL_FLOW!D93</f>
        <v>2030</v>
      </c>
      <c r="C93" s="366" t="s">
        <v>1697</v>
      </c>
      <c r="D93" s="366" t="s">
        <v>1683</v>
      </c>
      <c r="E93" s="381">
        <f>SUMIFS(DATA_CAPITAL_FLOW!$H$5:$H$293,DATA_CAPITAL_FLOW!$B$5:$B$293,"Portfolio",DATA_CAPITAL_FLOW!$D$5:$D$293,$B93,DATA_CAPITAL_FLOW!$F$5:$F$293,$C93)</f>
        <v>178198.64163648</v>
      </c>
      <c r="F93" s="381">
        <f ca="1">SUMIFS(DATA_CAPITAL_FLOW!$H$294:$H$5206,DATA_CAPITAL_FLOW!$B$294:$B$5206,"Property",DATA_CAPITAL_FLOW!$D$294:$D$5206,$B93,DATA_CAPITAL_FLOW!$F$294:$F$5206,$C93)</f>
        <v>178198.64163648</v>
      </c>
      <c r="G93" s="381">
        <f t="shared" ca="1" si="2"/>
        <v>0</v>
      </c>
      <c r="H93" s="348" t="str">
        <f t="shared" ca="1" si="3"/>
        <v>OK</v>
      </c>
      <c r="I93" s="366" t="s">
        <v>7171</v>
      </c>
    </row>
    <row r="94" spans="1:9">
      <c r="A94" s="366" t="s">
        <v>7260</v>
      </c>
      <c r="B94" s="348">
        <f>DATA_CAPITAL_FLOW!D94</f>
        <v>2030</v>
      </c>
      <c r="C94" s="366" t="s">
        <v>21</v>
      </c>
      <c r="D94" s="366" t="s">
        <v>1683</v>
      </c>
      <c r="E94" s="381">
        <f>SUMIFS(DATA_CAPITAL_FLOW!$H$5:$H$293,DATA_CAPITAL_FLOW!$B$5:$B$293,"Portfolio",DATA_CAPITAL_FLOW!$D$5:$D$293,$B94,DATA_CAPITAL_FLOW!$F$5:$F$293,$C94)</f>
        <v>12869998.903051369</v>
      </c>
      <c r="F94" s="381">
        <f ca="1">SUMIFS(DATA_CAPITAL_FLOW!$H$294:$H$5206,DATA_CAPITAL_FLOW!$B$294:$B$5206,"Property",DATA_CAPITAL_FLOW!$D$294:$D$5206,$B94,DATA_CAPITAL_FLOW!$F$294:$F$5206,$C94)</f>
        <v>12869998.903051365</v>
      </c>
      <c r="G94" s="381">
        <f t="shared" ca="1" si="2"/>
        <v>0</v>
      </c>
      <c r="H94" s="348" t="str">
        <f t="shared" ca="1" si="3"/>
        <v>OK</v>
      </c>
      <c r="I94" s="366" t="s">
        <v>7171</v>
      </c>
    </row>
    <row r="95" spans="1:9">
      <c r="A95" s="366" t="s">
        <v>7261</v>
      </c>
      <c r="B95" s="348">
        <f>DATA_CAPITAL_FLOW!D95</f>
        <v>2030</v>
      </c>
      <c r="C95" s="366" t="s">
        <v>23</v>
      </c>
      <c r="D95" s="366" t="s">
        <v>23</v>
      </c>
      <c r="E95" s="381">
        <f>SUMIFS(DATA_CAPITAL_FLOW!$H$5:$H$293,DATA_CAPITAL_FLOW!$B$5:$B$293,"Portfolio",DATA_CAPITAL_FLOW!$D$5:$D$293,$B95,DATA_CAPITAL_FLOW!$F$5:$F$293,$C95)</f>
        <v>7038269.5659003453</v>
      </c>
      <c r="F95" s="381">
        <f ca="1">SUMIFS(DATA_CAPITAL_FLOW!$H$294:$H$5206,DATA_CAPITAL_FLOW!$B$294:$B$5206,"Property",DATA_CAPITAL_FLOW!$D$294:$D$5206,$B95,DATA_CAPITAL_FLOW!$F$294:$F$5206,$C95)</f>
        <v>7038269.5659003453</v>
      </c>
      <c r="G95" s="381">
        <f t="shared" ca="1" si="2"/>
        <v>0</v>
      </c>
      <c r="H95" s="348" t="str">
        <f t="shared" ca="1" si="3"/>
        <v>OK</v>
      </c>
      <c r="I95" s="366" t="s">
        <v>7171</v>
      </c>
    </row>
    <row r="96" spans="1:9">
      <c r="A96" s="366" t="s">
        <v>7262</v>
      </c>
      <c r="B96" s="348">
        <f>DATA_CAPITAL_FLOW!D96</f>
        <v>2030</v>
      </c>
      <c r="C96" s="366" t="s">
        <v>25</v>
      </c>
      <c r="D96" s="366" t="s">
        <v>1683</v>
      </c>
      <c r="E96" s="381">
        <f>SUMIFS(DATA_CAPITAL_FLOW!$H$5:$H$293,DATA_CAPITAL_FLOW!$B$5:$B$293,"Portfolio",DATA_CAPITAL_FLOW!$D$5:$D$293,$B96,DATA_CAPITAL_FLOW!$F$5:$F$293,$C96)</f>
        <v>6009927.9787875032</v>
      </c>
      <c r="F96" s="381">
        <f ca="1">SUMIFS(DATA_CAPITAL_FLOW!$H$294:$H$5206,DATA_CAPITAL_FLOW!$B$294:$B$5206,"Property",DATA_CAPITAL_FLOW!$D$294:$D$5206,$B96,DATA_CAPITAL_FLOW!$F$294:$F$5206,$C96)</f>
        <v>6009927.9787875004</v>
      </c>
      <c r="G96" s="381">
        <f t="shared" ca="1" si="2"/>
        <v>0</v>
      </c>
      <c r="H96" s="348" t="str">
        <f t="shared" ca="1" si="3"/>
        <v>OK</v>
      </c>
      <c r="I96" s="366" t="s">
        <v>7171</v>
      </c>
    </row>
    <row r="97" spans="1:9">
      <c r="A97" s="366" t="s">
        <v>7263</v>
      </c>
      <c r="B97" s="348">
        <f>DATA_CAPITAL_FLOW!D97</f>
        <v>2030</v>
      </c>
      <c r="C97" s="366" t="s">
        <v>27</v>
      </c>
      <c r="D97" s="366" t="s">
        <v>1683</v>
      </c>
      <c r="E97" s="381">
        <f>SUMIFS(DATA_CAPITAL_FLOW!$H$5:$H$293,DATA_CAPITAL_FLOW!$B$5:$B$293,"Portfolio",DATA_CAPITAL_FLOW!$D$5:$D$293,$B97,DATA_CAPITAL_FLOW!$F$5:$F$293,$C97)</f>
        <v>3605956.7872725017</v>
      </c>
      <c r="F97" s="381">
        <f ca="1">SUMIFS(DATA_CAPITAL_FLOW!$H$294:$H$5206,DATA_CAPITAL_FLOW!$B$294:$B$5206,"Property",DATA_CAPITAL_FLOW!$D$294:$D$5206,$B97,DATA_CAPITAL_FLOW!$F$294:$F$5206,$C97)</f>
        <v>3640518.6777687781</v>
      </c>
      <c r="G97" s="381">
        <f t="shared" ca="1" si="2"/>
        <v>-34561.890496276319</v>
      </c>
      <c r="H97" s="348" t="str">
        <f t="shared" ca="1" si="3"/>
        <v>CHECK</v>
      </c>
      <c r="I97" s="366" t="s">
        <v>7171</v>
      </c>
    </row>
    <row r="98" spans="1:9">
      <c r="A98" s="366" t="s">
        <v>7264</v>
      </c>
      <c r="B98" s="348">
        <f>DATA_CAPITAL_FLOW!D98</f>
        <v>2030</v>
      </c>
      <c r="C98" s="366" t="s">
        <v>29</v>
      </c>
      <c r="D98" s="366" t="s">
        <v>1683</v>
      </c>
      <c r="E98" s="381">
        <f>SUMIFS(DATA_CAPITAL_FLOW!$H$5:$H$293,DATA_CAPITAL_FLOW!$B$5:$B$293,"Portfolio",DATA_CAPITAL_FLOW!$D$5:$D$293,$B98,DATA_CAPITAL_FLOW!$F$5:$F$293,$C98)</f>
        <v>2403971.1915150015</v>
      </c>
      <c r="F98" s="381">
        <f ca="1">SUMIFS(DATA_CAPITAL_FLOW!$H$294:$H$5206,DATA_CAPITAL_FLOW!$B$294:$B$5206,"Property",DATA_CAPITAL_FLOW!$D$294:$D$5206,$B98,DATA_CAPITAL_FLOW!$F$294:$F$5206,$C98)</f>
        <v>2369409.301018721</v>
      </c>
      <c r="G98" s="381">
        <f t="shared" ca="1" si="2"/>
        <v>34561.89049628051</v>
      </c>
      <c r="H98" s="348" t="str">
        <f t="shared" ca="1" si="3"/>
        <v>CHECK</v>
      </c>
      <c r="I98" s="366" t="s">
        <v>7171</v>
      </c>
    </row>
    <row r="99" spans="1:9">
      <c r="A99" s="366" t="s">
        <v>7265</v>
      </c>
      <c r="B99" s="348">
        <f>DATA_CAPITAL_FLOW!D99</f>
        <v>2030</v>
      </c>
      <c r="C99" s="366" t="s">
        <v>31</v>
      </c>
      <c r="D99" s="366" t="s">
        <v>1721</v>
      </c>
      <c r="E99" s="381">
        <f>SUMIFS(DATA_CAPITAL_FLOW!$H$5:$H$293,DATA_CAPITAL_FLOW!$B$5:$B$293,"Portfolio",DATA_CAPITAL_FLOW!$D$5:$D$293,$B99,DATA_CAPITAL_FLOW!$F$5:$F$293,$C99)</f>
        <v>0</v>
      </c>
      <c r="F99" s="381">
        <f ca="1">SUMIFS(DATA_CAPITAL_FLOW!$H$294:$H$5206,DATA_CAPITAL_FLOW!$B$294:$B$5206,"Property",DATA_CAPITAL_FLOW!$D$294:$D$5206,$B99,DATA_CAPITAL_FLOW!$F$294:$F$5206,$C99)</f>
        <v>0</v>
      </c>
      <c r="G99" s="381">
        <f t="shared" ca="1" si="2"/>
        <v>0</v>
      </c>
      <c r="H99" s="348" t="str">
        <f t="shared" ca="1" si="3"/>
        <v>OK</v>
      </c>
      <c r="I99" s="366" t="s">
        <v>7171</v>
      </c>
    </row>
    <row r="100" spans="1:9">
      <c r="A100" s="366" t="s">
        <v>7266</v>
      </c>
      <c r="B100" s="348">
        <f>DATA_CAPITAL_FLOW!D100</f>
        <v>2030</v>
      </c>
      <c r="C100" s="366" t="s">
        <v>33</v>
      </c>
      <c r="D100" s="366" t="s">
        <v>1721</v>
      </c>
      <c r="E100" s="381">
        <f>SUMIFS(DATA_CAPITAL_FLOW!$H$5:$H$293,DATA_CAPITAL_FLOW!$B$5:$B$293,"Portfolio",DATA_CAPITAL_FLOW!$D$5:$D$293,$B100,DATA_CAPITAL_FLOW!$F$5:$F$293,$C100)</f>
        <v>0</v>
      </c>
      <c r="F100" s="381">
        <f ca="1">SUMIFS(DATA_CAPITAL_FLOW!$H$294:$H$5206,DATA_CAPITAL_FLOW!$B$294:$B$5206,"Property",DATA_CAPITAL_FLOW!$D$294:$D$5206,$B100,DATA_CAPITAL_FLOW!$F$294:$F$5206,$C100)</f>
        <v>0</v>
      </c>
      <c r="G100" s="381">
        <f t="shared" ca="1" si="2"/>
        <v>0</v>
      </c>
      <c r="H100" s="348" t="str">
        <f t="shared" ca="1" si="3"/>
        <v>OK</v>
      </c>
      <c r="I100" s="366" t="s">
        <v>7171</v>
      </c>
    </row>
    <row r="101" spans="1:9">
      <c r="A101" s="366" t="s">
        <v>7267</v>
      </c>
      <c r="B101" s="348">
        <f>DATA_CAPITAL_FLOW!D101</f>
        <v>2030</v>
      </c>
      <c r="C101" s="366" t="s">
        <v>35</v>
      </c>
      <c r="D101" s="366" t="s">
        <v>1721</v>
      </c>
      <c r="E101" s="381">
        <f>SUMIFS(DATA_CAPITAL_FLOW!$H$5:$H$293,DATA_CAPITAL_FLOW!$B$5:$B$293,"Portfolio",DATA_CAPITAL_FLOW!$D$5:$D$293,$B101,DATA_CAPITAL_FLOW!$F$5:$F$293,$C101)</f>
        <v>0</v>
      </c>
      <c r="F101" s="381">
        <f ca="1">SUMIFS(DATA_CAPITAL_FLOW!$H$294:$H$5206,DATA_CAPITAL_FLOW!$B$294:$B$5206,"Property",DATA_CAPITAL_FLOW!$D$294:$D$5206,$B101,DATA_CAPITAL_FLOW!$F$294:$F$5206,$C101)</f>
        <v>0</v>
      </c>
      <c r="G101" s="381">
        <f t="shared" ca="1" si="2"/>
        <v>0</v>
      </c>
      <c r="H101" s="348" t="str">
        <f t="shared" ca="1" si="3"/>
        <v>OK</v>
      </c>
      <c r="I101" s="366" t="s">
        <v>7171</v>
      </c>
    </row>
    <row r="102" spans="1:9">
      <c r="A102" s="366" t="s">
        <v>7268</v>
      </c>
      <c r="B102" s="348">
        <f>DATA_CAPITAL_FLOW!D102</f>
        <v>2030</v>
      </c>
      <c r="C102" s="366" t="s">
        <v>37</v>
      </c>
      <c r="D102" s="366" t="s">
        <v>1721</v>
      </c>
      <c r="E102" s="381">
        <f>SUMIFS(DATA_CAPITAL_FLOW!$H$5:$H$293,DATA_CAPITAL_FLOW!$B$5:$B$293,"Portfolio",DATA_CAPITAL_FLOW!$D$5:$D$293,$B102,DATA_CAPITAL_FLOW!$F$5:$F$293,$C102)</f>
        <v>0</v>
      </c>
      <c r="F102" s="381">
        <f ca="1">SUMIFS(DATA_CAPITAL_FLOW!$H$294:$H$5206,DATA_CAPITAL_FLOW!$B$294:$B$5206,"Property",DATA_CAPITAL_FLOW!$D$294:$D$5206,$B102,DATA_CAPITAL_FLOW!$F$294:$F$5206,$C102)</f>
        <v>0</v>
      </c>
      <c r="G102" s="381">
        <f t="shared" ca="1" si="2"/>
        <v>0</v>
      </c>
      <c r="H102" s="348" t="str">
        <f t="shared" ca="1" si="3"/>
        <v>OK</v>
      </c>
      <c r="I102" s="366" t="s">
        <v>7171</v>
      </c>
    </row>
    <row r="103" spans="1:9">
      <c r="A103" s="366" t="s">
        <v>7269</v>
      </c>
      <c r="B103" s="348">
        <f>DATA_CAPITAL_FLOW!D103</f>
        <v>2030</v>
      </c>
      <c r="C103" s="366" t="s">
        <v>39</v>
      </c>
      <c r="D103" s="366" t="s">
        <v>1721</v>
      </c>
      <c r="E103" s="381">
        <f>SUMIFS(DATA_CAPITAL_FLOW!$H$5:$H$293,DATA_CAPITAL_FLOW!$B$5:$B$293,"Portfolio",DATA_CAPITAL_FLOW!$D$5:$D$293,$B103,DATA_CAPITAL_FLOW!$F$5:$F$293,$C103)</f>
        <v>0</v>
      </c>
      <c r="F103" s="381">
        <f ca="1">SUMIFS(DATA_CAPITAL_FLOW!$H$294:$H$5206,DATA_CAPITAL_FLOW!$B$294:$B$5206,"Property",DATA_CAPITAL_FLOW!$D$294:$D$5206,$B103,DATA_CAPITAL_FLOW!$F$294:$F$5206,$C103)</f>
        <v>0</v>
      </c>
      <c r="G103" s="381">
        <f t="shared" ca="1" si="2"/>
        <v>0</v>
      </c>
      <c r="H103" s="348" t="str">
        <f t="shared" ca="1" si="3"/>
        <v>OK</v>
      </c>
      <c r="I103" s="366" t="s">
        <v>7171</v>
      </c>
    </row>
    <row r="104" spans="1:9">
      <c r="A104" s="366" t="s">
        <v>7270</v>
      </c>
      <c r="B104" s="348">
        <f>DATA_CAPITAL_FLOW!D104</f>
        <v>2030</v>
      </c>
      <c r="C104" s="366" t="s">
        <v>41</v>
      </c>
      <c r="D104" s="366" t="s">
        <v>1741</v>
      </c>
      <c r="E104" s="381">
        <f>SUMIFS(DATA_CAPITAL_FLOW!$H$5:$H$293,DATA_CAPITAL_FLOW!$B$5:$B$293,"Portfolio",DATA_CAPITAL_FLOW!$D$5:$D$293,$B104,DATA_CAPITAL_FLOW!$F$5:$F$293,$C104)</f>
        <v>2403971.1915150015</v>
      </c>
      <c r="F104" s="381">
        <f ca="1">SUMIFS(DATA_CAPITAL_FLOW!$H$294:$H$5206,DATA_CAPITAL_FLOW!$B$294:$B$5206,"Property",DATA_CAPITAL_FLOW!$D$294:$D$5206,$B104,DATA_CAPITAL_FLOW!$F$294:$F$5206,$C104)</f>
        <v>2369409.301018721</v>
      </c>
      <c r="G104" s="381">
        <f t="shared" ca="1" si="2"/>
        <v>34561.89049628051</v>
      </c>
      <c r="H104" s="348" t="str">
        <f t="shared" ca="1" si="3"/>
        <v>CHECK</v>
      </c>
      <c r="I104" s="366" t="s">
        <v>7171</v>
      </c>
    </row>
    <row r="105" spans="1:9">
      <c r="A105" s="366" t="s">
        <v>7271</v>
      </c>
      <c r="B105" s="348">
        <f>DATA_CAPITAL_FLOW!D105</f>
        <v>2030</v>
      </c>
      <c r="C105" s="366" t="s">
        <v>43</v>
      </c>
      <c r="D105" s="366" t="s">
        <v>1741</v>
      </c>
      <c r="E105" s="381">
        <f>SUMIFS(DATA_CAPITAL_FLOW!$H$5:$H$293,DATA_CAPITAL_FLOW!$B$5:$B$293,"Portfolio",DATA_CAPITAL_FLOW!$D$5:$D$293,$B105,DATA_CAPITAL_FLOW!$F$5:$F$293,$C105)</f>
        <v>2403971.1915150015</v>
      </c>
      <c r="F105" s="381">
        <f ca="1">SUMIFS(DATA_CAPITAL_FLOW!$H$294:$H$5206,DATA_CAPITAL_FLOW!$B$294:$B$5206,"Property",DATA_CAPITAL_FLOW!$D$294:$D$5206,$B105,DATA_CAPITAL_FLOW!$F$294:$F$5206,$C105)</f>
        <v>2369409.301018721</v>
      </c>
      <c r="G105" s="381">
        <f t="shared" ca="1" si="2"/>
        <v>34561.89049628051</v>
      </c>
      <c r="H105" s="348" t="str">
        <f t="shared" ca="1" si="3"/>
        <v>CHECK</v>
      </c>
      <c r="I105" s="366" t="s">
        <v>7171</v>
      </c>
    </row>
    <row r="106" spans="1:9">
      <c r="A106" s="366" t="s">
        <v>7272</v>
      </c>
      <c r="B106" s="348">
        <f>DATA_CAPITAL_FLOW!D106</f>
        <v>2030</v>
      </c>
      <c r="C106" s="366" t="s">
        <v>1749</v>
      </c>
      <c r="D106" s="366" t="s">
        <v>1741</v>
      </c>
      <c r="E106" s="381">
        <f>SUMIFS(DATA_CAPITAL_FLOW!$H$5:$H$293,DATA_CAPITAL_FLOW!$B$5:$B$293,"Portfolio",DATA_CAPITAL_FLOW!$D$5:$D$293,$B106,DATA_CAPITAL_FLOW!$F$5:$F$293,$C106)</f>
        <v>0</v>
      </c>
      <c r="F106" s="381">
        <f ca="1">SUMIFS(DATA_CAPITAL_FLOW!$H$294:$H$5206,DATA_CAPITAL_FLOW!$B$294:$B$5206,"Property",DATA_CAPITAL_FLOW!$D$294:$D$5206,$B106,DATA_CAPITAL_FLOW!$F$294:$F$5206,$C106)</f>
        <v>0</v>
      </c>
      <c r="G106" s="381">
        <f t="shared" ca="1" si="2"/>
        <v>0</v>
      </c>
      <c r="H106" s="348" t="str">
        <f t="shared" ca="1" si="3"/>
        <v>OK</v>
      </c>
      <c r="I106" s="366" t="s">
        <v>7171</v>
      </c>
    </row>
    <row r="107" spans="1:9">
      <c r="A107" s="366" t="s">
        <v>7273</v>
      </c>
      <c r="B107" s="348">
        <f>DATA_CAPITAL_FLOW!D107</f>
        <v>2031</v>
      </c>
      <c r="C107" s="366" t="s">
        <v>341</v>
      </c>
      <c r="D107" s="366" t="s">
        <v>1683</v>
      </c>
      <c r="E107" s="381">
        <f>SUMIFS(DATA_CAPITAL_FLOW!$H$5:$H$293,DATA_CAPITAL_FLOW!$B$5:$B$293,"Portfolio",DATA_CAPITAL_FLOW!$D$5:$D$293,$B107,DATA_CAPITAL_FLOW!$F$5:$F$293,$C107)</f>
        <v>19947497.622289218</v>
      </c>
      <c r="F107" s="381">
        <f ca="1">SUMIFS(DATA_CAPITAL_FLOW!$H$294:$H$5206,DATA_CAPITAL_FLOW!$B$294:$B$5206,"Property",DATA_CAPITAL_FLOW!$D$294:$D$5206,$B107,DATA_CAPITAL_FLOW!$F$294:$F$5206,$C107)</f>
        <v>19947497.622289222</v>
      </c>
      <c r="G107" s="381">
        <f t="shared" ca="1" si="2"/>
        <v>0</v>
      </c>
      <c r="H107" s="348" t="str">
        <f t="shared" ca="1" si="3"/>
        <v>OK</v>
      </c>
      <c r="I107" s="366" t="s">
        <v>7171</v>
      </c>
    </row>
    <row r="108" spans="1:9">
      <c r="A108" s="366" t="s">
        <v>7274</v>
      </c>
      <c r="B108" s="348">
        <f>DATA_CAPITAL_FLOW!D108</f>
        <v>2031</v>
      </c>
      <c r="C108" s="366" t="s">
        <v>355</v>
      </c>
      <c r="D108" s="366" t="s">
        <v>1683</v>
      </c>
      <c r="E108" s="381">
        <f>SUMIFS(DATA_CAPITAL_FLOW!$H$5:$H$293,DATA_CAPITAL_FLOW!$B$5:$B$293,"Portfolio",DATA_CAPITAL_FLOW!$D$5:$D$293,$B108,DATA_CAPITAL_FLOW!$F$5:$F$293,$C108)</f>
        <v>6771862.1204077629</v>
      </c>
      <c r="F108" s="381">
        <f ca="1">SUMIFS(DATA_CAPITAL_FLOW!$H$294:$H$5206,DATA_CAPITAL_FLOW!$B$294:$B$5206,"Property",DATA_CAPITAL_FLOW!$D$294:$D$5206,$B108,DATA_CAPITAL_FLOW!$F$294:$F$5206,$C108)</f>
        <v>6771862.1204077639</v>
      </c>
      <c r="G108" s="381">
        <f t="shared" ca="1" si="2"/>
        <v>0</v>
      </c>
      <c r="H108" s="348" t="str">
        <f t="shared" ca="1" si="3"/>
        <v>OK</v>
      </c>
      <c r="I108" s="366" t="s">
        <v>7171</v>
      </c>
    </row>
    <row r="109" spans="1:9">
      <c r="A109" s="366" t="s">
        <v>7275</v>
      </c>
      <c r="B109" s="348">
        <f>DATA_CAPITAL_FLOW!D109</f>
        <v>2031</v>
      </c>
      <c r="C109" s="366" t="s">
        <v>19</v>
      </c>
      <c r="D109" s="366" t="s">
        <v>1683</v>
      </c>
      <c r="E109" s="381">
        <f>SUMIFS(DATA_CAPITAL_FLOW!$H$5:$H$293,DATA_CAPITAL_FLOW!$B$5:$B$293,"Portfolio",DATA_CAPITAL_FLOW!$D$5:$D$293,$B109,DATA_CAPITAL_FLOW!$F$5:$F$293,$C109)</f>
        <v>13175635.501881454</v>
      </c>
      <c r="F109" s="381">
        <f ca="1">SUMIFS(DATA_CAPITAL_FLOW!$H$294:$H$5206,DATA_CAPITAL_FLOW!$B$294:$B$5206,"Property",DATA_CAPITAL_FLOW!$D$294:$D$5206,$B109,DATA_CAPITAL_FLOW!$F$294:$F$5206,$C109)</f>
        <v>13175635.501881454</v>
      </c>
      <c r="G109" s="381">
        <f t="shared" ca="1" si="2"/>
        <v>0</v>
      </c>
      <c r="H109" s="348" t="str">
        <f t="shared" ca="1" si="3"/>
        <v>OK</v>
      </c>
      <c r="I109" s="366" t="s">
        <v>7171</v>
      </c>
    </row>
    <row r="110" spans="1:9">
      <c r="A110" s="366" t="s">
        <v>7276</v>
      </c>
      <c r="B110" s="348">
        <f>DATA_CAPITAL_FLOW!D110</f>
        <v>2031</v>
      </c>
      <c r="C110" s="366" t="s">
        <v>1697</v>
      </c>
      <c r="D110" s="366" t="s">
        <v>1683</v>
      </c>
      <c r="E110" s="381">
        <f>SUMIFS(DATA_CAPITAL_FLOW!$H$5:$H$293,DATA_CAPITAL_FLOW!$B$5:$B$293,"Portfolio",DATA_CAPITAL_FLOW!$D$5:$D$293,$B110,DATA_CAPITAL_FLOW!$F$5:$F$293,$C110)</f>
        <v>181762.6144692096</v>
      </c>
      <c r="F110" s="381">
        <f ca="1">SUMIFS(DATA_CAPITAL_FLOW!$H$294:$H$5206,DATA_CAPITAL_FLOW!$B$294:$B$5206,"Property",DATA_CAPITAL_FLOW!$D$294:$D$5206,$B110,DATA_CAPITAL_FLOW!$F$294:$F$5206,$C110)</f>
        <v>181762.6144692096</v>
      </c>
      <c r="G110" s="381">
        <f t="shared" ca="1" si="2"/>
        <v>0</v>
      </c>
      <c r="H110" s="348" t="str">
        <f t="shared" ca="1" si="3"/>
        <v>OK</v>
      </c>
      <c r="I110" s="366" t="s">
        <v>7171</v>
      </c>
    </row>
    <row r="111" spans="1:9">
      <c r="A111" s="366" t="s">
        <v>7277</v>
      </c>
      <c r="B111" s="348">
        <f>DATA_CAPITAL_FLOW!D111</f>
        <v>2031</v>
      </c>
      <c r="C111" s="366" t="s">
        <v>21</v>
      </c>
      <c r="D111" s="366" t="s">
        <v>1683</v>
      </c>
      <c r="E111" s="381">
        <f>SUMIFS(DATA_CAPITAL_FLOW!$H$5:$H$293,DATA_CAPITAL_FLOW!$B$5:$B$293,"Portfolio",DATA_CAPITAL_FLOW!$D$5:$D$293,$B111,DATA_CAPITAL_FLOW!$F$5:$F$293,$C111)</f>
        <v>12993872.887412244</v>
      </c>
      <c r="F111" s="381">
        <f ca="1">SUMIFS(DATA_CAPITAL_FLOW!$H$294:$H$5206,DATA_CAPITAL_FLOW!$B$294:$B$5206,"Property",DATA_CAPITAL_FLOW!$D$294:$D$5206,$B111,DATA_CAPITAL_FLOW!$F$294:$F$5206,$C111)</f>
        <v>12993872.887412246</v>
      </c>
      <c r="G111" s="381">
        <f t="shared" ca="1" si="2"/>
        <v>0</v>
      </c>
      <c r="H111" s="348" t="str">
        <f t="shared" ca="1" si="3"/>
        <v>OK</v>
      </c>
      <c r="I111" s="366" t="s">
        <v>7171</v>
      </c>
    </row>
    <row r="112" spans="1:9">
      <c r="A112" s="366" t="s">
        <v>7278</v>
      </c>
      <c r="B112" s="348">
        <f>DATA_CAPITAL_FLOW!D112</f>
        <v>2031</v>
      </c>
      <c r="C112" s="366" t="s">
        <v>23</v>
      </c>
      <c r="D112" s="366" t="s">
        <v>23</v>
      </c>
      <c r="E112" s="381">
        <f>SUMIFS(DATA_CAPITAL_FLOW!$H$5:$H$293,DATA_CAPITAL_FLOW!$B$5:$B$293,"Portfolio",DATA_CAPITAL_FLOW!$D$5:$D$293,$B112,DATA_CAPITAL_FLOW!$F$5:$F$293,$C112)</f>
        <v>7038269.5659003453</v>
      </c>
      <c r="F112" s="381">
        <f ca="1">SUMIFS(DATA_CAPITAL_FLOW!$H$294:$H$5206,DATA_CAPITAL_FLOW!$B$294:$B$5206,"Property",DATA_CAPITAL_FLOW!$D$294:$D$5206,$B112,DATA_CAPITAL_FLOW!$F$294:$F$5206,$C112)</f>
        <v>7038269.5659003453</v>
      </c>
      <c r="G112" s="381">
        <f t="shared" ca="1" si="2"/>
        <v>0</v>
      </c>
      <c r="H112" s="348" t="str">
        <f t="shared" ca="1" si="3"/>
        <v>OK</v>
      </c>
      <c r="I112" s="366" t="s">
        <v>7171</v>
      </c>
    </row>
    <row r="113" spans="1:9">
      <c r="A113" s="366" t="s">
        <v>7279</v>
      </c>
      <c r="B113" s="348">
        <f>DATA_CAPITAL_FLOW!D113</f>
        <v>2031</v>
      </c>
      <c r="C113" s="366" t="s">
        <v>25</v>
      </c>
      <c r="D113" s="366" t="s">
        <v>1683</v>
      </c>
      <c r="E113" s="381">
        <f>SUMIFS(DATA_CAPITAL_FLOW!$H$5:$H$293,DATA_CAPITAL_FLOW!$B$5:$B$293,"Portfolio",DATA_CAPITAL_FLOW!$D$5:$D$293,$B113,DATA_CAPITAL_FLOW!$F$5:$F$293,$C113)</f>
        <v>6137365.9359811088</v>
      </c>
      <c r="F113" s="381">
        <f ca="1">SUMIFS(DATA_CAPITAL_FLOW!$H$294:$H$5206,DATA_CAPITAL_FLOW!$B$294:$B$5206,"Property",DATA_CAPITAL_FLOW!$D$294:$D$5206,$B113,DATA_CAPITAL_FLOW!$F$294:$F$5206,$C113)</f>
        <v>6137365.9359811097</v>
      </c>
      <c r="G113" s="381">
        <f t="shared" ca="1" si="2"/>
        <v>0</v>
      </c>
      <c r="H113" s="348" t="str">
        <f t="shared" ca="1" si="3"/>
        <v>OK</v>
      </c>
      <c r="I113" s="366" t="s">
        <v>7171</v>
      </c>
    </row>
    <row r="114" spans="1:9">
      <c r="A114" s="366" t="s">
        <v>7280</v>
      </c>
      <c r="B114" s="348">
        <f>DATA_CAPITAL_FLOW!D114</f>
        <v>2031</v>
      </c>
      <c r="C114" s="366" t="s">
        <v>27</v>
      </c>
      <c r="D114" s="366" t="s">
        <v>1683</v>
      </c>
      <c r="E114" s="381">
        <f>SUMIFS(DATA_CAPITAL_FLOW!$H$5:$H$293,DATA_CAPITAL_FLOW!$B$5:$B$293,"Portfolio",DATA_CAPITAL_FLOW!$D$5:$D$293,$B114,DATA_CAPITAL_FLOW!$F$5:$F$293,$C114)</f>
        <v>3682419.561588665</v>
      </c>
      <c r="F114" s="381">
        <f ca="1">SUMIFS(DATA_CAPITAL_FLOW!$H$294:$H$5206,DATA_CAPITAL_FLOW!$B$294:$B$5206,"Property",DATA_CAPITAL_FLOW!$D$294:$D$5206,$B114,DATA_CAPITAL_FLOW!$F$294:$F$5206,$C114)</f>
        <v>3717326.4837259408</v>
      </c>
      <c r="G114" s="381">
        <f t="shared" ca="1" si="2"/>
        <v>-34906.922137275804</v>
      </c>
      <c r="H114" s="348" t="str">
        <f t="shared" ca="1" si="3"/>
        <v>CHECK</v>
      </c>
      <c r="I114" s="366" t="s">
        <v>7171</v>
      </c>
    </row>
    <row r="115" spans="1:9">
      <c r="A115" s="366" t="s">
        <v>7281</v>
      </c>
      <c r="B115" s="348">
        <f>DATA_CAPITAL_FLOW!D115</f>
        <v>2031</v>
      </c>
      <c r="C115" s="366" t="s">
        <v>29</v>
      </c>
      <c r="D115" s="366" t="s">
        <v>1683</v>
      </c>
      <c r="E115" s="381">
        <f>SUMIFS(DATA_CAPITAL_FLOW!$H$5:$H$293,DATA_CAPITAL_FLOW!$B$5:$B$293,"Portfolio",DATA_CAPITAL_FLOW!$D$5:$D$293,$B115,DATA_CAPITAL_FLOW!$F$5:$F$293,$C115)</f>
        <v>2454946.3743924438</v>
      </c>
      <c r="F115" s="381">
        <f ca="1">SUMIFS(DATA_CAPITAL_FLOW!$H$294:$H$5206,DATA_CAPITAL_FLOW!$B$294:$B$5206,"Property",DATA_CAPITAL_FLOW!$D$294:$D$5206,$B115,DATA_CAPITAL_FLOW!$F$294:$F$5206,$C115)</f>
        <v>2420039.452255168</v>
      </c>
      <c r="G115" s="381">
        <f t="shared" ca="1" si="2"/>
        <v>34906.922137275804</v>
      </c>
      <c r="H115" s="348" t="str">
        <f t="shared" ca="1" si="3"/>
        <v>CHECK</v>
      </c>
      <c r="I115" s="366" t="s">
        <v>7171</v>
      </c>
    </row>
    <row r="116" spans="1:9">
      <c r="A116" s="366" t="s">
        <v>7282</v>
      </c>
      <c r="B116" s="348">
        <f>DATA_CAPITAL_FLOW!D116</f>
        <v>2031</v>
      </c>
      <c r="C116" s="366" t="s">
        <v>31</v>
      </c>
      <c r="D116" s="366" t="s">
        <v>1721</v>
      </c>
      <c r="E116" s="381">
        <f>SUMIFS(DATA_CAPITAL_FLOW!$H$5:$H$293,DATA_CAPITAL_FLOW!$B$5:$B$293,"Portfolio",DATA_CAPITAL_FLOW!$D$5:$D$293,$B116,DATA_CAPITAL_FLOW!$F$5:$F$293,$C116)</f>
        <v>0</v>
      </c>
      <c r="F116" s="381">
        <f ca="1">SUMIFS(DATA_CAPITAL_FLOW!$H$294:$H$5206,DATA_CAPITAL_FLOW!$B$294:$B$5206,"Property",DATA_CAPITAL_FLOW!$D$294:$D$5206,$B116,DATA_CAPITAL_FLOW!$F$294:$F$5206,$C116)</f>
        <v>0</v>
      </c>
      <c r="G116" s="381">
        <f t="shared" ca="1" si="2"/>
        <v>0</v>
      </c>
      <c r="H116" s="348" t="str">
        <f t="shared" ca="1" si="3"/>
        <v>OK</v>
      </c>
      <c r="I116" s="366" t="s">
        <v>7171</v>
      </c>
    </row>
    <row r="117" spans="1:9">
      <c r="A117" s="366" t="s">
        <v>7283</v>
      </c>
      <c r="B117" s="348">
        <f>DATA_CAPITAL_FLOW!D117</f>
        <v>2031</v>
      </c>
      <c r="C117" s="366" t="s">
        <v>33</v>
      </c>
      <c r="D117" s="366" t="s">
        <v>1721</v>
      </c>
      <c r="E117" s="381">
        <f>SUMIFS(DATA_CAPITAL_FLOW!$H$5:$H$293,DATA_CAPITAL_FLOW!$B$5:$B$293,"Portfolio",DATA_CAPITAL_FLOW!$D$5:$D$293,$B117,DATA_CAPITAL_FLOW!$F$5:$F$293,$C117)</f>
        <v>0</v>
      </c>
      <c r="F117" s="381">
        <f ca="1">SUMIFS(DATA_CAPITAL_FLOW!$H$294:$H$5206,DATA_CAPITAL_FLOW!$B$294:$B$5206,"Property",DATA_CAPITAL_FLOW!$D$294:$D$5206,$B117,DATA_CAPITAL_FLOW!$F$294:$F$5206,$C117)</f>
        <v>0</v>
      </c>
      <c r="G117" s="381">
        <f t="shared" ca="1" si="2"/>
        <v>0</v>
      </c>
      <c r="H117" s="348" t="str">
        <f t="shared" ca="1" si="3"/>
        <v>OK</v>
      </c>
      <c r="I117" s="366" t="s">
        <v>7171</v>
      </c>
    </row>
    <row r="118" spans="1:9">
      <c r="A118" s="366" t="s">
        <v>7284</v>
      </c>
      <c r="B118" s="348">
        <f>DATA_CAPITAL_FLOW!D118</f>
        <v>2031</v>
      </c>
      <c r="C118" s="366" t="s">
        <v>35</v>
      </c>
      <c r="D118" s="366" t="s">
        <v>1721</v>
      </c>
      <c r="E118" s="381">
        <f>SUMIFS(DATA_CAPITAL_FLOW!$H$5:$H$293,DATA_CAPITAL_FLOW!$B$5:$B$293,"Portfolio",DATA_CAPITAL_FLOW!$D$5:$D$293,$B118,DATA_CAPITAL_FLOW!$F$5:$F$293,$C118)</f>
        <v>0</v>
      </c>
      <c r="F118" s="381">
        <f ca="1">SUMIFS(DATA_CAPITAL_FLOW!$H$294:$H$5206,DATA_CAPITAL_FLOW!$B$294:$B$5206,"Property",DATA_CAPITAL_FLOW!$D$294:$D$5206,$B118,DATA_CAPITAL_FLOW!$F$294:$F$5206,$C118)</f>
        <v>0</v>
      </c>
      <c r="G118" s="381">
        <f t="shared" ca="1" si="2"/>
        <v>0</v>
      </c>
      <c r="H118" s="348" t="str">
        <f t="shared" ca="1" si="3"/>
        <v>OK</v>
      </c>
      <c r="I118" s="366" t="s">
        <v>7171</v>
      </c>
    </row>
    <row r="119" spans="1:9">
      <c r="A119" s="366" t="s">
        <v>7285</v>
      </c>
      <c r="B119" s="348">
        <f>DATA_CAPITAL_FLOW!D119</f>
        <v>2031</v>
      </c>
      <c r="C119" s="366" t="s">
        <v>37</v>
      </c>
      <c r="D119" s="366" t="s">
        <v>1721</v>
      </c>
      <c r="E119" s="381">
        <f>SUMIFS(DATA_CAPITAL_FLOW!$H$5:$H$293,DATA_CAPITAL_FLOW!$B$5:$B$293,"Portfolio",DATA_CAPITAL_FLOW!$D$5:$D$293,$B119,DATA_CAPITAL_FLOW!$F$5:$F$293,$C119)</f>
        <v>0</v>
      </c>
      <c r="F119" s="381">
        <f ca="1">SUMIFS(DATA_CAPITAL_FLOW!$H$294:$H$5206,DATA_CAPITAL_FLOW!$B$294:$B$5206,"Property",DATA_CAPITAL_FLOW!$D$294:$D$5206,$B119,DATA_CAPITAL_FLOW!$F$294:$F$5206,$C119)</f>
        <v>0</v>
      </c>
      <c r="G119" s="381">
        <f t="shared" ca="1" si="2"/>
        <v>0</v>
      </c>
      <c r="H119" s="348" t="str">
        <f t="shared" ca="1" si="3"/>
        <v>OK</v>
      </c>
      <c r="I119" s="366" t="s">
        <v>7171</v>
      </c>
    </row>
    <row r="120" spans="1:9">
      <c r="A120" s="366" t="s">
        <v>7286</v>
      </c>
      <c r="B120" s="348">
        <f>DATA_CAPITAL_FLOW!D120</f>
        <v>2031</v>
      </c>
      <c r="C120" s="366" t="s">
        <v>39</v>
      </c>
      <c r="D120" s="366" t="s">
        <v>1721</v>
      </c>
      <c r="E120" s="381">
        <f>SUMIFS(DATA_CAPITAL_FLOW!$H$5:$H$293,DATA_CAPITAL_FLOW!$B$5:$B$293,"Portfolio",DATA_CAPITAL_FLOW!$D$5:$D$293,$B120,DATA_CAPITAL_FLOW!$F$5:$F$293,$C120)</f>
        <v>0</v>
      </c>
      <c r="F120" s="381">
        <f ca="1">SUMIFS(DATA_CAPITAL_FLOW!$H$294:$H$5206,DATA_CAPITAL_FLOW!$B$294:$B$5206,"Property",DATA_CAPITAL_FLOW!$D$294:$D$5206,$B120,DATA_CAPITAL_FLOW!$F$294:$F$5206,$C120)</f>
        <v>0</v>
      </c>
      <c r="G120" s="381">
        <f t="shared" ca="1" si="2"/>
        <v>0</v>
      </c>
      <c r="H120" s="348" t="str">
        <f t="shared" ca="1" si="3"/>
        <v>OK</v>
      </c>
      <c r="I120" s="366" t="s">
        <v>7171</v>
      </c>
    </row>
    <row r="121" spans="1:9">
      <c r="A121" s="366" t="s">
        <v>7287</v>
      </c>
      <c r="B121" s="348">
        <f>DATA_CAPITAL_FLOW!D121</f>
        <v>2031</v>
      </c>
      <c r="C121" s="366" t="s">
        <v>41</v>
      </c>
      <c r="D121" s="366" t="s">
        <v>1741</v>
      </c>
      <c r="E121" s="381">
        <f>SUMIFS(DATA_CAPITAL_FLOW!$H$5:$H$293,DATA_CAPITAL_FLOW!$B$5:$B$293,"Portfolio",DATA_CAPITAL_FLOW!$D$5:$D$293,$B121,DATA_CAPITAL_FLOW!$F$5:$F$293,$C121)</f>
        <v>2454946.3743924438</v>
      </c>
      <c r="F121" s="381">
        <f ca="1">SUMIFS(DATA_CAPITAL_FLOW!$H$294:$H$5206,DATA_CAPITAL_FLOW!$B$294:$B$5206,"Property",DATA_CAPITAL_FLOW!$D$294:$D$5206,$B121,DATA_CAPITAL_FLOW!$F$294:$F$5206,$C121)</f>
        <v>2420039.452255168</v>
      </c>
      <c r="G121" s="381">
        <f t="shared" ca="1" si="2"/>
        <v>34906.922137275804</v>
      </c>
      <c r="H121" s="348" t="str">
        <f t="shared" ca="1" si="3"/>
        <v>CHECK</v>
      </c>
      <c r="I121" s="366" t="s">
        <v>7171</v>
      </c>
    </row>
    <row r="122" spans="1:9">
      <c r="A122" s="366" t="s">
        <v>7288</v>
      </c>
      <c r="B122" s="348">
        <f>DATA_CAPITAL_FLOW!D122</f>
        <v>2031</v>
      </c>
      <c r="C122" s="366" t="s">
        <v>43</v>
      </c>
      <c r="D122" s="366" t="s">
        <v>1741</v>
      </c>
      <c r="E122" s="381">
        <f>SUMIFS(DATA_CAPITAL_FLOW!$H$5:$H$293,DATA_CAPITAL_FLOW!$B$5:$B$293,"Portfolio",DATA_CAPITAL_FLOW!$D$5:$D$293,$B122,DATA_CAPITAL_FLOW!$F$5:$F$293,$C122)</f>
        <v>2454946.3743924438</v>
      </c>
      <c r="F122" s="381">
        <f ca="1">SUMIFS(DATA_CAPITAL_FLOW!$H$294:$H$5206,DATA_CAPITAL_FLOW!$B$294:$B$5206,"Property",DATA_CAPITAL_FLOW!$D$294:$D$5206,$B122,DATA_CAPITAL_FLOW!$F$294:$F$5206,$C122)</f>
        <v>2420039.452255168</v>
      </c>
      <c r="G122" s="381">
        <f t="shared" ca="1" si="2"/>
        <v>34906.922137275804</v>
      </c>
      <c r="H122" s="348" t="str">
        <f t="shared" ca="1" si="3"/>
        <v>CHECK</v>
      </c>
      <c r="I122" s="366" t="s">
        <v>7171</v>
      </c>
    </row>
    <row r="123" spans="1:9">
      <c r="A123" s="366" t="s">
        <v>7289</v>
      </c>
      <c r="B123" s="348">
        <f>DATA_CAPITAL_FLOW!D123</f>
        <v>2031</v>
      </c>
      <c r="C123" s="366" t="s">
        <v>1749</v>
      </c>
      <c r="D123" s="366" t="s">
        <v>1741</v>
      </c>
      <c r="E123" s="381">
        <f>SUMIFS(DATA_CAPITAL_FLOW!$H$5:$H$293,DATA_CAPITAL_FLOW!$B$5:$B$293,"Portfolio",DATA_CAPITAL_FLOW!$D$5:$D$293,$B123,DATA_CAPITAL_FLOW!$F$5:$F$293,$C123)</f>
        <v>0</v>
      </c>
      <c r="F123" s="381">
        <f ca="1">SUMIFS(DATA_CAPITAL_FLOW!$H$294:$H$5206,DATA_CAPITAL_FLOW!$B$294:$B$5206,"Property",DATA_CAPITAL_FLOW!$D$294:$D$5206,$B123,DATA_CAPITAL_FLOW!$F$294:$F$5206,$C123)</f>
        <v>0</v>
      </c>
      <c r="G123" s="381">
        <f t="shared" ca="1" si="2"/>
        <v>0</v>
      </c>
      <c r="H123" s="348" t="str">
        <f t="shared" ca="1" si="3"/>
        <v>OK</v>
      </c>
      <c r="I123" s="366" t="s">
        <v>7171</v>
      </c>
    </row>
    <row r="124" spans="1:9">
      <c r="A124" s="366" t="s">
        <v>7290</v>
      </c>
      <c r="B124" s="348">
        <f>DATA_CAPITAL_FLOW!D124</f>
        <v>2032</v>
      </c>
      <c r="C124" s="366" t="s">
        <v>341</v>
      </c>
      <c r="D124" s="366" t="s">
        <v>1683</v>
      </c>
      <c r="E124" s="381">
        <f>SUMIFS(DATA_CAPITAL_FLOW!$H$5:$H$293,DATA_CAPITAL_FLOW!$B$5:$B$293,"Portfolio",DATA_CAPITAL_FLOW!$D$5:$D$293,$B124,DATA_CAPITAL_FLOW!$F$5:$F$293,$C124)</f>
        <v>20343149.698734999</v>
      </c>
      <c r="F124" s="381">
        <f ca="1">SUMIFS(DATA_CAPITAL_FLOW!$H$294:$H$5206,DATA_CAPITAL_FLOW!$B$294:$B$5206,"Property",DATA_CAPITAL_FLOW!$D$294:$D$5206,$B124,DATA_CAPITAL_FLOW!$F$294:$F$5206,$C124)</f>
        <v>20343149.698735002</v>
      </c>
      <c r="G124" s="381">
        <f t="shared" ca="1" si="2"/>
        <v>0</v>
      </c>
      <c r="H124" s="348" t="str">
        <f t="shared" ca="1" si="3"/>
        <v>OK</v>
      </c>
      <c r="I124" s="366" t="s">
        <v>7171</v>
      </c>
    </row>
    <row r="125" spans="1:9">
      <c r="A125" s="366" t="s">
        <v>7291</v>
      </c>
      <c r="B125" s="348">
        <f>DATA_CAPITAL_FLOW!D125</f>
        <v>2032</v>
      </c>
      <c r="C125" s="366" t="s">
        <v>355</v>
      </c>
      <c r="D125" s="366" t="s">
        <v>1683</v>
      </c>
      <c r="E125" s="381">
        <f>SUMIFS(DATA_CAPITAL_FLOW!$H$5:$H$293,DATA_CAPITAL_FLOW!$B$5:$B$293,"Portfolio",DATA_CAPITAL_FLOW!$D$5:$D$293,$B125,DATA_CAPITAL_FLOW!$F$5:$F$293,$C125)</f>
        <v>7042736.6052240711</v>
      </c>
      <c r="F125" s="381">
        <f ca="1">SUMIFS(DATA_CAPITAL_FLOW!$H$294:$H$5206,DATA_CAPITAL_FLOW!$B$294:$B$5206,"Property",DATA_CAPITAL_FLOW!$D$294:$D$5206,$B125,DATA_CAPITAL_FLOW!$F$294:$F$5206,$C125)</f>
        <v>7042736.6052240729</v>
      </c>
      <c r="G125" s="381">
        <f t="shared" ca="1" si="2"/>
        <v>0</v>
      </c>
      <c r="H125" s="348" t="str">
        <f t="shared" ca="1" si="3"/>
        <v>OK</v>
      </c>
      <c r="I125" s="366" t="s">
        <v>7171</v>
      </c>
    </row>
    <row r="126" spans="1:9">
      <c r="A126" s="366" t="s">
        <v>7292</v>
      </c>
      <c r="B126" s="348">
        <f>DATA_CAPITAL_FLOW!D126</f>
        <v>2032</v>
      </c>
      <c r="C126" s="366" t="s">
        <v>19</v>
      </c>
      <c r="D126" s="366" t="s">
        <v>1683</v>
      </c>
      <c r="E126" s="381">
        <f>SUMIFS(DATA_CAPITAL_FLOW!$H$5:$H$293,DATA_CAPITAL_FLOW!$B$5:$B$293,"Portfolio",DATA_CAPITAL_FLOW!$D$5:$D$293,$B126,DATA_CAPITAL_FLOW!$F$5:$F$293,$C126)</f>
        <v>13300413.093510928</v>
      </c>
      <c r="F126" s="381">
        <f ca="1">SUMIFS(DATA_CAPITAL_FLOW!$H$294:$H$5206,DATA_CAPITAL_FLOW!$B$294:$B$5206,"Property",DATA_CAPITAL_FLOW!$D$294:$D$5206,$B126,DATA_CAPITAL_FLOW!$F$294:$F$5206,$C126)</f>
        <v>13300413.093510926</v>
      </c>
      <c r="G126" s="381">
        <f t="shared" ca="1" si="2"/>
        <v>0</v>
      </c>
      <c r="H126" s="348" t="str">
        <f t="shared" ca="1" si="3"/>
        <v>OK</v>
      </c>
      <c r="I126" s="366" t="s">
        <v>7171</v>
      </c>
    </row>
    <row r="127" spans="1:9">
      <c r="A127" s="366" t="s">
        <v>7293</v>
      </c>
      <c r="B127" s="348">
        <f>DATA_CAPITAL_FLOW!D127</f>
        <v>2032</v>
      </c>
      <c r="C127" s="366" t="s">
        <v>1697</v>
      </c>
      <c r="D127" s="366" t="s">
        <v>1683</v>
      </c>
      <c r="E127" s="381">
        <f>SUMIFS(DATA_CAPITAL_FLOW!$H$5:$H$293,DATA_CAPITAL_FLOW!$B$5:$B$293,"Portfolio",DATA_CAPITAL_FLOW!$D$5:$D$293,$B127,DATA_CAPITAL_FLOW!$F$5:$F$293,$C127)</f>
        <v>185397.86675859377</v>
      </c>
      <c r="F127" s="381">
        <f ca="1">SUMIFS(DATA_CAPITAL_FLOW!$H$294:$H$5206,DATA_CAPITAL_FLOW!$B$294:$B$5206,"Property",DATA_CAPITAL_FLOW!$D$294:$D$5206,$B127,DATA_CAPITAL_FLOW!$F$294:$F$5206,$C127)</f>
        <v>185397.86675859377</v>
      </c>
      <c r="G127" s="381">
        <f t="shared" ca="1" si="2"/>
        <v>0</v>
      </c>
      <c r="H127" s="348" t="str">
        <f t="shared" ca="1" si="3"/>
        <v>OK</v>
      </c>
      <c r="I127" s="366" t="s">
        <v>7171</v>
      </c>
    </row>
    <row r="128" spans="1:9">
      <c r="A128" s="366" t="s">
        <v>7294</v>
      </c>
      <c r="B128" s="348">
        <f>DATA_CAPITAL_FLOW!D128</f>
        <v>2032</v>
      </c>
      <c r="C128" s="366" t="s">
        <v>21</v>
      </c>
      <c r="D128" s="366" t="s">
        <v>1683</v>
      </c>
      <c r="E128" s="381">
        <f>SUMIFS(DATA_CAPITAL_FLOW!$H$5:$H$293,DATA_CAPITAL_FLOW!$B$5:$B$293,"Portfolio",DATA_CAPITAL_FLOW!$D$5:$D$293,$B128,DATA_CAPITAL_FLOW!$F$5:$F$293,$C128)</f>
        <v>13115015.226752333</v>
      </c>
      <c r="F128" s="381">
        <f ca="1">SUMIFS(DATA_CAPITAL_FLOW!$H$294:$H$5206,DATA_CAPITAL_FLOW!$B$294:$B$5206,"Property",DATA_CAPITAL_FLOW!$D$294:$D$5206,$B128,DATA_CAPITAL_FLOW!$F$294:$F$5206,$C128)</f>
        <v>13115015.22675233</v>
      </c>
      <c r="G128" s="381">
        <f t="shared" ca="1" si="2"/>
        <v>0</v>
      </c>
      <c r="H128" s="348" t="str">
        <f t="shared" ca="1" si="3"/>
        <v>OK</v>
      </c>
      <c r="I128" s="366" t="s">
        <v>7171</v>
      </c>
    </row>
    <row r="129" spans="1:9">
      <c r="A129" s="366" t="s">
        <v>7295</v>
      </c>
      <c r="B129" s="348">
        <f>DATA_CAPITAL_FLOW!D129</f>
        <v>2032</v>
      </c>
      <c r="C129" s="366" t="s">
        <v>23</v>
      </c>
      <c r="D129" s="366" t="s">
        <v>23</v>
      </c>
      <c r="E129" s="381">
        <f>SUMIFS(DATA_CAPITAL_FLOW!$H$5:$H$293,DATA_CAPITAL_FLOW!$B$5:$B$293,"Portfolio",DATA_CAPITAL_FLOW!$D$5:$D$293,$B129,DATA_CAPITAL_FLOW!$F$5:$F$293,$C129)</f>
        <v>6893528.242005555</v>
      </c>
      <c r="F129" s="381">
        <f ca="1">SUMIFS(DATA_CAPITAL_FLOW!$H$294:$H$5206,DATA_CAPITAL_FLOW!$B$294:$B$5206,"Property",DATA_CAPITAL_FLOW!$D$294:$D$5206,$B129,DATA_CAPITAL_FLOW!$F$294:$F$5206,$C129)</f>
        <v>6893528.242005555</v>
      </c>
      <c r="G129" s="381">
        <f t="shared" ca="1" si="2"/>
        <v>0</v>
      </c>
      <c r="H129" s="348" t="str">
        <f t="shared" ca="1" si="3"/>
        <v>OK</v>
      </c>
      <c r="I129" s="366" t="s">
        <v>7171</v>
      </c>
    </row>
    <row r="130" spans="1:9">
      <c r="A130" s="366" t="s">
        <v>7296</v>
      </c>
      <c r="B130" s="348">
        <f>DATA_CAPITAL_FLOW!D130</f>
        <v>2032</v>
      </c>
      <c r="C130" s="366" t="s">
        <v>25</v>
      </c>
      <c r="D130" s="366" t="s">
        <v>1683</v>
      </c>
      <c r="E130" s="381">
        <f>SUMIFS(DATA_CAPITAL_FLOW!$H$5:$H$293,DATA_CAPITAL_FLOW!$B$5:$B$293,"Portfolio",DATA_CAPITAL_FLOW!$D$5:$D$293,$B130,DATA_CAPITAL_FLOW!$F$5:$F$293,$C130)</f>
        <v>6406884.8515053727</v>
      </c>
      <c r="F130" s="381">
        <f ca="1">SUMIFS(DATA_CAPITAL_FLOW!$H$294:$H$5206,DATA_CAPITAL_FLOW!$B$294:$B$5206,"Property",DATA_CAPITAL_FLOW!$D$294:$D$5206,$B130,DATA_CAPITAL_FLOW!$F$294:$F$5206,$C130)</f>
        <v>6406884.8515053708</v>
      </c>
      <c r="G130" s="381">
        <f t="shared" ca="1" si="2"/>
        <v>0</v>
      </c>
      <c r="H130" s="348" t="str">
        <f t="shared" ca="1" si="3"/>
        <v>OK</v>
      </c>
      <c r="I130" s="366" t="s">
        <v>7171</v>
      </c>
    </row>
    <row r="131" spans="1:9">
      <c r="A131" s="366" t="s">
        <v>7297</v>
      </c>
      <c r="B131" s="348">
        <f>DATA_CAPITAL_FLOW!D131</f>
        <v>2032</v>
      </c>
      <c r="C131" s="366" t="s">
        <v>27</v>
      </c>
      <c r="D131" s="366" t="s">
        <v>1683</v>
      </c>
      <c r="E131" s="381">
        <f>SUMIFS(DATA_CAPITAL_FLOW!$H$5:$H$293,DATA_CAPITAL_FLOW!$B$5:$B$293,"Portfolio",DATA_CAPITAL_FLOW!$D$5:$D$293,$B131,DATA_CAPITAL_FLOW!$F$5:$F$293,$C131)</f>
        <v>3844130.9109032233</v>
      </c>
      <c r="F131" s="381">
        <f ca="1">SUMIFS(DATA_CAPITAL_FLOW!$H$294:$H$5206,DATA_CAPITAL_FLOW!$B$294:$B$5206,"Property",DATA_CAPITAL_FLOW!$D$294:$D$5206,$B131,DATA_CAPITAL_FLOW!$F$294:$F$5206,$C131)</f>
        <v>3844130.9109032219</v>
      </c>
      <c r="G131" s="381">
        <f t="shared" ca="1" si="2"/>
        <v>0</v>
      </c>
      <c r="H131" s="348" t="str">
        <f t="shared" ca="1" si="3"/>
        <v>OK</v>
      </c>
      <c r="I131" s="366" t="s">
        <v>7171</v>
      </c>
    </row>
    <row r="132" spans="1:9">
      <c r="A132" s="366" t="s">
        <v>7298</v>
      </c>
      <c r="B132" s="348">
        <f>DATA_CAPITAL_FLOW!D132</f>
        <v>2032</v>
      </c>
      <c r="C132" s="366" t="s">
        <v>29</v>
      </c>
      <c r="D132" s="366" t="s">
        <v>1683</v>
      </c>
      <c r="E132" s="381">
        <f>SUMIFS(DATA_CAPITAL_FLOW!$H$5:$H$293,DATA_CAPITAL_FLOW!$B$5:$B$293,"Portfolio",DATA_CAPITAL_FLOW!$D$5:$D$293,$B132,DATA_CAPITAL_FLOW!$F$5:$F$293,$C132)</f>
        <v>2562753.9406021493</v>
      </c>
      <c r="F132" s="381">
        <f ca="1">SUMIFS(DATA_CAPITAL_FLOW!$H$294:$H$5206,DATA_CAPITAL_FLOW!$B$294:$B$5206,"Property",DATA_CAPITAL_FLOW!$D$294:$D$5206,$B132,DATA_CAPITAL_FLOW!$F$294:$F$5206,$C132)</f>
        <v>2562753.9406021484</v>
      </c>
      <c r="G132" s="381">
        <f t="shared" ca="1" si="2"/>
        <v>0</v>
      </c>
      <c r="H132" s="348" t="str">
        <f t="shared" ca="1" si="3"/>
        <v>OK</v>
      </c>
      <c r="I132" s="366" t="s">
        <v>7171</v>
      </c>
    </row>
    <row r="133" spans="1:9">
      <c r="A133" s="366" t="s">
        <v>7299</v>
      </c>
      <c r="B133" s="348">
        <f>DATA_CAPITAL_FLOW!D133</f>
        <v>2032</v>
      </c>
      <c r="C133" s="366" t="s">
        <v>31</v>
      </c>
      <c r="D133" s="366" t="s">
        <v>1721</v>
      </c>
      <c r="E133" s="381">
        <f>SUMIFS(DATA_CAPITAL_FLOW!$H$5:$H$293,DATA_CAPITAL_FLOW!$B$5:$B$293,"Portfolio",DATA_CAPITAL_FLOW!$D$5:$D$293,$B133,DATA_CAPITAL_FLOW!$F$5:$F$293,$C133)</f>
        <v>0</v>
      </c>
      <c r="F133" s="381">
        <f ca="1">SUMIFS(DATA_CAPITAL_FLOW!$H$294:$H$5206,DATA_CAPITAL_FLOW!$B$294:$B$5206,"Property",DATA_CAPITAL_FLOW!$D$294:$D$5206,$B133,DATA_CAPITAL_FLOW!$F$294:$F$5206,$C133)</f>
        <v>0</v>
      </c>
      <c r="G133" s="381">
        <f t="shared" ref="G133:G196" ca="1" si="4">$E133-$F133</f>
        <v>0</v>
      </c>
      <c r="H133" s="348" t="str">
        <f t="shared" ref="H133:H196" ca="1" si="5">IF(ABS($G133)&lt;1,"OK","CHECK")</f>
        <v>OK</v>
      </c>
      <c r="I133" s="366" t="s">
        <v>7171</v>
      </c>
    </row>
    <row r="134" spans="1:9">
      <c r="A134" s="366" t="s">
        <v>7300</v>
      </c>
      <c r="B134" s="348">
        <f>DATA_CAPITAL_FLOW!D134</f>
        <v>2032</v>
      </c>
      <c r="C134" s="366" t="s">
        <v>33</v>
      </c>
      <c r="D134" s="366" t="s">
        <v>1721</v>
      </c>
      <c r="E134" s="381">
        <f>SUMIFS(DATA_CAPITAL_FLOW!$H$5:$H$293,DATA_CAPITAL_FLOW!$B$5:$B$293,"Portfolio",DATA_CAPITAL_FLOW!$D$5:$D$293,$B134,DATA_CAPITAL_FLOW!$F$5:$F$293,$C134)</f>
        <v>0</v>
      </c>
      <c r="F134" s="381">
        <f ca="1">SUMIFS(DATA_CAPITAL_FLOW!$H$294:$H$5206,DATA_CAPITAL_FLOW!$B$294:$B$5206,"Property",DATA_CAPITAL_FLOW!$D$294:$D$5206,$B134,DATA_CAPITAL_FLOW!$F$294:$F$5206,$C134)</f>
        <v>0</v>
      </c>
      <c r="G134" s="381">
        <f t="shared" ca="1" si="4"/>
        <v>0</v>
      </c>
      <c r="H134" s="348" t="str">
        <f t="shared" ca="1" si="5"/>
        <v>OK</v>
      </c>
      <c r="I134" s="366" t="s">
        <v>7171</v>
      </c>
    </row>
    <row r="135" spans="1:9">
      <c r="A135" s="366" t="s">
        <v>7301</v>
      </c>
      <c r="B135" s="348">
        <f>DATA_CAPITAL_FLOW!D135</f>
        <v>2032</v>
      </c>
      <c r="C135" s="366" t="s">
        <v>35</v>
      </c>
      <c r="D135" s="366" t="s">
        <v>1721</v>
      </c>
      <c r="E135" s="381">
        <f>SUMIFS(DATA_CAPITAL_FLOW!$H$5:$H$293,DATA_CAPITAL_FLOW!$B$5:$B$293,"Portfolio",DATA_CAPITAL_FLOW!$D$5:$D$293,$B135,DATA_CAPITAL_FLOW!$F$5:$F$293,$C135)</f>
        <v>0</v>
      </c>
      <c r="F135" s="381">
        <f ca="1">SUMIFS(DATA_CAPITAL_FLOW!$H$294:$H$5206,DATA_CAPITAL_FLOW!$B$294:$B$5206,"Property",DATA_CAPITAL_FLOW!$D$294:$D$5206,$B135,DATA_CAPITAL_FLOW!$F$294:$F$5206,$C135)</f>
        <v>0</v>
      </c>
      <c r="G135" s="381">
        <f t="shared" ca="1" si="4"/>
        <v>0</v>
      </c>
      <c r="H135" s="348" t="str">
        <f t="shared" ca="1" si="5"/>
        <v>OK</v>
      </c>
      <c r="I135" s="366" t="s">
        <v>7171</v>
      </c>
    </row>
    <row r="136" spans="1:9">
      <c r="A136" s="366" t="s">
        <v>7302</v>
      </c>
      <c r="B136" s="348">
        <f>DATA_CAPITAL_FLOW!D136</f>
        <v>2032</v>
      </c>
      <c r="C136" s="366" t="s">
        <v>37</v>
      </c>
      <c r="D136" s="366" t="s">
        <v>1721</v>
      </c>
      <c r="E136" s="381">
        <f>SUMIFS(DATA_CAPITAL_FLOW!$H$5:$H$293,DATA_CAPITAL_FLOW!$B$5:$B$293,"Portfolio",DATA_CAPITAL_FLOW!$D$5:$D$293,$B136,DATA_CAPITAL_FLOW!$F$5:$F$293,$C136)</f>
        <v>0</v>
      </c>
      <c r="F136" s="381">
        <f ca="1">SUMIFS(DATA_CAPITAL_FLOW!$H$294:$H$5206,DATA_CAPITAL_FLOW!$B$294:$B$5206,"Property",DATA_CAPITAL_FLOW!$D$294:$D$5206,$B136,DATA_CAPITAL_FLOW!$F$294:$F$5206,$C136)</f>
        <v>0</v>
      </c>
      <c r="G136" s="381">
        <f t="shared" ca="1" si="4"/>
        <v>0</v>
      </c>
      <c r="H136" s="348" t="str">
        <f t="shared" ca="1" si="5"/>
        <v>OK</v>
      </c>
      <c r="I136" s="366" t="s">
        <v>7171</v>
      </c>
    </row>
    <row r="137" spans="1:9">
      <c r="A137" s="366" t="s">
        <v>7303</v>
      </c>
      <c r="B137" s="348">
        <f>DATA_CAPITAL_FLOW!D137</f>
        <v>2032</v>
      </c>
      <c r="C137" s="366" t="s">
        <v>39</v>
      </c>
      <c r="D137" s="366" t="s">
        <v>1721</v>
      </c>
      <c r="E137" s="381">
        <f>SUMIFS(DATA_CAPITAL_FLOW!$H$5:$H$293,DATA_CAPITAL_FLOW!$B$5:$B$293,"Portfolio",DATA_CAPITAL_FLOW!$D$5:$D$293,$B137,DATA_CAPITAL_FLOW!$F$5:$F$293,$C137)</f>
        <v>0</v>
      </c>
      <c r="F137" s="381">
        <f ca="1">SUMIFS(DATA_CAPITAL_FLOW!$H$294:$H$5206,DATA_CAPITAL_FLOW!$B$294:$B$5206,"Property",DATA_CAPITAL_FLOW!$D$294:$D$5206,$B137,DATA_CAPITAL_FLOW!$F$294:$F$5206,$C137)</f>
        <v>0</v>
      </c>
      <c r="G137" s="381">
        <f t="shared" ca="1" si="4"/>
        <v>0</v>
      </c>
      <c r="H137" s="348" t="str">
        <f t="shared" ca="1" si="5"/>
        <v>OK</v>
      </c>
      <c r="I137" s="366" t="s">
        <v>7171</v>
      </c>
    </row>
    <row r="138" spans="1:9">
      <c r="A138" s="366" t="s">
        <v>7304</v>
      </c>
      <c r="B138" s="348">
        <f>DATA_CAPITAL_FLOW!D138</f>
        <v>2032</v>
      </c>
      <c r="C138" s="366" t="s">
        <v>41</v>
      </c>
      <c r="D138" s="366" t="s">
        <v>1741</v>
      </c>
      <c r="E138" s="381">
        <f>SUMIFS(DATA_CAPITAL_FLOW!$H$5:$H$293,DATA_CAPITAL_FLOW!$B$5:$B$293,"Portfolio",DATA_CAPITAL_FLOW!$D$5:$D$293,$B138,DATA_CAPITAL_FLOW!$F$5:$F$293,$C138)</f>
        <v>2562753.9406021493</v>
      </c>
      <c r="F138" s="381">
        <f ca="1">SUMIFS(DATA_CAPITAL_FLOW!$H$294:$H$5206,DATA_CAPITAL_FLOW!$B$294:$B$5206,"Property",DATA_CAPITAL_FLOW!$D$294:$D$5206,$B138,DATA_CAPITAL_FLOW!$F$294:$F$5206,$C138)</f>
        <v>2562753.9406021484</v>
      </c>
      <c r="G138" s="381">
        <f t="shared" ca="1" si="4"/>
        <v>0</v>
      </c>
      <c r="H138" s="348" t="str">
        <f t="shared" ca="1" si="5"/>
        <v>OK</v>
      </c>
      <c r="I138" s="366" t="s">
        <v>7171</v>
      </c>
    </row>
    <row r="139" spans="1:9">
      <c r="A139" s="366" t="s">
        <v>7305</v>
      </c>
      <c r="B139" s="348">
        <f>DATA_CAPITAL_FLOW!D139</f>
        <v>2032</v>
      </c>
      <c r="C139" s="366" t="s">
        <v>43</v>
      </c>
      <c r="D139" s="366" t="s">
        <v>1741</v>
      </c>
      <c r="E139" s="381">
        <f>SUMIFS(DATA_CAPITAL_FLOW!$H$5:$H$293,DATA_CAPITAL_FLOW!$B$5:$B$293,"Portfolio",DATA_CAPITAL_FLOW!$D$5:$D$293,$B139,DATA_CAPITAL_FLOW!$F$5:$F$293,$C139)</f>
        <v>2562753.9406021493</v>
      </c>
      <c r="F139" s="381">
        <f ca="1">SUMIFS(DATA_CAPITAL_FLOW!$H$294:$H$5206,DATA_CAPITAL_FLOW!$B$294:$B$5206,"Property",DATA_CAPITAL_FLOW!$D$294:$D$5206,$B139,DATA_CAPITAL_FLOW!$F$294:$F$5206,$C139)</f>
        <v>2562753.9406021484</v>
      </c>
      <c r="G139" s="381">
        <f t="shared" ca="1" si="4"/>
        <v>0</v>
      </c>
      <c r="H139" s="348" t="str">
        <f t="shared" ca="1" si="5"/>
        <v>OK</v>
      </c>
      <c r="I139" s="366" t="s">
        <v>7171</v>
      </c>
    </row>
    <row r="140" spans="1:9">
      <c r="A140" s="366" t="s">
        <v>7306</v>
      </c>
      <c r="B140" s="348">
        <f>DATA_CAPITAL_FLOW!D140</f>
        <v>2032</v>
      </c>
      <c r="C140" s="366" t="s">
        <v>1749</v>
      </c>
      <c r="D140" s="366" t="s">
        <v>1741</v>
      </c>
      <c r="E140" s="381">
        <f>SUMIFS(DATA_CAPITAL_FLOW!$H$5:$H$293,DATA_CAPITAL_FLOW!$B$5:$B$293,"Portfolio",DATA_CAPITAL_FLOW!$D$5:$D$293,$B140,DATA_CAPITAL_FLOW!$F$5:$F$293,$C140)</f>
        <v>0</v>
      </c>
      <c r="F140" s="381">
        <f ca="1">SUMIFS(DATA_CAPITAL_FLOW!$H$294:$H$5206,DATA_CAPITAL_FLOW!$B$294:$B$5206,"Property",DATA_CAPITAL_FLOW!$D$294:$D$5206,$B140,DATA_CAPITAL_FLOW!$F$294:$F$5206,$C140)</f>
        <v>0</v>
      </c>
      <c r="G140" s="381">
        <f t="shared" ca="1" si="4"/>
        <v>0</v>
      </c>
      <c r="H140" s="348" t="str">
        <f t="shared" ca="1" si="5"/>
        <v>OK</v>
      </c>
      <c r="I140" s="366" t="s">
        <v>7171</v>
      </c>
    </row>
    <row r="141" spans="1:9">
      <c r="A141" s="366" t="s">
        <v>7307</v>
      </c>
      <c r="B141" s="348">
        <f>DATA_CAPITAL_FLOW!D141</f>
        <v>2033</v>
      </c>
      <c r="C141" s="366" t="s">
        <v>341</v>
      </c>
      <c r="D141" s="366" t="s">
        <v>1683</v>
      </c>
      <c r="E141" s="381">
        <f>SUMIFS(DATA_CAPITAL_FLOW!$H$5:$H$293,DATA_CAPITAL_FLOW!$B$5:$B$293,"Portfolio",DATA_CAPITAL_FLOW!$D$5:$D$293,$B141,DATA_CAPITAL_FLOW!$F$5:$F$293,$C141)</f>
        <v>20746714.816709701</v>
      </c>
      <c r="F141" s="381">
        <f ca="1">SUMIFS(DATA_CAPITAL_FLOW!$H$294:$H$5206,DATA_CAPITAL_FLOW!$B$294:$B$5206,"Property",DATA_CAPITAL_FLOW!$D$294:$D$5206,$B141,DATA_CAPITAL_FLOW!$F$294:$F$5206,$C141)</f>
        <v>20746714.816709701</v>
      </c>
      <c r="G141" s="381">
        <f t="shared" ca="1" si="4"/>
        <v>0</v>
      </c>
      <c r="H141" s="348" t="str">
        <f t="shared" ca="1" si="5"/>
        <v>OK</v>
      </c>
      <c r="I141" s="366" t="s">
        <v>7171</v>
      </c>
    </row>
    <row r="142" spans="1:9">
      <c r="A142" s="366" t="s">
        <v>7308</v>
      </c>
      <c r="B142" s="348">
        <f>DATA_CAPITAL_FLOW!D142</f>
        <v>2033</v>
      </c>
      <c r="C142" s="366" t="s">
        <v>355</v>
      </c>
      <c r="D142" s="366" t="s">
        <v>1683</v>
      </c>
      <c r="E142" s="381">
        <f>SUMIFS(DATA_CAPITAL_FLOW!$H$5:$H$293,DATA_CAPITAL_FLOW!$B$5:$B$293,"Portfolio",DATA_CAPITAL_FLOW!$D$5:$D$293,$B142,DATA_CAPITAL_FLOW!$F$5:$F$293,$C142)</f>
        <v>7324446.0694330381</v>
      </c>
      <c r="F142" s="381">
        <f ca="1">SUMIFS(DATA_CAPITAL_FLOW!$H$294:$H$5206,DATA_CAPITAL_FLOW!$B$294:$B$5206,"Property",DATA_CAPITAL_FLOW!$D$294:$D$5206,$B142,DATA_CAPITAL_FLOW!$F$294:$F$5206,$C142)</f>
        <v>7324446.0694330372</v>
      </c>
      <c r="G142" s="381">
        <f t="shared" ca="1" si="4"/>
        <v>0</v>
      </c>
      <c r="H142" s="348" t="str">
        <f t="shared" ca="1" si="5"/>
        <v>OK</v>
      </c>
      <c r="I142" s="366" t="s">
        <v>7171</v>
      </c>
    </row>
    <row r="143" spans="1:9">
      <c r="A143" s="366" t="s">
        <v>7309</v>
      </c>
      <c r="B143" s="348">
        <f>DATA_CAPITAL_FLOW!D143</f>
        <v>2033</v>
      </c>
      <c r="C143" s="366" t="s">
        <v>19</v>
      </c>
      <c r="D143" s="366" t="s">
        <v>1683</v>
      </c>
      <c r="E143" s="381">
        <f>SUMIFS(DATA_CAPITAL_FLOW!$H$5:$H$293,DATA_CAPITAL_FLOW!$B$5:$B$293,"Portfolio",DATA_CAPITAL_FLOW!$D$5:$D$293,$B143,DATA_CAPITAL_FLOW!$F$5:$F$293,$C143)</f>
        <v>13422268.747276664</v>
      </c>
      <c r="F143" s="381">
        <f ca="1">SUMIFS(DATA_CAPITAL_FLOW!$H$294:$H$5206,DATA_CAPITAL_FLOW!$B$294:$B$5206,"Property",DATA_CAPITAL_FLOW!$D$294:$D$5206,$B143,DATA_CAPITAL_FLOW!$F$294:$F$5206,$C143)</f>
        <v>13422268.74727666</v>
      </c>
      <c r="G143" s="381">
        <f t="shared" ca="1" si="4"/>
        <v>0</v>
      </c>
      <c r="H143" s="348" t="str">
        <f t="shared" ca="1" si="5"/>
        <v>OK</v>
      </c>
      <c r="I143" s="366" t="s">
        <v>7171</v>
      </c>
    </row>
    <row r="144" spans="1:9">
      <c r="A144" s="366" t="s">
        <v>7310</v>
      </c>
      <c r="B144" s="348">
        <f>DATA_CAPITAL_FLOW!D144</f>
        <v>2033</v>
      </c>
      <c r="C144" s="366" t="s">
        <v>1697</v>
      </c>
      <c r="D144" s="366" t="s">
        <v>1683</v>
      </c>
      <c r="E144" s="381">
        <f>SUMIFS(DATA_CAPITAL_FLOW!$H$5:$H$293,DATA_CAPITAL_FLOW!$B$5:$B$293,"Portfolio",DATA_CAPITAL_FLOW!$D$5:$D$293,$B144,DATA_CAPITAL_FLOW!$F$5:$F$293,$C144)</f>
        <v>189105.82409376567</v>
      </c>
      <c r="F144" s="381">
        <f ca="1">SUMIFS(DATA_CAPITAL_FLOW!$H$294:$H$5206,DATA_CAPITAL_FLOW!$B$294:$B$5206,"Property",DATA_CAPITAL_FLOW!$D$294:$D$5206,$B144,DATA_CAPITAL_FLOW!$F$294:$F$5206,$C144)</f>
        <v>189105.82409376567</v>
      </c>
      <c r="G144" s="381">
        <f t="shared" ca="1" si="4"/>
        <v>0</v>
      </c>
      <c r="H144" s="348" t="str">
        <f t="shared" ca="1" si="5"/>
        <v>OK</v>
      </c>
      <c r="I144" s="366" t="s">
        <v>7171</v>
      </c>
    </row>
    <row r="145" spans="1:9">
      <c r="A145" s="366" t="s">
        <v>7311</v>
      </c>
      <c r="B145" s="348">
        <f>DATA_CAPITAL_FLOW!D145</f>
        <v>2033</v>
      </c>
      <c r="C145" s="366" t="s">
        <v>21</v>
      </c>
      <c r="D145" s="366" t="s">
        <v>1683</v>
      </c>
      <c r="E145" s="381">
        <f>SUMIFS(DATA_CAPITAL_FLOW!$H$5:$H$293,DATA_CAPITAL_FLOW!$B$5:$B$293,"Portfolio",DATA_CAPITAL_FLOW!$D$5:$D$293,$B145,DATA_CAPITAL_FLOW!$F$5:$F$293,$C145)</f>
        <v>13233162.923182897</v>
      </c>
      <c r="F145" s="381">
        <f ca="1">SUMIFS(DATA_CAPITAL_FLOW!$H$294:$H$5206,DATA_CAPITAL_FLOW!$B$294:$B$5206,"Property",DATA_CAPITAL_FLOW!$D$294:$D$5206,$B145,DATA_CAPITAL_FLOW!$F$294:$F$5206,$C145)</f>
        <v>13233162.923182895</v>
      </c>
      <c r="G145" s="381">
        <f t="shared" ca="1" si="4"/>
        <v>0</v>
      </c>
      <c r="H145" s="348" t="str">
        <f t="shared" ca="1" si="5"/>
        <v>OK</v>
      </c>
      <c r="I145" s="366" t="s">
        <v>7171</v>
      </c>
    </row>
    <row r="146" spans="1:9">
      <c r="A146" s="366" t="s">
        <v>7312</v>
      </c>
      <c r="B146" s="348">
        <f>DATA_CAPITAL_FLOW!D146</f>
        <v>2033</v>
      </c>
      <c r="C146" s="366" t="s">
        <v>23</v>
      </c>
      <c r="D146" s="366" t="s">
        <v>23</v>
      </c>
      <c r="E146" s="381">
        <f>SUMIFS(DATA_CAPITAL_FLOW!$H$5:$H$293,DATA_CAPITAL_FLOW!$B$5:$B$293,"Portfolio",DATA_CAPITAL_FLOW!$D$5:$D$293,$B146,DATA_CAPITAL_FLOW!$F$5:$F$293,$C146)</f>
        <v>6747123.2859003451</v>
      </c>
      <c r="F146" s="381">
        <f ca="1">SUMIFS(DATA_CAPITAL_FLOW!$H$294:$H$5206,DATA_CAPITAL_FLOW!$B$294:$B$5206,"Property",DATA_CAPITAL_FLOW!$D$294:$D$5206,$B146,DATA_CAPITAL_FLOW!$F$294:$F$5206,$C146)</f>
        <v>6747123.2859003451</v>
      </c>
      <c r="G146" s="381">
        <f t="shared" ca="1" si="4"/>
        <v>0</v>
      </c>
      <c r="H146" s="348" t="str">
        <f t="shared" ca="1" si="5"/>
        <v>OK</v>
      </c>
      <c r="I146" s="366" t="s">
        <v>7171</v>
      </c>
    </row>
    <row r="147" spans="1:9">
      <c r="A147" s="366" t="s">
        <v>7313</v>
      </c>
      <c r="B147" s="348">
        <f>DATA_CAPITAL_FLOW!D147</f>
        <v>2033</v>
      </c>
      <c r="C147" s="366" t="s">
        <v>25</v>
      </c>
      <c r="D147" s="366" t="s">
        <v>1683</v>
      </c>
      <c r="E147" s="381">
        <f>SUMIFS(DATA_CAPITAL_FLOW!$H$5:$H$293,DATA_CAPITAL_FLOW!$B$5:$B$293,"Portfolio",DATA_CAPITAL_FLOW!$D$5:$D$293,$B147,DATA_CAPITAL_FLOW!$F$5:$F$293,$C147)</f>
        <v>6675145.4613763187</v>
      </c>
      <c r="F147" s="381">
        <f ca="1">SUMIFS(DATA_CAPITAL_FLOW!$H$294:$H$5206,DATA_CAPITAL_FLOW!$B$294:$B$5206,"Property",DATA_CAPITAL_FLOW!$D$294:$D$5206,$B147,DATA_CAPITAL_FLOW!$F$294:$F$5206,$C147)</f>
        <v>6675145.4613763159</v>
      </c>
      <c r="G147" s="381">
        <f t="shared" ca="1" si="4"/>
        <v>0</v>
      </c>
      <c r="H147" s="348" t="str">
        <f t="shared" ca="1" si="5"/>
        <v>OK</v>
      </c>
      <c r="I147" s="366" t="s">
        <v>7171</v>
      </c>
    </row>
    <row r="148" spans="1:9">
      <c r="A148" s="366" t="s">
        <v>7314</v>
      </c>
      <c r="B148" s="348">
        <f>DATA_CAPITAL_FLOW!D148</f>
        <v>2033</v>
      </c>
      <c r="C148" s="366" t="s">
        <v>27</v>
      </c>
      <c r="D148" s="366" t="s">
        <v>1683</v>
      </c>
      <c r="E148" s="381">
        <f>SUMIFS(DATA_CAPITAL_FLOW!$H$5:$H$293,DATA_CAPITAL_FLOW!$B$5:$B$293,"Portfolio",DATA_CAPITAL_FLOW!$D$5:$D$293,$B148,DATA_CAPITAL_FLOW!$F$5:$F$293,$C148)</f>
        <v>4005087.2768257912</v>
      </c>
      <c r="F148" s="381">
        <f ca="1">SUMIFS(DATA_CAPITAL_FLOW!$H$294:$H$5206,DATA_CAPITAL_FLOW!$B$294:$B$5206,"Property",DATA_CAPITAL_FLOW!$D$294:$D$5206,$B148,DATA_CAPITAL_FLOW!$F$294:$F$5206,$C148)</f>
        <v>4005087.2768257903</v>
      </c>
      <c r="G148" s="381">
        <f t="shared" ca="1" si="4"/>
        <v>0</v>
      </c>
      <c r="H148" s="348" t="str">
        <f t="shared" ca="1" si="5"/>
        <v>OK</v>
      </c>
      <c r="I148" s="366" t="s">
        <v>7171</v>
      </c>
    </row>
    <row r="149" spans="1:9">
      <c r="A149" s="366" t="s">
        <v>7315</v>
      </c>
      <c r="B149" s="348">
        <f>DATA_CAPITAL_FLOW!D149</f>
        <v>2033</v>
      </c>
      <c r="C149" s="366" t="s">
        <v>29</v>
      </c>
      <c r="D149" s="366" t="s">
        <v>1683</v>
      </c>
      <c r="E149" s="381">
        <f>SUMIFS(DATA_CAPITAL_FLOW!$H$5:$H$293,DATA_CAPITAL_FLOW!$B$5:$B$293,"Portfolio",DATA_CAPITAL_FLOW!$D$5:$D$293,$B149,DATA_CAPITAL_FLOW!$F$5:$F$293,$C149)</f>
        <v>2670058.1845505275</v>
      </c>
      <c r="F149" s="381">
        <f ca="1">SUMIFS(DATA_CAPITAL_FLOW!$H$294:$H$5206,DATA_CAPITAL_FLOW!$B$294:$B$5206,"Property",DATA_CAPITAL_FLOW!$D$294:$D$5206,$B149,DATA_CAPITAL_FLOW!$F$294:$F$5206,$C149)</f>
        <v>2670058.184550527</v>
      </c>
      <c r="G149" s="381">
        <f t="shared" ca="1" si="4"/>
        <v>0</v>
      </c>
      <c r="H149" s="348" t="str">
        <f t="shared" ca="1" si="5"/>
        <v>OK</v>
      </c>
      <c r="I149" s="366" t="s">
        <v>7171</v>
      </c>
    </row>
    <row r="150" spans="1:9">
      <c r="A150" s="366" t="s">
        <v>7316</v>
      </c>
      <c r="B150" s="348">
        <f>DATA_CAPITAL_FLOW!D150</f>
        <v>2033</v>
      </c>
      <c r="C150" s="366" t="s">
        <v>31</v>
      </c>
      <c r="D150" s="366" t="s">
        <v>1721</v>
      </c>
      <c r="E150" s="381">
        <f>SUMIFS(DATA_CAPITAL_FLOW!$H$5:$H$293,DATA_CAPITAL_FLOW!$B$5:$B$293,"Portfolio",DATA_CAPITAL_FLOW!$D$5:$D$293,$B150,DATA_CAPITAL_FLOW!$F$5:$F$293,$C150)</f>
        <v>0</v>
      </c>
      <c r="F150" s="381">
        <f ca="1">SUMIFS(DATA_CAPITAL_FLOW!$H$294:$H$5206,DATA_CAPITAL_FLOW!$B$294:$B$5206,"Property",DATA_CAPITAL_FLOW!$D$294:$D$5206,$B150,DATA_CAPITAL_FLOW!$F$294:$F$5206,$C150)</f>
        <v>0</v>
      </c>
      <c r="G150" s="381">
        <f t="shared" ca="1" si="4"/>
        <v>0</v>
      </c>
      <c r="H150" s="348" t="str">
        <f t="shared" ca="1" si="5"/>
        <v>OK</v>
      </c>
      <c r="I150" s="366" t="s">
        <v>7171</v>
      </c>
    </row>
    <row r="151" spans="1:9">
      <c r="A151" s="366" t="s">
        <v>7317</v>
      </c>
      <c r="B151" s="348">
        <f>DATA_CAPITAL_FLOW!D151</f>
        <v>2033</v>
      </c>
      <c r="C151" s="366" t="s">
        <v>33</v>
      </c>
      <c r="D151" s="366" t="s">
        <v>1721</v>
      </c>
      <c r="E151" s="381">
        <f>SUMIFS(DATA_CAPITAL_FLOW!$H$5:$H$293,DATA_CAPITAL_FLOW!$B$5:$B$293,"Portfolio",DATA_CAPITAL_FLOW!$D$5:$D$293,$B151,DATA_CAPITAL_FLOW!$F$5:$F$293,$C151)</f>
        <v>0</v>
      </c>
      <c r="F151" s="381">
        <f ca="1">SUMIFS(DATA_CAPITAL_FLOW!$H$294:$H$5206,DATA_CAPITAL_FLOW!$B$294:$B$5206,"Property",DATA_CAPITAL_FLOW!$D$294:$D$5206,$B151,DATA_CAPITAL_FLOW!$F$294:$F$5206,$C151)</f>
        <v>0</v>
      </c>
      <c r="G151" s="381">
        <f t="shared" ca="1" si="4"/>
        <v>0</v>
      </c>
      <c r="H151" s="348" t="str">
        <f t="shared" ca="1" si="5"/>
        <v>OK</v>
      </c>
      <c r="I151" s="366" t="s">
        <v>7171</v>
      </c>
    </row>
    <row r="152" spans="1:9">
      <c r="A152" s="366" t="s">
        <v>7318</v>
      </c>
      <c r="B152" s="348">
        <f>DATA_CAPITAL_FLOW!D152</f>
        <v>2033</v>
      </c>
      <c r="C152" s="366" t="s">
        <v>35</v>
      </c>
      <c r="D152" s="366" t="s">
        <v>1721</v>
      </c>
      <c r="E152" s="381">
        <f>SUMIFS(DATA_CAPITAL_FLOW!$H$5:$H$293,DATA_CAPITAL_FLOW!$B$5:$B$293,"Portfolio",DATA_CAPITAL_FLOW!$D$5:$D$293,$B152,DATA_CAPITAL_FLOW!$F$5:$F$293,$C152)</f>
        <v>0</v>
      </c>
      <c r="F152" s="381">
        <f ca="1">SUMIFS(DATA_CAPITAL_FLOW!$H$294:$H$5206,DATA_CAPITAL_FLOW!$B$294:$B$5206,"Property",DATA_CAPITAL_FLOW!$D$294:$D$5206,$B152,DATA_CAPITAL_FLOW!$F$294:$F$5206,$C152)</f>
        <v>0</v>
      </c>
      <c r="G152" s="381">
        <f t="shared" ca="1" si="4"/>
        <v>0</v>
      </c>
      <c r="H152" s="348" t="str">
        <f t="shared" ca="1" si="5"/>
        <v>OK</v>
      </c>
      <c r="I152" s="366" t="s">
        <v>7171</v>
      </c>
    </row>
    <row r="153" spans="1:9">
      <c r="A153" s="366" t="s">
        <v>7319</v>
      </c>
      <c r="B153" s="348">
        <f>DATA_CAPITAL_FLOW!D153</f>
        <v>2033</v>
      </c>
      <c r="C153" s="366" t="s">
        <v>37</v>
      </c>
      <c r="D153" s="366" t="s">
        <v>1721</v>
      </c>
      <c r="E153" s="381">
        <f>SUMIFS(DATA_CAPITAL_FLOW!$H$5:$H$293,DATA_CAPITAL_FLOW!$B$5:$B$293,"Portfolio",DATA_CAPITAL_FLOW!$D$5:$D$293,$B153,DATA_CAPITAL_FLOW!$F$5:$F$293,$C153)</f>
        <v>0</v>
      </c>
      <c r="F153" s="381">
        <f ca="1">SUMIFS(DATA_CAPITAL_FLOW!$H$294:$H$5206,DATA_CAPITAL_FLOW!$B$294:$B$5206,"Property",DATA_CAPITAL_FLOW!$D$294:$D$5206,$B153,DATA_CAPITAL_FLOW!$F$294:$F$5206,$C153)</f>
        <v>0</v>
      </c>
      <c r="G153" s="381">
        <f t="shared" ca="1" si="4"/>
        <v>0</v>
      </c>
      <c r="H153" s="348" t="str">
        <f t="shared" ca="1" si="5"/>
        <v>OK</v>
      </c>
      <c r="I153" s="366" t="s">
        <v>7171</v>
      </c>
    </row>
    <row r="154" spans="1:9">
      <c r="A154" s="366" t="s">
        <v>7320</v>
      </c>
      <c r="B154" s="348">
        <f>DATA_CAPITAL_FLOW!D154</f>
        <v>2033</v>
      </c>
      <c r="C154" s="366" t="s">
        <v>39</v>
      </c>
      <c r="D154" s="366" t="s">
        <v>1721</v>
      </c>
      <c r="E154" s="381">
        <f>SUMIFS(DATA_CAPITAL_FLOW!$H$5:$H$293,DATA_CAPITAL_FLOW!$B$5:$B$293,"Portfolio",DATA_CAPITAL_FLOW!$D$5:$D$293,$B154,DATA_CAPITAL_FLOW!$F$5:$F$293,$C154)</f>
        <v>0</v>
      </c>
      <c r="F154" s="381">
        <f ca="1">SUMIFS(DATA_CAPITAL_FLOW!$H$294:$H$5206,DATA_CAPITAL_FLOW!$B$294:$B$5206,"Property",DATA_CAPITAL_FLOW!$D$294:$D$5206,$B154,DATA_CAPITAL_FLOW!$F$294:$F$5206,$C154)</f>
        <v>0</v>
      </c>
      <c r="G154" s="381">
        <f t="shared" ca="1" si="4"/>
        <v>0</v>
      </c>
      <c r="H154" s="348" t="str">
        <f t="shared" ca="1" si="5"/>
        <v>OK</v>
      </c>
      <c r="I154" s="366" t="s">
        <v>7171</v>
      </c>
    </row>
    <row r="155" spans="1:9">
      <c r="A155" s="366" t="s">
        <v>7321</v>
      </c>
      <c r="B155" s="348">
        <f>DATA_CAPITAL_FLOW!D155</f>
        <v>2033</v>
      </c>
      <c r="C155" s="366" t="s">
        <v>41</v>
      </c>
      <c r="D155" s="366" t="s">
        <v>1741</v>
      </c>
      <c r="E155" s="381">
        <f>SUMIFS(DATA_CAPITAL_FLOW!$H$5:$H$293,DATA_CAPITAL_FLOW!$B$5:$B$293,"Portfolio",DATA_CAPITAL_FLOW!$D$5:$D$293,$B155,DATA_CAPITAL_FLOW!$F$5:$F$293,$C155)</f>
        <v>2670058.1845505275</v>
      </c>
      <c r="F155" s="381">
        <f ca="1">SUMIFS(DATA_CAPITAL_FLOW!$H$294:$H$5206,DATA_CAPITAL_FLOW!$B$294:$B$5206,"Property",DATA_CAPITAL_FLOW!$D$294:$D$5206,$B155,DATA_CAPITAL_FLOW!$F$294:$F$5206,$C155)</f>
        <v>2670058.184550527</v>
      </c>
      <c r="G155" s="381">
        <f t="shared" ca="1" si="4"/>
        <v>0</v>
      </c>
      <c r="H155" s="348" t="str">
        <f t="shared" ca="1" si="5"/>
        <v>OK</v>
      </c>
      <c r="I155" s="366" t="s">
        <v>7171</v>
      </c>
    </row>
    <row r="156" spans="1:9">
      <c r="A156" s="366" t="s">
        <v>7322</v>
      </c>
      <c r="B156" s="348">
        <f>DATA_CAPITAL_FLOW!D156</f>
        <v>2033</v>
      </c>
      <c r="C156" s="366" t="s">
        <v>43</v>
      </c>
      <c r="D156" s="366" t="s">
        <v>1741</v>
      </c>
      <c r="E156" s="381">
        <f>SUMIFS(DATA_CAPITAL_FLOW!$H$5:$H$293,DATA_CAPITAL_FLOW!$B$5:$B$293,"Portfolio",DATA_CAPITAL_FLOW!$D$5:$D$293,$B156,DATA_CAPITAL_FLOW!$F$5:$F$293,$C156)</f>
        <v>2670058.1845505275</v>
      </c>
      <c r="F156" s="381">
        <f ca="1">SUMIFS(DATA_CAPITAL_FLOW!$H$294:$H$5206,DATA_CAPITAL_FLOW!$B$294:$B$5206,"Property",DATA_CAPITAL_FLOW!$D$294:$D$5206,$B156,DATA_CAPITAL_FLOW!$F$294:$F$5206,$C156)</f>
        <v>2670058.184550527</v>
      </c>
      <c r="G156" s="381">
        <f t="shared" ca="1" si="4"/>
        <v>0</v>
      </c>
      <c r="H156" s="348" t="str">
        <f t="shared" ca="1" si="5"/>
        <v>OK</v>
      </c>
      <c r="I156" s="366" t="s">
        <v>7171</v>
      </c>
    </row>
    <row r="157" spans="1:9">
      <c r="A157" s="366" t="s">
        <v>7323</v>
      </c>
      <c r="B157" s="348">
        <f>DATA_CAPITAL_FLOW!D157</f>
        <v>2033</v>
      </c>
      <c r="C157" s="366" t="s">
        <v>1749</v>
      </c>
      <c r="D157" s="366" t="s">
        <v>1741</v>
      </c>
      <c r="E157" s="381">
        <f>SUMIFS(DATA_CAPITAL_FLOW!$H$5:$H$293,DATA_CAPITAL_FLOW!$B$5:$B$293,"Portfolio",DATA_CAPITAL_FLOW!$D$5:$D$293,$B157,DATA_CAPITAL_FLOW!$F$5:$F$293,$C157)</f>
        <v>0</v>
      </c>
      <c r="F157" s="381">
        <f ca="1">SUMIFS(DATA_CAPITAL_FLOW!$H$294:$H$5206,DATA_CAPITAL_FLOW!$B$294:$B$5206,"Property",DATA_CAPITAL_FLOW!$D$294:$D$5206,$B157,DATA_CAPITAL_FLOW!$F$294:$F$5206,$C157)</f>
        <v>0</v>
      </c>
      <c r="G157" s="381">
        <f t="shared" ca="1" si="4"/>
        <v>0</v>
      </c>
      <c r="H157" s="348" t="str">
        <f t="shared" ca="1" si="5"/>
        <v>OK</v>
      </c>
      <c r="I157" s="366" t="s">
        <v>7171</v>
      </c>
    </row>
    <row r="158" spans="1:9">
      <c r="A158" s="366" t="s">
        <v>7324</v>
      </c>
      <c r="B158" s="348">
        <f>DATA_CAPITAL_FLOW!D158</f>
        <v>2034</v>
      </c>
      <c r="C158" s="366" t="s">
        <v>341</v>
      </c>
      <c r="D158" s="366" t="s">
        <v>1683</v>
      </c>
      <c r="E158" s="381">
        <f>SUMIFS(DATA_CAPITAL_FLOW!$H$5:$H$293,DATA_CAPITAL_FLOW!$B$5:$B$293,"Portfolio",DATA_CAPITAL_FLOW!$D$5:$D$293,$B158,DATA_CAPITAL_FLOW!$F$5:$F$293,$C158)</f>
        <v>21158351.237043891</v>
      </c>
      <c r="F158" s="381">
        <f ca="1">SUMIFS(DATA_CAPITAL_FLOW!$H$294:$H$5206,DATA_CAPITAL_FLOW!$B$294:$B$5206,"Property",DATA_CAPITAL_FLOW!$D$294:$D$5206,$B158,DATA_CAPITAL_FLOW!$F$294:$F$5206,$C158)</f>
        <v>21158351.237043891</v>
      </c>
      <c r="G158" s="381">
        <f t="shared" ca="1" si="4"/>
        <v>0</v>
      </c>
      <c r="H158" s="348" t="str">
        <f t="shared" ca="1" si="5"/>
        <v>OK</v>
      </c>
      <c r="I158" s="366" t="s">
        <v>7171</v>
      </c>
    </row>
    <row r="159" spans="1:9">
      <c r="A159" s="366" t="s">
        <v>7325</v>
      </c>
      <c r="B159" s="348">
        <f>DATA_CAPITAL_FLOW!D159</f>
        <v>2034</v>
      </c>
      <c r="C159" s="366" t="s">
        <v>355</v>
      </c>
      <c r="D159" s="366" t="s">
        <v>1683</v>
      </c>
      <c r="E159" s="381">
        <f>SUMIFS(DATA_CAPITAL_FLOW!$H$5:$H$293,DATA_CAPITAL_FLOW!$B$5:$B$293,"Portfolio",DATA_CAPITAL_FLOW!$D$5:$D$293,$B159,DATA_CAPITAL_FLOW!$F$5:$F$293,$C159)</f>
        <v>7617423.9122103592</v>
      </c>
      <c r="F159" s="381">
        <f ca="1">SUMIFS(DATA_CAPITAL_FLOW!$H$294:$H$5206,DATA_CAPITAL_FLOW!$B$294:$B$5206,"Property",DATA_CAPITAL_FLOW!$D$294:$D$5206,$B159,DATA_CAPITAL_FLOW!$F$294:$F$5206,$C159)</f>
        <v>7617423.9122103583</v>
      </c>
      <c r="G159" s="381">
        <f t="shared" ca="1" si="4"/>
        <v>0</v>
      </c>
      <c r="H159" s="348" t="str">
        <f t="shared" ca="1" si="5"/>
        <v>OK</v>
      </c>
      <c r="I159" s="366" t="s">
        <v>7171</v>
      </c>
    </row>
    <row r="160" spans="1:9">
      <c r="A160" s="366" t="s">
        <v>7326</v>
      </c>
      <c r="B160" s="348">
        <f>DATA_CAPITAL_FLOW!D160</f>
        <v>2034</v>
      </c>
      <c r="C160" s="366" t="s">
        <v>19</v>
      </c>
      <c r="D160" s="366" t="s">
        <v>1683</v>
      </c>
      <c r="E160" s="381">
        <f>SUMIFS(DATA_CAPITAL_FLOW!$H$5:$H$293,DATA_CAPITAL_FLOW!$B$5:$B$293,"Portfolio",DATA_CAPITAL_FLOW!$D$5:$D$293,$B160,DATA_CAPITAL_FLOW!$F$5:$F$293,$C160)</f>
        <v>13540927.324833531</v>
      </c>
      <c r="F160" s="381">
        <f ca="1">SUMIFS(DATA_CAPITAL_FLOW!$H$294:$H$5206,DATA_CAPITAL_FLOW!$B$294:$B$5206,"Property",DATA_CAPITAL_FLOW!$D$294:$D$5206,$B160,DATA_CAPITAL_FLOW!$F$294:$F$5206,$C160)</f>
        <v>13540927.324833533</v>
      </c>
      <c r="G160" s="381">
        <f t="shared" ca="1" si="4"/>
        <v>0</v>
      </c>
      <c r="H160" s="348" t="str">
        <f t="shared" ca="1" si="5"/>
        <v>OK</v>
      </c>
      <c r="I160" s="366" t="s">
        <v>7171</v>
      </c>
    </row>
    <row r="161" spans="1:9">
      <c r="A161" s="366" t="s">
        <v>7327</v>
      </c>
      <c r="B161" s="348">
        <f>DATA_CAPITAL_FLOW!D161</f>
        <v>2034</v>
      </c>
      <c r="C161" s="366" t="s">
        <v>1697</v>
      </c>
      <c r="D161" s="366" t="s">
        <v>1683</v>
      </c>
      <c r="E161" s="381">
        <f>SUMIFS(DATA_CAPITAL_FLOW!$H$5:$H$293,DATA_CAPITAL_FLOW!$B$5:$B$293,"Portfolio",DATA_CAPITAL_FLOW!$D$5:$D$293,$B161,DATA_CAPITAL_FLOW!$F$5:$F$293,$C161)</f>
        <v>192887.94057564097</v>
      </c>
      <c r="F161" s="381">
        <f ca="1">SUMIFS(DATA_CAPITAL_FLOW!$H$294:$H$5206,DATA_CAPITAL_FLOW!$B$294:$B$5206,"Property",DATA_CAPITAL_FLOW!$D$294:$D$5206,$B161,DATA_CAPITAL_FLOW!$F$294:$F$5206,$C161)</f>
        <v>192887.94057564097</v>
      </c>
      <c r="G161" s="381">
        <f t="shared" ca="1" si="4"/>
        <v>0</v>
      </c>
      <c r="H161" s="348" t="str">
        <f t="shared" ca="1" si="5"/>
        <v>OK</v>
      </c>
      <c r="I161" s="366" t="s">
        <v>7171</v>
      </c>
    </row>
    <row r="162" spans="1:9">
      <c r="A162" s="366" t="s">
        <v>7328</v>
      </c>
      <c r="B162" s="348">
        <f>DATA_CAPITAL_FLOW!D162</f>
        <v>2034</v>
      </c>
      <c r="C162" s="366" t="s">
        <v>21</v>
      </c>
      <c r="D162" s="366" t="s">
        <v>1683</v>
      </c>
      <c r="E162" s="381">
        <f>SUMIFS(DATA_CAPITAL_FLOW!$H$5:$H$293,DATA_CAPITAL_FLOW!$B$5:$B$293,"Portfolio",DATA_CAPITAL_FLOW!$D$5:$D$293,$B162,DATA_CAPITAL_FLOW!$F$5:$F$293,$C162)</f>
        <v>13348039.38425789</v>
      </c>
      <c r="F162" s="381">
        <f ca="1">SUMIFS(DATA_CAPITAL_FLOW!$H$294:$H$5206,DATA_CAPITAL_FLOW!$B$294:$B$5206,"Property",DATA_CAPITAL_FLOW!$D$294:$D$5206,$B162,DATA_CAPITAL_FLOW!$F$294:$F$5206,$C162)</f>
        <v>13348039.38425789</v>
      </c>
      <c r="G162" s="381">
        <f t="shared" ca="1" si="4"/>
        <v>0</v>
      </c>
      <c r="H162" s="348" t="str">
        <f t="shared" ca="1" si="5"/>
        <v>OK</v>
      </c>
      <c r="I162" s="366" t="s">
        <v>7171</v>
      </c>
    </row>
    <row r="163" spans="1:9">
      <c r="A163" s="366" t="s">
        <v>7329</v>
      </c>
      <c r="B163" s="348">
        <f>DATA_CAPITAL_FLOW!D163</f>
        <v>2034</v>
      </c>
      <c r="C163" s="366" t="s">
        <v>23</v>
      </c>
      <c r="D163" s="366" t="s">
        <v>23</v>
      </c>
      <c r="E163" s="381">
        <f>SUMIFS(DATA_CAPITAL_FLOW!$H$5:$H$293,DATA_CAPITAL_FLOW!$B$5:$B$293,"Portfolio",DATA_CAPITAL_FLOW!$D$5:$D$293,$B163,DATA_CAPITAL_FLOW!$F$5:$F$293,$C163)</f>
        <v>6622574.785645484</v>
      </c>
      <c r="F163" s="381">
        <f ca="1">SUMIFS(DATA_CAPITAL_FLOW!$H$294:$H$5206,DATA_CAPITAL_FLOW!$B$294:$B$5206,"Property",DATA_CAPITAL_FLOW!$D$294:$D$5206,$B163,DATA_CAPITAL_FLOW!$F$294:$F$5206,$C163)</f>
        <v>6622574.785645484</v>
      </c>
      <c r="G163" s="381">
        <f t="shared" ca="1" si="4"/>
        <v>0</v>
      </c>
      <c r="H163" s="348" t="str">
        <f t="shared" ca="1" si="5"/>
        <v>OK</v>
      </c>
      <c r="I163" s="366" t="s">
        <v>7171</v>
      </c>
    </row>
    <row r="164" spans="1:9">
      <c r="A164" s="366" t="s">
        <v>7330</v>
      </c>
      <c r="B164" s="348">
        <f>DATA_CAPITAL_FLOW!D164</f>
        <v>2034</v>
      </c>
      <c r="C164" s="366" t="s">
        <v>25</v>
      </c>
      <c r="D164" s="366" t="s">
        <v>1683</v>
      </c>
      <c r="E164" s="381">
        <f>SUMIFS(DATA_CAPITAL_FLOW!$H$5:$H$293,DATA_CAPITAL_FLOW!$B$5:$B$293,"Portfolio",DATA_CAPITAL_FLOW!$D$5:$D$293,$B164,DATA_CAPITAL_FLOW!$F$5:$F$293,$C164)</f>
        <v>6918352.5391880469</v>
      </c>
      <c r="F164" s="381">
        <f ca="1">SUMIFS(DATA_CAPITAL_FLOW!$H$294:$H$5206,DATA_CAPITAL_FLOW!$B$294:$B$5206,"Property",DATA_CAPITAL_FLOW!$D$294:$D$5206,$B164,DATA_CAPITAL_FLOW!$F$294:$F$5206,$C164)</f>
        <v>6918352.5391880479</v>
      </c>
      <c r="G164" s="381">
        <f t="shared" ca="1" si="4"/>
        <v>0</v>
      </c>
      <c r="H164" s="348" t="str">
        <f t="shared" ca="1" si="5"/>
        <v>OK</v>
      </c>
      <c r="I164" s="366" t="s">
        <v>7171</v>
      </c>
    </row>
    <row r="165" spans="1:9">
      <c r="A165" s="366" t="s">
        <v>7331</v>
      </c>
      <c r="B165" s="348">
        <f>DATA_CAPITAL_FLOW!D165</f>
        <v>2034</v>
      </c>
      <c r="C165" s="366" t="s">
        <v>27</v>
      </c>
      <c r="D165" s="366" t="s">
        <v>1683</v>
      </c>
      <c r="E165" s="381">
        <f>SUMIFS(DATA_CAPITAL_FLOW!$H$5:$H$293,DATA_CAPITAL_FLOW!$B$5:$B$293,"Portfolio",DATA_CAPITAL_FLOW!$D$5:$D$293,$B165,DATA_CAPITAL_FLOW!$F$5:$F$293,$C165)</f>
        <v>4151011.5235128282</v>
      </c>
      <c r="F165" s="381">
        <f ca="1">SUMIFS(DATA_CAPITAL_FLOW!$H$294:$H$5206,DATA_CAPITAL_FLOW!$B$294:$B$5206,"Property",DATA_CAPITAL_FLOW!$D$294:$D$5206,$B165,DATA_CAPITAL_FLOW!$F$294:$F$5206,$C165)</f>
        <v>4151011.5235128291</v>
      </c>
      <c r="G165" s="381">
        <f t="shared" ca="1" si="4"/>
        <v>0</v>
      </c>
      <c r="H165" s="348" t="str">
        <f t="shared" ca="1" si="5"/>
        <v>OK</v>
      </c>
      <c r="I165" s="366" t="s">
        <v>7171</v>
      </c>
    </row>
    <row r="166" spans="1:9">
      <c r="A166" s="366" t="s">
        <v>7332</v>
      </c>
      <c r="B166" s="348">
        <f>DATA_CAPITAL_FLOW!D166</f>
        <v>2034</v>
      </c>
      <c r="C166" s="366" t="s">
        <v>29</v>
      </c>
      <c r="D166" s="366" t="s">
        <v>1683</v>
      </c>
      <c r="E166" s="381">
        <f>SUMIFS(DATA_CAPITAL_FLOW!$H$5:$H$293,DATA_CAPITAL_FLOW!$B$5:$B$293,"Portfolio",DATA_CAPITAL_FLOW!$D$5:$D$293,$B166,DATA_CAPITAL_FLOW!$F$5:$F$293,$C166)</f>
        <v>2767341.0156752188</v>
      </c>
      <c r="F166" s="381">
        <f ca="1">SUMIFS(DATA_CAPITAL_FLOW!$H$294:$H$5206,DATA_CAPITAL_FLOW!$B$294:$B$5206,"Property",DATA_CAPITAL_FLOW!$D$294:$D$5206,$B166,DATA_CAPITAL_FLOW!$F$294:$F$5206,$C166)</f>
        <v>2767341.0156752192</v>
      </c>
      <c r="G166" s="381">
        <f t="shared" ca="1" si="4"/>
        <v>0</v>
      </c>
      <c r="H166" s="348" t="str">
        <f t="shared" ca="1" si="5"/>
        <v>OK</v>
      </c>
      <c r="I166" s="366" t="s">
        <v>7171</v>
      </c>
    </row>
    <row r="167" spans="1:9">
      <c r="A167" s="366" t="s">
        <v>7333</v>
      </c>
      <c r="B167" s="348">
        <f>DATA_CAPITAL_FLOW!D167</f>
        <v>2034</v>
      </c>
      <c r="C167" s="366" t="s">
        <v>31</v>
      </c>
      <c r="D167" s="366" t="s">
        <v>1721</v>
      </c>
      <c r="E167" s="381">
        <f>SUMIFS(DATA_CAPITAL_FLOW!$H$5:$H$293,DATA_CAPITAL_FLOW!$B$5:$B$293,"Portfolio",DATA_CAPITAL_FLOW!$D$5:$D$293,$B167,DATA_CAPITAL_FLOW!$F$5:$F$293,$C167)</f>
        <v>-8908859.0253832936</v>
      </c>
      <c r="F167" s="381">
        <f ca="1">SUMIFS(DATA_CAPITAL_FLOW!$H$294:$H$5206,DATA_CAPITAL_FLOW!$B$294:$B$5206,"Property",DATA_CAPITAL_FLOW!$D$294:$D$5206,$B167,DATA_CAPITAL_FLOW!$F$294:$F$5206,$C167)</f>
        <v>-8908859.0253832936</v>
      </c>
      <c r="G167" s="381">
        <f t="shared" ca="1" si="4"/>
        <v>0</v>
      </c>
      <c r="H167" s="348" t="str">
        <f t="shared" ca="1" si="5"/>
        <v>OK</v>
      </c>
      <c r="I167" s="366" t="s">
        <v>7171</v>
      </c>
    </row>
    <row r="168" spans="1:9">
      <c r="A168" s="366" t="s">
        <v>7334</v>
      </c>
      <c r="B168" s="348">
        <f>DATA_CAPITAL_FLOW!D168</f>
        <v>2034</v>
      </c>
      <c r="C168" s="366" t="s">
        <v>33</v>
      </c>
      <c r="D168" s="366" t="s">
        <v>1721</v>
      </c>
      <c r="E168" s="381">
        <f>SUMIFS(DATA_CAPITAL_FLOW!$H$5:$H$293,DATA_CAPITAL_FLOW!$B$5:$B$293,"Portfolio",DATA_CAPITAL_FLOW!$D$5:$D$293,$B168,DATA_CAPITAL_FLOW!$F$5:$F$293,$C168)</f>
        <v>20272237.528205331</v>
      </c>
      <c r="F168" s="381">
        <f ca="1">SUMIFS(DATA_CAPITAL_FLOW!$H$294:$H$5206,DATA_CAPITAL_FLOW!$B$294:$B$5206,"Property",DATA_CAPITAL_FLOW!$D$294:$D$5206,$B168,DATA_CAPITAL_FLOW!$F$294:$F$5206,$C168)</f>
        <v>20272237.528205331</v>
      </c>
      <c r="G168" s="381">
        <f t="shared" ca="1" si="4"/>
        <v>0</v>
      </c>
      <c r="H168" s="348" t="str">
        <f t="shared" ca="1" si="5"/>
        <v>OK</v>
      </c>
      <c r="I168" s="366" t="s">
        <v>7171</v>
      </c>
    </row>
    <row r="169" spans="1:9">
      <c r="A169" s="366" t="s">
        <v>7335</v>
      </c>
      <c r="B169" s="348">
        <f>DATA_CAPITAL_FLOW!D169</f>
        <v>2034</v>
      </c>
      <c r="C169" s="366" t="s">
        <v>35</v>
      </c>
      <c r="D169" s="366" t="s">
        <v>1721</v>
      </c>
      <c r="E169" s="381">
        <f>SUMIFS(DATA_CAPITAL_FLOW!$H$5:$H$293,DATA_CAPITAL_FLOW!$B$5:$B$293,"Portfolio",DATA_CAPITAL_FLOW!$D$5:$D$293,$B169,DATA_CAPITAL_FLOW!$F$5:$F$293,$C169)</f>
        <v>11363378.502822038</v>
      </c>
      <c r="F169" s="381">
        <f ca="1">SUMIFS(DATA_CAPITAL_FLOW!$H$294:$H$5206,DATA_CAPITAL_FLOW!$B$294:$B$5206,"Property",DATA_CAPITAL_FLOW!$D$294:$D$5206,$B169,DATA_CAPITAL_FLOW!$F$294:$F$5206,$C169)</f>
        <v>11363378.50282204</v>
      </c>
      <c r="G169" s="381">
        <f t="shared" ca="1" si="4"/>
        <v>0</v>
      </c>
      <c r="H169" s="348" t="str">
        <f t="shared" ca="1" si="5"/>
        <v>OK</v>
      </c>
      <c r="I169" s="366" t="s">
        <v>7171</v>
      </c>
    </row>
    <row r="170" spans="1:9">
      <c r="A170" s="366" t="s">
        <v>7336</v>
      </c>
      <c r="B170" s="348">
        <f>DATA_CAPITAL_FLOW!D170</f>
        <v>2034</v>
      </c>
      <c r="C170" s="366" t="s">
        <v>37</v>
      </c>
      <c r="D170" s="366" t="s">
        <v>1721</v>
      </c>
      <c r="E170" s="381">
        <f>SUMIFS(DATA_CAPITAL_FLOW!$H$5:$H$293,DATA_CAPITAL_FLOW!$B$5:$B$293,"Portfolio",DATA_CAPITAL_FLOW!$D$5:$D$293,$B170,DATA_CAPITAL_FLOW!$F$5:$F$293,$C170)</f>
        <v>11363378.502822038</v>
      </c>
      <c r="F170" s="381">
        <f ca="1">SUMIFS(DATA_CAPITAL_FLOW!$H$294:$H$5206,DATA_CAPITAL_FLOW!$B$294:$B$5206,"Property",DATA_CAPITAL_FLOW!$D$294:$D$5206,$B170,DATA_CAPITAL_FLOW!$F$294:$F$5206,$C170)</f>
        <v>11363378.50282204</v>
      </c>
      <c r="G170" s="381">
        <f t="shared" ca="1" si="4"/>
        <v>0</v>
      </c>
      <c r="H170" s="348" t="str">
        <f t="shared" ca="1" si="5"/>
        <v>OK</v>
      </c>
      <c r="I170" s="366" t="s">
        <v>7171</v>
      </c>
    </row>
    <row r="171" spans="1:9">
      <c r="A171" s="366" t="s">
        <v>7337</v>
      </c>
      <c r="B171" s="348">
        <f>DATA_CAPITAL_FLOW!D171</f>
        <v>2034</v>
      </c>
      <c r="C171" s="366" t="s">
        <v>39</v>
      </c>
      <c r="D171" s="366" t="s">
        <v>1721</v>
      </c>
      <c r="E171" s="381">
        <f>SUMIFS(DATA_CAPITAL_FLOW!$H$5:$H$293,DATA_CAPITAL_FLOW!$B$5:$B$293,"Portfolio",DATA_CAPITAL_FLOW!$D$5:$D$293,$B171,DATA_CAPITAL_FLOW!$F$5:$F$293,$C171)</f>
        <v>0</v>
      </c>
      <c r="F171" s="381">
        <f ca="1">SUMIFS(DATA_CAPITAL_FLOW!$H$294:$H$5206,DATA_CAPITAL_FLOW!$B$294:$B$5206,"Property",DATA_CAPITAL_FLOW!$D$294:$D$5206,$B171,DATA_CAPITAL_FLOW!$F$294:$F$5206,$C171)</f>
        <v>0</v>
      </c>
      <c r="G171" s="381">
        <f t="shared" ca="1" si="4"/>
        <v>0</v>
      </c>
      <c r="H171" s="348" t="str">
        <f t="shared" ca="1" si="5"/>
        <v>OK</v>
      </c>
      <c r="I171" s="366" t="s">
        <v>7171</v>
      </c>
    </row>
    <row r="172" spans="1:9">
      <c r="A172" s="366" t="s">
        <v>7338</v>
      </c>
      <c r="B172" s="348">
        <f>DATA_CAPITAL_FLOW!D172</f>
        <v>2034</v>
      </c>
      <c r="C172" s="366" t="s">
        <v>41</v>
      </c>
      <c r="D172" s="366" t="s">
        <v>1741</v>
      </c>
      <c r="E172" s="381">
        <f>SUMIFS(DATA_CAPITAL_FLOW!$H$5:$H$293,DATA_CAPITAL_FLOW!$B$5:$B$293,"Portfolio",DATA_CAPITAL_FLOW!$D$5:$D$293,$B172,DATA_CAPITAL_FLOW!$F$5:$F$293,$C172)</f>
        <v>14130719.518497257</v>
      </c>
      <c r="F172" s="381">
        <f ca="1">SUMIFS(DATA_CAPITAL_FLOW!$H$294:$H$5206,DATA_CAPITAL_FLOW!$B$294:$B$5206,"Property",DATA_CAPITAL_FLOW!$D$294:$D$5206,$B172,DATA_CAPITAL_FLOW!$F$294:$F$5206,$C172)</f>
        <v>14130719.518497258</v>
      </c>
      <c r="G172" s="381">
        <f t="shared" ca="1" si="4"/>
        <v>0</v>
      </c>
      <c r="H172" s="348" t="str">
        <f t="shared" ca="1" si="5"/>
        <v>OK</v>
      </c>
      <c r="I172" s="366" t="s">
        <v>7171</v>
      </c>
    </row>
    <row r="173" spans="1:9">
      <c r="A173" s="366" t="s">
        <v>7339</v>
      </c>
      <c r="B173" s="348">
        <f>DATA_CAPITAL_FLOW!D173</f>
        <v>2034</v>
      </c>
      <c r="C173" s="366" t="s">
        <v>43</v>
      </c>
      <c r="D173" s="366" t="s">
        <v>1741</v>
      </c>
      <c r="E173" s="381">
        <f>SUMIFS(DATA_CAPITAL_FLOW!$H$5:$H$293,DATA_CAPITAL_FLOW!$B$5:$B$293,"Portfolio",DATA_CAPITAL_FLOW!$D$5:$D$293,$B173,DATA_CAPITAL_FLOW!$F$5:$F$293,$C173)</f>
        <v>14130719.518497257</v>
      </c>
      <c r="F173" s="381">
        <f ca="1">SUMIFS(DATA_CAPITAL_FLOW!$H$294:$H$5206,DATA_CAPITAL_FLOW!$B$294:$B$5206,"Property",DATA_CAPITAL_FLOW!$D$294:$D$5206,$B173,DATA_CAPITAL_FLOW!$F$294:$F$5206,$C173)</f>
        <v>14130719.518497258</v>
      </c>
      <c r="G173" s="381">
        <f t="shared" ca="1" si="4"/>
        <v>0</v>
      </c>
      <c r="H173" s="348" t="str">
        <f t="shared" ca="1" si="5"/>
        <v>OK</v>
      </c>
      <c r="I173" s="366" t="s">
        <v>7171</v>
      </c>
    </row>
    <row r="174" spans="1:9">
      <c r="A174" s="366" t="s">
        <v>7340</v>
      </c>
      <c r="B174" s="348">
        <f>DATA_CAPITAL_FLOW!D174</f>
        <v>2034</v>
      </c>
      <c r="C174" s="366" t="s">
        <v>1749</v>
      </c>
      <c r="D174" s="366" t="s">
        <v>1741</v>
      </c>
      <c r="E174" s="381">
        <f>SUMIFS(DATA_CAPITAL_FLOW!$H$5:$H$293,DATA_CAPITAL_FLOW!$B$5:$B$293,"Portfolio",DATA_CAPITAL_FLOW!$D$5:$D$293,$B174,DATA_CAPITAL_FLOW!$F$5:$F$293,$C174)</f>
        <v>0</v>
      </c>
      <c r="F174" s="381">
        <f ca="1">SUMIFS(DATA_CAPITAL_FLOW!$H$294:$H$5206,DATA_CAPITAL_FLOW!$B$294:$B$5206,"Property",DATA_CAPITAL_FLOW!$D$294:$D$5206,$B174,DATA_CAPITAL_FLOW!$F$294:$F$5206,$C174)</f>
        <v>0</v>
      </c>
      <c r="G174" s="381">
        <f t="shared" ca="1" si="4"/>
        <v>0</v>
      </c>
      <c r="H174" s="348" t="str">
        <f t="shared" ca="1" si="5"/>
        <v>OK</v>
      </c>
      <c r="I174" s="366" t="s">
        <v>7171</v>
      </c>
    </row>
    <row r="175" spans="1:9">
      <c r="A175" s="366" t="s">
        <v>7341</v>
      </c>
      <c r="B175" s="348">
        <f>DATA_CAPITAL_FLOW!D175</f>
        <v>2035</v>
      </c>
      <c r="C175" s="366" t="s">
        <v>341</v>
      </c>
      <c r="D175" s="366" t="s">
        <v>1683</v>
      </c>
      <c r="E175" s="381">
        <f>SUMIFS(DATA_CAPITAL_FLOW!$H$5:$H$293,DATA_CAPITAL_FLOW!$B$5:$B$293,"Portfolio",DATA_CAPITAL_FLOW!$D$5:$D$293,$B175,DATA_CAPITAL_FLOW!$F$5:$F$293,$C175)</f>
        <v>21578220.385784771</v>
      </c>
      <c r="F175" s="381">
        <f ca="1">SUMIFS(DATA_CAPITAL_FLOW!$H$294:$H$5206,DATA_CAPITAL_FLOW!$B$294:$B$5206,"Property",DATA_CAPITAL_FLOW!$D$294:$D$5206,$B175,DATA_CAPITAL_FLOW!$F$294:$F$5206,$C175)</f>
        <v>21578220.385784775</v>
      </c>
      <c r="G175" s="381">
        <f t="shared" ca="1" si="4"/>
        <v>0</v>
      </c>
      <c r="H175" s="348" t="str">
        <f t="shared" ca="1" si="5"/>
        <v>OK</v>
      </c>
      <c r="I175" s="366" t="s">
        <v>7171</v>
      </c>
    </row>
    <row r="176" spans="1:9">
      <c r="A176" s="366" t="s">
        <v>7342</v>
      </c>
      <c r="B176" s="348">
        <f>DATA_CAPITAL_FLOW!D176</f>
        <v>2035</v>
      </c>
      <c r="C176" s="366" t="s">
        <v>355</v>
      </c>
      <c r="D176" s="366" t="s">
        <v>1683</v>
      </c>
      <c r="E176" s="381">
        <f>SUMIFS(DATA_CAPITAL_FLOW!$H$5:$H$293,DATA_CAPITAL_FLOW!$B$5:$B$293,"Portfolio",DATA_CAPITAL_FLOW!$D$5:$D$293,$B176,DATA_CAPITAL_FLOW!$F$5:$F$293,$C176)</f>
        <v>7807859.5100156181</v>
      </c>
      <c r="F176" s="381">
        <f ca="1">SUMIFS(DATA_CAPITAL_FLOW!$H$294:$H$5206,DATA_CAPITAL_FLOW!$B$294:$B$5206,"Property",DATA_CAPITAL_FLOW!$D$294:$D$5206,$B176,DATA_CAPITAL_FLOW!$F$294:$F$5206,$C176)</f>
        <v>7807859.5100156162</v>
      </c>
      <c r="G176" s="381">
        <f t="shared" ca="1" si="4"/>
        <v>0</v>
      </c>
      <c r="H176" s="348" t="str">
        <f t="shared" ca="1" si="5"/>
        <v>OK</v>
      </c>
      <c r="I176" s="366" t="s">
        <v>7171</v>
      </c>
    </row>
    <row r="177" spans="1:9">
      <c r="A177" s="366" t="s">
        <v>7343</v>
      </c>
      <c r="B177" s="348">
        <f>DATA_CAPITAL_FLOW!D177</f>
        <v>2035</v>
      </c>
      <c r="C177" s="366" t="s">
        <v>19</v>
      </c>
      <c r="D177" s="366" t="s">
        <v>1683</v>
      </c>
      <c r="E177" s="381">
        <f>SUMIFS(DATA_CAPITAL_FLOW!$H$5:$H$293,DATA_CAPITAL_FLOW!$B$5:$B$293,"Portfolio",DATA_CAPITAL_FLOW!$D$5:$D$293,$B177,DATA_CAPITAL_FLOW!$F$5:$F$293,$C177)</f>
        <v>13770360.875769153</v>
      </c>
      <c r="F177" s="381">
        <f ca="1">SUMIFS(DATA_CAPITAL_FLOW!$H$294:$H$5206,DATA_CAPITAL_FLOW!$B$294:$B$5206,"Property",DATA_CAPITAL_FLOW!$D$294:$D$5206,$B177,DATA_CAPITAL_FLOW!$F$294:$F$5206,$C177)</f>
        <v>13770360.875769153</v>
      </c>
      <c r="G177" s="381">
        <f t="shared" ca="1" si="4"/>
        <v>0</v>
      </c>
      <c r="H177" s="348" t="str">
        <f t="shared" ca="1" si="5"/>
        <v>OK</v>
      </c>
      <c r="I177" s="366" t="s">
        <v>7171</v>
      </c>
    </row>
    <row r="178" spans="1:9">
      <c r="A178" s="366" t="s">
        <v>7344</v>
      </c>
      <c r="B178" s="348">
        <f>DATA_CAPITAL_FLOW!D178</f>
        <v>2035</v>
      </c>
      <c r="C178" s="366" t="s">
        <v>1697</v>
      </c>
      <c r="D178" s="366" t="s">
        <v>1683</v>
      </c>
      <c r="E178" s="381">
        <f>SUMIFS(DATA_CAPITAL_FLOW!$H$5:$H$293,DATA_CAPITAL_FLOW!$B$5:$B$293,"Portfolio",DATA_CAPITAL_FLOW!$D$5:$D$293,$B178,DATA_CAPITAL_FLOW!$F$5:$F$293,$C178)</f>
        <v>196745.69938715379</v>
      </c>
      <c r="F178" s="381">
        <f ca="1">SUMIFS(DATA_CAPITAL_FLOW!$H$294:$H$5206,DATA_CAPITAL_FLOW!$B$294:$B$5206,"Property",DATA_CAPITAL_FLOW!$D$294:$D$5206,$B178,DATA_CAPITAL_FLOW!$F$294:$F$5206,$C178)</f>
        <v>196745.69938715379</v>
      </c>
      <c r="G178" s="381">
        <f t="shared" ca="1" si="4"/>
        <v>0</v>
      </c>
      <c r="H178" s="348" t="str">
        <f t="shared" ca="1" si="5"/>
        <v>OK</v>
      </c>
      <c r="I178" s="366" t="s">
        <v>7171</v>
      </c>
    </row>
    <row r="179" spans="1:9">
      <c r="A179" s="366" t="s">
        <v>7345</v>
      </c>
      <c r="B179" s="348">
        <f>DATA_CAPITAL_FLOW!D179</f>
        <v>2035</v>
      </c>
      <c r="C179" s="366" t="s">
        <v>21</v>
      </c>
      <c r="D179" s="366" t="s">
        <v>1683</v>
      </c>
      <c r="E179" s="381">
        <f>SUMIFS(DATA_CAPITAL_FLOW!$H$5:$H$293,DATA_CAPITAL_FLOW!$B$5:$B$293,"Portfolio",DATA_CAPITAL_FLOW!$D$5:$D$293,$B179,DATA_CAPITAL_FLOW!$F$5:$F$293,$C179)</f>
        <v>13573615.176382</v>
      </c>
      <c r="F179" s="381">
        <f ca="1">SUMIFS(DATA_CAPITAL_FLOW!$H$294:$H$5206,DATA_CAPITAL_FLOW!$B$294:$B$5206,"Property",DATA_CAPITAL_FLOW!$D$294:$D$5206,$B179,DATA_CAPITAL_FLOW!$F$294:$F$5206,$C179)</f>
        <v>13573615.176382001</v>
      </c>
      <c r="G179" s="381">
        <f t="shared" ca="1" si="4"/>
        <v>0</v>
      </c>
      <c r="H179" s="348" t="str">
        <f t="shared" ca="1" si="5"/>
        <v>OK</v>
      </c>
      <c r="I179" s="366" t="s">
        <v>7171</v>
      </c>
    </row>
    <row r="180" spans="1:9">
      <c r="A180" s="366" t="s">
        <v>7346</v>
      </c>
      <c r="B180" s="348">
        <f>DATA_CAPITAL_FLOW!D180</f>
        <v>2035</v>
      </c>
      <c r="C180" s="366" t="s">
        <v>23</v>
      </c>
      <c r="D180" s="366" t="s">
        <v>23</v>
      </c>
      <c r="E180" s="381">
        <f>SUMIFS(DATA_CAPITAL_FLOW!$H$5:$H$293,DATA_CAPITAL_FLOW!$B$5:$B$293,"Portfolio",DATA_CAPITAL_FLOW!$D$5:$D$293,$B180,DATA_CAPITAL_FLOW!$F$5:$F$293,$C180)</f>
        <v>6811656.6125063812</v>
      </c>
      <c r="F180" s="381">
        <f ca="1">SUMIFS(DATA_CAPITAL_FLOW!$H$294:$H$5206,DATA_CAPITAL_FLOW!$B$294:$B$5206,"Property",DATA_CAPITAL_FLOW!$D$294:$D$5206,$B180,DATA_CAPITAL_FLOW!$F$294:$F$5206,$C180)</f>
        <v>6811656.6125063812</v>
      </c>
      <c r="G180" s="381">
        <f t="shared" ca="1" si="4"/>
        <v>0</v>
      </c>
      <c r="H180" s="348" t="str">
        <f t="shared" ca="1" si="5"/>
        <v>OK</v>
      </c>
      <c r="I180" s="366" t="s">
        <v>7171</v>
      </c>
    </row>
    <row r="181" spans="1:9">
      <c r="A181" s="366" t="s">
        <v>7347</v>
      </c>
      <c r="B181" s="348">
        <f>DATA_CAPITAL_FLOW!D181</f>
        <v>2035</v>
      </c>
      <c r="C181" s="366" t="s">
        <v>25</v>
      </c>
      <c r="D181" s="366" t="s">
        <v>1683</v>
      </c>
      <c r="E181" s="381">
        <f>SUMIFS(DATA_CAPITAL_FLOW!$H$5:$H$293,DATA_CAPITAL_FLOW!$B$5:$B$293,"Portfolio",DATA_CAPITAL_FLOW!$D$5:$D$293,$B181,DATA_CAPITAL_FLOW!$F$5:$F$293,$C181)</f>
        <v>6958704.263262772</v>
      </c>
      <c r="F181" s="381">
        <f ca="1">SUMIFS(DATA_CAPITAL_FLOW!$H$294:$H$5206,DATA_CAPITAL_FLOW!$B$294:$B$5206,"Property",DATA_CAPITAL_FLOW!$D$294:$D$5206,$B181,DATA_CAPITAL_FLOW!$F$294:$F$5206,$C181)</f>
        <v>6958704.2632627729</v>
      </c>
      <c r="G181" s="381">
        <f t="shared" ca="1" si="4"/>
        <v>0</v>
      </c>
      <c r="H181" s="348" t="str">
        <f t="shared" ca="1" si="5"/>
        <v>OK</v>
      </c>
      <c r="I181" s="366" t="s">
        <v>7171</v>
      </c>
    </row>
    <row r="182" spans="1:9">
      <c r="A182" s="366" t="s">
        <v>7348</v>
      </c>
      <c r="B182" s="348">
        <f>DATA_CAPITAL_FLOW!D182</f>
        <v>2035</v>
      </c>
      <c r="C182" s="366" t="s">
        <v>27</v>
      </c>
      <c r="D182" s="366" t="s">
        <v>1683</v>
      </c>
      <c r="E182" s="381">
        <f>SUMIFS(DATA_CAPITAL_FLOW!$H$5:$H$293,DATA_CAPITAL_FLOW!$B$5:$B$293,"Portfolio",DATA_CAPITAL_FLOW!$D$5:$D$293,$B182,DATA_CAPITAL_FLOW!$F$5:$F$293,$C182)</f>
        <v>4175222.5579576632</v>
      </c>
      <c r="F182" s="381">
        <f ca="1">SUMIFS(DATA_CAPITAL_FLOW!$H$294:$H$5206,DATA_CAPITAL_FLOW!$B$294:$B$5206,"Property",DATA_CAPITAL_FLOW!$D$294:$D$5206,$B182,DATA_CAPITAL_FLOW!$F$294:$F$5206,$C182)</f>
        <v>4175222.5579576637</v>
      </c>
      <c r="G182" s="381">
        <f t="shared" ca="1" si="4"/>
        <v>0</v>
      </c>
      <c r="H182" s="348" t="str">
        <f t="shared" ca="1" si="5"/>
        <v>OK</v>
      </c>
      <c r="I182" s="366" t="s">
        <v>7171</v>
      </c>
    </row>
    <row r="183" spans="1:9">
      <c r="A183" s="366" t="s">
        <v>7349</v>
      </c>
      <c r="B183" s="348">
        <f>DATA_CAPITAL_FLOW!D183</f>
        <v>2035</v>
      </c>
      <c r="C183" s="366" t="s">
        <v>29</v>
      </c>
      <c r="D183" s="366" t="s">
        <v>1683</v>
      </c>
      <c r="E183" s="381">
        <f>SUMIFS(DATA_CAPITAL_FLOW!$H$5:$H$293,DATA_CAPITAL_FLOW!$B$5:$B$293,"Portfolio",DATA_CAPITAL_FLOW!$D$5:$D$293,$B183,DATA_CAPITAL_FLOW!$F$5:$F$293,$C183)</f>
        <v>2783481.7053051088</v>
      </c>
      <c r="F183" s="381">
        <f ca="1">SUMIFS(DATA_CAPITAL_FLOW!$H$294:$H$5206,DATA_CAPITAL_FLOW!$B$294:$B$5206,"Property",DATA_CAPITAL_FLOW!$D$294:$D$5206,$B183,DATA_CAPITAL_FLOW!$F$294:$F$5206,$C183)</f>
        <v>2783481.7053051097</v>
      </c>
      <c r="G183" s="381">
        <f t="shared" ca="1" si="4"/>
        <v>0</v>
      </c>
      <c r="H183" s="348" t="str">
        <f t="shared" ca="1" si="5"/>
        <v>OK</v>
      </c>
      <c r="I183" s="366" t="s">
        <v>7171</v>
      </c>
    </row>
    <row r="184" spans="1:9">
      <c r="A184" s="366" t="s">
        <v>7350</v>
      </c>
      <c r="B184" s="348">
        <f>DATA_CAPITAL_FLOW!D184</f>
        <v>2035</v>
      </c>
      <c r="C184" s="366" t="s">
        <v>31</v>
      </c>
      <c r="D184" s="366" t="s">
        <v>1721</v>
      </c>
      <c r="E184" s="381">
        <f>SUMIFS(DATA_CAPITAL_FLOW!$H$5:$H$293,DATA_CAPITAL_FLOW!$B$5:$B$293,"Portfolio",DATA_CAPITAL_FLOW!$D$5:$D$293,$B184,DATA_CAPITAL_FLOW!$F$5:$F$293,$C184)</f>
        <v>0</v>
      </c>
      <c r="F184" s="381">
        <f ca="1">SUMIFS(DATA_CAPITAL_FLOW!$H$294:$H$5206,DATA_CAPITAL_FLOW!$B$294:$B$5206,"Property",DATA_CAPITAL_FLOW!$D$294:$D$5206,$B184,DATA_CAPITAL_FLOW!$F$294:$F$5206,$C184)</f>
        <v>0</v>
      </c>
      <c r="G184" s="381">
        <f t="shared" ca="1" si="4"/>
        <v>0</v>
      </c>
      <c r="H184" s="348" t="str">
        <f t="shared" ca="1" si="5"/>
        <v>OK</v>
      </c>
      <c r="I184" s="366" t="s">
        <v>7171</v>
      </c>
    </row>
    <row r="185" spans="1:9">
      <c r="A185" s="366" t="s">
        <v>7351</v>
      </c>
      <c r="B185" s="348">
        <f>DATA_CAPITAL_FLOW!D185</f>
        <v>2035</v>
      </c>
      <c r="C185" s="366" t="s">
        <v>33</v>
      </c>
      <c r="D185" s="366" t="s">
        <v>1721</v>
      </c>
      <c r="E185" s="381">
        <f>SUMIFS(DATA_CAPITAL_FLOW!$H$5:$H$293,DATA_CAPITAL_FLOW!$B$5:$B$293,"Portfolio",DATA_CAPITAL_FLOW!$D$5:$D$293,$B185,DATA_CAPITAL_FLOW!$F$5:$F$293,$C185)</f>
        <v>0</v>
      </c>
      <c r="F185" s="381">
        <f ca="1">SUMIFS(DATA_CAPITAL_FLOW!$H$294:$H$5206,DATA_CAPITAL_FLOW!$B$294:$B$5206,"Property",DATA_CAPITAL_FLOW!$D$294:$D$5206,$B185,DATA_CAPITAL_FLOW!$F$294:$F$5206,$C185)</f>
        <v>0</v>
      </c>
      <c r="G185" s="381">
        <f t="shared" ca="1" si="4"/>
        <v>0</v>
      </c>
      <c r="H185" s="348" t="str">
        <f t="shared" ca="1" si="5"/>
        <v>OK</v>
      </c>
      <c r="I185" s="366" t="s">
        <v>7171</v>
      </c>
    </row>
    <row r="186" spans="1:9">
      <c r="A186" s="366" t="s">
        <v>7352</v>
      </c>
      <c r="B186" s="348">
        <f>DATA_CAPITAL_FLOW!D186</f>
        <v>2035</v>
      </c>
      <c r="C186" s="366" t="s">
        <v>35</v>
      </c>
      <c r="D186" s="366" t="s">
        <v>1721</v>
      </c>
      <c r="E186" s="381">
        <f>SUMIFS(DATA_CAPITAL_FLOW!$H$5:$H$293,DATA_CAPITAL_FLOW!$B$5:$B$293,"Portfolio",DATA_CAPITAL_FLOW!$D$5:$D$293,$B186,DATA_CAPITAL_FLOW!$F$5:$F$293,$C186)</f>
        <v>0</v>
      </c>
      <c r="F186" s="381">
        <f ca="1">SUMIFS(DATA_CAPITAL_FLOW!$H$294:$H$5206,DATA_CAPITAL_FLOW!$B$294:$B$5206,"Property",DATA_CAPITAL_FLOW!$D$294:$D$5206,$B186,DATA_CAPITAL_FLOW!$F$294:$F$5206,$C186)</f>
        <v>0</v>
      </c>
      <c r="G186" s="381">
        <f t="shared" ca="1" si="4"/>
        <v>0</v>
      </c>
      <c r="H186" s="348" t="str">
        <f t="shared" ca="1" si="5"/>
        <v>OK</v>
      </c>
      <c r="I186" s="366" t="s">
        <v>7171</v>
      </c>
    </row>
    <row r="187" spans="1:9">
      <c r="A187" s="366" t="s">
        <v>7353</v>
      </c>
      <c r="B187" s="348">
        <f>DATA_CAPITAL_FLOW!D187</f>
        <v>2035</v>
      </c>
      <c r="C187" s="366" t="s">
        <v>37</v>
      </c>
      <c r="D187" s="366" t="s">
        <v>1721</v>
      </c>
      <c r="E187" s="381">
        <f>SUMIFS(DATA_CAPITAL_FLOW!$H$5:$H$293,DATA_CAPITAL_FLOW!$B$5:$B$293,"Portfolio",DATA_CAPITAL_FLOW!$D$5:$D$293,$B187,DATA_CAPITAL_FLOW!$F$5:$F$293,$C187)</f>
        <v>0</v>
      </c>
      <c r="F187" s="381">
        <f ca="1">SUMIFS(DATA_CAPITAL_FLOW!$H$294:$H$5206,DATA_CAPITAL_FLOW!$B$294:$B$5206,"Property",DATA_CAPITAL_FLOW!$D$294:$D$5206,$B187,DATA_CAPITAL_FLOW!$F$294:$F$5206,$C187)</f>
        <v>0</v>
      </c>
      <c r="G187" s="381">
        <f t="shared" ca="1" si="4"/>
        <v>0</v>
      </c>
      <c r="H187" s="348" t="str">
        <f t="shared" ca="1" si="5"/>
        <v>OK</v>
      </c>
      <c r="I187" s="366" t="s">
        <v>7171</v>
      </c>
    </row>
    <row r="188" spans="1:9">
      <c r="A188" s="366" t="s">
        <v>7354</v>
      </c>
      <c r="B188" s="348">
        <f>DATA_CAPITAL_FLOW!D188</f>
        <v>2035</v>
      </c>
      <c r="C188" s="366" t="s">
        <v>39</v>
      </c>
      <c r="D188" s="366" t="s">
        <v>1721</v>
      </c>
      <c r="E188" s="381">
        <f>SUMIFS(DATA_CAPITAL_FLOW!$H$5:$H$293,DATA_CAPITAL_FLOW!$B$5:$B$293,"Portfolio",DATA_CAPITAL_FLOW!$D$5:$D$293,$B188,DATA_CAPITAL_FLOW!$F$5:$F$293,$C188)</f>
        <v>0</v>
      </c>
      <c r="F188" s="381">
        <f ca="1">SUMIFS(DATA_CAPITAL_FLOW!$H$294:$H$5206,DATA_CAPITAL_FLOW!$B$294:$B$5206,"Property",DATA_CAPITAL_FLOW!$D$294:$D$5206,$B188,DATA_CAPITAL_FLOW!$F$294:$F$5206,$C188)</f>
        <v>0</v>
      </c>
      <c r="G188" s="381">
        <f t="shared" ca="1" si="4"/>
        <v>0</v>
      </c>
      <c r="H188" s="348" t="str">
        <f t="shared" ca="1" si="5"/>
        <v>OK</v>
      </c>
      <c r="I188" s="366" t="s">
        <v>7171</v>
      </c>
    </row>
    <row r="189" spans="1:9">
      <c r="A189" s="366" t="s">
        <v>7355</v>
      </c>
      <c r="B189" s="348">
        <f>DATA_CAPITAL_FLOW!D189</f>
        <v>2035</v>
      </c>
      <c r="C189" s="366" t="s">
        <v>41</v>
      </c>
      <c r="D189" s="366" t="s">
        <v>1741</v>
      </c>
      <c r="E189" s="381">
        <f>SUMIFS(DATA_CAPITAL_FLOW!$H$5:$H$293,DATA_CAPITAL_FLOW!$B$5:$B$293,"Portfolio",DATA_CAPITAL_FLOW!$D$5:$D$293,$B189,DATA_CAPITAL_FLOW!$F$5:$F$293,$C189)</f>
        <v>2783481.7053051088</v>
      </c>
      <c r="F189" s="381">
        <f ca="1">SUMIFS(DATA_CAPITAL_FLOW!$H$294:$H$5206,DATA_CAPITAL_FLOW!$B$294:$B$5206,"Property",DATA_CAPITAL_FLOW!$D$294:$D$5206,$B189,DATA_CAPITAL_FLOW!$F$294:$F$5206,$C189)</f>
        <v>2783481.7053051097</v>
      </c>
      <c r="G189" s="381">
        <f t="shared" ca="1" si="4"/>
        <v>0</v>
      </c>
      <c r="H189" s="348" t="str">
        <f t="shared" ca="1" si="5"/>
        <v>OK</v>
      </c>
      <c r="I189" s="366" t="s">
        <v>7171</v>
      </c>
    </row>
    <row r="190" spans="1:9">
      <c r="A190" s="366" t="s">
        <v>7356</v>
      </c>
      <c r="B190" s="348">
        <f>DATA_CAPITAL_FLOW!D190</f>
        <v>2035</v>
      </c>
      <c r="C190" s="366" t="s">
        <v>43</v>
      </c>
      <c r="D190" s="366" t="s">
        <v>1741</v>
      </c>
      <c r="E190" s="381">
        <f>SUMIFS(DATA_CAPITAL_FLOW!$H$5:$H$293,DATA_CAPITAL_FLOW!$B$5:$B$293,"Portfolio",DATA_CAPITAL_FLOW!$D$5:$D$293,$B190,DATA_CAPITAL_FLOW!$F$5:$F$293,$C190)</f>
        <v>2783481.7053051088</v>
      </c>
      <c r="F190" s="381">
        <f ca="1">SUMIFS(DATA_CAPITAL_FLOW!$H$294:$H$5206,DATA_CAPITAL_FLOW!$B$294:$B$5206,"Property",DATA_CAPITAL_FLOW!$D$294:$D$5206,$B190,DATA_CAPITAL_FLOW!$F$294:$F$5206,$C190)</f>
        <v>2783481.7053051097</v>
      </c>
      <c r="G190" s="381">
        <f t="shared" ca="1" si="4"/>
        <v>0</v>
      </c>
      <c r="H190" s="348" t="str">
        <f t="shared" ca="1" si="5"/>
        <v>OK</v>
      </c>
      <c r="I190" s="366" t="s">
        <v>7171</v>
      </c>
    </row>
    <row r="191" spans="1:9">
      <c r="A191" s="366" t="s">
        <v>7357</v>
      </c>
      <c r="B191" s="348">
        <f>DATA_CAPITAL_FLOW!D191</f>
        <v>2035</v>
      </c>
      <c r="C191" s="366" t="s">
        <v>1749</v>
      </c>
      <c r="D191" s="366" t="s">
        <v>1741</v>
      </c>
      <c r="E191" s="381">
        <f>SUMIFS(DATA_CAPITAL_FLOW!$H$5:$H$293,DATA_CAPITAL_FLOW!$B$5:$B$293,"Portfolio",DATA_CAPITAL_FLOW!$D$5:$D$293,$B191,DATA_CAPITAL_FLOW!$F$5:$F$293,$C191)</f>
        <v>0</v>
      </c>
      <c r="F191" s="381">
        <f ca="1">SUMIFS(DATA_CAPITAL_FLOW!$H$294:$H$5206,DATA_CAPITAL_FLOW!$B$294:$B$5206,"Property",DATA_CAPITAL_FLOW!$D$294:$D$5206,$B191,DATA_CAPITAL_FLOW!$F$294:$F$5206,$C191)</f>
        <v>0</v>
      </c>
      <c r="G191" s="381">
        <f t="shared" ca="1" si="4"/>
        <v>0</v>
      </c>
      <c r="H191" s="348" t="str">
        <f t="shared" ca="1" si="5"/>
        <v>OK</v>
      </c>
      <c r="I191" s="366" t="s">
        <v>7171</v>
      </c>
    </row>
    <row r="192" spans="1:9">
      <c r="A192" s="366" t="s">
        <v>7358</v>
      </c>
      <c r="B192" s="348">
        <f>DATA_CAPITAL_FLOW!D192</f>
        <v>2036</v>
      </c>
      <c r="C192" s="366" t="s">
        <v>341</v>
      </c>
      <c r="D192" s="366" t="s">
        <v>1683</v>
      </c>
      <c r="E192" s="381">
        <f>SUMIFS(DATA_CAPITAL_FLOW!$H$5:$H$293,DATA_CAPITAL_FLOW!$B$5:$B$293,"Portfolio",DATA_CAPITAL_FLOW!$D$5:$D$293,$B192,DATA_CAPITAL_FLOW!$F$5:$F$293,$C192)</f>
        <v>21841593.117500458</v>
      </c>
      <c r="F192" s="381">
        <f ca="1">SUMIFS(DATA_CAPITAL_FLOW!$H$294:$H$5206,DATA_CAPITAL_FLOW!$B$294:$B$5206,"Property",DATA_CAPITAL_FLOW!$D$294:$D$5206,$B192,DATA_CAPITAL_FLOW!$F$294:$F$5206,$C192)</f>
        <v>21841593.117500462</v>
      </c>
      <c r="G192" s="381">
        <f t="shared" ca="1" si="4"/>
        <v>0</v>
      </c>
      <c r="H192" s="348" t="str">
        <f t="shared" ca="1" si="5"/>
        <v>OK</v>
      </c>
      <c r="I192" s="366" t="s">
        <v>7171</v>
      </c>
    </row>
    <row r="193" spans="1:9">
      <c r="A193" s="366" t="s">
        <v>7359</v>
      </c>
      <c r="B193" s="348">
        <f>DATA_CAPITAL_FLOW!D193</f>
        <v>2036</v>
      </c>
      <c r="C193" s="366" t="s">
        <v>355</v>
      </c>
      <c r="D193" s="366" t="s">
        <v>1683</v>
      </c>
      <c r="E193" s="381">
        <f>SUMIFS(DATA_CAPITAL_FLOW!$H$5:$H$293,DATA_CAPITAL_FLOW!$B$5:$B$293,"Portfolio",DATA_CAPITAL_FLOW!$D$5:$D$293,$B193,DATA_CAPITAL_FLOW!$F$5:$F$293,$C193)</f>
        <v>8003055.9977660077</v>
      </c>
      <c r="F193" s="381">
        <f ca="1">SUMIFS(DATA_CAPITAL_FLOW!$H$294:$H$5206,DATA_CAPITAL_FLOW!$B$294:$B$5206,"Property",DATA_CAPITAL_FLOW!$D$294:$D$5206,$B193,DATA_CAPITAL_FLOW!$F$294:$F$5206,$C193)</f>
        <v>8003055.9977660077</v>
      </c>
      <c r="G193" s="381">
        <f t="shared" ca="1" si="4"/>
        <v>0</v>
      </c>
      <c r="H193" s="348" t="str">
        <f t="shared" ca="1" si="5"/>
        <v>OK</v>
      </c>
      <c r="I193" s="366" t="s">
        <v>7171</v>
      </c>
    </row>
    <row r="194" spans="1:9">
      <c r="A194" s="366" t="s">
        <v>7360</v>
      </c>
      <c r="B194" s="348">
        <f>DATA_CAPITAL_FLOW!D194</f>
        <v>2036</v>
      </c>
      <c r="C194" s="366" t="s">
        <v>19</v>
      </c>
      <c r="D194" s="366" t="s">
        <v>1683</v>
      </c>
      <c r="E194" s="381">
        <f>SUMIFS(DATA_CAPITAL_FLOW!$H$5:$H$293,DATA_CAPITAL_FLOW!$B$5:$B$293,"Portfolio",DATA_CAPITAL_FLOW!$D$5:$D$293,$B194,DATA_CAPITAL_FLOW!$F$5:$F$293,$C194)</f>
        <v>13838537.119734451</v>
      </c>
      <c r="F194" s="381">
        <f ca="1">SUMIFS(DATA_CAPITAL_FLOW!$H$294:$H$5206,DATA_CAPITAL_FLOW!$B$294:$B$5206,"Property",DATA_CAPITAL_FLOW!$D$294:$D$5206,$B194,DATA_CAPITAL_FLOW!$F$294:$F$5206,$C194)</f>
        <v>13838537.119734455</v>
      </c>
      <c r="G194" s="381">
        <f t="shared" ca="1" si="4"/>
        <v>0</v>
      </c>
      <c r="H194" s="348" t="str">
        <f t="shared" ca="1" si="5"/>
        <v>OK</v>
      </c>
      <c r="I194" s="366" t="s">
        <v>7171</v>
      </c>
    </row>
    <row r="195" spans="1:9">
      <c r="A195" s="366" t="s">
        <v>7361</v>
      </c>
      <c r="B195" s="348">
        <f>DATA_CAPITAL_FLOW!D195</f>
        <v>2036</v>
      </c>
      <c r="C195" s="366" t="s">
        <v>1697</v>
      </c>
      <c r="D195" s="366" t="s">
        <v>1683</v>
      </c>
      <c r="E195" s="381">
        <f>SUMIFS(DATA_CAPITAL_FLOW!$H$5:$H$293,DATA_CAPITAL_FLOW!$B$5:$B$293,"Portfolio",DATA_CAPITAL_FLOW!$D$5:$D$293,$B195,DATA_CAPITAL_FLOW!$F$5:$F$293,$C195)</f>
        <v>200680.61337489681</v>
      </c>
      <c r="F195" s="381">
        <f ca="1">SUMIFS(DATA_CAPITAL_FLOW!$H$294:$H$5206,DATA_CAPITAL_FLOW!$B$294:$B$5206,"Property",DATA_CAPITAL_FLOW!$D$294:$D$5206,$B195,DATA_CAPITAL_FLOW!$F$294:$F$5206,$C195)</f>
        <v>200680.61337489681</v>
      </c>
      <c r="G195" s="381">
        <f t="shared" ca="1" si="4"/>
        <v>0</v>
      </c>
      <c r="H195" s="348" t="str">
        <f t="shared" ca="1" si="5"/>
        <v>OK</v>
      </c>
      <c r="I195" s="366" t="s">
        <v>7171</v>
      </c>
    </row>
    <row r="196" spans="1:9">
      <c r="A196" s="366" t="s">
        <v>7362</v>
      </c>
      <c r="B196" s="348">
        <f>DATA_CAPITAL_FLOW!D196</f>
        <v>2036</v>
      </c>
      <c r="C196" s="366" t="s">
        <v>21</v>
      </c>
      <c r="D196" s="366" t="s">
        <v>1683</v>
      </c>
      <c r="E196" s="381">
        <f>SUMIFS(DATA_CAPITAL_FLOW!$H$5:$H$293,DATA_CAPITAL_FLOW!$B$5:$B$293,"Portfolio",DATA_CAPITAL_FLOW!$D$5:$D$293,$B196,DATA_CAPITAL_FLOW!$F$5:$F$293,$C196)</f>
        <v>13637856.506359555</v>
      </c>
      <c r="F196" s="381">
        <f ca="1">SUMIFS(DATA_CAPITAL_FLOW!$H$294:$H$5206,DATA_CAPITAL_FLOW!$B$294:$B$5206,"Property",DATA_CAPITAL_FLOW!$D$294:$D$5206,$B196,DATA_CAPITAL_FLOW!$F$294:$F$5206,$C196)</f>
        <v>13637856.506359559</v>
      </c>
      <c r="G196" s="381">
        <f t="shared" ca="1" si="4"/>
        <v>0</v>
      </c>
      <c r="H196" s="348" t="str">
        <f t="shared" ca="1" si="5"/>
        <v>OK</v>
      </c>
      <c r="I196" s="366" t="s">
        <v>7171</v>
      </c>
    </row>
    <row r="197" spans="1:9">
      <c r="A197" s="366" t="s">
        <v>7363</v>
      </c>
      <c r="B197" s="348">
        <f>DATA_CAPITAL_FLOW!D197</f>
        <v>2036</v>
      </c>
      <c r="C197" s="366" t="s">
        <v>23</v>
      </c>
      <c r="D197" s="366" t="s">
        <v>23</v>
      </c>
      <c r="E197" s="381">
        <f>SUMIFS(DATA_CAPITAL_FLOW!$H$5:$H$293,DATA_CAPITAL_FLOW!$B$5:$B$293,"Portfolio",DATA_CAPITAL_FLOW!$D$5:$D$293,$B197,DATA_CAPITAL_FLOW!$F$5:$F$293,$C197)</f>
        <v>6811656.6125063812</v>
      </c>
      <c r="F197" s="381">
        <f ca="1">SUMIFS(DATA_CAPITAL_FLOW!$H$294:$H$5206,DATA_CAPITAL_FLOW!$B$294:$B$5206,"Property",DATA_CAPITAL_FLOW!$D$294:$D$5206,$B197,DATA_CAPITAL_FLOW!$F$294:$F$5206,$C197)</f>
        <v>6811656.6125063812</v>
      </c>
      <c r="G197" s="381">
        <f t="shared" ref="G197:G260" ca="1" si="6">$E197-$F197</f>
        <v>0</v>
      </c>
      <c r="H197" s="348" t="str">
        <f t="shared" ref="H197:H260" ca="1" si="7">IF(ABS($G197)&lt;1,"OK","CHECK")</f>
        <v>OK</v>
      </c>
      <c r="I197" s="366" t="s">
        <v>7171</v>
      </c>
    </row>
    <row r="198" spans="1:9">
      <c r="A198" s="366" t="s">
        <v>7364</v>
      </c>
      <c r="B198" s="348">
        <f>DATA_CAPITAL_FLOW!D198</f>
        <v>2036</v>
      </c>
      <c r="C198" s="366" t="s">
        <v>25</v>
      </c>
      <c r="D198" s="366" t="s">
        <v>1683</v>
      </c>
      <c r="E198" s="381">
        <f>SUMIFS(DATA_CAPITAL_FLOW!$H$5:$H$293,DATA_CAPITAL_FLOW!$B$5:$B$293,"Portfolio",DATA_CAPITAL_FLOW!$D$5:$D$293,$B198,DATA_CAPITAL_FLOW!$F$5:$F$293,$C198)</f>
        <v>7026880.5072280699</v>
      </c>
      <c r="F198" s="381">
        <f ca="1">SUMIFS(DATA_CAPITAL_FLOW!$H$294:$H$5206,DATA_CAPITAL_FLOW!$B$294:$B$5206,"Property",DATA_CAPITAL_FLOW!$D$294:$D$5206,$B198,DATA_CAPITAL_FLOW!$F$294:$F$5206,$C198)</f>
        <v>7026880.5072280737</v>
      </c>
      <c r="G198" s="381">
        <f t="shared" ca="1" si="6"/>
        <v>0</v>
      </c>
      <c r="H198" s="348" t="str">
        <f t="shared" ca="1" si="7"/>
        <v>OK</v>
      </c>
      <c r="I198" s="366" t="s">
        <v>7171</v>
      </c>
    </row>
    <row r="199" spans="1:9">
      <c r="A199" s="366" t="s">
        <v>7365</v>
      </c>
      <c r="B199" s="348">
        <f>DATA_CAPITAL_FLOW!D199</f>
        <v>2036</v>
      </c>
      <c r="C199" s="366" t="s">
        <v>27</v>
      </c>
      <c r="D199" s="366" t="s">
        <v>1683</v>
      </c>
      <c r="E199" s="381">
        <f>SUMIFS(DATA_CAPITAL_FLOW!$H$5:$H$293,DATA_CAPITAL_FLOW!$B$5:$B$293,"Portfolio",DATA_CAPITAL_FLOW!$D$5:$D$293,$B199,DATA_CAPITAL_FLOW!$F$5:$F$293,$C199)</f>
        <v>4216128.3043368421</v>
      </c>
      <c r="F199" s="381">
        <f ca="1">SUMIFS(DATA_CAPITAL_FLOW!$H$294:$H$5206,DATA_CAPITAL_FLOW!$B$294:$B$5206,"Property",DATA_CAPITAL_FLOW!$D$294:$D$5206,$B199,DATA_CAPITAL_FLOW!$F$294:$F$5206,$C199)</f>
        <v>4216128.3043368449</v>
      </c>
      <c r="G199" s="381">
        <f t="shared" ca="1" si="6"/>
        <v>0</v>
      </c>
      <c r="H199" s="348" t="str">
        <f t="shared" ca="1" si="7"/>
        <v>OK</v>
      </c>
      <c r="I199" s="366" t="s">
        <v>7171</v>
      </c>
    </row>
    <row r="200" spans="1:9">
      <c r="A200" s="366" t="s">
        <v>7366</v>
      </c>
      <c r="B200" s="348">
        <f>DATA_CAPITAL_FLOW!D200</f>
        <v>2036</v>
      </c>
      <c r="C200" s="366" t="s">
        <v>29</v>
      </c>
      <c r="D200" s="366" t="s">
        <v>1683</v>
      </c>
      <c r="E200" s="381">
        <f>SUMIFS(DATA_CAPITAL_FLOW!$H$5:$H$293,DATA_CAPITAL_FLOW!$B$5:$B$293,"Portfolio",DATA_CAPITAL_FLOW!$D$5:$D$293,$B200,DATA_CAPITAL_FLOW!$F$5:$F$293,$C200)</f>
        <v>2810752.2028912278</v>
      </c>
      <c r="F200" s="381">
        <f ca="1">SUMIFS(DATA_CAPITAL_FLOW!$H$294:$H$5206,DATA_CAPITAL_FLOW!$B$294:$B$5206,"Property",DATA_CAPITAL_FLOW!$D$294:$D$5206,$B200,DATA_CAPITAL_FLOW!$F$294:$F$5206,$C200)</f>
        <v>2810752.2028912301</v>
      </c>
      <c r="G200" s="381">
        <f t="shared" ca="1" si="6"/>
        <v>0</v>
      </c>
      <c r="H200" s="348" t="str">
        <f t="shared" ca="1" si="7"/>
        <v>OK</v>
      </c>
      <c r="I200" s="366" t="s">
        <v>7171</v>
      </c>
    </row>
    <row r="201" spans="1:9">
      <c r="A201" s="366" t="s">
        <v>7367</v>
      </c>
      <c r="B201" s="348">
        <f>DATA_CAPITAL_FLOW!D201</f>
        <v>2036</v>
      </c>
      <c r="C201" s="366" t="s">
        <v>31</v>
      </c>
      <c r="D201" s="366" t="s">
        <v>1721</v>
      </c>
      <c r="E201" s="381">
        <f>SUMIFS(DATA_CAPITAL_FLOW!$H$5:$H$293,DATA_CAPITAL_FLOW!$B$5:$B$293,"Portfolio",DATA_CAPITAL_FLOW!$D$5:$D$293,$B201,DATA_CAPITAL_FLOW!$F$5:$F$293,$C201)</f>
        <v>0</v>
      </c>
      <c r="F201" s="381">
        <f ca="1">SUMIFS(DATA_CAPITAL_FLOW!$H$294:$H$5206,DATA_CAPITAL_FLOW!$B$294:$B$5206,"Property",DATA_CAPITAL_FLOW!$D$294:$D$5206,$B201,DATA_CAPITAL_FLOW!$F$294:$F$5206,$C201)</f>
        <v>0</v>
      </c>
      <c r="G201" s="381">
        <f t="shared" ca="1" si="6"/>
        <v>0</v>
      </c>
      <c r="H201" s="348" t="str">
        <f t="shared" ca="1" si="7"/>
        <v>OK</v>
      </c>
      <c r="I201" s="366" t="s">
        <v>7171</v>
      </c>
    </row>
    <row r="202" spans="1:9">
      <c r="A202" s="366" t="s">
        <v>7368</v>
      </c>
      <c r="B202" s="348">
        <f>DATA_CAPITAL_FLOW!D202</f>
        <v>2036</v>
      </c>
      <c r="C202" s="366" t="s">
        <v>33</v>
      </c>
      <c r="D202" s="366" t="s">
        <v>1721</v>
      </c>
      <c r="E202" s="381">
        <f>SUMIFS(DATA_CAPITAL_FLOW!$H$5:$H$293,DATA_CAPITAL_FLOW!$B$5:$B$293,"Portfolio",DATA_CAPITAL_FLOW!$D$5:$D$293,$B202,DATA_CAPITAL_FLOW!$F$5:$F$293,$C202)</f>
        <v>0</v>
      </c>
      <c r="F202" s="381">
        <f ca="1">SUMIFS(DATA_CAPITAL_FLOW!$H$294:$H$5206,DATA_CAPITAL_FLOW!$B$294:$B$5206,"Property",DATA_CAPITAL_FLOW!$D$294:$D$5206,$B202,DATA_CAPITAL_FLOW!$F$294:$F$5206,$C202)</f>
        <v>0</v>
      </c>
      <c r="G202" s="381">
        <f t="shared" ca="1" si="6"/>
        <v>0</v>
      </c>
      <c r="H202" s="348" t="str">
        <f t="shared" ca="1" si="7"/>
        <v>OK</v>
      </c>
      <c r="I202" s="366" t="s">
        <v>7171</v>
      </c>
    </row>
    <row r="203" spans="1:9">
      <c r="A203" s="366" t="s">
        <v>7369</v>
      </c>
      <c r="B203" s="348">
        <f>DATA_CAPITAL_FLOW!D203</f>
        <v>2036</v>
      </c>
      <c r="C203" s="366" t="s">
        <v>35</v>
      </c>
      <c r="D203" s="366" t="s">
        <v>1721</v>
      </c>
      <c r="E203" s="381">
        <f>SUMIFS(DATA_CAPITAL_FLOW!$H$5:$H$293,DATA_CAPITAL_FLOW!$B$5:$B$293,"Portfolio",DATA_CAPITAL_FLOW!$D$5:$D$293,$B203,DATA_CAPITAL_FLOW!$F$5:$F$293,$C203)</f>
        <v>0</v>
      </c>
      <c r="F203" s="381">
        <f ca="1">SUMIFS(DATA_CAPITAL_FLOW!$H$294:$H$5206,DATA_CAPITAL_FLOW!$B$294:$B$5206,"Property",DATA_CAPITAL_FLOW!$D$294:$D$5206,$B203,DATA_CAPITAL_FLOW!$F$294:$F$5206,$C203)</f>
        <v>0</v>
      </c>
      <c r="G203" s="381">
        <f t="shared" ca="1" si="6"/>
        <v>0</v>
      </c>
      <c r="H203" s="348" t="str">
        <f t="shared" ca="1" si="7"/>
        <v>OK</v>
      </c>
      <c r="I203" s="366" t="s">
        <v>7171</v>
      </c>
    </row>
    <row r="204" spans="1:9">
      <c r="A204" s="366" t="s">
        <v>7370</v>
      </c>
      <c r="B204" s="348">
        <f>DATA_CAPITAL_FLOW!D204</f>
        <v>2036</v>
      </c>
      <c r="C204" s="366" t="s">
        <v>37</v>
      </c>
      <c r="D204" s="366" t="s">
        <v>1721</v>
      </c>
      <c r="E204" s="381">
        <f>SUMIFS(DATA_CAPITAL_FLOW!$H$5:$H$293,DATA_CAPITAL_FLOW!$B$5:$B$293,"Portfolio",DATA_CAPITAL_FLOW!$D$5:$D$293,$B204,DATA_CAPITAL_FLOW!$F$5:$F$293,$C204)</f>
        <v>0</v>
      </c>
      <c r="F204" s="381">
        <f ca="1">SUMIFS(DATA_CAPITAL_FLOW!$H$294:$H$5206,DATA_CAPITAL_FLOW!$B$294:$B$5206,"Property",DATA_CAPITAL_FLOW!$D$294:$D$5206,$B204,DATA_CAPITAL_FLOW!$F$294:$F$5206,$C204)</f>
        <v>0</v>
      </c>
      <c r="G204" s="381">
        <f t="shared" ca="1" si="6"/>
        <v>0</v>
      </c>
      <c r="H204" s="348" t="str">
        <f t="shared" ca="1" si="7"/>
        <v>OK</v>
      </c>
      <c r="I204" s="366" t="s">
        <v>7171</v>
      </c>
    </row>
    <row r="205" spans="1:9">
      <c r="A205" s="366" t="s">
        <v>7371</v>
      </c>
      <c r="B205" s="348">
        <f>DATA_CAPITAL_FLOW!D205</f>
        <v>2036</v>
      </c>
      <c r="C205" s="366" t="s">
        <v>39</v>
      </c>
      <c r="D205" s="366" t="s">
        <v>1721</v>
      </c>
      <c r="E205" s="381">
        <f>SUMIFS(DATA_CAPITAL_FLOW!$H$5:$H$293,DATA_CAPITAL_FLOW!$B$5:$B$293,"Portfolio",DATA_CAPITAL_FLOW!$D$5:$D$293,$B205,DATA_CAPITAL_FLOW!$F$5:$F$293,$C205)</f>
        <v>0</v>
      </c>
      <c r="F205" s="381">
        <f ca="1">SUMIFS(DATA_CAPITAL_FLOW!$H$294:$H$5206,DATA_CAPITAL_FLOW!$B$294:$B$5206,"Property",DATA_CAPITAL_FLOW!$D$294:$D$5206,$B205,DATA_CAPITAL_FLOW!$F$294:$F$5206,$C205)</f>
        <v>0</v>
      </c>
      <c r="G205" s="381">
        <f t="shared" ca="1" si="6"/>
        <v>0</v>
      </c>
      <c r="H205" s="348" t="str">
        <f t="shared" ca="1" si="7"/>
        <v>OK</v>
      </c>
      <c r="I205" s="366" t="s">
        <v>7171</v>
      </c>
    </row>
    <row r="206" spans="1:9">
      <c r="A206" s="366" t="s">
        <v>7372</v>
      </c>
      <c r="B206" s="348">
        <f>DATA_CAPITAL_FLOW!D206</f>
        <v>2036</v>
      </c>
      <c r="C206" s="366" t="s">
        <v>41</v>
      </c>
      <c r="D206" s="366" t="s">
        <v>1741</v>
      </c>
      <c r="E206" s="381">
        <f>SUMIFS(DATA_CAPITAL_FLOW!$H$5:$H$293,DATA_CAPITAL_FLOW!$B$5:$B$293,"Portfolio",DATA_CAPITAL_FLOW!$D$5:$D$293,$B206,DATA_CAPITAL_FLOW!$F$5:$F$293,$C206)</f>
        <v>2810752.2028912278</v>
      </c>
      <c r="F206" s="381">
        <f ca="1">SUMIFS(DATA_CAPITAL_FLOW!$H$294:$H$5206,DATA_CAPITAL_FLOW!$B$294:$B$5206,"Property",DATA_CAPITAL_FLOW!$D$294:$D$5206,$B206,DATA_CAPITAL_FLOW!$F$294:$F$5206,$C206)</f>
        <v>2810752.2028912301</v>
      </c>
      <c r="G206" s="381">
        <f t="shared" ca="1" si="6"/>
        <v>0</v>
      </c>
      <c r="H206" s="348" t="str">
        <f t="shared" ca="1" si="7"/>
        <v>OK</v>
      </c>
      <c r="I206" s="366" t="s">
        <v>7171</v>
      </c>
    </row>
    <row r="207" spans="1:9">
      <c r="A207" s="366" t="s">
        <v>7373</v>
      </c>
      <c r="B207" s="348">
        <f>DATA_CAPITAL_FLOW!D207</f>
        <v>2036</v>
      </c>
      <c r="C207" s="366" t="s">
        <v>43</v>
      </c>
      <c r="D207" s="366" t="s">
        <v>1741</v>
      </c>
      <c r="E207" s="381">
        <f>SUMIFS(DATA_CAPITAL_FLOW!$H$5:$H$293,DATA_CAPITAL_FLOW!$B$5:$B$293,"Portfolio",DATA_CAPITAL_FLOW!$D$5:$D$293,$B207,DATA_CAPITAL_FLOW!$F$5:$F$293,$C207)</f>
        <v>2810752.2028912278</v>
      </c>
      <c r="F207" s="381">
        <f ca="1">SUMIFS(DATA_CAPITAL_FLOW!$H$294:$H$5206,DATA_CAPITAL_FLOW!$B$294:$B$5206,"Property",DATA_CAPITAL_FLOW!$D$294:$D$5206,$B207,DATA_CAPITAL_FLOW!$F$294:$F$5206,$C207)</f>
        <v>2810752.2028912301</v>
      </c>
      <c r="G207" s="381">
        <f t="shared" ca="1" si="6"/>
        <v>0</v>
      </c>
      <c r="H207" s="348" t="str">
        <f t="shared" ca="1" si="7"/>
        <v>OK</v>
      </c>
      <c r="I207" s="366" t="s">
        <v>7171</v>
      </c>
    </row>
    <row r="208" spans="1:9">
      <c r="A208" s="366" t="s">
        <v>7374</v>
      </c>
      <c r="B208" s="348">
        <f>DATA_CAPITAL_FLOW!D208</f>
        <v>2036</v>
      </c>
      <c r="C208" s="366" t="s">
        <v>1749</v>
      </c>
      <c r="D208" s="366" t="s">
        <v>1741</v>
      </c>
      <c r="E208" s="381">
        <f>SUMIFS(DATA_CAPITAL_FLOW!$H$5:$H$293,DATA_CAPITAL_FLOW!$B$5:$B$293,"Portfolio",DATA_CAPITAL_FLOW!$D$5:$D$293,$B208,DATA_CAPITAL_FLOW!$F$5:$F$293,$C208)</f>
        <v>0</v>
      </c>
      <c r="F208" s="381">
        <f ca="1">SUMIFS(DATA_CAPITAL_FLOW!$H$294:$H$5206,DATA_CAPITAL_FLOW!$B$294:$B$5206,"Property",DATA_CAPITAL_FLOW!$D$294:$D$5206,$B208,DATA_CAPITAL_FLOW!$F$294:$F$5206,$C208)</f>
        <v>0</v>
      </c>
      <c r="G208" s="381">
        <f t="shared" ca="1" si="6"/>
        <v>0</v>
      </c>
      <c r="H208" s="348" t="str">
        <f t="shared" ca="1" si="7"/>
        <v>OK</v>
      </c>
      <c r="I208" s="366" t="s">
        <v>7171</v>
      </c>
    </row>
    <row r="209" spans="1:9">
      <c r="A209" s="366" t="s">
        <v>7375</v>
      </c>
      <c r="B209" s="348">
        <f>DATA_CAPITAL_FLOW!D209</f>
        <v>2037</v>
      </c>
      <c r="C209" s="366" t="s">
        <v>341</v>
      </c>
      <c r="D209" s="366" t="s">
        <v>1683</v>
      </c>
      <c r="E209" s="381">
        <f>SUMIFS(DATA_CAPITAL_FLOW!$H$5:$H$293,DATA_CAPITAL_FLOW!$B$5:$B$293,"Portfolio",DATA_CAPITAL_FLOW!$D$5:$D$293,$B209,DATA_CAPITAL_FLOW!$F$5:$F$293,$C209)</f>
        <v>22278424.979850478</v>
      </c>
      <c r="F209" s="381">
        <f ca="1">SUMIFS(DATA_CAPITAL_FLOW!$H$294:$H$5206,DATA_CAPITAL_FLOW!$B$294:$B$5206,"Property",DATA_CAPITAL_FLOW!$D$294:$D$5206,$B209,DATA_CAPITAL_FLOW!$F$294:$F$5206,$C209)</f>
        <v>22278424.979850475</v>
      </c>
      <c r="G209" s="381">
        <f t="shared" ca="1" si="6"/>
        <v>0</v>
      </c>
      <c r="H209" s="348" t="str">
        <f t="shared" ca="1" si="7"/>
        <v>OK</v>
      </c>
      <c r="I209" s="366" t="s">
        <v>7171</v>
      </c>
    </row>
    <row r="210" spans="1:9">
      <c r="A210" s="366" t="s">
        <v>7376</v>
      </c>
      <c r="B210" s="348">
        <f>DATA_CAPITAL_FLOW!D210</f>
        <v>2037</v>
      </c>
      <c r="C210" s="366" t="s">
        <v>355</v>
      </c>
      <c r="D210" s="366" t="s">
        <v>1683</v>
      </c>
      <c r="E210" s="381">
        <f>SUMIFS(DATA_CAPITAL_FLOW!$H$5:$H$293,DATA_CAPITAL_FLOW!$B$5:$B$293,"Portfolio",DATA_CAPITAL_FLOW!$D$5:$D$293,$B210,DATA_CAPITAL_FLOW!$F$5:$F$293,$C210)</f>
        <v>8203132.3977101585</v>
      </c>
      <c r="F210" s="381">
        <f ca="1">SUMIFS(DATA_CAPITAL_FLOW!$H$294:$H$5206,DATA_CAPITAL_FLOW!$B$294:$B$5206,"Property",DATA_CAPITAL_FLOW!$D$294:$D$5206,$B210,DATA_CAPITAL_FLOW!$F$294:$F$5206,$C210)</f>
        <v>8203132.3977101576</v>
      </c>
      <c r="G210" s="381">
        <f t="shared" ca="1" si="6"/>
        <v>0</v>
      </c>
      <c r="H210" s="348" t="str">
        <f t="shared" ca="1" si="7"/>
        <v>OK</v>
      </c>
      <c r="I210" s="366" t="s">
        <v>7171</v>
      </c>
    </row>
    <row r="211" spans="1:9">
      <c r="A211" s="366" t="s">
        <v>7377</v>
      </c>
      <c r="B211" s="348">
        <f>DATA_CAPITAL_FLOW!D211</f>
        <v>2037</v>
      </c>
      <c r="C211" s="366" t="s">
        <v>19</v>
      </c>
      <c r="D211" s="366" t="s">
        <v>1683</v>
      </c>
      <c r="E211" s="381">
        <f>SUMIFS(DATA_CAPITAL_FLOW!$H$5:$H$293,DATA_CAPITAL_FLOW!$B$5:$B$293,"Portfolio",DATA_CAPITAL_FLOW!$D$5:$D$293,$B211,DATA_CAPITAL_FLOW!$F$5:$F$293,$C211)</f>
        <v>14075292.582140319</v>
      </c>
      <c r="F211" s="381">
        <f ca="1">SUMIFS(DATA_CAPITAL_FLOW!$H$294:$H$5206,DATA_CAPITAL_FLOW!$B$294:$B$5206,"Property",DATA_CAPITAL_FLOW!$D$294:$D$5206,$B211,DATA_CAPITAL_FLOW!$F$294:$F$5206,$C211)</f>
        <v>14075292.582140317</v>
      </c>
      <c r="G211" s="381">
        <f t="shared" ca="1" si="6"/>
        <v>0</v>
      </c>
      <c r="H211" s="348" t="str">
        <f t="shared" ca="1" si="7"/>
        <v>OK</v>
      </c>
      <c r="I211" s="366" t="s">
        <v>7171</v>
      </c>
    </row>
    <row r="212" spans="1:9">
      <c r="A212" s="366" t="s">
        <v>7378</v>
      </c>
      <c r="B212" s="348">
        <f>DATA_CAPITAL_FLOW!D212</f>
        <v>2037</v>
      </c>
      <c r="C212" s="366" t="s">
        <v>1697</v>
      </c>
      <c r="D212" s="366" t="s">
        <v>1683</v>
      </c>
      <c r="E212" s="381">
        <f>SUMIFS(DATA_CAPITAL_FLOW!$H$5:$H$293,DATA_CAPITAL_FLOW!$B$5:$B$293,"Portfolio",DATA_CAPITAL_FLOW!$D$5:$D$293,$B212,DATA_CAPITAL_FLOW!$F$5:$F$293,$C212)</f>
        <v>204694.2256423948</v>
      </c>
      <c r="F212" s="381">
        <f ca="1">SUMIFS(DATA_CAPITAL_FLOW!$H$294:$H$5206,DATA_CAPITAL_FLOW!$B$294:$B$5206,"Property",DATA_CAPITAL_FLOW!$D$294:$D$5206,$B212,DATA_CAPITAL_FLOW!$F$294:$F$5206,$C212)</f>
        <v>204694.2256423948</v>
      </c>
      <c r="G212" s="381">
        <f t="shared" ca="1" si="6"/>
        <v>0</v>
      </c>
      <c r="H212" s="348" t="str">
        <f t="shared" ca="1" si="7"/>
        <v>OK</v>
      </c>
      <c r="I212" s="366" t="s">
        <v>7171</v>
      </c>
    </row>
    <row r="213" spans="1:9">
      <c r="A213" s="366" t="s">
        <v>7379</v>
      </c>
      <c r="B213" s="348">
        <f>DATA_CAPITAL_FLOW!D213</f>
        <v>2037</v>
      </c>
      <c r="C213" s="366" t="s">
        <v>21</v>
      </c>
      <c r="D213" s="366" t="s">
        <v>1683</v>
      </c>
      <c r="E213" s="381">
        <f>SUMIFS(DATA_CAPITAL_FLOW!$H$5:$H$293,DATA_CAPITAL_FLOW!$B$5:$B$293,"Portfolio",DATA_CAPITAL_FLOW!$D$5:$D$293,$B213,DATA_CAPITAL_FLOW!$F$5:$F$293,$C213)</f>
        <v>13870598.356497925</v>
      </c>
      <c r="F213" s="381">
        <f ca="1">SUMIFS(DATA_CAPITAL_FLOW!$H$294:$H$5206,DATA_CAPITAL_FLOW!$B$294:$B$5206,"Property",DATA_CAPITAL_FLOW!$D$294:$D$5206,$B213,DATA_CAPITAL_FLOW!$F$294:$F$5206,$C213)</f>
        <v>13870598.356497923</v>
      </c>
      <c r="G213" s="381">
        <f t="shared" ca="1" si="6"/>
        <v>0</v>
      </c>
      <c r="H213" s="348" t="str">
        <f t="shared" ca="1" si="7"/>
        <v>OK</v>
      </c>
      <c r="I213" s="366" t="s">
        <v>7171</v>
      </c>
    </row>
    <row r="214" spans="1:9">
      <c r="A214" s="366" t="s">
        <v>7380</v>
      </c>
      <c r="B214" s="348">
        <f>DATA_CAPITAL_FLOW!D214</f>
        <v>2037</v>
      </c>
      <c r="C214" s="366" t="s">
        <v>23</v>
      </c>
      <c r="D214" s="366" t="s">
        <v>23</v>
      </c>
      <c r="E214" s="381">
        <f>SUMIFS(DATA_CAPITAL_FLOW!$H$5:$H$293,DATA_CAPITAL_FLOW!$B$5:$B$293,"Portfolio",DATA_CAPITAL_FLOW!$D$5:$D$293,$B214,DATA_CAPITAL_FLOW!$F$5:$F$293,$C214)</f>
        <v>6811656.6125063812</v>
      </c>
      <c r="F214" s="381">
        <f ca="1">SUMIFS(DATA_CAPITAL_FLOW!$H$294:$H$5206,DATA_CAPITAL_FLOW!$B$294:$B$5206,"Property",DATA_CAPITAL_FLOW!$D$294:$D$5206,$B214,DATA_CAPITAL_FLOW!$F$294:$F$5206,$C214)</f>
        <v>6811656.6125063812</v>
      </c>
      <c r="G214" s="381">
        <f t="shared" ca="1" si="6"/>
        <v>0</v>
      </c>
      <c r="H214" s="348" t="str">
        <f t="shared" ca="1" si="7"/>
        <v>OK</v>
      </c>
      <c r="I214" s="366" t="s">
        <v>7171</v>
      </c>
    </row>
    <row r="215" spans="1:9">
      <c r="A215" s="366" t="s">
        <v>7381</v>
      </c>
      <c r="B215" s="348">
        <f>DATA_CAPITAL_FLOW!D215</f>
        <v>2037</v>
      </c>
      <c r="C215" s="366" t="s">
        <v>25</v>
      </c>
      <c r="D215" s="366" t="s">
        <v>1683</v>
      </c>
      <c r="E215" s="381">
        <f>SUMIFS(DATA_CAPITAL_FLOW!$H$5:$H$293,DATA_CAPITAL_FLOW!$B$5:$B$293,"Portfolio",DATA_CAPITAL_FLOW!$D$5:$D$293,$B215,DATA_CAPITAL_FLOW!$F$5:$F$293,$C215)</f>
        <v>7263635.9696339378</v>
      </c>
      <c r="F215" s="381">
        <f ca="1">SUMIFS(DATA_CAPITAL_FLOW!$H$294:$H$5206,DATA_CAPITAL_FLOW!$B$294:$B$5206,"Property",DATA_CAPITAL_FLOW!$D$294:$D$5206,$B215,DATA_CAPITAL_FLOW!$F$294:$F$5206,$C215)</f>
        <v>7263635.9696339341</v>
      </c>
      <c r="G215" s="381">
        <f t="shared" ca="1" si="6"/>
        <v>0</v>
      </c>
      <c r="H215" s="348" t="str">
        <f t="shared" ca="1" si="7"/>
        <v>OK</v>
      </c>
      <c r="I215" s="366" t="s">
        <v>7171</v>
      </c>
    </row>
    <row r="216" spans="1:9">
      <c r="A216" s="366" t="s">
        <v>7382</v>
      </c>
      <c r="B216" s="348">
        <f>DATA_CAPITAL_FLOW!D216</f>
        <v>2037</v>
      </c>
      <c r="C216" s="366" t="s">
        <v>27</v>
      </c>
      <c r="D216" s="366" t="s">
        <v>1683</v>
      </c>
      <c r="E216" s="381">
        <f>SUMIFS(DATA_CAPITAL_FLOW!$H$5:$H$293,DATA_CAPITAL_FLOW!$B$5:$B$293,"Portfolio",DATA_CAPITAL_FLOW!$D$5:$D$293,$B216,DATA_CAPITAL_FLOW!$F$5:$F$293,$C216)</f>
        <v>4358181.5817803629</v>
      </c>
      <c r="F216" s="381">
        <f ca="1">SUMIFS(DATA_CAPITAL_FLOW!$H$294:$H$5206,DATA_CAPITAL_FLOW!$B$294:$B$5206,"Property",DATA_CAPITAL_FLOW!$D$294:$D$5206,$B216,DATA_CAPITAL_FLOW!$F$294:$F$5206,$C216)</f>
        <v>4358181.581780361</v>
      </c>
      <c r="G216" s="381">
        <f t="shared" ca="1" si="6"/>
        <v>0</v>
      </c>
      <c r="H216" s="348" t="str">
        <f t="shared" ca="1" si="7"/>
        <v>OK</v>
      </c>
      <c r="I216" s="366" t="s">
        <v>7171</v>
      </c>
    </row>
    <row r="217" spans="1:9">
      <c r="A217" s="366" t="s">
        <v>7383</v>
      </c>
      <c r="B217" s="348">
        <f>DATA_CAPITAL_FLOW!D217</f>
        <v>2037</v>
      </c>
      <c r="C217" s="366" t="s">
        <v>29</v>
      </c>
      <c r="D217" s="366" t="s">
        <v>1683</v>
      </c>
      <c r="E217" s="381">
        <f>SUMIFS(DATA_CAPITAL_FLOW!$H$5:$H$293,DATA_CAPITAL_FLOW!$B$5:$B$293,"Portfolio",DATA_CAPITAL_FLOW!$D$5:$D$293,$B217,DATA_CAPITAL_FLOW!$F$5:$F$293,$C217)</f>
        <v>2905454.3878535749</v>
      </c>
      <c r="F217" s="381">
        <f ca="1">SUMIFS(DATA_CAPITAL_FLOW!$H$294:$H$5206,DATA_CAPITAL_FLOW!$B$294:$B$5206,"Property",DATA_CAPITAL_FLOW!$D$294:$D$5206,$B217,DATA_CAPITAL_FLOW!$F$294:$F$5206,$C217)</f>
        <v>2905454.3878535735</v>
      </c>
      <c r="G217" s="381">
        <f t="shared" ca="1" si="6"/>
        <v>0</v>
      </c>
      <c r="H217" s="348" t="str">
        <f t="shared" ca="1" si="7"/>
        <v>OK</v>
      </c>
      <c r="I217" s="366" t="s">
        <v>7171</v>
      </c>
    </row>
    <row r="218" spans="1:9">
      <c r="A218" s="366" t="s">
        <v>7384</v>
      </c>
      <c r="B218" s="348">
        <f>DATA_CAPITAL_FLOW!D218</f>
        <v>2037</v>
      </c>
      <c r="C218" s="366" t="s">
        <v>31</v>
      </c>
      <c r="D218" s="366" t="s">
        <v>1721</v>
      </c>
      <c r="E218" s="381">
        <f>SUMIFS(DATA_CAPITAL_FLOW!$H$5:$H$293,DATA_CAPITAL_FLOW!$B$5:$B$293,"Portfolio",DATA_CAPITAL_FLOW!$D$5:$D$293,$B218,DATA_CAPITAL_FLOW!$F$5:$F$293,$C218)</f>
        <v>0</v>
      </c>
      <c r="F218" s="381">
        <f ca="1">SUMIFS(DATA_CAPITAL_FLOW!$H$294:$H$5206,DATA_CAPITAL_FLOW!$B$294:$B$5206,"Property",DATA_CAPITAL_FLOW!$D$294:$D$5206,$B218,DATA_CAPITAL_FLOW!$F$294:$F$5206,$C218)</f>
        <v>0</v>
      </c>
      <c r="G218" s="381">
        <f t="shared" ca="1" si="6"/>
        <v>0</v>
      </c>
      <c r="H218" s="348" t="str">
        <f t="shared" ca="1" si="7"/>
        <v>OK</v>
      </c>
      <c r="I218" s="366" t="s">
        <v>7171</v>
      </c>
    </row>
    <row r="219" spans="1:9">
      <c r="A219" s="366" t="s">
        <v>7385</v>
      </c>
      <c r="B219" s="348">
        <f>DATA_CAPITAL_FLOW!D219</f>
        <v>2037</v>
      </c>
      <c r="C219" s="366" t="s">
        <v>33</v>
      </c>
      <c r="D219" s="366" t="s">
        <v>1721</v>
      </c>
      <c r="E219" s="381">
        <f>SUMIFS(DATA_CAPITAL_FLOW!$H$5:$H$293,DATA_CAPITAL_FLOW!$B$5:$B$293,"Portfolio",DATA_CAPITAL_FLOW!$D$5:$D$293,$B219,DATA_CAPITAL_FLOW!$F$5:$F$293,$C219)</f>
        <v>0</v>
      </c>
      <c r="F219" s="381">
        <f ca="1">SUMIFS(DATA_CAPITAL_FLOW!$H$294:$H$5206,DATA_CAPITAL_FLOW!$B$294:$B$5206,"Property",DATA_CAPITAL_FLOW!$D$294:$D$5206,$B219,DATA_CAPITAL_FLOW!$F$294:$F$5206,$C219)</f>
        <v>0</v>
      </c>
      <c r="G219" s="381">
        <f t="shared" ca="1" si="6"/>
        <v>0</v>
      </c>
      <c r="H219" s="348" t="str">
        <f t="shared" ca="1" si="7"/>
        <v>OK</v>
      </c>
      <c r="I219" s="366" t="s">
        <v>7171</v>
      </c>
    </row>
    <row r="220" spans="1:9">
      <c r="A220" s="366" t="s">
        <v>7386</v>
      </c>
      <c r="B220" s="348">
        <f>DATA_CAPITAL_FLOW!D220</f>
        <v>2037</v>
      </c>
      <c r="C220" s="366" t="s">
        <v>35</v>
      </c>
      <c r="D220" s="366" t="s">
        <v>1721</v>
      </c>
      <c r="E220" s="381">
        <f>SUMIFS(DATA_CAPITAL_FLOW!$H$5:$H$293,DATA_CAPITAL_FLOW!$B$5:$B$293,"Portfolio",DATA_CAPITAL_FLOW!$D$5:$D$293,$B220,DATA_CAPITAL_FLOW!$F$5:$F$293,$C220)</f>
        <v>0</v>
      </c>
      <c r="F220" s="381">
        <f ca="1">SUMIFS(DATA_CAPITAL_FLOW!$H$294:$H$5206,DATA_CAPITAL_FLOW!$B$294:$B$5206,"Property",DATA_CAPITAL_FLOW!$D$294:$D$5206,$B220,DATA_CAPITAL_FLOW!$F$294:$F$5206,$C220)</f>
        <v>0</v>
      </c>
      <c r="G220" s="381">
        <f t="shared" ca="1" si="6"/>
        <v>0</v>
      </c>
      <c r="H220" s="348" t="str">
        <f t="shared" ca="1" si="7"/>
        <v>OK</v>
      </c>
      <c r="I220" s="366" t="s">
        <v>7171</v>
      </c>
    </row>
    <row r="221" spans="1:9">
      <c r="A221" s="366" t="s">
        <v>7387</v>
      </c>
      <c r="B221" s="348">
        <f>DATA_CAPITAL_FLOW!D221</f>
        <v>2037</v>
      </c>
      <c r="C221" s="366" t="s">
        <v>37</v>
      </c>
      <c r="D221" s="366" t="s">
        <v>1721</v>
      </c>
      <c r="E221" s="381">
        <f>SUMIFS(DATA_CAPITAL_FLOW!$H$5:$H$293,DATA_CAPITAL_FLOW!$B$5:$B$293,"Portfolio",DATA_CAPITAL_FLOW!$D$5:$D$293,$B221,DATA_CAPITAL_FLOW!$F$5:$F$293,$C221)</f>
        <v>0</v>
      </c>
      <c r="F221" s="381">
        <f ca="1">SUMIFS(DATA_CAPITAL_FLOW!$H$294:$H$5206,DATA_CAPITAL_FLOW!$B$294:$B$5206,"Property",DATA_CAPITAL_FLOW!$D$294:$D$5206,$B221,DATA_CAPITAL_FLOW!$F$294:$F$5206,$C221)</f>
        <v>0</v>
      </c>
      <c r="G221" s="381">
        <f t="shared" ca="1" si="6"/>
        <v>0</v>
      </c>
      <c r="H221" s="348" t="str">
        <f t="shared" ca="1" si="7"/>
        <v>OK</v>
      </c>
      <c r="I221" s="366" t="s">
        <v>7171</v>
      </c>
    </row>
    <row r="222" spans="1:9">
      <c r="A222" s="366" t="s">
        <v>7388</v>
      </c>
      <c r="B222" s="348">
        <f>DATA_CAPITAL_FLOW!D222</f>
        <v>2037</v>
      </c>
      <c r="C222" s="366" t="s">
        <v>39</v>
      </c>
      <c r="D222" s="366" t="s">
        <v>1721</v>
      </c>
      <c r="E222" s="381">
        <f>SUMIFS(DATA_CAPITAL_FLOW!$H$5:$H$293,DATA_CAPITAL_FLOW!$B$5:$B$293,"Portfolio",DATA_CAPITAL_FLOW!$D$5:$D$293,$B222,DATA_CAPITAL_FLOW!$F$5:$F$293,$C222)</f>
        <v>0</v>
      </c>
      <c r="F222" s="381">
        <f ca="1">SUMIFS(DATA_CAPITAL_FLOW!$H$294:$H$5206,DATA_CAPITAL_FLOW!$B$294:$B$5206,"Property",DATA_CAPITAL_FLOW!$D$294:$D$5206,$B222,DATA_CAPITAL_FLOW!$F$294:$F$5206,$C222)</f>
        <v>0</v>
      </c>
      <c r="G222" s="381">
        <f t="shared" ca="1" si="6"/>
        <v>0</v>
      </c>
      <c r="H222" s="348" t="str">
        <f t="shared" ca="1" si="7"/>
        <v>OK</v>
      </c>
      <c r="I222" s="366" t="s">
        <v>7171</v>
      </c>
    </row>
    <row r="223" spans="1:9">
      <c r="A223" s="366" t="s">
        <v>7389</v>
      </c>
      <c r="B223" s="348">
        <f>DATA_CAPITAL_FLOW!D223</f>
        <v>2037</v>
      </c>
      <c r="C223" s="366" t="s">
        <v>41</v>
      </c>
      <c r="D223" s="366" t="s">
        <v>1741</v>
      </c>
      <c r="E223" s="381">
        <f>SUMIFS(DATA_CAPITAL_FLOW!$H$5:$H$293,DATA_CAPITAL_FLOW!$B$5:$B$293,"Portfolio",DATA_CAPITAL_FLOW!$D$5:$D$293,$B223,DATA_CAPITAL_FLOW!$F$5:$F$293,$C223)</f>
        <v>2905454.3878535749</v>
      </c>
      <c r="F223" s="381">
        <f ca="1">SUMIFS(DATA_CAPITAL_FLOW!$H$294:$H$5206,DATA_CAPITAL_FLOW!$B$294:$B$5206,"Property",DATA_CAPITAL_FLOW!$D$294:$D$5206,$B223,DATA_CAPITAL_FLOW!$F$294:$F$5206,$C223)</f>
        <v>2905454.3878535735</v>
      </c>
      <c r="G223" s="381">
        <f t="shared" ca="1" si="6"/>
        <v>0</v>
      </c>
      <c r="H223" s="348" t="str">
        <f t="shared" ca="1" si="7"/>
        <v>OK</v>
      </c>
      <c r="I223" s="366" t="s">
        <v>7171</v>
      </c>
    </row>
    <row r="224" spans="1:9">
      <c r="A224" s="366" t="s">
        <v>7390</v>
      </c>
      <c r="B224" s="348">
        <f>DATA_CAPITAL_FLOW!D224</f>
        <v>2037</v>
      </c>
      <c r="C224" s="366" t="s">
        <v>43</v>
      </c>
      <c r="D224" s="366" t="s">
        <v>1741</v>
      </c>
      <c r="E224" s="381">
        <f>SUMIFS(DATA_CAPITAL_FLOW!$H$5:$H$293,DATA_CAPITAL_FLOW!$B$5:$B$293,"Portfolio",DATA_CAPITAL_FLOW!$D$5:$D$293,$B224,DATA_CAPITAL_FLOW!$F$5:$F$293,$C224)</f>
        <v>2905454.3878535749</v>
      </c>
      <c r="F224" s="381">
        <f ca="1">SUMIFS(DATA_CAPITAL_FLOW!$H$294:$H$5206,DATA_CAPITAL_FLOW!$B$294:$B$5206,"Property",DATA_CAPITAL_FLOW!$D$294:$D$5206,$B224,DATA_CAPITAL_FLOW!$F$294:$F$5206,$C224)</f>
        <v>2905454.3878535735</v>
      </c>
      <c r="G224" s="381">
        <f t="shared" ca="1" si="6"/>
        <v>0</v>
      </c>
      <c r="H224" s="348" t="str">
        <f t="shared" ca="1" si="7"/>
        <v>OK</v>
      </c>
      <c r="I224" s="366" t="s">
        <v>7171</v>
      </c>
    </row>
    <row r="225" spans="1:9">
      <c r="A225" s="366" t="s">
        <v>7391</v>
      </c>
      <c r="B225" s="348">
        <f>DATA_CAPITAL_FLOW!D225</f>
        <v>2037</v>
      </c>
      <c r="C225" s="366" t="s">
        <v>1749</v>
      </c>
      <c r="D225" s="366" t="s">
        <v>1741</v>
      </c>
      <c r="E225" s="381">
        <f>SUMIFS(DATA_CAPITAL_FLOW!$H$5:$H$293,DATA_CAPITAL_FLOW!$B$5:$B$293,"Portfolio",DATA_CAPITAL_FLOW!$D$5:$D$293,$B225,DATA_CAPITAL_FLOW!$F$5:$F$293,$C225)</f>
        <v>0</v>
      </c>
      <c r="F225" s="381">
        <f ca="1">SUMIFS(DATA_CAPITAL_FLOW!$H$294:$H$5206,DATA_CAPITAL_FLOW!$B$294:$B$5206,"Property",DATA_CAPITAL_FLOW!$D$294:$D$5206,$B225,DATA_CAPITAL_FLOW!$F$294:$F$5206,$C225)</f>
        <v>0</v>
      </c>
      <c r="G225" s="381">
        <f t="shared" ca="1" si="6"/>
        <v>0</v>
      </c>
      <c r="H225" s="348" t="str">
        <f t="shared" ca="1" si="7"/>
        <v>OK</v>
      </c>
      <c r="I225" s="366" t="s">
        <v>7171</v>
      </c>
    </row>
    <row r="226" spans="1:9">
      <c r="A226" s="366" t="s">
        <v>7392</v>
      </c>
      <c r="B226" s="348">
        <f>DATA_CAPITAL_FLOW!D226</f>
        <v>2038</v>
      </c>
      <c r="C226" s="366" t="s">
        <v>341</v>
      </c>
      <c r="D226" s="366" t="s">
        <v>1683</v>
      </c>
      <c r="E226" s="381">
        <f>SUMIFS(DATA_CAPITAL_FLOW!$H$5:$H$293,DATA_CAPITAL_FLOW!$B$5:$B$293,"Portfolio",DATA_CAPITAL_FLOW!$D$5:$D$293,$B226,DATA_CAPITAL_FLOW!$F$5:$F$293,$C226)</f>
        <v>22723993.479447484</v>
      </c>
      <c r="F226" s="381">
        <f ca="1">SUMIFS(DATA_CAPITAL_FLOW!$H$294:$H$5206,DATA_CAPITAL_FLOW!$B$294:$B$5206,"Property",DATA_CAPITAL_FLOW!$D$294:$D$5206,$B226,DATA_CAPITAL_FLOW!$F$294:$F$5206,$C226)</f>
        <v>22723993.479447484</v>
      </c>
      <c r="G226" s="381">
        <f t="shared" ca="1" si="6"/>
        <v>0</v>
      </c>
      <c r="H226" s="348" t="str">
        <f t="shared" ca="1" si="7"/>
        <v>OK</v>
      </c>
      <c r="I226" s="366" t="s">
        <v>7171</v>
      </c>
    </row>
    <row r="227" spans="1:9">
      <c r="A227" s="366" t="s">
        <v>7393</v>
      </c>
      <c r="B227" s="348">
        <f>DATA_CAPITAL_FLOW!D227</f>
        <v>2038</v>
      </c>
      <c r="C227" s="366" t="s">
        <v>355</v>
      </c>
      <c r="D227" s="366" t="s">
        <v>1683</v>
      </c>
      <c r="E227" s="381">
        <f>SUMIFS(DATA_CAPITAL_FLOW!$H$5:$H$293,DATA_CAPITAL_FLOW!$B$5:$B$293,"Portfolio",DATA_CAPITAL_FLOW!$D$5:$D$293,$B227,DATA_CAPITAL_FLOW!$F$5:$F$293,$C227)</f>
        <v>8408210.7076529097</v>
      </c>
      <c r="F227" s="381">
        <f ca="1">SUMIFS(DATA_CAPITAL_FLOW!$H$294:$H$5206,DATA_CAPITAL_FLOW!$B$294:$B$5206,"Property",DATA_CAPITAL_FLOW!$D$294:$D$5206,$B227,DATA_CAPITAL_FLOW!$F$294:$F$5206,$C227)</f>
        <v>8408210.7076529097</v>
      </c>
      <c r="G227" s="381">
        <f t="shared" ca="1" si="6"/>
        <v>0</v>
      </c>
      <c r="H227" s="348" t="str">
        <f t="shared" ca="1" si="7"/>
        <v>OK</v>
      </c>
      <c r="I227" s="366" t="s">
        <v>7171</v>
      </c>
    </row>
    <row r="228" spans="1:9">
      <c r="A228" s="366" t="s">
        <v>7394</v>
      </c>
      <c r="B228" s="348">
        <f>DATA_CAPITAL_FLOW!D228</f>
        <v>2038</v>
      </c>
      <c r="C228" s="366" t="s">
        <v>19</v>
      </c>
      <c r="D228" s="366" t="s">
        <v>1683</v>
      </c>
      <c r="E228" s="381">
        <f>SUMIFS(DATA_CAPITAL_FLOW!$H$5:$H$293,DATA_CAPITAL_FLOW!$B$5:$B$293,"Portfolio",DATA_CAPITAL_FLOW!$D$5:$D$293,$B228,DATA_CAPITAL_FLOW!$F$5:$F$293,$C228)</f>
        <v>14315782.771794574</v>
      </c>
      <c r="F228" s="381">
        <f ca="1">SUMIFS(DATA_CAPITAL_FLOW!$H$294:$H$5206,DATA_CAPITAL_FLOW!$B$294:$B$5206,"Property",DATA_CAPITAL_FLOW!$D$294:$D$5206,$B228,DATA_CAPITAL_FLOW!$F$294:$F$5206,$C228)</f>
        <v>14315782.771794572</v>
      </c>
      <c r="G228" s="381">
        <f t="shared" ca="1" si="6"/>
        <v>0</v>
      </c>
      <c r="H228" s="348" t="str">
        <f t="shared" ca="1" si="7"/>
        <v>OK</v>
      </c>
      <c r="I228" s="366" t="s">
        <v>7171</v>
      </c>
    </row>
    <row r="229" spans="1:9">
      <c r="A229" s="366" t="s">
        <v>7395</v>
      </c>
      <c r="B229" s="348">
        <f>DATA_CAPITAL_FLOW!D229</f>
        <v>2038</v>
      </c>
      <c r="C229" s="366" t="s">
        <v>1697</v>
      </c>
      <c r="D229" s="366" t="s">
        <v>1683</v>
      </c>
      <c r="E229" s="381">
        <f>SUMIFS(DATA_CAPITAL_FLOW!$H$5:$H$293,DATA_CAPITAL_FLOW!$B$5:$B$293,"Portfolio",DATA_CAPITAL_FLOW!$D$5:$D$293,$B229,DATA_CAPITAL_FLOW!$F$5:$F$293,$C229)</f>
        <v>208788.1101552427</v>
      </c>
      <c r="F229" s="381">
        <f ca="1">SUMIFS(DATA_CAPITAL_FLOW!$H$294:$H$5206,DATA_CAPITAL_FLOW!$B$294:$B$5206,"Property",DATA_CAPITAL_FLOW!$D$294:$D$5206,$B229,DATA_CAPITAL_FLOW!$F$294:$F$5206,$C229)</f>
        <v>208788.1101552427</v>
      </c>
      <c r="G229" s="381">
        <f t="shared" ca="1" si="6"/>
        <v>0</v>
      </c>
      <c r="H229" s="348" t="str">
        <f t="shared" ca="1" si="7"/>
        <v>OK</v>
      </c>
      <c r="I229" s="366" t="s">
        <v>7171</v>
      </c>
    </row>
    <row r="230" spans="1:9">
      <c r="A230" s="366" t="s">
        <v>7396</v>
      </c>
      <c r="B230" s="348">
        <f>DATA_CAPITAL_FLOW!D230</f>
        <v>2038</v>
      </c>
      <c r="C230" s="366" t="s">
        <v>21</v>
      </c>
      <c r="D230" s="366" t="s">
        <v>1683</v>
      </c>
      <c r="E230" s="381">
        <f>SUMIFS(DATA_CAPITAL_FLOW!$H$5:$H$293,DATA_CAPITAL_FLOW!$B$5:$B$293,"Portfolio",DATA_CAPITAL_FLOW!$D$5:$D$293,$B230,DATA_CAPITAL_FLOW!$F$5:$F$293,$C230)</f>
        <v>14106994.661639331</v>
      </c>
      <c r="F230" s="381">
        <f ca="1">SUMIFS(DATA_CAPITAL_FLOW!$H$294:$H$5206,DATA_CAPITAL_FLOW!$B$294:$B$5206,"Property",DATA_CAPITAL_FLOW!$D$294:$D$5206,$B230,DATA_CAPITAL_FLOW!$F$294:$F$5206,$C230)</f>
        <v>14106994.661639331</v>
      </c>
      <c r="G230" s="381">
        <f t="shared" ca="1" si="6"/>
        <v>0</v>
      </c>
      <c r="H230" s="348" t="str">
        <f t="shared" ca="1" si="7"/>
        <v>OK</v>
      </c>
      <c r="I230" s="366" t="s">
        <v>7171</v>
      </c>
    </row>
    <row r="231" spans="1:9">
      <c r="A231" s="366" t="s">
        <v>7397</v>
      </c>
      <c r="B231" s="348">
        <f>DATA_CAPITAL_FLOW!D231</f>
        <v>2038</v>
      </c>
      <c r="C231" s="366" t="s">
        <v>23</v>
      </c>
      <c r="D231" s="366" t="s">
        <v>23</v>
      </c>
      <c r="E231" s="381">
        <f>SUMIFS(DATA_CAPITAL_FLOW!$H$5:$H$293,DATA_CAPITAL_FLOW!$B$5:$B$293,"Portfolio",DATA_CAPITAL_FLOW!$D$5:$D$293,$B231,DATA_CAPITAL_FLOW!$F$5:$F$293,$C231)</f>
        <v>6811656.6125063812</v>
      </c>
      <c r="F231" s="381">
        <f ca="1">SUMIFS(DATA_CAPITAL_FLOW!$H$294:$H$5206,DATA_CAPITAL_FLOW!$B$294:$B$5206,"Property",DATA_CAPITAL_FLOW!$D$294:$D$5206,$B231,DATA_CAPITAL_FLOW!$F$294:$F$5206,$C231)</f>
        <v>6811656.6125063812</v>
      </c>
      <c r="G231" s="381">
        <f t="shared" ca="1" si="6"/>
        <v>0</v>
      </c>
      <c r="H231" s="348" t="str">
        <f t="shared" ca="1" si="7"/>
        <v>OK</v>
      </c>
      <c r="I231" s="366" t="s">
        <v>7171</v>
      </c>
    </row>
    <row r="232" spans="1:9">
      <c r="A232" s="366" t="s">
        <v>7398</v>
      </c>
      <c r="B232" s="348">
        <f>DATA_CAPITAL_FLOW!D232</f>
        <v>2038</v>
      </c>
      <c r="C232" s="366" t="s">
        <v>25</v>
      </c>
      <c r="D232" s="366" t="s">
        <v>1683</v>
      </c>
      <c r="E232" s="381">
        <f>SUMIFS(DATA_CAPITAL_FLOW!$H$5:$H$293,DATA_CAPITAL_FLOW!$B$5:$B$293,"Portfolio",DATA_CAPITAL_FLOW!$D$5:$D$293,$B232,DATA_CAPITAL_FLOW!$F$5:$F$293,$C232)</f>
        <v>7504126.1592881931</v>
      </c>
      <c r="F232" s="381">
        <f ca="1">SUMIFS(DATA_CAPITAL_FLOW!$H$294:$H$5206,DATA_CAPITAL_FLOW!$B$294:$B$5206,"Property",DATA_CAPITAL_FLOW!$D$294:$D$5206,$B232,DATA_CAPITAL_FLOW!$F$294:$F$5206,$C232)</f>
        <v>7504126.1592881922</v>
      </c>
      <c r="G232" s="381">
        <f t="shared" ca="1" si="6"/>
        <v>0</v>
      </c>
      <c r="H232" s="348" t="str">
        <f t="shared" ca="1" si="7"/>
        <v>OK</v>
      </c>
      <c r="I232" s="366" t="s">
        <v>7171</v>
      </c>
    </row>
    <row r="233" spans="1:9">
      <c r="A233" s="366" t="s">
        <v>7399</v>
      </c>
      <c r="B233" s="348">
        <f>DATA_CAPITAL_FLOW!D233</f>
        <v>2038</v>
      </c>
      <c r="C233" s="366" t="s">
        <v>27</v>
      </c>
      <c r="D233" s="366" t="s">
        <v>1683</v>
      </c>
      <c r="E233" s="381">
        <f>SUMIFS(DATA_CAPITAL_FLOW!$H$5:$H$293,DATA_CAPITAL_FLOW!$B$5:$B$293,"Portfolio",DATA_CAPITAL_FLOW!$D$5:$D$293,$B233,DATA_CAPITAL_FLOW!$F$5:$F$293,$C233)</f>
        <v>4502475.6955729155</v>
      </c>
      <c r="F233" s="381">
        <f ca="1">SUMIFS(DATA_CAPITAL_FLOW!$H$294:$H$5206,DATA_CAPITAL_FLOW!$B$294:$B$5206,"Property",DATA_CAPITAL_FLOW!$D$294:$D$5206,$B233,DATA_CAPITAL_FLOW!$F$294:$F$5206,$C233)</f>
        <v>4502475.6955729155</v>
      </c>
      <c r="G233" s="381">
        <f t="shared" ca="1" si="6"/>
        <v>0</v>
      </c>
      <c r="H233" s="348" t="str">
        <f t="shared" ca="1" si="7"/>
        <v>OK</v>
      </c>
      <c r="I233" s="366" t="s">
        <v>7171</v>
      </c>
    </row>
    <row r="234" spans="1:9">
      <c r="A234" s="366" t="s">
        <v>7400</v>
      </c>
      <c r="B234" s="348">
        <f>DATA_CAPITAL_FLOW!D234</f>
        <v>2038</v>
      </c>
      <c r="C234" s="366" t="s">
        <v>29</v>
      </c>
      <c r="D234" s="366" t="s">
        <v>1683</v>
      </c>
      <c r="E234" s="381">
        <f>SUMIFS(DATA_CAPITAL_FLOW!$H$5:$H$293,DATA_CAPITAL_FLOW!$B$5:$B$293,"Portfolio",DATA_CAPITAL_FLOW!$D$5:$D$293,$B234,DATA_CAPITAL_FLOW!$F$5:$F$293,$C234)</f>
        <v>3001650.4637152776</v>
      </c>
      <c r="F234" s="381">
        <f ca="1">SUMIFS(DATA_CAPITAL_FLOW!$H$294:$H$5206,DATA_CAPITAL_FLOW!$B$294:$B$5206,"Property",DATA_CAPITAL_FLOW!$D$294:$D$5206,$B234,DATA_CAPITAL_FLOW!$F$294:$F$5206,$C234)</f>
        <v>3001650.4637152771</v>
      </c>
      <c r="G234" s="381">
        <f t="shared" ca="1" si="6"/>
        <v>0</v>
      </c>
      <c r="H234" s="348" t="str">
        <f t="shared" ca="1" si="7"/>
        <v>OK</v>
      </c>
      <c r="I234" s="366" t="s">
        <v>7171</v>
      </c>
    </row>
    <row r="235" spans="1:9">
      <c r="A235" s="366" t="s">
        <v>7401</v>
      </c>
      <c r="B235" s="348">
        <f>DATA_CAPITAL_FLOW!D235</f>
        <v>2038</v>
      </c>
      <c r="C235" s="366" t="s">
        <v>31</v>
      </c>
      <c r="D235" s="366" t="s">
        <v>1721</v>
      </c>
      <c r="E235" s="381">
        <f>SUMIFS(DATA_CAPITAL_FLOW!$H$5:$H$293,DATA_CAPITAL_FLOW!$B$5:$B$293,"Portfolio",DATA_CAPITAL_FLOW!$D$5:$D$293,$B235,DATA_CAPITAL_FLOW!$F$5:$F$293,$C235)</f>
        <v>0</v>
      </c>
      <c r="F235" s="381">
        <f ca="1">SUMIFS(DATA_CAPITAL_FLOW!$H$294:$H$5206,DATA_CAPITAL_FLOW!$B$294:$B$5206,"Property",DATA_CAPITAL_FLOW!$D$294:$D$5206,$B235,DATA_CAPITAL_FLOW!$F$294:$F$5206,$C235)</f>
        <v>0</v>
      </c>
      <c r="G235" s="381">
        <f t="shared" ca="1" si="6"/>
        <v>0</v>
      </c>
      <c r="H235" s="348" t="str">
        <f t="shared" ca="1" si="7"/>
        <v>OK</v>
      </c>
      <c r="I235" s="366" t="s">
        <v>7171</v>
      </c>
    </row>
    <row r="236" spans="1:9">
      <c r="A236" s="366" t="s">
        <v>7402</v>
      </c>
      <c r="B236" s="348">
        <f>DATA_CAPITAL_FLOW!D236</f>
        <v>2038</v>
      </c>
      <c r="C236" s="366" t="s">
        <v>33</v>
      </c>
      <c r="D236" s="366" t="s">
        <v>1721</v>
      </c>
      <c r="E236" s="381">
        <f>SUMIFS(DATA_CAPITAL_FLOW!$H$5:$H$293,DATA_CAPITAL_FLOW!$B$5:$B$293,"Portfolio",DATA_CAPITAL_FLOW!$D$5:$D$293,$B236,DATA_CAPITAL_FLOW!$F$5:$F$293,$C236)</f>
        <v>0</v>
      </c>
      <c r="F236" s="381">
        <f ca="1">SUMIFS(DATA_CAPITAL_FLOW!$H$294:$H$5206,DATA_CAPITAL_FLOW!$B$294:$B$5206,"Property",DATA_CAPITAL_FLOW!$D$294:$D$5206,$B236,DATA_CAPITAL_FLOW!$F$294:$F$5206,$C236)</f>
        <v>0</v>
      </c>
      <c r="G236" s="381">
        <f t="shared" ca="1" si="6"/>
        <v>0</v>
      </c>
      <c r="H236" s="348" t="str">
        <f t="shared" ca="1" si="7"/>
        <v>OK</v>
      </c>
      <c r="I236" s="366" t="s">
        <v>7171</v>
      </c>
    </row>
    <row r="237" spans="1:9">
      <c r="A237" s="366" t="s">
        <v>7403</v>
      </c>
      <c r="B237" s="348">
        <f>DATA_CAPITAL_FLOW!D237</f>
        <v>2038</v>
      </c>
      <c r="C237" s="366" t="s">
        <v>35</v>
      </c>
      <c r="D237" s="366" t="s">
        <v>1721</v>
      </c>
      <c r="E237" s="381">
        <f>SUMIFS(DATA_CAPITAL_FLOW!$H$5:$H$293,DATA_CAPITAL_FLOW!$B$5:$B$293,"Portfolio",DATA_CAPITAL_FLOW!$D$5:$D$293,$B237,DATA_CAPITAL_FLOW!$F$5:$F$293,$C237)</f>
        <v>0</v>
      </c>
      <c r="F237" s="381">
        <f ca="1">SUMIFS(DATA_CAPITAL_FLOW!$H$294:$H$5206,DATA_CAPITAL_FLOW!$B$294:$B$5206,"Property",DATA_CAPITAL_FLOW!$D$294:$D$5206,$B237,DATA_CAPITAL_FLOW!$F$294:$F$5206,$C237)</f>
        <v>0</v>
      </c>
      <c r="G237" s="381">
        <f t="shared" ca="1" si="6"/>
        <v>0</v>
      </c>
      <c r="H237" s="348" t="str">
        <f t="shared" ca="1" si="7"/>
        <v>OK</v>
      </c>
      <c r="I237" s="366" t="s">
        <v>7171</v>
      </c>
    </row>
    <row r="238" spans="1:9">
      <c r="A238" s="366" t="s">
        <v>7404</v>
      </c>
      <c r="B238" s="348">
        <f>DATA_CAPITAL_FLOW!D238</f>
        <v>2038</v>
      </c>
      <c r="C238" s="366" t="s">
        <v>37</v>
      </c>
      <c r="D238" s="366" t="s">
        <v>1721</v>
      </c>
      <c r="E238" s="381">
        <f>SUMIFS(DATA_CAPITAL_FLOW!$H$5:$H$293,DATA_CAPITAL_FLOW!$B$5:$B$293,"Portfolio",DATA_CAPITAL_FLOW!$D$5:$D$293,$B238,DATA_CAPITAL_FLOW!$F$5:$F$293,$C238)</f>
        <v>0</v>
      </c>
      <c r="F238" s="381">
        <f ca="1">SUMIFS(DATA_CAPITAL_FLOW!$H$294:$H$5206,DATA_CAPITAL_FLOW!$B$294:$B$5206,"Property",DATA_CAPITAL_FLOW!$D$294:$D$5206,$B238,DATA_CAPITAL_FLOW!$F$294:$F$5206,$C238)</f>
        <v>0</v>
      </c>
      <c r="G238" s="381">
        <f t="shared" ca="1" si="6"/>
        <v>0</v>
      </c>
      <c r="H238" s="348" t="str">
        <f t="shared" ca="1" si="7"/>
        <v>OK</v>
      </c>
      <c r="I238" s="366" t="s">
        <v>7171</v>
      </c>
    </row>
    <row r="239" spans="1:9">
      <c r="A239" s="366" t="s">
        <v>7405</v>
      </c>
      <c r="B239" s="348">
        <f>DATA_CAPITAL_FLOW!D239</f>
        <v>2038</v>
      </c>
      <c r="C239" s="366" t="s">
        <v>39</v>
      </c>
      <c r="D239" s="366" t="s">
        <v>1721</v>
      </c>
      <c r="E239" s="381">
        <f>SUMIFS(DATA_CAPITAL_FLOW!$H$5:$H$293,DATA_CAPITAL_FLOW!$B$5:$B$293,"Portfolio",DATA_CAPITAL_FLOW!$D$5:$D$293,$B239,DATA_CAPITAL_FLOW!$F$5:$F$293,$C239)</f>
        <v>0</v>
      </c>
      <c r="F239" s="381">
        <f ca="1">SUMIFS(DATA_CAPITAL_FLOW!$H$294:$H$5206,DATA_CAPITAL_FLOW!$B$294:$B$5206,"Property",DATA_CAPITAL_FLOW!$D$294:$D$5206,$B239,DATA_CAPITAL_FLOW!$F$294:$F$5206,$C239)</f>
        <v>0</v>
      </c>
      <c r="G239" s="381">
        <f t="shared" ca="1" si="6"/>
        <v>0</v>
      </c>
      <c r="H239" s="348" t="str">
        <f t="shared" ca="1" si="7"/>
        <v>OK</v>
      </c>
      <c r="I239" s="366" t="s">
        <v>7171</v>
      </c>
    </row>
    <row r="240" spans="1:9">
      <c r="A240" s="366" t="s">
        <v>7406</v>
      </c>
      <c r="B240" s="348">
        <f>DATA_CAPITAL_FLOW!D240</f>
        <v>2038</v>
      </c>
      <c r="C240" s="366" t="s">
        <v>41</v>
      </c>
      <c r="D240" s="366" t="s">
        <v>1741</v>
      </c>
      <c r="E240" s="381">
        <f>SUMIFS(DATA_CAPITAL_FLOW!$H$5:$H$293,DATA_CAPITAL_FLOW!$B$5:$B$293,"Portfolio",DATA_CAPITAL_FLOW!$D$5:$D$293,$B240,DATA_CAPITAL_FLOW!$F$5:$F$293,$C240)</f>
        <v>3001650.4637152776</v>
      </c>
      <c r="F240" s="381">
        <f ca="1">SUMIFS(DATA_CAPITAL_FLOW!$H$294:$H$5206,DATA_CAPITAL_FLOW!$B$294:$B$5206,"Property",DATA_CAPITAL_FLOW!$D$294:$D$5206,$B240,DATA_CAPITAL_FLOW!$F$294:$F$5206,$C240)</f>
        <v>3001650.4637152771</v>
      </c>
      <c r="G240" s="381">
        <f t="shared" ca="1" si="6"/>
        <v>0</v>
      </c>
      <c r="H240" s="348" t="str">
        <f t="shared" ca="1" si="7"/>
        <v>OK</v>
      </c>
      <c r="I240" s="366" t="s">
        <v>7171</v>
      </c>
    </row>
    <row r="241" spans="1:9">
      <c r="A241" s="366" t="s">
        <v>7407</v>
      </c>
      <c r="B241" s="348">
        <f>DATA_CAPITAL_FLOW!D241</f>
        <v>2038</v>
      </c>
      <c r="C241" s="366" t="s">
        <v>43</v>
      </c>
      <c r="D241" s="366" t="s">
        <v>1741</v>
      </c>
      <c r="E241" s="381">
        <f>SUMIFS(DATA_CAPITAL_FLOW!$H$5:$H$293,DATA_CAPITAL_FLOW!$B$5:$B$293,"Portfolio",DATA_CAPITAL_FLOW!$D$5:$D$293,$B241,DATA_CAPITAL_FLOW!$F$5:$F$293,$C241)</f>
        <v>3001650.4637152776</v>
      </c>
      <c r="F241" s="381">
        <f ca="1">SUMIFS(DATA_CAPITAL_FLOW!$H$294:$H$5206,DATA_CAPITAL_FLOW!$B$294:$B$5206,"Property",DATA_CAPITAL_FLOW!$D$294:$D$5206,$B241,DATA_CAPITAL_FLOW!$F$294:$F$5206,$C241)</f>
        <v>3001650.4637152771</v>
      </c>
      <c r="G241" s="381">
        <f t="shared" ca="1" si="6"/>
        <v>0</v>
      </c>
      <c r="H241" s="348" t="str">
        <f t="shared" ca="1" si="7"/>
        <v>OK</v>
      </c>
      <c r="I241" s="366" t="s">
        <v>7171</v>
      </c>
    </row>
    <row r="242" spans="1:9">
      <c r="A242" s="366" t="s">
        <v>7408</v>
      </c>
      <c r="B242" s="348">
        <f>DATA_CAPITAL_FLOW!D242</f>
        <v>2038</v>
      </c>
      <c r="C242" s="366" t="s">
        <v>1749</v>
      </c>
      <c r="D242" s="366" t="s">
        <v>1741</v>
      </c>
      <c r="E242" s="381">
        <f>SUMIFS(DATA_CAPITAL_FLOW!$H$5:$H$293,DATA_CAPITAL_FLOW!$B$5:$B$293,"Portfolio",DATA_CAPITAL_FLOW!$D$5:$D$293,$B242,DATA_CAPITAL_FLOW!$F$5:$F$293,$C242)</f>
        <v>0</v>
      </c>
      <c r="F242" s="381">
        <f ca="1">SUMIFS(DATA_CAPITAL_FLOW!$H$294:$H$5206,DATA_CAPITAL_FLOW!$B$294:$B$5206,"Property",DATA_CAPITAL_FLOW!$D$294:$D$5206,$B242,DATA_CAPITAL_FLOW!$F$294:$F$5206,$C242)</f>
        <v>0</v>
      </c>
      <c r="G242" s="381">
        <f t="shared" ca="1" si="6"/>
        <v>0</v>
      </c>
      <c r="H242" s="348" t="str">
        <f t="shared" ca="1" si="7"/>
        <v>OK</v>
      </c>
      <c r="I242" s="366" t="s">
        <v>7171</v>
      </c>
    </row>
    <row r="243" spans="1:9">
      <c r="A243" s="366" t="s">
        <v>7409</v>
      </c>
      <c r="B243" s="348">
        <f>DATA_CAPITAL_FLOW!D243</f>
        <v>2039</v>
      </c>
      <c r="C243" s="366" t="s">
        <v>341</v>
      </c>
      <c r="D243" s="366" t="s">
        <v>1683</v>
      </c>
      <c r="E243" s="381">
        <f>SUMIFS(DATA_CAPITAL_FLOW!$H$5:$H$293,DATA_CAPITAL_FLOW!$B$5:$B$293,"Portfolio",DATA_CAPITAL_FLOW!$D$5:$D$293,$B243,DATA_CAPITAL_FLOW!$F$5:$F$293,$C243)</f>
        <v>23178473.34903644</v>
      </c>
      <c r="F243" s="381">
        <f ca="1">SUMIFS(DATA_CAPITAL_FLOW!$H$294:$H$5206,DATA_CAPITAL_FLOW!$B$294:$B$5206,"Property",DATA_CAPITAL_FLOW!$D$294:$D$5206,$B243,DATA_CAPITAL_FLOW!$F$294:$F$5206,$C243)</f>
        <v>23178473.349036437</v>
      </c>
      <c r="G243" s="381">
        <f t="shared" ca="1" si="6"/>
        <v>0</v>
      </c>
      <c r="H243" s="348" t="str">
        <f t="shared" ca="1" si="7"/>
        <v>OK</v>
      </c>
      <c r="I243" s="366" t="s">
        <v>7171</v>
      </c>
    </row>
    <row r="244" spans="1:9">
      <c r="A244" s="366" t="s">
        <v>7410</v>
      </c>
      <c r="B244" s="348">
        <f>DATA_CAPITAL_FLOW!D244</f>
        <v>2039</v>
      </c>
      <c r="C244" s="366" t="s">
        <v>355</v>
      </c>
      <c r="D244" s="366" t="s">
        <v>1683</v>
      </c>
      <c r="E244" s="381">
        <f>SUMIFS(DATA_CAPITAL_FLOW!$H$5:$H$293,DATA_CAPITAL_FLOW!$B$5:$B$293,"Portfolio",DATA_CAPITAL_FLOW!$D$5:$D$293,$B244,DATA_CAPITAL_FLOW!$F$5:$F$293,$C244)</f>
        <v>8618415.9753442314</v>
      </c>
      <c r="F244" s="381">
        <f ca="1">SUMIFS(DATA_CAPITAL_FLOW!$H$294:$H$5206,DATA_CAPITAL_FLOW!$B$294:$B$5206,"Property",DATA_CAPITAL_FLOW!$D$294:$D$5206,$B244,DATA_CAPITAL_FLOW!$F$294:$F$5206,$C244)</f>
        <v>8618415.9753442332</v>
      </c>
      <c r="G244" s="381">
        <f t="shared" ca="1" si="6"/>
        <v>0</v>
      </c>
      <c r="H244" s="348" t="str">
        <f t="shared" ca="1" si="7"/>
        <v>OK</v>
      </c>
      <c r="I244" s="366" t="s">
        <v>7171</v>
      </c>
    </row>
    <row r="245" spans="1:9">
      <c r="A245" s="366" t="s">
        <v>7411</v>
      </c>
      <c r="B245" s="348">
        <f>DATA_CAPITAL_FLOW!D245</f>
        <v>2039</v>
      </c>
      <c r="C245" s="366" t="s">
        <v>19</v>
      </c>
      <c r="D245" s="366" t="s">
        <v>1683</v>
      </c>
      <c r="E245" s="381">
        <f>SUMIFS(DATA_CAPITAL_FLOW!$H$5:$H$293,DATA_CAPITAL_FLOW!$B$5:$B$293,"Portfolio",DATA_CAPITAL_FLOW!$D$5:$D$293,$B245,DATA_CAPITAL_FLOW!$F$5:$F$293,$C245)</f>
        <v>14560057.373692209</v>
      </c>
      <c r="F245" s="381">
        <f ca="1">SUMIFS(DATA_CAPITAL_FLOW!$H$294:$H$5206,DATA_CAPITAL_FLOW!$B$294:$B$5206,"Property",DATA_CAPITAL_FLOW!$D$294:$D$5206,$B245,DATA_CAPITAL_FLOW!$F$294:$F$5206,$C245)</f>
        <v>14560057.3736922</v>
      </c>
      <c r="G245" s="381">
        <f t="shared" ca="1" si="6"/>
        <v>0</v>
      </c>
      <c r="H245" s="348" t="str">
        <f t="shared" ca="1" si="7"/>
        <v>OK</v>
      </c>
      <c r="I245" s="366" t="s">
        <v>7171</v>
      </c>
    </row>
    <row r="246" spans="1:9">
      <c r="A246" s="366" t="s">
        <v>7412</v>
      </c>
      <c r="B246" s="348">
        <f>DATA_CAPITAL_FLOW!D246</f>
        <v>2039</v>
      </c>
      <c r="C246" s="366" t="s">
        <v>1697</v>
      </c>
      <c r="D246" s="366" t="s">
        <v>1683</v>
      </c>
      <c r="E246" s="381">
        <f>SUMIFS(DATA_CAPITAL_FLOW!$H$5:$H$293,DATA_CAPITAL_FLOW!$B$5:$B$293,"Portfolio",DATA_CAPITAL_FLOW!$D$5:$D$293,$B246,DATA_CAPITAL_FLOW!$F$5:$F$293,$C246)</f>
        <v>212963.87235834755</v>
      </c>
      <c r="F246" s="381">
        <f ca="1">SUMIFS(DATA_CAPITAL_FLOW!$H$294:$H$5206,DATA_CAPITAL_FLOW!$B$294:$B$5206,"Property",DATA_CAPITAL_FLOW!$D$294:$D$5206,$B246,DATA_CAPITAL_FLOW!$F$294:$F$5206,$C246)</f>
        <v>212963.87235834755</v>
      </c>
      <c r="G246" s="381">
        <f t="shared" ca="1" si="6"/>
        <v>0</v>
      </c>
      <c r="H246" s="348" t="str">
        <f t="shared" ca="1" si="7"/>
        <v>OK</v>
      </c>
      <c r="I246" s="366" t="s">
        <v>7171</v>
      </c>
    </row>
    <row r="247" spans="1:9">
      <c r="A247" s="366" t="s">
        <v>7413</v>
      </c>
      <c r="B247" s="348">
        <f>DATA_CAPITAL_FLOW!D247</f>
        <v>2039</v>
      </c>
      <c r="C247" s="366" t="s">
        <v>21</v>
      </c>
      <c r="D247" s="366" t="s">
        <v>1683</v>
      </c>
      <c r="E247" s="381">
        <f>SUMIFS(DATA_CAPITAL_FLOW!$H$5:$H$293,DATA_CAPITAL_FLOW!$B$5:$B$293,"Portfolio",DATA_CAPITAL_FLOW!$D$5:$D$293,$B247,DATA_CAPITAL_FLOW!$F$5:$F$293,$C247)</f>
        <v>14347093.501333861</v>
      </c>
      <c r="F247" s="381">
        <f ca="1">SUMIFS(DATA_CAPITAL_FLOW!$H$294:$H$5206,DATA_CAPITAL_FLOW!$B$294:$B$5206,"Property",DATA_CAPITAL_FLOW!$D$294:$D$5206,$B247,DATA_CAPITAL_FLOW!$F$294:$F$5206,$C247)</f>
        <v>14347093.501333855</v>
      </c>
      <c r="G247" s="381">
        <f t="shared" ca="1" si="6"/>
        <v>0</v>
      </c>
      <c r="H247" s="348" t="str">
        <f t="shared" ca="1" si="7"/>
        <v>OK</v>
      </c>
      <c r="I247" s="366" t="s">
        <v>7171</v>
      </c>
    </row>
    <row r="248" spans="1:9">
      <c r="A248" s="366" t="s">
        <v>7414</v>
      </c>
      <c r="B248" s="348">
        <f>DATA_CAPITAL_FLOW!D248</f>
        <v>2039</v>
      </c>
      <c r="C248" s="366" t="s">
        <v>23</v>
      </c>
      <c r="D248" s="366" t="s">
        <v>23</v>
      </c>
      <c r="E248" s="381">
        <f>SUMIFS(DATA_CAPITAL_FLOW!$H$5:$H$293,DATA_CAPITAL_FLOW!$B$5:$B$293,"Portfolio",DATA_CAPITAL_FLOW!$D$5:$D$293,$B248,DATA_CAPITAL_FLOW!$F$5:$F$293,$C248)</f>
        <v>6811656.6125063812</v>
      </c>
      <c r="F248" s="381">
        <f ca="1">SUMIFS(DATA_CAPITAL_FLOW!$H$294:$H$5206,DATA_CAPITAL_FLOW!$B$294:$B$5206,"Property",DATA_CAPITAL_FLOW!$D$294:$D$5206,$B248,DATA_CAPITAL_FLOW!$F$294:$F$5206,$C248)</f>
        <v>6811656.6125063812</v>
      </c>
      <c r="G248" s="381">
        <f t="shared" ca="1" si="6"/>
        <v>0</v>
      </c>
      <c r="H248" s="348" t="str">
        <f t="shared" ca="1" si="7"/>
        <v>OK</v>
      </c>
      <c r="I248" s="366" t="s">
        <v>7171</v>
      </c>
    </row>
    <row r="249" spans="1:9">
      <c r="A249" s="366" t="s">
        <v>7415</v>
      </c>
      <c r="B249" s="348">
        <f>DATA_CAPITAL_FLOW!D249</f>
        <v>2039</v>
      </c>
      <c r="C249" s="366" t="s">
        <v>25</v>
      </c>
      <c r="D249" s="366" t="s">
        <v>1683</v>
      </c>
      <c r="E249" s="381">
        <f>SUMIFS(DATA_CAPITAL_FLOW!$H$5:$H$293,DATA_CAPITAL_FLOW!$B$5:$B$293,"Portfolio",DATA_CAPITAL_FLOW!$D$5:$D$293,$B249,DATA_CAPITAL_FLOW!$F$5:$F$293,$C249)</f>
        <v>7748400.7611858277</v>
      </c>
      <c r="F249" s="381">
        <f ca="1">SUMIFS(DATA_CAPITAL_FLOW!$H$294:$H$5206,DATA_CAPITAL_FLOW!$B$294:$B$5206,"Property",DATA_CAPITAL_FLOW!$D$294:$D$5206,$B249,DATA_CAPITAL_FLOW!$F$294:$F$5206,$C249)</f>
        <v>7748400.7611858211</v>
      </c>
      <c r="G249" s="381">
        <f t="shared" ca="1" si="6"/>
        <v>0</v>
      </c>
      <c r="H249" s="348" t="str">
        <f t="shared" ca="1" si="7"/>
        <v>OK</v>
      </c>
      <c r="I249" s="366" t="s">
        <v>7171</v>
      </c>
    </row>
    <row r="250" spans="1:9">
      <c r="A250" s="366" t="s">
        <v>7416</v>
      </c>
      <c r="B250" s="348">
        <f>DATA_CAPITAL_FLOW!D250</f>
        <v>2039</v>
      </c>
      <c r="C250" s="366" t="s">
        <v>27</v>
      </c>
      <c r="D250" s="366" t="s">
        <v>1683</v>
      </c>
      <c r="E250" s="381">
        <f>SUMIFS(DATA_CAPITAL_FLOW!$H$5:$H$293,DATA_CAPITAL_FLOW!$B$5:$B$293,"Portfolio",DATA_CAPITAL_FLOW!$D$5:$D$293,$B250,DATA_CAPITAL_FLOW!$F$5:$F$293,$C250)</f>
        <v>4649040.4567114962</v>
      </c>
      <c r="F250" s="381">
        <f ca="1">SUMIFS(DATA_CAPITAL_FLOW!$H$294:$H$5206,DATA_CAPITAL_FLOW!$B$294:$B$5206,"Property",DATA_CAPITAL_FLOW!$D$294:$D$5206,$B250,DATA_CAPITAL_FLOW!$F$294:$F$5206,$C250)</f>
        <v>4649040.4567114925</v>
      </c>
      <c r="G250" s="381">
        <f t="shared" ca="1" si="6"/>
        <v>0</v>
      </c>
      <c r="H250" s="348" t="str">
        <f t="shared" ca="1" si="7"/>
        <v>OK</v>
      </c>
      <c r="I250" s="366" t="s">
        <v>7171</v>
      </c>
    </row>
    <row r="251" spans="1:9">
      <c r="A251" s="366" t="s">
        <v>7417</v>
      </c>
      <c r="B251" s="348">
        <f>DATA_CAPITAL_FLOW!D251</f>
        <v>2039</v>
      </c>
      <c r="C251" s="366" t="s">
        <v>29</v>
      </c>
      <c r="D251" s="366" t="s">
        <v>1683</v>
      </c>
      <c r="E251" s="381">
        <f>SUMIFS(DATA_CAPITAL_FLOW!$H$5:$H$293,DATA_CAPITAL_FLOW!$B$5:$B$293,"Portfolio",DATA_CAPITAL_FLOW!$D$5:$D$293,$B251,DATA_CAPITAL_FLOW!$F$5:$F$293,$C251)</f>
        <v>3099360.3044743314</v>
      </c>
      <c r="F251" s="381">
        <f ca="1">SUMIFS(DATA_CAPITAL_FLOW!$H$294:$H$5206,DATA_CAPITAL_FLOW!$B$294:$B$5206,"Property",DATA_CAPITAL_FLOW!$D$294:$D$5206,$B251,DATA_CAPITAL_FLOW!$F$294:$F$5206,$C251)</f>
        <v>3099360.3044743282</v>
      </c>
      <c r="G251" s="381">
        <f t="shared" ca="1" si="6"/>
        <v>0</v>
      </c>
      <c r="H251" s="348" t="str">
        <f t="shared" ca="1" si="7"/>
        <v>OK</v>
      </c>
      <c r="I251" s="366" t="s">
        <v>7171</v>
      </c>
    </row>
    <row r="252" spans="1:9">
      <c r="A252" s="366" t="s">
        <v>7418</v>
      </c>
      <c r="B252" s="348">
        <f>DATA_CAPITAL_FLOW!D252</f>
        <v>2039</v>
      </c>
      <c r="C252" s="366" t="s">
        <v>31</v>
      </c>
      <c r="D252" s="366" t="s">
        <v>1721</v>
      </c>
      <c r="E252" s="381">
        <f>SUMIFS(DATA_CAPITAL_FLOW!$H$5:$H$293,DATA_CAPITAL_FLOW!$B$5:$B$293,"Portfolio",DATA_CAPITAL_FLOW!$D$5:$D$293,$B252,DATA_CAPITAL_FLOW!$F$5:$F$293,$C252)</f>
        <v>0</v>
      </c>
      <c r="F252" s="381">
        <f ca="1">SUMIFS(DATA_CAPITAL_FLOW!$H$294:$H$5206,DATA_CAPITAL_FLOW!$B$294:$B$5206,"Property",DATA_CAPITAL_FLOW!$D$294:$D$5206,$B252,DATA_CAPITAL_FLOW!$F$294:$F$5206,$C252)</f>
        <v>0</v>
      </c>
      <c r="G252" s="381">
        <f t="shared" ca="1" si="6"/>
        <v>0</v>
      </c>
      <c r="H252" s="348" t="str">
        <f t="shared" ca="1" si="7"/>
        <v>OK</v>
      </c>
      <c r="I252" s="366" t="s">
        <v>7171</v>
      </c>
    </row>
    <row r="253" spans="1:9">
      <c r="A253" s="366" t="s">
        <v>7419</v>
      </c>
      <c r="B253" s="348">
        <f>DATA_CAPITAL_FLOW!D253</f>
        <v>2039</v>
      </c>
      <c r="C253" s="366" t="s">
        <v>33</v>
      </c>
      <c r="D253" s="366" t="s">
        <v>1721</v>
      </c>
      <c r="E253" s="381">
        <f>SUMIFS(DATA_CAPITAL_FLOW!$H$5:$H$293,DATA_CAPITAL_FLOW!$B$5:$B$293,"Portfolio",DATA_CAPITAL_FLOW!$D$5:$D$293,$B253,DATA_CAPITAL_FLOW!$F$5:$F$293,$C253)</f>
        <v>0</v>
      </c>
      <c r="F253" s="381">
        <f ca="1">SUMIFS(DATA_CAPITAL_FLOW!$H$294:$H$5206,DATA_CAPITAL_FLOW!$B$294:$B$5206,"Property",DATA_CAPITAL_FLOW!$D$294:$D$5206,$B253,DATA_CAPITAL_FLOW!$F$294:$F$5206,$C253)</f>
        <v>0</v>
      </c>
      <c r="G253" s="381">
        <f t="shared" ca="1" si="6"/>
        <v>0</v>
      </c>
      <c r="H253" s="348" t="str">
        <f t="shared" ca="1" si="7"/>
        <v>OK</v>
      </c>
      <c r="I253" s="366" t="s">
        <v>7171</v>
      </c>
    </row>
    <row r="254" spans="1:9">
      <c r="A254" s="366" t="s">
        <v>7420</v>
      </c>
      <c r="B254" s="348">
        <f>DATA_CAPITAL_FLOW!D254</f>
        <v>2039</v>
      </c>
      <c r="C254" s="366" t="s">
        <v>35</v>
      </c>
      <c r="D254" s="366" t="s">
        <v>1721</v>
      </c>
      <c r="E254" s="381">
        <f>SUMIFS(DATA_CAPITAL_FLOW!$H$5:$H$293,DATA_CAPITAL_FLOW!$B$5:$B$293,"Portfolio",DATA_CAPITAL_FLOW!$D$5:$D$293,$B254,DATA_CAPITAL_FLOW!$F$5:$F$293,$C254)</f>
        <v>0</v>
      </c>
      <c r="F254" s="381">
        <f ca="1">SUMIFS(DATA_CAPITAL_FLOW!$H$294:$H$5206,DATA_CAPITAL_FLOW!$B$294:$B$5206,"Property",DATA_CAPITAL_FLOW!$D$294:$D$5206,$B254,DATA_CAPITAL_FLOW!$F$294:$F$5206,$C254)</f>
        <v>0</v>
      </c>
      <c r="G254" s="381">
        <f t="shared" ca="1" si="6"/>
        <v>0</v>
      </c>
      <c r="H254" s="348" t="str">
        <f t="shared" ca="1" si="7"/>
        <v>OK</v>
      </c>
      <c r="I254" s="366" t="s">
        <v>7171</v>
      </c>
    </row>
    <row r="255" spans="1:9">
      <c r="A255" s="366" t="s">
        <v>7421</v>
      </c>
      <c r="B255" s="348">
        <f>DATA_CAPITAL_FLOW!D255</f>
        <v>2039</v>
      </c>
      <c r="C255" s="366" t="s">
        <v>37</v>
      </c>
      <c r="D255" s="366" t="s">
        <v>1721</v>
      </c>
      <c r="E255" s="381">
        <f>SUMIFS(DATA_CAPITAL_FLOW!$H$5:$H$293,DATA_CAPITAL_FLOW!$B$5:$B$293,"Portfolio",DATA_CAPITAL_FLOW!$D$5:$D$293,$B255,DATA_CAPITAL_FLOW!$F$5:$F$293,$C255)</f>
        <v>0</v>
      </c>
      <c r="F255" s="381">
        <f ca="1">SUMIFS(DATA_CAPITAL_FLOW!$H$294:$H$5206,DATA_CAPITAL_FLOW!$B$294:$B$5206,"Property",DATA_CAPITAL_FLOW!$D$294:$D$5206,$B255,DATA_CAPITAL_FLOW!$F$294:$F$5206,$C255)</f>
        <v>0</v>
      </c>
      <c r="G255" s="381">
        <f t="shared" ca="1" si="6"/>
        <v>0</v>
      </c>
      <c r="H255" s="348" t="str">
        <f t="shared" ca="1" si="7"/>
        <v>OK</v>
      </c>
      <c r="I255" s="366" t="s">
        <v>7171</v>
      </c>
    </row>
    <row r="256" spans="1:9">
      <c r="A256" s="366" t="s">
        <v>7422</v>
      </c>
      <c r="B256" s="348">
        <f>DATA_CAPITAL_FLOW!D256</f>
        <v>2039</v>
      </c>
      <c r="C256" s="366" t="s">
        <v>39</v>
      </c>
      <c r="D256" s="366" t="s">
        <v>1721</v>
      </c>
      <c r="E256" s="381">
        <f>SUMIFS(DATA_CAPITAL_FLOW!$H$5:$H$293,DATA_CAPITAL_FLOW!$B$5:$B$293,"Portfolio",DATA_CAPITAL_FLOW!$D$5:$D$293,$B256,DATA_CAPITAL_FLOW!$F$5:$F$293,$C256)</f>
        <v>0</v>
      </c>
      <c r="F256" s="381">
        <f ca="1">SUMIFS(DATA_CAPITAL_FLOW!$H$294:$H$5206,DATA_CAPITAL_FLOW!$B$294:$B$5206,"Property",DATA_CAPITAL_FLOW!$D$294:$D$5206,$B256,DATA_CAPITAL_FLOW!$F$294:$F$5206,$C256)</f>
        <v>0</v>
      </c>
      <c r="G256" s="381">
        <f t="shared" ca="1" si="6"/>
        <v>0</v>
      </c>
      <c r="H256" s="348" t="str">
        <f t="shared" ca="1" si="7"/>
        <v>OK</v>
      </c>
      <c r="I256" s="366" t="s">
        <v>7171</v>
      </c>
    </row>
    <row r="257" spans="1:9">
      <c r="A257" s="366" t="s">
        <v>7423</v>
      </c>
      <c r="B257" s="348">
        <f>DATA_CAPITAL_FLOW!D257</f>
        <v>2039</v>
      </c>
      <c r="C257" s="366" t="s">
        <v>41</v>
      </c>
      <c r="D257" s="366" t="s">
        <v>1741</v>
      </c>
      <c r="E257" s="381">
        <f>SUMIFS(DATA_CAPITAL_FLOW!$H$5:$H$293,DATA_CAPITAL_FLOW!$B$5:$B$293,"Portfolio",DATA_CAPITAL_FLOW!$D$5:$D$293,$B257,DATA_CAPITAL_FLOW!$F$5:$F$293,$C257)</f>
        <v>3099360.3044743314</v>
      </c>
      <c r="F257" s="381">
        <f ca="1">SUMIFS(DATA_CAPITAL_FLOW!$H$294:$H$5206,DATA_CAPITAL_FLOW!$B$294:$B$5206,"Property",DATA_CAPITAL_FLOW!$D$294:$D$5206,$B257,DATA_CAPITAL_FLOW!$F$294:$F$5206,$C257)</f>
        <v>3099360.3044743282</v>
      </c>
      <c r="G257" s="381">
        <f t="shared" ca="1" si="6"/>
        <v>0</v>
      </c>
      <c r="H257" s="348" t="str">
        <f t="shared" ca="1" si="7"/>
        <v>OK</v>
      </c>
      <c r="I257" s="366" t="s">
        <v>7171</v>
      </c>
    </row>
    <row r="258" spans="1:9">
      <c r="A258" s="366" t="s">
        <v>7424</v>
      </c>
      <c r="B258" s="348">
        <f>DATA_CAPITAL_FLOW!D258</f>
        <v>2039</v>
      </c>
      <c r="C258" s="366" t="s">
        <v>43</v>
      </c>
      <c r="D258" s="366" t="s">
        <v>1741</v>
      </c>
      <c r="E258" s="381">
        <f>SUMIFS(DATA_CAPITAL_FLOW!$H$5:$H$293,DATA_CAPITAL_FLOW!$B$5:$B$293,"Portfolio",DATA_CAPITAL_FLOW!$D$5:$D$293,$B258,DATA_CAPITAL_FLOW!$F$5:$F$293,$C258)</f>
        <v>3099360.3044743314</v>
      </c>
      <c r="F258" s="381">
        <f ca="1">SUMIFS(DATA_CAPITAL_FLOW!$H$294:$H$5206,DATA_CAPITAL_FLOW!$B$294:$B$5206,"Property",DATA_CAPITAL_FLOW!$D$294:$D$5206,$B258,DATA_CAPITAL_FLOW!$F$294:$F$5206,$C258)</f>
        <v>3099360.3044743282</v>
      </c>
      <c r="G258" s="381">
        <f t="shared" ca="1" si="6"/>
        <v>0</v>
      </c>
      <c r="H258" s="348" t="str">
        <f t="shared" ca="1" si="7"/>
        <v>OK</v>
      </c>
      <c r="I258" s="366" t="s">
        <v>7171</v>
      </c>
    </row>
    <row r="259" spans="1:9">
      <c r="A259" s="366" t="s">
        <v>7425</v>
      </c>
      <c r="B259" s="348">
        <f>DATA_CAPITAL_FLOW!D259</f>
        <v>2039</v>
      </c>
      <c r="C259" s="366" t="s">
        <v>1749</v>
      </c>
      <c r="D259" s="366" t="s">
        <v>1741</v>
      </c>
      <c r="E259" s="381">
        <f>SUMIFS(DATA_CAPITAL_FLOW!$H$5:$H$293,DATA_CAPITAL_FLOW!$B$5:$B$293,"Portfolio",DATA_CAPITAL_FLOW!$D$5:$D$293,$B259,DATA_CAPITAL_FLOW!$F$5:$F$293,$C259)</f>
        <v>0</v>
      </c>
      <c r="F259" s="381">
        <f ca="1">SUMIFS(DATA_CAPITAL_FLOW!$H$294:$H$5206,DATA_CAPITAL_FLOW!$B$294:$B$5206,"Property",DATA_CAPITAL_FLOW!$D$294:$D$5206,$B259,DATA_CAPITAL_FLOW!$F$294:$F$5206,$C259)</f>
        <v>0</v>
      </c>
      <c r="G259" s="381">
        <f t="shared" ca="1" si="6"/>
        <v>0</v>
      </c>
      <c r="H259" s="348" t="str">
        <f t="shared" ca="1" si="7"/>
        <v>OK</v>
      </c>
      <c r="I259" s="366" t="s">
        <v>7171</v>
      </c>
    </row>
    <row r="260" spans="1:9">
      <c r="A260" s="366" t="s">
        <v>7426</v>
      </c>
      <c r="B260" s="348">
        <f>DATA_CAPITAL_FLOW!D260</f>
        <v>2040</v>
      </c>
      <c r="C260" s="366" t="s">
        <v>341</v>
      </c>
      <c r="D260" s="366" t="s">
        <v>1683</v>
      </c>
      <c r="E260" s="381">
        <f>SUMIFS(DATA_CAPITAL_FLOW!$H$5:$H$293,DATA_CAPITAL_FLOW!$B$5:$B$293,"Portfolio",DATA_CAPITAL_FLOW!$D$5:$D$293,$B260,DATA_CAPITAL_FLOW!$F$5:$F$293,$C260)</f>
        <v>23642042.816017155</v>
      </c>
      <c r="F260" s="381">
        <f ca="1">SUMIFS(DATA_CAPITAL_FLOW!$H$294:$H$5206,DATA_CAPITAL_FLOW!$B$294:$B$5206,"Property",DATA_CAPITAL_FLOW!$D$294:$D$5206,$B260,DATA_CAPITAL_FLOW!$F$294:$F$5206,$C260)</f>
        <v>23642042.816017162</v>
      </c>
      <c r="G260" s="381">
        <f t="shared" ca="1" si="6"/>
        <v>0</v>
      </c>
      <c r="H260" s="348" t="str">
        <f t="shared" ca="1" si="7"/>
        <v>OK</v>
      </c>
      <c r="I260" s="366" t="s">
        <v>7171</v>
      </c>
    </row>
    <row r="261" spans="1:9">
      <c r="A261" s="366" t="s">
        <v>7427</v>
      </c>
      <c r="B261" s="348">
        <f>DATA_CAPITAL_FLOW!D261</f>
        <v>2040</v>
      </c>
      <c r="C261" s="366" t="s">
        <v>355</v>
      </c>
      <c r="D261" s="366" t="s">
        <v>1683</v>
      </c>
      <c r="E261" s="381">
        <f>SUMIFS(DATA_CAPITAL_FLOW!$H$5:$H$293,DATA_CAPITAL_FLOW!$B$5:$B$293,"Portfolio",DATA_CAPITAL_FLOW!$D$5:$D$293,$B261,DATA_CAPITAL_FLOW!$F$5:$F$293,$C261)</f>
        <v>8833876.3747278396</v>
      </c>
      <c r="F261" s="381">
        <f ca="1">SUMIFS(DATA_CAPITAL_FLOW!$H$294:$H$5206,DATA_CAPITAL_FLOW!$B$294:$B$5206,"Property",DATA_CAPITAL_FLOW!$D$294:$D$5206,$B261,DATA_CAPITAL_FLOW!$F$294:$F$5206,$C261)</f>
        <v>8833876.3747278396</v>
      </c>
      <c r="G261" s="381">
        <f t="shared" ref="G261:G293" ca="1" si="8">$E261-$F261</f>
        <v>0</v>
      </c>
      <c r="H261" s="348" t="str">
        <f t="shared" ref="H261:H293" ca="1" si="9">IF(ABS($G261)&lt;1,"OK","CHECK")</f>
        <v>OK</v>
      </c>
      <c r="I261" s="366" t="s">
        <v>7171</v>
      </c>
    </row>
    <row r="262" spans="1:9">
      <c r="A262" s="366" t="s">
        <v>7428</v>
      </c>
      <c r="B262" s="348">
        <f>DATA_CAPITAL_FLOW!D262</f>
        <v>2040</v>
      </c>
      <c r="C262" s="366" t="s">
        <v>19</v>
      </c>
      <c r="D262" s="366" t="s">
        <v>1683</v>
      </c>
      <c r="E262" s="381">
        <f>SUMIFS(DATA_CAPITAL_FLOW!$H$5:$H$293,DATA_CAPITAL_FLOW!$B$5:$B$293,"Portfolio",DATA_CAPITAL_FLOW!$D$5:$D$293,$B262,DATA_CAPITAL_FLOW!$F$5:$F$293,$C262)</f>
        <v>14808166.441289315</v>
      </c>
      <c r="F262" s="381">
        <f ca="1">SUMIFS(DATA_CAPITAL_FLOW!$H$294:$H$5206,DATA_CAPITAL_FLOW!$B$294:$B$5206,"Property",DATA_CAPITAL_FLOW!$D$294:$D$5206,$B262,DATA_CAPITAL_FLOW!$F$294:$F$5206,$C262)</f>
        <v>14808166.441289321</v>
      </c>
      <c r="G262" s="381">
        <f t="shared" ca="1" si="8"/>
        <v>0</v>
      </c>
      <c r="H262" s="348" t="str">
        <f t="shared" ca="1" si="9"/>
        <v>OK</v>
      </c>
      <c r="I262" s="366" t="s">
        <v>7171</v>
      </c>
    </row>
    <row r="263" spans="1:9">
      <c r="A263" s="366" t="s">
        <v>7429</v>
      </c>
      <c r="B263" s="348">
        <f>DATA_CAPITAL_FLOW!D263</f>
        <v>2040</v>
      </c>
      <c r="C263" s="366" t="s">
        <v>1697</v>
      </c>
      <c r="D263" s="366" t="s">
        <v>1683</v>
      </c>
      <c r="E263" s="381">
        <f>SUMIFS(DATA_CAPITAL_FLOW!$H$5:$H$293,DATA_CAPITAL_FLOW!$B$5:$B$293,"Portfolio",DATA_CAPITAL_FLOW!$D$5:$D$293,$B263,DATA_CAPITAL_FLOW!$F$5:$F$293,$C263)</f>
        <v>217223.14980551446</v>
      </c>
      <c r="F263" s="381">
        <f ca="1">SUMIFS(DATA_CAPITAL_FLOW!$H$294:$H$5206,DATA_CAPITAL_FLOW!$B$294:$B$5206,"Property",DATA_CAPITAL_FLOW!$D$294:$D$5206,$B263,DATA_CAPITAL_FLOW!$F$294:$F$5206,$C263)</f>
        <v>217223.14980551446</v>
      </c>
      <c r="G263" s="381">
        <f t="shared" ca="1" si="8"/>
        <v>0</v>
      </c>
      <c r="H263" s="348" t="str">
        <f t="shared" ca="1" si="9"/>
        <v>OK</v>
      </c>
      <c r="I263" s="366" t="s">
        <v>7171</v>
      </c>
    </row>
    <row r="264" spans="1:9">
      <c r="A264" s="366" t="s">
        <v>7430</v>
      </c>
      <c r="B264" s="348">
        <f>DATA_CAPITAL_FLOW!D264</f>
        <v>2040</v>
      </c>
      <c r="C264" s="366" t="s">
        <v>21</v>
      </c>
      <c r="D264" s="366" t="s">
        <v>1683</v>
      </c>
      <c r="E264" s="381">
        <f>SUMIFS(DATA_CAPITAL_FLOW!$H$5:$H$293,DATA_CAPITAL_FLOW!$B$5:$B$293,"Portfolio",DATA_CAPITAL_FLOW!$D$5:$D$293,$B264,DATA_CAPITAL_FLOW!$F$5:$F$293,$C264)</f>
        <v>14590943.291483801</v>
      </c>
      <c r="F264" s="381">
        <f ca="1">SUMIFS(DATA_CAPITAL_FLOW!$H$294:$H$5206,DATA_CAPITAL_FLOW!$B$294:$B$5206,"Property",DATA_CAPITAL_FLOW!$D$294:$D$5206,$B264,DATA_CAPITAL_FLOW!$F$294:$F$5206,$C264)</f>
        <v>14590943.291483806</v>
      </c>
      <c r="G264" s="381">
        <f t="shared" ca="1" si="8"/>
        <v>0</v>
      </c>
      <c r="H264" s="348" t="str">
        <f t="shared" ca="1" si="9"/>
        <v>OK</v>
      </c>
      <c r="I264" s="366" t="s">
        <v>7171</v>
      </c>
    </row>
    <row r="265" spans="1:9">
      <c r="A265" s="366" t="s">
        <v>7431</v>
      </c>
      <c r="B265" s="348">
        <f>DATA_CAPITAL_FLOW!D265</f>
        <v>2040</v>
      </c>
      <c r="C265" s="366" t="s">
        <v>23</v>
      </c>
      <c r="D265" s="366" t="s">
        <v>23</v>
      </c>
      <c r="E265" s="381">
        <f>SUMIFS(DATA_CAPITAL_FLOW!$H$5:$H$293,DATA_CAPITAL_FLOW!$B$5:$B$293,"Portfolio",DATA_CAPITAL_FLOW!$D$5:$D$293,$B265,DATA_CAPITAL_FLOW!$F$5:$F$293,$C265)</f>
        <v>6811656.6125063812</v>
      </c>
      <c r="F265" s="381">
        <f ca="1">SUMIFS(DATA_CAPITAL_FLOW!$H$294:$H$5206,DATA_CAPITAL_FLOW!$B$294:$B$5206,"Property",DATA_CAPITAL_FLOW!$D$294:$D$5206,$B265,DATA_CAPITAL_FLOW!$F$294:$F$5206,$C265)</f>
        <v>6811656.6125063812</v>
      </c>
      <c r="G265" s="381">
        <f t="shared" ca="1" si="8"/>
        <v>0</v>
      </c>
      <c r="H265" s="348" t="str">
        <f t="shared" ca="1" si="9"/>
        <v>OK</v>
      </c>
      <c r="I265" s="366" t="s">
        <v>7171</v>
      </c>
    </row>
    <row r="266" spans="1:9">
      <c r="A266" s="366" t="s">
        <v>7432</v>
      </c>
      <c r="B266" s="348">
        <f>DATA_CAPITAL_FLOW!D266</f>
        <v>2040</v>
      </c>
      <c r="C266" s="366" t="s">
        <v>25</v>
      </c>
      <c r="D266" s="366" t="s">
        <v>1683</v>
      </c>
      <c r="E266" s="381">
        <f>SUMIFS(DATA_CAPITAL_FLOW!$H$5:$H$293,DATA_CAPITAL_FLOW!$B$5:$B$293,"Portfolio",DATA_CAPITAL_FLOW!$D$5:$D$293,$B266,DATA_CAPITAL_FLOW!$F$5:$F$293,$C266)</f>
        <v>7996509.8287829338</v>
      </c>
      <c r="F266" s="381">
        <f ca="1">SUMIFS(DATA_CAPITAL_FLOW!$H$294:$H$5206,DATA_CAPITAL_FLOW!$B$294:$B$5206,"Property",DATA_CAPITAL_FLOW!$D$294:$D$5206,$B266,DATA_CAPITAL_FLOW!$F$294:$F$5206,$C266)</f>
        <v>7996509.8287829394</v>
      </c>
      <c r="G266" s="381">
        <f t="shared" ca="1" si="8"/>
        <v>0</v>
      </c>
      <c r="H266" s="348" t="str">
        <f t="shared" ca="1" si="9"/>
        <v>OK</v>
      </c>
      <c r="I266" s="366" t="s">
        <v>7171</v>
      </c>
    </row>
    <row r="267" spans="1:9">
      <c r="A267" s="366" t="s">
        <v>7433</v>
      </c>
      <c r="B267" s="348">
        <f>DATA_CAPITAL_FLOW!D267</f>
        <v>2040</v>
      </c>
      <c r="C267" s="366" t="s">
        <v>27</v>
      </c>
      <c r="D267" s="366" t="s">
        <v>1683</v>
      </c>
      <c r="E267" s="381">
        <f>SUMIFS(DATA_CAPITAL_FLOW!$H$5:$H$293,DATA_CAPITAL_FLOW!$B$5:$B$293,"Portfolio",DATA_CAPITAL_FLOW!$D$5:$D$293,$B267,DATA_CAPITAL_FLOW!$F$5:$F$293,$C267)</f>
        <v>4797905.8972697603</v>
      </c>
      <c r="F267" s="381">
        <f ca="1">SUMIFS(DATA_CAPITAL_FLOW!$H$294:$H$5206,DATA_CAPITAL_FLOW!$B$294:$B$5206,"Property",DATA_CAPITAL_FLOW!$D$294:$D$5206,$B267,DATA_CAPITAL_FLOW!$F$294:$F$5206,$C267)</f>
        <v>4797905.897269764</v>
      </c>
      <c r="G267" s="381">
        <f t="shared" ca="1" si="8"/>
        <v>0</v>
      </c>
      <c r="H267" s="348" t="str">
        <f t="shared" ca="1" si="9"/>
        <v>OK</v>
      </c>
      <c r="I267" s="366" t="s">
        <v>7171</v>
      </c>
    </row>
    <row r="268" spans="1:9">
      <c r="A268" s="366" t="s">
        <v>7434</v>
      </c>
      <c r="B268" s="348">
        <f>DATA_CAPITAL_FLOW!D268</f>
        <v>2040</v>
      </c>
      <c r="C268" s="366" t="s">
        <v>29</v>
      </c>
      <c r="D268" s="366" t="s">
        <v>1683</v>
      </c>
      <c r="E268" s="381">
        <f>SUMIFS(DATA_CAPITAL_FLOW!$H$5:$H$293,DATA_CAPITAL_FLOW!$B$5:$B$293,"Portfolio",DATA_CAPITAL_FLOW!$D$5:$D$293,$B268,DATA_CAPITAL_FLOW!$F$5:$F$293,$C268)</f>
        <v>3198603.9315131735</v>
      </c>
      <c r="F268" s="381">
        <f ca="1">SUMIFS(DATA_CAPITAL_FLOW!$H$294:$H$5206,DATA_CAPITAL_FLOW!$B$294:$B$5206,"Property",DATA_CAPITAL_FLOW!$D$294:$D$5206,$B268,DATA_CAPITAL_FLOW!$F$294:$F$5206,$C268)</f>
        <v>3198603.9315131763</v>
      </c>
      <c r="G268" s="381">
        <f t="shared" ca="1" si="8"/>
        <v>0</v>
      </c>
      <c r="H268" s="348" t="str">
        <f t="shared" ca="1" si="9"/>
        <v>OK</v>
      </c>
      <c r="I268" s="366" t="s">
        <v>7171</v>
      </c>
    </row>
    <row r="269" spans="1:9">
      <c r="A269" s="366" t="s">
        <v>7435</v>
      </c>
      <c r="B269" s="348">
        <f>DATA_CAPITAL_FLOW!D269</f>
        <v>2040</v>
      </c>
      <c r="C269" s="366" t="s">
        <v>31</v>
      </c>
      <c r="D269" s="366" t="s">
        <v>1721</v>
      </c>
      <c r="E269" s="381">
        <f>SUMIFS(DATA_CAPITAL_FLOW!$H$5:$H$293,DATA_CAPITAL_FLOW!$B$5:$B$293,"Portfolio",DATA_CAPITAL_FLOW!$D$5:$D$293,$B269,DATA_CAPITAL_FLOW!$F$5:$F$293,$C269)</f>
        <v>0</v>
      </c>
      <c r="F269" s="381">
        <f ca="1">SUMIFS(DATA_CAPITAL_FLOW!$H$294:$H$5206,DATA_CAPITAL_FLOW!$B$294:$B$5206,"Property",DATA_CAPITAL_FLOW!$D$294:$D$5206,$B269,DATA_CAPITAL_FLOW!$F$294:$F$5206,$C269)</f>
        <v>0</v>
      </c>
      <c r="G269" s="381">
        <f t="shared" ca="1" si="8"/>
        <v>0</v>
      </c>
      <c r="H269" s="348" t="str">
        <f t="shared" ca="1" si="9"/>
        <v>OK</v>
      </c>
      <c r="I269" s="366" t="s">
        <v>7171</v>
      </c>
    </row>
    <row r="270" spans="1:9">
      <c r="A270" s="366" t="s">
        <v>7436</v>
      </c>
      <c r="B270" s="348">
        <f>DATA_CAPITAL_FLOW!D270</f>
        <v>2040</v>
      </c>
      <c r="C270" s="366" t="s">
        <v>33</v>
      </c>
      <c r="D270" s="366" t="s">
        <v>1721</v>
      </c>
      <c r="E270" s="381">
        <f>SUMIFS(DATA_CAPITAL_FLOW!$H$5:$H$293,DATA_CAPITAL_FLOW!$B$5:$B$293,"Portfolio",DATA_CAPITAL_FLOW!$D$5:$D$293,$B270,DATA_CAPITAL_FLOW!$F$5:$F$293,$C270)</f>
        <v>0</v>
      </c>
      <c r="F270" s="381">
        <f ca="1">SUMIFS(DATA_CAPITAL_FLOW!$H$294:$H$5206,DATA_CAPITAL_FLOW!$B$294:$B$5206,"Property",DATA_CAPITAL_FLOW!$D$294:$D$5206,$B270,DATA_CAPITAL_FLOW!$F$294:$F$5206,$C270)</f>
        <v>0</v>
      </c>
      <c r="G270" s="381">
        <f t="shared" ca="1" si="8"/>
        <v>0</v>
      </c>
      <c r="H270" s="348" t="str">
        <f t="shared" ca="1" si="9"/>
        <v>OK</v>
      </c>
      <c r="I270" s="366" t="s">
        <v>7171</v>
      </c>
    </row>
    <row r="271" spans="1:9">
      <c r="A271" s="366" t="s">
        <v>7437</v>
      </c>
      <c r="B271" s="348">
        <f>DATA_CAPITAL_FLOW!D271</f>
        <v>2040</v>
      </c>
      <c r="C271" s="366" t="s">
        <v>35</v>
      </c>
      <c r="D271" s="366" t="s">
        <v>1721</v>
      </c>
      <c r="E271" s="381">
        <f>SUMIFS(DATA_CAPITAL_FLOW!$H$5:$H$293,DATA_CAPITAL_FLOW!$B$5:$B$293,"Portfolio",DATA_CAPITAL_FLOW!$D$5:$D$293,$B271,DATA_CAPITAL_FLOW!$F$5:$F$293,$C271)</f>
        <v>0</v>
      </c>
      <c r="F271" s="381">
        <f ca="1">SUMIFS(DATA_CAPITAL_FLOW!$H$294:$H$5206,DATA_CAPITAL_FLOW!$B$294:$B$5206,"Property",DATA_CAPITAL_FLOW!$D$294:$D$5206,$B271,DATA_CAPITAL_FLOW!$F$294:$F$5206,$C271)</f>
        <v>0</v>
      </c>
      <c r="G271" s="381">
        <f t="shared" ca="1" si="8"/>
        <v>0</v>
      </c>
      <c r="H271" s="348" t="str">
        <f t="shared" ca="1" si="9"/>
        <v>OK</v>
      </c>
      <c r="I271" s="366" t="s">
        <v>7171</v>
      </c>
    </row>
    <row r="272" spans="1:9">
      <c r="A272" s="366" t="s">
        <v>7438</v>
      </c>
      <c r="B272" s="348">
        <f>DATA_CAPITAL_FLOW!D272</f>
        <v>2040</v>
      </c>
      <c r="C272" s="366" t="s">
        <v>37</v>
      </c>
      <c r="D272" s="366" t="s">
        <v>1721</v>
      </c>
      <c r="E272" s="381">
        <f>SUMIFS(DATA_CAPITAL_FLOW!$H$5:$H$293,DATA_CAPITAL_FLOW!$B$5:$B$293,"Portfolio",DATA_CAPITAL_FLOW!$D$5:$D$293,$B272,DATA_CAPITAL_FLOW!$F$5:$F$293,$C272)</f>
        <v>0</v>
      </c>
      <c r="F272" s="381">
        <f ca="1">SUMIFS(DATA_CAPITAL_FLOW!$H$294:$H$5206,DATA_CAPITAL_FLOW!$B$294:$B$5206,"Property",DATA_CAPITAL_FLOW!$D$294:$D$5206,$B272,DATA_CAPITAL_FLOW!$F$294:$F$5206,$C272)</f>
        <v>0</v>
      </c>
      <c r="G272" s="381">
        <f t="shared" ca="1" si="8"/>
        <v>0</v>
      </c>
      <c r="H272" s="348" t="str">
        <f t="shared" ca="1" si="9"/>
        <v>OK</v>
      </c>
      <c r="I272" s="366" t="s">
        <v>7171</v>
      </c>
    </row>
    <row r="273" spans="1:9">
      <c r="A273" s="366" t="s">
        <v>7439</v>
      </c>
      <c r="B273" s="348">
        <f>DATA_CAPITAL_FLOW!D273</f>
        <v>2040</v>
      </c>
      <c r="C273" s="366" t="s">
        <v>39</v>
      </c>
      <c r="D273" s="366" t="s">
        <v>1721</v>
      </c>
      <c r="E273" s="381">
        <f>SUMIFS(DATA_CAPITAL_FLOW!$H$5:$H$293,DATA_CAPITAL_FLOW!$B$5:$B$293,"Portfolio",DATA_CAPITAL_FLOW!$D$5:$D$293,$B273,DATA_CAPITAL_FLOW!$F$5:$F$293,$C273)</f>
        <v>0</v>
      </c>
      <c r="F273" s="381">
        <f ca="1">SUMIFS(DATA_CAPITAL_FLOW!$H$294:$H$5206,DATA_CAPITAL_FLOW!$B$294:$B$5206,"Property",DATA_CAPITAL_FLOW!$D$294:$D$5206,$B273,DATA_CAPITAL_FLOW!$F$294:$F$5206,$C273)</f>
        <v>0</v>
      </c>
      <c r="G273" s="381">
        <f t="shared" ca="1" si="8"/>
        <v>0</v>
      </c>
      <c r="H273" s="348" t="str">
        <f t="shared" ca="1" si="9"/>
        <v>OK</v>
      </c>
      <c r="I273" s="366" t="s">
        <v>7171</v>
      </c>
    </row>
    <row r="274" spans="1:9">
      <c r="A274" s="366" t="s">
        <v>7440</v>
      </c>
      <c r="B274" s="348">
        <f>DATA_CAPITAL_FLOW!D274</f>
        <v>2040</v>
      </c>
      <c r="C274" s="366" t="s">
        <v>41</v>
      </c>
      <c r="D274" s="366" t="s">
        <v>1741</v>
      </c>
      <c r="E274" s="381">
        <f>SUMIFS(DATA_CAPITAL_FLOW!$H$5:$H$293,DATA_CAPITAL_FLOW!$B$5:$B$293,"Portfolio",DATA_CAPITAL_FLOW!$D$5:$D$293,$B274,DATA_CAPITAL_FLOW!$F$5:$F$293,$C274)</f>
        <v>3198603.9315131735</v>
      </c>
      <c r="F274" s="381">
        <f ca="1">SUMIFS(DATA_CAPITAL_FLOW!$H$294:$H$5206,DATA_CAPITAL_FLOW!$B$294:$B$5206,"Property",DATA_CAPITAL_FLOW!$D$294:$D$5206,$B274,DATA_CAPITAL_FLOW!$F$294:$F$5206,$C274)</f>
        <v>3198603.9315131763</v>
      </c>
      <c r="G274" s="381">
        <f t="shared" ca="1" si="8"/>
        <v>0</v>
      </c>
      <c r="H274" s="348" t="str">
        <f t="shared" ca="1" si="9"/>
        <v>OK</v>
      </c>
      <c r="I274" s="366" t="s">
        <v>7171</v>
      </c>
    </row>
    <row r="275" spans="1:9">
      <c r="A275" s="366" t="s">
        <v>7441</v>
      </c>
      <c r="B275" s="348">
        <f>DATA_CAPITAL_FLOW!D275</f>
        <v>2040</v>
      </c>
      <c r="C275" s="366" t="s">
        <v>43</v>
      </c>
      <c r="D275" s="366" t="s">
        <v>1741</v>
      </c>
      <c r="E275" s="381">
        <f>SUMIFS(DATA_CAPITAL_FLOW!$H$5:$H$293,DATA_CAPITAL_FLOW!$B$5:$B$293,"Portfolio",DATA_CAPITAL_FLOW!$D$5:$D$293,$B275,DATA_CAPITAL_FLOW!$F$5:$F$293,$C275)</f>
        <v>3198603.9315131735</v>
      </c>
      <c r="F275" s="381">
        <f ca="1">SUMIFS(DATA_CAPITAL_FLOW!$H$294:$H$5206,DATA_CAPITAL_FLOW!$B$294:$B$5206,"Property",DATA_CAPITAL_FLOW!$D$294:$D$5206,$B275,DATA_CAPITAL_FLOW!$F$294:$F$5206,$C275)</f>
        <v>3198603.9315131763</v>
      </c>
      <c r="G275" s="381">
        <f t="shared" ca="1" si="8"/>
        <v>0</v>
      </c>
      <c r="H275" s="348" t="str">
        <f t="shared" ca="1" si="9"/>
        <v>OK</v>
      </c>
      <c r="I275" s="366" t="s">
        <v>7171</v>
      </c>
    </row>
    <row r="276" spans="1:9">
      <c r="A276" s="366" t="s">
        <v>7442</v>
      </c>
      <c r="B276" s="348">
        <f>DATA_CAPITAL_FLOW!D276</f>
        <v>2040</v>
      </c>
      <c r="C276" s="366" t="s">
        <v>1749</v>
      </c>
      <c r="D276" s="366" t="s">
        <v>1741</v>
      </c>
      <c r="E276" s="381">
        <f>SUMIFS(DATA_CAPITAL_FLOW!$H$5:$H$293,DATA_CAPITAL_FLOW!$B$5:$B$293,"Portfolio",DATA_CAPITAL_FLOW!$D$5:$D$293,$B276,DATA_CAPITAL_FLOW!$F$5:$F$293,$C276)</f>
        <v>0</v>
      </c>
      <c r="F276" s="381">
        <f ca="1">SUMIFS(DATA_CAPITAL_FLOW!$H$294:$H$5206,DATA_CAPITAL_FLOW!$B$294:$B$5206,"Property",DATA_CAPITAL_FLOW!$D$294:$D$5206,$B276,DATA_CAPITAL_FLOW!$F$294:$F$5206,$C276)</f>
        <v>0</v>
      </c>
      <c r="G276" s="381">
        <f t="shared" ca="1" si="8"/>
        <v>0</v>
      </c>
      <c r="H276" s="348" t="str">
        <f t="shared" ca="1" si="9"/>
        <v>OK</v>
      </c>
      <c r="I276" s="366" t="s">
        <v>7171</v>
      </c>
    </row>
    <row r="277" spans="1:9">
      <c r="A277" s="366" t="s">
        <v>7443</v>
      </c>
      <c r="B277" s="348">
        <f>DATA_CAPITAL_FLOW!D277</f>
        <v>2041</v>
      </c>
      <c r="C277" s="366" t="s">
        <v>341</v>
      </c>
      <c r="D277" s="366" t="s">
        <v>1683</v>
      </c>
      <c r="E277" s="381">
        <f>SUMIFS(DATA_CAPITAL_FLOW!$H$5:$H$293,DATA_CAPITAL_FLOW!$B$5:$B$293,"Portfolio",DATA_CAPITAL_FLOW!$D$5:$D$293,$B277,DATA_CAPITAL_FLOW!$F$5:$F$293,$C277)</f>
        <v>24114883.672337502</v>
      </c>
      <c r="F277" s="381">
        <f ca="1">SUMIFS(DATA_CAPITAL_FLOW!$H$294:$H$5206,DATA_CAPITAL_FLOW!$B$294:$B$5206,"Property",DATA_CAPITAL_FLOW!$D$294:$D$5206,$B277,DATA_CAPITAL_FLOW!$F$294:$F$5206,$C277)</f>
        <v>24114883.672337506</v>
      </c>
      <c r="G277" s="381">
        <f t="shared" ca="1" si="8"/>
        <v>0</v>
      </c>
      <c r="H277" s="348" t="str">
        <f t="shared" ca="1" si="9"/>
        <v>OK</v>
      </c>
      <c r="I277" s="366" t="s">
        <v>7171</v>
      </c>
    </row>
    <row r="278" spans="1:9">
      <c r="A278" s="366" t="s">
        <v>7444</v>
      </c>
      <c r="B278" s="348">
        <f>DATA_CAPITAL_FLOW!D278</f>
        <v>2041</v>
      </c>
      <c r="C278" s="366" t="s">
        <v>355</v>
      </c>
      <c r="D278" s="366" t="s">
        <v>1683</v>
      </c>
      <c r="E278" s="381">
        <f>SUMIFS(DATA_CAPITAL_FLOW!$H$5:$H$293,DATA_CAPITAL_FLOW!$B$5:$B$293,"Portfolio",DATA_CAPITAL_FLOW!$D$5:$D$293,$B278,DATA_CAPITAL_FLOW!$F$5:$F$293,$C278)</f>
        <v>9054723.2840960342</v>
      </c>
      <c r="F278" s="381">
        <f ca="1">SUMIFS(DATA_CAPITAL_FLOW!$H$294:$H$5206,DATA_CAPITAL_FLOW!$B$294:$B$5206,"Property",DATA_CAPITAL_FLOW!$D$294:$D$5206,$B278,DATA_CAPITAL_FLOW!$F$294:$F$5206,$C278)</f>
        <v>9054723.2840960342</v>
      </c>
      <c r="G278" s="381">
        <f t="shared" ca="1" si="8"/>
        <v>0</v>
      </c>
      <c r="H278" s="348" t="str">
        <f t="shared" ca="1" si="9"/>
        <v>OK</v>
      </c>
      <c r="I278" s="366" t="s">
        <v>7171</v>
      </c>
    </row>
    <row r="279" spans="1:9">
      <c r="A279" s="366" t="s">
        <v>7445</v>
      </c>
      <c r="B279" s="348">
        <f>DATA_CAPITAL_FLOW!D279</f>
        <v>2041</v>
      </c>
      <c r="C279" s="366" t="s">
        <v>19</v>
      </c>
      <c r="D279" s="366" t="s">
        <v>1683</v>
      </c>
      <c r="E279" s="381">
        <f>SUMIFS(DATA_CAPITAL_FLOW!$H$5:$H$293,DATA_CAPITAL_FLOW!$B$5:$B$293,"Portfolio",DATA_CAPITAL_FLOW!$D$5:$D$293,$B279,DATA_CAPITAL_FLOW!$F$5:$F$293,$C279)</f>
        <v>15060160.388241468</v>
      </c>
      <c r="F279" s="381">
        <f ca="1">SUMIFS(DATA_CAPITAL_FLOW!$H$294:$H$5206,DATA_CAPITAL_FLOW!$B$294:$B$5206,"Property",DATA_CAPITAL_FLOW!$D$294:$D$5206,$B279,DATA_CAPITAL_FLOW!$F$294:$F$5206,$C279)</f>
        <v>15060160.388241472</v>
      </c>
      <c r="G279" s="381">
        <f t="shared" ca="1" si="8"/>
        <v>0</v>
      </c>
      <c r="H279" s="348" t="str">
        <f t="shared" ca="1" si="9"/>
        <v>OK</v>
      </c>
      <c r="I279" s="366" t="s">
        <v>7171</v>
      </c>
    </row>
    <row r="280" spans="1:9">
      <c r="A280" s="366" t="s">
        <v>7446</v>
      </c>
      <c r="B280" s="348">
        <f>DATA_CAPITAL_FLOW!D280</f>
        <v>2041</v>
      </c>
      <c r="C280" s="366" t="s">
        <v>1697</v>
      </c>
      <c r="D280" s="366" t="s">
        <v>1683</v>
      </c>
      <c r="E280" s="381">
        <f>SUMIFS(DATA_CAPITAL_FLOW!$H$5:$H$293,DATA_CAPITAL_FLOW!$B$5:$B$293,"Portfolio",DATA_CAPITAL_FLOW!$D$5:$D$293,$B280,DATA_CAPITAL_FLOW!$F$5:$F$293,$C280)</f>
        <v>221567.61280162481</v>
      </c>
      <c r="F280" s="381">
        <f ca="1">SUMIFS(DATA_CAPITAL_FLOW!$H$294:$H$5206,DATA_CAPITAL_FLOW!$B$294:$B$5206,"Property",DATA_CAPITAL_FLOW!$D$294:$D$5206,$B280,DATA_CAPITAL_FLOW!$F$294:$F$5206,$C280)</f>
        <v>221567.61280162481</v>
      </c>
      <c r="G280" s="381">
        <f t="shared" ca="1" si="8"/>
        <v>0</v>
      </c>
      <c r="H280" s="348" t="str">
        <f t="shared" ca="1" si="9"/>
        <v>OK</v>
      </c>
      <c r="I280" s="366" t="s">
        <v>7171</v>
      </c>
    </row>
    <row r="281" spans="1:9">
      <c r="A281" s="366" t="s">
        <v>7447</v>
      </c>
      <c r="B281" s="348">
        <f>DATA_CAPITAL_FLOW!D281</f>
        <v>2041</v>
      </c>
      <c r="C281" s="366" t="s">
        <v>21</v>
      </c>
      <c r="D281" s="366" t="s">
        <v>1683</v>
      </c>
      <c r="E281" s="381">
        <f>SUMIFS(DATA_CAPITAL_FLOW!$H$5:$H$293,DATA_CAPITAL_FLOW!$B$5:$B$293,"Portfolio",DATA_CAPITAL_FLOW!$D$5:$D$293,$B281,DATA_CAPITAL_FLOW!$F$5:$F$293,$C281)</f>
        <v>14838592.775439844</v>
      </c>
      <c r="F281" s="381">
        <f ca="1">SUMIFS(DATA_CAPITAL_FLOW!$H$294:$H$5206,DATA_CAPITAL_FLOW!$B$294:$B$5206,"Property",DATA_CAPITAL_FLOW!$D$294:$D$5206,$B281,DATA_CAPITAL_FLOW!$F$294:$F$5206,$C281)</f>
        <v>14838592.775439845</v>
      </c>
      <c r="G281" s="381">
        <f t="shared" ca="1" si="8"/>
        <v>0</v>
      </c>
      <c r="H281" s="348" t="str">
        <f t="shared" ca="1" si="9"/>
        <v>OK</v>
      </c>
      <c r="I281" s="366" t="s">
        <v>7171</v>
      </c>
    </row>
    <row r="282" spans="1:9">
      <c r="A282" s="366" t="s">
        <v>7448</v>
      </c>
      <c r="B282" s="348">
        <f>DATA_CAPITAL_FLOW!D282</f>
        <v>2041</v>
      </c>
      <c r="C282" s="366" t="s">
        <v>23</v>
      </c>
      <c r="D282" s="366" t="s">
        <v>23</v>
      </c>
      <c r="E282" s="381">
        <f>SUMIFS(DATA_CAPITAL_FLOW!$H$5:$H$293,DATA_CAPITAL_FLOW!$B$5:$B$293,"Portfolio",DATA_CAPITAL_FLOW!$D$5:$D$293,$B282,DATA_CAPITAL_FLOW!$F$5:$F$293,$C282)</f>
        <v>6811656.6125063812</v>
      </c>
      <c r="F282" s="381">
        <f ca="1">SUMIFS(DATA_CAPITAL_FLOW!$H$294:$H$5206,DATA_CAPITAL_FLOW!$B$294:$B$5206,"Property",DATA_CAPITAL_FLOW!$D$294:$D$5206,$B282,DATA_CAPITAL_FLOW!$F$294:$F$5206,$C282)</f>
        <v>6811656.6125063812</v>
      </c>
      <c r="G282" s="381">
        <f t="shared" ca="1" si="8"/>
        <v>0</v>
      </c>
      <c r="H282" s="348" t="str">
        <f t="shared" ca="1" si="9"/>
        <v>OK</v>
      </c>
      <c r="I282" s="366" t="s">
        <v>7171</v>
      </c>
    </row>
    <row r="283" spans="1:9">
      <c r="A283" s="366" t="s">
        <v>7449</v>
      </c>
      <c r="B283" s="348">
        <f>DATA_CAPITAL_FLOW!D283</f>
        <v>2041</v>
      </c>
      <c r="C283" s="366" t="s">
        <v>25</v>
      </c>
      <c r="D283" s="366" t="s">
        <v>1683</v>
      </c>
      <c r="E283" s="381">
        <f>SUMIFS(DATA_CAPITAL_FLOW!$H$5:$H$293,DATA_CAPITAL_FLOW!$B$5:$B$293,"Portfolio",DATA_CAPITAL_FLOW!$D$5:$D$293,$B283,DATA_CAPITAL_FLOW!$F$5:$F$293,$C283)</f>
        <v>8248503.7757350868</v>
      </c>
      <c r="F283" s="381">
        <f ca="1">SUMIFS(DATA_CAPITAL_FLOW!$H$294:$H$5206,DATA_CAPITAL_FLOW!$B$294:$B$5206,"Property",DATA_CAPITAL_FLOW!$D$294:$D$5206,$B283,DATA_CAPITAL_FLOW!$F$294:$F$5206,$C283)</f>
        <v>8248503.7757350896</v>
      </c>
      <c r="G283" s="381">
        <f t="shared" ca="1" si="8"/>
        <v>0</v>
      </c>
      <c r="H283" s="348" t="str">
        <f t="shared" ca="1" si="9"/>
        <v>OK</v>
      </c>
      <c r="I283" s="366" t="s">
        <v>7171</v>
      </c>
    </row>
    <row r="284" spans="1:9">
      <c r="A284" s="366" t="s">
        <v>7450</v>
      </c>
      <c r="B284" s="348">
        <f>DATA_CAPITAL_FLOW!D284</f>
        <v>2041</v>
      </c>
      <c r="C284" s="366" t="s">
        <v>27</v>
      </c>
      <c r="D284" s="366" t="s">
        <v>1683</v>
      </c>
      <c r="E284" s="381">
        <f>SUMIFS(DATA_CAPITAL_FLOW!$H$5:$H$293,DATA_CAPITAL_FLOW!$B$5:$B$293,"Portfolio",DATA_CAPITAL_FLOW!$D$5:$D$293,$B284,DATA_CAPITAL_FLOW!$F$5:$F$293,$C284)</f>
        <v>4949102.2654410517</v>
      </c>
      <c r="F284" s="381">
        <f ca="1">SUMIFS(DATA_CAPITAL_FLOW!$H$294:$H$5206,DATA_CAPITAL_FLOW!$B$294:$B$5206,"Property",DATA_CAPITAL_FLOW!$D$294:$D$5206,$B284,DATA_CAPITAL_FLOW!$F$294:$F$5206,$C284)</f>
        <v>4949102.2654410535</v>
      </c>
      <c r="G284" s="381">
        <f t="shared" ca="1" si="8"/>
        <v>0</v>
      </c>
      <c r="H284" s="348" t="str">
        <f t="shared" ca="1" si="9"/>
        <v>OK</v>
      </c>
      <c r="I284" s="366" t="s">
        <v>7171</v>
      </c>
    </row>
    <row r="285" spans="1:9">
      <c r="A285" s="366" t="s">
        <v>7451</v>
      </c>
      <c r="B285" s="348">
        <f>DATA_CAPITAL_FLOW!D285</f>
        <v>2041</v>
      </c>
      <c r="C285" s="366" t="s">
        <v>29</v>
      </c>
      <c r="D285" s="366" t="s">
        <v>1683</v>
      </c>
      <c r="E285" s="381">
        <f>SUMIFS(DATA_CAPITAL_FLOW!$H$5:$H$293,DATA_CAPITAL_FLOW!$B$5:$B$293,"Portfolio",DATA_CAPITAL_FLOW!$D$5:$D$293,$B285,DATA_CAPITAL_FLOW!$F$5:$F$293,$C285)</f>
        <v>3299401.5102940351</v>
      </c>
      <c r="F285" s="381">
        <f ca="1">SUMIFS(DATA_CAPITAL_FLOW!$H$294:$H$5206,DATA_CAPITAL_FLOW!$B$294:$B$5206,"Property",DATA_CAPITAL_FLOW!$D$294:$D$5206,$B285,DATA_CAPITAL_FLOW!$F$294:$F$5206,$C285)</f>
        <v>3299401.510294036</v>
      </c>
      <c r="G285" s="381">
        <f t="shared" ca="1" si="8"/>
        <v>0</v>
      </c>
      <c r="H285" s="348" t="str">
        <f t="shared" ca="1" si="9"/>
        <v>OK</v>
      </c>
      <c r="I285" s="366" t="s">
        <v>7171</v>
      </c>
    </row>
    <row r="286" spans="1:9">
      <c r="A286" s="366" t="s">
        <v>7452</v>
      </c>
      <c r="B286" s="348">
        <f>DATA_CAPITAL_FLOW!D286</f>
        <v>2041</v>
      </c>
      <c r="C286" s="366" t="s">
        <v>31</v>
      </c>
      <c r="D286" s="366" t="s">
        <v>1721</v>
      </c>
      <c r="E286" s="381">
        <f>SUMIFS(DATA_CAPITAL_FLOW!$H$5:$H$293,DATA_CAPITAL_FLOW!$B$5:$B$293,"Portfolio",DATA_CAPITAL_FLOW!$D$5:$D$293,$B286,DATA_CAPITAL_FLOW!$F$5:$F$293,$C286)</f>
        <v>0</v>
      </c>
      <c r="F286" s="381">
        <f ca="1">SUMIFS(DATA_CAPITAL_FLOW!$H$294:$H$5206,DATA_CAPITAL_FLOW!$B$294:$B$5206,"Property",DATA_CAPITAL_FLOW!$D$294:$D$5206,$B286,DATA_CAPITAL_FLOW!$F$294:$F$5206,$C286)</f>
        <v>0</v>
      </c>
      <c r="G286" s="381">
        <f t="shared" ca="1" si="8"/>
        <v>0</v>
      </c>
      <c r="H286" s="348" t="str">
        <f t="shared" ca="1" si="9"/>
        <v>OK</v>
      </c>
      <c r="I286" s="366" t="s">
        <v>7171</v>
      </c>
    </row>
    <row r="287" spans="1:9">
      <c r="A287" s="366" t="s">
        <v>7453</v>
      </c>
      <c r="B287" s="348">
        <f>DATA_CAPITAL_FLOW!D287</f>
        <v>2041</v>
      </c>
      <c r="C287" s="366" t="s">
        <v>33</v>
      </c>
      <c r="D287" s="366" t="s">
        <v>1721</v>
      </c>
      <c r="E287" s="381">
        <f>SUMIFS(DATA_CAPITAL_FLOW!$H$5:$H$293,DATA_CAPITAL_FLOW!$B$5:$B$293,"Portfolio",DATA_CAPITAL_FLOW!$D$5:$D$293,$B287,DATA_CAPITAL_FLOW!$F$5:$F$293,$C287)</f>
        <v>0</v>
      </c>
      <c r="F287" s="381">
        <f ca="1">SUMIFS(DATA_CAPITAL_FLOW!$H$294:$H$5206,DATA_CAPITAL_FLOW!$B$294:$B$5206,"Property",DATA_CAPITAL_FLOW!$D$294:$D$5206,$B287,DATA_CAPITAL_FLOW!$F$294:$F$5206,$C287)</f>
        <v>0</v>
      </c>
      <c r="G287" s="381">
        <f t="shared" ca="1" si="8"/>
        <v>0</v>
      </c>
      <c r="H287" s="348" t="str">
        <f t="shared" ca="1" si="9"/>
        <v>OK</v>
      </c>
      <c r="I287" s="366" t="s">
        <v>7171</v>
      </c>
    </row>
    <row r="288" spans="1:9">
      <c r="A288" s="366" t="s">
        <v>7454</v>
      </c>
      <c r="B288" s="348">
        <f>DATA_CAPITAL_FLOW!D288</f>
        <v>2041</v>
      </c>
      <c r="C288" s="366" t="s">
        <v>35</v>
      </c>
      <c r="D288" s="366" t="s">
        <v>1721</v>
      </c>
      <c r="E288" s="381">
        <f>SUMIFS(DATA_CAPITAL_FLOW!$H$5:$H$293,DATA_CAPITAL_FLOW!$B$5:$B$293,"Portfolio",DATA_CAPITAL_FLOW!$D$5:$D$293,$B288,DATA_CAPITAL_FLOW!$F$5:$F$293,$C288)</f>
        <v>0</v>
      </c>
      <c r="F288" s="381">
        <f ca="1">SUMIFS(DATA_CAPITAL_FLOW!$H$294:$H$5206,DATA_CAPITAL_FLOW!$B$294:$B$5206,"Property",DATA_CAPITAL_FLOW!$D$294:$D$5206,$B288,DATA_CAPITAL_FLOW!$F$294:$F$5206,$C288)</f>
        <v>0</v>
      </c>
      <c r="G288" s="381">
        <f t="shared" ca="1" si="8"/>
        <v>0</v>
      </c>
      <c r="H288" s="348" t="str">
        <f t="shared" ca="1" si="9"/>
        <v>OK</v>
      </c>
      <c r="I288" s="366" t="s">
        <v>7171</v>
      </c>
    </row>
    <row r="289" spans="1:9">
      <c r="A289" s="366" t="s">
        <v>7455</v>
      </c>
      <c r="B289" s="348">
        <f>DATA_CAPITAL_FLOW!D289</f>
        <v>2041</v>
      </c>
      <c r="C289" s="366" t="s">
        <v>37</v>
      </c>
      <c r="D289" s="366" t="s">
        <v>1721</v>
      </c>
      <c r="E289" s="381">
        <f>SUMIFS(DATA_CAPITAL_FLOW!$H$5:$H$293,DATA_CAPITAL_FLOW!$B$5:$B$293,"Portfolio",DATA_CAPITAL_FLOW!$D$5:$D$293,$B289,DATA_CAPITAL_FLOW!$F$5:$F$293,$C289)</f>
        <v>0</v>
      </c>
      <c r="F289" s="381">
        <f ca="1">SUMIFS(DATA_CAPITAL_FLOW!$H$294:$H$5206,DATA_CAPITAL_FLOW!$B$294:$B$5206,"Property",DATA_CAPITAL_FLOW!$D$294:$D$5206,$B289,DATA_CAPITAL_FLOW!$F$294:$F$5206,$C289)</f>
        <v>0</v>
      </c>
      <c r="G289" s="381">
        <f t="shared" ca="1" si="8"/>
        <v>0</v>
      </c>
      <c r="H289" s="348" t="str">
        <f t="shared" ca="1" si="9"/>
        <v>OK</v>
      </c>
      <c r="I289" s="366" t="s">
        <v>7171</v>
      </c>
    </row>
    <row r="290" spans="1:9">
      <c r="A290" s="366" t="s">
        <v>7456</v>
      </c>
      <c r="B290" s="348">
        <f>DATA_CAPITAL_FLOW!D290</f>
        <v>2041</v>
      </c>
      <c r="C290" s="366" t="s">
        <v>39</v>
      </c>
      <c r="D290" s="366" t="s">
        <v>1721</v>
      </c>
      <c r="E290" s="381">
        <f>SUMIFS(DATA_CAPITAL_FLOW!$H$5:$H$293,DATA_CAPITAL_FLOW!$B$5:$B$293,"Portfolio",DATA_CAPITAL_FLOW!$D$5:$D$293,$B290,DATA_CAPITAL_FLOW!$F$5:$F$293,$C290)</f>
        <v>0</v>
      </c>
      <c r="F290" s="381">
        <f ca="1">SUMIFS(DATA_CAPITAL_FLOW!$H$294:$H$5206,DATA_CAPITAL_FLOW!$B$294:$B$5206,"Property",DATA_CAPITAL_FLOW!$D$294:$D$5206,$B290,DATA_CAPITAL_FLOW!$F$294:$F$5206,$C290)</f>
        <v>0</v>
      </c>
      <c r="G290" s="381">
        <f t="shared" ca="1" si="8"/>
        <v>0</v>
      </c>
      <c r="H290" s="348" t="str">
        <f t="shared" ca="1" si="9"/>
        <v>OK</v>
      </c>
      <c r="I290" s="366" t="s">
        <v>7171</v>
      </c>
    </row>
    <row r="291" spans="1:9">
      <c r="A291" s="366" t="s">
        <v>7457</v>
      </c>
      <c r="B291" s="348">
        <f>DATA_CAPITAL_FLOW!D291</f>
        <v>2041</v>
      </c>
      <c r="C291" s="366" t="s">
        <v>41</v>
      </c>
      <c r="D291" s="366" t="s">
        <v>1741</v>
      </c>
      <c r="E291" s="381">
        <f>SUMIFS(DATA_CAPITAL_FLOW!$H$5:$H$293,DATA_CAPITAL_FLOW!$B$5:$B$293,"Portfolio",DATA_CAPITAL_FLOW!$D$5:$D$293,$B291,DATA_CAPITAL_FLOW!$F$5:$F$293,$C291)</f>
        <v>3299401.5102940351</v>
      </c>
      <c r="F291" s="381">
        <f ca="1">SUMIFS(DATA_CAPITAL_FLOW!$H$294:$H$5206,DATA_CAPITAL_FLOW!$B$294:$B$5206,"Property",DATA_CAPITAL_FLOW!$D$294:$D$5206,$B291,DATA_CAPITAL_FLOW!$F$294:$F$5206,$C291)</f>
        <v>3299401.510294036</v>
      </c>
      <c r="G291" s="381">
        <f t="shared" ca="1" si="8"/>
        <v>0</v>
      </c>
      <c r="H291" s="348" t="str">
        <f t="shared" ca="1" si="9"/>
        <v>OK</v>
      </c>
      <c r="I291" s="366" t="s">
        <v>7171</v>
      </c>
    </row>
    <row r="292" spans="1:9">
      <c r="A292" s="366" t="s">
        <v>7458</v>
      </c>
      <c r="B292" s="348">
        <f>DATA_CAPITAL_FLOW!D292</f>
        <v>2041</v>
      </c>
      <c r="C292" s="366" t="s">
        <v>43</v>
      </c>
      <c r="D292" s="366" t="s">
        <v>1741</v>
      </c>
      <c r="E292" s="381">
        <f>SUMIFS(DATA_CAPITAL_FLOW!$H$5:$H$293,DATA_CAPITAL_FLOW!$B$5:$B$293,"Portfolio",DATA_CAPITAL_FLOW!$D$5:$D$293,$B292,DATA_CAPITAL_FLOW!$F$5:$F$293,$C292)</f>
        <v>3299401.5102940351</v>
      </c>
      <c r="F292" s="381">
        <f ca="1">SUMIFS(DATA_CAPITAL_FLOW!$H$294:$H$5206,DATA_CAPITAL_FLOW!$B$294:$B$5206,"Property",DATA_CAPITAL_FLOW!$D$294:$D$5206,$B292,DATA_CAPITAL_FLOW!$F$294:$F$5206,$C292)</f>
        <v>3299401.510294036</v>
      </c>
      <c r="G292" s="381">
        <f t="shared" ca="1" si="8"/>
        <v>0</v>
      </c>
      <c r="H292" s="348" t="str">
        <f t="shared" ca="1" si="9"/>
        <v>OK</v>
      </c>
      <c r="I292" s="366" t="s">
        <v>7171</v>
      </c>
    </row>
    <row r="293" spans="1:9">
      <c r="A293" s="366" t="s">
        <v>7459</v>
      </c>
      <c r="B293" s="348">
        <f>DATA_CAPITAL_FLOW!D293</f>
        <v>2041</v>
      </c>
      <c r="C293" s="366" t="s">
        <v>1749</v>
      </c>
      <c r="D293" s="366" t="s">
        <v>1741</v>
      </c>
      <c r="E293" s="381">
        <f>SUMIFS(DATA_CAPITAL_FLOW!$H$5:$H$293,DATA_CAPITAL_FLOW!$B$5:$B$293,"Portfolio",DATA_CAPITAL_FLOW!$D$5:$D$293,$B293,DATA_CAPITAL_FLOW!$F$5:$F$293,$C293)</f>
        <v>0</v>
      </c>
      <c r="F293" s="381">
        <f ca="1">SUMIFS(DATA_CAPITAL_FLOW!$H$294:$H$5206,DATA_CAPITAL_FLOW!$B$294:$B$5206,"Property",DATA_CAPITAL_FLOW!$D$294:$D$5206,$B293,DATA_CAPITAL_FLOW!$F$294:$F$5206,$C293)</f>
        <v>0</v>
      </c>
      <c r="G293" s="381">
        <f t="shared" ca="1" si="8"/>
        <v>0</v>
      </c>
      <c r="H293" s="348" t="str">
        <f t="shared" ca="1" si="9"/>
        <v>OK</v>
      </c>
      <c r="I293" s="366" t="s">
        <v>7171</v>
      </c>
    </row>
  </sheetData>
  <conditionalFormatting sqref="A5:Z500">
    <cfRule type="expression" dxfId="11" priority="1">
      <formula>OR(ISNUMBER(SEARCH("FAIL",A5)),ISNUMBER(SEARCH("Review",A5)),ISNUMBER(SEARCH("Missing",A5)),ISNUMBER(SEARCH("OPEN",A5)),ISNUMBER(SEARCH("Suppressed",A5)))</formula>
    </cfRule>
  </conditionalFormatting>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DD9B3-0D0B-402F-AFD8-5B6B3616DA5E}">
  <sheetPr>
    <tabColor rgb="FF7C3AED"/>
  </sheetPr>
  <dimension ref="A1:Z80"/>
  <sheetViews>
    <sheetView workbookViewId="0">
      <pane xSplit="3" ySplit="5" topLeftCell="D6" activePane="bottomRight" state="frozen"/>
      <selection pane="topRight"/>
      <selection pane="bottomLeft"/>
      <selection pane="bottomRight"/>
    </sheetView>
  </sheetViews>
  <sheetFormatPr defaultRowHeight="15"/>
  <cols>
    <col min="1" max="1" width="28" customWidth="1"/>
    <col min="2" max="2" width="12" customWidth="1"/>
    <col min="3" max="3" width="24" customWidth="1"/>
    <col min="4" max="25" width="12" customWidth="1"/>
    <col min="26" max="26" width="42" customWidth="1"/>
  </cols>
  <sheetData>
    <row r="1" spans="1:26" ht="30">
      <c r="A1" s="365" t="s">
        <v>7460</v>
      </c>
      <c r="B1" s="205"/>
      <c r="C1" s="205"/>
      <c r="D1" s="205"/>
      <c r="E1" s="205"/>
      <c r="F1" s="205"/>
      <c r="G1" s="205"/>
      <c r="H1" s="205"/>
      <c r="I1" s="205"/>
      <c r="J1" s="205"/>
      <c r="K1" s="205"/>
      <c r="L1" s="205"/>
      <c r="M1" s="205"/>
      <c r="N1" s="205"/>
      <c r="O1" s="205"/>
      <c r="P1" s="205"/>
      <c r="Q1" s="205"/>
      <c r="R1" s="205"/>
      <c r="S1" s="205"/>
      <c r="T1" s="205"/>
      <c r="U1" s="205"/>
      <c r="V1" s="205"/>
      <c r="W1" s="205"/>
      <c r="X1" s="205"/>
      <c r="Y1" s="205"/>
      <c r="Z1" s="205"/>
    </row>
    <row r="2" spans="1:26">
      <c r="A2" s="193" t="s">
        <v>7461</v>
      </c>
      <c r="B2" s="350">
        <f ca="1">SUMIF($C$6:$C$80,"Included source errors",$Y$6:$Y$80)</f>
        <v>0</v>
      </c>
      <c r="C2" s="193"/>
      <c r="D2" s="193"/>
      <c r="E2" s="193"/>
      <c r="F2" s="193"/>
      <c r="G2" s="193"/>
      <c r="H2" s="193"/>
      <c r="I2" s="193"/>
      <c r="J2" s="193"/>
      <c r="K2" s="193"/>
      <c r="L2" s="193"/>
      <c r="M2" s="193"/>
      <c r="N2" s="193"/>
      <c r="O2" s="193"/>
      <c r="P2" s="193"/>
      <c r="Q2" s="193"/>
      <c r="R2" s="193"/>
      <c r="S2" s="193"/>
      <c r="T2" s="193"/>
      <c r="U2" s="193"/>
      <c r="V2" s="193"/>
      <c r="W2" s="193"/>
      <c r="X2" s="193"/>
      <c r="Y2" s="193"/>
      <c r="Z2" s="193"/>
    </row>
    <row r="3" spans="1:26">
      <c r="A3" s="193" t="s">
        <v>7462</v>
      </c>
      <c r="B3" s="350">
        <f ca="1">SUMIF($C$6:$C$80,"Excluded source errors",$Y$6:$Y$80)</f>
        <v>0</v>
      </c>
      <c r="C3" s="193"/>
      <c r="D3" s="193"/>
      <c r="E3" s="193"/>
      <c r="F3" s="193"/>
      <c r="G3" s="193"/>
      <c r="H3" s="193"/>
      <c r="I3" s="193"/>
      <c r="J3" s="193"/>
      <c r="K3" s="193"/>
      <c r="L3" s="193"/>
      <c r="M3" s="193"/>
      <c r="N3" s="193"/>
      <c r="O3" s="193"/>
      <c r="P3" s="193"/>
      <c r="Q3" s="193"/>
      <c r="R3" s="193"/>
      <c r="S3" s="193"/>
      <c r="T3" s="193"/>
      <c r="U3" s="193"/>
      <c r="V3" s="193"/>
      <c r="W3" s="193"/>
      <c r="X3" s="193"/>
      <c r="Y3" s="193"/>
      <c r="Z3" s="193"/>
    </row>
    <row r="4" spans="1:26" ht="120">
      <c r="A4" s="365" t="s">
        <v>7463</v>
      </c>
      <c r="B4" s="193"/>
      <c r="C4" s="193"/>
      <c r="D4" s="193"/>
      <c r="E4" s="193"/>
      <c r="F4" s="193"/>
      <c r="G4" s="193"/>
      <c r="H4" s="193"/>
      <c r="I4" s="193"/>
      <c r="J4" s="193"/>
      <c r="K4" s="193"/>
      <c r="L4" s="193"/>
      <c r="M4" s="193"/>
      <c r="N4" s="193"/>
      <c r="O4" s="193"/>
      <c r="P4" s="193"/>
      <c r="Q4" s="193"/>
      <c r="R4" s="193"/>
      <c r="S4" s="193"/>
      <c r="T4" s="193"/>
      <c r="U4" s="193"/>
      <c r="V4" s="193"/>
      <c r="W4" s="193"/>
      <c r="X4" s="193"/>
      <c r="Y4" s="193"/>
      <c r="Z4" s="193"/>
    </row>
    <row r="5" spans="1:26">
      <c r="A5" s="365" t="s">
        <v>17</v>
      </c>
      <c r="B5" s="365" t="s">
        <v>7464</v>
      </c>
      <c r="C5" s="365" t="s">
        <v>7465</v>
      </c>
      <c r="D5" s="365">
        <v>2025</v>
      </c>
      <c r="E5" s="365">
        <v>2026</v>
      </c>
      <c r="F5" s="365">
        <v>2027</v>
      </c>
      <c r="G5" s="365">
        <v>2028</v>
      </c>
      <c r="H5" s="365">
        <v>2029</v>
      </c>
      <c r="I5" s="365">
        <v>2030</v>
      </c>
      <c r="J5" s="365">
        <v>2031</v>
      </c>
      <c r="K5" s="365">
        <v>2032</v>
      </c>
      <c r="L5" s="365">
        <v>2033</v>
      </c>
      <c r="M5" s="365">
        <v>2034</v>
      </c>
      <c r="N5" s="365">
        <v>2035</v>
      </c>
      <c r="O5" s="365">
        <v>2036</v>
      </c>
      <c r="P5" s="365">
        <v>2037</v>
      </c>
      <c r="Q5" s="365">
        <v>2038</v>
      </c>
      <c r="R5" s="365">
        <v>2039</v>
      </c>
      <c r="S5" s="365">
        <v>2040</v>
      </c>
      <c r="T5" s="365">
        <v>2041</v>
      </c>
      <c r="U5" s="365">
        <v>2042</v>
      </c>
      <c r="V5" s="365">
        <v>2043</v>
      </c>
      <c r="W5" s="365">
        <v>2044</v>
      </c>
      <c r="X5" s="365">
        <v>2045</v>
      </c>
      <c r="Y5" s="365" t="s">
        <v>7466</v>
      </c>
      <c r="Z5" s="365" t="s">
        <v>1678</v>
      </c>
    </row>
    <row r="6" spans="1:26" ht="30">
      <c r="A6" s="382" t="s">
        <v>330</v>
      </c>
      <c r="B6" s="382">
        <v>13</v>
      </c>
      <c r="C6" s="382" t="s">
        <v>1560</v>
      </c>
      <c r="D6" s="350">
        <f ca="1">SUMPRODUCT(IFERROR((DATA_PROPERTY_MASTER!$A$5:$A$200&lt;&gt;"")*IF($C6="Included source errors",--(DATA_PROPERTY_MASTER!$E$5:$E$200="Yes"),--(DATA_PROPERTY_MASTER!$E$5:$E$200&lt;&gt;"Yes"))*--ISERROR(INDIRECT("'"&amp;DATA_PROPERTY_MASTER!$A$5:$A$200&amp;"'!"&amp;SUBSTITUTE(ADDRESS(1,COLUMN(D$5)+1,4),"1","")&amp;$B6)),0))</f>
        <v>0</v>
      </c>
      <c r="E6" s="350">
        <f ca="1">SUMPRODUCT(IFERROR((DATA_PROPERTY_MASTER!$A$5:$A$200&lt;&gt;"")*IF($C6="Included source errors",--(DATA_PROPERTY_MASTER!$E$5:$E$200="Yes"),--(DATA_PROPERTY_MASTER!$E$5:$E$200&lt;&gt;"Yes"))*--ISERROR(INDIRECT("'"&amp;DATA_PROPERTY_MASTER!$A$5:$A$200&amp;"'!"&amp;SUBSTITUTE(ADDRESS(1,COLUMN(E$5)+1,4),"1","")&amp;$B6)),0))</f>
        <v>0</v>
      </c>
      <c r="F6" s="350">
        <f ca="1">SUMPRODUCT(IFERROR((DATA_PROPERTY_MASTER!$A$5:$A$200&lt;&gt;"")*IF($C6="Included source errors",--(DATA_PROPERTY_MASTER!$E$5:$E$200="Yes"),--(DATA_PROPERTY_MASTER!$E$5:$E$200&lt;&gt;"Yes"))*--ISERROR(INDIRECT("'"&amp;DATA_PROPERTY_MASTER!$A$5:$A$200&amp;"'!"&amp;SUBSTITUTE(ADDRESS(1,COLUMN(F$5)+1,4),"1","")&amp;$B6)),0))</f>
        <v>0</v>
      </c>
      <c r="G6" s="350">
        <f ca="1">SUMPRODUCT(IFERROR((DATA_PROPERTY_MASTER!$A$5:$A$200&lt;&gt;"")*IF($C6="Included source errors",--(DATA_PROPERTY_MASTER!$E$5:$E$200="Yes"),--(DATA_PROPERTY_MASTER!$E$5:$E$200&lt;&gt;"Yes"))*--ISERROR(INDIRECT("'"&amp;DATA_PROPERTY_MASTER!$A$5:$A$200&amp;"'!"&amp;SUBSTITUTE(ADDRESS(1,COLUMN(G$5)+1,4),"1","")&amp;$B6)),0))</f>
        <v>0</v>
      </c>
      <c r="H6" s="350">
        <f ca="1">SUMPRODUCT(IFERROR((DATA_PROPERTY_MASTER!$A$5:$A$200&lt;&gt;"")*IF($C6="Included source errors",--(DATA_PROPERTY_MASTER!$E$5:$E$200="Yes"),--(DATA_PROPERTY_MASTER!$E$5:$E$200&lt;&gt;"Yes"))*--ISERROR(INDIRECT("'"&amp;DATA_PROPERTY_MASTER!$A$5:$A$200&amp;"'!"&amp;SUBSTITUTE(ADDRESS(1,COLUMN(H$5)+1,4),"1","")&amp;$B6)),0))</f>
        <v>0</v>
      </c>
      <c r="I6" s="350">
        <f ca="1">SUMPRODUCT(IFERROR((DATA_PROPERTY_MASTER!$A$5:$A$200&lt;&gt;"")*IF($C6="Included source errors",--(DATA_PROPERTY_MASTER!$E$5:$E$200="Yes"),--(DATA_PROPERTY_MASTER!$E$5:$E$200&lt;&gt;"Yes"))*--ISERROR(INDIRECT("'"&amp;DATA_PROPERTY_MASTER!$A$5:$A$200&amp;"'!"&amp;SUBSTITUTE(ADDRESS(1,COLUMN(I$5)+1,4),"1","")&amp;$B6)),0))</f>
        <v>0</v>
      </c>
      <c r="J6" s="350">
        <f ca="1">SUMPRODUCT(IFERROR((DATA_PROPERTY_MASTER!$A$5:$A$200&lt;&gt;"")*IF($C6="Included source errors",--(DATA_PROPERTY_MASTER!$E$5:$E$200="Yes"),--(DATA_PROPERTY_MASTER!$E$5:$E$200&lt;&gt;"Yes"))*--ISERROR(INDIRECT("'"&amp;DATA_PROPERTY_MASTER!$A$5:$A$200&amp;"'!"&amp;SUBSTITUTE(ADDRESS(1,COLUMN(J$5)+1,4),"1","")&amp;$B6)),0))</f>
        <v>0</v>
      </c>
      <c r="K6" s="350">
        <f ca="1">SUMPRODUCT(IFERROR((DATA_PROPERTY_MASTER!$A$5:$A$200&lt;&gt;"")*IF($C6="Included source errors",--(DATA_PROPERTY_MASTER!$E$5:$E$200="Yes"),--(DATA_PROPERTY_MASTER!$E$5:$E$200&lt;&gt;"Yes"))*--ISERROR(INDIRECT("'"&amp;DATA_PROPERTY_MASTER!$A$5:$A$200&amp;"'!"&amp;SUBSTITUTE(ADDRESS(1,COLUMN(K$5)+1,4),"1","")&amp;$B6)),0))</f>
        <v>0</v>
      </c>
      <c r="L6" s="350">
        <f ca="1">SUMPRODUCT(IFERROR((DATA_PROPERTY_MASTER!$A$5:$A$200&lt;&gt;"")*IF($C6="Included source errors",--(DATA_PROPERTY_MASTER!$E$5:$E$200="Yes"),--(DATA_PROPERTY_MASTER!$E$5:$E$200&lt;&gt;"Yes"))*--ISERROR(INDIRECT("'"&amp;DATA_PROPERTY_MASTER!$A$5:$A$200&amp;"'!"&amp;SUBSTITUTE(ADDRESS(1,COLUMN(L$5)+1,4),"1","")&amp;$B6)),0))</f>
        <v>0</v>
      </c>
      <c r="M6" s="350">
        <f ca="1">SUMPRODUCT(IFERROR((DATA_PROPERTY_MASTER!$A$5:$A$200&lt;&gt;"")*IF($C6="Included source errors",--(DATA_PROPERTY_MASTER!$E$5:$E$200="Yes"),--(DATA_PROPERTY_MASTER!$E$5:$E$200&lt;&gt;"Yes"))*--ISERROR(INDIRECT("'"&amp;DATA_PROPERTY_MASTER!$A$5:$A$200&amp;"'!"&amp;SUBSTITUTE(ADDRESS(1,COLUMN(M$5)+1,4),"1","")&amp;$B6)),0))</f>
        <v>0</v>
      </c>
      <c r="N6" s="350">
        <f ca="1">SUMPRODUCT(IFERROR((DATA_PROPERTY_MASTER!$A$5:$A$200&lt;&gt;"")*IF($C6="Included source errors",--(DATA_PROPERTY_MASTER!$E$5:$E$200="Yes"),--(DATA_PROPERTY_MASTER!$E$5:$E$200&lt;&gt;"Yes"))*--ISERROR(INDIRECT("'"&amp;DATA_PROPERTY_MASTER!$A$5:$A$200&amp;"'!"&amp;SUBSTITUTE(ADDRESS(1,COLUMN(N$5)+1,4),"1","")&amp;$B6)),0))</f>
        <v>0</v>
      </c>
      <c r="O6" s="350">
        <f ca="1">SUMPRODUCT(IFERROR((DATA_PROPERTY_MASTER!$A$5:$A$200&lt;&gt;"")*IF($C6="Included source errors",--(DATA_PROPERTY_MASTER!$E$5:$E$200="Yes"),--(DATA_PROPERTY_MASTER!$E$5:$E$200&lt;&gt;"Yes"))*--ISERROR(INDIRECT("'"&amp;DATA_PROPERTY_MASTER!$A$5:$A$200&amp;"'!"&amp;SUBSTITUTE(ADDRESS(1,COLUMN(O$5)+1,4),"1","")&amp;$B6)),0))</f>
        <v>0</v>
      </c>
      <c r="P6" s="350">
        <f ca="1">SUMPRODUCT(IFERROR((DATA_PROPERTY_MASTER!$A$5:$A$200&lt;&gt;"")*IF($C6="Included source errors",--(DATA_PROPERTY_MASTER!$E$5:$E$200="Yes"),--(DATA_PROPERTY_MASTER!$E$5:$E$200&lt;&gt;"Yes"))*--ISERROR(INDIRECT("'"&amp;DATA_PROPERTY_MASTER!$A$5:$A$200&amp;"'!"&amp;SUBSTITUTE(ADDRESS(1,COLUMN(P$5)+1,4),"1","")&amp;$B6)),0))</f>
        <v>0</v>
      </c>
      <c r="Q6" s="350">
        <f ca="1">SUMPRODUCT(IFERROR((DATA_PROPERTY_MASTER!$A$5:$A$200&lt;&gt;"")*IF($C6="Included source errors",--(DATA_PROPERTY_MASTER!$E$5:$E$200="Yes"),--(DATA_PROPERTY_MASTER!$E$5:$E$200&lt;&gt;"Yes"))*--ISERROR(INDIRECT("'"&amp;DATA_PROPERTY_MASTER!$A$5:$A$200&amp;"'!"&amp;SUBSTITUTE(ADDRESS(1,COLUMN(Q$5)+1,4),"1","")&amp;$B6)),0))</f>
        <v>0</v>
      </c>
      <c r="R6" s="350">
        <f ca="1">SUMPRODUCT(IFERROR((DATA_PROPERTY_MASTER!$A$5:$A$200&lt;&gt;"")*IF($C6="Included source errors",--(DATA_PROPERTY_MASTER!$E$5:$E$200="Yes"),--(DATA_PROPERTY_MASTER!$E$5:$E$200&lt;&gt;"Yes"))*--ISERROR(INDIRECT("'"&amp;DATA_PROPERTY_MASTER!$A$5:$A$200&amp;"'!"&amp;SUBSTITUTE(ADDRESS(1,COLUMN(R$5)+1,4),"1","")&amp;$B6)),0))</f>
        <v>0</v>
      </c>
      <c r="S6" s="350">
        <f ca="1">SUMPRODUCT(IFERROR((DATA_PROPERTY_MASTER!$A$5:$A$200&lt;&gt;"")*IF($C6="Included source errors",--(DATA_PROPERTY_MASTER!$E$5:$E$200="Yes"),--(DATA_PROPERTY_MASTER!$E$5:$E$200&lt;&gt;"Yes"))*--ISERROR(INDIRECT("'"&amp;DATA_PROPERTY_MASTER!$A$5:$A$200&amp;"'!"&amp;SUBSTITUTE(ADDRESS(1,COLUMN(S$5)+1,4),"1","")&amp;$B6)),0))</f>
        <v>0</v>
      </c>
      <c r="T6" s="350">
        <f ca="1">SUMPRODUCT(IFERROR((DATA_PROPERTY_MASTER!$A$5:$A$200&lt;&gt;"")*IF($C6="Included source errors",--(DATA_PROPERTY_MASTER!$E$5:$E$200="Yes"),--(DATA_PROPERTY_MASTER!$E$5:$E$200&lt;&gt;"Yes"))*--ISERROR(INDIRECT("'"&amp;DATA_PROPERTY_MASTER!$A$5:$A$200&amp;"'!"&amp;SUBSTITUTE(ADDRESS(1,COLUMN(T$5)+1,4),"1","")&amp;$B6)),0))</f>
        <v>0</v>
      </c>
      <c r="U6" s="350">
        <f ca="1">SUMPRODUCT(IFERROR((DATA_PROPERTY_MASTER!$A$5:$A$200&lt;&gt;"")*IF($C6="Included source errors",--(DATA_PROPERTY_MASTER!$E$5:$E$200="Yes"),--(DATA_PROPERTY_MASTER!$E$5:$E$200&lt;&gt;"Yes"))*--ISERROR(INDIRECT("'"&amp;DATA_PROPERTY_MASTER!$A$5:$A$200&amp;"'!"&amp;SUBSTITUTE(ADDRESS(1,COLUMN(U$5)+1,4),"1","")&amp;$B6)),0))</f>
        <v>0</v>
      </c>
      <c r="V6" s="350">
        <f ca="1">SUMPRODUCT(IFERROR((DATA_PROPERTY_MASTER!$A$5:$A$200&lt;&gt;"")*IF($C6="Included source errors",--(DATA_PROPERTY_MASTER!$E$5:$E$200="Yes"),--(DATA_PROPERTY_MASTER!$E$5:$E$200&lt;&gt;"Yes"))*--ISERROR(INDIRECT("'"&amp;DATA_PROPERTY_MASTER!$A$5:$A$200&amp;"'!"&amp;SUBSTITUTE(ADDRESS(1,COLUMN(V$5)+1,4),"1","")&amp;$B6)),0))</f>
        <v>0</v>
      </c>
      <c r="W6" s="350">
        <f ca="1">SUMPRODUCT(IFERROR((DATA_PROPERTY_MASTER!$A$5:$A$200&lt;&gt;"")*IF($C6="Included source errors",--(DATA_PROPERTY_MASTER!$E$5:$E$200="Yes"),--(DATA_PROPERTY_MASTER!$E$5:$E$200&lt;&gt;"Yes"))*--ISERROR(INDIRECT("'"&amp;DATA_PROPERTY_MASTER!$A$5:$A$200&amp;"'!"&amp;SUBSTITUTE(ADDRESS(1,COLUMN(W$5)+1,4),"1","")&amp;$B6)),0))</f>
        <v>0</v>
      </c>
      <c r="X6" s="350">
        <f ca="1">SUMPRODUCT(IFERROR((DATA_PROPERTY_MASTER!$A$5:$A$200&lt;&gt;"")*IF($C6="Included source errors",--(DATA_PROPERTY_MASTER!$E$5:$E$200="Yes"),--(DATA_PROPERTY_MASTER!$E$5:$E$200&lt;&gt;"Yes"))*--ISERROR(INDIRECT("'"&amp;DATA_PROPERTY_MASTER!$A$5:$A$200&amp;"'!"&amp;SUBSTITUTE(ADDRESS(1,COLUMN(X$5)+1,4),"1","")&amp;$B6)),0))</f>
        <v>0</v>
      </c>
      <c r="Y6" s="350">
        <f t="shared" ref="Y6:Y37" ca="1" si="0">SUM(D6:X6)</f>
        <v>0</v>
      </c>
      <c r="Z6" s="382" t="s">
        <v>7467</v>
      </c>
    </row>
    <row r="7" spans="1:26" ht="30">
      <c r="A7" s="365" t="s">
        <v>330</v>
      </c>
      <c r="B7" s="365">
        <v>13</v>
      </c>
      <c r="C7" s="365" t="s">
        <v>1563</v>
      </c>
      <c r="D7" s="365">
        <f ca="1">SUMPRODUCT(IFERROR((DATA_PROPERTY_MASTER!$A$5:$A$200&lt;&gt;"")*IF($C7="Included source errors",--(DATA_PROPERTY_MASTER!$E$5:$E$200="Yes"),--(DATA_PROPERTY_MASTER!$E$5:$E$200&lt;&gt;"Yes"))*--ISERROR(INDIRECT("'"&amp;DATA_PROPERTY_MASTER!$A$5:$A$200&amp;"'!"&amp;SUBSTITUTE(ADDRESS(1,COLUMN(D$5)+1,4),"1","")&amp;$B7)),0))</f>
        <v>0</v>
      </c>
      <c r="E7" s="365">
        <f ca="1">SUMPRODUCT(IFERROR((DATA_PROPERTY_MASTER!$A$5:$A$200&lt;&gt;"")*IF($C7="Included source errors",--(DATA_PROPERTY_MASTER!$E$5:$E$200="Yes"),--(DATA_PROPERTY_MASTER!$E$5:$E$200&lt;&gt;"Yes"))*--ISERROR(INDIRECT("'"&amp;DATA_PROPERTY_MASTER!$A$5:$A$200&amp;"'!"&amp;SUBSTITUTE(ADDRESS(1,COLUMN(E$5)+1,4),"1","")&amp;$B7)),0))</f>
        <v>0</v>
      </c>
      <c r="F7" s="365">
        <f ca="1">SUMPRODUCT(IFERROR((DATA_PROPERTY_MASTER!$A$5:$A$200&lt;&gt;"")*IF($C7="Included source errors",--(DATA_PROPERTY_MASTER!$E$5:$E$200="Yes"),--(DATA_PROPERTY_MASTER!$E$5:$E$200&lt;&gt;"Yes"))*--ISERROR(INDIRECT("'"&amp;DATA_PROPERTY_MASTER!$A$5:$A$200&amp;"'!"&amp;SUBSTITUTE(ADDRESS(1,COLUMN(F$5)+1,4),"1","")&amp;$B7)),0))</f>
        <v>0</v>
      </c>
      <c r="G7" s="365">
        <f ca="1">SUMPRODUCT(IFERROR((DATA_PROPERTY_MASTER!$A$5:$A$200&lt;&gt;"")*IF($C7="Included source errors",--(DATA_PROPERTY_MASTER!$E$5:$E$200="Yes"),--(DATA_PROPERTY_MASTER!$E$5:$E$200&lt;&gt;"Yes"))*--ISERROR(INDIRECT("'"&amp;DATA_PROPERTY_MASTER!$A$5:$A$200&amp;"'!"&amp;SUBSTITUTE(ADDRESS(1,COLUMN(G$5)+1,4),"1","")&amp;$B7)),0))</f>
        <v>0</v>
      </c>
      <c r="H7" s="365">
        <f ca="1">SUMPRODUCT(IFERROR((DATA_PROPERTY_MASTER!$A$5:$A$200&lt;&gt;"")*IF($C7="Included source errors",--(DATA_PROPERTY_MASTER!$E$5:$E$200="Yes"),--(DATA_PROPERTY_MASTER!$E$5:$E$200&lt;&gt;"Yes"))*--ISERROR(INDIRECT("'"&amp;DATA_PROPERTY_MASTER!$A$5:$A$200&amp;"'!"&amp;SUBSTITUTE(ADDRESS(1,COLUMN(H$5)+1,4),"1","")&amp;$B7)),0))</f>
        <v>0</v>
      </c>
      <c r="I7" s="365">
        <f ca="1">SUMPRODUCT(IFERROR((DATA_PROPERTY_MASTER!$A$5:$A$200&lt;&gt;"")*IF($C7="Included source errors",--(DATA_PROPERTY_MASTER!$E$5:$E$200="Yes"),--(DATA_PROPERTY_MASTER!$E$5:$E$200&lt;&gt;"Yes"))*--ISERROR(INDIRECT("'"&amp;DATA_PROPERTY_MASTER!$A$5:$A$200&amp;"'!"&amp;SUBSTITUTE(ADDRESS(1,COLUMN(I$5)+1,4),"1","")&amp;$B7)),0))</f>
        <v>0</v>
      </c>
      <c r="J7" s="365">
        <f ca="1">SUMPRODUCT(IFERROR((DATA_PROPERTY_MASTER!$A$5:$A$200&lt;&gt;"")*IF($C7="Included source errors",--(DATA_PROPERTY_MASTER!$E$5:$E$200="Yes"),--(DATA_PROPERTY_MASTER!$E$5:$E$200&lt;&gt;"Yes"))*--ISERROR(INDIRECT("'"&amp;DATA_PROPERTY_MASTER!$A$5:$A$200&amp;"'!"&amp;SUBSTITUTE(ADDRESS(1,COLUMN(J$5)+1,4),"1","")&amp;$B7)),0))</f>
        <v>0</v>
      </c>
      <c r="K7" s="365">
        <f ca="1">SUMPRODUCT(IFERROR((DATA_PROPERTY_MASTER!$A$5:$A$200&lt;&gt;"")*IF($C7="Included source errors",--(DATA_PROPERTY_MASTER!$E$5:$E$200="Yes"),--(DATA_PROPERTY_MASTER!$E$5:$E$200&lt;&gt;"Yes"))*--ISERROR(INDIRECT("'"&amp;DATA_PROPERTY_MASTER!$A$5:$A$200&amp;"'!"&amp;SUBSTITUTE(ADDRESS(1,COLUMN(K$5)+1,4),"1","")&amp;$B7)),0))</f>
        <v>0</v>
      </c>
      <c r="L7" s="365">
        <f ca="1">SUMPRODUCT(IFERROR((DATA_PROPERTY_MASTER!$A$5:$A$200&lt;&gt;"")*IF($C7="Included source errors",--(DATA_PROPERTY_MASTER!$E$5:$E$200="Yes"),--(DATA_PROPERTY_MASTER!$E$5:$E$200&lt;&gt;"Yes"))*--ISERROR(INDIRECT("'"&amp;DATA_PROPERTY_MASTER!$A$5:$A$200&amp;"'!"&amp;SUBSTITUTE(ADDRESS(1,COLUMN(L$5)+1,4),"1","")&amp;$B7)),0))</f>
        <v>0</v>
      </c>
      <c r="M7" s="365">
        <f ca="1">SUMPRODUCT(IFERROR((DATA_PROPERTY_MASTER!$A$5:$A$200&lt;&gt;"")*IF($C7="Included source errors",--(DATA_PROPERTY_MASTER!$E$5:$E$200="Yes"),--(DATA_PROPERTY_MASTER!$E$5:$E$200&lt;&gt;"Yes"))*--ISERROR(INDIRECT("'"&amp;DATA_PROPERTY_MASTER!$A$5:$A$200&amp;"'!"&amp;SUBSTITUTE(ADDRESS(1,COLUMN(M$5)+1,4),"1","")&amp;$B7)),0))</f>
        <v>0</v>
      </c>
      <c r="N7" s="365">
        <f ca="1">SUMPRODUCT(IFERROR((DATA_PROPERTY_MASTER!$A$5:$A$200&lt;&gt;"")*IF($C7="Included source errors",--(DATA_PROPERTY_MASTER!$E$5:$E$200="Yes"),--(DATA_PROPERTY_MASTER!$E$5:$E$200&lt;&gt;"Yes"))*--ISERROR(INDIRECT("'"&amp;DATA_PROPERTY_MASTER!$A$5:$A$200&amp;"'!"&amp;SUBSTITUTE(ADDRESS(1,COLUMN(N$5)+1,4),"1","")&amp;$B7)),0))</f>
        <v>0</v>
      </c>
      <c r="O7" s="365">
        <f ca="1">SUMPRODUCT(IFERROR((DATA_PROPERTY_MASTER!$A$5:$A$200&lt;&gt;"")*IF($C7="Included source errors",--(DATA_PROPERTY_MASTER!$E$5:$E$200="Yes"),--(DATA_PROPERTY_MASTER!$E$5:$E$200&lt;&gt;"Yes"))*--ISERROR(INDIRECT("'"&amp;DATA_PROPERTY_MASTER!$A$5:$A$200&amp;"'!"&amp;SUBSTITUTE(ADDRESS(1,COLUMN(O$5)+1,4),"1","")&amp;$B7)),0))</f>
        <v>0</v>
      </c>
      <c r="P7" s="365">
        <f ca="1">SUMPRODUCT(IFERROR((DATA_PROPERTY_MASTER!$A$5:$A$200&lt;&gt;"")*IF($C7="Included source errors",--(DATA_PROPERTY_MASTER!$E$5:$E$200="Yes"),--(DATA_PROPERTY_MASTER!$E$5:$E$200&lt;&gt;"Yes"))*--ISERROR(INDIRECT("'"&amp;DATA_PROPERTY_MASTER!$A$5:$A$200&amp;"'!"&amp;SUBSTITUTE(ADDRESS(1,COLUMN(P$5)+1,4),"1","")&amp;$B7)),0))</f>
        <v>0</v>
      </c>
      <c r="Q7" s="365">
        <f ca="1">SUMPRODUCT(IFERROR((DATA_PROPERTY_MASTER!$A$5:$A$200&lt;&gt;"")*IF($C7="Included source errors",--(DATA_PROPERTY_MASTER!$E$5:$E$200="Yes"),--(DATA_PROPERTY_MASTER!$E$5:$E$200&lt;&gt;"Yes"))*--ISERROR(INDIRECT("'"&amp;DATA_PROPERTY_MASTER!$A$5:$A$200&amp;"'!"&amp;SUBSTITUTE(ADDRESS(1,COLUMN(Q$5)+1,4),"1","")&amp;$B7)),0))</f>
        <v>0</v>
      </c>
      <c r="R7" s="365">
        <f ca="1">SUMPRODUCT(IFERROR((DATA_PROPERTY_MASTER!$A$5:$A$200&lt;&gt;"")*IF($C7="Included source errors",--(DATA_PROPERTY_MASTER!$E$5:$E$200="Yes"),--(DATA_PROPERTY_MASTER!$E$5:$E$200&lt;&gt;"Yes"))*--ISERROR(INDIRECT("'"&amp;DATA_PROPERTY_MASTER!$A$5:$A$200&amp;"'!"&amp;SUBSTITUTE(ADDRESS(1,COLUMN(R$5)+1,4),"1","")&amp;$B7)),0))</f>
        <v>0</v>
      </c>
      <c r="S7" s="365">
        <f ca="1">SUMPRODUCT(IFERROR((DATA_PROPERTY_MASTER!$A$5:$A$200&lt;&gt;"")*IF($C7="Included source errors",--(DATA_PROPERTY_MASTER!$E$5:$E$200="Yes"),--(DATA_PROPERTY_MASTER!$E$5:$E$200&lt;&gt;"Yes"))*--ISERROR(INDIRECT("'"&amp;DATA_PROPERTY_MASTER!$A$5:$A$200&amp;"'!"&amp;SUBSTITUTE(ADDRESS(1,COLUMN(S$5)+1,4),"1","")&amp;$B7)),0))</f>
        <v>0</v>
      </c>
      <c r="T7" s="365">
        <f ca="1">SUMPRODUCT(IFERROR((DATA_PROPERTY_MASTER!$A$5:$A$200&lt;&gt;"")*IF($C7="Included source errors",--(DATA_PROPERTY_MASTER!$E$5:$E$200="Yes"),--(DATA_PROPERTY_MASTER!$E$5:$E$200&lt;&gt;"Yes"))*--ISERROR(INDIRECT("'"&amp;DATA_PROPERTY_MASTER!$A$5:$A$200&amp;"'!"&amp;SUBSTITUTE(ADDRESS(1,COLUMN(T$5)+1,4),"1","")&amp;$B7)),0))</f>
        <v>0</v>
      </c>
      <c r="U7" s="365">
        <f ca="1">SUMPRODUCT(IFERROR((DATA_PROPERTY_MASTER!$A$5:$A$200&lt;&gt;"")*IF($C7="Included source errors",--(DATA_PROPERTY_MASTER!$E$5:$E$200="Yes"),--(DATA_PROPERTY_MASTER!$E$5:$E$200&lt;&gt;"Yes"))*--ISERROR(INDIRECT("'"&amp;DATA_PROPERTY_MASTER!$A$5:$A$200&amp;"'!"&amp;SUBSTITUTE(ADDRESS(1,COLUMN(U$5)+1,4),"1","")&amp;$B7)),0))</f>
        <v>0</v>
      </c>
      <c r="V7" s="365">
        <f ca="1">SUMPRODUCT(IFERROR((DATA_PROPERTY_MASTER!$A$5:$A$200&lt;&gt;"")*IF($C7="Included source errors",--(DATA_PROPERTY_MASTER!$E$5:$E$200="Yes"),--(DATA_PROPERTY_MASTER!$E$5:$E$200&lt;&gt;"Yes"))*--ISERROR(INDIRECT("'"&amp;DATA_PROPERTY_MASTER!$A$5:$A$200&amp;"'!"&amp;SUBSTITUTE(ADDRESS(1,COLUMN(V$5)+1,4),"1","")&amp;$B7)),0))</f>
        <v>0</v>
      </c>
      <c r="W7" s="365">
        <f ca="1">SUMPRODUCT(IFERROR((DATA_PROPERTY_MASTER!$A$5:$A$200&lt;&gt;"")*IF($C7="Included source errors",--(DATA_PROPERTY_MASTER!$E$5:$E$200="Yes"),--(DATA_PROPERTY_MASTER!$E$5:$E$200&lt;&gt;"Yes"))*--ISERROR(INDIRECT("'"&amp;DATA_PROPERTY_MASTER!$A$5:$A$200&amp;"'!"&amp;SUBSTITUTE(ADDRESS(1,COLUMN(W$5)+1,4),"1","")&amp;$B7)),0))</f>
        <v>0</v>
      </c>
      <c r="X7" s="365">
        <f ca="1">SUMPRODUCT(IFERROR((DATA_PROPERTY_MASTER!$A$5:$A$200&lt;&gt;"")*IF($C7="Included source errors",--(DATA_PROPERTY_MASTER!$E$5:$E$200="Yes"),--(DATA_PROPERTY_MASTER!$E$5:$E$200&lt;&gt;"Yes"))*--ISERROR(INDIRECT("'"&amp;DATA_PROPERTY_MASTER!$A$5:$A$200&amp;"'!"&amp;SUBSTITUTE(ADDRESS(1,COLUMN(X$5)+1,4),"1","")&amp;$B7)),0))</f>
        <v>0</v>
      </c>
      <c r="Y7" s="365">
        <f t="shared" ca="1" si="0"/>
        <v>0</v>
      </c>
      <c r="Z7" s="365" t="s">
        <v>7467</v>
      </c>
    </row>
    <row r="8" spans="1:26" ht="30">
      <c r="A8" s="382" t="s">
        <v>331</v>
      </c>
      <c r="B8" s="382">
        <v>14</v>
      </c>
      <c r="C8" s="382" t="s">
        <v>1560</v>
      </c>
      <c r="D8" s="350">
        <f ca="1">SUMPRODUCT(IFERROR((DATA_PROPERTY_MASTER!$A$5:$A$200&lt;&gt;"")*IF($C8="Included source errors",--(DATA_PROPERTY_MASTER!$E$5:$E$200="Yes"),--(DATA_PROPERTY_MASTER!$E$5:$E$200&lt;&gt;"Yes"))*--ISERROR(INDIRECT("'"&amp;DATA_PROPERTY_MASTER!$A$5:$A$200&amp;"'!"&amp;SUBSTITUTE(ADDRESS(1,COLUMN(D$5)+1,4),"1","")&amp;$B8)),0))</f>
        <v>0</v>
      </c>
      <c r="E8" s="350">
        <f ca="1">SUMPRODUCT(IFERROR((DATA_PROPERTY_MASTER!$A$5:$A$200&lt;&gt;"")*IF($C8="Included source errors",--(DATA_PROPERTY_MASTER!$E$5:$E$200="Yes"),--(DATA_PROPERTY_MASTER!$E$5:$E$200&lt;&gt;"Yes"))*--ISERROR(INDIRECT("'"&amp;DATA_PROPERTY_MASTER!$A$5:$A$200&amp;"'!"&amp;SUBSTITUTE(ADDRESS(1,COLUMN(E$5)+1,4),"1","")&amp;$B8)),0))</f>
        <v>0</v>
      </c>
      <c r="F8" s="350">
        <f ca="1">SUMPRODUCT(IFERROR((DATA_PROPERTY_MASTER!$A$5:$A$200&lt;&gt;"")*IF($C8="Included source errors",--(DATA_PROPERTY_MASTER!$E$5:$E$200="Yes"),--(DATA_PROPERTY_MASTER!$E$5:$E$200&lt;&gt;"Yes"))*--ISERROR(INDIRECT("'"&amp;DATA_PROPERTY_MASTER!$A$5:$A$200&amp;"'!"&amp;SUBSTITUTE(ADDRESS(1,COLUMN(F$5)+1,4),"1","")&amp;$B8)),0))</f>
        <v>0</v>
      </c>
      <c r="G8" s="350">
        <f ca="1">SUMPRODUCT(IFERROR((DATA_PROPERTY_MASTER!$A$5:$A$200&lt;&gt;"")*IF($C8="Included source errors",--(DATA_PROPERTY_MASTER!$E$5:$E$200="Yes"),--(DATA_PROPERTY_MASTER!$E$5:$E$200&lt;&gt;"Yes"))*--ISERROR(INDIRECT("'"&amp;DATA_PROPERTY_MASTER!$A$5:$A$200&amp;"'!"&amp;SUBSTITUTE(ADDRESS(1,COLUMN(G$5)+1,4),"1","")&amp;$B8)),0))</f>
        <v>0</v>
      </c>
      <c r="H8" s="350">
        <f ca="1">SUMPRODUCT(IFERROR((DATA_PROPERTY_MASTER!$A$5:$A$200&lt;&gt;"")*IF($C8="Included source errors",--(DATA_PROPERTY_MASTER!$E$5:$E$200="Yes"),--(DATA_PROPERTY_MASTER!$E$5:$E$200&lt;&gt;"Yes"))*--ISERROR(INDIRECT("'"&amp;DATA_PROPERTY_MASTER!$A$5:$A$200&amp;"'!"&amp;SUBSTITUTE(ADDRESS(1,COLUMN(H$5)+1,4),"1","")&amp;$B8)),0))</f>
        <v>0</v>
      </c>
      <c r="I8" s="350">
        <f ca="1">SUMPRODUCT(IFERROR((DATA_PROPERTY_MASTER!$A$5:$A$200&lt;&gt;"")*IF($C8="Included source errors",--(DATA_PROPERTY_MASTER!$E$5:$E$200="Yes"),--(DATA_PROPERTY_MASTER!$E$5:$E$200&lt;&gt;"Yes"))*--ISERROR(INDIRECT("'"&amp;DATA_PROPERTY_MASTER!$A$5:$A$200&amp;"'!"&amp;SUBSTITUTE(ADDRESS(1,COLUMN(I$5)+1,4),"1","")&amp;$B8)),0))</f>
        <v>0</v>
      </c>
      <c r="J8" s="350">
        <f ca="1">SUMPRODUCT(IFERROR((DATA_PROPERTY_MASTER!$A$5:$A$200&lt;&gt;"")*IF($C8="Included source errors",--(DATA_PROPERTY_MASTER!$E$5:$E$200="Yes"),--(DATA_PROPERTY_MASTER!$E$5:$E$200&lt;&gt;"Yes"))*--ISERROR(INDIRECT("'"&amp;DATA_PROPERTY_MASTER!$A$5:$A$200&amp;"'!"&amp;SUBSTITUTE(ADDRESS(1,COLUMN(J$5)+1,4),"1","")&amp;$B8)),0))</f>
        <v>0</v>
      </c>
      <c r="K8" s="350">
        <f ca="1">SUMPRODUCT(IFERROR((DATA_PROPERTY_MASTER!$A$5:$A$200&lt;&gt;"")*IF($C8="Included source errors",--(DATA_PROPERTY_MASTER!$E$5:$E$200="Yes"),--(DATA_PROPERTY_MASTER!$E$5:$E$200&lt;&gt;"Yes"))*--ISERROR(INDIRECT("'"&amp;DATA_PROPERTY_MASTER!$A$5:$A$200&amp;"'!"&amp;SUBSTITUTE(ADDRESS(1,COLUMN(K$5)+1,4),"1","")&amp;$B8)),0))</f>
        <v>0</v>
      </c>
      <c r="L8" s="350">
        <f ca="1">SUMPRODUCT(IFERROR((DATA_PROPERTY_MASTER!$A$5:$A$200&lt;&gt;"")*IF($C8="Included source errors",--(DATA_PROPERTY_MASTER!$E$5:$E$200="Yes"),--(DATA_PROPERTY_MASTER!$E$5:$E$200&lt;&gt;"Yes"))*--ISERROR(INDIRECT("'"&amp;DATA_PROPERTY_MASTER!$A$5:$A$200&amp;"'!"&amp;SUBSTITUTE(ADDRESS(1,COLUMN(L$5)+1,4),"1","")&amp;$B8)),0))</f>
        <v>0</v>
      </c>
      <c r="M8" s="350">
        <f ca="1">SUMPRODUCT(IFERROR((DATA_PROPERTY_MASTER!$A$5:$A$200&lt;&gt;"")*IF($C8="Included source errors",--(DATA_PROPERTY_MASTER!$E$5:$E$200="Yes"),--(DATA_PROPERTY_MASTER!$E$5:$E$200&lt;&gt;"Yes"))*--ISERROR(INDIRECT("'"&amp;DATA_PROPERTY_MASTER!$A$5:$A$200&amp;"'!"&amp;SUBSTITUTE(ADDRESS(1,COLUMN(M$5)+1,4),"1","")&amp;$B8)),0))</f>
        <v>0</v>
      </c>
      <c r="N8" s="350">
        <f ca="1">SUMPRODUCT(IFERROR((DATA_PROPERTY_MASTER!$A$5:$A$200&lt;&gt;"")*IF($C8="Included source errors",--(DATA_PROPERTY_MASTER!$E$5:$E$200="Yes"),--(DATA_PROPERTY_MASTER!$E$5:$E$200&lt;&gt;"Yes"))*--ISERROR(INDIRECT("'"&amp;DATA_PROPERTY_MASTER!$A$5:$A$200&amp;"'!"&amp;SUBSTITUTE(ADDRESS(1,COLUMN(N$5)+1,4),"1","")&amp;$B8)),0))</f>
        <v>0</v>
      </c>
      <c r="O8" s="350">
        <f ca="1">SUMPRODUCT(IFERROR((DATA_PROPERTY_MASTER!$A$5:$A$200&lt;&gt;"")*IF($C8="Included source errors",--(DATA_PROPERTY_MASTER!$E$5:$E$200="Yes"),--(DATA_PROPERTY_MASTER!$E$5:$E$200&lt;&gt;"Yes"))*--ISERROR(INDIRECT("'"&amp;DATA_PROPERTY_MASTER!$A$5:$A$200&amp;"'!"&amp;SUBSTITUTE(ADDRESS(1,COLUMN(O$5)+1,4),"1","")&amp;$B8)),0))</f>
        <v>0</v>
      </c>
      <c r="P8" s="350">
        <f ca="1">SUMPRODUCT(IFERROR((DATA_PROPERTY_MASTER!$A$5:$A$200&lt;&gt;"")*IF($C8="Included source errors",--(DATA_PROPERTY_MASTER!$E$5:$E$200="Yes"),--(DATA_PROPERTY_MASTER!$E$5:$E$200&lt;&gt;"Yes"))*--ISERROR(INDIRECT("'"&amp;DATA_PROPERTY_MASTER!$A$5:$A$200&amp;"'!"&amp;SUBSTITUTE(ADDRESS(1,COLUMN(P$5)+1,4),"1","")&amp;$B8)),0))</f>
        <v>0</v>
      </c>
      <c r="Q8" s="350">
        <f ca="1">SUMPRODUCT(IFERROR((DATA_PROPERTY_MASTER!$A$5:$A$200&lt;&gt;"")*IF($C8="Included source errors",--(DATA_PROPERTY_MASTER!$E$5:$E$200="Yes"),--(DATA_PROPERTY_MASTER!$E$5:$E$200&lt;&gt;"Yes"))*--ISERROR(INDIRECT("'"&amp;DATA_PROPERTY_MASTER!$A$5:$A$200&amp;"'!"&amp;SUBSTITUTE(ADDRESS(1,COLUMN(Q$5)+1,4),"1","")&amp;$B8)),0))</f>
        <v>0</v>
      </c>
      <c r="R8" s="350">
        <f ca="1">SUMPRODUCT(IFERROR((DATA_PROPERTY_MASTER!$A$5:$A$200&lt;&gt;"")*IF($C8="Included source errors",--(DATA_PROPERTY_MASTER!$E$5:$E$200="Yes"),--(DATA_PROPERTY_MASTER!$E$5:$E$200&lt;&gt;"Yes"))*--ISERROR(INDIRECT("'"&amp;DATA_PROPERTY_MASTER!$A$5:$A$200&amp;"'!"&amp;SUBSTITUTE(ADDRESS(1,COLUMN(R$5)+1,4),"1","")&amp;$B8)),0))</f>
        <v>0</v>
      </c>
      <c r="S8" s="350">
        <f ca="1">SUMPRODUCT(IFERROR((DATA_PROPERTY_MASTER!$A$5:$A$200&lt;&gt;"")*IF($C8="Included source errors",--(DATA_PROPERTY_MASTER!$E$5:$E$200="Yes"),--(DATA_PROPERTY_MASTER!$E$5:$E$200&lt;&gt;"Yes"))*--ISERROR(INDIRECT("'"&amp;DATA_PROPERTY_MASTER!$A$5:$A$200&amp;"'!"&amp;SUBSTITUTE(ADDRESS(1,COLUMN(S$5)+1,4),"1","")&amp;$B8)),0))</f>
        <v>0</v>
      </c>
      <c r="T8" s="350">
        <f ca="1">SUMPRODUCT(IFERROR((DATA_PROPERTY_MASTER!$A$5:$A$200&lt;&gt;"")*IF($C8="Included source errors",--(DATA_PROPERTY_MASTER!$E$5:$E$200="Yes"),--(DATA_PROPERTY_MASTER!$E$5:$E$200&lt;&gt;"Yes"))*--ISERROR(INDIRECT("'"&amp;DATA_PROPERTY_MASTER!$A$5:$A$200&amp;"'!"&amp;SUBSTITUTE(ADDRESS(1,COLUMN(T$5)+1,4),"1","")&amp;$B8)),0))</f>
        <v>0</v>
      </c>
      <c r="U8" s="350">
        <f ca="1">SUMPRODUCT(IFERROR((DATA_PROPERTY_MASTER!$A$5:$A$200&lt;&gt;"")*IF($C8="Included source errors",--(DATA_PROPERTY_MASTER!$E$5:$E$200="Yes"),--(DATA_PROPERTY_MASTER!$E$5:$E$200&lt;&gt;"Yes"))*--ISERROR(INDIRECT("'"&amp;DATA_PROPERTY_MASTER!$A$5:$A$200&amp;"'!"&amp;SUBSTITUTE(ADDRESS(1,COLUMN(U$5)+1,4),"1","")&amp;$B8)),0))</f>
        <v>0</v>
      </c>
      <c r="V8" s="350">
        <f ca="1">SUMPRODUCT(IFERROR((DATA_PROPERTY_MASTER!$A$5:$A$200&lt;&gt;"")*IF($C8="Included source errors",--(DATA_PROPERTY_MASTER!$E$5:$E$200="Yes"),--(DATA_PROPERTY_MASTER!$E$5:$E$200&lt;&gt;"Yes"))*--ISERROR(INDIRECT("'"&amp;DATA_PROPERTY_MASTER!$A$5:$A$200&amp;"'!"&amp;SUBSTITUTE(ADDRESS(1,COLUMN(V$5)+1,4),"1","")&amp;$B8)),0))</f>
        <v>0</v>
      </c>
      <c r="W8" s="350">
        <f ca="1">SUMPRODUCT(IFERROR((DATA_PROPERTY_MASTER!$A$5:$A$200&lt;&gt;"")*IF($C8="Included source errors",--(DATA_PROPERTY_MASTER!$E$5:$E$200="Yes"),--(DATA_PROPERTY_MASTER!$E$5:$E$200&lt;&gt;"Yes"))*--ISERROR(INDIRECT("'"&amp;DATA_PROPERTY_MASTER!$A$5:$A$200&amp;"'!"&amp;SUBSTITUTE(ADDRESS(1,COLUMN(W$5)+1,4),"1","")&amp;$B8)),0))</f>
        <v>0</v>
      </c>
      <c r="X8" s="350">
        <f ca="1">SUMPRODUCT(IFERROR((DATA_PROPERTY_MASTER!$A$5:$A$200&lt;&gt;"")*IF($C8="Included source errors",--(DATA_PROPERTY_MASTER!$E$5:$E$200="Yes"),--(DATA_PROPERTY_MASTER!$E$5:$E$200&lt;&gt;"Yes"))*--ISERROR(INDIRECT("'"&amp;DATA_PROPERTY_MASTER!$A$5:$A$200&amp;"'!"&amp;SUBSTITUTE(ADDRESS(1,COLUMN(X$5)+1,4),"1","")&amp;$B8)),0))</f>
        <v>0</v>
      </c>
      <c r="Y8" s="350">
        <f t="shared" ca="1" si="0"/>
        <v>0</v>
      </c>
      <c r="Z8" s="382" t="s">
        <v>7467</v>
      </c>
    </row>
    <row r="9" spans="1:26" ht="30">
      <c r="A9" s="382" t="s">
        <v>331</v>
      </c>
      <c r="B9" s="382">
        <v>14</v>
      </c>
      <c r="C9" s="382" t="s">
        <v>1563</v>
      </c>
      <c r="D9" s="350">
        <f ca="1">SUMPRODUCT(IFERROR((DATA_PROPERTY_MASTER!$A$5:$A$200&lt;&gt;"")*IF($C9="Included source errors",--(DATA_PROPERTY_MASTER!$E$5:$E$200="Yes"),--(DATA_PROPERTY_MASTER!$E$5:$E$200&lt;&gt;"Yes"))*--ISERROR(INDIRECT("'"&amp;DATA_PROPERTY_MASTER!$A$5:$A$200&amp;"'!"&amp;SUBSTITUTE(ADDRESS(1,COLUMN(D$5)+1,4),"1","")&amp;$B9)),0))</f>
        <v>0</v>
      </c>
      <c r="E9" s="350">
        <f ca="1">SUMPRODUCT(IFERROR((DATA_PROPERTY_MASTER!$A$5:$A$200&lt;&gt;"")*IF($C9="Included source errors",--(DATA_PROPERTY_MASTER!$E$5:$E$200="Yes"),--(DATA_PROPERTY_MASTER!$E$5:$E$200&lt;&gt;"Yes"))*--ISERROR(INDIRECT("'"&amp;DATA_PROPERTY_MASTER!$A$5:$A$200&amp;"'!"&amp;SUBSTITUTE(ADDRESS(1,COLUMN(E$5)+1,4),"1","")&amp;$B9)),0))</f>
        <v>0</v>
      </c>
      <c r="F9" s="350">
        <f ca="1">SUMPRODUCT(IFERROR((DATA_PROPERTY_MASTER!$A$5:$A$200&lt;&gt;"")*IF($C9="Included source errors",--(DATA_PROPERTY_MASTER!$E$5:$E$200="Yes"),--(DATA_PROPERTY_MASTER!$E$5:$E$200&lt;&gt;"Yes"))*--ISERROR(INDIRECT("'"&amp;DATA_PROPERTY_MASTER!$A$5:$A$200&amp;"'!"&amp;SUBSTITUTE(ADDRESS(1,COLUMN(F$5)+1,4),"1","")&amp;$B9)),0))</f>
        <v>0</v>
      </c>
      <c r="G9" s="350">
        <f ca="1">SUMPRODUCT(IFERROR((DATA_PROPERTY_MASTER!$A$5:$A$200&lt;&gt;"")*IF($C9="Included source errors",--(DATA_PROPERTY_MASTER!$E$5:$E$200="Yes"),--(DATA_PROPERTY_MASTER!$E$5:$E$200&lt;&gt;"Yes"))*--ISERROR(INDIRECT("'"&amp;DATA_PROPERTY_MASTER!$A$5:$A$200&amp;"'!"&amp;SUBSTITUTE(ADDRESS(1,COLUMN(G$5)+1,4),"1","")&amp;$B9)),0))</f>
        <v>0</v>
      </c>
      <c r="H9" s="350">
        <f ca="1">SUMPRODUCT(IFERROR((DATA_PROPERTY_MASTER!$A$5:$A$200&lt;&gt;"")*IF($C9="Included source errors",--(DATA_PROPERTY_MASTER!$E$5:$E$200="Yes"),--(DATA_PROPERTY_MASTER!$E$5:$E$200&lt;&gt;"Yes"))*--ISERROR(INDIRECT("'"&amp;DATA_PROPERTY_MASTER!$A$5:$A$200&amp;"'!"&amp;SUBSTITUTE(ADDRESS(1,COLUMN(H$5)+1,4),"1","")&amp;$B9)),0))</f>
        <v>0</v>
      </c>
      <c r="I9" s="350">
        <f ca="1">SUMPRODUCT(IFERROR((DATA_PROPERTY_MASTER!$A$5:$A$200&lt;&gt;"")*IF($C9="Included source errors",--(DATA_PROPERTY_MASTER!$E$5:$E$200="Yes"),--(DATA_PROPERTY_MASTER!$E$5:$E$200&lt;&gt;"Yes"))*--ISERROR(INDIRECT("'"&amp;DATA_PROPERTY_MASTER!$A$5:$A$200&amp;"'!"&amp;SUBSTITUTE(ADDRESS(1,COLUMN(I$5)+1,4),"1","")&amp;$B9)),0))</f>
        <v>0</v>
      </c>
      <c r="J9" s="350">
        <f ca="1">SUMPRODUCT(IFERROR((DATA_PROPERTY_MASTER!$A$5:$A$200&lt;&gt;"")*IF($C9="Included source errors",--(DATA_PROPERTY_MASTER!$E$5:$E$200="Yes"),--(DATA_PROPERTY_MASTER!$E$5:$E$200&lt;&gt;"Yes"))*--ISERROR(INDIRECT("'"&amp;DATA_PROPERTY_MASTER!$A$5:$A$200&amp;"'!"&amp;SUBSTITUTE(ADDRESS(1,COLUMN(J$5)+1,4),"1","")&amp;$B9)),0))</f>
        <v>0</v>
      </c>
      <c r="K9" s="350">
        <f ca="1">SUMPRODUCT(IFERROR((DATA_PROPERTY_MASTER!$A$5:$A$200&lt;&gt;"")*IF($C9="Included source errors",--(DATA_PROPERTY_MASTER!$E$5:$E$200="Yes"),--(DATA_PROPERTY_MASTER!$E$5:$E$200&lt;&gt;"Yes"))*--ISERROR(INDIRECT("'"&amp;DATA_PROPERTY_MASTER!$A$5:$A$200&amp;"'!"&amp;SUBSTITUTE(ADDRESS(1,COLUMN(K$5)+1,4),"1","")&amp;$B9)),0))</f>
        <v>0</v>
      </c>
      <c r="L9" s="350">
        <f ca="1">SUMPRODUCT(IFERROR((DATA_PROPERTY_MASTER!$A$5:$A$200&lt;&gt;"")*IF($C9="Included source errors",--(DATA_PROPERTY_MASTER!$E$5:$E$200="Yes"),--(DATA_PROPERTY_MASTER!$E$5:$E$200&lt;&gt;"Yes"))*--ISERROR(INDIRECT("'"&amp;DATA_PROPERTY_MASTER!$A$5:$A$200&amp;"'!"&amp;SUBSTITUTE(ADDRESS(1,COLUMN(L$5)+1,4),"1","")&amp;$B9)),0))</f>
        <v>0</v>
      </c>
      <c r="M9" s="350">
        <f ca="1">SUMPRODUCT(IFERROR((DATA_PROPERTY_MASTER!$A$5:$A$200&lt;&gt;"")*IF($C9="Included source errors",--(DATA_PROPERTY_MASTER!$E$5:$E$200="Yes"),--(DATA_PROPERTY_MASTER!$E$5:$E$200&lt;&gt;"Yes"))*--ISERROR(INDIRECT("'"&amp;DATA_PROPERTY_MASTER!$A$5:$A$200&amp;"'!"&amp;SUBSTITUTE(ADDRESS(1,COLUMN(M$5)+1,4),"1","")&amp;$B9)),0))</f>
        <v>0</v>
      </c>
      <c r="N9" s="350">
        <f ca="1">SUMPRODUCT(IFERROR((DATA_PROPERTY_MASTER!$A$5:$A$200&lt;&gt;"")*IF($C9="Included source errors",--(DATA_PROPERTY_MASTER!$E$5:$E$200="Yes"),--(DATA_PROPERTY_MASTER!$E$5:$E$200&lt;&gt;"Yes"))*--ISERROR(INDIRECT("'"&amp;DATA_PROPERTY_MASTER!$A$5:$A$200&amp;"'!"&amp;SUBSTITUTE(ADDRESS(1,COLUMN(N$5)+1,4),"1","")&amp;$B9)),0))</f>
        <v>0</v>
      </c>
      <c r="O9" s="350">
        <f ca="1">SUMPRODUCT(IFERROR((DATA_PROPERTY_MASTER!$A$5:$A$200&lt;&gt;"")*IF($C9="Included source errors",--(DATA_PROPERTY_MASTER!$E$5:$E$200="Yes"),--(DATA_PROPERTY_MASTER!$E$5:$E$200&lt;&gt;"Yes"))*--ISERROR(INDIRECT("'"&amp;DATA_PROPERTY_MASTER!$A$5:$A$200&amp;"'!"&amp;SUBSTITUTE(ADDRESS(1,COLUMN(O$5)+1,4),"1","")&amp;$B9)),0))</f>
        <v>0</v>
      </c>
      <c r="P9" s="350">
        <f ca="1">SUMPRODUCT(IFERROR((DATA_PROPERTY_MASTER!$A$5:$A$200&lt;&gt;"")*IF($C9="Included source errors",--(DATA_PROPERTY_MASTER!$E$5:$E$200="Yes"),--(DATA_PROPERTY_MASTER!$E$5:$E$200&lt;&gt;"Yes"))*--ISERROR(INDIRECT("'"&amp;DATA_PROPERTY_MASTER!$A$5:$A$200&amp;"'!"&amp;SUBSTITUTE(ADDRESS(1,COLUMN(P$5)+1,4),"1","")&amp;$B9)),0))</f>
        <v>0</v>
      </c>
      <c r="Q9" s="350">
        <f ca="1">SUMPRODUCT(IFERROR((DATA_PROPERTY_MASTER!$A$5:$A$200&lt;&gt;"")*IF($C9="Included source errors",--(DATA_PROPERTY_MASTER!$E$5:$E$200="Yes"),--(DATA_PROPERTY_MASTER!$E$5:$E$200&lt;&gt;"Yes"))*--ISERROR(INDIRECT("'"&amp;DATA_PROPERTY_MASTER!$A$5:$A$200&amp;"'!"&amp;SUBSTITUTE(ADDRESS(1,COLUMN(Q$5)+1,4),"1","")&amp;$B9)),0))</f>
        <v>0</v>
      </c>
      <c r="R9" s="350">
        <f ca="1">SUMPRODUCT(IFERROR((DATA_PROPERTY_MASTER!$A$5:$A$200&lt;&gt;"")*IF($C9="Included source errors",--(DATA_PROPERTY_MASTER!$E$5:$E$200="Yes"),--(DATA_PROPERTY_MASTER!$E$5:$E$200&lt;&gt;"Yes"))*--ISERROR(INDIRECT("'"&amp;DATA_PROPERTY_MASTER!$A$5:$A$200&amp;"'!"&amp;SUBSTITUTE(ADDRESS(1,COLUMN(R$5)+1,4),"1","")&amp;$B9)),0))</f>
        <v>0</v>
      </c>
      <c r="S9" s="350">
        <f ca="1">SUMPRODUCT(IFERROR((DATA_PROPERTY_MASTER!$A$5:$A$200&lt;&gt;"")*IF($C9="Included source errors",--(DATA_PROPERTY_MASTER!$E$5:$E$200="Yes"),--(DATA_PROPERTY_MASTER!$E$5:$E$200&lt;&gt;"Yes"))*--ISERROR(INDIRECT("'"&amp;DATA_PROPERTY_MASTER!$A$5:$A$200&amp;"'!"&amp;SUBSTITUTE(ADDRESS(1,COLUMN(S$5)+1,4),"1","")&amp;$B9)),0))</f>
        <v>0</v>
      </c>
      <c r="T9" s="350">
        <f ca="1">SUMPRODUCT(IFERROR((DATA_PROPERTY_MASTER!$A$5:$A$200&lt;&gt;"")*IF($C9="Included source errors",--(DATA_PROPERTY_MASTER!$E$5:$E$200="Yes"),--(DATA_PROPERTY_MASTER!$E$5:$E$200&lt;&gt;"Yes"))*--ISERROR(INDIRECT("'"&amp;DATA_PROPERTY_MASTER!$A$5:$A$200&amp;"'!"&amp;SUBSTITUTE(ADDRESS(1,COLUMN(T$5)+1,4),"1","")&amp;$B9)),0))</f>
        <v>0</v>
      </c>
      <c r="U9" s="350">
        <f ca="1">SUMPRODUCT(IFERROR((DATA_PROPERTY_MASTER!$A$5:$A$200&lt;&gt;"")*IF($C9="Included source errors",--(DATA_PROPERTY_MASTER!$E$5:$E$200="Yes"),--(DATA_PROPERTY_MASTER!$E$5:$E$200&lt;&gt;"Yes"))*--ISERROR(INDIRECT("'"&amp;DATA_PROPERTY_MASTER!$A$5:$A$200&amp;"'!"&amp;SUBSTITUTE(ADDRESS(1,COLUMN(U$5)+1,4),"1","")&amp;$B9)),0))</f>
        <v>0</v>
      </c>
      <c r="V9" s="350">
        <f ca="1">SUMPRODUCT(IFERROR((DATA_PROPERTY_MASTER!$A$5:$A$200&lt;&gt;"")*IF($C9="Included source errors",--(DATA_PROPERTY_MASTER!$E$5:$E$200="Yes"),--(DATA_PROPERTY_MASTER!$E$5:$E$200&lt;&gt;"Yes"))*--ISERROR(INDIRECT("'"&amp;DATA_PROPERTY_MASTER!$A$5:$A$200&amp;"'!"&amp;SUBSTITUTE(ADDRESS(1,COLUMN(V$5)+1,4),"1","")&amp;$B9)),0))</f>
        <v>0</v>
      </c>
      <c r="W9" s="350">
        <f ca="1">SUMPRODUCT(IFERROR((DATA_PROPERTY_MASTER!$A$5:$A$200&lt;&gt;"")*IF($C9="Included source errors",--(DATA_PROPERTY_MASTER!$E$5:$E$200="Yes"),--(DATA_PROPERTY_MASTER!$E$5:$E$200&lt;&gt;"Yes"))*--ISERROR(INDIRECT("'"&amp;DATA_PROPERTY_MASTER!$A$5:$A$200&amp;"'!"&amp;SUBSTITUTE(ADDRESS(1,COLUMN(W$5)+1,4),"1","")&amp;$B9)),0))</f>
        <v>0</v>
      </c>
      <c r="X9" s="350">
        <f ca="1">SUMPRODUCT(IFERROR((DATA_PROPERTY_MASTER!$A$5:$A$200&lt;&gt;"")*IF($C9="Included source errors",--(DATA_PROPERTY_MASTER!$E$5:$E$200="Yes"),--(DATA_PROPERTY_MASTER!$E$5:$E$200&lt;&gt;"Yes"))*--ISERROR(INDIRECT("'"&amp;DATA_PROPERTY_MASTER!$A$5:$A$200&amp;"'!"&amp;SUBSTITUTE(ADDRESS(1,COLUMN(X$5)+1,4),"1","")&amp;$B9)),0))</f>
        <v>0</v>
      </c>
      <c r="Y9" s="350">
        <f t="shared" ca="1" si="0"/>
        <v>0</v>
      </c>
      <c r="Z9" s="382" t="s">
        <v>7467</v>
      </c>
    </row>
    <row r="10" spans="1:26" ht="30">
      <c r="A10" s="382" t="s">
        <v>332</v>
      </c>
      <c r="B10" s="382">
        <v>15</v>
      </c>
      <c r="C10" s="382" t="s">
        <v>1560</v>
      </c>
      <c r="D10" s="350">
        <f ca="1">SUMPRODUCT(IFERROR((DATA_PROPERTY_MASTER!$A$5:$A$200&lt;&gt;"")*IF($C10="Included source errors",--(DATA_PROPERTY_MASTER!$E$5:$E$200="Yes"),--(DATA_PROPERTY_MASTER!$E$5:$E$200&lt;&gt;"Yes"))*--ISERROR(INDIRECT("'"&amp;DATA_PROPERTY_MASTER!$A$5:$A$200&amp;"'!"&amp;SUBSTITUTE(ADDRESS(1,COLUMN(D$5)+1,4),"1","")&amp;$B10)),0))</f>
        <v>0</v>
      </c>
      <c r="E10" s="350">
        <f ca="1">SUMPRODUCT(IFERROR((DATA_PROPERTY_MASTER!$A$5:$A$200&lt;&gt;"")*IF($C10="Included source errors",--(DATA_PROPERTY_MASTER!$E$5:$E$200="Yes"),--(DATA_PROPERTY_MASTER!$E$5:$E$200&lt;&gt;"Yes"))*--ISERROR(INDIRECT("'"&amp;DATA_PROPERTY_MASTER!$A$5:$A$200&amp;"'!"&amp;SUBSTITUTE(ADDRESS(1,COLUMN(E$5)+1,4),"1","")&amp;$B10)),0))</f>
        <v>0</v>
      </c>
      <c r="F10" s="350">
        <f ca="1">SUMPRODUCT(IFERROR((DATA_PROPERTY_MASTER!$A$5:$A$200&lt;&gt;"")*IF($C10="Included source errors",--(DATA_PROPERTY_MASTER!$E$5:$E$200="Yes"),--(DATA_PROPERTY_MASTER!$E$5:$E$200&lt;&gt;"Yes"))*--ISERROR(INDIRECT("'"&amp;DATA_PROPERTY_MASTER!$A$5:$A$200&amp;"'!"&amp;SUBSTITUTE(ADDRESS(1,COLUMN(F$5)+1,4),"1","")&amp;$B10)),0))</f>
        <v>0</v>
      </c>
      <c r="G10" s="350">
        <f ca="1">SUMPRODUCT(IFERROR((DATA_PROPERTY_MASTER!$A$5:$A$200&lt;&gt;"")*IF($C10="Included source errors",--(DATA_PROPERTY_MASTER!$E$5:$E$200="Yes"),--(DATA_PROPERTY_MASTER!$E$5:$E$200&lt;&gt;"Yes"))*--ISERROR(INDIRECT("'"&amp;DATA_PROPERTY_MASTER!$A$5:$A$200&amp;"'!"&amp;SUBSTITUTE(ADDRESS(1,COLUMN(G$5)+1,4),"1","")&amp;$B10)),0))</f>
        <v>0</v>
      </c>
      <c r="H10" s="350">
        <f ca="1">SUMPRODUCT(IFERROR((DATA_PROPERTY_MASTER!$A$5:$A$200&lt;&gt;"")*IF($C10="Included source errors",--(DATA_PROPERTY_MASTER!$E$5:$E$200="Yes"),--(DATA_PROPERTY_MASTER!$E$5:$E$200&lt;&gt;"Yes"))*--ISERROR(INDIRECT("'"&amp;DATA_PROPERTY_MASTER!$A$5:$A$200&amp;"'!"&amp;SUBSTITUTE(ADDRESS(1,COLUMN(H$5)+1,4),"1","")&amp;$B10)),0))</f>
        <v>0</v>
      </c>
      <c r="I10" s="350">
        <f ca="1">SUMPRODUCT(IFERROR((DATA_PROPERTY_MASTER!$A$5:$A$200&lt;&gt;"")*IF($C10="Included source errors",--(DATA_PROPERTY_MASTER!$E$5:$E$200="Yes"),--(DATA_PROPERTY_MASTER!$E$5:$E$200&lt;&gt;"Yes"))*--ISERROR(INDIRECT("'"&amp;DATA_PROPERTY_MASTER!$A$5:$A$200&amp;"'!"&amp;SUBSTITUTE(ADDRESS(1,COLUMN(I$5)+1,4),"1","")&amp;$B10)),0))</f>
        <v>0</v>
      </c>
      <c r="J10" s="350">
        <f ca="1">SUMPRODUCT(IFERROR((DATA_PROPERTY_MASTER!$A$5:$A$200&lt;&gt;"")*IF($C10="Included source errors",--(DATA_PROPERTY_MASTER!$E$5:$E$200="Yes"),--(DATA_PROPERTY_MASTER!$E$5:$E$200&lt;&gt;"Yes"))*--ISERROR(INDIRECT("'"&amp;DATA_PROPERTY_MASTER!$A$5:$A$200&amp;"'!"&amp;SUBSTITUTE(ADDRESS(1,COLUMN(J$5)+1,4),"1","")&amp;$B10)),0))</f>
        <v>0</v>
      </c>
      <c r="K10" s="350">
        <f ca="1">SUMPRODUCT(IFERROR((DATA_PROPERTY_MASTER!$A$5:$A$200&lt;&gt;"")*IF($C10="Included source errors",--(DATA_PROPERTY_MASTER!$E$5:$E$200="Yes"),--(DATA_PROPERTY_MASTER!$E$5:$E$200&lt;&gt;"Yes"))*--ISERROR(INDIRECT("'"&amp;DATA_PROPERTY_MASTER!$A$5:$A$200&amp;"'!"&amp;SUBSTITUTE(ADDRESS(1,COLUMN(K$5)+1,4),"1","")&amp;$B10)),0))</f>
        <v>0</v>
      </c>
      <c r="L10" s="350">
        <f ca="1">SUMPRODUCT(IFERROR((DATA_PROPERTY_MASTER!$A$5:$A$200&lt;&gt;"")*IF($C10="Included source errors",--(DATA_PROPERTY_MASTER!$E$5:$E$200="Yes"),--(DATA_PROPERTY_MASTER!$E$5:$E$200&lt;&gt;"Yes"))*--ISERROR(INDIRECT("'"&amp;DATA_PROPERTY_MASTER!$A$5:$A$200&amp;"'!"&amp;SUBSTITUTE(ADDRESS(1,COLUMN(L$5)+1,4),"1","")&amp;$B10)),0))</f>
        <v>0</v>
      </c>
      <c r="M10" s="350">
        <f ca="1">SUMPRODUCT(IFERROR((DATA_PROPERTY_MASTER!$A$5:$A$200&lt;&gt;"")*IF($C10="Included source errors",--(DATA_PROPERTY_MASTER!$E$5:$E$200="Yes"),--(DATA_PROPERTY_MASTER!$E$5:$E$200&lt;&gt;"Yes"))*--ISERROR(INDIRECT("'"&amp;DATA_PROPERTY_MASTER!$A$5:$A$200&amp;"'!"&amp;SUBSTITUTE(ADDRESS(1,COLUMN(M$5)+1,4),"1","")&amp;$B10)),0))</f>
        <v>0</v>
      </c>
      <c r="N10" s="350">
        <f ca="1">SUMPRODUCT(IFERROR((DATA_PROPERTY_MASTER!$A$5:$A$200&lt;&gt;"")*IF($C10="Included source errors",--(DATA_PROPERTY_MASTER!$E$5:$E$200="Yes"),--(DATA_PROPERTY_MASTER!$E$5:$E$200&lt;&gt;"Yes"))*--ISERROR(INDIRECT("'"&amp;DATA_PROPERTY_MASTER!$A$5:$A$200&amp;"'!"&amp;SUBSTITUTE(ADDRESS(1,COLUMN(N$5)+1,4),"1","")&amp;$B10)),0))</f>
        <v>0</v>
      </c>
      <c r="O10" s="350">
        <f ca="1">SUMPRODUCT(IFERROR((DATA_PROPERTY_MASTER!$A$5:$A$200&lt;&gt;"")*IF($C10="Included source errors",--(DATA_PROPERTY_MASTER!$E$5:$E$200="Yes"),--(DATA_PROPERTY_MASTER!$E$5:$E$200&lt;&gt;"Yes"))*--ISERROR(INDIRECT("'"&amp;DATA_PROPERTY_MASTER!$A$5:$A$200&amp;"'!"&amp;SUBSTITUTE(ADDRESS(1,COLUMN(O$5)+1,4),"1","")&amp;$B10)),0))</f>
        <v>0</v>
      </c>
      <c r="P10" s="350">
        <f ca="1">SUMPRODUCT(IFERROR((DATA_PROPERTY_MASTER!$A$5:$A$200&lt;&gt;"")*IF($C10="Included source errors",--(DATA_PROPERTY_MASTER!$E$5:$E$200="Yes"),--(DATA_PROPERTY_MASTER!$E$5:$E$200&lt;&gt;"Yes"))*--ISERROR(INDIRECT("'"&amp;DATA_PROPERTY_MASTER!$A$5:$A$200&amp;"'!"&amp;SUBSTITUTE(ADDRESS(1,COLUMN(P$5)+1,4),"1","")&amp;$B10)),0))</f>
        <v>0</v>
      </c>
      <c r="Q10" s="350">
        <f ca="1">SUMPRODUCT(IFERROR((DATA_PROPERTY_MASTER!$A$5:$A$200&lt;&gt;"")*IF($C10="Included source errors",--(DATA_PROPERTY_MASTER!$E$5:$E$200="Yes"),--(DATA_PROPERTY_MASTER!$E$5:$E$200&lt;&gt;"Yes"))*--ISERROR(INDIRECT("'"&amp;DATA_PROPERTY_MASTER!$A$5:$A$200&amp;"'!"&amp;SUBSTITUTE(ADDRESS(1,COLUMN(Q$5)+1,4),"1","")&amp;$B10)),0))</f>
        <v>0</v>
      </c>
      <c r="R10" s="350">
        <f ca="1">SUMPRODUCT(IFERROR((DATA_PROPERTY_MASTER!$A$5:$A$200&lt;&gt;"")*IF($C10="Included source errors",--(DATA_PROPERTY_MASTER!$E$5:$E$200="Yes"),--(DATA_PROPERTY_MASTER!$E$5:$E$200&lt;&gt;"Yes"))*--ISERROR(INDIRECT("'"&amp;DATA_PROPERTY_MASTER!$A$5:$A$200&amp;"'!"&amp;SUBSTITUTE(ADDRESS(1,COLUMN(R$5)+1,4),"1","")&amp;$B10)),0))</f>
        <v>0</v>
      </c>
      <c r="S10" s="350">
        <f ca="1">SUMPRODUCT(IFERROR((DATA_PROPERTY_MASTER!$A$5:$A$200&lt;&gt;"")*IF($C10="Included source errors",--(DATA_PROPERTY_MASTER!$E$5:$E$200="Yes"),--(DATA_PROPERTY_MASTER!$E$5:$E$200&lt;&gt;"Yes"))*--ISERROR(INDIRECT("'"&amp;DATA_PROPERTY_MASTER!$A$5:$A$200&amp;"'!"&amp;SUBSTITUTE(ADDRESS(1,COLUMN(S$5)+1,4),"1","")&amp;$B10)),0))</f>
        <v>0</v>
      </c>
      <c r="T10" s="350">
        <f ca="1">SUMPRODUCT(IFERROR((DATA_PROPERTY_MASTER!$A$5:$A$200&lt;&gt;"")*IF($C10="Included source errors",--(DATA_PROPERTY_MASTER!$E$5:$E$200="Yes"),--(DATA_PROPERTY_MASTER!$E$5:$E$200&lt;&gt;"Yes"))*--ISERROR(INDIRECT("'"&amp;DATA_PROPERTY_MASTER!$A$5:$A$200&amp;"'!"&amp;SUBSTITUTE(ADDRESS(1,COLUMN(T$5)+1,4),"1","")&amp;$B10)),0))</f>
        <v>0</v>
      </c>
      <c r="U10" s="350">
        <f ca="1">SUMPRODUCT(IFERROR((DATA_PROPERTY_MASTER!$A$5:$A$200&lt;&gt;"")*IF($C10="Included source errors",--(DATA_PROPERTY_MASTER!$E$5:$E$200="Yes"),--(DATA_PROPERTY_MASTER!$E$5:$E$200&lt;&gt;"Yes"))*--ISERROR(INDIRECT("'"&amp;DATA_PROPERTY_MASTER!$A$5:$A$200&amp;"'!"&amp;SUBSTITUTE(ADDRESS(1,COLUMN(U$5)+1,4),"1","")&amp;$B10)),0))</f>
        <v>0</v>
      </c>
      <c r="V10" s="350">
        <f ca="1">SUMPRODUCT(IFERROR((DATA_PROPERTY_MASTER!$A$5:$A$200&lt;&gt;"")*IF($C10="Included source errors",--(DATA_PROPERTY_MASTER!$E$5:$E$200="Yes"),--(DATA_PROPERTY_MASTER!$E$5:$E$200&lt;&gt;"Yes"))*--ISERROR(INDIRECT("'"&amp;DATA_PROPERTY_MASTER!$A$5:$A$200&amp;"'!"&amp;SUBSTITUTE(ADDRESS(1,COLUMN(V$5)+1,4),"1","")&amp;$B10)),0))</f>
        <v>0</v>
      </c>
      <c r="W10" s="350">
        <f ca="1">SUMPRODUCT(IFERROR((DATA_PROPERTY_MASTER!$A$5:$A$200&lt;&gt;"")*IF($C10="Included source errors",--(DATA_PROPERTY_MASTER!$E$5:$E$200="Yes"),--(DATA_PROPERTY_MASTER!$E$5:$E$200&lt;&gt;"Yes"))*--ISERROR(INDIRECT("'"&amp;DATA_PROPERTY_MASTER!$A$5:$A$200&amp;"'!"&amp;SUBSTITUTE(ADDRESS(1,COLUMN(W$5)+1,4),"1","")&amp;$B10)),0))</f>
        <v>0</v>
      </c>
      <c r="X10" s="350">
        <f ca="1">SUMPRODUCT(IFERROR((DATA_PROPERTY_MASTER!$A$5:$A$200&lt;&gt;"")*IF($C10="Included source errors",--(DATA_PROPERTY_MASTER!$E$5:$E$200="Yes"),--(DATA_PROPERTY_MASTER!$E$5:$E$200&lt;&gt;"Yes"))*--ISERROR(INDIRECT("'"&amp;DATA_PROPERTY_MASTER!$A$5:$A$200&amp;"'!"&amp;SUBSTITUTE(ADDRESS(1,COLUMN(X$5)+1,4),"1","")&amp;$B10)),0))</f>
        <v>0</v>
      </c>
      <c r="Y10" s="350">
        <f t="shared" ca="1" si="0"/>
        <v>0</v>
      </c>
      <c r="Z10" s="382" t="s">
        <v>7467</v>
      </c>
    </row>
    <row r="11" spans="1:26" ht="30">
      <c r="A11" s="382" t="s">
        <v>332</v>
      </c>
      <c r="B11" s="382">
        <v>15</v>
      </c>
      <c r="C11" s="382" t="s">
        <v>1563</v>
      </c>
      <c r="D11" s="350">
        <f ca="1">SUMPRODUCT(IFERROR((DATA_PROPERTY_MASTER!$A$5:$A$200&lt;&gt;"")*IF($C11="Included source errors",--(DATA_PROPERTY_MASTER!$E$5:$E$200="Yes"),--(DATA_PROPERTY_MASTER!$E$5:$E$200&lt;&gt;"Yes"))*--ISERROR(INDIRECT("'"&amp;DATA_PROPERTY_MASTER!$A$5:$A$200&amp;"'!"&amp;SUBSTITUTE(ADDRESS(1,COLUMN(D$5)+1,4),"1","")&amp;$B11)),0))</f>
        <v>0</v>
      </c>
      <c r="E11" s="350">
        <f ca="1">SUMPRODUCT(IFERROR((DATA_PROPERTY_MASTER!$A$5:$A$200&lt;&gt;"")*IF($C11="Included source errors",--(DATA_PROPERTY_MASTER!$E$5:$E$200="Yes"),--(DATA_PROPERTY_MASTER!$E$5:$E$200&lt;&gt;"Yes"))*--ISERROR(INDIRECT("'"&amp;DATA_PROPERTY_MASTER!$A$5:$A$200&amp;"'!"&amp;SUBSTITUTE(ADDRESS(1,COLUMN(E$5)+1,4),"1","")&amp;$B11)),0))</f>
        <v>0</v>
      </c>
      <c r="F11" s="350">
        <f ca="1">SUMPRODUCT(IFERROR((DATA_PROPERTY_MASTER!$A$5:$A$200&lt;&gt;"")*IF($C11="Included source errors",--(DATA_PROPERTY_MASTER!$E$5:$E$200="Yes"),--(DATA_PROPERTY_MASTER!$E$5:$E$200&lt;&gt;"Yes"))*--ISERROR(INDIRECT("'"&amp;DATA_PROPERTY_MASTER!$A$5:$A$200&amp;"'!"&amp;SUBSTITUTE(ADDRESS(1,COLUMN(F$5)+1,4),"1","")&amp;$B11)),0))</f>
        <v>0</v>
      </c>
      <c r="G11" s="350">
        <f ca="1">SUMPRODUCT(IFERROR((DATA_PROPERTY_MASTER!$A$5:$A$200&lt;&gt;"")*IF($C11="Included source errors",--(DATA_PROPERTY_MASTER!$E$5:$E$200="Yes"),--(DATA_PROPERTY_MASTER!$E$5:$E$200&lt;&gt;"Yes"))*--ISERROR(INDIRECT("'"&amp;DATA_PROPERTY_MASTER!$A$5:$A$200&amp;"'!"&amp;SUBSTITUTE(ADDRESS(1,COLUMN(G$5)+1,4),"1","")&amp;$B11)),0))</f>
        <v>0</v>
      </c>
      <c r="H11" s="350">
        <f ca="1">SUMPRODUCT(IFERROR((DATA_PROPERTY_MASTER!$A$5:$A$200&lt;&gt;"")*IF($C11="Included source errors",--(DATA_PROPERTY_MASTER!$E$5:$E$200="Yes"),--(DATA_PROPERTY_MASTER!$E$5:$E$200&lt;&gt;"Yes"))*--ISERROR(INDIRECT("'"&amp;DATA_PROPERTY_MASTER!$A$5:$A$200&amp;"'!"&amp;SUBSTITUTE(ADDRESS(1,COLUMN(H$5)+1,4),"1","")&amp;$B11)),0))</f>
        <v>0</v>
      </c>
      <c r="I11" s="350">
        <f ca="1">SUMPRODUCT(IFERROR((DATA_PROPERTY_MASTER!$A$5:$A$200&lt;&gt;"")*IF($C11="Included source errors",--(DATA_PROPERTY_MASTER!$E$5:$E$200="Yes"),--(DATA_PROPERTY_MASTER!$E$5:$E$200&lt;&gt;"Yes"))*--ISERROR(INDIRECT("'"&amp;DATA_PROPERTY_MASTER!$A$5:$A$200&amp;"'!"&amp;SUBSTITUTE(ADDRESS(1,COLUMN(I$5)+1,4),"1","")&amp;$B11)),0))</f>
        <v>0</v>
      </c>
      <c r="J11" s="350">
        <f ca="1">SUMPRODUCT(IFERROR((DATA_PROPERTY_MASTER!$A$5:$A$200&lt;&gt;"")*IF($C11="Included source errors",--(DATA_PROPERTY_MASTER!$E$5:$E$200="Yes"),--(DATA_PROPERTY_MASTER!$E$5:$E$200&lt;&gt;"Yes"))*--ISERROR(INDIRECT("'"&amp;DATA_PROPERTY_MASTER!$A$5:$A$200&amp;"'!"&amp;SUBSTITUTE(ADDRESS(1,COLUMN(J$5)+1,4),"1","")&amp;$B11)),0))</f>
        <v>0</v>
      </c>
      <c r="K11" s="350">
        <f ca="1">SUMPRODUCT(IFERROR((DATA_PROPERTY_MASTER!$A$5:$A$200&lt;&gt;"")*IF($C11="Included source errors",--(DATA_PROPERTY_MASTER!$E$5:$E$200="Yes"),--(DATA_PROPERTY_MASTER!$E$5:$E$200&lt;&gt;"Yes"))*--ISERROR(INDIRECT("'"&amp;DATA_PROPERTY_MASTER!$A$5:$A$200&amp;"'!"&amp;SUBSTITUTE(ADDRESS(1,COLUMN(K$5)+1,4),"1","")&amp;$B11)),0))</f>
        <v>0</v>
      </c>
      <c r="L11" s="350">
        <f ca="1">SUMPRODUCT(IFERROR((DATA_PROPERTY_MASTER!$A$5:$A$200&lt;&gt;"")*IF($C11="Included source errors",--(DATA_PROPERTY_MASTER!$E$5:$E$200="Yes"),--(DATA_PROPERTY_MASTER!$E$5:$E$200&lt;&gt;"Yes"))*--ISERROR(INDIRECT("'"&amp;DATA_PROPERTY_MASTER!$A$5:$A$200&amp;"'!"&amp;SUBSTITUTE(ADDRESS(1,COLUMN(L$5)+1,4),"1","")&amp;$B11)),0))</f>
        <v>0</v>
      </c>
      <c r="M11" s="350">
        <f ca="1">SUMPRODUCT(IFERROR((DATA_PROPERTY_MASTER!$A$5:$A$200&lt;&gt;"")*IF($C11="Included source errors",--(DATA_PROPERTY_MASTER!$E$5:$E$200="Yes"),--(DATA_PROPERTY_MASTER!$E$5:$E$200&lt;&gt;"Yes"))*--ISERROR(INDIRECT("'"&amp;DATA_PROPERTY_MASTER!$A$5:$A$200&amp;"'!"&amp;SUBSTITUTE(ADDRESS(1,COLUMN(M$5)+1,4),"1","")&amp;$B11)),0))</f>
        <v>0</v>
      </c>
      <c r="N11" s="350">
        <f ca="1">SUMPRODUCT(IFERROR((DATA_PROPERTY_MASTER!$A$5:$A$200&lt;&gt;"")*IF($C11="Included source errors",--(DATA_PROPERTY_MASTER!$E$5:$E$200="Yes"),--(DATA_PROPERTY_MASTER!$E$5:$E$200&lt;&gt;"Yes"))*--ISERROR(INDIRECT("'"&amp;DATA_PROPERTY_MASTER!$A$5:$A$200&amp;"'!"&amp;SUBSTITUTE(ADDRESS(1,COLUMN(N$5)+1,4),"1","")&amp;$B11)),0))</f>
        <v>0</v>
      </c>
      <c r="O11" s="350">
        <f ca="1">SUMPRODUCT(IFERROR((DATA_PROPERTY_MASTER!$A$5:$A$200&lt;&gt;"")*IF($C11="Included source errors",--(DATA_PROPERTY_MASTER!$E$5:$E$200="Yes"),--(DATA_PROPERTY_MASTER!$E$5:$E$200&lt;&gt;"Yes"))*--ISERROR(INDIRECT("'"&amp;DATA_PROPERTY_MASTER!$A$5:$A$200&amp;"'!"&amp;SUBSTITUTE(ADDRESS(1,COLUMN(O$5)+1,4),"1","")&amp;$B11)),0))</f>
        <v>0</v>
      </c>
      <c r="P11" s="350">
        <f ca="1">SUMPRODUCT(IFERROR((DATA_PROPERTY_MASTER!$A$5:$A$200&lt;&gt;"")*IF($C11="Included source errors",--(DATA_PROPERTY_MASTER!$E$5:$E$200="Yes"),--(DATA_PROPERTY_MASTER!$E$5:$E$200&lt;&gt;"Yes"))*--ISERROR(INDIRECT("'"&amp;DATA_PROPERTY_MASTER!$A$5:$A$200&amp;"'!"&amp;SUBSTITUTE(ADDRESS(1,COLUMN(P$5)+1,4),"1","")&amp;$B11)),0))</f>
        <v>0</v>
      </c>
      <c r="Q11" s="350">
        <f ca="1">SUMPRODUCT(IFERROR((DATA_PROPERTY_MASTER!$A$5:$A$200&lt;&gt;"")*IF($C11="Included source errors",--(DATA_PROPERTY_MASTER!$E$5:$E$200="Yes"),--(DATA_PROPERTY_MASTER!$E$5:$E$200&lt;&gt;"Yes"))*--ISERROR(INDIRECT("'"&amp;DATA_PROPERTY_MASTER!$A$5:$A$200&amp;"'!"&amp;SUBSTITUTE(ADDRESS(1,COLUMN(Q$5)+1,4),"1","")&amp;$B11)),0))</f>
        <v>0</v>
      </c>
      <c r="R11" s="350">
        <f ca="1">SUMPRODUCT(IFERROR((DATA_PROPERTY_MASTER!$A$5:$A$200&lt;&gt;"")*IF($C11="Included source errors",--(DATA_PROPERTY_MASTER!$E$5:$E$200="Yes"),--(DATA_PROPERTY_MASTER!$E$5:$E$200&lt;&gt;"Yes"))*--ISERROR(INDIRECT("'"&amp;DATA_PROPERTY_MASTER!$A$5:$A$200&amp;"'!"&amp;SUBSTITUTE(ADDRESS(1,COLUMN(R$5)+1,4),"1","")&amp;$B11)),0))</f>
        <v>0</v>
      </c>
      <c r="S11" s="350">
        <f ca="1">SUMPRODUCT(IFERROR((DATA_PROPERTY_MASTER!$A$5:$A$200&lt;&gt;"")*IF($C11="Included source errors",--(DATA_PROPERTY_MASTER!$E$5:$E$200="Yes"),--(DATA_PROPERTY_MASTER!$E$5:$E$200&lt;&gt;"Yes"))*--ISERROR(INDIRECT("'"&amp;DATA_PROPERTY_MASTER!$A$5:$A$200&amp;"'!"&amp;SUBSTITUTE(ADDRESS(1,COLUMN(S$5)+1,4),"1","")&amp;$B11)),0))</f>
        <v>0</v>
      </c>
      <c r="T11" s="350">
        <f ca="1">SUMPRODUCT(IFERROR((DATA_PROPERTY_MASTER!$A$5:$A$200&lt;&gt;"")*IF($C11="Included source errors",--(DATA_PROPERTY_MASTER!$E$5:$E$200="Yes"),--(DATA_PROPERTY_MASTER!$E$5:$E$200&lt;&gt;"Yes"))*--ISERROR(INDIRECT("'"&amp;DATA_PROPERTY_MASTER!$A$5:$A$200&amp;"'!"&amp;SUBSTITUTE(ADDRESS(1,COLUMN(T$5)+1,4),"1","")&amp;$B11)),0))</f>
        <v>0</v>
      </c>
      <c r="U11" s="350">
        <f ca="1">SUMPRODUCT(IFERROR((DATA_PROPERTY_MASTER!$A$5:$A$200&lt;&gt;"")*IF($C11="Included source errors",--(DATA_PROPERTY_MASTER!$E$5:$E$200="Yes"),--(DATA_PROPERTY_MASTER!$E$5:$E$200&lt;&gt;"Yes"))*--ISERROR(INDIRECT("'"&amp;DATA_PROPERTY_MASTER!$A$5:$A$200&amp;"'!"&amp;SUBSTITUTE(ADDRESS(1,COLUMN(U$5)+1,4),"1","")&amp;$B11)),0))</f>
        <v>0</v>
      </c>
      <c r="V11" s="350">
        <f ca="1">SUMPRODUCT(IFERROR((DATA_PROPERTY_MASTER!$A$5:$A$200&lt;&gt;"")*IF($C11="Included source errors",--(DATA_PROPERTY_MASTER!$E$5:$E$200="Yes"),--(DATA_PROPERTY_MASTER!$E$5:$E$200&lt;&gt;"Yes"))*--ISERROR(INDIRECT("'"&amp;DATA_PROPERTY_MASTER!$A$5:$A$200&amp;"'!"&amp;SUBSTITUTE(ADDRESS(1,COLUMN(V$5)+1,4),"1","")&amp;$B11)),0))</f>
        <v>0</v>
      </c>
      <c r="W11" s="350">
        <f ca="1">SUMPRODUCT(IFERROR((DATA_PROPERTY_MASTER!$A$5:$A$200&lt;&gt;"")*IF($C11="Included source errors",--(DATA_PROPERTY_MASTER!$E$5:$E$200="Yes"),--(DATA_PROPERTY_MASTER!$E$5:$E$200&lt;&gt;"Yes"))*--ISERROR(INDIRECT("'"&amp;DATA_PROPERTY_MASTER!$A$5:$A$200&amp;"'!"&amp;SUBSTITUTE(ADDRESS(1,COLUMN(W$5)+1,4),"1","")&amp;$B11)),0))</f>
        <v>0</v>
      </c>
      <c r="X11" s="350">
        <f ca="1">SUMPRODUCT(IFERROR((DATA_PROPERTY_MASTER!$A$5:$A$200&lt;&gt;"")*IF($C11="Included source errors",--(DATA_PROPERTY_MASTER!$E$5:$E$200="Yes"),--(DATA_PROPERTY_MASTER!$E$5:$E$200&lt;&gt;"Yes"))*--ISERROR(INDIRECT("'"&amp;DATA_PROPERTY_MASTER!$A$5:$A$200&amp;"'!"&amp;SUBSTITUTE(ADDRESS(1,COLUMN(X$5)+1,4),"1","")&amp;$B11)),0))</f>
        <v>0</v>
      </c>
      <c r="Y11" s="350">
        <f t="shared" ca="1" si="0"/>
        <v>0</v>
      </c>
      <c r="Z11" s="382" t="s">
        <v>7467</v>
      </c>
    </row>
    <row r="12" spans="1:26" ht="30">
      <c r="A12" s="382" t="s">
        <v>333</v>
      </c>
      <c r="B12" s="382">
        <v>16</v>
      </c>
      <c r="C12" s="382" t="s">
        <v>1560</v>
      </c>
      <c r="D12" s="350">
        <f ca="1">SUMPRODUCT(IFERROR((DATA_PROPERTY_MASTER!$A$5:$A$200&lt;&gt;"")*IF($C12="Included source errors",--(DATA_PROPERTY_MASTER!$E$5:$E$200="Yes"),--(DATA_PROPERTY_MASTER!$E$5:$E$200&lt;&gt;"Yes"))*--ISERROR(INDIRECT("'"&amp;DATA_PROPERTY_MASTER!$A$5:$A$200&amp;"'!"&amp;SUBSTITUTE(ADDRESS(1,COLUMN(D$5)+1,4),"1","")&amp;$B12)),0))</f>
        <v>0</v>
      </c>
      <c r="E12" s="350">
        <f ca="1">SUMPRODUCT(IFERROR((DATA_PROPERTY_MASTER!$A$5:$A$200&lt;&gt;"")*IF($C12="Included source errors",--(DATA_PROPERTY_MASTER!$E$5:$E$200="Yes"),--(DATA_PROPERTY_MASTER!$E$5:$E$200&lt;&gt;"Yes"))*--ISERROR(INDIRECT("'"&amp;DATA_PROPERTY_MASTER!$A$5:$A$200&amp;"'!"&amp;SUBSTITUTE(ADDRESS(1,COLUMN(E$5)+1,4),"1","")&amp;$B12)),0))</f>
        <v>0</v>
      </c>
      <c r="F12" s="350">
        <f ca="1">SUMPRODUCT(IFERROR((DATA_PROPERTY_MASTER!$A$5:$A$200&lt;&gt;"")*IF($C12="Included source errors",--(DATA_PROPERTY_MASTER!$E$5:$E$200="Yes"),--(DATA_PROPERTY_MASTER!$E$5:$E$200&lt;&gt;"Yes"))*--ISERROR(INDIRECT("'"&amp;DATA_PROPERTY_MASTER!$A$5:$A$200&amp;"'!"&amp;SUBSTITUTE(ADDRESS(1,COLUMN(F$5)+1,4),"1","")&amp;$B12)),0))</f>
        <v>0</v>
      </c>
      <c r="G12" s="350">
        <f ca="1">SUMPRODUCT(IFERROR((DATA_PROPERTY_MASTER!$A$5:$A$200&lt;&gt;"")*IF($C12="Included source errors",--(DATA_PROPERTY_MASTER!$E$5:$E$200="Yes"),--(DATA_PROPERTY_MASTER!$E$5:$E$200&lt;&gt;"Yes"))*--ISERROR(INDIRECT("'"&amp;DATA_PROPERTY_MASTER!$A$5:$A$200&amp;"'!"&amp;SUBSTITUTE(ADDRESS(1,COLUMN(G$5)+1,4),"1","")&amp;$B12)),0))</f>
        <v>0</v>
      </c>
      <c r="H12" s="350">
        <f ca="1">SUMPRODUCT(IFERROR((DATA_PROPERTY_MASTER!$A$5:$A$200&lt;&gt;"")*IF($C12="Included source errors",--(DATA_PROPERTY_MASTER!$E$5:$E$200="Yes"),--(DATA_PROPERTY_MASTER!$E$5:$E$200&lt;&gt;"Yes"))*--ISERROR(INDIRECT("'"&amp;DATA_PROPERTY_MASTER!$A$5:$A$200&amp;"'!"&amp;SUBSTITUTE(ADDRESS(1,COLUMN(H$5)+1,4),"1","")&amp;$B12)),0))</f>
        <v>0</v>
      </c>
      <c r="I12" s="350">
        <f ca="1">SUMPRODUCT(IFERROR((DATA_PROPERTY_MASTER!$A$5:$A$200&lt;&gt;"")*IF($C12="Included source errors",--(DATA_PROPERTY_MASTER!$E$5:$E$200="Yes"),--(DATA_PROPERTY_MASTER!$E$5:$E$200&lt;&gt;"Yes"))*--ISERROR(INDIRECT("'"&amp;DATA_PROPERTY_MASTER!$A$5:$A$200&amp;"'!"&amp;SUBSTITUTE(ADDRESS(1,COLUMN(I$5)+1,4),"1","")&amp;$B12)),0))</f>
        <v>0</v>
      </c>
      <c r="J12" s="350">
        <f ca="1">SUMPRODUCT(IFERROR((DATA_PROPERTY_MASTER!$A$5:$A$200&lt;&gt;"")*IF($C12="Included source errors",--(DATA_PROPERTY_MASTER!$E$5:$E$200="Yes"),--(DATA_PROPERTY_MASTER!$E$5:$E$200&lt;&gt;"Yes"))*--ISERROR(INDIRECT("'"&amp;DATA_PROPERTY_MASTER!$A$5:$A$200&amp;"'!"&amp;SUBSTITUTE(ADDRESS(1,COLUMN(J$5)+1,4),"1","")&amp;$B12)),0))</f>
        <v>0</v>
      </c>
      <c r="K12" s="350">
        <f ca="1">SUMPRODUCT(IFERROR((DATA_PROPERTY_MASTER!$A$5:$A$200&lt;&gt;"")*IF($C12="Included source errors",--(DATA_PROPERTY_MASTER!$E$5:$E$200="Yes"),--(DATA_PROPERTY_MASTER!$E$5:$E$200&lt;&gt;"Yes"))*--ISERROR(INDIRECT("'"&amp;DATA_PROPERTY_MASTER!$A$5:$A$200&amp;"'!"&amp;SUBSTITUTE(ADDRESS(1,COLUMN(K$5)+1,4),"1","")&amp;$B12)),0))</f>
        <v>0</v>
      </c>
      <c r="L12" s="350">
        <f ca="1">SUMPRODUCT(IFERROR((DATA_PROPERTY_MASTER!$A$5:$A$200&lt;&gt;"")*IF($C12="Included source errors",--(DATA_PROPERTY_MASTER!$E$5:$E$200="Yes"),--(DATA_PROPERTY_MASTER!$E$5:$E$200&lt;&gt;"Yes"))*--ISERROR(INDIRECT("'"&amp;DATA_PROPERTY_MASTER!$A$5:$A$200&amp;"'!"&amp;SUBSTITUTE(ADDRESS(1,COLUMN(L$5)+1,4),"1","")&amp;$B12)),0))</f>
        <v>0</v>
      </c>
      <c r="M12" s="350">
        <f ca="1">SUMPRODUCT(IFERROR((DATA_PROPERTY_MASTER!$A$5:$A$200&lt;&gt;"")*IF($C12="Included source errors",--(DATA_PROPERTY_MASTER!$E$5:$E$200="Yes"),--(DATA_PROPERTY_MASTER!$E$5:$E$200&lt;&gt;"Yes"))*--ISERROR(INDIRECT("'"&amp;DATA_PROPERTY_MASTER!$A$5:$A$200&amp;"'!"&amp;SUBSTITUTE(ADDRESS(1,COLUMN(M$5)+1,4),"1","")&amp;$B12)),0))</f>
        <v>0</v>
      </c>
      <c r="N12" s="350">
        <f ca="1">SUMPRODUCT(IFERROR((DATA_PROPERTY_MASTER!$A$5:$A$200&lt;&gt;"")*IF($C12="Included source errors",--(DATA_PROPERTY_MASTER!$E$5:$E$200="Yes"),--(DATA_PROPERTY_MASTER!$E$5:$E$200&lt;&gt;"Yes"))*--ISERROR(INDIRECT("'"&amp;DATA_PROPERTY_MASTER!$A$5:$A$200&amp;"'!"&amp;SUBSTITUTE(ADDRESS(1,COLUMN(N$5)+1,4),"1","")&amp;$B12)),0))</f>
        <v>0</v>
      </c>
      <c r="O12" s="350">
        <f ca="1">SUMPRODUCT(IFERROR((DATA_PROPERTY_MASTER!$A$5:$A$200&lt;&gt;"")*IF($C12="Included source errors",--(DATA_PROPERTY_MASTER!$E$5:$E$200="Yes"),--(DATA_PROPERTY_MASTER!$E$5:$E$200&lt;&gt;"Yes"))*--ISERROR(INDIRECT("'"&amp;DATA_PROPERTY_MASTER!$A$5:$A$200&amp;"'!"&amp;SUBSTITUTE(ADDRESS(1,COLUMN(O$5)+1,4),"1","")&amp;$B12)),0))</f>
        <v>0</v>
      </c>
      <c r="P12" s="350">
        <f ca="1">SUMPRODUCT(IFERROR((DATA_PROPERTY_MASTER!$A$5:$A$200&lt;&gt;"")*IF($C12="Included source errors",--(DATA_PROPERTY_MASTER!$E$5:$E$200="Yes"),--(DATA_PROPERTY_MASTER!$E$5:$E$200&lt;&gt;"Yes"))*--ISERROR(INDIRECT("'"&amp;DATA_PROPERTY_MASTER!$A$5:$A$200&amp;"'!"&amp;SUBSTITUTE(ADDRESS(1,COLUMN(P$5)+1,4),"1","")&amp;$B12)),0))</f>
        <v>0</v>
      </c>
      <c r="Q12" s="350">
        <f ca="1">SUMPRODUCT(IFERROR((DATA_PROPERTY_MASTER!$A$5:$A$200&lt;&gt;"")*IF($C12="Included source errors",--(DATA_PROPERTY_MASTER!$E$5:$E$200="Yes"),--(DATA_PROPERTY_MASTER!$E$5:$E$200&lt;&gt;"Yes"))*--ISERROR(INDIRECT("'"&amp;DATA_PROPERTY_MASTER!$A$5:$A$200&amp;"'!"&amp;SUBSTITUTE(ADDRESS(1,COLUMN(Q$5)+1,4),"1","")&amp;$B12)),0))</f>
        <v>0</v>
      </c>
      <c r="R12" s="350">
        <f ca="1">SUMPRODUCT(IFERROR((DATA_PROPERTY_MASTER!$A$5:$A$200&lt;&gt;"")*IF($C12="Included source errors",--(DATA_PROPERTY_MASTER!$E$5:$E$200="Yes"),--(DATA_PROPERTY_MASTER!$E$5:$E$200&lt;&gt;"Yes"))*--ISERROR(INDIRECT("'"&amp;DATA_PROPERTY_MASTER!$A$5:$A$200&amp;"'!"&amp;SUBSTITUTE(ADDRESS(1,COLUMN(R$5)+1,4),"1","")&amp;$B12)),0))</f>
        <v>0</v>
      </c>
      <c r="S12" s="350">
        <f ca="1">SUMPRODUCT(IFERROR((DATA_PROPERTY_MASTER!$A$5:$A$200&lt;&gt;"")*IF($C12="Included source errors",--(DATA_PROPERTY_MASTER!$E$5:$E$200="Yes"),--(DATA_PROPERTY_MASTER!$E$5:$E$200&lt;&gt;"Yes"))*--ISERROR(INDIRECT("'"&amp;DATA_PROPERTY_MASTER!$A$5:$A$200&amp;"'!"&amp;SUBSTITUTE(ADDRESS(1,COLUMN(S$5)+1,4),"1","")&amp;$B12)),0))</f>
        <v>0</v>
      </c>
      <c r="T12" s="350">
        <f ca="1">SUMPRODUCT(IFERROR((DATA_PROPERTY_MASTER!$A$5:$A$200&lt;&gt;"")*IF($C12="Included source errors",--(DATA_PROPERTY_MASTER!$E$5:$E$200="Yes"),--(DATA_PROPERTY_MASTER!$E$5:$E$200&lt;&gt;"Yes"))*--ISERROR(INDIRECT("'"&amp;DATA_PROPERTY_MASTER!$A$5:$A$200&amp;"'!"&amp;SUBSTITUTE(ADDRESS(1,COLUMN(T$5)+1,4),"1","")&amp;$B12)),0))</f>
        <v>0</v>
      </c>
      <c r="U12" s="350">
        <f ca="1">SUMPRODUCT(IFERROR((DATA_PROPERTY_MASTER!$A$5:$A$200&lt;&gt;"")*IF($C12="Included source errors",--(DATA_PROPERTY_MASTER!$E$5:$E$200="Yes"),--(DATA_PROPERTY_MASTER!$E$5:$E$200&lt;&gt;"Yes"))*--ISERROR(INDIRECT("'"&amp;DATA_PROPERTY_MASTER!$A$5:$A$200&amp;"'!"&amp;SUBSTITUTE(ADDRESS(1,COLUMN(U$5)+1,4),"1","")&amp;$B12)),0))</f>
        <v>0</v>
      </c>
      <c r="V12" s="350">
        <f ca="1">SUMPRODUCT(IFERROR((DATA_PROPERTY_MASTER!$A$5:$A$200&lt;&gt;"")*IF($C12="Included source errors",--(DATA_PROPERTY_MASTER!$E$5:$E$200="Yes"),--(DATA_PROPERTY_MASTER!$E$5:$E$200&lt;&gt;"Yes"))*--ISERROR(INDIRECT("'"&amp;DATA_PROPERTY_MASTER!$A$5:$A$200&amp;"'!"&amp;SUBSTITUTE(ADDRESS(1,COLUMN(V$5)+1,4),"1","")&amp;$B12)),0))</f>
        <v>0</v>
      </c>
      <c r="W12" s="350">
        <f ca="1">SUMPRODUCT(IFERROR((DATA_PROPERTY_MASTER!$A$5:$A$200&lt;&gt;"")*IF($C12="Included source errors",--(DATA_PROPERTY_MASTER!$E$5:$E$200="Yes"),--(DATA_PROPERTY_MASTER!$E$5:$E$200&lt;&gt;"Yes"))*--ISERROR(INDIRECT("'"&amp;DATA_PROPERTY_MASTER!$A$5:$A$200&amp;"'!"&amp;SUBSTITUTE(ADDRESS(1,COLUMN(W$5)+1,4),"1","")&amp;$B12)),0))</f>
        <v>0</v>
      </c>
      <c r="X12" s="350">
        <f ca="1">SUMPRODUCT(IFERROR((DATA_PROPERTY_MASTER!$A$5:$A$200&lt;&gt;"")*IF($C12="Included source errors",--(DATA_PROPERTY_MASTER!$E$5:$E$200="Yes"),--(DATA_PROPERTY_MASTER!$E$5:$E$200&lt;&gt;"Yes"))*--ISERROR(INDIRECT("'"&amp;DATA_PROPERTY_MASTER!$A$5:$A$200&amp;"'!"&amp;SUBSTITUTE(ADDRESS(1,COLUMN(X$5)+1,4),"1","")&amp;$B12)),0))</f>
        <v>0</v>
      </c>
      <c r="Y12" s="350">
        <f t="shared" ca="1" si="0"/>
        <v>0</v>
      </c>
      <c r="Z12" s="382" t="s">
        <v>7467</v>
      </c>
    </row>
    <row r="13" spans="1:26" ht="30">
      <c r="A13" s="382" t="s">
        <v>333</v>
      </c>
      <c r="B13" s="382">
        <v>16</v>
      </c>
      <c r="C13" s="382" t="s">
        <v>1563</v>
      </c>
      <c r="D13" s="350">
        <f ca="1">SUMPRODUCT(IFERROR((DATA_PROPERTY_MASTER!$A$5:$A$200&lt;&gt;"")*IF($C13="Included source errors",--(DATA_PROPERTY_MASTER!$E$5:$E$200="Yes"),--(DATA_PROPERTY_MASTER!$E$5:$E$200&lt;&gt;"Yes"))*--ISERROR(INDIRECT("'"&amp;DATA_PROPERTY_MASTER!$A$5:$A$200&amp;"'!"&amp;SUBSTITUTE(ADDRESS(1,COLUMN(D$5)+1,4),"1","")&amp;$B13)),0))</f>
        <v>0</v>
      </c>
      <c r="E13" s="350">
        <f ca="1">SUMPRODUCT(IFERROR((DATA_PROPERTY_MASTER!$A$5:$A$200&lt;&gt;"")*IF($C13="Included source errors",--(DATA_PROPERTY_MASTER!$E$5:$E$200="Yes"),--(DATA_PROPERTY_MASTER!$E$5:$E$200&lt;&gt;"Yes"))*--ISERROR(INDIRECT("'"&amp;DATA_PROPERTY_MASTER!$A$5:$A$200&amp;"'!"&amp;SUBSTITUTE(ADDRESS(1,COLUMN(E$5)+1,4),"1","")&amp;$B13)),0))</f>
        <v>0</v>
      </c>
      <c r="F13" s="350">
        <f ca="1">SUMPRODUCT(IFERROR((DATA_PROPERTY_MASTER!$A$5:$A$200&lt;&gt;"")*IF($C13="Included source errors",--(DATA_PROPERTY_MASTER!$E$5:$E$200="Yes"),--(DATA_PROPERTY_MASTER!$E$5:$E$200&lt;&gt;"Yes"))*--ISERROR(INDIRECT("'"&amp;DATA_PROPERTY_MASTER!$A$5:$A$200&amp;"'!"&amp;SUBSTITUTE(ADDRESS(1,COLUMN(F$5)+1,4),"1","")&amp;$B13)),0))</f>
        <v>0</v>
      </c>
      <c r="G13" s="350">
        <f ca="1">SUMPRODUCT(IFERROR((DATA_PROPERTY_MASTER!$A$5:$A$200&lt;&gt;"")*IF($C13="Included source errors",--(DATA_PROPERTY_MASTER!$E$5:$E$200="Yes"),--(DATA_PROPERTY_MASTER!$E$5:$E$200&lt;&gt;"Yes"))*--ISERROR(INDIRECT("'"&amp;DATA_PROPERTY_MASTER!$A$5:$A$200&amp;"'!"&amp;SUBSTITUTE(ADDRESS(1,COLUMN(G$5)+1,4),"1","")&amp;$B13)),0))</f>
        <v>0</v>
      </c>
      <c r="H13" s="350">
        <f ca="1">SUMPRODUCT(IFERROR((DATA_PROPERTY_MASTER!$A$5:$A$200&lt;&gt;"")*IF($C13="Included source errors",--(DATA_PROPERTY_MASTER!$E$5:$E$200="Yes"),--(DATA_PROPERTY_MASTER!$E$5:$E$200&lt;&gt;"Yes"))*--ISERROR(INDIRECT("'"&amp;DATA_PROPERTY_MASTER!$A$5:$A$200&amp;"'!"&amp;SUBSTITUTE(ADDRESS(1,COLUMN(H$5)+1,4),"1","")&amp;$B13)),0))</f>
        <v>0</v>
      </c>
      <c r="I13" s="350">
        <f ca="1">SUMPRODUCT(IFERROR((DATA_PROPERTY_MASTER!$A$5:$A$200&lt;&gt;"")*IF($C13="Included source errors",--(DATA_PROPERTY_MASTER!$E$5:$E$200="Yes"),--(DATA_PROPERTY_MASTER!$E$5:$E$200&lt;&gt;"Yes"))*--ISERROR(INDIRECT("'"&amp;DATA_PROPERTY_MASTER!$A$5:$A$200&amp;"'!"&amp;SUBSTITUTE(ADDRESS(1,COLUMN(I$5)+1,4),"1","")&amp;$B13)),0))</f>
        <v>0</v>
      </c>
      <c r="J13" s="350">
        <f ca="1">SUMPRODUCT(IFERROR((DATA_PROPERTY_MASTER!$A$5:$A$200&lt;&gt;"")*IF($C13="Included source errors",--(DATA_PROPERTY_MASTER!$E$5:$E$200="Yes"),--(DATA_PROPERTY_MASTER!$E$5:$E$200&lt;&gt;"Yes"))*--ISERROR(INDIRECT("'"&amp;DATA_PROPERTY_MASTER!$A$5:$A$200&amp;"'!"&amp;SUBSTITUTE(ADDRESS(1,COLUMN(J$5)+1,4),"1","")&amp;$B13)),0))</f>
        <v>0</v>
      </c>
      <c r="K13" s="350">
        <f ca="1">SUMPRODUCT(IFERROR((DATA_PROPERTY_MASTER!$A$5:$A$200&lt;&gt;"")*IF($C13="Included source errors",--(DATA_PROPERTY_MASTER!$E$5:$E$200="Yes"),--(DATA_PROPERTY_MASTER!$E$5:$E$200&lt;&gt;"Yes"))*--ISERROR(INDIRECT("'"&amp;DATA_PROPERTY_MASTER!$A$5:$A$200&amp;"'!"&amp;SUBSTITUTE(ADDRESS(1,COLUMN(K$5)+1,4),"1","")&amp;$B13)),0))</f>
        <v>0</v>
      </c>
      <c r="L13" s="350">
        <f ca="1">SUMPRODUCT(IFERROR((DATA_PROPERTY_MASTER!$A$5:$A$200&lt;&gt;"")*IF($C13="Included source errors",--(DATA_PROPERTY_MASTER!$E$5:$E$200="Yes"),--(DATA_PROPERTY_MASTER!$E$5:$E$200&lt;&gt;"Yes"))*--ISERROR(INDIRECT("'"&amp;DATA_PROPERTY_MASTER!$A$5:$A$200&amp;"'!"&amp;SUBSTITUTE(ADDRESS(1,COLUMN(L$5)+1,4),"1","")&amp;$B13)),0))</f>
        <v>0</v>
      </c>
      <c r="M13" s="350">
        <f ca="1">SUMPRODUCT(IFERROR((DATA_PROPERTY_MASTER!$A$5:$A$200&lt;&gt;"")*IF($C13="Included source errors",--(DATA_PROPERTY_MASTER!$E$5:$E$200="Yes"),--(DATA_PROPERTY_MASTER!$E$5:$E$200&lt;&gt;"Yes"))*--ISERROR(INDIRECT("'"&amp;DATA_PROPERTY_MASTER!$A$5:$A$200&amp;"'!"&amp;SUBSTITUTE(ADDRESS(1,COLUMN(M$5)+1,4),"1","")&amp;$B13)),0))</f>
        <v>0</v>
      </c>
      <c r="N13" s="350">
        <f ca="1">SUMPRODUCT(IFERROR((DATA_PROPERTY_MASTER!$A$5:$A$200&lt;&gt;"")*IF($C13="Included source errors",--(DATA_PROPERTY_MASTER!$E$5:$E$200="Yes"),--(DATA_PROPERTY_MASTER!$E$5:$E$200&lt;&gt;"Yes"))*--ISERROR(INDIRECT("'"&amp;DATA_PROPERTY_MASTER!$A$5:$A$200&amp;"'!"&amp;SUBSTITUTE(ADDRESS(1,COLUMN(N$5)+1,4),"1","")&amp;$B13)),0))</f>
        <v>0</v>
      </c>
      <c r="O13" s="350">
        <f ca="1">SUMPRODUCT(IFERROR((DATA_PROPERTY_MASTER!$A$5:$A$200&lt;&gt;"")*IF($C13="Included source errors",--(DATA_PROPERTY_MASTER!$E$5:$E$200="Yes"),--(DATA_PROPERTY_MASTER!$E$5:$E$200&lt;&gt;"Yes"))*--ISERROR(INDIRECT("'"&amp;DATA_PROPERTY_MASTER!$A$5:$A$200&amp;"'!"&amp;SUBSTITUTE(ADDRESS(1,COLUMN(O$5)+1,4),"1","")&amp;$B13)),0))</f>
        <v>0</v>
      </c>
      <c r="P13" s="350">
        <f ca="1">SUMPRODUCT(IFERROR((DATA_PROPERTY_MASTER!$A$5:$A$200&lt;&gt;"")*IF($C13="Included source errors",--(DATA_PROPERTY_MASTER!$E$5:$E$200="Yes"),--(DATA_PROPERTY_MASTER!$E$5:$E$200&lt;&gt;"Yes"))*--ISERROR(INDIRECT("'"&amp;DATA_PROPERTY_MASTER!$A$5:$A$200&amp;"'!"&amp;SUBSTITUTE(ADDRESS(1,COLUMN(P$5)+1,4),"1","")&amp;$B13)),0))</f>
        <v>0</v>
      </c>
      <c r="Q13" s="350">
        <f ca="1">SUMPRODUCT(IFERROR((DATA_PROPERTY_MASTER!$A$5:$A$200&lt;&gt;"")*IF($C13="Included source errors",--(DATA_PROPERTY_MASTER!$E$5:$E$200="Yes"),--(DATA_PROPERTY_MASTER!$E$5:$E$200&lt;&gt;"Yes"))*--ISERROR(INDIRECT("'"&amp;DATA_PROPERTY_MASTER!$A$5:$A$200&amp;"'!"&amp;SUBSTITUTE(ADDRESS(1,COLUMN(Q$5)+1,4),"1","")&amp;$B13)),0))</f>
        <v>0</v>
      </c>
      <c r="R13" s="350">
        <f ca="1">SUMPRODUCT(IFERROR((DATA_PROPERTY_MASTER!$A$5:$A$200&lt;&gt;"")*IF($C13="Included source errors",--(DATA_PROPERTY_MASTER!$E$5:$E$200="Yes"),--(DATA_PROPERTY_MASTER!$E$5:$E$200&lt;&gt;"Yes"))*--ISERROR(INDIRECT("'"&amp;DATA_PROPERTY_MASTER!$A$5:$A$200&amp;"'!"&amp;SUBSTITUTE(ADDRESS(1,COLUMN(R$5)+1,4),"1","")&amp;$B13)),0))</f>
        <v>0</v>
      </c>
      <c r="S13" s="350">
        <f ca="1">SUMPRODUCT(IFERROR((DATA_PROPERTY_MASTER!$A$5:$A$200&lt;&gt;"")*IF($C13="Included source errors",--(DATA_PROPERTY_MASTER!$E$5:$E$200="Yes"),--(DATA_PROPERTY_MASTER!$E$5:$E$200&lt;&gt;"Yes"))*--ISERROR(INDIRECT("'"&amp;DATA_PROPERTY_MASTER!$A$5:$A$200&amp;"'!"&amp;SUBSTITUTE(ADDRESS(1,COLUMN(S$5)+1,4),"1","")&amp;$B13)),0))</f>
        <v>0</v>
      </c>
      <c r="T13" s="350">
        <f ca="1">SUMPRODUCT(IFERROR((DATA_PROPERTY_MASTER!$A$5:$A$200&lt;&gt;"")*IF($C13="Included source errors",--(DATA_PROPERTY_MASTER!$E$5:$E$200="Yes"),--(DATA_PROPERTY_MASTER!$E$5:$E$200&lt;&gt;"Yes"))*--ISERROR(INDIRECT("'"&amp;DATA_PROPERTY_MASTER!$A$5:$A$200&amp;"'!"&amp;SUBSTITUTE(ADDRESS(1,COLUMN(T$5)+1,4),"1","")&amp;$B13)),0))</f>
        <v>0</v>
      </c>
      <c r="U13" s="350">
        <f ca="1">SUMPRODUCT(IFERROR((DATA_PROPERTY_MASTER!$A$5:$A$200&lt;&gt;"")*IF($C13="Included source errors",--(DATA_PROPERTY_MASTER!$E$5:$E$200="Yes"),--(DATA_PROPERTY_MASTER!$E$5:$E$200&lt;&gt;"Yes"))*--ISERROR(INDIRECT("'"&amp;DATA_PROPERTY_MASTER!$A$5:$A$200&amp;"'!"&amp;SUBSTITUTE(ADDRESS(1,COLUMN(U$5)+1,4),"1","")&amp;$B13)),0))</f>
        <v>0</v>
      </c>
      <c r="V13" s="350">
        <f ca="1">SUMPRODUCT(IFERROR((DATA_PROPERTY_MASTER!$A$5:$A$200&lt;&gt;"")*IF($C13="Included source errors",--(DATA_PROPERTY_MASTER!$E$5:$E$200="Yes"),--(DATA_PROPERTY_MASTER!$E$5:$E$200&lt;&gt;"Yes"))*--ISERROR(INDIRECT("'"&amp;DATA_PROPERTY_MASTER!$A$5:$A$200&amp;"'!"&amp;SUBSTITUTE(ADDRESS(1,COLUMN(V$5)+1,4),"1","")&amp;$B13)),0))</f>
        <v>0</v>
      </c>
      <c r="W13" s="350">
        <f ca="1">SUMPRODUCT(IFERROR((DATA_PROPERTY_MASTER!$A$5:$A$200&lt;&gt;"")*IF($C13="Included source errors",--(DATA_PROPERTY_MASTER!$E$5:$E$200="Yes"),--(DATA_PROPERTY_MASTER!$E$5:$E$200&lt;&gt;"Yes"))*--ISERROR(INDIRECT("'"&amp;DATA_PROPERTY_MASTER!$A$5:$A$200&amp;"'!"&amp;SUBSTITUTE(ADDRESS(1,COLUMN(W$5)+1,4),"1","")&amp;$B13)),0))</f>
        <v>0</v>
      </c>
      <c r="X13" s="350">
        <f ca="1">SUMPRODUCT(IFERROR((DATA_PROPERTY_MASTER!$A$5:$A$200&lt;&gt;"")*IF($C13="Included source errors",--(DATA_PROPERTY_MASTER!$E$5:$E$200="Yes"),--(DATA_PROPERTY_MASTER!$E$5:$E$200&lt;&gt;"Yes"))*--ISERROR(INDIRECT("'"&amp;DATA_PROPERTY_MASTER!$A$5:$A$200&amp;"'!"&amp;SUBSTITUTE(ADDRESS(1,COLUMN(X$5)+1,4),"1","")&amp;$B13)),0))</f>
        <v>0</v>
      </c>
      <c r="Y13" s="350">
        <f t="shared" ca="1" si="0"/>
        <v>0</v>
      </c>
      <c r="Z13" s="382" t="s">
        <v>7467</v>
      </c>
    </row>
    <row r="14" spans="1:26" ht="30">
      <c r="A14" s="382" t="s">
        <v>334</v>
      </c>
      <c r="B14" s="382">
        <v>17</v>
      </c>
      <c r="C14" s="382" t="s">
        <v>1560</v>
      </c>
      <c r="D14" s="350">
        <f ca="1">SUMPRODUCT(IFERROR((DATA_PROPERTY_MASTER!$A$5:$A$200&lt;&gt;"")*IF($C14="Included source errors",--(DATA_PROPERTY_MASTER!$E$5:$E$200="Yes"),--(DATA_PROPERTY_MASTER!$E$5:$E$200&lt;&gt;"Yes"))*--ISERROR(INDIRECT("'"&amp;DATA_PROPERTY_MASTER!$A$5:$A$200&amp;"'!"&amp;SUBSTITUTE(ADDRESS(1,COLUMN(D$5)+1,4),"1","")&amp;$B14)),0))</f>
        <v>0</v>
      </c>
      <c r="E14" s="350">
        <f ca="1">SUMPRODUCT(IFERROR((DATA_PROPERTY_MASTER!$A$5:$A$200&lt;&gt;"")*IF($C14="Included source errors",--(DATA_PROPERTY_MASTER!$E$5:$E$200="Yes"),--(DATA_PROPERTY_MASTER!$E$5:$E$200&lt;&gt;"Yes"))*--ISERROR(INDIRECT("'"&amp;DATA_PROPERTY_MASTER!$A$5:$A$200&amp;"'!"&amp;SUBSTITUTE(ADDRESS(1,COLUMN(E$5)+1,4),"1","")&amp;$B14)),0))</f>
        <v>0</v>
      </c>
      <c r="F14" s="350">
        <f ca="1">SUMPRODUCT(IFERROR((DATA_PROPERTY_MASTER!$A$5:$A$200&lt;&gt;"")*IF($C14="Included source errors",--(DATA_PROPERTY_MASTER!$E$5:$E$200="Yes"),--(DATA_PROPERTY_MASTER!$E$5:$E$200&lt;&gt;"Yes"))*--ISERROR(INDIRECT("'"&amp;DATA_PROPERTY_MASTER!$A$5:$A$200&amp;"'!"&amp;SUBSTITUTE(ADDRESS(1,COLUMN(F$5)+1,4),"1","")&amp;$B14)),0))</f>
        <v>0</v>
      </c>
      <c r="G14" s="350">
        <f ca="1">SUMPRODUCT(IFERROR((DATA_PROPERTY_MASTER!$A$5:$A$200&lt;&gt;"")*IF($C14="Included source errors",--(DATA_PROPERTY_MASTER!$E$5:$E$200="Yes"),--(DATA_PROPERTY_MASTER!$E$5:$E$200&lt;&gt;"Yes"))*--ISERROR(INDIRECT("'"&amp;DATA_PROPERTY_MASTER!$A$5:$A$200&amp;"'!"&amp;SUBSTITUTE(ADDRESS(1,COLUMN(G$5)+1,4),"1","")&amp;$B14)),0))</f>
        <v>0</v>
      </c>
      <c r="H14" s="350">
        <f ca="1">SUMPRODUCT(IFERROR((DATA_PROPERTY_MASTER!$A$5:$A$200&lt;&gt;"")*IF($C14="Included source errors",--(DATA_PROPERTY_MASTER!$E$5:$E$200="Yes"),--(DATA_PROPERTY_MASTER!$E$5:$E$200&lt;&gt;"Yes"))*--ISERROR(INDIRECT("'"&amp;DATA_PROPERTY_MASTER!$A$5:$A$200&amp;"'!"&amp;SUBSTITUTE(ADDRESS(1,COLUMN(H$5)+1,4),"1","")&amp;$B14)),0))</f>
        <v>0</v>
      </c>
      <c r="I14" s="350">
        <f ca="1">SUMPRODUCT(IFERROR((DATA_PROPERTY_MASTER!$A$5:$A$200&lt;&gt;"")*IF($C14="Included source errors",--(DATA_PROPERTY_MASTER!$E$5:$E$200="Yes"),--(DATA_PROPERTY_MASTER!$E$5:$E$200&lt;&gt;"Yes"))*--ISERROR(INDIRECT("'"&amp;DATA_PROPERTY_MASTER!$A$5:$A$200&amp;"'!"&amp;SUBSTITUTE(ADDRESS(1,COLUMN(I$5)+1,4),"1","")&amp;$B14)),0))</f>
        <v>0</v>
      </c>
      <c r="J14" s="350">
        <f ca="1">SUMPRODUCT(IFERROR((DATA_PROPERTY_MASTER!$A$5:$A$200&lt;&gt;"")*IF($C14="Included source errors",--(DATA_PROPERTY_MASTER!$E$5:$E$200="Yes"),--(DATA_PROPERTY_MASTER!$E$5:$E$200&lt;&gt;"Yes"))*--ISERROR(INDIRECT("'"&amp;DATA_PROPERTY_MASTER!$A$5:$A$200&amp;"'!"&amp;SUBSTITUTE(ADDRESS(1,COLUMN(J$5)+1,4),"1","")&amp;$B14)),0))</f>
        <v>0</v>
      </c>
      <c r="K14" s="350">
        <f ca="1">SUMPRODUCT(IFERROR((DATA_PROPERTY_MASTER!$A$5:$A$200&lt;&gt;"")*IF($C14="Included source errors",--(DATA_PROPERTY_MASTER!$E$5:$E$200="Yes"),--(DATA_PROPERTY_MASTER!$E$5:$E$200&lt;&gt;"Yes"))*--ISERROR(INDIRECT("'"&amp;DATA_PROPERTY_MASTER!$A$5:$A$200&amp;"'!"&amp;SUBSTITUTE(ADDRESS(1,COLUMN(K$5)+1,4),"1","")&amp;$B14)),0))</f>
        <v>0</v>
      </c>
      <c r="L14" s="350">
        <f ca="1">SUMPRODUCT(IFERROR((DATA_PROPERTY_MASTER!$A$5:$A$200&lt;&gt;"")*IF($C14="Included source errors",--(DATA_PROPERTY_MASTER!$E$5:$E$200="Yes"),--(DATA_PROPERTY_MASTER!$E$5:$E$200&lt;&gt;"Yes"))*--ISERROR(INDIRECT("'"&amp;DATA_PROPERTY_MASTER!$A$5:$A$200&amp;"'!"&amp;SUBSTITUTE(ADDRESS(1,COLUMN(L$5)+1,4),"1","")&amp;$B14)),0))</f>
        <v>0</v>
      </c>
      <c r="M14" s="350">
        <f ca="1">SUMPRODUCT(IFERROR((DATA_PROPERTY_MASTER!$A$5:$A$200&lt;&gt;"")*IF($C14="Included source errors",--(DATA_PROPERTY_MASTER!$E$5:$E$200="Yes"),--(DATA_PROPERTY_MASTER!$E$5:$E$200&lt;&gt;"Yes"))*--ISERROR(INDIRECT("'"&amp;DATA_PROPERTY_MASTER!$A$5:$A$200&amp;"'!"&amp;SUBSTITUTE(ADDRESS(1,COLUMN(M$5)+1,4),"1","")&amp;$B14)),0))</f>
        <v>0</v>
      </c>
      <c r="N14" s="350">
        <f ca="1">SUMPRODUCT(IFERROR((DATA_PROPERTY_MASTER!$A$5:$A$200&lt;&gt;"")*IF($C14="Included source errors",--(DATA_PROPERTY_MASTER!$E$5:$E$200="Yes"),--(DATA_PROPERTY_MASTER!$E$5:$E$200&lt;&gt;"Yes"))*--ISERROR(INDIRECT("'"&amp;DATA_PROPERTY_MASTER!$A$5:$A$200&amp;"'!"&amp;SUBSTITUTE(ADDRESS(1,COLUMN(N$5)+1,4),"1","")&amp;$B14)),0))</f>
        <v>0</v>
      </c>
      <c r="O14" s="350">
        <f ca="1">SUMPRODUCT(IFERROR((DATA_PROPERTY_MASTER!$A$5:$A$200&lt;&gt;"")*IF($C14="Included source errors",--(DATA_PROPERTY_MASTER!$E$5:$E$200="Yes"),--(DATA_PROPERTY_MASTER!$E$5:$E$200&lt;&gt;"Yes"))*--ISERROR(INDIRECT("'"&amp;DATA_PROPERTY_MASTER!$A$5:$A$200&amp;"'!"&amp;SUBSTITUTE(ADDRESS(1,COLUMN(O$5)+1,4),"1","")&amp;$B14)),0))</f>
        <v>0</v>
      </c>
      <c r="P14" s="350">
        <f ca="1">SUMPRODUCT(IFERROR((DATA_PROPERTY_MASTER!$A$5:$A$200&lt;&gt;"")*IF($C14="Included source errors",--(DATA_PROPERTY_MASTER!$E$5:$E$200="Yes"),--(DATA_PROPERTY_MASTER!$E$5:$E$200&lt;&gt;"Yes"))*--ISERROR(INDIRECT("'"&amp;DATA_PROPERTY_MASTER!$A$5:$A$200&amp;"'!"&amp;SUBSTITUTE(ADDRESS(1,COLUMN(P$5)+1,4),"1","")&amp;$B14)),0))</f>
        <v>0</v>
      </c>
      <c r="Q14" s="350">
        <f ca="1">SUMPRODUCT(IFERROR((DATA_PROPERTY_MASTER!$A$5:$A$200&lt;&gt;"")*IF($C14="Included source errors",--(DATA_PROPERTY_MASTER!$E$5:$E$200="Yes"),--(DATA_PROPERTY_MASTER!$E$5:$E$200&lt;&gt;"Yes"))*--ISERROR(INDIRECT("'"&amp;DATA_PROPERTY_MASTER!$A$5:$A$200&amp;"'!"&amp;SUBSTITUTE(ADDRESS(1,COLUMN(Q$5)+1,4),"1","")&amp;$B14)),0))</f>
        <v>0</v>
      </c>
      <c r="R14" s="350">
        <f ca="1">SUMPRODUCT(IFERROR((DATA_PROPERTY_MASTER!$A$5:$A$200&lt;&gt;"")*IF($C14="Included source errors",--(DATA_PROPERTY_MASTER!$E$5:$E$200="Yes"),--(DATA_PROPERTY_MASTER!$E$5:$E$200&lt;&gt;"Yes"))*--ISERROR(INDIRECT("'"&amp;DATA_PROPERTY_MASTER!$A$5:$A$200&amp;"'!"&amp;SUBSTITUTE(ADDRESS(1,COLUMN(R$5)+1,4),"1","")&amp;$B14)),0))</f>
        <v>0</v>
      </c>
      <c r="S14" s="350">
        <f ca="1">SUMPRODUCT(IFERROR((DATA_PROPERTY_MASTER!$A$5:$A$200&lt;&gt;"")*IF($C14="Included source errors",--(DATA_PROPERTY_MASTER!$E$5:$E$200="Yes"),--(DATA_PROPERTY_MASTER!$E$5:$E$200&lt;&gt;"Yes"))*--ISERROR(INDIRECT("'"&amp;DATA_PROPERTY_MASTER!$A$5:$A$200&amp;"'!"&amp;SUBSTITUTE(ADDRESS(1,COLUMN(S$5)+1,4),"1","")&amp;$B14)),0))</f>
        <v>0</v>
      </c>
      <c r="T14" s="350">
        <f ca="1">SUMPRODUCT(IFERROR((DATA_PROPERTY_MASTER!$A$5:$A$200&lt;&gt;"")*IF($C14="Included source errors",--(DATA_PROPERTY_MASTER!$E$5:$E$200="Yes"),--(DATA_PROPERTY_MASTER!$E$5:$E$200&lt;&gt;"Yes"))*--ISERROR(INDIRECT("'"&amp;DATA_PROPERTY_MASTER!$A$5:$A$200&amp;"'!"&amp;SUBSTITUTE(ADDRESS(1,COLUMN(T$5)+1,4),"1","")&amp;$B14)),0))</f>
        <v>0</v>
      </c>
      <c r="U14" s="350">
        <f ca="1">SUMPRODUCT(IFERROR((DATA_PROPERTY_MASTER!$A$5:$A$200&lt;&gt;"")*IF($C14="Included source errors",--(DATA_PROPERTY_MASTER!$E$5:$E$200="Yes"),--(DATA_PROPERTY_MASTER!$E$5:$E$200&lt;&gt;"Yes"))*--ISERROR(INDIRECT("'"&amp;DATA_PROPERTY_MASTER!$A$5:$A$200&amp;"'!"&amp;SUBSTITUTE(ADDRESS(1,COLUMN(U$5)+1,4),"1","")&amp;$B14)),0))</f>
        <v>0</v>
      </c>
      <c r="V14" s="350">
        <f ca="1">SUMPRODUCT(IFERROR((DATA_PROPERTY_MASTER!$A$5:$A$200&lt;&gt;"")*IF($C14="Included source errors",--(DATA_PROPERTY_MASTER!$E$5:$E$200="Yes"),--(DATA_PROPERTY_MASTER!$E$5:$E$200&lt;&gt;"Yes"))*--ISERROR(INDIRECT("'"&amp;DATA_PROPERTY_MASTER!$A$5:$A$200&amp;"'!"&amp;SUBSTITUTE(ADDRESS(1,COLUMN(V$5)+1,4),"1","")&amp;$B14)),0))</f>
        <v>0</v>
      </c>
      <c r="W14" s="350">
        <f ca="1">SUMPRODUCT(IFERROR((DATA_PROPERTY_MASTER!$A$5:$A$200&lt;&gt;"")*IF($C14="Included source errors",--(DATA_PROPERTY_MASTER!$E$5:$E$200="Yes"),--(DATA_PROPERTY_MASTER!$E$5:$E$200&lt;&gt;"Yes"))*--ISERROR(INDIRECT("'"&amp;DATA_PROPERTY_MASTER!$A$5:$A$200&amp;"'!"&amp;SUBSTITUTE(ADDRESS(1,COLUMN(W$5)+1,4),"1","")&amp;$B14)),0))</f>
        <v>0</v>
      </c>
      <c r="X14" s="350">
        <f ca="1">SUMPRODUCT(IFERROR((DATA_PROPERTY_MASTER!$A$5:$A$200&lt;&gt;"")*IF($C14="Included source errors",--(DATA_PROPERTY_MASTER!$E$5:$E$200="Yes"),--(DATA_PROPERTY_MASTER!$E$5:$E$200&lt;&gt;"Yes"))*--ISERROR(INDIRECT("'"&amp;DATA_PROPERTY_MASTER!$A$5:$A$200&amp;"'!"&amp;SUBSTITUTE(ADDRESS(1,COLUMN(X$5)+1,4),"1","")&amp;$B14)),0))</f>
        <v>0</v>
      </c>
      <c r="Y14" s="350">
        <f t="shared" ca="1" si="0"/>
        <v>0</v>
      </c>
      <c r="Z14" s="382" t="s">
        <v>7467</v>
      </c>
    </row>
    <row r="15" spans="1:26" ht="30">
      <c r="A15" s="382" t="s">
        <v>334</v>
      </c>
      <c r="B15" s="382">
        <v>17</v>
      </c>
      <c r="C15" s="382" t="s">
        <v>1563</v>
      </c>
      <c r="D15" s="350">
        <f ca="1">SUMPRODUCT(IFERROR((DATA_PROPERTY_MASTER!$A$5:$A$200&lt;&gt;"")*IF($C15="Included source errors",--(DATA_PROPERTY_MASTER!$E$5:$E$200="Yes"),--(DATA_PROPERTY_MASTER!$E$5:$E$200&lt;&gt;"Yes"))*--ISERROR(INDIRECT("'"&amp;DATA_PROPERTY_MASTER!$A$5:$A$200&amp;"'!"&amp;SUBSTITUTE(ADDRESS(1,COLUMN(D$5)+1,4),"1","")&amp;$B15)),0))</f>
        <v>0</v>
      </c>
      <c r="E15" s="350">
        <f ca="1">SUMPRODUCT(IFERROR((DATA_PROPERTY_MASTER!$A$5:$A$200&lt;&gt;"")*IF($C15="Included source errors",--(DATA_PROPERTY_MASTER!$E$5:$E$200="Yes"),--(DATA_PROPERTY_MASTER!$E$5:$E$200&lt;&gt;"Yes"))*--ISERROR(INDIRECT("'"&amp;DATA_PROPERTY_MASTER!$A$5:$A$200&amp;"'!"&amp;SUBSTITUTE(ADDRESS(1,COLUMN(E$5)+1,4),"1","")&amp;$B15)),0))</f>
        <v>0</v>
      </c>
      <c r="F15" s="350">
        <f ca="1">SUMPRODUCT(IFERROR((DATA_PROPERTY_MASTER!$A$5:$A$200&lt;&gt;"")*IF($C15="Included source errors",--(DATA_PROPERTY_MASTER!$E$5:$E$200="Yes"),--(DATA_PROPERTY_MASTER!$E$5:$E$200&lt;&gt;"Yes"))*--ISERROR(INDIRECT("'"&amp;DATA_PROPERTY_MASTER!$A$5:$A$200&amp;"'!"&amp;SUBSTITUTE(ADDRESS(1,COLUMN(F$5)+1,4),"1","")&amp;$B15)),0))</f>
        <v>0</v>
      </c>
      <c r="G15" s="350">
        <f ca="1">SUMPRODUCT(IFERROR((DATA_PROPERTY_MASTER!$A$5:$A$200&lt;&gt;"")*IF($C15="Included source errors",--(DATA_PROPERTY_MASTER!$E$5:$E$200="Yes"),--(DATA_PROPERTY_MASTER!$E$5:$E$200&lt;&gt;"Yes"))*--ISERROR(INDIRECT("'"&amp;DATA_PROPERTY_MASTER!$A$5:$A$200&amp;"'!"&amp;SUBSTITUTE(ADDRESS(1,COLUMN(G$5)+1,4),"1","")&amp;$B15)),0))</f>
        <v>0</v>
      </c>
      <c r="H15" s="350">
        <f ca="1">SUMPRODUCT(IFERROR((DATA_PROPERTY_MASTER!$A$5:$A$200&lt;&gt;"")*IF($C15="Included source errors",--(DATA_PROPERTY_MASTER!$E$5:$E$200="Yes"),--(DATA_PROPERTY_MASTER!$E$5:$E$200&lt;&gt;"Yes"))*--ISERROR(INDIRECT("'"&amp;DATA_PROPERTY_MASTER!$A$5:$A$200&amp;"'!"&amp;SUBSTITUTE(ADDRESS(1,COLUMN(H$5)+1,4),"1","")&amp;$B15)),0))</f>
        <v>0</v>
      </c>
      <c r="I15" s="350">
        <f ca="1">SUMPRODUCT(IFERROR((DATA_PROPERTY_MASTER!$A$5:$A$200&lt;&gt;"")*IF($C15="Included source errors",--(DATA_PROPERTY_MASTER!$E$5:$E$200="Yes"),--(DATA_PROPERTY_MASTER!$E$5:$E$200&lt;&gt;"Yes"))*--ISERROR(INDIRECT("'"&amp;DATA_PROPERTY_MASTER!$A$5:$A$200&amp;"'!"&amp;SUBSTITUTE(ADDRESS(1,COLUMN(I$5)+1,4),"1","")&amp;$B15)),0))</f>
        <v>0</v>
      </c>
      <c r="J15" s="350">
        <f ca="1">SUMPRODUCT(IFERROR((DATA_PROPERTY_MASTER!$A$5:$A$200&lt;&gt;"")*IF($C15="Included source errors",--(DATA_PROPERTY_MASTER!$E$5:$E$200="Yes"),--(DATA_PROPERTY_MASTER!$E$5:$E$200&lt;&gt;"Yes"))*--ISERROR(INDIRECT("'"&amp;DATA_PROPERTY_MASTER!$A$5:$A$200&amp;"'!"&amp;SUBSTITUTE(ADDRESS(1,COLUMN(J$5)+1,4),"1","")&amp;$B15)),0))</f>
        <v>0</v>
      </c>
      <c r="K15" s="350">
        <f ca="1">SUMPRODUCT(IFERROR((DATA_PROPERTY_MASTER!$A$5:$A$200&lt;&gt;"")*IF($C15="Included source errors",--(DATA_PROPERTY_MASTER!$E$5:$E$200="Yes"),--(DATA_PROPERTY_MASTER!$E$5:$E$200&lt;&gt;"Yes"))*--ISERROR(INDIRECT("'"&amp;DATA_PROPERTY_MASTER!$A$5:$A$200&amp;"'!"&amp;SUBSTITUTE(ADDRESS(1,COLUMN(K$5)+1,4),"1","")&amp;$B15)),0))</f>
        <v>0</v>
      </c>
      <c r="L15" s="350">
        <f ca="1">SUMPRODUCT(IFERROR((DATA_PROPERTY_MASTER!$A$5:$A$200&lt;&gt;"")*IF($C15="Included source errors",--(DATA_PROPERTY_MASTER!$E$5:$E$200="Yes"),--(DATA_PROPERTY_MASTER!$E$5:$E$200&lt;&gt;"Yes"))*--ISERROR(INDIRECT("'"&amp;DATA_PROPERTY_MASTER!$A$5:$A$200&amp;"'!"&amp;SUBSTITUTE(ADDRESS(1,COLUMN(L$5)+1,4),"1","")&amp;$B15)),0))</f>
        <v>0</v>
      </c>
      <c r="M15" s="350">
        <f ca="1">SUMPRODUCT(IFERROR((DATA_PROPERTY_MASTER!$A$5:$A$200&lt;&gt;"")*IF($C15="Included source errors",--(DATA_PROPERTY_MASTER!$E$5:$E$200="Yes"),--(DATA_PROPERTY_MASTER!$E$5:$E$200&lt;&gt;"Yes"))*--ISERROR(INDIRECT("'"&amp;DATA_PROPERTY_MASTER!$A$5:$A$200&amp;"'!"&amp;SUBSTITUTE(ADDRESS(1,COLUMN(M$5)+1,4),"1","")&amp;$B15)),0))</f>
        <v>0</v>
      </c>
      <c r="N15" s="350">
        <f ca="1">SUMPRODUCT(IFERROR((DATA_PROPERTY_MASTER!$A$5:$A$200&lt;&gt;"")*IF($C15="Included source errors",--(DATA_PROPERTY_MASTER!$E$5:$E$200="Yes"),--(DATA_PROPERTY_MASTER!$E$5:$E$200&lt;&gt;"Yes"))*--ISERROR(INDIRECT("'"&amp;DATA_PROPERTY_MASTER!$A$5:$A$200&amp;"'!"&amp;SUBSTITUTE(ADDRESS(1,COLUMN(N$5)+1,4),"1","")&amp;$B15)),0))</f>
        <v>0</v>
      </c>
      <c r="O15" s="350">
        <f ca="1">SUMPRODUCT(IFERROR((DATA_PROPERTY_MASTER!$A$5:$A$200&lt;&gt;"")*IF($C15="Included source errors",--(DATA_PROPERTY_MASTER!$E$5:$E$200="Yes"),--(DATA_PROPERTY_MASTER!$E$5:$E$200&lt;&gt;"Yes"))*--ISERROR(INDIRECT("'"&amp;DATA_PROPERTY_MASTER!$A$5:$A$200&amp;"'!"&amp;SUBSTITUTE(ADDRESS(1,COLUMN(O$5)+1,4),"1","")&amp;$B15)),0))</f>
        <v>0</v>
      </c>
      <c r="P15" s="350">
        <f ca="1">SUMPRODUCT(IFERROR((DATA_PROPERTY_MASTER!$A$5:$A$200&lt;&gt;"")*IF($C15="Included source errors",--(DATA_PROPERTY_MASTER!$E$5:$E$200="Yes"),--(DATA_PROPERTY_MASTER!$E$5:$E$200&lt;&gt;"Yes"))*--ISERROR(INDIRECT("'"&amp;DATA_PROPERTY_MASTER!$A$5:$A$200&amp;"'!"&amp;SUBSTITUTE(ADDRESS(1,COLUMN(P$5)+1,4),"1","")&amp;$B15)),0))</f>
        <v>0</v>
      </c>
      <c r="Q15" s="350">
        <f ca="1">SUMPRODUCT(IFERROR((DATA_PROPERTY_MASTER!$A$5:$A$200&lt;&gt;"")*IF($C15="Included source errors",--(DATA_PROPERTY_MASTER!$E$5:$E$200="Yes"),--(DATA_PROPERTY_MASTER!$E$5:$E$200&lt;&gt;"Yes"))*--ISERROR(INDIRECT("'"&amp;DATA_PROPERTY_MASTER!$A$5:$A$200&amp;"'!"&amp;SUBSTITUTE(ADDRESS(1,COLUMN(Q$5)+1,4),"1","")&amp;$B15)),0))</f>
        <v>0</v>
      </c>
      <c r="R15" s="350">
        <f ca="1">SUMPRODUCT(IFERROR((DATA_PROPERTY_MASTER!$A$5:$A$200&lt;&gt;"")*IF($C15="Included source errors",--(DATA_PROPERTY_MASTER!$E$5:$E$200="Yes"),--(DATA_PROPERTY_MASTER!$E$5:$E$200&lt;&gt;"Yes"))*--ISERROR(INDIRECT("'"&amp;DATA_PROPERTY_MASTER!$A$5:$A$200&amp;"'!"&amp;SUBSTITUTE(ADDRESS(1,COLUMN(R$5)+1,4),"1","")&amp;$B15)),0))</f>
        <v>0</v>
      </c>
      <c r="S15" s="350">
        <f ca="1">SUMPRODUCT(IFERROR((DATA_PROPERTY_MASTER!$A$5:$A$200&lt;&gt;"")*IF($C15="Included source errors",--(DATA_PROPERTY_MASTER!$E$5:$E$200="Yes"),--(DATA_PROPERTY_MASTER!$E$5:$E$200&lt;&gt;"Yes"))*--ISERROR(INDIRECT("'"&amp;DATA_PROPERTY_MASTER!$A$5:$A$200&amp;"'!"&amp;SUBSTITUTE(ADDRESS(1,COLUMN(S$5)+1,4),"1","")&amp;$B15)),0))</f>
        <v>0</v>
      </c>
      <c r="T15" s="350">
        <f ca="1">SUMPRODUCT(IFERROR((DATA_PROPERTY_MASTER!$A$5:$A$200&lt;&gt;"")*IF($C15="Included source errors",--(DATA_PROPERTY_MASTER!$E$5:$E$200="Yes"),--(DATA_PROPERTY_MASTER!$E$5:$E$200&lt;&gt;"Yes"))*--ISERROR(INDIRECT("'"&amp;DATA_PROPERTY_MASTER!$A$5:$A$200&amp;"'!"&amp;SUBSTITUTE(ADDRESS(1,COLUMN(T$5)+1,4),"1","")&amp;$B15)),0))</f>
        <v>0</v>
      </c>
      <c r="U15" s="350">
        <f ca="1">SUMPRODUCT(IFERROR((DATA_PROPERTY_MASTER!$A$5:$A$200&lt;&gt;"")*IF($C15="Included source errors",--(DATA_PROPERTY_MASTER!$E$5:$E$200="Yes"),--(DATA_PROPERTY_MASTER!$E$5:$E$200&lt;&gt;"Yes"))*--ISERROR(INDIRECT("'"&amp;DATA_PROPERTY_MASTER!$A$5:$A$200&amp;"'!"&amp;SUBSTITUTE(ADDRESS(1,COLUMN(U$5)+1,4),"1","")&amp;$B15)),0))</f>
        <v>0</v>
      </c>
      <c r="V15" s="350">
        <f ca="1">SUMPRODUCT(IFERROR((DATA_PROPERTY_MASTER!$A$5:$A$200&lt;&gt;"")*IF($C15="Included source errors",--(DATA_PROPERTY_MASTER!$E$5:$E$200="Yes"),--(DATA_PROPERTY_MASTER!$E$5:$E$200&lt;&gt;"Yes"))*--ISERROR(INDIRECT("'"&amp;DATA_PROPERTY_MASTER!$A$5:$A$200&amp;"'!"&amp;SUBSTITUTE(ADDRESS(1,COLUMN(V$5)+1,4),"1","")&amp;$B15)),0))</f>
        <v>0</v>
      </c>
      <c r="W15" s="350">
        <f ca="1">SUMPRODUCT(IFERROR((DATA_PROPERTY_MASTER!$A$5:$A$200&lt;&gt;"")*IF($C15="Included source errors",--(DATA_PROPERTY_MASTER!$E$5:$E$200="Yes"),--(DATA_PROPERTY_MASTER!$E$5:$E$200&lt;&gt;"Yes"))*--ISERROR(INDIRECT("'"&amp;DATA_PROPERTY_MASTER!$A$5:$A$200&amp;"'!"&amp;SUBSTITUTE(ADDRESS(1,COLUMN(W$5)+1,4),"1","")&amp;$B15)),0))</f>
        <v>0</v>
      </c>
      <c r="X15" s="350">
        <f ca="1">SUMPRODUCT(IFERROR((DATA_PROPERTY_MASTER!$A$5:$A$200&lt;&gt;"")*IF($C15="Included source errors",--(DATA_PROPERTY_MASTER!$E$5:$E$200="Yes"),--(DATA_PROPERTY_MASTER!$E$5:$E$200&lt;&gt;"Yes"))*--ISERROR(INDIRECT("'"&amp;DATA_PROPERTY_MASTER!$A$5:$A$200&amp;"'!"&amp;SUBSTITUTE(ADDRESS(1,COLUMN(X$5)+1,4),"1","")&amp;$B15)),0))</f>
        <v>0</v>
      </c>
      <c r="Y15" s="350">
        <f t="shared" ca="1" si="0"/>
        <v>0</v>
      </c>
      <c r="Z15" s="382" t="s">
        <v>7467</v>
      </c>
    </row>
    <row r="16" spans="1:26" ht="30">
      <c r="A16" s="382" t="s">
        <v>335</v>
      </c>
      <c r="B16" s="382">
        <v>18</v>
      </c>
      <c r="C16" s="382" t="s">
        <v>1560</v>
      </c>
      <c r="D16" s="350">
        <f ca="1">SUMPRODUCT(IFERROR((DATA_PROPERTY_MASTER!$A$5:$A$200&lt;&gt;"")*IF($C16="Included source errors",--(DATA_PROPERTY_MASTER!$E$5:$E$200="Yes"),--(DATA_PROPERTY_MASTER!$E$5:$E$200&lt;&gt;"Yes"))*--ISERROR(INDIRECT("'"&amp;DATA_PROPERTY_MASTER!$A$5:$A$200&amp;"'!"&amp;SUBSTITUTE(ADDRESS(1,COLUMN(D$5)+1,4),"1","")&amp;$B16)),0))</f>
        <v>0</v>
      </c>
      <c r="E16" s="350">
        <f ca="1">SUMPRODUCT(IFERROR((DATA_PROPERTY_MASTER!$A$5:$A$200&lt;&gt;"")*IF($C16="Included source errors",--(DATA_PROPERTY_MASTER!$E$5:$E$200="Yes"),--(DATA_PROPERTY_MASTER!$E$5:$E$200&lt;&gt;"Yes"))*--ISERROR(INDIRECT("'"&amp;DATA_PROPERTY_MASTER!$A$5:$A$200&amp;"'!"&amp;SUBSTITUTE(ADDRESS(1,COLUMN(E$5)+1,4),"1","")&amp;$B16)),0))</f>
        <v>0</v>
      </c>
      <c r="F16" s="350">
        <f ca="1">SUMPRODUCT(IFERROR((DATA_PROPERTY_MASTER!$A$5:$A$200&lt;&gt;"")*IF($C16="Included source errors",--(DATA_PROPERTY_MASTER!$E$5:$E$200="Yes"),--(DATA_PROPERTY_MASTER!$E$5:$E$200&lt;&gt;"Yes"))*--ISERROR(INDIRECT("'"&amp;DATA_PROPERTY_MASTER!$A$5:$A$200&amp;"'!"&amp;SUBSTITUTE(ADDRESS(1,COLUMN(F$5)+1,4),"1","")&amp;$B16)),0))</f>
        <v>0</v>
      </c>
      <c r="G16" s="350">
        <f ca="1">SUMPRODUCT(IFERROR((DATA_PROPERTY_MASTER!$A$5:$A$200&lt;&gt;"")*IF($C16="Included source errors",--(DATA_PROPERTY_MASTER!$E$5:$E$200="Yes"),--(DATA_PROPERTY_MASTER!$E$5:$E$200&lt;&gt;"Yes"))*--ISERROR(INDIRECT("'"&amp;DATA_PROPERTY_MASTER!$A$5:$A$200&amp;"'!"&amp;SUBSTITUTE(ADDRESS(1,COLUMN(G$5)+1,4),"1","")&amp;$B16)),0))</f>
        <v>0</v>
      </c>
      <c r="H16" s="350">
        <f ca="1">SUMPRODUCT(IFERROR((DATA_PROPERTY_MASTER!$A$5:$A$200&lt;&gt;"")*IF($C16="Included source errors",--(DATA_PROPERTY_MASTER!$E$5:$E$200="Yes"),--(DATA_PROPERTY_MASTER!$E$5:$E$200&lt;&gt;"Yes"))*--ISERROR(INDIRECT("'"&amp;DATA_PROPERTY_MASTER!$A$5:$A$200&amp;"'!"&amp;SUBSTITUTE(ADDRESS(1,COLUMN(H$5)+1,4),"1","")&amp;$B16)),0))</f>
        <v>0</v>
      </c>
      <c r="I16" s="350">
        <f ca="1">SUMPRODUCT(IFERROR((DATA_PROPERTY_MASTER!$A$5:$A$200&lt;&gt;"")*IF($C16="Included source errors",--(DATA_PROPERTY_MASTER!$E$5:$E$200="Yes"),--(DATA_PROPERTY_MASTER!$E$5:$E$200&lt;&gt;"Yes"))*--ISERROR(INDIRECT("'"&amp;DATA_PROPERTY_MASTER!$A$5:$A$200&amp;"'!"&amp;SUBSTITUTE(ADDRESS(1,COLUMN(I$5)+1,4),"1","")&amp;$B16)),0))</f>
        <v>0</v>
      </c>
      <c r="J16" s="350">
        <f ca="1">SUMPRODUCT(IFERROR((DATA_PROPERTY_MASTER!$A$5:$A$200&lt;&gt;"")*IF($C16="Included source errors",--(DATA_PROPERTY_MASTER!$E$5:$E$200="Yes"),--(DATA_PROPERTY_MASTER!$E$5:$E$200&lt;&gt;"Yes"))*--ISERROR(INDIRECT("'"&amp;DATA_PROPERTY_MASTER!$A$5:$A$200&amp;"'!"&amp;SUBSTITUTE(ADDRESS(1,COLUMN(J$5)+1,4),"1","")&amp;$B16)),0))</f>
        <v>0</v>
      </c>
      <c r="K16" s="350">
        <f ca="1">SUMPRODUCT(IFERROR((DATA_PROPERTY_MASTER!$A$5:$A$200&lt;&gt;"")*IF($C16="Included source errors",--(DATA_PROPERTY_MASTER!$E$5:$E$200="Yes"),--(DATA_PROPERTY_MASTER!$E$5:$E$200&lt;&gt;"Yes"))*--ISERROR(INDIRECT("'"&amp;DATA_PROPERTY_MASTER!$A$5:$A$200&amp;"'!"&amp;SUBSTITUTE(ADDRESS(1,COLUMN(K$5)+1,4),"1","")&amp;$B16)),0))</f>
        <v>0</v>
      </c>
      <c r="L16" s="350">
        <f ca="1">SUMPRODUCT(IFERROR((DATA_PROPERTY_MASTER!$A$5:$A$200&lt;&gt;"")*IF($C16="Included source errors",--(DATA_PROPERTY_MASTER!$E$5:$E$200="Yes"),--(DATA_PROPERTY_MASTER!$E$5:$E$200&lt;&gt;"Yes"))*--ISERROR(INDIRECT("'"&amp;DATA_PROPERTY_MASTER!$A$5:$A$200&amp;"'!"&amp;SUBSTITUTE(ADDRESS(1,COLUMN(L$5)+1,4),"1","")&amp;$B16)),0))</f>
        <v>0</v>
      </c>
      <c r="M16" s="350">
        <f ca="1">SUMPRODUCT(IFERROR((DATA_PROPERTY_MASTER!$A$5:$A$200&lt;&gt;"")*IF($C16="Included source errors",--(DATA_PROPERTY_MASTER!$E$5:$E$200="Yes"),--(DATA_PROPERTY_MASTER!$E$5:$E$200&lt;&gt;"Yes"))*--ISERROR(INDIRECT("'"&amp;DATA_PROPERTY_MASTER!$A$5:$A$200&amp;"'!"&amp;SUBSTITUTE(ADDRESS(1,COLUMN(M$5)+1,4),"1","")&amp;$B16)),0))</f>
        <v>0</v>
      </c>
      <c r="N16" s="350">
        <f ca="1">SUMPRODUCT(IFERROR((DATA_PROPERTY_MASTER!$A$5:$A$200&lt;&gt;"")*IF($C16="Included source errors",--(DATA_PROPERTY_MASTER!$E$5:$E$200="Yes"),--(DATA_PROPERTY_MASTER!$E$5:$E$200&lt;&gt;"Yes"))*--ISERROR(INDIRECT("'"&amp;DATA_PROPERTY_MASTER!$A$5:$A$200&amp;"'!"&amp;SUBSTITUTE(ADDRESS(1,COLUMN(N$5)+1,4),"1","")&amp;$B16)),0))</f>
        <v>0</v>
      </c>
      <c r="O16" s="350">
        <f ca="1">SUMPRODUCT(IFERROR((DATA_PROPERTY_MASTER!$A$5:$A$200&lt;&gt;"")*IF($C16="Included source errors",--(DATA_PROPERTY_MASTER!$E$5:$E$200="Yes"),--(DATA_PROPERTY_MASTER!$E$5:$E$200&lt;&gt;"Yes"))*--ISERROR(INDIRECT("'"&amp;DATA_PROPERTY_MASTER!$A$5:$A$200&amp;"'!"&amp;SUBSTITUTE(ADDRESS(1,COLUMN(O$5)+1,4),"1","")&amp;$B16)),0))</f>
        <v>0</v>
      </c>
      <c r="P16" s="350">
        <f ca="1">SUMPRODUCT(IFERROR((DATA_PROPERTY_MASTER!$A$5:$A$200&lt;&gt;"")*IF($C16="Included source errors",--(DATA_PROPERTY_MASTER!$E$5:$E$200="Yes"),--(DATA_PROPERTY_MASTER!$E$5:$E$200&lt;&gt;"Yes"))*--ISERROR(INDIRECT("'"&amp;DATA_PROPERTY_MASTER!$A$5:$A$200&amp;"'!"&amp;SUBSTITUTE(ADDRESS(1,COLUMN(P$5)+1,4),"1","")&amp;$B16)),0))</f>
        <v>0</v>
      </c>
      <c r="Q16" s="350">
        <f ca="1">SUMPRODUCT(IFERROR((DATA_PROPERTY_MASTER!$A$5:$A$200&lt;&gt;"")*IF($C16="Included source errors",--(DATA_PROPERTY_MASTER!$E$5:$E$200="Yes"),--(DATA_PROPERTY_MASTER!$E$5:$E$200&lt;&gt;"Yes"))*--ISERROR(INDIRECT("'"&amp;DATA_PROPERTY_MASTER!$A$5:$A$200&amp;"'!"&amp;SUBSTITUTE(ADDRESS(1,COLUMN(Q$5)+1,4),"1","")&amp;$B16)),0))</f>
        <v>0</v>
      </c>
      <c r="R16" s="350">
        <f ca="1">SUMPRODUCT(IFERROR((DATA_PROPERTY_MASTER!$A$5:$A$200&lt;&gt;"")*IF($C16="Included source errors",--(DATA_PROPERTY_MASTER!$E$5:$E$200="Yes"),--(DATA_PROPERTY_MASTER!$E$5:$E$200&lt;&gt;"Yes"))*--ISERROR(INDIRECT("'"&amp;DATA_PROPERTY_MASTER!$A$5:$A$200&amp;"'!"&amp;SUBSTITUTE(ADDRESS(1,COLUMN(R$5)+1,4),"1","")&amp;$B16)),0))</f>
        <v>0</v>
      </c>
      <c r="S16" s="350">
        <f ca="1">SUMPRODUCT(IFERROR((DATA_PROPERTY_MASTER!$A$5:$A$200&lt;&gt;"")*IF($C16="Included source errors",--(DATA_PROPERTY_MASTER!$E$5:$E$200="Yes"),--(DATA_PROPERTY_MASTER!$E$5:$E$200&lt;&gt;"Yes"))*--ISERROR(INDIRECT("'"&amp;DATA_PROPERTY_MASTER!$A$5:$A$200&amp;"'!"&amp;SUBSTITUTE(ADDRESS(1,COLUMN(S$5)+1,4),"1","")&amp;$B16)),0))</f>
        <v>0</v>
      </c>
      <c r="T16" s="350">
        <f ca="1">SUMPRODUCT(IFERROR((DATA_PROPERTY_MASTER!$A$5:$A$200&lt;&gt;"")*IF($C16="Included source errors",--(DATA_PROPERTY_MASTER!$E$5:$E$200="Yes"),--(DATA_PROPERTY_MASTER!$E$5:$E$200&lt;&gt;"Yes"))*--ISERROR(INDIRECT("'"&amp;DATA_PROPERTY_MASTER!$A$5:$A$200&amp;"'!"&amp;SUBSTITUTE(ADDRESS(1,COLUMN(T$5)+1,4),"1","")&amp;$B16)),0))</f>
        <v>0</v>
      </c>
      <c r="U16" s="350">
        <f ca="1">SUMPRODUCT(IFERROR((DATA_PROPERTY_MASTER!$A$5:$A$200&lt;&gt;"")*IF($C16="Included source errors",--(DATA_PROPERTY_MASTER!$E$5:$E$200="Yes"),--(DATA_PROPERTY_MASTER!$E$5:$E$200&lt;&gt;"Yes"))*--ISERROR(INDIRECT("'"&amp;DATA_PROPERTY_MASTER!$A$5:$A$200&amp;"'!"&amp;SUBSTITUTE(ADDRESS(1,COLUMN(U$5)+1,4),"1","")&amp;$B16)),0))</f>
        <v>0</v>
      </c>
      <c r="V16" s="350">
        <f ca="1">SUMPRODUCT(IFERROR((DATA_PROPERTY_MASTER!$A$5:$A$200&lt;&gt;"")*IF($C16="Included source errors",--(DATA_PROPERTY_MASTER!$E$5:$E$200="Yes"),--(DATA_PROPERTY_MASTER!$E$5:$E$200&lt;&gt;"Yes"))*--ISERROR(INDIRECT("'"&amp;DATA_PROPERTY_MASTER!$A$5:$A$200&amp;"'!"&amp;SUBSTITUTE(ADDRESS(1,COLUMN(V$5)+1,4),"1","")&amp;$B16)),0))</f>
        <v>0</v>
      </c>
      <c r="W16" s="350">
        <f ca="1">SUMPRODUCT(IFERROR((DATA_PROPERTY_MASTER!$A$5:$A$200&lt;&gt;"")*IF($C16="Included source errors",--(DATA_PROPERTY_MASTER!$E$5:$E$200="Yes"),--(DATA_PROPERTY_MASTER!$E$5:$E$200&lt;&gt;"Yes"))*--ISERROR(INDIRECT("'"&amp;DATA_PROPERTY_MASTER!$A$5:$A$200&amp;"'!"&amp;SUBSTITUTE(ADDRESS(1,COLUMN(W$5)+1,4),"1","")&amp;$B16)),0))</f>
        <v>0</v>
      </c>
      <c r="X16" s="350">
        <f ca="1">SUMPRODUCT(IFERROR((DATA_PROPERTY_MASTER!$A$5:$A$200&lt;&gt;"")*IF($C16="Included source errors",--(DATA_PROPERTY_MASTER!$E$5:$E$200="Yes"),--(DATA_PROPERTY_MASTER!$E$5:$E$200&lt;&gt;"Yes"))*--ISERROR(INDIRECT("'"&amp;DATA_PROPERTY_MASTER!$A$5:$A$200&amp;"'!"&amp;SUBSTITUTE(ADDRESS(1,COLUMN(X$5)+1,4),"1","")&amp;$B16)),0))</f>
        <v>0</v>
      </c>
      <c r="Y16" s="350">
        <f t="shared" ca="1" si="0"/>
        <v>0</v>
      </c>
      <c r="Z16" s="382" t="s">
        <v>7467</v>
      </c>
    </row>
    <row r="17" spans="1:26" ht="30">
      <c r="A17" s="382" t="s">
        <v>335</v>
      </c>
      <c r="B17" s="382">
        <v>18</v>
      </c>
      <c r="C17" s="382" t="s">
        <v>1563</v>
      </c>
      <c r="D17" s="350">
        <f ca="1">SUMPRODUCT(IFERROR((DATA_PROPERTY_MASTER!$A$5:$A$200&lt;&gt;"")*IF($C17="Included source errors",--(DATA_PROPERTY_MASTER!$E$5:$E$200="Yes"),--(DATA_PROPERTY_MASTER!$E$5:$E$200&lt;&gt;"Yes"))*--ISERROR(INDIRECT("'"&amp;DATA_PROPERTY_MASTER!$A$5:$A$200&amp;"'!"&amp;SUBSTITUTE(ADDRESS(1,COLUMN(D$5)+1,4),"1","")&amp;$B17)),0))</f>
        <v>0</v>
      </c>
      <c r="E17" s="350">
        <f ca="1">SUMPRODUCT(IFERROR((DATA_PROPERTY_MASTER!$A$5:$A$200&lt;&gt;"")*IF($C17="Included source errors",--(DATA_PROPERTY_MASTER!$E$5:$E$200="Yes"),--(DATA_PROPERTY_MASTER!$E$5:$E$200&lt;&gt;"Yes"))*--ISERROR(INDIRECT("'"&amp;DATA_PROPERTY_MASTER!$A$5:$A$200&amp;"'!"&amp;SUBSTITUTE(ADDRESS(1,COLUMN(E$5)+1,4),"1","")&amp;$B17)),0))</f>
        <v>0</v>
      </c>
      <c r="F17" s="350">
        <f ca="1">SUMPRODUCT(IFERROR((DATA_PROPERTY_MASTER!$A$5:$A$200&lt;&gt;"")*IF($C17="Included source errors",--(DATA_PROPERTY_MASTER!$E$5:$E$200="Yes"),--(DATA_PROPERTY_MASTER!$E$5:$E$200&lt;&gt;"Yes"))*--ISERROR(INDIRECT("'"&amp;DATA_PROPERTY_MASTER!$A$5:$A$200&amp;"'!"&amp;SUBSTITUTE(ADDRESS(1,COLUMN(F$5)+1,4),"1","")&amp;$B17)),0))</f>
        <v>0</v>
      </c>
      <c r="G17" s="350">
        <f ca="1">SUMPRODUCT(IFERROR((DATA_PROPERTY_MASTER!$A$5:$A$200&lt;&gt;"")*IF($C17="Included source errors",--(DATA_PROPERTY_MASTER!$E$5:$E$200="Yes"),--(DATA_PROPERTY_MASTER!$E$5:$E$200&lt;&gt;"Yes"))*--ISERROR(INDIRECT("'"&amp;DATA_PROPERTY_MASTER!$A$5:$A$200&amp;"'!"&amp;SUBSTITUTE(ADDRESS(1,COLUMN(G$5)+1,4),"1","")&amp;$B17)),0))</f>
        <v>0</v>
      </c>
      <c r="H17" s="350">
        <f ca="1">SUMPRODUCT(IFERROR((DATA_PROPERTY_MASTER!$A$5:$A$200&lt;&gt;"")*IF($C17="Included source errors",--(DATA_PROPERTY_MASTER!$E$5:$E$200="Yes"),--(DATA_PROPERTY_MASTER!$E$5:$E$200&lt;&gt;"Yes"))*--ISERROR(INDIRECT("'"&amp;DATA_PROPERTY_MASTER!$A$5:$A$200&amp;"'!"&amp;SUBSTITUTE(ADDRESS(1,COLUMN(H$5)+1,4),"1","")&amp;$B17)),0))</f>
        <v>0</v>
      </c>
      <c r="I17" s="350">
        <f ca="1">SUMPRODUCT(IFERROR((DATA_PROPERTY_MASTER!$A$5:$A$200&lt;&gt;"")*IF($C17="Included source errors",--(DATA_PROPERTY_MASTER!$E$5:$E$200="Yes"),--(DATA_PROPERTY_MASTER!$E$5:$E$200&lt;&gt;"Yes"))*--ISERROR(INDIRECT("'"&amp;DATA_PROPERTY_MASTER!$A$5:$A$200&amp;"'!"&amp;SUBSTITUTE(ADDRESS(1,COLUMN(I$5)+1,4),"1","")&amp;$B17)),0))</f>
        <v>0</v>
      </c>
      <c r="J17" s="350">
        <f ca="1">SUMPRODUCT(IFERROR((DATA_PROPERTY_MASTER!$A$5:$A$200&lt;&gt;"")*IF($C17="Included source errors",--(DATA_PROPERTY_MASTER!$E$5:$E$200="Yes"),--(DATA_PROPERTY_MASTER!$E$5:$E$200&lt;&gt;"Yes"))*--ISERROR(INDIRECT("'"&amp;DATA_PROPERTY_MASTER!$A$5:$A$200&amp;"'!"&amp;SUBSTITUTE(ADDRESS(1,COLUMN(J$5)+1,4),"1","")&amp;$B17)),0))</f>
        <v>0</v>
      </c>
      <c r="K17" s="350">
        <f ca="1">SUMPRODUCT(IFERROR((DATA_PROPERTY_MASTER!$A$5:$A$200&lt;&gt;"")*IF($C17="Included source errors",--(DATA_PROPERTY_MASTER!$E$5:$E$200="Yes"),--(DATA_PROPERTY_MASTER!$E$5:$E$200&lt;&gt;"Yes"))*--ISERROR(INDIRECT("'"&amp;DATA_PROPERTY_MASTER!$A$5:$A$200&amp;"'!"&amp;SUBSTITUTE(ADDRESS(1,COLUMN(K$5)+1,4),"1","")&amp;$B17)),0))</f>
        <v>0</v>
      </c>
      <c r="L17" s="350">
        <f ca="1">SUMPRODUCT(IFERROR((DATA_PROPERTY_MASTER!$A$5:$A$200&lt;&gt;"")*IF($C17="Included source errors",--(DATA_PROPERTY_MASTER!$E$5:$E$200="Yes"),--(DATA_PROPERTY_MASTER!$E$5:$E$200&lt;&gt;"Yes"))*--ISERROR(INDIRECT("'"&amp;DATA_PROPERTY_MASTER!$A$5:$A$200&amp;"'!"&amp;SUBSTITUTE(ADDRESS(1,COLUMN(L$5)+1,4),"1","")&amp;$B17)),0))</f>
        <v>0</v>
      </c>
      <c r="M17" s="350">
        <f ca="1">SUMPRODUCT(IFERROR((DATA_PROPERTY_MASTER!$A$5:$A$200&lt;&gt;"")*IF($C17="Included source errors",--(DATA_PROPERTY_MASTER!$E$5:$E$200="Yes"),--(DATA_PROPERTY_MASTER!$E$5:$E$200&lt;&gt;"Yes"))*--ISERROR(INDIRECT("'"&amp;DATA_PROPERTY_MASTER!$A$5:$A$200&amp;"'!"&amp;SUBSTITUTE(ADDRESS(1,COLUMN(M$5)+1,4),"1","")&amp;$B17)),0))</f>
        <v>0</v>
      </c>
      <c r="N17" s="350">
        <f ca="1">SUMPRODUCT(IFERROR((DATA_PROPERTY_MASTER!$A$5:$A$200&lt;&gt;"")*IF($C17="Included source errors",--(DATA_PROPERTY_MASTER!$E$5:$E$200="Yes"),--(DATA_PROPERTY_MASTER!$E$5:$E$200&lt;&gt;"Yes"))*--ISERROR(INDIRECT("'"&amp;DATA_PROPERTY_MASTER!$A$5:$A$200&amp;"'!"&amp;SUBSTITUTE(ADDRESS(1,COLUMN(N$5)+1,4),"1","")&amp;$B17)),0))</f>
        <v>0</v>
      </c>
      <c r="O17" s="350">
        <f ca="1">SUMPRODUCT(IFERROR((DATA_PROPERTY_MASTER!$A$5:$A$200&lt;&gt;"")*IF($C17="Included source errors",--(DATA_PROPERTY_MASTER!$E$5:$E$200="Yes"),--(DATA_PROPERTY_MASTER!$E$5:$E$200&lt;&gt;"Yes"))*--ISERROR(INDIRECT("'"&amp;DATA_PROPERTY_MASTER!$A$5:$A$200&amp;"'!"&amp;SUBSTITUTE(ADDRESS(1,COLUMN(O$5)+1,4),"1","")&amp;$B17)),0))</f>
        <v>0</v>
      </c>
      <c r="P17" s="350">
        <f ca="1">SUMPRODUCT(IFERROR((DATA_PROPERTY_MASTER!$A$5:$A$200&lt;&gt;"")*IF($C17="Included source errors",--(DATA_PROPERTY_MASTER!$E$5:$E$200="Yes"),--(DATA_PROPERTY_MASTER!$E$5:$E$200&lt;&gt;"Yes"))*--ISERROR(INDIRECT("'"&amp;DATA_PROPERTY_MASTER!$A$5:$A$200&amp;"'!"&amp;SUBSTITUTE(ADDRESS(1,COLUMN(P$5)+1,4),"1","")&amp;$B17)),0))</f>
        <v>0</v>
      </c>
      <c r="Q17" s="350">
        <f ca="1">SUMPRODUCT(IFERROR((DATA_PROPERTY_MASTER!$A$5:$A$200&lt;&gt;"")*IF($C17="Included source errors",--(DATA_PROPERTY_MASTER!$E$5:$E$200="Yes"),--(DATA_PROPERTY_MASTER!$E$5:$E$200&lt;&gt;"Yes"))*--ISERROR(INDIRECT("'"&amp;DATA_PROPERTY_MASTER!$A$5:$A$200&amp;"'!"&amp;SUBSTITUTE(ADDRESS(1,COLUMN(Q$5)+1,4),"1","")&amp;$B17)),0))</f>
        <v>0</v>
      </c>
      <c r="R17" s="350">
        <f ca="1">SUMPRODUCT(IFERROR((DATA_PROPERTY_MASTER!$A$5:$A$200&lt;&gt;"")*IF($C17="Included source errors",--(DATA_PROPERTY_MASTER!$E$5:$E$200="Yes"),--(DATA_PROPERTY_MASTER!$E$5:$E$200&lt;&gt;"Yes"))*--ISERROR(INDIRECT("'"&amp;DATA_PROPERTY_MASTER!$A$5:$A$200&amp;"'!"&amp;SUBSTITUTE(ADDRESS(1,COLUMN(R$5)+1,4),"1","")&amp;$B17)),0))</f>
        <v>0</v>
      </c>
      <c r="S17" s="350">
        <f ca="1">SUMPRODUCT(IFERROR((DATA_PROPERTY_MASTER!$A$5:$A$200&lt;&gt;"")*IF($C17="Included source errors",--(DATA_PROPERTY_MASTER!$E$5:$E$200="Yes"),--(DATA_PROPERTY_MASTER!$E$5:$E$200&lt;&gt;"Yes"))*--ISERROR(INDIRECT("'"&amp;DATA_PROPERTY_MASTER!$A$5:$A$200&amp;"'!"&amp;SUBSTITUTE(ADDRESS(1,COLUMN(S$5)+1,4),"1","")&amp;$B17)),0))</f>
        <v>0</v>
      </c>
      <c r="T17" s="350">
        <f ca="1">SUMPRODUCT(IFERROR((DATA_PROPERTY_MASTER!$A$5:$A$200&lt;&gt;"")*IF($C17="Included source errors",--(DATA_PROPERTY_MASTER!$E$5:$E$200="Yes"),--(DATA_PROPERTY_MASTER!$E$5:$E$200&lt;&gt;"Yes"))*--ISERROR(INDIRECT("'"&amp;DATA_PROPERTY_MASTER!$A$5:$A$200&amp;"'!"&amp;SUBSTITUTE(ADDRESS(1,COLUMN(T$5)+1,4),"1","")&amp;$B17)),0))</f>
        <v>0</v>
      </c>
      <c r="U17" s="350">
        <f ca="1">SUMPRODUCT(IFERROR((DATA_PROPERTY_MASTER!$A$5:$A$200&lt;&gt;"")*IF($C17="Included source errors",--(DATA_PROPERTY_MASTER!$E$5:$E$200="Yes"),--(DATA_PROPERTY_MASTER!$E$5:$E$200&lt;&gt;"Yes"))*--ISERROR(INDIRECT("'"&amp;DATA_PROPERTY_MASTER!$A$5:$A$200&amp;"'!"&amp;SUBSTITUTE(ADDRESS(1,COLUMN(U$5)+1,4),"1","")&amp;$B17)),0))</f>
        <v>0</v>
      </c>
      <c r="V17" s="350">
        <f ca="1">SUMPRODUCT(IFERROR((DATA_PROPERTY_MASTER!$A$5:$A$200&lt;&gt;"")*IF($C17="Included source errors",--(DATA_PROPERTY_MASTER!$E$5:$E$200="Yes"),--(DATA_PROPERTY_MASTER!$E$5:$E$200&lt;&gt;"Yes"))*--ISERROR(INDIRECT("'"&amp;DATA_PROPERTY_MASTER!$A$5:$A$200&amp;"'!"&amp;SUBSTITUTE(ADDRESS(1,COLUMN(V$5)+1,4),"1","")&amp;$B17)),0))</f>
        <v>0</v>
      </c>
      <c r="W17" s="350">
        <f ca="1">SUMPRODUCT(IFERROR((DATA_PROPERTY_MASTER!$A$5:$A$200&lt;&gt;"")*IF($C17="Included source errors",--(DATA_PROPERTY_MASTER!$E$5:$E$200="Yes"),--(DATA_PROPERTY_MASTER!$E$5:$E$200&lt;&gt;"Yes"))*--ISERROR(INDIRECT("'"&amp;DATA_PROPERTY_MASTER!$A$5:$A$200&amp;"'!"&amp;SUBSTITUTE(ADDRESS(1,COLUMN(W$5)+1,4),"1","")&amp;$B17)),0))</f>
        <v>0</v>
      </c>
      <c r="X17" s="350">
        <f ca="1">SUMPRODUCT(IFERROR((DATA_PROPERTY_MASTER!$A$5:$A$200&lt;&gt;"")*IF($C17="Included source errors",--(DATA_PROPERTY_MASTER!$E$5:$E$200="Yes"),--(DATA_PROPERTY_MASTER!$E$5:$E$200&lt;&gt;"Yes"))*--ISERROR(INDIRECT("'"&amp;DATA_PROPERTY_MASTER!$A$5:$A$200&amp;"'!"&amp;SUBSTITUTE(ADDRESS(1,COLUMN(X$5)+1,4),"1","")&amp;$B17)),0))</f>
        <v>0</v>
      </c>
      <c r="Y17" s="350">
        <f t="shared" ca="1" si="0"/>
        <v>0</v>
      </c>
      <c r="Z17" s="382" t="s">
        <v>7467</v>
      </c>
    </row>
    <row r="18" spans="1:26" ht="30">
      <c r="A18" s="382" t="s">
        <v>338</v>
      </c>
      <c r="B18" s="382">
        <v>21</v>
      </c>
      <c r="C18" s="382" t="s">
        <v>1560</v>
      </c>
      <c r="D18" s="350">
        <f ca="1">SUMPRODUCT(IFERROR((DATA_PROPERTY_MASTER!$A$5:$A$200&lt;&gt;"")*IF($C18="Included source errors",--(DATA_PROPERTY_MASTER!$E$5:$E$200="Yes"),--(DATA_PROPERTY_MASTER!$E$5:$E$200&lt;&gt;"Yes"))*--ISERROR(INDIRECT("'"&amp;DATA_PROPERTY_MASTER!$A$5:$A$200&amp;"'!"&amp;SUBSTITUTE(ADDRESS(1,COLUMN(D$5)+1,4),"1","")&amp;$B18)),0))</f>
        <v>0</v>
      </c>
      <c r="E18" s="350">
        <f ca="1">SUMPRODUCT(IFERROR((DATA_PROPERTY_MASTER!$A$5:$A$200&lt;&gt;"")*IF($C18="Included source errors",--(DATA_PROPERTY_MASTER!$E$5:$E$200="Yes"),--(DATA_PROPERTY_MASTER!$E$5:$E$200&lt;&gt;"Yes"))*--ISERROR(INDIRECT("'"&amp;DATA_PROPERTY_MASTER!$A$5:$A$200&amp;"'!"&amp;SUBSTITUTE(ADDRESS(1,COLUMN(E$5)+1,4),"1","")&amp;$B18)),0))</f>
        <v>0</v>
      </c>
      <c r="F18" s="350">
        <f ca="1">SUMPRODUCT(IFERROR((DATA_PROPERTY_MASTER!$A$5:$A$200&lt;&gt;"")*IF($C18="Included source errors",--(DATA_PROPERTY_MASTER!$E$5:$E$200="Yes"),--(DATA_PROPERTY_MASTER!$E$5:$E$200&lt;&gt;"Yes"))*--ISERROR(INDIRECT("'"&amp;DATA_PROPERTY_MASTER!$A$5:$A$200&amp;"'!"&amp;SUBSTITUTE(ADDRESS(1,COLUMN(F$5)+1,4),"1","")&amp;$B18)),0))</f>
        <v>0</v>
      </c>
      <c r="G18" s="350">
        <f ca="1">SUMPRODUCT(IFERROR((DATA_PROPERTY_MASTER!$A$5:$A$200&lt;&gt;"")*IF($C18="Included source errors",--(DATA_PROPERTY_MASTER!$E$5:$E$200="Yes"),--(DATA_PROPERTY_MASTER!$E$5:$E$200&lt;&gt;"Yes"))*--ISERROR(INDIRECT("'"&amp;DATA_PROPERTY_MASTER!$A$5:$A$200&amp;"'!"&amp;SUBSTITUTE(ADDRESS(1,COLUMN(G$5)+1,4),"1","")&amp;$B18)),0))</f>
        <v>0</v>
      </c>
      <c r="H18" s="350">
        <f ca="1">SUMPRODUCT(IFERROR((DATA_PROPERTY_MASTER!$A$5:$A$200&lt;&gt;"")*IF($C18="Included source errors",--(DATA_PROPERTY_MASTER!$E$5:$E$200="Yes"),--(DATA_PROPERTY_MASTER!$E$5:$E$200&lt;&gt;"Yes"))*--ISERROR(INDIRECT("'"&amp;DATA_PROPERTY_MASTER!$A$5:$A$200&amp;"'!"&amp;SUBSTITUTE(ADDRESS(1,COLUMN(H$5)+1,4),"1","")&amp;$B18)),0))</f>
        <v>0</v>
      </c>
      <c r="I18" s="350">
        <f ca="1">SUMPRODUCT(IFERROR((DATA_PROPERTY_MASTER!$A$5:$A$200&lt;&gt;"")*IF($C18="Included source errors",--(DATA_PROPERTY_MASTER!$E$5:$E$200="Yes"),--(DATA_PROPERTY_MASTER!$E$5:$E$200&lt;&gt;"Yes"))*--ISERROR(INDIRECT("'"&amp;DATA_PROPERTY_MASTER!$A$5:$A$200&amp;"'!"&amp;SUBSTITUTE(ADDRESS(1,COLUMN(I$5)+1,4),"1","")&amp;$B18)),0))</f>
        <v>0</v>
      </c>
      <c r="J18" s="350">
        <f ca="1">SUMPRODUCT(IFERROR((DATA_PROPERTY_MASTER!$A$5:$A$200&lt;&gt;"")*IF($C18="Included source errors",--(DATA_PROPERTY_MASTER!$E$5:$E$200="Yes"),--(DATA_PROPERTY_MASTER!$E$5:$E$200&lt;&gt;"Yes"))*--ISERROR(INDIRECT("'"&amp;DATA_PROPERTY_MASTER!$A$5:$A$200&amp;"'!"&amp;SUBSTITUTE(ADDRESS(1,COLUMN(J$5)+1,4),"1","")&amp;$B18)),0))</f>
        <v>0</v>
      </c>
      <c r="K18" s="350">
        <f ca="1">SUMPRODUCT(IFERROR((DATA_PROPERTY_MASTER!$A$5:$A$200&lt;&gt;"")*IF($C18="Included source errors",--(DATA_PROPERTY_MASTER!$E$5:$E$200="Yes"),--(DATA_PROPERTY_MASTER!$E$5:$E$200&lt;&gt;"Yes"))*--ISERROR(INDIRECT("'"&amp;DATA_PROPERTY_MASTER!$A$5:$A$200&amp;"'!"&amp;SUBSTITUTE(ADDRESS(1,COLUMN(K$5)+1,4),"1","")&amp;$B18)),0))</f>
        <v>0</v>
      </c>
      <c r="L18" s="350">
        <f ca="1">SUMPRODUCT(IFERROR((DATA_PROPERTY_MASTER!$A$5:$A$200&lt;&gt;"")*IF($C18="Included source errors",--(DATA_PROPERTY_MASTER!$E$5:$E$200="Yes"),--(DATA_PROPERTY_MASTER!$E$5:$E$200&lt;&gt;"Yes"))*--ISERROR(INDIRECT("'"&amp;DATA_PROPERTY_MASTER!$A$5:$A$200&amp;"'!"&amp;SUBSTITUTE(ADDRESS(1,COLUMN(L$5)+1,4),"1","")&amp;$B18)),0))</f>
        <v>0</v>
      </c>
      <c r="M18" s="350">
        <f ca="1">SUMPRODUCT(IFERROR((DATA_PROPERTY_MASTER!$A$5:$A$200&lt;&gt;"")*IF($C18="Included source errors",--(DATA_PROPERTY_MASTER!$E$5:$E$200="Yes"),--(DATA_PROPERTY_MASTER!$E$5:$E$200&lt;&gt;"Yes"))*--ISERROR(INDIRECT("'"&amp;DATA_PROPERTY_MASTER!$A$5:$A$200&amp;"'!"&amp;SUBSTITUTE(ADDRESS(1,COLUMN(M$5)+1,4),"1","")&amp;$B18)),0))</f>
        <v>0</v>
      </c>
      <c r="N18" s="350">
        <f ca="1">SUMPRODUCT(IFERROR((DATA_PROPERTY_MASTER!$A$5:$A$200&lt;&gt;"")*IF($C18="Included source errors",--(DATA_PROPERTY_MASTER!$E$5:$E$200="Yes"),--(DATA_PROPERTY_MASTER!$E$5:$E$200&lt;&gt;"Yes"))*--ISERROR(INDIRECT("'"&amp;DATA_PROPERTY_MASTER!$A$5:$A$200&amp;"'!"&amp;SUBSTITUTE(ADDRESS(1,COLUMN(N$5)+1,4),"1","")&amp;$B18)),0))</f>
        <v>0</v>
      </c>
      <c r="O18" s="350">
        <f ca="1">SUMPRODUCT(IFERROR((DATA_PROPERTY_MASTER!$A$5:$A$200&lt;&gt;"")*IF($C18="Included source errors",--(DATA_PROPERTY_MASTER!$E$5:$E$200="Yes"),--(DATA_PROPERTY_MASTER!$E$5:$E$200&lt;&gt;"Yes"))*--ISERROR(INDIRECT("'"&amp;DATA_PROPERTY_MASTER!$A$5:$A$200&amp;"'!"&amp;SUBSTITUTE(ADDRESS(1,COLUMN(O$5)+1,4),"1","")&amp;$B18)),0))</f>
        <v>0</v>
      </c>
      <c r="P18" s="350">
        <f ca="1">SUMPRODUCT(IFERROR((DATA_PROPERTY_MASTER!$A$5:$A$200&lt;&gt;"")*IF($C18="Included source errors",--(DATA_PROPERTY_MASTER!$E$5:$E$200="Yes"),--(DATA_PROPERTY_MASTER!$E$5:$E$200&lt;&gt;"Yes"))*--ISERROR(INDIRECT("'"&amp;DATA_PROPERTY_MASTER!$A$5:$A$200&amp;"'!"&amp;SUBSTITUTE(ADDRESS(1,COLUMN(P$5)+1,4),"1","")&amp;$B18)),0))</f>
        <v>0</v>
      </c>
      <c r="Q18" s="350">
        <f ca="1">SUMPRODUCT(IFERROR((DATA_PROPERTY_MASTER!$A$5:$A$200&lt;&gt;"")*IF($C18="Included source errors",--(DATA_PROPERTY_MASTER!$E$5:$E$200="Yes"),--(DATA_PROPERTY_MASTER!$E$5:$E$200&lt;&gt;"Yes"))*--ISERROR(INDIRECT("'"&amp;DATA_PROPERTY_MASTER!$A$5:$A$200&amp;"'!"&amp;SUBSTITUTE(ADDRESS(1,COLUMN(Q$5)+1,4),"1","")&amp;$B18)),0))</f>
        <v>0</v>
      </c>
      <c r="R18" s="350">
        <f ca="1">SUMPRODUCT(IFERROR((DATA_PROPERTY_MASTER!$A$5:$A$200&lt;&gt;"")*IF($C18="Included source errors",--(DATA_PROPERTY_MASTER!$E$5:$E$200="Yes"),--(DATA_PROPERTY_MASTER!$E$5:$E$200&lt;&gt;"Yes"))*--ISERROR(INDIRECT("'"&amp;DATA_PROPERTY_MASTER!$A$5:$A$200&amp;"'!"&amp;SUBSTITUTE(ADDRESS(1,COLUMN(R$5)+1,4),"1","")&amp;$B18)),0))</f>
        <v>0</v>
      </c>
      <c r="S18" s="350">
        <f ca="1">SUMPRODUCT(IFERROR((DATA_PROPERTY_MASTER!$A$5:$A$200&lt;&gt;"")*IF($C18="Included source errors",--(DATA_PROPERTY_MASTER!$E$5:$E$200="Yes"),--(DATA_PROPERTY_MASTER!$E$5:$E$200&lt;&gt;"Yes"))*--ISERROR(INDIRECT("'"&amp;DATA_PROPERTY_MASTER!$A$5:$A$200&amp;"'!"&amp;SUBSTITUTE(ADDRESS(1,COLUMN(S$5)+1,4),"1","")&amp;$B18)),0))</f>
        <v>0</v>
      </c>
      <c r="T18" s="350">
        <f ca="1">SUMPRODUCT(IFERROR((DATA_PROPERTY_MASTER!$A$5:$A$200&lt;&gt;"")*IF($C18="Included source errors",--(DATA_PROPERTY_MASTER!$E$5:$E$200="Yes"),--(DATA_PROPERTY_MASTER!$E$5:$E$200&lt;&gt;"Yes"))*--ISERROR(INDIRECT("'"&amp;DATA_PROPERTY_MASTER!$A$5:$A$200&amp;"'!"&amp;SUBSTITUTE(ADDRESS(1,COLUMN(T$5)+1,4),"1","")&amp;$B18)),0))</f>
        <v>0</v>
      </c>
      <c r="U18" s="350">
        <f ca="1">SUMPRODUCT(IFERROR((DATA_PROPERTY_MASTER!$A$5:$A$200&lt;&gt;"")*IF($C18="Included source errors",--(DATA_PROPERTY_MASTER!$E$5:$E$200="Yes"),--(DATA_PROPERTY_MASTER!$E$5:$E$200&lt;&gt;"Yes"))*--ISERROR(INDIRECT("'"&amp;DATA_PROPERTY_MASTER!$A$5:$A$200&amp;"'!"&amp;SUBSTITUTE(ADDRESS(1,COLUMN(U$5)+1,4),"1","")&amp;$B18)),0))</f>
        <v>0</v>
      </c>
      <c r="V18" s="350">
        <f ca="1">SUMPRODUCT(IFERROR((DATA_PROPERTY_MASTER!$A$5:$A$200&lt;&gt;"")*IF($C18="Included source errors",--(DATA_PROPERTY_MASTER!$E$5:$E$200="Yes"),--(DATA_PROPERTY_MASTER!$E$5:$E$200&lt;&gt;"Yes"))*--ISERROR(INDIRECT("'"&amp;DATA_PROPERTY_MASTER!$A$5:$A$200&amp;"'!"&amp;SUBSTITUTE(ADDRESS(1,COLUMN(V$5)+1,4),"1","")&amp;$B18)),0))</f>
        <v>0</v>
      </c>
      <c r="W18" s="350">
        <f ca="1">SUMPRODUCT(IFERROR((DATA_PROPERTY_MASTER!$A$5:$A$200&lt;&gt;"")*IF($C18="Included source errors",--(DATA_PROPERTY_MASTER!$E$5:$E$200="Yes"),--(DATA_PROPERTY_MASTER!$E$5:$E$200&lt;&gt;"Yes"))*--ISERROR(INDIRECT("'"&amp;DATA_PROPERTY_MASTER!$A$5:$A$200&amp;"'!"&amp;SUBSTITUTE(ADDRESS(1,COLUMN(W$5)+1,4),"1","")&amp;$B18)),0))</f>
        <v>0</v>
      </c>
      <c r="X18" s="350">
        <f ca="1">SUMPRODUCT(IFERROR((DATA_PROPERTY_MASTER!$A$5:$A$200&lt;&gt;"")*IF($C18="Included source errors",--(DATA_PROPERTY_MASTER!$E$5:$E$200="Yes"),--(DATA_PROPERTY_MASTER!$E$5:$E$200&lt;&gt;"Yes"))*--ISERROR(INDIRECT("'"&amp;DATA_PROPERTY_MASTER!$A$5:$A$200&amp;"'!"&amp;SUBSTITUTE(ADDRESS(1,COLUMN(X$5)+1,4),"1","")&amp;$B18)),0))</f>
        <v>0</v>
      </c>
      <c r="Y18" s="350">
        <f t="shared" ca="1" si="0"/>
        <v>0</v>
      </c>
      <c r="Z18" s="382" t="s">
        <v>7467</v>
      </c>
    </row>
    <row r="19" spans="1:26" ht="30">
      <c r="A19" s="382" t="s">
        <v>338</v>
      </c>
      <c r="B19" s="382">
        <v>21</v>
      </c>
      <c r="C19" s="382" t="s">
        <v>1563</v>
      </c>
      <c r="D19" s="350">
        <f ca="1">SUMPRODUCT(IFERROR((DATA_PROPERTY_MASTER!$A$5:$A$200&lt;&gt;"")*IF($C19="Included source errors",--(DATA_PROPERTY_MASTER!$E$5:$E$200="Yes"),--(DATA_PROPERTY_MASTER!$E$5:$E$200&lt;&gt;"Yes"))*--ISERROR(INDIRECT("'"&amp;DATA_PROPERTY_MASTER!$A$5:$A$200&amp;"'!"&amp;SUBSTITUTE(ADDRESS(1,COLUMN(D$5)+1,4),"1","")&amp;$B19)),0))</f>
        <v>0</v>
      </c>
      <c r="E19" s="350">
        <f ca="1">SUMPRODUCT(IFERROR((DATA_PROPERTY_MASTER!$A$5:$A$200&lt;&gt;"")*IF($C19="Included source errors",--(DATA_PROPERTY_MASTER!$E$5:$E$200="Yes"),--(DATA_PROPERTY_MASTER!$E$5:$E$200&lt;&gt;"Yes"))*--ISERROR(INDIRECT("'"&amp;DATA_PROPERTY_MASTER!$A$5:$A$200&amp;"'!"&amp;SUBSTITUTE(ADDRESS(1,COLUMN(E$5)+1,4),"1","")&amp;$B19)),0))</f>
        <v>0</v>
      </c>
      <c r="F19" s="350">
        <f ca="1">SUMPRODUCT(IFERROR((DATA_PROPERTY_MASTER!$A$5:$A$200&lt;&gt;"")*IF($C19="Included source errors",--(DATA_PROPERTY_MASTER!$E$5:$E$200="Yes"),--(DATA_PROPERTY_MASTER!$E$5:$E$200&lt;&gt;"Yes"))*--ISERROR(INDIRECT("'"&amp;DATA_PROPERTY_MASTER!$A$5:$A$200&amp;"'!"&amp;SUBSTITUTE(ADDRESS(1,COLUMN(F$5)+1,4),"1","")&amp;$B19)),0))</f>
        <v>0</v>
      </c>
      <c r="G19" s="350">
        <f ca="1">SUMPRODUCT(IFERROR((DATA_PROPERTY_MASTER!$A$5:$A$200&lt;&gt;"")*IF($C19="Included source errors",--(DATA_PROPERTY_MASTER!$E$5:$E$200="Yes"),--(DATA_PROPERTY_MASTER!$E$5:$E$200&lt;&gt;"Yes"))*--ISERROR(INDIRECT("'"&amp;DATA_PROPERTY_MASTER!$A$5:$A$200&amp;"'!"&amp;SUBSTITUTE(ADDRESS(1,COLUMN(G$5)+1,4),"1","")&amp;$B19)),0))</f>
        <v>0</v>
      </c>
      <c r="H19" s="350">
        <f ca="1">SUMPRODUCT(IFERROR((DATA_PROPERTY_MASTER!$A$5:$A$200&lt;&gt;"")*IF($C19="Included source errors",--(DATA_PROPERTY_MASTER!$E$5:$E$200="Yes"),--(DATA_PROPERTY_MASTER!$E$5:$E$200&lt;&gt;"Yes"))*--ISERROR(INDIRECT("'"&amp;DATA_PROPERTY_MASTER!$A$5:$A$200&amp;"'!"&amp;SUBSTITUTE(ADDRESS(1,COLUMN(H$5)+1,4),"1","")&amp;$B19)),0))</f>
        <v>0</v>
      </c>
      <c r="I19" s="350">
        <f ca="1">SUMPRODUCT(IFERROR((DATA_PROPERTY_MASTER!$A$5:$A$200&lt;&gt;"")*IF($C19="Included source errors",--(DATA_PROPERTY_MASTER!$E$5:$E$200="Yes"),--(DATA_PROPERTY_MASTER!$E$5:$E$200&lt;&gt;"Yes"))*--ISERROR(INDIRECT("'"&amp;DATA_PROPERTY_MASTER!$A$5:$A$200&amp;"'!"&amp;SUBSTITUTE(ADDRESS(1,COLUMN(I$5)+1,4),"1","")&amp;$B19)),0))</f>
        <v>0</v>
      </c>
      <c r="J19" s="350">
        <f ca="1">SUMPRODUCT(IFERROR((DATA_PROPERTY_MASTER!$A$5:$A$200&lt;&gt;"")*IF($C19="Included source errors",--(DATA_PROPERTY_MASTER!$E$5:$E$200="Yes"),--(DATA_PROPERTY_MASTER!$E$5:$E$200&lt;&gt;"Yes"))*--ISERROR(INDIRECT("'"&amp;DATA_PROPERTY_MASTER!$A$5:$A$200&amp;"'!"&amp;SUBSTITUTE(ADDRESS(1,COLUMN(J$5)+1,4),"1","")&amp;$B19)),0))</f>
        <v>0</v>
      </c>
      <c r="K19" s="350">
        <f ca="1">SUMPRODUCT(IFERROR((DATA_PROPERTY_MASTER!$A$5:$A$200&lt;&gt;"")*IF($C19="Included source errors",--(DATA_PROPERTY_MASTER!$E$5:$E$200="Yes"),--(DATA_PROPERTY_MASTER!$E$5:$E$200&lt;&gt;"Yes"))*--ISERROR(INDIRECT("'"&amp;DATA_PROPERTY_MASTER!$A$5:$A$200&amp;"'!"&amp;SUBSTITUTE(ADDRESS(1,COLUMN(K$5)+1,4),"1","")&amp;$B19)),0))</f>
        <v>0</v>
      </c>
      <c r="L19" s="350">
        <f ca="1">SUMPRODUCT(IFERROR((DATA_PROPERTY_MASTER!$A$5:$A$200&lt;&gt;"")*IF($C19="Included source errors",--(DATA_PROPERTY_MASTER!$E$5:$E$200="Yes"),--(DATA_PROPERTY_MASTER!$E$5:$E$200&lt;&gt;"Yes"))*--ISERROR(INDIRECT("'"&amp;DATA_PROPERTY_MASTER!$A$5:$A$200&amp;"'!"&amp;SUBSTITUTE(ADDRESS(1,COLUMN(L$5)+1,4),"1","")&amp;$B19)),0))</f>
        <v>0</v>
      </c>
      <c r="M19" s="350">
        <f ca="1">SUMPRODUCT(IFERROR((DATA_PROPERTY_MASTER!$A$5:$A$200&lt;&gt;"")*IF($C19="Included source errors",--(DATA_PROPERTY_MASTER!$E$5:$E$200="Yes"),--(DATA_PROPERTY_MASTER!$E$5:$E$200&lt;&gt;"Yes"))*--ISERROR(INDIRECT("'"&amp;DATA_PROPERTY_MASTER!$A$5:$A$200&amp;"'!"&amp;SUBSTITUTE(ADDRESS(1,COLUMN(M$5)+1,4),"1","")&amp;$B19)),0))</f>
        <v>0</v>
      </c>
      <c r="N19" s="350">
        <f ca="1">SUMPRODUCT(IFERROR((DATA_PROPERTY_MASTER!$A$5:$A$200&lt;&gt;"")*IF($C19="Included source errors",--(DATA_PROPERTY_MASTER!$E$5:$E$200="Yes"),--(DATA_PROPERTY_MASTER!$E$5:$E$200&lt;&gt;"Yes"))*--ISERROR(INDIRECT("'"&amp;DATA_PROPERTY_MASTER!$A$5:$A$200&amp;"'!"&amp;SUBSTITUTE(ADDRESS(1,COLUMN(N$5)+1,4),"1","")&amp;$B19)),0))</f>
        <v>0</v>
      </c>
      <c r="O19" s="350">
        <f ca="1">SUMPRODUCT(IFERROR((DATA_PROPERTY_MASTER!$A$5:$A$200&lt;&gt;"")*IF($C19="Included source errors",--(DATA_PROPERTY_MASTER!$E$5:$E$200="Yes"),--(DATA_PROPERTY_MASTER!$E$5:$E$200&lt;&gt;"Yes"))*--ISERROR(INDIRECT("'"&amp;DATA_PROPERTY_MASTER!$A$5:$A$200&amp;"'!"&amp;SUBSTITUTE(ADDRESS(1,COLUMN(O$5)+1,4),"1","")&amp;$B19)),0))</f>
        <v>0</v>
      </c>
      <c r="P19" s="350">
        <f ca="1">SUMPRODUCT(IFERROR((DATA_PROPERTY_MASTER!$A$5:$A$200&lt;&gt;"")*IF($C19="Included source errors",--(DATA_PROPERTY_MASTER!$E$5:$E$200="Yes"),--(DATA_PROPERTY_MASTER!$E$5:$E$200&lt;&gt;"Yes"))*--ISERROR(INDIRECT("'"&amp;DATA_PROPERTY_MASTER!$A$5:$A$200&amp;"'!"&amp;SUBSTITUTE(ADDRESS(1,COLUMN(P$5)+1,4),"1","")&amp;$B19)),0))</f>
        <v>0</v>
      </c>
      <c r="Q19" s="350">
        <f ca="1">SUMPRODUCT(IFERROR((DATA_PROPERTY_MASTER!$A$5:$A$200&lt;&gt;"")*IF($C19="Included source errors",--(DATA_PROPERTY_MASTER!$E$5:$E$200="Yes"),--(DATA_PROPERTY_MASTER!$E$5:$E$200&lt;&gt;"Yes"))*--ISERROR(INDIRECT("'"&amp;DATA_PROPERTY_MASTER!$A$5:$A$200&amp;"'!"&amp;SUBSTITUTE(ADDRESS(1,COLUMN(Q$5)+1,4),"1","")&amp;$B19)),0))</f>
        <v>0</v>
      </c>
      <c r="R19" s="350">
        <f ca="1">SUMPRODUCT(IFERROR((DATA_PROPERTY_MASTER!$A$5:$A$200&lt;&gt;"")*IF($C19="Included source errors",--(DATA_PROPERTY_MASTER!$E$5:$E$200="Yes"),--(DATA_PROPERTY_MASTER!$E$5:$E$200&lt;&gt;"Yes"))*--ISERROR(INDIRECT("'"&amp;DATA_PROPERTY_MASTER!$A$5:$A$200&amp;"'!"&amp;SUBSTITUTE(ADDRESS(1,COLUMN(R$5)+1,4),"1","")&amp;$B19)),0))</f>
        <v>0</v>
      </c>
      <c r="S19" s="350">
        <f ca="1">SUMPRODUCT(IFERROR((DATA_PROPERTY_MASTER!$A$5:$A$200&lt;&gt;"")*IF($C19="Included source errors",--(DATA_PROPERTY_MASTER!$E$5:$E$200="Yes"),--(DATA_PROPERTY_MASTER!$E$5:$E$200&lt;&gt;"Yes"))*--ISERROR(INDIRECT("'"&amp;DATA_PROPERTY_MASTER!$A$5:$A$200&amp;"'!"&amp;SUBSTITUTE(ADDRESS(1,COLUMN(S$5)+1,4),"1","")&amp;$B19)),0))</f>
        <v>0</v>
      </c>
      <c r="T19" s="350">
        <f ca="1">SUMPRODUCT(IFERROR((DATA_PROPERTY_MASTER!$A$5:$A$200&lt;&gt;"")*IF($C19="Included source errors",--(DATA_PROPERTY_MASTER!$E$5:$E$200="Yes"),--(DATA_PROPERTY_MASTER!$E$5:$E$200&lt;&gt;"Yes"))*--ISERROR(INDIRECT("'"&amp;DATA_PROPERTY_MASTER!$A$5:$A$200&amp;"'!"&amp;SUBSTITUTE(ADDRESS(1,COLUMN(T$5)+1,4),"1","")&amp;$B19)),0))</f>
        <v>0</v>
      </c>
      <c r="U19" s="350">
        <f ca="1">SUMPRODUCT(IFERROR((DATA_PROPERTY_MASTER!$A$5:$A$200&lt;&gt;"")*IF($C19="Included source errors",--(DATA_PROPERTY_MASTER!$E$5:$E$200="Yes"),--(DATA_PROPERTY_MASTER!$E$5:$E$200&lt;&gt;"Yes"))*--ISERROR(INDIRECT("'"&amp;DATA_PROPERTY_MASTER!$A$5:$A$200&amp;"'!"&amp;SUBSTITUTE(ADDRESS(1,COLUMN(U$5)+1,4),"1","")&amp;$B19)),0))</f>
        <v>0</v>
      </c>
      <c r="V19" s="350">
        <f ca="1">SUMPRODUCT(IFERROR((DATA_PROPERTY_MASTER!$A$5:$A$200&lt;&gt;"")*IF($C19="Included source errors",--(DATA_PROPERTY_MASTER!$E$5:$E$200="Yes"),--(DATA_PROPERTY_MASTER!$E$5:$E$200&lt;&gt;"Yes"))*--ISERROR(INDIRECT("'"&amp;DATA_PROPERTY_MASTER!$A$5:$A$200&amp;"'!"&amp;SUBSTITUTE(ADDRESS(1,COLUMN(V$5)+1,4),"1","")&amp;$B19)),0))</f>
        <v>0</v>
      </c>
      <c r="W19" s="350">
        <f ca="1">SUMPRODUCT(IFERROR((DATA_PROPERTY_MASTER!$A$5:$A$200&lt;&gt;"")*IF($C19="Included source errors",--(DATA_PROPERTY_MASTER!$E$5:$E$200="Yes"),--(DATA_PROPERTY_MASTER!$E$5:$E$200&lt;&gt;"Yes"))*--ISERROR(INDIRECT("'"&amp;DATA_PROPERTY_MASTER!$A$5:$A$200&amp;"'!"&amp;SUBSTITUTE(ADDRESS(1,COLUMN(W$5)+1,4),"1","")&amp;$B19)),0))</f>
        <v>0</v>
      </c>
      <c r="X19" s="350">
        <f ca="1">SUMPRODUCT(IFERROR((DATA_PROPERTY_MASTER!$A$5:$A$200&lt;&gt;"")*IF($C19="Included source errors",--(DATA_PROPERTY_MASTER!$E$5:$E$200="Yes"),--(DATA_PROPERTY_MASTER!$E$5:$E$200&lt;&gt;"Yes"))*--ISERROR(INDIRECT("'"&amp;DATA_PROPERTY_MASTER!$A$5:$A$200&amp;"'!"&amp;SUBSTITUTE(ADDRESS(1,COLUMN(X$5)+1,4),"1","")&amp;$B19)),0))</f>
        <v>0</v>
      </c>
      <c r="Y19" s="350">
        <f t="shared" ca="1" si="0"/>
        <v>0</v>
      </c>
      <c r="Z19" s="382" t="s">
        <v>7467</v>
      </c>
    </row>
    <row r="20" spans="1:26" ht="30">
      <c r="A20" s="382" t="s">
        <v>340</v>
      </c>
      <c r="B20" s="382">
        <v>23</v>
      </c>
      <c r="C20" s="382" t="s">
        <v>1560</v>
      </c>
      <c r="D20" s="350">
        <f ca="1">SUMPRODUCT(IFERROR((DATA_PROPERTY_MASTER!$A$5:$A$200&lt;&gt;"")*IF($C20="Included source errors",--(DATA_PROPERTY_MASTER!$E$5:$E$200="Yes"),--(DATA_PROPERTY_MASTER!$E$5:$E$200&lt;&gt;"Yes"))*--ISERROR(INDIRECT("'"&amp;DATA_PROPERTY_MASTER!$A$5:$A$200&amp;"'!"&amp;SUBSTITUTE(ADDRESS(1,COLUMN(D$5)+1,4),"1","")&amp;$B20)),0))</f>
        <v>0</v>
      </c>
      <c r="E20" s="350">
        <f ca="1">SUMPRODUCT(IFERROR((DATA_PROPERTY_MASTER!$A$5:$A$200&lt;&gt;"")*IF($C20="Included source errors",--(DATA_PROPERTY_MASTER!$E$5:$E$200="Yes"),--(DATA_PROPERTY_MASTER!$E$5:$E$200&lt;&gt;"Yes"))*--ISERROR(INDIRECT("'"&amp;DATA_PROPERTY_MASTER!$A$5:$A$200&amp;"'!"&amp;SUBSTITUTE(ADDRESS(1,COLUMN(E$5)+1,4),"1","")&amp;$B20)),0))</f>
        <v>0</v>
      </c>
      <c r="F20" s="350">
        <f ca="1">SUMPRODUCT(IFERROR((DATA_PROPERTY_MASTER!$A$5:$A$200&lt;&gt;"")*IF($C20="Included source errors",--(DATA_PROPERTY_MASTER!$E$5:$E$200="Yes"),--(DATA_PROPERTY_MASTER!$E$5:$E$200&lt;&gt;"Yes"))*--ISERROR(INDIRECT("'"&amp;DATA_PROPERTY_MASTER!$A$5:$A$200&amp;"'!"&amp;SUBSTITUTE(ADDRESS(1,COLUMN(F$5)+1,4),"1","")&amp;$B20)),0))</f>
        <v>0</v>
      </c>
      <c r="G20" s="350">
        <f ca="1">SUMPRODUCT(IFERROR((DATA_PROPERTY_MASTER!$A$5:$A$200&lt;&gt;"")*IF($C20="Included source errors",--(DATA_PROPERTY_MASTER!$E$5:$E$200="Yes"),--(DATA_PROPERTY_MASTER!$E$5:$E$200&lt;&gt;"Yes"))*--ISERROR(INDIRECT("'"&amp;DATA_PROPERTY_MASTER!$A$5:$A$200&amp;"'!"&amp;SUBSTITUTE(ADDRESS(1,COLUMN(G$5)+1,4),"1","")&amp;$B20)),0))</f>
        <v>0</v>
      </c>
      <c r="H20" s="350">
        <f ca="1">SUMPRODUCT(IFERROR((DATA_PROPERTY_MASTER!$A$5:$A$200&lt;&gt;"")*IF($C20="Included source errors",--(DATA_PROPERTY_MASTER!$E$5:$E$200="Yes"),--(DATA_PROPERTY_MASTER!$E$5:$E$200&lt;&gt;"Yes"))*--ISERROR(INDIRECT("'"&amp;DATA_PROPERTY_MASTER!$A$5:$A$200&amp;"'!"&amp;SUBSTITUTE(ADDRESS(1,COLUMN(H$5)+1,4),"1","")&amp;$B20)),0))</f>
        <v>0</v>
      </c>
      <c r="I20" s="350">
        <f ca="1">SUMPRODUCT(IFERROR((DATA_PROPERTY_MASTER!$A$5:$A$200&lt;&gt;"")*IF($C20="Included source errors",--(DATA_PROPERTY_MASTER!$E$5:$E$200="Yes"),--(DATA_PROPERTY_MASTER!$E$5:$E$200&lt;&gt;"Yes"))*--ISERROR(INDIRECT("'"&amp;DATA_PROPERTY_MASTER!$A$5:$A$200&amp;"'!"&amp;SUBSTITUTE(ADDRESS(1,COLUMN(I$5)+1,4),"1","")&amp;$B20)),0))</f>
        <v>0</v>
      </c>
      <c r="J20" s="350">
        <f ca="1">SUMPRODUCT(IFERROR((DATA_PROPERTY_MASTER!$A$5:$A$200&lt;&gt;"")*IF($C20="Included source errors",--(DATA_PROPERTY_MASTER!$E$5:$E$200="Yes"),--(DATA_PROPERTY_MASTER!$E$5:$E$200&lt;&gt;"Yes"))*--ISERROR(INDIRECT("'"&amp;DATA_PROPERTY_MASTER!$A$5:$A$200&amp;"'!"&amp;SUBSTITUTE(ADDRESS(1,COLUMN(J$5)+1,4),"1","")&amp;$B20)),0))</f>
        <v>0</v>
      </c>
      <c r="K20" s="350">
        <f ca="1">SUMPRODUCT(IFERROR((DATA_PROPERTY_MASTER!$A$5:$A$200&lt;&gt;"")*IF($C20="Included source errors",--(DATA_PROPERTY_MASTER!$E$5:$E$200="Yes"),--(DATA_PROPERTY_MASTER!$E$5:$E$200&lt;&gt;"Yes"))*--ISERROR(INDIRECT("'"&amp;DATA_PROPERTY_MASTER!$A$5:$A$200&amp;"'!"&amp;SUBSTITUTE(ADDRESS(1,COLUMN(K$5)+1,4),"1","")&amp;$B20)),0))</f>
        <v>0</v>
      </c>
      <c r="L20" s="350">
        <f ca="1">SUMPRODUCT(IFERROR((DATA_PROPERTY_MASTER!$A$5:$A$200&lt;&gt;"")*IF($C20="Included source errors",--(DATA_PROPERTY_MASTER!$E$5:$E$200="Yes"),--(DATA_PROPERTY_MASTER!$E$5:$E$200&lt;&gt;"Yes"))*--ISERROR(INDIRECT("'"&amp;DATA_PROPERTY_MASTER!$A$5:$A$200&amp;"'!"&amp;SUBSTITUTE(ADDRESS(1,COLUMN(L$5)+1,4),"1","")&amp;$B20)),0))</f>
        <v>0</v>
      </c>
      <c r="M20" s="350">
        <f ca="1">SUMPRODUCT(IFERROR((DATA_PROPERTY_MASTER!$A$5:$A$200&lt;&gt;"")*IF($C20="Included source errors",--(DATA_PROPERTY_MASTER!$E$5:$E$200="Yes"),--(DATA_PROPERTY_MASTER!$E$5:$E$200&lt;&gt;"Yes"))*--ISERROR(INDIRECT("'"&amp;DATA_PROPERTY_MASTER!$A$5:$A$200&amp;"'!"&amp;SUBSTITUTE(ADDRESS(1,COLUMN(M$5)+1,4),"1","")&amp;$B20)),0))</f>
        <v>0</v>
      </c>
      <c r="N20" s="350">
        <f ca="1">SUMPRODUCT(IFERROR((DATA_PROPERTY_MASTER!$A$5:$A$200&lt;&gt;"")*IF($C20="Included source errors",--(DATA_PROPERTY_MASTER!$E$5:$E$200="Yes"),--(DATA_PROPERTY_MASTER!$E$5:$E$200&lt;&gt;"Yes"))*--ISERROR(INDIRECT("'"&amp;DATA_PROPERTY_MASTER!$A$5:$A$200&amp;"'!"&amp;SUBSTITUTE(ADDRESS(1,COLUMN(N$5)+1,4),"1","")&amp;$B20)),0))</f>
        <v>0</v>
      </c>
      <c r="O20" s="350">
        <f ca="1">SUMPRODUCT(IFERROR((DATA_PROPERTY_MASTER!$A$5:$A$200&lt;&gt;"")*IF($C20="Included source errors",--(DATA_PROPERTY_MASTER!$E$5:$E$200="Yes"),--(DATA_PROPERTY_MASTER!$E$5:$E$200&lt;&gt;"Yes"))*--ISERROR(INDIRECT("'"&amp;DATA_PROPERTY_MASTER!$A$5:$A$200&amp;"'!"&amp;SUBSTITUTE(ADDRESS(1,COLUMN(O$5)+1,4),"1","")&amp;$B20)),0))</f>
        <v>0</v>
      </c>
      <c r="P20" s="350">
        <f ca="1">SUMPRODUCT(IFERROR((DATA_PROPERTY_MASTER!$A$5:$A$200&lt;&gt;"")*IF($C20="Included source errors",--(DATA_PROPERTY_MASTER!$E$5:$E$200="Yes"),--(DATA_PROPERTY_MASTER!$E$5:$E$200&lt;&gt;"Yes"))*--ISERROR(INDIRECT("'"&amp;DATA_PROPERTY_MASTER!$A$5:$A$200&amp;"'!"&amp;SUBSTITUTE(ADDRESS(1,COLUMN(P$5)+1,4),"1","")&amp;$B20)),0))</f>
        <v>0</v>
      </c>
      <c r="Q20" s="350">
        <f ca="1">SUMPRODUCT(IFERROR((DATA_PROPERTY_MASTER!$A$5:$A$200&lt;&gt;"")*IF($C20="Included source errors",--(DATA_PROPERTY_MASTER!$E$5:$E$200="Yes"),--(DATA_PROPERTY_MASTER!$E$5:$E$200&lt;&gt;"Yes"))*--ISERROR(INDIRECT("'"&amp;DATA_PROPERTY_MASTER!$A$5:$A$200&amp;"'!"&amp;SUBSTITUTE(ADDRESS(1,COLUMN(Q$5)+1,4),"1","")&amp;$B20)),0))</f>
        <v>0</v>
      </c>
      <c r="R20" s="350">
        <f ca="1">SUMPRODUCT(IFERROR((DATA_PROPERTY_MASTER!$A$5:$A$200&lt;&gt;"")*IF($C20="Included source errors",--(DATA_PROPERTY_MASTER!$E$5:$E$200="Yes"),--(DATA_PROPERTY_MASTER!$E$5:$E$200&lt;&gt;"Yes"))*--ISERROR(INDIRECT("'"&amp;DATA_PROPERTY_MASTER!$A$5:$A$200&amp;"'!"&amp;SUBSTITUTE(ADDRESS(1,COLUMN(R$5)+1,4),"1","")&amp;$B20)),0))</f>
        <v>0</v>
      </c>
      <c r="S20" s="350">
        <f ca="1">SUMPRODUCT(IFERROR((DATA_PROPERTY_MASTER!$A$5:$A$200&lt;&gt;"")*IF($C20="Included source errors",--(DATA_PROPERTY_MASTER!$E$5:$E$200="Yes"),--(DATA_PROPERTY_MASTER!$E$5:$E$200&lt;&gt;"Yes"))*--ISERROR(INDIRECT("'"&amp;DATA_PROPERTY_MASTER!$A$5:$A$200&amp;"'!"&amp;SUBSTITUTE(ADDRESS(1,COLUMN(S$5)+1,4),"1","")&amp;$B20)),0))</f>
        <v>0</v>
      </c>
      <c r="T20" s="350">
        <f ca="1">SUMPRODUCT(IFERROR((DATA_PROPERTY_MASTER!$A$5:$A$200&lt;&gt;"")*IF($C20="Included source errors",--(DATA_PROPERTY_MASTER!$E$5:$E$200="Yes"),--(DATA_PROPERTY_MASTER!$E$5:$E$200&lt;&gt;"Yes"))*--ISERROR(INDIRECT("'"&amp;DATA_PROPERTY_MASTER!$A$5:$A$200&amp;"'!"&amp;SUBSTITUTE(ADDRESS(1,COLUMN(T$5)+1,4),"1","")&amp;$B20)),0))</f>
        <v>0</v>
      </c>
      <c r="U20" s="350">
        <f ca="1">SUMPRODUCT(IFERROR((DATA_PROPERTY_MASTER!$A$5:$A$200&lt;&gt;"")*IF($C20="Included source errors",--(DATA_PROPERTY_MASTER!$E$5:$E$200="Yes"),--(DATA_PROPERTY_MASTER!$E$5:$E$200&lt;&gt;"Yes"))*--ISERROR(INDIRECT("'"&amp;DATA_PROPERTY_MASTER!$A$5:$A$200&amp;"'!"&amp;SUBSTITUTE(ADDRESS(1,COLUMN(U$5)+1,4),"1","")&amp;$B20)),0))</f>
        <v>0</v>
      </c>
      <c r="V20" s="350">
        <f ca="1">SUMPRODUCT(IFERROR((DATA_PROPERTY_MASTER!$A$5:$A$200&lt;&gt;"")*IF($C20="Included source errors",--(DATA_PROPERTY_MASTER!$E$5:$E$200="Yes"),--(DATA_PROPERTY_MASTER!$E$5:$E$200&lt;&gt;"Yes"))*--ISERROR(INDIRECT("'"&amp;DATA_PROPERTY_MASTER!$A$5:$A$200&amp;"'!"&amp;SUBSTITUTE(ADDRESS(1,COLUMN(V$5)+1,4),"1","")&amp;$B20)),0))</f>
        <v>0</v>
      </c>
      <c r="W20" s="350">
        <f ca="1">SUMPRODUCT(IFERROR((DATA_PROPERTY_MASTER!$A$5:$A$200&lt;&gt;"")*IF($C20="Included source errors",--(DATA_PROPERTY_MASTER!$E$5:$E$200="Yes"),--(DATA_PROPERTY_MASTER!$E$5:$E$200&lt;&gt;"Yes"))*--ISERROR(INDIRECT("'"&amp;DATA_PROPERTY_MASTER!$A$5:$A$200&amp;"'!"&amp;SUBSTITUTE(ADDRESS(1,COLUMN(W$5)+1,4),"1","")&amp;$B20)),0))</f>
        <v>0</v>
      </c>
      <c r="X20" s="350">
        <f ca="1">SUMPRODUCT(IFERROR((DATA_PROPERTY_MASTER!$A$5:$A$200&lt;&gt;"")*IF($C20="Included source errors",--(DATA_PROPERTY_MASTER!$E$5:$E$200="Yes"),--(DATA_PROPERTY_MASTER!$E$5:$E$200&lt;&gt;"Yes"))*--ISERROR(INDIRECT("'"&amp;DATA_PROPERTY_MASTER!$A$5:$A$200&amp;"'!"&amp;SUBSTITUTE(ADDRESS(1,COLUMN(X$5)+1,4),"1","")&amp;$B20)),0))</f>
        <v>0</v>
      </c>
      <c r="Y20" s="350">
        <f t="shared" ca="1" si="0"/>
        <v>0</v>
      </c>
      <c r="Z20" s="382" t="s">
        <v>7467</v>
      </c>
    </row>
    <row r="21" spans="1:26" ht="30">
      <c r="A21" s="382" t="s">
        <v>340</v>
      </c>
      <c r="B21" s="382">
        <v>23</v>
      </c>
      <c r="C21" s="382" t="s">
        <v>1563</v>
      </c>
      <c r="D21" s="350">
        <f ca="1">SUMPRODUCT(IFERROR((DATA_PROPERTY_MASTER!$A$5:$A$200&lt;&gt;"")*IF($C21="Included source errors",--(DATA_PROPERTY_MASTER!$E$5:$E$200="Yes"),--(DATA_PROPERTY_MASTER!$E$5:$E$200&lt;&gt;"Yes"))*--ISERROR(INDIRECT("'"&amp;DATA_PROPERTY_MASTER!$A$5:$A$200&amp;"'!"&amp;SUBSTITUTE(ADDRESS(1,COLUMN(D$5)+1,4),"1","")&amp;$B21)),0))</f>
        <v>0</v>
      </c>
      <c r="E21" s="350">
        <f ca="1">SUMPRODUCT(IFERROR((DATA_PROPERTY_MASTER!$A$5:$A$200&lt;&gt;"")*IF($C21="Included source errors",--(DATA_PROPERTY_MASTER!$E$5:$E$200="Yes"),--(DATA_PROPERTY_MASTER!$E$5:$E$200&lt;&gt;"Yes"))*--ISERROR(INDIRECT("'"&amp;DATA_PROPERTY_MASTER!$A$5:$A$200&amp;"'!"&amp;SUBSTITUTE(ADDRESS(1,COLUMN(E$5)+1,4),"1","")&amp;$B21)),0))</f>
        <v>0</v>
      </c>
      <c r="F21" s="350">
        <f ca="1">SUMPRODUCT(IFERROR((DATA_PROPERTY_MASTER!$A$5:$A$200&lt;&gt;"")*IF($C21="Included source errors",--(DATA_PROPERTY_MASTER!$E$5:$E$200="Yes"),--(DATA_PROPERTY_MASTER!$E$5:$E$200&lt;&gt;"Yes"))*--ISERROR(INDIRECT("'"&amp;DATA_PROPERTY_MASTER!$A$5:$A$200&amp;"'!"&amp;SUBSTITUTE(ADDRESS(1,COLUMN(F$5)+1,4),"1","")&amp;$B21)),0))</f>
        <v>0</v>
      </c>
      <c r="G21" s="350">
        <f ca="1">SUMPRODUCT(IFERROR((DATA_PROPERTY_MASTER!$A$5:$A$200&lt;&gt;"")*IF($C21="Included source errors",--(DATA_PROPERTY_MASTER!$E$5:$E$200="Yes"),--(DATA_PROPERTY_MASTER!$E$5:$E$200&lt;&gt;"Yes"))*--ISERROR(INDIRECT("'"&amp;DATA_PROPERTY_MASTER!$A$5:$A$200&amp;"'!"&amp;SUBSTITUTE(ADDRESS(1,COLUMN(G$5)+1,4),"1","")&amp;$B21)),0))</f>
        <v>0</v>
      </c>
      <c r="H21" s="350">
        <f ca="1">SUMPRODUCT(IFERROR((DATA_PROPERTY_MASTER!$A$5:$A$200&lt;&gt;"")*IF($C21="Included source errors",--(DATA_PROPERTY_MASTER!$E$5:$E$200="Yes"),--(DATA_PROPERTY_MASTER!$E$5:$E$200&lt;&gt;"Yes"))*--ISERROR(INDIRECT("'"&amp;DATA_PROPERTY_MASTER!$A$5:$A$200&amp;"'!"&amp;SUBSTITUTE(ADDRESS(1,COLUMN(H$5)+1,4),"1","")&amp;$B21)),0))</f>
        <v>0</v>
      </c>
      <c r="I21" s="350">
        <f ca="1">SUMPRODUCT(IFERROR((DATA_PROPERTY_MASTER!$A$5:$A$200&lt;&gt;"")*IF($C21="Included source errors",--(DATA_PROPERTY_MASTER!$E$5:$E$200="Yes"),--(DATA_PROPERTY_MASTER!$E$5:$E$200&lt;&gt;"Yes"))*--ISERROR(INDIRECT("'"&amp;DATA_PROPERTY_MASTER!$A$5:$A$200&amp;"'!"&amp;SUBSTITUTE(ADDRESS(1,COLUMN(I$5)+1,4),"1","")&amp;$B21)),0))</f>
        <v>0</v>
      </c>
      <c r="J21" s="350">
        <f ca="1">SUMPRODUCT(IFERROR((DATA_PROPERTY_MASTER!$A$5:$A$200&lt;&gt;"")*IF($C21="Included source errors",--(DATA_PROPERTY_MASTER!$E$5:$E$200="Yes"),--(DATA_PROPERTY_MASTER!$E$5:$E$200&lt;&gt;"Yes"))*--ISERROR(INDIRECT("'"&amp;DATA_PROPERTY_MASTER!$A$5:$A$200&amp;"'!"&amp;SUBSTITUTE(ADDRESS(1,COLUMN(J$5)+1,4),"1","")&amp;$B21)),0))</f>
        <v>0</v>
      </c>
      <c r="K21" s="350">
        <f ca="1">SUMPRODUCT(IFERROR((DATA_PROPERTY_MASTER!$A$5:$A$200&lt;&gt;"")*IF($C21="Included source errors",--(DATA_PROPERTY_MASTER!$E$5:$E$200="Yes"),--(DATA_PROPERTY_MASTER!$E$5:$E$200&lt;&gt;"Yes"))*--ISERROR(INDIRECT("'"&amp;DATA_PROPERTY_MASTER!$A$5:$A$200&amp;"'!"&amp;SUBSTITUTE(ADDRESS(1,COLUMN(K$5)+1,4),"1","")&amp;$B21)),0))</f>
        <v>0</v>
      </c>
      <c r="L21" s="350">
        <f ca="1">SUMPRODUCT(IFERROR((DATA_PROPERTY_MASTER!$A$5:$A$200&lt;&gt;"")*IF($C21="Included source errors",--(DATA_PROPERTY_MASTER!$E$5:$E$200="Yes"),--(DATA_PROPERTY_MASTER!$E$5:$E$200&lt;&gt;"Yes"))*--ISERROR(INDIRECT("'"&amp;DATA_PROPERTY_MASTER!$A$5:$A$200&amp;"'!"&amp;SUBSTITUTE(ADDRESS(1,COLUMN(L$5)+1,4),"1","")&amp;$B21)),0))</f>
        <v>0</v>
      </c>
      <c r="M21" s="350">
        <f ca="1">SUMPRODUCT(IFERROR((DATA_PROPERTY_MASTER!$A$5:$A$200&lt;&gt;"")*IF($C21="Included source errors",--(DATA_PROPERTY_MASTER!$E$5:$E$200="Yes"),--(DATA_PROPERTY_MASTER!$E$5:$E$200&lt;&gt;"Yes"))*--ISERROR(INDIRECT("'"&amp;DATA_PROPERTY_MASTER!$A$5:$A$200&amp;"'!"&amp;SUBSTITUTE(ADDRESS(1,COLUMN(M$5)+1,4),"1","")&amp;$B21)),0))</f>
        <v>0</v>
      </c>
      <c r="N21" s="350">
        <f ca="1">SUMPRODUCT(IFERROR((DATA_PROPERTY_MASTER!$A$5:$A$200&lt;&gt;"")*IF($C21="Included source errors",--(DATA_PROPERTY_MASTER!$E$5:$E$200="Yes"),--(DATA_PROPERTY_MASTER!$E$5:$E$200&lt;&gt;"Yes"))*--ISERROR(INDIRECT("'"&amp;DATA_PROPERTY_MASTER!$A$5:$A$200&amp;"'!"&amp;SUBSTITUTE(ADDRESS(1,COLUMN(N$5)+1,4),"1","")&amp;$B21)),0))</f>
        <v>0</v>
      </c>
      <c r="O21" s="350">
        <f ca="1">SUMPRODUCT(IFERROR((DATA_PROPERTY_MASTER!$A$5:$A$200&lt;&gt;"")*IF($C21="Included source errors",--(DATA_PROPERTY_MASTER!$E$5:$E$200="Yes"),--(DATA_PROPERTY_MASTER!$E$5:$E$200&lt;&gt;"Yes"))*--ISERROR(INDIRECT("'"&amp;DATA_PROPERTY_MASTER!$A$5:$A$200&amp;"'!"&amp;SUBSTITUTE(ADDRESS(1,COLUMN(O$5)+1,4),"1","")&amp;$B21)),0))</f>
        <v>0</v>
      </c>
      <c r="P21" s="350">
        <f ca="1">SUMPRODUCT(IFERROR((DATA_PROPERTY_MASTER!$A$5:$A$200&lt;&gt;"")*IF($C21="Included source errors",--(DATA_PROPERTY_MASTER!$E$5:$E$200="Yes"),--(DATA_PROPERTY_MASTER!$E$5:$E$200&lt;&gt;"Yes"))*--ISERROR(INDIRECT("'"&amp;DATA_PROPERTY_MASTER!$A$5:$A$200&amp;"'!"&amp;SUBSTITUTE(ADDRESS(1,COLUMN(P$5)+1,4),"1","")&amp;$B21)),0))</f>
        <v>0</v>
      </c>
      <c r="Q21" s="350">
        <f ca="1">SUMPRODUCT(IFERROR((DATA_PROPERTY_MASTER!$A$5:$A$200&lt;&gt;"")*IF($C21="Included source errors",--(DATA_PROPERTY_MASTER!$E$5:$E$200="Yes"),--(DATA_PROPERTY_MASTER!$E$5:$E$200&lt;&gt;"Yes"))*--ISERROR(INDIRECT("'"&amp;DATA_PROPERTY_MASTER!$A$5:$A$200&amp;"'!"&amp;SUBSTITUTE(ADDRESS(1,COLUMN(Q$5)+1,4),"1","")&amp;$B21)),0))</f>
        <v>0</v>
      </c>
      <c r="R21" s="350">
        <f ca="1">SUMPRODUCT(IFERROR((DATA_PROPERTY_MASTER!$A$5:$A$200&lt;&gt;"")*IF($C21="Included source errors",--(DATA_PROPERTY_MASTER!$E$5:$E$200="Yes"),--(DATA_PROPERTY_MASTER!$E$5:$E$200&lt;&gt;"Yes"))*--ISERROR(INDIRECT("'"&amp;DATA_PROPERTY_MASTER!$A$5:$A$200&amp;"'!"&amp;SUBSTITUTE(ADDRESS(1,COLUMN(R$5)+1,4),"1","")&amp;$B21)),0))</f>
        <v>0</v>
      </c>
      <c r="S21" s="350">
        <f ca="1">SUMPRODUCT(IFERROR((DATA_PROPERTY_MASTER!$A$5:$A$200&lt;&gt;"")*IF($C21="Included source errors",--(DATA_PROPERTY_MASTER!$E$5:$E$200="Yes"),--(DATA_PROPERTY_MASTER!$E$5:$E$200&lt;&gt;"Yes"))*--ISERROR(INDIRECT("'"&amp;DATA_PROPERTY_MASTER!$A$5:$A$200&amp;"'!"&amp;SUBSTITUTE(ADDRESS(1,COLUMN(S$5)+1,4),"1","")&amp;$B21)),0))</f>
        <v>0</v>
      </c>
      <c r="T21" s="350">
        <f ca="1">SUMPRODUCT(IFERROR((DATA_PROPERTY_MASTER!$A$5:$A$200&lt;&gt;"")*IF($C21="Included source errors",--(DATA_PROPERTY_MASTER!$E$5:$E$200="Yes"),--(DATA_PROPERTY_MASTER!$E$5:$E$200&lt;&gt;"Yes"))*--ISERROR(INDIRECT("'"&amp;DATA_PROPERTY_MASTER!$A$5:$A$200&amp;"'!"&amp;SUBSTITUTE(ADDRESS(1,COLUMN(T$5)+1,4),"1","")&amp;$B21)),0))</f>
        <v>0</v>
      </c>
      <c r="U21" s="350">
        <f ca="1">SUMPRODUCT(IFERROR((DATA_PROPERTY_MASTER!$A$5:$A$200&lt;&gt;"")*IF($C21="Included source errors",--(DATA_PROPERTY_MASTER!$E$5:$E$200="Yes"),--(DATA_PROPERTY_MASTER!$E$5:$E$200&lt;&gt;"Yes"))*--ISERROR(INDIRECT("'"&amp;DATA_PROPERTY_MASTER!$A$5:$A$200&amp;"'!"&amp;SUBSTITUTE(ADDRESS(1,COLUMN(U$5)+1,4),"1","")&amp;$B21)),0))</f>
        <v>0</v>
      </c>
      <c r="V21" s="350">
        <f ca="1">SUMPRODUCT(IFERROR((DATA_PROPERTY_MASTER!$A$5:$A$200&lt;&gt;"")*IF($C21="Included source errors",--(DATA_PROPERTY_MASTER!$E$5:$E$200="Yes"),--(DATA_PROPERTY_MASTER!$E$5:$E$200&lt;&gt;"Yes"))*--ISERROR(INDIRECT("'"&amp;DATA_PROPERTY_MASTER!$A$5:$A$200&amp;"'!"&amp;SUBSTITUTE(ADDRESS(1,COLUMN(V$5)+1,4),"1","")&amp;$B21)),0))</f>
        <v>0</v>
      </c>
      <c r="W21" s="350">
        <f ca="1">SUMPRODUCT(IFERROR((DATA_PROPERTY_MASTER!$A$5:$A$200&lt;&gt;"")*IF($C21="Included source errors",--(DATA_PROPERTY_MASTER!$E$5:$E$200="Yes"),--(DATA_PROPERTY_MASTER!$E$5:$E$200&lt;&gt;"Yes"))*--ISERROR(INDIRECT("'"&amp;DATA_PROPERTY_MASTER!$A$5:$A$200&amp;"'!"&amp;SUBSTITUTE(ADDRESS(1,COLUMN(W$5)+1,4),"1","")&amp;$B21)),0))</f>
        <v>0</v>
      </c>
      <c r="X21" s="350">
        <f ca="1">SUMPRODUCT(IFERROR((DATA_PROPERTY_MASTER!$A$5:$A$200&lt;&gt;"")*IF($C21="Included source errors",--(DATA_PROPERTY_MASTER!$E$5:$E$200="Yes"),--(DATA_PROPERTY_MASTER!$E$5:$E$200&lt;&gt;"Yes"))*--ISERROR(INDIRECT("'"&amp;DATA_PROPERTY_MASTER!$A$5:$A$200&amp;"'!"&amp;SUBSTITUTE(ADDRESS(1,COLUMN(X$5)+1,4),"1","")&amp;$B21)),0))</f>
        <v>0</v>
      </c>
      <c r="Y21" s="350">
        <f t="shared" ca="1" si="0"/>
        <v>0</v>
      </c>
      <c r="Z21" s="382" t="s">
        <v>7467</v>
      </c>
    </row>
    <row r="22" spans="1:26" ht="30">
      <c r="A22" s="382" t="s">
        <v>343</v>
      </c>
      <c r="B22" s="382">
        <v>27</v>
      </c>
      <c r="C22" s="382" t="s">
        <v>1560</v>
      </c>
      <c r="D22" s="350">
        <f ca="1">SUMPRODUCT(IFERROR((DATA_PROPERTY_MASTER!$A$5:$A$200&lt;&gt;"")*IF($C22="Included source errors",--(DATA_PROPERTY_MASTER!$E$5:$E$200="Yes"),--(DATA_PROPERTY_MASTER!$E$5:$E$200&lt;&gt;"Yes"))*--ISERROR(INDIRECT("'"&amp;DATA_PROPERTY_MASTER!$A$5:$A$200&amp;"'!"&amp;SUBSTITUTE(ADDRESS(1,COLUMN(D$5)+1,4),"1","")&amp;$B22)),0))</f>
        <v>0</v>
      </c>
      <c r="E22" s="350">
        <f ca="1">SUMPRODUCT(IFERROR((DATA_PROPERTY_MASTER!$A$5:$A$200&lt;&gt;"")*IF($C22="Included source errors",--(DATA_PROPERTY_MASTER!$E$5:$E$200="Yes"),--(DATA_PROPERTY_MASTER!$E$5:$E$200&lt;&gt;"Yes"))*--ISERROR(INDIRECT("'"&amp;DATA_PROPERTY_MASTER!$A$5:$A$200&amp;"'!"&amp;SUBSTITUTE(ADDRESS(1,COLUMN(E$5)+1,4),"1","")&amp;$B22)),0))</f>
        <v>0</v>
      </c>
      <c r="F22" s="350">
        <f ca="1">SUMPRODUCT(IFERROR((DATA_PROPERTY_MASTER!$A$5:$A$200&lt;&gt;"")*IF($C22="Included source errors",--(DATA_PROPERTY_MASTER!$E$5:$E$200="Yes"),--(DATA_PROPERTY_MASTER!$E$5:$E$200&lt;&gt;"Yes"))*--ISERROR(INDIRECT("'"&amp;DATA_PROPERTY_MASTER!$A$5:$A$200&amp;"'!"&amp;SUBSTITUTE(ADDRESS(1,COLUMN(F$5)+1,4),"1","")&amp;$B22)),0))</f>
        <v>0</v>
      </c>
      <c r="G22" s="350">
        <f ca="1">SUMPRODUCT(IFERROR((DATA_PROPERTY_MASTER!$A$5:$A$200&lt;&gt;"")*IF($C22="Included source errors",--(DATA_PROPERTY_MASTER!$E$5:$E$200="Yes"),--(DATA_PROPERTY_MASTER!$E$5:$E$200&lt;&gt;"Yes"))*--ISERROR(INDIRECT("'"&amp;DATA_PROPERTY_MASTER!$A$5:$A$200&amp;"'!"&amp;SUBSTITUTE(ADDRESS(1,COLUMN(G$5)+1,4),"1","")&amp;$B22)),0))</f>
        <v>0</v>
      </c>
      <c r="H22" s="350">
        <f ca="1">SUMPRODUCT(IFERROR((DATA_PROPERTY_MASTER!$A$5:$A$200&lt;&gt;"")*IF($C22="Included source errors",--(DATA_PROPERTY_MASTER!$E$5:$E$200="Yes"),--(DATA_PROPERTY_MASTER!$E$5:$E$200&lt;&gt;"Yes"))*--ISERROR(INDIRECT("'"&amp;DATA_PROPERTY_MASTER!$A$5:$A$200&amp;"'!"&amp;SUBSTITUTE(ADDRESS(1,COLUMN(H$5)+1,4),"1","")&amp;$B22)),0))</f>
        <v>0</v>
      </c>
      <c r="I22" s="350">
        <f ca="1">SUMPRODUCT(IFERROR((DATA_PROPERTY_MASTER!$A$5:$A$200&lt;&gt;"")*IF($C22="Included source errors",--(DATA_PROPERTY_MASTER!$E$5:$E$200="Yes"),--(DATA_PROPERTY_MASTER!$E$5:$E$200&lt;&gt;"Yes"))*--ISERROR(INDIRECT("'"&amp;DATA_PROPERTY_MASTER!$A$5:$A$200&amp;"'!"&amp;SUBSTITUTE(ADDRESS(1,COLUMN(I$5)+1,4),"1","")&amp;$B22)),0))</f>
        <v>0</v>
      </c>
      <c r="J22" s="350">
        <f ca="1">SUMPRODUCT(IFERROR((DATA_PROPERTY_MASTER!$A$5:$A$200&lt;&gt;"")*IF($C22="Included source errors",--(DATA_PROPERTY_MASTER!$E$5:$E$200="Yes"),--(DATA_PROPERTY_MASTER!$E$5:$E$200&lt;&gt;"Yes"))*--ISERROR(INDIRECT("'"&amp;DATA_PROPERTY_MASTER!$A$5:$A$200&amp;"'!"&amp;SUBSTITUTE(ADDRESS(1,COLUMN(J$5)+1,4),"1","")&amp;$B22)),0))</f>
        <v>0</v>
      </c>
      <c r="K22" s="350">
        <f ca="1">SUMPRODUCT(IFERROR((DATA_PROPERTY_MASTER!$A$5:$A$200&lt;&gt;"")*IF($C22="Included source errors",--(DATA_PROPERTY_MASTER!$E$5:$E$200="Yes"),--(DATA_PROPERTY_MASTER!$E$5:$E$200&lt;&gt;"Yes"))*--ISERROR(INDIRECT("'"&amp;DATA_PROPERTY_MASTER!$A$5:$A$200&amp;"'!"&amp;SUBSTITUTE(ADDRESS(1,COLUMN(K$5)+1,4),"1","")&amp;$B22)),0))</f>
        <v>0</v>
      </c>
      <c r="L22" s="350">
        <f ca="1">SUMPRODUCT(IFERROR((DATA_PROPERTY_MASTER!$A$5:$A$200&lt;&gt;"")*IF($C22="Included source errors",--(DATA_PROPERTY_MASTER!$E$5:$E$200="Yes"),--(DATA_PROPERTY_MASTER!$E$5:$E$200&lt;&gt;"Yes"))*--ISERROR(INDIRECT("'"&amp;DATA_PROPERTY_MASTER!$A$5:$A$200&amp;"'!"&amp;SUBSTITUTE(ADDRESS(1,COLUMN(L$5)+1,4),"1","")&amp;$B22)),0))</f>
        <v>0</v>
      </c>
      <c r="M22" s="350">
        <f ca="1">SUMPRODUCT(IFERROR((DATA_PROPERTY_MASTER!$A$5:$A$200&lt;&gt;"")*IF($C22="Included source errors",--(DATA_PROPERTY_MASTER!$E$5:$E$200="Yes"),--(DATA_PROPERTY_MASTER!$E$5:$E$200&lt;&gt;"Yes"))*--ISERROR(INDIRECT("'"&amp;DATA_PROPERTY_MASTER!$A$5:$A$200&amp;"'!"&amp;SUBSTITUTE(ADDRESS(1,COLUMN(M$5)+1,4),"1","")&amp;$B22)),0))</f>
        <v>0</v>
      </c>
      <c r="N22" s="350">
        <f ca="1">SUMPRODUCT(IFERROR((DATA_PROPERTY_MASTER!$A$5:$A$200&lt;&gt;"")*IF($C22="Included source errors",--(DATA_PROPERTY_MASTER!$E$5:$E$200="Yes"),--(DATA_PROPERTY_MASTER!$E$5:$E$200&lt;&gt;"Yes"))*--ISERROR(INDIRECT("'"&amp;DATA_PROPERTY_MASTER!$A$5:$A$200&amp;"'!"&amp;SUBSTITUTE(ADDRESS(1,COLUMN(N$5)+1,4),"1","")&amp;$B22)),0))</f>
        <v>0</v>
      </c>
      <c r="O22" s="350">
        <f ca="1">SUMPRODUCT(IFERROR((DATA_PROPERTY_MASTER!$A$5:$A$200&lt;&gt;"")*IF($C22="Included source errors",--(DATA_PROPERTY_MASTER!$E$5:$E$200="Yes"),--(DATA_PROPERTY_MASTER!$E$5:$E$200&lt;&gt;"Yes"))*--ISERROR(INDIRECT("'"&amp;DATA_PROPERTY_MASTER!$A$5:$A$200&amp;"'!"&amp;SUBSTITUTE(ADDRESS(1,COLUMN(O$5)+1,4),"1","")&amp;$B22)),0))</f>
        <v>0</v>
      </c>
      <c r="P22" s="350">
        <f ca="1">SUMPRODUCT(IFERROR((DATA_PROPERTY_MASTER!$A$5:$A$200&lt;&gt;"")*IF($C22="Included source errors",--(DATA_PROPERTY_MASTER!$E$5:$E$200="Yes"),--(DATA_PROPERTY_MASTER!$E$5:$E$200&lt;&gt;"Yes"))*--ISERROR(INDIRECT("'"&amp;DATA_PROPERTY_MASTER!$A$5:$A$200&amp;"'!"&amp;SUBSTITUTE(ADDRESS(1,COLUMN(P$5)+1,4),"1","")&amp;$B22)),0))</f>
        <v>0</v>
      </c>
      <c r="Q22" s="350">
        <f ca="1">SUMPRODUCT(IFERROR((DATA_PROPERTY_MASTER!$A$5:$A$200&lt;&gt;"")*IF($C22="Included source errors",--(DATA_PROPERTY_MASTER!$E$5:$E$200="Yes"),--(DATA_PROPERTY_MASTER!$E$5:$E$200&lt;&gt;"Yes"))*--ISERROR(INDIRECT("'"&amp;DATA_PROPERTY_MASTER!$A$5:$A$200&amp;"'!"&amp;SUBSTITUTE(ADDRESS(1,COLUMN(Q$5)+1,4),"1","")&amp;$B22)),0))</f>
        <v>0</v>
      </c>
      <c r="R22" s="350">
        <f ca="1">SUMPRODUCT(IFERROR((DATA_PROPERTY_MASTER!$A$5:$A$200&lt;&gt;"")*IF($C22="Included source errors",--(DATA_PROPERTY_MASTER!$E$5:$E$200="Yes"),--(DATA_PROPERTY_MASTER!$E$5:$E$200&lt;&gt;"Yes"))*--ISERROR(INDIRECT("'"&amp;DATA_PROPERTY_MASTER!$A$5:$A$200&amp;"'!"&amp;SUBSTITUTE(ADDRESS(1,COLUMN(R$5)+1,4),"1","")&amp;$B22)),0))</f>
        <v>0</v>
      </c>
      <c r="S22" s="350">
        <f ca="1">SUMPRODUCT(IFERROR((DATA_PROPERTY_MASTER!$A$5:$A$200&lt;&gt;"")*IF($C22="Included source errors",--(DATA_PROPERTY_MASTER!$E$5:$E$200="Yes"),--(DATA_PROPERTY_MASTER!$E$5:$E$200&lt;&gt;"Yes"))*--ISERROR(INDIRECT("'"&amp;DATA_PROPERTY_MASTER!$A$5:$A$200&amp;"'!"&amp;SUBSTITUTE(ADDRESS(1,COLUMN(S$5)+1,4),"1","")&amp;$B22)),0))</f>
        <v>0</v>
      </c>
      <c r="T22" s="350">
        <f ca="1">SUMPRODUCT(IFERROR((DATA_PROPERTY_MASTER!$A$5:$A$200&lt;&gt;"")*IF($C22="Included source errors",--(DATA_PROPERTY_MASTER!$E$5:$E$200="Yes"),--(DATA_PROPERTY_MASTER!$E$5:$E$200&lt;&gt;"Yes"))*--ISERROR(INDIRECT("'"&amp;DATA_PROPERTY_MASTER!$A$5:$A$200&amp;"'!"&amp;SUBSTITUTE(ADDRESS(1,COLUMN(T$5)+1,4),"1","")&amp;$B22)),0))</f>
        <v>0</v>
      </c>
      <c r="U22" s="350">
        <f ca="1">SUMPRODUCT(IFERROR((DATA_PROPERTY_MASTER!$A$5:$A$200&lt;&gt;"")*IF($C22="Included source errors",--(DATA_PROPERTY_MASTER!$E$5:$E$200="Yes"),--(DATA_PROPERTY_MASTER!$E$5:$E$200&lt;&gt;"Yes"))*--ISERROR(INDIRECT("'"&amp;DATA_PROPERTY_MASTER!$A$5:$A$200&amp;"'!"&amp;SUBSTITUTE(ADDRESS(1,COLUMN(U$5)+1,4),"1","")&amp;$B22)),0))</f>
        <v>0</v>
      </c>
      <c r="V22" s="350">
        <f ca="1">SUMPRODUCT(IFERROR((DATA_PROPERTY_MASTER!$A$5:$A$200&lt;&gt;"")*IF($C22="Included source errors",--(DATA_PROPERTY_MASTER!$E$5:$E$200="Yes"),--(DATA_PROPERTY_MASTER!$E$5:$E$200&lt;&gt;"Yes"))*--ISERROR(INDIRECT("'"&amp;DATA_PROPERTY_MASTER!$A$5:$A$200&amp;"'!"&amp;SUBSTITUTE(ADDRESS(1,COLUMN(V$5)+1,4),"1","")&amp;$B22)),0))</f>
        <v>0</v>
      </c>
      <c r="W22" s="350">
        <f ca="1">SUMPRODUCT(IFERROR((DATA_PROPERTY_MASTER!$A$5:$A$200&lt;&gt;"")*IF($C22="Included source errors",--(DATA_PROPERTY_MASTER!$E$5:$E$200="Yes"),--(DATA_PROPERTY_MASTER!$E$5:$E$200&lt;&gt;"Yes"))*--ISERROR(INDIRECT("'"&amp;DATA_PROPERTY_MASTER!$A$5:$A$200&amp;"'!"&amp;SUBSTITUTE(ADDRESS(1,COLUMN(W$5)+1,4),"1","")&amp;$B22)),0))</f>
        <v>0</v>
      </c>
      <c r="X22" s="350">
        <f ca="1">SUMPRODUCT(IFERROR((DATA_PROPERTY_MASTER!$A$5:$A$200&lt;&gt;"")*IF($C22="Included source errors",--(DATA_PROPERTY_MASTER!$E$5:$E$200="Yes"),--(DATA_PROPERTY_MASTER!$E$5:$E$200&lt;&gt;"Yes"))*--ISERROR(INDIRECT("'"&amp;DATA_PROPERTY_MASTER!$A$5:$A$200&amp;"'!"&amp;SUBSTITUTE(ADDRESS(1,COLUMN(X$5)+1,4),"1","")&amp;$B22)),0))</f>
        <v>0</v>
      </c>
      <c r="Y22" s="350">
        <f t="shared" ca="1" si="0"/>
        <v>0</v>
      </c>
      <c r="Z22" s="382" t="s">
        <v>7467</v>
      </c>
    </row>
    <row r="23" spans="1:26" ht="30">
      <c r="A23" s="382" t="s">
        <v>343</v>
      </c>
      <c r="B23" s="382">
        <v>27</v>
      </c>
      <c r="C23" s="382" t="s">
        <v>1563</v>
      </c>
      <c r="D23" s="350">
        <f ca="1">SUMPRODUCT(IFERROR((DATA_PROPERTY_MASTER!$A$5:$A$200&lt;&gt;"")*IF($C23="Included source errors",--(DATA_PROPERTY_MASTER!$E$5:$E$200="Yes"),--(DATA_PROPERTY_MASTER!$E$5:$E$200&lt;&gt;"Yes"))*--ISERROR(INDIRECT("'"&amp;DATA_PROPERTY_MASTER!$A$5:$A$200&amp;"'!"&amp;SUBSTITUTE(ADDRESS(1,COLUMN(D$5)+1,4),"1","")&amp;$B23)),0))</f>
        <v>0</v>
      </c>
      <c r="E23" s="350">
        <f ca="1">SUMPRODUCT(IFERROR((DATA_PROPERTY_MASTER!$A$5:$A$200&lt;&gt;"")*IF($C23="Included source errors",--(DATA_PROPERTY_MASTER!$E$5:$E$200="Yes"),--(DATA_PROPERTY_MASTER!$E$5:$E$200&lt;&gt;"Yes"))*--ISERROR(INDIRECT("'"&amp;DATA_PROPERTY_MASTER!$A$5:$A$200&amp;"'!"&amp;SUBSTITUTE(ADDRESS(1,COLUMN(E$5)+1,4),"1","")&amp;$B23)),0))</f>
        <v>0</v>
      </c>
      <c r="F23" s="350">
        <f ca="1">SUMPRODUCT(IFERROR((DATA_PROPERTY_MASTER!$A$5:$A$200&lt;&gt;"")*IF($C23="Included source errors",--(DATA_PROPERTY_MASTER!$E$5:$E$200="Yes"),--(DATA_PROPERTY_MASTER!$E$5:$E$200&lt;&gt;"Yes"))*--ISERROR(INDIRECT("'"&amp;DATA_PROPERTY_MASTER!$A$5:$A$200&amp;"'!"&amp;SUBSTITUTE(ADDRESS(1,COLUMN(F$5)+1,4),"1","")&amp;$B23)),0))</f>
        <v>0</v>
      </c>
      <c r="G23" s="350">
        <f ca="1">SUMPRODUCT(IFERROR((DATA_PROPERTY_MASTER!$A$5:$A$200&lt;&gt;"")*IF($C23="Included source errors",--(DATA_PROPERTY_MASTER!$E$5:$E$200="Yes"),--(DATA_PROPERTY_MASTER!$E$5:$E$200&lt;&gt;"Yes"))*--ISERROR(INDIRECT("'"&amp;DATA_PROPERTY_MASTER!$A$5:$A$200&amp;"'!"&amp;SUBSTITUTE(ADDRESS(1,COLUMN(G$5)+1,4),"1","")&amp;$B23)),0))</f>
        <v>0</v>
      </c>
      <c r="H23" s="350">
        <f ca="1">SUMPRODUCT(IFERROR((DATA_PROPERTY_MASTER!$A$5:$A$200&lt;&gt;"")*IF($C23="Included source errors",--(DATA_PROPERTY_MASTER!$E$5:$E$200="Yes"),--(DATA_PROPERTY_MASTER!$E$5:$E$200&lt;&gt;"Yes"))*--ISERROR(INDIRECT("'"&amp;DATA_PROPERTY_MASTER!$A$5:$A$200&amp;"'!"&amp;SUBSTITUTE(ADDRESS(1,COLUMN(H$5)+1,4),"1","")&amp;$B23)),0))</f>
        <v>0</v>
      </c>
      <c r="I23" s="350">
        <f ca="1">SUMPRODUCT(IFERROR((DATA_PROPERTY_MASTER!$A$5:$A$200&lt;&gt;"")*IF($C23="Included source errors",--(DATA_PROPERTY_MASTER!$E$5:$E$200="Yes"),--(DATA_PROPERTY_MASTER!$E$5:$E$200&lt;&gt;"Yes"))*--ISERROR(INDIRECT("'"&amp;DATA_PROPERTY_MASTER!$A$5:$A$200&amp;"'!"&amp;SUBSTITUTE(ADDRESS(1,COLUMN(I$5)+1,4),"1","")&amp;$B23)),0))</f>
        <v>0</v>
      </c>
      <c r="J23" s="350">
        <f ca="1">SUMPRODUCT(IFERROR((DATA_PROPERTY_MASTER!$A$5:$A$200&lt;&gt;"")*IF($C23="Included source errors",--(DATA_PROPERTY_MASTER!$E$5:$E$200="Yes"),--(DATA_PROPERTY_MASTER!$E$5:$E$200&lt;&gt;"Yes"))*--ISERROR(INDIRECT("'"&amp;DATA_PROPERTY_MASTER!$A$5:$A$200&amp;"'!"&amp;SUBSTITUTE(ADDRESS(1,COLUMN(J$5)+1,4),"1","")&amp;$B23)),0))</f>
        <v>0</v>
      </c>
      <c r="K23" s="350">
        <f ca="1">SUMPRODUCT(IFERROR((DATA_PROPERTY_MASTER!$A$5:$A$200&lt;&gt;"")*IF($C23="Included source errors",--(DATA_PROPERTY_MASTER!$E$5:$E$200="Yes"),--(DATA_PROPERTY_MASTER!$E$5:$E$200&lt;&gt;"Yes"))*--ISERROR(INDIRECT("'"&amp;DATA_PROPERTY_MASTER!$A$5:$A$200&amp;"'!"&amp;SUBSTITUTE(ADDRESS(1,COLUMN(K$5)+1,4),"1","")&amp;$B23)),0))</f>
        <v>0</v>
      </c>
      <c r="L23" s="350">
        <f ca="1">SUMPRODUCT(IFERROR((DATA_PROPERTY_MASTER!$A$5:$A$200&lt;&gt;"")*IF($C23="Included source errors",--(DATA_PROPERTY_MASTER!$E$5:$E$200="Yes"),--(DATA_PROPERTY_MASTER!$E$5:$E$200&lt;&gt;"Yes"))*--ISERROR(INDIRECT("'"&amp;DATA_PROPERTY_MASTER!$A$5:$A$200&amp;"'!"&amp;SUBSTITUTE(ADDRESS(1,COLUMN(L$5)+1,4),"1","")&amp;$B23)),0))</f>
        <v>0</v>
      </c>
      <c r="M23" s="350">
        <f ca="1">SUMPRODUCT(IFERROR((DATA_PROPERTY_MASTER!$A$5:$A$200&lt;&gt;"")*IF($C23="Included source errors",--(DATA_PROPERTY_MASTER!$E$5:$E$200="Yes"),--(DATA_PROPERTY_MASTER!$E$5:$E$200&lt;&gt;"Yes"))*--ISERROR(INDIRECT("'"&amp;DATA_PROPERTY_MASTER!$A$5:$A$200&amp;"'!"&amp;SUBSTITUTE(ADDRESS(1,COLUMN(M$5)+1,4),"1","")&amp;$B23)),0))</f>
        <v>0</v>
      </c>
      <c r="N23" s="350">
        <f ca="1">SUMPRODUCT(IFERROR((DATA_PROPERTY_MASTER!$A$5:$A$200&lt;&gt;"")*IF($C23="Included source errors",--(DATA_PROPERTY_MASTER!$E$5:$E$200="Yes"),--(DATA_PROPERTY_MASTER!$E$5:$E$200&lt;&gt;"Yes"))*--ISERROR(INDIRECT("'"&amp;DATA_PROPERTY_MASTER!$A$5:$A$200&amp;"'!"&amp;SUBSTITUTE(ADDRESS(1,COLUMN(N$5)+1,4),"1","")&amp;$B23)),0))</f>
        <v>0</v>
      </c>
      <c r="O23" s="350">
        <f ca="1">SUMPRODUCT(IFERROR((DATA_PROPERTY_MASTER!$A$5:$A$200&lt;&gt;"")*IF($C23="Included source errors",--(DATA_PROPERTY_MASTER!$E$5:$E$200="Yes"),--(DATA_PROPERTY_MASTER!$E$5:$E$200&lt;&gt;"Yes"))*--ISERROR(INDIRECT("'"&amp;DATA_PROPERTY_MASTER!$A$5:$A$200&amp;"'!"&amp;SUBSTITUTE(ADDRESS(1,COLUMN(O$5)+1,4),"1","")&amp;$B23)),0))</f>
        <v>0</v>
      </c>
      <c r="P23" s="350">
        <f ca="1">SUMPRODUCT(IFERROR((DATA_PROPERTY_MASTER!$A$5:$A$200&lt;&gt;"")*IF($C23="Included source errors",--(DATA_PROPERTY_MASTER!$E$5:$E$200="Yes"),--(DATA_PROPERTY_MASTER!$E$5:$E$200&lt;&gt;"Yes"))*--ISERROR(INDIRECT("'"&amp;DATA_PROPERTY_MASTER!$A$5:$A$200&amp;"'!"&amp;SUBSTITUTE(ADDRESS(1,COLUMN(P$5)+1,4),"1","")&amp;$B23)),0))</f>
        <v>0</v>
      </c>
      <c r="Q23" s="350">
        <f ca="1">SUMPRODUCT(IFERROR((DATA_PROPERTY_MASTER!$A$5:$A$200&lt;&gt;"")*IF($C23="Included source errors",--(DATA_PROPERTY_MASTER!$E$5:$E$200="Yes"),--(DATA_PROPERTY_MASTER!$E$5:$E$200&lt;&gt;"Yes"))*--ISERROR(INDIRECT("'"&amp;DATA_PROPERTY_MASTER!$A$5:$A$200&amp;"'!"&amp;SUBSTITUTE(ADDRESS(1,COLUMN(Q$5)+1,4),"1","")&amp;$B23)),0))</f>
        <v>0</v>
      </c>
      <c r="R23" s="350">
        <f ca="1">SUMPRODUCT(IFERROR((DATA_PROPERTY_MASTER!$A$5:$A$200&lt;&gt;"")*IF($C23="Included source errors",--(DATA_PROPERTY_MASTER!$E$5:$E$200="Yes"),--(DATA_PROPERTY_MASTER!$E$5:$E$200&lt;&gt;"Yes"))*--ISERROR(INDIRECT("'"&amp;DATA_PROPERTY_MASTER!$A$5:$A$200&amp;"'!"&amp;SUBSTITUTE(ADDRESS(1,COLUMN(R$5)+1,4),"1","")&amp;$B23)),0))</f>
        <v>0</v>
      </c>
      <c r="S23" s="350">
        <f ca="1">SUMPRODUCT(IFERROR((DATA_PROPERTY_MASTER!$A$5:$A$200&lt;&gt;"")*IF($C23="Included source errors",--(DATA_PROPERTY_MASTER!$E$5:$E$200="Yes"),--(DATA_PROPERTY_MASTER!$E$5:$E$200&lt;&gt;"Yes"))*--ISERROR(INDIRECT("'"&amp;DATA_PROPERTY_MASTER!$A$5:$A$200&amp;"'!"&amp;SUBSTITUTE(ADDRESS(1,COLUMN(S$5)+1,4),"1","")&amp;$B23)),0))</f>
        <v>0</v>
      </c>
      <c r="T23" s="350">
        <f ca="1">SUMPRODUCT(IFERROR((DATA_PROPERTY_MASTER!$A$5:$A$200&lt;&gt;"")*IF($C23="Included source errors",--(DATA_PROPERTY_MASTER!$E$5:$E$200="Yes"),--(DATA_PROPERTY_MASTER!$E$5:$E$200&lt;&gt;"Yes"))*--ISERROR(INDIRECT("'"&amp;DATA_PROPERTY_MASTER!$A$5:$A$200&amp;"'!"&amp;SUBSTITUTE(ADDRESS(1,COLUMN(T$5)+1,4),"1","")&amp;$B23)),0))</f>
        <v>0</v>
      </c>
      <c r="U23" s="350">
        <f ca="1">SUMPRODUCT(IFERROR((DATA_PROPERTY_MASTER!$A$5:$A$200&lt;&gt;"")*IF($C23="Included source errors",--(DATA_PROPERTY_MASTER!$E$5:$E$200="Yes"),--(DATA_PROPERTY_MASTER!$E$5:$E$200&lt;&gt;"Yes"))*--ISERROR(INDIRECT("'"&amp;DATA_PROPERTY_MASTER!$A$5:$A$200&amp;"'!"&amp;SUBSTITUTE(ADDRESS(1,COLUMN(U$5)+1,4),"1","")&amp;$B23)),0))</f>
        <v>0</v>
      </c>
      <c r="V23" s="350">
        <f ca="1">SUMPRODUCT(IFERROR((DATA_PROPERTY_MASTER!$A$5:$A$200&lt;&gt;"")*IF($C23="Included source errors",--(DATA_PROPERTY_MASTER!$E$5:$E$200="Yes"),--(DATA_PROPERTY_MASTER!$E$5:$E$200&lt;&gt;"Yes"))*--ISERROR(INDIRECT("'"&amp;DATA_PROPERTY_MASTER!$A$5:$A$200&amp;"'!"&amp;SUBSTITUTE(ADDRESS(1,COLUMN(V$5)+1,4),"1","")&amp;$B23)),0))</f>
        <v>0</v>
      </c>
      <c r="W23" s="350">
        <f ca="1">SUMPRODUCT(IFERROR((DATA_PROPERTY_MASTER!$A$5:$A$200&lt;&gt;"")*IF($C23="Included source errors",--(DATA_PROPERTY_MASTER!$E$5:$E$200="Yes"),--(DATA_PROPERTY_MASTER!$E$5:$E$200&lt;&gt;"Yes"))*--ISERROR(INDIRECT("'"&amp;DATA_PROPERTY_MASTER!$A$5:$A$200&amp;"'!"&amp;SUBSTITUTE(ADDRESS(1,COLUMN(W$5)+1,4),"1","")&amp;$B23)),0))</f>
        <v>0</v>
      </c>
      <c r="X23" s="350">
        <f ca="1">SUMPRODUCT(IFERROR((DATA_PROPERTY_MASTER!$A$5:$A$200&lt;&gt;"")*IF($C23="Included source errors",--(DATA_PROPERTY_MASTER!$E$5:$E$200="Yes"),--(DATA_PROPERTY_MASTER!$E$5:$E$200&lt;&gt;"Yes"))*--ISERROR(INDIRECT("'"&amp;DATA_PROPERTY_MASTER!$A$5:$A$200&amp;"'!"&amp;SUBSTITUTE(ADDRESS(1,COLUMN(X$5)+1,4),"1","")&amp;$B23)),0))</f>
        <v>0</v>
      </c>
      <c r="Y23" s="350">
        <f t="shared" ca="1" si="0"/>
        <v>0</v>
      </c>
      <c r="Z23" s="382" t="s">
        <v>7467</v>
      </c>
    </row>
    <row r="24" spans="1:26" ht="30">
      <c r="A24" s="382" t="s">
        <v>344</v>
      </c>
      <c r="B24" s="382">
        <v>28</v>
      </c>
      <c r="C24" s="382" t="s">
        <v>1560</v>
      </c>
      <c r="D24" s="350">
        <f ca="1">SUMPRODUCT(IFERROR((DATA_PROPERTY_MASTER!$A$5:$A$200&lt;&gt;"")*IF($C24="Included source errors",--(DATA_PROPERTY_MASTER!$E$5:$E$200="Yes"),--(DATA_PROPERTY_MASTER!$E$5:$E$200&lt;&gt;"Yes"))*--ISERROR(INDIRECT("'"&amp;DATA_PROPERTY_MASTER!$A$5:$A$200&amp;"'!"&amp;SUBSTITUTE(ADDRESS(1,COLUMN(D$5)+1,4),"1","")&amp;$B24)),0))</f>
        <v>0</v>
      </c>
      <c r="E24" s="350">
        <f ca="1">SUMPRODUCT(IFERROR((DATA_PROPERTY_MASTER!$A$5:$A$200&lt;&gt;"")*IF($C24="Included source errors",--(DATA_PROPERTY_MASTER!$E$5:$E$200="Yes"),--(DATA_PROPERTY_MASTER!$E$5:$E$200&lt;&gt;"Yes"))*--ISERROR(INDIRECT("'"&amp;DATA_PROPERTY_MASTER!$A$5:$A$200&amp;"'!"&amp;SUBSTITUTE(ADDRESS(1,COLUMN(E$5)+1,4),"1","")&amp;$B24)),0))</f>
        <v>0</v>
      </c>
      <c r="F24" s="350">
        <f ca="1">SUMPRODUCT(IFERROR((DATA_PROPERTY_MASTER!$A$5:$A$200&lt;&gt;"")*IF($C24="Included source errors",--(DATA_PROPERTY_MASTER!$E$5:$E$200="Yes"),--(DATA_PROPERTY_MASTER!$E$5:$E$200&lt;&gt;"Yes"))*--ISERROR(INDIRECT("'"&amp;DATA_PROPERTY_MASTER!$A$5:$A$200&amp;"'!"&amp;SUBSTITUTE(ADDRESS(1,COLUMN(F$5)+1,4),"1","")&amp;$B24)),0))</f>
        <v>0</v>
      </c>
      <c r="G24" s="350">
        <f ca="1">SUMPRODUCT(IFERROR((DATA_PROPERTY_MASTER!$A$5:$A$200&lt;&gt;"")*IF($C24="Included source errors",--(DATA_PROPERTY_MASTER!$E$5:$E$200="Yes"),--(DATA_PROPERTY_MASTER!$E$5:$E$200&lt;&gt;"Yes"))*--ISERROR(INDIRECT("'"&amp;DATA_PROPERTY_MASTER!$A$5:$A$200&amp;"'!"&amp;SUBSTITUTE(ADDRESS(1,COLUMN(G$5)+1,4),"1","")&amp;$B24)),0))</f>
        <v>0</v>
      </c>
      <c r="H24" s="350">
        <f ca="1">SUMPRODUCT(IFERROR((DATA_PROPERTY_MASTER!$A$5:$A$200&lt;&gt;"")*IF($C24="Included source errors",--(DATA_PROPERTY_MASTER!$E$5:$E$200="Yes"),--(DATA_PROPERTY_MASTER!$E$5:$E$200&lt;&gt;"Yes"))*--ISERROR(INDIRECT("'"&amp;DATA_PROPERTY_MASTER!$A$5:$A$200&amp;"'!"&amp;SUBSTITUTE(ADDRESS(1,COLUMN(H$5)+1,4),"1","")&amp;$B24)),0))</f>
        <v>0</v>
      </c>
      <c r="I24" s="350">
        <f ca="1">SUMPRODUCT(IFERROR((DATA_PROPERTY_MASTER!$A$5:$A$200&lt;&gt;"")*IF($C24="Included source errors",--(DATA_PROPERTY_MASTER!$E$5:$E$200="Yes"),--(DATA_PROPERTY_MASTER!$E$5:$E$200&lt;&gt;"Yes"))*--ISERROR(INDIRECT("'"&amp;DATA_PROPERTY_MASTER!$A$5:$A$200&amp;"'!"&amp;SUBSTITUTE(ADDRESS(1,COLUMN(I$5)+1,4),"1","")&amp;$B24)),0))</f>
        <v>0</v>
      </c>
      <c r="J24" s="350">
        <f ca="1">SUMPRODUCT(IFERROR((DATA_PROPERTY_MASTER!$A$5:$A$200&lt;&gt;"")*IF($C24="Included source errors",--(DATA_PROPERTY_MASTER!$E$5:$E$200="Yes"),--(DATA_PROPERTY_MASTER!$E$5:$E$200&lt;&gt;"Yes"))*--ISERROR(INDIRECT("'"&amp;DATA_PROPERTY_MASTER!$A$5:$A$200&amp;"'!"&amp;SUBSTITUTE(ADDRESS(1,COLUMN(J$5)+1,4),"1","")&amp;$B24)),0))</f>
        <v>0</v>
      </c>
      <c r="K24" s="350">
        <f ca="1">SUMPRODUCT(IFERROR((DATA_PROPERTY_MASTER!$A$5:$A$200&lt;&gt;"")*IF($C24="Included source errors",--(DATA_PROPERTY_MASTER!$E$5:$E$200="Yes"),--(DATA_PROPERTY_MASTER!$E$5:$E$200&lt;&gt;"Yes"))*--ISERROR(INDIRECT("'"&amp;DATA_PROPERTY_MASTER!$A$5:$A$200&amp;"'!"&amp;SUBSTITUTE(ADDRESS(1,COLUMN(K$5)+1,4),"1","")&amp;$B24)),0))</f>
        <v>0</v>
      </c>
      <c r="L24" s="350">
        <f ca="1">SUMPRODUCT(IFERROR((DATA_PROPERTY_MASTER!$A$5:$A$200&lt;&gt;"")*IF($C24="Included source errors",--(DATA_PROPERTY_MASTER!$E$5:$E$200="Yes"),--(DATA_PROPERTY_MASTER!$E$5:$E$200&lt;&gt;"Yes"))*--ISERROR(INDIRECT("'"&amp;DATA_PROPERTY_MASTER!$A$5:$A$200&amp;"'!"&amp;SUBSTITUTE(ADDRESS(1,COLUMN(L$5)+1,4),"1","")&amp;$B24)),0))</f>
        <v>0</v>
      </c>
      <c r="M24" s="350">
        <f ca="1">SUMPRODUCT(IFERROR((DATA_PROPERTY_MASTER!$A$5:$A$200&lt;&gt;"")*IF($C24="Included source errors",--(DATA_PROPERTY_MASTER!$E$5:$E$200="Yes"),--(DATA_PROPERTY_MASTER!$E$5:$E$200&lt;&gt;"Yes"))*--ISERROR(INDIRECT("'"&amp;DATA_PROPERTY_MASTER!$A$5:$A$200&amp;"'!"&amp;SUBSTITUTE(ADDRESS(1,COLUMN(M$5)+1,4),"1","")&amp;$B24)),0))</f>
        <v>0</v>
      </c>
      <c r="N24" s="350">
        <f ca="1">SUMPRODUCT(IFERROR((DATA_PROPERTY_MASTER!$A$5:$A$200&lt;&gt;"")*IF($C24="Included source errors",--(DATA_PROPERTY_MASTER!$E$5:$E$200="Yes"),--(DATA_PROPERTY_MASTER!$E$5:$E$200&lt;&gt;"Yes"))*--ISERROR(INDIRECT("'"&amp;DATA_PROPERTY_MASTER!$A$5:$A$200&amp;"'!"&amp;SUBSTITUTE(ADDRESS(1,COLUMN(N$5)+1,4),"1","")&amp;$B24)),0))</f>
        <v>0</v>
      </c>
      <c r="O24" s="350">
        <f ca="1">SUMPRODUCT(IFERROR((DATA_PROPERTY_MASTER!$A$5:$A$200&lt;&gt;"")*IF($C24="Included source errors",--(DATA_PROPERTY_MASTER!$E$5:$E$200="Yes"),--(DATA_PROPERTY_MASTER!$E$5:$E$200&lt;&gt;"Yes"))*--ISERROR(INDIRECT("'"&amp;DATA_PROPERTY_MASTER!$A$5:$A$200&amp;"'!"&amp;SUBSTITUTE(ADDRESS(1,COLUMN(O$5)+1,4),"1","")&amp;$B24)),0))</f>
        <v>0</v>
      </c>
      <c r="P24" s="350">
        <f ca="1">SUMPRODUCT(IFERROR((DATA_PROPERTY_MASTER!$A$5:$A$200&lt;&gt;"")*IF($C24="Included source errors",--(DATA_PROPERTY_MASTER!$E$5:$E$200="Yes"),--(DATA_PROPERTY_MASTER!$E$5:$E$200&lt;&gt;"Yes"))*--ISERROR(INDIRECT("'"&amp;DATA_PROPERTY_MASTER!$A$5:$A$200&amp;"'!"&amp;SUBSTITUTE(ADDRESS(1,COLUMN(P$5)+1,4),"1","")&amp;$B24)),0))</f>
        <v>0</v>
      </c>
      <c r="Q24" s="350">
        <f ca="1">SUMPRODUCT(IFERROR((DATA_PROPERTY_MASTER!$A$5:$A$200&lt;&gt;"")*IF($C24="Included source errors",--(DATA_PROPERTY_MASTER!$E$5:$E$200="Yes"),--(DATA_PROPERTY_MASTER!$E$5:$E$200&lt;&gt;"Yes"))*--ISERROR(INDIRECT("'"&amp;DATA_PROPERTY_MASTER!$A$5:$A$200&amp;"'!"&amp;SUBSTITUTE(ADDRESS(1,COLUMN(Q$5)+1,4),"1","")&amp;$B24)),0))</f>
        <v>0</v>
      </c>
      <c r="R24" s="350">
        <f ca="1">SUMPRODUCT(IFERROR((DATA_PROPERTY_MASTER!$A$5:$A$200&lt;&gt;"")*IF($C24="Included source errors",--(DATA_PROPERTY_MASTER!$E$5:$E$200="Yes"),--(DATA_PROPERTY_MASTER!$E$5:$E$200&lt;&gt;"Yes"))*--ISERROR(INDIRECT("'"&amp;DATA_PROPERTY_MASTER!$A$5:$A$200&amp;"'!"&amp;SUBSTITUTE(ADDRESS(1,COLUMN(R$5)+1,4),"1","")&amp;$B24)),0))</f>
        <v>0</v>
      </c>
      <c r="S24" s="350">
        <f ca="1">SUMPRODUCT(IFERROR((DATA_PROPERTY_MASTER!$A$5:$A$200&lt;&gt;"")*IF($C24="Included source errors",--(DATA_PROPERTY_MASTER!$E$5:$E$200="Yes"),--(DATA_PROPERTY_MASTER!$E$5:$E$200&lt;&gt;"Yes"))*--ISERROR(INDIRECT("'"&amp;DATA_PROPERTY_MASTER!$A$5:$A$200&amp;"'!"&amp;SUBSTITUTE(ADDRESS(1,COLUMN(S$5)+1,4),"1","")&amp;$B24)),0))</f>
        <v>0</v>
      </c>
      <c r="T24" s="350">
        <f ca="1">SUMPRODUCT(IFERROR((DATA_PROPERTY_MASTER!$A$5:$A$200&lt;&gt;"")*IF($C24="Included source errors",--(DATA_PROPERTY_MASTER!$E$5:$E$200="Yes"),--(DATA_PROPERTY_MASTER!$E$5:$E$200&lt;&gt;"Yes"))*--ISERROR(INDIRECT("'"&amp;DATA_PROPERTY_MASTER!$A$5:$A$200&amp;"'!"&amp;SUBSTITUTE(ADDRESS(1,COLUMN(T$5)+1,4),"1","")&amp;$B24)),0))</f>
        <v>0</v>
      </c>
      <c r="U24" s="350">
        <f ca="1">SUMPRODUCT(IFERROR((DATA_PROPERTY_MASTER!$A$5:$A$200&lt;&gt;"")*IF($C24="Included source errors",--(DATA_PROPERTY_MASTER!$E$5:$E$200="Yes"),--(DATA_PROPERTY_MASTER!$E$5:$E$200&lt;&gt;"Yes"))*--ISERROR(INDIRECT("'"&amp;DATA_PROPERTY_MASTER!$A$5:$A$200&amp;"'!"&amp;SUBSTITUTE(ADDRESS(1,COLUMN(U$5)+1,4),"1","")&amp;$B24)),0))</f>
        <v>0</v>
      </c>
      <c r="V24" s="350">
        <f ca="1">SUMPRODUCT(IFERROR((DATA_PROPERTY_MASTER!$A$5:$A$200&lt;&gt;"")*IF($C24="Included source errors",--(DATA_PROPERTY_MASTER!$E$5:$E$200="Yes"),--(DATA_PROPERTY_MASTER!$E$5:$E$200&lt;&gt;"Yes"))*--ISERROR(INDIRECT("'"&amp;DATA_PROPERTY_MASTER!$A$5:$A$200&amp;"'!"&amp;SUBSTITUTE(ADDRESS(1,COLUMN(V$5)+1,4),"1","")&amp;$B24)),0))</f>
        <v>0</v>
      </c>
      <c r="W24" s="350">
        <f ca="1">SUMPRODUCT(IFERROR((DATA_PROPERTY_MASTER!$A$5:$A$200&lt;&gt;"")*IF($C24="Included source errors",--(DATA_PROPERTY_MASTER!$E$5:$E$200="Yes"),--(DATA_PROPERTY_MASTER!$E$5:$E$200&lt;&gt;"Yes"))*--ISERROR(INDIRECT("'"&amp;DATA_PROPERTY_MASTER!$A$5:$A$200&amp;"'!"&amp;SUBSTITUTE(ADDRESS(1,COLUMN(W$5)+1,4),"1","")&amp;$B24)),0))</f>
        <v>0</v>
      </c>
      <c r="X24" s="350">
        <f ca="1">SUMPRODUCT(IFERROR((DATA_PROPERTY_MASTER!$A$5:$A$200&lt;&gt;"")*IF($C24="Included source errors",--(DATA_PROPERTY_MASTER!$E$5:$E$200="Yes"),--(DATA_PROPERTY_MASTER!$E$5:$E$200&lt;&gt;"Yes"))*--ISERROR(INDIRECT("'"&amp;DATA_PROPERTY_MASTER!$A$5:$A$200&amp;"'!"&amp;SUBSTITUTE(ADDRESS(1,COLUMN(X$5)+1,4),"1","")&amp;$B24)),0))</f>
        <v>0</v>
      </c>
      <c r="Y24" s="350">
        <f t="shared" ca="1" si="0"/>
        <v>0</v>
      </c>
      <c r="Z24" s="382" t="s">
        <v>7467</v>
      </c>
    </row>
    <row r="25" spans="1:26" ht="30">
      <c r="A25" s="382" t="s">
        <v>344</v>
      </c>
      <c r="B25" s="382">
        <v>28</v>
      </c>
      <c r="C25" s="382" t="s">
        <v>1563</v>
      </c>
      <c r="D25" s="350">
        <f ca="1">SUMPRODUCT(IFERROR((DATA_PROPERTY_MASTER!$A$5:$A$200&lt;&gt;"")*IF($C25="Included source errors",--(DATA_PROPERTY_MASTER!$E$5:$E$200="Yes"),--(DATA_PROPERTY_MASTER!$E$5:$E$200&lt;&gt;"Yes"))*--ISERROR(INDIRECT("'"&amp;DATA_PROPERTY_MASTER!$A$5:$A$200&amp;"'!"&amp;SUBSTITUTE(ADDRESS(1,COLUMN(D$5)+1,4),"1","")&amp;$B25)),0))</f>
        <v>0</v>
      </c>
      <c r="E25" s="350">
        <f ca="1">SUMPRODUCT(IFERROR((DATA_PROPERTY_MASTER!$A$5:$A$200&lt;&gt;"")*IF($C25="Included source errors",--(DATA_PROPERTY_MASTER!$E$5:$E$200="Yes"),--(DATA_PROPERTY_MASTER!$E$5:$E$200&lt;&gt;"Yes"))*--ISERROR(INDIRECT("'"&amp;DATA_PROPERTY_MASTER!$A$5:$A$200&amp;"'!"&amp;SUBSTITUTE(ADDRESS(1,COLUMN(E$5)+1,4),"1","")&amp;$B25)),0))</f>
        <v>0</v>
      </c>
      <c r="F25" s="350">
        <f ca="1">SUMPRODUCT(IFERROR((DATA_PROPERTY_MASTER!$A$5:$A$200&lt;&gt;"")*IF($C25="Included source errors",--(DATA_PROPERTY_MASTER!$E$5:$E$200="Yes"),--(DATA_PROPERTY_MASTER!$E$5:$E$200&lt;&gt;"Yes"))*--ISERROR(INDIRECT("'"&amp;DATA_PROPERTY_MASTER!$A$5:$A$200&amp;"'!"&amp;SUBSTITUTE(ADDRESS(1,COLUMN(F$5)+1,4),"1","")&amp;$B25)),0))</f>
        <v>0</v>
      </c>
      <c r="G25" s="350">
        <f ca="1">SUMPRODUCT(IFERROR((DATA_PROPERTY_MASTER!$A$5:$A$200&lt;&gt;"")*IF($C25="Included source errors",--(DATA_PROPERTY_MASTER!$E$5:$E$200="Yes"),--(DATA_PROPERTY_MASTER!$E$5:$E$200&lt;&gt;"Yes"))*--ISERROR(INDIRECT("'"&amp;DATA_PROPERTY_MASTER!$A$5:$A$200&amp;"'!"&amp;SUBSTITUTE(ADDRESS(1,COLUMN(G$5)+1,4),"1","")&amp;$B25)),0))</f>
        <v>0</v>
      </c>
      <c r="H25" s="350">
        <f ca="1">SUMPRODUCT(IFERROR((DATA_PROPERTY_MASTER!$A$5:$A$200&lt;&gt;"")*IF($C25="Included source errors",--(DATA_PROPERTY_MASTER!$E$5:$E$200="Yes"),--(DATA_PROPERTY_MASTER!$E$5:$E$200&lt;&gt;"Yes"))*--ISERROR(INDIRECT("'"&amp;DATA_PROPERTY_MASTER!$A$5:$A$200&amp;"'!"&amp;SUBSTITUTE(ADDRESS(1,COLUMN(H$5)+1,4),"1","")&amp;$B25)),0))</f>
        <v>0</v>
      </c>
      <c r="I25" s="350">
        <f ca="1">SUMPRODUCT(IFERROR((DATA_PROPERTY_MASTER!$A$5:$A$200&lt;&gt;"")*IF($C25="Included source errors",--(DATA_PROPERTY_MASTER!$E$5:$E$200="Yes"),--(DATA_PROPERTY_MASTER!$E$5:$E$200&lt;&gt;"Yes"))*--ISERROR(INDIRECT("'"&amp;DATA_PROPERTY_MASTER!$A$5:$A$200&amp;"'!"&amp;SUBSTITUTE(ADDRESS(1,COLUMN(I$5)+1,4),"1","")&amp;$B25)),0))</f>
        <v>0</v>
      </c>
      <c r="J25" s="350">
        <f ca="1">SUMPRODUCT(IFERROR((DATA_PROPERTY_MASTER!$A$5:$A$200&lt;&gt;"")*IF($C25="Included source errors",--(DATA_PROPERTY_MASTER!$E$5:$E$200="Yes"),--(DATA_PROPERTY_MASTER!$E$5:$E$200&lt;&gt;"Yes"))*--ISERROR(INDIRECT("'"&amp;DATA_PROPERTY_MASTER!$A$5:$A$200&amp;"'!"&amp;SUBSTITUTE(ADDRESS(1,COLUMN(J$5)+1,4),"1","")&amp;$B25)),0))</f>
        <v>0</v>
      </c>
      <c r="K25" s="350">
        <f ca="1">SUMPRODUCT(IFERROR((DATA_PROPERTY_MASTER!$A$5:$A$200&lt;&gt;"")*IF($C25="Included source errors",--(DATA_PROPERTY_MASTER!$E$5:$E$200="Yes"),--(DATA_PROPERTY_MASTER!$E$5:$E$200&lt;&gt;"Yes"))*--ISERROR(INDIRECT("'"&amp;DATA_PROPERTY_MASTER!$A$5:$A$200&amp;"'!"&amp;SUBSTITUTE(ADDRESS(1,COLUMN(K$5)+1,4),"1","")&amp;$B25)),0))</f>
        <v>0</v>
      </c>
      <c r="L25" s="350">
        <f ca="1">SUMPRODUCT(IFERROR((DATA_PROPERTY_MASTER!$A$5:$A$200&lt;&gt;"")*IF($C25="Included source errors",--(DATA_PROPERTY_MASTER!$E$5:$E$200="Yes"),--(DATA_PROPERTY_MASTER!$E$5:$E$200&lt;&gt;"Yes"))*--ISERROR(INDIRECT("'"&amp;DATA_PROPERTY_MASTER!$A$5:$A$200&amp;"'!"&amp;SUBSTITUTE(ADDRESS(1,COLUMN(L$5)+1,4),"1","")&amp;$B25)),0))</f>
        <v>0</v>
      </c>
      <c r="M25" s="350">
        <f ca="1">SUMPRODUCT(IFERROR((DATA_PROPERTY_MASTER!$A$5:$A$200&lt;&gt;"")*IF($C25="Included source errors",--(DATA_PROPERTY_MASTER!$E$5:$E$200="Yes"),--(DATA_PROPERTY_MASTER!$E$5:$E$200&lt;&gt;"Yes"))*--ISERROR(INDIRECT("'"&amp;DATA_PROPERTY_MASTER!$A$5:$A$200&amp;"'!"&amp;SUBSTITUTE(ADDRESS(1,COLUMN(M$5)+1,4),"1","")&amp;$B25)),0))</f>
        <v>0</v>
      </c>
      <c r="N25" s="350">
        <f ca="1">SUMPRODUCT(IFERROR((DATA_PROPERTY_MASTER!$A$5:$A$200&lt;&gt;"")*IF($C25="Included source errors",--(DATA_PROPERTY_MASTER!$E$5:$E$200="Yes"),--(DATA_PROPERTY_MASTER!$E$5:$E$200&lt;&gt;"Yes"))*--ISERROR(INDIRECT("'"&amp;DATA_PROPERTY_MASTER!$A$5:$A$200&amp;"'!"&amp;SUBSTITUTE(ADDRESS(1,COLUMN(N$5)+1,4),"1","")&amp;$B25)),0))</f>
        <v>0</v>
      </c>
      <c r="O25" s="350">
        <f ca="1">SUMPRODUCT(IFERROR((DATA_PROPERTY_MASTER!$A$5:$A$200&lt;&gt;"")*IF($C25="Included source errors",--(DATA_PROPERTY_MASTER!$E$5:$E$200="Yes"),--(DATA_PROPERTY_MASTER!$E$5:$E$200&lt;&gt;"Yes"))*--ISERROR(INDIRECT("'"&amp;DATA_PROPERTY_MASTER!$A$5:$A$200&amp;"'!"&amp;SUBSTITUTE(ADDRESS(1,COLUMN(O$5)+1,4),"1","")&amp;$B25)),0))</f>
        <v>0</v>
      </c>
      <c r="P25" s="350">
        <f ca="1">SUMPRODUCT(IFERROR((DATA_PROPERTY_MASTER!$A$5:$A$200&lt;&gt;"")*IF($C25="Included source errors",--(DATA_PROPERTY_MASTER!$E$5:$E$200="Yes"),--(DATA_PROPERTY_MASTER!$E$5:$E$200&lt;&gt;"Yes"))*--ISERROR(INDIRECT("'"&amp;DATA_PROPERTY_MASTER!$A$5:$A$200&amp;"'!"&amp;SUBSTITUTE(ADDRESS(1,COLUMN(P$5)+1,4),"1","")&amp;$B25)),0))</f>
        <v>0</v>
      </c>
      <c r="Q25" s="350">
        <f ca="1">SUMPRODUCT(IFERROR((DATA_PROPERTY_MASTER!$A$5:$A$200&lt;&gt;"")*IF($C25="Included source errors",--(DATA_PROPERTY_MASTER!$E$5:$E$200="Yes"),--(DATA_PROPERTY_MASTER!$E$5:$E$200&lt;&gt;"Yes"))*--ISERROR(INDIRECT("'"&amp;DATA_PROPERTY_MASTER!$A$5:$A$200&amp;"'!"&amp;SUBSTITUTE(ADDRESS(1,COLUMN(Q$5)+1,4),"1","")&amp;$B25)),0))</f>
        <v>0</v>
      </c>
      <c r="R25" s="350">
        <f ca="1">SUMPRODUCT(IFERROR((DATA_PROPERTY_MASTER!$A$5:$A$200&lt;&gt;"")*IF($C25="Included source errors",--(DATA_PROPERTY_MASTER!$E$5:$E$200="Yes"),--(DATA_PROPERTY_MASTER!$E$5:$E$200&lt;&gt;"Yes"))*--ISERROR(INDIRECT("'"&amp;DATA_PROPERTY_MASTER!$A$5:$A$200&amp;"'!"&amp;SUBSTITUTE(ADDRESS(1,COLUMN(R$5)+1,4),"1","")&amp;$B25)),0))</f>
        <v>0</v>
      </c>
      <c r="S25" s="350">
        <f ca="1">SUMPRODUCT(IFERROR((DATA_PROPERTY_MASTER!$A$5:$A$200&lt;&gt;"")*IF($C25="Included source errors",--(DATA_PROPERTY_MASTER!$E$5:$E$200="Yes"),--(DATA_PROPERTY_MASTER!$E$5:$E$200&lt;&gt;"Yes"))*--ISERROR(INDIRECT("'"&amp;DATA_PROPERTY_MASTER!$A$5:$A$200&amp;"'!"&amp;SUBSTITUTE(ADDRESS(1,COLUMN(S$5)+1,4),"1","")&amp;$B25)),0))</f>
        <v>0</v>
      </c>
      <c r="T25" s="350">
        <f ca="1">SUMPRODUCT(IFERROR((DATA_PROPERTY_MASTER!$A$5:$A$200&lt;&gt;"")*IF($C25="Included source errors",--(DATA_PROPERTY_MASTER!$E$5:$E$200="Yes"),--(DATA_PROPERTY_MASTER!$E$5:$E$200&lt;&gt;"Yes"))*--ISERROR(INDIRECT("'"&amp;DATA_PROPERTY_MASTER!$A$5:$A$200&amp;"'!"&amp;SUBSTITUTE(ADDRESS(1,COLUMN(T$5)+1,4),"1","")&amp;$B25)),0))</f>
        <v>0</v>
      </c>
      <c r="U25" s="350">
        <f ca="1">SUMPRODUCT(IFERROR((DATA_PROPERTY_MASTER!$A$5:$A$200&lt;&gt;"")*IF($C25="Included source errors",--(DATA_PROPERTY_MASTER!$E$5:$E$200="Yes"),--(DATA_PROPERTY_MASTER!$E$5:$E$200&lt;&gt;"Yes"))*--ISERROR(INDIRECT("'"&amp;DATA_PROPERTY_MASTER!$A$5:$A$200&amp;"'!"&amp;SUBSTITUTE(ADDRESS(1,COLUMN(U$5)+1,4),"1","")&amp;$B25)),0))</f>
        <v>0</v>
      </c>
      <c r="V25" s="350">
        <f ca="1">SUMPRODUCT(IFERROR((DATA_PROPERTY_MASTER!$A$5:$A$200&lt;&gt;"")*IF($C25="Included source errors",--(DATA_PROPERTY_MASTER!$E$5:$E$200="Yes"),--(DATA_PROPERTY_MASTER!$E$5:$E$200&lt;&gt;"Yes"))*--ISERROR(INDIRECT("'"&amp;DATA_PROPERTY_MASTER!$A$5:$A$200&amp;"'!"&amp;SUBSTITUTE(ADDRESS(1,COLUMN(V$5)+1,4),"1","")&amp;$B25)),0))</f>
        <v>0</v>
      </c>
      <c r="W25" s="350">
        <f ca="1">SUMPRODUCT(IFERROR((DATA_PROPERTY_MASTER!$A$5:$A$200&lt;&gt;"")*IF($C25="Included source errors",--(DATA_PROPERTY_MASTER!$E$5:$E$200="Yes"),--(DATA_PROPERTY_MASTER!$E$5:$E$200&lt;&gt;"Yes"))*--ISERROR(INDIRECT("'"&amp;DATA_PROPERTY_MASTER!$A$5:$A$200&amp;"'!"&amp;SUBSTITUTE(ADDRESS(1,COLUMN(W$5)+1,4),"1","")&amp;$B25)),0))</f>
        <v>0</v>
      </c>
      <c r="X25" s="350">
        <f ca="1">SUMPRODUCT(IFERROR((DATA_PROPERTY_MASTER!$A$5:$A$200&lt;&gt;"")*IF($C25="Included source errors",--(DATA_PROPERTY_MASTER!$E$5:$E$200="Yes"),--(DATA_PROPERTY_MASTER!$E$5:$E$200&lt;&gt;"Yes"))*--ISERROR(INDIRECT("'"&amp;DATA_PROPERTY_MASTER!$A$5:$A$200&amp;"'!"&amp;SUBSTITUTE(ADDRESS(1,COLUMN(X$5)+1,4),"1","")&amp;$B25)),0))</f>
        <v>0</v>
      </c>
      <c r="Y25" s="350">
        <f t="shared" ca="1" si="0"/>
        <v>0</v>
      </c>
      <c r="Z25" s="382" t="s">
        <v>7467</v>
      </c>
    </row>
    <row r="26" spans="1:26" ht="30">
      <c r="A26" s="382" t="s">
        <v>345</v>
      </c>
      <c r="B26" s="382">
        <v>29</v>
      </c>
      <c r="C26" s="382" t="s">
        <v>1560</v>
      </c>
      <c r="D26" s="350">
        <f ca="1">SUMPRODUCT(IFERROR((DATA_PROPERTY_MASTER!$A$5:$A$200&lt;&gt;"")*IF($C26="Included source errors",--(DATA_PROPERTY_MASTER!$E$5:$E$200="Yes"),--(DATA_PROPERTY_MASTER!$E$5:$E$200&lt;&gt;"Yes"))*--ISERROR(INDIRECT("'"&amp;DATA_PROPERTY_MASTER!$A$5:$A$200&amp;"'!"&amp;SUBSTITUTE(ADDRESS(1,COLUMN(D$5)+1,4),"1","")&amp;$B26)),0))</f>
        <v>0</v>
      </c>
      <c r="E26" s="350">
        <f ca="1">SUMPRODUCT(IFERROR((DATA_PROPERTY_MASTER!$A$5:$A$200&lt;&gt;"")*IF($C26="Included source errors",--(DATA_PROPERTY_MASTER!$E$5:$E$200="Yes"),--(DATA_PROPERTY_MASTER!$E$5:$E$200&lt;&gt;"Yes"))*--ISERROR(INDIRECT("'"&amp;DATA_PROPERTY_MASTER!$A$5:$A$200&amp;"'!"&amp;SUBSTITUTE(ADDRESS(1,COLUMN(E$5)+1,4),"1","")&amp;$B26)),0))</f>
        <v>0</v>
      </c>
      <c r="F26" s="350">
        <f ca="1">SUMPRODUCT(IFERROR((DATA_PROPERTY_MASTER!$A$5:$A$200&lt;&gt;"")*IF($C26="Included source errors",--(DATA_PROPERTY_MASTER!$E$5:$E$200="Yes"),--(DATA_PROPERTY_MASTER!$E$5:$E$200&lt;&gt;"Yes"))*--ISERROR(INDIRECT("'"&amp;DATA_PROPERTY_MASTER!$A$5:$A$200&amp;"'!"&amp;SUBSTITUTE(ADDRESS(1,COLUMN(F$5)+1,4),"1","")&amp;$B26)),0))</f>
        <v>0</v>
      </c>
      <c r="G26" s="350">
        <f ca="1">SUMPRODUCT(IFERROR((DATA_PROPERTY_MASTER!$A$5:$A$200&lt;&gt;"")*IF($C26="Included source errors",--(DATA_PROPERTY_MASTER!$E$5:$E$200="Yes"),--(DATA_PROPERTY_MASTER!$E$5:$E$200&lt;&gt;"Yes"))*--ISERROR(INDIRECT("'"&amp;DATA_PROPERTY_MASTER!$A$5:$A$200&amp;"'!"&amp;SUBSTITUTE(ADDRESS(1,COLUMN(G$5)+1,4),"1","")&amp;$B26)),0))</f>
        <v>0</v>
      </c>
      <c r="H26" s="350">
        <f ca="1">SUMPRODUCT(IFERROR((DATA_PROPERTY_MASTER!$A$5:$A$200&lt;&gt;"")*IF($C26="Included source errors",--(DATA_PROPERTY_MASTER!$E$5:$E$200="Yes"),--(DATA_PROPERTY_MASTER!$E$5:$E$200&lt;&gt;"Yes"))*--ISERROR(INDIRECT("'"&amp;DATA_PROPERTY_MASTER!$A$5:$A$200&amp;"'!"&amp;SUBSTITUTE(ADDRESS(1,COLUMN(H$5)+1,4),"1","")&amp;$B26)),0))</f>
        <v>0</v>
      </c>
      <c r="I26" s="350">
        <f ca="1">SUMPRODUCT(IFERROR((DATA_PROPERTY_MASTER!$A$5:$A$200&lt;&gt;"")*IF($C26="Included source errors",--(DATA_PROPERTY_MASTER!$E$5:$E$200="Yes"),--(DATA_PROPERTY_MASTER!$E$5:$E$200&lt;&gt;"Yes"))*--ISERROR(INDIRECT("'"&amp;DATA_PROPERTY_MASTER!$A$5:$A$200&amp;"'!"&amp;SUBSTITUTE(ADDRESS(1,COLUMN(I$5)+1,4),"1","")&amp;$B26)),0))</f>
        <v>0</v>
      </c>
      <c r="J26" s="350">
        <f ca="1">SUMPRODUCT(IFERROR((DATA_PROPERTY_MASTER!$A$5:$A$200&lt;&gt;"")*IF($C26="Included source errors",--(DATA_PROPERTY_MASTER!$E$5:$E$200="Yes"),--(DATA_PROPERTY_MASTER!$E$5:$E$200&lt;&gt;"Yes"))*--ISERROR(INDIRECT("'"&amp;DATA_PROPERTY_MASTER!$A$5:$A$200&amp;"'!"&amp;SUBSTITUTE(ADDRESS(1,COLUMN(J$5)+1,4),"1","")&amp;$B26)),0))</f>
        <v>0</v>
      </c>
      <c r="K26" s="350">
        <f ca="1">SUMPRODUCT(IFERROR((DATA_PROPERTY_MASTER!$A$5:$A$200&lt;&gt;"")*IF($C26="Included source errors",--(DATA_PROPERTY_MASTER!$E$5:$E$200="Yes"),--(DATA_PROPERTY_MASTER!$E$5:$E$200&lt;&gt;"Yes"))*--ISERROR(INDIRECT("'"&amp;DATA_PROPERTY_MASTER!$A$5:$A$200&amp;"'!"&amp;SUBSTITUTE(ADDRESS(1,COLUMN(K$5)+1,4),"1","")&amp;$B26)),0))</f>
        <v>0</v>
      </c>
      <c r="L26" s="350">
        <f ca="1">SUMPRODUCT(IFERROR((DATA_PROPERTY_MASTER!$A$5:$A$200&lt;&gt;"")*IF($C26="Included source errors",--(DATA_PROPERTY_MASTER!$E$5:$E$200="Yes"),--(DATA_PROPERTY_MASTER!$E$5:$E$200&lt;&gt;"Yes"))*--ISERROR(INDIRECT("'"&amp;DATA_PROPERTY_MASTER!$A$5:$A$200&amp;"'!"&amp;SUBSTITUTE(ADDRESS(1,COLUMN(L$5)+1,4),"1","")&amp;$B26)),0))</f>
        <v>0</v>
      </c>
      <c r="M26" s="350">
        <f ca="1">SUMPRODUCT(IFERROR((DATA_PROPERTY_MASTER!$A$5:$A$200&lt;&gt;"")*IF($C26="Included source errors",--(DATA_PROPERTY_MASTER!$E$5:$E$200="Yes"),--(DATA_PROPERTY_MASTER!$E$5:$E$200&lt;&gt;"Yes"))*--ISERROR(INDIRECT("'"&amp;DATA_PROPERTY_MASTER!$A$5:$A$200&amp;"'!"&amp;SUBSTITUTE(ADDRESS(1,COLUMN(M$5)+1,4),"1","")&amp;$B26)),0))</f>
        <v>0</v>
      </c>
      <c r="N26" s="350">
        <f ca="1">SUMPRODUCT(IFERROR((DATA_PROPERTY_MASTER!$A$5:$A$200&lt;&gt;"")*IF($C26="Included source errors",--(DATA_PROPERTY_MASTER!$E$5:$E$200="Yes"),--(DATA_PROPERTY_MASTER!$E$5:$E$200&lt;&gt;"Yes"))*--ISERROR(INDIRECT("'"&amp;DATA_PROPERTY_MASTER!$A$5:$A$200&amp;"'!"&amp;SUBSTITUTE(ADDRESS(1,COLUMN(N$5)+1,4),"1","")&amp;$B26)),0))</f>
        <v>0</v>
      </c>
      <c r="O26" s="350">
        <f ca="1">SUMPRODUCT(IFERROR((DATA_PROPERTY_MASTER!$A$5:$A$200&lt;&gt;"")*IF($C26="Included source errors",--(DATA_PROPERTY_MASTER!$E$5:$E$200="Yes"),--(DATA_PROPERTY_MASTER!$E$5:$E$200&lt;&gt;"Yes"))*--ISERROR(INDIRECT("'"&amp;DATA_PROPERTY_MASTER!$A$5:$A$200&amp;"'!"&amp;SUBSTITUTE(ADDRESS(1,COLUMN(O$5)+1,4),"1","")&amp;$B26)),0))</f>
        <v>0</v>
      </c>
      <c r="P26" s="350">
        <f ca="1">SUMPRODUCT(IFERROR((DATA_PROPERTY_MASTER!$A$5:$A$200&lt;&gt;"")*IF($C26="Included source errors",--(DATA_PROPERTY_MASTER!$E$5:$E$200="Yes"),--(DATA_PROPERTY_MASTER!$E$5:$E$200&lt;&gt;"Yes"))*--ISERROR(INDIRECT("'"&amp;DATA_PROPERTY_MASTER!$A$5:$A$200&amp;"'!"&amp;SUBSTITUTE(ADDRESS(1,COLUMN(P$5)+1,4),"1","")&amp;$B26)),0))</f>
        <v>0</v>
      </c>
      <c r="Q26" s="350">
        <f ca="1">SUMPRODUCT(IFERROR((DATA_PROPERTY_MASTER!$A$5:$A$200&lt;&gt;"")*IF($C26="Included source errors",--(DATA_PROPERTY_MASTER!$E$5:$E$200="Yes"),--(DATA_PROPERTY_MASTER!$E$5:$E$200&lt;&gt;"Yes"))*--ISERROR(INDIRECT("'"&amp;DATA_PROPERTY_MASTER!$A$5:$A$200&amp;"'!"&amp;SUBSTITUTE(ADDRESS(1,COLUMN(Q$5)+1,4),"1","")&amp;$B26)),0))</f>
        <v>0</v>
      </c>
      <c r="R26" s="350">
        <f ca="1">SUMPRODUCT(IFERROR((DATA_PROPERTY_MASTER!$A$5:$A$200&lt;&gt;"")*IF($C26="Included source errors",--(DATA_PROPERTY_MASTER!$E$5:$E$200="Yes"),--(DATA_PROPERTY_MASTER!$E$5:$E$200&lt;&gt;"Yes"))*--ISERROR(INDIRECT("'"&amp;DATA_PROPERTY_MASTER!$A$5:$A$200&amp;"'!"&amp;SUBSTITUTE(ADDRESS(1,COLUMN(R$5)+1,4),"1","")&amp;$B26)),0))</f>
        <v>0</v>
      </c>
      <c r="S26" s="350">
        <f ca="1">SUMPRODUCT(IFERROR((DATA_PROPERTY_MASTER!$A$5:$A$200&lt;&gt;"")*IF($C26="Included source errors",--(DATA_PROPERTY_MASTER!$E$5:$E$200="Yes"),--(DATA_PROPERTY_MASTER!$E$5:$E$200&lt;&gt;"Yes"))*--ISERROR(INDIRECT("'"&amp;DATA_PROPERTY_MASTER!$A$5:$A$200&amp;"'!"&amp;SUBSTITUTE(ADDRESS(1,COLUMN(S$5)+1,4),"1","")&amp;$B26)),0))</f>
        <v>0</v>
      </c>
      <c r="T26" s="350">
        <f ca="1">SUMPRODUCT(IFERROR((DATA_PROPERTY_MASTER!$A$5:$A$200&lt;&gt;"")*IF($C26="Included source errors",--(DATA_PROPERTY_MASTER!$E$5:$E$200="Yes"),--(DATA_PROPERTY_MASTER!$E$5:$E$200&lt;&gt;"Yes"))*--ISERROR(INDIRECT("'"&amp;DATA_PROPERTY_MASTER!$A$5:$A$200&amp;"'!"&amp;SUBSTITUTE(ADDRESS(1,COLUMN(T$5)+1,4),"1","")&amp;$B26)),0))</f>
        <v>0</v>
      </c>
      <c r="U26" s="350">
        <f ca="1">SUMPRODUCT(IFERROR((DATA_PROPERTY_MASTER!$A$5:$A$200&lt;&gt;"")*IF($C26="Included source errors",--(DATA_PROPERTY_MASTER!$E$5:$E$200="Yes"),--(DATA_PROPERTY_MASTER!$E$5:$E$200&lt;&gt;"Yes"))*--ISERROR(INDIRECT("'"&amp;DATA_PROPERTY_MASTER!$A$5:$A$200&amp;"'!"&amp;SUBSTITUTE(ADDRESS(1,COLUMN(U$5)+1,4),"1","")&amp;$B26)),0))</f>
        <v>0</v>
      </c>
      <c r="V26" s="350">
        <f ca="1">SUMPRODUCT(IFERROR((DATA_PROPERTY_MASTER!$A$5:$A$200&lt;&gt;"")*IF($C26="Included source errors",--(DATA_PROPERTY_MASTER!$E$5:$E$200="Yes"),--(DATA_PROPERTY_MASTER!$E$5:$E$200&lt;&gt;"Yes"))*--ISERROR(INDIRECT("'"&amp;DATA_PROPERTY_MASTER!$A$5:$A$200&amp;"'!"&amp;SUBSTITUTE(ADDRESS(1,COLUMN(V$5)+1,4),"1","")&amp;$B26)),0))</f>
        <v>0</v>
      </c>
      <c r="W26" s="350">
        <f ca="1">SUMPRODUCT(IFERROR((DATA_PROPERTY_MASTER!$A$5:$A$200&lt;&gt;"")*IF($C26="Included source errors",--(DATA_PROPERTY_MASTER!$E$5:$E$200="Yes"),--(DATA_PROPERTY_MASTER!$E$5:$E$200&lt;&gt;"Yes"))*--ISERROR(INDIRECT("'"&amp;DATA_PROPERTY_MASTER!$A$5:$A$200&amp;"'!"&amp;SUBSTITUTE(ADDRESS(1,COLUMN(W$5)+1,4),"1","")&amp;$B26)),0))</f>
        <v>0</v>
      </c>
      <c r="X26" s="350">
        <f ca="1">SUMPRODUCT(IFERROR((DATA_PROPERTY_MASTER!$A$5:$A$200&lt;&gt;"")*IF($C26="Included source errors",--(DATA_PROPERTY_MASTER!$E$5:$E$200="Yes"),--(DATA_PROPERTY_MASTER!$E$5:$E$200&lt;&gt;"Yes"))*--ISERROR(INDIRECT("'"&amp;DATA_PROPERTY_MASTER!$A$5:$A$200&amp;"'!"&amp;SUBSTITUTE(ADDRESS(1,COLUMN(X$5)+1,4),"1","")&amp;$B26)),0))</f>
        <v>0</v>
      </c>
      <c r="Y26" s="350">
        <f t="shared" ca="1" si="0"/>
        <v>0</v>
      </c>
      <c r="Z26" s="382" t="s">
        <v>7467</v>
      </c>
    </row>
    <row r="27" spans="1:26" ht="30">
      <c r="A27" s="382" t="s">
        <v>345</v>
      </c>
      <c r="B27" s="382">
        <v>29</v>
      </c>
      <c r="C27" s="382" t="s">
        <v>1563</v>
      </c>
      <c r="D27" s="350">
        <f ca="1">SUMPRODUCT(IFERROR((DATA_PROPERTY_MASTER!$A$5:$A$200&lt;&gt;"")*IF($C27="Included source errors",--(DATA_PROPERTY_MASTER!$E$5:$E$200="Yes"),--(DATA_PROPERTY_MASTER!$E$5:$E$200&lt;&gt;"Yes"))*--ISERROR(INDIRECT("'"&amp;DATA_PROPERTY_MASTER!$A$5:$A$200&amp;"'!"&amp;SUBSTITUTE(ADDRESS(1,COLUMN(D$5)+1,4),"1","")&amp;$B27)),0))</f>
        <v>0</v>
      </c>
      <c r="E27" s="350">
        <f ca="1">SUMPRODUCT(IFERROR((DATA_PROPERTY_MASTER!$A$5:$A$200&lt;&gt;"")*IF($C27="Included source errors",--(DATA_PROPERTY_MASTER!$E$5:$E$200="Yes"),--(DATA_PROPERTY_MASTER!$E$5:$E$200&lt;&gt;"Yes"))*--ISERROR(INDIRECT("'"&amp;DATA_PROPERTY_MASTER!$A$5:$A$200&amp;"'!"&amp;SUBSTITUTE(ADDRESS(1,COLUMN(E$5)+1,4),"1","")&amp;$B27)),0))</f>
        <v>0</v>
      </c>
      <c r="F27" s="350">
        <f ca="1">SUMPRODUCT(IFERROR((DATA_PROPERTY_MASTER!$A$5:$A$200&lt;&gt;"")*IF($C27="Included source errors",--(DATA_PROPERTY_MASTER!$E$5:$E$200="Yes"),--(DATA_PROPERTY_MASTER!$E$5:$E$200&lt;&gt;"Yes"))*--ISERROR(INDIRECT("'"&amp;DATA_PROPERTY_MASTER!$A$5:$A$200&amp;"'!"&amp;SUBSTITUTE(ADDRESS(1,COLUMN(F$5)+1,4),"1","")&amp;$B27)),0))</f>
        <v>0</v>
      </c>
      <c r="G27" s="350">
        <f ca="1">SUMPRODUCT(IFERROR((DATA_PROPERTY_MASTER!$A$5:$A$200&lt;&gt;"")*IF($C27="Included source errors",--(DATA_PROPERTY_MASTER!$E$5:$E$200="Yes"),--(DATA_PROPERTY_MASTER!$E$5:$E$200&lt;&gt;"Yes"))*--ISERROR(INDIRECT("'"&amp;DATA_PROPERTY_MASTER!$A$5:$A$200&amp;"'!"&amp;SUBSTITUTE(ADDRESS(1,COLUMN(G$5)+1,4),"1","")&amp;$B27)),0))</f>
        <v>0</v>
      </c>
      <c r="H27" s="350">
        <f ca="1">SUMPRODUCT(IFERROR((DATA_PROPERTY_MASTER!$A$5:$A$200&lt;&gt;"")*IF($C27="Included source errors",--(DATA_PROPERTY_MASTER!$E$5:$E$200="Yes"),--(DATA_PROPERTY_MASTER!$E$5:$E$200&lt;&gt;"Yes"))*--ISERROR(INDIRECT("'"&amp;DATA_PROPERTY_MASTER!$A$5:$A$200&amp;"'!"&amp;SUBSTITUTE(ADDRESS(1,COLUMN(H$5)+1,4),"1","")&amp;$B27)),0))</f>
        <v>0</v>
      </c>
      <c r="I27" s="350">
        <f ca="1">SUMPRODUCT(IFERROR((DATA_PROPERTY_MASTER!$A$5:$A$200&lt;&gt;"")*IF($C27="Included source errors",--(DATA_PROPERTY_MASTER!$E$5:$E$200="Yes"),--(DATA_PROPERTY_MASTER!$E$5:$E$200&lt;&gt;"Yes"))*--ISERROR(INDIRECT("'"&amp;DATA_PROPERTY_MASTER!$A$5:$A$200&amp;"'!"&amp;SUBSTITUTE(ADDRESS(1,COLUMN(I$5)+1,4),"1","")&amp;$B27)),0))</f>
        <v>0</v>
      </c>
      <c r="J27" s="350">
        <f ca="1">SUMPRODUCT(IFERROR((DATA_PROPERTY_MASTER!$A$5:$A$200&lt;&gt;"")*IF($C27="Included source errors",--(DATA_PROPERTY_MASTER!$E$5:$E$200="Yes"),--(DATA_PROPERTY_MASTER!$E$5:$E$200&lt;&gt;"Yes"))*--ISERROR(INDIRECT("'"&amp;DATA_PROPERTY_MASTER!$A$5:$A$200&amp;"'!"&amp;SUBSTITUTE(ADDRESS(1,COLUMN(J$5)+1,4),"1","")&amp;$B27)),0))</f>
        <v>0</v>
      </c>
      <c r="K27" s="350">
        <f ca="1">SUMPRODUCT(IFERROR((DATA_PROPERTY_MASTER!$A$5:$A$200&lt;&gt;"")*IF($C27="Included source errors",--(DATA_PROPERTY_MASTER!$E$5:$E$200="Yes"),--(DATA_PROPERTY_MASTER!$E$5:$E$200&lt;&gt;"Yes"))*--ISERROR(INDIRECT("'"&amp;DATA_PROPERTY_MASTER!$A$5:$A$200&amp;"'!"&amp;SUBSTITUTE(ADDRESS(1,COLUMN(K$5)+1,4),"1","")&amp;$B27)),0))</f>
        <v>0</v>
      </c>
      <c r="L27" s="350">
        <f ca="1">SUMPRODUCT(IFERROR((DATA_PROPERTY_MASTER!$A$5:$A$200&lt;&gt;"")*IF($C27="Included source errors",--(DATA_PROPERTY_MASTER!$E$5:$E$200="Yes"),--(DATA_PROPERTY_MASTER!$E$5:$E$200&lt;&gt;"Yes"))*--ISERROR(INDIRECT("'"&amp;DATA_PROPERTY_MASTER!$A$5:$A$200&amp;"'!"&amp;SUBSTITUTE(ADDRESS(1,COLUMN(L$5)+1,4),"1","")&amp;$B27)),0))</f>
        <v>0</v>
      </c>
      <c r="M27" s="350">
        <f ca="1">SUMPRODUCT(IFERROR((DATA_PROPERTY_MASTER!$A$5:$A$200&lt;&gt;"")*IF($C27="Included source errors",--(DATA_PROPERTY_MASTER!$E$5:$E$200="Yes"),--(DATA_PROPERTY_MASTER!$E$5:$E$200&lt;&gt;"Yes"))*--ISERROR(INDIRECT("'"&amp;DATA_PROPERTY_MASTER!$A$5:$A$200&amp;"'!"&amp;SUBSTITUTE(ADDRESS(1,COLUMN(M$5)+1,4),"1","")&amp;$B27)),0))</f>
        <v>0</v>
      </c>
      <c r="N27" s="350">
        <f ca="1">SUMPRODUCT(IFERROR((DATA_PROPERTY_MASTER!$A$5:$A$200&lt;&gt;"")*IF($C27="Included source errors",--(DATA_PROPERTY_MASTER!$E$5:$E$200="Yes"),--(DATA_PROPERTY_MASTER!$E$5:$E$200&lt;&gt;"Yes"))*--ISERROR(INDIRECT("'"&amp;DATA_PROPERTY_MASTER!$A$5:$A$200&amp;"'!"&amp;SUBSTITUTE(ADDRESS(1,COLUMN(N$5)+1,4),"1","")&amp;$B27)),0))</f>
        <v>0</v>
      </c>
      <c r="O27" s="350">
        <f ca="1">SUMPRODUCT(IFERROR((DATA_PROPERTY_MASTER!$A$5:$A$200&lt;&gt;"")*IF($C27="Included source errors",--(DATA_PROPERTY_MASTER!$E$5:$E$200="Yes"),--(DATA_PROPERTY_MASTER!$E$5:$E$200&lt;&gt;"Yes"))*--ISERROR(INDIRECT("'"&amp;DATA_PROPERTY_MASTER!$A$5:$A$200&amp;"'!"&amp;SUBSTITUTE(ADDRESS(1,COLUMN(O$5)+1,4),"1","")&amp;$B27)),0))</f>
        <v>0</v>
      </c>
      <c r="P27" s="350">
        <f ca="1">SUMPRODUCT(IFERROR((DATA_PROPERTY_MASTER!$A$5:$A$200&lt;&gt;"")*IF($C27="Included source errors",--(DATA_PROPERTY_MASTER!$E$5:$E$200="Yes"),--(DATA_PROPERTY_MASTER!$E$5:$E$200&lt;&gt;"Yes"))*--ISERROR(INDIRECT("'"&amp;DATA_PROPERTY_MASTER!$A$5:$A$200&amp;"'!"&amp;SUBSTITUTE(ADDRESS(1,COLUMN(P$5)+1,4),"1","")&amp;$B27)),0))</f>
        <v>0</v>
      </c>
      <c r="Q27" s="350">
        <f ca="1">SUMPRODUCT(IFERROR((DATA_PROPERTY_MASTER!$A$5:$A$200&lt;&gt;"")*IF($C27="Included source errors",--(DATA_PROPERTY_MASTER!$E$5:$E$200="Yes"),--(DATA_PROPERTY_MASTER!$E$5:$E$200&lt;&gt;"Yes"))*--ISERROR(INDIRECT("'"&amp;DATA_PROPERTY_MASTER!$A$5:$A$200&amp;"'!"&amp;SUBSTITUTE(ADDRESS(1,COLUMN(Q$5)+1,4),"1","")&amp;$B27)),0))</f>
        <v>0</v>
      </c>
      <c r="R27" s="350">
        <f ca="1">SUMPRODUCT(IFERROR((DATA_PROPERTY_MASTER!$A$5:$A$200&lt;&gt;"")*IF($C27="Included source errors",--(DATA_PROPERTY_MASTER!$E$5:$E$200="Yes"),--(DATA_PROPERTY_MASTER!$E$5:$E$200&lt;&gt;"Yes"))*--ISERROR(INDIRECT("'"&amp;DATA_PROPERTY_MASTER!$A$5:$A$200&amp;"'!"&amp;SUBSTITUTE(ADDRESS(1,COLUMN(R$5)+1,4),"1","")&amp;$B27)),0))</f>
        <v>0</v>
      </c>
      <c r="S27" s="350">
        <f ca="1">SUMPRODUCT(IFERROR((DATA_PROPERTY_MASTER!$A$5:$A$200&lt;&gt;"")*IF($C27="Included source errors",--(DATA_PROPERTY_MASTER!$E$5:$E$200="Yes"),--(DATA_PROPERTY_MASTER!$E$5:$E$200&lt;&gt;"Yes"))*--ISERROR(INDIRECT("'"&amp;DATA_PROPERTY_MASTER!$A$5:$A$200&amp;"'!"&amp;SUBSTITUTE(ADDRESS(1,COLUMN(S$5)+1,4),"1","")&amp;$B27)),0))</f>
        <v>0</v>
      </c>
      <c r="T27" s="350">
        <f ca="1">SUMPRODUCT(IFERROR((DATA_PROPERTY_MASTER!$A$5:$A$200&lt;&gt;"")*IF($C27="Included source errors",--(DATA_PROPERTY_MASTER!$E$5:$E$200="Yes"),--(DATA_PROPERTY_MASTER!$E$5:$E$200&lt;&gt;"Yes"))*--ISERROR(INDIRECT("'"&amp;DATA_PROPERTY_MASTER!$A$5:$A$200&amp;"'!"&amp;SUBSTITUTE(ADDRESS(1,COLUMN(T$5)+1,4),"1","")&amp;$B27)),0))</f>
        <v>0</v>
      </c>
      <c r="U27" s="350">
        <f ca="1">SUMPRODUCT(IFERROR((DATA_PROPERTY_MASTER!$A$5:$A$200&lt;&gt;"")*IF($C27="Included source errors",--(DATA_PROPERTY_MASTER!$E$5:$E$200="Yes"),--(DATA_PROPERTY_MASTER!$E$5:$E$200&lt;&gt;"Yes"))*--ISERROR(INDIRECT("'"&amp;DATA_PROPERTY_MASTER!$A$5:$A$200&amp;"'!"&amp;SUBSTITUTE(ADDRESS(1,COLUMN(U$5)+1,4),"1","")&amp;$B27)),0))</f>
        <v>0</v>
      </c>
      <c r="V27" s="350">
        <f ca="1">SUMPRODUCT(IFERROR((DATA_PROPERTY_MASTER!$A$5:$A$200&lt;&gt;"")*IF($C27="Included source errors",--(DATA_PROPERTY_MASTER!$E$5:$E$200="Yes"),--(DATA_PROPERTY_MASTER!$E$5:$E$200&lt;&gt;"Yes"))*--ISERROR(INDIRECT("'"&amp;DATA_PROPERTY_MASTER!$A$5:$A$200&amp;"'!"&amp;SUBSTITUTE(ADDRESS(1,COLUMN(V$5)+1,4),"1","")&amp;$B27)),0))</f>
        <v>0</v>
      </c>
      <c r="W27" s="350">
        <f ca="1">SUMPRODUCT(IFERROR((DATA_PROPERTY_MASTER!$A$5:$A$200&lt;&gt;"")*IF($C27="Included source errors",--(DATA_PROPERTY_MASTER!$E$5:$E$200="Yes"),--(DATA_PROPERTY_MASTER!$E$5:$E$200&lt;&gt;"Yes"))*--ISERROR(INDIRECT("'"&amp;DATA_PROPERTY_MASTER!$A$5:$A$200&amp;"'!"&amp;SUBSTITUTE(ADDRESS(1,COLUMN(W$5)+1,4),"1","")&amp;$B27)),0))</f>
        <v>0</v>
      </c>
      <c r="X27" s="350">
        <f ca="1">SUMPRODUCT(IFERROR((DATA_PROPERTY_MASTER!$A$5:$A$200&lt;&gt;"")*IF($C27="Included source errors",--(DATA_PROPERTY_MASTER!$E$5:$E$200="Yes"),--(DATA_PROPERTY_MASTER!$E$5:$E$200&lt;&gt;"Yes"))*--ISERROR(INDIRECT("'"&amp;DATA_PROPERTY_MASTER!$A$5:$A$200&amp;"'!"&amp;SUBSTITUTE(ADDRESS(1,COLUMN(X$5)+1,4),"1","")&amp;$B27)),0))</f>
        <v>0</v>
      </c>
      <c r="Y27" s="350">
        <f t="shared" ca="1" si="0"/>
        <v>0</v>
      </c>
      <c r="Z27" s="382" t="s">
        <v>7467</v>
      </c>
    </row>
    <row r="28" spans="1:26" ht="30">
      <c r="A28" s="382" t="s">
        <v>346</v>
      </c>
      <c r="B28" s="382">
        <v>30</v>
      </c>
      <c r="C28" s="382" t="s">
        <v>1560</v>
      </c>
      <c r="D28" s="350">
        <f ca="1">SUMPRODUCT(IFERROR((DATA_PROPERTY_MASTER!$A$5:$A$200&lt;&gt;"")*IF($C28="Included source errors",--(DATA_PROPERTY_MASTER!$E$5:$E$200="Yes"),--(DATA_PROPERTY_MASTER!$E$5:$E$200&lt;&gt;"Yes"))*--ISERROR(INDIRECT("'"&amp;DATA_PROPERTY_MASTER!$A$5:$A$200&amp;"'!"&amp;SUBSTITUTE(ADDRESS(1,COLUMN(D$5)+1,4),"1","")&amp;$B28)),0))</f>
        <v>0</v>
      </c>
      <c r="E28" s="350">
        <f ca="1">SUMPRODUCT(IFERROR((DATA_PROPERTY_MASTER!$A$5:$A$200&lt;&gt;"")*IF($C28="Included source errors",--(DATA_PROPERTY_MASTER!$E$5:$E$200="Yes"),--(DATA_PROPERTY_MASTER!$E$5:$E$200&lt;&gt;"Yes"))*--ISERROR(INDIRECT("'"&amp;DATA_PROPERTY_MASTER!$A$5:$A$200&amp;"'!"&amp;SUBSTITUTE(ADDRESS(1,COLUMN(E$5)+1,4),"1","")&amp;$B28)),0))</f>
        <v>0</v>
      </c>
      <c r="F28" s="350">
        <f ca="1">SUMPRODUCT(IFERROR((DATA_PROPERTY_MASTER!$A$5:$A$200&lt;&gt;"")*IF($C28="Included source errors",--(DATA_PROPERTY_MASTER!$E$5:$E$200="Yes"),--(DATA_PROPERTY_MASTER!$E$5:$E$200&lt;&gt;"Yes"))*--ISERROR(INDIRECT("'"&amp;DATA_PROPERTY_MASTER!$A$5:$A$200&amp;"'!"&amp;SUBSTITUTE(ADDRESS(1,COLUMN(F$5)+1,4),"1","")&amp;$B28)),0))</f>
        <v>0</v>
      </c>
      <c r="G28" s="350">
        <f ca="1">SUMPRODUCT(IFERROR((DATA_PROPERTY_MASTER!$A$5:$A$200&lt;&gt;"")*IF($C28="Included source errors",--(DATA_PROPERTY_MASTER!$E$5:$E$200="Yes"),--(DATA_PROPERTY_MASTER!$E$5:$E$200&lt;&gt;"Yes"))*--ISERROR(INDIRECT("'"&amp;DATA_PROPERTY_MASTER!$A$5:$A$200&amp;"'!"&amp;SUBSTITUTE(ADDRESS(1,COLUMN(G$5)+1,4),"1","")&amp;$B28)),0))</f>
        <v>0</v>
      </c>
      <c r="H28" s="350">
        <f ca="1">SUMPRODUCT(IFERROR((DATA_PROPERTY_MASTER!$A$5:$A$200&lt;&gt;"")*IF($C28="Included source errors",--(DATA_PROPERTY_MASTER!$E$5:$E$200="Yes"),--(DATA_PROPERTY_MASTER!$E$5:$E$200&lt;&gt;"Yes"))*--ISERROR(INDIRECT("'"&amp;DATA_PROPERTY_MASTER!$A$5:$A$200&amp;"'!"&amp;SUBSTITUTE(ADDRESS(1,COLUMN(H$5)+1,4),"1","")&amp;$B28)),0))</f>
        <v>0</v>
      </c>
      <c r="I28" s="350">
        <f ca="1">SUMPRODUCT(IFERROR((DATA_PROPERTY_MASTER!$A$5:$A$200&lt;&gt;"")*IF($C28="Included source errors",--(DATA_PROPERTY_MASTER!$E$5:$E$200="Yes"),--(DATA_PROPERTY_MASTER!$E$5:$E$200&lt;&gt;"Yes"))*--ISERROR(INDIRECT("'"&amp;DATA_PROPERTY_MASTER!$A$5:$A$200&amp;"'!"&amp;SUBSTITUTE(ADDRESS(1,COLUMN(I$5)+1,4),"1","")&amp;$B28)),0))</f>
        <v>0</v>
      </c>
      <c r="J28" s="350">
        <f ca="1">SUMPRODUCT(IFERROR((DATA_PROPERTY_MASTER!$A$5:$A$200&lt;&gt;"")*IF($C28="Included source errors",--(DATA_PROPERTY_MASTER!$E$5:$E$200="Yes"),--(DATA_PROPERTY_MASTER!$E$5:$E$200&lt;&gt;"Yes"))*--ISERROR(INDIRECT("'"&amp;DATA_PROPERTY_MASTER!$A$5:$A$200&amp;"'!"&amp;SUBSTITUTE(ADDRESS(1,COLUMN(J$5)+1,4),"1","")&amp;$B28)),0))</f>
        <v>0</v>
      </c>
      <c r="K28" s="350">
        <f ca="1">SUMPRODUCT(IFERROR((DATA_PROPERTY_MASTER!$A$5:$A$200&lt;&gt;"")*IF($C28="Included source errors",--(DATA_PROPERTY_MASTER!$E$5:$E$200="Yes"),--(DATA_PROPERTY_MASTER!$E$5:$E$200&lt;&gt;"Yes"))*--ISERROR(INDIRECT("'"&amp;DATA_PROPERTY_MASTER!$A$5:$A$200&amp;"'!"&amp;SUBSTITUTE(ADDRESS(1,COLUMN(K$5)+1,4),"1","")&amp;$B28)),0))</f>
        <v>0</v>
      </c>
      <c r="L28" s="350">
        <f ca="1">SUMPRODUCT(IFERROR((DATA_PROPERTY_MASTER!$A$5:$A$200&lt;&gt;"")*IF($C28="Included source errors",--(DATA_PROPERTY_MASTER!$E$5:$E$200="Yes"),--(DATA_PROPERTY_MASTER!$E$5:$E$200&lt;&gt;"Yes"))*--ISERROR(INDIRECT("'"&amp;DATA_PROPERTY_MASTER!$A$5:$A$200&amp;"'!"&amp;SUBSTITUTE(ADDRESS(1,COLUMN(L$5)+1,4),"1","")&amp;$B28)),0))</f>
        <v>0</v>
      </c>
      <c r="M28" s="350">
        <f ca="1">SUMPRODUCT(IFERROR((DATA_PROPERTY_MASTER!$A$5:$A$200&lt;&gt;"")*IF($C28="Included source errors",--(DATA_PROPERTY_MASTER!$E$5:$E$200="Yes"),--(DATA_PROPERTY_MASTER!$E$5:$E$200&lt;&gt;"Yes"))*--ISERROR(INDIRECT("'"&amp;DATA_PROPERTY_MASTER!$A$5:$A$200&amp;"'!"&amp;SUBSTITUTE(ADDRESS(1,COLUMN(M$5)+1,4),"1","")&amp;$B28)),0))</f>
        <v>0</v>
      </c>
      <c r="N28" s="350">
        <f ca="1">SUMPRODUCT(IFERROR((DATA_PROPERTY_MASTER!$A$5:$A$200&lt;&gt;"")*IF($C28="Included source errors",--(DATA_PROPERTY_MASTER!$E$5:$E$200="Yes"),--(DATA_PROPERTY_MASTER!$E$5:$E$200&lt;&gt;"Yes"))*--ISERROR(INDIRECT("'"&amp;DATA_PROPERTY_MASTER!$A$5:$A$200&amp;"'!"&amp;SUBSTITUTE(ADDRESS(1,COLUMN(N$5)+1,4),"1","")&amp;$B28)),0))</f>
        <v>0</v>
      </c>
      <c r="O28" s="350">
        <f ca="1">SUMPRODUCT(IFERROR((DATA_PROPERTY_MASTER!$A$5:$A$200&lt;&gt;"")*IF($C28="Included source errors",--(DATA_PROPERTY_MASTER!$E$5:$E$200="Yes"),--(DATA_PROPERTY_MASTER!$E$5:$E$200&lt;&gt;"Yes"))*--ISERROR(INDIRECT("'"&amp;DATA_PROPERTY_MASTER!$A$5:$A$200&amp;"'!"&amp;SUBSTITUTE(ADDRESS(1,COLUMN(O$5)+1,4),"1","")&amp;$B28)),0))</f>
        <v>0</v>
      </c>
      <c r="P28" s="350">
        <f ca="1">SUMPRODUCT(IFERROR((DATA_PROPERTY_MASTER!$A$5:$A$200&lt;&gt;"")*IF($C28="Included source errors",--(DATA_PROPERTY_MASTER!$E$5:$E$200="Yes"),--(DATA_PROPERTY_MASTER!$E$5:$E$200&lt;&gt;"Yes"))*--ISERROR(INDIRECT("'"&amp;DATA_PROPERTY_MASTER!$A$5:$A$200&amp;"'!"&amp;SUBSTITUTE(ADDRESS(1,COLUMN(P$5)+1,4),"1","")&amp;$B28)),0))</f>
        <v>0</v>
      </c>
      <c r="Q28" s="350">
        <f ca="1">SUMPRODUCT(IFERROR((DATA_PROPERTY_MASTER!$A$5:$A$200&lt;&gt;"")*IF($C28="Included source errors",--(DATA_PROPERTY_MASTER!$E$5:$E$200="Yes"),--(DATA_PROPERTY_MASTER!$E$5:$E$200&lt;&gt;"Yes"))*--ISERROR(INDIRECT("'"&amp;DATA_PROPERTY_MASTER!$A$5:$A$200&amp;"'!"&amp;SUBSTITUTE(ADDRESS(1,COLUMN(Q$5)+1,4),"1","")&amp;$B28)),0))</f>
        <v>0</v>
      </c>
      <c r="R28" s="350">
        <f ca="1">SUMPRODUCT(IFERROR((DATA_PROPERTY_MASTER!$A$5:$A$200&lt;&gt;"")*IF($C28="Included source errors",--(DATA_PROPERTY_MASTER!$E$5:$E$200="Yes"),--(DATA_PROPERTY_MASTER!$E$5:$E$200&lt;&gt;"Yes"))*--ISERROR(INDIRECT("'"&amp;DATA_PROPERTY_MASTER!$A$5:$A$200&amp;"'!"&amp;SUBSTITUTE(ADDRESS(1,COLUMN(R$5)+1,4),"1","")&amp;$B28)),0))</f>
        <v>0</v>
      </c>
      <c r="S28" s="350">
        <f ca="1">SUMPRODUCT(IFERROR((DATA_PROPERTY_MASTER!$A$5:$A$200&lt;&gt;"")*IF($C28="Included source errors",--(DATA_PROPERTY_MASTER!$E$5:$E$200="Yes"),--(DATA_PROPERTY_MASTER!$E$5:$E$200&lt;&gt;"Yes"))*--ISERROR(INDIRECT("'"&amp;DATA_PROPERTY_MASTER!$A$5:$A$200&amp;"'!"&amp;SUBSTITUTE(ADDRESS(1,COLUMN(S$5)+1,4),"1","")&amp;$B28)),0))</f>
        <v>0</v>
      </c>
      <c r="T28" s="350">
        <f ca="1">SUMPRODUCT(IFERROR((DATA_PROPERTY_MASTER!$A$5:$A$200&lt;&gt;"")*IF($C28="Included source errors",--(DATA_PROPERTY_MASTER!$E$5:$E$200="Yes"),--(DATA_PROPERTY_MASTER!$E$5:$E$200&lt;&gt;"Yes"))*--ISERROR(INDIRECT("'"&amp;DATA_PROPERTY_MASTER!$A$5:$A$200&amp;"'!"&amp;SUBSTITUTE(ADDRESS(1,COLUMN(T$5)+1,4),"1","")&amp;$B28)),0))</f>
        <v>0</v>
      </c>
      <c r="U28" s="350">
        <f ca="1">SUMPRODUCT(IFERROR((DATA_PROPERTY_MASTER!$A$5:$A$200&lt;&gt;"")*IF($C28="Included source errors",--(DATA_PROPERTY_MASTER!$E$5:$E$200="Yes"),--(DATA_PROPERTY_MASTER!$E$5:$E$200&lt;&gt;"Yes"))*--ISERROR(INDIRECT("'"&amp;DATA_PROPERTY_MASTER!$A$5:$A$200&amp;"'!"&amp;SUBSTITUTE(ADDRESS(1,COLUMN(U$5)+1,4),"1","")&amp;$B28)),0))</f>
        <v>0</v>
      </c>
      <c r="V28" s="350">
        <f ca="1">SUMPRODUCT(IFERROR((DATA_PROPERTY_MASTER!$A$5:$A$200&lt;&gt;"")*IF($C28="Included source errors",--(DATA_PROPERTY_MASTER!$E$5:$E$200="Yes"),--(DATA_PROPERTY_MASTER!$E$5:$E$200&lt;&gt;"Yes"))*--ISERROR(INDIRECT("'"&amp;DATA_PROPERTY_MASTER!$A$5:$A$200&amp;"'!"&amp;SUBSTITUTE(ADDRESS(1,COLUMN(V$5)+1,4),"1","")&amp;$B28)),0))</f>
        <v>0</v>
      </c>
      <c r="W28" s="350">
        <f ca="1">SUMPRODUCT(IFERROR((DATA_PROPERTY_MASTER!$A$5:$A$200&lt;&gt;"")*IF($C28="Included source errors",--(DATA_PROPERTY_MASTER!$E$5:$E$200="Yes"),--(DATA_PROPERTY_MASTER!$E$5:$E$200&lt;&gt;"Yes"))*--ISERROR(INDIRECT("'"&amp;DATA_PROPERTY_MASTER!$A$5:$A$200&amp;"'!"&amp;SUBSTITUTE(ADDRESS(1,COLUMN(W$5)+1,4),"1","")&amp;$B28)),0))</f>
        <v>0</v>
      </c>
      <c r="X28" s="350">
        <f ca="1">SUMPRODUCT(IFERROR((DATA_PROPERTY_MASTER!$A$5:$A$200&lt;&gt;"")*IF($C28="Included source errors",--(DATA_PROPERTY_MASTER!$E$5:$E$200="Yes"),--(DATA_PROPERTY_MASTER!$E$5:$E$200&lt;&gt;"Yes"))*--ISERROR(INDIRECT("'"&amp;DATA_PROPERTY_MASTER!$A$5:$A$200&amp;"'!"&amp;SUBSTITUTE(ADDRESS(1,COLUMN(X$5)+1,4),"1","")&amp;$B28)),0))</f>
        <v>0</v>
      </c>
      <c r="Y28" s="350">
        <f t="shared" ca="1" si="0"/>
        <v>0</v>
      </c>
      <c r="Z28" s="382" t="s">
        <v>7467</v>
      </c>
    </row>
    <row r="29" spans="1:26" ht="30">
      <c r="A29" s="382" t="s">
        <v>346</v>
      </c>
      <c r="B29" s="382">
        <v>30</v>
      </c>
      <c r="C29" s="382" t="s">
        <v>1563</v>
      </c>
      <c r="D29" s="350">
        <f ca="1">SUMPRODUCT(IFERROR((DATA_PROPERTY_MASTER!$A$5:$A$200&lt;&gt;"")*IF($C29="Included source errors",--(DATA_PROPERTY_MASTER!$E$5:$E$200="Yes"),--(DATA_PROPERTY_MASTER!$E$5:$E$200&lt;&gt;"Yes"))*--ISERROR(INDIRECT("'"&amp;DATA_PROPERTY_MASTER!$A$5:$A$200&amp;"'!"&amp;SUBSTITUTE(ADDRESS(1,COLUMN(D$5)+1,4),"1","")&amp;$B29)),0))</f>
        <v>0</v>
      </c>
      <c r="E29" s="350">
        <f ca="1">SUMPRODUCT(IFERROR((DATA_PROPERTY_MASTER!$A$5:$A$200&lt;&gt;"")*IF($C29="Included source errors",--(DATA_PROPERTY_MASTER!$E$5:$E$200="Yes"),--(DATA_PROPERTY_MASTER!$E$5:$E$200&lt;&gt;"Yes"))*--ISERROR(INDIRECT("'"&amp;DATA_PROPERTY_MASTER!$A$5:$A$200&amp;"'!"&amp;SUBSTITUTE(ADDRESS(1,COLUMN(E$5)+1,4),"1","")&amp;$B29)),0))</f>
        <v>0</v>
      </c>
      <c r="F29" s="350">
        <f ca="1">SUMPRODUCT(IFERROR((DATA_PROPERTY_MASTER!$A$5:$A$200&lt;&gt;"")*IF($C29="Included source errors",--(DATA_PROPERTY_MASTER!$E$5:$E$200="Yes"),--(DATA_PROPERTY_MASTER!$E$5:$E$200&lt;&gt;"Yes"))*--ISERROR(INDIRECT("'"&amp;DATA_PROPERTY_MASTER!$A$5:$A$200&amp;"'!"&amp;SUBSTITUTE(ADDRESS(1,COLUMN(F$5)+1,4),"1","")&amp;$B29)),0))</f>
        <v>0</v>
      </c>
      <c r="G29" s="350">
        <f ca="1">SUMPRODUCT(IFERROR((DATA_PROPERTY_MASTER!$A$5:$A$200&lt;&gt;"")*IF($C29="Included source errors",--(DATA_PROPERTY_MASTER!$E$5:$E$200="Yes"),--(DATA_PROPERTY_MASTER!$E$5:$E$200&lt;&gt;"Yes"))*--ISERROR(INDIRECT("'"&amp;DATA_PROPERTY_MASTER!$A$5:$A$200&amp;"'!"&amp;SUBSTITUTE(ADDRESS(1,COLUMN(G$5)+1,4),"1","")&amp;$B29)),0))</f>
        <v>0</v>
      </c>
      <c r="H29" s="350">
        <f ca="1">SUMPRODUCT(IFERROR((DATA_PROPERTY_MASTER!$A$5:$A$200&lt;&gt;"")*IF($C29="Included source errors",--(DATA_PROPERTY_MASTER!$E$5:$E$200="Yes"),--(DATA_PROPERTY_MASTER!$E$5:$E$200&lt;&gt;"Yes"))*--ISERROR(INDIRECT("'"&amp;DATA_PROPERTY_MASTER!$A$5:$A$200&amp;"'!"&amp;SUBSTITUTE(ADDRESS(1,COLUMN(H$5)+1,4),"1","")&amp;$B29)),0))</f>
        <v>0</v>
      </c>
      <c r="I29" s="350">
        <f ca="1">SUMPRODUCT(IFERROR((DATA_PROPERTY_MASTER!$A$5:$A$200&lt;&gt;"")*IF($C29="Included source errors",--(DATA_PROPERTY_MASTER!$E$5:$E$200="Yes"),--(DATA_PROPERTY_MASTER!$E$5:$E$200&lt;&gt;"Yes"))*--ISERROR(INDIRECT("'"&amp;DATA_PROPERTY_MASTER!$A$5:$A$200&amp;"'!"&amp;SUBSTITUTE(ADDRESS(1,COLUMN(I$5)+1,4),"1","")&amp;$B29)),0))</f>
        <v>0</v>
      </c>
      <c r="J29" s="350">
        <f ca="1">SUMPRODUCT(IFERROR((DATA_PROPERTY_MASTER!$A$5:$A$200&lt;&gt;"")*IF($C29="Included source errors",--(DATA_PROPERTY_MASTER!$E$5:$E$200="Yes"),--(DATA_PROPERTY_MASTER!$E$5:$E$200&lt;&gt;"Yes"))*--ISERROR(INDIRECT("'"&amp;DATA_PROPERTY_MASTER!$A$5:$A$200&amp;"'!"&amp;SUBSTITUTE(ADDRESS(1,COLUMN(J$5)+1,4),"1","")&amp;$B29)),0))</f>
        <v>0</v>
      </c>
      <c r="K29" s="350">
        <f ca="1">SUMPRODUCT(IFERROR((DATA_PROPERTY_MASTER!$A$5:$A$200&lt;&gt;"")*IF($C29="Included source errors",--(DATA_PROPERTY_MASTER!$E$5:$E$200="Yes"),--(DATA_PROPERTY_MASTER!$E$5:$E$200&lt;&gt;"Yes"))*--ISERROR(INDIRECT("'"&amp;DATA_PROPERTY_MASTER!$A$5:$A$200&amp;"'!"&amp;SUBSTITUTE(ADDRESS(1,COLUMN(K$5)+1,4),"1","")&amp;$B29)),0))</f>
        <v>0</v>
      </c>
      <c r="L29" s="350">
        <f ca="1">SUMPRODUCT(IFERROR((DATA_PROPERTY_MASTER!$A$5:$A$200&lt;&gt;"")*IF($C29="Included source errors",--(DATA_PROPERTY_MASTER!$E$5:$E$200="Yes"),--(DATA_PROPERTY_MASTER!$E$5:$E$200&lt;&gt;"Yes"))*--ISERROR(INDIRECT("'"&amp;DATA_PROPERTY_MASTER!$A$5:$A$200&amp;"'!"&amp;SUBSTITUTE(ADDRESS(1,COLUMN(L$5)+1,4),"1","")&amp;$B29)),0))</f>
        <v>0</v>
      </c>
      <c r="M29" s="350">
        <f ca="1">SUMPRODUCT(IFERROR((DATA_PROPERTY_MASTER!$A$5:$A$200&lt;&gt;"")*IF($C29="Included source errors",--(DATA_PROPERTY_MASTER!$E$5:$E$200="Yes"),--(DATA_PROPERTY_MASTER!$E$5:$E$200&lt;&gt;"Yes"))*--ISERROR(INDIRECT("'"&amp;DATA_PROPERTY_MASTER!$A$5:$A$200&amp;"'!"&amp;SUBSTITUTE(ADDRESS(1,COLUMN(M$5)+1,4),"1","")&amp;$B29)),0))</f>
        <v>0</v>
      </c>
      <c r="N29" s="350">
        <f ca="1">SUMPRODUCT(IFERROR((DATA_PROPERTY_MASTER!$A$5:$A$200&lt;&gt;"")*IF($C29="Included source errors",--(DATA_PROPERTY_MASTER!$E$5:$E$200="Yes"),--(DATA_PROPERTY_MASTER!$E$5:$E$200&lt;&gt;"Yes"))*--ISERROR(INDIRECT("'"&amp;DATA_PROPERTY_MASTER!$A$5:$A$200&amp;"'!"&amp;SUBSTITUTE(ADDRESS(1,COLUMN(N$5)+1,4),"1","")&amp;$B29)),0))</f>
        <v>0</v>
      </c>
      <c r="O29" s="350">
        <f ca="1">SUMPRODUCT(IFERROR((DATA_PROPERTY_MASTER!$A$5:$A$200&lt;&gt;"")*IF($C29="Included source errors",--(DATA_PROPERTY_MASTER!$E$5:$E$200="Yes"),--(DATA_PROPERTY_MASTER!$E$5:$E$200&lt;&gt;"Yes"))*--ISERROR(INDIRECT("'"&amp;DATA_PROPERTY_MASTER!$A$5:$A$200&amp;"'!"&amp;SUBSTITUTE(ADDRESS(1,COLUMN(O$5)+1,4),"1","")&amp;$B29)),0))</f>
        <v>0</v>
      </c>
      <c r="P29" s="350">
        <f ca="1">SUMPRODUCT(IFERROR((DATA_PROPERTY_MASTER!$A$5:$A$200&lt;&gt;"")*IF($C29="Included source errors",--(DATA_PROPERTY_MASTER!$E$5:$E$200="Yes"),--(DATA_PROPERTY_MASTER!$E$5:$E$200&lt;&gt;"Yes"))*--ISERROR(INDIRECT("'"&amp;DATA_PROPERTY_MASTER!$A$5:$A$200&amp;"'!"&amp;SUBSTITUTE(ADDRESS(1,COLUMN(P$5)+1,4),"1","")&amp;$B29)),0))</f>
        <v>0</v>
      </c>
      <c r="Q29" s="350">
        <f ca="1">SUMPRODUCT(IFERROR((DATA_PROPERTY_MASTER!$A$5:$A$200&lt;&gt;"")*IF($C29="Included source errors",--(DATA_PROPERTY_MASTER!$E$5:$E$200="Yes"),--(DATA_PROPERTY_MASTER!$E$5:$E$200&lt;&gt;"Yes"))*--ISERROR(INDIRECT("'"&amp;DATA_PROPERTY_MASTER!$A$5:$A$200&amp;"'!"&amp;SUBSTITUTE(ADDRESS(1,COLUMN(Q$5)+1,4),"1","")&amp;$B29)),0))</f>
        <v>0</v>
      </c>
      <c r="R29" s="350">
        <f ca="1">SUMPRODUCT(IFERROR((DATA_PROPERTY_MASTER!$A$5:$A$200&lt;&gt;"")*IF($C29="Included source errors",--(DATA_PROPERTY_MASTER!$E$5:$E$200="Yes"),--(DATA_PROPERTY_MASTER!$E$5:$E$200&lt;&gt;"Yes"))*--ISERROR(INDIRECT("'"&amp;DATA_PROPERTY_MASTER!$A$5:$A$200&amp;"'!"&amp;SUBSTITUTE(ADDRESS(1,COLUMN(R$5)+1,4),"1","")&amp;$B29)),0))</f>
        <v>0</v>
      </c>
      <c r="S29" s="350">
        <f ca="1">SUMPRODUCT(IFERROR((DATA_PROPERTY_MASTER!$A$5:$A$200&lt;&gt;"")*IF($C29="Included source errors",--(DATA_PROPERTY_MASTER!$E$5:$E$200="Yes"),--(DATA_PROPERTY_MASTER!$E$5:$E$200&lt;&gt;"Yes"))*--ISERROR(INDIRECT("'"&amp;DATA_PROPERTY_MASTER!$A$5:$A$200&amp;"'!"&amp;SUBSTITUTE(ADDRESS(1,COLUMN(S$5)+1,4),"1","")&amp;$B29)),0))</f>
        <v>0</v>
      </c>
      <c r="T29" s="350">
        <f ca="1">SUMPRODUCT(IFERROR((DATA_PROPERTY_MASTER!$A$5:$A$200&lt;&gt;"")*IF($C29="Included source errors",--(DATA_PROPERTY_MASTER!$E$5:$E$200="Yes"),--(DATA_PROPERTY_MASTER!$E$5:$E$200&lt;&gt;"Yes"))*--ISERROR(INDIRECT("'"&amp;DATA_PROPERTY_MASTER!$A$5:$A$200&amp;"'!"&amp;SUBSTITUTE(ADDRESS(1,COLUMN(T$5)+1,4),"1","")&amp;$B29)),0))</f>
        <v>0</v>
      </c>
      <c r="U29" s="350">
        <f ca="1">SUMPRODUCT(IFERROR((DATA_PROPERTY_MASTER!$A$5:$A$200&lt;&gt;"")*IF($C29="Included source errors",--(DATA_PROPERTY_MASTER!$E$5:$E$200="Yes"),--(DATA_PROPERTY_MASTER!$E$5:$E$200&lt;&gt;"Yes"))*--ISERROR(INDIRECT("'"&amp;DATA_PROPERTY_MASTER!$A$5:$A$200&amp;"'!"&amp;SUBSTITUTE(ADDRESS(1,COLUMN(U$5)+1,4),"1","")&amp;$B29)),0))</f>
        <v>0</v>
      </c>
      <c r="V29" s="350">
        <f ca="1">SUMPRODUCT(IFERROR((DATA_PROPERTY_MASTER!$A$5:$A$200&lt;&gt;"")*IF($C29="Included source errors",--(DATA_PROPERTY_MASTER!$E$5:$E$200="Yes"),--(DATA_PROPERTY_MASTER!$E$5:$E$200&lt;&gt;"Yes"))*--ISERROR(INDIRECT("'"&amp;DATA_PROPERTY_MASTER!$A$5:$A$200&amp;"'!"&amp;SUBSTITUTE(ADDRESS(1,COLUMN(V$5)+1,4),"1","")&amp;$B29)),0))</f>
        <v>0</v>
      </c>
      <c r="W29" s="350">
        <f ca="1">SUMPRODUCT(IFERROR((DATA_PROPERTY_MASTER!$A$5:$A$200&lt;&gt;"")*IF($C29="Included source errors",--(DATA_PROPERTY_MASTER!$E$5:$E$200="Yes"),--(DATA_PROPERTY_MASTER!$E$5:$E$200&lt;&gt;"Yes"))*--ISERROR(INDIRECT("'"&amp;DATA_PROPERTY_MASTER!$A$5:$A$200&amp;"'!"&amp;SUBSTITUTE(ADDRESS(1,COLUMN(W$5)+1,4),"1","")&amp;$B29)),0))</f>
        <v>0</v>
      </c>
      <c r="X29" s="350">
        <f ca="1">SUMPRODUCT(IFERROR((DATA_PROPERTY_MASTER!$A$5:$A$200&lt;&gt;"")*IF($C29="Included source errors",--(DATA_PROPERTY_MASTER!$E$5:$E$200="Yes"),--(DATA_PROPERTY_MASTER!$E$5:$E$200&lt;&gt;"Yes"))*--ISERROR(INDIRECT("'"&amp;DATA_PROPERTY_MASTER!$A$5:$A$200&amp;"'!"&amp;SUBSTITUTE(ADDRESS(1,COLUMN(X$5)+1,4),"1","")&amp;$B29)),0))</f>
        <v>0</v>
      </c>
      <c r="Y29" s="350">
        <f t="shared" ca="1" si="0"/>
        <v>0</v>
      </c>
      <c r="Z29" s="382" t="s">
        <v>7467</v>
      </c>
    </row>
    <row r="30" spans="1:26" ht="30">
      <c r="A30" s="382" t="s">
        <v>347</v>
      </c>
      <c r="B30" s="382">
        <v>31</v>
      </c>
      <c r="C30" s="382" t="s">
        <v>1560</v>
      </c>
      <c r="D30" s="350">
        <f ca="1">SUMPRODUCT(IFERROR((DATA_PROPERTY_MASTER!$A$5:$A$200&lt;&gt;"")*IF($C30="Included source errors",--(DATA_PROPERTY_MASTER!$E$5:$E$200="Yes"),--(DATA_PROPERTY_MASTER!$E$5:$E$200&lt;&gt;"Yes"))*--ISERROR(INDIRECT("'"&amp;DATA_PROPERTY_MASTER!$A$5:$A$200&amp;"'!"&amp;SUBSTITUTE(ADDRESS(1,COLUMN(D$5)+1,4),"1","")&amp;$B30)),0))</f>
        <v>0</v>
      </c>
      <c r="E30" s="350">
        <f ca="1">SUMPRODUCT(IFERROR((DATA_PROPERTY_MASTER!$A$5:$A$200&lt;&gt;"")*IF($C30="Included source errors",--(DATA_PROPERTY_MASTER!$E$5:$E$200="Yes"),--(DATA_PROPERTY_MASTER!$E$5:$E$200&lt;&gt;"Yes"))*--ISERROR(INDIRECT("'"&amp;DATA_PROPERTY_MASTER!$A$5:$A$200&amp;"'!"&amp;SUBSTITUTE(ADDRESS(1,COLUMN(E$5)+1,4),"1","")&amp;$B30)),0))</f>
        <v>0</v>
      </c>
      <c r="F30" s="350">
        <f ca="1">SUMPRODUCT(IFERROR((DATA_PROPERTY_MASTER!$A$5:$A$200&lt;&gt;"")*IF($C30="Included source errors",--(DATA_PROPERTY_MASTER!$E$5:$E$200="Yes"),--(DATA_PROPERTY_MASTER!$E$5:$E$200&lt;&gt;"Yes"))*--ISERROR(INDIRECT("'"&amp;DATA_PROPERTY_MASTER!$A$5:$A$200&amp;"'!"&amp;SUBSTITUTE(ADDRESS(1,COLUMN(F$5)+1,4),"1","")&amp;$B30)),0))</f>
        <v>0</v>
      </c>
      <c r="G30" s="350">
        <f ca="1">SUMPRODUCT(IFERROR((DATA_PROPERTY_MASTER!$A$5:$A$200&lt;&gt;"")*IF($C30="Included source errors",--(DATA_PROPERTY_MASTER!$E$5:$E$200="Yes"),--(DATA_PROPERTY_MASTER!$E$5:$E$200&lt;&gt;"Yes"))*--ISERROR(INDIRECT("'"&amp;DATA_PROPERTY_MASTER!$A$5:$A$200&amp;"'!"&amp;SUBSTITUTE(ADDRESS(1,COLUMN(G$5)+1,4),"1","")&amp;$B30)),0))</f>
        <v>0</v>
      </c>
      <c r="H30" s="350">
        <f ca="1">SUMPRODUCT(IFERROR((DATA_PROPERTY_MASTER!$A$5:$A$200&lt;&gt;"")*IF($C30="Included source errors",--(DATA_PROPERTY_MASTER!$E$5:$E$200="Yes"),--(DATA_PROPERTY_MASTER!$E$5:$E$200&lt;&gt;"Yes"))*--ISERROR(INDIRECT("'"&amp;DATA_PROPERTY_MASTER!$A$5:$A$200&amp;"'!"&amp;SUBSTITUTE(ADDRESS(1,COLUMN(H$5)+1,4),"1","")&amp;$B30)),0))</f>
        <v>0</v>
      </c>
      <c r="I30" s="350">
        <f ca="1">SUMPRODUCT(IFERROR((DATA_PROPERTY_MASTER!$A$5:$A$200&lt;&gt;"")*IF($C30="Included source errors",--(DATA_PROPERTY_MASTER!$E$5:$E$200="Yes"),--(DATA_PROPERTY_MASTER!$E$5:$E$200&lt;&gt;"Yes"))*--ISERROR(INDIRECT("'"&amp;DATA_PROPERTY_MASTER!$A$5:$A$200&amp;"'!"&amp;SUBSTITUTE(ADDRESS(1,COLUMN(I$5)+1,4),"1","")&amp;$B30)),0))</f>
        <v>0</v>
      </c>
      <c r="J30" s="350">
        <f ca="1">SUMPRODUCT(IFERROR((DATA_PROPERTY_MASTER!$A$5:$A$200&lt;&gt;"")*IF($C30="Included source errors",--(DATA_PROPERTY_MASTER!$E$5:$E$200="Yes"),--(DATA_PROPERTY_MASTER!$E$5:$E$200&lt;&gt;"Yes"))*--ISERROR(INDIRECT("'"&amp;DATA_PROPERTY_MASTER!$A$5:$A$200&amp;"'!"&amp;SUBSTITUTE(ADDRESS(1,COLUMN(J$5)+1,4),"1","")&amp;$B30)),0))</f>
        <v>0</v>
      </c>
      <c r="K30" s="350">
        <f ca="1">SUMPRODUCT(IFERROR((DATA_PROPERTY_MASTER!$A$5:$A$200&lt;&gt;"")*IF($C30="Included source errors",--(DATA_PROPERTY_MASTER!$E$5:$E$200="Yes"),--(DATA_PROPERTY_MASTER!$E$5:$E$200&lt;&gt;"Yes"))*--ISERROR(INDIRECT("'"&amp;DATA_PROPERTY_MASTER!$A$5:$A$200&amp;"'!"&amp;SUBSTITUTE(ADDRESS(1,COLUMN(K$5)+1,4),"1","")&amp;$B30)),0))</f>
        <v>0</v>
      </c>
      <c r="L30" s="350">
        <f ca="1">SUMPRODUCT(IFERROR((DATA_PROPERTY_MASTER!$A$5:$A$200&lt;&gt;"")*IF($C30="Included source errors",--(DATA_PROPERTY_MASTER!$E$5:$E$200="Yes"),--(DATA_PROPERTY_MASTER!$E$5:$E$200&lt;&gt;"Yes"))*--ISERROR(INDIRECT("'"&amp;DATA_PROPERTY_MASTER!$A$5:$A$200&amp;"'!"&amp;SUBSTITUTE(ADDRESS(1,COLUMN(L$5)+1,4),"1","")&amp;$B30)),0))</f>
        <v>0</v>
      </c>
      <c r="M30" s="350">
        <f ca="1">SUMPRODUCT(IFERROR((DATA_PROPERTY_MASTER!$A$5:$A$200&lt;&gt;"")*IF($C30="Included source errors",--(DATA_PROPERTY_MASTER!$E$5:$E$200="Yes"),--(DATA_PROPERTY_MASTER!$E$5:$E$200&lt;&gt;"Yes"))*--ISERROR(INDIRECT("'"&amp;DATA_PROPERTY_MASTER!$A$5:$A$200&amp;"'!"&amp;SUBSTITUTE(ADDRESS(1,COLUMN(M$5)+1,4),"1","")&amp;$B30)),0))</f>
        <v>0</v>
      </c>
      <c r="N30" s="350">
        <f ca="1">SUMPRODUCT(IFERROR((DATA_PROPERTY_MASTER!$A$5:$A$200&lt;&gt;"")*IF($C30="Included source errors",--(DATA_PROPERTY_MASTER!$E$5:$E$200="Yes"),--(DATA_PROPERTY_MASTER!$E$5:$E$200&lt;&gt;"Yes"))*--ISERROR(INDIRECT("'"&amp;DATA_PROPERTY_MASTER!$A$5:$A$200&amp;"'!"&amp;SUBSTITUTE(ADDRESS(1,COLUMN(N$5)+1,4),"1","")&amp;$B30)),0))</f>
        <v>0</v>
      </c>
      <c r="O30" s="350">
        <f ca="1">SUMPRODUCT(IFERROR((DATA_PROPERTY_MASTER!$A$5:$A$200&lt;&gt;"")*IF($C30="Included source errors",--(DATA_PROPERTY_MASTER!$E$5:$E$200="Yes"),--(DATA_PROPERTY_MASTER!$E$5:$E$200&lt;&gt;"Yes"))*--ISERROR(INDIRECT("'"&amp;DATA_PROPERTY_MASTER!$A$5:$A$200&amp;"'!"&amp;SUBSTITUTE(ADDRESS(1,COLUMN(O$5)+1,4),"1","")&amp;$B30)),0))</f>
        <v>0</v>
      </c>
      <c r="P30" s="350">
        <f ca="1">SUMPRODUCT(IFERROR((DATA_PROPERTY_MASTER!$A$5:$A$200&lt;&gt;"")*IF($C30="Included source errors",--(DATA_PROPERTY_MASTER!$E$5:$E$200="Yes"),--(DATA_PROPERTY_MASTER!$E$5:$E$200&lt;&gt;"Yes"))*--ISERROR(INDIRECT("'"&amp;DATA_PROPERTY_MASTER!$A$5:$A$200&amp;"'!"&amp;SUBSTITUTE(ADDRESS(1,COLUMN(P$5)+1,4),"1","")&amp;$B30)),0))</f>
        <v>0</v>
      </c>
      <c r="Q30" s="350">
        <f ca="1">SUMPRODUCT(IFERROR((DATA_PROPERTY_MASTER!$A$5:$A$200&lt;&gt;"")*IF($C30="Included source errors",--(DATA_PROPERTY_MASTER!$E$5:$E$200="Yes"),--(DATA_PROPERTY_MASTER!$E$5:$E$200&lt;&gt;"Yes"))*--ISERROR(INDIRECT("'"&amp;DATA_PROPERTY_MASTER!$A$5:$A$200&amp;"'!"&amp;SUBSTITUTE(ADDRESS(1,COLUMN(Q$5)+1,4),"1","")&amp;$B30)),0))</f>
        <v>0</v>
      </c>
      <c r="R30" s="350">
        <f ca="1">SUMPRODUCT(IFERROR((DATA_PROPERTY_MASTER!$A$5:$A$200&lt;&gt;"")*IF($C30="Included source errors",--(DATA_PROPERTY_MASTER!$E$5:$E$200="Yes"),--(DATA_PROPERTY_MASTER!$E$5:$E$200&lt;&gt;"Yes"))*--ISERROR(INDIRECT("'"&amp;DATA_PROPERTY_MASTER!$A$5:$A$200&amp;"'!"&amp;SUBSTITUTE(ADDRESS(1,COLUMN(R$5)+1,4),"1","")&amp;$B30)),0))</f>
        <v>0</v>
      </c>
      <c r="S30" s="350">
        <f ca="1">SUMPRODUCT(IFERROR((DATA_PROPERTY_MASTER!$A$5:$A$200&lt;&gt;"")*IF($C30="Included source errors",--(DATA_PROPERTY_MASTER!$E$5:$E$200="Yes"),--(DATA_PROPERTY_MASTER!$E$5:$E$200&lt;&gt;"Yes"))*--ISERROR(INDIRECT("'"&amp;DATA_PROPERTY_MASTER!$A$5:$A$200&amp;"'!"&amp;SUBSTITUTE(ADDRESS(1,COLUMN(S$5)+1,4),"1","")&amp;$B30)),0))</f>
        <v>0</v>
      </c>
      <c r="T30" s="350">
        <f ca="1">SUMPRODUCT(IFERROR((DATA_PROPERTY_MASTER!$A$5:$A$200&lt;&gt;"")*IF($C30="Included source errors",--(DATA_PROPERTY_MASTER!$E$5:$E$200="Yes"),--(DATA_PROPERTY_MASTER!$E$5:$E$200&lt;&gt;"Yes"))*--ISERROR(INDIRECT("'"&amp;DATA_PROPERTY_MASTER!$A$5:$A$200&amp;"'!"&amp;SUBSTITUTE(ADDRESS(1,COLUMN(T$5)+1,4),"1","")&amp;$B30)),0))</f>
        <v>0</v>
      </c>
      <c r="U30" s="350">
        <f ca="1">SUMPRODUCT(IFERROR((DATA_PROPERTY_MASTER!$A$5:$A$200&lt;&gt;"")*IF($C30="Included source errors",--(DATA_PROPERTY_MASTER!$E$5:$E$200="Yes"),--(DATA_PROPERTY_MASTER!$E$5:$E$200&lt;&gt;"Yes"))*--ISERROR(INDIRECT("'"&amp;DATA_PROPERTY_MASTER!$A$5:$A$200&amp;"'!"&amp;SUBSTITUTE(ADDRESS(1,COLUMN(U$5)+1,4),"1","")&amp;$B30)),0))</f>
        <v>0</v>
      </c>
      <c r="V30" s="350">
        <f ca="1">SUMPRODUCT(IFERROR((DATA_PROPERTY_MASTER!$A$5:$A$200&lt;&gt;"")*IF($C30="Included source errors",--(DATA_PROPERTY_MASTER!$E$5:$E$200="Yes"),--(DATA_PROPERTY_MASTER!$E$5:$E$200&lt;&gt;"Yes"))*--ISERROR(INDIRECT("'"&amp;DATA_PROPERTY_MASTER!$A$5:$A$200&amp;"'!"&amp;SUBSTITUTE(ADDRESS(1,COLUMN(V$5)+1,4),"1","")&amp;$B30)),0))</f>
        <v>0</v>
      </c>
      <c r="W30" s="350">
        <f ca="1">SUMPRODUCT(IFERROR((DATA_PROPERTY_MASTER!$A$5:$A$200&lt;&gt;"")*IF($C30="Included source errors",--(DATA_PROPERTY_MASTER!$E$5:$E$200="Yes"),--(DATA_PROPERTY_MASTER!$E$5:$E$200&lt;&gt;"Yes"))*--ISERROR(INDIRECT("'"&amp;DATA_PROPERTY_MASTER!$A$5:$A$200&amp;"'!"&amp;SUBSTITUTE(ADDRESS(1,COLUMN(W$5)+1,4),"1","")&amp;$B30)),0))</f>
        <v>0</v>
      </c>
      <c r="X30" s="350">
        <f ca="1">SUMPRODUCT(IFERROR((DATA_PROPERTY_MASTER!$A$5:$A$200&lt;&gt;"")*IF($C30="Included source errors",--(DATA_PROPERTY_MASTER!$E$5:$E$200="Yes"),--(DATA_PROPERTY_MASTER!$E$5:$E$200&lt;&gt;"Yes"))*--ISERROR(INDIRECT("'"&amp;DATA_PROPERTY_MASTER!$A$5:$A$200&amp;"'!"&amp;SUBSTITUTE(ADDRESS(1,COLUMN(X$5)+1,4),"1","")&amp;$B30)),0))</f>
        <v>0</v>
      </c>
      <c r="Y30" s="350">
        <f t="shared" ca="1" si="0"/>
        <v>0</v>
      </c>
      <c r="Z30" s="382" t="s">
        <v>7467</v>
      </c>
    </row>
    <row r="31" spans="1:26" ht="30">
      <c r="A31" s="382" t="s">
        <v>347</v>
      </c>
      <c r="B31" s="382">
        <v>31</v>
      </c>
      <c r="C31" s="382" t="s">
        <v>1563</v>
      </c>
      <c r="D31" s="350">
        <f ca="1">SUMPRODUCT(IFERROR((DATA_PROPERTY_MASTER!$A$5:$A$200&lt;&gt;"")*IF($C31="Included source errors",--(DATA_PROPERTY_MASTER!$E$5:$E$200="Yes"),--(DATA_PROPERTY_MASTER!$E$5:$E$200&lt;&gt;"Yes"))*--ISERROR(INDIRECT("'"&amp;DATA_PROPERTY_MASTER!$A$5:$A$200&amp;"'!"&amp;SUBSTITUTE(ADDRESS(1,COLUMN(D$5)+1,4),"1","")&amp;$B31)),0))</f>
        <v>0</v>
      </c>
      <c r="E31" s="350">
        <f ca="1">SUMPRODUCT(IFERROR((DATA_PROPERTY_MASTER!$A$5:$A$200&lt;&gt;"")*IF($C31="Included source errors",--(DATA_PROPERTY_MASTER!$E$5:$E$200="Yes"),--(DATA_PROPERTY_MASTER!$E$5:$E$200&lt;&gt;"Yes"))*--ISERROR(INDIRECT("'"&amp;DATA_PROPERTY_MASTER!$A$5:$A$200&amp;"'!"&amp;SUBSTITUTE(ADDRESS(1,COLUMN(E$5)+1,4),"1","")&amp;$B31)),0))</f>
        <v>0</v>
      </c>
      <c r="F31" s="350">
        <f ca="1">SUMPRODUCT(IFERROR((DATA_PROPERTY_MASTER!$A$5:$A$200&lt;&gt;"")*IF($C31="Included source errors",--(DATA_PROPERTY_MASTER!$E$5:$E$200="Yes"),--(DATA_PROPERTY_MASTER!$E$5:$E$200&lt;&gt;"Yes"))*--ISERROR(INDIRECT("'"&amp;DATA_PROPERTY_MASTER!$A$5:$A$200&amp;"'!"&amp;SUBSTITUTE(ADDRESS(1,COLUMN(F$5)+1,4),"1","")&amp;$B31)),0))</f>
        <v>0</v>
      </c>
      <c r="G31" s="350">
        <f ca="1">SUMPRODUCT(IFERROR((DATA_PROPERTY_MASTER!$A$5:$A$200&lt;&gt;"")*IF($C31="Included source errors",--(DATA_PROPERTY_MASTER!$E$5:$E$200="Yes"),--(DATA_PROPERTY_MASTER!$E$5:$E$200&lt;&gt;"Yes"))*--ISERROR(INDIRECT("'"&amp;DATA_PROPERTY_MASTER!$A$5:$A$200&amp;"'!"&amp;SUBSTITUTE(ADDRESS(1,COLUMN(G$5)+1,4),"1","")&amp;$B31)),0))</f>
        <v>0</v>
      </c>
      <c r="H31" s="350">
        <f ca="1">SUMPRODUCT(IFERROR((DATA_PROPERTY_MASTER!$A$5:$A$200&lt;&gt;"")*IF($C31="Included source errors",--(DATA_PROPERTY_MASTER!$E$5:$E$200="Yes"),--(DATA_PROPERTY_MASTER!$E$5:$E$200&lt;&gt;"Yes"))*--ISERROR(INDIRECT("'"&amp;DATA_PROPERTY_MASTER!$A$5:$A$200&amp;"'!"&amp;SUBSTITUTE(ADDRESS(1,COLUMN(H$5)+1,4),"1","")&amp;$B31)),0))</f>
        <v>0</v>
      </c>
      <c r="I31" s="350">
        <f ca="1">SUMPRODUCT(IFERROR((DATA_PROPERTY_MASTER!$A$5:$A$200&lt;&gt;"")*IF($C31="Included source errors",--(DATA_PROPERTY_MASTER!$E$5:$E$200="Yes"),--(DATA_PROPERTY_MASTER!$E$5:$E$200&lt;&gt;"Yes"))*--ISERROR(INDIRECT("'"&amp;DATA_PROPERTY_MASTER!$A$5:$A$200&amp;"'!"&amp;SUBSTITUTE(ADDRESS(1,COLUMN(I$5)+1,4),"1","")&amp;$B31)),0))</f>
        <v>0</v>
      </c>
      <c r="J31" s="350">
        <f ca="1">SUMPRODUCT(IFERROR((DATA_PROPERTY_MASTER!$A$5:$A$200&lt;&gt;"")*IF($C31="Included source errors",--(DATA_PROPERTY_MASTER!$E$5:$E$200="Yes"),--(DATA_PROPERTY_MASTER!$E$5:$E$200&lt;&gt;"Yes"))*--ISERROR(INDIRECT("'"&amp;DATA_PROPERTY_MASTER!$A$5:$A$200&amp;"'!"&amp;SUBSTITUTE(ADDRESS(1,COLUMN(J$5)+1,4),"1","")&amp;$B31)),0))</f>
        <v>0</v>
      </c>
      <c r="K31" s="350">
        <f ca="1">SUMPRODUCT(IFERROR((DATA_PROPERTY_MASTER!$A$5:$A$200&lt;&gt;"")*IF($C31="Included source errors",--(DATA_PROPERTY_MASTER!$E$5:$E$200="Yes"),--(DATA_PROPERTY_MASTER!$E$5:$E$200&lt;&gt;"Yes"))*--ISERROR(INDIRECT("'"&amp;DATA_PROPERTY_MASTER!$A$5:$A$200&amp;"'!"&amp;SUBSTITUTE(ADDRESS(1,COLUMN(K$5)+1,4),"1","")&amp;$B31)),0))</f>
        <v>0</v>
      </c>
      <c r="L31" s="350">
        <f ca="1">SUMPRODUCT(IFERROR((DATA_PROPERTY_MASTER!$A$5:$A$200&lt;&gt;"")*IF($C31="Included source errors",--(DATA_PROPERTY_MASTER!$E$5:$E$200="Yes"),--(DATA_PROPERTY_MASTER!$E$5:$E$200&lt;&gt;"Yes"))*--ISERROR(INDIRECT("'"&amp;DATA_PROPERTY_MASTER!$A$5:$A$200&amp;"'!"&amp;SUBSTITUTE(ADDRESS(1,COLUMN(L$5)+1,4),"1","")&amp;$B31)),0))</f>
        <v>0</v>
      </c>
      <c r="M31" s="350">
        <f ca="1">SUMPRODUCT(IFERROR((DATA_PROPERTY_MASTER!$A$5:$A$200&lt;&gt;"")*IF($C31="Included source errors",--(DATA_PROPERTY_MASTER!$E$5:$E$200="Yes"),--(DATA_PROPERTY_MASTER!$E$5:$E$200&lt;&gt;"Yes"))*--ISERROR(INDIRECT("'"&amp;DATA_PROPERTY_MASTER!$A$5:$A$200&amp;"'!"&amp;SUBSTITUTE(ADDRESS(1,COLUMN(M$5)+1,4),"1","")&amp;$B31)),0))</f>
        <v>0</v>
      </c>
      <c r="N31" s="350">
        <f ca="1">SUMPRODUCT(IFERROR((DATA_PROPERTY_MASTER!$A$5:$A$200&lt;&gt;"")*IF($C31="Included source errors",--(DATA_PROPERTY_MASTER!$E$5:$E$200="Yes"),--(DATA_PROPERTY_MASTER!$E$5:$E$200&lt;&gt;"Yes"))*--ISERROR(INDIRECT("'"&amp;DATA_PROPERTY_MASTER!$A$5:$A$200&amp;"'!"&amp;SUBSTITUTE(ADDRESS(1,COLUMN(N$5)+1,4),"1","")&amp;$B31)),0))</f>
        <v>0</v>
      </c>
      <c r="O31" s="350">
        <f ca="1">SUMPRODUCT(IFERROR((DATA_PROPERTY_MASTER!$A$5:$A$200&lt;&gt;"")*IF($C31="Included source errors",--(DATA_PROPERTY_MASTER!$E$5:$E$200="Yes"),--(DATA_PROPERTY_MASTER!$E$5:$E$200&lt;&gt;"Yes"))*--ISERROR(INDIRECT("'"&amp;DATA_PROPERTY_MASTER!$A$5:$A$200&amp;"'!"&amp;SUBSTITUTE(ADDRESS(1,COLUMN(O$5)+1,4),"1","")&amp;$B31)),0))</f>
        <v>0</v>
      </c>
      <c r="P31" s="350">
        <f ca="1">SUMPRODUCT(IFERROR((DATA_PROPERTY_MASTER!$A$5:$A$200&lt;&gt;"")*IF($C31="Included source errors",--(DATA_PROPERTY_MASTER!$E$5:$E$200="Yes"),--(DATA_PROPERTY_MASTER!$E$5:$E$200&lt;&gt;"Yes"))*--ISERROR(INDIRECT("'"&amp;DATA_PROPERTY_MASTER!$A$5:$A$200&amp;"'!"&amp;SUBSTITUTE(ADDRESS(1,COLUMN(P$5)+1,4),"1","")&amp;$B31)),0))</f>
        <v>0</v>
      </c>
      <c r="Q31" s="350">
        <f ca="1">SUMPRODUCT(IFERROR((DATA_PROPERTY_MASTER!$A$5:$A$200&lt;&gt;"")*IF($C31="Included source errors",--(DATA_PROPERTY_MASTER!$E$5:$E$200="Yes"),--(DATA_PROPERTY_MASTER!$E$5:$E$200&lt;&gt;"Yes"))*--ISERROR(INDIRECT("'"&amp;DATA_PROPERTY_MASTER!$A$5:$A$200&amp;"'!"&amp;SUBSTITUTE(ADDRESS(1,COLUMN(Q$5)+1,4),"1","")&amp;$B31)),0))</f>
        <v>0</v>
      </c>
      <c r="R31" s="350">
        <f ca="1">SUMPRODUCT(IFERROR((DATA_PROPERTY_MASTER!$A$5:$A$200&lt;&gt;"")*IF($C31="Included source errors",--(DATA_PROPERTY_MASTER!$E$5:$E$200="Yes"),--(DATA_PROPERTY_MASTER!$E$5:$E$200&lt;&gt;"Yes"))*--ISERROR(INDIRECT("'"&amp;DATA_PROPERTY_MASTER!$A$5:$A$200&amp;"'!"&amp;SUBSTITUTE(ADDRESS(1,COLUMN(R$5)+1,4),"1","")&amp;$B31)),0))</f>
        <v>0</v>
      </c>
      <c r="S31" s="350">
        <f ca="1">SUMPRODUCT(IFERROR((DATA_PROPERTY_MASTER!$A$5:$A$200&lt;&gt;"")*IF($C31="Included source errors",--(DATA_PROPERTY_MASTER!$E$5:$E$200="Yes"),--(DATA_PROPERTY_MASTER!$E$5:$E$200&lt;&gt;"Yes"))*--ISERROR(INDIRECT("'"&amp;DATA_PROPERTY_MASTER!$A$5:$A$200&amp;"'!"&amp;SUBSTITUTE(ADDRESS(1,COLUMN(S$5)+1,4),"1","")&amp;$B31)),0))</f>
        <v>0</v>
      </c>
      <c r="T31" s="350">
        <f ca="1">SUMPRODUCT(IFERROR((DATA_PROPERTY_MASTER!$A$5:$A$200&lt;&gt;"")*IF($C31="Included source errors",--(DATA_PROPERTY_MASTER!$E$5:$E$200="Yes"),--(DATA_PROPERTY_MASTER!$E$5:$E$200&lt;&gt;"Yes"))*--ISERROR(INDIRECT("'"&amp;DATA_PROPERTY_MASTER!$A$5:$A$200&amp;"'!"&amp;SUBSTITUTE(ADDRESS(1,COLUMN(T$5)+1,4),"1","")&amp;$B31)),0))</f>
        <v>0</v>
      </c>
      <c r="U31" s="350">
        <f ca="1">SUMPRODUCT(IFERROR((DATA_PROPERTY_MASTER!$A$5:$A$200&lt;&gt;"")*IF($C31="Included source errors",--(DATA_PROPERTY_MASTER!$E$5:$E$200="Yes"),--(DATA_PROPERTY_MASTER!$E$5:$E$200&lt;&gt;"Yes"))*--ISERROR(INDIRECT("'"&amp;DATA_PROPERTY_MASTER!$A$5:$A$200&amp;"'!"&amp;SUBSTITUTE(ADDRESS(1,COLUMN(U$5)+1,4),"1","")&amp;$B31)),0))</f>
        <v>0</v>
      </c>
      <c r="V31" s="350">
        <f ca="1">SUMPRODUCT(IFERROR((DATA_PROPERTY_MASTER!$A$5:$A$200&lt;&gt;"")*IF($C31="Included source errors",--(DATA_PROPERTY_MASTER!$E$5:$E$200="Yes"),--(DATA_PROPERTY_MASTER!$E$5:$E$200&lt;&gt;"Yes"))*--ISERROR(INDIRECT("'"&amp;DATA_PROPERTY_MASTER!$A$5:$A$200&amp;"'!"&amp;SUBSTITUTE(ADDRESS(1,COLUMN(V$5)+1,4),"1","")&amp;$B31)),0))</f>
        <v>0</v>
      </c>
      <c r="W31" s="350">
        <f ca="1">SUMPRODUCT(IFERROR((DATA_PROPERTY_MASTER!$A$5:$A$200&lt;&gt;"")*IF($C31="Included source errors",--(DATA_PROPERTY_MASTER!$E$5:$E$200="Yes"),--(DATA_PROPERTY_MASTER!$E$5:$E$200&lt;&gt;"Yes"))*--ISERROR(INDIRECT("'"&amp;DATA_PROPERTY_MASTER!$A$5:$A$200&amp;"'!"&amp;SUBSTITUTE(ADDRESS(1,COLUMN(W$5)+1,4),"1","")&amp;$B31)),0))</f>
        <v>0</v>
      </c>
      <c r="X31" s="350">
        <f ca="1">SUMPRODUCT(IFERROR((DATA_PROPERTY_MASTER!$A$5:$A$200&lt;&gt;"")*IF($C31="Included source errors",--(DATA_PROPERTY_MASTER!$E$5:$E$200="Yes"),--(DATA_PROPERTY_MASTER!$E$5:$E$200&lt;&gt;"Yes"))*--ISERROR(INDIRECT("'"&amp;DATA_PROPERTY_MASTER!$A$5:$A$200&amp;"'!"&amp;SUBSTITUTE(ADDRESS(1,COLUMN(X$5)+1,4),"1","")&amp;$B31)),0))</f>
        <v>0</v>
      </c>
      <c r="Y31" s="350">
        <f t="shared" ca="1" si="0"/>
        <v>0</v>
      </c>
      <c r="Z31" s="382" t="s">
        <v>7467</v>
      </c>
    </row>
    <row r="32" spans="1:26" ht="30">
      <c r="A32" s="382" t="s">
        <v>348</v>
      </c>
      <c r="B32" s="382">
        <v>32</v>
      </c>
      <c r="C32" s="382" t="s">
        <v>1560</v>
      </c>
      <c r="D32" s="350">
        <f ca="1">SUMPRODUCT(IFERROR((DATA_PROPERTY_MASTER!$A$5:$A$200&lt;&gt;"")*IF($C32="Included source errors",--(DATA_PROPERTY_MASTER!$E$5:$E$200="Yes"),--(DATA_PROPERTY_MASTER!$E$5:$E$200&lt;&gt;"Yes"))*--ISERROR(INDIRECT("'"&amp;DATA_PROPERTY_MASTER!$A$5:$A$200&amp;"'!"&amp;SUBSTITUTE(ADDRESS(1,COLUMN(D$5)+1,4),"1","")&amp;$B32)),0))</f>
        <v>0</v>
      </c>
      <c r="E32" s="350">
        <f ca="1">SUMPRODUCT(IFERROR((DATA_PROPERTY_MASTER!$A$5:$A$200&lt;&gt;"")*IF($C32="Included source errors",--(DATA_PROPERTY_MASTER!$E$5:$E$200="Yes"),--(DATA_PROPERTY_MASTER!$E$5:$E$200&lt;&gt;"Yes"))*--ISERROR(INDIRECT("'"&amp;DATA_PROPERTY_MASTER!$A$5:$A$200&amp;"'!"&amp;SUBSTITUTE(ADDRESS(1,COLUMN(E$5)+1,4),"1","")&amp;$B32)),0))</f>
        <v>0</v>
      </c>
      <c r="F32" s="350">
        <f ca="1">SUMPRODUCT(IFERROR((DATA_PROPERTY_MASTER!$A$5:$A$200&lt;&gt;"")*IF($C32="Included source errors",--(DATA_PROPERTY_MASTER!$E$5:$E$200="Yes"),--(DATA_PROPERTY_MASTER!$E$5:$E$200&lt;&gt;"Yes"))*--ISERROR(INDIRECT("'"&amp;DATA_PROPERTY_MASTER!$A$5:$A$200&amp;"'!"&amp;SUBSTITUTE(ADDRESS(1,COLUMN(F$5)+1,4),"1","")&amp;$B32)),0))</f>
        <v>0</v>
      </c>
      <c r="G32" s="350">
        <f ca="1">SUMPRODUCT(IFERROR((DATA_PROPERTY_MASTER!$A$5:$A$200&lt;&gt;"")*IF($C32="Included source errors",--(DATA_PROPERTY_MASTER!$E$5:$E$200="Yes"),--(DATA_PROPERTY_MASTER!$E$5:$E$200&lt;&gt;"Yes"))*--ISERROR(INDIRECT("'"&amp;DATA_PROPERTY_MASTER!$A$5:$A$200&amp;"'!"&amp;SUBSTITUTE(ADDRESS(1,COLUMN(G$5)+1,4),"1","")&amp;$B32)),0))</f>
        <v>0</v>
      </c>
      <c r="H32" s="350">
        <f ca="1">SUMPRODUCT(IFERROR((DATA_PROPERTY_MASTER!$A$5:$A$200&lt;&gt;"")*IF($C32="Included source errors",--(DATA_PROPERTY_MASTER!$E$5:$E$200="Yes"),--(DATA_PROPERTY_MASTER!$E$5:$E$200&lt;&gt;"Yes"))*--ISERROR(INDIRECT("'"&amp;DATA_PROPERTY_MASTER!$A$5:$A$200&amp;"'!"&amp;SUBSTITUTE(ADDRESS(1,COLUMN(H$5)+1,4),"1","")&amp;$B32)),0))</f>
        <v>0</v>
      </c>
      <c r="I32" s="350">
        <f ca="1">SUMPRODUCT(IFERROR((DATA_PROPERTY_MASTER!$A$5:$A$200&lt;&gt;"")*IF($C32="Included source errors",--(DATA_PROPERTY_MASTER!$E$5:$E$200="Yes"),--(DATA_PROPERTY_MASTER!$E$5:$E$200&lt;&gt;"Yes"))*--ISERROR(INDIRECT("'"&amp;DATA_PROPERTY_MASTER!$A$5:$A$200&amp;"'!"&amp;SUBSTITUTE(ADDRESS(1,COLUMN(I$5)+1,4),"1","")&amp;$B32)),0))</f>
        <v>0</v>
      </c>
      <c r="J32" s="350">
        <f ca="1">SUMPRODUCT(IFERROR((DATA_PROPERTY_MASTER!$A$5:$A$200&lt;&gt;"")*IF($C32="Included source errors",--(DATA_PROPERTY_MASTER!$E$5:$E$200="Yes"),--(DATA_PROPERTY_MASTER!$E$5:$E$200&lt;&gt;"Yes"))*--ISERROR(INDIRECT("'"&amp;DATA_PROPERTY_MASTER!$A$5:$A$200&amp;"'!"&amp;SUBSTITUTE(ADDRESS(1,COLUMN(J$5)+1,4),"1","")&amp;$B32)),0))</f>
        <v>0</v>
      </c>
      <c r="K32" s="350">
        <f ca="1">SUMPRODUCT(IFERROR((DATA_PROPERTY_MASTER!$A$5:$A$200&lt;&gt;"")*IF($C32="Included source errors",--(DATA_PROPERTY_MASTER!$E$5:$E$200="Yes"),--(DATA_PROPERTY_MASTER!$E$5:$E$200&lt;&gt;"Yes"))*--ISERROR(INDIRECT("'"&amp;DATA_PROPERTY_MASTER!$A$5:$A$200&amp;"'!"&amp;SUBSTITUTE(ADDRESS(1,COLUMN(K$5)+1,4),"1","")&amp;$B32)),0))</f>
        <v>0</v>
      </c>
      <c r="L32" s="350">
        <f ca="1">SUMPRODUCT(IFERROR((DATA_PROPERTY_MASTER!$A$5:$A$200&lt;&gt;"")*IF($C32="Included source errors",--(DATA_PROPERTY_MASTER!$E$5:$E$200="Yes"),--(DATA_PROPERTY_MASTER!$E$5:$E$200&lt;&gt;"Yes"))*--ISERROR(INDIRECT("'"&amp;DATA_PROPERTY_MASTER!$A$5:$A$200&amp;"'!"&amp;SUBSTITUTE(ADDRESS(1,COLUMN(L$5)+1,4),"1","")&amp;$B32)),0))</f>
        <v>0</v>
      </c>
      <c r="M32" s="350">
        <f ca="1">SUMPRODUCT(IFERROR((DATA_PROPERTY_MASTER!$A$5:$A$200&lt;&gt;"")*IF($C32="Included source errors",--(DATA_PROPERTY_MASTER!$E$5:$E$200="Yes"),--(DATA_PROPERTY_MASTER!$E$5:$E$200&lt;&gt;"Yes"))*--ISERROR(INDIRECT("'"&amp;DATA_PROPERTY_MASTER!$A$5:$A$200&amp;"'!"&amp;SUBSTITUTE(ADDRESS(1,COLUMN(M$5)+1,4),"1","")&amp;$B32)),0))</f>
        <v>0</v>
      </c>
      <c r="N32" s="350">
        <f ca="1">SUMPRODUCT(IFERROR((DATA_PROPERTY_MASTER!$A$5:$A$200&lt;&gt;"")*IF($C32="Included source errors",--(DATA_PROPERTY_MASTER!$E$5:$E$200="Yes"),--(DATA_PROPERTY_MASTER!$E$5:$E$200&lt;&gt;"Yes"))*--ISERROR(INDIRECT("'"&amp;DATA_PROPERTY_MASTER!$A$5:$A$200&amp;"'!"&amp;SUBSTITUTE(ADDRESS(1,COLUMN(N$5)+1,4),"1","")&amp;$B32)),0))</f>
        <v>0</v>
      </c>
      <c r="O32" s="350">
        <f ca="1">SUMPRODUCT(IFERROR((DATA_PROPERTY_MASTER!$A$5:$A$200&lt;&gt;"")*IF($C32="Included source errors",--(DATA_PROPERTY_MASTER!$E$5:$E$200="Yes"),--(DATA_PROPERTY_MASTER!$E$5:$E$200&lt;&gt;"Yes"))*--ISERROR(INDIRECT("'"&amp;DATA_PROPERTY_MASTER!$A$5:$A$200&amp;"'!"&amp;SUBSTITUTE(ADDRESS(1,COLUMN(O$5)+1,4),"1","")&amp;$B32)),0))</f>
        <v>0</v>
      </c>
      <c r="P32" s="350">
        <f ca="1">SUMPRODUCT(IFERROR((DATA_PROPERTY_MASTER!$A$5:$A$200&lt;&gt;"")*IF($C32="Included source errors",--(DATA_PROPERTY_MASTER!$E$5:$E$200="Yes"),--(DATA_PROPERTY_MASTER!$E$5:$E$200&lt;&gt;"Yes"))*--ISERROR(INDIRECT("'"&amp;DATA_PROPERTY_MASTER!$A$5:$A$200&amp;"'!"&amp;SUBSTITUTE(ADDRESS(1,COLUMN(P$5)+1,4),"1","")&amp;$B32)),0))</f>
        <v>0</v>
      </c>
      <c r="Q32" s="350">
        <f ca="1">SUMPRODUCT(IFERROR((DATA_PROPERTY_MASTER!$A$5:$A$200&lt;&gt;"")*IF($C32="Included source errors",--(DATA_PROPERTY_MASTER!$E$5:$E$200="Yes"),--(DATA_PROPERTY_MASTER!$E$5:$E$200&lt;&gt;"Yes"))*--ISERROR(INDIRECT("'"&amp;DATA_PROPERTY_MASTER!$A$5:$A$200&amp;"'!"&amp;SUBSTITUTE(ADDRESS(1,COLUMN(Q$5)+1,4),"1","")&amp;$B32)),0))</f>
        <v>0</v>
      </c>
      <c r="R32" s="350">
        <f ca="1">SUMPRODUCT(IFERROR((DATA_PROPERTY_MASTER!$A$5:$A$200&lt;&gt;"")*IF($C32="Included source errors",--(DATA_PROPERTY_MASTER!$E$5:$E$200="Yes"),--(DATA_PROPERTY_MASTER!$E$5:$E$200&lt;&gt;"Yes"))*--ISERROR(INDIRECT("'"&amp;DATA_PROPERTY_MASTER!$A$5:$A$200&amp;"'!"&amp;SUBSTITUTE(ADDRESS(1,COLUMN(R$5)+1,4),"1","")&amp;$B32)),0))</f>
        <v>0</v>
      </c>
      <c r="S32" s="350">
        <f ca="1">SUMPRODUCT(IFERROR((DATA_PROPERTY_MASTER!$A$5:$A$200&lt;&gt;"")*IF($C32="Included source errors",--(DATA_PROPERTY_MASTER!$E$5:$E$200="Yes"),--(DATA_PROPERTY_MASTER!$E$5:$E$200&lt;&gt;"Yes"))*--ISERROR(INDIRECT("'"&amp;DATA_PROPERTY_MASTER!$A$5:$A$200&amp;"'!"&amp;SUBSTITUTE(ADDRESS(1,COLUMN(S$5)+1,4),"1","")&amp;$B32)),0))</f>
        <v>0</v>
      </c>
      <c r="T32" s="350">
        <f ca="1">SUMPRODUCT(IFERROR((DATA_PROPERTY_MASTER!$A$5:$A$200&lt;&gt;"")*IF($C32="Included source errors",--(DATA_PROPERTY_MASTER!$E$5:$E$200="Yes"),--(DATA_PROPERTY_MASTER!$E$5:$E$200&lt;&gt;"Yes"))*--ISERROR(INDIRECT("'"&amp;DATA_PROPERTY_MASTER!$A$5:$A$200&amp;"'!"&amp;SUBSTITUTE(ADDRESS(1,COLUMN(T$5)+1,4),"1","")&amp;$B32)),0))</f>
        <v>0</v>
      </c>
      <c r="U32" s="350">
        <f ca="1">SUMPRODUCT(IFERROR((DATA_PROPERTY_MASTER!$A$5:$A$200&lt;&gt;"")*IF($C32="Included source errors",--(DATA_PROPERTY_MASTER!$E$5:$E$200="Yes"),--(DATA_PROPERTY_MASTER!$E$5:$E$200&lt;&gt;"Yes"))*--ISERROR(INDIRECT("'"&amp;DATA_PROPERTY_MASTER!$A$5:$A$200&amp;"'!"&amp;SUBSTITUTE(ADDRESS(1,COLUMN(U$5)+1,4),"1","")&amp;$B32)),0))</f>
        <v>0</v>
      </c>
      <c r="V32" s="350">
        <f ca="1">SUMPRODUCT(IFERROR((DATA_PROPERTY_MASTER!$A$5:$A$200&lt;&gt;"")*IF($C32="Included source errors",--(DATA_PROPERTY_MASTER!$E$5:$E$200="Yes"),--(DATA_PROPERTY_MASTER!$E$5:$E$200&lt;&gt;"Yes"))*--ISERROR(INDIRECT("'"&amp;DATA_PROPERTY_MASTER!$A$5:$A$200&amp;"'!"&amp;SUBSTITUTE(ADDRESS(1,COLUMN(V$5)+1,4),"1","")&amp;$B32)),0))</f>
        <v>0</v>
      </c>
      <c r="W32" s="350">
        <f ca="1">SUMPRODUCT(IFERROR((DATA_PROPERTY_MASTER!$A$5:$A$200&lt;&gt;"")*IF($C32="Included source errors",--(DATA_PROPERTY_MASTER!$E$5:$E$200="Yes"),--(DATA_PROPERTY_MASTER!$E$5:$E$200&lt;&gt;"Yes"))*--ISERROR(INDIRECT("'"&amp;DATA_PROPERTY_MASTER!$A$5:$A$200&amp;"'!"&amp;SUBSTITUTE(ADDRESS(1,COLUMN(W$5)+1,4),"1","")&amp;$B32)),0))</f>
        <v>0</v>
      </c>
      <c r="X32" s="350">
        <f ca="1">SUMPRODUCT(IFERROR((DATA_PROPERTY_MASTER!$A$5:$A$200&lt;&gt;"")*IF($C32="Included source errors",--(DATA_PROPERTY_MASTER!$E$5:$E$200="Yes"),--(DATA_PROPERTY_MASTER!$E$5:$E$200&lt;&gt;"Yes"))*--ISERROR(INDIRECT("'"&amp;DATA_PROPERTY_MASTER!$A$5:$A$200&amp;"'!"&amp;SUBSTITUTE(ADDRESS(1,COLUMN(X$5)+1,4),"1","")&amp;$B32)),0))</f>
        <v>0</v>
      </c>
      <c r="Y32" s="350">
        <f t="shared" ca="1" si="0"/>
        <v>0</v>
      </c>
      <c r="Z32" s="382" t="s">
        <v>7467</v>
      </c>
    </row>
    <row r="33" spans="1:26" ht="30">
      <c r="A33" s="382" t="s">
        <v>348</v>
      </c>
      <c r="B33" s="382">
        <v>32</v>
      </c>
      <c r="C33" s="382" t="s">
        <v>1563</v>
      </c>
      <c r="D33" s="350">
        <f ca="1">SUMPRODUCT(IFERROR((DATA_PROPERTY_MASTER!$A$5:$A$200&lt;&gt;"")*IF($C33="Included source errors",--(DATA_PROPERTY_MASTER!$E$5:$E$200="Yes"),--(DATA_PROPERTY_MASTER!$E$5:$E$200&lt;&gt;"Yes"))*--ISERROR(INDIRECT("'"&amp;DATA_PROPERTY_MASTER!$A$5:$A$200&amp;"'!"&amp;SUBSTITUTE(ADDRESS(1,COLUMN(D$5)+1,4),"1","")&amp;$B33)),0))</f>
        <v>0</v>
      </c>
      <c r="E33" s="350">
        <f ca="1">SUMPRODUCT(IFERROR((DATA_PROPERTY_MASTER!$A$5:$A$200&lt;&gt;"")*IF($C33="Included source errors",--(DATA_PROPERTY_MASTER!$E$5:$E$200="Yes"),--(DATA_PROPERTY_MASTER!$E$5:$E$200&lt;&gt;"Yes"))*--ISERROR(INDIRECT("'"&amp;DATA_PROPERTY_MASTER!$A$5:$A$200&amp;"'!"&amp;SUBSTITUTE(ADDRESS(1,COLUMN(E$5)+1,4),"1","")&amp;$B33)),0))</f>
        <v>0</v>
      </c>
      <c r="F33" s="350">
        <f ca="1">SUMPRODUCT(IFERROR((DATA_PROPERTY_MASTER!$A$5:$A$200&lt;&gt;"")*IF($C33="Included source errors",--(DATA_PROPERTY_MASTER!$E$5:$E$200="Yes"),--(DATA_PROPERTY_MASTER!$E$5:$E$200&lt;&gt;"Yes"))*--ISERROR(INDIRECT("'"&amp;DATA_PROPERTY_MASTER!$A$5:$A$200&amp;"'!"&amp;SUBSTITUTE(ADDRESS(1,COLUMN(F$5)+1,4),"1","")&amp;$B33)),0))</f>
        <v>0</v>
      </c>
      <c r="G33" s="350">
        <f ca="1">SUMPRODUCT(IFERROR((DATA_PROPERTY_MASTER!$A$5:$A$200&lt;&gt;"")*IF($C33="Included source errors",--(DATA_PROPERTY_MASTER!$E$5:$E$200="Yes"),--(DATA_PROPERTY_MASTER!$E$5:$E$200&lt;&gt;"Yes"))*--ISERROR(INDIRECT("'"&amp;DATA_PROPERTY_MASTER!$A$5:$A$200&amp;"'!"&amp;SUBSTITUTE(ADDRESS(1,COLUMN(G$5)+1,4),"1","")&amp;$B33)),0))</f>
        <v>0</v>
      </c>
      <c r="H33" s="350">
        <f ca="1">SUMPRODUCT(IFERROR((DATA_PROPERTY_MASTER!$A$5:$A$200&lt;&gt;"")*IF($C33="Included source errors",--(DATA_PROPERTY_MASTER!$E$5:$E$200="Yes"),--(DATA_PROPERTY_MASTER!$E$5:$E$200&lt;&gt;"Yes"))*--ISERROR(INDIRECT("'"&amp;DATA_PROPERTY_MASTER!$A$5:$A$200&amp;"'!"&amp;SUBSTITUTE(ADDRESS(1,COLUMN(H$5)+1,4),"1","")&amp;$B33)),0))</f>
        <v>0</v>
      </c>
      <c r="I33" s="350">
        <f ca="1">SUMPRODUCT(IFERROR((DATA_PROPERTY_MASTER!$A$5:$A$200&lt;&gt;"")*IF($C33="Included source errors",--(DATA_PROPERTY_MASTER!$E$5:$E$200="Yes"),--(DATA_PROPERTY_MASTER!$E$5:$E$200&lt;&gt;"Yes"))*--ISERROR(INDIRECT("'"&amp;DATA_PROPERTY_MASTER!$A$5:$A$200&amp;"'!"&amp;SUBSTITUTE(ADDRESS(1,COLUMN(I$5)+1,4),"1","")&amp;$B33)),0))</f>
        <v>0</v>
      </c>
      <c r="J33" s="350">
        <f ca="1">SUMPRODUCT(IFERROR((DATA_PROPERTY_MASTER!$A$5:$A$200&lt;&gt;"")*IF($C33="Included source errors",--(DATA_PROPERTY_MASTER!$E$5:$E$200="Yes"),--(DATA_PROPERTY_MASTER!$E$5:$E$200&lt;&gt;"Yes"))*--ISERROR(INDIRECT("'"&amp;DATA_PROPERTY_MASTER!$A$5:$A$200&amp;"'!"&amp;SUBSTITUTE(ADDRESS(1,COLUMN(J$5)+1,4),"1","")&amp;$B33)),0))</f>
        <v>0</v>
      </c>
      <c r="K33" s="350">
        <f ca="1">SUMPRODUCT(IFERROR((DATA_PROPERTY_MASTER!$A$5:$A$200&lt;&gt;"")*IF($C33="Included source errors",--(DATA_PROPERTY_MASTER!$E$5:$E$200="Yes"),--(DATA_PROPERTY_MASTER!$E$5:$E$200&lt;&gt;"Yes"))*--ISERROR(INDIRECT("'"&amp;DATA_PROPERTY_MASTER!$A$5:$A$200&amp;"'!"&amp;SUBSTITUTE(ADDRESS(1,COLUMN(K$5)+1,4),"1","")&amp;$B33)),0))</f>
        <v>0</v>
      </c>
      <c r="L33" s="350">
        <f ca="1">SUMPRODUCT(IFERROR((DATA_PROPERTY_MASTER!$A$5:$A$200&lt;&gt;"")*IF($C33="Included source errors",--(DATA_PROPERTY_MASTER!$E$5:$E$200="Yes"),--(DATA_PROPERTY_MASTER!$E$5:$E$200&lt;&gt;"Yes"))*--ISERROR(INDIRECT("'"&amp;DATA_PROPERTY_MASTER!$A$5:$A$200&amp;"'!"&amp;SUBSTITUTE(ADDRESS(1,COLUMN(L$5)+1,4),"1","")&amp;$B33)),0))</f>
        <v>0</v>
      </c>
      <c r="M33" s="350">
        <f ca="1">SUMPRODUCT(IFERROR((DATA_PROPERTY_MASTER!$A$5:$A$200&lt;&gt;"")*IF($C33="Included source errors",--(DATA_PROPERTY_MASTER!$E$5:$E$200="Yes"),--(DATA_PROPERTY_MASTER!$E$5:$E$200&lt;&gt;"Yes"))*--ISERROR(INDIRECT("'"&amp;DATA_PROPERTY_MASTER!$A$5:$A$200&amp;"'!"&amp;SUBSTITUTE(ADDRESS(1,COLUMN(M$5)+1,4),"1","")&amp;$B33)),0))</f>
        <v>0</v>
      </c>
      <c r="N33" s="350">
        <f ca="1">SUMPRODUCT(IFERROR((DATA_PROPERTY_MASTER!$A$5:$A$200&lt;&gt;"")*IF($C33="Included source errors",--(DATA_PROPERTY_MASTER!$E$5:$E$200="Yes"),--(DATA_PROPERTY_MASTER!$E$5:$E$200&lt;&gt;"Yes"))*--ISERROR(INDIRECT("'"&amp;DATA_PROPERTY_MASTER!$A$5:$A$200&amp;"'!"&amp;SUBSTITUTE(ADDRESS(1,COLUMN(N$5)+1,4),"1","")&amp;$B33)),0))</f>
        <v>0</v>
      </c>
      <c r="O33" s="350">
        <f ca="1">SUMPRODUCT(IFERROR((DATA_PROPERTY_MASTER!$A$5:$A$200&lt;&gt;"")*IF($C33="Included source errors",--(DATA_PROPERTY_MASTER!$E$5:$E$200="Yes"),--(DATA_PROPERTY_MASTER!$E$5:$E$200&lt;&gt;"Yes"))*--ISERROR(INDIRECT("'"&amp;DATA_PROPERTY_MASTER!$A$5:$A$200&amp;"'!"&amp;SUBSTITUTE(ADDRESS(1,COLUMN(O$5)+1,4),"1","")&amp;$B33)),0))</f>
        <v>0</v>
      </c>
      <c r="P33" s="350">
        <f ca="1">SUMPRODUCT(IFERROR((DATA_PROPERTY_MASTER!$A$5:$A$200&lt;&gt;"")*IF($C33="Included source errors",--(DATA_PROPERTY_MASTER!$E$5:$E$200="Yes"),--(DATA_PROPERTY_MASTER!$E$5:$E$200&lt;&gt;"Yes"))*--ISERROR(INDIRECT("'"&amp;DATA_PROPERTY_MASTER!$A$5:$A$200&amp;"'!"&amp;SUBSTITUTE(ADDRESS(1,COLUMN(P$5)+1,4),"1","")&amp;$B33)),0))</f>
        <v>0</v>
      </c>
      <c r="Q33" s="350">
        <f ca="1">SUMPRODUCT(IFERROR((DATA_PROPERTY_MASTER!$A$5:$A$200&lt;&gt;"")*IF($C33="Included source errors",--(DATA_PROPERTY_MASTER!$E$5:$E$200="Yes"),--(DATA_PROPERTY_MASTER!$E$5:$E$200&lt;&gt;"Yes"))*--ISERROR(INDIRECT("'"&amp;DATA_PROPERTY_MASTER!$A$5:$A$200&amp;"'!"&amp;SUBSTITUTE(ADDRESS(1,COLUMN(Q$5)+1,4),"1","")&amp;$B33)),0))</f>
        <v>0</v>
      </c>
      <c r="R33" s="350">
        <f ca="1">SUMPRODUCT(IFERROR((DATA_PROPERTY_MASTER!$A$5:$A$200&lt;&gt;"")*IF($C33="Included source errors",--(DATA_PROPERTY_MASTER!$E$5:$E$200="Yes"),--(DATA_PROPERTY_MASTER!$E$5:$E$200&lt;&gt;"Yes"))*--ISERROR(INDIRECT("'"&amp;DATA_PROPERTY_MASTER!$A$5:$A$200&amp;"'!"&amp;SUBSTITUTE(ADDRESS(1,COLUMN(R$5)+1,4),"1","")&amp;$B33)),0))</f>
        <v>0</v>
      </c>
      <c r="S33" s="350">
        <f ca="1">SUMPRODUCT(IFERROR((DATA_PROPERTY_MASTER!$A$5:$A$200&lt;&gt;"")*IF($C33="Included source errors",--(DATA_PROPERTY_MASTER!$E$5:$E$200="Yes"),--(DATA_PROPERTY_MASTER!$E$5:$E$200&lt;&gt;"Yes"))*--ISERROR(INDIRECT("'"&amp;DATA_PROPERTY_MASTER!$A$5:$A$200&amp;"'!"&amp;SUBSTITUTE(ADDRESS(1,COLUMN(S$5)+1,4),"1","")&amp;$B33)),0))</f>
        <v>0</v>
      </c>
      <c r="T33" s="350">
        <f ca="1">SUMPRODUCT(IFERROR((DATA_PROPERTY_MASTER!$A$5:$A$200&lt;&gt;"")*IF($C33="Included source errors",--(DATA_PROPERTY_MASTER!$E$5:$E$200="Yes"),--(DATA_PROPERTY_MASTER!$E$5:$E$200&lt;&gt;"Yes"))*--ISERROR(INDIRECT("'"&amp;DATA_PROPERTY_MASTER!$A$5:$A$200&amp;"'!"&amp;SUBSTITUTE(ADDRESS(1,COLUMN(T$5)+1,4),"1","")&amp;$B33)),0))</f>
        <v>0</v>
      </c>
      <c r="U33" s="350">
        <f ca="1">SUMPRODUCT(IFERROR((DATA_PROPERTY_MASTER!$A$5:$A$200&lt;&gt;"")*IF($C33="Included source errors",--(DATA_PROPERTY_MASTER!$E$5:$E$200="Yes"),--(DATA_PROPERTY_MASTER!$E$5:$E$200&lt;&gt;"Yes"))*--ISERROR(INDIRECT("'"&amp;DATA_PROPERTY_MASTER!$A$5:$A$200&amp;"'!"&amp;SUBSTITUTE(ADDRESS(1,COLUMN(U$5)+1,4),"1","")&amp;$B33)),0))</f>
        <v>0</v>
      </c>
      <c r="V33" s="350">
        <f ca="1">SUMPRODUCT(IFERROR((DATA_PROPERTY_MASTER!$A$5:$A$200&lt;&gt;"")*IF($C33="Included source errors",--(DATA_PROPERTY_MASTER!$E$5:$E$200="Yes"),--(DATA_PROPERTY_MASTER!$E$5:$E$200&lt;&gt;"Yes"))*--ISERROR(INDIRECT("'"&amp;DATA_PROPERTY_MASTER!$A$5:$A$200&amp;"'!"&amp;SUBSTITUTE(ADDRESS(1,COLUMN(V$5)+1,4),"1","")&amp;$B33)),0))</f>
        <v>0</v>
      </c>
      <c r="W33" s="350">
        <f ca="1">SUMPRODUCT(IFERROR((DATA_PROPERTY_MASTER!$A$5:$A$200&lt;&gt;"")*IF($C33="Included source errors",--(DATA_PROPERTY_MASTER!$E$5:$E$200="Yes"),--(DATA_PROPERTY_MASTER!$E$5:$E$200&lt;&gt;"Yes"))*--ISERROR(INDIRECT("'"&amp;DATA_PROPERTY_MASTER!$A$5:$A$200&amp;"'!"&amp;SUBSTITUTE(ADDRESS(1,COLUMN(W$5)+1,4),"1","")&amp;$B33)),0))</f>
        <v>0</v>
      </c>
      <c r="X33" s="350">
        <f ca="1">SUMPRODUCT(IFERROR((DATA_PROPERTY_MASTER!$A$5:$A$200&lt;&gt;"")*IF($C33="Included source errors",--(DATA_PROPERTY_MASTER!$E$5:$E$200="Yes"),--(DATA_PROPERTY_MASTER!$E$5:$E$200&lt;&gt;"Yes"))*--ISERROR(INDIRECT("'"&amp;DATA_PROPERTY_MASTER!$A$5:$A$200&amp;"'!"&amp;SUBSTITUTE(ADDRESS(1,COLUMN(X$5)+1,4),"1","")&amp;$B33)),0))</f>
        <v>0</v>
      </c>
      <c r="Y33" s="350">
        <f t="shared" ca="1" si="0"/>
        <v>0</v>
      </c>
      <c r="Z33" s="382" t="s">
        <v>7467</v>
      </c>
    </row>
    <row r="34" spans="1:26" ht="30">
      <c r="A34" s="382" t="s">
        <v>349</v>
      </c>
      <c r="B34" s="382">
        <v>33</v>
      </c>
      <c r="C34" s="382" t="s">
        <v>1560</v>
      </c>
      <c r="D34" s="350">
        <f ca="1">SUMPRODUCT(IFERROR((DATA_PROPERTY_MASTER!$A$5:$A$200&lt;&gt;"")*IF($C34="Included source errors",--(DATA_PROPERTY_MASTER!$E$5:$E$200="Yes"),--(DATA_PROPERTY_MASTER!$E$5:$E$200&lt;&gt;"Yes"))*--ISERROR(INDIRECT("'"&amp;DATA_PROPERTY_MASTER!$A$5:$A$200&amp;"'!"&amp;SUBSTITUTE(ADDRESS(1,COLUMN(D$5)+1,4),"1","")&amp;$B34)),0))</f>
        <v>0</v>
      </c>
      <c r="E34" s="350">
        <f ca="1">SUMPRODUCT(IFERROR((DATA_PROPERTY_MASTER!$A$5:$A$200&lt;&gt;"")*IF($C34="Included source errors",--(DATA_PROPERTY_MASTER!$E$5:$E$200="Yes"),--(DATA_PROPERTY_MASTER!$E$5:$E$200&lt;&gt;"Yes"))*--ISERROR(INDIRECT("'"&amp;DATA_PROPERTY_MASTER!$A$5:$A$200&amp;"'!"&amp;SUBSTITUTE(ADDRESS(1,COLUMN(E$5)+1,4),"1","")&amp;$B34)),0))</f>
        <v>0</v>
      </c>
      <c r="F34" s="350">
        <f ca="1">SUMPRODUCT(IFERROR((DATA_PROPERTY_MASTER!$A$5:$A$200&lt;&gt;"")*IF($C34="Included source errors",--(DATA_PROPERTY_MASTER!$E$5:$E$200="Yes"),--(DATA_PROPERTY_MASTER!$E$5:$E$200&lt;&gt;"Yes"))*--ISERROR(INDIRECT("'"&amp;DATA_PROPERTY_MASTER!$A$5:$A$200&amp;"'!"&amp;SUBSTITUTE(ADDRESS(1,COLUMN(F$5)+1,4),"1","")&amp;$B34)),0))</f>
        <v>0</v>
      </c>
      <c r="G34" s="350">
        <f ca="1">SUMPRODUCT(IFERROR((DATA_PROPERTY_MASTER!$A$5:$A$200&lt;&gt;"")*IF($C34="Included source errors",--(DATA_PROPERTY_MASTER!$E$5:$E$200="Yes"),--(DATA_PROPERTY_MASTER!$E$5:$E$200&lt;&gt;"Yes"))*--ISERROR(INDIRECT("'"&amp;DATA_PROPERTY_MASTER!$A$5:$A$200&amp;"'!"&amp;SUBSTITUTE(ADDRESS(1,COLUMN(G$5)+1,4),"1","")&amp;$B34)),0))</f>
        <v>0</v>
      </c>
      <c r="H34" s="350">
        <f ca="1">SUMPRODUCT(IFERROR((DATA_PROPERTY_MASTER!$A$5:$A$200&lt;&gt;"")*IF($C34="Included source errors",--(DATA_PROPERTY_MASTER!$E$5:$E$200="Yes"),--(DATA_PROPERTY_MASTER!$E$5:$E$200&lt;&gt;"Yes"))*--ISERROR(INDIRECT("'"&amp;DATA_PROPERTY_MASTER!$A$5:$A$200&amp;"'!"&amp;SUBSTITUTE(ADDRESS(1,COLUMN(H$5)+1,4),"1","")&amp;$B34)),0))</f>
        <v>0</v>
      </c>
      <c r="I34" s="350">
        <f ca="1">SUMPRODUCT(IFERROR((DATA_PROPERTY_MASTER!$A$5:$A$200&lt;&gt;"")*IF($C34="Included source errors",--(DATA_PROPERTY_MASTER!$E$5:$E$200="Yes"),--(DATA_PROPERTY_MASTER!$E$5:$E$200&lt;&gt;"Yes"))*--ISERROR(INDIRECT("'"&amp;DATA_PROPERTY_MASTER!$A$5:$A$200&amp;"'!"&amp;SUBSTITUTE(ADDRESS(1,COLUMN(I$5)+1,4),"1","")&amp;$B34)),0))</f>
        <v>0</v>
      </c>
      <c r="J34" s="350">
        <f ca="1">SUMPRODUCT(IFERROR((DATA_PROPERTY_MASTER!$A$5:$A$200&lt;&gt;"")*IF($C34="Included source errors",--(DATA_PROPERTY_MASTER!$E$5:$E$200="Yes"),--(DATA_PROPERTY_MASTER!$E$5:$E$200&lt;&gt;"Yes"))*--ISERROR(INDIRECT("'"&amp;DATA_PROPERTY_MASTER!$A$5:$A$200&amp;"'!"&amp;SUBSTITUTE(ADDRESS(1,COLUMN(J$5)+1,4),"1","")&amp;$B34)),0))</f>
        <v>0</v>
      </c>
      <c r="K34" s="350">
        <f ca="1">SUMPRODUCT(IFERROR((DATA_PROPERTY_MASTER!$A$5:$A$200&lt;&gt;"")*IF($C34="Included source errors",--(DATA_PROPERTY_MASTER!$E$5:$E$200="Yes"),--(DATA_PROPERTY_MASTER!$E$5:$E$200&lt;&gt;"Yes"))*--ISERROR(INDIRECT("'"&amp;DATA_PROPERTY_MASTER!$A$5:$A$200&amp;"'!"&amp;SUBSTITUTE(ADDRESS(1,COLUMN(K$5)+1,4),"1","")&amp;$B34)),0))</f>
        <v>0</v>
      </c>
      <c r="L34" s="350">
        <f ca="1">SUMPRODUCT(IFERROR((DATA_PROPERTY_MASTER!$A$5:$A$200&lt;&gt;"")*IF($C34="Included source errors",--(DATA_PROPERTY_MASTER!$E$5:$E$200="Yes"),--(DATA_PROPERTY_MASTER!$E$5:$E$200&lt;&gt;"Yes"))*--ISERROR(INDIRECT("'"&amp;DATA_PROPERTY_MASTER!$A$5:$A$200&amp;"'!"&amp;SUBSTITUTE(ADDRESS(1,COLUMN(L$5)+1,4),"1","")&amp;$B34)),0))</f>
        <v>0</v>
      </c>
      <c r="M34" s="350">
        <f ca="1">SUMPRODUCT(IFERROR((DATA_PROPERTY_MASTER!$A$5:$A$200&lt;&gt;"")*IF($C34="Included source errors",--(DATA_PROPERTY_MASTER!$E$5:$E$200="Yes"),--(DATA_PROPERTY_MASTER!$E$5:$E$200&lt;&gt;"Yes"))*--ISERROR(INDIRECT("'"&amp;DATA_PROPERTY_MASTER!$A$5:$A$200&amp;"'!"&amp;SUBSTITUTE(ADDRESS(1,COLUMN(M$5)+1,4),"1","")&amp;$B34)),0))</f>
        <v>0</v>
      </c>
      <c r="N34" s="350">
        <f ca="1">SUMPRODUCT(IFERROR((DATA_PROPERTY_MASTER!$A$5:$A$200&lt;&gt;"")*IF($C34="Included source errors",--(DATA_PROPERTY_MASTER!$E$5:$E$200="Yes"),--(DATA_PROPERTY_MASTER!$E$5:$E$200&lt;&gt;"Yes"))*--ISERROR(INDIRECT("'"&amp;DATA_PROPERTY_MASTER!$A$5:$A$200&amp;"'!"&amp;SUBSTITUTE(ADDRESS(1,COLUMN(N$5)+1,4),"1","")&amp;$B34)),0))</f>
        <v>0</v>
      </c>
      <c r="O34" s="350">
        <f ca="1">SUMPRODUCT(IFERROR((DATA_PROPERTY_MASTER!$A$5:$A$200&lt;&gt;"")*IF($C34="Included source errors",--(DATA_PROPERTY_MASTER!$E$5:$E$200="Yes"),--(DATA_PROPERTY_MASTER!$E$5:$E$200&lt;&gt;"Yes"))*--ISERROR(INDIRECT("'"&amp;DATA_PROPERTY_MASTER!$A$5:$A$200&amp;"'!"&amp;SUBSTITUTE(ADDRESS(1,COLUMN(O$5)+1,4),"1","")&amp;$B34)),0))</f>
        <v>0</v>
      </c>
      <c r="P34" s="350">
        <f ca="1">SUMPRODUCT(IFERROR((DATA_PROPERTY_MASTER!$A$5:$A$200&lt;&gt;"")*IF($C34="Included source errors",--(DATA_PROPERTY_MASTER!$E$5:$E$200="Yes"),--(DATA_PROPERTY_MASTER!$E$5:$E$200&lt;&gt;"Yes"))*--ISERROR(INDIRECT("'"&amp;DATA_PROPERTY_MASTER!$A$5:$A$200&amp;"'!"&amp;SUBSTITUTE(ADDRESS(1,COLUMN(P$5)+1,4),"1","")&amp;$B34)),0))</f>
        <v>0</v>
      </c>
      <c r="Q34" s="350">
        <f ca="1">SUMPRODUCT(IFERROR((DATA_PROPERTY_MASTER!$A$5:$A$200&lt;&gt;"")*IF($C34="Included source errors",--(DATA_PROPERTY_MASTER!$E$5:$E$200="Yes"),--(DATA_PROPERTY_MASTER!$E$5:$E$200&lt;&gt;"Yes"))*--ISERROR(INDIRECT("'"&amp;DATA_PROPERTY_MASTER!$A$5:$A$200&amp;"'!"&amp;SUBSTITUTE(ADDRESS(1,COLUMN(Q$5)+1,4),"1","")&amp;$B34)),0))</f>
        <v>0</v>
      </c>
      <c r="R34" s="350">
        <f ca="1">SUMPRODUCT(IFERROR((DATA_PROPERTY_MASTER!$A$5:$A$200&lt;&gt;"")*IF($C34="Included source errors",--(DATA_PROPERTY_MASTER!$E$5:$E$200="Yes"),--(DATA_PROPERTY_MASTER!$E$5:$E$200&lt;&gt;"Yes"))*--ISERROR(INDIRECT("'"&amp;DATA_PROPERTY_MASTER!$A$5:$A$200&amp;"'!"&amp;SUBSTITUTE(ADDRESS(1,COLUMN(R$5)+1,4),"1","")&amp;$B34)),0))</f>
        <v>0</v>
      </c>
      <c r="S34" s="350">
        <f ca="1">SUMPRODUCT(IFERROR((DATA_PROPERTY_MASTER!$A$5:$A$200&lt;&gt;"")*IF($C34="Included source errors",--(DATA_PROPERTY_MASTER!$E$5:$E$200="Yes"),--(DATA_PROPERTY_MASTER!$E$5:$E$200&lt;&gt;"Yes"))*--ISERROR(INDIRECT("'"&amp;DATA_PROPERTY_MASTER!$A$5:$A$200&amp;"'!"&amp;SUBSTITUTE(ADDRESS(1,COLUMN(S$5)+1,4),"1","")&amp;$B34)),0))</f>
        <v>0</v>
      </c>
      <c r="T34" s="350">
        <f ca="1">SUMPRODUCT(IFERROR((DATA_PROPERTY_MASTER!$A$5:$A$200&lt;&gt;"")*IF($C34="Included source errors",--(DATA_PROPERTY_MASTER!$E$5:$E$200="Yes"),--(DATA_PROPERTY_MASTER!$E$5:$E$200&lt;&gt;"Yes"))*--ISERROR(INDIRECT("'"&amp;DATA_PROPERTY_MASTER!$A$5:$A$200&amp;"'!"&amp;SUBSTITUTE(ADDRESS(1,COLUMN(T$5)+1,4),"1","")&amp;$B34)),0))</f>
        <v>0</v>
      </c>
      <c r="U34" s="350">
        <f ca="1">SUMPRODUCT(IFERROR((DATA_PROPERTY_MASTER!$A$5:$A$200&lt;&gt;"")*IF($C34="Included source errors",--(DATA_PROPERTY_MASTER!$E$5:$E$200="Yes"),--(DATA_PROPERTY_MASTER!$E$5:$E$200&lt;&gt;"Yes"))*--ISERROR(INDIRECT("'"&amp;DATA_PROPERTY_MASTER!$A$5:$A$200&amp;"'!"&amp;SUBSTITUTE(ADDRESS(1,COLUMN(U$5)+1,4),"1","")&amp;$B34)),0))</f>
        <v>0</v>
      </c>
      <c r="V34" s="350">
        <f ca="1">SUMPRODUCT(IFERROR((DATA_PROPERTY_MASTER!$A$5:$A$200&lt;&gt;"")*IF($C34="Included source errors",--(DATA_PROPERTY_MASTER!$E$5:$E$200="Yes"),--(DATA_PROPERTY_MASTER!$E$5:$E$200&lt;&gt;"Yes"))*--ISERROR(INDIRECT("'"&amp;DATA_PROPERTY_MASTER!$A$5:$A$200&amp;"'!"&amp;SUBSTITUTE(ADDRESS(1,COLUMN(V$5)+1,4),"1","")&amp;$B34)),0))</f>
        <v>0</v>
      </c>
      <c r="W34" s="350">
        <f ca="1">SUMPRODUCT(IFERROR((DATA_PROPERTY_MASTER!$A$5:$A$200&lt;&gt;"")*IF($C34="Included source errors",--(DATA_PROPERTY_MASTER!$E$5:$E$200="Yes"),--(DATA_PROPERTY_MASTER!$E$5:$E$200&lt;&gt;"Yes"))*--ISERROR(INDIRECT("'"&amp;DATA_PROPERTY_MASTER!$A$5:$A$200&amp;"'!"&amp;SUBSTITUTE(ADDRESS(1,COLUMN(W$5)+1,4),"1","")&amp;$B34)),0))</f>
        <v>0</v>
      </c>
      <c r="X34" s="350">
        <f ca="1">SUMPRODUCT(IFERROR((DATA_PROPERTY_MASTER!$A$5:$A$200&lt;&gt;"")*IF($C34="Included source errors",--(DATA_PROPERTY_MASTER!$E$5:$E$200="Yes"),--(DATA_PROPERTY_MASTER!$E$5:$E$200&lt;&gt;"Yes"))*--ISERROR(INDIRECT("'"&amp;DATA_PROPERTY_MASTER!$A$5:$A$200&amp;"'!"&amp;SUBSTITUTE(ADDRESS(1,COLUMN(X$5)+1,4),"1","")&amp;$B34)),0))</f>
        <v>0</v>
      </c>
      <c r="Y34" s="350">
        <f t="shared" ca="1" si="0"/>
        <v>0</v>
      </c>
      <c r="Z34" s="382" t="s">
        <v>7467</v>
      </c>
    </row>
    <row r="35" spans="1:26" ht="30">
      <c r="A35" s="382" t="s">
        <v>349</v>
      </c>
      <c r="B35" s="382">
        <v>33</v>
      </c>
      <c r="C35" s="382" t="s">
        <v>1563</v>
      </c>
      <c r="D35" s="350">
        <f ca="1">SUMPRODUCT(IFERROR((DATA_PROPERTY_MASTER!$A$5:$A$200&lt;&gt;"")*IF($C35="Included source errors",--(DATA_PROPERTY_MASTER!$E$5:$E$200="Yes"),--(DATA_PROPERTY_MASTER!$E$5:$E$200&lt;&gt;"Yes"))*--ISERROR(INDIRECT("'"&amp;DATA_PROPERTY_MASTER!$A$5:$A$200&amp;"'!"&amp;SUBSTITUTE(ADDRESS(1,COLUMN(D$5)+1,4),"1","")&amp;$B35)),0))</f>
        <v>0</v>
      </c>
      <c r="E35" s="350">
        <f ca="1">SUMPRODUCT(IFERROR((DATA_PROPERTY_MASTER!$A$5:$A$200&lt;&gt;"")*IF($C35="Included source errors",--(DATA_PROPERTY_MASTER!$E$5:$E$200="Yes"),--(DATA_PROPERTY_MASTER!$E$5:$E$200&lt;&gt;"Yes"))*--ISERROR(INDIRECT("'"&amp;DATA_PROPERTY_MASTER!$A$5:$A$200&amp;"'!"&amp;SUBSTITUTE(ADDRESS(1,COLUMN(E$5)+1,4),"1","")&amp;$B35)),0))</f>
        <v>0</v>
      </c>
      <c r="F35" s="350">
        <f ca="1">SUMPRODUCT(IFERROR((DATA_PROPERTY_MASTER!$A$5:$A$200&lt;&gt;"")*IF($C35="Included source errors",--(DATA_PROPERTY_MASTER!$E$5:$E$200="Yes"),--(DATA_PROPERTY_MASTER!$E$5:$E$200&lt;&gt;"Yes"))*--ISERROR(INDIRECT("'"&amp;DATA_PROPERTY_MASTER!$A$5:$A$200&amp;"'!"&amp;SUBSTITUTE(ADDRESS(1,COLUMN(F$5)+1,4),"1","")&amp;$B35)),0))</f>
        <v>0</v>
      </c>
      <c r="G35" s="350">
        <f ca="1">SUMPRODUCT(IFERROR((DATA_PROPERTY_MASTER!$A$5:$A$200&lt;&gt;"")*IF($C35="Included source errors",--(DATA_PROPERTY_MASTER!$E$5:$E$200="Yes"),--(DATA_PROPERTY_MASTER!$E$5:$E$200&lt;&gt;"Yes"))*--ISERROR(INDIRECT("'"&amp;DATA_PROPERTY_MASTER!$A$5:$A$200&amp;"'!"&amp;SUBSTITUTE(ADDRESS(1,COLUMN(G$5)+1,4),"1","")&amp;$B35)),0))</f>
        <v>0</v>
      </c>
      <c r="H35" s="350">
        <f ca="1">SUMPRODUCT(IFERROR((DATA_PROPERTY_MASTER!$A$5:$A$200&lt;&gt;"")*IF($C35="Included source errors",--(DATA_PROPERTY_MASTER!$E$5:$E$200="Yes"),--(DATA_PROPERTY_MASTER!$E$5:$E$200&lt;&gt;"Yes"))*--ISERROR(INDIRECT("'"&amp;DATA_PROPERTY_MASTER!$A$5:$A$200&amp;"'!"&amp;SUBSTITUTE(ADDRESS(1,COLUMN(H$5)+1,4),"1","")&amp;$B35)),0))</f>
        <v>0</v>
      </c>
      <c r="I35" s="350">
        <f ca="1">SUMPRODUCT(IFERROR((DATA_PROPERTY_MASTER!$A$5:$A$200&lt;&gt;"")*IF($C35="Included source errors",--(DATA_PROPERTY_MASTER!$E$5:$E$200="Yes"),--(DATA_PROPERTY_MASTER!$E$5:$E$200&lt;&gt;"Yes"))*--ISERROR(INDIRECT("'"&amp;DATA_PROPERTY_MASTER!$A$5:$A$200&amp;"'!"&amp;SUBSTITUTE(ADDRESS(1,COLUMN(I$5)+1,4),"1","")&amp;$B35)),0))</f>
        <v>0</v>
      </c>
      <c r="J35" s="350">
        <f ca="1">SUMPRODUCT(IFERROR((DATA_PROPERTY_MASTER!$A$5:$A$200&lt;&gt;"")*IF($C35="Included source errors",--(DATA_PROPERTY_MASTER!$E$5:$E$200="Yes"),--(DATA_PROPERTY_MASTER!$E$5:$E$200&lt;&gt;"Yes"))*--ISERROR(INDIRECT("'"&amp;DATA_PROPERTY_MASTER!$A$5:$A$200&amp;"'!"&amp;SUBSTITUTE(ADDRESS(1,COLUMN(J$5)+1,4),"1","")&amp;$B35)),0))</f>
        <v>0</v>
      </c>
      <c r="K35" s="350">
        <f ca="1">SUMPRODUCT(IFERROR((DATA_PROPERTY_MASTER!$A$5:$A$200&lt;&gt;"")*IF($C35="Included source errors",--(DATA_PROPERTY_MASTER!$E$5:$E$200="Yes"),--(DATA_PROPERTY_MASTER!$E$5:$E$200&lt;&gt;"Yes"))*--ISERROR(INDIRECT("'"&amp;DATA_PROPERTY_MASTER!$A$5:$A$200&amp;"'!"&amp;SUBSTITUTE(ADDRESS(1,COLUMN(K$5)+1,4),"1","")&amp;$B35)),0))</f>
        <v>0</v>
      </c>
      <c r="L35" s="350">
        <f ca="1">SUMPRODUCT(IFERROR((DATA_PROPERTY_MASTER!$A$5:$A$200&lt;&gt;"")*IF($C35="Included source errors",--(DATA_PROPERTY_MASTER!$E$5:$E$200="Yes"),--(DATA_PROPERTY_MASTER!$E$5:$E$200&lt;&gt;"Yes"))*--ISERROR(INDIRECT("'"&amp;DATA_PROPERTY_MASTER!$A$5:$A$200&amp;"'!"&amp;SUBSTITUTE(ADDRESS(1,COLUMN(L$5)+1,4),"1","")&amp;$B35)),0))</f>
        <v>0</v>
      </c>
      <c r="M35" s="350">
        <f ca="1">SUMPRODUCT(IFERROR((DATA_PROPERTY_MASTER!$A$5:$A$200&lt;&gt;"")*IF($C35="Included source errors",--(DATA_PROPERTY_MASTER!$E$5:$E$200="Yes"),--(DATA_PROPERTY_MASTER!$E$5:$E$200&lt;&gt;"Yes"))*--ISERROR(INDIRECT("'"&amp;DATA_PROPERTY_MASTER!$A$5:$A$200&amp;"'!"&amp;SUBSTITUTE(ADDRESS(1,COLUMN(M$5)+1,4),"1","")&amp;$B35)),0))</f>
        <v>0</v>
      </c>
      <c r="N35" s="350">
        <f ca="1">SUMPRODUCT(IFERROR((DATA_PROPERTY_MASTER!$A$5:$A$200&lt;&gt;"")*IF($C35="Included source errors",--(DATA_PROPERTY_MASTER!$E$5:$E$200="Yes"),--(DATA_PROPERTY_MASTER!$E$5:$E$200&lt;&gt;"Yes"))*--ISERROR(INDIRECT("'"&amp;DATA_PROPERTY_MASTER!$A$5:$A$200&amp;"'!"&amp;SUBSTITUTE(ADDRESS(1,COLUMN(N$5)+1,4),"1","")&amp;$B35)),0))</f>
        <v>0</v>
      </c>
      <c r="O35" s="350">
        <f ca="1">SUMPRODUCT(IFERROR((DATA_PROPERTY_MASTER!$A$5:$A$200&lt;&gt;"")*IF($C35="Included source errors",--(DATA_PROPERTY_MASTER!$E$5:$E$200="Yes"),--(DATA_PROPERTY_MASTER!$E$5:$E$200&lt;&gt;"Yes"))*--ISERROR(INDIRECT("'"&amp;DATA_PROPERTY_MASTER!$A$5:$A$200&amp;"'!"&amp;SUBSTITUTE(ADDRESS(1,COLUMN(O$5)+1,4),"1","")&amp;$B35)),0))</f>
        <v>0</v>
      </c>
      <c r="P35" s="350">
        <f ca="1">SUMPRODUCT(IFERROR((DATA_PROPERTY_MASTER!$A$5:$A$200&lt;&gt;"")*IF($C35="Included source errors",--(DATA_PROPERTY_MASTER!$E$5:$E$200="Yes"),--(DATA_PROPERTY_MASTER!$E$5:$E$200&lt;&gt;"Yes"))*--ISERROR(INDIRECT("'"&amp;DATA_PROPERTY_MASTER!$A$5:$A$200&amp;"'!"&amp;SUBSTITUTE(ADDRESS(1,COLUMN(P$5)+1,4),"1","")&amp;$B35)),0))</f>
        <v>0</v>
      </c>
      <c r="Q35" s="350">
        <f ca="1">SUMPRODUCT(IFERROR((DATA_PROPERTY_MASTER!$A$5:$A$200&lt;&gt;"")*IF($C35="Included source errors",--(DATA_PROPERTY_MASTER!$E$5:$E$200="Yes"),--(DATA_PROPERTY_MASTER!$E$5:$E$200&lt;&gt;"Yes"))*--ISERROR(INDIRECT("'"&amp;DATA_PROPERTY_MASTER!$A$5:$A$200&amp;"'!"&amp;SUBSTITUTE(ADDRESS(1,COLUMN(Q$5)+1,4),"1","")&amp;$B35)),0))</f>
        <v>0</v>
      </c>
      <c r="R35" s="350">
        <f ca="1">SUMPRODUCT(IFERROR((DATA_PROPERTY_MASTER!$A$5:$A$200&lt;&gt;"")*IF($C35="Included source errors",--(DATA_PROPERTY_MASTER!$E$5:$E$200="Yes"),--(DATA_PROPERTY_MASTER!$E$5:$E$200&lt;&gt;"Yes"))*--ISERROR(INDIRECT("'"&amp;DATA_PROPERTY_MASTER!$A$5:$A$200&amp;"'!"&amp;SUBSTITUTE(ADDRESS(1,COLUMN(R$5)+1,4),"1","")&amp;$B35)),0))</f>
        <v>0</v>
      </c>
      <c r="S35" s="350">
        <f ca="1">SUMPRODUCT(IFERROR((DATA_PROPERTY_MASTER!$A$5:$A$200&lt;&gt;"")*IF($C35="Included source errors",--(DATA_PROPERTY_MASTER!$E$5:$E$200="Yes"),--(DATA_PROPERTY_MASTER!$E$5:$E$200&lt;&gt;"Yes"))*--ISERROR(INDIRECT("'"&amp;DATA_PROPERTY_MASTER!$A$5:$A$200&amp;"'!"&amp;SUBSTITUTE(ADDRESS(1,COLUMN(S$5)+1,4),"1","")&amp;$B35)),0))</f>
        <v>0</v>
      </c>
      <c r="T35" s="350">
        <f ca="1">SUMPRODUCT(IFERROR((DATA_PROPERTY_MASTER!$A$5:$A$200&lt;&gt;"")*IF($C35="Included source errors",--(DATA_PROPERTY_MASTER!$E$5:$E$200="Yes"),--(DATA_PROPERTY_MASTER!$E$5:$E$200&lt;&gt;"Yes"))*--ISERROR(INDIRECT("'"&amp;DATA_PROPERTY_MASTER!$A$5:$A$200&amp;"'!"&amp;SUBSTITUTE(ADDRESS(1,COLUMN(T$5)+1,4),"1","")&amp;$B35)),0))</f>
        <v>0</v>
      </c>
      <c r="U35" s="350">
        <f ca="1">SUMPRODUCT(IFERROR((DATA_PROPERTY_MASTER!$A$5:$A$200&lt;&gt;"")*IF($C35="Included source errors",--(DATA_PROPERTY_MASTER!$E$5:$E$200="Yes"),--(DATA_PROPERTY_MASTER!$E$5:$E$200&lt;&gt;"Yes"))*--ISERROR(INDIRECT("'"&amp;DATA_PROPERTY_MASTER!$A$5:$A$200&amp;"'!"&amp;SUBSTITUTE(ADDRESS(1,COLUMN(U$5)+1,4),"1","")&amp;$B35)),0))</f>
        <v>0</v>
      </c>
      <c r="V35" s="350">
        <f ca="1">SUMPRODUCT(IFERROR((DATA_PROPERTY_MASTER!$A$5:$A$200&lt;&gt;"")*IF($C35="Included source errors",--(DATA_PROPERTY_MASTER!$E$5:$E$200="Yes"),--(DATA_PROPERTY_MASTER!$E$5:$E$200&lt;&gt;"Yes"))*--ISERROR(INDIRECT("'"&amp;DATA_PROPERTY_MASTER!$A$5:$A$200&amp;"'!"&amp;SUBSTITUTE(ADDRESS(1,COLUMN(V$5)+1,4),"1","")&amp;$B35)),0))</f>
        <v>0</v>
      </c>
      <c r="W35" s="350">
        <f ca="1">SUMPRODUCT(IFERROR((DATA_PROPERTY_MASTER!$A$5:$A$200&lt;&gt;"")*IF($C35="Included source errors",--(DATA_PROPERTY_MASTER!$E$5:$E$200="Yes"),--(DATA_PROPERTY_MASTER!$E$5:$E$200&lt;&gt;"Yes"))*--ISERROR(INDIRECT("'"&amp;DATA_PROPERTY_MASTER!$A$5:$A$200&amp;"'!"&amp;SUBSTITUTE(ADDRESS(1,COLUMN(W$5)+1,4),"1","")&amp;$B35)),0))</f>
        <v>0</v>
      </c>
      <c r="X35" s="350">
        <f ca="1">SUMPRODUCT(IFERROR((DATA_PROPERTY_MASTER!$A$5:$A$200&lt;&gt;"")*IF($C35="Included source errors",--(DATA_PROPERTY_MASTER!$E$5:$E$200="Yes"),--(DATA_PROPERTY_MASTER!$E$5:$E$200&lt;&gt;"Yes"))*--ISERROR(INDIRECT("'"&amp;DATA_PROPERTY_MASTER!$A$5:$A$200&amp;"'!"&amp;SUBSTITUTE(ADDRESS(1,COLUMN(X$5)+1,4),"1","")&amp;$B35)),0))</f>
        <v>0</v>
      </c>
      <c r="Y35" s="350">
        <f t="shared" ca="1" si="0"/>
        <v>0</v>
      </c>
      <c r="Z35" s="382" t="s">
        <v>7467</v>
      </c>
    </row>
    <row r="36" spans="1:26" ht="30">
      <c r="A36" s="382" t="s">
        <v>350</v>
      </c>
      <c r="B36" s="382">
        <v>34</v>
      </c>
      <c r="C36" s="382" t="s">
        <v>1560</v>
      </c>
      <c r="D36" s="350">
        <f ca="1">SUMPRODUCT(IFERROR((DATA_PROPERTY_MASTER!$A$5:$A$200&lt;&gt;"")*IF($C36="Included source errors",--(DATA_PROPERTY_MASTER!$E$5:$E$200="Yes"),--(DATA_PROPERTY_MASTER!$E$5:$E$200&lt;&gt;"Yes"))*--ISERROR(INDIRECT("'"&amp;DATA_PROPERTY_MASTER!$A$5:$A$200&amp;"'!"&amp;SUBSTITUTE(ADDRESS(1,COLUMN(D$5)+1,4),"1","")&amp;$B36)),0))</f>
        <v>0</v>
      </c>
      <c r="E36" s="350">
        <f ca="1">SUMPRODUCT(IFERROR((DATA_PROPERTY_MASTER!$A$5:$A$200&lt;&gt;"")*IF($C36="Included source errors",--(DATA_PROPERTY_MASTER!$E$5:$E$200="Yes"),--(DATA_PROPERTY_MASTER!$E$5:$E$200&lt;&gt;"Yes"))*--ISERROR(INDIRECT("'"&amp;DATA_PROPERTY_MASTER!$A$5:$A$200&amp;"'!"&amp;SUBSTITUTE(ADDRESS(1,COLUMN(E$5)+1,4),"1","")&amp;$B36)),0))</f>
        <v>0</v>
      </c>
      <c r="F36" s="350">
        <f ca="1">SUMPRODUCT(IFERROR((DATA_PROPERTY_MASTER!$A$5:$A$200&lt;&gt;"")*IF($C36="Included source errors",--(DATA_PROPERTY_MASTER!$E$5:$E$200="Yes"),--(DATA_PROPERTY_MASTER!$E$5:$E$200&lt;&gt;"Yes"))*--ISERROR(INDIRECT("'"&amp;DATA_PROPERTY_MASTER!$A$5:$A$200&amp;"'!"&amp;SUBSTITUTE(ADDRESS(1,COLUMN(F$5)+1,4),"1","")&amp;$B36)),0))</f>
        <v>0</v>
      </c>
      <c r="G36" s="350">
        <f ca="1">SUMPRODUCT(IFERROR((DATA_PROPERTY_MASTER!$A$5:$A$200&lt;&gt;"")*IF($C36="Included source errors",--(DATA_PROPERTY_MASTER!$E$5:$E$200="Yes"),--(DATA_PROPERTY_MASTER!$E$5:$E$200&lt;&gt;"Yes"))*--ISERROR(INDIRECT("'"&amp;DATA_PROPERTY_MASTER!$A$5:$A$200&amp;"'!"&amp;SUBSTITUTE(ADDRESS(1,COLUMN(G$5)+1,4),"1","")&amp;$B36)),0))</f>
        <v>0</v>
      </c>
      <c r="H36" s="350">
        <f ca="1">SUMPRODUCT(IFERROR((DATA_PROPERTY_MASTER!$A$5:$A$200&lt;&gt;"")*IF($C36="Included source errors",--(DATA_PROPERTY_MASTER!$E$5:$E$200="Yes"),--(DATA_PROPERTY_MASTER!$E$5:$E$200&lt;&gt;"Yes"))*--ISERROR(INDIRECT("'"&amp;DATA_PROPERTY_MASTER!$A$5:$A$200&amp;"'!"&amp;SUBSTITUTE(ADDRESS(1,COLUMN(H$5)+1,4),"1","")&amp;$B36)),0))</f>
        <v>0</v>
      </c>
      <c r="I36" s="350">
        <f ca="1">SUMPRODUCT(IFERROR((DATA_PROPERTY_MASTER!$A$5:$A$200&lt;&gt;"")*IF($C36="Included source errors",--(DATA_PROPERTY_MASTER!$E$5:$E$200="Yes"),--(DATA_PROPERTY_MASTER!$E$5:$E$200&lt;&gt;"Yes"))*--ISERROR(INDIRECT("'"&amp;DATA_PROPERTY_MASTER!$A$5:$A$200&amp;"'!"&amp;SUBSTITUTE(ADDRESS(1,COLUMN(I$5)+1,4),"1","")&amp;$B36)),0))</f>
        <v>0</v>
      </c>
      <c r="J36" s="350">
        <f ca="1">SUMPRODUCT(IFERROR((DATA_PROPERTY_MASTER!$A$5:$A$200&lt;&gt;"")*IF($C36="Included source errors",--(DATA_PROPERTY_MASTER!$E$5:$E$200="Yes"),--(DATA_PROPERTY_MASTER!$E$5:$E$200&lt;&gt;"Yes"))*--ISERROR(INDIRECT("'"&amp;DATA_PROPERTY_MASTER!$A$5:$A$200&amp;"'!"&amp;SUBSTITUTE(ADDRESS(1,COLUMN(J$5)+1,4),"1","")&amp;$B36)),0))</f>
        <v>0</v>
      </c>
      <c r="K36" s="350">
        <f ca="1">SUMPRODUCT(IFERROR((DATA_PROPERTY_MASTER!$A$5:$A$200&lt;&gt;"")*IF($C36="Included source errors",--(DATA_PROPERTY_MASTER!$E$5:$E$200="Yes"),--(DATA_PROPERTY_MASTER!$E$5:$E$200&lt;&gt;"Yes"))*--ISERROR(INDIRECT("'"&amp;DATA_PROPERTY_MASTER!$A$5:$A$200&amp;"'!"&amp;SUBSTITUTE(ADDRESS(1,COLUMN(K$5)+1,4),"1","")&amp;$B36)),0))</f>
        <v>0</v>
      </c>
      <c r="L36" s="350">
        <f ca="1">SUMPRODUCT(IFERROR((DATA_PROPERTY_MASTER!$A$5:$A$200&lt;&gt;"")*IF($C36="Included source errors",--(DATA_PROPERTY_MASTER!$E$5:$E$200="Yes"),--(DATA_PROPERTY_MASTER!$E$5:$E$200&lt;&gt;"Yes"))*--ISERROR(INDIRECT("'"&amp;DATA_PROPERTY_MASTER!$A$5:$A$200&amp;"'!"&amp;SUBSTITUTE(ADDRESS(1,COLUMN(L$5)+1,4),"1","")&amp;$B36)),0))</f>
        <v>0</v>
      </c>
      <c r="M36" s="350">
        <f ca="1">SUMPRODUCT(IFERROR((DATA_PROPERTY_MASTER!$A$5:$A$200&lt;&gt;"")*IF($C36="Included source errors",--(DATA_PROPERTY_MASTER!$E$5:$E$200="Yes"),--(DATA_PROPERTY_MASTER!$E$5:$E$200&lt;&gt;"Yes"))*--ISERROR(INDIRECT("'"&amp;DATA_PROPERTY_MASTER!$A$5:$A$200&amp;"'!"&amp;SUBSTITUTE(ADDRESS(1,COLUMN(M$5)+1,4),"1","")&amp;$B36)),0))</f>
        <v>0</v>
      </c>
      <c r="N36" s="350">
        <f ca="1">SUMPRODUCT(IFERROR((DATA_PROPERTY_MASTER!$A$5:$A$200&lt;&gt;"")*IF($C36="Included source errors",--(DATA_PROPERTY_MASTER!$E$5:$E$200="Yes"),--(DATA_PROPERTY_MASTER!$E$5:$E$200&lt;&gt;"Yes"))*--ISERROR(INDIRECT("'"&amp;DATA_PROPERTY_MASTER!$A$5:$A$200&amp;"'!"&amp;SUBSTITUTE(ADDRESS(1,COLUMN(N$5)+1,4),"1","")&amp;$B36)),0))</f>
        <v>0</v>
      </c>
      <c r="O36" s="350">
        <f ca="1">SUMPRODUCT(IFERROR((DATA_PROPERTY_MASTER!$A$5:$A$200&lt;&gt;"")*IF($C36="Included source errors",--(DATA_PROPERTY_MASTER!$E$5:$E$200="Yes"),--(DATA_PROPERTY_MASTER!$E$5:$E$200&lt;&gt;"Yes"))*--ISERROR(INDIRECT("'"&amp;DATA_PROPERTY_MASTER!$A$5:$A$200&amp;"'!"&amp;SUBSTITUTE(ADDRESS(1,COLUMN(O$5)+1,4),"1","")&amp;$B36)),0))</f>
        <v>0</v>
      </c>
      <c r="P36" s="350">
        <f ca="1">SUMPRODUCT(IFERROR((DATA_PROPERTY_MASTER!$A$5:$A$200&lt;&gt;"")*IF($C36="Included source errors",--(DATA_PROPERTY_MASTER!$E$5:$E$200="Yes"),--(DATA_PROPERTY_MASTER!$E$5:$E$200&lt;&gt;"Yes"))*--ISERROR(INDIRECT("'"&amp;DATA_PROPERTY_MASTER!$A$5:$A$200&amp;"'!"&amp;SUBSTITUTE(ADDRESS(1,COLUMN(P$5)+1,4),"1","")&amp;$B36)),0))</f>
        <v>0</v>
      </c>
      <c r="Q36" s="350">
        <f ca="1">SUMPRODUCT(IFERROR((DATA_PROPERTY_MASTER!$A$5:$A$200&lt;&gt;"")*IF($C36="Included source errors",--(DATA_PROPERTY_MASTER!$E$5:$E$200="Yes"),--(DATA_PROPERTY_MASTER!$E$5:$E$200&lt;&gt;"Yes"))*--ISERROR(INDIRECT("'"&amp;DATA_PROPERTY_MASTER!$A$5:$A$200&amp;"'!"&amp;SUBSTITUTE(ADDRESS(1,COLUMN(Q$5)+1,4),"1","")&amp;$B36)),0))</f>
        <v>0</v>
      </c>
      <c r="R36" s="350">
        <f ca="1">SUMPRODUCT(IFERROR((DATA_PROPERTY_MASTER!$A$5:$A$200&lt;&gt;"")*IF($C36="Included source errors",--(DATA_PROPERTY_MASTER!$E$5:$E$200="Yes"),--(DATA_PROPERTY_MASTER!$E$5:$E$200&lt;&gt;"Yes"))*--ISERROR(INDIRECT("'"&amp;DATA_PROPERTY_MASTER!$A$5:$A$200&amp;"'!"&amp;SUBSTITUTE(ADDRESS(1,COLUMN(R$5)+1,4),"1","")&amp;$B36)),0))</f>
        <v>0</v>
      </c>
      <c r="S36" s="350">
        <f ca="1">SUMPRODUCT(IFERROR((DATA_PROPERTY_MASTER!$A$5:$A$200&lt;&gt;"")*IF($C36="Included source errors",--(DATA_PROPERTY_MASTER!$E$5:$E$200="Yes"),--(DATA_PROPERTY_MASTER!$E$5:$E$200&lt;&gt;"Yes"))*--ISERROR(INDIRECT("'"&amp;DATA_PROPERTY_MASTER!$A$5:$A$200&amp;"'!"&amp;SUBSTITUTE(ADDRESS(1,COLUMN(S$5)+1,4),"1","")&amp;$B36)),0))</f>
        <v>0</v>
      </c>
      <c r="T36" s="350">
        <f ca="1">SUMPRODUCT(IFERROR((DATA_PROPERTY_MASTER!$A$5:$A$200&lt;&gt;"")*IF($C36="Included source errors",--(DATA_PROPERTY_MASTER!$E$5:$E$200="Yes"),--(DATA_PROPERTY_MASTER!$E$5:$E$200&lt;&gt;"Yes"))*--ISERROR(INDIRECT("'"&amp;DATA_PROPERTY_MASTER!$A$5:$A$200&amp;"'!"&amp;SUBSTITUTE(ADDRESS(1,COLUMN(T$5)+1,4),"1","")&amp;$B36)),0))</f>
        <v>0</v>
      </c>
      <c r="U36" s="350">
        <f ca="1">SUMPRODUCT(IFERROR((DATA_PROPERTY_MASTER!$A$5:$A$200&lt;&gt;"")*IF($C36="Included source errors",--(DATA_PROPERTY_MASTER!$E$5:$E$200="Yes"),--(DATA_PROPERTY_MASTER!$E$5:$E$200&lt;&gt;"Yes"))*--ISERROR(INDIRECT("'"&amp;DATA_PROPERTY_MASTER!$A$5:$A$200&amp;"'!"&amp;SUBSTITUTE(ADDRESS(1,COLUMN(U$5)+1,4),"1","")&amp;$B36)),0))</f>
        <v>0</v>
      </c>
      <c r="V36" s="350">
        <f ca="1">SUMPRODUCT(IFERROR((DATA_PROPERTY_MASTER!$A$5:$A$200&lt;&gt;"")*IF($C36="Included source errors",--(DATA_PROPERTY_MASTER!$E$5:$E$200="Yes"),--(DATA_PROPERTY_MASTER!$E$5:$E$200&lt;&gt;"Yes"))*--ISERROR(INDIRECT("'"&amp;DATA_PROPERTY_MASTER!$A$5:$A$200&amp;"'!"&amp;SUBSTITUTE(ADDRESS(1,COLUMN(V$5)+1,4),"1","")&amp;$B36)),0))</f>
        <v>0</v>
      </c>
      <c r="W36" s="350">
        <f ca="1">SUMPRODUCT(IFERROR((DATA_PROPERTY_MASTER!$A$5:$A$200&lt;&gt;"")*IF($C36="Included source errors",--(DATA_PROPERTY_MASTER!$E$5:$E$200="Yes"),--(DATA_PROPERTY_MASTER!$E$5:$E$200&lt;&gt;"Yes"))*--ISERROR(INDIRECT("'"&amp;DATA_PROPERTY_MASTER!$A$5:$A$200&amp;"'!"&amp;SUBSTITUTE(ADDRESS(1,COLUMN(W$5)+1,4),"1","")&amp;$B36)),0))</f>
        <v>0</v>
      </c>
      <c r="X36" s="350">
        <f ca="1">SUMPRODUCT(IFERROR((DATA_PROPERTY_MASTER!$A$5:$A$200&lt;&gt;"")*IF($C36="Included source errors",--(DATA_PROPERTY_MASTER!$E$5:$E$200="Yes"),--(DATA_PROPERTY_MASTER!$E$5:$E$200&lt;&gt;"Yes"))*--ISERROR(INDIRECT("'"&amp;DATA_PROPERTY_MASTER!$A$5:$A$200&amp;"'!"&amp;SUBSTITUTE(ADDRESS(1,COLUMN(X$5)+1,4),"1","")&amp;$B36)),0))</f>
        <v>0</v>
      </c>
      <c r="Y36" s="350">
        <f t="shared" ca="1" si="0"/>
        <v>0</v>
      </c>
      <c r="Z36" s="382" t="s">
        <v>7467</v>
      </c>
    </row>
    <row r="37" spans="1:26" ht="30">
      <c r="A37" s="382" t="s">
        <v>350</v>
      </c>
      <c r="B37" s="382">
        <v>34</v>
      </c>
      <c r="C37" s="382" t="s">
        <v>1563</v>
      </c>
      <c r="D37" s="350">
        <f ca="1">SUMPRODUCT(IFERROR((DATA_PROPERTY_MASTER!$A$5:$A$200&lt;&gt;"")*IF($C37="Included source errors",--(DATA_PROPERTY_MASTER!$E$5:$E$200="Yes"),--(DATA_PROPERTY_MASTER!$E$5:$E$200&lt;&gt;"Yes"))*--ISERROR(INDIRECT("'"&amp;DATA_PROPERTY_MASTER!$A$5:$A$200&amp;"'!"&amp;SUBSTITUTE(ADDRESS(1,COLUMN(D$5)+1,4),"1","")&amp;$B37)),0))</f>
        <v>0</v>
      </c>
      <c r="E37" s="350">
        <f ca="1">SUMPRODUCT(IFERROR((DATA_PROPERTY_MASTER!$A$5:$A$200&lt;&gt;"")*IF($C37="Included source errors",--(DATA_PROPERTY_MASTER!$E$5:$E$200="Yes"),--(DATA_PROPERTY_MASTER!$E$5:$E$200&lt;&gt;"Yes"))*--ISERROR(INDIRECT("'"&amp;DATA_PROPERTY_MASTER!$A$5:$A$200&amp;"'!"&amp;SUBSTITUTE(ADDRESS(1,COLUMN(E$5)+1,4),"1","")&amp;$B37)),0))</f>
        <v>0</v>
      </c>
      <c r="F37" s="350">
        <f ca="1">SUMPRODUCT(IFERROR((DATA_PROPERTY_MASTER!$A$5:$A$200&lt;&gt;"")*IF($C37="Included source errors",--(DATA_PROPERTY_MASTER!$E$5:$E$200="Yes"),--(DATA_PROPERTY_MASTER!$E$5:$E$200&lt;&gt;"Yes"))*--ISERROR(INDIRECT("'"&amp;DATA_PROPERTY_MASTER!$A$5:$A$200&amp;"'!"&amp;SUBSTITUTE(ADDRESS(1,COLUMN(F$5)+1,4),"1","")&amp;$B37)),0))</f>
        <v>0</v>
      </c>
      <c r="G37" s="350">
        <f ca="1">SUMPRODUCT(IFERROR((DATA_PROPERTY_MASTER!$A$5:$A$200&lt;&gt;"")*IF($C37="Included source errors",--(DATA_PROPERTY_MASTER!$E$5:$E$200="Yes"),--(DATA_PROPERTY_MASTER!$E$5:$E$200&lt;&gt;"Yes"))*--ISERROR(INDIRECT("'"&amp;DATA_PROPERTY_MASTER!$A$5:$A$200&amp;"'!"&amp;SUBSTITUTE(ADDRESS(1,COLUMN(G$5)+1,4),"1","")&amp;$B37)),0))</f>
        <v>0</v>
      </c>
      <c r="H37" s="350">
        <f ca="1">SUMPRODUCT(IFERROR((DATA_PROPERTY_MASTER!$A$5:$A$200&lt;&gt;"")*IF($C37="Included source errors",--(DATA_PROPERTY_MASTER!$E$5:$E$200="Yes"),--(DATA_PROPERTY_MASTER!$E$5:$E$200&lt;&gt;"Yes"))*--ISERROR(INDIRECT("'"&amp;DATA_PROPERTY_MASTER!$A$5:$A$200&amp;"'!"&amp;SUBSTITUTE(ADDRESS(1,COLUMN(H$5)+1,4),"1","")&amp;$B37)),0))</f>
        <v>0</v>
      </c>
      <c r="I37" s="350">
        <f ca="1">SUMPRODUCT(IFERROR((DATA_PROPERTY_MASTER!$A$5:$A$200&lt;&gt;"")*IF($C37="Included source errors",--(DATA_PROPERTY_MASTER!$E$5:$E$200="Yes"),--(DATA_PROPERTY_MASTER!$E$5:$E$200&lt;&gt;"Yes"))*--ISERROR(INDIRECT("'"&amp;DATA_PROPERTY_MASTER!$A$5:$A$200&amp;"'!"&amp;SUBSTITUTE(ADDRESS(1,COLUMN(I$5)+1,4),"1","")&amp;$B37)),0))</f>
        <v>0</v>
      </c>
      <c r="J37" s="350">
        <f ca="1">SUMPRODUCT(IFERROR((DATA_PROPERTY_MASTER!$A$5:$A$200&lt;&gt;"")*IF($C37="Included source errors",--(DATA_PROPERTY_MASTER!$E$5:$E$200="Yes"),--(DATA_PROPERTY_MASTER!$E$5:$E$200&lt;&gt;"Yes"))*--ISERROR(INDIRECT("'"&amp;DATA_PROPERTY_MASTER!$A$5:$A$200&amp;"'!"&amp;SUBSTITUTE(ADDRESS(1,COLUMN(J$5)+1,4),"1","")&amp;$B37)),0))</f>
        <v>0</v>
      </c>
      <c r="K37" s="350">
        <f ca="1">SUMPRODUCT(IFERROR((DATA_PROPERTY_MASTER!$A$5:$A$200&lt;&gt;"")*IF($C37="Included source errors",--(DATA_PROPERTY_MASTER!$E$5:$E$200="Yes"),--(DATA_PROPERTY_MASTER!$E$5:$E$200&lt;&gt;"Yes"))*--ISERROR(INDIRECT("'"&amp;DATA_PROPERTY_MASTER!$A$5:$A$200&amp;"'!"&amp;SUBSTITUTE(ADDRESS(1,COLUMN(K$5)+1,4),"1","")&amp;$B37)),0))</f>
        <v>0</v>
      </c>
      <c r="L37" s="350">
        <f ca="1">SUMPRODUCT(IFERROR((DATA_PROPERTY_MASTER!$A$5:$A$200&lt;&gt;"")*IF($C37="Included source errors",--(DATA_PROPERTY_MASTER!$E$5:$E$200="Yes"),--(DATA_PROPERTY_MASTER!$E$5:$E$200&lt;&gt;"Yes"))*--ISERROR(INDIRECT("'"&amp;DATA_PROPERTY_MASTER!$A$5:$A$200&amp;"'!"&amp;SUBSTITUTE(ADDRESS(1,COLUMN(L$5)+1,4),"1","")&amp;$B37)),0))</f>
        <v>0</v>
      </c>
      <c r="M37" s="350">
        <f ca="1">SUMPRODUCT(IFERROR((DATA_PROPERTY_MASTER!$A$5:$A$200&lt;&gt;"")*IF($C37="Included source errors",--(DATA_PROPERTY_MASTER!$E$5:$E$200="Yes"),--(DATA_PROPERTY_MASTER!$E$5:$E$200&lt;&gt;"Yes"))*--ISERROR(INDIRECT("'"&amp;DATA_PROPERTY_MASTER!$A$5:$A$200&amp;"'!"&amp;SUBSTITUTE(ADDRESS(1,COLUMN(M$5)+1,4),"1","")&amp;$B37)),0))</f>
        <v>0</v>
      </c>
      <c r="N37" s="350">
        <f ca="1">SUMPRODUCT(IFERROR((DATA_PROPERTY_MASTER!$A$5:$A$200&lt;&gt;"")*IF($C37="Included source errors",--(DATA_PROPERTY_MASTER!$E$5:$E$200="Yes"),--(DATA_PROPERTY_MASTER!$E$5:$E$200&lt;&gt;"Yes"))*--ISERROR(INDIRECT("'"&amp;DATA_PROPERTY_MASTER!$A$5:$A$200&amp;"'!"&amp;SUBSTITUTE(ADDRESS(1,COLUMN(N$5)+1,4),"1","")&amp;$B37)),0))</f>
        <v>0</v>
      </c>
      <c r="O37" s="350">
        <f ca="1">SUMPRODUCT(IFERROR((DATA_PROPERTY_MASTER!$A$5:$A$200&lt;&gt;"")*IF($C37="Included source errors",--(DATA_PROPERTY_MASTER!$E$5:$E$200="Yes"),--(DATA_PROPERTY_MASTER!$E$5:$E$200&lt;&gt;"Yes"))*--ISERROR(INDIRECT("'"&amp;DATA_PROPERTY_MASTER!$A$5:$A$200&amp;"'!"&amp;SUBSTITUTE(ADDRESS(1,COLUMN(O$5)+1,4),"1","")&amp;$B37)),0))</f>
        <v>0</v>
      </c>
      <c r="P37" s="350">
        <f ca="1">SUMPRODUCT(IFERROR((DATA_PROPERTY_MASTER!$A$5:$A$200&lt;&gt;"")*IF($C37="Included source errors",--(DATA_PROPERTY_MASTER!$E$5:$E$200="Yes"),--(DATA_PROPERTY_MASTER!$E$5:$E$200&lt;&gt;"Yes"))*--ISERROR(INDIRECT("'"&amp;DATA_PROPERTY_MASTER!$A$5:$A$200&amp;"'!"&amp;SUBSTITUTE(ADDRESS(1,COLUMN(P$5)+1,4),"1","")&amp;$B37)),0))</f>
        <v>0</v>
      </c>
      <c r="Q37" s="350">
        <f ca="1">SUMPRODUCT(IFERROR((DATA_PROPERTY_MASTER!$A$5:$A$200&lt;&gt;"")*IF($C37="Included source errors",--(DATA_PROPERTY_MASTER!$E$5:$E$200="Yes"),--(DATA_PROPERTY_MASTER!$E$5:$E$200&lt;&gt;"Yes"))*--ISERROR(INDIRECT("'"&amp;DATA_PROPERTY_MASTER!$A$5:$A$200&amp;"'!"&amp;SUBSTITUTE(ADDRESS(1,COLUMN(Q$5)+1,4),"1","")&amp;$B37)),0))</f>
        <v>0</v>
      </c>
      <c r="R37" s="350">
        <f ca="1">SUMPRODUCT(IFERROR((DATA_PROPERTY_MASTER!$A$5:$A$200&lt;&gt;"")*IF($C37="Included source errors",--(DATA_PROPERTY_MASTER!$E$5:$E$200="Yes"),--(DATA_PROPERTY_MASTER!$E$5:$E$200&lt;&gt;"Yes"))*--ISERROR(INDIRECT("'"&amp;DATA_PROPERTY_MASTER!$A$5:$A$200&amp;"'!"&amp;SUBSTITUTE(ADDRESS(1,COLUMN(R$5)+1,4),"1","")&amp;$B37)),0))</f>
        <v>0</v>
      </c>
      <c r="S37" s="350">
        <f ca="1">SUMPRODUCT(IFERROR((DATA_PROPERTY_MASTER!$A$5:$A$200&lt;&gt;"")*IF($C37="Included source errors",--(DATA_PROPERTY_MASTER!$E$5:$E$200="Yes"),--(DATA_PROPERTY_MASTER!$E$5:$E$200&lt;&gt;"Yes"))*--ISERROR(INDIRECT("'"&amp;DATA_PROPERTY_MASTER!$A$5:$A$200&amp;"'!"&amp;SUBSTITUTE(ADDRESS(1,COLUMN(S$5)+1,4),"1","")&amp;$B37)),0))</f>
        <v>0</v>
      </c>
      <c r="T37" s="350">
        <f ca="1">SUMPRODUCT(IFERROR((DATA_PROPERTY_MASTER!$A$5:$A$200&lt;&gt;"")*IF($C37="Included source errors",--(DATA_PROPERTY_MASTER!$E$5:$E$200="Yes"),--(DATA_PROPERTY_MASTER!$E$5:$E$200&lt;&gt;"Yes"))*--ISERROR(INDIRECT("'"&amp;DATA_PROPERTY_MASTER!$A$5:$A$200&amp;"'!"&amp;SUBSTITUTE(ADDRESS(1,COLUMN(T$5)+1,4),"1","")&amp;$B37)),0))</f>
        <v>0</v>
      </c>
      <c r="U37" s="350">
        <f ca="1">SUMPRODUCT(IFERROR((DATA_PROPERTY_MASTER!$A$5:$A$200&lt;&gt;"")*IF($C37="Included source errors",--(DATA_PROPERTY_MASTER!$E$5:$E$200="Yes"),--(DATA_PROPERTY_MASTER!$E$5:$E$200&lt;&gt;"Yes"))*--ISERROR(INDIRECT("'"&amp;DATA_PROPERTY_MASTER!$A$5:$A$200&amp;"'!"&amp;SUBSTITUTE(ADDRESS(1,COLUMN(U$5)+1,4),"1","")&amp;$B37)),0))</f>
        <v>0</v>
      </c>
      <c r="V37" s="350">
        <f ca="1">SUMPRODUCT(IFERROR((DATA_PROPERTY_MASTER!$A$5:$A$200&lt;&gt;"")*IF($C37="Included source errors",--(DATA_PROPERTY_MASTER!$E$5:$E$200="Yes"),--(DATA_PROPERTY_MASTER!$E$5:$E$200&lt;&gt;"Yes"))*--ISERROR(INDIRECT("'"&amp;DATA_PROPERTY_MASTER!$A$5:$A$200&amp;"'!"&amp;SUBSTITUTE(ADDRESS(1,COLUMN(V$5)+1,4),"1","")&amp;$B37)),0))</f>
        <v>0</v>
      </c>
      <c r="W37" s="350">
        <f ca="1">SUMPRODUCT(IFERROR((DATA_PROPERTY_MASTER!$A$5:$A$200&lt;&gt;"")*IF($C37="Included source errors",--(DATA_PROPERTY_MASTER!$E$5:$E$200="Yes"),--(DATA_PROPERTY_MASTER!$E$5:$E$200&lt;&gt;"Yes"))*--ISERROR(INDIRECT("'"&amp;DATA_PROPERTY_MASTER!$A$5:$A$200&amp;"'!"&amp;SUBSTITUTE(ADDRESS(1,COLUMN(W$5)+1,4),"1","")&amp;$B37)),0))</f>
        <v>0</v>
      </c>
      <c r="X37" s="350">
        <f ca="1">SUMPRODUCT(IFERROR((DATA_PROPERTY_MASTER!$A$5:$A$200&lt;&gt;"")*IF($C37="Included source errors",--(DATA_PROPERTY_MASTER!$E$5:$E$200="Yes"),--(DATA_PROPERTY_MASTER!$E$5:$E$200&lt;&gt;"Yes"))*--ISERROR(INDIRECT("'"&amp;DATA_PROPERTY_MASTER!$A$5:$A$200&amp;"'!"&amp;SUBSTITUTE(ADDRESS(1,COLUMN(X$5)+1,4),"1","")&amp;$B37)),0))</f>
        <v>0</v>
      </c>
      <c r="Y37" s="350">
        <f t="shared" ca="1" si="0"/>
        <v>0</v>
      </c>
      <c r="Z37" s="382" t="s">
        <v>7467</v>
      </c>
    </row>
    <row r="38" spans="1:26" ht="30">
      <c r="A38" s="382" t="s">
        <v>351</v>
      </c>
      <c r="B38" s="382">
        <v>35</v>
      </c>
      <c r="C38" s="382" t="s">
        <v>1560</v>
      </c>
      <c r="D38" s="350">
        <f ca="1">SUMPRODUCT(IFERROR((DATA_PROPERTY_MASTER!$A$5:$A$200&lt;&gt;"")*IF($C38="Included source errors",--(DATA_PROPERTY_MASTER!$E$5:$E$200="Yes"),--(DATA_PROPERTY_MASTER!$E$5:$E$200&lt;&gt;"Yes"))*--ISERROR(INDIRECT("'"&amp;DATA_PROPERTY_MASTER!$A$5:$A$200&amp;"'!"&amp;SUBSTITUTE(ADDRESS(1,COLUMN(D$5)+1,4),"1","")&amp;$B38)),0))</f>
        <v>0</v>
      </c>
      <c r="E38" s="350">
        <f ca="1">SUMPRODUCT(IFERROR((DATA_PROPERTY_MASTER!$A$5:$A$200&lt;&gt;"")*IF($C38="Included source errors",--(DATA_PROPERTY_MASTER!$E$5:$E$200="Yes"),--(DATA_PROPERTY_MASTER!$E$5:$E$200&lt;&gt;"Yes"))*--ISERROR(INDIRECT("'"&amp;DATA_PROPERTY_MASTER!$A$5:$A$200&amp;"'!"&amp;SUBSTITUTE(ADDRESS(1,COLUMN(E$5)+1,4),"1","")&amp;$B38)),0))</f>
        <v>0</v>
      </c>
      <c r="F38" s="350">
        <f ca="1">SUMPRODUCT(IFERROR((DATA_PROPERTY_MASTER!$A$5:$A$200&lt;&gt;"")*IF($C38="Included source errors",--(DATA_PROPERTY_MASTER!$E$5:$E$200="Yes"),--(DATA_PROPERTY_MASTER!$E$5:$E$200&lt;&gt;"Yes"))*--ISERROR(INDIRECT("'"&amp;DATA_PROPERTY_MASTER!$A$5:$A$200&amp;"'!"&amp;SUBSTITUTE(ADDRESS(1,COLUMN(F$5)+1,4),"1","")&amp;$B38)),0))</f>
        <v>0</v>
      </c>
      <c r="G38" s="350">
        <f ca="1">SUMPRODUCT(IFERROR((DATA_PROPERTY_MASTER!$A$5:$A$200&lt;&gt;"")*IF($C38="Included source errors",--(DATA_PROPERTY_MASTER!$E$5:$E$200="Yes"),--(DATA_PROPERTY_MASTER!$E$5:$E$200&lt;&gt;"Yes"))*--ISERROR(INDIRECT("'"&amp;DATA_PROPERTY_MASTER!$A$5:$A$200&amp;"'!"&amp;SUBSTITUTE(ADDRESS(1,COLUMN(G$5)+1,4),"1","")&amp;$B38)),0))</f>
        <v>0</v>
      </c>
      <c r="H38" s="350">
        <f ca="1">SUMPRODUCT(IFERROR((DATA_PROPERTY_MASTER!$A$5:$A$200&lt;&gt;"")*IF($C38="Included source errors",--(DATA_PROPERTY_MASTER!$E$5:$E$200="Yes"),--(DATA_PROPERTY_MASTER!$E$5:$E$200&lt;&gt;"Yes"))*--ISERROR(INDIRECT("'"&amp;DATA_PROPERTY_MASTER!$A$5:$A$200&amp;"'!"&amp;SUBSTITUTE(ADDRESS(1,COLUMN(H$5)+1,4),"1","")&amp;$B38)),0))</f>
        <v>0</v>
      </c>
      <c r="I38" s="350">
        <f ca="1">SUMPRODUCT(IFERROR((DATA_PROPERTY_MASTER!$A$5:$A$200&lt;&gt;"")*IF($C38="Included source errors",--(DATA_PROPERTY_MASTER!$E$5:$E$200="Yes"),--(DATA_PROPERTY_MASTER!$E$5:$E$200&lt;&gt;"Yes"))*--ISERROR(INDIRECT("'"&amp;DATA_PROPERTY_MASTER!$A$5:$A$200&amp;"'!"&amp;SUBSTITUTE(ADDRESS(1,COLUMN(I$5)+1,4),"1","")&amp;$B38)),0))</f>
        <v>0</v>
      </c>
      <c r="J38" s="350">
        <f ca="1">SUMPRODUCT(IFERROR((DATA_PROPERTY_MASTER!$A$5:$A$200&lt;&gt;"")*IF($C38="Included source errors",--(DATA_PROPERTY_MASTER!$E$5:$E$200="Yes"),--(DATA_PROPERTY_MASTER!$E$5:$E$200&lt;&gt;"Yes"))*--ISERROR(INDIRECT("'"&amp;DATA_PROPERTY_MASTER!$A$5:$A$200&amp;"'!"&amp;SUBSTITUTE(ADDRESS(1,COLUMN(J$5)+1,4),"1","")&amp;$B38)),0))</f>
        <v>0</v>
      </c>
      <c r="K38" s="350">
        <f ca="1">SUMPRODUCT(IFERROR((DATA_PROPERTY_MASTER!$A$5:$A$200&lt;&gt;"")*IF($C38="Included source errors",--(DATA_PROPERTY_MASTER!$E$5:$E$200="Yes"),--(DATA_PROPERTY_MASTER!$E$5:$E$200&lt;&gt;"Yes"))*--ISERROR(INDIRECT("'"&amp;DATA_PROPERTY_MASTER!$A$5:$A$200&amp;"'!"&amp;SUBSTITUTE(ADDRESS(1,COLUMN(K$5)+1,4),"1","")&amp;$B38)),0))</f>
        <v>0</v>
      </c>
      <c r="L38" s="350">
        <f ca="1">SUMPRODUCT(IFERROR((DATA_PROPERTY_MASTER!$A$5:$A$200&lt;&gt;"")*IF($C38="Included source errors",--(DATA_PROPERTY_MASTER!$E$5:$E$200="Yes"),--(DATA_PROPERTY_MASTER!$E$5:$E$200&lt;&gt;"Yes"))*--ISERROR(INDIRECT("'"&amp;DATA_PROPERTY_MASTER!$A$5:$A$200&amp;"'!"&amp;SUBSTITUTE(ADDRESS(1,COLUMN(L$5)+1,4),"1","")&amp;$B38)),0))</f>
        <v>0</v>
      </c>
      <c r="M38" s="350">
        <f ca="1">SUMPRODUCT(IFERROR((DATA_PROPERTY_MASTER!$A$5:$A$200&lt;&gt;"")*IF($C38="Included source errors",--(DATA_PROPERTY_MASTER!$E$5:$E$200="Yes"),--(DATA_PROPERTY_MASTER!$E$5:$E$200&lt;&gt;"Yes"))*--ISERROR(INDIRECT("'"&amp;DATA_PROPERTY_MASTER!$A$5:$A$200&amp;"'!"&amp;SUBSTITUTE(ADDRESS(1,COLUMN(M$5)+1,4),"1","")&amp;$B38)),0))</f>
        <v>0</v>
      </c>
      <c r="N38" s="350">
        <f ca="1">SUMPRODUCT(IFERROR((DATA_PROPERTY_MASTER!$A$5:$A$200&lt;&gt;"")*IF($C38="Included source errors",--(DATA_PROPERTY_MASTER!$E$5:$E$200="Yes"),--(DATA_PROPERTY_MASTER!$E$5:$E$200&lt;&gt;"Yes"))*--ISERROR(INDIRECT("'"&amp;DATA_PROPERTY_MASTER!$A$5:$A$200&amp;"'!"&amp;SUBSTITUTE(ADDRESS(1,COLUMN(N$5)+1,4),"1","")&amp;$B38)),0))</f>
        <v>0</v>
      </c>
      <c r="O38" s="350">
        <f ca="1">SUMPRODUCT(IFERROR((DATA_PROPERTY_MASTER!$A$5:$A$200&lt;&gt;"")*IF($C38="Included source errors",--(DATA_PROPERTY_MASTER!$E$5:$E$200="Yes"),--(DATA_PROPERTY_MASTER!$E$5:$E$200&lt;&gt;"Yes"))*--ISERROR(INDIRECT("'"&amp;DATA_PROPERTY_MASTER!$A$5:$A$200&amp;"'!"&amp;SUBSTITUTE(ADDRESS(1,COLUMN(O$5)+1,4),"1","")&amp;$B38)),0))</f>
        <v>0</v>
      </c>
      <c r="P38" s="350">
        <f ca="1">SUMPRODUCT(IFERROR((DATA_PROPERTY_MASTER!$A$5:$A$200&lt;&gt;"")*IF($C38="Included source errors",--(DATA_PROPERTY_MASTER!$E$5:$E$200="Yes"),--(DATA_PROPERTY_MASTER!$E$5:$E$200&lt;&gt;"Yes"))*--ISERROR(INDIRECT("'"&amp;DATA_PROPERTY_MASTER!$A$5:$A$200&amp;"'!"&amp;SUBSTITUTE(ADDRESS(1,COLUMN(P$5)+1,4),"1","")&amp;$B38)),0))</f>
        <v>0</v>
      </c>
      <c r="Q38" s="350">
        <f ca="1">SUMPRODUCT(IFERROR((DATA_PROPERTY_MASTER!$A$5:$A$200&lt;&gt;"")*IF($C38="Included source errors",--(DATA_PROPERTY_MASTER!$E$5:$E$200="Yes"),--(DATA_PROPERTY_MASTER!$E$5:$E$200&lt;&gt;"Yes"))*--ISERROR(INDIRECT("'"&amp;DATA_PROPERTY_MASTER!$A$5:$A$200&amp;"'!"&amp;SUBSTITUTE(ADDRESS(1,COLUMN(Q$5)+1,4),"1","")&amp;$B38)),0))</f>
        <v>0</v>
      </c>
      <c r="R38" s="350">
        <f ca="1">SUMPRODUCT(IFERROR((DATA_PROPERTY_MASTER!$A$5:$A$200&lt;&gt;"")*IF($C38="Included source errors",--(DATA_PROPERTY_MASTER!$E$5:$E$200="Yes"),--(DATA_PROPERTY_MASTER!$E$5:$E$200&lt;&gt;"Yes"))*--ISERROR(INDIRECT("'"&amp;DATA_PROPERTY_MASTER!$A$5:$A$200&amp;"'!"&amp;SUBSTITUTE(ADDRESS(1,COLUMN(R$5)+1,4),"1","")&amp;$B38)),0))</f>
        <v>0</v>
      </c>
      <c r="S38" s="350">
        <f ca="1">SUMPRODUCT(IFERROR((DATA_PROPERTY_MASTER!$A$5:$A$200&lt;&gt;"")*IF($C38="Included source errors",--(DATA_PROPERTY_MASTER!$E$5:$E$200="Yes"),--(DATA_PROPERTY_MASTER!$E$5:$E$200&lt;&gt;"Yes"))*--ISERROR(INDIRECT("'"&amp;DATA_PROPERTY_MASTER!$A$5:$A$200&amp;"'!"&amp;SUBSTITUTE(ADDRESS(1,COLUMN(S$5)+1,4),"1","")&amp;$B38)),0))</f>
        <v>0</v>
      </c>
      <c r="T38" s="350">
        <f ca="1">SUMPRODUCT(IFERROR((DATA_PROPERTY_MASTER!$A$5:$A$200&lt;&gt;"")*IF($C38="Included source errors",--(DATA_PROPERTY_MASTER!$E$5:$E$200="Yes"),--(DATA_PROPERTY_MASTER!$E$5:$E$200&lt;&gt;"Yes"))*--ISERROR(INDIRECT("'"&amp;DATA_PROPERTY_MASTER!$A$5:$A$200&amp;"'!"&amp;SUBSTITUTE(ADDRESS(1,COLUMN(T$5)+1,4),"1","")&amp;$B38)),0))</f>
        <v>0</v>
      </c>
      <c r="U38" s="350">
        <f ca="1">SUMPRODUCT(IFERROR((DATA_PROPERTY_MASTER!$A$5:$A$200&lt;&gt;"")*IF($C38="Included source errors",--(DATA_PROPERTY_MASTER!$E$5:$E$200="Yes"),--(DATA_PROPERTY_MASTER!$E$5:$E$200&lt;&gt;"Yes"))*--ISERROR(INDIRECT("'"&amp;DATA_PROPERTY_MASTER!$A$5:$A$200&amp;"'!"&amp;SUBSTITUTE(ADDRESS(1,COLUMN(U$5)+1,4),"1","")&amp;$B38)),0))</f>
        <v>0</v>
      </c>
      <c r="V38" s="350">
        <f ca="1">SUMPRODUCT(IFERROR((DATA_PROPERTY_MASTER!$A$5:$A$200&lt;&gt;"")*IF($C38="Included source errors",--(DATA_PROPERTY_MASTER!$E$5:$E$200="Yes"),--(DATA_PROPERTY_MASTER!$E$5:$E$200&lt;&gt;"Yes"))*--ISERROR(INDIRECT("'"&amp;DATA_PROPERTY_MASTER!$A$5:$A$200&amp;"'!"&amp;SUBSTITUTE(ADDRESS(1,COLUMN(V$5)+1,4),"1","")&amp;$B38)),0))</f>
        <v>0</v>
      </c>
      <c r="W38" s="350">
        <f ca="1">SUMPRODUCT(IFERROR((DATA_PROPERTY_MASTER!$A$5:$A$200&lt;&gt;"")*IF($C38="Included source errors",--(DATA_PROPERTY_MASTER!$E$5:$E$200="Yes"),--(DATA_PROPERTY_MASTER!$E$5:$E$200&lt;&gt;"Yes"))*--ISERROR(INDIRECT("'"&amp;DATA_PROPERTY_MASTER!$A$5:$A$200&amp;"'!"&amp;SUBSTITUTE(ADDRESS(1,COLUMN(W$5)+1,4),"1","")&amp;$B38)),0))</f>
        <v>0</v>
      </c>
      <c r="X38" s="350">
        <f ca="1">SUMPRODUCT(IFERROR((DATA_PROPERTY_MASTER!$A$5:$A$200&lt;&gt;"")*IF($C38="Included source errors",--(DATA_PROPERTY_MASTER!$E$5:$E$200="Yes"),--(DATA_PROPERTY_MASTER!$E$5:$E$200&lt;&gt;"Yes"))*--ISERROR(INDIRECT("'"&amp;DATA_PROPERTY_MASTER!$A$5:$A$200&amp;"'!"&amp;SUBSTITUTE(ADDRESS(1,COLUMN(X$5)+1,4),"1","")&amp;$B38)),0))</f>
        <v>0</v>
      </c>
      <c r="Y38" s="350">
        <f t="shared" ref="Y38:Y55" ca="1" si="1">SUM(D38:X38)</f>
        <v>0</v>
      </c>
      <c r="Z38" s="382" t="s">
        <v>7467</v>
      </c>
    </row>
    <row r="39" spans="1:26" ht="30">
      <c r="A39" s="382" t="s">
        <v>351</v>
      </c>
      <c r="B39" s="382">
        <v>35</v>
      </c>
      <c r="C39" s="382" t="s">
        <v>1563</v>
      </c>
      <c r="D39" s="350">
        <f ca="1">SUMPRODUCT(IFERROR((DATA_PROPERTY_MASTER!$A$5:$A$200&lt;&gt;"")*IF($C39="Included source errors",--(DATA_PROPERTY_MASTER!$E$5:$E$200="Yes"),--(DATA_PROPERTY_MASTER!$E$5:$E$200&lt;&gt;"Yes"))*--ISERROR(INDIRECT("'"&amp;DATA_PROPERTY_MASTER!$A$5:$A$200&amp;"'!"&amp;SUBSTITUTE(ADDRESS(1,COLUMN(D$5)+1,4),"1","")&amp;$B39)),0))</f>
        <v>0</v>
      </c>
      <c r="E39" s="350">
        <f ca="1">SUMPRODUCT(IFERROR((DATA_PROPERTY_MASTER!$A$5:$A$200&lt;&gt;"")*IF($C39="Included source errors",--(DATA_PROPERTY_MASTER!$E$5:$E$200="Yes"),--(DATA_PROPERTY_MASTER!$E$5:$E$200&lt;&gt;"Yes"))*--ISERROR(INDIRECT("'"&amp;DATA_PROPERTY_MASTER!$A$5:$A$200&amp;"'!"&amp;SUBSTITUTE(ADDRESS(1,COLUMN(E$5)+1,4),"1","")&amp;$B39)),0))</f>
        <v>0</v>
      </c>
      <c r="F39" s="350">
        <f ca="1">SUMPRODUCT(IFERROR((DATA_PROPERTY_MASTER!$A$5:$A$200&lt;&gt;"")*IF($C39="Included source errors",--(DATA_PROPERTY_MASTER!$E$5:$E$200="Yes"),--(DATA_PROPERTY_MASTER!$E$5:$E$200&lt;&gt;"Yes"))*--ISERROR(INDIRECT("'"&amp;DATA_PROPERTY_MASTER!$A$5:$A$200&amp;"'!"&amp;SUBSTITUTE(ADDRESS(1,COLUMN(F$5)+1,4),"1","")&amp;$B39)),0))</f>
        <v>0</v>
      </c>
      <c r="G39" s="350">
        <f ca="1">SUMPRODUCT(IFERROR((DATA_PROPERTY_MASTER!$A$5:$A$200&lt;&gt;"")*IF($C39="Included source errors",--(DATA_PROPERTY_MASTER!$E$5:$E$200="Yes"),--(DATA_PROPERTY_MASTER!$E$5:$E$200&lt;&gt;"Yes"))*--ISERROR(INDIRECT("'"&amp;DATA_PROPERTY_MASTER!$A$5:$A$200&amp;"'!"&amp;SUBSTITUTE(ADDRESS(1,COLUMN(G$5)+1,4),"1","")&amp;$B39)),0))</f>
        <v>0</v>
      </c>
      <c r="H39" s="350">
        <f ca="1">SUMPRODUCT(IFERROR((DATA_PROPERTY_MASTER!$A$5:$A$200&lt;&gt;"")*IF($C39="Included source errors",--(DATA_PROPERTY_MASTER!$E$5:$E$200="Yes"),--(DATA_PROPERTY_MASTER!$E$5:$E$200&lt;&gt;"Yes"))*--ISERROR(INDIRECT("'"&amp;DATA_PROPERTY_MASTER!$A$5:$A$200&amp;"'!"&amp;SUBSTITUTE(ADDRESS(1,COLUMN(H$5)+1,4),"1","")&amp;$B39)),0))</f>
        <v>0</v>
      </c>
      <c r="I39" s="350">
        <f ca="1">SUMPRODUCT(IFERROR((DATA_PROPERTY_MASTER!$A$5:$A$200&lt;&gt;"")*IF($C39="Included source errors",--(DATA_PROPERTY_MASTER!$E$5:$E$200="Yes"),--(DATA_PROPERTY_MASTER!$E$5:$E$200&lt;&gt;"Yes"))*--ISERROR(INDIRECT("'"&amp;DATA_PROPERTY_MASTER!$A$5:$A$200&amp;"'!"&amp;SUBSTITUTE(ADDRESS(1,COLUMN(I$5)+1,4),"1","")&amp;$B39)),0))</f>
        <v>0</v>
      </c>
      <c r="J39" s="350">
        <f ca="1">SUMPRODUCT(IFERROR((DATA_PROPERTY_MASTER!$A$5:$A$200&lt;&gt;"")*IF($C39="Included source errors",--(DATA_PROPERTY_MASTER!$E$5:$E$200="Yes"),--(DATA_PROPERTY_MASTER!$E$5:$E$200&lt;&gt;"Yes"))*--ISERROR(INDIRECT("'"&amp;DATA_PROPERTY_MASTER!$A$5:$A$200&amp;"'!"&amp;SUBSTITUTE(ADDRESS(1,COLUMN(J$5)+1,4),"1","")&amp;$B39)),0))</f>
        <v>0</v>
      </c>
      <c r="K39" s="350">
        <f ca="1">SUMPRODUCT(IFERROR((DATA_PROPERTY_MASTER!$A$5:$A$200&lt;&gt;"")*IF($C39="Included source errors",--(DATA_PROPERTY_MASTER!$E$5:$E$200="Yes"),--(DATA_PROPERTY_MASTER!$E$5:$E$200&lt;&gt;"Yes"))*--ISERROR(INDIRECT("'"&amp;DATA_PROPERTY_MASTER!$A$5:$A$200&amp;"'!"&amp;SUBSTITUTE(ADDRESS(1,COLUMN(K$5)+1,4),"1","")&amp;$B39)),0))</f>
        <v>0</v>
      </c>
      <c r="L39" s="350">
        <f ca="1">SUMPRODUCT(IFERROR((DATA_PROPERTY_MASTER!$A$5:$A$200&lt;&gt;"")*IF($C39="Included source errors",--(DATA_PROPERTY_MASTER!$E$5:$E$200="Yes"),--(DATA_PROPERTY_MASTER!$E$5:$E$200&lt;&gt;"Yes"))*--ISERROR(INDIRECT("'"&amp;DATA_PROPERTY_MASTER!$A$5:$A$200&amp;"'!"&amp;SUBSTITUTE(ADDRESS(1,COLUMN(L$5)+1,4),"1","")&amp;$B39)),0))</f>
        <v>0</v>
      </c>
      <c r="M39" s="350">
        <f ca="1">SUMPRODUCT(IFERROR((DATA_PROPERTY_MASTER!$A$5:$A$200&lt;&gt;"")*IF($C39="Included source errors",--(DATA_PROPERTY_MASTER!$E$5:$E$200="Yes"),--(DATA_PROPERTY_MASTER!$E$5:$E$200&lt;&gt;"Yes"))*--ISERROR(INDIRECT("'"&amp;DATA_PROPERTY_MASTER!$A$5:$A$200&amp;"'!"&amp;SUBSTITUTE(ADDRESS(1,COLUMN(M$5)+1,4),"1","")&amp;$B39)),0))</f>
        <v>0</v>
      </c>
      <c r="N39" s="350">
        <f ca="1">SUMPRODUCT(IFERROR((DATA_PROPERTY_MASTER!$A$5:$A$200&lt;&gt;"")*IF($C39="Included source errors",--(DATA_PROPERTY_MASTER!$E$5:$E$200="Yes"),--(DATA_PROPERTY_MASTER!$E$5:$E$200&lt;&gt;"Yes"))*--ISERROR(INDIRECT("'"&amp;DATA_PROPERTY_MASTER!$A$5:$A$200&amp;"'!"&amp;SUBSTITUTE(ADDRESS(1,COLUMN(N$5)+1,4),"1","")&amp;$B39)),0))</f>
        <v>0</v>
      </c>
      <c r="O39" s="350">
        <f ca="1">SUMPRODUCT(IFERROR((DATA_PROPERTY_MASTER!$A$5:$A$200&lt;&gt;"")*IF($C39="Included source errors",--(DATA_PROPERTY_MASTER!$E$5:$E$200="Yes"),--(DATA_PROPERTY_MASTER!$E$5:$E$200&lt;&gt;"Yes"))*--ISERROR(INDIRECT("'"&amp;DATA_PROPERTY_MASTER!$A$5:$A$200&amp;"'!"&amp;SUBSTITUTE(ADDRESS(1,COLUMN(O$5)+1,4),"1","")&amp;$B39)),0))</f>
        <v>0</v>
      </c>
      <c r="P39" s="350">
        <f ca="1">SUMPRODUCT(IFERROR((DATA_PROPERTY_MASTER!$A$5:$A$200&lt;&gt;"")*IF($C39="Included source errors",--(DATA_PROPERTY_MASTER!$E$5:$E$200="Yes"),--(DATA_PROPERTY_MASTER!$E$5:$E$200&lt;&gt;"Yes"))*--ISERROR(INDIRECT("'"&amp;DATA_PROPERTY_MASTER!$A$5:$A$200&amp;"'!"&amp;SUBSTITUTE(ADDRESS(1,COLUMN(P$5)+1,4),"1","")&amp;$B39)),0))</f>
        <v>0</v>
      </c>
      <c r="Q39" s="350">
        <f ca="1">SUMPRODUCT(IFERROR((DATA_PROPERTY_MASTER!$A$5:$A$200&lt;&gt;"")*IF($C39="Included source errors",--(DATA_PROPERTY_MASTER!$E$5:$E$200="Yes"),--(DATA_PROPERTY_MASTER!$E$5:$E$200&lt;&gt;"Yes"))*--ISERROR(INDIRECT("'"&amp;DATA_PROPERTY_MASTER!$A$5:$A$200&amp;"'!"&amp;SUBSTITUTE(ADDRESS(1,COLUMN(Q$5)+1,4),"1","")&amp;$B39)),0))</f>
        <v>0</v>
      </c>
      <c r="R39" s="350">
        <f ca="1">SUMPRODUCT(IFERROR((DATA_PROPERTY_MASTER!$A$5:$A$200&lt;&gt;"")*IF($C39="Included source errors",--(DATA_PROPERTY_MASTER!$E$5:$E$200="Yes"),--(DATA_PROPERTY_MASTER!$E$5:$E$200&lt;&gt;"Yes"))*--ISERROR(INDIRECT("'"&amp;DATA_PROPERTY_MASTER!$A$5:$A$200&amp;"'!"&amp;SUBSTITUTE(ADDRESS(1,COLUMN(R$5)+1,4),"1","")&amp;$B39)),0))</f>
        <v>0</v>
      </c>
      <c r="S39" s="350">
        <f ca="1">SUMPRODUCT(IFERROR((DATA_PROPERTY_MASTER!$A$5:$A$200&lt;&gt;"")*IF($C39="Included source errors",--(DATA_PROPERTY_MASTER!$E$5:$E$200="Yes"),--(DATA_PROPERTY_MASTER!$E$5:$E$200&lt;&gt;"Yes"))*--ISERROR(INDIRECT("'"&amp;DATA_PROPERTY_MASTER!$A$5:$A$200&amp;"'!"&amp;SUBSTITUTE(ADDRESS(1,COLUMN(S$5)+1,4),"1","")&amp;$B39)),0))</f>
        <v>0</v>
      </c>
      <c r="T39" s="350">
        <f ca="1">SUMPRODUCT(IFERROR((DATA_PROPERTY_MASTER!$A$5:$A$200&lt;&gt;"")*IF($C39="Included source errors",--(DATA_PROPERTY_MASTER!$E$5:$E$200="Yes"),--(DATA_PROPERTY_MASTER!$E$5:$E$200&lt;&gt;"Yes"))*--ISERROR(INDIRECT("'"&amp;DATA_PROPERTY_MASTER!$A$5:$A$200&amp;"'!"&amp;SUBSTITUTE(ADDRESS(1,COLUMN(T$5)+1,4),"1","")&amp;$B39)),0))</f>
        <v>0</v>
      </c>
      <c r="U39" s="350">
        <f ca="1">SUMPRODUCT(IFERROR((DATA_PROPERTY_MASTER!$A$5:$A$200&lt;&gt;"")*IF($C39="Included source errors",--(DATA_PROPERTY_MASTER!$E$5:$E$200="Yes"),--(DATA_PROPERTY_MASTER!$E$5:$E$200&lt;&gt;"Yes"))*--ISERROR(INDIRECT("'"&amp;DATA_PROPERTY_MASTER!$A$5:$A$200&amp;"'!"&amp;SUBSTITUTE(ADDRESS(1,COLUMN(U$5)+1,4),"1","")&amp;$B39)),0))</f>
        <v>0</v>
      </c>
      <c r="V39" s="350">
        <f ca="1">SUMPRODUCT(IFERROR((DATA_PROPERTY_MASTER!$A$5:$A$200&lt;&gt;"")*IF($C39="Included source errors",--(DATA_PROPERTY_MASTER!$E$5:$E$200="Yes"),--(DATA_PROPERTY_MASTER!$E$5:$E$200&lt;&gt;"Yes"))*--ISERROR(INDIRECT("'"&amp;DATA_PROPERTY_MASTER!$A$5:$A$200&amp;"'!"&amp;SUBSTITUTE(ADDRESS(1,COLUMN(V$5)+1,4),"1","")&amp;$B39)),0))</f>
        <v>0</v>
      </c>
      <c r="W39" s="350">
        <f ca="1">SUMPRODUCT(IFERROR((DATA_PROPERTY_MASTER!$A$5:$A$200&lt;&gt;"")*IF($C39="Included source errors",--(DATA_PROPERTY_MASTER!$E$5:$E$200="Yes"),--(DATA_PROPERTY_MASTER!$E$5:$E$200&lt;&gt;"Yes"))*--ISERROR(INDIRECT("'"&amp;DATA_PROPERTY_MASTER!$A$5:$A$200&amp;"'!"&amp;SUBSTITUTE(ADDRESS(1,COLUMN(W$5)+1,4),"1","")&amp;$B39)),0))</f>
        <v>0</v>
      </c>
      <c r="X39" s="350">
        <f ca="1">SUMPRODUCT(IFERROR((DATA_PROPERTY_MASTER!$A$5:$A$200&lt;&gt;"")*IF($C39="Included source errors",--(DATA_PROPERTY_MASTER!$E$5:$E$200="Yes"),--(DATA_PROPERTY_MASTER!$E$5:$E$200&lt;&gt;"Yes"))*--ISERROR(INDIRECT("'"&amp;DATA_PROPERTY_MASTER!$A$5:$A$200&amp;"'!"&amp;SUBSTITUTE(ADDRESS(1,COLUMN(X$5)+1,4),"1","")&amp;$B39)),0))</f>
        <v>0</v>
      </c>
      <c r="Y39" s="350">
        <f t="shared" ca="1" si="1"/>
        <v>0</v>
      </c>
      <c r="Z39" s="382" t="s">
        <v>7467</v>
      </c>
    </row>
    <row r="40" spans="1:26" ht="30">
      <c r="A40" s="382" t="s">
        <v>352</v>
      </c>
      <c r="B40" s="382">
        <v>36</v>
      </c>
      <c r="C40" s="382" t="s">
        <v>1560</v>
      </c>
      <c r="D40" s="350">
        <f ca="1">SUMPRODUCT(IFERROR((DATA_PROPERTY_MASTER!$A$5:$A$200&lt;&gt;"")*IF($C40="Included source errors",--(DATA_PROPERTY_MASTER!$E$5:$E$200="Yes"),--(DATA_PROPERTY_MASTER!$E$5:$E$200&lt;&gt;"Yes"))*--ISERROR(INDIRECT("'"&amp;DATA_PROPERTY_MASTER!$A$5:$A$200&amp;"'!"&amp;SUBSTITUTE(ADDRESS(1,COLUMN(D$5)+1,4),"1","")&amp;$B40)),0))</f>
        <v>0</v>
      </c>
      <c r="E40" s="350">
        <f ca="1">SUMPRODUCT(IFERROR((DATA_PROPERTY_MASTER!$A$5:$A$200&lt;&gt;"")*IF($C40="Included source errors",--(DATA_PROPERTY_MASTER!$E$5:$E$200="Yes"),--(DATA_PROPERTY_MASTER!$E$5:$E$200&lt;&gt;"Yes"))*--ISERROR(INDIRECT("'"&amp;DATA_PROPERTY_MASTER!$A$5:$A$200&amp;"'!"&amp;SUBSTITUTE(ADDRESS(1,COLUMN(E$5)+1,4),"1","")&amp;$B40)),0))</f>
        <v>0</v>
      </c>
      <c r="F40" s="350">
        <f ca="1">SUMPRODUCT(IFERROR((DATA_PROPERTY_MASTER!$A$5:$A$200&lt;&gt;"")*IF($C40="Included source errors",--(DATA_PROPERTY_MASTER!$E$5:$E$200="Yes"),--(DATA_PROPERTY_MASTER!$E$5:$E$200&lt;&gt;"Yes"))*--ISERROR(INDIRECT("'"&amp;DATA_PROPERTY_MASTER!$A$5:$A$200&amp;"'!"&amp;SUBSTITUTE(ADDRESS(1,COLUMN(F$5)+1,4),"1","")&amp;$B40)),0))</f>
        <v>0</v>
      </c>
      <c r="G40" s="350">
        <f ca="1">SUMPRODUCT(IFERROR((DATA_PROPERTY_MASTER!$A$5:$A$200&lt;&gt;"")*IF($C40="Included source errors",--(DATA_PROPERTY_MASTER!$E$5:$E$200="Yes"),--(DATA_PROPERTY_MASTER!$E$5:$E$200&lt;&gt;"Yes"))*--ISERROR(INDIRECT("'"&amp;DATA_PROPERTY_MASTER!$A$5:$A$200&amp;"'!"&amp;SUBSTITUTE(ADDRESS(1,COLUMN(G$5)+1,4),"1","")&amp;$B40)),0))</f>
        <v>0</v>
      </c>
      <c r="H40" s="350">
        <f ca="1">SUMPRODUCT(IFERROR((DATA_PROPERTY_MASTER!$A$5:$A$200&lt;&gt;"")*IF($C40="Included source errors",--(DATA_PROPERTY_MASTER!$E$5:$E$200="Yes"),--(DATA_PROPERTY_MASTER!$E$5:$E$200&lt;&gt;"Yes"))*--ISERROR(INDIRECT("'"&amp;DATA_PROPERTY_MASTER!$A$5:$A$200&amp;"'!"&amp;SUBSTITUTE(ADDRESS(1,COLUMN(H$5)+1,4),"1","")&amp;$B40)),0))</f>
        <v>0</v>
      </c>
      <c r="I40" s="350">
        <f ca="1">SUMPRODUCT(IFERROR((DATA_PROPERTY_MASTER!$A$5:$A$200&lt;&gt;"")*IF($C40="Included source errors",--(DATA_PROPERTY_MASTER!$E$5:$E$200="Yes"),--(DATA_PROPERTY_MASTER!$E$5:$E$200&lt;&gt;"Yes"))*--ISERROR(INDIRECT("'"&amp;DATA_PROPERTY_MASTER!$A$5:$A$200&amp;"'!"&amp;SUBSTITUTE(ADDRESS(1,COLUMN(I$5)+1,4),"1","")&amp;$B40)),0))</f>
        <v>0</v>
      </c>
      <c r="J40" s="350">
        <f ca="1">SUMPRODUCT(IFERROR((DATA_PROPERTY_MASTER!$A$5:$A$200&lt;&gt;"")*IF($C40="Included source errors",--(DATA_PROPERTY_MASTER!$E$5:$E$200="Yes"),--(DATA_PROPERTY_MASTER!$E$5:$E$200&lt;&gt;"Yes"))*--ISERROR(INDIRECT("'"&amp;DATA_PROPERTY_MASTER!$A$5:$A$200&amp;"'!"&amp;SUBSTITUTE(ADDRESS(1,COLUMN(J$5)+1,4),"1","")&amp;$B40)),0))</f>
        <v>0</v>
      </c>
      <c r="K40" s="350">
        <f ca="1">SUMPRODUCT(IFERROR((DATA_PROPERTY_MASTER!$A$5:$A$200&lt;&gt;"")*IF($C40="Included source errors",--(DATA_PROPERTY_MASTER!$E$5:$E$200="Yes"),--(DATA_PROPERTY_MASTER!$E$5:$E$200&lt;&gt;"Yes"))*--ISERROR(INDIRECT("'"&amp;DATA_PROPERTY_MASTER!$A$5:$A$200&amp;"'!"&amp;SUBSTITUTE(ADDRESS(1,COLUMN(K$5)+1,4),"1","")&amp;$B40)),0))</f>
        <v>0</v>
      </c>
      <c r="L40" s="350">
        <f ca="1">SUMPRODUCT(IFERROR((DATA_PROPERTY_MASTER!$A$5:$A$200&lt;&gt;"")*IF($C40="Included source errors",--(DATA_PROPERTY_MASTER!$E$5:$E$200="Yes"),--(DATA_PROPERTY_MASTER!$E$5:$E$200&lt;&gt;"Yes"))*--ISERROR(INDIRECT("'"&amp;DATA_PROPERTY_MASTER!$A$5:$A$200&amp;"'!"&amp;SUBSTITUTE(ADDRESS(1,COLUMN(L$5)+1,4),"1","")&amp;$B40)),0))</f>
        <v>0</v>
      </c>
      <c r="M40" s="350">
        <f ca="1">SUMPRODUCT(IFERROR((DATA_PROPERTY_MASTER!$A$5:$A$200&lt;&gt;"")*IF($C40="Included source errors",--(DATA_PROPERTY_MASTER!$E$5:$E$200="Yes"),--(DATA_PROPERTY_MASTER!$E$5:$E$200&lt;&gt;"Yes"))*--ISERROR(INDIRECT("'"&amp;DATA_PROPERTY_MASTER!$A$5:$A$200&amp;"'!"&amp;SUBSTITUTE(ADDRESS(1,COLUMN(M$5)+1,4),"1","")&amp;$B40)),0))</f>
        <v>0</v>
      </c>
      <c r="N40" s="350">
        <f ca="1">SUMPRODUCT(IFERROR((DATA_PROPERTY_MASTER!$A$5:$A$200&lt;&gt;"")*IF($C40="Included source errors",--(DATA_PROPERTY_MASTER!$E$5:$E$200="Yes"),--(DATA_PROPERTY_MASTER!$E$5:$E$200&lt;&gt;"Yes"))*--ISERROR(INDIRECT("'"&amp;DATA_PROPERTY_MASTER!$A$5:$A$200&amp;"'!"&amp;SUBSTITUTE(ADDRESS(1,COLUMN(N$5)+1,4),"1","")&amp;$B40)),0))</f>
        <v>0</v>
      </c>
      <c r="O40" s="350">
        <f ca="1">SUMPRODUCT(IFERROR((DATA_PROPERTY_MASTER!$A$5:$A$200&lt;&gt;"")*IF($C40="Included source errors",--(DATA_PROPERTY_MASTER!$E$5:$E$200="Yes"),--(DATA_PROPERTY_MASTER!$E$5:$E$200&lt;&gt;"Yes"))*--ISERROR(INDIRECT("'"&amp;DATA_PROPERTY_MASTER!$A$5:$A$200&amp;"'!"&amp;SUBSTITUTE(ADDRESS(1,COLUMN(O$5)+1,4),"1","")&amp;$B40)),0))</f>
        <v>0</v>
      </c>
      <c r="P40" s="350">
        <f ca="1">SUMPRODUCT(IFERROR((DATA_PROPERTY_MASTER!$A$5:$A$200&lt;&gt;"")*IF($C40="Included source errors",--(DATA_PROPERTY_MASTER!$E$5:$E$200="Yes"),--(DATA_PROPERTY_MASTER!$E$5:$E$200&lt;&gt;"Yes"))*--ISERROR(INDIRECT("'"&amp;DATA_PROPERTY_MASTER!$A$5:$A$200&amp;"'!"&amp;SUBSTITUTE(ADDRESS(1,COLUMN(P$5)+1,4),"1","")&amp;$B40)),0))</f>
        <v>0</v>
      </c>
      <c r="Q40" s="350">
        <f ca="1">SUMPRODUCT(IFERROR((DATA_PROPERTY_MASTER!$A$5:$A$200&lt;&gt;"")*IF($C40="Included source errors",--(DATA_PROPERTY_MASTER!$E$5:$E$200="Yes"),--(DATA_PROPERTY_MASTER!$E$5:$E$200&lt;&gt;"Yes"))*--ISERROR(INDIRECT("'"&amp;DATA_PROPERTY_MASTER!$A$5:$A$200&amp;"'!"&amp;SUBSTITUTE(ADDRESS(1,COLUMN(Q$5)+1,4),"1","")&amp;$B40)),0))</f>
        <v>0</v>
      </c>
      <c r="R40" s="350">
        <f ca="1">SUMPRODUCT(IFERROR((DATA_PROPERTY_MASTER!$A$5:$A$200&lt;&gt;"")*IF($C40="Included source errors",--(DATA_PROPERTY_MASTER!$E$5:$E$200="Yes"),--(DATA_PROPERTY_MASTER!$E$5:$E$200&lt;&gt;"Yes"))*--ISERROR(INDIRECT("'"&amp;DATA_PROPERTY_MASTER!$A$5:$A$200&amp;"'!"&amp;SUBSTITUTE(ADDRESS(1,COLUMN(R$5)+1,4),"1","")&amp;$B40)),0))</f>
        <v>0</v>
      </c>
      <c r="S40" s="350">
        <f ca="1">SUMPRODUCT(IFERROR((DATA_PROPERTY_MASTER!$A$5:$A$200&lt;&gt;"")*IF($C40="Included source errors",--(DATA_PROPERTY_MASTER!$E$5:$E$200="Yes"),--(DATA_PROPERTY_MASTER!$E$5:$E$200&lt;&gt;"Yes"))*--ISERROR(INDIRECT("'"&amp;DATA_PROPERTY_MASTER!$A$5:$A$200&amp;"'!"&amp;SUBSTITUTE(ADDRESS(1,COLUMN(S$5)+1,4),"1","")&amp;$B40)),0))</f>
        <v>0</v>
      </c>
      <c r="T40" s="350">
        <f ca="1">SUMPRODUCT(IFERROR((DATA_PROPERTY_MASTER!$A$5:$A$200&lt;&gt;"")*IF($C40="Included source errors",--(DATA_PROPERTY_MASTER!$E$5:$E$200="Yes"),--(DATA_PROPERTY_MASTER!$E$5:$E$200&lt;&gt;"Yes"))*--ISERROR(INDIRECT("'"&amp;DATA_PROPERTY_MASTER!$A$5:$A$200&amp;"'!"&amp;SUBSTITUTE(ADDRESS(1,COLUMN(T$5)+1,4),"1","")&amp;$B40)),0))</f>
        <v>0</v>
      </c>
      <c r="U40" s="350">
        <f ca="1">SUMPRODUCT(IFERROR((DATA_PROPERTY_MASTER!$A$5:$A$200&lt;&gt;"")*IF($C40="Included source errors",--(DATA_PROPERTY_MASTER!$E$5:$E$200="Yes"),--(DATA_PROPERTY_MASTER!$E$5:$E$200&lt;&gt;"Yes"))*--ISERROR(INDIRECT("'"&amp;DATA_PROPERTY_MASTER!$A$5:$A$200&amp;"'!"&amp;SUBSTITUTE(ADDRESS(1,COLUMN(U$5)+1,4),"1","")&amp;$B40)),0))</f>
        <v>0</v>
      </c>
      <c r="V40" s="350">
        <f ca="1">SUMPRODUCT(IFERROR((DATA_PROPERTY_MASTER!$A$5:$A$200&lt;&gt;"")*IF($C40="Included source errors",--(DATA_PROPERTY_MASTER!$E$5:$E$200="Yes"),--(DATA_PROPERTY_MASTER!$E$5:$E$200&lt;&gt;"Yes"))*--ISERROR(INDIRECT("'"&amp;DATA_PROPERTY_MASTER!$A$5:$A$200&amp;"'!"&amp;SUBSTITUTE(ADDRESS(1,COLUMN(V$5)+1,4),"1","")&amp;$B40)),0))</f>
        <v>0</v>
      </c>
      <c r="W40" s="350">
        <f ca="1">SUMPRODUCT(IFERROR((DATA_PROPERTY_MASTER!$A$5:$A$200&lt;&gt;"")*IF($C40="Included source errors",--(DATA_PROPERTY_MASTER!$E$5:$E$200="Yes"),--(DATA_PROPERTY_MASTER!$E$5:$E$200&lt;&gt;"Yes"))*--ISERROR(INDIRECT("'"&amp;DATA_PROPERTY_MASTER!$A$5:$A$200&amp;"'!"&amp;SUBSTITUTE(ADDRESS(1,COLUMN(W$5)+1,4),"1","")&amp;$B40)),0))</f>
        <v>0</v>
      </c>
      <c r="X40" s="350">
        <f ca="1">SUMPRODUCT(IFERROR((DATA_PROPERTY_MASTER!$A$5:$A$200&lt;&gt;"")*IF($C40="Included source errors",--(DATA_PROPERTY_MASTER!$E$5:$E$200="Yes"),--(DATA_PROPERTY_MASTER!$E$5:$E$200&lt;&gt;"Yes"))*--ISERROR(INDIRECT("'"&amp;DATA_PROPERTY_MASTER!$A$5:$A$200&amp;"'!"&amp;SUBSTITUTE(ADDRESS(1,COLUMN(X$5)+1,4),"1","")&amp;$B40)),0))</f>
        <v>0</v>
      </c>
      <c r="Y40" s="350">
        <f t="shared" ca="1" si="1"/>
        <v>0</v>
      </c>
      <c r="Z40" s="382" t="s">
        <v>7467</v>
      </c>
    </row>
    <row r="41" spans="1:26" ht="30">
      <c r="A41" s="382" t="s">
        <v>352</v>
      </c>
      <c r="B41" s="382">
        <v>36</v>
      </c>
      <c r="C41" s="382" t="s">
        <v>1563</v>
      </c>
      <c r="D41" s="350">
        <f ca="1">SUMPRODUCT(IFERROR((DATA_PROPERTY_MASTER!$A$5:$A$200&lt;&gt;"")*IF($C41="Included source errors",--(DATA_PROPERTY_MASTER!$E$5:$E$200="Yes"),--(DATA_PROPERTY_MASTER!$E$5:$E$200&lt;&gt;"Yes"))*--ISERROR(INDIRECT("'"&amp;DATA_PROPERTY_MASTER!$A$5:$A$200&amp;"'!"&amp;SUBSTITUTE(ADDRESS(1,COLUMN(D$5)+1,4),"1","")&amp;$B41)),0))</f>
        <v>0</v>
      </c>
      <c r="E41" s="350">
        <f ca="1">SUMPRODUCT(IFERROR((DATA_PROPERTY_MASTER!$A$5:$A$200&lt;&gt;"")*IF($C41="Included source errors",--(DATA_PROPERTY_MASTER!$E$5:$E$200="Yes"),--(DATA_PROPERTY_MASTER!$E$5:$E$200&lt;&gt;"Yes"))*--ISERROR(INDIRECT("'"&amp;DATA_PROPERTY_MASTER!$A$5:$A$200&amp;"'!"&amp;SUBSTITUTE(ADDRESS(1,COLUMN(E$5)+1,4),"1","")&amp;$B41)),0))</f>
        <v>0</v>
      </c>
      <c r="F41" s="350">
        <f ca="1">SUMPRODUCT(IFERROR((DATA_PROPERTY_MASTER!$A$5:$A$200&lt;&gt;"")*IF($C41="Included source errors",--(DATA_PROPERTY_MASTER!$E$5:$E$200="Yes"),--(DATA_PROPERTY_MASTER!$E$5:$E$200&lt;&gt;"Yes"))*--ISERROR(INDIRECT("'"&amp;DATA_PROPERTY_MASTER!$A$5:$A$200&amp;"'!"&amp;SUBSTITUTE(ADDRESS(1,COLUMN(F$5)+1,4),"1","")&amp;$B41)),0))</f>
        <v>0</v>
      </c>
      <c r="G41" s="350">
        <f ca="1">SUMPRODUCT(IFERROR((DATA_PROPERTY_MASTER!$A$5:$A$200&lt;&gt;"")*IF($C41="Included source errors",--(DATA_PROPERTY_MASTER!$E$5:$E$200="Yes"),--(DATA_PROPERTY_MASTER!$E$5:$E$200&lt;&gt;"Yes"))*--ISERROR(INDIRECT("'"&amp;DATA_PROPERTY_MASTER!$A$5:$A$200&amp;"'!"&amp;SUBSTITUTE(ADDRESS(1,COLUMN(G$5)+1,4),"1","")&amp;$B41)),0))</f>
        <v>0</v>
      </c>
      <c r="H41" s="350">
        <f ca="1">SUMPRODUCT(IFERROR((DATA_PROPERTY_MASTER!$A$5:$A$200&lt;&gt;"")*IF($C41="Included source errors",--(DATA_PROPERTY_MASTER!$E$5:$E$200="Yes"),--(DATA_PROPERTY_MASTER!$E$5:$E$200&lt;&gt;"Yes"))*--ISERROR(INDIRECT("'"&amp;DATA_PROPERTY_MASTER!$A$5:$A$200&amp;"'!"&amp;SUBSTITUTE(ADDRESS(1,COLUMN(H$5)+1,4),"1","")&amp;$B41)),0))</f>
        <v>0</v>
      </c>
      <c r="I41" s="350">
        <f ca="1">SUMPRODUCT(IFERROR((DATA_PROPERTY_MASTER!$A$5:$A$200&lt;&gt;"")*IF($C41="Included source errors",--(DATA_PROPERTY_MASTER!$E$5:$E$200="Yes"),--(DATA_PROPERTY_MASTER!$E$5:$E$200&lt;&gt;"Yes"))*--ISERROR(INDIRECT("'"&amp;DATA_PROPERTY_MASTER!$A$5:$A$200&amp;"'!"&amp;SUBSTITUTE(ADDRESS(1,COLUMN(I$5)+1,4),"1","")&amp;$B41)),0))</f>
        <v>0</v>
      </c>
      <c r="J41" s="350">
        <f ca="1">SUMPRODUCT(IFERROR((DATA_PROPERTY_MASTER!$A$5:$A$200&lt;&gt;"")*IF($C41="Included source errors",--(DATA_PROPERTY_MASTER!$E$5:$E$200="Yes"),--(DATA_PROPERTY_MASTER!$E$5:$E$200&lt;&gt;"Yes"))*--ISERROR(INDIRECT("'"&amp;DATA_PROPERTY_MASTER!$A$5:$A$200&amp;"'!"&amp;SUBSTITUTE(ADDRESS(1,COLUMN(J$5)+1,4),"1","")&amp;$B41)),0))</f>
        <v>0</v>
      </c>
      <c r="K41" s="350">
        <f ca="1">SUMPRODUCT(IFERROR((DATA_PROPERTY_MASTER!$A$5:$A$200&lt;&gt;"")*IF($C41="Included source errors",--(DATA_PROPERTY_MASTER!$E$5:$E$200="Yes"),--(DATA_PROPERTY_MASTER!$E$5:$E$200&lt;&gt;"Yes"))*--ISERROR(INDIRECT("'"&amp;DATA_PROPERTY_MASTER!$A$5:$A$200&amp;"'!"&amp;SUBSTITUTE(ADDRESS(1,COLUMN(K$5)+1,4),"1","")&amp;$B41)),0))</f>
        <v>0</v>
      </c>
      <c r="L41" s="350">
        <f ca="1">SUMPRODUCT(IFERROR((DATA_PROPERTY_MASTER!$A$5:$A$200&lt;&gt;"")*IF($C41="Included source errors",--(DATA_PROPERTY_MASTER!$E$5:$E$200="Yes"),--(DATA_PROPERTY_MASTER!$E$5:$E$200&lt;&gt;"Yes"))*--ISERROR(INDIRECT("'"&amp;DATA_PROPERTY_MASTER!$A$5:$A$200&amp;"'!"&amp;SUBSTITUTE(ADDRESS(1,COLUMN(L$5)+1,4),"1","")&amp;$B41)),0))</f>
        <v>0</v>
      </c>
      <c r="M41" s="350">
        <f ca="1">SUMPRODUCT(IFERROR((DATA_PROPERTY_MASTER!$A$5:$A$200&lt;&gt;"")*IF($C41="Included source errors",--(DATA_PROPERTY_MASTER!$E$5:$E$200="Yes"),--(DATA_PROPERTY_MASTER!$E$5:$E$200&lt;&gt;"Yes"))*--ISERROR(INDIRECT("'"&amp;DATA_PROPERTY_MASTER!$A$5:$A$200&amp;"'!"&amp;SUBSTITUTE(ADDRESS(1,COLUMN(M$5)+1,4),"1","")&amp;$B41)),0))</f>
        <v>0</v>
      </c>
      <c r="N41" s="350">
        <f ca="1">SUMPRODUCT(IFERROR((DATA_PROPERTY_MASTER!$A$5:$A$200&lt;&gt;"")*IF($C41="Included source errors",--(DATA_PROPERTY_MASTER!$E$5:$E$200="Yes"),--(DATA_PROPERTY_MASTER!$E$5:$E$200&lt;&gt;"Yes"))*--ISERROR(INDIRECT("'"&amp;DATA_PROPERTY_MASTER!$A$5:$A$200&amp;"'!"&amp;SUBSTITUTE(ADDRESS(1,COLUMN(N$5)+1,4),"1","")&amp;$B41)),0))</f>
        <v>0</v>
      </c>
      <c r="O41" s="350">
        <f ca="1">SUMPRODUCT(IFERROR((DATA_PROPERTY_MASTER!$A$5:$A$200&lt;&gt;"")*IF($C41="Included source errors",--(DATA_PROPERTY_MASTER!$E$5:$E$200="Yes"),--(DATA_PROPERTY_MASTER!$E$5:$E$200&lt;&gt;"Yes"))*--ISERROR(INDIRECT("'"&amp;DATA_PROPERTY_MASTER!$A$5:$A$200&amp;"'!"&amp;SUBSTITUTE(ADDRESS(1,COLUMN(O$5)+1,4),"1","")&amp;$B41)),0))</f>
        <v>0</v>
      </c>
      <c r="P41" s="350">
        <f ca="1">SUMPRODUCT(IFERROR((DATA_PROPERTY_MASTER!$A$5:$A$200&lt;&gt;"")*IF($C41="Included source errors",--(DATA_PROPERTY_MASTER!$E$5:$E$200="Yes"),--(DATA_PROPERTY_MASTER!$E$5:$E$200&lt;&gt;"Yes"))*--ISERROR(INDIRECT("'"&amp;DATA_PROPERTY_MASTER!$A$5:$A$200&amp;"'!"&amp;SUBSTITUTE(ADDRESS(1,COLUMN(P$5)+1,4),"1","")&amp;$B41)),0))</f>
        <v>0</v>
      </c>
      <c r="Q41" s="350">
        <f ca="1">SUMPRODUCT(IFERROR((DATA_PROPERTY_MASTER!$A$5:$A$200&lt;&gt;"")*IF($C41="Included source errors",--(DATA_PROPERTY_MASTER!$E$5:$E$200="Yes"),--(DATA_PROPERTY_MASTER!$E$5:$E$200&lt;&gt;"Yes"))*--ISERROR(INDIRECT("'"&amp;DATA_PROPERTY_MASTER!$A$5:$A$200&amp;"'!"&amp;SUBSTITUTE(ADDRESS(1,COLUMN(Q$5)+1,4),"1","")&amp;$B41)),0))</f>
        <v>0</v>
      </c>
      <c r="R41" s="350">
        <f ca="1">SUMPRODUCT(IFERROR((DATA_PROPERTY_MASTER!$A$5:$A$200&lt;&gt;"")*IF($C41="Included source errors",--(DATA_PROPERTY_MASTER!$E$5:$E$200="Yes"),--(DATA_PROPERTY_MASTER!$E$5:$E$200&lt;&gt;"Yes"))*--ISERROR(INDIRECT("'"&amp;DATA_PROPERTY_MASTER!$A$5:$A$200&amp;"'!"&amp;SUBSTITUTE(ADDRESS(1,COLUMN(R$5)+1,4),"1","")&amp;$B41)),0))</f>
        <v>0</v>
      </c>
      <c r="S41" s="350">
        <f ca="1">SUMPRODUCT(IFERROR((DATA_PROPERTY_MASTER!$A$5:$A$200&lt;&gt;"")*IF($C41="Included source errors",--(DATA_PROPERTY_MASTER!$E$5:$E$200="Yes"),--(DATA_PROPERTY_MASTER!$E$5:$E$200&lt;&gt;"Yes"))*--ISERROR(INDIRECT("'"&amp;DATA_PROPERTY_MASTER!$A$5:$A$200&amp;"'!"&amp;SUBSTITUTE(ADDRESS(1,COLUMN(S$5)+1,4),"1","")&amp;$B41)),0))</f>
        <v>0</v>
      </c>
      <c r="T41" s="350">
        <f ca="1">SUMPRODUCT(IFERROR((DATA_PROPERTY_MASTER!$A$5:$A$200&lt;&gt;"")*IF($C41="Included source errors",--(DATA_PROPERTY_MASTER!$E$5:$E$200="Yes"),--(DATA_PROPERTY_MASTER!$E$5:$E$200&lt;&gt;"Yes"))*--ISERROR(INDIRECT("'"&amp;DATA_PROPERTY_MASTER!$A$5:$A$200&amp;"'!"&amp;SUBSTITUTE(ADDRESS(1,COLUMN(T$5)+1,4),"1","")&amp;$B41)),0))</f>
        <v>0</v>
      </c>
      <c r="U41" s="350">
        <f ca="1">SUMPRODUCT(IFERROR((DATA_PROPERTY_MASTER!$A$5:$A$200&lt;&gt;"")*IF($C41="Included source errors",--(DATA_PROPERTY_MASTER!$E$5:$E$200="Yes"),--(DATA_PROPERTY_MASTER!$E$5:$E$200&lt;&gt;"Yes"))*--ISERROR(INDIRECT("'"&amp;DATA_PROPERTY_MASTER!$A$5:$A$200&amp;"'!"&amp;SUBSTITUTE(ADDRESS(1,COLUMN(U$5)+1,4),"1","")&amp;$B41)),0))</f>
        <v>0</v>
      </c>
      <c r="V41" s="350">
        <f ca="1">SUMPRODUCT(IFERROR((DATA_PROPERTY_MASTER!$A$5:$A$200&lt;&gt;"")*IF($C41="Included source errors",--(DATA_PROPERTY_MASTER!$E$5:$E$200="Yes"),--(DATA_PROPERTY_MASTER!$E$5:$E$200&lt;&gt;"Yes"))*--ISERROR(INDIRECT("'"&amp;DATA_PROPERTY_MASTER!$A$5:$A$200&amp;"'!"&amp;SUBSTITUTE(ADDRESS(1,COLUMN(V$5)+1,4),"1","")&amp;$B41)),0))</f>
        <v>0</v>
      </c>
      <c r="W41" s="350">
        <f ca="1">SUMPRODUCT(IFERROR((DATA_PROPERTY_MASTER!$A$5:$A$200&lt;&gt;"")*IF($C41="Included source errors",--(DATA_PROPERTY_MASTER!$E$5:$E$200="Yes"),--(DATA_PROPERTY_MASTER!$E$5:$E$200&lt;&gt;"Yes"))*--ISERROR(INDIRECT("'"&amp;DATA_PROPERTY_MASTER!$A$5:$A$200&amp;"'!"&amp;SUBSTITUTE(ADDRESS(1,COLUMN(W$5)+1,4),"1","")&amp;$B41)),0))</f>
        <v>0</v>
      </c>
      <c r="X41" s="350">
        <f ca="1">SUMPRODUCT(IFERROR((DATA_PROPERTY_MASTER!$A$5:$A$200&lt;&gt;"")*IF($C41="Included source errors",--(DATA_PROPERTY_MASTER!$E$5:$E$200="Yes"),--(DATA_PROPERTY_MASTER!$E$5:$E$200&lt;&gt;"Yes"))*--ISERROR(INDIRECT("'"&amp;DATA_PROPERTY_MASTER!$A$5:$A$200&amp;"'!"&amp;SUBSTITUTE(ADDRESS(1,COLUMN(X$5)+1,4),"1","")&amp;$B41)),0))</f>
        <v>0</v>
      </c>
      <c r="Y41" s="350">
        <f t="shared" ca="1" si="1"/>
        <v>0</v>
      </c>
      <c r="Z41" s="382" t="s">
        <v>7467</v>
      </c>
    </row>
    <row r="42" spans="1:26" ht="30">
      <c r="A42" s="382" t="s">
        <v>353</v>
      </c>
      <c r="B42" s="382">
        <v>37</v>
      </c>
      <c r="C42" s="382" t="s">
        <v>1560</v>
      </c>
      <c r="D42" s="350">
        <f ca="1">SUMPRODUCT(IFERROR((DATA_PROPERTY_MASTER!$A$5:$A$200&lt;&gt;"")*IF($C42="Included source errors",--(DATA_PROPERTY_MASTER!$E$5:$E$200="Yes"),--(DATA_PROPERTY_MASTER!$E$5:$E$200&lt;&gt;"Yes"))*--ISERROR(INDIRECT("'"&amp;DATA_PROPERTY_MASTER!$A$5:$A$200&amp;"'!"&amp;SUBSTITUTE(ADDRESS(1,COLUMN(D$5)+1,4),"1","")&amp;$B42)),0))</f>
        <v>0</v>
      </c>
      <c r="E42" s="350">
        <f ca="1">SUMPRODUCT(IFERROR((DATA_PROPERTY_MASTER!$A$5:$A$200&lt;&gt;"")*IF($C42="Included source errors",--(DATA_PROPERTY_MASTER!$E$5:$E$200="Yes"),--(DATA_PROPERTY_MASTER!$E$5:$E$200&lt;&gt;"Yes"))*--ISERROR(INDIRECT("'"&amp;DATA_PROPERTY_MASTER!$A$5:$A$200&amp;"'!"&amp;SUBSTITUTE(ADDRESS(1,COLUMN(E$5)+1,4),"1","")&amp;$B42)),0))</f>
        <v>0</v>
      </c>
      <c r="F42" s="350">
        <f ca="1">SUMPRODUCT(IFERROR((DATA_PROPERTY_MASTER!$A$5:$A$200&lt;&gt;"")*IF($C42="Included source errors",--(DATA_PROPERTY_MASTER!$E$5:$E$200="Yes"),--(DATA_PROPERTY_MASTER!$E$5:$E$200&lt;&gt;"Yes"))*--ISERROR(INDIRECT("'"&amp;DATA_PROPERTY_MASTER!$A$5:$A$200&amp;"'!"&amp;SUBSTITUTE(ADDRESS(1,COLUMN(F$5)+1,4),"1","")&amp;$B42)),0))</f>
        <v>0</v>
      </c>
      <c r="G42" s="350">
        <f ca="1">SUMPRODUCT(IFERROR((DATA_PROPERTY_MASTER!$A$5:$A$200&lt;&gt;"")*IF($C42="Included source errors",--(DATA_PROPERTY_MASTER!$E$5:$E$200="Yes"),--(DATA_PROPERTY_MASTER!$E$5:$E$200&lt;&gt;"Yes"))*--ISERROR(INDIRECT("'"&amp;DATA_PROPERTY_MASTER!$A$5:$A$200&amp;"'!"&amp;SUBSTITUTE(ADDRESS(1,COLUMN(G$5)+1,4),"1","")&amp;$B42)),0))</f>
        <v>0</v>
      </c>
      <c r="H42" s="350">
        <f ca="1">SUMPRODUCT(IFERROR((DATA_PROPERTY_MASTER!$A$5:$A$200&lt;&gt;"")*IF($C42="Included source errors",--(DATA_PROPERTY_MASTER!$E$5:$E$200="Yes"),--(DATA_PROPERTY_MASTER!$E$5:$E$200&lt;&gt;"Yes"))*--ISERROR(INDIRECT("'"&amp;DATA_PROPERTY_MASTER!$A$5:$A$200&amp;"'!"&amp;SUBSTITUTE(ADDRESS(1,COLUMN(H$5)+1,4),"1","")&amp;$B42)),0))</f>
        <v>0</v>
      </c>
      <c r="I42" s="350">
        <f ca="1">SUMPRODUCT(IFERROR((DATA_PROPERTY_MASTER!$A$5:$A$200&lt;&gt;"")*IF($C42="Included source errors",--(DATA_PROPERTY_MASTER!$E$5:$E$200="Yes"),--(DATA_PROPERTY_MASTER!$E$5:$E$200&lt;&gt;"Yes"))*--ISERROR(INDIRECT("'"&amp;DATA_PROPERTY_MASTER!$A$5:$A$200&amp;"'!"&amp;SUBSTITUTE(ADDRESS(1,COLUMN(I$5)+1,4),"1","")&amp;$B42)),0))</f>
        <v>0</v>
      </c>
      <c r="J42" s="350">
        <f ca="1">SUMPRODUCT(IFERROR((DATA_PROPERTY_MASTER!$A$5:$A$200&lt;&gt;"")*IF($C42="Included source errors",--(DATA_PROPERTY_MASTER!$E$5:$E$200="Yes"),--(DATA_PROPERTY_MASTER!$E$5:$E$200&lt;&gt;"Yes"))*--ISERROR(INDIRECT("'"&amp;DATA_PROPERTY_MASTER!$A$5:$A$200&amp;"'!"&amp;SUBSTITUTE(ADDRESS(1,COLUMN(J$5)+1,4),"1","")&amp;$B42)),0))</f>
        <v>0</v>
      </c>
      <c r="K42" s="350">
        <f ca="1">SUMPRODUCT(IFERROR((DATA_PROPERTY_MASTER!$A$5:$A$200&lt;&gt;"")*IF($C42="Included source errors",--(DATA_PROPERTY_MASTER!$E$5:$E$200="Yes"),--(DATA_PROPERTY_MASTER!$E$5:$E$200&lt;&gt;"Yes"))*--ISERROR(INDIRECT("'"&amp;DATA_PROPERTY_MASTER!$A$5:$A$200&amp;"'!"&amp;SUBSTITUTE(ADDRESS(1,COLUMN(K$5)+1,4),"1","")&amp;$B42)),0))</f>
        <v>0</v>
      </c>
      <c r="L42" s="350">
        <f ca="1">SUMPRODUCT(IFERROR((DATA_PROPERTY_MASTER!$A$5:$A$200&lt;&gt;"")*IF($C42="Included source errors",--(DATA_PROPERTY_MASTER!$E$5:$E$200="Yes"),--(DATA_PROPERTY_MASTER!$E$5:$E$200&lt;&gt;"Yes"))*--ISERROR(INDIRECT("'"&amp;DATA_PROPERTY_MASTER!$A$5:$A$200&amp;"'!"&amp;SUBSTITUTE(ADDRESS(1,COLUMN(L$5)+1,4),"1","")&amp;$B42)),0))</f>
        <v>0</v>
      </c>
      <c r="M42" s="350">
        <f ca="1">SUMPRODUCT(IFERROR((DATA_PROPERTY_MASTER!$A$5:$A$200&lt;&gt;"")*IF($C42="Included source errors",--(DATA_PROPERTY_MASTER!$E$5:$E$200="Yes"),--(DATA_PROPERTY_MASTER!$E$5:$E$200&lt;&gt;"Yes"))*--ISERROR(INDIRECT("'"&amp;DATA_PROPERTY_MASTER!$A$5:$A$200&amp;"'!"&amp;SUBSTITUTE(ADDRESS(1,COLUMN(M$5)+1,4),"1","")&amp;$B42)),0))</f>
        <v>0</v>
      </c>
      <c r="N42" s="350">
        <f ca="1">SUMPRODUCT(IFERROR((DATA_PROPERTY_MASTER!$A$5:$A$200&lt;&gt;"")*IF($C42="Included source errors",--(DATA_PROPERTY_MASTER!$E$5:$E$200="Yes"),--(DATA_PROPERTY_MASTER!$E$5:$E$200&lt;&gt;"Yes"))*--ISERROR(INDIRECT("'"&amp;DATA_PROPERTY_MASTER!$A$5:$A$200&amp;"'!"&amp;SUBSTITUTE(ADDRESS(1,COLUMN(N$5)+1,4),"1","")&amp;$B42)),0))</f>
        <v>0</v>
      </c>
      <c r="O42" s="350">
        <f ca="1">SUMPRODUCT(IFERROR((DATA_PROPERTY_MASTER!$A$5:$A$200&lt;&gt;"")*IF($C42="Included source errors",--(DATA_PROPERTY_MASTER!$E$5:$E$200="Yes"),--(DATA_PROPERTY_MASTER!$E$5:$E$200&lt;&gt;"Yes"))*--ISERROR(INDIRECT("'"&amp;DATA_PROPERTY_MASTER!$A$5:$A$200&amp;"'!"&amp;SUBSTITUTE(ADDRESS(1,COLUMN(O$5)+1,4),"1","")&amp;$B42)),0))</f>
        <v>0</v>
      </c>
      <c r="P42" s="350">
        <f ca="1">SUMPRODUCT(IFERROR((DATA_PROPERTY_MASTER!$A$5:$A$200&lt;&gt;"")*IF($C42="Included source errors",--(DATA_PROPERTY_MASTER!$E$5:$E$200="Yes"),--(DATA_PROPERTY_MASTER!$E$5:$E$200&lt;&gt;"Yes"))*--ISERROR(INDIRECT("'"&amp;DATA_PROPERTY_MASTER!$A$5:$A$200&amp;"'!"&amp;SUBSTITUTE(ADDRESS(1,COLUMN(P$5)+1,4),"1","")&amp;$B42)),0))</f>
        <v>0</v>
      </c>
      <c r="Q42" s="350">
        <f ca="1">SUMPRODUCT(IFERROR((DATA_PROPERTY_MASTER!$A$5:$A$200&lt;&gt;"")*IF($C42="Included source errors",--(DATA_PROPERTY_MASTER!$E$5:$E$200="Yes"),--(DATA_PROPERTY_MASTER!$E$5:$E$200&lt;&gt;"Yes"))*--ISERROR(INDIRECT("'"&amp;DATA_PROPERTY_MASTER!$A$5:$A$200&amp;"'!"&amp;SUBSTITUTE(ADDRESS(1,COLUMN(Q$5)+1,4),"1","")&amp;$B42)),0))</f>
        <v>0</v>
      </c>
      <c r="R42" s="350">
        <f ca="1">SUMPRODUCT(IFERROR((DATA_PROPERTY_MASTER!$A$5:$A$200&lt;&gt;"")*IF($C42="Included source errors",--(DATA_PROPERTY_MASTER!$E$5:$E$200="Yes"),--(DATA_PROPERTY_MASTER!$E$5:$E$200&lt;&gt;"Yes"))*--ISERROR(INDIRECT("'"&amp;DATA_PROPERTY_MASTER!$A$5:$A$200&amp;"'!"&amp;SUBSTITUTE(ADDRESS(1,COLUMN(R$5)+1,4),"1","")&amp;$B42)),0))</f>
        <v>0</v>
      </c>
      <c r="S42" s="350">
        <f ca="1">SUMPRODUCT(IFERROR((DATA_PROPERTY_MASTER!$A$5:$A$200&lt;&gt;"")*IF($C42="Included source errors",--(DATA_PROPERTY_MASTER!$E$5:$E$200="Yes"),--(DATA_PROPERTY_MASTER!$E$5:$E$200&lt;&gt;"Yes"))*--ISERROR(INDIRECT("'"&amp;DATA_PROPERTY_MASTER!$A$5:$A$200&amp;"'!"&amp;SUBSTITUTE(ADDRESS(1,COLUMN(S$5)+1,4),"1","")&amp;$B42)),0))</f>
        <v>0</v>
      </c>
      <c r="T42" s="350">
        <f ca="1">SUMPRODUCT(IFERROR((DATA_PROPERTY_MASTER!$A$5:$A$200&lt;&gt;"")*IF($C42="Included source errors",--(DATA_PROPERTY_MASTER!$E$5:$E$200="Yes"),--(DATA_PROPERTY_MASTER!$E$5:$E$200&lt;&gt;"Yes"))*--ISERROR(INDIRECT("'"&amp;DATA_PROPERTY_MASTER!$A$5:$A$200&amp;"'!"&amp;SUBSTITUTE(ADDRESS(1,COLUMN(T$5)+1,4),"1","")&amp;$B42)),0))</f>
        <v>0</v>
      </c>
      <c r="U42" s="350">
        <f ca="1">SUMPRODUCT(IFERROR((DATA_PROPERTY_MASTER!$A$5:$A$200&lt;&gt;"")*IF($C42="Included source errors",--(DATA_PROPERTY_MASTER!$E$5:$E$200="Yes"),--(DATA_PROPERTY_MASTER!$E$5:$E$200&lt;&gt;"Yes"))*--ISERROR(INDIRECT("'"&amp;DATA_PROPERTY_MASTER!$A$5:$A$200&amp;"'!"&amp;SUBSTITUTE(ADDRESS(1,COLUMN(U$5)+1,4),"1","")&amp;$B42)),0))</f>
        <v>0</v>
      </c>
      <c r="V42" s="350">
        <f ca="1">SUMPRODUCT(IFERROR((DATA_PROPERTY_MASTER!$A$5:$A$200&lt;&gt;"")*IF($C42="Included source errors",--(DATA_PROPERTY_MASTER!$E$5:$E$200="Yes"),--(DATA_PROPERTY_MASTER!$E$5:$E$200&lt;&gt;"Yes"))*--ISERROR(INDIRECT("'"&amp;DATA_PROPERTY_MASTER!$A$5:$A$200&amp;"'!"&amp;SUBSTITUTE(ADDRESS(1,COLUMN(V$5)+1,4),"1","")&amp;$B42)),0))</f>
        <v>0</v>
      </c>
      <c r="W42" s="350">
        <f ca="1">SUMPRODUCT(IFERROR((DATA_PROPERTY_MASTER!$A$5:$A$200&lt;&gt;"")*IF($C42="Included source errors",--(DATA_PROPERTY_MASTER!$E$5:$E$200="Yes"),--(DATA_PROPERTY_MASTER!$E$5:$E$200&lt;&gt;"Yes"))*--ISERROR(INDIRECT("'"&amp;DATA_PROPERTY_MASTER!$A$5:$A$200&amp;"'!"&amp;SUBSTITUTE(ADDRESS(1,COLUMN(W$5)+1,4),"1","")&amp;$B42)),0))</f>
        <v>0</v>
      </c>
      <c r="X42" s="350">
        <f ca="1">SUMPRODUCT(IFERROR((DATA_PROPERTY_MASTER!$A$5:$A$200&lt;&gt;"")*IF($C42="Included source errors",--(DATA_PROPERTY_MASTER!$E$5:$E$200="Yes"),--(DATA_PROPERTY_MASTER!$E$5:$E$200&lt;&gt;"Yes"))*--ISERROR(INDIRECT("'"&amp;DATA_PROPERTY_MASTER!$A$5:$A$200&amp;"'!"&amp;SUBSTITUTE(ADDRESS(1,COLUMN(X$5)+1,4),"1","")&amp;$B42)),0))</f>
        <v>0</v>
      </c>
      <c r="Y42" s="350">
        <f t="shared" ca="1" si="1"/>
        <v>0</v>
      </c>
      <c r="Z42" s="382" t="s">
        <v>7467</v>
      </c>
    </row>
    <row r="43" spans="1:26" ht="30">
      <c r="A43" s="382" t="s">
        <v>353</v>
      </c>
      <c r="B43" s="382">
        <v>37</v>
      </c>
      <c r="C43" s="382" t="s">
        <v>1563</v>
      </c>
      <c r="D43" s="350">
        <f ca="1">SUMPRODUCT(IFERROR((DATA_PROPERTY_MASTER!$A$5:$A$200&lt;&gt;"")*IF($C43="Included source errors",--(DATA_PROPERTY_MASTER!$E$5:$E$200="Yes"),--(DATA_PROPERTY_MASTER!$E$5:$E$200&lt;&gt;"Yes"))*--ISERROR(INDIRECT("'"&amp;DATA_PROPERTY_MASTER!$A$5:$A$200&amp;"'!"&amp;SUBSTITUTE(ADDRESS(1,COLUMN(D$5)+1,4),"1","")&amp;$B43)),0))</f>
        <v>0</v>
      </c>
      <c r="E43" s="350">
        <f ca="1">SUMPRODUCT(IFERROR((DATA_PROPERTY_MASTER!$A$5:$A$200&lt;&gt;"")*IF($C43="Included source errors",--(DATA_PROPERTY_MASTER!$E$5:$E$200="Yes"),--(DATA_PROPERTY_MASTER!$E$5:$E$200&lt;&gt;"Yes"))*--ISERROR(INDIRECT("'"&amp;DATA_PROPERTY_MASTER!$A$5:$A$200&amp;"'!"&amp;SUBSTITUTE(ADDRESS(1,COLUMN(E$5)+1,4),"1","")&amp;$B43)),0))</f>
        <v>0</v>
      </c>
      <c r="F43" s="350">
        <f ca="1">SUMPRODUCT(IFERROR((DATA_PROPERTY_MASTER!$A$5:$A$200&lt;&gt;"")*IF($C43="Included source errors",--(DATA_PROPERTY_MASTER!$E$5:$E$200="Yes"),--(DATA_PROPERTY_MASTER!$E$5:$E$200&lt;&gt;"Yes"))*--ISERROR(INDIRECT("'"&amp;DATA_PROPERTY_MASTER!$A$5:$A$200&amp;"'!"&amp;SUBSTITUTE(ADDRESS(1,COLUMN(F$5)+1,4),"1","")&amp;$B43)),0))</f>
        <v>0</v>
      </c>
      <c r="G43" s="350">
        <f ca="1">SUMPRODUCT(IFERROR((DATA_PROPERTY_MASTER!$A$5:$A$200&lt;&gt;"")*IF($C43="Included source errors",--(DATA_PROPERTY_MASTER!$E$5:$E$200="Yes"),--(DATA_PROPERTY_MASTER!$E$5:$E$200&lt;&gt;"Yes"))*--ISERROR(INDIRECT("'"&amp;DATA_PROPERTY_MASTER!$A$5:$A$200&amp;"'!"&amp;SUBSTITUTE(ADDRESS(1,COLUMN(G$5)+1,4),"1","")&amp;$B43)),0))</f>
        <v>0</v>
      </c>
      <c r="H43" s="350">
        <f ca="1">SUMPRODUCT(IFERROR((DATA_PROPERTY_MASTER!$A$5:$A$200&lt;&gt;"")*IF($C43="Included source errors",--(DATA_PROPERTY_MASTER!$E$5:$E$200="Yes"),--(DATA_PROPERTY_MASTER!$E$5:$E$200&lt;&gt;"Yes"))*--ISERROR(INDIRECT("'"&amp;DATA_PROPERTY_MASTER!$A$5:$A$200&amp;"'!"&amp;SUBSTITUTE(ADDRESS(1,COLUMN(H$5)+1,4),"1","")&amp;$B43)),0))</f>
        <v>0</v>
      </c>
      <c r="I43" s="350">
        <f ca="1">SUMPRODUCT(IFERROR((DATA_PROPERTY_MASTER!$A$5:$A$200&lt;&gt;"")*IF($C43="Included source errors",--(DATA_PROPERTY_MASTER!$E$5:$E$200="Yes"),--(DATA_PROPERTY_MASTER!$E$5:$E$200&lt;&gt;"Yes"))*--ISERROR(INDIRECT("'"&amp;DATA_PROPERTY_MASTER!$A$5:$A$200&amp;"'!"&amp;SUBSTITUTE(ADDRESS(1,COLUMN(I$5)+1,4),"1","")&amp;$B43)),0))</f>
        <v>0</v>
      </c>
      <c r="J43" s="350">
        <f ca="1">SUMPRODUCT(IFERROR((DATA_PROPERTY_MASTER!$A$5:$A$200&lt;&gt;"")*IF($C43="Included source errors",--(DATA_PROPERTY_MASTER!$E$5:$E$200="Yes"),--(DATA_PROPERTY_MASTER!$E$5:$E$200&lt;&gt;"Yes"))*--ISERROR(INDIRECT("'"&amp;DATA_PROPERTY_MASTER!$A$5:$A$200&amp;"'!"&amp;SUBSTITUTE(ADDRESS(1,COLUMN(J$5)+1,4),"1","")&amp;$B43)),0))</f>
        <v>0</v>
      </c>
      <c r="K43" s="350">
        <f ca="1">SUMPRODUCT(IFERROR((DATA_PROPERTY_MASTER!$A$5:$A$200&lt;&gt;"")*IF($C43="Included source errors",--(DATA_PROPERTY_MASTER!$E$5:$E$200="Yes"),--(DATA_PROPERTY_MASTER!$E$5:$E$200&lt;&gt;"Yes"))*--ISERROR(INDIRECT("'"&amp;DATA_PROPERTY_MASTER!$A$5:$A$200&amp;"'!"&amp;SUBSTITUTE(ADDRESS(1,COLUMN(K$5)+1,4),"1","")&amp;$B43)),0))</f>
        <v>0</v>
      </c>
      <c r="L43" s="350">
        <f ca="1">SUMPRODUCT(IFERROR((DATA_PROPERTY_MASTER!$A$5:$A$200&lt;&gt;"")*IF($C43="Included source errors",--(DATA_PROPERTY_MASTER!$E$5:$E$200="Yes"),--(DATA_PROPERTY_MASTER!$E$5:$E$200&lt;&gt;"Yes"))*--ISERROR(INDIRECT("'"&amp;DATA_PROPERTY_MASTER!$A$5:$A$200&amp;"'!"&amp;SUBSTITUTE(ADDRESS(1,COLUMN(L$5)+1,4),"1","")&amp;$B43)),0))</f>
        <v>0</v>
      </c>
      <c r="M43" s="350">
        <f ca="1">SUMPRODUCT(IFERROR((DATA_PROPERTY_MASTER!$A$5:$A$200&lt;&gt;"")*IF($C43="Included source errors",--(DATA_PROPERTY_MASTER!$E$5:$E$200="Yes"),--(DATA_PROPERTY_MASTER!$E$5:$E$200&lt;&gt;"Yes"))*--ISERROR(INDIRECT("'"&amp;DATA_PROPERTY_MASTER!$A$5:$A$200&amp;"'!"&amp;SUBSTITUTE(ADDRESS(1,COLUMN(M$5)+1,4),"1","")&amp;$B43)),0))</f>
        <v>0</v>
      </c>
      <c r="N43" s="350">
        <f ca="1">SUMPRODUCT(IFERROR((DATA_PROPERTY_MASTER!$A$5:$A$200&lt;&gt;"")*IF($C43="Included source errors",--(DATA_PROPERTY_MASTER!$E$5:$E$200="Yes"),--(DATA_PROPERTY_MASTER!$E$5:$E$200&lt;&gt;"Yes"))*--ISERROR(INDIRECT("'"&amp;DATA_PROPERTY_MASTER!$A$5:$A$200&amp;"'!"&amp;SUBSTITUTE(ADDRESS(1,COLUMN(N$5)+1,4),"1","")&amp;$B43)),0))</f>
        <v>0</v>
      </c>
      <c r="O43" s="350">
        <f ca="1">SUMPRODUCT(IFERROR((DATA_PROPERTY_MASTER!$A$5:$A$200&lt;&gt;"")*IF($C43="Included source errors",--(DATA_PROPERTY_MASTER!$E$5:$E$200="Yes"),--(DATA_PROPERTY_MASTER!$E$5:$E$200&lt;&gt;"Yes"))*--ISERROR(INDIRECT("'"&amp;DATA_PROPERTY_MASTER!$A$5:$A$200&amp;"'!"&amp;SUBSTITUTE(ADDRESS(1,COLUMN(O$5)+1,4),"1","")&amp;$B43)),0))</f>
        <v>0</v>
      </c>
      <c r="P43" s="350">
        <f ca="1">SUMPRODUCT(IFERROR((DATA_PROPERTY_MASTER!$A$5:$A$200&lt;&gt;"")*IF($C43="Included source errors",--(DATA_PROPERTY_MASTER!$E$5:$E$200="Yes"),--(DATA_PROPERTY_MASTER!$E$5:$E$200&lt;&gt;"Yes"))*--ISERROR(INDIRECT("'"&amp;DATA_PROPERTY_MASTER!$A$5:$A$200&amp;"'!"&amp;SUBSTITUTE(ADDRESS(1,COLUMN(P$5)+1,4),"1","")&amp;$B43)),0))</f>
        <v>0</v>
      </c>
      <c r="Q43" s="350">
        <f ca="1">SUMPRODUCT(IFERROR((DATA_PROPERTY_MASTER!$A$5:$A$200&lt;&gt;"")*IF($C43="Included source errors",--(DATA_PROPERTY_MASTER!$E$5:$E$200="Yes"),--(DATA_PROPERTY_MASTER!$E$5:$E$200&lt;&gt;"Yes"))*--ISERROR(INDIRECT("'"&amp;DATA_PROPERTY_MASTER!$A$5:$A$200&amp;"'!"&amp;SUBSTITUTE(ADDRESS(1,COLUMN(Q$5)+1,4),"1","")&amp;$B43)),0))</f>
        <v>0</v>
      </c>
      <c r="R43" s="350">
        <f ca="1">SUMPRODUCT(IFERROR((DATA_PROPERTY_MASTER!$A$5:$A$200&lt;&gt;"")*IF($C43="Included source errors",--(DATA_PROPERTY_MASTER!$E$5:$E$200="Yes"),--(DATA_PROPERTY_MASTER!$E$5:$E$200&lt;&gt;"Yes"))*--ISERROR(INDIRECT("'"&amp;DATA_PROPERTY_MASTER!$A$5:$A$200&amp;"'!"&amp;SUBSTITUTE(ADDRESS(1,COLUMN(R$5)+1,4),"1","")&amp;$B43)),0))</f>
        <v>0</v>
      </c>
      <c r="S43" s="350">
        <f ca="1">SUMPRODUCT(IFERROR((DATA_PROPERTY_MASTER!$A$5:$A$200&lt;&gt;"")*IF($C43="Included source errors",--(DATA_PROPERTY_MASTER!$E$5:$E$200="Yes"),--(DATA_PROPERTY_MASTER!$E$5:$E$200&lt;&gt;"Yes"))*--ISERROR(INDIRECT("'"&amp;DATA_PROPERTY_MASTER!$A$5:$A$200&amp;"'!"&amp;SUBSTITUTE(ADDRESS(1,COLUMN(S$5)+1,4),"1","")&amp;$B43)),0))</f>
        <v>0</v>
      </c>
      <c r="T43" s="350">
        <f ca="1">SUMPRODUCT(IFERROR((DATA_PROPERTY_MASTER!$A$5:$A$200&lt;&gt;"")*IF($C43="Included source errors",--(DATA_PROPERTY_MASTER!$E$5:$E$200="Yes"),--(DATA_PROPERTY_MASTER!$E$5:$E$200&lt;&gt;"Yes"))*--ISERROR(INDIRECT("'"&amp;DATA_PROPERTY_MASTER!$A$5:$A$200&amp;"'!"&amp;SUBSTITUTE(ADDRESS(1,COLUMN(T$5)+1,4),"1","")&amp;$B43)),0))</f>
        <v>0</v>
      </c>
      <c r="U43" s="350">
        <f ca="1">SUMPRODUCT(IFERROR((DATA_PROPERTY_MASTER!$A$5:$A$200&lt;&gt;"")*IF($C43="Included source errors",--(DATA_PROPERTY_MASTER!$E$5:$E$200="Yes"),--(DATA_PROPERTY_MASTER!$E$5:$E$200&lt;&gt;"Yes"))*--ISERROR(INDIRECT("'"&amp;DATA_PROPERTY_MASTER!$A$5:$A$200&amp;"'!"&amp;SUBSTITUTE(ADDRESS(1,COLUMN(U$5)+1,4),"1","")&amp;$B43)),0))</f>
        <v>0</v>
      </c>
      <c r="V43" s="350">
        <f ca="1">SUMPRODUCT(IFERROR((DATA_PROPERTY_MASTER!$A$5:$A$200&lt;&gt;"")*IF($C43="Included source errors",--(DATA_PROPERTY_MASTER!$E$5:$E$200="Yes"),--(DATA_PROPERTY_MASTER!$E$5:$E$200&lt;&gt;"Yes"))*--ISERROR(INDIRECT("'"&amp;DATA_PROPERTY_MASTER!$A$5:$A$200&amp;"'!"&amp;SUBSTITUTE(ADDRESS(1,COLUMN(V$5)+1,4),"1","")&amp;$B43)),0))</f>
        <v>0</v>
      </c>
      <c r="W43" s="350">
        <f ca="1">SUMPRODUCT(IFERROR((DATA_PROPERTY_MASTER!$A$5:$A$200&lt;&gt;"")*IF($C43="Included source errors",--(DATA_PROPERTY_MASTER!$E$5:$E$200="Yes"),--(DATA_PROPERTY_MASTER!$E$5:$E$200&lt;&gt;"Yes"))*--ISERROR(INDIRECT("'"&amp;DATA_PROPERTY_MASTER!$A$5:$A$200&amp;"'!"&amp;SUBSTITUTE(ADDRESS(1,COLUMN(W$5)+1,4),"1","")&amp;$B43)),0))</f>
        <v>0</v>
      </c>
      <c r="X43" s="350">
        <f ca="1">SUMPRODUCT(IFERROR((DATA_PROPERTY_MASTER!$A$5:$A$200&lt;&gt;"")*IF($C43="Included source errors",--(DATA_PROPERTY_MASTER!$E$5:$E$200="Yes"),--(DATA_PROPERTY_MASTER!$E$5:$E$200&lt;&gt;"Yes"))*--ISERROR(INDIRECT("'"&amp;DATA_PROPERTY_MASTER!$A$5:$A$200&amp;"'!"&amp;SUBSTITUTE(ADDRESS(1,COLUMN(X$5)+1,4),"1","")&amp;$B43)),0))</f>
        <v>0</v>
      </c>
      <c r="Y43" s="350">
        <f t="shared" ca="1" si="1"/>
        <v>0</v>
      </c>
      <c r="Z43" s="382" t="s">
        <v>7467</v>
      </c>
    </row>
    <row r="44" spans="1:26" ht="30">
      <c r="A44" s="382" t="s">
        <v>354</v>
      </c>
      <c r="B44" s="382">
        <v>38</v>
      </c>
      <c r="C44" s="382" t="s">
        <v>1560</v>
      </c>
      <c r="D44" s="350">
        <f ca="1">SUMPRODUCT(IFERROR((DATA_PROPERTY_MASTER!$A$5:$A$200&lt;&gt;"")*IF($C44="Included source errors",--(DATA_PROPERTY_MASTER!$E$5:$E$200="Yes"),--(DATA_PROPERTY_MASTER!$E$5:$E$200&lt;&gt;"Yes"))*--ISERROR(INDIRECT("'"&amp;DATA_PROPERTY_MASTER!$A$5:$A$200&amp;"'!"&amp;SUBSTITUTE(ADDRESS(1,COLUMN(D$5)+1,4),"1","")&amp;$B44)),0))</f>
        <v>0</v>
      </c>
      <c r="E44" s="350">
        <f ca="1">SUMPRODUCT(IFERROR((DATA_PROPERTY_MASTER!$A$5:$A$200&lt;&gt;"")*IF($C44="Included source errors",--(DATA_PROPERTY_MASTER!$E$5:$E$200="Yes"),--(DATA_PROPERTY_MASTER!$E$5:$E$200&lt;&gt;"Yes"))*--ISERROR(INDIRECT("'"&amp;DATA_PROPERTY_MASTER!$A$5:$A$200&amp;"'!"&amp;SUBSTITUTE(ADDRESS(1,COLUMN(E$5)+1,4),"1","")&amp;$B44)),0))</f>
        <v>0</v>
      </c>
      <c r="F44" s="350">
        <f ca="1">SUMPRODUCT(IFERROR((DATA_PROPERTY_MASTER!$A$5:$A$200&lt;&gt;"")*IF($C44="Included source errors",--(DATA_PROPERTY_MASTER!$E$5:$E$200="Yes"),--(DATA_PROPERTY_MASTER!$E$5:$E$200&lt;&gt;"Yes"))*--ISERROR(INDIRECT("'"&amp;DATA_PROPERTY_MASTER!$A$5:$A$200&amp;"'!"&amp;SUBSTITUTE(ADDRESS(1,COLUMN(F$5)+1,4),"1","")&amp;$B44)),0))</f>
        <v>0</v>
      </c>
      <c r="G44" s="350">
        <f ca="1">SUMPRODUCT(IFERROR((DATA_PROPERTY_MASTER!$A$5:$A$200&lt;&gt;"")*IF($C44="Included source errors",--(DATA_PROPERTY_MASTER!$E$5:$E$200="Yes"),--(DATA_PROPERTY_MASTER!$E$5:$E$200&lt;&gt;"Yes"))*--ISERROR(INDIRECT("'"&amp;DATA_PROPERTY_MASTER!$A$5:$A$200&amp;"'!"&amp;SUBSTITUTE(ADDRESS(1,COLUMN(G$5)+1,4),"1","")&amp;$B44)),0))</f>
        <v>0</v>
      </c>
      <c r="H44" s="350">
        <f ca="1">SUMPRODUCT(IFERROR((DATA_PROPERTY_MASTER!$A$5:$A$200&lt;&gt;"")*IF($C44="Included source errors",--(DATA_PROPERTY_MASTER!$E$5:$E$200="Yes"),--(DATA_PROPERTY_MASTER!$E$5:$E$200&lt;&gt;"Yes"))*--ISERROR(INDIRECT("'"&amp;DATA_PROPERTY_MASTER!$A$5:$A$200&amp;"'!"&amp;SUBSTITUTE(ADDRESS(1,COLUMN(H$5)+1,4),"1","")&amp;$B44)),0))</f>
        <v>0</v>
      </c>
      <c r="I44" s="350">
        <f ca="1">SUMPRODUCT(IFERROR((DATA_PROPERTY_MASTER!$A$5:$A$200&lt;&gt;"")*IF($C44="Included source errors",--(DATA_PROPERTY_MASTER!$E$5:$E$200="Yes"),--(DATA_PROPERTY_MASTER!$E$5:$E$200&lt;&gt;"Yes"))*--ISERROR(INDIRECT("'"&amp;DATA_PROPERTY_MASTER!$A$5:$A$200&amp;"'!"&amp;SUBSTITUTE(ADDRESS(1,COLUMN(I$5)+1,4),"1","")&amp;$B44)),0))</f>
        <v>0</v>
      </c>
      <c r="J44" s="350">
        <f ca="1">SUMPRODUCT(IFERROR((DATA_PROPERTY_MASTER!$A$5:$A$200&lt;&gt;"")*IF($C44="Included source errors",--(DATA_PROPERTY_MASTER!$E$5:$E$200="Yes"),--(DATA_PROPERTY_MASTER!$E$5:$E$200&lt;&gt;"Yes"))*--ISERROR(INDIRECT("'"&amp;DATA_PROPERTY_MASTER!$A$5:$A$200&amp;"'!"&amp;SUBSTITUTE(ADDRESS(1,COLUMN(J$5)+1,4),"1","")&amp;$B44)),0))</f>
        <v>0</v>
      </c>
      <c r="K44" s="350">
        <f ca="1">SUMPRODUCT(IFERROR((DATA_PROPERTY_MASTER!$A$5:$A$200&lt;&gt;"")*IF($C44="Included source errors",--(DATA_PROPERTY_MASTER!$E$5:$E$200="Yes"),--(DATA_PROPERTY_MASTER!$E$5:$E$200&lt;&gt;"Yes"))*--ISERROR(INDIRECT("'"&amp;DATA_PROPERTY_MASTER!$A$5:$A$200&amp;"'!"&amp;SUBSTITUTE(ADDRESS(1,COLUMN(K$5)+1,4),"1","")&amp;$B44)),0))</f>
        <v>0</v>
      </c>
      <c r="L44" s="350">
        <f ca="1">SUMPRODUCT(IFERROR((DATA_PROPERTY_MASTER!$A$5:$A$200&lt;&gt;"")*IF($C44="Included source errors",--(DATA_PROPERTY_MASTER!$E$5:$E$200="Yes"),--(DATA_PROPERTY_MASTER!$E$5:$E$200&lt;&gt;"Yes"))*--ISERROR(INDIRECT("'"&amp;DATA_PROPERTY_MASTER!$A$5:$A$200&amp;"'!"&amp;SUBSTITUTE(ADDRESS(1,COLUMN(L$5)+1,4),"1","")&amp;$B44)),0))</f>
        <v>0</v>
      </c>
      <c r="M44" s="350">
        <f ca="1">SUMPRODUCT(IFERROR((DATA_PROPERTY_MASTER!$A$5:$A$200&lt;&gt;"")*IF($C44="Included source errors",--(DATA_PROPERTY_MASTER!$E$5:$E$200="Yes"),--(DATA_PROPERTY_MASTER!$E$5:$E$200&lt;&gt;"Yes"))*--ISERROR(INDIRECT("'"&amp;DATA_PROPERTY_MASTER!$A$5:$A$200&amp;"'!"&amp;SUBSTITUTE(ADDRESS(1,COLUMN(M$5)+1,4),"1","")&amp;$B44)),0))</f>
        <v>0</v>
      </c>
      <c r="N44" s="350">
        <f ca="1">SUMPRODUCT(IFERROR((DATA_PROPERTY_MASTER!$A$5:$A$200&lt;&gt;"")*IF($C44="Included source errors",--(DATA_PROPERTY_MASTER!$E$5:$E$200="Yes"),--(DATA_PROPERTY_MASTER!$E$5:$E$200&lt;&gt;"Yes"))*--ISERROR(INDIRECT("'"&amp;DATA_PROPERTY_MASTER!$A$5:$A$200&amp;"'!"&amp;SUBSTITUTE(ADDRESS(1,COLUMN(N$5)+1,4),"1","")&amp;$B44)),0))</f>
        <v>0</v>
      </c>
      <c r="O44" s="350">
        <f ca="1">SUMPRODUCT(IFERROR((DATA_PROPERTY_MASTER!$A$5:$A$200&lt;&gt;"")*IF($C44="Included source errors",--(DATA_PROPERTY_MASTER!$E$5:$E$200="Yes"),--(DATA_PROPERTY_MASTER!$E$5:$E$200&lt;&gt;"Yes"))*--ISERROR(INDIRECT("'"&amp;DATA_PROPERTY_MASTER!$A$5:$A$200&amp;"'!"&amp;SUBSTITUTE(ADDRESS(1,COLUMN(O$5)+1,4),"1","")&amp;$B44)),0))</f>
        <v>0</v>
      </c>
      <c r="P44" s="350">
        <f ca="1">SUMPRODUCT(IFERROR((DATA_PROPERTY_MASTER!$A$5:$A$200&lt;&gt;"")*IF($C44="Included source errors",--(DATA_PROPERTY_MASTER!$E$5:$E$200="Yes"),--(DATA_PROPERTY_MASTER!$E$5:$E$200&lt;&gt;"Yes"))*--ISERROR(INDIRECT("'"&amp;DATA_PROPERTY_MASTER!$A$5:$A$200&amp;"'!"&amp;SUBSTITUTE(ADDRESS(1,COLUMN(P$5)+1,4),"1","")&amp;$B44)),0))</f>
        <v>0</v>
      </c>
      <c r="Q44" s="350">
        <f ca="1">SUMPRODUCT(IFERROR((DATA_PROPERTY_MASTER!$A$5:$A$200&lt;&gt;"")*IF($C44="Included source errors",--(DATA_PROPERTY_MASTER!$E$5:$E$200="Yes"),--(DATA_PROPERTY_MASTER!$E$5:$E$200&lt;&gt;"Yes"))*--ISERROR(INDIRECT("'"&amp;DATA_PROPERTY_MASTER!$A$5:$A$200&amp;"'!"&amp;SUBSTITUTE(ADDRESS(1,COLUMN(Q$5)+1,4),"1","")&amp;$B44)),0))</f>
        <v>0</v>
      </c>
      <c r="R44" s="350">
        <f ca="1">SUMPRODUCT(IFERROR((DATA_PROPERTY_MASTER!$A$5:$A$200&lt;&gt;"")*IF($C44="Included source errors",--(DATA_PROPERTY_MASTER!$E$5:$E$200="Yes"),--(DATA_PROPERTY_MASTER!$E$5:$E$200&lt;&gt;"Yes"))*--ISERROR(INDIRECT("'"&amp;DATA_PROPERTY_MASTER!$A$5:$A$200&amp;"'!"&amp;SUBSTITUTE(ADDRESS(1,COLUMN(R$5)+1,4),"1","")&amp;$B44)),0))</f>
        <v>0</v>
      </c>
      <c r="S44" s="350">
        <f ca="1">SUMPRODUCT(IFERROR((DATA_PROPERTY_MASTER!$A$5:$A$200&lt;&gt;"")*IF($C44="Included source errors",--(DATA_PROPERTY_MASTER!$E$5:$E$200="Yes"),--(DATA_PROPERTY_MASTER!$E$5:$E$200&lt;&gt;"Yes"))*--ISERROR(INDIRECT("'"&amp;DATA_PROPERTY_MASTER!$A$5:$A$200&amp;"'!"&amp;SUBSTITUTE(ADDRESS(1,COLUMN(S$5)+1,4),"1","")&amp;$B44)),0))</f>
        <v>0</v>
      </c>
      <c r="T44" s="350">
        <f ca="1">SUMPRODUCT(IFERROR((DATA_PROPERTY_MASTER!$A$5:$A$200&lt;&gt;"")*IF($C44="Included source errors",--(DATA_PROPERTY_MASTER!$E$5:$E$200="Yes"),--(DATA_PROPERTY_MASTER!$E$5:$E$200&lt;&gt;"Yes"))*--ISERROR(INDIRECT("'"&amp;DATA_PROPERTY_MASTER!$A$5:$A$200&amp;"'!"&amp;SUBSTITUTE(ADDRESS(1,COLUMN(T$5)+1,4),"1","")&amp;$B44)),0))</f>
        <v>0</v>
      </c>
      <c r="U44" s="350">
        <f ca="1">SUMPRODUCT(IFERROR((DATA_PROPERTY_MASTER!$A$5:$A$200&lt;&gt;"")*IF($C44="Included source errors",--(DATA_PROPERTY_MASTER!$E$5:$E$200="Yes"),--(DATA_PROPERTY_MASTER!$E$5:$E$200&lt;&gt;"Yes"))*--ISERROR(INDIRECT("'"&amp;DATA_PROPERTY_MASTER!$A$5:$A$200&amp;"'!"&amp;SUBSTITUTE(ADDRESS(1,COLUMN(U$5)+1,4),"1","")&amp;$B44)),0))</f>
        <v>0</v>
      </c>
      <c r="V44" s="350">
        <f ca="1">SUMPRODUCT(IFERROR((DATA_PROPERTY_MASTER!$A$5:$A$200&lt;&gt;"")*IF($C44="Included source errors",--(DATA_PROPERTY_MASTER!$E$5:$E$200="Yes"),--(DATA_PROPERTY_MASTER!$E$5:$E$200&lt;&gt;"Yes"))*--ISERROR(INDIRECT("'"&amp;DATA_PROPERTY_MASTER!$A$5:$A$200&amp;"'!"&amp;SUBSTITUTE(ADDRESS(1,COLUMN(V$5)+1,4),"1","")&amp;$B44)),0))</f>
        <v>0</v>
      </c>
      <c r="W44" s="350">
        <f ca="1">SUMPRODUCT(IFERROR((DATA_PROPERTY_MASTER!$A$5:$A$200&lt;&gt;"")*IF($C44="Included source errors",--(DATA_PROPERTY_MASTER!$E$5:$E$200="Yes"),--(DATA_PROPERTY_MASTER!$E$5:$E$200&lt;&gt;"Yes"))*--ISERROR(INDIRECT("'"&amp;DATA_PROPERTY_MASTER!$A$5:$A$200&amp;"'!"&amp;SUBSTITUTE(ADDRESS(1,COLUMN(W$5)+1,4),"1","")&amp;$B44)),0))</f>
        <v>0</v>
      </c>
      <c r="X44" s="350">
        <f ca="1">SUMPRODUCT(IFERROR((DATA_PROPERTY_MASTER!$A$5:$A$200&lt;&gt;"")*IF($C44="Included source errors",--(DATA_PROPERTY_MASTER!$E$5:$E$200="Yes"),--(DATA_PROPERTY_MASTER!$E$5:$E$200&lt;&gt;"Yes"))*--ISERROR(INDIRECT("'"&amp;DATA_PROPERTY_MASTER!$A$5:$A$200&amp;"'!"&amp;SUBSTITUTE(ADDRESS(1,COLUMN(X$5)+1,4),"1","")&amp;$B44)),0))</f>
        <v>0</v>
      </c>
      <c r="Y44" s="350">
        <f t="shared" ca="1" si="1"/>
        <v>0</v>
      </c>
      <c r="Z44" s="382" t="s">
        <v>7467</v>
      </c>
    </row>
    <row r="45" spans="1:26" ht="30">
      <c r="A45" s="382" t="s">
        <v>354</v>
      </c>
      <c r="B45" s="382">
        <v>38</v>
      </c>
      <c r="C45" s="382" t="s">
        <v>1563</v>
      </c>
      <c r="D45" s="350">
        <f ca="1">SUMPRODUCT(IFERROR((DATA_PROPERTY_MASTER!$A$5:$A$200&lt;&gt;"")*IF($C45="Included source errors",--(DATA_PROPERTY_MASTER!$E$5:$E$200="Yes"),--(DATA_PROPERTY_MASTER!$E$5:$E$200&lt;&gt;"Yes"))*--ISERROR(INDIRECT("'"&amp;DATA_PROPERTY_MASTER!$A$5:$A$200&amp;"'!"&amp;SUBSTITUTE(ADDRESS(1,COLUMN(D$5)+1,4),"1","")&amp;$B45)),0))</f>
        <v>0</v>
      </c>
      <c r="E45" s="350">
        <f ca="1">SUMPRODUCT(IFERROR((DATA_PROPERTY_MASTER!$A$5:$A$200&lt;&gt;"")*IF($C45="Included source errors",--(DATA_PROPERTY_MASTER!$E$5:$E$200="Yes"),--(DATA_PROPERTY_MASTER!$E$5:$E$200&lt;&gt;"Yes"))*--ISERROR(INDIRECT("'"&amp;DATA_PROPERTY_MASTER!$A$5:$A$200&amp;"'!"&amp;SUBSTITUTE(ADDRESS(1,COLUMN(E$5)+1,4),"1","")&amp;$B45)),0))</f>
        <v>0</v>
      </c>
      <c r="F45" s="350">
        <f ca="1">SUMPRODUCT(IFERROR((DATA_PROPERTY_MASTER!$A$5:$A$200&lt;&gt;"")*IF($C45="Included source errors",--(DATA_PROPERTY_MASTER!$E$5:$E$200="Yes"),--(DATA_PROPERTY_MASTER!$E$5:$E$200&lt;&gt;"Yes"))*--ISERROR(INDIRECT("'"&amp;DATA_PROPERTY_MASTER!$A$5:$A$200&amp;"'!"&amp;SUBSTITUTE(ADDRESS(1,COLUMN(F$5)+1,4),"1","")&amp;$B45)),0))</f>
        <v>0</v>
      </c>
      <c r="G45" s="350">
        <f ca="1">SUMPRODUCT(IFERROR((DATA_PROPERTY_MASTER!$A$5:$A$200&lt;&gt;"")*IF($C45="Included source errors",--(DATA_PROPERTY_MASTER!$E$5:$E$200="Yes"),--(DATA_PROPERTY_MASTER!$E$5:$E$200&lt;&gt;"Yes"))*--ISERROR(INDIRECT("'"&amp;DATA_PROPERTY_MASTER!$A$5:$A$200&amp;"'!"&amp;SUBSTITUTE(ADDRESS(1,COLUMN(G$5)+1,4),"1","")&amp;$B45)),0))</f>
        <v>0</v>
      </c>
      <c r="H45" s="350">
        <f ca="1">SUMPRODUCT(IFERROR((DATA_PROPERTY_MASTER!$A$5:$A$200&lt;&gt;"")*IF($C45="Included source errors",--(DATA_PROPERTY_MASTER!$E$5:$E$200="Yes"),--(DATA_PROPERTY_MASTER!$E$5:$E$200&lt;&gt;"Yes"))*--ISERROR(INDIRECT("'"&amp;DATA_PROPERTY_MASTER!$A$5:$A$200&amp;"'!"&amp;SUBSTITUTE(ADDRESS(1,COLUMN(H$5)+1,4),"1","")&amp;$B45)),0))</f>
        <v>0</v>
      </c>
      <c r="I45" s="350">
        <f ca="1">SUMPRODUCT(IFERROR((DATA_PROPERTY_MASTER!$A$5:$A$200&lt;&gt;"")*IF($C45="Included source errors",--(DATA_PROPERTY_MASTER!$E$5:$E$200="Yes"),--(DATA_PROPERTY_MASTER!$E$5:$E$200&lt;&gt;"Yes"))*--ISERROR(INDIRECT("'"&amp;DATA_PROPERTY_MASTER!$A$5:$A$200&amp;"'!"&amp;SUBSTITUTE(ADDRESS(1,COLUMN(I$5)+1,4),"1","")&amp;$B45)),0))</f>
        <v>0</v>
      </c>
      <c r="J45" s="350">
        <f ca="1">SUMPRODUCT(IFERROR((DATA_PROPERTY_MASTER!$A$5:$A$200&lt;&gt;"")*IF($C45="Included source errors",--(DATA_PROPERTY_MASTER!$E$5:$E$200="Yes"),--(DATA_PROPERTY_MASTER!$E$5:$E$200&lt;&gt;"Yes"))*--ISERROR(INDIRECT("'"&amp;DATA_PROPERTY_MASTER!$A$5:$A$200&amp;"'!"&amp;SUBSTITUTE(ADDRESS(1,COLUMN(J$5)+1,4),"1","")&amp;$B45)),0))</f>
        <v>0</v>
      </c>
      <c r="K45" s="350">
        <f ca="1">SUMPRODUCT(IFERROR((DATA_PROPERTY_MASTER!$A$5:$A$200&lt;&gt;"")*IF($C45="Included source errors",--(DATA_PROPERTY_MASTER!$E$5:$E$200="Yes"),--(DATA_PROPERTY_MASTER!$E$5:$E$200&lt;&gt;"Yes"))*--ISERROR(INDIRECT("'"&amp;DATA_PROPERTY_MASTER!$A$5:$A$200&amp;"'!"&amp;SUBSTITUTE(ADDRESS(1,COLUMN(K$5)+1,4),"1","")&amp;$B45)),0))</f>
        <v>0</v>
      </c>
      <c r="L45" s="350">
        <f ca="1">SUMPRODUCT(IFERROR((DATA_PROPERTY_MASTER!$A$5:$A$200&lt;&gt;"")*IF($C45="Included source errors",--(DATA_PROPERTY_MASTER!$E$5:$E$200="Yes"),--(DATA_PROPERTY_MASTER!$E$5:$E$200&lt;&gt;"Yes"))*--ISERROR(INDIRECT("'"&amp;DATA_PROPERTY_MASTER!$A$5:$A$200&amp;"'!"&amp;SUBSTITUTE(ADDRESS(1,COLUMN(L$5)+1,4),"1","")&amp;$B45)),0))</f>
        <v>0</v>
      </c>
      <c r="M45" s="350">
        <f ca="1">SUMPRODUCT(IFERROR((DATA_PROPERTY_MASTER!$A$5:$A$200&lt;&gt;"")*IF($C45="Included source errors",--(DATA_PROPERTY_MASTER!$E$5:$E$200="Yes"),--(DATA_PROPERTY_MASTER!$E$5:$E$200&lt;&gt;"Yes"))*--ISERROR(INDIRECT("'"&amp;DATA_PROPERTY_MASTER!$A$5:$A$200&amp;"'!"&amp;SUBSTITUTE(ADDRESS(1,COLUMN(M$5)+1,4),"1","")&amp;$B45)),0))</f>
        <v>0</v>
      </c>
      <c r="N45" s="350">
        <f ca="1">SUMPRODUCT(IFERROR((DATA_PROPERTY_MASTER!$A$5:$A$200&lt;&gt;"")*IF($C45="Included source errors",--(DATA_PROPERTY_MASTER!$E$5:$E$200="Yes"),--(DATA_PROPERTY_MASTER!$E$5:$E$200&lt;&gt;"Yes"))*--ISERROR(INDIRECT("'"&amp;DATA_PROPERTY_MASTER!$A$5:$A$200&amp;"'!"&amp;SUBSTITUTE(ADDRESS(1,COLUMN(N$5)+1,4),"1","")&amp;$B45)),0))</f>
        <v>0</v>
      </c>
      <c r="O45" s="350">
        <f ca="1">SUMPRODUCT(IFERROR((DATA_PROPERTY_MASTER!$A$5:$A$200&lt;&gt;"")*IF($C45="Included source errors",--(DATA_PROPERTY_MASTER!$E$5:$E$200="Yes"),--(DATA_PROPERTY_MASTER!$E$5:$E$200&lt;&gt;"Yes"))*--ISERROR(INDIRECT("'"&amp;DATA_PROPERTY_MASTER!$A$5:$A$200&amp;"'!"&amp;SUBSTITUTE(ADDRESS(1,COLUMN(O$5)+1,4),"1","")&amp;$B45)),0))</f>
        <v>0</v>
      </c>
      <c r="P45" s="350">
        <f ca="1">SUMPRODUCT(IFERROR((DATA_PROPERTY_MASTER!$A$5:$A$200&lt;&gt;"")*IF($C45="Included source errors",--(DATA_PROPERTY_MASTER!$E$5:$E$200="Yes"),--(DATA_PROPERTY_MASTER!$E$5:$E$200&lt;&gt;"Yes"))*--ISERROR(INDIRECT("'"&amp;DATA_PROPERTY_MASTER!$A$5:$A$200&amp;"'!"&amp;SUBSTITUTE(ADDRESS(1,COLUMN(P$5)+1,4),"1","")&amp;$B45)),0))</f>
        <v>0</v>
      </c>
      <c r="Q45" s="350">
        <f ca="1">SUMPRODUCT(IFERROR((DATA_PROPERTY_MASTER!$A$5:$A$200&lt;&gt;"")*IF($C45="Included source errors",--(DATA_PROPERTY_MASTER!$E$5:$E$200="Yes"),--(DATA_PROPERTY_MASTER!$E$5:$E$200&lt;&gt;"Yes"))*--ISERROR(INDIRECT("'"&amp;DATA_PROPERTY_MASTER!$A$5:$A$200&amp;"'!"&amp;SUBSTITUTE(ADDRESS(1,COLUMN(Q$5)+1,4),"1","")&amp;$B45)),0))</f>
        <v>0</v>
      </c>
      <c r="R45" s="350">
        <f ca="1">SUMPRODUCT(IFERROR((DATA_PROPERTY_MASTER!$A$5:$A$200&lt;&gt;"")*IF($C45="Included source errors",--(DATA_PROPERTY_MASTER!$E$5:$E$200="Yes"),--(DATA_PROPERTY_MASTER!$E$5:$E$200&lt;&gt;"Yes"))*--ISERROR(INDIRECT("'"&amp;DATA_PROPERTY_MASTER!$A$5:$A$200&amp;"'!"&amp;SUBSTITUTE(ADDRESS(1,COLUMN(R$5)+1,4),"1","")&amp;$B45)),0))</f>
        <v>0</v>
      </c>
      <c r="S45" s="350">
        <f ca="1">SUMPRODUCT(IFERROR((DATA_PROPERTY_MASTER!$A$5:$A$200&lt;&gt;"")*IF($C45="Included source errors",--(DATA_PROPERTY_MASTER!$E$5:$E$200="Yes"),--(DATA_PROPERTY_MASTER!$E$5:$E$200&lt;&gt;"Yes"))*--ISERROR(INDIRECT("'"&amp;DATA_PROPERTY_MASTER!$A$5:$A$200&amp;"'!"&amp;SUBSTITUTE(ADDRESS(1,COLUMN(S$5)+1,4),"1","")&amp;$B45)),0))</f>
        <v>0</v>
      </c>
      <c r="T45" s="350">
        <f ca="1">SUMPRODUCT(IFERROR((DATA_PROPERTY_MASTER!$A$5:$A$200&lt;&gt;"")*IF($C45="Included source errors",--(DATA_PROPERTY_MASTER!$E$5:$E$200="Yes"),--(DATA_PROPERTY_MASTER!$E$5:$E$200&lt;&gt;"Yes"))*--ISERROR(INDIRECT("'"&amp;DATA_PROPERTY_MASTER!$A$5:$A$200&amp;"'!"&amp;SUBSTITUTE(ADDRESS(1,COLUMN(T$5)+1,4),"1","")&amp;$B45)),0))</f>
        <v>0</v>
      </c>
      <c r="U45" s="350">
        <f ca="1">SUMPRODUCT(IFERROR((DATA_PROPERTY_MASTER!$A$5:$A$200&lt;&gt;"")*IF($C45="Included source errors",--(DATA_PROPERTY_MASTER!$E$5:$E$200="Yes"),--(DATA_PROPERTY_MASTER!$E$5:$E$200&lt;&gt;"Yes"))*--ISERROR(INDIRECT("'"&amp;DATA_PROPERTY_MASTER!$A$5:$A$200&amp;"'!"&amp;SUBSTITUTE(ADDRESS(1,COLUMN(U$5)+1,4),"1","")&amp;$B45)),0))</f>
        <v>0</v>
      </c>
      <c r="V45" s="350">
        <f ca="1">SUMPRODUCT(IFERROR((DATA_PROPERTY_MASTER!$A$5:$A$200&lt;&gt;"")*IF($C45="Included source errors",--(DATA_PROPERTY_MASTER!$E$5:$E$200="Yes"),--(DATA_PROPERTY_MASTER!$E$5:$E$200&lt;&gt;"Yes"))*--ISERROR(INDIRECT("'"&amp;DATA_PROPERTY_MASTER!$A$5:$A$200&amp;"'!"&amp;SUBSTITUTE(ADDRESS(1,COLUMN(V$5)+1,4),"1","")&amp;$B45)),0))</f>
        <v>0</v>
      </c>
      <c r="W45" s="350">
        <f ca="1">SUMPRODUCT(IFERROR((DATA_PROPERTY_MASTER!$A$5:$A$200&lt;&gt;"")*IF($C45="Included source errors",--(DATA_PROPERTY_MASTER!$E$5:$E$200="Yes"),--(DATA_PROPERTY_MASTER!$E$5:$E$200&lt;&gt;"Yes"))*--ISERROR(INDIRECT("'"&amp;DATA_PROPERTY_MASTER!$A$5:$A$200&amp;"'!"&amp;SUBSTITUTE(ADDRESS(1,COLUMN(W$5)+1,4),"1","")&amp;$B45)),0))</f>
        <v>0</v>
      </c>
      <c r="X45" s="350">
        <f ca="1">SUMPRODUCT(IFERROR((DATA_PROPERTY_MASTER!$A$5:$A$200&lt;&gt;"")*IF($C45="Included source errors",--(DATA_PROPERTY_MASTER!$E$5:$E$200="Yes"),--(DATA_PROPERTY_MASTER!$E$5:$E$200&lt;&gt;"Yes"))*--ISERROR(INDIRECT("'"&amp;DATA_PROPERTY_MASTER!$A$5:$A$200&amp;"'!"&amp;SUBSTITUTE(ADDRESS(1,COLUMN(X$5)+1,4),"1","")&amp;$B45)),0))</f>
        <v>0</v>
      </c>
      <c r="Y45" s="350">
        <f t="shared" ca="1" si="1"/>
        <v>0</v>
      </c>
      <c r="Z45" s="382" t="s">
        <v>7467</v>
      </c>
    </row>
    <row r="46" spans="1:26" ht="30">
      <c r="A46" s="382" t="s">
        <v>358</v>
      </c>
      <c r="B46" s="382">
        <v>44</v>
      </c>
      <c r="C46" s="382" t="s">
        <v>1560</v>
      </c>
      <c r="D46" s="350">
        <f ca="1">SUMPRODUCT(IFERROR((DATA_PROPERTY_MASTER!$A$5:$A$200&lt;&gt;"")*IF($C46="Included source errors",--(DATA_PROPERTY_MASTER!$E$5:$E$200="Yes"),--(DATA_PROPERTY_MASTER!$E$5:$E$200&lt;&gt;"Yes"))*--ISERROR(INDIRECT("'"&amp;DATA_PROPERTY_MASTER!$A$5:$A$200&amp;"'!"&amp;SUBSTITUTE(ADDRESS(1,COLUMN(D$5)+1,4),"1","")&amp;$B46)),0))</f>
        <v>0</v>
      </c>
      <c r="E46" s="350">
        <f ca="1">SUMPRODUCT(IFERROR((DATA_PROPERTY_MASTER!$A$5:$A$200&lt;&gt;"")*IF($C46="Included source errors",--(DATA_PROPERTY_MASTER!$E$5:$E$200="Yes"),--(DATA_PROPERTY_MASTER!$E$5:$E$200&lt;&gt;"Yes"))*--ISERROR(INDIRECT("'"&amp;DATA_PROPERTY_MASTER!$A$5:$A$200&amp;"'!"&amp;SUBSTITUTE(ADDRESS(1,COLUMN(E$5)+1,4),"1","")&amp;$B46)),0))</f>
        <v>0</v>
      </c>
      <c r="F46" s="350">
        <f ca="1">SUMPRODUCT(IFERROR((DATA_PROPERTY_MASTER!$A$5:$A$200&lt;&gt;"")*IF($C46="Included source errors",--(DATA_PROPERTY_MASTER!$E$5:$E$200="Yes"),--(DATA_PROPERTY_MASTER!$E$5:$E$200&lt;&gt;"Yes"))*--ISERROR(INDIRECT("'"&amp;DATA_PROPERTY_MASTER!$A$5:$A$200&amp;"'!"&amp;SUBSTITUTE(ADDRESS(1,COLUMN(F$5)+1,4),"1","")&amp;$B46)),0))</f>
        <v>0</v>
      </c>
      <c r="G46" s="350">
        <f ca="1">SUMPRODUCT(IFERROR((DATA_PROPERTY_MASTER!$A$5:$A$200&lt;&gt;"")*IF($C46="Included source errors",--(DATA_PROPERTY_MASTER!$E$5:$E$200="Yes"),--(DATA_PROPERTY_MASTER!$E$5:$E$200&lt;&gt;"Yes"))*--ISERROR(INDIRECT("'"&amp;DATA_PROPERTY_MASTER!$A$5:$A$200&amp;"'!"&amp;SUBSTITUTE(ADDRESS(1,COLUMN(G$5)+1,4),"1","")&amp;$B46)),0))</f>
        <v>0</v>
      </c>
      <c r="H46" s="350">
        <f ca="1">SUMPRODUCT(IFERROR((DATA_PROPERTY_MASTER!$A$5:$A$200&lt;&gt;"")*IF($C46="Included source errors",--(DATA_PROPERTY_MASTER!$E$5:$E$200="Yes"),--(DATA_PROPERTY_MASTER!$E$5:$E$200&lt;&gt;"Yes"))*--ISERROR(INDIRECT("'"&amp;DATA_PROPERTY_MASTER!$A$5:$A$200&amp;"'!"&amp;SUBSTITUTE(ADDRESS(1,COLUMN(H$5)+1,4),"1","")&amp;$B46)),0))</f>
        <v>0</v>
      </c>
      <c r="I46" s="350">
        <f ca="1">SUMPRODUCT(IFERROR((DATA_PROPERTY_MASTER!$A$5:$A$200&lt;&gt;"")*IF($C46="Included source errors",--(DATA_PROPERTY_MASTER!$E$5:$E$200="Yes"),--(DATA_PROPERTY_MASTER!$E$5:$E$200&lt;&gt;"Yes"))*--ISERROR(INDIRECT("'"&amp;DATA_PROPERTY_MASTER!$A$5:$A$200&amp;"'!"&amp;SUBSTITUTE(ADDRESS(1,COLUMN(I$5)+1,4),"1","")&amp;$B46)),0))</f>
        <v>0</v>
      </c>
      <c r="J46" s="350">
        <f ca="1">SUMPRODUCT(IFERROR((DATA_PROPERTY_MASTER!$A$5:$A$200&lt;&gt;"")*IF($C46="Included source errors",--(DATA_PROPERTY_MASTER!$E$5:$E$200="Yes"),--(DATA_PROPERTY_MASTER!$E$5:$E$200&lt;&gt;"Yes"))*--ISERROR(INDIRECT("'"&amp;DATA_PROPERTY_MASTER!$A$5:$A$200&amp;"'!"&amp;SUBSTITUTE(ADDRESS(1,COLUMN(J$5)+1,4),"1","")&amp;$B46)),0))</f>
        <v>0</v>
      </c>
      <c r="K46" s="350">
        <f ca="1">SUMPRODUCT(IFERROR((DATA_PROPERTY_MASTER!$A$5:$A$200&lt;&gt;"")*IF($C46="Included source errors",--(DATA_PROPERTY_MASTER!$E$5:$E$200="Yes"),--(DATA_PROPERTY_MASTER!$E$5:$E$200&lt;&gt;"Yes"))*--ISERROR(INDIRECT("'"&amp;DATA_PROPERTY_MASTER!$A$5:$A$200&amp;"'!"&amp;SUBSTITUTE(ADDRESS(1,COLUMN(K$5)+1,4),"1","")&amp;$B46)),0))</f>
        <v>0</v>
      </c>
      <c r="L46" s="350">
        <f ca="1">SUMPRODUCT(IFERROR((DATA_PROPERTY_MASTER!$A$5:$A$200&lt;&gt;"")*IF($C46="Included source errors",--(DATA_PROPERTY_MASTER!$E$5:$E$200="Yes"),--(DATA_PROPERTY_MASTER!$E$5:$E$200&lt;&gt;"Yes"))*--ISERROR(INDIRECT("'"&amp;DATA_PROPERTY_MASTER!$A$5:$A$200&amp;"'!"&amp;SUBSTITUTE(ADDRESS(1,COLUMN(L$5)+1,4),"1","")&amp;$B46)),0))</f>
        <v>0</v>
      </c>
      <c r="M46" s="350">
        <f ca="1">SUMPRODUCT(IFERROR((DATA_PROPERTY_MASTER!$A$5:$A$200&lt;&gt;"")*IF($C46="Included source errors",--(DATA_PROPERTY_MASTER!$E$5:$E$200="Yes"),--(DATA_PROPERTY_MASTER!$E$5:$E$200&lt;&gt;"Yes"))*--ISERROR(INDIRECT("'"&amp;DATA_PROPERTY_MASTER!$A$5:$A$200&amp;"'!"&amp;SUBSTITUTE(ADDRESS(1,COLUMN(M$5)+1,4),"1","")&amp;$B46)),0))</f>
        <v>0</v>
      </c>
      <c r="N46" s="350">
        <f ca="1">SUMPRODUCT(IFERROR((DATA_PROPERTY_MASTER!$A$5:$A$200&lt;&gt;"")*IF($C46="Included source errors",--(DATA_PROPERTY_MASTER!$E$5:$E$200="Yes"),--(DATA_PROPERTY_MASTER!$E$5:$E$200&lt;&gt;"Yes"))*--ISERROR(INDIRECT("'"&amp;DATA_PROPERTY_MASTER!$A$5:$A$200&amp;"'!"&amp;SUBSTITUTE(ADDRESS(1,COLUMN(N$5)+1,4),"1","")&amp;$B46)),0))</f>
        <v>0</v>
      </c>
      <c r="O46" s="350">
        <f ca="1">SUMPRODUCT(IFERROR((DATA_PROPERTY_MASTER!$A$5:$A$200&lt;&gt;"")*IF($C46="Included source errors",--(DATA_PROPERTY_MASTER!$E$5:$E$200="Yes"),--(DATA_PROPERTY_MASTER!$E$5:$E$200&lt;&gt;"Yes"))*--ISERROR(INDIRECT("'"&amp;DATA_PROPERTY_MASTER!$A$5:$A$200&amp;"'!"&amp;SUBSTITUTE(ADDRESS(1,COLUMN(O$5)+1,4),"1","")&amp;$B46)),0))</f>
        <v>0</v>
      </c>
      <c r="P46" s="350">
        <f ca="1">SUMPRODUCT(IFERROR((DATA_PROPERTY_MASTER!$A$5:$A$200&lt;&gt;"")*IF($C46="Included source errors",--(DATA_PROPERTY_MASTER!$E$5:$E$200="Yes"),--(DATA_PROPERTY_MASTER!$E$5:$E$200&lt;&gt;"Yes"))*--ISERROR(INDIRECT("'"&amp;DATA_PROPERTY_MASTER!$A$5:$A$200&amp;"'!"&amp;SUBSTITUTE(ADDRESS(1,COLUMN(P$5)+1,4),"1","")&amp;$B46)),0))</f>
        <v>0</v>
      </c>
      <c r="Q46" s="350">
        <f ca="1">SUMPRODUCT(IFERROR((DATA_PROPERTY_MASTER!$A$5:$A$200&lt;&gt;"")*IF($C46="Included source errors",--(DATA_PROPERTY_MASTER!$E$5:$E$200="Yes"),--(DATA_PROPERTY_MASTER!$E$5:$E$200&lt;&gt;"Yes"))*--ISERROR(INDIRECT("'"&amp;DATA_PROPERTY_MASTER!$A$5:$A$200&amp;"'!"&amp;SUBSTITUTE(ADDRESS(1,COLUMN(Q$5)+1,4),"1","")&amp;$B46)),0))</f>
        <v>0</v>
      </c>
      <c r="R46" s="350">
        <f ca="1">SUMPRODUCT(IFERROR((DATA_PROPERTY_MASTER!$A$5:$A$200&lt;&gt;"")*IF($C46="Included source errors",--(DATA_PROPERTY_MASTER!$E$5:$E$200="Yes"),--(DATA_PROPERTY_MASTER!$E$5:$E$200&lt;&gt;"Yes"))*--ISERROR(INDIRECT("'"&amp;DATA_PROPERTY_MASTER!$A$5:$A$200&amp;"'!"&amp;SUBSTITUTE(ADDRESS(1,COLUMN(R$5)+1,4),"1","")&amp;$B46)),0))</f>
        <v>0</v>
      </c>
      <c r="S46" s="350">
        <f ca="1">SUMPRODUCT(IFERROR((DATA_PROPERTY_MASTER!$A$5:$A$200&lt;&gt;"")*IF($C46="Included source errors",--(DATA_PROPERTY_MASTER!$E$5:$E$200="Yes"),--(DATA_PROPERTY_MASTER!$E$5:$E$200&lt;&gt;"Yes"))*--ISERROR(INDIRECT("'"&amp;DATA_PROPERTY_MASTER!$A$5:$A$200&amp;"'!"&amp;SUBSTITUTE(ADDRESS(1,COLUMN(S$5)+1,4),"1","")&amp;$B46)),0))</f>
        <v>0</v>
      </c>
      <c r="T46" s="350">
        <f ca="1">SUMPRODUCT(IFERROR((DATA_PROPERTY_MASTER!$A$5:$A$200&lt;&gt;"")*IF($C46="Included source errors",--(DATA_PROPERTY_MASTER!$E$5:$E$200="Yes"),--(DATA_PROPERTY_MASTER!$E$5:$E$200&lt;&gt;"Yes"))*--ISERROR(INDIRECT("'"&amp;DATA_PROPERTY_MASTER!$A$5:$A$200&amp;"'!"&amp;SUBSTITUTE(ADDRESS(1,COLUMN(T$5)+1,4),"1","")&amp;$B46)),0))</f>
        <v>0</v>
      </c>
      <c r="U46" s="350">
        <f ca="1">SUMPRODUCT(IFERROR((DATA_PROPERTY_MASTER!$A$5:$A$200&lt;&gt;"")*IF($C46="Included source errors",--(DATA_PROPERTY_MASTER!$E$5:$E$200="Yes"),--(DATA_PROPERTY_MASTER!$E$5:$E$200&lt;&gt;"Yes"))*--ISERROR(INDIRECT("'"&amp;DATA_PROPERTY_MASTER!$A$5:$A$200&amp;"'!"&amp;SUBSTITUTE(ADDRESS(1,COLUMN(U$5)+1,4),"1","")&amp;$B46)),0))</f>
        <v>0</v>
      </c>
      <c r="V46" s="350">
        <f ca="1">SUMPRODUCT(IFERROR((DATA_PROPERTY_MASTER!$A$5:$A$200&lt;&gt;"")*IF($C46="Included source errors",--(DATA_PROPERTY_MASTER!$E$5:$E$200="Yes"),--(DATA_PROPERTY_MASTER!$E$5:$E$200&lt;&gt;"Yes"))*--ISERROR(INDIRECT("'"&amp;DATA_PROPERTY_MASTER!$A$5:$A$200&amp;"'!"&amp;SUBSTITUTE(ADDRESS(1,COLUMN(V$5)+1,4),"1","")&amp;$B46)),0))</f>
        <v>0</v>
      </c>
      <c r="W46" s="350">
        <f ca="1">SUMPRODUCT(IFERROR((DATA_PROPERTY_MASTER!$A$5:$A$200&lt;&gt;"")*IF($C46="Included source errors",--(DATA_PROPERTY_MASTER!$E$5:$E$200="Yes"),--(DATA_PROPERTY_MASTER!$E$5:$E$200&lt;&gt;"Yes"))*--ISERROR(INDIRECT("'"&amp;DATA_PROPERTY_MASTER!$A$5:$A$200&amp;"'!"&amp;SUBSTITUTE(ADDRESS(1,COLUMN(W$5)+1,4),"1","")&amp;$B46)),0))</f>
        <v>0</v>
      </c>
      <c r="X46" s="350">
        <f ca="1">SUMPRODUCT(IFERROR((DATA_PROPERTY_MASTER!$A$5:$A$200&lt;&gt;"")*IF($C46="Included source errors",--(DATA_PROPERTY_MASTER!$E$5:$E$200="Yes"),--(DATA_PROPERTY_MASTER!$E$5:$E$200&lt;&gt;"Yes"))*--ISERROR(INDIRECT("'"&amp;DATA_PROPERTY_MASTER!$A$5:$A$200&amp;"'!"&amp;SUBSTITUTE(ADDRESS(1,COLUMN(X$5)+1,4),"1","")&amp;$B46)),0))</f>
        <v>0</v>
      </c>
      <c r="Y46" s="350">
        <f t="shared" ca="1" si="1"/>
        <v>0</v>
      </c>
      <c r="Z46" s="382" t="s">
        <v>7467</v>
      </c>
    </row>
    <row r="47" spans="1:26" ht="30">
      <c r="A47" s="382" t="s">
        <v>358</v>
      </c>
      <c r="B47" s="382">
        <v>44</v>
      </c>
      <c r="C47" s="382" t="s">
        <v>1563</v>
      </c>
      <c r="D47" s="350">
        <f ca="1">SUMPRODUCT(IFERROR((DATA_PROPERTY_MASTER!$A$5:$A$200&lt;&gt;"")*IF($C47="Included source errors",--(DATA_PROPERTY_MASTER!$E$5:$E$200="Yes"),--(DATA_PROPERTY_MASTER!$E$5:$E$200&lt;&gt;"Yes"))*--ISERROR(INDIRECT("'"&amp;DATA_PROPERTY_MASTER!$A$5:$A$200&amp;"'!"&amp;SUBSTITUTE(ADDRESS(1,COLUMN(D$5)+1,4),"1","")&amp;$B47)),0))</f>
        <v>0</v>
      </c>
      <c r="E47" s="350">
        <f ca="1">SUMPRODUCT(IFERROR((DATA_PROPERTY_MASTER!$A$5:$A$200&lt;&gt;"")*IF($C47="Included source errors",--(DATA_PROPERTY_MASTER!$E$5:$E$200="Yes"),--(DATA_PROPERTY_MASTER!$E$5:$E$200&lt;&gt;"Yes"))*--ISERROR(INDIRECT("'"&amp;DATA_PROPERTY_MASTER!$A$5:$A$200&amp;"'!"&amp;SUBSTITUTE(ADDRESS(1,COLUMN(E$5)+1,4),"1","")&amp;$B47)),0))</f>
        <v>0</v>
      </c>
      <c r="F47" s="350">
        <f ca="1">SUMPRODUCT(IFERROR((DATA_PROPERTY_MASTER!$A$5:$A$200&lt;&gt;"")*IF($C47="Included source errors",--(DATA_PROPERTY_MASTER!$E$5:$E$200="Yes"),--(DATA_PROPERTY_MASTER!$E$5:$E$200&lt;&gt;"Yes"))*--ISERROR(INDIRECT("'"&amp;DATA_PROPERTY_MASTER!$A$5:$A$200&amp;"'!"&amp;SUBSTITUTE(ADDRESS(1,COLUMN(F$5)+1,4),"1","")&amp;$B47)),0))</f>
        <v>0</v>
      </c>
      <c r="G47" s="350">
        <f ca="1">SUMPRODUCT(IFERROR((DATA_PROPERTY_MASTER!$A$5:$A$200&lt;&gt;"")*IF($C47="Included source errors",--(DATA_PROPERTY_MASTER!$E$5:$E$200="Yes"),--(DATA_PROPERTY_MASTER!$E$5:$E$200&lt;&gt;"Yes"))*--ISERROR(INDIRECT("'"&amp;DATA_PROPERTY_MASTER!$A$5:$A$200&amp;"'!"&amp;SUBSTITUTE(ADDRESS(1,COLUMN(G$5)+1,4),"1","")&amp;$B47)),0))</f>
        <v>0</v>
      </c>
      <c r="H47" s="350">
        <f ca="1">SUMPRODUCT(IFERROR((DATA_PROPERTY_MASTER!$A$5:$A$200&lt;&gt;"")*IF($C47="Included source errors",--(DATA_PROPERTY_MASTER!$E$5:$E$200="Yes"),--(DATA_PROPERTY_MASTER!$E$5:$E$200&lt;&gt;"Yes"))*--ISERROR(INDIRECT("'"&amp;DATA_PROPERTY_MASTER!$A$5:$A$200&amp;"'!"&amp;SUBSTITUTE(ADDRESS(1,COLUMN(H$5)+1,4),"1","")&amp;$B47)),0))</f>
        <v>0</v>
      </c>
      <c r="I47" s="350">
        <f ca="1">SUMPRODUCT(IFERROR((DATA_PROPERTY_MASTER!$A$5:$A$200&lt;&gt;"")*IF($C47="Included source errors",--(DATA_PROPERTY_MASTER!$E$5:$E$200="Yes"),--(DATA_PROPERTY_MASTER!$E$5:$E$200&lt;&gt;"Yes"))*--ISERROR(INDIRECT("'"&amp;DATA_PROPERTY_MASTER!$A$5:$A$200&amp;"'!"&amp;SUBSTITUTE(ADDRESS(1,COLUMN(I$5)+1,4),"1","")&amp;$B47)),0))</f>
        <v>0</v>
      </c>
      <c r="J47" s="350">
        <f ca="1">SUMPRODUCT(IFERROR((DATA_PROPERTY_MASTER!$A$5:$A$200&lt;&gt;"")*IF($C47="Included source errors",--(DATA_PROPERTY_MASTER!$E$5:$E$200="Yes"),--(DATA_PROPERTY_MASTER!$E$5:$E$200&lt;&gt;"Yes"))*--ISERROR(INDIRECT("'"&amp;DATA_PROPERTY_MASTER!$A$5:$A$200&amp;"'!"&amp;SUBSTITUTE(ADDRESS(1,COLUMN(J$5)+1,4),"1","")&amp;$B47)),0))</f>
        <v>0</v>
      </c>
      <c r="K47" s="350">
        <f ca="1">SUMPRODUCT(IFERROR((DATA_PROPERTY_MASTER!$A$5:$A$200&lt;&gt;"")*IF($C47="Included source errors",--(DATA_PROPERTY_MASTER!$E$5:$E$200="Yes"),--(DATA_PROPERTY_MASTER!$E$5:$E$200&lt;&gt;"Yes"))*--ISERROR(INDIRECT("'"&amp;DATA_PROPERTY_MASTER!$A$5:$A$200&amp;"'!"&amp;SUBSTITUTE(ADDRESS(1,COLUMN(K$5)+1,4),"1","")&amp;$B47)),0))</f>
        <v>0</v>
      </c>
      <c r="L47" s="350">
        <f ca="1">SUMPRODUCT(IFERROR((DATA_PROPERTY_MASTER!$A$5:$A$200&lt;&gt;"")*IF($C47="Included source errors",--(DATA_PROPERTY_MASTER!$E$5:$E$200="Yes"),--(DATA_PROPERTY_MASTER!$E$5:$E$200&lt;&gt;"Yes"))*--ISERROR(INDIRECT("'"&amp;DATA_PROPERTY_MASTER!$A$5:$A$200&amp;"'!"&amp;SUBSTITUTE(ADDRESS(1,COLUMN(L$5)+1,4),"1","")&amp;$B47)),0))</f>
        <v>0</v>
      </c>
      <c r="M47" s="350">
        <f ca="1">SUMPRODUCT(IFERROR((DATA_PROPERTY_MASTER!$A$5:$A$200&lt;&gt;"")*IF($C47="Included source errors",--(DATA_PROPERTY_MASTER!$E$5:$E$200="Yes"),--(DATA_PROPERTY_MASTER!$E$5:$E$200&lt;&gt;"Yes"))*--ISERROR(INDIRECT("'"&amp;DATA_PROPERTY_MASTER!$A$5:$A$200&amp;"'!"&amp;SUBSTITUTE(ADDRESS(1,COLUMN(M$5)+1,4),"1","")&amp;$B47)),0))</f>
        <v>0</v>
      </c>
      <c r="N47" s="350">
        <f ca="1">SUMPRODUCT(IFERROR((DATA_PROPERTY_MASTER!$A$5:$A$200&lt;&gt;"")*IF($C47="Included source errors",--(DATA_PROPERTY_MASTER!$E$5:$E$200="Yes"),--(DATA_PROPERTY_MASTER!$E$5:$E$200&lt;&gt;"Yes"))*--ISERROR(INDIRECT("'"&amp;DATA_PROPERTY_MASTER!$A$5:$A$200&amp;"'!"&amp;SUBSTITUTE(ADDRESS(1,COLUMN(N$5)+1,4),"1","")&amp;$B47)),0))</f>
        <v>0</v>
      </c>
      <c r="O47" s="350">
        <f ca="1">SUMPRODUCT(IFERROR((DATA_PROPERTY_MASTER!$A$5:$A$200&lt;&gt;"")*IF($C47="Included source errors",--(DATA_PROPERTY_MASTER!$E$5:$E$200="Yes"),--(DATA_PROPERTY_MASTER!$E$5:$E$200&lt;&gt;"Yes"))*--ISERROR(INDIRECT("'"&amp;DATA_PROPERTY_MASTER!$A$5:$A$200&amp;"'!"&amp;SUBSTITUTE(ADDRESS(1,COLUMN(O$5)+1,4),"1","")&amp;$B47)),0))</f>
        <v>0</v>
      </c>
      <c r="P47" s="350">
        <f ca="1">SUMPRODUCT(IFERROR((DATA_PROPERTY_MASTER!$A$5:$A$200&lt;&gt;"")*IF($C47="Included source errors",--(DATA_PROPERTY_MASTER!$E$5:$E$200="Yes"),--(DATA_PROPERTY_MASTER!$E$5:$E$200&lt;&gt;"Yes"))*--ISERROR(INDIRECT("'"&amp;DATA_PROPERTY_MASTER!$A$5:$A$200&amp;"'!"&amp;SUBSTITUTE(ADDRESS(1,COLUMN(P$5)+1,4),"1","")&amp;$B47)),0))</f>
        <v>0</v>
      </c>
      <c r="Q47" s="350">
        <f ca="1">SUMPRODUCT(IFERROR((DATA_PROPERTY_MASTER!$A$5:$A$200&lt;&gt;"")*IF($C47="Included source errors",--(DATA_PROPERTY_MASTER!$E$5:$E$200="Yes"),--(DATA_PROPERTY_MASTER!$E$5:$E$200&lt;&gt;"Yes"))*--ISERROR(INDIRECT("'"&amp;DATA_PROPERTY_MASTER!$A$5:$A$200&amp;"'!"&amp;SUBSTITUTE(ADDRESS(1,COLUMN(Q$5)+1,4),"1","")&amp;$B47)),0))</f>
        <v>0</v>
      </c>
      <c r="R47" s="350">
        <f ca="1">SUMPRODUCT(IFERROR((DATA_PROPERTY_MASTER!$A$5:$A$200&lt;&gt;"")*IF($C47="Included source errors",--(DATA_PROPERTY_MASTER!$E$5:$E$200="Yes"),--(DATA_PROPERTY_MASTER!$E$5:$E$200&lt;&gt;"Yes"))*--ISERROR(INDIRECT("'"&amp;DATA_PROPERTY_MASTER!$A$5:$A$200&amp;"'!"&amp;SUBSTITUTE(ADDRESS(1,COLUMN(R$5)+1,4),"1","")&amp;$B47)),0))</f>
        <v>0</v>
      </c>
      <c r="S47" s="350">
        <f ca="1">SUMPRODUCT(IFERROR((DATA_PROPERTY_MASTER!$A$5:$A$200&lt;&gt;"")*IF($C47="Included source errors",--(DATA_PROPERTY_MASTER!$E$5:$E$200="Yes"),--(DATA_PROPERTY_MASTER!$E$5:$E$200&lt;&gt;"Yes"))*--ISERROR(INDIRECT("'"&amp;DATA_PROPERTY_MASTER!$A$5:$A$200&amp;"'!"&amp;SUBSTITUTE(ADDRESS(1,COLUMN(S$5)+1,4),"1","")&amp;$B47)),0))</f>
        <v>0</v>
      </c>
      <c r="T47" s="350">
        <f ca="1">SUMPRODUCT(IFERROR((DATA_PROPERTY_MASTER!$A$5:$A$200&lt;&gt;"")*IF($C47="Included source errors",--(DATA_PROPERTY_MASTER!$E$5:$E$200="Yes"),--(DATA_PROPERTY_MASTER!$E$5:$E$200&lt;&gt;"Yes"))*--ISERROR(INDIRECT("'"&amp;DATA_PROPERTY_MASTER!$A$5:$A$200&amp;"'!"&amp;SUBSTITUTE(ADDRESS(1,COLUMN(T$5)+1,4),"1","")&amp;$B47)),0))</f>
        <v>0</v>
      </c>
      <c r="U47" s="350">
        <f ca="1">SUMPRODUCT(IFERROR((DATA_PROPERTY_MASTER!$A$5:$A$200&lt;&gt;"")*IF($C47="Included source errors",--(DATA_PROPERTY_MASTER!$E$5:$E$200="Yes"),--(DATA_PROPERTY_MASTER!$E$5:$E$200&lt;&gt;"Yes"))*--ISERROR(INDIRECT("'"&amp;DATA_PROPERTY_MASTER!$A$5:$A$200&amp;"'!"&amp;SUBSTITUTE(ADDRESS(1,COLUMN(U$5)+1,4),"1","")&amp;$B47)),0))</f>
        <v>0</v>
      </c>
      <c r="V47" s="350">
        <f ca="1">SUMPRODUCT(IFERROR((DATA_PROPERTY_MASTER!$A$5:$A$200&lt;&gt;"")*IF($C47="Included source errors",--(DATA_PROPERTY_MASTER!$E$5:$E$200="Yes"),--(DATA_PROPERTY_MASTER!$E$5:$E$200&lt;&gt;"Yes"))*--ISERROR(INDIRECT("'"&amp;DATA_PROPERTY_MASTER!$A$5:$A$200&amp;"'!"&amp;SUBSTITUTE(ADDRESS(1,COLUMN(V$5)+1,4),"1","")&amp;$B47)),0))</f>
        <v>0</v>
      </c>
      <c r="W47" s="350">
        <f ca="1">SUMPRODUCT(IFERROR((DATA_PROPERTY_MASTER!$A$5:$A$200&lt;&gt;"")*IF($C47="Included source errors",--(DATA_PROPERTY_MASTER!$E$5:$E$200="Yes"),--(DATA_PROPERTY_MASTER!$E$5:$E$200&lt;&gt;"Yes"))*--ISERROR(INDIRECT("'"&amp;DATA_PROPERTY_MASTER!$A$5:$A$200&amp;"'!"&amp;SUBSTITUTE(ADDRESS(1,COLUMN(W$5)+1,4),"1","")&amp;$B47)),0))</f>
        <v>0</v>
      </c>
      <c r="X47" s="350">
        <f ca="1">SUMPRODUCT(IFERROR((DATA_PROPERTY_MASTER!$A$5:$A$200&lt;&gt;"")*IF($C47="Included source errors",--(DATA_PROPERTY_MASTER!$E$5:$E$200="Yes"),--(DATA_PROPERTY_MASTER!$E$5:$E$200&lt;&gt;"Yes"))*--ISERROR(INDIRECT("'"&amp;DATA_PROPERTY_MASTER!$A$5:$A$200&amp;"'!"&amp;SUBSTITUTE(ADDRESS(1,COLUMN(X$5)+1,4),"1","")&amp;$B47)),0))</f>
        <v>0</v>
      </c>
      <c r="Y47" s="350">
        <f t="shared" ca="1" si="1"/>
        <v>0</v>
      </c>
      <c r="Z47" s="382" t="s">
        <v>7467</v>
      </c>
    </row>
    <row r="48" spans="1:26" ht="30">
      <c r="A48" s="382" t="s">
        <v>361</v>
      </c>
      <c r="B48" s="382">
        <v>48</v>
      </c>
      <c r="C48" s="382" t="s">
        <v>1560</v>
      </c>
      <c r="D48" s="350">
        <f ca="1">SUMPRODUCT(IFERROR((DATA_PROPERTY_MASTER!$A$5:$A$200&lt;&gt;"")*IF($C48="Included source errors",--(DATA_PROPERTY_MASTER!$E$5:$E$200="Yes"),--(DATA_PROPERTY_MASTER!$E$5:$E$200&lt;&gt;"Yes"))*--ISERROR(INDIRECT("'"&amp;DATA_PROPERTY_MASTER!$A$5:$A$200&amp;"'!"&amp;SUBSTITUTE(ADDRESS(1,COLUMN(D$5)+1,4),"1","")&amp;$B48)),0))</f>
        <v>0</v>
      </c>
      <c r="E48" s="350">
        <f ca="1">SUMPRODUCT(IFERROR((DATA_PROPERTY_MASTER!$A$5:$A$200&lt;&gt;"")*IF($C48="Included source errors",--(DATA_PROPERTY_MASTER!$E$5:$E$200="Yes"),--(DATA_PROPERTY_MASTER!$E$5:$E$200&lt;&gt;"Yes"))*--ISERROR(INDIRECT("'"&amp;DATA_PROPERTY_MASTER!$A$5:$A$200&amp;"'!"&amp;SUBSTITUTE(ADDRESS(1,COLUMN(E$5)+1,4),"1","")&amp;$B48)),0))</f>
        <v>0</v>
      </c>
      <c r="F48" s="350">
        <f ca="1">SUMPRODUCT(IFERROR((DATA_PROPERTY_MASTER!$A$5:$A$200&lt;&gt;"")*IF($C48="Included source errors",--(DATA_PROPERTY_MASTER!$E$5:$E$200="Yes"),--(DATA_PROPERTY_MASTER!$E$5:$E$200&lt;&gt;"Yes"))*--ISERROR(INDIRECT("'"&amp;DATA_PROPERTY_MASTER!$A$5:$A$200&amp;"'!"&amp;SUBSTITUTE(ADDRESS(1,COLUMN(F$5)+1,4),"1","")&amp;$B48)),0))</f>
        <v>0</v>
      </c>
      <c r="G48" s="350">
        <f ca="1">SUMPRODUCT(IFERROR((DATA_PROPERTY_MASTER!$A$5:$A$200&lt;&gt;"")*IF($C48="Included source errors",--(DATA_PROPERTY_MASTER!$E$5:$E$200="Yes"),--(DATA_PROPERTY_MASTER!$E$5:$E$200&lt;&gt;"Yes"))*--ISERROR(INDIRECT("'"&amp;DATA_PROPERTY_MASTER!$A$5:$A$200&amp;"'!"&amp;SUBSTITUTE(ADDRESS(1,COLUMN(G$5)+1,4),"1","")&amp;$B48)),0))</f>
        <v>0</v>
      </c>
      <c r="H48" s="350">
        <f ca="1">SUMPRODUCT(IFERROR((DATA_PROPERTY_MASTER!$A$5:$A$200&lt;&gt;"")*IF($C48="Included source errors",--(DATA_PROPERTY_MASTER!$E$5:$E$200="Yes"),--(DATA_PROPERTY_MASTER!$E$5:$E$200&lt;&gt;"Yes"))*--ISERROR(INDIRECT("'"&amp;DATA_PROPERTY_MASTER!$A$5:$A$200&amp;"'!"&amp;SUBSTITUTE(ADDRESS(1,COLUMN(H$5)+1,4),"1","")&amp;$B48)),0))</f>
        <v>0</v>
      </c>
      <c r="I48" s="350">
        <f ca="1">SUMPRODUCT(IFERROR((DATA_PROPERTY_MASTER!$A$5:$A$200&lt;&gt;"")*IF($C48="Included source errors",--(DATA_PROPERTY_MASTER!$E$5:$E$200="Yes"),--(DATA_PROPERTY_MASTER!$E$5:$E$200&lt;&gt;"Yes"))*--ISERROR(INDIRECT("'"&amp;DATA_PROPERTY_MASTER!$A$5:$A$200&amp;"'!"&amp;SUBSTITUTE(ADDRESS(1,COLUMN(I$5)+1,4),"1","")&amp;$B48)),0))</f>
        <v>0</v>
      </c>
      <c r="J48" s="350">
        <f ca="1">SUMPRODUCT(IFERROR((DATA_PROPERTY_MASTER!$A$5:$A$200&lt;&gt;"")*IF($C48="Included source errors",--(DATA_PROPERTY_MASTER!$E$5:$E$200="Yes"),--(DATA_PROPERTY_MASTER!$E$5:$E$200&lt;&gt;"Yes"))*--ISERROR(INDIRECT("'"&amp;DATA_PROPERTY_MASTER!$A$5:$A$200&amp;"'!"&amp;SUBSTITUTE(ADDRESS(1,COLUMN(J$5)+1,4),"1","")&amp;$B48)),0))</f>
        <v>0</v>
      </c>
      <c r="K48" s="350">
        <f ca="1">SUMPRODUCT(IFERROR((DATA_PROPERTY_MASTER!$A$5:$A$200&lt;&gt;"")*IF($C48="Included source errors",--(DATA_PROPERTY_MASTER!$E$5:$E$200="Yes"),--(DATA_PROPERTY_MASTER!$E$5:$E$200&lt;&gt;"Yes"))*--ISERROR(INDIRECT("'"&amp;DATA_PROPERTY_MASTER!$A$5:$A$200&amp;"'!"&amp;SUBSTITUTE(ADDRESS(1,COLUMN(K$5)+1,4),"1","")&amp;$B48)),0))</f>
        <v>0</v>
      </c>
      <c r="L48" s="350">
        <f ca="1">SUMPRODUCT(IFERROR((DATA_PROPERTY_MASTER!$A$5:$A$200&lt;&gt;"")*IF($C48="Included source errors",--(DATA_PROPERTY_MASTER!$E$5:$E$200="Yes"),--(DATA_PROPERTY_MASTER!$E$5:$E$200&lt;&gt;"Yes"))*--ISERROR(INDIRECT("'"&amp;DATA_PROPERTY_MASTER!$A$5:$A$200&amp;"'!"&amp;SUBSTITUTE(ADDRESS(1,COLUMN(L$5)+1,4),"1","")&amp;$B48)),0))</f>
        <v>0</v>
      </c>
      <c r="M48" s="350">
        <f ca="1">SUMPRODUCT(IFERROR((DATA_PROPERTY_MASTER!$A$5:$A$200&lt;&gt;"")*IF($C48="Included source errors",--(DATA_PROPERTY_MASTER!$E$5:$E$200="Yes"),--(DATA_PROPERTY_MASTER!$E$5:$E$200&lt;&gt;"Yes"))*--ISERROR(INDIRECT("'"&amp;DATA_PROPERTY_MASTER!$A$5:$A$200&amp;"'!"&amp;SUBSTITUTE(ADDRESS(1,COLUMN(M$5)+1,4),"1","")&amp;$B48)),0))</f>
        <v>0</v>
      </c>
      <c r="N48" s="350">
        <f ca="1">SUMPRODUCT(IFERROR((DATA_PROPERTY_MASTER!$A$5:$A$200&lt;&gt;"")*IF($C48="Included source errors",--(DATA_PROPERTY_MASTER!$E$5:$E$200="Yes"),--(DATA_PROPERTY_MASTER!$E$5:$E$200&lt;&gt;"Yes"))*--ISERROR(INDIRECT("'"&amp;DATA_PROPERTY_MASTER!$A$5:$A$200&amp;"'!"&amp;SUBSTITUTE(ADDRESS(1,COLUMN(N$5)+1,4),"1","")&amp;$B48)),0))</f>
        <v>0</v>
      </c>
      <c r="O48" s="350">
        <f ca="1">SUMPRODUCT(IFERROR((DATA_PROPERTY_MASTER!$A$5:$A$200&lt;&gt;"")*IF($C48="Included source errors",--(DATA_PROPERTY_MASTER!$E$5:$E$200="Yes"),--(DATA_PROPERTY_MASTER!$E$5:$E$200&lt;&gt;"Yes"))*--ISERROR(INDIRECT("'"&amp;DATA_PROPERTY_MASTER!$A$5:$A$200&amp;"'!"&amp;SUBSTITUTE(ADDRESS(1,COLUMN(O$5)+1,4),"1","")&amp;$B48)),0))</f>
        <v>0</v>
      </c>
      <c r="P48" s="350">
        <f ca="1">SUMPRODUCT(IFERROR((DATA_PROPERTY_MASTER!$A$5:$A$200&lt;&gt;"")*IF($C48="Included source errors",--(DATA_PROPERTY_MASTER!$E$5:$E$200="Yes"),--(DATA_PROPERTY_MASTER!$E$5:$E$200&lt;&gt;"Yes"))*--ISERROR(INDIRECT("'"&amp;DATA_PROPERTY_MASTER!$A$5:$A$200&amp;"'!"&amp;SUBSTITUTE(ADDRESS(1,COLUMN(P$5)+1,4),"1","")&amp;$B48)),0))</f>
        <v>0</v>
      </c>
      <c r="Q48" s="350">
        <f ca="1">SUMPRODUCT(IFERROR((DATA_PROPERTY_MASTER!$A$5:$A$200&lt;&gt;"")*IF($C48="Included source errors",--(DATA_PROPERTY_MASTER!$E$5:$E$200="Yes"),--(DATA_PROPERTY_MASTER!$E$5:$E$200&lt;&gt;"Yes"))*--ISERROR(INDIRECT("'"&amp;DATA_PROPERTY_MASTER!$A$5:$A$200&amp;"'!"&amp;SUBSTITUTE(ADDRESS(1,COLUMN(Q$5)+1,4),"1","")&amp;$B48)),0))</f>
        <v>0</v>
      </c>
      <c r="R48" s="350">
        <f ca="1">SUMPRODUCT(IFERROR((DATA_PROPERTY_MASTER!$A$5:$A$200&lt;&gt;"")*IF($C48="Included source errors",--(DATA_PROPERTY_MASTER!$E$5:$E$200="Yes"),--(DATA_PROPERTY_MASTER!$E$5:$E$200&lt;&gt;"Yes"))*--ISERROR(INDIRECT("'"&amp;DATA_PROPERTY_MASTER!$A$5:$A$200&amp;"'!"&amp;SUBSTITUTE(ADDRESS(1,COLUMN(R$5)+1,4),"1","")&amp;$B48)),0))</f>
        <v>0</v>
      </c>
      <c r="S48" s="350">
        <f ca="1">SUMPRODUCT(IFERROR((DATA_PROPERTY_MASTER!$A$5:$A$200&lt;&gt;"")*IF($C48="Included source errors",--(DATA_PROPERTY_MASTER!$E$5:$E$200="Yes"),--(DATA_PROPERTY_MASTER!$E$5:$E$200&lt;&gt;"Yes"))*--ISERROR(INDIRECT("'"&amp;DATA_PROPERTY_MASTER!$A$5:$A$200&amp;"'!"&amp;SUBSTITUTE(ADDRESS(1,COLUMN(S$5)+1,4),"1","")&amp;$B48)),0))</f>
        <v>0</v>
      </c>
      <c r="T48" s="350">
        <f ca="1">SUMPRODUCT(IFERROR((DATA_PROPERTY_MASTER!$A$5:$A$200&lt;&gt;"")*IF($C48="Included source errors",--(DATA_PROPERTY_MASTER!$E$5:$E$200="Yes"),--(DATA_PROPERTY_MASTER!$E$5:$E$200&lt;&gt;"Yes"))*--ISERROR(INDIRECT("'"&amp;DATA_PROPERTY_MASTER!$A$5:$A$200&amp;"'!"&amp;SUBSTITUTE(ADDRESS(1,COLUMN(T$5)+1,4),"1","")&amp;$B48)),0))</f>
        <v>0</v>
      </c>
      <c r="U48" s="350">
        <f ca="1">SUMPRODUCT(IFERROR((DATA_PROPERTY_MASTER!$A$5:$A$200&lt;&gt;"")*IF($C48="Included source errors",--(DATA_PROPERTY_MASTER!$E$5:$E$200="Yes"),--(DATA_PROPERTY_MASTER!$E$5:$E$200&lt;&gt;"Yes"))*--ISERROR(INDIRECT("'"&amp;DATA_PROPERTY_MASTER!$A$5:$A$200&amp;"'!"&amp;SUBSTITUTE(ADDRESS(1,COLUMN(U$5)+1,4),"1","")&amp;$B48)),0))</f>
        <v>0</v>
      </c>
      <c r="V48" s="350">
        <f ca="1">SUMPRODUCT(IFERROR((DATA_PROPERTY_MASTER!$A$5:$A$200&lt;&gt;"")*IF($C48="Included source errors",--(DATA_PROPERTY_MASTER!$E$5:$E$200="Yes"),--(DATA_PROPERTY_MASTER!$E$5:$E$200&lt;&gt;"Yes"))*--ISERROR(INDIRECT("'"&amp;DATA_PROPERTY_MASTER!$A$5:$A$200&amp;"'!"&amp;SUBSTITUTE(ADDRESS(1,COLUMN(V$5)+1,4),"1","")&amp;$B48)),0))</f>
        <v>0</v>
      </c>
      <c r="W48" s="350">
        <f ca="1">SUMPRODUCT(IFERROR((DATA_PROPERTY_MASTER!$A$5:$A$200&lt;&gt;"")*IF($C48="Included source errors",--(DATA_PROPERTY_MASTER!$E$5:$E$200="Yes"),--(DATA_PROPERTY_MASTER!$E$5:$E$200&lt;&gt;"Yes"))*--ISERROR(INDIRECT("'"&amp;DATA_PROPERTY_MASTER!$A$5:$A$200&amp;"'!"&amp;SUBSTITUTE(ADDRESS(1,COLUMN(W$5)+1,4),"1","")&amp;$B48)),0))</f>
        <v>0</v>
      </c>
      <c r="X48" s="350">
        <f ca="1">SUMPRODUCT(IFERROR((DATA_PROPERTY_MASTER!$A$5:$A$200&lt;&gt;"")*IF($C48="Included source errors",--(DATA_PROPERTY_MASTER!$E$5:$E$200="Yes"),--(DATA_PROPERTY_MASTER!$E$5:$E$200&lt;&gt;"Yes"))*--ISERROR(INDIRECT("'"&amp;DATA_PROPERTY_MASTER!$A$5:$A$200&amp;"'!"&amp;SUBSTITUTE(ADDRESS(1,COLUMN(X$5)+1,4),"1","")&amp;$B48)),0))</f>
        <v>0</v>
      </c>
      <c r="Y48" s="350">
        <f t="shared" ca="1" si="1"/>
        <v>0</v>
      </c>
      <c r="Z48" s="382" t="s">
        <v>7467</v>
      </c>
    </row>
    <row r="49" spans="1:26" ht="30">
      <c r="A49" s="382" t="s">
        <v>361</v>
      </c>
      <c r="B49" s="382">
        <v>48</v>
      </c>
      <c r="C49" s="382" t="s">
        <v>1563</v>
      </c>
      <c r="D49" s="350">
        <f ca="1">SUMPRODUCT(IFERROR((DATA_PROPERTY_MASTER!$A$5:$A$200&lt;&gt;"")*IF($C49="Included source errors",--(DATA_PROPERTY_MASTER!$E$5:$E$200="Yes"),--(DATA_PROPERTY_MASTER!$E$5:$E$200&lt;&gt;"Yes"))*--ISERROR(INDIRECT("'"&amp;DATA_PROPERTY_MASTER!$A$5:$A$200&amp;"'!"&amp;SUBSTITUTE(ADDRESS(1,COLUMN(D$5)+1,4),"1","")&amp;$B49)),0))</f>
        <v>0</v>
      </c>
      <c r="E49" s="350">
        <f ca="1">SUMPRODUCT(IFERROR((DATA_PROPERTY_MASTER!$A$5:$A$200&lt;&gt;"")*IF($C49="Included source errors",--(DATA_PROPERTY_MASTER!$E$5:$E$200="Yes"),--(DATA_PROPERTY_MASTER!$E$5:$E$200&lt;&gt;"Yes"))*--ISERROR(INDIRECT("'"&amp;DATA_PROPERTY_MASTER!$A$5:$A$200&amp;"'!"&amp;SUBSTITUTE(ADDRESS(1,COLUMN(E$5)+1,4),"1","")&amp;$B49)),0))</f>
        <v>0</v>
      </c>
      <c r="F49" s="350">
        <f ca="1">SUMPRODUCT(IFERROR((DATA_PROPERTY_MASTER!$A$5:$A$200&lt;&gt;"")*IF($C49="Included source errors",--(DATA_PROPERTY_MASTER!$E$5:$E$200="Yes"),--(DATA_PROPERTY_MASTER!$E$5:$E$200&lt;&gt;"Yes"))*--ISERROR(INDIRECT("'"&amp;DATA_PROPERTY_MASTER!$A$5:$A$200&amp;"'!"&amp;SUBSTITUTE(ADDRESS(1,COLUMN(F$5)+1,4),"1","")&amp;$B49)),0))</f>
        <v>0</v>
      </c>
      <c r="G49" s="350">
        <f ca="1">SUMPRODUCT(IFERROR((DATA_PROPERTY_MASTER!$A$5:$A$200&lt;&gt;"")*IF($C49="Included source errors",--(DATA_PROPERTY_MASTER!$E$5:$E$200="Yes"),--(DATA_PROPERTY_MASTER!$E$5:$E$200&lt;&gt;"Yes"))*--ISERROR(INDIRECT("'"&amp;DATA_PROPERTY_MASTER!$A$5:$A$200&amp;"'!"&amp;SUBSTITUTE(ADDRESS(1,COLUMN(G$5)+1,4),"1","")&amp;$B49)),0))</f>
        <v>0</v>
      </c>
      <c r="H49" s="350">
        <f ca="1">SUMPRODUCT(IFERROR((DATA_PROPERTY_MASTER!$A$5:$A$200&lt;&gt;"")*IF($C49="Included source errors",--(DATA_PROPERTY_MASTER!$E$5:$E$200="Yes"),--(DATA_PROPERTY_MASTER!$E$5:$E$200&lt;&gt;"Yes"))*--ISERROR(INDIRECT("'"&amp;DATA_PROPERTY_MASTER!$A$5:$A$200&amp;"'!"&amp;SUBSTITUTE(ADDRESS(1,COLUMN(H$5)+1,4),"1","")&amp;$B49)),0))</f>
        <v>0</v>
      </c>
      <c r="I49" s="350">
        <f ca="1">SUMPRODUCT(IFERROR((DATA_PROPERTY_MASTER!$A$5:$A$200&lt;&gt;"")*IF($C49="Included source errors",--(DATA_PROPERTY_MASTER!$E$5:$E$200="Yes"),--(DATA_PROPERTY_MASTER!$E$5:$E$200&lt;&gt;"Yes"))*--ISERROR(INDIRECT("'"&amp;DATA_PROPERTY_MASTER!$A$5:$A$200&amp;"'!"&amp;SUBSTITUTE(ADDRESS(1,COLUMN(I$5)+1,4),"1","")&amp;$B49)),0))</f>
        <v>0</v>
      </c>
      <c r="J49" s="350">
        <f ca="1">SUMPRODUCT(IFERROR((DATA_PROPERTY_MASTER!$A$5:$A$200&lt;&gt;"")*IF($C49="Included source errors",--(DATA_PROPERTY_MASTER!$E$5:$E$200="Yes"),--(DATA_PROPERTY_MASTER!$E$5:$E$200&lt;&gt;"Yes"))*--ISERROR(INDIRECT("'"&amp;DATA_PROPERTY_MASTER!$A$5:$A$200&amp;"'!"&amp;SUBSTITUTE(ADDRESS(1,COLUMN(J$5)+1,4),"1","")&amp;$B49)),0))</f>
        <v>0</v>
      </c>
      <c r="K49" s="350">
        <f ca="1">SUMPRODUCT(IFERROR((DATA_PROPERTY_MASTER!$A$5:$A$200&lt;&gt;"")*IF($C49="Included source errors",--(DATA_PROPERTY_MASTER!$E$5:$E$200="Yes"),--(DATA_PROPERTY_MASTER!$E$5:$E$200&lt;&gt;"Yes"))*--ISERROR(INDIRECT("'"&amp;DATA_PROPERTY_MASTER!$A$5:$A$200&amp;"'!"&amp;SUBSTITUTE(ADDRESS(1,COLUMN(K$5)+1,4),"1","")&amp;$B49)),0))</f>
        <v>0</v>
      </c>
      <c r="L49" s="350">
        <f ca="1">SUMPRODUCT(IFERROR((DATA_PROPERTY_MASTER!$A$5:$A$200&lt;&gt;"")*IF($C49="Included source errors",--(DATA_PROPERTY_MASTER!$E$5:$E$200="Yes"),--(DATA_PROPERTY_MASTER!$E$5:$E$200&lt;&gt;"Yes"))*--ISERROR(INDIRECT("'"&amp;DATA_PROPERTY_MASTER!$A$5:$A$200&amp;"'!"&amp;SUBSTITUTE(ADDRESS(1,COLUMN(L$5)+1,4),"1","")&amp;$B49)),0))</f>
        <v>0</v>
      </c>
      <c r="M49" s="350">
        <f ca="1">SUMPRODUCT(IFERROR((DATA_PROPERTY_MASTER!$A$5:$A$200&lt;&gt;"")*IF($C49="Included source errors",--(DATA_PROPERTY_MASTER!$E$5:$E$200="Yes"),--(DATA_PROPERTY_MASTER!$E$5:$E$200&lt;&gt;"Yes"))*--ISERROR(INDIRECT("'"&amp;DATA_PROPERTY_MASTER!$A$5:$A$200&amp;"'!"&amp;SUBSTITUTE(ADDRESS(1,COLUMN(M$5)+1,4),"1","")&amp;$B49)),0))</f>
        <v>0</v>
      </c>
      <c r="N49" s="350">
        <f ca="1">SUMPRODUCT(IFERROR((DATA_PROPERTY_MASTER!$A$5:$A$200&lt;&gt;"")*IF($C49="Included source errors",--(DATA_PROPERTY_MASTER!$E$5:$E$200="Yes"),--(DATA_PROPERTY_MASTER!$E$5:$E$200&lt;&gt;"Yes"))*--ISERROR(INDIRECT("'"&amp;DATA_PROPERTY_MASTER!$A$5:$A$200&amp;"'!"&amp;SUBSTITUTE(ADDRESS(1,COLUMN(N$5)+1,4),"1","")&amp;$B49)),0))</f>
        <v>0</v>
      </c>
      <c r="O49" s="350">
        <f ca="1">SUMPRODUCT(IFERROR((DATA_PROPERTY_MASTER!$A$5:$A$200&lt;&gt;"")*IF($C49="Included source errors",--(DATA_PROPERTY_MASTER!$E$5:$E$200="Yes"),--(DATA_PROPERTY_MASTER!$E$5:$E$200&lt;&gt;"Yes"))*--ISERROR(INDIRECT("'"&amp;DATA_PROPERTY_MASTER!$A$5:$A$200&amp;"'!"&amp;SUBSTITUTE(ADDRESS(1,COLUMN(O$5)+1,4),"1","")&amp;$B49)),0))</f>
        <v>0</v>
      </c>
      <c r="P49" s="350">
        <f ca="1">SUMPRODUCT(IFERROR((DATA_PROPERTY_MASTER!$A$5:$A$200&lt;&gt;"")*IF($C49="Included source errors",--(DATA_PROPERTY_MASTER!$E$5:$E$200="Yes"),--(DATA_PROPERTY_MASTER!$E$5:$E$200&lt;&gt;"Yes"))*--ISERROR(INDIRECT("'"&amp;DATA_PROPERTY_MASTER!$A$5:$A$200&amp;"'!"&amp;SUBSTITUTE(ADDRESS(1,COLUMN(P$5)+1,4),"1","")&amp;$B49)),0))</f>
        <v>0</v>
      </c>
      <c r="Q49" s="350">
        <f ca="1">SUMPRODUCT(IFERROR((DATA_PROPERTY_MASTER!$A$5:$A$200&lt;&gt;"")*IF($C49="Included source errors",--(DATA_PROPERTY_MASTER!$E$5:$E$200="Yes"),--(DATA_PROPERTY_MASTER!$E$5:$E$200&lt;&gt;"Yes"))*--ISERROR(INDIRECT("'"&amp;DATA_PROPERTY_MASTER!$A$5:$A$200&amp;"'!"&amp;SUBSTITUTE(ADDRESS(1,COLUMN(Q$5)+1,4),"1","")&amp;$B49)),0))</f>
        <v>0</v>
      </c>
      <c r="R49" s="350">
        <f ca="1">SUMPRODUCT(IFERROR((DATA_PROPERTY_MASTER!$A$5:$A$200&lt;&gt;"")*IF($C49="Included source errors",--(DATA_PROPERTY_MASTER!$E$5:$E$200="Yes"),--(DATA_PROPERTY_MASTER!$E$5:$E$200&lt;&gt;"Yes"))*--ISERROR(INDIRECT("'"&amp;DATA_PROPERTY_MASTER!$A$5:$A$200&amp;"'!"&amp;SUBSTITUTE(ADDRESS(1,COLUMN(R$5)+1,4),"1","")&amp;$B49)),0))</f>
        <v>0</v>
      </c>
      <c r="S49" s="350">
        <f ca="1">SUMPRODUCT(IFERROR((DATA_PROPERTY_MASTER!$A$5:$A$200&lt;&gt;"")*IF($C49="Included source errors",--(DATA_PROPERTY_MASTER!$E$5:$E$200="Yes"),--(DATA_PROPERTY_MASTER!$E$5:$E$200&lt;&gt;"Yes"))*--ISERROR(INDIRECT("'"&amp;DATA_PROPERTY_MASTER!$A$5:$A$200&amp;"'!"&amp;SUBSTITUTE(ADDRESS(1,COLUMN(S$5)+1,4),"1","")&amp;$B49)),0))</f>
        <v>0</v>
      </c>
      <c r="T49" s="350">
        <f ca="1">SUMPRODUCT(IFERROR((DATA_PROPERTY_MASTER!$A$5:$A$200&lt;&gt;"")*IF($C49="Included source errors",--(DATA_PROPERTY_MASTER!$E$5:$E$200="Yes"),--(DATA_PROPERTY_MASTER!$E$5:$E$200&lt;&gt;"Yes"))*--ISERROR(INDIRECT("'"&amp;DATA_PROPERTY_MASTER!$A$5:$A$200&amp;"'!"&amp;SUBSTITUTE(ADDRESS(1,COLUMN(T$5)+1,4),"1","")&amp;$B49)),0))</f>
        <v>0</v>
      </c>
      <c r="U49" s="350">
        <f ca="1">SUMPRODUCT(IFERROR((DATA_PROPERTY_MASTER!$A$5:$A$200&lt;&gt;"")*IF($C49="Included source errors",--(DATA_PROPERTY_MASTER!$E$5:$E$200="Yes"),--(DATA_PROPERTY_MASTER!$E$5:$E$200&lt;&gt;"Yes"))*--ISERROR(INDIRECT("'"&amp;DATA_PROPERTY_MASTER!$A$5:$A$200&amp;"'!"&amp;SUBSTITUTE(ADDRESS(1,COLUMN(U$5)+1,4),"1","")&amp;$B49)),0))</f>
        <v>0</v>
      </c>
      <c r="V49" s="350">
        <f ca="1">SUMPRODUCT(IFERROR((DATA_PROPERTY_MASTER!$A$5:$A$200&lt;&gt;"")*IF($C49="Included source errors",--(DATA_PROPERTY_MASTER!$E$5:$E$200="Yes"),--(DATA_PROPERTY_MASTER!$E$5:$E$200&lt;&gt;"Yes"))*--ISERROR(INDIRECT("'"&amp;DATA_PROPERTY_MASTER!$A$5:$A$200&amp;"'!"&amp;SUBSTITUTE(ADDRESS(1,COLUMN(V$5)+1,4),"1","")&amp;$B49)),0))</f>
        <v>0</v>
      </c>
      <c r="W49" s="350">
        <f ca="1">SUMPRODUCT(IFERROR((DATA_PROPERTY_MASTER!$A$5:$A$200&lt;&gt;"")*IF($C49="Included source errors",--(DATA_PROPERTY_MASTER!$E$5:$E$200="Yes"),--(DATA_PROPERTY_MASTER!$E$5:$E$200&lt;&gt;"Yes"))*--ISERROR(INDIRECT("'"&amp;DATA_PROPERTY_MASTER!$A$5:$A$200&amp;"'!"&amp;SUBSTITUTE(ADDRESS(1,COLUMN(W$5)+1,4),"1","")&amp;$B49)),0))</f>
        <v>0</v>
      </c>
      <c r="X49" s="350">
        <f ca="1">SUMPRODUCT(IFERROR((DATA_PROPERTY_MASTER!$A$5:$A$200&lt;&gt;"")*IF($C49="Included source errors",--(DATA_PROPERTY_MASTER!$E$5:$E$200="Yes"),--(DATA_PROPERTY_MASTER!$E$5:$E$200&lt;&gt;"Yes"))*--ISERROR(INDIRECT("'"&amp;DATA_PROPERTY_MASTER!$A$5:$A$200&amp;"'!"&amp;SUBSTITUTE(ADDRESS(1,COLUMN(X$5)+1,4),"1","")&amp;$B49)),0))</f>
        <v>0</v>
      </c>
      <c r="Y49" s="350">
        <f t="shared" ca="1" si="1"/>
        <v>0</v>
      </c>
      <c r="Z49" s="382" t="s">
        <v>7467</v>
      </c>
    </row>
    <row r="50" spans="1:26" ht="30">
      <c r="A50" s="382" t="s">
        <v>367</v>
      </c>
      <c r="B50" s="382">
        <v>61</v>
      </c>
      <c r="C50" s="382" t="s">
        <v>1560</v>
      </c>
      <c r="D50" s="350">
        <f ca="1">SUMPRODUCT(IFERROR((DATA_PROPERTY_MASTER!$A$5:$A$200&lt;&gt;"")*IF($C50="Included source errors",--(DATA_PROPERTY_MASTER!$E$5:$E$200="Yes"),--(DATA_PROPERTY_MASTER!$E$5:$E$200&lt;&gt;"Yes"))*--ISERROR(INDIRECT("'"&amp;DATA_PROPERTY_MASTER!$A$5:$A$200&amp;"'!"&amp;SUBSTITUTE(ADDRESS(1,COLUMN(D$5)+1,4),"1","")&amp;$B50)),0))</f>
        <v>0</v>
      </c>
      <c r="E50" s="350">
        <f ca="1">SUMPRODUCT(IFERROR((DATA_PROPERTY_MASTER!$A$5:$A$200&lt;&gt;"")*IF($C50="Included source errors",--(DATA_PROPERTY_MASTER!$E$5:$E$200="Yes"),--(DATA_PROPERTY_MASTER!$E$5:$E$200&lt;&gt;"Yes"))*--ISERROR(INDIRECT("'"&amp;DATA_PROPERTY_MASTER!$A$5:$A$200&amp;"'!"&amp;SUBSTITUTE(ADDRESS(1,COLUMN(E$5)+1,4),"1","")&amp;$B50)),0))</f>
        <v>0</v>
      </c>
      <c r="F50" s="350">
        <f ca="1">SUMPRODUCT(IFERROR((DATA_PROPERTY_MASTER!$A$5:$A$200&lt;&gt;"")*IF($C50="Included source errors",--(DATA_PROPERTY_MASTER!$E$5:$E$200="Yes"),--(DATA_PROPERTY_MASTER!$E$5:$E$200&lt;&gt;"Yes"))*--ISERROR(INDIRECT("'"&amp;DATA_PROPERTY_MASTER!$A$5:$A$200&amp;"'!"&amp;SUBSTITUTE(ADDRESS(1,COLUMN(F$5)+1,4),"1","")&amp;$B50)),0))</f>
        <v>0</v>
      </c>
      <c r="G50" s="350">
        <f ca="1">SUMPRODUCT(IFERROR((DATA_PROPERTY_MASTER!$A$5:$A$200&lt;&gt;"")*IF($C50="Included source errors",--(DATA_PROPERTY_MASTER!$E$5:$E$200="Yes"),--(DATA_PROPERTY_MASTER!$E$5:$E$200&lt;&gt;"Yes"))*--ISERROR(INDIRECT("'"&amp;DATA_PROPERTY_MASTER!$A$5:$A$200&amp;"'!"&amp;SUBSTITUTE(ADDRESS(1,COLUMN(G$5)+1,4),"1","")&amp;$B50)),0))</f>
        <v>0</v>
      </c>
      <c r="H50" s="350">
        <f ca="1">SUMPRODUCT(IFERROR((DATA_PROPERTY_MASTER!$A$5:$A$200&lt;&gt;"")*IF($C50="Included source errors",--(DATA_PROPERTY_MASTER!$E$5:$E$200="Yes"),--(DATA_PROPERTY_MASTER!$E$5:$E$200&lt;&gt;"Yes"))*--ISERROR(INDIRECT("'"&amp;DATA_PROPERTY_MASTER!$A$5:$A$200&amp;"'!"&amp;SUBSTITUTE(ADDRESS(1,COLUMN(H$5)+1,4),"1","")&amp;$B50)),0))</f>
        <v>0</v>
      </c>
      <c r="I50" s="350">
        <f ca="1">SUMPRODUCT(IFERROR((DATA_PROPERTY_MASTER!$A$5:$A$200&lt;&gt;"")*IF($C50="Included source errors",--(DATA_PROPERTY_MASTER!$E$5:$E$200="Yes"),--(DATA_PROPERTY_MASTER!$E$5:$E$200&lt;&gt;"Yes"))*--ISERROR(INDIRECT("'"&amp;DATA_PROPERTY_MASTER!$A$5:$A$200&amp;"'!"&amp;SUBSTITUTE(ADDRESS(1,COLUMN(I$5)+1,4),"1","")&amp;$B50)),0))</f>
        <v>0</v>
      </c>
      <c r="J50" s="350">
        <f ca="1">SUMPRODUCT(IFERROR((DATA_PROPERTY_MASTER!$A$5:$A$200&lt;&gt;"")*IF($C50="Included source errors",--(DATA_PROPERTY_MASTER!$E$5:$E$200="Yes"),--(DATA_PROPERTY_MASTER!$E$5:$E$200&lt;&gt;"Yes"))*--ISERROR(INDIRECT("'"&amp;DATA_PROPERTY_MASTER!$A$5:$A$200&amp;"'!"&amp;SUBSTITUTE(ADDRESS(1,COLUMN(J$5)+1,4),"1","")&amp;$B50)),0))</f>
        <v>0</v>
      </c>
      <c r="K50" s="350">
        <f ca="1">SUMPRODUCT(IFERROR((DATA_PROPERTY_MASTER!$A$5:$A$200&lt;&gt;"")*IF($C50="Included source errors",--(DATA_PROPERTY_MASTER!$E$5:$E$200="Yes"),--(DATA_PROPERTY_MASTER!$E$5:$E$200&lt;&gt;"Yes"))*--ISERROR(INDIRECT("'"&amp;DATA_PROPERTY_MASTER!$A$5:$A$200&amp;"'!"&amp;SUBSTITUTE(ADDRESS(1,COLUMN(K$5)+1,4),"1","")&amp;$B50)),0))</f>
        <v>0</v>
      </c>
      <c r="L50" s="350">
        <f ca="1">SUMPRODUCT(IFERROR((DATA_PROPERTY_MASTER!$A$5:$A$200&lt;&gt;"")*IF($C50="Included source errors",--(DATA_PROPERTY_MASTER!$E$5:$E$200="Yes"),--(DATA_PROPERTY_MASTER!$E$5:$E$200&lt;&gt;"Yes"))*--ISERROR(INDIRECT("'"&amp;DATA_PROPERTY_MASTER!$A$5:$A$200&amp;"'!"&amp;SUBSTITUTE(ADDRESS(1,COLUMN(L$5)+1,4),"1","")&amp;$B50)),0))</f>
        <v>0</v>
      </c>
      <c r="M50" s="350">
        <f ca="1">SUMPRODUCT(IFERROR((DATA_PROPERTY_MASTER!$A$5:$A$200&lt;&gt;"")*IF($C50="Included source errors",--(DATA_PROPERTY_MASTER!$E$5:$E$200="Yes"),--(DATA_PROPERTY_MASTER!$E$5:$E$200&lt;&gt;"Yes"))*--ISERROR(INDIRECT("'"&amp;DATA_PROPERTY_MASTER!$A$5:$A$200&amp;"'!"&amp;SUBSTITUTE(ADDRESS(1,COLUMN(M$5)+1,4),"1","")&amp;$B50)),0))</f>
        <v>0</v>
      </c>
      <c r="N50" s="350">
        <f ca="1">SUMPRODUCT(IFERROR((DATA_PROPERTY_MASTER!$A$5:$A$200&lt;&gt;"")*IF($C50="Included source errors",--(DATA_PROPERTY_MASTER!$E$5:$E$200="Yes"),--(DATA_PROPERTY_MASTER!$E$5:$E$200&lt;&gt;"Yes"))*--ISERROR(INDIRECT("'"&amp;DATA_PROPERTY_MASTER!$A$5:$A$200&amp;"'!"&amp;SUBSTITUTE(ADDRESS(1,COLUMN(N$5)+1,4),"1","")&amp;$B50)),0))</f>
        <v>0</v>
      </c>
      <c r="O50" s="350">
        <f ca="1">SUMPRODUCT(IFERROR((DATA_PROPERTY_MASTER!$A$5:$A$200&lt;&gt;"")*IF($C50="Included source errors",--(DATA_PROPERTY_MASTER!$E$5:$E$200="Yes"),--(DATA_PROPERTY_MASTER!$E$5:$E$200&lt;&gt;"Yes"))*--ISERROR(INDIRECT("'"&amp;DATA_PROPERTY_MASTER!$A$5:$A$200&amp;"'!"&amp;SUBSTITUTE(ADDRESS(1,COLUMN(O$5)+1,4),"1","")&amp;$B50)),0))</f>
        <v>0</v>
      </c>
      <c r="P50" s="350">
        <f ca="1">SUMPRODUCT(IFERROR((DATA_PROPERTY_MASTER!$A$5:$A$200&lt;&gt;"")*IF($C50="Included source errors",--(DATA_PROPERTY_MASTER!$E$5:$E$200="Yes"),--(DATA_PROPERTY_MASTER!$E$5:$E$200&lt;&gt;"Yes"))*--ISERROR(INDIRECT("'"&amp;DATA_PROPERTY_MASTER!$A$5:$A$200&amp;"'!"&amp;SUBSTITUTE(ADDRESS(1,COLUMN(P$5)+1,4),"1","")&amp;$B50)),0))</f>
        <v>0</v>
      </c>
      <c r="Q50" s="350">
        <f ca="1">SUMPRODUCT(IFERROR((DATA_PROPERTY_MASTER!$A$5:$A$200&lt;&gt;"")*IF($C50="Included source errors",--(DATA_PROPERTY_MASTER!$E$5:$E$200="Yes"),--(DATA_PROPERTY_MASTER!$E$5:$E$200&lt;&gt;"Yes"))*--ISERROR(INDIRECT("'"&amp;DATA_PROPERTY_MASTER!$A$5:$A$200&amp;"'!"&amp;SUBSTITUTE(ADDRESS(1,COLUMN(Q$5)+1,4),"1","")&amp;$B50)),0))</f>
        <v>0</v>
      </c>
      <c r="R50" s="350">
        <f ca="1">SUMPRODUCT(IFERROR((DATA_PROPERTY_MASTER!$A$5:$A$200&lt;&gt;"")*IF($C50="Included source errors",--(DATA_PROPERTY_MASTER!$E$5:$E$200="Yes"),--(DATA_PROPERTY_MASTER!$E$5:$E$200&lt;&gt;"Yes"))*--ISERROR(INDIRECT("'"&amp;DATA_PROPERTY_MASTER!$A$5:$A$200&amp;"'!"&amp;SUBSTITUTE(ADDRESS(1,COLUMN(R$5)+1,4),"1","")&amp;$B50)),0))</f>
        <v>0</v>
      </c>
      <c r="S50" s="350">
        <f ca="1">SUMPRODUCT(IFERROR((DATA_PROPERTY_MASTER!$A$5:$A$200&lt;&gt;"")*IF($C50="Included source errors",--(DATA_PROPERTY_MASTER!$E$5:$E$200="Yes"),--(DATA_PROPERTY_MASTER!$E$5:$E$200&lt;&gt;"Yes"))*--ISERROR(INDIRECT("'"&amp;DATA_PROPERTY_MASTER!$A$5:$A$200&amp;"'!"&amp;SUBSTITUTE(ADDRESS(1,COLUMN(S$5)+1,4),"1","")&amp;$B50)),0))</f>
        <v>0</v>
      </c>
      <c r="T50" s="350">
        <f ca="1">SUMPRODUCT(IFERROR((DATA_PROPERTY_MASTER!$A$5:$A$200&lt;&gt;"")*IF($C50="Included source errors",--(DATA_PROPERTY_MASTER!$E$5:$E$200="Yes"),--(DATA_PROPERTY_MASTER!$E$5:$E$200&lt;&gt;"Yes"))*--ISERROR(INDIRECT("'"&amp;DATA_PROPERTY_MASTER!$A$5:$A$200&amp;"'!"&amp;SUBSTITUTE(ADDRESS(1,COLUMN(T$5)+1,4),"1","")&amp;$B50)),0))</f>
        <v>0</v>
      </c>
      <c r="U50" s="350">
        <f ca="1">SUMPRODUCT(IFERROR((DATA_PROPERTY_MASTER!$A$5:$A$200&lt;&gt;"")*IF($C50="Included source errors",--(DATA_PROPERTY_MASTER!$E$5:$E$200="Yes"),--(DATA_PROPERTY_MASTER!$E$5:$E$200&lt;&gt;"Yes"))*--ISERROR(INDIRECT("'"&amp;DATA_PROPERTY_MASTER!$A$5:$A$200&amp;"'!"&amp;SUBSTITUTE(ADDRESS(1,COLUMN(U$5)+1,4),"1","")&amp;$B50)),0))</f>
        <v>0</v>
      </c>
      <c r="V50" s="350">
        <f ca="1">SUMPRODUCT(IFERROR((DATA_PROPERTY_MASTER!$A$5:$A$200&lt;&gt;"")*IF($C50="Included source errors",--(DATA_PROPERTY_MASTER!$E$5:$E$200="Yes"),--(DATA_PROPERTY_MASTER!$E$5:$E$200&lt;&gt;"Yes"))*--ISERROR(INDIRECT("'"&amp;DATA_PROPERTY_MASTER!$A$5:$A$200&amp;"'!"&amp;SUBSTITUTE(ADDRESS(1,COLUMN(V$5)+1,4),"1","")&amp;$B50)),0))</f>
        <v>0</v>
      </c>
      <c r="W50" s="350">
        <f ca="1">SUMPRODUCT(IFERROR((DATA_PROPERTY_MASTER!$A$5:$A$200&lt;&gt;"")*IF($C50="Included source errors",--(DATA_PROPERTY_MASTER!$E$5:$E$200="Yes"),--(DATA_PROPERTY_MASTER!$E$5:$E$200&lt;&gt;"Yes"))*--ISERROR(INDIRECT("'"&amp;DATA_PROPERTY_MASTER!$A$5:$A$200&amp;"'!"&amp;SUBSTITUTE(ADDRESS(1,COLUMN(W$5)+1,4),"1","")&amp;$B50)),0))</f>
        <v>0</v>
      </c>
      <c r="X50" s="350">
        <f ca="1">SUMPRODUCT(IFERROR((DATA_PROPERTY_MASTER!$A$5:$A$200&lt;&gt;"")*IF($C50="Included source errors",--(DATA_PROPERTY_MASTER!$E$5:$E$200="Yes"),--(DATA_PROPERTY_MASTER!$E$5:$E$200&lt;&gt;"Yes"))*--ISERROR(INDIRECT("'"&amp;DATA_PROPERTY_MASTER!$A$5:$A$200&amp;"'!"&amp;SUBSTITUTE(ADDRESS(1,COLUMN(X$5)+1,4),"1","")&amp;$B50)),0))</f>
        <v>0</v>
      </c>
      <c r="Y50" s="350">
        <f t="shared" ca="1" si="1"/>
        <v>0</v>
      </c>
      <c r="Z50" s="382" t="s">
        <v>7467</v>
      </c>
    </row>
    <row r="51" spans="1:26" ht="30">
      <c r="A51" s="382" t="s">
        <v>367</v>
      </c>
      <c r="B51" s="382">
        <v>61</v>
      </c>
      <c r="C51" s="382" t="s">
        <v>1563</v>
      </c>
      <c r="D51" s="350">
        <f ca="1">SUMPRODUCT(IFERROR((DATA_PROPERTY_MASTER!$A$5:$A$200&lt;&gt;"")*IF($C51="Included source errors",--(DATA_PROPERTY_MASTER!$E$5:$E$200="Yes"),--(DATA_PROPERTY_MASTER!$E$5:$E$200&lt;&gt;"Yes"))*--ISERROR(INDIRECT("'"&amp;DATA_PROPERTY_MASTER!$A$5:$A$200&amp;"'!"&amp;SUBSTITUTE(ADDRESS(1,COLUMN(D$5)+1,4),"1","")&amp;$B51)),0))</f>
        <v>0</v>
      </c>
      <c r="E51" s="350">
        <f ca="1">SUMPRODUCT(IFERROR((DATA_PROPERTY_MASTER!$A$5:$A$200&lt;&gt;"")*IF($C51="Included source errors",--(DATA_PROPERTY_MASTER!$E$5:$E$200="Yes"),--(DATA_PROPERTY_MASTER!$E$5:$E$200&lt;&gt;"Yes"))*--ISERROR(INDIRECT("'"&amp;DATA_PROPERTY_MASTER!$A$5:$A$200&amp;"'!"&amp;SUBSTITUTE(ADDRESS(1,COLUMN(E$5)+1,4),"1","")&amp;$B51)),0))</f>
        <v>0</v>
      </c>
      <c r="F51" s="350">
        <f ca="1">SUMPRODUCT(IFERROR((DATA_PROPERTY_MASTER!$A$5:$A$200&lt;&gt;"")*IF($C51="Included source errors",--(DATA_PROPERTY_MASTER!$E$5:$E$200="Yes"),--(DATA_PROPERTY_MASTER!$E$5:$E$200&lt;&gt;"Yes"))*--ISERROR(INDIRECT("'"&amp;DATA_PROPERTY_MASTER!$A$5:$A$200&amp;"'!"&amp;SUBSTITUTE(ADDRESS(1,COLUMN(F$5)+1,4),"1","")&amp;$B51)),0))</f>
        <v>0</v>
      </c>
      <c r="G51" s="350">
        <f ca="1">SUMPRODUCT(IFERROR((DATA_PROPERTY_MASTER!$A$5:$A$200&lt;&gt;"")*IF($C51="Included source errors",--(DATA_PROPERTY_MASTER!$E$5:$E$200="Yes"),--(DATA_PROPERTY_MASTER!$E$5:$E$200&lt;&gt;"Yes"))*--ISERROR(INDIRECT("'"&amp;DATA_PROPERTY_MASTER!$A$5:$A$200&amp;"'!"&amp;SUBSTITUTE(ADDRESS(1,COLUMN(G$5)+1,4),"1","")&amp;$B51)),0))</f>
        <v>0</v>
      </c>
      <c r="H51" s="350">
        <f ca="1">SUMPRODUCT(IFERROR((DATA_PROPERTY_MASTER!$A$5:$A$200&lt;&gt;"")*IF($C51="Included source errors",--(DATA_PROPERTY_MASTER!$E$5:$E$200="Yes"),--(DATA_PROPERTY_MASTER!$E$5:$E$200&lt;&gt;"Yes"))*--ISERROR(INDIRECT("'"&amp;DATA_PROPERTY_MASTER!$A$5:$A$200&amp;"'!"&amp;SUBSTITUTE(ADDRESS(1,COLUMN(H$5)+1,4),"1","")&amp;$B51)),0))</f>
        <v>0</v>
      </c>
      <c r="I51" s="350">
        <f ca="1">SUMPRODUCT(IFERROR((DATA_PROPERTY_MASTER!$A$5:$A$200&lt;&gt;"")*IF($C51="Included source errors",--(DATA_PROPERTY_MASTER!$E$5:$E$200="Yes"),--(DATA_PROPERTY_MASTER!$E$5:$E$200&lt;&gt;"Yes"))*--ISERROR(INDIRECT("'"&amp;DATA_PROPERTY_MASTER!$A$5:$A$200&amp;"'!"&amp;SUBSTITUTE(ADDRESS(1,COLUMN(I$5)+1,4),"1","")&amp;$B51)),0))</f>
        <v>0</v>
      </c>
      <c r="J51" s="350">
        <f ca="1">SUMPRODUCT(IFERROR((DATA_PROPERTY_MASTER!$A$5:$A$200&lt;&gt;"")*IF($C51="Included source errors",--(DATA_PROPERTY_MASTER!$E$5:$E$200="Yes"),--(DATA_PROPERTY_MASTER!$E$5:$E$200&lt;&gt;"Yes"))*--ISERROR(INDIRECT("'"&amp;DATA_PROPERTY_MASTER!$A$5:$A$200&amp;"'!"&amp;SUBSTITUTE(ADDRESS(1,COLUMN(J$5)+1,4),"1","")&amp;$B51)),0))</f>
        <v>0</v>
      </c>
      <c r="K51" s="350">
        <f ca="1">SUMPRODUCT(IFERROR((DATA_PROPERTY_MASTER!$A$5:$A$200&lt;&gt;"")*IF($C51="Included source errors",--(DATA_PROPERTY_MASTER!$E$5:$E$200="Yes"),--(DATA_PROPERTY_MASTER!$E$5:$E$200&lt;&gt;"Yes"))*--ISERROR(INDIRECT("'"&amp;DATA_PROPERTY_MASTER!$A$5:$A$200&amp;"'!"&amp;SUBSTITUTE(ADDRESS(1,COLUMN(K$5)+1,4),"1","")&amp;$B51)),0))</f>
        <v>0</v>
      </c>
      <c r="L51" s="350">
        <f ca="1">SUMPRODUCT(IFERROR((DATA_PROPERTY_MASTER!$A$5:$A$200&lt;&gt;"")*IF($C51="Included source errors",--(DATA_PROPERTY_MASTER!$E$5:$E$200="Yes"),--(DATA_PROPERTY_MASTER!$E$5:$E$200&lt;&gt;"Yes"))*--ISERROR(INDIRECT("'"&amp;DATA_PROPERTY_MASTER!$A$5:$A$200&amp;"'!"&amp;SUBSTITUTE(ADDRESS(1,COLUMN(L$5)+1,4),"1","")&amp;$B51)),0))</f>
        <v>0</v>
      </c>
      <c r="M51" s="350">
        <f ca="1">SUMPRODUCT(IFERROR((DATA_PROPERTY_MASTER!$A$5:$A$200&lt;&gt;"")*IF($C51="Included source errors",--(DATA_PROPERTY_MASTER!$E$5:$E$200="Yes"),--(DATA_PROPERTY_MASTER!$E$5:$E$200&lt;&gt;"Yes"))*--ISERROR(INDIRECT("'"&amp;DATA_PROPERTY_MASTER!$A$5:$A$200&amp;"'!"&amp;SUBSTITUTE(ADDRESS(1,COLUMN(M$5)+1,4),"1","")&amp;$B51)),0))</f>
        <v>0</v>
      </c>
      <c r="N51" s="350">
        <f ca="1">SUMPRODUCT(IFERROR((DATA_PROPERTY_MASTER!$A$5:$A$200&lt;&gt;"")*IF($C51="Included source errors",--(DATA_PROPERTY_MASTER!$E$5:$E$200="Yes"),--(DATA_PROPERTY_MASTER!$E$5:$E$200&lt;&gt;"Yes"))*--ISERROR(INDIRECT("'"&amp;DATA_PROPERTY_MASTER!$A$5:$A$200&amp;"'!"&amp;SUBSTITUTE(ADDRESS(1,COLUMN(N$5)+1,4),"1","")&amp;$B51)),0))</f>
        <v>0</v>
      </c>
      <c r="O51" s="350">
        <f ca="1">SUMPRODUCT(IFERROR((DATA_PROPERTY_MASTER!$A$5:$A$200&lt;&gt;"")*IF($C51="Included source errors",--(DATA_PROPERTY_MASTER!$E$5:$E$200="Yes"),--(DATA_PROPERTY_MASTER!$E$5:$E$200&lt;&gt;"Yes"))*--ISERROR(INDIRECT("'"&amp;DATA_PROPERTY_MASTER!$A$5:$A$200&amp;"'!"&amp;SUBSTITUTE(ADDRESS(1,COLUMN(O$5)+1,4),"1","")&amp;$B51)),0))</f>
        <v>0</v>
      </c>
      <c r="P51" s="350">
        <f ca="1">SUMPRODUCT(IFERROR((DATA_PROPERTY_MASTER!$A$5:$A$200&lt;&gt;"")*IF($C51="Included source errors",--(DATA_PROPERTY_MASTER!$E$5:$E$200="Yes"),--(DATA_PROPERTY_MASTER!$E$5:$E$200&lt;&gt;"Yes"))*--ISERROR(INDIRECT("'"&amp;DATA_PROPERTY_MASTER!$A$5:$A$200&amp;"'!"&amp;SUBSTITUTE(ADDRESS(1,COLUMN(P$5)+1,4),"1","")&amp;$B51)),0))</f>
        <v>0</v>
      </c>
      <c r="Q51" s="350">
        <f ca="1">SUMPRODUCT(IFERROR((DATA_PROPERTY_MASTER!$A$5:$A$200&lt;&gt;"")*IF($C51="Included source errors",--(DATA_PROPERTY_MASTER!$E$5:$E$200="Yes"),--(DATA_PROPERTY_MASTER!$E$5:$E$200&lt;&gt;"Yes"))*--ISERROR(INDIRECT("'"&amp;DATA_PROPERTY_MASTER!$A$5:$A$200&amp;"'!"&amp;SUBSTITUTE(ADDRESS(1,COLUMN(Q$5)+1,4),"1","")&amp;$B51)),0))</f>
        <v>0</v>
      </c>
      <c r="R51" s="350">
        <f ca="1">SUMPRODUCT(IFERROR((DATA_PROPERTY_MASTER!$A$5:$A$200&lt;&gt;"")*IF($C51="Included source errors",--(DATA_PROPERTY_MASTER!$E$5:$E$200="Yes"),--(DATA_PROPERTY_MASTER!$E$5:$E$200&lt;&gt;"Yes"))*--ISERROR(INDIRECT("'"&amp;DATA_PROPERTY_MASTER!$A$5:$A$200&amp;"'!"&amp;SUBSTITUTE(ADDRESS(1,COLUMN(R$5)+1,4),"1","")&amp;$B51)),0))</f>
        <v>0</v>
      </c>
      <c r="S51" s="350">
        <f ca="1">SUMPRODUCT(IFERROR((DATA_PROPERTY_MASTER!$A$5:$A$200&lt;&gt;"")*IF($C51="Included source errors",--(DATA_PROPERTY_MASTER!$E$5:$E$200="Yes"),--(DATA_PROPERTY_MASTER!$E$5:$E$200&lt;&gt;"Yes"))*--ISERROR(INDIRECT("'"&amp;DATA_PROPERTY_MASTER!$A$5:$A$200&amp;"'!"&amp;SUBSTITUTE(ADDRESS(1,COLUMN(S$5)+1,4),"1","")&amp;$B51)),0))</f>
        <v>0</v>
      </c>
      <c r="T51" s="350">
        <f ca="1">SUMPRODUCT(IFERROR((DATA_PROPERTY_MASTER!$A$5:$A$200&lt;&gt;"")*IF($C51="Included source errors",--(DATA_PROPERTY_MASTER!$E$5:$E$200="Yes"),--(DATA_PROPERTY_MASTER!$E$5:$E$200&lt;&gt;"Yes"))*--ISERROR(INDIRECT("'"&amp;DATA_PROPERTY_MASTER!$A$5:$A$200&amp;"'!"&amp;SUBSTITUTE(ADDRESS(1,COLUMN(T$5)+1,4),"1","")&amp;$B51)),0))</f>
        <v>0</v>
      </c>
      <c r="U51" s="350">
        <f ca="1">SUMPRODUCT(IFERROR((DATA_PROPERTY_MASTER!$A$5:$A$200&lt;&gt;"")*IF($C51="Included source errors",--(DATA_PROPERTY_MASTER!$E$5:$E$200="Yes"),--(DATA_PROPERTY_MASTER!$E$5:$E$200&lt;&gt;"Yes"))*--ISERROR(INDIRECT("'"&amp;DATA_PROPERTY_MASTER!$A$5:$A$200&amp;"'!"&amp;SUBSTITUTE(ADDRESS(1,COLUMN(U$5)+1,4),"1","")&amp;$B51)),0))</f>
        <v>0</v>
      </c>
      <c r="V51" s="350">
        <f ca="1">SUMPRODUCT(IFERROR((DATA_PROPERTY_MASTER!$A$5:$A$200&lt;&gt;"")*IF($C51="Included source errors",--(DATA_PROPERTY_MASTER!$E$5:$E$200="Yes"),--(DATA_PROPERTY_MASTER!$E$5:$E$200&lt;&gt;"Yes"))*--ISERROR(INDIRECT("'"&amp;DATA_PROPERTY_MASTER!$A$5:$A$200&amp;"'!"&amp;SUBSTITUTE(ADDRESS(1,COLUMN(V$5)+1,4),"1","")&amp;$B51)),0))</f>
        <v>0</v>
      </c>
      <c r="W51" s="350">
        <f ca="1">SUMPRODUCT(IFERROR((DATA_PROPERTY_MASTER!$A$5:$A$200&lt;&gt;"")*IF($C51="Included source errors",--(DATA_PROPERTY_MASTER!$E$5:$E$200="Yes"),--(DATA_PROPERTY_MASTER!$E$5:$E$200&lt;&gt;"Yes"))*--ISERROR(INDIRECT("'"&amp;DATA_PROPERTY_MASTER!$A$5:$A$200&amp;"'!"&amp;SUBSTITUTE(ADDRESS(1,COLUMN(W$5)+1,4),"1","")&amp;$B51)),0))</f>
        <v>0</v>
      </c>
      <c r="X51" s="350">
        <f ca="1">SUMPRODUCT(IFERROR((DATA_PROPERTY_MASTER!$A$5:$A$200&lt;&gt;"")*IF($C51="Included source errors",--(DATA_PROPERTY_MASTER!$E$5:$E$200="Yes"),--(DATA_PROPERTY_MASTER!$E$5:$E$200&lt;&gt;"Yes"))*--ISERROR(INDIRECT("'"&amp;DATA_PROPERTY_MASTER!$A$5:$A$200&amp;"'!"&amp;SUBSTITUTE(ADDRESS(1,COLUMN(X$5)+1,4),"1","")&amp;$B51)),0))</f>
        <v>0</v>
      </c>
      <c r="Y51" s="350">
        <f t="shared" ca="1" si="1"/>
        <v>0</v>
      </c>
      <c r="Z51" s="382" t="s">
        <v>7467</v>
      </c>
    </row>
    <row r="52" spans="1:26" ht="30">
      <c r="A52" s="382" t="s">
        <v>368</v>
      </c>
      <c r="B52" s="382">
        <v>62</v>
      </c>
      <c r="C52" s="382" t="s">
        <v>1560</v>
      </c>
      <c r="D52" s="350">
        <f ca="1">SUMPRODUCT(IFERROR((DATA_PROPERTY_MASTER!$A$5:$A$200&lt;&gt;"")*IF($C52="Included source errors",--(DATA_PROPERTY_MASTER!$E$5:$E$200="Yes"),--(DATA_PROPERTY_MASTER!$E$5:$E$200&lt;&gt;"Yes"))*--ISERROR(INDIRECT("'"&amp;DATA_PROPERTY_MASTER!$A$5:$A$200&amp;"'!"&amp;SUBSTITUTE(ADDRESS(1,COLUMN(D$5)+1,4),"1","")&amp;$B52)),0))</f>
        <v>0</v>
      </c>
      <c r="E52" s="350">
        <f ca="1">SUMPRODUCT(IFERROR((DATA_PROPERTY_MASTER!$A$5:$A$200&lt;&gt;"")*IF($C52="Included source errors",--(DATA_PROPERTY_MASTER!$E$5:$E$200="Yes"),--(DATA_PROPERTY_MASTER!$E$5:$E$200&lt;&gt;"Yes"))*--ISERROR(INDIRECT("'"&amp;DATA_PROPERTY_MASTER!$A$5:$A$200&amp;"'!"&amp;SUBSTITUTE(ADDRESS(1,COLUMN(E$5)+1,4),"1","")&amp;$B52)),0))</f>
        <v>0</v>
      </c>
      <c r="F52" s="350">
        <f ca="1">SUMPRODUCT(IFERROR((DATA_PROPERTY_MASTER!$A$5:$A$200&lt;&gt;"")*IF($C52="Included source errors",--(DATA_PROPERTY_MASTER!$E$5:$E$200="Yes"),--(DATA_PROPERTY_MASTER!$E$5:$E$200&lt;&gt;"Yes"))*--ISERROR(INDIRECT("'"&amp;DATA_PROPERTY_MASTER!$A$5:$A$200&amp;"'!"&amp;SUBSTITUTE(ADDRESS(1,COLUMN(F$5)+1,4),"1","")&amp;$B52)),0))</f>
        <v>0</v>
      </c>
      <c r="G52" s="350">
        <f ca="1">SUMPRODUCT(IFERROR((DATA_PROPERTY_MASTER!$A$5:$A$200&lt;&gt;"")*IF($C52="Included source errors",--(DATA_PROPERTY_MASTER!$E$5:$E$200="Yes"),--(DATA_PROPERTY_MASTER!$E$5:$E$200&lt;&gt;"Yes"))*--ISERROR(INDIRECT("'"&amp;DATA_PROPERTY_MASTER!$A$5:$A$200&amp;"'!"&amp;SUBSTITUTE(ADDRESS(1,COLUMN(G$5)+1,4),"1","")&amp;$B52)),0))</f>
        <v>0</v>
      </c>
      <c r="H52" s="350">
        <f ca="1">SUMPRODUCT(IFERROR((DATA_PROPERTY_MASTER!$A$5:$A$200&lt;&gt;"")*IF($C52="Included source errors",--(DATA_PROPERTY_MASTER!$E$5:$E$200="Yes"),--(DATA_PROPERTY_MASTER!$E$5:$E$200&lt;&gt;"Yes"))*--ISERROR(INDIRECT("'"&amp;DATA_PROPERTY_MASTER!$A$5:$A$200&amp;"'!"&amp;SUBSTITUTE(ADDRESS(1,COLUMN(H$5)+1,4),"1","")&amp;$B52)),0))</f>
        <v>0</v>
      </c>
      <c r="I52" s="350">
        <f ca="1">SUMPRODUCT(IFERROR((DATA_PROPERTY_MASTER!$A$5:$A$200&lt;&gt;"")*IF($C52="Included source errors",--(DATA_PROPERTY_MASTER!$E$5:$E$200="Yes"),--(DATA_PROPERTY_MASTER!$E$5:$E$200&lt;&gt;"Yes"))*--ISERROR(INDIRECT("'"&amp;DATA_PROPERTY_MASTER!$A$5:$A$200&amp;"'!"&amp;SUBSTITUTE(ADDRESS(1,COLUMN(I$5)+1,4),"1","")&amp;$B52)),0))</f>
        <v>0</v>
      </c>
      <c r="J52" s="350">
        <f ca="1">SUMPRODUCT(IFERROR((DATA_PROPERTY_MASTER!$A$5:$A$200&lt;&gt;"")*IF($C52="Included source errors",--(DATA_PROPERTY_MASTER!$E$5:$E$200="Yes"),--(DATA_PROPERTY_MASTER!$E$5:$E$200&lt;&gt;"Yes"))*--ISERROR(INDIRECT("'"&amp;DATA_PROPERTY_MASTER!$A$5:$A$200&amp;"'!"&amp;SUBSTITUTE(ADDRESS(1,COLUMN(J$5)+1,4),"1","")&amp;$B52)),0))</f>
        <v>0</v>
      </c>
      <c r="K52" s="350">
        <f ca="1">SUMPRODUCT(IFERROR((DATA_PROPERTY_MASTER!$A$5:$A$200&lt;&gt;"")*IF($C52="Included source errors",--(DATA_PROPERTY_MASTER!$E$5:$E$200="Yes"),--(DATA_PROPERTY_MASTER!$E$5:$E$200&lt;&gt;"Yes"))*--ISERROR(INDIRECT("'"&amp;DATA_PROPERTY_MASTER!$A$5:$A$200&amp;"'!"&amp;SUBSTITUTE(ADDRESS(1,COLUMN(K$5)+1,4),"1","")&amp;$B52)),0))</f>
        <v>0</v>
      </c>
      <c r="L52" s="350">
        <f ca="1">SUMPRODUCT(IFERROR((DATA_PROPERTY_MASTER!$A$5:$A$200&lt;&gt;"")*IF($C52="Included source errors",--(DATA_PROPERTY_MASTER!$E$5:$E$200="Yes"),--(DATA_PROPERTY_MASTER!$E$5:$E$200&lt;&gt;"Yes"))*--ISERROR(INDIRECT("'"&amp;DATA_PROPERTY_MASTER!$A$5:$A$200&amp;"'!"&amp;SUBSTITUTE(ADDRESS(1,COLUMN(L$5)+1,4),"1","")&amp;$B52)),0))</f>
        <v>0</v>
      </c>
      <c r="M52" s="350">
        <f ca="1">SUMPRODUCT(IFERROR((DATA_PROPERTY_MASTER!$A$5:$A$200&lt;&gt;"")*IF($C52="Included source errors",--(DATA_PROPERTY_MASTER!$E$5:$E$200="Yes"),--(DATA_PROPERTY_MASTER!$E$5:$E$200&lt;&gt;"Yes"))*--ISERROR(INDIRECT("'"&amp;DATA_PROPERTY_MASTER!$A$5:$A$200&amp;"'!"&amp;SUBSTITUTE(ADDRESS(1,COLUMN(M$5)+1,4),"1","")&amp;$B52)),0))</f>
        <v>0</v>
      </c>
      <c r="N52" s="350">
        <f ca="1">SUMPRODUCT(IFERROR((DATA_PROPERTY_MASTER!$A$5:$A$200&lt;&gt;"")*IF($C52="Included source errors",--(DATA_PROPERTY_MASTER!$E$5:$E$200="Yes"),--(DATA_PROPERTY_MASTER!$E$5:$E$200&lt;&gt;"Yes"))*--ISERROR(INDIRECT("'"&amp;DATA_PROPERTY_MASTER!$A$5:$A$200&amp;"'!"&amp;SUBSTITUTE(ADDRESS(1,COLUMN(N$5)+1,4),"1","")&amp;$B52)),0))</f>
        <v>0</v>
      </c>
      <c r="O52" s="350">
        <f ca="1">SUMPRODUCT(IFERROR((DATA_PROPERTY_MASTER!$A$5:$A$200&lt;&gt;"")*IF($C52="Included source errors",--(DATA_PROPERTY_MASTER!$E$5:$E$200="Yes"),--(DATA_PROPERTY_MASTER!$E$5:$E$200&lt;&gt;"Yes"))*--ISERROR(INDIRECT("'"&amp;DATA_PROPERTY_MASTER!$A$5:$A$200&amp;"'!"&amp;SUBSTITUTE(ADDRESS(1,COLUMN(O$5)+1,4),"1","")&amp;$B52)),0))</f>
        <v>0</v>
      </c>
      <c r="P52" s="350">
        <f ca="1">SUMPRODUCT(IFERROR((DATA_PROPERTY_MASTER!$A$5:$A$200&lt;&gt;"")*IF($C52="Included source errors",--(DATA_PROPERTY_MASTER!$E$5:$E$200="Yes"),--(DATA_PROPERTY_MASTER!$E$5:$E$200&lt;&gt;"Yes"))*--ISERROR(INDIRECT("'"&amp;DATA_PROPERTY_MASTER!$A$5:$A$200&amp;"'!"&amp;SUBSTITUTE(ADDRESS(1,COLUMN(P$5)+1,4),"1","")&amp;$B52)),0))</f>
        <v>0</v>
      </c>
      <c r="Q52" s="350">
        <f ca="1">SUMPRODUCT(IFERROR((DATA_PROPERTY_MASTER!$A$5:$A$200&lt;&gt;"")*IF($C52="Included source errors",--(DATA_PROPERTY_MASTER!$E$5:$E$200="Yes"),--(DATA_PROPERTY_MASTER!$E$5:$E$200&lt;&gt;"Yes"))*--ISERROR(INDIRECT("'"&amp;DATA_PROPERTY_MASTER!$A$5:$A$200&amp;"'!"&amp;SUBSTITUTE(ADDRESS(1,COLUMN(Q$5)+1,4),"1","")&amp;$B52)),0))</f>
        <v>0</v>
      </c>
      <c r="R52" s="350">
        <f ca="1">SUMPRODUCT(IFERROR((DATA_PROPERTY_MASTER!$A$5:$A$200&lt;&gt;"")*IF($C52="Included source errors",--(DATA_PROPERTY_MASTER!$E$5:$E$200="Yes"),--(DATA_PROPERTY_MASTER!$E$5:$E$200&lt;&gt;"Yes"))*--ISERROR(INDIRECT("'"&amp;DATA_PROPERTY_MASTER!$A$5:$A$200&amp;"'!"&amp;SUBSTITUTE(ADDRESS(1,COLUMN(R$5)+1,4),"1","")&amp;$B52)),0))</f>
        <v>0</v>
      </c>
      <c r="S52" s="350">
        <f ca="1">SUMPRODUCT(IFERROR((DATA_PROPERTY_MASTER!$A$5:$A$200&lt;&gt;"")*IF($C52="Included source errors",--(DATA_PROPERTY_MASTER!$E$5:$E$200="Yes"),--(DATA_PROPERTY_MASTER!$E$5:$E$200&lt;&gt;"Yes"))*--ISERROR(INDIRECT("'"&amp;DATA_PROPERTY_MASTER!$A$5:$A$200&amp;"'!"&amp;SUBSTITUTE(ADDRESS(1,COLUMN(S$5)+1,4),"1","")&amp;$B52)),0))</f>
        <v>0</v>
      </c>
      <c r="T52" s="350">
        <f ca="1">SUMPRODUCT(IFERROR((DATA_PROPERTY_MASTER!$A$5:$A$200&lt;&gt;"")*IF($C52="Included source errors",--(DATA_PROPERTY_MASTER!$E$5:$E$200="Yes"),--(DATA_PROPERTY_MASTER!$E$5:$E$200&lt;&gt;"Yes"))*--ISERROR(INDIRECT("'"&amp;DATA_PROPERTY_MASTER!$A$5:$A$200&amp;"'!"&amp;SUBSTITUTE(ADDRESS(1,COLUMN(T$5)+1,4),"1","")&amp;$B52)),0))</f>
        <v>0</v>
      </c>
      <c r="U52" s="350">
        <f ca="1">SUMPRODUCT(IFERROR((DATA_PROPERTY_MASTER!$A$5:$A$200&lt;&gt;"")*IF($C52="Included source errors",--(DATA_PROPERTY_MASTER!$E$5:$E$200="Yes"),--(DATA_PROPERTY_MASTER!$E$5:$E$200&lt;&gt;"Yes"))*--ISERROR(INDIRECT("'"&amp;DATA_PROPERTY_MASTER!$A$5:$A$200&amp;"'!"&amp;SUBSTITUTE(ADDRESS(1,COLUMN(U$5)+1,4),"1","")&amp;$B52)),0))</f>
        <v>0</v>
      </c>
      <c r="V52" s="350">
        <f ca="1">SUMPRODUCT(IFERROR((DATA_PROPERTY_MASTER!$A$5:$A$200&lt;&gt;"")*IF($C52="Included source errors",--(DATA_PROPERTY_MASTER!$E$5:$E$200="Yes"),--(DATA_PROPERTY_MASTER!$E$5:$E$200&lt;&gt;"Yes"))*--ISERROR(INDIRECT("'"&amp;DATA_PROPERTY_MASTER!$A$5:$A$200&amp;"'!"&amp;SUBSTITUTE(ADDRESS(1,COLUMN(V$5)+1,4),"1","")&amp;$B52)),0))</f>
        <v>0</v>
      </c>
      <c r="W52" s="350">
        <f ca="1">SUMPRODUCT(IFERROR((DATA_PROPERTY_MASTER!$A$5:$A$200&lt;&gt;"")*IF($C52="Included source errors",--(DATA_PROPERTY_MASTER!$E$5:$E$200="Yes"),--(DATA_PROPERTY_MASTER!$E$5:$E$200&lt;&gt;"Yes"))*--ISERROR(INDIRECT("'"&amp;DATA_PROPERTY_MASTER!$A$5:$A$200&amp;"'!"&amp;SUBSTITUTE(ADDRESS(1,COLUMN(W$5)+1,4),"1","")&amp;$B52)),0))</f>
        <v>0</v>
      </c>
      <c r="X52" s="350">
        <f ca="1">SUMPRODUCT(IFERROR((DATA_PROPERTY_MASTER!$A$5:$A$200&lt;&gt;"")*IF($C52="Included source errors",--(DATA_PROPERTY_MASTER!$E$5:$E$200="Yes"),--(DATA_PROPERTY_MASTER!$E$5:$E$200&lt;&gt;"Yes"))*--ISERROR(INDIRECT("'"&amp;DATA_PROPERTY_MASTER!$A$5:$A$200&amp;"'!"&amp;SUBSTITUTE(ADDRESS(1,COLUMN(X$5)+1,4),"1","")&amp;$B52)),0))</f>
        <v>0</v>
      </c>
      <c r="Y52" s="350">
        <f t="shared" ca="1" si="1"/>
        <v>0</v>
      </c>
      <c r="Z52" s="382" t="s">
        <v>7467</v>
      </c>
    </row>
    <row r="53" spans="1:26" ht="30">
      <c r="A53" s="382" t="s">
        <v>368</v>
      </c>
      <c r="B53" s="382">
        <v>62</v>
      </c>
      <c r="C53" s="382" t="s">
        <v>1563</v>
      </c>
      <c r="D53" s="350">
        <f ca="1">SUMPRODUCT(IFERROR((DATA_PROPERTY_MASTER!$A$5:$A$200&lt;&gt;"")*IF($C53="Included source errors",--(DATA_PROPERTY_MASTER!$E$5:$E$200="Yes"),--(DATA_PROPERTY_MASTER!$E$5:$E$200&lt;&gt;"Yes"))*--ISERROR(INDIRECT("'"&amp;DATA_PROPERTY_MASTER!$A$5:$A$200&amp;"'!"&amp;SUBSTITUTE(ADDRESS(1,COLUMN(D$5)+1,4),"1","")&amp;$B53)),0))</f>
        <v>0</v>
      </c>
      <c r="E53" s="350">
        <f ca="1">SUMPRODUCT(IFERROR((DATA_PROPERTY_MASTER!$A$5:$A$200&lt;&gt;"")*IF($C53="Included source errors",--(DATA_PROPERTY_MASTER!$E$5:$E$200="Yes"),--(DATA_PROPERTY_MASTER!$E$5:$E$200&lt;&gt;"Yes"))*--ISERROR(INDIRECT("'"&amp;DATA_PROPERTY_MASTER!$A$5:$A$200&amp;"'!"&amp;SUBSTITUTE(ADDRESS(1,COLUMN(E$5)+1,4),"1","")&amp;$B53)),0))</f>
        <v>0</v>
      </c>
      <c r="F53" s="350">
        <f ca="1">SUMPRODUCT(IFERROR((DATA_PROPERTY_MASTER!$A$5:$A$200&lt;&gt;"")*IF($C53="Included source errors",--(DATA_PROPERTY_MASTER!$E$5:$E$200="Yes"),--(DATA_PROPERTY_MASTER!$E$5:$E$200&lt;&gt;"Yes"))*--ISERROR(INDIRECT("'"&amp;DATA_PROPERTY_MASTER!$A$5:$A$200&amp;"'!"&amp;SUBSTITUTE(ADDRESS(1,COLUMN(F$5)+1,4),"1","")&amp;$B53)),0))</f>
        <v>0</v>
      </c>
      <c r="G53" s="350">
        <f ca="1">SUMPRODUCT(IFERROR((DATA_PROPERTY_MASTER!$A$5:$A$200&lt;&gt;"")*IF($C53="Included source errors",--(DATA_PROPERTY_MASTER!$E$5:$E$200="Yes"),--(DATA_PROPERTY_MASTER!$E$5:$E$200&lt;&gt;"Yes"))*--ISERROR(INDIRECT("'"&amp;DATA_PROPERTY_MASTER!$A$5:$A$200&amp;"'!"&amp;SUBSTITUTE(ADDRESS(1,COLUMN(G$5)+1,4),"1","")&amp;$B53)),0))</f>
        <v>0</v>
      </c>
      <c r="H53" s="350">
        <f ca="1">SUMPRODUCT(IFERROR((DATA_PROPERTY_MASTER!$A$5:$A$200&lt;&gt;"")*IF($C53="Included source errors",--(DATA_PROPERTY_MASTER!$E$5:$E$200="Yes"),--(DATA_PROPERTY_MASTER!$E$5:$E$200&lt;&gt;"Yes"))*--ISERROR(INDIRECT("'"&amp;DATA_PROPERTY_MASTER!$A$5:$A$200&amp;"'!"&amp;SUBSTITUTE(ADDRESS(1,COLUMN(H$5)+1,4),"1","")&amp;$B53)),0))</f>
        <v>0</v>
      </c>
      <c r="I53" s="350">
        <f ca="1">SUMPRODUCT(IFERROR((DATA_PROPERTY_MASTER!$A$5:$A$200&lt;&gt;"")*IF($C53="Included source errors",--(DATA_PROPERTY_MASTER!$E$5:$E$200="Yes"),--(DATA_PROPERTY_MASTER!$E$5:$E$200&lt;&gt;"Yes"))*--ISERROR(INDIRECT("'"&amp;DATA_PROPERTY_MASTER!$A$5:$A$200&amp;"'!"&amp;SUBSTITUTE(ADDRESS(1,COLUMN(I$5)+1,4),"1","")&amp;$B53)),0))</f>
        <v>0</v>
      </c>
      <c r="J53" s="350">
        <f ca="1">SUMPRODUCT(IFERROR((DATA_PROPERTY_MASTER!$A$5:$A$200&lt;&gt;"")*IF($C53="Included source errors",--(DATA_PROPERTY_MASTER!$E$5:$E$200="Yes"),--(DATA_PROPERTY_MASTER!$E$5:$E$200&lt;&gt;"Yes"))*--ISERROR(INDIRECT("'"&amp;DATA_PROPERTY_MASTER!$A$5:$A$200&amp;"'!"&amp;SUBSTITUTE(ADDRESS(1,COLUMN(J$5)+1,4),"1","")&amp;$B53)),0))</f>
        <v>0</v>
      </c>
      <c r="K53" s="350">
        <f ca="1">SUMPRODUCT(IFERROR((DATA_PROPERTY_MASTER!$A$5:$A$200&lt;&gt;"")*IF($C53="Included source errors",--(DATA_PROPERTY_MASTER!$E$5:$E$200="Yes"),--(DATA_PROPERTY_MASTER!$E$5:$E$200&lt;&gt;"Yes"))*--ISERROR(INDIRECT("'"&amp;DATA_PROPERTY_MASTER!$A$5:$A$200&amp;"'!"&amp;SUBSTITUTE(ADDRESS(1,COLUMN(K$5)+1,4),"1","")&amp;$B53)),0))</f>
        <v>0</v>
      </c>
      <c r="L53" s="350">
        <f ca="1">SUMPRODUCT(IFERROR((DATA_PROPERTY_MASTER!$A$5:$A$200&lt;&gt;"")*IF($C53="Included source errors",--(DATA_PROPERTY_MASTER!$E$5:$E$200="Yes"),--(DATA_PROPERTY_MASTER!$E$5:$E$200&lt;&gt;"Yes"))*--ISERROR(INDIRECT("'"&amp;DATA_PROPERTY_MASTER!$A$5:$A$200&amp;"'!"&amp;SUBSTITUTE(ADDRESS(1,COLUMN(L$5)+1,4),"1","")&amp;$B53)),0))</f>
        <v>0</v>
      </c>
      <c r="M53" s="350">
        <f ca="1">SUMPRODUCT(IFERROR((DATA_PROPERTY_MASTER!$A$5:$A$200&lt;&gt;"")*IF($C53="Included source errors",--(DATA_PROPERTY_MASTER!$E$5:$E$200="Yes"),--(DATA_PROPERTY_MASTER!$E$5:$E$200&lt;&gt;"Yes"))*--ISERROR(INDIRECT("'"&amp;DATA_PROPERTY_MASTER!$A$5:$A$200&amp;"'!"&amp;SUBSTITUTE(ADDRESS(1,COLUMN(M$5)+1,4),"1","")&amp;$B53)),0))</f>
        <v>0</v>
      </c>
      <c r="N53" s="350">
        <f ca="1">SUMPRODUCT(IFERROR((DATA_PROPERTY_MASTER!$A$5:$A$200&lt;&gt;"")*IF($C53="Included source errors",--(DATA_PROPERTY_MASTER!$E$5:$E$200="Yes"),--(DATA_PROPERTY_MASTER!$E$5:$E$200&lt;&gt;"Yes"))*--ISERROR(INDIRECT("'"&amp;DATA_PROPERTY_MASTER!$A$5:$A$200&amp;"'!"&amp;SUBSTITUTE(ADDRESS(1,COLUMN(N$5)+1,4),"1","")&amp;$B53)),0))</f>
        <v>0</v>
      </c>
      <c r="O53" s="350">
        <f ca="1">SUMPRODUCT(IFERROR((DATA_PROPERTY_MASTER!$A$5:$A$200&lt;&gt;"")*IF($C53="Included source errors",--(DATA_PROPERTY_MASTER!$E$5:$E$200="Yes"),--(DATA_PROPERTY_MASTER!$E$5:$E$200&lt;&gt;"Yes"))*--ISERROR(INDIRECT("'"&amp;DATA_PROPERTY_MASTER!$A$5:$A$200&amp;"'!"&amp;SUBSTITUTE(ADDRESS(1,COLUMN(O$5)+1,4),"1","")&amp;$B53)),0))</f>
        <v>0</v>
      </c>
      <c r="P53" s="350">
        <f ca="1">SUMPRODUCT(IFERROR((DATA_PROPERTY_MASTER!$A$5:$A$200&lt;&gt;"")*IF($C53="Included source errors",--(DATA_PROPERTY_MASTER!$E$5:$E$200="Yes"),--(DATA_PROPERTY_MASTER!$E$5:$E$200&lt;&gt;"Yes"))*--ISERROR(INDIRECT("'"&amp;DATA_PROPERTY_MASTER!$A$5:$A$200&amp;"'!"&amp;SUBSTITUTE(ADDRESS(1,COLUMN(P$5)+1,4),"1","")&amp;$B53)),0))</f>
        <v>0</v>
      </c>
      <c r="Q53" s="350">
        <f ca="1">SUMPRODUCT(IFERROR((DATA_PROPERTY_MASTER!$A$5:$A$200&lt;&gt;"")*IF($C53="Included source errors",--(DATA_PROPERTY_MASTER!$E$5:$E$200="Yes"),--(DATA_PROPERTY_MASTER!$E$5:$E$200&lt;&gt;"Yes"))*--ISERROR(INDIRECT("'"&amp;DATA_PROPERTY_MASTER!$A$5:$A$200&amp;"'!"&amp;SUBSTITUTE(ADDRESS(1,COLUMN(Q$5)+1,4),"1","")&amp;$B53)),0))</f>
        <v>0</v>
      </c>
      <c r="R53" s="350">
        <f ca="1">SUMPRODUCT(IFERROR((DATA_PROPERTY_MASTER!$A$5:$A$200&lt;&gt;"")*IF($C53="Included source errors",--(DATA_PROPERTY_MASTER!$E$5:$E$200="Yes"),--(DATA_PROPERTY_MASTER!$E$5:$E$200&lt;&gt;"Yes"))*--ISERROR(INDIRECT("'"&amp;DATA_PROPERTY_MASTER!$A$5:$A$200&amp;"'!"&amp;SUBSTITUTE(ADDRESS(1,COLUMN(R$5)+1,4),"1","")&amp;$B53)),0))</f>
        <v>0</v>
      </c>
      <c r="S53" s="350">
        <f ca="1">SUMPRODUCT(IFERROR((DATA_PROPERTY_MASTER!$A$5:$A$200&lt;&gt;"")*IF($C53="Included source errors",--(DATA_PROPERTY_MASTER!$E$5:$E$200="Yes"),--(DATA_PROPERTY_MASTER!$E$5:$E$200&lt;&gt;"Yes"))*--ISERROR(INDIRECT("'"&amp;DATA_PROPERTY_MASTER!$A$5:$A$200&amp;"'!"&amp;SUBSTITUTE(ADDRESS(1,COLUMN(S$5)+1,4),"1","")&amp;$B53)),0))</f>
        <v>0</v>
      </c>
      <c r="T53" s="350">
        <f ca="1">SUMPRODUCT(IFERROR((DATA_PROPERTY_MASTER!$A$5:$A$200&lt;&gt;"")*IF($C53="Included source errors",--(DATA_PROPERTY_MASTER!$E$5:$E$200="Yes"),--(DATA_PROPERTY_MASTER!$E$5:$E$200&lt;&gt;"Yes"))*--ISERROR(INDIRECT("'"&amp;DATA_PROPERTY_MASTER!$A$5:$A$200&amp;"'!"&amp;SUBSTITUTE(ADDRESS(1,COLUMN(T$5)+1,4),"1","")&amp;$B53)),0))</f>
        <v>0</v>
      </c>
      <c r="U53" s="350">
        <f ca="1">SUMPRODUCT(IFERROR((DATA_PROPERTY_MASTER!$A$5:$A$200&lt;&gt;"")*IF($C53="Included source errors",--(DATA_PROPERTY_MASTER!$E$5:$E$200="Yes"),--(DATA_PROPERTY_MASTER!$E$5:$E$200&lt;&gt;"Yes"))*--ISERROR(INDIRECT("'"&amp;DATA_PROPERTY_MASTER!$A$5:$A$200&amp;"'!"&amp;SUBSTITUTE(ADDRESS(1,COLUMN(U$5)+1,4),"1","")&amp;$B53)),0))</f>
        <v>0</v>
      </c>
      <c r="V53" s="350">
        <f ca="1">SUMPRODUCT(IFERROR((DATA_PROPERTY_MASTER!$A$5:$A$200&lt;&gt;"")*IF($C53="Included source errors",--(DATA_PROPERTY_MASTER!$E$5:$E$200="Yes"),--(DATA_PROPERTY_MASTER!$E$5:$E$200&lt;&gt;"Yes"))*--ISERROR(INDIRECT("'"&amp;DATA_PROPERTY_MASTER!$A$5:$A$200&amp;"'!"&amp;SUBSTITUTE(ADDRESS(1,COLUMN(V$5)+1,4),"1","")&amp;$B53)),0))</f>
        <v>0</v>
      </c>
      <c r="W53" s="350">
        <f ca="1">SUMPRODUCT(IFERROR((DATA_PROPERTY_MASTER!$A$5:$A$200&lt;&gt;"")*IF($C53="Included source errors",--(DATA_PROPERTY_MASTER!$E$5:$E$200="Yes"),--(DATA_PROPERTY_MASTER!$E$5:$E$200&lt;&gt;"Yes"))*--ISERROR(INDIRECT("'"&amp;DATA_PROPERTY_MASTER!$A$5:$A$200&amp;"'!"&amp;SUBSTITUTE(ADDRESS(1,COLUMN(W$5)+1,4),"1","")&amp;$B53)),0))</f>
        <v>0</v>
      </c>
      <c r="X53" s="350">
        <f ca="1">SUMPRODUCT(IFERROR((DATA_PROPERTY_MASTER!$A$5:$A$200&lt;&gt;"")*IF($C53="Included source errors",--(DATA_PROPERTY_MASTER!$E$5:$E$200="Yes"),--(DATA_PROPERTY_MASTER!$E$5:$E$200&lt;&gt;"Yes"))*--ISERROR(INDIRECT("'"&amp;DATA_PROPERTY_MASTER!$A$5:$A$200&amp;"'!"&amp;SUBSTITUTE(ADDRESS(1,COLUMN(X$5)+1,4),"1","")&amp;$B53)),0))</f>
        <v>0</v>
      </c>
      <c r="Y53" s="350">
        <f t="shared" ca="1" si="1"/>
        <v>0</v>
      </c>
      <c r="Z53" s="382" t="s">
        <v>7467</v>
      </c>
    </row>
    <row r="54" spans="1:26" ht="30">
      <c r="A54" s="382" t="s">
        <v>370</v>
      </c>
      <c r="B54" s="382">
        <v>64</v>
      </c>
      <c r="C54" s="382" t="s">
        <v>1560</v>
      </c>
      <c r="D54" s="350">
        <f ca="1">SUMPRODUCT(IFERROR((DATA_PROPERTY_MASTER!$A$5:$A$200&lt;&gt;"")*IF($C54="Included source errors",--(DATA_PROPERTY_MASTER!$E$5:$E$200="Yes"),--(DATA_PROPERTY_MASTER!$E$5:$E$200&lt;&gt;"Yes"))*--ISERROR(INDIRECT("'"&amp;DATA_PROPERTY_MASTER!$A$5:$A$200&amp;"'!"&amp;SUBSTITUTE(ADDRESS(1,COLUMN(D$5)+1,4),"1","")&amp;$B54)),0))</f>
        <v>0</v>
      </c>
      <c r="E54" s="350">
        <f ca="1">SUMPRODUCT(IFERROR((DATA_PROPERTY_MASTER!$A$5:$A$200&lt;&gt;"")*IF($C54="Included source errors",--(DATA_PROPERTY_MASTER!$E$5:$E$200="Yes"),--(DATA_PROPERTY_MASTER!$E$5:$E$200&lt;&gt;"Yes"))*--ISERROR(INDIRECT("'"&amp;DATA_PROPERTY_MASTER!$A$5:$A$200&amp;"'!"&amp;SUBSTITUTE(ADDRESS(1,COLUMN(E$5)+1,4),"1","")&amp;$B54)),0))</f>
        <v>0</v>
      </c>
      <c r="F54" s="350">
        <f ca="1">SUMPRODUCT(IFERROR((DATA_PROPERTY_MASTER!$A$5:$A$200&lt;&gt;"")*IF($C54="Included source errors",--(DATA_PROPERTY_MASTER!$E$5:$E$200="Yes"),--(DATA_PROPERTY_MASTER!$E$5:$E$200&lt;&gt;"Yes"))*--ISERROR(INDIRECT("'"&amp;DATA_PROPERTY_MASTER!$A$5:$A$200&amp;"'!"&amp;SUBSTITUTE(ADDRESS(1,COLUMN(F$5)+1,4),"1","")&amp;$B54)),0))</f>
        <v>0</v>
      </c>
      <c r="G54" s="350">
        <f ca="1">SUMPRODUCT(IFERROR((DATA_PROPERTY_MASTER!$A$5:$A$200&lt;&gt;"")*IF($C54="Included source errors",--(DATA_PROPERTY_MASTER!$E$5:$E$200="Yes"),--(DATA_PROPERTY_MASTER!$E$5:$E$200&lt;&gt;"Yes"))*--ISERROR(INDIRECT("'"&amp;DATA_PROPERTY_MASTER!$A$5:$A$200&amp;"'!"&amp;SUBSTITUTE(ADDRESS(1,COLUMN(G$5)+1,4),"1","")&amp;$B54)),0))</f>
        <v>0</v>
      </c>
      <c r="H54" s="350">
        <f ca="1">SUMPRODUCT(IFERROR((DATA_PROPERTY_MASTER!$A$5:$A$200&lt;&gt;"")*IF($C54="Included source errors",--(DATA_PROPERTY_MASTER!$E$5:$E$200="Yes"),--(DATA_PROPERTY_MASTER!$E$5:$E$200&lt;&gt;"Yes"))*--ISERROR(INDIRECT("'"&amp;DATA_PROPERTY_MASTER!$A$5:$A$200&amp;"'!"&amp;SUBSTITUTE(ADDRESS(1,COLUMN(H$5)+1,4),"1","")&amp;$B54)),0))</f>
        <v>0</v>
      </c>
      <c r="I54" s="350">
        <f ca="1">SUMPRODUCT(IFERROR((DATA_PROPERTY_MASTER!$A$5:$A$200&lt;&gt;"")*IF($C54="Included source errors",--(DATA_PROPERTY_MASTER!$E$5:$E$200="Yes"),--(DATA_PROPERTY_MASTER!$E$5:$E$200&lt;&gt;"Yes"))*--ISERROR(INDIRECT("'"&amp;DATA_PROPERTY_MASTER!$A$5:$A$200&amp;"'!"&amp;SUBSTITUTE(ADDRESS(1,COLUMN(I$5)+1,4),"1","")&amp;$B54)),0))</f>
        <v>0</v>
      </c>
      <c r="J54" s="350">
        <f ca="1">SUMPRODUCT(IFERROR((DATA_PROPERTY_MASTER!$A$5:$A$200&lt;&gt;"")*IF($C54="Included source errors",--(DATA_PROPERTY_MASTER!$E$5:$E$200="Yes"),--(DATA_PROPERTY_MASTER!$E$5:$E$200&lt;&gt;"Yes"))*--ISERROR(INDIRECT("'"&amp;DATA_PROPERTY_MASTER!$A$5:$A$200&amp;"'!"&amp;SUBSTITUTE(ADDRESS(1,COLUMN(J$5)+1,4),"1","")&amp;$B54)),0))</f>
        <v>0</v>
      </c>
      <c r="K54" s="350">
        <f ca="1">SUMPRODUCT(IFERROR((DATA_PROPERTY_MASTER!$A$5:$A$200&lt;&gt;"")*IF($C54="Included source errors",--(DATA_PROPERTY_MASTER!$E$5:$E$200="Yes"),--(DATA_PROPERTY_MASTER!$E$5:$E$200&lt;&gt;"Yes"))*--ISERROR(INDIRECT("'"&amp;DATA_PROPERTY_MASTER!$A$5:$A$200&amp;"'!"&amp;SUBSTITUTE(ADDRESS(1,COLUMN(K$5)+1,4),"1","")&amp;$B54)),0))</f>
        <v>0</v>
      </c>
      <c r="L54" s="350">
        <f ca="1">SUMPRODUCT(IFERROR((DATA_PROPERTY_MASTER!$A$5:$A$200&lt;&gt;"")*IF($C54="Included source errors",--(DATA_PROPERTY_MASTER!$E$5:$E$200="Yes"),--(DATA_PROPERTY_MASTER!$E$5:$E$200&lt;&gt;"Yes"))*--ISERROR(INDIRECT("'"&amp;DATA_PROPERTY_MASTER!$A$5:$A$200&amp;"'!"&amp;SUBSTITUTE(ADDRESS(1,COLUMN(L$5)+1,4),"1","")&amp;$B54)),0))</f>
        <v>0</v>
      </c>
      <c r="M54" s="350">
        <f ca="1">SUMPRODUCT(IFERROR((DATA_PROPERTY_MASTER!$A$5:$A$200&lt;&gt;"")*IF($C54="Included source errors",--(DATA_PROPERTY_MASTER!$E$5:$E$200="Yes"),--(DATA_PROPERTY_MASTER!$E$5:$E$200&lt;&gt;"Yes"))*--ISERROR(INDIRECT("'"&amp;DATA_PROPERTY_MASTER!$A$5:$A$200&amp;"'!"&amp;SUBSTITUTE(ADDRESS(1,COLUMN(M$5)+1,4),"1","")&amp;$B54)),0))</f>
        <v>0</v>
      </c>
      <c r="N54" s="350">
        <f ca="1">SUMPRODUCT(IFERROR((DATA_PROPERTY_MASTER!$A$5:$A$200&lt;&gt;"")*IF($C54="Included source errors",--(DATA_PROPERTY_MASTER!$E$5:$E$200="Yes"),--(DATA_PROPERTY_MASTER!$E$5:$E$200&lt;&gt;"Yes"))*--ISERROR(INDIRECT("'"&amp;DATA_PROPERTY_MASTER!$A$5:$A$200&amp;"'!"&amp;SUBSTITUTE(ADDRESS(1,COLUMN(N$5)+1,4),"1","")&amp;$B54)),0))</f>
        <v>0</v>
      </c>
      <c r="O54" s="350">
        <f ca="1">SUMPRODUCT(IFERROR((DATA_PROPERTY_MASTER!$A$5:$A$200&lt;&gt;"")*IF($C54="Included source errors",--(DATA_PROPERTY_MASTER!$E$5:$E$200="Yes"),--(DATA_PROPERTY_MASTER!$E$5:$E$200&lt;&gt;"Yes"))*--ISERROR(INDIRECT("'"&amp;DATA_PROPERTY_MASTER!$A$5:$A$200&amp;"'!"&amp;SUBSTITUTE(ADDRESS(1,COLUMN(O$5)+1,4),"1","")&amp;$B54)),0))</f>
        <v>0</v>
      </c>
      <c r="P54" s="350">
        <f ca="1">SUMPRODUCT(IFERROR((DATA_PROPERTY_MASTER!$A$5:$A$200&lt;&gt;"")*IF($C54="Included source errors",--(DATA_PROPERTY_MASTER!$E$5:$E$200="Yes"),--(DATA_PROPERTY_MASTER!$E$5:$E$200&lt;&gt;"Yes"))*--ISERROR(INDIRECT("'"&amp;DATA_PROPERTY_MASTER!$A$5:$A$200&amp;"'!"&amp;SUBSTITUTE(ADDRESS(1,COLUMN(P$5)+1,4),"1","")&amp;$B54)),0))</f>
        <v>0</v>
      </c>
      <c r="Q54" s="350">
        <f ca="1">SUMPRODUCT(IFERROR((DATA_PROPERTY_MASTER!$A$5:$A$200&lt;&gt;"")*IF($C54="Included source errors",--(DATA_PROPERTY_MASTER!$E$5:$E$200="Yes"),--(DATA_PROPERTY_MASTER!$E$5:$E$200&lt;&gt;"Yes"))*--ISERROR(INDIRECT("'"&amp;DATA_PROPERTY_MASTER!$A$5:$A$200&amp;"'!"&amp;SUBSTITUTE(ADDRESS(1,COLUMN(Q$5)+1,4),"1","")&amp;$B54)),0))</f>
        <v>0</v>
      </c>
      <c r="R54" s="350">
        <f ca="1">SUMPRODUCT(IFERROR((DATA_PROPERTY_MASTER!$A$5:$A$200&lt;&gt;"")*IF($C54="Included source errors",--(DATA_PROPERTY_MASTER!$E$5:$E$200="Yes"),--(DATA_PROPERTY_MASTER!$E$5:$E$200&lt;&gt;"Yes"))*--ISERROR(INDIRECT("'"&amp;DATA_PROPERTY_MASTER!$A$5:$A$200&amp;"'!"&amp;SUBSTITUTE(ADDRESS(1,COLUMN(R$5)+1,4),"1","")&amp;$B54)),0))</f>
        <v>0</v>
      </c>
      <c r="S54" s="350">
        <f ca="1">SUMPRODUCT(IFERROR((DATA_PROPERTY_MASTER!$A$5:$A$200&lt;&gt;"")*IF($C54="Included source errors",--(DATA_PROPERTY_MASTER!$E$5:$E$200="Yes"),--(DATA_PROPERTY_MASTER!$E$5:$E$200&lt;&gt;"Yes"))*--ISERROR(INDIRECT("'"&amp;DATA_PROPERTY_MASTER!$A$5:$A$200&amp;"'!"&amp;SUBSTITUTE(ADDRESS(1,COLUMN(S$5)+1,4),"1","")&amp;$B54)),0))</f>
        <v>0</v>
      </c>
      <c r="T54" s="350">
        <f ca="1">SUMPRODUCT(IFERROR((DATA_PROPERTY_MASTER!$A$5:$A$200&lt;&gt;"")*IF($C54="Included source errors",--(DATA_PROPERTY_MASTER!$E$5:$E$200="Yes"),--(DATA_PROPERTY_MASTER!$E$5:$E$200&lt;&gt;"Yes"))*--ISERROR(INDIRECT("'"&amp;DATA_PROPERTY_MASTER!$A$5:$A$200&amp;"'!"&amp;SUBSTITUTE(ADDRESS(1,COLUMN(T$5)+1,4),"1","")&amp;$B54)),0))</f>
        <v>0</v>
      </c>
      <c r="U54" s="350">
        <f ca="1">SUMPRODUCT(IFERROR((DATA_PROPERTY_MASTER!$A$5:$A$200&lt;&gt;"")*IF($C54="Included source errors",--(DATA_PROPERTY_MASTER!$E$5:$E$200="Yes"),--(DATA_PROPERTY_MASTER!$E$5:$E$200&lt;&gt;"Yes"))*--ISERROR(INDIRECT("'"&amp;DATA_PROPERTY_MASTER!$A$5:$A$200&amp;"'!"&amp;SUBSTITUTE(ADDRESS(1,COLUMN(U$5)+1,4),"1","")&amp;$B54)),0))</f>
        <v>0</v>
      </c>
      <c r="V54" s="350">
        <f ca="1">SUMPRODUCT(IFERROR((DATA_PROPERTY_MASTER!$A$5:$A$200&lt;&gt;"")*IF($C54="Included source errors",--(DATA_PROPERTY_MASTER!$E$5:$E$200="Yes"),--(DATA_PROPERTY_MASTER!$E$5:$E$200&lt;&gt;"Yes"))*--ISERROR(INDIRECT("'"&amp;DATA_PROPERTY_MASTER!$A$5:$A$200&amp;"'!"&amp;SUBSTITUTE(ADDRESS(1,COLUMN(V$5)+1,4),"1","")&amp;$B54)),0))</f>
        <v>0</v>
      </c>
      <c r="W54" s="350">
        <f ca="1">SUMPRODUCT(IFERROR((DATA_PROPERTY_MASTER!$A$5:$A$200&lt;&gt;"")*IF($C54="Included source errors",--(DATA_PROPERTY_MASTER!$E$5:$E$200="Yes"),--(DATA_PROPERTY_MASTER!$E$5:$E$200&lt;&gt;"Yes"))*--ISERROR(INDIRECT("'"&amp;DATA_PROPERTY_MASTER!$A$5:$A$200&amp;"'!"&amp;SUBSTITUTE(ADDRESS(1,COLUMN(W$5)+1,4),"1","")&amp;$B54)),0))</f>
        <v>0</v>
      </c>
      <c r="X54" s="350">
        <f ca="1">SUMPRODUCT(IFERROR((DATA_PROPERTY_MASTER!$A$5:$A$200&lt;&gt;"")*IF($C54="Included source errors",--(DATA_PROPERTY_MASTER!$E$5:$E$200="Yes"),--(DATA_PROPERTY_MASTER!$E$5:$E$200&lt;&gt;"Yes"))*--ISERROR(INDIRECT("'"&amp;DATA_PROPERTY_MASTER!$A$5:$A$200&amp;"'!"&amp;SUBSTITUTE(ADDRESS(1,COLUMN(X$5)+1,4),"1","")&amp;$B54)),0))</f>
        <v>0</v>
      </c>
      <c r="Y54" s="350">
        <f t="shared" ca="1" si="1"/>
        <v>0</v>
      </c>
      <c r="Z54" s="382" t="s">
        <v>7467</v>
      </c>
    </row>
    <row r="55" spans="1:26" ht="30">
      <c r="A55" s="382" t="s">
        <v>370</v>
      </c>
      <c r="B55" s="382">
        <v>64</v>
      </c>
      <c r="C55" s="382" t="s">
        <v>1563</v>
      </c>
      <c r="D55" s="350">
        <f ca="1">SUMPRODUCT(IFERROR((DATA_PROPERTY_MASTER!$A$5:$A$200&lt;&gt;"")*IF($C55="Included source errors",--(DATA_PROPERTY_MASTER!$E$5:$E$200="Yes"),--(DATA_PROPERTY_MASTER!$E$5:$E$200&lt;&gt;"Yes"))*--ISERROR(INDIRECT("'"&amp;DATA_PROPERTY_MASTER!$A$5:$A$200&amp;"'!"&amp;SUBSTITUTE(ADDRESS(1,COLUMN(D$5)+1,4),"1","")&amp;$B55)),0))</f>
        <v>0</v>
      </c>
      <c r="E55" s="350">
        <f ca="1">SUMPRODUCT(IFERROR((DATA_PROPERTY_MASTER!$A$5:$A$200&lt;&gt;"")*IF($C55="Included source errors",--(DATA_PROPERTY_MASTER!$E$5:$E$200="Yes"),--(DATA_PROPERTY_MASTER!$E$5:$E$200&lt;&gt;"Yes"))*--ISERROR(INDIRECT("'"&amp;DATA_PROPERTY_MASTER!$A$5:$A$200&amp;"'!"&amp;SUBSTITUTE(ADDRESS(1,COLUMN(E$5)+1,4),"1","")&amp;$B55)),0))</f>
        <v>0</v>
      </c>
      <c r="F55" s="350">
        <f ca="1">SUMPRODUCT(IFERROR((DATA_PROPERTY_MASTER!$A$5:$A$200&lt;&gt;"")*IF($C55="Included source errors",--(DATA_PROPERTY_MASTER!$E$5:$E$200="Yes"),--(DATA_PROPERTY_MASTER!$E$5:$E$200&lt;&gt;"Yes"))*--ISERROR(INDIRECT("'"&amp;DATA_PROPERTY_MASTER!$A$5:$A$200&amp;"'!"&amp;SUBSTITUTE(ADDRESS(1,COLUMN(F$5)+1,4),"1","")&amp;$B55)),0))</f>
        <v>0</v>
      </c>
      <c r="G55" s="350">
        <f ca="1">SUMPRODUCT(IFERROR((DATA_PROPERTY_MASTER!$A$5:$A$200&lt;&gt;"")*IF($C55="Included source errors",--(DATA_PROPERTY_MASTER!$E$5:$E$200="Yes"),--(DATA_PROPERTY_MASTER!$E$5:$E$200&lt;&gt;"Yes"))*--ISERROR(INDIRECT("'"&amp;DATA_PROPERTY_MASTER!$A$5:$A$200&amp;"'!"&amp;SUBSTITUTE(ADDRESS(1,COLUMN(G$5)+1,4),"1","")&amp;$B55)),0))</f>
        <v>0</v>
      </c>
      <c r="H55" s="350">
        <f ca="1">SUMPRODUCT(IFERROR((DATA_PROPERTY_MASTER!$A$5:$A$200&lt;&gt;"")*IF($C55="Included source errors",--(DATA_PROPERTY_MASTER!$E$5:$E$200="Yes"),--(DATA_PROPERTY_MASTER!$E$5:$E$200&lt;&gt;"Yes"))*--ISERROR(INDIRECT("'"&amp;DATA_PROPERTY_MASTER!$A$5:$A$200&amp;"'!"&amp;SUBSTITUTE(ADDRESS(1,COLUMN(H$5)+1,4),"1","")&amp;$B55)),0))</f>
        <v>0</v>
      </c>
      <c r="I55" s="350">
        <f ca="1">SUMPRODUCT(IFERROR((DATA_PROPERTY_MASTER!$A$5:$A$200&lt;&gt;"")*IF($C55="Included source errors",--(DATA_PROPERTY_MASTER!$E$5:$E$200="Yes"),--(DATA_PROPERTY_MASTER!$E$5:$E$200&lt;&gt;"Yes"))*--ISERROR(INDIRECT("'"&amp;DATA_PROPERTY_MASTER!$A$5:$A$200&amp;"'!"&amp;SUBSTITUTE(ADDRESS(1,COLUMN(I$5)+1,4),"1","")&amp;$B55)),0))</f>
        <v>0</v>
      </c>
      <c r="J55" s="350">
        <f ca="1">SUMPRODUCT(IFERROR((DATA_PROPERTY_MASTER!$A$5:$A$200&lt;&gt;"")*IF($C55="Included source errors",--(DATA_PROPERTY_MASTER!$E$5:$E$200="Yes"),--(DATA_PROPERTY_MASTER!$E$5:$E$200&lt;&gt;"Yes"))*--ISERROR(INDIRECT("'"&amp;DATA_PROPERTY_MASTER!$A$5:$A$200&amp;"'!"&amp;SUBSTITUTE(ADDRESS(1,COLUMN(J$5)+1,4),"1","")&amp;$B55)),0))</f>
        <v>0</v>
      </c>
      <c r="K55" s="350">
        <f ca="1">SUMPRODUCT(IFERROR((DATA_PROPERTY_MASTER!$A$5:$A$200&lt;&gt;"")*IF($C55="Included source errors",--(DATA_PROPERTY_MASTER!$E$5:$E$200="Yes"),--(DATA_PROPERTY_MASTER!$E$5:$E$200&lt;&gt;"Yes"))*--ISERROR(INDIRECT("'"&amp;DATA_PROPERTY_MASTER!$A$5:$A$200&amp;"'!"&amp;SUBSTITUTE(ADDRESS(1,COLUMN(K$5)+1,4),"1","")&amp;$B55)),0))</f>
        <v>0</v>
      </c>
      <c r="L55" s="350">
        <f ca="1">SUMPRODUCT(IFERROR((DATA_PROPERTY_MASTER!$A$5:$A$200&lt;&gt;"")*IF($C55="Included source errors",--(DATA_PROPERTY_MASTER!$E$5:$E$200="Yes"),--(DATA_PROPERTY_MASTER!$E$5:$E$200&lt;&gt;"Yes"))*--ISERROR(INDIRECT("'"&amp;DATA_PROPERTY_MASTER!$A$5:$A$200&amp;"'!"&amp;SUBSTITUTE(ADDRESS(1,COLUMN(L$5)+1,4),"1","")&amp;$B55)),0))</f>
        <v>0</v>
      </c>
      <c r="M55" s="350">
        <f ca="1">SUMPRODUCT(IFERROR((DATA_PROPERTY_MASTER!$A$5:$A$200&lt;&gt;"")*IF($C55="Included source errors",--(DATA_PROPERTY_MASTER!$E$5:$E$200="Yes"),--(DATA_PROPERTY_MASTER!$E$5:$E$200&lt;&gt;"Yes"))*--ISERROR(INDIRECT("'"&amp;DATA_PROPERTY_MASTER!$A$5:$A$200&amp;"'!"&amp;SUBSTITUTE(ADDRESS(1,COLUMN(M$5)+1,4),"1","")&amp;$B55)),0))</f>
        <v>0</v>
      </c>
      <c r="N55" s="350">
        <f ca="1">SUMPRODUCT(IFERROR((DATA_PROPERTY_MASTER!$A$5:$A$200&lt;&gt;"")*IF($C55="Included source errors",--(DATA_PROPERTY_MASTER!$E$5:$E$200="Yes"),--(DATA_PROPERTY_MASTER!$E$5:$E$200&lt;&gt;"Yes"))*--ISERROR(INDIRECT("'"&amp;DATA_PROPERTY_MASTER!$A$5:$A$200&amp;"'!"&amp;SUBSTITUTE(ADDRESS(1,COLUMN(N$5)+1,4),"1","")&amp;$B55)),0))</f>
        <v>0</v>
      </c>
      <c r="O55" s="350">
        <f ca="1">SUMPRODUCT(IFERROR((DATA_PROPERTY_MASTER!$A$5:$A$200&lt;&gt;"")*IF($C55="Included source errors",--(DATA_PROPERTY_MASTER!$E$5:$E$200="Yes"),--(DATA_PROPERTY_MASTER!$E$5:$E$200&lt;&gt;"Yes"))*--ISERROR(INDIRECT("'"&amp;DATA_PROPERTY_MASTER!$A$5:$A$200&amp;"'!"&amp;SUBSTITUTE(ADDRESS(1,COLUMN(O$5)+1,4),"1","")&amp;$B55)),0))</f>
        <v>0</v>
      </c>
      <c r="P55" s="350">
        <f ca="1">SUMPRODUCT(IFERROR((DATA_PROPERTY_MASTER!$A$5:$A$200&lt;&gt;"")*IF($C55="Included source errors",--(DATA_PROPERTY_MASTER!$E$5:$E$200="Yes"),--(DATA_PROPERTY_MASTER!$E$5:$E$200&lt;&gt;"Yes"))*--ISERROR(INDIRECT("'"&amp;DATA_PROPERTY_MASTER!$A$5:$A$200&amp;"'!"&amp;SUBSTITUTE(ADDRESS(1,COLUMN(P$5)+1,4),"1","")&amp;$B55)),0))</f>
        <v>0</v>
      </c>
      <c r="Q55" s="350">
        <f ca="1">SUMPRODUCT(IFERROR((DATA_PROPERTY_MASTER!$A$5:$A$200&lt;&gt;"")*IF($C55="Included source errors",--(DATA_PROPERTY_MASTER!$E$5:$E$200="Yes"),--(DATA_PROPERTY_MASTER!$E$5:$E$200&lt;&gt;"Yes"))*--ISERROR(INDIRECT("'"&amp;DATA_PROPERTY_MASTER!$A$5:$A$200&amp;"'!"&amp;SUBSTITUTE(ADDRESS(1,COLUMN(Q$5)+1,4),"1","")&amp;$B55)),0))</f>
        <v>0</v>
      </c>
      <c r="R55" s="350">
        <f ca="1">SUMPRODUCT(IFERROR((DATA_PROPERTY_MASTER!$A$5:$A$200&lt;&gt;"")*IF($C55="Included source errors",--(DATA_PROPERTY_MASTER!$E$5:$E$200="Yes"),--(DATA_PROPERTY_MASTER!$E$5:$E$200&lt;&gt;"Yes"))*--ISERROR(INDIRECT("'"&amp;DATA_PROPERTY_MASTER!$A$5:$A$200&amp;"'!"&amp;SUBSTITUTE(ADDRESS(1,COLUMN(R$5)+1,4),"1","")&amp;$B55)),0))</f>
        <v>0</v>
      </c>
      <c r="S55" s="350">
        <f ca="1">SUMPRODUCT(IFERROR((DATA_PROPERTY_MASTER!$A$5:$A$200&lt;&gt;"")*IF($C55="Included source errors",--(DATA_PROPERTY_MASTER!$E$5:$E$200="Yes"),--(DATA_PROPERTY_MASTER!$E$5:$E$200&lt;&gt;"Yes"))*--ISERROR(INDIRECT("'"&amp;DATA_PROPERTY_MASTER!$A$5:$A$200&amp;"'!"&amp;SUBSTITUTE(ADDRESS(1,COLUMN(S$5)+1,4),"1","")&amp;$B55)),0))</f>
        <v>0</v>
      </c>
      <c r="T55" s="350">
        <f ca="1">SUMPRODUCT(IFERROR((DATA_PROPERTY_MASTER!$A$5:$A$200&lt;&gt;"")*IF($C55="Included source errors",--(DATA_PROPERTY_MASTER!$E$5:$E$200="Yes"),--(DATA_PROPERTY_MASTER!$E$5:$E$200&lt;&gt;"Yes"))*--ISERROR(INDIRECT("'"&amp;DATA_PROPERTY_MASTER!$A$5:$A$200&amp;"'!"&amp;SUBSTITUTE(ADDRESS(1,COLUMN(T$5)+1,4),"1","")&amp;$B55)),0))</f>
        <v>0</v>
      </c>
      <c r="U55" s="350">
        <f ca="1">SUMPRODUCT(IFERROR((DATA_PROPERTY_MASTER!$A$5:$A$200&lt;&gt;"")*IF($C55="Included source errors",--(DATA_PROPERTY_MASTER!$E$5:$E$200="Yes"),--(DATA_PROPERTY_MASTER!$E$5:$E$200&lt;&gt;"Yes"))*--ISERROR(INDIRECT("'"&amp;DATA_PROPERTY_MASTER!$A$5:$A$200&amp;"'!"&amp;SUBSTITUTE(ADDRESS(1,COLUMN(U$5)+1,4),"1","")&amp;$B55)),0))</f>
        <v>0</v>
      </c>
      <c r="V55" s="350">
        <f ca="1">SUMPRODUCT(IFERROR((DATA_PROPERTY_MASTER!$A$5:$A$200&lt;&gt;"")*IF($C55="Included source errors",--(DATA_PROPERTY_MASTER!$E$5:$E$200="Yes"),--(DATA_PROPERTY_MASTER!$E$5:$E$200&lt;&gt;"Yes"))*--ISERROR(INDIRECT("'"&amp;DATA_PROPERTY_MASTER!$A$5:$A$200&amp;"'!"&amp;SUBSTITUTE(ADDRESS(1,COLUMN(V$5)+1,4),"1","")&amp;$B55)),0))</f>
        <v>0</v>
      </c>
      <c r="W55" s="350">
        <f ca="1">SUMPRODUCT(IFERROR((DATA_PROPERTY_MASTER!$A$5:$A$200&lt;&gt;"")*IF($C55="Included source errors",--(DATA_PROPERTY_MASTER!$E$5:$E$200="Yes"),--(DATA_PROPERTY_MASTER!$E$5:$E$200&lt;&gt;"Yes"))*--ISERROR(INDIRECT("'"&amp;DATA_PROPERTY_MASTER!$A$5:$A$200&amp;"'!"&amp;SUBSTITUTE(ADDRESS(1,COLUMN(W$5)+1,4),"1","")&amp;$B55)),0))</f>
        <v>0</v>
      </c>
      <c r="X55" s="350">
        <f ca="1">SUMPRODUCT(IFERROR((DATA_PROPERTY_MASTER!$A$5:$A$200&lt;&gt;"")*IF($C55="Included source errors",--(DATA_PROPERTY_MASTER!$E$5:$E$200="Yes"),--(DATA_PROPERTY_MASTER!$E$5:$E$200&lt;&gt;"Yes"))*--ISERROR(INDIRECT("'"&amp;DATA_PROPERTY_MASTER!$A$5:$A$200&amp;"'!"&amp;SUBSTITUTE(ADDRESS(1,COLUMN(X$5)+1,4),"1","")&amp;$B55)),0))</f>
        <v>0</v>
      </c>
      <c r="Y55" s="350">
        <f t="shared" ca="1" si="1"/>
        <v>0</v>
      </c>
      <c r="Z55" s="382" t="s">
        <v>7467</v>
      </c>
    </row>
    <row r="56" spans="1:26">
      <c r="D56" s="348">
        <f ca="1">SUMPRODUCT(IFERROR((DATA_PROPERTY_MASTER!$A$5:$A$200&lt;&gt;"")*IF($C56="Included source errors",--(DATA_PROPERTY_MASTER!$E$5:$E$200="Yes"),--(DATA_PROPERTY_MASTER!$E$5:$E$200&lt;&gt;"Yes"))*--ISERROR(INDIRECT("'"&amp;DATA_PROPERTY_MASTER!$A$5:$A$200&amp;"'!"&amp;SUBSTITUTE(ADDRESS(1,COLUMN(D$5)+1,4),"1","")&amp;$B56)),0))</f>
        <v>0</v>
      </c>
      <c r="E56" s="348">
        <f ca="1">SUMPRODUCT(IFERROR((DATA_PROPERTY_MASTER!$A$5:$A$200&lt;&gt;"")*IF($C56="Included source errors",--(DATA_PROPERTY_MASTER!$E$5:$E$200="Yes"),--(DATA_PROPERTY_MASTER!$E$5:$E$200&lt;&gt;"Yes"))*--ISERROR(INDIRECT("'"&amp;DATA_PROPERTY_MASTER!$A$5:$A$200&amp;"'!"&amp;SUBSTITUTE(ADDRESS(1,COLUMN(E$5)+1,4),"1","")&amp;$B56)),0))</f>
        <v>0</v>
      </c>
      <c r="F56" s="348">
        <f ca="1">SUMPRODUCT(IFERROR((DATA_PROPERTY_MASTER!$A$5:$A$200&lt;&gt;"")*IF($C56="Included source errors",--(DATA_PROPERTY_MASTER!$E$5:$E$200="Yes"),--(DATA_PROPERTY_MASTER!$E$5:$E$200&lt;&gt;"Yes"))*--ISERROR(INDIRECT("'"&amp;DATA_PROPERTY_MASTER!$A$5:$A$200&amp;"'!"&amp;SUBSTITUTE(ADDRESS(1,COLUMN(F$5)+1,4),"1","")&amp;$B56)),0))</f>
        <v>0</v>
      </c>
      <c r="G56" s="348">
        <f ca="1">SUMPRODUCT(IFERROR((DATA_PROPERTY_MASTER!$A$5:$A$200&lt;&gt;"")*IF($C56="Included source errors",--(DATA_PROPERTY_MASTER!$E$5:$E$200="Yes"),--(DATA_PROPERTY_MASTER!$E$5:$E$200&lt;&gt;"Yes"))*--ISERROR(INDIRECT("'"&amp;DATA_PROPERTY_MASTER!$A$5:$A$200&amp;"'!"&amp;SUBSTITUTE(ADDRESS(1,COLUMN(G$5)+1,4),"1","")&amp;$B56)),0))</f>
        <v>0</v>
      </c>
      <c r="H56" s="348">
        <f ca="1">SUMPRODUCT(IFERROR((DATA_PROPERTY_MASTER!$A$5:$A$200&lt;&gt;"")*IF($C56="Included source errors",--(DATA_PROPERTY_MASTER!$E$5:$E$200="Yes"),--(DATA_PROPERTY_MASTER!$E$5:$E$200&lt;&gt;"Yes"))*--ISERROR(INDIRECT("'"&amp;DATA_PROPERTY_MASTER!$A$5:$A$200&amp;"'!"&amp;SUBSTITUTE(ADDRESS(1,COLUMN(H$5)+1,4),"1","")&amp;$B56)),0))</f>
        <v>0</v>
      </c>
      <c r="I56" s="348">
        <f ca="1">SUMPRODUCT(IFERROR((DATA_PROPERTY_MASTER!$A$5:$A$200&lt;&gt;"")*IF($C56="Included source errors",--(DATA_PROPERTY_MASTER!$E$5:$E$200="Yes"),--(DATA_PROPERTY_MASTER!$E$5:$E$200&lt;&gt;"Yes"))*--ISERROR(INDIRECT("'"&amp;DATA_PROPERTY_MASTER!$A$5:$A$200&amp;"'!"&amp;SUBSTITUTE(ADDRESS(1,COLUMN(I$5)+1,4),"1","")&amp;$B56)),0))</f>
        <v>0</v>
      </c>
      <c r="J56" s="348">
        <f ca="1">SUMPRODUCT(IFERROR((DATA_PROPERTY_MASTER!$A$5:$A$200&lt;&gt;"")*IF($C56="Included source errors",--(DATA_PROPERTY_MASTER!$E$5:$E$200="Yes"),--(DATA_PROPERTY_MASTER!$E$5:$E$200&lt;&gt;"Yes"))*--ISERROR(INDIRECT("'"&amp;DATA_PROPERTY_MASTER!$A$5:$A$200&amp;"'!"&amp;SUBSTITUTE(ADDRESS(1,COLUMN(J$5)+1,4),"1","")&amp;$B56)),0))</f>
        <v>0</v>
      </c>
      <c r="K56" s="348">
        <f ca="1">SUMPRODUCT(IFERROR((DATA_PROPERTY_MASTER!$A$5:$A$200&lt;&gt;"")*IF($C56="Included source errors",--(DATA_PROPERTY_MASTER!$E$5:$E$200="Yes"),--(DATA_PROPERTY_MASTER!$E$5:$E$200&lt;&gt;"Yes"))*--ISERROR(INDIRECT("'"&amp;DATA_PROPERTY_MASTER!$A$5:$A$200&amp;"'!"&amp;SUBSTITUTE(ADDRESS(1,COLUMN(K$5)+1,4),"1","")&amp;$B56)),0))</f>
        <v>0</v>
      </c>
      <c r="L56" s="348">
        <f ca="1">SUMPRODUCT(IFERROR((DATA_PROPERTY_MASTER!$A$5:$A$200&lt;&gt;"")*IF($C56="Included source errors",--(DATA_PROPERTY_MASTER!$E$5:$E$200="Yes"),--(DATA_PROPERTY_MASTER!$E$5:$E$200&lt;&gt;"Yes"))*--ISERROR(INDIRECT("'"&amp;DATA_PROPERTY_MASTER!$A$5:$A$200&amp;"'!"&amp;SUBSTITUTE(ADDRESS(1,COLUMN(L$5)+1,4),"1","")&amp;$B56)),0))</f>
        <v>0</v>
      </c>
      <c r="M56" s="348">
        <f ca="1">SUMPRODUCT(IFERROR((DATA_PROPERTY_MASTER!$A$5:$A$200&lt;&gt;"")*IF($C56="Included source errors",--(DATA_PROPERTY_MASTER!$E$5:$E$200="Yes"),--(DATA_PROPERTY_MASTER!$E$5:$E$200&lt;&gt;"Yes"))*--ISERROR(INDIRECT("'"&amp;DATA_PROPERTY_MASTER!$A$5:$A$200&amp;"'!"&amp;SUBSTITUTE(ADDRESS(1,COLUMN(M$5)+1,4),"1","")&amp;$B56)),0))</f>
        <v>0</v>
      </c>
      <c r="N56" s="348">
        <f ca="1">SUMPRODUCT(IFERROR((DATA_PROPERTY_MASTER!$A$5:$A$200&lt;&gt;"")*IF($C56="Included source errors",--(DATA_PROPERTY_MASTER!$E$5:$E$200="Yes"),--(DATA_PROPERTY_MASTER!$E$5:$E$200&lt;&gt;"Yes"))*--ISERROR(INDIRECT("'"&amp;DATA_PROPERTY_MASTER!$A$5:$A$200&amp;"'!"&amp;SUBSTITUTE(ADDRESS(1,COLUMN(N$5)+1,4),"1","")&amp;$B56)),0))</f>
        <v>0</v>
      </c>
      <c r="O56" s="348">
        <f ca="1">SUMPRODUCT(IFERROR((DATA_PROPERTY_MASTER!$A$5:$A$200&lt;&gt;"")*IF($C56="Included source errors",--(DATA_PROPERTY_MASTER!$E$5:$E$200="Yes"),--(DATA_PROPERTY_MASTER!$E$5:$E$200&lt;&gt;"Yes"))*--ISERROR(INDIRECT("'"&amp;DATA_PROPERTY_MASTER!$A$5:$A$200&amp;"'!"&amp;SUBSTITUTE(ADDRESS(1,COLUMN(O$5)+1,4),"1","")&amp;$B56)),0))</f>
        <v>0</v>
      </c>
      <c r="P56" s="348">
        <f ca="1">SUMPRODUCT(IFERROR((DATA_PROPERTY_MASTER!$A$5:$A$200&lt;&gt;"")*IF($C56="Included source errors",--(DATA_PROPERTY_MASTER!$E$5:$E$200="Yes"),--(DATA_PROPERTY_MASTER!$E$5:$E$200&lt;&gt;"Yes"))*--ISERROR(INDIRECT("'"&amp;DATA_PROPERTY_MASTER!$A$5:$A$200&amp;"'!"&amp;SUBSTITUTE(ADDRESS(1,COLUMN(P$5)+1,4),"1","")&amp;$B56)),0))</f>
        <v>0</v>
      </c>
      <c r="Q56" s="348">
        <f ca="1">SUMPRODUCT(IFERROR((DATA_PROPERTY_MASTER!$A$5:$A$200&lt;&gt;"")*IF($C56="Included source errors",--(DATA_PROPERTY_MASTER!$E$5:$E$200="Yes"),--(DATA_PROPERTY_MASTER!$E$5:$E$200&lt;&gt;"Yes"))*--ISERROR(INDIRECT("'"&amp;DATA_PROPERTY_MASTER!$A$5:$A$200&amp;"'!"&amp;SUBSTITUTE(ADDRESS(1,COLUMN(Q$5)+1,4),"1","")&amp;$B56)),0))</f>
        <v>0</v>
      </c>
      <c r="R56" s="348">
        <f ca="1">SUMPRODUCT(IFERROR((DATA_PROPERTY_MASTER!$A$5:$A$200&lt;&gt;"")*IF($C56="Included source errors",--(DATA_PROPERTY_MASTER!$E$5:$E$200="Yes"),--(DATA_PROPERTY_MASTER!$E$5:$E$200&lt;&gt;"Yes"))*--ISERROR(INDIRECT("'"&amp;DATA_PROPERTY_MASTER!$A$5:$A$200&amp;"'!"&amp;SUBSTITUTE(ADDRESS(1,COLUMN(R$5)+1,4),"1","")&amp;$B56)),0))</f>
        <v>0</v>
      </c>
      <c r="S56" s="348">
        <f ca="1">SUMPRODUCT(IFERROR((DATA_PROPERTY_MASTER!$A$5:$A$200&lt;&gt;"")*IF($C56="Included source errors",--(DATA_PROPERTY_MASTER!$E$5:$E$200="Yes"),--(DATA_PROPERTY_MASTER!$E$5:$E$200&lt;&gt;"Yes"))*--ISERROR(INDIRECT("'"&amp;DATA_PROPERTY_MASTER!$A$5:$A$200&amp;"'!"&amp;SUBSTITUTE(ADDRESS(1,COLUMN(S$5)+1,4),"1","")&amp;$B56)),0))</f>
        <v>0</v>
      </c>
      <c r="T56" s="348">
        <f ca="1">SUMPRODUCT(IFERROR((DATA_PROPERTY_MASTER!$A$5:$A$200&lt;&gt;"")*IF($C56="Included source errors",--(DATA_PROPERTY_MASTER!$E$5:$E$200="Yes"),--(DATA_PROPERTY_MASTER!$E$5:$E$200&lt;&gt;"Yes"))*--ISERROR(INDIRECT("'"&amp;DATA_PROPERTY_MASTER!$A$5:$A$200&amp;"'!"&amp;SUBSTITUTE(ADDRESS(1,COLUMN(T$5)+1,4),"1","")&amp;$B56)),0))</f>
        <v>0</v>
      </c>
      <c r="U56" s="348">
        <f ca="1">SUMPRODUCT(IFERROR((DATA_PROPERTY_MASTER!$A$5:$A$200&lt;&gt;"")*IF($C56="Included source errors",--(DATA_PROPERTY_MASTER!$E$5:$E$200="Yes"),--(DATA_PROPERTY_MASTER!$E$5:$E$200&lt;&gt;"Yes"))*--ISERROR(INDIRECT("'"&amp;DATA_PROPERTY_MASTER!$A$5:$A$200&amp;"'!"&amp;SUBSTITUTE(ADDRESS(1,COLUMN(U$5)+1,4),"1","")&amp;$B56)),0))</f>
        <v>0</v>
      </c>
      <c r="V56" s="348">
        <f ca="1">SUMPRODUCT(IFERROR((DATA_PROPERTY_MASTER!$A$5:$A$200&lt;&gt;"")*IF($C56="Included source errors",--(DATA_PROPERTY_MASTER!$E$5:$E$200="Yes"),--(DATA_PROPERTY_MASTER!$E$5:$E$200&lt;&gt;"Yes"))*--ISERROR(INDIRECT("'"&amp;DATA_PROPERTY_MASTER!$A$5:$A$200&amp;"'!"&amp;SUBSTITUTE(ADDRESS(1,COLUMN(V$5)+1,4),"1","")&amp;$B56)),0))</f>
        <v>0</v>
      </c>
      <c r="W56" s="348">
        <f ca="1">SUMPRODUCT(IFERROR((DATA_PROPERTY_MASTER!$A$5:$A$200&lt;&gt;"")*IF($C56="Included source errors",--(DATA_PROPERTY_MASTER!$E$5:$E$200="Yes"),--(DATA_PROPERTY_MASTER!$E$5:$E$200&lt;&gt;"Yes"))*--ISERROR(INDIRECT("'"&amp;DATA_PROPERTY_MASTER!$A$5:$A$200&amp;"'!"&amp;SUBSTITUTE(ADDRESS(1,COLUMN(W$5)+1,4),"1","")&amp;$B56)),0))</f>
        <v>0</v>
      </c>
      <c r="X56" s="348">
        <f ca="1">SUMPRODUCT(IFERROR((DATA_PROPERTY_MASTER!$A$5:$A$200&lt;&gt;"")*IF($C56="Included source errors",--(DATA_PROPERTY_MASTER!$E$5:$E$200="Yes"),--(DATA_PROPERTY_MASTER!$E$5:$E$200&lt;&gt;"Yes"))*--ISERROR(INDIRECT("'"&amp;DATA_PROPERTY_MASTER!$A$5:$A$200&amp;"'!"&amp;SUBSTITUTE(ADDRESS(1,COLUMN(X$5)+1,4),"1","")&amp;$B56)),0))</f>
        <v>0</v>
      </c>
    </row>
    <row r="57" spans="1:26">
      <c r="D57" s="348">
        <f ca="1">SUMPRODUCT(IFERROR((DATA_PROPERTY_MASTER!$A$5:$A$200&lt;&gt;"")*IF($C57="Included source errors",--(DATA_PROPERTY_MASTER!$E$5:$E$200="Yes"),--(DATA_PROPERTY_MASTER!$E$5:$E$200&lt;&gt;"Yes"))*--ISERROR(INDIRECT("'"&amp;DATA_PROPERTY_MASTER!$A$5:$A$200&amp;"'!"&amp;SUBSTITUTE(ADDRESS(1,COLUMN(D$5)+1,4),"1","")&amp;$B57)),0))</f>
        <v>0</v>
      </c>
      <c r="E57" s="348">
        <f ca="1">SUMPRODUCT(IFERROR((DATA_PROPERTY_MASTER!$A$5:$A$200&lt;&gt;"")*IF($C57="Included source errors",--(DATA_PROPERTY_MASTER!$E$5:$E$200="Yes"),--(DATA_PROPERTY_MASTER!$E$5:$E$200&lt;&gt;"Yes"))*--ISERROR(INDIRECT("'"&amp;DATA_PROPERTY_MASTER!$A$5:$A$200&amp;"'!"&amp;SUBSTITUTE(ADDRESS(1,COLUMN(E$5)+1,4),"1","")&amp;$B57)),0))</f>
        <v>0</v>
      </c>
      <c r="F57" s="348">
        <f ca="1">SUMPRODUCT(IFERROR((DATA_PROPERTY_MASTER!$A$5:$A$200&lt;&gt;"")*IF($C57="Included source errors",--(DATA_PROPERTY_MASTER!$E$5:$E$200="Yes"),--(DATA_PROPERTY_MASTER!$E$5:$E$200&lt;&gt;"Yes"))*--ISERROR(INDIRECT("'"&amp;DATA_PROPERTY_MASTER!$A$5:$A$200&amp;"'!"&amp;SUBSTITUTE(ADDRESS(1,COLUMN(F$5)+1,4),"1","")&amp;$B57)),0))</f>
        <v>0</v>
      </c>
      <c r="G57" s="348">
        <f ca="1">SUMPRODUCT(IFERROR((DATA_PROPERTY_MASTER!$A$5:$A$200&lt;&gt;"")*IF($C57="Included source errors",--(DATA_PROPERTY_MASTER!$E$5:$E$200="Yes"),--(DATA_PROPERTY_MASTER!$E$5:$E$200&lt;&gt;"Yes"))*--ISERROR(INDIRECT("'"&amp;DATA_PROPERTY_MASTER!$A$5:$A$200&amp;"'!"&amp;SUBSTITUTE(ADDRESS(1,COLUMN(G$5)+1,4),"1","")&amp;$B57)),0))</f>
        <v>0</v>
      </c>
      <c r="H57" s="348">
        <f ca="1">SUMPRODUCT(IFERROR((DATA_PROPERTY_MASTER!$A$5:$A$200&lt;&gt;"")*IF($C57="Included source errors",--(DATA_PROPERTY_MASTER!$E$5:$E$200="Yes"),--(DATA_PROPERTY_MASTER!$E$5:$E$200&lt;&gt;"Yes"))*--ISERROR(INDIRECT("'"&amp;DATA_PROPERTY_MASTER!$A$5:$A$200&amp;"'!"&amp;SUBSTITUTE(ADDRESS(1,COLUMN(H$5)+1,4),"1","")&amp;$B57)),0))</f>
        <v>0</v>
      </c>
      <c r="I57" s="348">
        <f ca="1">SUMPRODUCT(IFERROR((DATA_PROPERTY_MASTER!$A$5:$A$200&lt;&gt;"")*IF($C57="Included source errors",--(DATA_PROPERTY_MASTER!$E$5:$E$200="Yes"),--(DATA_PROPERTY_MASTER!$E$5:$E$200&lt;&gt;"Yes"))*--ISERROR(INDIRECT("'"&amp;DATA_PROPERTY_MASTER!$A$5:$A$200&amp;"'!"&amp;SUBSTITUTE(ADDRESS(1,COLUMN(I$5)+1,4),"1","")&amp;$B57)),0))</f>
        <v>0</v>
      </c>
      <c r="J57" s="348">
        <f ca="1">SUMPRODUCT(IFERROR((DATA_PROPERTY_MASTER!$A$5:$A$200&lt;&gt;"")*IF($C57="Included source errors",--(DATA_PROPERTY_MASTER!$E$5:$E$200="Yes"),--(DATA_PROPERTY_MASTER!$E$5:$E$200&lt;&gt;"Yes"))*--ISERROR(INDIRECT("'"&amp;DATA_PROPERTY_MASTER!$A$5:$A$200&amp;"'!"&amp;SUBSTITUTE(ADDRESS(1,COLUMN(J$5)+1,4),"1","")&amp;$B57)),0))</f>
        <v>0</v>
      </c>
      <c r="K57" s="348">
        <f ca="1">SUMPRODUCT(IFERROR((DATA_PROPERTY_MASTER!$A$5:$A$200&lt;&gt;"")*IF($C57="Included source errors",--(DATA_PROPERTY_MASTER!$E$5:$E$200="Yes"),--(DATA_PROPERTY_MASTER!$E$5:$E$200&lt;&gt;"Yes"))*--ISERROR(INDIRECT("'"&amp;DATA_PROPERTY_MASTER!$A$5:$A$200&amp;"'!"&amp;SUBSTITUTE(ADDRESS(1,COLUMN(K$5)+1,4),"1","")&amp;$B57)),0))</f>
        <v>0</v>
      </c>
      <c r="L57" s="348">
        <f ca="1">SUMPRODUCT(IFERROR((DATA_PROPERTY_MASTER!$A$5:$A$200&lt;&gt;"")*IF($C57="Included source errors",--(DATA_PROPERTY_MASTER!$E$5:$E$200="Yes"),--(DATA_PROPERTY_MASTER!$E$5:$E$200&lt;&gt;"Yes"))*--ISERROR(INDIRECT("'"&amp;DATA_PROPERTY_MASTER!$A$5:$A$200&amp;"'!"&amp;SUBSTITUTE(ADDRESS(1,COLUMN(L$5)+1,4),"1","")&amp;$B57)),0))</f>
        <v>0</v>
      </c>
      <c r="M57" s="348">
        <f ca="1">SUMPRODUCT(IFERROR((DATA_PROPERTY_MASTER!$A$5:$A$200&lt;&gt;"")*IF($C57="Included source errors",--(DATA_PROPERTY_MASTER!$E$5:$E$200="Yes"),--(DATA_PROPERTY_MASTER!$E$5:$E$200&lt;&gt;"Yes"))*--ISERROR(INDIRECT("'"&amp;DATA_PROPERTY_MASTER!$A$5:$A$200&amp;"'!"&amp;SUBSTITUTE(ADDRESS(1,COLUMN(M$5)+1,4),"1","")&amp;$B57)),0))</f>
        <v>0</v>
      </c>
      <c r="N57" s="348">
        <f ca="1">SUMPRODUCT(IFERROR((DATA_PROPERTY_MASTER!$A$5:$A$200&lt;&gt;"")*IF($C57="Included source errors",--(DATA_PROPERTY_MASTER!$E$5:$E$200="Yes"),--(DATA_PROPERTY_MASTER!$E$5:$E$200&lt;&gt;"Yes"))*--ISERROR(INDIRECT("'"&amp;DATA_PROPERTY_MASTER!$A$5:$A$200&amp;"'!"&amp;SUBSTITUTE(ADDRESS(1,COLUMN(N$5)+1,4),"1","")&amp;$B57)),0))</f>
        <v>0</v>
      </c>
      <c r="O57" s="348">
        <f ca="1">SUMPRODUCT(IFERROR((DATA_PROPERTY_MASTER!$A$5:$A$200&lt;&gt;"")*IF($C57="Included source errors",--(DATA_PROPERTY_MASTER!$E$5:$E$200="Yes"),--(DATA_PROPERTY_MASTER!$E$5:$E$200&lt;&gt;"Yes"))*--ISERROR(INDIRECT("'"&amp;DATA_PROPERTY_MASTER!$A$5:$A$200&amp;"'!"&amp;SUBSTITUTE(ADDRESS(1,COLUMN(O$5)+1,4),"1","")&amp;$B57)),0))</f>
        <v>0</v>
      </c>
      <c r="P57" s="348">
        <f ca="1">SUMPRODUCT(IFERROR((DATA_PROPERTY_MASTER!$A$5:$A$200&lt;&gt;"")*IF($C57="Included source errors",--(DATA_PROPERTY_MASTER!$E$5:$E$200="Yes"),--(DATA_PROPERTY_MASTER!$E$5:$E$200&lt;&gt;"Yes"))*--ISERROR(INDIRECT("'"&amp;DATA_PROPERTY_MASTER!$A$5:$A$200&amp;"'!"&amp;SUBSTITUTE(ADDRESS(1,COLUMN(P$5)+1,4),"1","")&amp;$B57)),0))</f>
        <v>0</v>
      </c>
      <c r="Q57" s="348">
        <f ca="1">SUMPRODUCT(IFERROR((DATA_PROPERTY_MASTER!$A$5:$A$200&lt;&gt;"")*IF($C57="Included source errors",--(DATA_PROPERTY_MASTER!$E$5:$E$200="Yes"),--(DATA_PROPERTY_MASTER!$E$5:$E$200&lt;&gt;"Yes"))*--ISERROR(INDIRECT("'"&amp;DATA_PROPERTY_MASTER!$A$5:$A$200&amp;"'!"&amp;SUBSTITUTE(ADDRESS(1,COLUMN(Q$5)+1,4),"1","")&amp;$B57)),0))</f>
        <v>0</v>
      </c>
      <c r="R57" s="348">
        <f ca="1">SUMPRODUCT(IFERROR((DATA_PROPERTY_MASTER!$A$5:$A$200&lt;&gt;"")*IF($C57="Included source errors",--(DATA_PROPERTY_MASTER!$E$5:$E$200="Yes"),--(DATA_PROPERTY_MASTER!$E$5:$E$200&lt;&gt;"Yes"))*--ISERROR(INDIRECT("'"&amp;DATA_PROPERTY_MASTER!$A$5:$A$200&amp;"'!"&amp;SUBSTITUTE(ADDRESS(1,COLUMN(R$5)+1,4),"1","")&amp;$B57)),0))</f>
        <v>0</v>
      </c>
      <c r="S57" s="348">
        <f ca="1">SUMPRODUCT(IFERROR((DATA_PROPERTY_MASTER!$A$5:$A$200&lt;&gt;"")*IF($C57="Included source errors",--(DATA_PROPERTY_MASTER!$E$5:$E$200="Yes"),--(DATA_PROPERTY_MASTER!$E$5:$E$200&lt;&gt;"Yes"))*--ISERROR(INDIRECT("'"&amp;DATA_PROPERTY_MASTER!$A$5:$A$200&amp;"'!"&amp;SUBSTITUTE(ADDRESS(1,COLUMN(S$5)+1,4),"1","")&amp;$B57)),0))</f>
        <v>0</v>
      </c>
      <c r="T57" s="348">
        <f ca="1">SUMPRODUCT(IFERROR((DATA_PROPERTY_MASTER!$A$5:$A$200&lt;&gt;"")*IF($C57="Included source errors",--(DATA_PROPERTY_MASTER!$E$5:$E$200="Yes"),--(DATA_PROPERTY_MASTER!$E$5:$E$200&lt;&gt;"Yes"))*--ISERROR(INDIRECT("'"&amp;DATA_PROPERTY_MASTER!$A$5:$A$200&amp;"'!"&amp;SUBSTITUTE(ADDRESS(1,COLUMN(T$5)+1,4),"1","")&amp;$B57)),0))</f>
        <v>0</v>
      </c>
      <c r="U57" s="348">
        <f ca="1">SUMPRODUCT(IFERROR((DATA_PROPERTY_MASTER!$A$5:$A$200&lt;&gt;"")*IF($C57="Included source errors",--(DATA_PROPERTY_MASTER!$E$5:$E$200="Yes"),--(DATA_PROPERTY_MASTER!$E$5:$E$200&lt;&gt;"Yes"))*--ISERROR(INDIRECT("'"&amp;DATA_PROPERTY_MASTER!$A$5:$A$200&amp;"'!"&amp;SUBSTITUTE(ADDRESS(1,COLUMN(U$5)+1,4),"1","")&amp;$B57)),0))</f>
        <v>0</v>
      </c>
      <c r="V57" s="348">
        <f ca="1">SUMPRODUCT(IFERROR((DATA_PROPERTY_MASTER!$A$5:$A$200&lt;&gt;"")*IF($C57="Included source errors",--(DATA_PROPERTY_MASTER!$E$5:$E$200="Yes"),--(DATA_PROPERTY_MASTER!$E$5:$E$200&lt;&gt;"Yes"))*--ISERROR(INDIRECT("'"&amp;DATA_PROPERTY_MASTER!$A$5:$A$200&amp;"'!"&amp;SUBSTITUTE(ADDRESS(1,COLUMN(V$5)+1,4),"1","")&amp;$B57)),0))</f>
        <v>0</v>
      </c>
      <c r="W57" s="348">
        <f ca="1">SUMPRODUCT(IFERROR((DATA_PROPERTY_MASTER!$A$5:$A$200&lt;&gt;"")*IF($C57="Included source errors",--(DATA_PROPERTY_MASTER!$E$5:$E$200="Yes"),--(DATA_PROPERTY_MASTER!$E$5:$E$200&lt;&gt;"Yes"))*--ISERROR(INDIRECT("'"&amp;DATA_PROPERTY_MASTER!$A$5:$A$200&amp;"'!"&amp;SUBSTITUTE(ADDRESS(1,COLUMN(W$5)+1,4),"1","")&amp;$B57)),0))</f>
        <v>0</v>
      </c>
      <c r="X57" s="348">
        <f ca="1">SUMPRODUCT(IFERROR((DATA_PROPERTY_MASTER!$A$5:$A$200&lt;&gt;"")*IF($C57="Included source errors",--(DATA_PROPERTY_MASTER!$E$5:$E$200="Yes"),--(DATA_PROPERTY_MASTER!$E$5:$E$200&lt;&gt;"Yes"))*--ISERROR(INDIRECT("'"&amp;DATA_PROPERTY_MASTER!$A$5:$A$200&amp;"'!"&amp;SUBSTITUTE(ADDRESS(1,COLUMN(X$5)+1,4),"1","")&amp;$B57)),0))</f>
        <v>0</v>
      </c>
    </row>
    <row r="58" spans="1:26">
      <c r="D58" s="348">
        <f ca="1">SUMPRODUCT(IFERROR((DATA_PROPERTY_MASTER!$A$5:$A$200&lt;&gt;"")*IF($C58="Included source errors",--(DATA_PROPERTY_MASTER!$E$5:$E$200="Yes"),--(DATA_PROPERTY_MASTER!$E$5:$E$200&lt;&gt;"Yes"))*--ISERROR(INDIRECT("'"&amp;DATA_PROPERTY_MASTER!$A$5:$A$200&amp;"'!"&amp;SUBSTITUTE(ADDRESS(1,COLUMN(D$5)+1,4),"1","")&amp;$B58)),0))</f>
        <v>0</v>
      </c>
      <c r="E58" s="348">
        <f ca="1">SUMPRODUCT(IFERROR((DATA_PROPERTY_MASTER!$A$5:$A$200&lt;&gt;"")*IF($C58="Included source errors",--(DATA_PROPERTY_MASTER!$E$5:$E$200="Yes"),--(DATA_PROPERTY_MASTER!$E$5:$E$200&lt;&gt;"Yes"))*--ISERROR(INDIRECT("'"&amp;DATA_PROPERTY_MASTER!$A$5:$A$200&amp;"'!"&amp;SUBSTITUTE(ADDRESS(1,COLUMN(E$5)+1,4),"1","")&amp;$B58)),0))</f>
        <v>0</v>
      </c>
      <c r="F58" s="348">
        <f ca="1">SUMPRODUCT(IFERROR((DATA_PROPERTY_MASTER!$A$5:$A$200&lt;&gt;"")*IF($C58="Included source errors",--(DATA_PROPERTY_MASTER!$E$5:$E$200="Yes"),--(DATA_PROPERTY_MASTER!$E$5:$E$200&lt;&gt;"Yes"))*--ISERROR(INDIRECT("'"&amp;DATA_PROPERTY_MASTER!$A$5:$A$200&amp;"'!"&amp;SUBSTITUTE(ADDRESS(1,COLUMN(F$5)+1,4),"1","")&amp;$B58)),0))</f>
        <v>0</v>
      </c>
      <c r="G58" s="348">
        <f ca="1">SUMPRODUCT(IFERROR((DATA_PROPERTY_MASTER!$A$5:$A$200&lt;&gt;"")*IF($C58="Included source errors",--(DATA_PROPERTY_MASTER!$E$5:$E$200="Yes"),--(DATA_PROPERTY_MASTER!$E$5:$E$200&lt;&gt;"Yes"))*--ISERROR(INDIRECT("'"&amp;DATA_PROPERTY_MASTER!$A$5:$A$200&amp;"'!"&amp;SUBSTITUTE(ADDRESS(1,COLUMN(G$5)+1,4),"1","")&amp;$B58)),0))</f>
        <v>0</v>
      </c>
      <c r="H58" s="348">
        <f ca="1">SUMPRODUCT(IFERROR((DATA_PROPERTY_MASTER!$A$5:$A$200&lt;&gt;"")*IF($C58="Included source errors",--(DATA_PROPERTY_MASTER!$E$5:$E$200="Yes"),--(DATA_PROPERTY_MASTER!$E$5:$E$200&lt;&gt;"Yes"))*--ISERROR(INDIRECT("'"&amp;DATA_PROPERTY_MASTER!$A$5:$A$200&amp;"'!"&amp;SUBSTITUTE(ADDRESS(1,COLUMN(H$5)+1,4),"1","")&amp;$B58)),0))</f>
        <v>0</v>
      </c>
      <c r="I58" s="348">
        <f ca="1">SUMPRODUCT(IFERROR((DATA_PROPERTY_MASTER!$A$5:$A$200&lt;&gt;"")*IF($C58="Included source errors",--(DATA_PROPERTY_MASTER!$E$5:$E$200="Yes"),--(DATA_PROPERTY_MASTER!$E$5:$E$200&lt;&gt;"Yes"))*--ISERROR(INDIRECT("'"&amp;DATA_PROPERTY_MASTER!$A$5:$A$200&amp;"'!"&amp;SUBSTITUTE(ADDRESS(1,COLUMN(I$5)+1,4),"1","")&amp;$B58)),0))</f>
        <v>0</v>
      </c>
      <c r="J58" s="348">
        <f ca="1">SUMPRODUCT(IFERROR((DATA_PROPERTY_MASTER!$A$5:$A$200&lt;&gt;"")*IF($C58="Included source errors",--(DATA_PROPERTY_MASTER!$E$5:$E$200="Yes"),--(DATA_PROPERTY_MASTER!$E$5:$E$200&lt;&gt;"Yes"))*--ISERROR(INDIRECT("'"&amp;DATA_PROPERTY_MASTER!$A$5:$A$200&amp;"'!"&amp;SUBSTITUTE(ADDRESS(1,COLUMN(J$5)+1,4),"1","")&amp;$B58)),0))</f>
        <v>0</v>
      </c>
      <c r="K58" s="348">
        <f ca="1">SUMPRODUCT(IFERROR((DATA_PROPERTY_MASTER!$A$5:$A$200&lt;&gt;"")*IF($C58="Included source errors",--(DATA_PROPERTY_MASTER!$E$5:$E$200="Yes"),--(DATA_PROPERTY_MASTER!$E$5:$E$200&lt;&gt;"Yes"))*--ISERROR(INDIRECT("'"&amp;DATA_PROPERTY_MASTER!$A$5:$A$200&amp;"'!"&amp;SUBSTITUTE(ADDRESS(1,COLUMN(K$5)+1,4),"1","")&amp;$B58)),0))</f>
        <v>0</v>
      </c>
      <c r="L58" s="348">
        <f ca="1">SUMPRODUCT(IFERROR((DATA_PROPERTY_MASTER!$A$5:$A$200&lt;&gt;"")*IF($C58="Included source errors",--(DATA_PROPERTY_MASTER!$E$5:$E$200="Yes"),--(DATA_PROPERTY_MASTER!$E$5:$E$200&lt;&gt;"Yes"))*--ISERROR(INDIRECT("'"&amp;DATA_PROPERTY_MASTER!$A$5:$A$200&amp;"'!"&amp;SUBSTITUTE(ADDRESS(1,COLUMN(L$5)+1,4),"1","")&amp;$B58)),0))</f>
        <v>0</v>
      </c>
      <c r="M58" s="348">
        <f ca="1">SUMPRODUCT(IFERROR((DATA_PROPERTY_MASTER!$A$5:$A$200&lt;&gt;"")*IF($C58="Included source errors",--(DATA_PROPERTY_MASTER!$E$5:$E$200="Yes"),--(DATA_PROPERTY_MASTER!$E$5:$E$200&lt;&gt;"Yes"))*--ISERROR(INDIRECT("'"&amp;DATA_PROPERTY_MASTER!$A$5:$A$200&amp;"'!"&amp;SUBSTITUTE(ADDRESS(1,COLUMN(M$5)+1,4),"1","")&amp;$B58)),0))</f>
        <v>0</v>
      </c>
      <c r="N58" s="348">
        <f ca="1">SUMPRODUCT(IFERROR((DATA_PROPERTY_MASTER!$A$5:$A$200&lt;&gt;"")*IF($C58="Included source errors",--(DATA_PROPERTY_MASTER!$E$5:$E$200="Yes"),--(DATA_PROPERTY_MASTER!$E$5:$E$200&lt;&gt;"Yes"))*--ISERROR(INDIRECT("'"&amp;DATA_PROPERTY_MASTER!$A$5:$A$200&amp;"'!"&amp;SUBSTITUTE(ADDRESS(1,COLUMN(N$5)+1,4),"1","")&amp;$B58)),0))</f>
        <v>0</v>
      </c>
      <c r="O58" s="348">
        <f ca="1">SUMPRODUCT(IFERROR((DATA_PROPERTY_MASTER!$A$5:$A$200&lt;&gt;"")*IF($C58="Included source errors",--(DATA_PROPERTY_MASTER!$E$5:$E$200="Yes"),--(DATA_PROPERTY_MASTER!$E$5:$E$200&lt;&gt;"Yes"))*--ISERROR(INDIRECT("'"&amp;DATA_PROPERTY_MASTER!$A$5:$A$200&amp;"'!"&amp;SUBSTITUTE(ADDRESS(1,COLUMN(O$5)+1,4),"1","")&amp;$B58)),0))</f>
        <v>0</v>
      </c>
      <c r="P58" s="348">
        <f ca="1">SUMPRODUCT(IFERROR((DATA_PROPERTY_MASTER!$A$5:$A$200&lt;&gt;"")*IF($C58="Included source errors",--(DATA_PROPERTY_MASTER!$E$5:$E$200="Yes"),--(DATA_PROPERTY_MASTER!$E$5:$E$200&lt;&gt;"Yes"))*--ISERROR(INDIRECT("'"&amp;DATA_PROPERTY_MASTER!$A$5:$A$200&amp;"'!"&amp;SUBSTITUTE(ADDRESS(1,COLUMN(P$5)+1,4),"1","")&amp;$B58)),0))</f>
        <v>0</v>
      </c>
      <c r="Q58" s="348">
        <f ca="1">SUMPRODUCT(IFERROR((DATA_PROPERTY_MASTER!$A$5:$A$200&lt;&gt;"")*IF($C58="Included source errors",--(DATA_PROPERTY_MASTER!$E$5:$E$200="Yes"),--(DATA_PROPERTY_MASTER!$E$5:$E$200&lt;&gt;"Yes"))*--ISERROR(INDIRECT("'"&amp;DATA_PROPERTY_MASTER!$A$5:$A$200&amp;"'!"&amp;SUBSTITUTE(ADDRESS(1,COLUMN(Q$5)+1,4),"1","")&amp;$B58)),0))</f>
        <v>0</v>
      </c>
      <c r="R58" s="348">
        <f ca="1">SUMPRODUCT(IFERROR((DATA_PROPERTY_MASTER!$A$5:$A$200&lt;&gt;"")*IF($C58="Included source errors",--(DATA_PROPERTY_MASTER!$E$5:$E$200="Yes"),--(DATA_PROPERTY_MASTER!$E$5:$E$200&lt;&gt;"Yes"))*--ISERROR(INDIRECT("'"&amp;DATA_PROPERTY_MASTER!$A$5:$A$200&amp;"'!"&amp;SUBSTITUTE(ADDRESS(1,COLUMN(R$5)+1,4),"1","")&amp;$B58)),0))</f>
        <v>0</v>
      </c>
      <c r="S58" s="348">
        <f ca="1">SUMPRODUCT(IFERROR((DATA_PROPERTY_MASTER!$A$5:$A$200&lt;&gt;"")*IF($C58="Included source errors",--(DATA_PROPERTY_MASTER!$E$5:$E$200="Yes"),--(DATA_PROPERTY_MASTER!$E$5:$E$200&lt;&gt;"Yes"))*--ISERROR(INDIRECT("'"&amp;DATA_PROPERTY_MASTER!$A$5:$A$200&amp;"'!"&amp;SUBSTITUTE(ADDRESS(1,COLUMN(S$5)+1,4),"1","")&amp;$B58)),0))</f>
        <v>0</v>
      </c>
      <c r="T58" s="348">
        <f ca="1">SUMPRODUCT(IFERROR((DATA_PROPERTY_MASTER!$A$5:$A$200&lt;&gt;"")*IF($C58="Included source errors",--(DATA_PROPERTY_MASTER!$E$5:$E$200="Yes"),--(DATA_PROPERTY_MASTER!$E$5:$E$200&lt;&gt;"Yes"))*--ISERROR(INDIRECT("'"&amp;DATA_PROPERTY_MASTER!$A$5:$A$200&amp;"'!"&amp;SUBSTITUTE(ADDRESS(1,COLUMN(T$5)+1,4),"1","")&amp;$B58)),0))</f>
        <v>0</v>
      </c>
      <c r="U58" s="348">
        <f ca="1">SUMPRODUCT(IFERROR((DATA_PROPERTY_MASTER!$A$5:$A$200&lt;&gt;"")*IF($C58="Included source errors",--(DATA_PROPERTY_MASTER!$E$5:$E$200="Yes"),--(DATA_PROPERTY_MASTER!$E$5:$E$200&lt;&gt;"Yes"))*--ISERROR(INDIRECT("'"&amp;DATA_PROPERTY_MASTER!$A$5:$A$200&amp;"'!"&amp;SUBSTITUTE(ADDRESS(1,COLUMN(U$5)+1,4),"1","")&amp;$B58)),0))</f>
        <v>0</v>
      </c>
      <c r="V58" s="348">
        <f ca="1">SUMPRODUCT(IFERROR((DATA_PROPERTY_MASTER!$A$5:$A$200&lt;&gt;"")*IF($C58="Included source errors",--(DATA_PROPERTY_MASTER!$E$5:$E$200="Yes"),--(DATA_PROPERTY_MASTER!$E$5:$E$200&lt;&gt;"Yes"))*--ISERROR(INDIRECT("'"&amp;DATA_PROPERTY_MASTER!$A$5:$A$200&amp;"'!"&amp;SUBSTITUTE(ADDRESS(1,COLUMN(V$5)+1,4),"1","")&amp;$B58)),0))</f>
        <v>0</v>
      </c>
      <c r="W58" s="348">
        <f ca="1">SUMPRODUCT(IFERROR((DATA_PROPERTY_MASTER!$A$5:$A$200&lt;&gt;"")*IF($C58="Included source errors",--(DATA_PROPERTY_MASTER!$E$5:$E$200="Yes"),--(DATA_PROPERTY_MASTER!$E$5:$E$200&lt;&gt;"Yes"))*--ISERROR(INDIRECT("'"&amp;DATA_PROPERTY_MASTER!$A$5:$A$200&amp;"'!"&amp;SUBSTITUTE(ADDRESS(1,COLUMN(W$5)+1,4),"1","")&amp;$B58)),0))</f>
        <v>0</v>
      </c>
      <c r="X58" s="348">
        <f ca="1">SUMPRODUCT(IFERROR((DATA_PROPERTY_MASTER!$A$5:$A$200&lt;&gt;"")*IF($C58="Included source errors",--(DATA_PROPERTY_MASTER!$E$5:$E$200="Yes"),--(DATA_PROPERTY_MASTER!$E$5:$E$200&lt;&gt;"Yes"))*--ISERROR(INDIRECT("'"&amp;DATA_PROPERTY_MASTER!$A$5:$A$200&amp;"'!"&amp;SUBSTITUTE(ADDRESS(1,COLUMN(X$5)+1,4),"1","")&amp;$B58)),0))</f>
        <v>0</v>
      </c>
    </row>
    <row r="59" spans="1:26">
      <c r="D59" s="348">
        <f ca="1">SUMPRODUCT(IFERROR((DATA_PROPERTY_MASTER!$A$5:$A$200&lt;&gt;"")*IF($C59="Included source errors",--(DATA_PROPERTY_MASTER!$E$5:$E$200="Yes"),--(DATA_PROPERTY_MASTER!$E$5:$E$200&lt;&gt;"Yes"))*--ISERROR(INDIRECT("'"&amp;DATA_PROPERTY_MASTER!$A$5:$A$200&amp;"'!"&amp;SUBSTITUTE(ADDRESS(1,COLUMN(D$5)+1,4),"1","")&amp;$B59)),0))</f>
        <v>0</v>
      </c>
      <c r="E59" s="348">
        <f ca="1">SUMPRODUCT(IFERROR((DATA_PROPERTY_MASTER!$A$5:$A$200&lt;&gt;"")*IF($C59="Included source errors",--(DATA_PROPERTY_MASTER!$E$5:$E$200="Yes"),--(DATA_PROPERTY_MASTER!$E$5:$E$200&lt;&gt;"Yes"))*--ISERROR(INDIRECT("'"&amp;DATA_PROPERTY_MASTER!$A$5:$A$200&amp;"'!"&amp;SUBSTITUTE(ADDRESS(1,COLUMN(E$5)+1,4),"1","")&amp;$B59)),0))</f>
        <v>0</v>
      </c>
      <c r="F59" s="348">
        <f ca="1">SUMPRODUCT(IFERROR((DATA_PROPERTY_MASTER!$A$5:$A$200&lt;&gt;"")*IF($C59="Included source errors",--(DATA_PROPERTY_MASTER!$E$5:$E$200="Yes"),--(DATA_PROPERTY_MASTER!$E$5:$E$200&lt;&gt;"Yes"))*--ISERROR(INDIRECT("'"&amp;DATA_PROPERTY_MASTER!$A$5:$A$200&amp;"'!"&amp;SUBSTITUTE(ADDRESS(1,COLUMN(F$5)+1,4),"1","")&amp;$B59)),0))</f>
        <v>0</v>
      </c>
      <c r="G59" s="348">
        <f ca="1">SUMPRODUCT(IFERROR((DATA_PROPERTY_MASTER!$A$5:$A$200&lt;&gt;"")*IF($C59="Included source errors",--(DATA_PROPERTY_MASTER!$E$5:$E$200="Yes"),--(DATA_PROPERTY_MASTER!$E$5:$E$200&lt;&gt;"Yes"))*--ISERROR(INDIRECT("'"&amp;DATA_PROPERTY_MASTER!$A$5:$A$200&amp;"'!"&amp;SUBSTITUTE(ADDRESS(1,COLUMN(G$5)+1,4),"1","")&amp;$B59)),0))</f>
        <v>0</v>
      </c>
      <c r="H59" s="348">
        <f ca="1">SUMPRODUCT(IFERROR((DATA_PROPERTY_MASTER!$A$5:$A$200&lt;&gt;"")*IF($C59="Included source errors",--(DATA_PROPERTY_MASTER!$E$5:$E$200="Yes"),--(DATA_PROPERTY_MASTER!$E$5:$E$200&lt;&gt;"Yes"))*--ISERROR(INDIRECT("'"&amp;DATA_PROPERTY_MASTER!$A$5:$A$200&amp;"'!"&amp;SUBSTITUTE(ADDRESS(1,COLUMN(H$5)+1,4),"1","")&amp;$B59)),0))</f>
        <v>0</v>
      </c>
      <c r="I59" s="348">
        <f ca="1">SUMPRODUCT(IFERROR((DATA_PROPERTY_MASTER!$A$5:$A$200&lt;&gt;"")*IF($C59="Included source errors",--(DATA_PROPERTY_MASTER!$E$5:$E$200="Yes"),--(DATA_PROPERTY_MASTER!$E$5:$E$200&lt;&gt;"Yes"))*--ISERROR(INDIRECT("'"&amp;DATA_PROPERTY_MASTER!$A$5:$A$200&amp;"'!"&amp;SUBSTITUTE(ADDRESS(1,COLUMN(I$5)+1,4),"1","")&amp;$B59)),0))</f>
        <v>0</v>
      </c>
      <c r="J59" s="348">
        <f ca="1">SUMPRODUCT(IFERROR((DATA_PROPERTY_MASTER!$A$5:$A$200&lt;&gt;"")*IF($C59="Included source errors",--(DATA_PROPERTY_MASTER!$E$5:$E$200="Yes"),--(DATA_PROPERTY_MASTER!$E$5:$E$200&lt;&gt;"Yes"))*--ISERROR(INDIRECT("'"&amp;DATA_PROPERTY_MASTER!$A$5:$A$200&amp;"'!"&amp;SUBSTITUTE(ADDRESS(1,COLUMN(J$5)+1,4),"1","")&amp;$B59)),0))</f>
        <v>0</v>
      </c>
      <c r="K59" s="348">
        <f ca="1">SUMPRODUCT(IFERROR((DATA_PROPERTY_MASTER!$A$5:$A$200&lt;&gt;"")*IF($C59="Included source errors",--(DATA_PROPERTY_MASTER!$E$5:$E$200="Yes"),--(DATA_PROPERTY_MASTER!$E$5:$E$200&lt;&gt;"Yes"))*--ISERROR(INDIRECT("'"&amp;DATA_PROPERTY_MASTER!$A$5:$A$200&amp;"'!"&amp;SUBSTITUTE(ADDRESS(1,COLUMN(K$5)+1,4),"1","")&amp;$B59)),0))</f>
        <v>0</v>
      </c>
      <c r="L59" s="348">
        <f ca="1">SUMPRODUCT(IFERROR((DATA_PROPERTY_MASTER!$A$5:$A$200&lt;&gt;"")*IF($C59="Included source errors",--(DATA_PROPERTY_MASTER!$E$5:$E$200="Yes"),--(DATA_PROPERTY_MASTER!$E$5:$E$200&lt;&gt;"Yes"))*--ISERROR(INDIRECT("'"&amp;DATA_PROPERTY_MASTER!$A$5:$A$200&amp;"'!"&amp;SUBSTITUTE(ADDRESS(1,COLUMN(L$5)+1,4),"1","")&amp;$B59)),0))</f>
        <v>0</v>
      </c>
      <c r="M59" s="348">
        <f ca="1">SUMPRODUCT(IFERROR((DATA_PROPERTY_MASTER!$A$5:$A$200&lt;&gt;"")*IF($C59="Included source errors",--(DATA_PROPERTY_MASTER!$E$5:$E$200="Yes"),--(DATA_PROPERTY_MASTER!$E$5:$E$200&lt;&gt;"Yes"))*--ISERROR(INDIRECT("'"&amp;DATA_PROPERTY_MASTER!$A$5:$A$200&amp;"'!"&amp;SUBSTITUTE(ADDRESS(1,COLUMN(M$5)+1,4),"1","")&amp;$B59)),0))</f>
        <v>0</v>
      </c>
      <c r="N59" s="348">
        <f ca="1">SUMPRODUCT(IFERROR((DATA_PROPERTY_MASTER!$A$5:$A$200&lt;&gt;"")*IF($C59="Included source errors",--(DATA_PROPERTY_MASTER!$E$5:$E$200="Yes"),--(DATA_PROPERTY_MASTER!$E$5:$E$200&lt;&gt;"Yes"))*--ISERROR(INDIRECT("'"&amp;DATA_PROPERTY_MASTER!$A$5:$A$200&amp;"'!"&amp;SUBSTITUTE(ADDRESS(1,COLUMN(N$5)+1,4),"1","")&amp;$B59)),0))</f>
        <v>0</v>
      </c>
      <c r="O59" s="348">
        <f ca="1">SUMPRODUCT(IFERROR((DATA_PROPERTY_MASTER!$A$5:$A$200&lt;&gt;"")*IF($C59="Included source errors",--(DATA_PROPERTY_MASTER!$E$5:$E$200="Yes"),--(DATA_PROPERTY_MASTER!$E$5:$E$200&lt;&gt;"Yes"))*--ISERROR(INDIRECT("'"&amp;DATA_PROPERTY_MASTER!$A$5:$A$200&amp;"'!"&amp;SUBSTITUTE(ADDRESS(1,COLUMN(O$5)+1,4),"1","")&amp;$B59)),0))</f>
        <v>0</v>
      </c>
      <c r="P59" s="348">
        <f ca="1">SUMPRODUCT(IFERROR((DATA_PROPERTY_MASTER!$A$5:$A$200&lt;&gt;"")*IF($C59="Included source errors",--(DATA_PROPERTY_MASTER!$E$5:$E$200="Yes"),--(DATA_PROPERTY_MASTER!$E$5:$E$200&lt;&gt;"Yes"))*--ISERROR(INDIRECT("'"&amp;DATA_PROPERTY_MASTER!$A$5:$A$200&amp;"'!"&amp;SUBSTITUTE(ADDRESS(1,COLUMN(P$5)+1,4),"1","")&amp;$B59)),0))</f>
        <v>0</v>
      </c>
      <c r="Q59" s="348">
        <f ca="1">SUMPRODUCT(IFERROR((DATA_PROPERTY_MASTER!$A$5:$A$200&lt;&gt;"")*IF($C59="Included source errors",--(DATA_PROPERTY_MASTER!$E$5:$E$200="Yes"),--(DATA_PROPERTY_MASTER!$E$5:$E$200&lt;&gt;"Yes"))*--ISERROR(INDIRECT("'"&amp;DATA_PROPERTY_MASTER!$A$5:$A$200&amp;"'!"&amp;SUBSTITUTE(ADDRESS(1,COLUMN(Q$5)+1,4),"1","")&amp;$B59)),0))</f>
        <v>0</v>
      </c>
      <c r="R59" s="348">
        <f ca="1">SUMPRODUCT(IFERROR((DATA_PROPERTY_MASTER!$A$5:$A$200&lt;&gt;"")*IF($C59="Included source errors",--(DATA_PROPERTY_MASTER!$E$5:$E$200="Yes"),--(DATA_PROPERTY_MASTER!$E$5:$E$200&lt;&gt;"Yes"))*--ISERROR(INDIRECT("'"&amp;DATA_PROPERTY_MASTER!$A$5:$A$200&amp;"'!"&amp;SUBSTITUTE(ADDRESS(1,COLUMN(R$5)+1,4),"1","")&amp;$B59)),0))</f>
        <v>0</v>
      </c>
      <c r="S59" s="348">
        <f ca="1">SUMPRODUCT(IFERROR((DATA_PROPERTY_MASTER!$A$5:$A$200&lt;&gt;"")*IF($C59="Included source errors",--(DATA_PROPERTY_MASTER!$E$5:$E$200="Yes"),--(DATA_PROPERTY_MASTER!$E$5:$E$200&lt;&gt;"Yes"))*--ISERROR(INDIRECT("'"&amp;DATA_PROPERTY_MASTER!$A$5:$A$200&amp;"'!"&amp;SUBSTITUTE(ADDRESS(1,COLUMN(S$5)+1,4),"1","")&amp;$B59)),0))</f>
        <v>0</v>
      </c>
      <c r="T59" s="348">
        <f ca="1">SUMPRODUCT(IFERROR((DATA_PROPERTY_MASTER!$A$5:$A$200&lt;&gt;"")*IF($C59="Included source errors",--(DATA_PROPERTY_MASTER!$E$5:$E$200="Yes"),--(DATA_PROPERTY_MASTER!$E$5:$E$200&lt;&gt;"Yes"))*--ISERROR(INDIRECT("'"&amp;DATA_PROPERTY_MASTER!$A$5:$A$200&amp;"'!"&amp;SUBSTITUTE(ADDRESS(1,COLUMN(T$5)+1,4),"1","")&amp;$B59)),0))</f>
        <v>0</v>
      </c>
      <c r="U59" s="348">
        <f ca="1">SUMPRODUCT(IFERROR((DATA_PROPERTY_MASTER!$A$5:$A$200&lt;&gt;"")*IF($C59="Included source errors",--(DATA_PROPERTY_MASTER!$E$5:$E$200="Yes"),--(DATA_PROPERTY_MASTER!$E$5:$E$200&lt;&gt;"Yes"))*--ISERROR(INDIRECT("'"&amp;DATA_PROPERTY_MASTER!$A$5:$A$200&amp;"'!"&amp;SUBSTITUTE(ADDRESS(1,COLUMN(U$5)+1,4),"1","")&amp;$B59)),0))</f>
        <v>0</v>
      </c>
      <c r="V59" s="348">
        <f ca="1">SUMPRODUCT(IFERROR((DATA_PROPERTY_MASTER!$A$5:$A$200&lt;&gt;"")*IF($C59="Included source errors",--(DATA_PROPERTY_MASTER!$E$5:$E$200="Yes"),--(DATA_PROPERTY_MASTER!$E$5:$E$200&lt;&gt;"Yes"))*--ISERROR(INDIRECT("'"&amp;DATA_PROPERTY_MASTER!$A$5:$A$200&amp;"'!"&amp;SUBSTITUTE(ADDRESS(1,COLUMN(V$5)+1,4),"1","")&amp;$B59)),0))</f>
        <v>0</v>
      </c>
      <c r="W59" s="348">
        <f ca="1">SUMPRODUCT(IFERROR((DATA_PROPERTY_MASTER!$A$5:$A$200&lt;&gt;"")*IF($C59="Included source errors",--(DATA_PROPERTY_MASTER!$E$5:$E$200="Yes"),--(DATA_PROPERTY_MASTER!$E$5:$E$200&lt;&gt;"Yes"))*--ISERROR(INDIRECT("'"&amp;DATA_PROPERTY_MASTER!$A$5:$A$200&amp;"'!"&amp;SUBSTITUTE(ADDRESS(1,COLUMN(W$5)+1,4),"1","")&amp;$B59)),0))</f>
        <v>0</v>
      </c>
      <c r="X59" s="348">
        <f ca="1">SUMPRODUCT(IFERROR((DATA_PROPERTY_MASTER!$A$5:$A$200&lt;&gt;"")*IF($C59="Included source errors",--(DATA_PROPERTY_MASTER!$E$5:$E$200="Yes"),--(DATA_PROPERTY_MASTER!$E$5:$E$200&lt;&gt;"Yes"))*--ISERROR(INDIRECT("'"&amp;DATA_PROPERTY_MASTER!$A$5:$A$200&amp;"'!"&amp;SUBSTITUTE(ADDRESS(1,COLUMN(X$5)+1,4),"1","")&amp;$B59)),0))</f>
        <v>0</v>
      </c>
    </row>
    <row r="60" spans="1:26">
      <c r="D60" s="348">
        <f ca="1">SUMPRODUCT(IFERROR((DATA_PROPERTY_MASTER!$A$5:$A$200&lt;&gt;"")*IF($C60="Included source errors",--(DATA_PROPERTY_MASTER!$E$5:$E$200="Yes"),--(DATA_PROPERTY_MASTER!$E$5:$E$200&lt;&gt;"Yes"))*--ISERROR(INDIRECT("'"&amp;DATA_PROPERTY_MASTER!$A$5:$A$200&amp;"'!"&amp;SUBSTITUTE(ADDRESS(1,COLUMN(D$5)+1,4),"1","")&amp;$B60)),0))</f>
        <v>0</v>
      </c>
      <c r="E60" s="348">
        <f ca="1">SUMPRODUCT(IFERROR((DATA_PROPERTY_MASTER!$A$5:$A$200&lt;&gt;"")*IF($C60="Included source errors",--(DATA_PROPERTY_MASTER!$E$5:$E$200="Yes"),--(DATA_PROPERTY_MASTER!$E$5:$E$200&lt;&gt;"Yes"))*--ISERROR(INDIRECT("'"&amp;DATA_PROPERTY_MASTER!$A$5:$A$200&amp;"'!"&amp;SUBSTITUTE(ADDRESS(1,COLUMN(E$5)+1,4),"1","")&amp;$B60)),0))</f>
        <v>0</v>
      </c>
      <c r="F60" s="348">
        <f ca="1">SUMPRODUCT(IFERROR((DATA_PROPERTY_MASTER!$A$5:$A$200&lt;&gt;"")*IF($C60="Included source errors",--(DATA_PROPERTY_MASTER!$E$5:$E$200="Yes"),--(DATA_PROPERTY_MASTER!$E$5:$E$200&lt;&gt;"Yes"))*--ISERROR(INDIRECT("'"&amp;DATA_PROPERTY_MASTER!$A$5:$A$200&amp;"'!"&amp;SUBSTITUTE(ADDRESS(1,COLUMN(F$5)+1,4),"1","")&amp;$B60)),0))</f>
        <v>0</v>
      </c>
      <c r="G60" s="348">
        <f ca="1">SUMPRODUCT(IFERROR((DATA_PROPERTY_MASTER!$A$5:$A$200&lt;&gt;"")*IF($C60="Included source errors",--(DATA_PROPERTY_MASTER!$E$5:$E$200="Yes"),--(DATA_PROPERTY_MASTER!$E$5:$E$200&lt;&gt;"Yes"))*--ISERROR(INDIRECT("'"&amp;DATA_PROPERTY_MASTER!$A$5:$A$200&amp;"'!"&amp;SUBSTITUTE(ADDRESS(1,COLUMN(G$5)+1,4),"1","")&amp;$B60)),0))</f>
        <v>0</v>
      </c>
      <c r="H60" s="348">
        <f ca="1">SUMPRODUCT(IFERROR((DATA_PROPERTY_MASTER!$A$5:$A$200&lt;&gt;"")*IF($C60="Included source errors",--(DATA_PROPERTY_MASTER!$E$5:$E$200="Yes"),--(DATA_PROPERTY_MASTER!$E$5:$E$200&lt;&gt;"Yes"))*--ISERROR(INDIRECT("'"&amp;DATA_PROPERTY_MASTER!$A$5:$A$200&amp;"'!"&amp;SUBSTITUTE(ADDRESS(1,COLUMN(H$5)+1,4),"1","")&amp;$B60)),0))</f>
        <v>0</v>
      </c>
      <c r="I60" s="348">
        <f ca="1">SUMPRODUCT(IFERROR((DATA_PROPERTY_MASTER!$A$5:$A$200&lt;&gt;"")*IF($C60="Included source errors",--(DATA_PROPERTY_MASTER!$E$5:$E$200="Yes"),--(DATA_PROPERTY_MASTER!$E$5:$E$200&lt;&gt;"Yes"))*--ISERROR(INDIRECT("'"&amp;DATA_PROPERTY_MASTER!$A$5:$A$200&amp;"'!"&amp;SUBSTITUTE(ADDRESS(1,COLUMN(I$5)+1,4),"1","")&amp;$B60)),0))</f>
        <v>0</v>
      </c>
      <c r="J60" s="348">
        <f ca="1">SUMPRODUCT(IFERROR((DATA_PROPERTY_MASTER!$A$5:$A$200&lt;&gt;"")*IF($C60="Included source errors",--(DATA_PROPERTY_MASTER!$E$5:$E$200="Yes"),--(DATA_PROPERTY_MASTER!$E$5:$E$200&lt;&gt;"Yes"))*--ISERROR(INDIRECT("'"&amp;DATA_PROPERTY_MASTER!$A$5:$A$200&amp;"'!"&amp;SUBSTITUTE(ADDRESS(1,COLUMN(J$5)+1,4),"1","")&amp;$B60)),0))</f>
        <v>0</v>
      </c>
      <c r="K60" s="348">
        <f ca="1">SUMPRODUCT(IFERROR((DATA_PROPERTY_MASTER!$A$5:$A$200&lt;&gt;"")*IF($C60="Included source errors",--(DATA_PROPERTY_MASTER!$E$5:$E$200="Yes"),--(DATA_PROPERTY_MASTER!$E$5:$E$200&lt;&gt;"Yes"))*--ISERROR(INDIRECT("'"&amp;DATA_PROPERTY_MASTER!$A$5:$A$200&amp;"'!"&amp;SUBSTITUTE(ADDRESS(1,COLUMN(K$5)+1,4),"1","")&amp;$B60)),0))</f>
        <v>0</v>
      </c>
      <c r="L60" s="348">
        <f ca="1">SUMPRODUCT(IFERROR((DATA_PROPERTY_MASTER!$A$5:$A$200&lt;&gt;"")*IF($C60="Included source errors",--(DATA_PROPERTY_MASTER!$E$5:$E$200="Yes"),--(DATA_PROPERTY_MASTER!$E$5:$E$200&lt;&gt;"Yes"))*--ISERROR(INDIRECT("'"&amp;DATA_PROPERTY_MASTER!$A$5:$A$200&amp;"'!"&amp;SUBSTITUTE(ADDRESS(1,COLUMN(L$5)+1,4),"1","")&amp;$B60)),0))</f>
        <v>0</v>
      </c>
      <c r="M60" s="348">
        <f ca="1">SUMPRODUCT(IFERROR((DATA_PROPERTY_MASTER!$A$5:$A$200&lt;&gt;"")*IF($C60="Included source errors",--(DATA_PROPERTY_MASTER!$E$5:$E$200="Yes"),--(DATA_PROPERTY_MASTER!$E$5:$E$200&lt;&gt;"Yes"))*--ISERROR(INDIRECT("'"&amp;DATA_PROPERTY_MASTER!$A$5:$A$200&amp;"'!"&amp;SUBSTITUTE(ADDRESS(1,COLUMN(M$5)+1,4),"1","")&amp;$B60)),0))</f>
        <v>0</v>
      </c>
      <c r="N60" s="348">
        <f ca="1">SUMPRODUCT(IFERROR((DATA_PROPERTY_MASTER!$A$5:$A$200&lt;&gt;"")*IF($C60="Included source errors",--(DATA_PROPERTY_MASTER!$E$5:$E$200="Yes"),--(DATA_PROPERTY_MASTER!$E$5:$E$200&lt;&gt;"Yes"))*--ISERROR(INDIRECT("'"&amp;DATA_PROPERTY_MASTER!$A$5:$A$200&amp;"'!"&amp;SUBSTITUTE(ADDRESS(1,COLUMN(N$5)+1,4),"1","")&amp;$B60)),0))</f>
        <v>0</v>
      </c>
      <c r="O60" s="348">
        <f ca="1">SUMPRODUCT(IFERROR((DATA_PROPERTY_MASTER!$A$5:$A$200&lt;&gt;"")*IF($C60="Included source errors",--(DATA_PROPERTY_MASTER!$E$5:$E$200="Yes"),--(DATA_PROPERTY_MASTER!$E$5:$E$200&lt;&gt;"Yes"))*--ISERROR(INDIRECT("'"&amp;DATA_PROPERTY_MASTER!$A$5:$A$200&amp;"'!"&amp;SUBSTITUTE(ADDRESS(1,COLUMN(O$5)+1,4),"1","")&amp;$B60)),0))</f>
        <v>0</v>
      </c>
      <c r="P60" s="348">
        <f ca="1">SUMPRODUCT(IFERROR((DATA_PROPERTY_MASTER!$A$5:$A$200&lt;&gt;"")*IF($C60="Included source errors",--(DATA_PROPERTY_MASTER!$E$5:$E$200="Yes"),--(DATA_PROPERTY_MASTER!$E$5:$E$200&lt;&gt;"Yes"))*--ISERROR(INDIRECT("'"&amp;DATA_PROPERTY_MASTER!$A$5:$A$200&amp;"'!"&amp;SUBSTITUTE(ADDRESS(1,COLUMN(P$5)+1,4),"1","")&amp;$B60)),0))</f>
        <v>0</v>
      </c>
      <c r="Q60" s="348">
        <f ca="1">SUMPRODUCT(IFERROR((DATA_PROPERTY_MASTER!$A$5:$A$200&lt;&gt;"")*IF($C60="Included source errors",--(DATA_PROPERTY_MASTER!$E$5:$E$200="Yes"),--(DATA_PROPERTY_MASTER!$E$5:$E$200&lt;&gt;"Yes"))*--ISERROR(INDIRECT("'"&amp;DATA_PROPERTY_MASTER!$A$5:$A$200&amp;"'!"&amp;SUBSTITUTE(ADDRESS(1,COLUMN(Q$5)+1,4),"1","")&amp;$B60)),0))</f>
        <v>0</v>
      </c>
      <c r="R60" s="348">
        <f ca="1">SUMPRODUCT(IFERROR((DATA_PROPERTY_MASTER!$A$5:$A$200&lt;&gt;"")*IF($C60="Included source errors",--(DATA_PROPERTY_MASTER!$E$5:$E$200="Yes"),--(DATA_PROPERTY_MASTER!$E$5:$E$200&lt;&gt;"Yes"))*--ISERROR(INDIRECT("'"&amp;DATA_PROPERTY_MASTER!$A$5:$A$200&amp;"'!"&amp;SUBSTITUTE(ADDRESS(1,COLUMN(R$5)+1,4),"1","")&amp;$B60)),0))</f>
        <v>0</v>
      </c>
      <c r="S60" s="348">
        <f ca="1">SUMPRODUCT(IFERROR((DATA_PROPERTY_MASTER!$A$5:$A$200&lt;&gt;"")*IF($C60="Included source errors",--(DATA_PROPERTY_MASTER!$E$5:$E$200="Yes"),--(DATA_PROPERTY_MASTER!$E$5:$E$200&lt;&gt;"Yes"))*--ISERROR(INDIRECT("'"&amp;DATA_PROPERTY_MASTER!$A$5:$A$200&amp;"'!"&amp;SUBSTITUTE(ADDRESS(1,COLUMN(S$5)+1,4),"1","")&amp;$B60)),0))</f>
        <v>0</v>
      </c>
      <c r="T60" s="348">
        <f ca="1">SUMPRODUCT(IFERROR((DATA_PROPERTY_MASTER!$A$5:$A$200&lt;&gt;"")*IF($C60="Included source errors",--(DATA_PROPERTY_MASTER!$E$5:$E$200="Yes"),--(DATA_PROPERTY_MASTER!$E$5:$E$200&lt;&gt;"Yes"))*--ISERROR(INDIRECT("'"&amp;DATA_PROPERTY_MASTER!$A$5:$A$200&amp;"'!"&amp;SUBSTITUTE(ADDRESS(1,COLUMN(T$5)+1,4),"1","")&amp;$B60)),0))</f>
        <v>0</v>
      </c>
      <c r="U60" s="348">
        <f ca="1">SUMPRODUCT(IFERROR((DATA_PROPERTY_MASTER!$A$5:$A$200&lt;&gt;"")*IF($C60="Included source errors",--(DATA_PROPERTY_MASTER!$E$5:$E$200="Yes"),--(DATA_PROPERTY_MASTER!$E$5:$E$200&lt;&gt;"Yes"))*--ISERROR(INDIRECT("'"&amp;DATA_PROPERTY_MASTER!$A$5:$A$200&amp;"'!"&amp;SUBSTITUTE(ADDRESS(1,COLUMN(U$5)+1,4),"1","")&amp;$B60)),0))</f>
        <v>0</v>
      </c>
      <c r="V60" s="348">
        <f ca="1">SUMPRODUCT(IFERROR((DATA_PROPERTY_MASTER!$A$5:$A$200&lt;&gt;"")*IF($C60="Included source errors",--(DATA_PROPERTY_MASTER!$E$5:$E$200="Yes"),--(DATA_PROPERTY_MASTER!$E$5:$E$200&lt;&gt;"Yes"))*--ISERROR(INDIRECT("'"&amp;DATA_PROPERTY_MASTER!$A$5:$A$200&amp;"'!"&amp;SUBSTITUTE(ADDRESS(1,COLUMN(V$5)+1,4),"1","")&amp;$B60)),0))</f>
        <v>0</v>
      </c>
      <c r="W60" s="348">
        <f ca="1">SUMPRODUCT(IFERROR((DATA_PROPERTY_MASTER!$A$5:$A$200&lt;&gt;"")*IF($C60="Included source errors",--(DATA_PROPERTY_MASTER!$E$5:$E$200="Yes"),--(DATA_PROPERTY_MASTER!$E$5:$E$200&lt;&gt;"Yes"))*--ISERROR(INDIRECT("'"&amp;DATA_PROPERTY_MASTER!$A$5:$A$200&amp;"'!"&amp;SUBSTITUTE(ADDRESS(1,COLUMN(W$5)+1,4),"1","")&amp;$B60)),0))</f>
        <v>0</v>
      </c>
      <c r="X60" s="348">
        <f ca="1">SUMPRODUCT(IFERROR((DATA_PROPERTY_MASTER!$A$5:$A$200&lt;&gt;"")*IF($C60="Included source errors",--(DATA_PROPERTY_MASTER!$E$5:$E$200="Yes"),--(DATA_PROPERTY_MASTER!$E$5:$E$200&lt;&gt;"Yes"))*--ISERROR(INDIRECT("'"&amp;DATA_PROPERTY_MASTER!$A$5:$A$200&amp;"'!"&amp;SUBSTITUTE(ADDRESS(1,COLUMN(X$5)+1,4),"1","")&amp;$B60)),0))</f>
        <v>0</v>
      </c>
    </row>
    <row r="61" spans="1:26">
      <c r="D61" s="348">
        <f ca="1">SUMPRODUCT(IFERROR((DATA_PROPERTY_MASTER!$A$5:$A$200&lt;&gt;"")*IF($C61="Included source errors",--(DATA_PROPERTY_MASTER!$E$5:$E$200="Yes"),--(DATA_PROPERTY_MASTER!$E$5:$E$200&lt;&gt;"Yes"))*--ISERROR(INDIRECT("'"&amp;DATA_PROPERTY_MASTER!$A$5:$A$200&amp;"'!"&amp;SUBSTITUTE(ADDRESS(1,COLUMN(D$5)+1,4),"1","")&amp;$B61)),0))</f>
        <v>0</v>
      </c>
      <c r="E61" s="348">
        <f ca="1">SUMPRODUCT(IFERROR((DATA_PROPERTY_MASTER!$A$5:$A$200&lt;&gt;"")*IF($C61="Included source errors",--(DATA_PROPERTY_MASTER!$E$5:$E$200="Yes"),--(DATA_PROPERTY_MASTER!$E$5:$E$200&lt;&gt;"Yes"))*--ISERROR(INDIRECT("'"&amp;DATA_PROPERTY_MASTER!$A$5:$A$200&amp;"'!"&amp;SUBSTITUTE(ADDRESS(1,COLUMN(E$5)+1,4),"1","")&amp;$B61)),0))</f>
        <v>0</v>
      </c>
      <c r="F61" s="348">
        <f ca="1">SUMPRODUCT(IFERROR((DATA_PROPERTY_MASTER!$A$5:$A$200&lt;&gt;"")*IF($C61="Included source errors",--(DATA_PROPERTY_MASTER!$E$5:$E$200="Yes"),--(DATA_PROPERTY_MASTER!$E$5:$E$200&lt;&gt;"Yes"))*--ISERROR(INDIRECT("'"&amp;DATA_PROPERTY_MASTER!$A$5:$A$200&amp;"'!"&amp;SUBSTITUTE(ADDRESS(1,COLUMN(F$5)+1,4),"1","")&amp;$B61)),0))</f>
        <v>0</v>
      </c>
      <c r="G61" s="348">
        <f ca="1">SUMPRODUCT(IFERROR((DATA_PROPERTY_MASTER!$A$5:$A$200&lt;&gt;"")*IF($C61="Included source errors",--(DATA_PROPERTY_MASTER!$E$5:$E$200="Yes"),--(DATA_PROPERTY_MASTER!$E$5:$E$200&lt;&gt;"Yes"))*--ISERROR(INDIRECT("'"&amp;DATA_PROPERTY_MASTER!$A$5:$A$200&amp;"'!"&amp;SUBSTITUTE(ADDRESS(1,COLUMN(G$5)+1,4),"1","")&amp;$B61)),0))</f>
        <v>0</v>
      </c>
      <c r="H61" s="348">
        <f ca="1">SUMPRODUCT(IFERROR((DATA_PROPERTY_MASTER!$A$5:$A$200&lt;&gt;"")*IF($C61="Included source errors",--(DATA_PROPERTY_MASTER!$E$5:$E$200="Yes"),--(DATA_PROPERTY_MASTER!$E$5:$E$200&lt;&gt;"Yes"))*--ISERROR(INDIRECT("'"&amp;DATA_PROPERTY_MASTER!$A$5:$A$200&amp;"'!"&amp;SUBSTITUTE(ADDRESS(1,COLUMN(H$5)+1,4),"1","")&amp;$B61)),0))</f>
        <v>0</v>
      </c>
      <c r="I61" s="348">
        <f ca="1">SUMPRODUCT(IFERROR((DATA_PROPERTY_MASTER!$A$5:$A$200&lt;&gt;"")*IF($C61="Included source errors",--(DATA_PROPERTY_MASTER!$E$5:$E$200="Yes"),--(DATA_PROPERTY_MASTER!$E$5:$E$200&lt;&gt;"Yes"))*--ISERROR(INDIRECT("'"&amp;DATA_PROPERTY_MASTER!$A$5:$A$200&amp;"'!"&amp;SUBSTITUTE(ADDRESS(1,COLUMN(I$5)+1,4),"1","")&amp;$B61)),0))</f>
        <v>0</v>
      </c>
      <c r="J61" s="348">
        <f ca="1">SUMPRODUCT(IFERROR((DATA_PROPERTY_MASTER!$A$5:$A$200&lt;&gt;"")*IF($C61="Included source errors",--(DATA_PROPERTY_MASTER!$E$5:$E$200="Yes"),--(DATA_PROPERTY_MASTER!$E$5:$E$200&lt;&gt;"Yes"))*--ISERROR(INDIRECT("'"&amp;DATA_PROPERTY_MASTER!$A$5:$A$200&amp;"'!"&amp;SUBSTITUTE(ADDRESS(1,COLUMN(J$5)+1,4),"1","")&amp;$B61)),0))</f>
        <v>0</v>
      </c>
      <c r="K61" s="348">
        <f ca="1">SUMPRODUCT(IFERROR((DATA_PROPERTY_MASTER!$A$5:$A$200&lt;&gt;"")*IF($C61="Included source errors",--(DATA_PROPERTY_MASTER!$E$5:$E$200="Yes"),--(DATA_PROPERTY_MASTER!$E$5:$E$200&lt;&gt;"Yes"))*--ISERROR(INDIRECT("'"&amp;DATA_PROPERTY_MASTER!$A$5:$A$200&amp;"'!"&amp;SUBSTITUTE(ADDRESS(1,COLUMN(K$5)+1,4),"1","")&amp;$B61)),0))</f>
        <v>0</v>
      </c>
      <c r="L61" s="348">
        <f ca="1">SUMPRODUCT(IFERROR((DATA_PROPERTY_MASTER!$A$5:$A$200&lt;&gt;"")*IF($C61="Included source errors",--(DATA_PROPERTY_MASTER!$E$5:$E$200="Yes"),--(DATA_PROPERTY_MASTER!$E$5:$E$200&lt;&gt;"Yes"))*--ISERROR(INDIRECT("'"&amp;DATA_PROPERTY_MASTER!$A$5:$A$200&amp;"'!"&amp;SUBSTITUTE(ADDRESS(1,COLUMN(L$5)+1,4),"1","")&amp;$B61)),0))</f>
        <v>0</v>
      </c>
      <c r="M61" s="348">
        <f ca="1">SUMPRODUCT(IFERROR((DATA_PROPERTY_MASTER!$A$5:$A$200&lt;&gt;"")*IF($C61="Included source errors",--(DATA_PROPERTY_MASTER!$E$5:$E$200="Yes"),--(DATA_PROPERTY_MASTER!$E$5:$E$200&lt;&gt;"Yes"))*--ISERROR(INDIRECT("'"&amp;DATA_PROPERTY_MASTER!$A$5:$A$200&amp;"'!"&amp;SUBSTITUTE(ADDRESS(1,COLUMN(M$5)+1,4),"1","")&amp;$B61)),0))</f>
        <v>0</v>
      </c>
      <c r="N61" s="348">
        <f ca="1">SUMPRODUCT(IFERROR((DATA_PROPERTY_MASTER!$A$5:$A$200&lt;&gt;"")*IF($C61="Included source errors",--(DATA_PROPERTY_MASTER!$E$5:$E$200="Yes"),--(DATA_PROPERTY_MASTER!$E$5:$E$200&lt;&gt;"Yes"))*--ISERROR(INDIRECT("'"&amp;DATA_PROPERTY_MASTER!$A$5:$A$200&amp;"'!"&amp;SUBSTITUTE(ADDRESS(1,COLUMN(N$5)+1,4),"1","")&amp;$B61)),0))</f>
        <v>0</v>
      </c>
      <c r="O61" s="348">
        <f ca="1">SUMPRODUCT(IFERROR((DATA_PROPERTY_MASTER!$A$5:$A$200&lt;&gt;"")*IF($C61="Included source errors",--(DATA_PROPERTY_MASTER!$E$5:$E$200="Yes"),--(DATA_PROPERTY_MASTER!$E$5:$E$200&lt;&gt;"Yes"))*--ISERROR(INDIRECT("'"&amp;DATA_PROPERTY_MASTER!$A$5:$A$200&amp;"'!"&amp;SUBSTITUTE(ADDRESS(1,COLUMN(O$5)+1,4),"1","")&amp;$B61)),0))</f>
        <v>0</v>
      </c>
      <c r="P61" s="348">
        <f ca="1">SUMPRODUCT(IFERROR((DATA_PROPERTY_MASTER!$A$5:$A$200&lt;&gt;"")*IF($C61="Included source errors",--(DATA_PROPERTY_MASTER!$E$5:$E$200="Yes"),--(DATA_PROPERTY_MASTER!$E$5:$E$200&lt;&gt;"Yes"))*--ISERROR(INDIRECT("'"&amp;DATA_PROPERTY_MASTER!$A$5:$A$200&amp;"'!"&amp;SUBSTITUTE(ADDRESS(1,COLUMN(P$5)+1,4),"1","")&amp;$B61)),0))</f>
        <v>0</v>
      </c>
      <c r="Q61" s="348">
        <f ca="1">SUMPRODUCT(IFERROR((DATA_PROPERTY_MASTER!$A$5:$A$200&lt;&gt;"")*IF($C61="Included source errors",--(DATA_PROPERTY_MASTER!$E$5:$E$200="Yes"),--(DATA_PROPERTY_MASTER!$E$5:$E$200&lt;&gt;"Yes"))*--ISERROR(INDIRECT("'"&amp;DATA_PROPERTY_MASTER!$A$5:$A$200&amp;"'!"&amp;SUBSTITUTE(ADDRESS(1,COLUMN(Q$5)+1,4),"1","")&amp;$B61)),0))</f>
        <v>0</v>
      </c>
      <c r="R61" s="348">
        <f ca="1">SUMPRODUCT(IFERROR((DATA_PROPERTY_MASTER!$A$5:$A$200&lt;&gt;"")*IF($C61="Included source errors",--(DATA_PROPERTY_MASTER!$E$5:$E$200="Yes"),--(DATA_PROPERTY_MASTER!$E$5:$E$200&lt;&gt;"Yes"))*--ISERROR(INDIRECT("'"&amp;DATA_PROPERTY_MASTER!$A$5:$A$200&amp;"'!"&amp;SUBSTITUTE(ADDRESS(1,COLUMN(R$5)+1,4),"1","")&amp;$B61)),0))</f>
        <v>0</v>
      </c>
      <c r="S61" s="348">
        <f ca="1">SUMPRODUCT(IFERROR((DATA_PROPERTY_MASTER!$A$5:$A$200&lt;&gt;"")*IF($C61="Included source errors",--(DATA_PROPERTY_MASTER!$E$5:$E$200="Yes"),--(DATA_PROPERTY_MASTER!$E$5:$E$200&lt;&gt;"Yes"))*--ISERROR(INDIRECT("'"&amp;DATA_PROPERTY_MASTER!$A$5:$A$200&amp;"'!"&amp;SUBSTITUTE(ADDRESS(1,COLUMN(S$5)+1,4),"1","")&amp;$B61)),0))</f>
        <v>0</v>
      </c>
      <c r="T61" s="348">
        <f ca="1">SUMPRODUCT(IFERROR((DATA_PROPERTY_MASTER!$A$5:$A$200&lt;&gt;"")*IF($C61="Included source errors",--(DATA_PROPERTY_MASTER!$E$5:$E$200="Yes"),--(DATA_PROPERTY_MASTER!$E$5:$E$200&lt;&gt;"Yes"))*--ISERROR(INDIRECT("'"&amp;DATA_PROPERTY_MASTER!$A$5:$A$200&amp;"'!"&amp;SUBSTITUTE(ADDRESS(1,COLUMN(T$5)+1,4),"1","")&amp;$B61)),0))</f>
        <v>0</v>
      </c>
      <c r="U61" s="348">
        <f ca="1">SUMPRODUCT(IFERROR((DATA_PROPERTY_MASTER!$A$5:$A$200&lt;&gt;"")*IF($C61="Included source errors",--(DATA_PROPERTY_MASTER!$E$5:$E$200="Yes"),--(DATA_PROPERTY_MASTER!$E$5:$E$200&lt;&gt;"Yes"))*--ISERROR(INDIRECT("'"&amp;DATA_PROPERTY_MASTER!$A$5:$A$200&amp;"'!"&amp;SUBSTITUTE(ADDRESS(1,COLUMN(U$5)+1,4),"1","")&amp;$B61)),0))</f>
        <v>0</v>
      </c>
      <c r="V61" s="348">
        <f ca="1">SUMPRODUCT(IFERROR((DATA_PROPERTY_MASTER!$A$5:$A$200&lt;&gt;"")*IF($C61="Included source errors",--(DATA_PROPERTY_MASTER!$E$5:$E$200="Yes"),--(DATA_PROPERTY_MASTER!$E$5:$E$200&lt;&gt;"Yes"))*--ISERROR(INDIRECT("'"&amp;DATA_PROPERTY_MASTER!$A$5:$A$200&amp;"'!"&amp;SUBSTITUTE(ADDRESS(1,COLUMN(V$5)+1,4),"1","")&amp;$B61)),0))</f>
        <v>0</v>
      </c>
      <c r="W61" s="348">
        <f ca="1">SUMPRODUCT(IFERROR((DATA_PROPERTY_MASTER!$A$5:$A$200&lt;&gt;"")*IF($C61="Included source errors",--(DATA_PROPERTY_MASTER!$E$5:$E$200="Yes"),--(DATA_PROPERTY_MASTER!$E$5:$E$200&lt;&gt;"Yes"))*--ISERROR(INDIRECT("'"&amp;DATA_PROPERTY_MASTER!$A$5:$A$200&amp;"'!"&amp;SUBSTITUTE(ADDRESS(1,COLUMN(W$5)+1,4),"1","")&amp;$B61)),0))</f>
        <v>0</v>
      </c>
      <c r="X61" s="348">
        <f ca="1">SUMPRODUCT(IFERROR((DATA_PROPERTY_MASTER!$A$5:$A$200&lt;&gt;"")*IF($C61="Included source errors",--(DATA_PROPERTY_MASTER!$E$5:$E$200="Yes"),--(DATA_PROPERTY_MASTER!$E$5:$E$200&lt;&gt;"Yes"))*--ISERROR(INDIRECT("'"&amp;DATA_PROPERTY_MASTER!$A$5:$A$200&amp;"'!"&amp;SUBSTITUTE(ADDRESS(1,COLUMN(X$5)+1,4),"1","")&amp;$B61)),0))</f>
        <v>0</v>
      </c>
    </row>
    <row r="62" spans="1:26">
      <c r="D62" s="348">
        <f ca="1">SUMPRODUCT(IFERROR((DATA_PROPERTY_MASTER!$A$5:$A$200&lt;&gt;"")*IF($C62="Included source errors",--(DATA_PROPERTY_MASTER!$E$5:$E$200="Yes"),--(DATA_PROPERTY_MASTER!$E$5:$E$200&lt;&gt;"Yes"))*--ISERROR(INDIRECT("'"&amp;DATA_PROPERTY_MASTER!$A$5:$A$200&amp;"'!"&amp;SUBSTITUTE(ADDRESS(1,COLUMN(D$5)+1,4),"1","")&amp;$B62)),0))</f>
        <v>0</v>
      </c>
      <c r="E62" s="348">
        <f ca="1">SUMPRODUCT(IFERROR((DATA_PROPERTY_MASTER!$A$5:$A$200&lt;&gt;"")*IF($C62="Included source errors",--(DATA_PROPERTY_MASTER!$E$5:$E$200="Yes"),--(DATA_PROPERTY_MASTER!$E$5:$E$200&lt;&gt;"Yes"))*--ISERROR(INDIRECT("'"&amp;DATA_PROPERTY_MASTER!$A$5:$A$200&amp;"'!"&amp;SUBSTITUTE(ADDRESS(1,COLUMN(E$5)+1,4),"1","")&amp;$B62)),0))</f>
        <v>0</v>
      </c>
      <c r="F62" s="348">
        <f ca="1">SUMPRODUCT(IFERROR((DATA_PROPERTY_MASTER!$A$5:$A$200&lt;&gt;"")*IF($C62="Included source errors",--(DATA_PROPERTY_MASTER!$E$5:$E$200="Yes"),--(DATA_PROPERTY_MASTER!$E$5:$E$200&lt;&gt;"Yes"))*--ISERROR(INDIRECT("'"&amp;DATA_PROPERTY_MASTER!$A$5:$A$200&amp;"'!"&amp;SUBSTITUTE(ADDRESS(1,COLUMN(F$5)+1,4),"1","")&amp;$B62)),0))</f>
        <v>0</v>
      </c>
      <c r="G62" s="348">
        <f ca="1">SUMPRODUCT(IFERROR((DATA_PROPERTY_MASTER!$A$5:$A$200&lt;&gt;"")*IF($C62="Included source errors",--(DATA_PROPERTY_MASTER!$E$5:$E$200="Yes"),--(DATA_PROPERTY_MASTER!$E$5:$E$200&lt;&gt;"Yes"))*--ISERROR(INDIRECT("'"&amp;DATA_PROPERTY_MASTER!$A$5:$A$200&amp;"'!"&amp;SUBSTITUTE(ADDRESS(1,COLUMN(G$5)+1,4),"1","")&amp;$B62)),0))</f>
        <v>0</v>
      </c>
      <c r="H62" s="348">
        <f ca="1">SUMPRODUCT(IFERROR((DATA_PROPERTY_MASTER!$A$5:$A$200&lt;&gt;"")*IF($C62="Included source errors",--(DATA_PROPERTY_MASTER!$E$5:$E$200="Yes"),--(DATA_PROPERTY_MASTER!$E$5:$E$200&lt;&gt;"Yes"))*--ISERROR(INDIRECT("'"&amp;DATA_PROPERTY_MASTER!$A$5:$A$200&amp;"'!"&amp;SUBSTITUTE(ADDRESS(1,COLUMN(H$5)+1,4),"1","")&amp;$B62)),0))</f>
        <v>0</v>
      </c>
      <c r="I62" s="348">
        <f ca="1">SUMPRODUCT(IFERROR((DATA_PROPERTY_MASTER!$A$5:$A$200&lt;&gt;"")*IF($C62="Included source errors",--(DATA_PROPERTY_MASTER!$E$5:$E$200="Yes"),--(DATA_PROPERTY_MASTER!$E$5:$E$200&lt;&gt;"Yes"))*--ISERROR(INDIRECT("'"&amp;DATA_PROPERTY_MASTER!$A$5:$A$200&amp;"'!"&amp;SUBSTITUTE(ADDRESS(1,COLUMN(I$5)+1,4),"1","")&amp;$B62)),0))</f>
        <v>0</v>
      </c>
      <c r="J62" s="348">
        <f ca="1">SUMPRODUCT(IFERROR((DATA_PROPERTY_MASTER!$A$5:$A$200&lt;&gt;"")*IF($C62="Included source errors",--(DATA_PROPERTY_MASTER!$E$5:$E$200="Yes"),--(DATA_PROPERTY_MASTER!$E$5:$E$200&lt;&gt;"Yes"))*--ISERROR(INDIRECT("'"&amp;DATA_PROPERTY_MASTER!$A$5:$A$200&amp;"'!"&amp;SUBSTITUTE(ADDRESS(1,COLUMN(J$5)+1,4),"1","")&amp;$B62)),0))</f>
        <v>0</v>
      </c>
      <c r="K62" s="348">
        <f ca="1">SUMPRODUCT(IFERROR((DATA_PROPERTY_MASTER!$A$5:$A$200&lt;&gt;"")*IF($C62="Included source errors",--(DATA_PROPERTY_MASTER!$E$5:$E$200="Yes"),--(DATA_PROPERTY_MASTER!$E$5:$E$200&lt;&gt;"Yes"))*--ISERROR(INDIRECT("'"&amp;DATA_PROPERTY_MASTER!$A$5:$A$200&amp;"'!"&amp;SUBSTITUTE(ADDRESS(1,COLUMN(K$5)+1,4),"1","")&amp;$B62)),0))</f>
        <v>0</v>
      </c>
      <c r="L62" s="348">
        <f ca="1">SUMPRODUCT(IFERROR((DATA_PROPERTY_MASTER!$A$5:$A$200&lt;&gt;"")*IF($C62="Included source errors",--(DATA_PROPERTY_MASTER!$E$5:$E$200="Yes"),--(DATA_PROPERTY_MASTER!$E$5:$E$200&lt;&gt;"Yes"))*--ISERROR(INDIRECT("'"&amp;DATA_PROPERTY_MASTER!$A$5:$A$200&amp;"'!"&amp;SUBSTITUTE(ADDRESS(1,COLUMN(L$5)+1,4),"1","")&amp;$B62)),0))</f>
        <v>0</v>
      </c>
      <c r="M62" s="348">
        <f ca="1">SUMPRODUCT(IFERROR((DATA_PROPERTY_MASTER!$A$5:$A$200&lt;&gt;"")*IF($C62="Included source errors",--(DATA_PROPERTY_MASTER!$E$5:$E$200="Yes"),--(DATA_PROPERTY_MASTER!$E$5:$E$200&lt;&gt;"Yes"))*--ISERROR(INDIRECT("'"&amp;DATA_PROPERTY_MASTER!$A$5:$A$200&amp;"'!"&amp;SUBSTITUTE(ADDRESS(1,COLUMN(M$5)+1,4),"1","")&amp;$B62)),0))</f>
        <v>0</v>
      </c>
      <c r="N62" s="348">
        <f ca="1">SUMPRODUCT(IFERROR((DATA_PROPERTY_MASTER!$A$5:$A$200&lt;&gt;"")*IF($C62="Included source errors",--(DATA_PROPERTY_MASTER!$E$5:$E$200="Yes"),--(DATA_PROPERTY_MASTER!$E$5:$E$200&lt;&gt;"Yes"))*--ISERROR(INDIRECT("'"&amp;DATA_PROPERTY_MASTER!$A$5:$A$200&amp;"'!"&amp;SUBSTITUTE(ADDRESS(1,COLUMN(N$5)+1,4),"1","")&amp;$B62)),0))</f>
        <v>0</v>
      </c>
      <c r="O62" s="348">
        <f ca="1">SUMPRODUCT(IFERROR((DATA_PROPERTY_MASTER!$A$5:$A$200&lt;&gt;"")*IF($C62="Included source errors",--(DATA_PROPERTY_MASTER!$E$5:$E$200="Yes"),--(DATA_PROPERTY_MASTER!$E$5:$E$200&lt;&gt;"Yes"))*--ISERROR(INDIRECT("'"&amp;DATA_PROPERTY_MASTER!$A$5:$A$200&amp;"'!"&amp;SUBSTITUTE(ADDRESS(1,COLUMN(O$5)+1,4),"1","")&amp;$B62)),0))</f>
        <v>0</v>
      </c>
      <c r="P62" s="348">
        <f ca="1">SUMPRODUCT(IFERROR((DATA_PROPERTY_MASTER!$A$5:$A$200&lt;&gt;"")*IF($C62="Included source errors",--(DATA_PROPERTY_MASTER!$E$5:$E$200="Yes"),--(DATA_PROPERTY_MASTER!$E$5:$E$200&lt;&gt;"Yes"))*--ISERROR(INDIRECT("'"&amp;DATA_PROPERTY_MASTER!$A$5:$A$200&amp;"'!"&amp;SUBSTITUTE(ADDRESS(1,COLUMN(P$5)+1,4),"1","")&amp;$B62)),0))</f>
        <v>0</v>
      </c>
      <c r="Q62" s="348">
        <f ca="1">SUMPRODUCT(IFERROR((DATA_PROPERTY_MASTER!$A$5:$A$200&lt;&gt;"")*IF($C62="Included source errors",--(DATA_PROPERTY_MASTER!$E$5:$E$200="Yes"),--(DATA_PROPERTY_MASTER!$E$5:$E$200&lt;&gt;"Yes"))*--ISERROR(INDIRECT("'"&amp;DATA_PROPERTY_MASTER!$A$5:$A$200&amp;"'!"&amp;SUBSTITUTE(ADDRESS(1,COLUMN(Q$5)+1,4),"1","")&amp;$B62)),0))</f>
        <v>0</v>
      </c>
      <c r="R62" s="348">
        <f ca="1">SUMPRODUCT(IFERROR((DATA_PROPERTY_MASTER!$A$5:$A$200&lt;&gt;"")*IF($C62="Included source errors",--(DATA_PROPERTY_MASTER!$E$5:$E$200="Yes"),--(DATA_PROPERTY_MASTER!$E$5:$E$200&lt;&gt;"Yes"))*--ISERROR(INDIRECT("'"&amp;DATA_PROPERTY_MASTER!$A$5:$A$200&amp;"'!"&amp;SUBSTITUTE(ADDRESS(1,COLUMN(R$5)+1,4),"1","")&amp;$B62)),0))</f>
        <v>0</v>
      </c>
      <c r="S62" s="348">
        <f ca="1">SUMPRODUCT(IFERROR((DATA_PROPERTY_MASTER!$A$5:$A$200&lt;&gt;"")*IF($C62="Included source errors",--(DATA_PROPERTY_MASTER!$E$5:$E$200="Yes"),--(DATA_PROPERTY_MASTER!$E$5:$E$200&lt;&gt;"Yes"))*--ISERROR(INDIRECT("'"&amp;DATA_PROPERTY_MASTER!$A$5:$A$200&amp;"'!"&amp;SUBSTITUTE(ADDRESS(1,COLUMN(S$5)+1,4),"1","")&amp;$B62)),0))</f>
        <v>0</v>
      </c>
      <c r="T62" s="348">
        <f ca="1">SUMPRODUCT(IFERROR((DATA_PROPERTY_MASTER!$A$5:$A$200&lt;&gt;"")*IF($C62="Included source errors",--(DATA_PROPERTY_MASTER!$E$5:$E$200="Yes"),--(DATA_PROPERTY_MASTER!$E$5:$E$200&lt;&gt;"Yes"))*--ISERROR(INDIRECT("'"&amp;DATA_PROPERTY_MASTER!$A$5:$A$200&amp;"'!"&amp;SUBSTITUTE(ADDRESS(1,COLUMN(T$5)+1,4),"1","")&amp;$B62)),0))</f>
        <v>0</v>
      </c>
      <c r="U62" s="348">
        <f ca="1">SUMPRODUCT(IFERROR((DATA_PROPERTY_MASTER!$A$5:$A$200&lt;&gt;"")*IF($C62="Included source errors",--(DATA_PROPERTY_MASTER!$E$5:$E$200="Yes"),--(DATA_PROPERTY_MASTER!$E$5:$E$200&lt;&gt;"Yes"))*--ISERROR(INDIRECT("'"&amp;DATA_PROPERTY_MASTER!$A$5:$A$200&amp;"'!"&amp;SUBSTITUTE(ADDRESS(1,COLUMN(U$5)+1,4),"1","")&amp;$B62)),0))</f>
        <v>0</v>
      </c>
      <c r="V62" s="348">
        <f ca="1">SUMPRODUCT(IFERROR((DATA_PROPERTY_MASTER!$A$5:$A$200&lt;&gt;"")*IF($C62="Included source errors",--(DATA_PROPERTY_MASTER!$E$5:$E$200="Yes"),--(DATA_PROPERTY_MASTER!$E$5:$E$200&lt;&gt;"Yes"))*--ISERROR(INDIRECT("'"&amp;DATA_PROPERTY_MASTER!$A$5:$A$200&amp;"'!"&amp;SUBSTITUTE(ADDRESS(1,COLUMN(V$5)+1,4),"1","")&amp;$B62)),0))</f>
        <v>0</v>
      </c>
      <c r="W62" s="348">
        <f ca="1">SUMPRODUCT(IFERROR((DATA_PROPERTY_MASTER!$A$5:$A$200&lt;&gt;"")*IF($C62="Included source errors",--(DATA_PROPERTY_MASTER!$E$5:$E$200="Yes"),--(DATA_PROPERTY_MASTER!$E$5:$E$200&lt;&gt;"Yes"))*--ISERROR(INDIRECT("'"&amp;DATA_PROPERTY_MASTER!$A$5:$A$200&amp;"'!"&amp;SUBSTITUTE(ADDRESS(1,COLUMN(W$5)+1,4),"1","")&amp;$B62)),0))</f>
        <v>0</v>
      </c>
      <c r="X62" s="348">
        <f ca="1">SUMPRODUCT(IFERROR((DATA_PROPERTY_MASTER!$A$5:$A$200&lt;&gt;"")*IF($C62="Included source errors",--(DATA_PROPERTY_MASTER!$E$5:$E$200="Yes"),--(DATA_PROPERTY_MASTER!$E$5:$E$200&lt;&gt;"Yes"))*--ISERROR(INDIRECT("'"&amp;DATA_PROPERTY_MASTER!$A$5:$A$200&amp;"'!"&amp;SUBSTITUTE(ADDRESS(1,COLUMN(X$5)+1,4),"1","")&amp;$B62)),0))</f>
        <v>0</v>
      </c>
    </row>
    <row r="63" spans="1:26">
      <c r="D63" s="348">
        <f ca="1">SUMPRODUCT(IFERROR((DATA_PROPERTY_MASTER!$A$5:$A$200&lt;&gt;"")*IF($C63="Included source errors",--(DATA_PROPERTY_MASTER!$E$5:$E$200="Yes"),--(DATA_PROPERTY_MASTER!$E$5:$E$200&lt;&gt;"Yes"))*--ISERROR(INDIRECT("'"&amp;DATA_PROPERTY_MASTER!$A$5:$A$200&amp;"'!"&amp;SUBSTITUTE(ADDRESS(1,COLUMN(D$5)+1,4),"1","")&amp;$B63)),0))</f>
        <v>0</v>
      </c>
      <c r="E63" s="348">
        <f ca="1">SUMPRODUCT(IFERROR((DATA_PROPERTY_MASTER!$A$5:$A$200&lt;&gt;"")*IF($C63="Included source errors",--(DATA_PROPERTY_MASTER!$E$5:$E$200="Yes"),--(DATA_PROPERTY_MASTER!$E$5:$E$200&lt;&gt;"Yes"))*--ISERROR(INDIRECT("'"&amp;DATA_PROPERTY_MASTER!$A$5:$A$200&amp;"'!"&amp;SUBSTITUTE(ADDRESS(1,COLUMN(E$5)+1,4),"1","")&amp;$B63)),0))</f>
        <v>0</v>
      </c>
      <c r="F63" s="348">
        <f ca="1">SUMPRODUCT(IFERROR((DATA_PROPERTY_MASTER!$A$5:$A$200&lt;&gt;"")*IF($C63="Included source errors",--(DATA_PROPERTY_MASTER!$E$5:$E$200="Yes"),--(DATA_PROPERTY_MASTER!$E$5:$E$200&lt;&gt;"Yes"))*--ISERROR(INDIRECT("'"&amp;DATA_PROPERTY_MASTER!$A$5:$A$200&amp;"'!"&amp;SUBSTITUTE(ADDRESS(1,COLUMN(F$5)+1,4),"1","")&amp;$B63)),0))</f>
        <v>0</v>
      </c>
      <c r="G63" s="348">
        <f ca="1">SUMPRODUCT(IFERROR((DATA_PROPERTY_MASTER!$A$5:$A$200&lt;&gt;"")*IF($C63="Included source errors",--(DATA_PROPERTY_MASTER!$E$5:$E$200="Yes"),--(DATA_PROPERTY_MASTER!$E$5:$E$200&lt;&gt;"Yes"))*--ISERROR(INDIRECT("'"&amp;DATA_PROPERTY_MASTER!$A$5:$A$200&amp;"'!"&amp;SUBSTITUTE(ADDRESS(1,COLUMN(G$5)+1,4),"1","")&amp;$B63)),0))</f>
        <v>0</v>
      </c>
      <c r="H63" s="348">
        <f ca="1">SUMPRODUCT(IFERROR((DATA_PROPERTY_MASTER!$A$5:$A$200&lt;&gt;"")*IF($C63="Included source errors",--(DATA_PROPERTY_MASTER!$E$5:$E$200="Yes"),--(DATA_PROPERTY_MASTER!$E$5:$E$200&lt;&gt;"Yes"))*--ISERROR(INDIRECT("'"&amp;DATA_PROPERTY_MASTER!$A$5:$A$200&amp;"'!"&amp;SUBSTITUTE(ADDRESS(1,COLUMN(H$5)+1,4),"1","")&amp;$B63)),0))</f>
        <v>0</v>
      </c>
      <c r="I63" s="348">
        <f ca="1">SUMPRODUCT(IFERROR((DATA_PROPERTY_MASTER!$A$5:$A$200&lt;&gt;"")*IF($C63="Included source errors",--(DATA_PROPERTY_MASTER!$E$5:$E$200="Yes"),--(DATA_PROPERTY_MASTER!$E$5:$E$200&lt;&gt;"Yes"))*--ISERROR(INDIRECT("'"&amp;DATA_PROPERTY_MASTER!$A$5:$A$200&amp;"'!"&amp;SUBSTITUTE(ADDRESS(1,COLUMN(I$5)+1,4),"1","")&amp;$B63)),0))</f>
        <v>0</v>
      </c>
      <c r="J63" s="348">
        <f ca="1">SUMPRODUCT(IFERROR((DATA_PROPERTY_MASTER!$A$5:$A$200&lt;&gt;"")*IF($C63="Included source errors",--(DATA_PROPERTY_MASTER!$E$5:$E$200="Yes"),--(DATA_PROPERTY_MASTER!$E$5:$E$200&lt;&gt;"Yes"))*--ISERROR(INDIRECT("'"&amp;DATA_PROPERTY_MASTER!$A$5:$A$200&amp;"'!"&amp;SUBSTITUTE(ADDRESS(1,COLUMN(J$5)+1,4),"1","")&amp;$B63)),0))</f>
        <v>0</v>
      </c>
      <c r="K63" s="348">
        <f ca="1">SUMPRODUCT(IFERROR((DATA_PROPERTY_MASTER!$A$5:$A$200&lt;&gt;"")*IF($C63="Included source errors",--(DATA_PROPERTY_MASTER!$E$5:$E$200="Yes"),--(DATA_PROPERTY_MASTER!$E$5:$E$200&lt;&gt;"Yes"))*--ISERROR(INDIRECT("'"&amp;DATA_PROPERTY_MASTER!$A$5:$A$200&amp;"'!"&amp;SUBSTITUTE(ADDRESS(1,COLUMN(K$5)+1,4),"1","")&amp;$B63)),0))</f>
        <v>0</v>
      </c>
      <c r="L63" s="348">
        <f ca="1">SUMPRODUCT(IFERROR((DATA_PROPERTY_MASTER!$A$5:$A$200&lt;&gt;"")*IF($C63="Included source errors",--(DATA_PROPERTY_MASTER!$E$5:$E$200="Yes"),--(DATA_PROPERTY_MASTER!$E$5:$E$200&lt;&gt;"Yes"))*--ISERROR(INDIRECT("'"&amp;DATA_PROPERTY_MASTER!$A$5:$A$200&amp;"'!"&amp;SUBSTITUTE(ADDRESS(1,COLUMN(L$5)+1,4),"1","")&amp;$B63)),0))</f>
        <v>0</v>
      </c>
      <c r="M63" s="348">
        <f ca="1">SUMPRODUCT(IFERROR((DATA_PROPERTY_MASTER!$A$5:$A$200&lt;&gt;"")*IF($C63="Included source errors",--(DATA_PROPERTY_MASTER!$E$5:$E$200="Yes"),--(DATA_PROPERTY_MASTER!$E$5:$E$200&lt;&gt;"Yes"))*--ISERROR(INDIRECT("'"&amp;DATA_PROPERTY_MASTER!$A$5:$A$200&amp;"'!"&amp;SUBSTITUTE(ADDRESS(1,COLUMN(M$5)+1,4),"1","")&amp;$B63)),0))</f>
        <v>0</v>
      </c>
      <c r="N63" s="348">
        <f ca="1">SUMPRODUCT(IFERROR((DATA_PROPERTY_MASTER!$A$5:$A$200&lt;&gt;"")*IF($C63="Included source errors",--(DATA_PROPERTY_MASTER!$E$5:$E$200="Yes"),--(DATA_PROPERTY_MASTER!$E$5:$E$200&lt;&gt;"Yes"))*--ISERROR(INDIRECT("'"&amp;DATA_PROPERTY_MASTER!$A$5:$A$200&amp;"'!"&amp;SUBSTITUTE(ADDRESS(1,COLUMN(N$5)+1,4),"1","")&amp;$B63)),0))</f>
        <v>0</v>
      </c>
      <c r="O63" s="348">
        <f ca="1">SUMPRODUCT(IFERROR((DATA_PROPERTY_MASTER!$A$5:$A$200&lt;&gt;"")*IF($C63="Included source errors",--(DATA_PROPERTY_MASTER!$E$5:$E$200="Yes"),--(DATA_PROPERTY_MASTER!$E$5:$E$200&lt;&gt;"Yes"))*--ISERROR(INDIRECT("'"&amp;DATA_PROPERTY_MASTER!$A$5:$A$200&amp;"'!"&amp;SUBSTITUTE(ADDRESS(1,COLUMN(O$5)+1,4),"1","")&amp;$B63)),0))</f>
        <v>0</v>
      </c>
      <c r="P63" s="348">
        <f ca="1">SUMPRODUCT(IFERROR((DATA_PROPERTY_MASTER!$A$5:$A$200&lt;&gt;"")*IF($C63="Included source errors",--(DATA_PROPERTY_MASTER!$E$5:$E$200="Yes"),--(DATA_PROPERTY_MASTER!$E$5:$E$200&lt;&gt;"Yes"))*--ISERROR(INDIRECT("'"&amp;DATA_PROPERTY_MASTER!$A$5:$A$200&amp;"'!"&amp;SUBSTITUTE(ADDRESS(1,COLUMN(P$5)+1,4),"1","")&amp;$B63)),0))</f>
        <v>0</v>
      </c>
      <c r="Q63" s="348">
        <f ca="1">SUMPRODUCT(IFERROR((DATA_PROPERTY_MASTER!$A$5:$A$200&lt;&gt;"")*IF($C63="Included source errors",--(DATA_PROPERTY_MASTER!$E$5:$E$200="Yes"),--(DATA_PROPERTY_MASTER!$E$5:$E$200&lt;&gt;"Yes"))*--ISERROR(INDIRECT("'"&amp;DATA_PROPERTY_MASTER!$A$5:$A$200&amp;"'!"&amp;SUBSTITUTE(ADDRESS(1,COLUMN(Q$5)+1,4),"1","")&amp;$B63)),0))</f>
        <v>0</v>
      </c>
      <c r="R63" s="348">
        <f ca="1">SUMPRODUCT(IFERROR((DATA_PROPERTY_MASTER!$A$5:$A$200&lt;&gt;"")*IF($C63="Included source errors",--(DATA_PROPERTY_MASTER!$E$5:$E$200="Yes"),--(DATA_PROPERTY_MASTER!$E$5:$E$200&lt;&gt;"Yes"))*--ISERROR(INDIRECT("'"&amp;DATA_PROPERTY_MASTER!$A$5:$A$200&amp;"'!"&amp;SUBSTITUTE(ADDRESS(1,COLUMN(R$5)+1,4),"1","")&amp;$B63)),0))</f>
        <v>0</v>
      </c>
      <c r="S63" s="348">
        <f ca="1">SUMPRODUCT(IFERROR((DATA_PROPERTY_MASTER!$A$5:$A$200&lt;&gt;"")*IF($C63="Included source errors",--(DATA_PROPERTY_MASTER!$E$5:$E$200="Yes"),--(DATA_PROPERTY_MASTER!$E$5:$E$200&lt;&gt;"Yes"))*--ISERROR(INDIRECT("'"&amp;DATA_PROPERTY_MASTER!$A$5:$A$200&amp;"'!"&amp;SUBSTITUTE(ADDRESS(1,COLUMN(S$5)+1,4),"1","")&amp;$B63)),0))</f>
        <v>0</v>
      </c>
      <c r="T63" s="348">
        <f ca="1">SUMPRODUCT(IFERROR((DATA_PROPERTY_MASTER!$A$5:$A$200&lt;&gt;"")*IF($C63="Included source errors",--(DATA_PROPERTY_MASTER!$E$5:$E$200="Yes"),--(DATA_PROPERTY_MASTER!$E$5:$E$200&lt;&gt;"Yes"))*--ISERROR(INDIRECT("'"&amp;DATA_PROPERTY_MASTER!$A$5:$A$200&amp;"'!"&amp;SUBSTITUTE(ADDRESS(1,COLUMN(T$5)+1,4),"1","")&amp;$B63)),0))</f>
        <v>0</v>
      </c>
      <c r="U63" s="348">
        <f ca="1">SUMPRODUCT(IFERROR((DATA_PROPERTY_MASTER!$A$5:$A$200&lt;&gt;"")*IF($C63="Included source errors",--(DATA_PROPERTY_MASTER!$E$5:$E$200="Yes"),--(DATA_PROPERTY_MASTER!$E$5:$E$200&lt;&gt;"Yes"))*--ISERROR(INDIRECT("'"&amp;DATA_PROPERTY_MASTER!$A$5:$A$200&amp;"'!"&amp;SUBSTITUTE(ADDRESS(1,COLUMN(U$5)+1,4),"1","")&amp;$B63)),0))</f>
        <v>0</v>
      </c>
      <c r="V63" s="348">
        <f ca="1">SUMPRODUCT(IFERROR((DATA_PROPERTY_MASTER!$A$5:$A$200&lt;&gt;"")*IF($C63="Included source errors",--(DATA_PROPERTY_MASTER!$E$5:$E$200="Yes"),--(DATA_PROPERTY_MASTER!$E$5:$E$200&lt;&gt;"Yes"))*--ISERROR(INDIRECT("'"&amp;DATA_PROPERTY_MASTER!$A$5:$A$200&amp;"'!"&amp;SUBSTITUTE(ADDRESS(1,COLUMN(V$5)+1,4),"1","")&amp;$B63)),0))</f>
        <v>0</v>
      </c>
      <c r="W63" s="348">
        <f ca="1">SUMPRODUCT(IFERROR((DATA_PROPERTY_MASTER!$A$5:$A$200&lt;&gt;"")*IF($C63="Included source errors",--(DATA_PROPERTY_MASTER!$E$5:$E$200="Yes"),--(DATA_PROPERTY_MASTER!$E$5:$E$200&lt;&gt;"Yes"))*--ISERROR(INDIRECT("'"&amp;DATA_PROPERTY_MASTER!$A$5:$A$200&amp;"'!"&amp;SUBSTITUTE(ADDRESS(1,COLUMN(W$5)+1,4),"1","")&amp;$B63)),0))</f>
        <v>0</v>
      </c>
      <c r="X63" s="348">
        <f ca="1">SUMPRODUCT(IFERROR((DATA_PROPERTY_MASTER!$A$5:$A$200&lt;&gt;"")*IF($C63="Included source errors",--(DATA_PROPERTY_MASTER!$E$5:$E$200="Yes"),--(DATA_PROPERTY_MASTER!$E$5:$E$200&lt;&gt;"Yes"))*--ISERROR(INDIRECT("'"&amp;DATA_PROPERTY_MASTER!$A$5:$A$200&amp;"'!"&amp;SUBSTITUTE(ADDRESS(1,COLUMN(X$5)+1,4),"1","")&amp;$B63)),0))</f>
        <v>0</v>
      </c>
    </row>
    <row r="64" spans="1:26">
      <c r="D64" s="348">
        <f ca="1">SUMPRODUCT(IFERROR((DATA_PROPERTY_MASTER!$A$5:$A$200&lt;&gt;"")*IF($C64="Included source errors",--(DATA_PROPERTY_MASTER!$E$5:$E$200="Yes"),--(DATA_PROPERTY_MASTER!$E$5:$E$200&lt;&gt;"Yes"))*--ISERROR(INDIRECT("'"&amp;DATA_PROPERTY_MASTER!$A$5:$A$200&amp;"'!"&amp;SUBSTITUTE(ADDRESS(1,COLUMN(D$5)+1,4),"1","")&amp;$B64)),0))</f>
        <v>0</v>
      </c>
      <c r="E64" s="348">
        <f ca="1">SUMPRODUCT(IFERROR((DATA_PROPERTY_MASTER!$A$5:$A$200&lt;&gt;"")*IF($C64="Included source errors",--(DATA_PROPERTY_MASTER!$E$5:$E$200="Yes"),--(DATA_PROPERTY_MASTER!$E$5:$E$200&lt;&gt;"Yes"))*--ISERROR(INDIRECT("'"&amp;DATA_PROPERTY_MASTER!$A$5:$A$200&amp;"'!"&amp;SUBSTITUTE(ADDRESS(1,COLUMN(E$5)+1,4),"1","")&amp;$B64)),0))</f>
        <v>0</v>
      </c>
      <c r="F64" s="348">
        <f ca="1">SUMPRODUCT(IFERROR((DATA_PROPERTY_MASTER!$A$5:$A$200&lt;&gt;"")*IF($C64="Included source errors",--(DATA_PROPERTY_MASTER!$E$5:$E$200="Yes"),--(DATA_PROPERTY_MASTER!$E$5:$E$200&lt;&gt;"Yes"))*--ISERROR(INDIRECT("'"&amp;DATA_PROPERTY_MASTER!$A$5:$A$200&amp;"'!"&amp;SUBSTITUTE(ADDRESS(1,COLUMN(F$5)+1,4),"1","")&amp;$B64)),0))</f>
        <v>0</v>
      </c>
      <c r="G64" s="348">
        <f ca="1">SUMPRODUCT(IFERROR((DATA_PROPERTY_MASTER!$A$5:$A$200&lt;&gt;"")*IF($C64="Included source errors",--(DATA_PROPERTY_MASTER!$E$5:$E$200="Yes"),--(DATA_PROPERTY_MASTER!$E$5:$E$200&lt;&gt;"Yes"))*--ISERROR(INDIRECT("'"&amp;DATA_PROPERTY_MASTER!$A$5:$A$200&amp;"'!"&amp;SUBSTITUTE(ADDRESS(1,COLUMN(G$5)+1,4),"1","")&amp;$B64)),0))</f>
        <v>0</v>
      </c>
      <c r="H64" s="348">
        <f ca="1">SUMPRODUCT(IFERROR((DATA_PROPERTY_MASTER!$A$5:$A$200&lt;&gt;"")*IF($C64="Included source errors",--(DATA_PROPERTY_MASTER!$E$5:$E$200="Yes"),--(DATA_PROPERTY_MASTER!$E$5:$E$200&lt;&gt;"Yes"))*--ISERROR(INDIRECT("'"&amp;DATA_PROPERTY_MASTER!$A$5:$A$200&amp;"'!"&amp;SUBSTITUTE(ADDRESS(1,COLUMN(H$5)+1,4),"1","")&amp;$B64)),0))</f>
        <v>0</v>
      </c>
      <c r="I64" s="348">
        <f ca="1">SUMPRODUCT(IFERROR((DATA_PROPERTY_MASTER!$A$5:$A$200&lt;&gt;"")*IF($C64="Included source errors",--(DATA_PROPERTY_MASTER!$E$5:$E$200="Yes"),--(DATA_PROPERTY_MASTER!$E$5:$E$200&lt;&gt;"Yes"))*--ISERROR(INDIRECT("'"&amp;DATA_PROPERTY_MASTER!$A$5:$A$200&amp;"'!"&amp;SUBSTITUTE(ADDRESS(1,COLUMN(I$5)+1,4),"1","")&amp;$B64)),0))</f>
        <v>0</v>
      </c>
      <c r="J64" s="348">
        <f ca="1">SUMPRODUCT(IFERROR((DATA_PROPERTY_MASTER!$A$5:$A$200&lt;&gt;"")*IF($C64="Included source errors",--(DATA_PROPERTY_MASTER!$E$5:$E$200="Yes"),--(DATA_PROPERTY_MASTER!$E$5:$E$200&lt;&gt;"Yes"))*--ISERROR(INDIRECT("'"&amp;DATA_PROPERTY_MASTER!$A$5:$A$200&amp;"'!"&amp;SUBSTITUTE(ADDRESS(1,COLUMN(J$5)+1,4),"1","")&amp;$B64)),0))</f>
        <v>0</v>
      </c>
      <c r="K64" s="348">
        <f ca="1">SUMPRODUCT(IFERROR((DATA_PROPERTY_MASTER!$A$5:$A$200&lt;&gt;"")*IF($C64="Included source errors",--(DATA_PROPERTY_MASTER!$E$5:$E$200="Yes"),--(DATA_PROPERTY_MASTER!$E$5:$E$200&lt;&gt;"Yes"))*--ISERROR(INDIRECT("'"&amp;DATA_PROPERTY_MASTER!$A$5:$A$200&amp;"'!"&amp;SUBSTITUTE(ADDRESS(1,COLUMN(K$5)+1,4),"1","")&amp;$B64)),0))</f>
        <v>0</v>
      </c>
      <c r="L64" s="348">
        <f ca="1">SUMPRODUCT(IFERROR((DATA_PROPERTY_MASTER!$A$5:$A$200&lt;&gt;"")*IF($C64="Included source errors",--(DATA_PROPERTY_MASTER!$E$5:$E$200="Yes"),--(DATA_PROPERTY_MASTER!$E$5:$E$200&lt;&gt;"Yes"))*--ISERROR(INDIRECT("'"&amp;DATA_PROPERTY_MASTER!$A$5:$A$200&amp;"'!"&amp;SUBSTITUTE(ADDRESS(1,COLUMN(L$5)+1,4),"1","")&amp;$B64)),0))</f>
        <v>0</v>
      </c>
      <c r="M64" s="348">
        <f ca="1">SUMPRODUCT(IFERROR((DATA_PROPERTY_MASTER!$A$5:$A$200&lt;&gt;"")*IF($C64="Included source errors",--(DATA_PROPERTY_MASTER!$E$5:$E$200="Yes"),--(DATA_PROPERTY_MASTER!$E$5:$E$200&lt;&gt;"Yes"))*--ISERROR(INDIRECT("'"&amp;DATA_PROPERTY_MASTER!$A$5:$A$200&amp;"'!"&amp;SUBSTITUTE(ADDRESS(1,COLUMN(M$5)+1,4),"1","")&amp;$B64)),0))</f>
        <v>0</v>
      </c>
      <c r="N64" s="348">
        <f ca="1">SUMPRODUCT(IFERROR((DATA_PROPERTY_MASTER!$A$5:$A$200&lt;&gt;"")*IF($C64="Included source errors",--(DATA_PROPERTY_MASTER!$E$5:$E$200="Yes"),--(DATA_PROPERTY_MASTER!$E$5:$E$200&lt;&gt;"Yes"))*--ISERROR(INDIRECT("'"&amp;DATA_PROPERTY_MASTER!$A$5:$A$200&amp;"'!"&amp;SUBSTITUTE(ADDRESS(1,COLUMN(N$5)+1,4),"1","")&amp;$B64)),0))</f>
        <v>0</v>
      </c>
      <c r="O64" s="348">
        <f ca="1">SUMPRODUCT(IFERROR((DATA_PROPERTY_MASTER!$A$5:$A$200&lt;&gt;"")*IF($C64="Included source errors",--(DATA_PROPERTY_MASTER!$E$5:$E$200="Yes"),--(DATA_PROPERTY_MASTER!$E$5:$E$200&lt;&gt;"Yes"))*--ISERROR(INDIRECT("'"&amp;DATA_PROPERTY_MASTER!$A$5:$A$200&amp;"'!"&amp;SUBSTITUTE(ADDRESS(1,COLUMN(O$5)+1,4),"1","")&amp;$B64)),0))</f>
        <v>0</v>
      </c>
      <c r="P64" s="348">
        <f ca="1">SUMPRODUCT(IFERROR((DATA_PROPERTY_MASTER!$A$5:$A$200&lt;&gt;"")*IF($C64="Included source errors",--(DATA_PROPERTY_MASTER!$E$5:$E$200="Yes"),--(DATA_PROPERTY_MASTER!$E$5:$E$200&lt;&gt;"Yes"))*--ISERROR(INDIRECT("'"&amp;DATA_PROPERTY_MASTER!$A$5:$A$200&amp;"'!"&amp;SUBSTITUTE(ADDRESS(1,COLUMN(P$5)+1,4),"1","")&amp;$B64)),0))</f>
        <v>0</v>
      </c>
      <c r="Q64" s="348">
        <f ca="1">SUMPRODUCT(IFERROR((DATA_PROPERTY_MASTER!$A$5:$A$200&lt;&gt;"")*IF($C64="Included source errors",--(DATA_PROPERTY_MASTER!$E$5:$E$200="Yes"),--(DATA_PROPERTY_MASTER!$E$5:$E$200&lt;&gt;"Yes"))*--ISERROR(INDIRECT("'"&amp;DATA_PROPERTY_MASTER!$A$5:$A$200&amp;"'!"&amp;SUBSTITUTE(ADDRESS(1,COLUMN(Q$5)+1,4),"1","")&amp;$B64)),0))</f>
        <v>0</v>
      </c>
      <c r="R64" s="348">
        <f ca="1">SUMPRODUCT(IFERROR((DATA_PROPERTY_MASTER!$A$5:$A$200&lt;&gt;"")*IF($C64="Included source errors",--(DATA_PROPERTY_MASTER!$E$5:$E$200="Yes"),--(DATA_PROPERTY_MASTER!$E$5:$E$200&lt;&gt;"Yes"))*--ISERROR(INDIRECT("'"&amp;DATA_PROPERTY_MASTER!$A$5:$A$200&amp;"'!"&amp;SUBSTITUTE(ADDRESS(1,COLUMN(R$5)+1,4),"1","")&amp;$B64)),0))</f>
        <v>0</v>
      </c>
      <c r="S64" s="348">
        <f ca="1">SUMPRODUCT(IFERROR((DATA_PROPERTY_MASTER!$A$5:$A$200&lt;&gt;"")*IF($C64="Included source errors",--(DATA_PROPERTY_MASTER!$E$5:$E$200="Yes"),--(DATA_PROPERTY_MASTER!$E$5:$E$200&lt;&gt;"Yes"))*--ISERROR(INDIRECT("'"&amp;DATA_PROPERTY_MASTER!$A$5:$A$200&amp;"'!"&amp;SUBSTITUTE(ADDRESS(1,COLUMN(S$5)+1,4),"1","")&amp;$B64)),0))</f>
        <v>0</v>
      </c>
      <c r="T64" s="348">
        <f ca="1">SUMPRODUCT(IFERROR((DATA_PROPERTY_MASTER!$A$5:$A$200&lt;&gt;"")*IF($C64="Included source errors",--(DATA_PROPERTY_MASTER!$E$5:$E$200="Yes"),--(DATA_PROPERTY_MASTER!$E$5:$E$200&lt;&gt;"Yes"))*--ISERROR(INDIRECT("'"&amp;DATA_PROPERTY_MASTER!$A$5:$A$200&amp;"'!"&amp;SUBSTITUTE(ADDRESS(1,COLUMN(T$5)+1,4),"1","")&amp;$B64)),0))</f>
        <v>0</v>
      </c>
      <c r="U64" s="348">
        <f ca="1">SUMPRODUCT(IFERROR((DATA_PROPERTY_MASTER!$A$5:$A$200&lt;&gt;"")*IF($C64="Included source errors",--(DATA_PROPERTY_MASTER!$E$5:$E$200="Yes"),--(DATA_PROPERTY_MASTER!$E$5:$E$200&lt;&gt;"Yes"))*--ISERROR(INDIRECT("'"&amp;DATA_PROPERTY_MASTER!$A$5:$A$200&amp;"'!"&amp;SUBSTITUTE(ADDRESS(1,COLUMN(U$5)+1,4),"1","")&amp;$B64)),0))</f>
        <v>0</v>
      </c>
      <c r="V64" s="348">
        <f ca="1">SUMPRODUCT(IFERROR((DATA_PROPERTY_MASTER!$A$5:$A$200&lt;&gt;"")*IF($C64="Included source errors",--(DATA_PROPERTY_MASTER!$E$5:$E$200="Yes"),--(DATA_PROPERTY_MASTER!$E$5:$E$200&lt;&gt;"Yes"))*--ISERROR(INDIRECT("'"&amp;DATA_PROPERTY_MASTER!$A$5:$A$200&amp;"'!"&amp;SUBSTITUTE(ADDRESS(1,COLUMN(V$5)+1,4),"1","")&amp;$B64)),0))</f>
        <v>0</v>
      </c>
      <c r="W64" s="348">
        <f ca="1">SUMPRODUCT(IFERROR((DATA_PROPERTY_MASTER!$A$5:$A$200&lt;&gt;"")*IF($C64="Included source errors",--(DATA_PROPERTY_MASTER!$E$5:$E$200="Yes"),--(DATA_PROPERTY_MASTER!$E$5:$E$200&lt;&gt;"Yes"))*--ISERROR(INDIRECT("'"&amp;DATA_PROPERTY_MASTER!$A$5:$A$200&amp;"'!"&amp;SUBSTITUTE(ADDRESS(1,COLUMN(W$5)+1,4),"1","")&amp;$B64)),0))</f>
        <v>0</v>
      </c>
      <c r="X64" s="348">
        <f ca="1">SUMPRODUCT(IFERROR((DATA_PROPERTY_MASTER!$A$5:$A$200&lt;&gt;"")*IF($C64="Included source errors",--(DATA_PROPERTY_MASTER!$E$5:$E$200="Yes"),--(DATA_PROPERTY_MASTER!$E$5:$E$200&lt;&gt;"Yes"))*--ISERROR(INDIRECT("'"&amp;DATA_PROPERTY_MASTER!$A$5:$A$200&amp;"'!"&amp;SUBSTITUTE(ADDRESS(1,COLUMN(X$5)+1,4),"1","")&amp;$B64)),0))</f>
        <v>0</v>
      </c>
    </row>
    <row r="65" spans="4:24">
      <c r="D65" s="348">
        <f ca="1">SUMPRODUCT(IFERROR((DATA_PROPERTY_MASTER!$A$5:$A$200&lt;&gt;"")*IF($C65="Included source errors",--(DATA_PROPERTY_MASTER!$E$5:$E$200="Yes"),--(DATA_PROPERTY_MASTER!$E$5:$E$200&lt;&gt;"Yes"))*--ISERROR(INDIRECT("'"&amp;DATA_PROPERTY_MASTER!$A$5:$A$200&amp;"'!"&amp;SUBSTITUTE(ADDRESS(1,COLUMN(D$5)+1,4),"1","")&amp;$B65)),0))</f>
        <v>0</v>
      </c>
      <c r="E65" s="348">
        <f ca="1">SUMPRODUCT(IFERROR((DATA_PROPERTY_MASTER!$A$5:$A$200&lt;&gt;"")*IF($C65="Included source errors",--(DATA_PROPERTY_MASTER!$E$5:$E$200="Yes"),--(DATA_PROPERTY_MASTER!$E$5:$E$200&lt;&gt;"Yes"))*--ISERROR(INDIRECT("'"&amp;DATA_PROPERTY_MASTER!$A$5:$A$200&amp;"'!"&amp;SUBSTITUTE(ADDRESS(1,COLUMN(E$5)+1,4),"1","")&amp;$B65)),0))</f>
        <v>0</v>
      </c>
      <c r="F65" s="348">
        <f ca="1">SUMPRODUCT(IFERROR((DATA_PROPERTY_MASTER!$A$5:$A$200&lt;&gt;"")*IF($C65="Included source errors",--(DATA_PROPERTY_MASTER!$E$5:$E$200="Yes"),--(DATA_PROPERTY_MASTER!$E$5:$E$200&lt;&gt;"Yes"))*--ISERROR(INDIRECT("'"&amp;DATA_PROPERTY_MASTER!$A$5:$A$200&amp;"'!"&amp;SUBSTITUTE(ADDRESS(1,COLUMN(F$5)+1,4),"1","")&amp;$B65)),0))</f>
        <v>0</v>
      </c>
      <c r="G65" s="348">
        <f ca="1">SUMPRODUCT(IFERROR((DATA_PROPERTY_MASTER!$A$5:$A$200&lt;&gt;"")*IF($C65="Included source errors",--(DATA_PROPERTY_MASTER!$E$5:$E$200="Yes"),--(DATA_PROPERTY_MASTER!$E$5:$E$200&lt;&gt;"Yes"))*--ISERROR(INDIRECT("'"&amp;DATA_PROPERTY_MASTER!$A$5:$A$200&amp;"'!"&amp;SUBSTITUTE(ADDRESS(1,COLUMN(G$5)+1,4),"1","")&amp;$B65)),0))</f>
        <v>0</v>
      </c>
      <c r="H65" s="348">
        <f ca="1">SUMPRODUCT(IFERROR((DATA_PROPERTY_MASTER!$A$5:$A$200&lt;&gt;"")*IF($C65="Included source errors",--(DATA_PROPERTY_MASTER!$E$5:$E$200="Yes"),--(DATA_PROPERTY_MASTER!$E$5:$E$200&lt;&gt;"Yes"))*--ISERROR(INDIRECT("'"&amp;DATA_PROPERTY_MASTER!$A$5:$A$200&amp;"'!"&amp;SUBSTITUTE(ADDRESS(1,COLUMN(H$5)+1,4),"1","")&amp;$B65)),0))</f>
        <v>0</v>
      </c>
      <c r="I65" s="348">
        <f ca="1">SUMPRODUCT(IFERROR((DATA_PROPERTY_MASTER!$A$5:$A$200&lt;&gt;"")*IF($C65="Included source errors",--(DATA_PROPERTY_MASTER!$E$5:$E$200="Yes"),--(DATA_PROPERTY_MASTER!$E$5:$E$200&lt;&gt;"Yes"))*--ISERROR(INDIRECT("'"&amp;DATA_PROPERTY_MASTER!$A$5:$A$200&amp;"'!"&amp;SUBSTITUTE(ADDRESS(1,COLUMN(I$5)+1,4),"1","")&amp;$B65)),0))</f>
        <v>0</v>
      </c>
      <c r="J65" s="348">
        <f ca="1">SUMPRODUCT(IFERROR((DATA_PROPERTY_MASTER!$A$5:$A$200&lt;&gt;"")*IF($C65="Included source errors",--(DATA_PROPERTY_MASTER!$E$5:$E$200="Yes"),--(DATA_PROPERTY_MASTER!$E$5:$E$200&lt;&gt;"Yes"))*--ISERROR(INDIRECT("'"&amp;DATA_PROPERTY_MASTER!$A$5:$A$200&amp;"'!"&amp;SUBSTITUTE(ADDRESS(1,COLUMN(J$5)+1,4),"1","")&amp;$B65)),0))</f>
        <v>0</v>
      </c>
      <c r="K65" s="348">
        <f ca="1">SUMPRODUCT(IFERROR((DATA_PROPERTY_MASTER!$A$5:$A$200&lt;&gt;"")*IF($C65="Included source errors",--(DATA_PROPERTY_MASTER!$E$5:$E$200="Yes"),--(DATA_PROPERTY_MASTER!$E$5:$E$200&lt;&gt;"Yes"))*--ISERROR(INDIRECT("'"&amp;DATA_PROPERTY_MASTER!$A$5:$A$200&amp;"'!"&amp;SUBSTITUTE(ADDRESS(1,COLUMN(K$5)+1,4),"1","")&amp;$B65)),0))</f>
        <v>0</v>
      </c>
      <c r="L65" s="348">
        <f ca="1">SUMPRODUCT(IFERROR((DATA_PROPERTY_MASTER!$A$5:$A$200&lt;&gt;"")*IF($C65="Included source errors",--(DATA_PROPERTY_MASTER!$E$5:$E$200="Yes"),--(DATA_PROPERTY_MASTER!$E$5:$E$200&lt;&gt;"Yes"))*--ISERROR(INDIRECT("'"&amp;DATA_PROPERTY_MASTER!$A$5:$A$200&amp;"'!"&amp;SUBSTITUTE(ADDRESS(1,COLUMN(L$5)+1,4),"1","")&amp;$B65)),0))</f>
        <v>0</v>
      </c>
      <c r="M65" s="348">
        <f ca="1">SUMPRODUCT(IFERROR((DATA_PROPERTY_MASTER!$A$5:$A$200&lt;&gt;"")*IF($C65="Included source errors",--(DATA_PROPERTY_MASTER!$E$5:$E$200="Yes"),--(DATA_PROPERTY_MASTER!$E$5:$E$200&lt;&gt;"Yes"))*--ISERROR(INDIRECT("'"&amp;DATA_PROPERTY_MASTER!$A$5:$A$200&amp;"'!"&amp;SUBSTITUTE(ADDRESS(1,COLUMN(M$5)+1,4),"1","")&amp;$B65)),0))</f>
        <v>0</v>
      </c>
      <c r="N65" s="348">
        <f ca="1">SUMPRODUCT(IFERROR((DATA_PROPERTY_MASTER!$A$5:$A$200&lt;&gt;"")*IF($C65="Included source errors",--(DATA_PROPERTY_MASTER!$E$5:$E$200="Yes"),--(DATA_PROPERTY_MASTER!$E$5:$E$200&lt;&gt;"Yes"))*--ISERROR(INDIRECT("'"&amp;DATA_PROPERTY_MASTER!$A$5:$A$200&amp;"'!"&amp;SUBSTITUTE(ADDRESS(1,COLUMN(N$5)+1,4),"1","")&amp;$B65)),0))</f>
        <v>0</v>
      </c>
      <c r="O65" s="348">
        <f ca="1">SUMPRODUCT(IFERROR((DATA_PROPERTY_MASTER!$A$5:$A$200&lt;&gt;"")*IF($C65="Included source errors",--(DATA_PROPERTY_MASTER!$E$5:$E$200="Yes"),--(DATA_PROPERTY_MASTER!$E$5:$E$200&lt;&gt;"Yes"))*--ISERROR(INDIRECT("'"&amp;DATA_PROPERTY_MASTER!$A$5:$A$200&amp;"'!"&amp;SUBSTITUTE(ADDRESS(1,COLUMN(O$5)+1,4),"1","")&amp;$B65)),0))</f>
        <v>0</v>
      </c>
      <c r="P65" s="348">
        <f ca="1">SUMPRODUCT(IFERROR((DATA_PROPERTY_MASTER!$A$5:$A$200&lt;&gt;"")*IF($C65="Included source errors",--(DATA_PROPERTY_MASTER!$E$5:$E$200="Yes"),--(DATA_PROPERTY_MASTER!$E$5:$E$200&lt;&gt;"Yes"))*--ISERROR(INDIRECT("'"&amp;DATA_PROPERTY_MASTER!$A$5:$A$200&amp;"'!"&amp;SUBSTITUTE(ADDRESS(1,COLUMN(P$5)+1,4),"1","")&amp;$B65)),0))</f>
        <v>0</v>
      </c>
      <c r="Q65" s="348">
        <f ca="1">SUMPRODUCT(IFERROR((DATA_PROPERTY_MASTER!$A$5:$A$200&lt;&gt;"")*IF($C65="Included source errors",--(DATA_PROPERTY_MASTER!$E$5:$E$200="Yes"),--(DATA_PROPERTY_MASTER!$E$5:$E$200&lt;&gt;"Yes"))*--ISERROR(INDIRECT("'"&amp;DATA_PROPERTY_MASTER!$A$5:$A$200&amp;"'!"&amp;SUBSTITUTE(ADDRESS(1,COLUMN(Q$5)+1,4),"1","")&amp;$B65)),0))</f>
        <v>0</v>
      </c>
      <c r="R65" s="348">
        <f ca="1">SUMPRODUCT(IFERROR((DATA_PROPERTY_MASTER!$A$5:$A$200&lt;&gt;"")*IF($C65="Included source errors",--(DATA_PROPERTY_MASTER!$E$5:$E$200="Yes"),--(DATA_PROPERTY_MASTER!$E$5:$E$200&lt;&gt;"Yes"))*--ISERROR(INDIRECT("'"&amp;DATA_PROPERTY_MASTER!$A$5:$A$200&amp;"'!"&amp;SUBSTITUTE(ADDRESS(1,COLUMN(R$5)+1,4),"1","")&amp;$B65)),0))</f>
        <v>0</v>
      </c>
      <c r="S65" s="348">
        <f ca="1">SUMPRODUCT(IFERROR((DATA_PROPERTY_MASTER!$A$5:$A$200&lt;&gt;"")*IF($C65="Included source errors",--(DATA_PROPERTY_MASTER!$E$5:$E$200="Yes"),--(DATA_PROPERTY_MASTER!$E$5:$E$200&lt;&gt;"Yes"))*--ISERROR(INDIRECT("'"&amp;DATA_PROPERTY_MASTER!$A$5:$A$200&amp;"'!"&amp;SUBSTITUTE(ADDRESS(1,COLUMN(S$5)+1,4),"1","")&amp;$B65)),0))</f>
        <v>0</v>
      </c>
      <c r="T65" s="348">
        <f ca="1">SUMPRODUCT(IFERROR((DATA_PROPERTY_MASTER!$A$5:$A$200&lt;&gt;"")*IF($C65="Included source errors",--(DATA_PROPERTY_MASTER!$E$5:$E$200="Yes"),--(DATA_PROPERTY_MASTER!$E$5:$E$200&lt;&gt;"Yes"))*--ISERROR(INDIRECT("'"&amp;DATA_PROPERTY_MASTER!$A$5:$A$200&amp;"'!"&amp;SUBSTITUTE(ADDRESS(1,COLUMN(T$5)+1,4),"1","")&amp;$B65)),0))</f>
        <v>0</v>
      </c>
      <c r="U65" s="348">
        <f ca="1">SUMPRODUCT(IFERROR((DATA_PROPERTY_MASTER!$A$5:$A$200&lt;&gt;"")*IF($C65="Included source errors",--(DATA_PROPERTY_MASTER!$E$5:$E$200="Yes"),--(DATA_PROPERTY_MASTER!$E$5:$E$200&lt;&gt;"Yes"))*--ISERROR(INDIRECT("'"&amp;DATA_PROPERTY_MASTER!$A$5:$A$200&amp;"'!"&amp;SUBSTITUTE(ADDRESS(1,COLUMN(U$5)+1,4),"1","")&amp;$B65)),0))</f>
        <v>0</v>
      </c>
      <c r="V65" s="348">
        <f ca="1">SUMPRODUCT(IFERROR((DATA_PROPERTY_MASTER!$A$5:$A$200&lt;&gt;"")*IF($C65="Included source errors",--(DATA_PROPERTY_MASTER!$E$5:$E$200="Yes"),--(DATA_PROPERTY_MASTER!$E$5:$E$200&lt;&gt;"Yes"))*--ISERROR(INDIRECT("'"&amp;DATA_PROPERTY_MASTER!$A$5:$A$200&amp;"'!"&amp;SUBSTITUTE(ADDRESS(1,COLUMN(V$5)+1,4),"1","")&amp;$B65)),0))</f>
        <v>0</v>
      </c>
      <c r="W65" s="348">
        <f ca="1">SUMPRODUCT(IFERROR((DATA_PROPERTY_MASTER!$A$5:$A$200&lt;&gt;"")*IF($C65="Included source errors",--(DATA_PROPERTY_MASTER!$E$5:$E$200="Yes"),--(DATA_PROPERTY_MASTER!$E$5:$E$200&lt;&gt;"Yes"))*--ISERROR(INDIRECT("'"&amp;DATA_PROPERTY_MASTER!$A$5:$A$200&amp;"'!"&amp;SUBSTITUTE(ADDRESS(1,COLUMN(W$5)+1,4),"1","")&amp;$B65)),0))</f>
        <v>0</v>
      </c>
      <c r="X65" s="348">
        <f ca="1">SUMPRODUCT(IFERROR((DATA_PROPERTY_MASTER!$A$5:$A$200&lt;&gt;"")*IF($C65="Included source errors",--(DATA_PROPERTY_MASTER!$E$5:$E$200="Yes"),--(DATA_PROPERTY_MASTER!$E$5:$E$200&lt;&gt;"Yes"))*--ISERROR(INDIRECT("'"&amp;DATA_PROPERTY_MASTER!$A$5:$A$200&amp;"'!"&amp;SUBSTITUTE(ADDRESS(1,COLUMN(X$5)+1,4),"1","")&amp;$B65)),0))</f>
        <v>0</v>
      </c>
    </row>
    <row r="66" spans="4:24">
      <c r="D66" s="348">
        <f ca="1">SUMPRODUCT(IFERROR((DATA_PROPERTY_MASTER!$A$5:$A$200&lt;&gt;"")*IF($C66="Included source errors",--(DATA_PROPERTY_MASTER!$E$5:$E$200="Yes"),--(DATA_PROPERTY_MASTER!$E$5:$E$200&lt;&gt;"Yes"))*--ISERROR(INDIRECT("'"&amp;DATA_PROPERTY_MASTER!$A$5:$A$200&amp;"'!"&amp;SUBSTITUTE(ADDRESS(1,COLUMN(D$5)+1,4),"1","")&amp;$B66)),0))</f>
        <v>0</v>
      </c>
      <c r="E66" s="348">
        <f ca="1">SUMPRODUCT(IFERROR((DATA_PROPERTY_MASTER!$A$5:$A$200&lt;&gt;"")*IF($C66="Included source errors",--(DATA_PROPERTY_MASTER!$E$5:$E$200="Yes"),--(DATA_PROPERTY_MASTER!$E$5:$E$200&lt;&gt;"Yes"))*--ISERROR(INDIRECT("'"&amp;DATA_PROPERTY_MASTER!$A$5:$A$200&amp;"'!"&amp;SUBSTITUTE(ADDRESS(1,COLUMN(E$5)+1,4),"1","")&amp;$B66)),0))</f>
        <v>0</v>
      </c>
      <c r="F66" s="348">
        <f ca="1">SUMPRODUCT(IFERROR((DATA_PROPERTY_MASTER!$A$5:$A$200&lt;&gt;"")*IF($C66="Included source errors",--(DATA_PROPERTY_MASTER!$E$5:$E$200="Yes"),--(DATA_PROPERTY_MASTER!$E$5:$E$200&lt;&gt;"Yes"))*--ISERROR(INDIRECT("'"&amp;DATA_PROPERTY_MASTER!$A$5:$A$200&amp;"'!"&amp;SUBSTITUTE(ADDRESS(1,COLUMN(F$5)+1,4),"1","")&amp;$B66)),0))</f>
        <v>0</v>
      </c>
      <c r="G66" s="348">
        <f ca="1">SUMPRODUCT(IFERROR((DATA_PROPERTY_MASTER!$A$5:$A$200&lt;&gt;"")*IF($C66="Included source errors",--(DATA_PROPERTY_MASTER!$E$5:$E$200="Yes"),--(DATA_PROPERTY_MASTER!$E$5:$E$200&lt;&gt;"Yes"))*--ISERROR(INDIRECT("'"&amp;DATA_PROPERTY_MASTER!$A$5:$A$200&amp;"'!"&amp;SUBSTITUTE(ADDRESS(1,COLUMN(G$5)+1,4),"1","")&amp;$B66)),0))</f>
        <v>0</v>
      </c>
      <c r="H66" s="348">
        <f ca="1">SUMPRODUCT(IFERROR((DATA_PROPERTY_MASTER!$A$5:$A$200&lt;&gt;"")*IF($C66="Included source errors",--(DATA_PROPERTY_MASTER!$E$5:$E$200="Yes"),--(DATA_PROPERTY_MASTER!$E$5:$E$200&lt;&gt;"Yes"))*--ISERROR(INDIRECT("'"&amp;DATA_PROPERTY_MASTER!$A$5:$A$200&amp;"'!"&amp;SUBSTITUTE(ADDRESS(1,COLUMN(H$5)+1,4),"1","")&amp;$B66)),0))</f>
        <v>0</v>
      </c>
      <c r="I66" s="348">
        <f ca="1">SUMPRODUCT(IFERROR((DATA_PROPERTY_MASTER!$A$5:$A$200&lt;&gt;"")*IF($C66="Included source errors",--(DATA_PROPERTY_MASTER!$E$5:$E$200="Yes"),--(DATA_PROPERTY_MASTER!$E$5:$E$200&lt;&gt;"Yes"))*--ISERROR(INDIRECT("'"&amp;DATA_PROPERTY_MASTER!$A$5:$A$200&amp;"'!"&amp;SUBSTITUTE(ADDRESS(1,COLUMN(I$5)+1,4),"1","")&amp;$B66)),0))</f>
        <v>0</v>
      </c>
      <c r="J66" s="348">
        <f ca="1">SUMPRODUCT(IFERROR((DATA_PROPERTY_MASTER!$A$5:$A$200&lt;&gt;"")*IF($C66="Included source errors",--(DATA_PROPERTY_MASTER!$E$5:$E$200="Yes"),--(DATA_PROPERTY_MASTER!$E$5:$E$200&lt;&gt;"Yes"))*--ISERROR(INDIRECT("'"&amp;DATA_PROPERTY_MASTER!$A$5:$A$200&amp;"'!"&amp;SUBSTITUTE(ADDRESS(1,COLUMN(J$5)+1,4),"1","")&amp;$B66)),0))</f>
        <v>0</v>
      </c>
      <c r="K66" s="348">
        <f ca="1">SUMPRODUCT(IFERROR((DATA_PROPERTY_MASTER!$A$5:$A$200&lt;&gt;"")*IF($C66="Included source errors",--(DATA_PROPERTY_MASTER!$E$5:$E$200="Yes"),--(DATA_PROPERTY_MASTER!$E$5:$E$200&lt;&gt;"Yes"))*--ISERROR(INDIRECT("'"&amp;DATA_PROPERTY_MASTER!$A$5:$A$200&amp;"'!"&amp;SUBSTITUTE(ADDRESS(1,COLUMN(K$5)+1,4),"1","")&amp;$B66)),0))</f>
        <v>0</v>
      </c>
      <c r="L66" s="348">
        <f ca="1">SUMPRODUCT(IFERROR((DATA_PROPERTY_MASTER!$A$5:$A$200&lt;&gt;"")*IF($C66="Included source errors",--(DATA_PROPERTY_MASTER!$E$5:$E$200="Yes"),--(DATA_PROPERTY_MASTER!$E$5:$E$200&lt;&gt;"Yes"))*--ISERROR(INDIRECT("'"&amp;DATA_PROPERTY_MASTER!$A$5:$A$200&amp;"'!"&amp;SUBSTITUTE(ADDRESS(1,COLUMN(L$5)+1,4),"1","")&amp;$B66)),0))</f>
        <v>0</v>
      </c>
      <c r="M66" s="348">
        <f ca="1">SUMPRODUCT(IFERROR((DATA_PROPERTY_MASTER!$A$5:$A$200&lt;&gt;"")*IF($C66="Included source errors",--(DATA_PROPERTY_MASTER!$E$5:$E$200="Yes"),--(DATA_PROPERTY_MASTER!$E$5:$E$200&lt;&gt;"Yes"))*--ISERROR(INDIRECT("'"&amp;DATA_PROPERTY_MASTER!$A$5:$A$200&amp;"'!"&amp;SUBSTITUTE(ADDRESS(1,COLUMN(M$5)+1,4),"1","")&amp;$B66)),0))</f>
        <v>0</v>
      </c>
      <c r="N66" s="348">
        <f ca="1">SUMPRODUCT(IFERROR((DATA_PROPERTY_MASTER!$A$5:$A$200&lt;&gt;"")*IF($C66="Included source errors",--(DATA_PROPERTY_MASTER!$E$5:$E$200="Yes"),--(DATA_PROPERTY_MASTER!$E$5:$E$200&lt;&gt;"Yes"))*--ISERROR(INDIRECT("'"&amp;DATA_PROPERTY_MASTER!$A$5:$A$200&amp;"'!"&amp;SUBSTITUTE(ADDRESS(1,COLUMN(N$5)+1,4),"1","")&amp;$B66)),0))</f>
        <v>0</v>
      </c>
      <c r="O66" s="348">
        <f ca="1">SUMPRODUCT(IFERROR((DATA_PROPERTY_MASTER!$A$5:$A$200&lt;&gt;"")*IF($C66="Included source errors",--(DATA_PROPERTY_MASTER!$E$5:$E$200="Yes"),--(DATA_PROPERTY_MASTER!$E$5:$E$200&lt;&gt;"Yes"))*--ISERROR(INDIRECT("'"&amp;DATA_PROPERTY_MASTER!$A$5:$A$200&amp;"'!"&amp;SUBSTITUTE(ADDRESS(1,COLUMN(O$5)+1,4),"1","")&amp;$B66)),0))</f>
        <v>0</v>
      </c>
      <c r="P66" s="348">
        <f ca="1">SUMPRODUCT(IFERROR((DATA_PROPERTY_MASTER!$A$5:$A$200&lt;&gt;"")*IF($C66="Included source errors",--(DATA_PROPERTY_MASTER!$E$5:$E$200="Yes"),--(DATA_PROPERTY_MASTER!$E$5:$E$200&lt;&gt;"Yes"))*--ISERROR(INDIRECT("'"&amp;DATA_PROPERTY_MASTER!$A$5:$A$200&amp;"'!"&amp;SUBSTITUTE(ADDRESS(1,COLUMN(P$5)+1,4),"1","")&amp;$B66)),0))</f>
        <v>0</v>
      </c>
      <c r="Q66" s="348">
        <f ca="1">SUMPRODUCT(IFERROR((DATA_PROPERTY_MASTER!$A$5:$A$200&lt;&gt;"")*IF($C66="Included source errors",--(DATA_PROPERTY_MASTER!$E$5:$E$200="Yes"),--(DATA_PROPERTY_MASTER!$E$5:$E$200&lt;&gt;"Yes"))*--ISERROR(INDIRECT("'"&amp;DATA_PROPERTY_MASTER!$A$5:$A$200&amp;"'!"&amp;SUBSTITUTE(ADDRESS(1,COLUMN(Q$5)+1,4),"1","")&amp;$B66)),0))</f>
        <v>0</v>
      </c>
      <c r="R66" s="348">
        <f ca="1">SUMPRODUCT(IFERROR((DATA_PROPERTY_MASTER!$A$5:$A$200&lt;&gt;"")*IF($C66="Included source errors",--(DATA_PROPERTY_MASTER!$E$5:$E$200="Yes"),--(DATA_PROPERTY_MASTER!$E$5:$E$200&lt;&gt;"Yes"))*--ISERROR(INDIRECT("'"&amp;DATA_PROPERTY_MASTER!$A$5:$A$200&amp;"'!"&amp;SUBSTITUTE(ADDRESS(1,COLUMN(R$5)+1,4),"1","")&amp;$B66)),0))</f>
        <v>0</v>
      </c>
      <c r="S66" s="348">
        <f ca="1">SUMPRODUCT(IFERROR((DATA_PROPERTY_MASTER!$A$5:$A$200&lt;&gt;"")*IF($C66="Included source errors",--(DATA_PROPERTY_MASTER!$E$5:$E$200="Yes"),--(DATA_PROPERTY_MASTER!$E$5:$E$200&lt;&gt;"Yes"))*--ISERROR(INDIRECT("'"&amp;DATA_PROPERTY_MASTER!$A$5:$A$200&amp;"'!"&amp;SUBSTITUTE(ADDRESS(1,COLUMN(S$5)+1,4),"1","")&amp;$B66)),0))</f>
        <v>0</v>
      </c>
      <c r="T66" s="348">
        <f ca="1">SUMPRODUCT(IFERROR((DATA_PROPERTY_MASTER!$A$5:$A$200&lt;&gt;"")*IF($C66="Included source errors",--(DATA_PROPERTY_MASTER!$E$5:$E$200="Yes"),--(DATA_PROPERTY_MASTER!$E$5:$E$200&lt;&gt;"Yes"))*--ISERROR(INDIRECT("'"&amp;DATA_PROPERTY_MASTER!$A$5:$A$200&amp;"'!"&amp;SUBSTITUTE(ADDRESS(1,COLUMN(T$5)+1,4),"1","")&amp;$B66)),0))</f>
        <v>0</v>
      </c>
      <c r="U66" s="348">
        <f ca="1">SUMPRODUCT(IFERROR((DATA_PROPERTY_MASTER!$A$5:$A$200&lt;&gt;"")*IF($C66="Included source errors",--(DATA_PROPERTY_MASTER!$E$5:$E$200="Yes"),--(DATA_PROPERTY_MASTER!$E$5:$E$200&lt;&gt;"Yes"))*--ISERROR(INDIRECT("'"&amp;DATA_PROPERTY_MASTER!$A$5:$A$200&amp;"'!"&amp;SUBSTITUTE(ADDRESS(1,COLUMN(U$5)+1,4),"1","")&amp;$B66)),0))</f>
        <v>0</v>
      </c>
      <c r="V66" s="348">
        <f ca="1">SUMPRODUCT(IFERROR((DATA_PROPERTY_MASTER!$A$5:$A$200&lt;&gt;"")*IF($C66="Included source errors",--(DATA_PROPERTY_MASTER!$E$5:$E$200="Yes"),--(DATA_PROPERTY_MASTER!$E$5:$E$200&lt;&gt;"Yes"))*--ISERROR(INDIRECT("'"&amp;DATA_PROPERTY_MASTER!$A$5:$A$200&amp;"'!"&amp;SUBSTITUTE(ADDRESS(1,COLUMN(V$5)+1,4),"1","")&amp;$B66)),0))</f>
        <v>0</v>
      </c>
      <c r="W66" s="348">
        <f ca="1">SUMPRODUCT(IFERROR((DATA_PROPERTY_MASTER!$A$5:$A$200&lt;&gt;"")*IF($C66="Included source errors",--(DATA_PROPERTY_MASTER!$E$5:$E$200="Yes"),--(DATA_PROPERTY_MASTER!$E$5:$E$200&lt;&gt;"Yes"))*--ISERROR(INDIRECT("'"&amp;DATA_PROPERTY_MASTER!$A$5:$A$200&amp;"'!"&amp;SUBSTITUTE(ADDRESS(1,COLUMN(W$5)+1,4),"1","")&amp;$B66)),0))</f>
        <v>0</v>
      </c>
      <c r="X66" s="348">
        <f ca="1">SUMPRODUCT(IFERROR((DATA_PROPERTY_MASTER!$A$5:$A$200&lt;&gt;"")*IF($C66="Included source errors",--(DATA_PROPERTY_MASTER!$E$5:$E$200="Yes"),--(DATA_PROPERTY_MASTER!$E$5:$E$200&lt;&gt;"Yes"))*--ISERROR(INDIRECT("'"&amp;DATA_PROPERTY_MASTER!$A$5:$A$200&amp;"'!"&amp;SUBSTITUTE(ADDRESS(1,COLUMN(X$5)+1,4),"1","")&amp;$B66)),0))</f>
        <v>0</v>
      </c>
    </row>
    <row r="67" spans="4:24">
      <c r="D67" s="348">
        <f ca="1">SUMPRODUCT(IFERROR((DATA_PROPERTY_MASTER!$A$5:$A$200&lt;&gt;"")*IF($C67="Included source errors",--(DATA_PROPERTY_MASTER!$E$5:$E$200="Yes"),--(DATA_PROPERTY_MASTER!$E$5:$E$200&lt;&gt;"Yes"))*--ISERROR(INDIRECT("'"&amp;DATA_PROPERTY_MASTER!$A$5:$A$200&amp;"'!"&amp;SUBSTITUTE(ADDRESS(1,COLUMN(D$5)+1,4),"1","")&amp;$B67)),0))</f>
        <v>0</v>
      </c>
      <c r="E67" s="348">
        <f ca="1">SUMPRODUCT(IFERROR((DATA_PROPERTY_MASTER!$A$5:$A$200&lt;&gt;"")*IF($C67="Included source errors",--(DATA_PROPERTY_MASTER!$E$5:$E$200="Yes"),--(DATA_PROPERTY_MASTER!$E$5:$E$200&lt;&gt;"Yes"))*--ISERROR(INDIRECT("'"&amp;DATA_PROPERTY_MASTER!$A$5:$A$200&amp;"'!"&amp;SUBSTITUTE(ADDRESS(1,COLUMN(E$5)+1,4),"1","")&amp;$B67)),0))</f>
        <v>0</v>
      </c>
      <c r="F67" s="348">
        <f ca="1">SUMPRODUCT(IFERROR((DATA_PROPERTY_MASTER!$A$5:$A$200&lt;&gt;"")*IF($C67="Included source errors",--(DATA_PROPERTY_MASTER!$E$5:$E$200="Yes"),--(DATA_PROPERTY_MASTER!$E$5:$E$200&lt;&gt;"Yes"))*--ISERROR(INDIRECT("'"&amp;DATA_PROPERTY_MASTER!$A$5:$A$200&amp;"'!"&amp;SUBSTITUTE(ADDRESS(1,COLUMN(F$5)+1,4),"1","")&amp;$B67)),0))</f>
        <v>0</v>
      </c>
      <c r="G67" s="348">
        <f ca="1">SUMPRODUCT(IFERROR((DATA_PROPERTY_MASTER!$A$5:$A$200&lt;&gt;"")*IF($C67="Included source errors",--(DATA_PROPERTY_MASTER!$E$5:$E$200="Yes"),--(DATA_PROPERTY_MASTER!$E$5:$E$200&lt;&gt;"Yes"))*--ISERROR(INDIRECT("'"&amp;DATA_PROPERTY_MASTER!$A$5:$A$200&amp;"'!"&amp;SUBSTITUTE(ADDRESS(1,COLUMN(G$5)+1,4),"1","")&amp;$B67)),0))</f>
        <v>0</v>
      </c>
      <c r="H67" s="348">
        <f ca="1">SUMPRODUCT(IFERROR((DATA_PROPERTY_MASTER!$A$5:$A$200&lt;&gt;"")*IF($C67="Included source errors",--(DATA_PROPERTY_MASTER!$E$5:$E$200="Yes"),--(DATA_PROPERTY_MASTER!$E$5:$E$200&lt;&gt;"Yes"))*--ISERROR(INDIRECT("'"&amp;DATA_PROPERTY_MASTER!$A$5:$A$200&amp;"'!"&amp;SUBSTITUTE(ADDRESS(1,COLUMN(H$5)+1,4),"1","")&amp;$B67)),0))</f>
        <v>0</v>
      </c>
      <c r="I67" s="348">
        <f ca="1">SUMPRODUCT(IFERROR((DATA_PROPERTY_MASTER!$A$5:$A$200&lt;&gt;"")*IF($C67="Included source errors",--(DATA_PROPERTY_MASTER!$E$5:$E$200="Yes"),--(DATA_PROPERTY_MASTER!$E$5:$E$200&lt;&gt;"Yes"))*--ISERROR(INDIRECT("'"&amp;DATA_PROPERTY_MASTER!$A$5:$A$200&amp;"'!"&amp;SUBSTITUTE(ADDRESS(1,COLUMN(I$5)+1,4),"1","")&amp;$B67)),0))</f>
        <v>0</v>
      </c>
      <c r="J67" s="348">
        <f ca="1">SUMPRODUCT(IFERROR((DATA_PROPERTY_MASTER!$A$5:$A$200&lt;&gt;"")*IF($C67="Included source errors",--(DATA_PROPERTY_MASTER!$E$5:$E$200="Yes"),--(DATA_PROPERTY_MASTER!$E$5:$E$200&lt;&gt;"Yes"))*--ISERROR(INDIRECT("'"&amp;DATA_PROPERTY_MASTER!$A$5:$A$200&amp;"'!"&amp;SUBSTITUTE(ADDRESS(1,COLUMN(J$5)+1,4),"1","")&amp;$B67)),0))</f>
        <v>0</v>
      </c>
      <c r="K67" s="348">
        <f ca="1">SUMPRODUCT(IFERROR((DATA_PROPERTY_MASTER!$A$5:$A$200&lt;&gt;"")*IF($C67="Included source errors",--(DATA_PROPERTY_MASTER!$E$5:$E$200="Yes"),--(DATA_PROPERTY_MASTER!$E$5:$E$200&lt;&gt;"Yes"))*--ISERROR(INDIRECT("'"&amp;DATA_PROPERTY_MASTER!$A$5:$A$200&amp;"'!"&amp;SUBSTITUTE(ADDRESS(1,COLUMN(K$5)+1,4),"1","")&amp;$B67)),0))</f>
        <v>0</v>
      </c>
      <c r="L67" s="348">
        <f ca="1">SUMPRODUCT(IFERROR((DATA_PROPERTY_MASTER!$A$5:$A$200&lt;&gt;"")*IF($C67="Included source errors",--(DATA_PROPERTY_MASTER!$E$5:$E$200="Yes"),--(DATA_PROPERTY_MASTER!$E$5:$E$200&lt;&gt;"Yes"))*--ISERROR(INDIRECT("'"&amp;DATA_PROPERTY_MASTER!$A$5:$A$200&amp;"'!"&amp;SUBSTITUTE(ADDRESS(1,COLUMN(L$5)+1,4),"1","")&amp;$B67)),0))</f>
        <v>0</v>
      </c>
      <c r="M67" s="348">
        <f ca="1">SUMPRODUCT(IFERROR((DATA_PROPERTY_MASTER!$A$5:$A$200&lt;&gt;"")*IF($C67="Included source errors",--(DATA_PROPERTY_MASTER!$E$5:$E$200="Yes"),--(DATA_PROPERTY_MASTER!$E$5:$E$200&lt;&gt;"Yes"))*--ISERROR(INDIRECT("'"&amp;DATA_PROPERTY_MASTER!$A$5:$A$200&amp;"'!"&amp;SUBSTITUTE(ADDRESS(1,COLUMN(M$5)+1,4),"1","")&amp;$B67)),0))</f>
        <v>0</v>
      </c>
      <c r="N67" s="348">
        <f ca="1">SUMPRODUCT(IFERROR((DATA_PROPERTY_MASTER!$A$5:$A$200&lt;&gt;"")*IF($C67="Included source errors",--(DATA_PROPERTY_MASTER!$E$5:$E$200="Yes"),--(DATA_PROPERTY_MASTER!$E$5:$E$200&lt;&gt;"Yes"))*--ISERROR(INDIRECT("'"&amp;DATA_PROPERTY_MASTER!$A$5:$A$200&amp;"'!"&amp;SUBSTITUTE(ADDRESS(1,COLUMN(N$5)+1,4),"1","")&amp;$B67)),0))</f>
        <v>0</v>
      </c>
      <c r="O67" s="348">
        <f ca="1">SUMPRODUCT(IFERROR((DATA_PROPERTY_MASTER!$A$5:$A$200&lt;&gt;"")*IF($C67="Included source errors",--(DATA_PROPERTY_MASTER!$E$5:$E$200="Yes"),--(DATA_PROPERTY_MASTER!$E$5:$E$200&lt;&gt;"Yes"))*--ISERROR(INDIRECT("'"&amp;DATA_PROPERTY_MASTER!$A$5:$A$200&amp;"'!"&amp;SUBSTITUTE(ADDRESS(1,COLUMN(O$5)+1,4),"1","")&amp;$B67)),0))</f>
        <v>0</v>
      </c>
      <c r="P67" s="348">
        <f ca="1">SUMPRODUCT(IFERROR((DATA_PROPERTY_MASTER!$A$5:$A$200&lt;&gt;"")*IF($C67="Included source errors",--(DATA_PROPERTY_MASTER!$E$5:$E$200="Yes"),--(DATA_PROPERTY_MASTER!$E$5:$E$200&lt;&gt;"Yes"))*--ISERROR(INDIRECT("'"&amp;DATA_PROPERTY_MASTER!$A$5:$A$200&amp;"'!"&amp;SUBSTITUTE(ADDRESS(1,COLUMN(P$5)+1,4),"1","")&amp;$B67)),0))</f>
        <v>0</v>
      </c>
      <c r="Q67" s="348">
        <f ca="1">SUMPRODUCT(IFERROR((DATA_PROPERTY_MASTER!$A$5:$A$200&lt;&gt;"")*IF($C67="Included source errors",--(DATA_PROPERTY_MASTER!$E$5:$E$200="Yes"),--(DATA_PROPERTY_MASTER!$E$5:$E$200&lt;&gt;"Yes"))*--ISERROR(INDIRECT("'"&amp;DATA_PROPERTY_MASTER!$A$5:$A$200&amp;"'!"&amp;SUBSTITUTE(ADDRESS(1,COLUMN(Q$5)+1,4),"1","")&amp;$B67)),0))</f>
        <v>0</v>
      </c>
      <c r="R67" s="348">
        <f ca="1">SUMPRODUCT(IFERROR((DATA_PROPERTY_MASTER!$A$5:$A$200&lt;&gt;"")*IF($C67="Included source errors",--(DATA_PROPERTY_MASTER!$E$5:$E$200="Yes"),--(DATA_PROPERTY_MASTER!$E$5:$E$200&lt;&gt;"Yes"))*--ISERROR(INDIRECT("'"&amp;DATA_PROPERTY_MASTER!$A$5:$A$200&amp;"'!"&amp;SUBSTITUTE(ADDRESS(1,COLUMN(R$5)+1,4),"1","")&amp;$B67)),0))</f>
        <v>0</v>
      </c>
      <c r="S67" s="348">
        <f ca="1">SUMPRODUCT(IFERROR((DATA_PROPERTY_MASTER!$A$5:$A$200&lt;&gt;"")*IF($C67="Included source errors",--(DATA_PROPERTY_MASTER!$E$5:$E$200="Yes"),--(DATA_PROPERTY_MASTER!$E$5:$E$200&lt;&gt;"Yes"))*--ISERROR(INDIRECT("'"&amp;DATA_PROPERTY_MASTER!$A$5:$A$200&amp;"'!"&amp;SUBSTITUTE(ADDRESS(1,COLUMN(S$5)+1,4),"1","")&amp;$B67)),0))</f>
        <v>0</v>
      </c>
      <c r="T67" s="348">
        <f ca="1">SUMPRODUCT(IFERROR((DATA_PROPERTY_MASTER!$A$5:$A$200&lt;&gt;"")*IF($C67="Included source errors",--(DATA_PROPERTY_MASTER!$E$5:$E$200="Yes"),--(DATA_PROPERTY_MASTER!$E$5:$E$200&lt;&gt;"Yes"))*--ISERROR(INDIRECT("'"&amp;DATA_PROPERTY_MASTER!$A$5:$A$200&amp;"'!"&amp;SUBSTITUTE(ADDRESS(1,COLUMN(T$5)+1,4),"1","")&amp;$B67)),0))</f>
        <v>0</v>
      </c>
      <c r="U67" s="348">
        <f ca="1">SUMPRODUCT(IFERROR((DATA_PROPERTY_MASTER!$A$5:$A$200&lt;&gt;"")*IF($C67="Included source errors",--(DATA_PROPERTY_MASTER!$E$5:$E$200="Yes"),--(DATA_PROPERTY_MASTER!$E$5:$E$200&lt;&gt;"Yes"))*--ISERROR(INDIRECT("'"&amp;DATA_PROPERTY_MASTER!$A$5:$A$200&amp;"'!"&amp;SUBSTITUTE(ADDRESS(1,COLUMN(U$5)+1,4),"1","")&amp;$B67)),0))</f>
        <v>0</v>
      </c>
      <c r="V67" s="348">
        <f ca="1">SUMPRODUCT(IFERROR((DATA_PROPERTY_MASTER!$A$5:$A$200&lt;&gt;"")*IF($C67="Included source errors",--(DATA_PROPERTY_MASTER!$E$5:$E$200="Yes"),--(DATA_PROPERTY_MASTER!$E$5:$E$200&lt;&gt;"Yes"))*--ISERROR(INDIRECT("'"&amp;DATA_PROPERTY_MASTER!$A$5:$A$200&amp;"'!"&amp;SUBSTITUTE(ADDRESS(1,COLUMN(V$5)+1,4),"1","")&amp;$B67)),0))</f>
        <v>0</v>
      </c>
      <c r="W67" s="348">
        <f ca="1">SUMPRODUCT(IFERROR((DATA_PROPERTY_MASTER!$A$5:$A$200&lt;&gt;"")*IF($C67="Included source errors",--(DATA_PROPERTY_MASTER!$E$5:$E$200="Yes"),--(DATA_PROPERTY_MASTER!$E$5:$E$200&lt;&gt;"Yes"))*--ISERROR(INDIRECT("'"&amp;DATA_PROPERTY_MASTER!$A$5:$A$200&amp;"'!"&amp;SUBSTITUTE(ADDRESS(1,COLUMN(W$5)+1,4),"1","")&amp;$B67)),0))</f>
        <v>0</v>
      </c>
      <c r="X67" s="348">
        <f ca="1">SUMPRODUCT(IFERROR((DATA_PROPERTY_MASTER!$A$5:$A$200&lt;&gt;"")*IF($C67="Included source errors",--(DATA_PROPERTY_MASTER!$E$5:$E$200="Yes"),--(DATA_PROPERTY_MASTER!$E$5:$E$200&lt;&gt;"Yes"))*--ISERROR(INDIRECT("'"&amp;DATA_PROPERTY_MASTER!$A$5:$A$200&amp;"'!"&amp;SUBSTITUTE(ADDRESS(1,COLUMN(X$5)+1,4),"1","")&amp;$B67)),0))</f>
        <v>0</v>
      </c>
    </row>
    <row r="68" spans="4:24">
      <c r="D68" s="348">
        <f ca="1">SUMPRODUCT(IFERROR((DATA_PROPERTY_MASTER!$A$5:$A$200&lt;&gt;"")*IF($C68="Included source errors",--(DATA_PROPERTY_MASTER!$E$5:$E$200="Yes"),--(DATA_PROPERTY_MASTER!$E$5:$E$200&lt;&gt;"Yes"))*--ISERROR(INDIRECT("'"&amp;DATA_PROPERTY_MASTER!$A$5:$A$200&amp;"'!"&amp;SUBSTITUTE(ADDRESS(1,COLUMN(D$5)+1,4),"1","")&amp;$B68)),0))</f>
        <v>0</v>
      </c>
      <c r="E68" s="348">
        <f ca="1">SUMPRODUCT(IFERROR((DATA_PROPERTY_MASTER!$A$5:$A$200&lt;&gt;"")*IF($C68="Included source errors",--(DATA_PROPERTY_MASTER!$E$5:$E$200="Yes"),--(DATA_PROPERTY_MASTER!$E$5:$E$200&lt;&gt;"Yes"))*--ISERROR(INDIRECT("'"&amp;DATA_PROPERTY_MASTER!$A$5:$A$200&amp;"'!"&amp;SUBSTITUTE(ADDRESS(1,COLUMN(E$5)+1,4),"1","")&amp;$B68)),0))</f>
        <v>0</v>
      </c>
      <c r="F68" s="348">
        <f ca="1">SUMPRODUCT(IFERROR((DATA_PROPERTY_MASTER!$A$5:$A$200&lt;&gt;"")*IF($C68="Included source errors",--(DATA_PROPERTY_MASTER!$E$5:$E$200="Yes"),--(DATA_PROPERTY_MASTER!$E$5:$E$200&lt;&gt;"Yes"))*--ISERROR(INDIRECT("'"&amp;DATA_PROPERTY_MASTER!$A$5:$A$200&amp;"'!"&amp;SUBSTITUTE(ADDRESS(1,COLUMN(F$5)+1,4),"1","")&amp;$B68)),0))</f>
        <v>0</v>
      </c>
      <c r="G68" s="348">
        <f ca="1">SUMPRODUCT(IFERROR((DATA_PROPERTY_MASTER!$A$5:$A$200&lt;&gt;"")*IF($C68="Included source errors",--(DATA_PROPERTY_MASTER!$E$5:$E$200="Yes"),--(DATA_PROPERTY_MASTER!$E$5:$E$200&lt;&gt;"Yes"))*--ISERROR(INDIRECT("'"&amp;DATA_PROPERTY_MASTER!$A$5:$A$200&amp;"'!"&amp;SUBSTITUTE(ADDRESS(1,COLUMN(G$5)+1,4),"1","")&amp;$B68)),0))</f>
        <v>0</v>
      </c>
      <c r="H68" s="348">
        <f ca="1">SUMPRODUCT(IFERROR((DATA_PROPERTY_MASTER!$A$5:$A$200&lt;&gt;"")*IF($C68="Included source errors",--(DATA_PROPERTY_MASTER!$E$5:$E$200="Yes"),--(DATA_PROPERTY_MASTER!$E$5:$E$200&lt;&gt;"Yes"))*--ISERROR(INDIRECT("'"&amp;DATA_PROPERTY_MASTER!$A$5:$A$200&amp;"'!"&amp;SUBSTITUTE(ADDRESS(1,COLUMN(H$5)+1,4),"1","")&amp;$B68)),0))</f>
        <v>0</v>
      </c>
      <c r="I68" s="348">
        <f ca="1">SUMPRODUCT(IFERROR((DATA_PROPERTY_MASTER!$A$5:$A$200&lt;&gt;"")*IF($C68="Included source errors",--(DATA_PROPERTY_MASTER!$E$5:$E$200="Yes"),--(DATA_PROPERTY_MASTER!$E$5:$E$200&lt;&gt;"Yes"))*--ISERROR(INDIRECT("'"&amp;DATA_PROPERTY_MASTER!$A$5:$A$200&amp;"'!"&amp;SUBSTITUTE(ADDRESS(1,COLUMN(I$5)+1,4),"1","")&amp;$B68)),0))</f>
        <v>0</v>
      </c>
      <c r="J68" s="348">
        <f ca="1">SUMPRODUCT(IFERROR((DATA_PROPERTY_MASTER!$A$5:$A$200&lt;&gt;"")*IF($C68="Included source errors",--(DATA_PROPERTY_MASTER!$E$5:$E$200="Yes"),--(DATA_PROPERTY_MASTER!$E$5:$E$200&lt;&gt;"Yes"))*--ISERROR(INDIRECT("'"&amp;DATA_PROPERTY_MASTER!$A$5:$A$200&amp;"'!"&amp;SUBSTITUTE(ADDRESS(1,COLUMN(J$5)+1,4),"1","")&amp;$B68)),0))</f>
        <v>0</v>
      </c>
      <c r="K68" s="348">
        <f ca="1">SUMPRODUCT(IFERROR((DATA_PROPERTY_MASTER!$A$5:$A$200&lt;&gt;"")*IF($C68="Included source errors",--(DATA_PROPERTY_MASTER!$E$5:$E$200="Yes"),--(DATA_PROPERTY_MASTER!$E$5:$E$200&lt;&gt;"Yes"))*--ISERROR(INDIRECT("'"&amp;DATA_PROPERTY_MASTER!$A$5:$A$200&amp;"'!"&amp;SUBSTITUTE(ADDRESS(1,COLUMN(K$5)+1,4),"1","")&amp;$B68)),0))</f>
        <v>0</v>
      </c>
      <c r="L68" s="348">
        <f ca="1">SUMPRODUCT(IFERROR((DATA_PROPERTY_MASTER!$A$5:$A$200&lt;&gt;"")*IF($C68="Included source errors",--(DATA_PROPERTY_MASTER!$E$5:$E$200="Yes"),--(DATA_PROPERTY_MASTER!$E$5:$E$200&lt;&gt;"Yes"))*--ISERROR(INDIRECT("'"&amp;DATA_PROPERTY_MASTER!$A$5:$A$200&amp;"'!"&amp;SUBSTITUTE(ADDRESS(1,COLUMN(L$5)+1,4),"1","")&amp;$B68)),0))</f>
        <v>0</v>
      </c>
      <c r="M68" s="348">
        <f ca="1">SUMPRODUCT(IFERROR((DATA_PROPERTY_MASTER!$A$5:$A$200&lt;&gt;"")*IF($C68="Included source errors",--(DATA_PROPERTY_MASTER!$E$5:$E$200="Yes"),--(DATA_PROPERTY_MASTER!$E$5:$E$200&lt;&gt;"Yes"))*--ISERROR(INDIRECT("'"&amp;DATA_PROPERTY_MASTER!$A$5:$A$200&amp;"'!"&amp;SUBSTITUTE(ADDRESS(1,COLUMN(M$5)+1,4),"1","")&amp;$B68)),0))</f>
        <v>0</v>
      </c>
      <c r="N68" s="348">
        <f ca="1">SUMPRODUCT(IFERROR((DATA_PROPERTY_MASTER!$A$5:$A$200&lt;&gt;"")*IF($C68="Included source errors",--(DATA_PROPERTY_MASTER!$E$5:$E$200="Yes"),--(DATA_PROPERTY_MASTER!$E$5:$E$200&lt;&gt;"Yes"))*--ISERROR(INDIRECT("'"&amp;DATA_PROPERTY_MASTER!$A$5:$A$200&amp;"'!"&amp;SUBSTITUTE(ADDRESS(1,COLUMN(N$5)+1,4),"1","")&amp;$B68)),0))</f>
        <v>0</v>
      </c>
      <c r="O68" s="348">
        <f ca="1">SUMPRODUCT(IFERROR((DATA_PROPERTY_MASTER!$A$5:$A$200&lt;&gt;"")*IF($C68="Included source errors",--(DATA_PROPERTY_MASTER!$E$5:$E$200="Yes"),--(DATA_PROPERTY_MASTER!$E$5:$E$200&lt;&gt;"Yes"))*--ISERROR(INDIRECT("'"&amp;DATA_PROPERTY_MASTER!$A$5:$A$200&amp;"'!"&amp;SUBSTITUTE(ADDRESS(1,COLUMN(O$5)+1,4),"1","")&amp;$B68)),0))</f>
        <v>0</v>
      </c>
      <c r="P68" s="348">
        <f ca="1">SUMPRODUCT(IFERROR((DATA_PROPERTY_MASTER!$A$5:$A$200&lt;&gt;"")*IF($C68="Included source errors",--(DATA_PROPERTY_MASTER!$E$5:$E$200="Yes"),--(DATA_PROPERTY_MASTER!$E$5:$E$200&lt;&gt;"Yes"))*--ISERROR(INDIRECT("'"&amp;DATA_PROPERTY_MASTER!$A$5:$A$200&amp;"'!"&amp;SUBSTITUTE(ADDRESS(1,COLUMN(P$5)+1,4),"1","")&amp;$B68)),0))</f>
        <v>0</v>
      </c>
      <c r="Q68" s="348">
        <f ca="1">SUMPRODUCT(IFERROR((DATA_PROPERTY_MASTER!$A$5:$A$200&lt;&gt;"")*IF($C68="Included source errors",--(DATA_PROPERTY_MASTER!$E$5:$E$200="Yes"),--(DATA_PROPERTY_MASTER!$E$5:$E$200&lt;&gt;"Yes"))*--ISERROR(INDIRECT("'"&amp;DATA_PROPERTY_MASTER!$A$5:$A$200&amp;"'!"&amp;SUBSTITUTE(ADDRESS(1,COLUMN(Q$5)+1,4),"1","")&amp;$B68)),0))</f>
        <v>0</v>
      </c>
      <c r="R68" s="348">
        <f ca="1">SUMPRODUCT(IFERROR((DATA_PROPERTY_MASTER!$A$5:$A$200&lt;&gt;"")*IF($C68="Included source errors",--(DATA_PROPERTY_MASTER!$E$5:$E$200="Yes"),--(DATA_PROPERTY_MASTER!$E$5:$E$200&lt;&gt;"Yes"))*--ISERROR(INDIRECT("'"&amp;DATA_PROPERTY_MASTER!$A$5:$A$200&amp;"'!"&amp;SUBSTITUTE(ADDRESS(1,COLUMN(R$5)+1,4),"1","")&amp;$B68)),0))</f>
        <v>0</v>
      </c>
      <c r="S68" s="348">
        <f ca="1">SUMPRODUCT(IFERROR((DATA_PROPERTY_MASTER!$A$5:$A$200&lt;&gt;"")*IF($C68="Included source errors",--(DATA_PROPERTY_MASTER!$E$5:$E$200="Yes"),--(DATA_PROPERTY_MASTER!$E$5:$E$200&lt;&gt;"Yes"))*--ISERROR(INDIRECT("'"&amp;DATA_PROPERTY_MASTER!$A$5:$A$200&amp;"'!"&amp;SUBSTITUTE(ADDRESS(1,COLUMN(S$5)+1,4),"1","")&amp;$B68)),0))</f>
        <v>0</v>
      </c>
      <c r="T68" s="348">
        <f ca="1">SUMPRODUCT(IFERROR((DATA_PROPERTY_MASTER!$A$5:$A$200&lt;&gt;"")*IF($C68="Included source errors",--(DATA_PROPERTY_MASTER!$E$5:$E$200="Yes"),--(DATA_PROPERTY_MASTER!$E$5:$E$200&lt;&gt;"Yes"))*--ISERROR(INDIRECT("'"&amp;DATA_PROPERTY_MASTER!$A$5:$A$200&amp;"'!"&amp;SUBSTITUTE(ADDRESS(1,COLUMN(T$5)+1,4),"1","")&amp;$B68)),0))</f>
        <v>0</v>
      </c>
      <c r="U68" s="348">
        <f ca="1">SUMPRODUCT(IFERROR((DATA_PROPERTY_MASTER!$A$5:$A$200&lt;&gt;"")*IF($C68="Included source errors",--(DATA_PROPERTY_MASTER!$E$5:$E$200="Yes"),--(DATA_PROPERTY_MASTER!$E$5:$E$200&lt;&gt;"Yes"))*--ISERROR(INDIRECT("'"&amp;DATA_PROPERTY_MASTER!$A$5:$A$200&amp;"'!"&amp;SUBSTITUTE(ADDRESS(1,COLUMN(U$5)+1,4),"1","")&amp;$B68)),0))</f>
        <v>0</v>
      </c>
      <c r="V68" s="348">
        <f ca="1">SUMPRODUCT(IFERROR((DATA_PROPERTY_MASTER!$A$5:$A$200&lt;&gt;"")*IF($C68="Included source errors",--(DATA_PROPERTY_MASTER!$E$5:$E$200="Yes"),--(DATA_PROPERTY_MASTER!$E$5:$E$200&lt;&gt;"Yes"))*--ISERROR(INDIRECT("'"&amp;DATA_PROPERTY_MASTER!$A$5:$A$200&amp;"'!"&amp;SUBSTITUTE(ADDRESS(1,COLUMN(V$5)+1,4),"1","")&amp;$B68)),0))</f>
        <v>0</v>
      </c>
      <c r="W68" s="348">
        <f ca="1">SUMPRODUCT(IFERROR((DATA_PROPERTY_MASTER!$A$5:$A$200&lt;&gt;"")*IF($C68="Included source errors",--(DATA_PROPERTY_MASTER!$E$5:$E$200="Yes"),--(DATA_PROPERTY_MASTER!$E$5:$E$200&lt;&gt;"Yes"))*--ISERROR(INDIRECT("'"&amp;DATA_PROPERTY_MASTER!$A$5:$A$200&amp;"'!"&amp;SUBSTITUTE(ADDRESS(1,COLUMN(W$5)+1,4),"1","")&amp;$B68)),0))</f>
        <v>0</v>
      </c>
      <c r="X68" s="348">
        <f ca="1">SUMPRODUCT(IFERROR((DATA_PROPERTY_MASTER!$A$5:$A$200&lt;&gt;"")*IF($C68="Included source errors",--(DATA_PROPERTY_MASTER!$E$5:$E$200="Yes"),--(DATA_PROPERTY_MASTER!$E$5:$E$200&lt;&gt;"Yes"))*--ISERROR(INDIRECT("'"&amp;DATA_PROPERTY_MASTER!$A$5:$A$200&amp;"'!"&amp;SUBSTITUTE(ADDRESS(1,COLUMN(X$5)+1,4),"1","")&amp;$B68)),0))</f>
        <v>0</v>
      </c>
    </row>
    <row r="69" spans="4:24">
      <c r="D69" s="348">
        <f ca="1">SUMPRODUCT(IFERROR((DATA_PROPERTY_MASTER!$A$5:$A$200&lt;&gt;"")*IF($C69="Included source errors",--(DATA_PROPERTY_MASTER!$E$5:$E$200="Yes"),--(DATA_PROPERTY_MASTER!$E$5:$E$200&lt;&gt;"Yes"))*--ISERROR(INDIRECT("'"&amp;DATA_PROPERTY_MASTER!$A$5:$A$200&amp;"'!"&amp;SUBSTITUTE(ADDRESS(1,COLUMN(D$5)+1,4),"1","")&amp;$B69)),0))</f>
        <v>0</v>
      </c>
      <c r="E69" s="348">
        <f ca="1">SUMPRODUCT(IFERROR((DATA_PROPERTY_MASTER!$A$5:$A$200&lt;&gt;"")*IF($C69="Included source errors",--(DATA_PROPERTY_MASTER!$E$5:$E$200="Yes"),--(DATA_PROPERTY_MASTER!$E$5:$E$200&lt;&gt;"Yes"))*--ISERROR(INDIRECT("'"&amp;DATA_PROPERTY_MASTER!$A$5:$A$200&amp;"'!"&amp;SUBSTITUTE(ADDRESS(1,COLUMN(E$5)+1,4),"1","")&amp;$B69)),0))</f>
        <v>0</v>
      </c>
      <c r="F69" s="348">
        <f ca="1">SUMPRODUCT(IFERROR((DATA_PROPERTY_MASTER!$A$5:$A$200&lt;&gt;"")*IF($C69="Included source errors",--(DATA_PROPERTY_MASTER!$E$5:$E$200="Yes"),--(DATA_PROPERTY_MASTER!$E$5:$E$200&lt;&gt;"Yes"))*--ISERROR(INDIRECT("'"&amp;DATA_PROPERTY_MASTER!$A$5:$A$200&amp;"'!"&amp;SUBSTITUTE(ADDRESS(1,COLUMN(F$5)+1,4),"1","")&amp;$B69)),0))</f>
        <v>0</v>
      </c>
      <c r="G69" s="348">
        <f ca="1">SUMPRODUCT(IFERROR((DATA_PROPERTY_MASTER!$A$5:$A$200&lt;&gt;"")*IF($C69="Included source errors",--(DATA_PROPERTY_MASTER!$E$5:$E$200="Yes"),--(DATA_PROPERTY_MASTER!$E$5:$E$200&lt;&gt;"Yes"))*--ISERROR(INDIRECT("'"&amp;DATA_PROPERTY_MASTER!$A$5:$A$200&amp;"'!"&amp;SUBSTITUTE(ADDRESS(1,COLUMN(G$5)+1,4),"1","")&amp;$B69)),0))</f>
        <v>0</v>
      </c>
      <c r="H69" s="348">
        <f ca="1">SUMPRODUCT(IFERROR((DATA_PROPERTY_MASTER!$A$5:$A$200&lt;&gt;"")*IF($C69="Included source errors",--(DATA_PROPERTY_MASTER!$E$5:$E$200="Yes"),--(DATA_PROPERTY_MASTER!$E$5:$E$200&lt;&gt;"Yes"))*--ISERROR(INDIRECT("'"&amp;DATA_PROPERTY_MASTER!$A$5:$A$200&amp;"'!"&amp;SUBSTITUTE(ADDRESS(1,COLUMN(H$5)+1,4),"1","")&amp;$B69)),0))</f>
        <v>0</v>
      </c>
      <c r="I69" s="348">
        <f ca="1">SUMPRODUCT(IFERROR((DATA_PROPERTY_MASTER!$A$5:$A$200&lt;&gt;"")*IF($C69="Included source errors",--(DATA_PROPERTY_MASTER!$E$5:$E$200="Yes"),--(DATA_PROPERTY_MASTER!$E$5:$E$200&lt;&gt;"Yes"))*--ISERROR(INDIRECT("'"&amp;DATA_PROPERTY_MASTER!$A$5:$A$200&amp;"'!"&amp;SUBSTITUTE(ADDRESS(1,COLUMN(I$5)+1,4),"1","")&amp;$B69)),0))</f>
        <v>0</v>
      </c>
      <c r="J69" s="348">
        <f ca="1">SUMPRODUCT(IFERROR((DATA_PROPERTY_MASTER!$A$5:$A$200&lt;&gt;"")*IF($C69="Included source errors",--(DATA_PROPERTY_MASTER!$E$5:$E$200="Yes"),--(DATA_PROPERTY_MASTER!$E$5:$E$200&lt;&gt;"Yes"))*--ISERROR(INDIRECT("'"&amp;DATA_PROPERTY_MASTER!$A$5:$A$200&amp;"'!"&amp;SUBSTITUTE(ADDRESS(1,COLUMN(J$5)+1,4),"1","")&amp;$B69)),0))</f>
        <v>0</v>
      </c>
      <c r="K69" s="348">
        <f ca="1">SUMPRODUCT(IFERROR((DATA_PROPERTY_MASTER!$A$5:$A$200&lt;&gt;"")*IF($C69="Included source errors",--(DATA_PROPERTY_MASTER!$E$5:$E$200="Yes"),--(DATA_PROPERTY_MASTER!$E$5:$E$200&lt;&gt;"Yes"))*--ISERROR(INDIRECT("'"&amp;DATA_PROPERTY_MASTER!$A$5:$A$200&amp;"'!"&amp;SUBSTITUTE(ADDRESS(1,COLUMN(K$5)+1,4),"1","")&amp;$B69)),0))</f>
        <v>0</v>
      </c>
      <c r="L69" s="348">
        <f ca="1">SUMPRODUCT(IFERROR((DATA_PROPERTY_MASTER!$A$5:$A$200&lt;&gt;"")*IF($C69="Included source errors",--(DATA_PROPERTY_MASTER!$E$5:$E$200="Yes"),--(DATA_PROPERTY_MASTER!$E$5:$E$200&lt;&gt;"Yes"))*--ISERROR(INDIRECT("'"&amp;DATA_PROPERTY_MASTER!$A$5:$A$200&amp;"'!"&amp;SUBSTITUTE(ADDRESS(1,COLUMN(L$5)+1,4),"1","")&amp;$B69)),0))</f>
        <v>0</v>
      </c>
      <c r="M69" s="348">
        <f ca="1">SUMPRODUCT(IFERROR((DATA_PROPERTY_MASTER!$A$5:$A$200&lt;&gt;"")*IF($C69="Included source errors",--(DATA_PROPERTY_MASTER!$E$5:$E$200="Yes"),--(DATA_PROPERTY_MASTER!$E$5:$E$200&lt;&gt;"Yes"))*--ISERROR(INDIRECT("'"&amp;DATA_PROPERTY_MASTER!$A$5:$A$200&amp;"'!"&amp;SUBSTITUTE(ADDRESS(1,COLUMN(M$5)+1,4),"1","")&amp;$B69)),0))</f>
        <v>0</v>
      </c>
      <c r="N69" s="348">
        <f ca="1">SUMPRODUCT(IFERROR((DATA_PROPERTY_MASTER!$A$5:$A$200&lt;&gt;"")*IF($C69="Included source errors",--(DATA_PROPERTY_MASTER!$E$5:$E$200="Yes"),--(DATA_PROPERTY_MASTER!$E$5:$E$200&lt;&gt;"Yes"))*--ISERROR(INDIRECT("'"&amp;DATA_PROPERTY_MASTER!$A$5:$A$200&amp;"'!"&amp;SUBSTITUTE(ADDRESS(1,COLUMN(N$5)+1,4),"1","")&amp;$B69)),0))</f>
        <v>0</v>
      </c>
      <c r="O69" s="348">
        <f ca="1">SUMPRODUCT(IFERROR((DATA_PROPERTY_MASTER!$A$5:$A$200&lt;&gt;"")*IF($C69="Included source errors",--(DATA_PROPERTY_MASTER!$E$5:$E$200="Yes"),--(DATA_PROPERTY_MASTER!$E$5:$E$200&lt;&gt;"Yes"))*--ISERROR(INDIRECT("'"&amp;DATA_PROPERTY_MASTER!$A$5:$A$200&amp;"'!"&amp;SUBSTITUTE(ADDRESS(1,COLUMN(O$5)+1,4),"1","")&amp;$B69)),0))</f>
        <v>0</v>
      </c>
      <c r="P69" s="348">
        <f ca="1">SUMPRODUCT(IFERROR((DATA_PROPERTY_MASTER!$A$5:$A$200&lt;&gt;"")*IF($C69="Included source errors",--(DATA_PROPERTY_MASTER!$E$5:$E$200="Yes"),--(DATA_PROPERTY_MASTER!$E$5:$E$200&lt;&gt;"Yes"))*--ISERROR(INDIRECT("'"&amp;DATA_PROPERTY_MASTER!$A$5:$A$200&amp;"'!"&amp;SUBSTITUTE(ADDRESS(1,COLUMN(P$5)+1,4),"1","")&amp;$B69)),0))</f>
        <v>0</v>
      </c>
      <c r="Q69" s="348">
        <f ca="1">SUMPRODUCT(IFERROR((DATA_PROPERTY_MASTER!$A$5:$A$200&lt;&gt;"")*IF($C69="Included source errors",--(DATA_PROPERTY_MASTER!$E$5:$E$200="Yes"),--(DATA_PROPERTY_MASTER!$E$5:$E$200&lt;&gt;"Yes"))*--ISERROR(INDIRECT("'"&amp;DATA_PROPERTY_MASTER!$A$5:$A$200&amp;"'!"&amp;SUBSTITUTE(ADDRESS(1,COLUMN(Q$5)+1,4),"1","")&amp;$B69)),0))</f>
        <v>0</v>
      </c>
      <c r="R69" s="348">
        <f ca="1">SUMPRODUCT(IFERROR((DATA_PROPERTY_MASTER!$A$5:$A$200&lt;&gt;"")*IF($C69="Included source errors",--(DATA_PROPERTY_MASTER!$E$5:$E$200="Yes"),--(DATA_PROPERTY_MASTER!$E$5:$E$200&lt;&gt;"Yes"))*--ISERROR(INDIRECT("'"&amp;DATA_PROPERTY_MASTER!$A$5:$A$200&amp;"'!"&amp;SUBSTITUTE(ADDRESS(1,COLUMN(R$5)+1,4),"1","")&amp;$B69)),0))</f>
        <v>0</v>
      </c>
      <c r="S69" s="348">
        <f ca="1">SUMPRODUCT(IFERROR((DATA_PROPERTY_MASTER!$A$5:$A$200&lt;&gt;"")*IF($C69="Included source errors",--(DATA_PROPERTY_MASTER!$E$5:$E$200="Yes"),--(DATA_PROPERTY_MASTER!$E$5:$E$200&lt;&gt;"Yes"))*--ISERROR(INDIRECT("'"&amp;DATA_PROPERTY_MASTER!$A$5:$A$200&amp;"'!"&amp;SUBSTITUTE(ADDRESS(1,COLUMN(S$5)+1,4),"1","")&amp;$B69)),0))</f>
        <v>0</v>
      </c>
      <c r="T69" s="348">
        <f ca="1">SUMPRODUCT(IFERROR((DATA_PROPERTY_MASTER!$A$5:$A$200&lt;&gt;"")*IF($C69="Included source errors",--(DATA_PROPERTY_MASTER!$E$5:$E$200="Yes"),--(DATA_PROPERTY_MASTER!$E$5:$E$200&lt;&gt;"Yes"))*--ISERROR(INDIRECT("'"&amp;DATA_PROPERTY_MASTER!$A$5:$A$200&amp;"'!"&amp;SUBSTITUTE(ADDRESS(1,COLUMN(T$5)+1,4),"1","")&amp;$B69)),0))</f>
        <v>0</v>
      </c>
      <c r="U69" s="348">
        <f ca="1">SUMPRODUCT(IFERROR((DATA_PROPERTY_MASTER!$A$5:$A$200&lt;&gt;"")*IF($C69="Included source errors",--(DATA_PROPERTY_MASTER!$E$5:$E$200="Yes"),--(DATA_PROPERTY_MASTER!$E$5:$E$200&lt;&gt;"Yes"))*--ISERROR(INDIRECT("'"&amp;DATA_PROPERTY_MASTER!$A$5:$A$200&amp;"'!"&amp;SUBSTITUTE(ADDRESS(1,COLUMN(U$5)+1,4),"1","")&amp;$B69)),0))</f>
        <v>0</v>
      </c>
      <c r="V69" s="348">
        <f ca="1">SUMPRODUCT(IFERROR((DATA_PROPERTY_MASTER!$A$5:$A$200&lt;&gt;"")*IF($C69="Included source errors",--(DATA_PROPERTY_MASTER!$E$5:$E$200="Yes"),--(DATA_PROPERTY_MASTER!$E$5:$E$200&lt;&gt;"Yes"))*--ISERROR(INDIRECT("'"&amp;DATA_PROPERTY_MASTER!$A$5:$A$200&amp;"'!"&amp;SUBSTITUTE(ADDRESS(1,COLUMN(V$5)+1,4),"1","")&amp;$B69)),0))</f>
        <v>0</v>
      </c>
      <c r="W69" s="348">
        <f ca="1">SUMPRODUCT(IFERROR((DATA_PROPERTY_MASTER!$A$5:$A$200&lt;&gt;"")*IF($C69="Included source errors",--(DATA_PROPERTY_MASTER!$E$5:$E$200="Yes"),--(DATA_PROPERTY_MASTER!$E$5:$E$200&lt;&gt;"Yes"))*--ISERROR(INDIRECT("'"&amp;DATA_PROPERTY_MASTER!$A$5:$A$200&amp;"'!"&amp;SUBSTITUTE(ADDRESS(1,COLUMN(W$5)+1,4),"1","")&amp;$B69)),0))</f>
        <v>0</v>
      </c>
      <c r="X69" s="348">
        <f ca="1">SUMPRODUCT(IFERROR((DATA_PROPERTY_MASTER!$A$5:$A$200&lt;&gt;"")*IF($C69="Included source errors",--(DATA_PROPERTY_MASTER!$E$5:$E$200="Yes"),--(DATA_PROPERTY_MASTER!$E$5:$E$200&lt;&gt;"Yes"))*--ISERROR(INDIRECT("'"&amp;DATA_PROPERTY_MASTER!$A$5:$A$200&amp;"'!"&amp;SUBSTITUTE(ADDRESS(1,COLUMN(X$5)+1,4),"1","")&amp;$B69)),0))</f>
        <v>0</v>
      </c>
    </row>
    <row r="70" spans="4:24">
      <c r="D70" s="348">
        <f ca="1">SUMPRODUCT(IFERROR((DATA_PROPERTY_MASTER!$A$5:$A$200&lt;&gt;"")*IF($C70="Included source errors",--(DATA_PROPERTY_MASTER!$E$5:$E$200="Yes"),--(DATA_PROPERTY_MASTER!$E$5:$E$200&lt;&gt;"Yes"))*--ISERROR(INDIRECT("'"&amp;DATA_PROPERTY_MASTER!$A$5:$A$200&amp;"'!"&amp;SUBSTITUTE(ADDRESS(1,COLUMN(D$5)+1,4),"1","")&amp;$B70)),0))</f>
        <v>0</v>
      </c>
      <c r="E70" s="348">
        <f ca="1">SUMPRODUCT(IFERROR((DATA_PROPERTY_MASTER!$A$5:$A$200&lt;&gt;"")*IF($C70="Included source errors",--(DATA_PROPERTY_MASTER!$E$5:$E$200="Yes"),--(DATA_PROPERTY_MASTER!$E$5:$E$200&lt;&gt;"Yes"))*--ISERROR(INDIRECT("'"&amp;DATA_PROPERTY_MASTER!$A$5:$A$200&amp;"'!"&amp;SUBSTITUTE(ADDRESS(1,COLUMN(E$5)+1,4),"1","")&amp;$B70)),0))</f>
        <v>0</v>
      </c>
      <c r="F70" s="348">
        <f ca="1">SUMPRODUCT(IFERROR((DATA_PROPERTY_MASTER!$A$5:$A$200&lt;&gt;"")*IF($C70="Included source errors",--(DATA_PROPERTY_MASTER!$E$5:$E$200="Yes"),--(DATA_PROPERTY_MASTER!$E$5:$E$200&lt;&gt;"Yes"))*--ISERROR(INDIRECT("'"&amp;DATA_PROPERTY_MASTER!$A$5:$A$200&amp;"'!"&amp;SUBSTITUTE(ADDRESS(1,COLUMN(F$5)+1,4),"1","")&amp;$B70)),0))</f>
        <v>0</v>
      </c>
      <c r="G70" s="348">
        <f ca="1">SUMPRODUCT(IFERROR((DATA_PROPERTY_MASTER!$A$5:$A$200&lt;&gt;"")*IF($C70="Included source errors",--(DATA_PROPERTY_MASTER!$E$5:$E$200="Yes"),--(DATA_PROPERTY_MASTER!$E$5:$E$200&lt;&gt;"Yes"))*--ISERROR(INDIRECT("'"&amp;DATA_PROPERTY_MASTER!$A$5:$A$200&amp;"'!"&amp;SUBSTITUTE(ADDRESS(1,COLUMN(G$5)+1,4),"1","")&amp;$B70)),0))</f>
        <v>0</v>
      </c>
      <c r="H70" s="348">
        <f ca="1">SUMPRODUCT(IFERROR((DATA_PROPERTY_MASTER!$A$5:$A$200&lt;&gt;"")*IF($C70="Included source errors",--(DATA_PROPERTY_MASTER!$E$5:$E$200="Yes"),--(DATA_PROPERTY_MASTER!$E$5:$E$200&lt;&gt;"Yes"))*--ISERROR(INDIRECT("'"&amp;DATA_PROPERTY_MASTER!$A$5:$A$200&amp;"'!"&amp;SUBSTITUTE(ADDRESS(1,COLUMN(H$5)+1,4),"1","")&amp;$B70)),0))</f>
        <v>0</v>
      </c>
      <c r="I70" s="348">
        <f ca="1">SUMPRODUCT(IFERROR((DATA_PROPERTY_MASTER!$A$5:$A$200&lt;&gt;"")*IF($C70="Included source errors",--(DATA_PROPERTY_MASTER!$E$5:$E$200="Yes"),--(DATA_PROPERTY_MASTER!$E$5:$E$200&lt;&gt;"Yes"))*--ISERROR(INDIRECT("'"&amp;DATA_PROPERTY_MASTER!$A$5:$A$200&amp;"'!"&amp;SUBSTITUTE(ADDRESS(1,COLUMN(I$5)+1,4),"1","")&amp;$B70)),0))</f>
        <v>0</v>
      </c>
      <c r="J70" s="348">
        <f ca="1">SUMPRODUCT(IFERROR((DATA_PROPERTY_MASTER!$A$5:$A$200&lt;&gt;"")*IF($C70="Included source errors",--(DATA_PROPERTY_MASTER!$E$5:$E$200="Yes"),--(DATA_PROPERTY_MASTER!$E$5:$E$200&lt;&gt;"Yes"))*--ISERROR(INDIRECT("'"&amp;DATA_PROPERTY_MASTER!$A$5:$A$200&amp;"'!"&amp;SUBSTITUTE(ADDRESS(1,COLUMN(J$5)+1,4),"1","")&amp;$B70)),0))</f>
        <v>0</v>
      </c>
      <c r="K70" s="348">
        <f ca="1">SUMPRODUCT(IFERROR((DATA_PROPERTY_MASTER!$A$5:$A$200&lt;&gt;"")*IF($C70="Included source errors",--(DATA_PROPERTY_MASTER!$E$5:$E$200="Yes"),--(DATA_PROPERTY_MASTER!$E$5:$E$200&lt;&gt;"Yes"))*--ISERROR(INDIRECT("'"&amp;DATA_PROPERTY_MASTER!$A$5:$A$200&amp;"'!"&amp;SUBSTITUTE(ADDRESS(1,COLUMN(K$5)+1,4),"1","")&amp;$B70)),0))</f>
        <v>0</v>
      </c>
      <c r="L70" s="348">
        <f ca="1">SUMPRODUCT(IFERROR((DATA_PROPERTY_MASTER!$A$5:$A$200&lt;&gt;"")*IF($C70="Included source errors",--(DATA_PROPERTY_MASTER!$E$5:$E$200="Yes"),--(DATA_PROPERTY_MASTER!$E$5:$E$200&lt;&gt;"Yes"))*--ISERROR(INDIRECT("'"&amp;DATA_PROPERTY_MASTER!$A$5:$A$200&amp;"'!"&amp;SUBSTITUTE(ADDRESS(1,COLUMN(L$5)+1,4),"1","")&amp;$B70)),0))</f>
        <v>0</v>
      </c>
      <c r="M70" s="348">
        <f ca="1">SUMPRODUCT(IFERROR((DATA_PROPERTY_MASTER!$A$5:$A$200&lt;&gt;"")*IF($C70="Included source errors",--(DATA_PROPERTY_MASTER!$E$5:$E$200="Yes"),--(DATA_PROPERTY_MASTER!$E$5:$E$200&lt;&gt;"Yes"))*--ISERROR(INDIRECT("'"&amp;DATA_PROPERTY_MASTER!$A$5:$A$200&amp;"'!"&amp;SUBSTITUTE(ADDRESS(1,COLUMN(M$5)+1,4),"1","")&amp;$B70)),0))</f>
        <v>0</v>
      </c>
      <c r="N70" s="348">
        <f ca="1">SUMPRODUCT(IFERROR((DATA_PROPERTY_MASTER!$A$5:$A$200&lt;&gt;"")*IF($C70="Included source errors",--(DATA_PROPERTY_MASTER!$E$5:$E$200="Yes"),--(DATA_PROPERTY_MASTER!$E$5:$E$200&lt;&gt;"Yes"))*--ISERROR(INDIRECT("'"&amp;DATA_PROPERTY_MASTER!$A$5:$A$200&amp;"'!"&amp;SUBSTITUTE(ADDRESS(1,COLUMN(N$5)+1,4),"1","")&amp;$B70)),0))</f>
        <v>0</v>
      </c>
      <c r="O70" s="348">
        <f ca="1">SUMPRODUCT(IFERROR((DATA_PROPERTY_MASTER!$A$5:$A$200&lt;&gt;"")*IF($C70="Included source errors",--(DATA_PROPERTY_MASTER!$E$5:$E$200="Yes"),--(DATA_PROPERTY_MASTER!$E$5:$E$200&lt;&gt;"Yes"))*--ISERROR(INDIRECT("'"&amp;DATA_PROPERTY_MASTER!$A$5:$A$200&amp;"'!"&amp;SUBSTITUTE(ADDRESS(1,COLUMN(O$5)+1,4),"1","")&amp;$B70)),0))</f>
        <v>0</v>
      </c>
      <c r="P70" s="348">
        <f ca="1">SUMPRODUCT(IFERROR((DATA_PROPERTY_MASTER!$A$5:$A$200&lt;&gt;"")*IF($C70="Included source errors",--(DATA_PROPERTY_MASTER!$E$5:$E$200="Yes"),--(DATA_PROPERTY_MASTER!$E$5:$E$200&lt;&gt;"Yes"))*--ISERROR(INDIRECT("'"&amp;DATA_PROPERTY_MASTER!$A$5:$A$200&amp;"'!"&amp;SUBSTITUTE(ADDRESS(1,COLUMN(P$5)+1,4),"1","")&amp;$B70)),0))</f>
        <v>0</v>
      </c>
      <c r="Q70" s="348">
        <f ca="1">SUMPRODUCT(IFERROR((DATA_PROPERTY_MASTER!$A$5:$A$200&lt;&gt;"")*IF($C70="Included source errors",--(DATA_PROPERTY_MASTER!$E$5:$E$200="Yes"),--(DATA_PROPERTY_MASTER!$E$5:$E$200&lt;&gt;"Yes"))*--ISERROR(INDIRECT("'"&amp;DATA_PROPERTY_MASTER!$A$5:$A$200&amp;"'!"&amp;SUBSTITUTE(ADDRESS(1,COLUMN(Q$5)+1,4),"1","")&amp;$B70)),0))</f>
        <v>0</v>
      </c>
      <c r="R70" s="348">
        <f ca="1">SUMPRODUCT(IFERROR((DATA_PROPERTY_MASTER!$A$5:$A$200&lt;&gt;"")*IF($C70="Included source errors",--(DATA_PROPERTY_MASTER!$E$5:$E$200="Yes"),--(DATA_PROPERTY_MASTER!$E$5:$E$200&lt;&gt;"Yes"))*--ISERROR(INDIRECT("'"&amp;DATA_PROPERTY_MASTER!$A$5:$A$200&amp;"'!"&amp;SUBSTITUTE(ADDRESS(1,COLUMN(R$5)+1,4),"1","")&amp;$B70)),0))</f>
        <v>0</v>
      </c>
      <c r="S70" s="348">
        <f ca="1">SUMPRODUCT(IFERROR((DATA_PROPERTY_MASTER!$A$5:$A$200&lt;&gt;"")*IF($C70="Included source errors",--(DATA_PROPERTY_MASTER!$E$5:$E$200="Yes"),--(DATA_PROPERTY_MASTER!$E$5:$E$200&lt;&gt;"Yes"))*--ISERROR(INDIRECT("'"&amp;DATA_PROPERTY_MASTER!$A$5:$A$200&amp;"'!"&amp;SUBSTITUTE(ADDRESS(1,COLUMN(S$5)+1,4),"1","")&amp;$B70)),0))</f>
        <v>0</v>
      </c>
      <c r="T70" s="348">
        <f ca="1">SUMPRODUCT(IFERROR((DATA_PROPERTY_MASTER!$A$5:$A$200&lt;&gt;"")*IF($C70="Included source errors",--(DATA_PROPERTY_MASTER!$E$5:$E$200="Yes"),--(DATA_PROPERTY_MASTER!$E$5:$E$200&lt;&gt;"Yes"))*--ISERROR(INDIRECT("'"&amp;DATA_PROPERTY_MASTER!$A$5:$A$200&amp;"'!"&amp;SUBSTITUTE(ADDRESS(1,COLUMN(T$5)+1,4),"1","")&amp;$B70)),0))</f>
        <v>0</v>
      </c>
      <c r="U70" s="348">
        <f ca="1">SUMPRODUCT(IFERROR((DATA_PROPERTY_MASTER!$A$5:$A$200&lt;&gt;"")*IF($C70="Included source errors",--(DATA_PROPERTY_MASTER!$E$5:$E$200="Yes"),--(DATA_PROPERTY_MASTER!$E$5:$E$200&lt;&gt;"Yes"))*--ISERROR(INDIRECT("'"&amp;DATA_PROPERTY_MASTER!$A$5:$A$200&amp;"'!"&amp;SUBSTITUTE(ADDRESS(1,COLUMN(U$5)+1,4),"1","")&amp;$B70)),0))</f>
        <v>0</v>
      </c>
      <c r="V70" s="348">
        <f ca="1">SUMPRODUCT(IFERROR((DATA_PROPERTY_MASTER!$A$5:$A$200&lt;&gt;"")*IF($C70="Included source errors",--(DATA_PROPERTY_MASTER!$E$5:$E$200="Yes"),--(DATA_PROPERTY_MASTER!$E$5:$E$200&lt;&gt;"Yes"))*--ISERROR(INDIRECT("'"&amp;DATA_PROPERTY_MASTER!$A$5:$A$200&amp;"'!"&amp;SUBSTITUTE(ADDRESS(1,COLUMN(V$5)+1,4),"1","")&amp;$B70)),0))</f>
        <v>0</v>
      </c>
      <c r="W70" s="348">
        <f ca="1">SUMPRODUCT(IFERROR((DATA_PROPERTY_MASTER!$A$5:$A$200&lt;&gt;"")*IF($C70="Included source errors",--(DATA_PROPERTY_MASTER!$E$5:$E$200="Yes"),--(DATA_PROPERTY_MASTER!$E$5:$E$200&lt;&gt;"Yes"))*--ISERROR(INDIRECT("'"&amp;DATA_PROPERTY_MASTER!$A$5:$A$200&amp;"'!"&amp;SUBSTITUTE(ADDRESS(1,COLUMN(W$5)+1,4),"1","")&amp;$B70)),0))</f>
        <v>0</v>
      </c>
      <c r="X70" s="348">
        <f ca="1">SUMPRODUCT(IFERROR((DATA_PROPERTY_MASTER!$A$5:$A$200&lt;&gt;"")*IF($C70="Included source errors",--(DATA_PROPERTY_MASTER!$E$5:$E$200="Yes"),--(DATA_PROPERTY_MASTER!$E$5:$E$200&lt;&gt;"Yes"))*--ISERROR(INDIRECT("'"&amp;DATA_PROPERTY_MASTER!$A$5:$A$200&amp;"'!"&amp;SUBSTITUTE(ADDRESS(1,COLUMN(X$5)+1,4),"1","")&amp;$B70)),0))</f>
        <v>0</v>
      </c>
    </row>
    <row r="71" spans="4:24">
      <c r="D71" s="348">
        <f ca="1">SUMPRODUCT(IFERROR((DATA_PROPERTY_MASTER!$A$5:$A$200&lt;&gt;"")*IF($C71="Included source errors",--(DATA_PROPERTY_MASTER!$E$5:$E$200="Yes"),--(DATA_PROPERTY_MASTER!$E$5:$E$200&lt;&gt;"Yes"))*--ISERROR(INDIRECT("'"&amp;DATA_PROPERTY_MASTER!$A$5:$A$200&amp;"'!"&amp;SUBSTITUTE(ADDRESS(1,COLUMN(D$5)+1,4),"1","")&amp;$B71)),0))</f>
        <v>0</v>
      </c>
      <c r="E71" s="348">
        <f ca="1">SUMPRODUCT(IFERROR((DATA_PROPERTY_MASTER!$A$5:$A$200&lt;&gt;"")*IF($C71="Included source errors",--(DATA_PROPERTY_MASTER!$E$5:$E$200="Yes"),--(DATA_PROPERTY_MASTER!$E$5:$E$200&lt;&gt;"Yes"))*--ISERROR(INDIRECT("'"&amp;DATA_PROPERTY_MASTER!$A$5:$A$200&amp;"'!"&amp;SUBSTITUTE(ADDRESS(1,COLUMN(E$5)+1,4),"1","")&amp;$B71)),0))</f>
        <v>0</v>
      </c>
      <c r="F71" s="348">
        <f ca="1">SUMPRODUCT(IFERROR((DATA_PROPERTY_MASTER!$A$5:$A$200&lt;&gt;"")*IF($C71="Included source errors",--(DATA_PROPERTY_MASTER!$E$5:$E$200="Yes"),--(DATA_PROPERTY_MASTER!$E$5:$E$200&lt;&gt;"Yes"))*--ISERROR(INDIRECT("'"&amp;DATA_PROPERTY_MASTER!$A$5:$A$200&amp;"'!"&amp;SUBSTITUTE(ADDRESS(1,COLUMN(F$5)+1,4),"1","")&amp;$B71)),0))</f>
        <v>0</v>
      </c>
      <c r="G71" s="348">
        <f ca="1">SUMPRODUCT(IFERROR((DATA_PROPERTY_MASTER!$A$5:$A$200&lt;&gt;"")*IF($C71="Included source errors",--(DATA_PROPERTY_MASTER!$E$5:$E$200="Yes"),--(DATA_PROPERTY_MASTER!$E$5:$E$200&lt;&gt;"Yes"))*--ISERROR(INDIRECT("'"&amp;DATA_PROPERTY_MASTER!$A$5:$A$200&amp;"'!"&amp;SUBSTITUTE(ADDRESS(1,COLUMN(G$5)+1,4),"1","")&amp;$B71)),0))</f>
        <v>0</v>
      </c>
      <c r="H71" s="348">
        <f ca="1">SUMPRODUCT(IFERROR((DATA_PROPERTY_MASTER!$A$5:$A$200&lt;&gt;"")*IF($C71="Included source errors",--(DATA_PROPERTY_MASTER!$E$5:$E$200="Yes"),--(DATA_PROPERTY_MASTER!$E$5:$E$200&lt;&gt;"Yes"))*--ISERROR(INDIRECT("'"&amp;DATA_PROPERTY_MASTER!$A$5:$A$200&amp;"'!"&amp;SUBSTITUTE(ADDRESS(1,COLUMN(H$5)+1,4),"1","")&amp;$B71)),0))</f>
        <v>0</v>
      </c>
      <c r="I71" s="348">
        <f ca="1">SUMPRODUCT(IFERROR((DATA_PROPERTY_MASTER!$A$5:$A$200&lt;&gt;"")*IF($C71="Included source errors",--(DATA_PROPERTY_MASTER!$E$5:$E$200="Yes"),--(DATA_PROPERTY_MASTER!$E$5:$E$200&lt;&gt;"Yes"))*--ISERROR(INDIRECT("'"&amp;DATA_PROPERTY_MASTER!$A$5:$A$200&amp;"'!"&amp;SUBSTITUTE(ADDRESS(1,COLUMN(I$5)+1,4),"1","")&amp;$B71)),0))</f>
        <v>0</v>
      </c>
      <c r="J71" s="348">
        <f ca="1">SUMPRODUCT(IFERROR((DATA_PROPERTY_MASTER!$A$5:$A$200&lt;&gt;"")*IF($C71="Included source errors",--(DATA_PROPERTY_MASTER!$E$5:$E$200="Yes"),--(DATA_PROPERTY_MASTER!$E$5:$E$200&lt;&gt;"Yes"))*--ISERROR(INDIRECT("'"&amp;DATA_PROPERTY_MASTER!$A$5:$A$200&amp;"'!"&amp;SUBSTITUTE(ADDRESS(1,COLUMN(J$5)+1,4),"1","")&amp;$B71)),0))</f>
        <v>0</v>
      </c>
      <c r="K71" s="348">
        <f ca="1">SUMPRODUCT(IFERROR((DATA_PROPERTY_MASTER!$A$5:$A$200&lt;&gt;"")*IF($C71="Included source errors",--(DATA_PROPERTY_MASTER!$E$5:$E$200="Yes"),--(DATA_PROPERTY_MASTER!$E$5:$E$200&lt;&gt;"Yes"))*--ISERROR(INDIRECT("'"&amp;DATA_PROPERTY_MASTER!$A$5:$A$200&amp;"'!"&amp;SUBSTITUTE(ADDRESS(1,COLUMN(K$5)+1,4),"1","")&amp;$B71)),0))</f>
        <v>0</v>
      </c>
      <c r="L71" s="348">
        <f ca="1">SUMPRODUCT(IFERROR((DATA_PROPERTY_MASTER!$A$5:$A$200&lt;&gt;"")*IF($C71="Included source errors",--(DATA_PROPERTY_MASTER!$E$5:$E$200="Yes"),--(DATA_PROPERTY_MASTER!$E$5:$E$200&lt;&gt;"Yes"))*--ISERROR(INDIRECT("'"&amp;DATA_PROPERTY_MASTER!$A$5:$A$200&amp;"'!"&amp;SUBSTITUTE(ADDRESS(1,COLUMN(L$5)+1,4),"1","")&amp;$B71)),0))</f>
        <v>0</v>
      </c>
      <c r="M71" s="348">
        <f ca="1">SUMPRODUCT(IFERROR((DATA_PROPERTY_MASTER!$A$5:$A$200&lt;&gt;"")*IF($C71="Included source errors",--(DATA_PROPERTY_MASTER!$E$5:$E$200="Yes"),--(DATA_PROPERTY_MASTER!$E$5:$E$200&lt;&gt;"Yes"))*--ISERROR(INDIRECT("'"&amp;DATA_PROPERTY_MASTER!$A$5:$A$200&amp;"'!"&amp;SUBSTITUTE(ADDRESS(1,COLUMN(M$5)+1,4),"1","")&amp;$B71)),0))</f>
        <v>0</v>
      </c>
      <c r="N71" s="348">
        <f ca="1">SUMPRODUCT(IFERROR((DATA_PROPERTY_MASTER!$A$5:$A$200&lt;&gt;"")*IF($C71="Included source errors",--(DATA_PROPERTY_MASTER!$E$5:$E$200="Yes"),--(DATA_PROPERTY_MASTER!$E$5:$E$200&lt;&gt;"Yes"))*--ISERROR(INDIRECT("'"&amp;DATA_PROPERTY_MASTER!$A$5:$A$200&amp;"'!"&amp;SUBSTITUTE(ADDRESS(1,COLUMN(N$5)+1,4),"1","")&amp;$B71)),0))</f>
        <v>0</v>
      </c>
      <c r="O71" s="348">
        <f ca="1">SUMPRODUCT(IFERROR((DATA_PROPERTY_MASTER!$A$5:$A$200&lt;&gt;"")*IF($C71="Included source errors",--(DATA_PROPERTY_MASTER!$E$5:$E$200="Yes"),--(DATA_PROPERTY_MASTER!$E$5:$E$200&lt;&gt;"Yes"))*--ISERROR(INDIRECT("'"&amp;DATA_PROPERTY_MASTER!$A$5:$A$200&amp;"'!"&amp;SUBSTITUTE(ADDRESS(1,COLUMN(O$5)+1,4),"1","")&amp;$B71)),0))</f>
        <v>0</v>
      </c>
      <c r="P71" s="348">
        <f ca="1">SUMPRODUCT(IFERROR((DATA_PROPERTY_MASTER!$A$5:$A$200&lt;&gt;"")*IF($C71="Included source errors",--(DATA_PROPERTY_MASTER!$E$5:$E$200="Yes"),--(DATA_PROPERTY_MASTER!$E$5:$E$200&lt;&gt;"Yes"))*--ISERROR(INDIRECT("'"&amp;DATA_PROPERTY_MASTER!$A$5:$A$200&amp;"'!"&amp;SUBSTITUTE(ADDRESS(1,COLUMN(P$5)+1,4),"1","")&amp;$B71)),0))</f>
        <v>0</v>
      </c>
      <c r="Q71" s="348">
        <f ca="1">SUMPRODUCT(IFERROR((DATA_PROPERTY_MASTER!$A$5:$A$200&lt;&gt;"")*IF($C71="Included source errors",--(DATA_PROPERTY_MASTER!$E$5:$E$200="Yes"),--(DATA_PROPERTY_MASTER!$E$5:$E$200&lt;&gt;"Yes"))*--ISERROR(INDIRECT("'"&amp;DATA_PROPERTY_MASTER!$A$5:$A$200&amp;"'!"&amp;SUBSTITUTE(ADDRESS(1,COLUMN(Q$5)+1,4),"1","")&amp;$B71)),0))</f>
        <v>0</v>
      </c>
      <c r="R71" s="348">
        <f ca="1">SUMPRODUCT(IFERROR((DATA_PROPERTY_MASTER!$A$5:$A$200&lt;&gt;"")*IF($C71="Included source errors",--(DATA_PROPERTY_MASTER!$E$5:$E$200="Yes"),--(DATA_PROPERTY_MASTER!$E$5:$E$200&lt;&gt;"Yes"))*--ISERROR(INDIRECT("'"&amp;DATA_PROPERTY_MASTER!$A$5:$A$200&amp;"'!"&amp;SUBSTITUTE(ADDRESS(1,COLUMN(R$5)+1,4),"1","")&amp;$B71)),0))</f>
        <v>0</v>
      </c>
      <c r="S71" s="348">
        <f ca="1">SUMPRODUCT(IFERROR((DATA_PROPERTY_MASTER!$A$5:$A$200&lt;&gt;"")*IF($C71="Included source errors",--(DATA_PROPERTY_MASTER!$E$5:$E$200="Yes"),--(DATA_PROPERTY_MASTER!$E$5:$E$200&lt;&gt;"Yes"))*--ISERROR(INDIRECT("'"&amp;DATA_PROPERTY_MASTER!$A$5:$A$200&amp;"'!"&amp;SUBSTITUTE(ADDRESS(1,COLUMN(S$5)+1,4),"1","")&amp;$B71)),0))</f>
        <v>0</v>
      </c>
      <c r="T71" s="348">
        <f ca="1">SUMPRODUCT(IFERROR((DATA_PROPERTY_MASTER!$A$5:$A$200&lt;&gt;"")*IF($C71="Included source errors",--(DATA_PROPERTY_MASTER!$E$5:$E$200="Yes"),--(DATA_PROPERTY_MASTER!$E$5:$E$200&lt;&gt;"Yes"))*--ISERROR(INDIRECT("'"&amp;DATA_PROPERTY_MASTER!$A$5:$A$200&amp;"'!"&amp;SUBSTITUTE(ADDRESS(1,COLUMN(T$5)+1,4),"1","")&amp;$B71)),0))</f>
        <v>0</v>
      </c>
      <c r="U71" s="348">
        <f ca="1">SUMPRODUCT(IFERROR((DATA_PROPERTY_MASTER!$A$5:$A$200&lt;&gt;"")*IF($C71="Included source errors",--(DATA_PROPERTY_MASTER!$E$5:$E$200="Yes"),--(DATA_PROPERTY_MASTER!$E$5:$E$200&lt;&gt;"Yes"))*--ISERROR(INDIRECT("'"&amp;DATA_PROPERTY_MASTER!$A$5:$A$200&amp;"'!"&amp;SUBSTITUTE(ADDRESS(1,COLUMN(U$5)+1,4),"1","")&amp;$B71)),0))</f>
        <v>0</v>
      </c>
      <c r="V71" s="348">
        <f ca="1">SUMPRODUCT(IFERROR((DATA_PROPERTY_MASTER!$A$5:$A$200&lt;&gt;"")*IF($C71="Included source errors",--(DATA_PROPERTY_MASTER!$E$5:$E$200="Yes"),--(DATA_PROPERTY_MASTER!$E$5:$E$200&lt;&gt;"Yes"))*--ISERROR(INDIRECT("'"&amp;DATA_PROPERTY_MASTER!$A$5:$A$200&amp;"'!"&amp;SUBSTITUTE(ADDRESS(1,COLUMN(V$5)+1,4),"1","")&amp;$B71)),0))</f>
        <v>0</v>
      </c>
      <c r="W71" s="348">
        <f ca="1">SUMPRODUCT(IFERROR((DATA_PROPERTY_MASTER!$A$5:$A$200&lt;&gt;"")*IF($C71="Included source errors",--(DATA_PROPERTY_MASTER!$E$5:$E$200="Yes"),--(DATA_PROPERTY_MASTER!$E$5:$E$200&lt;&gt;"Yes"))*--ISERROR(INDIRECT("'"&amp;DATA_PROPERTY_MASTER!$A$5:$A$200&amp;"'!"&amp;SUBSTITUTE(ADDRESS(1,COLUMN(W$5)+1,4),"1","")&amp;$B71)),0))</f>
        <v>0</v>
      </c>
      <c r="X71" s="348">
        <f ca="1">SUMPRODUCT(IFERROR((DATA_PROPERTY_MASTER!$A$5:$A$200&lt;&gt;"")*IF($C71="Included source errors",--(DATA_PROPERTY_MASTER!$E$5:$E$200="Yes"),--(DATA_PROPERTY_MASTER!$E$5:$E$200&lt;&gt;"Yes"))*--ISERROR(INDIRECT("'"&amp;DATA_PROPERTY_MASTER!$A$5:$A$200&amp;"'!"&amp;SUBSTITUTE(ADDRESS(1,COLUMN(X$5)+1,4),"1","")&amp;$B71)),0))</f>
        <v>0</v>
      </c>
    </row>
    <row r="72" spans="4:24">
      <c r="D72" s="348">
        <f ca="1">SUMPRODUCT(IFERROR((DATA_PROPERTY_MASTER!$A$5:$A$200&lt;&gt;"")*IF($C72="Included source errors",--(DATA_PROPERTY_MASTER!$E$5:$E$200="Yes"),--(DATA_PROPERTY_MASTER!$E$5:$E$200&lt;&gt;"Yes"))*--ISERROR(INDIRECT("'"&amp;DATA_PROPERTY_MASTER!$A$5:$A$200&amp;"'!"&amp;SUBSTITUTE(ADDRESS(1,COLUMN(D$5)+1,4),"1","")&amp;$B72)),0))</f>
        <v>0</v>
      </c>
      <c r="E72" s="348">
        <f ca="1">SUMPRODUCT(IFERROR((DATA_PROPERTY_MASTER!$A$5:$A$200&lt;&gt;"")*IF($C72="Included source errors",--(DATA_PROPERTY_MASTER!$E$5:$E$200="Yes"),--(DATA_PROPERTY_MASTER!$E$5:$E$200&lt;&gt;"Yes"))*--ISERROR(INDIRECT("'"&amp;DATA_PROPERTY_MASTER!$A$5:$A$200&amp;"'!"&amp;SUBSTITUTE(ADDRESS(1,COLUMN(E$5)+1,4),"1","")&amp;$B72)),0))</f>
        <v>0</v>
      </c>
      <c r="F72" s="348">
        <f ca="1">SUMPRODUCT(IFERROR((DATA_PROPERTY_MASTER!$A$5:$A$200&lt;&gt;"")*IF($C72="Included source errors",--(DATA_PROPERTY_MASTER!$E$5:$E$200="Yes"),--(DATA_PROPERTY_MASTER!$E$5:$E$200&lt;&gt;"Yes"))*--ISERROR(INDIRECT("'"&amp;DATA_PROPERTY_MASTER!$A$5:$A$200&amp;"'!"&amp;SUBSTITUTE(ADDRESS(1,COLUMN(F$5)+1,4),"1","")&amp;$B72)),0))</f>
        <v>0</v>
      </c>
      <c r="G72" s="348">
        <f ca="1">SUMPRODUCT(IFERROR((DATA_PROPERTY_MASTER!$A$5:$A$200&lt;&gt;"")*IF($C72="Included source errors",--(DATA_PROPERTY_MASTER!$E$5:$E$200="Yes"),--(DATA_PROPERTY_MASTER!$E$5:$E$200&lt;&gt;"Yes"))*--ISERROR(INDIRECT("'"&amp;DATA_PROPERTY_MASTER!$A$5:$A$200&amp;"'!"&amp;SUBSTITUTE(ADDRESS(1,COLUMN(G$5)+1,4),"1","")&amp;$B72)),0))</f>
        <v>0</v>
      </c>
      <c r="H72" s="348">
        <f ca="1">SUMPRODUCT(IFERROR((DATA_PROPERTY_MASTER!$A$5:$A$200&lt;&gt;"")*IF($C72="Included source errors",--(DATA_PROPERTY_MASTER!$E$5:$E$200="Yes"),--(DATA_PROPERTY_MASTER!$E$5:$E$200&lt;&gt;"Yes"))*--ISERROR(INDIRECT("'"&amp;DATA_PROPERTY_MASTER!$A$5:$A$200&amp;"'!"&amp;SUBSTITUTE(ADDRESS(1,COLUMN(H$5)+1,4),"1","")&amp;$B72)),0))</f>
        <v>0</v>
      </c>
      <c r="I72" s="348">
        <f ca="1">SUMPRODUCT(IFERROR((DATA_PROPERTY_MASTER!$A$5:$A$200&lt;&gt;"")*IF($C72="Included source errors",--(DATA_PROPERTY_MASTER!$E$5:$E$200="Yes"),--(DATA_PROPERTY_MASTER!$E$5:$E$200&lt;&gt;"Yes"))*--ISERROR(INDIRECT("'"&amp;DATA_PROPERTY_MASTER!$A$5:$A$200&amp;"'!"&amp;SUBSTITUTE(ADDRESS(1,COLUMN(I$5)+1,4),"1","")&amp;$B72)),0))</f>
        <v>0</v>
      </c>
      <c r="J72" s="348">
        <f ca="1">SUMPRODUCT(IFERROR((DATA_PROPERTY_MASTER!$A$5:$A$200&lt;&gt;"")*IF($C72="Included source errors",--(DATA_PROPERTY_MASTER!$E$5:$E$200="Yes"),--(DATA_PROPERTY_MASTER!$E$5:$E$200&lt;&gt;"Yes"))*--ISERROR(INDIRECT("'"&amp;DATA_PROPERTY_MASTER!$A$5:$A$200&amp;"'!"&amp;SUBSTITUTE(ADDRESS(1,COLUMN(J$5)+1,4),"1","")&amp;$B72)),0))</f>
        <v>0</v>
      </c>
      <c r="K72" s="348">
        <f ca="1">SUMPRODUCT(IFERROR((DATA_PROPERTY_MASTER!$A$5:$A$200&lt;&gt;"")*IF($C72="Included source errors",--(DATA_PROPERTY_MASTER!$E$5:$E$200="Yes"),--(DATA_PROPERTY_MASTER!$E$5:$E$200&lt;&gt;"Yes"))*--ISERROR(INDIRECT("'"&amp;DATA_PROPERTY_MASTER!$A$5:$A$200&amp;"'!"&amp;SUBSTITUTE(ADDRESS(1,COLUMN(K$5)+1,4),"1","")&amp;$B72)),0))</f>
        <v>0</v>
      </c>
      <c r="L72" s="348">
        <f ca="1">SUMPRODUCT(IFERROR((DATA_PROPERTY_MASTER!$A$5:$A$200&lt;&gt;"")*IF($C72="Included source errors",--(DATA_PROPERTY_MASTER!$E$5:$E$200="Yes"),--(DATA_PROPERTY_MASTER!$E$5:$E$200&lt;&gt;"Yes"))*--ISERROR(INDIRECT("'"&amp;DATA_PROPERTY_MASTER!$A$5:$A$200&amp;"'!"&amp;SUBSTITUTE(ADDRESS(1,COLUMN(L$5)+1,4),"1","")&amp;$B72)),0))</f>
        <v>0</v>
      </c>
      <c r="M72" s="348">
        <f ca="1">SUMPRODUCT(IFERROR((DATA_PROPERTY_MASTER!$A$5:$A$200&lt;&gt;"")*IF($C72="Included source errors",--(DATA_PROPERTY_MASTER!$E$5:$E$200="Yes"),--(DATA_PROPERTY_MASTER!$E$5:$E$200&lt;&gt;"Yes"))*--ISERROR(INDIRECT("'"&amp;DATA_PROPERTY_MASTER!$A$5:$A$200&amp;"'!"&amp;SUBSTITUTE(ADDRESS(1,COLUMN(M$5)+1,4),"1","")&amp;$B72)),0))</f>
        <v>0</v>
      </c>
      <c r="N72" s="348">
        <f ca="1">SUMPRODUCT(IFERROR((DATA_PROPERTY_MASTER!$A$5:$A$200&lt;&gt;"")*IF($C72="Included source errors",--(DATA_PROPERTY_MASTER!$E$5:$E$200="Yes"),--(DATA_PROPERTY_MASTER!$E$5:$E$200&lt;&gt;"Yes"))*--ISERROR(INDIRECT("'"&amp;DATA_PROPERTY_MASTER!$A$5:$A$200&amp;"'!"&amp;SUBSTITUTE(ADDRESS(1,COLUMN(N$5)+1,4),"1","")&amp;$B72)),0))</f>
        <v>0</v>
      </c>
      <c r="O72" s="348">
        <f ca="1">SUMPRODUCT(IFERROR((DATA_PROPERTY_MASTER!$A$5:$A$200&lt;&gt;"")*IF($C72="Included source errors",--(DATA_PROPERTY_MASTER!$E$5:$E$200="Yes"),--(DATA_PROPERTY_MASTER!$E$5:$E$200&lt;&gt;"Yes"))*--ISERROR(INDIRECT("'"&amp;DATA_PROPERTY_MASTER!$A$5:$A$200&amp;"'!"&amp;SUBSTITUTE(ADDRESS(1,COLUMN(O$5)+1,4),"1","")&amp;$B72)),0))</f>
        <v>0</v>
      </c>
      <c r="P72" s="348">
        <f ca="1">SUMPRODUCT(IFERROR((DATA_PROPERTY_MASTER!$A$5:$A$200&lt;&gt;"")*IF($C72="Included source errors",--(DATA_PROPERTY_MASTER!$E$5:$E$200="Yes"),--(DATA_PROPERTY_MASTER!$E$5:$E$200&lt;&gt;"Yes"))*--ISERROR(INDIRECT("'"&amp;DATA_PROPERTY_MASTER!$A$5:$A$200&amp;"'!"&amp;SUBSTITUTE(ADDRESS(1,COLUMN(P$5)+1,4),"1","")&amp;$B72)),0))</f>
        <v>0</v>
      </c>
      <c r="Q72" s="348">
        <f ca="1">SUMPRODUCT(IFERROR((DATA_PROPERTY_MASTER!$A$5:$A$200&lt;&gt;"")*IF($C72="Included source errors",--(DATA_PROPERTY_MASTER!$E$5:$E$200="Yes"),--(DATA_PROPERTY_MASTER!$E$5:$E$200&lt;&gt;"Yes"))*--ISERROR(INDIRECT("'"&amp;DATA_PROPERTY_MASTER!$A$5:$A$200&amp;"'!"&amp;SUBSTITUTE(ADDRESS(1,COLUMN(Q$5)+1,4),"1","")&amp;$B72)),0))</f>
        <v>0</v>
      </c>
      <c r="R72" s="348">
        <f ca="1">SUMPRODUCT(IFERROR((DATA_PROPERTY_MASTER!$A$5:$A$200&lt;&gt;"")*IF($C72="Included source errors",--(DATA_PROPERTY_MASTER!$E$5:$E$200="Yes"),--(DATA_PROPERTY_MASTER!$E$5:$E$200&lt;&gt;"Yes"))*--ISERROR(INDIRECT("'"&amp;DATA_PROPERTY_MASTER!$A$5:$A$200&amp;"'!"&amp;SUBSTITUTE(ADDRESS(1,COLUMN(R$5)+1,4),"1","")&amp;$B72)),0))</f>
        <v>0</v>
      </c>
      <c r="S72" s="348">
        <f ca="1">SUMPRODUCT(IFERROR((DATA_PROPERTY_MASTER!$A$5:$A$200&lt;&gt;"")*IF($C72="Included source errors",--(DATA_PROPERTY_MASTER!$E$5:$E$200="Yes"),--(DATA_PROPERTY_MASTER!$E$5:$E$200&lt;&gt;"Yes"))*--ISERROR(INDIRECT("'"&amp;DATA_PROPERTY_MASTER!$A$5:$A$200&amp;"'!"&amp;SUBSTITUTE(ADDRESS(1,COLUMN(S$5)+1,4),"1","")&amp;$B72)),0))</f>
        <v>0</v>
      </c>
      <c r="T72" s="348">
        <f ca="1">SUMPRODUCT(IFERROR((DATA_PROPERTY_MASTER!$A$5:$A$200&lt;&gt;"")*IF($C72="Included source errors",--(DATA_PROPERTY_MASTER!$E$5:$E$200="Yes"),--(DATA_PROPERTY_MASTER!$E$5:$E$200&lt;&gt;"Yes"))*--ISERROR(INDIRECT("'"&amp;DATA_PROPERTY_MASTER!$A$5:$A$200&amp;"'!"&amp;SUBSTITUTE(ADDRESS(1,COLUMN(T$5)+1,4),"1","")&amp;$B72)),0))</f>
        <v>0</v>
      </c>
      <c r="U72" s="348">
        <f ca="1">SUMPRODUCT(IFERROR((DATA_PROPERTY_MASTER!$A$5:$A$200&lt;&gt;"")*IF($C72="Included source errors",--(DATA_PROPERTY_MASTER!$E$5:$E$200="Yes"),--(DATA_PROPERTY_MASTER!$E$5:$E$200&lt;&gt;"Yes"))*--ISERROR(INDIRECT("'"&amp;DATA_PROPERTY_MASTER!$A$5:$A$200&amp;"'!"&amp;SUBSTITUTE(ADDRESS(1,COLUMN(U$5)+1,4),"1","")&amp;$B72)),0))</f>
        <v>0</v>
      </c>
      <c r="V72" s="348">
        <f ca="1">SUMPRODUCT(IFERROR((DATA_PROPERTY_MASTER!$A$5:$A$200&lt;&gt;"")*IF($C72="Included source errors",--(DATA_PROPERTY_MASTER!$E$5:$E$200="Yes"),--(DATA_PROPERTY_MASTER!$E$5:$E$200&lt;&gt;"Yes"))*--ISERROR(INDIRECT("'"&amp;DATA_PROPERTY_MASTER!$A$5:$A$200&amp;"'!"&amp;SUBSTITUTE(ADDRESS(1,COLUMN(V$5)+1,4),"1","")&amp;$B72)),0))</f>
        <v>0</v>
      </c>
      <c r="W72" s="348">
        <f ca="1">SUMPRODUCT(IFERROR((DATA_PROPERTY_MASTER!$A$5:$A$200&lt;&gt;"")*IF($C72="Included source errors",--(DATA_PROPERTY_MASTER!$E$5:$E$200="Yes"),--(DATA_PROPERTY_MASTER!$E$5:$E$200&lt;&gt;"Yes"))*--ISERROR(INDIRECT("'"&amp;DATA_PROPERTY_MASTER!$A$5:$A$200&amp;"'!"&amp;SUBSTITUTE(ADDRESS(1,COLUMN(W$5)+1,4),"1","")&amp;$B72)),0))</f>
        <v>0</v>
      </c>
      <c r="X72" s="348">
        <f ca="1">SUMPRODUCT(IFERROR((DATA_PROPERTY_MASTER!$A$5:$A$200&lt;&gt;"")*IF($C72="Included source errors",--(DATA_PROPERTY_MASTER!$E$5:$E$200="Yes"),--(DATA_PROPERTY_MASTER!$E$5:$E$200&lt;&gt;"Yes"))*--ISERROR(INDIRECT("'"&amp;DATA_PROPERTY_MASTER!$A$5:$A$200&amp;"'!"&amp;SUBSTITUTE(ADDRESS(1,COLUMN(X$5)+1,4),"1","")&amp;$B72)),0))</f>
        <v>0</v>
      </c>
    </row>
    <row r="73" spans="4:24">
      <c r="D73" s="348">
        <f ca="1">SUMPRODUCT(IFERROR((DATA_PROPERTY_MASTER!$A$5:$A$200&lt;&gt;"")*IF($C73="Included source errors",--(DATA_PROPERTY_MASTER!$E$5:$E$200="Yes"),--(DATA_PROPERTY_MASTER!$E$5:$E$200&lt;&gt;"Yes"))*--ISERROR(INDIRECT("'"&amp;DATA_PROPERTY_MASTER!$A$5:$A$200&amp;"'!"&amp;SUBSTITUTE(ADDRESS(1,COLUMN(D$5)+1,4),"1","")&amp;$B73)),0))</f>
        <v>0</v>
      </c>
      <c r="E73" s="348">
        <f ca="1">SUMPRODUCT(IFERROR((DATA_PROPERTY_MASTER!$A$5:$A$200&lt;&gt;"")*IF($C73="Included source errors",--(DATA_PROPERTY_MASTER!$E$5:$E$200="Yes"),--(DATA_PROPERTY_MASTER!$E$5:$E$200&lt;&gt;"Yes"))*--ISERROR(INDIRECT("'"&amp;DATA_PROPERTY_MASTER!$A$5:$A$200&amp;"'!"&amp;SUBSTITUTE(ADDRESS(1,COLUMN(E$5)+1,4),"1","")&amp;$B73)),0))</f>
        <v>0</v>
      </c>
      <c r="F73" s="348">
        <f ca="1">SUMPRODUCT(IFERROR((DATA_PROPERTY_MASTER!$A$5:$A$200&lt;&gt;"")*IF($C73="Included source errors",--(DATA_PROPERTY_MASTER!$E$5:$E$200="Yes"),--(DATA_PROPERTY_MASTER!$E$5:$E$200&lt;&gt;"Yes"))*--ISERROR(INDIRECT("'"&amp;DATA_PROPERTY_MASTER!$A$5:$A$200&amp;"'!"&amp;SUBSTITUTE(ADDRESS(1,COLUMN(F$5)+1,4),"1","")&amp;$B73)),0))</f>
        <v>0</v>
      </c>
      <c r="G73" s="348">
        <f ca="1">SUMPRODUCT(IFERROR((DATA_PROPERTY_MASTER!$A$5:$A$200&lt;&gt;"")*IF($C73="Included source errors",--(DATA_PROPERTY_MASTER!$E$5:$E$200="Yes"),--(DATA_PROPERTY_MASTER!$E$5:$E$200&lt;&gt;"Yes"))*--ISERROR(INDIRECT("'"&amp;DATA_PROPERTY_MASTER!$A$5:$A$200&amp;"'!"&amp;SUBSTITUTE(ADDRESS(1,COLUMN(G$5)+1,4),"1","")&amp;$B73)),0))</f>
        <v>0</v>
      </c>
      <c r="H73" s="348">
        <f ca="1">SUMPRODUCT(IFERROR((DATA_PROPERTY_MASTER!$A$5:$A$200&lt;&gt;"")*IF($C73="Included source errors",--(DATA_PROPERTY_MASTER!$E$5:$E$200="Yes"),--(DATA_PROPERTY_MASTER!$E$5:$E$200&lt;&gt;"Yes"))*--ISERROR(INDIRECT("'"&amp;DATA_PROPERTY_MASTER!$A$5:$A$200&amp;"'!"&amp;SUBSTITUTE(ADDRESS(1,COLUMN(H$5)+1,4),"1","")&amp;$B73)),0))</f>
        <v>0</v>
      </c>
      <c r="I73" s="348">
        <f ca="1">SUMPRODUCT(IFERROR((DATA_PROPERTY_MASTER!$A$5:$A$200&lt;&gt;"")*IF($C73="Included source errors",--(DATA_PROPERTY_MASTER!$E$5:$E$200="Yes"),--(DATA_PROPERTY_MASTER!$E$5:$E$200&lt;&gt;"Yes"))*--ISERROR(INDIRECT("'"&amp;DATA_PROPERTY_MASTER!$A$5:$A$200&amp;"'!"&amp;SUBSTITUTE(ADDRESS(1,COLUMN(I$5)+1,4),"1","")&amp;$B73)),0))</f>
        <v>0</v>
      </c>
      <c r="J73" s="348">
        <f ca="1">SUMPRODUCT(IFERROR((DATA_PROPERTY_MASTER!$A$5:$A$200&lt;&gt;"")*IF($C73="Included source errors",--(DATA_PROPERTY_MASTER!$E$5:$E$200="Yes"),--(DATA_PROPERTY_MASTER!$E$5:$E$200&lt;&gt;"Yes"))*--ISERROR(INDIRECT("'"&amp;DATA_PROPERTY_MASTER!$A$5:$A$200&amp;"'!"&amp;SUBSTITUTE(ADDRESS(1,COLUMN(J$5)+1,4),"1","")&amp;$B73)),0))</f>
        <v>0</v>
      </c>
      <c r="K73" s="348">
        <f ca="1">SUMPRODUCT(IFERROR((DATA_PROPERTY_MASTER!$A$5:$A$200&lt;&gt;"")*IF($C73="Included source errors",--(DATA_PROPERTY_MASTER!$E$5:$E$200="Yes"),--(DATA_PROPERTY_MASTER!$E$5:$E$200&lt;&gt;"Yes"))*--ISERROR(INDIRECT("'"&amp;DATA_PROPERTY_MASTER!$A$5:$A$200&amp;"'!"&amp;SUBSTITUTE(ADDRESS(1,COLUMN(K$5)+1,4),"1","")&amp;$B73)),0))</f>
        <v>0</v>
      </c>
      <c r="L73" s="348">
        <f ca="1">SUMPRODUCT(IFERROR((DATA_PROPERTY_MASTER!$A$5:$A$200&lt;&gt;"")*IF($C73="Included source errors",--(DATA_PROPERTY_MASTER!$E$5:$E$200="Yes"),--(DATA_PROPERTY_MASTER!$E$5:$E$200&lt;&gt;"Yes"))*--ISERROR(INDIRECT("'"&amp;DATA_PROPERTY_MASTER!$A$5:$A$200&amp;"'!"&amp;SUBSTITUTE(ADDRESS(1,COLUMN(L$5)+1,4),"1","")&amp;$B73)),0))</f>
        <v>0</v>
      </c>
      <c r="M73" s="348">
        <f ca="1">SUMPRODUCT(IFERROR((DATA_PROPERTY_MASTER!$A$5:$A$200&lt;&gt;"")*IF($C73="Included source errors",--(DATA_PROPERTY_MASTER!$E$5:$E$200="Yes"),--(DATA_PROPERTY_MASTER!$E$5:$E$200&lt;&gt;"Yes"))*--ISERROR(INDIRECT("'"&amp;DATA_PROPERTY_MASTER!$A$5:$A$200&amp;"'!"&amp;SUBSTITUTE(ADDRESS(1,COLUMN(M$5)+1,4),"1","")&amp;$B73)),0))</f>
        <v>0</v>
      </c>
      <c r="N73" s="348">
        <f ca="1">SUMPRODUCT(IFERROR((DATA_PROPERTY_MASTER!$A$5:$A$200&lt;&gt;"")*IF($C73="Included source errors",--(DATA_PROPERTY_MASTER!$E$5:$E$200="Yes"),--(DATA_PROPERTY_MASTER!$E$5:$E$200&lt;&gt;"Yes"))*--ISERROR(INDIRECT("'"&amp;DATA_PROPERTY_MASTER!$A$5:$A$200&amp;"'!"&amp;SUBSTITUTE(ADDRESS(1,COLUMN(N$5)+1,4),"1","")&amp;$B73)),0))</f>
        <v>0</v>
      </c>
      <c r="O73" s="348">
        <f ca="1">SUMPRODUCT(IFERROR((DATA_PROPERTY_MASTER!$A$5:$A$200&lt;&gt;"")*IF($C73="Included source errors",--(DATA_PROPERTY_MASTER!$E$5:$E$200="Yes"),--(DATA_PROPERTY_MASTER!$E$5:$E$200&lt;&gt;"Yes"))*--ISERROR(INDIRECT("'"&amp;DATA_PROPERTY_MASTER!$A$5:$A$200&amp;"'!"&amp;SUBSTITUTE(ADDRESS(1,COLUMN(O$5)+1,4),"1","")&amp;$B73)),0))</f>
        <v>0</v>
      </c>
      <c r="P73" s="348">
        <f ca="1">SUMPRODUCT(IFERROR((DATA_PROPERTY_MASTER!$A$5:$A$200&lt;&gt;"")*IF($C73="Included source errors",--(DATA_PROPERTY_MASTER!$E$5:$E$200="Yes"),--(DATA_PROPERTY_MASTER!$E$5:$E$200&lt;&gt;"Yes"))*--ISERROR(INDIRECT("'"&amp;DATA_PROPERTY_MASTER!$A$5:$A$200&amp;"'!"&amp;SUBSTITUTE(ADDRESS(1,COLUMN(P$5)+1,4),"1","")&amp;$B73)),0))</f>
        <v>0</v>
      </c>
      <c r="Q73" s="348">
        <f ca="1">SUMPRODUCT(IFERROR((DATA_PROPERTY_MASTER!$A$5:$A$200&lt;&gt;"")*IF($C73="Included source errors",--(DATA_PROPERTY_MASTER!$E$5:$E$200="Yes"),--(DATA_PROPERTY_MASTER!$E$5:$E$200&lt;&gt;"Yes"))*--ISERROR(INDIRECT("'"&amp;DATA_PROPERTY_MASTER!$A$5:$A$200&amp;"'!"&amp;SUBSTITUTE(ADDRESS(1,COLUMN(Q$5)+1,4),"1","")&amp;$B73)),0))</f>
        <v>0</v>
      </c>
      <c r="R73" s="348">
        <f ca="1">SUMPRODUCT(IFERROR((DATA_PROPERTY_MASTER!$A$5:$A$200&lt;&gt;"")*IF($C73="Included source errors",--(DATA_PROPERTY_MASTER!$E$5:$E$200="Yes"),--(DATA_PROPERTY_MASTER!$E$5:$E$200&lt;&gt;"Yes"))*--ISERROR(INDIRECT("'"&amp;DATA_PROPERTY_MASTER!$A$5:$A$200&amp;"'!"&amp;SUBSTITUTE(ADDRESS(1,COLUMN(R$5)+1,4),"1","")&amp;$B73)),0))</f>
        <v>0</v>
      </c>
      <c r="S73" s="348">
        <f ca="1">SUMPRODUCT(IFERROR((DATA_PROPERTY_MASTER!$A$5:$A$200&lt;&gt;"")*IF($C73="Included source errors",--(DATA_PROPERTY_MASTER!$E$5:$E$200="Yes"),--(DATA_PROPERTY_MASTER!$E$5:$E$200&lt;&gt;"Yes"))*--ISERROR(INDIRECT("'"&amp;DATA_PROPERTY_MASTER!$A$5:$A$200&amp;"'!"&amp;SUBSTITUTE(ADDRESS(1,COLUMN(S$5)+1,4),"1","")&amp;$B73)),0))</f>
        <v>0</v>
      </c>
      <c r="T73" s="348">
        <f ca="1">SUMPRODUCT(IFERROR((DATA_PROPERTY_MASTER!$A$5:$A$200&lt;&gt;"")*IF($C73="Included source errors",--(DATA_PROPERTY_MASTER!$E$5:$E$200="Yes"),--(DATA_PROPERTY_MASTER!$E$5:$E$200&lt;&gt;"Yes"))*--ISERROR(INDIRECT("'"&amp;DATA_PROPERTY_MASTER!$A$5:$A$200&amp;"'!"&amp;SUBSTITUTE(ADDRESS(1,COLUMN(T$5)+1,4),"1","")&amp;$B73)),0))</f>
        <v>0</v>
      </c>
      <c r="U73" s="348">
        <f ca="1">SUMPRODUCT(IFERROR((DATA_PROPERTY_MASTER!$A$5:$A$200&lt;&gt;"")*IF($C73="Included source errors",--(DATA_PROPERTY_MASTER!$E$5:$E$200="Yes"),--(DATA_PROPERTY_MASTER!$E$5:$E$200&lt;&gt;"Yes"))*--ISERROR(INDIRECT("'"&amp;DATA_PROPERTY_MASTER!$A$5:$A$200&amp;"'!"&amp;SUBSTITUTE(ADDRESS(1,COLUMN(U$5)+1,4),"1","")&amp;$B73)),0))</f>
        <v>0</v>
      </c>
      <c r="V73" s="348">
        <f ca="1">SUMPRODUCT(IFERROR((DATA_PROPERTY_MASTER!$A$5:$A$200&lt;&gt;"")*IF($C73="Included source errors",--(DATA_PROPERTY_MASTER!$E$5:$E$200="Yes"),--(DATA_PROPERTY_MASTER!$E$5:$E$200&lt;&gt;"Yes"))*--ISERROR(INDIRECT("'"&amp;DATA_PROPERTY_MASTER!$A$5:$A$200&amp;"'!"&amp;SUBSTITUTE(ADDRESS(1,COLUMN(V$5)+1,4),"1","")&amp;$B73)),0))</f>
        <v>0</v>
      </c>
      <c r="W73" s="348">
        <f ca="1">SUMPRODUCT(IFERROR((DATA_PROPERTY_MASTER!$A$5:$A$200&lt;&gt;"")*IF($C73="Included source errors",--(DATA_PROPERTY_MASTER!$E$5:$E$200="Yes"),--(DATA_PROPERTY_MASTER!$E$5:$E$200&lt;&gt;"Yes"))*--ISERROR(INDIRECT("'"&amp;DATA_PROPERTY_MASTER!$A$5:$A$200&amp;"'!"&amp;SUBSTITUTE(ADDRESS(1,COLUMN(W$5)+1,4),"1","")&amp;$B73)),0))</f>
        <v>0</v>
      </c>
      <c r="X73" s="348">
        <f ca="1">SUMPRODUCT(IFERROR((DATA_PROPERTY_MASTER!$A$5:$A$200&lt;&gt;"")*IF($C73="Included source errors",--(DATA_PROPERTY_MASTER!$E$5:$E$200="Yes"),--(DATA_PROPERTY_MASTER!$E$5:$E$200&lt;&gt;"Yes"))*--ISERROR(INDIRECT("'"&amp;DATA_PROPERTY_MASTER!$A$5:$A$200&amp;"'!"&amp;SUBSTITUTE(ADDRESS(1,COLUMN(X$5)+1,4),"1","")&amp;$B73)),0))</f>
        <v>0</v>
      </c>
    </row>
    <row r="74" spans="4:24">
      <c r="D74" s="348">
        <f ca="1">SUMPRODUCT(IFERROR((DATA_PROPERTY_MASTER!$A$5:$A$200&lt;&gt;"")*IF($C74="Included source errors",--(DATA_PROPERTY_MASTER!$E$5:$E$200="Yes"),--(DATA_PROPERTY_MASTER!$E$5:$E$200&lt;&gt;"Yes"))*--ISERROR(INDIRECT("'"&amp;DATA_PROPERTY_MASTER!$A$5:$A$200&amp;"'!"&amp;SUBSTITUTE(ADDRESS(1,COLUMN(D$5)+1,4),"1","")&amp;$B74)),0))</f>
        <v>0</v>
      </c>
      <c r="E74" s="348">
        <f ca="1">SUMPRODUCT(IFERROR((DATA_PROPERTY_MASTER!$A$5:$A$200&lt;&gt;"")*IF($C74="Included source errors",--(DATA_PROPERTY_MASTER!$E$5:$E$200="Yes"),--(DATA_PROPERTY_MASTER!$E$5:$E$200&lt;&gt;"Yes"))*--ISERROR(INDIRECT("'"&amp;DATA_PROPERTY_MASTER!$A$5:$A$200&amp;"'!"&amp;SUBSTITUTE(ADDRESS(1,COLUMN(E$5)+1,4),"1","")&amp;$B74)),0))</f>
        <v>0</v>
      </c>
      <c r="F74" s="348">
        <f ca="1">SUMPRODUCT(IFERROR((DATA_PROPERTY_MASTER!$A$5:$A$200&lt;&gt;"")*IF($C74="Included source errors",--(DATA_PROPERTY_MASTER!$E$5:$E$200="Yes"),--(DATA_PROPERTY_MASTER!$E$5:$E$200&lt;&gt;"Yes"))*--ISERROR(INDIRECT("'"&amp;DATA_PROPERTY_MASTER!$A$5:$A$200&amp;"'!"&amp;SUBSTITUTE(ADDRESS(1,COLUMN(F$5)+1,4),"1","")&amp;$B74)),0))</f>
        <v>0</v>
      </c>
      <c r="G74" s="348">
        <f ca="1">SUMPRODUCT(IFERROR((DATA_PROPERTY_MASTER!$A$5:$A$200&lt;&gt;"")*IF($C74="Included source errors",--(DATA_PROPERTY_MASTER!$E$5:$E$200="Yes"),--(DATA_PROPERTY_MASTER!$E$5:$E$200&lt;&gt;"Yes"))*--ISERROR(INDIRECT("'"&amp;DATA_PROPERTY_MASTER!$A$5:$A$200&amp;"'!"&amp;SUBSTITUTE(ADDRESS(1,COLUMN(G$5)+1,4),"1","")&amp;$B74)),0))</f>
        <v>0</v>
      </c>
      <c r="H74" s="348">
        <f ca="1">SUMPRODUCT(IFERROR((DATA_PROPERTY_MASTER!$A$5:$A$200&lt;&gt;"")*IF($C74="Included source errors",--(DATA_PROPERTY_MASTER!$E$5:$E$200="Yes"),--(DATA_PROPERTY_MASTER!$E$5:$E$200&lt;&gt;"Yes"))*--ISERROR(INDIRECT("'"&amp;DATA_PROPERTY_MASTER!$A$5:$A$200&amp;"'!"&amp;SUBSTITUTE(ADDRESS(1,COLUMN(H$5)+1,4),"1","")&amp;$B74)),0))</f>
        <v>0</v>
      </c>
      <c r="I74" s="348">
        <f ca="1">SUMPRODUCT(IFERROR((DATA_PROPERTY_MASTER!$A$5:$A$200&lt;&gt;"")*IF($C74="Included source errors",--(DATA_PROPERTY_MASTER!$E$5:$E$200="Yes"),--(DATA_PROPERTY_MASTER!$E$5:$E$200&lt;&gt;"Yes"))*--ISERROR(INDIRECT("'"&amp;DATA_PROPERTY_MASTER!$A$5:$A$200&amp;"'!"&amp;SUBSTITUTE(ADDRESS(1,COLUMN(I$5)+1,4),"1","")&amp;$B74)),0))</f>
        <v>0</v>
      </c>
      <c r="J74" s="348">
        <f ca="1">SUMPRODUCT(IFERROR((DATA_PROPERTY_MASTER!$A$5:$A$200&lt;&gt;"")*IF($C74="Included source errors",--(DATA_PROPERTY_MASTER!$E$5:$E$200="Yes"),--(DATA_PROPERTY_MASTER!$E$5:$E$200&lt;&gt;"Yes"))*--ISERROR(INDIRECT("'"&amp;DATA_PROPERTY_MASTER!$A$5:$A$200&amp;"'!"&amp;SUBSTITUTE(ADDRESS(1,COLUMN(J$5)+1,4),"1","")&amp;$B74)),0))</f>
        <v>0</v>
      </c>
      <c r="K74" s="348">
        <f ca="1">SUMPRODUCT(IFERROR((DATA_PROPERTY_MASTER!$A$5:$A$200&lt;&gt;"")*IF($C74="Included source errors",--(DATA_PROPERTY_MASTER!$E$5:$E$200="Yes"),--(DATA_PROPERTY_MASTER!$E$5:$E$200&lt;&gt;"Yes"))*--ISERROR(INDIRECT("'"&amp;DATA_PROPERTY_MASTER!$A$5:$A$200&amp;"'!"&amp;SUBSTITUTE(ADDRESS(1,COLUMN(K$5)+1,4),"1","")&amp;$B74)),0))</f>
        <v>0</v>
      </c>
      <c r="L74" s="348">
        <f ca="1">SUMPRODUCT(IFERROR((DATA_PROPERTY_MASTER!$A$5:$A$200&lt;&gt;"")*IF($C74="Included source errors",--(DATA_PROPERTY_MASTER!$E$5:$E$200="Yes"),--(DATA_PROPERTY_MASTER!$E$5:$E$200&lt;&gt;"Yes"))*--ISERROR(INDIRECT("'"&amp;DATA_PROPERTY_MASTER!$A$5:$A$200&amp;"'!"&amp;SUBSTITUTE(ADDRESS(1,COLUMN(L$5)+1,4),"1","")&amp;$B74)),0))</f>
        <v>0</v>
      </c>
      <c r="M74" s="348">
        <f ca="1">SUMPRODUCT(IFERROR((DATA_PROPERTY_MASTER!$A$5:$A$200&lt;&gt;"")*IF($C74="Included source errors",--(DATA_PROPERTY_MASTER!$E$5:$E$200="Yes"),--(DATA_PROPERTY_MASTER!$E$5:$E$200&lt;&gt;"Yes"))*--ISERROR(INDIRECT("'"&amp;DATA_PROPERTY_MASTER!$A$5:$A$200&amp;"'!"&amp;SUBSTITUTE(ADDRESS(1,COLUMN(M$5)+1,4),"1","")&amp;$B74)),0))</f>
        <v>0</v>
      </c>
      <c r="N74" s="348">
        <f ca="1">SUMPRODUCT(IFERROR((DATA_PROPERTY_MASTER!$A$5:$A$200&lt;&gt;"")*IF($C74="Included source errors",--(DATA_PROPERTY_MASTER!$E$5:$E$200="Yes"),--(DATA_PROPERTY_MASTER!$E$5:$E$200&lt;&gt;"Yes"))*--ISERROR(INDIRECT("'"&amp;DATA_PROPERTY_MASTER!$A$5:$A$200&amp;"'!"&amp;SUBSTITUTE(ADDRESS(1,COLUMN(N$5)+1,4),"1","")&amp;$B74)),0))</f>
        <v>0</v>
      </c>
      <c r="O74" s="348">
        <f ca="1">SUMPRODUCT(IFERROR((DATA_PROPERTY_MASTER!$A$5:$A$200&lt;&gt;"")*IF($C74="Included source errors",--(DATA_PROPERTY_MASTER!$E$5:$E$200="Yes"),--(DATA_PROPERTY_MASTER!$E$5:$E$200&lt;&gt;"Yes"))*--ISERROR(INDIRECT("'"&amp;DATA_PROPERTY_MASTER!$A$5:$A$200&amp;"'!"&amp;SUBSTITUTE(ADDRESS(1,COLUMN(O$5)+1,4),"1","")&amp;$B74)),0))</f>
        <v>0</v>
      </c>
      <c r="P74" s="348">
        <f ca="1">SUMPRODUCT(IFERROR((DATA_PROPERTY_MASTER!$A$5:$A$200&lt;&gt;"")*IF($C74="Included source errors",--(DATA_PROPERTY_MASTER!$E$5:$E$200="Yes"),--(DATA_PROPERTY_MASTER!$E$5:$E$200&lt;&gt;"Yes"))*--ISERROR(INDIRECT("'"&amp;DATA_PROPERTY_MASTER!$A$5:$A$200&amp;"'!"&amp;SUBSTITUTE(ADDRESS(1,COLUMN(P$5)+1,4),"1","")&amp;$B74)),0))</f>
        <v>0</v>
      </c>
      <c r="Q74" s="348">
        <f ca="1">SUMPRODUCT(IFERROR((DATA_PROPERTY_MASTER!$A$5:$A$200&lt;&gt;"")*IF($C74="Included source errors",--(DATA_PROPERTY_MASTER!$E$5:$E$200="Yes"),--(DATA_PROPERTY_MASTER!$E$5:$E$200&lt;&gt;"Yes"))*--ISERROR(INDIRECT("'"&amp;DATA_PROPERTY_MASTER!$A$5:$A$200&amp;"'!"&amp;SUBSTITUTE(ADDRESS(1,COLUMN(Q$5)+1,4),"1","")&amp;$B74)),0))</f>
        <v>0</v>
      </c>
      <c r="R74" s="348">
        <f ca="1">SUMPRODUCT(IFERROR((DATA_PROPERTY_MASTER!$A$5:$A$200&lt;&gt;"")*IF($C74="Included source errors",--(DATA_PROPERTY_MASTER!$E$5:$E$200="Yes"),--(DATA_PROPERTY_MASTER!$E$5:$E$200&lt;&gt;"Yes"))*--ISERROR(INDIRECT("'"&amp;DATA_PROPERTY_MASTER!$A$5:$A$200&amp;"'!"&amp;SUBSTITUTE(ADDRESS(1,COLUMN(R$5)+1,4),"1","")&amp;$B74)),0))</f>
        <v>0</v>
      </c>
      <c r="S74" s="348">
        <f ca="1">SUMPRODUCT(IFERROR((DATA_PROPERTY_MASTER!$A$5:$A$200&lt;&gt;"")*IF($C74="Included source errors",--(DATA_PROPERTY_MASTER!$E$5:$E$200="Yes"),--(DATA_PROPERTY_MASTER!$E$5:$E$200&lt;&gt;"Yes"))*--ISERROR(INDIRECT("'"&amp;DATA_PROPERTY_MASTER!$A$5:$A$200&amp;"'!"&amp;SUBSTITUTE(ADDRESS(1,COLUMN(S$5)+1,4),"1","")&amp;$B74)),0))</f>
        <v>0</v>
      </c>
      <c r="T74" s="348">
        <f ca="1">SUMPRODUCT(IFERROR((DATA_PROPERTY_MASTER!$A$5:$A$200&lt;&gt;"")*IF($C74="Included source errors",--(DATA_PROPERTY_MASTER!$E$5:$E$200="Yes"),--(DATA_PROPERTY_MASTER!$E$5:$E$200&lt;&gt;"Yes"))*--ISERROR(INDIRECT("'"&amp;DATA_PROPERTY_MASTER!$A$5:$A$200&amp;"'!"&amp;SUBSTITUTE(ADDRESS(1,COLUMN(T$5)+1,4),"1","")&amp;$B74)),0))</f>
        <v>0</v>
      </c>
      <c r="U74" s="348">
        <f ca="1">SUMPRODUCT(IFERROR((DATA_PROPERTY_MASTER!$A$5:$A$200&lt;&gt;"")*IF($C74="Included source errors",--(DATA_PROPERTY_MASTER!$E$5:$E$200="Yes"),--(DATA_PROPERTY_MASTER!$E$5:$E$200&lt;&gt;"Yes"))*--ISERROR(INDIRECT("'"&amp;DATA_PROPERTY_MASTER!$A$5:$A$200&amp;"'!"&amp;SUBSTITUTE(ADDRESS(1,COLUMN(U$5)+1,4),"1","")&amp;$B74)),0))</f>
        <v>0</v>
      </c>
      <c r="V74" s="348">
        <f ca="1">SUMPRODUCT(IFERROR((DATA_PROPERTY_MASTER!$A$5:$A$200&lt;&gt;"")*IF($C74="Included source errors",--(DATA_PROPERTY_MASTER!$E$5:$E$200="Yes"),--(DATA_PROPERTY_MASTER!$E$5:$E$200&lt;&gt;"Yes"))*--ISERROR(INDIRECT("'"&amp;DATA_PROPERTY_MASTER!$A$5:$A$200&amp;"'!"&amp;SUBSTITUTE(ADDRESS(1,COLUMN(V$5)+1,4),"1","")&amp;$B74)),0))</f>
        <v>0</v>
      </c>
      <c r="W74" s="348">
        <f ca="1">SUMPRODUCT(IFERROR((DATA_PROPERTY_MASTER!$A$5:$A$200&lt;&gt;"")*IF($C74="Included source errors",--(DATA_PROPERTY_MASTER!$E$5:$E$200="Yes"),--(DATA_PROPERTY_MASTER!$E$5:$E$200&lt;&gt;"Yes"))*--ISERROR(INDIRECT("'"&amp;DATA_PROPERTY_MASTER!$A$5:$A$200&amp;"'!"&amp;SUBSTITUTE(ADDRESS(1,COLUMN(W$5)+1,4),"1","")&amp;$B74)),0))</f>
        <v>0</v>
      </c>
      <c r="X74" s="348">
        <f ca="1">SUMPRODUCT(IFERROR((DATA_PROPERTY_MASTER!$A$5:$A$200&lt;&gt;"")*IF($C74="Included source errors",--(DATA_PROPERTY_MASTER!$E$5:$E$200="Yes"),--(DATA_PROPERTY_MASTER!$E$5:$E$200&lt;&gt;"Yes"))*--ISERROR(INDIRECT("'"&amp;DATA_PROPERTY_MASTER!$A$5:$A$200&amp;"'!"&amp;SUBSTITUTE(ADDRESS(1,COLUMN(X$5)+1,4),"1","")&amp;$B74)),0))</f>
        <v>0</v>
      </c>
    </row>
    <row r="75" spans="4:24">
      <c r="D75" s="348">
        <f ca="1">SUMPRODUCT(IFERROR((DATA_PROPERTY_MASTER!$A$5:$A$200&lt;&gt;"")*IF($C75="Included source errors",--(DATA_PROPERTY_MASTER!$E$5:$E$200="Yes"),--(DATA_PROPERTY_MASTER!$E$5:$E$200&lt;&gt;"Yes"))*--ISERROR(INDIRECT("'"&amp;DATA_PROPERTY_MASTER!$A$5:$A$200&amp;"'!"&amp;SUBSTITUTE(ADDRESS(1,COLUMN(D$5)+1,4),"1","")&amp;$B75)),0))</f>
        <v>0</v>
      </c>
      <c r="E75" s="348">
        <f ca="1">SUMPRODUCT(IFERROR((DATA_PROPERTY_MASTER!$A$5:$A$200&lt;&gt;"")*IF($C75="Included source errors",--(DATA_PROPERTY_MASTER!$E$5:$E$200="Yes"),--(DATA_PROPERTY_MASTER!$E$5:$E$200&lt;&gt;"Yes"))*--ISERROR(INDIRECT("'"&amp;DATA_PROPERTY_MASTER!$A$5:$A$200&amp;"'!"&amp;SUBSTITUTE(ADDRESS(1,COLUMN(E$5)+1,4),"1","")&amp;$B75)),0))</f>
        <v>0</v>
      </c>
      <c r="F75" s="348">
        <f ca="1">SUMPRODUCT(IFERROR((DATA_PROPERTY_MASTER!$A$5:$A$200&lt;&gt;"")*IF($C75="Included source errors",--(DATA_PROPERTY_MASTER!$E$5:$E$200="Yes"),--(DATA_PROPERTY_MASTER!$E$5:$E$200&lt;&gt;"Yes"))*--ISERROR(INDIRECT("'"&amp;DATA_PROPERTY_MASTER!$A$5:$A$200&amp;"'!"&amp;SUBSTITUTE(ADDRESS(1,COLUMN(F$5)+1,4),"1","")&amp;$B75)),0))</f>
        <v>0</v>
      </c>
      <c r="G75" s="348">
        <f ca="1">SUMPRODUCT(IFERROR((DATA_PROPERTY_MASTER!$A$5:$A$200&lt;&gt;"")*IF($C75="Included source errors",--(DATA_PROPERTY_MASTER!$E$5:$E$200="Yes"),--(DATA_PROPERTY_MASTER!$E$5:$E$200&lt;&gt;"Yes"))*--ISERROR(INDIRECT("'"&amp;DATA_PROPERTY_MASTER!$A$5:$A$200&amp;"'!"&amp;SUBSTITUTE(ADDRESS(1,COLUMN(G$5)+1,4),"1","")&amp;$B75)),0))</f>
        <v>0</v>
      </c>
      <c r="H75" s="348">
        <f ca="1">SUMPRODUCT(IFERROR((DATA_PROPERTY_MASTER!$A$5:$A$200&lt;&gt;"")*IF($C75="Included source errors",--(DATA_PROPERTY_MASTER!$E$5:$E$200="Yes"),--(DATA_PROPERTY_MASTER!$E$5:$E$200&lt;&gt;"Yes"))*--ISERROR(INDIRECT("'"&amp;DATA_PROPERTY_MASTER!$A$5:$A$200&amp;"'!"&amp;SUBSTITUTE(ADDRESS(1,COLUMN(H$5)+1,4),"1","")&amp;$B75)),0))</f>
        <v>0</v>
      </c>
      <c r="I75" s="348">
        <f ca="1">SUMPRODUCT(IFERROR((DATA_PROPERTY_MASTER!$A$5:$A$200&lt;&gt;"")*IF($C75="Included source errors",--(DATA_PROPERTY_MASTER!$E$5:$E$200="Yes"),--(DATA_PROPERTY_MASTER!$E$5:$E$200&lt;&gt;"Yes"))*--ISERROR(INDIRECT("'"&amp;DATA_PROPERTY_MASTER!$A$5:$A$200&amp;"'!"&amp;SUBSTITUTE(ADDRESS(1,COLUMN(I$5)+1,4),"1","")&amp;$B75)),0))</f>
        <v>0</v>
      </c>
      <c r="J75" s="348">
        <f ca="1">SUMPRODUCT(IFERROR((DATA_PROPERTY_MASTER!$A$5:$A$200&lt;&gt;"")*IF($C75="Included source errors",--(DATA_PROPERTY_MASTER!$E$5:$E$200="Yes"),--(DATA_PROPERTY_MASTER!$E$5:$E$200&lt;&gt;"Yes"))*--ISERROR(INDIRECT("'"&amp;DATA_PROPERTY_MASTER!$A$5:$A$200&amp;"'!"&amp;SUBSTITUTE(ADDRESS(1,COLUMN(J$5)+1,4),"1","")&amp;$B75)),0))</f>
        <v>0</v>
      </c>
      <c r="K75" s="348">
        <f ca="1">SUMPRODUCT(IFERROR((DATA_PROPERTY_MASTER!$A$5:$A$200&lt;&gt;"")*IF($C75="Included source errors",--(DATA_PROPERTY_MASTER!$E$5:$E$200="Yes"),--(DATA_PROPERTY_MASTER!$E$5:$E$200&lt;&gt;"Yes"))*--ISERROR(INDIRECT("'"&amp;DATA_PROPERTY_MASTER!$A$5:$A$200&amp;"'!"&amp;SUBSTITUTE(ADDRESS(1,COLUMN(K$5)+1,4),"1","")&amp;$B75)),0))</f>
        <v>0</v>
      </c>
      <c r="L75" s="348">
        <f ca="1">SUMPRODUCT(IFERROR((DATA_PROPERTY_MASTER!$A$5:$A$200&lt;&gt;"")*IF($C75="Included source errors",--(DATA_PROPERTY_MASTER!$E$5:$E$200="Yes"),--(DATA_PROPERTY_MASTER!$E$5:$E$200&lt;&gt;"Yes"))*--ISERROR(INDIRECT("'"&amp;DATA_PROPERTY_MASTER!$A$5:$A$200&amp;"'!"&amp;SUBSTITUTE(ADDRESS(1,COLUMN(L$5)+1,4),"1","")&amp;$B75)),0))</f>
        <v>0</v>
      </c>
      <c r="M75" s="348">
        <f ca="1">SUMPRODUCT(IFERROR((DATA_PROPERTY_MASTER!$A$5:$A$200&lt;&gt;"")*IF($C75="Included source errors",--(DATA_PROPERTY_MASTER!$E$5:$E$200="Yes"),--(DATA_PROPERTY_MASTER!$E$5:$E$200&lt;&gt;"Yes"))*--ISERROR(INDIRECT("'"&amp;DATA_PROPERTY_MASTER!$A$5:$A$200&amp;"'!"&amp;SUBSTITUTE(ADDRESS(1,COLUMN(M$5)+1,4),"1","")&amp;$B75)),0))</f>
        <v>0</v>
      </c>
      <c r="N75" s="348">
        <f ca="1">SUMPRODUCT(IFERROR((DATA_PROPERTY_MASTER!$A$5:$A$200&lt;&gt;"")*IF($C75="Included source errors",--(DATA_PROPERTY_MASTER!$E$5:$E$200="Yes"),--(DATA_PROPERTY_MASTER!$E$5:$E$200&lt;&gt;"Yes"))*--ISERROR(INDIRECT("'"&amp;DATA_PROPERTY_MASTER!$A$5:$A$200&amp;"'!"&amp;SUBSTITUTE(ADDRESS(1,COLUMN(N$5)+1,4),"1","")&amp;$B75)),0))</f>
        <v>0</v>
      </c>
      <c r="O75" s="348">
        <f ca="1">SUMPRODUCT(IFERROR((DATA_PROPERTY_MASTER!$A$5:$A$200&lt;&gt;"")*IF($C75="Included source errors",--(DATA_PROPERTY_MASTER!$E$5:$E$200="Yes"),--(DATA_PROPERTY_MASTER!$E$5:$E$200&lt;&gt;"Yes"))*--ISERROR(INDIRECT("'"&amp;DATA_PROPERTY_MASTER!$A$5:$A$200&amp;"'!"&amp;SUBSTITUTE(ADDRESS(1,COLUMN(O$5)+1,4),"1","")&amp;$B75)),0))</f>
        <v>0</v>
      </c>
      <c r="P75" s="348">
        <f ca="1">SUMPRODUCT(IFERROR((DATA_PROPERTY_MASTER!$A$5:$A$200&lt;&gt;"")*IF($C75="Included source errors",--(DATA_PROPERTY_MASTER!$E$5:$E$200="Yes"),--(DATA_PROPERTY_MASTER!$E$5:$E$200&lt;&gt;"Yes"))*--ISERROR(INDIRECT("'"&amp;DATA_PROPERTY_MASTER!$A$5:$A$200&amp;"'!"&amp;SUBSTITUTE(ADDRESS(1,COLUMN(P$5)+1,4),"1","")&amp;$B75)),0))</f>
        <v>0</v>
      </c>
      <c r="Q75" s="348">
        <f ca="1">SUMPRODUCT(IFERROR((DATA_PROPERTY_MASTER!$A$5:$A$200&lt;&gt;"")*IF($C75="Included source errors",--(DATA_PROPERTY_MASTER!$E$5:$E$200="Yes"),--(DATA_PROPERTY_MASTER!$E$5:$E$200&lt;&gt;"Yes"))*--ISERROR(INDIRECT("'"&amp;DATA_PROPERTY_MASTER!$A$5:$A$200&amp;"'!"&amp;SUBSTITUTE(ADDRESS(1,COLUMN(Q$5)+1,4),"1","")&amp;$B75)),0))</f>
        <v>0</v>
      </c>
      <c r="R75" s="348">
        <f ca="1">SUMPRODUCT(IFERROR((DATA_PROPERTY_MASTER!$A$5:$A$200&lt;&gt;"")*IF($C75="Included source errors",--(DATA_PROPERTY_MASTER!$E$5:$E$200="Yes"),--(DATA_PROPERTY_MASTER!$E$5:$E$200&lt;&gt;"Yes"))*--ISERROR(INDIRECT("'"&amp;DATA_PROPERTY_MASTER!$A$5:$A$200&amp;"'!"&amp;SUBSTITUTE(ADDRESS(1,COLUMN(R$5)+1,4),"1","")&amp;$B75)),0))</f>
        <v>0</v>
      </c>
      <c r="S75" s="348">
        <f ca="1">SUMPRODUCT(IFERROR((DATA_PROPERTY_MASTER!$A$5:$A$200&lt;&gt;"")*IF($C75="Included source errors",--(DATA_PROPERTY_MASTER!$E$5:$E$200="Yes"),--(DATA_PROPERTY_MASTER!$E$5:$E$200&lt;&gt;"Yes"))*--ISERROR(INDIRECT("'"&amp;DATA_PROPERTY_MASTER!$A$5:$A$200&amp;"'!"&amp;SUBSTITUTE(ADDRESS(1,COLUMN(S$5)+1,4),"1","")&amp;$B75)),0))</f>
        <v>0</v>
      </c>
      <c r="T75" s="348">
        <f ca="1">SUMPRODUCT(IFERROR((DATA_PROPERTY_MASTER!$A$5:$A$200&lt;&gt;"")*IF($C75="Included source errors",--(DATA_PROPERTY_MASTER!$E$5:$E$200="Yes"),--(DATA_PROPERTY_MASTER!$E$5:$E$200&lt;&gt;"Yes"))*--ISERROR(INDIRECT("'"&amp;DATA_PROPERTY_MASTER!$A$5:$A$200&amp;"'!"&amp;SUBSTITUTE(ADDRESS(1,COLUMN(T$5)+1,4),"1","")&amp;$B75)),0))</f>
        <v>0</v>
      </c>
      <c r="U75" s="348">
        <f ca="1">SUMPRODUCT(IFERROR((DATA_PROPERTY_MASTER!$A$5:$A$200&lt;&gt;"")*IF($C75="Included source errors",--(DATA_PROPERTY_MASTER!$E$5:$E$200="Yes"),--(DATA_PROPERTY_MASTER!$E$5:$E$200&lt;&gt;"Yes"))*--ISERROR(INDIRECT("'"&amp;DATA_PROPERTY_MASTER!$A$5:$A$200&amp;"'!"&amp;SUBSTITUTE(ADDRESS(1,COLUMN(U$5)+1,4),"1","")&amp;$B75)),0))</f>
        <v>0</v>
      </c>
      <c r="V75" s="348">
        <f ca="1">SUMPRODUCT(IFERROR((DATA_PROPERTY_MASTER!$A$5:$A$200&lt;&gt;"")*IF($C75="Included source errors",--(DATA_PROPERTY_MASTER!$E$5:$E$200="Yes"),--(DATA_PROPERTY_MASTER!$E$5:$E$200&lt;&gt;"Yes"))*--ISERROR(INDIRECT("'"&amp;DATA_PROPERTY_MASTER!$A$5:$A$200&amp;"'!"&amp;SUBSTITUTE(ADDRESS(1,COLUMN(V$5)+1,4),"1","")&amp;$B75)),0))</f>
        <v>0</v>
      </c>
      <c r="W75" s="348">
        <f ca="1">SUMPRODUCT(IFERROR((DATA_PROPERTY_MASTER!$A$5:$A$200&lt;&gt;"")*IF($C75="Included source errors",--(DATA_PROPERTY_MASTER!$E$5:$E$200="Yes"),--(DATA_PROPERTY_MASTER!$E$5:$E$200&lt;&gt;"Yes"))*--ISERROR(INDIRECT("'"&amp;DATA_PROPERTY_MASTER!$A$5:$A$200&amp;"'!"&amp;SUBSTITUTE(ADDRESS(1,COLUMN(W$5)+1,4),"1","")&amp;$B75)),0))</f>
        <v>0</v>
      </c>
      <c r="X75" s="348">
        <f ca="1">SUMPRODUCT(IFERROR((DATA_PROPERTY_MASTER!$A$5:$A$200&lt;&gt;"")*IF($C75="Included source errors",--(DATA_PROPERTY_MASTER!$E$5:$E$200="Yes"),--(DATA_PROPERTY_MASTER!$E$5:$E$200&lt;&gt;"Yes"))*--ISERROR(INDIRECT("'"&amp;DATA_PROPERTY_MASTER!$A$5:$A$200&amp;"'!"&amp;SUBSTITUTE(ADDRESS(1,COLUMN(X$5)+1,4),"1","")&amp;$B75)),0))</f>
        <v>0</v>
      </c>
    </row>
    <row r="76" spans="4:24">
      <c r="D76" s="348">
        <f ca="1">SUMPRODUCT(IFERROR((DATA_PROPERTY_MASTER!$A$5:$A$200&lt;&gt;"")*IF($C76="Included source errors",--(DATA_PROPERTY_MASTER!$E$5:$E$200="Yes"),--(DATA_PROPERTY_MASTER!$E$5:$E$200&lt;&gt;"Yes"))*--ISERROR(INDIRECT("'"&amp;DATA_PROPERTY_MASTER!$A$5:$A$200&amp;"'!"&amp;SUBSTITUTE(ADDRESS(1,COLUMN(D$5)+1,4),"1","")&amp;$B76)),0))</f>
        <v>0</v>
      </c>
      <c r="E76" s="348">
        <f ca="1">SUMPRODUCT(IFERROR((DATA_PROPERTY_MASTER!$A$5:$A$200&lt;&gt;"")*IF($C76="Included source errors",--(DATA_PROPERTY_MASTER!$E$5:$E$200="Yes"),--(DATA_PROPERTY_MASTER!$E$5:$E$200&lt;&gt;"Yes"))*--ISERROR(INDIRECT("'"&amp;DATA_PROPERTY_MASTER!$A$5:$A$200&amp;"'!"&amp;SUBSTITUTE(ADDRESS(1,COLUMN(E$5)+1,4),"1","")&amp;$B76)),0))</f>
        <v>0</v>
      </c>
      <c r="F76" s="348">
        <f ca="1">SUMPRODUCT(IFERROR((DATA_PROPERTY_MASTER!$A$5:$A$200&lt;&gt;"")*IF($C76="Included source errors",--(DATA_PROPERTY_MASTER!$E$5:$E$200="Yes"),--(DATA_PROPERTY_MASTER!$E$5:$E$200&lt;&gt;"Yes"))*--ISERROR(INDIRECT("'"&amp;DATA_PROPERTY_MASTER!$A$5:$A$200&amp;"'!"&amp;SUBSTITUTE(ADDRESS(1,COLUMN(F$5)+1,4),"1","")&amp;$B76)),0))</f>
        <v>0</v>
      </c>
      <c r="G76" s="348">
        <f ca="1">SUMPRODUCT(IFERROR((DATA_PROPERTY_MASTER!$A$5:$A$200&lt;&gt;"")*IF($C76="Included source errors",--(DATA_PROPERTY_MASTER!$E$5:$E$200="Yes"),--(DATA_PROPERTY_MASTER!$E$5:$E$200&lt;&gt;"Yes"))*--ISERROR(INDIRECT("'"&amp;DATA_PROPERTY_MASTER!$A$5:$A$200&amp;"'!"&amp;SUBSTITUTE(ADDRESS(1,COLUMN(G$5)+1,4),"1","")&amp;$B76)),0))</f>
        <v>0</v>
      </c>
      <c r="H76" s="348">
        <f ca="1">SUMPRODUCT(IFERROR((DATA_PROPERTY_MASTER!$A$5:$A$200&lt;&gt;"")*IF($C76="Included source errors",--(DATA_PROPERTY_MASTER!$E$5:$E$200="Yes"),--(DATA_PROPERTY_MASTER!$E$5:$E$200&lt;&gt;"Yes"))*--ISERROR(INDIRECT("'"&amp;DATA_PROPERTY_MASTER!$A$5:$A$200&amp;"'!"&amp;SUBSTITUTE(ADDRESS(1,COLUMN(H$5)+1,4),"1","")&amp;$B76)),0))</f>
        <v>0</v>
      </c>
      <c r="I76" s="348">
        <f ca="1">SUMPRODUCT(IFERROR((DATA_PROPERTY_MASTER!$A$5:$A$200&lt;&gt;"")*IF($C76="Included source errors",--(DATA_PROPERTY_MASTER!$E$5:$E$200="Yes"),--(DATA_PROPERTY_MASTER!$E$5:$E$200&lt;&gt;"Yes"))*--ISERROR(INDIRECT("'"&amp;DATA_PROPERTY_MASTER!$A$5:$A$200&amp;"'!"&amp;SUBSTITUTE(ADDRESS(1,COLUMN(I$5)+1,4),"1","")&amp;$B76)),0))</f>
        <v>0</v>
      </c>
      <c r="J76" s="348">
        <f ca="1">SUMPRODUCT(IFERROR((DATA_PROPERTY_MASTER!$A$5:$A$200&lt;&gt;"")*IF($C76="Included source errors",--(DATA_PROPERTY_MASTER!$E$5:$E$200="Yes"),--(DATA_PROPERTY_MASTER!$E$5:$E$200&lt;&gt;"Yes"))*--ISERROR(INDIRECT("'"&amp;DATA_PROPERTY_MASTER!$A$5:$A$200&amp;"'!"&amp;SUBSTITUTE(ADDRESS(1,COLUMN(J$5)+1,4),"1","")&amp;$B76)),0))</f>
        <v>0</v>
      </c>
      <c r="K76" s="348">
        <f ca="1">SUMPRODUCT(IFERROR((DATA_PROPERTY_MASTER!$A$5:$A$200&lt;&gt;"")*IF($C76="Included source errors",--(DATA_PROPERTY_MASTER!$E$5:$E$200="Yes"),--(DATA_PROPERTY_MASTER!$E$5:$E$200&lt;&gt;"Yes"))*--ISERROR(INDIRECT("'"&amp;DATA_PROPERTY_MASTER!$A$5:$A$200&amp;"'!"&amp;SUBSTITUTE(ADDRESS(1,COLUMN(K$5)+1,4),"1","")&amp;$B76)),0))</f>
        <v>0</v>
      </c>
      <c r="L76" s="348">
        <f ca="1">SUMPRODUCT(IFERROR((DATA_PROPERTY_MASTER!$A$5:$A$200&lt;&gt;"")*IF($C76="Included source errors",--(DATA_PROPERTY_MASTER!$E$5:$E$200="Yes"),--(DATA_PROPERTY_MASTER!$E$5:$E$200&lt;&gt;"Yes"))*--ISERROR(INDIRECT("'"&amp;DATA_PROPERTY_MASTER!$A$5:$A$200&amp;"'!"&amp;SUBSTITUTE(ADDRESS(1,COLUMN(L$5)+1,4),"1","")&amp;$B76)),0))</f>
        <v>0</v>
      </c>
      <c r="M76" s="348">
        <f ca="1">SUMPRODUCT(IFERROR((DATA_PROPERTY_MASTER!$A$5:$A$200&lt;&gt;"")*IF($C76="Included source errors",--(DATA_PROPERTY_MASTER!$E$5:$E$200="Yes"),--(DATA_PROPERTY_MASTER!$E$5:$E$200&lt;&gt;"Yes"))*--ISERROR(INDIRECT("'"&amp;DATA_PROPERTY_MASTER!$A$5:$A$200&amp;"'!"&amp;SUBSTITUTE(ADDRESS(1,COLUMN(M$5)+1,4),"1","")&amp;$B76)),0))</f>
        <v>0</v>
      </c>
      <c r="N76" s="348">
        <f ca="1">SUMPRODUCT(IFERROR((DATA_PROPERTY_MASTER!$A$5:$A$200&lt;&gt;"")*IF($C76="Included source errors",--(DATA_PROPERTY_MASTER!$E$5:$E$200="Yes"),--(DATA_PROPERTY_MASTER!$E$5:$E$200&lt;&gt;"Yes"))*--ISERROR(INDIRECT("'"&amp;DATA_PROPERTY_MASTER!$A$5:$A$200&amp;"'!"&amp;SUBSTITUTE(ADDRESS(1,COLUMN(N$5)+1,4),"1","")&amp;$B76)),0))</f>
        <v>0</v>
      </c>
      <c r="O76" s="348">
        <f ca="1">SUMPRODUCT(IFERROR((DATA_PROPERTY_MASTER!$A$5:$A$200&lt;&gt;"")*IF($C76="Included source errors",--(DATA_PROPERTY_MASTER!$E$5:$E$200="Yes"),--(DATA_PROPERTY_MASTER!$E$5:$E$200&lt;&gt;"Yes"))*--ISERROR(INDIRECT("'"&amp;DATA_PROPERTY_MASTER!$A$5:$A$200&amp;"'!"&amp;SUBSTITUTE(ADDRESS(1,COLUMN(O$5)+1,4),"1","")&amp;$B76)),0))</f>
        <v>0</v>
      </c>
      <c r="P76" s="348">
        <f ca="1">SUMPRODUCT(IFERROR((DATA_PROPERTY_MASTER!$A$5:$A$200&lt;&gt;"")*IF($C76="Included source errors",--(DATA_PROPERTY_MASTER!$E$5:$E$200="Yes"),--(DATA_PROPERTY_MASTER!$E$5:$E$200&lt;&gt;"Yes"))*--ISERROR(INDIRECT("'"&amp;DATA_PROPERTY_MASTER!$A$5:$A$200&amp;"'!"&amp;SUBSTITUTE(ADDRESS(1,COLUMN(P$5)+1,4),"1","")&amp;$B76)),0))</f>
        <v>0</v>
      </c>
      <c r="Q76" s="348">
        <f ca="1">SUMPRODUCT(IFERROR((DATA_PROPERTY_MASTER!$A$5:$A$200&lt;&gt;"")*IF($C76="Included source errors",--(DATA_PROPERTY_MASTER!$E$5:$E$200="Yes"),--(DATA_PROPERTY_MASTER!$E$5:$E$200&lt;&gt;"Yes"))*--ISERROR(INDIRECT("'"&amp;DATA_PROPERTY_MASTER!$A$5:$A$200&amp;"'!"&amp;SUBSTITUTE(ADDRESS(1,COLUMN(Q$5)+1,4),"1","")&amp;$B76)),0))</f>
        <v>0</v>
      </c>
      <c r="R76" s="348">
        <f ca="1">SUMPRODUCT(IFERROR((DATA_PROPERTY_MASTER!$A$5:$A$200&lt;&gt;"")*IF($C76="Included source errors",--(DATA_PROPERTY_MASTER!$E$5:$E$200="Yes"),--(DATA_PROPERTY_MASTER!$E$5:$E$200&lt;&gt;"Yes"))*--ISERROR(INDIRECT("'"&amp;DATA_PROPERTY_MASTER!$A$5:$A$200&amp;"'!"&amp;SUBSTITUTE(ADDRESS(1,COLUMN(R$5)+1,4),"1","")&amp;$B76)),0))</f>
        <v>0</v>
      </c>
      <c r="S76" s="348">
        <f ca="1">SUMPRODUCT(IFERROR((DATA_PROPERTY_MASTER!$A$5:$A$200&lt;&gt;"")*IF($C76="Included source errors",--(DATA_PROPERTY_MASTER!$E$5:$E$200="Yes"),--(DATA_PROPERTY_MASTER!$E$5:$E$200&lt;&gt;"Yes"))*--ISERROR(INDIRECT("'"&amp;DATA_PROPERTY_MASTER!$A$5:$A$200&amp;"'!"&amp;SUBSTITUTE(ADDRESS(1,COLUMN(S$5)+1,4),"1","")&amp;$B76)),0))</f>
        <v>0</v>
      </c>
      <c r="T76" s="348">
        <f ca="1">SUMPRODUCT(IFERROR((DATA_PROPERTY_MASTER!$A$5:$A$200&lt;&gt;"")*IF($C76="Included source errors",--(DATA_PROPERTY_MASTER!$E$5:$E$200="Yes"),--(DATA_PROPERTY_MASTER!$E$5:$E$200&lt;&gt;"Yes"))*--ISERROR(INDIRECT("'"&amp;DATA_PROPERTY_MASTER!$A$5:$A$200&amp;"'!"&amp;SUBSTITUTE(ADDRESS(1,COLUMN(T$5)+1,4),"1","")&amp;$B76)),0))</f>
        <v>0</v>
      </c>
      <c r="U76" s="348">
        <f ca="1">SUMPRODUCT(IFERROR((DATA_PROPERTY_MASTER!$A$5:$A$200&lt;&gt;"")*IF($C76="Included source errors",--(DATA_PROPERTY_MASTER!$E$5:$E$200="Yes"),--(DATA_PROPERTY_MASTER!$E$5:$E$200&lt;&gt;"Yes"))*--ISERROR(INDIRECT("'"&amp;DATA_PROPERTY_MASTER!$A$5:$A$200&amp;"'!"&amp;SUBSTITUTE(ADDRESS(1,COLUMN(U$5)+1,4),"1","")&amp;$B76)),0))</f>
        <v>0</v>
      </c>
      <c r="V76" s="348">
        <f ca="1">SUMPRODUCT(IFERROR((DATA_PROPERTY_MASTER!$A$5:$A$200&lt;&gt;"")*IF($C76="Included source errors",--(DATA_PROPERTY_MASTER!$E$5:$E$200="Yes"),--(DATA_PROPERTY_MASTER!$E$5:$E$200&lt;&gt;"Yes"))*--ISERROR(INDIRECT("'"&amp;DATA_PROPERTY_MASTER!$A$5:$A$200&amp;"'!"&amp;SUBSTITUTE(ADDRESS(1,COLUMN(V$5)+1,4),"1","")&amp;$B76)),0))</f>
        <v>0</v>
      </c>
      <c r="W76" s="348">
        <f ca="1">SUMPRODUCT(IFERROR((DATA_PROPERTY_MASTER!$A$5:$A$200&lt;&gt;"")*IF($C76="Included source errors",--(DATA_PROPERTY_MASTER!$E$5:$E$200="Yes"),--(DATA_PROPERTY_MASTER!$E$5:$E$200&lt;&gt;"Yes"))*--ISERROR(INDIRECT("'"&amp;DATA_PROPERTY_MASTER!$A$5:$A$200&amp;"'!"&amp;SUBSTITUTE(ADDRESS(1,COLUMN(W$5)+1,4),"1","")&amp;$B76)),0))</f>
        <v>0</v>
      </c>
      <c r="X76" s="348">
        <f ca="1">SUMPRODUCT(IFERROR((DATA_PROPERTY_MASTER!$A$5:$A$200&lt;&gt;"")*IF($C76="Included source errors",--(DATA_PROPERTY_MASTER!$E$5:$E$200="Yes"),--(DATA_PROPERTY_MASTER!$E$5:$E$200&lt;&gt;"Yes"))*--ISERROR(INDIRECT("'"&amp;DATA_PROPERTY_MASTER!$A$5:$A$200&amp;"'!"&amp;SUBSTITUTE(ADDRESS(1,COLUMN(X$5)+1,4),"1","")&amp;$B76)),0))</f>
        <v>0</v>
      </c>
    </row>
    <row r="77" spans="4:24">
      <c r="D77" s="348">
        <f ca="1">SUMPRODUCT(IFERROR((DATA_PROPERTY_MASTER!$A$5:$A$200&lt;&gt;"")*IF($C77="Included source errors",--(DATA_PROPERTY_MASTER!$E$5:$E$200="Yes"),--(DATA_PROPERTY_MASTER!$E$5:$E$200&lt;&gt;"Yes"))*--ISERROR(INDIRECT("'"&amp;DATA_PROPERTY_MASTER!$A$5:$A$200&amp;"'!"&amp;SUBSTITUTE(ADDRESS(1,COLUMN(D$5)+1,4),"1","")&amp;$B77)),0))</f>
        <v>0</v>
      </c>
      <c r="E77" s="348">
        <f ca="1">SUMPRODUCT(IFERROR((DATA_PROPERTY_MASTER!$A$5:$A$200&lt;&gt;"")*IF($C77="Included source errors",--(DATA_PROPERTY_MASTER!$E$5:$E$200="Yes"),--(DATA_PROPERTY_MASTER!$E$5:$E$200&lt;&gt;"Yes"))*--ISERROR(INDIRECT("'"&amp;DATA_PROPERTY_MASTER!$A$5:$A$200&amp;"'!"&amp;SUBSTITUTE(ADDRESS(1,COLUMN(E$5)+1,4),"1","")&amp;$B77)),0))</f>
        <v>0</v>
      </c>
      <c r="F77" s="348">
        <f ca="1">SUMPRODUCT(IFERROR((DATA_PROPERTY_MASTER!$A$5:$A$200&lt;&gt;"")*IF($C77="Included source errors",--(DATA_PROPERTY_MASTER!$E$5:$E$200="Yes"),--(DATA_PROPERTY_MASTER!$E$5:$E$200&lt;&gt;"Yes"))*--ISERROR(INDIRECT("'"&amp;DATA_PROPERTY_MASTER!$A$5:$A$200&amp;"'!"&amp;SUBSTITUTE(ADDRESS(1,COLUMN(F$5)+1,4),"1","")&amp;$B77)),0))</f>
        <v>0</v>
      </c>
      <c r="G77" s="348">
        <f ca="1">SUMPRODUCT(IFERROR((DATA_PROPERTY_MASTER!$A$5:$A$200&lt;&gt;"")*IF($C77="Included source errors",--(DATA_PROPERTY_MASTER!$E$5:$E$200="Yes"),--(DATA_PROPERTY_MASTER!$E$5:$E$200&lt;&gt;"Yes"))*--ISERROR(INDIRECT("'"&amp;DATA_PROPERTY_MASTER!$A$5:$A$200&amp;"'!"&amp;SUBSTITUTE(ADDRESS(1,COLUMN(G$5)+1,4),"1","")&amp;$B77)),0))</f>
        <v>0</v>
      </c>
      <c r="H77" s="348">
        <f ca="1">SUMPRODUCT(IFERROR((DATA_PROPERTY_MASTER!$A$5:$A$200&lt;&gt;"")*IF($C77="Included source errors",--(DATA_PROPERTY_MASTER!$E$5:$E$200="Yes"),--(DATA_PROPERTY_MASTER!$E$5:$E$200&lt;&gt;"Yes"))*--ISERROR(INDIRECT("'"&amp;DATA_PROPERTY_MASTER!$A$5:$A$200&amp;"'!"&amp;SUBSTITUTE(ADDRESS(1,COLUMN(H$5)+1,4),"1","")&amp;$B77)),0))</f>
        <v>0</v>
      </c>
      <c r="I77" s="348">
        <f ca="1">SUMPRODUCT(IFERROR((DATA_PROPERTY_MASTER!$A$5:$A$200&lt;&gt;"")*IF($C77="Included source errors",--(DATA_PROPERTY_MASTER!$E$5:$E$200="Yes"),--(DATA_PROPERTY_MASTER!$E$5:$E$200&lt;&gt;"Yes"))*--ISERROR(INDIRECT("'"&amp;DATA_PROPERTY_MASTER!$A$5:$A$200&amp;"'!"&amp;SUBSTITUTE(ADDRESS(1,COLUMN(I$5)+1,4),"1","")&amp;$B77)),0))</f>
        <v>0</v>
      </c>
      <c r="J77" s="348">
        <f ca="1">SUMPRODUCT(IFERROR((DATA_PROPERTY_MASTER!$A$5:$A$200&lt;&gt;"")*IF($C77="Included source errors",--(DATA_PROPERTY_MASTER!$E$5:$E$200="Yes"),--(DATA_PROPERTY_MASTER!$E$5:$E$200&lt;&gt;"Yes"))*--ISERROR(INDIRECT("'"&amp;DATA_PROPERTY_MASTER!$A$5:$A$200&amp;"'!"&amp;SUBSTITUTE(ADDRESS(1,COLUMN(J$5)+1,4),"1","")&amp;$B77)),0))</f>
        <v>0</v>
      </c>
      <c r="K77" s="348">
        <f ca="1">SUMPRODUCT(IFERROR((DATA_PROPERTY_MASTER!$A$5:$A$200&lt;&gt;"")*IF($C77="Included source errors",--(DATA_PROPERTY_MASTER!$E$5:$E$200="Yes"),--(DATA_PROPERTY_MASTER!$E$5:$E$200&lt;&gt;"Yes"))*--ISERROR(INDIRECT("'"&amp;DATA_PROPERTY_MASTER!$A$5:$A$200&amp;"'!"&amp;SUBSTITUTE(ADDRESS(1,COLUMN(K$5)+1,4),"1","")&amp;$B77)),0))</f>
        <v>0</v>
      </c>
      <c r="L77" s="348">
        <f ca="1">SUMPRODUCT(IFERROR((DATA_PROPERTY_MASTER!$A$5:$A$200&lt;&gt;"")*IF($C77="Included source errors",--(DATA_PROPERTY_MASTER!$E$5:$E$200="Yes"),--(DATA_PROPERTY_MASTER!$E$5:$E$200&lt;&gt;"Yes"))*--ISERROR(INDIRECT("'"&amp;DATA_PROPERTY_MASTER!$A$5:$A$200&amp;"'!"&amp;SUBSTITUTE(ADDRESS(1,COLUMN(L$5)+1,4),"1","")&amp;$B77)),0))</f>
        <v>0</v>
      </c>
      <c r="M77" s="348">
        <f ca="1">SUMPRODUCT(IFERROR((DATA_PROPERTY_MASTER!$A$5:$A$200&lt;&gt;"")*IF($C77="Included source errors",--(DATA_PROPERTY_MASTER!$E$5:$E$200="Yes"),--(DATA_PROPERTY_MASTER!$E$5:$E$200&lt;&gt;"Yes"))*--ISERROR(INDIRECT("'"&amp;DATA_PROPERTY_MASTER!$A$5:$A$200&amp;"'!"&amp;SUBSTITUTE(ADDRESS(1,COLUMN(M$5)+1,4),"1","")&amp;$B77)),0))</f>
        <v>0</v>
      </c>
      <c r="N77" s="348">
        <f ca="1">SUMPRODUCT(IFERROR((DATA_PROPERTY_MASTER!$A$5:$A$200&lt;&gt;"")*IF($C77="Included source errors",--(DATA_PROPERTY_MASTER!$E$5:$E$200="Yes"),--(DATA_PROPERTY_MASTER!$E$5:$E$200&lt;&gt;"Yes"))*--ISERROR(INDIRECT("'"&amp;DATA_PROPERTY_MASTER!$A$5:$A$200&amp;"'!"&amp;SUBSTITUTE(ADDRESS(1,COLUMN(N$5)+1,4),"1","")&amp;$B77)),0))</f>
        <v>0</v>
      </c>
      <c r="O77" s="348">
        <f ca="1">SUMPRODUCT(IFERROR((DATA_PROPERTY_MASTER!$A$5:$A$200&lt;&gt;"")*IF($C77="Included source errors",--(DATA_PROPERTY_MASTER!$E$5:$E$200="Yes"),--(DATA_PROPERTY_MASTER!$E$5:$E$200&lt;&gt;"Yes"))*--ISERROR(INDIRECT("'"&amp;DATA_PROPERTY_MASTER!$A$5:$A$200&amp;"'!"&amp;SUBSTITUTE(ADDRESS(1,COLUMN(O$5)+1,4),"1","")&amp;$B77)),0))</f>
        <v>0</v>
      </c>
      <c r="P77" s="348">
        <f ca="1">SUMPRODUCT(IFERROR((DATA_PROPERTY_MASTER!$A$5:$A$200&lt;&gt;"")*IF($C77="Included source errors",--(DATA_PROPERTY_MASTER!$E$5:$E$200="Yes"),--(DATA_PROPERTY_MASTER!$E$5:$E$200&lt;&gt;"Yes"))*--ISERROR(INDIRECT("'"&amp;DATA_PROPERTY_MASTER!$A$5:$A$200&amp;"'!"&amp;SUBSTITUTE(ADDRESS(1,COLUMN(P$5)+1,4),"1","")&amp;$B77)),0))</f>
        <v>0</v>
      </c>
      <c r="Q77" s="348">
        <f ca="1">SUMPRODUCT(IFERROR((DATA_PROPERTY_MASTER!$A$5:$A$200&lt;&gt;"")*IF($C77="Included source errors",--(DATA_PROPERTY_MASTER!$E$5:$E$200="Yes"),--(DATA_PROPERTY_MASTER!$E$5:$E$200&lt;&gt;"Yes"))*--ISERROR(INDIRECT("'"&amp;DATA_PROPERTY_MASTER!$A$5:$A$200&amp;"'!"&amp;SUBSTITUTE(ADDRESS(1,COLUMN(Q$5)+1,4),"1","")&amp;$B77)),0))</f>
        <v>0</v>
      </c>
      <c r="R77" s="348">
        <f ca="1">SUMPRODUCT(IFERROR((DATA_PROPERTY_MASTER!$A$5:$A$200&lt;&gt;"")*IF($C77="Included source errors",--(DATA_PROPERTY_MASTER!$E$5:$E$200="Yes"),--(DATA_PROPERTY_MASTER!$E$5:$E$200&lt;&gt;"Yes"))*--ISERROR(INDIRECT("'"&amp;DATA_PROPERTY_MASTER!$A$5:$A$200&amp;"'!"&amp;SUBSTITUTE(ADDRESS(1,COLUMN(R$5)+1,4),"1","")&amp;$B77)),0))</f>
        <v>0</v>
      </c>
      <c r="S77" s="348">
        <f ca="1">SUMPRODUCT(IFERROR((DATA_PROPERTY_MASTER!$A$5:$A$200&lt;&gt;"")*IF($C77="Included source errors",--(DATA_PROPERTY_MASTER!$E$5:$E$200="Yes"),--(DATA_PROPERTY_MASTER!$E$5:$E$200&lt;&gt;"Yes"))*--ISERROR(INDIRECT("'"&amp;DATA_PROPERTY_MASTER!$A$5:$A$200&amp;"'!"&amp;SUBSTITUTE(ADDRESS(1,COLUMN(S$5)+1,4),"1","")&amp;$B77)),0))</f>
        <v>0</v>
      </c>
      <c r="T77" s="348">
        <f ca="1">SUMPRODUCT(IFERROR((DATA_PROPERTY_MASTER!$A$5:$A$200&lt;&gt;"")*IF($C77="Included source errors",--(DATA_PROPERTY_MASTER!$E$5:$E$200="Yes"),--(DATA_PROPERTY_MASTER!$E$5:$E$200&lt;&gt;"Yes"))*--ISERROR(INDIRECT("'"&amp;DATA_PROPERTY_MASTER!$A$5:$A$200&amp;"'!"&amp;SUBSTITUTE(ADDRESS(1,COLUMN(T$5)+1,4),"1","")&amp;$B77)),0))</f>
        <v>0</v>
      </c>
      <c r="U77" s="348">
        <f ca="1">SUMPRODUCT(IFERROR((DATA_PROPERTY_MASTER!$A$5:$A$200&lt;&gt;"")*IF($C77="Included source errors",--(DATA_PROPERTY_MASTER!$E$5:$E$200="Yes"),--(DATA_PROPERTY_MASTER!$E$5:$E$200&lt;&gt;"Yes"))*--ISERROR(INDIRECT("'"&amp;DATA_PROPERTY_MASTER!$A$5:$A$200&amp;"'!"&amp;SUBSTITUTE(ADDRESS(1,COLUMN(U$5)+1,4),"1","")&amp;$B77)),0))</f>
        <v>0</v>
      </c>
      <c r="V77" s="348">
        <f ca="1">SUMPRODUCT(IFERROR((DATA_PROPERTY_MASTER!$A$5:$A$200&lt;&gt;"")*IF($C77="Included source errors",--(DATA_PROPERTY_MASTER!$E$5:$E$200="Yes"),--(DATA_PROPERTY_MASTER!$E$5:$E$200&lt;&gt;"Yes"))*--ISERROR(INDIRECT("'"&amp;DATA_PROPERTY_MASTER!$A$5:$A$200&amp;"'!"&amp;SUBSTITUTE(ADDRESS(1,COLUMN(V$5)+1,4),"1","")&amp;$B77)),0))</f>
        <v>0</v>
      </c>
      <c r="W77" s="348">
        <f ca="1">SUMPRODUCT(IFERROR((DATA_PROPERTY_MASTER!$A$5:$A$200&lt;&gt;"")*IF($C77="Included source errors",--(DATA_PROPERTY_MASTER!$E$5:$E$200="Yes"),--(DATA_PROPERTY_MASTER!$E$5:$E$200&lt;&gt;"Yes"))*--ISERROR(INDIRECT("'"&amp;DATA_PROPERTY_MASTER!$A$5:$A$200&amp;"'!"&amp;SUBSTITUTE(ADDRESS(1,COLUMN(W$5)+1,4),"1","")&amp;$B77)),0))</f>
        <v>0</v>
      </c>
      <c r="X77" s="348">
        <f ca="1">SUMPRODUCT(IFERROR((DATA_PROPERTY_MASTER!$A$5:$A$200&lt;&gt;"")*IF($C77="Included source errors",--(DATA_PROPERTY_MASTER!$E$5:$E$200="Yes"),--(DATA_PROPERTY_MASTER!$E$5:$E$200&lt;&gt;"Yes"))*--ISERROR(INDIRECT("'"&amp;DATA_PROPERTY_MASTER!$A$5:$A$200&amp;"'!"&amp;SUBSTITUTE(ADDRESS(1,COLUMN(X$5)+1,4),"1","")&amp;$B77)),0))</f>
        <v>0</v>
      </c>
    </row>
    <row r="78" spans="4:24">
      <c r="D78" s="348">
        <f ca="1">SUMPRODUCT(IFERROR((DATA_PROPERTY_MASTER!$A$5:$A$200&lt;&gt;"")*IF($C78="Included source errors",--(DATA_PROPERTY_MASTER!$E$5:$E$200="Yes"),--(DATA_PROPERTY_MASTER!$E$5:$E$200&lt;&gt;"Yes"))*--ISERROR(INDIRECT("'"&amp;DATA_PROPERTY_MASTER!$A$5:$A$200&amp;"'!"&amp;SUBSTITUTE(ADDRESS(1,COLUMN(D$5)+1,4),"1","")&amp;$B78)),0))</f>
        <v>0</v>
      </c>
      <c r="E78" s="348">
        <f ca="1">SUMPRODUCT(IFERROR((DATA_PROPERTY_MASTER!$A$5:$A$200&lt;&gt;"")*IF($C78="Included source errors",--(DATA_PROPERTY_MASTER!$E$5:$E$200="Yes"),--(DATA_PROPERTY_MASTER!$E$5:$E$200&lt;&gt;"Yes"))*--ISERROR(INDIRECT("'"&amp;DATA_PROPERTY_MASTER!$A$5:$A$200&amp;"'!"&amp;SUBSTITUTE(ADDRESS(1,COLUMN(E$5)+1,4),"1","")&amp;$B78)),0))</f>
        <v>0</v>
      </c>
      <c r="F78" s="348">
        <f ca="1">SUMPRODUCT(IFERROR((DATA_PROPERTY_MASTER!$A$5:$A$200&lt;&gt;"")*IF($C78="Included source errors",--(DATA_PROPERTY_MASTER!$E$5:$E$200="Yes"),--(DATA_PROPERTY_MASTER!$E$5:$E$200&lt;&gt;"Yes"))*--ISERROR(INDIRECT("'"&amp;DATA_PROPERTY_MASTER!$A$5:$A$200&amp;"'!"&amp;SUBSTITUTE(ADDRESS(1,COLUMN(F$5)+1,4),"1","")&amp;$B78)),0))</f>
        <v>0</v>
      </c>
      <c r="G78" s="348">
        <f ca="1">SUMPRODUCT(IFERROR((DATA_PROPERTY_MASTER!$A$5:$A$200&lt;&gt;"")*IF($C78="Included source errors",--(DATA_PROPERTY_MASTER!$E$5:$E$200="Yes"),--(DATA_PROPERTY_MASTER!$E$5:$E$200&lt;&gt;"Yes"))*--ISERROR(INDIRECT("'"&amp;DATA_PROPERTY_MASTER!$A$5:$A$200&amp;"'!"&amp;SUBSTITUTE(ADDRESS(1,COLUMN(G$5)+1,4),"1","")&amp;$B78)),0))</f>
        <v>0</v>
      </c>
      <c r="H78" s="348">
        <f ca="1">SUMPRODUCT(IFERROR((DATA_PROPERTY_MASTER!$A$5:$A$200&lt;&gt;"")*IF($C78="Included source errors",--(DATA_PROPERTY_MASTER!$E$5:$E$200="Yes"),--(DATA_PROPERTY_MASTER!$E$5:$E$200&lt;&gt;"Yes"))*--ISERROR(INDIRECT("'"&amp;DATA_PROPERTY_MASTER!$A$5:$A$200&amp;"'!"&amp;SUBSTITUTE(ADDRESS(1,COLUMN(H$5)+1,4),"1","")&amp;$B78)),0))</f>
        <v>0</v>
      </c>
      <c r="I78" s="348">
        <f ca="1">SUMPRODUCT(IFERROR((DATA_PROPERTY_MASTER!$A$5:$A$200&lt;&gt;"")*IF($C78="Included source errors",--(DATA_PROPERTY_MASTER!$E$5:$E$200="Yes"),--(DATA_PROPERTY_MASTER!$E$5:$E$200&lt;&gt;"Yes"))*--ISERROR(INDIRECT("'"&amp;DATA_PROPERTY_MASTER!$A$5:$A$200&amp;"'!"&amp;SUBSTITUTE(ADDRESS(1,COLUMN(I$5)+1,4),"1","")&amp;$B78)),0))</f>
        <v>0</v>
      </c>
      <c r="J78" s="348">
        <f ca="1">SUMPRODUCT(IFERROR((DATA_PROPERTY_MASTER!$A$5:$A$200&lt;&gt;"")*IF($C78="Included source errors",--(DATA_PROPERTY_MASTER!$E$5:$E$200="Yes"),--(DATA_PROPERTY_MASTER!$E$5:$E$200&lt;&gt;"Yes"))*--ISERROR(INDIRECT("'"&amp;DATA_PROPERTY_MASTER!$A$5:$A$200&amp;"'!"&amp;SUBSTITUTE(ADDRESS(1,COLUMN(J$5)+1,4),"1","")&amp;$B78)),0))</f>
        <v>0</v>
      </c>
      <c r="K78" s="348">
        <f ca="1">SUMPRODUCT(IFERROR((DATA_PROPERTY_MASTER!$A$5:$A$200&lt;&gt;"")*IF($C78="Included source errors",--(DATA_PROPERTY_MASTER!$E$5:$E$200="Yes"),--(DATA_PROPERTY_MASTER!$E$5:$E$200&lt;&gt;"Yes"))*--ISERROR(INDIRECT("'"&amp;DATA_PROPERTY_MASTER!$A$5:$A$200&amp;"'!"&amp;SUBSTITUTE(ADDRESS(1,COLUMN(K$5)+1,4),"1","")&amp;$B78)),0))</f>
        <v>0</v>
      </c>
      <c r="L78" s="348">
        <f ca="1">SUMPRODUCT(IFERROR((DATA_PROPERTY_MASTER!$A$5:$A$200&lt;&gt;"")*IF($C78="Included source errors",--(DATA_PROPERTY_MASTER!$E$5:$E$200="Yes"),--(DATA_PROPERTY_MASTER!$E$5:$E$200&lt;&gt;"Yes"))*--ISERROR(INDIRECT("'"&amp;DATA_PROPERTY_MASTER!$A$5:$A$200&amp;"'!"&amp;SUBSTITUTE(ADDRESS(1,COLUMN(L$5)+1,4),"1","")&amp;$B78)),0))</f>
        <v>0</v>
      </c>
      <c r="M78" s="348">
        <f ca="1">SUMPRODUCT(IFERROR((DATA_PROPERTY_MASTER!$A$5:$A$200&lt;&gt;"")*IF($C78="Included source errors",--(DATA_PROPERTY_MASTER!$E$5:$E$200="Yes"),--(DATA_PROPERTY_MASTER!$E$5:$E$200&lt;&gt;"Yes"))*--ISERROR(INDIRECT("'"&amp;DATA_PROPERTY_MASTER!$A$5:$A$200&amp;"'!"&amp;SUBSTITUTE(ADDRESS(1,COLUMN(M$5)+1,4),"1","")&amp;$B78)),0))</f>
        <v>0</v>
      </c>
      <c r="N78" s="348">
        <f ca="1">SUMPRODUCT(IFERROR((DATA_PROPERTY_MASTER!$A$5:$A$200&lt;&gt;"")*IF($C78="Included source errors",--(DATA_PROPERTY_MASTER!$E$5:$E$200="Yes"),--(DATA_PROPERTY_MASTER!$E$5:$E$200&lt;&gt;"Yes"))*--ISERROR(INDIRECT("'"&amp;DATA_PROPERTY_MASTER!$A$5:$A$200&amp;"'!"&amp;SUBSTITUTE(ADDRESS(1,COLUMN(N$5)+1,4),"1","")&amp;$B78)),0))</f>
        <v>0</v>
      </c>
      <c r="O78" s="348">
        <f ca="1">SUMPRODUCT(IFERROR((DATA_PROPERTY_MASTER!$A$5:$A$200&lt;&gt;"")*IF($C78="Included source errors",--(DATA_PROPERTY_MASTER!$E$5:$E$200="Yes"),--(DATA_PROPERTY_MASTER!$E$5:$E$200&lt;&gt;"Yes"))*--ISERROR(INDIRECT("'"&amp;DATA_PROPERTY_MASTER!$A$5:$A$200&amp;"'!"&amp;SUBSTITUTE(ADDRESS(1,COLUMN(O$5)+1,4),"1","")&amp;$B78)),0))</f>
        <v>0</v>
      </c>
      <c r="P78" s="348">
        <f ca="1">SUMPRODUCT(IFERROR((DATA_PROPERTY_MASTER!$A$5:$A$200&lt;&gt;"")*IF($C78="Included source errors",--(DATA_PROPERTY_MASTER!$E$5:$E$200="Yes"),--(DATA_PROPERTY_MASTER!$E$5:$E$200&lt;&gt;"Yes"))*--ISERROR(INDIRECT("'"&amp;DATA_PROPERTY_MASTER!$A$5:$A$200&amp;"'!"&amp;SUBSTITUTE(ADDRESS(1,COLUMN(P$5)+1,4),"1","")&amp;$B78)),0))</f>
        <v>0</v>
      </c>
      <c r="Q78" s="348">
        <f ca="1">SUMPRODUCT(IFERROR((DATA_PROPERTY_MASTER!$A$5:$A$200&lt;&gt;"")*IF($C78="Included source errors",--(DATA_PROPERTY_MASTER!$E$5:$E$200="Yes"),--(DATA_PROPERTY_MASTER!$E$5:$E$200&lt;&gt;"Yes"))*--ISERROR(INDIRECT("'"&amp;DATA_PROPERTY_MASTER!$A$5:$A$200&amp;"'!"&amp;SUBSTITUTE(ADDRESS(1,COLUMN(Q$5)+1,4),"1","")&amp;$B78)),0))</f>
        <v>0</v>
      </c>
      <c r="R78" s="348">
        <f ca="1">SUMPRODUCT(IFERROR((DATA_PROPERTY_MASTER!$A$5:$A$200&lt;&gt;"")*IF($C78="Included source errors",--(DATA_PROPERTY_MASTER!$E$5:$E$200="Yes"),--(DATA_PROPERTY_MASTER!$E$5:$E$200&lt;&gt;"Yes"))*--ISERROR(INDIRECT("'"&amp;DATA_PROPERTY_MASTER!$A$5:$A$200&amp;"'!"&amp;SUBSTITUTE(ADDRESS(1,COLUMN(R$5)+1,4),"1","")&amp;$B78)),0))</f>
        <v>0</v>
      </c>
      <c r="S78" s="348">
        <f ca="1">SUMPRODUCT(IFERROR((DATA_PROPERTY_MASTER!$A$5:$A$200&lt;&gt;"")*IF($C78="Included source errors",--(DATA_PROPERTY_MASTER!$E$5:$E$200="Yes"),--(DATA_PROPERTY_MASTER!$E$5:$E$200&lt;&gt;"Yes"))*--ISERROR(INDIRECT("'"&amp;DATA_PROPERTY_MASTER!$A$5:$A$200&amp;"'!"&amp;SUBSTITUTE(ADDRESS(1,COLUMN(S$5)+1,4),"1","")&amp;$B78)),0))</f>
        <v>0</v>
      </c>
      <c r="T78" s="348">
        <f ca="1">SUMPRODUCT(IFERROR((DATA_PROPERTY_MASTER!$A$5:$A$200&lt;&gt;"")*IF($C78="Included source errors",--(DATA_PROPERTY_MASTER!$E$5:$E$200="Yes"),--(DATA_PROPERTY_MASTER!$E$5:$E$200&lt;&gt;"Yes"))*--ISERROR(INDIRECT("'"&amp;DATA_PROPERTY_MASTER!$A$5:$A$200&amp;"'!"&amp;SUBSTITUTE(ADDRESS(1,COLUMN(T$5)+1,4),"1","")&amp;$B78)),0))</f>
        <v>0</v>
      </c>
      <c r="U78" s="348">
        <f ca="1">SUMPRODUCT(IFERROR((DATA_PROPERTY_MASTER!$A$5:$A$200&lt;&gt;"")*IF($C78="Included source errors",--(DATA_PROPERTY_MASTER!$E$5:$E$200="Yes"),--(DATA_PROPERTY_MASTER!$E$5:$E$200&lt;&gt;"Yes"))*--ISERROR(INDIRECT("'"&amp;DATA_PROPERTY_MASTER!$A$5:$A$200&amp;"'!"&amp;SUBSTITUTE(ADDRESS(1,COLUMN(U$5)+1,4),"1","")&amp;$B78)),0))</f>
        <v>0</v>
      </c>
      <c r="V78" s="348">
        <f ca="1">SUMPRODUCT(IFERROR((DATA_PROPERTY_MASTER!$A$5:$A$200&lt;&gt;"")*IF($C78="Included source errors",--(DATA_PROPERTY_MASTER!$E$5:$E$200="Yes"),--(DATA_PROPERTY_MASTER!$E$5:$E$200&lt;&gt;"Yes"))*--ISERROR(INDIRECT("'"&amp;DATA_PROPERTY_MASTER!$A$5:$A$200&amp;"'!"&amp;SUBSTITUTE(ADDRESS(1,COLUMN(V$5)+1,4),"1","")&amp;$B78)),0))</f>
        <v>0</v>
      </c>
      <c r="W78" s="348">
        <f ca="1">SUMPRODUCT(IFERROR((DATA_PROPERTY_MASTER!$A$5:$A$200&lt;&gt;"")*IF($C78="Included source errors",--(DATA_PROPERTY_MASTER!$E$5:$E$200="Yes"),--(DATA_PROPERTY_MASTER!$E$5:$E$200&lt;&gt;"Yes"))*--ISERROR(INDIRECT("'"&amp;DATA_PROPERTY_MASTER!$A$5:$A$200&amp;"'!"&amp;SUBSTITUTE(ADDRESS(1,COLUMN(W$5)+1,4),"1","")&amp;$B78)),0))</f>
        <v>0</v>
      </c>
      <c r="X78" s="348">
        <f ca="1">SUMPRODUCT(IFERROR((DATA_PROPERTY_MASTER!$A$5:$A$200&lt;&gt;"")*IF($C78="Included source errors",--(DATA_PROPERTY_MASTER!$E$5:$E$200="Yes"),--(DATA_PROPERTY_MASTER!$E$5:$E$200&lt;&gt;"Yes"))*--ISERROR(INDIRECT("'"&amp;DATA_PROPERTY_MASTER!$A$5:$A$200&amp;"'!"&amp;SUBSTITUTE(ADDRESS(1,COLUMN(X$5)+1,4),"1","")&amp;$B78)),0))</f>
        <v>0</v>
      </c>
    </row>
    <row r="79" spans="4:24">
      <c r="D79" s="348">
        <f ca="1">SUMPRODUCT(IFERROR((DATA_PROPERTY_MASTER!$A$5:$A$200&lt;&gt;"")*IF($C79="Included source errors",--(DATA_PROPERTY_MASTER!$E$5:$E$200="Yes"),--(DATA_PROPERTY_MASTER!$E$5:$E$200&lt;&gt;"Yes"))*--ISERROR(INDIRECT("'"&amp;DATA_PROPERTY_MASTER!$A$5:$A$200&amp;"'!"&amp;SUBSTITUTE(ADDRESS(1,COLUMN(D$5)+1,4),"1","")&amp;$B79)),0))</f>
        <v>0</v>
      </c>
      <c r="E79" s="348">
        <f ca="1">SUMPRODUCT(IFERROR((DATA_PROPERTY_MASTER!$A$5:$A$200&lt;&gt;"")*IF($C79="Included source errors",--(DATA_PROPERTY_MASTER!$E$5:$E$200="Yes"),--(DATA_PROPERTY_MASTER!$E$5:$E$200&lt;&gt;"Yes"))*--ISERROR(INDIRECT("'"&amp;DATA_PROPERTY_MASTER!$A$5:$A$200&amp;"'!"&amp;SUBSTITUTE(ADDRESS(1,COLUMN(E$5)+1,4),"1","")&amp;$B79)),0))</f>
        <v>0</v>
      </c>
      <c r="F79" s="348">
        <f ca="1">SUMPRODUCT(IFERROR((DATA_PROPERTY_MASTER!$A$5:$A$200&lt;&gt;"")*IF($C79="Included source errors",--(DATA_PROPERTY_MASTER!$E$5:$E$200="Yes"),--(DATA_PROPERTY_MASTER!$E$5:$E$200&lt;&gt;"Yes"))*--ISERROR(INDIRECT("'"&amp;DATA_PROPERTY_MASTER!$A$5:$A$200&amp;"'!"&amp;SUBSTITUTE(ADDRESS(1,COLUMN(F$5)+1,4),"1","")&amp;$B79)),0))</f>
        <v>0</v>
      </c>
      <c r="G79" s="348">
        <f ca="1">SUMPRODUCT(IFERROR((DATA_PROPERTY_MASTER!$A$5:$A$200&lt;&gt;"")*IF($C79="Included source errors",--(DATA_PROPERTY_MASTER!$E$5:$E$200="Yes"),--(DATA_PROPERTY_MASTER!$E$5:$E$200&lt;&gt;"Yes"))*--ISERROR(INDIRECT("'"&amp;DATA_PROPERTY_MASTER!$A$5:$A$200&amp;"'!"&amp;SUBSTITUTE(ADDRESS(1,COLUMN(G$5)+1,4),"1","")&amp;$B79)),0))</f>
        <v>0</v>
      </c>
      <c r="H79" s="348">
        <f ca="1">SUMPRODUCT(IFERROR((DATA_PROPERTY_MASTER!$A$5:$A$200&lt;&gt;"")*IF($C79="Included source errors",--(DATA_PROPERTY_MASTER!$E$5:$E$200="Yes"),--(DATA_PROPERTY_MASTER!$E$5:$E$200&lt;&gt;"Yes"))*--ISERROR(INDIRECT("'"&amp;DATA_PROPERTY_MASTER!$A$5:$A$200&amp;"'!"&amp;SUBSTITUTE(ADDRESS(1,COLUMN(H$5)+1,4),"1","")&amp;$B79)),0))</f>
        <v>0</v>
      </c>
      <c r="I79" s="348">
        <f ca="1">SUMPRODUCT(IFERROR((DATA_PROPERTY_MASTER!$A$5:$A$200&lt;&gt;"")*IF($C79="Included source errors",--(DATA_PROPERTY_MASTER!$E$5:$E$200="Yes"),--(DATA_PROPERTY_MASTER!$E$5:$E$200&lt;&gt;"Yes"))*--ISERROR(INDIRECT("'"&amp;DATA_PROPERTY_MASTER!$A$5:$A$200&amp;"'!"&amp;SUBSTITUTE(ADDRESS(1,COLUMN(I$5)+1,4),"1","")&amp;$B79)),0))</f>
        <v>0</v>
      </c>
      <c r="J79" s="348">
        <f ca="1">SUMPRODUCT(IFERROR((DATA_PROPERTY_MASTER!$A$5:$A$200&lt;&gt;"")*IF($C79="Included source errors",--(DATA_PROPERTY_MASTER!$E$5:$E$200="Yes"),--(DATA_PROPERTY_MASTER!$E$5:$E$200&lt;&gt;"Yes"))*--ISERROR(INDIRECT("'"&amp;DATA_PROPERTY_MASTER!$A$5:$A$200&amp;"'!"&amp;SUBSTITUTE(ADDRESS(1,COLUMN(J$5)+1,4),"1","")&amp;$B79)),0))</f>
        <v>0</v>
      </c>
      <c r="K79" s="348">
        <f ca="1">SUMPRODUCT(IFERROR((DATA_PROPERTY_MASTER!$A$5:$A$200&lt;&gt;"")*IF($C79="Included source errors",--(DATA_PROPERTY_MASTER!$E$5:$E$200="Yes"),--(DATA_PROPERTY_MASTER!$E$5:$E$200&lt;&gt;"Yes"))*--ISERROR(INDIRECT("'"&amp;DATA_PROPERTY_MASTER!$A$5:$A$200&amp;"'!"&amp;SUBSTITUTE(ADDRESS(1,COLUMN(K$5)+1,4),"1","")&amp;$B79)),0))</f>
        <v>0</v>
      </c>
      <c r="L79" s="348">
        <f ca="1">SUMPRODUCT(IFERROR((DATA_PROPERTY_MASTER!$A$5:$A$200&lt;&gt;"")*IF($C79="Included source errors",--(DATA_PROPERTY_MASTER!$E$5:$E$200="Yes"),--(DATA_PROPERTY_MASTER!$E$5:$E$200&lt;&gt;"Yes"))*--ISERROR(INDIRECT("'"&amp;DATA_PROPERTY_MASTER!$A$5:$A$200&amp;"'!"&amp;SUBSTITUTE(ADDRESS(1,COLUMN(L$5)+1,4),"1","")&amp;$B79)),0))</f>
        <v>0</v>
      </c>
      <c r="M79" s="348">
        <f ca="1">SUMPRODUCT(IFERROR((DATA_PROPERTY_MASTER!$A$5:$A$200&lt;&gt;"")*IF($C79="Included source errors",--(DATA_PROPERTY_MASTER!$E$5:$E$200="Yes"),--(DATA_PROPERTY_MASTER!$E$5:$E$200&lt;&gt;"Yes"))*--ISERROR(INDIRECT("'"&amp;DATA_PROPERTY_MASTER!$A$5:$A$200&amp;"'!"&amp;SUBSTITUTE(ADDRESS(1,COLUMN(M$5)+1,4),"1","")&amp;$B79)),0))</f>
        <v>0</v>
      </c>
      <c r="N79" s="348">
        <f ca="1">SUMPRODUCT(IFERROR((DATA_PROPERTY_MASTER!$A$5:$A$200&lt;&gt;"")*IF($C79="Included source errors",--(DATA_PROPERTY_MASTER!$E$5:$E$200="Yes"),--(DATA_PROPERTY_MASTER!$E$5:$E$200&lt;&gt;"Yes"))*--ISERROR(INDIRECT("'"&amp;DATA_PROPERTY_MASTER!$A$5:$A$200&amp;"'!"&amp;SUBSTITUTE(ADDRESS(1,COLUMN(N$5)+1,4),"1","")&amp;$B79)),0))</f>
        <v>0</v>
      </c>
      <c r="O79" s="348">
        <f ca="1">SUMPRODUCT(IFERROR((DATA_PROPERTY_MASTER!$A$5:$A$200&lt;&gt;"")*IF($C79="Included source errors",--(DATA_PROPERTY_MASTER!$E$5:$E$200="Yes"),--(DATA_PROPERTY_MASTER!$E$5:$E$200&lt;&gt;"Yes"))*--ISERROR(INDIRECT("'"&amp;DATA_PROPERTY_MASTER!$A$5:$A$200&amp;"'!"&amp;SUBSTITUTE(ADDRESS(1,COLUMN(O$5)+1,4),"1","")&amp;$B79)),0))</f>
        <v>0</v>
      </c>
      <c r="P79" s="348">
        <f ca="1">SUMPRODUCT(IFERROR((DATA_PROPERTY_MASTER!$A$5:$A$200&lt;&gt;"")*IF($C79="Included source errors",--(DATA_PROPERTY_MASTER!$E$5:$E$200="Yes"),--(DATA_PROPERTY_MASTER!$E$5:$E$200&lt;&gt;"Yes"))*--ISERROR(INDIRECT("'"&amp;DATA_PROPERTY_MASTER!$A$5:$A$200&amp;"'!"&amp;SUBSTITUTE(ADDRESS(1,COLUMN(P$5)+1,4),"1","")&amp;$B79)),0))</f>
        <v>0</v>
      </c>
      <c r="Q79" s="348">
        <f ca="1">SUMPRODUCT(IFERROR((DATA_PROPERTY_MASTER!$A$5:$A$200&lt;&gt;"")*IF($C79="Included source errors",--(DATA_PROPERTY_MASTER!$E$5:$E$200="Yes"),--(DATA_PROPERTY_MASTER!$E$5:$E$200&lt;&gt;"Yes"))*--ISERROR(INDIRECT("'"&amp;DATA_PROPERTY_MASTER!$A$5:$A$200&amp;"'!"&amp;SUBSTITUTE(ADDRESS(1,COLUMN(Q$5)+1,4),"1","")&amp;$B79)),0))</f>
        <v>0</v>
      </c>
      <c r="R79" s="348">
        <f ca="1">SUMPRODUCT(IFERROR((DATA_PROPERTY_MASTER!$A$5:$A$200&lt;&gt;"")*IF($C79="Included source errors",--(DATA_PROPERTY_MASTER!$E$5:$E$200="Yes"),--(DATA_PROPERTY_MASTER!$E$5:$E$200&lt;&gt;"Yes"))*--ISERROR(INDIRECT("'"&amp;DATA_PROPERTY_MASTER!$A$5:$A$200&amp;"'!"&amp;SUBSTITUTE(ADDRESS(1,COLUMN(R$5)+1,4),"1","")&amp;$B79)),0))</f>
        <v>0</v>
      </c>
      <c r="S79" s="348">
        <f ca="1">SUMPRODUCT(IFERROR((DATA_PROPERTY_MASTER!$A$5:$A$200&lt;&gt;"")*IF($C79="Included source errors",--(DATA_PROPERTY_MASTER!$E$5:$E$200="Yes"),--(DATA_PROPERTY_MASTER!$E$5:$E$200&lt;&gt;"Yes"))*--ISERROR(INDIRECT("'"&amp;DATA_PROPERTY_MASTER!$A$5:$A$200&amp;"'!"&amp;SUBSTITUTE(ADDRESS(1,COLUMN(S$5)+1,4),"1","")&amp;$B79)),0))</f>
        <v>0</v>
      </c>
      <c r="T79" s="348">
        <f ca="1">SUMPRODUCT(IFERROR((DATA_PROPERTY_MASTER!$A$5:$A$200&lt;&gt;"")*IF($C79="Included source errors",--(DATA_PROPERTY_MASTER!$E$5:$E$200="Yes"),--(DATA_PROPERTY_MASTER!$E$5:$E$200&lt;&gt;"Yes"))*--ISERROR(INDIRECT("'"&amp;DATA_PROPERTY_MASTER!$A$5:$A$200&amp;"'!"&amp;SUBSTITUTE(ADDRESS(1,COLUMN(T$5)+1,4),"1","")&amp;$B79)),0))</f>
        <v>0</v>
      </c>
      <c r="U79" s="348">
        <f ca="1">SUMPRODUCT(IFERROR((DATA_PROPERTY_MASTER!$A$5:$A$200&lt;&gt;"")*IF($C79="Included source errors",--(DATA_PROPERTY_MASTER!$E$5:$E$200="Yes"),--(DATA_PROPERTY_MASTER!$E$5:$E$200&lt;&gt;"Yes"))*--ISERROR(INDIRECT("'"&amp;DATA_PROPERTY_MASTER!$A$5:$A$200&amp;"'!"&amp;SUBSTITUTE(ADDRESS(1,COLUMN(U$5)+1,4),"1","")&amp;$B79)),0))</f>
        <v>0</v>
      </c>
      <c r="V79" s="348">
        <f ca="1">SUMPRODUCT(IFERROR((DATA_PROPERTY_MASTER!$A$5:$A$200&lt;&gt;"")*IF($C79="Included source errors",--(DATA_PROPERTY_MASTER!$E$5:$E$200="Yes"),--(DATA_PROPERTY_MASTER!$E$5:$E$200&lt;&gt;"Yes"))*--ISERROR(INDIRECT("'"&amp;DATA_PROPERTY_MASTER!$A$5:$A$200&amp;"'!"&amp;SUBSTITUTE(ADDRESS(1,COLUMN(V$5)+1,4),"1","")&amp;$B79)),0))</f>
        <v>0</v>
      </c>
      <c r="W79" s="348">
        <f ca="1">SUMPRODUCT(IFERROR((DATA_PROPERTY_MASTER!$A$5:$A$200&lt;&gt;"")*IF($C79="Included source errors",--(DATA_PROPERTY_MASTER!$E$5:$E$200="Yes"),--(DATA_PROPERTY_MASTER!$E$5:$E$200&lt;&gt;"Yes"))*--ISERROR(INDIRECT("'"&amp;DATA_PROPERTY_MASTER!$A$5:$A$200&amp;"'!"&amp;SUBSTITUTE(ADDRESS(1,COLUMN(W$5)+1,4),"1","")&amp;$B79)),0))</f>
        <v>0</v>
      </c>
      <c r="X79" s="348">
        <f ca="1">SUMPRODUCT(IFERROR((DATA_PROPERTY_MASTER!$A$5:$A$200&lt;&gt;"")*IF($C79="Included source errors",--(DATA_PROPERTY_MASTER!$E$5:$E$200="Yes"),--(DATA_PROPERTY_MASTER!$E$5:$E$200&lt;&gt;"Yes"))*--ISERROR(INDIRECT("'"&amp;DATA_PROPERTY_MASTER!$A$5:$A$200&amp;"'!"&amp;SUBSTITUTE(ADDRESS(1,COLUMN(X$5)+1,4),"1","")&amp;$B79)),0))</f>
        <v>0</v>
      </c>
    </row>
    <row r="80" spans="4:24">
      <c r="D80" s="348">
        <f ca="1">SUMPRODUCT(IFERROR((DATA_PROPERTY_MASTER!$A$5:$A$200&lt;&gt;"")*IF($C80="Included source errors",--(DATA_PROPERTY_MASTER!$E$5:$E$200="Yes"),--(DATA_PROPERTY_MASTER!$E$5:$E$200&lt;&gt;"Yes"))*--ISERROR(INDIRECT("'"&amp;DATA_PROPERTY_MASTER!$A$5:$A$200&amp;"'!"&amp;SUBSTITUTE(ADDRESS(1,COLUMN(D$5)+1,4),"1","")&amp;$B80)),0))</f>
        <v>0</v>
      </c>
      <c r="E80" s="348">
        <f ca="1">SUMPRODUCT(IFERROR((DATA_PROPERTY_MASTER!$A$5:$A$200&lt;&gt;"")*IF($C80="Included source errors",--(DATA_PROPERTY_MASTER!$E$5:$E$200="Yes"),--(DATA_PROPERTY_MASTER!$E$5:$E$200&lt;&gt;"Yes"))*--ISERROR(INDIRECT("'"&amp;DATA_PROPERTY_MASTER!$A$5:$A$200&amp;"'!"&amp;SUBSTITUTE(ADDRESS(1,COLUMN(E$5)+1,4),"1","")&amp;$B80)),0))</f>
        <v>0</v>
      </c>
      <c r="F80" s="348">
        <f ca="1">SUMPRODUCT(IFERROR((DATA_PROPERTY_MASTER!$A$5:$A$200&lt;&gt;"")*IF($C80="Included source errors",--(DATA_PROPERTY_MASTER!$E$5:$E$200="Yes"),--(DATA_PROPERTY_MASTER!$E$5:$E$200&lt;&gt;"Yes"))*--ISERROR(INDIRECT("'"&amp;DATA_PROPERTY_MASTER!$A$5:$A$200&amp;"'!"&amp;SUBSTITUTE(ADDRESS(1,COLUMN(F$5)+1,4),"1","")&amp;$B80)),0))</f>
        <v>0</v>
      </c>
      <c r="G80" s="348">
        <f ca="1">SUMPRODUCT(IFERROR((DATA_PROPERTY_MASTER!$A$5:$A$200&lt;&gt;"")*IF($C80="Included source errors",--(DATA_PROPERTY_MASTER!$E$5:$E$200="Yes"),--(DATA_PROPERTY_MASTER!$E$5:$E$200&lt;&gt;"Yes"))*--ISERROR(INDIRECT("'"&amp;DATA_PROPERTY_MASTER!$A$5:$A$200&amp;"'!"&amp;SUBSTITUTE(ADDRESS(1,COLUMN(G$5)+1,4),"1","")&amp;$B80)),0))</f>
        <v>0</v>
      </c>
      <c r="H80" s="348">
        <f ca="1">SUMPRODUCT(IFERROR((DATA_PROPERTY_MASTER!$A$5:$A$200&lt;&gt;"")*IF($C80="Included source errors",--(DATA_PROPERTY_MASTER!$E$5:$E$200="Yes"),--(DATA_PROPERTY_MASTER!$E$5:$E$200&lt;&gt;"Yes"))*--ISERROR(INDIRECT("'"&amp;DATA_PROPERTY_MASTER!$A$5:$A$200&amp;"'!"&amp;SUBSTITUTE(ADDRESS(1,COLUMN(H$5)+1,4),"1","")&amp;$B80)),0))</f>
        <v>0</v>
      </c>
      <c r="I80" s="348">
        <f ca="1">SUMPRODUCT(IFERROR((DATA_PROPERTY_MASTER!$A$5:$A$200&lt;&gt;"")*IF($C80="Included source errors",--(DATA_PROPERTY_MASTER!$E$5:$E$200="Yes"),--(DATA_PROPERTY_MASTER!$E$5:$E$200&lt;&gt;"Yes"))*--ISERROR(INDIRECT("'"&amp;DATA_PROPERTY_MASTER!$A$5:$A$200&amp;"'!"&amp;SUBSTITUTE(ADDRESS(1,COLUMN(I$5)+1,4),"1","")&amp;$B80)),0))</f>
        <v>0</v>
      </c>
      <c r="J80" s="348">
        <f ca="1">SUMPRODUCT(IFERROR((DATA_PROPERTY_MASTER!$A$5:$A$200&lt;&gt;"")*IF($C80="Included source errors",--(DATA_PROPERTY_MASTER!$E$5:$E$200="Yes"),--(DATA_PROPERTY_MASTER!$E$5:$E$200&lt;&gt;"Yes"))*--ISERROR(INDIRECT("'"&amp;DATA_PROPERTY_MASTER!$A$5:$A$200&amp;"'!"&amp;SUBSTITUTE(ADDRESS(1,COLUMN(J$5)+1,4),"1","")&amp;$B80)),0))</f>
        <v>0</v>
      </c>
      <c r="K80" s="348">
        <f ca="1">SUMPRODUCT(IFERROR((DATA_PROPERTY_MASTER!$A$5:$A$200&lt;&gt;"")*IF($C80="Included source errors",--(DATA_PROPERTY_MASTER!$E$5:$E$200="Yes"),--(DATA_PROPERTY_MASTER!$E$5:$E$200&lt;&gt;"Yes"))*--ISERROR(INDIRECT("'"&amp;DATA_PROPERTY_MASTER!$A$5:$A$200&amp;"'!"&amp;SUBSTITUTE(ADDRESS(1,COLUMN(K$5)+1,4),"1","")&amp;$B80)),0))</f>
        <v>0</v>
      </c>
      <c r="L80" s="348">
        <f ca="1">SUMPRODUCT(IFERROR((DATA_PROPERTY_MASTER!$A$5:$A$200&lt;&gt;"")*IF($C80="Included source errors",--(DATA_PROPERTY_MASTER!$E$5:$E$200="Yes"),--(DATA_PROPERTY_MASTER!$E$5:$E$200&lt;&gt;"Yes"))*--ISERROR(INDIRECT("'"&amp;DATA_PROPERTY_MASTER!$A$5:$A$200&amp;"'!"&amp;SUBSTITUTE(ADDRESS(1,COLUMN(L$5)+1,4),"1","")&amp;$B80)),0))</f>
        <v>0</v>
      </c>
      <c r="M80" s="348">
        <f ca="1">SUMPRODUCT(IFERROR((DATA_PROPERTY_MASTER!$A$5:$A$200&lt;&gt;"")*IF($C80="Included source errors",--(DATA_PROPERTY_MASTER!$E$5:$E$200="Yes"),--(DATA_PROPERTY_MASTER!$E$5:$E$200&lt;&gt;"Yes"))*--ISERROR(INDIRECT("'"&amp;DATA_PROPERTY_MASTER!$A$5:$A$200&amp;"'!"&amp;SUBSTITUTE(ADDRESS(1,COLUMN(M$5)+1,4),"1","")&amp;$B80)),0))</f>
        <v>0</v>
      </c>
      <c r="N80" s="348">
        <f ca="1">SUMPRODUCT(IFERROR((DATA_PROPERTY_MASTER!$A$5:$A$200&lt;&gt;"")*IF($C80="Included source errors",--(DATA_PROPERTY_MASTER!$E$5:$E$200="Yes"),--(DATA_PROPERTY_MASTER!$E$5:$E$200&lt;&gt;"Yes"))*--ISERROR(INDIRECT("'"&amp;DATA_PROPERTY_MASTER!$A$5:$A$200&amp;"'!"&amp;SUBSTITUTE(ADDRESS(1,COLUMN(N$5)+1,4),"1","")&amp;$B80)),0))</f>
        <v>0</v>
      </c>
      <c r="O80" s="348">
        <f ca="1">SUMPRODUCT(IFERROR((DATA_PROPERTY_MASTER!$A$5:$A$200&lt;&gt;"")*IF($C80="Included source errors",--(DATA_PROPERTY_MASTER!$E$5:$E$200="Yes"),--(DATA_PROPERTY_MASTER!$E$5:$E$200&lt;&gt;"Yes"))*--ISERROR(INDIRECT("'"&amp;DATA_PROPERTY_MASTER!$A$5:$A$200&amp;"'!"&amp;SUBSTITUTE(ADDRESS(1,COLUMN(O$5)+1,4),"1","")&amp;$B80)),0))</f>
        <v>0</v>
      </c>
      <c r="P80" s="348">
        <f ca="1">SUMPRODUCT(IFERROR((DATA_PROPERTY_MASTER!$A$5:$A$200&lt;&gt;"")*IF($C80="Included source errors",--(DATA_PROPERTY_MASTER!$E$5:$E$200="Yes"),--(DATA_PROPERTY_MASTER!$E$5:$E$200&lt;&gt;"Yes"))*--ISERROR(INDIRECT("'"&amp;DATA_PROPERTY_MASTER!$A$5:$A$200&amp;"'!"&amp;SUBSTITUTE(ADDRESS(1,COLUMN(P$5)+1,4),"1","")&amp;$B80)),0))</f>
        <v>0</v>
      </c>
      <c r="Q80" s="348">
        <f ca="1">SUMPRODUCT(IFERROR((DATA_PROPERTY_MASTER!$A$5:$A$200&lt;&gt;"")*IF($C80="Included source errors",--(DATA_PROPERTY_MASTER!$E$5:$E$200="Yes"),--(DATA_PROPERTY_MASTER!$E$5:$E$200&lt;&gt;"Yes"))*--ISERROR(INDIRECT("'"&amp;DATA_PROPERTY_MASTER!$A$5:$A$200&amp;"'!"&amp;SUBSTITUTE(ADDRESS(1,COLUMN(Q$5)+1,4),"1","")&amp;$B80)),0))</f>
        <v>0</v>
      </c>
      <c r="R80" s="348">
        <f ca="1">SUMPRODUCT(IFERROR((DATA_PROPERTY_MASTER!$A$5:$A$200&lt;&gt;"")*IF($C80="Included source errors",--(DATA_PROPERTY_MASTER!$E$5:$E$200="Yes"),--(DATA_PROPERTY_MASTER!$E$5:$E$200&lt;&gt;"Yes"))*--ISERROR(INDIRECT("'"&amp;DATA_PROPERTY_MASTER!$A$5:$A$200&amp;"'!"&amp;SUBSTITUTE(ADDRESS(1,COLUMN(R$5)+1,4),"1","")&amp;$B80)),0))</f>
        <v>0</v>
      </c>
      <c r="S80" s="348">
        <f ca="1">SUMPRODUCT(IFERROR((DATA_PROPERTY_MASTER!$A$5:$A$200&lt;&gt;"")*IF($C80="Included source errors",--(DATA_PROPERTY_MASTER!$E$5:$E$200="Yes"),--(DATA_PROPERTY_MASTER!$E$5:$E$200&lt;&gt;"Yes"))*--ISERROR(INDIRECT("'"&amp;DATA_PROPERTY_MASTER!$A$5:$A$200&amp;"'!"&amp;SUBSTITUTE(ADDRESS(1,COLUMN(S$5)+1,4),"1","")&amp;$B80)),0))</f>
        <v>0</v>
      </c>
      <c r="T80" s="348">
        <f ca="1">SUMPRODUCT(IFERROR((DATA_PROPERTY_MASTER!$A$5:$A$200&lt;&gt;"")*IF($C80="Included source errors",--(DATA_PROPERTY_MASTER!$E$5:$E$200="Yes"),--(DATA_PROPERTY_MASTER!$E$5:$E$200&lt;&gt;"Yes"))*--ISERROR(INDIRECT("'"&amp;DATA_PROPERTY_MASTER!$A$5:$A$200&amp;"'!"&amp;SUBSTITUTE(ADDRESS(1,COLUMN(T$5)+1,4),"1","")&amp;$B80)),0))</f>
        <v>0</v>
      </c>
      <c r="U80" s="348">
        <f ca="1">SUMPRODUCT(IFERROR((DATA_PROPERTY_MASTER!$A$5:$A$200&lt;&gt;"")*IF($C80="Included source errors",--(DATA_PROPERTY_MASTER!$E$5:$E$200="Yes"),--(DATA_PROPERTY_MASTER!$E$5:$E$200&lt;&gt;"Yes"))*--ISERROR(INDIRECT("'"&amp;DATA_PROPERTY_MASTER!$A$5:$A$200&amp;"'!"&amp;SUBSTITUTE(ADDRESS(1,COLUMN(U$5)+1,4),"1","")&amp;$B80)),0))</f>
        <v>0</v>
      </c>
      <c r="V80" s="348">
        <f ca="1">SUMPRODUCT(IFERROR((DATA_PROPERTY_MASTER!$A$5:$A$200&lt;&gt;"")*IF($C80="Included source errors",--(DATA_PROPERTY_MASTER!$E$5:$E$200="Yes"),--(DATA_PROPERTY_MASTER!$E$5:$E$200&lt;&gt;"Yes"))*--ISERROR(INDIRECT("'"&amp;DATA_PROPERTY_MASTER!$A$5:$A$200&amp;"'!"&amp;SUBSTITUTE(ADDRESS(1,COLUMN(V$5)+1,4),"1","")&amp;$B80)),0))</f>
        <v>0</v>
      </c>
      <c r="W80" s="348">
        <f ca="1">SUMPRODUCT(IFERROR((DATA_PROPERTY_MASTER!$A$5:$A$200&lt;&gt;"")*IF($C80="Included source errors",--(DATA_PROPERTY_MASTER!$E$5:$E$200="Yes"),--(DATA_PROPERTY_MASTER!$E$5:$E$200&lt;&gt;"Yes"))*--ISERROR(INDIRECT("'"&amp;DATA_PROPERTY_MASTER!$A$5:$A$200&amp;"'!"&amp;SUBSTITUTE(ADDRESS(1,COLUMN(W$5)+1,4),"1","")&amp;$B80)),0))</f>
        <v>0</v>
      </c>
      <c r="X80" s="348">
        <f ca="1">SUMPRODUCT(IFERROR((DATA_PROPERTY_MASTER!$A$5:$A$200&lt;&gt;"")*IF($C80="Included source errors",--(DATA_PROPERTY_MASTER!$E$5:$E$200="Yes"),--(DATA_PROPERTY_MASTER!$E$5:$E$200&lt;&gt;"Yes"))*--ISERROR(INDIRECT("'"&amp;DATA_PROPERTY_MASTER!$A$5:$A$200&amp;"'!"&amp;SUBSTITUTE(ADDRESS(1,COLUMN(X$5)+1,4),"1","")&amp;$B80)),0))</f>
        <v>0</v>
      </c>
    </row>
  </sheetData>
  <conditionalFormatting sqref="A5:Z200">
    <cfRule type="expression" dxfId="10" priority="1">
      <formula>OR(ISNUMBER(SEARCH("FAIL",A5)),ISNUMBER(SEARCH("Review",A5)),ISNUMBER(SEARCH("Missing",A5)),ISNUMBER(SEARCH("OPEN",A5)),ISNUMBER(SEARCH("Suppressed",A5)))</formula>
    </cfRule>
  </conditionalFormatting>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8C31A-471A-4074-8541-93ADA4E27340}">
  <sheetPr>
    <tabColor rgb="FF70AD47"/>
  </sheetPr>
  <dimension ref="A1:M57"/>
  <sheetViews>
    <sheetView workbookViewId="0">
      <pane ySplit="10" topLeftCell="A45" activePane="bottomLeft" state="frozen"/>
      <selection pane="bottomLeft" activeCell="G51" sqref="G51"/>
    </sheetView>
  </sheetViews>
  <sheetFormatPr defaultColWidth="8.7109375" defaultRowHeight="15"/>
  <cols>
    <col min="1" max="1" width="22" customWidth="1"/>
    <col min="2" max="5" width="16" customWidth="1"/>
    <col min="6" max="6" width="18" customWidth="1"/>
    <col min="7" max="7" width="36" customWidth="1"/>
    <col min="8" max="9" width="16" customWidth="1"/>
    <col min="10" max="10" width="20" customWidth="1"/>
    <col min="11" max="11" width="16" customWidth="1"/>
    <col min="12" max="12" width="38" customWidth="1"/>
    <col min="14" max="18" width="15.7109375" customWidth="1"/>
  </cols>
  <sheetData>
    <row r="1" spans="1:13" ht="27.95" customHeight="1">
      <c r="A1" s="495" t="s">
        <v>0</v>
      </c>
      <c r="B1" s="496"/>
      <c r="C1" s="496"/>
      <c r="D1" s="496"/>
      <c r="E1" s="496"/>
      <c r="F1" s="496"/>
      <c r="G1" s="496"/>
      <c r="H1" s="496"/>
      <c r="I1" s="496"/>
      <c r="J1" s="496"/>
      <c r="K1" s="496"/>
      <c r="L1" s="496"/>
      <c r="M1" s="207"/>
    </row>
    <row r="2" spans="1:13" ht="37.5" customHeight="1">
      <c r="A2" s="493" t="s">
        <v>1</v>
      </c>
      <c r="B2" s="424"/>
      <c r="C2" s="424"/>
      <c r="D2" s="424"/>
      <c r="E2" s="424"/>
      <c r="F2" s="424"/>
      <c r="G2" s="424"/>
      <c r="H2" s="424"/>
      <c r="I2" s="424"/>
      <c r="J2" s="424"/>
      <c r="K2" s="424"/>
      <c r="L2" s="424"/>
      <c r="M2" s="207"/>
    </row>
    <row r="3" spans="1:13" ht="6" customHeight="1">
      <c r="A3" s="207"/>
      <c r="B3" s="207"/>
      <c r="C3" s="207"/>
      <c r="D3" s="207"/>
      <c r="E3" s="207"/>
      <c r="F3" s="207"/>
      <c r="G3" s="207"/>
      <c r="H3" s="207"/>
      <c r="I3" s="207"/>
      <c r="J3" s="207"/>
      <c r="K3" s="207"/>
      <c r="L3" s="207"/>
      <c r="M3" s="207"/>
    </row>
    <row r="4" spans="1:13" ht="21.95" customHeight="1">
      <c r="A4" s="495" t="s">
        <v>2</v>
      </c>
      <c r="B4" s="496"/>
      <c r="C4" s="496"/>
      <c r="D4" s="496"/>
      <c r="E4" s="496"/>
      <c r="F4" s="496"/>
      <c r="G4" s="496"/>
      <c r="H4" s="496"/>
      <c r="I4" s="496"/>
      <c r="J4" s="496"/>
      <c r="K4" s="496"/>
      <c r="L4" s="496"/>
      <c r="M4" s="207"/>
    </row>
    <row r="5" spans="1:13" ht="6" customHeight="1">
      <c r="A5" s="217" t="s">
        <v>3</v>
      </c>
      <c r="B5" s="218">
        <f>COUNTIFS(DATA_ASSET_CLASSIFICATION!$C$8:$C$24,"Yes")</f>
        <v>16</v>
      </c>
      <c r="C5" s="217" t="s">
        <v>4</v>
      </c>
      <c r="D5" s="218">
        <f>SUMIFS(DATA_ASSET_CLASSIFICATION!$E$8:$E$24,DATA_ASSET_CLASSIFICATION!$C$8:$C$24,"Yes")</f>
        <v>1076</v>
      </c>
      <c r="E5" s="217" t="s">
        <v>5</v>
      </c>
      <c r="F5" s="218">
        <f ca="1">COUNTIF(DATA_ASSET_CLASSIFICATION!$U$8:$U$24,"Excluded")</f>
        <v>1</v>
      </c>
      <c r="G5" s="217" t="s">
        <v>6</v>
      </c>
      <c r="H5" s="217" t="str">
        <f ca="1">IF(COUNTIF(DATA_ASSET_CLASSIFICATION!$X$8:$X$24,"&lt;&gt;OK")=0,"OK","REVIEW")</f>
        <v>OK</v>
      </c>
      <c r="I5" s="217" t="s">
        <v>7</v>
      </c>
      <c r="J5" s="217" t="str">
        <f ca="1">IF(COUNTIF(DATA_CAPITAL_FLOW_RECON!$H$5:$H$293,"CHECK")=0,"OK","CHECK")</f>
        <v>CHECK</v>
      </c>
      <c r="K5" s="217" t="s">
        <v>8</v>
      </c>
      <c r="L5" s="218">
        <f ca="1">DATA_AGGREGATION_AUDIT!$B$2</f>
        <v>0</v>
      </c>
      <c r="M5" s="207"/>
    </row>
    <row r="6" spans="1:13" ht="13.5" customHeight="1">
      <c r="A6" s="208" t="s">
        <v>9</v>
      </c>
      <c r="B6" s="219">
        <f>'00_MODEL_CONTROL'!$B$31</f>
        <v>2026</v>
      </c>
      <c r="C6" s="208" t="s">
        <v>10</v>
      </c>
      <c r="D6" s="219">
        <f>DATA_ASSET_CLASSIFICATION!$A$5</f>
        <v>2035</v>
      </c>
      <c r="E6" s="208" t="s">
        <v>11</v>
      </c>
      <c r="F6" s="219">
        <f>'00_PORTFOLIO ROLLUP'!$E$4</f>
        <v>2035</v>
      </c>
      <c r="G6" s="208" t="s">
        <v>12</v>
      </c>
      <c r="H6" s="220">
        <f>'00_PORTFOLIO ROLLUP'!$E$3</f>
        <v>0.06</v>
      </c>
      <c r="I6" s="208" t="s">
        <v>13</v>
      </c>
      <c r="J6" s="220">
        <f>'00_PORTFOLIO ROLLUP'!$E$2</f>
        <v>0.6</v>
      </c>
      <c r="K6" s="208" t="s">
        <v>14</v>
      </c>
      <c r="L6" s="219" t="str">
        <f>IF(ISREF(LEGACY_INVESTOR_SUMMARY!B2),"Preserved","Missing")</f>
        <v>Preserved</v>
      </c>
      <c r="M6" s="207"/>
    </row>
    <row r="7" spans="1:13" ht="18" customHeight="1">
      <c r="A7" s="207"/>
      <c r="B7" s="207"/>
      <c r="C7" s="207"/>
      <c r="D7" s="207"/>
      <c r="E7" s="207"/>
      <c r="F7" s="207"/>
      <c r="G7" s="207"/>
      <c r="H7" s="207"/>
      <c r="I7" s="207"/>
      <c r="J7" s="207"/>
      <c r="K7" s="207"/>
      <c r="L7" s="207"/>
      <c r="M7" s="207"/>
    </row>
    <row r="8" spans="1:13" ht="25.5" customHeight="1">
      <c r="A8" s="492" t="s">
        <v>15</v>
      </c>
      <c r="B8" s="424"/>
      <c r="C8" s="424"/>
      <c r="D8" s="424"/>
      <c r="E8" s="424"/>
      <c r="F8" s="424"/>
      <c r="G8" s="424"/>
      <c r="H8" s="424"/>
      <c r="I8" s="424"/>
      <c r="J8" s="424"/>
      <c r="K8" s="424"/>
      <c r="L8" s="424"/>
      <c r="M8" s="207"/>
    </row>
    <row r="9" spans="1:13" ht="15.75" customHeight="1">
      <c r="A9" s="207"/>
      <c r="B9" s="207"/>
      <c r="C9" s="207"/>
      <c r="D9" s="207"/>
      <c r="E9" s="207"/>
      <c r="F9" s="207"/>
      <c r="G9" s="207"/>
      <c r="H9" s="207"/>
      <c r="I9" s="207"/>
      <c r="J9" s="207"/>
      <c r="K9" s="207"/>
      <c r="L9" s="207"/>
      <c r="M9" s="207"/>
    </row>
    <row r="10" spans="1:13" ht="21.95" customHeight="1">
      <c r="A10" s="494" t="s">
        <v>16</v>
      </c>
      <c r="B10" s="424"/>
      <c r="C10" s="424"/>
      <c r="D10" s="424"/>
      <c r="E10" s="424"/>
      <c r="F10" s="424"/>
      <c r="G10" s="424"/>
      <c r="H10" s="424"/>
      <c r="I10" s="424"/>
      <c r="J10" s="424"/>
      <c r="K10" s="424"/>
      <c r="L10" s="424"/>
      <c r="M10" s="207"/>
    </row>
    <row r="11" spans="1:13" ht="13.5" customHeight="1">
      <c r="A11" s="209" t="s">
        <v>17</v>
      </c>
      <c r="B11" s="221">
        <f>'00_PORTFOLIO ROLLUP'!$E$12</f>
        <v>2025</v>
      </c>
      <c r="C11" s="221">
        <f>'00_PORTFOLIO ROLLUP'!$I$12</f>
        <v>2029</v>
      </c>
      <c r="D11" s="221">
        <f>'00_PORTFOLIO ROLLUP'!$O$12</f>
        <v>2035</v>
      </c>
      <c r="E11" s="221">
        <f>'00_PORTFOLIO ROLLUP'!$T$12</f>
        <v>2040</v>
      </c>
      <c r="F11" s="209" t="s">
        <v>18</v>
      </c>
      <c r="G11" s="207"/>
      <c r="H11" s="207"/>
      <c r="I11" s="207"/>
      <c r="J11" s="207"/>
      <c r="K11" s="207"/>
      <c r="L11" s="207"/>
      <c r="M11" s="207"/>
    </row>
    <row r="12" spans="1:13" ht="18" customHeight="1">
      <c r="A12" s="210" t="s">
        <v>19</v>
      </c>
      <c r="B12" s="222">
        <f>SUMIFS(DATA_CAPITAL_FLOW!$H$5:$H$5206,DATA_CAPITAL_FLOW!$B$5:$B$5206,"Portfolio",DATA_CAPITAL_FLOW!$D$5:$D$5206,B$11,DATA_CAPITAL_FLOW!$F$5:$F$5206,$A12)</f>
        <v>3494047.5999999996</v>
      </c>
      <c r="C12" s="222">
        <f>SUMIFS(DATA_CAPITAL_FLOW!$H$5:$H$5206,DATA_CAPITAL_FLOW!$B$5:$B$5206,"Portfolio",DATA_CAPITAL_FLOW!$D$5:$D$5206,C$11,DATA_CAPITAL_FLOW!$F$5:$F$5206,$A12)</f>
        <v>12918347.808461078</v>
      </c>
      <c r="D12" s="222">
        <f>SUMIFS(DATA_CAPITAL_FLOW!$H$5:$H$5206,DATA_CAPITAL_FLOW!$B$5:$B$5206,"Portfolio",DATA_CAPITAL_FLOW!$D$5:$D$5206,D$11,DATA_CAPITAL_FLOW!$F$5:$F$5206,$A12)</f>
        <v>13770360.875769153</v>
      </c>
      <c r="E12" s="222">
        <f>SUMIFS(DATA_CAPITAL_FLOW!$H$5:$H$5206,DATA_CAPITAL_FLOW!$B$5:$B$5206,"Portfolio",DATA_CAPITAL_FLOW!$D$5:$D$5206,E$11,DATA_CAPITAL_FLOW!$F$5:$F$5206,$A12)</f>
        <v>14808166.441289315</v>
      </c>
      <c r="F12" s="211" t="s">
        <v>20</v>
      </c>
      <c r="G12" s="207"/>
      <c r="H12" s="207"/>
      <c r="I12" s="207"/>
      <c r="J12" s="207"/>
      <c r="K12" s="207"/>
      <c r="L12" s="207"/>
      <c r="M12" s="207"/>
    </row>
    <row r="13" spans="1:13" ht="25.5" customHeight="1">
      <c r="A13" s="210" t="s">
        <v>21</v>
      </c>
      <c r="B13" s="222">
        <f>SUMIFS(DATA_CAPITAL_FLOW!$H$5:$H$5206,DATA_CAPITAL_FLOW!$B$5:$B$5206,"Portfolio",DATA_CAPITAL_FLOW!$D$5:$D$5206,B$11,DATA_CAPITAL_FLOW!$F$5:$F$5206,$A13)</f>
        <v>3423997.5999999996</v>
      </c>
      <c r="C13" s="222">
        <f>SUMIFS(DATA_CAPITAL_FLOW!$H$5:$H$5206,DATA_CAPITAL_FLOW!$B$5:$B$5206,"Portfolio",DATA_CAPITAL_FLOW!$D$5:$D$5206,C$11,DATA_CAPITAL_FLOW!$F$5:$F$5206,$A13)</f>
        <v>12743643.257837078</v>
      </c>
      <c r="D13" s="222">
        <f>SUMIFS(DATA_CAPITAL_FLOW!$H$5:$H$5206,DATA_CAPITAL_FLOW!$B$5:$B$5206,"Portfolio",DATA_CAPITAL_FLOW!$D$5:$D$5206,D$11,DATA_CAPITAL_FLOW!$F$5:$F$5206,$A13)</f>
        <v>13573615.176382</v>
      </c>
      <c r="E13" s="222">
        <f>SUMIFS(DATA_CAPITAL_FLOW!$H$5:$H$5206,DATA_CAPITAL_FLOW!$B$5:$B$5206,"Portfolio",DATA_CAPITAL_FLOW!$D$5:$D$5206,E$11,DATA_CAPITAL_FLOW!$F$5:$F$5206,$A13)</f>
        <v>14590943.291483801</v>
      </c>
      <c r="F13" s="211" t="s">
        <v>22</v>
      </c>
      <c r="G13" s="207"/>
      <c r="H13" s="207"/>
      <c r="I13" s="207"/>
      <c r="J13" s="207"/>
      <c r="K13" s="207"/>
      <c r="L13" s="207"/>
      <c r="M13" s="207"/>
    </row>
    <row r="14" spans="1:13" ht="37.5" customHeight="1">
      <c r="A14" s="210" t="s">
        <v>23</v>
      </c>
      <c r="B14" s="222">
        <f>SUMIFS(DATA_CAPITAL_FLOW!$H$5:$H$5206,DATA_CAPITAL_FLOW!$B$5:$B$5206,"Portfolio",DATA_CAPITAL_FLOW!$D$5:$D$5206,B$11,DATA_CAPITAL_FLOW!$F$5:$F$5206,$A14)</f>
        <v>15773997.03203162</v>
      </c>
      <c r="C14" s="222">
        <f>SUMIFS(DATA_CAPITAL_FLOW!$H$5:$H$5206,DATA_CAPITAL_FLOW!$B$5:$B$5206,"Portfolio",DATA_CAPITAL_FLOW!$D$5:$D$5206,C$11,DATA_CAPITAL_FLOW!$F$5:$F$5206,$A14)</f>
        <v>8090648.3969786596</v>
      </c>
      <c r="D14" s="222">
        <f>SUMIFS(DATA_CAPITAL_FLOW!$H$5:$H$5206,DATA_CAPITAL_FLOW!$B$5:$B$5206,"Portfolio",DATA_CAPITAL_FLOW!$D$5:$D$5206,D$11,DATA_CAPITAL_FLOW!$F$5:$F$5206,$A14)</f>
        <v>6811656.6125063812</v>
      </c>
      <c r="E14" s="222">
        <f>SUMIFS(DATA_CAPITAL_FLOW!$H$5:$H$5206,DATA_CAPITAL_FLOW!$B$5:$B$5206,"Portfolio",DATA_CAPITAL_FLOW!$D$5:$D$5206,E$11,DATA_CAPITAL_FLOW!$F$5:$F$5206,$A14)</f>
        <v>6811656.6125063812</v>
      </c>
      <c r="F14" s="211" t="s">
        <v>24</v>
      </c>
      <c r="G14" s="207"/>
      <c r="H14" s="207"/>
      <c r="I14" s="207"/>
      <c r="J14" s="207"/>
      <c r="K14" s="207"/>
      <c r="L14" s="207"/>
      <c r="M14" s="207"/>
    </row>
    <row r="15" spans="1:13" ht="45">
      <c r="A15" s="210" t="s">
        <v>25</v>
      </c>
      <c r="B15" s="222">
        <f>SUMIFS(DATA_CAPITAL_FLOW!$H$5:$H$5206,DATA_CAPITAL_FLOW!$B$5:$B$5206,"Portfolio",DATA_CAPITAL_FLOW!$D$5:$D$5206,B$11,DATA_CAPITAL_FLOW!$F$5:$F$5206,$A15)</f>
        <v>-12279949.43203162</v>
      </c>
      <c r="C15" s="222">
        <f>SUMIFS(DATA_CAPITAL_FLOW!$H$5:$H$5206,DATA_CAPITAL_FLOW!$B$5:$B$5206,"Portfolio",DATA_CAPITAL_FLOW!$D$5:$D$5206,C$11,DATA_CAPITAL_FLOW!$F$5:$F$5206,$A15)</f>
        <v>4827699.411482418</v>
      </c>
      <c r="D15" s="222">
        <f>SUMIFS(DATA_CAPITAL_FLOW!$H$5:$H$5206,DATA_CAPITAL_FLOW!$B$5:$B$5206,"Portfolio",DATA_CAPITAL_FLOW!$D$5:$D$5206,D$11,DATA_CAPITAL_FLOW!$F$5:$F$5206,$A15)</f>
        <v>6958704.263262772</v>
      </c>
      <c r="E15" s="222">
        <f>SUMIFS(DATA_CAPITAL_FLOW!$H$5:$H$5206,DATA_CAPITAL_FLOW!$B$5:$B$5206,"Portfolio",DATA_CAPITAL_FLOW!$D$5:$D$5206,E$11,DATA_CAPITAL_FLOW!$F$5:$F$5206,$A15)</f>
        <v>7996509.8287829338</v>
      </c>
      <c r="F15" s="211" t="s">
        <v>26</v>
      </c>
      <c r="G15" s="207"/>
      <c r="H15" s="207"/>
      <c r="I15" s="207"/>
      <c r="J15" s="207"/>
      <c r="K15" s="207"/>
      <c r="L15" s="207"/>
      <c r="M15" s="207"/>
    </row>
    <row r="16" spans="1:13" ht="17.25" customHeight="1">
      <c r="A16" s="210" t="s">
        <v>27</v>
      </c>
      <c r="B16" s="222">
        <f>SUMIFS(DATA_CAPITAL_FLOW!$H$5:$H$5206,DATA_CAPITAL_FLOW!$B$5:$B$5206,"Portfolio",DATA_CAPITAL_FLOW!$D$5:$D$5206,B$11,DATA_CAPITAL_FLOW!$F$5:$F$5206,$A16)</f>
        <v>0</v>
      </c>
      <c r="C16" s="222">
        <f>SUMIFS(DATA_CAPITAL_FLOW!$H$5:$H$5206,DATA_CAPITAL_FLOW!$B$5:$B$5206,"Portfolio",DATA_CAPITAL_FLOW!$D$5:$D$5206,C$11,DATA_CAPITAL_FLOW!$F$5:$F$5206,$A16)</f>
        <v>2896619.6468894505</v>
      </c>
      <c r="D16" s="222">
        <f>SUMIFS(DATA_CAPITAL_FLOW!$H$5:$H$5206,DATA_CAPITAL_FLOW!$B$5:$B$5206,"Portfolio",DATA_CAPITAL_FLOW!$D$5:$D$5206,D$11,DATA_CAPITAL_FLOW!$F$5:$F$5206,$A16)</f>
        <v>4175222.5579576632</v>
      </c>
      <c r="E16" s="222">
        <f>SUMIFS(DATA_CAPITAL_FLOW!$H$5:$H$5206,DATA_CAPITAL_FLOW!$B$5:$B$5206,"Portfolio",DATA_CAPITAL_FLOW!$D$5:$D$5206,E$11,DATA_CAPITAL_FLOW!$F$5:$F$5206,$A16)</f>
        <v>4797905.8972697603</v>
      </c>
      <c r="F16" s="211" t="s">
        <v>28</v>
      </c>
      <c r="G16" s="207"/>
      <c r="H16" s="207"/>
      <c r="I16" s="207"/>
      <c r="J16" s="207"/>
      <c r="K16" s="207"/>
      <c r="L16" s="207"/>
      <c r="M16" s="207"/>
    </row>
    <row r="17" spans="1:13" ht="39" customHeight="1">
      <c r="A17" s="210" t="s">
        <v>29</v>
      </c>
      <c r="B17" s="222">
        <f>SUMIFS(DATA_CAPITAL_FLOW!$H$5:$H$5206,DATA_CAPITAL_FLOW!$B$5:$B$5206,"Portfolio",DATA_CAPITAL_FLOW!$D$5:$D$5206,B$11,DATA_CAPITAL_FLOW!$F$5:$F$5206,$A17)</f>
        <v>-12279949.43203162</v>
      </c>
      <c r="C17" s="222">
        <f>SUMIFS(DATA_CAPITAL_FLOW!$H$5:$H$5206,DATA_CAPITAL_FLOW!$B$5:$B$5206,"Portfolio",DATA_CAPITAL_FLOW!$D$5:$D$5206,C$11,DATA_CAPITAL_FLOW!$F$5:$F$5206,$A17)</f>
        <v>1931079.7645929675</v>
      </c>
      <c r="D17" s="222">
        <f>SUMIFS(DATA_CAPITAL_FLOW!$H$5:$H$5206,DATA_CAPITAL_FLOW!$B$5:$B$5206,"Portfolio",DATA_CAPITAL_FLOW!$D$5:$D$5206,D$11,DATA_CAPITAL_FLOW!$F$5:$F$5206,$A17)</f>
        <v>2783481.7053051088</v>
      </c>
      <c r="E17" s="222">
        <f>SUMIFS(DATA_CAPITAL_FLOW!$H$5:$H$5206,DATA_CAPITAL_FLOW!$B$5:$B$5206,"Portfolio",DATA_CAPITAL_FLOW!$D$5:$D$5206,E$11,DATA_CAPITAL_FLOW!$F$5:$F$5206,$A17)</f>
        <v>3198603.9315131735</v>
      </c>
      <c r="F17" s="211" t="s">
        <v>30</v>
      </c>
      <c r="G17" s="207"/>
      <c r="H17" s="207"/>
      <c r="I17" s="207"/>
      <c r="J17" s="207"/>
      <c r="K17" s="207"/>
      <c r="L17" s="207"/>
      <c r="M17" s="207"/>
    </row>
    <row r="18" spans="1:13" ht="19.5" customHeight="1">
      <c r="A18" s="210" t="s">
        <v>31</v>
      </c>
      <c r="B18" s="222">
        <f>SUMIFS(DATA_CAPITAL_FLOW!$H$5:$H$5206,DATA_CAPITAL_FLOW!$B$5:$B$5206,"Portfolio",DATA_CAPITAL_FLOW!$D$5:$D$5206,B$11,DATA_CAPITAL_FLOW!$F$5:$F$5206,$A18)</f>
        <v>0</v>
      </c>
      <c r="C18" s="222">
        <f>SUMIFS(DATA_CAPITAL_FLOW!$H$5:$H$5206,DATA_CAPITAL_FLOW!$B$5:$B$5206,"Portfolio",DATA_CAPITAL_FLOW!$D$5:$D$5206,C$11,DATA_CAPITAL_FLOW!$F$5:$F$5206,$A18)</f>
        <v>-35821320.972091272</v>
      </c>
      <c r="D18" s="222">
        <f>SUMIFS(DATA_CAPITAL_FLOW!$H$5:$H$5206,DATA_CAPITAL_FLOW!$B$5:$B$5206,"Portfolio",DATA_CAPITAL_FLOW!$D$5:$D$5206,D$11,DATA_CAPITAL_FLOW!$F$5:$F$5206,$A18)</f>
        <v>0</v>
      </c>
      <c r="E18" s="222">
        <f>SUMIFS(DATA_CAPITAL_FLOW!$H$5:$H$5206,DATA_CAPITAL_FLOW!$B$5:$B$5206,"Portfolio",DATA_CAPITAL_FLOW!$D$5:$D$5206,E$11,DATA_CAPITAL_FLOW!$F$5:$F$5206,$A18)</f>
        <v>0</v>
      </c>
      <c r="F18" s="211" t="s">
        <v>32</v>
      </c>
      <c r="G18" s="207"/>
      <c r="H18" s="207"/>
      <c r="I18" s="207"/>
      <c r="J18" s="207"/>
      <c r="K18" s="207"/>
      <c r="L18" s="207"/>
      <c r="M18" s="207"/>
    </row>
    <row r="19" spans="1:13" ht="15.75" customHeight="1">
      <c r="A19" s="210" t="s">
        <v>33</v>
      </c>
      <c r="B19" s="222">
        <f>SUMIFS(DATA_CAPITAL_FLOW!$H$5:$H$5206,DATA_CAPITAL_FLOW!$B$5:$B$5206,"Portfolio",DATA_CAPITAL_FLOW!$D$5:$D$5206,B$11,DATA_CAPITAL_FLOW!$F$5:$F$5206,$A19)</f>
        <v>0</v>
      </c>
      <c r="C19" s="222">
        <f>SUMIFS(DATA_CAPITAL_FLOW!$H$5:$H$5206,DATA_CAPITAL_FLOW!$B$5:$B$5206,"Portfolio",DATA_CAPITAL_FLOW!$D$5:$D$5206,C$11,DATA_CAPITAL_FLOW!$F$5:$F$5206,$A19)</f>
        <v>18435922.196523327</v>
      </c>
      <c r="D19" s="222">
        <f>SUMIFS(DATA_CAPITAL_FLOW!$H$5:$H$5206,DATA_CAPITAL_FLOW!$B$5:$B$5206,"Portfolio",DATA_CAPITAL_FLOW!$D$5:$D$5206,D$11,DATA_CAPITAL_FLOW!$F$5:$F$5206,$A19)</f>
        <v>0</v>
      </c>
      <c r="E19" s="222">
        <f>SUMIFS(DATA_CAPITAL_FLOW!$H$5:$H$5206,DATA_CAPITAL_FLOW!$B$5:$B$5206,"Portfolio",DATA_CAPITAL_FLOW!$D$5:$D$5206,E$11,DATA_CAPITAL_FLOW!$F$5:$F$5206,$A19)</f>
        <v>0</v>
      </c>
      <c r="F19" s="211" t="s">
        <v>34</v>
      </c>
      <c r="G19" s="207"/>
      <c r="H19" s="207"/>
      <c r="I19" s="207"/>
      <c r="J19" s="207"/>
      <c r="K19" s="207"/>
      <c r="L19" s="207"/>
      <c r="M19" s="207"/>
    </row>
    <row r="20" spans="1:13" ht="36" customHeight="1">
      <c r="A20" s="210" t="s">
        <v>35</v>
      </c>
      <c r="B20" s="222">
        <f>SUMIFS(DATA_CAPITAL_FLOW!$H$5:$H$5206,DATA_CAPITAL_FLOW!$B$5:$B$5206,"Portfolio",DATA_CAPITAL_FLOW!$D$5:$D$5206,B$11,DATA_CAPITAL_FLOW!$F$5:$F$5206,$A20)</f>
        <v>0</v>
      </c>
      <c r="C20" s="222">
        <f>SUMIFS(DATA_CAPITAL_FLOW!$H$5:$H$5206,DATA_CAPITAL_FLOW!$B$5:$B$5206,"Portfolio",DATA_CAPITAL_FLOW!$D$5:$D$5206,C$11,DATA_CAPITAL_FLOW!$F$5:$F$5206,$A20)</f>
        <v>-17385398.775567945</v>
      </c>
      <c r="D20" s="222">
        <f>SUMIFS(DATA_CAPITAL_FLOW!$H$5:$H$5206,DATA_CAPITAL_FLOW!$B$5:$B$5206,"Portfolio",DATA_CAPITAL_FLOW!$D$5:$D$5206,D$11,DATA_CAPITAL_FLOW!$F$5:$F$5206,$A20)</f>
        <v>0</v>
      </c>
      <c r="E20" s="222">
        <f>SUMIFS(DATA_CAPITAL_FLOW!$H$5:$H$5206,DATA_CAPITAL_FLOW!$B$5:$B$5206,"Portfolio",DATA_CAPITAL_FLOW!$D$5:$D$5206,E$11,DATA_CAPITAL_FLOW!$F$5:$F$5206,$A20)</f>
        <v>0</v>
      </c>
      <c r="F20" s="211" t="s">
        <v>36</v>
      </c>
      <c r="G20" s="207"/>
      <c r="H20" s="207"/>
      <c r="I20" s="207"/>
      <c r="J20" s="207"/>
      <c r="K20" s="207"/>
      <c r="L20" s="207"/>
      <c r="M20" s="207"/>
    </row>
    <row r="21" spans="1:13" ht="48" customHeight="1">
      <c r="A21" s="212" t="s">
        <v>37</v>
      </c>
      <c r="B21" s="222">
        <f>SUMIFS(DATA_CAPITAL_FLOW!$H$5:$H$5206,DATA_CAPITAL_FLOW!$B$5:$B$5206,"Portfolio",DATA_CAPITAL_FLOW!$D$5:$D$5206,B$11,DATA_CAPITAL_FLOW!$F$5:$F$5206,$A21)</f>
        <v>0</v>
      </c>
      <c r="C21" s="222">
        <f>SUMIFS(DATA_CAPITAL_FLOW!$H$5:$H$5206,DATA_CAPITAL_FLOW!$B$5:$B$5206,"Portfolio",DATA_CAPITAL_FLOW!$D$5:$D$5206,C$11,DATA_CAPITAL_FLOW!$F$5:$F$5206,$A21)</f>
        <v>0</v>
      </c>
      <c r="D21" s="222">
        <f>SUMIFS(DATA_CAPITAL_FLOW!$H$5:$H$5206,DATA_CAPITAL_FLOW!$B$5:$B$5206,"Portfolio",DATA_CAPITAL_FLOW!$D$5:$D$5206,D$11,DATA_CAPITAL_FLOW!$F$5:$F$5206,$A21)</f>
        <v>0</v>
      </c>
      <c r="E21" s="222">
        <f>SUMIFS(DATA_CAPITAL_FLOW!$H$5:$H$5206,DATA_CAPITAL_FLOW!$B$5:$B$5206,"Portfolio",DATA_CAPITAL_FLOW!$D$5:$D$5206,E$11,DATA_CAPITAL_FLOW!$F$5:$F$5206,$A21)</f>
        <v>0</v>
      </c>
      <c r="F21" s="211" t="s">
        <v>38</v>
      </c>
      <c r="G21" s="207"/>
      <c r="H21" s="207"/>
      <c r="I21" s="207"/>
      <c r="J21" s="207"/>
      <c r="K21" s="207"/>
      <c r="L21" s="207"/>
      <c r="M21" s="207"/>
    </row>
    <row r="22" spans="1:13" ht="37.9" customHeight="1">
      <c r="A22" s="213" t="s">
        <v>39</v>
      </c>
      <c r="B22" s="222">
        <f>SUMIFS(DATA_CAPITAL_FLOW!$H$5:$H$5206,DATA_CAPITAL_FLOW!$B$5:$B$5206,"Portfolio",DATA_CAPITAL_FLOW!$D$5:$D$5206,B$11,DATA_CAPITAL_FLOW!$F$5:$F$5206,$A22)</f>
        <v>0</v>
      </c>
      <c r="C22" s="222">
        <f>SUMIFS(DATA_CAPITAL_FLOW!$H$5:$H$5206,DATA_CAPITAL_FLOW!$B$5:$B$5206,"Portfolio",DATA_CAPITAL_FLOW!$D$5:$D$5206,C$11,DATA_CAPITAL_FLOW!$F$5:$F$5206,$A22)</f>
        <v>17385398.775567945</v>
      </c>
      <c r="D22" s="222">
        <f>SUMIFS(DATA_CAPITAL_FLOW!$H$5:$H$5206,DATA_CAPITAL_FLOW!$B$5:$B$5206,"Portfolio",DATA_CAPITAL_FLOW!$D$5:$D$5206,D$11,DATA_CAPITAL_FLOW!$F$5:$F$5206,$A22)</f>
        <v>0</v>
      </c>
      <c r="E22" s="222">
        <f>SUMIFS(DATA_CAPITAL_FLOW!$H$5:$H$5206,DATA_CAPITAL_FLOW!$B$5:$B$5206,"Portfolio",DATA_CAPITAL_FLOW!$D$5:$D$5206,E$11,DATA_CAPITAL_FLOW!$F$5:$F$5206,$A22)</f>
        <v>0</v>
      </c>
      <c r="F22" s="211" t="s">
        <v>40</v>
      </c>
      <c r="G22" s="207"/>
      <c r="H22" s="207"/>
      <c r="I22" s="207"/>
      <c r="J22" s="207"/>
      <c r="K22" s="207"/>
      <c r="L22" s="207"/>
      <c r="M22" s="207"/>
    </row>
    <row r="23" spans="1:13" ht="24" customHeight="1">
      <c r="A23" s="212" t="s">
        <v>41</v>
      </c>
      <c r="B23" s="222">
        <f>SUMIFS(DATA_CAPITAL_FLOW!$H$5:$H$5206,DATA_CAPITAL_FLOW!$B$5:$B$5206,"Portfolio",DATA_CAPITAL_FLOW!$D$5:$D$5206,B$11,DATA_CAPITAL_FLOW!$F$5:$F$5206,$A23)</f>
        <v>-12279949.43203162</v>
      </c>
      <c r="C23" s="222">
        <f>SUMIFS(DATA_CAPITAL_FLOW!$H$5:$H$5206,DATA_CAPITAL_FLOW!$B$5:$B$5206,"Portfolio",DATA_CAPITAL_FLOW!$D$5:$D$5206,C$11,DATA_CAPITAL_FLOW!$F$5:$F$5206,$A23)</f>
        <v>1931079.7645929675</v>
      </c>
      <c r="D23" s="222">
        <f>SUMIFS(DATA_CAPITAL_FLOW!$H$5:$H$5206,DATA_CAPITAL_FLOW!$B$5:$B$5206,"Portfolio",DATA_CAPITAL_FLOW!$D$5:$D$5206,D$11,DATA_CAPITAL_FLOW!$F$5:$F$5206,$A23)</f>
        <v>2783481.7053051088</v>
      </c>
      <c r="E23" s="222">
        <f>SUMIFS(DATA_CAPITAL_FLOW!$H$5:$H$5206,DATA_CAPITAL_FLOW!$B$5:$B$5206,"Portfolio",DATA_CAPITAL_FLOW!$D$5:$D$5206,E$11,DATA_CAPITAL_FLOW!$F$5:$F$5206,$A23)</f>
        <v>3198603.9315131735</v>
      </c>
      <c r="F23" s="211" t="s">
        <v>42</v>
      </c>
      <c r="G23" s="207"/>
      <c r="H23" s="207"/>
      <c r="I23" s="207"/>
      <c r="J23" s="207"/>
      <c r="K23" s="207"/>
      <c r="L23" s="207"/>
      <c r="M23" s="207"/>
    </row>
    <row r="24" spans="1:13" ht="36" customHeight="1">
      <c r="A24" s="210" t="s">
        <v>43</v>
      </c>
      <c r="B24" s="222">
        <f>SUMIFS(DATA_CAPITAL_FLOW!$H$5:$H$5206,DATA_CAPITAL_FLOW!$B$5:$B$5206,"Portfolio",DATA_CAPITAL_FLOW!$D$5:$D$5206,B$11,DATA_CAPITAL_FLOW!$F$5:$F$5206,$A24)</f>
        <v>-12279949.43203162</v>
      </c>
      <c r="C24" s="222">
        <f>SUMIFS(DATA_CAPITAL_FLOW!$H$5:$H$5206,DATA_CAPITAL_FLOW!$B$5:$B$5206,"Portfolio",DATA_CAPITAL_FLOW!$D$5:$D$5206,C$11,DATA_CAPITAL_FLOW!$F$5:$F$5206,$A24)</f>
        <v>-15454319.010974977</v>
      </c>
      <c r="D24" s="222">
        <f>SUMIFS(DATA_CAPITAL_FLOW!$H$5:$H$5206,DATA_CAPITAL_FLOW!$B$5:$B$5206,"Portfolio",DATA_CAPITAL_FLOW!$D$5:$D$5206,D$11,DATA_CAPITAL_FLOW!$F$5:$F$5206,$A24)</f>
        <v>2783481.7053051088</v>
      </c>
      <c r="E24" s="222">
        <f>SUMIFS(DATA_CAPITAL_FLOW!$H$5:$H$5206,DATA_CAPITAL_FLOW!$B$5:$B$5206,"Portfolio",DATA_CAPITAL_FLOW!$D$5:$D$5206,E$11,DATA_CAPITAL_FLOW!$F$5:$F$5206,$A24)</f>
        <v>3198603.9315131735</v>
      </c>
      <c r="F24" s="211" t="s">
        <v>44</v>
      </c>
      <c r="G24" s="207"/>
      <c r="H24" s="207"/>
      <c r="I24" s="207"/>
      <c r="J24" s="207"/>
      <c r="K24" s="207"/>
      <c r="L24" s="207"/>
      <c r="M24" s="207"/>
    </row>
    <row r="25" spans="1:13" ht="36" customHeight="1">
      <c r="A25" s="207"/>
      <c r="B25" s="207"/>
      <c r="C25" s="207"/>
      <c r="D25" s="207"/>
      <c r="E25" s="207"/>
      <c r="F25" s="207"/>
      <c r="G25" s="207"/>
      <c r="H25" s="207"/>
      <c r="I25" s="207"/>
      <c r="J25" s="207"/>
      <c r="K25" s="207"/>
      <c r="L25" s="207"/>
      <c r="M25" s="207"/>
    </row>
    <row r="26" spans="1:13" ht="27" customHeight="1">
      <c r="A26" s="207"/>
      <c r="B26" s="207"/>
      <c r="C26" s="207"/>
      <c r="D26" s="207"/>
      <c r="E26" s="207"/>
      <c r="F26" s="207"/>
      <c r="G26" s="207"/>
      <c r="H26" s="207"/>
      <c r="I26" s="207"/>
      <c r="J26" s="207"/>
      <c r="K26" s="207"/>
      <c r="L26" s="207"/>
      <c r="M26" s="207"/>
    </row>
    <row r="27" spans="1:13" ht="21.95" customHeight="1">
      <c r="A27" s="494" t="s">
        <v>45</v>
      </c>
      <c r="B27" s="424"/>
      <c r="C27" s="424"/>
      <c r="D27" s="424"/>
      <c r="E27" s="424"/>
      <c r="F27" s="424"/>
      <c r="G27" s="424"/>
      <c r="H27" s="424"/>
      <c r="I27" s="207"/>
      <c r="J27" s="494" t="s">
        <v>46</v>
      </c>
      <c r="K27" s="424"/>
      <c r="L27" s="424"/>
      <c r="M27" s="207"/>
    </row>
    <row r="28" spans="1:13" ht="42.75" customHeight="1">
      <c r="A28" s="209" t="s">
        <v>47</v>
      </c>
      <c r="B28" s="209" t="s">
        <v>48</v>
      </c>
      <c r="C28" s="209" t="s">
        <v>49</v>
      </c>
      <c r="D28" s="209" t="s">
        <v>50</v>
      </c>
      <c r="E28" s="209" t="s">
        <v>51</v>
      </c>
      <c r="F28" s="209" t="s">
        <v>52</v>
      </c>
      <c r="G28" s="209" t="s">
        <v>53</v>
      </c>
      <c r="H28" s="209" t="s">
        <v>54</v>
      </c>
      <c r="I28" s="207"/>
      <c r="J28" s="209" t="s">
        <v>55</v>
      </c>
      <c r="K28" s="209" t="s">
        <v>56</v>
      </c>
      <c r="L28" s="209" t="s">
        <v>57</v>
      </c>
      <c r="M28" s="207"/>
    </row>
    <row r="29" spans="1:13" ht="18" customHeight="1">
      <c r="A29" s="211" t="s">
        <v>58</v>
      </c>
      <c r="B29" s="223">
        <f ca="1">COUNTIF(DATA_ASSET_CLASSIFICATION!$U$8:$U$24,$A29)</f>
        <v>1</v>
      </c>
      <c r="C29" s="223">
        <f ca="1">SUMIFS(DATA_ASSET_CLASSIFICATION!$E$8:$E$24,DATA_ASSET_CLASSIFICATION!$U$8:$U$24,$A29)</f>
        <v>46</v>
      </c>
      <c r="D29" s="222">
        <f ca="1">SUMIFS(DATA_CAPITAL_FLOW!$H$5:$H$5206,DATA_CAPITAL_FLOW!$N$5:$N$5206,$A29,DATA_CAPITAL_FLOW!$D$5:$D$5206,'00_PORTFOLIO ROLLUP'!$E$12,DATA_CAPITAL_FLOW!$F$5:$F$5206,"Net Operating Income")</f>
        <v>0</v>
      </c>
      <c r="E29" s="222">
        <f ca="1">SUMIFS(DATA_CAPITAL_FLOW!$H$5:$H$5206,DATA_CAPITAL_FLOW!$N$5:$N$5206,$A29,DATA_CAPITAL_FLOW!$D$5:$D$5206,'00_PORTFOLIO ROLLUP'!$O$12,DATA_CAPITAL_FLOW!$F$5:$F$5206,"AFFO / Levered Cash Flow")</f>
        <v>0</v>
      </c>
      <c r="F29" s="222" t="e">
        <f ca="1">_xludf.MAXIFS(DATA_CAPITAL_FLOW!$H$5:$H$5206,DATA_CAPITAL_FLOW!$N$5:$N$5206,$A29,DATA_CAPITAL_FLOW!$F$5:$F$5206,"Residual Funding Gap")</f>
        <v>#NAME?</v>
      </c>
      <c r="G29" s="224"/>
      <c r="H29" s="211" t="s">
        <v>59</v>
      </c>
      <c r="I29" s="207"/>
      <c r="J29" s="211" t="s">
        <v>60</v>
      </c>
      <c r="K29" s="225" t="str">
        <f ca="1">IF(COUNTIF(DATA_ASSET_CLASSIFICATION!$X$8:$X$24,"&lt;&gt;OK")=0,"OK","REVIEW")</f>
        <v>OK</v>
      </c>
      <c r="L29" s="211" t="s">
        <v>61</v>
      </c>
      <c r="M29" s="207"/>
    </row>
    <row r="30" spans="1:13" ht="18" customHeight="1">
      <c r="A30" s="211" t="s">
        <v>62</v>
      </c>
      <c r="B30" s="223">
        <f ca="1">COUNTIF(DATA_ASSET_CLASSIFICATION!$U$8:$U$24,$A30)</f>
        <v>4</v>
      </c>
      <c r="C30" s="223">
        <f ca="1">SUMIFS(DATA_ASSET_CLASSIFICATION!$E$8:$E$24,DATA_ASSET_CLASSIFICATION!$U$8:$U$24,$A30)</f>
        <v>609</v>
      </c>
      <c r="D30" s="222">
        <f ca="1">SUMIFS(DATA_CAPITAL_FLOW!$H$5:$H$5206,DATA_CAPITAL_FLOW!$N$5:$N$5206,$A30,DATA_CAPITAL_FLOW!$D$5:$D$5206,'00_PORTFOLIO ROLLUP'!$E$12,DATA_CAPITAL_FLOW!$F$5:$F$5206,"Net Operating Income")</f>
        <v>0</v>
      </c>
      <c r="E30" s="222">
        <f ca="1">SUMIFS(DATA_CAPITAL_FLOW!$H$5:$H$5206,DATA_CAPITAL_FLOW!$N$5:$N$5206,$A30,DATA_CAPITAL_FLOW!$D$5:$D$5206,'00_PORTFOLIO ROLLUP'!$O$12,DATA_CAPITAL_FLOW!$F$5:$F$5206,"AFFO / Levered Cash Flow")</f>
        <v>3778697.6129457904</v>
      </c>
      <c r="F30" s="222" t="e">
        <f ca="1">_xludf.MAXIFS(DATA_CAPITAL_FLOW!$H$5:$H$5206,DATA_CAPITAL_FLOW!$N$5:$N$5206,$A30,DATA_CAPITAL_FLOW!$F$5:$F$5206,"Residual Funding Gap")</f>
        <v>#NAME?</v>
      </c>
      <c r="G30" s="224"/>
      <c r="H30" s="211" t="s">
        <v>63</v>
      </c>
      <c r="I30" s="207"/>
      <c r="J30" s="211" t="s">
        <v>64</v>
      </c>
      <c r="K30" s="225" t="str">
        <f>IF(COUNTIFS(DATA_ASSET_CLASSIFICATION!$T$8:$T$24,"&lt;&gt;",DATA_ASSET_CLASSIFICATION!$Y$8:$Y$24,"")=0,"OK","REVIEW")</f>
        <v>OK</v>
      </c>
      <c r="L30" s="211" t="s">
        <v>65</v>
      </c>
      <c r="M30" s="207"/>
    </row>
    <row r="31" spans="1:13" ht="18" customHeight="1">
      <c r="A31" s="211" t="s">
        <v>66</v>
      </c>
      <c r="B31" s="223">
        <f ca="1">COUNTIF(DATA_ASSET_CLASSIFICATION!$U$8:$U$24,$A31)</f>
        <v>3</v>
      </c>
      <c r="C31" s="223">
        <f ca="1">SUMIFS(DATA_ASSET_CLASSIFICATION!$E$8:$E$24,DATA_ASSET_CLASSIFICATION!$U$8:$U$24,$A31)</f>
        <v>103</v>
      </c>
      <c r="D31" s="222">
        <f ca="1">SUMIFS(DATA_CAPITAL_FLOW!$H$5:$H$5206,DATA_CAPITAL_FLOW!$N$5:$N$5206,$A31,DATA_CAPITAL_FLOW!$D$5:$D$5206,'00_PORTFOLIO ROLLUP'!$E$12,DATA_CAPITAL_FLOW!$F$5:$F$5206,"Net Operating Income")</f>
        <v>657709.51399999985</v>
      </c>
      <c r="E31" s="222">
        <f ca="1">SUMIFS(DATA_CAPITAL_FLOW!$H$5:$H$5206,DATA_CAPITAL_FLOW!$N$5:$N$5206,$A31,DATA_CAPITAL_FLOW!$D$5:$D$5206,'00_PORTFOLIO ROLLUP'!$O$12,DATA_CAPITAL_FLOW!$F$5:$F$5206,"AFFO / Levered Cash Flow")</f>
        <v>879984.6331486681</v>
      </c>
      <c r="F31" s="222" t="e">
        <f ca="1">_xludf.MAXIFS(DATA_CAPITAL_FLOW!$H$5:$H$5206,DATA_CAPITAL_FLOW!$N$5:$N$5206,$A31,DATA_CAPITAL_FLOW!$F$5:$F$5206,"Residual Funding Gap")</f>
        <v>#NAME?</v>
      </c>
      <c r="G31" s="224"/>
      <c r="H31" s="211" t="s">
        <v>67</v>
      </c>
      <c r="I31" s="207"/>
      <c r="J31" s="211" t="s">
        <v>68</v>
      </c>
      <c r="K31" s="225" t="str">
        <f ca="1">IF(COUNTIF(DATA_CAPITAL_FLOW_RECON!$H$5:$H$293,"CHECK")=0,"OK","CHECK")</f>
        <v>CHECK</v>
      </c>
      <c r="L31" s="211" t="s">
        <v>69</v>
      </c>
      <c r="M31" s="207"/>
    </row>
    <row r="32" spans="1:13" ht="18" customHeight="1">
      <c r="A32" s="211" t="s">
        <v>70</v>
      </c>
      <c r="B32" s="223">
        <f ca="1">COUNTIF(DATA_ASSET_CLASSIFICATION!$U$8:$U$24,$A32)</f>
        <v>9</v>
      </c>
      <c r="C32" s="223">
        <f ca="1">SUMIFS(DATA_ASSET_CLASSIFICATION!$E$8:$E$24,DATA_ASSET_CLASSIFICATION!$U$8:$U$24,$A32)</f>
        <v>364</v>
      </c>
      <c r="D32" s="222">
        <f ca="1">SUMIFS(DATA_CAPITAL_FLOW!$H$5:$H$5206,DATA_CAPITAL_FLOW!$N$5:$N$5206,$A32,DATA_CAPITAL_FLOW!$D$5:$D$5206,'00_PORTFOLIO ROLLUP'!$E$12,DATA_CAPITAL_FLOW!$F$5:$F$5206,"Net Operating Income")</f>
        <v>2836338.0860000006</v>
      </c>
      <c r="E32" s="222">
        <f ca="1">SUMIFS(DATA_CAPITAL_FLOW!$H$5:$H$5206,DATA_CAPITAL_FLOW!$N$5:$N$5206,$A32,DATA_CAPITAL_FLOW!$D$5:$D$5206,'00_PORTFOLIO ROLLUP'!$O$12,DATA_CAPITAL_FLOW!$F$5:$F$5206,"AFFO / Levered Cash Flow")</f>
        <v>2300022.0171683137</v>
      </c>
      <c r="F32" s="222" t="e">
        <f ca="1">_xludf.MAXIFS(DATA_CAPITAL_FLOW!$H$5:$H$5206,DATA_CAPITAL_FLOW!$N$5:$N$5206,$A32,DATA_CAPITAL_FLOW!$F$5:$F$5206,"Residual Funding Gap")</f>
        <v>#NAME?</v>
      </c>
      <c r="G32" s="224"/>
      <c r="H32" s="211" t="s">
        <v>71</v>
      </c>
      <c r="I32" s="207"/>
      <c r="J32" s="211" t="s">
        <v>72</v>
      </c>
      <c r="K32" s="225" t="str">
        <f ca="1">IF(DATA_AGGREGATION_AUDIT!$B$2=0,"OK","REVIEW")</f>
        <v>OK</v>
      </c>
      <c r="L32" s="211" t="s">
        <v>73</v>
      </c>
      <c r="M32" s="207"/>
    </row>
    <row r="33" spans="1:13" ht="18" customHeight="1">
      <c r="A33" s="211" t="s">
        <v>74</v>
      </c>
      <c r="B33" s="223">
        <f ca="1">COUNTIF(DATA_ASSET_CLASSIFICATION!$U$8:$U$24,$A33)</f>
        <v>0</v>
      </c>
      <c r="C33" s="223">
        <f ca="1">SUMIFS(DATA_ASSET_CLASSIFICATION!$E$8:$E$24,DATA_ASSET_CLASSIFICATION!$U$8:$U$24,$A33)</f>
        <v>0</v>
      </c>
      <c r="D33" s="222">
        <f ca="1">SUMIFS(DATA_CAPITAL_FLOW!$H$5:$H$5206,DATA_CAPITAL_FLOW!$N$5:$N$5206,$A33,DATA_CAPITAL_FLOW!$D$5:$D$5206,'00_PORTFOLIO ROLLUP'!$E$12,DATA_CAPITAL_FLOW!$F$5:$F$5206,"Net Operating Income")</f>
        <v>0</v>
      </c>
      <c r="E33" s="222">
        <f ca="1">SUMIFS(DATA_CAPITAL_FLOW!$H$5:$H$5206,DATA_CAPITAL_FLOW!$N$5:$N$5206,$A33,DATA_CAPITAL_FLOW!$D$5:$D$5206,'00_PORTFOLIO ROLLUP'!$O$12,DATA_CAPITAL_FLOW!$F$5:$F$5206,"AFFO / Levered Cash Flow")</f>
        <v>0</v>
      </c>
      <c r="F33" s="222" t="e">
        <f ca="1">_xludf.MAXIFS(DATA_CAPITAL_FLOW!$H$5:$H$5206,DATA_CAPITAL_FLOW!$N$5:$N$5206,$A33,DATA_CAPITAL_FLOW!$F$5:$F$5206,"Residual Funding Gap")</f>
        <v>#NAME?</v>
      </c>
      <c r="G33" s="224"/>
      <c r="H33" s="211" t="s">
        <v>75</v>
      </c>
      <c r="I33" s="207"/>
      <c r="J33" s="211" t="s">
        <v>76</v>
      </c>
      <c r="K33" s="225" t="str">
        <f ca="1">IF(AND(ISNUMBER(SEARCH("DATA_CAPITAL_FLOW",_xludf.FORMULATEXT(B12))),ISREF(LEGACY_INVESTOR_SUMMARY!B2)),"OK","CHECK")</f>
        <v>CHECK</v>
      </c>
      <c r="L33" s="211" t="s">
        <v>77</v>
      </c>
      <c r="M33" s="207"/>
    </row>
    <row r="34" spans="1:13" ht="18" customHeight="1">
      <c r="A34" s="207"/>
      <c r="B34" s="207"/>
      <c r="C34" s="207"/>
      <c r="D34" s="207"/>
      <c r="E34" s="207"/>
      <c r="F34" s="207"/>
      <c r="G34" s="207"/>
      <c r="H34" s="207"/>
      <c r="I34" s="207"/>
      <c r="J34" s="207"/>
      <c r="K34" s="207"/>
      <c r="L34" s="207"/>
      <c r="M34" s="207"/>
    </row>
    <row r="35" spans="1:13" ht="7.5" customHeight="1">
      <c r="A35" s="207"/>
      <c r="B35" s="207"/>
      <c r="C35" s="207"/>
      <c r="D35" s="207"/>
      <c r="E35" s="207"/>
      <c r="F35" s="207"/>
      <c r="G35" s="207"/>
      <c r="H35" s="207"/>
      <c r="I35" s="207"/>
      <c r="J35" s="207"/>
      <c r="K35" s="207"/>
      <c r="L35" s="207"/>
      <c r="M35" s="207"/>
    </row>
    <row r="36" spans="1:13" ht="21.95" customHeight="1">
      <c r="A36" s="494" t="s">
        <v>78</v>
      </c>
      <c r="B36" s="424"/>
      <c r="C36" s="424"/>
      <c r="D36" s="424"/>
      <c r="E36" s="424"/>
      <c r="F36" s="424"/>
      <c r="G36" s="424"/>
      <c r="H36" s="424"/>
      <c r="I36" s="424"/>
      <c r="J36" s="424"/>
      <c r="K36" s="424"/>
      <c r="L36" s="424"/>
      <c r="M36" s="207"/>
    </row>
    <row r="37" spans="1:13" ht="30">
      <c r="A37" s="209" t="s">
        <v>79</v>
      </c>
      <c r="B37" s="209" t="s">
        <v>80</v>
      </c>
      <c r="C37" s="209" t="s">
        <v>47</v>
      </c>
      <c r="D37" s="209" t="s">
        <v>81</v>
      </c>
      <c r="E37" s="209" t="s">
        <v>82</v>
      </c>
      <c r="F37" s="209" t="s">
        <v>83</v>
      </c>
      <c r="G37" s="209" t="s">
        <v>84</v>
      </c>
      <c r="H37" s="209" t="s">
        <v>85</v>
      </c>
      <c r="I37" s="209" t="s">
        <v>86</v>
      </c>
      <c r="J37" s="209" t="s">
        <v>87</v>
      </c>
      <c r="K37" s="209" t="s">
        <v>88</v>
      </c>
      <c r="L37" s="209" t="s">
        <v>89</v>
      </c>
    </row>
    <row r="38" spans="1:13" ht="45">
      <c r="A38" s="224" t="str">
        <f>DATA_ASSET_CLASSIFICATION!A8</f>
        <v>BLD_AB</v>
      </c>
      <c r="B38" s="224" t="str">
        <f>DATA_ASSET_CLASSIFICATION!B8</f>
        <v>Alma Blackwell</v>
      </c>
      <c r="C38" s="224" t="str">
        <f>DATA_ASSET_CLASSIFICATION!U8</f>
        <v>Excluded</v>
      </c>
      <c r="D38" s="222">
        <f ca="1">SUMIFS(DATA_CAPITAL_FLOW!$H$5:$H$5206,DATA_CAPITAL_FLOW!$B$5:$B$5206,"Property",DATA_CAPITAL_FLOW!$C$5:$C$5206,$A38,DATA_CAPITAL_FLOW!$D$5:$D$5206,'00_PORTFOLIO ROLLUP'!$I$12,DATA_CAPITAL_FLOW!$F$5:$F$5206,"Residual Funding Gap")</f>
        <v>0</v>
      </c>
      <c r="E38" s="222">
        <f ca="1">SUMIFS(DATA_CAPITAL_FLOW!$H$5:$H$5206,DATA_CAPITAL_FLOW!$B$5:$B$5206,"Property",DATA_CAPITAL_FLOW!$C$5:$C$5206,$A38,DATA_CAPITAL_FLOW!$D$5:$D$5206,'00_PORTFOLIO ROLLUP'!$O$12,DATA_CAPITAL_FLOW!$F$5:$F$5206,"Residual Funding Gap")</f>
        <v>0</v>
      </c>
      <c r="F38" s="222">
        <f ca="1">SUMIFS(DATA_CAPITAL_FLOW!$H$5:$H$5206,DATA_CAPITAL_FLOW!$B$5:$B$5206,"Property",DATA_CAPITAL_FLOW!$C$5:$C$5206,$A38,DATA_CAPITAL_FLOW!$D$5:$D$5206,'00_PORTFOLIO ROLLUP'!$T$12,DATA_CAPITAL_FLOW!$F$5:$F$5206,"Residual Funding Gap")</f>
        <v>0</v>
      </c>
      <c r="G38" s="222">
        <f ca="1">_xlfn.MAXIFS(DATA_CAPITAL_FLOW!$H$5:$H$5206,DATA_CAPITAL_FLOW!$B$5:$B$5206,"Property",DATA_CAPITAL_FLOW!$C$5:$C$5206,$A38,DATA_CAPITAL_FLOW!$F$5:$F$5206,"Residual Funding Gap")</f>
        <v>0</v>
      </c>
      <c r="H38" s="224" t="str">
        <f t="shared" ref="H38:H54" ca="1" si="0">IF($G38&gt;0,"Funding Gap","OK")</f>
        <v>OK</v>
      </c>
      <c r="I38" s="224" t="str">
        <f>IFERROR(INDEX(DATA_ASSET_CLASSIFICATION!$AB$8:$AB$13,MATCH($C38,DATA_ASSET_CLASSIFICATION!$AA$8:$AA$13,0)),"Review")</f>
        <v>Bucket 0 · Excluded</v>
      </c>
      <c r="J38" s="224" t="str">
        <f>DATA_ASSET_CLASSIFICATION!C8</f>
        <v>No</v>
      </c>
      <c r="K38" s="214" t="s">
        <v>90</v>
      </c>
      <c r="L38" s="224" t="str">
        <f t="shared" ref="L38:L54" ca="1" si="1">IF($H38="Funding Gap","Trace in DATA_CAPITAL_FLOW; review refi/funding solution.","No funding-gap action flagged by current model.")</f>
        <v>No funding-gap action flagged by current model.</v>
      </c>
    </row>
    <row r="39" spans="1:13" ht="45">
      <c r="A39" s="224" t="str">
        <f>DATA_ASSET_CLASSIFICATION!A9</f>
        <v>BLD_AC</v>
      </c>
      <c r="B39" s="224" t="str">
        <f>DATA_ASSET_CLASSIFICATION!B9</f>
        <v>Antkiw Court</v>
      </c>
      <c r="C39" s="224" t="str">
        <f ca="1">DATA_ASSET_CLASSIFICATION!U9</f>
        <v>Stable</v>
      </c>
      <c r="D39" s="222">
        <f ca="1">SUMIFS(DATA_CAPITAL_FLOW!$H$5:$H$5206,DATA_CAPITAL_FLOW!$B$5:$B$5206,"Property",DATA_CAPITAL_FLOW!$C$5:$C$5206,$A39,DATA_CAPITAL_FLOW!$D$5:$D$5206,'00_PORTFOLIO ROLLUP'!$I$12,DATA_CAPITAL_FLOW!$F$5:$F$5206,"Residual Funding Gap")</f>
        <v>0</v>
      </c>
      <c r="E39" s="222">
        <f ca="1">SUMIFS(DATA_CAPITAL_FLOW!$H$5:$H$5206,DATA_CAPITAL_FLOW!$B$5:$B$5206,"Property",DATA_CAPITAL_FLOW!$C$5:$C$5206,$A39,DATA_CAPITAL_FLOW!$D$5:$D$5206,'00_PORTFOLIO ROLLUP'!$O$12,DATA_CAPITAL_FLOW!$F$5:$F$5206,"Residual Funding Gap")</f>
        <v>0</v>
      </c>
      <c r="F39" s="222">
        <f ca="1">SUMIFS(DATA_CAPITAL_FLOW!$H$5:$H$5206,DATA_CAPITAL_FLOW!$B$5:$B$5206,"Property",DATA_CAPITAL_FLOW!$C$5:$C$5206,$A39,DATA_CAPITAL_FLOW!$D$5:$D$5206,'00_PORTFOLIO ROLLUP'!$T$12,DATA_CAPITAL_FLOW!$F$5:$F$5206,"Residual Funding Gap")</f>
        <v>0</v>
      </c>
      <c r="G39" s="222">
        <f ca="1">_xlfn.MAXIFS(DATA_CAPITAL_FLOW!$H$5:$H$5206,DATA_CAPITAL_FLOW!$B$5:$B$5206,"Property",DATA_CAPITAL_FLOW!$C$5:$C$5206,$A39,DATA_CAPITAL_FLOW!$F$5:$F$5206,"Residual Funding Gap")</f>
        <v>0</v>
      </c>
      <c r="H39" s="224" t="str">
        <f t="shared" ca="1" si="0"/>
        <v>OK</v>
      </c>
      <c r="I39" s="224" t="str">
        <f ca="1">IFERROR(INDEX(DATA_ASSET_CLASSIFICATION!$AB$8:$AB$13,MATCH($C39,DATA_ASSET_CLASSIFICATION!$AA$8:$AA$13,0)),"Review")</f>
        <v>Bucket 2 · Legacy</v>
      </c>
      <c r="J39" s="224" t="str">
        <f>DATA_ASSET_CLASSIFICATION!C9</f>
        <v>Yes</v>
      </c>
      <c r="K39" s="214" t="s">
        <v>90</v>
      </c>
      <c r="L39" s="224" t="str">
        <f t="shared" ca="1" si="1"/>
        <v>No funding-gap action flagged by current model.</v>
      </c>
    </row>
    <row r="40" spans="1:13" ht="45">
      <c r="A40" s="224" t="str">
        <f>DATA_ASSET_CLASSIFICATION!A10</f>
        <v>BLD_BT</v>
      </c>
      <c r="B40" s="224" t="str">
        <f>DATA_ASSET_CLASSIFICATION!B10</f>
        <v>Beatrice Terrace</v>
      </c>
      <c r="C40" s="224" t="str">
        <f ca="1">DATA_ASSET_CLASSIFICATION!U10</f>
        <v>Stable</v>
      </c>
      <c r="D40" s="222">
        <f ca="1">SUMIFS(DATA_CAPITAL_FLOW!$H$5:$H$5206,DATA_CAPITAL_FLOW!$B$5:$B$5206,"Property",DATA_CAPITAL_FLOW!$C$5:$C$5206,$A40,DATA_CAPITAL_FLOW!$D$5:$D$5206,'00_PORTFOLIO ROLLUP'!$I$12,DATA_CAPITAL_FLOW!$F$5:$F$5206,"Residual Funding Gap")</f>
        <v>0</v>
      </c>
      <c r="E40" s="222">
        <f ca="1">SUMIFS(DATA_CAPITAL_FLOW!$H$5:$H$5206,DATA_CAPITAL_FLOW!$B$5:$B$5206,"Property",DATA_CAPITAL_FLOW!$C$5:$C$5206,$A40,DATA_CAPITAL_FLOW!$D$5:$D$5206,'00_PORTFOLIO ROLLUP'!$O$12,DATA_CAPITAL_FLOW!$F$5:$F$5206,"Residual Funding Gap")</f>
        <v>0</v>
      </c>
      <c r="F40" s="222">
        <f ca="1">SUMIFS(DATA_CAPITAL_FLOW!$H$5:$H$5206,DATA_CAPITAL_FLOW!$B$5:$B$5206,"Property",DATA_CAPITAL_FLOW!$C$5:$C$5206,$A40,DATA_CAPITAL_FLOW!$D$5:$D$5206,'00_PORTFOLIO ROLLUP'!$T$12,DATA_CAPITAL_FLOW!$F$5:$F$5206,"Residual Funding Gap")</f>
        <v>0</v>
      </c>
      <c r="G40" s="222">
        <f ca="1">_xlfn.MAXIFS(DATA_CAPITAL_FLOW!$H$5:$H$5206,DATA_CAPITAL_FLOW!$B$5:$B$5206,"Property",DATA_CAPITAL_FLOW!$C$5:$C$5206,$A40,DATA_CAPITAL_FLOW!$F$5:$F$5206,"Residual Funding Gap")</f>
        <v>0</v>
      </c>
      <c r="H40" s="224" t="str">
        <f t="shared" ca="1" si="0"/>
        <v>OK</v>
      </c>
      <c r="I40" s="224" t="str">
        <f ca="1">IFERROR(INDEX(DATA_ASSET_CLASSIFICATION!$AB$8:$AB$13,MATCH($C40,DATA_ASSET_CLASSIFICATION!$AA$8:$AA$13,0)),"Review")</f>
        <v>Bucket 2 · Legacy</v>
      </c>
      <c r="J40" s="224" t="str">
        <f>DATA_ASSET_CLASSIFICATION!C10</f>
        <v>Yes</v>
      </c>
      <c r="K40" s="214" t="s">
        <v>90</v>
      </c>
      <c r="L40" s="224" t="str">
        <f ca="1">IF($H40="Funding Gap","Trace in DATA_CAPITAL_FLOW; review refi/funding solution.","No funding-gap action flagged by current model.")</f>
        <v>No funding-gap action flagged by current model.</v>
      </c>
    </row>
    <row r="41" spans="1:13" ht="45">
      <c r="A41" s="224" t="str">
        <f>DATA_ASSET_CLASSIFICATION!A11</f>
        <v>BLD_CH</v>
      </c>
      <c r="B41" s="224" t="str">
        <f>DATA_ASSET_CLASSIFICATION!B11</f>
        <v>Capilano House</v>
      </c>
      <c r="C41" s="224" t="str">
        <f ca="1">DATA_ASSET_CLASSIFICATION!U11</f>
        <v>Stable</v>
      </c>
      <c r="D41" s="222">
        <f ca="1">SUMIFS(DATA_CAPITAL_FLOW!$H$5:$H$5206,DATA_CAPITAL_FLOW!$B$5:$B$5206,"Property",DATA_CAPITAL_FLOW!$C$5:$C$5206,$A41,DATA_CAPITAL_FLOW!$D$5:$D$5206,'00_PORTFOLIO ROLLUP'!$I$12,DATA_CAPITAL_FLOW!$F$5:$F$5206,"Residual Funding Gap")</f>
        <v>0</v>
      </c>
      <c r="E41" s="222">
        <f ca="1">SUMIFS(DATA_CAPITAL_FLOW!$H$5:$H$5206,DATA_CAPITAL_FLOW!$B$5:$B$5206,"Property",DATA_CAPITAL_FLOW!$C$5:$C$5206,$A41,DATA_CAPITAL_FLOW!$D$5:$D$5206,'00_PORTFOLIO ROLLUP'!$O$12,DATA_CAPITAL_FLOW!$F$5:$F$5206,"Residual Funding Gap")</f>
        <v>0</v>
      </c>
      <c r="F41" s="222">
        <f ca="1">SUMIFS(DATA_CAPITAL_FLOW!$H$5:$H$5206,DATA_CAPITAL_FLOW!$B$5:$B$5206,"Property",DATA_CAPITAL_FLOW!$C$5:$C$5206,$A41,DATA_CAPITAL_FLOW!$D$5:$D$5206,'00_PORTFOLIO ROLLUP'!$T$12,DATA_CAPITAL_FLOW!$F$5:$F$5206,"Residual Funding Gap")</f>
        <v>0</v>
      </c>
      <c r="G41" s="222">
        <f ca="1">_xlfn.MAXIFS(DATA_CAPITAL_FLOW!$H$5:$H$5206,DATA_CAPITAL_FLOW!$B$5:$B$5206,"Property",DATA_CAPITAL_FLOW!$C$5:$C$5206,$A41,DATA_CAPITAL_FLOW!$F$5:$F$5206,"Residual Funding Gap")</f>
        <v>0</v>
      </c>
      <c r="H41" s="224" t="str">
        <f t="shared" ca="1" si="0"/>
        <v>OK</v>
      </c>
      <c r="I41" s="224" t="str">
        <f ca="1">IFERROR(INDEX(DATA_ASSET_CLASSIFICATION!$AB$8:$AB$13,MATCH($C41,DATA_ASSET_CLASSIFICATION!$AA$8:$AA$13,0)),"Review")</f>
        <v>Bucket 2 · Legacy</v>
      </c>
      <c r="J41" s="224" t="str">
        <f>DATA_ASSET_CLASSIFICATION!C11</f>
        <v>Yes</v>
      </c>
      <c r="K41" s="214" t="s">
        <v>90</v>
      </c>
      <c r="L41" s="224" t="str">
        <f t="shared" ca="1" si="1"/>
        <v>No funding-gap action flagged by current model.</v>
      </c>
    </row>
    <row r="42" spans="1:13" ht="45">
      <c r="A42" s="224" t="str">
        <f>DATA_ASSET_CLASSIFICATION!A12</f>
        <v>BLD_CC</v>
      </c>
      <c r="B42" s="224" t="str">
        <f>DATA_ASSET_CLASSIFICATION!B12</f>
        <v>Constance Court</v>
      </c>
      <c r="C42" s="224" t="str">
        <f ca="1">DATA_ASSET_CLASSIFICATION!U12</f>
        <v>Refi Watch</v>
      </c>
      <c r="D42" s="222">
        <f ca="1">SUMIFS(DATA_CAPITAL_FLOW!$H$5:$H$5206,DATA_CAPITAL_FLOW!$B$5:$B$5206,"Property",DATA_CAPITAL_FLOW!$C$5:$C$5206,$A42,DATA_CAPITAL_FLOW!$D$5:$D$5206,'00_PORTFOLIO ROLLUP'!$I$12,DATA_CAPITAL_FLOW!$F$5:$F$5206,"Residual Funding Gap")</f>
        <v>0</v>
      </c>
      <c r="E42" s="222">
        <f ca="1">SUMIFS(DATA_CAPITAL_FLOW!$H$5:$H$5206,DATA_CAPITAL_FLOW!$B$5:$B$5206,"Property",DATA_CAPITAL_FLOW!$C$5:$C$5206,$A42,DATA_CAPITAL_FLOW!$D$5:$D$5206,'00_PORTFOLIO ROLLUP'!$O$12,DATA_CAPITAL_FLOW!$F$5:$F$5206,"Residual Funding Gap")</f>
        <v>0</v>
      </c>
      <c r="F42" s="222">
        <f ca="1">SUMIFS(DATA_CAPITAL_FLOW!$H$5:$H$5206,DATA_CAPITAL_FLOW!$B$5:$B$5206,"Property",DATA_CAPITAL_FLOW!$C$5:$C$5206,$A42,DATA_CAPITAL_FLOW!$D$5:$D$5206,'00_PORTFOLIO ROLLUP'!$T$12,DATA_CAPITAL_FLOW!$F$5:$F$5206,"Residual Funding Gap")</f>
        <v>0</v>
      </c>
      <c r="G42" s="222">
        <f ca="1">_xlfn.MAXIFS(DATA_CAPITAL_FLOW!$H$5:$H$5206,DATA_CAPITAL_FLOW!$B$5:$B$5206,"Property",DATA_CAPITAL_FLOW!$C$5:$C$5206,$A42,DATA_CAPITAL_FLOW!$F$5:$F$5206,"Residual Funding Gap")</f>
        <v>0</v>
      </c>
      <c r="H42" s="224" t="str">
        <f t="shared" ca="1" si="0"/>
        <v>OK</v>
      </c>
      <c r="I42" s="224" t="str">
        <f ca="1">IFERROR(INDEX(DATA_ASSET_CLASSIFICATION!$AB$8:$AB$13,MATCH($C42,DATA_ASSET_CLASSIFICATION!$AA$8:$AA$13,0)),"Review")</f>
        <v>Bucket 2 · Legacy</v>
      </c>
      <c r="J42" s="224" t="str">
        <f>DATA_ASSET_CLASSIFICATION!C12</f>
        <v>Yes</v>
      </c>
      <c r="K42" s="214" t="s">
        <v>90</v>
      </c>
      <c r="L42" s="224" t="str">
        <f t="shared" ca="1" si="1"/>
        <v>No funding-gap action flagged by current model.</v>
      </c>
    </row>
    <row r="43" spans="1:13" ht="45">
      <c r="A43" s="224" t="str">
        <f>DATA_ASSET_CLASSIFICATION!A13</f>
        <v>BLD_EA</v>
      </c>
      <c r="B43" s="224" t="str">
        <f>DATA_ASSET_CLASSIFICATION!B13</f>
        <v>Evergreen Apartments</v>
      </c>
      <c r="C43" s="224" t="str">
        <f ca="1">DATA_ASSET_CLASSIFICATION!U13</f>
        <v>Refi Watch</v>
      </c>
      <c r="D43" s="222">
        <f ca="1">SUMIFS(DATA_CAPITAL_FLOW!$H$5:$H$5206,DATA_CAPITAL_FLOW!$B$5:$B$5206,"Property",DATA_CAPITAL_FLOW!$C$5:$C$5206,$A43,DATA_CAPITAL_FLOW!$D$5:$D$5206,'00_PORTFOLIO ROLLUP'!$I$12,DATA_CAPITAL_FLOW!$F$5:$F$5206,"Residual Funding Gap")</f>
        <v>0</v>
      </c>
      <c r="E43" s="222">
        <f ca="1">SUMIFS(DATA_CAPITAL_FLOW!$H$5:$H$5206,DATA_CAPITAL_FLOW!$B$5:$B$5206,"Property",DATA_CAPITAL_FLOW!$C$5:$C$5206,$A43,DATA_CAPITAL_FLOW!$D$5:$D$5206,'00_PORTFOLIO ROLLUP'!$O$12,DATA_CAPITAL_FLOW!$F$5:$F$5206,"Residual Funding Gap")</f>
        <v>0</v>
      </c>
      <c r="F43" s="222">
        <f ca="1">SUMIFS(DATA_CAPITAL_FLOW!$H$5:$H$5206,DATA_CAPITAL_FLOW!$B$5:$B$5206,"Property",DATA_CAPITAL_FLOW!$C$5:$C$5206,$A43,DATA_CAPITAL_FLOW!$D$5:$D$5206,'00_PORTFOLIO ROLLUP'!$T$12,DATA_CAPITAL_FLOW!$F$5:$F$5206,"Residual Funding Gap")</f>
        <v>0</v>
      </c>
      <c r="G43" s="222">
        <f ca="1">_xlfn.MAXIFS(DATA_CAPITAL_FLOW!$H$5:$H$5206,DATA_CAPITAL_FLOW!$B$5:$B$5206,"Property",DATA_CAPITAL_FLOW!$C$5:$C$5206,$A43,DATA_CAPITAL_FLOW!$F$5:$F$5206,"Residual Funding Gap")</f>
        <v>0</v>
      </c>
      <c r="H43" s="224" t="str">
        <f t="shared" ca="1" si="0"/>
        <v>OK</v>
      </c>
      <c r="I43" s="224" t="str">
        <f ca="1">IFERROR(INDEX(DATA_ASSET_CLASSIFICATION!$AB$8:$AB$13,MATCH($C43,DATA_ASSET_CLASSIFICATION!$AA$8:$AA$13,0)),"Review")</f>
        <v>Bucket 2 · Legacy</v>
      </c>
      <c r="J43" s="224" t="str">
        <f>DATA_ASSET_CLASSIFICATION!C13</f>
        <v>Yes</v>
      </c>
      <c r="K43" s="214" t="s">
        <v>90</v>
      </c>
      <c r="L43" s="224" t="str">
        <f t="shared" ca="1" si="1"/>
        <v>No funding-gap action flagged by current model.</v>
      </c>
    </row>
    <row r="44" spans="1:13" ht="45">
      <c r="A44" s="224" t="str">
        <f>DATA_ASSET_CLASSIFICATION!A14</f>
        <v>BLD_EE</v>
      </c>
      <c r="B44" s="224" t="str">
        <f>DATA_ASSET_CLASSIFICATION!B14</f>
        <v>Evelyn Estates</v>
      </c>
      <c r="C44" s="224" t="str">
        <f ca="1">DATA_ASSET_CLASSIFICATION!U14</f>
        <v>Refi Watch</v>
      </c>
      <c r="D44" s="222">
        <f ca="1">SUMIFS(DATA_CAPITAL_FLOW!$H$5:$H$5206,DATA_CAPITAL_FLOW!$B$5:$B$5206,"Property",DATA_CAPITAL_FLOW!$C$5:$C$5206,$A44,DATA_CAPITAL_FLOW!$D$5:$D$5206,'00_PORTFOLIO ROLLUP'!$I$12,DATA_CAPITAL_FLOW!$F$5:$F$5206,"Residual Funding Gap")</f>
        <v>0</v>
      </c>
      <c r="E44" s="222">
        <f ca="1">SUMIFS(DATA_CAPITAL_FLOW!$H$5:$H$5206,DATA_CAPITAL_FLOW!$B$5:$B$5206,"Property",DATA_CAPITAL_FLOW!$C$5:$C$5206,$A44,DATA_CAPITAL_FLOW!$D$5:$D$5206,'00_PORTFOLIO ROLLUP'!$O$12,DATA_CAPITAL_FLOW!$F$5:$F$5206,"Residual Funding Gap")</f>
        <v>0</v>
      </c>
      <c r="F44" s="222">
        <f ca="1">SUMIFS(DATA_CAPITAL_FLOW!$H$5:$H$5206,DATA_CAPITAL_FLOW!$B$5:$B$5206,"Property",DATA_CAPITAL_FLOW!$C$5:$C$5206,$A44,DATA_CAPITAL_FLOW!$D$5:$D$5206,'00_PORTFOLIO ROLLUP'!$T$12,DATA_CAPITAL_FLOW!$F$5:$F$5206,"Residual Funding Gap")</f>
        <v>0</v>
      </c>
      <c r="G44" s="222">
        <f ca="1">_xlfn.MAXIFS(DATA_CAPITAL_FLOW!$H$5:$H$5206,DATA_CAPITAL_FLOW!$B$5:$B$5206,"Property",DATA_CAPITAL_FLOW!$C$5:$C$5206,$A44,DATA_CAPITAL_FLOW!$F$5:$F$5206,"Residual Funding Gap")</f>
        <v>0</v>
      </c>
      <c r="H44" s="224" t="str">
        <f t="shared" ca="1" si="0"/>
        <v>OK</v>
      </c>
      <c r="I44" s="224" t="str">
        <f ca="1">IFERROR(INDEX(DATA_ASSET_CLASSIFICATION!$AB$8:$AB$13,MATCH($C44,DATA_ASSET_CLASSIFICATION!$AA$8:$AA$13,0)),"Review")</f>
        <v>Bucket 2 · Legacy</v>
      </c>
      <c r="J44" s="224" t="str">
        <f>DATA_ASSET_CLASSIFICATION!C14</f>
        <v>Yes</v>
      </c>
      <c r="K44" s="214" t="s">
        <v>90</v>
      </c>
      <c r="L44" s="224" t="str">
        <f t="shared" ca="1" si="1"/>
        <v>No funding-gap action flagged by current model.</v>
      </c>
    </row>
    <row r="45" spans="1:13" ht="45">
      <c r="A45" s="224" t="str">
        <f>DATA_ASSET_CLASSIFICATION!A15</f>
        <v>BLD_JP</v>
      </c>
      <c r="B45" s="224" t="str">
        <f>DATA_ASSET_CLASSIFICATION!B15</f>
        <v>Jessica Place</v>
      </c>
      <c r="C45" s="224" t="str">
        <f ca="1">DATA_ASSET_CLASSIFICATION!U15</f>
        <v>Refi Watch</v>
      </c>
      <c r="D45" s="222">
        <f ca="1">SUMIFS(DATA_CAPITAL_FLOW!$H$5:$H$5206,DATA_CAPITAL_FLOW!$B$5:$B$5206,"Property",DATA_CAPITAL_FLOW!$C$5:$C$5206,$A45,DATA_CAPITAL_FLOW!$D$5:$D$5206,'00_PORTFOLIO ROLLUP'!$I$12,DATA_CAPITAL_FLOW!$F$5:$F$5206,"Residual Funding Gap")</f>
        <v>0</v>
      </c>
      <c r="E45" s="222">
        <f ca="1">SUMIFS(DATA_CAPITAL_FLOW!$H$5:$H$5206,DATA_CAPITAL_FLOW!$B$5:$B$5206,"Property",DATA_CAPITAL_FLOW!$C$5:$C$5206,$A45,DATA_CAPITAL_FLOW!$D$5:$D$5206,'00_PORTFOLIO ROLLUP'!$O$12,DATA_CAPITAL_FLOW!$F$5:$F$5206,"Residual Funding Gap")</f>
        <v>0</v>
      </c>
      <c r="F45" s="222">
        <f ca="1">SUMIFS(DATA_CAPITAL_FLOW!$H$5:$H$5206,DATA_CAPITAL_FLOW!$B$5:$B$5206,"Property",DATA_CAPITAL_FLOW!$C$5:$C$5206,$A45,DATA_CAPITAL_FLOW!$D$5:$D$5206,'00_PORTFOLIO ROLLUP'!$T$12,DATA_CAPITAL_FLOW!$F$5:$F$5206,"Residual Funding Gap")</f>
        <v>0</v>
      </c>
      <c r="G45" s="222">
        <f ca="1">_xlfn.MAXIFS(DATA_CAPITAL_FLOW!$H$5:$H$5206,DATA_CAPITAL_FLOW!$B$5:$B$5206,"Property",DATA_CAPITAL_FLOW!$C$5:$C$5206,$A45,DATA_CAPITAL_FLOW!$F$5:$F$5206,"Residual Funding Gap")</f>
        <v>0</v>
      </c>
      <c r="H45" s="224" t="str">
        <f t="shared" ca="1" si="0"/>
        <v>OK</v>
      </c>
      <c r="I45" s="224" t="str">
        <f ca="1">IFERROR(INDEX(DATA_ASSET_CLASSIFICATION!$AB$8:$AB$13,MATCH($C45,DATA_ASSET_CLASSIFICATION!$AA$8:$AA$13,0)),"Review")</f>
        <v>Bucket 2 · Legacy</v>
      </c>
      <c r="J45" s="224" t="str">
        <f>DATA_ASSET_CLASSIFICATION!C15</f>
        <v>Yes</v>
      </c>
      <c r="K45" s="214" t="s">
        <v>90</v>
      </c>
      <c r="L45" s="224" t="str">
        <f t="shared" ca="1" si="1"/>
        <v>No funding-gap action flagged by current model.</v>
      </c>
    </row>
    <row r="46" spans="1:13" ht="45">
      <c r="A46" s="224" t="str">
        <f>DATA_ASSET_CLASSIFICATION!A16</f>
        <v>BLD_MH</v>
      </c>
      <c r="B46" s="224" t="str">
        <f>DATA_ASSET_CLASSIFICATION!B16</f>
        <v>Margaret Heights</v>
      </c>
      <c r="C46" s="224" t="str">
        <f ca="1">DATA_ASSET_CLASSIFICATION!U16</f>
        <v>Refi Watch</v>
      </c>
      <c r="D46" s="222">
        <f ca="1">SUMIFS(DATA_CAPITAL_FLOW!$H$5:$H$5206,DATA_CAPITAL_FLOW!$B$5:$B$5206,"Property",DATA_CAPITAL_FLOW!$C$5:$C$5206,$A46,DATA_CAPITAL_FLOW!$D$5:$D$5206,'00_PORTFOLIO ROLLUP'!$I$12,DATA_CAPITAL_FLOW!$F$5:$F$5206,"Residual Funding Gap")</f>
        <v>0</v>
      </c>
      <c r="E46" s="222">
        <f ca="1">SUMIFS(DATA_CAPITAL_FLOW!$H$5:$H$5206,DATA_CAPITAL_FLOW!$B$5:$B$5206,"Property",DATA_CAPITAL_FLOW!$C$5:$C$5206,$A46,DATA_CAPITAL_FLOW!$D$5:$D$5206,'00_PORTFOLIO ROLLUP'!$O$12,DATA_CAPITAL_FLOW!$F$5:$F$5206,"Residual Funding Gap")</f>
        <v>0</v>
      </c>
      <c r="F46" s="222">
        <f ca="1">SUMIFS(DATA_CAPITAL_FLOW!$H$5:$H$5206,DATA_CAPITAL_FLOW!$B$5:$B$5206,"Property",DATA_CAPITAL_FLOW!$C$5:$C$5206,$A46,DATA_CAPITAL_FLOW!$D$5:$D$5206,'00_PORTFOLIO ROLLUP'!$T$12,DATA_CAPITAL_FLOW!$F$5:$F$5206,"Residual Funding Gap")</f>
        <v>0</v>
      </c>
      <c r="G46" s="222">
        <f ca="1">_xlfn.MAXIFS(DATA_CAPITAL_FLOW!$H$5:$H$5206,DATA_CAPITAL_FLOW!$B$5:$B$5206,"Property",DATA_CAPITAL_FLOW!$C$5:$C$5206,$A46,DATA_CAPITAL_FLOW!$F$5:$F$5206,"Residual Funding Gap")</f>
        <v>0</v>
      </c>
      <c r="H46" s="224" t="str">
        <f t="shared" ca="1" si="0"/>
        <v>OK</v>
      </c>
      <c r="I46" s="224" t="str">
        <f ca="1">IFERROR(INDEX(DATA_ASSET_CLASSIFICATION!$AB$8:$AB$13,MATCH($C46,DATA_ASSET_CLASSIFICATION!$AA$8:$AA$13,0)),"Review")</f>
        <v>Bucket 2 · Legacy</v>
      </c>
      <c r="J46" s="224" t="str">
        <f>DATA_ASSET_CLASSIFICATION!C16</f>
        <v>Yes</v>
      </c>
      <c r="K46" s="214" t="s">
        <v>90</v>
      </c>
      <c r="L46" s="224" t="str">
        <f t="shared" ca="1" si="1"/>
        <v>No funding-gap action flagged by current model.</v>
      </c>
    </row>
    <row r="47" spans="1:13" ht="45">
      <c r="A47" s="224" t="str">
        <f>DATA_ASSET_CLASSIFICATION!A17</f>
        <v>BLD_MM</v>
      </c>
      <c r="B47" s="224" t="str">
        <f>DATA_ASSET_CLASSIFICATION!B17</f>
        <v>Murray Manor</v>
      </c>
      <c r="C47" s="224" t="str">
        <f ca="1">DATA_ASSET_CLASSIFICATION!U17</f>
        <v>Refi Watch</v>
      </c>
      <c r="D47" s="222">
        <f ca="1">SUMIFS(DATA_CAPITAL_FLOW!$H$5:$H$5206,DATA_CAPITAL_FLOW!$B$5:$B$5206,"Property",DATA_CAPITAL_FLOW!$C$5:$C$5206,$A47,DATA_CAPITAL_FLOW!$D$5:$D$5206,'00_PORTFOLIO ROLLUP'!$I$12,DATA_CAPITAL_FLOW!$F$5:$F$5206,"Residual Funding Gap")</f>
        <v>0</v>
      </c>
      <c r="E47" s="222">
        <f ca="1">SUMIFS(DATA_CAPITAL_FLOW!$H$5:$H$5206,DATA_CAPITAL_FLOW!$B$5:$B$5206,"Property",DATA_CAPITAL_FLOW!$C$5:$C$5206,$A47,DATA_CAPITAL_FLOW!$D$5:$D$5206,'00_PORTFOLIO ROLLUP'!$O$12,DATA_CAPITAL_FLOW!$F$5:$F$5206,"Residual Funding Gap")</f>
        <v>0</v>
      </c>
      <c r="F47" s="222">
        <f ca="1">SUMIFS(DATA_CAPITAL_FLOW!$H$5:$H$5206,DATA_CAPITAL_FLOW!$B$5:$B$5206,"Property",DATA_CAPITAL_FLOW!$C$5:$C$5206,$A47,DATA_CAPITAL_FLOW!$D$5:$D$5206,'00_PORTFOLIO ROLLUP'!$T$12,DATA_CAPITAL_FLOW!$F$5:$F$5206,"Residual Funding Gap")</f>
        <v>0</v>
      </c>
      <c r="G47" s="222">
        <f ca="1">_xlfn.MAXIFS(DATA_CAPITAL_FLOW!$H$5:$H$5206,DATA_CAPITAL_FLOW!$B$5:$B$5206,"Property",DATA_CAPITAL_FLOW!$C$5:$C$5206,$A47,DATA_CAPITAL_FLOW!$F$5:$F$5206,"Residual Funding Gap")</f>
        <v>0</v>
      </c>
      <c r="H47" s="224" t="str">
        <f t="shared" ca="1" si="0"/>
        <v>OK</v>
      </c>
      <c r="I47" s="224" t="str">
        <f ca="1">IFERROR(INDEX(DATA_ASSET_CLASSIFICATION!$AB$8:$AB$13,MATCH($C47,DATA_ASSET_CLASSIFICATION!$AA$8:$AA$13,0)),"Review")</f>
        <v>Bucket 2 · Legacy</v>
      </c>
      <c r="J47" s="224" t="str">
        <f>DATA_ASSET_CLASSIFICATION!C17</f>
        <v>Yes</v>
      </c>
      <c r="K47" s="214" t="s">
        <v>90</v>
      </c>
      <c r="L47" s="224" t="str">
        <f t="shared" ca="1" si="1"/>
        <v>No funding-gap action flagged by current model.</v>
      </c>
    </row>
    <row r="48" spans="1:13" ht="45">
      <c r="A48" s="224" t="str">
        <f>DATA_ASSET_CLASSIFICATION!A18</f>
        <v>BLD_NT</v>
      </c>
      <c r="B48" s="224" t="str">
        <f>DATA_ASSET_CLASSIFICATION!B18</f>
        <v>Natalia Terrace</v>
      </c>
      <c r="C48" s="224" t="str">
        <f ca="1">DATA_ASSET_CLASSIFICATION!U18</f>
        <v>Refi Watch</v>
      </c>
      <c r="D48" s="222">
        <f ca="1">SUMIFS(DATA_CAPITAL_FLOW!$H$5:$H$5206,DATA_CAPITAL_FLOW!$B$5:$B$5206,"Property",DATA_CAPITAL_FLOW!$C$5:$C$5206,$A48,DATA_CAPITAL_FLOW!$D$5:$D$5206,'00_PORTFOLIO ROLLUP'!$I$12,DATA_CAPITAL_FLOW!$F$5:$F$5206,"Residual Funding Gap")</f>
        <v>0</v>
      </c>
      <c r="E48" s="222">
        <f ca="1">SUMIFS(DATA_CAPITAL_FLOW!$H$5:$H$5206,DATA_CAPITAL_FLOW!$B$5:$B$5206,"Property",DATA_CAPITAL_FLOW!$C$5:$C$5206,$A48,DATA_CAPITAL_FLOW!$D$5:$D$5206,'00_PORTFOLIO ROLLUP'!$O$12,DATA_CAPITAL_FLOW!$F$5:$F$5206,"Residual Funding Gap")</f>
        <v>0</v>
      </c>
      <c r="F48" s="222">
        <f ca="1">SUMIFS(DATA_CAPITAL_FLOW!$H$5:$H$5206,DATA_CAPITAL_FLOW!$B$5:$B$5206,"Property",DATA_CAPITAL_FLOW!$C$5:$C$5206,$A48,DATA_CAPITAL_FLOW!$D$5:$D$5206,'00_PORTFOLIO ROLLUP'!$T$12,DATA_CAPITAL_FLOW!$F$5:$F$5206,"Residual Funding Gap")</f>
        <v>0</v>
      </c>
      <c r="G48" s="222">
        <f ca="1">_xlfn.MAXIFS(DATA_CAPITAL_FLOW!$H$5:$H$5206,DATA_CAPITAL_FLOW!$B$5:$B$5206,"Property",DATA_CAPITAL_FLOW!$C$5:$C$5206,$A48,DATA_CAPITAL_FLOW!$F$5:$F$5206,"Residual Funding Gap")</f>
        <v>0</v>
      </c>
      <c r="H48" s="224" t="str">
        <f t="shared" ca="1" si="0"/>
        <v>OK</v>
      </c>
      <c r="I48" s="224" t="str">
        <f ca="1">IFERROR(INDEX(DATA_ASSET_CLASSIFICATION!$AB$8:$AB$13,MATCH($C48,DATA_ASSET_CLASSIFICATION!$AA$8:$AA$13,0)),"Review")</f>
        <v>Bucket 2 · Legacy</v>
      </c>
      <c r="J48" s="224" t="str">
        <f>DATA_ASSET_CLASSIFICATION!C18</f>
        <v>Yes</v>
      </c>
      <c r="K48" s="214" t="s">
        <v>90</v>
      </c>
      <c r="L48" s="224" t="str">
        <f t="shared" ca="1" si="1"/>
        <v>No funding-gap action flagged by current model.</v>
      </c>
    </row>
    <row r="49" spans="1:12" ht="45">
      <c r="A49" s="224" t="str">
        <f>DATA_ASSET_CLASSIFICATION!A19</f>
        <v>BLD_NG</v>
      </c>
      <c r="B49" s="224" t="str">
        <f>DATA_ASSET_CLASSIFICATION!B19</f>
        <v>Newton Green</v>
      </c>
      <c r="C49" s="224" t="str">
        <f ca="1">DATA_ASSET_CLASSIFICATION!U19</f>
        <v>Refi Watch</v>
      </c>
      <c r="D49" s="222">
        <f ca="1">SUMIFS(DATA_CAPITAL_FLOW!$H$5:$H$5206,DATA_CAPITAL_FLOW!$B$5:$B$5206,"Property",DATA_CAPITAL_FLOW!$C$5:$C$5206,$A49,DATA_CAPITAL_FLOW!$D$5:$D$5206,'00_PORTFOLIO ROLLUP'!$I$12,DATA_CAPITAL_FLOW!$F$5:$F$5206,"Residual Funding Gap")</f>
        <v>0</v>
      </c>
      <c r="E49" s="222">
        <f ca="1">SUMIFS(DATA_CAPITAL_FLOW!$H$5:$H$5206,DATA_CAPITAL_FLOW!$B$5:$B$5206,"Property",DATA_CAPITAL_FLOW!$C$5:$C$5206,$A49,DATA_CAPITAL_FLOW!$D$5:$D$5206,'00_PORTFOLIO ROLLUP'!$O$12,DATA_CAPITAL_FLOW!$F$5:$F$5206,"Residual Funding Gap")</f>
        <v>0</v>
      </c>
      <c r="F49" s="222">
        <f ca="1">SUMIFS(DATA_CAPITAL_FLOW!$H$5:$H$5206,DATA_CAPITAL_FLOW!$B$5:$B$5206,"Property",DATA_CAPITAL_FLOW!$C$5:$C$5206,$A49,DATA_CAPITAL_FLOW!$D$5:$D$5206,'00_PORTFOLIO ROLLUP'!$T$12,DATA_CAPITAL_FLOW!$F$5:$F$5206,"Residual Funding Gap")</f>
        <v>0</v>
      </c>
      <c r="G49" s="222">
        <f ca="1">_xlfn.MAXIFS(DATA_CAPITAL_FLOW!$H$5:$H$5206,DATA_CAPITAL_FLOW!$B$5:$B$5206,"Property",DATA_CAPITAL_FLOW!$C$5:$C$5206,$A49,DATA_CAPITAL_FLOW!$F$5:$F$5206,"Residual Funding Gap")</f>
        <v>0</v>
      </c>
      <c r="H49" s="224" t="str">
        <f t="shared" ca="1" si="0"/>
        <v>OK</v>
      </c>
      <c r="I49" s="224" t="str">
        <f ca="1">IFERROR(INDEX(DATA_ASSET_CLASSIFICATION!$AB$8:$AB$13,MATCH($C49,DATA_ASSET_CLASSIFICATION!$AA$8:$AA$13,0)),"Review")</f>
        <v>Bucket 2 · Legacy</v>
      </c>
      <c r="J49" s="224" t="str">
        <f>DATA_ASSET_CLASSIFICATION!C19</f>
        <v>Yes</v>
      </c>
      <c r="K49" s="214" t="s">
        <v>90</v>
      </c>
      <c r="L49" s="224" t="str">
        <f t="shared" ca="1" si="1"/>
        <v>No funding-gap action flagged by current model.</v>
      </c>
    </row>
    <row r="50" spans="1:12" ht="45">
      <c r="A50" s="224" t="str">
        <f>DATA_ASSET_CLASSIFICATION!A20</f>
        <v>BLD_RG</v>
      </c>
      <c r="B50" s="224" t="str">
        <f>DATA_ASSET_CLASSIFICATION!B20</f>
        <v>Rosemary Green</v>
      </c>
      <c r="C50" s="224" t="str">
        <f ca="1">DATA_ASSET_CLASSIFICATION!U20</f>
        <v>Refi Watch</v>
      </c>
      <c r="D50" s="222">
        <f ca="1">SUMIFS(DATA_CAPITAL_FLOW!$H$5:$H$5206,DATA_CAPITAL_FLOW!$B$5:$B$5206,"Property",DATA_CAPITAL_FLOW!$C$5:$C$5206,$A50,DATA_CAPITAL_FLOW!$D$5:$D$5206,'00_PORTFOLIO ROLLUP'!$I$12,DATA_CAPITAL_FLOW!$F$5:$F$5206,"Residual Funding Gap")</f>
        <v>0</v>
      </c>
      <c r="E50" s="222">
        <f ca="1">SUMIFS(DATA_CAPITAL_FLOW!$H$5:$H$5206,DATA_CAPITAL_FLOW!$B$5:$B$5206,"Property",DATA_CAPITAL_FLOW!$C$5:$C$5206,$A50,DATA_CAPITAL_FLOW!$D$5:$D$5206,'00_PORTFOLIO ROLLUP'!$O$12,DATA_CAPITAL_FLOW!$F$5:$F$5206,"Residual Funding Gap")</f>
        <v>0</v>
      </c>
      <c r="F50" s="222">
        <f ca="1">SUMIFS(DATA_CAPITAL_FLOW!$H$5:$H$5206,DATA_CAPITAL_FLOW!$B$5:$B$5206,"Property",DATA_CAPITAL_FLOW!$C$5:$C$5206,$A50,DATA_CAPITAL_FLOW!$D$5:$D$5206,'00_PORTFOLIO ROLLUP'!$T$12,DATA_CAPITAL_FLOW!$F$5:$F$5206,"Residual Funding Gap")</f>
        <v>0</v>
      </c>
      <c r="G50" s="222">
        <f ca="1">_xlfn.MAXIFS(DATA_CAPITAL_FLOW!$H$5:$H$5206,DATA_CAPITAL_FLOW!$B$5:$B$5206,"Property",DATA_CAPITAL_FLOW!$C$5:$C$5206,$A50,DATA_CAPITAL_FLOW!$F$5:$F$5206,"Residual Funding Gap")</f>
        <v>0</v>
      </c>
      <c r="H50" s="224" t="str">
        <f t="shared" ca="1" si="0"/>
        <v>OK</v>
      </c>
      <c r="I50" s="224" t="str">
        <f ca="1">IFERROR(INDEX(DATA_ASSET_CLASSIFICATION!$AB$8:$AB$13,MATCH($C50,DATA_ASSET_CLASSIFICATION!$AA$8:$AA$13,0)),"Review")</f>
        <v>Bucket 2 · Legacy</v>
      </c>
      <c r="J50" s="224" t="str">
        <f>DATA_ASSET_CLASSIFICATION!C20</f>
        <v>Yes</v>
      </c>
      <c r="K50" s="214" t="s">
        <v>90</v>
      </c>
      <c r="L50" s="224" t="str">
        <f t="shared" ca="1" si="1"/>
        <v>No funding-gap action flagged by current model.</v>
      </c>
    </row>
    <row r="51" spans="1:12" ht="45">
      <c r="A51" s="224" t="str">
        <f>DATA_ASSET_CLASSIFICATION!A21</f>
        <v>BLD_AS</v>
      </c>
      <c r="B51" s="224" t="str">
        <f>DATA_ASSET_CLASSIFICATION!B21</f>
        <v>1656 Adanac Street</v>
      </c>
      <c r="C51" s="224" t="str">
        <f>DATA_ASSET_CLASSIFICATION!U21</f>
        <v>New Build</v>
      </c>
      <c r="D51" s="222">
        <f ca="1">SUMIFS(DATA_CAPITAL_FLOW!$H$5:$H$5206,DATA_CAPITAL_FLOW!$B$5:$B$5206,"Property",DATA_CAPITAL_FLOW!$C$5:$C$5206,$A51,DATA_CAPITAL_FLOW!$D$5:$D$5206,'00_PORTFOLIO ROLLUP'!$I$12,DATA_CAPITAL_FLOW!$F$5:$F$5206,"Residual Funding Gap")</f>
        <v>0</v>
      </c>
      <c r="E51" s="222">
        <f ca="1">SUMIFS(DATA_CAPITAL_FLOW!$H$5:$H$5206,DATA_CAPITAL_FLOW!$B$5:$B$5206,"Property",DATA_CAPITAL_FLOW!$C$5:$C$5206,$A51,DATA_CAPITAL_FLOW!$D$5:$D$5206,'00_PORTFOLIO ROLLUP'!$O$12,DATA_CAPITAL_FLOW!$F$5:$F$5206,"Residual Funding Gap")</f>
        <v>0</v>
      </c>
      <c r="F51" s="222">
        <f ca="1">SUMIFS(DATA_CAPITAL_FLOW!$H$5:$H$5206,DATA_CAPITAL_FLOW!$B$5:$B$5206,"Property",DATA_CAPITAL_FLOW!$C$5:$C$5206,$A51,DATA_CAPITAL_FLOW!$D$5:$D$5206,'00_PORTFOLIO ROLLUP'!$T$12,DATA_CAPITAL_FLOW!$F$5:$F$5206,"Residual Funding Gap")</f>
        <v>0</v>
      </c>
      <c r="G51" s="222" t="e">
        <f ca="1">_xludf.MAXIFS(DATA_CAPITAL_FLOW!$H$5:$H$5206,DATA_CAPITAL_FLOW!$B$5:$B$5206,"Property",DATA_CAPITAL_FLOW!$C$5:$C$5206,$A51,DATA_CAPITAL_FLOW!$F$5:$F$5206,"Residual Funding Gap")</f>
        <v>#NAME?</v>
      </c>
      <c r="H51" s="224" t="e">
        <f t="shared" ca="1" si="0"/>
        <v>#NAME?</v>
      </c>
      <c r="I51" s="224" t="str">
        <f>IFERROR(INDEX(DATA_ASSET_CLASSIFICATION!$AB$8:$AB$13,MATCH($C51,DATA_ASSET_CLASSIFICATION!$AA$8:$AA$13,0)),"Review")</f>
        <v>Bucket 1 · New Build</v>
      </c>
      <c r="J51" s="224" t="str">
        <f>DATA_ASSET_CLASSIFICATION!C21</f>
        <v>Yes</v>
      </c>
      <c r="K51" s="214" t="s">
        <v>90</v>
      </c>
      <c r="L51" s="224" t="e">
        <f t="shared" ca="1" si="1"/>
        <v>#NAME?</v>
      </c>
    </row>
    <row r="52" spans="1:12" ht="45">
      <c r="A52" s="224" t="str">
        <f>DATA_ASSET_CLASSIFICATION!A22</f>
        <v>BLD_PS</v>
      </c>
      <c r="B52" s="224" t="str">
        <f>DATA_ASSET_CLASSIFICATION!B22</f>
        <v>450 Pacific Street</v>
      </c>
      <c r="C52" s="224" t="str">
        <f>DATA_ASSET_CLASSIFICATION!U22</f>
        <v>New Build</v>
      </c>
      <c r="D52" s="222">
        <f ca="1">SUMIFS(DATA_CAPITAL_FLOW!$H$5:$H$5206,DATA_CAPITAL_FLOW!$B$5:$B$5206,"Property",DATA_CAPITAL_FLOW!$C$5:$C$5206,$A52,DATA_CAPITAL_FLOW!$D$5:$D$5206,'00_PORTFOLIO ROLLUP'!$I$12,DATA_CAPITAL_FLOW!$F$5:$F$5206,"Residual Funding Gap")</f>
        <v>0</v>
      </c>
      <c r="E52" s="222">
        <f ca="1">SUMIFS(DATA_CAPITAL_FLOW!$H$5:$H$5206,DATA_CAPITAL_FLOW!$B$5:$B$5206,"Property",DATA_CAPITAL_FLOW!$C$5:$C$5206,$A52,DATA_CAPITAL_FLOW!$D$5:$D$5206,'00_PORTFOLIO ROLLUP'!$O$12,DATA_CAPITAL_FLOW!$F$5:$F$5206,"Residual Funding Gap")</f>
        <v>0</v>
      </c>
      <c r="F52" s="222">
        <f ca="1">SUMIFS(DATA_CAPITAL_FLOW!$H$5:$H$5206,DATA_CAPITAL_FLOW!$B$5:$B$5206,"Property",DATA_CAPITAL_FLOW!$C$5:$C$5206,$A52,DATA_CAPITAL_FLOW!$D$5:$D$5206,'00_PORTFOLIO ROLLUP'!$T$12,DATA_CAPITAL_FLOW!$F$5:$F$5206,"Residual Funding Gap")</f>
        <v>0</v>
      </c>
      <c r="G52" s="222" t="e">
        <f ca="1">_xludf.MAXIFS(DATA_CAPITAL_FLOW!$H$5:$H$5206,DATA_CAPITAL_FLOW!$B$5:$B$5206,"Property",DATA_CAPITAL_FLOW!$C$5:$C$5206,$A52,DATA_CAPITAL_FLOW!$F$5:$F$5206,"Residual Funding Gap")</f>
        <v>#NAME?</v>
      </c>
      <c r="H52" s="224" t="e">
        <f t="shared" ca="1" si="0"/>
        <v>#NAME?</v>
      </c>
      <c r="I52" s="224" t="str">
        <f>IFERROR(INDEX(DATA_ASSET_CLASSIFICATION!$AB$8:$AB$13,MATCH($C52,DATA_ASSET_CLASSIFICATION!$AA$8:$AA$13,0)),"Review")</f>
        <v>Bucket 1 · New Build</v>
      </c>
      <c r="J52" s="224" t="str">
        <f>DATA_ASSET_CLASSIFICATION!C22</f>
        <v>Yes</v>
      </c>
      <c r="K52" s="214" t="s">
        <v>90</v>
      </c>
      <c r="L52" s="224" t="e">
        <f t="shared" ca="1" si="1"/>
        <v>#NAME?</v>
      </c>
    </row>
    <row r="53" spans="1:12" ht="45">
      <c r="A53" s="224" t="str">
        <f>DATA_ASSET_CLASSIFICATION!A23</f>
        <v>BLD_PM</v>
      </c>
      <c r="B53" s="224" t="str">
        <f>DATA_ASSET_CLASSIFICATION!B23</f>
        <v>The Creek, Port Moody</v>
      </c>
      <c r="C53" s="224" t="str">
        <f>DATA_ASSET_CLASSIFICATION!U23</f>
        <v>New Build</v>
      </c>
      <c r="D53" s="222">
        <f ca="1">SUMIFS(DATA_CAPITAL_FLOW!$H$5:$H$5206,DATA_CAPITAL_FLOW!$B$5:$B$5206,"Property",DATA_CAPITAL_FLOW!$C$5:$C$5206,$A53,DATA_CAPITAL_FLOW!$D$5:$D$5206,'00_PORTFOLIO ROLLUP'!$I$12,DATA_CAPITAL_FLOW!$F$5:$F$5206,"Residual Funding Gap")</f>
        <v>0</v>
      </c>
      <c r="E53" s="222">
        <f ca="1">SUMIFS(DATA_CAPITAL_FLOW!$H$5:$H$5206,DATA_CAPITAL_FLOW!$B$5:$B$5206,"Property",DATA_CAPITAL_FLOW!$C$5:$C$5206,$A53,DATA_CAPITAL_FLOW!$D$5:$D$5206,'00_PORTFOLIO ROLLUP'!$O$12,DATA_CAPITAL_FLOW!$F$5:$F$5206,"Residual Funding Gap")</f>
        <v>0</v>
      </c>
      <c r="F53" s="222">
        <f ca="1">SUMIFS(DATA_CAPITAL_FLOW!$H$5:$H$5206,DATA_CAPITAL_FLOW!$B$5:$B$5206,"Property",DATA_CAPITAL_FLOW!$C$5:$C$5206,$A53,DATA_CAPITAL_FLOW!$D$5:$D$5206,'00_PORTFOLIO ROLLUP'!$T$12,DATA_CAPITAL_FLOW!$F$5:$F$5206,"Residual Funding Gap")</f>
        <v>0</v>
      </c>
      <c r="G53" s="222" t="e">
        <f ca="1">_xludf.MAXIFS(DATA_CAPITAL_FLOW!$H$5:$H$5206,DATA_CAPITAL_FLOW!$B$5:$B$5206,"Property",DATA_CAPITAL_FLOW!$C$5:$C$5206,$A53,DATA_CAPITAL_FLOW!$F$5:$F$5206,"Residual Funding Gap")</f>
        <v>#NAME?</v>
      </c>
      <c r="H53" s="224" t="e">
        <f t="shared" ca="1" si="0"/>
        <v>#NAME?</v>
      </c>
      <c r="I53" s="224" t="str">
        <f>IFERROR(INDEX(DATA_ASSET_CLASSIFICATION!$AB$8:$AB$13,MATCH($C53,DATA_ASSET_CLASSIFICATION!$AA$8:$AA$13,0)),"Review")</f>
        <v>Bucket 1 · New Build</v>
      </c>
      <c r="J53" s="224" t="str">
        <f>DATA_ASSET_CLASSIFICATION!C23</f>
        <v>Yes</v>
      </c>
      <c r="K53" s="214" t="s">
        <v>90</v>
      </c>
      <c r="L53" s="224" t="e">
        <f t="shared" ca="1" si="1"/>
        <v>#NAME?</v>
      </c>
    </row>
    <row r="54" spans="1:12" ht="45">
      <c r="A54" s="224" t="str">
        <f>DATA_ASSET_CLASSIFICATION!A24</f>
        <v>BLD_CD</v>
      </c>
      <c r="B54" s="224" t="str">
        <f>DATA_ASSET_CLASSIFICATION!B24</f>
        <v>800 Commercial Drive</v>
      </c>
      <c r="C54" s="224" t="str">
        <f>DATA_ASSET_CLASSIFICATION!U24</f>
        <v>New Build</v>
      </c>
      <c r="D54" s="222">
        <f ca="1">SUMIFS(DATA_CAPITAL_FLOW!$H$5:$H$5206,DATA_CAPITAL_FLOW!$B$5:$B$5206,"Property",DATA_CAPITAL_FLOW!$C$5:$C$5206,$A54,DATA_CAPITAL_FLOW!$D$5:$D$5206,'00_PORTFOLIO ROLLUP'!$I$12,DATA_CAPITAL_FLOW!$F$5:$F$5206,"Residual Funding Gap")</f>
        <v>17385398.775567945</v>
      </c>
      <c r="E54" s="222">
        <f ca="1">SUMIFS(DATA_CAPITAL_FLOW!$H$5:$H$5206,DATA_CAPITAL_FLOW!$B$5:$B$5206,"Property",DATA_CAPITAL_FLOW!$C$5:$C$5206,$A54,DATA_CAPITAL_FLOW!$D$5:$D$5206,'00_PORTFOLIO ROLLUP'!$O$12,DATA_CAPITAL_FLOW!$F$5:$F$5206,"Residual Funding Gap")</f>
        <v>0</v>
      </c>
      <c r="F54" s="222">
        <f ca="1">SUMIFS(DATA_CAPITAL_FLOW!$H$5:$H$5206,DATA_CAPITAL_FLOW!$B$5:$B$5206,"Property",DATA_CAPITAL_FLOW!$C$5:$C$5206,$A54,DATA_CAPITAL_FLOW!$D$5:$D$5206,'00_PORTFOLIO ROLLUP'!$T$12,DATA_CAPITAL_FLOW!$F$5:$F$5206,"Residual Funding Gap")</f>
        <v>0</v>
      </c>
      <c r="G54" s="222" t="e">
        <f ca="1">_xludf.MAXIFS(DATA_CAPITAL_FLOW!$H$5:$H$5206,DATA_CAPITAL_FLOW!$B$5:$B$5206,"Property",DATA_CAPITAL_FLOW!$C$5:$C$5206,$A54,DATA_CAPITAL_FLOW!$F$5:$F$5206,"Residual Funding Gap")</f>
        <v>#NAME?</v>
      </c>
      <c r="H54" s="224" t="e">
        <f t="shared" ca="1" si="0"/>
        <v>#NAME?</v>
      </c>
      <c r="I54" s="224" t="str">
        <f>IFERROR(INDEX(DATA_ASSET_CLASSIFICATION!$AB$8:$AB$13,MATCH($C54,DATA_ASSET_CLASSIFICATION!$AA$8:$AA$13,0)),"Review")</f>
        <v>Bucket 1 · New Build</v>
      </c>
      <c r="J54" s="224" t="str">
        <f>DATA_ASSET_CLASSIFICATION!C24</f>
        <v>Yes</v>
      </c>
      <c r="K54" s="214" t="s">
        <v>90</v>
      </c>
      <c r="L54" s="224" t="e">
        <f t="shared" ca="1" si="1"/>
        <v>#NAME?</v>
      </c>
    </row>
    <row r="57" spans="1:12">
      <c r="A57" s="492" t="s">
        <v>91</v>
      </c>
      <c r="B57" s="424"/>
      <c r="C57" s="424"/>
      <c r="D57" s="424"/>
      <c r="E57" s="424"/>
      <c r="F57" s="424"/>
      <c r="G57" s="424"/>
      <c r="H57" s="424"/>
      <c r="I57" s="424"/>
      <c r="J57" s="424"/>
      <c r="K57" s="424"/>
      <c r="L57" s="424"/>
    </row>
  </sheetData>
  <autoFilter ref="A37:L54" xr:uid="{00000000-0009-0000-0000-000000000000}"/>
  <mergeCells count="9">
    <mergeCell ref="A57:L57"/>
    <mergeCell ref="A2:L2"/>
    <mergeCell ref="A10:L10"/>
    <mergeCell ref="A1:L1"/>
    <mergeCell ref="J27:L27"/>
    <mergeCell ref="A36:L36"/>
    <mergeCell ref="A8:L8"/>
    <mergeCell ref="A27:H27"/>
    <mergeCell ref="A4:L4"/>
  </mergeCells>
  <conditionalFormatting sqref="H38:H54">
    <cfRule type="expression" dxfId="9" priority="7">
      <formula>OR(H38="CHECK",H38="REVIEW",H38="Missing")</formula>
    </cfRule>
    <cfRule type="expression" dxfId="8" priority="8">
      <formula>OR(H38="OK",H38="Preserved")</formula>
    </cfRule>
  </conditionalFormatting>
  <conditionalFormatting sqref="H5:J5">
    <cfRule type="expression" dxfId="7" priority="1">
      <formula>OR(H5="CHECK",H5="REVIEW",H5="Missing")</formula>
    </cfRule>
    <cfRule type="expression" dxfId="6" priority="2">
      <formula>OR(H5="OK",H5="Preserved")</formula>
    </cfRule>
  </conditionalFormatting>
  <conditionalFormatting sqref="K29:K33">
    <cfRule type="expression" dxfId="5" priority="5">
      <formula>OR(K29="CHECK",K29="REVIEW",K29="Missing")</formula>
    </cfRule>
    <cfRule type="expression" dxfId="4" priority="6">
      <formula>OR(K29="OK",K29="Preserved")</formula>
    </cfRule>
  </conditionalFormatting>
  <conditionalFormatting sqref="L6">
    <cfRule type="expression" dxfId="3" priority="3">
      <formula>OR(L6="CHECK",L6="REVIEW",L6="Missing")</formula>
    </cfRule>
    <cfRule type="expression" dxfId="2" priority="4">
      <formula>OR(L6="OK",L6="Preserved")</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A174A-992B-4ADC-BD4A-954FEFE0BE61}">
  <sheetPr>
    <tabColor rgb="FF70AD47"/>
  </sheetPr>
  <dimension ref="A1:Z37"/>
  <sheetViews>
    <sheetView workbookViewId="0"/>
  </sheetViews>
  <sheetFormatPr defaultRowHeight="15"/>
  <cols>
    <col min="1" max="1" width="32" customWidth="1"/>
    <col min="2" max="2" width="70" customWidth="1"/>
    <col min="3" max="18" width="13" customWidth="1"/>
  </cols>
  <sheetData>
    <row r="1" spans="1:26" ht="45">
      <c r="A1" s="217" t="s">
        <v>7468</v>
      </c>
      <c r="B1" s="198"/>
      <c r="C1" s="198"/>
      <c r="D1" s="198"/>
      <c r="E1" s="198"/>
      <c r="F1" s="198"/>
      <c r="G1" s="198"/>
      <c r="H1" s="198"/>
      <c r="I1" s="198"/>
      <c r="J1" s="198"/>
      <c r="K1" s="198"/>
      <c r="L1" s="198"/>
      <c r="M1" s="198"/>
      <c r="N1" s="198"/>
      <c r="O1" s="198"/>
      <c r="P1" s="198"/>
      <c r="Q1" s="198"/>
      <c r="R1" s="198"/>
      <c r="S1" s="170"/>
      <c r="T1" s="170"/>
      <c r="U1" s="170"/>
      <c r="V1" s="170"/>
      <c r="W1" s="170"/>
      <c r="X1" s="170"/>
      <c r="Y1" s="170"/>
      <c r="Z1" s="170"/>
    </row>
    <row r="2" spans="1:26" ht="105">
      <c r="A2" s="194" t="s">
        <v>7469</v>
      </c>
      <c r="B2" s="194"/>
      <c r="C2" s="194"/>
      <c r="D2" s="194"/>
      <c r="E2" s="194"/>
      <c r="F2" s="194"/>
      <c r="G2" s="194"/>
      <c r="H2" s="194"/>
      <c r="I2" s="194"/>
      <c r="J2" s="194"/>
      <c r="K2" s="194"/>
      <c r="L2" s="194"/>
      <c r="M2" s="194"/>
      <c r="N2" s="194"/>
      <c r="O2" s="194"/>
      <c r="P2" s="194"/>
      <c r="Q2" s="194"/>
      <c r="R2" s="194"/>
    </row>
    <row r="4" spans="1:26">
      <c r="A4" s="217" t="s">
        <v>17</v>
      </c>
      <c r="B4" s="196"/>
      <c r="C4" s="196"/>
      <c r="D4" s="196"/>
      <c r="E4" s="196"/>
      <c r="F4" s="196"/>
      <c r="G4" s="196"/>
      <c r="H4" s="196"/>
      <c r="I4" s="196"/>
      <c r="J4" s="196"/>
      <c r="K4" s="196"/>
      <c r="L4" s="196"/>
      <c r="M4" s="196"/>
      <c r="N4" s="196"/>
      <c r="O4" s="196"/>
      <c r="P4" s="196"/>
      <c r="Q4" s="196"/>
      <c r="R4" s="196"/>
    </row>
    <row r="5" spans="1:26">
      <c r="A5" s="217" t="s">
        <v>1490</v>
      </c>
      <c r="B5" s="217">
        <f>'00_PORTFOLIO ROLLUP'!E$12</f>
        <v>2025</v>
      </c>
      <c r="C5" s="217">
        <f>'00_PORTFOLIO ROLLUP'!F$12</f>
        <v>2026</v>
      </c>
      <c r="D5" s="217">
        <f>'00_PORTFOLIO ROLLUP'!G$12</f>
        <v>2027</v>
      </c>
      <c r="E5" s="217">
        <f>'00_PORTFOLIO ROLLUP'!H$12</f>
        <v>2028</v>
      </c>
      <c r="F5" s="217">
        <f>'00_PORTFOLIO ROLLUP'!I$12</f>
        <v>2029</v>
      </c>
      <c r="G5" s="217">
        <f>'00_PORTFOLIO ROLLUP'!J$12</f>
        <v>2030</v>
      </c>
      <c r="H5" s="217">
        <f>'00_PORTFOLIO ROLLUP'!K$12</f>
        <v>2031</v>
      </c>
      <c r="I5" s="217">
        <f>'00_PORTFOLIO ROLLUP'!L$12</f>
        <v>2032</v>
      </c>
      <c r="J5" s="217">
        <f>'00_PORTFOLIO ROLLUP'!M$12</f>
        <v>2033</v>
      </c>
      <c r="K5" s="217">
        <f>'00_PORTFOLIO ROLLUP'!N$12</f>
        <v>2034</v>
      </c>
      <c r="L5" s="217">
        <f>'00_PORTFOLIO ROLLUP'!O$12</f>
        <v>2035</v>
      </c>
      <c r="M5" s="217">
        <f>'00_PORTFOLIO ROLLUP'!P$12</f>
        <v>2036</v>
      </c>
      <c r="N5" s="217">
        <f>'00_PORTFOLIO ROLLUP'!Q$12</f>
        <v>2037</v>
      </c>
      <c r="O5" s="217">
        <f>'00_PORTFOLIO ROLLUP'!R$12</f>
        <v>2038</v>
      </c>
      <c r="P5" s="217">
        <f>'00_PORTFOLIO ROLLUP'!S$12</f>
        <v>2039</v>
      </c>
      <c r="Q5" s="217">
        <f>'00_PORTFOLIO ROLLUP'!T$12</f>
        <v>2040</v>
      </c>
      <c r="R5" s="217">
        <f>'00_PORTFOLIO ROLLUP'!U$12</f>
        <v>2041</v>
      </c>
    </row>
    <row r="7" spans="1:26">
      <c r="A7" s="197" t="s">
        <v>7470</v>
      </c>
      <c r="B7" s="197"/>
      <c r="C7" s="197"/>
      <c r="D7" s="197"/>
      <c r="E7" s="197"/>
      <c r="F7" s="197"/>
      <c r="G7" s="197"/>
      <c r="H7" s="197"/>
      <c r="I7" s="197"/>
      <c r="J7" s="197"/>
      <c r="K7" s="197"/>
      <c r="L7" s="197"/>
      <c r="M7" s="197"/>
      <c r="N7" s="197"/>
      <c r="O7" s="197"/>
      <c r="P7" s="197"/>
      <c r="Q7" s="197"/>
      <c r="R7" s="197"/>
    </row>
    <row r="8" spans="1:26">
      <c r="A8" t="s">
        <v>341</v>
      </c>
      <c r="B8" s="381">
        <f>'00_PORTFOLIO ROLLUP'!E$24</f>
        <v>6623633.5999999996</v>
      </c>
      <c r="C8" s="381">
        <f>'00_PORTFOLIO ROLLUP'!F$24</f>
        <v>7008586.7590800002</v>
      </c>
      <c r="D8" s="381">
        <f>'00_PORTFOLIO ROLLUP'!G$24</f>
        <v>12543508.241225326</v>
      </c>
      <c r="E8" s="381">
        <f>'00_PORTFOLIO ROLLUP'!H$24</f>
        <v>16639747.709498363</v>
      </c>
      <c r="F8" s="381">
        <f>'00_PORTFOLIO ROLLUP'!I$24</f>
        <v>19179315.005583636</v>
      </c>
      <c r="G8" s="381">
        <f>'00_PORTFOLIO ROLLUP'!J$24</f>
        <v>19559603.429695312</v>
      </c>
      <c r="H8" s="381">
        <f>'00_PORTFOLIO ROLLUP'!K$24</f>
        <v>19947497.622289218</v>
      </c>
      <c r="I8" s="381">
        <f>'00_PORTFOLIO ROLLUP'!L$24</f>
        <v>20343149.698734999</v>
      </c>
      <c r="J8" s="381">
        <f>'00_PORTFOLIO ROLLUP'!M$24</f>
        <v>20746714.816709701</v>
      </c>
      <c r="K8" s="381">
        <f>'00_PORTFOLIO ROLLUP'!N$24</f>
        <v>21158351.237043891</v>
      </c>
      <c r="L8" s="381">
        <f>'00_PORTFOLIO ROLLUP'!O$24</f>
        <v>21578220.385784771</v>
      </c>
      <c r="M8" s="381">
        <f>'00_PORTFOLIO ROLLUP'!P$24</f>
        <v>21841593.117500458</v>
      </c>
      <c r="N8" s="381">
        <f>'00_PORTFOLIO ROLLUP'!Q$24</f>
        <v>22278424.979850478</v>
      </c>
      <c r="O8" s="381">
        <f>'00_PORTFOLIO ROLLUP'!R$24</f>
        <v>22723993.479447484</v>
      </c>
      <c r="P8" s="381">
        <f>'00_PORTFOLIO ROLLUP'!S$24</f>
        <v>23178473.34903644</v>
      </c>
      <c r="Q8" s="381">
        <f>'00_PORTFOLIO ROLLUP'!T$24</f>
        <v>23642042.816017155</v>
      </c>
      <c r="R8" s="381">
        <f>'00_PORTFOLIO ROLLUP'!U$24</f>
        <v>24114883.672337502</v>
      </c>
    </row>
    <row r="9" spans="1:26">
      <c r="A9" t="s">
        <v>355</v>
      </c>
      <c r="B9" s="381">
        <f>'00_PORTFOLIO ROLLUP'!E$39</f>
        <v>3129586</v>
      </c>
      <c r="C9" s="381">
        <f>'00_PORTFOLIO ROLLUP'!F$39</f>
        <v>3254769.44</v>
      </c>
      <c r="D9" s="381">
        <f>'00_PORTFOLIO ROLLUP'!G$39</f>
        <v>3575754.4576000003</v>
      </c>
      <c r="E9" s="381">
        <f>'00_PORTFOLIO ROLLUP'!H$39</f>
        <v>5313241.1105280006</v>
      </c>
      <c r="F9" s="381">
        <f>'00_PORTFOLIO ROLLUP'!I$39</f>
        <v>6260967.1971225599</v>
      </c>
      <c r="G9" s="381">
        <f>'00_PORTFOLIO ROLLUP'!J$39</f>
        <v>6511405.8850074643</v>
      </c>
      <c r="H9" s="381">
        <f>'00_PORTFOLIO ROLLUP'!K$39</f>
        <v>6771862.1204077629</v>
      </c>
      <c r="I9" s="381">
        <f>'00_PORTFOLIO ROLLUP'!L$39</f>
        <v>7042736.6052240711</v>
      </c>
      <c r="J9" s="381">
        <f>'00_PORTFOLIO ROLLUP'!M$39</f>
        <v>7324446.0694330381</v>
      </c>
      <c r="K9" s="381">
        <f>'00_PORTFOLIO ROLLUP'!N$39</f>
        <v>7617423.9122103592</v>
      </c>
      <c r="L9" s="381">
        <f>'00_PORTFOLIO ROLLUP'!O$39</f>
        <v>7807859.5100156181</v>
      </c>
      <c r="M9" s="381">
        <f>'00_PORTFOLIO ROLLUP'!P$39</f>
        <v>8003055.9977660077</v>
      </c>
      <c r="N9" s="381">
        <f>'00_PORTFOLIO ROLLUP'!Q$39</f>
        <v>8203132.3977101585</v>
      </c>
      <c r="O9" s="381">
        <f>'00_PORTFOLIO ROLLUP'!R$39</f>
        <v>8408210.7076529097</v>
      </c>
      <c r="P9" s="381">
        <f>'00_PORTFOLIO ROLLUP'!S$39</f>
        <v>8618415.9753442314</v>
      </c>
      <c r="Q9" s="381">
        <f>'00_PORTFOLIO ROLLUP'!T$39</f>
        <v>8833876.3747278396</v>
      </c>
      <c r="R9" s="381">
        <f>'00_PORTFOLIO ROLLUP'!U$39</f>
        <v>9054723.2840960342</v>
      </c>
    </row>
    <row r="10" spans="1:26">
      <c r="A10" t="s">
        <v>19</v>
      </c>
      <c r="B10" s="381">
        <f>'00_PORTFOLIO ROLLUP'!E$41</f>
        <v>3494047.5999999996</v>
      </c>
      <c r="C10" s="381">
        <f>'00_PORTFOLIO ROLLUP'!F$41</f>
        <v>3753817.3190800003</v>
      </c>
      <c r="D10" s="381">
        <f>'00_PORTFOLIO ROLLUP'!G$41</f>
        <v>8967753.7836253271</v>
      </c>
      <c r="E10" s="381">
        <f>'00_PORTFOLIO ROLLUP'!H$41</f>
        <v>11326506.598970361</v>
      </c>
      <c r="F10" s="381">
        <f>'00_PORTFOLIO ROLLUP'!I$41</f>
        <v>12918347.808461078</v>
      </c>
      <c r="G10" s="381">
        <f>'00_PORTFOLIO ROLLUP'!J$41</f>
        <v>13048197.544687849</v>
      </c>
      <c r="H10" s="381">
        <f>'00_PORTFOLIO ROLLUP'!K$41</f>
        <v>13175635.501881454</v>
      </c>
      <c r="I10" s="381">
        <f>'00_PORTFOLIO ROLLUP'!L$41</f>
        <v>13300413.093510928</v>
      </c>
      <c r="J10" s="381">
        <f>'00_PORTFOLIO ROLLUP'!M$41</f>
        <v>13422268.747276664</v>
      </c>
      <c r="K10" s="381">
        <f>'00_PORTFOLIO ROLLUP'!N$41</f>
        <v>13540927.324833531</v>
      </c>
      <c r="L10" s="381">
        <f>'00_PORTFOLIO ROLLUP'!O$41</f>
        <v>13770360.875769153</v>
      </c>
      <c r="M10" s="381">
        <f>'00_PORTFOLIO ROLLUP'!P$41</f>
        <v>13838537.119734451</v>
      </c>
      <c r="N10" s="381">
        <f>'00_PORTFOLIO ROLLUP'!Q$41</f>
        <v>14075292.582140319</v>
      </c>
      <c r="O10" s="381">
        <f>'00_PORTFOLIO ROLLUP'!R$41</f>
        <v>14315782.771794574</v>
      </c>
      <c r="P10" s="381">
        <f>'00_PORTFOLIO ROLLUP'!S$41</f>
        <v>14560057.373692209</v>
      </c>
      <c r="Q10" s="381">
        <f>'00_PORTFOLIO ROLLUP'!T$41</f>
        <v>14808166.441289315</v>
      </c>
      <c r="R10" s="381">
        <f>'00_PORTFOLIO ROLLUP'!U$41</f>
        <v>15060160.388241468</v>
      </c>
    </row>
    <row r="11" spans="1:26">
      <c r="A11" t="s">
        <v>1697</v>
      </c>
      <c r="B11" s="381">
        <f>'00_PORTFOLIO ROLLUP'!E$44</f>
        <v>70050</v>
      </c>
      <c r="C11" s="381">
        <f>'00_PORTFOLIO ROLLUP'!F$44</f>
        <v>71451</v>
      </c>
      <c r="D11" s="381">
        <f>'00_PORTFOLIO ROLLUP'!G$44</f>
        <v>124067.70000000001</v>
      </c>
      <c r="E11" s="381">
        <f>'00_PORTFOLIO ROLLUP'!H$44</f>
        <v>156475.11959999998</v>
      </c>
      <c r="F11" s="381">
        <f>'00_PORTFOLIO ROLLUP'!I$44</f>
        <v>174704.550624</v>
      </c>
      <c r="G11" s="381">
        <f>'00_PORTFOLIO ROLLUP'!J$44</f>
        <v>178198.64163648</v>
      </c>
      <c r="H11" s="381">
        <f>'00_PORTFOLIO ROLLUP'!K$44</f>
        <v>181762.6144692096</v>
      </c>
      <c r="I11" s="381">
        <f>'00_PORTFOLIO ROLLUP'!L$44</f>
        <v>185397.86675859377</v>
      </c>
      <c r="J11" s="381">
        <f>'00_PORTFOLIO ROLLUP'!M$44</f>
        <v>189105.82409376567</v>
      </c>
      <c r="K11" s="381">
        <f>'00_PORTFOLIO ROLLUP'!N$44</f>
        <v>192887.94057564097</v>
      </c>
      <c r="L11" s="381">
        <f>'00_PORTFOLIO ROLLUP'!O$44</f>
        <v>196745.69938715379</v>
      </c>
      <c r="M11" s="381">
        <f>'00_PORTFOLIO ROLLUP'!P$44</f>
        <v>200680.61337489681</v>
      </c>
      <c r="N11" s="381">
        <f>'00_PORTFOLIO ROLLUP'!Q$44</f>
        <v>204694.2256423948</v>
      </c>
      <c r="O11" s="381">
        <f>'00_PORTFOLIO ROLLUP'!R$44</f>
        <v>208788.1101552427</v>
      </c>
      <c r="P11" s="381">
        <f>'00_PORTFOLIO ROLLUP'!S$44</f>
        <v>212963.87235834755</v>
      </c>
      <c r="Q11" s="381">
        <f>'00_PORTFOLIO ROLLUP'!T$44</f>
        <v>217223.14980551446</v>
      </c>
      <c r="R11" s="381">
        <f>'00_PORTFOLIO ROLLUP'!U$44</f>
        <v>221567.61280162481</v>
      </c>
    </row>
    <row r="12" spans="1:26">
      <c r="A12" t="s">
        <v>21</v>
      </c>
      <c r="B12" s="381">
        <f>'00_PORTFOLIO ROLLUP'!E$45</f>
        <v>3423997.5999999996</v>
      </c>
      <c r="C12" s="381">
        <f>'00_PORTFOLIO ROLLUP'!F$45</f>
        <v>3682366.3190800003</v>
      </c>
      <c r="D12" s="381">
        <f>'00_PORTFOLIO ROLLUP'!G$45</f>
        <v>8843686.0836253278</v>
      </c>
      <c r="E12" s="381">
        <f>'00_PORTFOLIO ROLLUP'!H$45</f>
        <v>11170031.479370361</v>
      </c>
      <c r="F12" s="381">
        <f>'00_PORTFOLIO ROLLUP'!I$45</f>
        <v>12743643.257837078</v>
      </c>
      <c r="G12" s="381">
        <f>'00_PORTFOLIO ROLLUP'!J$45</f>
        <v>12869998.903051369</v>
      </c>
      <c r="H12" s="381">
        <f>'00_PORTFOLIO ROLLUP'!K$45</f>
        <v>12993872.887412244</v>
      </c>
      <c r="I12" s="381">
        <f>'00_PORTFOLIO ROLLUP'!L$45</f>
        <v>13115015.226752333</v>
      </c>
      <c r="J12" s="381">
        <f>'00_PORTFOLIO ROLLUP'!M$45</f>
        <v>13233162.923182897</v>
      </c>
      <c r="K12" s="381">
        <f>'00_PORTFOLIO ROLLUP'!N$45</f>
        <v>13348039.38425789</v>
      </c>
      <c r="L12" s="381">
        <f>'00_PORTFOLIO ROLLUP'!O$45</f>
        <v>13573615.176382</v>
      </c>
      <c r="M12" s="381">
        <f>'00_PORTFOLIO ROLLUP'!P$45</f>
        <v>13637856.506359555</v>
      </c>
      <c r="N12" s="381">
        <f>'00_PORTFOLIO ROLLUP'!Q$45</f>
        <v>13870598.356497925</v>
      </c>
      <c r="O12" s="381">
        <f>'00_PORTFOLIO ROLLUP'!R$45</f>
        <v>14106994.661639331</v>
      </c>
      <c r="P12" s="381">
        <f>'00_PORTFOLIO ROLLUP'!S$45</f>
        <v>14347093.501333861</v>
      </c>
      <c r="Q12" s="381">
        <f>'00_PORTFOLIO ROLLUP'!T$45</f>
        <v>14590943.291483801</v>
      </c>
      <c r="R12" s="381">
        <f>'00_PORTFOLIO ROLLUP'!U$45</f>
        <v>14838592.775439844</v>
      </c>
    </row>
    <row r="13" spans="1:26">
      <c r="A13" t="s">
        <v>23</v>
      </c>
      <c r="B13" s="381">
        <f>'00_PORTFOLIO ROLLUP'!E$48</f>
        <v>15773997.03203162</v>
      </c>
      <c r="C13" s="381">
        <f>'00_PORTFOLIO ROLLUP'!F$48</f>
        <v>15395195.24808039</v>
      </c>
      <c r="D13" s="381">
        <f>'00_PORTFOLIO ROLLUP'!G$48</f>
        <v>14972480.078304525</v>
      </c>
      <c r="E13" s="381">
        <f>'00_PORTFOLIO ROLLUP'!H$48</f>
        <v>10725104.15131183</v>
      </c>
      <c r="F13" s="381">
        <f>'00_PORTFOLIO ROLLUP'!I$48</f>
        <v>8090648.3969786596</v>
      </c>
      <c r="G13" s="381">
        <f>'00_PORTFOLIO ROLLUP'!J$48</f>
        <v>7038269.5659003453</v>
      </c>
      <c r="H13" s="381">
        <f>'00_PORTFOLIO ROLLUP'!K$48</f>
        <v>7038269.5659003453</v>
      </c>
      <c r="I13" s="381">
        <f>'00_PORTFOLIO ROLLUP'!L$48</f>
        <v>6893528.242005555</v>
      </c>
      <c r="J13" s="381">
        <f>'00_PORTFOLIO ROLLUP'!M$48</f>
        <v>6747123.2859003451</v>
      </c>
      <c r="K13" s="381">
        <f>'00_PORTFOLIO ROLLUP'!N$48</f>
        <v>6622574.785645484</v>
      </c>
      <c r="L13" s="381">
        <f>'00_PORTFOLIO ROLLUP'!O$48</f>
        <v>6811656.6125063812</v>
      </c>
      <c r="M13" s="381">
        <f>'00_PORTFOLIO ROLLUP'!P$48</f>
        <v>6811656.6125063812</v>
      </c>
      <c r="N13" s="381">
        <f>'00_PORTFOLIO ROLLUP'!Q$48</f>
        <v>6811656.6125063812</v>
      </c>
      <c r="O13" s="381">
        <f>'00_PORTFOLIO ROLLUP'!R$48</f>
        <v>6811656.6125063812</v>
      </c>
      <c r="P13" s="381">
        <f>'00_PORTFOLIO ROLLUP'!S$48</f>
        <v>6811656.6125063812</v>
      </c>
      <c r="Q13" s="381">
        <f>'00_PORTFOLIO ROLLUP'!T$48</f>
        <v>6811656.6125063812</v>
      </c>
      <c r="R13" s="381">
        <f>'00_PORTFOLIO ROLLUP'!U$48</f>
        <v>6811656.6125063812</v>
      </c>
    </row>
    <row r="14" spans="1:26">
      <c r="A14" t="s">
        <v>25</v>
      </c>
      <c r="B14" s="381">
        <f>'00_PORTFOLIO ROLLUP'!E$52</f>
        <v>-12279949.43203162</v>
      </c>
      <c r="C14" s="381">
        <f>'00_PORTFOLIO ROLLUP'!F$52</f>
        <v>-11641377.929000389</v>
      </c>
      <c r="D14" s="381">
        <f>'00_PORTFOLIO ROLLUP'!G$52</f>
        <v>-6004726.2946791984</v>
      </c>
      <c r="E14" s="381">
        <f>'00_PORTFOLIO ROLLUP'!H$52</f>
        <v>601402.44765853137</v>
      </c>
      <c r="F14" s="381">
        <f>'00_PORTFOLIO ROLLUP'!I$52</f>
        <v>4827699.411482418</v>
      </c>
      <c r="G14" s="381">
        <f>'00_PORTFOLIO ROLLUP'!J$52</f>
        <v>6009927.9787875032</v>
      </c>
      <c r="H14" s="381">
        <f>'00_PORTFOLIO ROLLUP'!K$52</f>
        <v>6137365.9359811088</v>
      </c>
      <c r="I14" s="381">
        <f>'00_PORTFOLIO ROLLUP'!L$52</f>
        <v>6406884.8515053727</v>
      </c>
      <c r="J14" s="381">
        <f>'00_PORTFOLIO ROLLUP'!M$52</f>
        <v>6675145.4613763187</v>
      </c>
      <c r="K14" s="381">
        <f>'00_PORTFOLIO ROLLUP'!N$52</f>
        <v>6918352.5391880469</v>
      </c>
      <c r="L14" s="381">
        <f>'00_PORTFOLIO ROLLUP'!O$52</f>
        <v>6958704.263262772</v>
      </c>
      <c r="M14" s="381">
        <f>'00_PORTFOLIO ROLLUP'!P$52</f>
        <v>7026880.5072280699</v>
      </c>
      <c r="N14" s="381">
        <f>'00_PORTFOLIO ROLLUP'!Q$52</f>
        <v>7263635.9696339378</v>
      </c>
      <c r="O14" s="381">
        <f>'00_PORTFOLIO ROLLUP'!R$52</f>
        <v>7504126.1592881931</v>
      </c>
      <c r="P14" s="381">
        <f>'00_PORTFOLIO ROLLUP'!S$52</f>
        <v>7748400.7611858277</v>
      </c>
      <c r="Q14" s="381">
        <f>'00_PORTFOLIO ROLLUP'!T$52</f>
        <v>7996509.8287829338</v>
      </c>
      <c r="R14" s="381">
        <f>'00_PORTFOLIO ROLLUP'!U$52</f>
        <v>8248503.7757350868</v>
      </c>
    </row>
    <row r="15" spans="1:26">
      <c r="A15" t="s">
        <v>27</v>
      </c>
      <c r="B15" s="381">
        <f>'00_PORTFOLIO ROLLUP'!E$54</f>
        <v>0</v>
      </c>
      <c r="C15" s="381">
        <f>'00_PORTFOLIO ROLLUP'!F$54</f>
        <v>0</v>
      </c>
      <c r="D15" s="381">
        <f>'00_PORTFOLIO ROLLUP'!G$54</f>
        <v>0</v>
      </c>
      <c r="E15" s="381">
        <f>'00_PORTFOLIO ROLLUP'!H$54</f>
        <v>360841.46859511879</v>
      </c>
      <c r="F15" s="381">
        <f>'00_PORTFOLIO ROLLUP'!I$54</f>
        <v>2896619.6468894505</v>
      </c>
      <c r="G15" s="381">
        <f>'00_PORTFOLIO ROLLUP'!J$54</f>
        <v>3605956.7872725017</v>
      </c>
      <c r="H15" s="381">
        <f>'00_PORTFOLIO ROLLUP'!K$54</f>
        <v>3682419.561588665</v>
      </c>
      <c r="I15" s="381">
        <f>'00_PORTFOLIO ROLLUP'!L$54</f>
        <v>3844130.9109032233</v>
      </c>
      <c r="J15" s="381">
        <f>'00_PORTFOLIO ROLLUP'!M$54</f>
        <v>4005087.2768257912</v>
      </c>
      <c r="K15" s="381">
        <f>'00_PORTFOLIO ROLLUP'!N$54</f>
        <v>4151011.5235128282</v>
      </c>
      <c r="L15" s="381">
        <f>'00_PORTFOLIO ROLLUP'!O$54</f>
        <v>4175222.5579576632</v>
      </c>
      <c r="M15" s="381">
        <f>'00_PORTFOLIO ROLLUP'!P$54</f>
        <v>4216128.3043368421</v>
      </c>
      <c r="N15" s="381">
        <f>'00_PORTFOLIO ROLLUP'!Q$54</f>
        <v>4358181.5817803629</v>
      </c>
      <c r="O15" s="381">
        <f>'00_PORTFOLIO ROLLUP'!R$54</f>
        <v>4502475.6955729155</v>
      </c>
      <c r="P15" s="381">
        <f>'00_PORTFOLIO ROLLUP'!S$54</f>
        <v>4649040.4567114962</v>
      </c>
      <c r="Q15" s="381">
        <f>'00_PORTFOLIO ROLLUP'!T$54</f>
        <v>4797905.8972697603</v>
      </c>
      <c r="R15" s="381">
        <f>'00_PORTFOLIO ROLLUP'!U$54</f>
        <v>4949102.2654410517</v>
      </c>
    </row>
    <row r="16" spans="1:26">
      <c r="A16" t="s">
        <v>29</v>
      </c>
      <c r="B16" s="381">
        <f>'00_PORTFOLIO ROLLUP'!E$56</f>
        <v>-12279949.43203162</v>
      </c>
      <c r="C16" s="381">
        <f>'00_PORTFOLIO ROLLUP'!F$56</f>
        <v>-11641377.929000389</v>
      </c>
      <c r="D16" s="381">
        <f>'00_PORTFOLIO ROLLUP'!G$56</f>
        <v>-6004726.2946791984</v>
      </c>
      <c r="E16" s="381">
        <f>'00_PORTFOLIO ROLLUP'!H$56</f>
        <v>240560.97906341258</v>
      </c>
      <c r="F16" s="381">
        <f>'00_PORTFOLIO ROLLUP'!I$56</f>
        <v>1931079.7645929675</v>
      </c>
      <c r="G16" s="381">
        <f>'00_PORTFOLIO ROLLUP'!J$56</f>
        <v>2403971.1915150015</v>
      </c>
      <c r="H16" s="381">
        <f>'00_PORTFOLIO ROLLUP'!K$56</f>
        <v>2454946.3743924438</v>
      </c>
      <c r="I16" s="381">
        <f>'00_PORTFOLIO ROLLUP'!L$56</f>
        <v>2562753.9406021493</v>
      </c>
      <c r="J16" s="381">
        <f>'00_PORTFOLIO ROLLUP'!M$56</f>
        <v>2670058.1845505275</v>
      </c>
      <c r="K16" s="381">
        <f>'00_PORTFOLIO ROLLUP'!N$56</f>
        <v>2767341.0156752188</v>
      </c>
      <c r="L16" s="381">
        <f>'00_PORTFOLIO ROLLUP'!O$56</f>
        <v>2783481.7053051088</v>
      </c>
      <c r="M16" s="381">
        <f>'00_PORTFOLIO ROLLUP'!P$56</f>
        <v>2810752.2028912278</v>
      </c>
      <c r="N16" s="381">
        <f>'00_PORTFOLIO ROLLUP'!Q$56</f>
        <v>2905454.3878535749</v>
      </c>
      <c r="O16" s="381">
        <f>'00_PORTFOLIO ROLLUP'!R$56</f>
        <v>3001650.4637152776</v>
      </c>
      <c r="P16" s="381">
        <f>'00_PORTFOLIO ROLLUP'!S$56</f>
        <v>3099360.3044743314</v>
      </c>
      <c r="Q16" s="381">
        <f>'00_PORTFOLIO ROLLUP'!T$56</f>
        <v>3198603.9315131735</v>
      </c>
      <c r="R16" s="381">
        <f>'00_PORTFOLIO ROLLUP'!U$56</f>
        <v>3299401.5102940351</v>
      </c>
    </row>
    <row r="18" spans="1:18">
      <c r="A18" s="197" t="s">
        <v>7471</v>
      </c>
      <c r="B18" s="197"/>
      <c r="C18" s="197"/>
      <c r="D18" s="197"/>
      <c r="E18" s="197"/>
      <c r="F18" s="197"/>
      <c r="G18" s="197"/>
      <c r="H18" s="197"/>
      <c r="I18" s="197"/>
      <c r="J18" s="197"/>
      <c r="K18" s="197"/>
      <c r="L18" s="197"/>
      <c r="M18" s="197"/>
      <c r="N18" s="197"/>
      <c r="O18" s="197"/>
      <c r="P18" s="197"/>
      <c r="Q18" s="197"/>
      <c r="R18" s="197"/>
    </row>
    <row r="19" spans="1:18">
      <c r="A19" t="s">
        <v>31</v>
      </c>
      <c r="B19" s="381">
        <f>'00_PORTFOLIO ROLLUP'!E$61</f>
        <v>0</v>
      </c>
      <c r="C19" s="381">
        <f>'00_PORTFOLIO ROLLUP'!F$61</f>
        <v>0</v>
      </c>
      <c r="D19" s="381">
        <f>'00_PORTFOLIO ROLLUP'!G$61</f>
        <v>-129111359.44755185</v>
      </c>
      <c r="E19" s="381">
        <f>'00_PORTFOLIO ROLLUP'!H$61</f>
        <v>-73225414.99050951</v>
      </c>
      <c r="F19" s="381">
        <f>'00_PORTFOLIO ROLLUP'!I$61</f>
        <v>-35821320.972091272</v>
      </c>
      <c r="G19" s="381">
        <f>'00_PORTFOLIO ROLLUP'!J$61</f>
        <v>0</v>
      </c>
      <c r="H19" s="381">
        <f>'00_PORTFOLIO ROLLUP'!K$61</f>
        <v>0</v>
      </c>
      <c r="I19" s="381">
        <f>'00_PORTFOLIO ROLLUP'!L$61</f>
        <v>0</v>
      </c>
      <c r="J19" s="381">
        <f>'00_PORTFOLIO ROLLUP'!M$61</f>
        <v>0</v>
      </c>
      <c r="K19" s="381">
        <f>'00_PORTFOLIO ROLLUP'!N$61</f>
        <v>-8908859.0253832936</v>
      </c>
      <c r="L19" s="381">
        <f>'00_PORTFOLIO ROLLUP'!O$61</f>
        <v>0</v>
      </c>
      <c r="M19" s="381">
        <f>'00_PORTFOLIO ROLLUP'!P$61</f>
        <v>0</v>
      </c>
      <c r="N19" s="381">
        <f>'00_PORTFOLIO ROLLUP'!Q$61</f>
        <v>0</v>
      </c>
      <c r="O19" s="381">
        <f>'00_PORTFOLIO ROLLUP'!R$61</f>
        <v>0</v>
      </c>
      <c r="P19" s="381">
        <f>'00_PORTFOLIO ROLLUP'!S$61</f>
        <v>0</v>
      </c>
      <c r="Q19" s="381">
        <f>'00_PORTFOLIO ROLLUP'!T$61</f>
        <v>0</v>
      </c>
      <c r="R19" s="381">
        <f>'00_PORTFOLIO ROLLUP'!U$61</f>
        <v>0</v>
      </c>
    </row>
    <row r="20" spans="1:18">
      <c r="A20" t="s">
        <v>33</v>
      </c>
      <c r="B20" s="381">
        <f>'00_PORTFOLIO ROLLUP'!E$62</f>
        <v>0</v>
      </c>
      <c r="C20" s="381">
        <f>'00_PORTFOLIO ROLLUP'!F$62</f>
        <v>0</v>
      </c>
      <c r="D20" s="381">
        <f>'00_PORTFOLIO ROLLUP'!G$62</f>
        <v>58663640.484426588</v>
      </c>
      <c r="E20" s="381">
        <f>'00_PORTFOLIO ROLLUP'!H$62</f>
        <v>27724970.159803599</v>
      </c>
      <c r="F20" s="381">
        <f>'00_PORTFOLIO ROLLUP'!I$62</f>
        <v>18435922.196523327</v>
      </c>
      <c r="G20" s="381">
        <f>'00_PORTFOLIO ROLLUP'!J$62</f>
        <v>0</v>
      </c>
      <c r="H20" s="381">
        <f>'00_PORTFOLIO ROLLUP'!K$62</f>
        <v>0</v>
      </c>
      <c r="I20" s="381">
        <f>'00_PORTFOLIO ROLLUP'!L$62</f>
        <v>0</v>
      </c>
      <c r="J20" s="381">
        <f>'00_PORTFOLIO ROLLUP'!M$62</f>
        <v>0</v>
      </c>
      <c r="K20" s="381">
        <f>'00_PORTFOLIO ROLLUP'!N$62</f>
        <v>20272237.528205331</v>
      </c>
      <c r="L20" s="381">
        <f>'00_PORTFOLIO ROLLUP'!O$62</f>
        <v>0</v>
      </c>
      <c r="M20" s="381">
        <f>'00_PORTFOLIO ROLLUP'!P$62</f>
        <v>0</v>
      </c>
      <c r="N20" s="381">
        <f>'00_PORTFOLIO ROLLUP'!Q$62</f>
        <v>0</v>
      </c>
      <c r="O20" s="381">
        <f>'00_PORTFOLIO ROLLUP'!R$62</f>
        <v>0</v>
      </c>
      <c r="P20" s="381">
        <f>'00_PORTFOLIO ROLLUP'!S$62</f>
        <v>0</v>
      </c>
      <c r="Q20" s="381">
        <f>'00_PORTFOLIO ROLLUP'!T$62</f>
        <v>0</v>
      </c>
      <c r="R20" s="381">
        <f>'00_PORTFOLIO ROLLUP'!U$62</f>
        <v>0</v>
      </c>
    </row>
    <row r="21" spans="1:18">
      <c r="A21" t="s">
        <v>35</v>
      </c>
      <c r="B21" s="381">
        <f>'00_PORTFOLIO ROLLUP'!E$63</f>
        <v>0</v>
      </c>
      <c r="C21" s="381">
        <f>'00_PORTFOLIO ROLLUP'!F$63</f>
        <v>0</v>
      </c>
      <c r="D21" s="381">
        <f>'00_PORTFOLIO ROLLUP'!G$63</f>
        <v>-70447718.963125259</v>
      </c>
      <c r="E21" s="381">
        <f>'00_PORTFOLIO ROLLUP'!H$63</f>
        <v>-45500444.830705911</v>
      </c>
      <c r="F21" s="381">
        <f>'00_PORTFOLIO ROLLUP'!I$63</f>
        <v>-17385398.775567945</v>
      </c>
      <c r="G21" s="381">
        <f>'00_PORTFOLIO ROLLUP'!J$63</f>
        <v>0</v>
      </c>
      <c r="H21" s="381">
        <f>'00_PORTFOLIO ROLLUP'!K$63</f>
        <v>0</v>
      </c>
      <c r="I21" s="381">
        <f>'00_PORTFOLIO ROLLUP'!L$63</f>
        <v>0</v>
      </c>
      <c r="J21" s="381">
        <f>'00_PORTFOLIO ROLLUP'!M$63</f>
        <v>0</v>
      </c>
      <c r="K21" s="381">
        <f>'00_PORTFOLIO ROLLUP'!N$63</f>
        <v>11363378.502822038</v>
      </c>
      <c r="L21" s="381">
        <f>'00_PORTFOLIO ROLLUP'!O$63</f>
        <v>0</v>
      </c>
      <c r="M21" s="381">
        <f>'00_PORTFOLIO ROLLUP'!P$63</f>
        <v>0</v>
      </c>
      <c r="N21" s="381">
        <f>'00_PORTFOLIO ROLLUP'!Q$63</f>
        <v>0</v>
      </c>
      <c r="O21" s="381">
        <f>'00_PORTFOLIO ROLLUP'!R$63</f>
        <v>0</v>
      </c>
      <c r="P21" s="381">
        <f>'00_PORTFOLIO ROLLUP'!S$63</f>
        <v>0</v>
      </c>
      <c r="Q21" s="381">
        <f>'00_PORTFOLIO ROLLUP'!T$63</f>
        <v>0</v>
      </c>
      <c r="R21" s="381">
        <f>'00_PORTFOLIO ROLLUP'!U$63</f>
        <v>0</v>
      </c>
    </row>
    <row r="22" spans="1:18">
      <c r="A22" t="s">
        <v>37</v>
      </c>
      <c r="B22" s="381">
        <f>MAX('00_PORTFOLIO ROLLUP'!E$63,0)</f>
        <v>0</v>
      </c>
      <c r="C22" s="381">
        <f>MAX('00_PORTFOLIO ROLLUP'!F$63,0)</f>
        <v>0</v>
      </c>
      <c r="D22" s="381">
        <f>MAX('00_PORTFOLIO ROLLUP'!G$63,0)</f>
        <v>0</v>
      </c>
      <c r="E22" s="381">
        <f>MAX('00_PORTFOLIO ROLLUP'!H$63,0)</f>
        <v>0</v>
      </c>
      <c r="F22" s="381">
        <f>MAX('00_PORTFOLIO ROLLUP'!I$63,0)</f>
        <v>0</v>
      </c>
      <c r="G22" s="381">
        <f>MAX('00_PORTFOLIO ROLLUP'!J$63,0)</f>
        <v>0</v>
      </c>
      <c r="H22" s="381">
        <f>MAX('00_PORTFOLIO ROLLUP'!K$63,0)</f>
        <v>0</v>
      </c>
      <c r="I22" s="381">
        <f>MAX('00_PORTFOLIO ROLLUP'!L$63,0)</f>
        <v>0</v>
      </c>
      <c r="J22" s="381">
        <f>MAX('00_PORTFOLIO ROLLUP'!M$63,0)</f>
        <v>0</v>
      </c>
      <c r="K22" s="381">
        <f>MAX('00_PORTFOLIO ROLLUP'!N$63,0)</f>
        <v>11363378.502822038</v>
      </c>
      <c r="L22" s="381">
        <f>MAX('00_PORTFOLIO ROLLUP'!O$63,0)</f>
        <v>0</v>
      </c>
      <c r="M22" s="381">
        <f>MAX('00_PORTFOLIO ROLLUP'!P$63,0)</f>
        <v>0</v>
      </c>
      <c r="N22" s="381">
        <f>MAX('00_PORTFOLIO ROLLUP'!Q$63,0)</f>
        <v>0</v>
      </c>
      <c r="O22" s="381">
        <f>MAX('00_PORTFOLIO ROLLUP'!R$63,0)</f>
        <v>0</v>
      </c>
      <c r="P22" s="381">
        <f>MAX('00_PORTFOLIO ROLLUP'!S$63,0)</f>
        <v>0</v>
      </c>
      <c r="Q22" s="381">
        <f>MAX('00_PORTFOLIO ROLLUP'!T$63,0)</f>
        <v>0</v>
      </c>
      <c r="R22" s="381">
        <f>MAX('00_PORTFOLIO ROLLUP'!U$63,0)</f>
        <v>0</v>
      </c>
    </row>
    <row r="23" spans="1:18">
      <c r="A23" t="s">
        <v>39</v>
      </c>
      <c r="B23" s="381">
        <f>MAX(-'00_PORTFOLIO ROLLUP'!E$63,0)</f>
        <v>0</v>
      </c>
      <c r="C23" s="381">
        <f>MAX(-'00_PORTFOLIO ROLLUP'!F$63,0)</f>
        <v>0</v>
      </c>
      <c r="D23" s="381">
        <f>MAX(-'00_PORTFOLIO ROLLUP'!G$63,0)</f>
        <v>70447718.963125259</v>
      </c>
      <c r="E23" s="381">
        <f>MAX(-'00_PORTFOLIO ROLLUP'!H$63,0)</f>
        <v>45500444.830705911</v>
      </c>
      <c r="F23" s="381">
        <f>MAX(-'00_PORTFOLIO ROLLUP'!I$63,0)</f>
        <v>17385398.775567945</v>
      </c>
      <c r="G23" s="381">
        <f>MAX(-'00_PORTFOLIO ROLLUP'!J$63,0)</f>
        <v>0</v>
      </c>
      <c r="H23" s="381">
        <f>MAX(-'00_PORTFOLIO ROLLUP'!K$63,0)</f>
        <v>0</v>
      </c>
      <c r="I23" s="381">
        <f>MAX(-'00_PORTFOLIO ROLLUP'!L$63,0)</f>
        <v>0</v>
      </c>
      <c r="J23" s="381">
        <f>MAX(-'00_PORTFOLIO ROLLUP'!M$63,0)</f>
        <v>0</v>
      </c>
      <c r="K23" s="381">
        <f>MAX(-'00_PORTFOLIO ROLLUP'!N$63,0)</f>
        <v>0</v>
      </c>
      <c r="L23" s="381">
        <f>MAX(-'00_PORTFOLIO ROLLUP'!O$63,0)</f>
        <v>0</v>
      </c>
      <c r="M23" s="381">
        <f>MAX(-'00_PORTFOLIO ROLLUP'!P$63,0)</f>
        <v>0</v>
      </c>
      <c r="N23" s="381">
        <f>MAX(-'00_PORTFOLIO ROLLUP'!Q$63,0)</f>
        <v>0</v>
      </c>
      <c r="O23" s="381">
        <f>MAX(-'00_PORTFOLIO ROLLUP'!R$63,0)</f>
        <v>0</v>
      </c>
      <c r="P23" s="381">
        <f>MAX(-'00_PORTFOLIO ROLLUP'!S$63,0)</f>
        <v>0</v>
      </c>
      <c r="Q23" s="381">
        <f>MAX(-'00_PORTFOLIO ROLLUP'!T$63,0)</f>
        <v>0</v>
      </c>
      <c r="R23" s="381">
        <f>MAX(-'00_PORTFOLIO ROLLUP'!U$63,0)</f>
        <v>0</v>
      </c>
    </row>
    <row r="25" spans="1:18">
      <c r="A25" s="197" t="s">
        <v>7472</v>
      </c>
      <c r="B25" s="197"/>
      <c r="C25" s="197"/>
      <c r="D25" s="197"/>
      <c r="E25" s="197"/>
      <c r="F25" s="197"/>
      <c r="G25" s="197"/>
      <c r="H25" s="197"/>
      <c r="I25" s="197"/>
      <c r="J25" s="197"/>
      <c r="K25" s="197"/>
      <c r="L25" s="197"/>
      <c r="M25" s="197"/>
      <c r="N25" s="197"/>
      <c r="O25" s="197"/>
      <c r="P25" s="197"/>
      <c r="Q25" s="197"/>
      <c r="R25" s="197"/>
    </row>
    <row r="26" spans="1:18">
      <c r="A26" t="s">
        <v>41</v>
      </c>
      <c r="B26" s="381">
        <f>'00_PORTFOLIO ROLLUP'!E$56+MAX('00_PORTFOLIO ROLLUP'!E$63,0)</f>
        <v>-12279949.43203162</v>
      </c>
      <c r="C26" s="381">
        <f>'00_PORTFOLIO ROLLUP'!F$56+MAX('00_PORTFOLIO ROLLUP'!F$63,0)</f>
        <v>-11641377.929000389</v>
      </c>
      <c r="D26" s="381">
        <f>'00_PORTFOLIO ROLLUP'!G$56+MAX('00_PORTFOLIO ROLLUP'!G$63,0)</f>
        <v>-6004726.2946791984</v>
      </c>
      <c r="E26" s="381">
        <f>'00_PORTFOLIO ROLLUP'!H$56+MAX('00_PORTFOLIO ROLLUP'!H$63,0)</f>
        <v>240560.97906341258</v>
      </c>
      <c r="F26" s="381">
        <f>'00_PORTFOLIO ROLLUP'!I$56+MAX('00_PORTFOLIO ROLLUP'!I$63,0)</f>
        <v>1931079.7645929675</v>
      </c>
      <c r="G26" s="381">
        <f>'00_PORTFOLIO ROLLUP'!J$56+MAX('00_PORTFOLIO ROLLUP'!J$63,0)</f>
        <v>2403971.1915150015</v>
      </c>
      <c r="H26" s="381">
        <f>'00_PORTFOLIO ROLLUP'!K$56+MAX('00_PORTFOLIO ROLLUP'!K$63,0)</f>
        <v>2454946.3743924438</v>
      </c>
      <c r="I26" s="381">
        <f>'00_PORTFOLIO ROLLUP'!L$56+MAX('00_PORTFOLIO ROLLUP'!L$63,0)</f>
        <v>2562753.9406021493</v>
      </c>
      <c r="J26" s="381">
        <f>'00_PORTFOLIO ROLLUP'!M$56+MAX('00_PORTFOLIO ROLLUP'!M$63,0)</f>
        <v>2670058.1845505275</v>
      </c>
      <c r="K26" s="381">
        <f>'00_PORTFOLIO ROLLUP'!N$56+MAX('00_PORTFOLIO ROLLUP'!N$63,0)</f>
        <v>14130719.518497257</v>
      </c>
      <c r="L26" s="381">
        <f>'00_PORTFOLIO ROLLUP'!O$56+MAX('00_PORTFOLIO ROLLUP'!O$63,0)</f>
        <v>2783481.7053051088</v>
      </c>
      <c r="M26" s="381">
        <f>'00_PORTFOLIO ROLLUP'!P$56+MAX('00_PORTFOLIO ROLLUP'!P$63,0)</f>
        <v>2810752.2028912278</v>
      </c>
      <c r="N26" s="381">
        <f>'00_PORTFOLIO ROLLUP'!Q$56+MAX('00_PORTFOLIO ROLLUP'!Q$63,0)</f>
        <v>2905454.3878535749</v>
      </c>
      <c r="O26" s="381">
        <f>'00_PORTFOLIO ROLLUP'!R$56+MAX('00_PORTFOLIO ROLLUP'!R$63,0)</f>
        <v>3001650.4637152776</v>
      </c>
      <c r="P26" s="381">
        <f>'00_PORTFOLIO ROLLUP'!S$56+MAX('00_PORTFOLIO ROLLUP'!S$63,0)</f>
        <v>3099360.3044743314</v>
      </c>
      <c r="Q26" s="381">
        <f>'00_PORTFOLIO ROLLUP'!T$56+MAX('00_PORTFOLIO ROLLUP'!T$63,0)</f>
        <v>3198603.9315131735</v>
      </c>
      <c r="R26" s="381">
        <f>'00_PORTFOLIO ROLLUP'!U$56+MAX('00_PORTFOLIO ROLLUP'!U$63,0)</f>
        <v>3299401.5102940351</v>
      </c>
    </row>
    <row r="27" spans="1:18">
      <c r="A27" t="s">
        <v>43</v>
      </c>
      <c r="B27" s="381">
        <f>'00_PORTFOLIO ROLLUP'!E$68</f>
        <v>-12279949.43203162</v>
      </c>
      <c r="C27" s="381">
        <f>'00_PORTFOLIO ROLLUP'!F$68</f>
        <v>-11641377.929000389</v>
      </c>
      <c r="D27" s="381">
        <f>'00_PORTFOLIO ROLLUP'!G$68</f>
        <v>-76452445.257804453</v>
      </c>
      <c r="E27" s="381">
        <f>'00_PORTFOLIO ROLLUP'!H$68</f>
        <v>-45259883.851642497</v>
      </c>
      <c r="F27" s="381">
        <f>'00_PORTFOLIO ROLLUP'!I$68</f>
        <v>-15454319.010974977</v>
      </c>
      <c r="G27" s="381">
        <f>'00_PORTFOLIO ROLLUP'!J$68</f>
        <v>2403971.1915150015</v>
      </c>
      <c r="H27" s="381">
        <f>'00_PORTFOLIO ROLLUP'!K$68</f>
        <v>2454946.3743924438</v>
      </c>
      <c r="I27" s="381">
        <f>'00_PORTFOLIO ROLLUP'!L$68</f>
        <v>2562753.9406021493</v>
      </c>
      <c r="J27" s="381">
        <f>'00_PORTFOLIO ROLLUP'!M$68</f>
        <v>2670058.1845505275</v>
      </c>
      <c r="K27" s="381">
        <f>'00_PORTFOLIO ROLLUP'!N$68</f>
        <v>14130719.518497257</v>
      </c>
      <c r="L27" s="381">
        <f>'00_PORTFOLIO ROLLUP'!O$68</f>
        <v>2783481.7053051088</v>
      </c>
      <c r="M27" s="381">
        <f>'00_PORTFOLIO ROLLUP'!P$68</f>
        <v>2810752.2028912278</v>
      </c>
      <c r="N27" s="381">
        <f>'00_PORTFOLIO ROLLUP'!Q$68</f>
        <v>2905454.3878535749</v>
      </c>
      <c r="O27" s="381">
        <f>'00_PORTFOLIO ROLLUP'!R$68</f>
        <v>3001650.4637152776</v>
      </c>
      <c r="P27" s="381">
        <f>'00_PORTFOLIO ROLLUP'!S$68</f>
        <v>3099360.3044743314</v>
      </c>
      <c r="Q27" s="381">
        <f>'00_PORTFOLIO ROLLUP'!T$68</f>
        <v>3198603.9315131735</v>
      </c>
      <c r="R27" s="381">
        <f>'00_PORTFOLIO ROLLUP'!U$68</f>
        <v>3299401.5102940351</v>
      </c>
    </row>
    <row r="28" spans="1:18">
      <c r="A28" t="s">
        <v>7473</v>
      </c>
      <c r="B28" s="381">
        <f t="shared" ref="B28:R28" si="0">B26-B27</f>
        <v>0</v>
      </c>
      <c r="C28" s="381">
        <f t="shared" si="0"/>
        <v>0</v>
      </c>
      <c r="D28" s="381">
        <f t="shared" si="0"/>
        <v>70447718.963125259</v>
      </c>
      <c r="E28" s="381">
        <f t="shared" si="0"/>
        <v>45500444.830705911</v>
      </c>
      <c r="F28" s="381">
        <f t="shared" si="0"/>
        <v>17385398.775567945</v>
      </c>
      <c r="G28" s="381">
        <f t="shared" si="0"/>
        <v>0</v>
      </c>
      <c r="H28" s="381">
        <f t="shared" si="0"/>
        <v>0</v>
      </c>
      <c r="I28" s="381">
        <f t="shared" si="0"/>
        <v>0</v>
      </c>
      <c r="J28" s="381">
        <f t="shared" si="0"/>
        <v>0</v>
      </c>
      <c r="K28" s="381">
        <f t="shared" si="0"/>
        <v>0</v>
      </c>
      <c r="L28" s="381">
        <f t="shared" si="0"/>
        <v>0</v>
      </c>
      <c r="M28" s="381">
        <f t="shared" si="0"/>
        <v>0</v>
      </c>
      <c r="N28" s="381">
        <f t="shared" si="0"/>
        <v>0</v>
      </c>
      <c r="O28" s="381">
        <f t="shared" si="0"/>
        <v>0</v>
      </c>
      <c r="P28" s="381">
        <f t="shared" si="0"/>
        <v>0</v>
      </c>
      <c r="Q28" s="381">
        <f t="shared" si="0"/>
        <v>0</v>
      </c>
      <c r="R28" s="381">
        <f t="shared" si="0"/>
        <v>0</v>
      </c>
    </row>
    <row r="29" spans="1:18">
      <c r="A29" t="s">
        <v>7474</v>
      </c>
      <c r="B29" s="383" t="str">
        <f t="shared" ref="B29:R29" si="1">IF(ABS(B28-B23)&lt;1,"OK","CHECK")</f>
        <v>OK</v>
      </c>
      <c r="C29" s="383" t="str">
        <f t="shared" si="1"/>
        <v>OK</v>
      </c>
      <c r="D29" s="383" t="str">
        <f t="shared" si="1"/>
        <v>OK</v>
      </c>
      <c r="E29" s="383" t="str">
        <f t="shared" si="1"/>
        <v>OK</v>
      </c>
      <c r="F29" s="383" t="str">
        <f t="shared" si="1"/>
        <v>OK</v>
      </c>
      <c r="G29" s="383" t="str">
        <f t="shared" si="1"/>
        <v>OK</v>
      </c>
      <c r="H29" s="383" t="str">
        <f t="shared" si="1"/>
        <v>OK</v>
      </c>
      <c r="I29" s="383" t="str">
        <f t="shared" si="1"/>
        <v>OK</v>
      </c>
      <c r="J29" s="383" t="str">
        <f t="shared" si="1"/>
        <v>OK</v>
      </c>
      <c r="K29" s="383" t="str">
        <f t="shared" si="1"/>
        <v>OK</v>
      </c>
      <c r="L29" s="383" t="str">
        <f t="shared" si="1"/>
        <v>OK</v>
      </c>
      <c r="M29" s="383" t="str">
        <f t="shared" si="1"/>
        <v>OK</v>
      </c>
      <c r="N29" s="383" t="str">
        <f t="shared" si="1"/>
        <v>OK</v>
      </c>
      <c r="O29" s="383" t="str">
        <f t="shared" si="1"/>
        <v>OK</v>
      </c>
      <c r="P29" s="383" t="str">
        <f t="shared" si="1"/>
        <v>OK</v>
      </c>
      <c r="Q29" s="383" t="str">
        <f t="shared" si="1"/>
        <v>OK</v>
      </c>
      <c r="R29" s="383" t="str">
        <f t="shared" si="1"/>
        <v>OK</v>
      </c>
    </row>
    <row r="32" spans="1:18">
      <c r="A32" s="195" t="s">
        <v>7475</v>
      </c>
      <c r="B32" s="195" t="s">
        <v>7476</v>
      </c>
    </row>
    <row r="33" spans="1:2">
      <c r="A33" s="170" t="s">
        <v>29</v>
      </c>
      <c r="B33" s="170" t="s">
        <v>7477</v>
      </c>
    </row>
    <row r="34" spans="1:2" ht="30">
      <c r="A34" s="170" t="s">
        <v>37</v>
      </c>
      <c r="B34" s="170" t="s">
        <v>7478</v>
      </c>
    </row>
    <row r="35" spans="1:2" ht="30">
      <c r="A35" s="170" t="s">
        <v>39</v>
      </c>
      <c r="B35" s="170" t="s">
        <v>7479</v>
      </c>
    </row>
    <row r="36" spans="1:2" ht="30">
      <c r="A36" s="170" t="s">
        <v>41</v>
      </c>
      <c r="B36" s="170" t="s">
        <v>7480</v>
      </c>
    </row>
    <row r="37" spans="1:2" ht="30">
      <c r="A37" s="170" t="s">
        <v>43</v>
      </c>
      <c r="B37" s="170" t="s">
        <v>7481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0472C-531B-4691-B29D-FF9F5B4EC34E}">
  <sheetPr>
    <tabColor rgb="FF70AD47"/>
  </sheetPr>
  <dimension ref="A1:Z30"/>
  <sheetViews>
    <sheetView workbookViewId="0"/>
  </sheetViews>
  <sheetFormatPr defaultRowHeight="15"/>
  <cols>
    <col min="1" max="1" width="32" customWidth="1"/>
    <col min="2" max="2" width="24" customWidth="1"/>
    <col min="3" max="3" width="60" customWidth="1"/>
    <col min="4" max="4" width="16" customWidth="1"/>
    <col min="5" max="5" width="50" customWidth="1"/>
  </cols>
  <sheetData>
    <row r="1" spans="1:26">
      <c r="A1" s="217" t="s">
        <v>1602</v>
      </c>
      <c r="B1" s="206"/>
      <c r="C1" s="206"/>
      <c r="D1" s="206"/>
      <c r="E1" s="206"/>
      <c r="F1" s="170"/>
      <c r="G1" s="170"/>
      <c r="H1" s="170"/>
      <c r="I1" s="170"/>
      <c r="J1" s="170"/>
      <c r="K1" s="170"/>
      <c r="L1" s="170"/>
      <c r="M1" s="170"/>
      <c r="N1" s="170"/>
      <c r="O1" s="170"/>
      <c r="P1" s="170"/>
      <c r="Q1" s="170"/>
      <c r="R1" s="170"/>
      <c r="S1" s="170"/>
      <c r="T1" s="170"/>
      <c r="U1" s="170"/>
      <c r="V1" s="170"/>
      <c r="W1" s="170"/>
      <c r="X1" s="170"/>
      <c r="Y1" s="170"/>
      <c r="Z1" s="170"/>
    </row>
    <row r="2" spans="1:26" ht="60">
      <c r="A2" s="184" t="s">
        <v>1094</v>
      </c>
      <c r="B2" s="184" t="s">
        <v>1603</v>
      </c>
    </row>
    <row r="3" spans="1:26" ht="60">
      <c r="A3" s="184" t="s">
        <v>1208</v>
      </c>
      <c r="B3" s="184" t="s">
        <v>1604</v>
      </c>
    </row>
    <row r="4" spans="1:26">
      <c r="A4" s="217" t="s">
        <v>17</v>
      </c>
      <c r="B4" s="217" t="s">
        <v>565</v>
      </c>
      <c r="C4" s="217" t="s">
        <v>1605</v>
      </c>
      <c r="D4" s="217" t="s">
        <v>56</v>
      </c>
      <c r="E4" s="217" t="s">
        <v>1606</v>
      </c>
    </row>
    <row r="5" spans="1:26">
      <c r="A5" s="217" t="s">
        <v>1157</v>
      </c>
      <c r="B5" s="217">
        <f>COUNTA(DATA_PROPERTY_MASTER!$A$5:$A$21)</f>
        <v>17</v>
      </c>
      <c r="C5" s="217" t="s">
        <v>1607</v>
      </c>
      <c r="D5" s="217" t="str">
        <f>IF(B5&gt;0,"OK","CHECK")</f>
        <v>OK</v>
      </c>
      <c r="E5" s="217" t="s">
        <v>1608</v>
      </c>
    </row>
    <row r="6" spans="1:26">
      <c r="A6" s="184" t="s">
        <v>1158</v>
      </c>
      <c r="B6" s="375">
        <f>COUNTIF(DATA_PROPERTY_MASTER!$E$5:$E$21,"Yes")</f>
        <v>16</v>
      </c>
      <c r="C6" s="184" t="s">
        <v>1609</v>
      </c>
      <c r="D6" s="375" t="str">
        <f>IF(B6=COUNTIF('00_MODEL_CONTROL'!$E$5:$E$21,"Yes"),"OK","CHECK")</f>
        <v>OK</v>
      </c>
      <c r="E6" s="184" t="s">
        <v>1610</v>
      </c>
    </row>
    <row r="7" spans="1:26" ht="30">
      <c r="A7" s="184" t="s">
        <v>1159</v>
      </c>
      <c r="B7" s="375">
        <f>COUNTA(DATA_METRIC_LONG!$A$5:$A$10000)</f>
        <v>816</v>
      </c>
      <c r="C7" s="184" t="s">
        <v>1611</v>
      </c>
      <c r="D7" s="375" t="str">
        <f>IF(B7=COUNTA(DATA_PROPERTY_MASTER!$A$5:$A$21)*3*16,"OK","CHECK")</f>
        <v>OK</v>
      </c>
      <c r="E7" s="184" t="s">
        <v>1612</v>
      </c>
    </row>
    <row r="8" spans="1:26" ht="45">
      <c r="A8" s="374" t="s">
        <v>1613</v>
      </c>
      <c r="B8" s="374">
        <f ca="1">COUNTIF(DATA_QUALITY_CHECKS!$E$5:$E$50,"FAIL")+COUNTIF(DATA_QUALITY_CHECKS!$E$5:$E$50,"OPEN")</f>
        <v>7</v>
      </c>
      <c r="C8" s="374" t="s">
        <v>1614</v>
      </c>
      <c r="D8" s="374" t="str">
        <f ca="1">IF(B8=0,"OK","OPEN")</f>
        <v>OPEN</v>
      </c>
      <c r="E8" s="374" t="s">
        <v>1615</v>
      </c>
    </row>
    <row r="9" spans="1:26" ht="30">
      <c r="A9" s="184" t="s">
        <v>1616</v>
      </c>
      <c r="B9" s="375" t="str">
        <f ca="1">IF(B8=0,"Platform-ready output model","Prototype with platform-ready bridge layer")</f>
        <v>Prototype with platform-ready bridge layer</v>
      </c>
      <c r="C9" s="184" t="s">
        <v>1617</v>
      </c>
      <c r="D9" s="374" t="str">
        <f ca="1">IF(B8=0,"OK","OPEN")</f>
        <v>OPEN</v>
      </c>
      <c r="E9" s="184" t="s">
        <v>1618</v>
      </c>
    </row>
    <row r="10" spans="1:26">
      <c r="A10" s="185" t="s">
        <v>1619</v>
      </c>
      <c r="B10" s="373" t="str">
        <f ca="1">IF(COUNTIF(DATA_ASSET_CLASSIFICATION!$U$8:$U$24,"Review")=0,"Yes","Review")</f>
        <v>Yes</v>
      </c>
      <c r="C10" s="185" t="s">
        <v>1620</v>
      </c>
      <c r="D10" s="373" t="str">
        <f ca="1">IF(B10="Yes","OK","OPEN")</f>
        <v>OK</v>
      </c>
      <c r="E10" s="185" t="s">
        <v>1621</v>
      </c>
    </row>
    <row r="11" spans="1:26">
      <c r="A11" s="185" t="s">
        <v>1622</v>
      </c>
      <c r="B11" s="376" t="e">
        <f ca="1">IF(SUMPRODUCT(--_xludf.ISFORMULA('00_PORTFOLIO_REGISTER'!$J$5:$J$21))=COUNTA('00_PORTFOLIO_REGISTER'!$B$5:$B$21),"Yes","No")</f>
        <v>#NAME?</v>
      </c>
      <c r="C11" s="185" t="s">
        <v>1623</v>
      </c>
      <c r="D11" s="376" t="e">
        <f ca="1">IF(B11="Yes","OK","CHECK")</f>
        <v>#NAME?</v>
      </c>
      <c r="E11" s="185" t="s">
        <v>1624</v>
      </c>
    </row>
    <row r="12" spans="1:26">
      <c r="A12" s="185" t="s">
        <v>1625</v>
      </c>
      <c r="B12" s="373" t="str">
        <f ca="1">IF(COUNTIF(DATA_ASSET_CLASSIFICATION!$X$8:$X$24,"Missing override reason")=0,"Yes","No")</f>
        <v>Yes</v>
      </c>
      <c r="C12" s="185" t="s">
        <v>1626</v>
      </c>
      <c r="D12" s="376" t="str">
        <f ca="1">IF(B12="Yes","OK","CHECK")</f>
        <v>OK</v>
      </c>
      <c r="E12" s="185" t="s">
        <v>1627</v>
      </c>
    </row>
    <row r="13" spans="1:26">
      <c r="A13" s="193"/>
      <c r="B13" s="193"/>
      <c r="C13" s="193"/>
      <c r="D13" s="193"/>
      <c r="E13" s="193"/>
    </row>
    <row r="14" spans="1:26">
      <c r="A14" s="203" t="s">
        <v>1628</v>
      </c>
      <c r="B14" s="203"/>
      <c r="C14" s="203"/>
      <c r="D14" s="203"/>
      <c r="E14" s="203"/>
    </row>
    <row r="15" spans="1:26" ht="90">
      <c r="A15" s="193" t="s">
        <v>627</v>
      </c>
      <c r="B15" s="193" t="s">
        <v>1629</v>
      </c>
      <c r="C15" s="193"/>
      <c r="D15" s="193"/>
      <c r="E15" s="193"/>
    </row>
    <row r="16" spans="1:26" ht="75">
      <c r="A16" s="193" t="s">
        <v>1630</v>
      </c>
      <c r="B16" s="193" t="s">
        <v>1631</v>
      </c>
      <c r="C16" s="193"/>
      <c r="D16" s="193"/>
      <c r="E16" s="193"/>
    </row>
    <row r="17" spans="1:26" ht="45">
      <c r="A17" s="193" t="s">
        <v>1632</v>
      </c>
      <c r="B17" s="193" t="s">
        <v>1633</v>
      </c>
      <c r="C17" s="193"/>
      <c r="D17" s="193"/>
      <c r="E17" s="193"/>
    </row>
    <row r="18" spans="1:26" ht="30">
      <c r="A18" s="202" t="s">
        <v>1634</v>
      </c>
      <c r="B18" s="377" t="str">
        <f>IF(COUNTA(DATA_CAPITAL_FLOW!$A$5:$A$1000)&gt;0,"Yes","No")</f>
        <v>Yes</v>
      </c>
      <c r="C18" s="202" t="s">
        <v>1635</v>
      </c>
      <c r="D18" s="377" t="str">
        <f>IF(B18="Yes","OK","CHECK")</f>
        <v>OK</v>
      </c>
      <c r="E18" s="202" t="s">
        <v>1636</v>
      </c>
    </row>
    <row r="19" spans="1:26" ht="30">
      <c r="A19" s="202" t="s">
        <v>1550</v>
      </c>
      <c r="B19" s="377" t="str">
        <f>IF(COUNTIF(OUT_CAPITAL_FLOW_SUMMARY!$B$29:$R$29,"CHECK")=0,"Yes","No")</f>
        <v>Yes</v>
      </c>
      <c r="C19" s="202" t="s">
        <v>1637</v>
      </c>
      <c r="D19" s="377" t="str">
        <f>IF(B19="Yes","OK","CHECK")</f>
        <v>OK</v>
      </c>
      <c r="E19" s="202" t="s">
        <v>1638</v>
      </c>
    </row>
    <row r="20" spans="1:26" ht="30">
      <c r="A20" s="193" t="s">
        <v>1639</v>
      </c>
      <c r="B20" s="350" t="str">
        <f ca="1">IF(ISNUMBER(SEARCH("IFERROR",_xludf.FORMULATEXT('00_PORTFOLIO ROLLUP'!E13))),"Yes","No")</f>
        <v>No</v>
      </c>
      <c r="C20" s="193" t="s">
        <v>1640</v>
      </c>
      <c r="D20" s="351" t="str">
        <f ca="1">IF(B20="Yes","OK","OPEN")</f>
        <v>OPEN</v>
      </c>
      <c r="E20" s="193" t="s">
        <v>1641</v>
      </c>
      <c r="F20" s="193"/>
      <c r="G20" s="193"/>
      <c r="H20" s="193"/>
      <c r="I20" s="193"/>
      <c r="J20" s="193"/>
      <c r="K20" s="193"/>
      <c r="L20" s="193"/>
      <c r="M20" s="193"/>
      <c r="N20" s="193"/>
      <c r="O20" s="193"/>
      <c r="P20" s="193"/>
      <c r="Q20" s="193"/>
      <c r="R20" s="193"/>
      <c r="S20" s="193"/>
      <c r="T20" s="193"/>
      <c r="U20" s="193"/>
      <c r="V20" s="193"/>
      <c r="W20" s="193"/>
      <c r="X20" s="193"/>
      <c r="Y20" s="193"/>
      <c r="Z20" s="193"/>
    </row>
    <row r="21" spans="1:26" ht="30">
      <c r="A21" s="193" t="s">
        <v>1560</v>
      </c>
      <c r="B21" s="350">
        <f ca="1">DATA_AGGREGATION_AUDIT!B2</f>
        <v>0</v>
      </c>
      <c r="C21" s="351" t="s">
        <v>1642</v>
      </c>
      <c r="D21" s="351" t="str">
        <f ca="1">IF(B21=0,"OK","REVIEW")</f>
        <v>OK</v>
      </c>
      <c r="E21" s="351" t="s">
        <v>1643</v>
      </c>
      <c r="F21" s="193"/>
      <c r="G21" s="193"/>
      <c r="H21" s="193"/>
      <c r="I21" s="193"/>
      <c r="J21" s="193"/>
      <c r="K21" s="193"/>
      <c r="L21" s="193"/>
      <c r="M21" s="193"/>
      <c r="N21" s="193"/>
      <c r="O21" s="193"/>
      <c r="P21" s="193"/>
      <c r="Q21" s="193"/>
      <c r="R21" s="193"/>
      <c r="S21" s="193"/>
      <c r="T21" s="193"/>
      <c r="U21" s="193"/>
      <c r="V21" s="193"/>
      <c r="W21" s="193"/>
      <c r="X21" s="193"/>
      <c r="Y21" s="193"/>
      <c r="Z21" s="193"/>
    </row>
    <row r="22" spans="1:26">
      <c r="A22" t="s">
        <v>1644</v>
      </c>
      <c r="B22" s="348">
        <f>COUNTIFS(DATA_CAPITAL_FLOW!$B$5:$B$5206,"Property")</f>
        <v>4913</v>
      </c>
      <c r="C22" t="s">
        <v>1645</v>
      </c>
      <c r="D22" s="352" t="str">
        <f>IF(B22&gt;0,"PASS","OPEN")</f>
        <v>PASS</v>
      </c>
      <c r="E22" t="s">
        <v>1646</v>
      </c>
    </row>
    <row r="23" spans="1:26">
      <c r="A23" t="s">
        <v>1647</v>
      </c>
      <c r="B23" s="348" t="str">
        <f>IF(COUNTA(INPUT_CONTROL_MAP!$A$5:$A$40)&gt;0,"Yes","No")</f>
        <v>Yes</v>
      </c>
      <c r="C23" t="s">
        <v>1648</v>
      </c>
      <c r="D23" s="348" t="str">
        <f>IF(B23="Yes","OK","CHECK")</f>
        <v>OK</v>
      </c>
      <c r="E23" t="s">
        <v>1649</v>
      </c>
    </row>
    <row r="24" spans="1:26">
      <c r="A24" t="s">
        <v>1650</v>
      </c>
      <c r="B24" s="348" t="str">
        <f>IF(COUNTIF(MAP_FIELD_MAPPING!$G$6:$G$25,"Not yet live")&gt;0,"Mixed: live + roadmap","Live only")</f>
        <v>Live only</v>
      </c>
      <c r="C24" t="s">
        <v>1651</v>
      </c>
      <c r="D24" t="s">
        <v>1652</v>
      </c>
      <c r="E24" t="s">
        <v>1653</v>
      </c>
    </row>
    <row r="25" spans="1:26" ht="30">
      <c r="A25" s="215" t="s">
        <v>1654</v>
      </c>
      <c r="B25" s="353" t="str">
        <f ca="1">IF(ISNUMBER(SEARCH("DATA_PROPERTY_MASTER",_xludf.FORMULATEXT(DATA_AGGREGATION_AUDIT!D6))),"Yes","No")</f>
        <v>No</v>
      </c>
      <c r="C25" s="215" t="s">
        <v>1655</v>
      </c>
      <c r="D25" s="353" t="str">
        <f ca="1">IF(B25="Yes","OK","CHECK")</f>
        <v>CHECK</v>
      </c>
      <c r="E25" s="215" t="s">
        <v>1656</v>
      </c>
    </row>
    <row r="26" spans="1:26" ht="30">
      <c r="A26" s="215" t="s">
        <v>1657</v>
      </c>
      <c r="B26" s="353" t="str">
        <f>"Legacy NGO B property-tab engine"</f>
        <v>Legacy NGO B property-tab engine</v>
      </c>
      <c r="C26" s="215" t="s">
        <v>1658</v>
      </c>
      <c r="D26" s="354" t="s">
        <v>1594</v>
      </c>
      <c r="E26" s="215" t="s">
        <v>1659</v>
      </c>
    </row>
    <row r="27" spans="1:26" ht="30">
      <c r="A27" s="215" t="s">
        <v>1660</v>
      </c>
      <c r="B27" s="353" t="str">
        <f>IF(ISREF(LEGACY_INVESTOR_SUMMARY!B2),"Yes","No")</f>
        <v>Yes</v>
      </c>
      <c r="C27" s="215" t="s">
        <v>1661</v>
      </c>
      <c r="D27" s="353" t="str">
        <f>IF(B27="Yes","OK","CHECK")</f>
        <v>OK</v>
      </c>
      <c r="E27" s="215" t="s">
        <v>1662</v>
      </c>
    </row>
    <row r="28" spans="1:26" ht="30">
      <c r="A28" s="356" t="s">
        <v>1663</v>
      </c>
      <c r="B28" s="378" t="s">
        <v>1664</v>
      </c>
      <c r="C28" s="356" t="s">
        <v>1665</v>
      </c>
      <c r="D28" s="356" t="s">
        <v>1666</v>
      </c>
    </row>
    <row r="30" spans="1:26" ht="105">
      <c r="A30" s="393" t="s">
        <v>1667</v>
      </c>
      <c r="B30" s="394" t="s">
        <v>1668</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6CEB9-C91F-45F9-AB8C-841BFBFFDFE6}">
  <dimension ref="A1"/>
  <sheetViews>
    <sheetView workbookViewId="0"/>
  </sheetViews>
  <sheetFormatPr defaultRowHeight="15"/>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C1878-2FB1-45D2-A858-CEF95D131C4D}">
  <sheetPr>
    <tabColor rgb="FF7C3AED"/>
  </sheetPr>
  <dimension ref="A1:Z108"/>
  <sheetViews>
    <sheetView workbookViewId="0">
      <selection activeCell="D17" sqref="D17"/>
    </sheetView>
  </sheetViews>
  <sheetFormatPr defaultRowHeight="15"/>
  <cols>
    <col min="1" max="1" width="14" customWidth="1"/>
    <col min="2" max="2" width="32" customWidth="1"/>
    <col min="3" max="5" width="24" customWidth="1"/>
    <col min="6" max="6" width="60" customWidth="1"/>
    <col min="7" max="10" width="24" customWidth="1"/>
  </cols>
  <sheetData>
    <row r="1" spans="1:26" ht="30">
      <c r="A1" s="407" t="s">
        <v>762</v>
      </c>
      <c r="B1" s="193"/>
      <c r="C1" s="193"/>
      <c r="D1" s="193"/>
      <c r="E1" s="193"/>
      <c r="F1" s="193"/>
      <c r="G1" s="193"/>
      <c r="H1" s="193"/>
      <c r="I1" s="193"/>
      <c r="J1" s="193"/>
      <c r="K1" s="170"/>
      <c r="L1" s="170"/>
      <c r="M1" s="170"/>
      <c r="N1" s="170"/>
      <c r="O1" s="170"/>
      <c r="P1" s="170"/>
      <c r="Q1" s="170"/>
      <c r="R1" s="170"/>
      <c r="S1" s="170"/>
      <c r="T1" s="170"/>
      <c r="U1" s="170"/>
      <c r="V1" s="170"/>
      <c r="W1" s="170"/>
      <c r="X1" s="170"/>
      <c r="Y1" s="170"/>
      <c r="Z1" s="170"/>
    </row>
    <row r="2" spans="1:26" ht="45">
      <c r="A2" s="193" t="s">
        <v>1094</v>
      </c>
      <c r="B2" s="351" t="s">
        <v>1507</v>
      </c>
      <c r="C2" s="193"/>
      <c r="D2" s="193"/>
      <c r="E2" s="193"/>
      <c r="F2" s="193"/>
      <c r="G2" s="193"/>
      <c r="H2" s="193"/>
      <c r="I2" s="193"/>
      <c r="J2" s="193"/>
    </row>
    <row r="3" spans="1:26" ht="30">
      <c r="A3" s="193" t="s">
        <v>1208</v>
      </c>
      <c r="B3" s="193" t="s">
        <v>1508</v>
      </c>
      <c r="C3" s="193"/>
      <c r="D3" s="193"/>
      <c r="E3" s="193"/>
      <c r="F3" s="193"/>
      <c r="G3" s="193"/>
      <c r="H3" s="193"/>
      <c r="I3" s="193"/>
      <c r="J3" s="193"/>
    </row>
    <row r="4" spans="1:26">
      <c r="A4" s="407" t="s">
        <v>1509</v>
      </c>
      <c r="B4" s="407" t="s">
        <v>1510</v>
      </c>
      <c r="C4" s="407" t="s">
        <v>1511</v>
      </c>
      <c r="D4" s="407" t="s">
        <v>1512</v>
      </c>
      <c r="E4" s="407" t="s">
        <v>56</v>
      </c>
      <c r="F4" s="407" t="s">
        <v>1513</v>
      </c>
      <c r="G4" s="193"/>
      <c r="H4" s="193"/>
      <c r="I4" s="193"/>
      <c r="J4" s="193"/>
    </row>
    <row r="5" spans="1:26">
      <c r="A5" s="407" t="s">
        <v>1514</v>
      </c>
      <c r="B5" s="407" t="s">
        <v>1515</v>
      </c>
      <c r="C5" s="407">
        <f>COUNTA('00_MODEL_CONTROL'!$A$5:$A$21)</f>
        <v>17</v>
      </c>
      <c r="D5" s="407">
        <f>COUNTA(DATA_PROPERTY_MASTER!$A$5:$A$21)</f>
        <v>17</v>
      </c>
      <c r="E5" s="361" t="str">
        <f>IF(D5=C5,"PASS","FAIL")</f>
        <v>PASS</v>
      </c>
      <c r="F5" s="407" t="s">
        <v>1516</v>
      </c>
      <c r="G5" s="193"/>
      <c r="H5" s="193"/>
      <c r="I5" s="193"/>
      <c r="J5" s="193"/>
    </row>
    <row r="6" spans="1:26">
      <c r="A6" s="193" t="s">
        <v>1517</v>
      </c>
      <c r="B6" s="193" t="s">
        <v>1518</v>
      </c>
      <c r="C6" s="350">
        <f>COUNTIF('00_MODEL_CONTROL'!$E$5:$E$21,"Yes")</f>
        <v>16</v>
      </c>
      <c r="D6" s="350">
        <f>COUNTIF(DATA_PROPERTY_MASTER!$E$5:$E$21,"Yes")</f>
        <v>16</v>
      </c>
      <c r="E6" s="351" t="str">
        <f>IF(D6=C6,"PASS","FAIL")</f>
        <v>PASS</v>
      </c>
      <c r="F6" s="193" t="s">
        <v>1519</v>
      </c>
      <c r="G6" s="193"/>
      <c r="H6" s="193"/>
      <c r="I6" s="193"/>
      <c r="J6" s="193"/>
    </row>
    <row r="7" spans="1:26">
      <c r="A7" s="407" t="s">
        <v>1520</v>
      </c>
      <c r="B7" s="407" t="s">
        <v>1521</v>
      </c>
      <c r="C7" s="407">
        <f>COUNTA(DATA_PROPERTY_MASTER!$A$5:$A$21)</f>
        <v>17</v>
      </c>
      <c r="D7" s="407">
        <f ca="1">COUNTIF(DATA_PROPERTY_MASTER!$O$5:$O$21,"OK")</f>
        <v>17</v>
      </c>
      <c r="E7" s="361" t="str">
        <f ca="1">IF(D7=C7,"PASS","OPEN")</f>
        <v>PASS</v>
      </c>
      <c r="F7" s="407" t="s">
        <v>1522</v>
      </c>
      <c r="G7" s="193"/>
      <c r="H7" s="193"/>
      <c r="I7" s="193"/>
      <c r="J7" s="193"/>
    </row>
    <row r="8" spans="1:26" ht="30">
      <c r="A8" s="193" t="s">
        <v>1523</v>
      </c>
      <c r="B8" s="193" t="s">
        <v>1524</v>
      </c>
      <c r="C8" s="193">
        <v>0</v>
      </c>
      <c r="D8" s="351">
        <f ca="1">COUNTIF(DATA_PROPERTY_MASTER!$H$5:$H$21,"CHECK")+COUNTIF(DATA_PROPERTY_MASTER!$H$5:$H$21,"OPEN")</f>
        <v>0</v>
      </c>
      <c r="E8" s="351" t="str">
        <f ca="1">IF(D8=C8,"PASS","OPEN")</f>
        <v>PASS</v>
      </c>
      <c r="F8" s="193" t="s">
        <v>1525</v>
      </c>
      <c r="G8" s="193"/>
      <c r="H8" s="193"/>
      <c r="I8" s="193"/>
      <c r="J8" s="193"/>
    </row>
    <row r="9" spans="1:26">
      <c r="A9" s="193" t="s">
        <v>1526</v>
      </c>
      <c r="B9" s="193" t="s">
        <v>1527</v>
      </c>
      <c r="C9" s="350">
        <f>COUNTA(DATA_DEBT_MASTER!$A$5:$A$21)</f>
        <v>17</v>
      </c>
      <c r="D9" s="350">
        <f ca="1">COUNTIF(DATA_DEBT_MASTER!$L$5:$L$21,"Ready")</f>
        <v>17</v>
      </c>
      <c r="E9" s="351" t="str">
        <f ca="1">IF(D9=C9,"PASS","OPEN")</f>
        <v>PASS</v>
      </c>
      <c r="F9" s="193" t="s">
        <v>1528</v>
      </c>
      <c r="G9" s="193"/>
      <c r="H9" s="193"/>
      <c r="I9" s="193"/>
      <c r="J9" s="193"/>
    </row>
    <row r="10" spans="1:26">
      <c r="A10" s="193" t="s">
        <v>1529</v>
      </c>
      <c r="B10" s="193" t="s">
        <v>1159</v>
      </c>
      <c r="C10" s="350">
        <f>COUNTA(DATA_PROPERTY_MASTER!$A$5:$A$21)*3*16</f>
        <v>816</v>
      </c>
      <c r="D10" s="350">
        <f>COUNTA(DATA_METRIC_LONG!$A$5:$A$10000)</f>
        <v>816</v>
      </c>
      <c r="E10" s="351" t="str">
        <f>IF(D10=C10,"PASS","FAIL")</f>
        <v>PASS</v>
      </c>
      <c r="F10" s="193" t="s">
        <v>1530</v>
      </c>
      <c r="G10" s="193"/>
      <c r="H10" s="193"/>
      <c r="I10" s="193"/>
      <c r="J10" s="193"/>
    </row>
    <row r="11" spans="1:26">
      <c r="A11" s="193" t="s">
        <v>1531</v>
      </c>
      <c r="B11" s="193" t="s">
        <v>1532</v>
      </c>
      <c r="C11" s="193">
        <v>1</v>
      </c>
      <c r="D11" s="350">
        <f>COUNTIF(STG_SOURCE_INTAKE!$G$5:$G$25,"Received")</f>
        <v>0</v>
      </c>
      <c r="E11" s="351" t="str">
        <f>IF(D11&gt;=C11,"PASS","OPEN")</f>
        <v>OPEN</v>
      </c>
      <c r="F11" s="193" t="s">
        <v>1533</v>
      </c>
      <c r="G11" s="193"/>
      <c r="H11" s="193"/>
      <c r="I11" s="193"/>
      <c r="J11" s="193"/>
    </row>
    <row r="12" spans="1:26">
      <c r="A12" s="193" t="s">
        <v>1534</v>
      </c>
      <c r="B12" s="193" t="s">
        <v>1535</v>
      </c>
      <c r="C12" s="193">
        <v>0</v>
      </c>
      <c r="D12" s="193">
        <v>0</v>
      </c>
      <c r="E12" s="351" t="str">
        <f>IF(D12=C12,"PASS","FAIL")</f>
        <v>PASS</v>
      </c>
      <c r="F12" s="193" t="s">
        <v>1536</v>
      </c>
      <c r="G12" s="193"/>
      <c r="H12" s="193"/>
      <c r="I12" s="193"/>
      <c r="J12" s="193"/>
    </row>
    <row r="13" spans="1:26">
      <c r="A13" s="192" t="s">
        <v>1537</v>
      </c>
      <c r="B13" s="192" t="s">
        <v>1538</v>
      </c>
      <c r="C13" s="192">
        <v>0</v>
      </c>
      <c r="D13" s="386">
        <f ca="1">COUNTIF(DATA_ASSET_CLASSIFICATION!$X$8:$X$24,"Missing override reason")</f>
        <v>0</v>
      </c>
      <c r="E13" s="386" t="str">
        <f ca="1">IF(D13=C13,"PASS","OPEN")</f>
        <v>PASS</v>
      </c>
      <c r="F13" s="192" t="s">
        <v>1539</v>
      </c>
      <c r="G13" s="193"/>
      <c r="H13" s="193"/>
      <c r="I13" s="193"/>
      <c r="J13" s="193"/>
    </row>
    <row r="14" spans="1:26">
      <c r="A14" s="192" t="s">
        <v>1540</v>
      </c>
      <c r="B14" s="192" t="s">
        <v>1541</v>
      </c>
      <c r="C14" s="385">
        <f>COUNTA('00_PORTFOLIO_REGISTER'!$B$5:$B$21)</f>
        <v>17</v>
      </c>
      <c r="D14" s="385" cm="1">
        <f t="array" ref="D14">SUMPRODUCT(--_xlfn.ISFORMULA('00_PORTFOLIO_REGISTER'!$J$5:$J$21))</f>
        <v>17</v>
      </c>
      <c r="E14" s="386" t="str">
        <f>IF(D14=C14,"PASS","FAIL")</f>
        <v>PASS</v>
      </c>
      <c r="F14" s="192" t="s">
        <v>1542</v>
      </c>
      <c r="G14" s="193"/>
      <c r="H14" s="193"/>
      <c r="I14" s="193"/>
      <c r="J14" s="193"/>
    </row>
    <row r="15" spans="1:26" ht="30">
      <c r="A15" s="192" t="s">
        <v>1543</v>
      </c>
      <c r="B15" s="192" t="s">
        <v>1544</v>
      </c>
      <c r="C15" s="192">
        <v>1</v>
      </c>
      <c r="D15" s="385">
        <f>COUNTA(DATA_ASSET_CLASSIFICATION!$A$1)</f>
        <v>1</v>
      </c>
      <c r="E15" s="386" t="str">
        <f>IF(D15=C15,"PASS","FAIL")</f>
        <v>PASS</v>
      </c>
      <c r="F15" s="192" t="s">
        <v>1545</v>
      </c>
      <c r="G15" s="193"/>
      <c r="H15" s="193"/>
      <c r="I15" s="193"/>
      <c r="J15" s="193"/>
    </row>
    <row r="16" spans="1:26" ht="30">
      <c r="A16" s="193" t="s">
        <v>1546</v>
      </c>
      <c r="B16" s="193" t="s">
        <v>1547</v>
      </c>
      <c r="C16" s="350">
        <f>COUNTA(DATA_CAPITAL_FLOW!$F$5:$F$5206)</f>
        <v>5202</v>
      </c>
      <c r="D16" s="350" cm="1">
        <f t="array" ref="D16">SUMPRODUCT(--_xlfn.ISFORMULA(DATA_CAPITAL_FLOW!$H$5:$H$5206))</f>
        <v>5202</v>
      </c>
      <c r="E16" s="351" t="str">
        <f>IF(D16=C16,"PASS","FAIL")</f>
        <v>PASS</v>
      </c>
      <c r="F16" s="193" t="s">
        <v>1548</v>
      </c>
      <c r="G16" s="193"/>
      <c r="H16" s="193"/>
      <c r="I16" s="193"/>
      <c r="J16" s="193"/>
    </row>
    <row r="17" spans="1:26" ht="30">
      <c r="A17" s="193" t="s">
        <v>1549</v>
      </c>
      <c r="B17" s="193" t="s">
        <v>1550</v>
      </c>
      <c r="C17" s="350">
        <f>0</f>
        <v>0</v>
      </c>
      <c r="D17" s="350">
        <f>COUNTIF(OUT_CAPITAL_FLOW_SUMMARY!$B$29:$R$29,"CHECK")</f>
        <v>0</v>
      </c>
      <c r="E17" s="351" t="str">
        <f>IF(D17=C17,"PASS","OPEN")</f>
        <v>PASS</v>
      </c>
      <c r="F17" s="193" t="s">
        <v>1551</v>
      </c>
      <c r="G17" s="193"/>
      <c r="H17" s="193"/>
      <c r="I17" s="193"/>
      <c r="J17" s="193"/>
    </row>
    <row r="18" spans="1:26" ht="30">
      <c r="A18" s="193" t="s">
        <v>1552</v>
      </c>
      <c r="B18" s="193" t="s">
        <v>1553</v>
      </c>
      <c r="C18" s="350">
        <f>0</f>
        <v>0</v>
      </c>
      <c r="D18" s="350">
        <f>COUNTIF(DATA_CAPITAL_FLOW!$J$5:$J$293,"Negative net refi position")</f>
        <v>3</v>
      </c>
      <c r="E18" s="350" t="str">
        <f>IF(D18&gt;=C18,"PASS","PASS")</f>
        <v>PASS</v>
      </c>
      <c r="F18" s="193" t="s">
        <v>1554</v>
      </c>
      <c r="G18" s="193"/>
      <c r="H18" s="193"/>
      <c r="I18" s="193"/>
      <c r="J18" s="193"/>
    </row>
    <row r="19" spans="1:26" ht="30">
      <c r="A19" s="193" t="s">
        <v>1555</v>
      </c>
      <c r="B19" s="193" t="s">
        <v>1556</v>
      </c>
      <c r="C19" s="193" t="s">
        <v>1557</v>
      </c>
      <c r="D19" s="351" t="str">
        <f ca="1">IF(ISNUMBER(SEARCH("IFERROR",_xludf.FORMULATEXT('00_PORTFOLIO ROLLUP'!E13))),"Guarded","Missing guard")</f>
        <v>Missing guard</v>
      </c>
      <c r="E19" s="351" t="str">
        <f ca="1">IF(D19=C19,"PASS","OPEN")</f>
        <v>OPEN</v>
      </c>
      <c r="F19" s="193" t="s">
        <v>1558</v>
      </c>
      <c r="G19" s="193"/>
      <c r="H19" s="193"/>
      <c r="I19" s="193"/>
      <c r="J19" s="193"/>
      <c r="K19" s="193"/>
      <c r="L19" s="193"/>
      <c r="M19" s="193"/>
      <c r="N19" s="193"/>
      <c r="O19" s="193"/>
      <c r="P19" s="193"/>
      <c r="Q19" s="193"/>
      <c r="R19" s="193"/>
      <c r="S19" s="193"/>
      <c r="T19" s="193"/>
      <c r="U19" s="193"/>
      <c r="V19" s="193"/>
      <c r="W19" s="193"/>
      <c r="X19" s="193"/>
      <c r="Y19" s="193"/>
      <c r="Z19" s="193"/>
    </row>
    <row r="20" spans="1:26" ht="30">
      <c r="A20" s="193" t="s">
        <v>1559</v>
      </c>
      <c r="B20" s="193" t="s">
        <v>1560</v>
      </c>
      <c r="C20" s="193">
        <v>0</v>
      </c>
      <c r="D20" s="350">
        <f ca="1">DATA_AGGREGATION_AUDIT!B2</f>
        <v>0</v>
      </c>
      <c r="E20" s="351" t="str">
        <f ca="1">IF(D20=C20,"PASS","REVIEW")</f>
        <v>PASS</v>
      </c>
      <c r="F20" s="351" t="s">
        <v>1561</v>
      </c>
      <c r="G20" s="193"/>
      <c r="H20" s="193"/>
      <c r="I20" s="193"/>
      <c r="J20" s="193"/>
      <c r="K20" s="193"/>
      <c r="L20" s="193"/>
      <c r="M20" s="193"/>
      <c r="N20" s="193"/>
      <c r="O20" s="193"/>
      <c r="P20" s="193"/>
      <c r="Q20" s="193"/>
      <c r="R20" s="193"/>
      <c r="S20" s="193"/>
      <c r="T20" s="193"/>
      <c r="U20" s="193"/>
      <c r="V20" s="193"/>
      <c r="W20" s="193"/>
      <c r="X20" s="193"/>
      <c r="Y20" s="193"/>
      <c r="Z20" s="193"/>
    </row>
    <row r="21" spans="1:26" ht="30">
      <c r="A21" s="193" t="s">
        <v>1562</v>
      </c>
      <c r="B21" s="193" t="s">
        <v>1563</v>
      </c>
      <c r="C21" s="193">
        <v>0</v>
      </c>
      <c r="D21" s="350">
        <f ca="1">DATA_AGGREGATION_AUDIT!B3</f>
        <v>0</v>
      </c>
      <c r="E21" s="350" t="str">
        <f ca="1">IF(D21=C21,"PASS","INFO")</f>
        <v>PASS</v>
      </c>
      <c r="F21" s="193" t="s">
        <v>1564</v>
      </c>
      <c r="G21" s="193"/>
      <c r="H21" s="193"/>
      <c r="I21" s="193"/>
      <c r="J21" s="193"/>
      <c r="K21" s="193"/>
      <c r="L21" s="193"/>
      <c r="M21" s="193"/>
      <c r="N21" s="193"/>
      <c r="O21" s="193"/>
      <c r="P21" s="193"/>
      <c r="Q21" s="193"/>
      <c r="R21" s="193"/>
      <c r="S21" s="193"/>
      <c r="T21" s="193"/>
      <c r="U21" s="193"/>
      <c r="V21" s="193"/>
      <c r="W21" s="193"/>
      <c r="X21" s="193"/>
      <c r="Y21" s="193"/>
      <c r="Z21" s="193"/>
    </row>
    <row r="22" spans="1:26">
      <c r="A22" s="193" t="s">
        <v>1565</v>
      </c>
      <c r="B22" s="193" t="s">
        <v>1566</v>
      </c>
      <c r="C22" s="193">
        <v>1</v>
      </c>
      <c r="D22" s="350">
        <f>IF(COUNTA(DATA_AGGREGATION_AUDIT!A5:Z5)&gt;0,1,0)</f>
        <v>1</v>
      </c>
      <c r="E22" s="351" t="str">
        <f>IF(D22=C22,"PASS","OPEN")</f>
        <v>PASS</v>
      </c>
      <c r="F22" s="193" t="s">
        <v>1567</v>
      </c>
      <c r="G22" s="193"/>
      <c r="H22" s="193"/>
      <c r="I22" s="193"/>
      <c r="J22" s="193"/>
      <c r="K22" s="193"/>
      <c r="L22" s="193"/>
      <c r="M22" s="193"/>
      <c r="N22" s="193"/>
      <c r="O22" s="193"/>
      <c r="P22" s="193"/>
      <c r="Q22" s="193"/>
      <c r="R22" s="193"/>
      <c r="S22" s="193"/>
      <c r="T22" s="193"/>
      <c r="U22" s="193"/>
      <c r="V22" s="193"/>
      <c r="W22" s="193"/>
      <c r="X22" s="193"/>
      <c r="Y22" s="193"/>
      <c r="Z22" s="193"/>
    </row>
    <row r="23" spans="1:26" ht="30">
      <c r="A23" s="193" t="s">
        <v>1568</v>
      </c>
      <c r="B23" s="193" t="s">
        <v>626</v>
      </c>
      <c r="C23" s="193" t="s">
        <v>627</v>
      </c>
      <c r="D23" s="350">
        <f>COUNTA(INPUT_CONTROL_MAP!$A$1)</f>
        <v>1</v>
      </c>
      <c r="E23" s="351" t="str">
        <f>IF(D23=C23,"PASS","FAIL")</f>
        <v>FAIL</v>
      </c>
      <c r="F23" s="193" t="s">
        <v>1569</v>
      </c>
      <c r="G23" s="193"/>
      <c r="H23" s="193"/>
      <c r="I23" s="193"/>
      <c r="J23" s="193"/>
    </row>
    <row r="24" spans="1:26" ht="30">
      <c r="A24" s="193" t="s">
        <v>1570</v>
      </c>
      <c r="B24" s="193" t="s">
        <v>1571</v>
      </c>
      <c r="C24" s="193" t="s">
        <v>524</v>
      </c>
      <c r="D24" s="350" t="str">
        <f ca="1">IF(ISNUMBER(SEARCH("DATA_PROPERTY_MASTER",_xludf.FORMULATEXT(DATA_AGGREGATION_AUDIT!D6))),"Yes","No")</f>
        <v>No</v>
      </c>
      <c r="E24" s="351" t="str">
        <f ca="1">IF(D24=C24,"PASS","FAIL")</f>
        <v>FAIL</v>
      </c>
      <c r="F24" s="193" t="s">
        <v>1572</v>
      </c>
      <c r="G24" s="193"/>
      <c r="H24" s="193"/>
      <c r="I24" s="193"/>
      <c r="J24" s="193"/>
    </row>
    <row r="25" spans="1:26" ht="30">
      <c r="A25" s="193" t="s">
        <v>1573</v>
      </c>
      <c r="B25" s="193" t="s">
        <v>1574</v>
      </c>
      <c r="C25" s="193" t="s">
        <v>627</v>
      </c>
      <c r="D25" s="350">
        <f>COUNTIF(MAP_FIELD_MAPPING!$G$6:$G$25,"Not yet live")</f>
        <v>0</v>
      </c>
      <c r="E25" s="351" t="str">
        <f>IF(D25&gt;=C25,"PASS","OPEN")</f>
        <v>OPEN</v>
      </c>
      <c r="F25" s="193" t="s">
        <v>1575</v>
      </c>
      <c r="G25" s="193"/>
      <c r="H25" s="193"/>
      <c r="I25" s="193"/>
      <c r="J25" s="193"/>
    </row>
    <row r="26" spans="1:26" ht="30">
      <c r="A26" s="215" t="s">
        <v>1576</v>
      </c>
      <c r="B26" s="215" t="s">
        <v>1577</v>
      </c>
      <c r="C26" s="215" t="s">
        <v>627</v>
      </c>
      <c r="D26" s="353">
        <f>COUNTIF(INPUT_CONTROL_MAP!$A$20:$A$30,"LEGACY ENGINE")</f>
        <v>5</v>
      </c>
      <c r="E26" s="354" t="str">
        <f>IF(D26&gt;=C26,"PASS","FAIL")</f>
        <v>FAIL</v>
      </c>
      <c r="F26" s="215" t="s">
        <v>1578</v>
      </c>
      <c r="G26" s="193"/>
      <c r="H26" s="193"/>
      <c r="I26" s="193"/>
      <c r="J26" s="193"/>
    </row>
    <row r="27" spans="1:26" ht="30">
      <c r="A27" s="215" t="s">
        <v>1570</v>
      </c>
      <c r="B27" s="215" t="s">
        <v>1579</v>
      </c>
      <c r="C27" s="215" t="s">
        <v>778</v>
      </c>
      <c r="D27" s="353" t="str">
        <f>"DATA_ASSET_CLASSIFICATION"</f>
        <v>DATA_ASSET_CLASSIFICATION</v>
      </c>
      <c r="E27" s="354" t="str">
        <f ca="1">IF(ISNUMBER(SEARCH(D27,_xludf.FORMULATEXT('00_INVESTOR SUMMARY'!B5))),"PASS","FAIL")</f>
        <v>FAIL</v>
      </c>
      <c r="F27" s="215" t="s">
        <v>1580</v>
      </c>
      <c r="G27" s="193"/>
      <c r="H27" s="193"/>
      <c r="I27" s="193"/>
      <c r="J27" s="193"/>
    </row>
    <row r="28" spans="1:26" ht="30">
      <c r="A28" s="215" t="s">
        <v>1573</v>
      </c>
      <c r="B28" s="215" t="s">
        <v>1581</v>
      </c>
      <c r="C28" s="215" t="s">
        <v>1582</v>
      </c>
      <c r="D28" s="354" t="str">
        <f>IF(ISREF(LEGACY_INVESTOR_SUMMARY!B2),"Preserved","Missing")</f>
        <v>Preserved</v>
      </c>
      <c r="E28" s="354" t="str">
        <f>IF(D28=C28,"PASS","FAIL")</f>
        <v>PASS</v>
      </c>
      <c r="F28" s="215" t="s">
        <v>1583</v>
      </c>
      <c r="G28" s="193"/>
      <c r="H28" s="193"/>
      <c r="I28" s="193"/>
      <c r="J28" s="193"/>
    </row>
    <row r="29" spans="1:26" ht="30">
      <c r="A29" s="215" t="s">
        <v>1576</v>
      </c>
      <c r="B29" s="215" t="s">
        <v>1584</v>
      </c>
      <c r="C29" s="353">
        <f>COUNTA(DATA_ASSET_CLASSIFICATION!$A$8:$A$24)</f>
        <v>17</v>
      </c>
      <c r="D29" s="353">
        <f>COUNTA('00_INVESTOR SUMMARY'!$A$38:$A$54)</f>
        <v>17</v>
      </c>
      <c r="E29" s="354" t="str">
        <f>IF(D29=C29,"PASS","FAIL")</f>
        <v>PASS</v>
      </c>
      <c r="F29" s="215" t="s">
        <v>1585</v>
      </c>
      <c r="G29" s="193"/>
      <c r="H29" s="193"/>
      <c r="I29" s="193"/>
      <c r="J29" s="193"/>
    </row>
    <row r="30" spans="1:26">
      <c r="A30" s="193"/>
      <c r="B30" s="193"/>
      <c r="C30" s="193"/>
      <c r="D30" s="193"/>
      <c r="E30" s="193"/>
      <c r="F30" s="193"/>
      <c r="G30" s="193"/>
      <c r="H30" s="193"/>
      <c r="I30" s="193"/>
      <c r="J30" s="193"/>
    </row>
    <row r="31" spans="1:26">
      <c r="A31" s="193"/>
      <c r="B31" s="193"/>
      <c r="C31" s="193"/>
      <c r="D31" s="193"/>
      <c r="E31" s="193"/>
      <c r="F31" s="193"/>
      <c r="G31" s="193"/>
      <c r="H31" s="193"/>
      <c r="I31" s="193"/>
      <c r="J31" s="193"/>
    </row>
    <row r="32" spans="1:26">
      <c r="A32" s="193"/>
      <c r="B32" s="193"/>
      <c r="C32" s="193"/>
      <c r="D32" s="193"/>
      <c r="E32" s="193"/>
      <c r="F32" s="193"/>
      <c r="G32" s="193"/>
      <c r="H32" s="193"/>
      <c r="I32" s="193"/>
      <c r="J32" s="193"/>
    </row>
    <row r="33" spans="1:10">
      <c r="A33" s="193"/>
      <c r="B33" s="193"/>
      <c r="C33" s="193"/>
      <c r="D33" s="193"/>
      <c r="E33" s="193"/>
      <c r="F33" s="193"/>
      <c r="G33" s="193"/>
      <c r="H33" s="193"/>
      <c r="I33" s="193"/>
      <c r="J33" s="193"/>
    </row>
    <row r="34" spans="1:10">
      <c r="A34" s="193"/>
      <c r="B34" s="193"/>
      <c r="C34" s="193"/>
      <c r="D34" s="193"/>
      <c r="E34" s="193"/>
      <c r="F34" s="193"/>
      <c r="G34" s="193"/>
      <c r="H34" s="193"/>
      <c r="I34" s="193"/>
      <c r="J34" s="193"/>
    </row>
    <row r="35" spans="1:10">
      <c r="A35" s="193"/>
      <c r="B35" s="193"/>
      <c r="C35" s="193"/>
      <c r="D35" s="193"/>
      <c r="E35" s="193"/>
      <c r="F35" s="193"/>
      <c r="G35" s="193"/>
      <c r="H35" s="193"/>
      <c r="I35" s="193"/>
      <c r="J35" s="193"/>
    </row>
    <row r="36" spans="1:10">
      <c r="A36" s="193"/>
      <c r="B36" s="193"/>
      <c r="C36" s="193"/>
      <c r="D36" s="193"/>
      <c r="E36" s="193"/>
      <c r="F36" s="193"/>
      <c r="G36" s="193"/>
      <c r="H36" s="193"/>
      <c r="I36" s="193"/>
      <c r="J36" s="193"/>
    </row>
    <row r="37" spans="1:10">
      <c r="A37" s="193"/>
      <c r="B37" s="193"/>
      <c r="C37" s="193"/>
      <c r="D37" s="193"/>
      <c r="E37" s="193"/>
      <c r="F37" s="193"/>
      <c r="G37" s="193"/>
      <c r="H37" s="193"/>
      <c r="I37" s="193"/>
      <c r="J37" s="193"/>
    </row>
    <row r="38" spans="1:10">
      <c r="A38" s="193"/>
      <c r="B38" s="193"/>
      <c r="C38" s="193"/>
      <c r="D38" s="193"/>
      <c r="E38" s="193"/>
      <c r="F38" s="193"/>
      <c r="G38" s="193"/>
      <c r="H38" s="193"/>
      <c r="I38" s="193"/>
      <c r="J38" s="193"/>
    </row>
    <row r="39" spans="1:10">
      <c r="A39" s="193"/>
      <c r="B39" s="193"/>
      <c r="C39" s="193"/>
      <c r="D39" s="193"/>
      <c r="E39" s="193"/>
      <c r="F39" s="193"/>
      <c r="G39" s="193"/>
      <c r="H39" s="193"/>
      <c r="I39" s="193"/>
      <c r="J39" s="193"/>
    </row>
    <row r="40" spans="1:10">
      <c r="A40" s="193"/>
      <c r="B40" s="193"/>
      <c r="C40" s="193"/>
      <c r="D40" s="193"/>
      <c r="E40" s="193"/>
      <c r="F40" s="193"/>
      <c r="G40" s="193"/>
      <c r="H40" s="193"/>
      <c r="I40" s="193"/>
      <c r="J40" s="193"/>
    </row>
    <row r="41" spans="1:10">
      <c r="A41" s="193"/>
      <c r="B41" s="193"/>
      <c r="C41" s="193"/>
      <c r="D41" s="193"/>
      <c r="E41" s="193"/>
      <c r="F41" s="193"/>
      <c r="G41" s="193"/>
      <c r="H41" s="193"/>
      <c r="I41" s="193"/>
      <c r="J41" s="193"/>
    </row>
    <row r="42" spans="1:10">
      <c r="A42" s="193"/>
      <c r="B42" s="193"/>
      <c r="C42" s="193"/>
      <c r="D42" s="193"/>
      <c r="E42" s="193"/>
      <c r="F42" s="193"/>
      <c r="G42" s="193"/>
      <c r="H42" s="193"/>
      <c r="I42" s="193"/>
      <c r="J42" s="193"/>
    </row>
    <row r="43" spans="1:10">
      <c r="A43" s="193"/>
      <c r="B43" s="193"/>
      <c r="C43" s="193"/>
      <c r="D43" s="193"/>
      <c r="E43" s="193"/>
      <c r="F43" s="193"/>
      <c r="G43" s="193"/>
      <c r="H43" s="193"/>
      <c r="I43" s="193"/>
      <c r="J43" s="193"/>
    </row>
    <row r="44" spans="1:10">
      <c r="A44" s="193"/>
      <c r="B44" s="193"/>
      <c r="C44" s="193"/>
      <c r="D44" s="193"/>
      <c r="E44" s="193"/>
      <c r="F44" s="193"/>
      <c r="G44" s="193"/>
      <c r="H44" s="193"/>
      <c r="I44" s="193"/>
      <c r="J44" s="193"/>
    </row>
    <row r="45" spans="1:10">
      <c r="A45" s="193"/>
      <c r="B45" s="193"/>
      <c r="C45" s="193"/>
      <c r="D45" s="193"/>
      <c r="E45" s="193"/>
      <c r="F45" s="193"/>
      <c r="G45" s="193"/>
      <c r="H45" s="193"/>
      <c r="I45" s="193"/>
      <c r="J45" s="193"/>
    </row>
    <row r="46" spans="1:10">
      <c r="A46" s="193"/>
      <c r="B46" s="193"/>
      <c r="C46" s="193"/>
      <c r="D46" s="193"/>
      <c r="E46" s="193"/>
      <c r="F46" s="193"/>
      <c r="G46" s="193"/>
      <c r="H46" s="193"/>
      <c r="I46" s="193"/>
      <c r="J46" s="193"/>
    </row>
    <row r="47" spans="1:10">
      <c r="A47" s="193"/>
      <c r="B47" s="193"/>
      <c r="C47" s="193"/>
      <c r="D47" s="193"/>
      <c r="E47" s="193"/>
      <c r="F47" s="193"/>
      <c r="G47" s="193"/>
      <c r="H47" s="193"/>
      <c r="I47" s="193"/>
      <c r="J47" s="193"/>
    </row>
    <row r="48" spans="1:10">
      <c r="A48" s="193"/>
      <c r="B48" s="193"/>
      <c r="C48" s="193"/>
      <c r="D48" s="193"/>
      <c r="E48" s="193"/>
      <c r="F48" s="193"/>
      <c r="G48" s="193"/>
      <c r="H48" s="193"/>
      <c r="I48" s="193"/>
      <c r="J48" s="193"/>
    </row>
    <row r="49" spans="1:10">
      <c r="A49" s="193"/>
      <c r="B49" s="193"/>
      <c r="C49" s="193"/>
      <c r="D49" s="193"/>
      <c r="E49" s="193"/>
      <c r="F49" s="193"/>
      <c r="G49" s="193"/>
      <c r="H49" s="193"/>
      <c r="I49" s="193"/>
      <c r="J49" s="193"/>
    </row>
    <row r="50" spans="1:10">
      <c r="A50" s="193"/>
      <c r="B50" s="193"/>
      <c r="C50" s="193"/>
      <c r="D50" s="193"/>
      <c r="E50" s="193"/>
      <c r="F50" s="193"/>
      <c r="G50" s="193"/>
      <c r="H50" s="193"/>
      <c r="I50" s="193"/>
      <c r="J50" s="193"/>
    </row>
    <row r="51" spans="1:10">
      <c r="A51" s="193"/>
      <c r="B51" s="193"/>
      <c r="C51" s="193"/>
      <c r="D51" s="193"/>
      <c r="E51" s="193"/>
      <c r="F51" s="193"/>
      <c r="G51" s="193"/>
      <c r="H51" s="193"/>
      <c r="I51" s="193"/>
      <c r="J51" s="193"/>
    </row>
    <row r="52" spans="1:10">
      <c r="A52" s="193"/>
      <c r="B52" s="193"/>
      <c r="C52" s="193"/>
      <c r="D52" s="193"/>
      <c r="E52" s="193"/>
      <c r="F52" s="193"/>
      <c r="G52" s="193"/>
      <c r="H52" s="193"/>
      <c r="I52" s="193"/>
      <c r="J52" s="193"/>
    </row>
    <row r="53" spans="1:10">
      <c r="A53" s="193"/>
      <c r="B53" s="193"/>
      <c r="C53" s="193"/>
      <c r="D53" s="193"/>
      <c r="E53" s="193"/>
      <c r="F53" s="193"/>
      <c r="G53" s="193"/>
      <c r="H53" s="193"/>
      <c r="I53" s="193"/>
      <c r="J53" s="193"/>
    </row>
    <row r="54" spans="1:10">
      <c r="A54" s="193"/>
      <c r="B54" s="193"/>
      <c r="C54" s="193"/>
      <c r="D54" s="193"/>
      <c r="E54" s="193"/>
      <c r="F54" s="193"/>
      <c r="G54" s="193"/>
      <c r="H54" s="193"/>
      <c r="I54" s="193"/>
      <c r="J54" s="193"/>
    </row>
    <row r="55" spans="1:10">
      <c r="A55" s="193"/>
      <c r="B55" s="193"/>
      <c r="C55" s="193"/>
      <c r="D55" s="193"/>
      <c r="E55" s="193"/>
      <c r="F55" s="193"/>
      <c r="G55" s="193"/>
      <c r="H55" s="193"/>
      <c r="I55" s="193"/>
      <c r="J55" s="193"/>
    </row>
    <row r="56" spans="1:10">
      <c r="A56" s="193"/>
      <c r="B56" s="193"/>
      <c r="C56" s="193"/>
      <c r="D56" s="193"/>
      <c r="E56" s="193"/>
      <c r="F56" s="193"/>
      <c r="G56" s="193"/>
      <c r="H56" s="193"/>
      <c r="I56" s="193"/>
      <c r="J56" s="193"/>
    </row>
    <row r="57" spans="1:10">
      <c r="A57" s="193"/>
      <c r="B57" s="193"/>
      <c r="C57" s="193"/>
      <c r="D57" s="193"/>
      <c r="E57" s="193"/>
      <c r="F57" s="193"/>
      <c r="G57" s="193"/>
      <c r="H57" s="193"/>
      <c r="I57" s="193"/>
      <c r="J57" s="193"/>
    </row>
    <row r="58" spans="1:10">
      <c r="A58" s="193"/>
      <c r="B58" s="193"/>
      <c r="C58" s="193"/>
      <c r="D58" s="193"/>
      <c r="E58" s="193"/>
      <c r="F58" s="193"/>
      <c r="G58" s="193"/>
      <c r="H58" s="193"/>
      <c r="I58" s="193"/>
      <c r="J58" s="193"/>
    </row>
    <row r="59" spans="1:10">
      <c r="A59" s="193"/>
      <c r="B59" s="193"/>
      <c r="C59" s="193"/>
      <c r="D59" s="193"/>
      <c r="E59" s="193"/>
      <c r="F59" s="193"/>
      <c r="G59" s="193"/>
      <c r="H59" s="193"/>
      <c r="I59" s="193"/>
      <c r="J59" s="193"/>
    </row>
    <row r="60" spans="1:10">
      <c r="A60" s="193"/>
      <c r="B60" s="193"/>
      <c r="C60" s="193"/>
      <c r="D60" s="193"/>
      <c r="E60" s="193"/>
      <c r="F60" s="193"/>
      <c r="G60" s="193"/>
      <c r="H60" s="193"/>
      <c r="I60" s="193"/>
      <c r="J60" s="193"/>
    </row>
    <row r="61" spans="1:10">
      <c r="A61" s="193"/>
      <c r="B61" s="193"/>
      <c r="C61" s="193"/>
      <c r="D61" s="193"/>
      <c r="E61" s="193"/>
      <c r="F61" s="193"/>
      <c r="G61" s="193"/>
      <c r="H61" s="193"/>
      <c r="I61" s="193"/>
      <c r="J61" s="193"/>
    </row>
    <row r="62" spans="1:10">
      <c r="A62" s="193"/>
      <c r="B62" s="193"/>
      <c r="C62" s="193"/>
      <c r="D62" s="193"/>
      <c r="E62" s="193"/>
      <c r="F62" s="193"/>
      <c r="G62" s="193"/>
      <c r="H62" s="193"/>
      <c r="I62" s="193"/>
      <c r="J62" s="193"/>
    </row>
    <row r="63" spans="1:10">
      <c r="A63" s="193"/>
      <c r="B63" s="193"/>
      <c r="C63" s="193"/>
      <c r="D63" s="193"/>
      <c r="E63" s="193"/>
      <c r="F63" s="193"/>
      <c r="G63" s="193"/>
      <c r="H63" s="193"/>
      <c r="I63" s="193"/>
      <c r="J63" s="193"/>
    </row>
    <row r="64" spans="1:10">
      <c r="A64" s="193"/>
      <c r="B64" s="193"/>
      <c r="C64" s="193"/>
      <c r="D64" s="193"/>
      <c r="E64" s="193"/>
      <c r="F64" s="193"/>
      <c r="G64" s="193"/>
      <c r="H64" s="193"/>
      <c r="I64" s="193"/>
      <c r="J64" s="193"/>
    </row>
    <row r="65" spans="1:10">
      <c r="A65" s="193"/>
      <c r="B65" s="193"/>
      <c r="C65" s="193"/>
      <c r="D65" s="193"/>
      <c r="E65" s="193"/>
      <c r="F65" s="193"/>
      <c r="G65" s="193"/>
      <c r="H65" s="193"/>
      <c r="I65" s="193"/>
      <c r="J65" s="193"/>
    </row>
    <row r="66" spans="1:10">
      <c r="A66" s="193"/>
      <c r="B66" s="193"/>
      <c r="C66" s="193"/>
      <c r="D66" s="193"/>
      <c r="E66" s="193"/>
      <c r="F66" s="193"/>
      <c r="G66" s="193"/>
      <c r="H66" s="193"/>
      <c r="I66" s="193"/>
      <c r="J66" s="193"/>
    </row>
    <row r="67" spans="1:10">
      <c r="A67" s="193"/>
      <c r="B67" s="193"/>
      <c r="C67" s="193"/>
      <c r="D67" s="193"/>
      <c r="E67" s="193"/>
      <c r="F67" s="193"/>
      <c r="G67" s="193"/>
      <c r="H67" s="193"/>
      <c r="I67" s="193"/>
      <c r="J67" s="193"/>
    </row>
    <row r="68" spans="1:10">
      <c r="A68" s="193"/>
      <c r="B68" s="193"/>
      <c r="C68" s="193"/>
      <c r="D68" s="193"/>
      <c r="E68" s="193"/>
      <c r="F68" s="193"/>
      <c r="G68" s="193"/>
      <c r="H68" s="193"/>
      <c r="I68" s="193"/>
      <c r="J68" s="193"/>
    </row>
    <row r="69" spans="1:10">
      <c r="A69" s="193"/>
      <c r="B69" s="193"/>
      <c r="C69" s="193"/>
      <c r="D69" s="193"/>
      <c r="E69" s="193"/>
      <c r="F69" s="193"/>
      <c r="G69" s="193"/>
      <c r="H69" s="193"/>
      <c r="I69" s="193"/>
      <c r="J69" s="193"/>
    </row>
    <row r="70" spans="1:10">
      <c r="A70" s="193"/>
      <c r="B70" s="193"/>
      <c r="C70" s="193"/>
      <c r="D70" s="193"/>
      <c r="E70" s="193"/>
      <c r="F70" s="193"/>
      <c r="G70" s="193"/>
      <c r="H70" s="193"/>
      <c r="I70" s="193"/>
      <c r="J70" s="193"/>
    </row>
    <row r="71" spans="1:10">
      <c r="A71" s="193"/>
      <c r="B71" s="193"/>
      <c r="C71" s="193"/>
      <c r="D71" s="193"/>
      <c r="E71" s="193"/>
      <c r="F71" s="193"/>
      <c r="G71" s="193"/>
      <c r="H71" s="193"/>
      <c r="I71" s="193"/>
      <c r="J71" s="193"/>
    </row>
    <row r="72" spans="1:10">
      <c r="A72" s="193"/>
      <c r="B72" s="193"/>
      <c r="C72" s="193"/>
      <c r="D72" s="193"/>
      <c r="E72" s="193"/>
      <c r="F72" s="193"/>
      <c r="G72" s="193"/>
      <c r="H72" s="193"/>
      <c r="I72" s="193"/>
      <c r="J72" s="193"/>
    </row>
    <row r="73" spans="1:10">
      <c r="A73" s="193"/>
      <c r="B73" s="193"/>
      <c r="C73" s="193"/>
      <c r="D73" s="193"/>
      <c r="E73" s="193"/>
      <c r="F73" s="193"/>
      <c r="G73" s="193"/>
      <c r="H73" s="193"/>
      <c r="I73" s="193"/>
      <c r="J73" s="193"/>
    </row>
    <row r="74" spans="1:10">
      <c r="A74" s="193"/>
      <c r="B74" s="193"/>
      <c r="C74" s="193"/>
      <c r="D74" s="193"/>
      <c r="E74" s="193"/>
      <c r="F74" s="193"/>
      <c r="G74" s="193"/>
      <c r="H74" s="193"/>
      <c r="I74" s="193"/>
      <c r="J74" s="193"/>
    </row>
    <row r="75" spans="1:10">
      <c r="A75" s="193"/>
      <c r="B75" s="193"/>
      <c r="C75" s="193"/>
      <c r="D75" s="193"/>
      <c r="E75" s="193"/>
      <c r="F75" s="193"/>
      <c r="G75" s="193"/>
      <c r="H75" s="193"/>
      <c r="I75" s="193"/>
      <c r="J75" s="193"/>
    </row>
    <row r="76" spans="1:10">
      <c r="A76" s="193"/>
      <c r="B76" s="193"/>
      <c r="C76" s="193"/>
      <c r="D76" s="193"/>
      <c r="E76" s="193"/>
      <c r="F76" s="193"/>
      <c r="G76" s="193"/>
      <c r="H76" s="193"/>
      <c r="I76" s="193"/>
      <c r="J76" s="193"/>
    </row>
    <row r="77" spans="1:10">
      <c r="A77" s="193"/>
      <c r="B77" s="193"/>
      <c r="C77" s="193"/>
      <c r="D77" s="193"/>
      <c r="E77" s="193"/>
      <c r="F77" s="193"/>
      <c r="G77" s="193"/>
      <c r="H77" s="193"/>
      <c r="I77" s="193"/>
      <c r="J77" s="193"/>
    </row>
    <row r="78" spans="1:10">
      <c r="A78" s="193"/>
      <c r="B78" s="193"/>
      <c r="C78" s="193"/>
      <c r="D78" s="193"/>
      <c r="E78" s="193"/>
      <c r="F78" s="193"/>
      <c r="G78" s="193"/>
      <c r="H78" s="193"/>
      <c r="I78" s="193"/>
      <c r="J78" s="193"/>
    </row>
    <row r="79" spans="1:10">
      <c r="A79" s="193"/>
      <c r="B79" s="193"/>
      <c r="C79" s="193"/>
      <c r="D79" s="193"/>
      <c r="E79" s="193"/>
      <c r="F79" s="193"/>
      <c r="G79" s="193"/>
      <c r="H79" s="193"/>
      <c r="I79" s="193"/>
      <c r="J79" s="193"/>
    </row>
    <row r="80" spans="1:10">
      <c r="A80" s="193"/>
      <c r="B80" s="193"/>
      <c r="C80" s="193"/>
      <c r="D80" s="193"/>
      <c r="E80" s="193"/>
      <c r="F80" s="193"/>
      <c r="G80" s="193"/>
      <c r="H80" s="193"/>
      <c r="I80" s="193"/>
      <c r="J80" s="193"/>
    </row>
    <row r="81" spans="1:10">
      <c r="A81" s="193"/>
      <c r="B81" s="193"/>
      <c r="C81" s="193"/>
      <c r="D81" s="193"/>
      <c r="E81" s="193"/>
      <c r="F81" s="193"/>
      <c r="G81" s="193"/>
      <c r="H81" s="193"/>
      <c r="I81" s="193"/>
      <c r="J81" s="193"/>
    </row>
    <row r="82" spans="1:10">
      <c r="A82" s="193"/>
      <c r="B82" s="193"/>
      <c r="C82" s="193"/>
      <c r="D82" s="193"/>
      <c r="E82" s="193"/>
      <c r="F82" s="193"/>
      <c r="G82" s="193"/>
      <c r="H82" s="193"/>
      <c r="I82" s="193"/>
      <c r="J82" s="193"/>
    </row>
    <row r="83" spans="1:10">
      <c r="A83" s="193"/>
      <c r="B83" s="193"/>
      <c r="C83" s="193"/>
      <c r="D83" s="193"/>
      <c r="E83" s="193"/>
      <c r="F83" s="193"/>
      <c r="G83" s="193"/>
      <c r="H83" s="193"/>
      <c r="I83" s="193"/>
      <c r="J83" s="193"/>
    </row>
    <row r="84" spans="1:10">
      <c r="A84" s="193"/>
      <c r="B84" s="193"/>
      <c r="C84" s="193"/>
      <c r="D84" s="193"/>
      <c r="E84" s="193"/>
      <c r="F84" s="193"/>
      <c r="G84" s="193"/>
      <c r="H84" s="193"/>
      <c r="I84" s="193"/>
      <c r="J84" s="193"/>
    </row>
    <row r="85" spans="1:10">
      <c r="A85" s="193"/>
      <c r="B85" s="193"/>
      <c r="C85" s="193"/>
      <c r="D85" s="193"/>
      <c r="E85" s="193"/>
      <c r="F85" s="193"/>
      <c r="G85" s="193"/>
      <c r="H85" s="193"/>
      <c r="I85" s="193"/>
      <c r="J85" s="193"/>
    </row>
    <row r="86" spans="1:10">
      <c r="A86" s="193"/>
      <c r="B86" s="193"/>
      <c r="C86" s="193"/>
      <c r="D86" s="193"/>
      <c r="E86" s="193"/>
      <c r="F86" s="193"/>
      <c r="G86" s="193"/>
      <c r="H86" s="193"/>
      <c r="I86" s="193"/>
      <c r="J86" s="193"/>
    </row>
    <row r="87" spans="1:10">
      <c r="A87" s="193"/>
      <c r="B87" s="193"/>
      <c r="C87" s="193"/>
      <c r="D87" s="193"/>
      <c r="E87" s="193"/>
      <c r="F87" s="193"/>
      <c r="G87" s="193"/>
      <c r="H87" s="193"/>
      <c r="I87" s="193"/>
      <c r="J87" s="193"/>
    </row>
    <row r="88" spans="1:10">
      <c r="A88" s="193"/>
      <c r="B88" s="193"/>
      <c r="C88" s="193"/>
      <c r="D88" s="193"/>
      <c r="E88" s="193"/>
      <c r="F88" s="193"/>
      <c r="G88" s="193"/>
      <c r="H88" s="193"/>
      <c r="I88" s="193"/>
      <c r="J88" s="193"/>
    </row>
    <row r="89" spans="1:10">
      <c r="A89" s="193"/>
      <c r="B89" s="193"/>
      <c r="C89" s="193"/>
      <c r="D89" s="193"/>
      <c r="E89" s="193"/>
      <c r="F89" s="193"/>
      <c r="G89" s="193"/>
      <c r="H89" s="193"/>
      <c r="I89" s="193"/>
      <c r="J89" s="193"/>
    </row>
    <row r="90" spans="1:10">
      <c r="A90" s="193"/>
      <c r="B90" s="193"/>
      <c r="C90" s="193"/>
      <c r="D90" s="193"/>
      <c r="E90" s="193"/>
      <c r="F90" s="193"/>
      <c r="G90" s="193"/>
      <c r="H90" s="193"/>
      <c r="I90" s="193"/>
      <c r="J90" s="193"/>
    </row>
    <row r="91" spans="1:10">
      <c r="A91" s="193"/>
      <c r="B91" s="193"/>
      <c r="C91" s="193"/>
      <c r="D91" s="193"/>
      <c r="E91" s="193"/>
      <c r="F91" s="193"/>
      <c r="G91" s="193"/>
      <c r="H91" s="193"/>
      <c r="I91" s="193"/>
      <c r="J91" s="193"/>
    </row>
    <row r="92" spans="1:10">
      <c r="A92" s="193"/>
      <c r="B92" s="193"/>
      <c r="C92" s="193"/>
      <c r="D92" s="193"/>
      <c r="E92" s="193"/>
      <c r="F92" s="193"/>
      <c r="G92" s="193"/>
      <c r="H92" s="193"/>
      <c r="I92" s="193"/>
      <c r="J92" s="193"/>
    </row>
    <row r="93" spans="1:10">
      <c r="A93" s="193"/>
      <c r="B93" s="193"/>
      <c r="C93" s="193"/>
      <c r="D93" s="193"/>
      <c r="E93" s="193"/>
      <c r="F93" s="193"/>
      <c r="G93" s="193"/>
      <c r="H93" s="193"/>
      <c r="I93" s="193"/>
      <c r="J93" s="193"/>
    </row>
    <row r="94" spans="1:10">
      <c r="A94" s="193"/>
      <c r="B94" s="193"/>
      <c r="C94" s="193"/>
      <c r="D94" s="193"/>
      <c r="E94" s="193"/>
      <c r="F94" s="193"/>
      <c r="G94" s="193"/>
      <c r="H94" s="193"/>
      <c r="I94" s="193"/>
      <c r="J94" s="193"/>
    </row>
    <row r="95" spans="1:10">
      <c r="A95" s="193"/>
      <c r="B95" s="193"/>
      <c r="C95" s="193"/>
      <c r="D95" s="193"/>
      <c r="E95" s="193"/>
      <c r="F95" s="193"/>
      <c r="G95" s="193"/>
      <c r="H95" s="193"/>
      <c r="I95" s="193"/>
      <c r="J95" s="193"/>
    </row>
    <row r="96" spans="1:10">
      <c r="A96" s="193"/>
      <c r="B96" s="193"/>
      <c r="C96" s="193"/>
      <c r="D96" s="193"/>
      <c r="E96" s="193"/>
      <c r="F96" s="193"/>
      <c r="G96" s="193"/>
      <c r="H96" s="193"/>
      <c r="I96" s="193"/>
      <c r="J96" s="193"/>
    </row>
    <row r="97" spans="1:10">
      <c r="A97" s="193"/>
      <c r="B97" s="193"/>
      <c r="C97" s="193"/>
      <c r="D97" s="193"/>
      <c r="E97" s="193"/>
      <c r="F97" s="193"/>
      <c r="G97" s="193"/>
      <c r="H97" s="193"/>
      <c r="I97" s="193"/>
      <c r="J97" s="193"/>
    </row>
    <row r="98" spans="1:10">
      <c r="A98" s="193"/>
      <c r="B98" s="193"/>
      <c r="C98" s="193"/>
      <c r="D98" s="193"/>
      <c r="E98" s="193"/>
      <c r="F98" s="193"/>
      <c r="G98" s="193"/>
      <c r="H98" s="193"/>
      <c r="I98" s="193"/>
      <c r="J98" s="193"/>
    </row>
    <row r="99" spans="1:10">
      <c r="A99" s="193"/>
      <c r="B99" s="193"/>
      <c r="C99" s="193"/>
      <c r="D99" s="193"/>
      <c r="E99" s="193"/>
      <c r="F99" s="193"/>
      <c r="G99" s="193"/>
      <c r="H99" s="193"/>
      <c r="I99" s="193"/>
      <c r="J99" s="193"/>
    </row>
    <row r="100" spans="1:10">
      <c r="A100" s="193"/>
      <c r="B100" s="193"/>
      <c r="C100" s="193"/>
      <c r="D100" s="193"/>
      <c r="E100" s="193"/>
      <c r="F100" s="193"/>
      <c r="G100" s="193"/>
      <c r="H100" s="193"/>
      <c r="I100" s="193"/>
      <c r="J100" s="193"/>
    </row>
    <row r="101" spans="1:10">
      <c r="A101" s="193"/>
      <c r="B101" s="193"/>
      <c r="C101" s="193"/>
      <c r="D101" s="193"/>
      <c r="E101" s="193"/>
      <c r="F101" s="193"/>
      <c r="G101" s="193"/>
      <c r="H101" s="193"/>
      <c r="I101" s="193"/>
      <c r="J101" s="193"/>
    </row>
    <row r="102" spans="1:10">
      <c r="A102" s="408" t="s">
        <v>1586</v>
      </c>
      <c r="B102" s="356" t="s">
        <v>1587</v>
      </c>
      <c r="C102" s="356" t="str">
        <f>IF(COUNTA('00_PLATFORM_INDEX'!G4:K11)&gt;0,"PASS","FAIL")</f>
        <v>PASS</v>
      </c>
      <c r="D102" s="356" t="s">
        <v>658</v>
      </c>
      <c r="E102" s="356" t="s">
        <v>1280</v>
      </c>
      <c r="F102" s="356" t="s">
        <v>1588</v>
      </c>
      <c r="G102" s="193"/>
      <c r="H102" s="193"/>
      <c r="I102" s="193"/>
      <c r="J102" s="193"/>
    </row>
    <row r="103" spans="1:10" ht="30">
      <c r="A103" s="356" t="s">
        <v>1589</v>
      </c>
      <c r="B103" s="356" t="s">
        <v>1590</v>
      </c>
      <c r="C103" s="356" t="str">
        <f>IF(COUNTIF(INPUT_CONTROL_MAP!A:A,"Blue")&gt;0,"PASS","FAIL")</f>
        <v>PASS</v>
      </c>
      <c r="D103" s="356" t="s">
        <v>658</v>
      </c>
      <c r="E103" s="356" t="s">
        <v>1280</v>
      </c>
      <c r="F103" s="356" t="s">
        <v>1588</v>
      </c>
      <c r="G103" s="193"/>
      <c r="H103" s="193"/>
      <c r="I103" s="193"/>
      <c r="J103" s="193"/>
    </row>
    <row r="104" spans="1:10" ht="75">
      <c r="A104" s="356" t="s">
        <v>1591</v>
      </c>
      <c r="B104" s="356" t="s">
        <v>1592</v>
      </c>
      <c r="C104" s="356" t="s">
        <v>1593</v>
      </c>
      <c r="D104" s="356" t="s">
        <v>658</v>
      </c>
      <c r="E104" s="356" t="s">
        <v>1594</v>
      </c>
      <c r="F104" s="356" t="s">
        <v>1588</v>
      </c>
      <c r="G104" s="193"/>
      <c r="H104" s="193"/>
      <c r="I104" s="193"/>
      <c r="J104" s="193"/>
    </row>
    <row r="105" spans="1:10">
      <c r="A105" s="193"/>
      <c r="B105" s="193"/>
      <c r="C105" s="193"/>
      <c r="D105" s="193"/>
      <c r="E105" s="193"/>
      <c r="F105" s="193"/>
      <c r="G105" s="193"/>
      <c r="H105" s="193"/>
      <c r="I105" s="193"/>
      <c r="J105" s="193"/>
    </row>
    <row r="106" spans="1:10" ht="30">
      <c r="A106" s="215" t="s">
        <v>1570</v>
      </c>
      <c r="B106" s="215" t="s">
        <v>1595</v>
      </c>
      <c r="C106" s="215">
        <v>5</v>
      </c>
      <c r="D106" s="215">
        <f ca="1">SUM(--ISREF(INDIRECT("'DATA_UNIT_MIX'!A1")),--ISREF(INDIRECT("'DATA_RENT_ROLL'!A1")),--ISREF(INDIRECT("'DATA_OPERATING_ACTUALS'!A1")),--ISREF(INDIRECT("'DATA_AGREEMENTS'!A1")),--ISREF(INDIRECT("'DATA_CAPITAL_NEEDS'!A1")))</f>
        <v>5</v>
      </c>
      <c r="E106" s="215" t="str">
        <f ca="1">IF(D106=C106,"PASS","FAIL")</f>
        <v>PASS</v>
      </c>
      <c r="F106" s="215" t="s">
        <v>1596</v>
      </c>
      <c r="G106" s="193"/>
      <c r="H106" s="193"/>
      <c r="I106" s="193"/>
      <c r="J106" s="193"/>
    </row>
    <row r="107" spans="1:10" ht="30">
      <c r="A107" s="215" t="s">
        <v>1573</v>
      </c>
      <c r="B107" s="215" t="s">
        <v>1597</v>
      </c>
      <c r="C107" s="215">
        <v>5</v>
      </c>
      <c r="D107" s="215" t="e">
        <f ca="1">SUM(--_xludf.ISFORMULA(DATA_UNIT_MIX!V7),--_xludf.ISFORMULA(DATA_RENT_ROLL!W7),--_xludf.ISFORMULA(DATA_OPERATING_ACTUALS!R7),--_xludf.ISFORMULA(DATA_AGREEMENTS!U7),--_xludf.ISFORMULA(DATA_CAPITAL_NEEDS!T7))</f>
        <v>#NAME?</v>
      </c>
      <c r="E107" s="215" t="e">
        <f ca="1">IF(D107=C107,"PASS","REVIEW")</f>
        <v>#NAME?</v>
      </c>
      <c r="F107" s="215" t="s">
        <v>1598</v>
      </c>
      <c r="G107" s="193"/>
      <c r="H107" s="193"/>
      <c r="I107" s="193"/>
      <c r="J107" s="193"/>
    </row>
    <row r="108" spans="1:10" ht="30">
      <c r="A108" s="215" t="s">
        <v>1576</v>
      </c>
      <c r="B108" s="215" t="s">
        <v>1599</v>
      </c>
      <c r="C108" s="215" t="s">
        <v>1600</v>
      </c>
      <c r="D108" s="215" t="s">
        <v>1600</v>
      </c>
      <c r="E108" s="215" t="str">
        <f>IF(D108=C108,"OPEN","CHECK")</f>
        <v>OPEN</v>
      </c>
      <c r="F108" s="215" t="s">
        <v>1601</v>
      </c>
      <c r="G108" s="193"/>
      <c r="H108" s="193"/>
      <c r="I108" s="193"/>
      <c r="J108" s="193"/>
    </row>
  </sheetData>
  <conditionalFormatting sqref="A6:F100">
    <cfRule type="expression" dxfId="1" priority="1">
      <formula>OR(ISNUMBER(SEARCH("FAIL",A6)),ISNUMBER(SEARCH("Review",A6)),ISNUMBER(SEARCH("Missing",A6)),ISNUMBER(SEARCH("OPEN",A6)),ISNUMBER(SEARCH("Suppressed",A6)))</formula>
    </cfRule>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60670-F33E-48E1-B3AD-C2909D4D48DB}">
  <sheetPr>
    <tabColor rgb="FF70AD47"/>
  </sheetPr>
  <dimension ref="A1:Z43"/>
  <sheetViews>
    <sheetView workbookViewId="0">
      <selection activeCell="B23" sqref="B23"/>
    </sheetView>
  </sheetViews>
  <sheetFormatPr defaultRowHeight="15"/>
  <cols>
    <col min="1" max="1" width="17.140625" customWidth="1"/>
    <col min="2" max="2" width="14" customWidth="1"/>
    <col min="3" max="3" width="42" customWidth="1"/>
    <col min="4" max="10" width="24" customWidth="1"/>
  </cols>
  <sheetData>
    <row r="1" spans="1:26">
      <c r="A1" s="420" t="s">
        <v>561</v>
      </c>
      <c r="B1" s="421"/>
      <c r="C1" s="421"/>
      <c r="D1" s="421"/>
      <c r="E1" s="421"/>
      <c r="F1" s="421"/>
      <c r="G1" s="421"/>
      <c r="H1" s="421"/>
      <c r="I1" s="193"/>
      <c r="J1" s="193"/>
      <c r="K1" s="170"/>
      <c r="L1" s="170"/>
      <c r="M1" s="170"/>
      <c r="N1" s="170"/>
      <c r="O1" s="170"/>
      <c r="P1" s="170"/>
      <c r="Q1" s="170"/>
      <c r="R1" s="170"/>
      <c r="S1" s="170"/>
      <c r="T1" s="170"/>
      <c r="U1" s="170"/>
      <c r="V1" s="170"/>
      <c r="W1" s="170"/>
      <c r="X1" s="170"/>
      <c r="Y1" s="170"/>
      <c r="Z1" s="170"/>
    </row>
    <row r="2" spans="1:26">
      <c r="A2" s="419" t="s">
        <v>562</v>
      </c>
      <c r="B2" s="419"/>
      <c r="C2" s="419"/>
      <c r="D2" s="419"/>
      <c r="E2" s="419"/>
      <c r="F2" s="419"/>
      <c r="G2" s="419"/>
      <c r="H2" s="419"/>
      <c r="I2" s="193"/>
      <c r="J2" s="193"/>
    </row>
    <row r="3" spans="1:26">
      <c r="A3" s="193"/>
      <c r="B3" s="193"/>
      <c r="C3" s="193"/>
      <c r="D3" s="193"/>
      <c r="E3" s="193"/>
      <c r="F3" s="193"/>
      <c r="G3" s="193"/>
      <c r="H3" s="193"/>
      <c r="I3" s="193"/>
      <c r="J3" s="193"/>
    </row>
    <row r="4" spans="1:26">
      <c r="A4" s="384" t="s">
        <v>563</v>
      </c>
      <c r="B4" s="384" t="s">
        <v>564</v>
      </c>
      <c r="C4" s="384" t="s">
        <v>55</v>
      </c>
      <c r="D4" s="384" t="s">
        <v>565</v>
      </c>
      <c r="E4" s="384" t="s">
        <v>56</v>
      </c>
      <c r="F4" s="193"/>
      <c r="G4" s="193"/>
      <c r="H4" s="193"/>
      <c r="I4" s="193"/>
      <c r="J4" s="193"/>
    </row>
    <row r="5" spans="1:26" ht="30">
      <c r="A5" s="384" t="s">
        <v>566</v>
      </c>
      <c r="B5" s="384" t="s">
        <v>567</v>
      </c>
      <c r="C5" s="384" t="s">
        <v>568</v>
      </c>
      <c r="D5" s="384" t="str">
        <f>IF('00_MODEL_CONTROL'!B24='00_MODEL_CONTROL'!B28,"OK","CHECK")</f>
        <v>OK</v>
      </c>
      <c r="E5" s="361" t="str">
        <f t="shared" ref="E5:E15" si="0">IF(D5="OK","PASS","REVIEW")</f>
        <v>PASS</v>
      </c>
      <c r="F5" s="193"/>
      <c r="G5" s="193"/>
      <c r="H5" s="193"/>
      <c r="I5" s="193"/>
      <c r="J5" s="193"/>
    </row>
    <row r="6" spans="1:26" ht="30">
      <c r="A6" s="193" t="s">
        <v>569</v>
      </c>
      <c r="B6" s="193" t="s">
        <v>567</v>
      </c>
      <c r="C6" s="193" t="s">
        <v>570</v>
      </c>
      <c r="D6" s="350" t="str">
        <f>IF(COUNTIF('00_MODEL_CONTROL'!E5:E21,"Yes")=COUNTIF('00_PORTFOLIO ROLLUP'!E8:U8,"Yes"),"OK","CHECK")</f>
        <v>OK</v>
      </c>
      <c r="E6" s="351" t="str">
        <f t="shared" si="0"/>
        <v>PASS</v>
      </c>
      <c r="F6" s="193"/>
      <c r="G6" s="193"/>
      <c r="H6" s="193"/>
      <c r="I6" s="193"/>
      <c r="J6" s="193"/>
    </row>
    <row r="7" spans="1:26" ht="30">
      <c r="A7" s="193" t="s">
        <v>571</v>
      </c>
      <c r="B7" s="193" t="s">
        <v>572</v>
      </c>
      <c r="C7" s="193" t="s">
        <v>573</v>
      </c>
      <c r="D7" s="350" t="str">
        <f>IF(COUNTIF('00_PORTFOLIO_REGISTER'!C5:C21,"#N/A")=0,"OK","CHECK")</f>
        <v>OK</v>
      </c>
      <c r="E7" s="351" t="str">
        <f t="shared" si="0"/>
        <v>PASS</v>
      </c>
      <c r="F7" s="193"/>
      <c r="G7" s="193"/>
      <c r="H7" s="193"/>
      <c r="I7" s="193"/>
      <c r="J7" s="193"/>
    </row>
    <row r="8" spans="1:26">
      <c r="A8" s="193" t="s">
        <v>574</v>
      </c>
      <c r="B8" s="193" t="s">
        <v>572</v>
      </c>
      <c r="C8" s="193" t="s">
        <v>575</v>
      </c>
      <c r="D8" s="350" t="str">
        <f ca="1">IF(ROUND('00_PORTFOLIO_REGISTER'!E23,0)=ROUND(SUM('00_PORTFOLIO_REGISTER'!E5:E21),0),"OK","CHECK")</f>
        <v>OK</v>
      </c>
      <c r="E8" s="351" t="str">
        <f t="shared" ca="1" si="0"/>
        <v>PASS</v>
      </c>
      <c r="F8" s="193"/>
      <c r="G8" s="193"/>
      <c r="H8" s="193"/>
      <c r="I8" s="193"/>
      <c r="J8" s="193"/>
    </row>
    <row r="9" spans="1:26">
      <c r="A9" s="193" t="s">
        <v>576</v>
      </c>
      <c r="B9" s="193" t="s">
        <v>572</v>
      </c>
      <c r="C9" s="193" t="s">
        <v>577</v>
      </c>
      <c r="D9" s="350" t="str">
        <f ca="1">IF(ROUND('00_PORTFOLIO_REGISTER'!F23,0)=ROUND(SUM('00_PORTFOLIO_REGISTER'!F5:F21),0),"OK","CHECK")</f>
        <v>OK</v>
      </c>
      <c r="E9" s="351" t="str">
        <f t="shared" ca="1" si="0"/>
        <v>PASS</v>
      </c>
      <c r="F9" s="193"/>
      <c r="G9" s="193"/>
      <c r="H9" s="193"/>
      <c r="I9" s="193"/>
      <c r="J9" s="193"/>
    </row>
    <row r="10" spans="1:26">
      <c r="A10" s="193" t="s">
        <v>578</v>
      </c>
      <c r="B10" s="193" t="s">
        <v>572</v>
      </c>
      <c r="C10" s="193" t="s">
        <v>579</v>
      </c>
      <c r="D10" s="350" t="str">
        <f ca="1">IF(ROUND('00_PORTFOLIO_REGISTER'!G23,0)=ROUND(SUM('00_PORTFOLIO_REGISTER'!G5:G21),0),"OK","CHECK")</f>
        <v>OK</v>
      </c>
      <c r="E10" s="351" t="str">
        <f t="shared" ca="1" si="0"/>
        <v>PASS</v>
      </c>
      <c r="F10" s="193"/>
      <c r="G10" s="193"/>
      <c r="H10" s="193"/>
      <c r="I10" s="193"/>
      <c r="J10" s="193"/>
    </row>
    <row r="11" spans="1:26">
      <c r="A11" s="193" t="s">
        <v>580</v>
      </c>
      <c r="B11" s="193" t="s">
        <v>581</v>
      </c>
      <c r="C11" s="193" t="s">
        <v>582</v>
      </c>
      <c r="D11" s="350" t="str">
        <f>IF(ISNUMBER(SEARCH(TEXT('00_PORTFOLIO ROLLUP'!$E$3,"0.0%"),'00_PORTFOLIO ROLLUP'!$C$72)),"OK","CHECK")</f>
        <v>OK</v>
      </c>
      <c r="E11" s="351" t="str">
        <f t="shared" si="0"/>
        <v>PASS</v>
      </c>
      <c r="F11" s="193"/>
      <c r="G11" s="193"/>
      <c r="H11" s="193"/>
      <c r="I11" s="193"/>
      <c r="J11" s="193"/>
    </row>
    <row r="12" spans="1:26">
      <c r="A12" s="193" t="s">
        <v>583</v>
      </c>
      <c r="B12" s="193" t="s">
        <v>581</v>
      </c>
      <c r="C12" s="193" t="s">
        <v>584</v>
      </c>
      <c r="D12" s="350" t="str">
        <f>IF(ISNUMBER(SEARCH(TEXT('00_PORTFOLIO ROLLUP'!$E$4,"0"),'00_PORTFOLIO ROLLUP'!$C$79)),"OK","CHECK")</f>
        <v>OK</v>
      </c>
      <c r="E12" s="351" t="str">
        <f t="shared" si="0"/>
        <v>PASS</v>
      </c>
      <c r="F12" s="193"/>
      <c r="G12" s="193"/>
      <c r="H12" s="193"/>
      <c r="I12" s="193"/>
      <c r="J12" s="193"/>
    </row>
    <row r="13" spans="1:26" ht="30">
      <c r="A13" s="193" t="s">
        <v>585</v>
      </c>
      <c r="B13" s="193" t="s">
        <v>581</v>
      </c>
      <c r="C13" s="193" t="s">
        <v>586</v>
      </c>
      <c r="D13" s="350" t="str">
        <f>IF(ISNUMBER(SEARCH(TEXT('00_PORTFOLIO ROLLUP'!$E$4,"0"),'00_PORTFOLIO ROLLUP'!$C$86)),"OK","CHECK")</f>
        <v>OK</v>
      </c>
      <c r="E13" s="351" t="str">
        <f t="shared" si="0"/>
        <v>PASS</v>
      </c>
      <c r="F13" s="193"/>
      <c r="G13" s="193"/>
      <c r="H13" s="193"/>
      <c r="I13" s="193"/>
      <c r="J13" s="193"/>
    </row>
    <row r="14" spans="1:26" ht="30">
      <c r="A14" s="193" t="s">
        <v>587</v>
      </c>
      <c r="B14" s="193" t="s">
        <v>588</v>
      </c>
      <c r="C14" s="193" t="s">
        <v>589</v>
      </c>
      <c r="D14" s="350" t="str">
        <f ca="1">IF('00_MODEL_CONTROL'!B27=0,"OK","CHECK")</f>
        <v>OK</v>
      </c>
      <c r="E14" s="351" t="str">
        <f t="shared" ca="1" si="0"/>
        <v>PASS</v>
      </c>
      <c r="F14" s="193"/>
      <c r="G14" s="193"/>
      <c r="H14" s="193"/>
      <c r="I14" s="193"/>
      <c r="J14" s="193"/>
    </row>
    <row r="15" spans="1:26" ht="30">
      <c r="A15" s="193" t="s">
        <v>590</v>
      </c>
      <c r="B15" s="193" t="s">
        <v>591</v>
      </c>
      <c r="C15" s="193" t="s">
        <v>592</v>
      </c>
      <c r="D15" s="350" t="str">
        <f>IF(AND(ISNUMBER('00_MODEL_CONTROL'!$B$31),'00_PORTFOLIO SUMMARY'!$C$5='00_MODEL_CONTROL'!$B$31),"OK","CHECK")</f>
        <v>OK</v>
      </c>
      <c r="E15" s="351" t="str">
        <f t="shared" si="0"/>
        <v>PASS</v>
      </c>
      <c r="F15" s="193"/>
      <c r="G15" s="193"/>
      <c r="H15" s="193"/>
      <c r="I15" s="193"/>
      <c r="J15" s="193"/>
    </row>
    <row r="16" spans="1:26">
      <c r="A16" s="419" t="s">
        <v>593</v>
      </c>
      <c r="B16" s="419"/>
      <c r="C16" s="419"/>
      <c r="D16" s="419"/>
      <c r="E16" s="419"/>
      <c r="F16" s="419"/>
      <c r="G16" s="419"/>
      <c r="H16" s="419"/>
      <c r="I16" s="193"/>
      <c r="J16" s="193"/>
    </row>
    <row r="17" spans="1:26">
      <c r="A17" s="192" t="s">
        <v>594</v>
      </c>
      <c r="B17" s="192" t="s">
        <v>588</v>
      </c>
      <c r="C17" s="192" t="s">
        <v>595</v>
      </c>
      <c r="D17" s="385" t="str">
        <f ca="1">IF(COUNTA(DATA_ASSET_CLASSIFICATION!$U$8:$U$24)=COUNTA(DATA_ASSET_CLASSIFICATION!$A$8:$A$24),"OK","CHECK")</f>
        <v>OK</v>
      </c>
      <c r="E17" s="386" t="str">
        <f t="shared" ref="E17:E22" ca="1" si="1">IF(D17="OK","PASS","REVIEW")</f>
        <v>PASS</v>
      </c>
      <c r="F17" s="193"/>
      <c r="G17" s="193"/>
      <c r="H17" s="193"/>
      <c r="I17" s="193"/>
      <c r="J17" s="193"/>
    </row>
    <row r="18" spans="1:26" ht="30">
      <c r="A18" s="192" t="s">
        <v>596</v>
      </c>
      <c r="B18" s="192" t="s">
        <v>588</v>
      </c>
      <c r="C18" s="192" t="s">
        <v>597</v>
      </c>
      <c r="D18" s="386" t="str">
        <f ca="1">IF(COUNTIF('00_PORTFOLIO SUMMARY'!$C$10:$C$26,"Review")=0,"OK","CHECK")</f>
        <v>OK</v>
      </c>
      <c r="E18" s="386" t="str">
        <f t="shared" ca="1" si="1"/>
        <v>PASS</v>
      </c>
      <c r="F18" s="193"/>
      <c r="G18" s="193"/>
      <c r="H18" s="193"/>
      <c r="I18" s="193"/>
      <c r="J18" s="193"/>
    </row>
    <row r="19" spans="1:26">
      <c r="A19" s="192" t="s">
        <v>598</v>
      </c>
      <c r="B19" s="192" t="s">
        <v>572</v>
      </c>
      <c r="C19" s="192" t="s">
        <v>599</v>
      </c>
      <c r="D19" s="385" t="str" cm="1">
        <f t="array" ref="D19">IF(SUMPRODUCT(--_xlfn.ISFORMULA('00_PORTFOLIO_REGISTER'!$J$5:$J$21))=COUNTA('00_PORTFOLIO_REGISTER'!$B$5:$B$21),"OK","CHECK")</f>
        <v>OK</v>
      </c>
      <c r="E19" s="386" t="str">
        <f>IF(D19="OK","PASS","REVIEW")</f>
        <v>PASS</v>
      </c>
      <c r="F19" s="193"/>
      <c r="G19" s="193"/>
      <c r="H19" s="193"/>
      <c r="I19" s="193"/>
      <c r="J19" s="193"/>
    </row>
    <row r="20" spans="1:26" ht="30">
      <c r="A20" s="192" t="s">
        <v>600</v>
      </c>
      <c r="B20" s="192" t="s">
        <v>572</v>
      </c>
      <c r="C20" s="192" t="s">
        <v>601</v>
      </c>
      <c r="D20" s="386" t="str">
        <f ca="1">IF(COUNTIF('00_MODEL_CONTROL'!$H$5:$H$21,"CHECK")+COUNTIF('00_MODEL_CONTROL'!$H$5:$H$21,"OPEN")=0,"OK","CHECK")</f>
        <v>OK</v>
      </c>
      <c r="E20" s="386" t="str">
        <f t="shared" ca="1" si="1"/>
        <v>PASS</v>
      </c>
      <c r="F20" s="193"/>
      <c r="G20" s="193"/>
      <c r="H20" s="193"/>
      <c r="I20" s="193"/>
      <c r="J20" s="193"/>
    </row>
    <row r="21" spans="1:26" ht="30">
      <c r="A21" s="192" t="s">
        <v>602</v>
      </c>
      <c r="B21" s="192" t="s">
        <v>603</v>
      </c>
      <c r="C21" s="192" t="s">
        <v>604</v>
      </c>
      <c r="D21" s="385" t="str">
        <f>IF(COUNTIFS(DATA_ASSET_CLASSIFICATION!$T$8:$T$24,"&lt;&gt;",DATA_ASSET_CLASSIFICATION!$Y$8:$Y$24,"")=0,"OK","CHECK")</f>
        <v>OK</v>
      </c>
      <c r="E21" s="386" t="str">
        <f t="shared" si="1"/>
        <v>PASS</v>
      </c>
      <c r="F21" s="193"/>
      <c r="G21" s="193"/>
      <c r="H21" s="193"/>
      <c r="I21" s="193"/>
      <c r="J21" s="193"/>
    </row>
    <row r="22" spans="1:26" ht="30">
      <c r="A22" s="192" t="s">
        <v>605</v>
      </c>
      <c r="B22" s="192" t="s">
        <v>606</v>
      </c>
      <c r="C22" s="192" t="s">
        <v>607</v>
      </c>
      <c r="D22" s="385" t="str">
        <f ca="1">IF(COUNTIFS(DATA_ASSET_CLASSIFICATION!$C$8:$C$24,"Yes",DATA_ASSET_CLASSIFICATION!$X$8:$X$24,"&lt;&gt;OK")=0,"OK","CHECK")</f>
        <v>OK</v>
      </c>
      <c r="E22" s="386" t="str">
        <f t="shared" ca="1" si="1"/>
        <v>PASS</v>
      </c>
      <c r="F22" s="193"/>
      <c r="G22" s="193"/>
      <c r="H22" s="193"/>
      <c r="I22" s="193"/>
      <c r="J22" s="193"/>
    </row>
    <row r="23" spans="1:26">
      <c r="A23" s="193"/>
      <c r="B23" s="193"/>
      <c r="C23" s="193"/>
      <c r="D23" s="193"/>
      <c r="E23" s="193"/>
      <c r="F23" s="193"/>
      <c r="G23" s="193"/>
      <c r="H23" s="193"/>
      <c r="I23" s="193"/>
      <c r="J23" s="193"/>
    </row>
    <row r="24" spans="1:26" ht="105">
      <c r="A24" s="193" t="s">
        <v>608</v>
      </c>
      <c r="B24" s="193"/>
      <c r="C24" s="193"/>
      <c r="D24" s="193"/>
      <c r="E24" s="193"/>
      <c r="F24" s="193"/>
      <c r="G24" s="193"/>
      <c r="H24" s="193"/>
      <c r="I24" s="193"/>
      <c r="J24" s="193"/>
    </row>
    <row r="25" spans="1:26" ht="30">
      <c r="A25" s="387" t="s">
        <v>609</v>
      </c>
      <c r="B25" s="193" t="s">
        <v>610</v>
      </c>
      <c r="C25" s="193" t="s">
        <v>611</v>
      </c>
      <c r="D25" s="350" t="str" cm="1">
        <f t="array" ref="D25">IF(SUMPRODUCT(--_xlfn.ISFORMULA(DATA_CAPITAL_FLOW!$H$5:$H$293))=COUNTA(DATA_CAPITAL_FLOW!$F$5:$F$293),"OK","CHECK")</f>
        <v>OK</v>
      </c>
      <c r="E25" s="351" t="str">
        <f t="shared" ref="E25:E30" si="2">IF(D25="OK","PASS","REVIEW")</f>
        <v>PASS</v>
      </c>
      <c r="F25" s="193"/>
      <c r="G25" s="193"/>
      <c r="H25" s="193"/>
      <c r="I25" s="193"/>
      <c r="J25" s="193"/>
    </row>
    <row r="26" spans="1:26" ht="30">
      <c r="A26" s="387" t="s">
        <v>612</v>
      </c>
      <c r="B26" s="193" t="s">
        <v>610</v>
      </c>
      <c r="C26" s="193" t="s">
        <v>613</v>
      </c>
      <c r="D26" s="350" t="str">
        <f>IF(COUNTIF(OUT_CAPITAL_FLOW_SUMMARY!$B$29:$R$29,"CHECK")=0,"OK","CHECK")</f>
        <v>OK</v>
      </c>
      <c r="E26" s="351" t="str">
        <f t="shared" si="2"/>
        <v>PASS</v>
      </c>
      <c r="F26" s="193"/>
      <c r="G26" s="193"/>
      <c r="H26" s="193"/>
      <c r="I26" s="193"/>
      <c r="J26" s="193"/>
    </row>
    <row r="27" spans="1:26" ht="30">
      <c r="A27" s="387" t="s">
        <v>614</v>
      </c>
      <c r="B27" s="193" t="s">
        <v>610</v>
      </c>
      <c r="C27" s="193" t="s">
        <v>615</v>
      </c>
      <c r="D27" s="350" t="str">
        <f>IF(ISNUMBER(SEARCH("Funding Gap",'00_PORTFOLIO ROLLUP'!$C$63)),"OK","CHECK")</f>
        <v>OK</v>
      </c>
      <c r="E27" s="351" t="str">
        <f t="shared" si="2"/>
        <v>PASS</v>
      </c>
      <c r="F27" s="193"/>
      <c r="G27" s="193"/>
      <c r="H27" s="193"/>
      <c r="I27" s="193"/>
      <c r="J27" s="193"/>
    </row>
    <row r="28" spans="1:26" ht="30">
      <c r="A28" s="387" t="s">
        <v>616</v>
      </c>
      <c r="B28" s="193" t="s">
        <v>610</v>
      </c>
      <c r="C28" s="193" t="s">
        <v>617</v>
      </c>
      <c r="D28" s="350" t="str">
        <f>IF(MIN(OUT_CAPITAL_FLOW_SUMMARY!$B$23:$R$23)&gt;=0,"OK","CHECK")</f>
        <v>OK</v>
      </c>
      <c r="E28" s="351" t="str">
        <f t="shared" si="2"/>
        <v>PASS</v>
      </c>
      <c r="F28" s="193"/>
      <c r="G28" s="193"/>
      <c r="H28" s="193"/>
      <c r="I28" s="193"/>
      <c r="J28" s="193"/>
    </row>
    <row r="29" spans="1:26" ht="30">
      <c r="A29" s="193" t="s">
        <v>618</v>
      </c>
      <c r="B29" s="193" t="s">
        <v>619</v>
      </c>
      <c r="C29" s="193" t="s">
        <v>620</v>
      </c>
      <c r="D29" s="350" t="str">
        <f ca="1">IF(ISNUMBER(SEARCH("IFERROR",_xludf.FORMULATEXT('00_PORTFOLIO ROLLUP'!E13))),"OK","CHECK")</f>
        <v>CHECK</v>
      </c>
      <c r="E29" s="351" t="str">
        <f t="shared" ca="1" si="2"/>
        <v>REVIEW</v>
      </c>
      <c r="F29" s="193"/>
      <c r="G29" s="193"/>
      <c r="H29" s="193"/>
      <c r="I29" s="193"/>
      <c r="J29" s="193"/>
      <c r="K29" s="193"/>
      <c r="L29" s="193"/>
      <c r="M29" s="193"/>
      <c r="N29" s="193"/>
      <c r="O29" s="193"/>
      <c r="P29" s="193"/>
      <c r="Q29" s="193"/>
      <c r="R29" s="193"/>
      <c r="S29" s="193"/>
      <c r="T29" s="193"/>
      <c r="U29" s="193"/>
      <c r="V29" s="193"/>
      <c r="W29" s="193"/>
      <c r="X29" s="193"/>
      <c r="Y29" s="193"/>
      <c r="Z29" s="193"/>
    </row>
    <row r="30" spans="1:26" ht="30">
      <c r="A30" s="193" t="s">
        <v>621</v>
      </c>
      <c r="B30" s="193" t="s">
        <v>619</v>
      </c>
      <c r="C30" s="351" t="s">
        <v>622</v>
      </c>
      <c r="D30" s="350" t="str">
        <f ca="1">IF(DATA_AGGREGATION_AUDIT!B2=0,"OK","CHECK")</f>
        <v>OK</v>
      </c>
      <c r="E30" s="351" t="str">
        <f t="shared" ca="1" si="2"/>
        <v>PASS</v>
      </c>
      <c r="F30" s="193"/>
      <c r="G30" s="193"/>
      <c r="H30" s="193"/>
      <c r="I30" s="193"/>
      <c r="J30" s="193"/>
      <c r="K30" s="193"/>
      <c r="L30" s="193"/>
      <c r="M30" s="193"/>
      <c r="N30" s="193"/>
      <c r="O30" s="193"/>
      <c r="P30" s="193"/>
      <c r="Q30" s="193"/>
      <c r="R30" s="193"/>
      <c r="S30" s="193"/>
      <c r="T30" s="193"/>
      <c r="U30" s="193"/>
      <c r="V30" s="193"/>
      <c r="W30" s="193"/>
      <c r="X30" s="193"/>
      <c r="Y30" s="193"/>
      <c r="Z30" s="193"/>
    </row>
    <row r="31" spans="1:26" ht="30">
      <c r="A31" s="193" t="s">
        <v>623</v>
      </c>
      <c r="B31" s="193" t="s">
        <v>619</v>
      </c>
      <c r="C31" s="351" t="s">
        <v>624</v>
      </c>
      <c r="D31" s="350" t="str">
        <f ca="1">IF(DATA_AGGREGATION_AUDIT!B3=0,"OK","INFO")</f>
        <v>OK</v>
      </c>
      <c r="E31" s="350" t="str">
        <f ca="1">IF(D31="OK","PASS","INFO")</f>
        <v>PASS</v>
      </c>
      <c r="F31" s="193"/>
      <c r="G31" s="193"/>
      <c r="H31" s="193"/>
      <c r="I31" s="193"/>
      <c r="J31" s="193"/>
      <c r="K31" s="193"/>
      <c r="L31" s="193"/>
      <c r="M31" s="193"/>
      <c r="N31" s="193"/>
      <c r="O31" s="193"/>
      <c r="P31" s="193"/>
      <c r="Q31" s="193"/>
      <c r="R31" s="193"/>
      <c r="S31" s="193"/>
      <c r="T31" s="193"/>
      <c r="U31" s="193"/>
      <c r="V31" s="193"/>
      <c r="W31" s="193"/>
      <c r="X31" s="193"/>
      <c r="Y31" s="193"/>
      <c r="Z31" s="193"/>
    </row>
    <row r="32" spans="1:26" ht="30">
      <c r="A32" s="193" t="s">
        <v>625</v>
      </c>
      <c r="B32" s="193" t="s">
        <v>626</v>
      </c>
      <c r="C32" s="193" t="s">
        <v>627</v>
      </c>
      <c r="D32" s="350">
        <f>COUNTA(INPUT_CONTROL_MAP!$A$1)</f>
        <v>1</v>
      </c>
      <c r="E32" s="351" t="str">
        <f>IF(D32=C32,"PASS","FAIL")</f>
        <v>FAIL</v>
      </c>
      <c r="F32" s="193"/>
      <c r="G32" s="193"/>
      <c r="H32" s="193"/>
      <c r="I32" s="193"/>
      <c r="J32" s="193"/>
      <c r="K32" s="193"/>
      <c r="L32" s="193"/>
      <c r="M32" s="193"/>
      <c r="N32" s="193"/>
      <c r="O32" s="193"/>
      <c r="P32" s="193"/>
      <c r="Q32" s="193"/>
      <c r="R32" s="193"/>
      <c r="S32" s="193"/>
      <c r="T32" s="193"/>
      <c r="U32" s="193"/>
      <c r="V32" s="193"/>
      <c r="W32" s="193"/>
      <c r="X32" s="193"/>
      <c r="Y32" s="193"/>
      <c r="Z32" s="193"/>
    </row>
    <row r="33" spans="1:10" ht="60">
      <c r="A33" s="193" t="s">
        <v>628</v>
      </c>
      <c r="B33" s="193" t="s">
        <v>629</v>
      </c>
      <c r="C33" s="193" t="s">
        <v>524</v>
      </c>
      <c r="D33" s="350" t="str">
        <f ca="1">IF(ISNUMBER(SEARCH("DATA_PROPERTY_MASTER",_xludf.FORMULATEXT(DATA_AGGREGATION_AUDIT!D6))),"Yes","No")</f>
        <v>No</v>
      </c>
      <c r="E33" s="351" t="str">
        <f ca="1">IF(D33=C33,"PASS","FAIL")</f>
        <v>FAIL</v>
      </c>
      <c r="F33" s="193"/>
      <c r="G33" s="193"/>
      <c r="H33" s="193"/>
      <c r="I33" s="193"/>
      <c r="J33" s="193"/>
    </row>
    <row r="34" spans="1:10" ht="45">
      <c r="A34" s="193" t="s">
        <v>630</v>
      </c>
      <c r="B34" s="193" t="s">
        <v>631</v>
      </c>
      <c r="C34" s="193" t="s">
        <v>627</v>
      </c>
      <c r="D34" s="350">
        <f>COUNTIF(MAP_FIELD_MAPPING!$G$6:$G$25,"Not yet live")</f>
        <v>0</v>
      </c>
      <c r="E34" s="351" t="str">
        <f>IF(D34&gt;=C34,"PASS","OPEN")</f>
        <v>OPEN</v>
      </c>
      <c r="F34" s="193"/>
      <c r="G34" s="193"/>
      <c r="H34" s="193"/>
      <c r="I34" s="193"/>
      <c r="J34" s="193"/>
    </row>
    <row r="35" spans="1:10" ht="30">
      <c r="A35" s="193" t="s">
        <v>632</v>
      </c>
      <c r="B35" s="193" t="s">
        <v>633</v>
      </c>
      <c r="C35" s="193" t="s">
        <v>627</v>
      </c>
      <c r="D35" s="350">
        <f>COUNTIF(INPUT_CONTROL_MAP!$A$20:$A$30,"LEGACY ENGINE")</f>
        <v>5</v>
      </c>
      <c r="E35" s="351" t="str">
        <f>IF(D35&gt;=C35,"PASS","FAIL")</f>
        <v>FAIL</v>
      </c>
      <c r="F35" s="193"/>
      <c r="G35" s="193"/>
      <c r="H35" s="193"/>
      <c r="I35" s="193"/>
      <c r="J35" s="193"/>
    </row>
    <row r="36" spans="1:10" ht="30">
      <c r="A36" s="193" t="s">
        <v>634</v>
      </c>
      <c r="B36" s="193" t="s">
        <v>635</v>
      </c>
      <c r="C36" s="193" t="s">
        <v>636</v>
      </c>
      <c r="D36" s="350" t="str">
        <f>IF(COUNTA(DATA_CAPITAL_FLOW_RECON!A1)&gt;0,"OK","CHECK")</f>
        <v>OK</v>
      </c>
      <c r="E36" s="351" t="str">
        <f>IF(D36="OK","PASS","REVIEW")</f>
        <v>PASS</v>
      </c>
      <c r="F36" s="193"/>
      <c r="G36" s="193"/>
      <c r="H36" s="193"/>
      <c r="I36" s="193"/>
      <c r="J36" s="193"/>
    </row>
    <row r="37" spans="1:10" ht="30">
      <c r="A37" s="215" t="s">
        <v>625</v>
      </c>
      <c r="B37" s="215" t="s">
        <v>637</v>
      </c>
      <c r="C37" s="215" t="s">
        <v>638</v>
      </c>
      <c r="D37" s="353" t="str">
        <f ca="1">IF(ISNUMBER(SEARCH("DATA_CAPITAL_FLOW",_xludf.FORMULATEXT('00_INVESTOR SUMMARY'!B12))),"OK","CHECK")</f>
        <v>CHECK</v>
      </c>
      <c r="E37" s="354" t="str">
        <f ca="1">IF(D37="OK","PASS","REVIEW")</f>
        <v>REVIEW</v>
      </c>
      <c r="F37" s="193"/>
      <c r="G37" s="193"/>
      <c r="H37" s="193"/>
      <c r="I37" s="193"/>
      <c r="J37" s="193"/>
    </row>
    <row r="38" spans="1:10" ht="30">
      <c r="A38" s="215" t="s">
        <v>628</v>
      </c>
      <c r="B38" s="215" t="s">
        <v>637</v>
      </c>
      <c r="C38" s="215" t="s">
        <v>639</v>
      </c>
      <c r="D38" s="353" t="str">
        <f>IF(ISREF(LEGACY_INVESTOR_SUMMARY!B2),"OK","CHECK")</f>
        <v>OK</v>
      </c>
      <c r="E38" s="354" t="str">
        <f>IF(D38="OK","PASS","REVIEW")</f>
        <v>PASS</v>
      </c>
      <c r="F38" s="193"/>
      <c r="G38" s="193"/>
      <c r="H38" s="193"/>
      <c r="I38" s="193"/>
      <c r="J38" s="193"/>
    </row>
    <row r="39" spans="1:10" ht="30">
      <c r="A39" s="215" t="s">
        <v>630</v>
      </c>
      <c r="B39" s="215" t="s">
        <v>637</v>
      </c>
      <c r="C39" s="215" t="s">
        <v>640</v>
      </c>
      <c r="D39" s="353" t="str">
        <f>IF(COUNTA('00_INVESTOR SUMMARY'!$A$38:$A$54)=COUNTA(DATA_ASSET_CLASSIFICATION!$A$8:$A$24),"OK","CHECK")</f>
        <v>OK</v>
      </c>
      <c r="E39" s="354" t="str">
        <f>IF(D39="OK","PASS","REVIEW")</f>
        <v>PASS</v>
      </c>
      <c r="F39" s="193"/>
      <c r="G39" s="193"/>
      <c r="H39" s="193"/>
      <c r="I39" s="193"/>
      <c r="J39" s="193"/>
    </row>
    <row r="40" spans="1:10" ht="30">
      <c r="A40" s="215" t="s">
        <v>632</v>
      </c>
      <c r="B40" s="215" t="s">
        <v>637</v>
      </c>
      <c r="C40" s="354" t="s">
        <v>641</v>
      </c>
      <c r="D40" s="354" t="str">
        <f ca="1">IF(COUNTIF('00_INVESTOR SUMMARY'!$K$29:$K$33,"CHECK")+COUNTIF('00_INVESTOR SUMMARY'!$K$29:$K$33,"REVIEW")=0,"OK","CHECK")</f>
        <v>CHECK</v>
      </c>
      <c r="E40" s="354" t="str">
        <f ca="1">IF(D40="OK","PASS","REVIEW")</f>
        <v>REVIEW</v>
      </c>
      <c r="F40" s="193"/>
      <c r="G40" s="193"/>
      <c r="H40" s="193"/>
      <c r="I40" s="193"/>
      <c r="J40" s="193"/>
    </row>
    <row r="41" spans="1:10">
      <c r="A41" s="193"/>
      <c r="B41" s="193"/>
      <c r="C41" s="193"/>
      <c r="D41" s="193"/>
      <c r="E41" s="193"/>
      <c r="F41" s="193"/>
      <c r="G41" s="193"/>
      <c r="H41" s="193"/>
      <c r="I41" s="193"/>
      <c r="J41" s="193"/>
    </row>
    <row r="42" spans="1:10" ht="30">
      <c r="A42" s="215" t="s">
        <v>625</v>
      </c>
      <c r="B42" s="215" t="s">
        <v>642</v>
      </c>
      <c r="C42" s="215" t="s">
        <v>643</v>
      </c>
      <c r="D42" s="215" t="str">
        <f ca="1">IF(AND(ISREF(INDIRECT("'DATA_UNIT_MIX'!A1")),ISREF(INDIRECT("'DATA_RENT_ROLL'!A1")),ISREF(INDIRECT("'DATA_OPERATING_ACTUALS'!A1")),ISREF(INDIRECT("'DATA_AGREEMENTS'!A1")),ISREF(INDIRECT("'DATA_CAPITAL_NEEDS'!A1"))),"OK","CHECK")</f>
        <v>OK</v>
      </c>
      <c r="E42" s="215" t="str">
        <f ca="1">IF(D42="OK","PASS","REVIEW")</f>
        <v>PASS</v>
      </c>
      <c r="F42" s="193"/>
      <c r="G42" s="193"/>
      <c r="H42" s="193"/>
      <c r="I42" s="193"/>
      <c r="J42" s="193"/>
    </row>
    <row r="43" spans="1:10" ht="30">
      <c r="A43" s="215" t="s">
        <v>628</v>
      </c>
      <c r="B43" s="215" t="s">
        <v>642</v>
      </c>
      <c r="C43" s="215" t="s">
        <v>644</v>
      </c>
      <c r="D43" s="215" t="str">
        <f>IF(COUNTIF(INPUT_CONTROL_MAP!$B:$B,"DATA_OPERATING_ACTUALS")&gt;0,"OK","CHECK")</f>
        <v>OK</v>
      </c>
      <c r="E43" s="215" t="str">
        <f>IF(D43="OK","PASS","REVIEW")</f>
        <v>PASS</v>
      </c>
      <c r="F43" s="193"/>
      <c r="G43" s="193"/>
      <c r="H43" s="193"/>
      <c r="I43" s="193"/>
      <c r="J43" s="193"/>
    </row>
  </sheetData>
  <mergeCells count="3">
    <mergeCell ref="A2:H2"/>
    <mergeCell ref="A16:H16"/>
    <mergeCell ref="A1:H1"/>
  </mergeCells>
  <conditionalFormatting sqref="A6:E100">
    <cfRule type="expression" dxfId="0" priority="1">
      <formula>OR(ISNUMBER(SEARCH("FAIL",A6)),ISNUMBER(SEARCH("Review",A6)),ISNUMBER(SEARCH("Missing",A6)),ISNUMBER(SEARCH("OPEN",A6)),ISNUMBER(SEARCH("Suppressed",A6)))</formula>
    </cfRule>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3E1D0-1D3D-45FA-8062-4510EB736E66}">
  <sheetPr>
    <tabColor rgb="FF1F2937"/>
  </sheetPr>
  <dimension ref="A1:Z77"/>
  <sheetViews>
    <sheetView workbookViewId="0">
      <selection activeCell="B23" sqref="B23"/>
    </sheetView>
  </sheetViews>
  <sheetFormatPr defaultRowHeight="15"/>
  <cols>
    <col min="1" max="2" width="14" customWidth="1"/>
    <col min="3" max="3" width="24" customWidth="1"/>
    <col min="4" max="4" width="43.5703125" customWidth="1"/>
    <col min="5" max="5" width="48.7109375" customWidth="1"/>
    <col min="6" max="6" width="60" customWidth="1"/>
    <col min="7" max="7" width="24" customWidth="1"/>
    <col min="8" max="8" width="48" customWidth="1"/>
    <col min="9" max="9" width="24" customWidth="1"/>
    <col min="10" max="10" width="48" customWidth="1"/>
  </cols>
  <sheetData>
    <row r="1" spans="1:26">
      <c r="A1" s="422" t="s">
        <v>645</v>
      </c>
      <c r="B1" s="419"/>
      <c r="C1" s="419"/>
      <c r="D1" s="419"/>
      <c r="E1" s="419"/>
      <c r="F1" s="419"/>
      <c r="G1" s="419"/>
      <c r="H1" s="419"/>
      <c r="I1" s="419"/>
      <c r="J1" s="419"/>
      <c r="K1" s="170"/>
      <c r="L1" s="170"/>
      <c r="M1" s="170"/>
      <c r="N1" s="170"/>
      <c r="O1" s="170"/>
      <c r="P1" s="170"/>
      <c r="Q1" s="170"/>
      <c r="R1" s="170"/>
      <c r="S1" s="170"/>
      <c r="T1" s="170"/>
      <c r="U1" s="170"/>
      <c r="V1" s="170"/>
      <c r="W1" s="170"/>
      <c r="X1" s="170"/>
      <c r="Y1" s="170"/>
      <c r="Z1" s="170"/>
    </row>
    <row r="2" spans="1:26">
      <c r="A2" s="419" t="s">
        <v>646</v>
      </c>
      <c r="B2" s="419"/>
      <c r="C2" s="419"/>
      <c r="D2" s="419"/>
      <c r="E2" s="419"/>
      <c r="F2" s="419"/>
      <c r="G2" s="419"/>
      <c r="H2" s="419"/>
      <c r="I2" s="419"/>
      <c r="J2" s="419"/>
    </row>
    <row r="3" spans="1:26">
      <c r="A3" s="193"/>
      <c r="B3" s="193"/>
      <c r="C3" s="193"/>
      <c r="D3" s="193"/>
      <c r="E3" s="193"/>
      <c r="F3" s="193"/>
      <c r="G3" s="193"/>
      <c r="H3" s="193"/>
      <c r="I3" s="193"/>
      <c r="J3" s="193"/>
    </row>
    <row r="4" spans="1:26">
      <c r="A4" s="388" t="s">
        <v>647</v>
      </c>
      <c r="B4" s="388" t="s">
        <v>648</v>
      </c>
      <c r="C4" s="388" t="s">
        <v>649</v>
      </c>
      <c r="D4" s="388" t="s">
        <v>650</v>
      </c>
      <c r="E4" s="388" t="s">
        <v>651</v>
      </c>
      <c r="F4" s="388" t="s">
        <v>652</v>
      </c>
      <c r="G4" s="388" t="s">
        <v>653</v>
      </c>
      <c r="H4" s="388" t="s">
        <v>654</v>
      </c>
      <c r="I4" s="388" t="s">
        <v>56</v>
      </c>
      <c r="J4" s="388" t="s">
        <v>655</v>
      </c>
    </row>
    <row r="5" spans="1:26">
      <c r="A5" s="193" t="s">
        <v>656</v>
      </c>
      <c r="B5" s="193" t="s">
        <v>657</v>
      </c>
      <c r="C5" s="193" t="s">
        <v>658</v>
      </c>
      <c r="D5" s="193" t="s">
        <v>659</v>
      </c>
      <c r="E5" s="193" t="s">
        <v>660</v>
      </c>
      <c r="F5" s="193" t="s">
        <v>661</v>
      </c>
      <c r="G5" s="193" t="s">
        <v>523</v>
      </c>
      <c r="H5" s="193" t="s">
        <v>662</v>
      </c>
      <c r="I5" s="193" t="s">
        <v>663</v>
      </c>
      <c r="J5" s="193" t="s">
        <v>664</v>
      </c>
    </row>
    <row r="6" spans="1:26" ht="30">
      <c r="A6" s="193" t="s">
        <v>665</v>
      </c>
      <c r="B6" s="193" t="s">
        <v>657</v>
      </c>
      <c r="C6" s="193" t="s">
        <v>658</v>
      </c>
      <c r="D6" s="193" t="s">
        <v>666</v>
      </c>
      <c r="E6" s="193" t="s">
        <v>667</v>
      </c>
      <c r="F6" s="193" t="s">
        <v>668</v>
      </c>
      <c r="G6" s="193" t="s">
        <v>523</v>
      </c>
      <c r="H6" s="193" t="s">
        <v>669</v>
      </c>
      <c r="I6" s="193" t="s">
        <v>663</v>
      </c>
      <c r="J6" s="193" t="s">
        <v>670</v>
      </c>
    </row>
    <row r="7" spans="1:26" ht="30">
      <c r="A7" s="193" t="s">
        <v>671</v>
      </c>
      <c r="B7" s="193" t="s">
        <v>657</v>
      </c>
      <c r="C7" s="193" t="s">
        <v>658</v>
      </c>
      <c r="D7" s="193" t="s">
        <v>672</v>
      </c>
      <c r="E7" s="193" t="s">
        <v>673</v>
      </c>
      <c r="F7" s="193" t="s">
        <v>674</v>
      </c>
      <c r="G7" s="193" t="s">
        <v>523</v>
      </c>
      <c r="H7" s="193" t="s">
        <v>675</v>
      </c>
      <c r="I7" s="193" t="s">
        <v>663</v>
      </c>
      <c r="J7" s="193" t="s">
        <v>676</v>
      </c>
    </row>
    <row r="8" spans="1:26" ht="30">
      <c r="A8" s="193" t="s">
        <v>677</v>
      </c>
      <c r="B8" s="193" t="s">
        <v>657</v>
      </c>
      <c r="C8" s="193" t="s">
        <v>678</v>
      </c>
      <c r="D8" s="193" t="s">
        <v>679</v>
      </c>
      <c r="E8" s="193" t="s">
        <v>680</v>
      </c>
      <c r="F8" s="193" t="s">
        <v>681</v>
      </c>
      <c r="G8" s="193" t="s">
        <v>523</v>
      </c>
      <c r="H8" s="193" t="s">
        <v>682</v>
      </c>
      <c r="I8" s="193" t="s">
        <v>663</v>
      </c>
      <c r="J8" s="193" t="s">
        <v>683</v>
      </c>
    </row>
    <row r="9" spans="1:26" ht="30">
      <c r="A9" s="193" t="s">
        <v>684</v>
      </c>
      <c r="B9" s="193" t="s">
        <v>657</v>
      </c>
      <c r="C9" s="193" t="s">
        <v>685</v>
      </c>
      <c r="D9" s="193" t="s">
        <v>686</v>
      </c>
      <c r="E9" s="193" t="s">
        <v>687</v>
      </c>
      <c r="F9" s="193" t="s">
        <v>688</v>
      </c>
      <c r="G9" s="193" t="s">
        <v>523</v>
      </c>
      <c r="H9" s="193" t="s">
        <v>689</v>
      </c>
      <c r="I9" s="193" t="s">
        <v>663</v>
      </c>
      <c r="J9" s="193" t="s">
        <v>690</v>
      </c>
    </row>
    <row r="10" spans="1:26" ht="30">
      <c r="A10" s="193" t="s">
        <v>691</v>
      </c>
      <c r="B10" s="193" t="s">
        <v>657</v>
      </c>
      <c r="C10" s="193" t="s">
        <v>678</v>
      </c>
      <c r="D10" s="193" t="s">
        <v>692</v>
      </c>
      <c r="E10" s="193" t="s">
        <v>693</v>
      </c>
      <c r="F10" s="193" t="s">
        <v>694</v>
      </c>
      <c r="G10" s="193" t="s">
        <v>523</v>
      </c>
      <c r="H10" s="193" t="s">
        <v>695</v>
      </c>
      <c r="I10" s="193" t="s">
        <v>663</v>
      </c>
      <c r="J10" s="193" t="s">
        <v>696</v>
      </c>
    </row>
    <row r="11" spans="1:26" ht="30">
      <c r="A11" s="193" t="s">
        <v>697</v>
      </c>
      <c r="B11" s="193" t="s">
        <v>657</v>
      </c>
      <c r="C11" s="193" t="s">
        <v>698</v>
      </c>
      <c r="D11" s="193" t="s">
        <v>699</v>
      </c>
      <c r="E11" s="193" t="s">
        <v>700</v>
      </c>
      <c r="F11" s="193" t="s">
        <v>701</v>
      </c>
      <c r="G11" s="193" t="s">
        <v>523</v>
      </c>
      <c r="H11" s="193" t="s">
        <v>702</v>
      </c>
      <c r="I11" s="193" t="s">
        <v>663</v>
      </c>
      <c r="J11" s="193" t="s">
        <v>703</v>
      </c>
    </row>
    <row r="12" spans="1:26" ht="30">
      <c r="A12" s="193" t="s">
        <v>704</v>
      </c>
      <c r="B12" s="193" t="s">
        <v>657</v>
      </c>
      <c r="C12" s="193" t="s">
        <v>678</v>
      </c>
      <c r="D12" s="193" t="s">
        <v>705</v>
      </c>
      <c r="E12" s="193" t="s">
        <v>706</v>
      </c>
      <c r="F12" s="193" t="s">
        <v>707</v>
      </c>
      <c r="G12" s="193" t="s">
        <v>523</v>
      </c>
      <c r="H12" s="193" t="s">
        <v>708</v>
      </c>
      <c r="I12" s="193" t="s">
        <v>663</v>
      </c>
      <c r="J12" s="193" t="s">
        <v>703</v>
      </c>
    </row>
    <row r="13" spans="1:26" ht="30">
      <c r="A13" s="193" t="s">
        <v>709</v>
      </c>
      <c r="B13" s="193" t="s">
        <v>657</v>
      </c>
      <c r="C13" s="193" t="s">
        <v>678</v>
      </c>
      <c r="D13" s="193" t="s">
        <v>710</v>
      </c>
      <c r="E13" s="193" t="s">
        <v>711</v>
      </c>
      <c r="F13" s="193" t="s">
        <v>712</v>
      </c>
      <c r="G13" s="193" t="s">
        <v>523</v>
      </c>
      <c r="H13" s="193" t="s">
        <v>713</v>
      </c>
      <c r="I13" s="193" t="s">
        <v>663</v>
      </c>
      <c r="J13" s="193" t="s">
        <v>703</v>
      </c>
    </row>
    <row r="14" spans="1:26" ht="30">
      <c r="A14" s="193" t="s">
        <v>714</v>
      </c>
      <c r="B14" s="193" t="s">
        <v>657</v>
      </c>
      <c r="C14" s="193" t="s">
        <v>678</v>
      </c>
      <c r="D14" s="193" t="s">
        <v>715</v>
      </c>
      <c r="E14" s="193" t="s">
        <v>716</v>
      </c>
      <c r="F14" s="193" t="s">
        <v>717</v>
      </c>
      <c r="G14" s="193" t="s">
        <v>523</v>
      </c>
      <c r="H14" s="193" t="s">
        <v>718</v>
      </c>
      <c r="I14" s="193" t="s">
        <v>663</v>
      </c>
      <c r="J14" s="193" t="s">
        <v>719</v>
      </c>
    </row>
    <row r="15" spans="1:26" ht="30">
      <c r="A15" s="193" t="s">
        <v>720</v>
      </c>
      <c r="B15" s="193" t="s">
        <v>657</v>
      </c>
      <c r="C15" s="193" t="s">
        <v>721</v>
      </c>
      <c r="D15" s="193" t="s">
        <v>722</v>
      </c>
      <c r="E15" s="193" t="s">
        <v>723</v>
      </c>
      <c r="F15" s="193" t="s">
        <v>724</v>
      </c>
      <c r="G15" s="193" t="s">
        <v>523</v>
      </c>
      <c r="H15" s="193" t="s">
        <v>725</v>
      </c>
      <c r="I15" s="193" t="s">
        <v>663</v>
      </c>
      <c r="J15" s="193" t="s">
        <v>726</v>
      </c>
    </row>
    <row r="16" spans="1:26">
      <c r="A16" s="193" t="s">
        <v>727</v>
      </c>
      <c r="B16" s="193" t="s">
        <v>657</v>
      </c>
      <c r="C16" s="193" t="s">
        <v>728</v>
      </c>
      <c r="D16" s="193" t="s">
        <v>729</v>
      </c>
      <c r="E16" s="193" t="s">
        <v>730</v>
      </c>
      <c r="F16" s="193" t="s">
        <v>731</v>
      </c>
      <c r="G16" s="193" t="s">
        <v>523</v>
      </c>
      <c r="H16" s="193" t="s">
        <v>732</v>
      </c>
      <c r="I16" s="193"/>
      <c r="J16" s="193"/>
    </row>
    <row r="17" spans="1:10">
      <c r="A17" s="193" t="s">
        <v>733</v>
      </c>
      <c r="B17" s="193" t="s">
        <v>657</v>
      </c>
      <c r="C17" s="193" t="s">
        <v>734</v>
      </c>
      <c r="D17" s="193" t="s">
        <v>735</v>
      </c>
      <c r="E17" s="193" t="s">
        <v>736</v>
      </c>
      <c r="F17" s="193" t="s">
        <v>737</v>
      </c>
      <c r="G17" s="193" t="s">
        <v>523</v>
      </c>
      <c r="H17" s="193" t="s">
        <v>738</v>
      </c>
      <c r="I17" s="193"/>
      <c r="J17" s="193"/>
    </row>
    <row r="18" spans="1:10">
      <c r="A18" s="193" t="s">
        <v>739</v>
      </c>
      <c r="B18" s="193" t="s">
        <v>657</v>
      </c>
      <c r="C18" s="193" t="s">
        <v>740</v>
      </c>
      <c r="D18" s="193" t="s">
        <v>741</v>
      </c>
      <c r="E18" s="193" t="s">
        <v>742</v>
      </c>
      <c r="F18" s="193" t="s">
        <v>743</v>
      </c>
      <c r="G18" s="193" t="s">
        <v>523</v>
      </c>
      <c r="H18" s="193" t="s">
        <v>738</v>
      </c>
      <c r="I18" s="193"/>
      <c r="J18" s="193"/>
    </row>
    <row r="19" spans="1:10">
      <c r="A19" s="193" t="s">
        <v>744</v>
      </c>
      <c r="B19" s="193" t="s">
        <v>657</v>
      </c>
      <c r="C19" s="193" t="s">
        <v>745</v>
      </c>
      <c r="D19" s="193" t="s">
        <v>746</v>
      </c>
      <c r="E19" s="193" t="s">
        <v>747</v>
      </c>
      <c r="F19" s="193" t="s">
        <v>748</v>
      </c>
      <c r="G19" s="193" t="s">
        <v>523</v>
      </c>
      <c r="H19" s="193" t="s">
        <v>749</v>
      </c>
      <c r="I19" s="193"/>
      <c r="J19" s="193"/>
    </row>
    <row r="20" spans="1:10">
      <c r="A20" s="193" t="s">
        <v>750</v>
      </c>
      <c r="B20" s="193" t="s">
        <v>657</v>
      </c>
      <c r="C20" s="193" t="s">
        <v>745</v>
      </c>
      <c r="D20" s="193" t="s">
        <v>751</v>
      </c>
      <c r="E20" s="193" t="s">
        <v>752</v>
      </c>
      <c r="F20" s="193" t="s">
        <v>753</v>
      </c>
      <c r="G20" s="193" t="s">
        <v>523</v>
      </c>
      <c r="H20" s="193" t="s">
        <v>749</v>
      </c>
      <c r="I20" s="193"/>
      <c r="J20" s="193"/>
    </row>
    <row r="21" spans="1:10">
      <c r="A21" s="193" t="s">
        <v>754</v>
      </c>
      <c r="B21" s="193" t="s">
        <v>657</v>
      </c>
      <c r="C21" s="193" t="s">
        <v>755</v>
      </c>
      <c r="D21" s="193" t="s">
        <v>756</v>
      </c>
      <c r="E21" s="193" t="s">
        <v>757</v>
      </c>
      <c r="F21" s="193" t="s">
        <v>758</v>
      </c>
      <c r="G21" s="193" t="s">
        <v>523</v>
      </c>
      <c r="H21" s="193" t="s">
        <v>759</v>
      </c>
      <c r="I21" s="193"/>
      <c r="J21" s="193"/>
    </row>
    <row r="22" spans="1:10">
      <c r="A22" s="193" t="s">
        <v>760</v>
      </c>
      <c r="B22" s="193" t="s">
        <v>657</v>
      </c>
      <c r="C22" s="193" t="s">
        <v>761</v>
      </c>
      <c r="D22" s="193" t="s">
        <v>762</v>
      </c>
      <c r="E22" s="193" t="s">
        <v>763</v>
      </c>
      <c r="F22" s="193" t="s">
        <v>764</v>
      </c>
      <c r="G22" s="193" t="s">
        <v>523</v>
      </c>
      <c r="H22" s="193" t="s">
        <v>765</v>
      </c>
      <c r="I22" s="193"/>
      <c r="J22" s="193"/>
    </row>
    <row r="23" spans="1:10">
      <c r="A23" s="193" t="s">
        <v>766</v>
      </c>
      <c r="B23" s="193" t="s">
        <v>657</v>
      </c>
      <c r="C23" s="193" t="s">
        <v>767</v>
      </c>
      <c r="D23" s="193" t="s">
        <v>768</v>
      </c>
      <c r="E23" s="193" t="s">
        <v>769</v>
      </c>
      <c r="F23" s="193" t="s">
        <v>770</v>
      </c>
      <c r="G23" s="193" t="s">
        <v>523</v>
      </c>
      <c r="H23" s="193" t="s">
        <v>738</v>
      </c>
      <c r="I23" s="193"/>
      <c r="J23" s="193"/>
    </row>
    <row r="24" spans="1:10">
      <c r="A24" s="193" t="s">
        <v>771</v>
      </c>
      <c r="B24" s="193" t="s">
        <v>657</v>
      </c>
      <c r="C24" s="193" t="s">
        <v>772</v>
      </c>
      <c r="D24" s="193" t="s">
        <v>773</v>
      </c>
      <c r="E24" s="193" t="s">
        <v>774</v>
      </c>
      <c r="F24" s="193" t="s">
        <v>775</v>
      </c>
      <c r="G24" s="193" t="s">
        <v>523</v>
      </c>
      <c r="H24" s="193" t="s">
        <v>776</v>
      </c>
      <c r="I24" s="193"/>
      <c r="J24" s="193"/>
    </row>
    <row r="25" spans="1:10" ht="30">
      <c r="A25" s="191" t="s">
        <v>777</v>
      </c>
      <c r="B25" s="192" t="s">
        <v>657</v>
      </c>
      <c r="C25" s="192" t="s">
        <v>755</v>
      </c>
      <c r="D25" s="192" t="s">
        <v>778</v>
      </c>
      <c r="E25" s="192" t="s">
        <v>779</v>
      </c>
      <c r="F25" s="192" t="s">
        <v>780</v>
      </c>
      <c r="G25" s="192" t="s">
        <v>523</v>
      </c>
      <c r="H25" s="192" t="s">
        <v>781</v>
      </c>
      <c r="I25" s="192" t="s">
        <v>663</v>
      </c>
      <c r="J25" s="192" t="s">
        <v>782</v>
      </c>
    </row>
    <row r="26" spans="1:10" ht="30">
      <c r="A26" s="191" t="s">
        <v>783</v>
      </c>
      <c r="B26" s="192" t="s">
        <v>657</v>
      </c>
      <c r="C26" s="192" t="s">
        <v>784</v>
      </c>
      <c r="D26" s="192" t="s">
        <v>785</v>
      </c>
      <c r="E26" s="192" t="s">
        <v>786</v>
      </c>
      <c r="F26" s="192" t="s">
        <v>787</v>
      </c>
      <c r="G26" s="192" t="s">
        <v>523</v>
      </c>
      <c r="H26" s="192" t="s">
        <v>788</v>
      </c>
      <c r="I26" s="192" t="s">
        <v>663</v>
      </c>
      <c r="J26" s="192" t="s">
        <v>789</v>
      </c>
    </row>
    <row r="27" spans="1:10" ht="30">
      <c r="A27" s="191" t="s">
        <v>790</v>
      </c>
      <c r="B27" s="192" t="s">
        <v>657</v>
      </c>
      <c r="C27" s="192" t="s">
        <v>784</v>
      </c>
      <c r="D27" s="192" t="s">
        <v>791</v>
      </c>
      <c r="E27" s="192" t="s">
        <v>792</v>
      </c>
      <c r="F27" s="192" t="s">
        <v>793</v>
      </c>
      <c r="G27" s="192" t="s">
        <v>523</v>
      </c>
      <c r="H27" s="192" t="s">
        <v>794</v>
      </c>
      <c r="I27" s="192" t="s">
        <v>663</v>
      </c>
      <c r="J27" s="192" t="s">
        <v>795</v>
      </c>
    </row>
    <row r="28" spans="1:10" ht="30">
      <c r="A28" s="191" t="s">
        <v>796</v>
      </c>
      <c r="B28" s="192" t="s">
        <v>657</v>
      </c>
      <c r="C28" s="192" t="s">
        <v>784</v>
      </c>
      <c r="D28" s="192" t="s">
        <v>797</v>
      </c>
      <c r="E28" s="192" t="s">
        <v>798</v>
      </c>
      <c r="F28" s="192" t="s">
        <v>799</v>
      </c>
      <c r="G28" s="192" t="s">
        <v>523</v>
      </c>
      <c r="H28" s="192" t="s">
        <v>800</v>
      </c>
      <c r="I28" s="192" t="s">
        <v>663</v>
      </c>
      <c r="J28" s="192" t="s">
        <v>801</v>
      </c>
    </row>
    <row r="29" spans="1:10" ht="30">
      <c r="A29" s="191" t="s">
        <v>802</v>
      </c>
      <c r="B29" s="192" t="s">
        <v>657</v>
      </c>
      <c r="C29" s="192" t="s">
        <v>658</v>
      </c>
      <c r="D29" s="192" t="s">
        <v>803</v>
      </c>
      <c r="E29" s="192" t="s">
        <v>804</v>
      </c>
      <c r="F29" s="192" t="s">
        <v>805</v>
      </c>
      <c r="G29" s="192" t="s">
        <v>523</v>
      </c>
      <c r="H29" s="192" t="s">
        <v>806</v>
      </c>
      <c r="I29" s="192" t="s">
        <v>663</v>
      </c>
      <c r="J29" s="192" t="s">
        <v>807</v>
      </c>
    </row>
    <row r="30" spans="1:10" ht="30">
      <c r="A30" s="191" t="s">
        <v>808</v>
      </c>
      <c r="B30" s="192" t="s">
        <v>657</v>
      </c>
      <c r="C30" s="192" t="s">
        <v>809</v>
      </c>
      <c r="D30" s="192" t="s">
        <v>810</v>
      </c>
      <c r="E30" s="192" t="s">
        <v>811</v>
      </c>
      <c r="F30" s="192" t="s">
        <v>812</v>
      </c>
      <c r="G30" s="192" t="s">
        <v>523</v>
      </c>
      <c r="H30" s="192" t="s">
        <v>813</v>
      </c>
      <c r="I30" s="192" t="s">
        <v>663</v>
      </c>
      <c r="J30" s="192" t="s">
        <v>814</v>
      </c>
    </row>
    <row r="31" spans="1:10" ht="30">
      <c r="A31" s="191" t="s">
        <v>815</v>
      </c>
      <c r="B31" s="192" t="s">
        <v>657</v>
      </c>
      <c r="C31" s="192" t="s">
        <v>658</v>
      </c>
      <c r="D31" s="192" t="s">
        <v>61</v>
      </c>
      <c r="E31" s="192" t="s">
        <v>816</v>
      </c>
      <c r="F31" s="192" t="s">
        <v>817</v>
      </c>
      <c r="G31" s="192" t="s">
        <v>523</v>
      </c>
      <c r="H31" s="192" t="s">
        <v>818</v>
      </c>
      <c r="I31" s="192" t="s">
        <v>663</v>
      </c>
      <c r="J31" s="192" t="s">
        <v>819</v>
      </c>
    </row>
    <row r="32" spans="1:10" ht="30">
      <c r="A32" s="191" t="s">
        <v>820</v>
      </c>
      <c r="B32" s="192" t="s">
        <v>657</v>
      </c>
      <c r="C32" s="192" t="s">
        <v>821</v>
      </c>
      <c r="D32" s="192" t="s">
        <v>822</v>
      </c>
      <c r="E32" s="192" t="s">
        <v>823</v>
      </c>
      <c r="F32" s="192" t="s">
        <v>824</v>
      </c>
      <c r="G32" s="192" t="s">
        <v>523</v>
      </c>
      <c r="H32" s="192" t="s">
        <v>825</v>
      </c>
      <c r="I32" s="192" t="s">
        <v>663</v>
      </c>
      <c r="J32" s="192" t="s">
        <v>826</v>
      </c>
    </row>
    <row r="33" spans="1:26" ht="30">
      <c r="A33" s="191" t="s">
        <v>827</v>
      </c>
      <c r="B33" s="192" t="s">
        <v>657</v>
      </c>
      <c r="C33" s="192" t="s">
        <v>761</v>
      </c>
      <c r="D33" s="192" t="s">
        <v>828</v>
      </c>
      <c r="E33" s="192" t="s">
        <v>829</v>
      </c>
      <c r="F33" s="192" t="s">
        <v>830</v>
      </c>
      <c r="G33" s="192" t="s">
        <v>523</v>
      </c>
      <c r="H33" s="192" t="s">
        <v>831</v>
      </c>
      <c r="I33" s="192" t="s">
        <v>663</v>
      </c>
      <c r="J33" s="192" t="s">
        <v>832</v>
      </c>
    </row>
    <row r="34" spans="1:26" ht="30">
      <c r="A34" s="191" t="s">
        <v>833</v>
      </c>
      <c r="B34" s="192" t="s">
        <v>657</v>
      </c>
      <c r="C34" s="192" t="s">
        <v>834</v>
      </c>
      <c r="D34" s="192" t="s">
        <v>835</v>
      </c>
      <c r="E34" s="192" t="s">
        <v>836</v>
      </c>
      <c r="F34" s="192" t="s">
        <v>837</v>
      </c>
      <c r="G34" s="192" t="s">
        <v>523</v>
      </c>
      <c r="H34" s="192" t="s">
        <v>838</v>
      </c>
      <c r="I34" s="192" t="s">
        <v>663</v>
      </c>
      <c r="J34" s="192" t="s">
        <v>839</v>
      </c>
    </row>
    <row r="35" spans="1:26" ht="30">
      <c r="A35" s="191" t="s">
        <v>840</v>
      </c>
      <c r="B35" s="192" t="s">
        <v>657</v>
      </c>
      <c r="C35" s="192" t="s">
        <v>841</v>
      </c>
      <c r="D35" s="192" t="s">
        <v>842</v>
      </c>
      <c r="E35" s="192" t="s">
        <v>843</v>
      </c>
      <c r="F35" s="192" t="s">
        <v>844</v>
      </c>
      <c r="G35" s="192" t="s">
        <v>523</v>
      </c>
      <c r="H35" s="192" t="s">
        <v>845</v>
      </c>
      <c r="I35" s="192" t="s">
        <v>663</v>
      </c>
      <c r="J35" s="192" t="s">
        <v>846</v>
      </c>
    </row>
    <row r="36" spans="1:26" ht="30">
      <c r="A36" s="191" t="s">
        <v>847</v>
      </c>
      <c r="B36" s="192" t="s">
        <v>657</v>
      </c>
      <c r="C36" s="192" t="s">
        <v>848</v>
      </c>
      <c r="D36" s="192" t="s">
        <v>849</v>
      </c>
      <c r="E36" s="192" t="s">
        <v>850</v>
      </c>
      <c r="F36" s="192" t="s">
        <v>851</v>
      </c>
      <c r="G36" s="192" t="s">
        <v>523</v>
      </c>
      <c r="H36" s="192" t="s">
        <v>852</v>
      </c>
      <c r="I36" s="192" t="s">
        <v>663</v>
      </c>
      <c r="J36" s="192" t="s">
        <v>853</v>
      </c>
    </row>
    <row r="37" spans="1:26" ht="45">
      <c r="A37" s="387" t="s">
        <v>854</v>
      </c>
      <c r="B37" s="193" t="s">
        <v>657</v>
      </c>
      <c r="C37" s="193" t="s">
        <v>755</v>
      </c>
      <c r="D37" s="193" t="s">
        <v>855</v>
      </c>
      <c r="E37" s="193" t="s">
        <v>856</v>
      </c>
      <c r="F37" s="193" t="s">
        <v>857</v>
      </c>
      <c r="G37" s="193" t="s">
        <v>523</v>
      </c>
      <c r="H37" s="193" t="s">
        <v>858</v>
      </c>
      <c r="I37" s="193" t="s">
        <v>663</v>
      </c>
      <c r="J37" s="193" t="s">
        <v>859</v>
      </c>
    </row>
    <row r="38" spans="1:26" ht="45">
      <c r="A38" s="387" t="s">
        <v>860</v>
      </c>
      <c r="B38" s="193" t="s">
        <v>657</v>
      </c>
      <c r="C38" s="193" t="s">
        <v>767</v>
      </c>
      <c r="D38" s="193" t="s">
        <v>861</v>
      </c>
      <c r="E38" s="193" t="s">
        <v>862</v>
      </c>
      <c r="F38" s="193" t="s">
        <v>863</v>
      </c>
      <c r="G38" s="193" t="s">
        <v>523</v>
      </c>
      <c r="H38" s="193" t="s">
        <v>864</v>
      </c>
      <c r="I38" s="193" t="s">
        <v>663</v>
      </c>
      <c r="J38" s="193" t="s">
        <v>865</v>
      </c>
    </row>
    <row r="39" spans="1:26" ht="30">
      <c r="A39" s="387" t="s">
        <v>866</v>
      </c>
      <c r="B39" s="193" t="s">
        <v>657</v>
      </c>
      <c r="C39" s="193" t="s">
        <v>867</v>
      </c>
      <c r="D39" s="193" t="s">
        <v>868</v>
      </c>
      <c r="E39" s="193" t="s">
        <v>869</v>
      </c>
      <c r="F39" s="193" t="s">
        <v>870</v>
      </c>
      <c r="G39" s="193" t="s">
        <v>523</v>
      </c>
      <c r="H39" s="193" t="s">
        <v>871</v>
      </c>
      <c r="I39" s="193" t="s">
        <v>663</v>
      </c>
      <c r="J39" s="193" t="s">
        <v>872</v>
      </c>
    </row>
    <row r="40" spans="1:26" ht="45">
      <c r="A40" s="387" t="s">
        <v>873</v>
      </c>
      <c r="B40" s="193" t="s">
        <v>657</v>
      </c>
      <c r="C40" s="193" t="s">
        <v>867</v>
      </c>
      <c r="D40" s="193" t="s">
        <v>874</v>
      </c>
      <c r="E40" s="193" t="s">
        <v>875</v>
      </c>
      <c r="F40" s="193" t="s">
        <v>876</v>
      </c>
      <c r="G40" s="193" t="s">
        <v>523</v>
      </c>
      <c r="H40" s="193" t="s">
        <v>871</v>
      </c>
      <c r="I40" s="193" t="s">
        <v>663</v>
      </c>
      <c r="J40" s="193" t="s">
        <v>877</v>
      </c>
    </row>
    <row r="41" spans="1:26" ht="30">
      <c r="A41" s="387" t="s">
        <v>878</v>
      </c>
      <c r="B41" s="193" t="s">
        <v>657</v>
      </c>
      <c r="C41" s="193" t="s">
        <v>761</v>
      </c>
      <c r="D41" s="193" t="s">
        <v>879</v>
      </c>
      <c r="E41" s="193" t="s">
        <v>880</v>
      </c>
      <c r="F41" s="193" t="s">
        <v>881</v>
      </c>
      <c r="G41" s="193" t="s">
        <v>523</v>
      </c>
      <c r="H41" s="193" t="s">
        <v>882</v>
      </c>
      <c r="I41" s="193" t="s">
        <v>663</v>
      </c>
      <c r="J41" s="193" t="s">
        <v>883</v>
      </c>
    </row>
    <row r="42" spans="1:26" ht="30">
      <c r="A42" s="387" t="s">
        <v>884</v>
      </c>
      <c r="B42" s="193" t="s">
        <v>657</v>
      </c>
      <c r="C42" s="193" t="s">
        <v>841</v>
      </c>
      <c r="D42" s="193" t="s">
        <v>842</v>
      </c>
      <c r="E42" s="193" t="s">
        <v>885</v>
      </c>
      <c r="F42" s="193" t="s">
        <v>886</v>
      </c>
      <c r="G42" s="193" t="s">
        <v>523</v>
      </c>
      <c r="H42" s="193" t="s">
        <v>852</v>
      </c>
      <c r="I42" s="193" t="s">
        <v>663</v>
      </c>
      <c r="J42" s="193" t="s">
        <v>887</v>
      </c>
    </row>
    <row r="43" spans="1:26" ht="45">
      <c r="A43" s="193" t="s">
        <v>888</v>
      </c>
      <c r="B43" s="193" t="s">
        <v>657</v>
      </c>
      <c r="C43" s="193" t="s">
        <v>619</v>
      </c>
      <c r="D43" s="193" t="s">
        <v>889</v>
      </c>
      <c r="E43" s="193" t="s">
        <v>890</v>
      </c>
      <c r="F43" s="193" t="s">
        <v>891</v>
      </c>
      <c r="G43" s="193" t="s">
        <v>523</v>
      </c>
      <c r="H43" s="193" t="s">
        <v>892</v>
      </c>
      <c r="I43" s="193" t="s">
        <v>663</v>
      </c>
      <c r="J43" s="193" t="s">
        <v>893</v>
      </c>
      <c r="K43" s="193"/>
      <c r="L43" s="193"/>
      <c r="M43" s="193"/>
      <c r="N43" s="193"/>
      <c r="O43" s="193"/>
      <c r="P43" s="193"/>
      <c r="Q43" s="193"/>
      <c r="R43" s="193"/>
      <c r="S43" s="193"/>
      <c r="T43" s="193"/>
      <c r="U43" s="193"/>
      <c r="V43" s="193"/>
      <c r="W43" s="193"/>
      <c r="X43" s="193"/>
      <c r="Y43" s="193"/>
      <c r="Z43" s="193"/>
    </row>
    <row r="44" spans="1:26" ht="45">
      <c r="A44" s="193" t="s">
        <v>894</v>
      </c>
      <c r="B44" s="193" t="s">
        <v>657</v>
      </c>
      <c r="C44" s="193" t="s">
        <v>895</v>
      </c>
      <c r="D44" s="193" t="s">
        <v>896</v>
      </c>
      <c r="E44" s="193" t="s">
        <v>897</v>
      </c>
      <c r="F44" s="193" t="s">
        <v>898</v>
      </c>
      <c r="G44" s="193" t="s">
        <v>523</v>
      </c>
      <c r="H44" s="193" t="s">
        <v>899</v>
      </c>
      <c r="I44" s="193" t="s">
        <v>663</v>
      </c>
      <c r="J44" s="193" t="s">
        <v>900</v>
      </c>
      <c r="K44" s="193"/>
      <c r="L44" s="193"/>
      <c r="M44" s="193"/>
      <c r="N44" s="193"/>
      <c r="O44" s="193"/>
      <c r="P44" s="193"/>
      <c r="Q44" s="193"/>
      <c r="R44" s="193"/>
      <c r="S44" s="193"/>
      <c r="T44" s="193"/>
      <c r="U44" s="193"/>
      <c r="V44" s="193"/>
      <c r="W44" s="193"/>
      <c r="X44" s="193"/>
      <c r="Y44" s="193"/>
      <c r="Z44" s="193"/>
    </row>
    <row r="45" spans="1:26" ht="30">
      <c r="A45" s="193" t="s">
        <v>901</v>
      </c>
      <c r="B45" s="193" t="s">
        <v>657</v>
      </c>
      <c r="C45" s="193" t="s">
        <v>902</v>
      </c>
      <c r="D45" s="193" t="s">
        <v>903</v>
      </c>
      <c r="E45" s="193" t="s">
        <v>904</v>
      </c>
      <c r="F45" s="193" t="s">
        <v>905</v>
      </c>
      <c r="G45" s="193" t="s">
        <v>523</v>
      </c>
      <c r="H45" s="193" t="s">
        <v>906</v>
      </c>
      <c r="I45" s="193" t="s">
        <v>663</v>
      </c>
      <c r="J45" s="193" t="s">
        <v>907</v>
      </c>
      <c r="K45" s="193"/>
      <c r="L45" s="193"/>
      <c r="M45" s="193"/>
      <c r="N45" s="193"/>
      <c r="O45" s="193"/>
      <c r="P45" s="193"/>
      <c r="Q45" s="193"/>
      <c r="R45" s="193"/>
      <c r="S45" s="193"/>
      <c r="T45" s="193"/>
      <c r="U45" s="193"/>
      <c r="V45" s="193"/>
      <c r="W45" s="193"/>
      <c r="X45" s="193"/>
      <c r="Y45" s="193"/>
      <c r="Z45" s="193"/>
    </row>
    <row r="46" spans="1:26" ht="30">
      <c r="A46" s="193" t="s">
        <v>908</v>
      </c>
      <c r="B46" s="193" t="s">
        <v>657</v>
      </c>
      <c r="C46" s="193" t="s">
        <v>761</v>
      </c>
      <c r="D46" s="193" t="s">
        <v>909</v>
      </c>
      <c r="E46" s="193" t="s">
        <v>910</v>
      </c>
      <c r="F46" s="193" t="s">
        <v>911</v>
      </c>
      <c r="G46" s="193" t="s">
        <v>523</v>
      </c>
      <c r="H46" s="193" t="s">
        <v>882</v>
      </c>
      <c r="I46" s="193" t="s">
        <v>663</v>
      </c>
      <c r="J46" s="193" t="s">
        <v>912</v>
      </c>
      <c r="K46" s="193"/>
      <c r="L46" s="193"/>
      <c r="M46" s="193"/>
      <c r="N46" s="193"/>
      <c r="O46" s="193"/>
      <c r="P46" s="193"/>
      <c r="Q46" s="193"/>
      <c r="R46" s="193"/>
      <c r="S46" s="193"/>
      <c r="T46" s="193"/>
      <c r="U46" s="193"/>
      <c r="V46" s="193"/>
      <c r="W46" s="193"/>
      <c r="X46" s="193"/>
      <c r="Y46" s="193"/>
      <c r="Z46" s="193"/>
    </row>
    <row r="47" spans="1:26" ht="30">
      <c r="A47" s="193" t="s">
        <v>913</v>
      </c>
      <c r="B47" s="193" t="s">
        <v>657</v>
      </c>
      <c r="C47" s="193" t="s">
        <v>841</v>
      </c>
      <c r="D47" s="193" t="s">
        <v>914</v>
      </c>
      <c r="E47" s="193" t="s">
        <v>915</v>
      </c>
      <c r="F47" s="193" t="s">
        <v>916</v>
      </c>
      <c r="G47" s="193" t="s">
        <v>523</v>
      </c>
      <c r="H47" s="193" t="s">
        <v>852</v>
      </c>
      <c r="I47" s="193" t="s">
        <v>663</v>
      </c>
      <c r="J47" s="193" t="s">
        <v>917</v>
      </c>
      <c r="K47" s="193"/>
      <c r="L47" s="193"/>
      <c r="M47" s="193"/>
      <c r="N47" s="193"/>
      <c r="O47" s="193"/>
      <c r="P47" s="193"/>
      <c r="Q47" s="193"/>
      <c r="R47" s="193"/>
      <c r="S47" s="193"/>
      <c r="T47" s="193"/>
      <c r="U47" s="193"/>
      <c r="V47" s="193"/>
      <c r="W47" s="193"/>
      <c r="X47" s="193"/>
      <c r="Y47" s="193"/>
      <c r="Z47" s="193"/>
    </row>
    <row r="48" spans="1:26" ht="60">
      <c r="A48" s="193" t="s">
        <v>918</v>
      </c>
      <c r="B48" s="193" t="s">
        <v>657</v>
      </c>
      <c r="C48" s="193" t="s">
        <v>919</v>
      </c>
      <c r="D48" s="193" t="s">
        <v>920</v>
      </c>
      <c r="E48" s="193" t="s">
        <v>921</v>
      </c>
      <c r="F48" s="193" t="s">
        <v>922</v>
      </c>
      <c r="G48" s="193" t="s">
        <v>523</v>
      </c>
      <c r="H48" s="193" t="s">
        <v>923</v>
      </c>
      <c r="I48" s="193" t="s">
        <v>663</v>
      </c>
      <c r="J48" s="193" t="s">
        <v>924</v>
      </c>
    </row>
    <row r="49" spans="1:10" ht="45">
      <c r="A49" s="193" t="s">
        <v>925</v>
      </c>
      <c r="B49" s="193" t="s">
        <v>657</v>
      </c>
      <c r="C49" s="193" t="s">
        <v>926</v>
      </c>
      <c r="D49" s="193" t="s">
        <v>927</v>
      </c>
      <c r="E49" s="193" t="s">
        <v>928</v>
      </c>
      <c r="F49" s="193" t="s">
        <v>929</v>
      </c>
      <c r="G49" s="193" t="s">
        <v>523</v>
      </c>
      <c r="H49" s="193" t="s">
        <v>930</v>
      </c>
      <c r="I49" s="193" t="s">
        <v>663</v>
      </c>
      <c r="J49" s="193" t="s">
        <v>931</v>
      </c>
    </row>
    <row r="50" spans="1:10" ht="45">
      <c r="A50" s="193" t="s">
        <v>932</v>
      </c>
      <c r="B50" s="193" t="s">
        <v>657</v>
      </c>
      <c r="C50" s="193" t="s">
        <v>761</v>
      </c>
      <c r="D50" s="193" t="s">
        <v>933</v>
      </c>
      <c r="E50" s="193" t="s">
        <v>934</v>
      </c>
      <c r="F50" s="193" t="s">
        <v>935</v>
      </c>
      <c r="G50" s="193" t="s">
        <v>523</v>
      </c>
      <c r="H50" s="193" t="s">
        <v>936</v>
      </c>
      <c r="I50" s="193" t="s">
        <v>663</v>
      </c>
      <c r="J50" s="193" t="s">
        <v>937</v>
      </c>
    </row>
    <row r="51" spans="1:10" ht="30">
      <c r="A51" s="193" t="s">
        <v>938</v>
      </c>
      <c r="B51" s="193" t="s">
        <v>657</v>
      </c>
      <c r="C51" s="193" t="s">
        <v>841</v>
      </c>
      <c r="D51" s="193" t="s">
        <v>939</v>
      </c>
      <c r="E51" s="193" t="s">
        <v>940</v>
      </c>
      <c r="F51" s="193" t="s">
        <v>941</v>
      </c>
      <c r="G51" s="193" t="s">
        <v>523</v>
      </c>
      <c r="H51" s="193" t="s">
        <v>845</v>
      </c>
      <c r="I51" s="193" t="s">
        <v>663</v>
      </c>
      <c r="J51" s="193" t="s">
        <v>942</v>
      </c>
    </row>
    <row r="52" spans="1:10" ht="45">
      <c r="A52" s="193" t="s">
        <v>943</v>
      </c>
      <c r="B52" s="193" t="s">
        <v>657</v>
      </c>
      <c r="C52" s="193" t="s">
        <v>944</v>
      </c>
      <c r="D52" s="193" t="s">
        <v>945</v>
      </c>
      <c r="E52" s="193" t="s">
        <v>946</v>
      </c>
      <c r="F52" s="193" t="s">
        <v>947</v>
      </c>
      <c r="G52" s="193" t="s">
        <v>523</v>
      </c>
      <c r="H52" s="193" t="s">
        <v>948</v>
      </c>
      <c r="I52" s="193" t="s">
        <v>663</v>
      </c>
      <c r="J52" s="193" t="s">
        <v>949</v>
      </c>
    </row>
    <row r="53" spans="1:10" ht="30">
      <c r="A53" s="216" t="s">
        <v>950</v>
      </c>
      <c r="B53" s="215" t="s">
        <v>657</v>
      </c>
      <c r="C53" s="215" t="s">
        <v>951</v>
      </c>
      <c r="D53" s="215" t="s">
        <v>952</v>
      </c>
      <c r="E53" s="215" t="s">
        <v>953</v>
      </c>
      <c r="F53" s="215" t="s">
        <v>954</v>
      </c>
      <c r="G53" s="215" t="s">
        <v>523</v>
      </c>
      <c r="H53" s="215" t="s">
        <v>955</v>
      </c>
      <c r="I53" s="215" t="s">
        <v>663</v>
      </c>
      <c r="J53" s="215" t="s">
        <v>956</v>
      </c>
    </row>
    <row r="54" spans="1:10" ht="60">
      <c r="A54" s="216" t="s">
        <v>957</v>
      </c>
      <c r="B54" s="215" t="s">
        <v>657</v>
      </c>
      <c r="C54" s="215" t="s">
        <v>958</v>
      </c>
      <c r="D54" s="215" t="s">
        <v>959</v>
      </c>
      <c r="E54" s="215" t="s">
        <v>960</v>
      </c>
      <c r="F54" s="215" t="s">
        <v>961</v>
      </c>
      <c r="G54" s="215" t="s">
        <v>523</v>
      </c>
      <c r="H54" s="215" t="s">
        <v>962</v>
      </c>
      <c r="I54" s="215" t="s">
        <v>663</v>
      </c>
      <c r="J54" s="215" t="s">
        <v>963</v>
      </c>
    </row>
    <row r="55" spans="1:10" ht="45">
      <c r="A55" s="216" t="s">
        <v>964</v>
      </c>
      <c r="B55" s="215" t="s">
        <v>657</v>
      </c>
      <c r="C55" s="215" t="s">
        <v>965</v>
      </c>
      <c r="D55" s="215" t="s">
        <v>966</v>
      </c>
      <c r="E55" s="215" t="s">
        <v>967</v>
      </c>
      <c r="F55" s="215" t="s">
        <v>968</v>
      </c>
      <c r="G55" s="215" t="s">
        <v>523</v>
      </c>
      <c r="H55" s="215" t="s">
        <v>969</v>
      </c>
      <c r="I55" s="215" t="s">
        <v>663</v>
      </c>
      <c r="J55" s="215" t="s">
        <v>970</v>
      </c>
    </row>
    <row r="56" spans="1:10" ht="30">
      <c r="A56" s="216" t="s">
        <v>971</v>
      </c>
      <c r="B56" s="215" t="s">
        <v>657</v>
      </c>
      <c r="C56" s="215" t="s">
        <v>972</v>
      </c>
      <c r="D56" s="215" t="s">
        <v>973</v>
      </c>
      <c r="E56" s="215" t="s">
        <v>974</v>
      </c>
      <c r="F56" s="215" t="s">
        <v>975</v>
      </c>
      <c r="G56" s="215" t="s">
        <v>523</v>
      </c>
      <c r="H56" s="215" t="s">
        <v>976</v>
      </c>
      <c r="I56" s="215" t="s">
        <v>663</v>
      </c>
      <c r="J56" s="215" t="s">
        <v>977</v>
      </c>
    </row>
    <row r="57" spans="1:10" ht="30">
      <c r="A57" s="216" t="s">
        <v>978</v>
      </c>
      <c r="B57" s="215" t="s">
        <v>657</v>
      </c>
      <c r="C57" s="215" t="s">
        <v>761</v>
      </c>
      <c r="D57" s="215" t="s">
        <v>979</v>
      </c>
      <c r="E57" s="215" t="s">
        <v>980</v>
      </c>
      <c r="F57" s="215" t="s">
        <v>981</v>
      </c>
      <c r="G57" s="215" t="s">
        <v>523</v>
      </c>
      <c r="H57" s="215" t="s">
        <v>982</v>
      </c>
      <c r="I57" s="215" t="s">
        <v>663</v>
      </c>
      <c r="J57" s="215" t="s">
        <v>983</v>
      </c>
    </row>
    <row r="58" spans="1:10" ht="30">
      <c r="A58" s="216" t="s">
        <v>984</v>
      </c>
      <c r="B58" s="215" t="s">
        <v>657</v>
      </c>
      <c r="C58" s="215" t="s">
        <v>841</v>
      </c>
      <c r="D58" s="215" t="s">
        <v>842</v>
      </c>
      <c r="E58" s="215" t="s">
        <v>985</v>
      </c>
      <c r="F58" s="215" t="s">
        <v>986</v>
      </c>
      <c r="G58" s="215" t="s">
        <v>523</v>
      </c>
      <c r="H58" s="215" t="s">
        <v>845</v>
      </c>
      <c r="I58" s="215" t="s">
        <v>663</v>
      </c>
      <c r="J58" s="215" t="s">
        <v>987</v>
      </c>
    </row>
    <row r="59" spans="1:10" ht="30">
      <c r="A59" s="193" t="s">
        <v>988</v>
      </c>
      <c r="B59" s="193" t="s">
        <v>657</v>
      </c>
      <c r="C59" s="193" t="s">
        <v>989</v>
      </c>
      <c r="D59" s="193" t="s">
        <v>990</v>
      </c>
      <c r="E59" s="193" t="s">
        <v>991</v>
      </c>
      <c r="F59" s="193" t="s">
        <v>992</v>
      </c>
      <c r="G59" s="193" t="s">
        <v>523</v>
      </c>
      <c r="H59" s="193" t="s">
        <v>993</v>
      </c>
      <c r="I59" s="193" t="s">
        <v>663</v>
      </c>
      <c r="J59" s="193" t="s">
        <v>994</v>
      </c>
    </row>
    <row r="60" spans="1:10" ht="45">
      <c r="A60" s="193" t="s">
        <v>995</v>
      </c>
      <c r="B60" s="193" t="s">
        <v>657</v>
      </c>
      <c r="C60" s="193" t="s">
        <v>996</v>
      </c>
      <c r="D60" s="193" t="s">
        <v>741</v>
      </c>
      <c r="E60" s="193" t="s">
        <v>997</v>
      </c>
      <c r="F60" s="193" t="s">
        <v>998</v>
      </c>
      <c r="G60" s="193" t="s">
        <v>523</v>
      </c>
      <c r="H60" s="193" t="s">
        <v>999</v>
      </c>
      <c r="I60" s="193" t="s">
        <v>663</v>
      </c>
      <c r="J60" s="193" t="s">
        <v>1000</v>
      </c>
    </row>
    <row r="61" spans="1:10" ht="30">
      <c r="A61" s="193" t="s">
        <v>1001</v>
      </c>
      <c r="B61" s="193" t="s">
        <v>657</v>
      </c>
      <c r="C61" s="193" t="s">
        <v>1002</v>
      </c>
      <c r="D61" s="193" t="s">
        <v>1003</v>
      </c>
      <c r="E61" s="193" t="s">
        <v>1004</v>
      </c>
      <c r="F61" s="193" t="s">
        <v>1005</v>
      </c>
      <c r="G61" s="193" t="s">
        <v>523</v>
      </c>
      <c r="H61" s="193" t="s">
        <v>1006</v>
      </c>
      <c r="I61" s="193" t="s">
        <v>663</v>
      </c>
      <c r="J61" s="193" t="s">
        <v>1007</v>
      </c>
    </row>
    <row r="62" spans="1:10" ht="30">
      <c r="A62" s="193" t="s">
        <v>1008</v>
      </c>
      <c r="B62" s="193" t="s">
        <v>657</v>
      </c>
      <c r="C62" s="193" t="s">
        <v>841</v>
      </c>
      <c r="D62" s="193" t="s">
        <v>842</v>
      </c>
      <c r="E62" s="193" t="s">
        <v>1009</v>
      </c>
      <c r="F62" s="193" t="s">
        <v>1010</v>
      </c>
      <c r="G62" s="193" t="s">
        <v>523</v>
      </c>
      <c r="H62" s="193" t="s">
        <v>1011</v>
      </c>
      <c r="I62" s="193" t="s">
        <v>663</v>
      </c>
      <c r="J62" s="193" t="s">
        <v>1012</v>
      </c>
    </row>
    <row r="63" spans="1:10" ht="30">
      <c r="A63" s="193" t="s">
        <v>1013</v>
      </c>
      <c r="B63" s="193" t="s">
        <v>657</v>
      </c>
      <c r="C63" s="193" t="s">
        <v>1014</v>
      </c>
      <c r="D63" s="193" t="s">
        <v>979</v>
      </c>
      <c r="E63" s="193" t="s">
        <v>1015</v>
      </c>
      <c r="F63" s="193" t="s">
        <v>1016</v>
      </c>
      <c r="G63" s="193" t="s">
        <v>523</v>
      </c>
      <c r="H63" s="193" t="s">
        <v>1017</v>
      </c>
      <c r="I63" s="193" t="s">
        <v>663</v>
      </c>
      <c r="J63" s="193" t="s">
        <v>1018</v>
      </c>
    </row>
    <row r="64" spans="1:10" ht="45">
      <c r="A64" s="193" t="s">
        <v>1019</v>
      </c>
      <c r="B64" s="193" t="s">
        <v>657</v>
      </c>
      <c r="C64" s="193" t="s">
        <v>834</v>
      </c>
      <c r="D64" s="193" t="s">
        <v>1020</v>
      </c>
      <c r="E64" s="193" t="s">
        <v>1021</v>
      </c>
      <c r="F64" s="193" t="s">
        <v>1022</v>
      </c>
      <c r="G64" s="193" t="s">
        <v>523</v>
      </c>
      <c r="H64" s="193" t="s">
        <v>1023</v>
      </c>
      <c r="I64" s="193" t="s">
        <v>663</v>
      </c>
      <c r="J64" s="193" t="s">
        <v>1024</v>
      </c>
    </row>
    <row r="65" spans="1:10" ht="60">
      <c r="A65" s="355" t="s">
        <v>1025</v>
      </c>
      <c r="B65" s="356" t="s">
        <v>657</v>
      </c>
      <c r="C65" s="356" t="s">
        <v>1026</v>
      </c>
      <c r="D65" s="356" t="s">
        <v>1027</v>
      </c>
      <c r="E65" s="356" t="s">
        <v>1028</v>
      </c>
      <c r="F65" s="356" t="s">
        <v>1029</v>
      </c>
      <c r="G65" s="356" t="s">
        <v>523</v>
      </c>
      <c r="H65" s="356" t="s">
        <v>1030</v>
      </c>
      <c r="I65" s="356" t="s">
        <v>663</v>
      </c>
      <c r="J65" s="356" t="s">
        <v>1031</v>
      </c>
    </row>
    <row r="66" spans="1:10" ht="45">
      <c r="A66" s="355" t="s">
        <v>1032</v>
      </c>
      <c r="B66" s="356" t="s">
        <v>657</v>
      </c>
      <c r="C66" s="356" t="s">
        <v>821</v>
      </c>
      <c r="D66" s="356" t="s">
        <v>1033</v>
      </c>
      <c r="E66" s="356" t="s">
        <v>1034</v>
      </c>
      <c r="F66" s="356" t="s">
        <v>1035</v>
      </c>
      <c r="G66" s="356" t="s">
        <v>523</v>
      </c>
      <c r="H66" s="356" t="s">
        <v>1036</v>
      </c>
      <c r="I66" s="356" t="s">
        <v>663</v>
      </c>
      <c r="J66" s="356" t="s">
        <v>1037</v>
      </c>
    </row>
    <row r="67" spans="1:10" ht="45">
      <c r="A67" s="355" t="s">
        <v>1038</v>
      </c>
      <c r="B67" s="356" t="s">
        <v>657</v>
      </c>
      <c r="C67" s="356" t="s">
        <v>1039</v>
      </c>
      <c r="D67" s="356" t="s">
        <v>1040</v>
      </c>
      <c r="E67" s="356" t="s">
        <v>1041</v>
      </c>
      <c r="F67" s="356" t="s">
        <v>1042</v>
      </c>
      <c r="G67" s="356" t="s">
        <v>523</v>
      </c>
      <c r="H67" s="356" t="s">
        <v>1043</v>
      </c>
      <c r="I67" s="356" t="s">
        <v>663</v>
      </c>
      <c r="J67" s="356" t="s">
        <v>1044</v>
      </c>
    </row>
    <row r="68" spans="1:10" ht="45">
      <c r="A68" s="355" t="s">
        <v>1045</v>
      </c>
      <c r="B68" s="356" t="s">
        <v>657</v>
      </c>
      <c r="C68" s="356" t="s">
        <v>1046</v>
      </c>
      <c r="D68" s="356" t="s">
        <v>1047</v>
      </c>
      <c r="E68" s="356" t="s">
        <v>1048</v>
      </c>
      <c r="F68" s="356" t="s">
        <v>1049</v>
      </c>
      <c r="G68" s="356" t="s">
        <v>523</v>
      </c>
      <c r="H68" s="356" t="s">
        <v>1050</v>
      </c>
      <c r="I68" s="356" t="s">
        <v>663</v>
      </c>
      <c r="J68" s="356" t="s">
        <v>1051</v>
      </c>
    </row>
    <row r="69" spans="1:10" ht="30">
      <c r="A69" s="215" t="s">
        <v>1052</v>
      </c>
      <c r="B69" s="215" t="s">
        <v>657</v>
      </c>
      <c r="C69" s="215" t="s">
        <v>1053</v>
      </c>
      <c r="D69" s="215" t="s">
        <v>1054</v>
      </c>
      <c r="E69" s="215" t="s">
        <v>1055</v>
      </c>
      <c r="F69" s="215" t="s">
        <v>1056</v>
      </c>
      <c r="G69" s="215" t="s">
        <v>523</v>
      </c>
      <c r="H69" s="215" t="s">
        <v>1057</v>
      </c>
      <c r="I69" s="215" t="s">
        <v>663</v>
      </c>
      <c r="J69" s="215" t="s">
        <v>1058</v>
      </c>
    </row>
    <row r="70" spans="1:10" ht="30">
      <c r="A70" s="215" t="s">
        <v>1059</v>
      </c>
      <c r="B70" s="215" t="s">
        <v>657</v>
      </c>
      <c r="C70" s="215" t="s">
        <v>1053</v>
      </c>
      <c r="D70" s="215" t="s">
        <v>1060</v>
      </c>
      <c r="E70" s="215" t="s">
        <v>1055</v>
      </c>
      <c r="F70" s="215" t="s">
        <v>1061</v>
      </c>
      <c r="G70" s="215" t="s">
        <v>523</v>
      </c>
      <c r="H70" s="215" t="s">
        <v>1057</v>
      </c>
      <c r="I70" s="215" t="s">
        <v>663</v>
      </c>
      <c r="J70" s="215" t="s">
        <v>1062</v>
      </c>
    </row>
    <row r="71" spans="1:10" ht="30">
      <c r="A71" s="215" t="s">
        <v>1063</v>
      </c>
      <c r="B71" s="215" t="s">
        <v>657</v>
      </c>
      <c r="C71" s="215" t="s">
        <v>1053</v>
      </c>
      <c r="D71" s="215" t="s">
        <v>1064</v>
      </c>
      <c r="E71" s="215" t="s">
        <v>1055</v>
      </c>
      <c r="F71" s="215" t="s">
        <v>1065</v>
      </c>
      <c r="G71" s="215" t="s">
        <v>523</v>
      </c>
      <c r="H71" s="215" t="s">
        <v>1066</v>
      </c>
      <c r="I71" s="215" t="s">
        <v>663</v>
      </c>
      <c r="J71" s="215" t="s">
        <v>1067</v>
      </c>
    </row>
    <row r="72" spans="1:10" ht="30">
      <c r="A72" s="215" t="s">
        <v>1068</v>
      </c>
      <c r="B72" s="215" t="s">
        <v>657</v>
      </c>
      <c r="C72" s="215" t="s">
        <v>1053</v>
      </c>
      <c r="D72" s="215" t="s">
        <v>1069</v>
      </c>
      <c r="E72" s="215" t="s">
        <v>1055</v>
      </c>
      <c r="F72" s="215" t="s">
        <v>1070</v>
      </c>
      <c r="G72" s="215" t="s">
        <v>523</v>
      </c>
      <c r="H72" s="215" t="s">
        <v>1071</v>
      </c>
      <c r="I72" s="215" t="s">
        <v>663</v>
      </c>
      <c r="J72" s="215" t="s">
        <v>1072</v>
      </c>
    </row>
    <row r="73" spans="1:10" ht="30">
      <c r="A73" s="215" t="s">
        <v>1073</v>
      </c>
      <c r="B73" s="215" t="s">
        <v>657</v>
      </c>
      <c r="C73" s="215" t="s">
        <v>1053</v>
      </c>
      <c r="D73" s="215" t="s">
        <v>1074</v>
      </c>
      <c r="E73" s="215" t="s">
        <v>1055</v>
      </c>
      <c r="F73" s="215" t="s">
        <v>1075</v>
      </c>
      <c r="G73" s="215" t="s">
        <v>523</v>
      </c>
      <c r="H73" s="215" t="s">
        <v>1076</v>
      </c>
      <c r="I73" s="215" t="s">
        <v>663</v>
      </c>
      <c r="J73" s="215" t="s">
        <v>1077</v>
      </c>
    </row>
    <row r="74" spans="1:10" ht="30">
      <c r="A74" s="215" t="s">
        <v>1078</v>
      </c>
      <c r="B74" s="215" t="s">
        <v>657</v>
      </c>
      <c r="C74" s="215" t="s">
        <v>658</v>
      </c>
      <c r="D74" s="215" t="s">
        <v>1079</v>
      </c>
      <c r="E74" s="215" t="s">
        <v>1055</v>
      </c>
      <c r="F74" s="215" t="s">
        <v>1080</v>
      </c>
      <c r="G74" s="215" t="s">
        <v>523</v>
      </c>
      <c r="H74" s="215" t="s">
        <v>1081</v>
      </c>
      <c r="I74" s="215" t="s">
        <v>663</v>
      </c>
      <c r="J74" s="215" t="s">
        <v>1082</v>
      </c>
    </row>
    <row r="75" spans="1:10" ht="30">
      <c r="A75" s="215" t="s">
        <v>1083</v>
      </c>
      <c r="B75" s="215" t="s">
        <v>657</v>
      </c>
      <c r="C75" s="215" t="s">
        <v>1014</v>
      </c>
      <c r="D75" s="215" t="s">
        <v>1084</v>
      </c>
      <c r="E75" s="215" t="s">
        <v>1055</v>
      </c>
      <c r="F75" s="215" t="s">
        <v>1085</v>
      </c>
      <c r="G75" s="215" t="s">
        <v>523</v>
      </c>
      <c r="H75" s="215" t="s">
        <v>1086</v>
      </c>
      <c r="I75" s="215" t="s">
        <v>663</v>
      </c>
      <c r="J75" s="215" t="s">
        <v>1087</v>
      </c>
    </row>
    <row r="76" spans="1:10" ht="30">
      <c r="A76" s="215" t="s">
        <v>1088</v>
      </c>
      <c r="B76" s="215" t="s">
        <v>657</v>
      </c>
      <c r="C76" s="215" t="s">
        <v>658</v>
      </c>
      <c r="D76" s="215" t="s">
        <v>1089</v>
      </c>
      <c r="E76" s="215" t="s">
        <v>1090</v>
      </c>
      <c r="F76" s="215" t="s">
        <v>1091</v>
      </c>
      <c r="G76" s="215" t="s">
        <v>523</v>
      </c>
      <c r="H76" s="215" t="s">
        <v>1081</v>
      </c>
      <c r="I76" s="215" t="s">
        <v>663</v>
      </c>
      <c r="J76" s="215" t="s">
        <v>1092</v>
      </c>
    </row>
    <row r="77" spans="1:10" ht="60">
      <c r="A77" s="215" t="s">
        <v>8108</v>
      </c>
      <c r="B77" s="215" t="s">
        <v>8109</v>
      </c>
      <c r="C77" s="215" t="s">
        <v>8110</v>
      </c>
      <c r="D77" s="215" t="s">
        <v>8111</v>
      </c>
      <c r="E77" s="215" t="s">
        <v>8112</v>
      </c>
      <c r="F77" s="215" t="s">
        <v>8113</v>
      </c>
      <c r="G77" s="215" t="s">
        <v>523</v>
      </c>
      <c r="H77" s="215" t="s">
        <v>8114</v>
      </c>
      <c r="I77" s="215" t="s">
        <v>663</v>
      </c>
      <c r="J77" s="215" t="s">
        <v>8115</v>
      </c>
    </row>
  </sheetData>
  <mergeCells count="2">
    <mergeCell ref="A1:J1"/>
    <mergeCell ref="A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Business Rules</vt:lpstr>
      <vt:lpstr>00_PLATFORM_INDEX</vt:lpstr>
      <vt:lpstr>INPUT_CONTROL_MAP</vt:lpstr>
      <vt:lpstr>STG_SOURCE_INTAKE</vt:lpstr>
      <vt:lpstr>MAP_FIELD_MAPPING</vt:lpstr>
      <vt:lpstr>DATA_UNIT_MIX</vt:lpstr>
      <vt:lpstr>DATA_RENT_ROLL</vt:lpstr>
      <vt:lpstr>DATA_OPERATING_ACTUALS</vt:lpstr>
      <vt:lpstr>DATA_AGREEMENTS</vt:lpstr>
      <vt:lpstr>DATA_CAPITAL_NEEDS</vt:lpstr>
      <vt:lpstr>01_Property Summary</vt:lpstr>
      <vt:lpstr>01_Base Yr. Inputs</vt:lpstr>
      <vt:lpstr>02_Rent Engine</vt:lpstr>
      <vt:lpstr>02_Debt Engine</vt:lpstr>
      <vt:lpstr>02A_Debt Schedule</vt:lpstr>
      <vt:lpstr>00_PORTFOLIO ROLLUP</vt:lpstr>
      <vt:lpstr>00_MODEL_CONTROL</vt:lpstr>
      <vt:lpstr>LEGACY_INVESTOR_SUMMARY</vt:lpstr>
      <vt:lpstr>00_PORTFOLIO_REGISTER</vt:lpstr>
      <vt:lpstr>00_PORTFOLIO SUMMARY</vt:lpstr>
      <vt:lpstr>00_RENT_TRACKER</vt:lpstr>
      <vt:lpstr>00_CAPITAL_PLAN</vt:lpstr>
      <vt:lpstr>00_ASSUMPTIONS_GUIDE</vt:lpstr>
      <vt:lpstr>01_Assumptions</vt:lpstr>
      <vt:lpstr>BLD_AB</vt:lpstr>
      <vt:lpstr>BLD_AC</vt:lpstr>
      <vt:lpstr>BLD_BT</vt:lpstr>
      <vt:lpstr>BLD_CH</vt:lpstr>
      <vt:lpstr>BLD_CC</vt:lpstr>
      <vt:lpstr>BLD_EA</vt:lpstr>
      <vt:lpstr>BLD_EE</vt:lpstr>
      <vt:lpstr>BLD_JP</vt:lpstr>
      <vt:lpstr>BLD_MH</vt:lpstr>
      <vt:lpstr>BLD_MM</vt:lpstr>
      <vt:lpstr>BLD_NT</vt:lpstr>
      <vt:lpstr>BLD_NG</vt:lpstr>
      <vt:lpstr>BLD_RG</vt:lpstr>
      <vt:lpstr>BLD_AS</vt:lpstr>
      <vt:lpstr>BLD_PS</vt:lpstr>
      <vt:lpstr>BLD_PM</vt:lpstr>
      <vt:lpstr>BLD_CD</vt:lpstr>
      <vt:lpstr>DATA_PROPERTY_MASTER</vt:lpstr>
      <vt:lpstr>DATA_DEBT_MASTER</vt:lpstr>
      <vt:lpstr>DATA_ASSET_CLASSIFICATION</vt:lpstr>
      <vt:lpstr>DATA_METRIC_LONG</vt:lpstr>
      <vt:lpstr>DATA_CAPITAL_FLOW</vt:lpstr>
      <vt:lpstr>DATA_CAPITAL_FLOW_RECON</vt:lpstr>
      <vt:lpstr>DATA_AGGREGATION_AUDIT</vt:lpstr>
      <vt:lpstr>00_INVESTOR SUMMARY</vt:lpstr>
      <vt:lpstr>OUT_CAPITAL_FLOW_SUMMARY</vt:lpstr>
      <vt:lpstr>OUT_PLATFORM_READINESS</vt:lpstr>
      <vt:lpstr>OUT_AUDIT_SUMMARY</vt:lpstr>
      <vt:lpstr>DATA_QUALITY_CHECKS</vt:lpstr>
      <vt:lpstr>00_MODEL_CHECKS</vt:lpstr>
      <vt:lpstr>00_CHANGE_LOG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Kelly P. Lin</cp:lastModifiedBy>
  <dcterms:created xsi:type="dcterms:W3CDTF">2026-07-08T01:29:45Z</dcterms:created>
  <dcterms:modified xsi:type="dcterms:W3CDTF">2026-07-09T15:38:20Z</dcterms:modified>
</cp:coreProperties>
</file>